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harts/chart9.xml" ContentType="application/vnd.openxmlformats-officedocument.drawingml.chart+xml"/>
  <Override PartName="/xl/drawings/drawing8.xml" ContentType="application/vnd.openxmlformats-officedocument.drawingml.chartshapes+xml"/>
  <Override PartName="/xl/charts/chart10.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charts/chart12.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3.xml" ContentType="application/vnd.openxmlformats-officedocument.drawingml.chart+xml"/>
  <Override PartName="/xl/charts/style10.xml" ContentType="application/vnd.ms-office.chartstyle+xml"/>
  <Override PartName="/xl/charts/colors10.xml" ContentType="application/vnd.ms-office.chartcolorstyle+xml"/>
  <Override PartName="/xl/charts/chart14.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https://adminliveunc-my.sharepoint.com/personal/dgorelic_ad_unc_edu/Documents/UNC/Research/IM3/CAP/Data/"/>
    </mc:Choice>
  </mc:AlternateContent>
  <xr:revisionPtr revIDLastSave="36" documentId="8_{B57AB972-F5FA-4C35-AA98-CF5A79E03BAD}" xr6:coauthVersionLast="47" xr6:coauthVersionMax="47" xr10:uidLastSave="{139DCBE7-344D-4FCC-B26A-F3C0C0A450C5}"/>
  <bookViews>
    <workbookView xWindow="-25320" yWindow="285" windowWidth="25440" windowHeight="15390" tabRatio="835" firstSheet="2" activeTab="12" xr2:uid="{00000000-000D-0000-FFFF-FFFF00000000}"/>
  </bookViews>
  <sheets>
    <sheet name="2017" sheetId="62" r:id="rId1"/>
    <sheet name="2018" sheetId="68" r:id="rId2"/>
    <sheet name="2019" sheetId="71" r:id="rId3"/>
    <sheet name="2020 T0" sheetId="78" r:id="rId4"/>
    <sheet name="2021 T0" sheetId="82" r:id="rId5"/>
    <sheet name="Lake Pleasant Forecast" sheetId="2" r:id="rId6"/>
    <sheet name="12_MTH_FC" sheetId="7" r:id="rId7"/>
    <sheet name="Log Sheet" sheetId="4" r:id="rId8"/>
    <sheet name="2022 T0 (2020 FC)" sheetId="81" r:id="rId9"/>
    <sheet name="2021 T0 (2020 FC)" sheetId="79" r:id="rId10"/>
    <sheet name="B" sheetId="3" r:id="rId11"/>
    <sheet name="2016" sheetId="61" r:id="rId12"/>
    <sheet name="2015" sheetId="53" r:id="rId13"/>
    <sheet name="2014" sheetId="49" r:id="rId14"/>
    <sheet name="2013" sheetId="34" r:id="rId15"/>
    <sheet name="2012" sheetId="31" r:id="rId16"/>
    <sheet name="2011" sheetId="26" r:id="rId17"/>
    <sheet name="2010" sheetId="24" r:id="rId18"/>
    <sheet name="2009" sheetId="23" r:id="rId19"/>
    <sheet name="2008" sheetId="21" r:id="rId20"/>
    <sheet name="SYS CAP" sheetId="27" r:id="rId21"/>
    <sheet name="Delivery Comparisons" sheetId="25" r:id="rId22"/>
  </sheets>
  <functionGroups builtInGroupCount="19"/>
  <definedNames>
    <definedName name="_xlnm._FilterDatabase" localSheetId="16" hidden="1">'2011'!$A$1:$A$948</definedName>
    <definedName name="_xlnm._FilterDatabase" localSheetId="15" hidden="1">'2012'!$A$21:$AJ$989</definedName>
    <definedName name="_xlnm._FilterDatabase" localSheetId="14" hidden="1">'2013'!$A$31:$R$1028</definedName>
    <definedName name="_xlnm._FilterDatabase" localSheetId="13" hidden="1">'2014'!$A$31:$R$798</definedName>
    <definedName name="_xlnm._FilterDatabase" localSheetId="12" hidden="1">'2015'!$A$31:$R$821</definedName>
    <definedName name="_xlnm._FilterDatabase" localSheetId="11" hidden="1">'2016'!$A$31:$R$839</definedName>
    <definedName name="_xlnm._FilterDatabase" localSheetId="0" hidden="1">'2017'!$A$31:$R$873</definedName>
    <definedName name="_xlnm._FilterDatabase" localSheetId="1" hidden="1">'2018'!$A$31:$R$899</definedName>
    <definedName name="_xlnm._FilterDatabase" localSheetId="2" hidden="1">'2019'!$A$31:$R$911</definedName>
    <definedName name="_xlnm._FilterDatabase" localSheetId="3" hidden="1">'2020 T0'!$A$31:$R$963</definedName>
    <definedName name="_xlnm._FilterDatabase" localSheetId="4" hidden="1">'2021 T0'!$A$31:$R$958</definedName>
    <definedName name="_xlnm._FilterDatabase" localSheetId="9" hidden="1">'2021 T0 (2020 FC)'!$A$31:$R$950</definedName>
    <definedName name="_xlnm._FilterDatabase" localSheetId="8" hidden="1">'2022 T0 (2020 FC)'!$A$31:$R$956</definedName>
    <definedName name="_xlnm._FilterDatabase" localSheetId="5" hidden="1">'Lake Pleasant Forecast'!#REF!</definedName>
    <definedName name="_xlnm._FilterDatabase" localSheetId="7" hidden="1">'Log Sheet'!$A$1:$B$1255</definedName>
    <definedName name="_xlnm.Print_Area" localSheetId="6">'12_MTH_FC'!$A$7:$R$54</definedName>
    <definedName name="_xlnm.Print_Area" localSheetId="19">'2008'!$A$1:$R$745</definedName>
    <definedName name="_xlnm.Print_Area" localSheetId="18">'2009'!$A$1:$R$728</definedName>
    <definedName name="_xlnm.Print_Area" localSheetId="17">'2010'!$A$1:$R$726</definedName>
    <definedName name="_xlnm.Print_Area" localSheetId="16">'2011'!$A$1:$R$748</definedName>
    <definedName name="_xlnm.Print_Area" localSheetId="15">'2012'!$A$1:$R$760</definedName>
    <definedName name="_xlnm.Print_Area" localSheetId="14">'2013'!$A$1:$R$788</definedName>
    <definedName name="_xlnm.Print_Area" localSheetId="13">'2014'!$A$1:$R$797</definedName>
    <definedName name="_xlnm.Print_Area" localSheetId="12">'2015'!$A$1:$R$820</definedName>
    <definedName name="_xlnm.Print_Area" localSheetId="11">'2016'!$A$1:$R$838</definedName>
    <definedName name="_xlnm.Print_Area" localSheetId="0">'2017'!$A$1:$R$872</definedName>
    <definedName name="_xlnm.Print_Area" localSheetId="1">'2018'!$A$1:$R$898</definedName>
    <definedName name="_xlnm.Print_Area" localSheetId="2">'2019'!$A$1:$R$910</definedName>
    <definedName name="_xlnm.Print_Area" localSheetId="3">'2020 T0'!$A$1:$R$952</definedName>
    <definedName name="_xlnm.Print_Area" localSheetId="4">'2021 T0'!$A$1:$R$947</definedName>
    <definedName name="_xlnm.Print_Area" localSheetId="9">'2021 T0 (2020 FC)'!$A$1:$R$939</definedName>
    <definedName name="_xlnm.Print_Area" localSheetId="8">'2022 T0 (2020 FC)'!$A$1:$R$945</definedName>
    <definedName name="_xlnm.Print_Area" localSheetId="5">'Lake Pleasant Forecast'!$A$116:$R$163</definedName>
    <definedName name="solver_adj" localSheetId="14" hidden="1">'2013'!$N$265</definedName>
    <definedName name="solver_adj" localSheetId="13" hidden="1">'2014'!$N$270</definedName>
    <definedName name="solver_adj" localSheetId="12" hidden="1">'2015'!$N$280</definedName>
    <definedName name="solver_adj" localSheetId="11" hidden="1">'2016'!$N$288</definedName>
    <definedName name="solver_adj" localSheetId="0" hidden="1">'2017'!$N$304</definedName>
    <definedName name="solver_adj" localSheetId="1" hidden="1">'2018'!$N$310</definedName>
    <definedName name="solver_adj" localSheetId="2" hidden="1">'2019'!$N$313</definedName>
    <definedName name="solver_adj" localSheetId="3" hidden="1">'2020 T0'!$N$324</definedName>
    <definedName name="solver_adj" localSheetId="4" hidden="1">'2021 T0'!$N$317</definedName>
    <definedName name="solver_adj" localSheetId="9" hidden="1">'2021 T0 (2020 FC)'!$N$316</definedName>
    <definedName name="solver_adj" localSheetId="8" hidden="1">'2022 T0 (2020 FC)'!$N$319</definedName>
    <definedName name="solver_cvg" localSheetId="14" hidden="1">0.0001</definedName>
    <definedName name="solver_cvg" localSheetId="13" hidden="1">0.0001</definedName>
    <definedName name="solver_cvg" localSheetId="12" hidden="1">0.0001</definedName>
    <definedName name="solver_cvg" localSheetId="11" hidden="1">0.0001</definedName>
    <definedName name="solver_cvg" localSheetId="0" hidden="1">0.0001</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cvg" localSheetId="9" hidden="1">0.0001</definedName>
    <definedName name="solver_cvg" localSheetId="8" hidden="1">0.0001</definedName>
    <definedName name="solver_drv" localSheetId="14" hidden="1">1</definedName>
    <definedName name="solver_drv" localSheetId="13" hidden="1">1</definedName>
    <definedName name="solver_drv" localSheetId="12" hidden="1">1</definedName>
    <definedName name="solver_drv" localSheetId="11" hidden="1">1</definedName>
    <definedName name="solver_drv" localSheetId="0" hidden="1">1</definedName>
    <definedName name="solver_drv" localSheetId="1" hidden="1">1</definedName>
    <definedName name="solver_drv" localSheetId="2" hidden="1">1</definedName>
    <definedName name="solver_drv" localSheetId="3" hidden="1">1</definedName>
    <definedName name="solver_drv" localSheetId="4" hidden="1">1</definedName>
    <definedName name="solver_drv" localSheetId="9" hidden="1">1</definedName>
    <definedName name="solver_drv" localSheetId="8" hidden="1">1</definedName>
    <definedName name="solver_eng" localSheetId="14" hidden="1">1</definedName>
    <definedName name="solver_eng" localSheetId="13" hidden="1">1</definedName>
    <definedName name="solver_eng" localSheetId="12" hidden="1">1</definedName>
    <definedName name="solver_eng" localSheetId="11" hidden="1">1</definedName>
    <definedName name="solver_eng" localSheetId="0" hidden="1">1</definedName>
    <definedName name="solver_eng" localSheetId="1" hidden="1">1</definedName>
    <definedName name="solver_eng" localSheetId="2" hidden="1">1</definedName>
    <definedName name="solver_eng" localSheetId="3" hidden="1">1</definedName>
    <definedName name="solver_eng" localSheetId="4" hidden="1">1</definedName>
    <definedName name="solver_eng" localSheetId="9" hidden="1">1</definedName>
    <definedName name="solver_eng" localSheetId="8" hidden="1">1</definedName>
    <definedName name="solver_est" localSheetId="14" hidden="1">1</definedName>
    <definedName name="solver_est" localSheetId="13" hidden="1">1</definedName>
    <definedName name="solver_est" localSheetId="12" hidden="1">1</definedName>
    <definedName name="solver_est" localSheetId="11" hidden="1">1</definedName>
    <definedName name="solver_est" localSheetId="0"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est" localSheetId="9" hidden="1">1</definedName>
    <definedName name="solver_est" localSheetId="8" hidden="1">1</definedName>
    <definedName name="solver_itr" localSheetId="14" hidden="1">2147483647</definedName>
    <definedName name="solver_itr" localSheetId="13" hidden="1">2147483647</definedName>
    <definedName name="solver_itr" localSheetId="12" hidden="1">2147483647</definedName>
    <definedName name="solver_itr" localSheetId="11" hidden="1">2147483647</definedName>
    <definedName name="solver_itr" localSheetId="0" hidden="1">2147483647</definedName>
    <definedName name="solver_itr" localSheetId="1" hidden="1">2147483647</definedName>
    <definedName name="solver_itr" localSheetId="2" hidden="1">2147483647</definedName>
    <definedName name="solver_itr" localSheetId="3" hidden="1">2147483647</definedName>
    <definedName name="solver_itr" localSheetId="4" hidden="1">2147483647</definedName>
    <definedName name="solver_itr" localSheetId="9" hidden="1">2147483647</definedName>
    <definedName name="solver_itr" localSheetId="8" hidden="1">2147483647</definedName>
    <definedName name="solver_lhs1" localSheetId="14" hidden="1">'2013'!$B$30</definedName>
    <definedName name="solver_lhs1" localSheetId="13" hidden="1">'2014'!$B$30</definedName>
    <definedName name="solver_lhs1" localSheetId="12" hidden="1">'2015'!$B$30</definedName>
    <definedName name="solver_lhs1" localSheetId="11" hidden="1">'2016'!$B$30</definedName>
    <definedName name="solver_lhs1" localSheetId="0" hidden="1">'2017'!$B$30</definedName>
    <definedName name="solver_lhs1" localSheetId="1" hidden="1">'2018'!$B$30</definedName>
    <definedName name="solver_lhs1" localSheetId="2" hidden="1">'2019'!$B$30</definedName>
    <definedName name="solver_lhs1" localSheetId="3" hidden="1">'2020 T0'!$B$30</definedName>
    <definedName name="solver_lhs1" localSheetId="4" hidden="1">'2021 T0'!$B$30</definedName>
    <definedName name="solver_lhs1" localSheetId="9" hidden="1">'2021 T0 (2020 FC)'!$B$30</definedName>
    <definedName name="solver_lhs1" localSheetId="8" hidden="1">'2022 T0 (2020 FC)'!$B$30</definedName>
    <definedName name="solver_lin" localSheetId="14" hidden="1">2</definedName>
    <definedName name="solver_lin" localSheetId="13" hidden="1">2</definedName>
    <definedName name="solver_lin" localSheetId="12" hidden="1">2</definedName>
    <definedName name="solver_lin" localSheetId="11" hidden="1">2</definedName>
    <definedName name="solver_lin" localSheetId="0" hidden="1">2</definedName>
    <definedName name="solver_lin" localSheetId="1" hidden="1">2</definedName>
    <definedName name="solver_lin" localSheetId="2" hidden="1">2</definedName>
    <definedName name="solver_lin" localSheetId="3" hidden="1">2</definedName>
    <definedName name="solver_lin" localSheetId="4" hidden="1">2</definedName>
    <definedName name="solver_lin" localSheetId="9" hidden="1">2</definedName>
    <definedName name="solver_lin" localSheetId="8" hidden="1">2</definedName>
    <definedName name="solver_mip" localSheetId="14" hidden="1">2147483647</definedName>
    <definedName name="solver_mip" localSheetId="13" hidden="1">2147483647</definedName>
    <definedName name="solver_mip" localSheetId="12" hidden="1">2147483647</definedName>
    <definedName name="solver_mip" localSheetId="11" hidden="1">2147483647</definedName>
    <definedName name="solver_mip" localSheetId="0" hidden="1">2147483647</definedName>
    <definedName name="solver_mip" localSheetId="1" hidden="1">2147483647</definedName>
    <definedName name="solver_mip" localSheetId="2" hidden="1">2147483647</definedName>
    <definedName name="solver_mip" localSheetId="3" hidden="1">2147483647</definedName>
    <definedName name="solver_mip" localSheetId="4" hidden="1">2147483647</definedName>
    <definedName name="solver_mip" localSheetId="9" hidden="1">2147483647</definedName>
    <definedName name="solver_mip" localSheetId="8" hidden="1">2147483647</definedName>
    <definedName name="solver_mni" localSheetId="14" hidden="1">30</definedName>
    <definedName name="solver_mni" localSheetId="13" hidden="1">30</definedName>
    <definedName name="solver_mni" localSheetId="12" hidden="1">30</definedName>
    <definedName name="solver_mni" localSheetId="11" hidden="1">30</definedName>
    <definedName name="solver_mni" localSheetId="0" hidden="1">30</definedName>
    <definedName name="solver_mni" localSheetId="1" hidden="1">30</definedName>
    <definedName name="solver_mni" localSheetId="2" hidden="1">30</definedName>
    <definedName name="solver_mni" localSheetId="3" hidden="1">30</definedName>
    <definedName name="solver_mni" localSheetId="4" hidden="1">30</definedName>
    <definedName name="solver_mni" localSheetId="9" hidden="1">30</definedName>
    <definedName name="solver_mni" localSheetId="8" hidden="1">30</definedName>
    <definedName name="solver_mrt" localSheetId="14" hidden="1">0.075</definedName>
    <definedName name="solver_mrt" localSheetId="13" hidden="1">0.075</definedName>
    <definedName name="solver_mrt" localSheetId="12" hidden="1">0.075</definedName>
    <definedName name="solver_mrt" localSheetId="11" hidden="1">0.075</definedName>
    <definedName name="solver_mrt" localSheetId="0" hidden="1">0.075</definedName>
    <definedName name="solver_mrt" localSheetId="1" hidden="1">0.075</definedName>
    <definedName name="solver_mrt" localSheetId="2" hidden="1">0.075</definedName>
    <definedName name="solver_mrt" localSheetId="3" hidden="1">0.075</definedName>
    <definedName name="solver_mrt" localSheetId="4" hidden="1">0.075</definedName>
    <definedName name="solver_mrt" localSheetId="9" hidden="1">0.075</definedName>
    <definedName name="solver_mrt" localSheetId="8" hidden="1">0.075</definedName>
    <definedName name="solver_msl" localSheetId="14" hidden="1">2</definedName>
    <definedName name="solver_msl" localSheetId="13" hidden="1">2</definedName>
    <definedName name="solver_msl" localSheetId="12" hidden="1">2</definedName>
    <definedName name="solver_msl" localSheetId="11" hidden="1">2</definedName>
    <definedName name="solver_msl" localSheetId="0" hidden="1">2</definedName>
    <definedName name="solver_msl" localSheetId="1" hidden="1">2</definedName>
    <definedName name="solver_msl" localSheetId="2" hidden="1">2</definedName>
    <definedName name="solver_msl" localSheetId="3" hidden="1">2</definedName>
    <definedName name="solver_msl" localSheetId="4" hidden="1">2</definedName>
    <definedName name="solver_msl" localSheetId="9" hidden="1">2</definedName>
    <definedName name="solver_msl" localSheetId="8" hidden="1">2</definedName>
    <definedName name="solver_neg" localSheetId="14" hidden="1">1</definedName>
    <definedName name="solver_neg" localSheetId="13" hidden="1">1</definedName>
    <definedName name="solver_neg" localSheetId="12" hidden="1">1</definedName>
    <definedName name="solver_neg" localSheetId="11" hidden="1">1</definedName>
    <definedName name="solver_neg" localSheetId="0" hidden="1">1</definedName>
    <definedName name="solver_neg" localSheetId="1" hidden="1">1</definedName>
    <definedName name="solver_neg" localSheetId="2" hidden="1">1</definedName>
    <definedName name="solver_neg" localSheetId="3" hidden="1">1</definedName>
    <definedName name="solver_neg" localSheetId="4" hidden="1">1</definedName>
    <definedName name="solver_neg" localSheetId="9" hidden="1">1</definedName>
    <definedName name="solver_neg" localSheetId="8" hidden="1">1</definedName>
    <definedName name="solver_nod" localSheetId="14" hidden="1">2147483647</definedName>
    <definedName name="solver_nod" localSheetId="13" hidden="1">2147483647</definedName>
    <definedName name="solver_nod" localSheetId="12" hidden="1">2147483647</definedName>
    <definedName name="solver_nod" localSheetId="11" hidden="1">2147483647</definedName>
    <definedName name="solver_nod" localSheetId="0" hidden="1">2147483647</definedName>
    <definedName name="solver_nod" localSheetId="1" hidden="1">2147483647</definedName>
    <definedName name="solver_nod" localSheetId="2" hidden="1">2147483647</definedName>
    <definedName name="solver_nod" localSheetId="3" hidden="1">2147483647</definedName>
    <definedName name="solver_nod" localSheetId="4" hidden="1">2147483647</definedName>
    <definedName name="solver_nod" localSheetId="9" hidden="1">2147483647</definedName>
    <definedName name="solver_nod" localSheetId="8" hidden="1">2147483647</definedName>
    <definedName name="solver_num" localSheetId="14" hidden="1">0</definedName>
    <definedName name="solver_num" localSheetId="13" hidden="1">0</definedName>
    <definedName name="solver_num" localSheetId="12" hidden="1">0</definedName>
    <definedName name="solver_num" localSheetId="11" hidden="1">0</definedName>
    <definedName name="solver_num" localSheetId="0" hidden="1">0</definedName>
    <definedName name="solver_num" localSheetId="1" hidden="1">0</definedName>
    <definedName name="solver_num" localSheetId="2" hidden="1">0</definedName>
    <definedName name="solver_num" localSheetId="3" hidden="1">0</definedName>
    <definedName name="solver_num" localSheetId="4" hidden="1">0</definedName>
    <definedName name="solver_num" localSheetId="9" hidden="1">0</definedName>
    <definedName name="solver_num" localSheetId="8" hidden="1">0</definedName>
    <definedName name="solver_nwt" localSheetId="14" hidden="1">1</definedName>
    <definedName name="solver_nwt" localSheetId="13" hidden="1">1</definedName>
    <definedName name="solver_nwt" localSheetId="12" hidden="1">1</definedName>
    <definedName name="solver_nwt" localSheetId="11" hidden="1">1</definedName>
    <definedName name="solver_nwt" localSheetId="0" hidden="1">1</definedName>
    <definedName name="solver_nwt" localSheetId="1" hidden="1">1</definedName>
    <definedName name="solver_nwt" localSheetId="2" hidden="1">1</definedName>
    <definedName name="solver_nwt" localSheetId="3" hidden="1">1</definedName>
    <definedName name="solver_nwt" localSheetId="4" hidden="1">1</definedName>
    <definedName name="solver_nwt" localSheetId="9" hidden="1">1</definedName>
    <definedName name="solver_nwt" localSheetId="8" hidden="1">1</definedName>
    <definedName name="solver_opt" localSheetId="14" hidden="1">'2013'!$O$974</definedName>
    <definedName name="solver_opt" localSheetId="13" hidden="1">'2014'!$R$983</definedName>
    <definedName name="solver_opt" localSheetId="12" hidden="1">'2015'!$R$1006</definedName>
    <definedName name="solver_opt" localSheetId="11" hidden="1">'2016'!$R$1024</definedName>
    <definedName name="solver_opt" localSheetId="0" hidden="1">'2017'!$R$1058</definedName>
    <definedName name="solver_opt" localSheetId="1" hidden="1">'2018'!$R$1084</definedName>
    <definedName name="solver_opt" localSheetId="2" hidden="1">'2019'!$R$1096</definedName>
    <definedName name="solver_opt" localSheetId="3" hidden="1">'2020 T0'!$R$1138</definedName>
    <definedName name="solver_opt" localSheetId="4" hidden="1">'2021 T0'!$R$1133</definedName>
    <definedName name="solver_opt" localSheetId="9" hidden="1">'2021 T0 (2020 FC)'!$R$1125</definedName>
    <definedName name="solver_opt" localSheetId="8" hidden="1">'2022 T0 (2020 FC)'!$R$1131</definedName>
    <definedName name="solver_pre" localSheetId="14" hidden="1">0.000001</definedName>
    <definedName name="solver_pre" localSheetId="13" hidden="1">0.000001</definedName>
    <definedName name="solver_pre" localSheetId="12" hidden="1">0.000001</definedName>
    <definedName name="solver_pre" localSheetId="11" hidden="1">0.000001</definedName>
    <definedName name="solver_pre" localSheetId="0" hidden="1">0.000001</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pre" localSheetId="9" hidden="1">0.000001</definedName>
    <definedName name="solver_pre" localSheetId="8" hidden="1">0.000001</definedName>
    <definedName name="solver_rbv" localSheetId="14" hidden="1">1</definedName>
    <definedName name="solver_rbv" localSheetId="13" hidden="1">1</definedName>
    <definedName name="solver_rbv" localSheetId="12" hidden="1">1</definedName>
    <definedName name="solver_rbv" localSheetId="11" hidden="1">1</definedName>
    <definedName name="solver_rbv" localSheetId="0" hidden="1">1</definedName>
    <definedName name="solver_rbv" localSheetId="1" hidden="1">1</definedName>
    <definedName name="solver_rbv" localSheetId="2" hidden="1">1</definedName>
    <definedName name="solver_rbv" localSheetId="3" hidden="1">1</definedName>
    <definedName name="solver_rbv" localSheetId="4" hidden="1">1</definedName>
    <definedName name="solver_rbv" localSheetId="9" hidden="1">1</definedName>
    <definedName name="solver_rbv" localSheetId="8" hidden="1">1</definedName>
    <definedName name="solver_rel1" localSheetId="14" hidden="1">1</definedName>
    <definedName name="solver_rel1" localSheetId="13" hidden="1">1</definedName>
    <definedName name="solver_rel1" localSheetId="12" hidden="1">1</definedName>
    <definedName name="solver_rel1" localSheetId="11" hidden="1">1</definedName>
    <definedName name="solver_rel1" localSheetId="0" hidden="1">1</definedName>
    <definedName name="solver_rel1" localSheetId="1" hidden="1">1</definedName>
    <definedName name="solver_rel1" localSheetId="2" hidden="1">1</definedName>
    <definedName name="solver_rel1" localSheetId="3" hidden="1">1</definedName>
    <definedName name="solver_rel1" localSheetId="4" hidden="1">1</definedName>
    <definedName name="solver_rel1" localSheetId="9" hidden="1">1</definedName>
    <definedName name="solver_rel1" localSheetId="8" hidden="1">1</definedName>
    <definedName name="solver_rhs1" localSheetId="14" hidden="1">1400</definedName>
    <definedName name="solver_rhs1" localSheetId="13" hidden="1">1400</definedName>
    <definedName name="solver_rhs1" localSheetId="12" hidden="1">1400</definedName>
    <definedName name="solver_rhs1" localSheetId="11" hidden="1">1400</definedName>
    <definedName name="solver_rhs1" localSheetId="0" hidden="1">1400</definedName>
    <definedName name="solver_rhs1" localSheetId="1" hidden="1">1400</definedName>
    <definedName name="solver_rhs1" localSheetId="2" hidden="1">1400</definedName>
    <definedName name="solver_rhs1" localSheetId="3" hidden="1">1400</definedName>
    <definedName name="solver_rhs1" localSheetId="4" hidden="1">1400</definedName>
    <definedName name="solver_rhs1" localSheetId="9" hidden="1">1400</definedName>
    <definedName name="solver_rhs1" localSheetId="8" hidden="1">1400</definedName>
    <definedName name="solver_rlx" localSheetId="14" hidden="1">2</definedName>
    <definedName name="solver_rlx" localSheetId="13" hidden="1">2</definedName>
    <definedName name="solver_rlx" localSheetId="12" hidden="1">2</definedName>
    <definedName name="solver_rlx" localSheetId="11" hidden="1">2</definedName>
    <definedName name="solver_rlx" localSheetId="0" hidden="1">2</definedName>
    <definedName name="solver_rlx" localSheetId="1" hidden="1">2</definedName>
    <definedName name="solver_rlx" localSheetId="2" hidden="1">2</definedName>
    <definedName name="solver_rlx" localSheetId="3" hidden="1">2</definedName>
    <definedName name="solver_rlx" localSheetId="4" hidden="1">2</definedName>
    <definedName name="solver_rlx" localSheetId="9" hidden="1">2</definedName>
    <definedName name="solver_rlx" localSheetId="8" hidden="1">2</definedName>
    <definedName name="solver_rsd" localSheetId="14" hidden="1">0</definedName>
    <definedName name="solver_rsd" localSheetId="13" hidden="1">0</definedName>
    <definedName name="solver_rsd" localSheetId="12" hidden="1">0</definedName>
    <definedName name="solver_rsd" localSheetId="11" hidden="1">0</definedName>
    <definedName name="solver_rsd" localSheetId="0" hidden="1">0</definedName>
    <definedName name="solver_rsd" localSheetId="1" hidden="1">0</definedName>
    <definedName name="solver_rsd" localSheetId="2" hidden="1">0</definedName>
    <definedName name="solver_rsd" localSheetId="3" hidden="1">0</definedName>
    <definedName name="solver_rsd" localSheetId="4" hidden="1">0</definedName>
    <definedName name="solver_rsd" localSheetId="9" hidden="1">0</definedName>
    <definedName name="solver_rsd" localSheetId="8" hidden="1">0</definedName>
    <definedName name="solver_scl" localSheetId="14" hidden="1">1</definedName>
    <definedName name="solver_scl" localSheetId="13" hidden="1">1</definedName>
    <definedName name="solver_scl" localSheetId="12" hidden="1">1</definedName>
    <definedName name="solver_scl" localSheetId="11" hidden="1">1</definedName>
    <definedName name="solver_scl" localSheetId="0" hidden="1">1</definedName>
    <definedName name="solver_scl" localSheetId="1" hidden="1">1</definedName>
    <definedName name="solver_scl" localSheetId="2" hidden="1">1</definedName>
    <definedName name="solver_scl" localSheetId="3" hidden="1">1</definedName>
    <definedName name="solver_scl" localSheetId="4" hidden="1">1</definedName>
    <definedName name="solver_scl" localSheetId="9" hidden="1">1</definedName>
    <definedName name="solver_scl" localSheetId="8" hidden="1">1</definedName>
    <definedName name="solver_sho" localSheetId="14" hidden="1">2</definedName>
    <definedName name="solver_sho" localSheetId="13" hidden="1">2</definedName>
    <definedName name="solver_sho" localSheetId="12" hidden="1">2</definedName>
    <definedName name="solver_sho" localSheetId="11" hidden="1">2</definedName>
    <definedName name="solver_sho" localSheetId="0" hidden="1">2</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ho" localSheetId="9" hidden="1">2</definedName>
    <definedName name="solver_sho" localSheetId="8" hidden="1">2</definedName>
    <definedName name="solver_ssz" localSheetId="14" hidden="1">100</definedName>
    <definedName name="solver_ssz" localSheetId="13" hidden="1">100</definedName>
    <definedName name="solver_ssz" localSheetId="12" hidden="1">100</definedName>
    <definedName name="solver_ssz" localSheetId="11" hidden="1">100</definedName>
    <definedName name="solver_ssz" localSheetId="0" hidden="1">100</definedName>
    <definedName name="solver_ssz" localSheetId="1" hidden="1">100</definedName>
    <definedName name="solver_ssz" localSheetId="2" hidden="1">100</definedName>
    <definedName name="solver_ssz" localSheetId="3" hidden="1">100</definedName>
    <definedName name="solver_ssz" localSheetId="4" hidden="1">100</definedName>
    <definedName name="solver_ssz" localSheetId="9" hidden="1">100</definedName>
    <definedName name="solver_ssz" localSheetId="8" hidden="1">100</definedName>
    <definedName name="solver_tim" localSheetId="14" hidden="1">2147483647</definedName>
    <definedName name="solver_tim" localSheetId="13" hidden="1">2147483647</definedName>
    <definedName name="solver_tim" localSheetId="12" hidden="1">2147483647</definedName>
    <definedName name="solver_tim" localSheetId="11" hidden="1">2147483647</definedName>
    <definedName name="solver_tim" localSheetId="0" hidden="1">2147483647</definedName>
    <definedName name="solver_tim" localSheetId="1" hidden="1">2147483647</definedName>
    <definedName name="solver_tim" localSheetId="2" hidden="1">2147483647</definedName>
    <definedName name="solver_tim" localSheetId="3" hidden="1">2147483647</definedName>
    <definedName name="solver_tim" localSheetId="4" hidden="1">2147483647</definedName>
    <definedName name="solver_tim" localSheetId="9" hidden="1">2147483647</definedName>
    <definedName name="solver_tim" localSheetId="8" hidden="1">2147483647</definedName>
    <definedName name="solver_tol" localSheetId="14" hidden="1">0.01</definedName>
    <definedName name="solver_tol" localSheetId="13" hidden="1">0.01</definedName>
    <definedName name="solver_tol" localSheetId="12" hidden="1">0.01</definedName>
    <definedName name="solver_tol" localSheetId="11" hidden="1">0.01</definedName>
    <definedName name="solver_tol" localSheetId="0" hidden="1">0.01</definedName>
    <definedName name="solver_tol" localSheetId="1" hidden="1">0.01</definedName>
    <definedName name="solver_tol" localSheetId="2" hidden="1">0.01</definedName>
    <definedName name="solver_tol" localSheetId="3" hidden="1">0.01</definedName>
    <definedName name="solver_tol" localSheetId="4" hidden="1">0.01</definedName>
    <definedName name="solver_tol" localSheetId="9" hidden="1">0.01</definedName>
    <definedName name="solver_tol" localSheetId="8" hidden="1">0.01</definedName>
    <definedName name="solver_typ" localSheetId="14" hidden="1">3</definedName>
    <definedName name="solver_typ" localSheetId="13" hidden="1">3</definedName>
    <definedName name="solver_typ" localSheetId="12" hidden="1">3</definedName>
    <definedName name="solver_typ" localSheetId="11" hidden="1">3</definedName>
    <definedName name="solver_typ" localSheetId="0" hidden="1">3</definedName>
    <definedName name="solver_typ" localSheetId="1" hidden="1">3</definedName>
    <definedName name="solver_typ" localSheetId="2" hidden="1">3</definedName>
    <definedName name="solver_typ" localSheetId="3" hidden="1">3</definedName>
    <definedName name="solver_typ" localSheetId="4" hidden="1">3</definedName>
    <definedName name="solver_typ" localSheetId="9" hidden="1">3</definedName>
    <definedName name="solver_typ" localSheetId="8" hidden="1">3</definedName>
    <definedName name="solver_val" localSheetId="14" hidden="1">0</definedName>
    <definedName name="solver_val" localSheetId="13" hidden="1">0</definedName>
    <definedName name="solver_val" localSheetId="12" hidden="1">0</definedName>
    <definedName name="solver_val" localSheetId="11" hidden="1">0</definedName>
    <definedName name="solver_val" localSheetId="0" hidden="1">0</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al" localSheetId="9" hidden="1">0</definedName>
    <definedName name="solver_val" localSheetId="8" hidden="1">0</definedName>
    <definedName name="solver_ver" localSheetId="14" hidden="1">3</definedName>
    <definedName name="solver_ver" localSheetId="13" hidden="1">3</definedName>
    <definedName name="solver_ver" localSheetId="12" hidden="1">3</definedName>
    <definedName name="solver_ver" localSheetId="11" hidden="1">3</definedName>
    <definedName name="solver_ver" localSheetId="0" hidden="1">3</definedName>
    <definedName name="solver_ver" localSheetId="1" hidden="1">3</definedName>
    <definedName name="solver_ver" localSheetId="2" hidden="1">3</definedName>
    <definedName name="solver_ver" localSheetId="3" hidden="1">3</definedName>
    <definedName name="solver_ver" localSheetId="4" hidden="1">3</definedName>
    <definedName name="solver_ver" localSheetId="9" hidden="1">3</definedName>
    <definedName name="solver_ver" localSheetId="8"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83" i="2" l="1"/>
  <c r="U83" i="2"/>
  <c r="T83" i="2"/>
  <c r="W35" i="2"/>
  <c r="W131" i="2"/>
  <c r="W133" i="2"/>
  <c r="C133" i="2"/>
  <c r="Q131" i="2"/>
  <c r="R131" i="2" s="1"/>
  <c r="U131" i="2"/>
  <c r="K401" i="82"/>
  <c r="G401" i="82"/>
  <c r="F401" i="82"/>
  <c r="D401" i="82"/>
  <c r="C401" i="82"/>
  <c r="B133" i="2"/>
  <c r="N94" i="82" l="1"/>
  <c r="M105" i="2" l="1"/>
  <c r="M103" i="2"/>
  <c r="M101" i="2"/>
  <c r="M99" i="2"/>
  <c r="M97" i="2"/>
  <c r="M95" i="2"/>
  <c r="M93" i="2"/>
  <c r="M91" i="2"/>
  <c r="M89" i="2"/>
  <c r="M87" i="2"/>
  <c r="M85" i="2"/>
  <c r="M83" i="2"/>
  <c r="G584" i="82" l="1"/>
  <c r="G398" i="82"/>
  <c r="L94" i="82"/>
  <c r="K94" i="82"/>
  <c r="J94" i="82"/>
  <c r="H94" i="82"/>
  <c r="G94" i="82"/>
  <c r="P242" i="82" l="1"/>
  <c r="O242" i="82"/>
  <c r="N262" i="82"/>
  <c r="L255" i="82"/>
  <c r="K255" i="82"/>
  <c r="J186" i="82"/>
  <c r="H186" i="82"/>
  <c r="G187" i="82"/>
  <c r="G186" i="82"/>
  <c r="F186" i="82"/>
  <c r="D186" i="82"/>
  <c r="C186" i="82"/>
  <c r="B186" i="82"/>
  <c r="O186" i="82"/>
  <c r="K186" i="82"/>
  <c r="J345" i="82" l="1"/>
  <c r="B345" i="82"/>
  <c r="L373" i="78" l="1"/>
  <c r="L354" i="78"/>
  <c r="L485" i="78"/>
  <c r="L857" i="78"/>
  <c r="L195" i="78"/>
  <c r="L461" i="78"/>
  <c r="L462" i="78"/>
  <c r="L191" i="78"/>
  <c r="L183" i="78"/>
  <c r="L369" i="78"/>
  <c r="L435" i="78"/>
  <c r="L233" i="78"/>
  <c r="L555" i="78" l="1"/>
  <c r="F196" i="82" l="1"/>
  <c r="Q434" i="82" l="1"/>
  <c r="M434" i="82"/>
  <c r="I434" i="82"/>
  <c r="E434" i="82"/>
  <c r="Q850" i="82"/>
  <c r="M850" i="82"/>
  <c r="I850" i="82"/>
  <c r="E850" i="82"/>
  <c r="R434" i="82" l="1"/>
  <c r="R850" i="82"/>
  <c r="P186" i="82"/>
  <c r="N186" i="82"/>
  <c r="L186" i="82"/>
  <c r="Q649" i="82" l="1"/>
  <c r="M649" i="82"/>
  <c r="I649" i="82"/>
  <c r="E649" i="82"/>
  <c r="R649" i="82" l="1"/>
  <c r="E694" i="82" l="1"/>
  <c r="I694" i="82"/>
  <c r="M694" i="82"/>
  <c r="Q548" i="82" l="1"/>
  <c r="M548" i="82"/>
  <c r="I548" i="82"/>
  <c r="E548" i="82"/>
  <c r="R548" i="82" l="1"/>
  <c r="P190" i="82" l="1"/>
  <c r="O190" i="82"/>
  <c r="N190" i="82"/>
  <c r="L190" i="82"/>
  <c r="K190" i="82"/>
  <c r="J191" i="82"/>
  <c r="J190" i="82"/>
  <c r="H190" i="82"/>
  <c r="G256" i="82"/>
  <c r="F256" i="82"/>
  <c r="F286" i="82"/>
  <c r="D286" i="82"/>
  <c r="D292" i="82" s="1"/>
  <c r="C286" i="82"/>
  <c r="C292" i="82" s="1"/>
  <c r="B286" i="82"/>
  <c r="B292" i="82" s="1"/>
  <c r="K746" i="82"/>
  <c r="B413" i="82" l="1"/>
  <c r="P730" i="82" l="1"/>
  <c r="N730" i="82"/>
  <c r="L730" i="82"/>
  <c r="K730" i="82"/>
  <c r="J730" i="82"/>
  <c r="H730" i="82"/>
  <c r="G730" i="82"/>
  <c r="F730" i="82"/>
  <c r="D730" i="82"/>
  <c r="C730" i="82"/>
  <c r="B730" i="82"/>
  <c r="G435" i="82"/>
  <c r="Q284" i="82"/>
  <c r="M284" i="82"/>
  <c r="I284" i="82"/>
  <c r="E284" i="82"/>
  <c r="R284" i="82" l="1"/>
  <c r="M94" i="82" l="1"/>
  <c r="M179" i="82" l="1"/>
  <c r="P365" i="82"/>
  <c r="O365" i="82"/>
  <c r="N365" i="82"/>
  <c r="L365" i="82"/>
  <c r="K365" i="82"/>
  <c r="J365" i="82"/>
  <c r="H365" i="82"/>
  <c r="G365" i="82"/>
  <c r="F424" i="82" l="1"/>
  <c r="D365" i="82"/>
  <c r="E441" i="82"/>
  <c r="L174" i="82" l="1"/>
  <c r="Q247" i="82"/>
  <c r="M247" i="82"/>
  <c r="I247" i="82"/>
  <c r="E247" i="82"/>
  <c r="R247" i="82" l="1"/>
  <c r="Q349" i="82" l="1"/>
  <c r="M349" i="82"/>
  <c r="I349" i="82"/>
  <c r="E349" i="82"/>
  <c r="P348" i="82"/>
  <c r="O348" i="82"/>
  <c r="N348" i="82"/>
  <c r="L348" i="82"/>
  <c r="K348" i="82"/>
  <c r="J348" i="82"/>
  <c r="H348" i="82"/>
  <c r="G348" i="82"/>
  <c r="F348" i="82"/>
  <c r="D348" i="82"/>
  <c r="C348" i="82"/>
  <c r="B348" i="82"/>
  <c r="I347" i="82"/>
  <c r="R349" i="82" l="1"/>
  <c r="Q469" i="82"/>
  <c r="M469" i="82"/>
  <c r="I469" i="82"/>
  <c r="E469" i="82"/>
  <c r="R469" i="82" l="1"/>
  <c r="E164" i="82"/>
  <c r="E627" i="82"/>
  <c r="P158" i="82" l="1"/>
  <c r="O158" i="82"/>
  <c r="N158" i="82"/>
  <c r="L158" i="82"/>
  <c r="K158" i="82"/>
  <c r="J158" i="82"/>
  <c r="H158" i="82"/>
  <c r="G158" i="82"/>
  <c r="F158" i="82"/>
  <c r="D158" i="82"/>
  <c r="C158" i="82"/>
  <c r="B158" i="82"/>
  <c r="J214" i="82" l="1"/>
  <c r="K214" i="82"/>
  <c r="L214" i="82"/>
  <c r="P339" i="82" l="1"/>
  <c r="O339" i="82"/>
  <c r="N339" i="82"/>
  <c r="Q340" i="82"/>
  <c r="M340" i="82"/>
  <c r="M341" i="82"/>
  <c r="I340" i="82"/>
  <c r="E340" i="82"/>
  <c r="E341" i="82"/>
  <c r="L339" i="82"/>
  <c r="K339" i="82"/>
  <c r="J339" i="82"/>
  <c r="H437" i="82"/>
  <c r="G437" i="82"/>
  <c r="F437" i="82"/>
  <c r="D437" i="82"/>
  <c r="C437" i="82"/>
  <c r="B437" i="82"/>
  <c r="R340" i="82" l="1"/>
  <c r="O1174" i="82"/>
  <c r="K1174" i="82"/>
  <c r="Q1171" i="82"/>
  <c r="M1171" i="82"/>
  <c r="G1171" i="82"/>
  <c r="I1171" i="82" s="1"/>
  <c r="E1171" i="82"/>
  <c r="C1171" i="82"/>
  <c r="Q1170" i="82"/>
  <c r="M1170" i="82"/>
  <c r="G1170" i="82"/>
  <c r="I1170" i="82" s="1"/>
  <c r="E1170" i="82"/>
  <c r="C1170" i="82"/>
  <c r="Q1169" i="82"/>
  <c r="M1169" i="82"/>
  <c r="G1169" i="82"/>
  <c r="I1169" i="82" s="1"/>
  <c r="J1171" i="82" s="1"/>
  <c r="E1169" i="82"/>
  <c r="C1169" i="82"/>
  <c r="Q1168" i="82"/>
  <c r="M1168" i="82"/>
  <c r="G1168" i="82"/>
  <c r="I1168" i="82" s="1"/>
  <c r="E1168" i="82"/>
  <c r="C1168" i="82"/>
  <c r="Q1167" i="82"/>
  <c r="M1167" i="82"/>
  <c r="G1167" i="82"/>
  <c r="I1167" i="82" s="1"/>
  <c r="E1167" i="82"/>
  <c r="C1167" i="82"/>
  <c r="Q1166" i="82"/>
  <c r="M1166" i="82"/>
  <c r="G1166" i="82"/>
  <c r="I1166" i="82" s="1"/>
  <c r="J1168" i="82" s="1"/>
  <c r="E1166" i="82"/>
  <c r="C1166" i="82"/>
  <c r="Q1165" i="82"/>
  <c r="M1165" i="82"/>
  <c r="G1165" i="82"/>
  <c r="I1165" i="82" s="1"/>
  <c r="E1165" i="82"/>
  <c r="C1165" i="82"/>
  <c r="Q1164" i="82"/>
  <c r="M1164" i="82"/>
  <c r="G1164" i="82"/>
  <c r="I1164" i="82" s="1"/>
  <c r="E1164" i="82"/>
  <c r="C1164" i="82"/>
  <c r="Q1163" i="82"/>
  <c r="M1163" i="82"/>
  <c r="G1163" i="82"/>
  <c r="I1163" i="82" s="1"/>
  <c r="J1165" i="82" s="1"/>
  <c r="E1163" i="82"/>
  <c r="C1163" i="82"/>
  <c r="Q1162" i="82"/>
  <c r="M1162" i="82"/>
  <c r="G1162" i="82"/>
  <c r="I1162" i="82" s="1"/>
  <c r="E1162" i="82"/>
  <c r="C1162" i="82"/>
  <c r="Q1161" i="82"/>
  <c r="M1161" i="82"/>
  <c r="G1161" i="82"/>
  <c r="E1161" i="82"/>
  <c r="C1161" i="82"/>
  <c r="Q1160" i="82"/>
  <c r="M1160" i="82"/>
  <c r="I1160" i="82"/>
  <c r="E1160" i="82"/>
  <c r="C1160" i="82"/>
  <c r="G1154" i="82"/>
  <c r="O1153" i="82"/>
  <c r="K1153" i="82"/>
  <c r="C1153" i="82"/>
  <c r="I1150" i="82"/>
  <c r="J1147" i="82"/>
  <c r="Q1146" i="82"/>
  <c r="P1122" i="82"/>
  <c r="O1122" i="82" s="1"/>
  <c r="J1122" i="82"/>
  <c r="I1122" i="82"/>
  <c r="F1122" i="82" s="1"/>
  <c r="B1095" i="82" s="1"/>
  <c r="P1121" i="82"/>
  <c r="O1121" i="82" s="1"/>
  <c r="J1121" i="82"/>
  <c r="G1121" i="82" s="1"/>
  <c r="C1094" i="82" s="1"/>
  <c r="I1121" i="82"/>
  <c r="N1120" i="82"/>
  <c r="P1120" i="82" s="1"/>
  <c r="O1120" i="82" s="1"/>
  <c r="J1120" i="82"/>
  <c r="I1120" i="82"/>
  <c r="F1120" i="82" s="1"/>
  <c r="B1093" i="82" s="1"/>
  <c r="N1119" i="82"/>
  <c r="P1119" i="82" s="1"/>
  <c r="O1119" i="82" s="1"/>
  <c r="J1119" i="82"/>
  <c r="G1119" i="82" s="1"/>
  <c r="C1092" i="82" s="1"/>
  <c r="I1119" i="82"/>
  <c r="F1119" i="82" s="1"/>
  <c r="B1092" i="82" s="1"/>
  <c r="N1118" i="82"/>
  <c r="P1118" i="82" s="1"/>
  <c r="O1118" i="82" s="1"/>
  <c r="J1118" i="82"/>
  <c r="G1118" i="82" s="1"/>
  <c r="C1091" i="82" s="1"/>
  <c r="I1118" i="82"/>
  <c r="F1118" i="82" s="1"/>
  <c r="B1091" i="82" s="1"/>
  <c r="N1117" i="82"/>
  <c r="P1117" i="82" s="1"/>
  <c r="O1117" i="82" s="1"/>
  <c r="J1117" i="82"/>
  <c r="G1117" i="82" s="1"/>
  <c r="C1090" i="82" s="1"/>
  <c r="I1117" i="82"/>
  <c r="N1116" i="82"/>
  <c r="P1116" i="82" s="1"/>
  <c r="O1116" i="82" s="1"/>
  <c r="J1116" i="82"/>
  <c r="G1116" i="82" s="1"/>
  <c r="C1089" i="82" s="1"/>
  <c r="I1116" i="82"/>
  <c r="N1115" i="82"/>
  <c r="P1115" i="82" s="1"/>
  <c r="O1115" i="82" s="1"/>
  <c r="J1115" i="82"/>
  <c r="G1115" i="82" s="1"/>
  <c r="C1088" i="82" s="1"/>
  <c r="I1115" i="82"/>
  <c r="P1114" i="82"/>
  <c r="O1114" i="82" s="1"/>
  <c r="J1114" i="82"/>
  <c r="G1114" i="82" s="1"/>
  <c r="C1087" i="82" s="1"/>
  <c r="I1114" i="82"/>
  <c r="F1114" i="82" s="1"/>
  <c r="B1087" i="82" s="1"/>
  <c r="P1113" i="82"/>
  <c r="O1113" i="82" s="1"/>
  <c r="J1113" i="82"/>
  <c r="G1113" i="82" s="1"/>
  <c r="C1086" i="82" s="1"/>
  <c r="I1113" i="82"/>
  <c r="F1113" i="82" s="1"/>
  <c r="B1086" i="82" s="1"/>
  <c r="N1112" i="82"/>
  <c r="P1112" i="82" s="1"/>
  <c r="O1112" i="82" s="1"/>
  <c r="J1112" i="82"/>
  <c r="G1112" i="82" s="1"/>
  <c r="C1085" i="82" s="1"/>
  <c r="AD1099" i="82" s="1"/>
  <c r="I1112" i="82"/>
  <c r="F1112" i="82" s="1"/>
  <c r="B1085" i="82" s="1"/>
  <c r="AD1087" i="82" s="1"/>
  <c r="P1111" i="82"/>
  <c r="O1111" i="82" s="1"/>
  <c r="J1111" i="82"/>
  <c r="I1111" i="82"/>
  <c r="F1111" i="82" s="1"/>
  <c r="B1084" i="82" s="1"/>
  <c r="B1105" i="82"/>
  <c r="B1102" i="82"/>
  <c r="Q1101" i="82"/>
  <c r="D1091" i="82"/>
  <c r="D1090" i="82"/>
  <c r="D1089" i="82"/>
  <c r="AE1081" i="82"/>
  <c r="B1080" i="82"/>
  <c r="B1077" i="82"/>
  <c r="Q1076" i="82"/>
  <c r="P1070" i="82"/>
  <c r="P1069" i="82"/>
  <c r="P1068" i="82"/>
  <c r="P1067" i="82"/>
  <c r="P1066" i="82"/>
  <c r="P1065" i="82"/>
  <c r="P1064" i="82"/>
  <c r="P1063" i="82"/>
  <c r="P1062" i="82"/>
  <c r="P1061" i="82"/>
  <c r="P1060" i="82"/>
  <c r="P1059" i="82"/>
  <c r="M1054" i="82"/>
  <c r="N1045" i="82"/>
  <c r="L1045" i="82"/>
  <c r="K1045" i="82"/>
  <c r="I1045" i="82"/>
  <c r="H1045" i="82"/>
  <c r="J1043" i="82"/>
  <c r="J1042" i="82"/>
  <c r="J1041" i="82"/>
  <c r="J1040" i="82"/>
  <c r="J1039" i="82"/>
  <c r="J1038" i="82"/>
  <c r="AR1037" i="82"/>
  <c r="AQ1037" i="82"/>
  <c r="AP1037" i="82"/>
  <c r="AO1037" i="82"/>
  <c r="AN1037" i="82"/>
  <c r="AM1037" i="82"/>
  <c r="AL1037" i="82"/>
  <c r="AK1037" i="82"/>
  <c r="AJ1037" i="82"/>
  <c r="AI1037" i="82"/>
  <c r="AH1037" i="82"/>
  <c r="AG1037" i="82"/>
  <c r="AF1037" i="82"/>
  <c r="AE1037" i="82"/>
  <c r="AD1037" i="82"/>
  <c r="J1037" i="82"/>
  <c r="J1036" i="82"/>
  <c r="J1035" i="82"/>
  <c r="J1034" i="82"/>
  <c r="J1033" i="82"/>
  <c r="J1032" i="82"/>
  <c r="AD1027" i="82"/>
  <c r="AD1024" i="82"/>
  <c r="B1024" i="82"/>
  <c r="AR1023" i="82"/>
  <c r="B1023" i="82"/>
  <c r="Q1022" i="82"/>
  <c r="AR1002" i="82"/>
  <c r="AQ1002" i="82"/>
  <c r="AP1002" i="82"/>
  <c r="AO1002" i="82"/>
  <c r="AN1002" i="82"/>
  <c r="AM1002" i="82"/>
  <c r="AL1002" i="82"/>
  <c r="AK1002" i="82"/>
  <c r="AJ1002" i="82"/>
  <c r="AI1002" i="82"/>
  <c r="AH1002" i="82"/>
  <c r="AG1002" i="82"/>
  <c r="AF1002" i="82"/>
  <c r="AE1002" i="82"/>
  <c r="AD1002" i="82"/>
  <c r="B997" i="82"/>
  <c r="B994" i="82"/>
  <c r="Q993" i="82"/>
  <c r="AD992" i="82"/>
  <c r="AD989" i="82"/>
  <c r="AR988" i="82"/>
  <c r="AR971" i="82"/>
  <c r="AQ971" i="82"/>
  <c r="AP971" i="82"/>
  <c r="AO971" i="82"/>
  <c r="AG971" i="82"/>
  <c r="AF971" i="82"/>
  <c r="AE971" i="82"/>
  <c r="AD971" i="82"/>
  <c r="B971" i="82"/>
  <c r="B968" i="82"/>
  <c r="Q967" i="82"/>
  <c r="AR966" i="82"/>
  <c r="AG966" i="82"/>
  <c r="AS963" i="82"/>
  <c r="AH963" i="82"/>
  <c r="AS961" i="82"/>
  <c r="G958" i="82"/>
  <c r="F958" i="82"/>
  <c r="AD949" i="82" s="1"/>
  <c r="G957" i="82"/>
  <c r="F957" i="82"/>
  <c r="AD948" i="82" s="1"/>
  <c r="AO948" i="82" s="1"/>
  <c r="G956" i="82"/>
  <c r="F956" i="82"/>
  <c r="AD947" i="82" s="1"/>
  <c r="AO947" i="82" s="1"/>
  <c r="G955" i="82"/>
  <c r="F955" i="82"/>
  <c r="G954" i="82"/>
  <c r="F954" i="82"/>
  <c r="AD945" i="82" s="1"/>
  <c r="AO945" i="82" s="1"/>
  <c r="G953" i="82"/>
  <c r="F953" i="82"/>
  <c r="AD944" i="82" s="1"/>
  <c r="AO944" i="82" s="1"/>
  <c r="G952" i="82"/>
  <c r="F952" i="82"/>
  <c r="G951" i="82"/>
  <c r="F951" i="82"/>
  <c r="AD942" i="82" s="1"/>
  <c r="G950" i="82"/>
  <c r="F950" i="82"/>
  <c r="G949" i="82"/>
  <c r="F949" i="82"/>
  <c r="AD940" i="82" s="1"/>
  <c r="G948" i="82"/>
  <c r="F948" i="82"/>
  <c r="AF974" i="82" s="1"/>
  <c r="G947" i="82"/>
  <c r="F947" i="82"/>
  <c r="B942" i="82"/>
  <c r="B939" i="82"/>
  <c r="Q938" i="82"/>
  <c r="AF930" i="82"/>
  <c r="AS929" i="82"/>
  <c r="AN929" i="82"/>
  <c r="A920" i="82"/>
  <c r="A918" i="82"/>
  <c r="Q914" i="82"/>
  <c r="P908" i="82"/>
  <c r="O908" i="82"/>
  <c r="N908" i="82"/>
  <c r="L908" i="82"/>
  <c r="K908" i="82"/>
  <c r="J908" i="82"/>
  <c r="H908" i="82"/>
  <c r="G908" i="82"/>
  <c r="F908" i="82"/>
  <c r="D908" i="82"/>
  <c r="C908" i="82"/>
  <c r="B908" i="82"/>
  <c r="P907" i="82"/>
  <c r="O907" i="82"/>
  <c r="N907" i="82"/>
  <c r="L907" i="82"/>
  <c r="K907" i="82"/>
  <c r="J907" i="82"/>
  <c r="H907" i="82"/>
  <c r="G907" i="82"/>
  <c r="F907" i="82"/>
  <c r="D907" i="82"/>
  <c r="C907" i="82"/>
  <c r="B907" i="82"/>
  <c r="P906" i="82"/>
  <c r="O906" i="82"/>
  <c r="N906" i="82"/>
  <c r="L906" i="82"/>
  <c r="K906" i="82"/>
  <c r="J906" i="82"/>
  <c r="H906" i="82"/>
  <c r="G906" i="82"/>
  <c r="F906" i="82"/>
  <c r="D906" i="82"/>
  <c r="C906" i="82"/>
  <c r="B906" i="82"/>
  <c r="P905" i="82"/>
  <c r="O905" i="82"/>
  <c r="N905" i="82"/>
  <c r="L905" i="82"/>
  <c r="K905" i="82"/>
  <c r="J905" i="82"/>
  <c r="H905" i="82"/>
  <c r="G905" i="82"/>
  <c r="F905" i="82"/>
  <c r="D905" i="82"/>
  <c r="C905" i="82"/>
  <c r="B905" i="82"/>
  <c r="P904" i="82"/>
  <c r="O904" i="82"/>
  <c r="N904" i="82"/>
  <c r="L904" i="82"/>
  <c r="K904" i="82"/>
  <c r="J904" i="82"/>
  <c r="H904" i="82"/>
  <c r="G904" i="82"/>
  <c r="F904" i="82"/>
  <c r="D904" i="82"/>
  <c r="C904" i="82"/>
  <c r="B904" i="82"/>
  <c r="P903" i="82"/>
  <c r="O903" i="82"/>
  <c r="N903" i="82"/>
  <c r="L903" i="82"/>
  <c r="K903" i="82"/>
  <c r="J903" i="82"/>
  <c r="H903" i="82"/>
  <c r="G903" i="82"/>
  <c r="F903" i="82"/>
  <c r="D903" i="82"/>
  <c r="C903" i="82"/>
  <c r="B903" i="82"/>
  <c r="O900" i="82"/>
  <c r="K900" i="82"/>
  <c r="J900" i="82"/>
  <c r="C899" i="82"/>
  <c r="P896" i="82"/>
  <c r="O896" i="82"/>
  <c r="N896" i="82"/>
  <c r="L896" i="82"/>
  <c r="K896" i="82"/>
  <c r="J896" i="82"/>
  <c r="H896" i="82"/>
  <c r="G896" i="82"/>
  <c r="F896" i="82"/>
  <c r="D896" i="82"/>
  <c r="C896" i="82"/>
  <c r="B896" i="82"/>
  <c r="P895" i="82"/>
  <c r="O895" i="82"/>
  <c r="N895" i="82"/>
  <c r="L895" i="82"/>
  <c r="K895" i="82"/>
  <c r="J895" i="82"/>
  <c r="H895" i="82"/>
  <c r="G895" i="82"/>
  <c r="F895" i="82"/>
  <c r="C895" i="82"/>
  <c r="B895" i="82"/>
  <c r="P894" i="82"/>
  <c r="O894" i="82"/>
  <c r="N894" i="82"/>
  <c r="L894" i="82"/>
  <c r="K894" i="82"/>
  <c r="J894" i="82"/>
  <c r="H894" i="82"/>
  <c r="G894" i="82"/>
  <c r="F894" i="82"/>
  <c r="D894" i="82"/>
  <c r="C894" i="82"/>
  <c r="B894" i="82"/>
  <c r="P891" i="82"/>
  <c r="O891" i="82"/>
  <c r="N891" i="82"/>
  <c r="L891" i="82"/>
  <c r="K891" i="82"/>
  <c r="J891" i="82"/>
  <c r="H891" i="82"/>
  <c r="G891" i="82"/>
  <c r="F891" i="82"/>
  <c r="D891" i="82"/>
  <c r="C891" i="82"/>
  <c r="B891" i="82"/>
  <c r="P890" i="82"/>
  <c r="O890" i="82"/>
  <c r="N890" i="82"/>
  <c r="L890" i="82"/>
  <c r="K890" i="82"/>
  <c r="J890" i="82"/>
  <c r="H890" i="82"/>
  <c r="G890" i="82"/>
  <c r="F890" i="82"/>
  <c r="D890" i="82"/>
  <c r="C890" i="82"/>
  <c r="B890" i="82"/>
  <c r="P889" i="82"/>
  <c r="O889" i="82"/>
  <c r="N889" i="82"/>
  <c r="L889" i="82"/>
  <c r="K889" i="82"/>
  <c r="J889" i="82"/>
  <c r="H889" i="82"/>
  <c r="G889" i="82"/>
  <c r="F889" i="82"/>
  <c r="D889" i="82"/>
  <c r="C889" i="82"/>
  <c r="B889" i="82"/>
  <c r="P888" i="82"/>
  <c r="O888" i="82"/>
  <c r="N888" i="82"/>
  <c r="L888" i="82"/>
  <c r="K888" i="82"/>
  <c r="J888" i="82"/>
  <c r="H888" i="82"/>
  <c r="G888" i="82"/>
  <c r="F888" i="82"/>
  <c r="D888" i="82"/>
  <c r="C888" i="82"/>
  <c r="B888" i="82"/>
  <c r="P887" i="82"/>
  <c r="O887" i="82"/>
  <c r="N887" i="82"/>
  <c r="L887" i="82"/>
  <c r="K887" i="82"/>
  <c r="J887" i="82"/>
  <c r="H887" i="82"/>
  <c r="G887" i="82"/>
  <c r="F887" i="82"/>
  <c r="D887" i="82"/>
  <c r="C887" i="82"/>
  <c r="B887" i="82"/>
  <c r="A879" i="82"/>
  <c r="A877" i="82"/>
  <c r="Q873" i="82"/>
  <c r="Q866" i="82"/>
  <c r="M866" i="82"/>
  <c r="I866" i="82"/>
  <c r="E866" i="82"/>
  <c r="P864" i="82"/>
  <c r="O864" i="82"/>
  <c r="N864" i="82"/>
  <c r="L864" i="82"/>
  <c r="K864" i="82"/>
  <c r="J864" i="82"/>
  <c r="H864" i="82"/>
  <c r="G864" i="82"/>
  <c r="F864" i="82"/>
  <c r="D864" i="82"/>
  <c r="C864" i="82"/>
  <c r="B864" i="82"/>
  <c r="P863" i="82"/>
  <c r="O863" i="82"/>
  <c r="N863" i="82"/>
  <c r="L863" i="82"/>
  <c r="K863" i="82"/>
  <c r="J863" i="82"/>
  <c r="H863" i="82"/>
  <c r="G863" i="82"/>
  <c r="F863" i="82"/>
  <c r="D863" i="82"/>
  <c r="C863" i="82"/>
  <c r="B863" i="82"/>
  <c r="Q860" i="82"/>
  <c r="M860" i="82"/>
  <c r="I860" i="82"/>
  <c r="E860" i="82"/>
  <c r="Q859" i="82"/>
  <c r="M859" i="82"/>
  <c r="I859" i="82"/>
  <c r="E859" i="82"/>
  <c r="Q857" i="82"/>
  <c r="M857" i="82"/>
  <c r="I857" i="82"/>
  <c r="E857" i="82"/>
  <c r="Q856" i="82"/>
  <c r="M856" i="82"/>
  <c r="I856" i="82"/>
  <c r="E856" i="82"/>
  <c r="P853" i="82"/>
  <c r="O853" i="82"/>
  <c r="N853" i="82"/>
  <c r="L853" i="82"/>
  <c r="K853" i="82"/>
  <c r="J853" i="82"/>
  <c r="H853" i="82"/>
  <c r="G853" i="82"/>
  <c r="F853" i="82"/>
  <c r="D853" i="82"/>
  <c r="C853" i="82"/>
  <c r="B853" i="82"/>
  <c r="Q852" i="82"/>
  <c r="M852" i="82"/>
  <c r="I852" i="82"/>
  <c r="E852" i="82"/>
  <c r="Q851" i="82"/>
  <c r="M851" i="82"/>
  <c r="I851" i="82"/>
  <c r="E851" i="82"/>
  <c r="Q849" i="82"/>
  <c r="M849" i="82"/>
  <c r="I849" i="82"/>
  <c r="E849" i="82"/>
  <c r="Q848" i="82"/>
  <c r="M848" i="82"/>
  <c r="I848" i="82"/>
  <c r="E848" i="82"/>
  <c r="Q847" i="82"/>
  <c r="M847" i="82"/>
  <c r="I847" i="82"/>
  <c r="E847" i="82"/>
  <c r="Q845" i="82"/>
  <c r="M845" i="82"/>
  <c r="I845" i="82"/>
  <c r="E845" i="82"/>
  <c r="Q844" i="82"/>
  <c r="M844" i="82"/>
  <c r="I844" i="82"/>
  <c r="E844" i="82"/>
  <c r="P841" i="82"/>
  <c r="O841" i="82"/>
  <c r="N841" i="82"/>
  <c r="L841" i="82"/>
  <c r="K841" i="82"/>
  <c r="J841" i="82"/>
  <c r="H841" i="82"/>
  <c r="G841" i="82"/>
  <c r="F841" i="82"/>
  <c r="D841" i="82"/>
  <c r="C841" i="82"/>
  <c r="B841" i="82"/>
  <c r="Q839" i="82"/>
  <c r="M839" i="82"/>
  <c r="I839" i="82"/>
  <c r="E839" i="82"/>
  <c r="P836" i="82"/>
  <c r="O836" i="82"/>
  <c r="N836" i="82"/>
  <c r="L836" i="82"/>
  <c r="K836" i="82"/>
  <c r="J836" i="82"/>
  <c r="H836" i="82"/>
  <c r="G836" i="82"/>
  <c r="F836" i="82"/>
  <c r="D836" i="82"/>
  <c r="C836" i="82"/>
  <c r="B836" i="82"/>
  <c r="Q834" i="82"/>
  <c r="M834" i="82"/>
  <c r="I834" i="82"/>
  <c r="E834" i="82"/>
  <c r="Q831" i="82"/>
  <c r="M831" i="82"/>
  <c r="I831" i="82"/>
  <c r="E831" i="82"/>
  <c r="Q830" i="82"/>
  <c r="M830" i="82"/>
  <c r="I830" i="82"/>
  <c r="E830" i="82"/>
  <c r="Q829" i="82"/>
  <c r="M829" i="82"/>
  <c r="I829" i="82"/>
  <c r="E829" i="82"/>
  <c r="Q828" i="82"/>
  <c r="M828" i="82"/>
  <c r="I828" i="82"/>
  <c r="E828" i="82"/>
  <c r="Q827" i="82"/>
  <c r="M827" i="82"/>
  <c r="I827" i="82"/>
  <c r="E827" i="82"/>
  <c r="Q826" i="82"/>
  <c r="M826" i="82"/>
  <c r="I826" i="82"/>
  <c r="E826" i="82"/>
  <c r="Q814" i="82"/>
  <c r="M814" i="82"/>
  <c r="I814" i="82"/>
  <c r="E814" i="82"/>
  <c r="Q813" i="82"/>
  <c r="M813" i="82"/>
  <c r="I813" i="82"/>
  <c r="E813" i="82"/>
  <c r="P811" i="82"/>
  <c r="O811" i="82"/>
  <c r="N811" i="82"/>
  <c r="L811" i="82"/>
  <c r="K811" i="82"/>
  <c r="J811" i="82"/>
  <c r="H811" i="82"/>
  <c r="G811" i="82"/>
  <c r="F811" i="82"/>
  <c r="D811" i="82"/>
  <c r="C811" i="82"/>
  <c r="B811" i="82"/>
  <c r="P810" i="82"/>
  <c r="O810" i="82"/>
  <c r="N810" i="82"/>
  <c r="L810" i="82"/>
  <c r="K810" i="82"/>
  <c r="J810" i="82"/>
  <c r="H810" i="82"/>
  <c r="G810" i="82"/>
  <c r="F810" i="82"/>
  <c r="D810" i="82"/>
  <c r="C810" i="82"/>
  <c r="B810" i="82"/>
  <c r="P804" i="82"/>
  <c r="O804" i="82"/>
  <c r="N804" i="82"/>
  <c r="L804" i="82"/>
  <c r="K804" i="82"/>
  <c r="J804" i="82"/>
  <c r="H804" i="82"/>
  <c r="G804" i="82"/>
  <c r="F804" i="82"/>
  <c r="D804" i="82"/>
  <c r="C804" i="82"/>
  <c r="B804" i="82"/>
  <c r="P800" i="82"/>
  <c r="O800" i="82"/>
  <c r="N800" i="82"/>
  <c r="L800" i="82"/>
  <c r="K800" i="82"/>
  <c r="J800" i="82"/>
  <c r="H800" i="82"/>
  <c r="G800" i="82"/>
  <c r="F800" i="82"/>
  <c r="D800" i="82"/>
  <c r="C800" i="82"/>
  <c r="B800" i="82"/>
  <c r="P796" i="82"/>
  <c r="O796" i="82"/>
  <c r="N796" i="82"/>
  <c r="L796" i="82"/>
  <c r="K796" i="82"/>
  <c r="J796" i="82"/>
  <c r="H796" i="82"/>
  <c r="G796" i="82"/>
  <c r="F796" i="82"/>
  <c r="D796" i="82"/>
  <c r="C796" i="82"/>
  <c r="B796" i="82"/>
  <c r="Q792" i="82"/>
  <c r="M792" i="82"/>
  <c r="I792" i="82"/>
  <c r="E792" i="82"/>
  <c r="P782" i="82"/>
  <c r="O782" i="82"/>
  <c r="N782" i="82"/>
  <c r="L782" i="82"/>
  <c r="K782" i="82"/>
  <c r="J782" i="82"/>
  <c r="H782" i="82"/>
  <c r="G782" i="82"/>
  <c r="F782" i="82"/>
  <c r="D782" i="82"/>
  <c r="C782" i="82"/>
  <c r="B782" i="82"/>
  <c r="Q780" i="82"/>
  <c r="M780" i="82"/>
  <c r="I780" i="82"/>
  <c r="E780" i="82"/>
  <c r="Q770" i="82"/>
  <c r="M770" i="82"/>
  <c r="I770" i="82"/>
  <c r="E770" i="82"/>
  <c r="P768" i="82"/>
  <c r="O768" i="82"/>
  <c r="N768" i="82"/>
  <c r="L768" i="82"/>
  <c r="K768" i="82"/>
  <c r="J768" i="82"/>
  <c r="H768" i="82"/>
  <c r="G768" i="82"/>
  <c r="F768" i="82"/>
  <c r="D768" i="82"/>
  <c r="C768" i="82"/>
  <c r="B768" i="82"/>
  <c r="P767" i="82"/>
  <c r="O767" i="82"/>
  <c r="N767" i="82"/>
  <c r="L767" i="82"/>
  <c r="K767" i="82"/>
  <c r="J767" i="82"/>
  <c r="H767" i="82"/>
  <c r="G767" i="82"/>
  <c r="F767" i="82"/>
  <c r="D767" i="82"/>
  <c r="C767" i="82"/>
  <c r="B767" i="82"/>
  <c r="Q764" i="82"/>
  <c r="M764" i="82"/>
  <c r="I764" i="82"/>
  <c r="E764" i="82"/>
  <c r="Q763" i="82"/>
  <c r="M763" i="82"/>
  <c r="I763" i="82"/>
  <c r="E763" i="82"/>
  <c r="Q762" i="82"/>
  <c r="M762" i="82"/>
  <c r="I762" i="82"/>
  <c r="E762" i="82"/>
  <c r="Q761" i="82"/>
  <c r="M761" i="82"/>
  <c r="I761" i="82"/>
  <c r="E761" i="82"/>
  <c r="P757" i="82"/>
  <c r="O757" i="82"/>
  <c r="N757" i="82"/>
  <c r="L757" i="82"/>
  <c r="J757" i="82"/>
  <c r="H757" i="82"/>
  <c r="G757" i="82"/>
  <c r="F757" i="82"/>
  <c r="D757" i="82"/>
  <c r="C757" i="82"/>
  <c r="B757" i="82"/>
  <c r="Q756" i="82"/>
  <c r="M756" i="82"/>
  <c r="I756" i="82"/>
  <c r="E756" i="82"/>
  <c r="Q755" i="82"/>
  <c r="M755" i="82"/>
  <c r="I755" i="82"/>
  <c r="E755" i="82"/>
  <c r="Q754" i="82"/>
  <c r="M754" i="82"/>
  <c r="I754" i="82"/>
  <c r="E754" i="82"/>
  <c r="Q753" i="82"/>
  <c r="M753" i="82"/>
  <c r="I753" i="82"/>
  <c r="E753" i="82"/>
  <c r="Q752" i="82"/>
  <c r="M752" i="82"/>
  <c r="I752" i="82"/>
  <c r="E752" i="82"/>
  <c r="Q751" i="82"/>
  <c r="M751" i="82"/>
  <c r="I751" i="82"/>
  <c r="E751" i="82"/>
  <c r="Q750" i="82"/>
  <c r="M750" i="82"/>
  <c r="I750" i="82"/>
  <c r="E750" i="82"/>
  <c r="Q749" i="82"/>
  <c r="M749" i="82"/>
  <c r="I749" i="82"/>
  <c r="E749" i="82"/>
  <c r="Q748" i="82"/>
  <c r="M748" i="82"/>
  <c r="I748" i="82"/>
  <c r="E748" i="82"/>
  <c r="Q746" i="82"/>
  <c r="I746" i="82"/>
  <c r="E746" i="82"/>
  <c r="P743" i="82"/>
  <c r="O743" i="82"/>
  <c r="N743" i="82"/>
  <c r="L743" i="82"/>
  <c r="K743" i="82"/>
  <c r="J743" i="82"/>
  <c r="H743" i="82"/>
  <c r="G743" i="82"/>
  <c r="F743" i="82"/>
  <c r="D743" i="82"/>
  <c r="C743" i="82"/>
  <c r="B743" i="82"/>
  <c r="P739" i="82"/>
  <c r="O739" i="82"/>
  <c r="N739" i="82"/>
  <c r="L739" i="82"/>
  <c r="K739" i="82"/>
  <c r="J739" i="82"/>
  <c r="H739" i="82"/>
  <c r="G739" i="82"/>
  <c r="F739" i="82"/>
  <c r="D739" i="82"/>
  <c r="C739" i="82"/>
  <c r="B739" i="82"/>
  <c r="Q735" i="82"/>
  <c r="M735" i="82"/>
  <c r="I735" i="82"/>
  <c r="E735" i="82"/>
  <c r="Q734" i="82"/>
  <c r="M734" i="82"/>
  <c r="I734" i="82"/>
  <c r="E734" i="82"/>
  <c r="Q733" i="82"/>
  <c r="M733" i="82"/>
  <c r="I733" i="82"/>
  <c r="E733" i="82"/>
  <c r="Q732" i="82"/>
  <c r="M732" i="82"/>
  <c r="I732" i="82"/>
  <c r="E732" i="82"/>
  <c r="Q731" i="82"/>
  <c r="M731" i="82"/>
  <c r="I731" i="82"/>
  <c r="E731" i="82"/>
  <c r="Q730" i="82"/>
  <c r="M730" i="82"/>
  <c r="I730" i="82"/>
  <c r="E730" i="82"/>
  <c r="Q718" i="82"/>
  <c r="M718" i="82"/>
  <c r="I718" i="82"/>
  <c r="E718" i="82"/>
  <c r="P716" i="82"/>
  <c r="O716" i="82"/>
  <c r="N716" i="82"/>
  <c r="L716" i="82"/>
  <c r="K716" i="82"/>
  <c r="J716" i="82"/>
  <c r="H716" i="82"/>
  <c r="G716" i="82"/>
  <c r="F716" i="82"/>
  <c r="D716" i="82"/>
  <c r="C716" i="82"/>
  <c r="B716" i="82"/>
  <c r="P715" i="82"/>
  <c r="O715" i="82"/>
  <c r="N715" i="82"/>
  <c r="L715" i="82"/>
  <c r="K715" i="82"/>
  <c r="J715" i="82"/>
  <c r="H715" i="82"/>
  <c r="G715" i="82"/>
  <c r="F715" i="82"/>
  <c r="D715" i="82"/>
  <c r="C715" i="82"/>
  <c r="B715" i="82"/>
  <c r="Q712" i="82"/>
  <c r="M712" i="82"/>
  <c r="I712" i="82"/>
  <c r="E712" i="82"/>
  <c r="P708" i="82"/>
  <c r="O708" i="82"/>
  <c r="N708" i="82"/>
  <c r="L708" i="82"/>
  <c r="K708" i="82"/>
  <c r="J708" i="82"/>
  <c r="H708" i="82"/>
  <c r="G708" i="82"/>
  <c r="F708" i="82"/>
  <c r="D708" i="82"/>
  <c r="C708" i="82"/>
  <c r="B708" i="82"/>
  <c r="P704" i="82"/>
  <c r="O704" i="82"/>
  <c r="N704" i="82"/>
  <c r="L704" i="82"/>
  <c r="K704" i="82"/>
  <c r="J704" i="82"/>
  <c r="H704" i="82"/>
  <c r="G704" i="82"/>
  <c r="F704" i="82"/>
  <c r="D704" i="82"/>
  <c r="C704" i="82"/>
  <c r="B704" i="82"/>
  <c r="P700" i="82"/>
  <c r="O700" i="82"/>
  <c r="N700" i="82"/>
  <c r="L700" i="82"/>
  <c r="K700" i="82"/>
  <c r="J700" i="82"/>
  <c r="H700" i="82"/>
  <c r="G700" i="82"/>
  <c r="F700" i="82"/>
  <c r="D700" i="82"/>
  <c r="C700" i="82"/>
  <c r="B700" i="82"/>
  <c r="Q696" i="82"/>
  <c r="M696" i="82"/>
  <c r="I696" i="82"/>
  <c r="E696" i="82"/>
  <c r="Q695" i="82"/>
  <c r="M695" i="82"/>
  <c r="I695" i="82"/>
  <c r="E695" i="82"/>
  <c r="Q694" i="82"/>
  <c r="P684" i="82"/>
  <c r="O684" i="82"/>
  <c r="N684" i="82"/>
  <c r="L684" i="82"/>
  <c r="K684" i="82"/>
  <c r="J684" i="82"/>
  <c r="H684" i="82"/>
  <c r="G684" i="82"/>
  <c r="F684" i="82"/>
  <c r="D684" i="82"/>
  <c r="C684" i="82"/>
  <c r="B684" i="82"/>
  <c r="Q682" i="82"/>
  <c r="M682" i="82"/>
  <c r="I682" i="82"/>
  <c r="E682" i="82"/>
  <c r="Q672" i="82"/>
  <c r="M672" i="82"/>
  <c r="I672" i="82"/>
  <c r="E672" i="82"/>
  <c r="P670" i="82"/>
  <c r="O670" i="82"/>
  <c r="N670" i="82"/>
  <c r="L670" i="82"/>
  <c r="K670" i="82"/>
  <c r="J670" i="82"/>
  <c r="H670" i="82"/>
  <c r="G670" i="82"/>
  <c r="F670" i="82"/>
  <c r="D670" i="82"/>
  <c r="C670" i="82"/>
  <c r="B670" i="82"/>
  <c r="P669" i="82"/>
  <c r="O669" i="82"/>
  <c r="N669" i="82"/>
  <c r="L669" i="82"/>
  <c r="K669" i="82"/>
  <c r="J669" i="82"/>
  <c r="H669" i="82"/>
  <c r="G669" i="82"/>
  <c r="F669" i="82"/>
  <c r="D669" i="82"/>
  <c r="C669" i="82"/>
  <c r="B669" i="82"/>
  <c r="Q668" i="82"/>
  <c r="M668" i="82"/>
  <c r="I668" i="82"/>
  <c r="E668" i="82"/>
  <c r="Q667" i="82"/>
  <c r="M667" i="82"/>
  <c r="I667" i="82"/>
  <c r="E667" i="82"/>
  <c r="Q666" i="82"/>
  <c r="M666" i="82"/>
  <c r="I666" i="82"/>
  <c r="E666" i="82"/>
  <c r="Q664" i="82"/>
  <c r="M664" i="82"/>
  <c r="I664" i="82"/>
  <c r="E664" i="82"/>
  <c r="Q663" i="82"/>
  <c r="M663" i="82"/>
  <c r="I663" i="82"/>
  <c r="E663" i="82"/>
  <c r="Q661" i="82"/>
  <c r="M661" i="82"/>
  <c r="I661" i="82"/>
  <c r="E661" i="82"/>
  <c r="Q660" i="82"/>
  <c r="M660" i="82"/>
  <c r="I660" i="82"/>
  <c r="E660" i="82"/>
  <c r="Q659" i="82"/>
  <c r="M659" i="82"/>
  <c r="I659" i="82"/>
  <c r="E659" i="82"/>
  <c r="Q658" i="82"/>
  <c r="M658" i="82"/>
  <c r="I658" i="82"/>
  <c r="E658" i="82"/>
  <c r="Q656" i="82"/>
  <c r="M656" i="82"/>
  <c r="I656" i="82"/>
  <c r="E656" i="82"/>
  <c r="Q655" i="82"/>
  <c r="M655" i="82"/>
  <c r="I655" i="82"/>
  <c r="E655" i="82"/>
  <c r="P652" i="82"/>
  <c r="O652" i="82"/>
  <c r="N652" i="82"/>
  <c r="L652" i="82"/>
  <c r="K652" i="82"/>
  <c r="J652" i="82"/>
  <c r="H652" i="82"/>
  <c r="G652" i="82"/>
  <c r="F652" i="82"/>
  <c r="D652" i="82"/>
  <c r="C652" i="82"/>
  <c r="B652" i="82"/>
  <c r="Q651" i="82"/>
  <c r="M651" i="82"/>
  <c r="I651" i="82"/>
  <c r="E651" i="82"/>
  <c r="Q650" i="82"/>
  <c r="M650" i="82"/>
  <c r="I650" i="82"/>
  <c r="E650" i="82"/>
  <c r="Q648" i="82"/>
  <c r="M648" i="82"/>
  <c r="I648" i="82"/>
  <c r="E648" i="82"/>
  <c r="Q647" i="82"/>
  <c r="M647" i="82"/>
  <c r="I647" i="82"/>
  <c r="E647" i="82"/>
  <c r="Q646" i="82"/>
  <c r="M646" i="82"/>
  <c r="I646" i="82"/>
  <c r="E646" i="82"/>
  <c r="Q645" i="82"/>
  <c r="M645" i="82"/>
  <c r="I645" i="82"/>
  <c r="E645" i="82"/>
  <c r="P641" i="82"/>
  <c r="O641" i="82"/>
  <c r="N641" i="82"/>
  <c r="L641" i="82"/>
  <c r="K641" i="82"/>
  <c r="J641" i="82"/>
  <c r="H641" i="82"/>
  <c r="G641" i="82"/>
  <c r="F641" i="82"/>
  <c r="D641" i="82"/>
  <c r="C641" i="82"/>
  <c r="B641" i="82"/>
  <c r="Q639" i="82"/>
  <c r="M639" i="82"/>
  <c r="I639" i="82"/>
  <c r="E639" i="82"/>
  <c r="Q638" i="82"/>
  <c r="M638" i="82"/>
  <c r="I638" i="82"/>
  <c r="E638" i="82"/>
  <c r="P635" i="82"/>
  <c r="O635" i="82"/>
  <c r="N635" i="82"/>
  <c r="L635" i="82"/>
  <c r="K635" i="82"/>
  <c r="J635" i="82"/>
  <c r="H635" i="82"/>
  <c r="G635" i="82"/>
  <c r="F635" i="82"/>
  <c r="D635" i="82"/>
  <c r="C635" i="82"/>
  <c r="B635" i="82"/>
  <c r="Q633" i="82"/>
  <c r="M633" i="82"/>
  <c r="I633" i="82"/>
  <c r="E633" i="82"/>
  <c r="Q631" i="82"/>
  <c r="M631" i="82"/>
  <c r="I631" i="82"/>
  <c r="E631" i="82"/>
  <c r="Q629" i="82"/>
  <c r="M629" i="82"/>
  <c r="I629" i="82"/>
  <c r="E629" i="82"/>
  <c r="Q628" i="82"/>
  <c r="M628" i="82"/>
  <c r="I628" i="82"/>
  <c r="E628" i="82"/>
  <c r="Q627" i="82"/>
  <c r="M627" i="82"/>
  <c r="I627" i="82"/>
  <c r="Q626" i="82"/>
  <c r="M626" i="82"/>
  <c r="I626" i="82"/>
  <c r="E626" i="82"/>
  <c r="Q625" i="82"/>
  <c r="M625" i="82"/>
  <c r="I625" i="82"/>
  <c r="E625" i="82"/>
  <c r="Q624" i="82"/>
  <c r="M624" i="82"/>
  <c r="I624" i="82"/>
  <c r="E624" i="82"/>
  <c r="Q623" i="82"/>
  <c r="M623" i="82"/>
  <c r="I623" i="82"/>
  <c r="E623" i="82"/>
  <c r="Q622" i="82"/>
  <c r="M622" i="82"/>
  <c r="I622" i="82"/>
  <c r="E622" i="82"/>
  <c r="Q621" i="82"/>
  <c r="M621" i="82"/>
  <c r="I621" i="82"/>
  <c r="E621" i="82"/>
  <c r="Q620" i="82"/>
  <c r="M620" i="82"/>
  <c r="I620" i="82"/>
  <c r="E620" i="82"/>
  <c r="Q619" i="82"/>
  <c r="M619" i="82"/>
  <c r="I619" i="82"/>
  <c r="E619" i="82"/>
  <c r="Q618" i="82"/>
  <c r="M618" i="82"/>
  <c r="I618" i="82"/>
  <c r="E618" i="82"/>
  <c r="Q606" i="82"/>
  <c r="M606" i="82"/>
  <c r="I606" i="82"/>
  <c r="E606" i="82"/>
  <c r="P604" i="82"/>
  <c r="O604" i="82"/>
  <c r="N604" i="82"/>
  <c r="L604" i="82"/>
  <c r="K604" i="82"/>
  <c r="J604" i="82"/>
  <c r="H604" i="82"/>
  <c r="G604" i="82"/>
  <c r="F604" i="82"/>
  <c r="D604" i="82"/>
  <c r="C604" i="82"/>
  <c r="B604" i="82"/>
  <c r="P603" i="82"/>
  <c r="O603" i="82"/>
  <c r="N603" i="82"/>
  <c r="L603" i="82"/>
  <c r="K603" i="82"/>
  <c r="J603" i="82"/>
  <c r="H603" i="82"/>
  <c r="G603" i="82"/>
  <c r="F603" i="82"/>
  <c r="D603" i="82"/>
  <c r="C603" i="82"/>
  <c r="B603" i="82"/>
  <c r="Q602" i="82"/>
  <c r="M602" i="82"/>
  <c r="I602" i="82"/>
  <c r="E602" i="82"/>
  <c r="Q601" i="82"/>
  <c r="M601" i="82"/>
  <c r="I601" i="82"/>
  <c r="E601" i="82"/>
  <c r="Q600" i="82"/>
  <c r="M600" i="82"/>
  <c r="I600" i="82"/>
  <c r="E600" i="82"/>
  <c r="Q599" i="82"/>
  <c r="M599" i="82"/>
  <c r="I599" i="82"/>
  <c r="E599" i="82"/>
  <c r="Q597" i="82"/>
  <c r="M597" i="82"/>
  <c r="I597" i="82"/>
  <c r="E597" i="82"/>
  <c r="P592" i="82"/>
  <c r="O592" i="82"/>
  <c r="N592" i="82"/>
  <c r="L592" i="82"/>
  <c r="K592" i="82"/>
  <c r="J592" i="82"/>
  <c r="H592" i="82"/>
  <c r="G592" i="82"/>
  <c r="F592" i="82"/>
  <c r="D592" i="82"/>
  <c r="C592" i="82"/>
  <c r="B592" i="82"/>
  <c r="Q591" i="82"/>
  <c r="M591" i="82"/>
  <c r="I591" i="82"/>
  <c r="E591" i="82"/>
  <c r="P587" i="82"/>
  <c r="O587" i="82"/>
  <c r="N587" i="82"/>
  <c r="L587" i="82"/>
  <c r="K587" i="82"/>
  <c r="J587" i="82"/>
  <c r="H587" i="82"/>
  <c r="G587" i="82"/>
  <c r="F587" i="82"/>
  <c r="D587" i="82"/>
  <c r="C587" i="82"/>
  <c r="B587" i="82"/>
  <c r="Q585" i="82"/>
  <c r="M585" i="82"/>
  <c r="I585" i="82"/>
  <c r="E585" i="82"/>
  <c r="Q584" i="82"/>
  <c r="M584" i="82"/>
  <c r="I584" i="82"/>
  <c r="E584" i="82"/>
  <c r="P581" i="82"/>
  <c r="O581" i="82"/>
  <c r="N581" i="82"/>
  <c r="L581" i="82"/>
  <c r="K581" i="82"/>
  <c r="J581" i="82"/>
  <c r="H581" i="82"/>
  <c r="G581" i="82"/>
  <c r="F581" i="82"/>
  <c r="D581" i="82"/>
  <c r="C581" i="82"/>
  <c r="B581" i="82"/>
  <c r="Q577" i="82"/>
  <c r="M577" i="82"/>
  <c r="I577" i="82"/>
  <c r="E577" i="82"/>
  <c r="Q576" i="82"/>
  <c r="M576" i="82"/>
  <c r="I576" i="82"/>
  <c r="E576" i="82"/>
  <c r="Q575" i="82"/>
  <c r="M575" i="82"/>
  <c r="I575" i="82"/>
  <c r="E575" i="82"/>
  <c r="Q574" i="82"/>
  <c r="M574" i="82"/>
  <c r="I574" i="82"/>
  <c r="E574" i="82"/>
  <c r="Q573" i="82"/>
  <c r="M573" i="82"/>
  <c r="I573" i="82"/>
  <c r="E573" i="82"/>
  <c r="Q561" i="82"/>
  <c r="M561" i="82"/>
  <c r="I561" i="82"/>
  <c r="E561" i="82"/>
  <c r="P559" i="82"/>
  <c r="O559" i="82"/>
  <c r="N559" i="82"/>
  <c r="L559" i="82"/>
  <c r="K559" i="82"/>
  <c r="J559" i="82"/>
  <c r="H559" i="82"/>
  <c r="G559" i="82"/>
  <c r="F559" i="82"/>
  <c r="D559" i="82"/>
  <c r="C559" i="82"/>
  <c r="B559" i="82"/>
  <c r="P558" i="82"/>
  <c r="O558" i="82"/>
  <c r="N558" i="82"/>
  <c r="L558" i="82"/>
  <c r="K558" i="82"/>
  <c r="J558" i="82"/>
  <c r="H558" i="82"/>
  <c r="G558" i="82"/>
  <c r="F558" i="82"/>
  <c r="D558" i="82"/>
  <c r="C558" i="82"/>
  <c r="B558" i="82"/>
  <c r="Q557" i="82"/>
  <c r="M557" i="82"/>
  <c r="I557" i="82"/>
  <c r="E557" i="82"/>
  <c r="Q556" i="82"/>
  <c r="M556" i="82"/>
  <c r="I556" i="82"/>
  <c r="E556" i="82"/>
  <c r="P550" i="82"/>
  <c r="O550" i="82"/>
  <c r="N550" i="82"/>
  <c r="L550" i="82"/>
  <c r="K550" i="82"/>
  <c r="J550" i="82"/>
  <c r="H550" i="82"/>
  <c r="G550" i="82"/>
  <c r="F550" i="82"/>
  <c r="D550" i="82"/>
  <c r="C550" i="82"/>
  <c r="B550" i="82"/>
  <c r="Q549" i="82"/>
  <c r="M549" i="82"/>
  <c r="I549" i="82"/>
  <c r="E549" i="82"/>
  <c r="Q547" i="82"/>
  <c r="M547" i="82"/>
  <c r="I547" i="82"/>
  <c r="E547" i="82"/>
  <c r="P543" i="82"/>
  <c r="O543" i="82"/>
  <c r="N543" i="82"/>
  <c r="L543" i="82"/>
  <c r="K543" i="82"/>
  <c r="J543" i="82"/>
  <c r="H543" i="82"/>
  <c r="G543" i="82"/>
  <c r="F543" i="82"/>
  <c r="C543" i="82"/>
  <c r="B543" i="82"/>
  <c r="Q541" i="82"/>
  <c r="M541" i="82"/>
  <c r="I541" i="82"/>
  <c r="E541" i="82"/>
  <c r="D895" i="82"/>
  <c r="P538" i="82"/>
  <c r="O538" i="82"/>
  <c r="N538" i="82"/>
  <c r="L538" i="82"/>
  <c r="K538" i="82"/>
  <c r="J538" i="82"/>
  <c r="H538" i="82"/>
  <c r="G538" i="82"/>
  <c r="F538" i="82"/>
  <c r="D538" i="82"/>
  <c r="C538" i="82"/>
  <c r="B538" i="82"/>
  <c r="Q535" i="82"/>
  <c r="M535" i="82"/>
  <c r="I535" i="82"/>
  <c r="E535" i="82"/>
  <c r="Q534" i="82"/>
  <c r="M534" i="82"/>
  <c r="I534" i="82"/>
  <c r="E534" i="82"/>
  <c r="Q532" i="82"/>
  <c r="M532" i="82"/>
  <c r="I532" i="82"/>
  <c r="E532" i="82"/>
  <c r="Q531" i="82"/>
  <c r="M531" i="82"/>
  <c r="I531" i="82"/>
  <c r="E531" i="82"/>
  <c r="Q530" i="82"/>
  <c r="M530" i="82"/>
  <c r="I530" i="82"/>
  <c r="E530" i="82"/>
  <c r="Q529" i="82"/>
  <c r="M529" i="82"/>
  <c r="I529" i="82"/>
  <c r="E529" i="82"/>
  <c r="Q528" i="82"/>
  <c r="M528" i="82"/>
  <c r="I528" i="82"/>
  <c r="E528" i="82"/>
  <c r="Q510" i="82"/>
  <c r="M510" i="82"/>
  <c r="I510" i="82"/>
  <c r="E510" i="82"/>
  <c r="Q509" i="82"/>
  <c r="M509" i="82"/>
  <c r="I509" i="82"/>
  <c r="E509" i="82"/>
  <c r="Q508" i="82"/>
  <c r="M508" i="82"/>
  <c r="I508" i="82"/>
  <c r="E508" i="82"/>
  <c r="P506" i="82"/>
  <c r="O506" i="82"/>
  <c r="N506" i="82"/>
  <c r="L506" i="82"/>
  <c r="K506" i="82"/>
  <c r="J506" i="82"/>
  <c r="H506" i="82"/>
  <c r="G506" i="82"/>
  <c r="F506" i="82"/>
  <c r="D506" i="82"/>
  <c r="C506" i="82"/>
  <c r="B506" i="82"/>
  <c r="P505" i="82"/>
  <c r="O505" i="82"/>
  <c r="N505" i="82"/>
  <c r="L505" i="82"/>
  <c r="K505" i="82"/>
  <c r="J505" i="82"/>
  <c r="H505" i="82"/>
  <c r="G505" i="82"/>
  <c r="F505" i="82"/>
  <c r="D505" i="82"/>
  <c r="C505" i="82"/>
  <c r="B505" i="82"/>
  <c r="Q504" i="82"/>
  <c r="M504" i="82"/>
  <c r="I504" i="82"/>
  <c r="E504" i="82"/>
  <c r="Q503" i="82"/>
  <c r="M503" i="82"/>
  <c r="I503" i="82"/>
  <c r="E503" i="82"/>
  <c r="Q502" i="82"/>
  <c r="M502" i="82"/>
  <c r="I502" i="82"/>
  <c r="E502" i="82"/>
  <c r="Q501" i="82"/>
  <c r="M501" i="82"/>
  <c r="I501" i="82"/>
  <c r="E501" i="82"/>
  <c r="Q500" i="82"/>
  <c r="M500" i="82"/>
  <c r="I500" i="82"/>
  <c r="E500" i="82"/>
  <c r="Q499" i="82"/>
  <c r="M499" i="82"/>
  <c r="I499" i="82"/>
  <c r="E499" i="82"/>
  <c r="Q498" i="82"/>
  <c r="M498" i="82"/>
  <c r="I498" i="82"/>
  <c r="E498" i="82"/>
  <c r="Q497" i="82"/>
  <c r="M497" i="82"/>
  <c r="I497" i="82"/>
  <c r="E497" i="82"/>
  <c r="Q496" i="82"/>
  <c r="M496" i="82"/>
  <c r="I496" i="82"/>
  <c r="E496" i="82"/>
  <c r="Q495" i="82"/>
  <c r="M495" i="82"/>
  <c r="I495" i="82"/>
  <c r="E495" i="82"/>
  <c r="Q493" i="82"/>
  <c r="M493" i="82"/>
  <c r="I493" i="82"/>
  <c r="E493" i="82"/>
  <c r="Q492" i="82"/>
  <c r="M492" i="82"/>
  <c r="I492" i="82"/>
  <c r="E492" i="82"/>
  <c r="Q491" i="82"/>
  <c r="M491" i="82"/>
  <c r="I491" i="82"/>
  <c r="E491" i="82"/>
  <c r="Q490" i="82"/>
  <c r="M490" i="82"/>
  <c r="I490" i="82"/>
  <c r="E490" i="82"/>
  <c r="Q489" i="82"/>
  <c r="M489" i="82"/>
  <c r="I489" i="82"/>
  <c r="E489" i="82"/>
  <c r="Q488" i="82"/>
  <c r="M488" i="82"/>
  <c r="I488" i="82"/>
  <c r="E488" i="82"/>
  <c r="Q486" i="82"/>
  <c r="M486" i="82"/>
  <c r="I486" i="82"/>
  <c r="E486" i="82"/>
  <c r="Q485" i="82"/>
  <c r="M485" i="82"/>
  <c r="I485" i="82"/>
  <c r="E485" i="82"/>
  <c r="Q483" i="82"/>
  <c r="M483" i="82"/>
  <c r="I483" i="82"/>
  <c r="E483" i="82"/>
  <c r="K480" i="82"/>
  <c r="C480" i="82"/>
  <c r="Q479" i="82"/>
  <c r="M479" i="82"/>
  <c r="I479" i="82"/>
  <c r="E479" i="82"/>
  <c r="Q478" i="82"/>
  <c r="M478" i="82"/>
  <c r="I478" i="82"/>
  <c r="E478" i="82"/>
  <c r="Q477" i="82"/>
  <c r="M477" i="82"/>
  <c r="I477" i="82"/>
  <c r="E477" i="82"/>
  <c r="Q476" i="82"/>
  <c r="M476" i="82"/>
  <c r="I476" i="82"/>
  <c r="E476" i="82"/>
  <c r="Q475" i="82"/>
  <c r="M475" i="82"/>
  <c r="I475" i="82"/>
  <c r="E475" i="82"/>
  <c r="Q474" i="82"/>
  <c r="M474" i="82"/>
  <c r="I474" i="82"/>
  <c r="E474" i="82"/>
  <c r="Q473" i="82"/>
  <c r="M473" i="82"/>
  <c r="I473" i="82"/>
  <c r="E473" i="82"/>
  <c r="Q472" i="82"/>
  <c r="M472" i="82"/>
  <c r="I472" i="82"/>
  <c r="E472" i="82"/>
  <c r="Q471" i="82"/>
  <c r="M471" i="82"/>
  <c r="I471" i="82"/>
  <c r="E471" i="82"/>
  <c r="Q470" i="82"/>
  <c r="M470" i="82"/>
  <c r="I470" i="82"/>
  <c r="E470" i="82"/>
  <c r="Q468" i="82"/>
  <c r="M468" i="82"/>
  <c r="I468" i="82"/>
  <c r="E468" i="82"/>
  <c r="Q467" i="82"/>
  <c r="M467" i="82"/>
  <c r="I467" i="82"/>
  <c r="E467" i="82"/>
  <c r="Q466" i="82"/>
  <c r="M466" i="82"/>
  <c r="I466" i="82"/>
  <c r="E466" i="82"/>
  <c r="Q465" i="82"/>
  <c r="M465" i="82"/>
  <c r="I465" i="82"/>
  <c r="E465" i="82"/>
  <c r="Q464" i="82"/>
  <c r="M464" i="82"/>
  <c r="I464" i="82"/>
  <c r="E464" i="82"/>
  <c r="Q463" i="82"/>
  <c r="M463" i="82"/>
  <c r="I463" i="82"/>
  <c r="E463" i="82"/>
  <c r="Q462" i="82"/>
  <c r="M462" i="82"/>
  <c r="I462" i="82"/>
  <c r="E462" i="82"/>
  <c r="Q461" i="82"/>
  <c r="M461" i="82"/>
  <c r="I461" i="82"/>
  <c r="E461" i="82"/>
  <c r="Q460" i="82"/>
  <c r="M460" i="82"/>
  <c r="I460" i="82"/>
  <c r="E460" i="82"/>
  <c r="Q459" i="82"/>
  <c r="M459" i="82"/>
  <c r="I459" i="82"/>
  <c r="E459" i="82"/>
  <c r="Q458" i="82"/>
  <c r="M458" i="82"/>
  <c r="I458" i="82"/>
  <c r="E458" i="82"/>
  <c r="Q457" i="82"/>
  <c r="M457" i="82"/>
  <c r="I457" i="82"/>
  <c r="E457" i="82"/>
  <c r="Q456" i="82"/>
  <c r="M456" i="82"/>
  <c r="I456" i="82"/>
  <c r="E456" i="82"/>
  <c r="Q455" i="82"/>
  <c r="M455" i="82"/>
  <c r="I455" i="82"/>
  <c r="E455" i="82"/>
  <c r="Q454" i="82"/>
  <c r="M454" i="82"/>
  <c r="I454" i="82"/>
  <c r="E454" i="82"/>
  <c r="Q453" i="82"/>
  <c r="M453" i="82"/>
  <c r="I453" i="82"/>
  <c r="E453" i="82"/>
  <c r="Q452" i="82"/>
  <c r="M452" i="82"/>
  <c r="I452" i="82"/>
  <c r="E452" i="82"/>
  <c r="Q451" i="82"/>
  <c r="M451" i="82"/>
  <c r="I451" i="82"/>
  <c r="E451" i="82"/>
  <c r="Q450" i="82"/>
  <c r="M450" i="82"/>
  <c r="I450" i="82"/>
  <c r="E450" i="82"/>
  <c r="Q449" i="82"/>
  <c r="M449" i="82"/>
  <c r="I449" i="82"/>
  <c r="E449" i="82"/>
  <c r="Q448" i="82"/>
  <c r="M448" i="82"/>
  <c r="I448" i="82"/>
  <c r="E448" i="82"/>
  <c r="Q447" i="82"/>
  <c r="M447" i="82"/>
  <c r="I447" i="82"/>
  <c r="E447" i="82"/>
  <c r="Q446" i="82"/>
  <c r="M446" i="82"/>
  <c r="I446" i="82"/>
  <c r="E446" i="82"/>
  <c r="Q445" i="82"/>
  <c r="M445" i="82"/>
  <c r="I445" i="82"/>
  <c r="E445" i="82"/>
  <c r="Q444" i="82"/>
  <c r="M444" i="82"/>
  <c r="I444" i="82"/>
  <c r="E444" i="82"/>
  <c r="Q443" i="82"/>
  <c r="M443" i="82"/>
  <c r="I443" i="82"/>
  <c r="E443" i="82"/>
  <c r="Q442" i="82"/>
  <c r="M442" i="82"/>
  <c r="I442" i="82"/>
  <c r="E442" i="82"/>
  <c r="Q441" i="82"/>
  <c r="M441" i="82"/>
  <c r="I441" i="82"/>
  <c r="Q440" i="82"/>
  <c r="M440" i="82"/>
  <c r="I440" i="82"/>
  <c r="E440" i="82"/>
  <c r="Q439" i="82"/>
  <c r="M439" i="82"/>
  <c r="I439" i="82"/>
  <c r="E439" i="82"/>
  <c r="Q438" i="82"/>
  <c r="M438" i="82"/>
  <c r="I438" i="82"/>
  <c r="E438" i="82"/>
  <c r="Q437" i="82"/>
  <c r="M437" i="82"/>
  <c r="I437" i="82"/>
  <c r="E437" i="82"/>
  <c r="B900" i="82"/>
  <c r="Q436" i="82"/>
  <c r="M436" i="82"/>
  <c r="I436" i="82"/>
  <c r="E436" i="82"/>
  <c r="Q435" i="82"/>
  <c r="M435" i="82"/>
  <c r="I435" i="82"/>
  <c r="E435" i="82"/>
  <c r="Q433" i="82"/>
  <c r="M433" i="82"/>
  <c r="I433" i="82"/>
  <c r="E433" i="82"/>
  <c r="Q432" i="82"/>
  <c r="M432" i="82"/>
  <c r="I432" i="82"/>
  <c r="E432" i="82"/>
  <c r="Q431" i="82"/>
  <c r="M431" i="82"/>
  <c r="I431" i="82"/>
  <c r="E431" i="82"/>
  <c r="Q430" i="82"/>
  <c r="M430" i="82"/>
  <c r="I430" i="82"/>
  <c r="E430" i="82"/>
  <c r="Q429" i="82"/>
  <c r="M429" i="82"/>
  <c r="I429" i="82"/>
  <c r="E429" i="82"/>
  <c r="Q428" i="82"/>
  <c r="M428" i="82"/>
  <c r="I428" i="82"/>
  <c r="E428" i="82"/>
  <c r="Q427" i="82"/>
  <c r="M427" i="82"/>
  <c r="I427" i="82"/>
  <c r="E427" i="82"/>
  <c r="Q426" i="82"/>
  <c r="M426" i="82"/>
  <c r="I426" i="82"/>
  <c r="E426" i="82"/>
  <c r="Q425" i="82"/>
  <c r="M425" i="82"/>
  <c r="I425" i="82"/>
  <c r="E425" i="82"/>
  <c r="Q424" i="82"/>
  <c r="M424" i="82"/>
  <c r="I424" i="82"/>
  <c r="E424" i="82"/>
  <c r="Q423" i="82"/>
  <c r="M423" i="82"/>
  <c r="I423" i="82"/>
  <c r="E423" i="82"/>
  <c r="Q422" i="82"/>
  <c r="M422" i="82"/>
  <c r="I422" i="82"/>
  <c r="E422" i="82"/>
  <c r="Q421" i="82"/>
  <c r="M421" i="82"/>
  <c r="I421" i="82"/>
  <c r="E421" i="82"/>
  <c r="Q420" i="82"/>
  <c r="M420" i="82"/>
  <c r="I420" i="82"/>
  <c r="E420" i="82"/>
  <c r="Q419" i="82"/>
  <c r="M419" i="82"/>
  <c r="I419" i="82"/>
  <c r="E419" i="82"/>
  <c r="Q418" i="82"/>
  <c r="M418" i="82"/>
  <c r="I418" i="82"/>
  <c r="E418" i="82"/>
  <c r="Q417" i="82"/>
  <c r="M417" i="82"/>
  <c r="I417" i="82"/>
  <c r="E417" i="82"/>
  <c r="Q416" i="82"/>
  <c r="M416" i="82"/>
  <c r="I416" i="82"/>
  <c r="E416" i="82"/>
  <c r="Q414" i="82"/>
  <c r="M414" i="82"/>
  <c r="I414" i="82"/>
  <c r="E414" i="82"/>
  <c r="Q413" i="82"/>
  <c r="M413" i="82"/>
  <c r="I413" i="82"/>
  <c r="E413" i="82"/>
  <c r="Q412" i="82"/>
  <c r="P899" i="82"/>
  <c r="N899" i="82"/>
  <c r="K899" i="82"/>
  <c r="J899" i="82"/>
  <c r="H480" i="82"/>
  <c r="F899" i="82"/>
  <c r="B899" i="82"/>
  <c r="Q411" i="82"/>
  <c r="M411" i="82"/>
  <c r="I411" i="82"/>
  <c r="E411" i="82"/>
  <c r="P408" i="82"/>
  <c r="O408" i="82"/>
  <c r="N408" i="82"/>
  <c r="L408" i="82"/>
  <c r="K408" i="82"/>
  <c r="J408" i="82"/>
  <c r="H408" i="82"/>
  <c r="G408" i="82"/>
  <c r="F408" i="82"/>
  <c r="D408" i="82"/>
  <c r="C408" i="82"/>
  <c r="B408" i="82"/>
  <c r="Q406" i="82"/>
  <c r="M406" i="82"/>
  <c r="I406" i="82"/>
  <c r="E406" i="82"/>
  <c r="Q405" i="82"/>
  <c r="M405" i="82"/>
  <c r="I405" i="82"/>
  <c r="E405" i="82"/>
  <c r="Q404" i="82"/>
  <c r="M404" i="82"/>
  <c r="I404" i="82"/>
  <c r="E404" i="82"/>
  <c r="Q403" i="82"/>
  <c r="M403" i="82"/>
  <c r="I403" i="82"/>
  <c r="E403" i="82"/>
  <c r="AK402" i="82"/>
  <c r="AJ402" i="82"/>
  <c r="AI402" i="82"/>
  <c r="AG402" i="82"/>
  <c r="AF402" i="82"/>
  <c r="AE402" i="82"/>
  <c r="Y402" i="82"/>
  <c r="X402" i="82"/>
  <c r="W402" i="82"/>
  <c r="Q402" i="82"/>
  <c r="M402" i="82"/>
  <c r="I402" i="82"/>
  <c r="E402" i="82"/>
  <c r="AK401" i="82"/>
  <c r="AJ401" i="82"/>
  <c r="AI401" i="82"/>
  <c r="AG401" i="82"/>
  <c r="AF401" i="82"/>
  <c r="AE401" i="82"/>
  <c r="Y401" i="82"/>
  <c r="X401" i="82"/>
  <c r="W401" i="82"/>
  <c r="Q401" i="82"/>
  <c r="M401" i="82"/>
  <c r="I401" i="82"/>
  <c r="E401" i="82"/>
  <c r="AK400" i="82"/>
  <c r="AJ400" i="82"/>
  <c r="AI400" i="82"/>
  <c r="AG400" i="82"/>
  <c r="AF400" i="82"/>
  <c r="AE400" i="82"/>
  <c r="Y400" i="82"/>
  <c r="X400" i="82"/>
  <c r="W400" i="82"/>
  <c r="Q400" i="82"/>
  <c r="M400" i="82"/>
  <c r="I400" i="82"/>
  <c r="E400" i="82"/>
  <c r="AL399" i="82"/>
  <c r="AL402" i="82" s="1"/>
  <c r="AH399" i="82"/>
  <c r="AC399" i="82"/>
  <c r="AB399" i="82"/>
  <c r="AB401" i="82" s="1"/>
  <c r="AA399" i="82"/>
  <c r="AA400" i="82" s="1"/>
  <c r="Z399" i="82"/>
  <c r="Q399" i="82"/>
  <c r="M399" i="82"/>
  <c r="I399" i="82"/>
  <c r="E399" i="82"/>
  <c r="Q398" i="82"/>
  <c r="M398" i="82"/>
  <c r="I398" i="82"/>
  <c r="E398" i="82"/>
  <c r="W397" i="82"/>
  <c r="P394" i="82"/>
  <c r="O394" i="82"/>
  <c r="F394" i="82"/>
  <c r="Q392" i="82"/>
  <c r="M392" i="82"/>
  <c r="I392" i="82"/>
  <c r="E392" i="82"/>
  <c r="Q391" i="82"/>
  <c r="M391" i="82"/>
  <c r="I391" i="82"/>
  <c r="E391" i="82"/>
  <c r="Q390" i="82"/>
  <c r="M390" i="82"/>
  <c r="I390" i="82"/>
  <c r="E390" i="82"/>
  <c r="Q389" i="82"/>
  <c r="M389" i="82"/>
  <c r="I389" i="82"/>
  <c r="E389" i="82"/>
  <c r="Q387" i="82"/>
  <c r="M387" i="82"/>
  <c r="I387" i="82"/>
  <c r="E387" i="82"/>
  <c r="Q386" i="82"/>
  <c r="M386" i="82"/>
  <c r="I386" i="82"/>
  <c r="E386" i="82"/>
  <c r="Q385" i="82"/>
  <c r="M385" i="82"/>
  <c r="I385" i="82"/>
  <c r="E385" i="82"/>
  <c r="Q384" i="82"/>
  <c r="M384" i="82"/>
  <c r="I384" i="82"/>
  <c r="E384" i="82"/>
  <c r="Q383" i="82"/>
  <c r="M383" i="82"/>
  <c r="I383" i="82"/>
  <c r="E383" i="82"/>
  <c r="Q382" i="82"/>
  <c r="M382" i="82"/>
  <c r="I382" i="82"/>
  <c r="E382" i="82"/>
  <c r="Q381" i="82"/>
  <c r="M381" i="82"/>
  <c r="I381" i="82"/>
  <c r="E381" i="82"/>
  <c r="Q380" i="82"/>
  <c r="M380" i="82"/>
  <c r="I380" i="82"/>
  <c r="E380" i="82"/>
  <c r="Q379" i="82"/>
  <c r="M379" i="82"/>
  <c r="I379" i="82"/>
  <c r="E379" i="82"/>
  <c r="Q378" i="82"/>
  <c r="M378" i="82"/>
  <c r="I378" i="82"/>
  <c r="E378" i="82"/>
  <c r="Q377" i="82"/>
  <c r="M377" i="82"/>
  <c r="I377" i="82"/>
  <c r="E377" i="82"/>
  <c r="Q375" i="82"/>
  <c r="M375" i="82"/>
  <c r="I375" i="82"/>
  <c r="E375" i="82"/>
  <c r="Q374" i="82"/>
  <c r="M374" i="82"/>
  <c r="I374" i="82"/>
  <c r="E374" i="82"/>
  <c r="Q373" i="82"/>
  <c r="M373" i="82"/>
  <c r="I373" i="82"/>
  <c r="E373" i="82"/>
  <c r="Q372" i="82"/>
  <c r="M372" i="82"/>
  <c r="I372" i="82"/>
  <c r="E372" i="82"/>
  <c r="Q371" i="82"/>
  <c r="M371" i="82"/>
  <c r="I371" i="82"/>
  <c r="E371" i="82"/>
  <c r="Q370" i="82"/>
  <c r="M370" i="82"/>
  <c r="I370" i="82"/>
  <c r="E370" i="82"/>
  <c r="Q369" i="82"/>
  <c r="M369" i="82"/>
  <c r="I369" i="82"/>
  <c r="E369" i="82"/>
  <c r="Q368" i="82"/>
  <c r="M368" i="82"/>
  <c r="I368" i="82"/>
  <c r="E368" i="82"/>
  <c r="Q367" i="82"/>
  <c r="M367" i="82"/>
  <c r="I367" i="82"/>
  <c r="E367" i="82"/>
  <c r="Q366" i="82"/>
  <c r="M366" i="82"/>
  <c r="I366" i="82"/>
  <c r="E366" i="82"/>
  <c r="Q365" i="82"/>
  <c r="I365" i="82"/>
  <c r="E365" i="82"/>
  <c r="Q364" i="82"/>
  <c r="M364" i="82"/>
  <c r="I364" i="82"/>
  <c r="E364" i="82"/>
  <c r="Q363" i="82"/>
  <c r="M363" i="82"/>
  <c r="I363" i="82"/>
  <c r="E363" i="82"/>
  <c r="Q362" i="82"/>
  <c r="M362" i="82"/>
  <c r="I362" i="82"/>
  <c r="E362" i="82"/>
  <c r="Q361" i="82"/>
  <c r="M361" i="82"/>
  <c r="I361" i="82"/>
  <c r="E361" i="82"/>
  <c r="Q360" i="82"/>
  <c r="M360" i="82"/>
  <c r="I360" i="82"/>
  <c r="E360" i="82"/>
  <c r="Q359" i="82"/>
  <c r="M359" i="82"/>
  <c r="I359" i="82"/>
  <c r="E359" i="82"/>
  <c r="Q358" i="82"/>
  <c r="M358" i="82"/>
  <c r="I358" i="82"/>
  <c r="E358" i="82"/>
  <c r="Q357" i="82"/>
  <c r="M357" i="82"/>
  <c r="I357" i="82"/>
  <c r="E357" i="82"/>
  <c r="Q356" i="82"/>
  <c r="M356" i="82"/>
  <c r="I356" i="82"/>
  <c r="E356" i="82"/>
  <c r="Q355" i="82"/>
  <c r="M355" i="82"/>
  <c r="I355" i="82"/>
  <c r="E355" i="82"/>
  <c r="Q354" i="82"/>
  <c r="M354" i="82"/>
  <c r="I354" i="82"/>
  <c r="E354" i="82"/>
  <c r="Q353" i="82"/>
  <c r="M353" i="82"/>
  <c r="I353" i="82"/>
  <c r="E353" i="82"/>
  <c r="Q352" i="82"/>
  <c r="M352" i="82"/>
  <c r="I352" i="82"/>
  <c r="E352" i="82"/>
  <c r="Q351" i="82"/>
  <c r="M351" i="82"/>
  <c r="I351" i="82"/>
  <c r="E351" i="82"/>
  <c r="Q350" i="82"/>
  <c r="M350" i="82"/>
  <c r="I350" i="82"/>
  <c r="E350" i="82"/>
  <c r="Q348" i="82"/>
  <c r="M348" i="82"/>
  <c r="L394" i="82"/>
  <c r="H394" i="82"/>
  <c r="G394" i="82"/>
  <c r="I348" i="82"/>
  <c r="E348" i="82"/>
  <c r="D394" i="82"/>
  <c r="C394" i="82"/>
  <c r="B394" i="82"/>
  <c r="Q347" i="82"/>
  <c r="M347" i="82"/>
  <c r="E347" i="82"/>
  <c r="Q346" i="82"/>
  <c r="M346" i="82"/>
  <c r="I346" i="82"/>
  <c r="E346" i="82"/>
  <c r="Q345" i="82"/>
  <c r="M345" i="82"/>
  <c r="I345" i="82"/>
  <c r="E345" i="82"/>
  <c r="Q344" i="82"/>
  <c r="M344" i="82"/>
  <c r="I344" i="82"/>
  <c r="E344" i="82"/>
  <c r="Q343" i="82"/>
  <c r="M343" i="82"/>
  <c r="I343" i="82"/>
  <c r="E343" i="82"/>
  <c r="Q342" i="82"/>
  <c r="M342" i="82"/>
  <c r="I342" i="82"/>
  <c r="E342" i="82"/>
  <c r="Q341" i="82"/>
  <c r="I341" i="82"/>
  <c r="I339" i="82"/>
  <c r="E339" i="82"/>
  <c r="P331" i="82"/>
  <c r="O331" i="82"/>
  <c r="N331" i="82"/>
  <c r="L331" i="82"/>
  <c r="K331" i="82"/>
  <c r="J331" i="82"/>
  <c r="H331" i="82"/>
  <c r="G331" i="82"/>
  <c r="F331" i="82"/>
  <c r="D331" i="82"/>
  <c r="C331" i="82"/>
  <c r="B331" i="82"/>
  <c r="Q329" i="82"/>
  <c r="M329" i="82"/>
  <c r="I329" i="82"/>
  <c r="E329" i="82"/>
  <c r="Q325" i="82"/>
  <c r="M325" i="82"/>
  <c r="I325" i="82"/>
  <c r="E325" i="82"/>
  <c r="Q318" i="82"/>
  <c r="M318" i="82"/>
  <c r="I318" i="82"/>
  <c r="E318" i="82"/>
  <c r="Q317" i="82"/>
  <c r="M317" i="82"/>
  <c r="I317" i="82"/>
  <c r="E317" i="82"/>
  <c r="Q316" i="82"/>
  <c r="M316" i="82"/>
  <c r="I316" i="82"/>
  <c r="E316" i="82"/>
  <c r="Q315" i="82"/>
  <c r="M315" i="82"/>
  <c r="I315" i="82"/>
  <c r="E315" i="82"/>
  <c r="Q314" i="82"/>
  <c r="M314" i="82"/>
  <c r="I314" i="82"/>
  <c r="E314" i="82"/>
  <c r="Q313" i="82"/>
  <c r="M313" i="82"/>
  <c r="I313" i="82"/>
  <c r="E313" i="82"/>
  <c r="P311" i="82"/>
  <c r="O311" i="82"/>
  <c r="N311" i="82"/>
  <c r="L311" i="82"/>
  <c r="K311" i="82"/>
  <c r="J311" i="82"/>
  <c r="H311" i="82"/>
  <c r="G311" i="82"/>
  <c r="F311" i="82"/>
  <c r="D311" i="82"/>
  <c r="C311" i="82"/>
  <c r="B311" i="82"/>
  <c r="P310" i="82"/>
  <c r="O310" i="82"/>
  <c r="N310" i="82"/>
  <c r="L310" i="82"/>
  <c r="K310" i="82"/>
  <c r="J310" i="82"/>
  <c r="H310" i="82"/>
  <c r="G310" i="82"/>
  <c r="F310" i="82"/>
  <c r="D310" i="82"/>
  <c r="C310" i="82"/>
  <c r="B310" i="82"/>
  <c r="Q309" i="82"/>
  <c r="M309" i="82"/>
  <c r="I309" i="82"/>
  <c r="E309" i="82"/>
  <c r="Q307" i="82"/>
  <c r="M307" i="82"/>
  <c r="I307" i="82"/>
  <c r="E307" i="82"/>
  <c r="Q305" i="82"/>
  <c r="M305" i="82"/>
  <c r="I305" i="82"/>
  <c r="E305" i="82"/>
  <c r="Q304" i="82"/>
  <c r="M304" i="82"/>
  <c r="I304" i="82"/>
  <c r="E304" i="82"/>
  <c r="Q303" i="82"/>
  <c r="M303" i="82"/>
  <c r="I303" i="82"/>
  <c r="E303" i="82"/>
  <c r="Q302" i="82"/>
  <c r="M302" i="82"/>
  <c r="I302" i="82"/>
  <c r="E302" i="82"/>
  <c r="Q301" i="82"/>
  <c r="M301" i="82"/>
  <c r="I301" i="82"/>
  <c r="E301" i="82"/>
  <c r="Q300" i="82"/>
  <c r="M300" i="82"/>
  <c r="I300" i="82"/>
  <c r="E300" i="82"/>
  <c r="Q299" i="82"/>
  <c r="M299" i="82"/>
  <c r="I299" i="82"/>
  <c r="E299" i="82"/>
  <c r="Q298" i="82"/>
  <c r="M298" i="82"/>
  <c r="I298" i="82"/>
  <c r="E298" i="82"/>
  <c r="Q296" i="82"/>
  <c r="M296" i="82"/>
  <c r="I296" i="82"/>
  <c r="E296" i="82"/>
  <c r="Q295" i="82"/>
  <c r="M295" i="82"/>
  <c r="I295" i="82"/>
  <c r="E295" i="82"/>
  <c r="P292" i="82"/>
  <c r="O292" i="82"/>
  <c r="N292" i="82"/>
  <c r="K292" i="82"/>
  <c r="J292" i="82"/>
  <c r="H292" i="82"/>
  <c r="E292" i="82"/>
  <c r="Q291" i="82"/>
  <c r="M291" i="82"/>
  <c r="I291" i="82"/>
  <c r="E291" i="82"/>
  <c r="Q290" i="82"/>
  <c r="M290" i="82"/>
  <c r="I290" i="82"/>
  <c r="E290" i="82"/>
  <c r="Q289" i="82"/>
  <c r="M289" i="82"/>
  <c r="I289" i="82"/>
  <c r="E289" i="82"/>
  <c r="Q288" i="82"/>
  <c r="M288" i="82"/>
  <c r="I288" i="82"/>
  <c r="E288" i="82"/>
  <c r="Q287" i="82"/>
  <c r="M287" i="82"/>
  <c r="I287" i="82"/>
  <c r="E287" i="82"/>
  <c r="Q286" i="82"/>
  <c r="M286" i="82"/>
  <c r="I286" i="82"/>
  <c r="D900" i="82"/>
  <c r="Q285" i="82"/>
  <c r="M285" i="82"/>
  <c r="I285" i="82"/>
  <c r="E285" i="82"/>
  <c r="Q283" i="82"/>
  <c r="M283" i="82"/>
  <c r="I283" i="82"/>
  <c r="E283" i="82"/>
  <c r="Q282" i="82"/>
  <c r="M282" i="82"/>
  <c r="I282" i="82"/>
  <c r="E282" i="82"/>
  <c r="Q281" i="82"/>
  <c r="M281" i="82"/>
  <c r="I281" i="82"/>
  <c r="E281" i="82"/>
  <c r="Q280" i="82"/>
  <c r="M280" i="82"/>
  <c r="I280" i="82"/>
  <c r="E280" i="82"/>
  <c r="Q279" i="82"/>
  <c r="M279" i="82"/>
  <c r="I279" i="82"/>
  <c r="E279" i="82"/>
  <c r="Q278" i="82"/>
  <c r="M278" i="82"/>
  <c r="I278" i="82"/>
  <c r="E278" i="82"/>
  <c r="Q277" i="82"/>
  <c r="M277" i="82"/>
  <c r="I277" i="82"/>
  <c r="E277" i="82"/>
  <c r="Q276" i="82"/>
  <c r="M276" i="82"/>
  <c r="I276" i="82"/>
  <c r="E276" i="82"/>
  <c r="Q275" i="82"/>
  <c r="M275" i="82"/>
  <c r="I275" i="82"/>
  <c r="E275" i="82"/>
  <c r="Q274" i="82"/>
  <c r="M274" i="82"/>
  <c r="I274" i="82"/>
  <c r="E274" i="82"/>
  <c r="Q273" i="82"/>
  <c r="M273" i="82"/>
  <c r="I273" i="82"/>
  <c r="E273" i="82"/>
  <c r="Q272" i="82"/>
  <c r="M272" i="82"/>
  <c r="I272" i="82"/>
  <c r="E272" i="82"/>
  <c r="Q271" i="82"/>
  <c r="M271" i="82"/>
  <c r="E271" i="82"/>
  <c r="Q270" i="82"/>
  <c r="M270" i="82"/>
  <c r="I270" i="82"/>
  <c r="E270" i="82"/>
  <c r="Q269" i="82"/>
  <c r="M269" i="82"/>
  <c r="I269" i="82"/>
  <c r="E269" i="82"/>
  <c r="Q268" i="82"/>
  <c r="M268" i="82"/>
  <c r="I268" i="82"/>
  <c r="E268" i="82"/>
  <c r="Q267" i="82"/>
  <c r="M267" i="82"/>
  <c r="I267" i="82"/>
  <c r="E267" i="82"/>
  <c r="Q266" i="82"/>
  <c r="M266" i="82"/>
  <c r="I266" i="82"/>
  <c r="E266" i="82"/>
  <c r="Q265" i="82"/>
  <c r="M265" i="82"/>
  <c r="I265" i="82"/>
  <c r="E265" i="82"/>
  <c r="Q264" i="82"/>
  <c r="M264" i="82"/>
  <c r="I264" i="82"/>
  <c r="E264" i="82"/>
  <c r="Q263" i="82"/>
  <c r="N900" i="82"/>
  <c r="M263" i="82"/>
  <c r="I263" i="82"/>
  <c r="E263" i="82"/>
  <c r="Q262" i="82"/>
  <c r="M262" i="82"/>
  <c r="I262" i="82"/>
  <c r="E262" i="82"/>
  <c r="Q261" i="82"/>
  <c r="M261" i="82"/>
  <c r="I261" i="82"/>
  <c r="E261" i="82"/>
  <c r="Q260" i="82"/>
  <c r="M260" i="82"/>
  <c r="I260" i="82"/>
  <c r="E260" i="82"/>
  <c r="Q259" i="82"/>
  <c r="M259" i="82"/>
  <c r="I259" i="82"/>
  <c r="E259" i="82"/>
  <c r="Q258" i="82"/>
  <c r="M258" i="82"/>
  <c r="I258" i="82"/>
  <c r="E258" i="82"/>
  <c r="Q257" i="82"/>
  <c r="M257" i="82"/>
  <c r="I257" i="82"/>
  <c r="E257" i="82"/>
  <c r="Q256" i="82"/>
  <c r="M256" i="82"/>
  <c r="F900" i="82"/>
  <c r="E256" i="82"/>
  <c r="Q255" i="82"/>
  <c r="M255" i="82"/>
  <c r="I255" i="82"/>
  <c r="E255" i="82"/>
  <c r="Q254" i="82"/>
  <c r="L900" i="82"/>
  <c r="I254" i="82"/>
  <c r="E254" i="82"/>
  <c r="Q253" i="82"/>
  <c r="M253" i="82"/>
  <c r="I253" i="82"/>
  <c r="E253" i="82"/>
  <c r="Q252" i="82"/>
  <c r="M252" i="82"/>
  <c r="I252" i="82"/>
  <c r="E252" i="82"/>
  <c r="Q251" i="82"/>
  <c r="M251" i="82"/>
  <c r="I251" i="82"/>
  <c r="E251" i="82"/>
  <c r="Q250" i="82"/>
  <c r="M250" i="82"/>
  <c r="I250" i="82"/>
  <c r="E250" i="82"/>
  <c r="Q249" i="82"/>
  <c r="M249" i="82"/>
  <c r="I249" i="82"/>
  <c r="E249" i="82"/>
  <c r="Q248" i="82"/>
  <c r="M248" i="82"/>
  <c r="I248" i="82"/>
  <c r="E248" i="82"/>
  <c r="Q246" i="82"/>
  <c r="M246" i="82"/>
  <c r="I246" i="82"/>
  <c r="E246" i="82"/>
  <c r="Q245" i="82"/>
  <c r="M245" i="82"/>
  <c r="I245" i="82"/>
  <c r="E245" i="82"/>
  <c r="Q244" i="82"/>
  <c r="M244" i="82"/>
  <c r="I244" i="82"/>
  <c r="E244" i="82"/>
  <c r="Q243" i="82"/>
  <c r="M243" i="82"/>
  <c r="I243" i="82"/>
  <c r="E243" i="82"/>
  <c r="Q242" i="82"/>
  <c r="M242" i="82"/>
  <c r="I242" i="82"/>
  <c r="E242" i="82"/>
  <c r="P900" i="82"/>
  <c r="M241" i="82"/>
  <c r="I241" i="82"/>
  <c r="E241" i="82"/>
  <c r="Q240" i="82"/>
  <c r="M240" i="82"/>
  <c r="I240" i="82"/>
  <c r="E240" i="82"/>
  <c r="Q239" i="82"/>
  <c r="M239" i="82"/>
  <c r="I239" i="82"/>
  <c r="E239" i="82"/>
  <c r="Q238" i="82"/>
  <c r="M238" i="82"/>
  <c r="I238" i="82"/>
  <c r="E238" i="82"/>
  <c r="Q237" i="82"/>
  <c r="M237" i="82"/>
  <c r="I237" i="82"/>
  <c r="E237" i="82"/>
  <c r="Q236" i="82"/>
  <c r="M236" i="82"/>
  <c r="I236" i="82"/>
  <c r="E236" i="82"/>
  <c r="Q235" i="82"/>
  <c r="M235" i="82"/>
  <c r="I235" i="82"/>
  <c r="E235" i="82"/>
  <c r="Q234" i="82"/>
  <c r="M234" i="82"/>
  <c r="I234" i="82"/>
  <c r="E234" i="82"/>
  <c r="Q233" i="82"/>
  <c r="M233" i="82"/>
  <c r="I233" i="82"/>
  <c r="E233" i="82"/>
  <c r="Q232" i="82"/>
  <c r="M232" i="82"/>
  <c r="I232" i="82"/>
  <c r="E232" i="82"/>
  <c r="Q231" i="82"/>
  <c r="M231" i="82"/>
  <c r="I231" i="82"/>
  <c r="E231" i="82"/>
  <c r="Q230" i="82"/>
  <c r="M230" i="82"/>
  <c r="I230" i="82"/>
  <c r="E230" i="82"/>
  <c r="Q229" i="82"/>
  <c r="M229" i="82"/>
  <c r="I229" i="82"/>
  <c r="E229" i="82"/>
  <c r="Q228" i="82"/>
  <c r="M228" i="82"/>
  <c r="I228" i="82"/>
  <c r="E228" i="82"/>
  <c r="Q227" i="82"/>
  <c r="M227" i="82"/>
  <c r="I227" i="82"/>
  <c r="E227" i="82"/>
  <c r="Q226" i="82"/>
  <c r="M226" i="82"/>
  <c r="I226" i="82"/>
  <c r="E226" i="82"/>
  <c r="Q225" i="82"/>
  <c r="M225" i="82"/>
  <c r="I225" i="82"/>
  <c r="E225" i="82"/>
  <c r="P221" i="82"/>
  <c r="O221" i="82"/>
  <c r="N221" i="82"/>
  <c r="L221" i="82"/>
  <c r="K221" i="82"/>
  <c r="J221" i="82"/>
  <c r="I221" i="82"/>
  <c r="D221" i="82"/>
  <c r="C221" i="82"/>
  <c r="B221" i="82"/>
  <c r="Q219" i="82"/>
  <c r="M219" i="82"/>
  <c r="I219" i="82"/>
  <c r="E219" i="82"/>
  <c r="Q218" i="82"/>
  <c r="M218" i="82"/>
  <c r="I218" i="82"/>
  <c r="E218" i="82"/>
  <c r="B214" i="82"/>
  <c r="Q212" i="82"/>
  <c r="M212" i="82"/>
  <c r="I212" i="82"/>
  <c r="E212" i="82"/>
  <c r="Q211" i="82"/>
  <c r="M211" i="82"/>
  <c r="I211" i="82"/>
  <c r="E211" i="82"/>
  <c r="Q210" i="82"/>
  <c r="M210" i="82"/>
  <c r="I210" i="82"/>
  <c r="E210" i="82"/>
  <c r="Q208" i="82"/>
  <c r="M208" i="82"/>
  <c r="I208" i="82"/>
  <c r="E208" i="82"/>
  <c r="Q207" i="82"/>
  <c r="M207" i="82"/>
  <c r="I207" i="82"/>
  <c r="E207" i="82"/>
  <c r="Q206" i="82"/>
  <c r="M206" i="82"/>
  <c r="I206" i="82"/>
  <c r="E206" i="82"/>
  <c r="Q205" i="82"/>
  <c r="M205" i="82"/>
  <c r="I205" i="82"/>
  <c r="E205" i="82"/>
  <c r="Q204" i="82"/>
  <c r="M204" i="82"/>
  <c r="I204" i="82"/>
  <c r="E204" i="82"/>
  <c r="Q203" i="82"/>
  <c r="M203" i="82"/>
  <c r="I203" i="82"/>
  <c r="E203" i="82"/>
  <c r="Q202" i="82"/>
  <c r="M202" i="82"/>
  <c r="I202" i="82"/>
  <c r="E202" i="82"/>
  <c r="Q201" i="82"/>
  <c r="M201" i="82"/>
  <c r="I201" i="82"/>
  <c r="E201" i="82"/>
  <c r="Q200" i="82"/>
  <c r="M200" i="82"/>
  <c r="I200" i="82"/>
  <c r="E200" i="82"/>
  <c r="Q199" i="82"/>
  <c r="M199" i="82"/>
  <c r="I199" i="82"/>
  <c r="E199" i="82"/>
  <c r="Q197" i="82"/>
  <c r="M197" i="82"/>
  <c r="I197" i="82"/>
  <c r="E197" i="82"/>
  <c r="Q196" i="82"/>
  <c r="M196" i="82"/>
  <c r="I196" i="82"/>
  <c r="E196" i="82"/>
  <c r="Q195" i="82"/>
  <c r="M195" i="82"/>
  <c r="I195" i="82"/>
  <c r="E195" i="82"/>
  <c r="Q194" i="82"/>
  <c r="M194" i="82"/>
  <c r="I194" i="82"/>
  <c r="E194" i="82"/>
  <c r="Q193" i="82"/>
  <c r="M193" i="82"/>
  <c r="I193" i="82"/>
  <c r="E193" i="82"/>
  <c r="Q192" i="82"/>
  <c r="M192" i="82"/>
  <c r="I192" i="82"/>
  <c r="E192" i="82"/>
  <c r="Q191" i="82"/>
  <c r="M191" i="82"/>
  <c r="I191" i="82"/>
  <c r="E191" i="82"/>
  <c r="Q190" i="82"/>
  <c r="M190" i="82"/>
  <c r="I190" i="82"/>
  <c r="E190" i="82"/>
  <c r="Q189" i="82"/>
  <c r="M189" i="82"/>
  <c r="I189" i="82"/>
  <c r="E189" i="82"/>
  <c r="Q188" i="82"/>
  <c r="M188" i="82"/>
  <c r="I188" i="82"/>
  <c r="E188" i="82"/>
  <c r="Q187" i="82"/>
  <c r="M187" i="82"/>
  <c r="I187" i="82"/>
  <c r="E187" i="82"/>
  <c r="P886" i="82"/>
  <c r="N214" i="82"/>
  <c r="M186" i="82"/>
  <c r="I186" i="82"/>
  <c r="E186" i="82"/>
  <c r="B886" i="82"/>
  <c r="Q185" i="82"/>
  <c r="M185" i="82"/>
  <c r="I185" i="82"/>
  <c r="E185" i="82"/>
  <c r="Q184" i="82"/>
  <c r="M184" i="82"/>
  <c r="I184" i="82"/>
  <c r="E184" i="82"/>
  <c r="Q183" i="82"/>
  <c r="M183" i="82"/>
  <c r="I183" i="82"/>
  <c r="E183" i="82"/>
  <c r="Q182" i="82"/>
  <c r="M182" i="82"/>
  <c r="I182" i="82"/>
  <c r="E182" i="82"/>
  <c r="Q181" i="82"/>
  <c r="M181" i="82"/>
  <c r="I181" i="82"/>
  <c r="E181" i="82"/>
  <c r="Q180" i="82"/>
  <c r="M180" i="82"/>
  <c r="I180" i="82"/>
  <c r="E180" i="82"/>
  <c r="Q179" i="82"/>
  <c r="I179" i="82"/>
  <c r="E179" i="82"/>
  <c r="Q178" i="82"/>
  <c r="M178" i="82"/>
  <c r="I178" i="82"/>
  <c r="E178" i="82"/>
  <c r="Q177" i="82"/>
  <c r="M177" i="82"/>
  <c r="I177" i="82"/>
  <c r="E177" i="82"/>
  <c r="Q176" i="82"/>
  <c r="M176" i="82"/>
  <c r="I176" i="82"/>
  <c r="E176" i="82"/>
  <c r="Q175" i="82"/>
  <c r="M175" i="82"/>
  <c r="I175" i="82"/>
  <c r="E175" i="82"/>
  <c r="Q174" i="82"/>
  <c r="M174" i="82"/>
  <c r="I174" i="82"/>
  <c r="E174" i="82"/>
  <c r="Q173" i="82"/>
  <c r="M173" i="82"/>
  <c r="I173" i="82"/>
  <c r="E173" i="82"/>
  <c r="Q172" i="82"/>
  <c r="M172" i="82"/>
  <c r="I172" i="82"/>
  <c r="E172" i="82"/>
  <c r="Q171" i="82"/>
  <c r="M171" i="82"/>
  <c r="I171" i="82"/>
  <c r="E171" i="82"/>
  <c r="Q170" i="82"/>
  <c r="M170" i="82"/>
  <c r="I170" i="82"/>
  <c r="E170" i="82"/>
  <c r="Q169" i="82"/>
  <c r="M169" i="82"/>
  <c r="I169" i="82"/>
  <c r="E169" i="82"/>
  <c r="Q168" i="82"/>
  <c r="M168" i="82"/>
  <c r="I168" i="82"/>
  <c r="E168" i="82"/>
  <c r="Q167" i="82"/>
  <c r="M167" i="82"/>
  <c r="I167" i="82"/>
  <c r="E167" i="82"/>
  <c r="Q166" i="82"/>
  <c r="M166" i="82"/>
  <c r="I166" i="82"/>
  <c r="E166" i="82"/>
  <c r="Q165" i="82"/>
  <c r="M165" i="82"/>
  <c r="I165" i="82"/>
  <c r="E165" i="82"/>
  <c r="Q164" i="82"/>
  <c r="M164" i="82"/>
  <c r="I164" i="82"/>
  <c r="Q163" i="82"/>
  <c r="M163" i="82"/>
  <c r="I163" i="82"/>
  <c r="E163" i="82"/>
  <c r="Q162" i="82"/>
  <c r="M162" i="82"/>
  <c r="I162" i="82"/>
  <c r="E162" i="82"/>
  <c r="Q161" i="82"/>
  <c r="M161" i="82"/>
  <c r="I161" i="82"/>
  <c r="E161" i="82"/>
  <c r="Q160" i="82"/>
  <c r="M160" i="82"/>
  <c r="I160" i="82"/>
  <c r="E160" i="82"/>
  <c r="Q159" i="82"/>
  <c r="M159" i="82"/>
  <c r="I159" i="82"/>
  <c r="E159" i="82"/>
  <c r="Q158" i="82"/>
  <c r="M158" i="82"/>
  <c r="I158" i="82"/>
  <c r="E158" i="82"/>
  <c r="Q157" i="82"/>
  <c r="M157" i="82"/>
  <c r="I157" i="82"/>
  <c r="E157" i="82"/>
  <c r="Q156" i="82"/>
  <c r="M156" i="82"/>
  <c r="I156" i="82"/>
  <c r="E156" i="82"/>
  <c r="Q155" i="82"/>
  <c r="M155" i="82"/>
  <c r="I155" i="82"/>
  <c r="E155" i="82"/>
  <c r="Q154" i="82"/>
  <c r="M154" i="82"/>
  <c r="I154" i="82"/>
  <c r="E154" i="82"/>
  <c r="Q153" i="82"/>
  <c r="M153" i="82"/>
  <c r="I153" i="82"/>
  <c r="E153" i="82"/>
  <c r="Q152" i="82"/>
  <c r="M152" i="82"/>
  <c r="I152" i="82"/>
  <c r="E152" i="82"/>
  <c r="Q151" i="82"/>
  <c r="M151" i="82"/>
  <c r="I151" i="82"/>
  <c r="E151" i="82"/>
  <c r="Q150" i="82"/>
  <c r="M150" i="82"/>
  <c r="I150" i="82"/>
  <c r="E150" i="82"/>
  <c r="Q149" i="82"/>
  <c r="M149" i="82"/>
  <c r="I149" i="82"/>
  <c r="H214" i="82"/>
  <c r="E149" i="82"/>
  <c r="Q148" i="82"/>
  <c r="M148" i="82"/>
  <c r="I148" i="82"/>
  <c r="E148" i="82"/>
  <c r="Q147" i="82"/>
  <c r="M147" i="82"/>
  <c r="I147" i="82"/>
  <c r="E147" i="82"/>
  <c r="Q146" i="82"/>
  <c r="M146" i="82"/>
  <c r="I146" i="82"/>
  <c r="E146" i="82"/>
  <c r="Q145" i="82"/>
  <c r="M145" i="82"/>
  <c r="I145" i="82"/>
  <c r="E145" i="82"/>
  <c r="Q144" i="82"/>
  <c r="M144" i="82"/>
  <c r="I144" i="82"/>
  <c r="E144" i="82"/>
  <c r="Q143" i="82"/>
  <c r="I143" i="82"/>
  <c r="G886" i="82"/>
  <c r="F886" i="82"/>
  <c r="D886" i="82"/>
  <c r="C886" i="82"/>
  <c r="Q142" i="82"/>
  <c r="M142" i="82"/>
  <c r="I142" i="82"/>
  <c r="E142" i="82"/>
  <c r="Q130" i="82"/>
  <c r="M130" i="82"/>
  <c r="I130" i="82"/>
  <c r="E130" i="82"/>
  <c r="P128" i="82"/>
  <c r="O128" i="82"/>
  <c r="N128" i="82"/>
  <c r="L128" i="82"/>
  <c r="K128" i="82"/>
  <c r="J128" i="82"/>
  <c r="H128" i="82"/>
  <c r="G128" i="82"/>
  <c r="F128" i="82"/>
  <c r="D128" i="82"/>
  <c r="C128" i="82"/>
  <c r="B128" i="82"/>
  <c r="P127" i="82"/>
  <c r="O127" i="82"/>
  <c r="N127" i="82"/>
  <c r="L127" i="82"/>
  <c r="K127" i="82"/>
  <c r="J127" i="82"/>
  <c r="H127" i="82"/>
  <c r="G127" i="82"/>
  <c r="F127" i="82"/>
  <c r="D127" i="82"/>
  <c r="C127" i="82"/>
  <c r="B127" i="82"/>
  <c r="Q126" i="82"/>
  <c r="M126" i="82"/>
  <c r="I126" i="82"/>
  <c r="E126" i="82"/>
  <c r="Q125" i="82"/>
  <c r="M125" i="82"/>
  <c r="I125" i="82"/>
  <c r="E125" i="82"/>
  <c r="Q123" i="82"/>
  <c r="M123" i="82"/>
  <c r="I123" i="82"/>
  <c r="E123" i="82"/>
  <c r="Q121" i="82"/>
  <c r="M121" i="82"/>
  <c r="I121" i="82"/>
  <c r="E121" i="82"/>
  <c r="Q120" i="82"/>
  <c r="M120" i="82"/>
  <c r="I120" i="82"/>
  <c r="E120" i="82"/>
  <c r="Q118" i="82"/>
  <c r="M118" i="82"/>
  <c r="I118" i="82"/>
  <c r="E118" i="82"/>
  <c r="Q117" i="82"/>
  <c r="M117" i="82"/>
  <c r="I117" i="82"/>
  <c r="E117" i="82"/>
  <c r="Q116" i="82"/>
  <c r="M116" i="82"/>
  <c r="I116" i="82"/>
  <c r="E116" i="82"/>
  <c r="Q115" i="82"/>
  <c r="M115" i="82"/>
  <c r="I115" i="82"/>
  <c r="E115" i="82"/>
  <c r="Q114" i="82"/>
  <c r="M114" i="82"/>
  <c r="I114" i="82"/>
  <c r="E114" i="82"/>
  <c r="Q113" i="82"/>
  <c r="M113" i="82"/>
  <c r="I113" i="82"/>
  <c r="E113" i="82"/>
  <c r="Q112" i="82"/>
  <c r="M112" i="82"/>
  <c r="I112" i="82"/>
  <c r="E112" i="82"/>
  <c r="Q111" i="82"/>
  <c r="M111" i="82"/>
  <c r="I111" i="82"/>
  <c r="E111" i="82"/>
  <c r="P108" i="82"/>
  <c r="O108" i="82"/>
  <c r="N108" i="82"/>
  <c r="L108" i="82"/>
  <c r="K108" i="82"/>
  <c r="J108" i="82"/>
  <c r="H108" i="82"/>
  <c r="G108" i="82"/>
  <c r="F108" i="82"/>
  <c r="D108" i="82"/>
  <c r="C108" i="82"/>
  <c r="B108" i="82"/>
  <c r="Q107" i="82"/>
  <c r="M107" i="82"/>
  <c r="I107" i="82"/>
  <c r="E107" i="82"/>
  <c r="Q106" i="82"/>
  <c r="M106" i="82"/>
  <c r="I106" i="82"/>
  <c r="E106" i="82"/>
  <c r="Q105" i="82"/>
  <c r="M105" i="82"/>
  <c r="I105" i="82"/>
  <c r="E105" i="82"/>
  <c r="Q104" i="82"/>
  <c r="M104" i="82"/>
  <c r="I104" i="82"/>
  <c r="E104" i="82"/>
  <c r="Q103" i="82"/>
  <c r="M103" i="82"/>
  <c r="I103" i="82"/>
  <c r="E103" i="82"/>
  <c r="Q102" i="82"/>
  <c r="M102" i="82"/>
  <c r="I102" i="82"/>
  <c r="E102" i="82"/>
  <c r="Q101" i="82"/>
  <c r="M101" i="82"/>
  <c r="I101" i="82"/>
  <c r="E101" i="82"/>
  <c r="Q100" i="82"/>
  <c r="M100" i="82"/>
  <c r="I100" i="82"/>
  <c r="E100" i="82"/>
  <c r="P96" i="82"/>
  <c r="O96" i="82"/>
  <c r="N96" i="82"/>
  <c r="L96" i="82"/>
  <c r="K96" i="82"/>
  <c r="J96" i="82"/>
  <c r="H96" i="82"/>
  <c r="G96" i="82"/>
  <c r="F96" i="82"/>
  <c r="D96" i="82"/>
  <c r="C96" i="82"/>
  <c r="B96" i="82"/>
  <c r="Q94" i="82"/>
  <c r="I94" i="82"/>
  <c r="E94" i="82"/>
  <c r="Q93" i="82"/>
  <c r="M93" i="82"/>
  <c r="I93" i="82"/>
  <c r="E93" i="82"/>
  <c r="P89" i="82"/>
  <c r="O89" i="82"/>
  <c r="N89" i="82"/>
  <c r="L89" i="82"/>
  <c r="K89" i="82"/>
  <c r="J89" i="82"/>
  <c r="H89" i="82"/>
  <c r="G89" i="82"/>
  <c r="F89" i="82"/>
  <c r="D89" i="82"/>
  <c r="C89" i="82"/>
  <c r="B89" i="82"/>
  <c r="Q87" i="82"/>
  <c r="M87" i="82"/>
  <c r="I87" i="82"/>
  <c r="E87" i="82"/>
  <c r="Q86" i="82"/>
  <c r="M86" i="82"/>
  <c r="I86" i="82"/>
  <c r="E86" i="82"/>
  <c r="Q84" i="82"/>
  <c r="M84" i="82"/>
  <c r="I84" i="82"/>
  <c r="E84" i="82"/>
  <c r="Q82" i="82"/>
  <c r="M82" i="82"/>
  <c r="I82" i="82"/>
  <c r="E82" i="82"/>
  <c r="Q81" i="82"/>
  <c r="M81" i="82"/>
  <c r="I81" i="82"/>
  <c r="E81" i="82"/>
  <c r="Q80" i="82"/>
  <c r="M80" i="82"/>
  <c r="I80" i="82"/>
  <c r="E80" i="82"/>
  <c r="Q79" i="82"/>
  <c r="M79" i="82"/>
  <c r="I79" i="82"/>
  <c r="E79" i="82"/>
  <c r="Q78" i="82"/>
  <c r="M78" i="82"/>
  <c r="I78" i="82"/>
  <c r="E78" i="82"/>
  <c r="Q77" i="82"/>
  <c r="M77" i="82"/>
  <c r="I77" i="82"/>
  <c r="E77" i="82"/>
  <c r="Q76" i="82"/>
  <c r="M76" i="82"/>
  <c r="I76" i="82"/>
  <c r="E76" i="82"/>
  <c r="Q75" i="82"/>
  <c r="M75" i="82"/>
  <c r="I75" i="82"/>
  <c r="E75" i="82"/>
  <c r="Q74" i="82"/>
  <c r="M74" i="82"/>
  <c r="I74" i="82"/>
  <c r="E74" i="82"/>
  <c r="Q73" i="82"/>
  <c r="M73" i="82"/>
  <c r="I73" i="82"/>
  <c r="E73" i="82"/>
  <c r="Q72" i="82"/>
  <c r="M72" i="82"/>
  <c r="I72" i="82"/>
  <c r="E72" i="82"/>
  <c r="Q60" i="82"/>
  <c r="M60" i="82"/>
  <c r="I60" i="82"/>
  <c r="E60" i="82"/>
  <c r="P58" i="82"/>
  <c r="O58" i="82"/>
  <c r="N58" i="82"/>
  <c r="L58" i="82"/>
  <c r="K58" i="82"/>
  <c r="J58" i="82"/>
  <c r="H58" i="82"/>
  <c r="G58" i="82"/>
  <c r="F58" i="82"/>
  <c r="D58" i="82"/>
  <c r="C58" i="82"/>
  <c r="B58" i="82"/>
  <c r="P57" i="82"/>
  <c r="O57" i="82"/>
  <c r="N57" i="82"/>
  <c r="L57" i="82"/>
  <c r="K57" i="82"/>
  <c r="J57" i="82"/>
  <c r="H57" i="82"/>
  <c r="G57" i="82"/>
  <c r="F57" i="82"/>
  <c r="D57" i="82"/>
  <c r="C57" i="82"/>
  <c r="B57" i="82"/>
  <c r="Q54" i="82"/>
  <c r="M54" i="82"/>
  <c r="I54" i="82"/>
  <c r="E54" i="82"/>
  <c r="P50" i="82"/>
  <c r="O50" i="82"/>
  <c r="N50" i="82"/>
  <c r="L50" i="82"/>
  <c r="K50" i="82"/>
  <c r="J50" i="82"/>
  <c r="H50" i="82"/>
  <c r="G50" i="82"/>
  <c r="F50" i="82"/>
  <c r="D50" i="82"/>
  <c r="C50" i="82"/>
  <c r="B50" i="82"/>
  <c r="P46" i="82"/>
  <c r="O46" i="82"/>
  <c r="N46" i="82"/>
  <c r="L46" i="82"/>
  <c r="K46" i="82"/>
  <c r="J46" i="82"/>
  <c r="H46" i="82"/>
  <c r="G46" i="82"/>
  <c r="F46" i="82"/>
  <c r="D46" i="82"/>
  <c r="C46" i="82"/>
  <c r="B46" i="82"/>
  <c r="P41" i="82"/>
  <c r="O41" i="82"/>
  <c r="N41" i="82"/>
  <c r="L41" i="82"/>
  <c r="K41" i="82"/>
  <c r="J41" i="82"/>
  <c r="H41" i="82"/>
  <c r="G41" i="82"/>
  <c r="F41" i="82"/>
  <c r="D41" i="82"/>
  <c r="C41" i="82"/>
  <c r="B41" i="82"/>
  <c r="Q38" i="82"/>
  <c r="M38" i="82"/>
  <c r="I38" i="82"/>
  <c r="E38" i="82"/>
  <c r="P27" i="82"/>
  <c r="O27" i="82"/>
  <c r="N27" i="82"/>
  <c r="L27" i="82"/>
  <c r="K27" i="82"/>
  <c r="J27" i="82"/>
  <c r="H27" i="82"/>
  <c r="G27" i="82"/>
  <c r="F27" i="82"/>
  <c r="D27" i="82"/>
  <c r="C27" i="82"/>
  <c r="B27" i="82"/>
  <c r="Q25" i="82"/>
  <c r="M25" i="82"/>
  <c r="I25" i="82"/>
  <c r="E25" i="82"/>
  <c r="P18" i="82"/>
  <c r="O105" i="2" s="1"/>
  <c r="O18" i="82"/>
  <c r="O103" i="2" s="1"/>
  <c r="N18" i="82"/>
  <c r="O101" i="2" s="1"/>
  <c r="L18" i="82"/>
  <c r="O99" i="2" s="1"/>
  <c r="K18" i="82"/>
  <c r="O97" i="2" s="1"/>
  <c r="J18" i="82"/>
  <c r="O95" i="2" s="1"/>
  <c r="H18" i="82"/>
  <c r="O93" i="2" s="1"/>
  <c r="G18" i="82"/>
  <c r="O91" i="2" s="1"/>
  <c r="F18" i="82"/>
  <c r="O89" i="2" s="1"/>
  <c r="D18" i="82"/>
  <c r="O87" i="2" s="1"/>
  <c r="C18" i="82"/>
  <c r="O85" i="2" s="1"/>
  <c r="B18" i="82"/>
  <c r="O83" i="2" s="1"/>
  <c r="P17" i="82"/>
  <c r="N105" i="2" s="1"/>
  <c r="O17" i="82"/>
  <c r="N103" i="2" s="1"/>
  <c r="N17" i="82"/>
  <c r="N101" i="2" s="1"/>
  <c r="L17" i="82"/>
  <c r="N99" i="2" s="1"/>
  <c r="K17" i="82"/>
  <c r="N97" i="2" s="1"/>
  <c r="J17" i="82"/>
  <c r="N95" i="2" s="1"/>
  <c r="H17" i="82"/>
  <c r="N93" i="2" s="1"/>
  <c r="G17" i="82"/>
  <c r="N91" i="2" s="1"/>
  <c r="F17" i="82"/>
  <c r="N89" i="2" s="1"/>
  <c r="D17" i="82"/>
  <c r="N87" i="2" s="1"/>
  <c r="C17" i="82"/>
  <c r="N85" i="2" s="1"/>
  <c r="B17" i="82"/>
  <c r="N83" i="2" s="1"/>
  <c r="P16" i="82"/>
  <c r="O16" i="82"/>
  <c r="N16" i="82"/>
  <c r="L16" i="82"/>
  <c r="K16" i="82"/>
  <c r="J16" i="82"/>
  <c r="H16" i="82"/>
  <c r="G16" i="82"/>
  <c r="F16" i="82"/>
  <c r="D16" i="82"/>
  <c r="C16" i="82"/>
  <c r="B16" i="82"/>
  <c r="P15" i="82"/>
  <c r="O15" i="82"/>
  <c r="N15" i="82"/>
  <c r="L15" i="82"/>
  <c r="K15" i="82"/>
  <c r="J15" i="82"/>
  <c r="H15" i="82"/>
  <c r="G15" i="82"/>
  <c r="F15" i="82"/>
  <c r="D15" i="82"/>
  <c r="C15" i="82"/>
  <c r="B15" i="82"/>
  <c r="P14" i="82"/>
  <c r="O14" i="82"/>
  <c r="N14" i="82"/>
  <c r="L14" i="82"/>
  <c r="K14" i="82"/>
  <c r="J14" i="82"/>
  <c r="H14" i="82"/>
  <c r="G14" i="82"/>
  <c r="F14" i="82"/>
  <c r="D14" i="82"/>
  <c r="C14" i="82"/>
  <c r="B14" i="82"/>
  <c r="R1" i="82"/>
  <c r="P10" i="82"/>
  <c r="O10" i="82"/>
  <c r="B10" i="82"/>
  <c r="F10" i="82"/>
  <c r="L10" i="82"/>
  <c r="J10" i="82"/>
  <c r="H10" i="82"/>
  <c r="N10" i="82"/>
  <c r="G10" i="82"/>
  <c r="D10" i="82"/>
  <c r="K10" i="82"/>
  <c r="C10" i="82"/>
  <c r="L1116" i="82" l="1"/>
  <c r="R1171" i="82"/>
  <c r="Q27" i="82"/>
  <c r="AA401" i="82"/>
  <c r="L1121" i="82"/>
  <c r="R1168" i="82"/>
  <c r="I27" i="82"/>
  <c r="L1117" i="82"/>
  <c r="F1171" i="82"/>
  <c r="L1115" i="82"/>
  <c r="F1168" i="82"/>
  <c r="F1165" i="82"/>
  <c r="N910" i="82"/>
  <c r="N932" i="82" s="1"/>
  <c r="E757" i="82"/>
  <c r="L1114" i="82"/>
  <c r="L1120" i="82"/>
  <c r="L1122" i="82"/>
  <c r="AD1095" i="82"/>
  <c r="L1113" i="82"/>
  <c r="E1174" i="82"/>
  <c r="Q1174" i="82"/>
  <c r="L1112" i="82"/>
  <c r="R25" i="82"/>
  <c r="R1162" i="82"/>
  <c r="F1162" i="82"/>
  <c r="J1045" i="82"/>
  <c r="AD1093" i="82"/>
  <c r="G1120" i="82"/>
  <c r="C1093" i="82" s="1"/>
  <c r="R1165" i="82"/>
  <c r="N1168" i="82"/>
  <c r="N1171" i="82"/>
  <c r="N812" i="82"/>
  <c r="N816" i="82" s="1"/>
  <c r="Q331" i="82"/>
  <c r="J129" i="82"/>
  <c r="J132" i="82" s="1"/>
  <c r="Q704" i="82"/>
  <c r="M863" i="82"/>
  <c r="I890" i="82"/>
  <c r="J897" i="82"/>
  <c r="J928" i="82" s="1"/>
  <c r="M408" i="82"/>
  <c r="I888" i="82"/>
  <c r="G769" i="82"/>
  <c r="G772" i="82" s="1"/>
  <c r="G773" i="82" s="1"/>
  <c r="C897" i="82"/>
  <c r="C928" i="82" s="1"/>
  <c r="D671" i="82"/>
  <c r="D674" i="82" s="1"/>
  <c r="D675" i="82" s="1"/>
  <c r="R387" i="82"/>
  <c r="R413" i="82"/>
  <c r="R422" i="82"/>
  <c r="R474" i="82"/>
  <c r="I538" i="82"/>
  <c r="G129" i="82"/>
  <c r="G132" i="82" s="1"/>
  <c r="G133" i="82" s="1"/>
  <c r="G671" i="82"/>
  <c r="G674" i="82" s="1"/>
  <c r="G675" i="82" s="1"/>
  <c r="I743" i="82"/>
  <c r="I804" i="82"/>
  <c r="I836" i="82"/>
  <c r="Q670" i="82"/>
  <c r="R764" i="82"/>
  <c r="E800" i="82"/>
  <c r="E810" i="82"/>
  <c r="H897" i="82"/>
  <c r="H928" i="82" s="1"/>
  <c r="M903" i="82"/>
  <c r="Q716" i="82"/>
  <c r="I889" i="82"/>
  <c r="E896" i="82"/>
  <c r="C605" i="82"/>
  <c r="C608" i="82" s="1"/>
  <c r="C609" i="82" s="1"/>
  <c r="I782" i="82"/>
  <c r="I907" i="82"/>
  <c r="M17" i="82"/>
  <c r="R285" i="82"/>
  <c r="R448" i="82"/>
  <c r="R456" i="82"/>
  <c r="F909" i="82"/>
  <c r="B560" i="82"/>
  <c r="B563" i="82" s="1"/>
  <c r="B564" i="82" s="1"/>
  <c r="R277" i="82"/>
  <c r="I331" i="82"/>
  <c r="I704" i="82"/>
  <c r="R756" i="82"/>
  <c r="I757" i="82"/>
  <c r="Q905" i="82"/>
  <c r="Q907" i="82"/>
  <c r="Q767" i="82"/>
  <c r="Q890" i="82"/>
  <c r="R419" i="82"/>
  <c r="R441" i="82"/>
  <c r="R457" i="82"/>
  <c r="Q581" i="82"/>
  <c r="I652" i="82"/>
  <c r="Q708" i="82"/>
  <c r="Q743" i="82"/>
  <c r="R857" i="82"/>
  <c r="M888" i="82"/>
  <c r="M905" i="82"/>
  <c r="AD983" i="82"/>
  <c r="AF977" i="82"/>
  <c r="K312" i="82"/>
  <c r="K320" i="82" s="1"/>
  <c r="K321" i="82" s="1"/>
  <c r="I50" i="82"/>
  <c r="E58" i="82"/>
  <c r="E108" i="82"/>
  <c r="R200" i="82"/>
  <c r="Z400" i="82"/>
  <c r="R489" i="82"/>
  <c r="D897" i="82"/>
  <c r="D928" i="82" s="1"/>
  <c r="R577" i="82"/>
  <c r="M603" i="82"/>
  <c r="R619" i="82"/>
  <c r="E641" i="82"/>
  <c r="R660" i="82"/>
  <c r="M704" i="82"/>
  <c r="Q853" i="82"/>
  <c r="E894" i="82"/>
  <c r="AD939" i="82"/>
  <c r="AO939" i="82" s="1"/>
  <c r="R535" i="82"/>
  <c r="M716" i="82"/>
  <c r="D910" i="82"/>
  <c r="D932" i="82" s="1"/>
  <c r="R148" i="82"/>
  <c r="R210" i="82"/>
  <c r="R212" i="82"/>
  <c r="R225" i="82"/>
  <c r="R227" i="82"/>
  <c r="R243" i="82"/>
  <c r="R433" i="82"/>
  <c r="R475" i="82"/>
  <c r="R490" i="82"/>
  <c r="M635" i="82"/>
  <c r="I767" i="82"/>
  <c r="R780" i="82"/>
  <c r="P897" i="82"/>
  <c r="P928" i="82" s="1"/>
  <c r="R160" i="82"/>
  <c r="R165" i="82"/>
  <c r="R556" i="82"/>
  <c r="E716" i="82"/>
  <c r="Q800" i="82"/>
  <c r="Q887" i="82"/>
  <c r="C59" i="82"/>
  <c r="C62" i="82" s="1"/>
  <c r="C63" i="82" s="1"/>
  <c r="R113" i="82"/>
  <c r="R120" i="82"/>
  <c r="R123" i="82"/>
  <c r="I311" i="82"/>
  <c r="R465" i="82"/>
  <c r="M506" i="82"/>
  <c r="Q538" i="82"/>
  <c r="Q558" i="82"/>
  <c r="I603" i="82"/>
  <c r="C671" i="82"/>
  <c r="C674" i="82" s="1"/>
  <c r="C675" i="82" s="1"/>
  <c r="I716" i="82"/>
  <c r="M743" i="82"/>
  <c r="J865" i="82"/>
  <c r="J868" i="82" s="1"/>
  <c r="R232" i="82"/>
  <c r="K901" i="82"/>
  <c r="K930" i="82" s="1"/>
  <c r="R440" i="82"/>
  <c r="M58" i="82"/>
  <c r="I128" i="82"/>
  <c r="R190" i="82"/>
  <c r="R378" i="82"/>
  <c r="R402" i="82"/>
  <c r="R574" i="82"/>
  <c r="R627" i="82"/>
  <c r="Q641" i="82"/>
  <c r="L769" i="82"/>
  <c r="L772" i="82" s="1"/>
  <c r="L773" i="82" s="1"/>
  <c r="J812" i="82"/>
  <c r="J816" i="82" s="1"/>
  <c r="Q864" i="82"/>
  <c r="M890" i="82"/>
  <c r="B897" i="82"/>
  <c r="B928" i="82" s="1"/>
  <c r="Q895" i="82"/>
  <c r="AF983" i="82"/>
  <c r="R584" i="82"/>
  <c r="E603" i="82"/>
  <c r="M708" i="82"/>
  <c r="R38" i="82"/>
  <c r="M46" i="82"/>
  <c r="R116" i="82"/>
  <c r="R118" i="82"/>
  <c r="C892" i="82"/>
  <c r="C926" i="82" s="1"/>
  <c r="R178" i="82"/>
  <c r="R180" i="82"/>
  <c r="R197" i="82"/>
  <c r="R301" i="82"/>
  <c r="C507" i="82"/>
  <c r="C512" i="82" s="1"/>
  <c r="C513" i="82" s="1"/>
  <c r="R404" i="82"/>
  <c r="R473" i="82"/>
  <c r="R493" i="82"/>
  <c r="R498" i="82"/>
  <c r="N560" i="82"/>
  <c r="N563" i="82" s="1"/>
  <c r="M767" i="82"/>
  <c r="K812" i="82"/>
  <c r="K816" i="82" s="1"/>
  <c r="K818" i="82" s="1"/>
  <c r="R828" i="82"/>
  <c r="H910" i="82"/>
  <c r="H932" i="82" s="1"/>
  <c r="Q14" i="82"/>
  <c r="R158" i="82"/>
  <c r="R207" i="82"/>
  <c r="M16" i="82"/>
  <c r="H59" i="82"/>
  <c r="H62" i="82" s="1"/>
  <c r="H63" i="82" s="1"/>
  <c r="C129" i="82"/>
  <c r="C132" i="82" s="1"/>
  <c r="C133" i="82" s="1"/>
  <c r="Q89" i="82"/>
  <c r="R100" i="82"/>
  <c r="R106" i="82"/>
  <c r="R112" i="82"/>
  <c r="R125" i="82"/>
  <c r="H312" i="82"/>
  <c r="H320" i="82" s="1"/>
  <c r="H321" i="82" s="1"/>
  <c r="R151" i="82"/>
  <c r="R195" i="82"/>
  <c r="R206" i="82"/>
  <c r="R274" i="82"/>
  <c r="R288" i="82"/>
  <c r="R359" i="82"/>
  <c r="AH401" i="82"/>
  <c r="R425" i="82"/>
  <c r="R427" i="82"/>
  <c r="R447" i="82"/>
  <c r="R458" i="82"/>
  <c r="R500" i="82"/>
  <c r="Q506" i="82"/>
  <c r="R509" i="82"/>
  <c r="M550" i="82"/>
  <c r="N605" i="82"/>
  <c r="N608" i="82" s="1"/>
  <c r="I641" i="82"/>
  <c r="R696" i="82"/>
  <c r="E704" i="82"/>
  <c r="D769" i="82"/>
  <c r="D772" i="82" s="1"/>
  <c r="D773" i="82" s="1"/>
  <c r="O769" i="82"/>
  <c r="O772" i="82" s="1"/>
  <c r="O773" i="82" s="1"/>
  <c r="R749" i="82"/>
  <c r="R751" i="82"/>
  <c r="R753" i="82"/>
  <c r="P812" i="82"/>
  <c r="P816" i="82" s="1"/>
  <c r="P818" i="82" s="1"/>
  <c r="P958" i="82" s="1"/>
  <c r="M811" i="82"/>
  <c r="M15" i="82"/>
  <c r="Q50" i="82"/>
  <c r="R156" i="82"/>
  <c r="R196" i="82"/>
  <c r="Q108" i="82"/>
  <c r="R159" i="82"/>
  <c r="R189" i="82"/>
  <c r="R208" i="82"/>
  <c r="J312" i="82"/>
  <c r="J320" i="82" s="1"/>
  <c r="J321" i="82" s="1"/>
  <c r="R252" i="82"/>
  <c r="R367" i="82"/>
  <c r="R453" i="82"/>
  <c r="F560" i="82"/>
  <c r="F563" i="82" s="1"/>
  <c r="E604" i="82"/>
  <c r="R631" i="82"/>
  <c r="E635" i="82"/>
  <c r="M700" i="82"/>
  <c r="R770" i="82"/>
  <c r="C812" i="82"/>
  <c r="C816" i="82" s="1"/>
  <c r="C817" i="82" s="1"/>
  <c r="R866" i="82"/>
  <c r="D909" i="82"/>
  <c r="O909" i="82"/>
  <c r="I108" i="82"/>
  <c r="R177" i="82"/>
  <c r="R255" i="82"/>
  <c r="O812" i="82"/>
  <c r="O816" i="82" s="1"/>
  <c r="O817" i="82" s="1"/>
  <c r="H812" i="82"/>
  <c r="H816" i="82" s="1"/>
  <c r="H817" i="82" s="1"/>
  <c r="Q863" i="82"/>
  <c r="M894" i="82"/>
  <c r="C865" i="82"/>
  <c r="C868" i="82" s="1"/>
  <c r="C869" i="82" s="1"/>
  <c r="E14" i="82"/>
  <c r="E16" i="82"/>
  <c r="I46" i="82"/>
  <c r="G892" i="82"/>
  <c r="G926" i="82" s="1"/>
  <c r="R175" i="82"/>
  <c r="R181" i="82"/>
  <c r="R253" i="82"/>
  <c r="R366" i="82"/>
  <c r="E559" i="82"/>
  <c r="F605" i="82"/>
  <c r="F608" i="82" s="1"/>
  <c r="M18" i="82"/>
  <c r="E41" i="82"/>
  <c r="R126" i="82"/>
  <c r="I127" i="82"/>
  <c r="E128" i="82"/>
  <c r="R146" i="82"/>
  <c r="R171" i="82"/>
  <c r="P892" i="82"/>
  <c r="P926" i="82" s="1"/>
  <c r="R194" i="82"/>
  <c r="R249" i="82"/>
  <c r="R251" i="82"/>
  <c r="R304" i="82"/>
  <c r="Q311" i="82"/>
  <c r="R353" i="82"/>
  <c r="AL401" i="82"/>
  <c r="R416" i="82"/>
  <c r="R463" i="82"/>
  <c r="R499" i="82"/>
  <c r="R534" i="82"/>
  <c r="R541" i="82"/>
  <c r="K605" i="82"/>
  <c r="K608" i="82" s="1"/>
  <c r="K609" i="82" s="1"/>
  <c r="R661" i="82"/>
  <c r="Q669" i="82"/>
  <c r="R735" i="82"/>
  <c r="E743" i="82"/>
  <c r="M800" i="82"/>
  <c r="Q804" i="82"/>
  <c r="R845" i="82"/>
  <c r="R848" i="82"/>
  <c r="I863" i="82"/>
  <c r="Q889" i="82"/>
  <c r="E905" i="82"/>
  <c r="G909" i="82"/>
  <c r="I908" i="82"/>
  <c r="I17" i="82"/>
  <c r="K59" i="82"/>
  <c r="K62" i="82" s="1"/>
  <c r="K63" i="82" s="1"/>
  <c r="D59" i="82"/>
  <c r="D62" i="82" s="1"/>
  <c r="D63" i="82" s="1"/>
  <c r="J59" i="82"/>
  <c r="J62" i="82" s="1"/>
  <c r="M57" i="82"/>
  <c r="Q58" i="82"/>
  <c r="R296" i="82"/>
  <c r="R439" i="82"/>
  <c r="I800" i="82"/>
  <c r="E863" i="82"/>
  <c r="I16" i="82"/>
  <c r="Q18" i="82"/>
  <c r="M41" i="82"/>
  <c r="B59" i="82"/>
  <c r="B62" i="82" s="1"/>
  <c r="E57" i="82"/>
  <c r="I58" i="82"/>
  <c r="R240" i="82"/>
  <c r="R597" i="82"/>
  <c r="R626" i="82"/>
  <c r="L671" i="82"/>
  <c r="L674" i="82" s="1"/>
  <c r="L675" i="82" s="1"/>
  <c r="I670" i="82"/>
  <c r="Q782" i="82"/>
  <c r="I14" i="82"/>
  <c r="E15" i="82"/>
  <c r="Q15" i="82"/>
  <c r="E18" i="82"/>
  <c r="R93" i="82"/>
  <c r="E96" i="82"/>
  <c r="R101" i="82"/>
  <c r="R103" i="82"/>
  <c r="R107" i="82"/>
  <c r="R173" i="82"/>
  <c r="R430" i="82"/>
  <c r="M587" i="82"/>
  <c r="M14" i="82"/>
  <c r="E17" i="82"/>
  <c r="I41" i="82"/>
  <c r="R510" i="82"/>
  <c r="M641" i="82"/>
  <c r="L717" i="82"/>
  <c r="L720" i="82" s="1"/>
  <c r="L721" i="82" s="1"/>
  <c r="E903" i="82"/>
  <c r="I15" i="82"/>
  <c r="E587" i="82"/>
  <c r="N865" i="82"/>
  <c r="N868" i="82" s="1"/>
  <c r="N869" i="82" s="1"/>
  <c r="Q836" i="82"/>
  <c r="I18" i="82"/>
  <c r="Q41" i="82"/>
  <c r="Q57" i="82"/>
  <c r="P129" i="82"/>
  <c r="P132" i="82" s="1"/>
  <c r="P133" i="82" s="1"/>
  <c r="M127" i="82"/>
  <c r="R150" i="82"/>
  <c r="R152" i="82"/>
  <c r="R154" i="82"/>
  <c r="R163" i="82"/>
  <c r="R167" i="82"/>
  <c r="R169" i="82"/>
  <c r="R193" i="82"/>
  <c r="R205" i="82"/>
  <c r="R242" i="82"/>
  <c r="R244" i="82"/>
  <c r="R246" i="82"/>
  <c r="R258" i="82"/>
  <c r="R262" i="82"/>
  <c r="R266" i="82"/>
  <c r="R268" i="82"/>
  <c r="R270" i="82"/>
  <c r="M331" i="82"/>
  <c r="R347" i="82"/>
  <c r="R386" i="82"/>
  <c r="R391" i="82"/>
  <c r="R405" i="82"/>
  <c r="R424" i="82"/>
  <c r="R464" i="82"/>
  <c r="R483" i="82"/>
  <c r="R486" i="82"/>
  <c r="Q505" i="82"/>
  <c r="R529" i="82"/>
  <c r="E558" i="82"/>
  <c r="I581" i="82"/>
  <c r="Q603" i="82"/>
  <c r="Q652" i="82"/>
  <c r="R659" i="82"/>
  <c r="R664" i="82"/>
  <c r="R667" i="82"/>
  <c r="E669" i="82"/>
  <c r="R682" i="82"/>
  <c r="G717" i="82"/>
  <c r="G720" i="82" s="1"/>
  <c r="G721" i="82" s="1"/>
  <c r="R718" i="82"/>
  <c r="R731" i="82"/>
  <c r="B769" i="82"/>
  <c r="B772" i="82" s="1"/>
  <c r="J769" i="82"/>
  <c r="J772" i="82" s="1"/>
  <c r="R763" i="82"/>
  <c r="Q796" i="82"/>
  <c r="R831" i="82"/>
  <c r="K865" i="82"/>
  <c r="K868" i="82" s="1"/>
  <c r="K870" i="82" s="1"/>
  <c r="I864" i="82"/>
  <c r="L897" i="82"/>
  <c r="L928" i="82" s="1"/>
  <c r="I896" i="82"/>
  <c r="E908" i="82"/>
  <c r="Q17" i="82"/>
  <c r="P59" i="82"/>
  <c r="P62" i="82" s="1"/>
  <c r="P63" i="82" s="1"/>
  <c r="I57" i="82"/>
  <c r="R60" i="82"/>
  <c r="H129" i="82"/>
  <c r="H132" i="82" s="1"/>
  <c r="H133" i="82" s="1"/>
  <c r="Q96" i="82"/>
  <c r="R105" i="82"/>
  <c r="R114" i="82"/>
  <c r="R121" i="82"/>
  <c r="E127" i="82"/>
  <c r="R130" i="82"/>
  <c r="R145" i="82"/>
  <c r="R147" i="82"/>
  <c r="R179" i="82"/>
  <c r="R183" i="82"/>
  <c r="R185" i="82"/>
  <c r="R229" i="82"/>
  <c r="R231" i="82"/>
  <c r="R233" i="82"/>
  <c r="R235" i="82"/>
  <c r="M311" i="82"/>
  <c r="R325" i="82"/>
  <c r="R350" i="82"/>
  <c r="R352" i="82"/>
  <c r="R354" i="82"/>
  <c r="R370" i="82"/>
  <c r="R377" i="82"/>
  <c r="R401" i="82"/>
  <c r="R414" i="82"/>
  <c r="R423" i="82"/>
  <c r="R435" i="82"/>
  <c r="R455" i="82"/>
  <c r="R466" i="82"/>
  <c r="R477" i="82"/>
  <c r="R479" i="82"/>
  <c r="K560" i="82"/>
  <c r="K563" i="82" s="1"/>
  <c r="K564" i="82" s="1"/>
  <c r="I543" i="82"/>
  <c r="Q543" i="82"/>
  <c r="R576" i="82"/>
  <c r="E708" i="82"/>
  <c r="E715" i="82"/>
  <c r="R755" i="82"/>
  <c r="E767" i="82"/>
  <c r="I796" i="82"/>
  <c r="R851" i="82"/>
  <c r="E853" i="82"/>
  <c r="M889" i="82"/>
  <c r="E890" i="82"/>
  <c r="R192" i="82"/>
  <c r="R202" i="82"/>
  <c r="R204" i="82"/>
  <c r="R219" i="82"/>
  <c r="M221" i="82"/>
  <c r="R237" i="82"/>
  <c r="R239" i="82"/>
  <c r="R257" i="82"/>
  <c r="R259" i="82"/>
  <c r="R264" i="82"/>
  <c r="R278" i="82"/>
  <c r="R280" i="82"/>
  <c r="R282" i="82"/>
  <c r="R305" i="82"/>
  <c r="E311" i="82"/>
  <c r="R356" i="82"/>
  <c r="R358" i="82"/>
  <c r="R360" i="82"/>
  <c r="R362" i="82"/>
  <c r="R374" i="82"/>
  <c r="R385" i="82"/>
  <c r="R417" i="82"/>
  <c r="R444" i="82"/>
  <c r="R446" i="82"/>
  <c r="R449" i="82"/>
  <c r="R491" i="82"/>
  <c r="R502" i="82"/>
  <c r="R504" i="82"/>
  <c r="E506" i="82"/>
  <c r="C560" i="82"/>
  <c r="C563" i="82" s="1"/>
  <c r="C564" i="82" s="1"/>
  <c r="J560" i="82"/>
  <c r="J563" i="82" s="1"/>
  <c r="E550" i="82"/>
  <c r="R601" i="82"/>
  <c r="R621" i="82"/>
  <c r="R639" i="82"/>
  <c r="I669" i="82"/>
  <c r="M670" i="82"/>
  <c r="K717" i="82"/>
  <c r="K720" i="82" s="1"/>
  <c r="K721" i="82" s="1"/>
  <c r="Q715" i="82"/>
  <c r="R834" i="82"/>
  <c r="D865" i="82"/>
  <c r="D868" i="82" s="1"/>
  <c r="D870" i="82" s="1"/>
  <c r="E889" i="82"/>
  <c r="I895" i="82"/>
  <c r="O910" i="82"/>
  <c r="O932" i="82" s="1"/>
  <c r="H909" i="82"/>
  <c r="P910" i="82"/>
  <c r="P932" i="82" s="1"/>
  <c r="Q16" i="82"/>
  <c r="Q46" i="82"/>
  <c r="R54" i="82"/>
  <c r="K129" i="82"/>
  <c r="K132" i="82" s="1"/>
  <c r="K133" i="82" s="1"/>
  <c r="I96" i="82"/>
  <c r="Q127" i="82"/>
  <c r="M128" i="82"/>
  <c r="R149" i="82"/>
  <c r="R153" i="82"/>
  <c r="R155" i="82"/>
  <c r="R162" i="82"/>
  <c r="R164" i="82"/>
  <c r="R166" i="82"/>
  <c r="R168" i="82"/>
  <c r="R245" i="82"/>
  <c r="R248" i="82"/>
  <c r="R261" i="82"/>
  <c r="R263" i="82"/>
  <c r="R267" i="82"/>
  <c r="R315" i="82"/>
  <c r="R344" i="82"/>
  <c r="R381" i="82"/>
  <c r="R392" i="82"/>
  <c r="R398" i="82"/>
  <c r="AH400" i="82"/>
  <c r="R467" i="82"/>
  <c r="R485" i="82"/>
  <c r="R528" i="82"/>
  <c r="R557" i="82"/>
  <c r="R585" i="82"/>
  <c r="O605" i="82"/>
  <c r="O608" i="82" s="1"/>
  <c r="O609" i="82" s="1"/>
  <c r="R625" i="82"/>
  <c r="R651" i="82"/>
  <c r="R658" i="82"/>
  <c r="R663" i="82"/>
  <c r="R666" i="82"/>
  <c r="E670" i="82"/>
  <c r="E684" i="82"/>
  <c r="P717" i="82"/>
  <c r="P720" i="82" s="1"/>
  <c r="P721" i="82" s="1"/>
  <c r="R730" i="82"/>
  <c r="R732" i="82"/>
  <c r="E739" i="82"/>
  <c r="Q757" i="82"/>
  <c r="M768" i="82"/>
  <c r="M804" i="82"/>
  <c r="I810" i="82"/>
  <c r="R830" i="82"/>
  <c r="I841" i="82"/>
  <c r="M896" i="82"/>
  <c r="G910" i="82"/>
  <c r="G932" i="82" s="1"/>
  <c r="B129" i="82"/>
  <c r="B132" i="82" s="1"/>
  <c r="L129" i="82"/>
  <c r="L132" i="82" s="1"/>
  <c r="L133" i="82" s="1"/>
  <c r="R94" i="82"/>
  <c r="R102" i="82"/>
  <c r="R104" i="82"/>
  <c r="M108" i="82"/>
  <c r="R111" i="82"/>
  <c r="R115" i="82"/>
  <c r="R117" i="82"/>
  <c r="R144" i="82"/>
  <c r="R157" i="82"/>
  <c r="R161" i="82"/>
  <c r="R170" i="82"/>
  <c r="R172" i="82"/>
  <c r="R174" i="82"/>
  <c r="R176" i="82"/>
  <c r="R188" i="82"/>
  <c r="R211" i="82"/>
  <c r="B312" i="82"/>
  <c r="B320" i="82" s="1"/>
  <c r="R226" i="82"/>
  <c r="R228" i="82"/>
  <c r="R250" i="82"/>
  <c r="R265" i="82"/>
  <c r="R273" i="82"/>
  <c r="R275" i="82"/>
  <c r="R287" i="82"/>
  <c r="R289" i="82"/>
  <c r="R291" i="82"/>
  <c r="Q292" i="82"/>
  <c r="R295" i="82"/>
  <c r="R298" i="82"/>
  <c r="M310" i="82"/>
  <c r="R314" i="82"/>
  <c r="R316" i="82"/>
  <c r="R329" i="82"/>
  <c r="R331" i="82" s="1"/>
  <c r="R390" i="82"/>
  <c r="Z401" i="82"/>
  <c r="R411" i="82"/>
  <c r="R431" i="82"/>
  <c r="R442" i="82"/>
  <c r="R452" i="82"/>
  <c r="R472" i="82"/>
  <c r="R488" i="82"/>
  <c r="R492" i="82"/>
  <c r="M505" i="82"/>
  <c r="R532" i="82"/>
  <c r="Q559" i="82"/>
  <c r="R573" i="82"/>
  <c r="Q587" i="82"/>
  <c r="R633" i="82"/>
  <c r="O671" i="82"/>
  <c r="O674" i="82" s="1"/>
  <c r="O675" i="82" s="1"/>
  <c r="R668" i="82"/>
  <c r="R672" i="82"/>
  <c r="Q684" i="82"/>
  <c r="C717" i="82"/>
  <c r="C720" i="82" s="1"/>
  <c r="C721" i="82" s="1"/>
  <c r="H717" i="82"/>
  <c r="H720" i="82" s="1"/>
  <c r="H721" i="82" s="1"/>
  <c r="I715" i="82"/>
  <c r="R748" i="82"/>
  <c r="R752" i="82"/>
  <c r="R754" i="82"/>
  <c r="D812" i="82"/>
  <c r="D816" i="82" s="1"/>
  <c r="D818" i="82" s="1"/>
  <c r="L812" i="82"/>
  <c r="L816" i="82" s="1"/>
  <c r="L818" i="82" s="1"/>
  <c r="L819" i="82" s="1"/>
  <c r="E804" i="82"/>
  <c r="E811" i="82"/>
  <c r="R844" i="82"/>
  <c r="E864" i="82"/>
  <c r="E904" i="82"/>
  <c r="I905" i="82"/>
  <c r="R142" i="82"/>
  <c r="R182" i="82"/>
  <c r="R184" i="82"/>
  <c r="Q221" i="82"/>
  <c r="R230" i="82"/>
  <c r="R234" i="82"/>
  <c r="R236" i="82"/>
  <c r="Q900" i="82"/>
  <c r="R300" i="82"/>
  <c r="R318" i="82"/>
  <c r="R351" i="82"/>
  <c r="R364" i="82"/>
  <c r="R371" i="82"/>
  <c r="R373" i="82"/>
  <c r="R379" i="82"/>
  <c r="AL400" i="82"/>
  <c r="R403" i="82"/>
  <c r="E408" i="82"/>
  <c r="R426" i="82"/>
  <c r="R478" i="82"/>
  <c r="R497" i="82"/>
  <c r="G560" i="82"/>
  <c r="G563" i="82" s="1"/>
  <c r="G564" i="82" s="1"/>
  <c r="P560" i="82"/>
  <c r="P563" i="82" s="1"/>
  <c r="P564" i="82" s="1"/>
  <c r="M543" i="82"/>
  <c r="I550" i="82"/>
  <c r="R575" i="82"/>
  <c r="P605" i="82"/>
  <c r="P608" i="82" s="1"/>
  <c r="P609" i="82" s="1"/>
  <c r="I587" i="82"/>
  <c r="R591" i="82"/>
  <c r="G605" i="82"/>
  <c r="G608" i="82" s="1"/>
  <c r="G609" i="82" s="1"/>
  <c r="O717" i="82"/>
  <c r="O720" i="82" s="1"/>
  <c r="O721" i="82" s="1"/>
  <c r="I708" i="82"/>
  <c r="R750" i="82"/>
  <c r="R852" i="82"/>
  <c r="R856" i="82"/>
  <c r="N897" i="82"/>
  <c r="N928" i="82" s="1"/>
  <c r="Q896" i="82"/>
  <c r="Q904" i="82"/>
  <c r="L909" i="82"/>
  <c r="M908" i="82"/>
  <c r="D129" i="82"/>
  <c r="D132" i="82" s="1"/>
  <c r="D133" i="82" s="1"/>
  <c r="O129" i="82"/>
  <c r="O132" i="82" s="1"/>
  <c r="O133" i="82" s="1"/>
  <c r="M96" i="82"/>
  <c r="Q128" i="82"/>
  <c r="R187" i="82"/>
  <c r="R199" i="82"/>
  <c r="R201" i="82"/>
  <c r="R203" i="82"/>
  <c r="R218" i="82"/>
  <c r="E221" i="82"/>
  <c r="R238" i="82"/>
  <c r="R260" i="82"/>
  <c r="R281" i="82"/>
  <c r="E310" i="82"/>
  <c r="R341" i="82"/>
  <c r="R361" i="82"/>
  <c r="R363" i="82"/>
  <c r="R369" i="82"/>
  <c r="R382" i="82"/>
  <c r="R443" i="82"/>
  <c r="R445" i="82"/>
  <c r="R450" i="82"/>
  <c r="R503" i="82"/>
  <c r="R508" i="82"/>
  <c r="H560" i="82"/>
  <c r="H563" i="82" s="1"/>
  <c r="H564" i="82" s="1"/>
  <c r="I559" i="82"/>
  <c r="R602" i="82"/>
  <c r="R618" i="82"/>
  <c r="R620" i="82"/>
  <c r="R622" i="82"/>
  <c r="R638" i="82"/>
  <c r="R647" i="82"/>
  <c r="R712" i="82"/>
  <c r="P769" i="82"/>
  <c r="P772" i="82" s="1"/>
  <c r="P773" i="82" s="1"/>
  <c r="R761" i="82"/>
  <c r="Q768" i="82"/>
  <c r="R827" i="82"/>
  <c r="B865" i="82"/>
  <c r="B868" i="82" s="1"/>
  <c r="M841" i="82"/>
  <c r="R849" i="82"/>
  <c r="B910" i="82"/>
  <c r="B932" i="82" s="1"/>
  <c r="N909" i="82"/>
  <c r="Q888" i="82"/>
  <c r="R79" i="82"/>
  <c r="M887" i="82"/>
  <c r="M89" i="82"/>
  <c r="M891" i="82"/>
  <c r="R73" i="82"/>
  <c r="R75" i="82"/>
  <c r="R81" i="82"/>
  <c r="R84" i="82"/>
  <c r="R87" i="82"/>
  <c r="I891" i="82"/>
  <c r="R72" i="82"/>
  <c r="R74" i="82"/>
  <c r="R78" i="82"/>
  <c r="R80" i="82"/>
  <c r="R82" i="82"/>
  <c r="R86" i="82"/>
  <c r="I887" i="82"/>
  <c r="I89" i="82"/>
  <c r="R76" i="82"/>
  <c r="D892" i="82"/>
  <c r="D926" i="82" s="1"/>
  <c r="E89" i="82"/>
  <c r="R77" i="82"/>
  <c r="E888" i="82"/>
  <c r="E891" i="82"/>
  <c r="N1064" i="82"/>
  <c r="L1064" i="82"/>
  <c r="K1064" i="82"/>
  <c r="I1064" i="82"/>
  <c r="H1064" i="82"/>
  <c r="N1062" i="82"/>
  <c r="L1062" i="82"/>
  <c r="K1062" i="82"/>
  <c r="I1062" i="82"/>
  <c r="H1062" i="82"/>
  <c r="L1065" i="82"/>
  <c r="K1065" i="82"/>
  <c r="I1065" i="82"/>
  <c r="H1065" i="82"/>
  <c r="N1065" i="82"/>
  <c r="L1070" i="82"/>
  <c r="K1070" i="82"/>
  <c r="N1070" i="82"/>
  <c r="I1070" i="82"/>
  <c r="H1070" i="82"/>
  <c r="P783" i="82"/>
  <c r="P332" i="82"/>
  <c r="AP949" i="82" s="1"/>
  <c r="K1066" i="82"/>
  <c r="I1066" i="82"/>
  <c r="H1066" i="82"/>
  <c r="N1066" i="82"/>
  <c r="L1066" i="82"/>
  <c r="K783" i="82"/>
  <c r="K332" i="82"/>
  <c r="AP945" i="82" s="1"/>
  <c r="I1059" i="82"/>
  <c r="H1059" i="82"/>
  <c r="N1059" i="82"/>
  <c r="L1059" i="82"/>
  <c r="K1059" i="82"/>
  <c r="B685" i="82"/>
  <c r="B28" i="82"/>
  <c r="I1067" i="82"/>
  <c r="H1067" i="82"/>
  <c r="N1067" i="82"/>
  <c r="L1067" i="82"/>
  <c r="K1067" i="82"/>
  <c r="N1060" i="82"/>
  <c r="L1060" i="82"/>
  <c r="K1060" i="82"/>
  <c r="I1060" i="82"/>
  <c r="H1060" i="82"/>
  <c r="F977" i="82"/>
  <c r="C783" i="82"/>
  <c r="C685" i="82"/>
  <c r="C332" i="82"/>
  <c r="AP939" i="82" s="1"/>
  <c r="C28" i="82"/>
  <c r="K1068" i="82"/>
  <c r="N1068" i="82"/>
  <c r="L1068" i="82"/>
  <c r="I1068" i="82"/>
  <c r="H1068" i="82"/>
  <c r="N685" i="82"/>
  <c r="N28" i="82"/>
  <c r="I1063" i="82"/>
  <c r="H1063" i="82"/>
  <c r="N1063" i="82"/>
  <c r="L1063" i="82"/>
  <c r="K1063" i="82"/>
  <c r="I1061" i="82"/>
  <c r="H1061" i="82"/>
  <c r="N1061" i="82"/>
  <c r="K1061" i="82"/>
  <c r="L1061" i="82"/>
  <c r="D783" i="82"/>
  <c r="D332" i="82"/>
  <c r="AP940" i="82" s="1"/>
  <c r="H1069" i="82"/>
  <c r="N1069" i="82"/>
  <c r="L1069" i="82"/>
  <c r="K1069" i="82"/>
  <c r="J1069" i="82"/>
  <c r="I1069" i="82"/>
  <c r="O783" i="82"/>
  <c r="O28" i="82"/>
  <c r="O332" i="82"/>
  <c r="AP948" i="82" s="1"/>
  <c r="J28" i="82"/>
  <c r="K28" i="82"/>
  <c r="N312" i="82"/>
  <c r="L28" i="82"/>
  <c r="G28" i="82"/>
  <c r="P28" i="82"/>
  <c r="R191" i="82"/>
  <c r="H28" i="82"/>
  <c r="H886" i="82"/>
  <c r="H892" i="82" s="1"/>
  <c r="I271" i="82"/>
  <c r="R271" i="82" s="1"/>
  <c r="H900" i="82"/>
  <c r="F292" i="82"/>
  <c r="R307" i="82"/>
  <c r="Q310" i="82"/>
  <c r="R317" i="82"/>
  <c r="F332" i="82"/>
  <c r="AP941" i="82" s="1"/>
  <c r="N332" i="82"/>
  <c r="AP947" i="82" s="1"/>
  <c r="R346" i="82"/>
  <c r="R355" i="82"/>
  <c r="R357" i="82"/>
  <c r="M365" i="82"/>
  <c r="R365" i="82" s="1"/>
  <c r="R372" i="82"/>
  <c r="R384" i="82"/>
  <c r="R420" i="82"/>
  <c r="G685" i="82"/>
  <c r="E46" i="82"/>
  <c r="L59" i="82"/>
  <c r="L62" i="82" s="1"/>
  <c r="F769" i="82"/>
  <c r="I739" i="82"/>
  <c r="F28" i="82"/>
  <c r="E50" i="82"/>
  <c r="M50" i="82"/>
  <c r="F129" i="82"/>
  <c r="N129" i="82"/>
  <c r="J886" i="82"/>
  <c r="C214" i="82"/>
  <c r="C312" i="82" s="1"/>
  <c r="C320" i="82" s="1"/>
  <c r="M254" i="82"/>
  <c r="R254" i="82" s="1"/>
  <c r="R283" i="82"/>
  <c r="C900" i="82"/>
  <c r="E900" i="82" s="1"/>
  <c r="E286" i="82"/>
  <c r="R286" i="82" s="1"/>
  <c r="R303" i="82"/>
  <c r="I310" i="82"/>
  <c r="H332" i="82"/>
  <c r="AP943" i="82" s="1"/>
  <c r="R343" i="82"/>
  <c r="R389" i="82"/>
  <c r="D28" i="82"/>
  <c r="G332" i="82"/>
  <c r="AP942" i="82" s="1"/>
  <c r="F59" i="82"/>
  <c r="N59" i="82"/>
  <c r="K886" i="82"/>
  <c r="K892" i="82" s="1"/>
  <c r="O886" i="82"/>
  <c r="O892" i="82" s="1"/>
  <c r="D214" i="82"/>
  <c r="D312" i="82" s="1"/>
  <c r="D320" i="82" s="1"/>
  <c r="R309" i="82"/>
  <c r="J394" i="82"/>
  <c r="M339" i="82"/>
  <c r="R345" i="82"/>
  <c r="E394" i="82"/>
  <c r="E27" i="82"/>
  <c r="O59" i="82"/>
  <c r="O62" i="82" s="1"/>
  <c r="L886" i="82"/>
  <c r="L892" i="82" s="1"/>
  <c r="M214" i="82"/>
  <c r="G900" i="82"/>
  <c r="G292" i="82"/>
  <c r="R272" i="82"/>
  <c r="B332" i="82"/>
  <c r="AP938" i="82" s="1"/>
  <c r="K394" i="82"/>
  <c r="K507" i="82" s="1"/>
  <c r="K512" i="82" s="1"/>
  <c r="R348" i="82"/>
  <c r="R383" i="82"/>
  <c r="AB400" i="82"/>
  <c r="AB402" i="82"/>
  <c r="D899" i="82"/>
  <c r="D901" i="82" s="1"/>
  <c r="D930" i="82" s="1"/>
  <c r="D480" i="82"/>
  <c r="D507" i="82" s="1"/>
  <c r="D512" i="82" s="1"/>
  <c r="E412" i="82"/>
  <c r="L685" i="82"/>
  <c r="G783" i="82"/>
  <c r="M27" i="82"/>
  <c r="R1146" i="82"/>
  <c r="R1101" i="82"/>
  <c r="R1076" i="82"/>
  <c r="AS1023" i="82"/>
  <c r="R1022" i="82"/>
  <c r="AS988" i="82"/>
  <c r="R993" i="82"/>
  <c r="AT961" i="82"/>
  <c r="R967" i="82"/>
  <c r="AT929" i="82"/>
  <c r="R938" i="82"/>
  <c r="R914" i="82"/>
  <c r="R873" i="82"/>
  <c r="G59" i="82"/>
  <c r="G62" i="82" s="1"/>
  <c r="E143" i="82"/>
  <c r="M143" i="82"/>
  <c r="Q186" i="82"/>
  <c r="R186" i="82" s="1"/>
  <c r="U186" i="82" s="1"/>
  <c r="F214" i="82"/>
  <c r="I256" i="82"/>
  <c r="R256" i="82" s="1"/>
  <c r="R279" i="82"/>
  <c r="L292" i="82"/>
  <c r="M292" i="82" s="1"/>
  <c r="R302" i="82"/>
  <c r="R313" i="82"/>
  <c r="R375" i="82"/>
  <c r="I394" i="82"/>
  <c r="AC401" i="82"/>
  <c r="AC400" i="82"/>
  <c r="AC402" i="82"/>
  <c r="F892" i="82"/>
  <c r="N886" i="82"/>
  <c r="B892" i="82"/>
  <c r="E886" i="82"/>
  <c r="G214" i="82"/>
  <c r="O214" i="82"/>
  <c r="O312" i="82" s="1"/>
  <c r="O320" i="82" s="1"/>
  <c r="Q241" i="82"/>
  <c r="R241" i="82" s="1"/>
  <c r="R269" i="82"/>
  <c r="L332" i="82"/>
  <c r="AP946" i="82" s="1"/>
  <c r="J332" i="82"/>
  <c r="AP944" i="82" s="1"/>
  <c r="N394" i="82"/>
  <c r="Q339" i="82"/>
  <c r="R342" i="82"/>
  <c r="R399" i="82"/>
  <c r="R429" i="82"/>
  <c r="G897" i="82"/>
  <c r="G928" i="82" s="1"/>
  <c r="I894" i="82"/>
  <c r="P214" i="82"/>
  <c r="P312" i="82" s="1"/>
  <c r="P320" i="82" s="1"/>
  <c r="R276" i="82"/>
  <c r="R290" i="82"/>
  <c r="R299" i="82"/>
  <c r="E331" i="82"/>
  <c r="H507" i="82"/>
  <c r="H512" i="82" s="1"/>
  <c r="R368" i="82"/>
  <c r="R380" i="82"/>
  <c r="H899" i="82"/>
  <c r="I412" i="82"/>
  <c r="G899" i="82"/>
  <c r="G480" i="82"/>
  <c r="G507" i="82" s="1"/>
  <c r="G512" i="82" s="1"/>
  <c r="P901" i="82"/>
  <c r="P930" i="82" s="1"/>
  <c r="R451" i="82"/>
  <c r="R476" i="82"/>
  <c r="Q550" i="82"/>
  <c r="I558" i="82"/>
  <c r="J605" i="82"/>
  <c r="M592" i="82"/>
  <c r="R600" i="82"/>
  <c r="M604" i="82"/>
  <c r="R628" i="82"/>
  <c r="B671" i="82"/>
  <c r="K671" i="82"/>
  <c r="K674" i="82" s="1"/>
  <c r="R645" i="82"/>
  <c r="K685" i="82"/>
  <c r="M715" i="82"/>
  <c r="R762" i="82"/>
  <c r="F783" i="82"/>
  <c r="N783" i="82"/>
  <c r="E836" i="82"/>
  <c r="M836" i="82"/>
  <c r="R400" i="82"/>
  <c r="R421" i="82"/>
  <c r="R428" i="82"/>
  <c r="R436" i="82"/>
  <c r="R468" i="82"/>
  <c r="R471" i="82"/>
  <c r="R495" i="82"/>
  <c r="R531" i="82"/>
  <c r="B605" i="82"/>
  <c r="E592" i="82"/>
  <c r="R606" i="82"/>
  <c r="R623" i="82"/>
  <c r="R733" i="82"/>
  <c r="H783" i="82"/>
  <c r="C909" i="82"/>
  <c r="Q408" i="82"/>
  <c r="R459" i="82"/>
  <c r="R461" i="82"/>
  <c r="P480" i="82"/>
  <c r="P507" i="82" s="1"/>
  <c r="P512" i="82" s="1"/>
  <c r="I506" i="82"/>
  <c r="R549" i="82"/>
  <c r="M558" i="82"/>
  <c r="R561" i="82"/>
  <c r="M581" i="82"/>
  <c r="L605" i="82"/>
  <c r="L608" i="82" s="1"/>
  <c r="Q592" i="82"/>
  <c r="Q604" i="82"/>
  <c r="N671" i="82"/>
  <c r="R646" i="82"/>
  <c r="R648" i="82"/>
  <c r="R655" i="82"/>
  <c r="D685" i="82"/>
  <c r="O685" i="82"/>
  <c r="R695" i="82"/>
  <c r="E700" i="82"/>
  <c r="H769" i="82"/>
  <c r="H772" i="82" s="1"/>
  <c r="B812" i="82"/>
  <c r="Q811" i="82"/>
  <c r="C910" i="82"/>
  <c r="C932" i="82" s="1"/>
  <c r="L910" i="82"/>
  <c r="L932" i="82" s="1"/>
  <c r="I904" i="82"/>
  <c r="F910" i="82"/>
  <c r="AA402" i="82"/>
  <c r="AD399" i="82"/>
  <c r="AM399" i="82" s="1"/>
  <c r="R406" i="82"/>
  <c r="I408" i="82"/>
  <c r="R432" i="82"/>
  <c r="R454" i="82"/>
  <c r="R501" i="82"/>
  <c r="E505" i="82"/>
  <c r="E581" i="82"/>
  <c r="D605" i="82"/>
  <c r="D608" i="82" s="1"/>
  <c r="R629" i="82"/>
  <c r="F671" i="82"/>
  <c r="I684" i="82"/>
  <c r="P685" i="82"/>
  <c r="Q700" i="82"/>
  <c r="N717" i="82"/>
  <c r="M739" i="82"/>
  <c r="E768" i="82"/>
  <c r="B783" i="82"/>
  <c r="J783" i="82"/>
  <c r="M810" i="82"/>
  <c r="R813" i="82"/>
  <c r="M864" i="82"/>
  <c r="AO940" i="82"/>
  <c r="AH402" i="82"/>
  <c r="L899" i="82"/>
  <c r="L901" i="82" s="1"/>
  <c r="L930" i="82" s="1"/>
  <c r="L480" i="82"/>
  <c r="L507" i="82" s="1"/>
  <c r="L512" i="82" s="1"/>
  <c r="M412" i="82"/>
  <c r="R418" i="82"/>
  <c r="M538" i="82"/>
  <c r="L560" i="82"/>
  <c r="L563" i="82" s="1"/>
  <c r="I592" i="82"/>
  <c r="R599" i="82"/>
  <c r="I604" i="82"/>
  <c r="P671" i="82"/>
  <c r="P674" i="82" s="1"/>
  <c r="Q635" i="82"/>
  <c r="M652" i="82"/>
  <c r="K757" i="82"/>
  <c r="M757" i="82" s="1"/>
  <c r="M746" i="82"/>
  <c r="R746" i="82" s="1"/>
  <c r="I811" i="82"/>
  <c r="AF981" i="82"/>
  <c r="F984" i="82"/>
  <c r="AG981" i="82"/>
  <c r="AE981" i="82"/>
  <c r="AD981" i="82"/>
  <c r="AD946" i="82"/>
  <c r="R438" i="82"/>
  <c r="R470" i="82"/>
  <c r="R496" i="82"/>
  <c r="R530" i="82"/>
  <c r="E538" i="82"/>
  <c r="R624" i="82"/>
  <c r="H671" i="82"/>
  <c r="H674" i="82" s="1"/>
  <c r="I635" i="82"/>
  <c r="H685" i="82"/>
  <c r="I700" i="82"/>
  <c r="F717" i="82"/>
  <c r="R734" i="82"/>
  <c r="L783" i="82"/>
  <c r="AO942" i="82"/>
  <c r="Z402" i="82"/>
  <c r="O899" i="82"/>
  <c r="O901" i="82" s="1"/>
  <c r="O930" i="82" s="1"/>
  <c r="O480" i="82"/>
  <c r="O507" i="82" s="1"/>
  <c r="O512" i="82" s="1"/>
  <c r="R437" i="82"/>
  <c r="R460" i="82"/>
  <c r="R462" i="82"/>
  <c r="I505" i="82"/>
  <c r="O560" i="82"/>
  <c r="O563" i="82" s="1"/>
  <c r="R547" i="82"/>
  <c r="M559" i="82"/>
  <c r="H605" i="82"/>
  <c r="H608" i="82" s="1"/>
  <c r="J671" i="82"/>
  <c r="R650" i="82"/>
  <c r="E652" i="82"/>
  <c r="R656" i="82"/>
  <c r="M669" i="82"/>
  <c r="J685" i="82"/>
  <c r="R694" i="82"/>
  <c r="D717" i="82"/>
  <c r="D720" i="82" s="1"/>
  <c r="C769" i="82"/>
  <c r="C772" i="82" s="1"/>
  <c r="N769" i="82"/>
  <c r="Q739" i="82"/>
  <c r="I768" i="82"/>
  <c r="E782" i="82"/>
  <c r="M782" i="82"/>
  <c r="R792" i="82"/>
  <c r="G812" i="82"/>
  <c r="G816" i="82" s="1"/>
  <c r="Q810" i="82"/>
  <c r="F812" i="82"/>
  <c r="R814" i="82"/>
  <c r="R829" i="82"/>
  <c r="L865" i="82"/>
  <c r="L868" i="82" s="1"/>
  <c r="J909" i="82"/>
  <c r="M906" i="82"/>
  <c r="B901" i="82"/>
  <c r="J901" i="82"/>
  <c r="M684" i="82"/>
  <c r="B717" i="82"/>
  <c r="J717" i="82"/>
  <c r="R839" i="82"/>
  <c r="M853" i="82"/>
  <c r="R859" i="82"/>
  <c r="M900" i="82"/>
  <c r="J910" i="82"/>
  <c r="K909" i="82"/>
  <c r="B480" i="82"/>
  <c r="J480" i="82"/>
  <c r="D543" i="82"/>
  <c r="E543" i="82" s="1"/>
  <c r="F685" i="82"/>
  <c r="E796" i="82"/>
  <c r="M796" i="82"/>
  <c r="F897" i="82"/>
  <c r="O897" i="82"/>
  <c r="O928" i="82" s="1"/>
  <c r="Q894" i="82"/>
  <c r="M895" i="82"/>
  <c r="K910" i="82"/>
  <c r="K932" i="82" s="1"/>
  <c r="B909" i="82"/>
  <c r="E906" i="82"/>
  <c r="F865" i="82"/>
  <c r="E895" i="82"/>
  <c r="F901" i="82"/>
  <c r="N901" i="82"/>
  <c r="G865" i="82"/>
  <c r="G868" i="82" s="1"/>
  <c r="O865" i="82"/>
  <c r="E841" i="82"/>
  <c r="R847" i="82"/>
  <c r="R860" i="82"/>
  <c r="Q903" i="82"/>
  <c r="P909" i="82"/>
  <c r="F480" i="82"/>
  <c r="N480" i="82"/>
  <c r="H865" i="82"/>
  <c r="H868" i="82" s="1"/>
  <c r="P865" i="82"/>
  <c r="P868" i="82" s="1"/>
  <c r="Q841" i="82"/>
  <c r="I853" i="82"/>
  <c r="E887" i="82"/>
  <c r="Q891" i="82"/>
  <c r="K897" i="82"/>
  <c r="K928" i="82" s="1"/>
  <c r="I903" i="82"/>
  <c r="M904" i="82"/>
  <c r="M907" i="82"/>
  <c r="R826" i="82"/>
  <c r="E907" i="82"/>
  <c r="Q908" i="82"/>
  <c r="I906" i="82"/>
  <c r="Q906" i="82"/>
  <c r="G976" i="82"/>
  <c r="G960" i="82"/>
  <c r="G977" i="82"/>
  <c r="AG976" i="82"/>
  <c r="AF976" i="82"/>
  <c r="AE976" i="82"/>
  <c r="AD976" i="82"/>
  <c r="AD941" i="82"/>
  <c r="AE984" i="82"/>
  <c r="AD984" i="82"/>
  <c r="AF984" i="82"/>
  <c r="AG984" i="82"/>
  <c r="F987" i="82"/>
  <c r="AO949" i="82"/>
  <c r="AG979" i="82"/>
  <c r="AE979" i="82"/>
  <c r="AD979" i="82"/>
  <c r="F982" i="82"/>
  <c r="AF979" i="82"/>
  <c r="G986" i="82"/>
  <c r="F979" i="82"/>
  <c r="G983" i="82"/>
  <c r="F978" i="82"/>
  <c r="AG975" i="82"/>
  <c r="AF975" i="82"/>
  <c r="AD975" i="82"/>
  <c r="AE975" i="82"/>
  <c r="G981" i="82"/>
  <c r="J1062" i="82"/>
  <c r="F960" i="82"/>
  <c r="AD938" i="82"/>
  <c r="AG973" i="82"/>
  <c r="F976" i="82"/>
  <c r="AF973" i="82"/>
  <c r="AE973" i="82"/>
  <c r="AD973" i="82"/>
  <c r="G978" i="82"/>
  <c r="AG978" i="82"/>
  <c r="F981" i="82"/>
  <c r="AF978" i="82"/>
  <c r="AE978" i="82"/>
  <c r="G980" i="82"/>
  <c r="G982" i="82"/>
  <c r="AF980" i="82"/>
  <c r="F983" i="82"/>
  <c r="AE980" i="82"/>
  <c r="AD980" i="82"/>
  <c r="AD974" i="82"/>
  <c r="G984" i="82"/>
  <c r="AE982" i="82"/>
  <c r="F985" i="82"/>
  <c r="AD982" i="82"/>
  <c r="AF982" i="82"/>
  <c r="AG977" i="82"/>
  <c r="AD943" i="82"/>
  <c r="G985" i="82"/>
  <c r="F986" i="82"/>
  <c r="AG983" i="82"/>
  <c r="AE983" i="82"/>
  <c r="AE974" i="82"/>
  <c r="AG980" i="82"/>
  <c r="G979" i="82"/>
  <c r="AE977" i="82"/>
  <c r="AD977" i="82"/>
  <c r="G987" i="82"/>
  <c r="AG974" i="82"/>
  <c r="AD978" i="82"/>
  <c r="F980" i="82"/>
  <c r="AG982" i="82"/>
  <c r="J1061" i="82"/>
  <c r="J1068" i="82"/>
  <c r="J1067" i="82"/>
  <c r="J1065" i="82"/>
  <c r="J1060" i="82"/>
  <c r="J1064" i="82"/>
  <c r="J1070" i="82"/>
  <c r="J1066" i="82"/>
  <c r="J1059" i="82"/>
  <c r="J1063" i="82"/>
  <c r="G1174" i="82"/>
  <c r="I1161" i="82"/>
  <c r="I1174" i="82" s="1"/>
  <c r="L1119" i="82"/>
  <c r="AD1089" i="82"/>
  <c r="AD1107" i="82"/>
  <c r="AD1090" i="82"/>
  <c r="AD1088" i="82"/>
  <c r="AD1086" i="82"/>
  <c r="AD1084" i="82"/>
  <c r="AD1104" i="82"/>
  <c r="AD1102" i="82"/>
  <c r="AD1105" i="82"/>
  <c r="AD1103" i="82"/>
  <c r="AD1101" i="82"/>
  <c r="AD1098" i="82"/>
  <c r="AD1106" i="82"/>
  <c r="AD1097" i="82"/>
  <c r="AD1094" i="82"/>
  <c r="AD1091" i="82"/>
  <c r="AD1100" i="82"/>
  <c r="AD1096" i="82"/>
  <c r="AD1092" i="82"/>
  <c r="AD1085" i="82"/>
  <c r="C1174" i="82"/>
  <c r="L1118" i="82"/>
  <c r="M1174" i="82"/>
  <c r="G1111" i="82"/>
  <c r="C1084" i="82" s="1"/>
  <c r="L1111" i="82"/>
  <c r="N1165" i="82"/>
  <c r="F1115" i="82"/>
  <c r="B1088" i="82" s="1"/>
  <c r="F1116" i="82"/>
  <c r="B1089" i="82" s="1"/>
  <c r="F1117" i="82"/>
  <c r="B1090" i="82" s="1"/>
  <c r="F1121" i="82"/>
  <c r="B1094" i="82" s="1"/>
  <c r="G1122" i="82"/>
  <c r="C1095" i="82" s="1"/>
  <c r="N1162" i="82"/>
  <c r="K354" i="78"/>
  <c r="K485" i="78"/>
  <c r="J485" i="78"/>
  <c r="K857" i="78"/>
  <c r="J857" i="78"/>
  <c r="J296" i="78"/>
  <c r="N195" i="78"/>
  <c r="K196" i="78"/>
  <c r="K195" i="78"/>
  <c r="J195" i="78"/>
  <c r="N191" i="78"/>
  <c r="K259" i="78"/>
  <c r="K462" i="78"/>
  <c r="K461" i="78"/>
  <c r="J191" i="78"/>
  <c r="H371" i="78"/>
  <c r="K191" i="78"/>
  <c r="M1115" i="82"/>
  <c r="M1117" i="82"/>
  <c r="M1121" i="82"/>
  <c r="M1122" i="82"/>
  <c r="M1113" i="82"/>
  <c r="M1114" i="82"/>
  <c r="M1111" i="82"/>
  <c r="M1116" i="82"/>
  <c r="M1118" i="82"/>
  <c r="M1119" i="82"/>
  <c r="M1120" i="82"/>
  <c r="M1112" i="82"/>
  <c r="S584" i="82" l="1"/>
  <c r="J1162" i="82"/>
  <c r="AD401" i="82"/>
  <c r="AM401" i="82" s="1"/>
  <c r="D869" i="82"/>
  <c r="K817" i="82"/>
  <c r="R41" i="82"/>
  <c r="E59" i="82"/>
  <c r="O818" i="82"/>
  <c r="P957" i="82" s="1"/>
  <c r="E928" i="82"/>
  <c r="R743" i="82"/>
  <c r="R704" i="82"/>
  <c r="R716" i="82"/>
  <c r="AD402" i="82"/>
  <c r="AM402" i="82" s="1"/>
  <c r="C818" i="82"/>
  <c r="P948" i="82" s="1"/>
  <c r="P955" i="82"/>
  <c r="P1012" i="82" s="1"/>
  <c r="C870" i="82"/>
  <c r="Q948" i="82" s="1"/>
  <c r="R757" i="82"/>
  <c r="E897" i="82"/>
  <c r="M129" i="82"/>
  <c r="Q928" i="82"/>
  <c r="R890" i="82"/>
  <c r="R804" i="82"/>
  <c r="R896" i="82"/>
  <c r="R894" i="82"/>
  <c r="R89" i="82"/>
  <c r="R538" i="82"/>
  <c r="R903" i="82"/>
  <c r="E909" i="82"/>
  <c r="P819" i="82"/>
  <c r="Q812" i="82"/>
  <c r="R559" i="82"/>
  <c r="I909" i="82"/>
  <c r="R603" i="82"/>
  <c r="P817" i="82"/>
  <c r="R708" i="82"/>
  <c r="R905" i="82"/>
  <c r="R58" i="82"/>
  <c r="R908" i="82"/>
  <c r="Q909" i="82"/>
  <c r="E480" i="82"/>
  <c r="R904" i="82"/>
  <c r="R143" i="82"/>
  <c r="S196" i="82" s="1"/>
  <c r="R652" i="82"/>
  <c r="E865" i="82"/>
  <c r="R715" i="82"/>
  <c r="N870" i="82"/>
  <c r="Q956" i="82" s="1"/>
  <c r="R108" i="82"/>
  <c r="R310" i="82"/>
  <c r="Q899" i="82"/>
  <c r="AD400" i="82"/>
  <c r="AM400" i="82" s="1"/>
  <c r="R128" i="82"/>
  <c r="R800" i="82"/>
  <c r="R907" i="82"/>
  <c r="R17" i="82"/>
  <c r="I480" i="82"/>
  <c r="H901" i="82"/>
  <c r="H930" i="82" s="1"/>
  <c r="G312" i="82"/>
  <c r="G320" i="82" s="1"/>
  <c r="G321" i="82" s="1"/>
  <c r="C901" i="82"/>
  <c r="C930" i="82" s="1"/>
  <c r="C934" i="82" s="1"/>
  <c r="C13" i="82" s="1"/>
  <c r="K869" i="82"/>
  <c r="R767" i="82"/>
  <c r="R641" i="82"/>
  <c r="R669" i="82"/>
  <c r="H818" i="82"/>
  <c r="P952" i="82" s="1"/>
  <c r="I900" i="82"/>
  <c r="R900" i="82" s="1"/>
  <c r="R46" i="82"/>
  <c r="R796" i="82"/>
  <c r="M897" i="82"/>
  <c r="D817" i="82"/>
  <c r="R14" i="82"/>
  <c r="R16" i="82"/>
  <c r="E899" i="82"/>
  <c r="E932" i="82"/>
  <c r="R96" i="82"/>
  <c r="R127" i="82"/>
  <c r="R587" i="82"/>
  <c r="R18" i="82"/>
  <c r="R863" i="82"/>
  <c r="Q480" i="82"/>
  <c r="R810" i="82"/>
  <c r="R684" i="82"/>
  <c r="R221" i="82"/>
  <c r="T299" i="82"/>
  <c r="K769" i="82"/>
  <c r="K772" i="82" s="1"/>
  <c r="K773" i="82" s="1"/>
  <c r="R581" i="82"/>
  <c r="I560" i="82"/>
  <c r="R311" i="82"/>
  <c r="M899" i="82"/>
  <c r="R543" i="82"/>
  <c r="Q932" i="82"/>
  <c r="Q605" i="82"/>
  <c r="E214" i="82"/>
  <c r="R635" i="82"/>
  <c r="R592" i="82"/>
  <c r="G901" i="82"/>
  <c r="G930" i="82" s="1"/>
  <c r="G934" i="82" s="1"/>
  <c r="G13" i="82" s="1"/>
  <c r="P911" i="82"/>
  <c r="R670" i="82"/>
  <c r="R15" i="82"/>
  <c r="AF986" i="82"/>
  <c r="R864" i="82"/>
  <c r="R739" i="82"/>
  <c r="R558" i="82"/>
  <c r="L817" i="82"/>
  <c r="R412" i="82"/>
  <c r="E129" i="82"/>
  <c r="R889" i="82"/>
  <c r="R57" i="82"/>
  <c r="Q910" i="82"/>
  <c r="R853" i="82"/>
  <c r="R782" i="82"/>
  <c r="D560" i="82"/>
  <c r="D563" i="82" s="1"/>
  <c r="E563" i="82" s="1"/>
  <c r="R408" i="82"/>
  <c r="R506" i="82"/>
  <c r="R836" i="82"/>
  <c r="R550" i="82"/>
  <c r="M812" i="82"/>
  <c r="R811" i="82"/>
  <c r="R604" i="82"/>
  <c r="D911" i="82"/>
  <c r="R888" i="82"/>
  <c r="S82" i="82"/>
  <c r="R887" i="82"/>
  <c r="R891" i="82"/>
  <c r="I886" i="82"/>
  <c r="B1114" i="82"/>
  <c r="Q1114" i="82" s="1"/>
  <c r="B1117" i="82"/>
  <c r="Q1117" i="82" s="1"/>
  <c r="B1120" i="82"/>
  <c r="Q1120" i="82" s="1"/>
  <c r="B1111" i="82"/>
  <c r="Q1111" i="82" s="1"/>
  <c r="B1115" i="82"/>
  <c r="Q1115" i="82" s="1"/>
  <c r="B1118" i="82"/>
  <c r="Q1118" i="82" s="1"/>
  <c r="B1116" i="82"/>
  <c r="Q1116" i="82" s="1"/>
  <c r="B1122" i="82"/>
  <c r="Q1122" i="82" s="1"/>
  <c r="B1119" i="82"/>
  <c r="Q1119" i="82" s="1"/>
  <c r="B1113" i="82"/>
  <c r="Q1113" i="82" s="1"/>
  <c r="B1121" i="82"/>
  <c r="Q1121" i="82" s="1"/>
  <c r="B1112" i="82"/>
  <c r="Q1112" i="82" s="1"/>
  <c r="G513" i="82"/>
  <c r="O513" i="82"/>
  <c r="P513" i="82"/>
  <c r="L513" i="82"/>
  <c r="D513" i="82"/>
  <c r="M480" i="82"/>
  <c r="L870" i="82"/>
  <c r="L869" i="82"/>
  <c r="I608" i="82"/>
  <c r="F609" i="82"/>
  <c r="H513" i="82"/>
  <c r="Q954" i="82"/>
  <c r="K871" i="82"/>
  <c r="I59" i="82"/>
  <c r="F62" i="82"/>
  <c r="B321" i="82"/>
  <c r="E320" i="82"/>
  <c r="P870" i="82"/>
  <c r="P869" i="82"/>
  <c r="I605" i="82"/>
  <c r="AO946" i="82"/>
  <c r="P675" i="82"/>
  <c r="F674" i="82"/>
  <c r="I671" i="82"/>
  <c r="R505" i="82"/>
  <c r="B674" i="82"/>
  <c r="E671" i="82"/>
  <c r="F926" i="82"/>
  <c r="F911" i="82"/>
  <c r="I892" i="82"/>
  <c r="G63" i="82"/>
  <c r="K513" i="82"/>
  <c r="P934" i="82"/>
  <c r="P13" i="82" s="1"/>
  <c r="R50" i="82"/>
  <c r="D784" i="82"/>
  <c r="P949" i="82"/>
  <c r="D819" i="82"/>
  <c r="L312" i="82"/>
  <c r="Q214" i="82"/>
  <c r="Q949" i="82"/>
  <c r="D871" i="82"/>
  <c r="K675" i="82"/>
  <c r="Q886" i="82"/>
  <c r="N892" i="82"/>
  <c r="AO943" i="82"/>
  <c r="H869" i="82"/>
  <c r="H870" i="82"/>
  <c r="R841" i="82"/>
  <c r="F868" i="82"/>
  <c r="I865" i="82"/>
  <c r="M901" i="82"/>
  <c r="J930" i="82"/>
  <c r="M930" i="82" s="1"/>
  <c r="N720" i="82"/>
  <c r="Q717" i="82"/>
  <c r="B507" i="82"/>
  <c r="L911" i="82"/>
  <c r="L926" i="82"/>
  <c r="L934" i="82" s="1"/>
  <c r="L13" i="82" s="1"/>
  <c r="D321" i="82"/>
  <c r="L63" i="82"/>
  <c r="N320" i="82"/>
  <c r="Q312" i="82"/>
  <c r="AG986" i="82"/>
  <c r="AO941" i="82"/>
  <c r="O868" i="82"/>
  <c r="Q865" i="82"/>
  <c r="F816" i="82"/>
  <c r="I812" i="82"/>
  <c r="J869" i="82"/>
  <c r="J870" i="82"/>
  <c r="M868" i="82"/>
  <c r="F932" i="82"/>
  <c r="I932" i="82" s="1"/>
  <c r="I910" i="82"/>
  <c r="N609" i="82"/>
  <c r="Q608" i="82"/>
  <c r="B63" i="82"/>
  <c r="E62" i="82"/>
  <c r="AD1108" i="82"/>
  <c r="G869" i="82"/>
  <c r="G870" i="82"/>
  <c r="R906" i="82"/>
  <c r="B930" i="82"/>
  <c r="C773" i="82"/>
  <c r="M865" i="82"/>
  <c r="L609" i="82"/>
  <c r="B608" i="82"/>
  <c r="E605" i="82"/>
  <c r="O321" i="82"/>
  <c r="Q816" i="82"/>
  <c r="N817" i="82"/>
  <c r="N818" i="82"/>
  <c r="F312" i="82"/>
  <c r="I214" i="82"/>
  <c r="D934" i="82"/>
  <c r="D13" i="82" s="1"/>
  <c r="K911" i="82"/>
  <c r="K926" i="82"/>
  <c r="K934" i="82" s="1"/>
  <c r="K13" i="82" s="1"/>
  <c r="J773" i="82"/>
  <c r="C321" i="82"/>
  <c r="J817" i="82"/>
  <c r="J818" i="82"/>
  <c r="M816" i="82"/>
  <c r="I292" i="82"/>
  <c r="R292" i="82" s="1"/>
  <c r="M132" i="82"/>
  <c r="J133" i="82"/>
  <c r="F928" i="82"/>
  <c r="I928" i="82" s="1"/>
  <c r="I897" i="82"/>
  <c r="N772" i="82"/>
  <c r="Q769" i="82"/>
  <c r="H609" i="82"/>
  <c r="P1015" i="82"/>
  <c r="P987" i="82"/>
  <c r="L564" i="82"/>
  <c r="B816" i="82"/>
  <c r="E812" i="82"/>
  <c r="O926" i="82"/>
  <c r="O934" i="82" s="1"/>
  <c r="O13" i="82" s="1"/>
  <c r="O911" i="82"/>
  <c r="AD986" i="82"/>
  <c r="AD951" i="82"/>
  <c r="AO938" i="82"/>
  <c r="N930" i="82"/>
  <c r="Q930" i="82" s="1"/>
  <c r="Q901" i="82"/>
  <c r="Q897" i="82"/>
  <c r="J720" i="82"/>
  <c r="M717" i="82"/>
  <c r="G817" i="82"/>
  <c r="G818" i="82"/>
  <c r="D721" i="82"/>
  <c r="I899" i="82"/>
  <c r="H675" i="82"/>
  <c r="B870" i="82"/>
  <c r="B869" i="82"/>
  <c r="E868" i="82"/>
  <c r="D609" i="82"/>
  <c r="H773" i="82"/>
  <c r="Q563" i="82"/>
  <c r="N564" i="82"/>
  <c r="P321" i="82"/>
  <c r="F507" i="82"/>
  <c r="O63" i="82"/>
  <c r="J892" i="82"/>
  <c r="M886" i="82"/>
  <c r="F772" i="82"/>
  <c r="I769" i="82"/>
  <c r="B720" i="82"/>
  <c r="E717" i="82"/>
  <c r="J674" i="82"/>
  <c r="M671" i="82"/>
  <c r="O564" i="82"/>
  <c r="R700" i="82"/>
  <c r="Q560" i="82"/>
  <c r="M560" i="82"/>
  <c r="R27" i="82"/>
  <c r="R339" i="82"/>
  <c r="S374" i="82" s="1"/>
  <c r="E772" i="82"/>
  <c r="B773" i="82"/>
  <c r="Q129" i="82"/>
  <c r="N132" i="82"/>
  <c r="M59" i="82"/>
  <c r="R895" i="82"/>
  <c r="J932" i="82"/>
  <c r="M932" i="82" s="1"/>
  <c r="M910" i="82"/>
  <c r="AE986" i="82"/>
  <c r="F930" i="82"/>
  <c r="E910" i="82"/>
  <c r="M909" i="82"/>
  <c r="F720" i="82"/>
  <c r="I717" i="82"/>
  <c r="P954" i="82"/>
  <c r="K784" i="82"/>
  <c r="K819" i="82"/>
  <c r="R768" i="82"/>
  <c r="M928" i="82"/>
  <c r="N674" i="82"/>
  <c r="Q671" i="82"/>
  <c r="I563" i="82"/>
  <c r="F564" i="82"/>
  <c r="J608" i="82"/>
  <c r="M605" i="82"/>
  <c r="N507" i="82"/>
  <c r="Q394" i="82"/>
  <c r="B926" i="82"/>
  <c r="E892" i="82"/>
  <c r="B911" i="82"/>
  <c r="J564" i="82"/>
  <c r="M563" i="82"/>
  <c r="J507" i="82"/>
  <c r="M394" i="82"/>
  <c r="Q59" i="82"/>
  <c r="N62" i="82"/>
  <c r="E769" i="82"/>
  <c r="I129" i="82"/>
  <c r="F132" i="82"/>
  <c r="H926" i="82"/>
  <c r="E312" i="82"/>
  <c r="E132" i="82"/>
  <c r="B133" i="82"/>
  <c r="J63" i="82"/>
  <c r="M62" i="82"/>
  <c r="K183" i="78"/>
  <c r="O819" i="82" l="1"/>
  <c r="C819" i="82"/>
  <c r="M772" i="82"/>
  <c r="K774" i="82"/>
  <c r="K722" i="82" s="1"/>
  <c r="M769" i="82"/>
  <c r="R769" i="82" s="1"/>
  <c r="N871" i="82"/>
  <c r="P984" i="82"/>
  <c r="C784" i="82"/>
  <c r="C774" i="82" s="1"/>
  <c r="C775" i="82" s="1"/>
  <c r="C871" i="82"/>
  <c r="R909" i="82"/>
  <c r="R928" i="82"/>
  <c r="R812" i="82"/>
  <c r="C911" i="82"/>
  <c r="E911" i="82" s="1"/>
  <c r="E930" i="82"/>
  <c r="R214" i="82"/>
  <c r="I930" i="82"/>
  <c r="H784" i="82"/>
  <c r="H774" i="82" s="1"/>
  <c r="N952" i="82" s="1"/>
  <c r="D564" i="82"/>
  <c r="R899" i="82"/>
  <c r="H819" i="82"/>
  <c r="R129" i="82"/>
  <c r="R480" i="82"/>
  <c r="R394" i="82"/>
  <c r="H934" i="82"/>
  <c r="H13" i="82" s="1"/>
  <c r="H911" i="82"/>
  <c r="I901" i="82"/>
  <c r="G911" i="82"/>
  <c r="E901" i="82"/>
  <c r="R897" i="82"/>
  <c r="R563" i="82"/>
  <c r="R865" i="82"/>
  <c r="R59" i="82"/>
  <c r="R932" i="82"/>
  <c r="E560" i="82"/>
  <c r="R560" i="82" s="1"/>
  <c r="R886" i="82"/>
  <c r="R717" i="82"/>
  <c r="B871" i="82"/>
  <c r="Q947" i="82"/>
  <c r="E870" i="82"/>
  <c r="O870" i="82"/>
  <c r="O869" i="82"/>
  <c r="Q868" i="82"/>
  <c r="B934" i="82"/>
  <c r="B13" i="82" s="1"/>
  <c r="E13" i="82" s="1"/>
  <c r="E926" i="82"/>
  <c r="E720" i="82"/>
  <c r="B721" i="82"/>
  <c r="R1095" i="82"/>
  <c r="AQ1050" i="82"/>
  <c r="AQ1015" i="82"/>
  <c r="M507" i="82"/>
  <c r="J512" i="82"/>
  <c r="Q674" i="82"/>
  <c r="N675" i="82"/>
  <c r="F512" i="82"/>
  <c r="I507" i="82"/>
  <c r="J721" i="82"/>
  <c r="M720" i="82"/>
  <c r="M818" i="82"/>
  <c r="P953" i="82"/>
  <c r="J819" i="82"/>
  <c r="J784" i="82"/>
  <c r="P1005" i="82"/>
  <c r="P977" i="82"/>
  <c r="N63" i="82"/>
  <c r="Q62" i="82"/>
  <c r="P1006" i="82"/>
  <c r="P978" i="82"/>
  <c r="I674" i="82"/>
  <c r="F675" i="82"/>
  <c r="Q958" i="82"/>
  <c r="P871" i="82"/>
  <c r="P784" i="82"/>
  <c r="I720" i="82"/>
  <c r="F721" i="82"/>
  <c r="N133" i="82"/>
  <c r="Q132" i="82"/>
  <c r="P1014" i="82"/>
  <c r="P986" i="82"/>
  <c r="P1009" i="82"/>
  <c r="P981" i="82"/>
  <c r="Q953" i="82"/>
  <c r="M870" i="82"/>
  <c r="J871" i="82"/>
  <c r="O949" i="82"/>
  <c r="D785" i="82"/>
  <c r="D774" i="82"/>
  <c r="F63" i="82"/>
  <c r="I62" i="82"/>
  <c r="R1092" i="82"/>
  <c r="AQ1047" i="82"/>
  <c r="AQ1012" i="82"/>
  <c r="N512" i="82"/>
  <c r="Q507" i="82"/>
  <c r="R910" i="82"/>
  <c r="F773" i="82"/>
  <c r="I772" i="82"/>
  <c r="R605" i="82"/>
  <c r="E507" i="82"/>
  <c r="B512" i="82"/>
  <c r="Q1006" i="82"/>
  <c r="Q978" i="82"/>
  <c r="F934" i="82"/>
  <c r="F13" i="82" s="1"/>
  <c r="I926" i="82"/>
  <c r="I132" i="82"/>
  <c r="F133" i="82"/>
  <c r="Q1011" i="82"/>
  <c r="Q983" i="82"/>
  <c r="J609" i="82"/>
  <c r="M608" i="82"/>
  <c r="J926" i="82"/>
  <c r="M892" i="82"/>
  <c r="J911" i="82"/>
  <c r="M911" i="82" s="1"/>
  <c r="B818" i="82"/>
  <c r="E816" i="82"/>
  <c r="B817" i="82"/>
  <c r="Q772" i="82"/>
  <c r="N773" i="82"/>
  <c r="F320" i="82"/>
  <c r="I312" i="82"/>
  <c r="Q720" i="82"/>
  <c r="N721" i="82"/>
  <c r="I868" i="82"/>
  <c r="F870" i="82"/>
  <c r="F869" i="82"/>
  <c r="Q1123" i="82"/>
  <c r="L320" i="82"/>
  <c r="M312" i="82"/>
  <c r="E674" i="82"/>
  <c r="B675" i="82"/>
  <c r="Q951" i="82"/>
  <c r="G871" i="82"/>
  <c r="Q1005" i="82"/>
  <c r="Q977" i="82"/>
  <c r="B609" i="82"/>
  <c r="E608" i="82"/>
  <c r="R671" i="82"/>
  <c r="O954" i="82"/>
  <c r="K785" i="82"/>
  <c r="P951" i="82"/>
  <c r="G784" i="82"/>
  <c r="G819" i="82"/>
  <c r="P956" i="82"/>
  <c r="N819" i="82"/>
  <c r="Q818" i="82"/>
  <c r="N784" i="82"/>
  <c r="I816" i="82"/>
  <c r="F818" i="82"/>
  <c r="F817" i="82"/>
  <c r="N926" i="82"/>
  <c r="N911" i="82"/>
  <c r="Q911" i="82" s="1"/>
  <c r="Q892" i="82"/>
  <c r="P1011" i="82"/>
  <c r="P983" i="82"/>
  <c r="J675" i="82"/>
  <c r="M674" i="82"/>
  <c r="N321" i="82"/>
  <c r="Q320" i="82"/>
  <c r="Q952" i="82"/>
  <c r="H871" i="82"/>
  <c r="Q985" i="82"/>
  <c r="Q1013" i="82"/>
  <c r="L871" i="82"/>
  <c r="Q955" i="82"/>
  <c r="L784" i="82"/>
  <c r="K369" i="78"/>
  <c r="N948" i="82" l="1"/>
  <c r="N1005" i="82" s="1"/>
  <c r="N954" i="82"/>
  <c r="N1011" i="82" s="1"/>
  <c r="K775" i="82"/>
  <c r="I934" i="82"/>
  <c r="C785" i="82"/>
  <c r="C722" i="82"/>
  <c r="M948" i="82" s="1"/>
  <c r="O948" i="82"/>
  <c r="O1005" i="82" s="1"/>
  <c r="R62" i="82"/>
  <c r="R930" i="82"/>
  <c r="H785" i="82"/>
  <c r="O952" i="82"/>
  <c r="O981" i="82" s="1"/>
  <c r="I911" i="82"/>
  <c r="R911" i="82" s="1"/>
  <c r="H722" i="82"/>
  <c r="H723" i="82" s="1"/>
  <c r="H775" i="82"/>
  <c r="T902" i="82"/>
  <c r="R772" i="82"/>
  <c r="R868" i="82"/>
  <c r="R608" i="82"/>
  <c r="I13" i="82"/>
  <c r="R901" i="82"/>
  <c r="R892" i="82"/>
  <c r="T892" i="82" s="1"/>
  <c r="R312" i="82"/>
  <c r="R132" i="82"/>
  <c r="O956" i="82"/>
  <c r="N785" i="82"/>
  <c r="F321" i="82"/>
  <c r="I320" i="82"/>
  <c r="S1091" i="82"/>
  <c r="AR1046" i="82"/>
  <c r="AR1011" i="82"/>
  <c r="S1086" i="82"/>
  <c r="AR1041" i="82"/>
  <c r="AR1006" i="82"/>
  <c r="N949" i="82"/>
  <c r="D775" i="82"/>
  <c r="D722" i="82"/>
  <c r="R1085" i="82"/>
  <c r="AQ1040" i="82"/>
  <c r="AQ1005" i="82"/>
  <c r="M954" i="82"/>
  <c r="K723" i="82"/>
  <c r="K686" i="82"/>
  <c r="O955" i="82"/>
  <c r="L785" i="82"/>
  <c r="L774" i="82"/>
  <c r="Q950" i="82"/>
  <c r="I870" i="82"/>
  <c r="F871" i="82"/>
  <c r="J934" i="82"/>
  <c r="J13" i="82" s="1"/>
  <c r="M13" i="82" s="1"/>
  <c r="M926" i="82"/>
  <c r="M934" i="82" s="1"/>
  <c r="E512" i="82"/>
  <c r="B513" i="82"/>
  <c r="N513" i="82"/>
  <c r="Q512" i="82"/>
  <c r="AQ1044" i="82"/>
  <c r="R1089" i="82"/>
  <c r="AQ1009" i="82"/>
  <c r="R1086" i="82"/>
  <c r="AQ1041" i="82"/>
  <c r="AQ1006" i="82"/>
  <c r="O953" i="82"/>
  <c r="J785" i="82"/>
  <c r="M784" i="82"/>
  <c r="J774" i="82"/>
  <c r="I512" i="82"/>
  <c r="F513" i="82"/>
  <c r="P947" i="82"/>
  <c r="B819" i="82"/>
  <c r="E818" i="82"/>
  <c r="B784" i="82"/>
  <c r="R507" i="82"/>
  <c r="O1006" i="82"/>
  <c r="O978" i="82"/>
  <c r="O958" i="82"/>
  <c r="P785" i="82"/>
  <c r="P774" i="82"/>
  <c r="S1093" i="82"/>
  <c r="AR1048" i="82"/>
  <c r="AR1013" i="82"/>
  <c r="N774" i="82"/>
  <c r="R1094" i="82"/>
  <c r="AQ1049" i="82"/>
  <c r="AQ1014" i="82"/>
  <c r="P1010" i="82"/>
  <c r="P982" i="82"/>
  <c r="Q1010" i="82"/>
  <c r="Q982" i="82"/>
  <c r="Q1004" i="82"/>
  <c r="Q976" i="82"/>
  <c r="Q1012" i="82"/>
  <c r="Q984" i="82"/>
  <c r="Q926" i="82"/>
  <c r="Q934" i="82" s="1"/>
  <c r="N934" i="82"/>
  <c r="N13" i="82" s="1"/>
  <c r="Q13" i="82" s="1"/>
  <c r="R674" i="82"/>
  <c r="R1091" i="82"/>
  <c r="AQ1046" i="82"/>
  <c r="AQ1011" i="82"/>
  <c r="P950" i="82"/>
  <c r="F819" i="82"/>
  <c r="I818" i="82"/>
  <c r="F784" i="82"/>
  <c r="Q1015" i="82"/>
  <c r="Q987" i="82"/>
  <c r="Q957" i="82"/>
  <c r="O871" i="82"/>
  <c r="O784" i="82"/>
  <c r="Q870" i="82"/>
  <c r="Q1009" i="82"/>
  <c r="Q981" i="82"/>
  <c r="E934" i="82"/>
  <c r="O1011" i="82"/>
  <c r="O983" i="82"/>
  <c r="P1013" i="82"/>
  <c r="P985" i="82"/>
  <c r="S1085" i="82"/>
  <c r="AR1040" i="82"/>
  <c r="AR1005" i="82"/>
  <c r="O951" i="82"/>
  <c r="G785" i="82"/>
  <c r="G774" i="82"/>
  <c r="P1008" i="82"/>
  <c r="P980" i="82"/>
  <c r="Q1008" i="82"/>
  <c r="Q980" i="82"/>
  <c r="L321" i="82"/>
  <c r="M320" i="82"/>
  <c r="R816" i="82"/>
  <c r="M512" i="82"/>
  <c r="J513" i="82"/>
  <c r="R720" i="82"/>
  <c r="N1009" i="82"/>
  <c r="N981" i="82"/>
  <c r="K435" i="78"/>
  <c r="K433" i="78"/>
  <c r="N977" i="82" l="1"/>
  <c r="N983" i="82"/>
  <c r="O977" i="82"/>
  <c r="C686" i="82"/>
  <c r="C687" i="82" s="1"/>
  <c r="C723" i="82"/>
  <c r="O1009" i="82"/>
  <c r="AP1044" i="82" s="1"/>
  <c r="M952" i="82"/>
  <c r="M1009" i="82" s="1"/>
  <c r="H686" i="82"/>
  <c r="L952" i="82" s="1"/>
  <c r="Q960" i="82"/>
  <c r="R870" i="82"/>
  <c r="R818" i="82"/>
  <c r="R13" i="82"/>
  <c r="R926" i="82"/>
  <c r="R934" i="82" s="1"/>
  <c r="O947" i="82"/>
  <c r="B785" i="82"/>
  <c r="E784" i="82"/>
  <c r="B774" i="82"/>
  <c r="AQ1101" i="82"/>
  <c r="AQ1106" i="82"/>
  <c r="AQ1099" i="82"/>
  <c r="AQ1097" i="82"/>
  <c r="AQ1095" i="82"/>
  <c r="AQ1093" i="82"/>
  <c r="AQ1104" i="82"/>
  <c r="AQ1107" i="82"/>
  <c r="AQ1105" i="82"/>
  <c r="AQ1100" i="82"/>
  <c r="AQ1098" i="82"/>
  <c r="AQ1096" i="82"/>
  <c r="AQ1094" i="82"/>
  <c r="AQ1092" i="82"/>
  <c r="AQ1103" i="82"/>
  <c r="AQ1089" i="82"/>
  <c r="AQ1087" i="82"/>
  <c r="AQ1085" i="82"/>
  <c r="AQ1090" i="82"/>
  <c r="AQ1086" i="82"/>
  <c r="AQ1102" i="82"/>
  <c r="AQ1084" i="82"/>
  <c r="AQ1091" i="82"/>
  <c r="AQ1088" i="82"/>
  <c r="R1090" i="82"/>
  <c r="AQ1045" i="82"/>
  <c r="AQ1010" i="82"/>
  <c r="L954" i="82"/>
  <c r="K687" i="82"/>
  <c r="K676" i="82"/>
  <c r="M949" i="82"/>
  <c r="D723" i="82"/>
  <c r="D686" i="82"/>
  <c r="P1089" i="82"/>
  <c r="AO1044" i="82"/>
  <c r="AO1009" i="82"/>
  <c r="O957" i="82"/>
  <c r="O785" i="82"/>
  <c r="O774" i="82"/>
  <c r="Q774" i="82" s="1"/>
  <c r="S1084" i="82"/>
  <c r="AR1039" i="82"/>
  <c r="AR1004" i="82"/>
  <c r="O982" i="82"/>
  <c r="O1010" i="82"/>
  <c r="R320" i="82"/>
  <c r="Q1085" i="82"/>
  <c r="AP1040" i="82"/>
  <c r="AP1005" i="82"/>
  <c r="O1008" i="82"/>
  <c r="O980" i="82"/>
  <c r="N958" i="82"/>
  <c r="P775" i="82"/>
  <c r="P722" i="82"/>
  <c r="O1015" i="82"/>
  <c r="O987" i="82"/>
  <c r="N978" i="82"/>
  <c r="N1006" i="82"/>
  <c r="S1088" i="82"/>
  <c r="AR1043" i="82"/>
  <c r="AR1008" i="82"/>
  <c r="AR1106" i="82"/>
  <c r="AR1104" i="82"/>
  <c r="AR1102" i="82"/>
  <c r="AR1107" i="82"/>
  <c r="AR1105" i="82"/>
  <c r="AR1100" i="82"/>
  <c r="AR1098" i="82"/>
  <c r="AR1096" i="82"/>
  <c r="AR1094" i="82"/>
  <c r="AR1092" i="82"/>
  <c r="AR1103" i="82"/>
  <c r="AR1099" i="82"/>
  <c r="AR1095" i="82"/>
  <c r="AR1089" i="82"/>
  <c r="AR1087" i="82"/>
  <c r="AR1085" i="82"/>
  <c r="AR1090" i="82"/>
  <c r="AR1097" i="82"/>
  <c r="AR1101" i="82"/>
  <c r="AR1086" i="82"/>
  <c r="AR1084" i="82"/>
  <c r="AR1091" i="82"/>
  <c r="AR1093" i="82"/>
  <c r="AR1088" i="82"/>
  <c r="P1085" i="82"/>
  <c r="AO1040" i="82"/>
  <c r="AO1005" i="82"/>
  <c r="Q1014" i="82"/>
  <c r="Q986" i="82"/>
  <c r="O950" i="82"/>
  <c r="I784" i="82"/>
  <c r="F785" i="82"/>
  <c r="F774" i="82"/>
  <c r="S1090" i="82"/>
  <c r="AR1045" i="82"/>
  <c r="AR1010" i="82"/>
  <c r="M1005" i="82"/>
  <c r="M977" i="82"/>
  <c r="M1011" i="82"/>
  <c r="M983" i="82"/>
  <c r="N956" i="82"/>
  <c r="N775" i="82"/>
  <c r="N722" i="82"/>
  <c r="Q1086" i="82"/>
  <c r="AP1006" i="82"/>
  <c r="AP1041" i="82"/>
  <c r="P1091" i="82"/>
  <c r="AO1046" i="82"/>
  <c r="AO1011" i="82"/>
  <c r="Q784" i="82"/>
  <c r="S1089" i="82"/>
  <c r="AR1044" i="82"/>
  <c r="AR1009" i="82"/>
  <c r="O1012" i="82"/>
  <c r="O984" i="82"/>
  <c r="P976" i="82"/>
  <c r="P1004" i="82"/>
  <c r="P960" i="82"/>
  <c r="R1093" i="82"/>
  <c r="AQ1048" i="82"/>
  <c r="AQ1013" i="82"/>
  <c r="S1095" i="82"/>
  <c r="AR1050" i="82"/>
  <c r="AR1015" i="82"/>
  <c r="R512" i="82"/>
  <c r="N955" i="82"/>
  <c r="L775" i="82"/>
  <c r="L722" i="82"/>
  <c r="Q1091" i="82"/>
  <c r="AP1046" i="82"/>
  <c r="AP1011" i="82"/>
  <c r="Q1007" i="82"/>
  <c r="Q979" i="82"/>
  <c r="R1088" i="82"/>
  <c r="AQ1043" i="82"/>
  <c r="AQ1008" i="82"/>
  <c r="N951" i="82"/>
  <c r="G775" i="82"/>
  <c r="G722" i="82"/>
  <c r="P1007" i="82"/>
  <c r="P979" i="82"/>
  <c r="S1092" i="82"/>
  <c r="AR1047" i="82"/>
  <c r="AR1012" i="82"/>
  <c r="N953" i="82"/>
  <c r="J775" i="82"/>
  <c r="M774" i="82"/>
  <c r="J722" i="82"/>
  <c r="O1013" i="82"/>
  <c r="O985" i="82"/>
  <c r="Q456" i="78"/>
  <c r="M456" i="78"/>
  <c r="I456" i="78"/>
  <c r="E456" i="78"/>
  <c r="E457" i="78"/>
  <c r="Q290" i="78"/>
  <c r="M290" i="78"/>
  <c r="M291" i="78"/>
  <c r="I290" i="78"/>
  <c r="E290" i="78"/>
  <c r="L948" i="82" l="1"/>
  <c r="L1005" i="82" s="1"/>
  <c r="M981" i="82"/>
  <c r="C676" i="82"/>
  <c r="C677" i="82" s="1"/>
  <c r="H676" i="82"/>
  <c r="K952" i="82" s="1"/>
  <c r="H687" i="82"/>
  <c r="AP1009" i="82"/>
  <c r="Q1089" i="82"/>
  <c r="Q1017" i="82"/>
  <c r="N1013" i="82"/>
  <c r="N985" i="82"/>
  <c r="AP1048" i="82"/>
  <c r="Q1093" i="82"/>
  <c r="AP1013" i="82"/>
  <c r="Q1092" i="82"/>
  <c r="AP1047" i="82"/>
  <c r="AP1012" i="82"/>
  <c r="Q1095" i="82"/>
  <c r="AP1050" i="82"/>
  <c r="AP1015" i="82"/>
  <c r="Q1088" i="82"/>
  <c r="AP1043" i="82"/>
  <c r="AP1008" i="82"/>
  <c r="L1009" i="82"/>
  <c r="L981" i="82"/>
  <c r="M958" i="82"/>
  <c r="P723" i="82"/>
  <c r="P686" i="82"/>
  <c r="L949" i="82"/>
  <c r="D687" i="82"/>
  <c r="D676" i="82"/>
  <c r="M953" i="82"/>
  <c r="M722" i="82"/>
  <c r="J723" i="82"/>
  <c r="J686" i="82"/>
  <c r="N947" i="82"/>
  <c r="B775" i="82"/>
  <c r="E774" i="82"/>
  <c r="B722" i="82"/>
  <c r="S1094" i="82"/>
  <c r="AR1049" i="82"/>
  <c r="AR1014" i="82"/>
  <c r="R1087" i="82"/>
  <c r="AQ1042" i="82"/>
  <c r="AQ1007" i="82"/>
  <c r="S1087" i="82"/>
  <c r="AR1007" i="82"/>
  <c r="AR1042" i="82"/>
  <c r="M956" i="82"/>
  <c r="N686" i="82"/>
  <c r="N723" i="82"/>
  <c r="O1091" i="82"/>
  <c r="AN1046" i="82"/>
  <c r="AN1011" i="82"/>
  <c r="N1015" i="82"/>
  <c r="N987" i="82"/>
  <c r="AP1103" i="82"/>
  <c r="AP1106" i="82"/>
  <c r="AP1104" i="82"/>
  <c r="AP1102" i="82"/>
  <c r="AP1093" i="82"/>
  <c r="AP1091" i="82"/>
  <c r="AP1099" i="82"/>
  <c r="AP1095" i="82"/>
  <c r="AP1089" i="82"/>
  <c r="AP1105" i="82"/>
  <c r="AP1098" i="82"/>
  <c r="AP1094" i="82"/>
  <c r="AP1087" i="82"/>
  <c r="AP1085" i="82"/>
  <c r="AP1092" i="82"/>
  <c r="AP1097" i="82"/>
  <c r="AP1090" i="82"/>
  <c r="AP1088" i="82"/>
  <c r="AP1100" i="82"/>
  <c r="AP1086" i="82"/>
  <c r="AP1096" i="82"/>
  <c r="AP1084" i="82"/>
  <c r="AP1107" i="82"/>
  <c r="AP1101" i="82"/>
  <c r="N957" i="82"/>
  <c r="O775" i="82"/>
  <c r="O722" i="82"/>
  <c r="M1006" i="82"/>
  <c r="M978" i="82"/>
  <c r="R784" i="82"/>
  <c r="N1008" i="82"/>
  <c r="N980" i="82"/>
  <c r="N1012" i="82"/>
  <c r="N984" i="82"/>
  <c r="N950" i="82"/>
  <c r="I774" i="82"/>
  <c r="F775" i="82"/>
  <c r="F722" i="82"/>
  <c r="N1010" i="82"/>
  <c r="N982" i="82"/>
  <c r="M951" i="82"/>
  <c r="G723" i="82"/>
  <c r="G686" i="82"/>
  <c r="O1007" i="82"/>
  <c r="O979" i="82"/>
  <c r="K954" i="82"/>
  <c r="K677" i="82"/>
  <c r="K610" i="82"/>
  <c r="AQ1108" i="82"/>
  <c r="O1089" i="82"/>
  <c r="AN1044" i="82"/>
  <c r="AN1009" i="82"/>
  <c r="L1011" i="82"/>
  <c r="L983" i="82"/>
  <c r="M955" i="82"/>
  <c r="L723" i="82"/>
  <c r="L686" i="82"/>
  <c r="AO1107" i="82"/>
  <c r="AO1105" i="82"/>
  <c r="AO1100" i="82"/>
  <c r="AO1098" i="82"/>
  <c r="AO1096" i="82"/>
  <c r="AO1103" i="82"/>
  <c r="AO1101" i="82"/>
  <c r="AO1106" i="82"/>
  <c r="AO1104" i="82"/>
  <c r="AO1102" i="82"/>
  <c r="AO1088" i="82"/>
  <c r="AO1086" i="82"/>
  <c r="AO1084" i="82"/>
  <c r="AO1093" i="82"/>
  <c r="AO1091" i="82"/>
  <c r="AO1099" i="82"/>
  <c r="AO1095" i="82"/>
  <c r="AO1089" i="82"/>
  <c r="AO1094" i="82"/>
  <c r="AO1087" i="82"/>
  <c r="AO1085" i="82"/>
  <c r="AO1092" i="82"/>
  <c r="AO1097" i="82"/>
  <c r="AO1090" i="82"/>
  <c r="R1084" i="82"/>
  <c r="P1017" i="82"/>
  <c r="AQ1039" i="82"/>
  <c r="AQ1004" i="82"/>
  <c r="O1085" i="82"/>
  <c r="AN1040" i="82"/>
  <c r="AN1005" i="82"/>
  <c r="AR1108" i="82"/>
  <c r="P1086" i="82"/>
  <c r="AO1041" i="82"/>
  <c r="AO1006" i="82"/>
  <c r="Q1090" i="82"/>
  <c r="AP1045" i="82"/>
  <c r="AP1010" i="82"/>
  <c r="O986" i="82"/>
  <c r="O1014" i="82"/>
  <c r="O976" i="82"/>
  <c r="O1004" i="82"/>
  <c r="O960" i="82"/>
  <c r="R456" i="78"/>
  <c r="R290" i="78"/>
  <c r="L977" i="82" l="1"/>
  <c r="K948" i="82"/>
  <c r="K1005" i="82" s="1"/>
  <c r="C610" i="82"/>
  <c r="C611" i="82" s="1"/>
  <c r="H610" i="82"/>
  <c r="H611" i="82" s="1"/>
  <c r="H677" i="82"/>
  <c r="AR1017" i="82"/>
  <c r="AR1052" i="82"/>
  <c r="AO1108" i="82"/>
  <c r="K1011" i="82"/>
  <c r="K983" i="82"/>
  <c r="M1008" i="82"/>
  <c r="M980" i="82"/>
  <c r="AQ1052" i="82"/>
  <c r="P1090" i="82"/>
  <c r="AO1010" i="82"/>
  <c r="AO1045" i="82"/>
  <c r="L953" i="82"/>
  <c r="M686" i="82"/>
  <c r="J687" i="82"/>
  <c r="J676" i="82"/>
  <c r="P1092" i="82"/>
  <c r="AO1047" i="82"/>
  <c r="AO1012" i="82"/>
  <c r="M957" i="82"/>
  <c r="O723" i="82"/>
  <c r="O686" i="82"/>
  <c r="Q722" i="82"/>
  <c r="O1017" i="82"/>
  <c r="Q1084" i="82"/>
  <c r="AP1039" i="82"/>
  <c r="AP1004" i="82"/>
  <c r="M950" i="82"/>
  <c r="F686" i="82"/>
  <c r="F723" i="82"/>
  <c r="I722" i="82"/>
  <c r="N1085" i="82"/>
  <c r="AM1040" i="82"/>
  <c r="AM1005" i="82"/>
  <c r="AW969" i="82"/>
  <c r="N1014" i="82"/>
  <c r="N986" i="82"/>
  <c r="L956" i="82"/>
  <c r="N687" i="82"/>
  <c r="N676" i="82"/>
  <c r="M1015" i="82"/>
  <c r="M987" i="82"/>
  <c r="O1086" i="82"/>
  <c r="AN1041" i="82"/>
  <c r="AN1006" i="82"/>
  <c r="M1013" i="82"/>
  <c r="M985" i="82"/>
  <c r="Q1094" i="82"/>
  <c r="AP1049" i="82"/>
  <c r="AP1014" i="82"/>
  <c r="L955" i="82"/>
  <c r="L687" i="82"/>
  <c r="L676" i="82"/>
  <c r="P1095" i="82"/>
  <c r="AO1050" i="82"/>
  <c r="AO1015" i="82"/>
  <c r="M1010" i="82"/>
  <c r="M982" i="82"/>
  <c r="N1089" i="82"/>
  <c r="AM1044" i="82"/>
  <c r="AM1009" i="82"/>
  <c r="AW973" i="82"/>
  <c r="K1009" i="82"/>
  <c r="K981" i="82"/>
  <c r="AN1107" i="82"/>
  <c r="AN1105" i="82"/>
  <c r="AN1103" i="82"/>
  <c r="AN1106" i="82"/>
  <c r="AN1099" i="82"/>
  <c r="AN1097" i="82"/>
  <c r="AN1095" i="82"/>
  <c r="AN1093" i="82"/>
  <c r="AN1104" i="82"/>
  <c r="AN1102" i="82"/>
  <c r="AN1100" i="82"/>
  <c r="AN1096" i="82"/>
  <c r="AN1088" i="82"/>
  <c r="AN1086" i="82"/>
  <c r="AN1084" i="82"/>
  <c r="AN1091" i="82"/>
  <c r="AN1098" i="82"/>
  <c r="AN1089" i="82"/>
  <c r="AN1094" i="82"/>
  <c r="AN1087" i="82"/>
  <c r="AN1092" i="82"/>
  <c r="AN1090" i="82"/>
  <c r="AN1085" i="82"/>
  <c r="AN1101" i="82"/>
  <c r="L1006" i="82"/>
  <c r="L978" i="82"/>
  <c r="N1091" i="82"/>
  <c r="AM1046" i="82"/>
  <c r="AM1011" i="82"/>
  <c r="AW975" i="82"/>
  <c r="N960" i="82"/>
  <c r="N1004" i="82"/>
  <c r="N976" i="82"/>
  <c r="Q1087" i="82"/>
  <c r="AP1042" i="82"/>
  <c r="AP1007" i="82"/>
  <c r="P1088" i="82"/>
  <c r="AO1043" i="82"/>
  <c r="AO1008" i="82"/>
  <c r="J954" i="82"/>
  <c r="K611" i="82"/>
  <c r="K565" i="82"/>
  <c r="L951" i="82"/>
  <c r="G687" i="82"/>
  <c r="G676" i="82"/>
  <c r="N1007" i="82"/>
  <c r="N979" i="82"/>
  <c r="AP1108" i="82"/>
  <c r="M947" i="82"/>
  <c r="E722" i="82"/>
  <c r="B723" i="82"/>
  <c r="B686" i="82"/>
  <c r="D677" i="82"/>
  <c r="K949" i="82"/>
  <c r="D610" i="82"/>
  <c r="AQ1017" i="82"/>
  <c r="L958" i="82"/>
  <c r="P687" i="82"/>
  <c r="P676" i="82"/>
  <c r="M1012" i="82"/>
  <c r="M984" i="82"/>
  <c r="R774" i="82"/>
  <c r="P1093" i="82"/>
  <c r="AO1013" i="82"/>
  <c r="AO1048" i="82"/>
  <c r="K450" i="78"/>
  <c r="Q554" i="78"/>
  <c r="M554" i="78"/>
  <c r="I554" i="78"/>
  <c r="E554" i="78"/>
  <c r="K977" i="82" l="1"/>
  <c r="J948" i="82"/>
  <c r="J1005" i="82" s="1"/>
  <c r="H565" i="82"/>
  <c r="H566" i="82" s="1"/>
  <c r="J952" i="82"/>
  <c r="J1009" i="82" s="1"/>
  <c r="C565" i="82"/>
  <c r="C566" i="82" s="1"/>
  <c r="I954" i="82"/>
  <c r="K521" i="82"/>
  <c r="K520" i="82" s="1"/>
  <c r="K519" i="82" s="1"/>
  <c r="K518" i="82" s="1"/>
  <c r="K517" i="82" s="1"/>
  <c r="K516" i="82" s="1"/>
  <c r="K566" i="82"/>
  <c r="K514" i="82"/>
  <c r="L1015" i="82"/>
  <c r="L987" i="82"/>
  <c r="N1086" i="82"/>
  <c r="AM1041" i="82"/>
  <c r="AM1006" i="82"/>
  <c r="AW970" i="82"/>
  <c r="O1090" i="82"/>
  <c r="AN1010" i="82"/>
  <c r="AN1045" i="82"/>
  <c r="L950" i="82"/>
  <c r="F687" i="82"/>
  <c r="I686" i="82"/>
  <c r="F676" i="82"/>
  <c r="L1013" i="82"/>
  <c r="L985" i="82"/>
  <c r="M1004" i="82"/>
  <c r="M976" i="82"/>
  <c r="M960" i="82"/>
  <c r="J1011" i="82"/>
  <c r="J983" i="82"/>
  <c r="AO1039" i="82"/>
  <c r="P1084" i="82"/>
  <c r="N1017" i="82"/>
  <c r="AO1004" i="82"/>
  <c r="P1094" i="82"/>
  <c r="AO1014" i="82"/>
  <c r="AO1049" i="82"/>
  <c r="M1007" i="82"/>
  <c r="M979" i="82"/>
  <c r="L957" i="82"/>
  <c r="O687" i="82"/>
  <c r="O676" i="82"/>
  <c r="L980" i="82"/>
  <c r="L1008" i="82"/>
  <c r="AN1108" i="82"/>
  <c r="M1089" i="82"/>
  <c r="AL1044" i="82"/>
  <c r="AL1009" i="82"/>
  <c r="M1085" i="82"/>
  <c r="AL1005" i="82"/>
  <c r="AL1040" i="82"/>
  <c r="K953" i="82"/>
  <c r="M676" i="82"/>
  <c r="J677" i="82"/>
  <c r="J610" i="82"/>
  <c r="P1087" i="82"/>
  <c r="AO1042" i="82"/>
  <c r="AO1007" i="82"/>
  <c r="O1093" i="82"/>
  <c r="AN1013" i="82"/>
  <c r="AN1048" i="82"/>
  <c r="O1095" i="82"/>
  <c r="AN1050" i="82"/>
  <c r="AN1015" i="82"/>
  <c r="M1014" i="82"/>
  <c r="M986" i="82"/>
  <c r="O1088" i="82"/>
  <c r="AN1043" i="82"/>
  <c r="AN1008" i="82"/>
  <c r="L1012" i="82"/>
  <c r="L984" i="82"/>
  <c r="J949" i="82"/>
  <c r="D611" i="82"/>
  <c r="D565" i="82"/>
  <c r="K955" i="82"/>
  <c r="L677" i="82"/>
  <c r="L610" i="82"/>
  <c r="K956" i="82"/>
  <c r="N677" i="82"/>
  <c r="N610" i="82"/>
  <c r="AP1017" i="82"/>
  <c r="K958" i="82"/>
  <c r="P677" i="82"/>
  <c r="P610" i="82"/>
  <c r="R722" i="82"/>
  <c r="K1006" i="82"/>
  <c r="K978" i="82"/>
  <c r="K951" i="82"/>
  <c r="G677" i="82"/>
  <c r="G610" i="82"/>
  <c r="AN1047" i="82"/>
  <c r="O1092" i="82"/>
  <c r="AN1012" i="82"/>
  <c r="L947" i="82"/>
  <c r="E686" i="82"/>
  <c r="B687" i="82"/>
  <c r="B676" i="82"/>
  <c r="Q686" i="82"/>
  <c r="AM1107" i="82"/>
  <c r="AM1105" i="82"/>
  <c r="AM1100" i="82"/>
  <c r="AM1098" i="82"/>
  <c r="AM1096" i="82"/>
  <c r="AM1094" i="82"/>
  <c r="AM1092" i="82"/>
  <c r="AM1103" i="82"/>
  <c r="AM1101" i="82"/>
  <c r="AM1106" i="82"/>
  <c r="AM1099" i="82"/>
  <c r="AM1097" i="82"/>
  <c r="AM1095" i="82"/>
  <c r="AM1093" i="82"/>
  <c r="AM1090" i="82"/>
  <c r="AM1088" i="82"/>
  <c r="AM1086" i="82"/>
  <c r="AM1084" i="82"/>
  <c r="AM1091" i="82"/>
  <c r="AM1089" i="82"/>
  <c r="AM1104" i="82"/>
  <c r="AM1087" i="82"/>
  <c r="AM1102" i="82"/>
  <c r="AM1085" i="82"/>
  <c r="AP1052" i="82"/>
  <c r="L1010" i="82"/>
  <c r="L982" i="82"/>
  <c r="M1091" i="82"/>
  <c r="AL1046" i="82"/>
  <c r="AL1011" i="82"/>
  <c r="R554" i="78"/>
  <c r="I948" i="82" l="1"/>
  <c r="I1005" i="82" s="1"/>
  <c r="C521" i="82"/>
  <c r="C520" i="82" s="1"/>
  <c r="C519" i="82" s="1"/>
  <c r="C518" i="82" s="1"/>
  <c r="C517" i="82" s="1"/>
  <c r="C516" i="82" s="1"/>
  <c r="C514" i="82"/>
  <c r="C515" i="82" s="1"/>
  <c r="H514" i="82"/>
  <c r="H952" i="82" s="1"/>
  <c r="J981" i="82"/>
  <c r="H521" i="82"/>
  <c r="H520" i="82" s="1"/>
  <c r="H519" i="82" s="1"/>
  <c r="H518" i="82" s="1"/>
  <c r="H517" i="82" s="1"/>
  <c r="H516" i="82" s="1"/>
  <c r="I952" i="82"/>
  <c r="I981" i="82" s="1"/>
  <c r="J977" i="82"/>
  <c r="J955" i="82"/>
  <c r="L611" i="82"/>
  <c r="L565" i="82"/>
  <c r="K1010" i="82"/>
  <c r="K982" i="82"/>
  <c r="L1014" i="82"/>
  <c r="L986" i="82"/>
  <c r="AO1017" i="82"/>
  <c r="O1084" i="82"/>
  <c r="AN1039" i="82"/>
  <c r="M1017" i="82"/>
  <c r="AN1004" i="82"/>
  <c r="L1007" i="82"/>
  <c r="L979" i="82"/>
  <c r="K947" i="82"/>
  <c r="E676" i="82"/>
  <c r="B677" i="82"/>
  <c r="B610" i="82"/>
  <c r="N1092" i="82"/>
  <c r="AM1047" i="82"/>
  <c r="AM1012" i="82"/>
  <c r="AW976" i="82"/>
  <c r="K980" i="82"/>
  <c r="K1008" i="82"/>
  <c r="L1089" i="82"/>
  <c r="AK1044" i="82"/>
  <c r="AK1009" i="82"/>
  <c r="R686" i="82"/>
  <c r="L1004" i="82"/>
  <c r="L960" i="82"/>
  <c r="L976" i="82"/>
  <c r="M1086" i="82"/>
  <c r="AL1041" i="82"/>
  <c r="AL1006" i="82"/>
  <c r="K984" i="82"/>
  <c r="K1012" i="82"/>
  <c r="N1095" i="82"/>
  <c r="AM1050" i="82"/>
  <c r="AM1015" i="82"/>
  <c r="AW979" i="82"/>
  <c r="O1087" i="82"/>
  <c r="AN1042" i="82"/>
  <c r="AN1007" i="82"/>
  <c r="N1093" i="82"/>
  <c r="AM1048" i="82"/>
  <c r="AM1013" i="82"/>
  <c r="AW977" i="82"/>
  <c r="H954" i="82"/>
  <c r="K515" i="82"/>
  <c r="K322" i="82"/>
  <c r="I949" i="82"/>
  <c r="D566" i="82"/>
  <c r="D521" i="82"/>
  <c r="D520" i="82" s="1"/>
  <c r="D519" i="82" s="1"/>
  <c r="D518" i="82" s="1"/>
  <c r="D517" i="82" s="1"/>
  <c r="D516" i="82" s="1"/>
  <c r="D514" i="82"/>
  <c r="N1090" i="82"/>
  <c r="AM1045" i="82"/>
  <c r="AM1010" i="82"/>
  <c r="AW974" i="82"/>
  <c r="AM1108" i="82"/>
  <c r="J958" i="82"/>
  <c r="P611" i="82"/>
  <c r="P565" i="82"/>
  <c r="J956" i="82"/>
  <c r="N611" i="82"/>
  <c r="N565" i="82"/>
  <c r="O1094" i="82"/>
  <c r="AN1049" i="82"/>
  <c r="AN1014" i="82"/>
  <c r="AL1104" i="82"/>
  <c r="AL1102" i="82"/>
  <c r="AL1107" i="82"/>
  <c r="AL1105" i="82"/>
  <c r="AL1103" i="82"/>
  <c r="AL1101" i="82"/>
  <c r="AL1106" i="82"/>
  <c r="AL1100" i="82"/>
  <c r="AL1096" i="82"/>
  <c r="AL1090" i="82"/>
  <c r="AL1093" i="82"/>
  <c r="AL1099" i="82"/>
  <c r="AL1095" i="82"/>
  <c r="AL1088" i="82"/>
  <c r="AL1086" i="82"/>
  <c r="AL1084" i="82"/>
  <c r="AL1091" i="82"/>
  <c r="AL1098" i="82"/>
  <c r="AL1089" i="82"/>
  <c r="AL1097" i="82"/>
  <c r="AL1087" i="82"/>
  <c r="AL1094" i="82"/>
  <c r="AL1092" i="82"/>
  <c r="AL1085" i="82"/>
  <c r="AO1052" i="82"/>
  <c r="K1013" i="82"/>
  <c r="K985" i="82"/>
  <c r="K957" i="82"/>
  <c r="O677" i="82"/>
  <c r="O610" i="82"/>
  <c r="Q610" i="82" s="1"/>
  <c r="Q676" i="82"/>
  <c r="J1006" i="82"/>
  <c r="J978" i="82"/>
  <c r="N1088" i="82"/>
  <c r="AM1043" i="82"/>
  <c r="AM1008" i="82"/>
  <c r="AW972" i="82"/>
  <c r="L1085" i="82"/>
  <c r="AK1040" i="82"/>
  <c r="AK1005" i="82"/>
  <c r="J951" i="82"/>
  <c r="G611" i="82"/>
  <c r="G565" i="82"/>
  <c r="K1015" i="82"/>
  <c r="K987" i="82"/>
  <c r="J953" i="82"/>
  <c r="M610" i="82"/>
  <c r="J611" i="82"/>
  <c r="J565" i="82"/>
  <c r="L1091" i="82"/>
  <c r="AK1046" i="82"/>
  <c r="AK1011" i="82"/>
  <c r="K950" i="82"/>
  <c r="I676" i="82"/>
  <c r="F677" i="82"/>
  <c r="F610" i="82"/>
  <c r="I1011" i="82"/>
  <c r="I983" i="82"/>
  <c r="Q457" i="78"/>
  <c r="M457" i="78"/>
  <c r="I457" i="78"/>
  <c r="H948" i="82" l="1"/>
  <c r="H1005" i="82" s="1"/>
  <c r="I977" i="82"/>
  <c r="H322" i="82"/>
  <c r="E952" i="82" s="1"/>
  <c r="H515" i="82"/>
  <c r="C322" i="82"/>
  <c r="E948" i="82" s="1"/>
  <c r="I1009" i="82"/>
  <c r="AJ1009" i="82" s="1"/>
  <c r="K1091" i="82"/>
  <c r="AJ1046" i="82"/>
  <c r="AJ1011" i="82"/>
  <c r="I1006" i="82"/>
  <c r="I978" i="82"/>
  <c r="L1086" i="82"/>
  <c r="AK1041" i="82"/>
  <c r="AK1006" i="82"/>
  <c r="I956" i="82"/>
  <c r="N566" i="82"/>
  <c r="N521" i="82"/>
  <c r="N520" i="82" s="1"/>
  <c r="N519" i="82" s="1"/>
  <c r="N518" i="82" s="1"/>
  <c r="N517" i="82" s="1"/>
  <c r="N516" i="82" s="1"/>
  <c r="N514" i="82"/>
  <c r="E954" i="82"/>
  <c r="K324" i="82"/>
  <c r="K323" i="82"/>
  <c r="K134" i="82"/>
  <c r="AN1017" i="82"/>
  <c r="K1085" i="82"/>
  <c r="AJ1005" i="82"/>
  <c r="AJ1040" i="82"/>
  <c r="H981" i="82"/>
  <c r="H1009" i="82"/>
  <c r="J980" i="82"/>
  <c r="J1008" i="82"/>
  <c r="N1084" i="82"/>
  <c r="AM1039" i="82"/>
  <c r="AM1004" i="82"/>
  <c r="L1017" i="82"/>
  <c r="AW968" i="82"/>
  <c r="J950" i="82"/>
  <c r="F611" i="82"/>
  <c r="I610" i="82"/>
  <c r="F565" i="82"/>
  <c r="J982" i="82"/>
  <c r="J1010" i="82"/>
  <c r="K1007" i="82"/>
  <c r="K979" i="82"/>
  <c r="J1013" i="82"/>
  <c r="J985" i="82"/>
  <c r="M1090" i="82"/>
  <c r="AL1045" i="82"/>
  <c r="AL1010" i="82"/>
  <c r="I953" i="82"/>
  <c r="M565" i="82"/>
  <c r="J566" i="82"/>
  <c r="J521" i="82"/>
  <c r="J520" i="82" s="1"/>
  <c r="J519" i="82" s="1"/>
  <c r="J518" i="82" s="1"/>
  <c r="J517" i="82" s="1"/>
  <c r="J516" i="82" s="1"/>
  <c r="J514" i="82"/>
  <c r="J947" i="82"/>
  <c r="E610" i="82"/>
  <c r="B611" i="82"/>
  <c r="B565" i="82"/>
  <c r="M1095" i="82"/>
  <c r="AL1050" i="82"/>
  <c r="AL1015" i="82"/>
  <c r="K1014" i="82"/>
  <c r="K986" i="82"/>
  <c r="I958" i="82"/>
  <c r="P566" i="82"/>
  <c r="P521" i="82"/>
  <c r="P520" i="82" s="1"/>
  <c r="P519" i="82" s="1"/>
  <c r="P518" i="82" s="1"/>
  <c r="P517" i="82" s="1"/>
  <c r="P516" i="82" s="1"/>
  <c r="P514" i="82"/>
  <c r="H949" i="82"/>
  <c r="D515" i="82"/>
  <c r="D322" i="82"/>
  <c r="M1088" i="82"/>
  <c r="AL1043" i="82"/>
  <c r="AL1008" i="82"/>
  <c r="R676" i="82"/>
  <c r="I955" i="82"/>
  <c r="L566" i="82"/>
  <c r="L521" i="82"/>
  <c r="L520" i="82" s="1"/>
  <c r="L519" i="82" s="1"/>
  <c r="L518" i="82" s="1"/>
  <c r="L517" i="82" s="1"/>
  <c r="L516" i="82" s="1"/>
  <c r="L514" i="82"/>
  <c r="K1004" i="82"/>
  <c r="K976" i="82"/>
  <c r="K960" i="82"/>
  <c r="N1087" i="82"/>
  <c r="AM1042" i="82"/>
  <c r="AM1007" i="82"/>
  <c r="AW971" i="82"/>
  <c r="AK1106" i="82"/>
  <c r="AK1099" i="82"/>
  <c r="AK1097" i="82"/>
  <c r="AK1095" i="82"/>
  <c r="AK1104" i="82"/>
  <c r="AK1107" i="82"/>
  <c r="AK1105" i="82"/>
  <c r="AK1103" i="82"/>
  <c r="AK1101" i="82"/>
  <c r="AK1102" i="82"/>
  <c r="AK1092" i="82"/>
  <c r="AK1087" i="82"/>
  <c r="AK1085" i="82"/>
  <c r="AK1100" i="82"/>
  <c r="AK1096" i="82"/>
  <c r="AK1090" i="82"/>
  <c r="AK1093" i="82"/>
  <c r="AK1088" i="82"/>
  <c r="AK1086" i="82"/>
  <c r="AK1084" i="82"/>
  <c r="AK1091" i="82"/>
  <c r="AK1089" i="82"/>
  <c r="AK1094" i="82"/>
  <c r="AK1098" i="82"/>
  <c r="J957" i="82"/>
  <c r="O611" i="82"/>
  <c r="O565" i="82"/>
  <c r="H1011" i="82"/>
  <c r="H983" i="82"/>
  <c r="AN1052" i="82"/>
  <c r="I951" i="82"/>
  <c r="G521" i="82"/>
  <c r="G520" i="82" s="1"/>
  <c r="G519" i="82" s="1"/>
  <c r="G518" i="82" s="1"/>
  <c r="G517" i="82" s="1"/>
  <c r="G516" i="82" s="1"/>
  <c r="G566" i="82"/>
  <c r="G514" i="82"/>
  <c r="AL1108" i="82"/>
  <c r="M1093" i="82"/>
  <c r="AL1048" i="82"/>
  <c r="AL1013" i="82"/>
  <c r="J1015" i="82"/>
  <c r="J987" i="82"/>
  <c r="M1092" i="82"/>
  <c r="AL1047" i="82"/>
  <c r="AL1012" i="82"/>
  <c r="N1094" i="82"/>
  <c r="AM1049" i="82"/>
  <c r="AM1014" i="82"/>
  <c r="AW978" i="82"/>
  <c r="J1012" i="82"/>
  <c r="J984" i="82"/>
  <c r="R457" i="78"/>
  <c r="H977" i="82" l="1"/>
  <c r="AJ1044" i="82"/>
  <c r="H324" i="82"/>
  <c r="H323" i="82"/>
  <c r="H134" i="82"/>
  <c r="H64" i="82" s="1"/>
  <c r="C134" i="82"/>
  <c r="C135" i="82" s="1"/>
  <c r="C324" i="82"/>
  <c r="C323" i="82"/>
  <c r="K1089" i="82"/>
  <c r="R610" i="82"/>
  <c r="AK1108" i="82"/>
  <c r="I950" i="82"/>
  <c r="F566" i="82"/>
  <c r="F521" i="82"/>
  <c r="F520" i="82" s="1"/>
  <c r="F519" i="82" s="1"/>
  <c r="F518" i="82" s="1"/>
  <c r="F517" i="82" s="1"/>
  <c r="F516" i="82" s="1"/>
  <c r="I565" i="82"/>
  <c r="F514" i="82"/>
  <c r="H1006" i="82"/>
  <c r="H978" i="82"/>
  <c r="J1004" i="82"/>
  <c r="J976" i="82"/>
  <c r="J960" i="82"/>
  <c r="J1085" i="82"/>
  <c r="AI1040" i="82"/>
  <c r="AI1005" i="82"/>
  <c r="AI939" i="82"/>
  <c r="H951" i="82"/>
  <c r="G515" i="82"/>
  <c r="G322" i="82"/>
  <c r="I1012" i="82"/>
  <c r="I984" i="82"/>
  <c r="H958" i="82"/>
  <c r="P515" i="82"/>
  <c r="P322" i="82"/>
  <c r="M1094" i="82"/>
  <c r="AL1049" i="82"/>
  <c r="AL1014" i="82"/>
  <c r="H953" i="82"/>
  <c r="M514" i="82"/>
  <c r="J515" i="82"/>
  <c r="J322" i="82"/>
  <c r="E1009" i="82"/>
  <c r="E981" i="82"/>
  <c r="AR978" i="82"/>
  <c r="L1093" i="82"/>
  <c r="AK1048" i="82"/>
  <c r="AK1013" i="82"/>
  <c r="J1007" i="82"/>
  <c r="J979" i="82"/>
  <c r="AI1044" i="82"/>
  <c r="J1089" i="82"/>
  <c r="AI1009" i="82"/>
  <c r="AI943" i="82"/>
  <c r="D954" i="82"/>
  <c r="K135" i="82"/>
  <c r="K64" i="82"/>
  <c r="I1013" i="82"/>
  <c r="I985" i="82"/>
  <c r="J1091" i="82"/>
  <c r="Z1091" i="82" s="1"/>
  <c r="AI1046" i="82"/>
  <c r="AI1011" i="82"/>
  <c r="AI945" i="82"/>
  <c r="AW981" i="82"/>
  <c r="K1086" i="82"/>
  <c r="AJ1041" i="82"/>
  <c r="AJ1006" i="82"/>
  <c r="L1088" i="82"/>
  <c r="AK1043" i="82"/>
  <c r="AK1008" i="82"/>
  <c r="L1092" i="82"/>
  <c r="AK1047" i="82"/>
  <c r="AK1012" i="82"/>
  <c r="L1095" i="82"/>
  <c r="AK1050" i="82"/>
  <c r="AK1015" i="82"/>
  <c r="I1008" i="82"/>
  <c r="I980" i="82"/>
  <c r="I1015" i="82"/>
  <c r="I987" i="82"/>
  <c r="M1087" i="82"/>
  <c r="AL1042" i="82"/>
  <c r="AL1007" i="82"/>
  <c r="M1084" i="82"/>
  <c r="AL1004" i="82"/>
  <c r="K1017" i="82"/>
  <c r="AL1039" i="82"/>
  <c r="I947" i="82"/>
  <c r="E565" i="82"/>
  <c r="B566" i="82"/>
  <c r="B521" i="82"/>
  <c r="B520" i="82" s="1"/>
  <c r="B519" i="82" s="1"/>
  <c r="B518" i="82" s="1"/>
  <c r="B517" i="82" s="1"/>
  <c r="B516" i="82" s="1"/>
  <c r="B514" i="82"/>
  <c r="I1010" i="82"/>
  <c r="I982" i="82"/>
  <c r="L1090" i="82"/>
  <c r="AK1045" i="82"/>
  <c r="AK1010" i="82"/>
  <c r="AM1017" i="82"/>
  <c r="AR980" i="82"/>
  <c r="E983" i="82"/>
  <c r="E1011" i="82"/>
  <c r="I957" i="82"/>
  <c r="O566" i="82"/>
  <c r="O521" i="82"/>
  <c r="O520" i="82" s="1"/>
  <c r="O519" i="82" s="1"/>
  <c r="O518" i="82" s="1"/>
  <c r="O517" i="82" s="1"/>
  <c r="O516" i="82" s="1"/>
  <c r="O514" i="82"/>
  <c r="Q514" i="82" s="1"/>
  <c r="Q565" i="82"/>
  <c r="J1014" i="82"/>
  <c r="J986" i="82"/>
  <c r="E1005" i="82"/>
  <c r="AR974" i="82"/>
  <c r="E977" i="82"/>
  <c r="H955" i="82"/>
  <c r="L515" i="82"/>
  <c r="L322" i="82"/>
  <c r="E949" i="82"/>
  <c r="D324" i="82"/>
  <c r="D323" i="82"/>
  <c r="D134" i="82"/>
  <c r="AM1052" i="82"/>
  <c r="AJ1106" i="82"/>
  <c r="AJ1104" i="82"/>
  <c r="AJ1102" i="82"/>
  <c r="AJ1107" i="82"/>
  <c r="AJ1105" i="82"/>
  <c r="AJ1100" i="82"/>
  <c r="AJ1098" i="82"/>
  <c r="AJ1096" i="82"/>
  <c r="AJ1094" i="82"/>
  <c r="AJ1103" i="82"/>
  <c r="AJ1101" i="82"/>
  <c r="AJ1097" i="82"/>
  <c r="AJ1089" i="82"/>
  <c r="AJ1092" i="82"/>
  <c r="AJ1087" i="82"/>
  <c r="AJ1085" i="82"/>
  <c r="AJ1090" i="82"/>
  <c r="AJ1099" i="82"/>
  <c r="AJ1095" i="82"/>
  <c r="AJ1093" i="82"/>
  <c r="AJ1088" i="82"/>
  <c r="AJ1086" i="82"/>
  <c r="AJ1091" i="82"/>
  <c r="AJ1084" i="82"/>
  <c r="H956" i="82"/>
  <c r="N515" i="82"/>
  <c r="N322" i="82"/>
  <c r="K233" i="78"/>
  <c r="K358" i="78"/>
  <c r="D952" i="82" l="1"/>
  <c r="AQ978" i="82" s="1"/>
  <c r="H135" i="82"/>
  <c r="D948" i="82"/>
  <c r="D1005" i="82" s="1"/>
  <c r="Z1089" i="82"/>
  <c r="AI1128" i="82" s="1"/>
  <c r="AL1017" i="82"/>
  <c r="C64" i="82"/>
  <c r="C948" i="82" s="1"/>
  <c r="L1084" i="82"/>
  <c r="J1017" i="82"/>
  <c r="AK1004" i="82"/>
  <c r="AK1039" i="82"/>
  <c r="H957" i="82"/>
  <c r="O515" i="82"/>
  <c r="O322" i="82"/>
  <c r="Q322" i="82" s="1"/>
  <c r="H1008" i="82"/>
  <c r="H980" i="82"/>
  <c r="H1013" i="82"/>
  <c r="H985" i="82"/>
  <c r="H1012" i="82"/>
  <c r="H984" i="82"/>
  <c r="I1004" i="82"/>
  <c r="I976" i="82"/>
  <c r="I960" i="82"/>
  <c r="G1089" i="82"/>
  <c r="AG1044" i="82"/>
  <c r="AG1009" i="82"/>
  <c r="E958" i="82"/>
  <c r="P323" i="82"/>
  <c r="P324" i="82"/>
  <c r="P134" i="82"/>
  <c r="J1086" i="82"/>
  <c r="Z1086" i="82" s="1"/>
  <c r="AI1041" i="82"/>
  <c r="AI940" i="82"/>
  <c r="AI1006" i="82"/>
  <c r="AJ1108" i="82"/>
  <c r="AL1052" i="82"/>
  <c r="K1095" i="82"/>
  <c r="AJ1050" i="82"/>
  <c r="AJ1015" i="82"/>
  <c r="K1093" i="82"/>
  <c r="AJ1048" i="82"/>
  <c r="AJ1013" i="82"/>
  <c r="E953" i="82"/>
  <c r="J323" i="82"/>
  <c r="J324" i="82"/>
  <c r="M322" i="82"/>
  <c r="J134" i="82"/>
  <c r="H950" i="82"/>
  <c r="F515" i="82"/>
  <c r="I514" i="82"/>
  <c r="F322" i="82"/>
  <c r="E956" i="82"/>
  <c r="N323" i="82"/>
  <c r="N324" i="82"/>
  <c r="N134" i="82"/>
  <c r="E978" i="82"/>
  <c r="E1006" i="82"/>
  <c r="AR975" i="82"/>
  <c r="L1094" i="82"/>
  <c r="AK1049" i="82"/>
  <c r="AK1014" i="82"/>
  <c r="E955" i="82"/>
  <c r="L323" i="82"/>
  <c r="L324" i="82"/>
  <c r="L134" i="82"/>
  <c r="R565" i="82"/>
  <c r="AI1133" i="82"/>
  <c r="AI1134" i="82"/>
  <c r="C952" i="82"/>
  <c r="H29" i="82"/>
  <c r="H65" i="82"/>
  <c r="D949" i="82"/>
  <c r="D135" i="82"/>
  <c r="D64" i="82"/>
  <c r="I1014" i="82"/>
  <c r="I986" i="82"/>
  <c r="C954" i="82"/>
  <c r="K65" i="82"/>
  <c r="K29" i="82"/>
  <c r="L1087" i="82"/>
  <c r="AK1042" i="82"/>
  <c r="AK1007" i="82"/>
  <c r="H1015" i="82"/>
  <c r="H987" i="82"/>
  <c r="G1085" i="82"/>
  <c r="AG1040" i="82"/>
  <c r="AG1005" i="82"/>
  <c r="G1091" i="82"/>
  <c r="AG1046" i="82"/>
  <c r="AG1011" i="82"/>
  <c r="K1090" i="82"/>
  <c r="AJ1045" i="82"/>
  <c r="AJ1010" i="82"/>
  <c r="K1088" i="82"/>
  <c r="AJ1043" i="82"/>
  <c r="AJ1008" i="82"/>
  <c r="AI1101" i="82"/>
  <c r="AI1106" i="82"/>
  <c r="AI1099" i="82"/>
  <c r="AI1097" i="82"/>
  <c r="AI1095" i="82"/>
  <c r="AI1093" i="82"/>
  <c r="AI1104" i="82"/>
  <c r="AI1107" i="82"/>
  <c r="AI1105" i="82"/>
  <c r="AI1100" i="82"/>
  <c r="AI1098" i="82"/>
  <c r="AI1096" i="82"/>
  <c r="AI1094" i="82"/>
  <c r="AI1092" i="82"/>
  <c r="Z1085" i="82"/>
  <c r="AI1102" i="82"/>
  <c r="AI1089" i="82"/>
  <c r="AI1103" i="82"/>
  <c r="AI1087" i="82"/>
  <c r="AI1085" i="82"/>
  <c r="AI1090" i="82"/>
  <c r="AI1088" i="82"/>
  <c r="AI1086" i="82"/>
  <c r="AI1084" i="82"/>
  <c r="AI1091" i="82"/>
  <c r="D981" i="82"/>
  <c r="H947" i="82"/>
  <c r="E514" i="82"/>
  <c r="B515" i="82"/>
  <c r="B322" i="82"/>
  <c r="D1011" i="82"/>
  <c r="AQ980" i="82"/>
  <c r="D983" i="82"/>
  <c r="H1010" i="82"/>
  <c r="H982" i="82"/>
  <c r="K1092" i="82"/>
  <c r="AJ1047" i="82"/>
  <c r="AJ1012" i="82"/>
  <c r="G324" i="82"/>
  <c r="E951" i="82"/>
  <c r="G323" i="82"/>
  <c r="G134" i="82"/>
  <c r="I1007" i="82"/>
  <c r="I979" i="82"/>
  <c r="Q103" i="78"/>
  <c r="M103" i="78"/>
  <c r="I103" i="78"/>
  <c r="E103" i="78"/>
  <c r="D1009" i="82" l="1"/>
  <c r="AF1009" i="82" s="1"/>
  <c r="D977" i="82"/>
  <c r="AQ974" i="82"/>
  <c r="AI1127" i="82"/>
  <c r="C65" i="82"/>
  <c r="C29" i="82"/>
  <c r="B948" i="82" s="1"/>
  <c r="AK1052" i="82"/>
  <c r="R514" i="82"/>
  <c r="AI1108" i="82"/>
  <c r="AR977" i="82"/>
  <c r="E1008" i="82"/>
  <c r="E980" i="82"/>
  <c r="C1011" i="82"/>
  <c r="C983" i="82"/>
  <c r="AP980" i="82"/>
  <c r="C977" i="82"/>
  <c r="AP974" i="82"/>
  <c r="C1005" i="82"/>
  <c r="F1091" i="82"/>
  <c r="AF1046" i="82"/>
  <c r="AF1011" i="82"/>
  <c r="K1084" i="82"/>
  <c r="AJ1039" i="82"/>
  <c r="I1017" i="82"/>
  <c r="AJ1004" i="82"/>
  <c r="D1006" i="82"/>
  <c r="D978" i="82"/>
  <c r="AQ975" i="82"/>
  <c r="E1013" i="82"/>
  <c r="AR982" i="82"/>
  <c r="E985" i="82"/>
  <c r="E957" i="82"/>
  <c r="O324" i="82"/>
  <c r="O323" i="82"/>
  <c r="O134" i="82"/>
  <c r="Q134" i="82" s="1"/>
  <c r="D951" i="82"/>
  <c r="G135" i="82"/>
  <c r="G64" i="82"/>
  <c r="AI1116" i="82"/>
  <c r="AI1115" i="82"/>
  <c r="B954" i="82"/>
  <c r="K19" i="82"/>
  <c r="K20" i="82" s="1"/>
  <c r="K30" i="82"/>
  <c r="E950" i="82"/>
  <c r="F323" i="82"/>
  <c r="F324" i="82"/>
  <c r="I322" i="82"/>
  <c r="F134" i="82"/>
  <c r="E1010" i="82"/>
  <c r="AR979" i="82"/>
  <c r="E982" i="82"/>
  <c r="AR984" i="82"/>
  <c r="E1015" i="82"/>
  <c r="E987" i="82"/>
  <c r="J1092" i="82"/>
  <c r="Z1092" i="82" s="1"/>
  <c r="AI1047" i="82"/>
  <c r="AI1012" i="82"/>
  <c r="AI946" i="82"/>
  <c r="B952" i="82"/>
  <c r="H30" i="82"/>
  <c r="H19" i="82"/>
  <c r="H20" i="82" s="1"/>
  <c r="D955" i="82"/>
  <c r="L135" i="82"/>
  <c r="L64" i="82"/>
  <c r="G1086" i="82"/>
  <c r="AG1006" i="82"/>
  <c r="AG1041" i="82"/>
  <c r="H1014" i="82"/>
  <c r="H986" i="82"/>
  <c r="C1009" i="82"/>
  <c r="C981" i="82"/>
  <c r="AP978" i="82"/>
  <c r="E947" i="82"/>
  <c r="B323" i="82"/>
  <c r="B324" i="82"/>
  <c r="E322" i="82"/>
  <c r="B134" i="82"/>
  <c r="H976" i="82"/>
  <c r="H1004" i="82"/>
  <c r="H960" i="82"/>
  <c r="J1093" i="82"/>
  <c r="Z1093" i="82" s="1"/>
  <c r="AI1048" i="82"/>
  <c r="AI1013" i="82"/>
  <c r="AI947" i="82"/>
  <c r="J1090" i="82"/>
  <c r="Z1090" i="82" s="1"/>
  <c r="AI1045" i="82"/>
  <c r="AI1010" i="82"/>
  <c r="AI944" i="82"/>
  <c r="D956" i="82"/>
  <c r="N135" i="82"/>
  <c r="N64" i="82"/>
  <c r="H979" i="82"/>
  <c r="H1007" i="82"/>
  <c r="AK1017" i="82"/>
  <c r="K1087" i="82"/>
  <c r="AJ1042" i="82"/>
  <c r="AJ1007" i="82"/>
  <c r="AG1107" i="82"/>
  <c r="AG1105" i="82"/>
  <c r="AG1100" i="82"/>
  <c r="AG1098" i="82"/>
  <c r="AG1096" i="82"/>
  <c r="AG1103" i="82"/>
  <c r="AG1101" i="82"/>
  <c r="AG1106" i="82"/>
  <c r="AG1104" i="82"/>
  <c r="AG1102" i="82"/>
  <c r="AG1088" i="82"/>
  <c r="AG1086" i="82"/>
  <c r="AG1094" i="82"/>
  <c r="AG1091" i="82"/>
  <c r="AG1097" i="82"/>
  <c r="AG1092" i="82"/>
  <c r="AG1089" i="82"/>
  <c r="AG1087" i="82"/>
  <c r="AG1085" i="82"/>
  <c r="AG1084" i="82"/>
  <c r="AG1099" i="82"/>
  <c r="AG1090" i="82"/>
  <c r="AG1093" i="82"/>
  <c r="AG1095" i="82"/>
  <c r="J1095" i="82"/>
  <c r="Z1095" i="82" s="1"/>
  <c r="AI1050" i="82"/>
  <c r="AI1015" i="82"/>
  <c r="AI949" i="82"/>
  <c r="K1094" i="82"/>
  <c r="AJ1049" i="82"/>
  <c r="AJ1014" i="82"/>
  <c r="E1012" i="82"/>
  <c r="AR981" i="82"/>
  <c r="E984" i="82"/>
  <c r="D953" i="82"/>
  <c r="M134" i="82"/>
  <c r="J135" i="82"/>
  <c r="J64" i="82"/>
  <c r="AI1119" i="82"/>
  <c r="AI1118" i="82"/>
  <c r="J1088" i="82"/>
  <c r="Z1088" i="82" s="1"/>
  <c r="AI1043" i="82"/>
  <c r="AI1008" i="82"/>
  <c r="AI942" i="82"/>
  <c r="C949" i="82"/>
  <c r="D65" i="82"/>
  <c r="D29" i="82"/>
  <c r="D30" i="82" s="1"/>
  <c r="F1085" i="82"/>
  <c r="AF1005" i="82"/>
  <c r="AF1040" i="82"/>
  <c r="D958" i="82"/>
  <c r="P135" i="82"/>
  <c r="P64" i="82"/>
  <c r="R103" i="78"/>
  <c r="K590" i="78"/>
  <c r="F1089" i="82" l="1"/>
  <c r="AF1044" i="82"/>
  <c r="C19" i="82"/>
  <c r="C20" i="82" s="1"/>
  <c r="C30" i="82"/>
  <c r="R322" i="82"/>
  <c r="AG1108" i="82"/>
  <c r="J1087" i="82"/>
  <c r="Z1087" i="82" s="1"/>
  <c r="AI1042" i="82"/>
  <c r="AI1007" i="82"/>
  <c r="AI941" i="82"/>
  <c r="D1012" i="82"/>
  <c r="D984" i="82"/>
  <c r="AQ981" i="82"/>
  <c r="G1092" i="82"/>
  <c r="AG1047" i="82"/>
  <c r="AG1012" i="82"/>
  <c r="C1006" i="82"/>
  <c r="C978" i="82"/>
  <c r="AP975" i="82"/>
  <c r="F1086" i="82"/>
  <c r="AF1041" i="82"/>
  <c r="AF1006" i="82"/>
  <c r="AE1040" i="82"/>
  <c r="E1085" i="82"/>
  <c r="AE1005" i="82"/>
  <c r="E1091" i="82"/>
  <c r="AE1046" i="82"/>
  <c r="AE1011" i="82"/>
  <c r="AI1124" i="82"/>
  <c r="AI1125" i="82"/>
  <c r="AI1145" i="82"/>
  <c r="AI1146" i="82"/>
  <c r="AF1107" i="82"/>
  <c r="AF1105" i="82"/>
  <c r="AF1103" i="82"/>
  <c r="AF1106" i="82"/>
  <c r="AF1099" i="82"/>
  <c r="AF1097" i="82"/>
  <c r="AF1095" i="82"/>
  <c r="AF1093" i="82"/>
  <c r="AF1104" i="82"/>
  <c r="AF1102" i="82"/>
  <c r="AF1098" i="82"/>
  <c r="AF1088" i="82"/>
  <c r="AF1086" i="82"/>
  <c r="AF1084" i="82"/>
  <c r="AF1101" i="82"/>
  <c r="AF1094" i="82"/>
  <c r="AF1091" i="82"/>
  <c r="AF1100" i="82"/>
  <c r="AF1096" i="82"/>
  <c r="AF1092" i="82"/>
  <c r="AF1089" i="82"/>
  <c r="AF1087" i="82"/>
  <c r="AF1090" i="82"/>
  <c r="AF1085" i="82"/>
  <c r="AI1130" i="82"/>
  <c r="AI1131" i="82"/>
  <c r="G1093" i="82"/>
  <c r="AG1013" i="82"/>
  <c r="AG1048" i="82"/>
  <c r="B949" i="82"/>
  <c r="D19" i="82"/>
  <c r="D20" i="82" s="1"/>
  <c r="D957" i="82"/>
  <c r="O135" i="82"/>
  <c r="O64" i="82"/>
  <c r="Q64" i="82" s="1"/>
  <c r="AQ982" i="82"/>
  <c r="D1013" i="82"/>
  <c r="D985" i="82"/>
  <c r="G1090" i="82"/>
  <c r="AG1010" i="82"/>
  <c r="AG1045" i="82"/>
  <c r="B1011" i="82"/>
  <c r="AO980" i="82"/>
  <c r="AT980" i="82" s="1"/>
  <c r="B983" i="82"/>
  <c r="AN945" i="82"/>
  <c r="AG945" i="82"/>
  <c r="AJ1017" i="82"/>
  <c r="E1089" i="82"/>
  <c r="AE1044" i="82"/>
  <c r="AE1009" i="82"/>
  <c r="C951" i="82"/>
  <c r="G65" i="82"/>
  <c r="G29" i="82"/>
  <c r="D947" i="82"/>
  <c r="E134" i="82"/>
  <c r="B135" i="82"/>
  <c r="B64" i="82"/>
  <c r="C956" i="82"/>
  <c r="N29" i="82"/>
  <c r="N65" i="82"/>
  <c r="J1094" i="82"/>
  <c r="Z1094" i="82" s="1"/>
  <c r="AI1049" i="82"/>
  <c r="AI1014" i="82"/>
  <c r="AI948" i="82"/>
  <c r="C953" i="82"/>
  <c r="J65" i="82"/>
  <c r="M64" i="82"/>
  <c r="J29" i="82"/>
  <c r="B1005" i="82"/>
  <c r="B977" i="82"/>
  <c r="AG939" i="82"/>
  <c r="AN939" i="82"/>
  <c r="AO974" i="82"/>
  <c r="AT974" i="82" s="1"/>
  <c r="AI1139" i="82"/>
  <c r="AI1140" i="82"/>
  <c r="E1004" i="82"/>
  <c r="E976" i="82"/>
  <c r="AR973" i="82"/>
  <c r="E960" i="82"/>
  <c r="D1015" i="82"/>
  <c r="AQ984" i="82"/>
  <c r="D987" i="82"/>
  <c r="D1010" i="82"/>
  <c r="D982" i="82"/>
  <c r="AQ979" i="82"/>
  <c r="C955" i="82"/>
  <c r="L65" i="82"/>
  <c r="L29" i="82"/>
  <c r="D950" i="82"/>
  <c r="F135" i="82"/>
  <c r="I134" i="82"/>
  <c r="F64" i="82"/>
  <c r="E1014" i="82"/>
  <c r="E986" i="82"/>
  <c r="AR983" i="82"/>
  <c r="AG1043" i="82"/>
  <c r="G1088" i="82"/>
  <c r="AG1008" i="82"/>
  <c r="G1095" i="82"/>
  <c r="AG1050" i="82"/>
  <c r="AG1015" i="82"/>
  <c r="E1007" i="82"/>
  <c r="E979" i="82"/>
  <c r="AR976" i="82"/>
  <c r="D1008" i="82"/>
  <c r="D980" i="82"/>
  <c r="AQ977" i="82"/>
  <c r="B1009" i="82"/>
  <c r="B981" i="82"/>
  <c r="AO978" i="82"/>
  <c r="AT978" i="82" s="1"/>
  <c r="AN943" i="82"/>
  <c r="AG943" i="82"/>
  <c r="C958" i="82"/>
  <c r="P65" i="82"/>
  <c r="P29" i="82"/>
  <c r="J1084" i="82"/>
  <c r="Z1084" i="82" s="1"/>
  <c r="AI1039" i="82"/>
  <c r="H1017" i="82"/>
  <c r="AI1004" i="82"/>
  <c r="AI938" i="82"/>
  <c r="AI1136" i="82"/>
  <c r="AI1137" i="82"/>
  <c r="AJ1052" i="82"/>
  <c r="Q111" i="78"/>
  <c r="M111" i="78"/>
  <c r="I111" i="78"/>
  <c r="E111" i="78"/>
  <c r="J437" i="78"/>
  <c r="AI1017" i="82" l="1"/>
  <c r="AI951" i="82"/>
  <c r="AR986" i="82"/>
  <c r="R134" i="82"/>
  <c r="G1087" i="82"/>
  <c r="AG1042" i="82"/>
  <c r="AG1007" i="82"/>
  <c r="AI1121" i="82"/>
  <c r="AI1122" i="82"/>
  <c r="AD1040" i="82"/>
  <c r="AD1005" i="82"/>
  <c r="R1112" i="82"/>
  <c r="D1004" i="82"/>
  <c r="D960" i="82"/>
  <c r="D976" i="82"/>
  <c r="AQ973" i="82"/>
  <c r="B1006" i="82"/>
  <c r="B978" i="82"/>
  <c r="AO975" i="82"/>
  <c r="AT975" i="82" s="1"/>
  <c r="AN940" i="82"/>
  <c r="AG940" i="82"/>
  <c r="AI1112" i="82"/>
  <c r="AI1113" i="82"/>
  <c r="C950" i="82"/>
  <c r="F29" i="82"/>
  <c r="F65" i="82"/>
  <c r="I64" i="82"/>
  <c r="B953" i="82"/>
  <c r="J19" i="82"/>
  <c r="M29" i="82"/>
  <c r="J30" i="82"/>
  <c r="F1093" i="82"/>
  <c r="AF1013" i="82"/>
  <c r="AF1048" i="82"/>
  <c r="B958" i="82"/>
  <c r="P30" i="82"/>
  <c r="P19" i="82"/>
  <c r="P20" i="82" s="1"/>
  <c r="F1090" i="82"/>
  <c r="AF1010" i="82"/>
  <c r="AF1045" i="82"/>
  <c r="C1012" i="82"/>
  <c r="C984" i="82"/>
  <c r="AP981" i="82"/>
  <c r="G1094" i="82"/>
  <c r="AG1014" i="82"/>
  <c r="AG1049" i="82"/>
  <c r="AD1009" i="82"/>
  <c r="AD1044" i="82"/>
  <c r="R1116" i="82"/>
  <c r="C1008" i="82"/>
  <c r="C980" i="82"/>
  <c r="AP977" i="82"/>
  <c r="F1092" i="82"/>
  <c r="AF1047" i="82"/>
  <c r="AF1012" i="82"/>
  <c r="C1015" i="82"/>
  <c r="C987" i="82"/>
  <c r="AP984" i="82"/>
  <c r="F1088" i="82"/>
  <c r="AF1043" i="82"/>
  <c r="AF1008" i="82"/>
  <c r="D1007" i="82"/>
  <c r="AQ976" i="82"/>
  <c r="D979" i="82"/>
  <c r="C1010" i="82"/>
  <c r="C982" i="82"/>
  <c r="AP979" i="82"/>
  <c r="C1013" i="82"/>
  <c r="AP982" i="82"/>
  <c r="C985" i="82"/>
  <c r="AD1046" i="82"/>
  <c r="AD1011" i="82"/>
  <c r="R1118" i="82"/>
  <c r="V1091" i="82"/>
  <c r="AF1133" i="82" s="1"/>
  <c r="W1091" i="82"/>
  <c r="AF1134" i="82" s="1"/>
  <c r="AI1052" i="82"/>
  <c r="AF1108" i="82"/>
  <c r="AG1039" i="82"/>
  <c r="G1084" i="82"/>
  <c r="E1017" i="82"/>
  <c r="AG1004" i="82"/>
  <c r="B956" i="82"/>
  <c r="N30" i="82"/>
  <c r="N19" i="82"/>
  <c r="C957" i="82"/>
  <c r="O29" i="82"/>
  <c r="Q29" i="82" s="1"/>
  <c r="O65" i="82"/>
  <c r="B955" i="82"/>
  <c r="L30" i="82"/>
  <c r="L19" i="82"/>
  <c r="L20" i="82" s="1"/>
  <c r="F1095" i="82"/>
  <c r="AF1015" i="82"/>
  <c r="AF1050" i="82"/>
  <c r="C947" i="82"/>
  <c r="E64" i="82"/>
  <c r="B65" i="82"/>
  <c r="B29" i="82"/>
  <c r="D1014" i="82"/>
  <c r="D986" i="82"/>
  <c r="AQ983" i="82"/>
  <c r="E1086" i="82"/>
  <c r="AE1006" i="82"/>
  <c r="AE1041" i="82"/>
  <c r="AI1142" i="82"/>
  <c r="AI1143" i="82"/>
  <c r="B951" i="82"/>
  <c r="G30" i="82"/>
  <c r="G19" i="82"/>
  <c r="G20" i="82" s="1"/>
  <c r="W1089" i="82"/>
  <c r="AF1128" i="82" s="1"/>
  <c r="V1089" i="82"/>
  <c r="AF1127" i="82" s="1"/>
  <c r="AE1107" i="82"/>
  <c r="AE1105" i="82"/>
  <c r="AE1100" i="82"/>
  <c r="AE1098" i="82"/>
  <c r="AE1096" i="82"/>
  <c r="AE1094" i="82"/>
  <c r="AE1092" i="82"/>
  <c r="AE1101" i="82"/>
  <c r="AE1106" i="82"/>
  <c r="AE1099" i="82"/>
  <c r="AE1097" i="82"/>
  <c r="AE1095" i="82"/>
  <c r="AE1093" i="82"/>
  <c r="AE1104" i="82"/>
  <c r="AE1090" i="82"/>
  <c r="AE1102" i="82"/>
  <c r="AE1088" i="82"/>
  <c r="AE1086" i="82"/>
  <c r="AE1084" i="82"/>
  <c r="AE1103" i="82"/>
  <c r="AE1091" i="82"/>
  <c r="AE1089" i="82"/>
  <c r="AE1087" i="82"/>
  <c r="AE1085" i="82"/>
  <c r="W1085" i="82"/>
  <c r="AF1116" i="82" s="1"/>
  <c r="V1085" i="82"/>
  <c r="AF1115" i="82" s="1"/>
  <c r="R111" i="78"/>
  <c r="AG1052" i="82" l="1"/>
  <c r="AG1017" i="82"/>
  <c r="V1086" i="82"/>
  <c r="AF1118" i="82" s="1"/>
  <c r="W1086" i="82"/>
  <c r="AF1119" i="82" s="1"/>
  <c r="C1014" i="82"/>
  <c r="C986" i="82"/>
  <c r="AP983" i="82"/>
  <c r="AE1045" i="82"/>
  <c r="E1090" i="82"/>
  <c r="AE1010" i="82"/>
  <c r="E1095" i="82"/>
  <c r="AE1050" i="82"/>
  <c r="AE1015" i="82"/>
  <c r="AE1047" i="82"/>
  <c r="E1092" i="82"/>
  <c r="AE1012" i="82"/>
  <c r="B950" i="82"/>
  <c r="F30" i="82"/>
  <c r="F19" i="82"/>
  <c r="I29" i="82"/>
  <c r="AD1006" i="82"/>
  <c r="AD1041" i="82"/>
  <c r="R1113" i="82"/>
  <c r="O30" i="82"/>
  <c r="O19" i="82"/>
  <c r="O20" i="82" s="1"/>
  <c r="B957" i="82"/>
  <c r="B1015" i="82"/>
  <c r="B987" i="82"/>
  <c r="AN949" i="82"/>
  <c r="AO984" i="82"/>
  <c r="AT984" i="82" s="1"/>
  <c r="AG949" i="82"/>
  <c r="AE1108" i="82"/>
  <c r="N20" i="82"/>
  <c r="C1007" i="82"/>
  <c r="C979" i="82"/>
  <c r="AP976" i="82"/>
  <c r="AQ986" i="82"/>
  <c r="C1004" i="82"/>
  <c r="C960" i="82"/>
  <c r="AP973" i="82"/>
  <c r="C976" i="82"/>
  <c r="E1088" i="82"/>
  <c r="AE1043" i="82"/>
  <c r="AE1008" i="82"/>
  <c r="B1008" i="82"/>
  <c r="B980" i="82"/>
  <c r="AO977" i="82"/>
  <c r="AT977" i="82" s="1"/>
  <c r="AG942" i="82"/>
  <c r="AN942" i="82"/>
  <c r="F1094" i="82"/>
  <c r="AF1014" i="82"/>
  <c r="AF1049" i="82"/>
  <c r="F1087" i="82"/>
  <c r="AF1042" i="82"/>
  <c r="AF1007" i="82"/>
  <c r="B947" i="82"/>
  <c r="B19" i="82"/>
  <c r="E29" i="82"/>
  <c r="B30" i="82"/>
  <c r="B1013" i="82"/>
  <c r="AN947" i="82"/>
  <c r="B985" i="82"/>
  <c r="AO982" i="82"/>
  <c r="AT982" i="82" s="1"/>
  <c r="AG947" i="82"/>
  <c r="B1012" i="82"/>
  <c r="AO981" i="82"/>
  <c r="AT981" i="82" s="1"/>
  <c r="B984" i="82"/>
  <c r="AG946" i="82"/>
  <c r="AN946" i="82"/>
  <c r="E1093" i="82"/>
  <c r="AE1048" i="82"/>
  <c r="AE1013" i="82"/>
  <c r="M19" i="82"/>
  <c r="J20" i="82"/>
  <c r="M20" i="82" s="1"/>
  <c r="AF1039" i="82"/>
  <c r="F1084" i="82"/>
  <c r="D1017" i="82"/>
  <c r="AF1004" i="82"/>
  <c r="R64" i="82"/>
  <c r="B982" i="82"/>
  <c r="AO979" i="82"/>
  <c r="AT979" i="82" s="1"/>
  <c r="B1010" i="82"/>
  <c r="AG944" i="82"/>
  <c r="AN944" i="82"/>
  <c r="P409" i="79"/>
  <c r="O409" i="79"/>
  <c r="N409" i="79"/>
  <c r="L409" i="79"/>
  <c r="K409" i="79"/>
  <c r="J409" i="79"/>
  <c r="H409" i="79"/>
  <c r="G409" i="79"/>
  <c r="F409" i="79"/>
  <c r="D409" i="79"/>
  <c r="C409" i="79"/>
  <c r="B409" i="79"/>
  <c r="Q19" i="82" l="1"/>
  <c r="R29" i="82"/>
  <c r="Q20" i="82"/>
  <c r="AF1052" i="82"/>
  <c r="AE1039" i="82"/>
  <c r="E1084" i="82"/>
  <c r="AE1004" i="82"/>
  <c r="C1017" i="82"/>
  <c r="V1095" i="82"/>
  <c r="AF1145" i="82" s="1"/>
  <c r="W1095" i="82"/>
  <c r="AF1146" i="82" s="1"/>
  <c r="E1094" i="82"/>
  <c r="AE1049" i="82"/>
  <c r="AE1014" i="82"/>
  <c r="AD1047" i="82"/>
  <c r="AD1012" i="82"/>
  <c r="R1119" i="82"/>
  <c r="AD1048" i="82"/>
  <c r="AD1013" i="82"/>
  <c r="R1120" i="82"/>
  <c r="AO976" i="82"/>
  <c r="AT976" i="82" s="1"/>
  <c r="B1007" i="82"/>
  <c r="AG941" i="82"/>
  <c r="B979" i="82"/>
  <c r="AN941" i="82"/>
  <c r="W1088" i="82"/>
  <c r="AF1125" i="82" s="1"/>
  <c r="V1088" i="82"/>
  <c r="AF1124" i="82" s="1"/>
  <c r="W1092" i="82"/>
  <c r="AF1137" i="82" s="1"/>
  <c r="V1092" i="82"/>
  <c r="AF1136" i="82" s="1"/>
  <c r="I19" i="82"/>
  <c r="F20" i="82"/>
  <c r="I20" i="82" s="1"/>
  <c r="W1093" i="82"/>
  <c r="AF1140" i="82" s="1"/>
  <c r="V1093" i="82"/>
  <c r="AF1139" i="82" s="1"/>
  <c r="B20" i="82"/>
  <c r="E20" i="82" s="1"/>
  <c r="E19" i="82"/>
  <c r="AE1042" i="82"/>
  <c r="E1087" i="82"/>
  <c r="AE1007" i="82"/>
  <c r="AD1050" i="82"/>
  <c r="AD1015" i="82"/>
  <c r="R1122" i="82"/>
  <c r="W1090" i="82"/>
  <c r="AF1131" i="82" s="1"/>
  <c r="V1090" i="82"/>
  <c r="AF1130" i="82" s="1"/>
  <c r="AD1045" i="82"/>
  <c r="AD1010" i="82"/>
  <c r="R1117" i="82"/>
  <c r="B1004" i="82"/>
  <c r="AO973" i="82"/>
  <c r="B976" i="82"/>
  <c r="AN938" i="82"/>
  <c r="B960" i="82"/>
  <c r="AG938" i="82"/>
  <c r="AD1043" i="82"/>
  <c r="AD1008" i="82"/>
  <c r="R1115" i="82"/>
  <c r="AP986" i="82"/>
  <c r="AO983" i="82"/>
  <c r="AT983" i="82" s="1"/>
  <c r="B986" i="82"/>
  <c r="AG948" i="82"/>
  <c r="B1014" i="82"/>
  <c r="AN948" i="82"/>
  <c r="AF1017" i="82"/>
  <c r="R19" i="82" l="1"/>
  <c r="R20" i="82"/>
  <c r="AG951" i="82"/>
  <c r="AD1049" i="82"/>
  <c r="AD1014" i="82"/>
  <c r="R1121" i="82"/>
  <c r="AD1042" i="82"/>
  <c r="AD1007" i="82"/>
  <c r="R1114" i="82"/>
  <c r="AE1017" i="82"/>
  <c r="AO986" i="82"/>
  <c r="AT973" i="82"/>
  <c r="AT986" i="82" s="1"/>
  <c r="V1087" i="82"/>
  <c r="AF1121" i="82" s="1"/>
  <c r="W1087" i="82"/>
  <c r="AF1122" i="82" s="1"/>
  <c r="V1084" i="82"/>
  <c r="AF1112" i="82" s="1"/>
  <c r="W1084" i="82"/>
  <c r="AF1113" i="82" s="1"/>
  <c r="B1017" i="82"/>
  <c r="R1123" i="82" s="1"/>
  <c r="AD1039" i="82"/>
  <c r="AD1004" i="82"/>
  <c r="R1111" i="82"/>
  <c r="W1094" i="82"/>
  <c r="AF1143" i="82" s="1"/>
  <c r="V1094" i="82"/>
  <c r="AF1142" i="82" s="1"/>
  <c r="AE1052" i="82"/>
  <c r="H296" i="78"/>
  <c r="Q634" i="78"/>
  <c r="Q635" i="78"/>
  <c r="M634" i="78"/>
  <c r="I634" i="78"/>
  <c r="I635" i="78"/>
  <c r="E634" i="78"/>
  <c r="D373" i="78"/>
  <c r="C373" i="78"/>
  <c r="B373" i="78"/>
  <c r="AD1017" i="82" l="1"/>
  <c r="AD1052" i="82"/>
  <c r="R634" i="78"/>
  <c r="J354" i="78"/>
  <c r="H354" i="78"/>
  <c r="G354" i="78"/>
  <c r="F354" i="78"/>
  <c r="J352" i="78"/>
  <c r="Q74" i="78"/>
  <c r="M74" i="78"/>
  <c r="M75" i="78"/>
  <c r="I74" i="78"/>
  <c r="E74" i="78"/>
  <c r="J346" i="78"/>
  <c r="H441" i="78"/>
  <c r="G441" i="78"/>
  <c r="F441" i="78"/>
  <c r="J850" i="78"/>
  <c r="G261" i="78"/>
  <c r="O191" i="78"/>
  <c r="H191" i="78"/>
  <c r="H192" i="78"/>
  <c r="F629" i="78"/>
  <c r="G191" i="78"/>
  <c r="F191" i="78"/>
  <c r="Q82" i="78"/>
  <c r="M82" i="78"/>
  <c r="I82" i="78"/>
  <c r="E82" i="78"/>
  <c r="F183" i="78"/>
  <c r="G183" i="78"/>
  <c r="D183" i="78"/>
  <c r="R74" i="78" l="1"/>
  <c r="R82" i="78"/>
  <c r="J369" i="78" l="1"/>
  <c r="H369" i="78"/>
  <c r="Q417" i="78"/>
  <c r="M417" i="78"/>
  <c r="I417" i="78"/>
  <c r="E417" i="78"/>
  <c r="R417" i="78" l="1"/>
  <c r="G436" i="78" l="1"/>
  <c r="G433" i="78"/>
  <c r="F433" i="78"/>
  <c r="H439" i="78" l="1"/>
  <c r="G439" i="78"/>
  <c r="F439" i="78"/>
  <c r="H277" i="78"/>
  <c r="G850" i="78" l="1"/>
  <c r="H485" i="78"/>
  <c r="G485" i="78"/>
  <c r="F485" i="78"/>
  <c r="H276" i="78"/>
  <c r="H857" i="78"/>
  <c r="G857" i="78"/>
  <c r="F857" i="78"/>
  <c r="O590" i="78"/>
  <c r="O402" i="78"/>
  <c r="Q110" i="78" l="1"/>
  <c r="M110" i="78"/>
  <c r="I110" i="78"/>
  <c r="E110" i="78"/>
  <c r="R110" i="78" l="1"/>
  <c r="C357" i="78"/>
  <c r="D354" i="78"/>
  <c r="C354" i="78"/>
  <c r="B354" i="78"/>
  <c r="Q252" i="78" l="1"/>
  <c r="M252" i="78"/>
  <c r="I252" i="78"/>
  <c r="E252" i="78"/>
  <c r="D441" i="78"/>
  <c r="C441" i="78"/>
  <c r="D485" i="78"/>
  <c r="C485" i="78"/>
  <c r="B485" i="78"/>
  <c r="D857" i="78"/>
  <c r="C857" i="78"/>
  <c r="B857" i="78"/>
  <c r="D292" i="78"/>
  <c r="C292" i="78"/>
  <c r="R252" i="78" l="1"/>
  <c r="D371" i="78"/>
  <c r="D192" i="78"/>
  <c r="C192" i="78"/>
  <c r="D191" i="78"/>
  <c r="C191" i="78"/>
  <c r="B191" i="78"/>
  <c r="B183" i="78"/>
  <c r="C253" i="78"/>
  <c r="O369" i="78"/>
  <c r="D369" i="78" l="1"/>
  <c r="C369" i="78"/>
  <c r="B369" i="78"/>
  <c r="D433" i="78"/>
  <c r="C433" i="78"/>
  <c r="B433" i="78"/>
  <c r="Q474" i="78" l="1"/>
  <c r="M474" i="78"/>
  <c r="I474" i="78"/>
  <c r="E474" i="78"/>
  <c r="Q263" i="78"/>
  <c r="M263" i="78"/>
  <c r="I263" i="78"/>
  <c r="I264" i="78"/>
  <c r="E263" i="78"/>
  <c r="R263" i="78" l="1"/>
  <c r="R474" i="78"/>
  <c r="D547" i="78"/>
  <c r="Y29" i="2" l="1"/>
  <c r="Q327" i="81"/>
  <c r="M327" i="81"/>
  <c r="I327" i="81"/>
  <c r="E327" i="81"/>
  <c r="Q324" i="79"/>
  <c r="M324" i="79"/>
  <c r="I324" i="79"/>
  <c r="E324" i="79"/>
  <c r="Q332" i="78"/>
  <c r="M332" i="78"/>
  <c r="I332" i="78"/>
  <c r="E332" i="78"/>
  <c r="R332" i="78" l="1"/>
  <c r="R327" i="81"/>
  <c r="R324" i="79"/>
  <c r="Q82" i="81"/>
  <c r="M82" i="81"/>
  <c r="I82" i="81"/>
  <c r="E82" i="81"/>
  <c r="I373" i="81"/>
  <c r="E373" i="81"/>
  <c r="Q373" i="81"/>
  <c r="M373" i="81"/>
  <c r="Q827" i="81"/>
  <c r="M827" i="81"/>
  <c r="I827" i="81"/>
  <c r="E827" i="81"/>
  <c r="Q824" i="81"/>
  <c r="M824" i="81"/>
  <c r="I824" i="81"/>
  <c r="E824" i="81"/>
  <c r="L193" i="81"/>
  <c r="K193" i="81"/>
  <c r="M193" i="81" s="1"/>
  <c r="J193" i="81"/>
  <c r="H193" i="81"/>
  <c r="I193" i="81" s="1"/>
  <c r="Q193" i="81"/>
  <c r="E193" i="81"/>
  <c r="Q77" i="81"/>
  <c r="M77" i="81"/>
  <c r="I77" i="81"/>
  <c r="E77" i="81"/>
  <c r="Q363" i="81"/>
  <c r="M363" i="81"/>
  <c r="I363" i="81"/>
  <c r="E363" i="81"/>
  <c r="R82" i="81" l="1"/>
  <c r="R827" i="81"/>
  <c r="R373" i="81"/>
  <c r="R824" i="81"/>
  <c r="R193" i="81"/>
  <c r="R77" i="81"/>
  <c r="R363" i="81"/>
  <c r="M153" i="2" l="1"/>
  <c r="M151" i="2"/>
  <c r="M149" i="2"/>
  <c r="M147" i="2"/>
  <c r="M145" i="2"/>
  <c r="M143" i="2"/>
  <c r="M141" i="2"/>
  <c r="M139" i="2"/>
  <c r="M137" i="2"/>
  <c r="M135" i="2"/>
  <c r="M133" i="2"/>
  <c r="M131" i="2"/>
  <c r="M57" i="2"/>
  <c r="M55" i="2"/>
  <c r="M53" i="2"/>
  <c r="M51" i="2"/>
  <c r="M49" i="2"/>
  <c r="M47" i="2"/>
  <c r="M45" i="2"/>
  <c r="M43" i="2"/>
  <c r="M41" i="2"/>
  <c r="M39" i="2"/>
  <c r="M37" i="2"/>
  <c r="M35" i="2"/>
  <c r="M823" i="79" l="1"/>
  <c r="P192" i="81"/>
  <c r="O192" i="81"/>
  <c r="N192" i="81"/>
  <c r="P190" i="79"/>
  <c r="O190" i="79"/>
  <c r="N190" i="79"/>
  <c r="L192" i="81"/>
  <c r="K192" i="81"/>
  <c r="J192" i="81"/>
  <c r="L191" i="79"/>
  <c r="K191" i="79"/>
  <c r="J191" i="79"/>
  <c r="L190" i="79"/>
  <c r="K190" i="79"/>
  <c r="J190" i="79"/>
  <c r="H192" i="81"/>
  <c r="H191" i="79"/>
  <c r="H190" i="79"/>
  <c r="N265" i="81"/>
  <c r="N262" i="79"/>
  <c r="P244" i="81"/>
  <c r="P241" i="79"/>
  <c r="P188" i="81"/>
  <c r="O188" i="81"/>
  <c r="N188" i="81"/>
  <c r="P186" i="79"/>
  <c r="O186" i="79"/>
  <c r="N186" i="79"/>
  <c r="J189" i="81"/>
  <c r="L188" i="81"/>
  <c r="K188" i="81"/>
  <c r="J188" i="81"/>
  <c r="J187" i="79"/>
  <c r="L186" i="79"/>
  <c r="K186" i="79"/>
  <c r="J186" i="79"/>
  <c r="H189" i="81"/>
  <c r="G189" i="81"/>
  <c r="F189" i="81"/>
  <c r="H188" i="81"/>
  <c r="G188" i="81"/>
  <c r="F188" i="81"/>
  <c r="H187" i="79"/>
  <c r="G187" i="79"/>
  <c r="F187" i="79"/>
  <c r="H186" i="79"/>
  <c r="G186" i="79"/>
  <c r="F186" i="79"/>
  <c r="D189" i="81"/>
  <c r="C189" i="81"/>
  <c r="D188" i="81"/>
  <c r="C188" i="81"/>
  <c r="B188" i="81"/>
  <c r="D187" i="79"/>
  <c r="C187" i="79"/>
  <c r="D186" i="79"/>
  <c r="C186" i="79"/>
  <c r="B186" i="79"/>
  <c r="O365" i="81"/>
  <c r="N365" i="81"/>
  <c r="O362" i="79"/>
  <c r="N362" i="79"/>
  <c r="L365" i="81"/>
  <c r="K365" i="81"/>
  <c r="J365" i="81"/>
  <c r="L362" i="79"/>
  <c r="K362" i="79"/>
  <c r="J362" i="79"/>
  <c r="B365" i="81"/>
  <c r="H365" i="81"/>
  <c r="G365" i="81"/>
  <c r="F365" i="81"/>
  <c r="H362" i="79"/>
  <c r="G362" i="79"/>
  <c r="F362" i="79"/>
  <c r="B362" i="79"/>
  <c r="N145" i="81" l="1"/>
  <c r="N143" i="79"/>
  <c r="L145" i="81"/>
  <c r="K145" i="81"/>
  <c r="J145" i="81"/>
  <c r="L143" i="79"/>
  <c r="K143" i="79"/>
  <c r="J143" i="79"/>
  <c r="H145" i="81"/>
  <c r="G145" i="81"/>
  <c r="F145" i="81"/>
  <c r="H143" i="79"/>
  <c r="G143" i="79"/>
  <c r="F143" i="79"/>
  <c r="D145" i="81"/>
  <c r="C145" i="81"/>
  <c r="D143" i="79"/>
  <c r="C143" i="79"/>
  <c r="H356" i="81"/>
  <c r="H353" i="79"/>
  <c r="Q353" i="79"/>
  <c r="M353" i="79"/>
  <c r="I353" i="79"/>
  <c r="E353" i="79"/>
  <c r="H273" i="81"/>
  <c r="H270" i="79"/>
  <c r="G260" i="81"/>
  <c r="G257" i="79"/>
  <c r="K163" i="81"/>
  <c r="K161" i="79"/>
  <c r="G163" i="81"/>
  <c r="G161" i="79"/>
  <c r="D536" i="79"/>
  <c r="R353" i="79" l="1"/>
  <c r="P349" i="81" l="1"/>
  <c r="O349" i="81"/>
  <c r="N349" i="81"/>
  <c r="P346" i="79"/>
  <c r="O346" i="79"/>
  <c r="N346" i="79"/>
  <c r="L349" i="81"/>
  <c r="K349" i="81"/>
  <c r="J349" i="81"/>
  <c r="L346" i="79"/>
  <c r="K346" i="79"/>
  <c r="J346" i="79"/>
  <c r="H349" i="81"/>
  <c r="G349" i="81"/>
  <c r="F349" i="81"/>
  <c r="H346" i="79"/>
  <c r="G346" i="79"/>
  <c r="F346" i="79"/>
  <c r="D349" i="81"/>
  <c r="C349" i="81"/>
  <c r="B349" i="81"/>
  <c r="D346" i="79"/>
  <c r="C346" i="79"/>
  <c r="B346" i="79"/>
  <c r="H346" i="81"/>
  <c r="H343" i="79"/>
  <c r="H151" i="81"/>
  <c r="H149" i="79"/>
  <c r="P341" i="81"/>
  <c r="O341" i="81"/>
  <c r="N341" i="81"/>
  <c r="L341" i="81"/>
  <c r="K341" i="81"/>
  <c r="J341" i="81"/>
  <c r="H437" i="81"/>
  <c r="G437" i="81"/>
  <c r="F437" i="81"/>
  <c r="D437" i="81"/>
  <c r="C437" i="81"/>
  <c r="B437" i="81"/>
  <c r="P338" i="79"/>
  <c r="O338" i="79"/>
  <c r="N338" i="79"/>
  <c r="L338" i="79"/>
  <c r="K338" i="79"/>
  <c r="J338" i="79"/>
  <c r="H433" i="79"/>
  <c r="G433" i="79"/>
  <c r="F433" i="79"/>
  <c r="D433" i="79"/>
  <c r="C433" i="79"/>
  <c r="B433" i="79"/>
  <c r="O413" i="81"/>
  <c r="N413" i="81"/>
  <c r="L413" i="81"/>
  <c r="K413" i="81"/>
  <c r="J413" i="81"/>
  <c r="H413" i="81"/>
  <c r="G413" i="81"/>
  <c r="F413" i="81"/>
  <c r="D413" i="81"/>
  <c r="C413" i="81"/>
  <c r="L434" i="81"/>
  <c r="L430" i="79"/>
  <c r="H433" i="81"/>
  <c r="H429" i="79"/>
  <c r="G258" i="81"/>
  <c r="F258" i="81"/>
  <c r="G255" i="79"/>
  <c r="F255" i="79"/>
  <c r="L256" i="81"/>
  <c r="L253" i="79"/>
  <c r="H281" i="81"/>
  <c r="H278" i="79"/>
  <c r="D287" i="81"/>
  <c r="C287" i="81"/>
  <c r="D284" i="79"/>
  <c r="C284" i="79"/>
  <c r="K743" i="81" l="1"/>
  <c r="K739" i="79"/>
  <c r="M844" i="81"/>
  <c r="I844" i="81"/>
  <c r="E844" i="81"/>
  <c r="O1172" i="81" l="1"/>
  <c r="K1172" i="81"/>
  <c r="Q1169" i="81"/>
  <c r="M1169" i="81"/>
  <c r="G1169" i="81"/>
  <c r="I1169" i="81" s="1"/>
  <c r="E1169" i="81"/>
  <c r="C1169" i="81"/>
  <c r="Q1168" i="81"/>
  <c r="M1168" i="81"/>
  <c r="G1168" i="81"/>
  <c r="I1168" i="81" s="1"/>
  <c r="E1168" i="81"/>
  <c r="F1169" i="81" s="1"/>
  <c r="C1168" i="81"/>
  <c r="Q1167" i="81"/>
  <c r="R1169" i="81" s="1"/>
  <c r="M1167" i="81"/>
  <c r="N1169" i="81" s="1"/>
  <c r="G1167" i="81"/>
  <c r="I1167" i="81" s="1"/>
  <c r="J1169" i="81" s="1"/>
  <c r="E1167" i="81"/>
  <c r="C1167" i="81"/>
  <c r="Q1166" i="81"/>
  <c r="M1166" i="81"/>
  <c r="G1166" i="81"/>
  <c r="I1166" i="81" s="1"/>
  <c r="E1166" i="81"/>
  <c r="F1166" i="81" s="1"/>
  <c r="C1166" i="81"/>
  <c r="Q1165" i="81"/>
  <c r="M1165" i="81"/>
  <c r="G1165" i="81"/>
  <c r="I1165" i="81" s="1"/>
  <c r="E1165" i="81"/>
  <c r="C1165" i="81"/>
  <c r="Q1164" i="81"/>
  <c r="R1166" i="81" s="1"/>
  <c r="M1164" i="81"/>
  <c r="N1166" i="81" s="1"/>
  <c r="G1164" i="81"/>
  <c r="I1164" i="81" s="1"/>
  <c r="J1166" i="81" s="1"/>
  <c r="E1164" i="81"/>
  <c r="C1164" i="81"/>
  <c r="Q1163" i="81"/>
  <c r="M1163" i="81"/>
  <c r="I1163" i="81"/>
  <c r="G1163" i="81"/>
  <c r="E1163" i="81"/>
  <c r="C1163" i="81"/>
  <c r="Q1162" i="81"/>
  <c r="M1162" i="81"/>
  <c r="G1162" i="81"/>
  <c r="I1162" i="81" s="1"/>
  <c r="E1162" i="81"/>
  <c r="C1162" i="81"/>
  <c r="Q1161" i="81"/>
  <c r="R1163" i="81" s="1"/>
  <c r="M1161" i="81"/>
  <c r="G1161" i="81"/>
  <c r="I1161" i="81" s="1"/>
  <c r="J1163" i="81" s="1"/>
  <c r="E1161" i="81"/>
  <c r="C1161" i="81"/>
  <c r="Q1160" i="81"/>
  <c r="M1160" i="81"/>
  <c r="G1160" i="81"/>
  <c r="I1160" i="81" s="1"/>
  <c r="E1160" i="81"/>
  <c r="C1160" i="81"/>
  <c r="Q1159" i="81"/>
  <c r="M1159" i="81"/>
  <c r="G1159" i="81"/>
  <c r="E1159" i="81"/>
  <c r="C1159" i="81"/>
  <c r="Q1158" i="81"/>
  <c r="R1160" i="81" s="1"/>
  <c r="M1158" i="81"/>
  <c r="I1158" i="81"/>
  <c r="E1158" i="81"/>
  <c r="C1158" i="81"/>
  <c r="G1152" i="81"/>
  <c r="O1151" i="81"/>
  <c r="K1151" i="81"/>
  <c r="C1151" i="81"/>
  <c r="I1148" i="81"/>
  <c r="J1145" i="81"/>
  <c r="Q1144" i="81"/>
  <c r="P1120" i="81"/>
  <c r="O1120" i="81" s="1"/>
  <c r="J1120" i="81"/>
  <c r="I1120" i="81"/>
  <c r="F1120" i="81" s="1"/>
  <c r="B1093" i="81" s="1"/>
  <c r="P1119" i="81"/>
  <c r="O1119" i="81"/>
  <c r="J1119" i="81"/>
  <c r="I1119" i="81"/>
  <c r="F1119" i="81" s="1"/>
  <c r="B1092" i="81" s="1"/>
  <c r="G1119" i="81"/>
  <c r="N1118" i="81"/>
  <c r="P1118" i="81" s="1"/>
  <c r="O1118" i="81" s="1"/>
  <c r="J1118" i="81"/>
  <c r="I1118" i="81"/>
  <c r="F1118" i="81" s="1"/>
  <c r="G1118" i="81"/>
  <c r="N1117" i="81"/>
  <c r="P1117" i="81" s="1"/>
  <c r="O1117" i="81" s="1"/>
  <c r="J1117" i="81"/>
  <c r="I1117" i="81"/>
  <c r="F1117" i="81" s="1"/>
  <c r="B1090" i="81" s="1"/>
  <c r="G1117" i="81"/>
  <c r="N1116" i="81"/>
  <c r="P1116" i="81" s="1"/>
  <c r="O1116" i="81" s="1"/>
  <c r="J1116" i="81"/>
  <c r="I1116" i="81"/>
  <c r="F1116" i="81" s="1"/>
  <c r="B1089" i="81" s="1"/>
  <c r="G1116" i="81"/>
  <c r="N1115" i="81"/>
  <c r="P1115" i="81" s="1"/>
  <c r="O1115" i="81" s="1"/>
  <c r="J1115" i="81"/>
  <c r="I1115" i="81"/>
  <c r="F1115" i="81" s="1"/>
  <c r="G1115" i="81"/>
  <c r="C1088" i="81" s="1"/>
  <c r="N1114" i="81"/>
  <c r="P1114" i="81" s="1"/>
  <c r="O1114" i="81" s="1"/>
  <c r="J1114" i="81"/>
  <c r="I1114" i="81"/>
  <c r="F1114" i="81" s="1"/>
  <c r="B1087" i="81" s="1"/>
  <c r="G1114" i="81"/>
  <c r="N1113" i="81"/>
  <c r="P1113" i="81" s="1"/>
  <c r="O1113" i="81" s="1"/>
  <c r="J1113" i="81"/>
  <c r="I1113" i="81"/>
  <c r="F1113" i="81" s="1"/>
  <c r="B1086" i="81" s="1"/>
  <c r="G1113" i="81"/>
  <c r="P1112" i="81"/>
  <c r="O1112" i="81" s="1"/>
  <c r="J1112" i="81"/>
  <c r="G1112" i="81" s="1"/>
  <c r="C1085" i="81" s="1"/>
  <c r="I1112" i="81"/>
  <c r="F1112" i="81"/>
  <c r="B1085" i="81" s="1"/>
  <c r="P1111" i="81"/>
  <c r="O1111" i="81" s="1"/>
  <c r="J1111" i="81"/>
  <c r="G1111" i="81" s="1"/>
  <c r="C1084" i="81" s="1"/>
  <c r="I1111" i="81"/>
  <c r="F1111" i="81" s="1"/>
  <c r="B1084" i="81" s="1"/>
  <c r="N1110" i="81"/>
  <c r="P1110" i="81" s="1"/>
  <c r="O1110" i="81" s="1"/>
  <c r="J1110" i="81"/>
  <c r="G1110" i="81" s="1"/>
  <c r="I1110" i="81"/>
  <c r="F1110" i="81" s="1"/>
  <c r="B1083" i="81" s="1"/>
  <c r="P1109" i="81"/>
  <c r="O1109" i="81" s="1"/>
  <c r="J1109" i="81"/>
  <c r="I1109" i="81"/>
  <c r="F1109" i="81" s="1"/>
  <c r="B1082" i="81" s="1"/>
  <c r="B1103" i="81"/>
  <c r="B1100" i="81"/>
  <c r="Q1099" i="81"/>
  <c r="AD1097" i="81"/>
  <c r="C1092" i="81"/>
  <c r="C1091" i="81"/>
  <c r="B1091" i="81"/>
  <c r="C1090" i="81"/>
  <c r="D1089" i="81"/>
  <c r="C1089" i="81"/>
  <c r="D1088" i="81"/>
  <c r="B1088" i="81"/>
  <c r="D1087" i="81"/>
  <c r="C1087" i="81"/>
  <c r="C1086" i="81"/>
  <c r="C1083" i="81"/>
  <c r="AD1095" i="81" s="1"/>
  <c r="AE1079" i="81"/>
  <c r="B1078" i="81"/>
  <c r="B1075" i="81"/>
  <c r="Q1074" i="81"/>
  <c r="P1068" i="81"/>
  <c r="P1067" i="81"/>
  <c r="P1066" i="81"/>
  <c r="P1065" i="81"/>
  <c r="P1064" i="81"/>
  <c r="P1063" i="81"/>
  <c r="P1062" i="81"/>
  <c r="P1061" i="81"/>
  <c r="P1060" i="81"/>
  <c r="P1059" i="81"/>
  <c r="P1058" i="81"/>
  <c r="P1057" i="81"/>
  <c r="M1052" i="81"/>
  <c r="N1043" i="81"/>
  <c r="L1043" i="81"/>
  <c r="K1043" i="81"/>
  <c r="I1043" i="81"/>
  <c r="H1043" i="81"/>
  <c r="J1041" i="81"/>
  <c r="J1040" i="81"/>
  <c r="J1039" i="81"/>
  <c r="J1038" i="81"/>
  <c r="J1037" i="81"/>
  <c r="J1036" i="81"/>
  <c r="AR1035" i="81"/>
  <c r="AQ1035" i="81"/>
  <c r="AP1035" i="81"/>
  <c r="AO1035" i="81"/>
  <c r="AN1035" i="81"/>
  <c r="AM1035" i="81"/>
  <c r="AL1035" i="81"/>
  <c r="AK1035" i="81"/>
  <c r="AJ1035" i="81"/>
  <c r="AI1035" i="81"/>
  <c r="AH1035" i="81"/>
  <c r="AG1035" i="81"/>
  <c r="AF1035" i="81"/>
  <c r="AE1035" i="81"/>
  <c r="AD1035" i="81"/>
  <c r="J1035" i="81"/>
  <c r="J1034" i="81"/>
  <c r="J1033" i="81"/>
  <c r="J1032" i="81"/>
  <c r="J1031" i="81"/>
  <c r="J1030" i="81"/>
  <c r="AD1025" i="81"/>
  <c r="AD1022" i="81"/>
  <c r="B1022" i="81"/>
  <c r="AR1021" i="81"/>
  <c r="B1021" i="81"/>
  <c r="Q1020" i="81"/>
  <c r="AR1000" i="81"/>
  <c r="AQ1000" i="81"/>
  <c r="AP1000" i="81"/>
  <c r="AO1000" i="81"/>
  <c r="AN1000" i="81"/>
  <c r="AM1000" i="81"/>
  <c r="AL1000" i="81"/>
  <c r="AK1000" i="81"/>
  <c r="AJ1000" i="81"/>
  <c r="AI1000" i="81"/>
  <c r="AH1000" i="81"/>
  <c r="AG1000" i="81"/>
  <c r="AF1000" i="81"/>
  <c r="AE1000" i="81"/>
  <c r="AD1000" i="81"/>
  <c r="B995" i="81"/>
  <c r="B992" i="81"/>
  <c r="Q991" i="81"/>
  <c r="AD990" i="81"/>
  <c r="AD987" i="81"/>
  <c r="AR986" i="81"/>
  <c r="AR969" i="81"/>
  <c r="AQ969" i="81"/>
  <c r="AP969" i="81"/>
  <c r="AO969" i="81"/>
  <c r="AG969" i="81"/>
  <c r="AF969" i="81"/>
  <c r="AE969" i="81"/>
  <c r="AD969" i="81"/>
  <c r="B969" i="81"/>
  <c r="B966" i="81"/>
  <c r="Q965" i="81"/>
  <c r="AR964" i="81"/>
  <c r="AG964" i="81"/>
  <c r="AS961" i="81"/>
  <c r="AH961" i="81"/>
  <c r="AS959" i="81"/>
  <c r="G956" i="81"/>
  <c r="F956" i="81"/>
  <c r="AD947" i="81" s="1"/>
  <c r="AO947" i="81" s="1"/>
  <c r="G955" i="81"/>
  <c r="F955" i="81"/>
  <c r="AD946" i="81" s="1"/>
  <c r="AO946" i="81" s="1"/>
  <c r="G954" i="81"/>
  <c r="F954" i="81"/>
  <c r="G953" i="81"/>
  <c r="F953" i="81"/>
  <c r="AD944" i="81" s="1"/>
  <c r="G952" i="81"/>
  <c r="F952" i="81"/>
  <c r="AD943" i="81" s="1"/>
  <c r="AO943" i="81" s="1"/>
  <c r="G951" i="81"/>
  <c r="F951" i="81"/>
  <c r="AD942" i="81" s="1"/>
  <c r="AO942" i="81" s="1"/>
  <c r="G950" i="81"/>
  <c r="F950" i="81"/>
  <c r="G949" i="81"/>
  <c r="F949" i="81"/>
  <c r="G948" i="81"/>
  <c r="F948" i="81"/>
  <c r="AD939" i="81" s="1"/>
  <c r="AO939" i="81" s="1"/>
  <c r="G947" i="81"/>
  <c r="F947" i="81"/>
  <c r="G946" i="81"/>
  <c r="F946" i="81"/>
  <c r="G945" i="81"/>
  <c r="F945" i="81"/>
  <c r="AD936" i="81" s="1"/>
  <c r="B940" i="81"/>
  <c r="B937" i="81"/>
  <c r="Q936" i="81"/>
  <c r="AF928" i="81"/>
  <c r="AS927" i="81"/>
  <c r="AN927" i="81"/>
  <c r="A918" i="81"/>
  <c r="A916" i="81"/>
  <c r="Q912" i="81"/>
  <c r="P906" i="81"/>
  <c r="O906" i="81"/>
  <c r="N906" i="81"/>
  <c r="L906" i="81"/>
  <c r="K906" i="81"/>
  <c r="J906" i="81"/>
  <c r="H906" i="81"/>
  <c r="G906" i="81"/>
  <c r="F906" i="81"/>
  <c r="D906" i="81"/>
  <c r="C906" i="81"/>
  <c r="B906" i="81"/>
  <c r="P905" i="81"/>
  <c r="O905" i="81"/>
  <c r="N905" i="81"/>
  <c r="L905" i="81"/>
  <c r="K905" i="81"/>
  <c r="J905" i="81"/>
  <c r="H905" i="81"/>
  <c r="G905" i="81"/>
  <c r="F905" i="81"/>
  <c r="D905" i="81"/>
  <c r="C905" i="81"/>
  <c r="B905" i="81"/>
  <c r="P904" i="81"/>
  <c r="O904" i="81"/>
  <c r="N904" i="81"/>
  <c r="L904" i="81"/>
  <c r="K904" i="81"/>
  <c r="J904" i="81"/>
  <c r="H904" i="81"/>
  <c r="G904" i="81"/>
  <c r="F904" i="81"/>
  <c r="D904" i="81"/>
  <c r="C904" i="81"/>
  <c r="B904" i="81"/>
  <c r="P903" i="81"/>
  <c r="O903" i="81"/>
  <c r="N903" i="81"/>
  <c r="L903" i="81"/>
  <c r="K903" i="81"/>
  <c r="J903" i="81"/>
  <c r="H903" i="81"/>
  <c r="G903" i="81"/>
  <c r="F903" i="81"/>
  <c r="D903" i="81"/>
  <c r="C903" i="81"/>
  <c r="B903" i="81"/>
  <c r="P902" i="81"/>
  <c r="O902" i="81"/>
  <c r="N902" i="81"/>
  <c r="L902" i="81"/>
  <c r="K902" i="81"/>
  <c r="J902" i="81"/>
  <c r="H902" i="81"/>
  <c r="G902" i="81"/>
  <c r="F902" i="81"/>
  <c r="D902" i="81"/>
  <c r="C902" i="81"/>
  <c r="B902" i="81"/>
  <c r="P901" i="81"/>
  <c r="O901" i="81"/>
  <c r="N901" i="81"/>
  <c r="L901" i="81"/>
  <c r="K901" i="81"/>
  <c r="J901" i="81"/>
  <c r="H901" i="81"/>
  <c r="G901" i="81"/>
  <c r="F901" i="81"/>
  <c r="D901" i="81"/>
  <c r="C901" i="81"/>
  <c r="B901" i="81"/>
  <c r="P898" i="81"/>
  <c r="O898" i="81"/>
  <c r="N898" i="81"/>
  <c r="L898" i="81"/>
  <c r="K898" i="81"/>
  <c r="J898" i="81"/>
  <c r="H898" i="81"/>
  <c r="G898" i="81"/>
  <c r="F898" i="81"/>
  <c r="D898" i="81"/>
  <c r="C898" i="81"/>
  <c r="B898" i="81"/>
  <c r="P897" i="81"/>
  <c r="O897" i="81"/>
  <c r="N897" i="81"/>
  <c r="L897" i="81"/>
  <c r="K897" i="81"/>
  <c r="J897" i="81"/>
  <c r="H897" i="81"/>
  <c r="G897" i="81"/>
  <c r="F897" i="81"/>
  <c r="D897" i="81"/>
  <c r="C897" i="81"/>
  <c r="B897" i="81"/>
  <c r="P894" i="81"/>
  <c r="O894" i="81"/>
  <c r="N894" i="81"/>
  <c r="L894" i="81"/>
  <c r="K894" i="81"/>
  <c r="J894" i="81"/>
  <c r="H894" i="81"/>
  <c r="G894" i="81"/>
  <c r="F894" i="81"/>
  <c r="D894" i="81"/>
  <c r="C894" i="81"/>
  <c r="B894" i="81"/>
  <c r="P893" i="81"/>
  <c r="O893" i="81"/>
  <c r="N893" i="81"/>
  <c r="L893" i="81"/>
  <c r="K893" i="81"/>
  <c r="J893" i="81"/>
  <c r="H893" i="81"/>
  <c r="G893" i="81"/>
  <c r="F893" i="81"/>
  <c r="D893" i="81"/>
  <c r="C893" i="81"/>
  <c r="B893" i="81"/>
  <c r="P892" i="81"/>
  <c r="O892" i="81"/>
  <c r="N892" i="81"/>
  <c r="L892" i="81"/>
  <c r="K892" i="81"/>
  <c r="J892" i="81"/>
  <c r="H892" i="81"/>
  <c r="G892" i="81"/>
  <c r="F892" i="81"/>
  <c r="D892" i="81"/>
  <c r="C892" i="81"/>
  <c r="B892" i="81"/>
  <c r="P889" i="81"/>
  <c r="O889" i="81"/>
  <c r="N889" i="81"/>
  <c r="L889" i="81"/>
  <c r="K889" i="81"/>
  <c r="J889" i="81"/>
  <c r="H889" i="81"/>
  <c r="G889" i="81"/>
  <c r="F889" i="81"/>
  <c r="D889" i="81"/>
  <c r="C889" i="81"/>
  <c r="B889" i="81"/>
  <c r="P888" i="81"/>
  <c r="O888" i="81"/>
  <c r="N888" i="81"/>
  <c r="L888" i="81"/>
  <c r="K888" i="81"/>
  <c r="J888" i="81"/>
  <c r="H888" i="81"/>
  <c r="G888" i="81"/>
  <c r="F888" i="81"/>
  <c r="D888" i="81"/>
  <c r="C888" i="81"/>
  <c r="B888" i="81"/>
  <c r="P887" i="81"/>
  <c r="O887" i="81"/>
  <c r="N887" i="81"/>
  <c r="L887" i="81"/>
  <c r="K887" i="81"/>
  <c r="J887" i="81"/>
  <c r="H887" i="81"/>
  <c r="G887" i="81"/>
  <c r="F887" i="81"/>
  <c r="D887" i="81"/>
  <c r="C887" i="81"/>
  <c r="B887" i="81"/>
  <c r="P886" i="81"/>
  <c r="O886" i="81"/>
  <c r="N886" i="81"/>
  <c r="L886" i="81"/>
  <c r="K886" i="81"/>
  <c r="J886" i="81"/>
  <c r="H886" i="81"/>
  <c r="G886" i="81"/>
  <c r="F886" i="81"/>
  <c r="D886" i="81"/>
  <c r="C886" i="81"/>
  <c r="B886" i="81"/>
  <c r="P885" i="81"/>
  <c r="O885" i="81"/>
  <c r="N885" i="81"/>
  <c r="L885" i="81"/>
  <c r="K885" i="81"/>
  <c r="J885" i="81"/>
  <c r="H885" i="81"/>
  <c r="G885" i="81"/>
  <c r="F885" i="81"/>
  <c r="D885" i="81"/>
  <c r="C885" i="81"/>
  <c r="B885" i="81"/>
  <c r="P884" i="81"/>
  <c r="O884" i="81"/>
  <c r="N884" i="81"/>
  <c r="L884" i="81"/>
  <c r="K884" i="81"/>
  <c r="J884" i="81"/>
  <c r="H884" i="81"/>
  <c r="G884" i="81"/>
  <c r="F884" i="81"/>
  <c r="D884" i="81"/>
  <c r="C884" i="81"/>
  <c r="B884" i="81"/>
  <c r="A877" i="81"/>
  <c r="A875" i="81"/>
  <c r="Q871" i="81"/>
  <c r="Q864" i="81"/>
  <c r="M864" i="81"/>
  <c r="I864" i="81"/>
  <c r="E864" i="81"/>
  <c r="P862" i="81"/>
  <c r="O862" i="81"/>
  <c r="N862" i="81"/>
  <c r="L862" i="81"/>
  <c r="K862" i="81"/>
  <c r="J862" i="81"/>
  <c r="H862" i="81"/>
  <c r="G862" i="81"/>
  <c r="F862" i="81"/>
  <c r="D862" i="81"/>
  <c r="C862" i="81"/>
  <c r="B862" i="81"/>
  <c r="P861" i="81"/>
  <c r="O861" i="81"/>
  <c r="N861" i="81"/>
  <c r="L861" i="81"/>
  <c r="K861" i="81"/>
  <c r="J861" i="81"/>
  <c r="H861" i="81"/>
  <c r="G861" i="81"/>
  <c r="F861" i="81"/>
  <c r="D861" i="81"/>
  <c r="C861" i="81"/>
  <c r="B861" i="81"/>
  <c r="Q858" i="81"/>
  <c r="M858" i="81"/>
  <c r="I858" i="81"/>
  <c r="E858" i="81"/>
  <c r="Q857" i="81"/>
  <c r="M857" i="81"/>
  <c r="I857" i="81"/>
  <c r="E857" i="81"/>
  <c r="Q855" i="81"/>
  <c r="M855" i="81"/>
  <c r="I855" i="81"/>
  <c r="E855" i="81"/>
  <c r="Q854" i="81"/>
  <c r="M854" i="81"/>
  <c r="I854" i="81"/>
  <c r="E854" i="81"/>
  <c r="P851" i="81"/>
  <c r="O851" i="81"/>
  <c r="N851" i="81"/>
  <c r="L851" i="81"/>
  <c r="K851" i="81"/>
  <c r="J851" i="81"/>
  <c r="H851" i="81"/>
  <c r="G851" i="81"/>
  <c r="F851" i="81"/>
  <c r="D851" i="81"/>
  <c r="C851" i="81"/>
  <c r="B851" i="81"/>
  <c r="Q850" i="81"/>
  <c r="M850" i="81"/>
  <c r="I850" i="81"/>
  <c r="E850" i="81"/>
  <c r="Q849" i="81"/>
  <c r="M849" i="81"/>
  <c r="I849" i="81"/>
  <c r="E849" i="81"/>
  <c r="Q848" i="81"/>
  <c r="M848" i="81"/>
  <c r="I848" i="81"/>
  <c r="E848" i="81"/>
  <c r="Q847" i="81"/>
  <c r="M847" i="81"/>
  <c r="I847" i="81"/>
  <c r="E847" i="81"/>
  <c r="Q846" i="81"/>
  <c r="M846" i="81"/>
  <c r="I846" i="81"/>
  <c r="E846" i="81"/>
  <c r="Q844" i="81"/>
  <c r="Q843" i="81"/>
  <c r="M843" i="81"/>
  <c r="I843" i="81"/>
  <c r="E843" i="81"/>
  <c r="P840" i="81"/>
  <c r="O840" i="81"/>
  <c r="N840" i="81"/>
  <c r="L840" i="81"/>
  <c r="K840" i="81"/>
  <c r="J840" i="81"/>
  <c r="H840" i="81"/>
  <c r="G840" i="81"/>
  <c r="F840" i="81"/>
  <c r="D840" i="81"/>
  <c r="C840" i="81"/>
  <c r="B840" i="81"/>
  <c r="Q838" i="81"/>
  <c r="M838" i="81"/>
  <c r="I838" i="81"/>
  <c r="E838" i="81"/>
  <c r="P835" i="81"/>
  <c r="O835" i="81"/>
  <c r="N835" i="81"/>
  <c r="L835" i="81"/>
  <c r="K835" i="81"/>
  <c r="J835" i="81"/>
  <c r="H835" i="81"/>
  <c r="G835" i="81"/>
  <c r="F835" i="81"/>
  <c r="D835" i="81"/>
  <c r="C835" i="81"/>
  <c r="B835" i="81"/>
  <c r="Q833" i="81"/>
  <c r="M833" i="81"/>
  <c r="I833" i="81"/>
  <c r="E833" i="81"/>
  <c r="Q830" i="81"/>
  <c r="M830" i="81"/>
  <c r="I830" i="81"/>
  <c r="E830" i="81"/>
  <c r="Q829" i="81"/>
  <c r="M829" i="81"/>
  <c r="I829" i="81"/>
  <c r="E829" i="81"/>
  <c r="Q828" i="81"/>
  <c r="M828" i="81"/>
  <c r="I828" i="81"/>
  <c r="E828" i="81"/>
  <c r="Q826" i="81"/>
  <c r="M826" i="81"/>
  <c r="I826" i="81"/>
  <c r="E826" i="81"/>
  <c r="Q825" i="81"/>
  <c r="M825" i="81"/>
  <c r="I825" i="81"/>
  <c r="E825" i="81"/>
  <c r="Q823" i="81"/>
  <c r="M823" i="81"/>
  <c r="I823" i="81"/>
  <c r="E823" i="81"/>
  <c r="Q811" i="81"/>
  <c r="M811" i="81"/>
  <c r="I811" i="81"/>
  <c r="E811" i="81"/>
  <c r="Q810" i="81"/>
  <c r="M810" i="81"/>
  <c r="I810" i="81"/>
  <c r="E810" i="81"/>
  <c r="P808" i="81"/>
  <c r="O808" i="81"/>
  <c r="N808" i="81"/>
  <c r="L808" i="81"/>
  <c r="K808" i="81"/>
  <c r="J808" i="81"/>
  <c r="H808" i="81"/>
  <c r="G808" i="81"/>
  <c r="F808" i="81"/>
  <c r="D808" i="81"/>
  <c r="C808" i="81"/>
  <c r="B808" i="81"/>
  <c r="P807" i="81"/>
  <c r="O807" i="81"/>
  <c r="N807" i="81"/>
  <c r="L807" i="81"/>
  <c r="K807" i="81"/>
  <c r="J807" i="81"/>
  <c r="H807" i="81"/>
  <c r="G807" i="81"/>
  <c r="F807" i="81"/>
  <c r="D807" i="81"/>
  <c r="C807" i="81"/>
  <c r="B807" i="81"/>
  <c r="P801" i="81"/>
  <c r="O801" i="81"/>
  <c r="N801" i="81"/>
  <c r="L801" i="81"/>
  <c r="K801" i="81"/>
  <c r="J801" i="81"/>
  <c r="H801" i="81"/>
  <c r="G801" i="81"/>
  <c r="F801" i="81"/>
  <c r="D801" i="81"/>
  <c r="C801" i="81"/>
  <c r="B801" i="81"/>
  <c r="P797" i="81"/>
  <c r="O797" i="81"/>
  <c r="N797" i="81"/>
  <c r="L797" i="81"/>
  <c r="K797" i="81"/>
  <c r="J797" i="81"/>
  <c r="H797" i="81"/>
  <c r="G797" i="81"/>
  <c r="F797" i="81"/>
  <c r="D797" i="81"/>
  <c r="C797" i="81"/>
  <c r="B797" i="81"/>
  <c r="P793" i="81"/>
  <c r="O793" i="81"/>
  <c r="N793" i="81"/>
  <c r="L793" i="81"/>
  <c r="K793" i="81"/>
  <c r="J793" i="81"/>
  <c r="H793" i="81"/>
  <c r="G793" i="81"/>
  <c r="F793" i="81"/>
  <c r="D793" i="81"/>
  <c r="C793" i="81"/>
  <c r="B793" i="81"/>
  <c r="Q789" i="81"/>
  <c r="M789" i="81"/>
  <c r="I789" i="81"/>
  <c r="E789" i="81"/>
  <c r="P779" i="81"/>
  <c r="O779" i="81"/>
  <c r="N779" i="81"/>
  <c r="L779" i="81"/>
  <c r="K779" i="81"/>
  <c r="J779" i="81"/>
  <c r="H779" i="81"/>
  <c r="G779" i="81"/>
  <c r="F779" i="81"/>
  <c r="D779" i="81"/>
  <c r="C779" i="81"/>
  <c r="B779" i="81"/>
  <c r="Q777" i="81"/>
  <c r="M777" i="81"/>
  <c r="I777" i="81"/>
  <c r="E777" i="81"/>
  <c r="Q767" i="81"/>
  <c r="M767" i="81"/>
  <c r="I767" i="81"/>
  <c r="E767" i="81"/>
  <c r="P765" i="81"/>
  <c r="O765" i="81"/>
  <c r="N765" i="81"/>
  <c r="L765" i="81"/>
  <c r="K765" i="81"/>
  <c r="J765" i="81"/>
  <c r="H765" i="81"/>
  <c r="G765" i="81"/>
  <c r="F765" i="81"/>
  <c r="D765" i="81"/>
  <c r="C765" i="81"/>
  <c r="B765" i="81"/>
  <c r="P764" i="81"/>
  <c r="O764" i="81"/>
  <c r="N764" i="81"/>
  <c r="L764" i="81"/>
  <c r="K764" i="81"/>
  <c r="J764" i="81"/>
  <c r="H764" i="81"/>
  <c r="G764" i="81"/>
  <c r="F764" i="81"/>
  <c r="D764" i="81"/>
  <c r="C764" i="81"/>
  <c r="B764" i="81"/>
  <c r="Q761" i="81"/>
  <c r="M761" i="81"/>
  <c r="I761" i="81"/>
  <c r="E761" i="81"/>
  <c r="Q760" i="81"/>
  <c r="M760" i="81"/>
  <c r="I760" i="81"/>
  <c r="E760" i="81"/>
  <c r="Q759" i="81"/>
  <c r="M759" i="81"/>
  <c r="I759" i="81"/>
  <c r="E759" i="81"/>
  <c r="Q758" i="81"/>
  <c r="M758" i="81"/>
  <c r="I758" i="81"/>
  <c r="E758" i="81"/>
  <c r="P754" i="81"/>
  <c r="O754" i="81"/>
  <c r="N754" i="81"/>
  <c r="L754" i="81"/>
  <c r="K754" i="81"/>
  <c r="J754" i="81"/>
  <c r="H754" i="81"/>
  <c r="G754" i="81"/>
  <c r="F754" i="81"/>
  <c r="D754" i="81"/>
  <c r="C754" i="81"/>
  <c r="B754" i="81"/>
  <c r="Q753" i="81"/>
  <c r="M753" i="81"/>
  <c r="I753" i="81"/>
  <c r="E753" i="81"/>
  <c r="Q752" i="81"/>
  <c r="M752" i="81"/>
  <c r="I752" i="81"/>
  <c r="E752" i="81"/>
  <c r="Q751" i="81"/>
  <c r="M751" i="81"/>
  <c r="I751" i="81"/>
  <c r="E751" i="81"/>
  <c r="Q750" i="81"/>
  <c r="M750" i="81"/>
  <c r="I750" i="81"/>
  <c r="E750" i="81"/>
  <c r="Q749" i="81"/>
  <c r="M749" i="81"/>
  <c r="I749" i="81"/>
  <c r="E749" i="81"/>
  <c r="Q748" i="81"/>
  <c r="M748" i="81"/>
  <c r="I748" i="81"/>
  <c r="E748" i="81"/>
  <c r="Q747" i="81"/>
  <c r="M747" i="81"/>
  <c r="I747" i="81"/>
  <c r="E747" i="81"/>
  <c r="Q746" i="81"/>
  <c r="M746" i="81"/>
  <c r="I746" i="81"/>
  <c r="E746" i="81"/>
  <c r="Q745" i="81"/>
  <c r="M745" i="81"/>
  <c r="I745" i="81"/>
  <c r="E745" i="81"/>
  <c r="Q743" i="81"/>
  <c r="M743" i="81"/>
  <c r="I743" i="81"/>
  <c r="E743" i="81"/>
  <c r="P740" i="81"/>
  <c r="O740" i="81"/>
  <c r="N740" i="81"/>
  <c r="L740" i="81"/>
  <c r="K740" i="81"/>
  <c r="J740" i="81"/>
  <c r="H740" i="81"/>
  <c r="G740" i="81"/>
  <c r="F740" i="81"/>
  <c r="D740" i="81"/>
  <c r="C740" i="81"/>
  <c r="B740" i="81"/>
  <c r="P736" i="81"/>
  <c r="O736" i="81"/>
  <c r="N736" i="81"/>
  <c r="L736" i="81"/>
  <c r="K736" i="81"/>
  <c r="J736" i="81"/>
  <c r="H736" i="81"/>
  <c r="G736" i="81"/>
  <c r="F736" i="81"/>
  <c r="D736" i="81"/>
  <c r="C736" i="81"/>
  <c r="B736" i="81"/>
  <c r="Q732" i="81"/>
  <c r="M732" i="81"/>
  <c r="I732" i="81"/>
  <c r="E732" i="81"/>
  <c r="Q731" i="81"/>
  <c r="M731" i="81"/>
  <c r="I731" i="81"/>
  <c r="E731" i="81"/>
  <c r="Q730" i="81"/>
  <c r="M730" i="81"/>
  <c r="I730" i="81"/>
  <c r="E730" i="81"/>
  <c r="Q729" i="81"/>
  <c r="M729" i="81"/>
  <c r="I729" i="81"/>
  <c r="E729" i="81"/>
  <c r="Q728" i="81"/>
  <c r="M728" i="81"/>
  <c r="I728" i="81"/>
  <c r="E728" i="81"/>
  <c r="Q727" i="81"/>
  <c r="M727" i="81"/>
  <c r="I727" i="81"/>
  <c r="E727" i="81"/>
  <c r="Q715" i="81"/>
  <c r="M715" i="81"/>
  <c r="I715" i="81"/>
  <c r="E715" i="81"/>
  <c r="P713" i="81"/>
  <c r="O713" i="81"/>
  <c r="N713" i="81"/>
  <c r="L713" i="81"/>
  <c r="K713" i="81"/>
  <c r="J713" i="81"/>
  <c r="H713" i="81"/>
  <c r="G713" i="81"/>
  <c r="F713" i="81"/>
  <c r="D713" i="81"/>
  <c r="C713" i="81"/>
  <c r="B713" i="81"/>
  <c r="P712" i="81"/>
  <c r="O712" i="81"/>
  <c r="N712" i="81"/>
  <c r="L712" i="81"/>
  <c r="K712" i="81"/>
  <c r="J712" i="81"/>
  <c r="H712" i="81"/>
  <c r="G712" i="81"/>
  <c r="F712" i="81"/>
  <c r="D712" i="81"/>
  <c r="C712" i="81"/>
  <c r="B712" i="81"/>
  <c r="Q709" i="81"/>
  <c r="M709" i="81"/>
  <c r="I709" i="81"/>
  <c r="E709" i="81"/>
  <c r="P705" i="81"/>
  <c r="O705" i="81"/>
  <c r="N705" i="81"/>
  <c r="L705" i="81"/>
  <c r="K705" i="81"/>
  <c r="J705" i="81"/>
  <c r="H705" i="81"/>
  <c r="G705" i="81"/>
  <c r="F705" i="81"/>
  <c r="D705" i="81"/>
  <c r="C705" i="81"/>
  <c r="B705" i="81"/>
  <c r="P701" i="81"/>
  <c r="O701" i="81"/>
  <c r="N701" i="81"/>
  <c r="L701" i="81"/>
  <c r="K701" i="81"/>
  <c r="J701" i="81"/>
  <c r="H701" i="81"/>
  <c r="G701" i="81"/>
  <c r="F701" i="81"/>
  <c r="D701" i="81"/>
  <c r="C701" i="81"/>
  <c r="B701" i="81"/>
  <c r="P697" i="81"/>
  <c r="O697" i="81"/>
  <c r="N697" i="81"/>
  <c r="L697" i="81"/>
  <c r="K697" i="81"/>
  <c r="J697" i="81"/>
  <c r="H697" i="81"/>
  <c r="G697" i="81"/>
  <c r="F697" i="81"/>
  <c r="D697" i="81"/>
  <c r="C697" i="81"/>
  <c r="B697" i="81"/>
  <c r="Q693" i="81"/>
  <c r="M693" i="81"/>
  <c r="I693" i="81"/>
  <c r="E693" i="81"/>
  <c r="Q692" i="81"/>
  <c r="M692" i="81"/>
  <c r="I692" i="81"/>
  <c r="E692" i="81"/>
  <c r="Q691" i="81"/>
  <c r="M691" i="81"/>
  <c r="I691" i="81"/>
  <c r="E691" i="81"/>
  <c r="P681" i="81"/>
  <c r="O681" i="81"/>
  <c r="N681" i="81"/>
  <c r="L681" i="81"/>
  <c r="K681" i="81"/>
  <c r="J681" i="81"/>
  <c r="H681" i="81"/>
  <c r="G681" i="81"/>
  <c r="F681" i="81"/>
  <c r="D681" i="81"/>
  <c r="C681" i="81"/>
  <c r="B681" i="81"/>
  <c r="Q679" i="81"/>
  <c r="M679" i="81"/>
  <c r="I679" i="81"/>
  <c r="E679" i="81"/>
  <c r="Q669" i="81"/>
  <c r="M669" i="81"/>
  <c r="I669" i="81"/>
  <c r="E669" i="81"/>
  <c r="P667" i="81"/>
  <c r="O667" i="81"/>
  <c r="N667" i="81"/>
  <c r="L667" i="81"/>
  <c r="K667" i="81"/>
  <c r="J667" i="81"/>
  <c r="H667" i="81"/>
  <c r="G667" i="81"/>
  <c r="F667" i="81"/>
  <c r="D667" i="81"/>
  <c r="C667" i="81"/>
  <c r="B667" i="81"/>
  <c r="P666" i="81"/>
  <c r="O666" i="81"/>
  <c r="N666" i="81"/>
  <c r="L666" i="81"/>
  <c r="K666" i="81"/>
  <c r="J666" i="81"/>
  <c r="H666" i="81"/>
  <c r="G666" i="81"/>
  <c r="F666" i="81"/>
  <c r="D666" i="81"/>
  <c r="C666" i="81"/>
  <c r="B666" i="81"/>
  <c r="Q665" i="81"/>
  <c r="M665" i="81"/>
  <c r="I665" i="81"/>
  <c r="E665" i="81"/>
  <c r="Q664" i="81"/>
  <c r="M664" i="81"/>
  <c r="I664" i="81"/>
  <c r="E664" i="81"/>
  <c r="Q663" i="81"/>
  <c r="M663" i="81"/>
  <c r="I663" i="81"/>
  <c r="E663" i="81"/>
  <c r="Q661" i="81"/>
  <c r="M661" i="81"/>
  <c r="I661" i="81"/>
  <c r="E661" i="81"/>
  <c r="Q660" i="81"/>
  <c r="M660" i="81"/>
  <c r="I660" i="81"/>
  <c r="E660" i="81"/>
  <c r="Q658" i="81"/>
  <c r="M658" i="81"/>
  <c r="I658" i="81"/>
  <c r="E658" i="81"/>
  <c r="Q657" i="81"/>
  <c r="M657" i="81"/>
  <c r="I657" i="81"/>
  <c r="E657" i="81"/>
  <c r="Q656" i="81"/>
  <c r="M656" i="81"/>
  <c r="I656" i="81"/>
  <c r="E656" i="81"/>
  <c r="Q655" i="81"/>
  <c r="M655" i="81"/>
  <c r="I655" i="81"/>
  <c r="E655" i="81"/>
  <c r="Q653" i="81"/>
  <c r="M653" i="81"/>
  <c r="I653" i="81"/>
  <c r="E653" i="81"/>
  <c r="Q652" i="81"/>
  <c r="M652" i="81"/>
  <c r="I652" i="81"/>
  <c r="E652" i="81"/>
  <c r="P649" i="81"/>
  <c r="O649" i="81"/>
  <c r="N649" i="81"/>
  <c r="L649" i="81"/>
  <c r="K649" i="81"/>
  <c r="J649" i="81"/>
  <c r="H649" i="81"/>
  <c r="G649" i="81"/>
  <c r="F649" i="81"/>
  <c r="D649" i="81"/>
  <c r="C649" i="81"/>
  <c r="B649" i="81"/>
  <c r="Q648" i="81"/>
  <c r="M648" i="81"/>
  <c r="I648" i="81"/>
  <c r="E648" i="81"/>
  <c r="Q647" i="81"/>
  <c r="M647" i="81"/>
  <c r="I647" i="81"/>
  <c r="E647" i="81"/>
  <c r="Q646" i="81"/>
  <c r="M646" i="81"/>
  <c r="I646" i="81"/>
  <c r="E646" i="81"/>
  <c r="Q645" i="81"/>
  <c r="M645" i="81"/>
  <c r="I645" i="81"/>
  <c r="E645" i="81"/>
  <c r="Q644" i="81"/>
  <c r="M644" i="81"/>
  <c r="I644" i="81"/>
  <c r="E644" i="81"/>
  <c r="Q643" i="81"/>
  <c r="M643" i="81"/>
  <c r="I643" i="81"/>
  <c r="E643" i="81"/>
  <c r="P639" i="81"/>
  <c r="O639" i="81"/>
  <c r="N639" i="81"/>
  <c r="L639" i="81"/>
  <c r="K639" i="81"/>
  <c r="J639" i="81"/>
  <c r="H639" i="81"/>
  <c r="G639" i="81"/>
  <c r="F639" i="81"/>
  <c r="D639" i="81"/>
  <c r="C639" i="81"/>
  <c r="B639" i="81"/>
  <c r="Q637" i="81"/>
  <c r="M637" i="81"/>
  <c r="I637" i="81"/>
  <c r="E637" i="81"/>
  <c r="Q636" i="81"/>
  <c r="M636" i="81"/>
  <c r="I636" i="81"/>
  <c r="E636" i="81"/>
  <c r="P633" i="81"/>
  <c r="O633" i="81"/>
  <c r="N633" i="81"/>
  <c r="L633" i="81"/>
  <c r="K633" i="81"/>
  <c r="J633" i="81"/>
  <c r="H633" i="81"/>
  <c r="G633" i="81"/>
  <c r="F633" i="81"/>
  <c r="D633" i="81"/>
  <c r="C633" i="81"/>
  <c r="B633" i="81"/>
  <c r="Q631" i="81"/>
  <c r="M631" i="81"/>
  <c r="I631" i="81"/>
  <c r="E631" i="81"/>
  <c r="Q629" i="81"/>
  <c r="M629" i="81"/>
  <c r="I629" i="81"/>
  <c r="E629" i="81"/>
  <c r="Q627" i="81"/>
  <c r="M627" i="81"/>
  <c r="I627" i="81"/>
  <c r="E627" i="81"/>
  <c r="Q626" i="81"/>
  <c r="M626" i="81"/>
  <c r="I626" i="81"/>
  <c r="E626" i="81"/>
  <c r="Q625" i="81"/>
  <c r="M625" i="81"/>
  <c r="I625" i="81"/>
  <c r="E625" i="81"/>
  <c r="Q624" i="81"/>
  <c r="M624" i="81"/>
  <c r="I624" i="81"/>
  <c r="E624" i="81"/>
  <c r="Q623" i="81"/>
  <c r="M623" i="81"/>
  <c r="I623" i="81"/>
  <c r="E623" i="81"/>
  <c r="Q622" i="81"/>
  <c r="M622" i="81"/>
  <c r="I622" i="81"/>
  <c r="E622" i="81"/>
  <c r="Q621" i="81"/>
  <c r="M621" i="81"/>
  <c r="I621" i="81"/>
  <c r="E621" i="81"/>
  <c r="Q620" i="81"/>
  <c r="M620" i="81"/>
  <c r="I620" i="81"/>
  <c r="E620" i="81"/>
  <c r="Q619" i="81"/>
  <c r="M619" i="81"/>
  <c r="I619" i="81"/>
  <c r="E619" i="81"/>
  <c r="Q618" i="81"/>
  <c r="M618" i="81"/>
  <c r="I618" i="81"/>
  <c r="E618" i="81"/>
  <c r="Q617" i="81"/>
  <c r="M617" i="81"/>
  <c r="I617" i="81"/>
  <c r="E617" i="81"/>
  <c r="Q616" i="81"/>
  <c r="M616" i="81"/>
  <c r="I616" i="81"/>
  <c r="E616" i="81"/>
  <c r="Q604" i="81"/>
  <c r="M604" i="81"/>
  <c r="I604" i="81"/>
  <c r="E604" i="81"/>
  <c r="P602" i="81"/>
  <c r="O602" i="81"/>
  <c r="N602" i="81"/>
  <c r="L602" i="81"/>
  <c r="K602" i="81"/>
  <c r="J602" i="81"/>
  <c r="H602" i="81"/>
  <c r="G602" i="81"/>
  <c r="F602" i="81"/>
  <c r="D602" i="81"/>
  <c r="C602" i="81"/>
  <c r="B602" i="81"/>
  <c r="P601" i="81"/>
  <c r="O601" i="81"/>
  <c r="N601" i="81"/>
  <c r="L601" i="81"/>
  <c r="K601" i="81"/>
  <c r="J601" i="81"/>
  <c r="H601" i="81"/>
  <c r="G601" i="81"/>
  <c r="F601" i="81"/>
  <c r="D601" i="81"/>
  <c r="C601" i="81"/>
  <c r="B601" i="81"/>
  <c r="Q600" i="81"/>
  <c r="M600" i="81"/>
  <c r="I600" i="81"/>
  <c r="E600" i="81"/>
  <c r="Q599" i="81"/>
  <c r="M599" i="81"/>
  <c r="I599" i="81"/>
  <c r="E599" i="81"/>
  <c r="Q598" i="81"/>
  <c r="M598" i="81"/>
  <c r="I598" i="81"/>
  <c r="E598" i="81"/>
  <c r="Q597" i="81"/>
  <c r="M597" i="81"/>
  <c r="I597" i="81"/>
  <c r="E597" i="81"/>
  <c r="Q595" i="81"/>
  <c r="M595" i="81"/>
  <c r="I595" i="81"/>
  <c r="E595" i="81"/>
  <c r="P590" i="81"/>
  <c r="O590" i="81"/>
  <c r="N590" i="81"/>
  <c r="L590" i="81"/>
  <c r="K590" i="81"/>
  <c r="J590" i="81"/>
  <c r="H590" i="81"/>
  <c r="G590" i="81"/>
  <c r="F590" i="81"/>
  <c r="D590" i="81"/>
  <c r="C590" i="81"/>
  <c r="B590" i="81"/>
  <c r="Q589" i="81"/>
  <c r="M589" i="81"/>
  <c r="I589" i="81"/>
  <c r="E589" i="81"/>
  <c r="P585" i="81"/>
  <c r="O585" i="81"/>
  <c r="N585" i="81"/>
  <c r="L585" i="81"/>
  <c r="K585" i="81"/>
  <c r="J585" i="81"/>
  <c r="H585" i="81"/>
  <c r="G585" i="81"/>
  <c r="F585" i="81"/>
  <c r="D585" i="81"/>
  <c r="C585" i="81"/>
  <c r="B585" i="81"/>
  <c r="Q583" i="81"/>
  <c r="M583" i="81"/>
  <c r="I583" i="81"/>
  <c r="E583" i="81"/>
  <c r="Q582" i="81"/>
  <c r="M582" i="81"/>
  <c r="I582" i="81"/>
  <c r="E582" i="81"/>
  <c r="P579" i="81"/>
  <c r="O579" i="81"/>
  <c r="N579" i="81"/>
  <c r="L579" i="81"/>
  <c r="K579" i="81"/>
  <c r="J579" i="81"/>
  <c r="H579" i="81"/>
  <c r="G579" i="81"/>
  <c r="F579" i="81"/>
  <c r="D579" i="81"/>
  <c r="C579" i="81"/>
  <c r="B579" i="81"/>
  <c r="Q575" i="81"/>
  <c r="M575" i="81"/>
  <c r="I575" i="81"/>
  <c r="E575" i="81"/>
  <c r="Q574" i="81"/>
  <c r="M574" i="81"/>
  <c r="I574" i="81"/>
  <c r="E574" i="81"/>
  <c r="Q573" i="81"/>
  <c r="M573" i="81"/>
  <c r="I573" i="81"/>
  <c r="E573" i="81"/>
  <c r="Q572" i="81"/>
  <c r="M572" i="81"/>
  <c r="I572" i="81"/>
  <c r="E572" i="81"/>
  <c r="Q571" i="81"/>
  <c r="M571" i="81"/>
  <c r="I571" i="81"/>
  <c r="E571" i="81"/>
  <c r="Q559" i="81"/>
  <c r="M559" i="81"/>
  <c r="I559" i="81"/>
  <c r="E559" i="81"/>
  <c r="P557" i="81"/>
  <c r="O557" i="81"/>
  <c r="N557" i="81"/>
  <c r="L557" i="81"/>
  <c r="K557" i="81"/>
  <c r="J557" i="81"/>
  <c r="H557" i="81"/>
  <c r="G557" i="81"/>
  <c r="F557" i="81"/>
  <c r="D557" i="81"/>
  <c r="C557" i="81"/>
  <c r="B557" i="81"/>
  <c r="P556" i="81"/>
  <c r="O556" i="81"/>
  <c r="N556" i="81"/>
  <c r="L556" i="81"/>
  <c r="K556" i="81"/>
  <c r="J556" i="81"/>
  <c r="H556" i="81"/>
  <c r="G556" i="81"/>
  <c r="F556" i="81"/>
  <c r="D556" i="81"/>
  <c r="C556" i="81"/>
  <c r="B556" i="81"/>
  <c r="Q555" i="81"/>
  <c r="M555" i="81"/>
  <c r="I555" i="81"/>
  <c r="E555" i="81"/>
  <c r="Q554" i="81"/>
  <c r="M554" i="81"/>
  <c r="I554" i="81"/>
  <c r="E554" i="81"/>
  <c r="P548" i="81"/>
  <c r="O548" i="81"/>
  <c r="N548" i="81"/>
  <c r="L548" i="81"/>
  <c r="K548" i="81"/>
  <c r="J548" i="81"/>
  <c r="H548" i="81"/>
  <c r="G548" i="81"/>
  <c r="F548" i="81"/>
  <c r="D548" i="81"/>
  <c r="C548" i="81"/>
  <c r="B548" i="81"/>
  <c r="Q547" i="81"/>
  <c r="M547" i="81"/>
  <c r="I547" i="81"/>
  <c r="E547" i="81"/>
  <c r="Q546" i="81"/>
  <c r="M546" i="81"/>
  <c r="I546" i="81"/>
  <c r="E546" i="81"/>
  <c r="P542" i="81"/>
  <c r="O542" i="81"/>
  <c r="N542" i="81"/>
  <c r="L542" i="81"/>
  <c r="K542" i="81"/>
  <c r="J542" i="81"/>
  <c r="H542" i="81"/>
  <c r="G542" i="81"/>
  <c r="F542" i="81"/>
  <c r="D542" i="81"/>
  <c r="C542" i="81"/>
  <c r="B542" i="81"/>
  <c r="Q540" i="81"/>
  <c r="M540" i="81"/>
  <c r="I540" i="81"/>
  <c r="E540" i="81"/>
  <c r="P537" i="81"/>
  <c r="O537" i="81"/>
  <c r="N537" i="81"/>
  <c r="L537" i="81"/>
  <c r="K537" i="81"/>
  <c r="J537" i="81"/>
  <c r="H537" i="81"/>
  <c r="G537" i="81"/>
  <c r="F537" i="81"/>
  <c r="D537" i="81"/>
  <c r="C537" i="81"/>
  <c r="B537" i="81"/>
  <c r="Q534" i="81"/>
  <c r="M534" i="81"/>
  <c r="I534" i="81"/>
  <c r="E534" i="81"/>
  <c r="Q533" i="81"/>
  <c r="M533" i="81"/>
  <c r="I533" i="81"/>
  <c r="E533" i="81"/>
  <c r="Q531" i="81"/>
  <c r="M531" i="81"/>
  <c r="I531" i="81"/>
  <c r="E531" i="81"/>
  <c r="Q530" i="81"/>
  <c r="M530" i="81"/>
  <c r="I530" i="81"/>
  <c r="E530" i="81"/>
  <c r="Q529" i="81"/>
  <c r="M529" i="81"/>
  <c r="I529" i="81"/>
  <c r="E529" i="81"/>
  <c r="Q528" i="81"/>
  <c r="M528" i="81"/>
  <c r="I528" i="81"/>
  <c r="E528" i="81"/>
  <c r="Q527" i="81"/>
  <c r="M527" i="81"/>
  <c r="I527" i="81"/>
  <c r="E527" i="81"/>
  <c r="Q509" i="81"/>
  <c r="M509" i="81"/>
  <c r="I509" i="81"/>
  <c r="E509" i="81"/>
  <c r="Q508" i="81"/>
  <c r="M508" i="81"/>
  <c r="I508" i="81"/>
  <c r="E508" i="81"/>
  <c r="Q507" i="81"/>
  <c r="M507" i="81"/>
  <c r="I507" i="81"/>
  <c r="E507" i="81"/>
  <c r="P505" i="81"/>
  <c r="O505" i="81"/>
  <c r="N505" i="81"/>
  <c r="L505" i="81"/>
  <c r="K505" i="81"/>
  <c r="J505" i="81"/>
  <c r="H505" i="81"/>
  <c r="G505" i="81"/>
  <c r="F505" i="81"/>
  <c r="D505" i="81"/>
  <c r="C505" i="81"/>
  <c r="B505" i="81"/>
  <c r="P504" i="81"/>
  <c r="O504" i="81"/>
  <c r="N504" i="81"/>
  <c r="L504" i="81"/>
  <c r="K504" i="81"/>
  <c r="J504" i="81"/>
  <c r="H504" i="81"/>
  <c r="G504" i="81"/>
  <c r="F504" i="81"/>
  <c r="D504" i="81"/>
  <c r="C504" i="81"/>
  <c r="B504" i="81"/>
  <c r="Q503" i="81"/>
  <c r="M503" i="81"/>
  <c r="I503" i="81"/>
  <c r="E503" i="81"/>
  <c r="Q502" i="81"/>
  <c r="M502" i="81"/>
  <c r="I502" i="81"/>
  <c r="E502" i="81"/>
  <c r="Q501" i="81"/>
  <c r="M501" i="81"/>
  <c r="I501" i="81"/>
  <c r="E501" i="81"/>
  <c r="Q500" i="81"/>
  <c r="M500" i="81"/>
  <c r="I500" i="81"/>
  <c r="E500" i="81"/>
  <c r="Q499" i="81"/>
  <c r="M499" i="81"/>
  <c r="I499" i="81"/>
  <c r="E499" i="81"/>
  <c r="Q498" i="81"/>
  <c r="M498" i="81"/>
  <c r="I498" i="81"/>
  <c r="E498" i="81"/>
  <c r="Q497" i="81"/>
  <c r="M497" i="81"/>
  <c r="I497" i="81"/>
  <c r="E497" i="81"/>
  <c r="Q496" i="81"/>
  <c r="M496" i="81"/>
  <c r="I496" i="81"/>
  <c r="E496" i="81"/>
  <c r="Q495" i="81"/>
  <c r="M495" i="81"/>
  <c r="I495" i="81"/>
  <c r="E495" i="81"/>
  <c r="Q494" i="81"/>
  <c r="M494" i="81"/>
  <c r="I494" i="81"/>
  <c r="E494" i="81"/>
  <c r="Q492" i="81"/>
  <c r="M492" i="81"/>
  <c r="I492" i="81"/>
  <c r="E492" i="81"/>
  <c r="Q491" i="81"/>
  <c r="M491" i="81"/>
  <c r="I491" i="81"/>
  <c r="E491" i="81"/>
  <c r="Q490" i="81"/>
  <c r="M490" i="81"/>
  <c r="I490" i="81"/>
  <c r="E490" i="81"/>
  <c r="Q489" i="81"/>
  <c r="M489" i="81"/>
  <c r="I489" i="81"/>
  <c r="E489" i="81"/>
  <c r="Q488" i="81"/>
  <c r="M488" i="81"/>
  <c r="I488" i="81"/>
  <c r="E488" i="81"/>
  <c r="Q487" i="81"/>
  <c r="M487" i="81"/>
  <c r="I487" i="81"/>
  <c r="E487" i="81"/>
  <c r="Q485" i="81"/>
  <c r="M485" i="81"/>
  <c r="I485" i="81"/>
  <c r="E485" i="81"/>
  <c r="Q484" i="81"/>
  <c r="M484" i="81"/>
  <c r="I484" i="81"/>
  <c r="E484" i="81"/>
  <c r="Q482" i="81"/>
  <c r="M482" i="81"/>
  <c r="I482" i="81"/>
  <c r="E482" i="81"/>
  <c r="P479" i="81"/>
  <c r="O479" i="81"/>
  <c r="N479" i="81"/>
  <c r="L479" i="81"/>
  <c r="K479" i="81"/>
  <c r="J479" i="81"/>
  <c r="H479" i="81"/>
  <c r="G479" i="81"/>
  <c r="F479" i="81"/>
  <c r="D479" i="81"/>
  <c r="C479" i="81"/>
  <c r="B479" i="81"/>
  <c r="Q478" i="81"/>
  <c r="M478" i="81"/>
  <c r="I478" i="81"/>
  <c r="E478" i="81"/>
  <c r="Q477" i="81"/>
  <c r="M477" i="81"/>
  <c r="I477" i="81"/>
  <c r="E477" i="81"/>
  <c r="Q476" i="81"/>
  <c r="M476" i="81"/>
  <c r="I476" i="81"/>
  <c r="E476" i="81"/>
  <c r="Q475" i="81"/>
  <c r="M475" i="81"/>
  <c r="I475" i="81"/>
  <c r="E475" i="81"/>
  <c r="Q474" i="81"/>
  <c r="M474" i="81"/>
  <c r="I474" i="81"/>
  <c r="E474" i="81"/>
  <c r="Q473" i="81"/>
  <c r="M473" i="81"/>
  <c r="I473" i="81"/>
  <c r="E473" i="81"/>
  <c r="Q472" i="81"/>
  <c r="M472" i="81"/>
  <c r="I472" i="81"/>
  <c r="E472" i="81"/>
  <c r="Q471" i="81"/>
  <c r="M471" i="81"/>
  <c r="I471" i="81"/>
  <c r="E471" i="81"/>
  <c r="Q470" i="81"/>
  <c r="M470" i="81"/>
  <c r="I470" i="81"/>
  <c r="E470" i="81"/>
  <c r="Q469" i="81"/>
  <c r="M469" i="81"/>
  <c r="I469" i="81"/>
  <c r="E469" i="81"/>
  <c r="Q468" i="81"/>
  <c r="M468" i="81"/>
  <c r="I468" i="81"/>
  <c r="E468" i="81"/>
  <c r="Q467" i="81"/>
  <c r="M467" i="81"/>
  <c r="I467" i="81"/>
  <c r="E467" i="81"/>
  <c r="Q466" i="81"/>
  <c r="M466" i="81"/>
  <c r="I466" i="81"/>
  <c r="E466" i="81"/>
  <c r="Q465" i="81"/>
  <c r="M465" i="81"/>
  <c r="I465" i="81"/>
  <c r="E465" i="81"/>
  <c r="Q464" i="81"/>
  <c r="M464" i="81"/>
  <c r="I464" i="81"/>
  <c r="E464" i="81"/>
  <c r="Q463" i="81"/>
  <c r="M463" i="81"/>
  <c r="I463" i="81"/>
  <c r="E463" i="81"/>
  <c r="Q462" i="81"/>
  <c r="M462" i="81"/>
  <c r="I462" i="81"/>
  <c r="E462" i="81"/>
  <c r="Q461" i="81"/>
  <c r="M461" i="81"/>
  <c r="I461" i="81"/>
  <c r="E461" i="81"/>
  <c r="Q460" i="81"/>
  <c r="M460" i="81"/>
  <c r="I460" i="81"/>
  <c r="E460" i="81"/>
  <c r="Q459" i="81"/>
  <c r="M459" i="81"/>
  <c r="I459" i="81"/>
  <c r="E459" i="81"/>
  <c r="Q458" i="81"/>
  <c r="M458" i="81"/>
  <c r="I458" i="81"/>
  <c r="E458" i="81"/>
  <c r="Q457" i="81"/>
  <c r="M457" i="81"/>
  <c r="I457" i="81"/>
  <c r="E457" i="81"/>
  <c r="Q456" i="81"/>
  <c r="M456" i="81"/>
  <c r="I456" i="81"/>
  <c r="E456" i="81"/>
  <c r="Q455" i="81"/>
  <c r="M455" i="81"/>
  <c r="I455" i="81"/>
  <c r="E455" i="81"/>
  <c r="Q454" i="81"/>
  <c r="M454" i="81"/>
  <c r="I454" i="81"/>
  <c r="E454" i="81"/>
  <c r="Q453" i="81"/>
  <c r="M453" i="81"/>
  <c r="I453" i="81"/>
  <c r="E453" i="81"/>
  <c r="Q452" i="81"/>
  <c r="M452" i="81"/>
  <c r="I452" i="81"/>
  <c r="E452" i="81"/>
  <c r="Q451" i="81"/>
  <c r="M451" i="81"/>
  <c r="I451" i="81"/>
  <c r="E451" i="81"/>
  <c r="Q450" i="81"/>
  <c r="M450" i="81"/>
  <c r="I450" i="81"/>
  <c r="E450" i="81"/>
  <c r="Q449" i="81"/>
  <c r="M449" i="81"/>
  <c r="I449" i="81"/>
  <c r="E449" i="81"/>
  <c r="Q448" i="81"/>
  <c r="M448" i="81"/>
  <c r="I448" i="81"/>
  <c r="E448" i="81"/>
  <c r="Q447" i="81"/>
  <c r="M447" i="81"/>
  <c r="I447" i="81"/>
  <c r="E447" i="81"/>
  <c r="Q446" i="81"/>
  <c r="M446" i="81"/>
  <c r="I446" i="81"/>
  <c r="E446" i="81"/>
  <c r="Q445" i="81"/>
  <c r="M445" i="81"/>
  <c r="I445" i="81"/>
  <c r="E445" i="81"/>
  <c r="Q444" i="81"/>
  <c r="M444" i="81"/>
  <c r="I444" i="81"/>
  <c r="E444" i="81"/>
  <c r="Q443" i="81"/>
  <c r="M443" i="81"/>
  <c r="I443" i="81"/>
  <c r="E443" i="81"/>
  <c r="Q442" i="81"/>
  <c r="M442" i="81"/>
  <c r="I442" i="81"/>
  <c r="E442" i="81"/>
  <c r="Q441" i="81"/>
  <c r="M441" i="81"/>
  <c r="I441" i="81"/>
  <c r="E441" i="81"/>
  <c r="Q440" i="81"/>
  <c r="M440" i="81"/>
  <c r="I440" i="81"/>
  <c r="E440" i="81"/>
  <c r="Q439" i="81"/>
  <c r="M439" i="81"/>
  <c r="I439" i="81"/>
  <c r="E439" i="81"/>
  <c r="Q438" i="81"/>
  <c r="M438" i="81"/>
  <c r="I438" i="81"/>
  <c r="E438" i="81"/>
  <c r="Q437" i="81"/>
  <c r="M437" i="81"/>
  <c r="I437" i="81"/>
  <c r="E437" i="81"/>
  <c r="Q436" i="81"/>
  <c r="M436" i="81"/>
  <c r="I436" i="81"/>
  <c r="E436" i="81"/>
  <c r="Q435" i="81"/>
  <c r="M435" i="81"/>
  <c r="I435" i="81"/>
  <c r="E435" i="81"/>
  <c r="Q434" i="81"/>
  <c r="M434" i="81"/>
  <c r="I434" i="81"/>
  <c r="E434" i="81"/>
  <c r="Q433" i="81"/>
  <c r="M433" i="81"/>
  <c r="I433" i="81"/>
  <c r="E433" i="81"/>
  <c r="Q432" i="81"/>
  <c r="M432" i="81"/>
  <c r="I432" i="81"/>
  <c r="E432" i="81"/>
  <c r="Q431" i="81"/>
  <c r="M431" i="81"/>
  <c r="I431" i="81"/>
  <c r="E431" i="81"/>
  <c r="Q430" i="81"/>
  <c r="M430" i="81"/>
  <c r="I430" i="81"/>
  <c r="E430" i="81"/>
  <c r="Q429" i="81"/>
  <c r="M429" i="81"/>
  <c r="I429" i="81"/>
  <c r="E429" i="81"/>
  <c r="Q428" i="81"/>
  <c r="M428" i="81"/>
  <c r="I428" i="81"/>
  <c r="E428" i="81"/>
  <c r="Q427" i="81"/>
  <c r="M427" i="81"/>
  <c r="I427" i="81"/>
  <c r="E427" i="81"/>
  <c r="Q426" i="81"/>
  <c r="M426" i="81"/>
  <c r="I426" i="81"/>
  <c r="E426" i="81"/>
  <c r="Q425" i="81"/>
  <c r="M425" i="81"/>
  <c r="I425" i="81"/>
  <c r="E425" i="81"/>
  <c r="Q424" i="81"/>
  <c r="M424" i="81"/>
  <c r="I424" i="81"/>
  <c r="E424" i="81"/>
  <c r="Q423" i="81"/>
  <c r="M423" i="81"/>
  <c r="I423" i="81"/>
  <c r="E423" i="81"/>
  <c r="Q422" i="81"/>
  <c r="M422" i="81"/>
  <c r="I422" i="81"/>
  <c r="E422" i="81"/>
  <c r="Q421" i="81"/>
  <c r="M421" i="81"/>
  <c r="I421" i="81"/>
  <c r="E421" i="81"/>
  <c r="Q420" i="81"/>
  <c r="M420" i="81"/>
  <c r="I420" i="81"/>
  <c r="E420" i="81"/>
  <c r="Q419" i="81"/>
  <c r="M419" i="81"/>
  <c r="I419" i="81"/>
  <c r="E419" i="81"/>
  <c r="Q418" i="81"/>
  <c r="M418" i="81"/>
  <c r="I418" i="81"/>
  <c r="E418" i="81"/>
  <c r="Q417" i="81"/>
  <c r="M417" i="81"/>
  <c r="I417" i="81"/>
  <c r="E417" i="81"/>
  <c r="Q415" i="81"/>
  <c r="M415" i="81"/>
  <c r="I415" i="81"/>
  <c r="E415" i="81"/>
  <c r="Q414" i="81"/>
  <c r="M414" i="81"/>
  <c r="I414" i="81"/>
  <c r="E414" i="81"/>
  <c r="Q413" i="81"/>
  <c r="M413" i="81"/>
  <c r="I413" i="81"/>
  <c r="E413" i="81"/>
  <c r="Q412" i="81"/>
  <c r="M412" i="81"/>
  <c r="I412" i="81"/>
  <c r="E412" i="81"/>
  <c r="P409" i="81"/>
  <c r="O409" i="81"/>
  <c r="N409" i="81"/>
  <c r="L409" i="81"/>
  <c r="K409" i="81"/>
  <c r="J409" i="81"/>
  <c r="H409" i="81"/>
  <c r="G409" i="81"/>
  <c r="F409" i="81"/>
  <c r="D409" i="81"/>
  <c r="C409" i="81"/>
  <c r="B409" i="81"/>
  <c r="Q407" i="81"/>
  <c r="M407" i="81"/>
  <c r="I407" i="81"/>
  <c r="E407" i="81"/>
  <c r="Q406" i="81"/>
  <c r="M406" i="81"/>
  <c r="I406" i="81"/>
  <c r="E406" i="81"/>
  <c r="Q405" i="81"/>
  <c r="M405" i="81"/>
  <c r="I405" i="81"/>
  <c r="E405" i="81"/>
  <c r="Q404" i="81"/>
  <c r="M404" i="81"/>
  <c r="I404" i="81"/>
  <c r="E404" i="81"/>
  <c r="AK403" i="81"/>
  <c r="AJ403" i="81"/>
  <c r="AI403" i="81"/>
  <c r="AG403" i="81"/>
  <c r="AF403" i="81"/>
  <c r="AE403" i="81"/>
  <c r="Y403" i="81"/>
  <c r="X403" i="81"/>
  <c r="W403" i="81"/>
  <c r="Q403" i="81"/>
  <c r="M403" i="81"/>
  <c r="I403" i="81"/>
  <c r="E403" i="81"/>
  <c r="AK402" i="81"/>
  <c r="AJ402" i="81"/>
  <c r="AI402" i="81"/>
  <c r="AG402" i="81"/>
  <c r="AF402" i="81"/>
  <c r="AE402" i="81"/>
  <c r="Y402" i="81"/>
  <c r="X402" i="81"/>
  <c r="W402" i="81"/>
  <c r="Q402" i="81"/>
  <c r="M402" i="81"/>
  <c r="I402" i="81"/>
  <c r="E402" i="81"/>
  <c r="AK401" i="81"/>
  <c r="AJ401" i="81"/>
  <c r="AI401" i="81"/>
  <c r="AG401" i="81"/>
  <c r="AF401" i="81"/>
  <c r="AE401" i="81"/>
  <c r="Y401" i="81"/>
  <c r="X401" i="81"/>
  <c r="W401" i="81"/>
  <c r="Q401" i="81"/>
  <c r="M401" i="81"/>
  <c r="I401" i="81"/>
  <c r="E401" i="81"/>
  <c r="AL400" i="81"/>
  <c r="AL403" i="81" s="1"/>
  <c r="AH400" i="81"/>
  <c r="AC400" i="81"/>
  <c r="AC401" i="81" s="1"/>
  <c r="AB400" i="81"/>
  <c r="AB401" i="81" s="1"/>
  <c r="AA400" i="81"/>
  <c r="AD400" i="81" s="1"/>
  <c r="Z400" i="81"/>
  <c r="Q400" i="81"/>
  <c r="M400" i="81"/>
  <c r="I400" i="81"/>
  <c r="E400" i="81"/>
  <c r="Q399" i="81"/>
  <c r="M399" i="81"/>
  <c r="I399" i="81"/>
  <c r="E399" i="81"/>
  <c r="W398" i="81"/>
  <c r="P395" i="81"/>
  <c r="O395" i="81"/>
  <c r="N395" i="81"/>
  <c r="L395" i="81"/>
  <c r="K395" i="81"/>
  <c r="J395" i="81"/>
  <c r="H395" i="81"/>
  <c r="G395" i="81"/>
  <c r="F395" i="81"/>
  <c r="D395" i="81"/>
  <c r="C395" i="81"/>
  <c r="B395" i="81"/>
  <c r="Q393" i="81"/>
  <c r="M393" i="81"/>
  <c r="I393" i="81"/>
  <c r="E393" i="81"/>
  <c r="Q392" i="81"/>
  <c r="M392" i="81"/>
  <c r="I392" i="81"/>
  <c r="E392" i="81"/>
  <c r="Q391" i="81"/>
  <c r="M391" i="81"/>
  <c r="I391" i="81"/>
  <c r="E391" i="81"/>
  <c r="Q390" i="81"/>
  <c r="M390" i="81"/>
  <c r="I390" i="81"/>
  <c r="E390" i="81"/>
  <c r="Q388" i="81"/>
  <c r="M388" i="81"/>
  <c r="I388" i="81"/>
  <c r="E388" i="81"/>
  <c r="Q387" i="81"/>
  <c r="M387" i="81"/>
  <c r="I387" i="81"/>
  <c r="E387" i="81"/>
  <c r="Q386" i="81"/>
  <c r="M386" i="81"/>
  <c r="I386" i="81"/>
  <c r="E386" i="81"/>
  <c r="Q385" i="81"/>
  <c r="M385" i="81"/>
  <c r="I385" i="81"/>
  <c r="E385" i="81"/>
  <c r="Q384" i="81"/>
  <c r="M384" i="81"/>
  <c r="I384" i="81"/>
  <c r="E384" i="81"/>
  <c r="Q383" i="81"/>
  <c r="M383" i="81"/>
  <c r="I383" i="81"/>
  <c r="E383" i="81"/>
  <c r="Q382" i="81"/>
  <c r="M382" i="81"/>
  <c r="I382" i="81"/>
  <c r="E382" i="81"/>
  <c r="Q381" i="81"/>
  <c r="M381" i="81"/>
  <c r="I381" i="81"/>
  <c r="E381" i="81"/>
  <c r="Q380" i="81"/>
  <c r="M380" i="81"/>
  <c r="I380" i="81"/>
  <c r="E380" i="81"/>
  <c r="Q379" i="81"/>
  <c r="M379" i="81"/>
  <c r="I379" i="81"/>
  <c r="E379" i="81"/>
  <c r="Q378" i="81"/>
  <c r="M378" i="81"/>
  <c r="I378" i="81"/>
  <c r="E378" i="81"/>
  <c r="Q376" i="81"/>
  <c r="M376" i="81"/>
  <c r="I376" i="81"/>
  <c r="E376" i="81"/>
  <c r="Q375" i="81"/>
  <c r="M375" i="81"/>
  <c r="I375" i="81"/>
  <c r="E375" i="81"/>
  <c r="Q374" i="81"/>
  <c r="M374" i="81"/>
  <c r="I374" i="81"/>
  <c r="E374" i="81"/>
  <c r="Q372" i="81"/>
  <c r="M372" i="81"/>
  <c r="I372" i="81"/>
  <c r="E372" i="81"/>
  <c r="Q371" i="81"/>
  <c r="M371" i="81"/>
  <c r="I371" i="81"/>
  <c r="E371" i="81"/>
  <c r="Q370" i="81"/>
  <c r="M370" i="81"/>
  <c r="I370" i="81"/>
  <c r="E370" i="81"/>
  <c r="Q369" i="81"/>
  <c r="M369" i="81"/>
  <c r="I369" i="81"/>
  <c r="E369" i="81"/>
  <c r="Q368" i="81"/>
  <c r="M368" i="81"/>
  <c r="I368" i="81"/>
  <c r="E368" i="81"/>
  <c r="Q367" i="81"/>
  <c r="M367" i="81"/>
  <c r="I367" i="81"/>
  <c r="E367" i="81"/>
  <c r="Q366" i="81"/>
  <c r="M366" i="81"/>
  <c r="I366" i="81"/>
  <c r="E366" i="81"/>
  <c r="Q365" i="81"/>
  <c r="M365" i="81"/>
  <c r="I365" i="81"/>
  <c r="E365" i="81"/>
  <c r="Q364" i="81"/>
  <c r="M364" i="81"/>
  <c r="I364" i="81"/>
  <c r="E364" i="81"/>
  <c r="Q362" i="81"/>
  <c r="M362" i="81"/>
  <c r="I362" i="81"/>
  <c r="E362" i="81"/>
  <c r="Q361" i="81"/>
  <c r="M361" i="81"/>
  <c r="I361" i="81"/>
  <c r="E361" i="81"/>
  <c r="Q360" i="81"/>
  <c r="M360" i="81"/>
  <c r="I360" i="81"/>
  <c r="E360" i="81"/>
  <c r="Q359" i="81"/>
  <c r="M359" i="81"/>
  <c r="I359" i="81"/>
  <c r="E359" i="81"/>
  <c r="Q358" i="81"/>
  <c r="M358" i="81"/>
  <c r="I358" i="81"/>
  <c r="E358" i="81"/>
  <c r="Q357" i="81"/>
  <c r="M357" i="81"/>
  <c r="I357" i="81"/>
  <c r="E357" i="81"/>
  <c r="Q356" i="81"/>
  <c r="M356" i="81"/>
  <c r="I356" i="81"/>
  <c r="E356" i="81"/>
  <c r="Q355" i="81"/>
  <c r="M355" i="81"/>
  <c r="I355" i="81"/>
  <c r="E355" i="81"/>
  <c r="Q354" i="81"/>
  <c r="M354" i="81"/>
  <c r="I354" i="81"/>
  <c r="E354" i="81"/>
  <c r="Q353" i="81"/>
  <c r="M353" i="81"/>
  <c r="I353" i="81"/>
  <c r="E353" i="81"/>
  <c r="Q352" i="81"/>
  <c r="M352" i="81"/>
  <c r="I352" i="81"/>
  <c r="E352" i="81"/>
  <c r="Q351" i="81"/>
  <c r="M351" i="81"/>
  <c r="I351" i="81"/>
  <c r="E351" i="81"/>
  <c r="Q350" i="81"/>
  <c r="M350" i="81"/>
  <c r="I350" i="81"/>
  <c r="E350" i="81"/>
  <c r="Q349" i="81"/>
  <c r="M349" i="81"/>
  <c r="I349" i="81"/>
  <c r="E349" i="81"/>
  <c r="Q348" i="81"/>
  <c r="M348" i="81"/>
  <c r="I348" i="81"/>
  <c r="E348" i="81"/>
  <c r="Q347" i="81"/>
  <c r="M347" i="81"/>
  <c r="I347" i="81"/>
  <c r="E347" i="81"/>
  <c r="Q346" i="81"/>
  <c r="M346" i="81"/>
  <c r="I346" i="81"/>
  <c r="E346" i="81"/>
  <c r="Q345" i="81"/>
  <c r="M345" i="81"/>
  <c r="I345" i="81"/>
  <c r="E345" i="81"/>
  <c r="Q344" i="81"/>
  <c r="M344" i="81"/>
  <c r="I344" i="81"/>
  <c r="E344" i="81"/>
  <c r="Q343" i="81"/>
  <c r="M343" i="81"/>
  <c r="I343" i="81"/>
  <c r="E343" i="81"/>
  <c r="Q342" i="81"/>
  <c r="M342" i="81"/>
  <c r="I342" i="81"/>
  <c r="E342" i="81"/>
  <c r="Q341" i="81"/>
  <c r="M341" i="81"/>
  <c r="I341" i="81"/>
  <c r="E341" i="81"/>
  <c r="P333" i="81"/>
  <c r="O333" i="81"/>
  <c r="N333" i="81"/>
  <c r="L333" i="81"/>
  <c r="K333" i="81"/>
  <c r="J333" i="81"/>
  <c r="H333" i="81"/>
  <c r="G333" i="81"/>
  <c r="F333" i="81"/>
  <c r="D333" i="81"/>
  <c r="C333" i="81"/>
  <c r="B333" i="81"/>
  <c r="Q331" i="81"/>
  <c r="M331" i="81"/>
  <c r="I331" i="81"/>
  <c r="E331" i="81"/>
  <c r="Q320" i="81"/>
  <c r="M320" i="81"/>
  <c r="I320" i="81"/>
  <c r="E320" i="81"/>
  <c r="Q319" i="81"/>
  <c r="M319" i="81"/>
  <c r="I319" i="81"/>
  <c r="E319" i="81"/>
  <c r="Q318" i="81"/>
  <c r="M318" i="81"/>
  <c r="I318" i="81"/>
  <c r="E318" i="81"/>
  <c r="Q317" i="81"/>
  <c r="M317" i="81"/>
  <c r="I317" i="81"/>
  <c r="E317" i="81"/>
  <c r="Q316" i="81"/>
  <c r="M316" i="81"/>
  <c r="I316" i="81"/>
  <c r="E316" i="81"/>
  <c r="Q315" i="81"/>
  <c r="M315" i="81"/>
  <c r="I315" i="81"/>
  <c r="E315" i="81"/>
  <c r="P313" i="81"/>
  <c r="O313" i="81"/>
  <c r="N313" i="81"/>
  <c r="L313" i="81"/>
  <c r="K313" i="81"/>
  <c r="J313" i="81"/>
  <c r="H313" i="81"/>
  <c r="G313" i="81"/>
  <c r="F313" i="81"/>
  <c r="D313" i="81"/>
  <c r="C313" i="81"/>
  <c r="B313" i="81"/>
  <c r="P312" i="81"/>
  <c r="O312" i="81"/>
  <c r="N312" i="81"/>
  <c r="L312" i="81"/>
  <c r="K312" i="81"/>
  <c r="J312" i="81"/>
  <c r="H312" i="81"/>
  <c r="G312" i="81"/>
  <c r="F312" i="81"/>
  <c r="D312" i="81"/>
  <c r="C312" i="81"/>
  <c r="B312" i="81"/>
  <c r="Q311" i="81"/>
  <c r="M311" i="81"/>
  <c r="I311" i="81"/>
  <c r="E311" i="81"/>
  <c r="Q309" i="81"/>
  <c r="M309" i="81"/>
  <c r="I309" i="81"/>
  <c r="E309" i="81"/>
  <c r="Q307" i="81"/>
  <c r="M307" i="81"/>
  <c r="I307" i="81"/>
  <c r="E307" i="81"/>
  <c r="Q306" i="81"/>
  <c r="M306" i="81"/>
  <c r="I306" i="81"/>
  <c r="E306" i="81"/>
  <c r="Q305" i="81"/>
  <c r="M305" i="81"/>
  <c r="I305" i="81"/>
  <c r="E305" i="81"/>
  <c r="Q304" i="81"/>
  <c r="M304" i="81"/>
  <c r="I304" i="81"/>
  <c r="E304" i="81"/>
  <c r="Q303" i="81"/>
  <c r="M303" i="81"/>
  <c r="I303" i="81"/>
  <c r="E303" i="81"/>
  <c r="Q302" i="81"/>
  <c r="M302" i="81"/>
  <c r="I302" i="81"/>
  <c r="E302" i="81"/>
  <c r="Q301" i="81"/>
  <c r="M301" i="81"/>
  <c r="I301" i="81"/>
  <c r="E301" i="81"/>
  <c r="Q300" i="81"/>
  <c r="M300" i="81"/>
  <c r="I300" i="81"/>
  <c r="E300" i="81"/>
  <c r="Q298" i="81"/>
  <c r="M298" i="81"/>
  <c r="I298" i="81"/>
  <c r="E298" i="81"/>
  <c r="Q297" i="81"/>
  <c r="M297" i="81"/>
  <c r="I297" i="81"/>
  <c r="E297" i="81"/>
  <c r="Q296" i="81"/>
  <c r="M296" i="81"/>
  <c r="I296" i="81"/>
  <c r="E296" i="81"/>
  <c r="P293" i="81"/>
  <c r="O293" i="81"/>
  <c r="N293" i="81"/>
  <c r="L293" i="81"/>
  <c r="K293" i="81"/>
  <c r="J293" i="81"/>
  <c r="H293" i="81"/>
  <c r="G293" i="81"/>
  <c r="F293" i="81"/>
  <c r="D293" i="81"/>
  <c r="C293" i="81"/>
  <c r="B293" i="81"/>
  <c r="Q292" i="81"/>
  <c r="M292" i="81"/>
  <c r="I292" i="81"/>
  <c r="E292" i="81"/>
  <c r="Q291" i="81"/>
  <c r="M291" i="81"/>
  <c r="I291" i="81"/>
  <c r="E291" i="81"/>
  <c r="Q290" i="81"/>
  <c r="M290" i="81"/>
  <c r="I290" i="81"/>
  <c r="E290" i="81"/>
  <c r="Q289" i="81"/>
  <c r="M289" i="81"/>
  <c r="I289" i="81"/>
  <c r="E289" i="81"/>
  <c r="Q288" i="81"/>
  <c r="M288" i="81"/>
  <c r="I288" i="81"/>
  <c r="E288" i="81"/>
  <c r="Q287" i="81"/>
  <c r="M287" i="81"/>
  <c r="I287" i="81"/>
  <c r="E287" i="81"/>
  <c r="Q286" i="81"/>
  <c r="M286" i="81"/>
  <c r="I286" i="81"/>
  <c r="E286" i="81"/>
  <c r="Q285" i="81"/>
  <c r="M285" i="81"/>
  <c r="I285" i="81"/>
  <c r="E285" i="81"/>
  <c r="Q284" i="81"/>
  <c r="M284" i="81"/>
  <c r="I284" i="81"/>
  <c r="E284" i="81"/>
  <c r="Q283" i="81"/>
  <c r="M283" i="81"/>
  <c r="I283" i="81"/>
  <c r="E283" i="81"/>
  <c r="Q282" i="81"/>
  <c r="M282" i="81"/>
  <c r="I282" i="81"/>
  <c r="E282" i="81"/>
  <c r="Q281" i="81"/>
  <c r="M281" i="81"/>
  <c r="I281" i="81"/>
  <c r="E281" i="81"/>
  <c r="Q280" i="81"/>
  <c r="M280" i="81"/>
  <c r="I280" i="81"/>
  <c r="E280" i="81"/>
  <c r="Q279" i="81"/>
  <c r="M279" i="81"/>
  <c r="I279" i="81"/>
  <c r="E279" i="81"/>
  <c r="Q278" i="81"/>
  <c r="M278" i="81"/>
  <c r="I278" i="81"/>
  <c r="E278" i="81"/>
  <c r="Q277" i="81"/>
  <c r="M277" i="81"/>
  <c r="I277" i="81"/>
  <c r="E277" i="81"/>
  <c r="Q276" i="81"/>
  <c r="M276" i="81"/>
  <c r="I276" i="81"/>
  <c r="E276" i="81"/>
  <c r="Q275" i="81"/>
  <c r="M275" i="81"/>
  <c r="I275" i="81"/>
  <c r="E275" i="81"/>
  <c r="Q274" i="81"/>
  <c r="M274" i="81"/>
  <c r="I274" i="81"/>
  <c r="E274" i="81"/>
  <c r="Q273" i="81"/>
  <c r="M273" i="81"/>
  <c r="I273" i="81"/>
  <c r="E273" i="81"/>
  <c r="Q272" i="81"/>
  <c r="M272" i="81"/>
  <c r="I272" i="81"/>
  <c r="E272" i="81"/>
  <c r="Q271" i="81"/>
  <c r="M271" i="81"/>
  <c r="I271" i="81"/>
  <c r="E271" i="81"/>
  <c r="Q270" i="81"/>
  <c r="M270" i="81"/>
  <c r="I270" i="81"/>
  <c r="E270" i="81"/>
  <c r="Q269" i="81"/>
  <c r="M269" i="81"/>
  <c r="I269" i="81"/>
  <c r="E269" i="81"/>
  <c r="Q268" i="81"/>
  <c r="M268" i="81"/>
  <c r="I268" i="81"/>
  <c r="E268" i="81"/>
  <c r="Q267" i="81"/>
  <c r="M267" i="81"/>
  <c r="I267" i="81"/>
  <c r="E267" i="81"/>
  <c r="Q266" i="81"/>
  <c r="M266" i="81"/>
  <c r="I266" i="81"/>
  <c r="E266" i="81"/>
  <c r="Q265" i="81"/>
  <c r="M265" i="81"/>
  <c r="I265" i="81"/>
  <c r="E265" i="81"/>
  <c r="Q264" i="81"/>
  <c r="M264" i="81"/>
  <c r="I264" i="81"/>
  <c r="E264" i="81"/>
  <c r="Q263" i="81"/>
  <c r="M263" i="81"/>
  <c r="I263" i="81"/>
  <c r="E263" i="81"/>
  <c r="Q262" i="81"/>
  <c r="M262" i="81"/>
  <c r="I262" i="81"/>
  <c r="E262" i="81"/>
  <c r="Q261" i="81"/>
  <c r="M261" i="81"/>
  <c r="I261" i="81"/>
  <c r="E261" i="81"/>
  <c r="Q260" i="81"/>
  <c r="M260" i="81"/>
  <c r="I260" i="81"/>
  <c r="E260" i="81"/>
  <c r="Q259" i="81"/>
  <c r="M259" i="81"/>
  <c r="I259" i="81"/>
  <c r="E259" i="81"/>
  <c r="Q258" i="81"/>
  <c r="M258" i="81"/>
  <c r="I258" i="81"/>
  <c r="E258" i="81"/>
  <c r="Q257" i="81"/>
  <c r="M257" i="81"/>
  <c r="I257" i="81"/>
  <c r="E257" i="81"/>
  <c r="Q256" i="81"/>
  <c r="M256" i="81"/>
  <c r="I256" i="81"/>
  <c r="E256" i="81"/>
  <c r="Q255" i="81"/>
  <c r="M255" i="81"/>
  <c r="I255" i="81"/>
  <c r="E255" i="81"/>
  <c r="Q254" i="81"/>
  <c r="M254" i="81"/>
  <c r="I254" i="81"/>
  <c r="E254" i="81"/>
  <c r="Q253" i="81"/>
  <c r="M253" i="81"/>
  <c r="I253" i="81"/>
  <c r="E253" i="81"/>
  <c r="Q252" i="81"/>
  <c r="M252" i="81"/>
  <c r="I252" i="81"/>
  <c r="E252" i="81"/>
  <c r="Q251" i="81"/>
  <c r="M251" i="81"/>
  <c r="I251" i="81"/>
  <c r="E251" i="81"/>
  <c r="Q250" i="81"/>
  <c r="M250" i="81"/>
  <c r="I250" i="81"/>
  <c r="E250" i="81"/>
  <c r="Q249" i="81"/>
  <c r="M249" i="81"/>
  <c r="I249" i="81"/>
  <c r="E249" i="81"/>
  <c r="Q248" i="81"/>
  <c r="M248" i="81"/>
  <c r="I248" i="81"/>
  <c r="E248" i="81"/>
  <c r="Q247" i="81"/>
  <c r="M247" i="81"/>
  <c r="I247" i="81"/>
  <c r="E247" i="81"/>
  <c r="Q246" i="81"/>
  <c r="M246" i="81"/>
  <c r="I246" i="81"/>
  <c r="E246" i="81"/>
  <c r="Q245" i="81"/>
  <c r="M245" i="81"/>
  <c r="I245" i="81"/>
  <c r="E245" i="81"/>
  <c r="Q244" i="81"/>
  <c r="M244" i="81"/>
  <c r="I244" i="81"/>
  <c r="E244" i="81"/>
  <c r="Q243" i="81"/>
  <c r="M243" i="81"/>
  <c r="I243" i="81"/>
  <c r="E243" i="81"/>
  <c r="Q242" i="81"/>
  <c r="M242" i="81"/>
  <c r="I242" i="81"/>
  <c r="E242" i="81"/>
  <c r="Q241" i="81"/>
  <c r="M241" i="81"/>
  <c r="I241" i="81"/>
  <c r="E241" i="81"/>
  <c r="Q240" i="81"/>
  <c r="M240" i="81"/>
  <c r="I240" i="81"/>
  <c r="E240" i="81"/>
  <c r="Q239" i="81"/>
  <c r="M239" i="81"/>
  <c r="I239" i="81"/>
  <c r="E239" i="81"/>
  <c r="Q238" i="81"/>
  <c r="M238" i="81"/>
  <c r="I238" i="81"/>
  <c r="E238" i="81"/>
  <c r="Q237" i="81"/>
  <c r="M237" i="81"/>
  <c r="I237" i="81"/>
  <c r="E237" i="81"/>
  <c r="Q236" i="81"/>
  <c r="M236" i="81"/>
  <c r="I236" i="81"/>
  <c r="E236" i="81"/>
  <c r="Q235" i="81"/>
  <c r="M235" i="81"/>
  <c r="I235" i="81"/>
  <c r="E235" i="81"/>
  <c r="Q234" i="81"/>
  <c r="M234" i="81"/>
  <c r="I234" i="81"/>
  <c r="E234" i="81"/>
  <c r="Q233" i="81"/>
  <c r="M233" i="81"/>
  <c r="I233" i="81"/>
  <c r="E233" i="81"/>
  <c r="Q232" i="81"/>
  <c r="M232" i="81"/>
  <c r="I232" i="81"/>
  <c r="E232" i="81"/>
  <c r="Q231" i="81"/>
  <c r="M231" i="81"/>
  <c r="I231" i="81"/>
  <c r="E231" i="81"/>
  <c r="Q230" i="81"/>
  <c r="M230" i="81"/>
  <c r="I230" i="81"/>
  <c r="E230" i="81"/>
  <c r="Q229" i="81"/>
  <c r="M229" i="81"/>
  <c r="I229" i="81"/>
  <c r="E229" i="81"/>
  <c r="Q228" i="81"/>
  <c r="M228" i="81"/>
  <c r="I228" i="81"/>
  <c r="E228" i="81"/>
  <c r="P224" i="81"/>
  <c r="O224" i="81"/>
  <c r="N224" i="81"/>
  <c r="L224" i="81"/>
  <c r="K224" i="81"/>
  <c r="J224" i="81"/>
  <c r="I224" i="81"/>
  <c r="D224" i="81"/>
  <c r="C224" i="81"/>
  <c r="B224" i="81"/>
  <c r="Q222" i="81"/>
  <c r="M222" i="81"/>
  <c r="I222" i="81"/>
  <c r="E222" i="81"/>
  <c r="Q221" i="81"/>
  <c r="M221" i="81"/>
  <c r="I221" i="81"/>
  <c r="E221" i="81"/>
  <c r="P217" i="81"/>
  <c r="O217" i="81"/>
  <c r="N217" i="81"/>
  <c r="L217" i="81"/>
  <c r="K217" i="81"/>
  <c r="J217" i="81"/>
  <c r="H217" i="81"/>
  <c r="G217" i="81"/>
  <c r="F217" i="81"/>
  <c r="D217" i="81"/>
  <c r="C217" i="81"/>
  <c r="B217" i="81"/>
  <c r="Q215" i="81"/>
  <c r="M215" i="81"/>
  <c r="I215" i="81"/>
  <c r="E215" i="81"/>
  <c r="Q214" i="81"/>
  <c r="M214" i="81"/>
  <c r="I214" i="81"/>
  <c r="E214" i="81"/>
  <c r="Q213" i="81"/>
  <c r="M213" i="81"/>
  <c r="I213" i="81"/>
  <c r="E213" i="81"/>
  <c r="Q211" i="81"/>
  <c r="M211" i="81"/>
  <c r="I211" i="81"/>
  <c r="E211" i="81"/>
  <c r="Q210" i="81"/>
  <c r="M210" i="81"/>
  <c r="I210" i="81"/>
  <c r="E210" i="81"/>
  <c r="Q209" i="81"/>
  <c r="M209" i="81"/>
  <c r="I209" i="81"/>
  <c r="E209" i="81"/>
  <c r="Q208" i="81"/>
  <c r="M208" i="81"/>
  <c r="I208" i="81"/>
  <c r="E208" i="81"/>
  <c r="Q207" i="81"/>
  <c r="M207" i="81"/>
  <c r="I207" i="81"/>
  <c r="E207" i="81"/>
  <c r="Q206" i="81"/>
  <c r="M206" i="81"/>
  <c r="I206" i="81"/>
  <c r="E206" i="81"/>
  <c r="Q205" i="81"/>
  <c r="M205" i="81"/>
  <c r="I205" i="81"/>
  <c r="E205" i="81"/>
  <c r="Q204" i="81"/>
  <c r="M204" i="81"/>
  <c r="I204" i="81"/>
  <c r="E204" i="81"/>
  <c r="Q203" i="81"/>
  <c r="M203" i="81"/>
  <c r="I203" i="81"/>
  <c r="E203" i="81"/>
  <c r="Q202" i="81"/>
  <c r="M202" i="81"/>
  <c r="I202" i="81"/>
  <c r="E202" i="81"/>
  <c r="Q200" i="81"/>
  <c r="M200" i="81"/>
  <c r="I200" i="81"/>
  <c r="E200" i="81"/>
  <c r="Q199" i="81"/>
  <c r="M199" i="81"/>
  <c r="I199" i="81"/>
  <c r="E199" i="81"/>
  <c r="Q198" i="81"/>
  <c r="M198" i="81"/>
  <c r="I198" i="81"/>
  <c r="E198" i="81"/>
  <c r="Q197" i="81"/>
  <c r="M197" i="81"/>
  <c r="I197" i="81"/>
  <c r="E197" i="81"/>
  <c r="Q196" i="81"/>
  <c r="M196" i="81"/>
  <c r="I196" i="81"/>
  <c r="E196" i="81"/>
  <c r="Q195" i="81"/>
  <c r="M195" i="81"/>
  <c r="I195" i="81"/>
  <c r="E195" i="81"/>
  <c r="Q194" i="81"/>
  <c r="M194" i="81"/>
  <c r="I194" i="81"/>
  <c r="E194" i="81"/>
  <c r="Q192" i="81"/>
  <c r="M192" i="81"/>
  <c r="I192" i="81"/>
  <c r="E192" i="81"/>
  <c r="Q191" i="81"/>
  <c r="M191" i="81"/>
  <c r="I191" i="81"/>
  <c r="E191" i="81"/>
  <c r="Q190" i="81"/>
  <c r="M190" i="81"/>
  <c r="I190" i="81"/>
  <c r="E190" i="81"/>
  <c r="Q189" i="81"/>
  <c r="M189" i="81"/>
  <c r="I189" i="81"/>
  <c r="E189" i="81"/>
  <c r="Q188" i="81"/>
  <c r="M188" i="81"/>
  <c r="I188" i="81"/>
  <c r="E188" i="81"/>
  <c r="Q187" i="81"/>
  <c r="M187" i="81"/>
  <c r="I187" i="81"/>
  <c r="E187" i="81"/>
  <c r="Q186" i="81"/>
  <c r="M186" i="81"/>
  <c r="I186" i="81"/>
  <c r="E186" i="81"/>
  <c r="Q185" i="81"/>
  <c r="M185" i="81"/>
  <c r="I185" i="81"/>
  <c r="E185" i="81"/>
  <c r="Q184" i="81"/>
  <c r="M184" i="81"/>
  <c r="I184" i="81"/>
  <c r="E184" i="81"/>
  <c r="Q183" i="81"/>
  <c r="M183" i="81"/>
  <c r="I183" i="81"/>
  <c r="E183" i="81"/>
  <c r="Q182" i="81"/>
  <c r="M182" i="81"/>
  <c r="I182" i="81"/>
  <c r="E182" i="81"/>
  <c r="Q181" i="81"/>
  <c r="M181" i="81"/>
  <c r="I181" i="81"/>
  <c r="E181" i="81"/>
  <c r="Q180" i="81"/>
  <c r="M180" i="81"/>
  <c r="I180" i="81"/>
  <c r="E180" i="81"/>
  <c r="Q179" i="81"/>
  <c r="M179" i="81"/>
  <c r="I179" i="81"/>
  <c r="E179" i="81"/>
  <c r="Q178" i="81"/>
  <c r="M178" i="81"/>
  <c r="I178" i="81"/>
  <c r="E178" i="81"/>
  <c r="Q177" i="81"/>
  <c r="M177" i="81"/>
  <c r="I177" i="81"/>
  <c r="E177" i="81"/>
  <c r="Q176" i="81"/>
  <c r="M176" i="81"/>
  <c r="I176" i="81"/>
  <c r="E176" i="81"/>
  <c r="Q175" i="81"/>
  <c r="M175" i="81"/>
  <c r="I175" i="81"/>
  <c r="E175" i="81"/>
  <c r="Q174" i="81"/>
  <c r="M174" i="81"/>
  <c r="I174" i="81"/>
  <c r="E174" i="81"/>
  <c r="Q173" i="81"/>
  <c r="M173" i="81"/>
  <c r="I173" i="81"/>
  <c r="E173" i="81"/>
  <c r="Q172" i="81"/>
  <c r="M172" i="81"/>
  <c r="I172" i="81"/>
  <c r="E172" i="81"/>
  <c r="Q171" i="81"/>
  <c r="M171" i="81"/>
  <c r="I171" i="81"/>
  <c r="E171" i="81"/>
  <c r="Q170" i="81"/>
  <c r="M170" i="81"/>
  <c r="I170" i="81"/>
  <c r="E170" i="81"/>
  <c r="Q169" i="81"/>
  <c r="M169" i="81"/>
  <c r="I169" i="81"/>
  <c r="E169" i="81"/>
  <c r="Q168" i="81"/>
  <c r="M168" i="81"/>
  <c r="I168" i="81"/>
  <c r="E168" i="81"/>
  <c r="Q167" i="81"/>
  <c r="M167" i="81"/>
  <c r="I167" i="81"/>
  <c r="E167" i="81"/>
  <c r="Q166" i="81"/>
  <c r="M166" i="81"/>
  <c r="I166" i="81"/>
  <c r="E166" i="81"/>
  <c r="Q165" i="81"/>
  <c r="M165" i="81"/>
  <c r="I165" i="81"/>
  <c r="E165" i="81"/>
  <c r="Q164" i="81"/>
  <c r="M164" i="81"/>
  <c r="I164" i="81"/>
  <c r="E164" i="81"/>
  <c r="Q163" i="81"/>
  <c r="M163" i="81"/>
  <c r="I163" i="81"/>
  <c r="E163" i="81"/>
  <c r="Q162" i="81"/>
  <c r="M162" i="81"/>
  <c r="I162" i="81"/>
  <c r="E162" i="81"/>
  <c r="Q161" i="81"/>
  <c r="M161" i="81"/>
  <c r="I161" i="81"/>
  <c r="E161" i="81"/>
  <c r="Q160" i="81"/>
  <c r="M160" i="81"/>
  <c r="I160" i="81"/>
  <c r="E160" i="81"/>
  <c r="Q159" i="81"/>
  <c r="M159" i="81"/>
  <c r="I159" i="81"/>
  <c r="E159" i="81"/>
  <c r="Q158" i="81"/>
  <c r="M158" i="81"/>
  <c r="I158" i="81"/>
  <c r="E158" i="81"/>
  <c r="Q157" i="81"/>
  <c r="M157" i="81"/>
  <c r="I157" i="81"/>
  <c r="E157" i="81"/>
  <c r="Q156" i="81"/>
  <c r="M156" i="81"/>
  <c r="I156" i="81"/>
  <c r="E156" i="81"/>
  <c r="Q155" i="81"/>
  <c r="M155" i="81"/>
  <c r="I155" i="81"/>
  <c r="E155" i="81"/>
  <c r="Q154" i="81"/>
  <c r="M154" i="81"/>
  <c r="I154" i="81"/>
  <c r="E154" i="81"/>
  <c r="Q153" i="81"/>
  <c r="M153" i="81"/>
  <c r="I153" i="81"/>
  <c r="E153" i="81"/>
  <c r="Q152" i="81"/>
  <c r="M152" i="81"/>
  <c r="I152" i="81"/>
  <c r="E152" i="81"/>
  <c r="Q151" i="81"/>
  <c r="M151" i="81"/>
  <c r="I151" i="81"/>
  <c r="E151" i="81"/>
  <c r="Q150" i="81"/>
  <c r="M150" i="81"/>
  <c r="I150" i="81"/>
  <c r="E150" i="81"/>
  <c r="Q149" i="81"/>
  <c r="M149" i="81"/>
  <c r="I149" i="81"/>
  <c r="E149" i="81"/>
  <c r="Q148" i="81"/>
  <c r="M148" i="81"/>
  <c r="I148" i="81"/>
  <c r="E148" i="81"/>
  <c r="Q147" i="81"/>
  <c r="M147" i="81"/>
  <c r="I147" i="81"/>
  <c r="E147" i="81"/>
  <c r="Q146" i="81"/>
  <c r="M146" i="81"/>
  <c r="I146" i="81"/>
  <c r="E146" i="81"/>
  <c r="Q145" i="81"/>
  <c r="M145" i="81"/>
  <c r="I145" i="81"/>
  <c r="E145" i="81"/>
  <c r="Q144" i="81"/>
  <c r="M144" i="81"/>
  <c r="I144" i="81"/>
  <c r="E144" i="81"/>
  <c r="Q132" i="81"/>
  <c r="M132" i="81"/>
  <c r="I132" i="81"/>
  <c r="E132" i="81"/>
  <c r="P130" i="81"/>
  <c r="O130" i="81"/>
  <c r="N130" i="81"/>
  <c r="L130" i="81"/>
  <c r="K130" i="81"/>
  <c r="J130" i="81"/>
  <c r="H130" i="81"/>
  <c r="G130" i="81"/>
  <c r="F130" i="81"/>
  <c r="D130" i="81"/>
  <c r="C130" i="81"/>
  <c r="B130" i="81"/>
  <c r="P129" i="81"/>
  <c r="O129" i="81"/>
  <c r="N129" i="81"/>
  <c r="L129" i="81"/>
  <c r="K129" i="81"/>
  <c r="J129" i="81"/>
  <c r="H129" i="81"/>
  <c r="G129" i="81"/>
  <c r="F129" i="81"/>
  <c r="D129" i="81"/>
  <c r="C129" i="81"/>
  <c r="B129" i="81"/>
  <c r="Q128" i="81"/>
  <c r="M128" i="81"/>
  <c r="I128" i="81"/>
  <c r="E128" i="81"/>
  <c r="Q127" i="81"/>
  <c r="M127" i="81"/>
  <c r="I127" i="81"/>
  <c r="E127" i="81"/>
  <c r="Q125" i="81"/>
  <c r="M125" i="81"/>
  <c r="I125" i="81"/>
  <c r="E125" i="81"/>
  <c r="Q123" i="81"/>
  <c r="M123" i="81"/>
  <c r="I123" i="81"/>
  <c r="E123" i="81"/>
  <c r="Q122" i="81"/>
  <c r="M122" i="81"/>
  <c r="I122" i="81"/>
  <c r="E122" i="81"/>
  <c r="Q120" i="81"/>
  <c r="M120" i="81"/>
  <c r="I120" i="81"/>
  <c r="E120" i="81"/>
  <c r="Q119" i="81"/>
  <c r="M119" i="81"/>
  <c r="I119" i="81"/>
  <c r="E119" i="81"/>
  <c r="Q118" i="81"/>
  <c r="M118" i="81"/>
  <c r="I118" i="81"/>
  <c r="E118" i="81"/>
  <c r="Q117" i="81"/>
  <c r="M117" i="81"/>
  <c r="I117" i="81"/>
  <c r="E117" i="81"/>
  <c r="Q116" i="81"/>
  <c r="M116" i="81"/>
  <c r="I116" i="81"/>
  <c r="E116" i="81"/>
  <c r="Q115" i="81"/>
  <c r="M115" i="81"/>
  <c r="I115" i="81"/>
  <c r="E115" i="81"/>
  <c r="Q114" i="81"/>
  <c r="M114" i="81"/>
  <c r="I114" i="81"/>
  <c r="E114" i="81"/>
  <c r="Q113" i="81"/>
  <c r="M113" i="81"/>
  <c r="I113" i="81"/>
  <c r="E113" i="81"/>
  <c r="P110" i="81"/>
  <c r="O110" i="81"/>
  <c r="N110" i="81"/>
  <c r="L110" i="81"/>
  <c r="K110" i="81"/>
  <c r="J110" i="81"/>
  <c r="H110" i="81"/>
  <c r="G110" i="81"/>
  <c r="F110" i="81"/>
  <c r="D110" i="81"/>
  <c r="C110" i="81"/>
  <c r="B110" i="81"/>
  <c r="Q109" i="81"/>
  <c r="M109" i="81"/>
  <c r="I109" i="81"/>
  <c r="E109" i="81"/>
  <c r="Q108" i="81"/>
  <c r="M108" i="81"/>
  <c r="I108" i="81"/>
  <c r="E108" i="81"/>
  <c r="Q107" i="81"/>
  <c r="M107" i="81"/>
  <c r="I107" i="81"/>
  <c r="E107" i="81"/>
  <c r="Q106" i="81"/>
  <c r="M106" i="81"/>
  <c r="I106" i="81"/>
  <c r="E106" i="81"/>
  <c r="Q105" i="81"/>
  <c r="M105" i="81"/>
  <c r="I105" i="81"/>
  <c r="E105" i="81"/>
  <c r="Q104" i="81"/>
  <c r="M104" i="81"/>
  <c r="I104" i="81"/>
  <c r="E104" i="81"/>
  <c r="Q103" i="81"/>
  <c r="M103" i="81"/>
  <c r="I103" i="81"/>
  <c r="E103" i="81"/>
  <c r="Q102" i="81"/>
  <c r="M102" i="81"/>
  <c r="I102" i="81"/>
  <c r="E102" i="81"/>
  <c r="P98" i="81"/>
  <c r="O98" i="81"/>
  <c r="N98" i="81"/>
  <c r="L98" i="81"/>
  <c r="K98" i="81"/>
  <c r="J98" i="81"/>
  <c r="H98" i="81"/>
  <c r="G98" i="81"/>
  <c r="F98" i="81"/>
  <c r="D98" i="81"/>
  <c r="C98" i="81"/>
  <c r="B98" i="81"/>
  <c r="Q96" i="81"/>
  <c r="M96" i="81"/>
  <c r="I96" i="81"/>
  <c r="E96" i="81"/>
  <c r="Q95" i="81"/>
  <c r="M95" i="81"/>
  <c r="I95" i="81"/>
  <c r="E95" i="81"/>
  <c r="P91" i="81"/>
  <c r="O91" i="81"/>
  <c r="N91" i="81"/>
  <c r="L91" i="81"/>
  <c r="K91" i="81"/>
  <c r="J91" i="81"/>
  <c r="H91" i="81"/>
  <c r="G91" i="81"/>
  <c r="F91" i="81"/>
  <c r="D91" i="81"/>
  <c r="C91" i="81"/>
  <c r="B91" i="81"/>
  <c r="Q89" i="81"/>
  <c r="M89" i="81"/>
  <c r="I89" i="81"/>
  <c r="E89" i="81"/>
  <c r="Q88" i="81"/>
  <c r="M88" i="81"/>
  <c r="I88" i="81"/>
  <c r="E88" i="81"/>
  <c r="Q86" i="81"/>
  <c r="M86" i="81"/>
  <c r="I86" i="81"/>
  <c r="E86" i="81"/>
  <c r="Q84" i="81"/>
  <c r="M84" i="81"/>
  <c r="I84" i="81"/>
  <c r="E84" i="81"/>
  <c r="Q83" i="81"/>
  <c r="M83" i="81"/>
  <c r="I83" i="81"/>
  <c r="E83" i="81"/>
  <c r="Q81" i="81"/>
  <c r="M81" i="81"/>
  <c r="I81" i="81"/>
  <c r="E81" i="81"/>
  <c r="Q80" i="81"/>
  <c r="M80" i="81"/>
  <c r="I80" i="81"/>
  <c r="E80" i="81"/>
  <c r="Q79" i="81"/>
  <c r="M79" i="81"/>
  <c r="I79" i="81"/>
  <c r="E79" i="81"/>
  <c r="Q78" i="81"/>
  <c r="M78" i="81"/>
  <c r="I78" i="81"/>
  <c r="E78" i="81"/>
  <c r="Q76" i="81"/>
  <c r="M76" i="81"/>
  <c r="I76" i="81"/>
  <c r="E76" i="81"/>
  <c r="Q75" i="81"/>
  <c r="M75" i="81"/>
  <c r="I75" i="81"/>
  <c r="E75" i="81"/>
  <c r="Q74" i="81"/>
  <c r="M74" i="81"/>
  <c r="I74" i="81"/>
  <c r="E74" i="81"/>
  <c r="Q73" i="81"/>
  <c r="M73" i="81"/>
  <c r="I73" i="81"/>
  <c r="E73" i="81"/>
  <c r="Q72" i="81"/>
  <c r="M72" i="81"/>
  <c r="I72" i="81"/>
  <c r="E72" i="81"/>
  <c r="Q60" i="81"/>
  <c r="M60" i="81"/>
  <c r="I60" i="81"/>
  <c r="E60" i="81"/>
  <c r="P58" i="81"/>
  <c r="O58" i="81"/>
  <c r="N58" i="81"/>
  <c r="L58" i="81"/>
  <c r="K58" i="81"/>
  <c r="J58" i="81"/>
  <c r="H58" i="81"/>
  <c r="G58" i="81"/>
  <c r="F58" i="81"/>
  <c r="D58" i="81"/>
  <c r="C58" i="81"/>
  <c r="B58" i="81"/>
  <c r="P57" i="81"/>
  <c r="O57" i="81"/>
  <c r="N57" i="81"/>
  <c r="L57" i="81"/>
  <c r="K57" i="81"/>
  <c r="J57" i="81"/>
  <c r="H57" i="81"/>
  <c r="G57" i="81"/>
  <c r="F57" i="81"/>
  <c r="D57" i="81"/>
  <c r="C57" i="81"/>
  <c r="B57" i="81"/>
  <c r="Q54" i="81"/>
  <c r="M54" i="81"/>
  <c r="I54" i="81"/>
  <c r="E54" i="81"/>
  <c r="P50" i="81"/>
  <c r="O50" i="81"/>
  <c r="N50" i="81"/>
  <c r="L50" i="81"/>
  <c r="K50" i="81"/>
  <c r="J50" i="81"/>
  <c r="H50" i="81"/>
  <c r="G50" i="81"/>
  <c r="F50" i="81"/>
  <c r="D50" i="81"/>
  <c r="C50" i="81"/>
  <c r="B50" i="81"/>
  <c r="P46" i="81"/>
  <c r="O46" i="81"/>
  <c r="N46" i="81"/>
  <c r="L46" i="81"/>
  <c r="K46" i="81"/>
  <c r="J46" i="81"/>
  <c r="H46" i="81"/>
  <c r="G46" i="81"/>
  <c r="F46" i="81"/>
  <c r="D46" i="81"/>
  <c r="C46" i="81"/>
  <c r="B46" i="81"/>
  <c r="P41" i="81"/>
  <c r="O41" i="81"/>
  <c r="N41" i="81"/>
  <c r="L41" i="81"/>
  <c r="K41" i="81"/>
  <c r="J41" i="81"/>
  <c r="H41" i="81"/>
  <c r="G41" i="81"/>
  <c r="F41" i="81"/>
  <c r="D41" i="81"/>
  <c r="C41" i="81"/>
  <c r="B41" i="81"/>
  <c r="Q38" i="81"/>
  <c r="M38" i="81"/>
  <c r="I38" i="81"/>
  <c r="E38" i="81"/>
  <c r="P27" i="81"/>
  <c r="O27" i="81"/>
  <c r="N27" i="81"/>
  <c r="L27" i="81"/>
  <c r="K27" i="81"/>
  <c r="J27" i="81"/>
  <c r="H27" i="81"/>
  <c r="G27" i="81"/>
  <c r="F27" i="81"/>
  <c r="D27" i="81"/>
  <c r="C27" i="81"/>
  <c r="B27" i="81"/>
  <c r="Q25" i="81"/>
  <c r="M25" i="81"/>
  <c r="I25" i="81"/>
  <c r="E25" i="81"/>
  <c r="P18" i="81"/>
  <c r="O153" i="2" s="1"/>
  <c r="O18" i="81"/>
  <c r="O151" i="2" s="1"/>
  <c r="N18" i="81"/>
  <c r="O149" i="2" s="1"/>
  <c r="L18" i="81"/>
  <c r="O147" i="2" s="1"/>
  <c r="K18" i="81"/>
  <c r="O145" i="2" s="1"/>
  <c r="J18" i="81"/>
  <c r="O143" i="2" s="1"/>
  <c r="H18" i="81"/>
  <c r="O141" i="2" s="1"/>
  <c r="G18" i="81"/>
  <c r="O139" i="2" s="1"/>
  <c r="F18" i="81"/>
  <c r="O137" i="2" s="1"/>
  <c r="D18" i="81"/>
  <c r="O135" i="2" s="1"/>
  <c r="C18" i="81"/>
  <c r="O133" i="2" s="1"/>
  <c r="B18" i="81"/>
  <c r="O131" i="2" s="1"/>
  <c r="P17" i="81"/>
  <c r="N153" i="2" s="1"/>
  <c r="O17" i="81"/>
  <c r="N151" i="2" s="1"/>
  <c r="N17" i="81"/>
  <c r="N149" i="2" s="1"/>
  <c r="L17" i="81"/>
  <c r="N147" i="2" s="1"/>
  <c r="K17" i="81"/>
  <c r="N145" i="2" s="1"/>
  <c r="J17" i="81"/>
  <c r="N143" i="2" s="1"/>
  <c r="H17" i="81"/>
  <c r="N141" i="2" s="1"/>
  <c r="G17" i="81"/>
  <c r="N139" i="2" s="1"/>
  <c r="F17" i="81"/>
  <c r="N137" i="2" s="1"/>
  <c r="D17" i="81"/>
  <c r="N135" i="2" s="1"/>
  <c r="C17" i="81"/>
  <c r="N133" i="2" s="1"/>
  <c r="B17" i="81"/>
  <c r="N131" i="2" s="1"/>
  <c r="P16" i="81"/>
  <c r="O16" i="81"/>
  <c r="N16" i="81"/>
  <c r="L16" i="81"/>
  <c r="K16" i="81"/>
  <c r="J16" i="81"/>
  <c r="H16" i="81"/>
  <c r="G16" i="81"/>
  <c r="F16" i="81"/>
  <c r="D16" i="81"/>
  <c r="C16" i="81"/>
  <c r="B16" i="81"/>
  <c r="P15" i="81"/>
  <c r="O15" i="81"/>
  <c r="N15" i="81"/>
  <c r="L15" i="81"/>
  <c r="K15" i="81"/>
  <c r="J15" i="81"/>
  <c r="H15" i="81"/>
  <c r="G15" i="81"/>
  <c r="F15" i="81"/>
  <c r="D15" i="81"/>
  <c r="C15" i="81"/>
  <c r="B15" i="81"/>
  <c r="P14" i="81"/>
  <c r="O14" i="81"/>
  <c r="N14" i="81"/>
  <c r="L14" i="81"/>
  <c r="K14" i="81"/>
  <c r="J14" i="81"/>
  <c r="H14" i="81"/>
  <c r="G14" i="81"/>
  <c r="F14" i="81"/>
  <c r="D14" i="81"/>
  <c r="C14" i="81"/>
  <c r="B14" i="81"/>
  <c r="R1" i="81"/>
  <c r="O1166" i="79"/>
  <c r="K1166" i="79"/>
  <c r="Q1163" i="79"/>
  <c r="M1163" i="79"/>
  <c r="G1163" i="79"/>
  <c r="I1163" i="79" s="1"/>
  <c r="E1163" i="79"/>
  <c r="C1163" i="79"/>
  <c r="Q1162" i="79"/>
  <c r="M1162" i="79"/>
  <c r="G1162" i="79"/>
  <c r="I1162" i="79" s="1"/>
  <c r="E1162" i="79"/>
  <c r="C1162" i="79"/>
  <c r="Q1161" i="79"/>
  <c r="M1161" i="79"/>
  <c r="I1161" i="79"/>
  <c r="J1163" i="79" s="1"/>
  <c r="G1161" i="79"/>
  <c r="E1161" i="79"/>
  <c r="C1161" i="79"/>
  <c r="Q1160" i="79"/>
  <c r="M1160" i="79"/>
  <c r="G1160" i="79"/>
  <c r="I1160" i="79" s="1"/>
  <c r="E1160" i="79"/>
  <c r="F1160" i="79" s="1"/>
  <c r="C1160" i="79"/>
  <c r="Q1159" i="79"/>
  <c r="M1159" i="79"/>
  <c r="G1159" i="79"/>
  <c r="I1159" i="79" s="1"/>
  <c r="E1159" i="79"/>
  <c r="C1159" i="79"/>
  <c r="Q1158" i="79"/>
  <c r="R1160" i="79" s="1"/>
  <c r="M1158" i="79"/>
  <c r="N1160" i="79" s="1"/>
  <c r="G1158" i="79"/>
  <c r="I1158" i="79" s="1"/>
  <c r="J1160" i="79" s="1"/>
  <c r="E1158" i="79"/>
  <c r="C1158" i="79"/>
  <c r="Q1157" i="79"/>
  <c r="M1157" i="79"/>
  <c r="G1157" i="79"/>
  <c r="I1157" i="79" s="1"/>
  <c r="E1157" i="79"/>
  <c r="C1157" i="79"/>
  <c r="Q1156" i="79"/>
  <c r="M1156" i="79"/>
  <c r="G1156" i="79"/>
  <c r="I1156" i="79" s="1"/>
  <c r="E1156" i="79"/>
  <c r="C1156" i="79"/>
  <c r="Q1155" i="79"/>
  <c r="M1155" i="79"/>
  <c r="N1157" i="79" s="1"/>
  <c r="G1155" i="79"/>
  <c r="I1155" i="79" s="1"/>
  <c r="J1157" i="79" s="1"/>
  <c r="E1155" i="79"/>
  <c r="C1155" i="79"/>
  <c r="Q1154" i="79"/>
  <c r="M1154" i="79"/>
  <c r="G1154" i="79"/>
  <c r="I1154" i="79" s="1"/>
  <c r="E1154" i="79"/>
  <c r="C1154" i="79"/>
  <c r="Q1153" i="79"/>
  <c r="M1153" i="79"/>
  <c r="G1153" i="79"/>
  <c r="G1166" i="79" s="1"/>
  <c r="E1153" i="79"/>
  <c r="C1153" i="79"/>
  <c r="Q1152" i="79"/>
  <c r="M1152" i="79"/>
  <c r="I1152" i="79"/>
  <c r="E1152" i="79"/>
  <c r="C1152" i="79"/>
  <c r="G1146" i="79"/>
  <c r="O1145" i="79"/>
  <c r="K1145" i="79"/>
  <c r="C1145" i="79"/>
  <c r="I1142" i="79"/>
  <c r="J1139" i="79"/>
  <c r="Q1138" i="79"/>
  <c r="P1114" i="79"/>
  <c r="O1114" i="79" s="1"/>
  <c r="J1114" i="79"/>
  <c r="G1114" i="79" s="1"/>
  <c r="C1087" i="79" s="1"/>
  <c r="I1114" i="79"/>
  <c r="F1114" i="79" s="1"/>
  <c r="B1087" i="79" s="1"/>
  <c r="P1113" i="79"/>
  <c r="O1113" i="79" s="1"/>
  <c r="J1113" i="79"/>
  <c r="I1113" i="79"/>
  <c r="F1113" i="79" s="1"/>
  <c r="B1086" i="79" s="1"/>
  <c r="N1112" i="79"/>
  <c r="P1112" i="79" s="1"/>
  <c r="O1112" i="79" s="1"/>
  <c r="J1112" i="79"/>
  <c r="I1112" i="79"/>
  <c r="F1112" i="79" s="1"/>
  <c r="B1085" i="79" s="1"/>
  <c r="N1111" i="79"/>
  <c r="P1111" i="79" s="1"/>
  <c r="O1111" i="79" s="1"/>
  <c r="J1111" i="79"/>
  <c r="G1111" i="79" s="1"/>
  <c r="C1084" i="79" s="1"/>
  <c r="I1111" i="79"/>
  <c r="F1111" i="79" s="1"/>
  <c r="B1084" i="79" s="1"/>
  <c r="N1110" i="79"/>
  <c r="P1110" i="79" s="1"/>
  <c r="O1110" i="79" s="1"/>
  <c r="J1110" i="79"/>
  <c r="G1110" i="79" s="1"/>
  <c r="C1083" i="79" s="1"/>
  <c r="I1110" i="79"/>
  <c r="F1110" i="79" s="1"/>
  <c r="N1109" i="79"/>
  <c r="P1109" i="79" s="1"/>
  <c r="O1109" i="79" s="1"/>
  <c r="J1109" i="79"/>
  <c r="I1109" i="79"/>
  <c r="F1109" i="79" s="1"/>
  <c r="B1082" i="79" s="1"/>
  <c r="N1108" i="79"/>
  <c r="P1108" i="79" s="1"/>
  <c r="O1108" i="79" s="1"/>
  <c r="J1108" i="79"/>
  <c r="I1108" i="79"/>
  <c r="F1108" i="79"/>
  <c r="B1081" i="79" s="1"/>
  <c r="N1107" i="79"/>
  <c r="P1107" i="79" s="1"/>
  <c r="O1107" i="79" s="1"/>
  <c r="J1107" i="79"/>
  <c r="L1107" i="79" s="1"/>
  <c r="I1107" i="79"/>
  <c r="F1107" i="79"/>
  <c r="B1080" i="79" s="1"/>
  <c r="P1106" i="79"/>
  <c r="O1106" i="79" s="1"/>
  <c r="J1106" i="79"/>
  <c r="G1106" i="79" s="1"/>
  <c r="C1079" i="79" s="1"/>
  <c r="I1106" i="79"/>
  <c r="F1106" i="79" s="1"/>
  <c r="P1105" i="79"/>
  <c r="O1105" i="79" s="1"/>
  <c r="J1105" i="79"/>
  <c r="G1105" i="79" s="1"/>
  <c r="C1078" i="79" s="1"/>
  <c r="I1105" i="79"/>
  <c r="L1105" i="79" s="1"/>
  <c r="P1104" i="79"/>
  <c r="O1104" i="79" s="1"/>
  <c r="N1104" i="79"/>
  <c r="J1104" i="79"/>
  <c r="G1104" i="79" s="1"/>
  <c r="C1077" i="79" s="1"/>
  <c r="AD1085" i="79" s="1"/>
  <c r="I1104" i="79"/>
  <c r="F1104" i="79" s="1"/>
  <c r="B1077" i="79" s="1"/>
  <c r="AD1077" i="79" s="1"/>
  <c r="P1103" i="79"/>
  <c r="O1103" i="79" s="1"/>
  <c r="J1103" i="79"/>
  <c r="I1103" i="79"/>
  <c r="F1103" i="79" s="1"/>
  <c r="B1076" i="79" s="1"/>
  <c r="B1097" i="79"/>
  <c r="B1094" i="79"/>
  <c r="Q1093" i="79"/>
  <c r="D1083" i="79"/>
  <c r="B1083" i="79"/>
  <c r="D1082" i="79"/>
  <c r="D1081" i="79"/>
  <c r="B1079" i="79"/>
  <c r="AE1073" i="79"/>
  <c r="B1072" i="79"/>
  <c r="B1069" i="79"/>
  <c r="Q1068" i="79"/>
  <c r="P1062" i="79"/>
  <c r="P1061" i="79"/>
  <c r="P1060" i="79"/>
  <c r="P1059" i="79"/>
  <c r="P1058" i="79"/>
  <c r="P1057" i="79"/>
  <c r="P1056" i="79"/>
  <c r="P1055" i="79"/>
  <c r="P1054" i="79"/>
  <c r="P1053" i="79"/>
  <c r="P1052" i="79"/>
  <c r="P1051" i="79"/>
  <c r="M1046" i="79"/>
  <c r="N1037" i="79"/>
  <c r="L1037" i="79"/>
  <c r="K1037" i="79"/>
  <c r="I1037" i="79"/>
  <c r="H1037" i="79"/>
  <c r="J1035" i="79"/>
  <c r="J1034" i="79"/>
  <c r="J1033" i="79"/>
  <c r="J1032" i="79"/>
  <c r="J1031" i="79"/>
  <c r="J1030" i="79"/>
  <c r="AR1029" i="79"/>
  <c r="AQ1029" i="79"/>
  <c r="AP1029" i="79"/>
  <c r="AO1029" i="79"/>
  <c r="AN1029" i="79"/>
  <c r="AM1029" i="79"/>
  <c r="AL1029" i="79"/>
  <c r="AK1029" i="79"/>
  <c r="AJ1029" i="79"/>
  <c r="AI1029" i="79"/>
  <c r="AH1029" i="79"/>
  <c r="AG1029" i="79"/>
  <c r="AF1029" i="79"/>
  <c r="AE1029" i="79"/>
  <c r="AD1029" i="79"/>
  <c r="J1029" i="79"/>
  <c r="J1028" i="79"/>
  <c r="J1027" i="79"/>
  <c r="J1026" i="79"/>
  <c r="J1025" i="79"/>
  <c r="J1024" i="79"/>
  <c r="AD1019" i="79"/>
  <c r="AD1016" i="79"/>
  <c r="B1016" i="79"/>
  <c r="AR1015" i="79"/>
  <c r="B1015" i="79"/>
  <c r="Q1014" i="79"/>
  <c r="AR994" i="79"/>
  <c r="AQ994" i="79"/>
  <c r="AP994" i="79"/>
  <c r="AO994" i="79"/>
  <c r="AN994" i="79"/>
  <c r="AM994" i="79"/>
  <c r="AL994" i="79"/>
  <c r="AK994" i="79"/>
  <c r="AJ994" i="79"/>
  <c r="AI994" i="79"/>
  <c r="AH994" i="79"/>
  <c r="AG994" i="79"/>
  <c r="AF994" i="79"/>
  <c r="AE994" i="79"/>
  <c r="AD994" i="79"/>
  <c r="B989" i="79"/>
  <c r="B986" i="79"/>
  <c r="Q985" i="79"/>
  <c r="AD984" i="79"/>
  <c r="AD981" i="79"/>
  <c r="AR980" i="79"/>
  <c r="AR963" i="79"/>
  <c r="AQ963" i="79"/>
  <c r="AP963" i="79"/>
  <c r="AO963" i="79"/>
  <c r="AG963" i="79"/>
  <c r="AF963" i="79"/>
  <c r="AE963" i="79"/>
  <c r="AD963" i="79"/>
  <c r="B963" i="79"/>
  <c r="B960" i="79"/>
  <c r="Q959" i="79"/>
  <c r="AR958" i="79"/>
  <c r="AG958" i="79"/>
  <c r="AS955" i="79"/>
  <c r="AH955" i="79"/>
  <c r="AS953" i="79"/>
  <c r="G950" i="79"/>
  <c r="F950" i="79"/>
  <c r="G949" i="79"/>
  <c r="F949" i="79"/>
  <c r="G948" i="79"/>
  <c r="F948" i="79"/>
  <c r="AD939" i="79" s="1"/>
  <c r="G947" i="79"/>
  <c r="F947" i="79"/>
  <c r="AE973" i="79" s="1"/>
  <c r="G946" i="79"/>
  <c r="F946" i="79"/>
  <c r="AD937" i="79" s="1"/>
  <c r="G945" i="79"/>
  <c r="F945" i="79"/>
  <c r="G944" i="79"/>
  <c r="F944" i="79"/>
  <c r="G943" i="79"/>
  <c r="F943" i="79"/>
  <c r="G942" i="79"/>
  <c r="F942" i="79"/>
  <c r="G941" i="79"/>
  <c r="F941" i="79"/>
  <c r="G940" i="79"/>
  <c r="F940" i="79"/>
  <c r="G939" i="79"/>
  <c r="F939" i="79"/>
  <c r="AD930" i="79" s="1"/>
  <c r="B934" i="79"/>
  <c r="B931" i="79"/>
  <c r="Q930" i="79"/>
  <c r="AF922" i="79"/>
  <c r="AS921" i="79"/>
  <c r="AN921" i="79"/>
  <c r="A912" i="79"/>
  <c r="A910" i="79"/>
  <c r="Q906" i="79"/>
  <c r="P900" i="79"/>
  <c r="O900" i="79"/>
  <c r="N900" i="79"/>
  <c r="L900" i="79"/>
  <c r="K900" i="79"/>
  <c r="J900" i="79"/>
  <c r="H900" i="79"/>
  <c r="G900" i="79"/>
  <c r="F900" i="79"/>
  <c r="D900" i="79"/>
  <c r="C900" i="79"/>
  <c r="B900" i="79"/>
  <c r="P899" i="79"/>
  <c r="O899" i="79"/>
  <c r="N899" i="79"/>
  <c r="L899" i="79"/>
  <c r="K899" i="79"/>
  <c r="J899" i="79"/>
  <c r="H899" i="79"/>
  <c r="G899" i="79"/>
  <c r="F899" i="79"/>
  <c r="D899" i="79"/>
  <c r="C899" i="79"/>
  <c r="B899" i="79"/>
  <c r="P898" i="79"/>
  <c r="O898" i="79"/>
  <c r="N898" i="79"/>
  <c r="L898" i="79"/>
  <c r="K898" i="79"/>
  <c r="J898" i="79"/>
  <c r="H898" i="79"/>
  <c r="G898" i="79"/>
  <c r="F898" i="79"/>
  <c r="D898" i="79"/>
  <c r="C898" i="79"/>
  <c r="B898" i="79"/>
  <c r="P897" i="79"/>
  <c r="O897" i="79"/>
  <c r="N897" i="79"/>
  <c r="L897" i="79"/>
  <c r="K897" i="79"/>
  <c r="J897" i="79"/>
  <c r="H897" i="79"/>
  <c r="G897" i="79"/>
  <c r="F897" i="79"/>
  <c r="D897" i="79"/>
  <c r="C897" i="79"/>
  <c r="B897" i="79"/>
  <c r="P896" i="79"/>
  <c r="O896" i="79"/>
  <c r="N896" i="79"/>
  <c r="L896" i="79"/>
  <c r="K896" i="79"/>
  <c r="J896" i="79"/>
  <c r="H896" i="79"/>
  <c r="G896" i="79"/>
  <c r="F896" i="79"/>
  <c r="D896" i="79"/>
  <c r="C896" i="79"/>
  <c r="B896" i="79"/>
  <c r="P895" i="79"/>
  <c r="O895" i="79"/>
  <c r="N895" i="79"/>
  <c r="L895" i="79"/>
  <c r="K895" i="79"/>
  <c r="J895" i="79"/>
  <c r="H895" i="79"/>
  <c r="G895" i="79"/>
  <c r="F895" i="79"/>
  <c r="D895" i="79"/>
  <c r="C895" i="79"/>
  <c r="B895" i="79"/>
  <c r="O892" i="79"/>
  <c r="K892" i="79"/>
  <c r="J892" i="79"/>
  <c r="C891" i="79"/>
  <c r="B891" i="79"/>
  <c r="P888" i="79"/>
  <c r="O888" i="79"/>
  <c r="N888" i="79"/>
  <c r="L888" i="79"/>
  <c r="K888" i="79"/>
  <c r="J888" i="79"/>
  <c r="H888" i="79"/>
  <c r="G888" i="79"/>
  <c r="F888" i="79"/>
  <c r="D888" i="79"/>
  <c r="C888" i="79"/>
  <c r="B888" i="79"/>
  <c r="P887" i="79"/>
  <c r="O887" i="79"/>
  <c r="N887" i="79"/>
  <c r="L887" i="79"/>
  <c r="K887" i="79"/>
  <c r="J887" i="79"/>
  <c r="H887" i="79"/>
  <c r="G887" i="79"/>
  <c r="P886" i="79"/>
  <c r="O886" i="79"/>
  <c r="N886" i="79"/>
  <c r="L886" i="79"/>
  <c r="K886" i="79"/>
  <c r="J886" i="79"/>
  <c r="H886" i="79"/>
  <c r="G886" i="79"/>
  <c r="F886" i="79"/>
  <c r="D886" i="79"/>
  <c r="C886" i="79"/>
  <c r="B886" i="79"/>
  <c r="P883" i="79"/>
  <c r="O883" i="79"/>
  <c r="N883" i="79"/>
  <c r="L883" i="79"/>
  <c r="K883" i="79"/>
  <c r="J883" i="79"/>
  <c r="H883" i="79"/>
  <c r="G883" i="79"/>
  <c r="F883" i="79"/>
  <c r="D883" i="79"/>
  <c r="C883" i="79"/>
  <c r="B883" i="79"/>
  <c r="P882" i="79"/>
  <c r="O882" i="79"/>
  <c r="N882" i="79"/>
  <c r="L882" i="79"/>
  <c r="K882" i="79"/>
  <c r="J882" i="79"/>
  <c r="H882" i="79"/>
  <c r="G882" i="79"/>
  <c r="F882" i="79"/>
  <c r="D882" i="79"/>
  <c r="C882" i="79"/>
  <c r="B882" i="79"/>
  <c r="P881" i="79"/>
  <c r="O881" i="79"/>
  <c r="N881" i="79"/>
  <c r="L881" i="79"/>
  <c r="K881" i="79"/>
  <c r="J881" i="79"/>
  <c r="H881" i="79"/>
  <c r="G881" i="79"/>
  <c r="F881" i="79"/>
  <c r="D881" i="79"/>
  <c r="C881" i="79"/>
  <c r="B881" i="79"/>
  <c r="P880" i="79"/>
  <c r="O880" i="79"/>
  <c r="N880" i="79"/>
  <c r="L880" i="79"/>
  <c r="K880" i="79"/>
  <c r="J880" i="79"/>
  <c r="H880" i="79"/>
  <c r="G880" i="79"/>
  <c r="F880" i="79"/>
  <c r="D880" i="79"/>
  <c r="C880" i="79"/>
  <c r="B880" i="79"/>
  <c r="P879" i="79"/>
  <c r="O879" i="79"/>
  <c r="N879" i="79"/>
  <c r="L879" i="79"/>
  <c r="K879" i="79"/>
  <c r="J879" i="79"/>
  <c r="H879" i="79"/>
  <c r="G879" i="79"/>
  <c r="F879" i="79"/>
  <c r="D879" i="79"/>
  <c r="C879" i="79"/>
  <c r="B879" i="79"/>
  <c r="A871" i="79"/>
  <c r="A869" i="79"/>
  <c r="Q865" i="79"/>
  <c r="Q858" i="79"/>
  <c r="M858" i="79"/>
  <c r="I858" i="79"/>
  <c r="E858" i="79"/>
  <c r="P856" i="79"/>
  <c r="O856" i="79"/>
  <c r="N856" i="79"/>
  <c r="L856" i="79"/>
  <c r="K856" i="79"/>
  <c r="J856" i="79"/>
  <c r="H856" i="79"/>
  <c r="G856" i="79"/>
  <c r="F856" i="79"/>
  <c r="D856" i="79"/>
  <c r="C856" i="79"/>
  <c r="B856" i="79"/>
  <c r="P855" i="79"/>
  <c r="O855" i="79"/>
  <c r="N855" i="79"/>
  <c r="L855" i="79"/>
  <c r="K855" i="79"/>
  <c r="J855" i="79"/>
  <c r="H855" i="79"/>
  <c r="G855" i="79"/>
  <c r="F855" i="79"/>
  <c r="D855" i="79"/>
  <c r="C855" i="79"/>
  <c r="B855" i="79"/>
  <c r="Q852" i="79"/>
  <c r="M852" i="79"/>
  <c r="I852" i="79"/>
  <c r="E852" i="79"/>
  <c r="Q851" i="79"/>
  <c r="M851" i="79"/>
  <c r="I851" i="79"/>
  <c r="E851" i="79"/>
  <c r="Q849" i="79"/>
  <c r="M849" i="79"/>
  <c r="I849" i="79"/>
  <c r="E849" i="79"/>
  <c r="Q848" i="79"/>
  <c r="M848" i="79"/>
  <c r="I848" i="79"/>
  <c r="E848" i="79"/>
  <c r="P845" i="79"/>
  <c r="O845" i="79"/>
  <c r="N845" i="79"/>
  <c r="L845" i="79"/>
  <c r="K845" i="79"/>
  <c r="J845" i="79"/>
  <c r="H845" i="79"/>
  <c r="G845" i="79"/>
  <c r="F845" i="79"/>
  <c r="D845" i="79"/>
  <c r="C845" i="79"/>
  <c r="B845" i="79"/>
  <c r="Q844" i="79"/>
  <c r="M844" i="79"/>
  <c r="I844" i="79"/>
  <c r="E844" i="79"/>
  <c r="Q843" i="79"/>
  <c r="M843" i="79"/>
  <c r="I843" i="79"/>
  <c r="E843" i="79"/>
  <c r="Q842" i="79"/>
  <c r="M842" i="79"/>
  <c r="I842" i="79"/>
  <c r="E842" i="79"/>
  <c r="Q841" i="79"/>
  <c r="M841" i="79"/>
  <c r="I841" i="79"/>
  <c r="E841" i="79"/>
  <c r="Q840" i="79"/>
  <c r="M840" i="79"/>
  <c r="I840" i="79"/>
  <c r="E840" i="79"/>
  <c r="Q838" i="79"/>
  <c r="M838" i="79"/>
  <c r="I838" i="79"/>
  <c r="E838" i="79"/>
  <c r="Q837" i="79"/>
  <c r="M837" i="79"/>
  <c r="I837" i="79"/>
  <c r="E837" i="79"/>
  <c r="P834" i="79"/>
  <c r="O834" i="79"/>
  <c r="N834" i="79"/>
  <c r="L834" i="79"/>
  <c r="K834" i="79"/>
  <c r="J834" i="79"/>
  <c r="H834" i="79"/>
  <c r="G834" i="79"/>
  <c r="F834" i="79"/>
  <c r="D834" i="79"/>
  <c r="C834" i="79"/>
  <c r="B834" i="79"/>
  <c r="Q832" i="79"/>
  <c r="M832" i="79"/>
  <c r="I832" i="79"/>
  <c r="E832" i="79"/>
  <c r="P829" i="79"/>
  <c r="O829" i="79"/>
  <c r="N829" i="79"/>
  <c r="L829" i="79"/>
  <c r="K829" i="79"/>
  <c r="J829" i="79"/>
  <c r="H829" i="79"/>
  <c r="G829" i="79"/>
  <c r="F829" i="79"/>
  <c r="D829" i="79"/>
  <c r="C829" i="79"/>
  <c r="B829" i="79"/>
  <c r="B857" i="79" s="1"/>
  <c r="Q827" i="79"/>
  <c r="M827" i="79"/>
  <c r="I827" i="79"/>
  <c r="E827" i="79"/>
  <c r="Q824" i="79"/>
  <c r="M824" i="79"/>
  <c r="I824" i="79"/>
  <c r="E824" i="79"/>
  <c r="Q823" i="79"/>
  <c r="I823" i="79"/>
  <c r="E823" i="79"/>
  <c r="Q822" i="79"/>
  <c r="M822" i="79"/>
  <c r="I822" i="79"/>
  <c r="E822" i="79"/>
  <c r="Q821" i="79"/>
  <c r="M821" i="79"/>
  <c r="I821" i="79"/>
  <c r="E821" i="79"/>
  <c r="Q820" i="79"/>
  <c r="M820" i="79"/>
  <c r="I820" i="79"/>
  <c r="E820" i="79"/>
  <c r="Q819" i="79"/>
  <c r="M819" i="79"/>
  <c r="I819" i="79"/>
  <c r="E819" i="79"/>
  <c r="Q807" i="79"/>
  <c r="M807" i="79"/>
  <c r="I807" i="79"/>
  <c r="E807" i="79"/>
  <c r="Q806" i="79"/>
  <c r="M806" i="79"/>
  <c r="I806" i="79"/>
  <c r="E806" i="79"/>
  <c r="P804" i="79"/>
  <c r="O804" i="79"/>
  <c r="N804" i="79"/>
  <c r="L804" i="79"/>
  <c r="K804" i="79"/>
  <c r="J804" i="79"/>
  <c r="H804" i="79"/>
  <c r="G804" i="79"/>
  <c r="F804" i="79"/>
  <c r="D804" i="79"/>
  <c r="C804" i="79"/>
  <c r="B804" i="79"/>
  <c r="P803" i="79"/>
  <c r="O803" i="79"/>
  <c r="N803" i="79"/>
  <c r="L803" i="79"/>
  <c r="K803" i="79"/>
  <c r="J803" i="79"/>
  <c r="H803" i="79"/>
  <c r="G803" i="79"/>
  <c r="F803" i="79"/>
  <c r="D803" i="79"/>
  <c r="C803" i="79"/>
  <c r="B803" i="79"/>
  <c r="P797" i="79"/>
  <c r="O797" i="79"/>
  <c r="N797" i="79"/>
  <c r="L797" i="79"/>
  <c r="K797" i="79"/>
  <c r="J797" i="79"/>
  <c r="H797" i="79"/>
  <c r="G797" i="79"/>
  <c r="F797" i="79"/>
  <c r="D797" i="79"/>
  <c r="C797" i="79"/>
  <c r="B797" i="79"/>
  <c r="P793" i="79"/>
  <c r="O793" i="79"/>
  <c r="N793" i="79"/>
  <c r="L793" i="79"/>
  <c r="K793" i="79"/>
  <c r="J793" i="79"/>
  <c r="H793" i="79"/>
  <c r="G793" i="79"/>
  <c r="F793" i="79"/>
  <c r="D793" i="79"/>
  <c r="C793" i="79"/>
  <c r="B793" i="79"/>
  <c r="P789" i="79"/>
  <c r="O789" i="79"/>
  <c r="N789" i="79"/>
  <c r="L789" i="79"/>
  <c r="K789" i="79"/>
  <c r="J789" i="79"/>
  <c r="H789" i="79"/>
  <c r="G789" i="79"/>
  <c r="F789" i="79"/>
  <c r="D789" i="79"/>
  <c r="C789" i="79"/>
  <c r="B789" i="79"/>
  <c r="Q785" i="79"/>
  <c r="M785" i="79"/>
  <c r="I785" i="79"/>
  <c r="E785" i="79"/>
  <c r="P775" i="79"/>
  <c r="O775" i="79"/>
  <c r="N775" i="79"/>
  <c r="L775" i="79"/>
  <c r="K775" i="79"/>
  <c r="J775" i="79"/>
  <c r="H775" i="79"/>
  <c r="G775" i="79"/>
  <c r="F775" i="79"/>
  <c r="D775" i="79"/>
  <c r="C775" i="79"/>
  <c r="B775" i="79"/>
  <c r="Q773" i="79"/>
  <c r="M773" i="79"/>
  <c r="I773" i="79"/>
  <c r="E773" i="79"/>
  <c r="Q763" i="79"/>
  <c r="M763" i="79"/>
  <c r="I763" i="79"/>
  <c r="E763" i="79"/>
  <c r="P761" i="79"/>
  <c r="O761" i="79"/>
  <c r="N761" i="79"/>
  <c r="L761" i="79"/>
  <c r="K761" i="79"/>
  <c r="J761" i="79"/>
  <c r="H761" i="79"/>
  <c r="G761" i="79"/>
  <c r="F761" i="79"/>
  <c r="D761" i="79"/>
  <c r="C761" i="79"/>
  <c r="B761" i="79"/>
  <c r="P760" i="79"/>
  <c r="O760" i="79"/>
  <c r="N760" i="79"/>
  <c r="L760" i="79"/>
  <c r="K760" i="79"/>
  <c r="J760" i="79"/>
  <c r="H760" i="79"/>
  <c r="G760" i="79"/>
  <c r="F760" i="79"/>
  <c r="D760" i="79"/>
  <c r="C760" i="79"/>
  <c r="B760" i="79"/>
  <c r="Q757" i="79"/>
  <c r="M757" i="79"/>
  <c r="I757" i="79"/>
  <c r="E757" i="79"/>
  <c r="Q756" i="79"/>
  <c r="M756" i="79"/>
  <c r="I756" i="79"/>
  <c r="E756" i="79"/>
  <c r="Q755" i="79"/>
  <c r="M755" i="79"/>
  <c r="I755" i="79"/>
  <c r="E755" i="79"/>
  <c r="Q754" i="79"/>
  <c r="M754" i="79"/>
  <c r="I754" i="79"/>
  <c r="E754" i="79"/>
  <c r="P750" i="79"/>
  <c r="O750" i="79"/>
  <c r="N750" i="79"/>
  <c r="L750" i="79"/>
  <c r="K750" i="79"/>
  <c r="J750" i="79"/>
  <c r="H750" i="79"/>
  <c r="G750" i="79"/>
  <c r="F750" i="79"/>
  <c r="D750" i="79"/>
  <c r="C750" i="79"/>
  <c r="B750" i="79"/>
  <c r="Q749" i="79"/>
  <c r="M749" i="79"/>
  <c r="I749" i="79"/>
  <c r="E749" i="79"/>
  <c r="Q748" i="79"/>
  <c r="M748" i="79"/>
  <c r="I748" i="79"/>
  <c r="E748" i="79"/>
  <c r="Q747" i="79"/>
  <c r="M747" i="79"/>
  <c r="I747" i="79"/>
  <c r="E747" i="79"/>
  <c r="Q746" i="79"/>
  <c r="M746" i="79"/>
  <c r="I746" i="79"/>
  <c r="E746" i="79"/>
  <c r="Q745" i="79"/>
  <c r="M745" i="79"/>
  <c r="I745" i="79"/>
  <c r="E745" i="79"/>
  <c r="Q744" i="79"/>
  <c r="M744" i="79"/>
  <c r="I744" i="79"/>
  <c r="E744" i="79"/>
  <c r="Q743" i="79"/>
  <c r="M743" i="79"/>
  <c r="I743" i="79"/>
  <c r="E743" i="79"/>
  <c r="Q742" i="79"/>
  <c r="M742" i="79"/>
  <c r="I742" i="79"/>
  <c r="E742" i="79"/>
  <c r="Q741" i="79"/>
  <c r="M741" i="79"/>
  <c r="I741" i="79"/>
  <c r="E741" i="79"/>
  <c r="Q739" i="79"/>
  <c r="M739" i="79"/>
  <c r="I739" i="79"/>
  <c r="E739" i="79"/>
  <c r="P736" i="79"/>
  <c r="O736" i="79"/>
  <c r="N736" i="79"/>
  <c r="L736" i="79"/>
  <c r="K736" i="79"/>
  <c r="J736" i="79"/>
  <c r="H736" i="79"/>
  <c r="G736" i="79"/>
  <c r="F736" i="79"/>
  <c r="D736" i="79"/>
  <c r="C736" i="79"/>
  <c r="B736" i="79"/>
  <c r="P732" i="79"/>
  <c r="O732" i="79"/>
  <c r="N732" i="79"/>
  <c r="L732" i="79"/>
  <c r="K732" i="79"/>
  <c r="J732" i="79"/>
  <c r="H732" i="79"/>
  <c r="G732" i="79"/>
  <c r="F732" i="79"/>
  <c r="D732" i="79"/>
  <c r="C732" i="79"/>
  <c r="B732" i="79"/>
  <c r="Q728" i="79"/>
  <c r="M728" i="79"/>
  <c r="I728" i="79"/>
  <c r="E728" i="79"/>
  <c r="Q727" i="79"/>
  <c r="M727" i="79"/>
  <c r="I727" i="79"/>
  <c r="E727" i="79"/>
  <c r="Q726" i="79"/>
  <c r="M726" i="79"/>
  <c r="I726" i="79"/>
  <c r="E726" i="79"/>
  <c r="Q725" i="79"/>
  <c r="M725" i="79"/>
  <c r="I725" i="79"/>
  <c r="E725" i="79"/>
  <c r="Q724" i="79"/>
  <c r="M724" i="79"/>
  <c r="I724" i="79"/>
  <c r="E724" i="79"/>
  <c r="Q723" i="79"/>
  <c r="M723" i="79"/>
  <c r="I723" i="79"/>
  <c r="E723" i="79"/>
  <c r="Q711" i="79"/>
  <c r="M711" i="79"/>
  <c r="I711" i="79"/>
  <c r="E711" i="79"/>
  <c r="P709" i="79"/>
  <c r="O709" i="79"/>
  <c r="N709" i="79"/>
  <c r="L709" i="79"/>
  <c r="K709" i="79"/>
  <c r="J709" i="79"/>
  <c r="H709" i="79"/>
  <c r="G709" i="79"/>
  <c r="F709" i="79"/>
  <c r="D709" i="79"/>
  <c r="C709" i="79"/>
  <c r="B709" i="79"/>
  <c r="P708" i="79"/>
  <c r="O708" i="79"/>
  <c r="N708" i="79"/>
  <c r="L708" i="79"/>
  <c r="K708" i="79"/>
  <c r="J708" i="79"/>
  <c r="H708" i="79"/>
  <c r="G708" i="79"/>
  <c r="F708" i="79"/>
  <c r="D708" i="79"/>
  <c r="C708" i="79"/>
  <c r="B708" i="79"/>
  <c r="Q705" i="79"/>
  <c r="M705" i="79"/>
  <c r="I705" i="79"/>
  <c r="E705" i="79"/>
  <c r="P701" i="79"/>
  <c r="O701" i="79"/>
  <c r="N701" i="79"/>
  <c r="L701" i="79"/>
  <c r="K701" i="79"/>
  <c r="J701" i="79"/>
  <c r="H701" i="79"/>
  <c r="G701" i="79"/>
  <c r="F701" i="79"/>
  <c r="D701" i="79"/>
  <c r="C701" i="79"/>
  <c r="B701" i="79"/>
  <c r="P697" i="79"/>
  <c r="O697" i="79"/>
  <c r="N697" i="79"/>
  <c r="L697" i="79"/>
  <c r="K697" i="79"/>
  <c r="J697" i="79"/>
  <c r="H697" i="79"/>
  <c r="G697" i="79"/>
  <c r="F697" i="79"/>
  <c r="D697" i="79"/>
  <c r="C697" i="79"/>
  <c r="B697" i="79"/>
  <c r="P693" i="79"/>
  <c r="O693" i="79"/>
  <c r="N693" i="79"/>
  <c r="L693" i="79"/>
  <c r="K693" i="79"/>
  <c r="J693" i="79"/>
  <c r="H693" i="79"/>
  <c r="G693" i="79"/>
  <c r="F693" i="79"/>
  <c r="D693" i="79"/>
  <c r="C693" i="79"/>
  <c r="B693" i="79"/>
  <c r="Q689" i="79"/>
  <c r="M689" i="79"/>
  <c r="I689" i="79"/>
  <c r="E689" i="79"/>
  <c r="Q688" i="79"/>
  <c r="M688" i="79"/>
  <c r="I688" i="79"/>
  <c r="E688" i="79"/>
  <c r="Q687" i="79"/>
  <c r="M687" i="79"/>
  <c r="I687" i="79"/>
  <c r="E687" i="79"/>
  <c r="P677" i="79"/>
  <c r="O677" i="79"/>
  <c r="N677" i="79"/>
  <c r="L677" i="79"/>
  <c r="K677" i="79"/>
  <c r="J677" i="79"/>
  <c r="H677" i="79"/>
  <c r="G677" i="79"/>
  <c r="F677" i="79"/>
  <c r="D677" i="79"/>
  <c r="C677" i="79"/>
  <c r="B677" i="79"/>
  <c r="Q675" i="79"/>
  <c r="M675" i="79"/>
  <c r="I675" i="79"/>
  <c r="E675" i="79"/>
  <c r="Q665" i="79"/>
  <c r="M665" i="79"/>
  <c r="I665" i="79"/>
  <c r="E665" i="79"/>
  <c r="P663" i="79"/>
  <c r="O663" i="79"/>
  <c r="N663" i="79"/>
  <c r="L663" i="79"/>
  <c r="K663" i="79"/>
  <c r="J663" i="79"/>
  <c r="H663" i="79"/>
  <c r="G663" i="79"/>
  <c r="F663" i="79"/>
  <c r="D663" i="79"/>
  <c r="C663" i="79"/>
  <c r="B663" i="79"/>
  <c r="P662" i="79"/>
  <c r="O662" i="79"/>
  <c r="N662" i="79"/>
  <c r="L662" i="79"/>
  <c r="K662" i="79"/>
  <c r="J662" i="79"/>
  <c r="H662" i="79"/>
  <c r="G662" i="79"/>
  <c r="F662" i="79"/>
  <c r="D662" i="79"/>
  <c r="C662" i="79"/>
  <c r="B662" i="79"/>
  <c r="Q661" i="79"/>
  <c r="M661" i="79"/>
  <c r="I661" i="79"/>
  <c r="E661" i="79"/>
  <c r="Q660" i="79"/>
  <c r="M660" i="79"/>
  <c r="I660" i="79"/>
  <c r="E660" i="79"/>
  <c r="Q659" i="79"/>
  <c r="M659" i="79"/>
  <c r="I659" i="79"/>
  <c r="E659" i="79"/>
  <c r="Q657" i="79"/>
  <c r="M657" i="79"/>
  <c r="I657" i="79"/>
  <c r="E657" i="79"/>
  <c r="Q656" i="79"/>
  <c r="M656" i="79"/>
  <c r="I656" i="79"/>
  <c r="E656" i="79"/>
  <c r="Q654" i="79"/>
  <c r="M654" i="79"/>
  <c r="I654" i="79"/>
  <c r="E654" i="79"/>
  <c r="Q653" i="79"/>
  <c r="M653" i="79"/>
  <c r="I653" i="79"/>
  <c r="E653" i="79"/>
  <c r="Q652" i="79"/>
  <c r="M652" i="79"/>
  <c r="I652" i="79"/>
  <c r="E652" i="79"/>
  <c r="Q651" i="79"/>
  <c r="M651" i="79"/>
  <c r="I651" i="79"/>
  <c r="E651" i="79"/>
  <c r="Q649" i="79"/>
  <c r="M649" i="79"/>
  <c r="I649" i="79"/>
  <c r="E649" i="79"/>
  <c r="Q648" i="79"/>
  <c r="M648" i="79"/>
  <c r="I648" i="79"/>
  <c r="E648" i="79"/>
  <c r="P645" i="79"/>
  <c r="O645" i="79"/>
  <c r="N645" i="79"/>
  <c r="L645" i="79"/>
  <c r="K645" i="79"/>
  <c r="J645" i="79"/>
  <c r="H645" i="79"/>
  <c r="G645" i="79"/>
  <c r="F645" i="79"/>
  <c r="D645" i="79"/>
  <c r="C645" i="79"/>
  <c r="B645" i="79"/>
  <c r="Q644" i="79"/>
  <c r="M644" i="79"/>
  <c r="I644" i="79"/>
  <c r="E644" i="79"/>
  <c r="Q643" i="79"/>
  <c r="M643" i="79"/>
  <c r="I643" i="79"/>
  <c r="E643" i="79"/>
  <c r="Q642" i="79"/>
  <c r="M642" i="79"/>
  <c r="I642" i="79"/>
  <c r="E642" i="79"/>
  <c r="Q641" i="79"/>
  <c r="M641" i="79"/>
  <c r="I641" i="79"/>
  <c r="E641" i="79"/>
  <c r="Q640" i="79"/>
  <c r="M640" i="79"/>
  <c r="I640" i="79"/>
  <c r="E640" i="79"/>
  <c r="Q639" i="79"/>
  <c r="M639" i="79"/>
  <c r="I639" i="79"/>
  <c r="E639" i="79"/>
  <c r="P635" i="79"/>
  <c r="O635" i="79"/>
  <c r="N635" i="79"/>
  <c r="L635" i="79"/>
  <c r="K635" i="79"/>
  <c r="J635" i="79"/>
  <c r="H635" i="79"/>
  <c r="G635" i="79"/>
  <c r="F635" i="79"/>
  <c r="D635" i="79"/>
  <c r="C635" i="79"/>
  <c r="B635" i="79"/>
  <c r="Q633" i="79"/>
  <c r="M633" i="79"/>
  <c r="I633" i="79"/>
  <c r="E633" i="79"/>
  <c r="Q632" i="79"/>
  <c r="M632" i="79"/>
  <c r="I632" i="79"/>
  <c r="E632" i="79"/>
  <c r="P629" i="79"/>
  <c r="O629" i="79"/>
  <c r="N629" i="79"/>
  <c r="L629" i="79"/>
  <c r="K629" i="79"/>
  <c r="J629" i="79"/>
  <c r="H629" i="79"/>
  <c r="G629" i="79"/>
  <c r="F629" i="79"/>
  <c r="D629" i="79"/>
  <c r="C629" i="79"/>
  <c r="B629" i="79"/>
  <c r="Q627" i="79"/>
  <c r="M627" i="79"/>
  <c r="I627" i="79"/>
  <c r="E627" i="79"/>
  <c r="Q625" i="79"/>
  <c r="M625" i="79"/>
  <c r="I625" i="79"/>
  <c r="E625" i="79"/>
  <c r="Q623" i="79"/>
  <c r="M623" i="79"/>
  <c r="I623" i="79"/>
  <c r="E623" i="79"/>
  <c r="Q622" i="79"/>
  <c r="M622" i="79"/>
  <c r="I622" i="79"/>
  <c r="E622" i="79"/>
  <c r="Q621" i="79"/>
  <c r="M621" i="79"/>
  <c r="I621" i="79"/>
  <c r="E621" i="79"/>
  <c r="Q620" i="79"/>
  <c r="M620" i="79"/>
  <c r="I620" i="79"/>
  <c r="E620" i="79"/>
  <c r="Q619" i="79"/>
  <c r="M619" i="79"/>
  <c r="I619" i="79"/>
  <c r="E619" i="79"/>
  <c r="Q618" i="79"/>
  <c r="M618" i="79"/>
  <c r="I618" i="79"/>
  <c r="E618" i="79"/>
  <c r="Q617" i="79"/>
  <c r="M617" i="79"/>
  <c r="I617" i="79"/>
  <c r="E617" i="79"/>
  <c r="Q616" i="79"/>
  <c r="M616" i="79"/>
  <c r="I616" i="79"/>
  <c r="E616" i="79"/>
  <c r="Q615" i="79"/>
  <c r="M615" i="79"/>
  <c r="I615" i="79"/>
  <c r="E615" i="79"/>
  <c r="Q614" i="79"/>
  <c r="M614" i="79"/>
  <c r="I614" i="79"/>
  <c r="E614" i="79"/>
  <c r="Q613" i="79"/>
  <c r="M613" i="79"/>
  <c r="I613" i="79"/>
  <c r="E613" i="79"/>
  <c r="Q612" i="79"/>
  <c r="M612" i="79"/>
  <c r="I612" i="79"/>
  <c r="E612" i="79"/>
  <c r="Q600" i="79"/>
  <c r="M600" i="79"/>
  <c r="I600" i="79"/>
  <c r="E600" i="79"/>
  <c r="P598" i="79"/>
  <c r="O598" i="79"/>
  <c r="N598" i="79"/>
  <c r="L598" i="79"/>
  <c r="K598" i="79"/>
  <c r="J598" i="79"/>
  <c r="H598" i="79"/>
  <c r="G598" i="79"/>
  <c r="F598" i="79"/>
  <c r="D598" i="79"/>
  <c r="C598" i="79"/>
  <c r="B598" i="79"/>
  <c r="P597" i="79"/>
  <c r="O597" i="79"/>
  <c r="N597" i="79"/>
  <c r="L597" i="79"/>
  <c r="K597" i="79"/>
  <c r="J597" i="79"/>
  <c r="H597" i="79"/>
  <c r="G597" i="79"/>
  <c r="F597" i="79"/>
  <c r="D597" i="79"/>
  <c r="C597" i="79"/>
  <c r="B597" i="79"/>
  <c r="Q596" i="79"/>
  <c r="M596" i="79"/>
  <c r="I596" i="79"/>
  <c r="E596" i="79"/>
  <c r="Q595" i="79"/>
  <c r="M595" i="79"/>
  <c r="I595" i="79"/>
  <c r="E595" i="79"/>
  <c r="Q594" i="79"/>
  <c r="M594" i="79"/>
  <c r="I594" i="79"/>
  <c r="E594" i="79"/>
  <c r="Q593" i="79"/>
  <c r="M593" i="79"/>
  <c r="I593" i="79"/>
  <c r="E593" i="79"/>
  <c r="Q591" i="79"/>
  <c r="M591" i="79"/>
  <c r="I591" i="79"/>
  <c r="E591" i="79"/>
  <c r="P586" i="79"/>
  <c r="O586" i="79"/>
  <c r="N586" i="79"/>
  <c r="L586" i="79"/>
  <c r="K586" i="79"/>
  <c r="J586" i="79"/>
  <c r="H586" i="79"/>
  <c r="G586" i="79"/>
  <c r="F586" i="79"/>
  <c r="D586" i="79"/>
  <c r="C586" i="79"/>
  <c r="B586" i="79"/>
  <c r="Q585" i="79"/>
  <c r="M585" i="79"/>
  <c r="I585" i="79"/>
  <c r="E585" i="79"/>
  <c r="P581" i="79"/>
  <c r="O581" i="79"/>
  <c r="N581" i="79"/>
  <c r="L581" i="79"/>
  <c r="K581" i="79"/>
  <c r="J581" i="79"/>
  <c r="H581" i="79"/>
  <c r="G581" i="79"/>
  <c r="F581" i="79"/>
  <c r="D581" i="79"/>
  <c r="C581" i="79"/>
  <c r="B581" i="79"/>
  <c r="Q579" i="79"/>
  <c r="M579" i="79"/>
  <c r="I579" i="79"/>
  <c r="E579" i="79"/>
  <c r="Q578" i="79"/>
  <c r="M578" i="79"/>
  <c r="I578" i="79"/>
  <c r="E578" i="79"/>
  <c r="P575" i="79"/>
  <c r="O575" i="79"/>
  <c r="N575" i="79"/>
  <c r="L575" i="79"/>
  <c r="K575" i="79"/>
  <c r="J575" i="79"/>
  <c r="H575" i="79"/>
  <c r="G575" i="79"/>
  <c r="F575" i="79"/>
  <c r="D575" i="79"/>
  <c r="C575" i="79"/>
  <c r="B575" i="79"/>
  <c r="Q571" i="79"/>
  <c r="M571" i="79"/>
  <c r="I571" i="79"/>
  <c r="E571" i="79"/>
  <c r="Q570" i="79"/>
  <c r="M570" i="79"/>
  <c r="I570" i="79"/>
  <c r="E570" i="79"/>
  <c r="Q569" i="79"/>
  <c r="M569" i="79"/>
  <c r="I569" i="79"/>
  <c r="E569" i="79"/>
  <c r="Q568" i="79"/>
  <c r="M568" i="79"/>
  <c r="I568" i="79"/>
  <c r="E568" i="79"/>
  <c r="Q567" i="79"/>
  <c r="M567" i="79"/>
  <c r="I567" i="79"/>
  <c r="E567" i="79"/>
  <c r="Q555" i="79"/>
  <c r="M555" i="79"/>
  <c r="I555" i="79"/>
  <c r="E555" i="79"/>
  <c r="P553" i="79"/>
  <c r="O553" i="79"/>
  <c r="N553" i="79"/>
  <c r="L553" i="79"/>
  <c r="K553" i="79"/>
  <c r="J553" i="79"/>
  <c r="H553" i="79"/>
  <c r="G553" i="79"/>
  <c r="F553" i="79"/>
  <c r="D553" i="79"/>
  <c r="C553" i="79"/>
  <c r="B553" i="79"/>
  <c r="P552" i="79"/>
  <c r="O552" i="79"/>
  <c r="N552" i="79"/>
  <c r="L552" i="79"/>
  <c r="K552" i="79"/>
  <c r="J552" i="79"/>
  <c r="H552" i="79"/>
  <c r="G552" i="79"/>
  <c r="F552" i="79"/>
  <c r="D552" i="79"/>
  <c r="C552" i="79"/>
  <c r="B552" i="79"/>
  <c r="Q551" i="79"/>
  <c r="M551" i="79"/>
  <c r="I551" i="79"/>
  <c r="E551" i="79"/>
  <c r="Q550" i="79"/>
  <c r="M550" i="79"/>
  <c r="I550" i="79"/>
  <c r="E550" i="79"/>
  <c r="P544" i="79"/>
  <c r="O544" i="79"/>
  <c r="N544" i="79"/>
  <c r="L544" i="79"/>
  <c r="K544" i="79"/>
  <c r="J544" i="79"/>
  <c r="H544" i="79"/>
  <c r="G544" i="79"/>
  <c r="F544" i="79"/>
  <c r="D544" i="79"/>
  <c r="C544" i="79"/>
  <c r="B544" i="79"/>
  <c r="Q543" i="79"/>
  <c r="M543" i="79"/>
  <c r="I543" i="79"/>
  <c r="E543" i="79"/>
  <c r="Q542" i="79"/>
  <c r="M542" i="79"/>
  <c r="I542" i="79"/>
  <c r="E542" i="79"/>
  <c r="P538" i="79"/>
  <c r="O538" i="79"/>
  <c r="N538" i="79"/>
  <c r="L538" i="79"/>
  <c r="K538" i="79"/>
  <c r="J538" i="79"/>
  <c r="H538" i="79"/>
  <c r="G538" i="79"/>
  <c r="F538" i="79"/>
  <c r="C538" i="79"/>
  <c r="B538" i="79"/>
  <c r="Q536" i="79"/>
  <c r="M536" i="79"/>
  <c r="I536" i="79"/>
  <c r="E536" i="79"/>
  <c r="D887" i="79"/>
  <c r="P533" i="79"/>
  <c r="O533" i="79"/>
  <c r="N533" i="79"/>
  <c r="L533" i="79"/>
  <c r="K533" i="79"/>
  <c r="J533" i="79"/>
  <c r="H533" i="79"/>
  <c r="G533" i="79"/>
  <c r="F533" i="79"/>
  <c r="D533" i="79"/>
  <c r="C533" i="79"/>
  <c r="B533" i="79"/>
  <c r="Q530" i="79"/>
  <c r="M530" i="79"/>
  <c r="I530" i="79"/>
  <c r="E530" i="79"/>
  <c r="Q529" i="79"/>
  <c r="M529" i="79"/>
  <c r="I529" i="79"/>
  <c r="E529" i="79"/>
  <c r="Q527" i="79"/>
  <c r="M527" i="79"/>
  <c r="I527" i="79"/>
  <c r="E527" i="79"/>
  <c r="Q526" i="79"/>
  <c r="M526" i="79"/>
  <c r="I526" i="79"/>
  <c r="E526" i="79"/>
  <c r="Q525" i="79"/>
  <c r="M525" i="79"/>
  <c r="I525" i="79"/>
  <c r="E525" i="79"/>
  <c r="Q524" i="79"/>
  <c r="M524" i="79"/>
  <c r="I524" i="79"/>
  <c r="E524" i="79"/>
  <c r="Q523" i="79"/>
  <c r="M523" i="79"/>
  <c r="I523" i="79"/>
  <c r="E523" i="79"/>
  <c r="Q505" i="79"/>
  <c r="M505" i="79"/>
  <c r="I505" i="79"/>
  <c r="E505" i="79"/>
  <c r="Q504" i="79"/>
  <c r="M504" i="79"/>
  <c r="I504" i="79"/>
  <c r="E504" i="79"/>
  <c r="Q503" i="79"/>
  <c r="M503" i="79"/>
  <c r="I503" i="79"/>
  <c r="E503" i="79"/>
  <c r="P501" i="79"/>
  <c r="O501" i="79"/>
  <c r="N501" i="79"/>
  <c r="L501" i="79"/>
  <c r="K501" i="79"/>
  <c r="J501" i="79"/>
  <c r="H501" i="79"/>
  <c r="G501" i="79"/>
  <c r="F501" i="79"/>
  <c r="D501" i="79"/>
  <c r="C501" i="79"/>
  <c r="B501" i="79"/>
  <c r="P500" i="79"/>
  <c r="O500" i="79"/>
  <c r="N500" i="79"/>
  <c r="L500" i="79"/>
  <c r="K500" i="79"/>
  <c r="J500" i="79"/>
  <c r="H500" i="79"/>
  <c r="G500" i="79"/>
  <c r="F500" i="79"/>
  <c r="D500" i="79"/>
  <c r="C500" i="79"/>
  <c r="B500" i="79"/>
  <c r="Q499" i="79"/>
  <c r="M499" i="79"/>
  <c r="I499" i="79"/>
  <c r="E499" i="79"/>
  <c r="Q498" i="79"/>
  <c r="M498" i="79"/>
  <c r="I498" i="79"/>
  <c r="E498" i="79"/>
  <c r="Q497" i="79"/>
  <c r="M497" i="79"/>
  <c r="I497" i="79"/>
  <c r="E497" i="79"/>
  <c r="Q496" i="79"/>
  <c r="M496" i="79"/>
  <c r="I496" i="79"/>
  <c r="E496" i="79"/>
  <c r="Q495" i="79"/>
  <c r="M495" i="79"/>
  <c r="I495" i="79"/>
  <c r="E495" i="79"/>
  <c r="Q494" i="79"/>
  <c r="M494" i="79"/>
  <c r="I494" i="79"/>
  <c r="E494" i="79"/>
  <c r="Q493" i="79"/>
  <c r="M493" i="79"/>
  <c r="I493" i="79"/>
  <c r="E493" i="79"/>
  <c r="Q492" i="79"/>
  <c r="M492" i="79"/>
  <c r="I492" i="79"/>
  <c r="E492" i="79"/>
  <c r="Q491" i="79"/>
  <c r="M491" i="79"/>
  <c r="I491" i="79"/>
  <c r="E491" i="79"/>
  <c r="Q490" i="79"/>
  <c r="M490" i="79"/>
  <c r="I490" i="79"/>
  <c r="E490" i="79"/>
  <c r="Q488" i="79"/>
  <c r="M488" i="79"/>
  <c r="I488" i="79"/>
  <c r="E488" i="79"/>
  <c r="Q487" i="79"/>
  <c r="M487" i="79"/>
  <c r="I487" i="79"/>
  <c r="E487" i="79"/>
  <c r="Q486" i="79"/>
  <c r="M486" i="79"/>
  <c r="I486" i="79"/>
  <c r="E486" i="79"/>
  <c r="Q485" i="79"/>
  <c r="M485" i="79"/>
  <c r="I485" i="79"/>
  <c r="E485" i="79"/>
  <c r="Q484" i="79"/>
  <c r="M484" i="79"/>
  <c r="I484" i="79"/>
  <c r="E484" i="79"/>
  <c r="Q483" i="79"/>
  <c r="M483" i="79"/>
  <c r="I483" i="79"/>
  <c r="E483" i="79"/>
  <c r="Q481" i="79"/>
  <c r="M481" i="79"/>
  <c r="I481" i="79"/>
  <c r="E481" i="79"/>
  <c r="Q480" i="79"/>
  <c r="M480" i="79"/>
  <c r="I480" i="79"/>
  <c r="E480" i="79"/>
  <c r="Q478" i="79"/>
  <c r="M478" i="79"/>
  <c r="I478" i="79"/>
  <c r="E478" i="79"/>
  <c r="O475" i="79"/>
  <c r="Q474" i="79"/>
  <c r="M474" i="79"/>
  <c r="I474" i="79"/>
  <c r="E474" i="79"/>
  <c r="Q473" i="79"/>
  <c r="M473" i="79"/>
  <c r="I473" i="79"/>
  <c r="E473" i="79"/>
  <c r="Q472" i="79"/>
  <c r="M472" i="79"/>
  <c r="I472" i="79"/>
  <c r="E472" i="79"/>
  <c r="Q471" i="79"/>
  <c r="M471" i="79"/>
  <c r="I471" i="79"/>
  <c r="E471" i="79"/>
  <c r="Q470" i="79"/>
  <c r="M470" i="79"/>
  <c r="I470" i="79"/>
  <c r="E470" i="79"/>
  <c r="Q469" i="79"/>
  <c r="M469" i="79"/>
  <c r="I469" i="79"/>
  <c r="E469" i="79"/>
  <c r="Q468" i="79"/>
  <c r="M468" i="79"/>
  <c r="I468" i="79"/>
  <c r="E468" i="79"/>
  <c r="Q467" i="79"/>
  <c r="M467" i="79"/>
  <c r="I467" i="79"/>
  <c r="E467" i="79"/>
  <c r="Q466" i="79"/>
  <c r="M466" i="79"/>
  <c r="I466" i="79"/>
  <c r="E466" i="79"/>
  <c r="Q465" i="79"/>
  <c r="M465" i="79"/>
  <c r="I465" i="79"/>
  <c r="E465" i="79"/>
  <c r="Q464" i="79"/>
  <c r="M464" i="79"/>
  <c r="I464" i="79"/>
  <c r="E464" i="79"/>
  <c r="Q463" i="79"/>
  <c r="M463" i="79"/>
  <c r="I463" i="79"/>
  <c r="E463" i="79"/>
  <c r="Q462" i="79"/>
  <c r="M462" i="79"/>
  <c r="I462" i="79"/>
  <c r="E462" i="79"/>
  <c r="Q461" i="79"/>
  <c r="M461" i="79"/>
  <c r="I461" i="79"/>
  <c r="E461" i="79"/>
  <c r="Q460" i="79"/>
  <c r="M460" i="79"/>
  <c r="I460" i="79"/>
  <c r="E460" i="79"/>
  <c r="Q459" i="79"/>
  <c r="M459" i="79"/>
  <c r="I459" i="79"/>
  <c r="E459" i="79"/>
  <c r="Q458" i="79"/>
  <c r="M458" i="79"/>
  <c r="I458" i="79"/>
  <c r="E458" i="79"/>
  <c r="Q457" i="79"/>
  <c r="M457" i="79"/>
  <c r="I457" i="79"/>
  <c r="E457" i="79"/>
  <c r="Q456" i="79"/>
  <c r="M456" i="79"/>
  <c r="I456" i="79"/>
  <c r="E456" i="79"/>
  <c r="Q455" i="79"/>
  <c r="M455" i="79"/>
  <c r="I455" i="79"/>
  <c r="E455" i="79"/>
  <c r="Q454" i="79"/>
  <c r="M454" i="79"/>
  <c r="I454" i="79"/>
  <c r="E454" i="79"/>
  <c r="Q453" i="79"/>
  <c r="M453" i="79"/>
  <c r="I453" i="79"/>
  <c r="E453" i="79"/>
  <c r="Q452" i="79"/>
  <c r="M452" i="79"/>
  <c r="I452" i="79"/>
  <c r="E452" i="79"/>
  <c r="Q451" i="79"/>
  <c r="M451" i="79"/>
  <c r="I451" i="79"/>
  <c r="E451" i="79"/>
  <c r="Q450" i="79"/>
  <c r="M450" i="79"/>
  <c r="I450" i="79"/>
  <c r="E450" i="79"/>
  <c r="Q449" i="79"/>
  <c r="M449" i="79"/>
  <c r="I449" i="79"/>
  <c r="E449" i="79"/>
  <c r="Q448" i="79"/>
  <c r="M448" i="79"/>
  <c r="I448" i="79"/>
  <c r="E448" i="79"/>
  <c r="Q447" i="79"/>
  <c r="M447" i="79"/>
  <c r="I447" i="79"/>
  <c r="E447" i="79"/>
  <c r="Q446" i="79"/>
  <c r="M446" i="79"/>
  <c r="I446" i="79"/>
  <c r="E446" i="79"/>
  <c r="Q445" i="79"/>
  <c r="M445" i="79"/>
  <c r="I445" i="79"/>
  <c r="E445" i="79"/>
  <c r="Q444" i="79"/>
  <c r="M444" i="79"/>
  <c r="I444" i="79"/>
  <c r="E444" i="79"/>
  <c r="Q443" i="79"/>
  <c r="M443" i="79"/>
  <c r="I443" i="79"/>
  <c r="E443" i="79"/>
  <c r="Q442" i="79"/>
  <c r="M442" i="79"/>
  <c r="I442" i="79"/>
  <c r="E442" i="79"/>
  <c r="Q441" i="79"/>
  <c r="M441" i="79"/>
  <c r="I441" i="79"/>
  <c r="E441" i="79"/>
  <c r="Q440" i="79"/>
  <c r="M440" i="79"/>
  <c r="I440" i="79"/>
  <c r="E440" i="79"/>
  <c r="Q439" i="79"/>
  <c r="M439" i="79"/>
  <c r="I439" i="79"/>
  <c r="E439" i="79"/>
  <c r="Q438" i="79"/>
  <c r="M438" i="79"/>
  <c r="I438" i="79"/>
  <c r="E438" i="79"/>
  <c r="Q437" i="79"/>
  <c r="M437" i="79"/>
  <c r="I437" i="79"/>
  <c r="E437" i="79"/>
  <c r="Q436" i="79"/>
  <c r="M436" i="79"/>
  <c r="I436" i="79"/>
  <c r="E436" i="79"/>
  <c r="Q435" i="79"/>
  <c r="M435" i="79"/>
  <c r="I435" i="79"/>
  <c r="E435" i="79"/>
  <c r="Q434" i="79"/>
  <c r="M434" i="79"/>
  <c r="I434" i="79"/>
  <c r="E434" i="79"/>
  <c r="Q433" i="79"/>
  <c r="M433" i="79"/>
  <c r="G475" i="79"/>
  <c r="I433" i="79"/>
  <c r="E433" i="79"/>
  <c r="D475" i="79"/>
  <c r="C475" i="79"/>
  <c r="B892" i="79"/>
  <c r="Q432" i="79"/>
  <c r="M432" i="79"/>
  <c r="I432" i="79"/>
  <c r="E432" i="79"/>
  <c r="Q431" i="79"/>
  <c r="M431" i="79"/>
  <c r="I431" i="79"/>
  <c r="E431" i="79"/>
  <c r="Q430" i="79"/>
  <c r="M430" i="79"/>
  <c r="L475" i="79"/>
  <c r="I430" i="79"/>
  <c r="E430" i="79"/>
  <c r="Q429" i="79"/>
  <c r="M429" i="79"/>
  <c r="I429" i="79"/>
  <c r="E429" i="79"/>
  <c r="Q428" i="79"/>
  <c r="M428" i="79"/>
  <c r="I428" i="79"/>
  <c r="E428" i="79"/>
  <c r="Q427" i="79"/>
  <c r="M427" i="79"/>
  <c r="I427" i="79"/>
  <c r="E427" i="79"/>
  <c r="Q426" i="79"/>
  <c r="M426" i="79"/>
  <c r="I426" i="79"/>
  <c r="E426" i="79"/>
  <c r="Q425" i="79"/>
  <c r="M425" i="79"/>
  <c r="I425" i="79"/>
  <c r="E425" i="79"/>
  <c r="Q424" i="79"/>
  <c r="M424" i="79"/>
  <c r="I424" i="79"/>
  <c r="E424" i="79"/>
  <c r="Q423" i="79"/>
  <c r="M423" i="79"/>
  <c r="I423" i="79"/>
  <c r="E423" i="79"/>
  <c r="Q422" i="79"/>
  <c r="M422" i="79"/>
  <c r="I422" i="79"/>
  <c r="E422" i="79"/>
  <c r="Q421" i="79"/>
  <c r="M421" i="79"/>
  <c r="I421" i="79"/>
  <c r="E421" i="79"/>
  <c r="Q420" i="79"/>
  <c r="M420" i="79"/>
  <c r="I420" i="79"/>
  <c r="E420" i="79"/>
  <c r="Q419" i="79"/>
  <c r="M419" i="79"/>
  <c r="I419" i="79"/>
  <c r="E419" i="79"/>
  <c r="Q418" i="79"/>
  <c r="M418" i="79"/>
  <c r="I418" i="79"/>
  <c r="E418" i="79"/>
  <c r="Q417" i="79"/>
  <c r="M417" i="79"/>
  <c r="I417" i="79"/>
  <c r="E417" i="79"/>
  <c r="Q416" i="79"/>
  <c r="M416" i="79"/>
  <c r="I416" i="79"/>
  <c r="E416" i="79"/>
  <c r="Q415" i="79"/>
  <c r="M415" i="79"/>
  <c r="I415" i="79"/>
  <c r="E415" i="79"/>
  <c r="Q414" i="79"/>
  <c r="M414" i="79"/>
  <c r="I414" i="79"/>
  <c r="E414" i="79"/>
  <c r="Q413" i="79"/>
  <c r="M413" i="79"/>
  <c r="I413" i="79"/>
  <c r="E413" i="79"/>
  <c r="Q411" i="79"/>
  <c r="M411" i="79"/>
  <c r="I411" i="79"/>
  <c r="E411" i="79"/>
  <c r="Q410" i="79"/>
  <c r="M410" i="79"/>
  <c r="I410" i="79"/>
  <c r="E410" i="79"/>
  <c r="O891" i="79"/>
  <c r="N891" i="79"/>
  <c r="M409" i="79"/>
  <c r="L891" i="79"/>
  <c r="K891" i="79"/>
  <c r="J475" i="79"/>
  <c r="G891" i="79"/>
  <c r="F891" i="79"/>
  <c r="E409" i="79"/>
  <c r="D891" i="79"/>
  <c r="Q408" i="79"/>
  <c r="M408" i="79"/>
  <c r="I408" i="79"/>
  <c r="E408" i="79"/>
  <c r="P405" i="79"/>
  <c r="O405" i="79"/>
  <c r="N405" i="79"/>
  <c r="L405" i="79"/>
  <c r="K405" i="79"/>
  <c r="J405" i="79"/>
  <c r="H405" i="79"/>
  <c r="G405" i="79"/>
  <c r="D405" i="79"/>
  <c r="B405" i="79"/>
  <c r="Q403" i="79"/>
  <c r="M403" i="79"/>
  <c r="I403" i="79"/>
  <c r="E403" i="79"/>
  <c r="Q402" i="79"/>
  <c r="M402" i="79"/>
  <c r="I402" i="79"/>
  <c r="E402" i="79"/>
  <c r="Q401" i="79"/>
  <c r="M401" i="79"/>
  <c r="I401" i="79"/>
  <c r="E401" i="79"/>
  <c r="Q400" i="79"/>
  <c r="M400" i="79"/>
  <c r="I400" i="79"/>
  <c r="E400" i="79"/>
  <c r="AK399" i="79"/>
  <c r="AJ399" i="79"/>
  <c r="AI399" i="79"/>
  <c r="AG399" i="79"/>
  <c r="AF399" i="79"/>
  <c r="AE399" i="79"/>
  <c r="Y399" i="79"/>
  <c r="X399" i="79"/>
  <c r="W399" i="79"/>
  <c r="Q399" i="79"/>
  <c r="M399" i="79"/>
  <c r="I399" i="79"/>
  <c r="E399" i="79"/>
  <c r="AK398" i="79"/>
  <c r="AJ398" i="79"/>
  <c r="AI398" i="79"/>
  <c r="AG398" i="79"/>
  <c r="AF398" i="79"/>
  <c r="AE398" i="79"/>
  <c r="Y398" i="79"/>
  <c r="X398" i="79"/>
  <c r="W398" i="79"/>
  <c r="Q398" i="79"/>
  <c r="M398" i="79"/>
  <c r="F887" i="79"/>
  <c r="E398" i="79"/>
  <c r="C887" i="79"/>
  <c r="B887" i="79"/>
  <c r="AK397" i="79"/>
  <c r="AJ397" i="79"/>
  <c r="AI397" i="79"/>
  <c r="AG397" i="79"/>
  <c r="AF397" i="79"/>
  <c r="AE397" i="79"/>
  <c r="Y397" i="79"/>
  <c r="X397" i="79"/>
  <c r="W397" i="79"/>
  <c r="Q397" i="79"/>
  <c r="M397" i="79"/>
  <c r="I397" i="79"/>
  <c r="E397" i="79"/>
  <c r="AL396" i="79"/>
  <c r="AL399" i="79" s="1"/>
  <c r="AH396" i="79"/>
  <c r="AC396" i="79"/>
  <c r="AC399" i="79" s="1"/>
  <c r="AB396" i="79"/>
  <c r="AB399" i="79" s="1"/>
  <c r="AA396" i="79"/>
  <c r="AA398" i="79" s="1"/>
  <c r="Z396" i="79"/>
  <c r="Q396" i="79"/>
  <c r="M396" i="79"/>
  <c r="I396" i="79"/>
  <c r="E396" i="79"/>
  <c r="Q395" i="79"/>
  <c r="M395" i="79"/>
  <c r="I395" i="79"/>
  <c r="E395" i="79"/>
  <c r="W394" i="79"/>
  <c r="J391" i="79"/>
  <c r="G391" i="79"/>
  <c r="B391" i="79"/>
  <c r="Q389" i="79"/>
  <c r="M389" i="79"/>
  <c r="I389" i="79"/>
  <c r="E389" i="79"/>
  <c r="Q388" i="79"/>
  <c r="M388" i="79"/>
  <c r="I388" i="79"/>
  <c r="E388" i="79"/>
  <c r="Q387" i="79"/>
  <c r="M387" i="79"/>
  <c r="I387" i="79"/>
  <c r="E387" i="79"/>
  <c r="Q386" i="79"/>
  <c r="M386" i="79"/>
  <c r="I386" i="79"/>
  <c r="E386" i="79"/>
  <c r="Q384" i="79"/>
  <c r="M384" i="79"/>
  <c r="I384" i="79"/>
  <c r="E384" i="79"/>
  <c r="Q383" i="79"/>
  <c r="M383" i="79"/>
  <c r="I383" i="79"/>
  <c r="E383" i="79"/>
  <c r="Q382" i="79"/>
  <c r="M382" i="79"/>
  <c r="I382" i="79"/>
  <c r="E382" i="79"/>
  <c r="Q381" i="79"/>
  <c r="M381" i="79"/>
  <c r="I381" i="79"/>
  <c r="E381" i="79"/>
  <c r="Q380" i="79"/>
  <c r="M380" i="79"/>
  <c r="I380" i="79"/>
  <c r="E380" i="79"/>
  <c r="Q379" i="79"/>
  <c r="M379" i="79"/>
  <c r="I379" i="79"/>
  <c r="E379" i="79"/>
  <c r="Q378" i="79"/>
  <c r="M378" i="79"/>
  <c r="I378" i="79"/>
  <c r="E378" i="79"/>
  <c r="Q377" i="79"/>
  <c r="M377" i="79"/>
  <c r="I377" i="79"/>
  <c r="E377" i="79"/>
  <c r="Q376" i="79"/>
  <c r="M376" i="79"/>
  <c r="I376" i="79"/>
  <c r="E376" i="79"/>
  <c r="Q375" i="79"/>
  <c r="M375" i="79"/>
  <c r="I375" i="79"/>
  <c r="E375" i="79"/>
  <c r="Q374" i="79"/>
  <c r="M374" i="79"/>
  <c r="I374" i="79"/>
  <c r="E374" i="79"/>
  <c r="Q372" i="79"/>
  <c r="M372" i="79"/>
  <c r="I372" i="79"/>
  <c r="E372" i="79"/>
  <c r="Q371" i="79"/>
  <c r="M371" i="79"/>
  <c r="I371" i="79"/>
  <c r="E371" i="79"/>
  <c r="Q370" i="79"/>
  <c r="M370" i="79"/>
  <c r="I370" i="79"/>
  <c r="E370" i="79"/>
  <c r="Q369" i="79"/>
  <c r="M369" i="79"/>
  <c r="I369" i="79"/>
  <c r="E369" i="79"/>
  <c r="Q368" i="79"/>
  <c r="M368" i="79"/>
  <c r="I368" i="79"/>
  <c r="E368" i="79"/>
  <c r="Q367" i="79"/>
  <c r="M367" i="79"/>
  <c r="I367" i="79"/>
  <c r="E367" i="79"/>
  <c r="Q366" i="79"/>
  <c r="M366" i="79"/>
  <c r="I366" i="79"/>
  <c r="E366" i="79"/>
  <c r="Q365" i="79"/>
  <c r="M365" i="79"/>
  <c r="I365" i="79"/>
  <c r="E365" i="79"/>
  <c r="Q364" i="79"/>
  <c r="M364" i="79"/>
  <c r="I364" i="79"/>
  <c r="E364" i="79"/>
  <c r="Q363" i="79"/>
  <c r="M363" i="79"/>
  <c r="I363" i="79"/>
  <c r="E363" i="79"/>
  <c r="Q362" i="79"/>
  <c r="M362" i="79"/>
  <c r="E362" i="79"/>
  <c r="Q361" i="79"/>
  <c r="M361" i="79"/>
  <c r="I361" i="79"/>
  <c r="E361" i="79"/>
  <c r="Q360" i="79"/>
  <c r="M360" i="79"/>
  <c r="I360" i="79"/>
  <c r="E360" i="79"/>
  <c r="Q359" i="79"/>
  <c r="M359" i="79"/>
  <c r="I359" i="79"/>
  <c r="E359" i="79"/>
  <c r="Q358" i="79"/>
  <c r="M358" i="79"/>
  <c r="I358" i="79"/>
  <c r="E358" i="79"/>
  <c r="Q357" i="79"/>
  <c r="M357" i="79"/>
  <c r="I357" i="79"/>
  <c r="E357" i="79"/>
  <c r="Q356" i="79"/>
  <c r="M356" i="79"/>
  <c r="I356" i="79"/>
  <c r="E356" i="79"/>
  <c r="Q355" i="79"/>
  <c r="M355" i="79"/>
  <c r="I355" i="79"/>
  <c r="E355" i="79"/>
  <c r="Q354" i="79"/>
  <c r="M354" i="79"/>
  <c r="I354" i="79"/>
  <c r="E354" i="79"/>
  <c r="Q352" i="79"/>
  <c r="M352" i="79"/>
  <c r="I352" i="79"/>
  <c r="E352" i="79"/>
  <c r="Q351" i="79"/>
  <c r="M351" i="79"/>
  <c r="I351" i="79"/>
  <c r="E351" i="79"/>
  <c r="Q350" i="79"/>
  <c r="M350" i="79"/>
  <c r="I350" i="79"/>
  <c r="E350" i="79"/>
  <c r="Q349" i="79"/>
  <c r="M349" i="79"/>
  <c r="I349" i="79"/>
  <c r="E349" i="79"/>
  <c r="Q348" i="79"/>
  <c r="M348" i="79"/>
  <c r="I348" i="79"/>
  <c r="E348" i="79"/>
  <c r="Q347" i="79"/>
  <c r="M347" i="79"/>
  <c r="I347" i="79"/>
  <c r="E347" i="79"/>
  <c r="Q346" i="79"/>
  <c r="M346" i="79"/>
  <c r="F391" i="79"/>
  <c r="E346" i="79"/>
  <c r="D391" i="79"/>
  <c r="C391" i="79"/>
  <c r="Q345" i="79"/>
  <c r="M345" i="79"/>
  <c r="I345" i="79"/>
  <c r="E345" i="79"/>
  <c r="Q344" i="79"/>
  <c r="M344" i="79"/>
  <c r="I344" i="79"/>
  <c r="E344" i="79"/>
  <c r="Q343" i="79"/>
  <c r="M343" i="79"/>
  <c r="E343" i="79"/>
  <c r="Q342" i="79"/>
  <c r="M342" i="79"/>
  <c r="I342" i="79"/>
  <c r="E342" i="79"/>
  <c r="Q341" i="79"/>
  <c r="M341" i="79"/>
  <c r="I341" i="79"/>
  <c r="E341" i="79"/>
  <c r="Q340" i="79"/>
  <c r="M340" i="79"/>
  <c r="I340" i="79"/>
  <c r="E340" i="79"/>
  <c r="Q339" i="79"/>
  <c r="M339" i="79"/>
  <c r="I339" i="79"/>
  <c r="E339" i="79"/>
  <c r="P391" i="79"/>
  <c r="O391" i="79"/>
  <c r="L391" i="79"/>
  <c r="M338" i="79"/>
  <c r="I338" i="79"/>
  <c r="E338" i="79"/>
  <c r="P330" i="79"/>
  <c r="O330" i="79"/>
  <c r="N330" i="79"/>
  <c r="L330" i="79"/>
  <c r="K330" i="79"/>
  <c r="J330" i="79"/>
  <c r="H330" i="79"/>
  <c r="G330" i="79"/>
  <c r="F330" i="79"/>
  <c r="D330" i="79"/>
  <c r="C330" i="79"/>
  <c r="B330" i="79"/>
  <c r="Q328" i="79"/>
  <c r="M328" i="79"/>
  <c r="I328" i="79"/>
  <c r="E328" i="79"/>
  <c r="Q317" i="79"/>
  <c r="M317" i="79"/>
  <c r="I317" i="79"/>
  <c r="E317" i="79"/>
  <c r="Q316" i="79"/>
  <c r="M316" i="79"/>
  <c r="I316" i="79"/>
  <c r="E316" i="79"/>
  <c r="Q315" i="79"/>
  <c r="M315" i="79"/>
  <c r="I315" i="79"/>
  <c r="E315" i="79"/>
  <c r="Q314" i="79"/>
  <c r="M314" i="79"/>
  <c r="I314" i="79"/>
  <c r="E314" i="79"/>
  <c r="Q313" i="79"/>
  <c r="M313" i="79"/>
  <c r="I313" i="79"/>
  <c r="E313" i="79"/>
  <c r="Q312" i="79"/>
  <c r="M312" i="79"/>
  <c r="I312" i="79"/>
  <c r="E312" i="79"/>
  <c r="P310" i="79"/>
  <c r="O310" i="79"/>
  <c r="N310" i="79"/>
  <c r="L310" i="79"/>
  <c r="K310" i="79"/>
  <c r="J310" i="79"/>
  <c r="H310" i="79"/>
  <c r="G310" i="79"/>
  <c r="F310" i="79"/>
  <c r="D310" i="79"/>
  <c r="C310" i="79"/>
  <c r="B310" i="79"/>
  <c r="P309" i="79"/>
  <c r="O309" i="79"/>
  <c r="N309" i="79"/>
  <c r="L309" i="79"/>
  <c r="K309" i="79"/>
  <c r="J309" i="79"/>
  <c r="H309" i="79"/>
  <c r="G309" i="79"/>
  <c r="F309" i="79"/>
  <c r="D309" i="79"/>
  <c r="C309" i="79"/>
  <c r="B309" i="79"/>
  <c r="Q308" i="79"/>
  <c r="M308" i="79"/>
  <c r="I308" i="79"/>
  <c r="E308" i="79"/>
  <c r="Q306" i="79"/>
  <c r="M306" i="79"/>
  <c r="I306" i="79"/>
  <c r="E306" i="79"/>
  <c r="Q304" i="79"/>
  <c r="M304" i="79"/>
  <c r="I304" i="79"/>
  <c r="E304" i="79"/>
  <c r="Q303" i="79"/>
  <c r="M303" i="79"/>
  <c r="I303" i="79"/>
  <c r="E303" i="79"/>
  <c r="Q302" i="79"/>
  <c r="M302" i="79"/>
  <c r="I302" i="79"/>
  <c r="E302" i="79"/>
  <c r="Q301" i="79"/>
  <c r="M301" i="79"/>
  <c r="I301" i="79"/>
  <c r="E301" i="79"/>
  <c r="Q300" i="79"/>
  <c r="M300" i="79"/>
  <c r="I300" i="79"/>
  <c r="E300" i="79"/>
  <c r="Q299" i="79"/>
  <c r="M299" i="79"/>
  <c r="I299" i="79"/>
  <c r="E299" i="79"/>
  <c r="Q298" i="79"/>
  <c r="M298" i="79"/>
  <c r="I298" i="79"/>
  <c r="E298" i="79"/>
  <c r="Q297" i="79"/>
  <c r="M297" i="79"/>
  <c r="I297" i="79"/>
  <c r="E297" i="79"/>
  <c r="Q295" i="79"/>
  <c r="M295" i="79"/>
  <c r="I295" i="79"/>
  <c r="E295" i="79"/>
  <c r="Q294" i="79"/>
  <c r="M294" i="79"/>
  <c r="I294" i="79"/>
  <c r="E294" i="79"/>
  <c r="Q293" i="79"/>
  <c r="M293" i="79"/>
  <c r="I293" i="79"/>
  <c r="E293" i="79"/>
  <c r="P290" i="79"/>
  <c r="O290" i="79"/>
  <c r="N290" i="79"/>
  <c r="K290" i="79"/>
  <c r="J290" i="79"/>
  <c r="H290" i="79"/>
  <c r="F290" i="79"/>
  <c r="Q289" i="79"/>
  <c r="M289" i="79"/>
  <c r="I289" i="79"/>
  <c r="E289" i="79"/>
  <c r="Q288" i="79"/>
  <c r="M288" i="79"/>
  <c r="I288" i="79"/>
  <c r="E288" i="79"/>
  <c r="Q287" i="79"/>
  <c r="M287" i="79"/>
  <c r="I287" i="79"/>
  <c r="E287" i="79"/>
  <c r="Q286" i="79"/>
  <c r="M286" i="79"/>
  <c r="I286" i="79"/>
  <c r="E286" i="79"/>
  <c r="Q285" i="79"/>
  <c r="M285" i="79"/>
  <c r="I285" i="79"/>
  <c r="E285" i="79"/>
  <c r="Q284" i="79"/>
  <c r="M284" i="79"/>
  <c r="I284" i="79"/>
  <c r="E284" i="79"/>
  <c r="C892" i="79"/>
  <c r="Q283" i="79"/>
  <c r="M283" i="79"/>
  <c r="I283" i="79"/>
  <c r="E283" i="79"/>
  <c r="Q282" i="79"/>
  <c r="M282" i="79"/>
  <c r="I282" i="79"/>
  <c r="E282" i="79"/>
  <c r="Q281" i="79"/>
  <c r="M281" i="79"/>
  <c r="I281" i="79"/>
  <c r="E281" i="79"/>
  <c r="Q280" i="79"/>
  <c r="M280" i="79"/>
  <c r="I280" i="79"/>
  <c r="E280" i="79"/>
  <c r="Q279" i="79"/>
  <c r="M279" i="79"/>
  <c r="I279" i="79"/>
  <c r="E279" i="79"/>
  <c r="Q278" i="79"/>
  <c r="M278" i="79"/>
  <c r="I278" i="79"/>
  <c r="E278" i="79"/>
  <c r="Q277" i="79"/>
  <c r="M277" i="79"/>
  <c r="I277" i="79"/>
  <c r="E277" i="79"/>
  <c r="Q276" i="79"/>
  <c r="M276" i="79"/>
  <c r="I276" i="79"/>
  <c r="E276" i="79"/>
  <c r="Q275" i="79"/>
  <c r="M275" i="79"/>
  <c r="I275" i="79"/>
  <c r="E275" i="79"/>
  <c r="Q274" i="79"/>
  <c r="M274" i="79"/>
  <c r="I274" i="79"/>
  <c r="E274" i="79"/>
  <c r="Q273" i="79"/>
  <c r="M273" i="79"/>
  <c r="I273" i="79"/>
  <c r="E273" i="79"/>
  <c r="Q272" i="79"/>
  <c r="M272" i="79"/>
  <c r="I272" i="79"/>
  <c r="E272" i="79"/>
  <c r="Q271" i="79"/>
  <c r="M271" i="79"/>
  <c r="I271" i="79"/>
  <c r="E271" i="79"/>
  <c r="Q270" i="79"/>
  <c r="M270" i="79"/>
  <c r="E270" i="79"/>
  <c r="Q269" i="79"/>
  <c r="M269" i="79"/>
  <c r="I269" i="79"/>
  <c r="E269" i="79"/>
  <c r="Q268" i="79"/>
  <c r="M268" i="79"/>
  <c r="I268" i="79"/>
  <c r="E268" i="79"/>
  <c r="Q267" i="79"/>
  <c r="M267" i="79"/>
  <c r="I267" i="79"/>
  <c r="E267" i="79"/>
  <c r="Q266" i="79"/>
  <c r="M266" i="79"/>
  <c r="I266" i="79"/>
  <c r="E266" i="79"/>
  <c r="Q265" i="79"/>
  <c r="M265" i="79"/>
  <c r="I265" i="79"/>
  <c r="E265" i="79"/>
  <c r="Q264" i="79"/>
  <c r="M264" i="79"/>
  <c r="I264" i="79"/>
  <c r="E264" i="79"/>
  <c r="Q263" i="79"/>
  <c r="M263" i="79"/>
  <c r="I263" i="79"/>
  <c r="E263" i="79"/>
  <c r="Q262" i="79"/>
  <c r="N892" i="79"/>
  <c r="M262" i="79"/>
  <c r="I262" i="79"/>
  <c r="E262" i="79"/>
  <c r="Q261" i="79"/>
  <c r="M261" i="79"/>
  <c r="I261" i="79"/>
  <c r="E261" i="79"/>
  <c r="Q260" i="79"/>
  <c r="M260" i="79"/>
  <c r="I260" i="79"/>
  <c r="E260" i="79"/>
  <c r="Q259" i="79"/>
  <c r="M259" i="79"/>
  <c r="I259" i="79"/>
  <c r="E259" i="79"/>
  <c r="Q258" i="79"/>
  <c r="M258" i="79"/>
  <c r="I258" i="79"/>
  <c r="E258" i="79"/>
  <c r="Q257" i="79"/>
  <c r="M257" i="79"/>
  <c r="I257" i="79"/>
  <c r="E257" i="79"/>
  <c r="Q256" i="79"/>
  <c r="M256" i="79"/>
  <c r="I256" i="79"/>
  <c r="E256" i="79"/>
  <c r="Q255" i="79"/>
  <c r="M255" i="79"/>
  <c r="F892" i="79"/>
  <c r="E255" i="79"/>
  <c r="Q254" i="79"/>
  <c r="M254" i="79"/>
  <c r="I254" i="79"/>
  <c r="E254" i="79"/>
  <c r="Q253" i="79"/>
  <c r="M253" i="79"/>
  <c r="I253" i="79"/>
  <c r="E253" i="79"/>
  <c r="Q252" i="79"/>
  <c r="M252" i="79"/>
  <c r="I252" i="79"/>
  <c r="E252" i="79"/>
  <c r="Q251" i="79"/>
  <c r="M251" i="79"/>
  <c r="I251" i="79"/>
  <c r="E251" i="79"/>
  <c r="Q250" i="79"/>
  <c r="M250" i="79"/>
  <c r="I250" i="79"/>
  <c r="E250" i="79"/>
  <c r="Q249" i="79"/>
  <c r="M249" i="79"/>
  <c r="I249" i="79"/>
  <c r="E249" i="79"/>
  <c r="Q248" i="79"/>
  <c r="M248" i="79"/>
  <c r="I248" i="79"/>
  <c r="E248" i="79"/>
  <c r="Q247" i="79"/>
  <c r="M247" i="79"/>
  <c r="I247" i="79"/>
  <c r="E247" i="79"/>
  <c r="Q246" i="79"/>
  <c r="M246" i="79"/>
  <c r="I246" i="79"/>
  <c r="E246" i="79"/>
  <c r="Q245" i="79"/>
  <c r="M245" i="79"/>
  <c r="I245" i="79"/>
  <c r="E245" i="79"/>
  <c r="Q244" i="79"/>
  <c r="M244" i="79"/>
  <c r="I244" i="79"/>
  <c r="E244" i="79"/>
  <c r="Q243" i="79"/>
  <c r="M243" i="79"/>
  <c r="I243" i="79"/>
  <c r="E243" i="79"/>
  <c r="Q242" i="79"/>
  <c r="M242" i="79"/>
  <c r="I242" i="79"/>
  <c r="E242" i="79"/>
  <c r="M241" i="79"/>
  <c r="I241" i="79"/>
  <c r="E241" i="79"/>
  <c r="Q240" i="79"/>
  <c r="M240" i="79"/>
  <c r="I240" i="79"/>
  <c r="E240" i="79"/>
  <c r="Q239" i="79"/>
  <c r="M239" i="79"/>
  <c r="I239" i="79"/>
  <c r="E239" i="79"/>
  <c r="Q238" i="79"/>
  <c r="M238" i="79"/>
  <c r="I238" i="79"/>
  <c r="E238" i="79"/>
  <c r="Q237" i="79"/>
  <c r="M237" i="79"/>
  <c r="I237" i="79"/>
  <c r="E237" i="79"/>
  <c r="Q236" i="79"/>
  <c r="M236" i="79"/>
  <c r="I236" i="79"/>
  <c r="E236" i="79"/>
  <c r="Q235" i="79"/>
  <c r="M235" i="79"/>
  <c r="I235" i="79"/>
  <c r="E235" i="79"/>
  <c r="Q234" i="79"/>
  <c r="M234" i="79"/>
  <c r="I234" i="79"/>
  <c r="E234" i="79"/>
  <c r="Q233" i="79"/>
  <c r="M233" i="79"/>
  <c r="I233" i="79"/>
  <c r="E233" i="79"/>
  <c r="Q232" i="79"/>
  <c r="M232" i="79"/>
  <c r="I232" i="79"/>
  <c r="E232" i="79"/>
  <c r="Q231" i="79"/>
  <c r="M231" i="79"/>
  <c r="I231" i="79"/>
  <c r="E231" i="79"/>
  <c r="Q230" i="79"/>
  <c r="M230" i="79"/>
  <c r="I230" i="79"/>
  <c r="E230" i="79"/>
  <c r="Q229" i="79"/>
  <c r="M229" i="79"/>
  <c r="I229" i="79"/>
  <c r="E229" i="79"/>
  <c r="Q228" i="79"/>
  <c r="M228" i="79"/>
  <c r="I228" i="79"/>
  <c r="E228" i="79"/>
  <c r="Q227" i="79"/>
  <c r="M227" i="79"/>
  <c r="I227" i="79"/>
  <c r="E227" i="79"/>
  <c r="Q226" i="79"/>
  <c r="M226" i="79"/>
  <c r="I226" i="79"/>
  <c r="E226" i="79"/>
  <c r="Q225" i="79"/>
  <c r="M225" i="79"/>
  <c r="I225" i="79"/>
  <c r="E225" i="79"/>
  <c r="P221" i="79"/>
  <c r="O221" i="79"/>
  <c r="N221" i="79"/>
  <c r="L221" i="79"/>
  <c r="K221" i="79"/>
  <c r="J221" i="79"/>
  <c r="I221" i="79"/>
  <c r="D221" i="79"/>
  <c r="C221" i="79"/>
  <c r="B221" i="79"/>
  <c r="Q219" i="79"/>
  <c r="M219" i="79"/>
  <c r="I219" i="79"/>
  <c r="E219" i="79"/>
  <c r="Q218" i="79"/>
  <c r="M218" i="79"/>
  <c r="I218" i="79"/>
  <c r="E218" i="79"/>
  <c r="Q212" i="79"/>
  <c r="M212" i="79"/>
  <c r="I212" i="79"/>
  <c r="E212" i="79"/>
  <c r="Q211" i="79"/>
  <c r="M211" i="79"/>
  <c r="I211" i="79"/>
  <c r="E211" i="79"/>
  <c r="Q210" i="79"/>
  <c r="M210" i="79"/>
  <c r="I210" i="79"/>
  <c r="E210" i="79"/>
  <c r="Q208" i="79"/>
  <c r="M208" i="79"/>
  <c r="I208" i="79"/>
  <c r="E208" i="79"/>
  <c r="Q207" i="79"/>
  <c r="M207" i="79"/>
  <c r="I207" i="79"/>
  <c r="E207" i="79"/>
  <c r="Q206" i="79"/>
  <c r="M206" i="79"/>
  <c r="I206" i="79"/>
  <c r="E206" i="79"/>
  <c r="Q205" i="79"/>
  <c r="M205" i="79"/>
  <c r="I205" i="79"/>
  <c r="E205" i="79"/>
  <c r="Q204" i="79"/>
  <c r="M204" i="79"/>
  <c r="I204" i="79"/>
  <c r="E204" i="79"/>
  <c r="Q203" i="79"/>
  <c r="M203" i="79"/>
  <c r="I203" i="79"/>
  <c r="E203" i="79"/>
  <c r="Q202" i="79"/>
  <c r="M202" i="79"/>
  <c r="I202" i="79"/>
  <c r="E202" i="79"/>
  <c r="Q201" i="79"/>
  <c r="M201" i="79"/>
  <c r="I201" i="79"/>
  <c r="E201" i="79"/>
  <c r="Q200" i="79"/>
  <c r="M200" i="79"/>
  <c r="I200" i="79"/>
  <c r="E200" i="79"/>
  <c r="Q199" i="79"/>
  <c r="M199" i="79"/>
  <c r="I199" i="79"/>
  <c r="E199" i="79"/>
  <c r="Q197" i="79"/>
  <c r="M197" i="79"/>
  <c r="I197" i="79"/>
  <c r="E197" i="79"/>
  <c r="Q196" i="79"/>
  <c r="M196" i="79"/>
  <c r="I196" i="79"/>
  <c r="E196" i="79"/>
  <c r="Q195" i="79"/>
  <c r="M195" i="79"/>
  <c r="I195" i="79"/>
  <c r="E195" i="79"/>
  <c r="Q194" i="79"/>
  <c r="M194" i="79"/>
  <c r="I194" i="79"/>
  <c r="E194" i="79"/>
  <c r="Q193" i="79"/>
  <c r="M193" i="79"/>
  <c r="I193" i="79"/>
  <c r="E193" i="79"/>
  <c r="Q192" i="79"/>
  <c r="M192" i="79"/>
  <c r="I192" i="79"/>
  <c r="E192" i="79"/>
  <c r="Q191" i="79"/>
  <c r="M191" i="79"/>
  <c r="I191" i="79"/>
  <c r="E191" i="79"/>
  <c r="M190" i="79"/>
  <c r="I190" i="79"/>
  <c r="E190" i="79"/>
  <c r="Q189" i="79"/>
  <c r="M189" i="79"/>
  <c r="I189" i="79"/>
  <c r="E189" i="79"/>
  <c r="Q188" i="79"/>
  <c r="M188" i="79"/>
  <c r="I188" i="79"/>
  <c r="E188" i="79"/>
  <c r="Q187" i="79"/>
  <c r="M187" i="79"/>
  <c r="I187" i="79"/>
  <c r="E187" i="79"/>
  <c r="P214" i="79"/>
  <c r="M186" i="79"/>
  <c r="I186" i="79"/>
  <c r="B214" i="79"/>
  <c r="Q185" i="79"/>
  <c r="M185" i="79"/>
  <c r="I185" i="79"/>
  <c r="E185" i="79"/>
  <c r="Q184" i="79"/>
  <c r="M184" i="79"/>
  <c r="I184" i="79"/>
  <c r="E184" i="79"/>
  <c r="Q183" i="79"/>
  <c r="M183" i="79"/>
  <c r="I183" i="79"/>
  <c r="E183" i="79"/>
  <c r="Q182" i="79"/>
  <c r="M182" i="79"/>
  <c r="I182" i="79"/>
  <c r="E182" i="79"/>
  <c r="Q181" i="79"/>
  <c r="M181" i="79"/>
  <c r="I181" i="79"/>
  <c r="E181" i="79"/>
  <c r="Q180" i="79"/>
  <c r="M180" i="79"/>
  <c r="I180" i="79"/>
  <c r="E180" i="79"/>
  <c r="Q179" i="79"/>
  <c r="M179" i="79"/>
  <c r="I179" i="79"/>
  <c r="E179" i="79"/>
  <c r="Q178" i="79"/>
  <c r="M178" i="79"/>
  <c r="I178" i="79"/>
  <c r="E178" i="79"/>
  <c r="Q177" i="79"/>
  <c r="M177" i="79"/>
  <c r="I177" i="79"/>
  <c r="E177" i="79"/>
  <c r="Q176" i="79"/>
  <c r="M176" i="79"/>
  <c r="I176" i="79"/>
  <c r="E176" i="79"/>
  <c r="Q175" i="79"/>
  <c r="M175" i="79"/>
  <c r="I175" i="79"/>
  <c r="E175" i="79"/>
  <c r="Q174" i="79"/>
  <c r="M174" i="79"/>
  <c r="I174" i="79"/>
  <c r="E174" i="79"/>
  <c r="Q173" i="79"/>
  <c r="M173" i="79"/>
  <c r="I173" i="79"/>
  <c r="E173" i="79"/>
  <c r="Q172" i="79"/>
  <c r="M172" i="79"/>
  <c r="I172" i="79"/>
  <c r="E172" i="79"/>
  <c r="Q171" i="79"/>
  <c r="M171" i="79"/>
  <c r="I171" i="79"/>
  <c r="E171" i="79"/>
  <c r="Q170" i="79"/>
  <c r="M170" i="79"/>
  <c r="I170" i="79"/>
  <c r="E170" i="79"/>
  <c r="Q169" i="79"/>
  <c r="M169" i="79"/>
  <c r="I169" i="79"/>
  <c r="E169" i="79"/>
  <c r="Q168" i="79"/>
  <c r="M168" i="79"/>
  <c r="I168" i="79"/>
  <c r="E168" i="79"/>
  <c r="Q167" i="79"/>
  <c r="M167" i="79"/>
  <c r="I167" i="79"/>
  <c r="E167" i="79"/>
  <c r="Q166" i="79"/>
  <c r="M166" i="79"/>
  <c r="I166" i="79"/>
  <c r="E166" i="79"/>
  <c r="Q165" i="79"/>
  <c r="M165" i="79"/>
  <c r="I165" i="79"/>
  <c r="E165" i="79"/>
  <c r="Q164" i="79"/>
  <c r="M164" i="79"/>
  <c r="I164" i="79"/>
  <c r="E164" i="79"/>
  <c r="Q163" i="79"/>
  <c r="M163" i="79"/>
  <c r="I163" i="79"/>
  <c r="E163" i="79"/>
  <c r="Q162" i="79"/>
  <c r="M162" i="79"/>
  <c r="I162" i="79"/>
  <c r="E162" i="79"/>
  <c r="Q161" i="79"/>
  <c r="M161" i="79"/>
  <c r="I161" i="79"/>
  <c r="E161" i="79"/>
  <c r="Q160" i="79"/>
  <c r="M160" i="79"/>
  <c r="I160" i="79"/>
  <c r="E160" i="79"/>
  <c r="Q159" i="79"/>
  <c r="M159" i="79"/>
  <c r="I159" i="79"/>
  <c r="E159" i="79"/>
  <c r="Q158" i="79"/>
  <c r="M158" i="79"/>
  <c r="I158" i="79"/>
  <c r="E158" i="79"/>
  <c r="Q157" i="79"/>
  <c r="M157" i="79"/>
  <c r="I157" i="79"/>
  <c r="E157" i="79"/>
  <c r="Q156" i="79"/>
  <c r="M156" i="79"/>
  <c r="I156" i="79"/>
  <c r="E156" i="79"/>
  <c r="Q155" i="79"/>
  <c r="M155" i="79"/>
  <c r="I155" i="79"/>
  <c r="E155" i="79"/>
  <c r="Q154" i="79"/>
  <c r="M154" i="79"/>
  <c r="I154" i="79"/>
  <c r="E154" i="79"/>
  <c r="Q153" i="79"/>
  <c r="M153" i="79"/>
  <c r="I153" i="79"/>
  <c r="E153" i="79"/>
  <c r="Q152" i="79"/>
  <c r="M152" i="79"/>
  <c r="I152" i="79"/>
  <c r="E152" i="79"/>
  <c r="Q151" i="79"/>
  <c r="M151" i="79"/>
  <c r="I151" i="79"/>
  <c r="E151" i="79"/>
  <c r="Q150" i="79"/>
  <c r="M150" i="79"/>
  <c r="I150" i="79"/>
  <c r="E150" i="79"/>
  <c r="Q149" i="79"/>
  <c r="M149" i="79"/>
  <c r="I149" i="79"/>
  <c r="E149" i="79"/>
  <c r="Q148" i="79"/>
  <c r="M148" i="79"/>
  <c r="I148" i="79"/>
  <c r="E148" i="79"/>
  <c r="Q147" i="79"/>
  <c r="M147" i="79"/>
  <c r="I147" i="79"/>
  <c r="E147" i="79"/>
  <c r="Q146" i="79"/>
  <c r="M146" i="79"/>
  <c r="I146" i="79"/>
  <c r="E146" i="79"/>
  <c r="Q145" i="79"/>
  <c r="M145" i="79"/>
  <c r="I145" i="79"/>
  <c r="E145" i="79"/>
  <c r="Q144" i="79"/>
  <c r="M144" i="79"/>
  <c r="I144" i="79"/>
  <c r="E144" i="79"/>
  <c r="M143" i="79"/>
  <c r="H878" i="79"/>
  <c r="F214" i="79"/>
  <c r="E143" i="79"/>
  <c r="Q142" i="79"/>
  <c r="M142" i="79"/>
  <c r="I142" i="79"/>
  <c r="E142" i="79"/>
  <c r="Q130" i="79"/>
  <c r="M130" i="79"/>
  <c r="I130" i="79"/>
  <c r="E130" i="79"/>
  <c r="P128" i="79"/>
  <c r="O128" i="79"/>
  <c r="N128" i="79"/>
  <c r="L128" i="79"/>
  <c r="K128" i="79"/>
  <c r="J128" i="79"/>
  <c r="H128" i="79"/>
  <c r="G128" i="79"/>
  <c r="F128" i="79"/>
  <c r="D128" i="79"/>
  <c r="C128" i="79"/>
  <c r="B128" i="79"/>
  <c r="P127" i="79"/>
  <c r="O127" i="79"/>
  <c r="N127" i="79"/>
  <c r="L127" i="79"/>
  <c r="K127" i="79"/>
  <c r="J127" i="79"/>
  <c r="H127" i="79"/>
  <c r="G127" i="79"/>
  <c r="F127" i="79"/>
  <c r="D127" i="79"/>
  <c r="C127" i="79"/>
  <c r="B127" i="79"/>
  <c r="Q126" i="79"/>
  <c r="M126" i="79"/>
  <c r="I126" i="79"/>
  <c r="E126" i="79"/>
  <c r="Q125" i="79"/>
  <c r="M125" i="79"/>
  <c r="I125" i="79"/>
  <c r="E125" i="79"/>
  <c r="Q123" i="79"/>
  <c r="M123" i="79"/>
  <c r="I123" i="79"/>
  <c r="E123" i="79"/>
  <c r="Q121" i="79"/>
  <c r="M121" i="79"/>
  <c r="I121" i="79"/>
  <c r="E121" i="79"/>
  <c r="Q120" i="79"/>
  <c r="M120" i="79"/>
  <c r="I120" i="79"/>
  <c r="E120" i="79"/>
  <c r="Q118" i="79"/>
  <c r="M118" i="79"/>
  <c r="I118" i="79"/>
  <c r="E118" i="79"/>
  <c r="Q117" i="79"/>
  <c r="M117" i="79"/>
  <c r="I117" i="79"/>
  <c r="E117" i="79"/>
  <c r="Q116" i="79"/>
  <c r="M116" i="79"/>
  <c r="I116" i="79"/>
  <c r="E116" i="79"/>
  <c r="Q115" i="79"/>
  <c r="M115" i="79"/>
  <c r="I115" i="79"/>
  <c r="E115" i="79"/>
  <c r="Q114" i="79"/>
  <c r="M114" i="79"/>
  <c r="I114" i="79"/>
  <c r="E114" i="79"/>
  <c r="Q113" i="79"/>
  <c r="M113" i="79"/>
  <c r="I113" i="79"/>
  <c r="E113" i="79"/>
  <c r="Q112" i="79"/>
  <c r="M112" i="79"/>
  <c r="I112" i="79"/>
  <c r="E112" i="79"/>
  <c r="Q111" i="79"/>
  <c r="M111" i="79"/>
  <c r="I111" i="79"/>
  <c r="E111" i="79"/>
  <c r="P108" i="79"/>
  <c r="O108" i="79"/>
  <c r="N108" i="79"/>
  <c r="L108" i="79"/>
  <c r="K108" i="79"/>
  <c r="J108" i="79"/>
  <c r="H108" i="79"/>
  <c r="G108" i="79"/>
  <c r="F108" i="79"/>
  <c r="D108" i="79"/>
  <c r="C108" i="79"/>
  <c r="B108" i="79"/>
  <c r="Q107" i="79"/>
  <c r="M107" i="79"/>
  <c r="I107" i="79"/>
  <c r="E107" i="79"/>
  <c r="Q106" i="79"/>
  <c r="M106" i="79"/>
  <c r="I106" i="79"/>
  <c r="E106" i="79"/>
  <c r="Q105" i="79"/>
  <c r="M105" i="79"/>
  <c r="I105" i="79"/>
  <c r="E105" i="79"/>
  <c r="Q104" i="79"/>
  <c r="M104" i="79"/>
  <c r="I104" i="79"/>
  <c r="E104" i="79"/>
  <c r="Q103" i="79"/>
  <c r="M103" i="79"/>
  <c r="I103" i="79"/>
  <c r="E103" i="79"/>
  <c r="Q102" i="79"/>
  <c r="M102" i="79"/>
  <c r="I102" i="79"/>
  <c r="E102" i="79"/>
  <c r="Q101" i="79"/>
  <c r="M101" i="79"/>
  <c r="I101" i="79"/>
  <c r="E101" i="79"/>
  <c r="Q100" i="79"/>
  <c r="M100" i="79"/>
  <c r="I100" i="79"/>
  <c r="E100" i="79"/>
  <c r="P96" i="79"/>
  <c r="O96" i="79"/>
  <c r="N96" i="79"/>
  <c r="L96" i="79"/>
  <c r="K96" i="79"/>
  <c r="J96" i="79"/>
  <c r="H96" i="79"/>
  <c r="G96" i="79"/>
  <c r="F96" i="79"/>
  <c r="D96" i="79"/>
  <c r="C96" i="79"/>
  <c r="B96" i="79"/>
  <c r="Q94" i="79"/>
  <c r="M94" i="79"/>
  <c r="I94" i="79"/>
  <c r="E94" i="79"/>
  <c r="Q93" i="79"/>
  <c r="M93" i="79"/>
  <c r="I93" i="79"/>
  <c r="E93" i="79"/>
  <c r="P89" i="79"/>
  <c r="O89" i="79"/>
  <c r="N89" i="79"/>
  <c r="L89" i="79"/>
  <c r="K89" i="79"/>
  <c r="J89" i="79"/>
  <c r="H89" i="79"/>
  <c r="G89" i="79"/>
  <c r="F89" i="79"/>
  <c r="D89" i="79"/>
  <c r="C89" i="79"/>
  <c r="B89" i="79"/>
  <c r="Q87" i="79"/>
  <c r="M87" i="79"/>
  <c r="I87" i="79"/>
  <c r="E87" i="79"/>
  <c r="Q86" i="79"/>
  <c r="M86" i="79"/>
  <c r="I86" i="79"/>
  <c r="E86" i="79"/>
  <c r="Q84" i="79"/>
  <c r="M84" i="79"/>
  <c r="I84" i="79"/>
  <c r="E84" i="79"/>
  <c r="Q82" i="79"/>
  <c r="M82" i="79"/>
  <c r="I82" i="79"/>
  <c r="E82" i="79"/>
  <c r="Q81" i="79"/>
  <c r="M81" i="79"/>
  <c r="I81" i="79"/>
  <c r="E81" i="79"/>
  <c r="Q80" i="79"/>
  <c r="M80" i="79"/>
  <c r="I80" i="79"/>
  <c r="E80" i="79"/>
  <c r="Q79" i="79"/>
  <c r="M79" i="79"/>
  <c r="I79" i="79"/>
  <c r="E79" i="79"/>
  <c r="Q78" i="79"/>
  <c r="M78" i="79"/>
  <c r="I78" i="79"/>
  <c r="E78" i="79"/>
  <c r="Q77" i="79"/>
  <c r="M77" i="79"/>
  <c r="I77" i="79"/>
  <c r="E77" i="79"/>
  <c r="Q76" i="79"/>
  <c r="M76" i="79"/>
  <c r="I76" i="79"/>
  <c r="E76" i="79"/>
  <c r="Q75" i="79"/>
  <c r="M75" i="79"/>
  <c r="I75" i="79"/>
  <c r="E75" i="79"/>
  <c r="Q74" i="79"/>
  <c r="M74" i="79"/>
  <c r="I74" i="79"/>
  <c r="E74" i="79"/>
  <c r="Q73" i="79"/>
  <c r="M73" i="79"/>
  <c r="I73" i="79"/>
  <c r="E73" i="79"/>
  <c r="Q72" i="79"/>
  <c r="M72" i="79"/>
  <c r="I72" i="79"/>
  <c r="E72" i="79"/>
  <c r="Q60" i="79"/>
  <c r="M60" i="79"/>
  <c r="I60" i="79"/>
  <c r="E60" i="79"/>
  <c r="P58" i="79"/>
  <c r="O58" i="79"/>
  <c r="N58" i="79"/>
  <c r="L58" i="79"/>
  <c r="K58" i="79"/>
  <c r="J58" i="79"/>
  <c r="H58" i="79"/>
  <c r="G58" i="79"/>
  <c r="F58" i="79"/>
  <c r="D58" i="79"/>
  <c r="C58" i="79"/>
  <c r="B58" i="79"/>
  <c r="P57" i="79"/>
  <c r="O57" i="79"/>
  <c r="N57" i="79"/>
  <c r="L57" i="79"/>
  <c r="K57" i="79"/>
  <c r="J57" i="79"/>
  <c r="H57" i="79"/>
  <c r="G57" i="79"/>
  <c r="F57" i="79"/>
  <c r="D57" i="79"/>
  <c r="C57" i="79"/>
  <c r="B57" i="79"/>
  <c r="Q54" i="79"/>
  <c r="M54" i="79"/>
  <c r="I54" i="79"/>
  <c r="E54" i="79"/>
  <c r="P50" i="79"/>
  <c r="O50" i="79"/>
  <c r="N50" i="79"/>
  <c r="L50" i="79"/>
  <c r="K50" i="79"/>
  <c r="J50" i="79"/>
  <c r="H50" i="79"/>
  <c r="G50" i="79"/>
  <c r="F50" i="79"/>
  <c r="D50" i="79"/>
  <c r="C50" i="79"/>
  <c r="B50" i="79"/>
  <c r="P46" i="79"/>
  <c r="O46" i="79"/>
  <c r="N46" i="79"/>
  <c r="L46" i="79"/>
  <c r="K46" i="79"/>
  <c r="J46" i="79"/>
  <c r="H46" i="79"/>
  <c r="G46" i="79"/>
  <c r="F46" i="79"/>
  <c r="D46" i="79"/>
  <c r="C46" i="79"/>
  <c r="B46" i="79"/>
  <c r="P41" i="79"/>
  <c r="O41" i="79"/>
  <c r="N41" i="79"/>
  <c r="L41" i="79"/>
  <c r="K41" i="79"/>
  <c r="J41" i="79"/>
  <c r="H41" i="79"/>
  <c r="G41" i="79"/>
  <c r="F41" i="79"/>
  <c r="D41" i="79"/>
  <c r="C41" i="79"/>
  <c r="B41" i="79"/>
  <c r="Q38" i="79"/>
  <c r="M38" i="79"/>
  <c r="I38" i="79"/>
  <c r="E38" i="79"/>
  <c r="Q27" i="79"/>
  <c r="P27" i="79"/>
  <c r="O27" i="79"/>
  <c r="N27" i="79"/>
  <c r="L27" i="79"/>
  <c r="K27" i="79"/>
  <c r="J27" i="79"/>
  <c r="H27" i="79"/>
  <c r="I27" i="79" s="1"/>
  <c r="G27" i="79"/>
  <c r="F27" i="79"/>
  <c r="D27" i="79"/>
  <c r="C27" i="79"/>
  <c r="B27" i="79"/>
  <c r="Q25" i="79"/>
  <c r="M25" i="79"/>
  <c r="I25" i="79"/>
  <c r="E25" i="79"/>
  <c r="P18" i="79"/>
  <c r="O18" i="79"/>
  <c r="N18" i="79"/>
  <c r="L18" i="79"/>
  <c r="K18" i="79"/>
  <c r="J18" i="79"/>
  <c r="H18" i="79"/>
  <c r="G18" i="79"/>
  <c r="F18" i="79"/>
  <c r="D18" i="79"/>
  <c r="C18" i="79"/>
  <c r="B18" i="79"/>
  <c r="P17" i="79"/>
  <c r="O17" i="79"/>
  <c r="N17" i="79"/>
  <c r="L17" i="79"/>
  <c r="K17" i="79"/>
  <c r="J17" i="79"/>
  <c r="H17" i="79"/>
  <c r="G17" i="79"/>
  <c r="F17" i="79"/>
  <c r="D17" i="79"/>
  <c r="C17" i="79"/>
  <c r="B17" i="79"/>
  <c r="P16" i="79"/>
  <c r="O16" i="79"/>
  <c r="N16" i="79"/>
  <c r="L16" i="79"/>
  <c r="K16" i="79"/>
  <c r="J16" i="79"/>
  <c r="H16" i="79"/>
  <c r="G16" i="79"/>
  <c r="F16" i="79"/>
  <c r="D16" i="79"/>
  <c r="C16" i="79"/>
  <c r="B16" i="79"/>
  <c r="P15" i="79"/>
  <c r="O15" i="79"/>
  <c r="N15" i="79"/>
  <c r="L15" i="79"/>
  <c r="K15" i="79"/>
  <c r="J15" i="79"/>
  <c r="H15" i="79"/>
  <c r="G15" i="79"/>
  <c r="F15" i="79"/>
  <c r="D15" i="79"/>
  <c r="C15" i="79"/>
  <c r="B15" i="79"/>
  <c r="P14" i="79"/>
  <c r="O14" i="79"/>
  <c r="N14" i="79"/>
  <c r="L14" i="79"/>
  <c r="K14" i="79"/>
  <c r="J14" i="79"/>
  <c r="H14" i="79"/>
  <c r="G14" i="79"/>
  <c r="F14" i="79"/>
  <c r="D14" i="79"/>
  <c r="C14" i="79"/>
  <c r="B14" i="79"/>
  <c r="R1" i="79"/>
  <c r="H10" i="79"/>
  <c r="D10" i="81"/>
  <c r="J10" i="79"/>
  <c r="O10" i="81"/>
  <c r="K10" i="81"/>
  <c r="D10" i="79"/>
  <c r="B10" i="81"/>
  <c r="K10" i="79"/>
  <c r="B10" i="79"/>
  <c r="C10" i="79"/>
  <c r="N10" i="81"/>
  <c r="F10" i="79"/>
  <c r="H10" i="81"/>
  <c r="N10" i="79"/>
  <c r="L10" i="81"/>
  <c r="C10" i="81"/>
  <c r="F10" i="81"/>
  <c r="P10" i="79"/>
  <c r="O10" i="79"/>
  <c r="J10" i="81"/>
  <c r="P10" i="81"/>
  <c r="G10" i="79"/>
  <c r="L10" i="79"/>
  <c r="G10" i="81"/>
  <c r="L1114" i="79" l="1"/>
  <c r="C1172" i="81"/>
  <c r="AB398" i="79"/>
  <c r="C1166" i="79"/>
  <c r="F1157" i="79"/>
  <c r="M27" i="81"/>
  <c r="AD972" i="81"/>
  <c r="E27" i="81"/>
  <c r="AG973" i="81"/>
  <c r="M27" i="79"/>
  <c r="L1110" i="81"/>
  <c r="E27" i="79"/>
  <c r="R27" i="79" s="1"/>
  <c r="J1043" i="81"/>
  <c r="L1112" i="81"/>
  <c r="R25" i="81"/>
  <c r="AD1089" i="81"/>
  <c r="L1109" i="79"/>
  <c r="R25" i="79"/>
  <c r="AD966" i="79"/>
  <c r="AG970" i="79"/>
  <c r="F1105" i="79"/>
  <c r="B1078" i="79" s="1"/>
  <c r="N1163" i="79"/>
  <c r="AD396" i="79"/>
  <c r="AM396" i="79" s="1"/>
  <c r="AG967" i="79"/>
  <c r="AD971" i="79"/>
  <c r="AD975" i="79"/>
  <c r="L1108" i="79"/>
  <c r="R1163" i="79"/>
  <c r="AC398" i="79"/>
  <c r="AG968" i="79"/>
  <c r="AG976" i="79"/>
  <c r="J1037" i="79"/>
  <c r="L1110" i="79"/>
  <c r="L1113" i="79"/>
  <c r="I1153" i="79"/>
  <c r="J1154" i="79" s="1"/>
  <c r="F1163" i="79"/>
  <c r="F1154" i="79"/>
  <c r="AD1084" i="81"/>
  <c r="AD1086" i="81"/>
  <c r="AD1082" i="81"/>
  <c r="AD1092" i="81"/>
  <c r="AA403" i="81"/>
  <c r="L1114" i="81"/>
  <c r="L1118" i="81"/>
  <c r="L1120" i="81"/>
  <c r="Q1172" i="81"/>
  <c r="AA402" i="81"/>
  <c r="L1111" i="81"/>
  <c r="AB402" i="81"/>
  <c r="AG976" i="81"/>
  <c r="AG980" i="81"/>
  <c r="F1160" i="81"/>
  <c r="F1163" i="81"/>
  <c r="L1113" i="81"/>
  <c r="L1115" i="81"/>
  <c r="L1119" i="81"/>
  <c r="F809" i="81"/>
  <c r="F813" i="81" s="1"/>
  <c r="P857" i="79"/>
  <c r="P860" i="79" s="1"/>
  <c r="P861" i="79" s="1"/>
  <c r="D857" i="79"/>
  <c r="D860" i="79" s="1"/>
  <c r="D862" i="79" s="1"/>
  <c r="G902" i="79"/>
  <c r="G924" i="79" s="1"/>
  <c r="B710" i="79"/>
  <c r="B713" i="79" s="1"/>
  <c r="B714" i="79" s="1"/>
  <c r="G762" i="79"/>
  <c r="G765" i="79" s="1"/>
  <c r="G766" i="79" s="1"/>
  <c r="G603" i="81"/>
  <c r="G606" i="81" s="1"/>
  <c r="G607" i="81" s="1"/>
  <c r="L59" i="81"/>
  <c r="L62" i="81" s="1"/>
  <c r="L63" i="81" s="1"/>
  <c r="I880" i="79"/>
  <c r="H664" i="79"/>
  <c r="H667" i="79" s="1"/>
  <c r="H668" i="79" s="1"/>
  <c r="C59" i="79"/>
  <c r="C62" i="79" s="1"/>
  <c r="C63" i="79" s="1"/>
  <c r="O554" i="79"/>
  <c r="O557" i="79" s="1"/>
  <c r="O558" i="79" s="1"/>
  <c r="I760" i="79"/>
  <c r="R621" i="81"/>
  <c r="C889" i="79"/>
  <c r="C920" i="79" s="1"/>
  <c r="J59" i="79"/>
  <c r="J62" i="79" s="1"/>
  <c r="J63" i="79" s="1"/>
  <c r="AD935" i="79"/>
  <c r="AO935" i="79" s="1"/>
  <c r="AE970" i="79"/>
  <c r="O502" i="79"/>
  <c r="O507" i="79" s="1"/>
  <c r="O508" i="79" s="1"/>
  <c r="C908" i="81"/>
  <c r="C930" i="81" s="1"/>
  <c r="H907" i="81"/>
  <c r="E740" i="81"/>
  <c r="E840" i="81"/>
  <c r="C599" i="79"/>
  <c r="C602" i="79" s="1"/>
  <c r="C603" i="79" s="1"/>
  <c r="O889" i="79"/>
  <c r="O920" i="79" s="1"/>
  <c r="C901" i="79"/>
  <c r="F901" i="79"/>
  <c r="G805" i="79"/>
  <c r="G809" i="79" s="1"/>
  <c r="G811" i="79" s="1"/>
  <c r="I888" i="79"/>
  <c r="K558" i="81"/>
  <c r="K561" i="81" s="1"/>
  <c r="K562" i="81" s="1"/>
  <c r="H59" i="81"/>
  <c r="H62" i="81" s="1"/>
  <c r="H63" i="81" s="1"/>
  <c r="E46" i="81"/>
  <c r="E58" i="81"/>
  <c r="O766" i="81"/>
  <c r="O769" i="81" s="1"/>
  <c r="O770" i="81" s="1"/>
  <c r="R115" i="81"/>
  <c r="R346" i="81"/>
  <c r="B506" i="81"/>
  <c r="B511" i="81" s="1"/>
  <c r="G766" i="81"/>
  <c r="G769" i="81" s="1"/>
  <c r="G770" i="81" s="1"/>
  <c r="R656" i="81"/>
  <c r="Q17" i="81"/>
  <c r="R38" i="81"/>
  <c r="R54" i="81"/>
  <c r="R76" i="81"/>
  <c r="R401" i="81"/>
  <c r="Z403" i="81"/>
  <c r="M667" i="81"/>
  <c r="M765" i="81"/>
  <c r="M889" i="81"/>
  <c r="E15" i="79"/>
  <c r="E57" i="79"/>
  <c r="I58" i="79"/>
  <c r="E128" i="79"/>
  <c r="AD398" i="79"/>
  <c r="AD936" i="79"/>
  <c r="AO936" i="79" s="1"/>
  <c r="E108" i="79"/>
  <c r="R490" i="79"/>
  <c r="E645" i="79"/>
  <c r="O857" i="79"/>
  <c r="O860" i="79" s="1"/>
  <c r="O861" i="79" s="1"/>
  <c r="P59" i="81"/>
  <c r="P62" i="81" s="1"/>
  <c r="P63" i="81" s="1"/>
  <c r="R620" i="81"/>
  <c r="I639" i="81"/>
  <c r="M697" i="81"/>
  <c r="M764" i="81"/>
  <c r="M801" i="81"/>
  <c r="J863" i="81"/>
  <c r="J866" i="81" s="1"/>
  <c r="J868" i="81" s="1"/>
  <c r="Q951" i="81" s="1"/>
  <c r="R469" i="81"/>
  <c r="E504" i="81"/>
  <c r="Q504" i="81"/>
  <c r="E542" i="81"/>
  <c r="I601" i="81"/>
  <c r="Q602" i="81"/>
  <c r="R624" i="81"/>
  <c r="R647" i="81"/>
  <c r="E649" i="81"/>
  <c r="I905" i="81"/>
  <c r="B863" i="81"/>
  <c r="B866" i="81" s="1"/>
  <c r="B868" i="81" s="1"/>
  <c r="Q945" i="81" s="1"/>
  <c r="R309" i="81"/>
  <c r="E312" i="81"/>
  <c r="P558" i="81"/>
  <c r="P561" i="81" s="1"/>
  <c r="P562" i="81" s="1"/>
  <c r="N890" i="81"/>
  <c r="N924" i="81" s="1"/>
  <c r="C895" i="81"/>
  <c r="C926" i="81" s="1"/>
  <c r="N895" i="81"/>
  <c r="N926" i="81" s="1"/>
  <c r="Q601" i="81"/>
  <c r="R658" i="81"/>
  <c r="I681" i="81"/>
  <c r="I712" i="81"/>
  <c r="M579" i="81"/>
  <c r="G809" i="81"/>
  <c r="G813" i="81" s="1"/>
  <c r="G814" i="81" s="1"/>
  <c r="B899" i="81"/>
  <c r="B928" i="81" s="1"/>
  <c r="L908" i="81"/>
  <c r="L930" i="81" s="1"/>
  <c r="AD937" i="81"/>
  <c r="AO937" i="81" s="1"/>
  <c r="Z398" i="79"/>
  <c r="M533" i="79"/>
  <c r="M693" i="79"/>
  <c r="R249" i="79"/>
  <c r="R364" i="79"/>
  <c r="R487" i="79"/>
  <c r="Q899" i="79"/>
  <c r="E14" i="79"/>
  <c r="R820" i="79"/>
  <c r="R75" i="79"/>
  <c r="R77" i="79"/>
  <c r="R87" i="79"/>
  <c r="R103" i="79"/>
  <c r="R117" i="79"/>
  <c r="R250" i="79"/>
  <c r="P599" i="79"/>
  <c r="P602" i="79" s="1"/>
  <c r="P603" i="79" s="1"/>
  <c r="F805" i="79"/>
  <c r="F809" i="79" s="1"/>
  <c r="P805" i="79"/>
  <c r="P809" i="79" s="1"/>
  <c r="P811" i="79" s="1"/>
  <c r="Q50" i="79"/>
  <c r="R858" i="79"/>
  <c r="M14" i="79"/>
  <c r="E330" i="79"/>
  <c r="Q855" i="79"/>
  <c r="P899" i="81"/>
  <c r="P928" i="81" s="1"/>
  <c r="E129" i="81"/>
  <c r="R185" i="81"/>
  <c r="C506" i="81"/>
  <c r="C511" i="81" s="1"/>
  <c r="C512" i="81" s="1"/>
  <c r="Q395" i="81"/>
  <c r="I409" i="81"/>
  <c r="R412" i="81"/>
  <c r="R421" i="81"/>
  <c r="R429" i="81"/>
  <c r="R437" i="81"/>
  <c r="R441" i="81"/>
  <c r="R445" i="81"/>
  <c r="R547" i="81"/>
  <c r="E556" i="81"/>
  <c r="R574" i="81"/>
  <c r="E579" i="81"/>
  <c r="R589" i="81"/>
  <c r="R595" i="81"/>
  <c r="R600" i="81"/>
  <c r="Q701" i="81"/>
  <c r="E713" i="81"/>
  <c r="Q765" i="81"/>
  <c r="Q889" i="81"/>
  <c r="Q893" i="81"/>
  <c r="R147" i="81"/>
  <c r="R179" i="81"/>
  <c r="I313" i="81"/>
  <c r="M840" i="81"/>
  <c r="M904" i="81"/>
  <c r="R271" i="81"/>
  <c r="R378" i="81"/>
  <c r="R380" i="81"/>
  <c r="R384" i="81"/>
  <c r="R758" i="81"/>
  <c r="I765" i="81"/>
  <c r="E16" i="81"/>
  <c r="R107" i="81"/>
  <c r="R355" i="81"/>
  <c r="M548" i="81"/>
  <c r="I556" i="81"/>
  <c r="R597" i="81"/>
  <c r="D668" i="81"/>
  <c r="D671" i="81" s="1"/>
  <c r="D672" i="81" s="1"/>
  <c r="Q740" i="81"/>
  <c r="R745" i="81"/>
  <c r="I851" i="81"/>
  <c r="R857" i="81"/>
  <c r="R604" i="81"/>
  <c r="O714" i="81"/>
  <c r="O717" i="81" s="1"/>
  <c r="O718" i="81" s="1"/>
  <c r="M701" i="81"/>
  <c r="M713" i="81"/>
  <c r="J766" i="81"/>
  <c r="J769" i="81" s="1"/>
  <c r="D863" i="81"/>
  <c r="D866" i="81" s="1"/>
  <c r="D868" i="81" s="1"/>
  <c r="O863" i="81"/>
  <c r="O866" i="81" s="1"/>
  <c r="O867" i="81" s="1"/>
  <c r="R850" i="81"/>
  <c r="D895" i="81"/>
  <c r="D926" i="81" s="1"/>
  <c r="O895" i="81"/>
  <c r="O926" i="81" s="1"/>
  <c r="M893" i="81"/>
  <c r="D907" i="81"/>
  <c r="M905" i="81"/>
  <c r="R230" i="81"/>
  <c r="R238" i="81"/>
  <c r="R246" i="81"/>
  <c r="R286" i="81"/>
  <c r="R655" i="81"/>
  <c r="K908" i="81"/>
  <c r="K930" i="81" s="1"/>
  <c r="P907" i="81"/>
  <c r="M46" i="81"/>
  <c r="M58" i="81"/>
  <c r="R365" i="81"/>
  <c r="R488" i="81"/>
  <c r="I505" i="81"/>
  <c r="M542" i="81"/>
  <c r="I585" i="81"/>
  <c r="E639" i="81"/>
  <c r="R646" i="81"/>
  <c r="I649" i="81"/>
  <c r="R652" i="81"/>
  <c r="E701" i="81"/>
  <c r="E807" i="81"/>
  <c r="R823" i="81"/>
  <c r="R829" i="81"/>
  <c r="E885" i="81"/>
  <c r="E887" i="81"/>
  <c r="E889" i="81"/>
  <c r="E893" i="81"/>
  <c r="Q57" i="79"/>
  <c r="I89" i="79"/>
  <c r="Q96" i="79"/>
  <c r="AL397" i="79"/>
  <c r="R551" i="79"/>
  <c r="R593" i="79"/>
  <c r="E597" i="79"/>
  <c r="E663" i="79"/>
  <c r="E761" i="79"/>
  <c r="R773" i="79"/>
  <c r="R371" i="79"/>
  <c r="R378" i="79"/>
  <c r="Q553" i="79"/>
  <c r="R744" i="79"/>
  <c r="I896" i="79"/>
  <c r="R315" i="79"/>
  <c r="R317" i="79"/>
  <c r="R827" i="79"/>
  <c r="M309" i="79"/>
  <c r="R386" i="79"/>
  <c r="M629" i="79"/>
  <c r="M645" i="79"/>
  <c r="K710" i="79"/>
  <c r="K713" i="79" s="1"/>
  <c r="K714" i="79" s="1"/>
  <c r="M708" i="79"/>
  <c r="I709" i="79"/>
  <c r="I750" i="79"/>
  <c r="Q881" i="79"/>
  <c r="AD931" i="79"/>
  <c r="AO931" i="79" s="1"/>
  <c r="Q127" i="79"/>
  <c r="R285" i="79"/>
  <c r="I310" i="79"/>
  <c r="R498" i="79"/>
  <c r="R550" i="79"/>
  <c r="R591" i="79"/>
  <c r="O902" i="79"/>
  <c r="O924" i="79" s="1"/>
  <c r="O59" i="79"/>
  <c r="O62" i="79" s="1"/>
  <c r="O63" i="79" s="1"/>
  <c r="R297" i="79"/>
  <c r="R303" i="79"/>
  <c r="R314" i="79"/>
  <c r="E500" i="79"/>
  <c r="Q533" i="79"/>
  <c r="Q677" i="79"/>
  <c r="R852" i="79"/>
  <c r="R207" i="79"/>
  <c r="O599" i="79"/>
  <c r="O602" i="79" s="1"/>
  <c r="O603" i="79" s="1"/>
  <c r="M597" i="79"/>
  <c r="O664" i="79"/>
  <c r="O667" i="79" s="1"/>
  <c r="O668" i="79" s="1"/>
  <c r="O710" i="79"/>
  <c r="O713" i="79" s="1"/>
  <c r="O714" i="79" s="1"/>
  <c r="M697" i="79"/>
  <c r="Q797" i="79"/>
  <c r="L901" i="79"/>
  <c r="R423" i="81"/>
  <c r="L603" i="81"/>
  <c r="L606" i="81" s="1"/>
  <c r="L607" i="81" s="1"/>
  <c r="R752" i="81"/>
  <c r="M14" i="81"/>
  <c r="I15" i="81"/>
  <c r="M16" i="81"/>
  <c r="M41" i="81"/>
  <c r="M57" i="81"/>
  <c r="M129" i="81"/>
  <c r="R153" i="81"/>
  <c r="R161" i="81"/>
  <c r="R165" i="81"/>
  <c r="R167" i="81"/>
  <c r="R169" i="81"/>
  <c r="R177" i="81"/>
  <c r="K314" i="81"/>
  <c r="K322" i="81" s="1"/>
  <c r="K323" i="81" s="1"/>
  <c r="R254" i="81"/>
  <c r="R262" i="81"/>
  <c r="R270" i="81"/>
  <c r="R274" i="81"/>
  <c r="R276" i="81"/>
  <c r="R278" i="81"/>
  <c r="R282" i="81"/>
  <c r="R284" i="81"/>
  <c r="R386" i="81"/>
  <c r="Z402" i="81"/>
  <c r="AL402" i="81"/>
  <c r="R455" i="81"/>
  <c r="D558" i="81"/>
  <c r="D561" i="81" s="1"/>
  <c r="D562" i="81" s="1"/>
  <c r="C603" i="81"/>
  <c r="C606" i="81" s="1"/>
  <c r="C607" i="81" s="1"/>
  <c r="R583" i="81"/>
  <c r="C668" i="81"/>
  <c r="C671" i="81" s="1"/>
  <c r="C672" i="81" s="1"/>
  <c r="N668" i="81"/>
  <c r="N671" i="81" s="1"/>
  <c r="M666" i="81"/>
  <c r="R709" i="81"/>
  <c r="R747" i="81"/>
  <c r="R751" i="81"/>
  <c r="C809" i="81"/>
  <c r="C813" i="81" s="1"/>
  <c r="C815" i="81" s="1"/>
  <c r="P946" i="81" s="1"/>
  <c r="Q905" i="81"/>
  <c r="AD938" i="81"/>
  <c r="AO938" i="81" s="1"/>
  <c r="R145" i="81"/>
  <c r="R211" i="81"/>
  <c r="R214" i="81"/>
  <c r="B314" i="81"/>
  <c r="B322" i="81" s="1"/>
  <c r="R232" i="81"/>
  <c r="R301" i="81"/>
  <c r="R316" i="81"/>
  <c r="R318" i="81"/>
  <c r="E333" i="81"/>
  <c r="R393" i="81"/>
  <c r="R440" i="81"/>
  <c r="R442" i="81"/>
  <c r="I537" i="81"/>
  <c r="R777" i="81"/>
  <c r="J809" i="81"/>
  <c r="J813" i="81" s="1"/>
  <c r="R810" i="81"/>
  <c r="M861" i="81"/>
  <c r="L890" i="81"/>
  <c r="L924" i="81" s="1"/>
  <c r="E886" i="81"/>
  <c r="E888" i="81"/>
  <c r="I889" i="81"/>
  <c r="D908" i="81"/>
  <c r="D930" i="81" s="1"/>
  <c r="M902" i="81"/>
  <c r="J907" i="81"/>
  <c r="M906" i="81"/>
  <c r="AE978" i="81"/>
  <c r="P506" i="81"/>
  <c r="P511" i="81" s="1"/>
  <c r="P512" i="81" s="1"/>
  <c r="I91" i="81"/>
  <c r="R200" i="81"/>
  <c r="R207" i="81"/>
  <c r="Q217" i="81"/>
  <c r="R256" i="81"/>
  <c r="R305" i="81"/>
  <c r="E313" i="81"/>
  <c r="R362" i="81"/>
  <c r="J506" i="81"/>
  <c r="J511" i="81" s="1"/>
  <c r="AM400" i="81"/>
  <c r="R406" i="81"/>
  <c r="E409" i="81"/>
  <c r="R430" i="81"/>
  <c r="R474" i="81"/>
  <c r="R499" i="81"/>
  <c r="R503" i="81"/>
  <c r="E505" i="81"/>
  <c r="R527" i="81"/>
  <c r="R529" i="81"/>
  <c r="G558" i="81"/>
  <c r="G561" i="81" s="1"/>
  <c r="G562" i="81" s="1"/>
  <c r="Q556" i="81"/>
  <c r="R626" i="81"/>
  <c r="I633" i="81"/>
  <c r="M639" i="81"/>
  <c r="Q649" i="81"/>
  <c r="R691" i="81"/>
  <c r="R693" i="81"/>
  <c r="K714" i="81"/>
  <c r="K717" i="81" s="1"/>
  <c r="K718" i="81" s="1"/>
  <c r="Q807" i="81"/>
  <c r="R843" i="81"/>
  <c r="R846" i="81"/>
  <c r="H890" i="81"/>
  <c r="H924" i="81" s="1"/>
  <c r="I893" i="81"/>
  <c r="N131" i="81"/>
  <c r="N134" i="81" s="1"/>
  <c r="E18" i="81"/>
  <c r="R122" i="81"/>
  <c r="D314" i="81"/>
  <c r="D322" i="81" s="1"/>
  <c r="D323" i="81" s="1"/>
  <c r="R241" i="81"/>
  <c r="R243" i="81"/>
  <c r="R245" i="81"/>
  <c r="R354" i="81"/>
  <c r="R371" i="81"/>
  <c r="R374" i="81"/>
  <c r="R379" i="81"/>
  <c r="R381" i="81"/>
  <c r="R462" i="81"/>
  <c r="R464" i="81"/>
  <c r="H558" i="81"/>
  <c r="H561" i="81" s="1"/>
  <c r="H562" i="81" s="1"/>
  <c r="E557" i="81"/>
  <c r="R571" i="81"/>
  <c r="P603" i="81"/>
  <c r="P606" i="81" s="1"/>
  <c r="P607" i="81" s="1"/>
  <c r="M585" i="81"/>
  <c r="R631" i="81"/>
  <c r="Q633" i="81"/>
  <c r="E697" i="81"/>
  <c r="Q713" i="81"/>
  <c r="R727" i="81"/>
  <c r="R731" i="81"/>
  <c r="B766" i="81"/>
  <c r="B769" i="81" s="1"/>
  <c r="B770" i="81" s="1"/>
  <c r="I740" i="81"/>
  <c r="R767" i="81"/>
  <c r="M808" i="81"/>
  <c r="L863" i="81"/>
  <c r="L866" i="81" s="1"/>
  <c r="L867" i="81" s="1"/>
  <c r="D890" i="81"/>
  <c r="D924" i="81" s="1"/>
  <c r="L895" i="81"/>
  <c r="L926" i="81" s="1"/>
  <c r="G895" i="81"/>
  <c r="G926" i="81" s="1"/>
  <c r="E902" i="81"/>
  <c r="B907" i="81"/>
  <c r="L907" i="81"/>
  <c r="E906" i="81"/>
  <c r="J131" i="81"/>
  <c r="J134" i="81" s="1"/>
  <c r="R113" i="81"/>
  <c r="I129" i="81"/>
  <c r="E130" i="81"/>
  <c r="P314" i="81"/>
  <c r="P322" i="81" s="1"/>
  <c r="P323" i="81" s="1"/>
  <c r="R231" i="81"/>
  <c r="R249" i="81"/>
  <c r="R251" i="81"/>
  <c r="R253" i="81"/>
  <c r="R356" i="81"/>
  <c r="R376" i="81"/>
  <c r="R402" i="81"/>
  <c r="R403" i="81"/>
  <c r="Q505" i="81"/>
  <c r="Q548" i="81"/>
  <c r="H668" i="81"/>
  <c r="H671" i="81" s="1"/>
  <c r="H672" i="81" s="1"/>
  <c r="Q681" i="81"/>
  <c r="N714" i="81"/>
  <c r="N717" i="81" s="1"/>
  <c r="M705" i="81"/>
  <c r="E712" i="81"/>
  <c r="I764" i="81"/>
  <c r="I807" i="81"/>
  <c r="N863" i="81"/>
  <c r="N866" i="81" s="1"/>
  <c r="I884" i="81"/>
  <c r="M885" i="81"/>
  <c r="Q902" i="81"/>
  <c r="Q906" i="81"/>
  <c r="I16" i="81"/>
  <c r="R81" i="81"/>
  <c r="R84" i="81"/>
  <c r="R88" i="81"/>
  <c r="B131" i="81"/>
  <c r="B134" i="81" s="1"/>
  <c r="L131" i="81"/>
  <c r="L134" i="81" s="1"/>
  <c r="L135" i="81" s="1"/>
  <c r="R96" i="81"/>
  <c r="R102" i="81"/>
  <c r="R104" i="81"/>
  <c r="R106" i="81"/>
  <c r="M110" i="81"/>
  <c r="R186" i="81"/>
  <c r="R188" i="81"/>
  <c r="R195" i="81"/>
  <c r="R197" i="81"/>
  <c r="R215" i="81"/>
  <c r="Q224" i="81"/>
  <c r="R304" i="81"/>
  <c r="Q312" i="81"/>
  <c r="R405" i="81"/>
  <c r="R453" i="81"/>
  <c r="R461" i="81"/>
  <c r="R473" i="81"/>
  <c r="R475" i="81"/>
  <c r="R477" i="81"/>
  <c r="R489" i="81"/>
  <c r="R491" i="81"/>
  <c r="R500" i="81"/>
  <c r="R530" i="81"/>
  <c r="R533" i="81"/>
  <c r="B558" i="81"/>
  <c r="B561" i="81" s="1"/>
  <c r="Q585" i="81"/>
  <c r="Q590" i="81"/>
  <c r="M601" i="81"/>
  <c r="R616" i="81"/>
  <c r="K668" i="81"/>
  <c r="K671" i="81" s="1"/>
  <c r="K672" i="81" s="1"/>
  <c r="R648" i="81"/>
  <c r="R663" i="81"/>
  <c r="E667" i="81"/>
  <c r="I697" i="81"/>
  <c r="P714" i="81"/>
  <c r="P717" i="81" s="1"/>
  <c r="P718" i="81" s="1"/>
  <c r="F714" i="81"/>
  <c r="F717" i="81" s="1"/>
  <c r="R746" i="81"/>
  <c r="E765" i="81"/>
  <c r="I801" i="81"/>
  <c r="M807" i="81"/>
  <c r="R830" i="81"/>
  <c r="F863" i="81"/>
  <c r="F866" i="81" s="1"/>
  <c r="Q851" i="81"/>
  <c r="E862" i="81"/>
  <c r="Q862" i="81"/>
  <c r="K895" i="81"/>
  <c r="K926" i="81" s="1"/>
  <c r="I902" i="81"/>
  <c r="I906" i="81"/>
  <c r="Q14" i="79"/>
  <c r="E46" i="79"/>
  <c r="Q46" i="79"/>
  <c r="I50" i="79"/>
  <c r="Q89" i="79"/>
  <c r="R118" i="79"/>
  <c r="R121" i="79"/>
  <c r="R169" i="79"/>
  <c r="R259" i="79"/>
  <c r="E310" i="79"/>
  <c r="L502" i="79"/>
  <c r="L507" i="79" s="1"/>
  <c r="L508" i="79" s="1"/>
  <c r="R387" i="79"/>
  <c r="AH398" i="79"/>
  <c r="R424" i="79"/>
  <c r="R503" i="79"/>
  <c r="R505" i="79"/>
  <c r="E533" i="79"/>
  <c r="L554" i="79"/>
  <c r="L557" i="79" s="1"/>
  <c r="L558" i="79" s="1"/>
  <c r="Q663" i="79"/>
  <c r="H710" i="79"/>
  <c r="H713" i="79" s="1"/>
  <c r="H714" i="79" s="1"/>
  <c r="M709" i="79"/>
  <c r="I797" i="79"/>
  <c r="Q880" i="79"/>
  <c r="Q882" i="79"/>
  <c r="I895" i="79"/>
  <c r="I897" i="79"/>
  <c r="K901" i="79"/>
  <c r="I899" i="79"/>
  <c r="M900" i="79"/>
  <c r="Q18" i="79"/>
  <c r="I46" i="79"/>
  <c r="Q58" i="79"/>
  <c r="R294" i="79"/>
  <c r="Q310" i="79"/>
  <c r="R486" i="79"/>
  <c r="R495" i="79"/>
  <c r="E598" i="79"/>
  <c r="I663" i="79"/>
  <c r="M701" i="79"/>
  <c r="R848" i="79"/>
  <c r="E900" i="79"/>
  <c r="R381" i="79"/>
  <c r="R383" i="79"/>
  <c r="R478" i="79"/>
  <c r="R488" i="79"/>
  <c r="E552" i="79"/>
  <c r="D901" i="79"/>
  <c r="AD938" i="79"/>
  <c r="AO938" i="79" s="1"/>
  <c r="E309" i="79"/>
  <c r="R446" i="79"/>
  <c r="I500" i="79"/>
  <c r="R530" i="79"/>
  <c r="G554" i="79"/>
  <c r="G557" i="79" s="1"/>
  <c r="G558" i="79" s="1"/>
  <c r="M553" i="79"/>
  <c r="R568" i="79"/>
  <c r="I575" i="79"/>
  <c r="M760" i="79"/>
  <c r="M789" i="79"/>
  <c r="R115" i="79"/>
  <c r="R126" i="79"/>
  <c r="M221" i="79"/>
  <c r="R284" i="79"/>
  <c r="R480" i="79"/>
  <c r="R483" i="79"/>
  <c r="R618" i="79"/>
  <c r="F664" i="79"/>
  <c r="P664" i="79"/>
  <c r="P667" i="79" s="1"/>
  <c r="P668" i="79" s="1"/>
  <c r="R643" i="79"/>
  <c r="R649" i="79"/>
  <c r="C710" i="79"/>
  <c r="C713" i="79" s="1"/>
  <c r="C714" i="79" s="1"/>
  <c r="E789" i="79"/>
  <c r="I856" i="79"/>
  <c r="Q888" i="79"/>
  <c r="E895" i="79"/>
  <c r="G901" i="79"/>
  <c r="E899" i="79"/>
  <c r="I900" i="79"/>
  <c r="I17" i="79"/>
  <c r="M46" i="79"/>
  <c r="M108" i="79"/>
  <c r="AH397" i="79"/>
  <c r="M500" i="79"/>
  <c r="R613" i="79"/>
  <c r="R653" i="79"/>
  <c r="R659" i="79"/>
  <c r="Q760" i="79"/>
  <c r="E797" i="79"/>
  <c r="Q804" i="79"/>
  <c r="I855" i="79"/>
  <c r="Q895" i="79"/>
  <c r="Q897" i="79"/>
  <c r="AF974" i="79"/>
  <c r="E16" i="79"/>
  <c r="E18" i="79"/>
  <c r="R54" i="79"/>
  <c r="R78" i="79"/>
  <c r="R82" i="79"/>
  <c r="R86" i="79"/>
  <c r="I128" i="79"/>
  <c r="R200" i="79"/>
  <c r="R202" i="79"/>
  <c r="R300" i="79"/>
  <c r="R304" i="79"/>
  <c r="R308" i="79"/>
  <c r="M552" i="79"/>
  <c r="R619" i="79"/>
  <c r="Q635" i="79"/>
  <c r="R644" i="79"/>
  <c r="R651" i="79"/>
  <c r="I701" i="79"/>
  <c r="E882" i="79"/>
  <c r="O899" i="81"/>
  <c r="O928" i="81" s="1"/>
  <c r="O314" i="81"/>
  <c r="O322" i="81" s="1"/>
  <c r="O323" i="81" s="1"/>
  <c r="Q898" i="81"/>
  <c r="Q293" i="81"/>
  <c r="M898" i="81"/>
  <c r="H314" i="81"/>
  <c r="H322" i="81" s="1"/>
  <c r="H323" i="81" s="1"/>
  <c r="J314" i="81"/>
  <c r="J322" i="81" s="1"/>
  <c r="M293" i="81"/>
  <c r="G314" i="81"/>
  <c r="G322" i="81" s="1"/>
  <c r="G323" i="81" s="1"/>
  <c r="F314" i="81"/>
  <c r="F322" i="81" s="1"/>
  <c r="F323" i="81" s="1"/>
  <c r="L899" i="81"/>
  <c r="L928" i="81" s="1"/>
  <c r="K506" i="81"/>
  <c r="K511" i="81" s="1"/>
  <c r="K512" i="81" s="1"/>
  <c r="J899" i="81"/>
  <c r="J928" i="81" s="1"/>
  <c r="R443" i="81"/>
  <c r="E479" i="81"/>
  <c r="D899" i="81"/>
  <c r="D928" i="81" s="1"/>
  <c r="E898" i="81"/>
  <c r="H506" i="81"/>
  <c r="H511" i="81" s="1"/>
  <c r="H512" i="81" s="1"/>
  <c r="R444" i="81"/>
  <c r="G899" i="81"/>
  <c r="G928" i="81" s="1"/>
  <c r="H899" i="81"/>
  <c r="H928" i="81" s="1"/>
  <c r="I898" i="81"/>
  <c r="E14" i="81"/>
  <c r="I17" i="81"/>
  <c r="M18" i="81"/>
  <c r="K59" i="81"/>
  <c r="K62" i="81" s="1"/>
  <c r="K63" i="81" s="1"/>
  <c r="R79" i="81"/>
  <c r="D131" i="81"/>
  <c r="D134" i="81" s="1"/>
  <c r="D135" i="81" s="1"/>
  <c r="Q91" i="81"/>
  <c r="M98" i="81"/>
  <c r="R108" i="81"/>
  <c r="E110" i="81"/>
  <c r="R116" i="81"/>
  <c r="R118" i="81"/>
  <c r="R120" i="81"/>
  <c r="Q130" i="81"/>
  <c r="R150" i="81"/>
  <c r="R152" i="81"/>
  <c r="R163" i="81"/>
  <c r="R181" i="81"/>
  <c r="R183" i="81"/>
  <c r="Q14" i="81"/>
  <c r="M15" i="81"/>
  <c r="E41" i="81"/>
  <c r="I46" i="81"/>
  <c r="B59" i="81"/>
  <c r="B62" i="81" s="1"/>
  <c r="E57" i="81"/>
  <c r="I58" i="81"/>
  <c r="R73" i="81"/>
  <c r="R75" i="81"/>
  <c r="F131" i="81"/>
  <c r="F134" i="81" s="1"/>
  <c r="P131" i="81"/>
  <c r="P134" i="81" s="1"/>
  <c r="P135" i="81" s="1"/>
  <c r="Q110" i="81"/>
  <c r="R114" i="81"/>
  <c r="R127" i="81"/>
  <c r="R146" i="81"/>
  <c r="R148" i="81"/>
  <c r="R158" i="81"/>
  <c r="R160" i="81"/>
  <c r="R171" i="81"/>
  <c r="R209" i="81"/>
  <c r="C59" i="81"/>
  <c r="C62" i="81" s="1"/>
  <c r="C63" i="81" s="1"/>
  <c r="Q41" i="81"/>
  <c r="Q50" i="81"/>
  <c r="Q57" i="81"/>
  <c r="R60" i="81"/>
  <c r="R83" i="81"/>
  <c r="R86" i="81"/>
  <c r="R89" i="81"/>
  <c r="R95" i="81"/>
  <c r="E98" i="81"/>
  <c r="R103" i="81"/>
  <c r="R105" i="81"/>
  <c r="R123" i="81"/>
  <c r="I130" i="81"/>
  <c r="R154" i="81"/>
  <c r="R156" i="81"/>
  <c r="R166" i="81"/>
  <c r="R168" i="81"/>
  <c r="R194" i="81"/>
  <c r="I14" i="81"/>
  <c r="E15" i="81"/>
  <c r="Q16" i="81"/>
  <c r="M17" i="81"/>
  <c r="Q18" i="81"/>
  <c r="D59" i="81"/>
  <c r="D62" i="81" s="1"/>
  <c r="D63" i="81" s="1"/>
  <c r="O59" i="81"/>
  <c r="O62" i="81" s="1"/>
  <c r="O63" i="81" s="1"/>
  <c r="R78" i="81"/>
  <c r="R80" i="81"/>
  <c r="H131" i="81"/>
  <c r="H134" i="81" s="1"/>
  <c r="H135" i="81" s="1"/>
  <c r="Q98" i="81"/>
  <c r="I110" i="81"/>
  <c r="R132" i="81"/>
  <c r="R162" i="81"/>
  <c r="R164" i="81"/>
  <c r="R174" i="81"/>
  <c r="R176" i="81"/>
  <c r="R187" i="81"/>
  <c r="R196" i="81"/>
  <c r="I41" i="81"/>
  <c r="I50" i="81"/>
  <c r="I57" i="81"/>
  <c r="R119" i="81"/>
  <c r="R149" i="81"/>
  <c r="R151" i="81"/>
  <c r="R170" i="81"/>
  <c r="R172" i="81"/>
  <c r="R182" i="81"/>
  <c r="R184" i="81"/>
  <c r="Q15" i="81"/>
  <c r="R117" i="81"/>
  <c r="E17" i="81"/>
  <c r="I18" i="81"/>
  <c r="G59" i="81"/>
  <c r="G62" i="81" s="1"/>
  <c r="G63" i="81" s="1"/>
  <c r="R72" i="81"/>
  <c r="R74" i="81"/>
  <c r="M91" i="81"/>
  <c r="I98" i="81"/>
  <c r="R109" i="81"/>
  <c r="R128" i="81"/>
  <c r="Q129" i="81"/>
  <c r="M130" i="81"/>
  <c r="R157" i="81"/>
  <c r="R159" i="81"/>
  <c r="R178" i="81"/>
  <c r="R180" i="81"/>
  <c r="R199" i="81"/>
  <c r="R202" i="81"/>
  <c r="R204" i="81"/>
  <c r="R206" i="81"/>
  <c r="R210" i="81"/>
  <c r="Q46" i="81"/>
  <c r="J59" i="81"/>
  <c r="J62" i="81" s="1"/>
  <c r="Q58" i="81"/>
  <c r="E91" i="81"/>
  <c r="R125" i="81"/>
  <c r="R144" i="81"/>
  <c r="R155" i="81"/>
  <c r="R173" i="81"/>
  <c r="R175" i="81"/>
  <c r="R198" i="81"/>
  <c r="R203" i="81"/>
  <c r="R205" i="81"/>
  <c r="I217" i="81"/>
  <c r="R221" i="81"/>
  <c r="E224" i="81"/>
  <c r="R233" i="81"/>
  <c r="R235" i="81"/>
  <c r="R237" i="81"/>
  <c r="R248" i="81"/>
  <c r="R266" i="81"/>
  <c r="R268" i="81"/>
  <c r="R287" i="81"/>
  <c r="E293" i="81"/>
  <c r="R302" i="81"/>
  <c r="M333" i="81"/>
  <c r="R347" i="81"/>
  <c r="R353" i="81"/>
  <c r="R357" i="81"/>
  <c r="R359" i="81"/>
  <c r="R361" i="81"/>
  <c r="AH401" i="81"/>
  <c r="R422" i="81"/>
  <c r="R432" i="81"/>
  <c r="R434" i="81"/>
  <c r="R436" i="81"/>
  <c r="R447" i="81"/>
  <c r="R465" i="81"/>
  <c r="R467" i="81"/>
  <c r="M479" i="81"/>
  <c r="R490" i="81"/>
  <c r="I504" i="81"/>
  <c r="R528" i="81"/>
  <c r="J558" i="81"/>
  <c r="J561" i="81" s="1"/>
  <c r="J562" i="81" s="1"/>
  <c r="M557" i="81"/>
  <c r="O603" i="81"/>
  <c r="O606" i="81" s="1"/>
  <c r="O607" i="81" s="1"/>
  <c r="I590" i="81"/>
  <c r="R623" i="81"/>
  <c r="R660" i="81"/>
  <c r="R730" i="81"/>
  <c r="R732" i="81"/>
  <c r="R761" i="81"/>
  <c r="E808" i="81"/>
  <c r="M888" i="81"/>
  <c r="G908" i="81"/>
  <c r="G930" i="81" s="1"/>
  <c r="M903" i="81"/>
  <c r="G907" i="81"/>
  <c r="E905" i="81"/>
  <c r="R239" i="81"/>
  <c r="R264" i="81"/>
  <c r="R342" i="81"/>
  <c r="R344" i="81"/>
  <c r="R364" i="81"/>
  <c r="R366" i="81"/>
  <c r="R368" i="81"/>
  <c r="R370" i="81"/>
  <c r="R383" i="81"/>
  <c r="I395" i="81"/>
  <c r="R417" i="81"/>
  <c r="R419" i="81"/>
  <c r="R438" i="81"/>
  <c r="R450" i="81"/>
  <c r="R452" i="81"/>
  <c r="R463" i="81"/>
  <c r="R497" i="81"/>
  <c r="R509" i="81"/>
  <c r="E548" i="81"/>
  <c r="R573" i="81"/>
  <c r="R598" i="81"/>
  <c r="H603" i="81"/>
  <c r="H606" i="81" s="1"/>
  <c r="H607" i="81" s="1"/>
  <c r="R636" i="81"/>
  <c r="R653" i="81"/>
  <c r="I666" i="81"/>
  <c r="Q712" i="81"/>
  <c r="R759" i="81"/>
  <c r="R789" i="81"/>
  <c r="K809" i="81"/>
  <c r="K813" i="81" s="1"/>
  <c r="K814" i="81" s="1"/>
  <c r="G863" i="81"/>
  <c r="G866" i="81" s="1"/>
  <c r="G867" i="81" s="1"/>
  <c r="R849" i="81"/>
  <c r="M886" i="81"/>
  <c r="M894" i="81"/>
  <c r="E903" i="81"/>
  <c r="R190" i="81"/>
  <c r="R192" i="81"/>
  <c r="C314" i="81"/>
  <c r="C322" i="81" s="1"/>
  <c r="C323" i="81" s="1"/>
  <c r="L314" i="81"/>
  <c r="L322" i="81" s="1"/>
  <c r="L323" i="81" s="1"/>
  <c r="R228" i="81"/>
  <c r="R247" i="81"/>
  <c r="R257" i="81"/>
  <c r="R259" i="81"/>
  <c r="R261" i="81"/>
  <c r="R272" i="81"/>
  <c r="R290" i="81"/>
  <c r="R292" i="81"/>
  <c r="I293" i="81"/>
  <c r="R296" i="81"/>
  <c r="R298" i="81"/>
  <c r="R306" i="81"/>
  <c r="N314" i="81"/>
  <c r="N322" i="81" s="1"/>
  <c r="R350" i="81"/>
  <c r="R352" i="81"/>
  <c r="R385" i="81"/>
  <c r="R387" i="81"/>
  <c r="R390" i="81"/>
  <c r="R399" i="81"/>
  <c r="AL401" i="81"/>
  <c r="R407" i="81"/>
  <c r="R425" i="81"/>
  <c r="R427" i="81"/>
  <c r="R446" i="81"/>
  <c r="R448" i="81"/>
  <c r="R458" i="81"/>
  <c r="R460" i="81"/>
  <c r="R471" i="81"/>
  <c r="Q479" i="81"/>
  <c r="R498" i="81"/>
  <c r="M504" i="81"/>
  <c r="M537" i="81"/>
  <c r="R572" i="81"/>
  <c r="M602" i="81"/>
  <c r="R629" i="81"/>
  <c r="R643" i="81"/>
  <c r="R665" i="81"/>
  <c r="R669" i="81"/>
  <c r="C714" i="81"/>
  <c r="C717" i="81" s="1"/>
  <c r="C718" i="81" s="1"/>
  <c r="D766" i="81"/>
  <c r="D769" i="81" s="1"/>
  <c r="D770" i="81" s="1"/>
  <c r="E764" i="81"/>
  <c r="E779" i="81"/>
  <c r="L809" i="81"/>
  <c r="L813" i="81" s="1"/>
  <c r="L815" i="81" s="1"/>
  <c r="I797" i="81"/>
  <c r="E801" i="81"/>
  <c r="R826" i="81"/>
  <c r="Q840" i="81"/>
  <c r="M851" i="81"/>
  <c r="E861" i="81"/>
  <c r="Q884" i="81"/>
  <c r="Q888" i="81"/>
  <c r="F895" i="81"/>
  <c r="F926" i="81" s="1"/>
  <c r="P895" i="81"/>
  <c r="P926" i="81" s="1"/>
  <c r="K899" i="81"/>
  <c r="K928" i="81" s="1"/>
  <c r="R222" i="81"/>
  <c r="R234" i="81"/>
  <c r="R236" i="81"/>
  <c r="R255" i="81"/>
  <c r="R265" i="81"/>
  <c r="R267" i="81"/>
  <c r="R269" i="81"/>
  <c r="R280" i="81"/>
  <c r="R303" i="81"/>
  <c r="I312" i="81"/>
  <c r="M313" i="81"/>
  <c r="R320" i="81"/>
  <c r="R358" i="81"/>
  <c r="R360" i="81"/>
  <c r="R372" i="81"/>
  <c r="R375" i="81"/>
  <c r="R392" i="81"/>
  <c r="R404" i="81"/>
  <c r="M409" i="81"/>
  <c r="R414" i="81"/>
  <c r="R433" i="81"/>
  <c r="R435" i="81"/>
  <c r="R454" i="81"/>
  <c r="R456" i="81"/>
  <c r="R466" i="81"/>
  <c r="R468" i="81"/>
  <c r="R484" i="81"/>
  <c r="Q537" i="81"/>
  <c r="R546" i="81"/>
  <c r="I548" i="81"/>
  <c r="R555" i="81"/>
  <c r="M556" i="81"/>
  <c r="Q557" i="81"/>
  <c r="R559" i="81"/>
  <c r="R582" i="81"/>
  <c r="M590" i="81"/>
  <c r="R618" i="81"/>
  <c r="R644" i="81"/>
  <c r="G714" i="81"/>
  <c r="G717" i="81" s="1"/>
  <c r="G718" i="81" s="1"/>
  <c r="F766" i="81"/>
  <c r="F769" i="81" s="1"/>
  <c r="F770" i="81" s="1"/>
  <c r="Q764" i="81"/>
  <c r="N809" i="81"/>
  <c r="N813" i="81" s="1"/>
  <c r="R811" i="81"/>
  <c r="I840" i="81"/>
  <c r="R847" i="81"/>
  <c r="E851" i="81"/>
  <c r="M862" i="81"/>
  <c r="M887" i="81"/>
  <c r="E894" i="81"/>
  <c r="I903" i="81"/>
  <c r="R213" i="81"/>
  <c r="M224" i="81"/>
  <c r="R242" i="81"/>
  <c r="R244" i="81"/>
  <c r="R263" i="81"/>
  <c r="R273" i="81"/>
  <c r="R275" i="81"/>
  <c r="R277" i="81"/>
  <c r="R288" i="81"/>
  <c r="R307" i="81"/>
  <c r="R311" i="81"/>
  <c r="R315" i="81"/>
  <c r="R317" i="81"/>
  <c r="R348" i="81"/>
  <c r="R382" i="81"/>
  <c r="Z401" i="81"/>
  <c r="AH403" i="81"/>
  <c r="R476" i="81"/>
  <c r="I479" i="81"/>
  <c r="R494" i="81"/>
  <c r="E602" i="81"/>
  <c r="R619" i="81"/>
  <c r="L668" i="81"/>
  <c r="L671" i="81" s="1"/>
  <c r="L672" i="81" s="1"/>
  <c r="R664" i="81"/>
  <c r="E666" i="81"/>
  <c r="M712" i="81"/>
  <c r="R728" i="81"/>
  <c r="P766" i="81"/>
  <c r="P769" i="81" s="1"/>
  <c r="P770" i="81" s="1"/>
  <c r="M740" i="81"/>
  <c r="R750" i="81"/>
  <c r="D809" i="81"/>
  <c r="D813" i="81" s="1"/>
  <c r="D815" i="81" s="1"/>
  <c r="R825" i="81"/>
  <c r="R828" i="81"/>
  <c r="R855" i="81"/>
  <c r="R858" i="81"/>
  <c r="I886" i="81"/>
  <c r="I888" i="81"/>
  <c r="H895" i="81"/>
  <c r="H926" i="81" s="1"/>
  <c r="Q894" i="81"/>
  <c r="C899" i="81"/>
  <c r="C928" i="81" s="1"/>
  <c r="N908" i="81"/>
  <c r="N930" i="81" s="1"/>
  <c r="C907" i="81"/>
  <c r="G958" i="81"/>
  <c r="R250" i="81"/>
  <c r="R252" i="81"/>
  <c r="R281" i="81"/>
  <c r="R283" i="81"/>
  <c r="R285" i="81"/>
  <c r="R341" i="81"/>
  <c r="R343" i="81"/>
  <c r="R367" i="81"/>
  <c r="R369" i="81"/>
  <c r="R415" i="81"/>
  <c r="R418" i="81"/>
  <c r="R420" i="81"/>
  <c r="R431" i="81"/>
  <c r="R449" i="81"/>
  <c r="R451" i="81"/>
  <c r="R470" i="81"/>
  <c r="R472" i="81"/>
  <c r="R485" i="81"/>
  <c r="R534" i="81"/>
  <c r="I557" i="81"/>
  <c r="R637" i="81"/>
  <c r="O668" i="81"/>
  <c r="O671" i="81" s="1"/>
  <c r="O672" i="81" s="1"/>
  <c r="G668" i="81"/>
  <c r="G671" i="81" s="1"/>
  <c r="G672" i="81" s="1"/>
  <c r="L766" i="81"/>
  <c r="L769" i="81" s="1"/>
  <c r="L770" i="81" s="1"/>
  <c r="K890" i="81"/>
  <c r="K924" i="81" s="1"/>
  <c r="O908" i="81"/>
  <c r="O930" i="81" s="1"/>
  <c r="O907" i="81"/>
  <c r="AD941" i="81"/>
  <c r="AO941" i="81" s="1"/>
  <c r="AD945" i="81"/>
  <c r="AO945" i="81" s="1"/>
  <c r="R189" i="81"/>
  <c r="R191" i="81"/>
  <c r="R208" i="81"/>
  <c r="R229" i="81"/>
  <c r="R240" i="81"/>
  <c r="R258" i="81"/>
  <c r="R260" i="81"/>
  <c r="R279" i="81"/>
  <c r="R289" i="81"/>
  <c r="R291" i="81"/>
  <c r="R297" i="81"/>
  <c r="R300" i="81"/>
  <c r="M312" i="81"/>
  <c r="Q313" i="81"/>
  <c r="R319" i="81"/>
  <c r="R331" i="81"/>
  <c r="R333" i="81" s="1"/>
  <c r="R345" i="81"/>
  <c r="R349" i="81"/>
  <c r="R351" i="81"/>
  <c r="R388" i="81"/>
  <c r="R391" i="81"/>
  <c r="R400" i="81"/>
  <c r="AH402" i="81"/>
  <c r="Q409" i="81"/>
  <c r="R413" i="81"/>
  <c r="R424" i="81"/>
  <c r="R426" i="81"/>
  <c r="R428" i="81"/>
  <c r="R439" i="81"/>
  <c r="R457" i="81"/>
  <c r="R459" i="81"/>
  <c r="R478" i="81"/>
  <c r="R492" i="81"/>
  <c r="R495" i="81"/>
  <c r="R502" i="81"/>
  <c r="R507" i="81"/>
  <c r="R540" i="81"/>
  <c r="I542" i="81"/>
  <c r="O558" i="81"/>
  <c r="O561" i="81" s="1"/>
  <c r="O562" i="81" s="1"/>
  <c r="N558" i="81"/>
  <c r="N561" i="81" s="1"/>
  <c r="E590" i="81"/>
  <c r="E601" i="81"/>
  <c r="R627" i="81"/>
  <c r="M649" i="81"/>
  <c r="Q666" i="81"/>
  <c r="R679" i="81"/>
  <c r="E705" i="81"/>
  <c r="R715" i="81"/>
  <c r="I736" i="81"/>
  <c r="R743" i="81"/>
  <c r="E754" i="81"/>
  <c r="Q754" i="81"/>
  <c r="Q801" i="81"/>
  <c r="C890" i="81"/>
  <c r="C924" i="81" s="1"/>
  <c r="I894" i="81"/>
  <c r="J889" i="79"/>
  <c r="J920" i="79" s="1"/>
  <c r="M15" i="79"/>
  <c r="K59" i="79"/>
  <c r="K62" i="79" s="1"/>
  <c r="K63" i="79" s="1"/>
  <c r="D59" i="79"/>
  <c r="D62" i="79" s="1"/>
  <c r="D63" i="79" s="1"/>
  <c r="R72" i="79"/>
  <c r="R74" i="79"/>
  <c r="R101" i="79"/>
  <c r="R116" i="79"/>
  <c r="R248" i="79"/>
  <c r="R254" i="79"/>
  <c r="R258" i="79"/>
  <c r="R302" i="79"/>
  <c r="I330" i="79"/>
  <c r="R395" i="79"/>
  <c r="R485" i="79"/>
  <c r="R499" i="79"/>
  <c r="M501" i="79"/>
  <c r="M581" i="79"/>
  <c r="E586" i="79"/>
  <c r="R661" i="79"/>
  <c r="G710" i="79"/>
  <c r="G713" i="79" s="1"/>
  <c r="G714" i="79" s="1"/>
  <c r="P710" i="79"/>
  <c r="P713" i="79" s="1"/>
  <c r="P714" i="79" s="1"/>
  <c r="R711" i="79"/>
  <c r="Q761" i="79"/>
  <c r="B805" i="79"/>
  <c r="B809" i="79" s="1"/>
  <c r="R819" i="79"/>
  <c r="M834" i="79"/>
  <c r="M845" i="79"/>
  <c r="I883" i="79"/>
  <c r="E897" i="79"/>
  <c r="Q15" i="79"/>
  <c r="Q17" i="79"/>
  <c r="I18" i="79"/>
  <c r="B59" i="79"/>
  <c r="B62" i="79" s="1"/>
  <c r="P59" i="79"/>
  <c r="P62" i="79" s="1"/>
  <c r="P63" i="79" s="1"/>
  <c r="R114" i="79"/>
  <c r="R130" i="79"/>
  <c r="R173" i="79"/>
  <c r="R208" i="79"/>
  <c r="R211" i="79"/>
  <c r="E221" i="79"/>
  <c r="R299" i="79"/>
  <c r="Z397" i="79"/>
  <c r="R497" i="79"/>
  <c r="Q500" i="79"/>
  <c r="K554" i="79"/>
  <c r="K557" i="79" s="1"/>
  <c r="K558" i="79" s="1"/>
  <c r="R595" i="79"/>
  <c r="I635" i="79"/>
  <c r="L710" i="79"/>
  <c r="L713" i="79" s="1"/>
  <c r="L714" i="79" s="1"/>
  <c r="E701" i="79"/>
  <c r="Q701" i="79"/>
  <c r="E708" i="79"/>
  <c r="H805" i="79"/>
  <c r="H809" i="79" s="1"/>
  <c r="H811" i="79" s="1"/>
  <c r="Q793" i="79"/>
  <c r="Q856" i="79"/>
  <c r="I881" i="79"/>
  <c r="L902" i="79"/>
  <c r="L924" i="79" s="1"/>
  <c r="Q898" i="79"/>
  <c r="M899" i="79"/>
  <c r="AD933" i="79"/>
  <c r="AO933" i="79" s="1"/>
  <c r="M18" i="79"/>
  <c r="M41" i="79"/>
  <c r="I57" i="79"/>
  <c r="R60" i="79"/>
  <c r="I96" i="79"/>
  <c r="R125" i="79"/>
  <c r="I127" i="79"/>
  <c r="M128" i="79"/>
  <c r="H884" i="79"/>
  <c r="H918" i="79" s="1"/>
  <c r="R206" i="79"/>
  <c r="M330" i="79"/>
  <c r="Z399" i="79"/>
  <c r="R441" i="79"/>
  <c r="R492" i="79"/>
  <c r="R494" i="79"/>
  <c r="E501" i="79"/>
  <c r="R529" i="79"/>
  <c r="N554" i="79"/>
  <c r="N557" i="79" s="1"/>
  <c r="R571" i="79"/>
  <c r="E581" i="79"/>
  <c r="Q586" i="79"/>
  <c r="Q598" i="79"/>
  <c r="R625" i="79"/>
  <c r="E629" i="79"/>
  <c r="R633" i="79"/>
  <c r="R639" i="79"/>
  <c r="R641" i="79"/>
  <c r="M662" i="79"/>
  <c r="J710" i="79"/>
  <c r="J713" i="79" s="1"/>
  <c r="J714" i="79" s="1"/>
  <c r="R749" i="79"/>
  <c r="R756" i="79"/>
  <c r="E760" i="79"/>
  <c r="E803" i="79"/>
  <c r="I804" i="79"/>
  <c r="R822" i="79"/>
  <c r="E834" i="79"/>
  <c r="R851" i="79"/>
  <c r="E886" i="79"/>
  <c r="Q900" i="79"/>
  <c r="AE968" i="79"/>
  <c r="G59" i="79"/>
  <c r="G62" i="79" s="1"/>
  <c r="G63" i="79" s="1"/>
  <c r="R123" i="79"/>
  <c r="R204" i="79"/>
  <c r="R301" i="79"/>
  <c r="Q405" i="79"/>
  <c r="R422" i="79"/>
  <c r="R504" i="79"/>
  <c r="Q538" i="79"/>
  <c r="I553" i="79"/>
  <c r="K599" i="79"/>
  <c r="K602" i="79" s="1"/>
  <c r="K603" i="79" s="1"/>
  <c r="R620" i="79"/>
  <c r="Q629" i="79"/>
  <c r="Q645" i="79"/>
  <c r="R652" i="79"/>
  <c r="R654" i="79"/>
  <c r="R657" i="79"/>
  <c r="R665" i="79"/>
  <c r="Q697" i="79"/>
  <c r="K762" i="79"/>
  <c r="K765" i="79" s="1"/>
  <c r="K766" i="79" s="1"/>
  <c r="E775" i="79"/>
  <c r="Q803" i="79"/>
  <c r="Q834" i="79"/>
  <c r="Q845" i="79"/>
  <c r="R849" i="79"/>
  <c r="M883" i="79"/>
  <c r="P902" i="79"/>
  <c r="P924" i="79" s="1"/>
  <c r="I898" i="79"/>
  <c r="M58" i="79"/>
  <c r="R81" i="79"/>
  <c r="R102" i="79"/>
  <c r="R104" i="79"/>
  <c r="R106" i="79"/>
  <c r="R168" i="79"/>
  <c r="R251" i="79"/>
  <c r="R481" i="79"/>
  <c r="R484" i="79"/>
  <c r="R496" i="79"/>
  <c r="Q501" i="79"/>
  <c r="P554" i="79"/>
  <c r="P557" i="79" s="1"/>
  <c r="P558" i="79" s="1"/>
  <c r="M544" i="79"/>
  <c r="R555" i="79"/>
  <c r="Q597" i="79"/>
  <c r="I598" i="79"/>
  <c r="M635" i="79"/>
  <c r="D664" i="79"/>
  <c r="D667" i="79" s="1"/>
  <c r="D668" i="79" s="1"/>
  <c r="E662" i="79"/>
  <c r="Q662" i="79"/>
  <c r="E709" i="79"/>
  <c r="E732" i="79"/>
  <c r="R763" i="79"/>
  <c r="C805" i="79"/>
  <c r="C809" i="79" s="1"/>
  <c r="C810" i="79" s="1"/>
  <c r="M797" i="79"/>
  <c r="R806" i="79"/>
  <c r="E881" i="79"/>
  <c r="I882" i="79"/>
  <c r="P889" i="79"/>
  <c r="P920" i="79" s="1"/>
  <c r="B902" i="79"/>
  <c r="B924" i="79" s="1"/>
  <c r="I14" i="79"/>
  <c r="Q16" i="79"/>
  <c r="E58" i="79"/>
  <c r="R73" i="79"/>
  <c r="R84" i="79"/>
  <c r="Q128" i="79"/>
  <c r="R205" i="79"/>
  <c r="R212" i="79"/>
  <c r="R219" i="79"/>
  <c r="Q309" i="79"/>
  <c r="R384" i="79"/>
  <c r="AH399" i="79"/>
  <c r="R442" i="79"/>
  <c r="R444" i="79"/>
  <c r="R527" i="79"/>
  <c r="I538" i="79"/>
  <c r="Q552" i="79"/>
  <c r="Q575" i="79"/>
  <c r="I597" i="79"/>
  <c r="R600" i="79"/>
  <c r="I645" i="79"/>
  <c r="M663" i="79"/>
  <c r="R742" i="79"/>
  <c r="R757" i="79"/>
  <c r="M761" i="79"/>
  <c r="N805" i="79"/>
  <c r="N809" i="79" s="1"/>
  <c r="I834" i="79"/>
  <c r="I879" i="79"/>
  <c r="E883" i="79"/>
  <c r="H902" i="79"/>
  <c r="H924" i="79" s="1"/>
  <c r="Q896" i="79"/>
  <c r="O901" i="79"/>
  <c r="M57" i="79"/>
  <c r="G129" i="79"/>
  <c r="G132" i="79" s="1"/>
  <c r="G133" i="79" s="1"/>
  <c r="R100" i="79"/>
  <c r="R112" i="79"/>
  <c r="R172" i="79"/>
  <c r="R298" i="79"/>
  <c r="I309" i="79"/>
  <c r="R312" i="79"/>
  <c r="R389" i="79"/>
  <c r="R399" i="79"/>
  <c r="R425" i="79"/>
  <c r="R491" i="79"/>
  <c r="R493" i="79"/>
  <c r="I501" i="79"/>
  <c r="R542" i="79"/>
  <c r="E544" i="79"/>
  <c r="I552" i="79"/>
  <c r="M586" i="79"/>
  <c r="R627" i="79"/>
  <c r="R632" i="79"/>
  <c r="R640" i="79"/>
  <c r="R642" i="79"/>
  <c r="R648" i="79"/>
  <c r="R660" i="79"/>
  <c r="I662" i="79"/>
  <c r="O762" i="79"/>
  <c r="O765" i="79" s="1"/>
  <c r="O766" i="79" s="1"/>
  <c r="O805" i="79"/>
  <c r="O809" i="79" s="1"/>
  <c r="O811" i="79" s="1"/>
  <c r="P949" i="79" s="1"/>
  <c r="R823" i="79"/>
  <c r="R832" i="79"/>
  <c r="E856" i="79"/>
  <c r="M882" i="79"/>
  <c r="Q883" i="79"/>
  <c r="D902" i="79"/>
  <c r="D924" i="79" s="1"/>
  <c r="H1062" i="81"/>
  <c r="N1062" i="81"/>
  <c r="L1062" i="81"/>
  <c r="K1062" i="81"/>
  <c r="I1062" i="81"/>
  <c r="G979" i="81"/>
  <c r="L1063" i="81"/>
  <c r="K1063" i="81"/>
  <c r="I1063" i="81"/>
  <c r="H1063" i="81"/>
  <c r="N1063" i="81"/>
  <c r="J28" i="81"/>
  <c r="H1064" i="81"/>
  <c r="N1064" i="81"/>
  <c r="I1064" i="81"/>
  <c r="L1064" i="81"/>
  <c r="K1064" i="81"/>
  <c r="K682" i="81"/>
  <c r="K334" i="81"/>
  <c r="AP943" i="81" s="1"/>
  <c r="I1057" i="81"/>
  <c r="N1057" i="81"/>
  <c r="K1057" i="81"/>
  <c r="H1057" i="81"/>
  <c r="L1057" i="81"/>
  <c r="B780" i="81"/>
  <c r="B28" i="81"/>
  <c r="L1065" i="81"/>
  <c r="K1065" i="81"/>
  <c r="I1065" i="81"/>
  <c r="H1065" i="81"/>
  <c r="N1065" i="81"/>
  <c r="L780" i="81"/>
  <c r="L682" i="81"/>
  <c r="L28" i="81"/>
  <c r="K1058" i="81"/>
  <c r="H1058" i="81"/>
  <c r="N1058" i="81"/>
  <c r="I1058" i="81"/>
  <c r="L1058" i="81"/>
  <c r="C334" i="81"/>
  <c r="AP937" i="81" s="1"/>
  <c r="H1066" i="81"/>
  <c r="N1066" i="81"/>
  <c r="K1066" i="81"/>
  <c r="I1066" i="81"/>
  <c r="L1066" i="81"/>
  <c r="J1066" i="81"/>
  <c r="N780" i="81"/>
  <c r="N682" i="81"/>
  <c r="N28" i="81"/>
  <c r="I1059" i="81"/>
  <c r="N1059" i="81"/>
  <c r="L1059" i="81"/>
  <c r="H1059" i="81"/>
  <c r="K1059" i="81"/>
  <c r="F976" i="81"/>
  <c r="D28" i="81"/>
  <c r="L1067" i="81"/>
  <c r="K1067" i="81"/>
  <c r="I1067" i="81"/>
  <c r="N1067" i="81"/>
  <c r="H1067" i="81"/>
  <c r="O28" i="81"/>
  <c r="K1060" i="81"/>
  <c r="N1060" i="81"/>
  <c r="L1060" i="81"/>
  <c r="H1060" i="81"/>
  <c r="I1060" i="81"/>
  <c r="H1068" i="81"/>
  <c r="N1068" i="81"/>
  <c r="L1068" i="81"/>
  <c r="K1068" i="81"/>
  <c r="I1068" i="81"/>
  <c r="J1068" i="81"/>
  <c r="P334" i="81"/>
  <c r="AP947" i="81" s="1"/>
  <c r="I1061" i="81"/>
  <c r="N1061" i="81"/>
  <c r="L1061" i="81"/>
  <c r="K1061" i="81"/>
  <c r="H1061" i="81"/>
  <c r="J1061" i="81"/>
  <c r="G780" i="81"/>
  <c r="F28" i="81"/>
  <c r="P28" i="81"/>
  <c r="L334" i="81"/>
  <c r="AP944" i="81" s="1"/>
  <c r="K780" i="81"/>
  <c r="N334" i="81"/>
  <c r="AP945" i="81" s="1"/>
  <c r="D334" i="81"/>
  <c r="AP938" i="81" s="1"/>
  <c r="H28" i="81"/>
  <c r="O334" i="81"/>
  <c r="AP946" i="81" s="1"/>
  <c r="F334" i="81"/>
  <c r="AP939" i="81" s="1"/>
  <c r="G334" i="81"/>
  <c r="AP940" i="81" s="1"/>
  <c r="H334" i="81"/>
  <c r="AP941" i="81" s="1"/>
  <c r="E50" i="81"/>
  <c r="M50" i="81"/>
  <c r="D506" i="81"/>
  <c r="D511" i="81" s="1"/>
  <c r="L506" i="81"/>
  <c r="L511" i="81" s="1"/>
  <c r="AB403" i="81"/>
  <c r="R487" i="81"/>
  <c r="C558" i="81"/>
  <c r="C561" i="81" s="1"/>
  <c r="L558" i="81"/>
  <c r="L561" i="81" s="1"/>
  <c r="R575" i="81"/>
  <c r="F603" i="81"/>
  <c r="I579" i="81"/>
  <c r="I602" i="81"/>
  <c r="R617" i="81"/>
  <c r="R645" i="81"/>
  <c r="R661" i="81"/>
  <c r="H682" i="81"/>
  <c r="R692" i="81"/>
  <c r="I705" i="81"/>
  <c r="I713" i="81"/>
  <c r="H766" i="81"/>
  <c r="H769" i="81" s="1"/>
  <c r="Q736" i="81"/>
  <c r="Q903" i="81"/>
  <c r="G28" i="81"/>
  <c r="F59" i="81"/>
  <c r="N59" i="81"/>
  <c r="G131" i="81"/>
  <c r="G134" i="81" s="1"/>
  <c r="O131" i="81"/>
  <c r="O134" i="81" s="1"/>
  <c r="E217" i="81"/>
  <c r="M217" i="81"/>
  <c r="E395" i="81"/>
  <c r="M395" i="81"/>
  <c r="AC403" i="81"/>
  <c r="J668" i="81"/>
  <c r="M633" i="81"/>
  <c r="J780" i="81"/>
  <c r="M779" i="81"/>
  <c r="R1144" i="81"/>
  <c r="R1099" i="81"/>
  <c r="R1074" i="81"/>
  <c r="AS1021" i="81"/>
  <c r="AS986" i="81"/>
  <c r="R1020" i="81"/>
  <c r="R991" i="81"/>
  <c r="AT959" i="81"/>
  <c r="R965" i="81"/>
  <c r="R936" i="81"/>
  <c r="R871" i="81"/>
  <c r="R912" i="81"/>
  <c r="AT927" i="81"/>
  <c r="I333" i="81"/>
  <c r="Q333" i="81"/>
  <c r="J334" i="81"/>
  <c r="AP942" i="81" s="1"/>
  <c r="F506" i="81"/>
  <c r="N506" i="81"/>
  <c r="R531" i="81"/>
  <c r="E537" i="81"/>
  <c r="R599" i="81"/>
  <c r="B668" i="81"/>
  <c r="E633" i="81"/>
  <c r="M681" i="81"/>
  <c r="J682" i="81"/>
  <c r="R729" i="81"/>
  <c r="R838" i="81"/>
  <c r="E901" i="81"/>
  <c r="B908" i="81"/>
  <c r="I27" i="81"/>
  <c r="Q27" i="81"/>
  <c r="G506" i="81"/>
  <c r="G511" i="81" s="1"/>
  <c r="O506" i="81"/>
  <c r="O511" i="81" s="1"/>
  <c r="AA401" i="81"/>
  <c r="AD401" i="81" s="1"/>
  <c r="AC402" i="81"/>
  <c r="R482" i="81"/>
  <c r="R501" i="81"/>
  <c r="R508" i="81"/>
  <c r="J603" i="81"/>
  <c r="R657" i="81"/>
  <c r="Q667" i="81"/>
  <c r="E681" i="81"/>
  <c r="B682" i="81"/>
  <c r="I701" i="81"/>
  <c r="K28" i="81"/>
  <c r="B334" i="81"/>
  <c r="AP936" i="81" s="1"/>
  <c r="R496" i="81"/>
  <c r="Q542" i="81"/>
  <c r="F558" i="81"/>
  <c r="B603" i="81"/>
  <c r="K603" i="81"/>
  <c r="K606" i="81" s="1"/>
  <c r="E585" i="81"/>
  <c r="R625" i="81"/>
  <c r="Q639" i="81"/>
  <c r="I667" i="81"/>
  <c r="C682" i="81"/>
  <c r="I793" i="81"/>
  <c r="H809" i="81"/>
  <c r="H813" i="81" s="1"/>
  <c r="C131" i="81"/>
  <c r="C134" i="81" s="1"/>
  <c r="K131" i="81"/>
  <c r="K134" i="81" s="1"/>
  <c r="D682" i="81"/>
  <c r="Q797" i="81"/>
  <c r="O809" i="81"/>
  <c r="O813" i="81" s="1"/>
  <c r="M835" i="81"/>
  <c r="K863" i="81"/>
  <c r="C28" i="81"/>
  <c r="M505" i="81"/>
  <c r="R554" i="81"/>
  <c r="D603" i="81"/>
  <c r="D606" i="81" s="1"/>
  <c r="R622" i="81"/>
  <c r="P668" i="81"/>
  <c r="P671" i="81" s="1"/>
  <c r="F682" i="81"/>
  <c r="O682" i="81"/>
  <c r="H714" i="81"/>
  <c r="H717" i="81" s="1"/>
  <c r="Q697" i="81"/>
  <c r="Q705" i="81"/>
  <c r="N603" i="81"/>
  <c r="Q579" i="81"/>
  <c r="F668" i="81"/>
  <c r="G682" i="81"/>
  <c r="P682" i="81"/>
  <c r="R749" i="81"/>
  <c r="R854" i="81"/>
  <c r="F890" i="81"/>
  <c r="O890" i="81"/>
  <c r="J895" i="81"/>
  <c r="M892" i="81"/>
  <c r="Q897" i="81"/>
  <c r="N899" i="81"/>
  <c r="C766" i="81"/>
  <c r="C769" i="81" s="1"/>
  <c r="K766" i="81"/>
  <c r="K769" i="81" s="1"/>
  <c r="I754" i="81"/>
  <c r="C780" i="81"/>
  <c r="B809" i="81"/>
  <c r="E835" i="81"/>
  <c r="C863" i="81"/>
  <c r="C866" i="81" s="1"/>
  <c r="Q835" i="81"/>
  <c r="I862" i="81"/>
  <c r="R864" i="81"/>
  <c r="G890" i="81"/>
  <c r="Q887" i="81"/>
  <c r="N907" i="81"/>
  <c r="F982" i="81"/>
  <c r="B714" i="81"/>
  <c r="J714" i="81"/>
  <c r="Q779" i="81"/>
  <c r="O780" i="81"/>
  <c r="R848" i="81"/>
  <c r="P890" i="81"/>
  <c r="B895" i="81"/>
  <c r="E892" i="81"/>
  <c r="I897" i="81"/>
  <c r="F899" i="81"/>
  <c r="F908" i="81"/>
  <c r="P908" i="81"/>
  <c r="P930" i="81" s="1"/>
  <c r="E736" i="81"/>
  <c r="M736" i="81"/>
  <c r="R753" i="81"/>
  <c r="R760" i="81"/>
  <c r="F780" i="81"/>
  <c r="P780" i="81"/>
  <c r="M797" i="81"/>
  <c r="Q808" i="81"/>
  <c r="I835" i="81"/>
  <c r="P863" i="81"/>
  <c r="P866" i="81" s="1"/>
  <c r="Q861" i="81"/>
  <c r="I885" i="81"/>
  <c r="Q885" i="81"/>
  <c r="I887" i="81"/>
  <c r="F907" i="81"/>
  <c r="D714" i="81"/>
  <c r="D717" i="81" s="1"/>
  <c r="L714" i="81"/>
  <c r="L717" i="81" s="1"/>
  <c r="N766" i="81"/>
  <c r="R748" i="81"/>
  <c r="I779" i="81"/>
  <c r="Q793" i="81"/>
  <c r="P809" i="81"/>
  <c r="P813" i="81" s="1"/>
  <c r="R833" i="81"/>
  <c r="J890" i="81"/>
  <c r="M884" i="81"/>
  <c r="H908" i="81"/>
  <c r="H930" i="81" s="1"/>
  <c r="F974" i="81"/>
  <c r="M754" i="81"/>
  <c r="H780" i="81"/>
  <c r="E797" i="81"/>
  <c r="I808" i="81"/>
  <c r="H863" i="81"/>
  <c r="H866" i="81" s="1"/>
  <c r="R844" i="81"/>
  <c r="I861" i="81"/>
  <c r="B890" i="81"/>
  <c r="E884" i="81"/>
  <c r="Q886" i="81"/>
  <c r="M901" i="81"/>
  <c r="J908" i="81"/>
  <c r="AO936" i="81"/>
  <c r="I892" i="81"/>
  <c r="Q892" i="81"/>
  <c r="E897" i="81"/>
  <c r="M897" i="81"/>
  <c r="I901" i="81"/>
  <c r="Q901" i="81"/>
  <c r="K907" i="81"/>
  <c r="G975" i="81"/>
  <c r="AG975" i="81"/>
  <c r="AD940" i="81"/>
  <c r="AF975" i="81"/>
  <c r="AD975" i="81"/>
  <c r="F958" i="81"/>
  <c r="E793" i="81"/>
  <c r="M793" i="81"/>
  <c r="D780" i="81"/>
  <c r="I904" i="81"/>
  <c r="Q904" i="81"/>
  <c r="AE975" i="81"/>
  <c r="F978" i="81"/>
  <c r="G977" i="81"/>
  <c r="G985" i="81"/>
  <c r="E904" i="81"/>
  <c r="G976" i="81"/>
  <c r="G984" i="81"/>
  <c r="AE982" i="81"/>
  <c r="AD982" i="81"/>
  <c r="AF982" i="81"/>
  <c r="AF973" i="81"/>
  <c r="G974" i="81"/>
  <c r="F979" i="81"/>
  <c r="AE972" i="81"/>
  <c r="G978" i="81"/>
  <c r="AG978" i="81"/>
  <c r="AF972" i="81"/>
  <c r="AD974" i="81"/>
  <c r="AO944" i="81"/>
  <c r="G980" i="81"/>
  <c r="AF978" i="81"/>
  <c r="F981" i="81"/>
  <c r="AD978" i="81"/>
  <c r="AD971" i="81"/>
  <c r="AG972" i="81"/>
  <c r="AE974" i="81"/>
  <c r="F975" i="81"/>
  <c r="F977" i="81"/>
  <c r="AD977" i="81"/>
  <c r="F980" i="81"/>
  <c r="G981" i="81"/>
  <c r="AG979" i="81"/>
  <c r="AF979" i="81"/>
  <c r="AE971" i="81"/>
  <c r="AF974" i="81"/>
  <c r="AD976" i="81"/>
  <c r="AE977" i="81"/>
  <c r="AD979" i="81"/>
  <c r="F985" i="81"/>
  <c r="G982" i="81"/>
  <c r="AE980" i="81"/>
  <c r="F983" i="81"/>
  <c r="AD980" i="81"/>
  <c r="AF980" i="81"/>
  <c r="AF971" i="81"/>
  <c r="AD973" i="81"/>
  <c r="AG974" i="81"/>
  <c r="AE976" i="81"/>
  <c r="AF977" i="81"/>
  <c r="AE979" i="81"/>
  <c r="AG982" i="81"/>
  <c r="G983" i="81"/>
  <c r="F984" i="81"/>
  <c r="AG981" i="81"/>
  <c r="AF981" i="81"/>
  <c r="AE981" i="81"/>
  <c r="AG971" i="81"/>
  <c r="AE973" i="81"/>
  <c r="AF976" i="81"/>
  <c r="AG977" i="81"/>
  <c r="AD981" i="81"/>
  <c r="J1064" i="81"/>
  <c r="J1062" i="81"/>
  <c r="J1057" i="81"/>
  <c r="J1059" i="81"/>
  <c r="J1058" i="81"/>
  <c r="J1060" i="81"/>
  <c r="J1063" i="81"/>
  <c r="J1065" i="81"/>
  <c r="L1117" i="81"/>
  <c r="G1172" i="81"/>
  <c r="I1159" i="81"/>
  <c r="J1160" i="81" s="1"/>
  <c r="J1067" i="81"/>
  <c r="AD1105" i="81"/>
  <c r="AD1087" i="81"/>
  <c r="AD1085" i="81"/>
  <c r="AD1083" i="81"/>
  <c r="AD1088" i="81"/>
  <c r="AD1091" i="81"/>
  <c r="AD1096" i="81"/>
  <c r="AD1094" i="81"/>
  <c r="L1116" i="81"/>
  <c r="I1172" i="81"/>
  <c r="AD1102" i="81"/>
  <c r="AD1100" i="81"/>
  <c r="AD1103" i="81"/>
  <c r="AD1098" i="81"/>
  <c r="AD1101" i="81"/>
  <c r="AD1099" i="81"/>
  <c r="AD1090" i="81"/>
  <c r="AD1093" i="81"/>
  <c r="AD1104" i="81"/>
  <c r="M1172" i="81"/>
  <c r="N1163" i="81"/>
  <c r="G1109" i="81"/>
  <c r="C1082" i="81" s="1"/>
  <c r="L1109" i="81"/>
  <c r="E1172" i="81"/>
  <c r="G1120" i="81"/>
  <c r="C1093" i="81" s="1"/>
  <c r="N1160" i="81"/>
  <c r="R170" i="79"/>
  <c r="R171" i="79"/>
  <c r="I845" i="79"/>
  <c r="R840" i="79"/>
  <c r="R842" i="79"/>
  <c r="R838" i="79"/>
  <c r="R844" i="79"/>
  <c r="C893" i="79"/>
  <c r="C922" i="79" s="1"/>
  <c r="E845" i="79"/>
  <c r="Q829" i="79"/>
  <c r="G857" i="79"/>
  <c r="G860" i="79" s="1"/>
  <c r="G861" i="79" s="1"/>
  <c r="Q750" i="79"/>
  <c r="P762" i="79"/>
  <c r="P765" i="79" s="1"/>
  <c r="P766" i="79" s="1"/>
  <c r="L762" i="79"/>
  <c r="L765" i="79" s="1"/>
  <c r="L766" i="79" s="1"/>
  <c r="R746" i="79"/>
  <c r="R745" i="79"/>
  <c r="M750" i="79"/>
  <c r="H762" i="79"/>
  <c r="H765" i="79" s="1"/>
  <c r="H766" i="79" s="1"/>
  <c r="R743" i="79"/>
  <c r="R741" i="79"/>
  <c r="R739" i="79"/>
  <c r="D762" i="79"/>
  <c r="D765" i="79" s="1"/>
  <c r="D766" i="79" s="1"/>
  <c r="R724" i="79"/>
  <c r="R727" i="79"/>
  <c r="R723" i="79"/>
  <c r="C762" i="79"/>
  <c r="C765" i="79" s="1"/>
  <c r="C766" i="79" s="1"/>
  <c r="R687" i="79"/>
  <c r="R689" i="79"/>
  <c r="E693" i="79"/>
  <c r="L664" i="79"/>
  <c r="L667" i="79" s="1"/>
  <c r="L668" i="79" s="1"/>
  <c r="R614" i="79"/>
  <c r="R616" i="79"/>
  <c r="R622" i="79"/>
  <c r="G664" i="79"/>
  <c r="G667" i="79" s="1"/>
  <c r="G668" i="79" s="1"/>
  <c r="R615" i="79"/>
  <c r="R617" i="79"/>
  <c r="R621" i="79"/>
  <c r="R612" i="79"/>
  <c r="R579" i="79"/>
  <c r="G599" i="79"/>
  <c r="G602" i="79" s="1"/>
  <c r="G603" i="79" s="1"/>
  <c r="R578" i="79"/>
  <c r="D599" i="79"/>
  <c r="D602" i="79" s="1"/>
  <c r="D603" i="79" s="1"/>
  <c r="R569" i="79"/>
  <c r="L599" i="79"/>
  <c r="L602" i="79" s="1"/>
  <c r="L603" i="79" s="1"/>
  <c r="K889" i="79"/>
  <c r="K920" i="79" s="1"/>
  <c r="R536" i="79"/>
  <c r="M538" i="79"/>
  <c r="H889" i="79"/>
  <c r="H920" i="79" s="1"/>
  <c r="F554" i="79"/>
  <c r="F557" i="79" s="1"/>
  <c r="R526" i="79"/>
  <c r="I533" i="79"/>
  <c r="R524" i="79"/>
  <c r="R464" i="79"/>
  <c r="R470" i="79"/>
  <c r="R472" i="79"/>
  <c r="R462" i="79"/>
  <c r="R467" i="79"/>
  <c r="R465" i="79"/>
  <c r="R473" i="79"/>
  <c r="R463" i="79"/>
  <c r="R471" i="79"/>
  <c r="R450" i="79"/>
  <c r="R452" i="79"/>
  <c r="R458" i="79"/>
  <c r="R460" i="79"/>
  <c r="R431" i="79"/>
  <c r="R416" i="79"/>
  <c r="R469" i="79"/>
  <c r="R454" i="79"/>
  <c r="R466" i="79"/>
  <c r="R468" i="79"/>
  <c r="R417" i="79"/>
  <c r="R419" i="79"/>
  <c r="R421" i="79"/>
  <c r="R443" i="79"/>
  <c r="R445" i="79"/>
  <c r="R451" i="79"/>
  <c r="R453" i="79"/>
  <c r="R459" i="79"/>
  <c r="R461" i="79"/>
  <c r="R474" i="79"/>
  <c r="R408" i="79"/>
  <c r="R423" i="79"/>
  <c r="R447" i="79"/>
  <c r="R449" i="79"/>
  <c r="R455" i="79"/>
  <c r="R457" i="79"/>
  <c r="R411" i="79"/>
  <c r="R414" i="79"/>
  <c r="R427" i="79"/>
  <c r="R456" i="79"/>
  <c r="R418" i="79"/>
  <c r="R420" i="79"/>
  <c r="G502" i="79"/>
  <c r="G507" i="79" s="1"/>
  <c r="G508" i="79" s="1"/>
  <c r="R434" i="79"/>
  <c r="R436" i="79"/>
  <c r="R438" i="79"/>
  <c r="R410" i="79"/>
  <c r="R426" i="79"/>
  <c r="R428" i="79"/>
  <c r="R430" i="79"/>
  <c r="R432" i="79"/>
  <c r="R435" i="79"/>
  <c r="R437" i="79"/>
  <c r="R448" i="79"/>
  <c r="R439" i="79"/>
  <c r="R415" i="79"/>
  <c r="R440" i="79"/>
  <c r="R397" i="79"/>
  <c r="R403" i="79"/>
  <c r="R400" i="79"/>
  <c r="R402" i="79"/>
  <c r="I887" i="79"/>
  <c r="R396" i="79"/>
  <c r="R401" i="79"/>
  <c r="R339" i="79"/>
  <c r="R377" i="79"/>
  <c r="R380" i="79"/>
  <c r="R345" i="79"/>
  <c r="R369" i="79"/>
  <c r="R341" i="79"/>
  <c r="R355" i="79"/>
  <c r="R361" i="79"/>
  <c r="R363" i="79"/>
  <c r="R376" i="79"/>
  <c r="R344" i="79"/>
  <c r="M879" i="79"/>
  <c r="R375" i="79"/>
  <c r="R366" i="79"/>
  <c r="R340" i="79"/>
  <c r="R342" i="79"/>
  <c r="R372" i="79"/>
  <c r="R349" i="79"/>
  <c r="R351" i="79"/>
  <c r="R354" i="79"/>
  <c r="R358" i="79"/>
  <c r="R360" i="79"/>
  <c r="R365" i="79"/>
  <c r="R352" i="79"/>
  <c r="R328" i="79"/>
  <c r="R330" i="79" s="1"/>
  <c r="AD932" i="79"/>
  <c r="AO932" i="79" s="1"/>
  <c r="AD967" i="79"/>
  <c r="AE967" i="79"/>
  <c r="AD965" i="79"/>
  <c r="E17" i="79"/>
  <c r="R316" i="79"/>
  <c r="M17" i="79"/>
  <c r="I16" i="79"/>
  <c r="R313" i="79"/>
  <c r="R288" i="79"/>
  <c r="R273" i="79"/>
  <c r="R279" i="79"/>
  <c r="R272" i="79"/>
  <c r="O893" i="79"/>
  <c r="O922" i="79" s="1"/>
  <c r="R281" i="79"/>
  <c r="R283" i="79"/>
  <c r="R268" i="79"/>
  <c r="R276" i="79"/>
  <c r="R278" i="79"/>
  <c r="R264" i="79"/>
  <c r="R282" i="79"/>
  <c r="R253" i="79"/>
  <c r="R265" i="79"/>
  <c r="R267" i="79"/>
  <c r="R269" i="79"/>
  <c r="R277" i="79"/>
  <c r="R262" i="79"/>
  <c r="R271" i="79"/>
  <c r="R263" i="79"/>
  <c r="R260" i="79"/>
  <c r="R256" i="79"/>
  <c r="R275" i="79"/>
  <c r="R257" i="79"/>
  <c r="R261" i="79"/>
  <c r="R274" i="79"/>
  <c r="R231" i="79"/>
  <c r="R237" i="79"/>
  <c r="P311" i="79"/>
  <c r="P319" i="79" s="1"/>
  <c r="P320" i="79" s="1"/>
  <c r="R239" i="79"/>
  <c r="R245" i="79"/>
  <c r="R247" i="79"/>
  <c r="K893" i="79"/>
  <c r="K922" i="79" s="1"/>
  <c r="R234" i="79"/>
  <c r="R238" i="79"/>
  <c r="R242" i="79"/>
  <c r="R246" i="79"/>
  <c r="R226" i="79"/>
  <c r="R230" i="79"/>
  <c r="R228" i="79"/>
  <c r="R236" i="79"/>
  <c r="R229" i="79"/>
  <c r="R180" i="79"/>
  <c r="Q879" i="79"/>
  <c r="R175" i="79"/>
  <c r="R178" i="79"/>
  <c r="R193" i="79"/>
  <c r="R195" i="79"/>
  <c r="R197" i="79"/>
  <c r="R192" i="79"/>
  <c r="R194" i="79"/>
  <c r="R199" i="79"/>
  <c r="E879" i="79"/>
  <c r="R179" i="79"/>
  <c r="R177" i="79"/>
  <c r="R185" i="79"/>
  <c r="R184" i="79"/>
  <c r="R181" i="79"/>
  <c r="R183" i="79"/>
  <c r="R189" i="79"/>
  <c r="R158" i="79"/>
  <c r="R164" i="79"/>
  <c r="R153" i="79"/>
  <c r="R167" i="79"/>
  <c r="R144" i="79"/>
  <c r="R148" i="79"/>
  <c r="R150" i="79"/>
  <c r="R152" i="79"/>
  <c r="R154" i="79"/>
  <c r="R161" i="79"/>
  <c r="R163" i="79"/>
  <c r="R142" i="79"/>
  <c r="R147" i="79"/>
  <c r="R155" i="79"/>
  <c r="R162" i="79"/>
  <c r="O129" i="79"/>
  <c r="O132" i="79" s="1"/>
  <c r="O133" i="79" s="1"/>
  <c r="Q887" i="79"/>
  <c r="R94" i="79"/>
  <c r="M96" i="79"/>
  <c r="M886" i="79"/>
  <c r="M887" i="79"/>
  <c r="R93" i="79"/>
  <c r="K129" i="79"/>
  <c r="K132" i="79" s="1"/>
  <c r="K133" i="79" s="1"/>
  <c r="L129" i="79"/>
  <c r="L132" i="79" s="1"/>
  <c r="L133" i="79" s="1"/>
  <c r="F129" i="79"/>
  <c r="F132" i="79" s="1"/>
  <c r="F133" i="79" s="1"/>
  <c r="G889" i="79"/>
  <c r="G920" i="79" s="1"/>
  <c r="E96" i="79"/>
  <c r="D129" i="79"/>
  <c r="D132" i="79" s="1"/>
  <c r="D133" i="79" s="1"/>
  <c r="R80" i="79"/>
  <c r="R79" i="79"/>
  <c r="I1059" i="79"/>
  <c r="H1059" i="79"/>
  <c r="L1059" i="79"/>
  <c r="N1059" i="79"/>
  <c r="K1059" i="79"/>
  <c r="N1060" i="79"/>
  <c r="L1060" i="79"/>
  <c r="K1060" i="79"/>
  <c r="H1060" i="79"/>
  <c r="I1060" i="79"/>
  <c r="N776" i="79"/>
  <c r="G977" i="79"/>
  <c r="N678" i="79"/>
  <c r="N28" i="79"/>
  <c r="I1055" i="79"/>
  <c r="H1055" i="79"/>
  <c r="L1055" i="79"/>
  <c r="N1055" i="79"/>
  <c r="K1055" i="79"/>
  <c r="G776" i="79"/>
  <c r="G331" i="79"/>
  <c r="AP934" i="79" s="1"/>
  <c r="N1062" i="79"/>
  <c r="L1062" i="79"/>
  <c r="K1062" i="79"/>
  <c r="H1062" i="79"/>
  <c r="I1062" i="79"/>
  <c r="J1062" i="79"/>
  <c r="F979" i="79"/>
  <c r="P776" i="79"/>
  <c r="P678" i="79"/>
  <c r="P331" i="79"/>
  <c r="AP941" i="79" s="1"/>
  <c r="I1051" i="79"/>
  <c r="H1051" i="79"/>
  <c r="L1051" i="79"/>
  <c r="N1051" i="79"/>
  <c r="K1051" i="79"/>
  <c r="G968" i="79"/>
  <c r="L1052" i="79"/>
  <c r="K1052" i="79"/>
  <c r="H1052" i="79"/>
  <c r="I1052" i="79"/>
  <c r="N1052" i="79"/>
  <c r="C776" i="79"/>
  <c r="C678" i="79"/>
  <c r="C331" i="79"/>
  <c r="AP931" i="79" s="1"/>
  <c r="C28" i="79"/>
  <c r="L1054" i="79"/>
  <c r="K1054" i="79"/>
  <c r="H1054" i="79"/>
  <c r="N1054" i="79"/>
  <c r="I1054" i="79"/>
  <c r="J1054" i="79"/>
  <c r="F678" i="79"/>
  <c r="F776" i="79"/>
  <c r="L1056" i="79"/>
  <c r="K1056" i="79"/>
  <c r="H1056" i="79"/>
  <c r="I1056" i="79"/>
  <c r="N1056" i="79"/>
  <c r="I1057" i="79"/>
  <c r="H1057" i="79"/>
  <c r="L1057" i="79"/>
  <c r="K1057" i="79"/>
  <c r="N1057" i="79"/>
  <c r="F974" i="79"/>
  <c r="J678" i="79"/>
  <c r="J28" i="79"/>
  <c r="J331" i="79"/>
  <c r="AP936" i="79" s="1"/>
  <c r="L1058" i="79"/>
  <c r="K1058" i="79"/>
  <c r="H1058" i="79"/>
  <c r="N1058" i="79"/>
  <c r="I1058" i="79"/>
  <c r="G975" i="79"/>
  <c r="K678" i="79"/>
  <c r="K776" i="79"/>
  <c r="K331" i="79"/>
  <c r="AP937" i="79" s="1"/>
  <c r="K28" i="79"/>
  <c r="I1053" i="79"/>
  <c r="H1053" i="79"/>
  <c r="L1053" i="79"/>
  <c r="K1053" i="79"/>
  <c r="N1053" i="79"/>
  <c r="F970" i="79"/>
  <c r="I1061" i="79"/>
  <c r="L1061" i="79"/>
  <c r="K1061" i="79"/>
  <c r="H1061" i="79"/>
  <c r="N1061" i="79"/>
  <c r="O28" i="79"/>
  <c r="D28" i="79"/>
  <c r="F311" i="79"/>
  <c r="I15" i="79"/>
  <c r="M16" i="79"/>
  <c r="E41" i="79"/>
  <c r="Q41" i="79"/>
  <c r="N59" i="79"/>
  <c r="M89" i="79"/>
  <c r="R111" i="79"/>
  <c r="R113" i="79"/>
  <c r="E127" i="79"/>
  <c r="R174" i="79"/>
  <c r="R176" i="79"/>
  <c r="Q190" i="79"/>
  <c r="R190" i="79" s="1"/>
  <c r="R201" i="79"/>
  <c r="R203" i="79"/>
  <c r="R232" i="79"/>
  <c r="R252" i="79"/>
  <c r="G892" i="79"/>
  <c r="G290" i="79"/>
  <c r="I290" i="79" s="1"/>
  <c r="R356" i="79"/>
  <c r="R367" i="79"/>
  <c r="R379" i="79"/>
  <c r="R429" i="79"/>
  <c r="G28" i="79"/>
  <c r="R38" i="79"/>
  <c r="I41" i="79"/>
  <c r="F59" i="79"/>
  <c r="H59" i="79"/>
  <c r="H62" i="79" s="1"/>
  <c r="E89" i="79"/>
  <c r="R145" i="79"/>
  <c r="R149" i="79"/>
  <c r="R156" i="79"/>
  <c r="R160" i="79"/>
  <c r="R165" i="79"/>
  <c r="Q186" i="79"/>
  <c r="H214" i="79"/>
  <c r="H311" i="79" s="1"/>
  <c r="H319" i="79" s="1"/>
  <c r="R225" i="79"/>
  <c r="R227" i="79"/>
  <c r="R243" i="79"/>
  <c r="I255" i="79"/>
  <c r="R255" i="79" s="1"/>
  <c r="R280" i="79"/>
  <c r="R287" i="79"/>
  <c r="R289" i="79"/>
  <c r="D502" i="79"/>
  <c r="D507" i="79" s="1"/>
  <c r="R348" i="79"/>
  <c r="R350" i="79"/>
  <c r="R374" i="79"/>
  <c r="AL398" i="79"/>
  <c r="P891" i="79"/>
  <c r="Q891" i="79" s="1"/>
  <c r="P475" i="79"/>
  <c r="P502" i="79" s="1"/>
  <c r="P507" i="79" s="1"/>
  <c r="H28" i="79"/>
  <c r="C129" i="79"/>
  <c r="C132" i="79" s="1"/>
  <c r="N878" i="79"/>
  <c r="Q143" i="79"/>
  <c r="R151" i="79"/>
  <c r="R187" i="79"/>
  <c r="P892" i="79"/>
  <c r="Q892" i="79" s="1"/>
  <c r="Q241" i="79"/>
  <c r="R241" i="79" s="1"/>
  <c r="L331" i="79"/>
  <c r="AP938" i="79" s="1"/>
  <c r="H891" i="79"/>
  <c r="I891" i="79" s="1"/>
  <c r="H475" i="79"/>
  <c r="R413" i="79"/>
  <c r="P28" i="79"/>
  <c r="R76" i="79"/>
  <c r="N129" i="79"/>
  <c r="R120" i="79"/>
  <c r="B129" i="79"/>
  <c r="F878" i="79"/>
  <c r="I143" i="79"/>
  <c r="R182" i="79"/>
  <c r="R188" i="79"/>
  <c r="R210" i="79"/>
  <c r="N214" i="79"/>
  <c r="R240" i="79"/>
  <c r="R266" i="79"/>
  <c r="Q290" i="79"/>
  <c r="M310" i="79"/>
  <c r="D331" i="79"/>
  <c r="AP932" i="79" s="1"/>
  <c r="N331" i="79"/>
  <c r="AP939" i="79" s="1"/>
  <c r="I362" i="79"/>
  <c r="R362" i="79" s="1"/>
  <c r="R388" i="79"/>
  <c r="E391" i="79"/>
  <c r="M405" i="79"/>
  <c r="B28" i="79"/>
  <c r="M50" i="79"/>
  <c r="B311" i="79"/>
  <c r="R191" i="79"/>
  <c r="R233" i="79"/>
  <c r="R235" i="79"/>
  <c r="F331" i="79"/>
  <c r="AP933" i="79" s="1"/>
  <c r="O331" i="79"/>
  <c r="AP940" i="79" s="1"/>
  <c r="K391" i="79"/>
  <c r="M391" i="79" s="1"/>
  <c r="I343" i="79"/>
  <c r="R343" i="79" s="1"/>
  <c r="H391" i="79"/>
  <c r="I391" i="79" s="1"/>
  <c r="R357" i="79"/>
  <c r="R359" i="79"/>
  <c r="R368" i="79"/>
  <c r="R370" i="79"/>
  <c r="R382" i="79"/>
  <c r="E50" i="79"/>
  <c r="P129" i="79"/>
  <c r="P132" i="79" s="1"/>
  <c r="Q108" i="79"/>
  <c r="R159" i="79"/>
  <c r="R166" i="79"/>
  <c r="J502" i="79"/>
  <c r="R146" i="79"/>
  <c r="R157" i="79"/>
  <c r="R218" i="79"/>
  <c r="R244" i="79"/>
  <c r="R286" i="79"/>
  <c r="R347" i="79"/>
  <c r="L28" i="79"/>
  <c r="L59" i="79"/>
  <c r="L62" i="79" s="1"/>
  <c r="H129" i="79"/>
  <c r="H132" i="79" s="1"/>
  <c r="R105" i="79"/>
  <c r="R107" i="79"/>
  <c r="I108" i="79"/>
  <c r="M127" i="79"/>
  <c r="J129" i="79"/>
  <c r="R196" i="79"/>
  <c r="Q221" i="79"/>
  <c r="R293" i="79"/>
  <c r="R295" i="79"/>
  <c r="R306" i="79"/>
  <c r="H331" i="79"/>
  <c r="AP935" i="79" s="1"/>
  <c r="Q330" i="79"/>
  <c r="Q338" i="79"/>
  <c r="R338" i="79" s="1"/>
  <c r="R433" i="79"/>
  <c r="F28" i="79"/>
  <c r="J878" i="79"/>
  <c r="O878" i="79"/>
  <c r="O884" i="79" s="1"/>
  <c r="E186" i="79"/>
  <c r="J214" i="79"/>
  <c r="L892" i="79"/>
  <c r="L893" i="79" s="1"/>
  <c r="L922" i="79" s="1"/>
  <c r="B331" i="79"/>
  <c r="AP930" i="79" s="1"/>
  <c r="B889" i="79"/>
  <c r="E887" i="79"/>
  <c r="F405" i="79"/>
  <c r="I405" i="79" s="1"/>
  <c r="Q544" i="79"/>
  <c r="J554" i="79"/>
  <c r="H599" i="79"/>
  <c r="H602" i="79" s="1"/>
  <c r="R585" i="79"/>
  <c r="I586" i="79"/>
  <c r="R656" i="79"/>
  <c r="R675" i="79"/>
  <c r="H678" i="79"/>
  <c r="I677" i="79"/>
  <c r="J805" i="79"/>
  <c r="M793" i="79"/>
  <c r="J891" i="79"/>
  <c r="J902" i="79"/>
  <c r="M896" i="79"/>
  <c r="C878" i="79"/>
  <c r="C884" i="79" s="1"/>
  <c r="K878" i="79"/>
  <c r="K884" i="79" s="1"/>
  <c r="P878" i="79"/>
  <c r="P884" i="79" s="1"/>
  <c r="C214" i="79"/>
  <c r="K214" i="79"/>
  <c r="K311" i="79" s="1"/>
  <c r="K319" i="79" s="1"/>
  <c r="H892" i="79"/>
  <c r="D892" i="79"/>
  <c r="E892" i="79" s="1"/>
  <c r="B475" i="79"/>
  <c r="E475" i="79" s="1"/>
  <c r="H554" i="79"/>
  <c r="H557" i="79" s="1"/>
  <c r="R594" i="79"/>
  <c r="R596" i="79"/>
  <c r="C664" i="79"/>
  <c r="C667" i="79" s="1"/>
  <c r="B860" i="79"/>
  <c r="R1138" i="79"/>
  <c r="R1093" i="79"/>
  <c r="R1068" i="79"/>
  <c r="AS1015" i="79"/>
  <c r="R985" i="79"/>
  <c r="R959" i="79"/>
  <c r="R930" i="79"/>
  <c r="R906" i="79"/>
  <c r="AT921" i="79"/>
  <c r="R1014" i="79"/>
  <c r="AT953" i="79"/>
  <c r="R865" i="79"/>
  <c r="AS980" i="79"/>
  <c r="D878" i="79"/>
  <c r="D884" i="79" s="1"/>
  <c r="L878" i="79"/>
  <c r="L884" i="79" s="1"/>
  <c r="D214" i="79"/>
  <c r="L214" i="79"/>
  <c r="I270" i="79"/>
  <c r="R270" i="79" s="1"/>
  <c r="E290" i="79"/>
  <c r="L290" i="79"/>
  <c r="M290" i="79" s="1"/>
  <c r="I346" i="79"/>
  <c r="R346" i="79" s="1"/>
  <c r="N391" i="79"/>
  <c r="K475" i="79"/>
  <c r="M475" i="79" s="1"/>
  <c r="R543" i="79"/>
  <c r="I544" i="79"/>
  <c r="J599" i="79"/>
  <c r="M575" i="79"/>
  <c r="L776" i="79"/>
  <c r="M775" i="79"/>
  <c r="M803" i="79"/>
  <c r="F889" i="79"/>
  <c r="I886" i="79"/>
  <c r="AA397" i="79"/>
  <c r="AA399" i="79"/>
  <c r="AD399" i="79" s="1"/>
  <c r="E553" i="79"/>
  <c r="R570" i="79"/>
  <c r="B599" i="79"/>
  <c r="E575" i="79"/>
  <c r="J762" i="79"/>
  <c r="M736" i="79"/>
  <c r="N893" i="79"/>
  <c r="R623" i="79"/>
  <c r="R726" i="79"/>
  <c r="F857" i="79"/>
  <c r="I829" i="79"/>
  <c r="AB397" i="79"/>
  <c r="F893" i="79"/>
  <c r="G878" i="79"/>
  <c r="G884" i="79" s="1"/>
  <c r="B878" i="79"/>
  <c r="G214" i="79"/>
  <c r="O214" i="79"/>
  <c r="O311" i="79" s="1"/>
  <c r="O319" i="79" s="1"/>
  <c r="AC397" i="79"/>
  <c r="I398" i="79"/>
  <c r="R398" i="79" s="1"/>
  <c r="C405" i="79"/>
  <c r="C502" i="79" s="1"/>
  <c r="C507" i="79" s="1"/>
  <c r="F475" i="79"/>
  <c r="N475" i="79"/>
  <c r="R523" i="79"/>
  <c r="R525" i="79"/>
  <c r="R567" i="79"/>
  <c r="Q581" i="79"/>
  <c r="N599" i="79"/>
  <c r="M598" i="79"/>
  <c r="K664" i="79"/>
  <c r="K667" i="79" s="1"/>
  <c r="B762" i="79"/>
  <c r="B554" i="79"/>
  <c r="I581" i="79"/>
  <c r="F599" i="79"/>
  <c r="E635" i="79"/>
  <c r="B664" i="79"/>
  <c r="I409" i="79"/>
  <c r="Q409" i="79"/>
  <c r="C554" i="79"/>
  <c r="C557" i="79" s="1"/>
  <c r="G678" i="79"/>
  <c r="D710" i="79"/>
  <c r="E697" i="79"/>
  <c r="F710" i="79"/>
  <c r="D861" i="79"/>
  <c r="G976" i="79"/>
  <c r="D538" i="79"/>
  <c r="E538" i="79" s="1"/>
  <c r="M677" i="79"/>
  <c r="I697" i="79"/>
  <c r="Q709" i="79"/>
  <c r="R725" i="79"/>
  <c r="R747" i="79"/>
  <c r="R755" i="79"/>
  <c r="Q775" i="79"/>
  <c r="L805" i="79"/>
  <c r="L809" i="79" s="1"/>
  <c r="H857" i="79"/>
  <c r="H860" i="79" s="1"/>
  <c r="M881" i="79"/>
  <c r="H901" i="79"/>
  <c r="N902" i="79"/>
  <c r="N664" i="79"/>
  <c r="E677" i="79"/>
  <c r="B678" i="79"/>
  <c r="I775" i="79"/>
  <c r="D805" i="79"/>
  <c r="D809" i="79" s="1"/>
  <c r="K902" i="79"/>
  <c r="K924" i="79" s="1"/>
  <c r="AO939" i="79"/>
  <c r="I629" i="79"/>
  <c r="L678" i="79"/>
  <c r="Q708" i="79"/>
  <c r="E736" i="79"/>
  <c r="Q736" i="79"/>
  <c r="I761" i="79"/>
  <c r="O776" i="79"/>
  <c r="E793" i="79"/>
  <c r="I803" i="79"/>
  <c r="K805" i="79"/>
  <c r="K809" i="79" s="1"/>
  <c r="R824" i="79"/>
  <c r="M829" i="79"/>
  <c r="R841" i="79"/>
  <c r="E891" i="79"/>
  <c r="B893" i="79"/>
  <c r="C902" i="79"/>
  <c r="C924" i="79" s="1"/>
  <c r="E896" i="79"/>
  <c r="J901" i="79"/>
  <c r="M898" i="79"/>
  <c r="AO937" i="79"/>
  <c r="J664" i="79"/>
  <c r="D678" i="79"/>
  <c r="R688" i="79"/>
  <c r="I693" i="79"/>
  <c r="Q693" i="79"/>
  <c r="R705" i="79"/>
  <c r="I708" i="79"/>
  <c r="M732" i="79"/>
  <c r="I736" i="79"/>
  <c r="H776" i="79"/>
  <c r="I793" i="79"/>
  <c r="R807" i="79"/>
  <c r="E829" i="79"/>
  <c r="K857" i="79"/>
  <c r="K860" i="79" s="1"/>
  <c r="R843" i="79"/>
  <c r="M856" i="79"/>
  <c r="M880" i="79"/>
  <c r="L889" i="79"/>
  <c r="L920" i="79" s="1"/>
  <c r="M895" i="79"/>
  <c r="P901" i="79"/>
  <c r="O678" i="79"/>
  <c r="N710" i="79"/>
  <c r="N762" i="79"/>
  <c r="Q732" i="79"/>
  <c r="R748" i="79"/>
  <c r="R754" i="79"/>
  <c r="J776" i="79"/>
  <c r="Q789" i="79"/>
  <c r="M804" i="79"/>
  <c r="C857" i="79"/>
  <c r="C860" i="79" s="1"/>
  <c r="L857" i="79"/>
  <c r="L860" i="79" s="1"/>
  <c r="M855" i="79"/>
  <c r="E880" i="79"/>
  <c r="D889" i="79"/>
  <c r="D920" i="79" s="1"/>
  <c r="M888" i="79"/>
  <c r="B901" i="79"/>
  <c r="E898" i="79"/>
  <c r="R728" i="79"/>
  <c r="F762" i="79"/>
  <c r="I732" i="79"/>
  <c r="E750" i="79"/>
  <c r="B776" i="79"/>
  <c r="D776" i="79"/>
  <c r="R785" i="79"/>
  <c r="I789" i="79"/>
  <c r="E804" i="79"/>
  <c r="R821" i="79"/>
  <c r="N857" i="79"/>
  <c r="R837" i="79"/>
  <c r="E855" i="79"/>
  <c r="J857" i="79"/>
  <c r="N889" i="79"/>
  <c r="Q886" i="79"/>
  <c r="E888" i="79"/>
  <c r="M897" i="79"/>
  <c r="N901" i="79"/>
  <c r="F902" i="79"/>
  <c r="G970" i="79"/>
  <c r="J1051" i="79"/>
  <c r="J1057" i="79"/>
  <c r="AE965" i="79"/>
  <c r="AG965" i="79"/>
  <c r="F971" i="79"/>
  <c r="G971" i="79"/>
  <c r="AF966" i="79"/>
  <c r="AE966" i="79"/>
  <c r="AG966" i="79"/>
  <c r="F969" i="79"/>
  <c r="F978" i="79"/>
  <c r="AF975" i="79"/>
  <c r="AE975" i="79"/>
  <c r="AG975" i="79"/>
  <c r="AD940" i="79"/>
  <c r="AD976" i="79"/>
  <c r="AF976" i="79"/>
  <c r="AE976" i="79"/>
  <c r="AD941" i="79"/>
  <c r="F952" i="79"/>
  <c r="AF965" i="79"/>
  <c r="F968" i="79"/>
  <c r="J1059" i="79"/>
  <c r="G969" i="79"/>
  <c r="AG969" i="79"/>
  <c r="AF969" i="79"/>
  <c r="F972" i="79"/>
  <c r="AD969" i="79"/>
  <c r="AD934" i="79"/>
  <c r="F977" i="79"/>
  <c r="AD974" i="79"/>
  <c r="AG974" i="79"/>
  <c r="AE974" i="79"/>
  <c r="AE969" i="79"/>
  <c r="AO930" i="79"/>
  <c r="G972" i="79"/>
  <c r="F975" i="79"/>
  <c r="AE972" i="79"/>
  <c r="AG972" i="79"/>
  <c r="AD972" i="79"/>
  <c r="AF972" i="79"/>
  <c r="F976" i="79"/>
  <c r="G952" i="79"/>
  <c r="G978" i="79"/>
  <c r="J1058" i="79"/>
  <c r="AF968" i="79"/>
  <c r="AD968" i="79"/>
  <c r="G974" i="79"/>
  <c r="G979" i="79"/>
  <c r="AF967" i="79"/>
  <c r="AD970" i="79"/>
  <c r="AE971" i="79"/>
  <c r="J1052" i="79"/>
  <c r="J1055" i="79"/>
  <c r="G973" i="79"/>
  <c r="AG971" i="79"/>
  <c r="AF971" i="79"/>
  <c r="AG973" i="79"/>
  <c r="AF973" i="79"/>
  <c r="AF970" i="79"/>
  <c r="F973" i="79"/>
  <c r="AD973" i="79"/>
  <c r="J1053" i="79"/>
  <c r="J1056" i="79"/>
  <c r="J1060" i="79"/>
  <c r="J1061" i="79"/>
  <c r="AD1099" i="79"/>
  <c r="AD1079" i="79"/>
  <c r="AD1082" i="79"/>
  <c r="AD1080" i="79"/>
  <c r="AD1078" i="79"/>
  <c r="AD1076" i="79"/>
  <c r="AD1081" i="79"/>
  <c r="AD1096" i="79"/>
  <c r="AD1094" i="79"/>
  <c r="AD1097" i="79"/>
  <c r="AD1092" i="79"/>
  <c r="AD1090" i="79"/>
  <c r="AD1088" i="79"/>
  <c r="AD1086" i="79"/>
  <c r="AD1084" i="79"/>
  <c r="AD1095" i="79"/>
  <c r="AD1093" i="79"/>
  <c r="AD1089" i="79"/>
  <c r="AD1087" i="79"/>
  <c r="AD1098" i="79"/>
  <c r="AD1091" i="79"/>
  <c r="AD1083" i="79"/>
  <c r="G1103" i="79"/>
  <c r="C1076" i="79" s="1"/>
  <c r="L1103" i="79"/>
  <c r="Q1166" i="79"/>
  <c r="G1112" i="79"/>
  <c r="C1085" i="79" s="1"/>
  <c r="L1112" i="79"/>
  <c r="E1166" i="79"/>
  <c r="R1157" i="79"/>
  <c r="L1111" i="79"/>
  <c r="M1166" i="79"/>
  <c r="L1106" i="79"/>
  <c r="I1166" i="79"/>
  <c r="L1104" i="79"/>
  <c r="N1154" i="79"/>
  <c r="G1107" i="79"/>
  <c r="C1080" i="79" s="1"/>
  <c r="G1108" i="79"/>
  <c r="C1081" i="79" s="1"/>
  <c r="G1109" i="79"/>
  <c r="C1082" i="79" s="1"/>
  <c r="G1113" i="79"/>
  <c r="C1086" i="79" s="1"/>
  <c r="R1154" i="79"/>
  <c r="Q460" i="78"/>
  <c r="M460" i="78"/>
  <c r="I460" i="78"/>
  <c r="E460" i="78"/>
  <c r="M1110" i="81"/>
  <c r="M1114" i="81"/>
  <c r="M1107" i="79"/>
  <c r="M1108" i="79"/>
  <c r="M1110" i="79"/>
  <c r="M1109" i="79"/>
  <c r="M1112" i="79"/>
  <c r="M1103" i="79"/>
  <c r="M1117" i="81"/>
  <c r="M1113" i="81"/>
  <c r="M1105" i="79"/>
  <c r="M1111" i="79"/>
  <c r="M1111" i="81"/>
  <c r="M1115" i="81"/>
  <c r="M1116" i="81"/>
  <c r="M1106" i="79"/>
  <c r="M1113" i="79"/>
  <c r="M1104" i="79"/>
  <c r="M1112" i="81"/>
  <c r="M1109" i="81"/>
  <c r="M1114" i="79"/>
  <c r="M1119" i="81"/>
  <c r="M1118" i="81"/>
  <c r="M1120" i="81"/>
  <c r="P862" i="79" l="1"/>
  <c r="P863" i="79" s="1"/>
  <c r="AD402" i="81"/>
  <c r="AM402" i="81" s="1"/>
  <c r="R27" i="81"/>
  <c r="P810" i="79"/>
  <c r="M710" i="79"/>
  <c r="I907" i="81"/>
  <c r="G810" i="79"/>
  <c r="R553" i="79"/>
  <c r="O862" i="79"/>
  <c r="Q949" i="79" s="1"/>
  <c r="R310" i="79"/>
  <c r="R840" i="81"/>
  <c r="R882" i="79"/>
  <c r="R797" i="79"/>
  <c r="R557" i="81"/>
  <c r="E901" i="79"/>
  <c r="R649" i="81"/>
  <c r="I805" i="79"/>
  <c r="E62" i="79"/>
  <c r="I664" i="79"/>
  <c r="AM398" i="79"/>
  <c r="R221" i="79"/>
  <c r="R579" i="81"/>
  <c r="R666" i="81"/>
  <c r="R697" i="81"/>
  <c r="R129" i="81"/>
  <c r="AM399" i="79"/>
  <c r="R896" i="79"/>
  <c r="B63" i="79"/>
  <c r="F667" i="79"/>
  <c r="I667" i="79" s="1"/>
  <c r="S578" i="79"/>
  <c r="R15" i="79"/>
  <c r="R900" i="79"/>
  <c r="R895" i="79"/>
  <c r="R14" i="79"/>
  <c r="C814" i="81"/>
  <c r="K815" i="81"/>
  <c r="P952" i="81" s="1"/>
  <c r="E59" i="81"/>
  <c r="R807" i="81"/>
  <c r="M809" i="81"/>
  <c r="R601" i="81"/>
  <c r="R893" i="81"/>
  <c r="R887" i="81"/>
  <c r="R667" i="81"/>
  <c r="R409" i="81"/>
  <c r="R312" i="81"/>
  <c r="R15" i="81"/>
  <c r="N909" i="81"/>
  <c r="G815" i="81"/>
  <c r="P949" i="81" s="1"/>
  <c r="R764" i="81"/>
  <c r="C816" i="81"/>
  <c r="R701" i="79"/>
  <c r="R856" i="79"/>
  <c r="R709" i="79"/>
  <c r="R57" i="79"/>
  <c r="E59" i="79"/>
  <c r="R803" i="79"/>
  <c r="Q554" i="79"/>
  <c r="R851" i="81"/>
  <c r="O868" i="81"/>
  <c r="Q955" i="81" s="1"/>
  <c r="J869" i="81"/>
  <c r="B869" i="81"/>
  <c r="D867" i="81"/>
  <c r="B867" i="81"/>
  <c r="L909" i="81"/>
  <c r="J867" i="81"/>
  <c r="Q714" i="81"/>
  <c r="R537" i="81"/>
  <c r="R505" i="81"/>
  <c r="E907" i="81"/>
  <c r="R712" i="81"/>
  <c r="R905" i="81"/>
  <c r="R504" i="81"/>
  <c r="S84" i="81"/>
  <c r="R889" i="81"/>
  <c r="I895" i="81"/>
  <c r="R602" i="81"/>
  <c r="R740" i="81"/>
  <c r="R639" i="81"/>
  <c r="R590" i="81"/>
  <c r="AM401" i="81"/>
  <c r="C932" i="81"/>
  <c r="C13" i="81" s="1"/>
  <c r="R313" i="81"/>
  <c r="R17" i="81"/>
  <c r="Q475" i="79"/>
  <c r="R552" i="79"/>
  <c r="R597" i="79"/>
  <c r="R533" i="79"/>
  <c r="R645" i="79"/>
  <c r="R899" i="79"/>
  <c r="R834" i="79"/>
  <c r="R128" i="79"/>
  <c r="M713" i="79"/>
  <c r="I926" i="81"/>
  <c r="D814" i="81"/>
  <c r="R801" i="81"/>
  <c r="R98" i="81"/>
  <c r="R41" i="81"/>
  <c r="R57" i="81"/>
  <c r="R14" i="81"/>
  <c r="R765" i="81"/>
  <c r="R886" i="81"/>
  <c r="Q558" i="81"/>
  <c r="R585" i="81"/>
  <c r="G868" i="81"/>
  <c r="R884" i="81"/>
  <c r="D909" i="81"/>
  <c r="M59" i="81"/>
  <c r="R46" i="81"/>
  <c r="R902" i="81"/>
  <c r="R18" i="81"/>
  <c r="I809" i="81"/>
  <c r="I769" i="81"/>
  <c r="R713" i="81"/>
  <c r="Q907" i="81"/>
  <c r="R542" i="81"/>
  <c r="R701" i="81"/>
  <c r="R897" i="79"/>
  <c r="I901" i="79"/>
  <c r="R46" i="79"/>
  <c r="R804" i="79"/>
  <c r="R635" i="79"/>
  <c r="R598" i="79"/>
  <c r="R96" i="79"/>
  <c r="M901" i="79"/>
  <c r="R586" i="79"/>
  <c r="M62" i="79"/>
  <c r="R663" i="79"/>
  <c r="R309" i="79"/>
  <c r="D781" i="81"/>
  <c r="D782" i="81" s="1"/>
  <c r="AD949" i="81"/>
  <c r="C909" i="81"/>
  <c r="R903" i="81"/>
  <c r="R58" i="81"/>
  <c r="E558" i="81"/>
  <c r="R91" i="81"/>
  <c r="M907" i="81"/>
  <c r="R885" i="81"/>
  <c r="L868" i="81"/>
  <c r="L781" i="81" s="1"/>
  <c r="L782" i="81" s="1"/>
  <c r="R16" i="81"/>
  <c r="R861" i="81"/>
  <c r="I766" i="81"/>
  <c r="L814" i="81"/>
  <c r="R556" i="81"/>
  <c r="R130" i="81"/>
  <c r="R548" i="81"/>
  <c r="S375" i="81"/>
  <c r="R888" i="81"/>
  <c r="S199" i="81"/>
  <c r="E314" i="81"/>
  <c r="T301" i="81"/>
  <c r="R906" i="81"/>
  <c r="C811" i="79"/>
  <c r="C812" i="79" s="1"/>
  <c r="R760" i="79"/>
  <c r="R18" i="79"/>
  <c r="R500" i="79"/>
  <c r="R883" i="79"/>
  <c r="R693" i="79"/>
  <c r="R761" i="79"/>
  <c r="R662" i="79"/>
  <c r="R789" i="79"/>
  <c r="R544" i="79"/>
  <c r="R143" i="79"/>
  <c r="Q322" i="81"/>
  <c r="M314" i="81"/>
  <c r="I322" i="81"/>
  <c r="I314" i="81"/>
  <c r="L932" i="81"/>
  <c r="L13" i="81" s="1"/>
  <c r="K909" i="81"/>
  <c r="K932" i="81"/>
  <c r="K13" i="81" s="1"/>
  <c r="M899" i="81"/>
  <c r="M928" i="81"/>
  <c r="R898" i="81"/>
  <c r="E899" i="81"/>
  <c r="D932" i="81"/>
  <c r="D13" i="81" s="1"/>
  <c r="E928" i="81"/>
  <c r="R479" i="81"/>
  <c r="AG984" i="81"/>
  <c r="R217" i="81"/>
  <c r="Q314" i="81"/>
  <c r="I131" i="81"/>
  <c r="N323" i="81"/>
  <c r="R754" i="81"/>
  <c r="M131" i="81"/>
  <c r="R862" i="81"/>
  <c r="R705" i="81"/>
  <c r="Q809" i="81"/>
  <c r="E506" i="81"/>
  <c r="R808" i="81"/>
  <c r="R736" i="81"/>
  <c r="R633" i="81"/>
  <c r="S582" i="81"/>
  <c r="Q895" i="81"/>
  <c r="Q908" i="81"/>
  <c r="E131" i="81"/>
  <c r="R110" i="81"/>
  <c r="I863" i="81"/>
  <c r="R779" i="81"/>
  <c r="Q926" i="81"/>
  <c r="R835" i="81"/>
  <c r="AD403" i="81"/>
  <c r="AM403" i="81" s="1"/>
  <c r="R894" i="81"/>
  <c r="R293" i="81"/>
  <c r="R224" i="81"/>
  <c r="H810" i="79"/>
  <c r="R501" i="79"/>
  <c r="R108" i="79"/>
  <c r="R845" i="79"/>
  <c r="R736" i="79"/>
  <c r="R775" i="79"/>
  <c r="R881" i="79"/>
  <c r="O810" i="79"/>
  <c r="Q805" i="79"/>
  <c r="R58" i="79"/>
  <c r="R708" i="79"/>
  <c r="O812" i="79"/>
  <c r="R581" i="79"/>
  <c r="R750" i="79"/>
  <c r="R677" i="79"/>
  <c r="R538" i="79"/>
  <c r="R880" i="79"/>
  <c r="R629" i="79"/>
  <c r="E924" i="79"/>
  <c r="R16" i="79"/>
  <c r="AD1106" i="81"/>
  <c r="B1110" i="81"/>
  <c r="Q1110" i="81" s="1"/>
  <c r="B1119" i="81"/>
  <c r="Q1119" i="81" s="1"/>
  <c r="B1115" i="81"/>
  <c r="Q1115" i="81" s="1"/>
  <c r="B1118" i="81"/>
  <c r="Q1118" i="81" s="1"/>
  <c r="B1112" i="81"/>
  <c r="Q1112" i="81" s="1"/>
  <c r="B1114" i="81"/>
  <c r="Q1114" i="81" s="1"/>
  <c r="B1117" i="81"/>
  <c r="Q1117" i="81" s="1"/>
  <c r="B1113" i="81"/>
  <c r="Q1113" i="81" s="1"/>
  <c r="B1116" i="81"/>
  <c r="Q1116" i="81" s="1"/>
  <c r="B1120" i="81"/>
  <c r="Q1120" i="81" s="1"/>
  <c r="B1111" i="81"/>
  <c r="Q1111" i="81" s="1"/>
  <c r="B1109" i="81"/>
  <c r="Q1109" i="81" s="1"/>
  <c r="B926" i="81"/>
  <c r="E926" i="81" s="1"/>
  <c r="E895" i="81"/>
  <c r="C867" i="81"/>
  <c r="C868" i="81"/>
  <c r="K770" i="81"/>
  <c r="P953" i="81"/>
  <c r="L816" i="81"/>
  <c r="C135" i="81"/>
  <c r="R901" i="81"/>
  <c r="F62" i="81"/>
  <c r="I59" i="81"/>
  <c r="E511" i="81"/>
  <c r="B512" i="81"/>
  <c r="E134" i="81"/>
  <c r="B135" i="81"/>
  <c r="M134" i="81"/>
  <c r="J135" i="81"/>
  <c r="C770" i="81"/>
  <c r="P1003" i="81"/>
  <c r="P975" i="81"/>
  <c r="N511" i="81"/>
  <c r="Q506" i="81"/>
  <c r="E769" i="81"/>
  <c r="L562" i="81"/>
  <c r="H868" i="81"/>
  <c r="H867" i="81"/>
  <c r="H932" i="81"/>
  <c r="H13" i="81" s="1"/>
  <c r="B813" i="81"/>
  <c r="E809" i="81"/>
  <c r="J926" i="81"/>
  <c r="M926" i="81" s="1"/>
  <c r="M895" i="81"/>
  <c r="O814" i="81"/>
  <c r="O815" i="81"/>
  <c r="N718" i="81"/>
  <c r="Q717" i="81"/>
  <c r="F511" i="81"/>
  <c r="I506" i="81"/>
  <c r="R395" i="81"/>
  <c r="Q813" i="81"/>
  <c r="N815" i="81"/>
  <c r="N814" i="81"/>
  <c r="C562" i="81"/>
  <c r="R50" i="81"/>
  <c r="F135" i="81"/>
  <c r="I134" i="81"/>
  <c r="F867" i="81"/>
  <c r="F868" i="81"/>
  <c r="I866" i="81"/>
  <c r="AF984" i="81"/>
  <c r="AE984" i="81"/>
  <c r="AO940" i="81"/>
  <c r="J930" i="81"/>
  <c r="M930" i="81" s="1"/>
  <c r="M908" i="81"/>
  <c r="Q766" i="81"/>
  <c r="N769" i="81"/>
  <c r="I908" i="81"/>
  <c r="F930" i="81"/>
  <c r="I930" i="81" s="1"/>
  <c r="H909" i="81"/>
  <c r="M714" i="81"/>
  <c r="J717" i="81"/>
  <c r="M766" i="81"/>
  <c r="N606" i="81"/>
  <c r="Q603" i="81"/>
  <c r="H718" i="81"/>
  <c r="Q1002" i="81"/>
  <c r="Q974" i="81"/>
  <c r="K607" i="81"/>
  <c r="O512" i="81"/>
  <c r="Q668" i="81"/>
  <c r="Q131" i="81"/>
  <c r="J323" i="81"/>
  <c r="M322" i="81"/>
  <c r="F671" i="81"/>
  <c r="I668" i="81"/>
  <c r="R897" i="81"/>
  <c r="P947" i="81"/>
  <c r="D816" i="81"/>
  <c r="F928" i="81"/>
  <c r="I928" i="81" s="1"/>
  <c r="I899" i="81"/>
  <c r="E714" i="81"/>
  <c r="B717" i="81"/>
  <c r="G909" i="81"/>
  <c r="G924" i="81"/>
  <c r="G932" i="81" s="1"/>
  <c r="G13" i="81" s="1"/>
  <c r="E766" i="81"/>
  <c r="M558" i="81"/>
  <c r="Q863" i="81"/>
  <c r="E603" i="81"/>
  <c r="B606" i="81"/>
  <c r="G512" i="81"/>
  <c r="I714" i="81"/>
  <c r="N672" i="81"/>
  <c r="Q671" i="81"/>
  <c r="H770" i="81"/>
  <c r="N135" i="81"/>
  <c r="Q134" i="81"/>
  <c r="M511" i="81"/>
  <c r="J512" i="81"/>
  <c r="AD984" i="81"/>
  <c r="R904" i="81"/>
  <c r="B924" i="81"/>
  <c r="E890" i="81"/>
  <c r="B909" i="81"/>
  <c r="L718" i="81"/>
  <c r="E863" i="81"/>
  <c r="E866" i="81"/>
  <c r="E561" i="81"/>
  <c r="B562" i="81"/>
  <c r="N868" i="81"/>
  <c r="Q866" i="81"/>
  <c r="N867" i="81"/>
  <c r="J814" i="81"/>
  <c r="J815" i="81"/>
  <c r="M813" i="81"/>
  <c r="F561" i="81"/>
  <c r="I558" i="81"/>
  <c r="Q980" i="81"/>
  <c r="Q1008" i="81"/>
  <c r="R681" i="81"/>
  <c r="M603" i="81"/>
  <c r="J606" i="81"/>
  <c r="F718" i="81"/>
  <c r="I717" i="81"/>
  <c r="M561" i="81"/>
  <c r="O135" i="81"/>
  <c r="L512" i="81"/>
  <c r="E62" i="81"/>
  <c r="B63" i="81"/>
  <c r="M506" i="81"/>
  <c r="E322" i="81"/>
  <c r="B323" i="81"/>
  <c r="P909" i="81"/>
  <c r="P924" i="81"/>
  <c r="P932" i="81" s="1"/>
  <c r="P13" i="81" s="1"/>
  <c r="D607" i="81"/>
  <c r="B671" i="81"/>
  <c r="E668" i="81"/>
  <c r="R793" i="81"/>
  <c r="R797" i="81"/>
  <c r="P814" i="81"/>
  <c r="P815" i="81"/>
  <c r="D718" i="81"/>
  <c r="M769" i="81"/>
  <c r="J770" i="81"/>
  <c r="Q930" i="81"/>
  <c r="O909" i="81"/>
  <c r="O924" i="81"/>
  <c r="O932" i="81" s="1"/>
  <c r="O13" i="81" s="1"/>
  <c r="I813" i="81"/>
  <c r="F814" i="81"/>
  <c r="F815" i="81"/>
  <c r="K866" i="81"/>
  <c r="M863" i="81"/>
  <c r="H815" i="81"/>
  <c r="H814" i="81"/>
  <c r="J671" i="81"/>
  <c r="M668" i="81"/>
  <c r="G135" i="81"/>
  <c r="F606" i="81"/>
  <c r="I603" i="81"/>
  <c r="D512" i="81"/>
  <c r="Q890" i="81"/>
  <c r="J924" i="81"/>
  <c r="M890" i="81"/>
  <c r="J909" i="81"/>
  <c r="P867" i="81"/>
  <c r="P868" i="81"/>
  <c r="R892" i="81"/>
  <c r="N928" i="81"/>
  <c r="Q928" i="81" s="1"/>
  <c r="Q899" i="81"/>
  <c r="I890" i="81"/>
  <c r="F909" i="81"/>
  <c r="F924" i="81"/>
  <c r="N562" i="81"/>
  <c r="Q561" i="81"/>
  <c r="P672" i="81"/>
  <c r="K135" i="81"/>
  <c r="B930" i="81"/>
  <c r="E930" i="81" s="1"/>
  <c r="E908" i="81"/>
  <c r="N62" i="81"/>
  <c r="Q59" i="81"/>
  <c r="Q947" i="81"/>
  <c r="D869" i="81"/>
  <c r="M62" i="81"/>
  <c r="J63" i="81"/>
  <c r="G862" i="79"/>
  <c r="Q943" i="79" s="1"/>
  <c r="R732" i="79"/>
  <c r="R575" i="79"/>
  <c r="D554" i="79"/>
  <c r="D557" i="79" s="1"/>
  <c r="D558" i="79" s="1"/>
  <c r="I475" i="79"/>
  <c r="R409" i="79"/>
  <c r="R887" i="79"/>
  <c r="F502" i="79"/>
  <c r="F507" i="79" s="1"/>
  <c r="R17" i="79"/>
  <c r="AD943" i="79"/>
  <c r="I892" i="79"/>
  <c r="G311" i="79"/>
  <c r="G319" i="79" s="1"/>
  <c r="G320" i="79" s="1"/>
  <c r="D311" i="79"/>
  <c r="D319" i="79" s="1"/>
  <c r="D320" i="79" s="1"/>
  <c r="D893" i="79"/>
  <c r="D922" i="79" s="1"/>
  <c r="L311" i="79"/>
  <c r="L319" i="79" s="1"/>
  <c r="L320" i="79" s="1"/>
  <c r="G893" i="79"/>
  <c r="G922" i="79" s="1"/>
  <c r="R186" i="79"/>
  <c r="R879" i="79"/>
  <c r="P893" i="79"/>
  <c r="P922" i="79" s="1"/>
  <c r="M892" i="79"/>
  <c r="I132" i="79"/>
  <c r="R886" i="79"/>
  <c r="R888" i="79"/>
  <c r="M889" i="79"/>
  <c r="S82" i="79"/>
  <c r="B1112" i="79"/>
  <c r="Q1112" i="79" s="1"/>
  <c r="B1113" i="79"/>
  <c r="Q1113" i="79" s="1"/>
  <c r="B1103" i="79"/>
  <c r="Q1103" i="79" s="1"/>
  <c r="B1114" i="79"/>
  <c r="Q1114" i="79" s="1"/>
  <c r="B1105" i="79"/>
  <c r="Q1105" i="79" s="1"/>
  <c r="B1107" i="79"/>
  <c r="Q1107" i="79" s="1"/>
  <c r="B1108" i="79"/>
  <c r="Q1108" i="79" s="1"/>
  <c r="B1104" i="79"/>
  <c r="Q1104" i="79" s="1"/>
  <c r="B1106" i="79"/>
  <c r="Q1106" i="79" s="1"/>
  <c r="B1111" i="79"/>
  <c r="Q1111" i="79" s="1"/>
  <c r="B1110" i="79"/>
  <c r="Q1110" i="79" s="1"/>
  <c r="B1109" i="79"/>
  <c r="Q1109" i="79" s="1"/>
  <c r="C508" i="79"/>
  <c r="S371" i="79"/>
  <c r="P508" i="79"/>
  <c r="AD1100" i="79"/>
  <c r="AF978" i="79"/>
  <c r="N860" i="79"/>
  <c r="Q857" i="79"/>
  <c r="Q710" i="79"/>
  <c r="N713" i="79"/>
  <c r="Q941" i="79"/>
  <c r="D863" i="79"/>
  <c r="F713" i="79"/>
  <c r="I710" i="79"/>
  <c r="Q599" i="79"/>
  <c r="N602" i="79"/>
  <c r="N922" i="79"/>
  <c r="B862" i="79"/>
  <c r="E860" i="79"/>
  <c r="B861" i="79"/>
  <c r="C311" i="79"/>
  <c r="C319" i="79" s="1"/>
  <c r="E214" i="79"/>
  <c r="E405" i="79"/>
  <c r="R405" i="79" s="1"/>
  <c r="F884" i="79"/>
  <c r="I878" i="79"/>
  <c r="N884" i="79"/>
  <c r="Q878" i="79"/>
  <c r="F62" i="79"/>
  <c r="I59" i="79"/>
  <c r="F922" i="79"/>
  <c r="O918" i="79"/>
  <c r="O926" i="79" s="1"/>
  <c r="O13" i="79" s="1"/>
  <c r="O903" i="79"/>
  <c r="K810" i="79"/>
  <c r="K811" i="79"/>
  <c r="N810" i="79"/>
  <c r="Q809" i="79"/>
  <c r="N811" i="79"/>
  <c r="M920" i="79"/>
  <c r="P950" i="79"/>
  <c r="P812" i="79"/>
  <c r="H558" i="79"/>
  <c r="K918" i="79"/>
  <c r="K926" i="79" s="1"/>
  <c r="K13" i="79" s="1"/>
  <c r="K903" i="79"/>
  <c r="J884" i="79"/>
  <c r="M878" i="79"/>
  <c r="J507" i="79"/>
  <c r="P133" i="79"/>
  <c r="D811" i="79"/>
  <c r="D810" i="79"/>
  <c r="K668" i="79"/>
  <c r="C558" i="79"/>
  <c r="I599" i="79"/>
  <c r="F602" i="79"/>
  <c r="P944" i="79"/>
  <c r="H812" i="79"/>
  <c r="B602" i="79"/>
  <c r="E599" i="79"/>
  <c r="C918" i="79"/>
  <c r="C926" i="79" s="1"/>
  <c r="C13" i="79" s="1"/>
  <c r="C903" i="79"/>
  <c r="H133" i="79"/>
  <c r="M59" i="79"/>
  <c r="N311" i="79"/>
  <c r="Q214" i="79"/>
  <c r="N132" i="79"/>
  <c r="Q129" i="79"/>
  <c r="D508" i="79"/>
  <c r="H320" i="79"/>
  <c r="R89" i="79"/>
  <c r="R41" i="79"/>
  <c r="P943" i="79"/>
  <c r="G812" i="79"/>
  <c r="AG978" i="79"/>
  <c r="AE978" i="79"/>
  <c r="N920" i="79"/>
  <c r="Q920" i="79" s="1"/>
  <c r="Q889" i="79"/>
  <c r="R898" i="79"/>
  <c r="L862" i="79"/>
  <c r="L861" i="79"/>
  <c r="K861" i="79"/>
  <c r="K862" i="79"/>
  <c r="R793" i="79"/>
  <c r="P1006" i="79"/>
  <c r="P978" i="79"/>
  <c r="R697" i="79"/>
  <c r="I557" i="79"/>
  <c r="F558" i="79"/>
  <c r="O320" i="79"/>
  <c r="F860" i="79"/>
  <c r="I857" i="79"/>
  <c r="Q391" i="79"/>
  <c r="R391" i="79" s="1"/>
  <c r="N502" i="79"/>
  <c r="B920" i="79"/>
  <c r="E920" i="79" s="1"/>
  <c r="E889" i="79"/>
  <c r="L63" i="79"/>
  <c r="H63" i="79"/>
  <c r="I214" i="79"/>
  <c r="N924" i="79"/>
  <c r="Q924" i="79" s="1"/>
  <c r="Q902" i="79"/>
  <c r="F920" i="79"/>
  <c r="I920" i="79" s="1"/>
  <c r="I889" i="79"/>
  <c r="B132" i="79"/>
  <c r="E129" i="79"/>
  <c r="AO934" i="79"/>
  <c r="J860" i="79"/>
  <c r="M857" i="79"/>
  <c r="C862" i="79"/>
  <c r="C861" i="79"/>
  <c r="N765" i="79"/>
  <c r="Q762" i="79"/>
  <c r="R829" i="79"/>
  <c r="J667" i="79"/>
  <c r="M664" i="79"/>
  <c r="B922" i="79"/>
  <c r="H861" i="79"/>
  <c r="H862" i="79"/>
  <c r="D713" i="79"/>
  <c r="E710" i="79"/>
  <c r="I554" i="79"/>
  <c r="J602" i="79"/>
  <c r="M599" i="79"/>
  <c r="L903" i="79"/>
  <c r="L918" i="79"/>
  <c r="L926" i="79" s="1"/>
  <c r="L13" i="79" s="1"/>
  <c r="C668" i="79"/>
  <c r="M902" i="79"/>
  <c r="J924" i="79"/>
  <c r="M924" i="79" s="1"/>
  <c r="H603" i="79"/>
  <c r="R50" i="79"/>
  <c r="R127" i="79"/>
  <c r="F319" i="79"/>
  <c r="AO940" i="79"/>
  <c r="P918" i="79"/>
  <c r="K502" i="79"/>
  <c r="K507" i="79" s="1"/>
  <c r="C133" i="79"/>
  <c r="AD978" i="79"/>
  <c r="AO941" i="79"/>
  <c r="F924" i="79"/>
  <c r="I924" i="79" s="1"/>
  <c r="I902" i="79"/>
  <c r="R855" i="79"/>
  <c r="Q664" i="79"/>
  <c r="N667" i="79"/>
  <c r="L811" i="79"/>
  <c r="L810" i="79"/>
  <c r="E902" i="79"/>
  <c r="B667" i="79"/>
  <c r="E664" i="79"/>
  <c r="B557" i="79"/>
  <c r="I809" i="79"/>
  <c r="F811" i="79"/>
  <c r="F810" i="79"/>
  <c r="B884" i="79"/>
  <c r="E878" i="79"/>
  <c r="E805" i="79"/>
  <c r="D918" i="79"/>
  <c r="M891" i="79"/>
  <c r="R891" i="79" s="1"/>
  <c r="J893" i="79"/>
  <c r="J557" i="79"/>
  <c r="M554" i="79"/>
  <c r="J132" i="79"/>
  <c r="M129" i="79"/>
  <c r="B502" i="79"/>
  <c r="H893" i="79"/>
  <c r="T298" i="79"/>
  <c r="I762" i="79"/>
  <c r="F765" i="79"/>
  <c r="J809" i="79"/>
  <c r="M805" i="79"/>
  <c r="N62" i="79"/>
  <c r="Q59" i="79"/>
  <c r="Q901" i="79"/>
  <c r="Q557" i="79"/>
  <c r="N558" i="79"/>
  <c r="B765" i="79"/>
  <c r="E762" i="79"/>
  <c r="G918" i="79"/>
  <c r="J765" i="79"/>
  <c r="M762" i="79"/>
  <c r="AD397" i="79"/>
  <c r="AM397" i="79" s="1"/>
  <c r="B811" i="79"/>
  <c r="B810" i="79"/>
  <c r="E809" i="79"/>
  <c r="R290" i="79"/>
  <c r="E857" i="79"/>
  <c r="K320" i="79"/>
  <c r="J311" i="79"/>
  <c r="M214" i="79"/>
  <c r="I129" i="79"/>
  <c r="H502" i="79"/>
  <c r="H507" i="79" s="1"/>
  <c r="B319" i="79"/>
  <c r="R460" i="78"/>
  <c r="Q289" i="78"/>
  <c r="M289" i="78"/>
  <c r="I289" i="78"/>
  <c r="E289" i="78"/>
  <c r="Q194" i="78"/>
  <c r="M194" i="78"/>
  <c r="I194" i="78"/>
  <c r="E194" i="78"/>
  <c r="Q165" i="78"/>
  <c r="M165" i="78"/>
  <c r="I165" i="78"/>
  <c r="E165" i="78"/>
  <c r="P777" i="79" l="1"/>
  <c r="P778" i="79" s="1"/>
  <c r="Q950" i="79"/>
  <c r="Q1007" i="79" s="1"/>
  <c r="G781" i="81"/>
  <c r="G771" i="81" s="1"/>
  <c r="G772" i="81" s="1"/>
  <c r="O863" i="79"/>
  <c r="O777" i="79"/>
  <c r="O778" i="79" s="1"/>
  <c r="F668" i="79"/>
  <c r="K816" i="81"/>
  <c r="G816" i="81"/>
  <c r="R809" i="81"/>
  <c r="N932" i="81"/>
  <c r="N13" i="81" s="1"/>
  <c r="Q13" i="81" s="1"/>
  <c r="O953" i="81"/>
  <c r="O1010" i="81" s="1"/>
  <c r="L869" i="81"/>
  <c r="Q953" i="81"/>
  <c r="Q982" i="81" s="1"/>
  <c r="D771" i="81"/>
  <c r="D719" i="81" s="1"/>
  <c r="M947" i="81" s="1"/>
  <c r="L771" i="81"/>
  <c r="L719" i="81" s="1"/>
  <c r="M953" i="81" s="1"/>
  <c r="S196" i="79"/>
  <c r="O869" i="81"/>
  <c r="R907" i="81"/>
  <c r="E909" i="81"/>
  <c r="R558" i="81"/>
  <c r="O947" i="81"/>
  <c r="O1004" i="81" s="1"/>
  <c r="R475" i="79"/>
  <c r="P940" i="79"/>
  <c r="P969" i="79" s="1"/>
  <c r="G869" i="81"/>
  <c r="Q949" i="81"/>
  <c r="Q1006" i="81" s="1"/>
  <c r="T900" i="81"/>
  <c r="R131" i="81"/>
  <c r="R901" i="79"/>
  <c r="C777" i="79"/>
  <c r="O940" i="79" s="1"/>
  <c r="M909" i="81"/>
  <c r="Q909" i="81"/>
  <c r="R59" i="81"/>
  <c r="R668" i="81"/>
  <c r="R924" i="79"/>
  <c r="R899" i="81"/>
  <c r="R314" i="81"/>
  <c r="R928" i="81"/>
  <c r="R908" i="81"/>
  <c r="R506" i="81"/>
  <c r="R930" i="81"/>
  <c r="R863" i="81"/>
  <c r="R895" i="81"/>
  <c r="R603" i="81"/>
  <c r="R134" i="81"/>
  <c r="R710" i="79"/>
  <c r="E554" i="79"/>
  <c r="R554" i="79" s="1"/>
  <c r="R59" i="79"/>
  <c r="R902" i="79"/>
  <c r="P1009" i="81"/>
  <c r="P981" i="81"/>
  <c r="E717" i="81"/>
  <c r="B718" i="81"/>
  <c r="R1083" i="81"/>
  <c r="AQ1038" i="81"/>
  <c r="AQ1003" i="81"/>
  <c r="F932" i="81"/>
  <c r="F13" i="81" s="1"/>
  <c r="I13" i="81" s="1"/>
  <c r="I924" i="81"/>
  <c r="I932" i="81" s="1"/>
  <c r="P956" i="81"/>
  <c r="P816" i="81"/>
  <c r="P781" i="81"/>
  <c r="Q868" i="81"/>
  <c r="N869" i="81"/>
  <c r="Q954" i="81"/>
  <c r="Q924" i="81"/>
  <c r="Q932" i="81" s="1"/>
  <c r="I909" i="81"/>
  <c r="F607" i="81"/>
  <c r="I606" i="81"/>
  <c r="E606" i="81"/>
  <c r="B607" i="81"/>
  <c r="R714" i="81"/>
  <c r="P954" i="81"/>
  <c r="N816" i="81"/>
  <c r="Q815" i="81"/>
  <c r="N781" i="81"/>
  <c r="R926" i="81"/>
  <c r="N607" i="81"/>
  <c r="Q606" i="81"/>
  <c r="O816" i="81"/>
  <c r="P955" i="81"/>
  <c r="O781" i="81"/>
  <c r="P950" i="81"/>
  <c r="H816" i="81"/>
  <c r="H781" i="81"/>
  <c r="P1010" i="81"/>
  <c r="P982" i="81"/>
  <c r="N770" i="81"/>
  <c r="Q769" i="81"/>
  <c r="R769" i="81" s="1"/>
  <c r="Q950" i="81"/>
  <c r="H869" i="81"/>
  <c r="N63" i="81"/>
  <c r="Q62" i="81"/>
  <c r="K867" i="81"/>
  <c r="K868" i="81"/>
  <c r="M866" i="81"/>
  <c r="R866" i="81" s="1"/>
  <c r="R322" i="81"/>
  <c r="M606" i="81"/>
  <c r="J607" i="81"/>
  <c r="P951" i="81"/>
  <c r="M815" i="81"/>
  <c r="J816" i="81"/>
  <c r="J781" i="81"/>
  <c r="B932" i="81"/>
  <c r="B13" i="81" s="1"/>
  <c r="E13" i="81" s="1"/>
  <c r="E924" i="81"/>
  <c r="S1082" i="81"/>
  <c r="AR1037" i="81"/>
  <c r="AR1002" i="81"/>
  <c r="N512" i="81"/>
  <c r="Q511" i="81"/>
  <c r="F63" i="81"/>
  <c r="I62" i="81"/>
  <c r="Q1004" i="81"/>
  <c r="Q976" i="81"/>
  <c r="J932" i="81"/>
  <c r="J13" i="81" s="1"/>
  <c r="M13" i="81" s="1"/>
  <c r="M924" i="81"/>
  <c r="M932" i="81" s="1"/>
  <c r="F562" i="81"/>
  <c r="I561" i="81"/>
  <c r="R561" i="81" s="1"/>
  <c r="E671" i="81"/>
  <c r="B672" i="81"/>
  <c r="R890" i="81"/>
  <c r="T890" i="81" s="1"/>
  <c r="M671" i="81"/>
  <c r="J672" i="81"/>
  <c r="P948" i="81"/>
  <c r="I815" i="81"/>
  <c r="F781" i="81"/>
  <c r="F816" i="81"/>
  <c r="Q1012" i="81"/>
  <c r="Q984" i="81"/>
  <c r="P1006" i="81"/>
  <c r="P978" i="81"/>
  <c r="R766" i="81"/>
  <c r="P1004" i="81"/>
  <c r="P976" i="81"/>
  <c r="F672" i="81"/>
  <c r="I671" i="81"/>
  <c r="M717" i="81"/>
  <c r="J718" i="81"/>
  <c r="Q1121" i="81"/>
  <c r="F512" i="81"/>
  <c r="I511" i="81"/>
  <c r="Q956" i="81"/>
  <c r="P869" i="81"/>
  <c r="Q946" i="81"/>
  <c r="C869" i="81"/>
  <c r="C781" i="81"/>
  <c r="E868" i="81"/>
  <c r="S1088" i="81"/>
  <c r="AR1043" i="81"/>
  <c r="AR1008" i="81"/>
  <c r="Q948" i="81"/>
  <c r="I868" i="81"/>
  <c r="F869" i="81"/>
  <c r="B815" i="81"/>
  <c r="E813" i="81"/>
  <c r="R813" i="81" s="1"/>
  <c r="B814" i="81"/>
  <c r="G777" i="79"/>
  <c r="G778" i="79" s="1"/>
  <c r="G863" i="79"/>
  <c r="D926" i="79"/>
  <c r="D13" i="79" s="1"/>
  <c r="R599" i="79"/>
  <c r="R892" i="79"/>
  <c r="P926" i="79"/>
  <c r="P13" i="79" s="1"/>
  <c r="I311" i="79"/>
  <c r="D903" i="79"/>
  <c r="E893" i="79"/>
  <c r="E922" i="79"/>
  <c r="Q922" i="79"/>
  <c r="G903" i="79"/>
  <c r="I893" i="79"/>
  <c r="G926" i="79"/>
  <c r="G13" i="79" s="1"/>
  <c r="E311" i="79"/>
  <c r="R878" i="79"/>
  <c r="Q893" i="79"/>
  <c r="P903" i="79"/>
  <c r="R889" i="79"/>
  <c r="R920" i="79"/>
  <c r="R129" i="79"/>
  <c r="Q1115" i="79"/>
  <c r="R762" i="79"/>
  <c r="E502" i="79"/>
  <c r="B507" i="79"/>
  <c r="N668" i="79"/>
  <c r="Q667" i="79"/>
  <c r="L863" i="79"/>
  <c r="Q947" i="79"/>
  <c r="F918" i="79"/>
  <c r="I884" i="79"/>
  <c r="F903" i="79"/>
  <c r="Q998" i="79"/>
  <c r="Q970" i="79"/>
  <c r="B766" i="79"/>
  <c r="E765" i="79"/>
  <c r="J810" i="79"/>
  <c r="M809" i="79"/>
  <c r="R809" i="79" s="1"/>
  <c r="J811" i="79"/>
  <c r="Q944" i="79"/>
  <c r="H863" i="79"/>
  <c r="N766" i="79"/>
  <c r="Q765" i="79"/>
  <c r="B603" i="79"/>
  <c r="E602" i="79"/>
  <c r="P946" i="79"/>
  <c r="K777" i="79"/>
  <c r="K812" i="79"/>
  <c r="N603" i="79"/>
  <c r="Q602" i="79"/>
  <c r="N714" i="79"/>
  <c r="Q713" i="79"/>
  <c r="Q502" i="79"/>
  <c r="N507" i="79"/>
  <c r="E811" i="79"/>
  <c r="P939" i="79"/>
  <c r="B812" i="79"/>
  <c r="B777" i="79"/>
  <c r="R805" i="79"/>
  <c r="B558" i="79"/>
  <c r="E557" i="79"/>
  <c r="J603" i="79"/>
  <c r="M602" i="79"/>
  <c r="M507" i="79"/>
  <c r="J508" i="79"/>
  <c r="R214" i="79"/>
  <c r="Q946" i="79"/>
  <c r="K863" i="79"/>
  <c r="H508" i="79"/>
  <c r="M311" i="79"/>
  <c r="J319" i="79"/>
  <c r="M132" i="79"/>
  <c r="J133" i="79"/>
  <c r="R664" i="79"/>
  <c r="Q940" i="79"/>
  <c r="C863" i="79"/>
  <c r="F861" i="79"/>
  <c r="F862" i="79"/>
  <c r="F777" i="79" s="1"/>
  <c r="I860" i="79"/>
  <c r="R1086" i="79"/>
  <c r="AQ1006" i="79"/>
  <c r="AQ1041" i="79"/>
  <c r="Q132" i="79"/>
  <c r="N133" i="79"/>
  <c r="H777" i="79"/>
  <c r="M502" i="79"/>
  <c r="O950" i="79"/>
  <c r="C320" i="79"/>
  <c r="B903" i="79"/>
  <c r="B918" i="79"/>
  <c r="E884" i="79"/>
  <c r="F766" i="79"/>
  <c r="I765" i="79"/>
  <c r="B668" i="79"/>
  <c r="E667" i="79"/>
  <c r="P973" i="79"/>
  <c r="P1001" i="79"/>
  <c r="P1007" i="79"/>
  <c r="P979" i="79"/>
  <c r="F63" i="79"/>
  <c r="I62" i="79"/>
  <c r="I713" i="79"/>
  <c r="F714" i="79"/>
  <c r="N862" i="79"/>
  <c r="N777" i="79" s="1"/>
  <c r="Q860" i="79"/>
  <c r="N861" i="79"/>
  <c r="N63" i="79"/>
  <c r="Q62" i="79"/>
  <c r="J558" i="79"/>
  <c r="M557" i="79"/>
  <c r="I319" i="79"/>
  <c r="F320" i="79"/>
  <c r="N319" i="79"/>
  <c r="Q311" i="79"/>
  <c r="J903" i="79"/>
  <c r="M903" i="79" s="1"/>
  <c r="J918" i="79"/>
  <c r="M884" i="79"/>
  <c r="E319" i="79"/>
  <c r="B320" i="79"/>
  <c r="R857" i="79"/>
  <c r="I502" i="79"/>
  <c r="J922" i="79"/>
  <c r="M922" i="79" s="1"/>
  <c r="M893" i="79"/>
  <c r="K508" i="79"/>
  <c r="J668" i="79"/>
  <c r="M667" i="79"/>
  <c r="J862" i="79"/>
  <c r="M860" i="79"/>
  <c r="J861" i="79"/>
  <c r="Q1000" i="79"/>
  <c r="Q972" i="79"/>
  <c r="P948" i="79"/>
  <c r="N812" i="79"/>
  <c r="Q811" i="79"/>
  <c r="N918" i="79"/>
  <c r="Q884" i="79"/>
  <c r="N903" i="79"/>
  <c r="Q939" i="79"/>
  <c r="E862" i="79"/>
  <c r="B863" i="79"/>
  <c r="M765" i="79"/>
  <c r="J766" i="79"/>
  <c r="E132" i="79"/>
  <c r="B133" i="79"/>
  <c r="I507" i="79"/>
  <c r="F508" i="79"/>
  <c r="H922" i="79"/>
  <c r="H926" i="79" s="1"/>
  <c r="H13" i="79" s="1"/>
  <c r="H903" i="79"/>
  <c r="P942" i="79"/>
  <c r="F812" i="79"/>
  <c r="I811" i="79"/>
  <c r="P947" i="79"/>
  <c r="L812" i="79"/>
  <c r="L777" i="79"/>
  <c r="D714" i="79"/>
  <c r="E713" i="79"/>
  <c r="P1000" i="79"/>
  <c r="P972" i="79"/>
  <c r="Q978" i="79"/>
  <c r="Q1006" i="79"/>
  <c r="I602" i="79"/>
  <c r="F603" i="79"/>
  <c r="P941" i="79"/>
  <c r="D812" i="79"/>
  <c r="D777" i="79"/>
  <c r="R289" i="78"/>
  <c r="R194" i="78"/>
  <c r="R165" i="78"/>
  <c r="Q979" i="79" l="1"/>
  <c r="P767" i="79"/>
  <c r="N950" i="79" s="1"/>
  <c r="G782" i="81"/>
  <c r="O949" i="81"/>
  <c r="O978" i="81" s="1"/>
  <c r="O949" i="79"/>
  <c r="O1006" i="79" s="1"/>
  <c r="O767" i="79"/>
  <c r="N949" i="79" s="1"/>
  <c r="O982" i="81"/>
  <c r="L683" i="81"/>
  <c r="L953" i="81" s="1"/>
  <c r="D683" i="81"/>
  <c r="L947" i="81" s="1"/>
  <c r="D720" i="81"/>
  <c r="D772" i="81"/>
  <c r="N947" i="81"/>
  <c r="N1004" i="81" s="1"/>
  <c r="Q1010" i="81"/>
  <c r="S1090" i="81" s="1"/>
  <c r="O976" i="81"/>
  <c r="L720" i="81"/>
  <c r="N953" i="81"/>
  <c r="N1010" i="81" s="1"/>
  <c r="L772" i="81"/>
  <c r="Q978" i="81"/>
  <c r="C767" i="79"/>
  <c r="N940" i="79" s="1"/>
  <c r="C778" i="79"/>
  <c r="N949" i="81"/>
  <c r="N978" i="81" s="1"/>
  <c r="G719" i="81"/>
  <c r="M949" i="81" s="1"/>
  <c r="P997" i="79"/>
  <c r="R1077" i="79" s="1"/>
  <c r="R511" i="81"/>
  <c r="R62" i="81"/>
  <c r="R909" i="81"/>
  <c r="R860" i="79"/>
  <c r="R606" i="81"/>
  <c r="O943" i="79"/>
  <c r="O1000" i="79" s="1"/>
  <c r="G767" i="79"/>
  <c r="G768" i="79" s="1"/>
  <c r="Q1003" i="81"/>
  <c r="Q975" i="81"/>
  <c r="P977" i="81"/>
  <c r="P1005" i="81"/>
  <c r="R13" i="81"/>
  <c r="P979" i="81"/>
  <c r="P1007" i="81"/>
  <c r="Q1011" i="81"/>
  <c r="Q983" i="81"/>
  <c r="R1089" i="81"/>
  <c r="AQ1044" i="81"/>
  <c r="AQ1009" i="81"/>
  <c r="P945" i="81"/>
  <c r="E815" i="81"/>
  <c r="R815" i="81" s="1"/>
  <c r="B816" i="81"/>
  <c r="B781" i="81"/>
  <c r="Q1090" i="81"/>
  <c r="AP1010" i="81"/>
  <c r="AP1045" i="81"/>
  <c r="R671" i="81"/>
  <c r="O951" i="81"/>
  <c r="J782" i="81"/>
  <c r="J771" i="81"/>
  <c r="R1086" i="81"/>
  <c r="AQ1041" i="81"/>
  <c r="AQ1006" i="81"/>
  <c r="Q952" i="81"/>
  <c r="Q958" i="81" s="1"/>
  <c r="K869" i="81"/>
  <c r="M868" i="81"/>
  <c r="R868" i="81" s="1"/>
  <c r="K781" i="81"/>
  <c r="M781" i="81" s="1"/>
  <c r="O955" i="81"/>
  <c r="O782" i="81"/>
  <c r="O771" i="81"/>
  <c r="O954" i="81"/>
  <c r="N782" i="81"/>
  <c r="Q781" i="81"/>
  <c r="Q1084" i="81"/>
  <c r="AP1004" i="81"/>
  <c r="AP1039" i="81"/>
  <c r="P1012" i="81"/>
  <c r="P984" i="81"/>
  <c r="S1086" i="81"/>
  <c r="AR1041" i="81"/>
  <c r="AR1006" i="81"/>
  <c r="R717" i="81"/>
  <c r="S1084" i="81"/>
  <c r="AR1039" i="81"/>
  <c r="AR1004" i="81"/>
  <c r="M1004" i="81"/>
  <c r="M976" i="81"/>
  <c r="S1092" i="81"/>
  <c r="AR1047" i="81"/>
  <c r="AR1012" i="81"/>
  <c r="P1008" i="81"/>
  <c r="P980" i="81"/>
  <c r="R1090" i="81"/>
  <c r="AQ1045" i="81"/>
  <c r="AQ1010" i="81"/>
  <c r="N771" i="81"/>
  <c r="P1011" i="81"/>
  <c r="P983" i="81"/>
  <c r="P1013" i="81"/>
  <c r="P985" i="81"/>
  <c r="AQ1099" i="81"/>
  <c r="AQ1104" i="81"/>
  <c r="AQ1097" i="81"/>
  <c r="AQ1095" i="81"/>
  <c r="AQ1093" i="81"/>
  <c r="AQ1091" i="81"/>
  <c r="AQ1089" i="81"/>
  <c r="AQ1102" i="81"/>
  <c r="AQ1100" i="81"/>
  <c r="AQ1105" i="81"/>
  <c r="AQ1103" i="81"/>
  <c r="AQ1098" i="81"/>
  <c r="AQ1096" i="81"/>
  <c r="AQ1094" i="81"/>
  <c r="AQ1092" i="81"/>
  <c r="AQ1090" i="81"/>
  <c r="AQ1101" i="81"/>
  <c r="AQ1086" i="81"/>
  <c r="AQ1084" i="81"/>
  <c r="AQ1082" i="81"/>
  <c r="AQ1087" i="81"/>
  <c r="AQ1088" i="81"/>
  <c r="AQ1083" i="81"/>
  <c r="AQ1085" i="81"/>
  <c r="Q1007" i="81"/>
  <c r="Q979" i="81"/>
  <c r="O956" i="81"/>
  <c r="P782" i="81"/>
  <c r="P771" i="81"/>
  <c r="Q977" i="81"/>
  <c r="Q1005" i="81"/>
  <c r="O946" i="81"/>
  <c r="C782" i="81"/>
  <c r="C771" i="81"/>
  <c r="Q1013" i="81"/>
  <c r="Q985" i="81"/>
  <c r="O948" i="81"/>
  <c r="I781" i="81"/>
  <c r="F782" i="81"/>
  <c r="F771" i="81"/>
  <c r="O950" i="81"/>
  <c r="H782" i="81"/>
  <c r="H771" i="81"/>
  <c r="M1010" i="81"/>
  <c r="M982" i="81"/>
  <c r="AQ1039" i="81"/>
  <c r="R1084" i="81"/>
  <c r="AQ1004" i="81"/>
  <c r="R924" i="81"/>
  <c r="R932" i="81" s="1"/>
  <c r="E932" i="81"/>
  <c r="R713" i="79"/>
  <c r="T894" i="79"/>
  <c r="Q903" i="79"/>
  <c r="E903" i="79"/>
  <c r="R893" i="79"/>
  <c r="I903" i="79"/>
  <c r="R311" i="79"/>
  <c r="R132" i="79"/>
  <c r="F778" i="79"/>
  <c r="O942" i="79"/>
  <c r="I777" i="79"/>
  <c r="F767" i="79"/>
  <c r="S1086" i="79"/>
  <c r="AR1041" i="79"/>
  <c r="AR1006" i="79"/>
  <c r="P1004" i="79"/>
  <c r="P976" i="79"/>
  <c r="N926" i="79"/>
  <c r="N13" i="79" s="1"/>
  <c r="Q13" i="79" s="1"/>
  <c r="Q918" i="79"/>
  <c r="Q926" i="79" s="1"/>
  <c r="O941" i="79"/>
  <c r="D778" i="79"/>
  <c r="D767" i="79"/>
  <c r="N778" i="79"/>
  <c r="O948" i="79"/>
  <c r="Q777" i="79"/>
  <c r="J926" i="79"/>
  <c r="J13" i="79" s="1"/>
  <c r="M13" i="79" s="1"/>
  <c r="M918" i="79"/>
  <c r="M926" i="79" s="1"/>
  <c r="R1080" i="79"/>
  <c r="AQ1035" i="79"/>
  <c r="AQ1000" i="79"/>
  <c r="AR1042" i="79"/>
  <c r="S1087" i="79"/>
  <c r="AR1007" i="79"/>
  <c r="R62" i="79"/>
  <c r="R667" i="79"/>
  <c r="E918" i="79"/>
  <c r="B926" i="79"/>
  <c r="B13" i="79" s="1"/>
  <c r="E13" i="79" s="1"/>
  <c r="I922" i="79"/>
  <c r="R922" i="79" s="1"/>
  <c r="R602" i="79"/>
  <c r="S1078" i="79"/>
  <c r="AR1033" i="79"/>
  <c r="AR998" i="79"/>
  <c r="Q942" i="79"/>
  <c r="I862" i="79"/>
  <c r="F863" i="79"/>
  <c r="R557" i="79"/>
  <c r="P971" i="79"/>
  <c r="P999" i="79"/>
  <c r="Q319" i="79"/>
  <c r="N320" i="79"/>
  <c r="R1087" i="79"/>
  <c r="AQ1007" i="79"/>
  <c r="AQ1042" i="79"/>
  <c r="F926" i="79"/>
  <c r="F13" i="79" s="1"/>
  <c r="I13" i="79" s="1"/>
  <c r="I918" i="79"/>
  <c r="P998" i="79"/>
  <c r="P970" i="79"/>
  <c r="O944" i="79"/>
  <c r="H778" i="79"/>
  <c r="H767" i="79"/>
  <c r="O997" i="79"/>
  <c r="O969" i="79"/>
  <c r="N508" i="79"/>
  <c r="Q507" i="79"/>
  <c r="P945" i="79"/>
  <c r="M811" i="79"/>
  <c r="R811" i="79" s="1"/>
  <c r="J777" i="79"/>
  <c r="J812" i="79"/>
  <c r="E507" i="79"/>
  <c r="B508" i="79"/>
  <c r="P1005" i="79"/>
  <c r="P977" i="79"/>
  <c r="R502" i="79"/>
  <c r="Q996" i="79"/>
  <c r="Q968" i="79"/>
  <c r="Q948" i="79"/>
  <c r="Q862" i="79"/>
  <c r="N863" i="79"/>
  <c r="O947" i="79"/>
  <c r="L778" i="79"/>
  <c r="L767" i="79"/>
  <c r="S1080" i="79"/>
  <c r="AR1000" i="79"/>
  <c r="AR1035" i="79"/>
  <c r="R1081" i="79"/>
  <c r="AQ1036" i="79"/>
  <c r="AQ1001" i="79"/>
  <c r="Q997" i="79"/>
  <c r="Q969" i="79"/>
  <c r="N767" i="79"/>
  <c r="R765" i="79"/>
  <c r="Q1004" i="79"/>
  <c r="Q976" i="79"/>
  <c r="M319" i="79"/>
  <c r="J320" i="79"/>
  <c r="Q1003" i="79"/>
  <c r="Q975" i="79"/>
  <c r="O939" i="79"/>
  <c r="B778" i="79"/>
  <c r="E777" i="79"/>
  <c r="O946" i="79"/>
  <c r="K778" i="79"/>
  <c r="K767" i="79"/>
  <c r="B767" i="79"/>
  <c r="M862" i="79"/>
  <c r="Q945" i="79"/>
  <c r="J863" i="79"/>
  <c r="R884" i="79"/>
  <c r="T884" i="79" s="1"/>
  <c r="O979" i="79"/>
  <c r="O1007" i="79"/>
  <c r="P996" i="79"/>
  <c r="P968" i="79"/>
  <c r="P975" i="79"/>
  <c r="P1003" i="79"/>
  <c r="Q1001" i="79"/>
  <c r="Q973" i="79"/>
  <c r="Q296" i="78"/>
  <c r="M296" i="78"/>
  <c r="I296" i="78"/>
  <c r="E296" i="78"/>
  <c r="P715" i="79" l="1"/>
  <c r="P679" i="79" s="1"/>
  <c r="P768" i="79"/>
  <c r="O1006" i="81"/>
  <c r="AP1041" i="81" s="1"/>
  <c r="O768" i="79"/>
  <c r="O978" i="79"/>
  <c r="O715" i="79"/>
  <c r="M949" i="79" s="1"/>
  <c r="D673" i="81"/>
  <c r="K947" i="81" s="1"/>
  <c r="AR1045" i="81"/>
  <c r="AR1010" i="81"/>
  <c r="D684" i="81"/>
  <c r="L684" i="81"/>
  <c r="L673" i="81"/>
  <c r="K953" i="81" s="1"/>
  <c r="N976" i="81"/>
  <c r="N982" i="81"/>
  <c r="C715" i="79"/>
  <c r="C716" i="79" s="1"/>
  <c r="C768" i="79"/>
  <c r="N1006" i="81"/>
  <c r="AO1041" i="81" s="1"/>
  <c r="G720" i="81"/>
  <c r="G683" i="81"/>
  <c r="G684" i="81" s="1"/>
  <c r="O972" i="79"/>
  <c r="AQ997" i="79"/>
  <c r="AQ1032" i="79"/>
  <c r="G715" i="79"/>
  <c r="G679" i="79" s="1"/>
  <c r="N943" i="79"/>
  <c r="N1000" i="79" s="1"/>
  <c r="S1085" i="81"/>
  <c r="AR1040" i="81"/>
  <c r="AR1005" i="81"/>
  <c r="P1084" i="81"/>
  <c r="AO1039" i="81"/>
  <c r="AO1004" i="81"/>
  <c r="P1090" i="81"/>
  <c r="AO1010" i="81"/>
  <c r="AO1045" i="81"/>
  <c r="Q1009" i="81"/>
  <c r="Q1015" i="81" s="1"/>
  <c r="Q981" i="81"/>
  <c r="R1087" i="81"/>
  <c r="AQ1007" i="81"/>
  <c r="AQ1042" i="81"/>
  <c r="O977" i="81"/>
  <c r="O1005" i="81"/>
  <c r="O983" i="81"/>
  <c r="O1011" i="81"/>
  <c r="S1083" i="81"/>
  <c r="AR1038" i="81"/>
  <c r="AR1003" i="81"/>
  <c r="O1090" i="81"/>
  <c r="AN1045" i="81"/>
  <c r="AN1010" i="81"/>
  <c r="N956" i="81"/>
  <c r="P772" i="81"/>
  <c r="P719" i="81"/>
  <c r="AQ1048" i="81"/>
  <c r="AQ1013" i="81"/>
  <c r="R1093" i="81"/>
  <c r="AQ1043" i="81"/>
  <c r="R1088" i="81"/>
  <c r="AQ1008" i="81"/>
  <c r="N955" i="81"/>
  <c r="O772" i="81"/>
  <c r="O719" i="81"/>
  <c r="O1008" i="81"/>
  <c r="O980" i="81"/>
  <c r="P1002" i="81"/>
  <c r="P958" i="81"/>
  <c r="P974" i="81"/>
  <c r="AR1048" i="81"/>
  <c r="S1093" i="81"/>
  <c r="AR1013" i="81"/>
  <c r="AQ1047" i="81"/>
  <c r="R1092" i="81"/>
  <c r="AQ1012" i="81"/>
  <c r="N950" i="81"/>
  <c r="H772" i="81"/>
  <c r="H719" i="81"/>
  <c r="M1006" i="81"/>
  <c r="M978" i="81"/>
  <c r="AQ1106" i="81"/>
  <c r="N946" i="81"/>
  <c r="C772" i="81"/>
  <c r="C719" i="81"/>
  <c r="O1013" i="81"/>
  <c r="O985" i="81"/>
  <c r="R1091" i="81"/>
  <c r="AQ1046" i="81"/>
  <c r="AQ1011" i="81"/>
  <c r="O1012" i="81"/>
  <c r="O984" i="81"/>
  <c r="O1007" i="81"/>
  <c r="O979" i="81"/>
  <c r="N954" i="81"/>
  <c r="N772" i="81"/>
  <c r="Q771" i="81"/>
  <c r="N719" i="81"/>
  <c r="L1010" i="81"/>
  <c r="L982" i="81"/>
  <c r="O952" i="81"/>
  <c r="K782" i="81"/>
  <c r="K771" i="81"/>
  <c r="M771" i="81" s="1"/>
  <c r="R1085" i="81"/>
  <c r="AQ1005" i="81"/>
  <c r="AQ1040" i="81"/>
  <c r="N948" i="81"/>
  <c r="F772" i="81"/>
  <c r="I771" i="81"/>
  <c r="F719" i="81"/>
  <c r="O1003" i="81"/>
  <c r="O975" i="81"/>
  <c r="S1087" i="81"/>
  <c r="AR1042" i="81"/>
  <c r="AR1007" i="81"/>
  <c r="L1004" i="81"/>
  <c r="L976" i="81"/>
  <c r="O1084" i="81"/>
  <c r="AN1039" i="81"/>
  <c r="AN1004" i="81"/>
  <c r="N951" i="81"/>
  <c r="J772" i="81"/>
  <c r="J719" i="81"/>
  <c r="O945" i="81"/>
  <c r="B782" i="81"/>
  <c r="E781" i="81"/>
  <c r="R781" i="81" s="1"/>
  <c r="B771" i="81"/>
  <c r="S1091" i="81"/>
  <c r="AR1046" i="81"/>
  <c r="AR1011" i="81"/>
  <c r="R862" i="79"/>
  <c r="Q952" i="79"/>
  <c r="R507" i="79"/>
  <c r="R903" i="79"/>
  <c r="R319" i="79"/>
  <c r="I926" i="79"/>
  <c r="Q1080" i="79"/>
  <c r="AP1035" i="79"/>
  <c r="AP1000" i="79"/>
  <c r="O996" i="79"/>
  <c r="O968" i="79"/>
  <c r="S1076" i="79"/>
  <c r="AR1031" i="79"/>
  <c r="AR996" i="79"/>
  <c r="O945" i="79"/>
  <c r="J778" i="79"/>
  <c r="M777" i="79"/>
  <c r="R777" i="79" s="1"/>
  <c r="J767" i="79"/>
  <c r="R1079" i="79"/>
  <c r="AQ1034" i="79"/>
  <c r="AQ999" i="79"/>
  <c r="N1007" i="79"/>
  <c r="N979" i="79"/>
  <c r="R1083" i="79"/>
  <c r="AQ1003" i="79"/>
  <c r="AQ1038" i="79"/>
  <c r="S1084" i="79"/>
  <c r="AR1039" i="79"/>
  <c r="AR1004" i="79"/>
  <c r="Q1005" i="79"/>
  <c r="Q977" i="79"/>
  <c r="Q1086" i="79"/>
  <c r="AP1006" i="79"/>
  <c r="AP1041" i="79"/>
  <c r="O1005" i="79"/>
  <c r="O977" i="79"/>
  <c r="R1084" i="79"/>
  <c r="AQ1004" i="79"/>
  <c r="AQ1039" i="79"/>
  <c r="R1078" i="79"/>
  <c r="AQ1033" i="79"/>
  <c r="AQ998" i="79"/>
  <c r="O999" i="79"/>
  <c r="O971" i="79"/>
  <c r="Q974" i="79"/>
  <c r="Q1002" i="79"/>
  <c r="E767" i="79"/>
  <c r="B768" i="79"/>
  <c r="N939" i="79"/>
  <c r="B715" i="79"/>
  <c r="N944" i="79"/>
  <c r="H768" i="79"/>
  <c r="H715" i="79"/>
  <c r="N946" i="79"/>
  <c r="K768" i="79"/>
  <c r="K715" i="79"/>
  <c r="N948" i="79"/>
  <c r="Q767" i="79"/>
  <c r="N768" i="79"/>
  <c r="N715" i="79"/>
  <c r="R1085" i="79"/>
  <c r="AQ1005" i="79"/>
  <c r="AQ1040" i="79"/>
  <c r="N941" i="79"/>
  <c r="D768" i="79"/>
  <c r="D715" i="79"/>
  <c r="Q1077" i="79"/>
  <c r="AP997" i="79"/>
  <c r="AP1032" i="79"/>
  <c r="S1081" i="79"/>
  <c r="AR1001" i="79"/>
  <c r="AR1036" i="79"/>
  <c r="N997" i="79"/>
  <c r="N969" i="79"/>
  <c r="N1006" i="79"/>
  <c r="N978" i="79"/>
  <c r="S1083" i="79"/>
  <c r="AR1038" i="79"/>
  <c r="AR1003" i="79"/>
  <c r="P1002" i="79"/>
  <c r="P1009" i="79" s="1"/>
  <c r="P974" i="79"/>
  <c r="P952" i="79"/>
  <c r="Q1087" i="79"/>
  <c r="AP1042" i="79"/>
  <c r="AP1007" i="79"/>
  <c r="N947" i="79"/>
  <c r="L768" i="79"/>
  <c r="L715" i="79"/>
  <c r="O973" i="79"/>
  <c r="O1001" i="79"/>
  <c r="R13" i="79"/>
  <c r="N942" i="79"/>
  <c r="I767" i="79"/>
  <c r="F768" i="79"/>
  <c r="F715" i="79"/>
  <c r="R1076" i="79"/>
  <c r="AQ1031" i="79"/>
  <c r="AQ996" i="79"/>
  <c r="O1003" i="79"/>
  <c r="O975" i="79"/>
  <c r="AR1032" i="79"/>
  <c r="S1077" i="79"/>
  <c r="AR997" i="79"/>
  <c r="Q999" i="79"/>
  <c r="Q971" i="79"/>
  <c r="E926" i="79"/>
  <c r="R918" i="79"/>
  <c r="R926" i="79" s="1"/>
  <c r="O998" i="79"/>
  <c r="O970" i="79"/>
  <c r="AQ1093" i="79"/>
  <c r="AQ1098" i="79"/>
  <c r="AQ1091" i="79"/>
  <c r="AQ1089" i="79"/>
  <c r="AQ1087" i="79"/>
  <c r="AQ1096" i="79"/>
  <c r="AQ1094" i="79"/>
  <c r="AQ1083" i="79"/>
  <c r="AQ1088" i="79"/>
  <c r="AQ1081" i="79"/>
  <c r="AQ1085" i="79"/>
  <c r="AQ1082" i="79"/>
  <c r="AQ1097" i="79"/>
  <c r="AQ1095" i="79"/>
  <c r="AQ1090" i="79"/>
  <c r="AQ1086" i="79"/>
  <c r="AQ1079" i="79"/>
  <c r="AQ1076" i="79"/>
  <c r="AQ1099" i="79"/>
  <c r="AQ1092" i="79"/>
  <c r="AQ1084" i="79"/>
  <c r="AQ1078" i="79"/>
  <c r="AQ1080" i="79"/>
  <c r="AQ1077" i="79"/>
  <c r="O1004" i="79"/>
  <c r="O976" i="79"/>
  <c r="R296" i="78"/>
  <c r="P716" i="79" l="1"/>
  <c r="M950" i="79"/>
  <c r="M1007" i="79" s="1"/>
  <c r="AP1006" i="81"/>
  <c r="Q1086" i="81"/>
  <c r="O716" i="79"/>
  <c r="O679" i="79"/>
  <c r="L949" i="79" s="1"/>
  <c r="M940" i="79"/>
  <c r="M969" i="79" s="1"/>
  <c r="D608" i="81"/>
  <c r="J947" i="81" s="1"/>
  <c r="L674" i="81"/>
  <c r="D674" i="81"/>
  <c r="L608" i="81"/>
  <c r="L563" i="81" s="1"/>
  <c r="C679" i="79"/>
  <c r="L940" i="79" s="1"/>
  <c r="M943" i="79"/>
  <c r="M972" i="79" s="1"/>
  <c r="P1086" i="81"/>
  <c r="AO1006" i="81"/>
  <c r="L949" i="81"/>
  <c r="L1006" i="81" s="1"/>
  <c r="G716" i="79"/>
  <c r="G673" i="81"/>
  <c r="G608" i="81" s="1"/>
  <c r="N972" i="79"/>
  <c r="Q1009" i="79"/>
  <c r="Q1083" i="81"/>
  <c r="AP1038" i="81"/>
  <c r="AP1003" i="81"/>
  <c r="O1002" i="81"/>
  <c r="O958" i="81"/>
  <c r="O974" i="81"/>
  <c r="Q1087" i="81"/>
  <c r="AP1042" i="81"/>
  <c r="AP1007" i="81"/>
  <c r="N1013" i="81"/>
  <c r="N985" i="81"/>
  <c r="N1008" i="81"/>
  <c r="N980" i="81"/>
  <c r="K982" i="81"/>
  <c r="K1010" i="81"/>
  <c r="Q1088" i="81"/>
  <c r="AP1043" i="81"/>
  <c r="AP1008" i="81"/>
  <c r="N945" i="81"/>
  <c r="B772" i="81"/>
  <c r="E771" i="81"/>
  <c r="R771" i="81" s="1"/>
  <c r="B719" i="81"/>
  <c r="AP1047" i="81"/>
  <c r="Q1092" i="81"/>
  <c r="AP1012" i="81"/>
  <c r="N1003" i="81"/>
  <c r="N975" i="81"/>
  <c r="M955" i="81"/>
  <c r="O720" i="81"/>
  <c r="O683" i="81"/>
  <c r="N1012" i="81"/>
  <c r="N984" i="81"/>
  <c r="AR1104" i="81"/>
  <c r="AR1097" i="81"/>
  <c r="AR1095" i="81"/>
  <c r="AR1093" i="81"/>
  <c r="AR1091" i="81"/>
  <c r="AR1102" i="81"/>
  <c r="AR1100" i="81"/>
  <c r="AR1105" i="81"/>
  <c r="AR1103" i="81"/>
  <c r="AR1098" i="81"/>
  <c r="AR1096" i="81"/>
  <c r="AR1094" i="81"/>
  <c r="AR1092" i="81"/>
  <c r="AR1101" i="81"/>
  <c r="AR1090" i="81"/>
  <c r="AR1086" i="81"/>
  <c r="AR1084" i="81"/>
  <c r="AR1082" i="81"/>
  <c r="AR1089" i="81"/>
  <c r="AR1087" i="81"/>
  <c r="AR1085" i="81"/>
  <c r="AR1083" i="81"/>
  <c r="AR1088" i="81"/>
  <c r="AR1099" i="81"/>
  <c r="O981" i="81"/>
  <c r="O1009" i="81"/>
  <c r="N1011" i="81"/>
  <c r="N983" i="81"/>
  <c r="M956" i="81"/>
  <c r="P720" i="81"/>
  <c r="P683" i="81"/>
  <c r="Q1091" i="81"/>
  <c r="AP1011" i="81"/>
  <c r="AP1046" i="81"/>
  <c r="N1005" i="81"/>
  <c r="N977" i="81"/>
  <c r="N1090" i="81"/>
  <c r="AM1045" i="81"/>
  <c r="AM1010" i="81"/>
  <c r="AW974" i="81"/>
  <c r="Q1093" i="81"/>
  <c r="AP1048" i="81"/>
  <c r="AP1013" i="81"/>
  <c r="R1082" i="81"/>
  <c r="AQ1037" i="81"/>
  <c r="AQ1050" i="81" s="1"/>
  <c r="P1015" i="81"/>
  <c r="AQ1002" i="81"/>
  <c r="AQ1015" i="81" s="1"/>
  <c r="Q1085" i="81"/>
  <c r="AP1040" i="81"/>
  <c r="AP1005" i="81"/>
  <c r="M948" i="81"/>
  <c r="I719" i="81"/>
  <c r="F720" i="81"/>
  <c r="F683" i="81"/>
  <c r="O1086" i="81"/>
  <c r="AN1041" i="81"/>
  <c r="AN1006" i="81"/>
  <c r="M951" i="81"/>
  <c r="J720" i="81"/>
  <c r="J683" i="81"/>
  <c r="N1084" i="81"/>
  <c r="AM1039" i="81"/>
  <c r="AM1004" i="81"/>
  <c r="AW968" i="81"/>
  <c r="M950" i="81"/>
  <c r="H720" i="81"/>
  <c r="H683" i="81"/>
  <c r="M954" i="81"/>
  <c r="Q719" i="81"/>
  <c r="N683" i="81"/>
  <c r="N720" i="81"/>
  <c r="K1004" i="81"/>
  <c r="K976" i="81"/>
  <c r="M946" i="81"/>
  <c r="C683" i="81"/>
  <c r="C720" i="81"/>
  <c r="N979" i="81"/>
  <c r="N1007" i="81"/>
  <c r="AR1044" i="81"/>
  <c r="AR1050" i="81" s="1"/>
  <c r="AR1009" i="81"/>
  <c r="AR1015" i="81" s="1"/>
  <c r="S1089" i="81"/>
  <c r="N952" i="81"/>
  <c r="K772" i="81"/>
  <c r="K719" i="81"/>
  <c r="M948" i="79"/>
  <c r="N716" i="79"/>
  <c r="Q715" i="79"/>
  <c r="N679" i="79"/>
  <c r="O1002" i="79"/>
  <c r="O1009" i="79" s="1"/>
  <c r="O974" i="79"/>
  <c r="Q1084" i="79"/>
  <c r="AP1004" i="79"/>
  <c r="AP1039" i="79"/>
  <c r="Q1081" i="79"/>
  <c r="AP1036" i="79"/>
  <c r="AP1001" i="79"/>
  <c r="N1001" i="79"/>
  <c r="N973" i="79"/>
  <c r="Q1079" i="79"/>
  <c r="AP1034" i="79"/>
  <c r="AP999" i="79"/>
  <c r="Q1085" i="79"/>
  <c r="AP1040" i="79"/>
  <c r="AP1005" i="79"/>
  <c r="P1087" i="79"/>
  <c r="AO1042" i="79"/>
  <c r="AO1007" i="79"/>
  <c r="S1079" i="79"/>
  <c r="AR1034" i="79"/>
  <c r="AR999" i="79"/>
  <c r="M941" i="79"/>
  <c r="D716" i="79"/>
  <c r="D679" i="79"/>
  <c r="E715" i="79"/>
  <c r="M939" i="79"/>
  <c r="B716" i="79"/>
  <c r="B679" i="79"/>
  <c r="AQ1100" i="79"/>
  <c r="N1005" i="79"/>
  <c r="N977" i="79"/>
  <c r="N996" i="79"/>
  <c r="N968" i="79"/>
  <c r="AR1098" i="79"/>
  <c r="AR1091" i="79"/>
  <c r="AR1089" i="79"/>
  <c r="AR1087" i="79"/>
  <c r="AR1085" i="79"/>
  <c r="AR1096" i="79"/>
  <c r="AR1094" i="79"/>
  <c r="AR1088" i="79"/>
  <c r="AR1081" i="79"/>
  <c r="AR1097" i="79"/>
  <c r="AR1090" i="79"/>
  <c r="AR1084" i="79"/>
  <c r="AR1079" i="79"/>
  <c r="AR1077" i="79"/>
  <c r="AR1086" i="79"/>
  <c r="AR1076" i="79"/>
  <c r="AR1099" i="79"/>
  <c r="AR1092" i="79"/>
  <c r="AR1078" i="79"/>
  <c r="AR1080" i="79"/>
  <c r="AR1083" i="79"/>
  <c r="AR1082" i="79"/>
  <c r="AR1095" i="79"/>
  <c r="AR1093" i="79"/>
  <c r="M942" i="79"/>
  <c r="F716" i="79"/>
  <c r="I715" i="79"/>
  <c r="F679" i="79"/>
  <c r="P1080" i="79"/>
  <c r="AO1035" i="79"/>
  <c r="AO1000" i="79"/>
  <c r="N998" i="79"/>
  <c r="N970" i="79"/>
  <c r="M946" i="79"/>
  <c r="K716" i="79"/>
  <c r="K679" i="79"/>
  <c r="M1006" i="79"/>
  <c r="M978" i="79"/>
  <c r="M947" i="79"/>
  <c r="L716" i="79"/>
  <c r="L679" i="79"/>
  <c r="R1082" i="79"/>
  <c r="AQ1002" i="79"/>
  <c r="AQ1009" i="79" s="1"/>
  <c r="AQ1037" i="79"/>
  <c r="AQ1044" i="79" s="1"/>
  <c r="P1086" i="79"/>
  <c r="AO1041" i="79"/>
  <c r="AO1006" i="79"/>
  <c r="AP1095" i="79"/>
  <c r="AP1093" i="79"/>
  <c r="AP1098" i="79"/>
  <c r="AP1091" i="79"/>
  <c r="AP1089" i="79"/>
  <c r="AP1087" i="79"/>
  <c r="AP1085" i="79"/>
  <c r="AP1096" i="79"/>
  <c r="AP1094" i="79"/>
  <c r="AP1086" i="79"/>
  <c r="AP1080" i="79"/>
  <c r="AP1083" i="79"/>
  <c r="AP1099" i="79"/>
  <c r="AP1092" i="79"/>
  <c r="AP1097" i="79"/>
  <c r="AP1090" i="79"/>
  <c r="AP1079" i="79"/>
  <c r="AP1076" i="79"/>
  <c r="AP1084" i="79"/>
  <c r="AP1081" i="79"/>
  <c r="AP1088" i="79"/>
  <c r="AP1082" i="79"/>
  <c r="AP1077" i="79"/>
  <c r="AP1078" i="79"/>
  <c r="N945" i="79"/>
  <c r="N952" i="79" s="1"/>
  <c r="M767" i="79"/>
  <c r="R767" i="79" s="1"/>
  <c r="J715" i="79"/>
  <c r="J768" i="79"/>
  <c r="Q1078" i="79"/>
  <c r="AP1033" i="79"/>
  <c r="AP998" i="79"/>
  <c r="L943" i="79"/>
  <c r="G680" i="79"/>
  <c r="G669" i="79"/>
  <c r="P680" i="79"/>
  <c r="L950" i="79"/>
  <c r="P669" i="79"/>
  <c r="N1003" i="79"/>
  <c r="N975" i="79"/>
  <c r="S1082" i="79"/>
  <c r="AR1037" i="79"/>
  <c r="AR1002" i="79"/>
  <c r="S1085" i="79"/>
  <c r="AR1040" i="79"/>
  <c r="AR1005" i="79"/>
  <c r="AP1031" i="79"/>
  <c r="Q1076" i="79"/>
  <c r="AP996" i="79"/>
  <c r="Q1083" i="79"/>
  <c r="AP1038" i="79"/>
  <c r="AP1003" i="79"/>
  <c r="N999" i="79"/>
  <c r="N971" i="79"/>
  <c r="N1004" i="79"/>
  <c r="N976" i="79"/>
  <c r="P1077" i="79"/>
  <c r="AO1032" i="79"/>
  <c r="AO997" i="79"/>
  <c r="M944" i="79"/>
  <c r="H716" i="79"/>
  <c r="H679" i="79"/>
  <c r="O952" i="79"/>
  <c r="M979" i="79" l="1"/>
  <c r="O669" i="79"/>
  <c r="K949" i="79" s="1"/>
  <c r="O680" i="79"/>
  <c r="M997" i="79"/>
  <c r="O1077" i="79" s="1"/>
  <c r="D609" i="81"/>
  <c r="D563" i="81"/>
  <c r="D520" i="81" s="1"/>
  <c r="D519" i="81" s="1"/>
  <c r="D518" i="81" s="1"/>
  <c r="D517" i="81" s="1"/>
  <c r="D516" i="81" s="1"/>
  <c r="D515" i="81" s="1"/>
  <c r="L609" i="81"/>
  <c r="J953" i="81"/>
  <c r="J982" i="81" s="1"/>
  <c r="M1000" i="79"/>
  <c r="AN1000" i="79" s="1"/>
  <c r="C669" i="79"/>
  <c r="K940" i="79" s="1"/>
  <c r="C680" i="79"/>
  <c r="L978" i="81"/>
  <c r="G674" i="81"/>
  <c r="K949" i="81"/>
  <c r="K1006" i="81" s="1"/>
  <c r="P1092" i="81"/>
  <c r="AO1047" i="81"/>
  <c r="AO1012" i="81"/>
  <c r="M952" i="81"/>
  <c r="K720" i="81"/>
  <c r="K683" i="81"/>
  <c r="M1011" i="81"/>
  <c r="M983" i="81"/>
  <c r="AO1040" i="81"/>
  <c r="P1085" i="81"/>
  <c r="AO1005" i="81"/>
  <c r="P1091" i="81"/>
  <c r="AO1046" i="81"/>
  <c r="AO1011" i="81"/>
  <c r="P1093" i="81"/>
  <c r="AO1013" i="81"/>
  <c r="AO1048" i="81"/>
  <c r="L946" i="81"/>
  <c r="C684" i="81"/>
  <c r="C673" i="81"/>
  <c r="L950" i="81"/>
  <c r="H684" i="81"/>
  <c r="H673" i="81"/>
  <c r="L955" i="81"/>
  <c r="O684" i="81"/>
  <c r="O673" i="81"/>
  <c r="M945" i="81"/>
  <c r="E719" i="81"/>
  <c r="B720" i="81"/>
  <c r="B683" i="81"/>
  <c r="AP1101" i="81"/>
  <c r="AP1099" i="81"/>
  <c r="AP1104" i="81"/>
  <c r="AP1097" i="81"/>
  <c r="AP1102" i="81"/>
  <c r="AP1100" i="81"/>
  <c r="AP1088" i="81"/>
  <c r="AP1098" i="81"/>
  <c r="AP1092" i="81"/>
  <c r="AP1090" i="81"/>
  <c r="AP1103" i="81"/>
  <c r="AP1086" i="81"/>
  <c r="AP1084" i="81"/>
  <c r="AP1082" i="81"/>
  <c r="AP1089" i="81"/>
  <c r="AP1091" i="81"/>
  <c r="AP1093" i="81"/>
  <c r="AP1096" i="81"/>
  <c r="AP1087" i="81"/>
  <c r="AP1095" i="81"/>
  <c r="AP1085" i="81"/>
  <c r="AP1105" i="81"/>
  <c r="AP1094" i="81"/>
  <c r="AP1083" i="81"/>
  <c r="N981" i="81"/>
  <c r="N1009" i="81"/>
  <c r="M1003" i="81"/>
  <c r="M975" i="81"/>
  <c r="L948" i="81"/>
  <c r="I683" i="81"/>
  <c r="F684" i="81"/>
  <c r="F673" i="81"/>
  <c r="Q1089" i="81"/>
  <c r="AP1044" i="81"/>
  <c r="AP1009" i="81"/>
  <c r="M979" i="81"/>
  <c r="M1007" i="81"/>
  <c r="L951" i="81"/>
  <c r="J684" i="81"/>
  <c r="M683" i="81"/>
  <c r="J673" i="81"/>
  <c r="M1012" i="81"/>
  <c r="M984" i="81"/>
  <c r="M1090" i="81"/>
  <c r="AL1045" i="81"/>
  <c r="AL1010" i="81"/>
  <c r="M1084" i="81"/>
  <c r="AL1039" i="81"/>
  <c r="AL1004" i="81"/>
  <c r="I947" i="81"/>
  <c r="M719" i="81"/>
  <c r="L956" i="81"/>
  <c r="P684" i="81"/>
  <c r="P673" i="81"/>
  <c r="AR1106" i="81"/>
  <c r="N974" i="81"/>
  <c r="N1002" i="81"/>
  <c r="N958" i="81"/>
  <c r="M1005" i="81"/>
  <c r="M977" i="81"/>
  <c r="I953" i="81"/>
  <c r="L520" i="81"/>
  <c r="L519" i="81" s="1"/>
  <c r="L518" i="81" s="1"/>
  <c r="L517" i="81" s="1"/>
  <c r="L516" i="81" s="1"/>
  <c r="L515" i="81" s="1"/>
  <c r="L564" i="81"/>
  <c r="L513" i="81"/>
  <c r="N1086" i="81"/>
  <c r="AM1041" i="81"/>
  <c r="AM1006" i="81"/>
  <c r="AW970" i="81"/>
  <c r="AO1038" i="81"/>
  <c r="P1083" i="81"/>
  <c r="AO1003" i="81"/>
  <c r="J949" i="81"/>
  <c r="G609" i="81"/>
  <c r="G563" i="81"/>
  <c r="P1087" i="81"/>
  <c r="AO1042" i="81"/>
  <c r="AO1007" i="81"/>
  <c r="L954" i="81"/>
  <c r="Q683" i="81"/>
  <c r="N684" i="81"/>
  <c r="N673" i="81"/>
  <c r="J1004" i="81"/>
  <c r="J976" i="81"/>
  <c r="M1008" i="81"/>
  <c r="M980" i="81"/>
  <c r="M1013" i="81"/>
  <c r="M985" i="81"/>
  <c r="P1088" i="81"/>
  <c r="AO1043" i="81"/>
  <c r="AO1008" i="81"/>
  <c r="Q1082" i="81"/>
  <c r="AP1037" i="81"/>
  <c r="O1015" i="81"/>
  <c r="AP1002" i="81"/>
  <c r="AR1009" i="79"/>
  <c r="AR1044" i="79"/>
  <c r="M973" i="79"/>
  <c r="M1001" i="79"/>
  <c r="L1007" i="79"/>
  <c r="L979" i="79"/>
  <c r="L946" i="79"/>
  <c r="K680" i="79"/>
  <c r="K669" i="79"/>
  <c r="L942" i="79"/>
  <c r="F680" i="79"/>
  <c r="I679" i="79"/>
  <c r="F669" i="79"/>
  <c r="L969" i="79"/>
  <c r="L997" i="79"/>
  <c r="M945" i="79"/>
  <c r="M952" i="79" s="1"/>
  <c r="M715" i="79"/>
  <c r="R715" i="79" s="1"/>
  <c r="J716" i="79"/>
  <c r="J679" i="79"/>
  <c r="M998" i="79"/>
  <c r="M970" i="79"/>
  <c r="O1087" i="79"/>
  <c r="AN1042" i="79"/>
  <c r="AN1007" i="79"/>
  <c r="G670" i="79"/>
  <c r="K943" i="79"/>
  <c r="G604" i="79"/>
  <c r="M975" i="79"/>
  <c r="M1003" i="79"/>
  <c r="L1006" i="79"/>
  <c r="L978" i="79"/>
  <c r="AO1099" i="79"/>
  <c r="AO1097" i="79"/>
  <c r="AO1092" i="79"/>
  <c r="AO1090" i="79"/>
  <c r="AO1088" i="79"/>
  <c r="AO1086" i="79"/>
  <c r="AO1084" i="79"/>
  <c r="AO1095" i="79"/>
  <c r="AO1093" i="79"/>
  <c r="AO1098" i="79"/>
  <c r="AO1091" i="79"/>
  <c r="AO1089" i="79"/>
  <c r="AO1087" i="79"/>
  <c r="AO1085" i="79"/>
  <c r="AO1080" i="79"/>
  <c r="AO1078" i="79"/>
  <c r="AO1076" i="79"/>
  <c r="AO1083" i="79"/>
  <c r="AO1079" i="79"/>
  <c r="AO1077" i="79"/>
  <c r="AO1082" i="79"/>
  <c r="AO1094" i="79"/>
  <c r="AO1096" i="79"/>
  <c r="AO1081" i="79"/>
  <c r="N974" i="79"/>
  <c r="N1002" i="79"/>
  <c r="N1009" i="79" s="1"/>
  <c r="AP1100" i="79"/>
  <c r="L947" i="79"/>
  <c r="L680" i="79"/>
  <c r="L669" i="79"/>
  <c r="M999" i="79"/>
  <c r="M971" i="79"/>
  <c r="AO1031" i="79"/>
  <c r="P1076" i="79"/>
  <c r="AO996" i="79"/>
  <c r="L939" i="79"/>
  <c r="B680" i="79"/>
  <c r="E679" i="79"/>
  <c r="B669" i="79"/>
  <c r="P1081" i="79"/>
  <c r="AO1036" i="79"/>
  <c r="AO1001" i="79"/>
  <c r="Q1082" i="79"/>
  <c r="AP1037" i="79"/>
  <c r="AP1044" i="79" s="1"/>
  <c r="AP1002" i="79"/>
  <c r="AP1009" i="79" s="1"/>
  <c r="L1000" i="79"/>
  <c r="L972" i="79"/>
  <c r="P1078" i="79"/>
  <c r="AO1033" i="79"/>
  <c r="AO998" i="79"/>
  <c r="AR1100" i="79"/>
  <c r="L948" i="79"/>
  <c r="N680" i="79"/>
  <c r="Q679" i="79"/>
  <c r="N669" i="79"/>
  <c r="P1084" i="79"/>
  <c r="AO1039" i="79"/>
  <c r="AO1004" i="79"/>
  <c r="M1004" i="79"/>
  <c r="M976" i="79"/>
  <c r="P1085" i="79"/>
  <c r="AO1040" i="79"/>
  <c r="AO1005" i="79"/>
  <c r="M968" i="79"/>
  <c r="M996" i="79"/>
  <c r="L944" i="79"/>
  <c r="H680" i="79"/>
  <c r="H669" i="79"/>
  <c r="P1083" i="79"/>
  <c r="AO1038" i="79"/>
  <c r="AO1003" i="79"/>
  <c r="P1079" i="79"/>
  <c r="AO1034" i="79"/>
  <c r="AO999" i="79"/>
  <c r="K950" i="79"/>
  <c r="P670" i="79"/>
  <c r="P604" i="79"/>
  <c r="AN1041" i="79"/>
  <c r="O1086" i="79"/>
  <c r="AN1006" i="79"/>
  <c r="L941" i="79"/>
  <c r="D680" i="79"/>
  <c r="D669" i="79"/>
  <c r="M1005" i="79"/>
  <c r="M977" i="79"/>
  <c r="L404" i="71"/>
  <c r="L398" i="71"/>
  <c r="O604" i="79" l="1"/>
  <c r="J949" i="79" s="1"/>
  <c r="O670" i="79"/>
  <c r="AN997" i="79"/>
  <c r="AN1032" i="79"/>
  <c r="D513" i="81"/>
  <c r="H947" i="81" s="1"/>
  <c r="D564" i="81"/>
  <c r="J1010" i="81"/>
  <c r="L1090" i="81" s="1"/>
  <c r="AN1035" i="79"/>
  <c r="O1080" i="79"/>
  <c r="C670" i="79"/>
  <c r="C604" i="79"/>
  <c r="C605" i="79" s="1"/>
  <c r="AP1050" i="81"/>
  <c r="K978" i="81"/>
  <c r="O1085" i="81"/>
  <c r="AN1040" i="81"/>
  <c r="AN1005" i="81"/>
  <c r="L1008" i="81"/>
  <c r="L980" i="81"/>
  <c r="AP1106" i="81"/>
  <c r="R719" i="81"/>
  <c r="K946" i="81"/>
  <c r="C674" i="81"/>
  <c r="C608" i="81"/>
  <c r="M981" i="81"/>
  <c r="M1009" i="81"/>
  <c r="O1087" i="81"/>
  <c r="AN1042" i="81"/>
  <c r="AN1007" i="81"/>
  <c r="L1005" i="81"/>
  <c r="L977" i="81"/>
  <c r="M1002" i="81"/>
  <c r="M974" i="81"/>
  <c r="M958" i="81"/>
  <c r="I949" i="81"/>
  <c r="G564" i="81"/>
  <c r="G520" i="81"/>
  <c r="G519" i="81" s="1"/>
  <c r="G518" i="81" s="1"/>
  <c r="G517" i="81" s="1"/>
  <c r="G516" i="81" s="1"/>
  <c r="G515" i="81" s="1"/>
  <c r="G513" i="81"/>
  <c r="K954" i="81"/>
  <c r="Q673" i="81"/>
  <c r="N674" i="81"/>
  <c r="N608" i="81"/>
  <c r="K955" i="81"/>
  <c r="O674" i="81"/>
  <c r="O608" i="81"/>
  <c r="L975" i="81"/>
  <c r="L1003" i="81"/>
  <c r="M1086" i="81"/>
  <c r="AL1041" i="81"/>
  <c r="AL1006" i="81"/>
  <c r="O1083" i="81"/>
  <c r="AN1038" i="81"/>
  <c r="AN1003" i="81"/>
  <c r="P1082" i="81"/>
  <c r="N1015" i="81"/>
  <c r="AO1037" i="81"/>
  <c r="AO1002" i="81"/>
  <c r="J1006" i="81"/>
  <c r="J978" i="81"/>
  <c r="H953" i="81"/>
  <c r="L514" i="81"/>
  <c r="L324" i="81"/>
  <c r="I1004" i="81"/>
  <c r="I976" i="81"/>
  <c r="O1092" i="81"/>
  <c r="AN1047" i="81"/>
  <c r="AN1012" i="81"/>
  <c r="P1089" i="81"/>
  <c r="AO1044" i="81"/>
  <c r="AO1009" i="81"/>
  <c r="L1012" i="81"/>
  <c r="L984" i="81"/>
  <c r="K956" i="81"/>
  <c r="P674" i="81"/>
  <c r="P608" i="81"/>
  <c r="K951" i="81"/>
  <c r="J674" i="81"/>
  <c r="J608" i="81"/>
  <c r="K950" i="81"/>
  <c r="H674" i="81"/>
  <c r="H608" i="81"/>
  <c r="O1091" i="81"/>
  <c r="AN1011" i="81"/>
  <c r="AN1046" i="81"/>
  <c r="AP1015" i="81"/>
  <c r="AN1048" i="81"/>
  <c r="AN1013" i="81"/>
  <c r="O1093" i="81"/>
  <c r="L1011" i="81"/>
  <c r="L983" i="81"/>
  <c r="AO1105" i="81"/>
  <c r="AO1103" i="81"/>
  <c r="AO1098" i="81"/>
  <c r="AO1096" i="81"/>
  <c r="AO1101" i="81"/>
  <c r="AO1099" i="81"/>
  <c r="AO1104" i="81"/>
  <c r="AO1097" i="81"/>
  <c r="AO1095" i="81"/>
  <c r="AO1093" i="81"/>
  <c r="AO1102" i="81"/>
  <c r="AO1100" i="81"/>
  <c r="AO1088" i="81"/>
  <c r="AO1092" i="81"/>
  <c r="AO1090" i="81"/>
  <c r="AO1086" i="81"/>
  <c r="AO1084" i="81"/>
  <c r="AO1082" i="81"/>
  <c r="AO1089" i="81"/>
  <c r="AO1085" i="81"/>
  <c r="AO1091" i="81"/>
  <c r="AO1087" i="81"/>
  <c r="AO1083" i="81"/>
  <c r="AO1094" i="81"/>
  <c r="I982" i="81"/>
  <c r="I1010" i="81"/>
  <c r="K948" i="81"/>
  <c r="I673" i="81"/>
  <c r="F674" i="81"/>
  <c r="F608" i="81"/>
  <c r="L945" i="81"/>
  <c r="B684" i="81"/>
  <c r="E683" i="81"/>
  <c r="R683" i="81" s="1"/>
  <c r="B673" i="81"/>
  <c r="L952" i="81"/>
  <c r="K684" i="81"/>
  <c r="K673" i="81"/>
  <c r="L1084" i="81"/>
  <c r="AK1039" i="81"/>
  <c r="AK1004" i="81"/>
  <c r="O1088" i="81"/>
  <c r="AN1008" i="81"/>
  <c r="AN1043" i="81"/>
  <c r="L1013" i="81"/>
  <c r="L985" i="81"/>
  <c r="L979" i="81"/>
  <c r="L1007" i="81"/>
  <c r="K944" i="79"/>
  <c r="H670" i="79"/>
  <c r="H604" i="79"/>
  <c r="J950" i="79"/>
  <c r="P605" i="79"/>
  <c r="P559" i="79"/>
  <c r="O1084" i="79"/>
  <c r="AN1039" i="79"/>
  <c r="AN1004" i="79"/>
  <c r="N1080" i="79"/>
  <c r="AM1000" i="79"/>
  <c r="AM1035" i="79"/>
  <c r="AW964" i="79"/>
  <c r="O1079" i="79"/>
  <c r="AN999" i="79"/>
  <c r="AN1034" i="79"/>
  <c r="N1077" i="79"/>
  <c r="AM1032" i="79"/>
  <c r="AW961" i="79"/>
  <c r="AM997" i="79"/>
  <c r="L999" i="79"/>
  <c r="L971" i="79"/>
  <c r="O1085" i="79"/>
  <c r="AN1040" i="79"/>
  <c r="AN1005" i="79"/>
  <c r="K997" i="79"/>
  <c r="K969" i="79"/>
  <c r="L973" i="79"/>
  <c r="L1001" i="79"/>
  <c r="L998" i="79"/>
  <c r="L970" i="79"/>
  <c r="K947" i="79"/>
  <c r="L670" i="79"/>
  <c r="L604" i="79"/>
  <c r="N1086" i="79"/>
  <c r="AM1006" i="79"/>
  <c r="AM1041" i="79"/>
  <c r="AW970" i="79"/>
  <c r="K946" i="79"/>
  <c r="K670" i="79"/>
  <c r="K604" i="79"/>
  <c r="O1076" i="79"/>
  <c r="AN1031" i="79"/>
  <c r="AN996" i="79"/>
  <c r="AN1099" i="79"/>
  <c r="AN1097" i="79"/>
  <c r="AN1092" i="79"/>
  <c r="AN1090" i="79"/>
  <c r="AN1088" i="79"/>
  <c r="AN1086" i="79"/>
  <c r="AN1084" i="79"/>
  <c r="AN1095" i="79"/>
  <c r="AN1093" i="79"/>
  <c r="AN1082" i="79"/>
  <c r="AN1087" i="79"/>
  <c r="AN1080" i="79"/>
  <c r="AN1078" i="79"/>
  <c r="AN1076" i="79"/>
  <c r="AN1096" i="79"/>
  <c r="AN1081" i="79"/>
  <c r="AN1085" i="79"/>
  <c r="AN1083" i="79"/>
  <c r="AN1077" i="79"/>
  <c r="AN1094" i="79"/>
  <c r="AN1089" i="79"/>
  <c r="AN1079" i="79"/>
  <c r="AN1091" i="79"/>
  <c r="AN1098" i="79"/>
  <c r="L968" i="79"/>
  <c r="L996" i="79"/>
  <c r="L1004" i="79"/>
  <c r="L976" i="79"/>
  <c r="O1078" i="79"/>
  <c r="AN1033" i="79"/>
  <c r="AN998" i="79"/>
  <c r="K1006" i="79"/>
  <c r="K978" i="79"/>
  <c r="L1003" i="79"/>
  <c r="L975" i="79"/>
  <c r="K1007" i="79"/>
  <c r="K979" i="79"/>
  <c r="O1083" i="79"/>
  <c r="AN1038" i="79"/>
  <c r="AN1003" i="79"/>
  <c r="K948" i="79"/>
  <c r="N670" i="79"/>
  <c r="Q669" i="79"/>
  <c r="N604" i="79"/>
  <c r="J943" i="79"/>
  <c r="G605" i="79"/>
  <c r="G559" i="79"/>
  <c r="L945" i="79"/>
  <c r="J680" i="79"/>
  <c r="M679" i="79"/>
  <c r="R679" i="79" s="1"/>
  <c r="J669" i="79"/>
  <c r="P1082" i="79"/>
  <c r="AO1037" i="79"/>
  <c r="AO1044" i="79" s="1"/>
  <c r="AO1002" i="79"/>
  <c r="AO1009" i="79" s="1"/>
  <c r="K1000" i="79"/>
  <c r="K972" i="79"/>
  <c r="K942" i="79"/>
  <c r="F670" i="79"/>
  <c r="I669" i="79"/>
  <c r="F604" i="79"/>
  <c r="N1087" i="79"/>
  <c r="AM1042" i="79"/>
  <c r="AM1007" i="79"/>
  <c r="AW971" i="79"/>
  <c r="O1081" i="79"/>
  <c r="AN1036" i="79"/>
  <c r="AN1001" i="79"/>
  <c r="K941" i="79"/>
  <c r="D670" i="79"/>
  <c r="D604" i="79"/>
  <c r="L1005" i="79"/>
  <c r="L977" i="79"/>
  <c r="K939" i="79"/>
  <c r="E669" i="79"/>
  <c r="B670" i="79"/>
  <c r="B604" i="79"/>
  <c r="AO1100" i="79"/>
  <c r="M1002" i="79"/>
  <c r="M974" i="79"/>
  <c r="N189" i="71"/>
  <c r="O559" i="79" l="1"/>
  <c r="O509" i="79" s="1"/>
  <c r="O605" i="79"/>
  <c r="D324" i="81"/>
  <c r="E947" i="81" s="1"/>
  <c r="D514" i="81"/>
  <c r="AK1010" i="81"/>
  <c r="AK1045" i="81"/>
  <c r="C559" i="79"/>
  <c r="I940" i="79" s="1"/>
  <c r="J940" i="79"/>
  <c r="J997" i="79" s="1"/>
  <c r="AO1015" i="81"/>
  <c r="AO1106" i="81"/>
  <c r="N1087" i="81"/>
  <c r="AM1042" i="81"/>
  <c r="AM1007" i="81"/>
  <c r="AW971" i="81"/>
  <c r="K945" i="81"/>
  <c r="E673" i="81"/>
  <c r="B674" i="81"/>
  <c r="B608" i="81"/>
  <c r="J955" i="81"/>
  <c r="O609" i="81"/>
  <c r="O563" i="81"/>
  <c r="K980" i="81"/>
  <c r="K1008" i="81"/>
  <c r="H982" i="81"/>
  <c r="H1010" i="81"/>
  <c r="H1004" i="81"/>
  <c r="H976" i="81"/>
  <c r="J956" i="81"/>
  <c r="P609" i="81"/>
  <c r="P563" i="81"/>
  <c r="AN1105" i="81"/>
  <c r="AN1103" i="81"/>
  <c r="AN1098" i="81"/>
  <c r="AN1096" i="81"/>
  <c r="AN1094" i="81"/>
  <c r="AN1092" i="81"/>
  <c r="AN1090" i="81"/>
  <c r="AN1101" i="81"/>
  <c r="AN1099" i="81"/>
  <c r="AN1104" i="81"/>
  <c r="AN1097" i="81"/>
  <c r="AN1095" i="81"/>
  <c r="AN1093" i="81"/>
  <c r="AN1102" i="81"/>
  <c r="AN1100" i="81"/>
  <c r="AN1085" i="81"/>
  <c r="AN1083" i="81"/>
  <c r="AN1088" i="81"/>
  <c r="AN1086" i="81"/>
  <c r="AN1084" i="81"/>
  <c r="AN1082" i="81"/>
  <c r="AN1091" i="81"/>
  <c r="AN1087" i="81"/>
  <c r="AN1089" i="81"/>
  <c r="K1012" i="81"/>
  <c r="K984" i="81"/>
  <c r="I1006" i="81"/>
  <c r="I978" i="81"/>
  <c r="N1093" i="81"/>
  <c r="AM1048" i="81"/>
  <c r="AM1013" i="81"/>
  <c r="AW977" i="81"/>
  <c r="L1002" i="81"/>
  <c r="L958" i="81"/>
  <c r="L974" i="81"/>
  <c r="N1091" i="81"/>
  <c r="AM1011" i="81"/>
  <c r="AM1046" i="81"/>
  <c r="AW975" i="81"/>
  <c r="J950" i="81"/>
  <c r="H609" i="81"/>
  <c r="H563" i="81"/>
  <c r="L1086" i="81"/>
  <c r="AK1041" i="81"/>
  <c r="AK1006" i="81"/>
  <c r="J954" i="81"/>
  <c r="Q608" i="81"/>
  <c r="N609" i="81"/>
  <c r="N563" i="81"/>
  <c r="O1089" i="81"/>
  <c r="AN1044" i="81"/>
  <c r="AN1009" i="81"/>
  <c r="N1088" i="81"/>
  <c r="AM1043" i="81"/>
  <c r="AM1008" i="81"/>
  <c r="AW972" i="81"/>
  <c r="K952" i="81"/>
  <c r="K674" i="81"/>
  <c r="K608" i="81"/>
  <c r="AO1050" i="81"/>
  <c r="J946" i="81"/>
  <c r="C609" i="81"/>
  <c r="C563" i="81"/>
  <c r="J951" i="81"/>
  <c r="J609" i="81"/>
  <c r="J563" i="81"/>
  <c r="N1092" i="81"/>
  <c r="AM1047" i="81"/>
  <c r="AM1012" i="81"/>
  <c r="AW976" i="81"/>
  <c r="AJ1039" i="81"/>
  <c r="K1084" i="81"/>
  <c r="AJ1004" i="81"/>
  <c r="N1083" i="81"/>
  <c r="AM1038" i="81"/>
  <c r="AW967" i="81"/>
  <c r="AM1003" i="81"/>
  <c r="K983" i="81"/>
  <c r="K1011" i="81"/>
  <c r="J948" i="81"/>
  <c r="I608" i="81"/>
  <c r="F609" i="81"/>
  <c r="F563" i="81"/>
  <c r="K985" i="81"/>
  <c r="K1013" i="81"/>
  <c r="K1007" i="81"/>
  <c r="K979" i="81"/>
  <c r="O1082" i="81"/>
  <c r="AN1037" i="81"/>
  <c r="M1015" i="81"/>
  <c r="AN1002" i="81"/>
  <c r="L981" i="81"/>
  <c r="L1009" i="81"/>
  <c r="K1005" i="81"/>
  <c r="K977" i="81"/>
  <c r="M673" i="81"/>
  <c r="E953" i="81"/>
  <c r="L325" i="81"/>
  <c r="L326" i="81"/>
  <c r="X145" i="2" s="1"/>
  <c r="L136" i="81"/>
  <c r="H949" i="81"/>
  <c r="G514" i="81"/>
  <c r="G324" i="81"/>
  <c r="N1085" i="81"/>
  <c r="AM1040" i="81"/>
  <c r="AM1005" i="81"/>
  <c r="AW969" i="81"/>
  <c r="K1003" i="81"/>
  <c r="K975" i="81"/>
  <c r="AJ1045" i="81"/>
  <c r="K1090" i="81"/>
  <c r="AJ1010" i="81"/>
  <c r="G516" i="79"/>
  <c r="G515" i="79" s="1"/>
  <c r="G514" i="79" s="1"/>
  <c r="G513" i="79" s="1"/>
  <c r="G512" i="79" s="1"/>
  <c r="G511" i="79" s="1"/>
  <c r="I943" i="79"/>
  <c r="G560" i="79"/>
  <c r="G509" i="79"/>
  <c r="J1000" i="79"/>
  <c r="J972" i="79"/>
  <c r="N1076" i="79"/>
  <c r="AM1031" i="79"/>
  <c r="AM996" i="79"/>
  <c r="AW960" i="79"/>
  <c r="K1003" i="79"/>
  <c r="K975" i="79"/>
  <c r="M1080" i="79"/>
  <c r="AL1035" i="79"/>
  <c r="AL1000" i="79"/>
  <c r="K996" i="79"/>
  <c r="K968" i="79"/>
  <c r="J942" i="79"/>
  <c r="F605" i="79"/>
  <c r="I604" i="79"/>
  <c r="F559" i="79"/>
  <c r="J948" i="79"/>
  <c r="N605" i="79"/>
  <c r="Q604" i="79"/>
  <c r="N559" i="79"/>
  <c r="M1087" i="79"/>
  <c r="AL1042" i="79"/>
  <c r="AL1007" i="79"/>
  <c r="N1078" i="79"/>
  <c r="AM1033" i="79"/>
  <c r="AM998" i="79"/>
  <c r="AW962" i="79"/>
  <c r="K945" i="79"/>
  <c r="M669" i="79"/>
  <c r="R669" i="79" s="1"/>
  <c r="J670" i="79"/>
  <c r="J604" i="79"/>
  <c r="N1079" i="79"/>
  <c r="AM1034" i="79"/>
  <c r="AM999" i="79"/>
  <c r="AW963" i="79"/>
  <c r="I950" i="79"/>
  <c r="P560" i="79"/>
  <c r="P516" i="79"/>
  <c r="P515" i="79" s="1"/>
  <c r="P514" i="79" s="1"/>
  <c r="P513" i="79" s="1"/>
  <c r="P512" i="79" s="1"/>
  <c r="P511" i="79" s="1"/>
  <c r="P509" i="79"/>
  <c r="O1082" i="79"/>
  <c r="AN1037" i="79"/>
  <c r="AN1044" i="79" s="1"/>
  <c r="AN1002" i="79"/>
  <c r="AN1009" i="79" s="1"/>
  <c r="J941" i="79"/>
  <c r="D605" i="79"/>
  <c r="D559" i="79"/>
  <c r="N1083" i="79"/>
  <c r="AM1038" i="79"/>
  <c r="AM1003" i="79"/>
  <c r="AW967" i="79"/>
  <c r="M1009" i="79"/>
  <c r="K1005" i="79"/>
  <c r="K977" i="79"/>
  <c r="AN1100" i="79"/>
  <c r="J1007" i="79"/>
  <c r="J979" i="79"/>
  <c r="N1085" i="79"/>
  <c r="AM1040" i="79"/>
  <c r="AM1005" i="79"/>
  <c r="AW969" i="79"/>
  <c r="N1084" i="79"/>
  <c r="AM1039" i="79"/>
  <c r="AM1004" i="79"/>
  <c r="AW968" i="79"/>
  <c r="N1081" i="79"/>
  <c r="AM1036" i="79"/>
  <c r="AM1001" i="79"/>
  <c r="AW965" i="79"/>
  <c r="K999" i="79"/>
  <c r="K971" i="79"/>
  <c r="J939" i="79"/>
  <c r="E604" i="79"/>
  <c r="B605" i="79"/>
  <c r="B559" i="79"/>
  <c r="K970" i="79"/>
  <c r="K998" i="79"/>
  <c r="L1002" i="79"/>
  <c r="L1009" i="79" s="1"/>
  <c r="L974" i="79"/>
  <c r="M1086" i="79"/>
  <c r="AL1041" i="79"/>
  <c r="AL1006" i="79"/>
  <c r="J947" i="79"/>
  <c r="L605" i="79"/>
  <c r="L559" i="79"/>
  <c r="M1077" i="79"/>
  <c r="AL1032" i="79"/>
  <c r="AL997" i="79"/>
  <c r="J944" i="79"/>
  <c r="H605" i="79"/>
  <c r="H559" i="79"/>
  <c r="J1006" i="79"/>
  <c r="J978" i="79"/>
  <c r="J946" i="79"/>
  <c r="K605" i="79"/>
  <c r="K559" i="79"/>
  <c r="AM1099" i="79"/>
  <c r="AM1097" i="79"/>
  <c r="AM1092" i="79"/>
  <c r="AM1090" i="79"/>
  <c r="AM1088" i="79"/>
  <c r="AM1095" i="79"/>
  <c r="AM1093" i="79"/>
  <c r="AM1086" i="79"/>
  <c r="AM1082" i="79"/>
  <c r="AM1098" i="79"/>
  <c r="AM1094" i="79"/>
  <c r="AM1091" i="79"/>
  <c r="AM1084" i="79"/>
  <c r="AM1096" i="79"/>
  <c r="AM1081" i="79"/>
  <c r="AM1087" i="79"/>
  <c r="AM1083" i="79"/>
  <c r="AM1077" i="79"/>
  <c r="AM1085" i="79"/>
  <c r="AM1089" i="79"/>
  <c r="AM1079" i="79"/>
  <c r="AM1078" i="79"/>
  <c r="AM1080" i="79"/>
  <c r="AM1076" i="79"/>
  <c r="L952" i="79"/>
  <c r="K1004" i="79"/>
  <c r="K976" i="79"/>
  <c r="K1001" i="79"/>
  <c r="K973" i="79"/>
  <c r="I150" i="71"/>
  <c r="O560" i="79" l="1"/>
  <c r="I949" i="79"/>
  <c r="I978" i="79" s="1"/>
  <c r="O516" i="79"/>
  <c r="O515" i="79" s="1"/>
  <c r="O514" i="79" s="1"/>
  <c r="O513" i="79" s="1"/>
  <c r="O512" i="79" s="1"/>
  <c r="O511" i="79" s="1"/>
  <c r="D136" i="81"/>
  <c r="D137" i="81" s="1"/>
  <c r="D325" i="81"/>
  <c r="D326" i="81"/>
  <c r="C516" i="79"/>
  <c r="C515" i="79" s="1"/>
  <c r="C514" i="79" s="1"/>
  <c r="C513" i="79" s="1"/>
  <c r="C512" i="79" s="1"/>
  <c r="C511" i="79" s="1"/>
  <c r="C509" i="79"/>
  <c r="H940" i="79" s="1"/>
  <c r="C560" i="79"/>
  <c r="J969" i="79"/>
  <c r="AN1015" i="81"/>
  <c r="R673" i="81"/>
  <c r="I948" i="81"/>
  <c r="I563" i="81"/>
  <c r="F564" i="81"/>
  <c r="F520" i="81"/>
  <c r="F519" i="81" s="1"/>
  <c r="F518" i="81" s="1"/>
  <c r="F517" i="81" s="1"/>
  <c r="F516" i="81" s="1"/>
  <c r="F515" i="81" s="1"/>
  <c r="F513" i="81"/>
  <c r="AI1039" i="81"/>
  <c r="J1084" i="81"/>
  <c r="Z1084" i="81" s="1"/>
  <c r="AI1004" i="81"/>
  <c r="AI938" i="81"/>
  <c r="J945" i="81"/>
  <c r="B609" i="81"/>
  <c r="E608" i="81"/>
  <c r="B563" i="81"/>
  <c r="I951" i="81"/>
  <c r="J564" i="81"/>
  <c r="J520" i="81"/>
  <c r="J519" i="81" s="1"/>
  <c r="J518" i="81" s="1"/>
  <c r="J517" i="81" s="1"/>
  <c r="J516" i="81" s="1"/>
  <c r="J515" i="81" s="1"/>
  <c r="J513" i="81"/>
  <c r="J1090" i="81"/>
  <c r="Z1090" i="81" s="1"/>
  <c r="AI1045" i="81"/>
  <c r="AI1010" i="81"/>
  <c r="AI944" i="81"/>
  <c r="J1005" i="81"/>
  <c r="J977" i="81"/>
  <c r="K981" i="81"/>
  <c r="K1009" i="81"/>
  <c r="I954" i="81"/>
  <c r="Q563" i="81"/>
  <c r="N520" i="81"/>
  <c r="N519" i="81" s="1"/>
  <c r="N518" i="81" s="1"/>
  <c r="N517" i="81" s="1"/>
  <c r="N516" i="81" s="1"/>
  <c r="N515" i="81" s="1"/>
  <c r="N564" i="81"/>
  <c r="N513" i="81"/>
  <c r="N1082" i="81"/>
  <c r="AM1037" i="81"/>
  <c r="L1015" i="81"/>
  <c r="AM1002" i="81"/>
  <c r="AW966" i="81"/>
  <c r="M1092" i="81"/>
  <c r="AL1047" i="81"/>
  <c r="AL1012" i="81"/>
  <c r="M1088" i="81"/>
  <c r="AL1043" i="81"/>
  <c r="AL1008" i="81"/>
  <c r="K1002" i="81"/>
  <c r="K958" i="81"/>
  <c r="K974" i="81"/>
  <c r="E949" i="81"/>
  <c r="G326" i="81"/>
  <c r="X137" i="2" s="1"/>
  <c r="G325" i="81"/>
  <c r="G136" i="81"/>
  <c r="M1091" i="81"/>
  <c r="AL1046" i="81"/>
  <c r="AL1011" i="81"/>
  <c r="J1008" i="81"/>
  <c r="J980" i="81"/>
  <c r="J1007" i="81"/>
  <c r="J979" i="81"/>
  <c r="I956" i="81"/>
  <c r="P564" i="81"/>
  <c r="P520" i="81"/>
  <c r="P519" i="81" s="1"/>
  <c r="P518" i="81" s="1"/>
  <c r="P517" i="81" s="1"/>
  <c r="P516" i="81" s="1"/>
  <c r="P515" i="81" s="1"/>
  <c r="P513" i="81"/>
  <c r="J952" i="81"/>
  <c r="K609" i="81"/>
  <c r="K563" i="81"/>
  <c r="M563" i="81" s="1"/>
  <c r="K1086" i="81"/>
  <c r="AJ1041" i="81"/>
  <c r="AJ1006" i="81"/>
  <c r="AN1050" i="81"/>
  <c r="M608" i="81"/>
  <c r="E1004" i="81"/>
  <c r="AR973" i="81"/>
  <c r="E976" i="81"/>
  <c r="M1085" i="81"/>
  <c r="AL1040" i="81"/>
  <c r="AL1005" i="81"/>
  <c r="AL1042" i="81"/>
  <c r="M1087" i="81"/>
  <c r="AL1007" i="81"/>
  <c r="I946" i="81"/>
  <c r="C520" i="81"/>
  <c r="C519" i="81" s="1"/>
  <c r="C518" i="81" s="1"/>
  <c r="C517" i="81" s="1"/>
  <c r="C516" i="81" s="1"/>
  <c r="C515" i="81" s="1"/>
  <c r="C564" i="81"/>
  <c r="C513" i="81"/>
  <c r="I955" i="81"/>
  <c r="O520" i="81"/>
  <c r="O519" i="81" s="1"/>
  <c r="O518" i="81" s="1"/>
  <c r="O517" i="81" s="1"/>
  <c r="O516" i="81" s="1"/>
  <c r="O515" i="81" s="1"/>
  <c r="O564" i="81"/>
  <c r="O513" i="81"/>
  <c r="H1006" i="81"/>
  <c r="H978" i="81"/>
  <c r="N1089" i="81"/>
  <c r="AM1044" i="81"/>
  <c r="AM1009" i="81"/>
  <c r="AW973" i="81"/>
  <c r="M1093" i="81"/>
  <c r="AL1048" i="81"/>
  <c r="AL1013" i="81"/>
  <c r="J1011" i="81"/>
  <c r="J983" i="81"/>
  <c r="J1013" i="81"/>
  <c r="J985" i="81"/>
  <c r="AM1105" i="81"/>
  <c r="AM1103" i="81"/>
  <c r="AM1098" i="81"/>
  <c r="AM1096" i="81"/>
  <c r="AM1094" i="81"/>
  <c r="AM1092" i="81"/>
  <c r="AM1090" i="81"/>
  <c r="AM1101" i="81"/>
  <c r="AM1099" i="81"/>
  <c r="AM1104" i="81"/>
  <c r="AM1097" i="81"/>
  <c r="AM1095" i="81"/>
  <c r="AM1093" i="81"/>
  <c r="AM1091" i="81"/>
  <c r="AM1087" i="81"/>
  <c r="AM1085" i="81"/>
  <c r="AM1083" i="81"/>
  <c r="AM1100" i="81"/>
  <c r="AM1088" i="81"/>
  <c r="AM1102" i="81"/>
  <c r="AM1084" i="81"/>
  <c r="AM1082" i="81"/>
  <c r="AM1089" i="81"/>
  <c r="AM1086" i="81"/>
  <c r="E1010" i="81"/>
  <c r="E982" i="81"/>
  <c r="AR979" i="81"/>
  <c r="I950" i="81"/>
  <c r="H564" i="81"/>
  <c r="H520" i="81"/>
  <c r="H519" i="81" s="1"/>
  <c r="H518" i="81" s="1"/>
  <c r="H517" i="81" s="1"/>
  <c r="H516" i="81" s="1"/>
  <c r="H515" i="81" s="1"/>
  <c r="H513" i="81"/>
  <c r="M1083" i="81"/>
  <c r="AL1038" i="81"/>
  <c r="AL1003" i="81"/>
  <c r="D953" i="81"/>
  <c r="L137" i="81"/>
  <c r="L64" i="81"/>
  <c r="J1003" i="81"/>
  <c r="J975" i="81"/>
  <c r="AN1106" i="81"/>
  <c r="J1012" i="81"/>
  <c r="J984" i="81"/>
  <c r="AM1100" i="79"/>
  <c r="M1076" i="79"/>
  <c r="AL1031" i="79"/>
  <c r="AL996" i="79"/>
  <c r="I944" i="79"/>
  <c r="H516" i="79"/>
  <c r="H515" i="79" s="1"/>
  <c r="H514" i="79" s="1"/>
  <c r="H513" i="79" s="1"/>
  <c r="H512" i="79" s="1"/>
  <c r="H511" i="79" s="1"/>
  <c r="H560" i="79"/>
  <c r="H509" i="79"/>
  <c r="J976" i="79"/>
  <c r="J1004" i="79"/>
  <c r="I939" i="79"/>
  <c r="E559" i="79"/>
  <c r="B560" i="79"/>
  <c r="B516" i="79"/>
  <c r="B515" i="79" s="1"/>
  <c r="B514" i="79" s="1"/>
  <c r="B513" i="79" s="1"/>
  <c r="B512" i="79" s="1"/>
  <c r="B511" i="79" s="1"/>
  <c r="B509" i="79"/>
  <c r="J1005" i="79"/>
  <c r="J977" i="79"/>
  <c r="J1003" i="79"/>
  <c r="J975" i="79"/>
  <c r="I1006" i="79"/>
  <c r="I942" i="79"/>
  <c r="F560" i="79"/>
  <c r="F516" i="79"/>
  <c r="F515" i="79" s="1"/>
  <c r="F514" i="79" s="1"/>
  <c r="F513" i="79" s="1"/>
  <c r="F512" i="79" s="1"/>
  <c r="F511" i="79" s="1"/>
  <c r="I559" i="79"/>
  <c r="F509" i="79"/>
  <c r="M1081" i="79"/>
  <c r="AL1036" i="79"/>
  <c r="AL1001" i="79"/>
  <c r="J1001" i="79"/>
  <c r="J973" i="79"/>
  <c r="H950" i="79"/>
  <c r="P510" i="79"/>
  <c r="P321" i="79"/>
  <c r="J945" i="79"/>
  <c r="J952" i="79" s="1"/>
  <c r="M604" i="79"/>
  <c r="R604" i="79" s="1"/>
  <c r="J605" i="79"/>
  <c r="J559" i="79"/>
  <c r="L1080" i="79"/>
  <c r="AK1035" i="79"/>
  <c r="AK1000" i="79"/>
  <c r="I997" i="79"/>
  <c r="I969" i="79"/>
  <c r="L1086" i="79"/>
  <c r="AK1041" i="79"/>
  <c r="AK1006" i="79"/>
  <c r="L1077" i="79"/>
  <c r="AK1032" i="79"/>
  <c r="AK997" i="79"/>
  <c r="AL1039" i="79"/>
  <c r="AL1004" i="79"/>
  <c r="M1084" i="79"/>
  <c r="I941" i="79"/>
  <c r="D560" i="79"/>
  <c r="D516" i="79"/>
  <c r="D515" i="79" s="1"/>
  <c r="D514" i="79" s="1"/>
  <c r="D513" i="79" s="1"/>
  <c r="D512" i="79" s="1"/>
  <c r="D511" i="79" s="1"/>
  <c r="D509" i="79"/>
  <c r="J999" i="79"/>
  <c r="J971" i="79"/>
  <c r="AL1038" i="79"/>
  <c r="M1083" i="79"/>
  <c r="AL1003" i="79"/>
  <c r="H943" i="79"/>
  <c r="G510" i="79"/>
  <c r="G321" i="79"/>
  <c r="AL1096" i="79"/>
  <c r="AL1094" i="79"/>
  <c r="AL1099" i="79"/>
  <c r="AL1097" i="79"/>
  <c r="AL1092" i="79"/>
  <c r="AL1090" i="79"/>
  <c r="AL1088" i="79"/>
  <c r="AL1086" i="79"/>
  <c r="AL1084" i="79"/>
  <c r="AL1095" i="79"/>
  <c r="AL1085" i="79"/>
  <c r="AL1079" i="79"/>
  <c r="AL1082" i="79"/>
  <c r="AL1093" i="79"/>
  <c r="AL1089" i="79"/>
  <c r="AL1083" i="79"/>
  <c r="AL1098" i="79"/>
  <c r="AL1091" i="79"/>
  <c r="AL1081" i="79"/>
  <c r="AL1087" i="79"/>
  <c r="AL1077" i="79"/>
  <c r="AL1076" i="79"/>
  <c r="AL1080" i="79"/>
  <c r="AL1078" i="79"/>
  <c r="N1082" i="79"/>
  <c r="AM1037" i="79"/>
  <c r="AM1044" i="79" s="1"/>
  <c r="AM1002" i="79"/>
  <c r="AM1009" i="79" s="1"/>
  <c r="AW966" i="79"/>
  <c r="AW973" i="79" s="1"/>
  <c r="M1079" i="79"/>
  <c r="AL1034" i="79"/>
  <c r="AL999" i="79"/>
  <c r="I1007" i="79"/>
  <c r="I979" i="79"/>
  <c r="K1002" i="79"/>
  <c r="K974" i="79"/>
  <c r="I948" i="79"/>
  <c r="N560" i="79"/>
  <c r="Q559" i="79"/>
  <c r="N516" i="79"/>
  <c r="N515" i="79" s="1"/>
  <c r="N514" i="79" s="1"/>
  <c r="N513" i="79" s="1"/>
  <c r="N512" i="79" s="1"/>
  <c r="N511" i="79" s="1"/>
  <c r="N509" i="79"/>
  <c r="K952" i="79"/>
  <c r="I946" i="79"/>
  <c r="K560" i="79"/>
  <c r="K516" i="79"/>
  <c r="K515" i="79" s="1"/>
  <c r="K514" i="79" s="1"/>
  <c r="K513" i="79" s="1"/>
  <c r="K512" i="79" s="1"/>
  <c r="K511" i="79" s="1"/>
  <c r="K509" i="79"/>
  <c r="J968" i="79"/>
  <c r="J996" i="79"/>
  <c r="AK1042" i="79"/>
  <c r="AK1007" i="79"/>
  <c r="L1087" i="79"/>
  <c r="M1085" i="79"/>
  <c r="AL1040" i="79"/>
  <c r="AL1005" i="79"/>
  <c r="L560" i="79"/>
  <c r="I947" i="79"/>
  <c r="L516" i="79"/>
  <c r="L515" i="79" s="1"/>
  <c r="L514" i="79" s="1"/>
  <c r="L513" i="79" s="1"/>
  <c r="L512" i="79" s="1"/>
  <c r="L511" i="79" s="1"/>
  <c r="L509" i="79"/>
  <c r="M1078" i="79"/>
  <c r="AL1033" i="79"/>
  <c r="AL998" i="79"/>
  <c r="H949" i="79"/>
  <c r="O510" i="79"/>
  <c r="O321" i="79"/>
  <c r="J970" i="79"/>
  <c r="J998" i="79"/>
  <c r="I1000" i="79"/>
  <c r="I972" i="79"/>
  <c r="Q604" i="71"/>
  <c r="M604" i="71"/>
  <c r="I604" i="71"/>
  <c r="E604" i="71"/>
  <c r="X133" i="2" l="1"/>
  <c r="X109" i="2"/>
  <c r="X157" i="2"/>
  <c r="D64" i="81"/>
  <c r="C947" i="81" s="1"/>
  <c r="D947" i="81"/>
  <c r="D1004" i="81" s="1"/>
  <c r="C321" i="79"/>
  <c r="E940" i="79" s="1"/>
  <c r="C510" i="79"/>
  <c r="D1010" i="81"/>
  <c r="D982" i="81"/>
  <c r="AQ979" i="81"/>
  <c r="AM1106" i="81"/>
  <c r="I952" i="81"/>
  <c r="K564" i="81"/>
  <c r="K520" i="81"/>
  <c r="K519" i="81" s="1"/>
  <c r="K518" i="81" s="1"/>
  <c r="K517" i="81" s="1"/>
  <c r="K516" i="81" s="1"/>
  <c r="K515" i="81" s="1"/>
  <c r="K513" i="81"/>
  <c r="M513" i="81" s="1"/>
  <c r="L1087" i="81"/>
  <c r="AK1042" i="81"/>
  <c r="AK1007" i="81"/>
  <c r="H954" i="81"/>
  <c r="Q513" i="81"/>
  <c r="N514" i="81"/>
  <c r="N324" i="81"/>
  <c r="L1085" i="81"/>
  <c r="AK1040" i="81"/>
  <c r="AK1005" i="81"/>
  <c r="AI1117" i="81"/>
  <c r="AI1116" i="81"/>
  <c r="L1091" i="81"/>
  <c r="AK1011" i="81"/>
  <c r="AK1046" i="81"/>
  <c r="L1092" i="81"/>
  <c r="AK1012" i="81"/>
  <c r="AK1047" i="81"/>
  <c r="G1090" i="81"/>
  <c r="AG1010" i="81"/>
  <c r="AG1045" i="81"/>
  <c r="J1086" i="81"/>
  <c r="Z1086" i="81" s="1"/>
  <c r="AI1041" i="81"/>
  <c r="AI1006" i="81"/>
  <c r="AI940" i="81"/>
  <c r="I1003" i="81"/>
  <c r="I975" i="81"/>
  <c r="E1006" i="81"/>
  <c r="E978" i="81"/>
  <c r="AR975" i="81"/>
  <c r="I980" i="81"/>
  <c r="I1008" i="81"/>
  <c r="I945" i="81"/>
  <c r="B520" i="81"/>
  <c r="B519" i="81" s="1"/>
  <c r="B518" i="81" s="1"/>
  <c r="B517" i="81" s="1"/>
  <c r="B516" i="81" s="1"/>
  <c r="B515" i="81" s="1"/>
  <c r="B564" i="81"/>
  <c r="E563" i="81"/>
  <c r="R563" i="81" s="1"/>
  <c r="B513" i="81"/>
  <c r="H948" i="81"/>
  <c r="I513" i="81"/>
  <c r="F514" i="81"/>
  <c r="F324" i="81"/>
  <c r="AL1102" i="81"/>
  <c r="AL1100" i="81"/>
  <c r="AL1105" i="81"/>
  <c r="AL1103" i="81"/>
  <c r="AL1098" i="81"/>
  <c r="AL1101" i="81"/>
  <c r="AL1099" i="81"/>
  <c r="AL1104" i="81"/>
  <c r="AL1096" i="81"/>
  <c r="AL1087" i="81"/>
  <c r="AL1085" i="81"/>
  <c r="AL1083" i="81"/>
  <c r="AL1092" i="81"/>
  <c r="AL1090" i="81"/>
  <c r="AL1097" i="81"/>
  <c r="AL1088" i="81"/>
  <c r="AL1094" i="81"/>
  <c r="AL1089" i="81"/>
  <c r="AL1086" i="81"/>
  <c r="AL1093" i="81"/>
  <c r="AL1084" i="81"/>
  <c r="AL1082" i="81"/>
  <c r="AL1095" i="81"/>
  <c r="AL1091" i="81"/>
  <c r="H955" i="81"/>
  <c r="O514" i="81"/>
  <c r="O324" i="81"/>
  <c r="G1084" i="81"/>
  <c r="AG1039" i="81"/>
  <c r="AG1004" i="81"/>
  <c r="J1009" i="81"/>
  <c r="J981" i="81"/>
  <c r="L1088" i="81"/>
  <c r="AK1043" i="81"/>
  <c r="AK1008" i="81"/>
  <c r="H950" i="81"/>
  <c r="H514" i="81"/>
  <c r="H324" i="81"/>
  <c r="H956" i="81"/>
  <c r="P514" i="81"/>
  <c r="P324" i="81"/>
  <c r="AW979" i="81"/>
  <c r="R608" i="81"/>
  <c r="M1082" i="81"/>
  <c r="AL1037" i="81"/>
  <c r="K1015" i="81"/>
  <c r="AL1002" i="81"/>
  <c r="AM1015" i="81"/>
  <c r="I1011" i="81"/>
  <c r="I983" i="81"/>
  <c r="AI1134" i="81"/>
  <c r="AI1135" i="81"/>
  <c r="L1083" i="81"/>
  <c r="AK1003" i="81"/>
  <c r="AK1038" i="81"/>
  <c r="C953" i="81"/>
  <c r="L29" i="81"/>
  <c r="L65" i="81"/>
  <c r="I1012" i="81"/>
  <c r="I984" i="81"/>
  <c r="AL1044" i="81"/>
  <c r="M1089" i="81"/>
  <c r="AL1009" i="81"/>
  <c r="H951" i="81"/>
  <c r="J514" i="81"/>
  <c r="J324" i="81"/>
  <c r="J1002" i="81"/>
  <c r="J958" i="81"/>
  <c r="J974" i="81"/>
  <c r="I1007" i="81"/>
  <c r="I979" i="81"/>
  <c r="L1093" i="81"/>
  <c r="AK1013" i="81"/>
  <c r="AK1048" i="81"/>
  <c r="H946" i="81"/>
  <c r="C514" i="81"/>
  <c r="C324" i="81"/>
  <c r="I1013" i="81"/>
  <c r="I985" i="81"/>
  <c r="D949" i="81"/>
  <c r="G137" i="81"/>
  <c r="G64" i="81"/>
  <c r="AM1050" i="81"/>
  <c r="I977" i="81"/>
  <c r="I1005" i="81"/>
  <c r="E949" i="79"/>
  <c r="O323" i="79"/>
  <c r="X101" i="2" s="1"/>
  <c r="O322" i="79"/>
  <c r="O134" i="79"/>
  <c r="I976" i="79"/>
  <c r="I1004" i="79"/>
  <c r="L1076" i="79"/>
  <c r="AK1031" i="79"/>
  <c r="AK996" i="79"/>
  <c r="L1079" i="79"/>
  <c r="AK1034" i="79"/>
  <c r="AK999" i="79"/>
  <c r="H1006" i="79"/>
  <c r="H978" i="79"/>
  <c r="K1080" i="79"/>
  <c r="AJ1035" i="79"/>
  <c r="AJ1000" i="79"/>
  <c r="I1005" i="79"/>
  <c r="I977" i="79"/>
  <c r="AK1098" i="79"/>
  <c r="AK1091" i="79"/>
  <c r="AK1089" i="79"/>
  <c r="AK1087" i="79"/>
  <c r="AK1085" i="79"/>
  <c r="AK1096" i="79"/>
  <c r="AK1094" i="79"/>
  <c r="AK1099" i="79"/>
  <c r="AK1097" i="79"/>
  <c r="AK1092" i="79"/>
  <c r="AK1090" i="79"/>
  <c r="AK1088" i="79"/>
  <c r="AK1086" i="79"/>
  <c r="AK1084" i="79"/>
  <c r="AK1081" i="79"/>
  <c r="AK1079" i="79"/>
  <c r="AK1077" i="79"/>
  <c r="AK1095" i="79"/>
  <c r="AK1080" i="79"/>
  <c r="AK1078" i="79"/>
  <c r="AK1093" i="79"/>
  <c r="AK1082" i="79"/>
  <c r="AK1083" i="79"/>
  <c r="AK1076" i="79"/>
  <c r="AK1033" i="79"/>
  <c r="L1078" i="79"/>
  <c r="AK998" i="79"/>
  <c r="H947" i="79"/>
  <c r="L510" i="79"/>
  <c r="L321" i="79"/>
  <c r="I1003" i="79"/>
  <c r="I975" i="79"/>
  <c r="M559" i="79"/>
  <c r="R559" i="79" s="1"/>
  <c r="I945" i="79"/>
  <c r="I952" i="79" s="1"/>
  <c r="J560" i="79"/>
  <c r="J516" i="79"/>
  <c r="J515" i="79" s="1"/>
  <c r="J514" i="79" s="1"/>
  <c r="J513" i="79" s="1"/>
  <c r="J512" i="79" s="1"/>
  <c r="J511" i="79" s="1"/>
  <c r="J509" i="79"/>
  <c r="AK1040" i="79"/>
  <c r="L1085" i="79"/>
  <c r="AK1005" i="79"/>
  <c r="H510" i="79"/>
  <c r="H944" i="79"/>
  <c r="H321" i="79"/>
  <c r="M1082" i="79"/>
  <c r="AL1037" i="79"/>
  <c r="AL1044" i="79" s="1"/>
  <c r="AL1002" i="79"/>
  <c r="AL1009" i="79" s="1"/>
  <c r="H997" i="79"/>
  <c r="H969" i="79"/>
  <c r="L1081" i="79"/>
  <c r="AK1036" i="79"/>
  <c r="AK1001" i="79"/>
  <c r="I971" i="79"/>
  <c r="I999" i="79"/>
  <c r="H939" i="79"/>
  <c r="E509" i="79"/>
  <c r="B510" i="79"/>
  <c r="B321" i="79"/>
  <c r="H948" i="79"/>
  <c r="Q509" i="79"/>
  <c r="N510" i="79"/>
  <c r="N321" i="79"/>
  <c r="K1087" i="79"/>
  <c r="AJ1042" i="79"/>
  <c r="AJ1007" i="79"/>
  <c r="E943" i="79"/>
  <c r="G323" i="79"/>
  <c r="X89" i="2" s="1"/>
  <c r="G322" i="79"/>
  <c r="G134" i="79"/>
  <c r="H941" i="79"/>
  <c r="D510" i="79"/>
  <c r="D321" i="79"/>
  <c r="J974" i="79"/>
  <c r="J1002" i="79"/>
  <c r="J1009" i="79" s="1"/>
  <c r="K1086" i="79"/>
  <c r="AJ1041" i="79"/>
  <c r="AJ1006" i="79"/>
  <c r="I1001" i="79"/>
  <c r="I973" i="79"/>
  <c r="K1077" i="79"/>
  <c r="AJ1032" i="79"/>
  <c r="AJ997" i="79"/>
  <c r="E950" i="79"/>
  <c r="P322" i="79"/>
  <c r="P323" i="79"/>
  <c r="X103" i="2" s="1"/>
  <c r="P134" i="79"/>
  <c r="H946" i="79"/>
  <c r="K510" i="79"/>
  <c r="K321" i="79"/>
  <c r="AL1100" i="79"/>
  <c r="H1000" i="79"/>
  <c r="H972" i="79"/>
  <c r="H942" i="79"/>
  <c r="F510" i="79"/>
  <c r="I509" i="79"/>
  <c r="F321" i="79"/>
  <c r="AK1038" i="79"/>
  <c r="L1083" i="79"/>
  <c r="AK1003" i="79"/>
  <c r="I996" i="79"/>
  <c r="I968" i="79"/>
  <c r="K1009" i="79"/>
  <c r="I998" i="79"/>
  <c r="I970" i="79"/>
  <c r="H1007" i="79"/>
  <c r="H979" i="79"/>
  <c r="L1084" i="79"/>
  <c r="AK1039" i="79"/>
  <c r="AK1004" i="79"/>
  <c r="R604" i="71"/>
  <c r="K672" i="71"/>
  <c r="L335" i="71"/>
  <c r="K335" i="71"/>
  <c r="L174" i="71"/>
  <c r="K174" i="71"/>
  <c r="Y101" i="2" l="1"/>
  <c r="D65" i="81"/>
  <c r="AQ973" i="81"/>
  <c r="D976" i="81"/>
  <c r="D29" i="81"/>
  <c r="B947" i="81" s="1"/>
  <c r="C134" i="79"/>
  <c r="C135" i="79" s="1"/>
  <c r="C322" i="79"/>
  <c r="C323" i="79"/>
  <c r="D1006" i="81"/>
  <c r="D978" i="81"/>
  <c r="AQ975" i="81"/>
  <c r="AK1037" i="81"/>
  <c r="L1082" i="81"/>
  <c r="J1015" i="81"/>
  <c r="AK1002" i="81"/>
  <c r="H979" i="81"/>
  <c r="H1007" i="81"/>
  <c r="K1088" i="81"/>
  <c r="AJ1043" i="81"/>
  <c r="AJ1008" i="81"/>
  <c r="H952" i="81"/>
  <c r="K514" i="81"/>
  <c r="K324" i="81"/>
  <c r="K1092" i="81"/>
  <c r="AJ1047" i="81"/>
  <c r="AJ1012" i="81"/>
  <c r="E955" i="81"/>
  <c r="O326" i="81"/>
  <c r="X149" i="2" s="1"/>
  <c r="O325" i="81"/>
  <c r="O136" i="81"/>
  <c r="E954" i="81"/>
  <c r="N325" i="81"/>
  <c r="Q324" i="81"/>
  <c r="N326" i="81"/>
  <c r="X147" i="2" s="1"/>
  <c r="N136" i="81"/>
  <c r="K1093" i="81"/>
  <c r="AJ1048" i="81"/>
  <c r="AJ1013" i="81"/>
  <c r="K1087" i="81"/>
  <c r="AJ1007" i="81"/>
  <c r="AJ1042" i="81"/>
  <c r="H977" i="81"/>
  <c r="H1005" i="81"/>
  <c r="AI1122" i="81"/>
  <c r="AI1123" i="81"/>
  <c r="E951" i="81"/>
  <c r="J325" i="81"/>
  <c r="J326" i="81"/>
  <c r="X141" i="2" s="1"/>
  <c r="J136" i="81"/>
  <c r="E956" i="81"/>
  <c r="P326" i="81"/>
  <c r="X151" i="2" s="1"/>
  <c r="P325" i="81"/>
  <c r="P136" i="81"/>
  <c r="H945" i="81"/>
  <c r="B514" i="81"/>
  <c r="E513" i="81"/>
  <c r="R513" i="81" s="1"/>
  <c r="B324" i="81"/>
  <c r="AL1106" i="81"/>
  <c r="K1085" i="81"/>
  <c r="AJ1005" i="81"/>
  <c r="AJ1040" i="81"/>
  <c r="E946" i="81"/>
  <c r="C325" i="81"/>
  <c r="C326" i="81"/>
  <c r="C136" i="81"/>
  <c r="B953" i="81"/>
  <c r="L19" i="81"/>
  <c r="L20" i="81" s="1"/>
  <c r="L30" i="81"/>
  <c r="K1091" i="81"/>
  <c r="AJ1046" i="81"/>
  <c r="AJ1011" i="81"/>
  <c r="H1012" i="81"/>
  <c r="H984" i="81"/>
  <c r="I1009" i="81"/>
  <c r="I981" i="81"/>
  <c r="H1008" i="81"/>
  <c r="H980" i="81"/>
  <c r="C982" i="81"/>
  <c r="C1010" i="81"/>
  <c r="AP979" i="81"/>
  <c r="G1086" i="81"/>
  <c r="AG1041" i="81"/>
  <c r="AG1006" i="81"/>
  <c r="H1011" i="81"/>
  <c r="H983" i="81"/>
  <c r="H1003" i="81"/>
  <c r="H975" i="81"/>
  <c r="F1084" i="81"/>
  <c r="AF1039" i="81"/>
  <c r="AF1004" i="81"/>
  <c r="AL1015" i="81"/>
  <c r="H1013" i="81"/>
  <c r="H985" i="81"/>
  <c r="L1089" i="81"/>
  <c r="AK1044" i="81"/>
  <c r="AK1009" i="81"/>
  <c r="K1083" i="81"/>
  <c r="AJ1038" i="81"/>
  <c r="AJ1003" i="81"/>
  <c r="C949" i="81"/>
  <c r="G65" i="81"/>
  <c r="G29" i="81"/>
  <c r="E950" i="81"/>
  <c r="H326" i="81"/>
  <c r="X139" i="2" s="1"/>
  <c r="H325" i="81"/>
  <c r="H136" i="81"/>
  <c r="C1004" i="81"/>
  <c r="C976" i="81"/>
  <c r="AP973" i="81"/>
  <c r="AK1104" i="81"/>
  <c r="AK1097" i="81"/>
  <c r="AK1102" i="81"/>
  <c r="AK1100" i="81"/>
  <c r="AK1105" i="81"/>
  <c r="AK1103" i="81"/>
  <c r="AK1098" i="81"/>
  <c r="AK1096" i="81"/>
  <c r="AK1094" i="81"/>
  <c r="AK1101" i="81"/>
  <c r="AK1099" i="81"/>
  <c r="AK1095" i="81"/>
  <c r="AK1091" i="81"/>
  <c r="AK1089" i="81"/>
  <c r="AK1087" i="81"/>
  <c r="AK1085" i="81"/>
  <c r="AK1083" i="81"/>
  <c r="AK1092" i="81"/>
  <c r="AK1090" i="81"/>
  <c r="AK1088" i="81"/>
  <c r="AK1086" i="81"/>
  <c r="AK1093" i="81"/>
  <c r="AK1084" i="81"/>
  <c r="AK1082" i="81"/>
  <c r="AL1050" i="81"/>
  <c r="E948" i="81"/>
  <c r="F326" i="81"/>
  <c r="X135" i="2" s="1"/>
  <c r="Y133" i="2" s="1"/>
  <c r="I324" i="81"/>
  <c r="F325" i="81"/>
  <c r="F136" i="81"/>
  <c r="I1002" i="81"/>
  <c r="I958" i="81"/>
  <c r="I974" i="81"/>
  <c r="F1090" i="81"/>
  <c r="AF1045" i="81"/>
  <c r="AF1010" i="81"/>
  <c r="E947" i="79"/>
  <c r="L322" i="79"/>
  <c r="L323" i="79"/>
  <c r="X97" i="2" s="1"/>
  <c r="L134" i="79"/>
  <c r="H975" i="79"/>
  <c r="H1003" i="79"/>
  <c r="AK1100" i="79"/>
  <c r="AJ1098" i="79"/>
  <c r="AJ1091" i="79"/>
  <c r="AJ1089" i="79"/>
  <c r="AJ1087" i="79"/>
  <c r="AJ1085" i="79"/>
  <c r="AJ1096" i="79"/>
  <c r="AJ1094" i="79"/>
  <c r="AJ1081" i="79"/>
  <c r="AJ1086" i="79"/>
  <c r="AJ1079" i="79"/>
  <c r="AJ1077" i="79"/>
  <c r="AJ1097" i="79"/>
  <c r="AJ1090" i="79"/>
  <c r="AJ1099" i="79"/>
  <c r="AJ1095" i="79"/>
  <c r="AJ1092" i="79"/>
  <c r="AJ1093" i="79"/>
  <c r="AJ1080" i="79"/>
  <c r="AJ1082" i="79"/>
  <c r="AJ1083" i="79"/>
  <c r="AJ1084" i="79"/>
  <c r="AJ1078" i="79"/>
  <c r="AJ1076" i="79"/>
  <c r="AJ1088" i="79"/>
  <c r="J1077" i="79"/>
  <c r="AI1032" i="79"/>
  <c r="AI931" i="79"/>
  <c r="AI997" i="79"/>
  <c r="J1086" i="79"/>
  <c r="Z1086" i="79" s="1"/>
  <c r="AI1041" i="79"/>
  <c r="AI1006" i="79"/>
  <c r="AI940" i="79"/>
  <c r="K1084" i="79"/>
  <c r="AJ1039" i="79"/>
  <c r="AJ1004" i="79"/>
  <c r="K1076" i="79"/>
  <c r="AJ1031" i="79"/>
  <c r="AJ996" i="79"/>
  <c r="D950" i="79"/>
  <c r="P135" i="79"/>
  <c r="P64" i="79"/>
  <c r="K1081" i="79"/>
  <c r="AJ1036" i="79"/>
  <c r="AJ1001" i="79"/>
  <c r="H998" i="79"/>
  <c r="H970" i="79"/>
  <c r="E948" i="79"/>
  <c r="N323" i="79"/>
  <c r="X99" i="2" s="1"/>
  <c r="N322" i="79"/>
  <c r="Q321" i="79"/>
  <c r="N134" i="79"/>
  <c r="K1079" i="79"/>
  <c r="AJ1034" i="79"/>
  <c r="AJ999" i="79"/>
  <c r="H945" i="79"/>
  <c r="H952" i="79" s="1"/>
  <c r="M509" i="79"/>
  <c r="R509" i="79" s="1"/>
  <c r="J510" i="79"/>
  <c r="J321" i="79"/>
  <c r="E997" i="79"/>
  <c r="E969" i="79"/>
  <c r="AR966" i="79"/>
  <c r="H1004" i="79"/>
  <c r="H976" i="79"/>
  <c r="D949" i="79"/>
  <c r="O135" i="79"/>
  <c r="O64" i="79"/>
  <c r="D943" i="79"/>
  <c r="G135" i="79"/>
  <c r="G64" i="79"/>
  <c r="E944" i="79"/>
  <c r="H322" i="79"/>
  <c r="H323" i="79"/>
  <c r="X91" i="2" s="1"/>
  <c r="Y89" i="2" s="1"/>
  <c r="H134" i="79"/>
  <c r="K1085" i="79"/>
  <c r="AJ1040" i="79"/>
  <c r="AJ1005" i="79"/>
  <c r="K1083" i="79"/>
  <c r="AJ1038" i="79"/>
  <c r="AJ1003" i="79"/>
  <c r="H996" i="79"/>
  <c r="H968" i="79"/>
  <c r="H977" i="79"/>
  <c r="H1005" i="79"/>
  <c r="H1001" i="79"/>
  <c r="H973" i="79"/>
  <c r="E941" i="79"/>
  <c r="D323" i="79"/>
  <c r="D322" i="79"/>
  <c r="D134" i="79"/>
  <c r="H971" i="79"/>
  <c r="H999" i="79"/>
  <c r="J1080" i="79"/>
  <c r="Z1080" i="79" s="1"/>
  <c r="AI1035" i="79"/>
  <c r="AI1000" i="79"/>
  <c r="AI934" i="79"/>
  <c r="J1087" i="79"/>
  <c r="Z1087" i="79" s="1"/>
  <c r="AI1042" i="79"/>
  <c r="AI1007" i="79"/>
  <c r="AI941" i="79"/>
  <c r="E946" i="79"/>
  <c r="K323" i="79"/>
  <c r="X95" i="2" s="1"/>
  <c r="K322" i="79"/>
  <c r="K134" i="79"/>
  <c r="E1007" i="79"/>
  <c r="E979" i="79"/>
  <c r="AR976" i="79"/>
  <c r="I1002" i="79"/>
  <c r="I1009" i="79" s="1"/>
  <c r="I974" i="79"/>
  <c r="K1078" i="79"/>
  <c r="AJ1033" i="79"/>
  <c r="AJ998" i="79"/>
  <c r="E942" i="79"/>
  <c r="F322" i="79"/>
  <c r="F323" i="79"/>
  <c r="X87" i="2" s="1"/>
  <c r="I321" i="79"/>
  <c r="F134" i="79"/>
  <c r="L1082" i="79"/>
  <c r="AK1037" i="79"/>
  <c r="AK1044" i="79" s="1"/>
  <c r="AK1002" i="79"/>
  <c r="AK1009" i="79" s="1"/>
  <c r="E972" i="79"/>
  <c r="E1000" i="79"/>
  <c r="AR969" i="79"/>
  <c r="E939" i="79"/>
  <c r="B322" i="79"/>
  <c r="E321" i="79"/>
  <c r="B323" i="79"/>
  <c r="X57" i="2" s="1"/>
  <c r="B134" i="79"/>
  <c r="AR975" i="79"/>
  <c r="E978" i="79"/>
  <c r="E1006" i="79"/>
  <c r="L343" i="71"/>
  <c r="K343" i="71"/>
  <c r="L457" i="71"/>
  <c r="K457" i="71"/>
  <c r="K269" i="71"/>
  <c r="L828" i="71"/>
  <c r="K828" i="71"/>
  <c r="L189" i="71"/>
  <c r="L188" i="71"/>
  <c r="K189" i="71"/>
  <c r="K188" i="71"/>
  <c r="L260" i="71"/>
  <c r="L261" i="71"/>
  <c r="K184" i="71"/>
  <c r="L358" i="71"/>
  <c r="L183" i="71"/>
  <c r="K183" i="71"/>
  <c r="L357" i="71"/>
  <c r="K357" i="71"/>
  <c r="Y137" i="2" l="1"/>
  <c r="Y139" i="2"/>
  <c r="Z137" i="2"/>
  <c r="X131" i="2"/>
  <c r="X107" i="2"/>
  <c r="X155" i="2"/>
  <c r="X83" i="2"/>
  <c r="X59" i="2"/>
  <c r="X85" i="2"/>
  <c r="X61" i="2"/>
  <c r="Z133" i="2"/>
  <c r="Z99" i="2"/>
  <c r="Y99" i="2"/>
  <c r="Y95" i="2"/>
  <c r="Z95" i="2"/>
  <c r="Z135" i="2"/>
  <c r="Y135" i="2"/>
  <c r="Y97" i="2"/>
  <c r="Z97" i="2"/>
  <c r="Y149" i="2"/>
  <c r="Y147" i="2"/>
  <c r="Z147" i="2"/>
  <c r="Z145" i="2"/>
  <c r="Y145" i="2"/>
  <c r="Y87" i="2"/>
  <c r="Z87" i="2"/>
  <c r="D30" i="81"/>
  <c r="D19" i="81"/>
  <c r="D20" i="81" s="1"/>
  <c r="C64" i="79"/>
  <c r="C65" i="79" s="1"/>
  <c r="D940" i="79"/>
  <c r="D969" i="79" s="1"/>
  <c r="AK1015" i="81"/>
  <c r="E1090" i="81"/>
  <c r="AE1045" i="81"/>
  <c r="AE1010" i="81"/>
  <c r="H1002" i="81"/>
  <c r="H958" i="81"/>
  <c r="H974" i="81"/>
  <c r="E1011" i="81"/>
  <c r="AR980" i="81"/>
  <c r="E983" i="81"/>
  <c r="E952" i="81"/>
  <c r="K325" i="81"/>
  <c r="K326" i="81"/>
  <c r="X143" i="2" s="1"/>
  <c r="Z139" i="2" s="1"/>
  <c r="K136" i="81"/>
  <c r="M136" i="81" s="1"/>
  <c r="D950" i="81"/>
  <c r="H137" i="81"/>
  <c r="H64" i="81"/>
  <c r="D956" i="81"/>
  <c r="P137" i="81"/>
  <c r="P64" i="81"/>
  <c r="E1008" i="81"/>
  <c r="E980" i="81"/>
  <c r="AR977" i="81"/>
  <c r="D955" i="81"/>
  <c r="O137" i="81"/>
  <c r="O64" i="81"/>
  <c r="C1006" i="81"/>
  <c r="C978" i="81"/>
  <c r="AP975" i="81"/>
  <c r="J1091" i="81"/>
  <c r="Z1091" i="81" s="1"/>
  <c r="AI1046" i="81"/>
  <c r="AI1011" i="81"/>
  <c r="AI945" i="81"/>
  <c r="D948" i="81"/>
  <c r="I136" i="81"/>
  <c r="F137" i="81"/>
  <c r="F64" i="81"/>
  <c r="E1084" i="81"/>
  <c r="AE1004" i="81"/>
  <c r="AE1039" i="81"/>
  <c r="E1003" i="81"/>
  <c r="E975" i="81"/>
  <c r="AR972" i="81"/>
  <c r="AJ1104" i="81"/>
  <c r="AJ1097" i="81"/>
  <c r="AJ1095" i="81"/>
  <c r="AJ1093" i="81"/>
  <c r="AJ1091" i="81"/>
  <c r="AJ1102" i="81"/>
  <c r="AJ1100" i="81"/>
  <c r="AJ1105" i="81"/>
  <c r="AJ1103" i="81"/>
  <c r="AJ1098" i="81"/>
  <c r="AJ1096" i="81"/>
  <c r="AJ1094" i="81"/>
  <c r="AJ1092" i="81"/>
  <c r="AJ1101" i="81"/>
  <c r="AJ1086" i="81"/>
  <c r="AJ1084" i="81"/>
  <c r="AJ1082" i="81"/>
  <c r="AJ1089" i="81"/>
  <c r="AJ1087" i="81"/>
  <c r="AJ1085" i="81"/>
  <c r="AJ1083" i="81"/>
  <c r="AJ1090" i="81"/>
  <c r="AJ1088" i="81"/>
  <c r="AJ1099" i="81"/>
  <c r="J1088" i="81"/>
  <c r="Z1088" i="81" s="1"/>
  <c r="AI1043" i="81"/>
  <c r="AI1008" i="81"/>
  <c r="AI942" i="81"/>
  <c r="H1009" i="81"/>
  <c r="H981" i="81"/>
  <c r="AK1050" i="81"/>
  <c r="E1005" i="81"/>
  <c r="AR974" i="81"/>
  <c r="E977" i="81"/>
  <c r="E979" i="81"/>
  <c r="E1007" i="81"/>
  <c r="AR976" i="81"/>
  <c r="K1089" i="81"/>
  <c r="AJ1044" i="81"/>
  <c r="AJ1009" i="81"/>
  <c r="AO979" i="81"/>
  <c r="AT979" i="81" s="1"/>
  <c r="B982" i="81"/>
  <c r="B1010" i="81"/>
  <c r="AG944" i="81"/>
  <c r="AN944" i="81"/>
  <c r="E1013" i="81"/>
  <c r="AR982" i="81"/>
  <c r="E985" i="81"/>
  <c r="J1085" i="81"/>
  <c r="Z1085" i="81" s="1"/>
  <c r="AI1040" i="81"/>
  <c r="AI1005" i="81"/>
  <c r="AI939" i="81"/>
  <c r="D954" i="81"/>
  <c r="Q136" i="81"/>
  <c r="N137" i="81"/>
  <c r="N64" i="81"/>
  <c r="E984" i="81"/>
  <c r="AR981" i="81"/>
  <c r="E1012" i="81"/>
  <c r="AJ1037" i="81"/>
  <c r="K1082" i="81"/>
  <c r="I1015" i="81"/>
  <c r="AJ1002" i="81"/>
  <c r="J1093" i="81"/>
  <c r="Z1093" i="81" s="1"/>
  <c r="AI1048" i="81"/>
  <c r="AI1013" i="81"/>
  <c r="AI947" i="81"/>
  <c r="B949" i="81"/>
  <c r="G30" i="81"/>
  <c r="G19" i="81"/>
  <c r="G20" i="81" s="1"/>
  <c r="J1083" i="81"/>
  <c r="AI1038" i="81"/>
  <c r="AI1003" i="81"/>
  <c r="AI937" i="81"/>
  <c r="B976" i="81"/>
  <c r="AG938" i="81"/>
  <c r="B1004" i="81"/>
  <c r="AO973" i="81"/>
  <c r="AT973" i="81" s="1"/>
  <c r="AN938" i="81"/>
  <c r="D946" i="81"/>
  <c r="C137" i="81"/>
  <c r="C64" i="81"/>
  <c r="E945" i="81"/>
  <c r="B325" i="81"/>
  <c r="B326" i="81"/>
  <c r="E324" i="81"/>
  <c r="B136" i="81"/>
  <c r="D951" i="81"/>
  <c r="J137" i="81"/>
  <c r="J64" i="81"/>
  <c r="AK1106" i="81"/>
  <c r="J1092" i="81"/>
  <c r="Z1092" i="81" s="1"/>
  <c r="AI1047" i="81"/>
  <c r="AI1012" i="81"/>
  <c r="AI946" i="81"/>
  <c r="M324" i="81"/>
  <c r="J1087" i="81"/>
  <c r="Z1087" i="81" s="1"/>
  <c r="AI1042" i="81"/>
  <c r="AI1007" i="81"/>
  <c r="AI941" i="81"/>
  <c r="F1086" i="81"/>
  <c r="AF1041" i="81"/>
  <c r="AF1006" i="81"/>
  <c r="J1085" i="79"/>
  <c r="Z1085" i="79" s="1"/>
  <c r="AI1040" i="79"/>
  <c r="AI1005" i="79"/>
  <c r="AI939" i="79"/>
  <c r="AI1134" i="79"/>
  <c r="AI1135" i="79"/>
  <c r="G1080" i="79"/>
  <c r="AG1035" i="79"/>
  <c r="AG1000" i="79"/>
  <c r="G1077" i="79"/>
  <c r="AG1032" i="79"/>
  <c r="AG997" i="79"/>
  <c r="D948" i="79"/>
  <c r="N135" i="79"/>
  <c r="Q134" i="79"/>
  <c r="N64" i="79"/>
  <c r="AI1038" i="79"/>
  <c r="J1083" i="79"/>
  <c r="Z1083" i="79" s="1"/>
  <c r="AI1003" i="79"/>
  <c r="AI937" i="79"/>
  <c r="E999" i="79"/>
  <c r="E971" i="79"/>
  <c r="AR968" i="79"/>
  <c r="G1087" i="79"/>
  <c r="AG1042" i="79"/>
  <c r="AG1007" i="79"/>
  <c r="AI1137" i="79"/>
  <c r="AI1138" i="79"/>
  <c r="C949" i="79"/>
  <c r="O29" i="79"/>
  <c r="O65" i="79"/>
  <c r="E945" i="79"/>
  <c r="E952" i="79" s="1"/>
  <c r="J322" i="79"/>
  <c r="M321" i="79"/>
  <c r="R321" i="79" s="1"/>
  <c r="J323" i="79"/>
  <c r="X93" i="2" s="1"/>
  <c r="Y91" i="2" s="1"/>
  <c r="J134" i="79"/>
  <c r="D944" i="79"/>
  <c r="H135" i="79"/>
  <c r="H64" i="79"/>
  <c r="C950" i="79"/>
  <c r="P29" i="79"/>
  <c r="P65" i="79"/>
  <c r="D947" i="79"/>
  <c r="L135" i="79"/>
  <c r="L64" i="79"/>
  <c r="D1006" i="79"/>
  <c r="D978" i="79"/>
  <c r="AQ975" i="79"/>
  <c r="AI1093" i="79"/>
  <c r="AI1098" i="79"/>
  <c r="AI1091" i="79"/>
  <c r="AI1089" i="79"/>
  <c r="AI1096" i="79"/>
  <c r="AI1094" i="79"/>
  <c r="AI1083" i="79"/>
  <c r="AI1085" i="79"/>
  <c r="Z1077" i="79"/>
  <c r="AI1081" i="79"/>
  <c r="AI1088" i="79"/>
  <c r="AI1087" i="79"/>
  <c r="AI1082" i="79"/>
  <c r="AI1097" i="79"/>
  <c r="AI1090" i="79"/>
  <c r="AI1078" i="79"/>
  <c r="AI1076" i="79"/>
  <c r="AI1095" i="79"/>
  <c r="AI1080" i="79"/>
  <c r="AI1086" i="79"/>
  <c r="AI1077" i="79"/>
  <c r="AI1099" i="79"/>
  <c r="AI1092" i="79"/>
  <c r="AI1084" i="79"/>
  <c r="AI1079" i="79"/>
  <c r="D941" i="79"/>
  <c r="D135" i="79"/>
  <c r="D64" i="79"/>
  <c r="D939" i="79"/>
  <c r="E134" i="79"/>
  <c r="B135" i="79"/>
  <c r="B64" i="79"/>
  <c r="J1076" i="79"/>
  <c r="Z1076" i="79" s="1"/>
  <c r="AI1031" i="79"/>
  <c r="AI996" i="79"/>
  <c r="AI930" i="79"/>
  <c r="H1002" i="79"/>
  <c r="H1009" i="79" s="1"/>
  <c r="H974" i="79"/>
  <c r="E1005" i="79"/>
  <c r="E977" i="79"/>
  <c r="AR974" i="79"/>
  <c r="AQ976" i="79"/>
  <c r="D1007" i="79"/>
  <c r="D979" i="79"/>
  <c r="C940" i="79"/>
  <c r="E998" i="79"/>
  <c r="E970" i="79"/>
  <c r="AR967" i="79"/>
  <c r="D942" i="79"/>
  <c r="I134" i="79"/>
  <c r="F135" i="79"/>
  <c r="F64" i="79"/>
  <c r="E1003" i="79"/>
  <c r="AR972" i="79"/>
  <c r="E975" i="79"/>
  <c r="AI1116" i="79"/>
  <c r="AI1117" i="79"/>
  <c r="E973" i="79"/>
  <c r="AR970" i="79"/>
  <c r="E1001" i="79"/>
  <c r="J1084" i="79"/>
  <c r="Z1084" i="79" s="1"/>
  <c r="AI1004" i="79"/>
  <c r="AI1039" i="79"/>
  <c r="AI938" i="79"/>
  <c r="AJ1100" i="79"/>
  <c r="AR973" i="79"/>
  <c r="E976" i="79"/>
  <c r="E1004" i="79"/>
  <c r="D1000" i="79"/>
  <c r="D972" i="79"/>
  <c r="AQ969" i="79"/>
  <c r="D946" i="79"/>
  <c r="K135" i="79"/>
  <c r="K64" i="79"/>
  <c r="G1086" i="79"/>
  <c r="AG1041" i="79"/>
  <c r="AG1006" i="79"/>
  <c r="AR965" i="79"/>
  <c r="E968" i="79"/>
  <c r="E996" i="79"/>
  <c r="K1082" i="79"/>
  <c r="AJ1037" i="79"/>
  <c r="AJ1044" i="79" s="1"/>
  <c r="AJ1002" i="79"/>
  <c r="AJ1009" i="79" s="1"/>
  <c r="J1079" i="79"/>
  <c r="Z1079" i="79" s="1"/>
  <c r="AI1034" i="79"/>
  <c r="AI999" i="79"/>
  <c r="AI933" i="79"/>
  <c r="J1081" i="79"/>
  <c r="Z1081" i="79" s="1"/>
  <c r="AI1036" i="79"/>
  <c r="AI1001" i="79"/>
  <c r="AI935" i="79"/>
  <c r="C943" i="79"/>
  <c r="G65" i="79"/>
  <c r="G29" i="79"/>
  <c r="J1078" i="79"/>
  <c r="Z1078" i="79" s="1"/>
  <c r="AI1033" i="79"/>
  <c r="AI998" i="79"/>
  <c r="AI932" i="79"/>
  <c r="L416" i="71"/>
  <c r="K416" i="71"/>
  <c r="L418" i="71"/>
  <c r="K404" i="71"/>
  <c r="Y141" i="2" l="1"/>
  <c r="X153" i="2"/>
  <c r="X105" i="2"/>
  <c r="Z91" i="2"/>
  <c r="Z89" i="2"/>
  <c r="Z85" i="2"/>
  <c r="Y85" i="2"/>
  <c r="Z131" i="2"/>
  <c r="Y131" i="2"/>
  <c r="Y93" i="2"/>
  <c r="Z93" i="2"/>
  <c r="Y143" i="2"/>
  <c r="Z143" i="2"/>
  <c r="Z83" i="2"/>
  <c r="Y83" i="2"/>
  <c r="Z141" i="2"/>
  <c r="C29" i="79"/>
  <c r="B940" i="79" s="1"/>
  <c r="D997" i="79"/>
  <c r="F1077" i="79" s="1"/>
  <c r="AQ966" i="79"/>
  <c r="AJ1050" i="81"/>
  <c r="R324" i="81"/>
  <c r="D1011" i="81"/>
  <c r="AQ980" i="81"/>
  <c r="D983" i="81"/>
  <c r="D1012" i="81"/>
  <c r="D984" i="81"/>
  <c r="AQ981" i="81"/>
  <c r="D975" i="81"/>
  <c r="D1003" i="81"/>
  <c r="AQ972" i="81"/>
  <c r="AI1143" i="81"/>
  <c r="AI1144" i="81"/>
  <c r="G1085" i="81"/>
  <c r="AG1040" i="81"/>
  <c r="AG1005" i="81"/>
  <c r="E1009" i="81"/>
  <c r="E981" i="81"/>
  <c r="AR978" i="81"/>
  <c r="G1093" i="81"/>
  <c r="AG1013" i="81"/>
  <c r="AG1048" i="81"/>
  <c r="AG1038" i="81"/>
  <c r="G1083" i="81"/>
  <c r="AG1003" i="81"/>
  <c r="C950" i="81"/>
  <c r="H29" i="81"/>
  <c r="H65" i="81"/>
  <c r="B1006" i="81"/>
  <c r="B978" i="81"/>
  <c r="AO975" i="81"/>
  <c r="AT975" i="81" s="1"/>
  <c r="AG940" i="81"/>
  <c r="AN940" i="81"/>
  <c r="G1087" i="81"/>
  <c r="AG1042" i="81"/>
  <c r="AG1007" i="81"/>
  <c r="D979" i="81"/>
  <c r="AQ976" i="81"/>
  <c r="D1007" i="81"/>
  <c r="C951" i="81"/>
  <c r="J65" i="81"/>
  <c r="J29" i="81"/>
  <c r="E1002" i="81"/>
  <c r="E974" i="81"/>
  <c r="AR971" i="81"/>
  <c r="E958" i="81"/>
  <c r="G1092" i="81"/>
  <c r="AG1047" i="81"/>
  <c r="AG1012" i="81"/>
  <c r="AD1045" i="81"/>
  <c r="AD1010" i="81"/>
  <c r="R1117" i="81"/>
  <c r="V1084" i="81"/>
  <c r="AF1116" i="81" s="1"/>
  <c r="W1084" i="81"/>
  <c r="AF1117" i="81" s="1"/>
  <c r="AI1137" i="81"/>
  <c r="AI1138" i="81"/>
  <c r="D952" i="81"/>
  <c r="K137" i="81"/>
  <c r="K64" i="81"/>
  <c r="M64" i="81" s="1"/>
  <c r="J1082" i="81"/>
  <c r="Z1082" i="81" s="1"/>
  <c r="H1015" i="81"/>
  <c r="AI1037" i="81"/>
  <c r="AI1002" i="81"/>
  <c r="AI936" i="81"/>
  <c r="AD1039" i="81"/>
  <c r="AD1004" i="81"/>
  <c r="R1111" i="81"/>
  <c r="AI1125" i="81"/>
  <c r="AI1126" i="81"/>
  <c r="C946" i="81"/>
  <c r="C65" i="81"/>
  <c r="C29" i="81"/>
  <c r="C948" i="81"/>
  <c r="I64" i="81"/>
  <c r="F29" i="81"/>
  <c r="F65" i="81"/>
  <c r="G1088" i="81"/>
  <c r="AG1008" i="81"/>
  <c r="AG1043" i="81"/>
  <c r="AI1119" i="81"/>
  <c r="AI1120" i="81"/>
  <c r="AI1128" i="81"/>
  <c r="AI1129" i="81"/>
  <c r="AJ1106" i="81"/>
  <c r="C956" i="81"/>
  <c r="P29" i="81"/>
  <c r="P65" i="81"/>
  <c r="AI1140" i="81"/>
  <c r="AI1141" i="81"/>
  <c r="J1089" i="81"/>
  <c r="Z1089" i="81" s="1"/>
  <c r="AI1044" i="81"/>
  <c r="AI1009" i="81"/>
  <c r="AI943" i="81"/>
  <c r="G1091" i="81"/>
  <c r="AG1046" i="81"/>
  <c r="AG1011" i="81"/>
  <c r="D1008" i="81"/>
  <c r="D980" i="81"/>
  <c r="AQ977" i="81"/>
  <c r="C954" i="81"/>
  <c r="Q64" i="81"/>
  <c r="N29" i="81"/>
  <c r="N65" i="81"/>
  <c r="E1086" i="81"/>
  <c r="AE1041" i="81"/>
  <c r="AE1006" i="81"/>
  <c r="D945" i="81"/>
  <c r="E136" i="81"/>
  <c r="R136" i="81" s="1"/>
  <c r="B137" i="81"/>
  <c r="B64" i="81"/>
  <c r="AI1099" i="81"/>
  <c r="AI1104" i="81"/>
  <c r="AI1097" i="81"/>
  <c r="AI1095" i="81"/>
  <c r="AI1093" i="81"/>
  <c r="AI1091" i="81"/>
  <c r="AI1102" i="81"/>
  <c r="AI1100" i="81"/>
  <c r="AI1105" i="81"/>
  <c r="AI1103" i="81"/>
  <c r="AI1098" i="81"/>
  <c r="AI1096" i="81"/>
  <c r="AI1094" i="81"/>
  <c r="AI1092" i="81"/>
  <c r="AI1090" i="81"/>
  <c r="AI1101" i="81"/>
  <c r="AI1086" i="81"/>
  <c r="AI1084" i="81"/>
  <c r="AI1082" i="81"/>
  <c r="AI1089" i="81"/>
  <c r="Z1083" i="81"/>
  <c r="AI1087" i="81"/>
  <c r="AI1085" i="81"/>
  <c r="AI1088" i="81"/>
  <c r="AI1083" i="81"/>
  <c r="AJ1015" i="81"/>
  <c r="D1005" i="81"/>
  <c r="AQ974" i="81"/>
  <c r="D977" i="81"/>
  <c r="C955" i="81"/>
  <c r="O65" i="81"/>
  <c r="O29" i="81"/>
  <c r="D1013" i="81"/>
  <c r="AQ982" i="81"/>
  <c r="D985" i="81"/>
  <c r="W1090" i="81"/>
  <c r="AF1135" i="81" s="1"/>
  <c r="V1090" i="81"/>
  <c r="AF1134" i="81" s="1"/>
  <c r="C946" i="79"/>
  <c r="K29" i="79"/>
  <c r="K65" i="79"/>
  <c r="C997" i="79"/>
  <c r="AP966" i="79"/>
  <c r="C969" i="79"/>
  <c r="J1082" i="79"/>
  <c r="Z1082" i="79" s="1"/>
  <c r="AI1037" i="79"/>
  <c r="AI1044" i="79" s="1"/>
  <c r="AI1002" i="79"/>
  <c r="AI1009" i="79" s="1"/>
  <c r="AI936" i="79"/>
  <c r="AI943" i="79" s="1"/>
  <c r="C944" i="79"/>
  <c r="H65" i="79"/>
  <c r="H29" i="79"/>
  <c r="B949" i="79"/>
  <c r="O19" i="79"/>
  <c r="O20" i="79" s="1"/>
  <c r="O30" i="79"/>
  <c r="AI1119" i="79"/>
  <c r="AI1120" i="79"/>
  <c r="AQ968" i="79"/>
  <c r="D971" i="79"/>
  <c r="D999" i="79"/>
  <c r="F1087" i="79"/>
  <c r="AF1042" i="79"/>
  <c r="AF1007" i="79"/>
  <c r="D968" i="79"/>
  <c r="D996" i="79"/>
  <c r="AQ965" i="79"/>
  <c r="C947" i="79"/>
  <c r="L65" i="79"/>
  <c r="L29" i="79"/>
  <c r="D973" i="79"/>
  <c r="AQ970" i="79"/>
  <c r="D1001" i="79"/>
  <c r="C1006" i="79"/>
  <c r="C978" i="79"/>
  <c r="AP975" i="79"/>
  <c r="AG1034" i="79"/>
  <c r="G1079" i="79"/>
  <c r="AG999" i="79"/>
  <c r="D1005" i="79"/>
  <c r="AQ974" i="79"/>
  <c r="D977" i="79"/>
  <c r="F1086" i="79"/>
  <c r="AF1041" i="79"/>
  <c r="AF1006" i="79"/>
  <c r="AI1111" i="79"/>
  <c r="AI1110" i="79"/>
  <c r="G1076" i="79"/>
  <c r="AG1031" i="79"/>
  <c r="AG996" i="79"/>
  <c r="D975" i="79"/>
  <c r="D1003" i="79"/>
  <c r="AQ972" i="79"/>
  <c r="C941" i="79"/>
  <c r="D65" i="79"/>
  <c r="D29" i="79"/>
  <c r="D945" i="79"/>
  <c r="M134" i="79"/>
  <c r="R134" i="79" s="1"/>
  <c r="J135" i="79"/>
  <c r="J64" i="79"/>
  <c r="D1004" i="79"/>
  <c r="AQ973" i="79"/>
  <c r="D976" i="79"/>
  <c r="B943" i="79"/>
  <c r="G19" i="79"/>
  <c r="G20" i="79" s="1"/>
  <c r="G30" i="79"/>
  <c r="G1078" i="79"/>
  <c r="AG1033" i="79"/>
  <c r="AG998" i="79"/>
  <c r="D998" i="79"/>
  <c r="AQ967" i="79"/>
  <c r="D970" i="79"/>
  <c r="AI1125" i="79"/>
  <c r="AI1126" i="79"/>
  <c r="AG1099" i="79"/>
  <c r="AG1097" i="79"/>
  <c r="AG1092" i="79"/>
  <c r="AG1090" i="79"/>
  <c r="AG1088" i="79"/>
  <c r="AG1086" i="79"/>
  <c r="AG1095" i="79"/>
  <c r="AG1093" i="79"/>
  <c r="AG1098" i="79"/>
  <c r="AG1091" i="79"/>
  <c r="AG1089" i="79"/>
  <c r="AG1087" i="79"/>
  <c r="AG1085" i="79"/>
  <c r="AG1084" i="79"/>
  <c r="AG1080" i="79"/>
  <c r="AG1078" i="79"/>
  <c r="AG1076" i="79"/>
  <c r="AG1083" i="79"/>
  <c r="AG1079" i="79"/>
  <c r="AG1077" i="79"/>
  <c r="AG1094" i="79"/>
  <c r="AG1081" i="79"/>
  <c r="AG1082" i="79"/>
  <c r="AG1096" i="79"/>
  <c r="AI1113" i="79"/>
  <c r="AI1114" i="79"/>
  <c r="AI1128" i="79"/>
  <c r="AI1129" i="79"/>
  <c r="G1085" i="79"/>
  <c r="AG1040" i="79"/>
  <c r="AG1005" i="79"/>
  <c r="AI1104" i="79"/>
  <c r="AI1105" i="79"/>
  <c r="AI1100" i="79"/>
  <c r="AI1108" i="79"/>
  <c r="AI1107" i="79"/>
  <c r="B950" i="79"/>
  <c r="P30" i="79"/>
  <c r="P19" i="79"/>
  <c r="P20" i="79" s="1"/>
  <c r="C1000" i="79"/>
  <c r="C972" i="79"/>
  <c r="AP969" i="79"/>
  <c r="F1080" i="79"/>
  <c r="AF1035" i="79"/>
  <c r="AF1000" i="79"/>
  <c r="G1083" i="79"/>
  <c r="AG1038" i="79"/>
  <c r="AG1003" i="79"/>
  <c r="G1084" i="79"/>
  <c r="AG1039" i="79"/>
  <c r="AG1004" i="79"/>
  <c r="AG1036" i="79"/>
  <c r="G1081" i="79"/>
  <c r="AG1001" i="79"/>
  <c r="C942" i="79"/>
  <c r="I64" i="79"/>
  <c r="F65" i="79"/>
  <c r="F29" i="79"/>
  <c r="C939" i="79"/>
  <c r="B65" i="79"/>
  <c r="E64" i="79"/>
  <c r="B29" i="79"/>
  <c r="C979" i="79"/>
  <c r="AP976" i="79"/>
  <c r="C1007" i="79"/>
  <c r="E1002" i="79"/>
  <c r="E1009" i="79" s="1"/>
  <c r="AR971" i="79"/>
  <c r="AR978" i="79" s="1"/>
  <c r="E974" i="79"/>
  <c r="C948" i="79"/>
  <c r="N65" i="79"/>
  <c r="Q64" i="79"/>
  <c r="N29" i="79"/>
  <c r="AI1131" i="79"/>
  <c r="AI1132" i="79"/>
  <c r="L226" i="71"/>
  <c r="K226" i="71"/>
  <c r="Y105" i="2" l="1"/>
  <c r="Z105" i="2"/>
  <c r="Z103" i="2"/>
  <c r="Y103" i="2"/>
  <c r="Z101" i="2"/>
  <c r="Y153" i="2"/>
  <c r="Z153" i="2"/>
  <c r="Z149" i="2"/>
  <c r="Y151" i="2"/>
  <c r="Z151" i="2"/>
  <c r="C19" i="79"/>
  <c r="C20" i="79" s="1"/>
  <c r="C30" i="79"/>
  <c r="AF1032" i="79"/>
  <c r="AF997" i="79"/>
  <c r="AR984" i="81"/>
  <c r="AI949" i="81"/>
  <c r="AI1114" i="81"/>
  <c r="AI1113" i="81"/>
  <c r="C985" i="81"/>
  <c r="C1013" i="81"/>
  <c r="AP982" i="81"/>
  <c r="AI1050" i="81"/>
  <c r="C1007" i="81"/>
  <c r="AP976" i="81"/>
  <c r="C979" i="81"/>
  <c r="AF1038" i="81"/>
  <c r="F1083" i="81"/>
  <c r="AF1003" i="81"/>
  <c r="AP980" i="81"/>
  <c r="C1011" i="81"/>
  <c r="C983" i="81"/>
  <c r="G1089" i="81"/>
  <c r="AG1044" i="81"/>
  <c r="AG1009" i="81"/>
  <c r="D1002" i="81"/>
  <c r="D958" i="81"/>
  <c r="D974" i="81"/>
  <c r="AQ971" i="81"/>
  <c r="C980" i="81"/>
  <c r="AP977" i="81"/>
  <c r="C1008" i="81"/>
  <c r="AG1105" i="81"/>
  <c r="AG1103" i="81"/>
  <c r="AG1098" i="81"/>
  <c r="AG1101" i="81"/>
  <c r="AG1099" i="81"/>
  <c r="AG1104" i="81"/>
  <c r="AG1097" i="81"/>
  <c r="AG1095" i="81"/>
  <c r="AG1093" i="81"/>
  <c r="AG1102" i="81"/>
  <c r="AG1100" i="81"/>
  <c r="AG1094" i="81"/>
  <c r="AG1088" i="81"/>
  <c r="AG1096" i="81"/>
  <c r="AG1091" i="81"/>
  <c r="AG1086" i="81"/>
  <c r="AG1084" i="81"/>
  <c r="AG1082" i="81"/>
  <c r="AG1089" i="81"/>
  <c r="AG1092" i="81"/>
  <c r="AG1090" i="81"/>
  <c r="AG1085" i="81"/>
  <c r="AG1083" i="81"/>
  <c r="AG1087" i="81"/>
  <c r="C952" i="81"/>
  <c r="K65" i="81"/>
  <c r="K29" i="81"/>
  <c r="M29" i="81" s="1"/>
  <c r="AF1042" i="81"/>
  <c r="F1087" i="81"/>
  <c r="AF1007" i="81"/>
  <c r="AF1040" i="81"/>
  <c r="F1085" i="81"/>
  <c r="AF1005" i="81"/>
  <c r="AI1106" i="81"/>
  <c r="F1088" i="81"/>
  <c r="AF1043" i="81"/>
  <c r="AF1008" i="81"/>
  <c r="C1005" i="81"/>
  <c r="AP974" i="81"/>
  <c r="C977" i="81"/>
  <c r="F1092" i="81"/>
  <c r="AF1047" i="81"/>
  <c r="AF1012" i="81"/>
  <c r="C1012" i="81"/>
  <c r="C984" i="81"/>
  <c r="AP981" i="81"/>
  <c r="AI1131" i="81"/>
  <c r="AI1132" i="81"/>
  <c r="V1086" i="81"/>
  <c r="AF1122" i="81" s="1"/>
  <c r="W1086" i="81"/>
  <c r="AF1123" i="81" s="1"/>
  <c r="B946" i="81"/>
  <c r="C19" i="81"/>
  <c r="C20" i="81" s="1"/>
  <c r="C30" i="81"/>
  <c r="AQ978" i="81"/>
  <c r="D1009" i="81"/>
  <c r="D981" i="81"/>
  <c r="AD1041" i="81"/>
  <c r="AD1006" i="81"/>
  <c r="R1113" i="81"/>
  <c r="AI1110" i="81"/>
  <c r="AI1111" i="81"/>
  <c r="B948" i="81"/>
  <c r="F30" i="81"/>
  <c r="F19" i="81"/>
  <c r="I29" i="81"/>
  <c r="F1093" i="81"/>
  <c r="AF1013" i="81"/>
  <c r="AF1048" i="81"/>
  <c r="G1082" i="81"/>
  <c r="AG1037" i="81"/>
  <c r="E1015" i="81"/>
  <c r="AG1002" i="81"/>
  <c r="B955" i="81"/>
  <c r="O30" i="81"/>
  <c r="O19" i="81"/>
  <c r="O20" i="81" s="1"/>
  <c r="C945" i="81"/>
  <c r="E64" i="81"/>
  <c r="R64" i="81" s="1"/>
  <c r="B65" i="81"/>
  <c r="B29" i="81"/>
  <c r="B954" i="81"/>
  <c r="N30" i="81"/>
  <c r="N19" i="81"/>
  <c r="Q29" i="81"/>
  <c r="B956" i="81"/>
  <c r="P30" i="81"/>
  <c r="P19" i="81"/>
  <c r="P20" i="81" s="1"/>
  <c r="C1003" i="81"/>
  <c r="AP972" i="81"/>
  <c r="C975" i="81"/>
  <c r="AI1015" i="81"/>
  <c r="B951" i="81"/>
  <c r="J19" i="81"/>
  <c r="J30" i="81"/>
  <c r="B950" i="81"/>
  <c r="H30" i="81"/>
  <c r="H19" i="81"/>
  <c r="H20" i="81" s="1"/>
  <c r="F1091" i="81"/>
  <c r="AF1011" i="81"/>
  <c r="AF1046" i="81"/>
  <c r="B947" i="79"/>
  <c r="L30" i="79"/>
  <c r="L19" i="79"/>
  <c r="L20" i="79" s="1"/>
  <c r="C945" i="79"/>
  <c r="C952" i="79" s="1"/>
  <c r="J65" i="79"/>
  <c r="M64" i="79"/>
  <c r="R64" i="79" s="1"/>
  <c r="J29" i="79"/>
  <c r="C1004" i="79"/>
  <c r="C976" i="79"/>
  <c r="AP973" i="79"/>
  <c r="B1006" i="79"/>
  <c r="AO975" i="79"/>
  <c r="AT975" i="79" s="1"/>
  <c r="AG940" i="79"/>
  <c r="B978" i="79"/>
  <c r="AN940" i="79"/>
  <c r="B1000" i="79"/>
  <c r="AO969" i="79"/>
  <c r="AT969" i="79" s="1"/>
  <c r="AN934" i="79"/>
  <c r="B972" i="79"/>
  <c r="AG934" i="79"/>
  <c r="D1002" i="79"/>
  <c r="D1009" i="79" s="1"/>
  <c r="D974" i="79"/>
  <c r="AQ971" i="79"/>
  <c r="AQ978" i="79" s="1"/>
  <c r="F1079" i="79"/>
  <c r="AF1034" i="79"/>
  <c r="AF999" i="79"/>
  <c r="B944" i="79"/>
  <c r="H30" i="79"/>
  <c r="H19" i="79"/>
  <c r="H20" i="79" s="1"/>
  <c r="B941" i="79"/>
  <c r="D30" i="79"/>
  <c r="D19" i="79"/>
  <c r="D20" i="79" s="1"/>
  <c r="E1086" i="79"/>
  <c r="AE1006" i="79"/>
  <c r="AE1041" i="79"/>
  <c r="F1076" i="79"/>
  <c r="AF996" i="79"/>
  <c r="AF1031" i="79"/>
  <c r="E1077" i="79"/>
  <c r="AE1032" i="79"/>
  <c r="AE997" i="79"/>
  <c r="E1087" i="79"/>
  <c r="AE1042" i="79"/>
  <c r="AE1007" i="79"/>
  <c r="F1078" i="79"/>
  <c r="AF1033" i="79"/>
  <c r="AF998" i="79"/>
  <c r="B948" i="79"/>
  <c r="N19" i="79"/>
  <c r="Q29" i="79"/>
  <c r="N30" i="79"/>
  <c r="AI1122" i="79"/>
  <c r="AI1123" i="79"/>
  <c r="AG1100" i="79"/>
  <c r="C977" i="79"/>
  <c r="AP974" i="79"/>
  <c r="C1005" i="79"/>
  <c r="B1007" i="79"/>
  <c r="B979" i="79"/>
  <c r="AO976" i="79"/>
  <c r="AT976" i="79" s="1"/>
  <c r="AG941" i="79"/>
  <c r="AN941" i="79"/>
  <c r="AF1036" i="79"/>
  <c r="F1081" i="79"/>
  <c r="AF1001" i="79"/>
  <c r="D952" i="79"/>
  <c r="AP970" i="79"/>
  <c r="C1001" i="79"/>
  <c r="C973" i="79"/>
  <c r="AF1099" i="79"/>
  <c r="AF1097" i="79"/>
  <c r="AF1092" i="79"/>
  <c r="AF1090" i="79"/>
  <c r="AF1088" i="79"/>
  <c r="AF1086" i="79"/>
  <c r="AF1084" i="79"/>
  <c r="AF1095" i="79"/>
  <c r="AF1093" i="79"/>
  <c r="AF1096" i="79"/>
  <c r="AF1082" i="79"/>
  <c r="AF1085" i="79"/>
  <c r="AF1080" i="79"/>
  <c r="AF1078" i="79"/>
  <c r="AF1076" i="79"/>
  <c r="AF1081" i="79"/>
  <c r="AF1089" i="79"/>
  <c r="AF1087" i="79"/>
  <c r="AF1079" i="79"/>
  <c r="AF1094" i="79"/>
  <c r="AF1083" i="79"/>
  <c r="AF1077" i="79"/>
  <c r="AF1098" i="79"/>
  <c r="AF1091" i="79"/>
  <c r="E1080" i="79"/>
  <c r="AE1035" i="79"/>
  <c r="AE1000" i="79"/>
  <c r="C998" i="79"/>
  <c r="AP967" i="79"/>
  <c r="C970" i="79"/>
  <c r="F1085" i="79"/>
  <c r="AF1005" i="79"/>
  <c r="AF1040" i="79"/>
  <c r="B946" i="79"/>
  <c r="K30" i="79"/>
  <c r="K19" i="79"/>
  <c r="K20" i="79" s="1"/>
  <c r="F1083" i="79"/>
  <c r="AF1038" i="79"/>
  <c r="AF1003" i="79"/>
  <c r="C999" i="79"/>
  <c r="AP968" i="79"/>
  <c r="C971" i="79"/>
  <c r="B939" i="79"/>
  <c r="B19" i="79"/>
  <c r="B30" i="79"/>
  <c r="E29" i="79"/>
  <c r="C996" i="79"/>
  <c r="AP965" i="79"/>
  <c r="C968" i="79"/>
  <c r="AG1037" i="79"/>
  <c r="AG1044" i="79" s="1"/>
  <c r="G1082" i="79"/>
  <c r="AG1002" i="79"/>
  <c r="AG1009" i="79" s="1"/>
  <c r="B942" i="79"/>
  <c r="F30" i="79"/>
  <c r="F19" i="79"/>
  <c r="I29" i="79"/>
  <c r="B997" i="79"/>
  <c r="B969" i="79"/>
  <c r="AN931" i="79"/>
  <c r="AO966" i="79"/>
  <c r="AT966" i="79" s="1"/>
  <c r="AG931" i="79"/>
  <c r="F1084" i="79"/>
  <c r="AF1039" i="79"/>
  <c r="AF1004" i="79"/>
  <c r="C1003" i="79"/>
  <c r="AP972" i="79"/>
  <c r="C975" i="79"/>
  <c r="L158" i="71"/>
  <c r="AG1015" i="81" l="1"/>
  <c r="AG1050" i="81"/>
  <c r="B1011" i="81"/>
  <c r="AO980" i="81"/>
  <c r="AT980" i="81" s="1"/>
  <c r="AN945" i="81"/>
  <c r="AG945" i="81"/>
  <c r="B983" i="81"/>
  <c r="B1003" i="81"/>
  <c r="AO972" i="81"/>
  <c r="AT972" i="81" s="1"/>
  <c r="AN937" i="81"/>
  <c r="B975" i="81"/>
  <c r="AG937" i="81"/>
  <c r="E1087" i="81"/>
  <c r="AE1042" i="81"/>
  <c r="AE1007" i="81"/>
  <c r="E1083" i="81"/>
  <c r="AE1038" i="81"/>
  <c r="AE1003" i="81"/>
  <c r="B945" i="81"/>
  <c r="B19" i="81"/>
  <c r="E29" i="81"/>
  <c r="R29" i="81" s="1"/>
  <c r="B30" i="81"/>
  <c r="E1092" i="81"/>
  <c r="AE1047" i="81"/>
  <c r="AE1012" i="81"/>
  <c r="AQ984" i="81"/>
  <c r="E1091" i="81"/>
  <c r="AE1011" i="81"/>
  <c r="AE1046" i="81"/>
  <c r="E1085" i="81"/>
  <c r="AE1040" i="81"/>
  <c r="AE1005" i="81"/>
  <c r="B1005" i="81"/>
  <c r="AN939" i="81"/>
  <c r="B977" i="81"/>
  <c r="AG939" i="81"/>
  <c r="AO974" i="81"/>
  <c r="AT974" i="81" s="1"/>
  <c r="J20" i="81"/>
  <c r="F1089" i="81"/>
  <c r="AF1044" i="81"/>
  <c r="AF1009" i="81"/>
  <c r="B952" i="81"/>
  <c r="K19" i="81"/>
  <c r="K20" i="81" s="1"/>
  <c r="K30" i="81"/>
  <c r="E1093" i="81"/>
  <c r="AE1048" i="81"/>
  <c r="AE1013" i="81"/>
  <c r="AG942" i="81"/>
  <c r="B1008" i="81"/>
  <c r="AN942" i="81"/>
  <c r="B980" i="81"/>
  <c r="AO977" i="81"/>
  <c r="AT977" i="81" s="1"/>
  <c r="B1013" i="81"/>
  <c r="B985" i="81"/>
  <c r="AO982" i="81"/>
  <c r="AT982" i="81" s="1"/>
  <c r="AG947" i="81"/>
  <c r="AN947" i="81"/>
  <c r="C1002" i="81"/>
  <c r="C958" i="81"/>
  <c r="C974" i="81"/>
  <c r="AP971" i="81"/>
  <c r="AG1106" i="81"/>
  <c r="F1082" i="81"/>
  <c r="AF1037" i="81"/>
  <c r="D1015" i="81"/>
  <c r="AF1002" i="81"/>
  <c r="AF1105" i="81"/>
  <c r="AF1103" i="81"/>
  <c r="AF1098" i="81"/>
  <c r="AF1096" i="81"/>
  <c r="AF1094" i="81"/>
  <c r="AF1092" i="81"/>
  <c r="AF1101" i="81"/>
  <c r="AF1099" i="81"/>
  <c r="AF1104" i="81"/>
  <c r="AF1097" i="81"/>
  <c r="AF1095" i="81"/>
  <c r="AF1093" i="81"/>
  <c r="AF1102" i="81"/>
  <c r="AF1100" i="81"/>
  <c r="AF1090" i="81"/>
  <c r="AF1085" i="81"/>
  <c r="AF1083" i="81"/>
  <c r="AF1088" i="81"/>
  <c r="AF1091" i="81"/>
  <c r="AF1086" i="81"/>
  <c r="AF1084" i="81"/>
  <c r="AF1082" i="81"/>
  <c r="AF1089" i="81"/>
  <c r="AF1087" i="81"/>
  <c r="B1012" i="81"/>
  <c r="AO981" i="81"/>
  <c r="AT981" i="81" s="1"/>
  <c r="AG946" i="81"/>
  <c r="B984" i="81"/>
  <c r="AN946" i="81"/>
  <c r="B1007" i="81"/>
  <c r="B979" i="81"/>
  <c r="AO976" i="81"/>
  <c r="AT976" i="81" s="1"/>
  <c r="AG941" i="81"/>
  <c r="AN941" i="81"/>
  <c r="I19" i="81"/>
  <c r="F20" i="81"/>
  <c r="I20" i="81" s="1"/>
  <c r="C1009" i="81"/>
  <c r="C981" i="81"/>
  <c r="AP978" i="81"/>
  <c r="Q19" i="81"/>
  <c r="N20" i="81"/>
  <c r="Q20" i="81" s="1"/>
  <c r="E1088" i="81"/>
  <c r="AE1043" i="81"/>
  <c r="AE1008" i="81"/>
  <c r="AF1100" i="79"/>
  <c r="E1081" i="79"/>
  <c r="AE1036" i="79"/>
  <c r="AE1001" i="79"/>
  <c r="B970" i="79"/>
  <c r="AG932" i="79"/>
  <c r="B998" i="79"/>
  <c r="AN932" i="79"/>
  <c r="AO967" i="79"/>
  <c r="AT967" i="79" s="1"/>
  <c r="AD1035" i="79"/>
  <c r="AD1000" i="79"/>
  <c r="R1107" i="79"/>
  <c r="E1084" i="79"/>
  <c r="AE1039" i="79"/>
  <c r="AE1004" i="79"/>
  <c r="B945" i="79"/>
  <c r="B952" i="79" s="1"/>
  <c r="J19" i="79"/>
  <c r="J30" i="79"/>
  <c r="M29" i="79"/>
  <c r="R29" i="79" s="1"/>
  <c r="B999" i="79"/>
  <c r="AO968" i="79"/>
  <c r="AT968" i="79" s="1"/>
  <c r="AN933" i="79"/>
  <c r="B971" i="79"/>
  <c r="AG933" i="79"/>
  <c r="E19" i="79"/>
  <c r="B20" i="79"/>
  <c r="E20" i="79" s="1"/>
  <c r="AD1042" i="79"/>
  <c r="AD1007" i="79"/>
  <c r="R1114" i="79"/>
  <c r="W1087" i="79"/>
  <c r="AF1138" i="79" s="1"/>
  <c r="V1087" i="79"/>
  <c r="AF1137" i="79" s="1"/>
  <c r="B1001" i="79"/>
  <c r="B973" i="79"/>
  <c r="AO970" i="79"/>
  <c r="AT970" i="79" s="1"/>
  <c r="AN935" i="79"/>
  <c r="AG935" i="79"/>
  <c r="F1082" i="79"/>
  <c r="AF1037" i="79"/>
  <c r="AF1044" i="79" s="1"/>
  <c r="AF1002" i="79"/>
  <c r="AF1009" i="79" s="1"/>
  <c r="B996" i="79"/>
  <c r="B968" i="79"/>
  <c r="AO965" i="79"/>
  <c r="AN930" i="79"/>
  <c r="AG930" i="79"/>
  <c r="E1085" i="79"/>
  <c r="AE1005" i="79"/>
  <c r="AE1040" i="79"/>
  <c r="N20" i="79"/>
  <c r="Q20" i="79" s="1"/>
  <c r="Q19" i="79"/>
  <c r="C974" i="79"/>
  <c r="AP971" i="79"/>
  <c r="AP978" i="79" s="1"/>
  <c r="C1002" i="79"/>
  <c r="C1009" i="79" s="1"/>
  <c r="E1078" i="79"/>
  <c r="AE1033" i="79"/>
  <c r="AE998" i="79"/>
  <c r="B1003" i="79"/>
  <c r="AO972" i="79"/>
  <c r="AT972" i="79" s="1"/>
  <c r="B975" i="79"/>
  <c r="AN937" i="79"/>
  <c r="AG937" i="79"/>
  <c r="B1005" i="79"/>
  <c r="AO974" i="79"/>
  <c r="AT974" i="79" s="1"/>
  <c r="B977" i="79"/>
  <c r="AG939" i="79"/>
  <c r="AN939" i="79"/>
  <c r="V1086" i="79"/>
  <c r="AF1134" i="79" s="1"/>
  <c r="W1086" i="79"/>
  <c r="AF1135" i="79" s="1"/>
  <c r="AD1041" i="79"/>
  <c r="AD1006" i="79"/>
  <c r="R1113" i="79"/>
  <c r="E1083" i="79"/>
  <c r="AE1038" i="79"/>
  <c r="AE1003" i="79"/>
  <c r="F20" i="79"/>
  <c r="I20" i="79" s="1"/>
  <c r="I19" i="79"/>
  <c r="V1080" i="79"/>
  <c r="AF1116" i="79" s="1"/>
  <c r="W1080" i="79"/>
  <c r="AF1117" i="79" s="1"/>
  <c r="AE1099" i="79"/>
  <c r="AE1097" i="79"/>
  <c r="AE1092" i="79"/>
  <c r="AE1090" i="79"/>
  <c r="AE1088" i="79"/>
  <c r="AE1095" i="79"/>
  <c r="AE1093" i="79"/>
  <c r="AE1098" i="79"/>
  <c r="AE1094" i="79"/>
  <c r="AE1091" i="79"/>
  <c r="AE1096" i="79"/>
  <c r="AE1082" i="79"/>
  <c r="AE1084" i="79"/>
  <c r="AE1086" i="79"/>
  <c r="AE1079" i="79"/>
  <c r="W1077" i="79"/>
  <c r="AF1108" i="79" s="1"/>
  <c r="AE1080" i="79"/>
  <c r="AE1078" i="79"/>
  <c r="AE1076" i="79"/>
  <c r="AE1087" i="79"/>
  <c r="AE1085" i="79"/>
  <c r="AE1081" i="79"/>
  <c r="AE1089" i="79"/>
  <c r="AE1083" i="79"/>
  <c r="AE1077" i="79"/>
  <c r="V1077" i="79"/>
  <c r="AF1107" i="79" s="1"/>
  <c r="AD1032" i="79"/>
  <c r="AD997" i="79"/>
  <c r="R1104" i="79"/>
  <c r="E1076" i="79"/>
  <c r="AE1031" i="79"/>
  <c r="AE996" i="79"/>
  <c r="E1079" i="79"/>
  <c r="AE1034" i="79"/>
  <c r="AE999" i="79"/>
  <c r="B1004" i="79"/>
  <c r="B976" i="79"/>
  <c r="AN938" i="79"/>
  <c r="AG938" i="79"/>
  <c r="AO973" i="79"/>
  <c r="AT973" i="79" s="1"/>
  <c r="K519" i="71"/>
  <c r="AF1050" i="81" l="1"/>
  <c r="M19" i="81"/>
  <c r="M20" i="81"/>
  <c r="AF1015" i="81"/>
  <c r="E1089" i="81"/>
  <c r="AE1044" i="81"/>
  <c r="AE1009" i="81"/>
  <c r="AP984" i="81"/>
  <c r="AD1048" i="81"/>
  <c r="AD1013" i="81"/>
  <c r="R1120" i="81"/>
  <c r="V1093" i="81"/>
  <c r="AF1143" i="81" s="1"/>
  <c r="W1093" i="81"/>
  <c r="AF1144" i="81" s="1"/>
  <c r="AE1105" i="81"/>
  <c r="AE1103" i="81"/>
  <c r="AE1098" i="81"/>
  <c r="AE1096" i="81"/>
  <c r="AE1094" i="81"/>
  <c r="AE1092" i="81"/>
  <c r="AE1090" i="81"/>
  <c r="AE1101" i="81"/>
  <c r="AE1099" i="81"/>
  <c r="AE1104" i="81"/>
  <c r="AE1097" i="81"/>
  <c r="AE1095" i="81"/>
  <c r="AE1093" i="81"/>
  <c r="AE1091" i="81"/>
  <c r="AE1087" i="81"/>
  <c r="AE1085" i="81"/>
  <c r="AE1083" i="81"/>
  <c r="AE1088" i="81"/>
  <c r="AE1100" i="81"/>
  <c r="W1083" i="81"/>
  <c r="AF1114" i="81" s="1"/>
  <c r="V1083" i="81"/>
  <c r="AF1113" i="81" s="1"/>
  <c r="AE1089" i="81"/>
  <c r="AE1086" i="81"/>
  <c r="AE1102" i="81"/>
  <c r="AE1082" i="81"/>
  <c r="AE1084" i="81"/>
  <c r="AD1038" i="81"/>
  <c r="AD1003" i="81"/>
  <c r="R1110" i="81"/>
  <c r="V1088" i="81"/>
  <c r="AF1128" i="81" s="1"/>
  <c r="W1088" i="81"/>
  <c r="AF1129" i="81" s="1"/>
  <c r="W1085" i="81"/>
  <c r="AF1120" i="81" s="1"/>
  <c r="V1085" i="81"/>
  <c r="AF1119" i="81" s="1"/>
  <c r="W1092" i="81"/>
  <c r="AF1141" i="81" s="1"/>
  <c r="V1092" i="81"/>
  <c r="AF1140" i="81" s="1"/>
  <c r="AD1047" i="81"/>
  <c r="AD1012" i="81"/>
  <c r="R1119" i="81"/>
  <c r="E1082" i="81"/>
  <c r="AE1037" i="81"/>
  <c r="C1015" i="81"/>
  <c r="AE1002" i="81"/>
  <c r="AO978" i="81"/>
  <c r="AT978" i="81" s="1"/>
  <c r="B1009" i="81"/>
  <c r="B981" i="81"/>
  <c r="AG943" i="81"/>
  <c r="AN943" i="81"/>
  <c r="W1087" i="81"/>
  <c r="AF1126" i="81" s="1"/>
  <c r="V1087" i="81"/>
  <c r="AF1125" i="81" s="1"/>
  <c r="AD1043" i="81"/>
  <c r="AD1008" i="81"/>
  <c r="R1115" i="81"/>
  <c r="B20" i="81"/>
  <c r="E20" i="81" s="1"/>
  <c r="E19" i="81"/>
  <c r="AD1042" i="81"/>
  <c r="AD1007" i="81"/>
  <c r="R1114" i="81"/>
  <c r="AF1106" i="81"/>
  <c r="AD1040" i="81"/>
  <c r="AD1005" i="81"/>
  <c r="R1112" i="81"/>
  <c r="V1091" i="81"/>
  <c r="AF1137" i="81" s="1"/>
  <c r="W1091" i="81"/>
  <c r="AF1138" i="81" s="1"/>
  <c r="B1002" i="81"/>
  <c r="B958" i="81"/>
  <c r="B974" i="81"/>
  <c r="AO971" i="81"/>
  <c r="AN936" i="81"/>
  <c r="AG936" i="81"/>
  <c r="AD1046" i="81"/>
  <c r="AD1011" i="81"/>
  <c r="R1118" i="81"/>
  <c r="AD1033" i="79"/>
  <c r="AD998" i="79"/>
  <c r="R1105" i="79"/>
  <c r="AD1038" i="79"/>
  <c r="AD1003" i="79"/>
  <c r="R1110" i="79"/>
  <c r="V1084" i="79"/>
  <c r="AF1128" i="79" s="1"/>
  <c r="W1084" i="79"/>
  <c r="AF1129" i="79" s="1"/>
  <c r="AE1100" i="79"/>
  <c r="AD1031" i="79"/>
  <c r="AD996" i="79"/>
  <c r="R1103" i="79"/>
  <c r="AD1034" i="79"/>
  <c r="AD999" i="79"/>
  <c r="R1106" i="79"/>
  <c r="W1079" i="79"/>
  <c r="AF1114" i="79" s="1"/>
  <c r="V1079" i="79"/>
  <c r="AF1113" i="79" s="1"/>
  <c r="AD1036" i="79"/>
  <c r="AD1001" i="79"/>
  <c r="R1108" i="79"/>
  <c r="AD1040" i="79"/>
  <c r="AD1005" i="79"/>
  <c r="R1112" i="79"/>
  <c r="W1078" i="79"/>
  <c r="AF1111" i="79" s="1"/>
  <c r="V1078" i="79"/>
  <c r="AF1110" i="79" s="1"/>
  <c r="V1085" i="79"/>
  <c r="AF1131" i="79" s="1"/>
  <c r="W1085" i="79"/>
  <c r="AF1132" i="79" s="1"/>
  <c r="E1082" i="79"/>
  <c r="AE1037" i="79"/>
  <c r="AE1044" i="79" s="1"/>
  <c r="AE1002" i="79"/>
  <c r="AE1009" i="79" s="1"/>
  <c r="M19" i="79"/>
  <c r="R19" i="79" s="1"/>
  <c r="J20" i="79"/>
  <c r="M20" i="79" s="1"/>
  <c r="R20" i="79" s="1"/>
  <c r="V1076" i="79"/>
  <c r="AF1104" i="79" s="1"/>
  <c r="W1076" i="79"/>
  <c r="AF1105" i="79" s="1"/>
  <c r="B974" i="79"/>
  <c r="AO971" i="79"/>
  <c r="AT971" i="79" s="1"/>
  <c r="B1002" i="79"/>
  <c r="B1009" i="79" s="1"/>
  <c r="R1115" i="79" s="1"/>
  <c r="AN936" i="79"/>
  <c r="AG936" i="79"/>
  <c r="AG943" i="79" s="1"/>
  <c r="V1081" i="79"/>
  <c r="AF1119" i="79" s="1"/>
  <c r="W1081" i="79"/>
  <c r="AF1120" i="79" s="1"/>
  <c r="AD1039" i="79"/>
  <c r="AD1004" i="79"/>
  <c r="R1111" i="79"/>
  <c r="V1083" i="79"/>
  <c r="AF1125" i="79" s="1"/>
  <c r="W1083" i="79"/>
  <c r="AF1126" i="79" s="1"/>
  <c r="AT965" i="79"/>
  <c r="O195" i="78"/>
  <c r="AE1015" i="81" l="1"/>
  <c r="R19" i="81"/>
  <c r="R20" i="81"/>
  <c r="AE1050" i="81"/>
  <c r="AO984" i="81"/>
  <c r="AT971" i="81"/>
  <c r="AT984" i="81" s="1"/>
  <c r="AE1106" i="81"/>
  <c r="AD1037" i="81"/>
  <c r="AD1002" i="81"/>
  <c r="B1015" i="81"/>
  <c r="R1121" i="81" s="1"/>
  <c r="R1109" i="81"/>
  <c r="V1082" i="81"/>
  <c r="AF1110" i="81" s="1"/>
  <c r="W1082" i="81"/>
  <c r="AF1111" i="81" s="1"/>
  <c r="AG949" i="81"/>
  <c r="AD1044" i="81"/>
  <c r="AD1009" i="81"/>
  <c r="R1116" i="81"/>
  <c r="V1089" i="81"/>
  <c r="AF1131" i="81" s="1"/>
  <c r="W1089" i="81"/>
  <c r="AF1132" i="81" s="1"/>
  <c r="V1082" i="79"/>
  <c r="AF1122" i="79" s="1"/>
  <c r="W1082" i="79"/>
  <c r="AF1123" i="79" s="1"/>
  <c r="AO978" i="79"/>
  <c r="AD1037" i="79"/>
  <c r="AD1002" i="79"/>
  <c r="AD1009" i="79" s="1"/>
  <c r="R1109" i="79"/>
  <c r="AT978" i="79"/>
  <c r="M418" i="78"/>
  <c r="Q418" i="78"/>
  <c r="I418" i="78"/>
  <c r="E418" i="78"/>
  <c r="AD1050" i="81" l="1"/>
  <c r="AD1015" i="81"/>
  <c r="AD1044" i="79"/>
  <c r="R418" i="78"/>
  <c r="Q286" i="78" l="1"/>
  <c r="M286" i="78"/>
  <c r="I286" i="78"/>
  <c r="E286" i="78"/>
  <c r="Q459" i="78"/>
  <c r="M459" i="78"/>
  <c r="I459" i="78"/>
  <c r="E459" i="78"/>
  <c r="E461" i="78"/>
  <c r="Q463" i="78"/>
  <c r="Q464" i="78"/>
  <c r="M463" i="78"/>
  <c r="M464" i="78"/>
  <c r="I463" i="78"/>
  <c r="I464" i="78"/>
  <c r="E463" i="78"/>
  <c r="E464" i="78"/>
  <c r="Q461" i="78"/>
  <c r="Q462" i="78"/>
  <c r="M461" i="78"/>
  <c r="M462" i="78"/>
  <c r="I461" i="78"/>
  <c r="I462" i="78"/>
  <c r="E462" i="78"/>
  <c r="Q372" i="78"/>
  <c r="M372" i="78"/>
  <c r="I372" i="78"/>
  <c r="E372" i="78"/>
  <c r="Q371" i="78"/>
  <c r="M371" i="78"/>
  <c r="I371" i="78"/>
  <c r="E371" i="78"/>
  <c r="E186" i="78"/>
  <c r="N369" i="78"/>
  <c r="R286" i="78" l="1"/>
  <c r="R459" i="78"/>
  <c r="R463" i="78"/>
  <c r="R464" i="78"/>
  <c r="R461" i="78"/>
  <c r="R462" i="78"/>
  <c r="R372" i="78"/>
  <c r="R371" i="78"/>
  <c r="Q179" i="78" l="1"/>
  <c r="M179" i="78"/>
  <c r="I179" i="78"/>
  <c r="E179" i="78"/>
  <c r="R179" i="78" l="1"/>
  <c r="Q854" i="78" l="1"/>
  <c r="M854" i="78"/>
  <c r="I854" i="78"/>
  <c r="E854" i="78"/>
  <c r="Q836" i="78"/>
  <c r="M836" i="78"/>
  <c r="I836" i="78"/>
  <c r="E836" i="78"/>
  <c r="Q169" i="78"/>
  <c r="M169" i="78"/>
  <c r="I169" i="78"/>
  <c r="E169" i="78"/>
  <c r="Q151" i="78"/>
  <c r="M151" i="78"/>
  <c r="I151" i="78"/>
  <c r="E151" i="78"/>
  <c r="Q467" i="78"/>
  <c r="M467" i="78"/>
  <c r="I467" i="78"/>
  <c r="E467" i="78"/>
  <c r="R836" i="78" l="1"/>
  <c r="R854" i="78"/>
  <c r="R151" i="78"/>
  <c r="R169" i="78"/>
  <c r="R467" i="78"/>
  <c r="O163" i="78" l="1"/>
  <c r="N163" i="78"/>
  <c r="Q353" i="78" l="1"/>
  <c r="M353" i="78"/>
  <c r="I353" i="78"/>
  <c r="E353" i="78"/>
  <c r="O354" i="78"/>
  <c r="N354" i="78"/>
  <c r="O346" i="78"/>
  <c r="N346" i="78"/>
  <c r="Q436" i="78"/>
  <c r="M436" i="78"/>
  <c r="I436" i="78"/>
  <c r="E436" i="78"/>
  <c r="Q468" i="78"/>
  <c r="M468" i="78"/>
  <c r="I468" i="78"/>
  <c r="E468" i="78"/>
  <c r="M415" i="78"/>
  <c r="I853" i="78"/>
  <c r="I755" i="78"/>
  <c r="I653" i="78"/>
  <c r="I652" i="78"/>
  <c r="I422" i="78"/>
  <c r="I421" i="78"/>
  <c r="Q423" i="78"/>
  <c r="M423" i="78"/>
  <c r="I423" i="78"/>
  <c r="E423" i="78"/>
  <c r="R353" i="78" l="1"/>
  <c r="R436" i="78"/>
  <c r="R468" i="78"/>
  <c r="R423" i="78"/>
  <c r="O1179" i="78" l="1"/>
  <c r="K1179" i="78"/>
  <c r="Q1176" i="78"/>
  <c r="M1176" i="78"/>
  <c r="G1176" i="78"/>
  <c r="I1176" i="78" s="1"/>
  <c r="E1176" i="78"/>
  <c r="C1176" i="78"/>
  <c r="Q1175" i="78"/>
  <c r="M1175" i="78"/>
  <c r="G1175" i="78"/>
  <c r="I1175" i="78" s="1"/>
  <c r="E1175" i="78"/>
  <c r="C1175" i="78"/>
  <c r="Q1174" i="78"/>
  <c r="M1174" i="78"/>
  <c r="G1174" i="78"/>
  <c r="I1174" i="78" s="1"/>
  <c r="J1176" i="78" s="1"/>
  <c r="E1174" i="78"/>
  <c r="F1176" i="78" s="1"/>
  <c r="C1174" i="78"/>
  <c r="Q1173" i="78"/>
  <c r="M1173" i="78"/>
  <c r="G1173" i="78"/>
  <c r="I1173" i="78" s="1"/>
  <c r="E1173" i="78"/>
  <c r="C1173" i="78"/>
  <c r="Q1172" i="78"/>
  <c r="M1172" i="78"/>
  <c r="G1172" i="78"/>
  <c r="I1172" i="78" s="1"/>
  <c r="E1172" i="78"/>
  <c r="C1172" i="78"/>
  <c r="Q1171" i="78"/>
  <c r="M1171" i="78"/>
  <c r="G1171" i="78"/>
  <c r="I1171" i="78" s="1"/>
  <c r="J1173" i="78" s="1"/>
  <c r="E1171" i="78"/>
  <c r="C1171" i="78"/>
  <c r="Q1170" i="78"/>
  <c r="M1170" i="78"/>
  <c r="G1170" i="78"/>
  <c r="I1170" i="78" s="1"/>
  <c r="E1170" i="78"/>
  <c r="C1170" i="78"/>
  <c r="Q1169" i="78"/>
  <c r="M1169" i="78"/>
  <c r="G1169" i="78"/>
  <c r="I1169" i="78" s="1"/>
  <c r="E1169" i="78"/>
  <c r="C1169" i="78"/>
  <c r="Q1168" i="78"/>
  <c r="M1168" i="78"/>
  <c r="G1168" i="78"/>
  <c r="I1168" i="78" s="1"/>
  <c r="J1170" i="78" s="1"/>
  <c r="E1168" i="78"/>
  <c r="F1170" i="78" s="1"/>
  <c r="C1168" i="78"/>
  <c r="Q1167" i="78"/>
  <c r="M1167" i="78"/>
  <c r="G1167" i="78"/>
  <c r="I1167" i="78" s="1"/>
  <c r="E1167" i="78"/>
  <c r="C1167" i="78"/>
  <c r="Q1166" i="78"/>
  <c r="M1166" i="78"/>
  <c r="G1166" i="78"/>
  <c r="G1179" i="78" s="1"/>
  <c r="E1166" i="78"/>
  <c r="C1166" i="78"/>
  <c r="Q1165" i="78"/>
  <c r="M1165" i="78"/>
  <c r="I1165" i="78"/>
  <c r="E1165" i="78"/>
  <c r="C1165" i="78"/>
  <c r="G1159" i="78"/>
  <c r="O1158" i="78"/>
  <c r="K1158" i="78"/>
  <c r="C1158" i="78"/>
  <c r="I1155" i="78"/>
  <c r="J1152" i="78"/>
  <c r="Q1151" i="78"/>
  <c r="P1127" i="78"/>
  <c r="O1127" i="78" s="1"/>
  <c r="J1127" i="78"/>
  <c r="I1127" i="78"/>
  <c r="F1127" i="78" s="1"/>
  <c r="B1100" i="78" s="1"/>
  <c r="P1126" i="78"/>
  <c r="O1126" i="78" s="1"/>
  <c r="J1126" i="78"/>
  <c r="I1126" i="78"/>
  <c r="F1126" i="78" s="1"/>
  <c r="B1099" i="78" s="1"/>
  <c r="N1125" i="78"/>
  <c r="P1125" i="78" s="1"/>
  <c r="O1125" i="78" s="1"/>
  <c r="J1125" i="78"/>
  <c r="G1125" i="78" s="1"/>
  <c r="C1098" i="78" s="1"/>
  <c r="I1125" i="78"/>
  <c r="F1125" i="78" s="1"/>
  <c r="B1098" i="78" s="1"/>
  <c r="N1124" i="78"/>
  <c r="P1124" i="78" s="1"/>
  <c r="O1124" i="78" s="1"/>
  <c r="J1124" i="78"/>
  <c r="G1124" i="78" s="1"/>
  <c r="I1124" i="78"/>
  <c r="F1124" i="78" s="1"/>
  <c r="B1097" i="78" s="1"/>
  <c r="N1123" i="78"/>
  <c r="P1123" i="78" s="1"/>
  <c r="O1123" i="78" s="1"/>
  <c r="J1123" i="78"/>
  <c r="G1123" i="78" s="1"/>
  <c r="C1096" i="78" s="1"/>
  <c r="I1123" i="78"/>
  <c r="F1123" i="78" s="1"/>
  <c r="B1096" i="78" s="1"/>
  <c r="N1122" i="78"/>
  <c r="P1122" i="78" s="1"/>
  <c r="O1122" i="78" s="1"/>
  <c r="J1122" i="78"/>
  <c r="I1122" i="78"/>
  <c r="F1122" i="78" s="1"/>
  <c r="B1095" i="78" s="1"/>
  <c r="N1121" i="78"/>
  <c r="P1121" i="78" s="1"/>
  <c r="O1121" i="78" s="1"/>
  <c r="J1121" i="78"/>
  <c r="I1121" i="78"/>
  <c r="F1121" i="78" s="1"/>
  <c r="N1120" i="78"/>
  <c r="P1120" i="78" s="1"/>
  <c r="O1120" i="78" s="1"/>
  <c r="J1120" i="78"/>
  <c r="I1120" i="78"/>
  <c r="F1120" i="78" s="1"/>
  <c r="B1093" i="78" s="1"/>
  <c r="P1119" i="78"/>
  <c r="O1119" i="78" s="1"/>
  <c r="J1119" i="78"/>
  <c r="G1119" i="78" s="1"/>
  <c r="C1092" i="78" s="1"/>
  <c r="I1119" i="78"/>
  <c r="F1119" i="78" s="1"/>
  <c r="B1092" i="78" s="1"/>
  <c r="P1118" i="78"/>
  <c r="O1118" i="78" s="1"/>
  <c r="J1118" i="78"/>
  <c r="G1118" i="78" s="1"/>
  <c r="C1091" i="78" s="1"/>
  <c r="I1118" i="78"/>
  <c r="F1118" i="78" s="1"/>
  <c r="B1091" i="78" s="1"/>
  <c r="N1117" i="78"/>
  <c r="P1117" i="78" s="1"/>
  <c r="O1117" i="78" s="1"/>
  <c r="J1117" i="78"/>
  <c r="I1117" i="78"/>
  <c r="F1117" i="78" s="1"/>
  <c r="B1090" i="78" s="1"/>
  <c r="P1116" i="78"/>
  <c r="O1116" i="78" s="1"/>
  <c r="J1116" i="78"/>
  <c r="G1116" i="78" s="1"/>
  <c r="C1089" i="78" s="1"/>
  <c r="I1116" i="78"/>
  <c r="F1116" i="78" s="1"/>
  <c r="B1089" i="78" s="1"/>
  <c r="B1110" i="78"/>
  <c r="B1107" i="78"/>
  <c r="Q1106" i="78"/>
  <c r="C1097" i="78"/>
  <c r="D1096" i="78"/>
  <c r="D1095" i="78"/>
  <c r="D1094" i="78"/>
  <c r="B1094" i="78"/>
  <c r="AE1086" i="78"/>
  <c r="B1085" i="78"/>
  <c r="B1082" i="78"/>
  <c r="Q1081" i="78"/>
  <c r="P1075" i="78"/>
  <c r="P1074" i="78"/>
  <c r="P1073" i="78"/>
  <c r="P1072" i="78"/>
  <c r="P1071" i="78"/>
  <c r="P1070" i="78"/>
  <c r="P1069" i="78"/>
  <c r="P1068" i="78"/>
  <c r="P1067" i="78"/>
  <c r="P1066" i="78"/>
  <c r="P1065" i="78"/>
  <c r="P1064" i="78"/>
  <c r="M1059" i="78"/>
  <c r="N1050" i="78"/>
  <c r="L1050" i="78"/>
  <c r="K1050" i="78"/>
  <c r="I1050" i="78"/>
  <c r="H1050" i="78"/>
  <c r="J1048" i="78"/>
  <c r="J1047" i="78"/>
  <c r="J1046" i="78"/>
  <c r="J1045" i="78"/>
  <c r="J1044" i="78"/>
  <c r="J1043" i="78"/>
  <c r="AR1042" i="78"/>
  <c r="AQ1042" i="78"/>
  <c r="AP1042" i="78"/>
  <c r="AO1042" i="78"/>
  <c r="AN1042" i="78"/>
  <c r="AM1042" i="78"/>
  <c r="AL1042" i="78"/>
  <c r="AK1042" i="78"/>
  <c r="AJ1042" i="78"/>
  <c r="AI1042" i="78"/>
  <c r="AH1042" i="78"/>
  <c r="AG1042" i="78"/>
  <c r="AF1042" i="78"/>
  <c r="AE1042" i="78"/>
  <c r="AD1042" i="78"/>
  <c r="J1042" i="78"/>
  <c r="J1041" i="78"/>
  <c r="J1040" i="78"/>
  <c r="J1039" i="78"/>
  <c r="J1038" i="78"/>
  <c r="J1037" i="78"/>
  <c r="AD1032" i="78"/>
  <c r="AD1029" i="78"/>
  <c r="B1029" i="78"/>
  <c r="AR1028" i="78"/>
  <c r="B1028" i="78"/>
  <c r="Q1027" i="78"/>
  <c r="AR1007" i="78"/>
  <c r="AQ1007" i="78"/>
  <c r="AP1007" i="78"/>
  <c r="AO1007" i="78"/>
  <c r="AN1007" i="78"/>
  <c r="AM1007" i="78"/>
  <c r="AL1007" i="78"/>
  <c r="AK1007" i="78"/>
  <c r="AJ1007" i="78"/>
  <c r="AI1007" i="78"/>
  <c r="AH1007" i="78"/>
  <c r="AG1007" i="78"/>
  <c r="AF1007" i="78"/>
  <c r="AE1007" i="78"/>
  <c r="AD1007" i="78"/>
  <c r="B1002" i="78"/>
  <c r="B999" i="78"/>
  <c r="Q998" i="78"/>
  <c r="AD997" i="78"/>
  <c r="AD994" i="78"/>
  <c r="AR993" i="78"/>
  <c r="AR976" i="78"/>
  <c r="AQ976" i="78"/>
  <c r="AP976" i="78"/>
  <c r="AO976" i="78"/>
  <c r="AG976" i="78"/>
  <c r="AF976" i="78"/>
  <c r="AE976" i="78"/>
  <c r="AD976" i="78"/>
  <c r="B976" i="78"/>
  <c r="B973" i="78"/>
  <c r="Q972" i="78"/>
  <c r="AR971" i="78"/>
  <c r="AG971" i="78"/>
  <c r="AS968" i="78"/>
  <c r="AH968" i="78"/>
  <c r="AS966" i="78"/>
  <c r="G963" i="78"/>
  <c r="F963" i="78"/>
  <c r="AD954" i="78" s="1"/>
  <c r="AO954" i="78" s="1"/>
  <c r="G962" i="78"/>
  <c r="F962" i="78"/>
  <c r="AD953" i="78" s="1"/>
  <c r="G961" i="78"/>
  <c r="F961" i="78"/>
  <c r="AD952" i="78" s="1"/>
  <c r="G960" i="78"/>
  <c r="F960" i="78"/>
  <c r="AD986" i="78" s="1"/>
  <c r="G959" i="78"/>
  <c r="F959" i="78"/>
  <c r="G958" i="78"/>
  <c r="F958" i="78"/>
  <c r="G957" i="78"/>
  <c r="F957" i="78"/>
  <c r="AD948" i="78" s="1"/>
  <c r="G956" i="78"/>
  <c r="F956" i="78"/>
  <c r="AD982" i="78" s="1"/>
  <c r="G955" i="78"/>
  <c r="F955" i="78"/>
  <c r="G954" i="78"/>
  <c r="F954" i="78"/>
  <c r="G953" i="78"/>
  <c r="F953" i="78"/>
  <c r="AD944" i="78" s="1"/>
  <c r="AO944" i="78" s="1"/>
  <c r="G952" i="78"/>
  <c r="F952" i="78"/>
  <c r="AD943" i="78" s="1"/>
  <c r="B947" i="78"/>
  <c r="B944" i="78"/>
  <c r="Q943" i="78"/>
  <c r="AF935" i="78"/>
  <c r="AS934" i="78"/>
  <c r="AN934" i="78"/>
  <c r="A925" i="78"/>
  <c r="A923" i="78"/>
  <c r="Q919" i="78"/>
  <c r="P913" i="78"/>
  <c r="O913" i="78"/>
  <c r="N913" i="78"/>
  <c r="L913" i="78"/>
  <c r="K913" i="78"/>
  <c r="J913" i="78"/>
  <c r="H913" i="78"/>
  <c r="G913" i="78"/>
  <c r="F913" i="78"/>
  <c r="D913" i="78"/>
  <c r="C913" i="78"/>
  <c r="B913" i="78"/>
  <c r="P912" i="78"/>
  <c r="O912" i="78"/>
  <c r="N912" i="78"/>
  <c r="L912" i="78"/>
  <c r="K912" i="78"/>
  <c r="J912" i="78"/>
  <c r="H912" i="78"/>
  <c r="G912" i="78"/>
  <c r="F912" i="78"/>
  <c r="D912" i="78"/>
  <c r="C912" i="78"/>
  <c r="B912" i="78"/>
  <c r="P911" i="78"/>
  <c r="O911" i="78"/>
  <c r="N911" i="78"/>
  <c r="L911" i="78"/>
  <c r="K911" i="78"/>
  <c r="J911" i="78"/>
  <c r="H911" i="78"/>
  <c r="G911" i="78"/>
  <c r="F911" i="78"/>
  <c r="D911" i="78"/>
  <c r="C911" i="78"/>
  <c r="B911" i="78"/>
  <c r="P910" i="78"/>
  <c r="O910" i="78"/>
  <c r="N910" i="78"/>
  <c r="L910" i="78"/>
  <c r="K910" i="78"/>
  <c r="J910" i="78"/>
  <c r="H910" i="78"/>
  <c r="G910" i="78"/>
  <c r="F910" i="78"/>
  <c r="D910" i="78"/>
  <c r="C910" i="78"/>
  <c r="B910" i="78"/>
  <c r="P909" i="78"/>
  <c r="O909" i="78"/>
  <c r="N909" i="78"/>
  <c r="L909" i="78"/>
  <c r="K909" i="78"/>
  <c r="J909" i="78"/>
  <c r="H909" i="78"/>
  <c r="G909" i="78"/>
  <c r="F909" i="78"/>
  <c r="D909" i="78"/>
  <c r="C909" i="78"/>
  <c r="B909" i="78"/>
  <c r="P908" i="78"/>
  <c r="O908" i="78"/>
  <c r="N908" i="78"/>
  <c r="L908" i="78"/>
  <c r="K908" i="78"/>
  <c r="J908" i="78"/>
  <c r="H908" i="78"/>
  <c r="G908" i="78"/>
  <c r="F908" i="78"/>
  <c r="D908" i="78"/>
  <c r="C908" i="78"/>
  <c r="B908" i="78"/>
  <c r="L905" i="78"/>
  <c r="K905" i="78"/>
  <c r="P904" i="78"/>
  <c r="O904" i="78"/>
  <c r="N904" i="78"/>
  <c r="L904" i="78"/>
  <c r="J904" i="78"/>
  <c r="H904" i="78"/>
  <c r="G904" i="78"/>
  <c r="F904" i="78"/>
  <c r="D904" i="78"/>
  <c r="C904" i="78"/>
  <c r="B904" i="78"/>
  <c r="P901" i="78"/>
  <c r="O901" i="78"/>
  <c r="N901" i="78"/>
  <c r="L901" i="78"/>
  <c r="K901" i="78"/>
  <c r="J901" i="78"/>
  <c r="H901" i="78"/>
  <c r="G901" i="78"/>
  <c r="F901" i="78"/>
  <c r="D901" i="78"/>
  <c r="C901" i="78"/>
  <c r="B901" i="78"/>
  <c r="P900" i="78"/>
  <c r="O900" i="78"/>
  <c r="N900" i="78"/>
  <c r="L900" i="78"/>
  <c r="K900" i="78"/>
  <c r="J900" i="78"/>
  <c r="H900" i="78"/>
  <c r="G900" i="78"/>
  <c r="F900" i="78"/>
  <c r="D900" i="78"/>
  <c r="C900" i="78"/>
  <c r="B900" i="78"/>
  <c r="P899" i="78"/>
  <c r="O899" i="78"/>
  <c r="N899" i="78"/>
  <c r="L899" i="78"/>
  <c r="K899" i="78"/>
  <c r="J899" i="78"/>
  <c r="H899" i="78"/>
  <c r="G899" i="78"/>
  <c r="F899" i="78"/>
  <c r="D899" i="78"/>
  <c r="C899" i="78"/>
  <c r="B899" i="78"/>
  <c r="P896" i="78"/>
  <c r="O896" i="78"/>
  <c r="N896" i="78"/>
  <c r="L896" i="78"/>
  <c r="K896" i="78"/>
  <c r="J896" i="78"/>
  <c r="H896" i="78"/>
  <c r="G896" i="78"/>
  <c r="F896" i="78"/>
  <c r="D896" i="78"/>
  <c r="C896" i="78"/>
  <c r="B896" i="78"/>
  <c r="P895" i="78"/>
  <c r="O895" i="78"/>
  <c r="N895" i="78"/>
  <c r="L895" i="78"/>
  <c r="K895" i="78"/>
  <c r="J895" i="78"/>
  <c r="H895" i="78"/>
  <c r="G895" i="78"/>
  <c r="F895" i="78"/>
  <c r="D895" i="78"/>
  <c r="C895" i="78"/>
  <c r="B895" i="78"/>
  <c r="P894" i="78"/>
  <c r="O894" i="78"/>
  <c r="N894" i="78"/>
  <c r="L894" i="78"/>
  <c r="K894" i="78"/>
  <c r="J894" i="78"/>
  <c r="H894" i="78"/>
  <c r="G894" i="78"/>
  <c r="F894" i="78"/>
  <c r="D894" i="78"/>
  <c r="C894" i="78"/>
  <c r="B894" i="78"/>
  <c r="P893" i="78"/>
  <c r="O893" i="78"/>
  <c r="N893" i="78"/>
  <c r="L893" i="78"/>
  <c r="K893" i="78"/>
  <c r="J893" i="78"/>
  <c r="H893" i="78"/>
  <c r="G893" i="78"/>
  <c r="F893" i="78"/>
  <c r="D893" i="78"/>
  <c r="C893" i="78"/>
  <c r="B893" i="78"/>
  <c r="P892" i="78"/>
  <c r="O892" i="78"/>
  <c r="N892" i="78"/>
  <c r="L892" i="78"/>
  <c r="K892" i="78"/>
  <c r="J892" i="78"/>
  <c r="H892" i="78"/>
  <c r="G892" i="78"/>
  <c r="F892" i="78"/>
  <c r="D892" i="78"/>
  <c r="C892" i="78"/>
  <c r="B892" i="78"/>
  <c r="A884" i="78"/>
  <c r="A882" i="78"/>
  <c r="Q878" i="78"/>
  <c r="Q871" i="78"/>
  <c r="M871" i="78"/>
  <c r="I871" i="78"/>
  <c r="E871" i="78"/>
  <c r="P869" i="78"/>
  <c r="O869" i="78"/>
  <c r="N869" i="78"/>
  <c r="L869" i="78"/>
  <c r="K869" i="78"/>
  <c r="J869" i="78"/>
  <c r="H869" i="78"/>
  <c r="G869" i="78"/>
  <c r="F869" i="78"/>
  <c r="D869" i="78"/>
  <c r="C869" i="78"/>
  <c r="B869" i="78"/>
  <c r="P868" i="78"/>
  <c r="O868" i="78"/>
  <c r="N868" i="78"/>
  <c r="L868" i="78"/>
  <c r="K868" i="78"/>
  <c r="J868" i="78"/>
  <c r="H868" i="78"/>
  <c r="G868" i="78"/>
  <c r="F868" i="78"/>
  <c r="D868" i="78"/>
  <c r="C868" i="78"/>
  <c r="B868" i="78"/>
  <c r="Q865" i="78"/>
  <c r="M865" i="78"/>
  <c r="I865" i="78"/>
  <c r="E865" i="78"/>
  <c r="Q864" i="78"/>
  <c r="M864" i="78"/>
  <c r="I864" i="78"/>
  <c r="E864" i="78"/>
  <c r="Q862" i="78"/>
  <c r="M862" i="78"/>
  <c r="I862" i="78"/>
  <c r="E862" i="78"/>
  <c r="Q861" i="78"/>
  <c r="M861" i="78"/>
  <c r="I861" i="78"/>
  <c r="E861" i="78"/>
  <c r="P858" i="78"/>
  <c r="O858" i="78"/>
  <c r="N858" i="78"/>
  <c r="L858" i="78"/>
  <c r="K858" i="78"/>
  <c r="J858" i="78"/>
  <c r="H858" i="78"/>
  <c r="G858" i="78"/>
  <c r="F858" i="78"/>
  <c r="D858" i="78"/>
  <c r="C858" i="78"/>
  <c r="B858" i="78"/>
  <c r="Q857" i="78"/>
  <c r="M857" i="78"/>
  <c r="I857" i="78"/>
  <c r="E857" i="78"/>
  <c r="Q856" i="78"/>
  <c r="M856" i="78"/>
  <c r="I856" i="78"/>
  <c r="E856" i="78"/>
  <c r="Q855" i="78"/>
  <c r="M855" i="78"/>
  <c r="I855" i="78"/>
  <c r="E855" i="78"/>
  <c r="Q853" i="78"/>
  <c r="M853" i="78"/>
  <c r="E853" i="78"/>
  <c r="Q851" i="78"/>
  <c r="M851" i="78"/>
  <c r="I851" i="78"/>
  <c r="E851" i="78"/>
  <c r="Q850" i="78"/>
  <c r="M850" i="78"/>
  <c r="I850" i="78"/>
  <c r="E850" i="78"/>
  <c r="P847" i="78"/>
  <c r="O847" i="78"/>
  <c r="N847" i="78"/>
  <c r="L847" i="78"/>
  <c r="K847" i="78"/>
  <c r="J847" i="78"/>
  <c r="H847" i="78"/>
  <c r="G847" i="78"/>
  <c r="F847" i="78"/>
  <c r="D847" i="78"/>
  <c r="C847" i="78"/>
  <c r="B847" i="78"/>
  <c r="Q845" i="78"/>
  <c r="M845" i="78"/>
  <c r="I845" i="78"/>
  <c r="E845" i="78"/>
  <c r="P842" i="78"/>
  <c r="O842" i="78"/>
  <c r="N842" i="78"/>
  <c r="L842" i="78"/>
  <c r="K842" i="78"/>
  <c r="J842" i="78"/>
  <c r="H842" i="78"/>
  <c r="G842" i="78"/>
  <c r="F842" i="78"/>
  <c r="D842" i="78"/>
  <c r="C842" i="78"/>
  <c r="B842" i="78"/>
  <c r="Q840" i="78"/>
  <c r="M840" i="78"/>
  <c r="I840" i="78"/>
  <c r="E840" i="78"/>
  <c r="Q837" i="78"/>
  <c r="M837" i="78"/>
  <c r="I837" i="78"/>
  <c r="E837" i="78"/>
  <c r="Q835" i="78"/>
  <c r="M835" i="78"/>
  <c r="I835" i="78"/>
  <c r="E835" i="78"/>
  <c r="Q834" i="78"/>
  <c r="M834" i="78"/>
  <c r="I834" i="78"/>
  <c r="E834" i="78"/>
  <c r="Q833" i="78"/>
  <c r="M833" i="78"/>
  <c r="I833" i="78"/>
  <c r="E833" i="78"/>
  <c r="Q832" i="78"/>
  <c r="M832" i="78"/>
  <c r="I832" i="78"/>
  <c r="E832" i="78"/>
  <c r="Q820" i="78"/>
  <c r="M820" i="78"/>
  <c r="I820" i="78"/>
  <c r="E820" i="78"/>
  <c r="Q819" i="78"/>
  <c r="M819" i="78"/>
  <c r="I819" i="78"/>
  <c r="E819" i="78"/>
  <c r="P817" i="78"/>
  <c r="O817" i="78"/>
  <c r="N817" i="78"/>
  <c r="L817" i="78"/>
  <c r="K817" i="78"/>
  <c r="J817" i="78"/>
  <c r="H817" i="78"/>
  <c r="G817" i="78"/>
  <c r="F817" i="78"/>
  <c r="D817" i="78"/>
  <c r="C817" i="78"/>
  <c r="B817" i="78"/>
  <c r="P816" i="78"/>
  <c r="O816" i="78"/>
  <c r="N816" i="78"/>
  <c r="L816" i="78"/>
  <c r="K816" i="78"/>
  <c r="J816" i="78"/>
  <c r="H816" i="78"/>
  <c r="G816" i="78"/>
  <c r="F816" i="78"/>
  <c r="D816" i="78"/>
  <c r="C816" i="78"/>
  <c r="B816" i="78"/>
  <c r="P810" i="78"/>
  <c r="O810" i="78"/>
  <c r="N810" i="78"/>
  <c r="L810" i="78"/>
  <c r="K810" i="78"/>
  <c r="J810" i="78"/>
  <c r="H810" i="78"/>
  <c r="G810" i="78"/>
  <c r="F810" i="78"/>
  <c r="D810" i="78"/>
  <c r="C810" i="78"/>
  <c r="B810" i="78"/>
  <c r="P806" i="78"/>
  <c r="O806" i="78"/>
  <c r="N806" i="78"/>
  <c r="L806" i="78"/>
  <c r="K806" i="78"/>
  <c r="J806" i="78"/>
  <c r="H806" i="78"/>
  <c r="G806" i="78"/>
  <c r="F806" i="78"/>
  <c r="D806" i="78"/>
  <c r="C806" i="78"/>
  <c r="B806" i="78"/>
  <c r="P802" i="78"/>
  <c r="O802" i="78"/>
  <c r="N802" i="78"/>
  <c r="L802" i="78"/>
  <c r="K802" i="78"/>
  <c r="J802" i="78"/>
  <c r="H802" i="78"/>
  <c r="G802" i="78"/>
  <c r="F802" i="78"/>
  <c r="D802" i="78"/>
  <c r="C802" i="78"/>
  <c r="B802" i="78"/>
  <c r="Q798" i="78"/>
  <c r="M798" i="78"/>
  <c r="I798" i="78"/>
  <c r="E798" i="78"/>
  <c r="P788" i="78"/>
  <c r="O788" i="78"/>
  <c r="N788" i="78"/>
  <c r="L788" i="78"/>
  <c r="K788" i="78"/>
  <c r="J788" i="78"/>
  <c r="H788" i="78"/>
  <c r="G788" i="78"/>
  <c r="F788" i="78"/>
  <c r="D788" i="78"/>
  <c r="C788" i="78"/>
  <c r="B788" i="78"/>
  <c r="Q786" i="78"/>
  <c r="M786" i="78"/>
  <c r="I786" i="78"/>
  <c r="E786" i="78"/>
  <c r="Q776" i="78"/>
  <c r="M776" i="78"/>
  <c r="I776" i="78"/>
  <c r="E776" i="78"/>
  <c r="P774" i="78"/>
  <c r="O774" i="78"/>
  <c r="N774" i="78"/>
  <c r="L774" i="78"/>
  <c r="K774" i="78"/>
  <c r="J774" i="78"/>
  <c r="H774" i="78"/>
  <c r="G774" i="78"/>
  <c r="F774" i="78"/>
  <c r="D774" i="78"/>
  <c r="C774" i="78"/>
  <c r="B774" i="78"/>
  <c r="P773" i="78"/>
  <c r="O773" i="78"/>
  <c r="N773" i="78"/>
  <c r="L773" i="78"/>
  <c r="K773" i="78"/>
  <c r="J773" i="78"/>
  <c r="H773" i="78"/>
  <c r="G773" i="78"/>
  <c r="F773" i="78"/>
  <c r="D773" i="78"/>
  <c r="C773" i="78"/>
  <c r="B773" i="78"/>
  <c r="Q770" i="78"/>
  <c r="M770" i="78"/>
  <c r="I770" i="78"/>
  <c r="E770" i="78"/>
  <c r="Q769" i="78"/>
  <c r="M769" i="78"/>
  <c r="I769" i="78"/>
  <c r="E769" i="78"/>
  <c r="Q768" i="78"/>
  <c r="M768" i="78"/>
  <c r="I768" i="78"/>
  <c r="E768" i="78"/>
  <c r="Q767" i="78"/>
  <c r="M767" i="78"/>
  <c r="I767" i="78"/>
  <c r="E767" i="78"/>
  <c r="P763" i="78"/>
  <c r="O763" i="78"/>
  <c r="N763" i="78"/>
  <c r="L763" i="78"/>
  <c r="J763" i="78"/>
  <c r="H763" i="78"/>
  <c r="G763" i="78"/>
  <c r="F763" i="78"/>
  <c r="D763" i="78"/>
  <c r="C763" i="78"/>
  <c r="B763" i="78"/>
  <c r="Q762" i="78"/>
  <c r="M762" i="78"/>
  <c r="I762" i="78"/>
  <c r="E762" i="78"/>
  <c r="Q761" i="78"/>
  <c r="M761" i="78"/>
  <c r="I761" i="78"/>
  <c r="E761" i="78"/>
  <c r="Q760" i="78"/>
  <c r="M760" i="78"/>
  <c r="I760" i="78"/>
  <c r="E760" i="78"/>
  <c r="Q759" i="78"/>
  <c r="M759" i="78"/>
  <c r="I759" i="78"/>
  <c r="E759" i="78"/>
  <c r="Q758" i="78"/>
  <c r="M758" i="78"/>
  <c r="I758" i="78"/>
  <c r="E758" i="78"/>
  <c r="Q757" i="78"/>
  <c r="M757" i="78"/>
  <c r="I757" i="78"/>
  <c r="E757" i="78"/>
  <c r="Q756" i="78"/>
  <c r="M756" i="78"/>
  <c r="I756" i="78"/>
  <c r="E756" i="78"/>
  <c r="Q755" i="78"/>
  <c r="M755" i="78"/>
  <c r="E755" i="78"/>
  <c r="Q754" i="78"/>
  <c r="M754" i="78"/>
  <c r="I754" i="78"/>
  <c r="E754" i="78"/>
  <c r="Q752" i="78"/>
  <c r="M752" i="78"/>
  <c r="K904" i="78"/>
  <c r="I752" i="78"/>
  <c r="E752" i="78"/>
  <c r="P749" i="78"/>
  <c r="O749" i="78"/>
  <c r="N749" i="78"/>
  <c r="L749" i="78"/>
  <c r="K749" i="78"/>
  <c r="J749" i="78"/>
  <c r="H749" i="78"/>
  <c r="G749" i="78"/>
  <c r="F749" i="78"/>
  <c r="D749" i="78"/>
  <c r="C749" i="78"/>
  <c r="B749" i="78"/>
  <c r="P745" i="78"/>
  <c r="O745" i="78"/>
  <c r="N745" i="78"/>
  <c r="G745" i="78"/>
  <c r="Q741" i="78"/>
  <c r="M741" i="78"/>
  <c r="I741" i="78"/>
  <c r="E741" i="78"/>
  <c r="Q740" i="78"/>
  <c r="M740" i="78"/>
  <c r="I740" i="78"/>
  <c r="E740" i="78"/>
  <c r="Q739" i="78"/>
  <c r="M739" i="78"/>
  <c r="I739" i="78"/>
  <c r="E739" i="78"/>
  <c r="Q738" i="78"/>
  <c r="M738" i="78"/>
  <c r="I738" i="78"/>
  <c r="E738" i="78"/>
  <c r="Q737" i="78"/>
  <c r="M737" i="78"/>
  <c r="I737" i="78"/>
  <c r="E737" i="78"/>
  <c r="Q736" i="78"/>
  <c r="L745" i="78"/>
  <c r="K745" i="78"/>
  <c r="J745" i="78"/>
  <c r="H745" i="78"/>
  <c r="I736" i="78"/>
  <c r="D745" i="78"/>
  <c r="C745" i="78"/>
  <c r="B745" i="78"/>
  <c r="Q724" i="78"/>
  <c r="M724" i="78"/>
  <c r="I724" i="78"/>
  <c r="E724" i="78"/>
  <c r="P722" i="78"/>
  <c r="O722" i="78"/>
  <c r="N722" i="78"/>
  <c r="L722" i="78"/>
  <c r="K722" i="78"/>
  <c r="J722" i="78"/>
  <c r="H722" i="78"/>
  <c r="G722" i="78"/>
  <c r="F722" i="78"/>
  <c r="D722" i="78"/>
  <c r="C722" i="78"/>
  <c r="B722" i="78"/>
  <c r="P721" i="78"/>
  <c r="O721" i="78"/>
  <c r="N721" i="78"/>
  <c r="L721" i="78"/>
  <c r="K721" i="78"/>
  <c r="J721" i="78"/>
  <c r="H721" i="78"/>
  <c r="G721" i="78"/>
  <c r="F721" i="78"/>
  <c r="D721" i="78"/>
  <c r="C721" i="78"/>
  <c r="B721" i="78"/>
  <c r="Q718" i="78"/>
  <c r="M718" i="78"/>
  <c r="I718" i="78"/>
  <c r="E718" i="78"/>
  <c r="P714" i="78"/>
  <c r="O714" i="78"/>
  <c r="N714" i="78"/>
  <c r="L714" i="78"/>
  <c r="K714" i="78"/>
  <c r="J714" i="78"/>
  <c r="H714" i="78"/>
  <c r="G714" i="78"/>
  <c r="F714" i="78"/>
  <c r="D714" i="78"/>
  <c r="C714" i="78"/>
  <c r="B714" i="78"/>
  <c r="P710" i="78"/>
  <c r="O710" i="78"/>
  <c r="N710" i="78"/>
  <c r="L710" i="78"/>
  <c r="K710" i="78"/>
  <c r="J710" i="78"/>
  <c r="H710" i="78"/>
  <c r="G710" i="78"/>
  <c r="F710" i="78"/>
  <c r="D710" i="78"/>
  <c r="C710" i="78"/>
  <c r="B710" i="78"/>
  <c r="P706" i="78"/>
  <c r="O706" i="78"/>
  <c r="N706" i="78"/>
  <c r="L706" i="78"/>
  <c r="K706" i="78"/>
  <c r="J706" i="78"/>
  <c r="H706" i="78"/>
  <c r="G706" i="78"/>
  <c r="F706" i="78"/>
  <c r="D706" i="78"/>
  <c r="C706" i="78"/>
  <c r="B706" i="78"/>
  <c r="Q702" i="78"/>
  <c r="M702" i="78"/>
  <c r="I702" i="78"/>
  <c r="E702" i="78"/>
  <c r="Q701" i="78"/>
  <c r="M701" i="78"/>
  <c r="I701" i="78"/>
  <c r="E701" i="78"/>
  <c r="Q700" i="78"/>
  <c r="M700" i="78"/>
  <c r="I700" i="78"/>
  <c r="E700" i="78"/>
  <c r="P690" i="78"/>
  <c r="O690" i="78"/>
  <c r="N690" i="78"/>
  <c r="L690" i="78"/>
  <c r="K690" i="78"/>
  <c r="J690" i="78"/>
  <c r="H690" i="78"/>
  <c r="G690" i="78"/>
  <c r="F690" i="78"/>
  <c r="D690" i="78"/>
  <c r="C690" i="78"/>
  <c r="B690" i="78"/>
  <c r="Q688" i="78"/>
  <c r="M688" i="78"/>
  <c r="I688" i="78"/>
  <c r="E688" i="78"/>
  <c r="Q678" i="78"/>
  <c r="M678" i="78"/>
  <c r="I678" i="78"/>
  <c r="E678" i="78"/>
  <c r="P676" i="78"/>
  <c r="O676" i="78"/>
  <c r="N676" i="78"/>
  <c r="L676" i="78"/>
  <c r="K676" i="78"/>
  <c r="J676" i="78"/>
  <c r="H676" i="78"/>
  <c r="G676" i="78"/>
  <c r="F676" i="78"/>
  <c r="D676" i="78"/>
  <c r="C676" i="78"/>
  <c r="B676" i="78"/>
  <c r="P675" i="78"/>
  <c r="O675" i="78"/>
  <c r="N675" i="78"/>
  <c r="L675" i="78"/>
  <c r="K675" i="78"/>
  <c r="J675" i="78"/>
  <c r="H675" i="78"/>
  <c r="G675" i="78"/>
  <c r="F675" i="78"/>
  <c r="D675" i="78"/>
  <c r="C675" i="78"/>
  <c r="B675" i="78"/>
  <c r="Q674" i="78"/>
  <c r="M674" i="78"/>
  <c r="I674" i="78"/>
  <c r="E674" i="78"/>
  <c r="Q673" i="78"/>
  <c r="M673" i="78"/>
  <c r="I673" i="78"/>
  <c r="E673" i="78"/>
  <c r="Q672" i="78"/>
  <c r="M672" i="78"/>
  <c r="I672" i="78"/>
  <c r="E672" i="78"/>
  <c r="Q670" i="78"/>
  <c r="M670" i="78"/>
  <c r="I670" i="78"/>
  <c r="E670" i="78"/>
  <c r="Q669" i="78"/>
  <c r="M669" i="78"/>
  <c r="I669" i="78"/>
  <c r="E669" i="78"/>
  <c r="Q667" i="78"/>
  <c r="M667" i="78"/>
  <c r="I667" i="78"/>
  <c r="E667" i="78"/>
  <c r="Q666" i="78"/>
  <c r="M666" i="78"/>
  <c r="I666" i="78"/>
  <c r="E666" i="78"/>
  <c r="Q665" i="78"/>
  <c r="M665" i="78"/>
  <c r="I665" i="78"/>
  <c r="E665" i="78"/>
  <c r="Q664" i="78"/>
  <c r="M664" i="78"/>
  <c r="I664" i="78"/>
  <c r="E664" i="78"/>
  <c r="Q662" i="78"/>
  <c r="M662" i="78"/>
  <c r="I662" i="78"/>
  <c r="E662" i="78"/>
  <c r="Q661" i="78"/>
  <c r="M661" i="78"/>
  <c r="I661" i="78"/>
  <c r="E661" i="78"/>
  <c r="P658" i="78"/>
  <c r="O658" i="78"/>
  <c r="N658" i="78"/>
  <c r="L658" i="78"/>
  <c r="K658" i="78"/>
  <c r="J658" i="78"/>
  <c r="H658" i="78"/>
  <c r="G658" i="78"/>
  <c r="F658" i="78"/>
  <c r="D658" i="78"/>
  <c r="C658" i="78"/>
  <c r="B658" i="78"/>
  <c r="Q657" i="78"/>
  <c r="M657" i="78"/>
  <c r="I657" i="78"/>
  <c r="E657" i="78"/>
  <c r="Q656" i="78"/>
  <c r="M656" i="78"/>
  <c r="I656" i="78"/>
  <c r="E656" i="78"/>
  <c r="Q655" i="78"/>
  <c r="M655" i="78"/>
  <c r="I655" i="78"/>
  <c r="E655" i="78"/>
  <c r="Q654" i="78"/>
  <c r="M654" i="78"/>
  <c r="I654" i="78"/>
  <c r="E654" i="78"/>
  <c r="Q653" i="78"/>
  <c r="M653" i="78"/>
  <c r="E653" i="78"/>
  <c r="Q652" i="78"/>
  <c r="M652" i="78"/>
  <c r="E652" i="78"/>
  <c r="P648" i="78"/>
  <c r="O648" i="78"/>
  <c r="N648" i="78"/>
  <c r="L648" i="78"/>
  <c r="K648" i="78"/>
  <c r="J648" i="78"/>
  <c r="H648" i="78"/>
  <c r="G648" i="78"/>
  <c r="F648" i="78"/>
  <c r="D648" i="78"/>
  <c r="C648" i="78"/>
  <c r="B648" i="78"/>
  <c r="Q646" i="78"/>
  <c r="M646" i="78"/>
  <c r="I646" i="78"/>
  <c r="E646" i="78"/>
  <c r="Q645" i="78"/>
  <c r="M645" i="78"/>
  <c r="I645" i="78"/>
  <c r="E645" i="78"/>
  <c r="P642" i="78"/>
  <c r="O642" i="78"/>
  <c r="N642" i="78"/>
  <c r="L642" i="78"/>
  <c r="K642" i="78"/>
  <c r="J642" i="78"/>
  <c r="H642" i="78"/>
  <c r="G642" i="78"/>
  <c r="F642" i="78"/>
  <c r="D642" i="78"/>
  <c r="C642" i="78"/>
  <c r="B642" i="78"/>
  <c r="Q640" i="78"/>
  <c r="M640" i="78"/>
  <c r="I640" i="78"/>
  <c r="E640" i="78"/>
  <c r="Q638" i="78"/>
  <c r="M638" i="78"/>
  <c r="I638" i="78"/>
  <c r="E638" i="78"/>
  <c r="Q636" i="78"/>
  <c r="M636" i="78"/>
  <c r="I636" i="78"/>
  <c r="E636" i="78"/>
  <c r="M635" i="78"/>
  <c r="E635" i="78"/>
  <c r="Q633" i="78"/>
  <c r="M633" i="78"/>
  <c r="I633" i="78"/>
  <c r="E633" i="78"/>
  <c r="Q632" i="78"/>
  <c r="M632" i="78"/>
  <c r="I632" i="78"/>
  <c r="E632" i="78"/>
  <c r="Q631" i="78"/>
  <c r="M631" i="78"/>
  <c r="I631" i="78"/>
  <c r="E631" i="78"/>
  <c r="Q630" i="78"/>
  <c r="M630" i="78"/>
  <c r="I630" i="78"/>
  <c r="E630" i="78"/>
  <c r="Q629" i="78"/>
  <c r="M629" i="78"/>
  <c r="I629" i="78"/>
  <c r="E629" i="78"/>
  <c r="Q628" i="78"/>
  <c r="M628" i="78"/>
  <c r="I628" i="78"/>
  <c r="E628" i="78"/>
  <c r="Q627" i="78"/>
  <c r="M627" i="78"/>
  <c r="I627" i="78"/>
  <c r="E627" i="78"/>
  <c r="Q626" i="78"/>
  <c r="M626" i="78"/>
  <c r="I626" i="78"/>
  <c r="E626" i="78"/>
  <c r="Q625" i="78"/>
  <c r="M625" i="78"/>
  <c r="I625" i="78"/>
  <c r="E625" i="78"/>
  <c r="Q624" i="78"/>
  <c r="M624" i="78"/>
  <c r="I624" i="78"/>
  <c r="E624" i="78"/>
  <c r="Q612" i="78"/>
  <c r="M612" i="78"/>
  <c r="I612" i="78"/>
  <c r="E612" i="78"/>
  <c r="P610" i="78"/>
  <c r="O610" i="78"/>
  <c r="N610" i="78"/>
  <c r="L610" i="78"/>
  <c r="K610" i="78"/>
  <c r="J610" i="78"/>
  <c r="H610" i="78"/>
  <c r="G610" i="78"/>
  <c r="F610" i="78"/>
  <c r="D610" i="78"/>
  <c r="C610" i="78"/>
  <c r="B610" i="78"/>
  <c r="P609" i="78"/>
  <c r="O609" i="78"/>
  <c r="N609" i="78"/>
  <c r="L609" i="78"/>
  <c r="K609" i="78"/>
  <c r="J609" i="78"/>
  <c r="H609" i="78"/>
  <c r="G609" i="78"/>
  <c r="F609" i="78"/>
  <c r="D609" i="78"/>
  <c r="C609" i="78"/>
  <c r="B609" i="78"/>
  <c r="Q608" i="78"/>
  <c r="M608" i="78"/>
  <c r="I608" i="78"/>
  <c r="E608" i="78"/>
  <c r="Q607" i="78"/>
  <c r="M607" i="78"/>
  <c r="I607" i="78"/>
  <c r="E607" i="78"/>
  <c r="Q606" i="78"/>
  <c r="M606" i="78"/>
  <c r="I606" i="78"/>
  <c r="E606" i="78"/>
  <c r="Q605" i="78"/>
  <c r="M605" i="78"/>
  <c r="I605" i="78"/>
  <c r="E605" i="78"/>
  <c r="Q603" i="78"/>
  <c r="M603" i="78"/>
  <c r="I603" i="78"/>
  <c r="E603" i="78"/>
  <c r="P598" i="78"/>
  <c r="O598" i="78"/>
  <c r="N598" i="78"/>
  <c r="L598" i="78"/>
  <c r="K598" i="78"/>
  <c r="J598" i="78"/>
  <c r="H598" i="78"/>
  <c r="G598" i="78"/>
  <c r="F598" i="78"/>
  <c r="D598" i="78"/>
  <c r="C598" i="78"/>
  <c r="B598" i="78"/>
  <c r="Q597" i="78"/>
  <c r="M597" i="78"/>
  <c r="I597" i="78"/>
  <c r="E597" i="78"/>
  <c r="P593" i="78"/>
  <c r="O593" i="78"/>
  <c r="N593" i="78"/>
  <c r="L593" i="78"/>
  <c r="K593" i="78"/>
  <c r="J593" i="78"/>
  <c r="H593" i="78"/>
  <c r="G593" i="78"/>
  <c r="F593" i="78"/>
  <c r="D593" i="78"/>
  <c r="C593" i="78"/>
  <c r="B593" i="78"/>
  <c r="Q591" i="78"/>
  <c r="M591" i="78"/>
  <c r="I591" i="78"/>
  <c r="E591" i="78"/>
  <c r="Q590" i="78"/>
  <c r="M590" i="78"/>
  <c r="I590" i="78"/>
  <c r="E590" i="78"/>
  <c r="P587" i="78"/>
  <c r="O587" i="78"/>
  <c r="N587" i="78"/>
  <c r="L587" i="78"/>
  <c r="K587" i="78"/>
  <c r="J587" i="78"/>
  <c r="H587" i="78"/>
  <c r="G587" i="78"/>
  <c r="F587" i="78"/>
  <c r="D587" i="78"/>
  <c r="C587" i="78"/>
  <c r="B587" i="78"/>
  <c r="Q583" i="78"/>
  <c r="M583" i="78"/>
  <c r="I583" i="78"/>
  <c r="E583" i="78"/>
  <c r="Q582" i="78"/>
  <c r="M582" i="78"/>
  <c r="I582" i="78"/>
  <c r="E582" i="78"/>
  <c r="Q581" i="78"/>
  <c r="M581" i="78"/>
  <c r="I581" i="78"/>
  <c r="E581" i="78"/>
  <c r="Q580" i="78"/>
  <c r="M580" i="78"/>
  <c r="I580" i="78"/>
  <c r="E580" i="78"/>
  <c r="Q579" i="78"/>
  <c r="M579" i="78"/>
  <c r="I579" i="78"/>
  <c r="E579" i="78"/>
  <c r="Q567" i="78"/>
  <c r="M567" i="78"/>
  <c r="I567" i="78"/>
  <c r="E567" i="78"/>
  <c r="P565" i="78"/>
  <c r="O565" i="78"/>
  <c r="N565" i="78"/>
  <c r="L565" i="78"/>
  <c r="K565" i="78"/>
  <c r="J565" i="78"/>
  <c r="H565" i="78"/>
  <c r="G565" i="78"/>
  <c r="F565" i="78"/>
  <c r="D565" i="78"/>
  <c r="C565" i="78"/>
  <c r="B565" i="78"/>
  <c r="P564" i="78"/>
  <c r="O564" i="78"/>
  <c r="N564" i="78"/>
  <c r="L564" i="78"/>
  <c r="K564" i="78"/>
  <c r="J564" i="78"/>
  <c r="H564" i="78"/>
  <c r="G564" i="78"/>
  <c r="F564" i="78"/>
  <c r="D564" i="78"/>
  <c r="C564" i="78"/>
  <c r="B564" i="78"/>
  <c r="Q563" i="78"/>
  <c r="M563" i="78"/>
  <c r="I563" i="78"/>
  <c r="E563" i="78"/>
  <c r="Q562" i="78"/>
  <c r="M562" i="78"/>
  <c r="I562" i="78"/>
  <c r="E562" i="78"/>
  <c r="P556" i="78"/>
  <c r="O556" i="78"/>
  <c r="N556" i="78"/>
  <c r="L556" i="78"/>
  <c r="K556" i="78"/>
  <c r="J556" i="78"/>
  <c r="H556" i="78"/>
  <c r="G556" i="78"/>
  <c r="F556" i="78"/>
  <c r="D556" i="78"/>
  <c r="C556" i="78"/>
  <c r="B556" i="78"/>
  <c r="Q555" i="78"/>
  <c r="M555" i="78"/>
  <c r="I555" i="78"/>
  <c r="E555" i="78"/>
  <c r="Q553" i="78"/>
  <c r="M553" i="78"/>
  <c r="I553" i="78"/>
  <c r="E553" i="78"/>
  <c r="P549" i="78"/>
  <c r="O549" i="78"/>
  <c r="N549" i="78"/>
  <c r="L549" i="78"/>
  <c r="K549" i="78"/>
  <c r="J549" i="78"/>
  <c r="H549" i="78"/>
  <c r="G549" i="78"/>
  <c r="F549" i="78"/>
  <c r="D549" i="78"/>
  <c r="C549" i="78"/>
  <c r="B549" i="78"/>
  <c r="Q547" i="78"/>
  <c r="M547" i="78"/>
  <c r="I547" i="78"/>
  <c r="E547" i="78"/>
  <c r="P544" i="78"/>
  <c r="O544" i="78"/>
  <c r="N544" i="78"/>
  <c r="L544" i="78"/>
  <c r="K544" i="78"/>
  <c r="J544" i="78"/>
  <c r="H544" i="78"/>
  <c r="G544" i="78"/>
  <c r="F544" i="78"/>
  <c r="D544" i="78"/>
  <c r="C544" i="78"/>
  <c r="B544" i="78"/>
  <c r="Q541" i="78"/>
  <c r="M541" i="78"/>
  <c r="I541" i="78"/>
  <c r="E541" i="78"/>
  <c r="Q540" i="78"/>
  <c r="M540" i="78"/>
  <c r="I540" i="78"/>
  <c r="E540" i="78"/>
  <c r="Q538" i="78"/>
  <c r="M538" i="78"/>
  <c r="I538" i="78"/>
  <c r="E538" i="78"/>
  <c r="Q537" i="78"/>
  <c r="M537" i="78"/>
  <c r="I537" i="78"/>
  <c r="E537" i="78"/>
  <c r="Q536" i="78"/>
  <c r="M536" i="78"/>
  <c r="I536" i="78"/>
  <c r="E536" i="78"/>
  <c r="Q535" i="78"/>
  <c r="M535" i="78"/>
  <c r="I535" i="78"/>
  <c r="E535" i="78"/>
  <c r="Q534" i="78"/>
  <c r="M534" i="78"/>
  <c r="I534" i="78"/>
  <c r="E534" i="78"/>
  <c r="Q516" i="78"/>
  <c r="M516" i="78"/>
  <c r="I516" i="78"/>
  <c r="E516" i="78"/>
  <c r="Q515" i="78"/>
  <c r="M515" i="78"/>
  <c r="I515" i="78"/>
  <c r="E515" i="78"/>
  <c r="Q514" i="78"/>
  <c r="M514" i="78"/>
  <c r="I514" i="78"/>
  <c r="E514" i="78"/>
  <c r="P512" i="78"/>
  <c r="O512" i="78"/>
  <c r="N512" i="78"/>
  <c r="L512" i="78"/>
  <c r="K512" i="78"/>
  <c r="J512" i="78"/>
  <c r="H512" i="78"/>
  <c r="G512" i="78"/>
  <c r="F512" i="78"/>
  <c r="D512" i="78"/>
  <c r="C512" i="78"/>
  <c r="B512" i="78"/>
  <c r="P511" i="78"/>
  <c r="O511" i="78"/>
  <c r="N511" i="78"/>
  <c r="L511" i="78"/>
  <c r="K511" i="78"/>
  <c r="J511" i="78"/>
  <c r="H511" i="78"/>
  <c r="G511" i="78"/>
  <c r="F511" i="78"/>
  <c r="D511" i="78"/>
  <c r="C511" i="78"/>
  <c r="B511" i="78"/>
  <c r="Q510" i="78"/>
  <c r="M510" i="78"/>
  <c r="I510" i="78"/>
  <c r="E510" i="78"/>
  <c r="Q509" i="78"/>
  <c r="M509" i="78"/>
  <c r="I509" i="78"/>
  <c r="E509" i="78"/>
  <c r="Q508" i="78"/>
  <c r="M508" i="78"/>
  <c r="I508" i="78"/>
  <c r="E508" i="78"/>
  <c r="Q507" i="78"/>
  <c r="M507" i="78"/>
  <c r="I507" i="78"/>
  <c r="E507" i="78"/>
  <c r="Q506" i="78"/>
  <c r="M506" i="78"/>
  <c r="I506" i="78"/>
  <c r="E506" i="78"/>
  <c r="Q505" i="78"/>
  <c r="M505" i="78"/>
  <c r="I505" i="78"/>
  <c r="E505" i="78"/>
  <c r="Q504" i="78"/>
  <c r="M504" i="78"/>
  <c r="I504" i="78"/>
  <c r="E504" i="78"/>
  <c r="Q503" i="78"/>
  <c r="M503" i="78"/>
  <c r="I503" i="78"/>
  <c r="E503" i="78"/>
  <c r="Q502" i="78"/>
  <c r="M502" i="78"/>
  <c r="I502" i="78"/>
  <c r="E502" i="78"/>
  <c r="Q501" i="78"/>
  <c r="M501" i="78"/>
  <c r="I501" i="78"/>
  <c r="E501" i="78"/>
  <c r="Q499" i="78"/>
  <c r="M499" i="78"/>
  <c r="I499" i="78"/>
  <c r="E499" i="78"/>
  <c r="Q498" i="78"/>
  <c r="M498" i="78"/>
  <c r="I498" i="78"/>
  <c r="E498" i="78"/>
  <c r="Q497" i="78"/>
  <c r="M497" i="78"/>
  <c r="I497" i="78"/>
  <c r="E497" i="78"/>
  <c r="Q496" i="78"/>
  <c r="M496" i="78"/>
  <c r="I496" i="78"/>
  <c r="E496" i="78"/>
  <c r="Q495" i="78"/>
  <c r="M495" i="78"/>
  <c r="I495" i="78"/>
  <c r="E495" i="78"/>
  <c r="Q494" i="78"/>
  <c r="M494" i="78"/>
  <c r="I494" i="78"/>
  <c r="E494" i="78"/>
  <c r="Q492" i="78"/>
  <c r="M492" i="78"/>
  <c r="I492" i="78"/>
  <c r="E492" i="78"/>
  <c r="Q491" i="78"/>
  <c r="M491" i="78"/>
  <c r="I491" i="78"/>
  <c r="E491" i="78"/>
  <c r="Q489" i="78"/>
  <c r="M489" i="78"/>
  <c r="I489" i="78"/>
  <c r="E489" i="78"/>
  <c r="P486" i="78"/>
  <c r="O486" i="78"/>
  <c r="N486" i="78"/>
  <c r="L486" i="78"/>
  <c r="K486" i="78"/>
  <c r="J486" i="78"/>
  <c r="F486" i="78"/>
  <c r="B486" i="78"/>
  <c r="Q485" i="78"/>
  <c r="M485" i="78"/>
  <c r="I485" i="78"/>
  <c r="E485" i="78"/>
  <c r="Q484" i="78"/>
  <c r="M484" i="78"/>
  <c r="I484" i="78"/>
  <c r="E484" i="78"/>
  <c r="Q483" i="78"/>
  <c r="M483" i="78"/>
  <c r="I483" i="78"/>
  <c r="E483" i="78"/>
  <c r="Q482" i="78"/>
  <c r="M482" i="78"/>
  <c r="I482" i="78"/>
  <c r="E482" i="78"/>
  <c r="Q481" i="78"/>
  <c r="M481" i="78"/>
  <c r="I481" i="78"/>
  <c r="E481" i="78"/>
  <c r="Q480" i="78"/>
  <c r="M480" i="78"/>
  <c r="I480" i="78"/>
  <c r="E480" i="78"/>
  <c r="Q479" i="78"/>
  <c r="M479" i="78"/>
  <c r="I479" i="78"/>
  <c r="E479" i="78"/>
  <c r="Q478" i="78"/>
  <c r="M478" i="78"/>
  <c r="I478" i="78"/>
  <c r="E478" i="78"/>
  <c r="Q477" i="78"/>
  <c r="M477" i="78"/>
  <c r="I477" i="78"/>
  <c r="E477" i="78"/>
  <c r="Q476" i="78"/>
  <c r="M476" i="78"/>
  <c r="I476" i="78"/>
  <c r="E476" i="78"/>
  <c r="Q475" i="78"/>
  <c r="M475" i="78"/>
  <c r="I475" i="78"/>
  <c r="E475" i="78"/>
  <c r="Q473" i="78"/>
  <c r="M473" i="78"/>
  <c r="I473" i="78"/>
  <c r="E473" i="78"/>
  <c r="Q472" i="78"/>
  <c r="M472" i="78"/>
  <c r="I472" i="78"/>
  <c r="E472" i="78"/>
  <c r="Q471" i="78"/>
  <c r="M471" i="78"/>
  <c r="I471" i="78"/>
  <c r="E471" i="78"/>
  <c r="Q470" i="78"/>
  <c r="M470" i="78"/>
  <c r="I470" i="78"/>
  <c r="E470" i="78"/>
  <c r="Q469" i="78"/>
  <c r="M469" i="78"/>
  <c r="I469" i="78"/>
  <c r="E469" i="78"/>
  <c r="Q466" i="78"/>
  <c r="M466" i="78"/>
  <c r="I466" i="78"/>
  <c r="E466" i="78"/>
  <c r="Q465" i="78"/>
  <c r="M465" i="78"/>
  <c r="I465" i="78"/>
  <c r="E465" i="78"/>
  <c r="Q458" i="78"/>
  <c r="M458" i="78"/>
  <c r="I458" i="78"/>
  <c r="E458" i="78"/>
  <c r="Q455" i="78"/>
  <c r="M455" i="78"/>
  <c r="I455" i="78"/>
  <c r="E455" i="78"/>
  <c r="Q454" i="78"/>
  <c r="M454" i="78"/>
  <c r="I454" i="78"/>
  <c r="E454" i="78"/>
  <c r="Q453" i="78"/>
  <c r="M453" i="78"/>
  <c r="I453" i="78"/>
  <c r="E453" i="78"/>
  <c r="Q452" i="78"/>
  <c r="M452" i="78"/>
  <c r="I452" i="78"/>
  <c r="E452" i="78"/>
  <c r="Q451" i="78"/>
  <c r="M451" i="78"/>
  <c r="I451" i="78"/>
  <c r="E451" i="78"/>
  <c r="Q450" i="78"/>
  <c r="M450" i="78"/>
  <c r="I450" i="78"/>
  <c r="E450" i="78"/>
  <c r="Q449" i="78"/>
  <c r="M449" i="78"/>
  <c r="I449" i="78"/>
  <c r="E449" i="78"/>
  <c r="Q448" i="78"/>
  <c r="M448" i="78"/>
  <c r="I448" i="78"/>
  <c r="E448" i="78"/>
  <c r="Q447" i="78"/>
  <c r="M447" i="78"/>
  <c r="I447" i="78"/>
  <c r="E447" i="78"/>
  <c r="Q446" i="78"/>
  <c r="M446" i="78"/>
  <c r="I446" i="78"/>
  <c r="E446" i="78"/>
  <c r="Q445" i="78"/>
  <c r="M445" i="78"/>
  <c r="I445" i="78"/>
  <c r="E445" i="78"/>
  <c r="Q444" i="78"/>
  <c r="M444" i="78"/>
  <c r="I444" i="78"/>
  <c r="E444" i="78"/>
  <c r="Q443" i="78"/>
  <c r="M443" i="78"/>
  <c r="I443" i="78"/>
  <c r="E443" i="78"/>
  <c r="Q442" i="78"/>
  <c r="M442" i="78"/>
  <c r="I442" i="78"/>
  <c r="E442" i="78"/>
  <c r="Q441" i="78"/>
  <c r="M441" i="78"/>
  <c r="J905" i="78"/>
  <c r="H486" i="78"/>
  <c r="D486" i="78"/>
  <c r="C486" i="78"/>
  <c r="E441" i="78"/>
  <c r="Q440" i="78"/>
  <c r="M440" i="78"/>
  <c r="I440" i="78"/>
  <c r="E440" i="78"/>
  <c r="Q439" i="78"/>
  <c r="M439" i="78"/>
  <c r="I439" i="78"/>
  <c r="E439" i="78"/>
  <c r="Q438" i="78"/>
  <c r="M438" i="78"/>
  <c r="I438" i="78"/>
  <c r="E438" i="78"/>
  <c r="Q437" i="78"/>
  <c r="M437" i="78"/>
  <c r="I437" i="78"/>
  <c r="E437" i="78"/>
  <c r="Q435" i="78"/>
  <c r="M435" i="78"/>
  <c r="I435" i="78"/>
  <c r="E435" i="78"/>
  <c r="Q434" i="78"/>
  <c r="M434" i="78"/>
  <c r="I434" i="78"/>
  <c r="E434" i="78"/>
  <c r="Q433" i="78"/>
  <c r="M433" i="78"/>
  <c r="I433" i="78"/>
  <c r="E433" i="78"/>
  <c r="Q432" i="78"/>
  <c r="M432" i="78"/>
  <c r="I432" i="78"/>
  <c r="E432" i="78"/>
  <c r="Q431" i="78"/>
  <c r="M431" i="78"/>
  <c r="I431" i="78"/>
  <c r="E431" i="78"/>
  <c r="Q430" i="78"/>
  <c r="M430" i="78"/>
  <c r="I430" i="78"/>
  <c r="E430" i="78"/>
  <c r="Q429" i="78"/>
  <c r="M429" i="78"/>
  <c r="I429" i="78"/>
  <c r="E429" i="78"/>
  <c r="Q428" i="78"/>
  <c r="M428" i="78"/>
  <c r="I428" i="78"/>
  <c r="E428" i="78"/>
  <c r="Q427" i="78"/>
  <c r="M427" i="78"/>
  <c r="I427" i="78"/>
  <c r="E427" i="78"/>
  <c r="Q426" i="78"/>
  <c r="M426" i="78"/>
  <c r="I426" i="78"/>
  <c r="E426" i="78"/>
  <c r="Q425" i="78"/>
  <c r="M425" i="78"/>
  <c r="I425" i="78"/>
  <c r="E425" i="78"/>
  <c r="Q424" i="78"/>
  <c r="M424" i="78"/>
  <c r="I424" i="78"/>
  <c r="E424" i="78"/>
  <c r="Q422" i="78"/>
  <c r="M422" i="78"/>
  <c r="E422" i="78"/>
  <c r="Q421" i="78"/>
  <c r="M421" i="78"/>
  <c r="E421" i="78"/>
  <c r="Q419" i="78"/>
  <c r="M419" i="78"/>
  <c r="I419" i="78"/>
  <c r="E419" i="78"/>
  <c r="Q416" i="78"/>
  <c r="M416" i="78"/>
  <c r="I416" i="78"/>
  <c r="E416" i="78"/>
  <c r="Q415" i="78"/>
  <c r="I415" i="78"/>
  <c r="E415" i="78"/>
  <c r="P412" i="78"/>
  <c r="O412" i="78"/>
  <c r="N412" i="78"/>
  <c r="L412" i="78"/>
  <c r="K412" i="78"/>
  <c r="J412" i="78"/>
  <c r="H412" i="78"/>
  <c r="G412" i="78"/>
  <c r="F412" i="78"/>
  <c r="D412" i="78"/>
  <c r="C412" i="78"/>
  <c r="B412" i="78"/>
  <c r="Q410" i="78"/>
  <c r="M410" i="78"/>
  <c r="I410" i="78"/>
  <c r="E410" i="78"/>
  <c r="Q409" i="78"/>
  <c r="M409" i="78"/>
  <c r="I409" i="78"/>
  <c r="E409" i="78"/>
  <c r="Q408" i="78"/>
  <c r="M408" i="78"/>
  <c r="I408" i="78"/>
  <c r="E408" i="78"/>
  <c r="Q407" i="78"/>
  <c r="M407" i="78"/>
  <c r="I407" i="78"/>
  <c r="E407" i="78"/>
  <c r="AK406" i="78"/>
  <c r="AJ406" i="78"/>
  <c r="AI406" i="78"/>
  <c r="AG406" i="78"/>
  <c r="AF406" i="78"/>
  <c r="AE406" i="78"/>
  <c r="Y406" i="78"/>
  <c r="X406" i="78"/>
  <c r="W406" i="78"/>
  <c r="Q406" i="78"/>
  <c r="M406" i="78"/>
  <c r="I406" i="78"/>
  <c r="E406" i="78"/>
  <c r="AK405" i="78"/>
  <c r="AJ405" i="78"/>
  <c r="AI405" i="78"/>
  <c r="AG405" i="78"/>
  <c r="AF405" i="78"/>
  <c r="AE405" i="78"/>
  <c r="Y405" i="78"/>
  <c r="X405" i="78"/>
  <c r="W405" i="78"/>
  <c r="Q405" i="78"/>
  <c r="M405" i="78"/>
  <c r="I405" i="78"/>
  <c r="E405" i="78"/>
  <c r="AK404" i="78"/>
  <c r="AJ404" i="78"/>
  <c r="AI404" i="78"/>
  <c r="AG404" i="78"/>
  <c r="AF404" i="78"/>
  <c r="AE404" i="78"/>
  <c r="Y404" i="78"/>
  <c r="X404" i="78"/>
  <c r="W404" i="78"/>
  <c r="Q404" i="78"/>
  <c r="M404" i="78"/>
  <c r="I404" i="78"/>
  <c r="E404" i="78"/>
  <c r="AL403" i="78"/>
  <c r="AL406" i="78" s="1"/>
  <c r="AH403" i="78"/>
  <c r="AC403" i="78"/>
  <c r="AC406" i="78" s="1"/>
  <c r="AB403" i="78"/>
  <c r="AB404" i="78" s="1"/>
  <c r="AA403" i="78"/>
  <c r="AA404" i="78" s="1"/>
  <c r="Z403" i="78"/>
  <c r="Q403" i="78"/>
  <c r="M403" i="78"/>
  <c r="I403" i="78"/>
  <c r="E403" i="78"/>
  <c r="Q402" i="78"/>
  <c r="M402" i="78"/>
  <c r="I402" i="78"/>
  <c r="E402" i="78"/>
  <c r="W401" i="78"/>
  <c r="P398" i="78"/>
  <c r="Q396" i="78"/>
  <c r="M396" i="78"/>
  <c r="I396" i="78"/>
  <c r="E396" i="78"/>
  <c r="Q395" i="78"/>
  <c r="M395" i="78"/>
  <c r="I395" i="78"/>
  <c r="E395" i="78"/>
  <c r="Q394" i="78"/>
  <c r="M394" i="78"/>
  <c r="I394" i="78"/>
  <c r="E394" i="78"/>
  <c r="Q393" i="78"/>
  <c r="M393" i="78"/>
  <c r="I393" i="78"/>
  <c r="E393" i="78"/>
  <c r="Q391" i="78"/>
  <c r="M391" i="78"/>
  <c r="I391" i="78"/>
  <c r="E391" i="78"/>
  <c r="Q390" i="78"/>
  <c r="M390" i="78"/>
  <c r="I390" i="78"/>
  <c r="E390" i="78"/>
  <c r="Q389" i="78"/>
  <c r="M389" i="78"/>
  <c r="I389" i="78"/>
  <c r="E389" i="78"/>
  <c r="Q388" i="78"/>
  <c r="M388" i="78"/>
  <c r="I388" i="78"/>
  <c r="E388" i="78"/>
  <c r="Q387" i="78"/>
  <c r="M387" i="78"/>
  <c r="I387" i="78"/>
  <c r="E387" i="78"/>
  <c r="Q386" i="78"/>
  <c r="M386" i="78"/>
  <c r="I386" i="78"/>
  <c r="E386" i="78"/>
  <c r="Q385" i="78"/>
  <c r="M385" i="78"/>
  <c r="I385" i="78"/>
  <c r="E385" i="78"/>
  <c r="Q384" i="78"/>
  <c r="M384" i="78"/>
  <c r="I384" i="78"/>
  <c r="E384" i="78"/>
  <c r="Q383" i="78"/>
  <c r="M383" i="78"/>
  <c r="I383" i="78"/>
  <c r="E383" i="78"/>
  <c r="Q382" i="78"/>
  <c r="M382" i="78"/>
  <c r="I382" i="78"/>
  <c r="E382" i="78"/>
  <c r="Q381" i="78"/>
  <c r="M381" i="78"/>
  <c r="I381" i="78"/>
  <c r="E381" i="78"/>
  <c r="Q379" i="78"/>
  <c r="M379" i="78"/>
  <c r="I379" i="78"/>
  <c r="E379" i="78"/>
  <c r="Q378" i="78"/>
  <c r="M378" i="78"/>
  <c r="I378" i="78"/>
  <c r="E378" i="78"/>
  <c r="Q377" i="78"/>
  <c r="M377" i="78"/>
  <c r="I377" i="78"/>
  <c r="E377" i="78"/>
  <c r="Q376" i="78"/>
  <c r="M376" i="78"/>
  <c r="I376" i="78"/>
  <c r="E376" i="78"/>
  <c r="Q375" i="78"/>
  <c r="M375" i="78"/>
  <c r="I375" i="78"/>
  <c r="E375" i="78"/>
  <c r="Q374" i="78"/>
  <c r="M374" i="78"/>
  <c r="I374" i="78"/>
  <c r="E374" i="78"/>
  <c r="Q373" i="78"/>
  <c r="M373" i="78"/>
  <c r="I373" i="78"/>
  <c r="E373" i="78"/>
  <c r="Q370" i="78"/>
  <c r="M370" i="78"/>
  <c r="I370" i="78"/>
  <c r="E370" i="78"/>
  <c r="Q369" i="78"/>
  <c r="M369" i="78"/>
  <c r="I369" i="78"/>
  <c r="E369" i="78"/>
  <c r="Q368" i="78"/>
  <c r="M368" i="78"/>
  <c r="I368" i="78"/>
  <c r="E368" i="78"/>
  <c r="Q367" i="78"/>
  <c r="M367" i="78"/>
  <c r="I367" i="78"/>
  <c r="E367" i="78"/>
  <c r="Q366" i="78"/>
  <c r="M366" i="78"/>
  <c r="I366" i="78"/>
  <c r="E366" i="78"/>
  <c r="Q365" i="78"/>
  <c r="M365" i="78"/>
  <c r="I365" i="78"/>
  <c r="E365" i="78"/>
  <c r="Q364" i="78"/>
  <c r="M364" i="78"/>
  <c r="I364" i="78"/>
  <c r="E364" i="78"/>
  <c r="Q363" i="78"/>
  <c r="M363" i="78"/>
  <c r="I363" i="78"/>
  <c r="E363" i="78"/>
  <c r="Q362" i="78"/>
  <c r="M362" i="78"/>
  <c r="I362" i="78"/>
  <c r="E362" i="78"/>
  <c r="Q361" i="78"/>
  <c r="M361" i="78"/>
  <c r="I361" i="78"/>
  <c r="E361" i="78"/>
  <c r="Q360" i="78"/>
  <c r="M360" i="78"/>
  <c r="I360" i="78"/>
  <c r="E360" i="78"/>
  <c r="Q359" i="78"/>
  <c r="M359" i="78"/>
  <c r="I359" i="78"/>
  <c r="E359" i="78"/>
  <c r="Q358" i="78"/>
  <c r="M358" i="78"/>
  <c r="I358" i="78"/>
  <c r="E358" i="78"/>
  <c r="Q357" i="78"/>
  <c r="M357" i="78"/>
  <c r="I357" i="78"/>
  <c r="E357" i="78"/>
  <c r="Q356" i="78"/>
  <c r="M356" i="78"/>
  <c r="I356" i="78"/>
  <c r="E356" i="78"/>
  <c r="Q355" i="78"/>
  <c r="M355" i="78"/>
  <c r="I355" i="78"/>
  <c r="E355" i="78"/>
  <c r="Q354" i="78"/>
  <c r="M354" i="78"/>
  <c r="I354" i="78"/>
  <c r="G398" i="78"/>
  <c r="F398" i="78"/>
  <c r="D398" i="78"/>
  <c r="C398" i="78"/>
  <c r="E354" i="78"/>
  <c r="Q352" i="78"/>
  <c r="M352" i="78"/>
  <c r="I352" i="78"/>
  <c r="E352" i="78"/>
  <c r="Q351" i="78"/>
  <c r="M351" i="78"/>
  <c r="I351" i="78"/>
  <c r="E351" i="78"/>
  <c r="Q350" i="78"/>
  <c r="M350" i="78"/>
  <c r="I350" i="78"/>
  <c r="E350" i="78"/>
  <c r="Q349" i="78"/>
  <c r="M349" i="78"/>
  <c r="I349" i="78"/>
  <c r="E349" i="78"/>
  <c r="Q348" i="78"/>
  <c r="M348" i="78"/>
  <c r="I348" i="78"/>
  <c r="E348" i="78"/>
  <c r="Q347" i="78"/>
  <c r="M347" i="78"/>
  <c r="I347" i="78"/>
  <c r="E347" i="78"/>
  <c r="Q346" i="78"/>
  <c r="O398" i="78"/>
  <c r="N398" i="78"/>
  <c r="M346" i="78"/>
  <c r="K398" i="78"/>
  <c r="I346" i="78"/>
  <c r="E346" i="78"/>
  <c r="P338" i="78"/>
  <c r="O338" i="78"/>
  <c r="N338" i="78"/>
  <c r="L338" i="78"/>
  <c r="K338" i="78"/>
  <c r="J338" i="78"/>
  <c r="H338" i="78"/>
  <c r="G338" i="78"/>
  <c r="F338" i="78"/>
  <c r="D338" i="78"/>
  <c r="C338" i="78"/>
  <c r="B338" i="78"/>
  <c r="Q336" i="78"/>
  <c r="M336" i="78"/>
  <c r="I336" i="78"/>
  <c r="E336" i="78"/>
  <c r="Q325" i="78"/>
  <c r="M325" i="78"/>
  <c r="I325" i="78"/>
  <c r="E325" i="78"/>
  <c r="Q324" i="78"/>
  <c r="M324" i="78"/>
  <c r="I324" i="78"/>
  <c r="E324" i="78"/>
  <c r="Q323" i="78"/>
  <c r="M323" i="78"/>
  <c r="I323" i="78"/>
  <c r="E323" i="78"/>
  <c r="Q322" i="78"/>
  <c r="M322" i="78"/>
  <c r="I322" i="78"/>
  <c r="E322" i="78"/>
  <c r="Q321" i="78"/>
  <c r="M321" i="78"/>
  <c r="I321" i="78"/>
  <c r="E321" i="78"/>
  <c r="Q320" i="78"/>
  <c r="M320" i="78"/>
  <c r="I320" i="78"/>
  <c r="E320" i="78"/>
  <c r="P318" i="78"/>
  <c r="O318" i="78"/>
  <c r="N318" i="78"/>
  <c r="L318" i="78"/>
  <c r="K318" i="78"/>
  <c r="J318" i="78"/>
  <c r="H318" i="78"/>
  <c r="G318" i="78"/>
  <c r="F318" i="78"/>
  <c r="D318" i="78"/>
  <c r="C318" i="78"/>
  <c r="B318" i="78"/>
  <c r="P317" i="78"/>
  <c r="O317" i="78"/>
  <c r="N317" i="78"/>
  <c r="L317" i="78"/>
  <c r="K317" i="78"/>
  <c r="J317" i="78"/>
  <c r="H317" i="78"/>
  <c r="G317" i="78"/>
  <c r="F317" i="78"/>
  <c r="D317" i="78"/>
  <c r="C317" i="78"/>
  <c r="B317" i="78"/>
  <c r="Q316" i="78"/>
  <c r="M316" i="78"/>
  <c r="I316" i="78"/>
  <c r="E316" i="78"/>
  <c r="Q314" i="78"/>
  <c r="M314" i="78"/>
  <c r="I314" i="78"/>
  <c r="E314" i="78"/>
  <c r="Q312" i="78"/>
  <c r="M312" i="78"/>
  <c r="I312" i="78"/>
  <c r="E312" i="78"/>
  <c r="Q311" i="78"/>
  <c r="M311" i="78"/>
  <c r="I311" i="78"/>
  <c r="E311" i="78"/>
  <c r="Q310" i="78"/>
  <c r="M310" i="78"/>
  <c r="I310" i="78"/>
  <c r="E310" i="78"/>
  <c r="Q309" i="78"/>
  <c r="M309" i="78"/>
  <c r="I309" i="78"/>
  <c r="E309" i="78"/>
  <c r="Q308" i="78"/>
  <c r="M308" i="78"/>
  <c r="I308" i="78"/>
  <c r="E308" i="78"/>
  <c r="Q307" i="78"/>
  <c r="M307" i="78"/>
  <c r="I307" i="78"/>
  <c r="E307" i="78"/>
  <c r="Q306" i="78"/>
  <c r="M306" i="78"/>
  <c r="I306" i="78"/>
  <c r="E306" i="78"/>
  <c r="Q305" i="78"/>
  <c r="M305" i="78"/>
  <c r="I305" i="78"/>
  <c r="E305" i="78"/>
  <c r="Q303" i="78"/>
  <c r="M303" i="78"/>
  <c r="I303" i="78"/>
  <c r="E303" i="78"/>
  <c r="Q302" i="78"/>
  <c r="M302" i="78"/>
  <c r="I302" i="78"/>
  <c r="E302" i="78"/>
  <c r="Q301" i="78"/>
  <c r="M301" i="78"/>
  <c r="I301" i="78"/>
  <c r="E301" i="78"/>
  <c r="P298" i="78"/>
  <c r="O298" i="78"/>
  <c r="L298" i="78"/>
  <c r="K298" i="78"/>
  <c r="J298" i="78"/>
  <c r="F298" i="78"/>
  <c r="Q297" i="78"/>
  <c r="M297" i="78"/>
  <c r="I297" i="78"/>
  <c r="E297" i="78"/>
  <c r="Q295" i="78"/>
  <c r="M295" i="78"/>
  <c r="I295" i="78"/>
  <c r="E295" i="78"/>
  <c r="Q294" i="78"/>
  <c r="M294" i="78"/>
  <c r="I294" i="78"/>
  <c r="E294" i="78"/>
  <c r="Q293" i="78"/>
  <c r="M293" i="78"/>
  <c r="I293" i="78"/>
  <c r="E293" i="78"/>
  <c r="Q292" i="78"/>
  <c r="M292" i="78"/>
  <c r="I292" i="78"/>
  <c r="D905" i="78"/>
  <c r="C905" i="78"/>
  <c r="B905" i="78"/>
  <c r="Q291" i="78"/>
  <c r="I291" i="78"/>
  <c r="E291" i="78"/>
  <c r="Q288" i="78"/>
  <c r="M288" i="78"/>
  <c r="I288" i="78"/>
  <c r="E288" i="78"/>
  <c r="Q287" i="78"/>
  <c r="M287" i="78"/>
  <c r="I287" i="78"/>
  <c r="E287" i="78"/>
  <c r="Q285" i="78"/>
  <c r="M285" i="78"/>
  <c r="H905" i="78"/>
  <c r="E285" i="78"/>
  <c r="Q284" i="78"/>
  <c r="M284" i="78"/>
  <c r="I284" i="78"/>
  <c r="E284" i="78"/>
  <c r="Q283" i="78"/>
  <c r="M283" i="78"/>
  <c r="I283" i="78"/>
  <c r="E283" i="78"/>
  <c r="Q282" i="78"/>
  <c r="M282" i="78"/>
  <c r="I282" i="78"/>
  <c r="E282" i="78"/>
  <c r="Q281" i="78"/>
  <c r="M281" i="78"/>
  <c r="I281" i="78"/>
  <c r="E281" i="78"/>
  <c r="Q280" i="78"/>
  <c r="M280" i="78"/>
  <c r="I280" i="78"/>
  <c r="E280" i="78"/>
  <c r="Q279" i="78"/>
  <c r="M279" i="78"/>
  <c r="I279" i="78"/>
  <c r="E279" i="78"/>
  <c r="Q278" i="78"/>
  <c r="M278" i="78"/>
  <c r="I278" i="78"/>
  <c r="E278" i="78"/>
  <c r="Q277" i="78"/>
  <c r="M277" i="78"/>
  <c r="I277" i="78"/>
  <c r="E277" i="78"/>
  <c r="Q276" i="78"/>
  <c r="M276" i="78"/>
  <c r="I276" i="78"/>
  <c r="E276" i="78"/>
  <c r="Q275" i="78"/>
  <c r="M275" i="78"/>
  <c r="I275" i="78"/>
  <c r="E275" i="78"/>
  <c r="Q274" i="78"/>
  <c r="M274" i="78"/>
  <c r="I274" i="78"/>
  <c r="E274" i="78"/>
  <c r="Q273" i="78"/>
  <c r="M273" i="78"/>
  <c r="I273" i="78"/>
  <c r="E273" i="78"/>
  <c r="Q272" i="78"/>
  <c r="M272" i="78"/>
  <c r="I272" i="78"/>
  <c r="E272" i="78"/>
  <c r="Q271" i="78"/>
  <c r="M271" i="78"/>
  <c r="I271" i="78"/>
  <c r="E271" i="78"/>
  <c r="Q270" i="78"/>
  <c r="M270" i="78"/>
  <c r="I270" i="78"/>
  <c r="E270" i="78"/>
  <c r="Q269" i="78"/>
  <c r="M269" i="78"/>
  <c r="I269" i="78"/>
  <c r="E269" i="78"/>
  <c r="Q268" i="78"/>
  <c r="M268" i="78"/>
  <c r="I268" i="78"/>
  <c r="E268" i="78"/>
  <c r="Q267" i="78"/>
  <c r="M267" i="78"/>
  <c r="I267" i="78"/>
  <c r="E267" i="78"/>
  <c r="Q266" i="78"/>
  <c r="M266" i="78"/>
  <c r="I266" i="78"/>
  <c r="E266" i="78"/>
  <c r="Q265" i="78"/>
  <c r="M265" i="78"/>
  <c r="I265" i="78"/>
  <c r="E265" i="78"/>
  <c r="Q264" i="78"/>
  <c r="M264" i="78"/>
  <c r="E264" i="78"/>
  <c r="Q262" i="78"/>
  <c r="M262" i="78"/>
  <c r="I262" i="78"/>
  <c r="E262" i="78"/>
  <c r="Q261" i="78"/>
  <c r="M261" i="78"/>
  <c r="F905" i="78"/>
  <c r="E261" i="78"/>
  <c r="Q260" i="78"/>
  <c r="M260" i="78"/>
  <c r="I260" i="78"/>
  <c r="E260" i="78"/>
  <c r="P905" i="78"/>
  <c r="O905" i="78"/>
  <c r="N905" i="78"/>
  <c r="M259" i="78"/>
  <c r="I259" i="78"/>
  <c r="E259" i="78"/>
  <c r="Q258" i="78"/>
  <c r="M258" i="78"/>
  <c r="I258" i="78"/>
  <c r="E258" i="78"/>
  <c r="Q257" i="78"/>
  <c r="M257" i="78"/>
  <c r="I257" i="78"/>
  <c r="E257" i="78"/>
  <c r="Q256" i="78"/>
  <c r="M256" i="78"/>
  <c r="I256" i="78"/>
  <c r="E256" i="78"/>
  <c r="Q255" i="78"/>
  <c r="M255" i="78"/>
  <c r="I255" i="78"/>
  <c r="E255" i="78"/>
  <c r="Q254" i="78"/>
  <c r="M254" i="78"/>
  <c r="I254" i="78"/>
  <c r="E254" i="78"/>
  <c r="Q253" i="78"/>
  <c r="M253" i="78"/>
  <c r="I253" i="78"/>
  <c r="E253" i="78"/>
  <c r="Q251" i="78"/>
  <c r="M251" i="78"/>
  <c r="I251" i="78"/>
  <c r="E251" i="78"/>
  <c r="Q250" i="78"/>
  <c r="M250" i="78"/>
  <c r="I250" i="78"/>
  <c r="E250" i="78"/>
  <c r="Q249" i="78"/>
  <c r="M249" i="78"/>
  <c r="I249" i="78"/>
  <c r="E249" i="78"/>
  <c r="Q248" i="78"/>
  <c r="M248" i="78"/>
  <c r="I248" i="78"/>
  <c r="E248" i="78"/>
  <c r="Q247" i="78"/>
  <c r="M247" i="78"/>
  <c r="I247" i="78"/>
  <c r="E247" i="78"/>
  <c r="Q246" i="78"/>
  <c r="M246" i="78"/>
  <c r="I246" i="78"/>
  <c r="E246" i="78"/>
  <c r="Q245" i="78"/>
  <c r="M245" i="78"/>
  <c r="I245" i="78"/>
  <c r="E245" i="78"/>
  <c r="Q244" i="78"/>
  <c r="M244" i="78"/>
  <c r="I244" i="78"/>
  <c r="E244" i="78"/>
  <c r="Q243" i="78"/>
  <c r="M243" i="78"/>
  <c r="I243" i="78"/>
  <c r="E243" i="78"/>
  <c r="Q242" i="78"/>
  <c r="M242" i="78"/>
  <c r="I242" i="78"/>
  <c r="E242" i="78"/>
  <c r="Q241" i="78"/>
  <c r="M241" i="78"/>
  <c r="I241" i="78"/>
  <c r="E241" i="78"/>
  <c r="Q240" i="78"/>
  <c r="M240" i="78"/>
  <c r="I240" i="78"/>
  <c r="E240" i="78"/>
  <c r="Q239" i="78"/>
  <c r="M239" i="78"/>
  <c r="I239" i="78"/>
  <c r="E239" i="78"/>
  <c r="Q238" i="78"/>
  <c r="M238" i="78"/>
  <c r="I238" i="78"/>
  <c r="E238" i="78"/>
  <c r="Q237" i="78"/>
  <c r="M237" i="78"/>
  <c r="I237" i="78"/>
  <c r="E237" i="78"/>
  <c r="Q236" i="78"/>
  <c r="M236" i="78"/>
  <c r="I236" i="78"/>
  <c r="E236" i="78"/>
  <c r="Q235" i="78"/>
  <c r="M235" i="78"/>
  <c r="I235" i="78"/>
  <c r="E235" i="78"/>
  <c r="Q234" i="78"/>
  <c r="M234" i="78"/>
  <c r="I234" i="78"/>
  <c r="E234" i="78"/>
  <c r="Q233" i="78"/>
  <c r="M233" i="78"/>
  <c r="I233" i="78"/>
  <c r="E233" i="78"/>
  <c r="Q232" i="78"/>
  <c r="M232" i="78"/>
  <c r="I232" i="78"/>
  <c r="E232" i="78"/>
  <c r="Q231" i="78"/>
  <c r="M231" i="78"/>
  <c r="I231" i="78"/>
  <c r="E231" i="78"/>
  <c r="Q230" i="78"/>
  <c r="M230" i="78"/>
  <c r="I230" i="78"/>
  <c r="E230" i="78"/>
  <c r="P226" i="78"/>
  <c r="O226" i="78"/>
  <c r="N226" i="78"/>
  <c r="L226" i="78"/>
  <c r="K226" i="78"/>
  <c r="J226" i="78"/>
  <c r="I226" i="78"/>
  <c r="D226" i="78"/>
  <c r="C226" i="78"/>
  <c r="B226" i="78"/>
  <c r="Q224" i="78"/>
  <c r="M224" i="78"/>
  <c r="I224" i="78"/>
  <c r="E224" i="78"/>
  <c r="Q223" i="78"/>
  <c r="M223" i="78"/>
  <c r="I223" i="78"/>
  <c r="E223" i="78"/>
  <c r="N219" i="78"/>
  <c r="F219" i="78"/>
  <c r="Q217" i="78"/>
  <c r="M217" i="78"/>
  <c r="I217" i="78"/>
  <c r="E217" i="78"/>
  <c r="Q216" i="78"/>
  <c r="M216" i="78"/>
  <c r="I216" i="78"/>
  <c r="E216" i="78"/>
  <c r="Q215" i="78"/>
  <c r="M215" i="78"/>
  <c r="I215" i="78"/>
  <c r="E215" i="78"/>
  <c r="Q213" i="78"/>
  <c r="M213" i="78"/>
  <c r="I213" i="78"/>
  <c r="E213" i="78"/>
  <c r="Q212" i="78"/>
  <c r="M212" i="78"/>
  <c r="I212" i="78"/>
  <c r="E212" i="78"/>
  <c r="Q211" i="78"/>
  <c r="M211" i="78"/>
  <c r="I211" i="78"/>
  <c r="E211" i="78"/>
  <c r="Q210" i="78"/>
  <c r="M210" i="78"/>
  <c r="I210" i="78"/>
  <c r="E210" i="78"/>
  <c r="Q209" i="78"/>
  <c r="M209" i="78"/>
  <c r="I209" i="78"/>
  <c r="E209" i="78"/>
  <c r="Q208" i="78"/>
  <c r="M208" i="78"/>
  <c r="I208" i="78"/>
  <c r="E208" i="78"/>
  <c r="Q207" i="78"/>
  <c r="M207" i="78"/>
  <c r="I207" i="78"/>
  <c r="E207" i="78"/>
  <c r="Q206" i="78"/>
  <c r="M206" i="78"/>
  <c r="I206" i="78"/>
  <c r="E206" i="78"/>
  <c r="Q205" i="78"/>
  <c r="M205" i="78"/>
  <c r="I205" i="78"/>
  <c r="E205" i="78"/>
  <c r="Q204" i="78"/>
  <c r="M204" i="78"/>
  <c r="I204" i="78"/>
  <c r="E204" i="78"/>
  <c r="Q202" i="78"/>
  <c r="M202" i="78"/>
  <c r="I202" i="78"/>
  <c r="E202" i="78"/>
  <c r="Q201" i="78"/>
  <c r="M201" i="78"/>
  <c r="I201" i="78"/>
  <c r="E201" i="78"/>
  <c r="Q200" i="78"/>
  <c r="M200" i="78"/>
  <c r="I200" i="78"/>
  <c r="E200" i="78"/>
  <c r="Q199" i="78"/>
  <c r="M199" i="78"/>
  <c r="I199" i="78"/>
  <c r="E199" i="78"/>
  <c r="Q198" i="78"/>
  <c r="M198" i="78"/>
  <c r="I198" i="78"/>
  <c r="E198" i="78"/>
  <c r="Q197" i="78"/>
  <c r="M197" i="78"/>
  <c r="I197" i="78"/>
  <c r="E197" i="78"/>
  <c r="Q196" i="78"/>
  <c r="M196" i="78"/>
  <c r="I196" i="78"/>
  <c r="E196" i="78"/>
  <c r="Q195" i="78"/>
  <c r="M195" i="78"/>
  <c r="I195" i="78"/>
  <c r="E195" i="78"/>
  <c r="Q193" i="78"/>
  <c r="M193" i="78"/>
  <c r="I193" i="78"/>
  <c r="E193" i="78"/>
  <c r="Q192" i="78"/>
  <c r="M192" i="78"/>
  <c r="I192" i="78"/>
  <c r="E192" i="78"/>
  <c r="Q191" i="78"/>
  <c r="O219" i="78"/>
  <c r="M191" i="78"/>
  <c r="I191" i="78"/>
  <c r="E191" i="78"/>
  <c r="Q190" i="78"/>
  <c r="M190" i="78"/>
  <c r="I190" i="78"/>
  <c r="E190" i="78"/>
  <c r="Q189" i="78"/>
  <c r="M189" i="78"/>
  <c r="I189" i="78"/>
  <c r="E189" i="78"/>
  <c r="Q188" i="78"/>
  <c r="M188" i="78"/>
  <c r="I188" i="78"/>
  <c r="E188" i="78"/>
  <c r="Q187" i="78"/>
  <c r="M187" i="78"/>
  <c r="I187" i="78"/>
  <c r="E187" i="78"/>
  <c r="Q186" i="78"/>
  <c r="M186" i="78"/>
  <c r="I186" i="78"/>
  <c r="Q185" i="78"/>
  <c r="M185" i="78"/>
  <c r="I185" i="78"/>
  <c r="E185" i="78"/>
  <c r="Q184" i="78"/>
  <c r="M184" i="78"/>
  <c r="I184" i="78"/>
  <c r="E184" i="78"/>
  <c r="Q183" i="78"/>
  <c r="M183" i="78"/>
  <c r="I183" i="78"/>
  <c r="E183" i="78"/>
  <c r="Q182" i="78"/>
  <c r="M182" i="78"/>
  <c r="I182" i="78"/>
  <c r="E182" i="78"/>
  <c r="Q181" i="78"/>
  <c r="M181" i="78"/>
  <c r="I181" i="78"/>
  <c r="E181" i="78"/>
  <c r="Q180" i="78"/>
  <c r="M180" i="78"/>
  <c r="I180" i="78"/>
  <c r="E180" i="78"/>
  <c r="Q178" i="78"/>
  <c r="M178" i="78"/>
  <c r="I178" i="78"/>
  <c r="E178" i="78"/>
  <c r="Q177" i="78"/>
  <c r="M177" i="78"/>
  <c r="I177" i="78"/>
  <c r="E177" i="78"/>
  <c r="Q176" i="78"/>
  <c r="M176" i="78"/>
  <c r="I176" i="78"/>
  <c r="E176" i="78"/>
  <c r="Q175" i="78"/>
  <c r="M175" i="78"/>
  <c r="I175" i="78"/>
  <c r="E175" i="78"/>
  <c r="Q174" i="78"/>
  <c r="M174" i="78"/>
  <c r="I174" i="78"/>
  <c r="E174" i="78"/>
  <c r="Q173" i="78"/>
  <c r="M173" i="78"/>
  <c r="I173" i="78"/>
  <c r="E173" i="78"/>
  <c r="Q172" i="78"/>
  <c r="M172" i="78"/>
  <c r="I172" i="78"/>
  <c r="E172" i="78"/>
  <c r="Q171" i="78"/>
  <c r="M171" i="78"/>
  <c r="I171" i="78"/>
  <c r="E171" i="78"/>
  <c r="Q170" i="78"/>
  <c r="M170" i="78"/>
  <c r="I170" i="78"/>
  <c r="E170" i="78"/>
  <c r="Q168" i="78"/>
  <c r="M168" i="78"/>
  <c r="I168" i="78"/>
  <c r="E168" i="78"/>
  <c r="Q167" i="78"/>
  <c r="M167" i="78"/>
  <c r="I167" i="78"/>
  <c r="E167" i="78"/>
  <c r="Q166" i="78"/>
  <c r="M166" i="78"/>
  <c r="I166" i="78"/>
  <c r="G219" i="78"/>
  <c r="E166" i="78"/>
  <c r="Q164" i="78"/>
  <c r="M164" i="78"/>
  <c r="I164" i="78"/>
  <c r="E164" i="78"/>
  <c r="Q162" i="78"/>
  <c r="M162" i="78"/>
  <c r="I162" i="78"/>
  <c r="E162" i="78"/>
  <c r="Q161" i="78"/>
  <c r="M161" i="78"/>
  <c r="I161" i="78"/>
  <c r="E161" i="78"/>
  <c r="Q160" i="78"/>
  <c r="M160" i="78"/>
  <c r="I160" i="78"/>
  <c r="E160" i="78"/>
  <c r="Q159" i="78"/>
  <c r="M159" i="78"/>
  <c r="I159" i="78"/>
  <c r="Q158" i="78"/>
  <c r="M158" i="78"/>
  <c r="I158" i="78"/>
  <c r="E158" i="78"/>
  <c r="Q157" i="78"/>
  <c r="M157" i="78"/>
  <c r="I157" i="78"/>
  <c r="E157" i="78"/>
  <c r="Q156" i="78"/>
  <c r="M156" i="78"/>
  <c r="I156" i="78"/>
  <c r="E156" i="78"/>
  <c r="Q155" i="78"/>
  <c r="M155" i="78"/>
  <c r="I155" i="78"/>
  <c r="E155" i="78"/>
  <c r="Q154" i="78"/>
  <c r="M154" i="78"/>
  <c r="I154" i="78"/>
  <c r="E154" i="78"/>
  <c r="Q153" i="78"/>
  <c r="M153" i="78"/>
  <c r="I153" i="78"/>
  <c r="E153" i="78"/>
  <c r="Q152" i="78"/>
  <c r="M152" i="78"/>
  <c r="I152" i="78"/>
  <c r="E152" i="78"/>
  <c r="Q150" i="78"/>
  <c r="M150" i="78"/>
  <c r="I150" i="78"/>
  <c r="E150" i="78"/>
  <c r="Q149" i="78"/>
  <c r="M149" i="78"/>
  <c r="I149" i="78"/>
  <c r="E149" i="78"/>
  <c r="Q148" i="78"/>
  <c r="M148" i="78"/>
  <c r="I148" i="78"/>
  <c r="E148" i="78"/>
  <c r="Q147" i="78"/>
  <c r="M147" i="78"/>
  <c r="I147" i="78"/>
  <c r="E147" i="78"/>
  <c r="Q135" i="78"/>
  <c r="M135" i="78"/>
  <c r="I135" i="78"/>
  <c r="E135" i="78"/>
  <c r="P133" i="78"/>
  <c r="O133" i="78"/>
  <c r="N133" i="78"/>
  <c r="L133" i="78"/>
  <c r="K133" i="78"/>
  <c r="J133" i="78"/>
  <c r="H133" i="78"/>
  <c r="G133" i="78"/>
  <c r="F133" i="78"/>
  <c r="D133" i="78"/>
  <c r="C133" i="78"/>
  <c r="B133" i="78"/>
  <c r="P132" i="78"/>
  <c r="O132" i="78"/>
  <c r="N132" i="78"/>
  <c r="L132" i="78"/>
  <c r="K132" i="78"/>
  <c r="J132" i="78"/>
  <c r="H132" i="78"/>
  <c r="G132" i="78"/>
  <c r="F132" i="78"/>
  <c r="D132" i="78"/>
  <c r="C132" i="78"/>
  <c r="B132" i="78"/>
  <c r="Q131" i="78"/>
  <c r="M131" i="78"/>
  <c r="I131" i="78"/>
  <c r="E131" i="78"/>
  <c r="Q130" i="78"/>
  <c r="M130" i="78"/>
  <c r="I130" i="78"/>
  <c r="E130" i="78"/>
  <c r="Q128" i="78"/>
  <c r="M128" i="78"/>
  <c r="I128" i="78"/>
  <c r="E128" i="78"/>
  <c r="Q126" i="78"/>
  <c r="M126" i="78"/>
  <c r="I126" i="78"/>
  <c r="E126" i="78"/>
  <c r="Q125" i="78"/>
  <c r="M125" i="78"/>
  <c r="I125" i="78"/>
  <c r="E125" i="78"/>
  <c r="Q123" i="78"/>
  <c r="M123" i="78"/>
  <c r="I123" i="78"/>
  <c r="E123" i="78"/>
  <c r="Q122" i="78"/>
  <c r="M122" i="78"/>
  <c r="I122" i="78"/>
  <c r="E122" i="78"/>
  <c r="Q121" i="78"/>
  <c r="M121" i="78"/>
  <c r="I121" i="78"/>
  <c r="E121" i="78"/>
  <c r="Q120" i="78"/>
  <c r="M120" i="78"/>
  <c r="I120" i="78"/>
  <c r="E120" i="78"/>
  <c r="Q119" i="78"/>
  <c r="M119" i="78"/>
  <c r="I119" i="78"/>
  <c r="E119" i="78"/>
  <c r="Q118" i="78"/>
  <c r="M118" i="78"/>
  <c r="I118" i="78"/>
  <c r="E118" i="78"/>
  <c r="Q117" i="78"/>
  <c r="M117" i="78"/>
  <c r="I117" i="78"/>
  <c r="E117" i="78"/>
  <c r="Q116" i="78"/>
  <c r="M116" i="78"/>
  <c r="I116" i="78"/>
  <c r="E116" i="78"/>
  <c r="P113" i="78"/>
  <c r="O113" i="78"/>
  <c r="N113" i="78"/>
  <c r="L113" i="78"/>
  <c r="K113" i="78"/>
  <c r="J113" i="78"/>
  <c r="H113" i="78"/>
  <c r="G113" i="78"/>
  <c r="F113" i="78"/>
  <c r="D113" i="78"/>
  <c r="C113" i="78"/>
  <c r="B113" i="78"/>
  <c r="Q112" i="78"/>
  <c r="M112" i="78"/>
  <c r="I112" i="78"/>
  <c r="E112" i="78"/>
  <c r="Q109" i="78"/>
  <c r="M109" i="78"/>
  <c r="I109" i="78"/>
  <c r="E109" i="78"/>
  <c r="Q108" i="78"/>
  <c r="M108" i="78"/>
  <c r="I108" i="78"/>
  <c r="E108" i="78"/>
  <c r="Q107" i="78"/>
  <c r="M107" i="78"/>
  <c r="I107" i="78"/>
  <c r="E107" i="78"/>
  <c r="Q106" i="78"/>
  <c r="M106" i="78"/>
  <c r="I106" i="78"/>
  <c r="E106" i="78"/>
  <c r="Q105" i="78"/>
  <c r="M105" i="78"/>
  <c r="I105" i="78"/>
  <c r="E105" i="78"/>
  <c r="Q104" i="78"/>
  <c r="M104" i="78"/>
  <c r="I104" i="78"/>
  <c r="E104" i="78"/>
  <c r="Q102" i="78"/>
  <c r="M102" i="78"/>
  <c r="I102" i="78"/>
  <c r="E102" i="78"/>
  <c r="P98" i="78"/>
  <c r="O98" i="78"/>
  <c r="N98" i="78"/>
  <c r="L98" i="78"/>
  <c r="K98" i="78"/>
  <c r="J98" i="78"/>
  <c r="H98" i="78"/>
  <c r="G98" i="78"/>
  <c r="F98" i="78"/>
  <c r="D98" i="78"/>
  <c r="C98" i="78"/>
  <c r="B98" i="78"/>
  <c r="Q96" i="78"/>
  <c r="M96" i="78"/>
  <c r="I96" i="78"/>
  <c r="E96" i="78"/>
  <c r="Q95" i="78"/>
  <c r="M95" i="78"/>
  <c r="I95" i="78"/>
  <c r="E95" i="78"/>
  <c r="P91" i="78"/>
  <c r="O91" i="78"/>
  <c r="N91" i="78"/>
  <c r="L91" i="78"/>
  <c r="K91" i="78"/>
  <c r="J91" i="78"/>
  <c r="H91" i="78"/>
  <c r="G91" i="78"/>
  <c r="F91" i="78"/>
  <c r="D91" i="78"/>
  <c r="C91" i="78"/>
  <c r="B91" i="78"/>
  <c r="Q89" i="78"/>
  <c r="M89" i="78"/>
  <c r="I89" i="78"/>
  <c r="E89" i="78"/>
  <c r="Q88" i="78"/>
  <c r="M88" i="78"/>
  <c r="I88" i="78"/>
  <c r="E88" i="78"/>
  <c r="Q86" i="78"/>
  <c r="M86" i="78"/>
  <c r="I86" i="78"/>
  <c r="E86" i="78"/>
  <c r="Q84" i="78"/>
  <c r="M84" i="78"/>
  <c r="I84" i="78"/>
  <c r="E84" i="78"/>
  <c r="Q83" i="78"/>
  <c r="M83" i="78"/>
  <c r="I83" i="78"/>
  <c r="E83" i="78"/>
  <c r="Q81" i="78"/>
  <c r="M81" i="78"/>
  <c r="I81" i="78"/>
  <c r="E81" i="78"/>
  <c r="Q80" i="78"/>
  <c r="M80" i="78"/>
  <c r="I80" i="78"/>
  <c r="E80" i="78"/>
  <c r="Q79" i="78"/>
  <c r="M79" i="78"/>
  <c r="I79" i="78"/>
  <c r="E79" i="78"/>
  <c r="Q78" i="78"/>
  <c r="M78" i="78"/>
  <c r="I78" i="78"/>
  <c r="E78" i="78"/>
  <c r="Q77" i="78"/>
  <c r="M77" i="78"/>
  <c r="I77" i="78"/>
  <c r="E77" i="78"/>
  <c r="Q76" i="78"/>
  <c r="M76" i="78"/>
  <c r="I76" i="78"/>
  <c r="E76" i="78"/>
  <c r="Q75" i="78"/>
  <c r="I75" i="78"/>
  <c r="E75" i="78"/>
  <c r="Q73" i="78"/>
  <c r="M73" i="78"/>
  <c r="I73" i="78"/>
  <c r="E73" i="78"/>
  <c r="Q72" i="78"/>
  <c r="M72" i="78"/>
  <c r="I72" i="78"/>
  <c r="E72" i="78"/>
  <c r="Q60" i="78"/>
  <c r="M60" i="78"/>
  <c r="I60" i="78"/>
  <c r="E60" i="78"/>
  <c r="P58" i="78"/>
  <c r="O58" i="78"/>
  <c r="N58" i="78"/>
  <c r="L58" i="78"/>
  <c r="K58" i="78"/>
  <c r="J58" i="78"/>
  <c r="H58" i="78"/>
  <c r="G58" i="78"/>
  <c r="F58" i="78"/>
  <c r="D58" i="78"/>
  <c r="C58" i="78"/>
  <c r="B58" i="78"/>
  <c r="P57" i="78"/>
  <c r="O57" i="78"/>
  <c r="N57" i="78"/>
  <c r="L57" i="78"/>
  <c r="K57" i="78"/>
  <c r="J57" i="78"/>
  <c r="H57" i="78"/>
  <c r="G57" i="78"/>
  <c r="F57" i="78"/>
  <c r="D57" i="78"/>
  <c r="C57" i="78"/>
  <c r="B57" i="78"/>
  <c r="Q54" i="78"/>
  <c r="M54" i="78"/>
  <c r="I54" i="78"/>
  <c r="E54" i="78"/>
  <c r="P50" i="78"/>
  <c r="O50" i="78"/>
  <c r="N50" i="78"/>
  <c r="L50" i="78"/>
  <c r="K50" i="78"/>
  <c r="J50" i="78"/>
  <c r="H50" i="78"/>
  <c r="G50" i="78"/>
  <c r="F50" i="78"/>
  <c r="D50" i="78"/>
  <c r="C50" i="78"/>
  <c r="B50" i="78"/>
  <c r="P46" i="78"/>
  <c r="O46" i="78"/>
  <c r="N46" i="78"/>
  <c r="L46" i="78"/>
  <c r="K46" i="78"/>
  <c r="J46" i="78"/>
  <c r="H46" i="78"/>
  <c r="G46" i="78"/>
  <c r="F46" i="78"/>
  <c r="D46" i="78"/>
  <c r="C46" i="78"/>
  <c r="B46" i="78"/>
  <c r="P41" i="78"/>
  <c r="O41" i="78"/>
  <c r="N41" i="78"/>
  <c r="L41" i="78"/>
  <c r="K41" i="78"/>
  <c r="J41" i="78"/>
  <c r="H41" i="78"/>
  <c r="G41" i="78"/>
  <c r="F41" i="78"/>
  <c r="D41" i="78"/>
  <c r="C41" i="78"/>
  <c r="B41" i="78"/>
  <c r="Q38" i="78"/>
  <c r="M38" i="78"/>
  <c r="I38" i="78"/>
  <c r="E38" i="78"/>
  <c r="P27" i="78"/>
  <c r="O27" i="78"/>
  <c r="N27" i="78"/>
  <c r="L27" i="78"/>
  <c r="K27" i="78"/>
  <c r="J27" i="78"/>
  <c r="H27" i="78"/>
  <c r="G27" i="78"/>
  <c r="F27" i="78"/>
  <c r="D27" i="78"/>
  <c r="C27" i="78"/>
  <c r="B27" i="78"/>
  <c r="Q25" i="78"/>
  <c r="M25" i="78"/>
  <c r="I25" i="78"/>
  <c r="E25" i="78"/>
  <c r="P18" i="78"/>
  <c r="O18" i="78"/>
  <c r="N18" i="78"/>
  <c r="L18" i="78"/>
  <c r="K18" i="78"/>
  <c r="J18" i="78"/>
  <c r="H18" i="78"/>
  <c r="G18" i="78"/>
  <c r="F18" i="78"/>
  <c r="D18" i="78"/>
  <c r="C18" i="78"/>
  <c r="B18" i="78"/>
  <c r="P17" i="78"/>
  <c r="O17" i="78"/>
  <c r="N17" i="78"/>
  <c r="L17" i="78"/>
  <c r="K17" i="78"/>
  <c r="J17" i="78"/>
  <c r="H17" i="78"/>
  <c r="G17" i="78"/>
  <c r="F17" i="78"/>
  <c r="D17" i="78"/>
  <c r="C17" i="78"/>
  <c r="B17" i="78"/>
  <c r="P16" i="78"/>
  <c r="O16" i="78"/>
  <c r="N16" i="78"/>
  <c r="L16" i="78"/>
  <c r="K16" i="78"/>
  <c r="J16" i="78"/>
  <c r="H16" i="78"/>
  <c r="G16" i="78"/>
  <c r="F16" i="78"/>
  <c r="D16" i="78"/>
  <c r="C16" i="78"/>
  <c r="B16" i="78"/>
  <c r="P15" i="78"/>
  <c r="O15" i="78"/>
  <c r="N15" i="78"/>
  <c r="L15" i="78"/>
  <c r="K15" i="78"/>
  <c r="J15" i="78"/>
  <c r="H15" i="78"/>
  <c r="G15" i="78"/>
  <c r="F15" i="78"/>
  <c r="D15" i="78"/>
  <c r="C15" i="78"/>
  <c r="B15" i="78"/>
  <c r="P14" i="78"/>
  <c r="O14" i="78"/>
  <c r="N14" i="78"/>
  <c r="L14" i="78"/>
  <c r="K14" i="78"/>
  <c r="J14" i="78"/>
  <c r="H14" i="78"/>
  <c r="G14" i="78"/>
  <c r="F14" i="78"/>
  <c r="D14" i="78"/>
  <c r="C14" i="78"/>
  <c r="B14" i="78"/>
  <c r="R1" i="78"/>
  <c r="O10" i="78"/>
  <c r="L10" i="78"/>
  <c r="G10" i="78"/>
  <c r="H10" i="78"/>
  <c r="K10" i="78"/>
  <c r="J10" i="78"/>
  <c r="B10" i="78"/>
  <c r="N10" i="78"/>
  <c r="P10" i="78"/>
  <c r="D10" i="78"/>
  <c r="F10" i="78"/>
  <c r="C10" i="78"/>
  <c r="R635" i="78" l="1"/>
  <c r="N39" i="2"/>
  <c r="N55" i="2"/>
  <c r="O47" i="2"/>
  <c r="N57" i="2"/>
  <c r="O49" i="2"/>
  <c r="N43" i="2"/>
  <c r="O35" i="2"/>
  <c r="O51" i="2"/>
  <c r="N45" i="2"/>
  <c r="O37" i="2"/>
  <c r="O53" i="2"/>
  <c r="N47" i="2"/>
  <c r="O39" i="2"/>
  <c r="O55" i="2"/>
  <c r="N49" i="2"/>
  <c r="O41" i="2"/>
  <c r="O57" i="2"/>
  <c r="N35" i="2"/>
  <c r="N51" i="2"/>
  <c r="O43" i="2"/>
  <c r="N37" i="2"/>
  <c r="N53" i="2"/>
  <c r="O45" i="2"/>
  <c r="N41" i="2"/>
  <c r="L1121" i="78"/>
  <c r="L1117" i="78"/>
  <c r="N1173" i="78"/>
  <c r="M27" i="78"/>
  <c r="J1050" i="78"/>
  <c r="L1118" i="78"/>
  <c r="F1173" i="78"/>
  <c r="R25" i="78"/>
  <c r="L1122" i="78"/>
  <c r="L1127" i="78"/>
  <c r="AD1112" i="78"/>
  <c r="AD1093" i="78"/>
  <c r="AD1089" i="78"/>
  <c r="AD1091" i="78"/>
  <c r="AD1090" i="78"/>
  <c r="M1179" i="78"/>
  <c r="I27" i="78"/>
  <c r="AA405" i="78"/>
  <c r="L1119" i="78"/>
  <c r="Q1179" i="78"/>
  <c r="R1170" i="78"/>
  <c r="R1173" i="78"/>
  <c r="R1176" i="78"/>
  <c r="G1117" i="78"/>
  <c r="C1090" i="78" s="1"/>
  <c r="AD980" i="78"/>
  <c r="L1120" i="78"/>
  <c r="N1170" i="78"/>
  <c r="N1176" i="78"/>
  <c r="AG981" i="78"/>
  <c r="AG985" i="78"/>
  <c r="F1167" i="78"/>
  <c r="E27" i="78"/>
  <c r="AA406" i="78"/>
  <c r="L1126" i="78"/>
  <c r="C1179" i="78"/>
  <c r="Q842" i="78"/>
  <c r="H906" i="78"/>
  <c r="H935" i="78" s="1"/>
  <c r="P906" i="78"/>
  <c r="P935" i="78" s="1"/>
  <c r="Q610" i="78"/>
  <c r="Q658" i="78"/>
  <c r="Q802" i="78"/>
  <c r="M816" i="78"/>
  <c r="I893" i="78"/>
  <c r="Q486" i="78"/>
  <c r="Q587" i="78"/>
  <c r="Q675" i="78"/>
  <c r="I910" i="78"/>
  <c r="J915" i="78"/>
  <c r="J937" i="78" s="1"/>
  <c r="F914" i="78"/>
  <c r="Q722" i="78"/>
  <c r="C775" i="78"/>
  <c r="C778" i="78" s="1"/>
  <c r="C779" i="78" s="1"/>
  <c r="E802" i="78"/>
  <c r="AD945" i="78"/>
  <c r="AO945" i="78" s="1"/>
  <c r="Q46" i="78"/>
  <c r="M721" i="78"/>
  <c r="Q817" i="78"/>
  <c r="E722" i="78"/>
  <c r="Q17" i="78"/>
  <c r="R126" i="78"/>
  <c r="Q901" i="78"/>
  <c r="E908" i="78"/>
  <c r="Q910" i="78"/>
  <c r="G915" i="78"/>
  <c r="G937" i="78" s="1"/>
  <c r="AD947" i="78"/>
  <c r="AO947" i="78" s="1"/>
  <c r="M556" i="78"/>
  <c r="M722" i="78"/>
  <c r="Q896" i="78"/>
  <c r="AD950" i="78"/>
  <c r="AO950" i="78" s="1"/>
  <c r="R89" i="78"/>
  <c r="H134" i="78"/>
  <c r="H137" i="78" s="1"/>
  <c r="H138" i="78" s="1"/>
  <c r="R217" i="78"/>
  <c r="R297" i="78"/>
  <c r="K513" i="78"/>
  <c r="K518" i="78" s="1"/>
  <c r="K519" i="78" s="1"/>
  <c r="M512" i="78"/>
  <c r="D566" i="78"/>
  <c r="D569" i="78" s="1"/>
  <c r="D570" i="78" s="1"/>
  <c r="D677" i="78"/>
  <c r="D680" i="78" s="1"/>
  <c r="D681" i="78" s="1"/>
  <c r="J775" i="78"/>
  <c r="J778" i="78" s="1"/>
  <c r="J779" i="78" s="1"/>
  <c r="F818" i="78"/>
  <c r="F822" i="78" s="1"/>
  <c r="F823" i="78" s="1"/>
  <c r="M58" i="78"/>
  <c r="R383" i="78"/>
  <c r="R492" i="78"/>
  <c r="G723" i="78"/>
  <c r="G726" i="78" s="1"/>
  <c r="G727" i="78" s="1"/>
  <c r="I817" i="78"/>
  <c r="I858" i="78"/>
  <c r="I869" i="78"/>
  <c r="E896" i="78"/>
  <c r="Q512" i="78"/>
  <c r="R541" i="78"/>
  <c r="M802" i="78"/>
  <c r="M909" i="78"/>
  <c r="I318" i="78"/>
  <c r="R390" i="78"/>
  <c r="I648" i="78"/>
  <c r="I676" i="78"/>
  <c r="I710" i="78"/>
  <c r="I722" i="78"/>
  <c r="R767" i="78"/>
  <c r="M18" i="78"/>
  <c r="Q16" i="78"/>
  <c r="I17" i="78"/>
  <c r="M50" i="78"/>
  <c r="R507" i="78"/>
  <c r="E511" i="78"/>
  <c r="R555" i="78"/>
  <c r="E610" i="78"/>
  <c r="E642" i="78"/>
  <c r="R646" i="78"/>
  <c r="R665" i="78"/>
  <c r="R670" i="78"/>
  <c r="E721" i="78"/>
  <c r="I847" i="78"/>
  <c r="E895" i="78"/>
  <c r="AE981" i="78"/>
  <c r="R250" i="78"/>
  <c r="R253" i="78"/>
  <c r="R109" i="78"/>
  <c r="R117" i="78"/>
  <c r="R308" i="78"/>
  <c r="R386" i="78"/>
  <c r="R388" i="78"/>
  <c r="R72" i="78"/>
  <c r="E15" i="78"/>
  <c r="Q15" i="78"/>
  <c r="E17" i="78"/>
  <c r="Q50" i="78"/>
  <c r="R322" i="78"/>
  <c r="R385" i="78"/>
  <c r="R496" i="78"/>
  <c r="R505" i="78"/>
  <c r="C566" i="78"/>
  <c r="C569" i="78" s="1"/>
  <c r="C570" i="78" s="1"/>
  <c r="E549" i="78"/>
  <c r="R638" i="78"/>
  <c r="E749" i="78"/>
  <c r="J914" i="78"/>
  <c r="O914" i="78"/>
  <c r="M913" i="78"/>
  <c r="I14" i="78"/>
  <c r="R325" i="78"/>
  <c r="M565" i="78"/>
  <c r="R662" i="78"/>
  <c r="P818" i="78"/>
  <c r="P822" i="78" s="1"/>
  <c r="P823" i="78" s="1"/>
  <c r="I816" i="78"/>
  <c r="M817" i="78"/>
  <c r="B902" i="78"/>
  <c r="B933" i="78" s="1"/>
  <c r="F59" i="78"/>
  <c r="F62" i="78" s="1"/>
  <c r="F63" i="78" s="1"/>
  <c r="I15" i="78"/>
  <c r="J59" i="78"/>
  <c r="J62" i="78" s="1"/>
  <c r="J63" i="78" s="1"/>
  <c r="I133" i="78"/>
  <c r="R135" i="78"/>
  <c r="R489" i="78"/>
  <c r="R630" i="78"/>
  <c r="E817" i="78"/>
  <c r="E847" i="78"/>
  <c r="C902" i="78"/>
  <c r="C933" i="78" s="1"/>
  <c r="E909" i="78"/>
  <c r="E913" i="78"/>
  <c r="R54" i="78"/>
  <c r="Q58" i="78"/>
  <c r="Q132" i="78"/>
  <c r="Q318" i="78"/>
  <c r="R446" i="78"/>
  <c r="R454" i="78"/>
  <c r="R480" i="78"/>
  <c r="R515" i="78"/>
  <c r="G566" i="78"/>
  <c r="G569" i="78" s="1"/>
  <c r="G570" i="78" s="1"/>
  <c r="R553" i="78"/>
  <c r="E556" i="78"/>
  <c r="M676" i="78"/>
  <c r="I721" i="78"/>
  <c r="I788" i="78"/>
  <c r="H818" i="78"/>
  <c r="H822" i="78" s="1"/>
  <c r="H824" i="78" s="1"/>
  <c r="N818" i="78"/>
  <c r="N822" i="78" s="1"/>
  <c r="N824" i="78" s="1"/>
  <c r="M899" i="78"/>
  <c r="H915" i="78"/>
  <c r="H937" i="78" s="1"/>
  <c r="Q909" i="78"/>
  <c r="C914" i="78"/>
  <c r="N914" i="78"/>
  <c r="R768" i="78"/>
  <c r="I46" i="78"/>
  <c r="E50" i="78"/>
  <c r="E57" i="78"/>
  <c r="R75" i="78"/>
  <c r="Q91" i="78"/>
  <c r="R249" i="78"/>
  <c r="R251" i="78"/>
  <c r="R260" i="78"/>
  <c r="R267" i="78"/>
  <c r="R269" i="78"/>
  <c r="R302" i="78"/>
  <c r="R307" i="78"/>
  <c r="R309" i="78"/>
  <c r="R311" i="78"/>
  <c r="R382" i="78"/>
  <c r="R506" i="78"/>
  <c r="M511" i="78"/>
  <c r="J566" i="78"/>
  <c r="J569" i="78" s="1"/>
  <c r="Q648" i="78"/>
  <c r="R661" i="78"/>
  <c r="Q710" i="78"/>
  <c r="Q774" i="78"/>
  <c r="I802" i="78"/>
  <c r="I842" i="78"/>
  <c r="I909" i="78"/>
  <c r="Q911" i="78"/>
  <c r="AE980" i="78"/>
  <c r="O134" i="78"/>
  <c r="O137" i="78" s="1"/>
  <c r="O138" i="78" s="1"/>
  <c r="R718" i="78"/>
  <c r="R752" i="78"/>
  <c r="Q14" i="78"/>
  <c r="M15" i="78"/>
  <c r="M17" i="78"/>
  <c r="R78" i="78"/>
  <c r="R104" i="78"/>
  <c r="R108" i="78"/>
  <c r="R116" i="78"/>
  <c r="R118" i="78"/>
  <c r="R120" i="78"/>
  <c r="R125" i="78"/>
  <c r="R177" i="78"/>
  <c r="Q317" i="78"/>
  <c r="AL405" i="78"/>
  <c r="R491" i="78"/>
  <c r="R504" i="78"/>
  <c r="I512" i="78"/>
  <c r="I556" i="78"/>
  <c r="I565" i="78"/>
  <c r="I593" i="78"/>
  <c r="Q598" i="78"/>
  <c r="M610" i="78"/>
  <c r="K677" i="78"/>
  <c r="K680" i="78" s="1"/>
  <c r="K681" i="78" s="1"/>
  <c r="Q676" i="78"/>
  <c r="J723" i="78"/>
  <c r="J726" i="78" s="1"/>
  <c r="J727" i="78" s="1"/>
  <c r="Q745" i="78"/>
  <c r="Q858" i="78"/>
  <c r="Q869" i="78"/>
  <c r="E899" i="78"/>
  <c r="Q899" i="78"/>
  <c r="M910" i="78"/>
  <c r="M16" i="78"/>
  <c r="Q18" i="78"/>
  <c r="D59" i="78"/>
  <c r="D62" i="78" s="1"/>
  <c r="D63" i="78" s="1"/>
  <c r="O59" i="78"/>
  <c r="O62" i="78" s="1"/>
  <c r="O63" i="78" s="1"/>
  <c r="M46" i="78"/>
  <c r="R86" i="78"/>
  <c r="E226" i="78"/>
  <c r="E317" i="78"/>
  <c r="R370" i="78"/>
  <c r="R389" i="78"/>
  <c r="R391" i="78"/>
  <c r="R394" i="78"/>
  <c r="Z404" i="78"/>
  <c r="AL404" i="78"/>
  <c r="R494" i="78"/>
  <c r="R501" i="78"/>
  <c r="R503" i="78"/>
  <c r="E512" i="78"/>
  <c r="O566" i="78"/>
  <c r="O569" i="78" s="1"/>
  <c r="O570" i="78" s="1"/>
  <c r="Q549" i="78"/>
  <c r="R562" i="78"/>
  <c r="E564" i="78"/>
  <c r="R567" i="78"/>
  <c r="E587" i="78"/>
  <c r="I609" i="78"/>
  <c r="R640" i="78"/>
  <c r="H677" i="78"/>
  <c r="H680" i="78" s="1"/>
  <c r="H681" i="78" s="1"/>
  <c r="R645" i="78"/>
  <c r="R656" i="78"/>
  <c r="E675" i="78"/>
  <c r="H723" i="78"/>
  <c r="H726" i="78" s="1"/>
  <c r="H727" i="78" s="1"/>
  <c r="L723" i="78"/>
  <c r="L726" i="78" s="1"/>
  <c r="L727" i="78" s="1"/>
  <c r="I714" i="78"/>
  <c r="Q721" i="78"/>
  <c r="B775" i="78"/>
  <c r="B778" i="78" s="1"/>
  <c r="B779" i="78" s="1"/>
  <c r="I773" i="78"/>
  <c r="E774" i="78"/>
  <c r="R786" i="78"/>
  <c r="R798" i="78"/>
  <c r="R845" i="78"/>
  <c r="R850" i="78"/>
  <c r="R853" i="78"/>
  <c r="E858" i="78"/>
  <c r="R862" i="78"/>
  <c r="I868" i="78"/>
  <c r="E869" i="78"/>
  <c r="I896" i="78"/>
  <c r="I911" i="78"/>
  <c r="E912" i="78"/>
  <c r="Q41" i="78"/>
  <c r="R429" i="78"/>
  <c r="R485" i="78"/>
  <c r="M14" i="78"/>
  <c r="E16" i="78"/>
  <c r="I41" i="78"/>
  <c r="I58" i="78"/>
  <c r="R106" i="78"/>
  <c r="R128" i="78"/>
  <c r="M133" i="78"/>
  <c r="R186" i="78"/>
  <c r="R223" i="78"/>
  <c r="R305" i="78"/>
  <c r="R314" i="78"/>
  <c r="I338" i="78"/>
  <c r="R387" i="78"/>
  <c r="AH405" i="78"/>
  <c r="AH406" i="78"/>
  <c r="R509" i="78"/>
  <c r="Q564" i="78"/>
  <c r="R603" i="78"/>
  <c r="R606" i="78"/>
  <c r="E648" i="78"/>
  <c r="R657" i="78"/>
  <c r="R673" i="78"/>
  <c r="R770" i="78"/>
  <c r="J818" i="78"/>
  <c r="J822" i="78" s="1"/>
  <c r="R865" i="78"/>
  <c r="M868" i="78"/>
  <c r="I895" i="78"/>
  <c r="Q895" i="78"/>
  <c r="M908" i="78"/>
  <c r="K914" i="78"/>
  <c r="AD946" i="78"/>
  <c r="AO946" i="78" s="1"/>
  <c r="AF982" i="78"/>
  <c r="H59" i="78"/>
  <c r="H62" i="78" s="1"/>
  <c r="H63" i="78" s="1"/>
  <c r="N59" i="78"/>
  <c r="N62" i="78" s="1"/>
  <c r="J134" i="78"/>
  <c r="J137" i="78" s="1"/>
  <c r="R122" i="78"/>
  <c r="I132" i="78"/>
  <c r="E133" i="78"/>
  <c r="R215" i="78"/>
  <c r="M226" i="78"/>
  <c r="R294" i="78"/>
  <c r="R303" i="78"/>
  <c r="R306" i="78"/>
  <c r="I317" i="78"/>
  <c r="M318" i="78"/>
  <c r="R396" i="78"/>
  <c r="R498" i="78"/>
  <c r="I564" i="78"/>
  <c r="R664" i="78"/>
  <c r="I675" i="78"/>
  <c r="R678" i="78"/>
  <c r="B723" i="78"/>
  <c r="B726" i="78" s="1"/>
  <c r="B727" i="78" s="1"/>
  <c r="M714" i="78"/>
  <c r="R761" i="78"/>
  <c r="I763" i="78"/>
  <c r="I774" i="78"/>
  <c r="R819" i="78"/>
  <c r="C870" i="78"/>
  <c r="C873" i="78" s="1"/>
  <c r="C875" i="78" s="1"/>
  <c r="M847" i="78"/>
  <c r="P870" i="78"/>
  <c r="P873" i="78" s="1"/>
  <c r="P874" i="78" s="1"/>
  <c r="B915" i="78"/>
  <c r="B937" i="78" s="1"/>
  <c r="B914" i="78"/>
  <c r="L914" i="78"/>
  <c r="G914" i="78"/>
  <c r="O775" i="78"/>
  <c r="O778" i="78" s="1"/>
  <c r="O779" i="78" s="1"/>
  <c r="E14" i="78"/>
  <c r="R38" i="78"/>
  <c r="Q57" i="78"/>
  <c r="R77" i="78"/>
  <c r="B134" i="78"/>
  <c r="B137" i="78" s="1"/>
  <c r="R95" i="78"/>
  <c r="P134" i="78"/>
  <c r="P137" i="78" s="1"/>
  <c r="P138" i="78" s="1"/>
  <c r="R185" i="78"/>
  <c r="R310" i="78"/>
  <c r="R312" i="78"/>
  <c r="R316" i="78"/>
  <c r="E318" i="78"/>
  <c r="R395" i="78"/>
  <c r="AH404" i="78"/>
  <c r="M486" i="78"/>
  <c r="R497" i="78"/>
  <c r="R499" i="78"/>
  <c r="R502" i="78"/>
  <c r="R563" i="78"/>
  <c r="E565" i="78"/>
  <c r="E598" i="78"/>
  <c r="J677" i="78"/>
  <c r="J680" i="78" s="1"/>
  <c r="R674" i="78"/>
  <c r="H775" i="78"/>
  <c r="H778" i="78" s="1"/>
  <c r="H779" i="78" s="1"/>
  <c r="R737" i="78"/>
  <c r="G775" i="78"/>
  <c r="G778" i="78" s="1"/>
  <c r="G779" i="78" s="1"/>
  <c r="R769" i="78"/>
  <c r="E773" i="78"/>
  <c r="B818" i="78"/>
  <c r="B822" i="78" s="1"/>
  <c r="L818" i="78"/>
  <c r="L822" i="78" s="1"/>
  <c r="L824" i="78" s="1"/>
  <c r="E816" i="78"/>
  <c r="E868" i="78"/>
  <c r="Q894" i="78"/>
  <c r="J902" i="78"/>
  <c r="J933" i="78" s="1"/>
  <c r="Q913" i="78"/>
  <c r="AD985" i="78"/>
  <c r="M98" i="78"/>
  <c r="R540" i="78"/>
  <c r="I16" i="78"/>
  <c r="K59" i="78"/>
  <c r="K62" i="78" s="1"/>
  <c r="K63" i="78" s="1"/>
  <c r="I50" i="78"/>
  <c r="I57" i="78"/>
  <c r="R84" i="78"/>
  <c r="R102" i="78"/>
  <c r="R107" i="78"/>
  <c r="E113" i="78"/>
  <c r="R119" i="78"/>
  <c r="R123" i="78"/>
  <c r="R131" i="78"/>
  <c r="R293" i="78"/>
  <c r="R295" i="78"/>
  <c r="R301" i="78"/>
  <c r="R384" i="78"/>
  <c r="R405" i="78"/>
  <c r="M412" i="78"/>
  <c r="Q511" i="78"/>
  <c r="Q556" i="78"/>
  <c r="Q565" i="78"/>
  <c r="R583" i="78"/>
  <c r="R605" i="78"/>
  <c r="R607" i="78"/>
  <c r="I610" i="78"/>
  <c r="O677" i="78"/>
  <c r="O680" i="78" s="1"/>
  <c r="O681" i="78" s="1"/>
  <c r="R672" i="78"/>
  <c r="O723" i="78"/>
  <c r="O726" i="78" s="1"/>
  <c r="O727" i="78" s="1"/>
  <c r="I749" i="78"/>
  <c r="R760" i="78"/>
  <c r="R762" i="78"/>
  <c r="Q788" i="78"/>
  <c r="C818" i="78"/>
  <c r="C822" i="78" s="1"/>
  <c r="C824" i="78" s="1"/>
  <c r="K818" i="78"/>
  <c r="K822" i="78" s="1"/>
  <c r="K824" i="78" s="1"/>
  <c r="Q806" i="78"/>
  <c r="Q816" i="78"/>
  <c r="Q847" i="78"/>
  <c r="R861" i="78"/>
  <c r="R864" i="78"/>
  <c r="M895" i="78"/>
  <c r="K902" i="78"/>
  <c r="K933" i="78" s="1"/>
  <c r="D915" i="78"/>
  <c r="D937" i="78" s="1"/>
  <c r="O915" i="78"/>
  <c r="O937" i="78" s="1"/>
  <c r="E910" i="78"/>
  <c r="D914" i="78"/>
  <c r="AE985" i="78"/>
  <c r="R516" i="78"/>
  <c r="I598" i="78"/>
  <c r="M648" i="78"/>
  <c r="D723" i="78"/>
  <c r="D726" i="78" s="1"/>
  <c r="D727" i="78" s="1"/>
  <c r="E41" i="78"/>
  <c r="L59" i="78"/>
  <c r="L62" i="78" s="1"/>
  <c r="L63" i="78" s="1"/>
  <c r="R60" i="78"/>
  <c r="D134" i="78"/>
  <c r="D137" i="78" s="1"/>
  <c r="D138" i="78" s="1"/>
  <c r="Q113" i="78"/>
  <c r="R130" i="78"/>
  <c r="Q133" i="78"/>
  <c r="R202" i="78"/>
  <c r="R211" i="78"/>
  <c r="Q226" i="78"/>
  <c r="M317" i="78"/>
  <c r="R321" i="78"/>
  <c r="R356" i="78"/>
  <c r="R358" i="78"/>
  <c r="R360" i="78"/>
  <c r="R364" i="78"/>
  <c r="R393" i="78"/>
  <c r="Z405" i="78"/>
  <c r="Z406" i="78"/>
  <c r="R495" i="78"/>
  <c r="R508" i="78"/>
  <c r="R510" i="78"/>
  <c r="I511" i="78"/>
  <c r="R514" i="78"/>
  <c r="M564" i="78"/>
  <c r="P677" i="78"/>
  <c r="P680" i="78" s="1"/>
  <c r="P681" i="78" s="1"/>
  <c r="R669" i="78"/>
  <c r="M675" i="78"/>
  <c r="I690" i="78"/>
  <c r="P723" i="78"/>
  <c r="P726" i="78" s="1"/>
  <c r="P727" i="78" s="1"/>
  <c r="Q714" i="78"/>
  <c r="Q773" i="78"/>
  <c r="M774" i="78"/>
  <c r="R776" i="78"/>
  <c r="D818" i="78"/>
  <c r="D822" i="78" s="1"/>
  <c r="D824" i="78" s="1"/>
  <c r="R820" i="78"/>
  <c r="R840" i="78"/>
  <c r="M858" i="78"/>
  <c r="Q868" i="78"/>
  <c r="M869" i="78"/>
  <c r="R871" i="78"/>
  <c r="I894" i="78"/>
  <c r="P915" i="78"/>
  <c r="P937" i="78" s="1"/>
  <c r="M912" i="78"/>
  <c r="I913" i="78"/>
  <c r="R336" i="78"/>
  <c r="R338" i="78" s="1"/>
  <c r="I18" i="78"/>
  <c r="E18" i="78"/>
  <c r="AG986" i="78"/>
  <c r="AD951" i="78"/>
  <c r="AO951" i="78" s="1"/>
  <c r="AE986" i="78"/>
  <c r="R324" i="78"/>
  <c r="R320" i="78"/>
  <c r="N134" i="78"/>
  <c r="N137" i="78" s="1"/>
  <c r="F134" i="78"/>
  <c r="F137" i="78" s="1"/>
  <c r="G134" i="78"/>
  <c r="G137" i="78" s="1"/>
  <c r="G138" i="78" s="1"/>
  <c r="C134" i="78"/>
  <c r="C137" i="78" s="1"/>
  <c r="C138" i="78" s="1"/>
  <c r="E98" i="78"/>
  <c r="M113" i="78"/>
  <c r="R323" i="78"/>
  <c r="R856" i="78"/>
  <c r="N870" i="78"/>
  <c r="N873" i="78" s="1"/>
  <c r="J870" i="78"/>
  <c r="J873" i="78" s="1"/>
  <c r="K870" i="78"/>
  <c r="K873" i="78" s="1"/>
  <c r="K874" i="78" s="1"/>
  <c r="L870" i="78"/>
  <c r="L873" i="78" s="1"/>
  <c r="L874" i="78" s="1"/>
  <c r="R851" i="78"/>
  <c r="R855" i="78"/>
  <c r="R857" i="78"/>
  <c r="G870" i="78"/>
  <c r="G873" i="78" s="1"/>
  <c r="G874" i="78" s="1"/>
  <c r="F870" i="78"/>
  <c r="F873" i="78" s="1"/>
  <c r="B870" i="78"/>
  <c r="B873" i="78" s="1"/>
  <c r="D870" i="78"/>
  <c r="D873" i="78" s="1"/>
  <c r="D874" i="78" s="1"/>
  <c r="R833" i="78"/>
  <c r="R834" i="78"/>
  <c r="O870" i="78"/>
  <c r="O873" i="78" s="1"/>
  <c r="O874" i="78" s="1"/>
  <c r="M842" i="78"/>
  <c r="R835" i="78"/>
  <c r="R832" i="78"/>
  <c r="H870" i="78"/>
  <c r="H873" i="78" s="1"/>
  <c r="H874" i="78" s="1"/>
  <c r="R837" i="78"/>
  <c r="E842" i="78"/>
  <c r="N775" i="78"/>
  <c r="N778" i="78" s="1"/>
  <c r="N779" i="78" s="1"/>
  <c r="Q763" i="78"/>
  <c r="L775" i="78"/>
  <c r="L778" i="78" s="1"/>
  <c r="L779" i="78" s="1"/>
  <c r="R758" i="78"/>
  <c r="R757" i="78"/>
  <c r="R754" i="78"/>
  <c r="E763" i="78"/>
  <c r="D775" i="78"/>
  <c r="D778" i="78" s="1"/>
  <c r="D779" i="78" s="1"/>
  <c r="R755" i="78"/>
  <c r="P775" i="78"/>
  <c r="P778" i="78" s="1"/>
  <c r="P779" i="78" s="1"/>
  <c r="R740" i="78"/>
  <c r="M745" i="78"/>
  <c r="R739" i="78"/>
  <c r="R741" i="78"/>
  <c r="M706" i="78"/>
  <c r="K723" i="78"/>
  <c r="K726" i="78" s="1"/>
  <c r="R700" i="78"/>
  <c r="R701" i="78"/>
  <c r="C723" i="78"/>
  <c r="C726" i="78" s="1"/>
  <c r="C727" i="78" s="1"/>
  <c r="L677" i="78"/>
  <c r="L680" i="78" s="1"/>
  <c r="L681" i="78" s="1"/>
  <c r="R653" i="78"/>
  <c r="R654" i="78"/>
  <c r="G677" i="78"/>
  <c r="G680" i="78" s="1"/>
  <c r="G681" i="78" s="1"/>
  <c r="I658" i="78"/>
  <c r="R655" i="78"/>
  <c r="R624" i="78"/>
  <c r="R631" i="78"/>
  <c r="R628" i="78"/>
  <c r="R632" i="78"/>
  <c r="R629" i="78"/>
  <c r="C677" i="78"/>
  <c r="C680" i="78" s="1"/>
  <c r="C681" i="78" s="1"/>
  <c r="B677" i="78"/>
  <c r="R627" i="78"/>
  <c r="R636" i="78"/>
  <c r="H611" i="78"/>
  <c r="H614" i="78" s="1"/>
  <c r="H615" i="78" s="1"/>
  <c r="R597" i="78"/>
  <c r="J611" i="78"/>
  <c r="J614" i="78" s="1"/>
  <c r="L611" i="78"/>
  <c r="L614" i="78" s="1"/>
  <c r="L615" i="78" s="1"/>
  <c r="R590" i="78"/>
  <c r="C611" i="78"/>
  <c r="C614" i="78" s="1"/>
  <c r="C615" i="78" s="1"/>
  <c r="R580" i="78"/>
  <c r="M892" i="78"/>
  <c r="R582" i="78"/>
  <c r="D611" i="78"/>
  <c r="D614" i="78" s="1"/>
  <c r="D615" i="78" s="1"/>
  <c r="M905" i="78"/>
  <c r="K566" i="78"/>
  <c r="K569" i="78" s="1"/>
  <c r="K570" i="78" s="1"/>
  <c r="O902" i="78"/>
  <c r="O933" i="78" s="1"/>
  <c r="N566" i="78"/>
  <c r="N569" i="78" s="1"/>
  <c r="R547" i="78"/>
  <c r="M900" i="78"/>
  <c r="M549" i="78"/>
  <c r="L566" i="78"/>
  <c r="L569" i="78" s="1"/>
  <c r="L570" i="78" s="1"/>
  <c r="F566" i="78"/>
  <c r="H902" i="78"/>
  <c r="H933" i="78" s="1"/>
  <c r="I549" i="78"/>
  <c r="P566" i="78"/>
  <c r="P569" i="78" s="1"/>
  <c r="P570" i="78" s="1"/>
  <c r="M544" i="78"/>
  <c r="R534" i="78"/>
  <c r="R536" i="78"/>
  <c r="R538" i="78"/>
  <c r="H566" i="78"/>
  <c r="H569" i="78" s="1"/>
  <c r="H570" i="78" s="1"/>
  <c r="R535" i="78"/>
  <c r="R537" i="78"/>
  <c r="E544" i="78"/>
  <c r="B566" i="78"/>
  <c r="B569" i="78" s="1"/>
  <c r="R482" i="78"/>
  <c r="R481" i="78"/>
  <c r="R483" i="78"/>
  <c r="R484" i="78"/>
  <c r="R443" i="78"/>
  <c r="R447" i="78"/>
  <c r="R449" i="78"/>
  <c r="R451" i="78"/>
  <c r="R455" i="78"/>
  <c r="R472" i="78"/>
  <c r="R475" i="78"/>
  <c r="R466" i="78"/>
  <c r="R477" i="78"/>
  <c r="R458" i="78"/>
  <c r="R440" i="78"/>
  <c r="R444" i="78"/>
  <c r="R452" i="78"/>
  <c r="R465" i="78"/>
  <c r="R469" i="78"/>
  <c r="R476" i="78"/>
  <c r="R478" i="78"/>
  <c r="R473" i="78"/>
  <c r="R445" i="78"/>
  <c r="R453" i="78"/>
  <c r="R470" i="78"/>
  <c r="D513" i="78"/>
  <c r="D518" i="78" s="1"/>
  <c r="D519" i="78" s="1"/>
  <c r="R479" i="78"/>
  <c r="R448" i="78"/>
  <c r="R471" i="78"/>
  <c r="O513" i="78"/>
  <c r="O518" i="78" s="1"/>
  <c r="O519" i="78" s="1"/>
  <c r="R438" i="78"/>
  <c r="R430" i="78"/>
  <c r="R422" i="78"/>
  <c r="R425" i="78"/>
  <c r="R419" i="78"/>
  <c r="R432" i="78"/>
  <c r="R416" i="78"/>
  <c r="R421" i="78"/>
  <c r="R426" i="78"/>
  <c r="R427" i="78"/>
  <c r="R439" i="78"/>
  <c r="I904" i="78"/>
  <c r="R433" i="78"/>
  <c r="R435" i="78"/>
  <c r="R415" i="78"/>
  <c r="R437" i="78"/>
  <c r="R434" i="78"/>
  <c r="R424" i="78"/>
  <c r="R428" i="78"/>
  <c r="R431" i="78"/>
  <c r="R404" i="78"/>
  <c r="R407" i="78"/>
  <c r="R409" i="78"/>
  <c r="Q412" i="78"/>
  <c r="P513" i="78"/>
  <c r="P518" i="78" s="1"/>
  <c r="P519" i="78" s="1"/>
  <c r="P902" i="78"/>
  <c r="P933" i="78" s="1"/>
  <c r="R402" i="78"/>
  <c r="R408" i="78"/>
  <c r="R403" i="78"/>
  <c r="R406" i="78"/>
  <c r="I412" i="78"/>
  <c r="F902" i="78"/>
  <c r="F933" i="78" s="1"/>
  <c r="E412" i="78"/>
  <c r="E900" i="78"/>
  <c r="C513" i="78"/>
  <c r="C518" i="78" s="1"/>
  <c r="C519" i="78" s="1"/>
  <c r="D902" i="78"/>
  <c r="D933" i="78" s="1"/>
  <c r="R410" i="78"/>
  <c r="R377" i="78"/>
  <c r="R366" i="78"/>
  <c r="R368" i="78"/>
  <c r="R381" i="78"/>
  <c r="R373" i="78"/>
  <c r="R379" i="78"/>
  <c r="R376" i="78"/>
  <c r="R374" i="78"/>
  <c r="R378" i="78"/>
  <c r="R369" i="78"/>
  <c r="R375" i="78"/>
  <c r="R362" i="78"/>
  <c r="R347" i="78"/>
  <c r="R367" i="78"/>
  <c r="R351" i="78"/>
  <c r="R363" i="78"/>
  <c r="R359" i="78"/>
  <c r="R365" i="78"/>
  <c r="R349" i="78"/>
  <c r="R348" i="78"/>
  <c r="R350" i="78"/>
  <c r="R355" i="78"/>
  <c r="R361" i="78"/>
  <c r="R352" i="78"/>
  <c r="R357" i="78"/>
  <c r="R346" i="78"/>
  <c r="R274" i="78"/>
  <c r="O319" i="78"/>
  <c r="O327" i="78" s="1"/>
  <c r="O328" i="78" s="1"/>
  <c r="R281" i="78"/>
  <c r="R279" i="78"/>
  <c r="R272" i="78"/>
  <c r="R284" i="78"/>
  <c r="R275" i="78"/>
  <c r="R277" i="78"/>
  <c r="R283" i="78"/>
  <c r="R278" i="78"/>
  <c r="R280" i="78"/>
  <c r="R282" i="78"/>
  <c r="R287" i="78"/>
  <c r="R291" i="78"/>
  <c r="R273" i="78"/>
  <c r="R271" i="78"/>
  <c r="R288" i="78"/>
  <c r="R276" i="78"/>
  <c r="R265" i="78"/>
  <c r="R257" i="78"/>
  <c r="M298" i="78"/>
  <c r="R264" i="78"/>
  <c r="R266" i="78"/>
  <c r="R270" i="78"/>
  <c r="R246" i="78"/>
  <c r="F319" i="78"/>
  <c r="F327" i="78" s="1"/>
  <c r="R254" i="78"/>
  <c r="R256" i="78"/>
  <c r="R258" i="78"/>
  <c r="R255" i="78"/>
  <c r="R262" i="78"/>
  <c r="R268" i="78"/>
  <c r="R231" i="78"/>
  <c r="R237" i="78"/>
  <c r="R239" i="78"/>
  <c r="R241" i="78"/>
  <c r="R245" i="78"/>
  <c r="R247" i="78"/>
  <c r="K906" i="78"/>
  <c r="K935" i="78" s="1"/>
  <c r="L906" i="78"/>
  <c r="L935" i="78" s="1"/>
  <c r="R233" i="78"/>
  <c r="R234" i="78"/>
  <c r="R236" i="78"/>
  <c r="R242" i="78"/>
  <c r="R244" i="78"/>
  <c r="R232" i="78"/>
  <c r="R240" i="78"/>
  <c r="R248" i="78"/>
  <c r="R243" i="78"/>
  <c r="R235" i="78"/>
  <c r="R230" i="78"/>
  <c r="R238" i="78"/>
  <c r="R180" i="78"/>
  <c r="R157" i="78"/>
  <c r="R188" i="78"/>
  <c r="R155" i="78"/>
  <c r="R187" i="78"/>
  <c r="R189" i="78"/>
  <c r="R191" i="78"/>
  <c r="R196" i="78"/>
  <c r="R168" i="78"/>
  <c r="R175" i="78"/>
  <c r="R197" i="78"/>
  <c r="R201" i="78"/>
  <c r="R204" i="78"/>
  <c r="R208" i="78"/>
  <c r="R212" i="78"/>
  <c r="R150" i="78"/>
  <c r="R160" i="78"/>
  <c r="R176" i="78"/>
  <c r="R198" i="78"/>
  <c r="R200" i="78"/>
  <c r="R205" i="78"/>
  <c r="R209" i="78"/>
  <c r="R172" i="78"/>
  <c r="R207" i="78"/>
  <c r="R174" i="78"/>
  <c r="R192" i="78"/>
  <c r="R147" i="78"/>
  <c r="R152" i="78"/>
  <c r="R156" i="78"/>
  <c r="R158" i="78"/>
  <c r="R171" i="78"/>
  <c r="I892" i="78"/>
  <c r="R164" i="78"/>
  <c r="R193" i="78"/>
  <c r="R161" i="78"/>
  <c r="R181" i="78"/>
  <c r="E892" i="78"/>
  <c r="R183" i="78"/>
  <c r="R199" i="78"/>
  <c r="R206" i="78"/>
  <c r="R162" i="78"/>
  <c r="R153" i="78"/>
  <c r="R167" i="78"/>
  <c r="R149" i="78"/>
  <c r="R76" i="78"/>
  <c r="M91" i="78"/>
  <c r="R79" i="78"/>
  <c r="R81" i="78"/>
  <c r="R80" i="78"/>
  <c r="H1066" i="78"/>
  <c r="L1066" i="78"/>
  <c r="K1066" i="78"/>
  <c r="I1066" i="78"/>
  <c r="N1066" i="78"/>
  <c r="D691" i="78"/>
  <c r="L1067" i="78"/>
  <c r="I1067" i="78"/>
  <c r="K1067" i="78"/>
  <c r="H1067" i="78"/>
  <c r="N1067" i="78"/>
  <c r="G984" i="78"/>
  <c r="F984" i="78"/>
  <c r="F691" i="78"/>
  <c r="H1074" i="78"/>
  <c r="N1074" i="78"/>
  <c r="I1074" i="78"/>
  <c r="L1074" i="78"/>
  <c r="K1074" i="78"/>
  <c r="L1075" i="78"/>
  <c r="I1075" i="78"/>
  <c r="N1075" i="78"/>
  <c r="K1075" i="78"/>
  <c r="H1075" i="78"/>
  <c r="F992" i="78"/>
  <c r="P691" i="78"/>
  <c r="P339" i="78"/>
  <c r="AP954" i="78" s="1"/>
  <c r="H1068" i="78"/>
  <c r="N1068" i="78"/>
  <c r="L1068" i="78"/>
  <c r="K1068" i="78"/>
  <c r="I1068" i="78"/>
  <c r="G985" i="78"/>
  <c r="G691" i="78"/>
  <c r="L1069" i="78"/>
  <c r="I1069" i="78"/>
  <c r="N1069" i="78"/>
  <c r="H1069" i="78"/>
  <c r="K1069" i="78"/>
  <c r="G986" i="78"/>
  <c r="L1065" i="78"/>
  <c r="I1065" i="78"/>
  <c r="K1065" i="78"/>
  <c r="H1065" i="78"/>
  <c r="N1065" i="78"/>
  <c r="C789" i="78"/>
  <c r="H1070" i="78"/>
  <c r="N1070" i="78"/>
  <c r="L1070" i="78"/>
  <c r="K1070" i="78"/>
  <c r="I1070" i="78"/>
  <c r="J691" i="78"/>
  <c r="L1071" i="78"/>
  <c r="I1071" i="78"/>
  <c r="N1071" i="78"/>
  <c r="K1071" i="78"/>
  <c r="H1071" i="78"/>
  <c r="F988" i="78"/>
  <c r="K339" i="78"/>
  <c r="AP950" i="78" s="1"/>
  <c r="L1064" i="78"/>
  <c r="K1064" i="78"/>
  <c r="I1064" i="78"/>
  <c r="H1064" i="78"/>
  <c r="N1064" i="78"/>
  <c r="B789" i="78"/>
  <c r="B691" i="78"/>
  <c r="B28" i="78"/>
  <c r="H1072" i="78"/>
  <c r="K1072" i="78"/>
  <c r="I1072" i="78"/>
  <c r="N1072" i="78"/>
  <c r="F989" i="78"/>
  <c r="L1072" i="78"/>
  <c r="L339" i="78"/>
  <c r="AP951" i="78" s="1"/>
  <c r="L691" i="78"/>
  <c r="L28" i="78"/>
  <c r="L1073" i="78"/>
  <c r="I1073" i="78"/>
  <c r="N1073" i="78"/>
  <c r="K1073" i="78"/>
  <c r="H1073" i="78"/>
  <c r="N789" i="78"/>
  <c r="G28" i="78"/>
  <c r="H28" i="78"/>
  <c r="G59" i="78"/>
  <c r="G62" i="78" s="1"/>
  <c r="C28" i="78"/>
  <c r="Q98" i="78"/>
  <c r="R121" i="78"/>
  <c r="R195" i="78"/>
  <c r="R213" i="78"/>
  <c r="R216" i="78"/>
  <c r="G905" i="78"/>
  <c r="I905" i="78" s="1"/>
  <c r="G298" i="78"/>
  <c r="G319" i="78" s="1"/>
  <c r="I261" i="78"/>
  <c r="R261" i="78" s="1"/>
  <c r="C339" i="78"/>
  <c r="AP944" i="78" s="1"/>
  <c r="Q338" i="78"/>
  <c r="N339" i="78"/>
  <c r="AP952" i="78" s="1"/>
  <c r="R442" i="78"/>
  <c r="P59" i="78"/>
  <c r="P62" i="78" s="1"/>
  <c r="F28" i="78"/>
  <c r="D28" i="78"/>
  <c r="N28" i="78"/>
  <c r="M41" i="78"/>
  <c r="E46" i="78"/>
  <c r="R96" i="78"/>
  <c r="I98" i="78"/>
  <c r="R178" i="78"/>
  <c r="R224" i="78"/>
  <c r="D339" i="78"/>
  <c r="AP945" i="78" s="1"/>
  <c r="O339" i="78"/>
  <c r="AP953" i="78" s="1"/>
  <c r="Q398" i="78"/>
  <c r="N513" i="78"/>
  <c r="H398" i="78"/>
  <c r="H513" i="78" s="1"/>
  <c r="H518" i="78" s="1"/>
  <c r="R450" i="78"/>
  <c r="P891" i="78"/>
  <c r="P897" i="78" s="1"/>
  <c r="P219" i="78"/>
  <c r="P319" i="78" s="1"/>
  <c r="P327" i="78" s="1"/>
  <c r="Q163" i="78"/>
  <c r="O28" i="78"/>
  <c r="K28" i="78"/>
  <c r="C59" i="78"/>
  <c r="C62" i="78" s="1"/>
  <c r="I91" i="78"/>
  <c r="C891" i="78"/>
  <c r="C897" i="78" s="1"/>
  <c r="C219" i="78"/>
  <c r="E159" i="78"/>
  <c r="R159" i="78" s="1"/>
  <c r="R173" i="78"/>
  <c r="G339" i="78"/>
  <c r="AP947" i="78" s="1"/>
  <c r="F339" i="78"/>
  <c r="AP946" i="78" s="1"/>
  <c r="I441" i="78"/>
  <c r="R441" i="78" s="1"/>
  <c r="G486" i="78"/>
  <c r="I486" i="78" s="1"/>
  <c r="J28" i="78"/>
  <c r="Q27" i="78"/>
  <c r="B59" i="78"/>
  <c r="R88" i="78"/>
  <c r="M132" i="78"/>
  <c r="R154" i="78"/>
  <c r="D891" i="78"/>
  <c r="D897" i="78" s="1"/>
  <c r="D219" i="78"/>
  <c r="H891" i="78"/>
  <c r="H897" i="78" s="1"/>
  <c r="H219" i="78"/>
  <c r="I163" i="78"/>
  <c r="R210" i="78"/>
  <c r="H339" i="78"/>
  <c r="AP948" i="78" s="1"/>
  <c r="R354" i="78"/>
  <c r="R1151" i="78"/>
  <c r="R1106" i="78"/>
  <c r="R1081" i="78"/>
  <c r="R998" i="78"/>
  <c r="AS1028" i="78"/>
  <c r="R1027" i="78"/>
  <c r="AS993" i="78"/>
  <c r="R943" i="78"/>
  <c r="R919" i="78"/>
  <c r="AT966" i="78"/>
  <c r="AT934" i="78"/>
  <c r="R972" i="78"/>
  <c r="R878" i="78"/>
  <c r="P28" i="78"/>
  <c r="M57" i="78"/>
  <c r="E58" i="78"/>
  <c r="R83" i="78"/>
  <c r="E91" i="78"/>
  <c r="K134" i="78"/>
  <c r="K137" i="78" s="1"/>
  <c r="R105" i="78"/>
  <c r="R112" i="78"/>
  <c r="I113" i="78"/>
  <c r="E132" i="78"/>
  <c r="R148" i="78"/>
  <c r="J891" i="78"/>
  <c r="M163" i="78"/>
  <c r="J219" i="78"/>
  <c r="R182" i="78"/>
  <c r="R184" i="78"/>
  <c r="J339" i="78"/>
  <c r="AP949" i="78" s="1"/>
  <c r="E486" i="78"/>
  <c r="L134" i="78"/>
  <c r="L137" i="78" s="1"/>
  <c r="K891" i="78"/>
  <c r="K897" i="78" s="1"/>
  <c r="K219" i="78"/>
  <c r="K319" i="78" s="1"/>
  <c r="K327" i="78" s="1"/>
  <c r="R73" i="78"/>
  <c r="B891" i="78"/>
  <c r="E163" i="78"/>
  <c r="B219" i="78"/>
  <c r="L891" i="78"/>
  <c r="L897" i="78" s="1"/>
  <c r="L219" i="78"/>
  <c r="L319" i="78" s="1"/>
  <c r="L327" i="78" s="1"/>
  <c r="R166" i="78"/>
  <c r="R170" i="78"/>
  <c r="R190" i="78"/>
  <c r="B339" i="78"/>
  <c r="AP943" i="78" s="1"/>
  <c r="F513" i="78"/>
  <c r="AB406" i="78"/>
  <c r="AD403" i="78"/>
  <c r="AM403" i="78" s="1"/>
  <c r="AB405" i="78"/>
  <c r="F891" i="78"/>
  <c r="N891" i="78"/>
  <c r="C298" i="78"/>
  <c r="R579" i="78"/>
  <c r="O611" i="78"/>
  <c r="O614" i="78" s="1"/>
  <c r="R591" i="78"/>
  <c r="R608" i="78"/>
  <c r="R612" i="78"/>
  <c r="R626" i="78"/>
  <c r="R633" i="78"/>
  <c r="R666" i="78"/>
  <c r="O691" i="78"/>
  <c r="E710" i="78"/>
  <c r="M710" i="78"/>
  <c r="R724" i="78"/>
  <c r="H789" i="78"/>
  <c r="M810" i="78"/>
  <c r="G891" i="78"/>
  <c r="G897" i="78" s="1"/>
  <c r="O891" i="78"/>
  <c r="O897" i="78" s="1"/>
  <c r="Q259" i="78"/>
  <c r="R259" i="78" s="1"/>
  <c r="D298" i="78"/>
  <c r="E338" i="78"/>
  <c r="M338" i="78"/>
  <c r="AC405" i="78"/>
  <c r="I544" i="78"/>
  <c r="Q544" i="78"/>
  <c r="R581" i="78"/>
  <c r="I587" i="78"/>
  <c r="P611" i="78"/>
  <c r="P614" i="78" s="1"/>
  <c r="F611" i="78"/>
  <c r="F677" i="78"/>
  <c r="I642" i="78"/>
  <c r="M658" i="78"/>
  <c r="E676" i="78"/>
  <c r="E706" i="78"/>
  <c r="Q706" i="78"/>
  <c r="N723" i="78"/>
  <c r="M749" i="78"/>
  <c r="J789" i="78"/>
  <c r="I806" i="78"/>
  <c r="G611" i="78"/>
  <c r="G614" i="78" s="1"/>
  <c r="M593" i="78"/>
  <c r="M609" i="78"/>
  <c r="E658" i="78"/>
  <c r="R688" i="78"/>
  <c r="R702" i="78"/>
  <c r="I706" i="78"/>
  <c r="F723" i="78"/>
  <c r="R738" i="78"/>
  <c r="R759" i="78"/>
  <c r="K789" i="78"/>
  <c r="E810" i="78"/>
  <c r="E905" i="78"/>
  <c r="N298" i="78"/>
  <c r="Q298" i="78" s="1"/>
  <c r="AC404" i="78"/>
  <c r="AD404" i="78" s="1"/>
  <c r="H691" i="78"/>
  <c r="E745" i="78"/>
  <c r="L789" i="78"/>
  <c r="B398" i="78"/>
  <c r="J398" i="78"/>
  <c r="M587" i="78"/>
  <c r="E593" i="78"/>
  <c r="E609" i="78"/>
  <c r="R625" i="78"/>
  <c r="M642" i="78"/>
  <c r="R652" i="78"/>
  <c r="R667" i="78"/>
  <c r="Q749" i="78"/>
  <c r="O818" i="78"/>
  <c r="O822" i="78" s="1"/>
  <c r="Q810" i="78"/>
  <c r="H298" i="78"/>
  <c r="K611" i="78"/>
  <c r="K614" i="78" s="1"/>
  <c r="Q593" i="78"/>
  <c r="M598" i="78"/>
  <c r="Q609" i="78"/>
  <c r="N611" i="78"/>
  <c r="K691" i="78"/>
  <c r="M690" i="78"/>
  <c r="E714" i="78"/>
  <c r="R756" i="78"/>
  <c r="M773" i="78"/>
  <c r="D789" i="78"/>
  <c r="O789" i="78"/>
  <c r="N906" i="78"/>
  <c r="Q905" i="78"/>
  <c r="E292" i="78"/>
  <c r="R292" i="78" s="1"/>
  <c r="L398" i="78"/>
  <c r="L513" i="78" s="1"/>
  <c r="L518" i="78" s="1"/>
  <c r="B611" i="78"/>
  <c r="P789" i="78"/>
  <c r="G818" i="78"/>
  <c r="G822" i="78" s="1"/>
  <c r="I810" i="78"/>
  <c r="I285" i="78"/>
  <c r="R285" i="78" s="1"/>
  <c r="B298" i="78"/>
  <c r="N677" i="78"/>
  <c r="Q642" i="78"/>
  <c r="C691" i="78"/>
  <c r="E690" i="78"/>
  <c r="N691" i="78"/>
  <c r="Q690" i="78"/>
  <c r="G789" i="78"/>
  <c r="Q893" i="78"/>
  <c r="M896" i="78"/>
  <c r="I900" i="78"/>
  <c r="N915" i="78"/>
  <c r="Q908" i="78"/>
  <c r="G981" i="78"/>
  <c r="M894" i="78"/>
  <c r="G902" i="78"/>
  <c r="G933" i="78" s="1"/>
  <c r="M901" i="78"/>
  <c r="N902" i="78"/>
  <c r="J906" i="78"/>
  <c r="F982" i="78"/>
  <c r="B906" i="78"/>
  <c r="F915" i="78"/>
  <c r="I908" i="78"/>
  <c r="F986" i="78"/>
  <c r="AO952" i="78"/>
  <c r="E736" i="78"/>
  <c r="M736" i="78"/>
  <c r="F745" i="78"/>
  <c r="E788" i="78"/>
  <c r="M788" i="78"/>
  <c r="E806" i="78"/>
  <c r="M806" i="78"/>
  <c r="E894" i="78"/>
  <c r="I899" i="78"/>
  <c r="E901" i="78"/>
  <c r="C906" i="78"/>
  <c r="C935" i="78" s="1"/>
  <c r="M904" i="78"/>
  <c r="F789" i="78"/>
  <c r="Q892" i="78"/>
  <c r="D906" i="78"/>
  <c r="D935" i="78" s="1"/>
  <c r="AO953" i="78"/>
  <c r="K763" i="78"/>
  <c r="K775" i="78" s="1"/>
  <c r="M893" i="78"/>
  <c r="I901" i="78"/>
  <c r="E904" i="78"/>
  <c r="O906" i="78"/>
  <c r="O935" i="78" s="1"/>
  <c r="L902" i="78"/>
  <c r="L933" i="78" s="1"/>
  <c r="E893" i="78"/>
  <c r="Q900" i="78"/>
  <c r="L915" i="78"/>
  <c r="L937" i="78" s="1"/>
  <c r="H914" i="78"/>
  <c r="P914" i="78"/>
  <c r="AO943" i="78"/>
  <c r="G983" i="78"/>
  <c r="G991" i="78"/>
  <c r="AD984" i="78"/>
  <c r="AF978" i="78"/>
  <c r="F981" i="78"/>
  <c r="AF988" i="78"/>
  <c r="E911" i="78"/>
  <c r="M911" i="78"/>
  <c r="AF989" i="78"/>
  <c r="C915" i="78"/>
  <c r="C937" i="78" s="1"/>
  <c r="K915" i="78"/>
  <c r="K937" i="78" s="1"/>
  <c r="F991" i="78"/>
  <c r="J1071" i="78"/>
  <c r="AO948" i="78"/>
  <c r="AD983" i="78"/>
  <c r="AF983" i="78"/>
  <c r="AE983" i="78"/>
  <c r="F906" i="78"/>
  <c r="AE978" i="78"/>
  <c r="F965" i="78"/>
  <c r="AG978" i="78"/>
  <c r="AD978" i="78"/>
  <c r="AF979" i="78"/>
  <c r="AD979" i="78"/>
  <c r="AG979" i="78"/>
  <c r="AE979" i="78"/>
  <c r="AG983" i="78"/>
  <c r="Q904" i="78"/>
  <c r="I912" i="78"/>
  <c r="Q912" i="78"/>
  <c r="G982" i="78"/>
  <c r="AG984" i="78"/>
  <c r="AE984" i="78"/>
  <c r="AF984" i="78"/>
  <c r="AD949" i="78"/>
  <c r="F987" i="78"/>
  <c r="AG987" i="78"/>
  <c r="AE987" i="78"/>
  <c r="AF987" i="78"/>
  <c r="AD987" i="78"/>
  <c r="AE988" i="78"/>
  <c r="AG988" i="78"/>
  <c r="AD988" i="78"/>
  <c r="G965" i="78"/>
  <c r="F990" i="78"/>
  <c r="G987" i="78"/>
  <c r="G989" i="78"/>
  <c r="AG989" i="78"/>
  <c r="AE989" i="78"/>
  <c r="AF981" i="78"/>
  <c r="AD981" i="78"/>
  <c r="G992" i="78"/>
  <c r="F983" i="78"/>
  <c r="AG980" i="78"/>
  <c r="AF985" i="78"/>
  <c r="G990" i="78"/>
  <c r="AF980" i="78"/>
  <c r="AD989" i="78"/>
  <c r="AE982" i="78"/>
  <c r="G988" i="78"/>
  <c r="AG982" i="78"/>
  <c r="F985" i="78"/>
  <c r="J1069" i="78"/>
  <c r="J1070" i="78"/>
  <c r="AD1109" i="78"/>
  <c r="AD1107" i="78"/>
  <c r="AD1110" i="78"/>
  <c r="AD1105" i="78"/>
  <c r="AD1103" i="78"/>
  <c r="AD1101" i="78"/>
  <c r="AD1099" i="78"/>
  <c r="AD1097" i="78"/>
  <c r="AD1106" i="78"/>
  <c r="AD1111" i="78"/>
  <c r="AD1104" i="78"/>
  <c r="AD1100" i="78"/>
  <c r="AD1102" i="78"/>
  <c r="AD1108" i="78"/>
  <c r="AD1096" i="78"/>
  <c r="AD1098" i="78"/>
  <c r="AF986" i="78"/>
  <c r="J1065" i="78"/>
  <c r="J1075" i="78"/>
  <c r="J1072" i="78"/>
  <c r="J1073" i="78"/>
  <c r="J1064" i="78"/>
  <c r="J1068" i="78"/>
  <c r="J1067" i="78"/>
  <c r="J1074" i="78"/>
  <c r="J1066" i="78"/>
  <c r="AD1095" i="78"/>
  <c r="AD1092" i="78"/>
  <c r="AD1094" i="78"/>
  <c r="L1116" i="78"/>
  <c r="I1166" i="78"/>
  <c r="J1167" i="78" s="1"/>
  <c r="E1179" i="78"/>
  <c r="L1123" i="78"/>
  <c r="L1124" i="78"/>
  <c r="L1125" i="78"/>
  <c r="G1127" i="78"/>
  <c r="C1100" i="78" s="1"/>
  <c r="G1120" i="78"/>
  <c r="C1093" i="78" s="1"/>
  <c r="G1121" i="78"/>
  <c r="C1094" i="78" s="1"/>
  <c r="G1122" i="78"/>
  <c r="C1095" i="78" s="1"/>
  <c r="G1126" i="78"/>
  <c r="C1099" i="78" s="1"/>
  <c r="N1167" i="78"/>
  <c r="R1167" i="78"/>
  <c r="Q169" i="71"/>
  <c r="M169" i="71"/>
  <c r="I169" i="71"/>
  <c r="E169" i="71"/>
  <c r="M1120" i="78"/>
  <c r="M1123" i="78"/>
  <c r="M1126" i="78"/>
  <c r="M1119" i="78"/>
  <c r="M1121" i="78"/>
  <c r="M1118" i="78"/>
  <c r="M1122" i="78"/>
  <c r="M1124" i="78"/>
  <c r="M1127" i="78"/>
  <c r="M1116" i="78"/>
  <c r="M1125" i="78"/>
  <c r="M1117" i="78"/>
  <c r="H823" i="78" l="1"/>
  <c r="R27" i="78"/>
  <c r="N823" i="78"/>
  <c r="P824" i="78"/>
  <c r="P825" i="78" s="1"/>
  <c r="AD406" i="78"/>
  <c r="AM406" i="78" s="1"/>
  <c r="D875" i="78"/>
  <c r="D790" i="78" s="1"/>
  <c r="O954" i="78" s="1"/>
  <c r="R816" i="78"/>
  <c r="R869" i="78"/>
  <c r="D823" i="78"/>
  <c r="I914" i="78"/>
  <c r="K823" i="78"/>
  <c r="I822" i="78"/>
  <c r="R564" i="78"/>
  <c r="R817" i="78"/>
  <c r="C874" i="78"/>
  <c r="R50" i="78"/>
  <c r="E778" i="78"/>
  <c r="K875" i="78"/>
  <c r="K790" i="78" s="1"/>
  <c r="E677" i="78"/>
  <c r="R895" i="78"/>
  <c r="R512" i="78"/>
  <c r="R722" i="78"/>
  <c r="R749" i="78"/>
  <c r="R565" i="78"/>
  <c r="R802" i="78"/>
  <c r="R910" i="78"/>
  <c r="E914" i="78"/>
  <c r="F824" i="78"/>
  <c r="P955" i="78" s="1"/>
  <c r="R896" i="78"/>
  <c r="M726" i="78"/>
  <c r="R46" i="78"/>
  <c r="R58" i="78"/>
  <c r="R847" i="78"/>
  <c r="R658" i="78"/>
  <c r="R598" i="78"/>
  <c r="Q566" i="78"/>
  <c r="R17" i="78"/>
  <c r="R676" i="78"/>
  <c r="E775" i="78"/>
  <c r="M59" i="78"/>
  <c r="M62" i="78"/>
  <c r="Q822" i="78"/>
  <c r="R899" i="78"/>
  <c r="L875" i="78"/>
  <c r="L790" i="78" s="1"/>
  <c r="L780" i="78" s="1"/>
  <c r="N960" i="78" s="1"/>
  <c r="B680" i="78"/>
  <c r="E680" i="78" s="1"/>
  <c r="R909" i="78"/>
  <c r="AM404" i="78"/>
  <c r="I134" i="78"/>
  <c r="R15" i="78"/>
  <c r="E870" i="78"/>
  <c r="R858" i="78"/>
  <c r="Q134" i="78"/>
  <c r="R648" i="78"/>
  <c r="R610" i="78"/>
  <c r="R556" i="78"/>
  <c r="R913" i="78"/>
  <c r="I818" i="78"/>
  <c r="R41" i="78"/>
  <c r="R412" i="78"/>
  <c r="R318" i="78"/>
  <c r="R16" i="78"/>
  <c r="R14" i="78"/>
  <c r="E134" i="78"/>
  <c r="R317" i="78"/>
  <c r="I59" i="78"/>
  <c r="R908" i="78"/>
  <c r="I62" i="78"/>
  <c r="R788" i="78"/>
  <c r="R18" i="78"/>
  <c r="R868" i="78"/>
  <c r="R511" i="78"/>
  <c r="M914" i="78"/>
  <c r="P875" i="78"/>
  <c r="E566" i="78"/>
  <c r="R133" i="78"/>
  <c r="R912" i="78"/>
  <c r="Q914" i="78"/>
  <c r="R57" i="78"/>
  <c r="R721" i="78"/>
  <c r="R132" i="78"/>
  <c r="R714" i="78"/>
  <c r="L823" i="78"/>
  <c r="R710" i="78"/>
  <c r="M566" i="78"/>
  <c r="Q778" i="78"/>
  <c r="E915" i="78"/>
  <c r="E937" i="78"/>
  <c r="E818" i="78"/>
  <c r="T306" i="78"/>
  <c r="R549" i="78"/>
  <c r="R226" i="78"/>
  <c r="R806" i="78"/>
  <c r="C823" i="78"/>
  <c r="R773" i="78"/>
  <c r="M818" i="78"/>
  <c r="R675" i="78"/>
  <c r="AG991" i="78"/>
  <c r="I566" i="78"/>
  <c r="R774" i="78"/>
  <c r="R98" i="78"/>
  <c r="R113" i="78"/>
  <c r="M870" i="78"/>
  <c r="G875" i="78"/>
  <c r="Q956" i="78" s="1"/>
  <c r="O875" i="78"/>
  <c r="O876" i="78" s="1"/>
  <c r="Q870" i="78"/>
  <c r="R842" i="78"/>
  <c r="H875" i="78"/>
  <c r="H876" i="78" s="1"/>
  <c r="I870" i="78"/>
  <c r="Q775" i="78"/>
  <c r="M723" i="78"/>
  <c r="K727" i="78"/>
  <c r="E726" i="78"/>
  <c r="E723" i="78"/>
  <c r="M677" i="78"/>
  <c r="R642" i="78"/>
  <c r="R587" i="78"/>
  <c r="M611" i="78"/>
  <c r="S590" i="78"/>
  <c r="F569" i="78"/>
  <c r="F570" i="78" s="1"/>
  <c r="E902" i="78"/>
  <c r="R544" i="78"/>
  <c r="G513" i="78"/>
  <c r="G518" i="78" s="1"/>
  <c r="G519" i="78" s="1"/>
  <c r="R486" i="78"/>
  <c r="R900" i="78"/>
  <c r="I933" i="78"/>
  <c r="E933" i="78"/>
  <c r="S378" i="78"/>
  <c r="G906" i="78"/>
  <c r="G935" i="78" s="1"/>
  <c r="E298" i="78"/>
  <c r="Q219" i="78"/>
  <c r="R892" i="78"/>
  <c r="R91" i="78"/>
  <c r="S84" i="78"/>
  <c r="B1117" i="78"/>
  <c r="Q1117" i="78" s="1"/>
  <c r="B1119" i="78"/>
  <c r="Q1119" i="78" s="1"/>
  <c r="B1118" i="78"/>
  <c r="Q1118" i="78" s="1"/>
  <c r="B1127" i="78"/>
  <c r="Q1127" i="78" s="1"/>
  <c r="B1120" i="78"/>
  <c r="Q1120" i="78" s="1"/>
  <c r="B1123" i="78"/>
  <c r="Q1123" i="78" s="1"/>
  <c r="B1121" i="78"/>
  <c r="Q1121" i="78" s="1"/>
  <c r="B1116" i="78"/>
  <c r="Q1116" i="78" s="1"/>
  <c r="B1124" i="78"/>
  <c r="Q1124" i="78" s="1"/>
  <c r="B1122" i="78"/>
  <c r="Q1122" i="78" s="1"/>
  <c r="B1125" i="78"/>
  <c r="Q1125" i="78" s="1"/>
  <c r="B1126" i="78"/>
  <c r="Q1126" i="78" s="1"/>
  <c r="K778" i="78"/>
  <c r="M775" i="78"/>
  <c r="G327" i="78"/>
  <c r="B875" i="78"/>
  <c r="E873" i="78"/>
  <c r="B874" i="78"/>
  <c r="N937" i="78"/>
  <c r="Q937" i="78" s="1"/>
  <c r="Q915" i="78"/>
  <c r="M398" i="78"/>
  <c r="J513" i="78"/>
  <c r="B62" i="78"/>
  <c r="E59" i="78"/>
  <c r="F775" i="78"/>
  <c r="I745" i="78"/>
  <c r="R745" i="78" s="1"/>
  <c r="P959" i="78"/>
  <c r="K825" i="78"/>
  <c r="B824" i="78"/>
  <c r="E822" i="78"/>
  <c r="B823" i="78"/>
  <c r="Q611" i="78"/>
  <c r="N614" i="78"/>
  <c r="E398" i="78"/>
  <c r="B513" i="78"/>
  <c r="P957" i="78"/>
  <c r="H825" i="78"/>
  <c r="R810" i="78"/>
  <c r="I723" i="78"/>
  <c r="F726" i="78"/>
  <c r="N874" i="78"/>
  <c r="N875" i="78"/>
  <c r="N790" i="78" s="1"/>
  <c r="Q873" i="78"/>
  <c r="M763" i="78"/>
  <c r="R763" i="78" s="1"/>
  <c r="G931" i="78"/>
  <c r="I398" i="78"/>
  <c r="L138" i="78"/>
  <c r="M614" i="78"/>
  <c r="J615" i="78"/>
  <c r="I219" i="78"/>
  <c r="H319" i="78"/>
  <c r="H327" i="78" s="1"/>
  <c r="C319" i="78"/>
  <c r="C327" i="78" s="1"/>
  <c r="Q513" i="78"/>
  <c r="N518" i="78"/>
  <c r="Q59" i="78"/>
  <c r="O931" i="78"/>
  <c r="O939" i="78" s="1"/>
  <c r="O13" i="78" s="1"/>
  <c r="O916" i="78"/>
  <c r="F328" i="78"/>
  <c r="AO949" i="78"/>
  <c r="AD956" i="78"/>
  <c r="M915" i="78"/>
  <c r="R894" i="78"/>
  <c r="Q677" i="78"/>
  <c r="N680" i="78"/>
  <c r="Q953" i="78"/>
  <c r="C876" i="78"/>
  <c r="N935" i="78"/>
  <c r="Q935" i="78" s="1"/>
  <c r="Q906" i="78"/>
  <c r="O823" i="78"/>
  <c r="O824" i="78"/>
  <c r="N897" i="78"/>
  <c r="Q891" i="78"/>
  <c r="L328" i="78"/>
  <c r="H931" i="78"/>
  <c r="H939" i="78" s="1"/>
  <c r="H13" i="78" s="1"/>
  <c r="H916" i="78"/>
  <c r="C916" i="78"/>
  <c r="C931" i="78"/>
  <c r="C939" i="78" s="1"/>
  <c r="C13" i="78" s="1"/>
  <c r="N63" i="78"/>
  <c r="Q62" i="78"/>
  <c r="N138" i="78"/>
  <c r="Q137" i="78"/>
  <c r="F518" i="78"/>
  <c r="H519" i="78"/>
  <c r="AE991" i="78"/>
  <c r="R911" i="78"/>
  <c r="M937" i="78"/>
  <c r="Q818" i="78"/>
  <c r="R736" i="78"/>
  <c r="F937" i="78"/>
  <c r="I937" i="78" s="1"/>
  <c r="I915" i="78"/>
  <c r="R905" i="78"/>
  <c r="F874" i="78"/>
  <c r="F875" i="78"/>
  <c r="I873" i="78"/>
  <c r="I677" i="78"/>
  <c r="F680" i="78"/>
  <c r="F897" i="78"/>
  <c r="I891" i="78"/>
  <c r="L916" i="78"/>
  <c r="L931" i="78"/>
  <c r="L939" i="78" s="1"/>
  <c r="L13" i="78" s="1"/>
  <c r="J681" i="78"/>
  <c r="M680" i="78"/>
  <c r="D319" i="78"/>
  <c r="D327" i="78" s="1"/>
  <c r="E137" i="78"/>
  <c r="B138" i="78"/>
  <c r="G63" i="78"/>
  <c r="F935" i="78"/>
  <c r="P953" i="78"/>
  <c r="C825" i="78"/>
  <c r="C790" i="78"/>
  <c r="G615" i="78"/>
  <c r="I611" i="78"/>
  <c r="F614" i="78"/>
  <c r="P954" i="78"/>
  <c r="D825" i="78"/>
  <c r="B319" i="78"/>
  <c r="E219" i="78"/>
  <c r="J319" i="78"/>
  <c r="M219" i="78"/>
  <c r="K138" i="78"/>
  <c r="D916" i="78"/>
  <c r="D931" i="78"/>
  <c r="D939" i="78" s="1"/>
  <c r="D13" i="78" s="1"/>
  <c r="P63" i="78"/>
  <c r="M137" i="78"/>
  <c r="J138" i="78"/>
  <c r="N933" i="78"/>
  <c r="Q933" i="78" s="1"/>
  <c r="Q902" i="78"/>
  <c r="J823" i="78"/>
  <c r="J824" i="78"/>
  <c r="M822" i="78"/>
  <c r="R904" i="78"/>
  <c r="G823" i="78"/>
  <c r="G824" i="78"/>
  <c r="K615" i="78"/>
  <c r="R609" i="78"/>
  <c r="Q723" i="78"/>
  <c r="N726" i="78"/>
  <c r="P615" i="78"/>
  <c r="AD405" i="78"/>
  <c r="AM405" i="78" s="1"/>
  <c r="R163" i="78"/>
  <c r="S201" i="78" s="1"/>
  <c r="I298" i="78"/>
  <c r="M134" i="78"/>
  <c r="F138" i="78"/>
  <c r="I137" i="78"/>
  <c r="AF991" i="78"/>
  <c r="AD1113" i="78"/>
  <c r="R901" i="78"/>
  <c r="R690" i="78"/>
  <c r="B614" i="78"/>
  <c r="E611" i="78"/>
  <c r="J875" i="78"/>
  <c r="M873" i="78"/>
  <c r="J874" i="78"/>
  <c r="R593" i="78"/>
  <c r="P961" i="78"/>
  <c r="N825" i="78"/>
  <c r="B897" i="78"/>
  <c r="E891" i="78"/>
  <c r="K328" i="78"/>
  <c r="J897" i="78"/>
  <c r="M891" i="78"/>
  <c r="B570" i="78"/>
  <c r="E569" i="78"/>
  <c r="N319" i="78"/>
  <c r="J570" i="78"/>
  <c r="M569" i="78"/>
  <c r="P328" i="78"/>
  <c r="M933" i="78"/>
  <c r="B935" i="78"/>
  <c r="E935" i="78" s="1"/>
  <c r="E906" i="78"/>
  <c r="I1179" i="78"/>
  <c r="AD991" i="78"/>
  <c r="R893" i="78"/>
  <c r="M902" i="78"/>
  <c r="J935" i="78"/>
  <c r="M935" i="78" s="1"/>
  <c r="M906" i="78"/>
  <c r="P960" i="78"/>
  <c r="L825" i="78"/>
  <c r="L519" i="78"/>
  <c r="I902" i="78"/>
  <c r="R706" i="78"/>
  <c r="O615" i="78"/>
  <c r="K916" i="78"/>
  <c r="K931" i="78"/>
  <c r="K939" i="78" s="1"/>
  <c r="K13" i="78" s="1"/>
  <c r="N570" i="78"/>
  <c r="Q569" i="78"/>
  <c r="C63" i="78"/>
  <c r="P931" i="78"/>
  <c r="P939" i="78" s="1"/>
  <c r="P13" i="78" s="1"/>
  <c r="P916" i="78"/>
  <c r="R169" i="71"/>
  <c r="Q182" i="71"/>
  <c r="M182" i="71"/>
  <c r="I182" i="71"/>
  <c r="E182" i="71"/>
  <c r="Q251" i="71"/>
  <c r="M251" i="71"/>
  <c r="I251" i="71"/>
  <c r="E251" i="71"/>
  <c r="B681" i="78" l="1"/>
  <c r="P790" i="78"/>
  <c r="O963" i="78" s="1"/>
  <c r="O1020" i="78" s="1"/>
  <c r="P963" i="78"/>
  <c r="P1020" i="78" s="1"/>
  <c r="Q824" i="78"/>
  <c r="D876" i="78"/>
  <c r="Q954" i="78"/>
  <c r="Q1011" i="78" s="1"/>
  <c r="K876" i="78"/>
  <c r="Q959" i="78"/>
  <c r="Q988" i="78" s="1"/>
  <c r="L876" i="78"/>
  <c r="Q962" i="78"/>
  <c r="Q1019" i="78" s="1"/>
  <c r="D780" i="78"/>
  <c r="D728" i="78" s="1"/>
  <c r="D791" i="78"/>
  <c r="P876" i="78"/>
  <c r="Q963" i="78"/>
  <c r="Q992" i="78" s="1"/>
  <c r="F790" i="78"/>
  <c r="O955" i="78" s="1"/>
  <c r="F825" i="78"/>
  <c r="Q960" i="78"/>
  <c r="Q1017" i="78" s="1"/>
  <c r="I824" i="78"/>
  <c r="R914" i="78"/>
  <c r="I513" i="78"/>
  <c r="R818" i="78"/>
  <c r="L728" i="78"/>
  <c r="M960" i="78" s="1"/>
  <c r="R937" i="78"/>
  <c r="R134" i="78"/>
  <c r="R677" i="78"/>
  <c r="R870" i="78"/>
  <c r="R566" i="78"/>
  <c r="Q957" i="78"/>
  <c r="Q1014" i="78" s="1"/>
  <c r="L781" i="78"/>
  <c r="L791" i="78"/>
  <c r="R915" i="78"/>
  <c r="I569" i="78"/>
  <c r="R569" i="78" s="1"/>
  <c r="O960" i="78"/>
  <c r="O1017" i="78" s="1"/>
  <c r="R59" i="78"/>
  <c r="G876" i="78"/>
  <c r="H790" i="78"/>
  <c r="O957" i="78" s="1"/>
  <c r="R723" i="78"/>
  <c r="R933" i="78"/>
  <c r="I906" i="78"/>
  <c r="R906" i="78" s="1"/>
  <c r="R902" i="78"/>
  <c r="R298" i="78"/>
  <c r="I935" i="78"/>
  <c r="R935" i="78" s="1"/>
  <c r="G916" i="78"/>
  <c r="G939" i="78"/>
  <c r="G13" i="78" s="1"/>
  <c r="I327" i="78"/>
  <c r="I319" i="78"/>
  <c r="N327" i="78"/>
  <c r="Q319" i="78"/>
  <c r="R891" i="78"/>
  <c r="T907" i="78" s="1"/>
  <c r="P1012" i="78"/>
  <c r="P984" i="78"/>
  <c r="Q958" i="78"/>
  <c r="J876" i="78"/>
  <c r="M875" i="78"/>
  <c r="P958" i="78"/>
  <c r="M824" i="78"/>
  <c r="J825" i="78"/>
  <c r="J790" i="78"/>
  <c r="R219" i="78"/>
  <c r="P1010" i="78"/>
  <c r="P982" i="78"/>
  <c r="P962" i="78"/>
  <c r="O825" i="78"/>
  <c r="O790" i="78"/>
  <c r="P1014" i="78"/>
  <c r="P986" i="78"/>
  <c r="P952" i="78"/>
  <c r="E824" i="78"/>
  <c r="B825" i="78"/>
  <c r="B790" i="78"/>
  <c r="G328" i="78"/>
  <c r="P1017" i="78"/>
  <c r="P989" i="78"/>
  <c r="E897" i="78"/>
  <c r="B916" i="78"/>
  <c r="E916" i="78" s="1"/>
  <c r="B931" i="78"/>
  <c r="O961" i="78"/>
  <c r="N791" i="78"/>
  <c r="N780" i="78"/>
  <c r="N728" i="78" s="1"/>
  <c r="R611" i="78"/>
  <c r="P956" i="78"/>
  <c r="G825" i="78"/>
  <c r="G790" i="78"/>
  <c r="E319" i="78"/>
  <c r="B327" i="78"/>
  <c r="R137" i="78"/>
  <c r="Q961" i="78"/>
  <c r="Q875" i="78"/>
  <c r="N876" i="78"/>
  <c r="B518" i="78"/>
  <c r="E513" i="78"/>
  <c r="O959" i="78"/>
  <c r="K791" i="78"/>
  <c r="E614" i="78"/>
  <c r="B615" i="78"/>
  <c r="D328" i="78"/>
  <c r="F931" i="78"/>
  <c r="I897" i="78"/>
  <c r="F916" i="78"/>
  <c r="N519" i="78"/>
  <c r="Q518" i="78"/>
  <c r="R398" i="78"/>
  <c r="O983" i="78"/>
  <c r="O1011" i="78"/>
  <c r="P983" i="78"/>
  <c r="P1011" i="78"/>
  <c r="I680" i="78"/>
  <c r="F681" i="78"/>
  <c r="I726" i="78"/>
  <c r="F727" i="78"/>
  <c r="Q614" i="78"/>
  <c r="N615" i="78"/>
  <c r="P1016" i="78"/>
  <c r="P988" i="78"/>
  <c r="Q1128" i="78"/>
  <c r="K780" i="78"/>
  <c r="K779" i="78"/>
  <c r="M778" i="78"/>
  <c r="P1018" i="78"/>
  <c r="P990" i="78"/>
  <c r="Q726" i="78"/>
  <c r="N727" i="78"/>
  <c r="C328" i="78"/>
  <c r="R873" i="78"/>
  <c r="N1017" i="78"/>
  <c r="N989" i="78"/>
  <c r="I614" i="78"/>
  <c r="F615" i="78"/>
  <c r="Q985" i="78"/>
  <c r="Q1013" i="78"/>
  <c r="M897" i="78"/>
  <c r="J916" i="78"/>
  <c r="M916" i="78" s="1"/>
  <c r="J931" i="78"/>
  <c r="I518" i="78"/>
  <c r="F519" i="78"/>
  <c r="N931" i="78"/>
  <c r="Q897" i="78"/>
  <c r="N916" i="78"/>
  <c r="Q916" i="78" s="1"/>
  <c r="Q1010" i="78"/>
  <c r="Q982" i="78"/>
  <c r="H328" i="78"/>
  <c r="F778" i="78"/>
  <c r="I775" i="78"/>
  <c r="R775" i="78" s="1"/>
  <c r="E62" i="78"/>
  <c r="R62" i="78" s="1"/>
  <c r="B63" i="78"/>
  <c r="Q952" i="78"/>
  <c r="B876" i="78"/>
  <c r="E875" i="78"/>
  <c r="O953" i="78"/>
  <c r="C791" i="78"/>
  <c r="C780" i="78"/>
  <c r="Q955" i="78"/>
  <c r="I875" i="78"/>
  <c r="F876" i="78"/>
  <c r="Q680" i="78"/>
  <c r="N681" i="78"/>
  <c r="J518" i="78"/>
  <c r="M513" i="78"/>
  <c r="M319" i="78"/>
  <c r="J327" i="78"/>
  <c r="R822" i="78"/>
  <c r="R182" i="71"/>
  <c r="R251" i="71"/>
  <c r="Q358" i="71"/>
  <c r="M358" i="71"/>
  <c r="M359" i="71"/>
  <c r="I358" i="71"/>
  <c r="E358" i="71"/>
  <c r="P780" i="78" l="1"/>
  <c r="N963" i="78" s="1"/>
  <c r="N992" i="78" s="1"/>
  <c r="P992" i="78"/>
  <c r="P791" i="78"/>
  <c r="Q790" i="78"/>
  <c r="Q983" i="78"/>
  <c r="N954" i="78"/>
  <c r="N1011" i="78" s="1"/>
  <c r="Q1016" i="78"/>
  <c r="S1096" i="78" s="1"/>
  <c r="Q991" i="78"/>
  <c r="D781" i="78"/>
  <c r="O992" i="78"/>
  <c r="Q1020" i="78"/>
  <c r="S1100" i="78" s="1"/>
  <c r="O989" i="78"/>
  <c r="F791" i="78"/>
  <c r="Q989" i="78"/>
  <c r="L729" i="78"/>
  <c r="H791" i="78"/>
  <c r="L692" i="78"/>
  <c r="L693" i="78" s="1"/>
  <c r="Q986" i="78"/>
  <c r="H780" i="78"/>
  <c r="N957" i="78" s="1"/>
  <c r="I790" i="78"/>
  <c r="R824" i="78"/>
  <c r="I916" i="78"/>
  <c r="R916" i="78" s="1"/>
  <c r="R680" i="78"/>
  <c r="F779" i="78"/>
  <c r="I778" i="78"/>
  <c r="R778" i="78" s="1"/>
  <c r="F780" i="78"/>
  <c r="M989" i="78"/>
  <c r="M1017" i="78"/>
  <c r="O1014" i="78"/>
  <c r="O986" i="78"/>
  <c r="B519" i="78"/>
  <c r="E518" i="78"/>
  <c r="R875" i="78"/>
  <c r="Q1097" i="78"/>
  <c r="AP1052" i="78"/>
  <c r="AP1017" i="78"/>
  <c r="S1091" i="78"/>
  <c r="AR1046" i="78"/>
  <c r="AR1011" i="78"/>
  <c r="P1013" i="78"/>
  <c r="P985" i="78"/>
  <c r="R897" i="78"/>
  <c r="T897" i="78" s="1"/>
  <c r="R1090" i="78"/>
  <c r="AQ1010" i="78"/>
  <c r="AQ1045" i="78"/>
  <c r="Q1015" i="78"/>
  <c r="Q987" i="78"/>
  <c r="P1009" i="78"/>
  <c r="P965" i="78"/>
  <c r="P981" i="78"/>
  <c r="Q981" i="78"/>
  <c r="Q1009" i="78"/>
  <c r="Q965" i="78"/>
  <c r="S1097" i="78"/>
  <c r="AR1052" i="78"/>
  <c r="AR1017" i="78"/>
  <c r="N959" i="78"/>
  <c r="K781" i="78"/>
  <c r="K728" i="78"/>
  <c r="R1091" i="78"/>
  <c r="AQ1046" i="78"/>
  <c r="AQ1011" i="78"/>
  <c r="Q1018" i="78"/>
  <c r="Q990" i="78"/>
  <c r="N961" i="78"/>
  <c r="N781" i="78"/>
  <c r="O958" i="78"/>
  <c r="J791" i="78"/>
  <c r="M790" i="78"/>
  <c r="J780" i="78"/>
  <c r="R1092" i="78"/>
  <c r="AQ1047" i="78"/>
  <c r="AQ1012" i="78"/>
  <c r="S1093" i="78"/>
  <c r="AR1048" i="78"/>
  <c r="AR1013" i="78"/>
  <c r="AR1049" i="78"/>
  <c r="S1094" i="78"/>
  <c r="AR1014" i="78"/>
  <c r="Q1012" i="78"/>
  <c r="Q984" i="78"/>
  <c r="AR1045" i="78"/>
  <c r="S1090" i="78"/>
  <c r="AR1010" i="78"/>
  <c r="S1099" i="78"/>
  <c r="AR1054" i="78"/>
  <c r="AR1019" i="78"/>
  <c r="M954" i="78"/>
  <c r="D692" i="78"/>
  <c r="D729" i="78"/>
  <c r="R726" i="78"/>
  <c r="AP1055" i="78"/>
  <c r="Q1100" i="78"/>
  <c r="AP1020" i="78"/>
  <c r="AQ1052" i="78"/>
  <c r="AQ1017" i="78"/>
  <c r="R1097" i="78"/>
  <c r="AQ1049" i="78"/>
  <c r="AQ1014" i="78"/>
  <c r="R1094" i="78"/>
  <c r="N953" i="78"/>
  <c r="C781" i="78"/>
  <c r="C728" i="78"/>
  <c r="M961" i="78"/>
  <c r="N729" i="78"/>
  <c r="N692" i="78"/>
  <c r="Q1091" i="78"/>
  <c r="AP1046" i="78"/>
  <c r="AP1011" i="78"/>
  <c r="O984" i="78"/>
  <c r="O1012" i="78"/>
  <c r="R614" i="78"/>
  <c r="E327" i="78"/>
  <c r="B328" i="78"/>
  <c r="O962" i="78"/>
  <c r="O791" i="78"/>
  <c r="O780" i="78"/>
  <c r="R1100" i="78"/>
  <c r="AQ1020" i="78"/>
  <c r="AQ1055" i="78"/>
  <c r="J519" i="78"/>
  <c r="M518" i="78"/>
  <c r="O1016" i="78"/>
  <c r="O988" i="78"/>
  <c r="R319" i="78"/>
  <c r="O1018" i="78"/>
  <c r="O990" i="78"/>
  <c r="P1015" i="78"/>
  <c r="P987" i="78"/>
  <c r="N328" i="78"/>
  <c r="Q327" i="78"/>
  <c r="M327" i="78"/>
  <c r="J328" i="78"/>
  <c r="O982" i="78"/>
  <c r="O1010" i="78"/>
  <c r="N939" i="78"/>
  <c r="N13" i="78" s="1"/>
  <c r="Q931" i="78"/>
  <c r="Q939" i="78" s="1"/>
  <c r="J939" i="78"/>
  <c r="J13" i="78" s="1"/>
  <c r="M931" i="78"/>
  <c r="M939" i="78" s="1"/>
  <c r="P1097" i="78"/>
  <c r="AO1052" i="78"/>
  <c r="AO1017" i="78"/>
  <c r="R1098" i="78"/>
  <c r="AQ1053" i="78"/>
  <c r="AQ1018" i="78"/>
  <c r="R1096" i="78"/>
  <c r="AQ1051" i="78"/>
  <c r="AQ1016" i="78"/>
  <c r="F939" i="78"/>
  <c r="F13" i="78" s="1"/>
  <c r="I931" i="78"/>
  <c r="I939" i="78" s="1"/>
  <c r="R513" i="78"/>
  <c r="O956" i="78"/>
  <c r="G791" i="78"/>
  <c r="G780" i="78"/>
  <c r="B939" i="78"/>
  <c r="B13" i="78" s="1"/>
  <c r="E931" i="78"/>
  <c r="O952" i="78"/>
  <c r="E790" i="78"/>
  <c r="B791" i="78"/>
  <c r="B780" i="78"/>
  <c r="P991" i="78"/>
  <c r="P1019" i="78"/>
  <c r="R358" i="71"/>
  <c r="D327" i="71"/>
  <c r="Q13" i="78" l="1"/>
  <c r="I13" i="78"/>
  <c r="E13" i="78"/>
  <c r="M13" i="78"/>
  <c r="N1020" i="78"/>
  <c r="P1100" i="78" s="1"/>
  <c r="P728" i="78"/>
  <c r="M963" i="78" s="1"/>
  <c r="M1020" i="78" s="1"/>
  <c r="Q780" i="78"/>
  <c r="P781" i="78"/>
  <c r="N983" i="78"/>
  <c r="AR1051" i="78"/>
  <c r="AR1016" i="78"/>
  <c r="AR1055" i="78"/>
  <c r="AR1020" i="78"/>
  <c r="L682" i="78"/>
  <c r="K960" i="78" s="1"/>
  <c r="L960" i="78"/>
  <c r="L989" i="78" s="1"/>
  <c r="H728" i="78"/>
  <c r="H729" i="78" s="1"/>
  <c r="H781" i="78"/>
  <c r="AQ1054" i="78"/>
  <c r="AQ1019" i="78"/>
  <c r="R1099" i="78"/>
  <c r="N956" i="78"/>
  <c r="G781" i="78"/>
  <c r="G728" i="78"/>
  <c r="R327" i="78"/>
  <c r="L961" i="78"/>
  <c r="N693" i="78"/>
  <c r="N682" i="78"/>
  <c r="N958" i="78"/>
  <c r="J781" i="78"/>
  <c r="M780" i="78"/>
  <c r="J728" i="78"/>
  <c r="S1098" i="78"/>
  <c r="AR1053" i="78"/>
  <c r="AR1018" i="78"/>
  <c r="M953" i="78"/>
  <c r="C729" i="78"/>
  <c r="C692" i="78"/>
  <c r="R1089" i="78"/>
  <c r="AQ1009" i="78"/>
  <c r="AQ1044" i="78"/>
  <c r="P1022" i="78"/>
  <c r="Q1098" i="78"/>
  <c r="AP1053" i="78"/>
  <c r="AP1018" i="78"/>
  <c r="N1010" i="78"/>
  <c r="N982" i="78"/>
  <c r="S1095" i="78"/>
  <c r="AR1015" i="78"/>
  <c r="AR1050" i="78"/>
  <c r="Q1094" i="78"/>
  <c r="AP1049" i="78"/>
  <c r="AP1014" i="78"/>
  <c r="O1013" i="78"/>
  <c r="O985" i="78"/>
  <c r="AP1047" i="78"/>
  <c r="Q1092" i="78"/>
  <c r="AP1012" i="78"/>
  <c r="AP1045" i="78"/>
  <c r="Q1090" i="78"/>
  <c r="AP1010" i="78"/>
  <c r="N962" i="78"/>
  <c r="O781" i="78"/>
  <c r="O728" i="78"/>
  <c r="M1018" i="78"/>
  <c r="M990" i="78"/>
  <c r="AR1111" i="78"/>
  <c r="AR1104" i="78"/>
  <c r="AR1109" i="78"/>
  <c r="AR1107" i="78"/>
  <c r="AR1112" i="78"/>
  <c r="AR1110" i="78"/>
  <c r="AR1105" i="78"/>
  <c r="AR1103" i="78"/>
  <c r="AR1101" i="78"/>
  <c r="AR1099" i="78"/>
  <c r="AR1097" i="78"/>
  <c r="AR1108" i="78"/>
  <c r="AR1106" i="78"/>
  <c r="AR1102" i="78"/>
  <c r="AR1093" i="78"/>
  <c r="AR1091" i="78"/>
  <c r="AR1089" i="78"/>
  <c r="AR1100" i="78"/>
  <c r="AR1094" i="78"/>
  <c r="AR1092" i="78"/>
  <c r="AR1090" i="78"/>
  <c r="AR1095" i="78"/>
  <c r="AR1098" i="78"/>
  <c r="AR1096" i="78"/>
  <c r="O1015" i="78"/>
  <c r="O987" i="78"/>
  <c r="S1089" i="78"/>
  <c r="AR1044" i="78"/>
  <c r="Q1022" i="78"/>
  <c r="AR1009" i="78"/>
  <c r="R1095" i="78"/>
  <c r="AQ1050" i="78"/>
  <c r="AQ1015" i="78"/>
  <c r="R1093" i="78"/>
  <c r="AQ1048" i="78"/>
  <c r="AQ1013" i="78"/>
  <c r="N952" i="78"/>
  <c r="B781" i="78"/>
  <c r="E780" i="78"/>
  <c r="B728" i="78"/>
  <c r="O1097" i="78"/>
  <c r="AN1052" i="78"/>
  <c r="AN1017" i="78"/>
  <c r="R790" i="78"/>
  <c r="AP1051" i="78"/>
  <c r="Q1096" i="78"/>
  <c r="AP1016" i="78"/>
  <c r="P1091" i="78"/>
  <c r="AO1046" i="78"/>
  <c r="AO1011" i="78"/>
  <c r="M959" i="78"/>
  <c r="K729" i="78"/>
  <c r="K692" i="78"/>
  <c r="AQ1106" i="78"/>
  <c r="AQ1111" i="78"/>
  <c r="AQ1104" i="78"/>
  <c r="AQ1102" i="78"/>
  <c r="AQ1100" i="78"/>
  <c r="AQ1098" i="78"/>
  <c r="AQ1109" i="78"/>
  <c r="AQ1107" i="78"/>
  <c r="AQ1112" i="78"/>
  <c r="AQ1110" i="78"/>
  <c r="AQ1105" i="78"/>
  <c r="AQ1103" i="78"/>
  <c r="AQ1101" i="78"/>
  <c r="AQ1099" i="78"/>
  <c r="AQ1097" i="78"/>
  <c r="AQ1108" i="78"/>
  <c r="AQ1092" i="78"/>
  <c r="AQ1090" i="78"/>
  <c r="AQ1094" i="78"/>
  <c r="AQ1095" i="78"/>
  <c r="AQ1091" i="78"/>
  <c r="AQ1089" i="78"/>
  <c r="AQ1096" i="78"/>
  <c r="AQ1093" i="78"/>
  <c r="N955" i="78"/>
  <c r="I780" i="78"/>
  <c r="F781" i="78"/>
  <c r="F728" i="78"/>
  <c r="N1014" i="78"/>
  <c r="N986" i="78"/>
  <c r="O1009" i="78"/>
  <c r="O965" i="78"/>
  <c r="O981" i="78"/>
  <c r="O1019" i="78"/>
  <c r="O991" i="78"/>
  <c r="L954" i="78"/>
  <c r="D693" i="78"/>
  <c r="D682" i="78"/>
  <c r="R518" i="78"/>
  <c r="E939" i="78"/>
  <c r="R931" i="78"/>
  <c r="R939" i="78" s="1"/>
  <c r="M1011" i="78"/>
  <c r="M983" i="78"/>
  <c r="AR1047" i="78"/>
  <c r="S1092" i="78"/>
  <c r="AR1012" i="78"/>
  <c r="N1018" i="78"/>
  <c r="N990" i="78"/>
  <c r="N988" i="78"/>
  <c r="N1016" i="78"/>
  <c r="J174" i="71"/>
  <c r="H174" i="71"/>
  <c r="G174" i="71"/>
  <c r="R13" i="78" l="1"/>
  <c r="P692" i="78"/>
  <c r="L963" i="78" s="1"/>
  <c r="L992" i="78" s="1"/>
  <c r="M992" i="78"/>
  <c r="P729" i="78"/>
  <c r="AO1020" i="78"/>
  <c r="AO1055" i="78"/>
  <c r="L1017" i="78"/>
  <c r="AM1017" i="78" s="1"/>
  <c r="H692" i="78"/>
  <c r="H682" i="78" s="1"/>
  <c r="M957" i="78"/>
  <c r="M986" i="78" s="1"/>
  <c r="L683" i="78"/>
  <c r="L616" i="78"/>
  <c r="J960" i="78" s="1"/>
  <c r="AQ1113" i="78"/>
  <c r="M1016" i="78"/>
  <c r="M988" i="78"/>
  <c r="M1010" i="78"/>
  <c r="M982" i="78"/>
  <c r="K961" i="78"/>
  <c r="N683" i="78"/>
  <c r="N616" i="78"/>
  <c r="Q1099" i="78"/>
  <c r="AP1054" i="78"/>
  <c r="AP1019" i="78"/>
  <c r="P1094" i="78"/>
  <c r="AO1049" i="78"/>
  <c r="AO1014" i="78"/>
  <c r="AP1108" i="78"/>
  <c r="AP1106" i="78"/>
  <c r="AP1111" i="78"/>
  <c r="AP1104" i="78"/>
  <c r="AP1102" i="78"/>
  <c r="AP1100" i="78"/>
  <c r="AP1098" i="78"/>
  <c r="AP1112" i="78"/>
  <c r="AP1110" i="78"/>
  <c r="AP1105" i="78"/>
  <c r="AP1103" i="78"/>
  <c r="AP1107" i="78"/>
  <c r="AP1097" i="78"/>
  <c r="AP1094" i="78"/>
  <c r="AP1109" i="78"/>
  <c r="AP1095" i="78"/>
  <c r="AP1096" i="78"/>
  <c r="AP1099" i="78"/>
  <c r="AP1092" i="78"/>
  <c r="AP1090" i="78"/>
  <c r="AP1101" i="78"/>
  <c r="AP1091" i="78"/>
  <c r="AP1089" i="78"/>
  <c r="AP1093" i="78"/>
  <c r="O1100" i="78"/>
  <c r="AN1055" i="78"/>
  <c r="AN1020" i="78"/>
  <c r="M955" i="78"/>
  <c r="F729" i="78"/>
  <c r="I728" i="78"/>
  <c r="F692" i="78"/>
  <c r="Q1095" i="78"/>
  <c r="AP1050" i="78"/>
  <c r="AP1015" i="78"/>
  <c r="AR1113" i="78"/>
  <c r="M952" i="78"/>
  <c r="B729" i="78"/>
  <c r="B692" i="78"/>
  <c r="E728" i="78"/>
  <c r="AQ1057" i="78"/>
  <c r="L1018" i="78"/>
  <c r="L990" i="78"/>
  <c r="M956" i="78"/>
  <c r="G729" i="78"/>
  <c r="G692" i="78"/>
  <c r="R780" i="78"/>
  <c r="O1098" i="78"/>
  <c r="AN1053" i="78"/>
  <c r="AN1018" i="78"/>
  <c r="AQ1022" i="78"/>
  <c r="M958" i="78"/>
  <c r="M728" i="78"/>
  <c r="J692" i="78"/>
  <c r="J729" i="78"/>
  <c r="K954" i="78"/>
  <c r="D683" i="78"/>
  <c r="D616" i="78"/>
  <c r="N1012" i="78"/>
  <c r="N984" i="78"/>
  <c r="AR1022" i="78"/>
  <c r="M962" i="78"/>
  <c r="O729" i="78"/>
  <c r="O692" i="78"/>
  <c r="Q728" i="78"/>
  <c r="N1013" i="78"/>
  <c r="N985" i="78"/>
  <c r="P1098" i="78"/>
  <c r="AO1053" i="78"/>
  <c r="AO1018" i="78"/>
  <c r="L959" i="78"/>
  <c r="K693" i="78"/>
  <c r="K682" i="78"/>
  <c r="N1009" i="78"/>
  <c r="N965" i="78"/>
  <c r="N981" i="78"/>
  <c r="Q1093" i="78"/>
  <c r="AP1048" i="78"/>
  <c r="AP1013" i="78"/>
  <c r="P1090" i="78"/>
  <c r="AO1010" i="78"/>
  <c r="AO1045" i="78"/>
  <c r="L953" i="78"/>
  <c r="C693" i="78"/>
  <c r="C682" i="78"/>
  <c r="AO1051" i="78"/>
  <c r="P1096" i="78"/>
  <c r="AO1016" i="78"/>
  <c r="O1091" i="78"/>
  <c r="AN1046" i="78"/>
  <c r="AN1011" i="78"/>
  <c r="L1011" i="78"/>
  <c r="L983" i="78"/>
  <c r="Q1089" i="78"/>
  <c r="AP1009" i="78"/>
  <c r="AP1044" i="78"/>
  <c r="O1022" i="78"/>
  <c r="AR1057" i="78"/>
  <c r="N1019" i="78"/>
  <c r="N991" i="78"/>
  <c r="N1015" i="78"/>
  <c r="N987" i="78"/>
  <c r="K1017" i="78"/>
  <c r="K989" i="78"/>
  <c r="H152" i="71"/>
  <c r="G152" i="71"/>
  <c r="F152" i="71"/>
  <c r="J343" i="71"/>
  <c r="H343" i="71"/>
  <c r="G343" i="71"/>
  <c r="F343" i="71"/>
  <c r="Q337" i="71"/>
  <c r="M337" i="71"/>
  <c r="I337" i="71"/>
  <c r="E337" i="71"/>
  <c r="J421" i="71"/>
  <c r="H421" i="71"/>
  <c r="G421" i="71"/>
  <c r="F421" i="71"/>
  <c r="J457" i="71"/>
  <c r="H457" i="71"/>
  <c r="G457" i="71"/>
  <c r="F457" i="71"/>
  <c r="J828" i="71"/>
  <c r="H828" i="71"/>
  <c r="G828" i="71"/>
  <c r="F828" i="71"/>
  <c r="J189" i="71"/>
  <c r="J188" i="71"/>
  <c r="H188" i="71"/>
  <c r="F254" i="71"/>
  <c r="H186" i="71"/>
  <c r="G186" i="71"/>
  <c r="J186" i="71"/>
  <c r="F186" i="71"/>
  <c r="J184" i="71"/>
  <c r="H184" i="71"/>
  <c r="G184" i="71"/>
  <c r="F184" i="71"/>
  <c r="J183" i="71"/>
  <c r="H183" i="71"/>
  <c r="G183" i="71"/>
  <c r="F183" i="71"/>
  <c r="L1020" i="78" l="1"/>
  <c r="AM1055" i="78" s="1"/>
  <c r="P682" i="78"/>
  <c r="P683" i="78" s="1"/>
  <c r="P693" i="78"/>
  <c r="AW981" i="78"/>
  <c r="AM1052" i="78"/>
  <c r="N1097" i="78"/>
  <c r="M1014" i="78"/>
  <c r="O1094" i="78" s="1"/>
  <c r="H693" i="78"/>
  <c r="L957" i="78"/>
  <c r="L986" i="78" s="1"/>
  <c r="L571" i="78"/>
  <c r="L520" i="78" s="1"/>
  <c r="L617" i="78"/>
  <c r="AP1113" i="78"/>
  <c r="P1092" i="78"/>
  <c r="AO1047" i="78"/>
  <c r="AO1012" i="78"/>
  <c r="M984" i="78"/>
  <c r="M1012" i="78"/>
  <c r="J961" i="78"/>
  <c r="N617" i="78"/>
  <c r="N571" i="78"/>
  <c r="N1098" i="78"/>
  <c r="AM1053" i="78"/>
  <c r="AM1018" i="78"/>
  <c r="AW982" i="78"/>
  <c r="K957" i="78"/>
  <c r="H683" i="78"/>
  <c r="H616" i="78"/>
  <c r="N1091" i="78"/>
  <c r="AM1046" i="78"/>
  <c r="AM1011" i="78"/>
  <c r="AW975" i="78"/>
  <c r="K953" i="78"/>
  <c r="C683" i="78"/>
  <c r="C616" i="78"/>
  <c r="J1017" i="78"/>
  <c r="J989" i="78"/>
  <c r="J954" i="78"/>
  <c r="D617" i="78"/>
  <c r="D571" i="78"/>
  <c r="M1097" i="78"/>
  <c r="AL1052" i="78"/>
  <c r="AL1017" i="78"/>
  <c r="P1099" i="78"/>
  <c r="AO1054" i="78"/>
  <c r="AO1019" i="78"/>
  <c r="L1010" i="78"/>
  <c r="L982" i="78"/>
  <c r="L962" i="78"/>
  <c r="O693" i="78"/>
  <c r="O682" i="78"/>
  <c r="Q692" i="78"/>
  <c r="K1011" i="78"/>
  <c r="K983" i="78"/>
  <c r="R728" i="78"/>
  <c r="K990" i="78"/>
  <c r="K1018" i="78"/>
  <c r="P1095" i="78"/>
  <c r="AO1050" i="78"/>
  <c r="AO1015" i="78"/>
  <c r="K959" i="78"/>
  <c r="K683" i="78"/>
  <c r="K616" i="78"/>
  <c r="M991" i="78"/>
  <c r="M1019" i="78"/>
  <c r="L958" i="78"/>
  <c r="M692" i="78"/>
  <c r="J693" i="78"/>
  <c r="J682" i="78"/>
  <c r="L955" i="78"/>
  <c r="F693" i="78"/>
  <c r="I692" i="78"/>
  <c r="F682" i="78"/>
  <c r="P1093" i="78"/>
  <c r="AO1048" i="78"/>
  <c r="AO1013" i="78"/>
  <c r="M1009" i="78"/>
  <c r="M981" i="78"/>
  <c r="M965" i="78"/>
  <c r="P1089" i="78"/>
  <c r="AO1044" i="78"/>
  <c r="N1022" i="78"/>
  <c r="AO1009" i="78"/>
  <c r="L952" i="78"/>
  <c r="E692" i="78"/>
  <c r="B693" i="78"/>
  <c r="B682" i="78"/>
  <c r="L956" i="78"/>
  <c r="G693" i="78"/>
  <c r="G682" i="78"/>
  <c r="O1090" i="78"/>
  <c r="AN1045" i="78"/>
  <c r="AN1010" i="78"/>
  <c r="AP1057" i="78"/>
  <c r="AO1112" i="78"/>
  <c r="AO1110" i="78"/>
  <c r="AO1105" i="78"/>
  <c r="AO1103" i="78"/>
  <c r="AO1101" i="78"/>
  <c r="AO1099" i="78"/>
  <c r="AO1097" i="78"/>
  <c r="AO1108" i="78"/>
  <c r="AO1106" i="78"/>
  <c r="AO1109" i="78"/>
  <c r="AO1107" i="78"/>
  <c r="AO1098" i="78"/>
  <c r="AO1111" i="78"/>
  <c r="AO1093" i="78"/>
  <c r="AO1091" i="78"/>
  <c r="AO1089" i="78"/>
  <c r="AO1094" i="78"/>
  <c r="AO1104" i="78"/>
  <c r="AO1092" i="78"/>
  <c r="AO1090" i="78"/>
  <c r="AO1095" i="78"/>
  <c r="AO1102" i="78"/>
  <c r="AO1096" i="78"/>
  <c r="AO1100" i="78"/>
  <c r="AP1022" i="78"/>
  <c r="L1016" i="78"/>
  <c r="L988" i="78"/>
  <c r="M987" i="78"/>
  <c r="M1015" i="78"/>
  <c r="M985" i="78"/>
  <c r="M1013" i="78"/>
  <c r="O1096" i="78"/>
  <c r="AN1051" i="78"/>
  <c r="AN1016" i="78"/>
  <c r="R337" i="71"/>
  <c r="G357" i="71"/>
  <c r="J357" i="71"/>
  <c r="H357" i="71"/>
  <c r="F357" i="71"/>
  <c r="J416" i="71"/>
  <c r="H416" i="71"/>
  <c r="G416" i="71"/>
  <c r="F416" i="71"/>
  <c r="J278" i="71"/>
  <c r="J226" i="71"/>
  <c r="AW984" i="78" l="1"/>
  <c r="N1100" i="78"/>
  <c r="K963" i="78"/>
  <c r="K992" i="78" s="1"/>
  <c r="AM1020" i="78"/>
  <c r="P616" i="78"/>
  <c r="P617" i="78" s="1"/>
  <c r="AN1014" i="78"/>
  <c r="AN1049" i="78"/>
  <c r="L1014" i="78"/>
  <c r="N1094" i="78" s="1"/>
  <c r="I960" i="78"/>
  <c r="I1017" i="78" s="1"/>
  <c r="L527" i="78"/>
  <c r="L526" i="78" s="1"/>
  <c r="L525" i="78" s="1"/>
  <c r="L524" i="78" s="1"/>
  <c r="L523" i="78" s="1"/>
  <c r="L522" i="78" s="1"/>
  <c r="L572" i="78"/>
  <c r="AO1057" i="78"/>
  <c r="R692" i="78"/>
  <c r="H960" i="78"/>
  <c r="L521" i="78"/>
  <c r="L329" i="78"/>
  <c r="AM1051" i="78"/>
  <c r="N1096" i="78"/>
  <c r="AM1016" i="78"/>
  <c r="AW980" i="78"/>
  <c r="L1013" i="78"/>
  <c r="L985" i="78"/>
  <c r="M1091" i="78"/>
  <c r="AL1011" i="78"/>
  <c r="AL1046" i="78"/>
  <c r="K952" i="78"/>
  <c r="B683" i="78"/>
  <c r="E682" i="78"/>
  <c r="B616" i="78"/>
  <c r="L1015" i="78"/>
  <c r="L987" i="78"/>
  <c r="L1097" i="78"/>
  <c r="AK1052" i="78"/>
  <c r="AK1017" i="78"/>
  <c r="J957" i="78"/>
  <c r="H617" i="78"/>
  <c r="H571" i="78"/>
  <c r="O1093" i="78"/>
  <c r="AN1048" i="78"/>
  <c r="AN1013" i="78"/>
  <c r="J983" i="78"/>
  <c r="J1011" i="78"/>
  <c r="O1092" i="78"/>
  <c r="AN1047" i="78"/>
  <c r="AN1012" i="78"/>
  <c r="O1095" i="78"/>
  <c r="AN1050" i="78"/>
  <c r="AN1015" i="78"/>
  <c r="AO1113" i="78"/>
  <c r="K955" i="78"/>
  <c r="F683" i="78"/>
  <c r="I682" i="78"/>
  <c r="F616" i="78"/>
  <c r="O1099" i="78"/>
  <c r="AN1054" i="78"/>
  <c r="AN1019" i="78"/>
  <c r="M1098" i="78"/>
  <c r="AL1018" i="78"/>
  <c r="AL1053" i="78"/>
  <c r="K962" i="78"/>
  <c r="O683" i="78"/>
  <c r="O616" i="78"/>
  <c r="Q682" i="78"/>
  <c r="J953" i="78"/>
  <c r="C617" i="78"/>
  <c r="C571" i="78"/>
  <c r="L981" i="78"/>
  <c r="L1009" i="78"/>
  <c r="L965" i="78"/>
  <c r="J959" i="78"/>
  <c r="K617" i="78"/>
  <c r="K571" i="78"/>
  <c r="L1019" i="78"/>
  <c r="L991" i="78"/>
  <c r="K982" i="78"/>
  <c r="K1010" i="78"/>
  <c r="O1089" i="78"/>
  <c r="AN1044" i="78"/>
  <c r="M1022" i="78"/>
  <c r="AN1009" i="78"/>
  <c r="K986" i="78"/>
  <c r="K1014" i="78"/>
  <c r="AN1112" i="78"/>
  <c r="AN1110" i="78"/>
  <c r="AN1105" i="78"/>
  <c r="AN1103" i="78"/>
  <c r="AN1108" i="78"/>
  <c r="AN1106" i="78"/>
  <c r="AN1111" i="78"/>
  <c r="AN1104" i="78"/>
  <c r="AN1102" i="78"/>
  <c r="AN1100" i="78"/>
  <c r="AN1098" i="78"/>
  <c r="AN1109" i="78"/>
  <c r="AN1107" i="78"/>
  <c r="AN1101" i="78"/>
  <c r="AN1099" i="78"/>
  <c r="AN1096" i="78"/>
  <c r="AN1092" i="78"/>
  <c r="AN1090" i="78"/>
  <c r="AN1094" i="78"/>
  <c r="AN1095" i="78"/>
  <c r="AN1091" i="78"/>
  <c r="AN1097" i="78"/>
  <c r="AN1093" i="78"/>
  <c r="AN1089" i="78"/>
  <c r="AO1022" i="78"/>
  <c r="L1012" i="78"/>
  <c r="L984" i="78"/>
  <c r="I954" i="78"/>
  <c r="D572" i="78"/>
  <c r="D527" i="78"/>
  <c r="D526" i="78" s="1"/>
  <c r="D525" i="78" s="1"/>
  <c r="D524" i="78" s="1"/>
  <c r="D523" i="78" s="1"/>
  <c r="D522" i="78" s="1"/>
  <c r="D520" i="78"/>
  <c r="I961" i="78"/>
  <c r="N572" i="78"/>
  <c r="N527" i="78"/>
  <c r="N526" i="78" s="1"/>
  <c r="N525" i="78" s="1"/>
  <c r="N524" i="78" s="1"/>
  <c r="N523" i="78" s="1"/>
  <c r="N522" i="78" s="1"/>
  <c r="N520" i="78"/>
  <c r="K956" i="78"/>
  <c r="G683" i="78"/>
  <c r="G616" i="78"/>
  <c r="K958" i="78"/>
  <c r="M682" i="78"/>
  <c r="J683" i="78"/>
  <c r="J616" i="78"/>
  <c r="K988" i="78"/>
  <c r="K1016" i="78"/>
  <c r="N1090" i="78"/>
  <c r="AM1010" i="78"/>
  <c r="AM1045" i="78"/>
  <c r="AW974" i="78"/>
  <c r="J1018" i="78"/>
  <c r="J990" i="78"/>
  <c r="J404" i="71"/>
  <c r="H404" i="71"/>
  <c r="G404" i="71"/>
  <c r="F404" i="71"/>
  <c r="L331" i="78" l="1"/>
  <c r="X49" i="2" s="1"/>
  <c r="I989" i="78"/>
  <c r="P571" i="78"/>
  <c r="P572" i="78" s="1"/>
  <c r="K1020" i="78"/>
  <c r="M1100" i="78" s="1"/>
  <c r="J963" i="78"/>
  <c r="AW978" i="78"/>
  <c r="AM1049" i="78"/>
  <c r="AM1014" i="78"/>
  <c r="J986" i="78"/>
  <c r="J1014" i="78"/>
  <c r="N1093" i="78"/>
  <c r="AM1048" i="78"/>
  <c r="AW977" i="78"/>
  <c r="AM1013" i="78"/>
  <c r="J958" i="78"/>
  <c r="M616" i="78"/>
  <c r="J617" i="78"/>
  <c r="J571" i="78"/>
  <c r="I1018" i="78"/>
  <c r="I990" i="78"/>
  <c r="AN1113" i="78"/>
  <c r="AL1049" i="78"/>
  <c r="M1094" i="78"/>
  <c r="AL1014" i="78"/>
  <c r="J1016" i="78"/>
  <c r="J988" i="78"/>
  <c r="J962" i="78"/>
  <c r="O617" i="78"/>
  <c r="O571" i="78"/>
  <c r="Q616" i="78"/>
  <c r="R682" i="78"/>
  <c r="AM1112" i="78"/>
  <c r="AM1110" i="78"/>
  <c r="AM1105" i="78"/>
  <c r="AM1103" i="78"/>
  <c r="AM1101" i="78"/>
  <c r="AM1099" i="78"/>
  <c r="AM1097" i="78"/>
  <c r="AM1108" i="78"/>
  <c r="AM1111" i="78"/>
  <c r="AM1104" i="78"/>
  <c r="AM1102" i="78"/>
  <c r="AM1100" i="78"/>
  <c r="AM1098" i="78"/>
  <c r="AM1109" i="78"/>
  <c r="AM1107" i="78"/>
  <c r="AM1093" i="78"/>
  <c r="AM1091" i="78"/>
  <c r="AM1089" i="78"/>
  <c r="AM1094" i="78"/>
  <c r="AM1095" i="78"/>
  <c r="AM1092" i="78"/>
  <c r="AM1090" i="78"/>
  <c r="AM1106" i="78"/>
  <c r="AM1096" i="78"/>
  <c r="K985" i="78"/>
  <c r="K1013" i="78"/>
  <c r="M1090" i="78"/>
  <c r="AL1045" i="78"/>
  <c r="AL1010" i="78"/>
  <c r="I959" i="78"/>
  <c r="K572" i="78"/>
  <c r="K527" i="78"/>
  <c r="K526" i="78" s="1"/>
  <c r="K525" i="78" s="1"/>
  <c r="K524" i="78" s="1"/>
  <c r="K523" i="78" s="1"/>
  <c r="K522" i="78" s="1"/>
  <c r="K520" i="78"/>
  <c r="J1010" i="78"/>
  <c r="J982" i="78"/>
  <c r="K1097" i="78"/>
  <c r="AJ1052" i="78"/>
  <c r="AJ1017" i="78"/>
  <c r="J952" i="78"/>
  <c r="E616" i="78"/>
  <c r="B617" i="78"/>
  <c r="B571" i="78"/>
  <c r="L1098" i="78"/>
  <c r="AK1053" i="78"/>
  <c r="AK1018" i="78"/>
  <c r="H954" i="78"/>
  <c r="D521" i="78"/>
  <c r="D329" i="78"/>
  <c r="N1099" i="78"/>
  <c r="AM1054" i="78"/>
  <c r="AM1019" i="78"/>
  <c r="AW983" i="78"/>
  <c r="J955" i="78"/>
  <c r="F617" i="78"/>
  <c r="I616" i="78"/>
  <c r="F571" i="78"/>
  <c r="M1096" i="78"/>
  <c r="AL1051" i="78"/>
  <c r="AL1016" i="78"/>
  <c r="N1092" i="78"/>
  <c r="AM1012" i="78"/>
  <c r="AW976" i="78"/>
  <c r="AM1047" i="78"/>
  <c r="H1017" i="78"/>
  <c r="H989" i="78"/>
  <c r="K1015" i="78"/>
  <c r="K987" i="78"/>
  <c r="AN1022" i="78"/>
  <c r="N1089" i="78"/>
  <c r="AM1044" i="78"/>
  <c r="AM1009" i="78"/>
  <c r="AW973" i="78"/>
  <c r="L1022" i="78"/>
  <c r="K991" i="78"/>
  <c r="K1019" i="78"/>
  <c r="K981" i="78"/>
  <c r="K1009" i="78"/>
  <c r="K965" i="78"/>
  <c r="J956" i="78"/>
  <c r="G617" i="78"/>
  <c r="G571" i="78"/>
  <c r="H961" i="78"/>
  <c r="N521" i="78"/>
  <c r="N329" i="78"/>
  <c r="I1011" i="78"/>
  <c r="I983" i="78"/>
  <c r="AN1057" i="78"/>
  <c r="I953" i="78"/>
  <c r="C527" i="78"/>
  <c r="C526" i="78" s="1"/>
  <c r="C525" i="78" s="1"/>
  <c r="C524" i="78" s="1"/>
  <c r="C523" i="78" s="1"/>
  <c r="C522" i="78" s="1"/>
  <c r="C572" i="78"/>
  <c r="C520" i="78"/>
  <c r="K984" i="78"/>
  <c r="K1012" i="78"/>
  <c r="L1091" i="78"/>
  <c r="AK1046" i="78"/>
  <c r="AK1011" i="78"/>
  <c r="N1095" i="78"/>
  <c r="AM1050" i="78"/>
  <c r="AW979" i="78"/>
  <c r="AM1015" i="78"/>
  <c r="E960" i="78"/>
  <c r="L330" i="78"/>
  <c r="L139" i="78"/>
  <c r="I957" i="78"/>
  <c r="H572" i="78"/>
  <c r="H527" i="78"/>
  <c r="H526" i="78" s="1"/>
  <c r="H525" i="78" s="1"/>
  <c r="H524" i="78" s="1"/>
  <c r="H523" i="78" s="1"/>
  <c r="H522" i="78" s="1"/>
  <c r="H520" i="78"/>
  <c r="J519" i="71"/>
  <c r="H519" i="71"/>
  <c r="H383" i="71"/>
  <c r="D331" i="78" l="1"/>
  <c r="X37" i="2" s="1"/>
  <c r="N331" i="78"/>
  <c r="X51" i="2" s="1"/>
  <c r="I963" i="78"/>
  <c r="I1020" i="78" s="1"/>
  <c r="K1100" i="78" s="1"/>
  <c r="P520" i="78"/>
  <c r="H963" i="78" s="1"/>
  <c r="H1020" i="78" s="1"/>
  <c r="P527" i="78"/>
  <c r="P526" i="78" s="1"/>
  <c r="P525" i="78" s="1"/>
  <c r="P524" i="78" s="1"/>
  <c r="P523" i="78" s="1"/>
  <c r="P522" i="78" s="1"/>
  <c r="AL1055" i="78"/>
  <c r="AL1020" i="78"/>
  <c r="J992" i="78"/>
  <c r="J1020" i="78"/>
  <c r="AM1022" i="78"/>
  <c r="R616" i="78"/>
  <c r="J1019" i="78"/>
  <c r="J991" i="78"/>
  <c r="K1098" i="78"/>
  <c r="AJ1053" i="78"/>
  <c r="AJ1018" i="78"/>
  <c r="AL1054" i="78"/>
  <c r="M1099" i="78"/>
  <c r="AL1019" i="78"/>
  <c r="I955" i="78"/>
  <c r="F527" i="78"/>
  <c r="F526" i="78" s="1"/>
  <c r="F525" i="78" s="1"/>
  <c r="F524" i="78" s="1"/>
  <c r="F523" i="78" s="1"/>
  <c r="F522" i="78" s="1"/>
  <c r="F572" i="78"/>
  <c r="I571" i="78"/>
  <c r="F520" i="78"/>
  <c r="E954" i="78"/>
  <c r="D330" i="78"/>
  <c r="D139" i="78"/>
  <c r="AL1109" i="78"/>
  <c r="AL1107" i="78"/>
  <c r="AL1112" i="78"/>
  <c r="AL1110" i="78"/>
  <c r="AL1105" i="78"/>
  <c r="AL1103" i="78"/>
  <c r="AL1101" i="78"/>
  <c r="AL1099" i="78"/>
  <c r="AL1097" i="78"/>
  <c r="AL1106" i="78"/>
  <c r="AL1111" i="78"/>
  <c r="AL1104" i="78"/>
  <c r="AL1102" i="78"/>
  <c r="AL1100" i="78"/>
  <c r="AL1108" i="78"/>
  <c r="AL1096" i="78"/>
  <c r="AL1093" i="78"/>
  <c r="AL1094" i="78"/>
  <c r="AL1098" i="78"/>
  <c r="AL1092" i="78"/>
  <c r="AL1090" i="78"/>
  <c r="AL1095" i="78"/>
  <c r="AL1089" i="78"/>
  <c r="AL1091" i="78"/>
  <c r="I958" i="78"/>
  <c r="M571" i="78"/>
  <c r="J572" i="78"/>
  <c r="J527" i="78"/>
  <c r="J526" i="78" s="1"/>
  <c r="J525" i="78" s="1"/>
  <c r="J524" i="78" s="1"/>
  <c r="J523" i="78" s="1"/>
  <c r="J522" i="78" s="1"/>
  <c r="J520" i="78"/>
  <c r="L1094" i="78"/>
  <c r="AK1049" i="78"/>
  <c r="AK1014" i="78"/>
  <c r="I1014" i="78"/>
  <c r="I986" i="78"/>
  <c r="D960" i="78"/>
  <c r="L140" i="78"/>
  <c r="L64" i="78"/>
  <c r="I982" i="78"/>
  <c r="I1010" i="78"/>
  <c r="I956" i="78"/>
  <c r="G572" i="78"/>
  <c r="G527" i="78"/>
  <c r="G526" i="78" s="1"/>
  <c r="G525" i="78" s="1"/>
  <c r="G524" i="78" s="1"/>
  <c r="G523" i="78" s="1"/>
  <c r="G522" i="78" s="1"/>
  <c r="G520" i="78"/>
  <c r="H983" i="78"/>
  <c r="H1011" i="78"/>
  <c r="H959" i="78"/>
  <c r="K521" i="78"/>
  <c r="K329" i="78"/>
  <c r="AW986" i="78"/>
  <c r="J1097" i="78"/>
  <c r="Z1097" i="78" s="1"/>
  <c r="AI1052" i="78"/>
  <c r="AI1017" i="78"/>
  <c r="AI951" i="78"/>
  <c r="J1012" i="78"/>
  <c r="J984" i="78"/>
  <c r="E1017" i="78"/>
  <c r="E989" i="78"/>
  <c r="AR986" i="78"/>
  <c r="M1092" i="78"/>
  <c r="AL1047" i="78"/>
  <c r="AL1012" i="78"/>
  <c r="AJ1046" i="78"/>
  <c r="K1091" i="78"/>
  <c r="AJ1011" i="78"/>
  <c r="AM1057" i="78"/>
  <c r="I1016" i="78"/>
  <c r="I988" i="78"/>
  <c r="I962" i="78"/>
  <c r="O572" i="78"/>
  <c r="O527" i="78"/>
  <c r="O526" i="78" s="1"/>
  <c r="O525" i="78" s="1"/>
  <c r="O524" i="78" s="1"/>
  <c r="O523" i="78" s="1"/>
  <c r="O522" i="78" s="1"/>
  <c r="O520" i="78"/>
  <c r="Q571" i="78"/>
  <c r="J1015" i="78"/>
  <c r="J987" i="78"/>
  <c r="J1013" i="78"/>
  <c r="J985" i="78"/>
  <c r="H957" i="78"/>
  <c r="H521" i="78"/>
  <c r="H329" i="78"/>
  <c r="E961" i="78"/>
  <c r="N330" i="78"/>
  <c r="N139" i="78"/>
  <c r="M1089" i="78"/>
  <c r="K1022" i="78"/>
  <c r="AL1044" i="78"/>
  <c r="AL1009" i="78"/>
  <c r="I952" i="78"/>
  <c r="E571" i="78"/>
  <c r="B572" i="78"/>
  <c r="B527" i="78"/>
  <c r="B526" i="78" s="1"/>
  <c r="B525" i="78" s="1"/>
  <c r="B524" i="78" s="1"/>
  <c r="B523" i="78" s="1"/>
  <c r="B522" i="78" s="1"/>
  <c r="B520" i="78"/>
  <c r="H953" i="78"/>
  <c r="C521" i="78"/>
  <c r="C329" i="78"/>
  <c r="H1018" i="78"/>
  <c r="H990" i="78"/>
  <c r="M1095" i="78"/>
  <c r="AL1050" i="78"/>
  <c r="AL1015" i="78"/>
  <c r="J1009" i="78"/>
  <c r="J965" i="78"/>
  <c r="J981" i="78"/>
  <c r="L1090" i="78"/>
  <c r="AK1045" i="78"/>
  <c r="AK1010" i="78"/>
  <c r="AL1048" i="78"/>
  <c r="M1093" i="78"/>
  <c r="AL1013" i="78"/>
  <c r="AM1113" i="78"/>
  <c r="AK1051" i="78"/>
  <c r="L1096" i="78"/>
  <c r="AK1016" i="78"/>
  <c r="K331" i="78" l="1"/>
  <c r="X47" i="2" s="1"/>
  <c r="H331" i="78"/>
  <c r="X43" i="2" s="1"/>
  <c r="C331" i="78"/>
  <c r="X35" i="2" s="1"/>
  <c r="AJ1055" i="78"/>
  <c r="H992" i="78"/>
  <c r="I992" i="78"/>
  <c r="AJ1020" i="78"/>
  <c r="P329" i="78"/>
  <c r="P521" i="78"/>
  <c r="AK1020" i="78"/>
  <c r="AK1055" i="78"/>
  <c r="L1100" i="78"/>
  <c r="H955" i="78"/>
  <c r="F521" i="78"/>
  <c r="I520" i="78"/>
  <c r="F329" i="78"/>
  <c r="AL1057" i="78"/>
  <c r="E957" i="78"/>
  <c r="H330" i="78"/>
  <c r="H139" i="78"/>
  <c r="H962" i="78"/>
  <c r="O521" i="78"/>
  <c r="O329" i="78"/>
  <c r="Q520" i="78"/>
  <c r="H956" i="78"/>
  <c r="G521" i="78"/>
  <c r="G329" i="78"/>
  <c r="AQ986" i="78"/>
  <c r="D989" i="78"/>
  <c r="D1017" i="78"/>
  <c r="H1014" i="78"/>
  <c r="H986" i="78"/>
  <c r="K1094" i="78"/>
  <c r="AJ1049" i="78"/>
  <c r="AJ1014" i="78"/>
  <c r="I1015" i="78"/>
  <c r="I987" i="78"/>
  <c r="AK1111" i="78"/>
  <c r="AK1104" i="78"/>
  <c r="AK1102" i="78"/>
  <c r="AK1100" i="78"/>
  <c r="AK1098" i="78"/>
  <c r="AK1109" i="78"/>
  <c r="AK1107" i="78"/>
  <c r="AK1108" i="78"/>
  <c r="AK1106" i="78"/>
  <c r="AK1105" i="78"/>
  <c r="AK1095" i="78"/>
  <c r="AK1096" i="78"/>
  <c r="AK1092" i="78"/>
  <c r="AK1090" i="78"/>
  <c r="AK1091" i="78"/>
  <c r="AK1089" i="78"/>
  <c r="AK1093" i="78"/>
  <c r="AK1099" i="78"/>
  <c r="AK1101" i="78"/>
  <c r="AK1112" i="78"/>
  <c r="AK1103" i="78"/>
  <c r="AK1094" i="78"/>
  <c r="AK1110" i="78"/>
  <c r="AK1097" i="78"/>
  <c r="J1098" i="78"/>
  <c r="Z1098" i="78" s="1"/>
  <c r="AI1053" i="78"/>
  <c r="AI1018" i="78"/>
  <c r="AI952" i="78"/>
  <c r="I1009" i="78"/>
  <c r="I981" i="78"/>
  <c r="I965" i="78"/>
  <c r="D961" i="78"/>
  <c r="N140" i="78"/>
  <c r="N64" i="78"/>
  <c r="I991" i="78"/>
  <c r="I1019" i="78"/>
  <c r="AG1052" i="78"/>
  <c r="AG1017" i="78"/>
  <c r="G1097" i="78"/>
  <c r="E959" i="78"/>
  <c r="K330" i="78"/>
  <c r="K139" i="78"/>
  <c r="I1013" i="78"/>
  <c r="I985" i="78"/>
  <c r="D954" i="78"/>
  <c r="D140" i="78"/>
  <c r="D64" i="78"/>
  <c r="I1012" i="78"/>
  <c r="I984" i="78"/>
  <c r="L1099" i="78"/>
  <c r="AK1019" i="78"/>
  <c r="AK1054" i="78"/>
  <c r="L1089" i="78"/>
  <c r="AK1044" i="78"/>
  <c r="J1022" i="78"/>
  <c r="AK1009" i="78"/>
  <c r="H1010" i="78"/>
  <c r="H982" i="78"/>
  <c r="AI1046" i="78"/>
  <c r="J1091" i="78"/>
  <c r="Z1091" i="78" s="1"/>
  <c r="AI1011" i="78"/>
  <c r="AI945" i="78"/>
  <c r="H958" i="78"/>
  <c r="M520" i="78"/>
  <c r="J521" i="78"/>
  <c r="J329" i="78"/>
  <c r="E953" i="78"/>
  <c r="C330" i="78"/>
  <c r="C139" i="78"/>
  <c r="L1093" i="78"/>
  <c r="AK1013" i="78"/>
  <c r="AK1048" i="78"/>
  <c r="K1090" i="78"/>
  <c r="AJ1045" i="78"/>
  <c r="AJ1010" i="78"/>
  <c r="AL1113" i="78"/>
  <c r="L1095" i="78"/>
  <c r="AK1015" i="78"/>
  <c r="AK1050" i="78"/>
  <c r="C960" i="78"/>
  <c r="L65" i="78"/>
  <c r="L29" i="78"/>
  <c r="E1011" i="78"/>
  <c r="E983" i="78"/>
  <c r="AR980" i="78"/>
  <c r="H952" i="78"/>
  <c r="E520" i="78"/>
  <c r="B521" i="78"/>
  <c r="B329" i="78"/>
  <c r="B331" i="78" s="1"/>
  <c r="AL1022" i="78"/>
  <c r="E1018" i="78"/>
  <c r="AR987" i="78"/>
  <c r="E990" i="78"/>
  <c r="AI1141" i="78"/>
  <c r="AI1142" i="78"/>
  <c r="R571" i="78"/>
  <c r="AJ1051" i="78"/>
  <c r="K1096" i="78"/>
  <c r="AJ1016" i="78"/>
  <c r="L1092" i="78"/>
  <c r="AK1047" i="78"/>
  <c r="AK1012" i="78"/>
  <c r="H1016" i="78"/>
  <c r="H988" i="78"/>
  <c r="J1100" i="78"/>
  <c r="AI1020" i="78"/>
  <c r="AI1055" i="78"/>
  <c r="AI954" i="78"/>
  <c r="G331" i="78" l="1"/>
  <c r="X41" i="2" s="1"/>
  <c r="F331" i="78"/>
  <c r="X39" i="2" s="1"/>
  <c r="P331" i="78"/>
  <c r="X55" i="2" s="1"/>
  <c r="J331" i="78"/>
  <c r="X45" i="2" s="1"/>
  <c r="O331" i="78"/>
  <c r="X53" i="2" s="1"/>
  <c r="E963" i="78"/>
  <c r="E1020" i="78" s="1"/>
  <c r="G1100" i="78" s="1"/>
  <c r="P139" i="78"/>
  <c r="D963" i="78" s="1"/>
  <c r="AQ989" i="78" s="1"/>
  <c r="P330" i="78"/>
  <c r="Z1100" i="78"/>
  <c r="AI1151" i="78" s="1"/>
  <c r="J1090" i="78"/>
  <c r="AI1045" i="78"/>
  <c r="AI1010" i="78"/>
  <c r="AI944" i="78"/>
  <c r="C961" i="78"/>
  <c r="N65" i="78"/>
  <c r="N29" i="78"/>
  <c r="E956" i="78"/>
  <c r="G330" i="78"/>
  <c r="G139" i="78"/>
  <c r="J1094" i="78"/>
  <c r="Z1094" i="78" s="1"/>
  <c r="AI1049" i="78"/>
  <c r="AI1014" i="78"/>
  <c r="AI948" i="78"/>
  <c r="AK1022" i="78"/>
  <c r="G1098" i="78"/>
  <c r="AG1053" i="78"/>
  <c r="AG1018" i="78"/>
  <c r="G1091" i="78"/>
  <c r="AG1011" i="78"/>
  <c r="AG1046" i="78"/>
  <c r="H1015" i="78"/>
  <c r="H987" i="78"/>
  <c r="C954" i="78"/>
  <c r="D65" i="78"/>
  <c r="D29" i="78"/>
  <c r="E1016" i="78"/>
  <c r="E988" i="78"/>
  <c r="AR985" i="78"/>
  <c r="AI1144" i="78"/>
  <c r="AI1145" i="78"/>
  <c r="H1013" i="78"/>
  <c r="H985" i="78"/>
  <c r="E1014" i="78"/>
  <c r="E986" i="78"/>
  <c r="AR983" i="78"/>
  <c r="AJ1047" i="78"/>
  <c r="K1092" i="78"/>
  <c r="AJ1012" i="78"/>
  <c r="B960" i="78"/>
  <c r="L19" i="78"/>
  <c r="L30" i="78"/>
  <c r="D953" i="78"/>
  <c r="C140" i="78"/>
  <c r="C64" i="78"/>
  <c r="AK1057" i="78"/>
  <c r="D1018" i="78"/>
  <c r="D990" i="78"/>
  <c r="AQ987" i="78"/>
  <c r="AK1113" i="78"/>
  <c r="E952" i="78"/>
  <c r="E329" i="78"/>
  <c r="B330" i="78"/>
  <c r="B139" i="78"/>
  <c r="D1011" i="78"/>
  <c r="AQ980" i="78"/>
  <c r="D983" i="78"/>
  <c r="K1095" i="78"/>
  <c r="AJ1015" i="78"/>
  <c r="AJ1050" i="78"/>
  <c r="E962" i="78"/>
  <c r="O330" i="78"/>
  <c r="O139" i="78"/>
  <c r="Q329" i="78"/>
  <c r="E955" i="78"/>
  <c r="I329" i="78"/>
  <c r="F330" i="78"/>
  <c r="F139" i="78"/>
  <c r="C1017" i="78"/>
  <c r="C989" i="78"/>
  <c r="AP986" i="78"/>
  <c r="AI1124" i="78"/>
  <c r="AI1123" i="78"/>
  <c r="R520" i="78"/>
  <c r="E1010" i="78"/>
  <c r="E982" i="78"/>
  <c r="AR979" i="78"/>
  <c r="AJ1048" i="78"/>
  <c r="K1093" i="78"/>
  <c r="AJ1013" i="78"/>
  <c r="K1099" i="78"/>
  <c r="AJ1054" i="78"/>
  <c r="AJ1019" i="78"/>
  <c r="K1089" i="78"/>
  <c r="AJ1044" i="78"/>
  <c r="I1022" i="78"/>
  <c r="AJ1009" i="78"/>
  <c r="H1019" i="78"/>
  <c r="H991" i="78"/>
  <c r="F1097" i="78"/>
  <c r="AF1052" i="78"/>
  <c r="AF1017" i="78"/>
  <c r="J1096" i="78"/>
  <c r="Z1096" i="78" s="1"/>
  <c r="AI1016" i="78"/>
  <c r="AI1051" i="78"/>
  <c r="AI950" i="78"/>
  <c r="H1009" i="78"/>
  <c r="H965" i="78"/>
  <c r="H981" i="78"/>
  <c r="AJ1111" i="78"/>
  <c r="AJ1104" i="78"/>
  <c r="AJ1109" i="78"/>
  <c r="AJ1107" i="78"/>
  <c r="AJ1112" i="78"/>
  <c r="AJ1110" i="78"/>
  <c r="AJ1105" i="78"/>
  <c r="AJ1103" i="78"/>
  <c r="AJ1101" i="78"/>
  <c r="AJ1099" i="78"/>
  <c r="AJ1097" i="78"/>
  <c r="AJ1108" i="78"/>
  <c r="AJ1106" i="78"/>
  <c r="AJ1093" i="78"/>
  <c r="AJ1091" i="78"/>
  <c r="AJ1089" i="78"/>
  <c r="AJ1094" i="78"/>
  <c r="AJ1100" i="78"/>
  <c r="AJ1096" i="78"/>
  <c r="AJ1098" i="78"/>
  <c r="AJ1092" i="78"/>
  <c r="AJ1090" i="78"/>
  <c r="AJ1095" i="78"/>
  <c r="AJ1102" i="78"/>
  <c r="E958" i="78"/>
  <c r="J330" i="78"/>
  <c r="M329" i="78"/>
  <c r="J139" i="78"/>
  <c r="D959" i="78"/>
  <c r="K140" i="78"/>
  <c r="K64" i="78"/>
  <c r="D957" i="78"/>
  <c r="H140" i="78"/>
  <c r="H64" i="78"/>
  <c r="H1012" i="78"/>
  <c r="H984" i="78"/>
  <c r="E992" i="78" l="1"/>
  <c r="AG1020" i="78"/>
  <c r="AR989" i="78"/>
  <c r="AG1055" i="78"/>
  <c r="AI1150" i="78"/>
  <c r="D992" i="78"/>
  <c r="P140" i="78"/>
  <c r="P64" i="78"/>
  <c r="P65" i="78" s="1"/>
  <c r="D1020" i="78"/>
  <c r="F1100" i="78" s="1"/>
  <c r="E991" i="78"/>
  <c r="AR988" i="78"/>
  <c r="E1019" i="78"/>
  <c r="D1010" i="78"/>
  <c r="AQ979" i="78"/>
  <c r="D982" i="78"/>
  <c r="G1096" i="78"/>
  <c r="AG1051" i="78"/>
  <c r="AG1016" i="78"/>
  <c r="AI1132" i="78"/>
  <c r="AI1133" i="78"/>
  <c r="C990" i="78"/>
  <c r="C1018" i="78"/>
  <c r="AP987" i="78"/>
  <c r="J1092" i="78"/>
  <c r="Z1092" i="78" s="1"/>
  <c r="AI1047" i="78"/>
  <c r="AI1012" i="78"/>
  <c r="AI946" i="78"/>
  <c r="AJ1022" i="78"/>
  <c r="F1091" i="78"/>
  <c r="AF1046" i="78"/>
  <c r="AF1011" i="78"/>
  <c r="G1094" i="78"/>
  <c r="AG1014" i="78"/>
  <c r="AG1049" i="78"/>
  <c r="B954" i="78"/>
  <c r="D19" i="78"/>
  <c r="D30" i="78"/>
  <c r="D956" i="78"/>
  <c r="G140" i="78"/>
  <c r="G64" i="78"/>
  <c r="J1099" i="78"/>
  <c r="Z1099" i="78" s="1"/>
  <c r="AI1019" i="78"/>
  <c r="AI1054" i="78"/>
  <c r="AI953" i="78"/>
  <c r="C957" i="78"/>
  <c r="H65" i="78"/>
  <c r="H29" i="78"/>
  <c r="AI1138" i="78"/>
  <c r="AI1139" i="78"/>
  <c r="AJ1057" i="78"/>
  <c r="E984" i="78"/>
  <c r="AR981" i="78"/>
  <c r="E1012" i="78"/>
  <c r="B1017" i="78"/>
  <c r="AO986" i="78"/>
  <c r="AT986" i="78" s="1"/>
  <c r="AN951" i="78"/>
  <c r="B989" i="78"/>
  <c r="AG951" i="78"/>
  <c r="J1093" i="78"/>
  <c r="Z1093" i="78" s="1"/>
  <c r="AI1048" i="78"/>
  <c r="AI1013" i="78"/>
  <c r="AI947" i="78"/>
  <c r="AP980" i="78"/>
  <c r="C1011" i="78"/>
  <c r="C983" i="78"/>
  <c r="D986" i="78"/>
  <c r="AQ983" i="78"/>
  <c r="D1014" i="78"/>
  <c r="E987" i="78"/>
  <c r="AR984" i="78"/>
  <c r="E1015" i="78"/>
  <c r="R329" i="78"/>
  <c r="AF1053" i="78"/>
  <c r="F1098" i="78"/>
  <c r="AF1018" i="78"/>
  <c r="AR982" i="78"/>
  <c r="E1013" i="78"/>
  <c r="E985" i="78"/>
  <c r="AI1106" i="78"/>
  <c r="AI1111" i="78"/>
  <c r="AI1104" i="78"/>
  <c r="AI1102" i="78"/>
  <c r="AI1100" i="78"/>
  <c r="AI1098" i="78"/>
  <c r="AI1109" i="78"/>
  <c r="AI1107" i="78"/>
  <c r="AI1112" i="78"/>
  <c r="AI1110" i="78"/>
  <c r="AI1105" i="78"/>
  <c r="AI1103" i="78"/>
  <c r="AI1101" i="78"/>
  <c r="AI1099" i="78"/>
  <c r="AI1108" i="78"/>
  <c r="AI1092" i="78"/>
  <c r="AI1090" i="78"/>
  <c r="AI1097" i="78"/>
  <c r="Z1090" i="78"/>
  <c r="AI1091" i="78"/>
  <c r="AI1089" i="78"/>
  <c r="AI1096" i="78"/>
  <c r="AI1093" i="78"/>
  <c r="AI1094" i="78"/>
  <c r="AI1095" i="78"/>
  <c r="D952" i="78"/>
  <c r="B140" i="78"/>
  <c r="E139" i="78"/>
  <c r="B64" i="78"/>
  <c r="C959" i="78"/>
  <c r="K65" i="78"/>
  <c r="K29" i="78"/>
  <c r="AJ1113" i="78"/>
  <c r="G1090" i="78"/>
  <c r="AG1045" i="78"/>
  <c r="AG1010" i="78"/>
  <c r="D962" i="78"/>
  <c r="O140" i="78"/>
  <c r="O64" i="78"/>
  <c r="Q139" i="78"/>
  <c r="J1095" i="78"/>
  <c r="Z1095" i="78" s="1"/>
  <c r="AI1050" i="78"/>
  <c r="AI1015" i="78"/>
  <c r="AI949" i="78"/>
  <c r="B961" i="78"/>
  <c r="N30" i="78"/>
  <c r="N19" i="78"/>
  <c r="D958" i="78"/>
  <c r="J140" i="78"/>
  <c r="M139" i="78"/>
  <c r="J64" i="78"/>
  <c r="AE1052" i="78"/>
  <c r="E1097" i="78"/>
  <c r="AE1017" i="78"/>
  <c r="AR978" i="78"/>
  <c r="E981" i="78"/>
  <c r="E965" i="78"/>
  <c r="E1009" i="78"/>
  <c r="C953" i="78"/>
  <c r="C65" i="78"/>
  <c r="C29" i="78"/>
  <c r="D1016" i="78"/>
  <c r="AQ985" i="78"/>
  <c r="D988" i="78"/>
  <c r="J1089" i="78"/>
  <c r="Z1089" i="78" s="1"/>
  <c r="AI1009" i="78"/>
  <c r="AI1044" i="78"/>
  <c r="H1022" i="78"/>
  <c r="AI943" i="78"/>
  <c r="D955" i="78"/>
  <c r="I139" i="78"/>
  <c r="F140" i="78"/>
  <c r="F64" i="78"/>
  <c r="AF1020" i="78" l="1"/>
  <c r="P29" i="78"/>
  <c r="C963" i="78"/>
  <c r="C992" i="78" s="1"/>
  <c r="AF1055" i="78"/>
  <c r="AI956" i="78"/>
  <c r="AI1057" i="78"/>
  <c r="AR991" i="78"/>
  <c r="W1097" i="78"/>
  <c r="AF1142" i="78" s="1"/>
  <c r="V1097" i="78"/>
  <c r="AF1141" i="78" s="1"/>
  <c r="AI1135" i="78"/>
  <c r="AI1136" i="78"/>
  <c r="G1095" i="78"/>
  <c r="AG1050" i="78"/>
  <c r="AG1015" i="78"/>
  <c r="B959" i="78"/>
  <c r="K19" i="78"/>
  <c r="K30" i="78"/>
  <c r="AI1147" i="78"/>
  <c r="AI1148" i="78"/>
  <c r="C982" i="78"/>
  <c r="C1010" i="78"/>
  <c r="AP979" i="78"/>
  <c r="C962" i="78"/>
  <c r="O65" i="78"/>
  <c r="O29" i="78"/>
  <c r="Q64" i="78"/>
  <c r="G1093" i="78"/>
  <c r="AG1048" i="78"/>
  <c r="AG1013" i="78"/>
  <c r="E1091" i="78"/>
  <c r="AE1011" i="78"/>
  <c r="AE1046" i="78"/>
  <c r="C956" i="78"/>
  <c r="G65" i="78"/>
  <c r="G29" i="78"/>
  <c r="AI1126" i="78"/>
  <c r="AI1127" i="78"/>
  <c r="AI1022" i="78"/>
  <c r="G1089" i="78"/>
  <c r="AG1044" i="78"/>
  <c r="AG1009" i="78"/>
  <c r="E1022" i="78"/>
  <c r="C988" i="78"/>
  <c r="C1016" i="78"/>
  <c r="AP985" i="78"/>
  <c r="F1094" i="78"/>
  <c r="AF1049" i="78"/>
  <c r="AF1014" i="78"/>
  <c r="B957" i="78"/>
  <c r="H30" i="78"/>
  <c r="H19" i="78"/>
  <c r="B953" i="78"/>
  <c r="C19" i="78"/>
  <c r="C30" i="78"/>
  <c r="C955" i="78"/>
  <c r="I64" i="78"/>
  <c r="F65" i="78"/>
  <c r="F29" i="78"/>
  <c r="C952" i="78"/>
  <c r="E64" i="78"/>
  <c r="B29" i="78"/>
  <c r="B65" i="78"/>
  <c r="AD1017" i="78"/>
  <c r="AD1052" i="78"/>
  <c r="R1124" i="78"/>
  <c r="D1013" i="78"/>
  <c r="D985" i="78"/>
  <c r="AQ982" i="78"/>
  <c r="E1098" i="78"/>
  <c r="AE1053" i="78"/>
  <c r="AE1018" i="78"/>
  <c r="C958" i="78"/>
  <c r="J65" i="78"/>
  <c r="M64" i="78"/>
  <c r="J29" i="78"/>
  <c r="R139" i="78"/>
  <c r="G1092" i="78"/>
  <c r="AG1047" i="78"/>
  <c r="AG1012" i="78"/>
  <c r="C1014" i="78"/>
  <c r="AP983" i="78"/>
  <c r="C986" i="78"/>
  <c r="AF1045" i="78"/>
  <c r="F1090" i="78"/>
  <c r="AF1010" i="78"/>
  <c r="D1015" i="78"/>
  <c r="D987" i="78"/>
  <c r="AQ984" i="78"/>
  <c r="AI1117" i="78"/>
  <c r="AI1118" i="78"/>
  <c r="AO987" i="78"/>
  <c r="AT987" i="78" s="1"/>
  <c r="AG952" i="78"/>
  <c r="B1018" i="78"/>
  <c r="B990" i="78"/>
  <c r="AN952" i="78"/>
  <c r="D1019" i="78"/>
  <c r="AQ988" i="78"/>
  <c r="D991" i="78"/>
  <c r="AI1113" i="78"/>
  <c r="AI1121" i="78"/>
  <c r="AI1120" i="78"/>
  <c r="G1099" i="78"/>
  <c r="AG1054" i="78"/>
  <c r="AG1019" i="78"/>
  <c r="D1012" i="78"/>
  <c r="AQ981" i="78"/>
  <c r="D984" i="78"/>
  <c r="F1096" i="78"/>
  <c r="AF1051" i="78"/>
  <c r="AF1016" i="78"/>
  <c r="AG1112" i="78"/>
  <c r="AG1110" i="78"/>
  <c r="AG1105" i="78"/>
  <c r="AG1103" i="78"/>
  <c r="AG1101" i="78"/>
  <c r="AG1099" i="78"/>
  <c r="AG1108" i="78"/>
  <c r="AG1106" i="78"/>
  <c r="AG1109" i="78"/>
  <c r="AG1107" i="78"/>
  <c r="AG1111" i="78"/>
  <c r="AG1104" i="78"/>
  <c r="AG1102" i="78"/>
  <c r="AG1098" i="78"/>
  <c r="AG1093" i="78"/>
  <c r="AG1091" i="78"/>
  <c r="AG1089" i="78"/>
  <c r="AG1095" i="78"/>
  <c r="AG1100" i="78"/>
  <c r="AG1097" i="78"/>
  <c r="AG1096" i="78"/>
  <c r="AG1090" i="78"/>
  <c r="AG1094" i="78"/>
  <c r="AG1092" i="78"/>
  <c r="D981" i="78"/>
  <c r="D1009" i="78"/>
  <c r="D965" i="78"/>
  <c r="AQ978" i="78"/>
  <c r="AI1129" i="78"/>
  <c r="AI1130" i="78"/>
  <c r="B983" i="78"/>
  <c r="AG945" i="78"/>
  <c r="B1011" i="78"/>
  <c r="AO980" i="78"/>
  <c r="AT980" i="78" s="1"/>
  <c r="AN945" i="78"/>
  <c r="B963" i="78" l="1"/>
  <c r="B992" i="78" s="1"/>
  <c r="AP989" i="78"/>
  <c r="C1020" i="78"/>
  <c r="E1100" i="78" s="1"/>
  <c r="V1100" i="78" s="1"/>
  <c r="AF1150" i="78" s="1"/>
  <c r="P19" i="78"/>
  <c r="P30" i="78"/>
  <c r="R64" i="78"/>
  <c r="AQ991" i="78"/>
  <c r="AD1018" i="78"/>
  <c r="AD1053" i="78"/>
  <c r="R1125" i="78"/>
  <c r="V1098" i="78"/>
  <c r="AF1144" i="78" s="1"/>
  <c r="W1098" i="78"/>
  <c r="AF1145" i="78" s="1"/>
  <c r="B956" i="78"/>
  <c r="G30" i="78"/>
  <c r="G19" i="78"/>
  <c r="AF1047" i="78"/>
  <c r="F1092" i="78"/>
  <c r="AF1012" i="78"/>
  <c r="AF1112" i="78"/>
  <c r="AF1110" i="78"/>
  <c r="AF1105" i="78"/>
  <c r="AF1108" i="78"/>
  <c r="AF1106" i="78"/>
  <c r="AF1111" i="78"/>
  <c r="AF1104" i="78"/>
  <c r="AF1102" i="78"/>
  <c r="AF1100" i="78"/>
  <c r="AF1098" i="78"/>
  <c r="AF1109" i="78"/>
  <c r="AF1107" i="78"/>
  <c r="AF1096" i="78"/>
  <c r="AF1101" i="78"/>
  <c r="AF1099" i="78"/>
  <c r="AF1092" i="78"/>
  <c r="AF1090" i="78"/>
  <c r="AF1103" i="78"/>
  <c r="AF1097" i="78"/>
  <c r="AF1095" i="78"/>
  <c r="AF1091" i="78"/>
  <c r="AF1089" i="78"/>
  <c r="AF1093" i="78"/>
  <c r="AF1094" i="78"/>
  <c r="B952" i="78"/>
  <c r="B30" i="78"/>
  <c r="E29" i="78"/>
  <c r="B19" i="78"/>
  <c r="B955" i="78"/>
  <c r="F30" i="78"/>
  <c r="I29" i="78"/>
  <c r="F19" i="78"/>
  <c r="B958" i="78"/>
  <c r="M29" i="78"/>
  <c r="J30" i="78"/>
  <c r="J19" i="78"/>
  <c r="B986" i="78"/>
  <c r="AO983" i="78"/>
  <c r="AT983" i="78" s="1"/>
  <c r="B1014" i="78"/>
  <c r="AG948" i="78"/>
  <c r="AN948" i="78"/>
  <c r="AG1022" i="78"/>
  <c r="C985" i="78"/>
  <c r="AP982" i="78"/>
  <c r="C1013" i="78"/>
  <c r="B962" i="78"/>
  <c r="O30" i="78"/>
  <c r="O19" i="78"/>
  <c r="Q29" i="78"/>
  <c r="F1089" i="78"/>
  <c r="AF1044" i="78"/>
  <c r="D1022" i="78"/>
  <c r="AF1009" i="78"/>
  <c r="AD1046" i="78"/>
  <c r="AD1011" i="78"/>
  <c r="R1118" i="78"/>
  <c r="AG1113" i="78"/>
  <c r="F1093" i="78"/>
  <c r="AF1048" i="78"/>
  <c r="AF1013" i="78"/>
  <c r="AP978" i="78"/>
  <c r="C965" i="78"/>
  <c r="C1009" i="78"/>
  <c r="C981" i="78"/>
  <c r="AG1057" i="78"/>
  <c r="C984" i="78"/>
  <c r="AP981" i="78"/>
  <c r="C1012" i="78"/>
  <c r="C991" i="78"/>
  <c r="C1019" i="78"/>
  <c r="AP988" i="78"/>
  <c r="B1016" i="78"/>
  <c r="AO985" i="78"/>
  <c r="AT985" i="78" s="1"/>
  <c r="AN950" i="78"/>
  <c r="B988" i="78"/>
  <c r="AG950" i="78"/>
  <c r="F1099" i="78"/>
  <c r="AF1054" i="78"/>
  <c r="AF1019" i="78"/>
  <c r="AE1014" i="78"/>
  <c r="E1094" i="78"/>
  <c r="AE1049" i="78"/>
  <c r="C987" i="78"/>
  <c r="AP984" i="78"/>
  <c r="C1015" i="78"/>
  <c r="W1091" i="78"/>
  <c r="AF1124" i="78" s="1"/>
  <c r="V1091" i="78"/>
  <c r="AF1123" i="78" s="1"/>
  <c r="E1090" i="78"/>
  <c r="AE1045" i="78"/>
  <c r="AE1010" i="78"/>
  <c r="AF1050" i="78"/>
  <c r="F1095" i="78"/>
  <c r="AF1015" i="78"/>
  <c r="B1010" i="78"/>
  <c r="AG944" i="78"/>
  <c r="B982" i="78"/>
  <c r="AN944" i="78"/>
  <c r="AO979" i="78"/>
  <c r="AT979" i="78" s="1"/>
  <c r="E1096" i="78"/>
  <c r="AE1051" i="78"/>
  <c r="AE1016" i="78"/>
  <c r="Q267" i="71"/>
  <c r="M267" i="71"/>
  <c r="I267" i="71"/>
  <c r="E267" i="71"/>
  <c r="F174" i="71"/>
  <c r="B965" i="78" l="1"/>
  <c r="AO989" i="78"/>
  <c r="AT989" i="78" s="1"/>
  <c r="AG954" i="78"/>
  <c r="B1020" i="78"/>
  <c r="AD1020" i="78" s="1"/>
  <c r="I20" i="78"/>
  <c r="P20" i="78"/>
  <c r="AN954" i="78"/>
  <c r="W1100" i="78"/>
  <c r="AF1151" i="78" s="1"/>
  <c r="AE1020" i="78"/>
  <c r="AE1055" i="78"/>
  <c r="AP991" i="78"/>
  <c r="B1019" i="78"/>
  <c r="AG953" i="78"/>
  <c r="AO988" i="78"/>
  <c r="AT988" i="78" s="1"/>
  <c r="AN953" i="78"/>
  <c r="B991" i="78"/>
  <c r="AF1113" i="78"/>
  <c r="AF1022" i="78"/>
  <c r="E1093" i="78"/>
  <c r="AE1048" i="78"/>
  <c r="AE1013" i="78"/>
  <c r="B1012" i="78"/>
  <c r="AO981" i="78"/>
  <c r="AT981" i="78" s="1"/>
  <c r="AG946" i="78"/>
  <c r="B984" i="78"/>
  <c r="AN946" i="78"/>
  <c r="AE1112" i="78"/>
  <c r="AE1110" i="78"/>
  <c r="AE1105" i="78"/>
  <c r="AE1103" i="78"/>
  <c r="AE1101" i="78"/>
  <c r="AE1099" i="78"/>
  <c r="AE1097" i="78"/>
  <c r="AE1108" i="78"/>
  <c r="AE1111" i="78"/>
  <c r="AE1104" i="78"/>
  <c r="AE1102" i="78"/>
  <c r="AE1100" i="78"/>
  <c r="AE1098" i="78"/>
  <c r="AE1109" i="78"/>
  <c r="AE1107" i="78"/>
  <c r="AE1093" i="78"/>
  <c r="AE1091" i="78"/>
  <c r="AE1089" i="78"/>
  <c r="AE1094" i="78"/>
  <c r="AE1095" i="78"/>
  <c r="AE1092" i="78"/>
  <c r="AE1090" i="78"/>
  <c r="AE1096" i="78"/>
  <c r="V1090" i="78"/>
  <c r="AF1120" i="78" s="1"/>
  <c r="AE1106" i="78"/>
  <c r="W1090" i="78"/>
  <c r="AF1121" i="78" s="1"/>
  <c r="E1092" i="78"/>
  <c r="AE1012" i="78"/>
  <c r="AE1047" i="78"/>
  <c r="M19" i="78"/>
  <c r="E20" i="78"/>
  <c r="E19" i="78"/>
  <c r="AF1057" i="78"/>
  <c r="R29" i="78"/>
  <c r="B1013" i="78"/>
  <c r="AG947" i="78"/>
  <c r="AO982" i="78"/>
  <c r="AT982" i="78" s="1"/>
  <c r="B985" i="78"/>
  <c r="AN947" i="78"/>
  <c r="V1094" i="78"/>
  <c r="AF1132" i="78" s="1"/>
  <c r="W1094" i="78"/>
  <c r="AF1133" i="78" s="1"/>
  <c r="AD1051" i="78"/>
  <c r="AD1016" i="78"/>
  <c r="R1123" i="78"/>
  <c r="B1015" i="78"/>
  <c r="AG949" i="78"/>
  <c r="B987" i="78"/>
  <c r="AO984" i="78"/>
  <c r="AT984" i="78" s="1"/>
  <c r="AN949" i="78"/>
  <c r="B1009" i="78"/>
  <c r="B981" i="78"/>
  <c r="AN943" i="78"/>
  <c r="AO978" i="78"/>
  <c r="AG943" i="78"/>
  <c r="E1089" i="78"/>
  <c r="AE1044" i="78"/>
  <c r="C1022" i="78"/>
  <c r="AE1009" i="78"/>
  <c r="Q19" i="78"/>
  <c r="I19" i="78"/>
  <c r="E1095" i="78"/>
  <c r="AE1050" i="78"/>
  <c r="AE1015" i="78"/>
  <c r="V1096" i="78"/>
  <c r="AF1138" i="78" s="1"/>
  <c r="W1096" i="78"/>
  <c r="AF1139" i="78" s="1"/>
  <c r="AD1045" i="78"/>
  <c r="AD1010" i="78"/>
  <c r="R1117" i="78"/>
  <c r="E1099" i="78"/>
  <c r="AE1054" i="78"/>
  <c r="AE1019" i="78"/>
  <c r="AD1049" i="78"/>
  <c r="AD1014" i="78"/>
  <c r="R1121" i="78"/>
  <c r="R267" i="71"/>
  <c r="R1127" i="78" l="1"/>
  <c r="AD1055" i="78"/>
  <c r="Q20" i="78"/>
  <c r="M20" i="78"/>
  <c r="AE1057" i="78"/>
  <c r="AD1048" i="78"/>
  <c r="AD1013" i="78"/>
  <c r="R1120" i="78"/>
  <c r="AG956" i="78"/>
  <c r="V1092" i="78"/>
  <c r="AF1126" i="78" s="1"/>
  <c r="W1092" i="78"/>
  <c r="AF1127" i="78" s="1"/>
  <c r="AT978" i="78"/>
  <c r="AT991" i="78" s="1"/>
  <c r="AO991" i="78"/>
  <c r="AD1047" i="78"/>
  <c r="AD1012" i="78"/>
  <c r="R1119" i="78"/>
  <c r="W1089" i="78"/>
  <c r="AF1118" i="78" s="1"/>
  <c r="V1089" i="78"/>
  <c r="AF1117" i="78" s="1"/>
  <c r="R19" i="78"/>
  <c r="V1099" i="78"/>
  <c r="AF1147" i="78" s="1"/>
  <c r="W1099" i="78"/>
  <c r="AF1148" i="78" s="1"/>
  <c r="AE1113" i="78"/>
  <c r="AD1054" i="78"/>
  <c r="AD1019" i="78"/>
  <c r="R1126" i="78"/>
  <c r="AE1022" i="78"/>
  <c r="V1093" i="78"/>
  <c r="AF1129" i="78" s="1"/>
  <c r="W1093" i="78"/>
  <c r="AF1130" i="78" s="1"/>
  <c r="AD1050" i="78"/>
  <c r="AD1015" i="78"/>
  <c r="R1122" i="78"/>
  <c r="V1095" i="78"/>
  <c r="AF1135" i="78" s="1"/>
  <c r="W1095" i="78"/>
  <c r="AF1136" i="78" s="1"/>
  <c r="B1022" i="78"/>
  <c r="R1128" i="78" s="1"/>
  <c r="AD1044" i="78"/>
  <c r="AD1009" i="78"/>
  <c r="R1116" i="78"/>
  <c r="Q608" i="71"/>
  <c r="M608" i="71"/>
  <c r="I608" i="71"/>
  <c r="E608" i="71"/>
  <c r="D361" i="71"/>
  <c r="C361" i="71"/>
  <c r="B361" i="71"/>
  <c r="R20" i="78" l="1"/>
  <c r="AD1022" i="78"/>
  <c r="AD1057" i="78"/>
  <c r="R608" i="71"/>
  <c r="I186" i="71"/>
  <c r="Q360" i="71"/>
  <c r="M360" i="71"/>
  <c r="I360" i="71"/>
  <c r="E360" i="71"/>
  <c r="Q600" i="71"/>
  <c r="M600" i="71"/>
  <c r="I600" i="71"/>
  <c r="E600" i="71"/>
  <c r="Q711" i="71"/>
  <c r="M711" i="71"/>
  <c r="I711" i="71"/>
  <c r="E711" i="71"/>
  <c r="D186" i="71"/>
  <c r="C186" i="71"/>
  <c r="E186" i="71" s="1"/>
  <c r="D184" i="71"/>
  <c r="C184" i="71"/>
  <c r="B184" i="71"/>
  <c r="D183" i="71"/>
  <c r="C183" i="71"/>
  <c r="B183" i="71"/>
  <c r="Q186" i="71"/>
  <c r="Q184" i="71"/>
  <c r="M184" i="71"/>
  <c r="Q456" i="71"/>
  <c r="M456" i="71"/>
  <c r="I456" i="71"/>
  <c r="E456" i="71"/>
  <c r="C350" i="71"/>
  <c r="D152" i="71"/>
  <c r="D343" i="71"/>
  <c r="C343" i="71"/>
  <c r="B343" i="71"/>
  <c r="M186" i="71" l="1"/>
  <c r="R186" i="71" s="1"/>
  <c r="I184" i="71"/>
  <c r="R360" i="71"/>
  <c r="R600" i="71"/>
  <c r="R711" i="71"/>
  <c r="E184" i="71"/>
  <c r="R456" i="71"/>
  <c r="R184" i="71" l="1"/>
  <c r="D421" i="71" l="1"/>
  <c r="C421" i="71"/>
  <c r="D828" i="71"/>
  <c r="C828" i="71"/>
  <c r="D457" i="71"/>
  <c r="C457" i="71"/>
  <c r="B457" i="71"/>
  <c r="D245" i="71"/>
  <c r="C245" i="71"/>
  <c r="D416" i="71"/>
  <c r="C416" i="71"/>
  <c r="D404" i="71" l="1"/>
  <c r="C404" i="71"/>
  <c r="B226" i="71" l="1"/>
  <c r="B404" i="71"/>
  <c r="K512" i="68" l="1"/>
  <c r="L512" i="68"/>
  <c r="P332" i="68" l="1"/>
  <c r="O332" i="68"/>
  <c r="P698" i="68"/>
  <c r="Q598" i="68"/>
  <c r="M598" i="68"/>
  <c r="I598" i="68"/>
  <c r="E598" i="68"/>
  <c r="E599" i="68"/>
  <c r="P183" i="68"/>
  <c r="O183" i="68"/>
  <c r="P181" i="68"/>
  <c r="P180" i="68"/>
  <c r="O181" i="68"/>
  <c r="O180" i="68"/>
  <c r="P354" i="68"/>
  <c r="O354" i="68"/>
  <c r="R598" i="68" l="1"/>
  <c r="P152" i="68"/>
  <c r="O152" i="68"/>
  <c r="P339" i="68"/>
  <c r="O339" i="68"/>
  <c r="P265" i="68"/>
  <c r="P450" i="68"/>
  <c r="O450" i="68"/>
  <c r="P816" i="68"/>
  <c r="O816" i="68"/>
  <c r="P413" i="68" l="1"/>
  <c r="O413" i="68"/>
  <c r="P223" i="68"/>
  <c r="N854" i="68" l="1"/>
  <c r="O854" i="68"/>
  <c r="Q201" i="68"/>
  <c r="M201" i="68"/>
  <c r="I201" i="68"/>
  <c r="E201" i="68"/>
  <c r="Q199" i="68"/>
  <c r="M199" i="68"/>
  <c r="I199" i="68"/>
  <c r="E199" i="68"/>
  <c r="Q366" i="68"/>
  <c r="M366" i="68"/>
  <c r="I366" i="68"/>
  <c r="E366" i="68"/>
  <c r="R199" i="68" l="1"/>
  <c r="R366" i="68"/>
  <c r="R201" i="68"/>
  <c r="P291" i="68"/>
  <c r="N188" i="71" l="1"/>
  <c r="H189" i="71"/>
  <c r="N183" i="68" l="1"/>
  <c r="N181" i="68"/>
  <c r="N180" i="68"/>
  <c r="N354" i="68"/>
  <c r="N339" i="68"/>
  <c r="N450" i="68"/>
  <c r="N816" i="68"/>
  <c r="N413" i="68"/>
  <c r="N223" i="68"/>
  <c r="N94" i="71" l="1"/>
  <c r="L94" i="71"/>
  <c r="K94" i="71"/>
  <c r="J332" i="68" l="1"/>
  <c r="L662" i="68" l="1"/>
  <c r="K662" i="68"/>
  <c r="L356" i="68"/>
  <c r="L172" i="68"/>
  <c r="K172" i="68"/>
  <c r="J172" i="68"/>
  <c r="L332" i="68"/>
  <c r="K332" i="68"/>
  <c r="L339" i="68"/>
  <c r="K339" i="68"/>
  <c r="J339" i="68"/>
  <c r="L816" i="68"/>
  <c r="K816" i="68"/>
  <c r="J816" i="68"/>
  <c r="L450" i="68"/>
  <c r="L183" i="68"/>
  <c r="K183" i="68"/>
  <c r="J183" i="68"/>
  <c r="L180" i="68"/>
  <c r="L181" i="68"/>
  <c r="K181" i="68"/>
  <c r="J181" i="68"/>
  <c r="L354" i="68"/>
  <c r="K354" i="68"/>
  <c r="J354" i="68"/>
  <c r="J411" i="68"/>
  <c r="L413" i="68"/>
  <c r="K413" i="68"/>
  <c r="J413" i="68"/>
  <c r="L223" i="68"/>
  <c r="K223" i="68"/>
  <c r="J223" i="68"/>
  <c r="Z57" i="2" l="1"/>
  <c r="Y57" i="2"/>
  <c r="L379" i="68"/>
  <c r="K379" i="68"/>
  <c r="J379" i="68"/>
  <c r="K378" i="68"/>
  <c r="I194" i="71" l="1"/>
  <c r="Q607" i="71" l="1"/>
  <c r="M607" i="71"/>
  <c r="I607" i="71"/>
  <c r="E607" i="71"/>
  <c r="R607" i="71" l="1"/>
  <c r="I823" i="71"/>
  <c r="Q407" i="71"/>
  <c r="M407" i="71"/>
  <c r="I407" i="71"/>
  <c r="E407" i="71"/>
  <c r="R407" i="71" l="1"/>
  <c r="Q730" i="71"/>
  <c r="M730" i="71"/>
  <c r="I730" i="71"/>
  <c r="E730" i="71"/>
  <c r="R730" i="71" l="1"/>
  <c r="O188" i="71"/>
  <c r="N357" i="71"/>
  <c r="O156" i="71" l="1"/>
  <c r="N156" i="71"/>
  <c r="K156" i="71"/>
  <c r="O343" i="71" l="1"/>
  <c r="N343" i="71"/>
  <c r="J862" i="71"/>
  <c r="H862" i="71"/>
  <c r="E343" i="71"/>
  <c r="Q148" i="71"/>
  <c r="M148" i="71"/>
  <c r="I148" i="71"/>
  <c r="E148" i="71"/>
  <c r="O335" i="71"/>
  <c r="O386" i="71" s="1"/>
  <c r="N335" i="71"/>
  <c r="N862" i="71" s="1"/>
  <c r="K862" i="71"/>
  <c r="J876" i="71"/>
  <c r="Q230" i="71"/>
  <c r="M230" i="71"/>
  <c r="I230" i="71"/>
  <c r="E230" i="71"/>
  <c r="D876" i="71"/>
  <c r="C876" i="71"/>
  <c r="O1150" i="71"/>
  <c r="K1150" i="71"/>
  <c r="Q1147" i="71"/>
  <c r="M1147" i="71"/>
  <c r="G1147" i="71"/>
  <c r="I1147" i="71" s="1"/>
  <c r="E1147" i="71"/>
  <c r="C1147" i="71"/>
  <c r="Q1146" i="71"/>
  <c r="M1146" i="71"/>
  <c r="G1146" i="71"/>
  <c r="I1146" i="71" s="1"/>
  <c r="E1146" i="71"/>
  <c r="C1146" i="71"/>
  <c r="Q1145" i="71"/>
  <c r="M1145" i="71"/>
  <c r="G1145" i="71"/>
  <c r="I1145" i="71" s="1"/>
  <c r="J1147" i="71" s="1"/>
  <c r="E1145" i="71"/>
  <c r="C1145" i="71"/>
  <c r="Q1144" i="71"/>
  <c r="M1144" i="71"/>
  <c r="G1144" i="71"/>
  <c r="I1144" i="71" s="1"/>
  <c r="E1144" i="71"/>
  <c r="C1144" i="71"/>
  <c r="Q1143" i="71"/>
  <c r="M1143" i="71"/>
  <c r="G1143" i="71"/>
  <c r="I1143" i="71" s="1"/>
  <c r="E1143" i="71"/>
  <c r="C1143" i="71"/>
  <c r="Q1142" i="71"/>
  <c r="M1142" i="71"/>
  <c r="G1142" i="71"/>
  <c r="I1142" i="71" s="1"/>
  <c r="J1144" i="71" s="1"/>
  <c r="E1142" i="71"/>
  <c r="C1142" i="71"/>
  <c r="Q1141" i="71"/>
  <c r="M1141" i="71"/>
  <c r="G1141" i="71"/>
  <c r="I1141" i="71" s="1"/>
  <c r="E1141" i="71"/>
  <c r="C1141" i="71"/>
  <c r="Q1140" i="71"/>
  <c r="M1140" i="71"/>
  <c r="G1140" i="71"/>
  <c r="I1140" i="71" s="1"/>
  <c r="E1140" i="71"/>
  <c r="C1140" i="71"/>
  <c r="Q1139" i="71"/>
  <c r="M1139" i="71"/>
  <c r="G1139" i="71"/>
  <c r="I1139" i="71" s="1"/>
  <c r="J1141" i="71" s="1"/>
  <c r="E1139" i="71"/>
  <c r="C1139" i="71"/>
  <c r="Q1138" i="71"/>
  <c r="M1138" i="71"/>
  <c r="G1138" i="71"/>
  <c r="I1138" i="71" s="1"/>
  <c r="E1138" i="71"/>
  <c r="C1138" i="71"/>
  <c r="Q1137" i="71"/>
  <c r="M1137" i="71"/>
  <c r="G1137" i="71"/>
  <c r="E1137" i="71"/>
  <c r="C1137" i="71"/>
  <c r="Q1136" i="71"/>
  <c r="M1136" i="71"/>
  <c r="I1136" i="71"/>
  <c r="E1136" i="71"/>
  <c r="C1136" i="71"/>
  <c r="G1130" i="71"/>
  <c r="O1129" i="71"/>
  <c r="K1129" i="71"/>
  <c r="C1129" i="71"/>
  <c r="I1126" i="71"/>
  <c r="J1123" i="71"/>
  <c r="Q1122" i="71"/>
  <c r="P1098" i="71"/>
  <c r="O1098" i="71" s="1"/>
  <c r="J1098" i="71"/>
  <c r="I1098" i="71"/>
  <c r="F1098" i="71" s="1"/>
  <c r="B1071" i="71" s="1"/>
  <c r="P1097" i="71"/>
  <c r="O1097" i="71" s="1"/>
  <c r="J1097" i="71"/>
  <c r="G1097" i="71" s="1"/>
  <c r="C1070" i="71" s="1"/>
  <c r="I1097" i="71"/>
  <c r="F1097" i="71" s="1"/>
  <c r="B1070" i="71" s="1"/>
  <c r="N1096" i="71"/>
  <c r="P1096" i="71" s="1"/>
  <c r="O1096" i="71" s="1"/>
  <c r="J1096" i="71"/>
  <c r="G1096" i="71" s="1"/>
  <c r="I1096" i="71"/>
  <c r="F1096" i="71" s="1"/>
  <c r="B1069" i="71" s="1"/>
  <c r="N1095" i="71"/>
  <c r="P1095" i="71" s="1"/>
  <c r="O1095" i="71" s="1"/>
  <c r="J1095" i="71"/>
  <c r="G1095" i="71" s="1"/>
  <c r="C1068" i="71" s="1"/>
  <c r="I1095" i="71"/>
  <c r="F1095" i="71" s="1"/>
  <c r="B1068" i="71" s="1"/>
  <c r="N1094" i="71"/>
  <c r="P1094" i="71" s="1"/>
  <c r="O1094" i="71" s="1"/>
  <c r="J1094" i="71"/>
  <c r="G1094" i="71" s="1"/>
  <c r="C1067" i="71" s="1"/>
  <c r="I1094" i="71"/>
  <c r="F1094" i="71" s="1"/>
  <c r="B1067" i="71" s="1"/>
  <c r="N1093" i="71"/>
  <c r="P1093" i="71" s="1"/>
  <c r="O1093" i="71" s="1"/>
  <c r="J1093" i="71"/>
  <c r="G1093" i="71" s="1"/>
  <c r="C1066" i="71" s="1"/>
  <c r="I1093" i="71"/>
  <c r="F1093" i="71" s="1"/>
  <c r="B1066" i="71" s="1"/>
  <c r="N1092" i="71"/>
  <c r="P1092" i="71" s="1"/>
  <c r="O1092" i="71" s="1"/>
  <c r="J1092" i="71"/>
  <c r="G1092" i="71" s="1"/>
  <c r="C1065" i="71" s="1"/>
  <c r="I1092" i="71"/>
  <c r="F1092" i="71" s="1"/>
  <c r="B1065" i="71" s="1"/>
  <c r="N1091" i="71"/>
  <c r="P1091" i="71" s="1"/>
  <c r="O1091" i="71" s="1"/>
  <c r="J1091" i="71"/>
  <c r="G1091" i="71" s="1"/>
  <c r="C1064" i="71" s="1"/>
  <c r="I1091" i="71"/>
  <c r="F1091" i="71" s="1"/>
  <c r="B1064" i="71" s="1"/>
  <c r="P1090" i="71"/>
  <c r="O1090" i="71" s="1"/>
  <c r="J1090" i="71"/>
  <c r="G1090" i="71" s="1"/>
  <c r="C1063" i="71" s="1"/>
  <c r="I1090" i="71"/>
  <c r="F1090" i="71" s="1"/>
  <c r="B1063" i="71" s="1"/>
  <c r="P1089" i="71"/>
  <c r="O1089" i="71" s="1"/>
  <c r="J1089" i="71"/>
  <c r="G1089" i="71" s="1"/>
  <c r="C1062" i="71" s="1"/>
  <c r="I1089" i="71"/>
  <c r="F1089" i="71" s="1"/>
  <c r="B1062" i="71" s="1"/>
  <c r="N1088" i="71"/>
  <c r="P1088" i="71" s="1"/>
  <c r="O1088" i="71" s="1"/>
  <c r="J1088" i="71"/>
  <c r="G1088" i="71" s="1"/>
  <c r="C1061" i="71" s="1"/>
  <c r="I1088" i="71"/>
  <c r="P1087" i="71"/>
  <c r="O1087" i="71" s="1"/>
  <c r="J1087" i="71"/>
  <c r="I1087" i="71"/>
  <c r="F1087" i="71" s="1"/>
  <c r="B1060" i="71" s="1"/>
  <c r="B1081" i="71"/>
  <c r="B1078" i="71"/>
  <c r="Q1077" i="71"/>
  <c r="C1069" i="71"/>
  <c r="D1067" i="71"/>
  <c r="D1066" i="71"/>
  <c r="D1065" i="71"/>
  <c r="AE1057" i="71"/>
  <c r="B1056" i="71"/>
  <c r="B1053" i="71"/>
  <c r="Q1052" i="71"/>
  <c r="P1046" i="71"/>
  <c r="P1045" i="71"/>
  <c r="P1044" i="71"/>
  <c r="P1043" i="71"/>
  <c r="P1042" i="71"/>
  <c r="P1041" i="71"/>
  <c r="P1040" i="71"/>
  <c r="P1039" i="71"/>
  <c r="P1038" i="71"/>
  <c r="P1037" i="71"/>
  <c r="P1036" i="71"/>
  <c r="P1035" i="71"/>
  <c r="M1030" i="71"/>
  <c r="N1021" i="71"/>
  <c r="L1021" i="71"/>
  <c r="K1021" i="71"/>
  <c r="I1021" i="71"/>
  <c r="H1021" i="71"/>
  <c r="J1019" i="71"/>
  <c r="J1018" i="71"/>
  <c r="J1017" i="71"/>
  <c r="J1016" i="71"/>
  <c r="J1015" i="71"/>
  <c r="J1014" i="71"/>
  <c r="AR1013" i="71"/>
  <c r="AQ1013" i="71"/>
  <c r="AP1013" i="71"/>
  <c r="AO1013" i="71"/>
  <c r="AN1013" i="71"/>
  <c r="AM1013" i="71"/>
  <c r="AL1013" i="71"/>
  <c r="AK1013" i="71"/>
  <c r="AJ1013" i="71"/>
  <c r="AI1013" i="71"/>
  <c r="AH1013" i="71"/>
  <c r="AG1013" i="71"/>
  <c r="AF1013" i="71"/>
  <c r="AE1013" i="71"/>
  <c r="AD1013" i="71"/>
  <c r="J1013" i="71"/>
  <c r="J1012" i="71"/>
  <c r="J1011" i="71"/>
  <c r="J1010" i="71"/>
  <c r="J1009" i="71"/>
  <c r="J1008" i="71"/>
  <c r="AD1003" i="71"/>
  <c r="AD1000" i="71"/>
  <c r="B1000" i="71"/>
  <c r="AR999" i="71"/>
  <c r="B999" i="71"/>
  <c r="Q998" i="71"/>
  <c r="AR978" i="71"/>
  <c r="AQ978" i="71"/>
  <c r="AP978" i="71"/>
  <c r="AO978" i="71"/>
  <c r="AN978" i="71"/>
  <c r="AM978" i="71"/>
  <c r="AL978" i="71"/>
  <c r="AK978" i="71"/>
  <c r="AJ978" i="71"/>
  <c r="AI978" i="71"/>
  <c r="AH978" i="71"/>
  <c r="AG978" i="71"/>
  <c r="AF978" i="71"/>
  <c r="AE978" i="71"/>
  <c r="AD978" i="71"/>
  <c r="B973" i="71"/>
  <c r="B970" i="71"/>
  <c r="Q969" i="71"/>
  <c r="AD968" i="71"/>
  <c r="AD965" i="71"/>
  <c r="AR964" i="71"/>
  <c r="AR947" i="71"/>
  <c r="AQ947" i="71"/>
  <c r="AP947" i="71"/>
  <c r="AO947" i="71"/>
  <c r="AG947" i="71"/>
  <c r="AF947" i="71"/>
  <c r="AE947" i="71"/>
  <c r="AD947" i="71"/>
  <c r="B947" i="71"/>
  <c r="B944" i="71"/>
  <c r="Q943" i="71"/>
  <c r="AR942" i="71"/>
  <c r="AG942" i="71"/>
  <c r="AS939" i="71"/>
  <c r="AH939" i="71"/>
  <c r="AS937" i="71"/>
  <c r="G934" i="71"/>
  <c r="F934" i="71"/>
  <c r="G933" i="71"/>
  <c r="F933" i="71"/>
  <c r="AD924" i="71" s="1"/>
  <c r="AO924" i="71" s="1"/>
  <c r="G932" i="71"/>
  <c r="F932" i="71"/>
  <c r="G931" i="71"/>
  <c r="F931" i="71"/>
  <c r="AD922" i="71" s="1"/>
  <c r="AO922" i="71" s="1"/>
  <c r="G930" i="71"/>
  <c r="F930" i="71"/>
  <c r="G929" i="71"/>
  <c r="F929" i="71"/>
  <c r="AD920" i="71" s="1"/>
  <c r="AO920" i="71" s="1"/>
  <c r="G928" i="71"/>
  <c r="F928" i="71"/>
  <c r="G927" i="71"/>
  <c r="F927" i="71"/>
  <c r="G926" i="71"/>
  <c r="F926" i="71"/>
  <c r="G925" i="71"/>
  <c r="F925" i="71"/>
  <c r="G924" i="71"/>
  <c r="F924" i="71"/>
  <c r="G923" i="71"/>
  <c r="F923" i="71"/>
  <c r="B918" i="71"/>
  <c r="B915" i="71"/>
  <c r="Q914" i="71"/>
  <c r="AF906" i="71"/>
  <c r="AS905" i="71"/>
  <c r="AN905" i="71"/>
  <c r="A896" i="71"/>
  <c r="A894" i="71"/>
  <c r="Q890" i="71"/>
  <c r="P884" i="71"/>
  <c r="O884" i="71"/>
  <c r="N884" i="71"/>
  <c r="L884" i="71"/>
  <c r="K884" i="71"/>
  <c r="J884" i="71"/>
  <c r="H884" i="71"/>
  <c r="G884" i="71"/>
  <c r="F884" i="71"/>
  <c r="D884" i="71"/>
  <c r="C884" i="71"/>
  <c r="B884" i="71"/>
  <c r="P883" i="71"/>
  <c r="O883" i="71"/>
  <c r="N883" i="71"/>
  <c r="L883" i="71"/>
  <c r="K883" i="71"/>
  <c r="J883" i="71"/>
  <c r="H883" i="71"/>
  <c r="G883" i="71"/>
  <c r="F883" i="71"/>
  <c r="D883" i="71"/>
  <c r="C883" i="71"/>
  <c r="B883" i="71"/>
  <c r="P882" i="71"/>
  <c r="O882" i="71"/>
  <c r="N882" i="71"/>
  <c r="L882" i="71"/>
  <c r="K882" i="71"/>
  <c r="J882" i="71"/>
  <c r="H882" i="71"/>
  <c r="G882" i="71"/>
  <c r="F882" i="71"/>
  <c r="D882" i="71"/>
  <c r="C882" i="71"/>
  <c r="B882" i="71"/>
  <c r="P881" i="71"/>
  <c r="O881" i="71"/>
  <c r="N881" i="71"/>
  <c r="L881" i="71"/>
  <c r="K881" i="71"/>
  <c r="J881" i="71"/>
  <c r="H881" i="71"/>
  <c r="G881" i="71"/>
  <c r="F881" i="71"/>
  <c r="D881" i="71"/>
  <c r="C881" i="71"/>
  <c r="B881" i="71"/>
  <c r="P880" i="71"/>
  <c r="O880" i="71"/>
  <c r="N880" i="71"/>
  <c r="L880" i="71"/>
  <c r="K880" i="71"/>
  <c r="J880" i="71"/>
  <c r="H880" i="71"/>
  <c r="G880" i="71"/>
  <c r="F880" i="71"/>
  <c r="D880" i="71"/>
  <c r="C880" i="71"/>
  <c r="B880" i="71"/>
  <c r="P879" i="71"/>
  <c r="O879" i="71"/>
  <c r="N879" i="71"/>
  <c r="L879" i="71"/>
  <c r="K879" i="71"/>
  <c r="J879" i="71"/>
  <c r="H879" i="71"/>
  <c r="G879" i="71"/>
  <c r="F879" i="71"/>
  <c r="D879" i="71"/>
  <c r="C879" i="71"/>
  <c r="B879" i="71"/>
  <c r="P876" i="71"/>
  <c r="O876" i="71"/>
  <c r="N876" i="71"/>
  <c r="L876" i="71"/>
  <c r="K876" i="71"/>
  <c r="P875" i="71"/>
  <c r="O875" i="71"/>
  <c r="B875" i="71"/>
  <c r="P872" i="71"/>
  <c r="O872" i="71"/>
  <c r="N872" i="71"/>
  <c r="L872" i="71"/>
  <c r="K872" i="71"/>
  <c r="J872" i="71"/>
  <c r="H872" i="71"/>
  <c r="G872" i="71"/>
  <c r="F872" i="71"/>
  <c r="D872" i="71"/>
  <c r="C872" i="71"/>
  <c r="B872" i="71"/>
  <c r="P871" i="71"/>
  <c r="O871" i="71"/>
  <c r="N871" i="71"/>
  <c r="L871" i="71"/>
  <c r="K871" i="71"/>
  <c r="J871" i="71"/>
  <c r="H871" i="71"/>
  <c r="G871" i="71"/>
  <c r="F871" i="71"/>
  <c r="D871" i="71"/>
  <c r="C871" i="71"/>
  <c r="B871" i="71"/>
  <c r="P870" i="71"/>
  <c r="O870" i="71"/>
  <c r="N870" i="71"/>
  <c r="L870" i="71"/>
  <c r="K870" i="71"/>
  <c r="J870" i="71"/>
  <c r="H870" i="71"/>
  <c r="G870" i="71"/>
  <c r="F870" i="71"/>
  <c r="D870" i="71"/>
  <c r="C870" i="71"/>
  <c r="B870" i="71"/>
  <c r="P867" i="71"/>
  <c r="O867" i="71"/>
  <c r="N867" i="71"/>
  <c r="L867" i="71"/>
  <c r="K867" i="71"/>
  <c r="J867" i="71"/>
  <c r="H867" i="71"/>
  <c r="G867" i="71"/>
  <c r="F867" i="71"/>
  <c r="D867" i="71"/>
  <c r="C867" i="71"/>
  <c r="B867" i="71"/>
  <c r="P866" i="71"/>
  <c r="O866" i="71"/>
  <c r="N866" i="71"/>
  <c r="L866" i="71"/>
  <c r="K866" i="71"/>
  <c r="J866" i="71"/>
  <c r="H866" i="71"/>
  <c r="G866" i="71"/>
  <c r="F866" i="71"/>
  <c r="D866" i="71"/>
  <c r="C866" i="71"/>
  <c r="B866" i="71"/>
  <c r="P865" i="71"/>
  <c r="O865" i="71"/>
  <c r="N865" i="71"/>
  <c r="L865" i="71"/>
  <c r="K865" i="71"/>
  <c r="J865" i="71"/>
  <c r="H865" i="71"/>
  <c r="G865" i="71"/>
  <c r="F865" i="71"/>
  <c r="D865" i="71"/>
  <c r="C865" i="71"/>
  <c r="B865" i="71"/>
  <c r="P864" i="71"/>
  <c r="O864" i="71"/>
  <c r="N864" i="71"/>
  <c r="L864" i="71"/>
  <c r="K864" i="71"/>
  <c r="J864" i="71"/>
  <c r="H864" i="71"/>
  <c r="G864" i="71"/>
  <c r="F864" i="71"/>
  <c r="D864" i="71"/>
  <c r="C864" i="71"/>
  <c r="B864" i="71"/>
  <c r="P863" i="71"/>
  <c r="O863" i="71"/>
  <c r="N863" i="71"/>
  <c r="L863" i="71"/>
  <c r="K863" i="71"/>
  <c r="J863" i="71"/>
  <c r="H863" i="71"/>
  <c r="G863" i="71"/>
  <c r="F863" i="71"/>
  <c r="D863" i="71"/>
  <c r="C863" i="71"/>
  <c r="B863" i="71"/>
  <c r="P862" i="71"/>
  <c r="L862" i="71"/>
  <c r="A855" i="71"/>
  <c r="A853" i="71"/>
  <c r="Q849" i="71"/>
  <c r="Q842" i="71"/>
  <c r="M842" i="71"/>
  <c r="I842" i="71"/>
  <c r="E842" i="71"/>
  <c r="P840" i="71"/>
  <c r="O840" i="71"/>
  <c r="N840" i="71"/>
  <c r="L840" i="71"/>
  <c r="K840" i="71"/>
  <c r="J840" i="71"/>
  <c r="H840" i="71"/>
  <c r="G840" i="71"/>
  <c r="F840" i="71"/>
  <c r="D840" i="71"/>
  <c r="C840" i="71"/>
  <c r="B840" i="71"/>
  <c r="P839" i="71"/>
  <c r="O839" i="71"/>
  <c r="N839" i="71"/>
  <c r="L839" i="71"/>
  <c r="K839" i="71"/>
  <c r="J839" i="71"/>
  <c r="H839" i="71"/>
  <c r="G839" i="71"/>
  <c r="F839" i="71"/>
  <c r="D839" i="71"/>
  <c r="C839" i="71"/>
  <c r="B839" i="71"/>
  <c r="Q836" i="71"/>
  <c r="M836" i="71"/>
  <c r="I836" i="71"/>
  <c r="E836" i="71"/>
  <c r="Q835" i="71"/>
  <c r="M835" i="71"/>
  <c r="I835" i="71"/>
  <c r="E835" i="71"/>
  <c r="Q833" i="71"/>
  <c r="M833" i="71"/>
  <c r="I833" i="71"/>
  <c r="E833" i="71"/>
  <c r="Q832" i="71"/>
  <c r="M832" i="71"/>
  <c r="I832" i="71"/>
  <c r="E832" i="71"/>
  <c r="P829" i="71"/>
  <c r="O829" i="71"/>
  <c r="N829" i="71"/>
  <c r="L829" i="71"/>
  <c r="K829" i="71"/>
  <c r="J829" i="71"/>
  <c r="H829" i="71"/>
  <c r="G829" i="71"/>
  <c r="F829" i="71"/>
  <c r="D829" i="71"/>
  <c r="C829" i="71"/>
  <c r="B829" i="71"/>
  <c r="Q828" i="71"/>
  <c r="M828" i="71"/>
  <c r="I828" i="71"/>
  <c r="E828" i="71"/>
  <c r="Q827" i="71"/>
  <c r="M827" i="71"/>
  <c r="I827" i="71"/>
  <c r="E827" i="71"/>
  <c r="Q826" i="71"/>
  <c r="M826" i="71"/>
  <c r="I826" i="71"/>
  <c r="E826" i="71"/>
  <c r="Q825" i="71"/>
  <c r="M825" i="71"/>
  <c r="I825" i="71"/>
  <c r="E825" i="71"/>
  <c r="Q823" i="71"/>
  <c r="M823" i="71"/>
  <c r="E823" i="71"/>
  <c r="Q822" i="71"/>
  <c r="M822" i="71"/>
  <c r="I822" i="71"/>
  <c r="E822" i="71"/>
  <c r="P819" i="71"/>
  <c r="O819" i="71"/>
  <c r="N819" i="71"/>
  <c r="L819" i="71"/>
  <c r="K819" i="71"/>
  <c r="J819" i="71"/>
  <c r="H819" i="71"/>
  <c r="G819" i="71"/>
  <c r="F819" i="71"/>
  <c r="D819" i="71"/>
  <c r="C819" i="71"/>
  <c r="B819" i="71"/>
  <c r="Q817" i="71"/>
  <c r="M817" i="71"/>
  <c r="I817" i="71"/>
  <c r="E817" i="71"/>
  <c r="P814" i="71"/>
  <c r="O814" i="71"/>
  <c r="N814" i="71"/>
  <c r="L814" i="71"/>
  <c r="K814" i="71"/>
  <c r="J814" i="71"/>
  <c r="H814" i="71"/>
  <c r="G814" i="71"/>
  <c r="F814" i="71"/>
  <c r="D814" i="71"/>
  <c r="C814" i="71"/>
  <c r="B814" i="71"/>
  <c r="Q812" i="71"/>
  <c r="M812" i="71"/>
  <c r="I812" i="71"/>
  <c r="E812" i="71"/>
  <c r="Q809" i="71"/>
  <c r="M809" i="71"/>
  <c r="I809" i="71"/>
  <c r="E809" i="71"/>
  <c r="Q808" i="71"/>
  <c r="M808" i="71"/>
  <c r="I808" i="71"/>
  <c r="E808" i="71"/>
  <c r="Q807" i="71"/>
  <c r="M807" i="71"/>
  <c r="I807" i="71"/>
  <c r="E807" i="71"/>
  <c r="Q806" i="71"/>
  <c r="M806" i="71"/>
  <c r="I806" i="71"/>
  <c r="E806" i="71"/>
  <c r="Q805" i="71"/>
  <c r="M805" i="71"/>
  <c r="I805" i="71"/>
  <c r="E805" i="71"/>
  <c r="Q793" i="71"/>
  <c r="M793" i="71"/>
  <c r="I793" i="71"/>
  <c r="E793" i="71"/>
  <c r="Q792" i="71"/>
  <c r="M792" i="71"/>
  <c r="I792" i="71"/>
  <c r="E792" i="71"/>
  <c r="P790" i="71"/>
  <c r="O790" i="71"/>
  <c r="N790" i="71"/>
  <c r="L790" i="71"/>
  <c r="K790" i="71"/>
  <c r="J790" i="71"/>
  <c r="H790" i="71"/>
  <c r="G790" i="71"/>
  <c r="F790" i="71"/>
  <c r="D790" i="71"/>
  <c r="C790" i="71"/>
  <c r="B790" i="71"/>
  <c r="P789" i="71"/>
  <c r="O789" i="71"/>
  <c r="N789" i="71"/>
  <c r="L789" i="71"/>
  <c r="K789" i="71"/>
  <c r="J789" i="71"/>
  <c r="H789" i="71"/>
  <c r="G789" i="71"/>
  <c r="F789" i="71"/>
  <c r="D789" i="71"/>
  <c r="C789" i="71"/>
  <c r="B789" i="71"/>
  <c r="P783" i="71"/>
  <c r="O783" i="71"/>
  <c r="N783" i="71"/>
  <c r="L783" i="71"/>
  <c r="K783" i="71"/>
  <c r="J783" i="71"/>
  <c r="H783" i="71"/>
  <c r="G783" i="71"/>
  <c r="F783" i="71"/>
  <c r="D783" i="71"/>
  <c r="C783" i="71"/>
  <c r="B783" i="71"/>
  <c r="P779" i="71"/>
  <c r="O779" i="71"/>
  <c r="N779" i="71"/>
  <c r="L779" i="71"/>
  <c r="K779" i="71"/>
  <c r="J779" i="71"/>
  <c r="H779" i="71"/>
  <c r="G779" i="71"/>
  <c r="F779" i="71"/>
  <c r="D779" i="71"/>
  <c r="C779" i="71"/>
  <c r="B779" i="71"/>
  <c r="P775" i="71"/>
  <c r="O775" i="71"/>
  <c r="N775" i="71"/>
  <c r="L775" i="71"/>
  <c r="K775" i="71"/>
  <c r="J775" i="71"/>
  <c r="H775" i="71"/>
  <c r="G775" i="71"/>
  <c r="F775" i="71"/>
  <c r="D775" i="71"/>
  <c r="C775" i="71"/>
  <c r="B775" i="71"/>
  <c r="Q771" i="71"/>
  <c r="M771" i="71"/>
  <c r="I771" i="71"/>
  <c r="E771" i="71"/>
  <c r="P761" i="71"/>
  <c r="O761" i="71"/>
  <c r="N761" i="71"/>
  <c r="L761" i="71"/>
  <c r="K761" i="71"/>
  <c r="J761" i="71"/>
  <c r="H761" i="71"/>
  <c r="G761" i="71"/>
  <c r="F761" i="71"/>
  <c r="D761" i="71"/>
  <c r="C761" i="71"/>
  <c r="B761" i="71"/>
  <c r="Q759" i="71"/>
  <c r="M759" i="71"/>
  <c r="I759" i="71"/>
  <c r="E759" i="71"/>
  <c r="Q749" i="71"/>
  <c r="M749" i="71"/>
  <c r="I749" i="71"/>
  <c r="E749" i="71"/>
  <c r="P747" i="71"/>
  <c r="O747" i="71"/>
  <c r="N747" i="71"/>
  <c r="L747" i="71"/>
  <c r="K747" i="71"/>
  <c r="J747" i="71"/>
  <c r="H747" i="71"/>
  <c r="G747" i="71"/>
  <c r="F747" i="71"/>
  <c r="D747" i="71"/>
  <c r="C747" i="71"/>
  <c r="B747" i="71"/>
  <c r="P746" i="71"/>
  <c r="O746" i="71"/>
  <c r="N746" i="71"/>
  <c r="L746" i="71"/>
  <c r="K746" i="71"/>
  <c r="J746" i="71"/>
  <c r="H746" i="71"/>
  <c r="G746" i="71"/>
  <c r="F746" i="71"/>
  <c r="D746" i="71"/>
  <c r="C746" i="71"/>
  <c r="B746" i="71"/>
  <c r="Q743" i="71"/>
  <c r="M743" i="71"/>
  <c r="I743" i="71"/>
  <c r="E743" i="71"/>
  <c r="Q742" i="71"/>
  <c r="M742" i="71"/>
  <c r="I742" i="71"/>
  <c r="E742" i="71"/>
  <c r="Q741" i="71"/>
  <c r="M741" i="71"/>
  <c r="I741" i="71"/>
  <c r="E741" i="71"/>
  <c r="Q740" i="71"/>
  <c r="M740" i="71"/>
  <c r="I740" i="71"/>
  <c r="E740" i="71"/>
  <c r="P736" i="71"/>
  <c r="O736" i="71"/>
  <c r="N736" i="71"/>
  <c r="L736" i="71"/>
  <c r="K736" i="71"/>
  <c r="J736" i="71"/>
  <c r="H736" i="71"/>
  <c r="G736" i="71"/>
  <c r="F736" i="71"/>
  <c r="D736" i="71"/>
  <c r="C736" i="71"/>
  <c r="B736" i="71"/>
  <c r="Q735" i="71"/>
  <c r="M735" i="71"/>
  <c r="I735" i="71"/>
  <c r="E735" i="71"/>
  <c r="Q734" i="71"/>
  <c r="M734" i="71"/>
  <c r="I734" i="71"/>
  <c r="E734" i="71"/>
  <c r="Q733" i="71"/>
  <c r="M733" i="71"/>
  <c r="I733" i="71"/>
  <c r="E733" i="71"/>
  <c r="Q732" i="71"/>
  <c r="M732" i="71"/>
  <c r="I732" i="71"/>
  <c r="E732" i="71"/>
  <c r="Q731" i="71"/>
  <c r="M731" i="71"/>
  <c r="I731" i="71"/>
  <c r="E731" i="71"/>
  <c r="Q729" i="71"/>
  <c r="M729" i="71"/>
  <c r="I729" i="71"/>
  <c r="E729" i="71"/>
  <c r="Q728" i="71"/>
  <c r="M728" i="71"/>
  <c r="I728" i="71"/>
  <c r="E728" i="71"/>
  <c r="Q727" i="71"/>
  <c r="M727" i="71"/>
  <c r="I727" i="71"/>
  <c r="E727" i="71"/>
  <c r="Q725" i="71"/>
  <c r="M725" i="71"/>
  <c r="I725" i="71"/>
  <c r="E725" i="71"/>
  <c r="P722" i="71"/>
  <c r="O722" i="71"/>
  <c r="N722" i="71"/>
  <c r="L722" i="71"/>
  <c r="K722" i="71"/>
  <c r="J722" i="71"/>
  <c r="H722" i="71"/>
  <c r="G722" i="71"/>
  <c r="F722" i="71"/>
  <c r="D722" i="71"/>
  <c r="C722" i="71"/>
  <c r="B722" i="71"/>
  <c r="P718" i="71"/>
  <c r="O718" i="71"/>
  <c r="N718" i="71"/>
  <c r="L718" i="71"/>
  <c r="K718" i="71"/>
  <c r="J718" i="71"/>
  <c r="H718" i="71"/>
  <c r="G718" i="71"/>
  <c r="F718" i="71"/>
  <c r="D718" i="71"/>
  <c r="C718" i="71"/>
  <c r="B718" i="71"/>
  <c r="Q714" i="71"/>
  <c r="M714" i="71"/>
  <c r="I714" i="71"/>
  <c r="E714" i="71"/>
  <c r="Q713" i="71"/>
  <c r="M713" i="71"/>
  <c r="I713" i="71"/>
  <c r="E713" i="71"/>
  <c r="Q712" i="71"/>
  <c r="M712" i="71"/>
  <c r="I712" i="71"/>
  <c r="E712" i="71"/>
  <c r="Q710" i="71"/>
  <c r="M710" i="71"/>
  <c r="I710" i="71"/>
  <c r="E710" i="71"/>
  <c r="Q709" i="71"/>
  <c r="M709" i="71"/>
  <c r="I709" i="71"/>
  <c r="E709" i="71"/>
  <c r="Q708" i="71"/>
  <c r="M708" i="71"/>
  <c r="I708" i="71"/>
  <c r="E708" i="71"/>
  <c r="Q696" i="71"/>
  <c r="M696" i="71"/>
  <c r="I696" i="71"/>
  <c r="E696" i="71"/>
  <c r="P694" i="71"/>
  <c r="O694" i="71"/>
  <c r="N694" i="71"/>
  <c r="L694" i="71"/>
  <c r="K694" i="71"/>
  <c r="J694" i="71"/>
  <c r="H694" i="71"/>
  <c r="G694" i="71"/>
  <c r="F694" i="71"/>
  <c r="D694" i="71"/>
  <c r="C694" i="71"/>
  <c r="B694" i="71"/>
  <c r="P693" i="71"/>
  <c r="O693" i="71"/>
  <c r="N693" i="71"/>
  <c r="L693" i="71"/>
  <c r="K693" i="71"/>
  <c r="J693" i="71"/>
  <c r="H693" i="71"/>
  <c r="G693" i="71"/>
  <c r="F693" i="71"/>
  <c r="D693" i="71"/>
  <c r="C693" i="71"/>
  <c r="B693" i="71"/>
  <c r="Q690" i="71"/>
  <c r="M690" i="71"/>
  <c r="I690" i="71"/>
  <c r="E690" i="71"/>
  <c r="P686" i="71"/>
  <c r="O686" i="71"/>
  <c r="N686" i="71"/>
  <c r="L686" i="71"/>
  <c r="K686" i="71"/>
  <c r="J686" i="71"/>
  <c r="H686" i="71"/>
  <c r="G686" i="71"/>
  <c r="F686" i="71"/>
  <c r="D686" i="71"/>
  <c r="C686" i="71"/>
  <c r="B686" i="71"/>
  <c r="P682" i="71"/>
  <c r="O682" i="71"/>
  <c r="N682" i="71"/>
  <c r="L682" i="71"/>
  <c r="K682" i="71"/>
  <c r="J682" i="71"/>
  <c r="H682" i="71"/>
  <c r="G682" i="71"/>
  <c r="F682" i="71"/>
  <c r="D682" i="71"/>
  <c r="C682" i="71"/>
  <c r="B682" i="71"/>
  <c r="P678" i="71"/>
  <c r="O678" i="71"/>
  <c r="N678" i="71"/>
  <c r="L678" i="71"/>
  <c r="K678" i="71"/>
  <c r="J678" i="71"/>
  <c r="H678" i="71"/>
  <c r="G678" i="71"/>
  <c r="F678" i="71"/>
  <c r="D678" i="71"/>
  <c r="C678" i="71"/>
  <c r="B678" i="71"/>
  <c r="Q674" i="71"/>
  <c r="M674" i="71"/>
  <c r="I674" i="71"/>
  <c r="E674" i="71"/>
  <c r="Q673" i="71"/>
  <c r="M673" i="71"/>
  <c r="I673" i="71"/>
  <c r="E673" i="71"/>
  <c r="Q672" i="71"/>
  <c r="M672" i="71"/>
  <c r="I672" i="71"/>
  <c r="E672" i="71"/>
  <c r="P662" i="71"/>
  <c r="O662" i="71"/>
  <c r="N662" i="71"/>
  <c r="L662" i="71"/>
  <c r="K662" i="71"/>
  <c r="J662" i="71"/>
  <c r="H662" i="71"/>
  <c r="G662" i="71"/>
  <c r="F662" i="71"/>
  <c r="D662" i="71"/>
  <c r="C662" i="71"/>
  <c r="B662" i="71"/>
  <c r="Q660" i="71"/>
  <c r="M660" i="71"/>
  <c r="I660" i="71"/>
  <c r="E660" i="71"/>
  <c r="Q650" i="71"/>
  <c r="M650" i="71"/>
  <c r="I650" i="71"/>
  <c r="E650" i="71"/>
  <c r="P648" i="71"/>
  <c r="O648" i="71"/>
  <c r="N648" i="71"/>
  <c r="L648" i="71"/>
  <c r="K648" i="71"/>
  <c r="J648" i="71"/>
  <c r="H648" i="71"/>
  <c r="G648" i="71"/>
  <c r="F648" i="71"/>
  <c r="D648" i="71"/>
  <c r="C648" i="71"/>
  <c r="B648" i="71"/>
  <c r="P647" i="71"/>
  <c r="O647" i="71"/>
  <c r="N647" i="71"/>
  <c r="L647" i="71"/>
  <c r="K647" i="71"/>
  <c r="J647" i="71"/>
  <c r="H647" i="71"/>
  <c r="G647" i="71"/>
  <c r="F647" i="71"/>
  <c r="D647" i="71"/>
  <c r="C647" i="71"/>
  <c r="B647" i="71"/>
  <c r="Q646" i="71"/>
  <c r="M646" i="71"/>
  <c r="I646" i="71"/>
  <c r="E646" i="71"/>
  <c r="Q645" i="71"/>
  <c r="M645" i="71"/>
  <c r="I645" i="71"/>
  <c r="E645" i="71"/>
  <c r="Q644" i="71"/>
  <c r="M644" i="71"/>
  <c r="I644" i="71"/>
  <c r="E644" i="71"/>
  <c r="Q642" i="71"/>
  <c r="M642" i="71"/>
  <c r="I642" i="71"/>
  <c r="E642" i="71"/>
  <c r="Q641" i="71"/>
  <c r="M641" i="71"/>
  <c r="I641" i="71"/>
  <c r="E641" i="71"/>
  <c r="Q639" i="71"/>
  <c r="M639" i="71"/>
  <c r="I639" i="71"/>
  <c r="E639" i="71"/>
  <c r="Q638" i="71"/>
  <c r="M638" i="71"/>
  <c r="I638" i="71"/>
  <c r="E638" i="71"/>
  <c r="Q637" i="71"/>
  <c r="M637" i="71"/>
  <c r="I637" i="71"/>
  <c r="E637" i="71"/>
  <c r="Q636" i="71"/>
  <c r="M636" i="71"/>
  <c r="I636" i="71"/>
  <c r="E636" i="71"/>
  <c r="Q634" i="71"/>
  <c r="M634" i="71"/>
  <c r="I634" i="71"/>
  <c r="E634" i="71"/>
  <c r="Q633" i="71"/>
  <c r="M633" i="71"/>
  <c r="I633" i="71"/>
  <c r="E633" i="71"/>
  <c r="P630" i="71"/>
  <c r="O630" i="71"/>
  <c r="N630" i="71"/>
  <c r="L630" i="71"/>
  <c r="K630" i="71"/>
  <c r="J630" i="71"/>
  <c r="H630" i="71"/>
  <c r="G630" i="71"/>
  <c r="F630" i="71"/>
  <c r="D630" i="71"/>
  <c r="C630" i="71"/>
  <c r="B630" i="71"/>
  <c r="Q629" i="71"/>
  <c r="M629" i="71"/>
  <c r="I629" i="71"/>
  <c r="E629" i="71"/>
  <c r="Q628" i="71"/>
  <c r="M628" i="71"/>
  <c r="I628" i="71"/>
  <c r="E628" i="71"/>
  <c r="Q627" i="71"/>
  <c r="M627" i="71"/>
  <c r="I627" i="71"/>
  <c r="E627" i="71"/>
  <c r="Q626" i="71"/>
  <c r="M626" i="71"/>
  <c r="I626" i="71"/>
  <c r="E626" i="71"/>
  <c r="Q625" i="71"/>
  <c r="M625" i="71"/>
  <c r="I625" i="71"/>
  <c r="E625" i="71"/>
  <c r="P621" i="71"/>
  <c r="O621" i="71"/>
  <c r="N621" i="71"/>
  <c r="L621" i="71"/>
  <c r="K621" i="71"/>
  <c r="J621" i="71"/>
  <c r="H621" i="71"/>
  <c r="G621" i="71"/>
  <c r="F621" i="71"/>
  <c r="D621" i="71"/>
  <c r="C621" i="71"/>
  <c r="B621" i="71"/>
  <c r="Q619" i="71"/>
  <c r="M619" i="71"/>
  <c r="I619" i="71"/>
  <c r="E619" i="71"/>
  <c r="Q618" i="71"/>
  <c r="M618" i="71"/>
  <c r="I618" i="71"/>
  <c r="E618" i="71"/>
  <c r="P615" i="71"/>
  <c r="O615" i="71"/>
  <c r="N615" i="71"/>
  <c r="L615" i="71"/>
  <c r="K615" i="71"/>
  <c r="J615" i="71"/>
  <c r="H615" i="71"/>
  <c r="G615" i="71"/>
  <c r="F615" i="71"/>
  <c r="D615" i="71"/>
  <c r="C615" i="71"/>
  <c r="B615" i="71"/>
  <c r="Q613" i="71"/>
  <c r="M613" i="71"/>
  <c r="I613" i="71"/>
  <c r="E613" i="71"/>
  <c r="Q611" i="71"/>
  <c r="M611" i="71"/>
  <c r="I611" i="71"/>
  <c r="E611" i="71"/>
  <c r="Q609" i="71"/>
  <c r="M609" i="71"/>
  <c r="I609" i="71"/>
  <c r="E609" i="71"/>
  <c r="Q606" i="71"/>
  <c r="M606" i="71"/>
  <c r="I606" i="71"/>
  <c r="E606" i="71"/>
  <c r="Q605" i="71"/>
  <c r="M605" i="71"/>
  <c r="I605" i="71"/>
  <c r="E605" i="71"/>
  <c r="Q603" i="71"/>
  <c r="M603" i="71"/>
  <c r="I603" i="71"/>
  <c r="E603" i="71"/>
  <c r="Q602" i="71"/>
  <c r="M602" i="71"/>
  <c r="I602" i="71"/>
  <c r="E602" i="71"/>
  <c r="Q601" i="71"/>
  <c r="M601" i="71"/>
  <c r="I601" i="71"/>
  <c r="E601" i="71"/>
  <c r="Q599" i="71"/>
  <c r="M599" i="71"/>
  <c r="I599" i="71"/>
  <c r="E599" i="71"/>
  <c r="Q598" i="71"/>
  <c r="M598" i="71"/>
  <c r="I598" i="71"/>
  <c r="E598" i="71"/>
  <c r="Q597" i="71"/>
  <c r="M597" i="71"/>
  <c r="I597" i="71"/>
  <c r="E597" i="71"/>
  <c r="Q596" i="71"/>
  <c r="M596" i="71"/>
  <c r="I596" i="71"/>
  <c r="E596" i="71"/>
  <c r="Q595" i="71"/>
  <c r="M595" i="71"/>
  <c r="I595" i="71"/>
  <c r="E595" i="71"/>
  <c r="Q583" i="71"/>
  <c r="M583" i="71"/>
  <c r="I583" i="71"/>
  <c r="E583" i="71"/>
  <c r="P581" i="71"/>
  <c r="O581" i="71"/>
  <c r="N581" i="71"/>
  <c r="L581" i="71"/>
  <c r="K581" i="71"/>
  <c r="J581" i="71"/>
  <c r="H581" i="71"/>
  <c r="G581" i="71"/>
  <c r="F581" i="71"/>
  <c r="D581" i="71"/>
  <c r="C581" i="71"/>
  <c r="B581" i="71"/>
  <c r="P580" i="71"/>
  <c r="O580" i="71"/>
  <c r="N580" i="71"/>
  <c r="L580" i="71"/>
  <c r="K580" i="71"/>
  <c r="J580" i="71"/>
  <c r="H580" i="71"/>
  <c r="G580" i="71"/>
  <c r="F580" i="71"/>
  <c r="D580" i="71"/>
  <c r="C580" i="71"/>
  <c r="B580" i="71"/>
  <c r="Q579" i="71"/>
  <c r="M579" i="71"/>
  <c r="I579" i="71"/>
  <c r="E579" i="71"/>
  <c r="Q578" i="71"/>
  <c r="M578" i="71"/>
  <c r="I578" i="71"/>
  <c r="E578" i="71"/>
  <c r="Q577" i="71"/>
  <c r="M577" i="71"/>
  <c r="I577" i="71"/>
  <c r="E577" i="71"/>
  <c r="Q576" i="71"/>
  <c r="M576" i="71"/>
  <c r="I576" i="71"/>
  <c r="E576" i="71"/>
  <c r="Q574" i="71"/>
  <c r="M574" i="71"/>
  <c r="I574" i="71"/>
  <c r="E574" i="71"/>
  <c r="P569" i="71"/>
  <c r="O569" i="71"/>
  <c r="N569" i="71"/>
  <c r="L569" i="71"/>
  <c r="K569" i="71"/>
  <c r="J569" i="71"/>
  <c r="H569" i="71"/>
  <c r="G569" i="71"/>
  <c r="F569" i="71"/>
  <c r="D569" i="71"/>
  <c r="C569" i="71"/>
  <c r="B569" i="71"/>
  <c r="Q568" i="71"/>
  <c r="M568" i="71"/>
  <c r="I568" i="71"/>
  <c r="E568" i="71"/>
  <c r="P564" i="71"/>
  <c r="O564" i="71"/>
  <c r="N564" i="71"/>
  <c r="L564" i="71"/>
  <c r="K564" i="71"/>
  <c r="J564" i="71"/>
  <c r="H564" i="71"/>
  <c r="G564" i="71"/>
  <c r="F564" i="71"/>
  <c r="D564" i="71"/>
  <c r="C564" i="71"/>
  <c r="B564" i="71"/>
  <c r="Q562" i="71"/>
  <c r="M562" i="71"/>
  <c r="I562" i="71"/>
  <c r="E562" i="71"/>
  <c r="Q561" i="71"/>
  <c r="M561" i="71"/>
  <c r="I561" i="71"/>
  <c r="E561" i="71"/>
  <c r="P558" i="71"/>
  <c r="O558" i="71"/>
  <c r="N558" i="71"/>
  <c r="L558" i="71"/>
  <c r="K558" i="71"/>
  <c r="J558" i="71"/>
  <c r="H558" i="71"/>
  <c r="G558" i="71"/>
  <c r="F558" i="71"/>
  <c r="D558" i="71"/>
  <c r="C558" i="71"/>
  <c r="B558" i="71"/>
  <c r="Q554" i="71"/>
  <c r="M554" i="71"/>
  <c r="I554" i="71"/>
  <c r="E554" i="71"/>
  <c r="Q553" i="71"/>
  <c r="M553" i="71"/>
  <c r="I553" i="71"/>
  <c r="E553" i="71"/>
  <c r="Q552" i="71"/>
  <c r="M552" i="71"/>
  <c r="I552" i="71"/>
  <c r="E552" i="71"/>
  <c r="Q551" i="71"/>
  <c r="M551" i="71"/>
  <c r="I551" i="71"/>
  <c r="E551" i="71"/>
  <c r="Q550" i="71"/>
  <c r="M550" i="71"/>
  <c r="I550" i="71"/>
  <c r="E550" i="71"/>
  <c r="Q538" i="71"/>
  <c r="M538" i="71"/>
  <c r="I538" i="71"/>
  <c r="E538" i="71"/>
  <c r="P536" i="71"/>
  <c r="O536" i="71"/>
  <c r="N536" i="71"/>
  <c r="L536" i="71"/>
  <c r="K536" i="71"/>
  <c r="J536" i="71"/>
  <c r="H536" i="71"/>
  <c r="G536" i="71"/>
  <c r="F536" i="71"/>
  <c r="D536" i="71"/>
  <c r="C536" i="71"/>
  <c r="B536" i="71"/>
  <c r="P535" i="71"/>
  <c r="O535" i="71"/>
  <c r="N535" i="71"/>
  <c r="L535" i="71"/>
  <c r="K535" i="71"/>
  <c r="J535" i="71"/>
  <c r="H535" i="71"/>
  <c r="G535" i="71"/>
  <c r="F535" i="71"/>
  <c r="D535" i="71"/>
  <c r="C535" i="71"/>
  <c r="B535" i="71"/>
  <c r="Q534" i="71"/>
  <c r="M534" i="71"/>
  <c r="I534" i="71"/>
  <c r="E534" i="71"/>
  <c r="Q533" i="71"/>
  <c r="M533" i="71"/>
  <c r="I533" i="71"/>
  <c r="E533" i="71"/>
  <c r="P527" i="71"/>
  <c r="O527" i="71"/>
  <c r="N527" i="71"/>
  <c r="L527" i="71"/>
  <c r="K527" i="71"/>
  <c r="J527" i="71"/>
  <c r="H527" i="71"/>
  <c r="G527" i="71"/>
  <c r="F527" i="71"/>
  <c r="D527" i="71"/>
  <c r="C527" i="71"/>
  <c r="B527" i="71"/>
  <c r="Q526" i="71"/>
  <c r="M526" i="71"/>
  <c r="I526" i="71"/>
  <c r="E526" i="71"/>
  <c r="Q525" i="71"/>
  <c r="M525" i="71"/>
  <c r="I525" i="71"/>
  <c r="E525" i="71"/>
  <c r="P521" i="71"/>
  <c r="O521" i="71"/>
  <c r="N521" i="71"/>
  <c r="L521" i="71"/>
  <c r="K521" i="71"/>
  <c r="J521" i="71"/>
  <c r="H521" i="71"/>
  <c r="G521" i="71"/>
  <c r="F521" i="71"/>
  <c r="D521" i="71"/>
  <c r="C521" i="71"/>
  <c r="B521" i="71"/>
  <c r="Q519" i="71"/>
  <c r="M519" i="71"/>
  <c r="I519" i="71"/>
  <c r="E519" i="71"/>
  <c r="P516" i="71"/>
  <c r="O516" i="71"/>
  <c r="N516" i="71"/>
  <c r="L516" i="71"/>
  <c r="K516" i="71"/>
  <c r="J516" i="71"/>
  <c r="H516" i="71"/>
  <c r="G516" i="71"/>
  <c r="F516" i="71"/>
  <c r="D516" i="71"/>
  <c r="C516" i="71"/>
  <c r="B516" i="71"/>
  <c r="Q513" i="71"/>
  <c r="M513" i="71"/>
  <c r="I513" i="71"/>
  <c r="E513" i="71"/>
  <c r="Q512" i="71"/>
  <c r="M512" i="71"/>
  <c r="I512" i="71"/>
  <c r="E512" i="71"/>
  <c r="Q510" i="71"/>
  <c r="M510" i="71"/>
  <c r="I510" i="71"/>
  <c r="E510" i="71"/>
  <c r="Q509" i="71"/>
  <c r="M509" i="71"/>
  <c r="I509" i="71"/>
  <c r="E509" i="71"/>
  <c r="Q508" i="71"/>
  <c r="M508" i="71"/>
  <c r="I508" i="71"/>
  <c r="E508" i="71"/>
  <c r="Q507" i="71"/>
  <c r="M507" i="71"/>
  <c r="I507" i="71"/>
  <c r="E507" i="71"/>
  <c r="Q506" i="71"/>
  <c r="M506" i="71"/>
  <c r="I506" i="71"/>
  <c r="E506" i="71"/>
  <c r="Q488" i="71"/>
  <c r="M488" i="71"/>
  <c r="I488" i="71"/>
  <c r="E488" i="71"/>
  <c r="Q487" i="71"/>
  <c r="M487" i="71"/>
  <c r="I487" i="71"/>
  <c r="E487" i="71"/>
  <c r="Q486" i="71"/>
  <c r="M486" i="71"/>
  <c r="I486" i="71"/>
  <c r="E486" i="71"/>
  <c r="P484" i="71"/>
  <c r="O484" i="71"/>
  <c r="N484" i="71"/>
  <c r="L484" i="71"/>
  <c r="K484" i="71"/>
  <c r="J484" i="71"/>
  <c r="H484" i="71"/>
  <c r="G484" i="71"/>
  <c r="F484" i="71"/>
  <c r="D484" i="71"/>
  <c r="C484" i="71"/>
  <c r="B484" i="71"/>
  <c r="P483" i="71"/>
  <c r="O483" i="71"/>
  <c r="N483" i="71"/>
  <c r="L483" i="71"/>
  <c r="K483" i="71"/>
  <c r="J483" i="71"/>
  <c r="H483" i="71"/>
  <c r="G483" i="71"/>
  <c r="F483" i="71"/>
  <c r="D483" i="71"/>
  <c r="C483" i="71"/>
  <c r="B483" i="71"/>
  <c r="Q482" i="71"/>
  <c r="M482" i="71"/>
  <c r="I482" i="71"/>
  <c r="E482" i="71"/>
  <c r="Q481" i="71"/>
  <c r="M481" i="71"/>
  <c r="I481" i="71"/>
  <c r="E481" i="71"/>
  <c r="Q480" i="71"/>
  <c r="M480" i="71"/>
  <c r="I480" i="71"/>
  <c r="E480" i="71"/>
  <c r="Q479" i="71"/>
  <c r="M479" i="71"/>
  <c r="I479" i="71"/>
  <c r="E479" i="71"/>
  <c r="Q478" i="71"/>
  <c r="M478" i="71"/>
  <c r="I478" i="71"/>
  <c r="E478" i="71"/>
  <c r="Q477" i="71"/>
  <c r="M477" i="71"/>
  <c r="I477" i="71"/>
  <c r="E477" i="71"/>
  <c r="Q476" i="71"/>
  <c r="M476" i="71"/>
  <c r="I476" i="71"/>
  <c r="E476" i="71"/>
  <c r="Q475" i="71"/>
  <c r="M475" i="71"/>
  <c r="I475" i="71"/>
  <c r="E475" i="71"/>
  <c r="Q474" i="71"/>
  <c r="M474" i="71"/>
  <c r="I474" i="71"/>
  <c r="E474" i="71"/>
  <c r="Q473" i="71"/>
  <c r="M473" i="71"/>
  <c r="I473" i="71"/>
  <c r="E473" i="71"/>
  <c r="Q471" i="71"/>
  <c r="M471" i="71"/>
  <c r="I471" i="71"/>
  <c r="E471" i="71"/>
  <c r="Q470" i="71"/>
  <c r="M470" i="71"/>
  <c r="I470" i="71"/>
  <c r="E470" i="71"/>
  <c r="Q469" i="71"/>
  <c r="M469" i="71"/>
  <c r="I469" i="71"/>
  <c r="E469" i="71"/>
  <c r="Q468" i="71"/>
  <c r="M468" i="71"/>
  <c r="I468" i="71"/>
  <c r="E468" i="71"/>
  <c r="Q467" i="71"/>
  <c r="M467" i="71"/>
  <c r="I467" i="71"/>
  <c r="E467" i="71"/>
  <c r="Q466" i="71"/>
  <c r="M466" i="71"/>
  <c r="I466" i="71"/>
  <c r="E466" i="71"/>
  <c r="Q464" i="71"/>
  <c r="M464" i="71"/>
  <c r="I464" i="71"/>
  <c r="E464" i="71"/>
  <c r="Q463" i="71"/>
  <c r="M463" i="71"/>
  <c r="I463" i="71"/>
  <c r="E463" i="71"/>
  <c r="Q461" i="71"/>
  <c r="M461" i="71"/>
  <c r="I461" i="71"/>
  <c r="E461" i="71"/>
  <c r="P458" i="71"/>
  <c r="O458" i="71"/>
  <c r="F458" i="71"/>
  <c r="B458" i="71"/>
  <c r="Q457" i="71"/>
  <c r="M457" i="71"/>
  <c r="I457" i="71"/>
  <c r="E457" i="71"/>
  <c r="Q455" i="71"/>
  <c r="M455" i="71"/>
  <c r="I455" i="71"/>
  <c r="E455" i="71"/>
  <c r="Q454" i="71"/>
  <c r="M454" i="71"/>
  <c r="I454" i="71"/>
  <c r="E454" i="71"/>
  <c r="Q453" i="71"/>
  <c r="M453" i="71"/>
  <c r="I453" i="71"/>
  <c r="E453" i="71"/>
  <c r="Q452" i="71"/>
  <c r="M452" i="71"/>
  <c r="I452" i="71"/>
  <c r="E452" i="71"/>
  <c r="Q451" i="71"/>
  <c r="M451" i="71"/>
  <c r="I451" i="71"/>
  <c r="E451" i="71"/>
  <c r="Q450" i="71"/>
  <c r="M450" i="71"/>
  <c r="I450" i="71"/>
  <c r="E450" i="71"/>
  <c r="Q449" i="71"/>
  <c r="M449" i="71"/>
  <c r="I449" i="71"/>
  <c r="E449" i="71"/>
  <c r="Q448" i="71"/>
  <c r="M448" i="71"/>
  <c r="I448" i="71"/>
  <c r="E448" i="71"/>
  <c r="Q447" i="71"/>
  <c r="M447" i="71"/>
  <c r="I447" i="71"/>
  <c r="E447" i="71"/>
  <c r="Q446" i="71"/>
  <c r="M446" i="71"/>
  <c r="I446" i="71"/>
  <c r="E446" i="71"/>
  <c r="Q445" i="71"/>
  <c r="M445" i="71"/>
  <c r="I445" i="71"/>
  <c r="E445" i="71"/>
  <c r="Q444" i="71"/>
  <c r="M444" i="71"/>
  <c r="I444" i="71"/>
  <c r="E444" i="71"/>
  <c r="Q443" i="71"/>
  <c r="M443" i="71"/>
  <c r="I443" i="71"/>
  <c r="E443" i="71"/>
  <c r="Q442" i="71"/>
  <c r="M442" i="71"/>
  <c r="I442" i="71"/>
  <c r="E442" i="71"/>
  <c r="Q441" i="71"/>
  <c r="M441" i="71"/>
  <c r="I441" i="71"/>
  <c r="E441" i="71"/>
  <c r="Q440" i="71"/>
  <c r="M440" i="71"/>
  <c r="I440" i="71"/>
  <c r="E440" i="71"/>
  <c r="Q439" i="71"/>
  <c r="M439" i="71"/>
  <c r="I439" i="71"/>
  <c r="E439" i="71"/>
  <c r="Q438" i="71"/>
  <c r="M438" i="71"/>
  <c r="I438" i="71"/>
  <c r="E438" i="71"/>
  <c r="Q436" i="71"/>
  <c r="M436" i="71"/>
  <c r="I436" i="71"/>
  <c r="E436" i="71"/>
  <c r="Q435" i="71"/>
  <c r="M435" i="71"/>
  <c r="I435" i="71"/>
  <c r="E435" i="71"/>
  <c r="Q434" i="71"/>
  <c r="M434" i="71"/>
  <c r="I434" i="71"/>
  <c r="E434" i="71"/>
  <c r="Q433" i="71"/>
  <c r="M433" i="71"/>
  <c r="I433" i="71"/>
  <c r="E433" i="71"/>
  <c r="Q432" i="71"/>
  <c r="M432" i="71"/>
  <c r="I432" i="71"/>
  <c r="E432" i="71"/>
  <c r="Q431" i="71"/>
  <c r="M431" i="71"/>
  <c r="I431" i="71"/>
  <c r="G876" i="71"/>
  <c r="E431" i="71"/>
  <c r="Q430" i="71"/>
  <c r="M430" i="71"/>
  <c r="I430" i="71"/>
  <c r="E430" i="71"/>
  <c r="Q429" i="71"/>
  <c r="M429" i="71"/>
  <c r="I429" i="71"/>
  <c r="E429" i="71"/>
  <c r="Q428" i="71"/>
  <c r="M428" i="71"/>
  <c r="I428" i="71"/>
  <c r="E428" i="71"/>
  <c r="Q427" i="71"/>
  <c r="M427" i="71"/>
  <c r="I427" i="71"/>
  <c r="E427" i="71"/>
  <c r="Q426" i="71"/>
  <c r="M426" i="71"/>
  <c r="I426" i="71"/>
  <c r="E426" i="71"/>
  <c r="Q425" i="71"/>
  <c r="M425" i="71"/>
  <c r="I425" i="71"/>
  <c r="E425" i="71"/>
  <c r="Q424" i="71"/>
  <c r="M424" i="71"/>
  <c r="I424" i="71"/>
  <c r="E424" i="71"/>
  <c r="Q423" i="71"/>
  <c r="M423" i="71"/>
  <c r="I423" i="71"/>
  <c r="E423" i="71"/>
  <c r="Q422" i="71"/>
  <c r="M422" i="71"/>
  <c r="I422" i="71"/>
  <c r="E422" i="71"/>
  <c r="Q421" i="71"/>
  <c r="M421" i="71"/>
  <c r="Q420" i="71"/>
  <c r="M420" i="71"/>
  <c r="I420" i="71"/>
  <c r="E420" i="71"/>
  <c r="Q419" i="71"/>
  <c r="M419" i="71"/>
  <c r="I419" i="71"/>
  <c r="E419" i="71"/>
  <c r="Q418" i="71"/>
  <c r="M418" i="71"/>
  <c r="I418" i="71"/>
  <c r="E418" i="71"/>
  <c r="Q417" i="71"/>
  <c r="M417" i="71"/>
  <c r="I417" i="71"/>
  <c r="E417" i="71"/>
  <c r="Q416" i="71"/>
  <c r="M416" i="71"/>
  <c r="I416" i="71"/>
  <c r="E416" i="71"/>
  <c r="Q415" i="71"/>
  <c r="M415" i="71"/>
  <c r="I415" i="71"/>
  <c r="E415" i="71"/>
  <c r="Q414" i="71"/>
  <c r="M414" i="71"/>
  <c r="I414" i="71"/>
  <c r="E414" i="71"/>
  <c r="Q413" i="71"/>
  <c r="M413" i="71"/>
  <c r="I413" i="71"/>
  <c r="E413" i="71"/>
  <c r="Q412" i="71"/>
  <c r="M412" i="71"/>
  <c r="I412" i="71"/>
  <c r="E412" i="71"/>
  <c r="Q411" i="71"/>
  <c r="M411" i="71"/>
  <c r="I411" i="71"/>
  <c r="E411" i="71"/>
  <c r="Q410" i="71"/>
  <c r="M410" i="71"/>
  <c r="I410" i="71"/>
  <c r="E410" i="71"/>
  <c r="Q409" i="71"/>
  <c r="M409" i="71"/>
  <c r="I409" i="71"/>
  <c r="E409" i="71"/>
  <c r="Q408" i="71"/>
  <c r="M408" i="71"/>
  <c r="I408" i="71"/>
  <c r="E408" i="71"/>
  <c r="Q406" i="71"/>
  <c r="M406" i="71"/>
  <c r="I406" i="71"/>
  <c r="E406" i="71"/>
  <c r="N875" i="71"/>
  <c r="J875" i="71"/>
  <c r="F875" i="71"/>
  <c r="Q403" i="71"/>
  <c r="M403" i="71"/>
  <c r="I403" i="71"/>
  <c r="E403" i="71"/>
  <c r="P400" i="71"/>
  <c r="O400" i="71"/>
  <c r="N400" i="71"/>
  <c r="L400" i="71"/>
  <c r="K400" i="71"/>
  <c r="J400" i="71"/>
  <c r="H400" i="71"/>
  <c r="G400" i="71"/>
  <c r="F400" i="71"/>
  <c r="D400" i="71"/>
  <c r="C400" i="71"/>
  <c r="B400" i="71"/>
  <c r="Q398" i="71"/>
  <c r="M398" i="71"/>
  <c r="I398" i="71"/>
  <c r="E398" i="71"/>
  <c r="Q397" i="71"/>
  <c r="M397" i="71"/>
  <c r="I397" i="71"/>
  <c r="E397" i="71"/>
  <c r="Q396" i="71"/>
  <c r="M396" i="71"/>
  <c r="I396" i="71"/>
  <c r="E396" i="71"/>
  <c r="Q395" i="71"/>
  <c r="M395" i="71"/>
  <c r="I395" i="71"/>
  <c r="E395" i="71"/>
  <c r="AK394" i="71"/>
  <c r="AJ394" i="71"/>
  <c r="AI394" i="71"/>
  <c r="AG394" i="71"/>
  <c r="AF394" i="71"/>
  <c r="AE394" i="71"/>
  <c r="Y394" i="71"/>
  <c r="X394" i="71"/>
  <c r="W394" i="71"/>
  <c r="Q394" i="71"/>
  <c r="M394" i="71"/>
  <c r="I394" i="71"/>
  <c r="E394" i="71"/>
  <c r="AK393" i="71"/>
  <c r="AJ393" i="71"/>
  <c r="AI393" i="71"/>
  <c r="AG393" i="71"/>
  <c r="AF393" i="71"/>
  <c r="AE393" i="71"/>
  <c r="Y393" i="71"/>
  <c r="X393" i="71"/>
  <c r="W393" i="71"/>
  <c r="Q393" i="71"/>
  <c r="M393" i="71"/>
  <c r="I393" i="71"/>
  <c r="E393" i="71"/>
  <c r="AK392" i="71"/>
  <c r="AJ392" i="71"/>
  <c r="AI392" i="71"/>
  <c r="AG392" i="71"/>
  <c r="AF392" i="71"/>
  <c r="AE392" i="71"/>
  <c r="Y392" i="71"/>
  <c r="X392" i="71"/>
  <c r="W392" i="71"/>
  <c r="Q392" i="71"/>
  <c r="M392" i="71"/>
  <c r="I392" i="71"/>
  <c r="E392" i="71"/>
  <c r="AL391" i="71"/>
  <c r="AL394" i="71" s="1"/>
  <c r="AH391" i="71"/>
  <c r="AC391" i="71"/>
  <c r="AC394" i="71" s="1"/>
  <c r="AB391" i="71"/>
  <c r="AB393" i="71" s="1"/>
  <c r="AA391" i="71"/>
  <c r="AA394" i="71" s="1"/>
  <c r="Z391" i="71"/>
  <c r="Q391" i="71"/>
  <c r="M391" i="71"/>
  <c r="I391" i="71"/>
  <c r="E391" i="71"/>
  <c r="Q390" i="71"/>
  <c r="M390" i="71"/>
  <c r="I390" i="71"/>
  <c r="E390" i="71"/>
  <c r="W389" i="71"/>
  <c r="P386" i="71"/>
  <c r="L386" i="71"/>
  <c r="K386" i="71"/>
  <c r="J386" i="71"/>
  <c r="G386" i="71"/>
  <c r="F386" i="71"/>
  <c r="D386" i="71"/>
  <c r="C386" i="71"/>
  <c r="B386" i="71"/>
  <c r="Q384" i="71"/>
  <c r="M384" i="71"/>
  <c r="I384" i="71"/>
  <c r="E384" i="71"/>
  <c r="Q383" i="71"/>
  <c r="M383" i="71"/>
  <c r="I383" i="71"/>
  <c r="E383" i="71"/>
  <c r="Q382" i="71"/>
  <c r="M382" i="71"/>
  <c r="I382" i="71"/>
  <c r="E382" i="71"/>
  <c r="Q381" i="71"/>
  <c r="M381" i="71"/>
  <c r="I381" i="71"/>
  <c r="E381" i="71"/>
  <c r="Q379" i="71"/>
  <c r="M379" i="71"/>
  <c r="I379" i="71"/>
  <c r="E379" i="71"/>
  <c r="Q378" i="71"/>
  <c r="M378" i="71"/>
  <c r="I378" i="71"/>
  <c r="E378" i="71"/>
  <c r="Q377" i="71"/>
  <c r="M377" i="71"/>
  <c r="I377" i="71"/>
  <c r="E377" i="71"/>
  <c r="Q376" i="71"/>
  <c r="M376" i="71"/>
  <c r="I376" i="71"/>
  <c r="E376" i="71"/>
  <c r="Q375" i="71"/>
  <c r="M375" i="71"/>
  <c r="I375" i="71"/>
  <c r="E375" i="71"/>
  <c r="Q374" i="71"/>
  <c r="M374" i="71"/>
  <c r="I374" i="71"/>
  <c r="E374" i="71"/>
  <c r="Q373" i="71"/>
  <c r="M373" i="71"/>
  <c r="I373" i="71"/>
  <c r="E373" i="71"/>
  <c r="Q372" i="71"/>
  <c r="M372" i="71"/>
  <c r="I372" i="71"/>
  <c r="E372" i="71"/>
  <c r="Q371" i="71"/>
  <c r="M371" i="71"/>
  <c r="I371" i="71"/>
  <c r="E371" i="71"/>
  <c r="Q370" i="71"/>
  <c r="M370" i="71"/>
  <c r="I370" i="71"/>
  <c r="E370" i="71"/>
  <c r="Q369" i="71"/>
  <c r="M369" i="71"/>
  <c r="I369" i="71"/>
  <c r="E369" i="71"/>
  <c r="Q367" i="71"/>
  <c r="M367" i="71"/>
  <c r="I367" i="71"/>
  <c r="E367" i="71"/>
  <c r="Q366" i="71"/>
  <c r="M366" i="71"/>
  <c r="I366" i="71"/>
  <c r="E366" i="71"/>
  <c r="Q365" i="71"/>
  <c r="M365" i="71"/>
  <c r="I365" i="71"/>
  <c r="E365" i="71"/>
  <c r="Q364" i="71"/>
  <c r="M364" i="71"/>
  <c r="I364" i="71"/>
  <c r="E364" i="71"/>
  <c r="Q363" i="71"/>
  <c r="M363" i="71"/>
  <c r="I363" i="71"/>
  <c r="E363" i="71"/>
  <c r="Q362" i="71"/>
  <c r="M362" i="71"/>
  <c r="I362" i="71"/>
  <c r="E362" i="71"/>
  <c r="Q361" i="71"/>
  <c r="M361" i="71"/>
  <c r="I361" i="71"/>
  <c r="E361" i="71"/>
  <c r="Q359" i="71"/>
  <c r="I359" i="71"/>
  <c r="E359" i="71"/>
  <c r="Q357" i="71"/>
  <c r="M357" i="71"/>
  <c r="I357" i="71"/>
  <c r="E357" i="71"/>
  <c r="Q356" i="71"/>
  <c r="M356" i="71"/>
  <c r="I356" i="71"/>
  <c r="E356" i="71"/>
  <c r="Q355" i="71"/>
  <c r="M355" i="71"/>
  <c r="I355" i="71"/>
  <c r="E355" i="71"/>
  <c r="Q354" i="71"/>
  <c r="M354" i="71"/>
  <c r="I354" i="71"/>
  <c r="E354" i="71"/>
  <c r="Q353" i="71"/>
  <c r="M353" i="71"/>
  <c r="I353" i="71"/>
  <c r="E353" i="71"/>
  <c r="Q352" i="71"/>
  <c r="M352" i="71"/>
  <c r="I352" i="71"/>
  <c r="E352" i="71"/>
  <c r="Q437" i="71"/>
  <c r="M437" i="71"/>
  <c r="I437" i="71"/>
  <c r="E437" i="71"/>
  <c r="Q351" i="71"/>
  <c r="M351" i="71"/>
  <c r="I351" i="71"/>
  <c r="E351" i="71"/>
  <c r="Q350" i="71"/>
  <c r="M350" i="71"/>
  <c r="I350" i="71"/>
  <c r="E350" i="71"/>
  <c r="Q349" i="71"/>
  <c r="M349" i="71"/>
  <c r="I349" i="71"/>
  <c r="E349" i="71"/>
  <c r="Q348" i="71"/>
  <c r="M348" i="71"/>
  <c r="I348" i="71"/>
  <c r="E348" i="71"/>
  <c r="Q347" i="71"/>
  <c r="M347" i="71"/>
  <c r="I347" i="71"/>
  <c r="E347" i="71"/>
  <c r="Q346" i="71"/>
  <c r="M346" i="71"/>
  <c r="I346" i="71"/>
  <c r="E346" i="71"/>
  <c r="Q345" i="71"/>
  <c r="M345" i="71"/>
  <c r="I345" i="71"/>
  <c r="E345" i="71"/>
  <c r="Q344" i="71"/>
  <c r="M344" i="71"/>
  <c r="I344" i="71"/>
  <c r="E344" i="71"/>
  <c r="Q342" i="71"/>
  <c r="M342" i="71"/>
  <c r="I342" i="71"/>
  <c r="E342" i="71"/>
  <c r="Q341" i="71"/>
  <c r="M341" i="71"/>
  <c r="I341" i="71"/>
  <c r="E341" i="71"/>
  <c r="Q340" i="71"/>
  <c r="M340" i="71"/>
  <c r="I340" i="71"/>
  <c r="E340" i="71"/>
  <c r="Q339" i="71"/>
  <c r="M339" i="71"/>
  <c r="I339" i="71"/>
  <c r="E339" i="71"/>
  <c r="Q338" i="71"/>
  <c r="M338" i="71"/>
  <c r="I338" i="71"/>
  <c r="E338" i="71"/>
  <c r="Q336" i="71"/>
  <c r="M336" i="71"/>
  <c r="I336" i="71"/>
  <c r="E336" i="71"/>
  <c r="M335" i="71"/>
  <c r="I335" i="71"/>
  <c r="E335" i="71"/>
  <c r="P327" i="71"/>
  <c r="O327" i="71"/>
  <c r="N327" i="71"/>
  <c r="L327" i="71"/>
  <c r="K327" i="71"/>
  <c r="J327" i="71"/>
  <c r="H327" i="71"/>
  <c r="G327" i="71"/>
  <c r="F327" i="71"/>
  <c r="C327" i="71"/>
  <c r="B327" i="71"/>
  <c r="Q325" i="71"/>
  <c r="M325" i="71"/>
  <c r="I325" i="71"/>
  <c r="E325" i="71"/>
  <c r="Q314" i="71"/>
  <c r="M314" i="71"/>
  <c r="I314" i="71"/>
  <c r="E314" i="71"/>
  <c r="Q313" i="71"/>
  <c r="M313" i="71"/>
  <c r="I313" i="71"/>
  <c r="E313" i="71"/>
  <c r="Q312" i="71"/>
  <c r="M312" i="71"/>
  <c r="I312" i="71"/>
  <c r="E312" i="71"/>
  <c r="Q311" i="71"/>
  <c r="M311" i="71"/>
  <c r="I311" i="71"/>
  <c r="E311" i="71"/>
  <c r="Q310" i="71"/>
  <c r="M310" i="71"/>
  <c r="I310" i="71"/>
  <c r="E310" i="71"/>
  <c r="Q309" i="71"/>
  <c r="M309" i="71"/>
  <c r="I309" i="71"/>
  <c r="E309" i="71"/>
  <c r="P307" i="71"/>
  <c r="O307" i="71"/>
  <c r="N307" i="71"/>
  <c r="L307" i="71"/>
  <c r="K307" i="71"/>
  <c r="J307" i="71"/>
  <c r="H307" i="71"/>
  <c r="G307" i="71"/>
  <c r="F307" i="71"/>
  <c r="D307" i="71"/>
  <c r="C307" i="71"/>
  <c r="B307" i="71"/>
  <c r="P306" i="71"/>
  <c r="O306" i="71"/>
  <c r="N306" i="71"/>
  <c r="L306" i="71"/>
  <c r="K306" i="71"/>
  <c r="J306" i="71"/>
  <c r="H306" i="71"/>
  <c r="G306" i="71"/>
  <c r="F306" i="71"/>
  <c r="D306" i="71"/>
  <c r="C306" i="71"/>
  <c r="B306" i="71"/>
  <c r="Q305" i="71"/>
  <c r="M305" i="71"/>
  <c r="I305" i="71"/>
  <c r="E305" i="71"/>
  <c r="Q303" i="71"/>
  <c r="M303" i="71"/>
  <c r="I303" i="71"/>
  <c r="E303" i="71"/>
  <c r="Q301" i="71"/>
  <c r="M301" i="71"/>
  <c r="I301" i="71"/>
  <c r="E301" i="71"/>
  <c r="Q300" i="71"/>
  <c r="M300" i="71"/>
  <c r="I300" i="71"/>
  <c r="E300" i="71"/>
  <c r="Q299" i="71"/>
  <c r="M299" i="71"/>
  <c r="I299" i="71"/>
  <c r="E299" i="71"/>
  <c r="Q298" i="71"/>
  <c r="M298" i="71"/>
  <c r="I298" i="71"/>
  <c r="E298" i="71"/>
  <c r="Q297" i="71"/>
  <c r="M297" i="71"/>
  <c r="I297" i="71"/>
  <c r="E297" i="71"/>
  <c r="Q296" i="71"/>
  <c r="M296" i="71"/>
  <c r="I296" i="71"/>
  <c r="E296" i="71"/>
  <c r="Q295" i="71"/>
  <c r="M295" i="71"/>
  <c r="I295" i="71"/>
  <c r="E295" i="71"/>
  <c r="Q294" i="71"/>
  <c r="M294" i="71"/>
  <c r="I294" i="71"/>
  <c r="E294" i="71"/>
  <c r="Q292" i="71"/>
  <c r="M292" i="71"/>
  <c r="I292" i="71"/>
  <c r="E292" i="71"/>
  <c r="Q291" i="71"/>
  <c r="M291" i="71"/>
  <c r="I291" i="71"/>
  <c r="E291" i="71"/>
  <c r="Q290" i="71"/>
  <c r="M290" i="71"/>
  <c r="I290" i="71"/>
  <c r="E290" i="71"/>
  <c r="P287" i="71"/>
  <c r="O287" i="71"/>
  <c r="N287" i="71"/>
  <c r="L287" i="71"/>
  <c r="K287" i="71"/>
  <c r="J287" i="71"/>
  <c r="H287" i="71"/>
  <c r="G287" i="71"/>
  <c r="C287" i="71"/>
  <c r="Q286" i="71"/>
  <c r="M286" i="71"/>
  <c r="I286" i="71"/>
  <c r="E286" i="71"/>
  <c r="Q285" i="71"/>
  <c r="M285" i="71"/>
  <c r="I285" i="71"/>
  <c r="E285" i="71"/>
  <c r="Q284" i="71"/>
  <c r="M284" i="71"/>
  <c r="I284" i="71"/>
  <c r="E284" i="71"/>
  <c r="Q283" i="71"/>
  <c r="M283" i="71"/>
  <c r="I283" i="71"/>
  <c r="E283" i="71"/>
  <c r="Q282" i="71"/>
  <c r="M282" i="71"/>
  <c r="I282" i="71"/>
  <c r="E282" i="71"/>
  <c r="Q281" i="71"/>
  <c r="M281" i="71"/>
  <c r="I281" i="71"/>
  <c r="E281" i="71"/>
  <c r="Q280" i="71"/>
  <c r="M280" i="71"/>
  <c r="I280" i="71"/>
  <c r="E280" i="71"/>
  <c r="Q279" i="71"/>
  <c r="M279" i="71"/>
  <c r="I279" i="71"/>
  <c r="E279" i="71"/>
  <c r="Q278" i="71"/>
  <c r="M278" i="71"/>
  <c r="I278" i="71"/>
  <c r="E278" i="71"/>
  <c r="Q277" i="71"/>
  <c r="M277" i="71"/>
  <c r="I277" i="71"/>
  <c r="E277" i="71"/>
  <c r="Q276" i="71"/>
  <c r="M276" i="71"/>
  <c r="I276" i="71"/>
  <c r="E276" i="71"/>
  <c r="Q275" i="71"/>
  <c r="M275" i="71"/>
  <c r="I275" i="71"/>
  <c r="E275" i="71"/>
  <c r="Q274" i="71"/>
  <c r="M274" i="71"/>
  <c r="I274" i="71"/>
  <c r="E274" i="71"/>
  <c r="Q273" i="71"/>
  <c r="M273" i="71"/>
  <c r="I273" i="71"/>
  <c r="E273" i="71"/>
  <c r="Q272" i="71"/>
  <c r="M272" i="71"/>
  <c r="I272" i="71"/>
  <c r="E272" i="71"/>
  <c r="Q271" i="71"/>
  <c r="M271" i="71"/>
  <c r="I271" i="71"/>
  <c r="E271" i="71"/>
  <c r="Q270" i="71"/>
  <c r="M270" i="71"/>
  <c r="I270" i="71"/>
  <c r="E270" i="71"/>
  <c r="Q269" i="71"/>
  <c r="M269" i="71"/>
  <c r="I269" i="71"/>
  <c r="E269" i="71"/>
  <c r="Q268" i="71"/>
  <c r="M268" i="71"/>
  <c r="I268" i="71"/>
  <c r="E268" i="71"/>
  <c r="Q266" i="71"/>
  <c r="M266" i="71"/>
  <c r="I266" i="71"/>
  <c r="E266" i="71"/>
  <c r="Q265" i="71"/>
  <c r="M265" i="71"/>
  <c r="I265" i="71"/>
  <c r="E265" i="71"/>
  <c r="Q264" i="71"/>
  <c r="M264" i="71"/>
  <c r="I264" i="71"/>
  <c r="E264" i="71"/>
  <c r="Q263" i="71"/>
  <c r="M263" i="71"/>
  <c r="I263" i="71"/>
  <c r="E263" i="71"/>
  <c r="Q262" i="71"/>
  <c r="M262" i="71"/>
  <c r="I262" i="71"/>
  <c r="E262" i="71"/>
  <c r="Q261" i="71"/>
  <c r="M261" i="71"/>
  <c r="I261" i="71"/>
  <c r="E261" i="71"/>
  <c r="Q260" i="71"/>
  <c r="M260" i="71"/>
  <c r="I260" i="71"/>
  <c r="E260" i="71"/>
  <c r="Q259" i="71"/>
  <c r="M259" i="71"/>
  <c r="I259" i="71"/>
  <c r="E259" i="71"/>
  <c r="Q258" i="71"/>
  <c r="M258" i="71"/>
  <c r="I258" i="71"/>
  <c r="E258" i="71"/>
  <c r="Q257" i="71"/>
  <c r="M257" i="71"/>
  <c r="I257" i="71"/>
  <c r="E257" i="71"/>
  <c r="Q256" i="71"/>
  <c r="M256" i="71"/>
  <c r="I256" i="71"/>
  <c r="E256" i="71"/>
  <c r="Q255" i="71"/>
  <c r="M255" i="71"/>
  <c r="I255" i="71"/>
  <c r="E255" i="71"/>
  <c r="Q254" i="71"/>
  <c r="M254" i="71"/>
  <c r="I254" i="71"/>
  <c r="E254" i="71"/>
  <c r="Q253" i="71"/>
  <c r="M253" i="71"/>
  <c r="I253" i="71"/>
  <c r="E253" i="71"/>
  <c r="Q252" i="71"/>
  <c r="M252" i="71"/>
  <c r="E252" i="71"/>
  <c r="Q250" i="71"/>
  <c r="M250" i="71"/>
  <c r="I250" i="71"/>
  <c r="E250" i="71"/>
  <c r="Q249" i="71"/>
  <c r="M249" i="71"/>
  <c r="I249" i="71"/>
  <c r="E249" i="71"/>
  <c r="Q248" i="71"/>
  <c r="M248" i="71"/>
  <c r="I248" i="71"/>
  <c r="E248" i="71"/>
  <c r="Q247" i="71"/>
  <c r="M247" i="71"/>
  <c r="I247" i="71"/>
  <c r="E247" i="71"/>
  <c r="Q246" i="71"/>
  <c r="M246" i="71"/>
  <c r="I246" i="71"/>
  <c r="E246" i="71"/>
  <c r="Q245" i="71"/>
  <c r="M245" i="71"/>
  <c r="I245" i="71"/>
  <c r="E245" i="71"/>
  <c r="Q244" i="71"/>
  <c r="M244" i="71"/>
  <c r="I244" i="71"/>
  <c r="E244" i="71"/>
  <c r="Q243" i="71"/>
  <c r="M243" i="71"/>
  <c r="I243" i="71"/>
  <c r="E243" i="71"/>
  <c r="Q242" i="71"/>
  <c r="M242" i="71"/>
  <c r="I242" i="71"/>
  <c r="E242" i="71"/>
  <c r="Q241" i="71"/>
  <c r="M241" i="71"/>
  <c r="I241" i="71"/>
  <c r="E241" i="71"/>
  <c r="Q240" i="71"/>
  <c r="M240" i="71"/>
  <c r="I240" i="71"/>
  <c r="E240" i="71"/>
  <c r="Q239" i="71"/>
  <c r="M239" i="71"/>
  <c r="I239" i="71"/>
  <c r="E239" i="71"/>
  <c r="Q238" i="71"/>
  <c r="M238" i="71"/>
  <c r="I238" i="71"/>
  <c r="E238" i="71"/>
  <c r="Q237" i="71"/>
  <c r="M237" i="71"/>
  <c r="I237" i="71"/>
  <c r="E237" i="71"/>
  <c r="Q236" i="71"/>
  <c r="M236" i="71"/>
  <c r="I236" i="71"/>
  <c r="E236" i="71"/>
  <c r="Q235" i="71"/>
  <c r="M235" i="71"/>
  <c r="I235" i="71"/>
  <c r="E235" i="71"/>
  <c r="Q234" i="71"/>
  <c r="M234" i="71"/>
  <c r="I234" i="71"/>
  <c r="E234" i="71"/>
  <c r="Q233" i="71"/>
  <c r="M233" i="71"/>
  <c r="I233" i="71"/>
  <c r="E233" i="71"/>
  <c r="Q232" i="71"/>
  <c r="M232" i="71"/>
  <c r="I232" i="71"/>
  <c r="E232" i="71"/>
  <c r="Q231" i="71"/>
  <c r="M231" i="71"/>
  <c r="I231" i="71"/>
  <c r="E231" i="71"/>
  <c r="Q229" i="71"/>
  <c r="M229" i="71"/>
  <c r="I229" i="71"/>
  <c r="E229" i="71"/>
  <c r="Q228" i="71"/>
  <c r="M228" i="71"/>
  <c r="I228" i="71"/>
  <c r="E228" i="71"/>
  <c r="Q227" i="71"/>
  <c r="M227" i="71"/>
  <c r="I227" i="71"/>
  <c r="E227" i="71"/>
  <c r="Q226" i="71"/>
  <c r="M226" i="71"/>
  <c r="I226" i="71"/>
  <c r="B876" i="71"/>
  <c r="Q225" i="71"/>
  <c r="M225" i="71"/>
  <c r="I225" i="71"/>
  <c r="E225" i="71"/>
  <c r="Q224" i="71"/>
  <c r="M224" i="71"/>
  <c r="I224" i="71"/>
  <c r="E224" i="71"/>
  <c r="Q223" i="71"/>
  <c r="M223" i="71"/>
  <c r="I223" i="71"/>
  <c r="E223" i="71"/>
  <c r="P219" i="71"/>
  <c r="O219" i="71"/>
  <c r="N219" i="71"/>
  <c r="L219" i="71"/>
  <c r="K219" i="71"/>
  <c r="J219" i="71"/>
  <c r="I219" i="71"/>
  <c r="D219" i="71"/>
  <c r="C219" i="71"/>
  <c r="B219" i="71"/>
  <c r="Q217" i="71"/>
  <c r="M217" i="71"/>
  <c r="I217" i="71"/>
  <c r="E217" i="71"/>
  <c r="Q216" i="71"/>
  <c r="M216" i="71"/>
  <c r="I216" i="71"/>
  <c r="E216" i="71"/>
  <c r="P212" i="71"/>
  <c r="O212" i="71"/>
  <c r="N212" i="71"/>
  <c r="L212" i="71"/>
  <c r="K212" i="71"/>
  <c r="J212" i="71"/>
  <c r="C212" i="71"/>
  <c r="B212" i="71"/>
  <c r="Q210" i="71"/>
  <c r="M210" i="71"/>
  <c r="I210" i="71"/>
  <c r="E210" i="71"/>
  <c r="Q209" i="71"/>
  <c r="M209" i="71"/>
  <c r="I209" i="71"/>
  <c r="E209" i="71"/>
  <c r="Q208" i="71"/>
  <c r="M208" i="71"/>
  <c r="I208" i="71"/>
  <c r="E208" i="71"/>
  <c r="Q206" i="71"/>
  <c r="M206" i="71"/>
  <c r="I206" i="71"/>
  <c r="E206" i="71"/>
  <c r="Q205" i="71"/>
  <c r="M205" i="71"/>
  <c r="I205" i="71"/>
  <c r="E205" i="71"/>
  <c r="Q204" i="71"/>
  <c r="M204" i="71"/>
  <c r="I204" i="71"/>
  <c r="E204" i="71"/>
  <c r="Q203" i="71"/>
  <c r="M203" i="71"/>
  <c r="I203" i="71"/>
  <c r="E203" i="71"/>
  <c r="Q202" i="71"/>
  <c r="M202" i="71"/>
  <c r="I202" i="71"/>
  <c r="E202" i="71"/>
  <c r="Q201" i="71"/>
  <c r="M201" i="71"/>
  <c r="I201" i="71"/>
  <c r="E201" i="71"/>
  <c r="Q200" i="71"/>
  <c r="M200" i="71"/>
  <c r="I200" i="71"/>
  <c r="E200" i="71"/>
  <c r="Q199" i="71"/>
  <c r="M199" i="71"/>
  <c r="I199" i="71"/>
  <c r="E199" i="71"/>
  <c r="Q198" i="71"/>
  <c r="M198" i="71"/>
  <c r="I198" i="71"/>
  <c r="E198" i="71"/>
  <c r="Q197" i="71"/>
  <c r="M197" i="71"/>
  <c r="I197" i="71"/>
  <c r="E197" i="71"/>
  <c r="Q195" i="71"/>
  <c r="M195" i="71"/>
  <c r="I195" i="71"/>
  <c r="E195" i="71"/>
  <c r="Q194" i="71"/>
  <c r="M194" i="71"/>
  <c r="E194" i="71"/>
  <c r="Q193" i="71"/>
  <c r="M193" i="71"/>
  <c r="I193" i="71"/>
  <c r="E193" i="71"/>
  <c r="Q192" i="71"/>
  <c r="M192" i="71"/>
  <c r="I192" i="71"/>
  <c r="E192" i="71"/>
  <c r="Q191" i="71"/>
  <c r="M191" i="71"/>
  <c r="I191" i="71"/>
  <c r="E191" i="71"/>
  <c r="Q190" i="71"/>
  <c r="M190" i="71"/>
  <c r="I190" i="71"/>
  <c r="E190" i="71"/>
  <c r="Q189" i="71"/>
  <c r="M189" i="71"/>
  <c r="I189" i="71"/>
  <c r="E189" i="71"/>
  <c r="Q188" i="71"/>
  <c r="M188" i="71"/>
  <c r="E188" i="71"/>
  <c r="Q187" i="71"/>
  <c r="M187" i="71"/>
  <c r="I187" i="71"/>
  <c r="E187" i="71"/>
  <c r="Q185" i="71"/>
  <c r="M185" i="71"/>
  <c r="I185" i="71"/>
  <c r="E185" i="71"/>
  <c r="Q183" i="71"/>
  <c r="M183" i="71"/>
  <c r="I183" i="71"/>
  <c r="B862" i="71"/>
  <c r="Q181" i="71"/>
  <c r="M181" i="71"/>
  <c r="I181" i="71"/>
  <c r="E181" i="71"/>
  <c r="Q180" i="71"/>
  <c r="M180" i="71"/>
  <c r="I180" i="71"/>
  <c r="E180" i="71"/>
  <c r="Q179" i="71"/>
  <c r="M179" i="71"/>
  <c r="I179" i="71"/>
  <c r="E179" i="71"/>
  <c r="Q178" i="71"/>
  <c r="M178" i="71"/>
  <c r="I178" i="71"/>
  <c r="E178" i="71"/>
  <c r="Q177" i="71"/>
  <c r="M177" i="71"/>
  <c r="I177" i="71"/>
  <c r="E177" i="71"/>
  <c r="Q176" i="71"/>
  <c r="M176" i="71"/>
  <c r="I176" i="71"/>
  <c r="E176" i="71"/>
  <c r="Q175" i="71"/>
  <c r="M175" i="71"/>
  <c r="I175" i="71"/>
  <c r="E175" i="71"/>
  <c r="Q174" i="71"/>
  <c r="M174" i="71"/>
  <c r="I174" i="71"/>
  <c r="E174" i="71"/>
  <c r="Q173" i="71"/>
  <c r="M173" i="71"/>
  <c r="I173" i="71"/>
  <c r="E173" i="71"/>
  <c r="Q172" i="71"/>
  <c r="M172" i="71"/>
  <c r="I172" i="71"/>
  <c r="E172" i="71"/>
  <c r="Q171" i="71"/>
  <c r="M171" i="71"/>
  <c r="I171" i="71"/>
  <c r="E171" i="71"/>
  <c r="Q170" i="71"/>
  <c r="M170" i="71"/>
  <c r="I170" i="71"/>
  <c r="E170" i="71"/>
  <c r="Q168" i="71"/>
  <c r="M168" i="71"/>
  <c r="I168" i="71"/>
  <c r="E168" i="71"/>
  <c r="Q167" i="71"/>
  <c r="M167" i="71"/>
  <c r="I167" i="71"/>
  <c r="E167" i="71"/>
  <c r="Q166" i="71"/>
  <c r="M166" i="71"/>
  <c r="I166" i="71"/>
  <c r="E166" i="71"/>
  <c r="Q165" i="71"/>
  <c r="M165" i="71"/>
  <c r="I165" i="71"/>
  <c r="E165" i="71"/>
  <c r="Q164" i="71"/>
  <c r="M164" i="71"/>
  <c r="I164" i="71"/>
  <c r="E164" i="71"/>
  <c r="Q163" i="71"/>
  <c r="M163" i="71"/>
  <c r="I163" i="71"/>
  <c r="E163" i="71"/>
  <c r="Q162" i="71"/>
  <c r="M162" i="71"/>
  <c r="I162" i="71"/>
  <c r="E162" i="71"/>
  <c r="Q161" i="71"/>
  <c r="M161" i="71"/>
  <c r="I161" i="71"/>
  <c r="E161" i="71"/>
  <c r="Q160" i="71"/>
  <c r="M160" i="71"/>
  <c r="I160" i="71"/>
  <c r="E160" i="71"/>
  <c r="Q159" i="71"/>
  <c r="M159" i="71"/>
  <c r="I159" i="71"/>
  <c r="E159" i="71"/>
  <c r="Q158" i="71"/>
  <c r="M158" i="71"/>
  <c r="I158" i="71"/>
  <c r="E158" i="71"/>
  <c r="Q157" i="71"/>
  <c r="M157" i="71"/>
  <c r="I157" i="71"/>
  <c r="E157" i="71"/>
  <c r="Q156" i="71"/>
  <c r="M156" i="71"/>
  <c r="I156" i="71"/>
  <c r="E156" i="71"/>
  <c r="Q155" i="71"/>
  <c r="M155" i="71"/>
  <c r="I155" i="71"/>
  <c r="E155" i="71"/>
  <c r="Q154" i="71"/>
  <c r="M154" i="71"/>
  <c r="I154" i="71"/>
  <c r="E154" i="71"/>
  <c r="Q153" i="71"/>
  <c r="M153" i="71"/>
  <c r="I153" i="71"/>
  <c r="E153" i="71"/>
  <c r="Q152" i="71"/>
  <c r="M152" i="71"/>
  <c r="I152" i="71"/>
  <c r="E152" i="71"/>
  <c r="Q151" i="71"/>
  <c r="M151" i="71"/>
  <c r="I151" i="71"/>
  <c r="E151" i="71"/>
  <c r="Q150" i="71"/>
  <c r="M150" i="71"/>
  <c r="E150" i="71"/>
  <c r="Q149" i="71"/>
  <c r="M149" i="71"/>
  <c r="I149" i="71"/>
  <c r="E149" i="71"/>
  <c r="Q147" i="71"/>
  <c r="M147" i="71"/>
  <c r="I147" i="71"/>
  <c r="E147" i="71"/>
  <c r="Q146" i="71"/>
  <c r="M146" i="71"/>
  <c r="I146" i="71"/>
  <c r="E146" i="71"/>
  <c r="Q145" i="71"/>
  <c r="M145" i="71"/>
  <c r="I145" i="71"/>
  <c r="E145" i="71"/>
  <c r="Q144" i="71"/>
  <c r="M144" i="71"/>
  <c r="I144" i="71"/>
  <c r="E144" i="71"/>
  <c r="Q143" i="71"/>
  <c r="M143" i="71"/>
  <c r="I143" i="71"/>
  <c r="E143" i="71"/>
  <c r="Q142" i="71"/>
  <c r="M142" i="71"/>
  <c r="I142" i="71"/>
  <c r="E142" i="71"/>
  <c r="Q141" i="71"/>
  <c r="M141" i="71"/>
  <c r="I141" i="71"/>
  <c r="E141" i="71"/>
  <c r="Q129" i="71"/>
  <c r="M129" i="71"/>
  <c r="I129" i="71"/>
  <c r="E129" i="71"/>
  <c r="P127" i="71"/>
  <c r="O127" i="71"/>
  <c r="N127" i="71"/>
  <c r="L127" i="71"/>
  <c r="K127" i="71"/>
  <c r="J127" i="71"/>
  <c r="H127" i="71"/>
  <c r="G127" i="71"/>
  <c r="F127" i="71"/>
  <c r="D127" i="71"/>
  <c r="C127" i="71"/>
  <c r="B127" i="71"/>
  <c r="P126" i="71"/>
  <c r="O126" i="71"/>
  <c r="N126" i="71"/>
  <c r="L126" i="71"/>
  <c r="K126" i="71"/>
  <c r="J126" i="71"/>
  <c r="H126" i="71"/>
  <c r="G126" i="71"/>
  <c r="F126" i="71"/>
  <c r="D126" i="71"/>
  <c r="C126" i="71"/>
  <c r="B126" i="71"/>
  <c r="Q125" i="71"/>
  <c r="M125" i="71"/>
  <c r="I125" i="71"/>
  <c r="E125" i="71"/>
  <c r="Q124" i="71"/>
  <c r="M124" i="71"/>
  <c r="I124" i="71"/>
  <c r="E124" i="71"/>
  <c r="Q122" i="71"/>
  <c r="M122" i="71"/>
  <c r="I122" i="71"/>
  <c r="E122" i="71"/>
  <c r="Q120" i="71"/>
  <c r="M120" i="71"/>
  <c r="I120" i="71"/>
  <c r="E120" i="71"/>
  <c r="Q119" i="71"/>
  <c r="M119" i="71"/>
  <c r="I119" i="71"/>
  <c r="E119" i="71"/>
  <c r="Q117" i="71"/>
  <c r="M117" i="71"/>
  <c r="I117" i="71"/>
  <c r="E117" i="71"/>
  <c r="Q116" i="71"/>
  <c r="M116" i="71"/>
  <c r="I116" i="71"/>
  <c r="E116" i="71"/>
  <c r="Q115" i="71"/>
  <c r="M115" i="71"/>
  <c r="I115" i="71"/>
  <c r="E115" i="71"/>
  <c r="Q114" i="71"/>
  <c r="M114" i="71"/>
  <c r="I114" i="71"/>
  <c r="E114" i="71"/>
  <c r="Q113" i="71"/>
  <c r="M113" i="71"/>
  <c r="I113" i="71"/>
  <c r="E113" i="71"/>
  <c r="Q112" i="71"/>
  <c r="M112" i="71"/>
  <c r="I112" i="71"/>
  <c r="E112" i="71"/>
  <c r="Q111" i="71"/>
  <c r="M111" i="71"/>
  <c r="I111" i="71"/>
  <c r="E111" i="71"/>
  <c r="Q110" i="71"/>
  <c r="M110" i="71"/>
  <c r="I110" i="71"/>
  <c r="E110" i="71"/>
  <c r="P107" i="71"/>
  <c r="O107" i="71"/>
  <c r="N107" i="71"/>
  <c r="L107" i="71"/>
  <c r="K107" i="71"/>
  <c r="J107" i="71"/>
  <c r="H107" i="71"/>
  <c r="G107" i="71"/>
  <c r="F107" i="71"/>
  <c r="D107" i="71"/>
  <c r="C107" i="71"/>
  <c r="B107" i="71"/>
  <c r="Q106" i="71"/>
  <c r="M106" i="71"/>
  <c r="I106" i="71"/>
  <c r="E106" i="71"/>
  <c r="Q105" i="71"/>
  <c r="M105" i="71"/>
  <c r="I105" i="71"/>
  <c r="E105" i="71"/>
  <c r="Q104" i="71"/>
  <c r="M104" i="71"/>
  <c r="I104" i="71"/>
  <c r="E104" i="71"/>
  <c r="Q103" i="71"/>
  <c r="M103" i="71"/>
  <c r="I103" i="71"/>
  <c r="E103" i="71"/>
  <c r="Q102" i="71"/>
  <c r="M102" i="71"/>
  <c r="I102" i="71"/>
  <c r="E102" i="71"/>
  <c r="Q101" i="71"/>
  <c r="M101" i="71"/>
  <c r="I101" i="71"/>
  <c r="E101" i="71"/>
  <c r="Q100" i="71"/>
  <c r="M100" i="71"/>
  <c r="I100" i="71"/>
  <c r="E100" i="71"/>
  <c r="P96" i="71"/>
  <c r="O96" i="71"/>
  <c r="N96" i="71"/>
  <c r="L96" i="71"/>
  <c r="K96" i="71"/>
  <c r="J96" i="71"/>
  <c r="H96" i="71"/>
  <c r="G96" i="71"/>
  <c r="F96" i="71"/>
  <c r="D96" i="71"/>
  <c r="C96" i="71"/>
  <c r="B96" i="71"/>
  <c r="Q94" i="71"/>
  <c r="M94" i="71"/>
  <c r="I94" i="71"/>
  <c r="E94" i="71"/>
  <c r="Q93" i="71"/>
  <c r="M93" i="71"/>
  <c r="I93" i="71"/>
  <c r="E93" i="71"/>
  <c r="P89" i="71"/>
  <c r="O89" i="71"/>
  <c r="N89" i="71"/>
  <c r="L89" i="71"/>
  <c r="K89" i="71"/>
  <c r="J89" i="71"/>
  <c r="H89" i="71"/>
  <c r="G89" i="71"/>
  <c r="F89" i="71"/>
  <c r="D89" i="71"/>
  <c r="C89" i="71"/>
  <c r="B89" i="71"/>
  <c r="Q87" i="71"/>
  <c r="M87" i="71"/>
  <c r="I87" i="71"/>
  <c r="E87" i="71"/>
  <c r="Q86" i="71"/>
  <c r="M86" i="71"/>
  <c r="I86" i="71"/>
  <c r="E86" i="71"/>
  <c r="Q84" i="71"/>
  <c r="M84" i="71"/>
  <c r="I84" i="71"/>
  <c r="E84" i="71"/>
  <c r="Q82" i="71"/>
  <c r="M82" i="71"/>
  <c r="I82" i="71"/>
  <c r="E82" i="71"/>
  <c r="Q81" i="71"/>
  <c r="M81" i="71"/>
  <c r="I81" i="71"/>
  <c r="E81" i="71"/>
  <c r="Q80" i="71"/>
  <c r="M80" i="71"/>
  <c r="I80" i="71"/>
  <c r="E80" i="71"/>
  <c r="Q79" i="71"/>
  <c r="M79" i="71"/>
  <c r="I79" i="71"/>
  <c r="E79" i="71"/>
  <c r="Q78" i="71"/>
  <c r="M78" i="71"/>
  <c r="I78" i="71"/>
  <c r="E78" i="71"/>
  <c r="Q77" i="71"/>
  <c r="M77" i="71"/>
  <c r="I77" i="71"/>
  <c r="E77" i="71"/>
  <c r="Q76" i="71"/>
  <c r="M76" i="71"/>
  <c r="I76" i="71"/>
  <c r="E76" i="71"/>
  <c r="Q75" i="71"/>
  <c r="M75" i="71"/>
  <c r="I75" i="71"/>
  <c r="E75" i="71"/>
  <c r="Q74" i="71"/>
  <c r="M74" i="71"/>
  <c r="I74" i="71"/>
  <c r="E74" i="71"/>
  <c r="Q73" i="71"/>
  <c r="M73" i="71"/>
  <c r="I73" i="71"/>
  <c r="E73" i="71"/>
  <c r="Q72" i="71"/>
  <c r="M72" i="71"/>
  <c r="I72" i="71"/>
  <c r="E72" i="71"/>
  <c r="Q60" i="71"/>
  <c r="M60" i="71"/>
  <c r="I60" i="71"/>
  <c r="E60" i="71"/>
  <c r="P58" i="71"/>
  <c r="O58" i="71"/>
  <c r="N58" i="71"/>
  <c r="L58" i="71"/>
  <c r="K58" i="71"/>
  <c r="J58" i="71"/>
  <c r="H58" i="71"/>
  <c r="G58" i="71"/>
  <c r="F58" i="71"/>
  <c r="D58" i="71"/>
  <c r="C58" i="71"/>
  <c r="B58" i="71"/>
  <c r="P57" i="71"/>
  <c r="O57" i="71"/>
  <c r="N57" i="71"/>
  <c r="L57" i="71"/>
  <c r="K57" i="71"/>
  <c r="J57" i="71"/>
  <c r="H57" i="71"/>
  <c r="G57" i="71"/>
  <c r="F57" i="71"/>
  <c r="D57" i="71"/>
  <c r="C57" i="71"/>
  <c r="B57" i="71"/>
  <c r="Q54" i="71"/>
  <c r="M54" i="71"/>
  <c r="I54" i="71"/>
  <c r="E54" i="71"/>
  <c r="P50" i="71"/>
  <c r="O50" i="71"/>
  <c r="N50" i="71"/>
  <c r="L50" i="71"/>
  <c r="K50" i="71"/>
  <c r="J50" i="71"/>
  <c r="H50" i="71"/>
  <c r="G50" i="71"/>
  <c r="F50" i="71"/>
  <c r="D50" i="71"/>
  <c r="C50" i="71"/>
  <c r="B50" i="71"/>
  <c r="P46" i="71"/>
  <c r="O46" i="71"/>
  <c r="N46" i="71"/>
  <c r="L46" i="71"/>
  <c r="K46" i="71"/>
  <c r="J46" i="71"/>
  <c r="H46" i="71"/>
  <c r="G46" i="71"/>
  <c r="F46" i="71"/>
  <c r="D46" i="71"/>
  <c r="C46" i="71"/>
  <c r="B46" i="71"/>
  <c r="P41" i="71"/>
  <c r="O41" i="71"/>
  <c r="N41" i="71"/>
  <c r="L41" i="71"/>
  <c r="K41" i="71"/>
  <c r="J41" i="71"/>
  <c r="H41" i="71"/>
  <c r="G41" i="71"/>
  <c r="F41" i="71"/>
  <c r="D41" i="71"/>
  <c r="C41" i="71"/>
  <c r="B41" i="71"/>
  <c r="Q38" i="71"/>
  <c r="M38" i="71"/>
  <c r="I38" i="71"/>
  <c r="E38" i="71"/>
  <c r="P27" i="71"/>
  <c r="O27" i="71"/>
  <c r="N27" i="71"/>
  <c r="L27" i="71"/>
  <c r="K27" i="71"/>
  <c r="J27" i="71"/>
  <c r="H27" i="71"/>
  <c r="G27" i="71"/>
  <c r="F27" i="71"/>
  <c r="D27" i="71"/>
  <c r="C27" i="71"/>
  <c r="B27" i="71"/>
  <c r="Q25" i="71"/>
  <c r="M25" i="71"/>
  <c r="I25" i="71"/>
  <c r="E25" i="71"/>
  <c r="P18" i="71"/>
  <c r="O18" i="71"/>
  <c r="N18" i="71"/>
  <c r="L18" i="71"/>
  <c r="K18" i="71"/>
  <c r="J18" i="71"/>
  <c r="H18" i="71"/>
  <c r="G18" i="71"/>
  <c r="F18" i="71"/>
  <c r="D18" i="71"/>
  <c r="C18" i="71"/>
  <c r="B18" i="71"/>
  <c r="P17" i="71"/>
  <c r="O17" i="71"/>
  <c r="N17" i="71"/>
  <c r="L17" i="71"/>
  <c r="K17" i="71"/>
  <c r="J17" i="71"/>
  <c r="H17" i="71"/>
  <c r="G17" i="71"/>
  <c r="F17" i="71"/>
  <c r="D17" i="71"/>
  <c r="C17" i="71"/>
  <c r="B17" i="71"/>
  <c r="P16" i="71"/>
  <c r="O16" i="71"/>
  <c r="N16" i="71"/>
  <c r="L16" i="71"/>
  <c r="K16" i="71"/>
  <c r="J16" i="71"/>
  <c r="H16" i="71"/>
  <c r="G16" i="71"/>
  <c r="F16" i="71"/>
  <c r="D16" i="71"/>
  <c r="C16" i="71"/>
  <c r="B16" i="71"/>
  <c r="P15" i="71"/>
  <c r="O15" i="71"/>
  <c r="N15" i="71"/>
  <c r="L15" i="71"/>
  <c r="K15" i="71"/>
  <c r="J15" i="71"/>
  <c r="H15" i="71"/>
  <c r="G15" i="71"/>
  <c r="F15" i="71"/>
  <c r="D15" i="71"/>
  <c r="C15" i="71"/>
  <c r="B15" i="71"/>
  <c r="P14" i="71"/>
  <c r="O14" i="71"/>
  <c r="N14" i="71"/>
  <c r="L14" i="71"/>
  <c r="K14" i="71"/>
  <c r="J14" i="71"/>
  <c r="H14" i="71"/>
  <c r="G14" i="71"/>
  <c r="F14" i="71"/>
  <c r="D14" i="71"/>
  <c r="C14" i="71"/>
  <c r="B14" i="71"/>
  <c r="R1" i="71"/>
  <c r="P10" i="71"/>
  <c r="K10" i="71"/>
  <c r="N10" i="71"/>
  <c r="C10" i="71"/>
  <c r="L10" i="71"/>
  <c r="J10" i="71"/>
  <c r="H10" i="71"/>
  <c r="D10" i="71"/>
  <c r="G10" i="71"/>
  <c r="F10" i="71"/>
  <c r="O10" i="71"/>
  <c r="B10" i="71"/>
  <c r="R729" i="71" l="1"/>
  <c r="R826" i="71"/>
  <c r="AE950" i="71"/>
  <c r="Q343" i="71"/>
  <c r="AD951" i="71"/>
  <c r="AF953" i="71"/>
  <c r="AF960" i="71"/>
  <c r="H885" i="71"/>
  <c r="R1141" i="71"/>
  <c r="I421" i="71"/>
  <c r="AC393" i="71"/>
  <c r="O862" i="71"/>
  <c r="O868" i="71" s="1"/>
  <c r="O902" i="71" s="1"/>
  <c r="L885" i="71"/>
  <c r="P695" i="71"/>
  <c r="P698" i="71" s="1"/>
  <c r="P699" i="71" s="1"/>
  <c r="K748" i="71"/>
  <c r="K751" i="71" s="1"/>
  <c r="K752" i="71" s="1"/>
  <c r="J885" i="71"/>
  <c r="C885" i="71"/>
  <c r="D537" i="71"/>
  <c r="D540" i="71" s="1"/>
  <c r="D541" i="71" s="1"/>
  <c r="C791" i="71"/>
  <c r="C795" i="71" s="1"/>
  <c r="C796" i="71" s="1"/>
  <c r="J791" i="71"/>
  <c r="J795" i="71" s="1"/>
  <c r="C748" i="71"/>
  <c r="C751" i="71" s="1"/>
  <c r="C752" i="71" s="1"/>
  <c r="H537" i="71"/>
  <c r="H540" i="71" s="1"/>
  <c r="H541" i="71" s="1"/>
  <c r="C649" i="71"/>
  <c r="C652" i="71" s="1"/>
  <c r="C653" i="71" s="1"/>
  <c r="H695" i="71"/>
  <c r="H698" i="71" s="1"/>
  <c r="H699" i="71" s="1"/>
  <c r="F128" i="71"/>
  <c r="F131" i="71" s="1"/>
  <c r="F132" i="71" s="1"/>
  <c r="J537" i="71"/>
  <c r="J540" i="71" s="1"/>
  <c r="J541" i="71" s="1"/>
  <c r="O649" i="71"/>
  <c r="O652" i="71" s="1"/>
  <c r="O653" i="71" s="1"/>
  <c r="J695" i="71"/>
  <c r="J698" i="71" s="1"/>
  <c r="O748" i="71"/>
  <c r="O751" i="71" s="1"/>
  <c r="O752" i="71" s="1"/>
  <c r="D791" i="71"/>
  <c r="D795" i="71" s="1"/>
  <c r="D796" i="71" s="1"/>
  <c r="F885" i="71"/>
  <c r="P885" i="71"/>
  <c r="J128" i="71"/>
  <c r="J131" i="71" s="1"/>
  <c r="J132" i="71" s="1"/>
  <c r="C582" i="71"/>
  <c r="C585" i="71" s="1"/>
  <c r="C586" i="71" s="1"/>
  <c r="H791" i="71"/>
  <c r="H795" i="71" s="1"/>
  <c r="H797" i="71" s="1"/>
  <c r="K695" i="71"/>
  <c r="K698" i="71" s="1"/>
  <c r="K699" i="71" s="1"/>
  <c r="P748" i="71"/>
  <c r="P751" i="71" s="1"/>
  <c r="P752" i="71" s="1"/>
  <c r="G649" i="71"/>
  <c r="G652" i="71" s="1"/>
  <c r="G653" i="71" s="1"/>
  <c r="G885" i="71"/>
  <c r="K649" i="71"/>
  <c r="K652" i="71" s="1"/>
  <c r="K653" i="71" s="1"/>
  <c r="B128" i="71"/>
  <c r="B131" i="71" s="1"/>
  <c r="B132" i="71" s="1"/>
  <c r="L537" i="71"/>
  <c r="L540" i="71" s="1"/>
  <c r="L541" i="71" s="1"/>
  <c r="L649" i="71"/>
  <c r="L652" i="71" s="1"/>
  <c r="L653" i="71" s="1"/>
  <c r="B582" i="71"/>
  <c r="B585" i="71" s="1"/>
  <c r="L791" i="71"/>
  <c r="L795" i="71" s="1"/>
  <c r="L797" i="71" s="1"/>
  <c r="P931" i="71" s="1"/>
  <c r="L695" i="71"/>
  <c r="L698" i="71" s="1"/>
  <c r="L699" i="71" s="1"/>
  <c r="B695" i="71"/>
  <c r="B698" i="71" s="1"/>
  <c r="D885" i="71"/>
  <c r="G841" i="71"/>
  <c r="G844" i="71" s="1"/>
  <c r="G845" i="71" s="1"/>
  <c r="L841" i="71"/>
  <c r="L844" i="71" s="1"/>
  <c r="L845" i="71" s="1"/>
  <c r="F841" i="71"/>
  <c r="C841" i="71"/>
  <c r="C844" i="71" s="1"/>
  <c r="C846" i="71" s="1"/>
  <c r="C847" i="71" s="1"/>
  <c r="H841" i="71"/>
  <c r="H844" i="71" s="1"/>
  <c r="H846" i="71" s="1"/>
  <c r="N841" i="71"/>
  <c r="N844" i="71" s="1"/>
  <c r="K841" i="71"/>
  <c r="K844" i="71" s="1"/>
  <c r="K846" i="71" s="1"/>
  <c r="K847" i="71" s="1"/>
  <c r="L748" i="71"/>
  <c r="L751" i="71" s="1"/>
  <c r="L752" i="71" s="1"/>
  <c r="H748" i="71"/>
  <c r="H751" i="71" s="1"/>
  <c r="H752" i="71" s="1"/>
  <c r="N748" i="71"/>
  <c r="D695" i="71"/>
  <c r="D698" i="71" s="1"/>
  <c r="D699" i="71" s="1"/>
  <c r="B885" i="71"/>
  <c r="I343" i="71"/>
  <c r="M343" i="71"/>
  <c r="E421" i="71"/>
  <c r="L1088" i="71"/>
  <c r="F1141" i="71"/>
  <c r="Q335" i="71"/>
  <c r="R335" i="71" s="1"/>
  <c r="F1138" i="71"/>
  <c r="N1144" i="71"/>
  <c r="F1144" i="71"/>
  <c r="R1147" i="71"/>
  <c r="C862" i="71"/>
  <c r="C868" i="71" s="1"/>
  <c r="C902" i="71" s="1"/>
  <c r="N386" i="71"/>
  <c r="Q386" i="71" s="1"/>
  <c r="L1090" i="71"/>
  <c r="R1144" i="71"/>
  <c r="F1147" i="71"/>
  <c r="C1150" i="71"/>
  <c r="M27" i="71"/>
  <c r="L1089" i="71"/>
  <c r="N1141" i="71"/>
  <c r="F1088" i="71"/>
  <c r="B1061" i="71" s="1"/>
  <c r="AD1065" i="71" s="1"/>
  <c r="R25" i="71"/>
  <c r="AG952" i="71"/>
  <c r="AG954" i="71"/>
  <c r="AG956" i="71"/>
  <c r="G748" i="71"/>
  <c r="G751" i="71" s="1"/>
  <c r="G752" i="71" s="1"/>
  <c r="K868" i="71"/>
  <c r="K902" i="71" s="1"/>
  <c r="P868" i="71"/>
  <c r="P902" i="71" s="1"/>
  <c r="P791" i="71"/>
  <c r="P795" i="71" s="1"/>
  <c r="P797" i="71" s="1"/>
  <c r="P934" i="71" s="1"/>
  <c r="C695" i="71"/>
  <c r="C698" i="71" s="1"/>
  <c r="C699" i="71" s="1"/>
  <c r="K582" i="71"/>
  <c r="K585" i="71" s="1"/>
  <c r="K586" i="71" s="1"/>
  <c r="P537" i="71"/>
  <c r="P540" i="71" s="1"/>
  <c r="P541" i="71" s="1"/>
  <c r="O873" i="71"/>
  <c r="O904" i="71" s="1"/>
  <c r="D748" i="71"/>
  <c r="D751" i="71" s="1"/>
  <c r="D752" i="71" s="1"/>
  <c r="H868" i="71"/>
  <c r="H902" i="71" s="1"/>
  <c r="E662" i="71"/>
  <c r="I867" i="71"/>
  <c r="E16" i="71"/>
  <c r="Q306" i="71"/>
  <c r="P485" i="71"/>
  <c r="P490" i="71" s="1"/>
  <c r="P491" i="71" s="1"/>
  <c r="I535" i="71"/>
  <c r="I581" i="71"/>
  <c r="M839" i="71"/>
  <c r="M41" i="71"/>
  <c r="K308" i="71"/>
  <c r="K316" i="71" s="1"/>
  <c r="K317" i="71" s="1"/>
  <c r="P308" i="71"/>
  <c r="P316" i="71" s="1"/>
  <c r="P317" i="71" s="1"/>
  <c r="AD916" i="71"/>
  <c r="AO916" i="71" s="1"/>
  <c r="C308" i="71"/>
  <c r="C316" i="71" s="1"/>
  <c r="C317" i="71" s="1"/>
  <c r="R148" i="71"/>
  <c r="Q662" i="71"/>
  <c r="Q779" i="71"/>
  <c r="Q783" i="71"/>
  <c r="Q829" i="71"/>
  <c r="E867" i="71"/>
  <c r="I41" i="71"/>
  <c r="E722" i="71"/>
  <c r="I736" i="71"/>
  <c r="E747" i="71"/>
  <c r="E761" i="71"/>
  <c r="E783" i="71"/>
  <c r="I789" i="71"/>
  <c r="I819" i="71"/>
  <c r="I839" i="71"/>
  <c r="M883" i="71"/>
  <c r="AD918" i="71"/>
  <c r="AO918" i="71" s="1"/>
  <c r="I107" i="71"/>
  <c r="E127" i="71"/>
  <c r="M400" i="71"/>
  <c r="M662" i="71"/>
  <c r="M16" i="71"/>
  <c r="E41" i="71"/>
  <c r="E46" i="71"/>
  <c r="Q41" i="71"/>
  <c r="I662" i="71"/>
  <c r="M747" i="71"/>
  <c r="M761" i="71"/>
  <c r="E883" i="71"/>
  <c r="AD917" i="71"/>
  <c r="AO917" i="71" s="1"/>
  <c r="AD921" i="71"/>
  <c r="AO921" i="71" s="1"/>
  <c r="AD925" i="71"/>
  <c r="AO925" i="71" s="1"/>
  <c r="R230" i="71"/>
  <c r="I16" i="71"/>
  <c r="I400" i="71"/>
  <c r="I615" i="71"/>
  <c r="I621" i="71"/>
  <c r="Q630" i="71"/>
  <c r="M682" i="71"/>
  <c r="I686" i="71"/>
  <c r="M694" i="71"/>
  <c r="Q761" i="71"/>
  <c r="M779" i="71"/>
  <c r="M790" i="71"/>
  <c r="Q14" i="71"/>
  <c r="Q18" i="71"/>
  <c r="O308" i="71"/>
  <c r="O316" i="71" s="1"/>
  <c r="O317" i="71" s="1"/>
  <c r="M287" i="71"/>
  <c r="M307" i="71"/>
  <c r="Z392" i="71"/>
  <c r="AL393" i="71"/>
  <c r="E400" i="71"/>
  <c r="R432" i="71"/>
  <c r="R433" i="71"/>
  <c r="R434" i="71"/>
  <c r="R435" i="71"/>
  <c r="R436" i="71"/>
  <c r="R438" i="71"/>
  <c r="R439" i="71"/>
  <c r="R440" i="71"/>
  <c r="R441" i="71"/>
  <c r="R442" i="71"/>
  <c r="R445" i="71"/>
  <c r="R446" i="71"/>
  <c r="R447" i="71"/>
  <c r="R448" i="71"/>
  <c r="R449" i="71"/>
  <c r="R450" i="71"/>
  <c r="R453" i="71"/>
  <c r="R461" i="71"/>
  <c r="E483" i="71"/>
  <c r="R487" i="71"/>
  <c r="R488" i="71"/>
  <c r="R506" i="71"/>
  <c r="R508" i="71"/>
  <c r="R510" i="71"/>
  <c r="R512" i="71"/>
  <c r="E521" i="71"/>
  <c r="E527" i="71"/>
  <c r="R533" i="71"/>
  <c r="R534" i="71"/>
  <c r="E536" i="71"/>
  <c r="R538" i="71"/>
  <c r="R550" i="71"/>
  <c r="R551" i="71"/>
  <c r="R568" i="71"/>
  <c r="E569" i="71"/>
  <c r="R578" i="71"/>
  <c r="R579" i="71"/>
  <c r="R611" i="71"/>
  <c r="R613" i="71"/>
  <c r="E621" i="71"/>
  <c r="E686" i="71"/>
  <c r="E693" i="71"/>
  <c r="M872" i="71"/>
  <c r="P877" i="71"/>
  <c r="P906" i="71" s="1"/>
  <c r="I881" i="71"/>
  <c r="I884" i="71"/>
  <c r="Q57" i="71"/>
  <c r="Q16" i="71"/>
  <c r="I127" i="71"/>
  <c r="I307" i="71"/>
  <c r="Q400" i="71"/>
  <c r="Q483" i="71"/>
  <c r="Q484" i="71"/>
  <c r="Q521" i="71"/>
  <c r="Q527" i="71"/>
  <c r="Q536" i="71"/>
  <c r="Q569" i="71"/>
  <c r="I761" i="71"/>
  <c r="I783" i="71"/>
  <c r="M819" i="71"/>
  <c r="R842" i="71"/>
  <c r="Q867" i="71"/>
  <c r="AD915" i="71"/>
  <c r="AO915" i="71" s="1"/>
  <c r="I14" i="71"/>
  <c r="I15" i="71"/>
  <c r="Q17" i="71"/>
  <c r="Q50" i="71"/>
  <c r="I57" i="71"/>
  <c r="E14" i="71"/>
  <c r="M783" i="71"/>
  <c r="B649" i="71"/>
  <c r="B652" i="71" s="1"/>
  <c r="E615" i="71"/>
  <c r="M14" i="71"/>
  <c r="E17" i="71"/>
  <c r="M18" i="71"/>
  <c r="R38" i="71"/>
  <c r="F59" i="71"/>
  <c r="F62" i="71" s="1"/>
  <c r="N59" i="71"/>
  <c r="N62" i="71" s="1"/>
  <c r="I46" i="71"/>
  <c r="E50" i="71"/>
  <c r="R54" i="71"/>
  <c r="M57" i="71"/>
  <c r="E96" i="71"/>
  <c r="E107" i="71"/>
  <c r="R129" i="71"/>
  <c r="R286" i="71"/>
  <c r="M306" i="71"/>
  <c r="E484" i="71"/>
  <c r="E535" i="71"/>
  <c r="I580" i="71"/>
  <c r="E581" i="71"/>
  <c r="R625" i="71"/>
  <c r="M630" i="71"/>
  <c r="R634" i="71"/>
  <c r="R636" i="71"/>
  <c r="R639" i="71"/>
  <c r="I648" i="71"/>
  <c r="R660" i="71"/>
  <c r="I682" i="71"/>
  <c r="R690" i="71"/>
  <c r="I694" i="71"/>
  <c r="Q722" i="71"/>
  <c r="J748" i="71"/>
  <c r="Q736" i="71"/>
  <c r="Q747" i="71"/>
  <c r="O791" i="71"/>
  <c r="O795" i="71" s="1"/>
  <c r="O796" i="71" s="1"/>
  <c r="E789" i="71"/>
  <c r="E819" i="71"/>
  <c r="M829" i="71"/>
  <c r="E839" i="71"/>
  <c r="I865" i="71"/>
  <c r="E866" i="71"/>
  <c r="M867" i="71"/>
  <c r="C873" i="71"/>
  <c r="C904" i="71" s="1"/>
  <c r="Q871" i="71"/>
  <c r="E881" i="71"/>
  <c r="Q107" i="71"/>
  <c r="I126" i="71"/>
  <c r="Q127" i="71"/>
  <c r="L308" i="71"/>
  <c r="L316" i="71" s="1"/>
  <c r="L317" i="71" s="1"/>
  <c r="R216" i="71"/>
  <c r="R217" i="71"/>
  <c r="R290" i="71"/>
  <c r="R301" i="71"/>
  <c r="R303" i="71"/>
  <c r="I306" i="71"/>
  <c r="E307" i="71"/>
  <c r="R309" i="71"/>
  <c r="R312" i="71"/>
  <c r="R314" i="71"/>
  <c r="AL392" i="71"/>
  <c r="AH394" i="71"/>
  <c r="M483" i="71"/>
  <c r="M521" i="71"/>
  <c r="Q535" i="71"/>
  <c r="M536" i="71"/>
  <c r="E564" i="71"/>
  <c r="M569" i="71"/>
  <c r="E580" i="71"/>
  <c r="Q581" i="71"/>
  <c r="Q615" i="71"/>
  <c r="Q621" i="71"/>
  <c r="Q678" i="71"/>
  <c r="E682" i="71"/>
  <c r="Q686" i="71"/>
  <c r="Q693" i="71"/>
  <c r="E694" i="71"/>
  <c r="M722" i="71"/>
  <c r="I746" i="71"/>
  <c r="K791" i="71"/>
  <c r="K795" i="71" s="1"/>
  <c r="K797" i="71" s="1"/>
  <c r="I779" i="71"/>
  <c r="Q789" i="71"/>
  <c r="Q819" i="71"/>
  <c r="E872" i="71"/>
  <c r="E15" i="71"/>
  <c r="M17" i="71"/>
  <c r="E57" i="71"/>
  <c r="Q58" i="71"/>
  <c r="R60" i="71"/>
  <c r="R72" i="71"/>
  <c r="R73" i="71"/>
  <c r="R76" i="71"/>
  <c r="R77" i="71"/>
  <c r="R78" i="71"/>
  <c r="L128" i="71"/>
  <c r="L131" i="71" s="1"/>
  <c r="L132" i="71" s="1"/>
  <c r="R94" i="71"/>
  <c r="R101" i="71"/>
  <c r="R102" i="71"/>
  <c r="R103" i="71"/>
  <c r="R104" i="71"/>
  <c r="R105" i="71"/>
  <c r="R106" i="71"/>
  <c r="M107" i="71"/>
  <c r="R111" i="71"/>
  <c r="R112" i="71"/>
  <c r="R114" i="71"/>
  <c r="R115" i="71"/>
  <c r="R116" i="71"/>
  <c r="R120" i="71"/>
  <c r="R122" i="71"/>
  <c r="E126" i="71"/>
  <c r="M127" i="71"/>
  <c r="N308" i="71"/>
  <c r="N316" i="71" s="1"/>
  <c r="E219" i="71"/>
  <c r="AH392" i="71"/>
  <c r="R394" i="71"/>
  <c r="Z394" i="71"/>
  <c r="I483" i="71"/>
  <c r="I484" i="71"/>
  <c r="M484" i="71"/>
  <c r="I521" i="71"/>
  <c r="M535" i="71"/>
  <c r="I536" i="71"/>
  <c r="Q564" i="71"/>
  <c r="I569" i="71"/>
  <c r="Q580" i="71"/>
  <c r="M581" i="71"/>
  <c r="M615" i="71"/>
  <c r="M621" i="71"/>
  <c r="E630" i="71"/>
  <c r="E647" i="71"/>
  <c r="Q648" i="71"/>
  <c r="Q682" i="71"/>
  <c r="M686" i="71"/>
  <c r="Q694" i="71"/>
  <c r="E718" i="71"/>
  <c r="I722" i="71"/>
  <c r="R735" i="71"/>
  <c r="E736" i="71"/>
  <c r="R740" i="71"/>
  <c r="R741" i="71"/>
  <c r="R742" i="71"/>
  <c r="E746" i="71"/>
  <c r="I747" i="71"/>
  <c r="R749" i="71"/>
  <c r="R759" i="71"/>
  <c r="E779" i="71"/>
  <c r="M789" i="71"/>
  <c r="E790" i="71"/>
  <c r="R805" i="71"/>
  <c r="R806" i="71"/>
  <c r="R807" i="71"/>
  <c r="R808" i="71"/>
  <c r="R817" i="71"/>
  <c r="R832" i="71"/>
  <c r="R833" i="71"/>
  <c r="R836" i="71"/>
  <c r="Q865" i="71"/>
  <c r="K873" i="71"/>
  <c r="K904" i="71" s="1"/>
  <c r="M881" i="71"/>
  <c r="AD955" i="71"/>
  <c r="Q840" i="71"/>
  <c r="Q839" i="71"/>
  <c r="R835" i="71"/>
  <c r="I829" i="71"/>
  <c r="R822" i="71"/>
  <c r="R823" i="71"/>
  <c r="R828" i="71"/>
  <c r="E829" i="71"/>
  <c r="Q863" i="71"/>
  <c r="E814" i="71"/>
  <c r="M736" i="71"/>
  <c r="R725" i="71"/>
  <c r="R727" i="71"/>
  <c r="R731" i="71"/>
  <c r="I718" i="71"/>
  <c r="R708" i="71"/>
  <c r="R709" i="71"/>
  <c r="R710" i="71"/>
  <c r="R712" i="71"/>
  <c r="R713" i="71"/>
  <c r="F748" i="71"/>
  <c r="F751" i="71" s="1"/>
  <c r="B748" i="71"/>
  <c r="M678" i="71"/>
  <c r="R672" i="71"/>
  <c r="R673" i="71"/>
  <c r="Q647" i="71"/>
  <c r="Q881" i="71"/>
  <c r="R638" i="71"/>
  <c r="M648" i="71"/>
  <c r="R645" i="71"/>
  <c r="R646" i="71"/>
  <c r="M647" i="71"/>
  <c r="I647" i="71"/>
  <c r="E648" i="71"/>
  <c r="R626" i="71"/>
  <c r="R627" i="71"/>
  <c r="R628" i="71"/>
  <c r="I630" i="71"/>
  <c r="D649" i="71"/>
  <c r="D652" i="71" s="1"/>
  <c r="D653" i="71" s="1"/>
  <c r="R595" i="71"/>
  <c r="R596" i="71"/>
  <c r="R597" i="71"/>
  <c r="R598" i="71"/>
  <c r="R599" i="71"/>
  <c r="R602" i="71"/>
  <c r="R605" i="71"/>
  <c r="R606" i="71"/>
  <c r="M580" i="71"/>
  <c r="R562" i="71"/>
  <c r="M564" i="71"/>
  <c r="I564" i="71"/>
  <c r="R553" i="71"/>
  <c r="M863" i="71"/>
  <c r="R552" i="71"/>
  <c r="K885" i="71"/>
  <c r="M527" i="71"/>
  <c r="I527" i="71"/>
  <c r="R519" i="71"/>
  <c r="Q884" i="71"/>
  <c r="R482" i="71"/>
  <c r="M884" i="71"/>
  <c r="R464" i="71"/>
  <c r="R466" i="71"/>
  <c r="R470" i="71"/>
  <c r="R471" i="71"/>
  <c r="R473" i="71"/>
  <c r="R474" i="71"/>
  <c r="R475" i="71"/>
  <c r="R477" i="71"/>
  <c r="R479" i="71"/>
  <c r="R480" i="71"/>
  <c r="I883" i="71"/>
  <c r="H886" i="71"/>
  <c r="H908" i="71" s="1"/>
  <c r="E884" i="71"/>
  <c r="D886" i="71"/>
  <c r="D908" i="71" s="1"/>
  <c r="Q876" i="71"/>
  <c r="M876" i="71"/>
  <c r="R403" i="71"/>
  <c r="R409" i="71"/>
  <c r="R410" i="71"/>
  <c r="R414" i="71"/>
  <c r="R415" i="71"/>
  <c r="R416" i="71"/>
  <c r="R417" i="71"/>
  <c r="R418" i="71"/>
  <c r="R420" i="71"/>
  <c r="R422" i="71"/>
  <c r="R425" i="71"/>
  <c r="R426" i="71"/>
  <c r="R427" i="71"/>
  <c r="R428" i="71"/>
  <c r="R429" i="71"/>
  <c r="R430" i="71"/>
  <c r="B485" i="71"/>
  <c r="B490" i="71" s="1"/>
  <c r="R431" i="71"/>
  <c r="M871" i="71"/>
  <c r="R398" i="71"/>
  <c r="H873" i="71"/>
  <c r="H904" i="71" s="1"/>
  <c r="R391" i="71"/>
  <c r="I871" i="71"/>
  <c r="E871" i="71"/>
  <c r="Q864" i="71"/>
  <c r="R361" i="71"/>
  <c r="R362" i="71"/>
  <c r="R364" i="71"/>
  <c r="R367" i="71"/>
  <c r="R369" i="71"/>
  <c r="R373" i="71"/>
  <c r="R374" i="71"/>
  <c r="R377" i="71"/>
  <c r="R378" i="71"/>
  <c r="R379" i="71"/>
  <c r="R381" i="71"/>
  <c r="R382" i="71"/>
  <c r="R384" i="71"/>
  <c r="R357" i="71"/>
  <c r="R336" i="71"/>
  <c r="R341" i="71"/>
  <c r="R342" i="71"/>
  <c r="R345" i="71"/>
  <c r="R346" i="71"/>
  <c r="R347" i="71"/>
  <c r="R348" i="71"/>
  <c r="R349" i="71"/>
  <c r="R351" i="71"/>
  <c r="R437" i="71"/>
  <c r="R352" i="71"/>
  <c r="R356" i="71"/>
  <c r="R363" i="71"/>
  <c r="R365" i="71"/>
  <c r="I863" i="71"/>
  <c r="E863" i="71"/>
  <c r="G936" i="71"/>
  <c r="I18" i="71"/>
  <c r="E18" i="71"/>
  <c r="R313" i="71"/>
  <c r="AF957" i="71"/>
  <c r="I17" i="71"/>
  <c r="M866" i="71"/>
  <c r="Q15" i="71"/>
  <c r="M15" i="71"/>
  <c r="O886" i="71"/>
  <c r="O908" i="71" s="1"/>
  <c r="Q880" i="71"/>
  <c r="R295" i="71"/>
  <c r="R296" i="71"/>
  <c r="R297" i="71"/>
  <c r="R298" i="71"/>
  <c r="R300" i="71"/>
  <c r="M880" i="71"/>
  <c r="L886" i="71"/>
  <c r="L908" i="71" s="1"/>
  <c r="G886" i="71"/>
  <c r="G908" i="71" s="1"/>
  <c r="I880" i="71"/>
  <c r="C886" i="71"/>
  <c r="C908" i="71" s="1"/>
  <c r="E880" i="71"/>
  <c r="O877" i="71"/>
  <c r="O906" i="71" s="1"/>
  <c r="R223" i="71"/>
  <c r="R253" i="71"/>
  <c r="R254" i="71"/>
  <c r="R256" i="71"/>
  <c r="R257" i="71"/>
  <c r="R258" i="71"/>
  <c r="R261" i="71"/>
  <c r="R264" i="71"/>
  <c r="R265" i="71"/>
  <c r="R266" i="71"/>
  <c r="R268" i="71"/>
  <c r="R269" i="71"/>
  <c r="R271" i="71"/>
  <c r="R272" i="71"/>
  <c r="R273" i="71"/>
  <c r="R276" i="71"/>
  <c r="R277" i="71"/>
  <c r="R280" i="71"/>
  <c r="R281" i="71"/>
  <c r="R282" i="71"/>
  <c r="R283" i="71"/>
  <c r="R284" i="71"/>
  <c r="R227" i="71"/>
  <c r="R228" i="71"/>
  <c r="R231" i="71"/>
  <c r="R232" i="71"/>
  <c r="R233" i="71"/>
  <c r="R236" i="71"/>
  <c r="R237" i="71"/>
  <c r="R240" i="71"/>
  <c r="R241" i="71"/>
  <c r="R242" i="71"/>
  <c r="R243" i="71"/>
  <c r="R244" i="71"/>
  <c r="R246" i="71"/>
  <c r="R247" i="71"/>
  <c r="R248" i="71"/>
  <c r="R260" i="71"/>
  <c r="R158" i="71"/>
  <c r="R187" i="71"/>
  <c r="M212" i="71"/>
  <c r="J308" i="71"/>
  <c r="R141" i="71"/>
  <c r="R142" i="71"/>
  <c r="R143" i="71"/>
  <c r="R144" i="71"/>
  <c r="R146" i="71"/>
  <c r="R147" i="71"/>
  <c r="R149" i="71"/>
  <c r="R153" i="71"/>
  <c r="R154" i="71"/>
  <c r="R157" i="71"/>
  <c r="R159" i="71"/>
  <c r="R160" i="71"/>
  <c r="R163" i="71"/>
  <c r="R164" i="71"/>
  <c r="R165" i="71"/>
  <c r="R166" i="71"/>
  <c r="R167" i="71"/>
  <c r="R170" i="71"/>
  <c r="R171" i="71"/>
  <c r="R172" i="71"/>
  <c r="R176" i="71"/>
  <c r="R177" i="71"/>
  <c r="R180" i="71"/>
  <c r="R181" i="71"/>
  <c r="R190" i="71"/>
  <c r="R191" i="71"/>
  <c r="R194" i="71"/>
  <c r="R199" i="71"/>
  <c r="R200" i="71"/>
  <c r="R203" i="71"/>
  <c r="R204" i="71"/>
  <c r="R205" i="71"/>
  <c r="R206" i="71"/>
  <c r="R208" i="71"/>
  <c r="R209" i="71"/>
  <c r="R210" i="71"/>
  <c r="E864" i="71"/>
  <c r="R125" i="71"/>
  <c r="N885" i="71"/>
  <c r="Q96" i="71"/>
  <c r="R93" i="71"/>
  <c r="P873" i="71"/>
  <c r="P904" i="71" s="1"/>
  <c r="M96" i="71"/>
  <c r="I96" i="71"/>
  <c r="G873" i="71"/>
  <c r="G904" i="71" s="1"/>
  <c r="M864" i="71"/>
  <c r="R79" i="71"/>
  <c r="R80" i="71"/>
  <c r="R84" i="71"/>
  <c r="R86" i="71"/>
  <c r="R87" i="71"/>
  <c r="R81" i="71"/>
  <c r="I864" i="71"/>
  <c r="K1036" i="71"/>
  <c r="I1036" i="71"/>
  <c r="H1036" i="71"/>
  <c r="N1036" i="71"/>
  <c r="L1036" i="71"/>
  <c r="J1036" i="71"/>
  <c r="C328" i="71"/>
  <c r="AP915" i="71" s="1"/>
  <c r="K1038" i="71"/>
  <c r="I1038" i="71"/>
  <c r="H1038" i="71"/>
  <c r="N1038" i="71"/>
  <c r="L1038" i="71"/>
  <c r="K1042" i="71"/>
  <c r="I1042" i="71"/>
  <c r="H1042" i="71"/>
  <c r="N1042" i="71"/>
  <c r="L1042" i="71"/>
  <c r="F959" i="71"/>
  <c r="K328" i="71"/>
  <c r="AP921" i="71" s="1"/>
  <c r="K1046" i="71"/>
  <c r="I1046" i="71"/>
  <c r="H1046" i="71"/>
  <c r="N1046" i="71"/>
  <c r="F963" i="71"/>
  <c r="L1046" i="71"/>
  <c r="K1039" i="71"/>
  <c r="I1039" i="71"/>
  <c r="L1039" i="71"/>
  <c r="N1039" i="71"/>
  <c r="H1039" i="71"/>
  <c r="K1035" i="71"/>
  <c r="I1035" i="71"/>
  <c r="L1035" i="71"/>
  <c r="H1035" i="71"/>
  <c r="N1035" i="71"/>
  <c r="B762" i="71"/>
  <c r="K1044" i="71"/>
  <c r="I1044" i="71"/>
  <c r="H1044" i="71"/>
  <c r="N1044" i="71"/>
  <c r="L1044" i="71"/>
  <c r="N762" i="71"/>
  <c r="J1044" i="71"/>
  <c r="N328" i="71"/>
  <c r="AP923" i="71" s="1"/>
  <c r="K1043" i="71"/>
  <c r="I1043" i="71"/>
  <c r="L1043" i="71"/>
  <c r="H1043" i="71"/>
  <c r="N1043" i="71"/>
  <c r="L762" i="71"/>
  <c r="L663" i="71"/>
  <c r="L28" i="71"/>
  <c r="K1040" i="71"/>
  <c r="I1040" i="71"/>
  <c r="H1040" i="71"/>
  <c r="N1040" i="71"/>
  <c r="L1040" i="71"/>
  <c r="K1037" i="71"/>
  <c r="I1037" i="71"/>
  <c r="L1037" i="71"/>
  <c r="N1037" i="71"/>
  <c r="H1037" i="71"/>
  <c r="G954" i="71"/>
  <c r="D762" i="71"/>
  <c r="D663" i="71"/>
  <c r="K1041" i="71"/>
  <c r="I1041" i="71"/>
  <c r="L1041" i="71"/>
  <c r="J1041" i="71"/>
  <c r="N1041" i="71"/>
  <c r="H1041" i="71"/>
  <c r="G958" i="71"/>
  <c r="J762" i="71"/>
  <c r="J663" i="71"/>
  <c r="K1045" i="71"/>
  <c r="I1045" i="71"/>
  <c r="L1045" i="71"/>
  <c r="N1045" i="71"/>
  <c r="H1045" i="71"/>
  <c r="O762" i="71"/>
  <c r="O663" i="71"/>
  <c r="O328" i="71"/>
  <c r="AP924" i="71" s="1"/>
  <c r="H328" i="71"/>
  <c r="AP919" i="71" s="1"/>
  <c r="G28" i="71"/>
  <c r="R1122" i="71"/>
  <c r="R1077" i="71"/>
  <c r="R1052" i="71"/>
  <c r="R998" i="71"/>
  <c r="R969" i="71"/>
  <c r="AS964" i="71"/>
  <c r="R943" i="71"/>
  <c r="R914" i="71"/>
  <c r="R890" i="71"/>
  <c r="AS999" i="71"/>
  <c r="R849" i="71"/>
  <c r="AT905" i="71"/>
  <c r="AT937" i="71"/>
  <c r="E27" i="71"/>
  <c r="I27" i="71"/>
  <c r="B28" i="71"/>
  <c r="D59" i="71"/>
  <c r="D62" i="71" s="1"/>
  <c r="H59" i="71"/>
  <c r="H62" i="71" s="1"/>
  <c r="L59" i="71"/>
  <c r="L62" i="71" s="1"/>
  <c r="P59" i="71"/>
  <c r="P62" i="71" s="1"/>
  <c r="Q46" i="71"/>
  <c r="M50" i="71"/>
  <c r="I58" i="71"/>
  <c r="B59" i="71"/>
  <c r="J59" i="71"/>
  <c r="R74" i="71"/>
  <c r="R75" i="71"/>
  <c r="R82" i="71"/>
  <c r="D128" i="71"/>
  <c r="D131" i="71" s="1"/>
  <c r="O128" i="71"/>
  <c r="O131" i="71" s="1"/>
  <c r="Q89" i="71"/>
  <c r="R100" i="71"/>
  <c r="R110" i="71"/>
  <c r="R117" i="71"/>
  <c r="R119" i="71"/>
  <c r="M126" i="71"/>
  <c r="R155" i="71"/>
  <c r="R156" i="71"/>
  <c r="R161" i="71"/>
  <c r="R162" i="71"/>
  <c r="R178" i="71"/>
  <c r="R179" i="71"/>
  <c r="R185" i="71"/>
  <c r="R192" i="71"/>
  <c r="R193" i="71"/>
  <c r="R201" i="71"/>
  <c r="R202" i="71"/>
  <c r="G212" i="71"/>
  <c r="G308" i="71" s="1"/>
  <c r="G316" i="71" s="1"/>
  <c r="Q212" i="71"/>
  <c r="M219" i="71"/>
  <c r="R238" i="71"/>
  <c r="R239" i="71"/>
  <c r="F287" i="71"/>
  <c r="I287" i="71" s="1"/>
  <c r="F876" i="71"/>
  <c r="F877" i="71" s="1"/>
  <c r="I252" i="71"/>
  <c r="R252" i="71" s="1"/>
  <c r="R262" i="71"/>
  <c r="R263" i="71"/>
  <c r="R278" i="71"/>
  <c r="R279" i="71"/>
  <c r="Q287" i="71"/>
  <c r="R291" i="71"/>
  <c r="R292" i="71"/>
  <c r="R294" i="71"/>
  <c r="E306" i="71"/>
  <c r="Q307" i="71"/>
  <c r="R310" i="71"/>
  <c r="R311" i="71"/>
  <c r="Q327" i="71"/>
  <c r="R344" i="71"/>
  <c r="R359" i="71"/>
  <c r="R375" i="71"/>
  <c r="R376" i="71"/>
  <c r="M386" i="71"/>
  <c r="R392" i="71"/>
  <c r="R395" i="71"/>
  <c r="R396" i="71"/>
  <c r="R397" i="71"/>
  <c r="L875" i="71"/>
  <c r="L877" i="71" s="1"/>
  <c r="L906" i="71" s="1"/>
  <c r="L458" i="71"/>
  <c r="L485" i="71" s="1"/>
  <c r="L490" i="71" s="1"/>
  <c r="R411" i="71"/>
  <c r="R412" i="71"/>
  <c r="R413" i="71"/>
  <c r="F28" i="71"/>
  <c r="J28" i="71"/>
  <c r="Q27" i="71"/>
  <c r="C28" i="71"/>
  <c r="N28" i="71"/>
  <c r="M46" i="71"/>
  <c r="I50" i="71"/>
  <c r="E58" i="71"/>
  <c r="C59" i="71"/>
  <c r="C62" i="71" s="1"/>
  <c r="K59" i="71"/>
  <c r="K62" i="71" s="1"/>
  <c r="K128" i="71"/>
  <c r="K131" i="71" s="1"/>
  <c r="M89" i="71"/>
  <c r="P128" i="71"/>
  <c r="P131" i="71" s="1"/>
  <c r="B868" i="71"/>
  <c r="D328" i="71"/>
  <c r="AP916" i="71" s="1"/>
  <c r="J328" i="71"/>
  <c r="AP920" i="71" s="1"/>
  <c r="H875" i="71"/>
  <c r="H458" i="71"/>
  <c r="O28" i="71"/>
  <c r="G128" i="71"/>
  <c r="G131" i="71" s="1"/>
  <c r="I89" i="71"/>
  <c r="R113" i="71"/>
  <c r="R124" i="71"/>
  <c r="R145" i="71"/>
  <c r="R168" i="71"/>
  <c r="F212" i="71"/>
  <c r="I188" i="71"/>
  <c r="R188" i="71" s="1"/>
  <c r="R229" i="71"/>
  <c r="R245" i="71"/>
  <c r="R255" i="71"/>
  <c r="R270" i="71"/>
  <c r="R285" i="71"/>
  <c r="R299" i="71"/>
  <c r="F328" i="71"/>
  <c r="AP917" i="71" s="1"/>
  <c r="P328" i="71"/>
  <c r="AP925" i="71" s="1"/>
  <c r="R350" i="71"/>
  <c r="R366" i="71"/>
  <c r="R383" i="71"/>
  <c r="R390" i="71"/>
  <c r="D875" i="71"/>
  <c r="D877" i="71" s="1"/>
  <c r="D906" i="71" s="1"/>
  <c r="D458" i="71"/>
  <c r="D485" i="71" s="1"/>
  <c r="D490" i="71" s="1"/>
  <c r="E404" i="71"/>
  <c r="J877" i="71"/>
  <c r="R419" i="71"/>
  <c r="K28" i="71"/>
  <c r="D28" i="71"/>
  <c r="P28" i="71"/>
  <c r="H28" i="71"/>
  <c r="M58" i="71"/>
  <c r="G59" i="71"/>
  <c r="G62" i="71" s="1"/>
  <c r="O59" i="71"/>
  <c r="O62" i="71" s="1"/>
  <c r="C128" i="71"/>
  <c r="C131" i="71" s="1"/>
  <c r="E89" i="71"/>
  <c r="H128" i="71"/>
  <c r="H131" i="71" s="1"/>
  <c r="N128" i="71"/>
  <c r="Q126" i="71"/>
  <c r="R150" i="71"/>
  <c r="R151" i="71"/>
  <c r="R152" i="71"/>
  <c r="R173" i="71"/>
  <c r="R174" i="71"/>
  <c r="R175" i="71"/>
  <c r="D862" i="71"/>
  <c r="D868" i="71" s="1"/>
  <c r="D212" i="71"/>
  <c r="E212" i="71" s="1"/>
  <c r="R189" i="71"/>
  <c r="R195" i="71"/>
  <c r="R197" i="71"/>
  <c r="R198" i="71"/>
  <c r="Q219" i="71"/>
  <c r="R224" i="71"/>
  <c r="R225" i="71"/>
  <c r="R234" i="71"/>
  <c r="R235" i="71"/>
  <c r="R249" i="71"/>
  <c r="R250" i="71"/>
  <c r="R259" i="71"/>
  <c r="R274" i="71"/>
  <c r="R275" i="71"/>
  <c r="R305" i="71"/>
  <c r="R325" i="71"/>
  <c r="R327" i="71" s="1"/>
  <c r="B328" i="71"/>
  <c r="AP914" i="71" s="1"/>
  <c r="G328" i="71"/>
  <c r="AP918" i="71" s="1"/>
  <c r="L328" i="71"/>
  <c r="AP922" i="71" s="1"/>
  <c r="R338" i="71"/>
  <c r="R339" i="71"/>
  <c r="R340" i="71"/>
  <c r="R353" i="71"/>
  <c r="R354" i="71"/>
  <c r="R355" i="71"/>
  <c r="R370" i="71"/>
  <c r="R371" i="71"/>
  <c r="R372" i="71"/>
  <c r="E386" i="71"/>
  <c r="O485" i="71"/>
  <c r="O490" i="71" s="1"/>
  <c r="AD391" i="71"/>
  <c r="AM391" i="71" s="1"/>
  <c r="AA393" i="71"/>
  <c r="AA392" i="71"/>
  <c r="R393" i="71"/>
  <c r="Z393" i="71"/>
  <c r="AH393" i="71"/>
  <c r="R406" i="71"/>
  <c r="R408" i="71"/>
  <c r="R423" i="71"/>
  <c r="R424" i="71"/>
  <c r="O537" i="71"/>
  <c r="O540" i="71" s="1"/>
  <c r="Q516" i="71"/>
  <c r="P582" i="71"/>
  <c r="P585" i="71" s="1"/>
  <c r="Q558" i="71"/>
  <c r="N663" i="71"/>
  <c r="D841" i="71"/>
  <c r="D844" i="71" s="1"/>
  <c r="M814" i="71"/>
  <c r="J841" i="71"/>
  <c r="O841" i="71"/>
  <c r="O844" i="71" s="1"/>
  <c r="N886" i="71"/>
  <c r="Q879" i="71"/>
  <c r="G959" i="71"/>
  <c r="E183" i="71"/>
  <c r="R183" i="71" s="1"/>
  <c r="H212" i="71"/>
  <c r="H308" i="71" s="1"/>
  <c r="H316" i="71" s="1"/>
  <c r="D287" i="71"/>
  <c r="E327" i="71"/>
  <c r="I327" i="71"/>
  <c r="M327" i="71"/>
  <c r="H386" i="71"/>
  <c r="AB392" i="71"/>
  <c r="AB394" i="71"/>
  <c r="AD394" i="71" s="1"/>
  <c r="I404" i="71"/>
  <c r="M404" i="71"/>
  <c r="H876" i="71"/>
  <c r="J458" i="71"/>
  <c r="J485" i="71" s="1"/>
  <c r="R476" i="71"/>
  <c r="R478" i="71"/>
  <c r="R507" i="71"/>
  <c r="R509" i="71"/>
  <c r="F537" i="71"/>
  <c r="K537" i="71"/>
  <c r="K540" i="71" s="1"/>
  <c r="M516" i="71"/>
  <c r="R554" i="71"/>
  <c r="G582" i="71"/>
  <c r="G585" i="71" s="1"/>
  <c r="L582" i="71"/>
  <c r="L585" i="71" s="1"/>
  <c r="M558" i="71"/>
  <c r="R561" i="71"/>
  <c r="F582" i="71"/>
  <c r="R583" i="71"/>
  <c r="R601" i="71"/>
  <c r="R603" i="71"/>
  <c r="H649" i="71"/>
  <c r="H652" i="71" s="1"/>
  <c r="P649" i="71"/>
  <c r="P652" i="71" s="1"/>
  <c r="R629" i="71"/>
  <c r="R633" i="71"/>
  <c r="F649" i="71"/>
  <c r="R650" i="71"/>
  <c r="O695" i="71"/>
  <c r="O698" i="71" s="1"/>
  <c r="F695" i="71"/>
  <c r="R696" i="71"/>
  <c r="R714" i="71"/>
  <c r="R743" i="71"/>
  <c r="F762" i="71"/>
  <c r="J873" i="71"/>
  <c r="M870" i="71"/>
  <c r="B877" i="71"/>
  <c r="F862" i="71"/>
  <c r="E226" i="71"/>
  <c r="R226" i="71" s="1"/>
  <c r="AC392" i="71"/>
  <c r="Q875" i="71"/>
  <c r="N877" i="71"/>
  <c r="R443" i="71"/>
  <c r="R444" i="71"/>
  <c r="R451" i="71"/>
  <c r="R452" i="71"/>
  <c r="N458" i="71"/>
  <c r="Q458" i="71" s="1"/>
  <c r="R463" i="71"/>
  <c r="R481" i="71"/>
  <c r="R513" i="71"/>
  <c r="B537" i="71"/>
  <c r="G537" i="71"/>
  <c r="G540" i="71" s="1"/>
  <c r="I516" i="71"/>
  <c r="H582" i="71"/>
  <c r="H585" i="71" s="1"/>
  <c r="I558" i="71"/>
  <c r="J582" i="71"/>
  <c r="R609" i="71"/>
  <c r="R637" i="71"/>
  <c r="J649" i="71"/>
  <c r="H663" i="71"/>
  <c r="P663" i="71"/>
  <c r="I678" i="71"/>
  <c r="M693" i="71"/>
  <c r="Q718" i="71"/>
  <c r="R728" i="71"/>
  <c r="Q746" i="71"/>
  <c r="I775" i="71"/>
  <c r="F791" i="71"/>
  <c r="M862" i="71"/>
  <c r="J868" i="71"/>
  <c r="P886" i="71"/>
  <c r="P908" i="71" s="1"/>
  <c r="G862" i="71"/>
  <c r="G868" i="71" s="1"/>
  <c r="E876" i="71"/>
  <c r="B287" i="71"/>
  <c r="F485" i="71"/>
  <c r="C875" i="71"/>
  <c r="C877" i="71" s="1"/>
  <c r="C906" i="71" s="1"/>
  <c r="C458" i="71"/>
  <c r="G875" i="71"/>
  <c r="G877" i="71" s="1"/>
  <c r="G906" i="71" s="1"/>
  <c r="G458" i="71"/>
  <c r="G485" i="71" s="1"/>
  <c r="G490" i="71" s="1"/>
  <c r="K875" i="71"/>
  <c r="K877" i="71" s="1"/>
  <c r="K906" i="71" s="1"/>
  <c r="K458" i="71"/>
  <c r="K485" i="71" s="1"/>
  <c r="K490" i="71" s="1"/>
  <c r="Q404" i="71"/>
  <c r="R454" i="71"/>
  <c r="R455" i="71"/>
  <c r="R457" i="71"/>
  <c r="R467" i="71"/>
  <c r="R468" i="71"/>
  <c r="R469" i="71"/>
  <c r="R486" i="71"/>
  <c r="C537" i="71"/>
  <c r="C540" i="71" s="1"/>
  <c r="E516" i="71"/>
  <c r="N537" i="71"/>
  <c r="R525" i="71"/>
  <c r="R526" i="71"/>
  <c r="D582" i="71"/>
  <c r="D585" i="71" s="1"/>
  <c r="E558" i="71"/>
  <c r="O582" i="71"/>
  <c r="O585" i="71" s="1"/>
  <c r="R574" i="71"/>
  <c r="R576" i="71"/>
  <c r="R577" i="71"/>
  <c r="N582" i="71"/>
  <c r="R618" i="71"/>
  <c r="R619" i="71"/>
  <c r="R641" i="71"/>
  <c r="R642" i="71"/>
  <c r="R644" i="71"/>
  <c r="N649" i="71"/>
  <c r="R674" i="71"/>
  <c r="E678" i="71"/>
  <c r="G695" i="71"/>
  <c r="G698" i="71" s="1"/>
  <c r="I693" i="71"/>
  <c r="N695" i="71"/>
  <c r="M718" i="71"/>
  <c r="R732" i="71"/>
  <c r="R733" i="71"/>
  <c r="R734" i="71"/>
  <c r="M746" i="71"/>
  <c r="H762" i="71"/>
  <c r="P762" i="71"/>
  <c r="R825" i="71"/>
  <c r="J1042" i="71"/>
  <c r="F663" i="71"/>
  <c r="K663" i="71"/>
  <c r="K762" i="71"/>
  <c r="R771" i="71"/>
  <c r="E775" i="71"/>
  <c r="G791" i="71"/>
  <c r="G795" i="71" s="1"/>
  <c r="Q790" i="71"/>
  <c r="B791" i="71"/>
  <c r="I814" i="71"/>
  <c r="P841" i="71"/>
  <c r="P844" i="71" s="1"/>
  <c r="M840" i="71"/>
  <c r="E865" i="71"/>
  <c r="Q866" i="71"/>
  <c r="F873" i="71"/>
  <c r="I870" i="71"/>
  <c r="D873" i="71"/>
  <c r="D904" i="71" s="1"/>
  <c r="L873" i="71"/>
  <c r="L904" i="71" s="1"/>
  <c r="J886" i="71"/>
  <c r="M879" i="71"/>
  <c r="G956" i="71"/>
  <c r="B663" i="71"/>
  <c r="G663" i="71"/>
  <c r="G762" i="71"/>
  <c r="Q775" i="71"/>
  <c r="R792" i="71"/>
  <c r="R793" i="71"/>
  <c r="R809" i="71"/>
  <c r="R812" i="71"/>
  <c r="R827" i="71"/>
  <c r="I840" i="71"/>
  <c r="B841" i="71"/>
  <c r="L868" i="71"/>
  <c r="B873" i="71"/>
  <c r="E870" i="71"/>
  <c r="F886" i="71"/>
  <c r="I879" i="71"/>
  <c r="K886" i="71"/>
  <c r="K908" i="71" s="1"/>
  <c r="AE949" i="71"/>
  <c r="F936" i="71"/>
  <c r="AD914" i="71"/>
  <c r="AD949" i="71"/>
  <c r="F952" i="71"/>
  <c r="AG949" i="71"/>
  <c r="AD950" i="71"/>
  <c r="F953" i="71"/>
  <c r="AG950" i="71"/>
  <c r="AF950" i="71"/>
  <c r="G960" i="71"/>
  <c r="AG958" i="71"/>
  <c r="F961" i="71"/>
  <c r="AF958" i="71"/>
  <c r="AE958" i="71"/>
  <c r="AD923" i="71"/>
  <c r="AF949" i="71"/>
  <c r="C663" i="71"/>
  <c r="C762" i="71"/>
  <c r="M775" i="71"/>
  <c r="I790" i="71"/>
  <c r="N791" i="71"/>
  <c r="Q814" i="71"/>
  <c r="E840" i="71"/>
  <c r="N868" i="71"/>
  <c r="M865" i="71"/>
  <c r="I866" i="71"/>
  <c r="N873" i="71"/>
  <c r="Q870" i="71"/>
  <c r="I872" i="71"/>
  <c r="Q872" i="71"/>
  <c r="B886" i="71"/>
  <c r="E879" i="71"/>
  <c r="O885" i="71"/>
  <c r="Q883" i="71"/>
  <c r="G952" i="71"/>
  <c r="F957" i="71"/>
  <c r="AF954" i="71"/>
  <c r="AE954" i="71"/>
  <c r="AD954" i="71"/>
  <c r="AD919" i="71"/>
  <c r="AD958" i="71"/>
  <c r="E882" i="71"/>
  <c r="I882" i="71"/>
  <c r="M882" i="71"/>
  <c r="Q882" i="71"/>
  <c r="AE955" i="71"/>
  <c r="G961" i="71"/>
  <c r="AG959" i="71"/>
  <c r="AE951" i="71"/>
  <c r="AD952" i="71"/>
  <c r="AG953" i="71"/>
  <c r="AF955" i="71"/>
  <c r="AG957" i="71"/>
  <c r="AD959" i="71"/>
  <c r="F960" i="71"/>
  <c r="J1035" i="71"/>
  <c r="AD1082" i="71"/>
  <c r="AD1081" i="71"/>
  <c r="AD1074" i="71"/>
  <c r="AD1079" i="71"/>
  <c r="AD1075" i="71"/>
  <c r="AD1071" i="71"/>
  <c r="AD1078" i="71"/>
  <c r="AD1077" i="71"/>
  <c r="AD1076" i="71"/>
  <c r="AD1072" i="71"/>
  <c r="AD1070" i="71"/>
  <c r="AD1080" i="71"/>
  <c r="AD1069" i="71"/>
  <c r="AD1068" i="71"/>
  <c r="AD1067" i="71"/>
  <c r="AD1073" i="71"/>
  <c r="AD956" i="71"/>
  <c r="G962" i="71"/>
  <c r="AG960" i="71"/>
  <c r="AF951" i="71"/>
  <c r="AE952" i="71"/>
  <c r="AD953" i="71"/>
  <c r="AG955" i="71"/>
  <c r="AE956" i="71"/>
  <c r="G957" i="71"/>
  <c r="AE959" i="71"/>
  <c r="AD960" i="71"/>
  <c r="F962" i="71"/>
  <c r="J1040" i="71"/>
  <c r="G955" i="71"/>
  <c r="F956" i="71"/>
  <c r="AD957" i="71"/>
  <c r="G963" i="71"/>
  <c r="AG951" i="71"/>
  <c r="AF952" i="71"/>
  <c r="G953" i="71"/>
  <c r="AE953" i="71"/>
  <c r="F954" i="71"/>
  <c r="F955" i="71"/>
  <c r="AF956" i="71"/>
  <c r="AE957" i="71"/>
  <c r="F958" i="71"/>
  <c r="AF959" i="71"/>
  <c r="AE960" i="71"/>
  <c r="J1038" i="71"/>
  <c r="J1046" i="71"/>
  <c r="J1037" i="71"/>
  <c r="J1043" i="71"/>
  <c r="J1045" i="71"/>
  <c r="J1039" i="71"/>
  <c r="J1021" i="71"/>
  <c r="G1087" i="71"/>
  <c r="C1060" i="71" s="1"/>
  <c r="L1087" i="71"/>
  <c r="AD1066" i="71"/>
  <c r="N1138" i="71"/>
  <c r="M1150" i="71"/>
  <c r="G1150" i="71"/>
  <c r="I1137" i="71"/>
  <c r="I1150" i="71" s="1"/>
  <c r="L1097" i="71"/>
  <c r="Q1150" i="71"/>
  <c r="G1098" i="71"/>
  <c r="C1071" i="71" s="1"/>
  <c r="L1098" i="71"/>
  <c r="N1147" i="71"/>
  <c r="R1138" i="71"/>
  <c r="E1150" i="71"/>
  <c r="L1091" i="71"/>
  <c r="L1092" i="71"/>
  <c r="L1093" i="71"/>
  <c r="L1094" i="71"/>
  <c r="L1095" i="71"/>
  <c r="L1096" i="71"/>
  <c r="L16" i="68"/>
  <c r="K16" i="68"/>
  <c r="J16" i="68"/>
  <c r="H16" i="68"/>
  <c r="M1090" i="71"/>
  <c r="M1094" i="71"/>
  <c r="M1097" i="71"/>
  <c r="M1096" i="71"/>
  <c r="M1091" i="71"/>
  <c r="M1093" i="71"/>
  <c r="M1095" i="71"/>
  <c r="M1088" i="71"/>
  <c r="M1089" i="71"/>
  <c r="M1092" i="71"/>
  <c r="M1098" i="71"/>
  <c r="M1087" i="71"/>
  <c r="Q862" i="71" l="1"/>
  <c r="AD393" i="71"/>
  <c r="AM393" i="71" s="1"/>
  <c r="D797" i="71"/>
  <c r="P925" i="71" s="1"/>
  <c r="I885" i="71"/>
  <c r="R421" i="71"/>
  <c r="C797" i="71"/>
  <c r="P924" i="71" s="1"/>
  <c r="M885" i="71"/>
  <c r="H796" i="71"/>
  <c r="Q748" i="71"/>
  <c r="M540" i="71"/>
  <c r="L798" i="71"/>
  <c r="L796" i="71"/>
  <c r="M695" i="71"/>
  <c r="M748" i="71"/>
  <c r="G846" i="71"/>
  <c r="Q927" i="71" s="1"/>
  <c r="E885" i="71"/>
  <c r="H845" i="71"/>
  <c r="L846" i="71"/>
  <c r="Q931" i="71" s="1"/>
  <c r="I841" i="71"/>
  <c r="F844" i="71"/>
  <c r="I844" i="71" s="1"/>
  <c r="Q924" i="71"/>
  <c r="Q953" i="71" s="1"/>
  <c r="C845" i="71"/>
  <c r="N751" i="71"/>
  <c r="Q751" i="71" s="1"/>
  <c r="Q930" i="71"/>
  <c r="Q959" i="71" s="1"/>
  <c r="K845" i="71"/>
  <c r="E695" i="71"/>
  <c r="R343" i="71"/>
  <c r="S366" i="71" s="1"/>
  <c r="AD1061" i="71"/>
  <c r="AD1062" i="71"/>
  <c r="J1138" i="71"/>
  <c r="AD1083" i="71"/>
  <c r="AD1060" i="71"/>
  <c r="AD1063" i="71"/>
  <c r="AD1064" i="71"/>
  <c r="P798" i="71"/>
  <c r="P796" i="71"/>
  <c r="E748" i="71"/>
  <c r="R16" i="71"/>
  <c r="R536" i="71"/>
  <c r="R819" i="71"/>
  <c r="M308" i="71"/>
  <c r="R746" i="71"/>
  <c r="R761" i="71"/>
  <c r="R558" i="71"/>
  <c r="B751" i="71"/>
  <c r="B752" i="71" s="1"/>
  <c r="J316" i="71"/>
  <c r="M316" i="71" s="1"/>
  <c r="R866" i="71"/>
  <c r="J751" i="71"/>
  <c r="M751" i="71" s="1"/>
  <c r="R46" i="71"/>
  <c r="E649" i="71"/>
  <c r="AM394" i="71"/>
  <c r="E131" i="71"/>
  <c r="R307" i="71"/>
  <c r="R96" i="71"/>
  <c r="R881" i="71"/>
  <c r="R789" i="71"/>
  <c r="R580" i="71"/>
  <c r="R867" i="71"/>
  <c r="R615" i="71"/>
  <c r="R779" i="71"/>
  <c r="R581" i="71"/>
  <c r="R41" i="71"/>
  <c r="R662" i="71"/>
  <c r="R718" i="71"/>
  <c r="N485" i="71"/>
  <c r="N490" i="71" s="1"/>
  <c r="R18" i="71"/>
  <c r="R564" i="71"/>
  <c r="R647" i="71"/>
  <c r="R57" i="71"/>
  <c r="R829" i="71"/>
  <c r="R747" i="71"/>
  <c r="R694" i="71"/>
  <c r="R535" i="71"/>
  <c r="R483" i="71"/>
  <c r="R400" i="71"/>
  <c r="I748" i="71"/>
  <c r="M791" i="71"/>
  <c r="R17" i="71"/>
  <c r="R14" i="71"/>
  <c r="R15" i="71"/>
  <c r="R872" i="71"/>
  <c r="R840" i="71"/>
  <c r="R790" i="71"/>
  <c r="K910" i="71"/>
  <c r="K13" i="71" s="1"/>
  <c r="R678" i="71"/>
  <c r="M537" i="71"/>
  <c r="R686" i="71"/>
  <c r="R484" i="71"/>
  <c r="R107" i="71"/>
  <c r="R879" i="71"/>
  <c r="S82" i="71"/>
  <c r="R630" i="71"/>
  <c r="R736" i="71"/>
  <c r="R569" i="71"/>
  <c r="Q308" i="71"/>
  <c r="R863" i="71"/>
  <c r="R127" i="71"/>
  <c r="R621" i="71"/>
  <c r="R521" i="71"/>
  <c r="R722" i="71"/>
  <c r="R783" i="71"/>
  <c r="E458" i="71"/>
  <c r="R884" i="71"/>
  <c r="K796" i="71"/>
  <c r="R306" i="71"/>
  <c r="R839" i="71"/>
  <c r="I59" i="71"/>
  <c r="R693" i="71"/>
  <c r="O797" i="71"/>
  <c r="P933" i="71" s="1"/>
  <c r="S561" i="71"/>
  <c r="H485" i="71"/>
  <c r="H490" i="71" s="1"/>
  <c r="H491" i="71" s="1"/>
  <c r="R50" i="71"/>
  <c r="R682" i="71"/>
  <c r="R865" i="71"/>
  <c r="R814" i="71"/>
  <c r="R219" i="71"/>
  <c r="O887" i="71"/>
  <c r="O910" i="71"/>
  <c r="O13" i="71" s="1"/>
  <c r="R648" i="71"/>
  <c r="R527" i="71"/>
  <c r="R871" i="71"/>
  <c r="R882" i="71"/>
  <c r="R883" i="71"/>
  <c r="I458" i="71"/>
  <c r="R864" i="71"/>
  <c r="R880" i="71"/>
  <c r="T295" i="71"/>
  <c r="S194" i="71"/>
  <c r="Q885" i="71"/>
  <c r="R126" i="71"/>
  <c r="I131" i="71"/>
  <c r="I128" i="71"/>
  <c r="R89" i="71"/>
  <c r="B1091" i="71"/>
  <c r="Q1091" i="71" s="1"/>
  <c r="B1089" i="71"/>
  <c r="Q1089" i="71" s="1"/>
  <c r="B1097" i="71"/>
  <c r="Q1097" i="71" s="1"/>
  <c r="B1090" i="71"/>
  <c r="Q1090" i="71" s="1"/>
  <c r="B1095" i="71"/>
  <c r="Q1095" i="71" s="1"/>
  <c r="B1087" i="71"/>
  <c r="Q1087" i="71" s="1"/>
  <c r="B1098" i="71"/>
  <c r="Q1098" i="71" s="1"/>
  <c r="B1088" i="71"/>
  <c r="Q1088" i="71" s="1"/>
  <c r="B1093" i="71"/>
  <c r="Q1093" i="71" s="1"/>
  <c r="B1094" i="71"/>
  <c r="Q1094" i="71" s="1"/>
  <c r="B1096" i="71"/>
  <c r="Q1096" i="71" s="1"/>
  <c r="B1092" i="71"/>
  <c r="Q1092" i="71" s="1"/>
  <c r="D491" i="71"/>
  <c r="G491" i="71"/>
  <c r="K491" i="71"/>
  <c r="N887" i="71"/>
  <c r="Q868" i="71"/>
  <c r="N902" i="71"/>
  <c r="AG962" i="71"/>
  <c r="AO914" i="71"/>
  <c r="AD927" i="71"/>
  <c r="L902" i="71"/>
  <c r="L910" i="71" s="1"/>
  <c r="L13" i="71" s="1"/>
  <c r="L887" i="71"/>
  <c r="P988" i="71"/>
  <c r="P960" i="71"/>
  <c r="G699" i="71"/>
  <c r="Q649" i="71"/>
  <c r="N652" i="71"/>
  <c r="F490" i="71"/>
  <c r="N846" i="71"/>
  <c r="Q844" i="71"/>
  <c r="N845" i="71"/>
  <c r="P991" i="71"/>
  <c r="P963" i="71"/>
  <c r="F795" i="71"/>
  <c r="I791" i="71"/>
  <c r="I695" i="71"/>
  <c r="F698" i="71"/>
  <c r="N908" i="71"/>
  <c r="Q908" i="71" s="1"/>
  <c r="Q886" i="71"/>
  <c r="B699" i="71"/>
  <c r="E698" i="71"/>
  <c r="B653" i="71"/>
  <c r="E652" i="71"/>
  <c r="P586" i="71"/>
  <c r="C485" i="71"/>
  <c r="D902" i="71"/>
  <c r="D910" i="71" s="1"/>
  <c r="D13" i="71" s="1"/>
  <c r="D887" i="71"/>
  <c r="Q316" i="71"/>
  <c r="N317" i="71"/>
  <c r="K63" i="71"/>
  <c r="I876" i="71"/>
  <c r="R876" i="71" s="1"/>
  <c r="D132" i="71"/>
  <c r="M59" i="71"/>
  <c r="J62" i="71"/>
  <c r="D63" i="71"/>
  <c r="B908" i="71"/>
  <c r="E908" i="71" s="1"/>
  <c r="E886" i="71"/>
  <c r="N904" i="71"/>
  <c r="Q904" i="71" s="1"/>
  <c r="Q873" i="71"/>
  <c r="AF962" i="71"/>
  <c r="F908" i="71"/>
  <c r="I908" i="71" s="1"/>
  <c r="I886" i="71"/>
  <c r="E841" i="71"/>
  <c r="B844" i="71"/>
  <c r="B795" i="71"/>
  <c r="E791" i="71"/>
  <c r="G797" i="71"/>
  <c r="G796" i="71"/>
  <c r="Q928" i="71"/>
  <c r="H847" i="71"/>
  <c r="D586" i="71"/>
  <c r="R516" i="71"/>
  <c r="C887" i="71"/>
  <c r="P887" i="71"/>
  <c r="Q841" i="71"/>
  <c r="F752" i="71"/>
  <c r="I751" i="71"/>
  <c r="J699" i="71"/>
  <c r="M698" i="71"/>
  <c r="M649" i="71"/>
  <c r="J652" i="71"/>
  <c r="H586" i="71"/>
  <c r="G541" i="71"/>
  <c r="F906" i="71"/>
  <c r="I862" i="71"/>
  <c r="F868" i="71"/>
  <c r="B906" i="71"/>
  <c r="E906" i="71" s="1"/>
  <c r="E877" i="71"/>
  <c r="J904" i="71"/>
  <c r="M904" i="71" s="1"/>
  <c r="M873" i="71"/>
  <c r="J796" i="71"/>
  <c r="M795" i="71"/>
  <c r="J797" i="71"/>
  <c r="I649" i="71"/>
  <c r="F652" i="71"/>
  <c r="P653" i="71"/>
  <c r="K541" i="71"/>
  <c r="D846" i="71"/>
  <c r="D845" i="71"/>
  <c r="B586" i="71"/>
  <c r="E585" i="71"/>
  <c r="C132" i="71"/>
  <c r="J906" i="71"/>
  <c r="M906" i="71" s="1"/>
  <c r="M877" i="71"/>
  <c r="N63" i="71"/>
  <c r="Q62" i="71"/>
  <c r="H877" i="71"/>
  <c r="B887" i="71"/>
  <c r="E868" i="71"/>
  <c r="B902" i="71"/>
  <c r="K132" i="71"/>
  <c r="C63" i="71"/>
  <c r="O132" i="71"/>
  <c r="E59" i="71"/>
  <c r="B62" i="71"/>
  <c r="P63" i="71"/>
  <c r="N795" i="71"/>
  <c r="Q791" i="71"/>
  <c r="AD962" i="71"/>
  <c r="AE962" i="71"/>
  <c r="R870" i="71"/>
  <c r="J908" i="71"/>
  <c r="M908" i="71" s="1"/>
  <c r="M886" i="71"/>
  <c r="F904" i="71"/>
  <c r="I904" i="71" s="1"/>
  <c r="I873" i="71"/>
  <c r="R775" i="71"/>
  <c r="Q695" i="71"/>
  <c r="N698" i="71"/>
  <c r="N540" i="71"/>
  <c r="Q537" i="71"/>
  <c r="C541" i="71"/>
  <c r="B491" i="71"/>
  <c r="C910" i="71"/>
  <c r="C13" i="71" s="1"/>
  <c r="P910" i="71"/>
  <c r="P13" i="71" s="1"/>
  <c r="J887" i="71"/>
  <c r="J902" i="71"/>
  <c r="M868" i="71"/>
  <c r="M582" i="71"/>
  <c r="J585" i="71"/>
  <c r="B540" i="71"/>
  <c r="E537" i="71"/>
  <c r="I875" i="71"/>
  <c r="E875" i="71"/>
  <c r="O699" i="71"/>
  <c r="H653" i="71"/>
  <c r="I582" i="71"/>
  <c r="F585" i="71"/>
  <c r="L586" i="71"/>
  <c r="F540" i="71"/>
  <c r="I537" i="71"/>
  <c r="H317" i="71"/>
  <c r="O845" i="71"/>
  <c r="O846" i="71"/>
  <c r="E582" i="71"/>
  <c r="AD392" i="71"/>
  <c r="AM392" i="71" s="1"/>
  <c r="O491" i="71"/>
  <c r="N131" i="71"/>
  <c r="Q128" i="71"/>
  <c r="O63" i="71"/>
  <c r="M875" i="71"/>
  <c r="E128" i="71"/>
  <c r="Q59" i="71"/>
  <c r="L491" i="71"/>
  <c r="E862" i="71"/>
  <c r="R58" i="71"/>
  <c r="G317" i="71"/>
  <c r="M128" i="71"/>
  <c r="M131" i="71"/>
  <c r="L63" i="71"/>
  <c r="AO919" i="71"/>
  <c r="AO923" i="71"/>
  <c r="B904" i="71"/>
  <c r="E904" i="71" s="1"/>
  <c r="E873" i="71"/>
  <c r="P928" i="71"/>
  <c r="H798" i="71"/>
  <c r="H763" i="71"/>
  <c r="P845" i="71"/>
  <c r="P846" i="71"/>
  <c r="Q582" i="71"/>
  <c r="N585" i="71"/>
  <c r="O586" i="71"/>
  <c r="J490" i="71"/>
  <c r="M485" i="71"/>
  <c r="E287" i="71"/>
  <c r="R287" i="71" s="1"/>
  <c r="B308" i="71"/>
  <c r="G902" i="71"/>
  <c r="G910" i="71" s="1"/>
  <c r="G13" i="71" s="1"/>
  <c r="G887" i="71"/>
  <c r="K887" i="71"/>
  <c r="P930" i="71"/>
  <c r="K798" i="71"/>
  <c r="K763" i="71"/>
  <c r="N906" i="71"/>
  <c r="Q906" i="71" s="1"/>
  <c r="Q877" i="71"/>
  <c r="G586" i="71"/>
  <c r="M458" i="71"/>
  <c r="M841" i="71"/>
  <c r="J844" i="71"/>
  <c r="O541" i="71"/>
  <c r="D308" i="71"/>
  <c r="D316" i="71" s="1"/>
  <c r="H132" i="71"/>
  <c r="G63" i="71"/>
  <c r="R404" i="71"/>
  <c r="I386" i="71"/>
  <c r="R386" i="71" s="1"/>
  <c r="I212" i="71"/>
  <c r="R212" i="71" s="1"/>
  <c r="F308" i="71"/>
  <c r="G132" i="71"/>
  <c r="F63" i="71"/>
  <c r="I62" i="71"/>
  <c r="P132" i="71"/>
  <c r="H63" i="71"/>
  <c r="R27" i="71"/>
  <c r="Q597" i="68"/>
  <c r="M597" i="68"/>
  <c r="I597" i="68"/>
  <c r="E597" i="68"/>
  <c r="D798" i="71" l="1"/>
  <c r="C763" i="71"/>
  <c r="C764" i="71" s="1"/>
  <c r="C798" i="71"/>
  <c r="R885" i="71"/>
  <c r="G847" i="71"/>
  <c r="L847" i="71"/>
  <c r="F846" i="71"/>
  <c r="F847" i="71" s="1"/>
  <c r="F845" i="71"/>
  <c r="L763" i="71"/>
  <c r="O931" i="71" s="1"/>
  <c r="Q981" i="71"/>
  <c r="AR1016" i="71" s="1"/>
  <c r="N752" i="71"/>
  <c r="Q987" i="71"/>
  <c r="AR1022" i="71" s="1"/>
  <c r="I485" i="71"/>
  <c r="AD1084" i="71"/>
  <c r="R748" i="71"/>
  <c r="E751" i="71"/>
  <c r="R751" i="71" s="1"/>
  <c r="Q485" i="71"/>
  <c r="J317" i="71"/>
  <c r="J752" i="71"/>
  <c r="R458" i="71"/>
  <c r="O798" i="71"/>
  <c r="R59" i="71"/>
  <c r="R695" i="71"/>
  <c r="R649" i="71"/>
  <c r="R862" i="71"/>
  <c r="R537" i="71"/>
  <c r="R908" i="71"/>
  <c r="E887" i="71"/>
  <c r="R128" i="71"/>
  <c r="Q988" i="71"/>
  <c r="Q960" i="71"/>
  <c r="P927" i="71"/>
  <c r="G798" i="71"/>
  <c r="G763" i="71"/>
  <c r="R841" i="71"/>
  <c r="C490" i="71"/>
  <c r="E485" i="71"/>
  <c r="Q902" i="71"/>
  <c r="Q910" i="71" s="1"/>
  <c r="N910" i="71"/>
  <c r="N13" i="71" s="1"/>
  <c r="Q13" i="71" s="1"/>
  <c r="J846" i="71"/>
  <c r="J763" i="71" s="1"/>
  <c r="J845" i="71"/>
  <c r="M844" i="71"/>
  <c r="P990" i="71"/>
  <c r="P962" i="71"/>
  <c r="B316" i="71"/>
  <c r="E308" i="71"/>
  <c r="P985" i="71"/>
  <c r="P957" i="71"/>
  <c r="R582" i="71"/>
  <c r="F586" i="71"/>
  <c r="I585" i="71"/>
  <c r="Q984" i="71"/>
  <c r="Q956" i="71"/>
  <c r="P954" i="71"/>
  <c r="P982" i="71"/>
  <c r="F887" i="71"/>
  <c r="F902" i="71"/>
  <c r="I868" i="71"/>
  <c r="R868" i="71" s="1"/>
  <c r="T868" i="71" s="1"/>
  <c r="R791" i="71"/>
  <c r="I795" i="71"/>
  <c r="F797" i="71"/>
  <c r="F796" i="71"/>
  <c r="F491" i="71"/>
  <c r="I490" i="71"/>
  <c r="R1068" i="71"/>
  <c r="AQ1023" i="71"/>
  <c r="AQ988" i="71"/>
  <c r="P987" i="71"/>
  <c r="P959" i="71"/>
  <c r="P847" i="71"/>
  <c r="Q934" i="71"/>
  <c r="P763" i="71"/>
  <c r="Q131" i="71"/>
  <c r="R131" i="71" s="1"/>
  <c r="N132" i="71"/>
  <c r="O847" i="71"/>
  <c r="Q933" i="71"/>
  <c r="O763" i="71"/>
  <c r="Q1099" i="71"/>
  <c r="D847" i="71"/>
  <c r="Q925" i="71"/>
  <c r="J653" i="71"/>
  <c r="M652" i="71"/>
  <c r="F316" i="71"/>
  <c r="I308" i="71"/>
  <c r="D317" i="71"/>
  <c r="R873" i="71"/>
  <c r="F541" i="71"/>
  <c r="I540" i="71"/>
  <c r="E540" i="71"/>
  <c r="B541" i="71"/>
  <c r="M902" i="71"/>
  <c r="M910" i="71" s="1"/>
  <c r="J910" i="71"/>
  <c r="J13" i="71" s="1"/>
  <c r="M13" i="71" s="1"/>
  <c r="Q490" i="71"/>
  <c r="N491" i="71"/>
  <c r="Q540" i="71"/>
  <c r="N541" i="71"/>
  <c r="H906" i="71"/>
  <c r="H910" i="71" s="1"/>
  <c r="H13" i="71" s="1"/>
  <c r="H887" i="71"/>
  <c r="P929" i="71"/>
  <c r="M797" i="71"/>
  <c r="J798" i="71"/>
  <c r="Q985" i="71"/>
  <c r="Q957" i="71"/>
  <c r="E795" i="71"/>
  <c r="B796" i="71"/>
  <c r="B797" i="71"/>
  <c r="Q932" i="71"/>
  <c r="Q846" i="71"/>
  <c r="N847" i="71"/>
  <c r="Q652" i="71"/>
  <c r="N653" i="71"/>
  <c r="Q887" i="71"/>
  <c r="J491" i="71"/>
  <c r="M490" i="71"/>
  <c r="P981" i="71"/>
  <c r="P953" i="71"/>
  <c r="O930" i="71"/>
  <c r="K764" i="71"/>
  <c r="K753" i="71"/>
  <c r="Q585" i="71"/>
  <c r="N586" i="71"/>
  <c r="O928" i="71"/>
  <c r="H764" i="71"/>
  <c r="H753" i="71"/>
  <c r="R904" i="71"/>
  <c r="R875" i="71"/>
  <c r="J586" i="71"/>
  <c r="M585" i="71"/>
  <c r="M887" i="71"/>
  <c r="Q698" i="71"/>
  <c r="N699" i="71"/>
  <c r="D763" i="71"/>
  <c r="Q795" i="71"/>
  <c r="N796" i="71"/>
  <c r="N797" i="71"/>
  <c r="B63" i="71"/>
  <c r="E62" i="71"/>
  <c r="E902" i="71"/>
  <c r="B910" i="71"/>
  <c r="B13" i="71" s="1"/>
  <c r="E13" i="71" s="1"/>
  <c r="F653" i="71"/>
  <c r="I652" i="71"/>
  <c r="I877" i="71"/>
  <c r="R877" i="71" s="1"/>
  <c r="B846" i="71"/>
  <c r="B845" i="71"/>
  <c r="E844" i="71"/>
  <c r="R886" i="71"/>
  <c r="M62" i="71"/>
  <c r="J63" i="71"/>
  <c r="F699" i="71"/>
  <c r="I698" i="71"/>
  <c r="R1071" i="71"/>
  <c r="AQ1026" i="71"/>
  <c r="AQ991" i="71"/>
  <c r="R597" i="68"/>
  <c r="Q146" i="68"/>
  <c r="M146" i="68"/>
  <c r="I146" i="68"/>
  <c r="E146" i="68"/>
  <c r="C753" i="71" l="1"/>
  <c r="C754" i="71" s="1"/>
  <c r="O924" i="71"/>
  <c r="O953" i="71" s="1"/>
  <c r="R698" i="71"/>
  <c r="I846" i="71"/>
  <c r="Q926" i="71"/>
  <c r="Q983" i="71" s="1"/>
  <c r="L764" i="71"/>
  <c r="S1061" i="71"/>
  <c r="AR1081" i="71" s="1"/>
  <c r="L753" i="71"/>
  <c r="L754" i="71" s="1"/>
  <c r="AR981" i="71"/>
  <c r="S1067" i="71"/>
  <c r="AR987" i="71"/>
  <c r="T878" i="71"/>
  <c r="R485" i="71"/>
  <c r="R795" i="71"/>
  <c r="R844" i="71"/>
  <c r="R652" i="71"/>
  <c r="R585" i="71"/>
  <c r="R62" i="71"/>
  <c r="Q961" i="71"/>
  <c r="Q989" i="71"/>
  <c r="R540" i="71"/>
  <c r="O934" i="71"/>
  <c r="P764" i="71"/>
  <c r="P753" i="71"/>
  <c r="N928" i="71"/>
  <c r="H754" i="71"/>
  <c r="H700" i="71"/>
  <c r="O987" i="71"/>
  <c r="O959" i="71"/>
  <c r="F317" i="71"/>
  <c r="I316" i="71"/>
  <c r="Q982" i="71"/>
  <c r="Q954" i="71"/>
  <c r="O933" i="71"/>
  <c r="O764" i="71"/>
  <c r="O753" i="71"/>
  <c r="Q963" i="71"/>
  <c r="Q991" i="71"/>
  <c r="S1064" i="71"/>
  <c r="AR1019" i="71"/>
  <c r="AR984" i="71"/>
  <c r="R308" i="71"/>
  <c r="I906" i="71"/>
  <c r="R906" i="71" s="1"/>
  <c r="S1065" i="71"/>
  <c r="AR1020" i="71"/>
  <c r="AR985" i="71"/>
  <c r="R1062" i="71"/>
  <c r="AQ1017" i="71"/>
  <c r="AQ982" i="71"/>
  <c r="R1070" i="71"/>
  <c r="AQ1025" i="71"/>
  <c r="AQ990" i="71"/>
  <c r="J847" i="71"/>
  <c r="M846" i="71"/>
  <c r="Q929" i="71"/>
  <c r="G764" i="71"/>
  <c r="O927" i="71"/>
  <c r="G753" i="71"/>
  <c r="O925" i="71"/>
  <c r="D764" i="71"/>
  <c r="D753" i="71"/>
  <c r="P923" i="71"/>
  <c r="B798" i="71"/>
  <c r="E797" i="71"/>
  <c r="B763" i="71"/>
  <c r="O929" i="71"/>
  <c r="M763" i="71"/>
  <c r="J764" i="71"/>
  <c r="J753" i="71"/>
  <c r="O988" i="71"/>
  <c r="O960" i="71"/>
  <c r="Q990" i="71"/>
  <c r="Q962" i="71"/>
  <c r="F798" i="71"/>
  <c r="P926" i="71"/>
  <c r="F763" i="71"/>
  <c r="I797" i="71"/>
  <c r="E316" i="71"/>
  <c r="B317" i="71"/>
  <c r="Q923" i="71"/>
  <c r="E846" i="71"/>
  <c r="B847" i="71"/>
  <c r="E910" i="71"/>
  <c r="P932" i="71"/>
  <c r="N798" i="71"/>
  <c r="N763" i="71"/>
  <c r="Q797" i="71"/>
  <c r="O985" i="71"/>
  <c r="O957" i="71"/>
  <c r="N930" i="71"/>
  <c r="K754" i="71"/>
  <c r="K700" i="71"/>
  <c r="R1061" i="71"/>
  <c r="AQ981" i="71"/>
  <c r="AQ1016" i="71"/>
  <c r="I902" i="71"/>
  <c r="R902" i="71" s="1"/>
  <c r="F910" i="71"/>
  <c r="F13" i="71" s="1"/>
  <c r="I13" i="71" s="1"/>
  <c r="R13" i="71" s="1"/>
  <c r="S1068" i="71"/>
  <c r="AR988" i="71"/>
  <c r="AR1023" i="71"/>
  <c r="P986" i="71"/>
  <c r="P958" i="71"/>
  <c r="R1067" i="71"/>
  <c r="AQ987" i="71"/>
  <c r="AQ1022" i="71"/>
  <c r="I887" i="71"/>
  <c r="R887" i="71" s="1"/>
  <c r="R1065" i="71"/>
  <c r="AQ1020" i="71"/>
  <c r="AQ985" i="71"/>
  <c r="C491" i="71"/>
  <c r="E490" i="71"/>
  <c r="R490" i="71" s="1"/>
  <c r="P984" i="71"/>
  <c r="P956" i="71"/>
  <c r="R146" i="68"/>
  <c r="H188" i="68"/>
  <c r="G188" i="68"/>
  <c r="F188" i="68"/>
  <c r="Q230" i="68"/>
  <c r="M230" i="68"/>
  <c r="I230" i="68"/>
  <c r="E230" i="68"/>
  <c r="O981" i="71" l="1"/>
  <c r="AP1016" i="71" s="1"/>
  <c r="C700" i="71"/>
  <c r="M924" i="71" s="1"/>
  <c r="M981" i="71" s="1"/>
  <c r="N924" i="71"/>
  <c r="N981" i="71" s="1"/>
  <c r="AO981" i="71" s="1"/>
  <c r="AR1083" i="71"/>
  <c r="L700" i="71"/>
  <c r="M931" i="71" s="1"/>
  <c r="Q955" i="71"/>
  <c r="AR1071" i="71"/>
  <c r="AR1070" i="71"/>
  <c r="AR1062" i="71"/>
  <c r="AR1067" i="71"/>
  <c r="AR1078" i="71"/>
  <c r="AR1075" i="71"/>
  <c r="AR1068" i="71"/>
  <c r="AR1079" i="71"/>
  <c r="AR1066" i="71"/>
  <c r="AR1064" i="71"/>
  <c r="AR1082" i="71"/>
  <c r="AR1060" i="71"/>
  <c r="AR1077" i="71"/>
  <c r="AR1069" i="71"/>
  <c r="AR1073" i="71"/>
  <c r="AR1072" i="71"/>
  <c r="AR1080" i="71"/>
  <c r="AR1061" i="71"/>
  <c r="AR1065" i="71"/>
  <c r="AR1074" i="71"/>
  <c r="AR1063" i="71"/>
  <c r="AR1076" i="71"/>
  <c r="N931" i="71"/>
  <c r="N960" i="71" s="1"/>
  <c r="R910" i="71"/>
  <c r="I910" i="71"/>
  <c r="S13" i="71"/>
  <c r="T13" i="71" s="1"/>
  <c r="N925" i="71"/>
  <c r="D754" i="71"/>
  <c r="D700" i="71"/>
  <c r="O991" i="71"/>
  <c r="O963" i="71"/>
  <c r="N987" i="71"/>
  <c r="N959" i="71"/>
  <c r="O932" i="71"/>
  <c r="N764" i="71"/>
  <c r="Q763" i="71"/>
  <c r="N753" i="71"/>
  <c r="O926" i="71"/>
  <c r="F764" i="71"/>
  <c r="I763" i="71"/>
  <c r="F753" i="71"/>
  <c r="S1070" i="71"/>
  <c r="AR1025" i="71"/>
  <c r="AR990" i="71"/>
  <c r="R797" i="71"/>
  <c r="O956" i="71"/>
  <c r="O984" i="71"/>
  <c r="N933" i="71"/>
  <c r="O754" i="71"/>
  <c r="O700" i="71"/>
  <c r="N957" i="71"/>
  <c r="N985" i="71"/>
  <c r="S1069" i="71"/>
  <c r="AR1024" i="71"/>
  <c r="AR989" i="71"/>
  <c r="O923" i="71"/>
  <c r="B764" i="71"/>
  <c r="E763" i="71"/>
  <c r="B753" i="71"/>
  <c r="R1066" i="71"/>
  <c r="AQ986" i="71"/>
  <c r="AQ1021" i="71"/>
  <c r="AQ1083" i="71"/>
  <c r="AQ1082" i="71"/>
  <c r="AQ1081" i="71"/>
  <c r="AQ1080" i="71"/>
  <c r="AQ1076" i="71"/>
  <c r="AQ1075" i="71"/>
  <c r="AQ1074" i="71"/>
  <c r="AQ1073" i="71"/>
  <c r="AQ1072" i="71"/>
  <c r="AQ1071" i="71"/>
  <c r="AQ1070" i="71"/>
  <c r="AQ1069" i="71"/>
  <c r="AQ1078" i="71"/>
  <c r="AQ1077" i="71"/>
  <c r="AQ1065" i="71"/>
  <c r="AQ1064" i="71"/>
  <c r="AQ1063" i="71"/>
  <c r="AQ1079" i="71"/>
  <c r="AQ1068" i="71"/>
  <c r="AQ1067" i="71"/>
  <c r="AQ1066" i="71"/>
  <c r="AQ1062" i="71"/>
  <c r="AQ1060" i="71"/>
  <c r="AQ1061" i="71"/>
  <c r="P983" i="71"/>
  <c r="P955" i="71"/>
  <c r="O982" i="71"/>
  <c r="O954" i="71"/>
  <c r="S1062" i="71"/>
  <c r="AR1017" i="71"/>
  <c r="AR982" i="71"/>
  <c r="Q1067" i="71"/>
  <c r="AP1022" i="71"/>
  <c r="AP987" i="71"/>
  <c r="N934" i="71"/>
  <c r="P754" i="71"/>
  <c r="P700" i="71"/>
  <c r="Q980" i="71"/>
  <c r="Q936" i="71"/>
  <c r="Q952" i="71"/>
  <c r="N929" i="71"/>
  <c r="J754" i="71"/>
  <c r="M753" i="71"/>
  <c r="J700" i="71"/>
  <c r="N927" i="71"/>
  <c r="G754" i="71"/>
  <c r="G700" i="71"/>
  <c r="R1064" i="71"/>
  <c r="AQ1019" i="71"/>
  <c r="AQ984" i="71"/>
  <c r="S1063" i="71"/>
  <c r="AR1018" i="71"/>
  <c r="AR983" i="71"/>
  <c r="M930" i="71"/>
  <c r="K701" i="71"/>
  <c r="K664" i="71"/>
  <c r="Q1065" i="71"/>
  <c r="AP1020" i="71"/>
  <c r="AP985" i="71"/>
  <c r="P989" i="71"/>
  <c r="P961" i="71"/>
  <c r="R846" i="71"/>
  <c r="R316" i="71"/>
  <c r="Q1068" i="71"/>
  <c r="AP1023" i="71"/>
  <c r="AP988" i="71"/>
  <c r="O986" i="71"/>
  <c r="O958" i="71"/>
  <c r="P980" i="71"/>
  <c r="P952" i="71"/>
  <c r="P936" i="71"/>
  <c r="Q958" i="71"/>
  <c r="Q986" i="71"/>
  <c r="S1071" i="71"/>
  <c r="AR1026" i="71"/>
  <c r="AR991" i="71"/>
  <c r="O990" i="71"/>
  <c r="O962" i="71"/>
  <c r="M928" i="71"/>
  <c r="H701" i="71"/>
  <c r="H664" i="71"/>
  <c r="R230" i="68"/>
  <c r="Q1061" i="71" l="1"/>
  <c r="AP1083" i="71" s="1"/>
  <c r="AP981" i="71"/>
  <c r="AO1016" i="71"/>
  <c r="P1061" i="71"/>
  <c r="AO1065" i="71" s="1"/>
  <c r="N953" i="71"/>
  <c r="M953" i="71"/>
  <c r="C664" i="71"/>
  <c r="L924" i="71" s="1"/>
  <c r="L981" i="71" s="1"/>
  <c r="C701" i="71"/>
  <c r="L701" i="71"/>
  <c r="L664" i="71"/>
  <c r="L665" i="71" s="1"/>
  <c r="R763" i="71"/>
  <c r="AR1084" i="71"/>
  <c r="N988" i="71"/>
  <c r="AO988" i="71" s="1"/>
  <c r="M957" i="71"/>
  <c r="M985" i="71"/>
  <c r="L928" i="71"/>
  <c r="H665" i="71"/>
  <c r="H654" i="71"/>
  <c r="Q1070" i="71"/>
  <c r="AP1025" i="71"/>
  <c r="AP990" i="71"/>
  <c r="S1066" i="71"/>
  <c r="AR986" i="71"/>
  <c r="AR1021" i="71"/>
  <c r="R1060" i="71"/>
  <c r="AQ1015" i="71"/>
  <c r="P993" i="71"/>
  <c r="AQ980" i="71"/>
  <c r="J701" i="71"/>
  <c r="M700" i="71"/>
  <c r="M929" i="71"/>
  <c r="J664" i="71"/>
  <c r="Q1062" i="71"/>
  <c r="AP1017" i="71"/>
  <c r="AP982" i="71"/>
  <c r="AQ1084" i="71"/>
  <c r="Q1064" i="71"/>
  <c r="AP1019" i="71"/>
  <c r="AP984" i="71"/>
  <c r="M925" i="71"/>
  <c r="D701" i="71"/>
  <c r="D664" i="71"/>
  <c r="R1069" i="71"/>
  <c r="AQ1024" i="71"/>
  <c r="AQ989" i="71"/>
  <c r="L930" i="71"/>
  <c r="K665" i="71"/>
  <c r="K654" i="71"/>
  <c r="M927" i="71"/>
  <c r="G701" i="71"/>
  <c r="G664" i="71"/>
  <c r="N991" i="71"/>
  <c r="N963" i="71"/>
  <c r="O952" i="71"/>
  <c r="O980" i="71"/>
  <c r="O936" i="71"/>
  <c r="P1065" i="71"/>
  <c r="AO1020" i="71"/>
  <c r="AO985" i="71"/>
  <c r="N990" i="71"/>
  <c r="N962" i="71"/>
  <c r="O955" i="71"/>
  <c r="O983" i="71"/>
  <c r="O989" i="71"/>
  <c r="O961" i="71"/>
  <c r="Q1071" i="71"/>
  <c r="AP1026" i="71"/>
  <c r="AP991" i="71"/>
  <c r="Q1066" i="71"/>
  <c r="AP1021" i="71"/>
  <c r="AP986" i="71"/>
  <c r="S1060" i="71"/>
  <c r="AR1015" i="71"/>
  <c r="Q993" i="71"/>
  <c r="AR980" i="71"/>
  <c r="R1063" i="71"/>
  <c r="AQ983" i="71"/>
  <c r="AQ1018" i="71"/>
  <c r="E753" i="71"/>
  <c r="N923" i="71"/>
  <c r="B754" i="71"/>
  <c r="B700" i="71"/>
  <c r="N926" i="71"/>
  <c r="F754" i="71"/>
  <c r="I753" i="71"/>
  <c r="F700" i="71"/>
  <c r="Q753" i="71"/>
  <c r="N932" i="71"/>
  <c r="N754" i="71"/>
  <c r="N700" i="71"/>
  <c r="N982" i="71"/>
  <c r="N954" i="71"/>
  <c r="M959" i="71"/>
  <c r="M987" i="71"/>
  <c r="N984" i="71"/>
  <c r="N956" i="71"/>
  <c r="N986" i="71"/>
  <c r="N958" i="71"/>
  <c r="M934" i="71"/>
  <c r="P701" i="71"/>
  <c r="P664" i="71"/>
  <c r="M988" i="71"/>
  <c r="M960" i="71"/>
  <c r="M933" i="71"/>
  <c r="O701" i="71"/>
  <c r="O664" i="71"/>
  <c r="O1061" i="71"/>
  <c r="AN1016" i="71"/>
  <c r="AN981" i="71"/>
  <c r="P1067" i="71"/>
  <c r="AO1022" i="71"/>
  <c r="AO987" i="71"/>
  <c r="H400" i="68"/>
  <c r="G400" i="68"/>
  <c r="F400" i="68"/>
  <c r="AP1079" i="71" l="1"/>
  <c r="AP1064" i="71"/>
  <c r="AP1073" i="71"/>
  <c r="AP1082" i="71"/>
  <c r="AP1081" i="71"/>
  <c r="AP1061" i="71"/>
  <c r="AP1080" i="71"/>
  <c r="AP1077" i="71"/>
  <c r="AP1066" i="71"/>
  <c r="AP1078" i="71"/>
  <c r="AP1072" i="71"/>
  <c r="AP1062" i="71"/>
  <c r="AP1068" i="71"/>
  <c r="AP1070" i="71"/>
  <c r="AP1075" i="71"/>
  <c r="AP1069" i="71"/>
  <c r="AP1067" i="71"/>
  <c r="AP1071" i="71"/>
  <c r="AP1063" i="71"/>
  <c r="AP1060" i="71"/>
  <c r="AP1076" i="71"/>
  <c r="AP1074" i="71"/>
  <c r="AP1065" i="71"/>
  <c r="AO1063" i="71"/>
  <c r="AO1080" i="71"/>
  <c r="AO1071" i="71"/>
  <c r="AO1073" i="71"/>
  <c r="AO1067" i="71"/>
  <c r="AO1082" i="71"/>
  <c r="AO1070" i="71"/>
  <c r="AO1068" i="71"/>
  <c r="AO1083" i="71"/>
  <c r="AO1075" i="71"/>
  <c r="AO1064" i="71"/>
  <c r="AO1072" i="71"/>
  <c r="AO1069" i="71"/>
  <c r="AO1060" i="71"/>
  <c r="AO1076" i="71"/>
  <c r="AO1074" i="71"/>
  <c r="AO1081" i="71"/>
  <c r="AO1061" i="71"/>
  <c r="AO1078" i="71"/>
  <c r="AO1077" i="71"/>
  <c r="AO1062" i="71"/>
  <c r="AO1066" i="71"/>
  <c r="AO1079" i="71"/>
  <c r="L953" i="71"/>
  <c r="C665" i="71"/>
  <c r="C654" i="71"/>
  <c r="C655" i="71" s="1"/>
  <c r="L654" i="71"/>
  <c r="L587" i="71" s="1"/>
  <c r="L931" i="71"/>
  <c r="L960" i="71" s="1"/>
  <c r="AO1023" i="71"/>
  <c r="AR1028" i="71"/>
  <c r="P1068" i="71"/>
  <c r="P665" i="71"/>
  <c r="L934" i="71"/>
  <c r="P654" i="71"/>
  <c r="M926" i="71"/>
  <c r="F701" i="71"/>
  <c r="I700" i="71"/>
  <c r="F664" i="71"/>
  <c r="P1070" i="71"/>
  <c r="AO1025" i="71"/>
  <c r="AO990" i="71"/>
  <c r="L927" i="71"/>
  <c r="G665" i="71"/>
  <c r="G654" i="71"/>
  <c r="M990" i="71"/>
  <c r="M962" i="71"/>
  <c r="Q1063" i="71"/>
  <c r="AP1018" i="71"/>
  <c r="AP983" i="71"/>
  <c r="Q1060" i="71"/>
  <c r="AP1015" i="71"/>
  <c r="O993" i="71"/>
  <c r="AP980" i="71"/>
  <c r="L987" i="71"/>
  <c r="L959" i="71"/>
  <c r="L925" i="71"/>
  <c r="D665" i="71"/>
  <c r="D654" i="71"/>
  <c r="AQ1028" i="71"/>
  <c r="AN1083" i="71"/>
  <c r="AN1082" i="71"/>
  <c r="AN1081" i="71"/>
  <c r="AN1079" i="71"/>
  <c r="AN1078" i="71"/>
  <c r="AN1073" i="71"/>
  <c r="AN1064" i="71"/>
  <c r="AN1063" i="71"/>
  <c r="AN1074" i="71"/>
  <c r="AN1069" i="71"/>
  <c r="AN1068" i="71"/>
  <c r="AN1067" i="71"/>
  <c r="AN1080" i="71"/>
  <c r="AN1077" i="71"/>
  <c r="AN1075" i="71"/>
  <c r="AN1071" i="71"/>
  <c r="AN1072" i="71"/>
  <c r="AN1070" i="71"/>
  <c r="AN1076" i="71"/>
  <c r="AN1066" i="71"/>
  <c r="AN1065" i="71"/>
  <c r="AN1062" i="71"/>
  <c r="AN1061" i="71"/>
  <c r="AN1060" i="71"/>
  <c r="P1062" i="71"/>
  <c r="AO1017" i="71"/>
  <c r="AO982" i="71"/>
  <c r="L985" i="71"/>
  <c r="L957" i="71"/>
  <c r="M963" i="71"/>
  <c r="M991" i="71"/>
  <c r="P1064" i="71"/>
  <c r="AO984" i="71"/>
  <c r="AO1019" i="71"/>
  <c r="N961" i="71"/>
  <c r="N989" i="71"/>
  <c r="N980" i="71"/>
  <c r="N936" i="71"/>
  <c r="N952" i="71"/>
  <c r="M984" i="71"/>
  <c r="M956" i="71"/>
  <c r="L933" i="71"/>
  <c r="O665" i="71"/>
  <c r="O654" i="71"/>
  <c r="O1068" i="71"/>
  <c r="AN988" i="71"/>
  <c r="AN1023" i="71"/>
  <c r="O1067" i="71"/>
  <c r="AN1022" i="71"/>
  <c r="AN987" i="71"/>
  <c r="N983" i="71"/>
  <c r="N955" i="71"/>
  <c r="R753" i="71"/>
  <c r="AR993" i="71"/>
  <c r="N1061" i="71"/>
  <c r="AM981" i="71"/>
  <c r="AM1016" i="71"/>
  <c r="AW945" i="71"/>
  <c r="P1071" i="71"/>
  <c r="AO1026" i="71"/>
  <c r="AO991" i="71"/>
  <c r="K930" i="71"/>
  <c r="K655" i="71"/>
  <c r="K587" i="71"/>
  <c r="M982" i="71"/>
  <c r="M954" i="71"/>
  <c r="L929" i="71"/>
  <c r="J665" i="71"/>
  <c r="M664" i="71"/>
  <c r="J654" i="71"/>
  <c r="AQ993" i="71"/>
  <c r="O1065" i="71"/>
  <c r="AN1020" i="71"/>
  <c r="AN985" i="71"/>
  <c r="P1066" i="71"/>
  <c r="AO1021" i="71"/>
  <c r="AO986" i="71"/>
  <c r="M932" i="71"/>
  <c r="Q700" i="71"/>
  <c r="N701" i="71"/>
  <c r="N664" i="71"/>
  <c r="M923" i="71"/>
  <c r="E700" i="71"/>
  <c r="B701" i="71"/>
  <c r="B664" i="71"/>
  <c r="Q1069" i="71"/>
  <c r="AP1024" i="71"/>
  <c r="AP989" i="71"/>
  <c r="M958" i="71"/>
  <c r="M986" i="71"/>
  <c r="K928" i="71"/>
  <c r="H655" i="71"/>
  <c r="H587" i="71"/>
  <c r="H426" i="68"/>
  <c r="G426" i="68"/>
  <c r="H425" i="68"/>
  <c r="AP1084" i="71" l="1"/>
  <c r="AO1084" i="71"/>
  <c r="K924" i="71"/>
  <c r="K953" i="71" s="1"/>
  <c r="C587" i="71"/>
  <c r="J924" i="71" s="1"/>
  <c r="J981" i="71" s="1"/>
  <c r="L988" i="71"/>
  <c r="AW952" i="71" s="1"/>
  <c r="L655" i="71"/>
  <c r="K931" i="71"/>
  <c r="K988" i="71" s="1"/>
  <c r="R700" i="71"/>
  <c r="AN1084" i="71"/>
  <c r="O1066" i="71"/>
  <c r="AN1021" i="71"/>
  <c r="AN986" i="71"/>
  <c r="M989" i="71"/>
  <c r="M961" i="71"/>
  <c r="K985" i="71"/>
  <c r="K957" i="71"/>
  <c r="L923" i="71"/>
  <c r="B665" i="71"/>
  <c r="E664" i="71"/>
  <c r="B654" i="71"/>
  <c r="J930" i="71"/>
  <c r="K588" i="71"/>
  <c r="K542" i="71"/>
  <c r="AM1083" i="71"/>
  <c r="AM1082" i="71"/>
  <c r="AM1081" i="71"/>
  <c r="AM1076" i="71"/>
  <c r="AM1075" i="71"/>
  <c r="AM1074" i="71"/>
  <c r="AM1073" i="71"/>
  <c r="AM1072" i="71"/>
  <c r="AM1071" i="71"/>
  <c r="AM1070" i="71"/>
  <c r="AM1079" i="71"/>
  <c r="AM1065" i="71"/>
  <c r="AM1064" i="71"/>
  <c r="AM1063" i="71"/>
  <c r="AM1069" i="71"/>
  <c r="AM1068" i="71"/>
  <c r="AM1067" i="71"/>
  <c r="AM1080" i="71"/>
  <c r="AM1078" i="71"/>
  <c r="AM1077" i="71"/>
  <c r="AM1062" i="71"/>
  <c r="AM1066" i="71"/>
  <c r="AM1060" i="71"/>
  <c r="AM1061" i="71"/>
  <c r="P1063" i="71"/>
  <c r="AO1018" i="71"/>
  <c r="AO983" i="71"/>
  <c r="O1071" i="71"/>
  <c r="AN1026" i="71"/>
  <c r="AN991" i="71"/>
  <c r="AP1028" i="71"/>
  <c r="M955" i="71"/>
  <c r="M983" i="71"/>
  <c r="J928" i="71"/>
  <c r="H588" i="71"/>
  <c r="H542" i="71"/>
  <c r="L986" i="71"/>
  <c r="L958" i="71"/>
  <c r="L990" i="71"/>
  <c r="L962" i="71"/>
  <c r="L982" i="71"/>
  <c r="L954" i="71"/>
  <c r="L984" i="71"/>
  <c r="L956" i="71"/>
  <c r="F665" i="71"/>
  <c r="L926" i="71"/>
  <c r="I664" i="71"/>
  <c r="F654" i="71"/>
  <c r="K934" i="71"/>
  <c r="P655" i="71"/>
  <c r="P587" i="71"/>
  <c r="M936" i="71"/>
  <c r="M980" i="71"/>
  <c r="M952" i="71"/>
  <c r="K929" i="71"/>
  <c r="J655" i="71"/>
  <c r="M654" i="71"/>
  <c r="J587" i="71"/>
  <c r="K987" i="71"/>
  <c r="K959" i="71"/>
  <c r="J931" i="71"/>
  <c r="L588" i="71"/>
  <c r="L542" i="71"/>
  <c r="P1060" i="71"/>
  <c r="AO980" i="71"/>
  <c r="N993" i="71"/>
  <c r="AO1015" i="71"/>
  <c r="AP993" i="71"/>
  <c r="AN1025" i="71"/>
  <c r="O1070" i="71"/>
  <c r="AN990" i="71"/>
  <c r="L991" i="71"/>
  <c r="L963" i="71"/>
  <c r="L932" i="71"/>
  <c r="Q664" i="71"/>
  <c r="N665" i="71"/>
  <c r="N654" i="71"/>
  <c r="O1062" i="71"/>
  <c r="AN1017" i="71"/>
  <c r="AN982" i="71"/>
  <c r="K933" i="71"/>
  <c r="O655" i="71"/>
  <c r="O587" i="71"/>
  <c r="O1064" i="71"/>
  <c r="AN1019" i="71"/>
  <c r="AN984" i="71"/>
  <c r="P1069" i="71"/>
  <c r="AO1024" i="71"/>
  <c r="AO989" i="71"/>
  <c r="N1065" i="71"/>
  <c r="AM1020" i="71"/>
  <c r="AM985" i="71"/>
  <c r="AW949" i="71"/>
  <c r="K925" i="71"/>
  <c r="D655" i="71"/>
  <c r="D587" i="71"/>
  <c r="N1067" i="71"/>
  <c r="AM987" i="71"/>
  <c r="AM1022" i="71"/>
  <c r="AW951" i="71"/>
  <c r="K927" i="71"/>
  <c r="G655" i="71"/>
  <c r="G587" i="71"/>
  <c r="H183" i="68"/>
  <c r="G183" i="68"/>
  <c r="F183" i="68"/>
  <c r="F250" i="68"/>
  <c r="C588" i="71" l="1"/>
  <c r="J953" i="71"/>
  <c r="AM988" i="71"/>
  <c r="C542" i="71"/>
  <c r="I924" i="71" s="1"/>
  <c r="I981" i="71" s="1"/>
  <c r="K981" i="71"/>
  <c r="AM1023" i="71"/>
  <c r="N1068" i="71"/>
  <c r="K960" i="71"/>
  <c r="AO993" i="71"/>
  <c r="AM1084" i="71"/>
  <c r="J927" i="71"/>
  <c r="G588" i="71"/>
  <c r="G542" i="71"/>
  <c r="J933" i="71"/>
  <c r="O588" i="71"/>
  <c r="O542" i="71"/>
  <c r="J929" i="71"/>
  <c r="J588" i="71"/>
  <c r="M587" i="71"/>
  <c r="J542" i="71"/>
  <c r="L983" i="71"/>
  <c r="L955" i="71"/>
  <c r="I928" i="71"/>
  <c r="H543" i="71"/>
  <c r="H499" i="71"/>
  <c r="H498" i="71" s="1"/>
  <c r="H497" i="71" s="1"/>
  <c r="H496" i="71" s="1"/>
  <c r="H495" i="71" s="1"/>
  <c r="H494" i="71" s="1"/>
  <c r="H492" i="71"/>
  <c r="J987" i="71"/>
  <c r="J959" i="71"/>
  <c r="L980" i="71"/>
  <c r="L952" i="71"/>
  <c r="L936" i="71"/>
  <c r="O1069" i="71"/>
  <c r="AN1024" i="71"/>
  <c r="AN989" i="71"/>
  <c r="AO1028" i="71"/>
  <c r="I931" i="71"/>
  <c r="L543" i="71"/>
  <c r="L499" i="71"/>
  <c r="L498" i="71" s="1"/>
  <c r="L497" i="71" s="1"/>
  <c r="L496" i="71" s="1"/>
  <c r="L495" i="71" s="1"/>
  <c r="L494" i="71" s="1"/>
  <c r="L492" i="71"/>
  <c r="M1067" i="71"/>
  <c r="AL1022" i="71"/>
  <c r="AL987" i="71"/>
  <c r="K958" i="71"/>
  <c r="K986" i="71"/>
  <c r="J934" i="71"/>
  <c r="P588" i="71"/>
  <c r="P542" i="71"/>
  <c r="N1064" i="71"/>
  <c r="AM1019" i="71"/>
  <c r="AM984" i="71"/>
  <c r="AW948" i="71"/>
  <c r="L1061" i="71"/>
  <c r="AK1016" i="71"/>
  <c r="AK981" i="71"/>
  <c r="N1066" i="71"/>
  <c r="AM1021" i="71"/>
  <c r="AM986" i="71"/>
  <c r="AW950" i="71"/>
  <c r="K982" i="71"/>
  <c r="K954" i="71"/>
  <c r="L989" i="71"/>
  <c r="L961" i="71"/>
  <c r="J988" i="71"/>
  <c r="J960" i="71"/>
  <c r="O1060" i="71"/>
  <c r="AN1015" i="71"/>
  <c r="M993" i="71"/>
  <c r="AN980" i="71"/>
  <c r="K991" i="71"/>
  <c r="K963" i="71"/>
  <c r="N1062" i="71"/>
  <c r="AM1017" i="71"/>
  <c r="AM982" i="71"/>
  <c r="AW946" i="71"/>
  <c r="N1070" i="71"/>
  <c r="AM1025" i="71"/>
  <c r="AW954" i="71"/>
  <c r="AM990" i="71"/>
  <c r="M1068" i="71"/>
  <c r="AL1023" i="71"/>
  <c r="AL988" i="71"/>
  <c r="K923" i="71"/>
  <c r="E654" i="71"/>
  <c r="B655" i="71"/>
  <c r="B587" i="71"/>
  <c r="K984" i="71"/>
  <c r="K956" i="71"/>
  <c r="K990" i="71"/>
  <c r="K962" i="71"/>
  <c r="K932" i="71"/>
  <c r="Q654" i="71"/>
  <c r="N655" i="71"/>
  <c r="N587" i="71"/>
  <c r="N1071" i="71"/>
  <c r="AM1026" i="71"/>
  <c r="AM991" i="71"/>
  <c r="AW955" i="71"/>
  <c r="K926" i="71"/>
  <c r="F655" i="71"/>
  <c r="I654" i="71"/>
  <c r="F587" i="71"/>
  <c r="J957" i="71"/>
  <c r="J985" i="71"/>
  <c r="I930" i="71"/>
  <c r="K499" i="71"/>
  <c r="K498" i="71" s="1"/>
  <c r="K497" i="71" s="1"/>
  <c r="K496" i="71" s="1"/>
  <c r="K495" i="71" s="1"/>
  <c r="K494" i="71" s="1"/>
  <c r="K543" i="71"/>
  <c r="K492" i="71"/>
  <c r="R664" i="71"/>
  <c r="M1065" i="71"/>
  <c r="AL985" i="71"/>
  <c r="AL1020" i="71"/>
  <c r="J925" i="71"/>
  <c r="D588" i="71"/>
  <c r="D542" i="71"/>
  <c r="O1063" i="71"/>
  <c r="AN1018" i="71"/>
  <c r="AN983" i="71"/>
  <c r="G180" i="68"/>
  <c r="F248" i="68"/>
  <c r="F249" i="68"/>
  <c r="D180" i="68"/>
  <c r="C180" i="68"/>
  <c r="B180" i="68"/>
  <c r="C499" i="71" l="1"/>
  <c r="C498" i="71" s="1"/>
  <c r="C497" i="71" s="1"/>
  <c r="C496" i="71" s="1"/>
  <c r="C495" i="71" s="1"/>
  <c r="C494" i="71" s="1"/>
  <c r="I953" i="71"/>
  <c r="C543" i="71"/>
  <c r="C492" i="71"/>
  <c r="H924" i="71" s="1"/>
  <c r="H981" i="71" s="1"/>
  <c r="AL981" i="71"/>
  <c r="AL1016" i="71"/>
  <c r="M1061" i="71"/>
  <c r="AL1078" i="71" s="1"/>
  <c r="AN1028" i="71"/>
  <c r="N1063" i="71"/>
  <c r="AM983" i="71"/>
  <c r="AM1018" i="71"/>
  <c r="AW947" i="71"/>
  <c r="J986" i="71"/>
  <c r="J958" i="71"/>
  <c r="I927" i="71"/>
  <c r="G543" i="71"/>
  <c r="G499" i="71"/>
  <c r="G498" i="71" s="1"/>
  <c r="G497" i="71" s="1"/>
  <c r="G496" i="71" s="1"/>
  <c r="G495" i="71" s="1"/>
  <c r="G494" i="71" s="1"/>
  <c r="G492" i="71"/>
  <c r="M1070" i="71"/>
  <c r="AL1025" i="71"/>
  <c r="AL990" i="71"/>
  <c r="H928" i="71"/>
  <c r="H493" i="71"/>
  <c r="H318" i="71"/>
  <c r="H320" i="71" s="1"/>
  <c r="J982" i="71"/>
  <c r="J954" i="71"/>
  <c r="I959" i="71"/>
  <c r="I987" i="71"/>
  <c r="R654" i="71"/>
  <c r="N1069" i="71"/>
  <c r="AM989" i="71"/>
  <c r="AM1024" i="71"/>
  <c r="AW953" i="71"/>
  <c r="K955" i="71"/>
  <c r="K983" i="71"/>
  <c r="K989" i="71"/>
  <c r="K961" i="71"/>
  <c r="M1064" i="71"/>
  <c r="AL1019" i="71"/>
  <c r="AL984" i="71"/>
  <c r="K980" i="71"/>
  <c r="K952" i="71"/>
  <c r="K936" i="71"/>
  <c r="AN993" i="71"/>
  <c r="AK1083" i="71"/>
  <c r="AK1082" i="71"/>
  <c r="AK1081" i="71"/>
  <c r="AK1080" i="71"/>
  <c r="AK1079" i="71"/>
  <c r="AK1077" i="71"/>
  <c r="AK1075" i="71"/>
  <c r="AK1071" i="71"/>
  <c r="AK1069" i="71"/>
  <c r="AK1068" i="71"/>
  <c r="AK1067" i="71"/>
  <c r="AK1078" i="71"/>
  <c r="AK1076" i="71"/>
  <c r="AK1072" i="71"/>
  <c r="AK1070" i="71"/>
  <c r="AK1066" i="71"/>
  <c r="AK1073" i="71"/>
  <c r="AK1064" i="71"/>
  <c r="AK1062" i="71"/>
  <c r="AK1061" i="71"/>
  <c r="AK1060" i="71"/>
  <c r="AK1074" i="71"/>
  <c r="AK1063" i="71"/>
  <c r="AK1065" i="71"/>
  <c r="M1066" i="71"/>
  <c r="AL1021" i="71"/>
  <c r="AL986" i="71"/>
  <c r="I960" i="71"/>
  <c r="I988" i="71"/>
  <c r="I929" i="71"/>
  <c r="J543" i="71"/>
  <c r="M542" i="71"/>
  <c r="J499" i="71"/>
  <c r="J498" i="71" s="1"/>
  <c r="J497" i="71" s="1"/>
  <c r="J496" i="71" s="1"/>
  <c r="J495" i="71" s="1"/>
  <c r="J494" i="71" s="1"/>
  <c r="J492" i="71"/>
  <c r="O543" i="71"/>
  <c r="I933" i="71"/>
  <c r="O499" i="71"/>
  <c r="O498" i="71" s="1"/>
  <c r="O497" i="71" s="1"/>
  <c r="O496" i="71" s="1"/>
  <c r="O495" i="71" s="1"/>
  <c r="O494" i="71" s="1"/>
  <c r="O492" i="71"/>
  <c r="J990" i="71"/>
  <c r="J962" i="71"/>
  <c r="L1065" i="71"/>
  <c r="AK985" i="71"/>
  <c r="AK1020" i="71"/>
  <c r="M1071" i="71"/>
  <c r="AL1026" i="71"/>
  <c r="AL991" i="71"/>
  <c r="J963" i="71"/>
  <c r="J991" i="71"/>
  <c r="N1060" i="71"/>
  <c r="AM1015" i="71"/>
  <c r="L993" i="71"/>
  <c r="AM980" i="71"/>
  <c r="AW944" i="71"/>
  <c r="K493" i="71"/>
  <c r="H930" i="71"/>
  <c r="K318" i="71"/>
  <c r="K320" i="71" s="1"/>
  <c r="D543" i="71"/>
  <c r="I925" i="71"/>
  <c r="D499" i="71"/>
  <c r="D498" i="71" s="1"/>
  <c r="D497" i="71" s="1"/>
  <c r="D496" i="71" s="1"/>
  <c r="D495" i="71" s="1"/>
  <c r="D494" i="71" s="1"/>
  <c r="D492" i="71"/>
  <c r="J926" i="71"/>
  <c r="F588" i="71"/>
  <c r="I587" i="71"/>
  <c r="F542" i="71"/>
  <c r="Q587" i="71"/>
  <c r="N588" i="71"/>
  <c r="J932" i="71"/>
  <c r="N542" i="71"/>
  <c r="E587" i="71"/>
  <c r="J923" i="71"/>
  <c r="B588" i="71"/>
  <c r="B542" i="71"/>
  <c r="K1061" i="71"/>
  <c r="AJ1016" i="71"/>
  <c r="AJ981" i="71"/>
  <c r="L1068" i="71"/>
  <c r="AK988" i="71"/>
  <c r="AK1023" i="71"/>
  <c r="M1062" i="71"/>
  <c r="AL1017" i="71"/>
  <c r="AL982" i="71"/>
  <c r="I934" i="71"/>
  <c r="P499" i="71"/>
  <c r="P498" i="71" s="1"/>
  <c r="P497" i="71" s="1"/>
  <c r="P496" i="71" s="1"/>
  <c r="P495" i="71" s="1"/>
  <c r="P494" i="71" s="1"/>
  <c r="P543" i="71"/>
  <c r="P492" i="71"/>
  <c r="H931" i="71"/>
  <c r="L493" i="71"/>
  <c r="L318" i="71"/>
  <c r="L320" i="71" s="1"/>
  <c r="L1067" i="71"/>
  <c r="AK987" i="71"/>
  <c r="AK1022" i="71"/>
  <c r="I985" i="71"/>
  <c r="I957" i="71"/>
  <c r="J984" i="71"/>
  <c r="J956" i="71"/>
  <c r="H181" i="68"/>
  <c r="G181" i="68"/>
  <c r="Q722" i="68"/>
  <c r="M722" i="68"/>
  <c r="I722" i="68"/>
  <c r="E722" i="68"/>
  <c r="F257" i="68"/>
  <c r="H953" i="71" l="1"/>
  <c r="AL1070" i="71"/>
  <c r="AL1069" i="71"/>
  <c r="C318" i="71"/>
  <c r="C320" i="71" s="1"/>
  <c r="C493" i="71"/>
  <c r="AL1077" i="71"/>
  <c r="AL1079" i="71"/>
  <c r="AL1081" i="71"/>
  <c r="AL1065" i="71"/>
  <c r="AL1063" i="71"/>
  <c r="AL1076" i="71"/>
  <c r="AL1061" i="71"/>
  <c r="AL1072" i="71"/>
  <c r="AL1082" i="71"/>
  <c r="AL1062" i="71"/>
  <c r="AL1075" i="71"/>
  <c r="AL1071" i="71"/>
  <c r="AL1074" i="71"/>
  <c r="AL1066" i="71"/>
  <c r="AL1083" i="71"/>
  <c r="AL1080" i="71"/>
  <c r="AL1060" i="71"/>
  <c r="AL1064" i="71"/>
  <c r="AL1073" i="71"/>
  <c r="AL1067" i="71"/>
  <c r="AL1068" i="71"/>
  <c r="AW957" i="71"/>
  <c r="R587" i="71"/>
  <c r="J989" i="71"/>
  <c r="J961" i="71"/>
  <c r="L1066" i="71"/>
  <c r="AK986" i="71"/>
  <c r="AK1021" i="71"/>
  <c r="H988" i="71"/>
  <c r="H960" i="71"/>
  <c r="I991" i="71"/>
  <c r="I963" i="71"/>
  <c r="J980" i="71"/>
  <c r="J936" i="71"/>
  <c r="J952" i="71"/>
  <c r="I982" i="71"/>
  <c r="I954" i="71"/>
  <c r="AM1028" i="71"/>
  <c r="H933" i="71"/>
  <c r="O493" i="71"/>
  <c r="O318" i="71"/>
  <c r="O320" i="71" s="1"/>
  <c r="H929" i="71"/>
  <c r="J493" i="71"/>
  <c r="M492" i="71"/>
  <c r="J318" i="71"/>
  <c r="J320" i="71" s="1"/>
  <c r="I958" i="71"/>
  <c r="I986" i="71"/>
  <c r="H985" i="71"/>
  <c r="H957" i="71"/>
  <c r="L1064" i="71"/>
  <c r="AK984" i="71"/>
  <c r="AK1019" i="71"/>
  <c r="P493" i="71"/>
  <c r="H934" i="71"/>
  <c r="P318" i="71"/>
  <c r="P320" i="71" s="1"/>
  <c r="AJ1083" i="71"/>
  <c r="AJ1082" i="71"/>
  <c r="AJ1081" i="71"/>
  <c r="AJ1080" i="71"/>
  <c r="AJ1079" i="71"/>
  <c r="AJ1078" i="71"/>
  <c r="AJ1074" i="71"/>
  <c r="AJ1064" i="71"/>
  <c r="AJ1063" i="71"/>
  <c r="AJ1077" i="71"/>
  <c r="AJ1075" i="71"/>
  <c r="AJ1071" i="71"/>
  <c r="AJ1069" i="71"/>
  <c r="AJ1068" i="71"/>
  <c r="AJ1067" i="71"/>
  <c r="AJ1076" i="71"/>
  <c r="AJ1072" i="71"/>
  <c r="AJ1070" i="71"/>
  <c r="AJ1066" i="71"/>
  <c r="AJ1065" i="71"/>
  <c r="AJ1073" i="71"/>
  <c r="AJ1062" i="71"/>
  <c r="AJ1061" i="71"/>
  <c r="AJ1060" i="71"/>
  <c r="J983" i="71"/>
  <c r="J955" i="71"/>
  <c r="K1068" i="71"/>
  <c r="AJ1023" i="71"/>
  <c r="AJ988" i="71"/>
  <c r="AK1084" i="71"/>
  <c r="M1060" i="71"/>
  <c r="AL1015" i="71"/>
  <c r="K993" i="71"/>
  <c r="AL980" i="71"/>
  <c r="L1062" i="71"/>
  <c r="AK982" i="71"/>
  <c r="AK1017" i="71"/>
  <c r="J1061" i="71"/>
  <c r="AI1016" i="71"/>
  <c r="AI981" i="71"/>
  <c r="AI915" i="71"/>
  <c r="I984" i="71"/>
  <c r="I956" i="71"/>
  <c r="K1065" i="71"/>
  <c r="AJ1020" i="71"/>
  <c r="AJ985" i="71"/>
  <c r="E931" i="71"/>
  <c r="L319" i="71"/>
  <c r="L133" i="71"/>
  <c r="I923" i="71"/>
  <c r="E542" i="71"/>
  <c r="B543" i="71"/>
  <c r="B499" i="71"/>
  <c r="B498" i="71" s="1"/>
  <c r="B497" i="71" s="1"/>
  <c r="B496" i="71" s="1"/>
  <c r="B495" i="71" s="1"/>
  <c r="B494" i="71" s="1"/>
  <c r="B492" i="71"/>
  <c r="I932" i="71"/>
  <c r="Q542" i="71"/>
  <c r="N543" i="71"/>
  <c r="N499" i="71"/>
  <c r="N498" i="71" s="1"/>
  <c r="N497" i="71" s="1"/>
  <c r="N496" i="71" s="1"/>
  <c r="N495" i="71" s="1"/>
  <c r="N494" i="71" s="1"/>
  <c r="N492" i="71"/>
  <c r="I926" i="71"/>
  <c r="I542" i="71"/>
  <c r="F499" i="71"/>
  <c r="F498" i="71" s="1"/>
  <c r="F497" i="71" s="1"/>
  <c r="F496" i="71" s="1"/>
  <c r="F495" i="71" s="1"/>
  <c r="F494" i="71" s="1"/>
  <c r="F543" i="71"/>
  <c r="F492" i="71"/>
  <c r="H925" i="71"/>
  <c r="D493" i="71"/>
  <c r="D318" i="71"/>
  <c r="D320" i="71" s="1"/>
  <c r="E930" i="71"/>
  <c r="K319" i="71"/>
  <c r="K133" i="71"/>
  <c r="AM993" i="71"/>
  <c r="L1071" i="71"/>
  <c r="AK1026" i="71"/>
  <c r="AK991" i="71"/>
  <c r="I990" i="71"/>
  <c r="I962" i="71"/>
  <c r="M1069" i="71"/>
  <c r="AL1024" i="71"/>
  <c r="AL989" i="71"/>
  <c r="K1067" i="71"/>
  <c r="AJ1022" i="71"/>
  <c r="AJ987" i="71"/>
  <c r="E928" i="71"/>
  <c r="H319" i="71"/>
  <c r="H133" i="71"/>
  <c r="H927" i="71"/>
  <c r="G493" i="71"/>
  <c r="G318" i="71"/>
  <c r="G320" i="71" s="1"/>
  <c r="H987" i="71"/>
  <c r="H959" i="71"/>
  <c r="L1070" i="71"/>
  <c r="AK1025" i="71"/>
  <c r="AK990" i="71"/>
  <c r="M1063" i="71"/>
  <c r="AL1018" i="71"/>
  <c r="AL983" i="71"/>
  <c r="R722" i="68"/>
  <c r="H354" i="68"/>
  <c r="E924" i="71" l="1"/>
  <c r="E981" i="71" s="1"/>
  <c r="AG1016" i="71" s="1"/>
  <c r="C319" i="71"/>
  <c r="C133" i="71"/>
  <c r="C134" i="71" s="1"/>
  <c r="AL1084" i="71"/>
  <c r="Y47" i="2"/>
  <c r="D931" i="71"/>
  <c r="L134" i="71"/>
  <c r="L64" i="71"/>
  <c r="AJ1019" i="71"/>
  <c r="K1064" i="71"/>
  <c r="AJ984" i="71"/>
  <c r="AI1083" i="71"/>
  <c r="AI1082" i="71"/>
  <c r="AI1081" i="71"/>
  <c r="AI1076" i="71"/>
  <c r="AI1075" i="71"/>
  <c r="AI1074" i="71"/>
  <c r="AI1073" i="71"/>
  <c r="AI1072" i="71"/>
  <c r="AI1071" i="71"/>
  <c r="AI1070" i="71"/>
  <c r="AI1080" i="71"/>
  <c r="AI1065" i="71"/>
  <c r="AI1064" i="71"/>
  <c r="AI1063" i="71"/>
  <c r="AI1079" i="71"/>
  <c r="AI1078" i="71"/>
  <c r="AI1077" i="71"/>
  <c r="AI1069" i="71"/>
  <c r="AI1068" i="71"/>
  <c r="AI1067" i="71"/>
  <c r="AI1066" i="71"/>
  <c r="Z1061" i="71"/>
  <c r="AI1062" i="71"/>
  <c r="AI1061" i="71"/>
  <c r="AI1060" i="71"/>
  <c r="L1063" i="71"/>
  <c r="AK1018" i="71"/>
  <c r="AK983" i="71"/>
  <c r="J1065" i="71"/>
  <c r="Z1065" i="71" s="1"/>
  <c r="AI1020" i="71"/>
  <c r="AI985" i="71"/>
  <c r="AI919" i="71"/>
  <c r="K1066" i="71"/>
  <c r="AJ1021" i="71"/>
  <c r="AJ986" i="71"/>
  <c r="H990" i="71"/>
  <c r="H962" i="71"/>
  <c r="K1071" i="71"/>
  <c r="AJ1026" i="71"/>
  <c r="AJ991" i="71"/>
  <c r="E927" i="71"/>
  <c r="G319" i="71"/>
  <c r="G133" i="71"/>
  <c r="H982" i="71"/>
  <c r="H954" i="71"/>
  <c r="I983" i="71"/>
  <c r="I955" i="71"/>
  <c r="H923" i="71"/>
  <c r="E492" i="71"/>
  <c r="B493" i="71"/>
  <c r="B318" i="71"/>
  <c r="B320" i="71" s="1"/>
  <c r="I980" i="71"/>
  <c r="I936" i="71"/>
  <c r="I952" i="71"/>
  <c r="E960" i="71"/>
  <c r="E988" i="71"/>
  <c r="AR957" i="71"/>
  <c r="H984" i="71"/>
  <c r="H956" i="71"/>
  <c r="E985" i="71"/>
  <c r="E957" i="71"/>
  <c r="AR954" i="71"/>
  <c r="K1070" i="71"/>
  <c r="AJ1025" i="71"/>
  <c r="AJ990" i="71"/>
  <c r="E959" i="71"/>
  <c r="AR956" i="71"/>
  <c r="E987" i="71"/>
  <c r="F493" i="71"/>
  <c r="I492" i="71"/>
  <c r="H926" i="71"/>
  <c r="F318" i="71"/>
  <c r="F320" i="71" s="1"/>
  <c r="AL1028" i="71"/>
  <c r="AJ1084" i="71"/>
  <c r="E934" i="71"/>
  <c r="P319" i="71"/>
  <c r="P133" i="71"/>
  <c r="H986" i="71"/>
  <c r="H958" i="71"/>
  <c r="J1067" i="71"/>
  <c r="Z1067" i="71" s="1"/>
  <c r="AI1022" i="71"/>
  <c r="AI987" i="71"/>
  <c r="AI921" i="71"/>
  <c r="D928" i="71"/>
  <c r="H134" i="71"/>
  <c r="H64" i="71"/>
  <c r="D930" i="71"/>
  <c r="K134" i="71"/>
  <c r="K64" i="71"/>
  <c r="E925" i="71"/>
  <c r="D319" i="71"/>
  <c r="D133" i="71"/>
  <c r="H932" i="71"/>
  <c r="Q492" i="71"/>
  <c r="N493" i="71"/>
  <c r="N318" i="71"/>
  <c r="N320" i="71" s="1"/>
  <c r="I961" i="71"/>
  <c r="I989" i="71"/>
  <c r="R542" i="71"/>
  <c r="H991" i="71"/>
  <c r="H963" i="71"/>
  <c r="E929" i="71"/>
  <c r="Y45" i="2"/>
  <c r="J319" i="71"/>
  <c r="M318" i="71"/>
  <c r="J133" i="71"/>
  <c r="E933" i="71"/>
  <c r="O319" i="71"/>
  <c r="O133" i="71"/>
  <c r="AK980" i="71"/>
  <c r="L1060" i="71"/>
  <c r="AK1015" i="71"/>
  <c r="J993" i="71"/>
  <c r="J1068" i="71"/>
  <c r="Z1068" i="71" s="1"/>
  <c r="AI1023" i="71"/>
  <c r="AI988" i="71"/>
  <c r="AI922" i="71"/>
  <c r="AL993" i="71"/>
  <c r="K1062" i="71"/>
  <c r="AJ1017" i="71"/>
  <c r="AJ982" i="71"/>
  <c r="L1069" i="71"/>
  <c r="AK989" i="71"/>
  <c r="AK1024" i="71"/>
  <c r="G157" i="68"/>
  <c r="F157" i="68"/>
  <c r="AG981" i="71" l="1"/>
  <c r="G1061" i="71"/>
  <c r="AG1079" i="71" s="1"/>
  <c r="AR950" i="71"/>
  <c r="E953" i="71"/>
  <c r="D924" i="71"/>
  <c r="AQ950" i="71" s="1"/>
  <c r="C64" i="71"/>
  <c r="C29" i="71" s="1"/>
  <c r="B924" i="71" s="1"/>
  <c r="Z43" i="2"/>
  <c r="Y55" i="2"/>
  <c r="Z55" i="2"/>
  <c r="Y35" i="2"/>
  <c r="Y43" i="2"/>
  <c r="Z53" i="2"/>
  <c r="Y53" i="2"/>
  <c r="Z45" i="2"/>
  <c r="Z41" i="2"/>
  <c r="Y41" i="2"/>
  <c r="AK1028" i="71"/>
  <c r="D925" i="71"/>
  <c r="D134" i="71"/>
  <c r="D64" i="71"/>
  <c r="D934" i="71"/>
  <c r="P134" i="71"/>
  <c r="P64" i="71"/>
  <c r="J1064" i="71"/>
  <c r="Z1064" i="71" s="1"/>
  <c r="AI1019" i="71"/>
  <c r="AI984" i="71"/>
  <c r="AI918" i="71"/>
  <c r="AI1091" i="71"/>
  <c r="AI1092" i="71"/>
  <c r="J1071" i="71"/>
  <c r="Z1071" i="71" s="1"/>
  <c r="AI1026" i="71"/>
  <c r="AI991" i="71"/>
  <c r="AI925" i="71"/>
  <c r="D985" i="71"/>
  <c r="D957" i="71"/>
  <c r="AQ954" i="71"/>
  <c r="AI1110" i="71"/>
  <c r="AI1109" i="71"/>
  <c r="R492" i="71"/>
  <c r="AI1084" i="71"/>
  <c r="C931" i="71"/>
  <c r="L65" i="71"/>
  <c r="L29" i="71"/>
  <c r="C930" i="71"/>
  <c r="K65" i="71"/>
  <c r="K29" i="71"/>
  <c r="AI1112" i="71"/>
  <c r="AI1113" i="71"/>
  <c r="E990" i="71"/>
  <c r="E962" i="71"/>
  <c r="AR959" i="71"/>
  <c r="E926" i="71"/>
  <c r="I318" i="71"/>
  <c r="F319" i="71"/>
  <c r="Z35" i="2"/>
  <c r="F133" i="71"/>
  <c r="AG1022" i="71"/>
  <c r="AG987" i="71"/>
  <c r="G1067" i="71"/>
  <c r="G1065" i="71"/>
  <c r="AG1020" i="71"/>
  <c r="AG985" i="71"/>
  <c r="G1068" i="71"/>
  <c r="AG1023" i="71"/>
  <c r="AG988" i="71"/>
  <c r="K1060" i="71"/>
  <c r="AJ1015" i="71"/>
  <c r="I993" i="71"/>
  <c r="AJ980" i="71"/>
  <c r="H980" i="71"/>
  <c r="H952" i="71"/>
  <c r="H936" i="71"/>
  <c r="J1062" i="71"/>
  <c r="Z1062" i="71" s="1"/>
  <c r="AI1017" i="71"/>
  <c r="AI982" i="71"/>
  <c r="AI916" i="71"/>
  <c r="E984" i="71"/>
  <c r="AR953" i="71"/>
  <c r="E956" i="71"/>
  <c r="AI1104" i="71"/>
  <c r="AI1103" i="71"/>
  <c r="E932" i="71"/>
  <c r="Q318" i="71"/>
  <c r="N319" i="71"/>
  <c r="N133" i="71"/>
  <c r="K1063" i="71"/>
  <c r="AJ1018" i="71"/>
  <c r="AJ983" i="71"/>
  <c r="AK993" i="71"/>
  <c r="K1069" i="71"/>
  <c r="AJ1024" i="71"/>
  <c r="AJ989" i="71"/>
  <c r="D987" i="71"/>
  <c r="AQ956" i="71"/>
  <c r="D959" i="71"/>
  <c r="D933" i="71"/>
  <c r="O134" i="71"/>
  <c r="O64" i="71"/>
  <c r="D929" i="71"/>
  <c r="J134" i="71"/>
  <c r="M133" i="71"/>
  <c r="J64" i="71"/>
  <c r="E958" i="71"/>
  <c r="AR955" i="71"/>
  <c r="E986" i="71"/>
  <c r="H989" i="71"/>
  <c r="H961" i="71"/>
  <c r="E982" i="71"/>
  <c r="E954" i="71"/>
  <c r="AR951" i="71"/>
  <c r="C928" i="71"/>
  <c r="H65" i="71"/>
  <c r="H29" i="71"/>
  <c r="J1066" i="71"/>
  <c r="Z1066" i="71" s="1"/>
  <c r="AI1021" i="71"/>
  <c r="AI986" i="71"/>
  <c r="AI920" i="71"/>
  <c r="E963" i="71"/>
  <c r="AR960" i="71"/>
  <c r="E991" i="71"/>
  <c r="H983" i="71"/>
  <c r="H955" i="71"/>
  <c r="E923" i="71"/>
  <c r="E318" i="71"/>
  <c r="B319" i="71"/>
  <c r="B133" i="71"/>
  <c r="D927" i="71"/>
  <c r="G134" i="71"/>
  <c r="G64" i="71"/>
  <c r="J1070" i="71"/>
  <c r="Z1070" i="71" s="1"/>
  <c r="AI1025" i="71"/>
  <c r="AI990" i="71"/>
  <c r="AI924" i="71"/>
  <c r="AQ957" i="71"/>
  <c r="D988" i="71"/>
  <c r="D960" i="71"/>
  <c r="B850" i="68"/>
  <c r="AG1064" i="71" l="1"/>
  <c r="AG1078" i="71"/>
  <c r="AG1080" i="71"/>
  <c r="AG1061" i="71"/>
  <c r="AG1066" i="71"/>
  <c r="AG1068" i="71"/>
  <c r="AG1062" i="71"/>
  <c r="AG1069" i="71"/>
  <c r="AG1081" i="71"/>
  <c r="AG1063" i="71"/>
  <c r="AG1070" i="71"/>
  <c r="AG1082" i="71"/>
  <c r="AG1065" i="71"/>
  <c r="AG1072" i="71"/>
  <c r="AG1083" i="71"/>
  <c r="AG1075" i="71"/>
  <c r="AG1074" i="71"/>
  <c r="AG1076" i="71"/>
  <c r="AG1071" i="71"/>
  <c r="AG1073" i="71"/>
  <c r="AG1077" i="71"/>
  <c r="AG1060" i="71"/>
  <c r="AG1067" i="71"/>
  <c r="C30" i="71"/>
  <c r="D981" i="71"/>
  <c r="AF1016" i="71" s="1"/>
  <c r="C19" i="71"/>
  <c r="D953" i="71"/>
  <c r="C924" i="71"/>
  <c r="AP950" i="71" s="1"/>
  <c r="C65" i="71"/>
  <c r="Y37" i="2"/>
  <c r="Y39" i="2"/>
  <c r="Z37" i="2"/>
  <c r="Z39" i="2"/>
  <c r="Z49" i="2"/>
  <c r="Y49" i="2"/>
  <c r="Z47" i="2"/>
  <c r="Z51" i="2"/>
  <c r="Y51" i="2"/>
  <c r="D986" i="71"/>
  <c r="D958" i="71"/>
  <c r="AQ955" i="71"/>
  <c r="B930" i="71"/>
  <c r="K19" i="71"/>
  <c r="K30" i="71"/>
  <c r="F1065" i="71"/>
  <c r="AF1020" i="71"/>
  <c r="AF985" i="71"/>
  <c r="AI1122" i="71"/>
  <c r="AI1121" i="71"/>
  <c r="D982" i="71"/>
  <c r="D954" i="71"/>
  <c r="AQ951" i="71"/>
  <c r="J1060" i="71"/>
  <c r="Z1060" i="71" s="1"/>
  <c r="AI980" i="71"/>
  <c r="AI1015" i="71"/>
  <c r="H993" i="71"/>
  <c r="AI914" i="71"/>
  <c r="C960" i="71"/>
  <c r="C988" i="71"/>
  <c r="AP957" i="71"/>
  <c r="D991" i="71"/>
  <c r="D963" i="71"/>
  <c r="AQ960" i="71"/>
  <c r="AI1118" i="71"/>
  <c r="AI1119" i="71"/>
  <c r="D923" i="71"/>
  <c r="E133" i="71"/>
  <c r="B134" i="71"/>
  <c r="B64" i="71"/>
  <c r="AR949" i="71"/>
  <c r="E936" i="71"/>
  <c r="E980" i="71"/>
  <c r="E952" i="71"/>
  <c r="C985" i="71"/>
  <c r="C957" i="71"/>
  <c r="AP954" i="71"/>
  <c r="AJ1028" i="71"/>
  <c r="AI1106" i="71"/>
  <c r="AI1107" i="71"/>
  <c r="J1069" i="71"/>
  <c r="Z1069" i="71" s="1"/>
  <c r="AI1024" i="71"/>
  <c r="AI989" i="71"/>
  <c r="AI923" i="71"/>
  <c r="C929" i="71"/>
  <c r="J65" i="71"/>
  <c r="M64" i="71"/>
  <c r="J29" i="71"/>
  <c r="C933" i="71"/>
  <c r="O65" i="71"/>
  <c r="O29" i="71"/>
  <c r="B981" i="71"/>
  <c r="B953" i="71"/>
  <c r="AO950" i="71"/>
  <c r="AN915" i="71"/>
  <c r="J1063" i="71"/>
  <c r="Z1063" i="71" s="1"/>
  <c r="AI983" i="71"/>
  <c r="AI917" i="71"/>
  <c r="AI1018" i="71"/>
  <c r="B928" i="71"/>
  <c r="H30" i="71"/>
  <c r="H19" i="71"/>
  <c r="G1066" i="71"/>
  <c r="AG986" i="71"/>
  <c r="AG1021" i="71"/>
  <c r="F1067" i="71"/>
  <c r="AF1022" i="71"/>
  <c r="AF987" i="71"/>
  <c r="D932" i="71"/>
  <c r="Q133" i="71"/>
  <c r="N134" i="71"/>
  <c r="N64" i="71"/>
  <c r="E961" i="71"/>
  <c r="E989" i="71"/>
  <c r="AR958" i="71"/>
  <c r="G1064" i="71"/>
  <c r="AG984" i="71"/>
  <c r="AG1019" i="71"/>
  <c r="AI1095" i="71"/>
  <c r="AI1094" i="71"/>
  <c r="AJ993" i="71"/>
  <c r="G1070" i="71"/>
  <c r="AG990" i="71"/>
  <c r="AG1025" i="71"/>
  <c r="C987" i="71"/>
  <c r="AP956" i="71"/>
  <c r="C959" i="71"/>
  <c r="AI1100" i="71"/>
  <c r="AI1101" i="71"/>
  <c r="C925" i="71"/>
  <c r="D65" i="71"/>
  <c r="D29" i="71"/>
  <c r="C927" i="71"/>
  <c r="G65" i="71"/>
  <c r="G29" i="71"/>
  <c r="F1068" i="71"/>
  <c r="AF988" i="71"/>
  <c r="AF1023" i="71"/>
  <c r="D984" i="71"/>
  <c r="D956" i="71"/>
  <c r="AQ953" i="71"/>
  <c r="R318" i="71"/>
  <c r="G1071" i="71"/>
  <c r="AG1026" i="71"/>
  <c r="AG991" i="71"/>
  <c r="G1062" i="71"/>
  <c r="AG1017" i="71"/>
  <c r="AG982" i="71"/>
  <c r="D990" i="71"/>
  <c r="AQ959" i="71"/>
  <c r="D962" i="71"/>
  <c r="D926" i="71"/>
  <c r="I133" i="71"/>
  <c r="F134" i="71"/>
  <c r="F64" i="71"/>
  <c r="E983" i="71"/>
  <c r="E955" i="71"/>
  <c r="AR952" i="71"/>
  <c r="B931" i="71"/>
  <c r="L30" i="71"/>
  <c r="L19" i="71"/>
  <c r="C934" i="71"/>
  <c r="P65" i="71"/>
  <c r="P29" i="71"/>
  <c r="AG1084" i="71" l="1"/>
  <c r="AG915" i="71"/>
  <c r="C981" i="71"/>
  <c r="AE1016" i="71" s="1"/>
  <c r="AF981" i="71"/>
  <c r="C953" i="71"/>
  <c r="AT950" i="71"/>
  <c r="F1061" i="71"/>
  <c r="AF1082" i="71" s="1"/>
  <c r="B934" i="71"/>
  <c r="P19" i="71"/>
  <c r="P20" i="71" s="1"/>
  <c r="P30" i="71"/>
  <c r="C926" i="71"/>
  <c r="F65" i="71"/>
  <c r="I64" i="71"/>
  <c r="F29" i="71"/>
  <c r="F1064" i="71"/>
  <c r="AF1019" i="71"/>
  <c r="AF984" i="71"/>
  <c r="B927" i="71"/>
  <c r="G19" i="71"/>
  <c r="G30" i="71"/>
  <c r="AD1016" i="71"/>
  <c r="AD981" i="71"/>
  <c r="R1088" i="71"/>
  <c r="B929" i="71"/>
  <c r="J30" i="71"/>
  <c r="M29" i="71"/>
  <c r="J19" i="71"/>
  <c r="R133" i="71"/>
  <c r="E1068" i="71"/>
  <c r="AE1023" i="71"/>
  <c r="AE988" i="71"/>
  <c r="AI1028" i="71"/>
  <c r="F1066" i="71"/>
  <c r="AF986" i="71"/>
  <c r="AF1021" i="71"/>
  <c r="B988" i="71"/>
  <c r="AO957" i="71"/>
  <c r="AT957" i="71" s="1"/>
  <c r="B960" i="71"/>
  <c r="AN922" i="71"/>
  <c r="AG922" i="71"/>
  <c r="AP951" i="71"/>
  <c r="C982" i="71"/>
  <c r="C954" i="71"/>
  <c r="G1069" i="71"/>
  <c r="AG1024" i="71"/>
  <c r="AG989" i="71"/>
  <c r="B933" i="71"/>
  <c r="O30" i="71"/>
  <c r="O19" i="71"/>
  <c r="E1065" i="71"/>
  <c r="AE1020" i="71"/>
  <c r="AE985" i="71"/>
  <c r="AR962" i="71"/>
  <c r="D980" i="71"/>
  <c r="D952" i="71"/>
  <c r="AQ949" i="71"/>
  <c r="D936" i="71"/>
  <c r="AI993" i="71"/>
  <c r="F1062" i="71"/>
  <c r="AF1017" i="71"/>
  <c r="AF982" i="71"/>
  <c r="B987" i="71"/>
  <c r="AO956" i="71"/>
  <c r="AT956" i="71" s="1"/>
  <c r="AN921" i="71"/>
  <c r="B959" i="71"/>
  <c r="AG921" i="71"/>
  <c r="C991" i="71"/>
  <c r="AP960" i="71"/>
  <c r="C963" i="71"/>
  <c r="F1070" i="71"/>
  <c r="AF990" i="71"/>
  <c r="AF1025" i="71"/>
  <c r="C984" i="71"/>
  <c r="C956" i="71"/>
  <c r="AP953" i="71"/>
  <c r="E1067" i="71"/>
  <c r="AE1022" i="71"/>
  <c r="AE987" i="71"/>
  <c r="D989" i="71"/>
  <c r="AQ958" i="71"/>
  <c r="D961" i="71"/>
  <c r="C923" i="71"/>
  <c r="E64" i="71"/>
  <c r="B65" i="71"/>
  <c r="B29" i="71"/>
  <c r="F1071" i="71"/>
  <c r="AF1026" i="71"/>
  <c r="AF991" i="71"/>
  <c r="AI927" i="71"/>
  <c r="AI1088" i="71"/>
  <c r="AI1089" i="71"/>
  <c r="G1063" i="71"/>
  <c r="AG1018" i="71"/>
  <c r="AG983" i="71"/>
  <c r="D983" i="71"/>
  <c r="D955" i="71"/>
  <c r="AQ952" i="71"/>
  <c r="B925" i="71"/>
  <c r="D30" i="71"/>
  <c r="D19" i="71"/>
  <c r="C932" i="71"/>
  <c r="Q64" i="71"/>
  <c r="N65" i="71"/>
  <c r="N29" i="71"/>
  <c r="B957" i="71"/>
  <c r="AO954" i="71"/>
  <c r="AT954" i="71" s="1"/>
  <c r="B985" i="71"/>
  <c r="AN919" i="71"/>
  <c r="AG919" i="71"/>
  <c r="AI1097" i="71"/>
  <c r="AI1098" i="71"/>
  <c r="AP959" i="71"/>
  <c r="C990" i="71"/>
  <c r="C962" i="71"/>
  <c r="C986" i="71"/>
  <c r="C958" i="71"/>
  <c r="AP955" i="71"/>
  <c r="AI1116" i="71"/>
  <c r="AI1115" i="71"/>
  <c r="G1060" i="71"/>
  <c r="E993" i="71"/>
  <c r="AG980" i="71"/>
  <c r="AG1015" i="71"/>
  <c r="D223" i="68"/>
  <c r="C223" i="68"/>
  <c r="B223" i="68"/>
  <c r="B864" i="68" s="1"/>
  <c r="D400" i="68"/>
  <c r="C400" i="68"/>
  <c r="AF1083" i="71" l="1"/>
  <c r="AF1073" i="71"/>
  <c r="E1061" i="71"/>
  <c r="AE1075" i="71" s="1"/>
  <c r="AF1072" i="71"/>
  <c r="AE981" i="71"/>
  <c r="AF1077" i="71"/>
  <c r="AF1063" i="71"/>
  <c r="AF1060" i="71"/>
  <c r="AF1075" i="71"/>
  <c r="AF1080" i="71"/>
  <c r="AF1065" i="71"/>
  <c r="AF1068" i="71"/>
  <c r="AF1061" i="71"/>
  <c r="AF1081" i="71"/>
  <c r="AF1071" i="71"/>
  <c r="AF1079" i="71"/>
  <c r="AF1078" i="71"/>
  <c r="AF1066" i="71"/>
  <c r="AF1074" i="71"/>
  <c r="AF1064" i="71"/>
  <c r="AF1062" i="71"/>
  <c r="AF1067" i="71"/>
  <c r="AF1076" i="71"/>
  <c r="AF1069" i="71"/>
  <c r="AF1070" i="71"/>
  <c r="M19" i="71"/>
  <c r="M20" i="71"/>
  <c r="AG993" i="71"/>
  <c r="AG1028" i="71"/>
  <c r="R64" i="71"/>
  <c r="E1064" i="71"/>
  <c r="AE1019" i="71"/>
  <c r="AE984" i="71"/>
  <c r="B932" i="71"/>
  <c r="Q29" i="71"/>
  <c r="N30" i="71"/>
  <c r="N19" i="71"/>
  <c r="W1067" i="71"/>
  <c r="AF1110" i="71" s="1"/>
  <c r="V1067" i="71"/>
  <c r="AF1109" i="71" s="1"/>
  <c r="AQ962" i="71"/>
  <c r="AD1023" i="71"/>
  <c r="AD988" i="71"/>
  <c r="R1095" i="71"/>
  <c r="C955" i="71"/>
  <c r="C983" i="71"/>
  <c r="AP952" i="71"/>
  <c r="E1066" i="71"/>
  <c r="AE1021" i="71"/>
  <c r="AE986" i="71"/>
  <c r="F1069" i="71"/>
  <c r="AF1024" i="71"/>
  <c r="AF989" i="71"/>
  <c r="B984" i="71"/>
  <c r="B956" i="71"/>
  <c r="AN918" i="71"/>
  <c r="AG918" i="71"/>
  <c r="AO953" i="71"/>
  <c r="AT953" i="71" s="1"/>
  <c r="B926" i="71"/>
  <c r="I29" i="71"/>
  <c r="F19" i="71"/>
  <c r="F30" i="71"/>
  <c r="AD985" i="71"/>
  <c r="AD1020" i="71"/>
  <c r="R1092" i="71"/>
  <c r="F1063" i="71"/>
  <c r="AF1018" i="71"/>
  <c r="AF983" i="71"/>
  <c r="E1071" i="71"/>
  <c r="AE991" i="71"/>
  <c r="AE1026" i="71"/>
  <c r="AO959" i="71"/>
  <c r="AT959" i="71" s="1"/>
  <c r="AN924" i="71"/>
  <c r="B990" i="71"/>
  <c r="B962" i="71"/>
  <c r="AG924" i="71"/>
  <c r="W1068" i="71"/>
  <c r="AF1113" i="71" s="1"/>
  <c r="V1068" i="71"/>
  <c r="AF1112" i="71" s="1"/>
  <c r="B982" i="71"/>
  <c r="B954" i="71"/>
  <c r="AG916" i="71"/>
  <c r="AO951" i="71"/>
  <c r="AT951" i="71" s="1"/>
  <c r="AN916" i="71"/>
  <c r="C980" i="71"/>
  <c r="C952" i="71"/>
  <c r="AP949" i="71"/>
  <c r="C936" i="71"/>
  <c r="AD1022" i="71"/>
  <c r="AD987" i="71"/>
  <c r="R1094" i="71"/>
  <c r="F1060" i="71"/>
  <c r="AF1015" i="71"/>
  <c r="D993" i="71"/>
  <c r="AF980" i="71"/>
  <c r="V1065" i="71"/>
  <c r="AF1103" i="71" s="1"/>
  <c r="W1065" i="71"/>
  <c r="AF1104" i="71" s="1"/>
  <c r="E1062" i="71"/>
  <c r="AE1017" i="71"/>
  <c r="AE982" i="71"/>
  <c r="B986" i="71"/>
  <c r="AN920" i="71"/>
  <c r="AG920" i="71"/>
  <c r="B958" i="71"/>
  <c r="AO955" i="71"/>
  <c r="AT955" i="71" s="1"/>
  <c r="E1070" i="71"/>
  <c r="AE1025" i="71"/>
  <c r="AE990" i="71"/>
  <c r="C989" i="71"/>
  <c r="AP958" i="71"/>
  <c r="C961" i="71"/>
  <c r="B923" i="71"/>
  <c r="E29" i="71"/>
  <c r="B30" i="71"/>
  <c r="B19" i="71"/>
  <c r="B991" i="71"/>
  <c r="AO960" i="71"/>
  <c r="AT960" i="71" s="1"/>
  <c r="AN925" i="71"/>
  <c r="B963" i="71"/>
  <c r="AG925" i="71"/>
  <c r="Q268" i="68"/>
  <c r="M268" i="68"/>
  <c r="I268" i="68"/>
  <c r="E268" i="68"/>
  <c r="AE1070" i="71" l="1"/>
  <c r="AE1076" i="71"/>
  <c r="AE1063" i="71"/>
  <c r="AE1064" i="71"/>
  <c r="AE1072" i="71"/>
  <c r="AE1065" i="71"/>
  <c r="AE1066" i="71"/>
  <c r="AE1071" i="71"/>
  <c r="AE1080" i="71"/>
  <c r="AE1078" i="71"/>
  <c r="AE1081" i="71"/>
  <c r="AE1060" i="71"/>
  <c r="AE1067" i="71"/>
  <c r="V1061" i="71"/>
  <c r="AF1091" i="71" s="1"/>
  <c r="AE1073" i="71"/>
  <c r="AE1082" i="71"/>
  <c r="AE1068" i="71"/>
  <c r="AE1069" i="71"/>
  <c r="AE1074" i="71"/>
  <c r="AE1061" i="71"/>
  <c r="W1061" i="71"/>
  <c r="AF1092" i="71" s="1"/>
  <c r="AE1062" i="71"/>
  <c r="AE1077" i="71"/>
  <c r="AE1083" i="71"/>
  <c r="AE1079" i="71"/>
  <c r="AF1084" i="71"/>
  <c r="I19" i="71"/>
  <c r="I20" i="71"/>
  <c r="E19" i="71"/>
  <c r="E20" i="71"/>
  <c r="AF993" i="71"/>
  <c r="B989" i="71"/>
  <c r="B961" i="71"/>
  <c r="AO958" i="71"/>
  <c r="AT958" i="71" s="1"/>
  <c r="AN923" i="71"/>
  <c r="AG923" i="71"/>
  <c r="V1062" i="71"/>
  <c r="AF1094" i="71" s="1"/>
  <c r="W1062" i="71"/>
  <c r="AF1095" i="71" s="1"/>
  <c r="AD1026" i="71"/>
  <c r="AD991" i="71"/>
  <c r="R1098" i="71"/>
  <c r="W1070" i="71"/>
  <c r="AF1119" i="71" s="1"/>
  <c r="V1070" i="71"/>
  <c r="AF1118" i="71" s="1"/>
  <c r="AD1021" i="71"/>
  <c r="AD986" i="71"/>
  <c r="R1093" i="71"/>
  <c r="AD1017" i="71"/>
  <c r="AD982" i="71"/>
  <c r="R1089" i="71"/>
  <c r="V1071" i="71"/>
  <c r="AF1121" i="71" s="1"/>
  <c r="W1071" i="71"/>
  <c r="AF1122" i="71" s="1"/>
  <c r="R29" i="71"/>
  <c r="E1069" i="71"/>
  <c r="AE1024" i="71"/>
  <c r="AE989" i="71"/>
  <c r="AP962" i="71"/>
  <c r="B983" i="71"/>
  <c r="AO952" i="71"/>
  <c r="AT952" i="71" s="1"/>
  <c r="AG917" i="71"/>
  <c r="AN917" i="71"/>
  <c r="B955" i="71"/>
  <c r="W1066" i="71"/>
  <c r="AF1107" i="71" s="1"/>
  <c r="V1066" i="71"/>
  <c r="AF1106" i="71" s="1"/>
  <c r="Q20" i="71"/>
  <c r="Q19" i="71"/>
  <c r="B980" i="71"/>
  <c r="B936" i="71"/>
  <c r="AG914" i="71"/>
  <c r="B952" i="71"/>
  <c r="AO949" i="71"/>
  <c r="AN914" i="71"/>
  <c r="AF1028" i="71"/>
  <c r="AD1019" i="71"/>
  <c r="AD984" i="71"/>
  <c r="R1091" i="71"/>
  <c r="E1063" i="71"/>
  <c r="AE983" i="71"/>
  <c r="AE1018" i="71"/>
  <c r="E1060" i="71"/>
  <c r="AE1015" i="71"/>
  <c r="AE980" i="71"/>
  <c r="C993" i="71"/>
  <c r="AD1025" i="71"/>
  <c r="AD990" i="71"/>
  <c r="R1097" i="71"/>
  <c r="W1064" i="71"/>
  <c r="AF1101" i="71" s="1"/>
  <c r="V1064" i="71"/>
  <c r="AF1100" i="71" s="1"/>
  <c r="R268" i="68"/>
  <c r="AE1084" i="71" l="1"/>
  <c r="R19" i="71"/>
  <c r="R20" i="71"/>
  <c r="AE993" i="71"/>
  <c r="V1060" i="71"/>
  <c r="AF1088" i="71" s="1"/>
  <c r="W1060" i="71"/>
  <c r="AF1089" i="71" s="1"/>
  <c r="V1063" i="71"/>
  <c r="AF1097" i="71" s="1"/>
  <c r="W1063" i="71"/>
  <c r="AF1098" i="71" s="1"/>
  <c r="AD1018" i="71"/>
  <c r="AD983" i="71"/>
  <c r="R1090" i="71"/>
  <c r="W1069" i="71"/>
  <c r="AF1116" i="71" s="1"/>
  <c r="V1069" i="71"/>
  <c r="AF1115" i="71" s="1"/>
  <c r="AE1028" i="71"/>
  <c r="AG927" i="71"/>
  <c r="AO962" i="71"/>
  <c r="AT949" i="71"/>
  <c r="AT962" i="71" s="1"/>
  <c r="B993" i="71"/>
  <c r="R1099" i="71" s="1"/>
  <c r="AD980" i="71"/>
  <c r="AD1015" i="71"/>
  <c r="R1087" i="71"/>
  <c r="AD1024" i="71"/>
  <c r="AD989" i="71"/>
  <c r="R1096" i="71"/>
  <c r="Q272" i="68"/>
  <c r="M272" i="68"/>
  <c r="I272" i="68"/>
  <c r="E272" i="68"/>
  <c r="AD993" i="71" l="1"/>
  <c r="AD1028" i="71"/>
  <c r="R272" i="68"/>
  <c r="F17" i="68"/>
  <c r="C324" i="68" l="1"/>
  <c r="P395" i="62" l="1"/>
  <c r="M198" i="62"/>
  <c r="I198" i="62"/>
  <c r="E198" i="62"/>
  <c r="Q198" i="62"/>
  <c r="Q196" i="62"/>
  <c r="M196" i="62"/>
  <c r="I196" i="62"/>
  <c r="E196" i="62"/>
  <c r="Q361" i="62"/>
  <c r="M361" i="62"/>
  <c r="I361" i="62"/>
  <c r="E361" i="62"/>
  <c r="P180" i="62"/>
  <c r="O177" i="62"/>
  <c r="P177" i="62"/>
  <c r="P178" i="62"/>
  <c r="Q360" i="62"/>
  <c r="M360" i="62"/>
  <c r="I360" i="62"/>
  <c r="E360" i="62"/>
  <c r="R198" i="62" l="1"/>
  <c r="R196" i="62"/>
  <c r="R361" i="62"/>
  <c r="R360" i="62"/>
  <c r="O395" i="62" l="1"/>
  <c r="Q164" i="62" l="1"/>
  <c r="M164" i="62"/>
  <c r="I164" i="62"/>
  <c r="E164" i="62"/>
  <c r="E344" i="62"/>
  <c r="I344" i="62"/>
  <c r="M344" i="62"/>
  <c r="Q344" i="62"/>
  <c r="N180" i="62"/>
  <c r="O180" i="62"/>
  <c r="N177" i="62"/>
  <c r="R164" i="62" l="1"/>
  <c r="R344" i="62"/>
  <c r="B638" i="68" l="1"/>
  <c r="B637" i="68"/>
  <c r="Q631" i="68"/>
  <c r="M631" i="68"/>
  <c r="I631" i="68"/>
  <c r="E631" i="68"/>
  <c r="E225" i="68"/>
  <c r="M225" i="68"/>
  <c r="I225" i="68"/>
  <c r="Q225" i="68"/>
  <c r="R631" i="68" l="1"/>
  <c r="R225" i="68"/>
  <c r="Q153" i="62" l="1"/>
  <c r="M153" i="62"/>
  <c r="I153" i="62"/>
  <c r="E153" i="62"/>
  <c r="L269" i="62"/>
  <c r="H395" i="62"/>
  <c r="K395" i="62"/>
  <c r="J395" i="62"/>
  <c r="R153" i="62" l="1"/>
  <c r="M139" i="62"/>
  <c r="L180" i="62" l="1"/>
  <c r="K180" i="62"/>
  <c r="J180" i="62"/>
  <c r="J181" i="62"/>
  <c r="L178" i="62" l="1"/>
  <c r="K178" i="62"/>
  <c r="L154" i="62"/>
  <c r="K261" i="62"/>
  <c r="J261" i="62"/>
  <c r="M309" i="68" l="1"/>
  <c r="I309" i="68"/>
  <c r="E309" i="68"/>
  <c r="P870" i="68" l="1"/>
  <c r="O870" i="68"/>
  <c r="N870" i="68"/>
  <c r="L870" i="68"/>
  <c r="K870" i="68"/>
  <c r="J870" i="68"/>
  <c r="H870" i="68"/>
  <c r="G870" i="68"/>
  <c r="F870" i="68"/>
  <c r="D870" i="68"/>
  <c r="C870" i="68"/>
  <c r="B870" i="68"/>
  <c r="B520" i="68"/>
  <c r="L872" i="68" l="1"/>
  <c r="K872" i="68"/>
  <c r="J872" i="68"/>
  <c r="F872" i="68"/>
  <c r="P871" i="68"/>
  <c r="O871" i="68"/>
  <c r="N871" i="68"/>
  <c r="L871" i="68"/>
  <c r="K871" i="68"/>
  <c r="J871" i="68"/>
  <c r="H871" i="68"/>
  <c r="G871" i="68"/>
  <c r="F871" i="68"/>
  <c r="D871" i="68"/>
  <c r="C871" i="68"/>
  <c r="P851" i="68"/>
  <c r="O851" i="68"/>
  <c r="N851" i="68"/>
  <c r="L851" i="68"/>
  <c r="K851" i="68"/>
  <c r="J851" i="68"/>
  <c r="H851" i="68"/>
  <c r="G851" i="68"/>
  <c r="F851" i="68"/>
  <c r="D851" i="68"/>
  <c r="C851" i="68"/>
  <c r="L869" i="68"/>
  <c r="L868" i="68"/>
  <c r="L867" i="68"/>
  <c r="K869" i="68"/>
  <c r="K868" i="68"/>
  <c r="K867" i="68"/>
  <c r="J869" i="68"/>
  <c r="J868" i="68"/>
  <c r="J867" i="68"/>
  <c r="L864" i="68"/>
  <c r="K864" i="68"/>
  <c r="J864" i="68"/>
  <c r="L860" i="68"/>
  <c r="L859" i="68"/>
  <c r="L858" i="68"/>
  <c r="K860" i="68"/>
  <c r="K859" i="68"/>
  <c r="K858" i="68"/>
  <c r="J860" i="68"/>
  <c r="J859" i="68"/>
  <c r="J858" i="68"/>
  <c r="L855" i="68"/>
  <c r="L854" i="68"/>
  <c r="L853" i="68"/>
  <c r="L852" i="68"/>
  <c r="L850" i="68"/>
  <c r="K855" i="68"/>
  <c r="K854" i="68"/>
  <c r="K853" i="68"/>
  <c r="K852" i="68"/>
  <c r="K850" i="68"/>
  <c r="J855" i="68"/>
  <c r="J854" i="68"/>
  <c r="J853" i="68"/>
  <c r="J852" i="68"/>
  <c r="J850" i="68"/>
  <c r="B872" i="68"/>
  <c r="B871" i="68"/>
  <c r="B869" i="68"/>
  <c r="B868" i="68"/>
  <c r="B867" i="68"/>
  <c r="B863" i="68"/>
  <c r="B852" i="68"/>
  <c r="B851" i="68"/>
  <c r="B859" i="68"/>
  <c r="P860" i="68"/>
  <c r="O860" i="68"/>
  <c r="N860" i="68"/>
  <c r="H860" i="68"/>
  <c r="G860" i="68"/>
  <c r="F860" i="68"/>
  <c r="D860" i="68"/>
  <c r="C860" i="68"/>
  <c r="B860" i="68"/>
  <c r="D850" i="68"/>
  <c r="F850" i="68"/>
  <c r="G850" i="68"/>
  <c r="H850" i="68"/>
  <c r="N850" i="68"/>
  <c r="O850" i="68"/>
  <c r="P850" i="68"/>
  <c r="C850" i="68"/>
  <c r="B874" i="68" l="1"/>
  <c r="E664" i="68"/>
  <c r="C605" i="68"/>
  <c r="Q501" i="68" l="1"/>
  <c r="D509" i="68"/>
  <c r="E501" i="68"/>
  <c r="M501" i="68"/>
  <c r="I501" i="68"/>
  <c r="D382" i="68"/>
  <c r="E335" i="68"/>
  <c r="Q335" i="68"/>
  <c r="M335" i="68"/>
  <c r="I335" i="68"/>
  <c r="P869" i="68"/>
  <c r="P872" i="68"/>
  <c r="O872" i="68"/>
  <c r="N872" i="68"/>
  <c r="H872" i="68"/>
  <c r="G872" i="68"/>
  <c r="D872" i="68"/>
  <c r="C872" i="68"/>
  <c r="P868" i="68"/>
  <c r="R501" i="68" l="1"/>
  <c r="R335" i="68"/>
  <c r="B127" i="68"/>
  <c r="B126" i="68"/>
  <c r="Q124" i="68"/>
  <c r="M124" i="68"/>
  <c r="I124" i="68"/>
  <c r="E124" i="68"/>
  <c r="F126" i="68"/>
  <c r="E125" i="68"/>
  <c r="Q125" i="68"/>
  <c r="M125" i="68"/>
  <c r="I125" i="68"/>
  <c r="B303" i="68"/>
  <c r="B304" i="68"/>
  <c r="R125" i="68" l="1"/>
  <c r="R124" i="68"/>
  <c r="E244" i="68"/>
  <c r="I244" i="68"/>
  <c r="E448" i="68"/>
  <c r="Q448" i="68"/>
  <c r="M448" i="68"/>
  <c r="I448" i="68"/>
  <c r="Q447" i="68"/>
  <c r="M447" i="68"/>
  <c r="I447" i="68"/>
  <c r="E447" i="68"/>
  <c r="Q446" i="68"/>
  <c r="M446" i="68"/>
  <c r="I446" i="68"/>
  <c r="E446" i="68"/>
  <c r="M358" i="68"/>
  <c r="R446" i="68" l="1"/>
  <c r="R448" i="68"/>
  <c r="R447" i="68"/>
  <c r="E617" i="68"/>
  <c r="C620" i="68"/>
  <c r="Q617" i="68"/>
  <c r="M617" i="68"/>
  <c r="I617" i="68"/>
  <c r="R617" i="68" l="1"/>
  <c r="L863" i="68"/>
  <c r="K863" i="68"/>
  <c r="J863" i="68"/>
  <c r="Q161" i="68"/>
  <c r="M161" i="68"/>
  <c r="I161" i="68"/>
  <c r="E161" i="68"/>
  <c r="Q265" i="68"/>
  <c r="Q264" i="68"/>
  <c r="E265" i="68"/>
  <c r="M265" i="68"/>
  <c r="I265" i="68"/>
  <c r="R161" i="68" l="1"/>
  <c r="Q431" i="68"/>
  <c r="M431" i="68"/>
  <c r="I431" i="68"/>
  <c r="E431" i="68"/>
  <c r="R431" i="68" l="1"/>
  <c r="N17" i="62"/>
  <c r="O17" i="62"/>
  <c r="P17" i="62"/>
  <c r="M142" i="68" l="1"/>
  <c r="M144" i="68"/>
  <c r="I144" i="68"/>
  <c r="E144" i="68"/>
  <c r="M143" i="68"/>
  <c r="I143" i="68"/>
  <c r="E143" i="68"/>
  <c r="I142" i="68"/>
  <c r="E142" i="68"/>
  <c r="M141" i="68"/>
  <c r="I141" i="68"/>
  <c r="E141" i="68"/>
  <c r="M499" i="68"/>
  <c r="Q615" i="68"/>
  <c r="O620" i="68"/>
  <c r="Q616" i="68"/>
  <c r="Q632" i="68"/>
  <c r="M615" i="68"/>
  <c r="M616" i="68"/>
  <c r="M632" i="68"/>
  <c r="I615" i="68"/>
  <c r="I616" i="68"/>
  <c r="I632" i="68"/>
  <c r="E615" i="68"/>
  <c r="E616" i="68"/>
  <c r="E632" i="68"/>
  <c r="I590" i="68"/>
  <c r="R616" i="68" l="1"/>
  <c r="R615" i="68"/>
  <c r="R632" i="68"/>
  <c r="D451" i="68"/>
  <c r="Q435" i="68"/>
  <c r="M435" i="68"/>
  <c r="I435" i="68"/>
  <c r="E435" i="68"/>
  <c r="R435" i="68" l="1"/>
  <c r="Q518" i="68"/>
  <c r="M518" i="68"/>
  <c r="I518" i="68"/>
  <c r="E518" i="68"/>
  <c r="R518" i="68" l="1"/>
  <c r="D573" i="68"/>
  <c r="Q571" i="68"/>
  <c r="M571" i="68"/>
  <c r="I571" i="68"/>
  <c r="E571" i="68"/>
  <c r="D638" i="68"/>
  <c r="D637" i="68"/>
  <c r="Q635" i="68"/>
  <c r="M635" i="68"/>
  <c r="I635" i="68"/>
  <c r="E635" i="68"/>
  <c r="D477" i="68"/>
  <c r="D476" i="68"/>
  <c r="M474" i="68"/>
  <c r="Q474" i="68"/>
  <c r="I474" i="68"/>
  <c r="E474" i="68"/>
  <c r="Q468" i="68"/>
  <c r="M468" i="68"/>
  <c r="I468" i="68"/>
  <c r="E468" i="68"/>
  <c r="E412" i="68"/>
  <c r="E353" i="68"/>
  <c r="E252" i="68"/>
  <c r="E240" i="68"/>
  <c r="O1138" i="68"/>
  <c r="K1138" i="68"/>
  <c r="Q1135" i="68"/>
  <c r="M1135" i="68"/>
  <c r="G1135" i="68"/>
  <c r="I1135" i="68" s="1"/>
  <c r="E1135" i="68"/>
  <c r="C1135" i="68"/>
  <c r="Q1134" i="68"/>
  <c r="M1134" i="68"/>
  <c r="G1134" i="68"/>
  <c r="I1134" i="68" s="1"/>
  <c r="E1134" i="68"/>
  <c r="C1134" i="68"/>
  <c r="Q1133" i="68"/>
  <c r="M1133" i="68"/>
  <c r="G1133" i="68"/>
  <c r="I1133" i="68" s="1"/>
  <c r="J1135" i="68" s="1"/>
  <c r="E1133" i="68"/>
  <c r="C1133" i="68"/>
  <c r="Q1132" i="68"/>
  <c r="M1132" i="68"/>
  <c r="G1132" i="68"/>
  <c r="I1132" i="68" s="1"/>
  <c r="E1132" i="68"/>
  <c r="C1132" i="68"/>
  <c r="Q1131" i="68"/>
  <c r="M1131" i="68"/>
  <c r="G1131" i="68"/>
  <c r="I1131" i="68" s="1"/>
  <c r="E1131" i="68"/>
  <c r="C1131" i="68"/>
  <c r="Q1130" i="68"/>
  <c r="M1130" i="68"/>
  <c r="G1130" i="68"/>
  <c r="I1130" i="68" s="1"/>
  <c r="J1132" i="68" s="1"/>
  <c r="E1130" i="68"/>
  <c r="C1130" i="68"/>
  <c r="Q1129" i="68"/>
  <c r="M1129" i="68"/>
  <c r="G1129" i="68"/>
  <c r="I1129" i="68" s="1"/>
  <c r="E1129" i="68"/>
  <c r="C1129" i="68"/>
  <c r="Q1128" i="68"/>
  <c r="M1128" i="68"/>
  <c r="G1128" i="68"/>
  <c r="I1128" i="68" s="1"/>
  <c r="E1128" i="68"/>
  <c r="C1128" i="68"/>
  <c r="Q1127" i="68"/>
  <c r="M1127" i="68"/>
  <c r="G1127" i="68"/>
  <c r="I1127" i="68" s="1"/>
  <c r="J1129" i="68" s="1"/>
  <c r="E1127" i="68"/>
  <c r="C1127" i="68"/>
  <c r="Q1126" i="68"/>
  <c r="M1126" i="68"/>
  <c r="G1126" i="68"/>
  <c r="I1126" i="68" s="1"/>
  <c r="E1126" i="68"/>
  <c r="C1126" i="68"/>
  <c r="Q1125" i="68"/>
  <c r="M1125" i="68"/>
  <c r="G1125" i="68"/>
  <c r="G1138" i="68" s="1"/>
  <c r="E1125" i="68"/>
  <c r="C1125" i="68"/>
  <c r="Q1124" i="68"/>
  <c r="M1124" i="68"/>
  <c r="I1124" i="68"/>
  <c r="E1124" i="68"/>
  <c r="C1124" i="68"/>
  <c r="G1118" i="68"/>
  <c r="O1117" i="68"/>
  <c r="K1117" i="68"/>
  <c r="C1117" i="68"/>
  <c r="I1114" i="68"/>
  <c r="J1111" i="68"/>
  <c r="Q1110" i="68"/>
  <c r="P1086" i="68"/>
  <c r="O1086" i="68" s="1"/>
  <c r="J1086" i="68"/>
  <c r="G1086" i="68" s="1"/>
  <c r="C1059" i="68" s="1"/>
  <c r="I1086" i="68"/>
  <c r="F1086" i="68" s="1"/>
  <c r="B1059" i="68" s="1"/>
  <c r="P1085" i="68"/>
  <c r="O1085" i="68" s="1"/>
  <c r="J1085" i="68"/>
  <c r="I1085" i="68"/>
  <c r="F1085" i="68" s="1"/>
  <c r="B1058" i="68" s="1"/>
  <c r="N1084" i="68"/>
  <c r="P1084" i="68" s="1"/>
  <c r="O1084" i="68" s="1"/>
  <c r="J1084" i="68"/>
  <c r="I1084" i="68"/>
  <c r="F1084" i="68" s="1"/>
  <c r="B1057" i="68" s="1"/>
  <c r="N1083" i="68"/>
  <c r="P1083" i="68" s="1"/>
  <c r="O1083" i="68" s="1"/>
  <c r="J1083" i="68"/>
  <c r="I1083" i="68"/>
  <c r="F1083" i="68" s="1"/>
  <c r="N1082" i="68"/>
  <c r="P1082" i="68" s="1"/>
  <c r="O1082" i="68" s="1"/>
  <c r="J1082" i="68"/>
  <c r="I1082" i="68"/>
  <c r="F1082" i="68" s="1"/>
  <c r="B1055" i="68" s="1"/>
  <c r="N1081" i="68"/>
  <c r="P1081" i="68" s="1"/>
  <c r="O1081" i="68" s="1"/>
  <c r="J1081" i="68"/>
  <c r="I1081" i="68"/>
  <c r="F1081" i="68" s="1"/>
  <c r="B1054" i="68" s="1"/>
  <c r="N1080" i="68"/>
  <c r="P1080" i="68" s="1"/>
  <c r="O1080" i="68" s="1"/>
  <c r="J1080" i="68"/>
  <c r="I1080" i="68"/>
  <c r="F1080" i="68" s="1"/>
  <c r="B1053" i="68" s="1"/>
  <c r="N1079" i="68"/>
  <c r="P1079" i="68" s="1"/>
  <c r="O1079" i="68" s="1"/>
  <c r="J1079" i="68"/>
  <c r="I1079" i="68"/>
  <c r="F1079" i="68" s="1"/>
  <c r="B1052" i="68" s="1"/>
  <c r="P1078" i="68"/>
  <c r="O1078" i="68" s="1"/>
  <c r="J1078" i="68"/>
  <c r="G1078" i="68" s="1"/>
  <c r="C1051" i="68" s="1"/>
  <c r="I1078" i="68"/>
  <c r="P1077" i="68"/>
  <c r="O1077" i="68" s="1"/>
  <c r="J1077" i="68"/>
  <c r="I1077" i="68"/>
  <c r="F1077" i="68" s="1"/>
  <c r="B1050" i="68" s="1"/>
  <c r="N1076" i="68"/>
  <c r="P1076" i="68" s="1"/>
  <c r="O1076" i="68" s="1"/>
  <c r="J1076" i="68"/>
  <c r="G1076" i="68" s="1"/>
  <c r="C1049" i="68" s="1"/>
  <c r="I1076" i="68"/>
  <c r="P1075" i="68"/>
  <c r="O1075" i="68" s="1"/>
  <c r="J1075" i="68"/>
  <c r="G1075" i="68" s="1"/>
  <c r="C1048" i="68" s="1"/>
  <c r="I1075" i="68"/>
  <c r="F1075" i="68" s="1"/>
  <c r="B1048" i="68" s="1"/>
  <c r="B1069" i="68"/>
  <c r="B1066" i="68"/>
  <c r="Q1065" i="68"/>
  <c r="B1056" i="68"/>
  <c r="D1055" i="68"/>
  <c r="D1054" i="68"/>
  <c r="D1053" i="68"/>
  <c r="AE1045" i="68"/>
  <c r="B1044" i="68"/>
  <c r="B1041" i="68"/>
  <c r="Q1040" i="68"/>
  <c r="P1034" i="68"/>
  <c r="P1033" i="68"/>
  <c r="P1032" i="68"/>
  <c r="P1031" i="68"/>
  <c r="P1030" i="68"/>
  <c r="P1029" i="68"/>
  <c r="P1028" i="68"/>
  <c r="P1027" i="68"/>
  <c r="P1026" i="68"/>
  <c r="P1025" i="68"/>
  <c r="P1024" i="68"/>
  <c r="P1023" i="68"/>
  <c r="M1018" i="68"/>
  <c r="N1009" i="68"/>
  <c r="L1009" i="68"/>
  <c r="K1009" i="68"/>
  <c r="I1009" i="68"/>
  <c r="H1009" i="68"/>
  <c r="J1007" i="68"/>
  <c r="J1006" i="68"/>
  <c r="J1005" i="68"/>
  <c r="J1004" i="68"/>
  <c r="J1003" i="68"/>
  <c r="J1002" i="68"/>
  <c r="AR1001" i="68"/>
  <c r="AQ1001" i="68"/>
  <c r="AP1001" i="68"/>
  <c r="AO1001" i="68"/>
  <c r="AN1001" i="68"/>
  <c r="AM1001" i="68"/>
  <c r="AL1001" i="68"/>
  <c r="AK1001" i="68"/>
  <c r="AJ1001" i="68"/>
  <c r="AI1001" i="68"/>
  <c r="AH1001" i="68"/>
  <c r="AG1001" i="68"/>
  <c r="AF1001" i="68"/>
  <c r="AE1001" i="68"/>
  <c r="AD1001" i="68"/>
  <c r="J1001" i="68"/>
  <c r="J1000" i="68"/>
  <c r="J999" i="68"/>
  <c r="J998" i="68"/>
  <c r="J997" i="68"/>
  <c r="J996" i="68"/>
  <c r="AD991" i="68"/>
  <c r="AD988" i="68"/>
  <c r="B988" i="68"/>
  <c r="AR987" i="68"/>
  <c r="B987" i="68"/>
  <c r="Q986" i="68"/>
  <c r="AR966" i="68"/>
  <c r="AQ966" i="68"/>
  <c r="AP966" i="68"/>
  <c r="AO966" i="68"/>
  <c r="AN966" i="68"/>
  <c r="AM966" i="68"/>
  <c r="AL966" i="68"/>
  <c r="AK966" i="68"/>
  <c r="AJ966" i="68"/>
  <c r="AI966" i="68"/>
  <c r="AH966" i="68"/>
  <c r="AG966" i="68"/>
  <c r="AF966" i="68"/>
  <c r="AE966" i="68"/>
  <c r="AD966" i="68"/>
  <c r="B961" i="68"/>
  <c r="B958" i="68"/>
  <c r="Q957" i="68"/>
  <c r="AD956" i="68"/>
  <c r="AD953" i="68"/>
  <c r="AR952" i="68"/>
  <c r="AR935" i="68"/>
  <c r="AQ935" i="68"/>
  <c r="AP935" i="68"/>
  <c r="AO935" i="68"/>
  <c r="AG935" i="68"/>
  <c r="AF935" i="68"/>
  <c r="AE935" i="68"/>
  <c r="AD935" i="68"/>
  <c r="B935" i="68"/>
  <c r="B932" i="68"/>
  <c r="Q931" i="68"/>
  <c r="AR930" i="68"/>
  <c r="AG930" i="68"/>
  <c r="AS927" i="68"/>
  <c r="AH927" i="68"/>
  <c r="AS925" i="68"/>
  <c r="G922" i="68"/>
  <c r="F922" i="68"/>
  <c r="AD913" i="68" s="1"/>
  <c r="AO913" i="68" s="1"/>
  <c r="G921" i="68"/>
  <c r="F921" i="68"/>
  <c r="G920" i="68"/>
  <c r="F920" i="68"/>
  <c r="G919" i="68"/>
  <c r="F919" i="68"/>
  <c r="AD945" i="68" s="1"/>
  <c r="G918" i="68"/>
  <c r="F918" i="68"/>
  <c r="G917" i="68"/>
  <c r="F917" i="68"/>
  <c r="AD908" i="68" s="1"/>
  <c r="AO908" i="68" s="1"/>
  <c r="G916" i="68"/>
  <c r="F916" i="68"/>
  <c r="G915" i="68"/>
  <c r="F915" i="68"/>
  <c r="AD941" i="68" s="1"/>
  <c r="G914" i="68"/>
  <c r="F914" i="68"/>
  <c r="G913" i="68"/>
  <c r="F913" i="68"/>
  <c r="G912" i="68"/>
  <c r="F912" i="68"/>
  <c r="AD903" i="68" s="1"/>
  <c r="G911" i="68"/>
  <c r="F911" i="68"/>
  <c r="B906" i="68"/>
  <c r="B903" i="68"/>
  <c r="Q902" i="68"/>
  <c r="AF894" i="68"/>
  <c r="AS893" i="68"/>
  <c r="AN893" i="68"/>
  <c r="A884" i="68"/>
  <c r="A882" i="68"/>
  <c r="Q878" i="68"/>
  <c r="O873" i="68"/>
  <c r="C873" i="68"/>
  <c r="O869" i="68"/>
  <c r="N869" i="68"/>
  <c r="H869" i="68"/>
  <c r="G869" i="68"/>
  <c r="F869" i="68"/>
  <c r="D869" i="68"/>
  <c r="C869" i="68"/>
  <c r="O868" i="68"/>
  <c r="N868" i="68"/>
  <c r="H868" i="68"/>
  <c r="G868" i="68"/>
  <c r="F868" i="68"/>
  <c r="D868" i="68"/>
  <c r="C868" i="68"/>
  <c r="P867" i="68"/>
  <c r="O867" i="68"/>
  <c r="N867" i="68"/>
  <c r="H867" i="68"/>
  <c r="G867" i="68"/>
  <c r="F867" i="68"/>
  <c r="D867" i="68"/>
  <c r="C867" i="68"/>
  <c r="P864" i="68"/>
  <c r="O864" i="68"/>
  <c r="N864" i="68"/>
  <c r="H864" i="68"/>
  <c r="G864" i="68"/>
  <c r="F864" i="68"/>
  <c r="D864" i="68"/>
  <c r="C864" i="68"/>
  <c r="O863" i="68"/>
  <c r="P859" i="68"/>
  <c r="O859" i="68"/>
  <c r="N859" i="68"/>
  <c r="H859" i="68"/>
  <c r="G859" i="68"/>
  <c r="F859" i="68"/>
  <c r="D859" i="68"/>
  <c r="C859" i="68"/>
  <c r="P858" i="68"/>
  <c r="O858" i="68"/>
  <c r="N858" i="68"/>
  <c r="H858" i="68"/>
  <c r="G858" i="68"/>
  <c r="F858" i="68"/>
  <c r="D858" i="68"/>
  <c r="C858" i="68"/>
  <c r="B858" i="68"/>
  <c r="P855" i="68"/>
  <c r="O855" i="68"/>
  <c r="N855" i="68"/>
  <c r="H855" i="68"/>
  <c r="G855" i="68"/>
  <c r="F855" i="68"/>
  <c r="D855" i="68"/>
  <c r="C855" i="68"/>
  <c r="B855" i="68"/>
  <c r="P854" i="68"/>
  <c r="H854" i="68"/>
  <c r="G854" i="68"/>
  <c r="F854" i="68"/>
  <c r="D854" i="68"/>
  <c r="C854" i="68"/>
  <c r="B854" i="68"/>
  <c r="P853" i="68"/>
  <c r="O853" i="68"/>
  <c r="N853" i="68"/>
  <c r="H853" i="68"/>
  <c r="G853" i="68"/>
  <c r="F853" i="68"/>
  <c r="D853" i="68"/>
  <c r="C853" i="68"/>
  <c r="B853" i="68"/>
  <c r="P852" i="68"/>
  <c r="O852" i="68"/>
  <c r="N852" i="68"/>
  <c r="H852" i="68"/>
  <c r="G852" i="68"/>
  <c r="F852" i="68"/>
  <c r="D852" i="68"/>
  <c r="C852" i="68"/>
  <c r="A843" i="68"/>
  <c r="A841" i="68"/>
  <c r="Q837" i="68"/>
  <c r="Q830" i="68"/>
  <c r="M830" i="68"/>
  <c r="I830" i="68"/>
  <c r="E830" i="68"/>
  <c r="P828" i="68"/>
  <c r="O828" i="68"/>
  <c r="N828" i="68"/>
  <c r="L828" i="68"/>
  <c r="K828" i="68"/>
  <c r="J828" i="68"/>
  <c r="H828" i="68"/>
  <c r="G828" i="68"/>
  <c r="F828" i="68"/>
  <c r="D828" i="68"/>
  <c r="C828" i="68"/>
  <c r="B828" i="68"/>
  <c r="P827" i="68"/>
  <c r="O827" i="68"/>
  <c r="N827" i="68"/>
  <c r="L827" i="68"/>
  <c r="K827" i="68"/>
  <c r="J827" i="68"/>
  <c r="H827" i="68"/>
  <c r="G827" i="68"/>
  <c r="F827" i="68"/>
  <c r="D827" i="68"/>
  <c r="C827" i="68"/>
  <c r="B827" i="68"/>
  <c r="Q824" i="68"/>
  <c r="M824" i="68"/>
  <c r="I824" i="68"/>
  <c r="E824" i="68"/>
  <c r="Q823" i="68"/>
  <c r="M823" i="68"/>
  <c r="I823" i="68"/>
  <c r="E823" i="68"/>
  <c r="Q821" i="68"/>
  <c r="M821" i="68"/>
  <c r="I821" i="68"/>
  <c r="E821" i="68"/>
  <c r="Q820" i="68"/>
  <c r="M820" i="68"/>
  <c r="I820" i="68"/>
  <c r="E820" i="68"/>
  <c r="P817" i="68"/>
  <c r="O817" i="68"/>
  <c r="N817" i="68"/>
  <c r="L817" i="68"/>
  <c r="K817" i="68"/>
  <c r="J817" i="68"/>
  <c r="H817" i="68"/>
  <c r="G817" i="68"/>
  <c r="F817" i="68"/>
  <c r="D817" i="68"/>
  <c r="C817" i="68"/>
  <c r="B817" i="68"/>
  <c r="Q816" i="68"/>
  <c r="M816" i="68"/>
  <c r="I816" i="68"/>
  <c r="E816" i="68"/>
  <c r="Q815" i="68"/>
  <c r="M815" i="68"/>
  <c r="I815" i="68"/>
  <c r="E815" i="68"/>
  <c r="Q814" i="68"/>
  <c r="M814" i="68"/>
  <c r="I814" i="68"/>
  <c r="E814" i="68"/>
  <c r="Q813" i="68"/>
  <c r="M813" i="68"/>
  <c r="I813" i="68"/>
  <c r="E813" i="68"/>
  <c r="Q811" i="68"/>
  <c r="M811" i="68"/>
  <c r="I811" i="68"/>
  <c r="E811" i="68"/>
  <c r="Q810" i="68"/>
  <c r="M810" i="68"/>
  <c r="I810" i="68"/>
  <c r="E810" i="68"/>
  <c r="P807" i="68"/>
  <c r="O807" i="68"/>
  <c r="N807" i="68"/>
  <c r="L807" i="68"/>
  <c r="K807" i="68"/>
  <c r="J807" i="68"/>
  <c r="H807" i="68"/>
  <c r="G807" i="68"/>
  <c r="F807" i="68"/>
  <c r="D807" i="68"/>
  <c r="C807" i="68"/>
  <c r="B807" i="68"/>
  <c r="Q805" i="68"/>
  <c r="M805" i="68"/>
  <c r="I805" i="68"/>
  <c r="E805" i="68"/>
  <c r="P802" i="68"/>
  <c r="O802" i="68"/>
  <c r="N802" i="68"/>
  <c r="L802" i="68"/>
  <c r="K802" i="68"/>
  <c r="J802" i="68"/>
  <c r="H802" i="68"/>
  <c r="G802" i="68"/>
  <c r="F802" i="68"/>
  <c r="D802" i="68"/>
  <c r="C802" i="68"/>
  <c r="B802" i="68"/>
  <c r="Q800" i="68"/>
  <c r="M800" i="68"/>
  <c r="I800" i="68"/>
  <c r="E800" i="68"/>
  <c r="Q797" i="68"/>
  <c r="M797" i="68"/>
  <c r="I797" i="68"/>
  <c r="E797" i="68"/>
  <c r="Q796" i="68"/>
  <c r="M796" i="68"/>
  <c r="I796" i="68"/>
  <c r="E796" i="68"/>
  <c r="Q795" i="68"/>
  <c r="M795" i="68"/>
  <c r="I795" i="68"/>
  <c r="E795" i="68"/>
  <c r="Q794" i="68"/>
  <c r="M794" i="68"/>
  <c r="I794" i="68"/>
  <c r="E794" i="68"/>
  <c r="Q793" i="68"/>
  <c r="M793" i="68"/>
  <c r="I793" i="68"/>
  <c r="E793" i="68"/>
  <c r="Q781" i="68"/>
  <c r="M781" i="68"/>
  <c r="I781" i="68"/>
  <c r="E781" i="68"/>
  <c r="Q780" i="68"/>
  <c r="M780" i="68"/>
  <c r="I780" i="68"/>
  <c r="E780" i="68"/>
  <c r="P778" i="68"/>
  <c r="O778" i="68"/>
  <c r="N778" i="68"/>
  <c r="L778" i="68"/>
  <c r="K778" i="68"/>
  <c r="J778" i="68"/>
  <c r="H778" i="68"/>
  <c r="G778" i="68"/>
  <c r="F778" i="68"/>
  <c r="D778" i="68"/>
  <c r="C778" i="68"/>
  <c r="B778" i="68"/>
  <c r="P777" i="68"/>
  <c r="O777" i="68"/>
  <c r="N777" i="68"/>
  <c r="L777" i="68"/>
  <c r="K777" i="68"/>
  <c r="J777" i="68"/>
  <c r="H777" i="68"/>
  <c r="G777" i="68"/>
  <c r="F777" i="68"/>
  <c r="D777" i="68"/>
  <c r="C777" i="68"/>
  <c r="B777" i="68"/>
  <c r="P771" i="68"/>
  <c r="O771" i="68"/>
  <c r="N771" i="68"/>
  <c r="L771" i="68"/>
  <c r="K771" i="68"/>
  <c r="J771" i="68"/>
  <c r="H771" i="68"/>
  <c r="G771" i="68"/>
  <c r="F771" i="68"/>
  <c r="D771" i="68"/>
  <c r="C771" i="68"/>
  <c r="B771" i="68"/>
  <c r="P767" i="68"/>
  <c r="O767" i="68"/>
  <c r="N767" i="68"/>
  <c r="L767" i="68"/>
  <c r="K767" i="68"/>
  <c r="J767" i="68"/>
  <c r="H767" i="68"/>
  <c r="G767" i="68"/>
  <c r="F767" i="68"/>
  <c r="D767" i="68"/>
  <c r="C767" i="68"/>
  <c r="B767" i="68"/>
  <c r="P763" i="68"/>
  <c r="O763" i="68"/>
  <c r="N763" i="68"/>
  <c r="L763" i="68"/>
  <c r="K763" i="68"/>
  <c r="J763" i="68"/>
  <c r="H763" i="68"/>
  <c r="G763" i="68"/>
  <c r="F763" i="68"/>
  <c r="D763" i="68"/>
  <c r="C763" i="68"/>
  <c r="B763" i="68"/>
  <c r="Q759" i="68"/>
  <c r="M759" i="68"/>
  <c r="I759" i="68"/>
  <c r="E759" i="68"/>
  <c r="P749" i="68"/>
  <c r="O749" i="68"/>
  <c r="N749" i="68"/>
  <c r="L749" i="68"/>
  <c r="K749" i="68"/>
  <c r="J749" i="68"/>
  <c r="H749" i="68"/>
  <c r="G749" i="68"/>
  <c r="F749" i="68"/>
  <c r="D749" i="68"/>
  <c r="C749" i="68"/>
  <c r="B749" i="68"/>
  <c r="Q747" i="68"/>
  <c r="M747" i="68"/>
  <c r="I747" i="68"/>
  <c r="E747" i="68"/>
  <c r="Q737" i="68"/>
  <c r="M737" i="68"/>
  <c r="I737" i="68"/>
  <c r="E737" i="68"/>
  <c r="P735" i="68"/>
  <c r="O735" i="68"/>
  <c r="N735" i="68"/>
  <c r="L735" i="68"/>
  <c r="K735" i="68"/>
  <c r="J735" i="68"/>
  <c r="H735" i="68"/>
  <c r="G735" i="68"/>
  <c r="F735" i="68"/>
  <c r="D735" i="68"/>
  <c r="C735" i="68"/>
  <c r="B735" i="68"/>
  <c r="P734" i="68"/>
  <c r="O734" i="68"/>
  <c r="N734" i="68"/>
  <c r="L734" i="68"/>
  <c r="K734" i="68"/>
  <c r="J734" i="68"/>
  <c r="H734" i="68"/>
  <c r="G734" i="68"/>
  <c r="F734" i="68"/>
  <c r="D734" i="68"/>
  <c r="C734" i="68"/>
  <c r="B734" i="68"/>
  <c r="Q731" i="68"/>
  <c r="M731" i="68"/>
  <c r="I731" i="68"/>
  <c r="E731" i="68"/>
  <c r="Q730" i="68"/>
  <c r="M730" i="68"/>
  <c r="I730" i="68"/>
  <c r="E730" i="68"/>
  <c r="Q729" i="68"/>
  <c r="M729" i="68"/>
  <c r="I729" i="68"/>
  <c r="E729" i="68"/>
  <c r="Q728" i="68"/>
  <c r="M728" i="68"/>
  <c r="I728" i="68"/>
  <c r="E728" i="68"/>
  <c r="P724" i="68"/>
  <c r="O724" i="68"/>
  <c r="N724" i="68"/>
  <c r="L724" i="68"/>
  <c r="K724" i="68"/>
  <c r="J724" i="68"/>
  <c r="H724" i="68"/>
  <c r="G724" i="68"/>
  <c r="F724" i="68"/>
  <c r="D724" i="68"/>
  <c r="C724" i="68"/>
  <c r="B724" i="68"/>
  <c r="Q723" i="68"/>
  <c r="M723" i="68"/>
  <c r="I723" i="68"/>
  <c r="E723" i="68"/>
  <c r="Q721" i="68"/>
  <c r="M721" i="68"/>
  <c r="I721" i="68"/>
  <c r="E721" i="68"/>
  <c r="Q720" i="68"/>
  <c r="M720" i="68"/>
  <c r="I720" i="68"/>
  <c r="E720" i="68"/>
  <c r="Q719" i="68"/>
  <c r="M719" i="68"/>
  <c r="I719" i="68"/>
  <c r="E719" i="68"/>
  <c r="Q718" i="68"/>
  <c r="M718" i="68"/>
  <c r="I718" i="68"/>
  <c r="E718" i="68"/>
  <c r="Q717" i="68"/>
  <c r="M717" i="68"/>
  <c r="I717" i="68"/>
  <c r="E717" i="68"/>
  <c r="Q716" i="68"/>
  <c r="M716" i="68"/>
  <c r="I716" i="68"/>
  <c r="E716" i="68"/>
  <c r="Q714" i="68"/>
  <c r="M714" i="68"/>
  <c r="I714" i="68"/>
  <c r="E714" i="68"/>
  <c r="P711" i="68"/>
  <c r="O711" i="68"/>
  <c r="N711" i="68"/>
  <c r="L711" i="68"/>
  <c r="K711" i="68"/>
  <c r="J711" i="68"/>
  <c r="H711" i="68"/>
  <c r="G711" i="68"/>
  <c r="F711" i="68"/>
  <c r="D711" i="68"/>
  <c r="C711" i="68"/>
  <c r="B711" i="68"/>
  <c r="P707" i="68"/>
  <c r="O707" i="68"/>
  <c r="N707" i="68"/>
  <c r="L707" i="68"/>
  <c r="K707" i="68"/>
  <c r="J707" i="68"/>
  <c r="H707" i="68"/>
  <c r="G707" i="68"/>
  <c r="F707" i="68"/>
  <c r="D707" i="68"/>
  <c r="C707" i="68"/>
  <c r="B707" i="68"/>
  <c r="Q703" i="68"/>
  <c r="M703" i="68"/>
  <c r="I703" i="68"/>
  <c r="E703" i="68"/>
  <c r="Q702" i="68"/>
  <c r="M702" i="68"/>
  <c r="I702" i="68"/>
  <c r="E702" i="68"/>
  <c r="Q701" i="68"/>
  <c r="M701" i="68"/>
  <c r="I701" i="68"/>
  <c r="E701" i="68"/>
  <c r="Q700" i="68"/>
  <c r="M700" i="68"/>
  <c r="I700" i="68"/>
  <c r="E700" i="68"/>
  <c r="Q699" i="68"/>
  <c r="M699" i="68"/>
  <c r="I699" i="68"/>
  <c r="E699" i="68"/>
  <c r="Q698" i="68"/>
  <c r="M698" i="68"/>
  <c r="I698" i="68"/>
  <c r="E698" i="68"/>
  <c r="Q686" i="68"/>
  <c r="M686" i="68"/>
  <c r="I686" i="68"/>
  <c r="E686" i="68"/>
  <c r="P684" i="68"/>
  <c r="O684" i="68"/>
  <c r="N684" i="68"/>
  <c r="L684" i="68"/>
  <c r="K684" i="68"/>
  <c r="J684" i="68"/>
  <c r="H684" i="68"/>
  <c r="G684" i="68"/>
  <c r="F684" i="68"/>
  <c r="D684" i="68"/>
  <c r="C684" i="68"/>
  <c r="B684" i="68"/>
  <c r="P683" i="68"/>
  <c r="O683" i="68"/>
  <c r="N683" i="68"/>
  <c r="L683" i="68"/>
  <c r="K683" i="68"/>
  <c r="J683" i="68"/>
  <c r="H683" i="68"/>
  <c r="G683" i="68"/>
  <c r="F683" i="68"/>
  <c r="D683" i="68"/>
  <c r="C683" i="68"/>
  <c r="B683" i="68"/>
  <c r="Q680" i="68"/>
  <c r="M680" i="68"/>
  <c r="I680" i="68"/>
  <c r="E680" i="68"/>
  <c r="P676" i="68"/>
  <c r="O676" i="68"/>
  <c r="N676" i="68"/>
  <c r="L676" i="68"/>
  <c r="K676" i="68"/>
  <c r="J676" i="68"/>
  <c r="H676" i="68"/>
  <c r="G676" i="68"/>
  <c r="F676" i="68"/>
  <c r="D676" i="68"/>
  <c r="C676" i="68"/>
  <c r="B676" i="68"/>
  <c r="P672" i="68"/>
  <c r="O672" i="68"/>
  <c r="N672" i="68"/>
  <c r="L672" i="68"/>
  <c r="K672" i="68"/>
  <c r="J672" i="68"/>
  <c r="H672" i="68"/>
  <c r="G672" i="68"/>
  <c r="F672" i="68"/>
  <c r="D672" i="68"/>
  <c r="C672" i="68"/>
  <c r="B672" i="68"/>
  <c r="P668" i="68"/>
  <c r="O668" i="68"/>
  <c r="N668" i="68"/>
  <c r="L668" i="68"/>
  <c r="K668" i="68"/>
  <c r="J668" i="68"/>
  <c r="H668" i="68"/>
  <c r="G668" i="68"/>
  <c r="F668" i="68"/>
  <c r="D668" i="68"/>
  <c r="C668" i="68"/>
  <c r="B668" i="68"/>
  <c r="Q664" i="68"/>
  <c r="M664" i="68"/>
  <c r="I664" i="68"/>
  <c r="Q663" i="68"/>
  <c r="M663" i="68"/>
  <c r="I663" i="68"/>
  <c r="E663" i="68"/>
  <c r="Q662" i="68"/>
  <c r="M662" i="68"/>
  <c r="I662" i="68"/>
  <c r="E662" i="68"/>
  <c r="P652" i="68"/>
  <c r="O652" i="68"/>
  <c r="N652" i="68"/>
  <c r="L652" i="68"/>
  <c r="K652" i="68"/>
  <c r="J652" i="68"/>
  <c r="H652" i="68"/>
  <c r="G652" i="68"/>
  <c r="F652" i="68"/>
  <c r="D652" i="68"/>
  <c r="C652" i="68"/>
  <c r="B652" i="68"/>
  <c r="Q650" i="68"/>
  <c r="M650" i="68"/>
  <c r="I650" i="68"/>
  <c r="E650" i="68"/>
  <c r="Q640" i="68"/>
  <c r="M640" i="68"/>
  <c r="I640" i="68"/>
  <c r="E640" i="68"/>
  <c r="P638" i="68"/>
  <c r="O638" i="68"/>
  <c r="N638" i="68"/>
  <c r="L638" i="68"/>
  <c r="K638" i="68"/>
  <c r="J638" i="68"/>
  <c r="H638" i="68"/>
  <c r="G638" i="68"/>
  <c r="F638" i="68"/>
  <c r="C638" i="68"/>
  <c r="P637" i="68"/>
  <c r="O637" i="68"/>
  <c r="N637" i="68"/>
  <c r="L637" i="68"/>
  <c r="K637" i="68"/>
  <c r="J637" i="68"/>
  <c r="H637" i="68"/>
  <c r="G637" i="68"/>
  <c r="F637" i="68"/>
  <c r="C637" i="68"/>
  <c r="Q636" i="68"/>
  <c r="M636" i="68"/>
  <c r="I636" i="68"/>
  <c r="E636" i="68"/>
  <c r="Q634" i="68"/>
  <c r="M634" i="68"/>
  <c r="I634" i="68"/>
  <c r="E634" i="68"/>
  <c r="Q629" i="68"/>
  <c r="M629" i="68"/>
  <c r="I629" i="68"/>
  <c r="E629" i="68"/>
  <c r="Q628" i="68"/>
  <c r="M628" i="68"/>
  <c r="I628" i="68"/>
  <c r="E628" i="68"/>
  <c r="Q627" i="68"/>
  <c r="M627" i="68"/>
  <c r="I627" i="68"/>
  <c r="E627" i="68"/>
  <c r="Q626" i="68"/>
  <c r="M626" i="68"/>
  <c r="I626" i="68"/>
  <c r="E626" i="68"/>
  <c r="Q624" i="68"/>
  <c r="M624" i="68"/>
  <c r="I624" i="68"/>
  <c r="E624" i="68"/>
  <c r="Q623" i="68"/>
  <c r="M623" i="68"/>
  <c r="I623" i="68"/>
  <c r="E623" i="68"/>
  <c r="P620" i="68"/>
  <c r="N620" i="68"/>
  <c r="L620" i="68"/>
  <c r="K620" i="68"/>
  <c r="J620" i="68"/>
  <c r="H620" i="68"/>
  <c r="G620" i="68"/>
  <c r="F620" i="68"/>
  <c r="D620" i="68"/>
  <c r="B620" i="68"/>
  <c r="Q619" i="68"/>
  <c r="M619" i="68"/>
  <c r="I619" i="68"/>
  <c r="E619" i="68"/>
  <c r="Q618" i="68"/>
  <c r="M618" i="68"/>
  <c r="I618" i="68"/>
  <c r="E618" i="68"/>
  <c r="P611" i="68"/>
  <c r="O611" i="68"/>
  <c r="N611" i="68"/>
  <c r="L611" i="68"/>
  <c r="K611" i="68"/>
  <c r="J611" i="68"/>
  <c r="H611" i="68"/>
  <c r="G611" i="68"/>
  <c r="F611" i="68"/>
  <c r="D611" i="68"/>
  <c r="C611" i="68"/>
  <c r="B611" i="68"/>
  <c r="Q609" i="68"/>
  <c r="M609" i="68"/>
  <c r="I609" i="68"/>
  <c r="E609" i="68"/>
  <c r="Q608" i="68"/>
  <c r="M608" i="68"/>
  <c r="I608" i="68"/>
  <c r="E608" i="68"/>
  <c r="P605" i="68"/>
  <c r="O605" i="68"/>
  <c r="N605" i="68"/>
  <c r="L605" i="68"/>
  <c r="K605" i="68"/>
  <c r="J605" i="68"/>
  <c r="H605" i="68"/>
  <c r="G605" i="68"/>
  <c r="F605" i="68"/>
  <c r="D605" i="68"/>
  <c r="B605" i="68"/>
  <c r="Q603" i="68"/>
  <c r="M603" i="68"/>
  <c r="I603" i="68"/>
  <c r="E603" i="68"/>
  <c r="Q601" i="68"/>
  <c r="M601" i="68"/>
  <c r="I601" i="68"/>
  <c r="E601" i="68"/>
  <c r="Q599" i="68"/>
  <c r="M599" i="68"/>
  <c r="I599" i="68"/>
  <c r="Q596" i="68"/>
  <c r="M596" i="68"/>
  <c r="I596" i="68"/>
  <c r="E596" i="68"/>
  <c r="Q595" i="68"/>
  <c r="M595" i="68"/>
  <c r="I595" i="68"/>
  <c r="E595" i="68"/>
  <c r="Q594" i="68"/>
  <c r="M594" i="68"/>
  <c r="I594" i="68"/>
  <c r="E594" i="68"/>
  <c r="Q593" i="68"/>
  <c r="M593" i="68"/>
  <c r="I593" i="68"/>
  <c r="E593" i="68"/>
  <c r="Q592" i="68"/>
  <c r="M592" i="68"/>
  <c r="I592" i="68"/>
  <c r="E592" i="68"/>
  <c r="Q591" i="68"/>
  <c r="M591" i="68"/>
  <c r="I591" i="68"/>
  <c r="E591" i="68"/>
  <c r="Q590" i="68"/>
  <c r="M590" i="68"/>
  <c r="E590" i="68"/>
  <c r="Q589" i="68"/>
  <c r="M589" i="68"/>
  <c r="I589" i="68"/>
  <c r="E589" i="68"/>
  <c r="Q588" i="68"/>
  <c r="M588" i="68"/>
  <c r="I588" i="68"/>
  <c r="E588" i="68"/>
  <c r="Q576" i="68"/>
  <c r="M576" i="68"/>
  <c r="I576" i="68"/>
  <c r="E576" i="68"/>
  <c r="P574" i="68"/>
  <c r="O574" i="68"/>
  <c r="N574" i="68"/>
  <c r="L574" i="68"/>
  <c r="K574" i="68"/>
  <c r="J574" i="68"/>
  <c r="H574" i="68"/>
  <c r="G574" i="68"/>
  <c r="F574" i="68"/>
  <c r="D574" i="68"/>
  <c r="C574" i="68"/>
  <c r="B574" i="68"/>
  <c r="P573" i="68"/>
  <c r="O573" i="68"/>
  <c r="N573" i="68"/>
  <c r="L573" i="68"/>
  <c r="K573" i="68"/>
  <c r="J573" i="68"/>
  <c r="H573" i="68"/>
  <c r="G573" i="68"/>
  <c r="F573" i="68"/>
  <c r="C573" i="68"/>
  <c r="B573" i="68"/>
  <c r="Q572" i="68"/>
  <c r="M572" i="68"/>
  <c r="I572" i="68"/>
  <c r="E572" i="68"/>
  <c r="Q570" i="68"/>
  <c r="M570" i="68"/>
  <c r="I570" i="68"/>
  <c r="E570" i="68"/>
  <c r="Q569" i="68"/>
  <c r="M569" i="68"/>
  <c r="I569" i="68"/>
  <c r="E569" i="68"/>
  <c r="Q567" i="68"/>
  <c r="M567" i="68"/>
  <c r="I567" i="68"/>
  <c r="E567" i="68"/>
  <c r="P562" i="68"/>
  <c r="O562" i="68"/>
  <c r="N562" i="68"/>
  <c r="L562" i="68"/>
  <c r="K562" i="68"/>
  <c r="J562" i="68"/>
  <c r="H562" i="68"/>
  <c r="G562" i="68"/>
  <c r="F562" i="68"/>
  <c r="D562" i="68"/>
  <c r="C562" i="68"/>
  <c r="B562" i="68"/>
  <c r="Q561" i="68"/>
  <c r="M561" i="68"/>
  <c r="I561" i="68"/>
  <c r="E561" i="68"/>
  <c r="P557" i="68"/>
  <c r="O557" i="68"/>
  <c r="N557" i="68"/>
  <c r="L557" i="68"/>
  <c r="K557" i="68"/>
  <c r="J557" i="68"/>
  <c r="H557" i="68"/>
  <c r="G557" i="68"/>
  <c r="F557" i="68"/>
  <c r="D557" i="68"/>
  <c r="C557" i="68"/>
  <c r="B557" i="68"/>
  <c r="Q555" i="68"/>
  <c r="M555" i="68"/>
  <c r="I555" i="68"/>
  <c r="E555" i="68"/>
  <c r="Q554" i="68"/>
  <c r="M554" i="68"/>
  <c r="I554" i="68"/>
  <c r="E554" i="68"/>
  <c r="P551" i="68"/>
  <c r="O551" i="68"/>
  <c r="N551" i="68"/>
  <c r="L551" i="68"/>
  <c r="K551" i="68"/>
  <c r="J551" i="68"/>
  <c r="H551" i="68"/>
  <c r="G551" i="68"/>
  <c r="F551" i="68"/>
  <c r="D551" i="68"/>
  <c r="C551" i="68"/>
  <c r="B551" i="68"/>
  <c r="Q547" i="68"/>
  <c r="M547" i="68"/>
  <c r="I547" i="68"/>
  <c r="E547" i="68"/>
  <c r="Q546" i="68"/>
  <c r="M546" i="68"/>
  <c r="I546" i="68"/>
  <c r="E546" i="68"/>
  <c r="Q545" i="68"/>
  <c r="M545" i="68"/>
  <c r="I545" i="68"/>
  <c r="E545" i="68"/>
  <c r="Q544" i="68"/>
  <c r="M544" i="68"/>
  <c r="I544" i="68"/>
  <c r="E544" i="68"/>
  <c r="Q543" i="68"/>
  <c r="M543" i="68"/>
  <c r="I543" i="68"/>
  <c r="E543" i="68"/>
  <c r="Q531" i="68"/>
  <c r="M531" i="68"/>
  <c r="I531" i="68"/>
  <c r="E531" i="68"/>
  <c r="P529" i="68"/>
  <c r="O529" i="68"/>
  <c r="N529" i="68"/>
  <c r="L529" i="68"/>
  <c r="K529" i="68"/>
  <c r="J529" i="68"/>
  <c r="H529" i="68"/>
  <c r="G529" i="68"/>
  <c r="F529" i="68"/>
  <c r="D529" i="68"/>
  <c r="C529" i="68"/>
  <c r="B529" i="68"/>
  <c r="P528" i="68"/>
  <c r="O528" i="68"/>
  <c r="N528" i="68"/>
  <c r="L528" i="68"/>
  <c r="K528" i="68"/>
  <c r="J528" i="68"/>
  <c r="H528" i="68"/>
  <c r="G528" i="68"/>
  <c r="F528" i="68"/>
  <c r="D528" i="68"/>
  <c r="C528" i="68"/>
  <c r="B528" i="68"/>
  <c r="Q527" i="68"/>
  <c r="M527" i="68"/>
  <c r="I527" i="68"/>
  <c r="E527" i="68"/>
  <c r="Q526" i="68"/>
  <c r="M526" i="68"/>
  <c r="I526" i="68"/>
  <c r="E526" i="68"/>
  <c r="P520" i="68"/>
  <c r="O520" i="68"/>
  <c r="N520" i="68"/>
  <c r="L520" i="68"/>
  <c r="K520" i="68"/>
  <c r="J520" i="68"/>
  <c r="H520" i="68"/>
  <c r="G520" i="68"/>
  <c r="F520" i="68"/>
  <c r="D520" i="68"/>
  <c r="C520" i="68"/>
  <c r="Q519" i="68"/>
  <c r="M519" i="68"/>
  <c r="I519" i="68"/>
  <c r="E519" i="68"/>
  <c r="P514" i="68"/>
  <c r="O514" i="68"/>
  <c r="N514" i="68"/>
  <c r="L514" i="68"/>
  <c r="K514" i="68"/>
  <c r="J514" i="68"/>
  <c r="H514" i="68"/>
  <c r="G514" i="68"/>
  <c r="F514" i="68"/>
  <c r="D514" i="68"/>
  <c r="C514" i="68"/>
  <c r="B514" i="68"/>
  <c r="Q512" i="68"/>
  <c r="M512" i="68"/>
  <c r="I512" i="68"/>
  <c r="E512" i="68"/>
  <c r="P509" i="68"/>
  <c r="O509" i="68"/>
  <c r="N509" i="68"/>
  <c r="L509" i="68"/>
  <c r="K509" i="68"/>
  <c r="J509" i="68"/>
  <c r="H509" i="68"/>
  <c r="G509" i="68"/>
  <c r="F509" i="68"/>
  <c r="C509" i="68"/>
  <c r="B509" i="68"/>
  <c r="Q506" i="68"/>
  <c r="M506" i="68"/>
  <c r="I506" i="68"/>
  <c r="E506" i="68"/>
  <c r="Q505" i="68"/>
  <c r="M505" i="68"/>
  <c r="I505" i="68"/>
  <c r="E505" i="68"/>
  <c r="Q503" i="68"/>
  <c r="M503" i="68"/>
  <c r="I503" i="68"/>
  <c r="E503" i="68"/>
  <c r="Q502" i="68"/>
  <c r="M502" i="68"/>
  <c r="I502" i="68"/>
  <c r="E502" i="68"/>
  <c r="Q500" i="68"/>
  <c r="M500" i="68"/>
  <c r="I500" i="68"/>
  <c r="E500" i="68"/>
  <c r="Q499" i="68"/>
  <c r="I499" i="68"/>
  <c r="E499" i="68"/>
  <c r="Q481" i="68"/>
  <c r="M481" i="68"/>
  <c r="I481" i="68"/>
  <c r="E481" i="68"/>
  <c r="Q480" i="68"/>
  <c r="M480" i="68"/>
  <c r="I480" i="68"/>
  <c r="E480" i="68"/>
  <c r="Q479" i="68"/>
  <c r="M479" i="68"/>
  <c r="I479" i="68"/>
  <c r="E479" i="68"/>
  <c r="P477" i="68"/>
  <c r="O477" i="68"/>
  <c r="N477" i="68"/>
  <c r="L477" i="68"/>
  <c r="K477" i="68"/>
  <c r="J477" i="68"/>
  <c r="H477" i="68"/>
  <c r="G477" i="68"/>
  <c r="F477" i="68"/>
  <c r="C477" i="68"/>
  <c r="B477" i="68"/>
  <c r="P476" i="68"/>
  <c r="O476" i="68"/>
  <c r="N476" i="68"/>
  <c r="L476" i="68"/>
  <c r="K476" i="68"/>
  <c r="J476" i="68"/>
  <c r="H476" i="68"/>
  <c r="G476" i="68"/>
  <c r="F476" i="68"/>
  <c r="C476" i="68"/>
  <c r="B476" i="68"/>
  <c r="Q475" i="68"/>
  <c r="M475" i="68"/>
  <c r="I475" i="68"/>
  <c r="E475" i="68"/>
  <c r="Q473" i="68"/>
  <c r="M473" i="68"/>
  <c r="I473" i="68"/>
  <c r="E473" i="68"/>
  <c r="Q472" i="68"/>
  <c r="M472" i="68"/>
  <c r="I472" i="68"/>
  <c r="E472" i="68"/>
  <c r="Q471" i="68"/>
  <c r="M471" i="68"/>
  <c r="I471" i="68"/>
  <c r="E471" i="68"/>
  <c r="Q470" i="68"/>
  <c r="M470" i="68"/>
  <c r="I470" i="68"/>
  <c r="E470" i="68"/>
  <c r="Q469" i="68"/>
  <c r="M469" i="68"/>
  <c r="I469" i="68"/>
  <c r="E469" i="68"/>
  <c r="Q467" i="68"/>
  <c r="M467" i="68"/>
  <c r="I467" i="68"/>
  <c r="E467" i="68"/>
  <c r="Q466" i="68"/>
  <c r="M466" i="68"/>
  <c r="I466" i="68"/>
  <c r="E466" i="68"/>
  <c r="Q464" i="68"/>
  <c r="M464" i="68"/>
  <c r="I464" i="68"/>
  <c r="E464" i="68"/>
  <c r="Q463" i="68"/>
  <c r="M463" i="68"/>
  <c r="I463" i="68"/>
  <c r="E463" i="68"/>
  <c r="Q462" i="68"/>
  <c r="M462" i="68"/>
  <c r="I462" i="68"/>
  <c r="E462" i="68"/>
  <c r="Q461" i="68"/>
  <c r="M461" i="68"/>
  <c r="I461" i="68"/>
  <c r="E461" i="68"/>
  <c r="Q460" i="68"/>
  <c r="M460" i="68"/>
  <c r="I460" i="68"/>
  <c r="E460" i="68"/>
  <c r="Q459" i="68"/>
  <c r="M459" i="68"/>
  <c r="I459" i="68"/>
  <c r="E459" i="68"/>
  <c r="Q457" i="68"/>
  <c r="M457" i="68"/>
  <c r="I457" i="68"/>
  <c r="E457" i="68"/>
  <c r="Q456" i="68"/>
  <c r="M456" i="68"/>
  <c r="I456" i="68"/>
  <c r="E456" i="68"/>
  <c r="Q454" i="68"/>
  <c r="M454" i="68"/>
  <c r="I454" i="68"/>
  <c r="E454" i="68"/>
  <c r="O451" i="68"/>
  <c r="Q450" i="68"/>
  <c r="M450" i="68"/>
  <c r="I450" i="68"/>
  <c r="E450" i="68"/>
  <c r="Q449" i="68"/>
  <c r="M449" i="68"/>
  <c r="I449" i="68"/>
  <c r="E449" i="68"/>
  <c r="Q445" i="68"/>
  <c r="M445" i="68"/>
  <c r="I445" i="68"/>
  <c r="E445" i="68"/>
  <c r="Q444" i="68"/>
  <c r="M444" i="68"/>
  <c r="I444" i="68"/>
  <c r="E444" i="68"/>
  <c r="Q443" i="68"/>
  <c r="M443" i="68"/>
  <c r="I443" i="68"/>
  <c r="E443" i="68"/>
  <c r="Q442" i="68"/>
  <c r="M442" i="68"/>
  <c r="I442" i="68"/>
  <c r="E442" i="68"/>
  <c r="Q441" i="68"/>
  <c r="M441" i="68"/>
  <c r="I441" i="68"/>
  <c r="E441" i="68"/>
  <c r="Q440" i="68"/>
  <c r="M440" i="68"/>
  <c r="I440" i="68"/>
  <c r="E440" i="68"/>
  <c r="Q439" i="68"/>
  <c r="M439" i="68"/>
  <c r="I439" i="68"/>
  <c r="E439" i="68"/>
  <c r="Q438" i="68"/>
  <c r="M438" i="68"/>
  <c r="I438" i="68"/>
  <c r="E438" i="68"/>
  <c r="Q437" i="68"/>
  <c r="M437" i="68"/>
  <c r="I437" i="68"/>
  <c r="E437" i="68"/>
  <c r="Q436" i="68"/>
  <c r="M436" i="68"/>
  <c r="I436" i="68"/>
  <c r="E436" i="68"/>
  <c r="Q434" i="68"/>
  <c r="M434" i="68"/>
  <c r="I434" i="68"/>
  <c r="E434" i="68"/>
  <c r="Q433" i="68"/>
  <c r="M433" i="68"/>
  <c r="I433" i="68"/>
  <c r="E433" i="68"/>
  <c r="Q432" i="68"/>
  <c r="M432" i="68"/>
  <c r="I432" i="68"/>
  <c r="E432" i="68"/>
  <c r="Q430" i="68"/>
  <c r="M430" i="68"/>
  <c r="I430" i="68"/>
  <c r="E430" i="68"/>
  <c r="Q429" i="68"/>
  <c r="M429" i="68"/>
  <c r="I429" i="68"/>
  <c r="E429" i="68"/>
  <c r="Q428" i="68"/>
  <c r="M428" i="68"/>
  <c r="I428" i="68"/>
  <c r="E428" i="68"/>
  <c r="Q427" i="68"/>
  <c r="M427" i="68"/>
  <c r="I427" i="68"/>
  <c r="E427" i="68"/>
  <c r="Q426" i="68"/>
  <c r="M426" i="68"/>
  <c r="I426" i="68"/>
  <c r="E426" i="68"/>
  <c r="Q425" i="68"/>
  <c r="M425" i="68"/>
  <c r="I425" i="68"/>
  <c r="E425" i="68"/>
  <c r="Q424" i="68"/>
  <c r="M424" i="68"/>
  <c r="I424" i="68"/>
  <c r="E424" i="68"/>
  <c r="Q423" i="68"/>
  <c r="M423" i="68"/>
  <c r="I423" i="68"/>
  <c r="E423" i="68"/>
  <c r="Q422" i="68"/>
  <c r="M422" i="68"/>
  <c r="I422" i="68"/>
  <c r="E422" i="68"/>
  <c r="Q421" i="68"/>
  <c r="M421" i="68"/>
  <c r="I421" i="68"/>
  <c r="E421" i="68"/>
  <c r="Q420" i="68"/>
  <c r="M420" i="68"/>
  <c r="I420" i="68"/>
  <c r="E420" i="68"/>
  <c r="Q419" i="68"/>
  <c r="M419" i="68"/>
  <c r="I419" i="68"/>
  <c r="E419" i="68"/>
  <c r="Q418" i="68"/>
  <c r="M418" i="68"/>
  <c r="I418" i="68"/>
  <c r="E418" i="68"/>
  <c r="Q417" i="68"/>
  <c r="M417" i="68"/>
  <c r="I417" i="68"/>
  <c r="E417" i="68"/>
  <c r="Q416" i="68"/>
  <c r="M416" i="68"/>
  <c r="I416" i="68"/>
  <c r="E416" i="68"/>
  <c r="Q415" i="68"/>
  <c r="M415" i="68"/>
  <c r="I415" i="68"/>
  <c r="E415" i="68"/>
  <c r="Q414" i="68"/>
  <c r="M414" i="68"/>
  <c r="I414" i="68"/>
  <c r="E414" i="68"/>
  <c r="Q413" i="68"/>
  <c r="M413" i="68"/>
  <c r="I413" i="68"/>
  <c r="E413" i="68"/>
  <c r="Q412" i="68"/>
  <c r="M412" i="68"/>
  <c r="I412" i="68"/>
  <c r="Q411" i="68"/>
  <c r="M411" i="68"/>
  <c r="I411" i="68"/>
  <c r="E411" i="68"/>
  <c r="Q410" i="68"/>
  <c r="M410" i="68"/>
  <c r="I410" i="68"/>
  <c r="E410" i="68"/>
  <c r="Q409" i="68"/>
  <c r="M409" i="68"/>
  <c r="I409" i="68"/>
  <c r="E409" i="68"/>
  <c r="Q408" i="68"/>
  <c r="M408" i="68"/>
  <c r="I408" i="68"/>
  <c r="E408" i="68"/>
  <c r="Q407" i="68"/>
  <c r="M407" i="68"/>
  <c r="I407" i="68"/>
  <c r="E407" i="68"/>
  <c r="Q406" i="68"/>
  <c r="M406" i="68"/>
  <c r="I406" i="68"/>
  <c r="E406" i="68"/>
  <c r="Q405" i="68"/>
  <c r="M405" i="68"/>
  <c r="I405" i="68"/>
  <c r="E405" i="68"/>
  <c r="Q404" i="68"/>
  <c r="M404" i="68"/>
  <c r="I404" i="68"/>
  <c r="E404" i="68"/>
  <c r="Q403" i="68"/>
  <c r="M403" i="68"/>
  <c r="I403" i="68"/>
  <c r="E403" i="68"/>
  <c r="Q402" i="68"/>
  <c r="M402" i="68"/>
  <c r="I402" i="68"/>
  <c r="E402" i="68"/>
  <c r="N863" i="68"/>
  <c r="M400" i="68"/>
  <c r="K451" i="68"/>
  <c r="I400" i="68"/>
  <c r="F863" i="68"/>
  <c r="E400" i="68"/>
  <c r="C451" i="68"/>
  <c r="Q399" i="68"/>
  <c r="M399" i="68"/>
  <c r="I399" i="68"/>
  <c r="E399" i="68"/>
  <c r="P396" i="68"/>
  <c r="O396" i="68"/>
  <c r="N396" i="68"/>
  <c r="L396" i="68"/>
  <c r="K396" i="68"/>
  <c r="J396" i="68"/>
  <c r="H396" i="68"/>
  <c r="G396" i="68"/>
  <c r="F396" i="68"/>
  <c r="D396" i="68"/>
  <c r="C396" i="68"/>
  <c r="B396" i="68"/>
  <c r="Q394" i="68"/>
  <c r="M394" i="68"/>
  <c r="I394" i="68"/>
  <c r="E394" i="68"/>
  <c r="Q393" i="68"/>
  <c r="M393" i="68"/>
  <c r="I393" i="68"/>
  <c r="E393" i="68"/>
  <c r="Q392" i="68"/>
  <c r="M392" i="68"/>
  <c r="I392" i="68"/>
  <c r="E392" i="68"/>
  <c r="Q391" i="68"/>
  <c r="M391" i="68"/>
  <c r="I391" i="68"/>
  <c r="E391" i="68"/>
  <c r="AK390" i="68"/>
  <c r="AJ390" i="68"/>
  <c r="AI390" i="68"/>
  <c r="AG390" i="68"/>
  <c r="AF390" i="68"/>
  <c r="AE390" i="68"/>
  <c r="Y390" i="68"/>
  <c r="X390" i="68"/>
  <c r="W390" i="68"/>
  <c r="Q390" i="68"/>
  <c r="M390" i="68"/>
  <c r="I390" i="68"/>
  <c r="E390" i="68"/>
  <c r="AK389" i="68"/>
  <c r="AJ389" i="68"/>
  <c r="AI389" i="68"/>
  <c r="AG389" i="68"/>
  <c r="AF389" i="68"/>
  <c r="AE389" i="68"/>
  <c r="Y389" i="68"/>
  <c r="X389" i="68"/>
  <c r="W389" i="68"/>
  <c r="Q389" i="68"/>
  <c r="M389" i="68"/>
  <c r="I389" i="68"/>
  <c r="E389" i="68"/>
  <c r="AK388" i="68"/>
  <c r="AJ388" i="68"/>
  <c r="AI388" i="68"/>
  <c r="AG388" i="68"/>
  <c r="AF388" i="68"/>
  <c r="AE388" i="68"/>
  <c r="Y388" i="68"/>
  <c r="X388" i="68"/>
  <c r="W388" i="68"/>
  <c r="Q388" i="68"/>
  <c r="M388" i="68"/>
  <c r="I388" i="68"/>
  <c r="E388" i="68"/>
  <c r="AL387" i="68"/>
  <c r="AL390" i="68" s="1"/>
  <c r="AH387" i="68"/>
  <c r="AC387" i="68"/>
  <c r="AC389" i="68" s="1"/>
  <c r="AB387" i="68"/>
  <c r="AB389" i="68" s="1"/>
  <c r="AA387" i="68"/>
  <c r="AA390" i="68" s="1"/>
  <c r="Z387" i="68"/>
  <c r="Q387" i="68"/>
  <c r="M387" i="68"/>
  <c r="I387" i="68"/>
  <c r="E387" i="68"/>
  <c r="Q386" i="68"/>
  <c r="M386" i="68"/>
  <c r="I386" i="68"/>
  <c r="E386" i="68"/>
  <c r="W385" i="68"/>
  <c r="P382" i="68"/>
  <c r="O382" i="68"/>
  <c r="N382" i="68"/>
  <c r="L382" i="68"/>
  <c r="K382" i="68"/>
  <c r="J382" i="68"/>
  <c r="H382" i="68"/>
  <c r="G382" i="68"/>
  <c r="F382" i="68"/>
  <c r="C382" i="68"/>
  <c r="B382" i="68"/>
  <c r="Q380" i="68"/>
  <c r="M380" i="68"/>
  <c r="I380" i="68"/>
  <c r="E380" i="68"/>
  <c r="Q379" i="68"/>
  <c r="M379" i="68"/>
  <c r="I379" i="68"/>
  <c r="E379" i="68"/>
  <c r="Q378" i="68"/>
  <c r="M378" i="68"/>
  <c r="I378" i="68"/>
  <c r="E378" i="68"/>
  <c r="Q377" i="68"/>
  <c r="M377" i="68"/>
  <c r="I377" i="68"/>
  <c r="E377" i="68"/>
  <c r="Q375" i="68"/>
  <c r="M375" i="68"/>
  <c r="I375" i="68"/>
  <c r="E375" i="68"/>
  <c r="Q374" i="68"/>
  <c r="M374" i="68"/>
  <c r="I374" i="68"/>
  <c r="E374" i="68"/>
  <c r="Q373" i="68"/>
  <c r="M373" i="68"/>
  <c r="I373" i="68"/>
  <c r="E373" i="68"/>
  <c r="Q372" i="68"/>
  <c r="M372" i="68"/>
  <c r="I372" i="68"/>
  <c r="E372" i="68"/>
  <c r="Q371" i="68"/>
  <c r="M371" i="68"/>
  <c r="I371" i="68"/>
  <c r="E371" i="68"/>
  <c r="Q370" i="68"/>
  <c r="M370" i="68"/>
  <c r="I370" i="68"/>
  <c r="E370" i="68"/>
  <c r="Q369" i="68"/>
  <c r="M369" i="68"/>
  <c r="I369" i="68"/>
  <c r="E369" i="68"/>
  <c r="Q368" i="68"/>
  <c r="M368" i="68"/>
  <c r="I368" i="68"/>
  <c r="E368" i="68"/>
  <c r="Q367" i="68"/>
  <c r="M367" i="68"/>
  <c r="I367" i="68"/>
  <c r="E367" i="68"/>
  <c r="Q365" i="68"/>
  <c r="M365" i="68"/>
  <c r="I365" i="68"/>
  <c r="E365" i="68"/>
  <c r="Q364" i="68"/>
  <c r="M364" i="68"/>
  <c r="I364" i="68"/>
  <c r="E364" i="68"/>
  <c r="Q362" i="68"/>
  <c r="M362" i="68"/>
  <c r="I362" i="68"/>
  <c r="E362" i="68"/>
  <c r="Q361" i="68"/>
  <c r="M361" i="68"/>
  <c r="I361" i="68"/>
  <c r="E361" i="68"/>
  <c r="Q360" i="68"/>
  <c r="M360" i="68"/>
  <c r="I360" i="68"/>
  <c r="E360" i="68"/>
  <c r="Q359" i="68"/>
  <c r="M359" i="68"/>
  <c r="I359" i="68"/>
  <c r="E359" i="68"/>
  <c r="Q358" i="68"/>
  <c r="I358" i="68"/>
  <c r="E358" i="68"/>
  <c r="Q357" i="68"/>
  <c r="M357" i="68"/>
  <c r="I357" i="68"/>
  <c r="E357" i="68"/>
  <c r="Q356" i="68"/>
  <c r="M356" i="68"/>
  <c r="I356" i="68"/>
  <c r="E356" i="68"/>
  <c r="Q355" i="68"/>
  <c r="M355" i="68"/>
  <c r="I355" i="68"/>
  <c r="E355" i="68"/>
  <c r="Q354" i="68"/>
  <c r="M354" i="68"/>
  <c r="I354" i="68"/>
  <c r="E354" i="68"/>
  <c r="Q353" i="68"/>
  <c r="M353" i="68"/>
  <c r="I353" i="68"/>
  <c r="Q352" i="68"/>
  <c r="M352" i="68"/>
  <c r="I352" i="68"/>
  <c r="E352" i="68"/>
  <c r="Q351" i="68"/>
  <c r="M351" i="68"/>
  <c r="I351" i="68"/>
  <c r="E351" i="68"/>
  <c r="Q350" i="68"/>
  <c r="M350" i="68"/>
  <c r="I350" i="68"/>
  <c r="E350" i="68"/>
  <c r="Q349" i="68"/>
  <c r="M349" i="68"/>
  <c r="I349" i="68"/>
  <c r="E349" i="68"/>
  <c r="Q348" i="68"/>
  <c r="M348" i="68"/>
  <c r="I348" i="68"/>
  <c r="E348" i="68"/>
  <c r="Q347" i="68"/>
  <c r="M347" i="68"/>
  <c r="I347" i="68"/>
  <c r="E347" i="68"/>
  <c r="Q346" i="68"/>
  <c r="M346" i="68"/>
  <c r="I346" i="68"/>
  <c r="E346" i="68"/>
  <c r="Q345" i="68"/>
  <c r="M345" i="68"/>
  <c r="I345" i="68"/>
  <c r="E345" i="68"/>
  <c r="Q344" i="68"/>
  <c r="M344" i="68"/>
  <c r="I344" i="68"/>
  <c r="E344" i="68"/>
  <c r="Q343" i="68"/>
  <c r="M343" i="68"/>
  <c r="I343" i="68"/>
  <c r="E343" i="68"/>
  <c r="Q342" i="68"/>
  <c r="M342" i="68"/>
  <c r="I342" i="68"/>
  <c r="E342" i="68"/>
  <c r="Q341" i="68"/>
  <c r="M341" i="68"/>
  <c r="I341" i="68"/>
  <c r="E341" i="68"/>
  <c r="Q340" i="68"/>
  <c r="M340" i="68"/>
  <c r="I340" i="68"/>
  <c r="E340" i="68"/>
  <c r="Q339" i="68"/>
  <c r="M339" i="68"/>
  <c r="I339" i="68"/>
  <c r="E339" i="68"/>
  <c r="Q338" i="68"/>
  <c r="M338" i="68"/>
  <c r="I338" i="68"/>
  <c r="E338" i="68"/>
  <c r="Q337" i="68"/>
  <c r="M337" i="68"/>
  <c r="I337" i="68"/>
  <c r="E337" i="68"/>
  <c r="Q336" i="68"/>
  <c r="M336" i="68"/>
  <c r="I336" i="68"/>
  <c r="E336" i="68"/>
  <c r="Q334" i="68"/>
  <c r="M334" i="68"/>
  <c r="I334" i="68"/>
  <c r="E334" i="68"/>
  <c r="Q333" i="68"/>
  <c r="M333" i="68"/>
  <c r="I333" i="68"/>
  <c r="E333" i="68"/>
  <c r="Q332" i="68"/>
  <c r="M332" i="68"/>
  <c r="I332" i="68"/>
  <c r="E332" i="68"/>
  <c r="P324" i="68"/>
  <c r="O324" i="68"/>
  <c r="N324" i="68"/>
  <c r="L324" i="68"/>
  <c r="K324" i="68"/>
  <c r="J324" i="68"/>
  <c r="H324" i="68"/>
  <c r="G324" i="68"/>
  <c r="F324" i="68"/>
  <c r="D324" i="68"/>
  <c r="B324" i="68"/>
  <c r="Q322" i="68"/>
  <c r="M322" i="68"/>
  <c r="I322" i="68"/>
  <c r="E322" i="68"/>
  <c r="Q311" i="68"/>
  <c r="M311" i="68"/>
  <c r="I311" i="68"/>
  <c r="E311" i="68"/>
  <c r="Q310" i="68"/>
  <c r="M310" i="68"/>
  <c r="I310" i="68"/>
  <c r="E310" i="68"/>
  <c r="Q309" i="68"/>
  <c r="Q308" i="68"/>
  <c r="M308" i="68"/>
  <c r="I308" i="68"/>
  <c r="E308" i="68"/>
  <c r="Q307" i="68"/>
  <c r="M307" i="68"/>
  <c r="I307" i="68"/>
  <c r="E307" i="68"/>
  <c r="Q306" i="68"/>
  <c r="M306" i="68"/>
  <c r="I306" i="68"/>
  <c r="E306" i="68"/>
  <c r="P304" i="68"/>
  <c r="O304" i="68"/>
  <c r="N304" i="68"/>
  <c r="L304" i="68"/>
  <c r="K304" i="68"/>
  <c r="J304" i="68"/>
  <c r="H304" i="68"/>
  <c r="G304" i="68"/>
  <c r="F304" i="68"/>
  <c r="D304" i="68"/>
  <c r="C304" i="68"/>
  <c r="P303" i="68"/>
  <c r="O303" i="68"/>
  <c r="N303" i="68"/>
  <c r="L303" i="68"/>
  <c r="K303" i="68"/>
  <c r="J303" i="68"/>
  <c r="H303" i="68"/>
  <c r="G303" i="68"/>
  <c r="F303" i="68"/>
  <c r="D303" i="68"/>
  <c r="C303" i="68"/>
  <c r="Q302" i="68"/>
  <c r="M302" i="68"/>
  <c r="I302" i="68"/>
  <c r="E302" i="68"/>
  <c r="Q300" i="68"/>
  <c r="M300" i="68"/>
  <c r="I300" i="68"/>
  <c r="E300" i="68"/>
  <c r="Q298" i="68"/>
  <c r="M298" i="68"/>
  <c r="I298" i="68"/>
  <c r="E298" i="68"/>
  <c r="Q297" i="68"/>
  <c r="M297" i="68"/>
  <c r="I297" i="68"/>
  <c r="E297" i="68"/>
  <c r="Q296" i="68"/>
  <c r="M296" i="68"/>
  <c r="I296" i="68"/>
  <c r="E296" i="68"/>
  <c r="Q295" i="68"/>
  <c r="M295" i="68"/>
  <c r="I295" i="68"/>
  <c r="E295" i="68"/>
  <c r="Q294" i="68"/>
  <c r="M294" i="68"/>
  <c r="I294" i="68"/>
  <c r="E294" i="68"/>
  <c r="Q293" i="68"/>
  <c r="M293" i="68"/>
  <c r="I293" i="68"/>
  <c r="E293" i="68"/>
  <c r="Q292" i="68"/>
  <c r="M292" i="68"/>
  <c r="I292" i="68"/>
  <c r="E292" i="68"/>
  <c r="Q291" i="68"/>
  <c r="M291" i="68"/>
  <c r="I291" i="68"/>
  <c r="E291" i="68"/>
  <c r="Q289" i="68"/>
  <c r="M289" i="68"/>
  <c r="I289" i="68"/>
  <c r="E289" i="68"/>
  <c r="Q288" i="68"/>
  <c r="M288" i="68"/>
  <c r="I288" i="68"/>
  <c r="E288" i="68"/>
  <c r="Q287" i="68"/>
  <c r="M287" i="68"/>
  <c r="I287" i="68"/>
  <c r="E287" i="68"/>
  <c r="P284" i="68"/>
  <c r="O284" i="68"/>
  <c r="N284" i="68"/>
  <c r="L284" i="68"/>
  <c r="K284" i="68"/>
  <c r="J284" i="68"/>
  <c r="H284" i="68"/>
  <c r="G284" i="68"/>
  <c r="F284" i="68"/>
  <c r="D284" i="68"/>
  <c r="C284" i="68"/>
  <c r="B284" i="68"/>
  <c r="Q283" i="68"/>
  <c r="M283" i="68"/>
  <c r="I283" i="68"/>
  <c r="E283" i="68"/>
  <c r="Q282" i="68"/>
  <c r="M282" i="68"/>
  <c r="I282" i="68"/>
  <c r="E282" i="68"/>
  <c r="Q281" i="68"/>
  <c r="M281" i="68"/>
  <c r="I281" i="68"/>
  <c r="E281" i="68"/>
  <c r="Q280" i="68"/>
  <c r="M280" i="68"/>
  <c r="I280" i="68"/>
  <c r="E280" i="68"/>
  <c r="Q279" i="68"/>
  <c r="M279" i="68"/>
  <c r="I279" i="68"/>
  <c r="E279" i="68"/>
  <c r="Q278" i="68"/>
  <c r="M278" i="68"/>
  <c r="I278" i="68"/>
  <c r="E278" i="68"/>
  <c r="Q277" i="68"/>
  <c r="M277" i="68"/>
  <c r="I277" i="68"/>
  <c r="E277" i="68"/>
  <c r="Q276" i="68"/>
  <c r="M276" i="68"/>
  <c r="I276" i="68"/>
  <c r="E276" i="68"/>
  <c r="Q275" i="68"/>
  <c r="I275" i="68"/>
  <c r="E275" i="68"/>
  <c r="Q274" i="68"/>
  <c r="M274" i="68"/>
  <c r="I274" i="68"/>
  <c r="E274" i="68"/>
  <c r="Q273" i="68"/>
  <c r="M273" i="68"/>
  <c r="I273" i="68"/>
  <c r="E273" i="68"/>
  <c r="Q271" i="68"/>
  <c r="M271" i="68"/>
  <c r="I271" i="68"/>
  <c r="E271" i="68"/>
  <c r="Q270" i="68"/>
  <c r="M270" i="68"/>
  <c r="I270" i="68"/>
  <c r="E270" i="68"/>
  <c r="Q269" i="68"/>
  <c r="M269" i="68"/>
  <c r="I269" i="68"/>
  <c r="E269" i="68"/>
  <c r="Q267" i="68"/>
  <c r="M267" i="68"/>
  <c r="I267" i="68"/>
  <c r="E267" i="68"/>
  <c r="Q266" i="68"/>
  <c r="M266" i="68"/>
  <c r="I266" i="68"/>
  <c r="E266" i="68"/>
  <c r="M264" i="68"/>
  <c r="I264" i="68"/>
  <c r="E264" i="68"/>
  <c r="Q263" i="68"/>
  <c r="M263" i="68"/>
  <c r="I263" i="68"/>
  <c r="E263" i="68"/>
  <c r="Q262" i="68"/>
  <c r="M262" i="68"/>
  <c r="I262" i="68"/>
  <c r="E262" i="68"/>
  <c r="Q261" i="68"/>
  <c r="M261" i="68"/>
  <c r="I261" i="68"/>
  <c r="E261" i="68"/>
  <c r="Q260" i="68"/>
  <c r="M260" i="68"/>
  <c r="I260" i="68"/>
  <c r="E260" i="68"/>
  <c r="Q259" i="68"/>
  <c r="M259" i="68"/>
  <c r="I259" i="68"/>
  <c r="E259" i="68"/>
  <c r="Q258" i="68"/>
  <c r="M258" i="68"/>
  <c r="I258" i="68"/>
  <c r="E258" i="68"/>
  <c r="Q257" i="68"/>
  <c r="M257" i="68"/>
  <c r="I257" i="68"/>
  <c r="E257" i="68"/>
  <c r="Q256" i="68"/>
  <c r="M256" i="68"/>
  <c r="I256" i="68"/>
  <c r="E256" i="68"/>
  <c r="Q255" i="68"/>
  <c r="M255" i="68"/>
  <c r="I255" i="68"/>
  <c r="E255" i="68"/>
  <c r="Q254" i="68"/>
  <c r="M254" i="68"/>
  <c r="I254" i="68"/>
  <c r="E254" i="68"/>
  <c r="Q253" i="68"/>
  <c r="M253" i="68"/>
  <c r="I253" i="68"/>
  <c r="E253" i="68"/>
  <c r="Q252" i="68"/>
  <c r="M252" i="68"/>
  <c r="I252" i="68"/>
  <c r="Q251" i="68"/>
  <c r="M251" i="68"/>
  <c r="I251" i="68"/>
  <c r="E251" i="68"/>
  <c r="Q250" i="68"/>
  <c r="M250" i="68"/>
  <c r="I250" i="68"/>
  <c r="E250" i="68"/>
  <c r="Q249" i="68"/>
  <c r="M249" i="68"/>
  <c r="I249" i="68"/>
  <c r="E249" i="68"/>
  <c r="Q248" i="68"/>
  <c r="M248" i="68"/>
  <c r="I248" i="68"/>
  <c r="E248" i="68"/>
  <c r="Q247" i="68"/>
  <c r="M247" i="68"/>
  <c r="I247" i="68"/>
  <c r="E247" i="68"/>
  <c r="Q246" i="68"/>
  <c r="M246" i="68"/>
  <c r="I246" i="68"/>
  <c r="E246" i="68"/>
  <c r="Q245" i="68"/>
  <c r="M245" i="68"/>
  <c r="I245" i="68"/>
  <c r="E245" i="68"/>
  <c r="Q244" i="68"/>
  <c r="M244" i="68"/>
  <c r="Q243" i="68"/>
  <c r="M243" i="68"/>
  <c r="I243" i="68"/>
  <c r="E243" i="68"/>
  <c r="Q242" i="68"/>
  <c r="M242" i="68"/>
  <c r="I242" i="68"/>
  <c r="E242" i="68"/>
  <c r="Q241" i="68"/>
  <c r="M241" i="68"/>
  <c r="I241" i="68"/>
  <c r="E241" i="68"/>
  <c r="Q240" i="68"/>
  <c r="M240" i="68"/>
  <c r="I240" i="68"/>
  <c r="Q239" i="68"/>
  <c r="M239" i="68"/>
  <c r="I239" i="68"/>
  <c r="E239" i="68"/>
  <c r="Q238" i="68"/>
  <c r="M238" i="68"/>
  <c r="I238" i="68"/>
  <c r="E238" i="68"/>
  <c r="Q237" i="68"/>
  <c r="M237" i="68"/>
  <c r="I237" i="68"/>
  <c r="E237" i="68"/>
  <c r="Q236" i="68"/>
  <c r="M236" i="68"/>
  <c r="I236" i="68"/>
  <c r="E236" i="68"/>
  <c r="Q235" i="68"/>
  <c r="M235" i="68"/>
  <c r="I235" i="68"/>
  <c r="E235" i="68"/>
  <c r="Q234" i="68"/>
  <c r="M234" i="68"/>
  <c r="I234" i="68"/>
  <c r="E234" i="68"/>
  <c r="Q233" i="68"/>
  <c r="M233" i="68"/>
  <c r="I233" i="68"/>
  <c r="E233" i="68"/>
  <c r="Q232" i="68"/>
  <c r="M232" i="68"/>
  <c r="I232" i="68"/>
  <c r="E232" i="68"/>
  <c r="Q231" i="68"/>
  <c r="M231" i="68"/>
  <c r="I231" i="68"/>
  <c r="E231" i="68"/>
  <c r="Q229" i="68"/>
  <c r="M229" i="68"/>
  <c r="I229" i="68"/>
  <c r="E229" i="68"/>
  <c r="Q228" i="68"/>
  <c r="M228" i="68"/>
  <c r="I228" i="68"/>
  <c r="E228" i="68"/>
  <c r="Q227" i="68"/>
  <c r="M227" i="68"/>
  <c r="I227" i="68"/>
  <c r="E227" i="68"/>
  <c r="Q226" i="68"/>
  <c r="M226" i="68"/>
  <c r="I226" i="68"/>
  <c r="E226" i="68"/>
  <c r="Q224" i="68"/>
  <c r="M224" i="68"/>
  <c r="I224" i="68"/>
  <c r="E224" i="68"/>
  <c r="Q223" i="68"/>
  <c r="M223" i="68"/>
  <c r="I223" i="68"/>
  <c r="E223" i="68"/>
  <c r="Q222" i="68"/>
  <c r="M222" i="68"/>
  <c r="I222" i="68"/>
  <c r="E222" i="68"/>
  <c r="Q221" i="68"/>
  <c r="M221" i="68"/>
  <c r="I221" i="68"/>
  <c r="E221" i="68"/>
  <c r="Q220" i="68"/>
  <c r="M220" i="68"/>
  <c r="I220" i="68"/>
  <c r="E220" i="68"/>
  <c r="P216" i="68"/>
  <c r="O216" i="68"/>
  <c r="N216" i="68"/>
  <c r="L216" i="68"/>
  <c r="K216" i="68"/>
  <c r="J216" i="68"/>
  <c r="I216" i="68"/>
  <c r="D216" i="68"/>
  <c r="C216" i="68"/>
  <c r="B216" i="68"/>
  <c r="Q214" i="68"/>
  <c r="M214" i="68"/>
  <c r="I214" i="68"/>
  <c r="E214" i="68"/>
  <c r="Q213" i="68"/>
  <c r="M213" i="68"/>
  <c r="I213" i="68"/>
  <c r="E213" i="68"/>
  <c r="P209" i="68"/>
  <c r="O209" i="68"/>
  <c r="N209" i="68"/>
  <c r="L209" i="68"/>
  <c r="K209" i="68"/>
  <c r="J209" i="68"/>
  <c r="H209" i="68"/>
  <c r="G209" i="68"/>
  <c r="F209" i="68"/>
  <c r="D209" i="68"/>
  <c r="C209" i="68"/>
  <c r="B209" i="68"/>
  <c r="Q207" i="68"/>
  <c r="M207" i="68"/>
  <c r="I207" i="68"/>
  <c r="E207" i="68"/>
  <c r="Q206" i="68"/>
  <c r="M206" i="68"/>
  <c r="I206" i="68"/>
  <c r="E206" i="68"/>
  <c r="Q205" i="68"/>
  <c r="M205" i="68"/>
  <c r="I205" i="68"/>
  <c r="E205" i="68"/>
  <c r="Q203" i="68"/>
  <c r="M203" i="68"/>
  <c r="I203" i="68"/>
  <c r="E203" i="68"/>
  <c r="Q202" i="68"/>
  <c r="M202" i="68"/>
  <c r="I202" i="68"/>
  <c r="E202" i="68"/>
  <c r="Q200" i="68"/>
  <c r="M200" i="68"/>
  <c r="I200" i="68"/>
  <c r="E200" i="68"/>
  <c r="Q198" i="68"/>
  <c r="M198" i="68"/>
  <c r="I198" i="68"/>
  <c r="E198" i="68"/>
  <c r="Q197" i="68"/>
  <c r="M197" i="68"/>
  <c r="I197" i="68"/>
  <c r="E197" i="68"/>
  <c r="Q196" i="68"/>
  <c r="M196" i="68"/>
  <c r="I196" i="68"/>
  <c r="E196" i="68"/>
  <c r="Q195" i="68"/>
  <c r="M195" i="68"/>
  <c r="I195" i="68"/>
  <c r="E195" i="68"/>
  <c r="Q194" i="68"/>
  <c r="M194" i="68"/>
  <c r="I194" i="68"/>
  <c r="E194" i="68"/>
  <c r="Q193" i="68"/>
  <c r="M193" i="68"/>
  <c r="I193" i="68"/>
  <c r="E193" i="68"/>
  <c r="Q192" i="68"/>
  <c r="M192" i="68"/>
  <c r="I192" i="68"/>
  <c r="E192" i="68"/>
  <c r="Q190" i="68"/>
  <c r="M190" i="68"/>
  <c r="I190" i="68"/>
  <c r="E190" i="68"/>
  <c r="Q189" i="68"/>
  <c r="M189" i="68"/>
  <c r="I189" i="68"/>
  <c r="E189" i="68"/>
  <c r="Q188" i="68"/>
  <c r="M188" i="68"/>
  <c r="I188" i="68"/>
  <c r="E188" i="68"/>
  <c r="Q187" i="68"/>
  <c r="M187" i="68"/>
  <c r="I187" i="68"/>
  <c r="E187" i="68"/>
  <c r="Q186" i="68"/>
  <c r="M186" i="68"/>
  <c r="I186" i="68"/>
  <c r="E186" i="68"/>
  <c r="Q185" i="68"/>
  <c r="M185" i="68"/>
  <c r="I185" i="68"/>
  <c r="E185" i="68"/>
  <c r="Q184" i="68"/>
  <c r="M184" i="68"/>
  <c r="I184" i="68"/>
  <c r="E184" i="68"/>
  <c r="Q183" i="68"/>
  <c r="M183" i="68"/>
  <c r="I183" i="68"/>
  <c r="E183" i="68"/>
  <c r="Q182" i="68"/>
  <c r="M182" i="68"/>
  <c r="I182" i="68"/>
  <c r="E182" i="68"/>
  <c r="Q181" i="68"/>
  <c r="M181" i="68"/>
  <c r="I181" i="68"/>
  <c r="E181" i="68"/>
  <c r="Q180" i="68"/>
  <c r="M180" i="68"/>
  <c r="I180" i="68"/>
  <c r="E180" i="68"/>
  <c r="Q179" i="68"/>
  <c r="M179" i="68"/>
  <c r="I179" i="68"/>
  <c r="E179" i="68"/>
  <c r="Q178" i="68"/>
  <c r="M178" i="68"/>
  <c r="I178" i="68"/>
  <c r="E178" i="68"/>
  <c r="Q177" i="68"/>
  <c r="M177" i="68"/>
  <c r="I177" i="68"/>
  <c r="E177" i="68"/>
  <c r="Q176" i="68"/>
  <c r="M176" i="68"/>
  <c r="I176" i="68"/>
  <c r="E176" i="68"/>
  <c r="Q175" i="68"/>
  <c r="M175" i="68"/>
  <c r="I175" i="68"/>
  <c r="E175" i="68"/>
  <c r="Q174" i="68"/>
  <c r="M174" i="68"/>
  <c r="I174" i="68"/>
  <c r="E174" i="68"/>
  <c r="Q173" i="68"/>
  <c r="M173" i="68"/>
  <c r="I173" i="68"/>
  <c r="E173" i="68"/>
  <c r="Q172" i="68"/>
  <c r="M172" i="68"/>
  <c r="I172" i="68"/>
  <c r="E172" i="68"/>
  <c r="Q171" i="68"/>
  <c r="M171" i="68"/>
  <c r="I171" i="68"/>
  <c r="E171" i="68"/>
  <c r="Q170" i="68"/>
  <c r="M170" i="68"/>
  <c r="I170" i="68"/>
  <c r="E170" i="68"/>
  <c r="Q169" i="68"/>
  <c r="M169" i="68"/>
  <c r="I169" i="68"/>
  <c r="E169" i="68"/>
  <c r="Q168" i="68"/>
  <c r="M168" i="68"/>
  <c r="I168" i="68"/>
  <c r="E168" i="68"/>
  <c r="Q167" i="68"/>
  <c r="M167" i="68"/>
  <c r="I167" i="68"/>
  <c r="E167" i="68"/>
  <c r="Q166" i="68"/>
  <c r="M166" i="68"/>
  <c r="I166" i="68"/>
  <c r="E166" i="68"/>
  <c r="Q165" i="68"/>
  <c r="M165" i="68"/>
  <c r="I165" i="68"/>
  <c r="E165" i="68"/>
  <c r="Q164" i="68"/>
  <c r="M164" i="68"/>
  <c r="I164" i="68"/>
  <c r="E164" i="68"/>
  <c r="Q163" i="68"/>
  <c r="M163" i="68"/>
  <c r="I163" i="68"/>
  <c r="E163" i="68"/>
  <c r="Q162" i="68"/>
  <c r="M162" i="68"/>
  <c r="I162" i="68"/>
  <c r="E162" i="68"/>
  <c r="Q160" i="68"/>
  <c r="M160" i="68"/>
  <c r="I160" i="68"/>
  <c r="E160" i="68"/>
  <c r="Q159" i="68"/>
  <c r="M159" i="68"/>
  <c r="I159" i="68"/>
  <c r="E159" i="68"/>
  <c r="Q158" i="68"/>
  <c r="M158" i="68"/>
  <c r="I158" i="68"/>
  <c r="E158" i="68"/>
  <c r="Q157" i="68"/>
  <c r="M157" i="68"/>
  <c r="I157" i="68"/>
  <c r="E157" i="68"/>
  <c r="Q156" i="68"/>
  <c r="M156" i="68"/>
  <c r="I156" i="68"/>
  <c r="E156" i="68"/>
  <c r="Q155" i="68"/>
  <c r="M155" i="68"/>
  <c r="I155" i="68"/>
  <c r="E155" i="68"/>
  <c r="Q154" i="68"/>
  <c r="M154" i="68"/>
  <c r="I154" i="68"/>
  <c r="E154" i="68"/>
  <c r="Q153" i="68"/>
  <c r="M153" i="68"/>
  <c r="I153" i="68"/>
  <c r="E153" i="68"/>
  <c r="Q152" i="68"/>
  <c r="M152" i="68"/>
  <c r="I152" i="68"/>
  <c r="E152" i="68"/>
  <c r="Q151" i="68"/>
  <c r="M151" i="68"/>
  <c r="I151" i="68"/>
  <c r="E151" i="68"/>
  <c r="Q150" i="68"/>
  <c r="M150" i="68"/>
  <c r="I150" i="68"/>
  <c r="E150" i="68"/>
  <c r="Q149" i="68"/>
  <c r="M149" i="68"/>
  <c r="I149" i="68"/>
  <c r="E149" i="68"/>
  <c r="Q148" i="68"/>
  <c r="M148" i="68"/>
  <c r="I148" i="68"/>
  <c r="E148" i="68"/>
  <c r="Q147" i="68"/>
  <c r="M147" i="68"/>
  <c r="I147" i="68"/>
  <c r="E147" i="68"/>
  <c r="Q145" i="68"/>
  <c r="M145" i="68"/>
  <c r="I145" i="68"/>
  <c r="E145" i="68"/>
  <c r="Q144" i="68"/>
  <c r="Q143" i="68"/>
  <c r="Q142" i="68"/>
  <c r="Q141" i="68"/>
  <c r="Q129" i="68"/>
  <c r="M129" i="68"/>
  <c r="I129" i="68"/>
  <c r="E129" i="68"/>
  <c r="P127" i="68"/>
  <c r="O127" i="68"/>
  <c r="N127" i="68"/>
  <c r="L127" i="68"/>
  <c r="K127" i="68"/>
  <c r="J127" i="68"/>
  <c r="H127" i="68"/>
  <c r="G127" i="68"/>
  <c r="F127" i="68"/>
  <c r="D127" i="68"/>
  <c r="C127" i="68"/>
  <c r="P126" i="68"/>
  <c r="O126" i="68"/>
  <c r="N126" i="68"/>
  <c r="L126" i="68"/>
  <c r="K126" i="68"/>
  <c r="J126" i="68"/>
  <c r="H126" i="68"/>
  <c r="G126" i="68"/>
  <c r="D126" i="68"/>
  <c r="C126" i="68"/>
  <c r="Q122" i="68"/>
  <c r="M122" i="68"/>
  <c r="I122" i="68"/>
  <c r="E122" i="68"/>
  <c r="Q120" i="68"/>
  <c r="M120" i="68"/>
  <c r="I120" i="68"/>
  <c r="E120" i="68"/>
  <c r="Q119" i="68"/>
  <c r="M119" i="68"/>
  <c r="I119" i="68"/>
  <c r="E119" i="68"/>
  <c r="Q117" i="68"/>
  <c r="M117" i="68"/>
  <c r="I117" i="68"/>
  <c r="E117" i="68"/>
  <c r="Q116" i="68"/>
  <c r="M116" i="68"/>
  <c r="I116" i="68"/>
  <c r="E116" i="68"/>
  <c r="Q115" i="68"/>
  <c r="M115" i="68"/>
  <c r="I115" i="68"/>
  <c r="E115" i="68"/>
  <c r="Q114" i="68"/>
  <c r="M114" i="68"/>
  <c r="I114" i="68"/>
  <c r="E114" i="68"/>
  <c r="Q113" i="68"/>
  <c r="M113" i="68"/>
  <c r="I113" i="68"/>
  <c r="E113" i="68"/>
  <c r="Q112" i="68"/>
  <c r="M112" i="68"/>
  <c r="I112" i="68"/>
  <c r="E112" i="68"/>
  <c r="Q111" i="68"/>
  <c r="M111" i="68"/>
  <c r="I111" i="68"/>
  <c r="E111" i="68"/>
  <c r="Q110" i="68"/>
  <c r="M110" i="68"/>
  <c r="I110" i="68"/>
  <c r="E110" i="68"/>
  <c r="P107" i="68"/>
  <c r="O107" i="68"/>
  <c r="N107" i="68"/>
  <c r="L107" i="68"/>
  <c r="K107" i="68"/>
  <c r="J107" i="68"/>
  <c r="H107" i="68"/>
  <c r="G107" i="68"/>
  <c r="F107" i="68"/>
  <c r="D107" i="68"/>
  <c r="C107" i="68"/>
  <c r="B107" i="68"/>
  <c r="Q106" i="68"/>
  <c r="M106" i="68"/>
  <c r="I106" i="68"/>
  <c r="E106" i="68"/>
  <c r="Q105" i="68"/>
  <c r="M105" i="68"/>
  <c r="I105" i="68"/>
  <c r="E105" i="68"/>
  <c r="Q104" i="68"/>
  <c r="M104" i="68"/>
  <c r="I104" i="68"/>
  <c r="E104" i="68"/>
  <c r="Q103" i="68"/>
  <c r="M103" i="68"/>
  <c r="I103" i="68"/>
  <c r="E103" i="68"/>
  <c r="Q102" i="68"/>
  <c r="M102" i="68"/>
  <c r="I102" i="68"/>
  <c r="E102" i="68"/>
  <c r="Q101" i="68"/>
  <c r="M101" i="68"/>
  <c r="I101" i="68"/>
  <c r="E101" i="68"/>
  <c r="Q100" i="68"/>
  <c r="M100" i="68"/>
  <c r="I100" i="68"/>
  <c r="E100" i="68"/>
  <c r="P96" i="68"/>
  <c r="O96" i="68"/>
  <c r="N96" i="68"/>
  <c r="L96" i="68"/>
  <c r="K96" i="68"/>
  <c r="J96" i="68"/>
  <c r="H96" i="68"/>
  <c r="G96" i="68"/>
  <c r="F96" i="68"/>
  <c r="D96" i="68"/>
  <c r="C96" i="68"/>
  <c r="B96" i="68"/>
  <c r="Q94" i="68"/>
  <c r="M94" i="68"/>
  <c r="I94" i="68"/>
  <c r="E94" i="68"/>
  <c r="Q93" i="68"/>
  <c r="M93" i="68"/>
  <c r="I93" i="68"/>
  <c r="E93" i="68"/>
  <c r="P89" i="68"/>
  <c r="O89" i="68"/>
  <c r="N89" i="68"/>
  <c r="L89" i="68"/>
  <c r="K89" i="68"/>
  <c r="J89" i="68"/>
  <c r="H89" i="68"/>
  <c r="G89" i="68"/>
  <c r="F89" i="68"/>
  <c r="D89" i="68"/>
  <c r="C89" i="68"/>
  <c r="B89" i="68"/>
  <c r="Q87" i="68"/>
  <c r="M87" i="68"/>
  <c r="I87" i="68"/>
  <c r="E87" i="68"/>
  <c r="Q86" i="68"/>
  <c r="M86" i="68"/>
  <c r="I86" i="68"/>
  <c r="E86" i="68"/>
  <c r="Q84" i="68"/>
  <c r="M84" i="68"/>
  <c r="I84" i="68"/>
  <c r="E84" i="68"/>
  <c r="Q82" i="68"/>
  <c r="M82" i="68"/>
  <c r="I82" i="68"/>
  <c r="E82" i="68"/>
  <c r="Q81" i="68"/>
  <c r="M81" i="68"/>
  <c r="I81" i="68"/>
  <c r="E81" i="68"/>
  <c r="Q80" i="68"/>
  <c r="M80" i="68"/>
  <c r="I80" i="68"/>
  <c r="E80" i="68"/>
  <c r="Q79" i="68"/>
  <c r="M79" i="68"/>
  <c r="I79" i="68"/>
  <c r="E79" i="68"/>
  <c r="Q78" i="68"/>
  <c r="M78" i="68"/>
  <c r="I78" i="68"/>
  <c r="E78" i="68"/>
  <c r="Q77" i="68"/>
  <c r="M77" i="68"/>
  <c r="I77" i="68"/>
  <c r="E77" i="68"/>
  <c r="Q76" i="68"/>
  <c r="M76" i="68"/>
  <c r="I76" i="68"/>
  <c r="E76" i="68"/>
  <c r="Q75" i="68"/>
  <c r="M75" i="68"/>
  <c r="I75" i="68"/>
  <c r="E75" i="68"/>
  <c r="Q74" i="68"/>
  <c r="M74" i="68"/>
  <c r="I74" i="68"/>
  <c r="E74" i="68"/>
  <c r="Q73" i="68"/>
  <c r="M73" i="68"/>
  <c r="I73" i="68"/>
  <c r="E73" i="68"/>
  <c r="Q72" i="68"/>
  <c r="M72" i="68"/>
  <c r="I72" i="68"/>
  <c r="E72" i="68"/>
  <c r="Q60" i="68"/>
  <c r="M60" i="68"/>
  <c r="I60" i="68"/>
  <c r="E60" i="68"/>
  <c r="P58" i="68"/>
  <c r="O58" i="68"/>
  <c r="N58" i="68"/>
  <c r="L58" i="68"/>
  <c r="K58" i="68"/>
  <c r="J58" i="68"/>
  <c r="H58" i="68"/>
  <c r="G58" i="68"/>
  <c r="F58" i="68"/>
  <c r="D58" i="68"/>
  <c r="C58" i="68"/>
  <c r="B58" i="68"/>
  <c r="P57" i="68"/>
  <c r="O57" i="68"/>
  <c r="N57" i="68"/>
  <c r="L57" i="68"/>
  <c r="K57" i="68"/>
  <c r="J57" i="68"/>
  <c r="H57" i="68"/>
  <c r="G57" i="68"/>
  <c r="F57" i="68"/>
  <c r="D57" i="68"/>
  <c r="C57" i="68"/>
  <c r="B57" i="68"/>
  <c r="Q54" i="68"/>
  <c r="M54" i="68"/>
  <c r="I54" i="68"/>
  <c r="E54" i="68"/>
  <c r="P50" i="68"/>
  <c r="O50" i="68"/>
  <c r="N50" i="68"/>
  <c r="L50" i="68"/>
  <c r="K50" i="68"/>
  <c r="J50" i="68"/>
  <c r="H50" i="68"/>
  <c r="G50" i="68"/>
  <c r="F50" i="68"/>
  <c r="D50" i="68"/>
  <c r="C50" i="68"/>
  <c r="B50" i="68"/>
  <c r="P46" i="68"/>
  <c r="O46" i="68"/>
  <c r="N46" i="68"/>
  <c r="L46" i="68"/>
  <c r="K46" i="68"/>
  <c r="J46" i="68"/>
  <c r="H46" i="68"/>
  <c r="G46" i="68"/>
  <c r="F46" i="68"/>
  <c r="D46" i="68"/>
  <c r="C46" i="68"/>
  <c r="B46" i="68"/>
  <c r="P41" i="68"/>
  <c r="O41" i="68"/>
  <c r="N41" i="68"/>
  <c r="L41" i="68"/>
  <c r="K41" i="68"/>
  <c r="J41" i="68"/>
  <c r="H41" i="68"/>
  <c r="G41" i="68"/>
  <c r="F41" i="68"/>
  <c r="D41" i="68"/>
  <c r="C41" i="68"/>
  <c r="B41" i="68"/>
  <c r="Q38" i="68"/>
  <c r="M38" i="68"/>
  <c r="I38" i="68"/>
  <c r="E38" i="68"/>
  <c r="P27" i="68"/>
  <c r="O27" i="68"/>
  <c r="N27" i="68"/>
  <c r="L27" i="68"/>
  <c r="K27" i="68"/>
  <c r="J27" i="68"/>
  <c r="H27" i="68"/>
  <c r="G27" i="68"/>
  <c r="F27" i="68"/>
  <c r="D27" i="68"/>
  <c r="C27" i="68"/>
  <c r="B27" i="68"/>
  <c r="Q25" i="68"/>
  <c r="M25" i="68"/>
  <c r="I25" i="68"/>
  <c r="E25" i="68"/>
  <c r="P18" i="68"/>
  <c r="O18" i="68"/>
  <c r="N18" i="68"/>
  <c r="L18" i="68"/>
  <c r="K18" i="68"/>
  <c r="J18" i="68"/>
  <c r="H18" i="68"/>
  <c r="G18" i="68"/>
  <c r="F18" i="68"/>
  <c r="D18" i="68"/>
  <c r="C18" i="68"/>
  <c r="B18" i="68"/>
  <c r="P17" i="68"/>
  <c r="O17" i="68"/>
  <c r="N17" i="68"/>
  <c r="L17" i="68"/>
  <c r="K17" i="68"/>
  <c r="J17" i="68"/>
  <c r="H17" i="68"/>
  <c r="G17" i="68"/>
  <c r="D17" i="68"/>
  <c r="C17" i="68"/>
  <c r="B17" i="68"/>
  <c r="P16" i="68"/>
  <c r="O16" i="68"/>
  <c r="N16" i="68"/>
  <c r="G16" i="68"/>
  <c r="F16" i="68"/>
  <c r="D16" i="68"/>
  <c r="C16" i="68"/>
  <c r="B16" i="68"/>
  <c r="P15" i="68"/>
  <c r="O15" i="68"/>
  <c r="N15" i="68"/>
  <c r="L15" i="68"/>
  <c r="K15" i="68"/>
  <c r="J15" i="68"/>
  <c r="H15" i="68"/>
  <c r="G15" i="68"/>
  <c r="F15" i="68"/>
  <c r="D15" i="68"/>
  <c r="C15" i="68"/>
  <c r="B15" i="68"/>
  <c r="P14" i="68"/>
  <c r="O14" i="68"/>
  <c r="N14" i="68"/>
  <c r="L14" i="68"/>
  <c r="K14" i="68"/>
  <c r="J14" i="68"/>
  <c r="H14" i="68"/>
  <c r="G14" i="68"/>
  <c r="F14" i="68"/>
  <c r="D14" i="68"/>
  <c r="C14" i="68"/>
  <c r="B14" i="68"/>
  <c r="R1" i="68"/>
  <c r="R986" i="68" s="1"/>
  <c r="H10" i="68"/>
  <c r="F10" i="68"/>
  <c r="K10" i="68"/>
  <c r="B10" i="68"/>
  <c r="C10" i="68"/>
  <c r="P10" i="68"/>
  <c r="J10" i="68"/>
  <c r="G10" i="68"/>
  <c r="N10" i="68"/>
  <c r="O10" i="68"/>
  <c r="L10" i="68"/>
  <c r="D10" i="68"/>
  <c r="P779" i="68" l="1"/>
  <c r="P783" i="68" s="1"/>
  <c r="P829" i="68"/>
  <c r="P832" i="68" s="1"/>
  <c r="P834" i="68" s="1"/>
  <c r="P835" i="68" s="1"/>
  <c r="N779" i="68"/>
  <c r="N783" i="68" s="1"/>
  <c r="O59" i="68"/>
  <c r="O62" i="68" s="1"/>
  <c r="O63" i="68" s="1"/>
  <c r="H779" i="68"/>
  <c r="H783" i="68" s="1"/>
  <c r="H785" i="68" s="1"/>
  <c r="H1025" i="68"/>
  <c r="B639" i="68"/>
  <c r="B305" i="68"/>
  <c r="D59" i="68"/>
  <c r="D62" i="68" s="1"/>
  <c r="D63" i="68" s="1"/>
  <c r="D861" i="68"/>
  <c r="D892" i="68" s="1"/>
  <c r="G685" i="68"/>
  <c r="G688" i="68" s="1"/>
  <c r="G689" i="68" s="1"/>
  <c r="G736" i="68"/>
  <c r="G739" i="68" s="1"/>
  <c r="G740" i="68" s="1"/>
  <c r="B128" i="68"/>
  <c r="B131" i="68" s="1"/>
  <c r="D856" i="68"/>
  <c r="D890" i="68" s="1"/>
  <c r="L1076" i="68"/>
  <c r="AG942" i="68"/>
  <c r="AG947" i="68"/>
  <c r="E382" i="68"/>
  <c r="D874" i="68"/>
  <c r="D896" i="68" s="1"/>
  <c r="B896" i="68"/>
  <c r="C856" i="68"/>
  <c r="C890" i="68" s="1"/>
  <c r="R698" i="68"/>
  <c r="C128" i="68"/>
  <c r="C131" i="68" s="1"/>
  <c r="C132" i="68" s="1"/>
  <c r="I1125" i="68"/>
  <c r="J1126" i="68" s="1"/>
  <c r="AA389" i="68"/>
  <c r="AD389" i="68" s="1"/>
  <c r="M1138" i="68"/>
  <c r="K736" i="68"/>
  <c r="K739" i="68" s="1"/>
  <c r="K740" i="68" s="1"/>
  <c r="K873" i="68"/>
  <c r="B779" i="68"/>
  <c r="B783" i="68" s="1"/>
  <c r="G779" i="68"/>
  <c r="G783" i="68" s="1"/>
  <c r="G785" i="68" s="1"/>
  <c r="P915" i="68" s="1"/>
  <c r="C59" i="68"/>
  <c r="C62" i="68" s="1"/>
  <c r="C63" i="68" s="1"/>
  <c r="H59" i="68"/>
  <c r="H62" i="68" s="1"/>
  <c r="H63" i="68" s="1"/>
  <c r="F59" i="68"/>
  <c r="F62" i="68" s="1"/>
  <c r="P59" i="68"/>
  <c r="P62" i="68" s="1"/>
  <c r="P63" i="68" s="1"/>
  <c r="L736" i="68"/>
  <c r="L739" i="68" s="1"/>
  <c r="L740" i="68" s="1"/>
  <c r="L59" i="68"/>
  <c r="L62" i="68" s="1"/>
  <c r="L63" i="68" s="1"/>
  <c r="G873" i="68"/>
  <c r="D779" i="68"/>
  <c r="D783" i="68" s="1"/>
  <c r="D785" i="68" s="1"/>
  <c r="L874" i="68"/>
  <c r="L896" i="68" s="1"/>
  <c r="B59" i="68"/>
  <c r="B62" i="68" s="1"/>
  <c r="K865" i="68"/>
  <c r="K894" i="68" s="1"/>
  <c r="F128" i="68"/>
  <c r="F131" i="68" s="1"/>
  <c r="C685" i="68"/>
  <c r="C688" i="68" s="1"/>
  <c r="C689" i="68" s="1"/>
  <c r="O128" i="68"/>
  <c r="O131" i="68" s="1"/>
  <c r="O132" i="68" s="1"/>
  <c r="D639" i="68"/>
  <c r="D642" i="68" s="1"/>
  <c r="D643" i="68" s="1"/>
  <c r="F575" i="68"/>
  <c r="F578" i="68" s="1"/>
  <c r="D829" i="68"/>
  <c r="D832" i="68" s="1"/>
  <c r="D833" i="68" s="1"/>
  <c r="B575" i="68"/>
  <c r="B578" i="68" s="1"/>
  <c r="G575" i="68"/>
  <c r="G578" i="68" s="1"/>
  <c r="G579" i="68" s="1"/>
  <c r="C575" i="68"/>
  <c r="C578" i="68" s="1"/>
  <c r="C579" i="68" s="1"/>
  <c r="D575" i="68"/>
  <c r="D578" i="68" s="1"/>
  <c r="D579" i="68" s="1"/>
  <c r="O575" i="68"/>
  <c r="O578" i="68" s="1"/>
  <c r="O579" i="68" s="1"/>
  <c r="H128" i="68"/>
  <c r="H131" i="68" s="1"/>
  <c r="H132" i="68" s="1"/>
  <c r="H575" i="68"/>
  <c r="H578" i="68" s="1"/>
  <c r="H579" i="68" s="1"/>
  <c r="G639" i="68"/>
  <c r="G642" i="68" s="1"/>
  <c r="G643" i="68" s="1"/>
  <c r="R571" i="68"/>
  <c r="R635" i="68"/>
  <c r="E868" i="68"/>
  <c r="E869" i="68"/>
  <c r="AD940" i="68"/>
  <c r="L1077" i="68"/>
  <c r="I127" i="68"/>
  <c r="E304" i="68"/>
  <c r="N1132" i="68"/>
  <c r="N1135" i="68"/>
  <c r="E27" i="68"/>
  <c r="C1138" i="68"/>
  <c r="E1138" i="68"/>
  <c r="N1129" i="68"/>
  <c r="R1135" i="68"/>
  <c r="AE937" i="68"/>
  <c r="AD948" i="68"/>
  <c r="F1076" i="68"/>
  <c r="B1049" i="68" s="1"/>
  <c r="AD1050" i="68" s="1"/>
  <c r="G1077" i="68"/>
  <c r="C1050" i="68" s="1"/>
  <c r="N1126" i="68"/>
  <c r="R25" i="68"/>
  <c r="R576" i="68"/>
  <c r="R588" i="68"/>
  <c r="R589" i="68"/>
  <c r="R591" i="68"/>
  <c r="R592" i="68"/>
  <c r="R593" i="68"/>
  <c r="R596" i="68"/>
  <c r="R599" i="68"/>
  <c r="R603" i="68"/>
  <c r="R608" i="68"/>
  <c r="R618" i="68"/>
  <c r="E620" i="68"/>
  <c r="R623" i="68"/>
  <c r="R624" i="68"/>
  <c r="R628" i="68"/>
  <c r="R629" i="68"/>
  <c r="R636" i="68"/>
  <c r="E637" i="68"/>
  <c r="E638" i="68"/>
  <c r="R662" i="68"/>
  <c r="R663" i="68"/>
  <c r="E672" i="68"/>
  <c r="E676" i="68"/>
  <c r="E683" i="68"/>
  <c r="E684" i="68"/>
  <c r="E711" i="68"/>
  <c r="M771" i="68"/>
  <c r="E827" i="68"/>
  <c r="Q852" i="68"/>
  <c r="Q860" i="68"/>
  <c r="L1075" i="68"/>
  <c r="R468" i="68"/>
  <c r="Q27" i="68"/>
  <c r="AC388" i="68"/>
  <c r="Q827" i="68"/>
  <c r="M860" i="68"/>
  <c r="L1086" i="68"/>
  <c r="R1132" i="68"/>
  <c r="F1135" i="68"/>
  <c r="R474" i="68"/>
  <c r="M529" i="68"/>
  <c r="Q562" i="68"/>
  <c r="Q573" i="68"/>
  <c r="I57" i="68"/>
  <c r="E216" i="68"/>
  <c r="I529" i="68"/>
  <c r="Q711" i="68"/>
  <c r="Q771" i="68"/>
  <c r="AD910" i="68"/>
  <c r="AO910" i="68" s="1"/>
  <c r="M551" i="68"/>
  <c r="M509" i="68"/>
  <c r="I509" i="68"/>
  <c r="I382" i="68"/>
  <c r="O865" i="68"/>
  <c r="O894" i="68" s="1"/>
  <c r="E284" i="68"/>
  <c r="M852" i="68"/>
  <c r="H861" i="68"/>
  <c r="H892" i="68" s="1"/>
  <c r="M107" i="68"/>
  <c r="K305" i="68"/>
  <c r="K313" i="68" s="1"/>
  <c r="K314" i="68" s="1"/>
  <c r="R220" i="68"/>
  <c r="R223" i="68"/>
  <c r="R226" i="68"/>
  <c r="R232" i="68"/>
  <c r="R236" i="68"/>
  <c r="R238" i="68"/>
  <c r="R242" i="68"/>
  <c r="R248" i="68"/>
  <c r="R251" i="68"/>
  <c r="R253" i="68"/>
  <c r="R255" i="68"/>
  <c r="R258" i="68"/>
  <c r="R263" i="68"/>
  <c r="R269" i="68"/>
  <c r="R271" i="68"/>
  <c r="R276" i="68"/>
  <c r="R280" i="68"/>
  <c r="R287" i="68"/>
  <c r="R289" i="68"/>
  <c r="R291" i="68"/>
  <c r="R293" i="68"/>
  <c r="R294" i="68"/>
  <c r="R300" i="68"/>
  <c r="M15" i="68"/>
  <c r="E16" i="68"/>
  <c r="Q17" i="68"/>
  <c r="M18" i="68"/>
  <c r="M46" i="68"/>
  <c r="M50" i="68"/>
  <c r="E509" i="68"/>
  <c r="E529" i="68"/>
  <c r="I638" i="68"/>
  <c r="I676" i="68"/>
  <c r="I684" i="68"/>
  <c r="I711" i="68"/>
  <c r="I735" i="68"/>
  <c r="M827" i="68"/>
  <c r="I852" i="68"/>
  <c r="I860" i="68"/>
  <c r="M126" i="68"/>
  <c r="F305" i="68"/>
  <c r="F313" i="68" s="1"/>
  <c r="F314" i="68" s="1"/>
  <c r="P305" i="68"/>
  <c r="P313" i="68" s="1"/>
  <c r="P314" i="68" s="1"/>
  <c r="R221" i="68"/>
  <c r="R224" i="68"/>
  <c r="R231" i="68"/>
  <c r="R235" i="68"/>
  <c r="R237" i="68"/>
  <c r="R239" i="68"/>
  <c r="R241" i="68"/>
  <c r="R243" i="68"/>
  <c r="R247" i="68"/>
  <c r="R252" i="68"/>
  <c r="R254" i="68"/>
  <c r="R257" i="68"/>
  <c r="R259" i="68"/>
  <c r="R264" i="68"/>
  <c r="R267" i="68"/>
  <c r="R270" i="68"/>
  <c r="R273" i="68"/>
  <c r="R281" i="68"/>
  <c r="R288" i="68"/>
  <c r="R298" i="68"/>
  <c r="I15" i="68"/>
  <c r="E96" i="68"/>
  <c r="M382" i="68"/>
  <c r="Q509" i="68"/>
  <c r="H530" i="68"/>
  <c r="H533" i="68" s="1"/>
  <c r="H534" i="68" s="1"/>
  <c r="Q529" i="68"/>
  <c r="E562" i="68"/>
  <c r="E573" i="68"/>
  <c r="M763" i="68"/>
  <c r="L779" i="68"/>
  <c r="L783" i="68" s="1"/>
  <c r="L785" i="68" s="1"/>
  <c r="L786" i="68" s="1"/>
  <c r="I827" i="68"/>
  <c r="E852" i="68"/>
  <c r="E860" i="68"/>
  <c r="I869" i="68"/>
  <c r="R306" i="68"/>
  <c r="R307" i="68"/>
  <c r="R308" i="68"/>
  <c r="R310" i="68"/>
  <c r="R311" i="68"/>
  <c r="R332" i="68"/>
  <c r="R333" i="68"/>
  <c r="R337" i="68"/>
  <c r="R338" i="68"/>
  <c r="R339" i="68"/>
  <c r="R340" i="68"/>
  <c r="R341" i="68"/>
  <c r="R343" i="68"/>
  <c r="R344" i="68"/>
  <c r="R345" i="68"/>
  <c r="R349" i="68"/>
  <c r="R350" i="68"/>
  <c r="R353" i="68"/>
  <c r="R387" i="68"/>
  <c r="R389" i="68"/>
  <c r="Z389" i="68"/>
  <c r="AH389" i="68"/>
  <c r="R414" i="68"/>
  <c r="R415" i="68"/>
  <c r="R416" i="68"/>
  <c r="R417" i="68"/>
  <c r="R418" i="68"/>
  <c r="R420" i="68"/>
  <c r="R421" i="68"/>
  <c r="R422" i="68"/>
  <c r="R426" i="68"/>
  <c r="R427" i="68"/>
  <c r="R430" i="68"/>
  <c r="R432" i="68"/>
  <c r="R433" i="68"/>
  <c r="R434" i="68"/>
  <c r="R436" i="68"/>
  <c r="R438" i="68"/>
  <c r="R439" i="68"/>
  <c r="R440" i="68"/>
  <c r="R442" i="68"/>
  <c r="R443" i="68"/>
  <c r="R444" i="68"/>
  <c r="R445" i="68"/>
  <c r="R449" i="68"/>
  <c r="R450" i="68"/>
  <c r="P530" i="68"/>
  <c r="P533" i="68" s="1"/>
  <c r="P534" i="68" s="1"/>
  <c r="I520" i="68"/>
  <c r="I528" i="68"/>
  <c r="M562" i="68"/>
  <c r="M573" i="68"/>
  <c r="Q611" i="68"/>
  <c r="Q672" i="68"/>
  <c r="I771" i="68"/>
  <c r="I807" i="68"/>
  <c r="I817" i="68"/>
  <c r="Q828" i="68"/>
  <c r="P856" i="68"/>
  <c r="P890" i="68" s="1"/>
  <c r="I851" i="68"/>
  <c r="Q853" i="68"/>
  <c r="P861" i="68"/>
  <c r="P892" i="68" s="1"/>
  <c r="Q869" i="68"/>
  <c r="Q284" i="68"/>
  <c r="Q303" i="68"/>
  <c r="Q304" i="68"/>
  <c r="Q324" i="68"/>
  <c r="Q382" i="68"/>
  <c r="M396" i="68"/>
  <c r="R412" i="68"/>
  <c r="L530" i="68"/>
  <c r="L533" i="68" s="1"/>
  <c r="L534" i="68" s="1"/>
  <c r="E520" i="68"/>
  <c r="E528" i="68"/>
  <c r="I562" i="68"/>
  <c r="I573" i="68"/>
  <c r="E724" i="68"/>
  <c r="M734" i="68"/>
  <c r="M735" i="68"/>
  <c r="E771" i="68"/>
  <c r="E777" i="68"/>
  <c r="Q778" i="68"/>
  <c r="E807" i="68"/>
  <c r="E817" i="68"/>
  <c r="E851" i="68"/>
  <c r="L861" i="68"/>
  <c r="L892" i="68" s="1"/>
  <c r="M869" i="68"/>
  <c r="AD906" i="68"/>
  <c r="AO906" i="68" s="1"/>
  <c r="Q551" i="68"/>
  <c r="N575" i="68"/>
  <c r="N578" i="68" s="1"/>
  <c r="L639" i="68"/>
  <c r="L642" i="68" s="1"/>
  <c r="L643" i="68" s="1"/>
  <c r="M16" i="68"/>
  <c r="E50" i="68"/>
  <c r="R54" i="68"/>
  <c r="Q89" i="68"/>
  <c r="H639" i="68"/>
  <c r="H642" i="68" s="1"/>
  <c r="H643" i="68" s="1"/>
  <c r="Q638" i="68"/>
  <c r="Q676" i="68"/>
  <c r="Q684" i="68"/>
  <c r="R700" i="68"/>
  <c r="R701" i="68"/>
  <c r="R702" i="68"/>
  <c r="Q724" i="68"/>
  <c r="E763" i="68"/>
  <c r="I763" i="68"/>
  <c r="Q763" i="68"/>
  <c r="Q777" i="68"/>
  <c r="M778" i="68"/>
  <c r="AE939" i="68"/>
  <c r="AF939" i="68"/>
  <c r="AD904" i="68"/>
  <c r="AO904" i="68" s="1"/>
  <c r="E14" i="68"/>
  <c r="E15" i="68"/>
  <c r="R38" i="68"/>
  <c r="E58" i="68"/>
  <c r="N128" i="68"/>
  <c r="N131" i="68" s="1"/>
  <c r="Q15" i="68"/>
  <c r="I16" i="68"/>
  <c r="E17" i="68"/>
  <c r="Q18" i="68"/>
  <c r="Q46" i="68"/>
  <c r="Q50" i="68"/>
  <c r="E57" i="68"/>
  <c r="Q58" i="68"/>
  <c r="M89" i="68"/>
  <c r="J128" i="68"/>
  <c r="Q107" i="68"/>
  <c r="R141" i="68"/>
  <c r="R143" i="68"/>
  <c r="R144" i="68"/>
  <c r="R145" i="68"/>
  <c r="R150" i="68"/>
  <c r="R151" i="68"/>
  <c r="R154" i="68"/>
  <c r="R155" i="68"/>
  <c r="R156" i="68"/>
  <c r="R157" i="68"/>
  <c r="R158" i="68"/>
  <c r="R160" i="68"/>
  <c r="R162" i="68"/>
  <c r="R163" i="68"/>
  <c r="R167" i="68"/>
  <c r="R168" i="68"/>
  <c r="R171" i="68"/>
  <c r="R172" i="68"/>
  <c r="R173" i="68"/>
  <c r="R174" i="68"/>
  <c r="R175" i="68"/>
  <c r="R177" i="68"/>
  <c r="R178" i="68"/>
  <c r="M638" i="68"/>
  <c r="M676" i="68"/>
  <c r="M684" i="68"/>
  <c r="F874" i="68"/>
  <c r="F896" i="68" s="1"/>
  <c r="I868" i="68"/>
  <c r="P874" i="68"/>
  <c r="P896" i="68" s="1"/>
  <c r="I871" i="68"/>
  <c r="AE940" i="68"/>
  <c r="AD905" i="68"/>
  <c r="AO905" i="68" s="1"/>
  <c r="AD944" i="68"/>
  <c r="AD909" i="68"/>
  <c r="AO909" i="68" s="1"/>
  <c r="AE944" i="68"/>
  <c r="R179" i="68"/>
  <c r="R183" i="68"/>
  <c r="R184" i="68"/>
  <c r="R187" i="68"/>
  <c r="R188" i="68"/>
  <c r="R189" i="68"/>
  <c r="R190" i="68"/>
  <c r="R193" i="68"/>
  <c r="R194" i="68"/>
  <c r="R195" i="68"/>
  <c r="R200" i="68"/>
  <c r="R202" i="68"/>
  <c r="R206" i="68"/>
  <c r="R207" i="68"/>
  <c r="G305" i="68"/>
  <c r="G313" i="68" s="1"/>
  <c r="G314" i="68" s="1"/>
  <c r="L305" i="68"/>
  <c r="L313" i="68" s="1"/>
  <c r="L314" i="68" s="1"/>
  <c r="R213" i="68"/>
  <c r="R214" i="68"/>
  <c r="R405" i="68"/>
  <c r="R406" i="68"/>
  <c r="R409" i="68"/>
  <c r="R410" i="68"/>
  <c r="R411" i="68"/>
  <c r="R457" i="68"/>
  <c r="R459" i="68"/>
  <c r="R461" i="68"/>
  <c r="R462" i="68"/>
  <c r="R463" i="68"/>
  <c r="R469" i="68"/>
  <c r="R471" i="68"/>
  <c r="R472" i="68"/>
  <c r="R473" i="68"/>
  <c r="R480" i="68"/>
  <c r="R481" i="68"/>
  <c r="R502" i="68"/>
  <c r="R505" i="68"/>
  <c r="R506" i="68"/>
  <c r="R527" i="68"/>
  <c r="J575" i="68"/>
  <c r="J578" i="68" s="1"/>
  <c r="R793" i="68"/>
  <c r="R794" i="68"/>
  <c r="R795" i="68"/>
  <c r="R796" i="68"/>
  <c r="R805" i="68"/>
  <c r="R815" i="68"/>
  <c r="R820" i="68"/>
  <c r="R821" i="68"/>
  <c r="R823" i="68"/>
  <c r="R824" i="68"/>
  <c r="M828" i="68"/>
  <c r="I850" i="68"/>
  <c r="M853" i="68"/>
  <c r="I854" i="68"/>
  <c r="E864" i="68"/>
  <c r="Q864" i="68"/>
  <c r="Q868" i="68"/>
  <c r="Q871" i="68"/>
  <c r="I14" i="68"/>
  <c r="Q16" i="68"/>
  <c r="I50" i="68"/>
  <c r="R72" i="68"/>
  <c r="R73" i="68"/>
  <c r="R74" i="68"/>
  <c r="R75" i="68"/>
  <c r="R76" i="68"/>
  <c r="R78" i="68"/>
  <c r="R79" i="68"/>
  <c r="R80" i="68"/>
  <c r="R84" i="68"/>
  <c r="R86" i="68"/>
  <c r="R93" i="68"/>
  <c r="R94" i="68"/>
  <c r="I96" i="68"/>
  <c r="R100" i="68"/>
  <c r="R101" i="68"/>
  <c r="R103" i="68"/>
  <c r="R104" i="68"/>
  <c r="R105" i="68"/>
  <c r="R111" i="68"/>
  <c r="R112" i="68"/>
  <c r="R115" i="68"/>
  <c r="R116" i="68"/>
  <c r="R117" i="68"/>
  <c r="R119" i="68"/>
  <c r="R120" i="68"/>
  <c r="I126" i="68"/>
  <c r="E127" i="68"/>
  <c r="C305" i="68"/>
  <c r="C313" i="68" s="1"/>
  <c r="C314" i="68" s="1"/>
  <c r="H305" i="68"/>
  <c r="H313" i="68" s="1"/>
  <c r="H314" i="68" s="1"/>
  <c r="M284" i="68"/>
  <c r="M303" i="68"/>
  <c r="M304" i="68"/>
  <c r="R390" i="68"/>
  <c r="AH390" i="68"/>
  <c r="I396" i="68"/>
  <c r="Q476" i="68"/>
  <c r="Q477" i="68"/>
  <c r="G530" i="68"/>
  <c r="G533" i="68" s="1"/>
  <c r="G534" i="68" s="1"/>
  <c r="K530" i="68"/>
  <c r="K533" i="68" s="1"/>
  <c r="K534" i="68" s="1"/>
  <c r="Q514" i="68"/>
  <c r="Q520" i="68"/>
  <c r="I557" i="68"/>
  <c r="I574" i="68"/>
  <c r="K639" i="68"/>
  <c r="K642" i="68" s="1"/>
  <c r="K643" i="68" s="1"/>
  <c r="I620" i="68"/>
  <c r="P639" i="68"/>
  <c r="P642" i="68" s="1"/>
  <c r="P643" i="68" s="1"/>
  <c r="I637" i="68"/>
  <c r="I652" i="68"/>
  <c r="K685" i="68"/>
  <c r="K688" i="68" s="1"/>
  <c r="K689" i="68" s="1"/>
  <c r="I672" i="68"/>
  <c r="I683" i="68"/>
  <c r="O736" i="68"/>
  <c r="O739" i="68" s="1"/>
  <c r="O740" i="68" s="1"/>
  <c r="M711" i="68"/>
  <c r="I724" i="68"/>
  <c r="Q734" i="68"/>
  <c r="Q735" i="68"/>
  <c r="Q749" i="68"/>
  <c r="K779" i="68"/>
  <c r="K783" i="68" s="1"/>
  <c r="K785" i="68" s="1"/>
  <c r="O779" i="68"/>
  <c r="O783" i="68" s="1"/>
  <c r="O784" i="68" s="1"/>
  <c r="I777" i="68"/>
  <c r="C779" i="68"/>
  <c r="C783" i="68" s="1"/>
  <c r="C785" i="68" s="1"/>
  <c r="P912" i="68" s="1"/>
  <c r="Q807" i="68"/>
  <c r="I828" i="68"/>
  <c r="I853" i="68"/>
  <c r="E854" i="68"/>
  <c r="Q855" i="68"/>
  <c r="AD912" i="68"/>
  <c r="AO912" i="68" s="1"/>
  <c r="D305" i="68"/>
  <c r="D313" i="68" s="1"/>
  <c r="D314" i="68" s="1"/>
  <c r="O305" i="68"/>
  <c r="O313" i="68" s="1"/>
  <c r="O314" i="68" s="1"/>
  <c r="I284" i="68"/>
  <c r="I304" i="68"/>
  <c r="R354" i="68"/>
  <c r="R355" i="68"/>
  <c r="R358" i="68"/>
  <c r="R359" i="68"/>
  <c r="R360" i="68"/>
  <c r="R361" i="68"/>
  <c r="R364" i="68"/>
  <c r="R365" i="68"/>
  <c r="R367" i="68"/>
  <c r="R371" i="68"/>
  <c r="R372" i="68"/>
  <c r="R375" i="68"/>
  <c r="R377" i="68"/>
  <c r="R378" i="68"/>
  <c r="R379" i="68"/>
  <c r="R380" i="68"/>
  <c r="AL389" i="68"/>
  <c r="Z390" i="68"/>
  <c r="R391" i="68"/>
  <c r="R392" i="68"/>
  <c r="R399" i="68"/>
  <c r="M476" i="68"/>
  <c r="M477" i="68"/>
  <c r="D530" i="68"/>
  <c r="D533" i="68" s="1"/>
  <c r="D534" i="68" s="1"/>
  <c r="M514" i="68"/>
  <c r="M520" i="68"/>
  <c r="R544" i="68"/>
  <c r="R545" i="68"/>
  <c r="R546" i="68"/>
  <c r="E557" i="68"/>
  <c r="R561" i="68"/>
  <c r="R570" i="68"/>
  <c r="R572" i="68"/>
  <c r="E574" i="68"/>
  <c r="O639" i="68"/>
  <c r="O642" i="68" s="1"/>
  <c r="O643" i="68" s="1"/>
  <c r="M611" i="68"/>
  <c r="O685" i="68"/>
  <c r="O688" i="68" s="1"/>
  <c r="O689" i="68" s="1"/>
  <c r="M672" i="68"/>
  <c r="D685" i="68"/>
  <c r="D688" i="68" s="1"/>
  <c r="D689" i="68" s="1"/>
  <c r="H685" i="68"/>
  <c r="H688" i="68" s="1"/>
  <c r="H689" i="68" s="1"/>
  <c r="L685" i="68"/>
  <c r="L688" i="68" s="1"/>
  <c r="L689" i="68" s="1"/>
  <c r="P685" i="68"/>
  <c r="P688" i="68" s="1"/>
  <c r="P689" i="68" s="1"/>
  <c r="C736" i="68"/>
  <c r="C739" i="68" s="1"/>
  <c r="C740" i="68" s="1"/>
  <c r="H736" i="68"/>
  <c r="H739" i="68" s="1"/>
  <c r="H740" i="68" s="1"/>
  <c r="R714" i="68"/>
  <c r="R716" i="68"/>
  <c r="R717" i="68"/>
  <c r="R720" i="68"/>
  <c r="R721" i="68"/>
  <c r="M724" i="68"/>
  <c r="R729" i="68"/>
  <c r="R730" i="68"/>
  <c r="R731" i="68"/>
  <c r="E735" i="68"/>
  <c r="R737" i="68"/>
  <c r="R747" i="68"/>
  <c r="R759" i="68"/>
  <c r="E767" i="68"/>
  <c r="M777" i="68"/>
  <c r="I778" i="68"/>
  <c r="Q802" i="68"/>
  <c r="M807" i="68"/>
  <c r="E828" i="68"/>
  <c r="E853" i="68"/>
  <c r="Q854" i="68"/>
  <c r="M855" i="68"/>
  <c r="J874" i="68"/>
  <c r="J896" i="68" s="1"/>
  <c r="M868" i="68"/>
  <c r="M871" i="68"/>
  <c r="AG948" i="68"/>
  <c r="K1031" i="68"/>
  <c r="H1031" i="68"/>
  <c r="N1031" i="68"/>
  <c r="I1031" i="68"/>
  <c r="J1031" i="68"/>
  <c r="L1031" i="68"/>
  <c r="L28" i="68"/>
  <c r="L325" i="68"/>
  <c r="AP910" i="68" s="1"/>
  <c r="I1024" i="68"/>
  <c r="N1024" i="68"/>
  <c r="H1024" i="68"/>
  <c r="K1024" i="68"/>
  <c r="L1024" i="68"/>
  <c r="K1032" i="68"/>
  <c r="N1032" i="68"/>
  <c r="I1032" i="68"/>
  <c r="L1032" i="68"/>
  <c r="H1032" i="68"/>
  <c r="N653" i="68"/>
  <c r="N750" i="68"/>
  <c r="F949" i="68"/>
  <c r="I1028" i="68"/>
  <c r="N1028" i="68"/>
  <c r="H1028" i="68"/>
  <c r="K1028" i="68"/>
  <c r="L1028" i="68"/>
  <c r="G945" i="68"/>
  <c r="H653" i="68"/>
  <c r="I1023" i="68"/>
  <c r="N1023" i="68"/>
  <c r="L1023" i="68"/>
  <c r="K1023" i="68"/>
  <c r="H1023" i="68"/>
  <c r="G940" i="68"/>
  <c r="B653" i="68"/>
  <c r="B325" i="68"/>
  <c r="AP902" i="68" s="1"/>
  <c r="B28" i="68"/>
  <c r="I1027" i="68"/>
  <c r="N1027" i="68"/>
  <c r="L1027" i="68"/>
  <c r="K1027" i="68"/>
  <c r="F944" i="68"/>
  <c r="H1027" i="68"/>
  <c r="G750" i="68"/>
  <c r="G653" i="68"/>
  <c r="G325" i="68"/>
  <c r="AP906" i="68" s="1"/>
  <c r="K1033" i="68"/>
  <c r="N1033" i="68"/>
  <c r="H1033" i="68"/>
  <c r="I1033" i="68"/>
  <c r="L1033" i="68"/>
  <c r="F950" i="68"/>
  <c r="I1025" i="68"/>
  <c r="N1025" i="68"/>
  <c r="L1025" i="68"/>
  <c r="K1025" i="68"/>
  <c r="I1029" i="68"/>
  <c r="N1029" i="68"/>
  <c r="L1029" i="68"/>
  <c r="K1029" i="68"/>
  <c r="H1029" i="68"/>
  <c r="I1026" i="68"/>
  <c r="N1026" i="68"/>
  <c r="H1026" i="68"/>
  <c r="K1026" i="68"/>
  <c r="L1026" i="68"/>
  <c r="I1030" i="68"/>
  <c r="N1030" i="68"/>
  <c r="H1030" i="68"/>
  <c r="K1030" i="68"/>
  <c r="L1030" i="68"/>
  <c r="F947" i="68"/>
  <c r="K1034" i="68"/>
  <c r="L1034" i="68"/>
  <c r="N1034" i="68"/>
  <c r="H1034" i="68"/>
  <c r="J1034" i="68"/>
  <c r="I1034" i="68"/>
  <c r="P750" i="68"/>
  <c r="P325" i="68"/>
  <c r="AP913" i="68" s="1"/>
  <c r="P28" i="68"/>
  <c r="G28" i="68"/>
  <c r="H325" i="68"/>
  <c r="AP907" i="68" s="1"/>
  <c r="C28" i="68"/>
  <c r="R60" i="68"/>
  <c r="R77" i="68"/>
  <c r="R159" i="68"/>
  <c r="R176" i="68"/>
  <c r="R240" i="68"/>
  <c r="R256" i="68"/>
  <c r="R292" i="68"/>
  <c r="D325" i="68"/>
  <c r="AP904" i="68" s="1"/>
  <c r="J325" i="68"/>
  <c r="AP908" i="68" s="1"/>
  <c r="R342" i="68"/>
  <c r="R419" i="68"/>
  <c r="R437" i="68"/>
  <c r="Q14" i="68"/>
  <c r="M17" i="68"/>
  <c r="I18" i="68"/>
  <c r="J28" i="68"/>
  <c r="O28" i="68"/>
  <c r="K59" i="68"/>
  <c r="K62" i="68" s="1"/>
  <c r="I46" i="68"/>
  <c r="Q57" i="68"/>
  <c r="M58" i="68"/>
  <c r="J59" i="68"/>
  <c r="R81" i="68"/>
  <c r="R82" i="68"/>
  <c r="I89" i="68"/>
  <c r="K128" i="68"/>
  <c r="K131" i="68" s="1"/>
  <c r="P128" i="68"/>
  <c r="P131" i="68" s="1"/>
  <c r="Q96" i="68"/>
  <c r="R106" i="68"/>
  <c r="I107" i="68"/>
  <c r="R110" i="68"/>
  <c r="E126" i="68"/>
  <c r="Q127" i="68"/>
  <c r="R129" i="68"/>
  <c r="R147" i="68"/>
  <c r="R148" i="68"/>
  <c r="R149" i="68"/>
  <c r="R164" i="68"/>
  <c r="R165" i="68"/>
  <c r="R166" i="68"/>
  <c r="R180" i="68"/>
  <c r="R181" i="68"/>
  <c r="R182" i="68"/>
  <c r="R196" i="68"/>
  <c r="R197" i="68"/>
  <c r="R198" i="68"/>
  <c r="J305" i="68"/>
  <c r="Q216" i="68"/>
  <c r="R227" i="68"/>
  <c r="R228" i="68"/>
  <c r="R229" i="68"/>
  <c r="R244" i="68"/>
  <c r="R245" i="68"/>
  <c r="R246" i="68"/>
  <c r="R260" i="68"/>
  <c r="R261" i="68"/>
  <c r="R262" i="68"/>
  <c r="R277" i="68"/>
  <c r="R278" i="68"/>
  <c r="R279" i="68"/>
  <c r="R295" i="68"/>
  <c r="R296" i="68"/>
  <c r="R297" i="68"/>
  <c r="I303" i="68"/>
  <c r="I324" i="68"/>
  <c r="K325" i="68"/>
  <c r="AP909" i="68" s="1"/>
  <c r="R346" i="68"/>
  <c r="R347" i="68"/>
  <c r="R348" i="68"/>
  <c r="R368" i="68"/>
  <c r="R369" i="68"/>
  <c r="R370" i="68"/>
  <c r="R386" i="68"/>
  <c r="R388" i="68"/>
  <c r="AL388" i="68"/>
  <c r="AC390" i="68"/>
  <c r="R393" i="68"/>
  <c r="R394" i="68"/>
  <c r="E396" i="68"/>
  <c r="R402" i="68"/>
  <c r="R403" i="68"/>
  <c r="R404" i="68"/>
  <c r="R423" i="68"/>
  <c r="R424" i="68"/>
  <c r="R425" i="68"/>
  <c r="R467" i="68"/>
  <c r="R500" i="68"/>
  <c r="K575" i="68"/>
  <c r="K578" i="68" s="1"/>
  <c r="C653" i="68"/>
  <c r="C325" i="68"/>
  <c r="AP903" i="68" s="1"/>
  <c r="Q922" i="68"/>
  <c r="D128" i="68"/>
  <c r="D131" i="68" s="1"/>
  <c r="R102" i="68"/>
  <c r="R122" i="68"/>
  <c r="R142" i="68"/>
  <c r="R192" i="68"/>
  <c r="N305" i="68"/>
  <c r="R222" i="68"/>
  <c r="R274" i="68"/>
  <c r="R309" i="68"/>
  <c r="O325" i="68"/>
  <c r="AP912" i="68" s="1"/>
  <c r="R362" i="68"/>
  <c r="M14" i="68"/>
  <c r="I17" i="68"/>
  <c r="E18" i="68"/>
  <c r="I27" i="68"/>
  <c r="K28" i="68"/>
  <c r="G59" i="68"/>
  <c r="G62" i="68" s="1"/>
  <c r="E46" i="68"/>
  <c r="M57" i="68"/>
  <c r="I58" i="68"/>
  <c r="N59" i="68"/>
  <c r="R87" i="68"/>
  <c r="E89" i="68"/>
  <c r="G128" i="68"/>
  <c r="G131" i="68" s="1"/>
  <c r="L128" i="68"/>
  <c r="L131" i="68" s="1"/>
  <c r="M96" i="68"/>
  <c r="E107" i="68"/>
  <c r="R113" i="68"/>
  <c r="R114" i="68"/>
  <c r="Q126" i="68"/>
  <c r="M127" i="68"/>
  <c r="R152" i="68"/>
  <c r="R153" i="68"/>
  <c r="R169" i="68"/>
  <c r="R170" i="68"/>
  <c r="R185" i="68"/>
  <c r="R186" i="68"/>
  <c r="R203" i="68"/>
  <c r="R205" i="68"/>
  <c r="M216" i="68"/>
  <c r="R233" i="68"/>
  <c r="R234" i="68"/>
  <c r="R249" i="68"/>
  <c r="R250" i="68"/>
  <c r="R265" i="68"/>
  <c r="R266" i="68"/>
  <c r="M864" i="68"/>
  <c r="M275" i="68"/>
  <c r="R275" i="68" s="1"/>
  <c r="R282" i="68"/>
  <c r="R283" i="68"/>
  <c r="R302" i="68"/>
  <c r="E303" i="68"/>
  <c r="R322" i="68"/>
  <c r="R324" i="68" s="1"/>
  <c r="E324" i="68"/>
  <c r="R334" i="68"/>
  <c r="R336" i="68"/>
  <c r="R351" i="68"/>
  <c r="R352" i="68"/>
  <c r="R356" i="68"/>
  <c r="R357" i="68"/>
  <c r="R373" i="68"/>
  <c r="R374" i="68"/>
  <c r="Z388" i="68"/>
  <c r="AH388" i="68"/>
  <c r="Q396" i="68"/>
  <c r="R407" i="68"/>
  <c r="R408" i="68"/>
  <c r="R413" i="68"/>
  <c r="R428" i="68"/>
  <c r="R429" i="68"/>
  <c r="R519" i="68"/>
  <c r="R554" i="68"/>
  <c r="F28" i="68"/>
  <c r="F325" i="68"/>
  <c r="AP905" i="68" s="1"/>
  <c r="AB388" i="68"/>
  <c r="AB390" i="68"/>
  <c r="D863" i="68"/>
  <c r="D865" i="68" s="1"/>
  <c r="D894" i="68" s="1"/>
  <c r="D478" i="68"/>
  <c r="D483" i="68" s="1"/>
  <c r="H863" i="68"/>
  <c r="H865" i="68" s="1"/>
  <c r="H894" i="68" s="1"/>
  <c r="H451" i="68"/>
  <c r="H478" i="68" s="1"/>
  <c r="H483" i="68" s="1"/>
  <c r="L865" i="68"/>
  <c r="L894" i="68" s="1"/>
  <c r="L451" i="68"/>
  <c r="L478" i="68" s="1"/>
  <c r="L483" i="68" s="1"/>
  <c r="Q400" i="68"/>
  <c r="R400" i="68" s="1"/>
  <c r="F451" i="68"/>
  <c r="F478" i="68" s="1"/>
  <c r="N451" i="68"/>
  <c r="N478" i="68" s="1"/>
  <c r="R454" i="68"/>
  <c r="R456" i="68"/>
  <c r="R464" i="68"/>
  <c r="R466" i="68"/>
  <c r="R475" i="68"/>
  <c r="E476" i="68"/>
  <c r="E477" i="68"/>
  <c r="R499" i="68"/>
  <c r="C530" i="68"/>
  <c r="C533" i="68" s="1"/>
  <c r="O530" i="68"/>
  <c r="O533" i="68" s="1"/>
  <c r="R512" i="68"/>
  <c r="E514" i="68"/>
  <c r="M528" i="68"/>
  <c r="R531" i="68"/>
  <c r="R547" i="68"/>
  <c r="E551" i="68"/>
  <c r="L575" i="68"/>
  <c r="L578" i="68" s="1"/>
  <c r="M557" i="68"/>
  <c r="R567" i="68"/>
  <c r="R569" i="68"/>
  <c r="M574" i="68"/>
  <c r="R594" i="68"/>
  <c r="R595" i="68"/>
  <c r="J639" i="68"/>
  <c r="M605" i="68"/>
  <c r="R609" i="68"/>
  <c r="E611" i="68"/>
  <c r="M620" i="68"/>
  <c r="R626" i="68"/>
  <c r="R627" i="68"/>
  <c r="M637" i="68"/>
  <c r="R640" i="68"/>
  <c r="D653" i="68"/>
  <c r="J653" i="68"/>
  <c r="O653" i="68"/>
  <c r="R664" i="68"/>
  <c r="B685" i="68"/>
  <c r="E668" i="68"/>
  <c r="M683" i="68"/>
  <c r="R686" i="68"/>
  <c r="R703" i="68"/>
  <c r="B736" i="68"/>
  <c r="E707" i="68"/>
  <c r="E734" i="68"/>
  <c r="C750" i="68"/>
  <c r="R830" i="68"/>
  <c r="O856" i="68"/>
  <c r="Q850" i="68"/>
  <c r="M851" i="68"/>
  <c r="J856" i="68"/>
  <c r="C863" i="68"/>
  <c r="C865" i="68" s="1"/>
  <c r="C894" i="68" s="1"/>
  <c r="F639" i="68"/>
  <c r="I605" i="68"/>
  <c r="K653" i="68"/>
  <c r="N736" i="68"/>
  <c r="Q707" i="68"/>
  <c r="I41" i="68"/>
  <c r="M41" i="68"/>
  <c r="E209" i="68"/>
  <c r="I209" i="68"/>
  <c r="M209" i="68"/>
  <c r="Q209" i="68"/>
  <c r="N325" i="68"/>
  <c r="AP911" i="68" s="1"/>
  <c r="AD387" i="68"/>
  <c r="AM387" i="68" s="1"/>
  <c r="B865" i="68"/>
  <c r="F865" i="68"/>
  <c r="N865" i="68"/>
  <c r="R441" i="68"/>
  <c r="B451" i="68"/>
  <c r="J451" i="68"/>
  <c r="R460" i="68"/>
  <c r="R470" i="68"/>
  <c r="R479" i="68"/>
  <c r="R503" i="68"/>
  <c r="R526" i="68"/>
  <c r="R543" i="68"/>
  <c r="R555" i="68"/>
  <c r="R590" i="68"/>
  <c r="R601" i="68"/>
  <c r="E605" i="68"/>
  <c r="R619" i="68"/>
  <c r="R634" i="68"/>
  <c r="R650" i="68"/>
  <c r="E652" i="68"/>
  <c r="L653" i="68"/>
  <c r="J685" i="68"/>
  <c r="M668" i="68"/>
  <c r="R680" i="68"/>
  <c r="R699" i="68"/>
  <c r="D736" i="68"/>
  <c r="D739" i="68" s="1"/>
  <c r="J736" i="68"/>
  <c r="M707" i="68"/>
  <c r="R718" i="68"/>
  <c r="R719" i="68"/>
  <c r="K750" i="68"/>
  <c r="P784" i="68"/>
  <c r="P785" i="68"/>
  <c r="P751" i="68" s="1"/>
  <c r="R780" i="68"/>
  <c r="R781" i="68"/>
  <c r="R797" i="68"/>
  <c r="R800" i="68"/>
  <c r="G829" i="68"/>
  <c r="G832" i="68" s="1"/>
  <c r="I802" i="68"/>
  <c r="L829" i="68"/>
  <c r="L832" i="68" s="1"/>
  <c r="E855" i="68"/>
  <c r="B856" i="68"/>
  <c r="I870" i="68"/>
  <c r="H873" i="68"/>
  <c r="H874" i="68"/>
  <c r="H896" i="68" s="1"/>
  <c r="N873" i="68"/>
  <c r="Q872" i="68"/>
  <c r="P653" i="68"/>
  <c r="N685" i="68"/>
  <c r="Q668" i="68"/>
  <c r="M802" i="68"/>
  <c r="K829" i="68"/>
  <c r="K832" i="68" s="1"/>
  <c r="H28" i="68"/>
  <c r="N28" i="68"/>
  <c r="E41" i="68"/>
  <c r="Q41" i="68"/>
  <c r="R1110" i="68"/>
  <c r="R1065" i="68"/>
  <c r="R1040" i="68"/>
  <c r="AT925" i="68"/>
  <c r="R957" i="68"/>
  <c r="AS952" i="68"/>
  <c r="AS987" i="68"/>
  <c r="R902" i="68"/>
  <c r="R931" i="68"/>
  <c r="R878" i="68"/>
  <c r="AT893" i="68"/>
  <c r="R837" i="68"/>
  <c r="M27" i="68"/>
  <c r="D28" i="68"/>
  <c r="M324" i="68"/>
  <c r="C478" i="68"/>
  <c r="C483" i="68" s="1"/>
  <c r="K478" i="68"/>
  <c r="K483" i="68" s="1"/>
  <c r="O478" i="68"/>
  <c r="O483" i="68" s="1"/>
  <c r="AA388" i="68"/>
  <c r="G863" i="68"/>
  <c r="G865" i="68" s="1"/>
  <c r="G894" i="68" s="1"/>
  <c r="G451" i="68"/>
  <c r="G478" i="68" s="1"/>
  <c r="G483" i="68" s="1"/>
  <c r="P863" i="68"/>
  <c r="P865" i="68" s="1"/>
  <c r="P894" i="68" s="1"/>
  <c r="P451" i="68"/>
  <c r="P478" i="68" s="1"/>
  <c r="P483" i="68" s="1"/>
  <c r="I476" i="68"/>
  <c r="I477" i="68"/>
  <c r="B530" i="68"/>
  <c r="F530" i="68"/>
  <c r="J530" i="68"/>
  <c r="N530" i="68"/>
  <c r="I514" i="68"/>
  <c r="Q528" i="68"/>
  <c r="I551" i="68"/>
  <c r="P575" i="68"/>
  <c r="P578" i="68" s="1"/>
  <c r="Q557" i="68"/>
  <c r="Q574" i="68"/>
  <c r="C639" i="68"/>
  <c r="C642" i="68" s="1"/>
  <c r="N639" i="68"/>
  <c r="Q605" i="68"/>
  <c r="I611" i="68"/>
  <c r="Q620" i="68"/>
  <c r="Q637" i="68"/>
  <c r="Q652" i="68"/>
  <c r="F685" i="68"/>
  <c r="I668" i="68"/>
  <c r="Q683" i="68"/>
  <c r="F736" i="68"/>
  <c r="I707" i="68"/>
  <c r="P736" i="68"/>
  <c r="P739" i="68" s="1"/>
  <c r="R723" i="68"/>
  <c r="R728" i="68"/>
  <c r="I734" i="68"/>
  <c r="E749" i="68"/>
  <c r="B750" i="68"/>
  <c r="L750" i="68"/>
  <c r="I767" i="68"/>
  <c r="F779" i="68"/>
  <c r="E802" i="68"/>
  <c r="C829" i="68"/>
  <c r="C832" i="68" s="1"/>
  <c r="H829" i="68"/>
  <c r="H832" i="68" s="1"/>
  <c r="R810" i="68"/>
  <c r="R813" i="68"/>
  <c r="R814" i="68"/>
  <c r="O829" i="68"/>
  <c r="O832" i="68" s="1"/>
  <c r="Q858" i="68"/>
  <c r="O861" i="68"/>
  <c r="O892" i="68" s="1"/>
  <c r="J861" i="68"/>
  <c r="M859" i="68"/>
  <c r="Q867" i="68"/>
  <c r="O874" i="68"/>
  <c r="O896" i="68" s="1"/>
  <c r="AE942" i="68"/>
  <c r="AD942" i="68"/>
  <c r="AD907" i="68"/>
  <c r="F945" i="68"/>
  <c r="AF942" i="68"/>
  <c r="F653" i="68"/>
  <c r="I749" i="68"/>
  <c r="F750" i="68"/>
  <c r="M767" i="68"/>
  <c r="E778" i="68"/>
  <c r="B829" i="68"/>
  <c r="F829" i="68"/>
  <c r="J829" i="68"/>
  <c r="N829" i="68"/>
  <c r="M817" i="68"/>
  <c r="E850" i="68"/>
  <c r="Q851" i="68"/>
  <c r="M854" i="68"/>
  <c r="I855" i="68"/>
  <c r="F856" i="68"/>
  <c r="N856" i="68"/>
  <c r="E858" i="68"/>
  <c r="C861" i="68"/>
  <c r="N861" i="68"/>
  <c r="Q859" i="68"/>
  <c r="I864" i="68"/>
  <c r="E867" i="68"/>
  <c r="C874" i="68"/>
  <c r="C896" i="68" s="1"/>
  <c r="N874" i="68"/>
  <c r="M870" i="68"/>
  <c r="L873" i="68"/>
  <c r="E871" i="68"/>
  <c r="B873" i="68"/>
  <c r="E872" i="68"/>
  <c r="AF937" i="68"/>
  <c r="F924" i="68"/>
  <c r="AG937" i="68"/>
  <c r="F940" i="68"/>
  <c r="AD937" i="68"/>
  <c r="AD902" i="68"/>
  <c r="AE938" i="68"/>
  <c r="AF938" i="68"/>
  <c r="F941" i="68"/>
  <c r="AD938" i="68"/>
  <c r="AG938" i="68"/>
  <c r="G948" i="68"/>
  <c r="AF946" i="68"/>
  <c r="AE946" i="68"/>
  <c r="AG946" i="68"/>
  <c r="AD911" i="68"/>
  <c r="AD946" i="68"/>
  <c r="H750" i="68"/>
  <c r="R816" i="68"/>
  <c r="G856" i="68"/>
  <c r="K856" i="68"/>
  <c r="M850" i="68"/>
  <c r="M858" i="68"/>
  <c r="K861" i="68"/>
  <c r="K892" i="68" s="1"/>
  <c r="F861" i="68"/>
  <c r="I859" i="68"/>
  <c r="M867" i="68"/>
  <c r="K874" i="68"/>
  <c r="K896" i="68" s="1"/>
  <c r="E870" i="68"/>
  <c r="D873" i="68"/>
  <c r="J873" i="68"/>
  <c r="M872" i="68"/>
  <c r="J1032" i="68"/>
  <c r="M652" i="68"/>
  <c r="D750" i="68"/>
  <c r="J750" i="68"/>
  <c r="M749" i="68"/>
  <c r="O750" i="68"/>
  <c r="Q767" i="68"/>
  <c r="J779" i="68"/>
  <c r="R811" i="68"/>
  <c r="Q817" i="68"/>
  <c r="H856" i="68"/>
  <c r="L856" i="68"/>
  <c r="I858" i="68"/>
  <c r="G861" i="68"/>
  <c r="G892" i="68" s="1"/>
  <c r="B861" i="68"/>
  <c r="E859" i="68"/>
  <c r="I867" i="68"/>
  <c r="G874" i="68"/>
  <c r="G896" i="68" s="1"/>
  <c r="Q870" i="68"/>
  <c r="P873" i="68"/>
  <c r="F873" i="68"/>
  <c r="I872" i="68"/>
  <c r="AO903" i="68"/>
  <c r="G944" i="68"/>
  <c r="AF941" i="68"/>
  <c r="AE941" i="68"/>
  <c r="G947" i="68"/>
  <c r="AG945" i="68"/>
  <c r="AF945" i="68"/>
  <c r="G951" i="68"/>
  <c r="G943" i="68"/>
  <c r="J1023" i="68"/>
  <c r="G924" i="68"/>
  <c r="AD939" i="68"/>
  <c r="F942" i="68"/>
  <c r="AD943" i="68"/>
  <c r="AG943" i="68"/>
  <c r="G949" i="68"/>
  <c r="AF947" i="68"/>
  <c r="AE947" i="68"/>
  <c r="AG939" i="68"/>
  <c r="AG941" i="68"/>
  <c r="AE943" i="68"/>
  <c r="G942" i="68"/>
  <c r="F943" i="68"/>
  <c r="AG940" i="68"/>
  <c r="G946" i="68"/>
  <c r="AG944" i="68"/>
  <c r="AF944" i="68"/>
  <c r="G950" i="68"/>
  <c r="AF948" i="68"/>
  <c r="AE948" i="68"/>
  <c r="AF940" i="68"/>
  <c r="G941" i="68"/>
  <c r="AF943" i="68"/>
  <c r="AE945" i="68"/>
  <c r="F946" i="68"/>
  <c r="AD947" i="68"/>
  <c r="F948" i="68"/>
  <c r="F951" i="68"/>
  <c r="J1025" i="68"/>
  <c r="J1028" i="68"/>
  <c r="J1030" i="68"/>
  <c r="J1027" i="68"/>
  <c r="J1029" i="68"/>
  <c r="J1024" i="68"/>
  <c r="J1026" i="68"/>
  <c r="J1009" i="68"/>
  <c r="AD1070" i="68"/>
  <c r="AD1065" i="68"/>
  <c r="AD1068" i="68"/>
  <c r="AD1067" i="68"/>
  <c r="AD1063" i="68"/>
  <c r="AD1061" i="68"/>
  <c r="AD1059" i="68"/>
  <c r="AD1069" i="68"/>
  <c r="AD1064" i="68"/>
  <c r="AD1062" i="68"/>
  <c r="AD1060" i="68"/>
  <c r="AD1066" i="68"/>
  <c r="AD1057" i="68"/>
  <c r="AD1055" i="68"/>
  <c r="AD1056" i="68"/>
  <c r="AD1058" i="68"/>
  <c r="J1033" i="68"/>
  <c r="Q1138" i="68"/>
  <c r="R1126" i="68"/>
  <c r="G1079" i="68"/>
  <c r="C1052" i="68" s="1"/>
  <c r="L1079" i="68"/>
  <c r="G1081" i="68"/>
  <c r="C1054" i="68" s="1"/>
  <c r="L1081" i="68"/>
  <c r="G1082" i="68"/>
  <c r="C1055" i="68" s="1"/>
  <c r="L1082" i="68"/>
  <c r="G1084" i="68"/>
  <c r="C1057" i="68" s="1"/>
  <c r="L1084" i="68"/>
  <c r="F1126" i="68"/>
  <c r="F1132" i="68"/>
  <c r="L1078" i="68"/>
  <c r="F1078" i="68"/>
  <c r="B1051" i="68" s="1"/>
  <c r="G1080" i="68"/>
  <c r="C1053" i="68" s="1"/>
  <c r="L1080" i="68"/>
  <c r="G1085" i="68"/>
  <c r="C1058" i="68" s="1"/>
  <c r="L1085" i="68"/>
  <c r="G1083" i="68"/>
  <c r="C1056" i="68" s="1"/>
  <c r="L1083" i="68"/>
  <c r="F1129" i="68"/>
  <c r="R1129" i="68"/>
  <c r="M1085" i="68"/>
  <c r="M1083" i="68"/>
  <c r="M1086" i="68"/>
  <c r="M1075" i="68"/>
  <c r="M1080" i="68"/>
  <c r="M1081" i="68"/>
  <c r="M1079" i="68"/>
  <c r="M1084" i="68"/>
  <c r="M1076" i="68"/>
  <c r="M1082" i="68"/>
  <c r="M1078" i="68"/>
  <c r="M1077" i="68"/>
  <c r="P833" i="68" l="1"/>
  <c r="H784" i="68"/>
  <c r="K875" i="68"/>
  <c r="R850" i="68"/>
  <c r="I1138" i="68"/>
  <c r="G786" i="68"/>
  <c r="R871" i="68"/>
  <c r="G784" i="68"/>
  <c r="D784" i="68"/>
  <c r="E59" i="68"/>
  <c r="D834" i="68"/>
  <c r="Q913" i="68" s="1"/>
  <c r="E575" i="68"/>
  <c r="I575" i="68"/>
  <c r="R827" i="68"/>
  <c r="AD388" i="68"/>
  <c r="AM388" i="68" s="1"/>
  <c r="K784" i="68"/>
  <c r="R672" i="68"/>
  <c r="AD390" i="68"/>
  <c r="AM390" i="68" s="1"/>
  <c r="O785" i="68"/>
  <c r="P921" i="68" s="1"/>
  <c r="R828" i="68"/>
  <c r="R807" i="68"/>
  <c r="R684" i="68"/>
  <c r="AD1049" i="68"/>
  <c r="Q779" i="68"/>
  <c r="AD1052" i="68"/>
  <c r="R27" i="68"/>
  <c r="AD1051" i="68"/>
  <c r="I873" i="68"/>
  <c r="P919" i="68"/>
  <c r="P976" i="68" s="1"/>
  <c r="R676" i="68"/>
  <c r="AD1071" i="68"/>
  <c r="AD1048" i="68"/>
  <c r="AD1054" i="68"/>
  <c r="AD1053" i="68"/>
  <c r="R46" i="68"/>
  <c r="R520" i="68"/>
  <c r="R711" i="68"/>
  <c r="R771" i="68"/>
  <c r="R860" i="68"/>
  <c r="R58" i="68"/>
  <c r="R638" i="68"/>
  <c r="R562" i="68"/>
  <c r="R777" i="68"/>
  <c r="R869" i="68"/>
  <c r="D898" i="68"/>
  <c r="D13" i="68" s="1"/>
  <c r="R724" i="68"/>
  <c r="J865" i="68"/>
  <c r="J894" i="68" s="1"/>
  <c r="M894" i="68" s="1"/>
  <c r="R382" i="68"/>
  <c r="I313" i="68"/>
  <c r="R852" i="68"/>
  <c r="R96" i="68"/>
  <c r="R620" i="68"/>
  <c r="R802" i="68"/>
  <c r="R574" i="68"/>
  <c r="R853" i="68"/>
  <c r="P875" i="68"/>
  <c r="E873" i="68"/>
  <c r="R851" i="68"/>
  <c r="R767" i="68"/>
  <c r="L784" i="68"/>
  <c r="M575" i="68"/>
  <c r="C784" i="68"/>
  <c r="S361" i="68"/>
  <c r="R303" i="68"/>
  <c r="R216" i="68"/>
  <c r="R304" i="68"/>
  <c r="R868" i="68"/>
  <c r="R529" i="68"/>
  <c r="R854" i="68"/>
  <c r="M873" i="68"/>
  <c r="R17" i="68"/>
  <c r="D875" i="68"/>
  <c r="P898" i="68"/>
  <c r="P13" i="68" s="1"/>
  <c r="R683" i="68"/>
  <c r="R637" i="68"/>
  <c r="R127" i="68"/>
  <c r="R107" i="68"/>
  <c r="I305" i="68"/>
  <c r="S82" i="68"/>
  <c r="R284" i="68"/>
  <c r="I896" i="68"/>
  <c r="M128" i="68"/>
  <c r="R16" i="68"/>
  <c r="R573" i="68"/>
  <c r="R509" i="68"/>
  <c r="R557" i="68"/>
  <c r="C786" i="68"/>
  <c r="R707" i="68"/>
  <c r="E305" i="68"/>
  <c r="R763" i="68"/>
  <c r="E896" i="68"/>
  <c r="R817" i="68"/>
  <c r="R749" i="68"/>
  <c r="R528" i="68"/>
  <c r="AM389" i="68"/>
  <c r="J131" i="68"/>
  <c r="M131" i="68" s="1"/>
  <c r="R14" i="68"/>
  <c r="S189" i="68"/>
  <c r="R15" i="68"/>
  <c r="R50" i="68"/>
  <c r="AE950" i="68"/>
  <c r="E779" i="68"/>
  <c r="E874" i="68"/>
  <c r="R864" i="68"/>
  <c r="R778" i="68"/>
  <c r="R551" i="68"/>
  <c r="R57" i="68"/>
  <c r="I59" i="68"/>
  <c r="B313" i="68"/>
  <c r="E313" i="68" s="1"/>
  <c r="R735" i="68"/>
  <c r="B1085" i="68"/>
  <c r="Q1085" i="68" s="1"/>
  <c r="B1075" i="68"/>
  <c r="Q1075" i="68" s="1"/>
  <c r="B1081" i="68"/>
  <c r="Q1081" i="68" s="1"/>
  <c r="B1082" i="68"/>
  <c r="Q1082" i="68" s="1"/>
  <c r="B1076" i="68"/>
  <c r="Q1076" i="68" s="1"/>
  <c r="B1079" i="68"/>
  <c r="Q1079" i="68" s="1"/>
  <c r="B1083" i="68"/>
  <c r="Q1083" i="68" s="1"/>
  <c r="B1078" i="68"/>
  <c r="Q1078" i="68" s="1"/>
  <c r="B1080" i="68"/>
  <c r="Q1080" i="68" s="1"/>
  <c r="B1084" i="68"/>
  <c r="Q1084" i="68" s="1"/>
  <c r="B1086" i="68"/>
  <c r="Q1086" i="68" s="1"/>
  <c r="B1077" i="68"/>
  <c r="Q1077" i="68" s="1"/>
  <c r="Q478" i="68"/>
  <c r="N483" i="68"/>
  <c r="P484" i="68"/>
  <c r="H484" i="68"/>
  <c r="D484" i="68"/>
  <c r="J783" i="68"/>
  <c r="M779" i="68"/>
  <c r="G890" i="68"/>
  <c r="G898" i="68" s="1"/>
  <c r="G13" i="68" s="1"/>
  <c r="G875" i="68"/>
  <c r="N784" i="68"/>
  <c r="Q783" i="68"/>
  <c r="N785" i="68"/>
  <c r="Q874" i="68"/>
  <c r="N896" i="68"/>
  <c r="Q896" i="68" s="1"/>
  <c r="N875" i="68"/>
  <c r="N890" i="68"/>
  <c r="Q856" i="68"/>
  <c r="J832" i="68"/>
  <c r="M829" i="68"/>
  <c r="O922" i="68"/>
  <c r="P752" i="68"/>
  <c r="R859" i="68"/>
  <c r="L890" i="68"/>
  <c r="L898" i="68" s="1"/>
  <c r="L13" i="68" s="1"/>
  <c r="L875" i="68"/>
  <c r="R870" i="68"/>
  <c r="I874" i="68"/>
  <c r="AO911" i="68"/>
  <c r="AO902" i="68"/>
  <c r="AD915" i="68"/>
  <c r="AG950" i="68"/>
  <c r="R867" i="68"/>
  <c r="C892" i="68"/>
  <c r="C898" i="68" s="1"/>
  <c r="C13" i="68" s="1"/>
  <c r="C875" i="68"/>
  <c r="E829" i="68"/>
  <c r="B832" i="68"/>
  <c r="M896" i="68"/>
  <c r="C834" i="68"/>
  <c r="C833" i="68"/>
  <c r="I685" i="68"/>
  <c r="F688" i="68"/>
  <c r="Q639" i="68"/>
  <c r="N642" i="68"/>
  <c r="P579" i="68"/>
  <c r="Q530" i="68"/>
  <c r="N533" i="68"/>
  <c r="K484" i="68"/>
  <c r="R855" i="68"/>
  <c r="G834" i="68"/>
  <c r="G833" i="68"/>
  <c r="P786" i="68"/>
  <c r="P922" i="68"/>
  <c r="M685" i="68"/>
  <c r="J688" i="68"/>
  <c r="R605" i="68"/>
  <c r="E451" i="68"/>
  <c r="B478" i="68"/>
  <c r="B894" i="68"/>
  <c r="E894" i="68" s="1"/>
  <c r="E865" i="68"/>
  <c r="R734" i="68"/>
  <c r="E685" i="68"/>
  <c r="B688" i="68"/>
  <c r="F579" i="68"/>
  <c r="I578" i="68"/>
  <c r="O534" i="68"/>
  <c r="R476" i="68"/>
  <c r="G132" i="68"/>
  <c r="N62" i="68"/>
  <c r="Q59" i="68"/>
  <c r="G63" i="68"/>
  <c r="Q979" i="68"/>
  <c r="Q951" i="68"/>
  <c r="R396" i="68"/>
  <c r="T292" i="68"/>
  <c r="I128" i="68"/>
  <c r="P132" i="68"/>
  <c r="E128" i="68"/>
  <c r="Q131" i="68"/>
  <c r="N132" i="68"/>
  <c r="F892" i="68"/>
  <c r="I892" i="68" s="1"/>
  <c r="I861" i="68"/>
  <c r="B892" i="68"/>
  <c r="E861" i="68"/>
  <c r="H890" i="68"/>
  <c r="H898" i="68" s="1"/>
  <c r="H13" i="68" s="1"/>
  <c r="H875" i="68"/>
  <c r="K890" i="68"/>
  <c r="K898" i="68" s="1"/>
  <c r="K13" i="68" s="1"/>
  <c r="AD950" i="68"/>
  <c r="R872" i="68"/>
  <c r="R858" i="68"/>
  <c r="Q829" i="68"/>
  <c r="N832" i="68"/>
  <c r="AO907" i="68"/>
  <c r="M874" i="68"/>
  <c r="F739" i="68"/>
  <c r="I736" i="68"/>
  <c r="C643" i="68"/>
  <c r="J533" i="68"/>
  <c r="M530" i="68"/>
  <c r="G484" i="68"/>
  <c r="Q685" i="68"/>
  <c r="N688" i="68"/>
  <c r="E639" i="68"/>
  <c r="B642" i="68"/>
  <c r="J579" i="68"/>
  <c r="M578" i="68"/>
  <c r="M863" i="68"/>
  <c r="E863" i="68"/>
  <c r="O890" i="68"/>
  <c r="O898" i="68" s="1"/>
  <c r="O13" i="68" s="1"/>
  <c r="O875" i="68"/>
  <c r="E783" i="68"/>
  <c r="B784" i="68"/>
  <c r="B785" i="68"/>
  <c r="Q575" i="68"/>
  <c r="L579" i="68"/>
  <c r="C534" i="68"/>
  <c r="S554" i="68"/>
  <c r="R89" i="68"/>
  <c r="R18" i="68"/>
  <c r="Q305" i="68"/>
  <c r="N313" i="68"/>
  <c r="D132" i="68"/>
  <c r="F132" i="68"/>
  <c r="I131" i="68"/>
  <c r="K132" i="68"/>
  <c r="J62" i="68"/>
  <c r="M59" i="68"/>
  <c r="K63" i="68"/>
  <c r="E131" i="68"/>
  <c r="B132" i="68"/>
  <c r="P972" i="68"/>
  <c r="P944" i="68"/>
  <c r="I530" i="68"/>
  <c r="F533" i="68"/>
  <c r="C484" i="68"/>
  <c r="K834" i="68"/>
  <c r="K751" i="68" s="1"/>
  <c r="K833" i="68"/>
  <c r="L834" i="68"/>
  <c r="L833" i="68"/>
  <c r="P916" i="68"/>
  <c r="H786" i="68"/>
  <c r="J739" i="68"/>
  <c r="M736" i="68"/>
  <c r="N894" i="68"/>
  <c r="Q894" i="68" s="1"/>
  <c r="Q865" i="68"/>
  <c r="F894" i="68"/>
  <c r="I894" i="68" s="1"/>
  <c r="I865" i="68"/>
  <c r="P941" i="68"/>
  <c r="P969" i="68"/>
  <c r="N739" i="68"/>
  <c r="Q736" i="68"/>
  <c r="I639" i="68"/>
  <c r="F642" i="68"/>
  <c r="M856" i="68"/>
  <c r="J890" i="68"/>
  <c r="M639" i="68"/>
  <c r="J642" i="68"/>
  <c r="Q578" i="68"/>
  <c r="N579" i="68"/>
  <c r="R514" i="68"/>
  <c r="Q451" i="68"/>
  <c r="L484" i="68"/>
  <c r="I478" i="68"/>
  <c r="F483" i="68"/>
  <c r="P913" i="68"/>
  <c r="D786" i="68"/>
  <c r="O834" i="68"/>
  <c r="O833" i="68"/>
  <c r="AF950" i="68"/>
  <c r="N892" i="68"/>
  <c r="Q892" i="68" s="1"/>
  <c r="Q861" i="68"/>
  <c r="F875" i="68"/>
  <c r="F890" i="68"/>
  <c r="I856" i="68"/>
  <c r="F832" i="68"/>
  <c r="I829" i="68"/>
  <c r="J892" i="68"/>
  <c r="M892" i="68" s="1"/>
  <c r="M861" i="68"/>
  <c r="H833" i="68"/>
  <c r="H834" i="68"/>
  <c r="F783" i="68"/>
  <c r="I779" i="68"/>
  <c r="P741" i="68"/>
  <c r="P740" i="68"/>
  <c r="B533" i="68"/>
  <c r="E530" i="68"/>
  <c r="O484" i="68"/>
  <c r="R41" i="68"/>
  <c r="Q873" i="68"/>
  <c r="B875" i="68"/>
  <c r="E856" i="68"/>
  <c r="B890" i="68"/>
  <c r="D740" i="68"/>
  <c r="R652" i="68"/>
  <c r="B579" i="68"/>
  <c r="E578" i="68"/>
  <c r="M451" i="68"/>
  <c r="J478" i="68"/>
  <c r="Q863" i="68"/>
  <c r="I863" i="68"/>
  <c r="R209" i="68"/>
  <c r="K786" i="68"/>
  <c r="P918" i="68"/>
  <c r="B739" i="68"/>
  <c r="E736" i="68"/>
  <c r="R668" i="68"/>
  <c r="R611" i="68"/>
  <c r="R477" i="68"/>
  <c r="I451" i="68"/>
  <c r="L132" i="68"/>
  <c r="F63" i="68"/>
  <c r="I62" i="68"/>
  <c r="E62" i="68"/>
  <c r="B63" i="68"/>
  <c r="K579" i="68"/>
  <c r="J313" i="68"/>
  <c r="M305" i="68"/>
  <c r="R126" i="68"/>
  <c r="Q128" i="68"/>
  <c r="D395" i="62"/>
  <c r="G395" i="62"/>
  <c r="F395" i="62"/>
  <c r="R530" i="68" l="1"/>
  <c r="D835" i="68"/>
  <c r="D751" i="68"/>
  <c r="O913" i="68" s="1"/>
  <c r="O942" i="68" s="1"/>
  <c r="O786" i="68"/>
  <c r="P948" i="68"/>
  <c r="AD1072" i="68"/>
  <c r="O751" i="68"/>
  <c r="O741" i="68" s="1"/>
  <c r="R779" i="68"/>
  <c r="B314" i="68"/>
  <c r="J875" i="68"/>
  <c r="M875" i="68" s="1"/>
  <c r="M865" i="68"/>
  <c r="R865" i="68" s="1"/>
  <c r="R856" i="68"/>
  <c r="T856" i="68" s="1"/>
  <c r="J132" i="68"/>
  <c r="R873" i="68"/>
  <c r="R575" i="68"/>
  <c r="R59" i="68"/>
  <c r="R305" i="68"/>
  <c r="E875" i="68"/>
  <c r="R896" i="68"/>
  <c r="R874" i="68"/>
  <c r="R639" i="68"/>
  <c r="R861" i="68"/>
  <c r="O918" i="68"/>
  <c r="K752" i="68"/>
  <c r="K741" i="68"/>
  <c r="P945" i="68"/>
  <c r="P973" i="68"/>
  <c r="P950" i="68"/>
  <c r="P978" i="68"/>
  <c r="R1056" i="68"/>
  <c r="AQ1011" i="68"/>
  <c r="AQ976" i="68"/>
  <c r="Q916" i="68"/>
  <c r="H835" i="68"/>
  <c r="I890" i="68"/>
  <c r="I898" i="68" s="1"/>
  <c r="F898" i="68"/>
  <c r="F13" i="68" s="1"/>
  <c r="I13" i="68" s="1"/>
  <c r="R1052" i="68"/>
  <c r="AQ1007" i="68"/>
  <c r="AQ972" i="68"/>
  <c r="I688" i="68"/>
  <c r="F689" i="68"/>
  <c r="O979" i="68"/>
  <c r="O951" i="68"/>
  <c r="N484" i="68"/>
  <c r="Q483" i="68"/>
  <c r="N922" i="68"/>
  <c r="P742" i="68"/>
  <c r="P690" i="68"/>
  <c r="F834" i="68"/>
  <c r="I832" i="68"/>
  <c r="F833" i="68"/>
  <c r="J643" i="68"/>
  <c r="M642" i="68"/>
  <c r="Q739" i="68"/>
  <c r="N740" i="68"/>
  <c r="E892" i="68"/>
  <c r="R892" i="68" s="1"/>
  <c r="S1059" i="68"/>
  <c r="AR1014" i="68"/>
  <c r="AR979" i="68"/>
  <c r="J689" i="68"/>
  <c r="M688" i="68"/>
  <c r="O835" i="68"/>
  <c r="Q921" i="68"/>
  <c r="P970" i="68"/>
  <c r="P942" i="68"/>
  <c r="I642" i="68"/>
  <c r="F643" i="68"/>
  <c r="R1049" i="68"/>
  <c r="AQ1004" i="68"/>
  <c r="AQ969" i="68"/>
  <c r="J740" i="68"/>
  <c r="M739" i="68"/>
  <c r="Q919" i="68"/>
  <c r="L835" i="68"/>
  <c r="L751" i="68"/>
  <c r="R863" i="68"/>
  <c r="T866" i="68" s="1"/>
  <c r="J534" i="68"/>
  <c r="M533" i="68"/>
  <c r="I739" i="68"/>
  <c r="F740" i="68"/>
  <c r="N833" i="68"/>
  <c r="N834" i="68"/>
  <c r="N751" i="68" s="1"/>
  <c r="Q832" i="68"/>
  <c r="E688" i="68"/>
  <c r="B689" i="68"/>
  <c r="B483" i="68"/>
  <c r="E478" i="68"/>
  <c r="Q915" i="68"/>
  <c r="G835" i="68"/>
  <c r="G751" i="68"/>
  <c r="N534" i="68"/>
  <c r="Q533" i="68"/>
  <c r="N643" i="68"/>
  <c r="Q642" i="68"/>
  <c r="R829" i="68"/>
  <c r="J833" i="68"/>
  <c r="J834" i="68"/>
  <c r="M832" i="68"/>
  <c r="H751" i="68"/>
  <c r="Q1087" i="68"/>
  <c r="J314" i="68"/>
  <c r="M313" i="68"/>
  <c r="E739" i="68"/>
  <c r="B740" i="68"/>
  <c r="I483" i="68"/>
  <c r="F484" i="68"/>
  <c r="Q918" i="68"/>
  <c r="K835" i="68"/>
  <c r="Q890" i="68"/>
  <c r="Q898" i="68" s="1"/>
  <c r="N898" i="68"/>
  <c r="N13" i="68" s="1"/>
  <c r="Q13" i="68" s="1"/>
  <c r="P947" i="68"/>
  <c r="P975" i="68"/>
  <c r="R578" i="68"/>
  <c r="I875" i="68"/>
  <c r="P911" i="68"/>
  <c r="E785" i="68"/>
  <c r="B786" i="68"/>
  <c r="N689" i="68"/>
  <c r="Q688" i="68"/>
  <c r="Q62" i="68"/>
  <c r="N63" i="68"/>
  <c r="B834" i="68"/>
  <c r="E832" i="68"/>
  <c r="B833" i="68"/>
  <c r="Q875" i="68"/>
  <c r="P920" i="68"/>
  <c r="Q785" i="68"/>
  <c r="N786" i="68"/>
  <c r="R736" i="68"/>
  <c r="Q970" i="68"/>
  <c r="Q942" i="68"/>
  <c r="J483" i="68"/>
  <c r="M478" i="68"/>
  <c r="E890" i="68"/>
  <c r="B898" i="68"/>
  <c r="B13" i="68" s="1"/>
  <c r="E13" i="68" s="1"/>
  <c r="E533" i="68"/>
  <c r="B534" i="68"/>
  <c r="F784" i="68"/>
  <c r="F785" i="68"/>
  <c r="I783" i="68"/>
  <c r="M890" i="68"/>
  <c r="M898" i="68" s="1"/>
  <c r="J898" i="68"/>
  <c r="J13" i="68" s="1"/>
  <c r="M13" i="68" s="1"/>
  <c r="I533" i="68"/>
  <c r="F534" i="68"/>
  <c r="R131" i="68"/>
  <c r="M62" i="68"/>
  <c r="J63" i="68"/>
  <c r="N314" i="68"/>
  <c r="Q313" i="68"/>
  <c r="E642" i="68"/>
  <c r="B643" i="68"/>
  <c r="R128" i="68"/>
  <c r="R685" i="68"/>
  <c r="R894" i="68"/>
  <c r="R451" i="68"/>
  <c r="P951" i="68"/>
  <c r="P979" i="68"/>
  <c r="Q912" i="68"/>
  <c r="C835" i="68"/>
  <c r="C751" i="68"/>
  <c r="J785" i="68"/>
  <c r="M783" i="68"/>
  <c r="J784" i="68"/>
  <c r="Q580" i="62"/>
  <c r="M580" i="62"/>
  <c r="I580" i="62"/>
  <c r="E580" i="62"/>
  <c r="O752" i="68" l="1"/>
  <c r="D741" i="68"/>
  <c r="D742" i="68" s="1"/>
  <c r="O970" i="68"/>
  <c r="AP970" i="68" s="1"/>
  <c r="D752" i="68"/>
  <c r="R783" i="68"/>
  <c r="O921" i="68"/>
  <c r="O978" i="68" s="1"/>
  <c r="R739" i="68"/>
  <c r="R62" i="68"/>
  <c r="R642" i="68"/>
  <c r="R313" i="68"/>
  <c r="R875" i="68"/>
  <c r="R13" i="68"/>
  <c r="S13" i="68" s="1"/>
  <c r="O920" i="68"/>
  <c r="N752" i="68"/>
  <c r="Q751" i="68"/>
  <c r="Q978" i="68"/>
  <c r="Q950" i="68"/>
  <c r="O912" i="68"/>
  <c r="C752" i="68"/>
  <c r="C741" i="68"/>
  <c r="Q969" i="68"/>
  <c r="Q941" i="68"/>
  <c r="I785" i="68"/>
  <c r="F751" i="68"/>
  <c r="P914" i="68"/>
  <c r="F786" i="68"/>
  <c r="R533" i="68"/>
  <c r="J484" i="68"/>
  <c r="M483" i="68"/>
  <c r="N921" i="68"/>
  <c r="O742" i="68"/>
  <c r="O690" i="68"/>
  <c r="P949" i="68"/>
  <c r="P977" i="68"/>
  <c r="Q911" i="68"/>
  <c r="B835" i="68"/>
  <c r="E834" i="68"/>
  <c r="Q975" i="68"/>
  <c r="Q947" i="68"/>
  <c r="O916" i="68"/>
  <c r="H752" i="68"/>
  <c r="H741" i="68"/>
  <c r="G752" i="68"/>
  <c r="O915" i="68"/>
  <c r="G741" i="68"/>
  <c r="B484" i="68"/>
  <c r="E483" i="68"/>
  <c r="R688" i="68"/>
  <c r="R1050" i="68"/>
  <c r="AQ970" i="68"/>
  <c r="AQ1005" i="68"/>
  <c r="N741" i="68"/>
  <c r="Q914" i="68"/>
  <c r="F835" i="68"/>
  <c r="I834" i="68"/>
  <c r="R1053" i="68"/>
  <c r="AQ1008" i="68"/>
  <c r="AQ973" i="68"/>
  <c r="O975" i="68"/>
  <c r="O947" i="68"/>
  <c r="M922" i="68"/>
  <c r="P691" i="68"/>
  <c r="P654" i="68"/>
  <c r="R1058" i="68"/>
  <c r="AQ1013" i="68"/>
  <c r="AQ978" i="68"/>
  <c r="S1050" i="68"/>
  <c r="AR1005" i="68"/>
  <c r="AR970" i="68"/>
  <c r="P968" i="68"/>
  <c r="P940" i="68"/>
  <c r="AQ1010" i="68"/>
  <c r="AQ975" i="68"/>
  <c r="R1055" i="68"/>
  <c r="Q917" i="68"/>
  <c r="M834" i="68"/>
  <c r="J835" i="68"/>
  <c r="Q972" i="68"/>
  <c r="Q944" i="68"/>
  <c r="Q920" i="68"/>
  <c r="N835" i="68"/>
  <c r="Q834" i="68"/>
  <c r="N918" i="68"/>
  <c r="K742" i="68"/>
  <c r="K690" i="68"/>
  <c r="R1059" i="68"/>
  <c r="AQ1014" i="68"/>
  <c r="AQ979" i="68"/>
  <c r="Q976" i="68"/>
  <c r="Q948" i="68"/>
  <c r="Q1059" i="68"/>
  <c r="AP1014" i="68"/>
  <c r="AP979" i="68"/>
  <c r="Q945" i="68"/>
  <c r="Q973" i="68"/>
  <c r="E898" i="68"/>
  <c r="R890" i="68"/>
  <c r="R898" i="68" s="1"/>
  <c r="P917" i="68"/>
  <c r="J786" i="68"/>
  <c r="M785" i="68"/>
  <c r="J751" i="68"/>
  <c r="R832" i="68"/>
  <c r="B751" i="68"/>
  <c r="R478" i="68"/>
  <c r="O919" i="68"/>
  <c r="L752" i="68"/>
  <c r="L741" i="68"/>
  <c r="AQ1071" i="68"/>
  <c r="AQ1069" i="68"/>
  <c r="AQ1068" i="68"/>
  <c r="AQ1064" i="68"/>
  <c r="AQ1063" i="68"/>
  <c r="AQ1062" i="68"/>
  <c r="AQ1061" i="68"/>
  <c r="AQ1060" i="68"/>
  <c r="AQ1059" i="68"/>
  <c r="AQ1070" i="68"/>
  <c r="AQ1067" i="68"/>
  <c r="AQ1066" i="68"/>
  <c r="AQ1052" i="68"/>
  <c r="AQ1051" i="68"/>
  <c r="AQ1065" i="68"/>
  <c r="AQ1058" i="68"/>
  <c r="AQ1057" i="68"/>
  <c r="AQ1056" i="68"/>
  <c r="AQ1055" i="68"/>
  <c r="AQ1050" i="68"/>
  <c r="AQ1048" i="68"/>
  <c r="AQ1049" i="68"/>
  <c r="AQ1053" i="68"/>
  <c r="AQ1054" i="68"/>
  <c r="N979" i="68"/>
  <c r="N951" i="68"/>
  <c r="R580" i="62"/>
  <c r="AP1005" i="68" l="1"/>
  <c r="Q1050" i="68"/>
  <c r="D690" i="68"/>
  <c r="N913" i="68"/>
  <c r="O950" i="68"/>
  <c r="R483" i="68"/>
  <c r="R785" i="68"/>
  <c r="P1059" i="68"/>
  <c r="AO1014" i="68"/>
  <c r="AO979" i="68"/>
  <c r="N975" i="68"/>
  <c r="N947" i="68"/>
  <c r="O914" i="68"/>
  <c r="F752" i="68"/>
  <c r="I751" i="68"/>
  <c r="F741" i="68"/>
  <c r="O948" i="68"/>
  <c r="O976" i="68"/>
  <c r="P946" i="68"/>
  <c r="P974" i="68"/>
  <c r="S1052" i="68"/>
  <c r="AR1007" i="68"/>
  <c r="AR972" i="68"/>
  <c r="P924" i="68"/>
  <c r="M979" i="68"/>
  <c r="M951" i="68"/>
  <c r="Q943" i="68"/>
  <c r="Q971" i="68"/>
  <c r="H742" i="68"/>
  <c r="N916" i="68"/>
  <c r="H690" i="68"/>
  <c r="S1055" i="68"/>
  <c r="AR1010" i="68"/>
  <c r="AR975" i="68"/>
  <c r="R1057" i="68"/>
  <c r="AQ1012" i="68"/>
  <c r="AQ977" i="68"/>
  <c r="N978" i="68"/>
  <c r="N950" i="68"/>
  <c r="O969" i="68"/>
  <c r="O941" i="68"/>
  <c r="S1053" i="68"/>
  <c r="AR1008" i="68"/>
  <c r="AR973" i="68"/>
  <c r="Q968" i="68"/>
  <c r="Q940" i="68"/>
  <c r="Q924" i="68"/>
  <c r="AQ1072" i="68"/>
  <c r="O917" i="68"/>
  <c r="M751" i="68"/>
  <c r="J752" i="68"/>
  <c r="J741" i="68"/>
  <c r="S1056" i="68"/>
  <c r="AR1011" i="68"/>
  <c r="AR976" i="68"/>
  <c r="M918" i="68"/>
  <c r="K691" i="68"/>
  <c r="K654" i="68"/>
  <c r="R1048" i="68"/>
  <c r="AQ1003" i="68"/>
  <c r="AQ968" i="68"/>
  <c r="N920" i="68"/>
  <c r="N742" i="68"/>
  <c r="Q741" i="68"/>
  <c r="N690" i="68"/>
  <c r="N915" i="68"/>
  <c r="G742" i="68"/>
  <c r="G690" i="68"/>
  <c r="R834" i="68"/>
  <c r="O977" i="68"/>
  <c r="O949" i="68"/>
  <c r="O911" i="68"/>
  <c r="B752" i="68"/>
  <c r="E751" i="68"/>
  <c r="B741" i="68"/>
  <c r="Q974" i="68"/>
  <c r="Q946" i="68"/>
  <c r="N919" i="68"/>
  <c r="L742" i="68"/>
  <c r="L690" i="68"/>
  <c r="Q977" i="68"/>
  <c r="Q949" i="68"/>
  <c r="Q1058" i="68"/>
  <c r="AP1013" i="68"/>
  <c r="AP978" i="68"/>
  <c r="L922" i="68"/>
  <c r="P655" i="68"/>
  <c r="P644" i="68"/>
  <c r="Q1055" i="68"/>
  <c r="AP1010" i="68"/>
  <c r="AP975" i="68"/>
  <c r="O944" i="68"/>
  <c r="O972" i="68"/>
  <c r="O973" i="68"/>
  <c r="O945" i="68"/>
  <c r="M921" i="68"/>
  <c r="O691" i="68"/>
  <c r="O654" i="68"/>
  <c r="P971" i="68"/>
  <c r="P943" i="68"/>
  <c r="S1049" i="68"/>
  <c r="AR1004" i="68"/>
  <c r="AR969" i="68"/>
  <c r="N912" i="68"/>
  <c r="C742" i="68"/>
  <c r="C690" i="68"/>
  <c r="S1058" i="68"/>
  <c r="AR1013" i="68"/>
  <c r="AR978" i="68"/>
  <c r="T13" i="68"/>
  <c r="Q262" i="62"/>
  <c r="M262" i="62"/>
  <c r="I262" i="62"/>
  <c r="E262" i="62"/>
  <c r="N970" i="68" l="1"/>
  <c r="N942" i="68"/>
  <c r="M913" i="68"/>
  <c r="D691" i="68"/>
  <c r="D654" i="68"/>
  <c r="R751" i="68"/>
  <c r="AR1071" i="68"/>
  <c r="AR1070" i="68"/>
  <c r="AR1069" i="68"/>
  <c r="AR1068" i="68"/>
  <c r="AR1064" i="68"/>
  <c r="AR1063" i="68"/>
  <c r="AR1062" i="68"/>
  <c r="AR1061" i="68"/>
  <c r="AR1060" i="68"/>
  <c r="AR1059" i="68"/>
  <c r="AR1067" i="68"/>
  <c r="AR1066" i="68"/>
  <c r="AR1065" i="68"/>
  <c r="AR1058" i="68"/>
  <c r="AR1057" i="68"/>
  <c r="AR1056" i="68"/>
  <c r="AR1055" i="68"/>
  <c r="AR1054" i="68"/>
  <c r="AR1049" i="68"/>
  <c r="AR1053" i="68"/>
  <c r="AR1051" i="68"/>
  <c r="AR1050" i="68"/>
  <c r="AR1048" i="68"/>
  <c r="AR1052" i="68"/>
  <c r="O924" i="68"/>
  <c r="O940" i="68"/>
  <c r="O968" i="68"/>
  <c r="Q1056" i="68"/>
  <c r="AP1011" i="68"/>
  <c r="AP976" i="68"/>
  <c r="M912" i="68"/>
  <c r="C691" i="68"/>
  <c r="C654" i="68"/>
  <c r="L921" i="68"/>
  <c r="O655" i="68"/>
  <c r="O644" i="68"/>
  <c r="AP1008" i="68"/>
  <c r="AP973" i="68"/>
  <c r="Q1053" i="68"/>
  <c r="L951" i="68"/>
  <c r="L979" i="68"/>
  <c r="N976" i="68"/>
  <c r="N948" i="68"/>
  <c r="M920" i="68"/>
  <c r="N691" i="68"/>
  <c r="Q690" i="68"/>
  <c r="N654" i="68"/>
  <c r="O946" i="68"/>
  <c r="O974" i="68"/>
  <c r="S1048" i="68"/>
  <c r="AR968" i="68"/>
  <c r="Q981" i="68"/>
  <c r="AR1003" i="68"/>
  <c r="M916" i="68"/>
  <c r="H691" i="68"/>
  <c r="H654" i="68"/>
  <c r="P1055" i="68"/>
  <c r="AO1010" i="68"/>
  <c r="AO975" i="68"/>
  <c r="S1057" i="68"/>
  <c r="AR1012" i="68"/>
  <c r="AR977" i="68"/>
  <c r="N917" i="68"/>
  <c r="J742" i="68"/>
  <c r="M741" i="68"/>
  <c r="J690" i="68"/>
  <c r="N973" i="68"/>
  <c r="N945" i="68"/>
  <c r="N969" i="68"/>
  <c r="N941" i="68"/>
  <c r="M978" i="68"/>
  <c r="M950" i="68"/>
  <c r="K922" i="68"/>
  <c r="P645" i="68"/>
  <c r="P580" i="68"/>
  <c r="M919" i="68"/>
  <c r="L691" i="68"/>
  <c r="L654" i="68"/>
  <c r="N911" i="68"/>
  <c r="B742" i="68"/>
  <c r="E741" i="68"/>
  <c r="B690" i="68"/>
  <c r="O1059" i="68"/>
  <c r="AN979" i="68"/>
  <c r="AN1014" i="68"/>
  <c r="O971" i="68"/>
  <c r="O943" i="68"/>
  <c r="AP1007" i="68"/>
  <c r="Q1052" i="68"/>
  <c r="AP972" i="68"/>
  <c r="S1054" i="68"/>
  <c r="AR1009" i="68"/>
  <c r="AR974" i="68"/>
  <c r="M915" i="68"/>
  <c r="G691" i="68"/>
  <c r="G654" i="68"/>
  <c r="M947" i="68"/>
  <c r="M975" i="68"/>
  <c r="P1058" i="68"/>
  <c r="AO1013" i="68"/>
  <c r="AO978" i="68"/>
  <c r="R1051" i="68"/>
  <c r="AQ1006" i="68"/>
  <c r="AQ971" i="68"/>
  <c r="Q1057" i="68"/>
  <c r="AP1012" i="68"/>
  <c r="AP977" i="68"/>
  <c r="N972" i="68"/>
  <c r="N944" i="68"/>
  <c r="N977" i="68"/>
  <c r="N949" i="68"/>
  <c r="P981" i="68"/>
  <c r="L918" i="68"/>
  <c r="K655" i="68"/>
  <c r="K644" i="68"/>
  <c r="AP969" i="68"/>
  <c r="Q1049" i="68"/>
  <c r="AP1004" i="68"/>
  <c r="S1051" i="68"/>
  <c r="AR1006" i="68"/>
  <c r="AR971" i="68"/>
  <c r="R1054" i="68"/>
  <c r="AQ1009" i="68"/>
  <c r="AQ974" i="68"/>
  <c r="N914" i="68"/>
  <c r="I741" i="68"/>
  <c r="F742" i="68"/>
  <c r="F690" i="68"/>
  <c r="R262" i="62"/>
  <c r="H180" i="62"/>
  <c r="G180" i="62"/>
  <c r="F245" i="62"/>
  <c r="M942" i="68" l="1"/>
  <c r="M970" i="68"/>
  <c r="D644" i="68"/>
  <c r="L913" i="68"/>
  <c r="D655" i="68"/>
  <c r="P1050" i="68"/>
  <c r="AO1005" i="68"/>
  <c r="AO970" i="68"/>
  <c r="AQ1016" i="68"/>
  <c r="AQ981" i="68"/>
  <c r="AR1072" i="68"/>
  <c r="N943" i="68"/>
  <c r="N971" i="68"/>
  <c r="L947" i="68"/>
  <c r="L975" i="68"/>
  <c r="L920" i="68"/>
  <c r="N655" i="68"/>
  <c r="Q654" i="68"/>
  <c r="N644" i="68"/>
  <c r="M914" i="68"/>
  <c r="F691" i="68"/>
  <c r="I690" i="68"/>
  <c r="F654" i="68"/>
  <c r="P1057" i="68"/>
  <c r="AO1012" i="68"/>
  <c r="AO977" i="68"/>
  <c r="O1055" i="68"/>
  <c r="AN1010" i="68"/>
  <c r="AN975" i="68"/>
  <c r="M972" i="68"/>
  <c r="M944" i="68"/>
  <c r="Q1051" i="68"/>
  <c r="AP1006" i="68"/>
  <c r="AP971" i="68"/>
  <c r="N940" i="68"/>
  <c r="N968" i="68"/>
  <c r="N924" i="68"/>
  <c r="J922" i="68"/>
  <c r="P581" i="68"/>
  <c r="P535" i="68"/>
  <c r="O1058" i="68"/>
  <c r="AN978" i="68"/>
  <c r="AN1013" i="68"/>
  <c r="P1053" i="68"/>
  <c r="AO1008" i="68"/>
  <c r="AO973" i="68"/>
  <c r="N974" i="68"/>
  <c r="N946" i="68"/>
  <c r="L916" i="68"/>
  <c r="H655" i="68"/>
  <c r="H644" i="68"/>
  <c r="M977" i="68"/>
  <c r="M949" i="68"/>
  <c r="K921" i="68"/>
  <c r="O645" i="68"/>
  <c r="O580" i="68"/>
  <c r="AP1071" i="68"/>
  <c r="AP1065" i="68"/>
  <c r="AP1069" i="68"/>
  <c r="AP1068" i="68"/>
  <c r="AP1053" i="68"/>
  <c r="AP1070" i="68"/>
  <c r="AP1064" i="68"/>
  <c r="AP1062" i="68"/>
  <c r="AP1060" i="68"/>
  <c r="AP1052" i="68"/>
  <c r="AP1051" i="68"/>
  <c r="AP1050" i="68"/>
  <c r="AP1049" i="68"/>
  <c r="AP1048" i="68"/>
  <c r="AP1066" i="68"/>
  <c r="AP1063" i="68"/>
  <c r="AP1061" i="68"/>
  <c r="AP1059" i="68"/>
  <c r="AP1056" i="68"/>
  <c r="AP1067" i="68"/>
  <c r="AP1058" i="68"/>
  <c r="AP1055" i="68"/>
  <c r="AP1054" i="68"/>
  <c r="AP1057" i="68"/>
  <c r="L919" i="68"/>
  <c r="L655" i="68"/>
  <c r="L644" i="68"/>
  <c r="M917" i="68"/>
  <c r="J691" i="68"/>
  <c r="M690" i="68"/>
  <c r="J654" i="68"/>
  <c r="AR981" i="68"/>
  <c r="M941" i="68"/>
  <c r="M969" i="68"/>
  <c r="P1052" i="68"/>
  <c r="AO1007" i="68"/>
  <c r="AO972" i="68"/>
  <c r="L915" i="68"/>
  <c r="G655" i="68"/>
  <c r="G644" i="68"/>
  <c r="R741" i="68"/>
  <c r="K979" i="68"/>
  <c r="K951" i="68"/>
  <c r="P1049" i="68"/>
  <c r="AO1004" i="68"/>
  <c r="AO969" i="68"/>
  <c r="M945" i="68"/>
  <c r="M973" i="68"/>
  <c r="P1056" i="68"/>
  <c r="AO1011" i="68"/>
  <c r="AO976" i="68"/>
  <c r="L950" i="68"/>
  <c r="L978" i="68"/>
  <c r="M911" i="68"/>
  <c r="B691" i="68"/>
  <c r="E690" i="68"/>
  <c r="B654" i="68"/>
  <c r="AP1003" i="68"/>
  <c r="O981" i="68"/>
  <c r="Q1048" i="68"/>
  <c r="AP968" i="68"/>
  <c r="K918" i="68"/>
  <c r="K645" i="68"/>
  <c r="K580" i="68"/>
  <c r="M976" i="68"/>
  <c r="M948" i="68"/>
  <c r="AR1016" i="68"/>
  <c r="Q1054" i="68"/>
  <c r="AP1009" i="68"/>
  <c r="AP974" i="68"/>
  <c r="N1059" i="68"/>
  <c r="AM1014" i="68"/>
  <c r="AW943" i="68"/>
  <c r="AM979" i="68"/>
  <c r="L912" i="68"/>
  <c r="C655" i="68"/>
  <c r="C644" i="68"/>
  <c r="Q694" i="62"/>
  <c r="M694" i="62"/>
  <c r="I694" i="62"/>
  <c r="E694" i="62"/>
  <c r="Q598" i="62"/>
  <c r="M598" i="62"/>
  <c r="I598" i="62"/>
  <c r="E598" i="62"/>
  <c r="H261" i="62"/>
  <c r="G247" i="62"/>
  <c r="K913" i="68" l="1"/>
  <c r="D645" i="68"/>
  <c r="D580" i="68"/>
  <c r="O1050" i="68"/>
  <c r="AN970" i="68"/>
  <c r="AN1005" i="68"/>
  <c r="L942" i="68"/>
  <c r="L970" i="68"/>
  <c r="AP981" i="68"/>
  <c r="O1056" i="68"/>
  <c r="AN976" i="68"/>
  <c r="AN1011" i="68"/>
  <c r="L911" i="68"/>
  <c r="E654" i="68"/>
  <c r="B655" i="68"/>
  <c r="B644" i="68"/>
  <c r="AO1068" i="68"/>
  <c r="AO1070" i="68"/>
  <c r="AO1067" i="68"/>
  <c r="AO1066" i="68"/>
  <c r="AO1071" i="68"/>
  <c r="AO1065" i="68"/>
  <c r="AO1063" i="68"/>
  <c r="AO1061" i="68"/>
  <c r="AO1059" i="68"/>
  <c r="AO1054" i="68"/>
  <c r="AO1069" i="68"/>
  <c r="AO1053" i="68"/>
  <c r="AO1058" i="68"/>
  <c r="AO1057" i="68"/>
  <c r="AO1060" i="68"/>
  <c r="AO1055" i="68"/>
  <c r="AO1050" i="68"/>
  <c r="AO1062" i="68"/>
  <c r="AO1052" i="68"/>
  <c r="AO1056" i="68"/>
  <c r="AO1064" i="68"/>
  <c r="AO1049" i="68"/>
  <c r="AO1048" i="68"/>
  <c r="AO1051" i="68"/>
  <c r="G645" i="68"/>
  <c r="K915" i="68"/>
  <c r="G580" i="68"/>
  <c r="M974" i="68"/>
  <c r="M946" i="68"/>
  <c r="O1052" i="68"/>
  <c r="AN972" i="68"/>
  <c r="AN1007" i="68"/>
  <c r="K975" i="68"/>
  <c r="K947" i="68"/>
  <c r="AP1016" i="68"/>
  <c r="M968" i="68"/>
  <c r="M940" i="68"/>
  <c r="M924" i="68"/>
  <c r="L948" i="68"/>
  <c r="L976" i="68"/>
  <c r="K916" i="68"/>
  <c r="H645" i="68"/>
  <c r="H580" i="68"/>
  <c r="P1054" i="68"/>
  <c r="AO1009" i="68"/>
  <c r="AO974" i="68"/>
  <c r="L914" i="68"/>
  <c r="I654" i="68"/>
  <c r="F655" i="68"/>
  <c r="F644" i="68"/>
  <c r="K920" i="68"/>
  <c r="N645" i="68"/>
  <c r="Q644" i="68"/>
  <c r="N580" i="68"/>
  <c r="N1055" i="68"/>
  <c r="AM1010" i="68"/>
  <c r="AW939" i="68"/>
  <c r="AM975" i="68"/>
  <c r="O1053" i="68"/>
  <c r="AN1008" i="68"/>
  <c r="AN973" i="68"/>
  <c r="J921" i="68"/>
  <c r="O581" i="68"/>
  <c r="O535" i="68"/>
  <c r="J979" i="68"/>
  <c r="J951" i="68"/>
  <c r="J918" i="68"/>
  <c r="K581" i="68"/>
  <c r="K535" i="68"/>
  <c r="R690" i="68"/>
  <c r="L917" i="68"/>
  <c r="J655" i="68"/>
  <c r="M654" i="68"/>
  <c r="J644" i="68"/>
  <c r="L645" i="68"/>
  <c r="K919" i="68"/>
  <c r="L580" i="68"/>
  <c r="L945" i="68"/>
  <c r="L973" i="68"/>
  <c r="P1051" i="68"/>
  <c r="AO1006" i="68"/>
  <c r="AO971" i="68"/>
  <c r="K912" i="68"/>
  <c r="C645" i="68"/>
  <c r="C580" i="68"/>
  <c r="N1058" i="68"/>
  <c r="AM1013" i="68"/>
  <c r="AM978" i="68"/>
  <c r="AW942" i="68"/>
  <c r="O1057" i="68"/>
  <c r="AN977" i="68"/>
  <c r="AN1012" i="68"/>
  <c r="L941" i="68"/>
  <c r="L969" i="68"/>
  <c r="M1059" i="68"/>
  <c r="AL1014" i="68"/>
  <c r="AL979" i="68"/>
  <c r="L972" i="68"/>
  <c r="L944" i="68"/>
  <c r="O1049" i="68"/>
  <c r="AN1004" i="68"/>
  <c r="AN969" i="68"/>
  <c r="AP1072" i="68"/>
  <c r="K950" i="68"/>
  <c r="K978" i="68"/>
  <c r="I922" i="68"/>
  <c r="P492" i="68"/>
  <c r="P491" i="68" s="1"/>
  <c r="P490" i="68" s="1"/>
  <c r="P489" i="68" s="1"/>
  <c r="P488" i="68" s="1"/>
  <c r="P487" i="68" s="1"/>
  <c r="P536" i="68"/>
  <c r="P485" i="68"/>
  <c r="P1048" i="68"/>
  <c r="AO1003" i="68"/>
  <c r="N981" i="68"/>
  <c r="AO968" i="68"/>
  <c r="M943" i="68"/>
  <c r="M971" i="68"/>
  <c r="L949" i="68"/>
  <c r="L977" i="68"/>
  <c r="R694" i="62"/>
  <c r="R598" i="62"/>
  <c r="AM970" i="68" l="1"/>
  <c r="AM1005" i="68"/>
  <c r="AW934" i="68"/>
  <c r="N1050" i="68"/>
  <c r="D535" i="68"/>
  <c r="J913" i="68"/>
  <c r="D581" i="68"/>
  <c r="K970" i="68"/>
  <c r="K942" i="68"/>
  <c r="AO981" i="68"/>
  <c r="K969" i="68"/>
  <c r="K941" i="68"/>
  <c r="N1053" i="68"/>
  <c r="AM1008" i="68"/>
  <c r="AM973" i="68"/>
  <c r="AW937" i="68"/>
  <c r="K917" i="68"/>
  <c r="J645" i="68"/>
  <c r="M644" i="68"/>
  <c r="J580" i="68"/>
  <c r="J978" i="68"/>
  <c r="J950" i="68"/>
  <c r="Q580" i="68"/>
  <c r="J920" i="68"/>
  <c r="N581" i="68"/>
  <c r="N535" i="68"/>
  <c r="K914" i="68"/>
  <c r="F645" i="68"/>
  <c r="I644" i="68"/>
  <c r="F580" i="68"/>
  <c r="O1048" i="68"/>
  <c r="M981" i="68"/>
  <c r="AN968" i="68"/>
  <c r="AN1003" i="68"/>
  <c r="O1054" i="68"/>
  <c r="AN974" i="68"/>
  <c r="AN1009" i="68"/>
  <c r="K911" i="68"/>
  <c r="B645" i="68"/>
  <c r="E644" i="68"/>
  <c r="B580" i="68"/>
  <c r="N1057" i="68"/>
  <c r="AM1012" i="68"/>
  <c r="AM977" i="68"/>
  <c r="AW941" i="68"/>
  <c r="P486" i="68"/>
  <c r="H922" i="68"/>
  <c r="P315" i="68"/>
  <c r="P317" i="68" s="1"/>
  <c r="M1058" i="68"/>
  <c r="AL1013" i="68"/>
  <c r="AL978" i="68"/>
  <c r="J912" i="68"/>
  <c r="C581" i="68"/>
  <c r="C535" i="68"/>
  <c r="K948" i="68"/>
  <c r="K976" i="68"/>
  <c r="AN1071" i="68"/>
  <c r="AN1070" i="68"/>
  <c r="AN1069" i="68"/>
  <c r="AN1064" i="68"/>
  <c r="AN1063" i="68"/>
  <c r="AN1062" i="68"/>
  <c r="AN1061" i="68"/>
  <c r="AN1060" i="68"/>
  <c r="AN1059" i="68"/>
  <c r="AN1067" i="68"/>
  <c r="AN1066" i="68"/>
  <c r="AN1065" i="68"/>
  <c r="AN1058" i="68"/>
  <c r="AN1057" i="68"/>
  <c r="AN1056" i="68"/>
  <c r="AN1055" i="68"/>
  <c r="AN1054" i="68"/>
  <c r="AN1052" i="68"/>
  <c r="AN1050" i="68"/>
  <c r="AN1053" i="68"/>
  <c r="AN1051" i="68"/>
  <c r="AN1049" i="68"/>
  <c r="AN1068" i="68"/>
  <c r="AN1048" i="68"/>
  <c r="L946" i="68"/>
  <c r="L974" i="68"/>
  <c r="J975" i="68"/>
  <c r="J947" i="68"/>
  <c r="K977" i="68"/>
  <c r="K949" i="68"/>
  <c r="L943" i="68"/>
  <c r="L971" i="68"/>
  <c r="J916" i="68"/>
  <c r="H581" i="68"/>
  <c r="H535" i="68"/>
  <c r="M1055" i="68"/>
  <c r="AL1010" i="68"/>
  <c r="AL975" i="68"/>
  <c r="L968" i="68"/>
  <c r="L924" i="68"/>
  <c r="L940" i="68"/>
  <c r="O1051" i="68"/>
  <c r="AN1006" i="68"/>
  <c r="AN971" i="68"/>
  <c r="AO1016" i="68"/>
  <c r="I979" i="68"/>
  <c r="I951" i="68"/>
  <c r="N1052" i="68"/>
  <c r="AM1007" i="68"/>
  <c r="AM972" i="68"/>
  <c r="AW936" i="68"/>
  <c r="N1049" i="68"/>
  <c r="AM1004" i="68"/>
  <c r="AM969" i="68"/>
  <c r="AW933" i="68"/>
  <c r="J919" i="68"/>
  <c r="L581" i="68"/>
  <c r="L535" i="68"/>
  <c r="I918" i="68"/>
  <c r="K492" i="68"/>
  <c r="K491" i="68" s="1"/>
  <c r="K490" i="68" s="1"/>
  <c r="K489" i="68" s="1"/>
  <c r="K488" i="68" s="1"/>
  <c r="K487" i="68" s="1"/>
  <c r="K536" i="68"/>
  <c r="K485" i="68"/>
  <c r="L1059" i="68"/>
  <c r="AK979" i="68"/>
  <c r="AK1014" i="68"/>
  <c r="K973" i="68"/>
  <c r="K945" i="68"/>
  <c r="J915" i="68"/>
  <c r="G581" i="68"/>
  <c r="G535" i="68"/>
  <c r="AO1072" i="68"/>
  <c r="I921" i="68"/>
  <c r="O492" i="68"/>
  <c r="O491" i="68" s="1"/>
  <c r="O490" i="68" s="1"/>
  <c r="O489" i="68" s="1"/>
  <c r="O488" i="68" s="1"/>
  <c r="O487" i="68" s="1"/>
  <c r="O536" i="68"/>
  <c r="O485" i="68"/>
  <c r="N1056" i="68"/>
  <c r="AM1011" i="68"/>
  <c r="AM976" i="68"/>
  <c r="AW940" i="68"/>
  <c r="K972" i="68"/>
  <c r="K944" i="68"/>
  <c r="R654" i="68"/>
  <c r="AL970" i="68" l="1"/>
  <c r="AL1005" i="68"/>
  <c r="M1050" i="68"/>
  <c r="J942" i="68"/>
  <c r="J970" i="68"/>
  <c r="I913" i="68"/>
  <c r="D492" i="68"/>
  <c r="D491" i="68" s="1"/>
  <c r="D490" i="68" s="1"/>
  <c r="D489" i="68" s="1"/>
  <c r="D488" i="68" s="1"/>
  <c r="D487" i="68" s="1"/>
  <c r="D536" i="68"/>
  <c r="D485" i="68"/>
  <c r="R644" i="68"/>
  <c r="AN1072" i="68"/>
  <c r="J973" i="68"/>
  <c r="J945" i="68"/>
  <c r="M1057" i="68"/>
  <c r="AL1012" i="68"/>
  <c r="AL977" i="68"/>
  <c r="H951" i="68"/>
  <c r="H979" i="68"/>
  <c r="J914" i="68"/>
  <c r="I580" i="68"/>
  <c r="F581" i="68"/>
  <c r="F535" i="68"/>
  <c r="I920" i="68"/>
  <c r="N536" i="68"/>
  <c r="Q535" i="68"/>
  <c r="N492" i="68"/>
  <c r="N491" i="68" s="1"/>
  <c r="N490" i="68" s="1"/>
  <c r="N489" i="68" s="1"/>
  <c r="N488" i="68" s="1"/>
  <c r="N487" i="68" s="1"/>
  <c r="N485" i="68"/>
  <c r="K946" i="68"/>
  <c r="K974" i="68"/>
  <c r="J976" i="68"/>
  <c r="J948" i="68"/>
  <c r="AM1069" i="68"/>
  <c r="AM1068" i="68"/>
  <c r="AM1070" i="68"/>
  <c r="AM1064" i="68"/>
  <c r="AM1063" i="68"/>
  <c r="AM1062" i="68"/>
  <c r="AM1061" i="68"/>
  <c r="AM1060" i="68"/>
  <c r="AM1059" i="68"/>
  <c r="AM1071" i="68"/>
  <c r="AM1067" i="68"/>
  <c r="AM1066" i="68"/>
  <c r="AM1052" i="68"/>
  <c r="AM1051" i="68"/>
  <c r="AM1058" i="68"/>
  <c r="AM1057" i="68"/>
  <c r="AM1056" i="68"/>
  <c r="AM1055" i="68"/>
  <c r="AM1054" i="68"/>
  <c r="AM1053" i="68"/>
  <c r="AM1049" i="68"/>
  <c r="AM1065" i="68"/>
  <c r="AM1048" i="68"/>
  <c r="AM1050" i="68"/>
  <c r="N1051" i="68"/>
  <c r="AM1006" i="68"/>
  <c r="AW935" i="68"/>
  <c r="AM971" i="68"/>
  <c r="N1054" i="68"/>
  <c r="AM1009" i="68"/>
  <c r="AM974" i="68"/>
  <c r="AW938" i="68"/>
  <c r="I912" i="68"/>
  <c r="C536" i="68"/>
  <c r="C492" i="68"/>
  <c r="C491" i="68" s="1"/>
  <c r="C490" i="68" s="1"/>
  <c r="C489" i="68" s="1"/>
  <c r="C488" i="68" s="1"/>
  <c r="C487" i="68" s="1"/>
  <c r="C485" i="68"/>
  <c r="K924" i="68"/>
  <c r="K968" i="68"/>
  <c r="K940" i="68"/>
  <c r="AN1016" i="68"/>
  <c r="L1058" i="68"/>
  <c r="AK1013" i="68"/>
  <c r="AK978" i="68"/>
  <c r="J917" i="68"/>
  <c r="J581" i="68"/>
  <c r="M580" i="68"/>
  <c r="J535" i="68"/>
  <c r="I915" i="68"/>
  <c r="G536" i="68"/>
  <c r="G492" i="68"/>
  <c r="G491" i="68" s="1"/>
  <c r="G490" i="68" s="1"/>
  <c r="G489" i="68" s="1"/>
  <c r="G488" i="68" s="1"/>
  <c r="G487" i="68" s="1"/>
  <c r="G485" i="68"/>
  <c r="M1053" i="68"/>
  <c r="AL1008" i="68"/>
  <c r="AL973" i="68"/>
  <c r="H918" i="68"/>
  <c r="K486" i="68"/>
  <c r="K315" i="68"/>
  <c r="K317" i="68" s="1"/>
  <c r="I919" i="68"/>
  <c r="L536" i="68"/>
  <c r="L492" i="68"/>
  <c r="L491" i="68" s="1"/>
  <c r="L490" i="68" s="1"/>
  <c r="L489" i="68" s="1"/>
  <c r="L488" i="68" s="1"/>
  <c r="L487" i="68" s="1"/>
  <c r="L485" i="68"/>
  <c r="K1059" i="68"/>
  <c r="AJ1014" i="68"/>
  <c r="AJ979" i="68"/>
  <c r="M1056" i="68"/>
  <c r="AL1011" i="68"/>
  <c r="AL976" i="68"/>
  <c r="J969" i="68"/>
  <c r="J941" i="68"/>
  <c r="E922" i="68"/>
  <c r="P316" i="68"/>
  <c r="P133" i="68"/>
  <c r="K971" i="68"/>
  <c r="K943" i="68"/>
  <c r="M1052" i="68"/>
  <c r="AL1007" i="68"/>
  <c r="AL972" i="68"/>
  <c r="I978" i="68"/>
  <c r="I950" i="68"/>
  <c r="J972" i="68"/>
  <c r="J944" i="68"/>
  <c r="H921" i="68"/>
  <c r="O486" i="68"/>
  <c r="O315" i="68"/>
  <c r="O317" i="68" s="1"/>
  <c r="I947" i="68"/>
  <c r="I975" i="68"/>
  <c r="N1048" i="68"/>
  <c r="AW932" i="68"/>
  <c r="L981" i="68"/>
  <c r="AM968" i="68"/>
  <c r="AM1003" i="68"/>
  <c r="I916" i="68"/>
  <c r="H536" i="68"/>
  <c r="H492" i="68"/>
  <c r="H491" i="68" s="1"/>
  <c r="H490" i="68" s="1"/>
  <c r="H489" i="68" s="1"/>
  <c r="H488" i="68" s="1"/>
  <c r="H487" i="68" s="1"/>
  <c r="H485" i="68"/>
  <c r="L1055" i="68"/>
  <c r="AK975" i="68"/>
  <c r="AK1010" i="68"/>
  <c r="E580" i="68"/>
  <c r="J911" i="68"/>
  <c r="B581" i="68"/>
  <c r="B535" i="68"/>
  <c r="AN981" i="68"/>
  <c r="J977" i="68"/>
  <c r="J949" i="68"/>
  <c r="AL969" i="68"/>
  <c r="AL1004" i="68"/>
  <c r="M1049" i="68"/>
  <c r="I970" i="68" l="1"/>
  <c r="I942" i="68"/>
  <c r="H913" i="68"/>
  <c r="D486" i="68"/>
  <c r="D315" i="68"/>
  <c r="D317" i="68" s="1"/>
  <c r="L1050" i="68"/>
  <c r="AK1005" i="68"/>
  <c r="AK970" i="68"/>
  <c r="AM981" i="68"/>
  <c r="AM1072" i="68"/>
  <c r="AM1016" i="68"/>
  <c r="M1051" i="68"/>
  <c r="AL971" i="68"/>
  <c r="AL1006" i="68"/>
  <c r="AR948" i="68"/>
  <c r="E951" i="68"/>
  <c r="E979" i="68"/>
  <c r="I976" i="68"/>
  <c r="I948" i="68"/>
  <c r="M1048" i="68"/>
  <c r="AL1003" i="68"/>
  <c r="K981" i="68"/>
  <c r="AL968" i="68"/>
  <c r="M1054" i="68"/>
  <c r="AL1009" i="68"/>
  <c r="AL974" i="68"/>
  <c r="H920" i="68"/>
  <c r="N486" i="68"/>
  <c r="Q485" i="68"/>
  <c r="N315" i="68"/>
  <c r="N317" i="68" s="1"/>
  <c r="I949" i="68"/>
  <c r="I977" i="68"/>
  <c r="J943" i="68"/>
  <c r="J971" i="68"/>
  <c r="I911" i="68"/>
  <c r="B536" i="68"/>
  <c r="B492" i="68"/>
  <c r="B491" i="68" s="1"/>
  <c r="B490" i="68" s="1"/>
  <c r="B489" i="68" s="1"/>
  <c r="B488" i="68" s="1"/>
  <c r="B487" i="68" s="1"/>
  <c r="E535" i="68"/>
  <c r="B485" i="68"/>
  <c r="L1056" i="68"/>
  <c r="AK1011" i="68"/>
  <c r="AK976" i="68"/>
  <c r="L1057" i="68"/>
  <c r="AK977" i="68"/>
  <c r="AK1012" i="68"/>
  <c r="J940" i="68"/>
  <c r="J968" i="68"/>
  <c r="J924" i="68"/>
  <c r="I945" i="68"/>
  <c r="I973" i="68"/>
  <c r="AW945" i="68"/>
  <c r="E921" i="68"/>
  <c r="O316" i="68"/>
  <c r="O133" i="68"/>
  <c r="L1052" i="68"/>
  <c r="AK1007" i="68"/>
  <c r="AK972" i="68"/>
  <c r="D922" i="68"/>
  <c r="P134" i="68"/>
  <c r="P64" i="68"/>
  <c r="H919" i="68"/>
  <c r="L486" i="68"/>
  <c r="L315" i="68"/>
  <c r="L317" i="68" s="1"/>
  <c r="E918" i="68"/>
  <c r="K316" i="68"/>
  <c r="K133" i="68"/>
  <c r="I969" i="68"/>
  <c r="I941" i="68"/>
  <c r="I914" i="68"/>
  <c r="F492" i="68"/>
  <c r="F491" i="68" s="1"/>
  <c r="F490" i="68" s="1"/>
  <c r="F489" i="68" s="1"/>
  <c r="F488" i="68" s="1"/>
  <c r="F487" i="68" s="1"/>
  <c r="I535" i="68"/>
  <c r="F536" i="68"/>
  <c r="F485" i="68"/>
  <c r="J1059" i="68"/>
  <c r="Z1059" i="68" s="1"/>
  <c r="AI1014" i="68"/>
  <c r="AI979" i="68"/>
  <c r="AI913" i="68"/>
  <c r="K1055" i="68"/>
  <c r="AJ1010" i="68"/>
  <c r="AJ975" i="68"/>
  <c r="H950" i="68"/>
  <c r="H978" i="68"/>
  <c r="K1058" i="68"/>
  <c r="AJ1013" i="68"/>
  <c r="AJ978" i="68"/>
  <c r="H947" i="68"/>
  <c r="H975" i="68"/>
  <c r="H915" i="68"/>
  <c r="G486" i="68"/>
  <c r="G315" i="68"/>
  <c r="G317" i="68" s="1"/>
  <c r="J536" i="68"/>
  <c r="I917" i="68"/>
  <c r="M535" i="68"/>
  <c r="J492" i="68"/>
  <c r="J491" i="68" s="1"/>
  <c r="J490" i="68" s="1"/>
  <c r="J489" i="68" s="1"/>
  <c r="J488" i="68" s="1"/>
  <c r="J487" i="68" s="1"/>
  <c r="J485" i="68"/>
  <c r="AL1065" i="68"/>
  <c r="AL1069" i="68"/>
  <c r="AL1068" i="68"/>
  <c r="AL1070" i="68"/>
  <c r="AL1066" i="68"/>
  <c r="AL1053" i="68"/>
  <c r="AL1063" i="68"/>
  <c r="AL1061" i="68"/>
  <c r="AL1059" i="68"/>
  <c r="AL1052" i="68"/>
  <c r="AL1051" i="68"/>
  <c r="AL1050" i="68"/>
  <c r="AL1049" i="68"/>
  <c r="AL1048" i="68"/>
  <c r="AL1067" i="68"/>
  <c r="AL1064" i="68"/>
  <c r="AL1062" i="68"/>
  <c r="AL1060" i="68"/>
  <c r="AL1058" i="68"/>
  <c r="AL1055" i="68"/>
  <c r="AL1054" i="68"/>
  <c r="AL1057" i="68"/>
  <c r="AL1056" i="68"/>
  <c r="AL1071" i="68"/>
  <c r="R580" i="68"/>
  <c r="H916" i="68"/>
  <c r="H486" i="68"/>
  <c r="H315" i="68"/>
  <c r="H317" i="68" s="1"/>
  <c r="AK1004" i="68"/>
  <c r="L1049" i="68"/>
  <c r="AK969" i="68"/>
  <c r="I972" i="68"/>
  <c r="I944" i="68"/>
  <c r="J974" i="68"/>
  <c r="J946" i="68"/>
  <c r="H912" i="68"/>
  <c r="C486" i="68"/>
  <c r="C315" i="68"/>
  <c r="C317" i="68" s="1"/>
  <c r="L1053" i="68"/>
  <c r="AK973" i="68"/>
  <c r="AK1008" i="68"/>
  <c r="H970" i="68" l="1"/>
  <c r="H942" i="68"/>
  <c r="D133" i="68"/>
  <c r="E913" i="68"/>
  <c r="D316" i="68"/>
  <c r="K1050" i="68"/>
  <c r="AJ1005" i="68"/>
  <c r="AJ970" i="68"/>
  <c r="K1052" i="68"/>
  <c r="AJ1007" i="68"/>
  <c r="AJ972" i="68"/>
  <c r="D918" i="68"/>
  <c r="K134" i="68"/>
  <c r="K64" i="68"/>
  <c r="E919" i="68"/>
  <c r="L316" i="68"/>
  <c r="L133" i="68"/>
  <c r="E978" i="68"/>
  <c r="AR947" i="68"/>
  <c r="E950" i="68"/>
  <c r="H949" i="68"/>
  <c r="H977" i="68"/>
  <c r="AL981" i="68"/>
  <c r="E915" i="68"/>
  <c r="G316" i="68"/>
  <c r="G133" i="68"/>
  <c r="J1058" i="68"/>
  <c r="Z1058" i="68" s="1"/>
  <c r="AI1013" i="68"/>
  <c r="AI978" i="68"/>
  <c r="AI912" i="68"/>
  <c r="AI1110" i="68"/>
  <c r="AI1109" i="68"/>
  <c r="F486" i="68"/>
  <c r="H914" i="68"/>
  <c r="I485" i="68"/>
  <c r="F315" i="68"/>
  <c r="F317" i="68" s="1"/>
  <c r="I943" i="68"/>
  <c r="I971" i="68"/>
  <c r="D951" i="68"/>
  <c r="D979" i="68"/>
  <c r="AQ948" i="68"/>
  <c r="AK1003" i="68"/>
  <c r="J981" i="68"/>
  <c r="AK968" i="68"/>
  <c r="L1048" i="68"/>
  <c r="H911" i="68"/>
  <c r="B486" i="68"/>
  <c r="E485" i="68"/>
  <c r="B315" i="68"/>
  <c r="B317" i="68" s="1"/>
  <c r="I968" i="68"/>
  <c r="I940" i="68"/>
  <c r="I924" i="68"/>
  <c r="L1051" i="68"/>
  <c r="AK971" i="68"/>
  <c r="AK1006" i="68"/>
  <c r="E920" i="68"/>
  <c r="N316" i="68"/>
  <c r="Q315" i="68"/>
  <c r="N133" i="68"/>
  <c r="K1056" i="68"/>
  <c r="AJ1011" i="68"/>
  <c r="AJ976" i="68"/>
  <c r="E912" i="68"/>
  <c r="C316" i="68"/>
  <c r="C133" i="68"/>
  <c r="L1054" i="68"/>
  <c r="AK1009" i="68"/>
  <c r="AK974" i="68"/>
  <c r="AK1068" i="68"/>
  <c r="AK1071" i="68"/>
  <c r="AK1067" i="68"/>
  <c r="AK1066" i="68"/>
  <c r="AK1065" i="68"/>
  <c r="AK1069" i="68"/>
  <c r="AK1064" i="68"/>
  <c r="AK1062" i="68"/>
  <c r="AK1060" i="68"/>
  <c r="AK1054" i="68"/>
  <c r="AK1053" i="68"/>
  <c r="AK1058" i="68"/>
  <c r="AK1057" i="68"/>
  <c r="AK1056" i="68"/>
  <c r="AK1051" i="68"/>
  <c r="AK1063" i="68"/>
  <c r="AK1052" i="68"/>
  <c r="AK1070" i="68"/>
  <c r="AK1059" i="68"/>
  <c r="AK1050" i="68"/>
  <c r="AK1048" i="68"/>
  <c r="AK1061" i="68"/>
  <c r="AK1055" i="68"/>
  <c r="AK1049" i="68"/>
  <c r="H945" i="68"/>
  <c r="H973" i="68"/>
  <c r="AL1072" i="68"/>
  <c r="I974" i="68"/>
  <c r="I946" i="68"/>
  <c r="H972" i="68"/>
  <c r="H944" i="68"/>
  <c r="H948" i="68"/>
  <c r="H976" i="68"/>
  <c r="D921" i="68"/>
  <c r="O134" i="68"/>
  <c r="O64" i="68"/>
  <c r="K1053" i="68"/>
  <c r="AJ1008" i="68"/>
  <c r="AJ973" i="68"/>
  <c r="R535" i="68"/>
  <c r="AL1016" i="68"/>
  <c r="G1059" i="68"/>
  <c r="AG1014" i="68"/>
  <c r="AG979" i="68"/>
  <c r="H941" i="68"/>
  <c r="H969" i="68"/>
  <c r="E916" i="68"/>
  <c r="H316" i="68"/>
  <c r="H133" i="68"/>
  <c r="H917" i="68"/>
  <c r="M485" i="68"/>
  <c r="J486" i="68"/>
  <c r="J315" i="68"/>
  <c r="J317" i="68" s="1"/>
  <c r="AI1010" i="68"/>
  <c r="J1055" i="68"/>
  <c r="Z1055" i="68" s="1"/>
  <c r="AI975" i="68"/>
  <c r="AI909" i="68"/>
  <c r="K1049" i="68"/>
  <c r="AJ969" i="68"/>
  <c r="AJ1004" i="68"/>
  <c r="E975" i="68"/>
  <c r="E947" i="68"/>
  <c r="AR944" i="68"/>
  <c r="C922" i="68"/>
  <c r="P65" i="68"/>
  <c r="P29" i="68"/>
  <c r="K1057" i="68"/>
  <c r="AJ1012" i="68"/>
  <c r="AJ977" i="68"/>
  <c r="D913" i="68" l="1"/>
  <c r="D134" i="68"/>
  <c r="D64" i="68"/>
  <c r="E942" i="68"/>
  <c r="E970" i="68"/>
  <c r="AR939" i="68"/>
  <c r="J1050" i="68"/>
  <c r="Z1050" i="68" s="1"/>
  <c r="AI970" i="68"/>
  <c r="AI1005" i="68"/>
  <c r="AI904" i="68"/>
  <c r="AK981" i="68"/>
  <c r="AK1072" i="68"/>
  <c r="AI1098" i="68"/>
  <c r="AI1097" i="68"/>
  <c r="K1054" i="68"/>
  <c r="AJ1009" i="68"/>
  <c r="AJ974" i="68"/>
  <c r="AI1107" i="68"/>
  <c r="AI1106" i="68"/>
  <c r="E917" i="68"/>
  <c r="M315" i="68"/>
  <c r="J316" i="68"/>
  <c r="J133" i="68"/>
  <c r="D916" i="68"/>
  <c r="H134" i="68"/>
  <c r="H64" i="68"/>
  <c r="J1052" i="68"/>
  <c r="Z1052" i="68" s="1"/>
  <c r="AI1007" i="68"/>
  <c r="AI972" i="68"/>
  <c r="AI906" i="68"/>
  <c r="C979" i="68"/>
  <c r="C951" i="68"/>
  <c r="AP948" i="68"/>
  <c r="J1056" i="68"/>
  <c r="Z1056" i="68" s="1"/>
  <c r="AI1011" i="68"/>
  <c r="AI976" i="68"/>
  <c r="AI910" i="68"/>
  <c r="J1053" i="68"/>
  <c r="Z1053" i="68" s="1"/>
  <c r="AI1008" i="68"/>
  <c r="AI973" i="68"/>
  <c r="AI907" i="68"/>
  <c r="AR938" i="68"/>
  <c r="E941" i="68"/>
  <c r="E969" i="68"/>
  <c r="D920" i="68"/>
  <c r="Q133" i="68"/>
  <c r="N134" i="68"/>
  <c r="N64" i="68"/>
  <c r="AR946" i="68"/>
  <c r="E977" i="68"/>
  <c r="E949" i="68"/>
  <c r="R485" i="68"/>
  <c r="F1059" i="68"/>
  <c r="AF1014" i="68"/>
  <c r="AF979" i="68"/>
  <c r="E914" i="68"/>
  <c r="F316" i="68"/>
  <c r="I315" i="68"/>
  <c r="F133" i="68"/>
  <c r="C921" i="68"/>
  <c r="O65" i="68"/>
  <c r="O29" i="68"/>
  <c r="E972" i="68"/>
  <c r="E944" i="68"/>
  <c r="AR941" i="68"/>
  <c r="D947" i="68"/>
  <c r="D975" i="68"/>
  <c r="AQ944" i="68"/>
  <c r="B922" i="68"/>
  <c r="P19" i="68"/>
  <c r="P30" i="68"/>
  <c r="AJ1071" i="68"/>
  <c r="AJ1070" i="68"/>
  <c r="AJ1069" i="68"/>
  <c r="AJ1064" i="68"/>
  <c r="AJ1063" i="68"/>
  <c r="AJ1062" i="68"/>
  <c r="AJ1061" i="68"/>
  <c r="AJ1060" i="68"/>
  <c r="AJ1059" i="68"/>
  <c r="AJ1067" i="68"/>
  <c r="AJ1066" i="68"/>
  <c r="AJ1068" i="68"/>
  <c r="AJ1065" i="68"/>
  <c r="AJ1058" i="68"/>
  <c r="AJ1057" i="68"/>
  <c r="AJ1056" i="68"/>
  <c r="AJ1055" i="68"/>
  <c r="AJ1054" i="68"/>
  <c r="AJ1050" i="68"/>
  <c r="AJ1053" i="68"/>
  <c r="AJ1051" i="68"/>
  <c r="AJ1048" i="68"/>
  <c r="AJ1052" i="68"/>
  <c r="AJ1049" i="68"/>
  <c r="H946" i="68"/>
  <c r="H974" i="68"/>
  <c r="E945" i="68"/>
  <c r="AR942" i="68"/>
  <c r="E973" i="68"/>
  <c r="K1048" i="68"/>
  <c r="I981" i="68"/>
  <c r="AJ968" i="68"/>
  <c r="AJ1003" i="68"/>
  <c r="H968" i="68"/>
  <c r="H940" i="68"/>
  <c r="H924" i="68"/>
  <c r="AK1016" i="68"/>
  <c r="K1051" i="68"/>
  <c r="AJ1006" i="68"/>
  <c r="AJ971" i="68"/>
  <c r="H971" i="68"/>
  <c r="H943" i="68"/>
  <c r="D915" i="68"/>
  <c r="G134" i="68"/>
  <c r="G64" i="68"/>
  <c r="G1058" i="68"/>
  <c r="AG1013" i="68"/>
  <c r="AG978" i="68"/>
  <c r="E976" i="68"/>
  <c r="AR945" i="68"/>
  <c r="E948" i="68"/>
  <c r="D912" i="68"/>
  <c r="C134" i="68"/>
  <c r="C64" i="68"/>
  <c r="G1055" i="68"/>
  <c r="AG1010" i="68"/>
  <c r="AG975" i="68"/>
  <c r="J1049" i="68"/>
  <c r="AI1004" i="68"/>
  <c r="AI969" i="68"/>
  <c r="AI903" i="68"/>
  <c r="D950" i="68"/>
  <c r="D978" i="68"/>
  <c r="AQ947" i="68"/>
  <c r="E911" i="68"/>
  <c r="B316" i="68"/>
  <c r="E315" i="68"/>
  <c r="B133" i="68"/>
  <c r="AI1012" i="68"/>
  <c r="J1057" i="68"/>
  <c r="Z1057" i="68" s="1"/>
  <c r="AI977" i="68"/>
  <c r="AI911" i="68"/>
  <c r="D919" i="68"/>
  <c r="L134" i="68"/>
  <c r="L64" i="68"/>
  <c r="C918" i="68"/>
  <c r="K65" i="68"/>
  <c r="K29" i="68"/>
  <c r="AI1083" i="68" l="1"/>
  <c r="AI1082" i="68"/>
  <c r="C913" i="68"/>
  <c r="D65" i="68"/>
  <c r="D29" i="68"/>
  <c r="AG1005" i="68"/>
  <c r="G1050" i="68"/>
  <c r="AG970" i="68"/>
  <c r="D942" i="68"/>
  <c r="AQ939" i="68"/>
  <c r="D970" i="68"/>
  <c r="R315" i="68"/>
  <c r="E968" i="68"/>
  <c r="E940" i="68"/>
  <c r="AR937" i="68"/>
  <c r="E924" i="68"/>
  <c r="D972" i="68"/>
  <c r="D944" i="68"/>
  <c r="AQ941" i="68"/>
  <c r="AI1101" i="68"/>
  <c r="AI1100" i="68"/>
  <c r="D948" i="68"/>
  <c r="D976" i="68"/>
  <c r="AQ945" i="68"/>
  <c r="AI1070" i="68"/>
  <c r="AI1071" i="68"/>
  <c r="AI1064" i="68"/>
  <c r="AI1063" i="68"/>
  <c r="AI1062" i="68"/>
  <c r="AI1061" i="68"/>
  <c r="AI1060" i="68"/>
  <c r="AI1059" i="68"/>
  <c r="AI1067" i="68"/>
  <c r="AI1066" i="68"/>
  <c r="AI1052" i="68"/>
  <c r="AI1051" i="68"/>
  <c r="AI1058" i="68"/>
  <c r="AI1057" i="68"/>
  <c r="AI1056" i="68"/>
  <c r="AI1055" i="68"/>
  <c r="AI1068" i="68"/>
  <c r="AI1065" i="68"/>
  <c r="AI1069" i="68"/>
  <c r="AI1050" i="68"/>
  <c r="AI1049" i="68"/>
  <c r="Z1049" i="68"/>
  <c r="AI1054" i="68"/>
  <c r="AI1053" i="68"/>
  <c r="AI1048" i="68"/>
  <c r="C912" i="68"/>
  <c r="C65" i="68"/>
  <c r="C29" i="68"/>
  <c r="AJ981" i="68"/>
  <c r="F1055" i="68"/>
  <c r="AF975" i="68"/>
  <c r="AF1010" i="68"/>
  <c r="G1052" i="68"/>
  <c r="AG1007" i="68"/>
  <c r="AG972" i="68"/>
  <c r="E1059" i="68"/>
  <c r="AE1014" i="68"/>
  <c r="AE979" i="68"/>
  <c r="AI1089" i="68"/>
  <c r="AI1088" i="68"/>
  <c r="D917" i="68"/>
  <c r="J134" i="68"/>
  <c r="M133" i="68"/>
  <c r="J64" i="68"/>
  <c r="E974" i="68"/>
  <c r="E946" i="68"/>
  <c r="AR943" i="68"/>
  <c r="D911" i="68"/>
  <c r="E133" i="68"/>
  <c r="B134" i="68"/>
  <c r="B64" i="68"/>
  <c r="G1057" i="68"/>
  <c r="AG1012" i="68"/>
  <c r="AG977" i="68"/>
  <c r="AI1092" i="68"/>
  <c r="AI1091" i="68"/>
  <c r="C916" i="68"/>
  <c r="H65" i="68"/>
  <c r="H29" i="68"/>
  <c r="D941" i="68"/>
  <c r="D969" i="68"/>
  <c r="AQ938" i="68"/>
  <c r="H981" i="68"/>
  <c r="AI968" i="68"/>
  <c r="J1048" i="68"/>
  <c r="Z1048" i="68" s="1"/>
  <c r="AI1003" i="68"/>
  <c r="AI902" i="68"/>
  <c r="J1054" i="68"/>
  <c r="Z1054" i="68" s="1"/>
  <c r="AI1009" i="68"/>
  <c r="AI974" i="68"/>
  <c r="AI908" i="68"/>
  <c r="AJ1072" i="68"/>
  <c r="AO948" i="68"/>
  <c r="AT948" i="68" s="1"/>
  <c r="B979" i="68"/>
  <c r="AG913" i="68"/>
  <c r="AN913" i="68"/>
  <c r="B951" i="68"/>
  <c r="D949" i="68"/>
  <c r="D977" i="68"/>
  <c r="AQ946" i="68"/>
  <c r="C975" i="68"/>
  <c r="AP944" i="68"/>
  <c r="C947" i="68"/>
  <c r="B921" i="68"/>
  <c r="O19" i="68"/>
  <c r="O30" i="68"/>
  <c r="C919" i="68"/>
  <c r="L65" i="68"/>
  <c r="L29" i="68"/>
  <c r="B918" i="68"/>
  <c r="K19" i="68"/>
  <c r="K30" i="68"/>
  <c r="AI1104" i="68"/>
  <c r="AI1103" i="68"/>
  <c r="F1058" i="68"/>
  <c r="AF978" i="68"/>
  <c r="AF1013" i="68"/>
  <c r="G1056" i="68"/>
  <c r="AG1011" i="68"/>
  <c r="AG976" i="68"/>
  <c r="C915" i="68"/>
  <c r="G65" i="68"/>
  <c r="G29" i="68"/>
  <c r="J1051" i="68"/>
  <c r="Z1051" i="68" s="1"/>
  <c r="AI1006" i="68"/>
  <c r="AI905" i="68"/>
  <c r="AI971" i="68"/>
  <c r="AJ1016" i="68"/>
  <c r="G1053" i="68"/>
  <c r="AG1008" i="68"/>
  <c r="AG973" i="68"/>
  <c r="C950" i="68"/>
  <c r="AP947" i="68"/>
  <c r="C978" i="68"/>
  <c r="D914" i="68"/>
  <c r="I133" i="68"/>
  <c r="F134" i="68"/>
  <c r="F64" i="68"/>
  <c r="E943" i="68"/>
  <c r="E971" i="68"/>
  <c r="AR940" i="68"/>
  <c r="C920" i="68"/>
  <c r="Q64" i="68"/>
  <c r="N65" i="68"/>
  <c r="N29" i="68"/>
  <c r="G1049" i="68"/>
  <c r="AG1004" i="68"/>
  <c r="AG969" i="68"/>
  <c r="D945" i="68"/>
  <c r="AQ942" i="68"/>
  <c r="D973" i="68"/>
  <c r="AF970" i="68" l="1"/>
  <c r="F1050" i="68"/>
  <c r="AF1005" i="68"/>
  <c r="C970" i="68"/>
  <c r="C942" i="68"/>
  <c r="AP939" i="68"/>
  <c r="D19" i="68"/>
  <c r="D30" i="68"/>
  <c r="B913" i="68"/>
  <c r="AI915" i="68"/>
  <c r="F1053" i="68"/>
  <c r="AF973" i="68"/>
  <c r="AF1008" i="68"/>
  <c r="D943" i="68"/>
  <c r="AQ940" i="68"/>
  <c r="D971" i="68"/>
  <c r="G1051" i="68"/>
  <c r="AG1006" i="68"/>
  <c r="AG971" i="68"/>
  <c r="AI1085" i="68"/>
  <c r="AI1086" i="68"/>
  <c r="AO947" i="68"/>
  <c r="AT947" i="68" s="1"/>
  <c r="B978" i="68"/>
  <c r="B950" i="68"/>
  <c r="AN912" i="68"/>
  <c r="AG912" i="68"/>
  <c r="AI1095" i="68"/>
  <c r="AI1094" i="68"/>
  <c r="AI981" i="68"/>
  <c r="D968" i="68"/>
  <c r="D940" i="68"/>
  <c r="AQ937" i="68"/>
  <c r="D924" i="68"/>
  <c r="C917" i="68"/>
  <c r="J65" i="68"/>
  <c r="M64" i="68"/>
  <c r="J29" i="68"/>
  <c r="W1059" i="68"/>
  <c r="AF1110" i="68" s="1"/>
  <c r="V1059" i="68"/>
  <c r="AF1109" i="68" s="1"/>
  <c r="B912" i="68"/>
  <c r="C30" i="68"/>
  <c r="C19" i="68"/>
  <c r="AP945" i="68"/>
  <c r="C948" i="68"/>
  <c r="C976" i="68"/>
  <c r="F1057" i="68"/>
  <c r="AF1012" i="68"/>
  <c r="AF977" i="68"/>
  <c r="B916" i="68"/>
  <c r="H30" i="68"/>
  <c r="H19" i="68"/>
  <c r="AR950" i="68"/>
  <c r="AG1068" i="68"/>
  <c r="AG1067" i="68"/>
  <c r="AG1066" i="68"/>
  <c r="AG1069" i="68"/>
  <c r="AG1065" i="68"/>
  <c r="AG1070" i="68"/>
  <c r="AG1063" i="68"/>
  <c r="AG1061" i="68"/>
  <c r="AG1059" i="68"/>
  <c r="AG1054" i="68"/>
  <c r="AG1053" i="68"/>
  <c r="AG1071" i="68"/>
  <c r="AG1058" i="68"/>
  <c r="AG1057" i="68"/>
  <c r="AG1062" i="68"/>
  <c r="AG1055" i="68"/>
  <c r="AG1049" i="68"/>
  <c r="AG1060" i="68"/>
  <c r="AG1064" i="68"/>
  <c r="AG1052" i="68"/>
  <c r="AG1048" i="68"/>
  <c r="AG1051" i="68"/>
  <c r="AG1050" i="68"/>
  <c r="AG1056" i="68"/>
  <c r="C977" i="68"/>
  <c r="C949" i="68"/>
  <c r="AP946" i="68"/>
  <c r="C914" i="68"/>
  <c r="I64" i="68"/>
  <c r="F65" i="68"/>
  <c r="F29" i="68"/>
  <c r="E1058" i="68"/>
  <c r="AE1013" i="68"/>
  <c r="AE978" i="68"/>
  <c r="B975" i="68"/>
  <c r="AO944" i="68"/>
  <c r="AT944" i="68" s="1"/>
  <c r="B947" i="68"/>
  <c r="AN909" i="68"/>
  <c r="AG909" i="68"/>
  <c r="AD1014" i="68"/>
  <c r="AD979" i="68"/>
  <c r="R1086" i="68"/>
  <c r="AI1016" i="68"/>
  <c r="C969" i="68"/>
  <c r="AP938" i="68"/>
  <c r="C941" i="68"/>
  <c r="AI1080" i="68"/>
  <c r="AI1079" i="68"/>
  <c r="B915" i="68"/>
  <c r="G30" i="68"/>
  <c r="G19" i="68"/>
  <c r="C911" i="68"/>
  <c r="E64" i="68"/>
  <c r="B29" i="68"/>
  <c r="B65" i="68"/>
  <c r="F1056" i="68"/>
  <c r="AF976" i="68"/>
  <c r="AF1011" i="68"/>
  <c r="B920" i="68"/>
  <c r="N30" i="68"/>
  <c r="Q29" i="68"/>
  <c r="N19" i="68"/>
  <c r="AP941" i="68"/>
  <c r="C944" i="68"/>
  <c r="C972" i="68"/>
  <c r="B919" i="68"/>
  <c r="L19" i="68"/>
  <c r="L30" i="68"/>
  <c r="E1055" i="68"/>
  <c r="AE1010" i="68"/>
  <c r="AE975" i="68"/>
  <c r="AI1076" i="68"/>
  <c r="AI1077" i="68"/>
  <c r="F1049" i="68"/>
  <c r="AF1004" i="68"/>
  <c r="AF969" i="68"/>
  <c r="C973" i="68"/>
  <c r="C945" i="68"/>
  <c r="AP942" i="68"/>
  <c r="R133" i="68"/>
  <c r="G1054" i="68"/>
  <c r="AG1009" i="68"/>
  <c r="AG974" i="68"/>
  <c r="D946" i="68"/>
  <c r="AQ943" i="68"/>
  <c r="D974" i="68"/>
  <c r="AI1072" i="68"/>
  <c r="F1052" i="68"/>
  <c r="AF972" i="68"/>
  <c r="AF1007" i="68"/>
  <c r="G1048" i="68"/>
  <c r="E981" i="68"/>
  <c r="AG1003" i="68"/>
  <c r="AG968" i="68"/>
  <c r="J826" i="62"/>
  <c r="E1050" i="68" l="1"/>
  <c r="AE970" i="68"/>
  <c r="AE1005" i="68"/>
  <c r="B942" i="68"/>
  <c r="AG904" i="68"/>
  <c r="B970" i="68"/>
  <c r="AO939" i="68"/>
  <c r="AT939" i="68" s="1"/>
  <c r="AN904" i="68"/>
  <c r="R64" i="68"/>
  <c r="AG981" i="68"/>
  <c r="AF1071" i="68"/>
  <c r="AF1070" i="68"/>
  <c r="AF1069" i="68"/>
  <c r="AF1064" i="68"/>
  <c r="AF1063" i="68"/>
  <c r="AF1062" i="68"/>
  <c r="AF1061" i="68"/>
  <c r="AF1060" i="68"/>
  <c r="AF1059" i="68"/>
  <c r="AF1068" i="68"/>
  <c r="AF1067" i="68"/>
  <c r="AF1066" i="68"/>
  <c r="AF1065" i="68"/>
  <c r="AF1058" i="68"/>
  <c r="AF1057" i="68"/>
  <c r="AF1056" i="68"/>
  <c r="AF1055" i="68"/>
  <c r="AF1054" i="68"/>
  <c r="AF1052" i="68"/>
  <c r="AF1053" i="68"/>
  <c r="AF1051" i="68"/>
  <c r="AF1050" i="68"/>
  <c r="AF1048" i="68"/>
  <c r="AF1049" i="68"/>
  <c r="AO945" i="68"/>
  <c r="AT945" i="68" s="1"/>
  <c r="B976" i="68"/>
  <c r="AN910" i="68"/>
  <c r="B948" i="68"/>
  <c r="AG910" i="68"/>
  <c r="Q20" i="68"/>
  <c r="Q19" i="68"/>
  <c r="B911" i="68"/>
  <c r="B30" i="68"/>
  <c r="E29" i="68"/>
  <c r="B19" i="68"/>
  <c r="AD1010" i="68"/>
  <c r="AD975" i="68"/>
  <c r="R1082" i="68"/>
  <c r="B914" i="68"/>
  <c r="I29" i="68"/>
  <c r="F30" i="68"/>
  <c r="F19" i="68"/>
  <c r="B917" i="68"/>
  <c r="J30" i="68"/>
  <c r="M29" i="68"/>
  <c r="J19" i="68"/>
  <c r="E1052" i="68"/>
  <c r="AE1007" i="68"/>
  <c r="AE972" i="68"/>
  <c r="AO941" i="68"/>
  <c r="AT941" i="68" s="1"/>
  <c r="B972" i="68"/>
  <c r="AN906" i="68"/>
  <c r="B944" i="68"/>
  <c r="AG906" i="68"/>
  <c r="AO946" i="68"/>
  <c r="AT946" i="68" s="1"/>
  <c r="B977" i="68"/>
  <c r="B949" i="68"/>
  <c r="AN911" i="68"/>
  <c r="AG911" i="68"/>
  <c r="V1058" i="68"/>
  <c r="AF1106" i="68" s="1"/>
  <c r="W1058" i="68"/>
  <c r="AF1107" i="68" s="1"/>
  <c r="C971" i="68"/>
  <c r="AP940" i="68"/>
  <c r="C943" i="68"/>
  <c r="B969" i="68"/>
  <c r="B941" i="68"/>
  <c r="AO938" i="68"/>
  <c r="AT938" i="68" s="1"/>
  <c r="AN903" i="68"/>
  <c r="AG903" i="68"/>
  <c r="C946" i="68"/>
  <c r="AP943" i="68"/>
  <c r="C974" i="68"/>
  <c r="F1048" i="68"/>
  <c r="AF1003" i="68"/>
  <c r="AF968" i="68"/>
  <c r="D981" i="68"/>
  <c r="F1054" i="68"/>
  <c r="AF974" i="68"/>
  <c r="AF1009" i="68"/>
  <c r="AG1016" i="68"/>
  <c r="E1053" i="68"/>
  <c r="AE1008" i="68"/>
  <c r="AE973" i="68"/>
  <c r="V1055" i="68"/>
  <c r="AF1097" i="68" s="1"/>
  <c r="W1055" i="68"/>
  <c r="AF1098" i="68" s="1"/>
  <c r="AQ950" i="68"/>
  <c r="F1051" i="68"/>
  <c r="AF1006" i="68"/>
  <c r="AF971" i="68"/>
  <c r="C924" i="68"/>
  <c r="C968" i="68"/>
  <c r="C940" i="68"/>
  <c r="AP937" i="68"/>
  <c r="E1049" i="68"/>
  <c r="AE969" i="68"/>
  <c r="AE1004" i="68"/>
  <c r="E1057" i="68"/>
  <c r="AE1012" i="68"/>
  <c r="AE977" i="68"/>
  <c r="AG1072" i="68"/>
  <c r="B973" i="68"/>
  <c r="AN907" i="68"/>
  <c r="B945" i="68"/>
  <c r="AO942" i="68"/>
  <c r="AT942" i="68" s="1"/>
  <c r="AG907" i="68"/>
  <c r="E1056" i="68"/>
  <c r="AE1011" i="68"/>
  <c r="AE976" i="68"/>
  <c r="AD1013" i="68"/>
  <c r="AD978" i="68"/>
  <c r="R1085" i="68"/>
  <c r="AD1005" i="68" l="1"/>
  <c r="AD970" i="68"/>
  <c r="R1077" i="68"/>
  <c r="V1050" i="68"/>
  <c r="AF1082" i="68" s="1"/>
  <c r="W1050" i="68"/>
  <c r="AF1083" i="68" s="1"/>
  <c r="AF981" i="68"/>
  <c r="AF1072" i="68"/>
  <c r="AD1008" i="68"/>
  <c r="AD973" i="68"/>
  <c r="R1080" i="68"/>
  <c r="AE1071" i="68"/>
  <c r="AE1064" i="68"/>
  <c r="AE1063" i="68"/>
  <c r="AE1062" i="68"/>
  <c r="AE1061" i="68"/>
  <c r="AE1060" i="68"/>
  <c r="AE1059" i="68"/>
  <c r="AE1069" i="68"/>
  <c r="AE1068" i="68"/>
  <c r="AE1067" i="68"/>
  <c r="AE1066" i="68"/>
  <c r="AE1065" i="68"/>
  <c r="AE1052" i="68"/>
  <c r="AE1051" i="68"/>
  <c r="AE1058" i="68"/>
  <c r="AE1057" i="68"/>
  <c r="AE1056" i="68"/>
  <c r="AE1055" i="68"/>
  <c r="AE1070" i="68"/>
  <c r="AE1054" i="68"/>
  <c r="AE1053" i="68"/>
  <c r="AE1050" i="68"/>
  <c r="V1049" i="68"/>
  <c r="AF1079" i="68" s="1"/>
  <c r="AE1048" i="68"/>
  <c r="AE1049" i="68"/>
  <c r="W1049" i="68"/>
  <c r="AF1080" i="68" s="1"/>
  <c r="AP950" i="68"/>
  <c r="E1054" i="68"/>
  <c r="AE1009" i="68"/>
  <c r="AE974" i="68"/>
  <c r="AD1007" i="68"/>
  <c r="AD972" i="68"/>
  <c r="R1079" i="68"/>
  <c r="V1052" i="68"/>
  <c r="AF1088" i="68" s="1"/>
  <c r="W1052" i="68"/>
  <c r="AF1089" i="68" s="1"/>
  <c r="B974" i="68"/>
  <c r="AN908" i="68"/>
  <c r="B946" i="68"/>
  <c r="AG908" i="68"/>
  <c r="AO943" i="68"/>
  <c r="AT943" i="68" s="1"/>
  <c r="B943" i="68"/>
  <c r="B971" i="68"/>
  <c r="AO940" i="68"/>
  <c r="AT940" i="68" s="1"/>
  <c r="AN905" i="68"/>
  <c r="AG905" i="68"/>
  <c r="AO937" i="68"/>
  <c r="AG902" i="68"/>
  <c r="B968" i="68"/>
  <c r="B924" i="68"/>
  <c r="B940" i="68"/>
  <c r="AN902" i="68"/>
  <c r="V1056" i="68"/>
  <c r="AF1100" i="68" s="1"/>
  <c r="W1056" i="68"/>
  <c r="AF1101" i="68" s="1"/>
  <c r="E1048" i="68"/>
  <c r="AE1003" i="68"/>
  <c r="AE968" i="68"/>
  <c r="C981" i="68"/>
  <c r="V1053" i="68"/>
  <c r="AF1091" i="68" s="1"/>
  <c r="W1053" i="68"/>
  <c r="AF1092" i="68" s="1"/>
  <c r="AF1016" i="68"/>
  <c r="E1051" i="68"/>
  <c r="AE1006" i="68"/>
  <c r="AE971" i="68"/>
  <c r="R29" i="68"/>
  <c r="AD1011" i="68"/>
  <c r="AD976" i="68"/>
  <c r="R1083" i="68"/>
  <c r="M20" i="68"/>
  <c r="M19" i="68"/>
  <c r="I20" i="68"/>
  <c r="I19" i="68"/>
  <c r="E20" i="68"/>
  <c r="E19" i="68"/>
  <c r="V1057" i="68"/>
  <c r="AF1103" i="68" s="1"/>
  <c r="W1057" i="68"/>
  <c r="AF1104" i="68" s="1"/>
  <c r="AD969" i="68"/>
  <c r="AD1004" i="68"/>
  <c r="R1076" i="68"/>
  <c r="AD1012" i="68"/>
  <c r="AD977" i="68"/>
  <c r="R1084" i="68"/>
  <c r="R19" i="68" l="1"/>
  <c r="AD1003" i="68"/>
  <c r="B981" i="68"/>
  <c r="R1087" i="68" s="1"/>
  <c r="AD968" i="68"/>
  <c r="R1075" i="68"/>
  <c r="V1048" i="68"/>
  <c r="AF1076" i="68" s="1"/>
  <c r="W1048" i="68"/>
  <c r="AF1077" i="68" s="1"/>
  <c r="AD971" i="68"/>
  <c r="AD1006" i="68"/>
  <c r="R1078" i="68"/>
  <c r="V1054" i="68"/>
  <c r="AF1094" i="68" s="1"/>
  <c r="W1054" i="68"/>
  <c r="AF1095" i="68" s="1"/>
  <c r="AE981" i="68"/>
  <c r="AG915" i="68"/>
  <c r="AD1009" i="68"/>
  <c r="AD974" i="68"/>
  <c r="R1081" i="68"/>
  <c r="AE1072" i="68"/>
  <c r="R20" i="68"/>
  <c r="W1051" i="68"/>
  <c r="AF1086" i="68" s="1"/>
  <c r="V1051" i="68"/>
  <c r="AF1085" i="68" s="1"/>
  <c r="AE1016" i="68"/>
  <c r="AO950" i="68"/>
  <c r="AT937" i="68"/>
  <c r="AT950" i="68" s="1"/>
  <c r="AD981" i="68" l="1"/>
  <c r="AD1016" i="68"/>
  <c r="E243" i="62" l="1"/>
  <c r="I243" i="62"/>
  <c r="M243" i="62"/>
  <c r="Q243" i="62"/>
  <c r="E244" i="62"/>
  <c r="I244" i="62"/>
  <c r="M244" i="62"/>
  <c r="Q244" i="62"/>
  <c r="E257" i="62"/>
  <c r="I257" i="62"/>
  <c r="M257" i="62"/>
  <c r="Q257" i="62"/>
  <c r="R244" i="62" l="1"/>
  <c r="R243" i="62"/>
  <c r="B116" i="7" l="1"/>
  <c r="B115" i="7"/>
  <c r="B114" i="7"/>
  <c r="B113" i="7"/>
  <c r="B112" i="7"/>
  <c r="B111" i="7"/>
  <c r="B110" i="7"/>
  <c r="B109" i="7"/>
  <c r="B108" i="7"/>
  <c r="B107" i="7"/>
  <c r="B106" i="7"/>
  <c r="B105" i="7"/>
  <c r="Q387" i="62" l="1"/>
  <c r="M387" i="62"/>
  <c r="I387" i="62"/>
  <c r="E387" i="62"/>
  <c r="R387" i="62" l="1"/>
  <c r="K318" i="62" l="1"/>
  <c r="Q341" i="62" l="1"/>
  <c r="M341" i="62"/>
  <c r="M342" i="62"/>
  <c r="I341" i="62"/>
  <c r="E341" i="62"/>
  <c r="R341" i="62" l="1"/>
  <c r="Q253" i="62" l="1"/>
  <c r="M253" i="62"/>
  <c r="I253" i="62"/>
  <c r="E253" i="62"/>
  <c r="R253" i="62" l="1"/>
  <c r="K18" i="3" l="1"/>
  <c r="B14" i="62" l="1"/>
  <c r="C395" i="62" l="1"/>
  <c r="B395" i="62"/>
  <c r="C332" i="62" l="1"/>
  <c r="B332" i="62"/>
  <c r="P1008" i="62" l="1"/>
  <c r="P1007" i="62"/>
  <c r="P1006" i="62"/>
  <c r="P1005" i="62"/>
  <c r="P1004" i="62"/>
  <c r="P1003" i="62"/>
  <c r="P1002" i="62"/>
  <c r="P1001" i="62"/>
  <c r="P1000" i="62"/>
  <c r="P999" i="62"/>
  <c r="P998" i="62"/>
  <c r="P997" i="62"/>
  <c r="M992" i="62"/>
  <c r="P964" i="61"/>
  <c r="P965" i="61"/>
  <c r="P966" i="61"/>
  <c r="P967" i="61"/>
  <c r="P968" i="61"/>
  <c r="P969" i="61"/>
  <c r="P970" i="61"/>
  <c r="P971" i="61"/>
  <c r="P972" i="61"/>
  <c r="P973" i="61"/>
  <c r="P974" i="61"/>
  <c r="P963" i="61"/>
  <c r="N983" i="62"/>
  <c r="G318" i="62" l="1"/>
  <c r="N1050" i="62" l="1"/>
  <c r="N1053" i="62"/>
  <c r="N1054" i="62"/>
  <c r="N1055" i="62"/>
  <c r="N1056" i="62"/>
  <c r="N1057" i="62"/>
  <c r="N1058" i="62"/>
  <c r="P800" i="61" l="1"/>
  <c r="O800" i="61"/>
  <c r="N800" i="61"/>
  <c r="L800" i="61"/>
  <c r="K800" i="61"/>
  <c r="J800" i="61"/>
  <c r="H800" i="61"/>
  <c r="G800" i="61"/>
  <c r="F800" i="61"/>
  <c r="D800" i="61"/>
  <c r="C800" i="61"/>
  <c r="B800" i="61"/>
  <c r="P369" i="61"/>
  <c r="O369" i="61"/>
  <c r="N369" i="61"/>
  <c r="L369" i="61"/>
  <c r="K369" i="61"/>
  <c r="J369" i="61"/>
  <c r="H369" i="61"/>
  <c r="G369" i="61"/>
  <c r="F369" i="61"/>
  <c r="D369" i="61"/>
  <c r="C369" i="61"/>
  <c r="B369" i="61"/>
  <c r="Q368" i="61"/>
  <c r="R368" i="61" s="1"/>
  <c r="P512" i="61"/>
  <c r="O512" i="61"/>
  <c r="N512" i="61"/>
  <c r="L512" i="61"/>
  <c r="K512" i="61"/>
  <c r="J512" i="61"/>
  <c r="H512" i="61"/>
  <c r="G512" i="61"/>
  <c r="F512" i="61"/>
  <c r="D512" i="61"/>
  <c r="C512" i="61"/>
  <c r="B512" i="61"/>
  <c r="Q511" i="61"/>
  <c r="R511" i="61" s="1"/>
  <c r="P1049" i="62" l="1"/>
  <c r="O1049" i="62" s="1"/>
  <c r="J1060" i="62"/>
  <c r="G1060" i="62" s="1"/>
  <c r="I1060" i="62"/>
  <c r="F1060" i="62" s="1"/>
  <c r="J1059" i="62"/>
  <c r="G1059" i="62" s="1"/>
  <c r="I1059" i="62"/>
  <c r="F1059" i="62" s="1"/>
  <c r="J1058" i="62"/>
  <c r="G1058" i="62" s="1"/>
  <c r="I1058" i="62"/>
  <c r="F1058" i="62" s="1"/>
  <c r="J1057" i="62"/>
  <c r="G1057" i="62" s="1"/>
  <c r="I1057" i="62"/>
  <c r="F1057" i="62" s="1"/>
  <c r="J1056" i="62"/>
  <c r="I1056" i="62"/>
  <c r="F1056" i="62" s="1"/>
  <c r="J1055" i="62"/>
  <c r="G1055" i="62" s="1"/>
  <c r="I1055" i="62"/>
  <c r="F1055" i="62" s="1"/>
  <c r="J1054" i="62"/>
  <c r="G1054" i="62" s="1"/>
  <c r="I1054" i="62"/>
  <c r="F1054" i="62" s="1"/>
  <c r="J1053" i="62"/>
  <c r="G1053" i="62" s="1"/>
  <c r="I1053" i="62"/>
  <c r="F1053" i="62" s="1"/>
  <c r="J1052" i="62"/>
  <c r="I1052" i="62"/>
  <c r="F1052" i="62" s="1"/>
  <c r="J1051" i="62"/>
  <c r="G1051" i="62" s="1"/>
  <c r="I1051" i="62"/>
  <c r="F1051" i="62" s="1"/>
  <c r="J1050" i="62"/>
  <c r="G1050" i="62" s="1"/>
  <c r="I1050" i="62"/>
  <c r="F1050" i="62" s="1"/>
  <c r="J1049" i="62"/>
  <c r="G1049" i="62" s="1"/>
  <c r="I1049" i="62"/>
  <c r="F1049" i="62" s="1"/>
  <c r="B1022" i="62" s="1"/>
  <c r="L1056" i="62" l="1"/>
  <c r="G1056" i="62"/>
  <c r="L1052" i="62"/>
  <c r="L1060" i="62"/>
  <c r="L1057" i="62"/>
  <c r="L1053" i="62"/>
  <c r="G1052" i="62"/>
  <c r="L1050" i="62"/>
  <c r="L1054" i="62"/>
  <c r="L1058" i="62"/>
  <c r="L1051" i="62"/>
  <c r="L1055" i="62"/>
  <c r="L1059" i="62"/>
  <c r="Q212" i="61"/>
  <c r="M212" i="61"/>
  <c r="I212" i="61"/>
  <c r="E212" i="61"/>
  <c r="N373" i="61"/>
  <c r="P176" i="61"/>
  <c r="O176" i="61"/>
  <c r="N176" i="61"/>
  <c r="P173" i="61"/>
  <c r="O173" i="61"/>
  <c r="N173" i="61"/>
  <c r="O152" i="61"/>
  <c r="N152" i="61"/>
  <c r="R212" i="61" l="1"/>
  <c r="AE1019" i="62"/>
  <c r="L826" i="62" l="1"/>
  <c r="Q349" i="62" l="1"/>
  <c r="Q350" i="62"/>
  <c r="M349" i="62"/>
  <c r="I349" i="62"/>
  <c r="E349" i="62"/>
  <c r="R349" i="62" l="1"/>
  <c r="Q409" i="62"/>
  <c r="M409" i="62"/>
  <c r="I409" i="62"/>
  <c r="E409" i="62"/>
  <c r="R409" i="62" l="1"/>
  <c r="B600" i="62" l="1"/>
  <c r="M271" i="62" l="1"/>
  <c r="Q397" i="62" l="1"/>
  <c r="M397" i="62"/>
  <c r="I397" i="62"/>
  <c r="E397" i="62"/>
  <c r="Q597" i="62"/>
  <c r="M597" i="62"/>
  <c r="I597" i="62"/>
  <c r="E597" i="62"/>
  <c r="M394" i="62"/>
  <c r="F826" i="62"/>
  <c r="N826" i="62"/>
  <c r="Q271" i="62"/>
  <c r="I271" i="62"/>
  <c r="E271" i="62"/>
  <c r="Q434" i="62"/>
  <c r="M434" i="62"/>
  <c r="I434" i="62"/>
  <c r="E434" i="62"/>
  <c r="Q433" i="62"/>
  <c r="M433" i="62"/>
  <c r="I433" i="62"/>
  <c r="E433" i="62"/>
  <c r="Q424" i="62"/>
  <c r="M424" i="62"/>
  <c r="I424" i="62"/>
  <c r="E424" i="62"/>
  <c r="Q423" i="62"/>
  <c r="M423" i="62"/>
  <c r="I423" i="62"/>
  <c r="E423" i="62"/>
  <c r="Q401" i="62"/>
  <c r="M401" i="62"/>
  <c r="I401" i="62"/>
  <c r="E401" i="62"/>
  <c r="Q224" i="62"/>
  <c r="M224" i="62"/>
  <c r="I224" i="62"/>
  <c r="E224" i="62"/>
  <c r="Q400" i="62"/>
  <c r="M400" i="62"/>
  <c r="I400" i="62"/>
  <c r="E400" i="62"/>
  <c r="Q399" i="62"/>
  <c r="M399" i="62"/>
  <c r="I399" i="62"/>
  <c r="E399" i="62"/>
  <c r="Q398" i="62"/>
  <c r="M398" i="62"/>
  <c r="I398" i="62"/>
  <c r="E398" i="62"/>
  <c r="E337" i="62"/>
  <c r="Q337" i="62"/>
  <c r="M337" i="62"/>
  <c r="I337" i="62"/>
  <c r="Q336" i="62"/>
  <c r="M336" i="62"/>
  <c r="I336" i="62"/>
  <c r="E336" i="62"/>
  <c r="R397" i="62" l="1"/>
  <c r="R597" i="62"/>
  <c r="R271" i="62"/>
  <c r="R337" i="62"/>
  <c r="R433" i="62"/>
  <c r="R434" i="62"/>
  <c r="R398" i="62"/>
  <c r="R399" i="62"/>
  <c r="R400" i="62"/>
  <c r="R224" i="62"/>
  <c r="R401" i="62"/>
  <c r="R423" i="62"/>
  <c r="R424" i="62"/>
  <c r="R336" i="62"/>
  <c r="E258" i="62" l="1"/>
  <c r="L247" i="61" l="1"/>
  <c r="K247" i="61"/>
  <c r="J247" i="61"/>
  <c r="Q797" i="62" l="1"/>
  <c r="M797" i="62"/>
  <c r="I797" i="62"/>
  <c r="E797" i="62"/>
  <c r="M790" i="62"/>
  <c r="I790" i="62"/>
  <c r="E790" i="62"/>
  <c r="M789" i="62"/>
  <c r="I789" i="62"/>
  <c r="E789" i="62"/>
  <c r="M788" i="62"/>
  <c r="I788" i="62"/>
  <c r="E788" i="62"/>
  <c r="M787" i="62"/>
  <c r="I787" i="62"/>
  <c r="E787" i="62"/>
  <c r="M785" i="62"/>
  <c r="I785" i="62"/>
  <c r="E785" i="62"/>
  <c r="M784" i="62"/>
  <c r="I784" i="62"/>
  <c r="E784" i="62"/>
  <c r="M774" i="62"/>
  <c r="I774" i="62"/>
  <c r="E774" i="62"/>
  <c r="M771" i="62"/>
  <c r="I771" i="62"/>
  <c r="E771" i="62"/>
  <c r="M770" i="62"/>
  <c r="I770" i="62"/>
  <c r="E770" i="62"/>
  <c r="M769" i="62"/>
  <c r="I769" i="62"/>
  <c r="E769" i="62"/>
  <c r="M768" i="62"/>
  <c r="I768" i="62"/>
  <c r="E768" i="62"/>
  <c r="M767" i="62"/>
  <c r="I767" i="62"/>
  <c r="E767" i="62"/>
  <c r="M697" i="62"/>
  <c r="I697" i="62"/>
  <c r="E697" i="62"/>
  <c r="M696" i="62"/>
  <c r="I696" i="62"/>
  <c r="E696" i="62"/>
  <c r="M695" i="62"/>
  <c r="I695" i="62"/>
  <c r="E695" i="62"/>
  <c r="M693" i="62"/>
  <c r="I693" i="62"/>
  <c r="E693" i="62"/>
  <c r="M691" i="62"/>
  <c r="I691" i="62"/>
  <c r="E691" i="62"/>
  <c r="M680" i="62"/>
  <c r="I680" i="62"/>
  <c r="E680" i="62"/>
  <c r="M679" i="62"/>
  <c r="I679" i="62"/>
  <c r="E679" i="62"/>
  <c r="M678" i="62"/>
  <c r="I678" i="62"/>
  <c r="E678" i="62"/>
  <c r="M677" i="62"/>
  <c r="I677" i="62"/>
  <c r="E677" i="62"/>
  <c r="M676" i="62"/>
  <c r="I676" i="62"/>
  <c r="E676" i="62"/>
  <c r="M675" i="62"/>
  <c r="I675" i="62"/>
  <c r="E675" i="62"/>
  <c r="Q641" i="62"/>
  <c r="M641" i="62"/>
  <c r="I641" i="62"/>
  <c r="E641" i="62"/>
  <c r="Q640" i="62"/>
  <c r="M640" i="62"/>
  <c r="I640" i="62"/>
  <c r="E640" i="62"/>
  <c r="Q639" i="62"/>
  <c r="M639" i="62"/>
  <c r="I639" i="62"/>
  <c r="E639" i="62"/>
  <c r="M613" i="62"/>
  <c r="I613" i="62"/>
  <c r="E613" i="62"/>
  <c r="M612" i="62"/>
  <c r="I612" i="62"/>
  <c r="E612" i="62"/>
  <c r="M609" i="62"/>
  <c r="I609" i="62"/>
  <c r="E609" i="62"/>
  <c r="M608" i="62"/>
  <c r="I608" i="62"/>
  <c r="E608" i="62"/>
  <c r="M607" i="62"/>
  <c r="I607" i="62"/>
  <c r="E607" i="62"/>
  <c r="M606" i="62"/>
  <c r="I606" i="62"/>
  <c r="E606" i="62"/>
  <c r="M604" i="62"/>
  <c r="I604" i="62"/>
  <c r="E604" i="62"/>
  <c r="M603" i="62"/>
  <c r="I603" i="62"/>
  <c r="E603" i="62"/>
  <c r="M585" i="62"/>
  <c r="I585" i="62"/>
  <c r="E585" i="62"/>
  <c r="M583" i="62"/>
  <c r="I583" i="62"/>
  <c r="E583" i="62"/>
  <c r="M581" i="62"/>
  <c r="I581" i="62"/>
  <c r="E581" i="62"/>
  <c r="M579" i="62"/>
  <c r="I579" i="62"/>
  <c r="E579" i="62"/>
  <c r="M578" i="62"/>
  <c r="I578" i="62"/>
  <c r="E578" i="62"/>
  <c r="M577" i="62"/>
  <c r="I577" i="62"/>
  <c r="E577" i="62"/>
  <c r="M576" i="62"/>
  <c r="I576" i="62"/>
  <c r="E576" i="62"/>
  <c r="M575" i="62"/>
  <c r="I575" i="62"/>
  <c r="E575" i="62"/>
  <c r="M574" i="62"/>
  <c r="I574" i="62"/>
  <c r="E574" i="62"/>
  <c r="M573" i="62"/>
  <c r="I573" i="62"/>
  <c r="E573" i="62"/>
  <c r="M572" i="62"/>
  <c r="I572" i="62"/>
  <c r="E572" i="62"/>
  <c r="M571" i="62"/>
  <c r="I571" i="62"/>
  <c r="E571" i="62"/>
  <c r="Q551" i="62"/>
  <c r="M551" i="62"/>
  <c r="I551" i="62"/>
  <c r="E551" i="62"/>
  <c r="Q538" i="62"/>
  <c r="M538" i="62"/>
  <c r="I538" i="62"/>
  <c r="E538" i="62"/>
  <c r="Q531" i="62"/>
  <c r="M531" i="62"/>
  <c r="I531" i="62"/>
  <c r="E531" i="62"/>
  <c r="Q530" i="62"/>
  <c r="M530" i="62"/>
  <c r="I530" i="62"/>
  <c r="E530" i="62"/>
  <c r="Q529" i="62"/>
  <c r="M529" i="62"/>
  <c r="I529" i="62"/>
  <c r="E529" i="62"/>
  <c r="Q528" i="62"/>
  <c r="M528" i="62"/>
  <c r="I528" i="62"/>
  <c r="E528" i="62"/>
  <c r="Q527" i="62"/>
  <c r="M527" i="62"/>
  <c r="I527" i="62"/>
  <c r="E527" i="62"/>
  <c r="Q511" i="62"/>
  <c r="M511" i="62"/>
  <c r="I511" i="62"/>
  <c r="E511" i="62"/>
  <c r="Q510" i="62"/>
  <c r="M510" i="62"/>
  <c r="I510" i="62"/>
  <c r="E510" i="62"/>
  <c r="Q503" i="62"/>
  <c r="M503" i="62"/>
  <c r="I503" i="62"/>
  <c r="E503" i="62"/>
  <c r="Q497" i="62"/>
  <c r="M497" i="62"/>
  <c r="I497" i="62"/>
  <c r="E497" i="62"/>
  <c r="M491" i="62"/>
  <c r="I491" i="62"/>
  <c r="E491" i="62"/>
  <c r="M490" i="62"/>
  <c r="I490" i="62"/>
  <c r="E490" i="62"/>
  <c r="M488" i="62"/>
  <c r="I488" i="62"/>
  <c r="E488" i="62"/>
  <c r="M487" i="62"/>
  <c r="I487" i="62"/>
  <c r="E487" i="62"/>
  <c r="M486" i="62"/>
  <c r="I486" i="62"/>
  <c r="E486" i="62"/>
  <c r="M485" i="62"/>
  <c r="I485" i="62"/>
  <c r="E485" i="62"/>
  <c r="Q486" i="62"/>
  <c r="M461" i="62"/>
  <c r="I461" i="62"/>
  <c r="E461" i="62"/>
  <c r="M460" i="62"/>
  <c r="I460" i="62"/>
  <c r="E460" i="62"/>
  <c r="M459" i="62"/>
  <c r="I459" i="62"/>
  <c r="E459" i="62"/>
  <c r="M458" i="62"/>
  <c r="I458" i="62"/>
  <c r="E458" i="62"/>
  <c r="M457" i="62"/>
  <c r="I457" i="62"/>
  <c r="E457" i="62"/>
  <c r="M456" i="62"/>
  <c r="I456" i="62"/>
  <c r="E456" i="62"/>
  <c r="M455" i="62"/>
  <c r="I455" i="62"/>
  <c r="E455" i="62"/>
  <c r="M454" i="62"/>
  <c r="I454" i="62"/>
  <c r="E454" i="62"/>
  <c r="M452" i="62"/>
  <c r="I452" i="62"/>
  <c r="E452" i="62"/>
  <c r="M451" i="62"/>
  <c r="I451" i="62"/>
  <c r="E451" i="62"/>
  <c r="M450" i="62"/>
  <c r="I450" i="62"/>
  <c r="E450" i="62"/>
  <c r="M449" i="62"/>
  <c r="I449" i="62"/>
  <c r="E449" i="62"/>
  <c r="M448" i="62"/>
  <c r="I448" i="62"/>
  <c r="E448" i="62"/>
  <c r="M447" i="62"/>
  <c r="I447" i="62"/>
  <c r="E447" i="62"/>
  <c r="M445" i="62"/>
  <c r="I445" i="62"/>
  <c r="E445" i="62"/>
  <c r="M444" i="62"/>
  <c r="I444" i="62"/>
  <c r="E444" i="62"/>
  <c r="M442" i="62"/>
  <c r="I442" i="62"/>
  <c r="E442" i="62"/>
  <c r="M438" i="62"/>
  <c r="I438" i="62"/>
  <c r="E438" i="62"/>
  <c r="M437" i="62"/>
  <c r="I437" i="62"/>
  <c r="E437" i="62"/>
  <c r="M436" i="62"/>
  <c r="I436" i="62"/>
  <c r="E436" i="62"/>
  <c r="M435" i="62"/>
  <c r="I435" i="62"/>
  <c r="E435" i="62"/>
  <c r="M432" i="62"/>
  <c r="I432" i="62"/>
  <c r="E432" i="62"/>
  <c r="M431" i="62"/>
  <c r="I431" i="62"/>
  <c r="E431" i="62"/>
  <c r="M430" i="62"/>
  <c r="I430" i="62"/>
  <c r="E430" i="62"/>
  <c r="M429" i="62"/>
  <c r="I429" i="62"/>
  <c r="E429" i="62"/>
  <c r="M428" i="62"/>
  <c r="I428" i="62"/>
  <c r="E428" i="62"/>
  <c r="M427" i="62"/>
  <c r="I427" i="62"/>
  <c r="E427" i="62"/>
  <c r="M426" i="62"/>
  <c r="I426" i="62"/>
  <c r="E426" i="62"/>
  <c r="M425" i="62"/>
  <c r="I425" i="62"/>
  <c r="E425" i="62"/>
  <c r="M422" i="62"/>
  <c r="I422" i="62"/>
  <c r="E422" i="62"/>
  <c r="M421" i="62"/>
  <c r="I421" i="62"/>
  <c r="E421" i="62"/>
  <c r="M420" i="62"/>
  <c r="I420" i="62"/>
  <c r="E420" i="62"/>
  <c r="M270" i="62"/>
  <c r="I270" i="62"/>
  <c r="E270" i="62"/>
  <c r="M419" i="62"/>
  <c r="I419" i="62"/>
  <c r="E419" i="62"/>
  <c r="M418" i="62"/>
  <c r="I418" i="62"/>
  <c r="E418" i="62"/>
  <c r="M417" i="62"/>
  <c r="I417" i="62"/>
  <c r="E417" i="62"/>
  <c r="M416" i="62"/>
  <c r="I416" i="62"/>
  <c r="E416" i="62"/>
  <c r="M415" i="62"/>
  <c r="I415" i="62"/>
  <c r="E415" i="62"/>
  <c r="M414" i="62"/>
  <c r="I414" i="62"/>
  <c r="E414" i="62"/>
  <c r="M413" i="62"/>
  <c r="I413" i="62"/>
  <c r="E413" i="62"/>
  <c r="M412" i="62"/>
  <c r="I412" i="62"/>
  <c r="E412" i="62"/>
  <c r="M411" i="62"/>
  <c r="I411" i="62"/>
  <c r="E411" i="62"/>
  <c r="M410" i="62"/>
  <c r="I410" i="62"/>
  <c r="M408" i="62"/>
  <c r="I408" i="62"/>
  <c r="E408" i="62"/>
  <c r="M407" i="62"/>
  <c r="I407" i="62"/>
  <c r="E407" i="62"/>
  <c r="M406" i="62"/>
  <c r="I406" i="62"/>
  <c r="E406" i="62"/>
  <c r="M405" i="62"/>
  <c r="I405" i="62"/>
  <c r="E405" i="62"/>
  <c r="M404" i="62"/>
  <c r="I404" i="62"/>
  <c r="E404" i="62"/>
  <c r="M403" i="62"/>
  <c r="I403" i="62"/>
  <c r="E403" i="62"/>
  <c r="M402" i="62"/>
  <c r="I402" i="62"/>
  <c r="E402" i="62"/>
  <c r="M395" i="62"/>
  <c r="E395" i="62"/>
  <c r="I394" i="62"/>
  <c r="E394" i="62"/>
  <c r="Q270" i="62"/>
  <c r="Q419" i="62"/>
  <c r="Q420" i="62"/>
  <c r="Q418" i="62"/>
  <c r="Q389" i="62"/>
  <c r="M389" i="62"/>
  <c r="I389" i="62"/>
  <c r="E389" i="62"/>
  <c r="Q388" i="62"/>
  <c r="M388" i="62"/>
  <c r="I388" i="62"/>
  <c r="E388" i="62"/>
  <c r="Q386" i="62"/>
  <c r="M386" i="62"/>
  <c r="I386" i="62"/>
  <c r="E386" i="62"/>
  <c r="Q385" i="62"/>
  <c r="M385" i="62"/>
  <c r="I385" i="62"/>
  <c r="E385" i="62"/>
  <c r="Q384" i="62"/>
  <c r="M384" i="62"/>
  <c r="I384" i="62"/>
  <c r="E384" i="62"/>
  <c r="Q383" i="62"/>
  <c r="M383" i="62"/>
  <c r="I383" i="62"/>
  <c r="E383" i="62"/>
  <c r="Q382" i="62"/>
  <c r="M382" i="62"/>
  <c r="I382" i="62"/>
  <c r="E382" i="62"/>
  <c r="Q381" i="62"/>
  <c r="M381" i="62"/>
  <c r="I381" i="62"/>
  <c r="E381" i="62"/>
  <c r="M375" i="62"/>
  <c r="I375" i="62"/>
  <c r="E375" i="62"/>
  <c r="M374" i="62"/>
  <c r="I374" i="62"/>
  <c r="E374" i="62"/>
  <c r="M373" i="62"/>
  <c r="I373" i="62"/>
  <c r="E373" i="62"/>
  <c r="M372" i="62"/>
  <c r="I372" i="62"/>
  <c r="E372" i="62"/>
  <c r="M370" i="62"/>
  <c r="I370" i="62"/>
  <c r="E370" i="62"/>
  <c r="M369" i="62"/>
  <c r="I369" i="62"/>
  <c r="E369" i="62"/>
  <c r="M368" i="62"/>
  <c r="I368" i="62"/>
  <c r="E368" i="62"/>
  <c r="M367" i="62"/>
  <c r="I367" i="62"/>
  <c r="E367" i="62"/>
  <c r="M366" i="62"/>
  <c r="I366" i="62"/>
  <c r="E366" i="62"/>
  <c r="M365" i="62"/>
  <c r="I365" i="62"/>
  <c r="E365" i="62"/>
  <c r="M364" i="62"/>
  <c r="I364" i="62"/>
  <c r="E364" i="62"/>
  <c r="M363" i="62"/>
  <c r="I363" i="62"/>
  <c r="E363" i="62"/>
  <c r="M362" i="62"/>
  <c r="I362" i="62"/>
  <c r="E362" i="62"/>
  <c r="M359" i="62"/>
  <c r="I359" i="62"/>
  <c r="E359" i="62"/>
  <c r="M358" i="62"/>
  <c r="I358" i="62"/>
  <c r="E358" i="62"/>
  <c r="M356" i="62"/>
  <c r="I356" i="62"/>
  <c r="E356" i="62"/>
  <c r="M355" i="62"/>
  <c r="I355" i="62"/>
  <c r="E355" i="62"/>
  <c r="M354" i="62"/>
  <c r="I354" i="62"/>
  <c r="E354" i="62"/>
  <c r="M353" i="62"/>
  <c r="I353" i="62"/>
  <c r="E353" i="62"/>
  <c r="M352" i="62"/>
  <c r="I352" i="62"/>
  <c r="E352" i="62"/>
  <c r="M351" i="62"/>
  <c r="I351" i="62"/>
  <c r="E351" i="62"/>
  <c r="M350" i="62"/>
  <c r="I350" i="62"/>
  <c r="E350" i="62"/>
  <c r="M348" i="62"/>
  <c r="I348" i="62"/>
  <c r="E348" i="62"/>
  <c r="M347" i="62"/>
  <c r="I347" i="62"/>
  <c r="E347" i="62"/>
  <c r="M346" i="62"/>
  <c r="I346" i="62"/>
  <c r="E346" i="62"/>
  <c r="M345" i="62"/>
  <c r="I345" i="62"/>
  <c r="E345" i="62"/>
  <c r="M343" i="62"/>
  <c r="I343" i="62"/>
  <c r="E343" i="62"/>
  <c r="I342" i="62"/>
  <c r="E342" i="62"/>
  <c r="M340" i="62"/>
  <c r="I340" i="62"/>
  <c r="E340" i="62"/>
  <c r="M339" i="62"/>
  <c r="I339" i="62"/>
  <c r="E339" i="62"/>
  <c r="M338" i="62"/>
  <c r="I338" i="62"/>
  <c r="E338" i="62"/>
  <c r="M335" i="62"/>
  <c r="I335" i="62"/>
  <c r="E335" i="62"/>
  <c r="M334" i="62"/>
  <c r="I334" i="62"/>
  <c r="E334" i="62"/>
  <c r="M333" i="62"/>
  <c r="I333" i="62"/>
  <c r="E333" i="62"/>
  <c r="P377" i="62"/>
  <c r="M331" i="62"/>
  <c r="I331" i="62"/>
  <c r="E331" i="62"/>
  <c r="M330" i="62"/>
  <c r="I330" i="62"/>
  <c r="E330" i="62"/>
  <c r="M329" i="62"/>
  <c r="I329" i="62"/>
  <c r="E329" i="62"/>
  <c r="M328" i="62"/>
  <c r="I328" i="62"/>
  <c r="E328" i="62"/>
  <c r="M327" i="62"/>
  <c r="I327" i="62"/>
  <c r="E327" i="62"/>
  <c r="M326" i="62"/>
  <c r="I326" i="62"/>
  <c r="E326" i="62"/>
  <c r="Q334" i="62"/>
  <c r="B206" i="62"/>
  <c r="B278" i="62"/>
  <c r="Q300" i="62"/>
  <c r="M300" i="62"/>
  <c r="I300" i="62"/>
  <c r="E300" i="62"/>
  <c r="Q296" i="62"/>
  <c r="M296" i="62"/>
  <c r="I296" i="62"/>
  <c r="E296" i="62"/>
  <c r="Q292" i="62"/>
  <c r="M292" i="62"/>
  <c r="I292" i="62"/>
  <c r="E292" i="62"/>
  <c r="Q291" i="62"/>
  <c r="M291" i="62"/>
  <c r="I291" i="62"/>
  <c r="E291" i="62"/>
  <c r="Q290" i="62"/>
  <c r="M290" i="62"/>
  <c r="I290" i="62"/>
  <c r="E290" i="62"/>
  <c r="Q289" i="62"/>
  <c r="M289" i="62"/>
  <c r="I289" i="62"/>
  <c r="E289" i="62"/>
  <c r="Q288" i="62"/>
  <c r="M288" i="62"/>
  <c r="I288" i="62"/>
  <c r="E288" i="62"/>
  <c r="Q287" i="62"/>
  <c r="M287" i="62"/>
  <c r="I287" i="62"/>
  <c r="E287" i="62"/>
  <c r="Q286" i="62"/>
  <c r="M286" i="62"/>
  <c r="I286" i="62"/>
  <c r="E286" i="62"/>
  <c r="Q285" i="62"/>
  <c r="M285" i="62"/>
  <c r="I285" i="62"/>
  <c r="E285" i="62"/>
  <c r="Q283" i="62"/>
  <c r="M283" i="62"/>
  <c r="I283" i="62"/>
  <c r="E283" i="62"/>
  <c r="Q282" i="62"/>
  <c r="M282" i="62"/>
  <c r="I282" i="62"/>
  <c r="E282" i="62"/>
  <c r="Q281" i="62"/>
  <c r="M281" i="62"/>
  <c r="I281" i="62"/>
  <c r="E281" i="62"/>
  <c r="E294" i="62"/>
  <c r="I294" i="62"/>
  <c r="M294" i="62"/>
  <c r="Q294" i="62"/>
  <c r="Q277" i="62"/>
  <c r="M277" i="62"/>
  <c r="I277" i="62"/>
  <c r="E277" i="62"/>
  <c r="Q276" i="62"/>
  <c r="M276" i="62"/>
  <c r="I276" i="62"/>
  <c r="E276" i="62"/>
  <c r="Q275" i="62"/>
  <c r="M275" i="62"/>
  <c r="I275" i="62"/>
  <c r="E275" i="62"/>
  <c r="Q274" i="62"/>
  <c r="M274" i="62"/>
  <c r="I274" i="62"/>
  <c r="E274" i="62"/>
  <c r="Q273" i="62"/>
  <c r="M273" i="62"/>
  <c r="I273" i="62"/>
  <c r="E273" i="62"/>
  <c r="Q272" i="62"/>
  <c r="M272" i="62"/>
  <c r="I272" i="62"/>
  <c r="E272" i="62"/>
  <c r="Q268" i="62"/>
  <c r="M268" i="62"/>
  <c r="I268" i="62"/>
  <c r="E268" i="62"/>
  <c r="Q267" i="62"/>
  <c r="M267" i="62"/>
  <c r="I267" i="62"/>
  <c r="E267" i="62"/>
  <c r="Q266" i="62"/>
  <c r="M266" i="62"/>
  <c r="I266" i="62"/>
  <c r="E266" i="62"/>
  <c r="Q265" i="62"/>
  <c r="M265" i="62"/>
  <c r="I265" i="62"/>
  <c r="E265" i="62"/>
  <c r="Q264" i="62"/>
  <c r="M264" i="62"/>
  <c r="I264" i="62"/>
  <c r="E264" i="62"/>
  <c r="Q263" i="62"/>
  <c r="M263" i="62"/>
  <c r="I263" i="62"/>
  <c r="E263" i="62"/>
  <c r="Q261" i="62"/>
  <c r="M261" i="62"/>
  <c r="I261" i="62"/>
  <c r="E261" i="62"/>
  <c r="Q260" i="62"/>
  <c r="M260" i="62"/>
  <c r="I260" i="62"/>
  <c r="E260" i="62"/>
  <c r="Q259" i="62"/>
  <c r="M259" i="62"/>
  <c r="I259" i="62"/>
  <c r="E259" i="62"/>
  <c r="Q258" i="62"/>
  <c r="M258" i="62"/>
  <c r="I258" i="62"/>
  <c r="Q269" i="62"/>
  <c r="M269" i="62"/>
  <c r="I269" i="62"/>
  <c r="E269" i="62"/>
  <c r="Q256" i="62"/>
  <c r="M256" i="62"/>
  <c r="I256" i="62"/>
  <c r="E256" i="62"/>
  <c r="Q255" i="62"/>
  <c r="M255" i="62"/>
  <c r="I255" i="62"/>
  <c r="E255" i="62"/>
  <c r="Q254" i="62"/>
  <c r="M254" i="62"/>
  <c r="I254" i="62"/>
  <c r="E254" i="62"/>
  <c r="Q252" i="62"/>
  <c r="M252" i="62"/>
  <c r="I252" i="62"/>
  <c r="E252" i="62"/>
  <c r="Q251" i="62"/>
  <c r="M251" i="62"/>
  <c r="I251" i="62"/>
  <c r="E251" i="62"/>
  <c r="Q250" i="62"/>
  <c r="M250" i="62"/>
  <c r="I250" i="62"/>
  <c r="E250" i="62"/>
  <c r="Q249" i="62"/>
  <c r="M249" i="62"/>
  <c r="I249" i="62"/>
  <c r="E249" i="62"/>
  <c r="Q248" i="62"/>
  <c r="M248" i="62"/>
  <c r="I248" i="62"/>
  <c r="E248" i="62"/>
  <c r="Q247" i="62"/>
  <c r="M247" i="62"/>
  <c r="I247" i="62"/>
  <c r="Q246" i="62"/>
  <c r="M246" i="62"/>
  <c r="I246" i="62"/>
  <c r="E246" i="62"/>
  <c r="Q245" i="62"/>
  <c r="M245" i="62"/>
  <c r="I245" i="62"/>
  <c r="E245" i="62"/>
  <c r="Q242" i="62"/>
  <c r="M242" i="62"/>
  <c r="I242" i="62"/>
  <c r="E242" i="62"/>
  <c r="Q241" i="62"/>
  <c r="M241" i="62"/>
  <c r="I241" i="62"/>
  <c r="E241" i="62"/>
  <c r="Q240" i="62"/>
  <c r="M240" i="62"/>
  <c r="I240" i="62"/>
  <c r="E240" i="62"/>
  <c r="Q239" i="62"/>
  <c r="M239" i="62"/>
  <c r="I239" i="62"/>
  <c r="E239" i="62"/>
  <c r="Q238" i="62"/>
  <c r="M238" i="62"/>
  <c r="I238" i="62"/>
  <c r="E238" i="62"/>
  <c r="Q237" i="62"/>
  <c r="M237" i="62"/>
  <c r="I237" i="62"/>
  <c r="E237" i="62"/>
  <c r="Q236" i="62"/>
  <c r="M236" i="62"/>
  <c r="I236" i="62"/>
  <c r="E236" i="62"/>
  <c r="Q235" i="62"/>
  <c r="M235" i="62"/>
  <c r="I235" i="62"/>
  <c r="E235" i="62"/>
  <c r="Q234" i="62"/>
  <c r="M234" i="62"/>
  <c r="I234" i="62"/>
  <c r="E234" i="62"/>
  <c r="Q233" i="62"/>
  <c r="M233" i="62"/>
  <c r="I233" i="62"/>
  <c r="E233" i="62"/>
  <c r="Q232" i="62"/>
  <c r="M232" i="62"/>
  <c r="I232" i="62"/>
  <c r="E232" i="62"/>
  <c r="Q231" i="62"/>
  <c r="M231" i="62"/>
  <c r="I231" i="62"/>
  <c r="E231" i="62"/>
  <c r="Q230" i="62"/>
  <c r="M230" i="62"/>
  <c r="I230" i="62"/>
  <c r="E230" i="62"/>
  <c r="Q229" i="62"/>
  <c r="M229" i="62"/>
  <c r="I229" i="62"/>
  <c r="E229" i="62"/>
  <c r="Q228" i="62"/>
  <c r="M228" i="62"/>
  <c r="I228" i="62"/>
  <c r="E228" i="62"/>
  <c r="Q227" i="62"/>
  <c r="M227" i="62"/>
  <c r="I227" i="62"/>
  <c r="E227" i="62"/>
  <c r="Q226" i="62"/>
  <c r="M226" i="62"/>
  <c r="I226" i="62"/>
  <c r="E226" i="62"/>
  <c r="Q225" i="62"/>
  <c r="M225" i="62"/>
  <c r="I225" i="62"/>
  <c r="E225" i="62"/>
  <c r="Q223" i="62"/>
  <c r="M223" i="62"/>
  <c r="I223" i="62"/>
  <c r="E223" i="62"/>
  <c r="Q222" i="62"/>
  <c r="M222" i="62"/>
  <c r="I222" i="62"/>
  <c r="E222" i="62"/>
  <c r="Q221" i="62"/>
  <c r="M221" i="62"/>
  <c r="I221" i="62"/>
  <c r="E221" i="62"/>
  <c r="Q220" i="62"/>
  <c r="M220" i="62"/>
  <c r="I220" i="62"/>
  <c r="E220" i="62"/>
  <c r="Q219" i="62"/>
  <c r="M219" i="62"/>
  <c r="I219" i="62"/>
  <c r="E219" i="62"/>
  <c r="Q218" i="62"/>
  <c r="M218" i="62"/>
  <c r="I218" i="62"/>
  <c r="E218" i="62"/>
  <c r="Q217" i="62"/>
  <c r="M217" i="62"/>
  <c r="I217" i="62"/>
  <c r="E217" i="62"/>
  <c r="G206" i="62"/>
  <c r="H206" i="62"/>
  <c r="F206" i="62"/>
  <c r="N206" i="62"/>
  <c r="Q204" i="62"/>
  <c r="M204" i="62"/>
  <c r="I204" i="62"/>
  <c r="E204" i="62"/>
  <c r="Q203" i="62"/>
  <c r="M203" i="62"/>
  <c r="I203" i="62"/>
  <c r="E203" i="62"/>
  <c r="Q202" i="62"/>
  <c r="M202" i="62"/>
  <c r="I202" i="62"/>
  <c r="E202" i="62"/>
  <c r="Q200" i="62"/>
  <c r="M200" i="62"/>
  <c r="I200" i="62"/>
  <c r="E200" i="62"/>
  <c r="Q199" i="62"/>
  <c r="M199" i="62"/>
  <c r="I199" i="62"/>
  <c r="E199" i="62"/>
  <c r="Q197" i="62"/>
  <c r="M197" i="62"/>
  <c r="I197" i="62"/>
  <c r="E197" i="62"/>
  <c r="Q195" i="62"/>
  <c r="M195" i="62"/>
  <c r="I195" i="62"/>
  <c r="E195" i="62"/>
  <c r="Q194" i="62"/>
  <c r="M194" i="62"/>
  <c r="I194" i="62"/>
  <c r="E194" i="62"/>
  <c r="Q193" i="62"/>
  <c r="M193" i="62"/>
  <c r="I193" i="62"/>
  <c r="E193" i="62"/>
  <c r="Q192" i="62"/>
  <c r="M192" i="62"/>
  <c r="I192" i="62"/>
  <c r="E192" i="62"/>
  <c r="Q191" i="62"/>
  <c r="M191" i="62"/>
  <c r="I191" i="62"/>
  <c r="E191" i="62"/>
  <c r="Q190" i="62"/>
  <c r="M190" i="62"/>
  <c r="I190" i="62"/>
  <c r="E190" i="62"/>
  <c r="Q189" i="62"/>
  <c r="M189" i="62"/>
  <c r="I189" i="62"/>
  <c r="E189" i="62"/>
  <c r="Q187" i="62"/>
  <c r="M187" i="62"/>
  <c r="I187" i="62"/>
  <c r="E187" i="62"/>
  <c r="Q186" i="62"/>
  <c r="M186" i="62"/>
  <c r="I186" i="62"/>
  <c r="E186" i="62"/>
  <c r="Q185" i="62"/>
  <c r="M185" i="62"/>
  <c r="I185" i="62"/>
  <c r="E185" i="62"/>
  <c r="Q184" i="62"/>
  <c r="M184" i="62"/>
  <c r="I184" i="62"/>
  <c r="E184" i="62"/>
  <c r="Q183" i="62"/>
  <c r="M183" i="62"/>
  <c r="I183" i="62"/>
  <c r="E183" i="62"/>
  <c r="Q182" i="62"/>
  <c r="M182" i="62"/>
  <c r="I182" i="62"/>
  <c r="E182" i="62"/>
  <c r="Q181" i="62"/>
  <c r="M181" i="62"/>
  <c r="I181" i="62"/>
  <c r="E181" i="62"/>
  <c r="Q180" i="62"/>
  <c r="M180" i="62"/>
  <c r="I180" i="62"/>
  <c r="E180" i="62"/>
  <c r="Q179" i="62"/>
  <c r="M179" i="62"/>
  <c r="I179" i="62"/>
  <c r="E179" i="62"/>
  <c r="Q178" i="62"/>
  <c r="M178" i="62"/>
  <c r="I178" i="62"/>
  <c r="E178" i="62"/>
  <c r="Q177" i="62"/>
  <c r="M177" i="62"/>
  <c r="I177" i="62"/>
  <c r="E177" i="62"/>
  <c r="Q176" i="62"/>
  <c r="M176" i="62"/>
  <c r="I176" i="62"/>
  <c r="E176" i="62"/>
  <c r="Q175" i="62"/>
  <c r="M175" i="62"/>
  <c r="I175" i="62"/>
  <c r="E175" i="62"/>
  <c r="Q174" i="62"/>
  <c r="M174" i="62"/>
  <c r="I174" i="62"/>
  <c r="E174" i="62"/>
  <c r="Q173" i="62"/>
  <c r="M173" i="62"/>
  <c r="I173" i="62"/>
  <c r="E173" i="62"/>
  <c r="Q172" i="62"/>
  <c r="M172" i="62"/>
  <c r="I172" i="62"/>
  <c r="E172" i="62"/>
  <c r="Q171" i="62"/>
  <c r="M171" i="62"/>
  <c r="I171" i="62"/>
  <c r="E171" i="62"/>
  <c r="Q170" i="62"/>
  <c r="M170" i="62"/>
  <c r="I170" i="62"/>
  <c r="E170" i="62"/>
  <c r="Q169" i="62"/>
  <c r="M169" i="62"/>
  <c r="I169" i="62"/>
  <c r="E169" i="62"/>
  <c r="Q168" i="62"/>
  <c r="M168" i="62"/>
  <c r="I168" i="62"/>
  <c r="E168" i="62"/>
  <c r="Q167" i="62"/>
  <c r="M167" i="62"/>
  <c r="I167" i="62"/>
  <c r="E167" i="62"/>
  <c r="Q166" i="62"/>
  <c r="M166" i="62"/>
  <c r="I166" i="62"/>
  <c r="E166" i="62"/>
  <c r="Q165" i="62"/>
  <c r="M165" i="62"/>
  <c r="I165" i="62"/>
  <c r="E165" i="62"/>
  <c r="Q163" i="62"/>
  <c r="M163" i="62"/>
  <c r="I163" i="62"/>
  <c r="E163" i="62"/>
  <c r="Q162" i="62"/>
  <c r="M162" i="62"/>
  <c r="I162" i="62"/>
  <c r="E162" i="62"/>
  <c r="Q161" i="62"/>
  <c r="M161" i="62"/>
  <c r="I161" i="62"/>
  <c r="E161" i="62"/>
  <c r="Q160" i="62"/>
  <c r="M160" i="62"/>
  <c r="I160" i="62"/>
  <c r="E160" i="62"/>
  <c r="Q159" i="62"/>
  <c r="M159" i="62"/>
  <c r="I159" i="62"/>
  <c r="E159" i="62"/>
  <c r="Q158" i="62"/>
  <c r="M158" i="62"/>
  <c r="I158" i="62"/>
  <c r="E158" i="62"/>
  <c r="Q157" i="62"/>
  <c r="M157" i="62"/>
  <c r="I157" i="62"/>
  <c r="E157" i="62"/>
  <c r="Q156" i="62"/>
  <c r="M156" i="62"/>
  <c r="I156" i="62"/>
  <c r="E156" i="62"/>
  <c r="Q155" i="62"/>
  <c r="M155" i="62"/>
  <c r="I155" i="62"/>
  <c r="E155" i="62"/>
  <c r="Q154" i="62"/>
  <c r="M154" i="62"/>
  <c r="I154" i="62"/>
  <c r="E154" i="62"/>
  <c r="Q152" i="62"/>
  <c r="M152" i="62"/>
  <c r="I152" i="62"/>
  <c r="E152" i="62"/>
  <c r="Q151" i="62"/>
  <c r="M151" i="62"/>
  <c r="I151" i="62"/>
  <c r="E151" i="62"/>
  <c r="Q150" i="62"/>
  <c r="M150" i="62"/>
  <c r="I150" i="62"/>
  <c r="E150" i="62"/>
  <c r="Q149" i="62"/>
  <c r="M149" i="62"/>
  <c r="I149" i="62"/>
  <c r="E149" i="62"/>
  <c r="Q148" i="62"/>
  <c r="M148" i="62"/>
  <c r="I148" i="62"/>
  <c r="E148" i="62"/>
  <c r="Q147" i="62"/>
  <c r="M147" i="62"/>
  <c r="I147" i="62"/>
  <c r="E147" i="62"/>
  <c r="Q146" i="62"/>
  <c r="M146" i="62"/>
  <c r="I146" i="62"/>
  <c r="E146" i="62"/>
  <c r="Q145" i="62"/>
  <c r="M145" i="62"/>
  <c r="I145" i="62"/>
  <c r="E145" i="62"/>
  <c r="Q144" i="62"/>
  <c r="M144" i="62"/>
  <c r="I144" i="62"/>
  <c r="E144" i="62"/>
  <c r="Q143" i="62"/>
  <c r="M143" i="62"/>
  <c r="I143" i="62"/>
  <c r="E143" i="62"/>
  <c r="Q142" i="62"/>
  <c r="M142" i="62"/>
  <c r="I142" i="62"/>
  <c r="E142" i="62"/>
  <c r="Q141" i="62"/>
  <c r="M141" i="62"/>
  <c r="I141" i="62"/>
  <c r="E141" i="62"/>
  <c r="Q140" i="62"/>
  <c r="M140" i="62"/>
  <c r="I140" i="62"/>
  <c r="E140" i="62"/>
  <c r="Q139" i="62"/>
  <c r="I139" i="62"/>
  <c r="E139" i="62"/>
  <c r="Q122" i="62"/>
  <c r="M122" i="62"/>
  <c r="I122" i="62"/>
  <c r="E122" i="62"/>
  <c r="Q94" i="62"/>
  <c r="M94" i="62"/>
  <c r="I94" i="62"/>
  <c r="E94" i="62"/>
  <c r="Q93" i="62"/>
  <c r="M93" i="62"/>
  <c r="I93" i="62"/>
  <c r="E93" i="62"/>
  <c r="Q87" i="62"/>
  <c r="M87" i="62"/>
  <c r="I87" i="62"/>
  <c r="E87" i="62"/>
  <c r="Q79" i="62"/>
  <c r="M79" i="62"/>
  <c r="I79" i="62"/>
  <c r="E79" i="62"/>
  <c r="Q75" i="62"/>
  <c r="M75" i="62"/>
  <c r="I75" i="62"/>
  <c r="E75" i="62"/>
  <c r="R486" i="62" l="1"/>
  <c r="R384" i="62"/>
  <c r="R258" i="62"/>
  <c r="E247" i="62"/>
  <c r="R247" i="62" s="1"/>
  <c r="E332" i="62"/>
  <c r="E410" i="62"/>
  <c r="M332" i="62"/>
  <c r="I332" i="62"/>
  <c r="I395" i="62"/>
  <c r="R87" i="62"/>
  <c r="R93" i="62"/>
  <c r="R94" i="62"/>
  <c r="R190" i="62"/>
  <c r="R202" i="62"/>
  <c r="R203" i="62"/>
  <c r="R204" i="62"/>
  <c r="R217" i="62"/>
  <c r="R218" i="62"/>
  <c r="R219" i="62"/>
  <c r="R220" i="62"/>
  <c r="R221" i="62"/>
  <c r="R222" i="62"/>
  <c r="R223" i="62"/>
  <c r="R225" i="62"/>
  <c r="R226" i="62"/>
  <c r="R227" i="62"/>
  <c r="R228" i="62"/>
  <c r="R229" i="62"/>
  <c r="R230" i="62"/>
  <c r="R231" i="62"/>
  <c r="R232" i="62"/>
  <c r="R233" i="62"/>
  <c r="R234" i="62"/>
  <c r="R235" i="62"/>
  <c r="R236" i="62"/>
  <c r="R237" i="62"/>
  <c r="R238" i="62"/>
  <c r="R239" i="62"/>
  <c r="R240" i="62"/>
  <c r="R241" i="62"/>
  <c r="R242" i="62"/>
  <c r="R245" i="62"/>
  <c r="R246" i="62"/>
  <c r="R261" i="62"/>
  <c r="R260" i="62"/>
  <c r="R350" i="62"/>
  <c r="R797" i="62"/>
  <c r="R263" i="62"/>
  <c r="R264" i="62"/>
  <c r="R265" i="62"/>
  <c r="R266" i="62"/>
  <c r="R267" i="62"/>
  <c r="R268" i="62"/>
  <c r="R272" i="62"/>
  <c r="R273" i="62"/>
  <c r="R274" i="62"/>
  <c r="R275" i="62"/>
  <c r="R276" i="62"/>
  <c r="R277" i="62"/>
  <c r="R281" i="62"/>
  <c r="R282" i="62"/>
  <c r="R283" i="62"/>
  <c r="R285" i="62"/>
  <c r="R286" i="62"/>
  <c r="R287" i="62"/>
  <c r="R288" i="62"/>
  <c r="R289" i="62"/>
  <c r="R290" i="62"/>
  <c r="R291" i="62"/>
  <c r="R292" i="62"/>
  <c r="R296" i="62"/>
  <c r="R419" i="62"/>
  <c r="R497" i="62"/>
  <c r="R503" i="62"/>
  <c r="R510" i="62"/>
  <c r="R511" i="62"/>
  <c r="R527" i="62"/>
  <c r="R528" i="62"/>
  <c r="R529" i="62"/>
  <c r="R530" i="62"/>
  <c r="R531" i="62"/>
  <c r="R538" i="62"/>
  <c r="R551" i="62"/>
  <c r="R639" i="62"/>
  <c r="R640" i="62"/>
  <c r="R641" i="62"/>
  <c r="R122" i="62"/>
  <c r="R257" i="62"/>
  <c r="R259" i="62"/>
  <c r="R381" i="62"/>
  <c r="R382" i="62"/>
  <c r="R383" i="62"/>
  <c r="R385" i="62"/>
  <c r="R386" i="62"/>
  <c r="R389" i="62"/>
  <c r="R418" i="62"/>
  <c r="R270" i="62"/>
  <c r="R420" i="62"/>
  <c r="R248" i="62"/>
  <c r="R249" i="62"/>
  <c r="R250" i="62"/>
  <c r="R251" i="62"/>
  <c r="R252" i="62"/>
  <c r="R254" i="62"/>
  <c r="R255" i="62"/>
  <c r="R256" i="62"/>
  <c r="R269" i="62"/>
  <c r="R388" i="62"/>
  <c r="R294" i="62"/>
  <c r="R139" i="62"/>
  <c r="R140" i="62"/>
  <c r="R141" i="62"/>
  <c r="R142" i="62"/>
  <c r="R143" i="62"/>
  <c r="R144" i="62"/>
  <c r="R145" i="62"/>
  <c r="R146" i="62"/>
  <c r="R147" i="62"/>
  <c r="R148" i="62"/>
  <c r="R149" i="62"/>
  <c r="R150" i="62"/>
  <c r="R151" i="62"/>
  <c r="R152" i="62"/>
  <c r="R154" i="62"/>
  <c r="R155" i="62"/>
  <c r="R156" i="62"/>
  <c r="R157" i="62"/>
  <c r="R158" i="62"/>
  <c r="R159" i="62"/>
  <c r="R160" i="62"/>
  <c r="R161" i="62"/>
  <c r="R162" i="62"/>
  <c r="R163" i="62"/>
  <c r="R165" i="62"/>
  <c r="R166" i="62"/>
  <c r="R167" i="62"/>
  <c r="R168" i="62"/>
  <c r="R169" i="62"/>
  <c r="R170" i="62"/>
  <c r="R171" i="62"/>
  <c r="R172" i="62"/>
  <c r="R173" i="62"/>
  <c r="R174" i="62"/>
  <c r="R175" i="62"/>
  <c r="R176" i="62"/>
  <c r="R177" i="62"/>
  <c r="R178" i="62"/>
  <c r="R179" i="62"/>
  <c r="R180" i="62"/>
  <c r="R181" i="62"/>
  <c r="R182" i="62"/>
  <c r="R183" i="62"/>
  <c r="R184" i="62"/>
  <c r="R185" i="62"/>
  <c r="R186" i="62"/>
  <c r="R187" i="62"/>
  <c r="R189" i="62"/>
  <c r="R191" i="62"/>
  <c r="R192" i="62"/>
  <c r="R193" i="62"/>
  <c r="R194" i="62"/>
  <c r="R195" i="62"/>
  <c r="R197" i="62"/>
  <c r="R199" i="62"/>
  <c r="R200" i="62"/>
  <c r="R334" i="62"/>
  <c r="R300" i="62"/>
  <c r="R75" i="62"/>
  <c r="R79" i="62"/>
  <c r="S538" i="62" l="1"/>
  <c r="T286" i="62"/>
  <c r="E305" i="62"/>
  <c r="Q305" i="62"/>
  <c r="M305" i="62"/>
  <c r="I305" i="62"/>
  <c r="R305" i="62" l="1"/>
  <c r="K181" i="61"/>
  <c r="Q332" i="61"/>
  <c r="M332" i="61"/>
  <c r="I332" i="61"/>
  <c r="E332" i="61"/>
  <c r="R332" i="61" l="1"/>
  <c r="L156" i="61"/>
  <c r="J156" i="61"/>
  <c r="J139" i="61" l="1"/>
  <c r="L176" i="61" l="1"/>
  <c r="K176" i="61"/>
  <c r="J176" i="61"/>
  <c r="L173" i="61" l="1"/>
  <c r="K173" i="61"/>
  <c r="J173" i="61"/>
  <c r="L152" i="61" l="1"/>
  <c r="C89" i="62" l="1"/>
  <c r="N17" i="61" l="1"/>
  <c r="C318" i="62" l="1"/>
  <c r="H373" i="61" l="1"/>
  <c r="G373" i="61"/>
  <c r="D373" i="61"/>
  <c r="H247" i="61" l="1"/>
  <c r="H181" i="61"/>
  <c r="G181" i="61"/>
  <c r="F181" i="61"/>
  <c r="N177" i="61" l="1"/>
  <c r="H176" i="61"/>
  <c r="G176" i="61"/>
  <c r="J394" i="61"/>
  <c r="H394" i="61"/>
  <c r="G394" i="61"/>
  <c r="F394" i="61"/>
  <c r="H139" i="61"/>
  <c r="G139" i="61"/>
  <c r="F139" i="61"/>
  <c r="H321" i="61" l="1"/>
  <c r="H173" i="61" l="1"/>
  <c r="G173" i="61"/>
  <c r="O937" i="61" l="1"/>
  <c r="O938" i="61"/>
  <c r="O939" i="61"/>
  <c r="O940" i="61"/>
  <c r="O941" i="61"/>
  <c r="O942" i="61"/>
  <c r="O943" i="61"/>
  <c r="O944" i="61"/>
  <c r="O945" i="61"/>
  <c r="O946" i="61"/>
  <c r="O947" i="61"/>
  <c r="O936" i="61"/>
  <c r="Q936" i="61" l="1"/>
  <c r="R936" i="61" s="1"/>
  <c r="Q944" i="61"/>
  <c r="R944" i="61" s="1"/>
  <c r="Q940" i="61"/>
  <c r="R940" i="61" s="1"/>
  <c r="Q947" i="61"/>
  <c r="R947" i="61" s="1"/>
  <c r="Q943" i="61"/>
  <c r="R943" i="61" s="1"/>
  <c r="Q939" i="61"/>
  <c r="R939" i="61" s="1"/>
  <c r="Q946" i="61"/>
  <c r="R946" i="61" s="1"/>
  <c r="Q942" i="61"/>
  <c r="R942" i="61" s="1"/>
  <c r="Q938" i="61"/>
  <c r="R938" i="61" s="1"/>
  <c r="Q945" i="61"/>
  <c r="R945" i="61" s="1"/>
  <c r="Q941" i="61"/>
  <c r="R941" i="61" s="1"/>
  <c r="Q937" i="61"/>
  <c r="R937" i="61" s="1"/>
  <c r="F176" i="61"/>
  <c r="F173" i="61"/>
  <c r="R949" i="61" l="1"/>
  <c r="Q949" i="61"/>
  <c r="C373" i="61" l="1"/>
  <c r="B373" i="61"/>
  <c r="D181" i="61" l="1"/>
  <c r="C181" i="61"/>
  <c r="B181" i="61"/>
  <c r="C176" i="61" l="1"/>
  <c r="B176" i="61"/>
  <c r="D176" i="61"/>
  <c r="C173" i="61" l="1"/>
  <c r="B173" i="61"/>
  <c r="Q406" i="61"/>
  <c r="M406" i="61"/>
  <c r="I406" i="61"/>
  <c r="E406" i="61"/>
  <c r="R406" i="61" l="1"/>
  <c r="P276" i="53" l="1"/>
  <c r="O276" i="53"/>
  <c r="P786" i="53" l="1"/>
  <c r="Q548" i="53"/>
  <c r="M548" i="53"/>
  <c r="I548" i="53"/>
  <c r="E548" i="53"/>
  <c r="N294" i="53"/>
  <c r="R548" i="53" l="1"/>
  <c r="P845" i="62" l="1"/>
  <c r="K845" i="62"/>
  <c r="F845" i="62"/>
  <c r="B845" i="62"/>
  <c r="P844" i="62"/>
  <c r="O844" i="62"/>
  <c r="N844" i="62"/>
  <c r="K844" i="62"/>
  <c r="L844" i="62"/>
  <c r="J844" i="62"/>
  <c r="H844" i="62"/>
  <c r="G844" i="62"/>
  <c r="F844" i="62"/>
  <c r="C844" i="62"/>
  <c r="B844" i="62"/>
  <c r="O845" i="62"/>
  <c r="N845" i="62"/>
  <c r="L845" i="62"/>
  <c r="J845" i="62"/>
  <c r="H845" i="62"/>
  <c r="G845" i="62"/>
  <c r="C845" i="62"/>
  <c r="D844" i="62"/>
  <c r="H318" i="62" l="1"/>
  <c r="J318" i="62"/>
  <c r="E704" i="62"/>
  <c r="P792" i="61" l="1"/>
  <c r="H792" i="61"/>
  <c r="F792" i="61"/>
  <c r="D792" i="61"/>
  <c r="K792" i="61"/>
  <c r="J792" i="61"/>
  <c r="N792" i="61"/>
  <c r="M303" i="62"/>
  <c r="I303" i="62"/>
  <c r="E303" i="62"/>
  <c r="B833" i="62" l="1"/>
  <c r="E599" i="62" l="1"/>
  <c r="M754" i="62"/>
  <c r="I754" i="62"/>
  <c r="E754" i="62"/>
  <c r="M779" i="62" l="1"/>
  <c r="I779" i="62"/>
  <c r="E779" i="62"/>
  <c r="Q768" i="62"/>
  <c r="R768" i="62" l="1"/>
  <c r="O1112" i="62" l="1"/>
  <c r="K1112" i="62"/>
  <c r="Q1109" i="62"/>
  <c r="M1109" i="62"/>
  <c r="G1109" i="62"/>
  <c r="I1109" i="62" s="1"/>
  <c r="Q1108" i="62"/>
  <c r="M1108" i="62"/>
  <c r="G1108" i="62"/>
  <c r="I1108" i="62" s="1"/>
  <c r="Q1107" i="62"/>
  <c r="M1107" i="62"/>
  <c r="G1107" i="62"/>
  <c r="I1107" i="62" s="1"/>
  <c r="J1109" i="62" s="1"/>
  <c r="Q1106" i="62"/>
  <c r="M1106" i="62"/>
  <c r="G1106" i="62"/>
  <c r="I1106" i="62" s="1"/>
  <c r="Q1105" i="62"/>
  <c r="M1105" i="62"/>
  <c r="G1105" i="62"/>
  <c r="I1105" i="62" s="1"/>
  <c r="Q1104" i="62"/>
  <c r="M1104" i="62"/>
  <c r="G1104" i="62"/>
  <c r="I1104" i="62" s="1"/>
  <c r="J1106" i="62" s="1"/>
  <c r="Q1103" i="62"/>
  <c r="M1103" i="62"/>
  <c r="G1103" i="62"/>
  <c r="I1103" i="62" s="1"/>
  <c r="Q1102" i="62"/>
  <c r="M1102" i="62"/>
  <c r="G1102" i="62"/>
  <c r="I1102" i="62" s="1"/>
  <c r="Q1101" i="62"/>
  <c r="M1101" i="62"/>
  <c r="G1101" i="62"/>
  <c r="I1101" i="62" s="1"/>
  <c r="J1103" i="62" s="1"/>
  <c r="Q1100" i="62"/>
  <c r="M1100" i="62"/>
  <c r="G1100" i="62"/>
  <c r="I1100" i="62" s="1"/>
  <c r="Q1099" i="62"/>
  <c r="M1099" i="62"/>
  <c r="G1099" i="62"/>
  <c r="I1099" i="62" s="1"/>
  <c r="Q1098" i="62"/>
  <c r="M1098" i="62"/>
  <c r="I1098" i="62"/>
  <c r="G1092" i="62"/>
  <c r="O1091" i="62"/>
  <c r="K1091" i="62"/>
  <c r="C1091" i="62"/>
  <c r="I1088" i="62"/>
  <c r="J1085" i="62"/>
  <c r="Q1084" i="62"/>
  <c r="P1060" i="62"/>
  <c r="O1060" i="62" s="1"/>
  <c r="C1033" i="62"/>
  <c r="P1059" i="62"/>
  <c r="O1059" i="62" s="1"/>
  <c r="C1032" i="62"/>
  <c r="B1032" i="62"/>
  <c r="P1058" i="62"/>
  <c r="O1058" i="62" s="1"/>
  <c r="C1031" i="62"/>
  <c r="B1031" i="62"/>
  <c r="P1057" i="62"/>
  <c r="O1057" i="62" s="1"/>
  <c r="C1030" i="62"/>
  <c r="B1030" i="62"/>
  <c r="P1056" i="62"/>
  <c r="O1056" i="62" s="1"/>
  <c r="D1029" i="62"/>
  <c r="B1029" i="62"/>
  <c r="P1055" i="62"/>
  <c r="O1055" i="62" s="1"/>
  <c r="D1028" i="62"/>
  <c r="B1028" i="62"/>
  <c r="P1054" i="62"/>
  <c r="O1054" i="62" s="1"/>
  <c r="D1027" i="62"/>
  <c r="B1027" i="62"/>
  <c r="P1053" i="62"/>
  <c r="O1053" i="62" s="1"/>
  <c r="C1026" i="62"/>
  <c r="B1026" i="62"/>
  <c r="P1052" i="62"/>
  <c r="O1052" i="62" s="1"/>
  <c r="C1025" i="62"/>
  <c r="B1025" i="62"/>
  <c r="P1051" i="62"/>
  <c r="O1051" i="62" s="1"/>
  <c r="C1024" i="62"/>
  <c r="B1024" i="62"/>
  <c r="P1050" i="62"/>
  <c r="O1050" i="62" s="1"/>
  <c r="B1043" i="62"/>
  <c r="B1040" i="62"/>
  <c r="Q1039" i="62"/>
  <c r="B1018" i="62"/>
  <c r="B1015" i="62"/>
  <c r="Q1014" i="62"/>
  <c r="L983" i="62"/>
  <c r="K983" i="62"/>
  <c r="I983" i="62"/>
  <c r="H983" i="62"/>
  <c r="J981" i="62"/>
  <c r="J980" i="62"/>
  <c r="J979" i="62"/>
  <c r="J978" i="62"/>
  <c r="J977" i="62"/>
  <c r="J976" i="62"/>
  <c r="AR975" i="62"/>
  <c r="AQ975" i="62"/>
  <c r="AP975" i="62"/>
  <c r="AO975" i="62"/>
  <c r="AN975" i="62"/>
  <c r="AM975" i="62"/>
  <c r="AL975" i="62"/>
  <c r="AK975" i="62"/>
  <c r="AJ975" i="62"/>
  <c r="AI975" i="62"/>
  <c r="AH975" i="62"/>
  <c r="AG975" i="62"/>
  <c r="AF975" i="62"/>
  <c r="AE975" i="62"/>
  <c r="AD975" i="62"/>
  <c r="J975" i="62"/>
  <c r="J974" i="62"/>
  <c r="J973" i="62"/>
  <c r="J972" i="62"/>
  <c r="J971" i="62"/>
  <c r="J970" i="62"/>
  <c r="AD965" i="62"/>
  <c r="AD962" i="62"/>
  <c r="B962" i="62"/>
  <c r="AR961" i="62"/>
  <c r="B961" i="62"/>
  <c r="Q960" i="62"/>
  <c r="AR940" i="62"/>
  <c r="AQ940" i="62"/>
  <c r="AP940" i="62"/>
  <c r="AO940" i="62"/>
  <c r="AN940" i="62"/>
  <c r="AM940" i="62"/>
  <c r="AL940" i="62"/>
  <c r="AK940" i="62"/>
  <c r="AJ940" i="62"/>
  <c r="AI940" i="62"/>
  <c r="AH940" i="62"/>
  <c r="AG940" i="62"/>
  <c r="AF940" i="62"/>
  <c r="AE940" i="62"/>
  <c r="AD940" i="62"/>
  <c r="B935" i="62"/>
  <c r="B932" i="62"/>
  <c r="Q931" i="62"/>
  <c r="AD930" i="62"/>
  <c r="AD927" i="62"/>
  <c r="AR926" i="62"/>
  <c r="AR909" i="62"/>
  <c r="AQ909" i="62"/>
  <c r="AP909" i="62"/>
  <c r="AO909" i="62"/>
  <c r="AG909" i="62"/>
  <c r="AF909" i="62"/>
  <c r="AE909" i="62"/>
  <c r="AD909" i="62"/>
  <c r="B909" i="62"/>
  <c r="B906" i="62"/>
  <c r="Q905" i="62"/>
  <c r="AR904" i="62"/>
  <c r="AG904" i="62"/>
  <c r="AS901" i="62"/>
  <c r="AH901" i="62"/>
  <c r="AS899" i="62"/>
  <c r="G896" i="62"/>
  <c r="F896" i="62"/>
  <c r="AD887" i="62" s="1"/>
  <c r="AO887" i="62" s="1"/>
  <c r="G895" i="62"/>
  <c r="F895" i="62"/>
  <c r="G894" i="62"/>
  <c r="F894" i="62"/>
  <c r="AD885" i="62" s="1"/>
  <c r="AO885" i="62" s="1"/>
  <c r="G893" i="62"/>
  <c r="G892" i="62"/>
  <c r="F892" i="62"/>
  <c r="G891" i="62"/>
  <c r="F891" i="62"/>
  <c r="AD882" i="62" s="1"/>
  <c r="G890" i="62"/>
  <c r="F890" i="62"/>
  <c r="G889" i="62"/>
  <c r="F889" i="62"/>
  <c r="AD880" i="62" s="1"/>
  <c r="G888" i="62"/>
  <c r="F888" i="62"/>
  <c r="G887" i="62"/>
  <c r="F887" i="62"/>
  <c r="G886" i="62"/>
  <c r="G885" i="62"/>
  <c r="F885" i="62"/>
  <c r="B880" i="62"/>
  <c r="B877" i="62"/>
  <c r="Q876" i="62"/>
  <c r="AF868" i="62"/>
  <c r="AS867" i="62"/>
  <c r="AN867" i="62"/>
  <c r="A858" i="62"/>
  <c r="A856" i="62"/>
  <c r="Q852" i="62"/>
  <c r="P846" i="62"/>
  <c r="O846" i="62"/>
  <c r="N846" i="62"/>
  <c r="L846" i="62"/>
  <c r="K846" i="62"/>
  <c r="J846" i="62"/>
  <c r="H846" i="62"/>
  <c r="G846" i="62"/>
  <c r="F846" i="62"/>
  <c r="D846" i="62"/>
  <c r="C846" i="62"/>
  <c r="B846" i="62"/>
  <c r="D845" i="62"/>
  <c r="P843" i="62"/>
  <c r="O843" i="62"/>
  <c r="N843" i="62"/>
  <c r="L843" i="62"/>
  <c r="K843" i="62"/>
  <c r="J843" i="62"/>
  <c r="H843" i="62"/>
  <c r="G843" i="62"/>
  <c r="F843" i="62"/>
  <c r="D843" i="62"/>
  <c r="C843" i="62"/>
  <c r="B843" i="62"/>
  <c r="P842" i="62"/>
  <c r="O842" i="62"/>
  <c r="N842" i="62"/>
  <c r="L842" i="62"/>
  <c r="K842" i="62"/>
  <c r="J842" i="62"/>
  <c r="H842" i="62"/>
  <c r="G842" i="62"/>
  <c r="F842" i="62"/>
  <c r="D842" i="62"/>
  <c r="C842" i="62"/>
  <c r="B842" i="62"/>
  <c r="P841" i="62"/>
  <c r="O841" i="62"/>
  <c r="N841" i="62"/>
  <c r="L841" i="62"/>
  <c r="K841" i="62"/>
  <c r="J841" i="62"/>
  <c r="H841" i="62"/>
  <c r="G841" i="62"/>
  <c r="F841" i="62"/>
  <c r="D841" i="62"/>
  <c r="C841" i="62"/>
  <c r="B841" i="62"/>
  <c r="P838" i="62"/>
  <c r="O838" i="62"/>
  <c r="P837" i="62"/>
  <c r="O837" i="62"/>
  <c r="P834" i="62"/>
  <c r="O834" i="62"/>
  <c r="N834" i="62"/>
  <c r="L834" i="62"/>
  <c r="K834" i="62"/>
  <c r="J834" i="62"/>
  <c r="H834" i="62"/>
  <c r="G834" i="62"/>
  <c r="F834" i="62"/>
  <c r="D834" i="62"/>
  <c r="C834" i="62"/>
  <c r="B834" i="62"/>
  <c r="P833" i="62"/>
  <c r="O833" i="62"/>
  <c r="N833" i="62"/>
  <c r="L833" i="62"/>
  <c r="K833" i="62"/>
  <c r="G833" i="62"/>
  <c r="F833" i="62"/>
  <c r="D833" i="62"/>
  <c r="C833" i="62"/>
  <c r="P832" i="62"/>
  <c r="O832" i="62"/>
  <c r="N832" i="62"/>
  <c r="L832" i="62"/>
  <c r="K832" i="62"/>
  <c r="J832" i="62"/>
  <c r="H832" i="62"/>
  <c r="G832" i="62"/>
  <c r="F832" i="62"/>
  <c r="D832" i="62"/>
  <c r="C832" i="62"/>
  <c r="B832" i="62"/>
  <c r="P829" i="62"/>
  <c r="O829" i="62"/>
  <c r="N829" i="62"/>
  <c r="L829" i="62"/>
  <c r="K829" i="62"/>
  <c r="J829" i="62"/>
  <c r="H829" i="62"/>
  <c r="G829" i="62"/>
  <c r="F829" i="62"/>
  <c r="D829" i="62"/>
  <c r="C829" i="62"/>
  <c r="B829" i="62"/>
  <c r="O828" i="62"/>
  <c r="N828" i="62"/>
  <c r="L828" i="62"/>
  <c r="K828" i="62"/>
  <c r="J828" i="62"/>
  <c r="H828" i="62"/>
  <c r="G828" i="62"/>
  <c r="F828" i="62"/>
  <c r="D828" i="62"/>
  <c r="C828" i="62"/>
  <c r="B828" i="62"/>
  <c r="P827" i="62"/>
  <c r="O827" i="62"/>
  <c r="N827" i="62"/>
  <c r="L827" i="62"/>
  <c r="K827" i="62"/>
  <c r="J827" i="62"/>
  <c r="H827" i="62"/>
  <c r="G827" i="62"/>
  <c r="F827" i="62"/>
  <c r="D827" i="62"/>
  <c r="C827" i="62"/>
  <c r="B827" i="62"/>
  <c r="P826" i="62"/>
  <c r="O826" i="62"/>
  <c r="K826" i="62"/>
  <c r="H826" i="62"/>
  <c r="G826" i="62"/>
  <c r="D826" i="62"/>
  <c r="C826" i="62"/>
  <c r="B826" i="62"/>
  <c r="P825" i="62"/>
  <c r="O825" i="62"/>
  <c r="N825" i="62"/>
  <c r="L825" i="62"/>
  <c r="K825" i="62"/>
  <c r="J825" i="62"/>
  <c r="H825" i="62"/>
  <c r="G825" i="62"/>
  <c r="F825" i="62"/>
  <c r="D825" i="62"/>
  <c r="C825" i="62"/>
  <c r="B825" i="62"/>
  <c r="A817" i="62"/>
  <c r="A815" i="62"/>
  <c r="Q811" i="62"/>
  <c r="Q804" i="62"/>
  <c r="M804" i="62"/>
  <c r="I804" i="62"/>
  <c r="E804" i="62"/>
  <c r="P802" i="62"/>
  <c r="O802" i="62"/>
  <c r="N802" i="62"/>
  <c r="L802" i="62"/>
  <c r="K802" i="62"/>
  <c r="J802" i="62"/>
  <c r="H802" i="62"/>
  <c r="G802" i="62"/>
  <c r="F802" i="62"/>
  <c r="D802" i="62"/>
  <c r="C802" i="62"/>
  <c r="B802" i="62"/>
  <c r="P801" i="62"/>
  <c r="O801" i="62"/>
  <c r="N801" i="62"/>
  <c r="L801" i="62"/>
  <c r="K801" i="62"/>
  <c r="J801" i="62"/>
  <c r="H801" i="62"/>
  <c r="G801" i="62"/>
  <c r="F801" i="62"/>
  <c r="D801" i="62"/>
  <c r="C801" i="62"/>
  <c r="B801" i="62"/>
  <c r="Q798" i="62"/>
  <c r="M798" i="62"/>
  <c r="I798" i="62"/>
  <c r="E798" i="62"/>
  <c r="Q795" i="62"/>
  <c r="M795" i="62"/>
  <c r="I795" i="62"/>
  <c r="E795" i="62"/>
  <c r="Q794" i="62"/>
  <c r="M794" i="62"/>
  <c r="I794" i="62"/>
  <c r="E794" i="62"/>
  <c r="P791" i="62"/>
  <c r="O791" i="62"/>
  <c r="N791" i="62"/>
  <c r="L791" i="62"/>
  <c r="K791" i="62"/>
  <c r="J791" i="62"/>
  <c r="H791" i="62"/>
  <c r="G791" i="62"/>
  <c r="F791" i="62"/>
  <c r="D791" i="62"/>
  <c r="C791" i="62"/>
  <c r="B791" i="62"/>
  <c r="Q790" i="62"/>
  <c r="Q789" i="62"/>
  <c r="Q788" i="62"/>
  <c r="Q787" i="62"/>
  <c r="Q785" i="62"/>
  <c r="Q784" i="62"/>
  <c r="P781" i="62"/>
  <c r="O781" i="62"/>
  <c r="N781" i="62"/>
  <c r="L781" i="62"/>
  <c r="K781" i="62"/>
  <c r="J781" i="62"/>
  <c r="H781" i="62"/>
  <c r="G781" i="62"/>
  <c r="F781" i="62"/>
  <c r="D781" i="62"/>
  <c r="C781" i="62"/>
  <c r="B781" i="62"/>
  <c r="Q779" i="62"/>
  <c r="P776" i="62"/>
  <c r="O776" i="62"/>
  <c r="N776" i="62"/>
  <c r="L776" i="62"/>
  <c r="K776" i="62"/>
  <c r="J776" i="62"/>
  <c r="H776" i="62"/>
  <c r="G776" i="62"/>
  <c r="F776" i="62"/>
  <c r="D776" i="62"/>
  <c r="C776" i="62"/>
  <c r="B776" i="62"/>
  <c r="Q774" i="62"/>
  <c r="Q771" i="62"/>
  <c r="Q770" i="62"/>
  <c r="Q769" i="62"/>
  <c r="Q767" i="62"/>
  <c r="Q755" i="62"/>
  <c r="M755" i="62"/>
  <c r="I755" i="62"/>
  <c r="E755" i="62"/>
  <c r="Q754" i="62"/>
  <c r="P752" i="62"/>
  <c r="O752" i="62"/>
  <c r="N752" i="62"/>
  <c r="L752" i="62"/>
  <c r="K752" i="62"/>
  <c r="J752" i="62"/>
  <c r="H752" i="62"/>
  <c r="G752" i="62"/>
  <c r="F752" i="62"/>
  <c r="D752" i="62"/>
  <c r="C752" i="62"/>
  <c r="B752" i="62"/>
  <c r="P751" i="62"/>
  <c r="O751" i="62"/>
  <c r="N751" i="62"/>
  <c r="L751" i="62"/>
  <c r="K751" i="62"/>
  <c r="J751" i="62"/>
  <c r="H751" i="62"/>
  <c r="G751" i="62"/>
  <c r="F751" i="62"/>
  <c r="D751" i="62"/>
  <c r="C751" i="62"/>
  <c r="B751" i="62"/>
  <c r="P745" i="62"/>
  <c r="O745" i="62"/>
  <c r="N745" i="62"/>
  <c r="L745" i="62"/>
  <c r="K745" i="62"/>
  <c r="J745" i="62"/>
  <c r="H745" i="62"/>
  <c r="G745" i="62"/>
  <c r="F745" i="62"/>
  <c r="D745" i="62"/>
  <c r="C745" i="62"/>
  <c r="B745" i="62"/>
  <c r="P741" i="62"/>
  <c r="O741" i="62"/>
  <c r="N741" i="62"/>
  <c r="L741" i="62"/>
  <c r="K741" i="62"/>
  <c r="J741" i="62"/>
  <c r="H741" i="62"/>
  <c r="G741" i="62"/>
  <c r="F741" i="62"/>
  <c r="D741" i="62"/>
  <c r="C741" i="62"/>
  <c r="B741" i="62"/>
  <c r="P737" i="62"/>
  <c r="O737" i="62"/>
  <c r="N737" i="62"/>
  <c r="L737" i="62"/>
  <c r="K737" i="62"/>
  <c r="J737" i="62"/>
  <c r="H737" i="62"/>
  <c r="G737" i="62"/>
  <c r="F737" i="62"/>
  <c r="D737" i="62"/>
  <c r="C737" i="62"/>
  <c r="B737" i="62"/>
  <c r="Q733" i="62"/>
  <c r="M733" i="62"/>
  <c r="I733" i="62"/>
  <c r="E733" i="62"/>
  <c r="P723" i="62"/>
  <c r="O723" i="62"/>
  <c r="N723" i="62"/>
  <c r="L723" i="62"/>
  <c r="K723" i="62"/>
  <c r="J723" i="62"/>
  <c r="H723" i="62"/>
  <c r="G723" i="62"/>
  <c r="F723" i="62"/>
  <c r="D723" i="62"/>
  <c r="C723" i="62"/>
  <c r="B723" i="62"/>
  <c r="Q721" i="62"/>
  <c r="M721" i="62"/>
  <c r="I721" i="62"/>
  <c r="E721" i="62"/>
  <c r="Q711" i="62"/>
  <c r="M711" i="62"/>
  <c r="I711" i="62"/>
  <c r="E711" i="62"/>
  <c r="P709" i="62"/>
  <c r="O709" i="62"/>
  <c r="N709" i="62"/>
  <c r="L709" i="62"/>
  <c r="K709" i="62"/>
  <c r="J709" i="62"/>
  <c r="H709" i="62"/>
  <c r="G709" i="62"/>
  <c r="F709" i="62"/>
  <c r="D709" i="62"/>
  <c r="C709" i="62"/>
  <c r="B709" i="62"/>
  <c r="P708" i="62"/>
  <c r="O708" i="62"/>
  <c r="N708" i="62"/>
  <c r="L708" i="62"/>
  <c r="K708" i="62"/>
  <c r="J708" i="62"/>
  <c r="H708" i="62"/>
  <c r="G708" i="62"/>
  <c r="F708" i="62"/>
  <c r="D708" i="62"/>
  <c r="C708" i="62"/>
  <c r="B708" i="62"/>
  <c r="Q705" i="62"/>
  <c r="M705" i="62"/>
  <c r="I705" i="62"/>
  <c r="E705" i="62"/>
  <c r="Q704" i="62"/>
  <c r="M704" i="62"/>
  <c r="I704" i="62"/>
  <c r="Q703" i="62"/>
  <c r="M703" i="62"/>
  <c r="I703" i="62"/>
  <c r="E703" i="62"/>
  <c r="Q702" i="62"/>
  <c r="M702" i="62"/>
  <c r="I702" i="62"/>
  <c r="E702" i="62"/>
  <c r="P698" i="62"/>
  <c r="O698" i="62"/>
  <c r="N698" i="62"/>
  <c r="L698" i="62"/>
  <c r="K698" i="62"/>
  <c r="J698" i="62"/>
  <c r="H698" i="62"/>
  <c r="G698" i="62"/>
  <c r="F698" i="62"/>
  <c r="D698" i="62"/>
  <c r="C698" i="62"/>
  <c r="B698" i="62"/>
  <c r="Q697" i="62"/>
  <c r="Q696" i="62"/>
  <c r="Q695" i="62"/>
  <c r="Q693" i="62"/>
  <c r="Q691" i="62"/>
  <c r="P688" i="62"/>
  <c r="O688" i="62"/>
  <c r="N688" i="62"/>
  <c r="L688" i="62"/>
  <c r="K688" i="62"/>
  <c r="J688" i="62"/>
  <c r="H688" i="62"/>
  <c r="G688" i="62"/>
  <c r="F688" i="62"/>
  <c r="D688" i="62"/>
  <c r="C688" i="62"/>
  <c r="B688" i="62"/>
  <c r="P684" i="62"/>
  <c r="O684" i="62"/>
  <c r="N684" i="62"/>
  <c r="L684" i="62"/>
  <c r="K684" i="62"/>
  <c r="J684" i="62"/>
  <c r="H684" i="62"/>
  <c r="G684" i="62"/>
  <c r="F684" i="62"/>
  <c r="D684" i="62"/>
  <c r="C684" i="62"/>
  <c r="B684" i="62"/>
  <c r="Q680" i="62"/>
  <c r="Q679" i="62"/>
  <c r="Q678" i="62"/>
  <c r="Q677" i="62"/>
  <c r="Q676" i="62"/>
  <c r="Q675" i="62"/>
  <c r="Q663" i="62"/>
  <c r="M663" i="62"/>
  <c r="I663" i="62"/>
  <c r="E663" i="62"/>
  <c r="P661" i="62"/>
  <c r="O661" i="62"/>
  <c r="N661" i="62"/>
  <c r="L661" i="62"/>
  <c r="K661" i="62"/>
  <c r="J661" i="62"/>
  <c r="H661" i="62"/>
  <c r="G661" i="62"/>
  <c r="F661" i="62"/>
  <c r="D661" i="62"/>
  <c r="C661" i="62"/>
  <c r="B661" i="62"/>
  <c r="P660" i="62"/>
  <c r="O660" i="62"/>
  <c r="N660" i="62"/>
  <c r="L660" i="62"/>
  <c r="K660" i="62"/>
  <c r="J660" i="62"/>
  <c r="H660" i="62"/>
  <c r="G660" i="62"/>
  <c r="F660" i="62"/>
  <c r="D660" i="62"/>
  <c r="C660" i="62"/>
  <c r="B660" i="62"/>
  <c r="Q657" i="62"/>
  <c r="M657" i="62"/>
  <c r="I657" i="62"/>
  <c r="E657" i="62"/>
  <c r="P653" i="62"/>
  <c r="O653" i="62"/>
  <c r="N653" i="62"/>
  <c r="L653" i="62"/>
  <c r="K653" i="62"/>
  <c r="J653" i="62"/>
  <c r="H653" i="62"/>
  <c r="G653" i="62"/>
  <c r="F653" i="62"/>
  <c r="D653" i="62"/>
  <c r="C653" i="62"/>
  <c r="B653" i="62"/>
  <c r="P649" i="62"/>
  <c r="O649" i="62"/>
  <c r="N649" i="62"/>
  <c r="L649" i="62"/>
  <c r="K649" i="62"/>
  <c r="J649" i="62"/>
  <c r="H649" i="62"/>
  <c r="G649" i="62"/>
  <c r="F649" i="62"/>
  <c r="D649" i="62"/>
  <c r="C649" i="62"/>
  <c r="B649" i="62"/>
  <c r="P645" i="62"/>
  <c r="O645" i="62"/>
  <c r="N645" i="62"/>
  <c r="L645" i="62"/>
  <c r="K645" i="62"/>
  <c r="J645" i="62"/>
  <c r="H645" i="62"/>
  <c r="G645" i="62"/>
  <c r="F645" i="62"/>
  <c r="D645" i="62"/>
  <c r="C645" i="62"/>
  <c r="B645" i="62"/>
  <c r="P629" i="62"/>
  <c r="O629" i="62"/>
  <c r="N629" i="62"/>
  <c r="L629" i="62"/>
  <c r="K629" i="62"/>
  <c r="J629" i="62"/>
  <c r="H629" i="62"/>
  <c r="G629" i="62"/>
  <c r="F629" i="62"/>
  <c r="D629" i="62"/>
  <c r="C629" i="62"/>
  <c r="B629" i="62"/>
  <c r="Q627" i="62"/>
  <c r="M627" i="62"/>
  <c r="I627" i="62"/>
  <c r="E627" i="62"/>
  <c r="Q617" i="62"/>
  <c r="M617" i="62"/>
  <c r="I617" i="62"/>
  <c r="E617" i="62"/>
  <c r="P615" i="62"/>
  <c r="O615" i="62"/>
  <c r="N615" i="62"/>
  <c r="L615" i="62"/>
  <c r="K615" i="62"/>
  <c r="J615" i="62"/>
  <c r="H615" i="62"/>
  <c r="G615" i="62"/>
  <c r="F615" i="62"/>
  <c r="D615" i="62"/>
  <c r="C615" i="62"/>
  <c r="B615" i="62"/>
  <c r="P614" i="62"/>
  <c r="O614" i="62"/>
  <c r="N614" i="62"/>
  <c r="L614" i="62"/>
  <c r="K614" i="62"/>
  <c r="J614" i="62"/>
  <c r="H614" i="62"/>
  <c r="G614" i="62"/>
  <c r="F614" i="62"/>
  <c r="D614" i="62"/>
  <c r="C614" i="62"/>
  <c r="B614" i="62"/>
  <c r="Q613" i="62"/>
  <c r="Q612" i="62"/>
  <c r="Q609" i="62"/>
  <c r="Q608" i="62"/>
  <c r="Q607" i="62"/>
  <c r="Q606" i="62"/>
  <c r="Q604" i="62"/>
  <c r="Q603" i="62"/>
  <c r="P600" i="62"/>
  <c r="O600" i="62"/>
  <c r="N600" i="62"/>
  <c r="L600" i="62"/>
  <c r="K600" i="62"/>
  <c r="J600" i="62"/>
  <c r="H600" i="62"/>
  <c r="G600" i="62"/>
  <c r="F600" i="62"/>
  <c r="D600" i="62"/>
  <c r="C600" i="62"/>
  <c r="Q599" i="62"/>
  <c r="M599" i="62"/>
  <c r="I599" i="62"/>
  <c r="P593" i="62"/>
  <c r="O593" i="62"/>
  <c r="N593" i="62"/>
  <c r="L593" i="62"/>
  <c r="K593" i="62"/>
  <c r="J593" i="62"/>
  <c r="H593" i="62"/>
  <c r="G593" i="62"/>
  <c r="F593" i="62"/>
  <c r="D593" i="62"/>
  <c r="C593" i="62"/>
  <c r="B593" i="62"/>
  <c r="Q591" i="62"/>
  <c r="M591" i="62"/>
  <c r="I591" i="62"/>
  <c r="E591" i="62"/>
  <c r="Q590" i="62"/>
  <c r="M590" i="62"/>
  <c r="I590" i="62"/>
  <c r="E590" i="62"/>
  <c r="P587" i="62"/>
  <c r="O587" i="62"/>
  <c r="N587" i="62"/>
  <c r="L587" i="62"/>
  <c r="K587" i="62"/>
  <c r="J587" i="62"/>
  <c r="H587" i="62"/>
  <c r="G587" i="62"/>
  <c r="F587" i="62"/>
  <c r="D587" i="62"/>
  <c r="C587" i="62"/>
  <c r="B587" i="62"/>
  <c r="Q585" i="62"/>
  <c r="Q583" i="62"/>
  <c r="Q581" i="62"/>
  <c r="Q579" i="62"/>
  <c r="Q578" i="62"/>
  <c r="Q577" i="62"/>
  <c r="Q576" i="62"/>
  <c r="Q575" i="62"/>
  <c r="Q574" i="62"/>
  <c r="Q573" i="62"/>
  <c r="Q572" i="62"/>
  <c r="Q571" i="62"/>
  <c r="Q559" i="62"/>
  <c r="M559" i="62"/>
  <c r="I559" i="62"/>
  <c r="E559" i="62"/>
  <c r="P557" i="62"/>
  <c r="O557" i="62"/>
  <c r="N557" i="62"/>
  <c r="L557" i="62"/>
  <c r="K557" i="62"/>
  <c r="J557" i="62"/>
  <c r="H557" i="62"/>
  <c r="G557" i="62"/>
  <c r="F557" i="62"/>
  <c r="D557" i="62"/>
  <c r="C557" i="62"/>
  <c r="B557" i="62"/>
  <c r="P556" i="62"/>
  <c r="O556" i="62"/>
  <c r="N556" i="62"/>
  <c r="L556" i="62"/>
  <c r="K556" i="62"/>
  <c r="J556" i="62"/>
  <c r="H556" i="62"/>
  <c r="G556" i="62"/>
  <c r="F556" i="62"/>
  <c r="D556" i="62"/>
  <c r="C556" i="62"/>
  <c r="B556" i="62"/>
  <c r="Q555" i="62"/>
  <c r="M555" i="62"/>
  <c r="I555" i="62"/>
  <c r="E555" i="62"/>
  <c r="Q554" i="62"/>
  <c r="M554" i="62"/>
  <c r="I554" i="62"/>
  <c r="E554" i="62"/>
  <c r="Q553" i="62"/>
  <c r="M553" i="62"/>
  <c r="I553" i="62"/>
  <c r="E553" i="62"/>
  <c r="P546" i="62"/>
  <c r="O546" i="62"/>
  <c r="N546" i="62"/>
  <c r="L546" i="62"/>
  <c r="K546" i="62"/>
  <c r="J546" i="62"/>
  <c r="H546" i="62"/>
  <c r="G546" i="62"/>
  <c r="F546" i="62"/>
  <c r="D546" i="62"/>
  <c r="C546" i="62"/>
  <c r="B546" i="62"/>
  <c r="Q545" i="62"/>
  <c r="M545" i="62"/>
  <c r="I545" i="62"/>
  <c r="E545" i="62"/>
  <c r="P541" i="62"/>
  <c r="O541" i="62"/>
  <c r="N541" i="62"/>
  <c r="L541" i="62"/>
  <c r="K541" i="62"/>
  <c r="J541" i="62"/>
  <c r="H541" i="62"/>
  <c r="G541" i="62"/>
  <c r="F541" i="62"/>
  <c r="D541" i="62"/>
  <c r="C541" i="62"/>
  <c r="B541" i="62"/>
  <c r="Q539" i="62"/>
  <c r="M539" i="62"/>
  <c r="I539" i="62"/>
  <c r="E539" i="62"/>
  <c r="P535" i="62"/>
  <c r="O535" i="62"/>
  <c r="N535" i="62"/>
  <c r="L535" i="62"/>
  <c r="K535" i="62"/>
  <c r="J535" i="62"/>
  <c r="H535" i="62"/>
  <c r="G535" i="62"/>
  <c r="F535" i="62"/>
  <c r="D535" i="62"/>
  <c r="C535" i="62"/>
  <c r="B535" i="62"/>
  <c r="Q515" i="62"/>
  <c r="M515" i="62"/>
  <c r="I515" i="62"/>
  <c r="E515" i="62"/>
  <c r="P513" i="62"/>
  <c r="O513" i="62"/>
  <c r="N513" i="62"/>
  <c r="L513" i="62"/>
  <c r="K513" i="62"/>
  <c r="J513" i="62"/>
  <c r="H513" i="62"/>
  <c r="G513" i="62"/>
  <c r="F513" i="62"/>
  <c r="D513" i="62"/>
  <c r="C513" i="62"/>
  <c r="B513" i="62"/>
  <c r="P512" i="62"/>
  <c r="O512" i="62"/>
  <c r="N512" i="62"/>
  <c r="L512" i="62"/>
  <c r="K512" i="62"/>
  <c r="J512" i="62"/>
  <c r="H512" i="62"/>
  <c r="G512" i="62"/>
  <c r="F512" i="62"/>
  <c r="D512" i="62"/>
  <c r="C512" i="62"/>
  <c r="B512" i="62"/>
  <c r="P504" i="62"/>
  <c r="O504" i="62"/>
  <c r="N504" i="62"/>
  <c r="L504" i="62"/>
  <c r="K504" i="62"/>
  <c r="J504" i="62"/>
  <c r="H504" i="62"/>
  <c r="G504" i="62"/>
  <c r="F504" i="62"/>
  <c r="D504" i="62"/>
  <c r="C504" i="62"/>
  <c r="B504" i="62"/>
  <c r="P499" i="62"/>
  <c r="O499" i="62"/>
  <c r="N499" i="62"/>
  <c r="L499" i="62"/>
  <c r="K499" i="62"/>
  <c r="J499" i="62"/>
  <c r="H499" i="62"/>
  <c r="G499" i="62"/>
  <c r="F499" i="62"/>
  <c r="D499" i="62"/>
  <c r="C499" i="62"/>
  <c r="B499" i="62"/>
  <c r="P494" i="62"/>
  <c r="O494" i="62"/>
  <c r="N494" i="62"/>
  <c r="L494" i="62"/>
  <c r="K494" i="62"/>
  <c r="J494" i="62"/>
  <c r="H494" i="62"/>
  <c r="G494" i="62"/>
  <c r="F494" i="62"/>
  <c r="D494" i="62"/>
  <c r="C494" i="62"/>
  <c r="B494" i="62"/>
  <c r="Q491" i="62"/>
  <c r="Q490" i="62"/>
  <c r="Q488" i="62"/>
  <c r="Q487" i="62"/>
  <c r="Q485" i="62"/>
  <c r="Q467" i="62"/>
  <c r="M467" i="62"/>
  <c r="I467" i="62"/>
  <c r="E467" i="62"/>
  <c r="Q466" i="62"/>
  <c r="M466" i="62"/>
  <c r="I466" i="62"/>
  <c r="E466" i="62"/>
  <c r="Q465" i="62"/>
  <c r="M465" i="62"/>
  <c r="I465" i="62"/>
  <c r="E465" i="62"/>
  <c r="P463" i="62"/>
  <c r="O463" i="62"/>
  <c r="N463" i="62"/>
  <c r="L463" i="62"/>
  <c r="K463" i="62"/>
  <c r="J463" i="62"/>
  <c r="H463" i="62"/>
  <c r="G463" i="62"/>
  <c r="F463" i="62"/>
  <c r="D463" i="62"/>
  <c r="C463" i="62"/>
  <c r="B463" i="62"/>
  <c r="P462" i="62"/>
  <c r="O462" i="62"/>
  <c r="N462" i="62"/>
  <c r="L462" i="62"/>
  <c r="K462" i="62"/>
  <c r="J462" i="62"/>
  <c r="H462" i="62"/>
  <c r="G462" i="62"/>
  <c r="F462" i="62"/>
  <c r="D462" i="62"/>
  <c r="C462" i="62"/>
  <c r="B462" i="62"/>
  <c r="Q461" i="62"/>
  <c r="Q460" i="62"/>
  <c r="Q459" i="62"/>
  <c r="Q458" i="62"/>
  <c r="Q457" i="62"/>
  <c r="Q456" i="62"/>
  <c r="Q455" i="62"/>
  <c r="Q454" i="62"/>
  <c r="Q452" i="62"/>
  <c r="Q451" i="62"/>
  <c r="Q450" i="62"/>
  <c r="Q449" i="62"/>
  <c r="Q448" i="62"/>
  <c r="Q447" i="62"/>
  <c r="Q445" i="62"/>
  <c r="Q444" i="62"/>
  <c r="Q442" i="62"/>
  <c r="P439" i="62"/>
  <c r="O439" i="62"/>
  <c r="Q438" i="62"/>
  <c r="Q437" i="62"/>
  <c r="Q436" i="62"/>
  <c r="Q435" i="62"/>
  <c r="Q432" i="62"/>
  <c r="Q431" i="62"/>
  <c r="Q430" i="62"/>
  <c r="Q429" i="62"/>
  <c r="Q428" i="62"/>
  <c r="Q427" i="62"/>
  <c r="Q426" i="62"/>
  <c r="Q425" i="62"/>
  <c r="Q422" i="62"/>
  <c r="Q421" i="62"/>
  <c r="Q417" i="62"/>
  <c r="Q416" i="62"/>
  <c r="Q415" i="62"/>
  <c r="Q414" i="62"/>
  <c r="Q413" i="62"/>
  <c r="Q412" i="62"/>
  <c r="Q411" i="62"/>
  <c r="N838" i="62"/>
  <c r="G838" i="62"/>
  <c r="D838" i="62"/>
  <c r="Q408" i="62"/>
  <c r="Q407" i="62"/>
  <c r="Q406" i="62"/>
  <c r="Q405" i="62"/>
  <c r="Q404" i="62"/>
  <c r="Q403" i="62"/>
  <c r="Q402" i="62"/>
  <c r="Q395" i="62"/>
  <c r="N837" i="62"/>
  <c r="L837" i="62"/>
  <c r="K837" i="62"/>
  <c r="J837" i="62"/>
  <c r="H837" i="62"/>
  <c r="G837" i="62"/>
  <c r="F837" i="62"/>
  <c r="D837" i="62"/>
  <c r="C837" i="62"/>
  <c r="B837" i="62"/>
  <c r="Q394" i="62"/>
  <c r="P391" i="62"/>
  <c r="O391" i="62"/>
  <c r="N391" i="62"/>
  <c r="L391" i="62"/>
  <c r="K391" i="62"/>
  <c r="G391" i="62"/>
  <c r="F391" i="62"/>
  <c r="D391" i="62"/>
  <c r="C391" i="62"/>
  <c r="B391" i="62"/>
  <c r="AK385" i="62"/>
  <c r="AJ385" i="62"/>
  <c r="AI385" i="62"/>
  <c r="AG385" i="62"/>
  <c r="AF385" i="62"/>
  <c r="AE385" i="62"/>
  <c r="Y385" i="62"/>
  <c r="X385" i="62"/>
  <c r="W385" i="62"/>
  <c r="AK384" i="62"/>
  <c r="AJ384" i="62"/>
  <c r="AI384" i="62"/>
  <c r="AG384" i="62"/>
  <c r="AF384" i="62"/>
  <c r="AE384" i="62"/>
  <c r="Y384" i="62"/>
  <c r="X384" i="62"/>
  <c r="W384" i="62"/>
  <c r="AK383" i="62"/>
  <c r="AJ383" i="62"/>
  <c r="AI383" i="62"/>
  <c r="AG383" i="62"/>
  <c r="AF383" i="62"/>
  <c r="AE383" i="62"/>
  <c r="Y383" i="62"/>
  <c r="X383" i="62"/>
  <c r="W383" i="62"/>
  <c r="J833" i="62"/>
  <c r="H833" i="62"/>
  <c r="AL382" i="62"/>
  <c r="AL385" i="62" s="1"/>
  <c r="AH382" i="62"/>
  <c r="AC382" i="62"/>
  <c r="AC383" i="62" s="1"/>
  <c r="AB382" i="62"/>
  <c r="AB383" i="62" s="1"/>
  <c r="AA382" i="62"/>
  <c r="AA385" i="62" s="1"/>
  <c r="Z382" i="62"/>
  <c r="W380" i="62"/>
  <c r="Q375" i="62"/>
  <c r="Q374" i="62"/>
  <c r="Q373" i="62"/>
  <c r="Q372" i="62"/>
  <c r="Q370" i="62"/>
  <c r="Q369" i="62"/>
  <c r="Q368" i="62"/>
  <c r="Q367" i="62"/>
  <c r="Q366" i="62"/>
  <c r="Q365" i="62"/>
  <c r="Q364" i="62"/>
  <c r="Q363" i="62"/>
  <c r="Q362" i="62"/>
  <c r="Q359" i="62"/>
  <c r="Q358" i="62"/>
  <c r="Q356" i="62"/>
  <c r="Q355" i="62"/>
  <c r="Q354" i="62"/>
  <c r="Q353" i="62"/>
  <c r="Q352" i="62"/>
  <c r="Q351" i="62"/>
  <c r="Q348" i="62"/>
  <c r="Q347" i="62"/>
  <c r="Q346" i="62"/>
  <c r="Q345" i="62"/>
  <c r="Q343" i="62"/>
  <c r="Q342" i="62"/>
  <c r="Q340" i="62"/>
  <c r="Q339" i="62"/>
  <c r="Q338" i="62"/>
  <c r="Q335" i="62"/>
  <c r="Q333" i="62"/>
  <c r="N377" i="62"/>
  <c r="L377" i="62"/>
  <c r="K377" i="62"/>
  <c r="J377" i="62"/>
  <c r="H377" i="62"/>
  <c r="G377" i="62"/>
  <c r="F377" i="62"/>
  <c r="D377" i="62"/>
  <c r="C377" i="62"/>
  <c r="B377" i="62"/>
  <c r="Q331" i="62"/>
  <c r="Q330" i="62"/>
  <c r="Q329" i="62"/>
  <c r="Q328" i="62"/>
  <c r="Q327" i="62"/>
  <c r="R327" i="62" s="1"/>
  <c r="O377" i="62"/>
  <c r="P318" i="62"/>
  <c r="O318" i="62"/>
  <c r="N318" i="62"/>
  <c r="L318" i="62"/>
  <c r="F318" i="62"/>
  <c r="D318" i="62"/>
  <c r="B318" i="62"/>
  <c r="Q316" i="62"/>
  <c r="M316" i="62"/>
  <c r="I316" i="62"/>
  <c r="E316" i="62"/>
  <c r="Q304" i="62"/>
  <c r="M304" i="62"/>
  <c r="F893" i="62"/>
  <c r="I304" i="62"/>
  <c r="F886" i="62"/>
  <c r="Q303" i="62"/>
  <c r="Q302" i="62"/>
  <c r="M302" i="62"/>
  <c r="I302" i="62"/>
  <c r="E302" i="62"/>
  <c r="Q301" i="62"/>
  <c r="M301" i="62"/>
  <c r="I301" i="62"/>
  <c r="E301" i="62"/>
  <c r="P298" i="62"/>
  <c r="O298" i="62"/>
  <c r="N298" i="62"/>
  <c r="L298" i="62"/>
  <c r="K298" i="62"/>
  <c r="J298" i="62"/>
  <c r="H298" i="62"/>
  <c r="G298" i="62"/>
  <c r="F298" i="62"/>
  <c r="D298" i="62"/>
  <c r="C298" i="62"/>
  <c r="B298" i="62"/>
  <c r="P297" i="62"/>
  <c r="O297" i="62"/>
  <c r="N297" i="62"/>
  <c r="L297" i="62"/>
  <c r="K297" i="62"/>
  <c r="J297" i="62"/>
  <c r="H297" i="62"/>
  <c r="G297" i="62"/>
  <c r="F297" i="62"/>
  <c r="D297" i="62"/>
  <c r="C297" i="62"/>
  <c r="B297" i="62"/>
  <c r="P278" i="62"/>
  <c r="O278" i="62"/>
  <c r="N278" i="62"/>
  <c r="K278" i="62"/>
  <c r="G278" i="62"/>
  <c r="D278" i="62"/>
  <c r="C278" i="62"/>
  <c r="C838" i="62"/>
  <c r="B838" i="62"/>
  <c r="L838" i="62"/>
  <c r="K838" i="62"/>
  <c r="J838" i="62"/>
  <c r="H838" i="62"/>
  <c r="F838" i="62"/>
  <c r="P213" i="62"/>
  <c r="O213" i="62"/>
  <c r="N213" i="62"/>
  <c r="L213" i="62"/>
  <c r="K213" i="62"/>
  <c r="J213" i="62"/>
  <c r="I213" i="62"/>
  <c r="D213" i="62"/>
  <c r="C213" i="62"/>
  <c r="B213" i="62"/>
  <c r="Q211" i="62"/>
  <c r="M211" i="62"/>
  <c r="I211" i="62"/>
  <c r="E211" i="62"/>
  <c r="Q210" i="62"/>
  <c r="M210" i="62"/>
  <c r="I210" i="62"/>
  <c r="E210" i="62"/>
  <c r="N824" i="62"/>
  <c r="L824" i="62"/>
  <c r="J824" i="62"/>
  <c r="H824" i="62"/>
  <c r="F824" i="62"/>
  <c r="D824" i="62"/>
  <c r="Q127" i="62"/>
  <c r="M127" i="62"/>
  <c r="I127" i="62"/>
  <c r="E127" i="62"/>
  <c r="P125" i="62"/>
  <c r="O125" i="62"/>
  <c r="N125" i="62"/>
  <c r="L125" i="62"/>
  <c r="K125" i="62"/>
  <c r="J125" i="62"/>
  <c r="H125" i="62"/>
  <c r="G125" i="62"/>
  <c r="F125" i="62"/>
  <c r="D125" i="62"/>
  <c r="C125" i="62"/>
  <c r="B125" i="62"/>
  <c r="P124" i="62"/>
  <c r="O124" i="62"/>
  <c r="N124" i="62"/>
  <c r="L124" i="62"/>
  <c r="K124" i="62"/>
  <c r="J124" i="62"/>
  <c r="H124" i="62"/>
  <c r="G124" i="62"/>
  <c r="F124" i="62"/>
  <c r="D124" i="62"/>
  <c r="C124" i="62"/>
  <c r="B124" i="62"/>
  <c r="Q120" i="62"/>
  <c r="M120" i="62"/>
  <c r="I120" i="62"/>
  <c r="E120" i="62"/>
  <c r="Q119" i="62"/>
  <c r="M119" i="62"/>
  <c r="I119" i="62"/>
  <c r="E119" i="62"/>
  <c r="Q117" i="62"/>
  <c r="M117" i="62"/>
  <c r="I117" i="62"/>
  <c r="E117" i="62"/>
  <c r="Q116" i="62"/>
  <c r="M116" i="62"/>
  <c r="I116" i="62"/>
  <c r="E116" i="62"/>
  <c r="Q115" i="62"/>
  <c r="M115" i="62"/>
  <c r="I115" i="62"/>
  <c r="E115" i="62"/>
  <c r="Q114" i="62"/>
  <c r="M114" i="62"/>
  <c r="I114" i="62"/>
  <c r="E114" i="62"/>
  <c r="Q113" i="62"/>
  <c r="M113" i="62"/>
  <c r="I113" i="62"/>
  <c r="E113" i="62"/>
  <c r="Q112" i="62"/>
  <c r="M112" i="62"/>
  <c r="I112" i="62"/>
  <c r="E112" i="62"/>
  <c r="Q111" i="62"/>
  <c r="M111" i="62"/>
  <c r="I111" i="62"/>
  <c r="E111" i="62"/>
  <c r="Q110" i="62"/>
  <c r="M110" i="62"/>
  <c r="I110" i="62"/>
  <c r="E110" i="62"/>
  <c r="P107" i="62"/>
  <c r="O107" i="62"/>
  <c r="N107" i="62"/>
  <c r="L107" i="62"/>
  <c r="K107" i="62"/>
  <c r="J107" i="62"/>
  <c r="H107" i="62"/>
  <c r="G107" i="62"/>
  <c r="F107" i="62"/>
  <c r="D107" i="62"/>
  <c r="C107" i="62"/>
  <c r="B107" i="62"/>
  <c r="Q106" i="62"/>
  <c r="M106" i="62"/>
  <c r="I106" i="62"/>
  <c r="E106" i="62"/>
  <c r="Q105" i="62"/>
  <c r="M105" i="62"/>
  <c r="I105" i="62"/>
  <c r="E105" i="62"/>
  <c r="Q104" i="62"/>
  <c r="M104" i="62"/>
  <c r="I104" i="62"/>
  <c r="E104" i="62"/>
  <c r="Q103" i="62"/>
  <c r="M103" i="62"/>
  <c r="I103" i="62"/>
  <c r="E103" i="62"/>
  <c r="Q102" i="62"/>
  <c r="M102" i="62"/>
  <c r="I102" i="62"/>
  <c r="E102" i="62"/>
  <c r="Q101" i="62"/>
  <c r="M101" i="62"/>
  <c r="I101" i="62"/>
  <c r="E101" i="62"/>
  <c r="Q100" i="62"/>
  <c r="M100" i="62"/>
  <c r="I100" i="62"/>
  <c r="E100" i="62"/>
  <c r="P96" i="62"/>
  <c r="O96" i="62"/>
  <c r="N96" i="62"/>
  <c r="L96" i="62"/>
  <c r="K96" i="62"/>
  <c r="J96" i="62"/>
  <c r="H96" i="62"/>
  <c r="G96" i="62"/>
  <c r="F96" i="62"/>
  <c r="D96" i="62"/>
  <c r="C96" i="62"/>
  <c r="B96" i="62"/>
  <c r="P89" i="62"/>
  <c r="O89" i="62"/>
  <c r="N89" i="62"/>
  <c r="L89" i="62"/>
  <c r="K89" i="62"/>
  <c r="J89" i="62"/>
  <c r="H89" i="62"/>
  <c r="G89" i="62"/>
  <c r="F89" i="62"/>
  <c r="D89" i="62"/>
  <c r="B89" i="62"/>
  <c r="Q86" i="62"/>
  <c r="M86" i="62"/>
  <c r="I86" i="62"/>
  <c r="E86" i="62"/>
  <c r="Q84" i="62"/>
  <c r="M84" i="62"/>
  <c r="I84" i="62"/>
  <c r="E84" i="62"/>
  <c r="Q82" i="62"/>
  <c r="M82" i="62"/>
  <c r="I82" i="62"/>
  <c r="E82" i="62"/>
  <c r="Q81" i="62"/>
  <c r="M81" i="62"/>
  <c r="I81" i="62"/>
  <c r="E81" i="62"/>
  <c r="Q80" i="62"/>
  <c r="M80" i="62"/>
  <c r="I80" i="62"/>
  <c r="E80" i="62"/>
  <c r="Q78" i="62"/>
  <c r="M78" i="62"/>
  <c r="I78" i="62"/>
  <c r="E78" i="62"/>
  <c r="Q77" i="62"/>
  <c r="M77" i="62"/>
  <c r="I77" i="62"/>
  <c r="E77" i="62"/>
  <c r="Q76" i="62"/>
  <c r="M76" i="62"/>
  <c r="I76" i="62"/>
  <c r="E76" i="62"/>
  <c r="Q74" i="62"/>
  <c r="M74" i="62"/>
  <c r="I74" i="62"/>
  <c r="E74" i="62"/>
  <c r="Q73" i="62"/>
  <c r="M73" i="62"/>
  <c r="I73" i="62"/>
  <c r="E73" i="62"/>
  <c r="Q72" i="62"/>
  <c r="M72" i="62"/>
  <c r="I72" i="62"/>
  <c r="E72" i="62"/>
  <c r="Q60" i="62"/>
  <c r="M60" i="62"/>
  <c r="I60" i="62"/>
  <c r="E60" i="62"/>
  <c r="P58" i="62"/>
  <c r="O58" i="62"/>
  <c r="N58" i="62"/>
  <c r="L58" i="62"/>
  <c r="K58" i="62"/>
  <c r="J58" i="62"/>
  <c r="H58" i="62"/>
  <c r="G58" i="62"/>
  <c r="F58" i="62"/>
  <c r="D58" i="62"/>
  <c r="C58" i="62"/>
  <c r="B58" i="62"/>
  <c r="P57" i="62"/>
  <c r="O57" i="62"/>
  <c r="N57" i="62"/>
  <c r="L57" i="62"/>
  <c r="K57" i="62"/>
  <c r="J57" i="62"/>
  <c r="H57" i="62"/>
  <c r="G57" i="62"/>
  <c r="F57" i="62"/>
  <c r="D57" i="62"/>
  <c r="C57" i="62"/>
  <c r="B57" i="62"/>
  <c r="Q54" i="62"/>
  <c r="M54" i="62"/>
  <c r="I54" i="62"/>
  <c r="E54" i="62"/>
  <c r="P50" i="62"/>
  <c r="O50" i="62"/>
  <c r="N50" i="62"/>
  <c r="L50" i="62"/>
  <c r="K50" i="62"/>
  <c r="J50" i="62"/>
  <c r="H50" i="62"/>
  <c r="G50" i="62"/>
  <c r="F50" i="62"/>
  <c r="D50" i="62"/>
  <c r="C50" i="62"/>
  <c r="B50" i="62"/>
  <c r="P46" i="62"/>
  <c r="O46" i="62"/>
  <c r="N46" i="62"/>
  <c r="L46" i="62"/>
  <c r="K46" i="62"/>
  <c r="J46" i="62"/>
  <c r="H46" i="62"/>
  <c r="G46" i="62"/>
  <c r="F46" i="62"/>
  <c r="D46" i="62"/>
  <c r="C46" i="62"/>
  <c r="B46" i="62"/>
  <c r="P41" i="62"/>
  <c r="O41" i="62"/>
  <c r="N41" i="62"/>
  <c r="L41" i="62"/>
  <c r="K41" i="62"/>
  <c r="J41" i="62"/>
  <c r="H41" i="62"/>
  <c r="G41" i="62"/>
  <c r="F41" i="62"/>
  <c r="D41" i="62"/>
  <c r="C41" i="62"/>
  <c r="B41" i="62"/>
  <c r="Q38" i="62"/>
  <c r="M38" i="62"/>
  <c r="I38" i="62"/>
  <c r="E38" i="62"/>
  <c r="P27" i="62"/>
  <c r="O27" i="62"/>
  <c r="N27" i="62"/>
  <c r="L27" i="62"/>
  <c r="K27" i="62"/>
  <c r="J27" i="62"/>
  <c r="H27" i="62"/>
  <c r="G27" i="62"/>
  <c r="F27" i="62"/>
  <c r="D27" i="62"/>
  <c r="C27" i="62"/>
  <c r="B27" i="62"/>
  <c r="Q25" i="62"/>
  <c r="M25" i="62"/>
  <c r="I25" i="62"/>
  <c r="E25" i="62"/>
  <c r="P18" i="62"/>
  <c r="O18" i="62"/>
  <c r="N18" i="62"/>
  <c r="L18" i="62"/>
  <c r="K18" i="62"/>
  <c r="J18" i="62"/>
  <c r="H18" i="62"/>
  <c r="G18" i="62"/>
  <c r="F18" i="62"/>
  <c r="D18" i="62"/>
  <c r="C18" i="62"/>
  <c r="B18" i="62"/>
  <c r="L17" i="62"/>
  <c r="K17" i="62"/>
  <c r="J17" i="62"/>
  <c r="H17" i="62"/>
  <c r="G17" i="62"/>
  <c r="F17" i="62"/>
  <c r="D17" i="62"/>
  <c r="C17" i="62"/>
  <c r="B17" i="62"/>
  <c r="P16" i="62"/>
  <c r="O16" i="62"/>
  <c r="N16" i="62"/>
  <c r="L16" i="62"/>
  <c r="K16" i="62"/>
  <c r="J16" i="62"/>
  <c r="H16" i="62"/>
  <c r="G16" i="62"/>
  <c r="F16" i="62"/>
  <c r="D16" i="62"/>
  <c r="C16" i="62"/>
  <c r="B16" i="62"/>
  <c r="P15" i="62"/>
  <c r="O15" i="62"/>
  <c r="N15" i="62"/>
  <c r="L15" i="62"/>
  <c r="K15" i="62"/>
  <c r="J15" i="62"/>
  <c r="H15" i="62"/>
  <c r="G15" i="62"/>
  <c r="F15" i="62"/>
  <c r="D15" i="62"/>
  <c r="C15" i="62"/>
  <c r="B15" i="62"/>
  <c r="P14" i="62"/>
  <c r="O14" i="62"/>
  <c r="N14" i="62"/>
  <c r="L14" i="62"/>
  <c r="K14" i="62"/>
  <c r="J14" i="62"/>
  <c r="H14" i="62"/>
  <c r="G14" i="62"/>
  <c r="F14" i="62"/>
  <c r="D14" i="62"/>
  <c r="C14" i="62"/>
  <c r="S13" i="62"/>
  <c r="R1" i="62"/>
  <c r="O10" i="62"/>
  <c r="C10" i="62"/>
  <c r="F10" i="62"/>
  <c r="G10" i="62"/>
  <c r="H10" i="62"/>
  <c r="N10" i="62"/>
  <c r="K10" i="62"/>
  <c r="L10" i="62"/>
  <c r="D10" i="62"/>
  <c r="P10" i="62"/>
  <c r="B10" i="62"/>
  <c r="J10" i="62"/>
  <c r="AG918" i="62" l="1"/>
  <c r="O753" i="62"/>
  <c r="O757" i="62" s="1"/>
  <c r="O758" i="62" s="1"/>
  <c r="P662" i="62"/>
  <c r="P665" i="62" s="1"/>
  <c r="P666" i="62" s="1"/>
  <c r="N1002" i="62"/>
  <c r="N1000" i="62"/>
  <c r="N1006" i="62"/>
  <c r="N1001" i="62"/>
  <c r="N1004" i="62"/>
  <c r="N1005" i="62"/>
  <c r="N999" i="62"/>
  <c r="N998" i="62"/>
  <c r="N1008" i="62"/>
  <c r="N1003" i="62"/>
  <c r="N997" i="62"/>
  <c r="N1007" i="62"/>
  <c r="B299" i="62"/>
  <c r="B307" i="62" s="1"/>
  <c r="C1023" i="62"/>
  <c r="AD1033" i="62" s="1"/>
  <c r="C1027" i="62"/>
  <c r="C1022" i="62"/>
  <c r="L1049" i="62"/>
  <c r="K753" i="62"/>
  <c r="K757" i="62" s="1"/>
  <c r="K759" i="62" s="1"/>
  <c r="G753" i="62"/>
  <c r="G757" i="62" s="1"/>
  <c r="G759" i="62" s="1"/>
  <c r="Q377" i="62"/>
  <c r="L753" i="62"/>
  <c r="L757" i="62" s="1"/>
  <c r="L758" i="62" s="1"/>
  <c r="N126" i="62"/>
  <c r="N129" i="62" s="1"/>
  <c r="C753" i="62"/>
  <c r="C757" i="62" s="1"/>
  <c r="C758" i="62" s="1"/>
  <c r="H753" i="62"/>
  <c r="H757" i="62" s="1"/>
  <c r="H759" i="62" s="1"/>
  <c r="G59" i="62"/>
  <c r="G62" i="62" s="1"/>
  <c r="G63" i="62" s="1"/>
  <c r="AD914" i="62"/>
  <c r="H126" i="62"/>
  <c r="H129" i="62" s="1"/>
  <c r="H130" i="62" s="1"/>
  <c r="D753" i="62"/>
  <c r="D757" i="62" s="1"/>
  <c r="D758" i="62" s="1"/>
  <c r="P753" i="62"/>
  <c r="P757" i="62" s="1"/>
  <c r="P759" i="62" s="1"/>
  <c r="AB385" i="62"/>
  <c r="J983" i="62"/>
  <c r="R1109" i="62"/>
  <c r="E27" i="62"/>
  <c r="Q27" i="62"/>
  <c r="M27" i="62"/>
  <c r="I27" i="62"/>
  <c r="N1106" i="62"/>
  <c r="AB384" i="62"/>
  <c r="R1103" i="62"/>
  <c r="B59" i="62"/>
  <c r="B62" i="62" s="1"/>
  <c r="N847" i="62"/>
  <c r="C59" i="62"/>
  <c r="C62" i="62" s="1"/>
  <c r="C63" i="62" s="1"/>
  <c r="D847" i="62"/>
  <c r="J847" i="62"/>
  <c r="H662" i="62"/>
  <c r="H665" i="62" s="1"/>
  <c r="H666" i="62" s="1"/>
  <c r="C847" i="62"/>
  <c r="O848" i="62"/>
  <c r="O870" i="62" s="1"/>
  <c r="O847" i="62"/>
  <c r="C710" i="62"/>
  <c r="C713" i="62" s="1"/>
  <c r="C714" i="62" s="1"/>
  <c r="N710" i="62"/>
  <c r="N713" i="62" s="1"/>
  <c r="K710" i="62"/>
  <c r="K713" i="62" s="1"/>
  <c r="K714" i="62" s="1"/>
  <c r="P710" i="62"/>
  <c r="P713" i="62" s="1"/>
  <c r="P714" i="62" s="1"/>
  <c r="B126" i="62"/>
  <c r="B129" i="62" s="1"/>
  <c r="P847" i="62"/>
  <c r="J710" i="62"/>
  <c r="J713" i="62" s="1"/>
  <c r="B710" i="62"/>
  <c r="B713" i="62" s="1"/>
  <c r="G710" i="62"/>
  <c r="G713" i="62" s="1"/>
  <c r="G714" i="62" s="1"/>
  <c r="L710" i="62"/>
  <c r="L713" i="62" s="1"/>
  <c r="L714" i="62" s="1"/>
  <c r="D126" i="62"/>
  <c r="D129" i="62" s="1"/>
  <c r="D130" i="62" s="1"/>
  <c r="G847" i="62"/>
  <c r="L126" i="62"/>
  <c r="L129" i="62" s="1"/>
  <c r="L130" i="62" s="1"/>
  <c r="J126" i="62"/>
  <c r="J129" i="62" s="1"/>
  <c r="O514" i="62"/>
  <c r="O517" i="62" s="1"/>
  <c r="O518" i="62" s="1"/>
  <c r="O803" i="62"/>
  <c r="O806" i="62" s="1"/>
  <c r="O807" i="62" s="1"/>
  <c r="C803" i="62"/>
  <c r="C806" i="62" s="1"/>
  <c r="C807" i="62" s="1"/>
  <c r="B803" i="62"/>
  <c r="B806" i="62" s="1"/>
  <c r="G803" i="62"/>
  <c r="G806" i="62" s="1"/>
  <c r="G808" i="62" s="1"/>
  <c r="O710" i="62"/>
  <c r="O713" i="62" s="1"/>
  <c r="O714" i="62" s="1"/>
  <c r="P126" i="62"/>
  <c r="P129" i="62" s="1"/>
  <c r="P130" i="62" s="1"/>
  <c r="R25" i="62"/>
  <c r="AE916" i="62"/>
  <c r="M1112" i="62"/>
  <c r="Q1112" i="62"/>
  <c r="R1106" i="62"/>
  <c r="N1109" i="62"/>
  <c r="AA383" i="62"/>
  <c r="AD383" i="62" s="1"/>
  <c r="N1100" i="62"/>
  <c r="C1028" i="62"/>
  <c r="R1100" i="62"/>
  <c r="N1103" i="62"/>
  <c r="G1112" i="62"/>
  <c r="F126" i="62"/>
  <c r="F129" i="62" s="1"/>
  <c r="L514" i="62"/>
  <c r="L517" i="62" s="1"/>
  <c r="L518" i="62" s="1"/>
  <c r="B847" i="62"/>
  <c r="H847" i="62"/>
  <c r="L847" i="62"/>
  <c r="M614" i="62"/>
  <c r="Q661" i="62"/>
  <c r="Q688" i="62"/>
  <c r="Q737" i="62"/>
  <c r="Q741" i="62"/>
  <c r="Q745" i="62"/>
  <c r="Q752" i="62"/>
  <c r="Q781" i="62"/>
  <c r="Q791" i="62"/>
  <c r="Q801" i="62"/>
  <c r="Q802" i="62"/>
  <c r="E845" i="62"/>
  <c r="AH385" i="62"/>
  <c r="Z383" i="62"/>
  <c r="AH383" i="62"/>
  <c r="Z385" i="62"/>
  <c r="E14" i="62"/>
  <c r="E18" i="62"/>
  <c r="M18" i="62"/>
  <c r="M46" i="62"/>
  <c r="M58" i="62"/>
  <c r="Q213" i="62"/>
  <c r="I297" i="62"/>
  <c r="I512" i="62"/>
  <c r="I614" i="62"/>
  <c r="Q14" i="62"/>
  <c r="I14" i="62"/>
  <c r="Q18" i="62"/>
  <c r="Q46" i="62"/>
  <c r="Q50" i="62"/>
  <c r="Q57" i="62"/>
  <c r="Q58" i="62"/>
  <c r="E124" i="62"/>
  <c r="Q125" i="62"/>
  <c r="Q391" i="62"/>
  <c r="M512" i="62"/>
  <c r="Q512" i="62"/>
  <c r="Q557" i="62"/>
  <c r="D616" i="62"/>
  <c r="D619" i="62" s="1"/>
  <c r="D620" i="62" s="1"/>
  <c r="M587" i="62"/>
  <c r="M593" i="62"/>
  <c r="M600" i="62"/>
  <c r="E614" i="62"/>
  <c r="R617" i="62"/>
  <c r="R627" i="62"/>
  <c r="E645" i="62"/>
  <c r="M660" i="62"/>
  <c r="E661" i="62"/>
  <c r="R663" i="62"/>
  <c r="E688" i="62"/>
  <c r="R691" i="62"/>
  <c r="R693" i="62"/>
  <c r="R695" i="62"/>
  <c r="R696" i="62"/>
  <c r="R697" i="62"/>
  <c r="R702" i="62"/>
  <c r="R705" i="62"/>
  <c r="M708" i="62"/>
  <c r="I709" i="62"/>
  <c r="R711" i="62"/>
  <c r="R733" i="62"/>
  <c r="E737" i="62"/>
  <c r="E741" i="62"/>
  <c r="E745" i="62"/>
  <c r="M751" i="62"/>
  <c r="E752" i="62"/>
  <c r="R755" i="62"/>
  <c r="R767" i="62"/>
  <c r="R769" i="62"/>
  <c r="R770" i="62"/>
  <c r="R771" i="62"/>
  <c r="R774" i="62"/>
  <c r="M776" i="62"/>
  <c r="R779" i="62"/>
  <c r="E781" i="62"/>
  <c r="R784" i="62"/>
  <c r="R785" i="62"/>
  <c r="R787" i="62"/>
  <c r="R788" i="62"/>
  <c r="R789" i="62"/>
  <c r="R790" i="62"/>
  <c r="E791" i="62"/>
  <c r="R794" i="62"/>
  <c r="R795" i="62"/>
  <c r="R798" i="62"/>
  <c r="E801" i="62"/>
  <c r="E802" i="62"/>
  <c r="R804" i="62"/>
  <c r="Q826" i="62"/>
  <c r="E827" i="62"/>
  <c r="Q827" i="62"/>
  <c r="Q829" i="62"/>
  <c r="I834" i="62"/>
  <c r="I841" i="62"/>
  <c r="Q846" i="62"/>
  <c r="M14" i="62"/>
  <c r="Q297" i="62"/>
  <c r="M541" i="62"/>
  <c r="I46" i="62"/>
  <c r="I58" i="62"/>
  <c r="E213" i="62"/>
  <c r="M213" i="62"/>
  <c r="M838" i="62"/>
  <c r="O464" i="62"/>
  <c r="O469" i="62" s="1"/>
  <c r="O470" i="62" s="1"/>
  <c r="R465" i="62"/>
  <c r="R466" i="62"/>
  <c r="R467" i="62"/>
  <c r="R488" i="62"/>
  <c r="R490" i="62"/>
  <c r="R491" i="62"/>
  <c r="E494" i="62"/>
  <c r="E512" i="62"/>
  <c r="I556" i="62"/>
  <c r="I557" i="62"/>
  <c r="M649" i="62"/>
  <c r="M653" i="62"/>
  <c r="E660" i="62"/>
  <c r="M802" i="62"/>
  <c r="Q842" i="62"/>
  <c r="R38" i="62"/>
  <c r="E46" i="62"/>
  <c r="E50" i="62"/>
  <c r="R54" i="62"/>
  <c r="E57" i="62"/>
  <c r="E58" i="62"/>
  <c r="R60" i="62"/>
  <c r="R72" i="62"/>
  <c r="R73" i="62"/>
  <c r="R74" i="62"/>
  <c r="R76" i="62"/>
  <c r="R77" i="62"/>
  <c r="R78" i="62"/>
  <c r="R80" i="62"/>
  <c r="R81" i="62"/>
  <c r="R82" i="62"/>
  <c r="R84" i="62"/>
  <c r="R86" i="62"/>
  <c r="R100" i="62"/>
  <c r="R101" i="62"/>
  <c r="R102" i="62"/>
  <c r="R103" i="62"/>
  <c r="R104" i="62"/>
  <c r="R105" i="62"/>
  <c r="R106" i="62"/>
  <c r="I107" i="62"/>
  <c r="I462" i="62"/>
  <c r="Q462" i="62"/>
  <c r="Q513" i="62"/>
  <c r="Q546" i="62"/>
  <c r="E556" i="62"/>
  <c r="Q556" i="62"/>
  <c r="I649" i="62"/>
  <c r="I653" i="62"/>
  <c r="I660" i="62"/>
  <c r="I802" i="62"/>
  <c r="E829" i="62"/>
  <c r="M832" i="62"/>
  <c r="M834" i="62"/>
  <c r="M841" i="62"/>
  <c r="M842" i="62"/>
  <c r="G514" i="62"/>
  <c r="G517" i="62" s="1"/>
  <c r="G518" i="62" s="1"/>
  <c r="I16" i="62"/>
  <c r="H59" i="62"/>
  <c r="H62" i="62" s="1"/>
  <c r="H63" i="62" s="1"/>
  <c r="E107" i="62"/>
  <c r="E16" i="62"/>
  <c r="Q17" i="62"/>
  <c r="O59" i="62"/>
  <c r="O62" i="62" s="1"/>
  <c r="O63" i="62" s="1"/>
  <c r="D59" i="62"/>
  <c r="D62" i="62" s="1"/>
  <c r="D63" i="62" s="1"/>
  <c r="M57" i="62"/>
  <c r="Q107" i="62"/>
  <c r="Q124" i="62"/>
  <c r="M15" i="62"/>
  <c r="M17" i="62"/>
  <c r="I18" i="62"/>
  <c r="F59" i="62"/>
  <c r="F62" i="62" s="1"/>
  <c r="K59" i="62"/>
  <c r="K62" i="62" s="1"/>
  <c r="K63" i="62" s="1"/>
  <c r="I50" i="62"/>
  <c r="P59" i="62"/>
  <c r="P62" i="62" s="1"/>
  <c r="P63" i="62" s="1"/>
  <c r="I57" i="62"/>
  <c r="M107" i="62"/>
  <c r="I125" i="62"/>
  <c r="E297" i="62"/>
  <c r="E298" i="62"/>
  <c r="M318" i="62"/>
  <c r="Q645" i="62"/>
  <c r="L59" i="62"/>
  <c r="L62" i="62" s="1"/>
  <c r="L63" i="62" s="1"/>
  <c r="E318" i="62"/>
  <c r="AL383" i="62"/>
  <c r="Z384" i="62"/>
  <c r="AH384" i="62"/>
  <c r="AE911" i="62"/>
  <c r="AD876" i="62"/>
  <c r="AO876" i="62" s="1"/>
  <c r="AG921" i="62"/>
  <c r="AD886" i="62"/>
  <c r="AO886" i="62" s="1"/>
  <c r="N59" i="62"/>
  <c r="Q15" i="62"/>
  <c r="J59" i="62"/>
  <c r="M50" i="62"/>
  <c r="R110" i="62"/>
  <c r="R111" i="62"/>
  <c r="R112" i="62"/>
  <c r="R113" i="62"/>
  <c r="R114" i="62"/>
  <c r="R115" i="62"/>
  <c r="R116" i="62"/>
  <c r="R117" i="62"/>
  <c r="R119" i="62"/>
  <c r="R120" i="62"/>
  <c r="E125" i="62"/>
  <c r="R127" i="62"/>
  <c r="M297" i="62"/>
  <c r="R339" i="62"/>
  <c r="AL384" i="62"/>
  <c r="E391" i="62"/>
  <c r="R442" i="62"/>
  <c r="R444" i="62"/>
  <c r="R445" i="62"/>
  <c r="R447" i="62"/>
  <c r="R460" i="62"/>
  <c r="R461" i="62"/>
  <c r="M462" i="62"/>
  <c r="I463" i="62"/>
  <c r="I494" i="62"/>
  <c r="P514" i="62"/>
  <c r="P517" i="62" s="1"/>
  <c r="P518" i="62" s="1"/>
  <c r="I499" i="62"/>
  <c r="K514" i="62"/>
  <c r="K517" i="62" s="1"/>
  <c r="K518" i="62" s="1"/>
  <c r="I504" i="62"/>
  <c r="E513" i="62"/>
  <c r="R515" i="62"/>
  <c r="B558" i="62"/>
  <c r="B561" i="62" s="1"/>
  <c r="L558" i="62"/>
  <c r="L561" i="62" s="1"/>
  <c r="L562" i="62" s="1"/>
  <c r="E546" i="62"/>
  <c r="R553" i="62"/>
  <c r="R554" i="62"/>
  <c r="R555" i="62"/>
  <c r="E557" i="62"/>
  <c r="C616" i="62"/>
  <c r="C619" i="62" s="1"/>
  <c r="C620" i="62" s="1"/>
  <c r="H616" i="62"/>
  <c r="H619" i="62" s="1"/>
  <c r="H620" i="62" s="1"/>
  <c r="Q587" i="62"/>
  <c r="Q593" i="62"/>
  <c r="Q600" i="62"/>
  <c r="Q614" i="62"/>
  <c r="I615" i="62"/>
  <c r="Q649" i="62"/>
  <c r="Q653" i="62"/>
  <c r="Q660" i="62"/>
  <c r="I661" i="62"/>
  <c r="I688" i="62"/>
  <c r="Q708" i="62"/>
  <c r="M709" i="62"/>
  <c r="I723" i="62"/>
  <c r="I741" i="62"/>
  <c r="I745" i="62"/>
  <c r="Q751" i="62"/>
  <c r="I752" i="62"/>
  <c r="F803" i="62"/>
  <c r="F806" i="62" s="1"/>
  <c r="K803" i="62"/>
  <c r="K806" i="62" s="1"/>
  <c r="K808" i="62" s="1"/>
  <c r="I781" i="62"/>
  <c r="I791" i="62"/>
  <c r="I801" i="62"/>
  <c r="I829" i="62"/>
  <c r="Q832" i="62"/>
  <c r="Q834" i="62"/>
  <c r="Q841" i="62"/>
  <c r="M843" i="62"/>
  <c r="I845" i="62"/>
  <c r="R411" i="62"/>
  <c r="R412" i="62"/>
  <c r="R413" i="62"/>
  <c r="R414" i="62"/>
  <c r="R415" i="62"/>
  <c r="R416" i="62"/>
  <c r="R417" i="62"/>
  <c r="R421" i="62"/>
  <c r="R422" i="62"/>
  <c r="R425" i="62"/>
  <c r="R426" i="62"/>
  <c r="R427" i="62"/>
  <c r="R428" i="62"/>
  <c r="R429" i="62"/>
  <c r="R430" i="62"/>
  <c r="R431" i="62"/>
  <c r="R432" i="62"/>
  <c r="R435" i="62"/>
  <c r="R436" i="62"/>
  <c r="R437" i="62"/>
  <c r="E462" i="62"/>
  <c r="H514" i="62"/>
  <c r="H517" i="62" s="1"/>
  <c r="H518" i="62" s="1"/>
  <c r="Q494" i="62"/>
  <c r="C514" i="62"/>
  <c r="C517" i="62" s="1"/>
  <c r="C518" i="62" s="1"/>
  <c r="Q504" i="62"/>
  <c r="J558" i="62"/>
  <c r="J561" i="62" s="1"/>
  <c r="Q535" i="62"/>
  <c r="M546" i="62"/>
  <c r="M556" i="62"/>
  <c r="M557" i="62"/>
  <c r="I587" i="62"/>
  <c r="I593" i="62"/>
  <c r="I600" i="62"/>
  <c r="L662" i="62"/>
  <c r="L665" i="62" s="1"/>
  <c r="L666" i="62" s="1"/>
  <c r="K662" i="62"/>
  <c r="K665" i="62" s="1"/>
  <c r="K666" i="62" s="1"/>
  <c r="I684" i="62"/>
  <c r="I708" i="62"/>
  <c r="I751" i="62"/>
  <c r="N803" i="62"/>
  <c r="N806" i="62" s="1"/>
  <c r="I827" i="62"/>
  <c r="M463" i="62"/>
  <c r="M494" i="62"/>
  <c r="M504" i="62"/>
  <c r="I513" i="62"/>
  <c r="I546" i="62"/>
  <c r="R559" i="62"/>
  <c r="R583" i="62"/>
  <c r="G616" i="62"/>
  <c r="G619" i="62" s="1"/>
  <c r="G620" i="62" s="1"/>
  <c r="R590" i="62"/>
  <c r="R591" i="62"/>
  <c r="E593" i="62"/>
  <c r="R599" i="62"/>
  <c r="E600" i="62"/>
  <c r="R603" i="62"/>
  <c r="R604" i="62"/>
  <c r="R606" i="62"/>
  <c r="R607" i="62"/>
  <c r="R608" i="62"/>
  <c r="R609" i="62"/>
  <c r="D662" i="62"/>
  <c r="D665" i="62" s="1"/>
  <c r="D666" i="62" s="1"/>
  <c r="E649" i="62"/>
  <c r="E653" i="62"/>
  <c r="R657" i="62"/>
  <c r="M661" i="62"/>
  <c r="M688" i="62"/>
  <c r="E708" i="62"/>
  <c r="M737" i="62"/>
  <c r="M741" i="62"/>
  <c r="M745" i="62"/>
  <c r="E751" i="62"/>
  <c r="M752" i="62"/>
  <c r="J803" i="62"/>
  <c r="J806" i="62" s="1"/>
  <c r="M801" i="62"/>
  <c r="M827" i="62"/>
  <c r="M829" i="62"/>
  <c r="E834" i="62"/>
  <c r="E841" i="62"/>
  <c r="E846" i="62"/>
  <c r="K847" i="62"/>
  <c r="M513" i="62"/>
  <c r="M791" i="62"/>
  <c r="M781" i="62"/>
  <c r="Q776" i="62"/>
  <c r="I776" i="62"/>
  <c r="E776" i="62"/>
  <c r="R754" i="62"/>
  <c r="R704" i="62"/>
  <c r="R703" i="62"/>
  <c r="Q709" i="62"/>
  <c r="I842" i="62"/>
  <c r="E709" i="62"/>
  <c r="Q698" i="62"/>
  <c r="M698" i="62"/>
  <c r="I698" i="62"/>
  <c r="F710" i="62"/>
  <c r="F713" i="62" s="1"/>
  <c r="D710" i="62"/>
  <c r="D713" i="62" s="1"/>
  <c r="D714" i="62" s="1"/>
  <c r="E698" i="62"/>
  <c r="R675" i="62"/>
  <c r="R676" i="62"/>
  <c r="R677" i="62"/>
  <c r="R678" i="62"/>
  <c r="R679" i="62"/>
  <c r="R680" i="62"/>
  <c r="O662" i="62"/>
  <c r="O665" i="62" s="1"/>
  <c r="O666" i="62" s="1"/>
  <c r="M645" i="62"/>
  <c r="G662" i="62"/>
  <c r="G665" i="62" s="1"/>
  <c r="G666" i="62" s="1"/>
  <c r="I645" i="62"/>
  <c r="C662" i="62"/>
  <c r="C665" i="62" s="1"/>
  <c r="C666" i="62" s="1"/>
  <c r="P616" i="62"/>
  <c r="P619" i="62" s="1"/>
  <c r="P620" i="62" s="1"/>
  <c r="O616" i="62"/>
  <c r="O619" i="62" s="1"/>
  <c r="O620" i="62" s="1"/>
  <c r="Q615" i="62"/>
  <c r="K616" i="62"/>
  <c r="K619" i="62" s="1"/>
  <c r="K620" i="62" s="1"/>
  <c r="M615" i="62"/>
  <c r="L616" i="62"/>
  <c r="L619" i="62" s="1"/>
  <c r="L620" i="62" s="1"/>
  <c r="R612" i="62"/>
  <c r="R613" i="62"/>
  <c r="E615" i="62"/>
  <c r="R585" i="62"/>
  <c r="R571" i="62"/>
  <c r="R572" i="62"/>
  <c r="R573" i="62"/>
  <c r="R574" i="62"/>
  <c r="R575" i="62"/>
  <c r="R576" i="62"/>
  <c r="R577" i="62"/>
  <c r="R578" i="62"/>
  <c r="R579" i="62"/>
  <c r="R581" i="62"/>
  <c r="E587" i="62"/>
  <c r="D558" i="62"/>
  <c r="D561" i="62" s="1"/>
  <c r="D562" i="62" s="1"/>
  <c r="E541" i="62"/>
  <c r="I535" i="62"/>
  <c r="E504" i="62"/>
  <c r="Q499" i="62"/>
  <c r="M499" i="62"/>
  <c r="D514" i="62"/>
  <c r="D517" i="62" s="1"/>
  <c r="D518" i="62" s="1"/>
  <c r="E499" i="62"/>
  <c r="B835" i="62"/>
  <c r="R485" i="62"/>
  <c r="R487" i="62"/>
  <c r="Q845" i="62"/>
  <c r="Q463" i="62"/>
  <c r="M846" i="62"/>
  <c r="L848" i="62"/>
  <c r="L870" i="62" s="1"/>
  <c r="M845" i="62"/>
  <c r="F847" i="62"/>
  <c r="I846" i="62"/>
  <c r="R448" i="62"/>
  <c r="R449" i="62"/>
  <c r="R450" i="62"/>
  <c r="R451" i="62"/>
  <c r="R452" i="62"/>
  <c r="R454" i="62"/>
  <c r="R455" i="62"/>
  <c r="R456" i="62"/>
  <c r="R457" i="62"/>
  <c r="R458" i="62"/>
  <c r="R459" i="62"/>
  <c r="G848" i="62"/>
  <c r="G870" i="62" s="1"/>
  <c r="E463" i="62"/>
  <c r="R438" i="62"/>
  <c r="P839" i="62"/>
  <c r="P868" i="62" s="1"/>
  <c r="P464" i="62"/>
  <c r="P469" i="62" s="1"/>
  <c r="P470" i="62" s="1"/>
  <c r="Q838" i="62"/>
  <c r="O839" i="62"/>
  <c r="O868" i="62" s="1"/>
  <c r="R402" i="62"/>
  <c r="R403" i="62"/>
  <c r="R404" i="62"/>
  <c r="R405" i="62"/>
  <c r="R406" i="62"/>
  <c r="R407" i="62"/>
  <c r="R408" i="62"/>
  <c r="R394" i="62"/>
  <c r="N835" i="62"/>
  <c r="N866" i="62" s="1"/>
  <c r="O835" i="62"/>
  <c r="O866" i="62" s="1"/>
  <c r="G835" i="62"/>
  <c r="G866" i="62" s="1"/>
  <c r="M825" i="62"/>
  <c r="M826" i="62"/>
  <c r="R328" i="62"/>
  <c r="R329" i="62"/>
  <c r="R330" i="62"/>
  <c r="R331" i="62"/>
  <c r="R333" i="62"/>
  <c r="R335" i="62"/>
  <c r="R338" i="62"/>
  <c r="R340" i="62"/>
  <c r="R342" i="62"/>
  <c r="R343" i="62"/>
  <c r="R345" i="62"/>
  <c r="R346" i="62"/>
  <c r="R347" i="62"/>
  <c r="R348" i="62"/>
  <c r="R351" i="62"/>
  <c r="R352" i="62"/>
  <c r="R353" i="62"/>
  <c r="R354" i="62"/>
  <c r="R355" i="62"/>
  <c r="R356" i="62"/>
  <c r="R358" i="62"/>
  <c r="R359" i="62"/>
  <c r="R362" i="62"/>
  <c r="R363" i="62"/>
  <c r="R364" i="62"/>
  <c r="R365" i="62"/>
  <c r="R366" i="62"/>
  <c r="R367" i="62"/>
  <c r="R368" i="62"/>
  <c r="R369" i="62"/>
  <c r="R370" i="62"/>
  <c r="R372" i="62"/>
  <c r="R373" i="62"/>
  <c r="R374" i="62"/>
  <c r="R375" i="62"/>
  <c r="I825" i="62"/>
  <c r="R316" i="62"/>
  <c r="R318" i="62" s="1"/>
  <c r="I318" i="62"/>
  <c r="Q16" i="62"/>
  <c r="Q828" i="62"/>
  <c r="M16" i="62"/>
  <c r="L830" i="62"/>
  <c r="L864" i="62" s="1"/>
  <c r="M828" i="62"/>
  <c r="AD883" i="62"/>
  <c r="AO883" i="62" s="1"/>
  <c r="AD881" i="62"/>
  <c r="AO881" i="62" s="1"/>
  <c r="H830" i="62"/>
  <c r="H864" i="62" s="1"/>
  <c r="I828" i="62"/>
  <c r="I15" i="62"/>
  <c r="I17" i="62"/>
  <c r="R301" i="62"/>
  <c r="R302" i="62"/>
  <c r="R303" i="62"/>
  <c r="E828" i="62"/>
  <c r="E15" i="62"/>
  <c r="E17" i="62"/>
  <c r="Q298" i="62"/>
  <c r="P848" i="62"/>
  <c r="P870" i="62" s="1"/>
  <c r="N848" i="62"/>
  <c r="N870" i="62" s="1"/>
  <c r="Q843" i="62"/>
  <c r="M298" i="62"/>
  <c r="J848" i="62"/>
  <c r="J870" i="62" s="1"/>
  <c r="I843" i="62"/>
  <c r="H848" i="62"/>
  <c r="H870" i="62" s="1"/>
  <c r="I298" i="62"/>
  <c r="C848" i="62"/>
  <c r="C870" i="62" s="1"/>
  <c r="E843" i="62"/>
  <c r="E842" i="62"/>
  <c r="D848" i="62"/>
  <c r="D870" i="62" s="1"/>
  <c r="Q278" i="62"/>
  <c r="C839" i="62"/>
  <c r="C868" i="62" s="1"/>
  <c r="Q825" i="62"/>
  <c r="F835" i="62"/>
  <c r="F866" i="62" s="1"/>
  <c r="R210" i="62"/>
  <c r="R211" i="62"/>
  <c r="I832" i="62"/>
  <c r="G839" i="62"/>
  <c r="G868" i="62" s="1"/>
  <c r="I838" i="62"/>
  <c r="D830" i="62"/>
  <c r="E825" i="62"/>
  <c r="M124" i="62"/>
  <c r="K848" i="62"/>
  <c r="K870" i="62" s="1"/>
  <c r="M125" i="62"/>
  <c r="I124" i="62"/>
  <c r="Q833" i="62"/>
  <c r="K835" i="62"/>
  <c r="K866" i="62" s="1"/>
  <c r="M833" i="62"/>
  <c r="D835" i="62"/>
  <c r="D866" i="62" s="1"/>
  <c r="C835" i="62"/>
  <c r="C866" i="62" s="1"/>
  <c r="E833" i="62"/>
  <c r="O126" i="62"/>
  <c r="O129" i="62" s="1"/>
  <c r="O130" i="62" s="1"/>
  <c r="K126" i="62"/>
  <c r="K129" i="62" s="1"/>
  <c r="K130" i="62" s="1"/>
  <c r="I826" i="62"/>
  <c r="G126" i="62"/>
  <c r="G129" i="62" s="1"/>
  <c r="G130" i="62" s="1"/>
  <c r="C126" i="62"/>
  <c r="C129" i="62" s="1"/>
  <c r="C130" i="62" s="1"/>
  <c r="E826" i="62"/>
  <c r="L1004" i="62"/>
  <c r="H1004" i="62"/>
  <c r="K1004" i="62"/>
  <c r="I1004" i="62"/>
  <c r="K630" i="62"/>
  <c r="I998" i="62"/>
  <c r="L998" i="62"/>
  <c r="K998" i="62"/>
  <c r="H998" i="62"/>
  <c r="C630" i="62"/>
  <c r="L1006" i="62"/>
  <c r="H1006" i="62"/>
  <c r="I1006" i="62"/>
  <c r="K1006" i="62"/>
  <c r="N319" i="62"/>
  <c r="AP885" i="62" s="1"/>
  <c r="I999" i="62"/>
  <c r="L999" i="62"/>
  <c r="H999" i="62"/>
  <c r="K999" i="62"/>
  <c r="D724" i="62"/>
  <c r="D630" i="62"/>
  <c r="D319" i="62"/>
  <c r="AP878" i="62" s="1"/>
  <c r="D28" i="62"/>
  <c r="I1003" i="62"/>
  <c r="L1003" i="62"/>
  <c r="H1003" i="62"/>
  <c r="K1003" i="62"/>
  <c r="J319" i="62"/>
  <c r="AP882" i="62" s="1"/>
  <c r="J28" i="62"/>
  <c r="K1007" i="62"/>
  <c r="I1007" i="62"/>
  <c r="L1007" i="62"/>
  <c r="H1007" i="62"/>
  <c r="O630" i="62"/>
  <c r="O28" i="62"/>
  <c r="L1008" i="62"/>
  <c r="H1008" i="62"/>
  <c r="K1008" i="62"/>
  <c r="I1008" i="62"/>
  <c r="P630" i="62"/>
  <c r="P724" i="62"/>
  <c r="P28" i="62"/>
  <c r="L1000" i="62"/>
  <c r="H1000" i="62"/>
  <c r="K1000" i="62"/>
  <c r="I1000" i="62"/>
  <c r="F724" i="62"/>
  <c r="K997" i="62"/>
  <c r="L997" i="62"/>
  <c r="I997" i="62"/>
  <c r="H997" i="62"/>
  <c r="B724" i="62"/>
  <c r="B319" i="62"/>
  <c r="AP876" i="62" s="1"/>
  <c r="B28" i="62"/>
  <c r="K1001" i="62"/>
  <c r="I1001" i="62"/>
  <c r="H1001" i="62"/>
  <c r="L1001" i="62"/>
  <c r="G724" i="62"/>
  <c r="I1005" i="62"/>
  <c r="K1005" i="62"/>
  <c r="H1005" i="62"/>
  <c r="L1005" i="62"/>
  <c r="L724" i="62"/>
  <c r="L319" i="62"/>
  <c r="AP884" i="62" s="1"/>
  <c r="L28" i="62"/>
  <c r="I1002" i="62"/>
  <c r="H1002" i="62"/>
  <c r="L1002" i="62"/>
  <c r="K1002" i="62"/>
  <c r="G28" i="62"/>
  <c r="F319" i="62"/>
  <c r="AP879" i="62" s="1"/>
  <c r="P319" i="62"/>
  <c r="AP887" i="62" s="1"/>
  <c r="M377" i="62"/>
  <c r="N28" i="62"/>
  <c r="I377" i="62"/>
  <c r="H319" i="62"/>
  <c r="AP881" i="62" s="1"/>
  <c r="E377" i="62"/>
  <c r="F28" i="62"/>
  <c r="K28" i="62"/>
  <c r="H28" i="62"/>
  <c r="O319" i="62"/>
  <c r="AP886" i="62" s="1"/>
  <c r="F830" i="62"/>
  <c r="C28" i="62"/>
  <c r="E41" i="62"/>
  <c r="I41" i="62"/>
  <c r="M41" i="62"/>
  <c r="Q41" i="62"/>
  <c r="E89" i="62"/>
  <c r="I89" i="62"/>
  <c r="M89" i="62"/>
  <c r="Q89" i="62"/>
  <c r="P824" i="62"/>
  <c r="P830" i="62" s="1"/>
  <c r="D206" i="62"/>
  <c r="D299" i="62" s="1"/>
  <c r="D307" i="62" s="1"/>
  <c r="D308" i="62" s="1"/>
  <c r="L206" i="62"/>
  <c r="P206" i="62"/>
  <c r="P299" i="62" s="1"/>
  <c r="P307" i="62" s="1"/>
  <c r="E278" i="62"/>
  <c r="F278" i="62"/>
  <c r="J278" i="62"/>
  <c r="AF919" i="62"/>
  <c r="F922" i="62"/>
  <c r="AE919" i="62"/>
  <c r="AD919" i="62"/>
  <c r="AG919" i="62"/>
  <c r="AD884" i="62"/>
  <c r="K319" i="62"/>
  <c r="AP883" i="62" s="1"/>
  <c r="Q332" i="62"/>
  <c r="AA384" i="62"/>
  <c r="AC385" i="62"/>
  <c r="H391" i="62"/>
  <c r="I391" i="62" s="1"/>
  <c r="E837" i="62"/>
  <c r="B839" i="62"/>
  <c r="I837" i="62"/>
  <c r="F839" i="62"/>
  <c r="M837" i="62"/>
  <c r="J839" i="62"/>
  <c r="Q837" i="62"/>
  <c r="N839" i="62"/>
  <c r="B439" i="62"/>
  <c r="F439" i="62"/>
  <c r="F464" i="62" s="1"/>
  <c r="J439" i="62"/>
  <c r="N439" i="62"/>
  <c r="Q439" i="62" s="1"/>
  <c r="E535" i="62"/>
  <c r="H558" i="62"/>
  <c r="H561" i="62" s="1"/>
  <c r="N558" i="62"/>
  <c r="R539" i="62"/>
  <c r="I541" i="62"/>
  <c r="R545" i="62"/>
  <c r="N830" i="62"/>
  <c r="F915" i="62"/>
  <c r="AG912" i="62"/>
  <c r="AF912" i="62"/>
  <c r="AE912" i="62"/>
  <c r="AD877" i="62"/>
  <c r="AD912" i="62"/>
  <c r="G319" i="62"/>
  <c r="AP880" i="62" s="1"/>
  <c r="K839" i="62"/>
  <c r="K868" i="62" s="1"/>
  <c r="C439" i="62"/>
  <c r="C464" i="62" s="1"/>
  <c r="C469" i="62" s="1"/>
  <c r="G439" i="62"/>
  <c r="G464" i="62" s="1"/>
  <c r="G469" i="62" s="1"/>
  <c r="K439" i="62"/>
  <c r="K464" i="62" s="1"/>
  <c r="K469" i="62" s="1"/>
  <c r="L630" i="62"/>
  <c r="J830" i="62"/>
  <c r="G824" i="62"/>
  <c r="G830" i="62" s="1"/>
  <c r="K824" i="62"/>
  <c r="K830" i="62" s="1"/>
  <c r="B824" i="62"/>
  <c r="J206" i="62"/>
  <c r="E838" i="62"/>
  <c r="H278" i="62"/>
  <c r="L278" i="62"/>
  <c r="E304" i="62"/>
  <c r="R304" i="62" s="1"/>
  <c r="C319" i="62"/>
  <c r="AP877" i="62" s="1"/>
  <c r="Q326" i="62"/>
  <c r="R326" i="62" s="1"/>
  <c r="AD382" i="62"/>
  <c r="AM382" i="62" s="1"/>
  <c r="AC384" i="62"/>
  <c r="J391" i="62"/>
  <c r="M391" i="62" s="1"/>
  <c r="D839" i="62"/>
  <c r="D868" i="62" s="1"/>
  <c r="H839" i="62"/>
  <c r="H868" i="62" s="1"/>
  <c r="L839" i="62"/>
  <c r="L868" i="62" s="1"/>
  <c r="Q410" i="62"/>
  <c r="R410" i="62" s="1"/>
  <c r="D439" i="62"/>
  <c r="D464" i="62" s="1"/>
  <c r="D469" i="62" s="1"/>
  <c r="H439" i="62"/>
  <c r="L439" i="62"/>
  <c r="L464" i="62" s="1"/>
  <c r="L469" i="62" s="1"/>
  <c r="F558" i="62"/>
  <c r="M535" i="62"/>
  <c r="P558" i="62"/>
  <c r="P561" i="62" s="1"/>
  <c r="Q541" i="62"/>
  <c r="H630" i="62"/>
  <c r="N630" i="62"/>
  <c r="R1084" i="62"/>
  <c r="R1039" i="62"/>
  <c r="R1014" i="62"/>
  <c r="R960" i="62"/>
  <c r="AS961" i="62"/>
  <c r="R931" i="62"/>
  <c r="AS926" i="62"/>
  <c r="R905" i="62"/>
  <c r="AT899" i="62"/>
  <c r="AT867" i="62"/>
  <c r="R876" i="62"/>
  <c r="R852" i="62"/>
  <c r="R811" i="62"/>
  <c r="E96" i="62"/>
  <c r="I96" i="62"/>
  <c r="M96" i="62"/>
  <c r="Q96" i="62"/>
  <c r="C824" i="62"/>
  <c r="C830" i="62" s="1"/>
  <c r="O824" i="62"/>
  <c r="O830" i="62" s="1"/>
  <c r="C206" i="62"/>
  <c r="C299" i="62" s="1"/>
  <c r="C307" i="62" s="1"/>
  <c r="C308" i="62" s="1"/>
  <c r="G299" i="62"/>
  <c r="G307" i="62" s="1"/>
  <c r="G308" i="62" s="1"/>
  <c r="K206" i="62"/>
  <c r="K299" i="62" s="1"/>
  <c r="K307" i="62" s="1"/>
  <c r="O206" i="62"/>
  <c r="O299" i="62" s="1"/>
  <c r="O307" i="62" s="1"/>
  <c r="Q318" i="62"/>
  <c r="B514" i="62"/>
  <c r="F514" i="62"/>
  <c r="J514" i="62"/>
  <c r="N514" i="62"/>
  <c r="B616" i="62"/>
  <c r="F616" i="62"/>
  <c r="J616" i="62"/>
  <c r="N616" i="62"/>
  <c r="E629" i="62"/>
  <c r="I629" i="62"/>
  <c r="M629" i="62"/>
  <c r="Q629" i="62"/>
  <c r="J630" i="62"/>
  <c r="B662" i="62"/>
  <c r="F662" i="62"/>
  <c r="J662" i="62"/>
  <c r="N662" i="62"/>
  <c r="H710" i="62"/>
  <c r="H713" i="62" s="1"/>
  <c r="J724" i="62"/>
  <c r="M723" i="62"/>
  <c r="O724" i="62"/>
  <c r="C558" i="62"/>
  <c r="C561" i="62" s="1"/>
  <c r="G558" i="62"/>
  <c r="G561" i="62" s="1"/>
  <c r="K558" i="62"/>
  <c r="K561" i="62" s="1"/>
  <c r="O558" i="62"/>
  <c r="O561" i="62" s="1"/>
  <c r="F630" i="62"/>
  <c r="E684" i="62"/>
  <c r="M684" i="62"/>
  <c r="Q684" i="62"/>
  <c r="J835" i="62"/>
  <c r="B630" i="62"/>
  <c r="G630" i="62"/>
  <c r="R721" i="62"/>
  <c r="E723" i="62"/>
  <c r="K724" i="62"/>
  <c r="I833" i="62"/>
  <c r="C724" i="62"/>
  <c r="H724" i="62"/>
  <c r="N724" i="62"/>
  <c r="Q723" i="62"/>
  <c r="I737" i="62"/>
  <c r="H835" i="62"/>
  <c r="H866" i="62" s="1"/>
  <c r="L835" i="62"/>
  <c r="L866" i="62" s="1"/>
  <c r="P835" i="62"/>
  <c r="P866" i="62" s="1"/>
  <c r="F848" i="62"/>
  <c r="B753" i="62"/>
  <c r="F753" i="62"/>
  <c r="J753" i="62"/>
  <c r="N753" i="62"/>
  <c r="D803" i="62"/>
  <c r="D806" i="62" s="1"/>
  <c r="H803" i="62"/>
  <c r="H806" i="62" s="1"/>
  <c r="L803" i="62"/>
  <c r="L806" i="62" s="1"/>
  <c r="P803" i="62"/>
  <c r="P806" i="62" s="1"/>
  <c r="E844" i="62"/>
  <c r="I844" i="62"/>
  <c r="M844" i="62"/>
  <c r="Q844" i="62"/>
  <c r="B848" i="62"/>
  <c r="AO880" i="62"/>
  <c r="AO882" i="62"/>
  <c r="E832" i="62"/>
  <c r="G914" i="62"/>
  <c r="G898" i="62"/>
  <c r="G916" i="62"/>
  <c r="AE915" i="62"/>
  <c r="AD915" i="62"/>
  <c r="G921" i="62"/>
  <c r="G925" i="62"/>
  <c r="F898" i="62"/>
  <c r="AG913" i="62"/>
  <c r="AG914" i="62"/>
  <c r="F917" i="62"/>
  <c r="AF921" i="62"/>
  <c r="AD878" i="62"/>
  <c r="AD879" i="62"/>
  <c r="G918" i="62"/>
  <c r="AD916" i="62"/>
  <c r="AG916" i="62"/>
  <c r="G922" i="62"/>
  <c r="AE920" i="62"/>
  <c r="F923" i="62"/>
  <c r="AD920" i="62"/>
  <c r="AF911" i="62"/>
  <c r="AD913" i="62"/>
  <c r="AF916" i="62"/>
  <c r="G917" i="62"/>
  <c r="AD918" i="62"/>
  <c r="F919" i="62"/>
  <c r="F916" i="62"/>
  <c r="G919" i="62"/>
  <c r="AG917" i="62"/>
  <c r="F920" i="62"/>
  <c r="AF917" i="62"/>
  <c r="G923" i="62"/>
  <c r="AE921" i="62"/>
  <c r="F924" i="62"/>
  <c r="AD921" i="62"/>
  <c r="AG911" i="62"/>
  <c r="AE913" i="62"/>
  <c r="F914" i="62"/>
  <c r="AF915" i="62"/>
  <c r="AD917" i="62"/>
  <c r="AF920" i="62"/>
  <c r="AF922" i="62"/>
  <c r="AE914" i="62"/>
  <c r="G920" i="62"/>
  <c r="AF918" i="62"/>
  <c r="F921" i="62"/>
  <c r="AE918" i="62"/>
  <c r="G924" i="62"/>
  <c r="AE922" i="62"/>
  <c r="F925" i="62"/>
  <c r="AD922" i="62"/>
  <c r="AD911" i="62"/>
  <c r="AF913" i="62"/>
  <c r="AF914" i="62"/>
  <c r="G915" i="62"/>
  <c r="AG915" i="62"/>
  <c r="AE917" i="62"/>
  <c r="F918" i="62"/>
  <c r="AG920" i="62"/>
  <c r="AG922" i="62"/>
  <c r="J999" i="62"/>
  <c r="J1001" i="62"/>
  <c r="J1004" i="62"/>
  <c r="J997" i="62"/>
  <c r="J1000" i="62"/>
  <c r="J1003" i="62"/>
  <c r="J1007" i="62"/>
  <c r="J1006" i="62"/>
  <c r="J998" i="62"/>
  <c r="J1002" i="62"/>
  <c r="J1005" i="62"/>
  <c r="J1008" i="62"/>
  <c r="I1112" i="62"/>
  <c r="C1029" i="62"/>
  <c r="B1023" i="62"/>
  <c r="AD1024" i="62" s="1"/>
  <c r="B1033" i="62"/>
  <c r="J1100" i="62"/>
  <c r="M1050" i="62"/>
  <c r="M1052" i="62"/>
  <c r="M1054" i="62"/>
  <c r="M1049" i="62"/>
  <c r="M1051" i="62"/>
  <c r="M1059" i="62"/>
  <c r="M1055" i="62"/>
  <c r="M1053" i="62"/>
  <c r="M1058" i="62"/>
  <c r="M1057" i="62"/>
  <c r="M1060" i="62"/>
  <c r="M1056" i="62"/>
  <c r="O759" i="62" l="1"/>
  <c r="P895" i="62" s="1"/>
  <c r="R826" i="62"/>
  <c r="B1049" i="62"/>
  <c r="Q1049" i="62" s="1"/>
  <c r="AD1026" i="62"/>
  <c r="AD1041" i="62"/>
  <c r="AD1025" i="62"/>
  <c r="AD1028" i="62"/>
  <c r="AD1022" i="62"/>
  <c r="AD1027" i="62"/>
  <c r="AD1023" i="62"/>
  <c r="AD1045" i="62"/>
  <c r="AD1031" i="62"/>
  <c r="AD1034" i="62"/>
  <c r="AD1042" i="62"/>
  <c r="AD1044" i="62"/>
  <c r="AD1038" i="62"/>
  <c r="AD1036" i="62"/>
  <c r="AD1032" i="62"/>
  <c r="AD1029" i="62"/>
  <c r="AD1030" i="62"/>
  <c r="AD1037" i="62"/>
  <c r="AD1043" i="62"/>
  <c r="AD1035" i="62"/>
  <c r="AD1040" i="62"/>
  <c r="AD1039" i="62"/>
  <c r="K758" i="62"/>
  <c r="G758" i="62"/>
  <c r="L759" i="62"/>
  <c r="L760" i="62" s="1"/>
  <c r="R377" i="62"/>
  <c r="C759" i="62"/>
  <c r="P886" i="62" s="1"/>
  <c r="H758" i="62"/>
  <c r="R27" i="62"/>
  <c r="D759" i="62"/>
  <c r="P887" i="62" s="1"/>
  <c r="AD385" i="62"/>
  <c r="AM385" i="62" s="1"/>
  <c r="Q59" i="62"/>
  <c r="P758" i="62"/>
  <c r="Q847" i="62"/>
  <c r="E847" i="62"/>
  <c r="M710" i="62"/>
  <c r="O808" i="62"/>
  <c r="O809" i="62" s="1"/>
  <c r="C808" i="62"/>
  <c r="Q886" i="62" s="1"/>
  <c r="Q710" i="62"/>
  <c r="G807" i="62"/>
  <c r="I847" i="62"/>
  <c r="M847" i="62"/>
  <c r="R14" i="62"/>
  <c r="R752" i="62"/>
  <c r="R58" i="62"/>
  <c r="R213" i="62"/>
  <c r="N62" i="62"/>
  <c r="N63" i="62" s="1"/>
  <c r="R791" i="62"/>
  <c r="R802" i="62"/>
  <c r="R614" i="62"/>
  <c r="R124" i="62"/>
  <c r="R834" i="62"/>
  <c r="R827" i="62"/>
  <c r="R781" i="62"/>
  <c r="R846" i="62"/>
  <c r="R751" i="62"/>
  <c r="R661" i="62"/>
  <c r="R745" i="62"/>
  <c r="R600" i="62"/>
  <c r="M59" i="62"/>
  <c r="R16" i="62"/>
  <c r="R832" i="62"/>
  <c r="Q848" i="62"/>
  <c r="E710" i="62"/>
  <c r="R645" i="62"/>
  <c r="R698" i="62"/>
  <c r="R776" i="62"/>
  <c r="R708" i="62"/>
  <c r="R297" i="62"/>
  <c r="R18" i="62"/>
  <c r="E126" i="62"/>
  <c r="Q126" i="62"/>
  <c r="R841" i="62"/>
  <c r="R57" i="62"/>
  <c r="R512" i="62"/>
  <c r="R46" i="62"/>
  <c r="R845" i="62"/>
  <c r="R801" i="62"/>
  <c r="R688" i="62"/>
  <c r="R557" i="62"/>
  <c r="I59" i="62"/>
  <c r="R660" i="62"/>
  <c r="R556" i="62"/>
  <c r="R462" i="62"/>
  <c r="K807" i="62"/>
  <c r="J62" i="62"/>
  <c r="J63" i="62" s="1"/>
  <c r="R15" i="62"/>
  <c r="R829" i="62"/>
  <c r="R593" i="62"/>
  <c r="R494" i="62"/>
  <c r="R741" i="62"/>
  <c r="R546" i="62"/>
  <c r="R107" i="62"/>
  <c r="S82" i="62"/>
  <c r="R513" i="62"/>
  <c r="R653" i="62"/>
  <c r="R541" i="62"/>
  <c r="R391" i="62"/>
  <c r="R41" i="62"/>
  <c r="R125" i="62"/>
  <c r="R50" i="62"/>
  <c r="E59" i="62"/>
  <c r="R298" i="62"/>
  <c r="R843" i="62"/>
  <c r="R17" i="62"/>
  <c r="R463" i="62"/>
  <c r="R587" i="62"/>
  <c r="R737" i="62"/>
  <c r="AM383" i="62"/>
  <c r="R504" i="62"/>
  <c r="R649" i="62"/>
  <c r="K725" i="62"/>
  <c r="O892" i="62" s="1"/>
  <c r="G725" i="62"/>
  <c r="O889" i="62" s="1"/>
  <c r="R709" i="62"/>
  <c r="R842" i="62"/>
  <c r="R684" i="62"/>
  <c r="Q870" i="62"/>
  <c r="R615" i="62"/>
  <c r="E835" i="62"/>
  <c r="R499" i="62"/>
  <c r="B866" i="62"/>
  <c r="E866" i="62" s="1"/>
  <c r="M870" i="62"/>
  <c r="R838" i="62"/>
  <c r="D849" i="62"/>
  <c r="R825" i="62"/>
  <c r="R828" i="62"/>
  <c r="AE924" i="62"/>
  <c r="D864" i="62"/>
  <c r="D872" i="62" s="1"/>
  <c r="D13" i="62" s="1"/>
  <c r="M848" i="62"/>
  <c r="R833" i="62"/>
  <c r="I126" i="62"/>
  <c r="M824" i="62"/>
  <c r="M126" i="62"/>
  <c r="R89" i="62"/>
  <c r="B1053" i="62"/>
  <c r="Q1053" i="62" s="1"/>
  <c r="B1055" i="62"/>
  <c r="Q1055" i="62" s="1"/>
  <c r="B1051" i="62"/>
  <c r="Q1051" i="62" s="1"/>
  <c r="B1060" i="62"/>
  <c r="Q1060" i="62" s="1"/>
  <c r="B1054" i="62"/>
  <c r="Q1054" i="62" s="1"/>
  <c r="B1056" i="62"/>
  <c r="Q1056" i="62" s="1"/>
  <c r="B1057" i="62"/>
  <c r="Q1057" i="62" s="1"/>
  <c r="B1058" i="62"/>
  <c r="Q1058" i="62" s="1"/>
  <c r="B1052" i="62"/>
  <c r="Q1052" i="62" s="1"/>
  <c r="B1050" i="62"/>
  <c r="Q1050" i="62" s="1"/>
  <c r="B1059" i="62"/>
  <c r="Q1059" i="62" s="1"/>
  <c r="C470" i="62"/>
  <c r="D470" i="62"/>
  <c r="F469" i="62"/>
  <c r="K470" i="62"/>
  <c r="L470" i="62"/>
  <c r="G470" i="62"/>
  <c r="AG924" i="62"/>
  <c r="AO878" i="62"/>
  <c r="AD889" i="62"/>
  <c r="B870" i="62"/>
  <c r="E870" i="62" s="1"/>
  <c r="E848" i="62"/>
  <c r="R844" i="62"/>
  <c r="D808" i="62"/>
  <c r="D807" i="62"/>
  <c r="B757" i="62"/>
  <c r="E753" i="62"/>
  <c r="I866" i="62"/>
  <c r="M803" i="62"/>
  <c r="J866" i="62"/>
  <c r="M866" i="62" s="1"/>
  <c r="M835" i="62"/>
  <c r="K562" i="62"/>
  <c r="Q835" i="62"/>
  <c r="B808" i="62"/>
  <c r="B807" i="62"/>
  <c r="E806" i="62"/>
  <c r="Q662" i="62"/>
  <c r="N665" i="62"/>
  <c r="R629" i="62"/>
  <c r="E616" i="62"/>
  <c r="B619" i="62"/>
  <c r="E558" i="62"/>
  <c r="Q514" i="62"/>
  <c r="N517" i="62"/>
  <c r="O308" i="62"/>
  <c r="O849" i="62"/>
  <c r="O864" i="62"/>
  <c r="O872" i="62" s="1"/>
  <c r="O13" i="62" s="1"/>
  <c r="H849" i="62"/>
  <c r="I710" i="62"/>
  <c r="P562" i="62"/>
  <c r="Q206" i="62"/>
  <c r="N299" i="62"/>
  <c r="E824" i="62"/>
  <c r="B830" i="62"/>
  <c r="J864" i="62"/>
  <c r="J849" i="62"/>
  <c r="M830" i="62"/>
  <c r="J714" i="62"/>
  <c r="M713" i="62"/>
  <c r="N864" i="62"/>
  <c r="N849" i="62"/>
  <c r="Q830" i="62"/>
  <c r="R535" i="62"/>
  <c r="E439" i="62"/>
  <c r="R837" i="62"/>
  <c r="R332" i="62"/>
  <c r="S355" i="62" s="1"/>
  <c r="I278" i="62"/>
  <c r="H299" i="62"/>
  <c r="H307" i="62" s="1"/>
  <c r="H308" i="62" s="1"/>
  <c r="H464" i="62"/>
  <c r="H469" i="62" s="1"/>
  <c r="J464" i="62"/>
  <c r="Q129" i="62"/>
  <c r="N130" i="62"/>
  <c r="P807" i="62"/>
  <c r="P808" i="62"/>
  <c r="P725" i="62" s="1"/>
  <c r="N757" i="62"/>
  <c r="Q753" i="62"/>
  <c r="Q892" i="62"/>
  <c r="K809" i="62"/>
  <c r="P896" i="62"/>
  <c r="P760" i="62"/>
  <c r="R723" i="62"/>
  <c r="N807" i="62"/>
  <c r="N808" i="62"/>
  <c r="Q806" i="62"/>
  <c r="G562" i="62"/>
  <c r="Q866" i="62"/>
  <c r="E803" i="62"/>
  <c r="P889" i="62"/>
  <c r="G760" i="62"/>
  <c r="M662" i="62"/>
  <c r="J665" i="62"/>
  <c r="Q616" i="62"/>
  <c r="N619" i="62"/>
  <c r="M514" i="62"/>
  <c r="J517" i="62"/>
  <c r="K308" i="62"/>
  <c r="C864" i="62"/>
  <c r="C872" i="62" s="1"/>
  <c r="C13" i="62" s="1"/>
  <c r="C849" i="62"/>
  <c r="H872" i="62"/>
  <c r="H13" i="62" s="1"/>
  <c r="M206" i="62"/>
  <c r="J299" i="62"/>
  <c r="AO877" i="62"/>
  <c r="Q824" i="62"/>
  <c r="N868" i="62"/>
  <c r="Q868" i="62" s="1"/>
  <c r="Q839" i="62"/>
  <c r="F868" i="62"/>
  <c r="I868" i="62" s="1"/>
  <c r="I839" i="62"/>
  <c r="S186" i="62"/>
  <c r="F864" i="62"/>
  <c r="F849" i="62"/>
  <c r="I830" i="62"/>
  <c r="J130" i="62"/>
  <c r="M129" i="62"/>
  <c r="AD924" i="62"/>
  <c r="L807" i="62"/>
  <c r="L808" i="62"/>
  <c r="J757" i="62"/>
  <c r="M753" i="62"/>
  <c r="F870" i="62"/>
  <c r="I870" i="62" s="1"/>
  <c r="I848" i="62"/>
  <c r="F808" i="62"/>
  <c r="F807" i="62"/>
  <c r="I806" i="62"/>
  <c r="Q803" i="62"/>
  <c r="P890" i="62"/>
  <c r="H760" i="62"/>
  <c r="C562" i="62"/>
  <c r="I662" i="62"/>
  <c r="F665" i="62"/>
  <c r="M616" i="62"/>
  <c r="J619" i="62"/>
  <c r="B714" i="62"/>
  <c r="E713" i="62"/>
  <c r="I514" i="62"/>
  <c r="F517" i="62"/>
  <c r="R395" i="62"/>
  <c r="L872" i="62"/>
  <c r="L13" i="62" s="1"/>
  <c r="I558" i="62"/>
  <c r="F561" i="62"/>
  <c r="I206" i="62"/>
  <c r="F299" i="62"/>
  <c r="F307" i="62" s="1"/>
  <c r="F308" i="62" s="1"/>
  <c r="K849" i="62"/>
  <c r="K864" i="62"/>
  <c r="K872" i="62" s="1"/>
  <c r="K13" i="62" s="1"/>
  <c r="J562" i="62"/>
  <c r="M561" i="62"/>
  <c r="N714" i="62"/>
  <c r="Q713" i="62"/>
  <c r="Q558" i="62"/>
  <c r="N561" i="62"/>
  <c r="M439" i="62"/>
  <c r="AO884" i="62"/>
  <c r="P308" i="62"/>
  <c r="P864" i="62"/>
  <c r="P872" i="62" s="1"/>
  <c r="P13" i="62" s="1"/>
  <c r="P849" i="62"/>
  <c r="I824" i="62"/>
  <c r="E129" i="62"/>
  <c r="B130" i="62"/>
  <c r="B464" i="62"/>
  <c r="F63" i="62"/>
  <c r="I62" i="62"/>
  <c r="AF924" i="62"/>
  <c r="AO879" i="62"/>
  <c r="H807" i="62"/>
  <c r="H808" i="62"/>
  <c r="F757" i="62"/>
  <c r="I753" i="62"/>
  <c r="I803" i="62"/>
  <c r="P892" i="62"/>
  <c r="K760" i="62"/>
  <c r="I835" i="62"/>
  <c r="J808" i="62"/>
  <c r="J807" i="62"/>
  <c r="M806" i="62"/>
  <c r="O562" i="62"/>
  <c r="Q889" i="62"/>
  <c r="G809" i="62"/>
  <c r="H714" i="62"/>
  <c r="E662" i="62"/>
  <c r="B665" i="62"/>
  <c r="I616" i="62"/>
  <c r="F619" i="62"/>
  <c r="B562" i="62"/>
  <c r="E561" i="62"/>
  <c r="E514" i="62"/>
  <c r="B517" i="62"/>
  <c r="L849" i="62"/>
  <c r="R96" i="62"/>
  <c r="I713" i="62"/>
  <c r="F714" i="62"/>
  <c r="E206" i="62"/>
  <c r="B308" i="62"/>
  <c r="G849" i="62"/>
  <c r="G864" i="62"/>
  <c r="G872" i="62" s="1"/>
  <c r="G13" i="62" s="1"/>
  <c r="M558" i="62"/>
  <c r="H562" i="62"/>
  <c r="I439" i="62"/>
  <c r="J868" i="62"/>
  <c r="M868" i="62" s="1"/>
  <c r="M839" i="62"/>
  <c r="B868" i="62"/>
  <c r="E868" i="62" s="1"/>
  <c r="E839" i="62"/>
  <c r="AD384" i="62"/>
  <c r="AM384" i="62" s="1"/>
  <c r="M278" i="62"/>
  <c r="L299" i="62"/>
  <c r="L307" i="62" s="1"/>
  <c r="N464" i="62"/>
  <c r="B63" i="62"/>
  <c r="E62" i="62"/>
  <c r="I129" i="62"/>
  <c r="F130" i="62"/>
  <c r="B792" i="53"/>
  <c r="C792" i="53"/>
  <c r="D792" i="53"/>
  <c r="F792" i="53"/>
  <c r="G792" i="53"/>
  <c r="H792" i="53"/>
  <c r="J792" i="53"/>
  <c r="K792" i="53"/>
  <c r="L792" i="53"/>
  <c r="N792" i="53"/>
  <c r="O792" i="53"/>
  <c r="P792" i="53"/>
  <c r="Q561" i="53"/>
  <c r="M561" i="53"/>
  <c r="I561" i="53"/>
  <c r="E561" i="53"/>
  <c r="O302" i="53"/>
  <c r="O738" i="53"/>
  <c r="O732" i="53"/>
  <c r="O176" i="53"/>
  <c r="O353" i="53"/>
  <c r="O174" i="53"/>
  <c r="O315" i="53"/>
  <c r="O367" i="53"/>
  <c r="O369" i="53"/>
  <c r="O157" i="53"/>
  <c r="O380" i="53"/>
  <c r="Q106" i="53"/>
  <c r="M106" i="53"/>
  <c r="I106" i="53"/>
  <c r="E106" i="53"/>
  <c r="O304" i="53"/>
  <c r="O760" i="62" l="1"/>
  <c r="P893" i="62"/>
  <c r="P922" i="62" s="1"/>
  <c r="Q1061" i="62"/>
  <c r="AD1046" i="62"/>
  <c r="L725" i="62"/>
  <c r="L726" i="62" s="1"/>
  <c r="C760" i="62"/>
  <c r="D725" i="62"/>
  <c r="O887" i="62" s="1"/>
  <c r="D760" i="62"/>
  <c r="C725" i="62"/>
  <c r="C715" i="62" s="1"/>
  <c r="N886" i="62" s="1"/>
  <c r="N943" i="62" s="1"/>
  <c r="Q895" i="62"/>
  <c r="Q924" i="62" s="1"/>
  <c r="C809" i="62"/>
  <c r="O725" i="62"/>
  <c r="O726" i="62" s="1"/>
  <c r="R847" i="62"/>
  <c r="Q62" i="62"/>
  <c r="R278" i="62"/>
  <c r="M62" i="62"/>
  <c r="R710" i="62"/>
  <c r="R59" i="62"/>
  <c r="R662" i="62"/>
  <c r="G715" i="62"/>
  <c r="N889" i="62" s="1"/>
  <c r="R126" i="62"/>
  <c r="G726" i="62"/>
  <c r="K726" i="62"/>
  <c r="K715" i="62"/>
  <c r="N892" i="62" s="1"/>
  <c r="R839" i="62"/>
  <c r="R835" i="62"/>
  <c r="R514" i="62"/>
  <c r="R868" i="62"/>
  <c r="R206" i="62"/>
  <c r="R866" i="62"/>
  <c r="E299" i="62"/>
  <c r="Q891" i="62"/>
  <c r="J809" i="62"/>
  <c r="M808" i="62"/>
  <c r="I299" i="62"/>
  <c r="I517" i="62"/>
  <c r="F518" i="62"/>
  <c r="M299" i="62"/>
  <c r="J307" i="62"/>
  <c r="Q894" i="62"/>
  <c r="Q808" i="62"/>
  <c r="N809" i="62"/>
  <c r="M464" i="62"/>
  <c r="J469" i="62"/>
  <c r="M849" i="62"/>
  <c r="Q299" i="62"/>
  <c r="N307" i="62"/>
  <c r="R558" i="62"/>
  <c r="Q665" i="62"/>
  <c r="N666" i="62"/>
  <c r="Q885" i="62"/>
  <c r="B809" i="62"/>
  <c r="E808" i="62"/>
  <c r="Q887" i="62"/>
  <c r="D809" i="62"/>
  <c r="O949" i="62"/>
  <c r="O921" i="62"/>
  <c r="B518" i="62"/>
  <c r="E517" i="62"/>
  <c r="B666" i="62"/>
  <c r="E665" i="62"/>
  <c r="Q946" i="62"/>
  <c r="Q918" i="62"/>
  <c r="P952" i="62"/>
  <c r="P924" i="62"/>
  <c r="P949" i="62"/>
  <c r="P921" i="62"/>
  <c r="I757" i="62"/>
  <c r="F759" i="62"/>
  <c r="F758" i="62"/>
  <c r="J620" i="62"/>
  <c r="M619" i="62"/>
  <c r="P947" i="62"/>
  <c r="P919" i="62"/>
  <c r="P944" i="62"/>
  <c r="P916" i="62"/>
  <c r="Q619" i="62"/>
  <c r="N620" i="62"/>
  <c r="P953" i="62"/>
  <c r="P925" i="62"/>
  <c r="Q757" i="62"/>
  <c r="N758" i="62"/>
  <c r="N759" i="62"/>
  <c r="J872" i="62"/>
  <c r="J13" i="62" s="1"/>
  <c r="M13" i="62" s="1"/>
  <c r="M864" i="62"/>
  <c r="M872" i="62" s="1"/>
  <c r="B620" i="62"/>
  <c r="E619" i="62"/>
  <c r="P943" i="62"/>
  <c r="P915" i="62"/>
  <c r="R753" i="62"/>
  <c r="I469" i="62"/>
  <c r="F470" i="62"/>
  <c r="Q464" i="62"/>
  <c r="N469" i="62"/>
  <c r="L308" i="62"/>
  <c r="Q890" i="62"/>
  <c r="H809" i="62"/>
  <c r="R129" i="62"/>
  <c r="Q561" i="62"/>
  <c r="N562" i="62"/>
  <c r="F562" i="62"/>
  <c r="I561" i="62"/>
  <c r="R713" i="62"/>
  <c r="Q888" i="62"/>
  <c r="F809" i="62"/>
  <c r="I808" i="62"/>
  <c r="J758" i="62"/>
  <c r="M757" i="62"/>
  <c r="J759" i="62"/>
  <c r="I849" i="62"/>
  <c r="P946" i="62"/>
  <c r="P918" i="62"/>
  <c r="Q896" i="62"/>
  <c r="P809" i="62"/>
  <c r="H470" i="62"/>
  <c r="Q849" i="62"/>
  <c r="B864" i="62"/>
  <c r="B849" i="62"/>
  <c r="E849" i="62" s="1"/>
  <c r="E830" i="62"/>
  <c r="R830" i="62" s="1"/>
  <c r="T830" i="62" s="1"/>
  <c r="N518" i="62"/>
  <c r="Q517" i="62"/>
  <c r="R616" i="62"/>
  <c r="R806" i="62"/>
  <c r="E757" i="62"/>
  <c r="B759" i="62"/>
  <c r="B758" i="62"/>
  <c r="R848" i="62"/>
  <c r="I464" i="62"/>
  <c r="F620" i="62"/>
  <c r="I619" i="62"/>
  <c r="E464" i="62"/>
  <c r="B469" i="62"/>
  <c r="F666" i="62"/>
  <c r="I665" i="62"/>
  <c r="H725" i="62"/>
  <c r="Q893" i="62"/>
  <c r="L809" i="62"/>
  <c r="F872" i="62"/>
  <c r="F13" i="62" s="1"/>
  <c r="I13" i="62" s="1"/>
  <c r="I864" i="62"/>
  <c r="I872" i="62" s="1"/>
  <c r="J518" i="62"/>
  <c r="M517" i="62"/>
  <c r="J666" i="62"/>
  <c r="M665" i="62"/>
  <c r="R803" i="62"/>
  <c r="O896" i="62"/>
  <c r="P726" i="62"/>
  <c r="P715" i="62"/>
  <c r="Q949" i="62"/>
  <c r="Q921" i="62"/>
  <c r="R439" i="62"/>
  <c r="N872" i="62"/>
  <c r="N13" i="62" s="1"/>
  <c r="Q13" i="62" s="1"/>
  <c r="Q864" i="62"/>
  <c r="Q872" i="62" s="1"/>
  <c r="R824" i="62"/>
  <c r="T840" i="62" s="1"/>
  <c r="Q943" i="62"/>
  <c r="Q915" i="62"/>
  <c r="R870" i="62"/>
  <c r="O946" i="62"/>
  <c r="O918" i="62"/>
  <c r="R561" i="53"/>
  <c r="R106" i="53"/>
  <c r="N732" i="53"/>
  <c r="N738" i="53"/>
  <c r="N176" i="53"/>
  <c r="N353" i="53"/>
  <c r="N174" i="53"/>
  <c r="N276" i="53"/>
  <c r="N315" i="53"/>
  <c r="P950" i="62" l="1"/>
  <c r="AQ950" i="62" s="1"/>
  <c r="L715" i="62"/>
  <c r="N893" i="62" s="1"/>
  <c r="O893" i="62"/>
  <c r="O922" i="62" s="1"/>
  <c r="D715" i="62"/>
  <c r="D716" i="62" s="1"/>
  <c r="D726" i="62"/>
  <c r="N915" i="62"/>
  <c r="C716" i="62"/>
  <c r="C726" i="62"/>
  <c r="C667" i="62"/>
  <c r="O886" i="62"/>
  <c r="O915" i="62" s="1"/>
  <c r="Q952" i="62"/>
  <c r="S1032" i="62" s="1"/>
  <c r="O715" i="62"/>
  <c r="N895" i="62" s="1"/>
  <c r="N952" i="62" s="1"/>
  <c r="O895" i="62"/>
  <c r="O924" i="62" s="1"/>
  <c r="R62" i="62"/>
  <c r="G716" i="62"/>
  <c r="G667" i="62"/>
  <c r="G668" i="62" s="1"/>
  <c r="K667" i="62"/>
  <c r="K631" i="62" s="1"/>
  <c r="K716" i="62"/>
  <c r="R561" i="62"/>
  <c r="R464" i="62"/>
  <c r="R849" i="62"/>
  <c r="Q917" i="62"/>
  <c r="Q945" i="62"/>
  <c r="R1024" i="62"/>
  <c r="AQ979" i="62"/>
  <c r="AQ944" i="62"/>
  <c r="R1032" i="62"/>
  <c r="AQ987" i="62"/>
  <c r="AQ952" i="62"/>
  <c r="Q944" i="62"/>
  <c r="Q916" i="62"/>
  <c r="N308" i="62"/>
  <c r="Q307" i="62"/>
  <c r="J308" i="62"/>
  <c r="M307" i="62"/>
  <c r="O944" i="62"/>
  <c r="O916" i="62"/>
  <c r="E469" i="62"/>
  <c r="B470" i="62"/>
  <c r="P885" i="62"/>
  <c r="B760" i="62"/>
  <c r="E759" i="62"/>
  <c r="B725" i="62"/>
  <c r="R1023" i="62"/>
  <c r="AQ978" i="62"/>
  <c r="AQ943" i="62"/>
  <c r="R517" i="62"/>
  <c r="R808" i="62"/>
  <c r="I307" i="62"/>
  <c r="Q948" i="62"/>
  <c r="Q920" i="62"/>
  <c r="O953" i="62"/>
  <c r="O925" i="62"/>
  <c r="S1023" i="62"/>
  <c r="AR978" i="62"/>
  <c r="AR943" i="62"/>
  <c r="O890" i="62"/>
  <c r="H726" i="62"/>
  <c r="H715" i="62"/>
  <c r="R1026" i="62"/>
  <c r="AQ981" i="62"/>
  <c r="AQ946" i="62"/>
  <c r="Q469" i="62"/>
  <c r="N470" i="62"/>
  <c r="N946" i="62"/>
  <c r="N918" i="62"/>
  <c r="P1023" i="62"/>
  <c r="AO978" i="62"/>
  <c r="AO943" i="62"/>
  <c r="N896" i="62"/>
  <c r="P716" i="62"/>
  <c r="P667" i="62"/>
  <c r="R757" i="62"/>
  <c r="B872" i="62"/>
  <c r="B13" i="62" s="1"/>
  <c r="E13" i="62" s="1"/>
  <c r="R13" i="62" s="1"/>
  <c r="E864" i="62"/>
  <c r="Q947" i="62"/>
  <c r="Q919" i="62"/>
  <c r="R619" i="62"/>
  <c r="R1027" i="62"/>
  <c r="AQ982" i="62"/>
  <c r="AQ947" i="62"/>
  <c r="R1029" i="62"/>
  <c r="AQ984" i="62"/>
  <c r="AQ949" i="62"/>
  <c r="S1026" i="62"/>
  <c r="AR981" i="62"/>
  <c r="AR946" i="62"/>
  <c r="R665" i="62"/>
  <c r="Q1029" i="62"/>
  <c r="AP984" i="62"/>
  <c r="AP949" i="62"/>
  <c r="E307" i="62"/>
  <c r="Q1026" i="62"/>
  <c r="AP981" i="62"/>
  <c r="AP946" i="62"/>
  <c r="S1029" i="62"/>
  <c r="AR984" i="62"/>
  <c r="AR949" i="62"/>
  <c r="N949" i="62"/>
  <c r="N921" i="62"/>
  <c r="Q950" i="62"/>
  <c r="Q922" i="62"/>
  <c r="Q925" i="62"/>
  <c r="Q953" i="62"/>
  <c r="P891" i="62"/>
  <c r="J760" i="62"/>
  <c r="M759" i="62"/>
  <c r="J725" i="62"/>
  <c r="P894" i="62"/>
  <c r="N760" i="62"/>
  <c r="Q759" i="62"/>
  <c r="N725" i="62"/>
  <c r="R1033" i="62"/>
  <c r="AQ988" i="62"/>
  <c r="AQ953" i="62"/>
  <c r="P888" i="62"/>
  <c r="F760" i="62"/>
  <c r="I759" i="62"/>
  <c r="F725" i="62"/>
  <c r="Q942" i="62"/>
  <c r="Q898" i="62"/>
  <c r="Q914" i="62"/>
  <c r="J470" i="62"/>
  <c r="M469" i="62"/>
  <c r="Q951" i="62"/>
  <c r="Q923" i="62"/>
  <c r="R299" i="62"/>
  <c r="N369" i="53"/>
  <c r="N367" i="53"/>
  <c r="N157" i="53"/>
  <c r="N380" i="53"/>
  <c r="L380" i="53"/>
  <c r="K380" i="53"/>
  <c r="N141" i="53"/>
  <c r="N153" i="53"/>
  <c r="R1030" i="62" l="1"/>
  <c r="AQ985" i="62"/>
  <c r="L667" i="62"/>
  <c r="L631" i="62" s="1"/>
  <c r="L716" i="62"/>
  <c r="O950" i="62"/>
  <c r="Q1030" i="62" s="1"/>
  <c r="N887" i="62"/>
  <c r="N944" i="62" s="1"/>
  <c r="D667" i="62"/>
  <c r="D631" i="62" s="1"/>
  <c r="O943" i="62"/>
  <c r="AP978" i="62" s="1"/>
  <c r="AR987" i="62"/>
  <c r="C668" i="62"/>
  <c r="M886" i="62"/>
  <c r="C631" i="62"/>
  <c r="L886" i="62" s="1"/>
  <c r="L943" i="62" s="1"/>
  <c r="AR952" i="62"/>
  <c r="O952" i="62"/>
  <c r="AP987" i="62" s="1"/>
  <c r="N924" i="62"/>
  <c r="O667" i="62"/>
  <c r="O668" i="62" s="1"/>
  <c r="O716" i="62"/>
  <c r="M889" i="62"/>
  <c r="M946" i="62" s="1"/>
  <c r="K668" i="62"/>
  <c r="G631" i="62"/>
  <c r="L889" i="62" s="1"/>
  <c r="M892" i="62"/>
  <c r="M921" i="62" s="1"/>
  <c r="R307" i="62"/>
  <c r="T13" i="62"/>
  <c r="U13" i="62"/>
  <c r="N890" i="62"/>
  <c r="H716" i="62"/>
  <c r="H667" i="62"/>
  <c r="S1031" i="62"/>
  <c r="AR986" i="62"/>
  <c r="AR951" i="62"/>
  <c r="P951" i="62"/>
  <c r="P923" i="62"/>
  <c r="S1022" i="62"/>
  <c r="AR977" i="62"/>
  <c r="Q955" i="62"/>
  <c r="AR942" i="62"/>
  <c r="O888" i="62"/>
  <c r="F726" i="62"/>
  <c r="I725" i="62"/>
  <c r="F715" i="62"/>
  <c r="O891" i="62"/>
  <c r="M725" i="62"/>
  <c r="J726" i="62"/>
  <c r="J715" i="62"/>
  <c r="S1033" i="62"/>
  <c r="AR988" i="62"/>
  <c r="AR953" i="62"/>
  <c r="R864" i="62"/>
  <c r="R872" i="62" s="1"/>
  <c r="E872" i="62"/>
  <c r="N953" i="62"/>
  <c r="N925" i="62"/>
  <c r="Q1033" i="62"/>
  <c r="AP988" i="62"/>
  <c r="AP953" i="62"/>
  <c r="S1028" i="62"/>
  <c r="AR983" i="62"/>
  <c r="AR948" i="62"/>
  <c r="R759" i="62"/>
  <c r="S1030" i="62"/>
  <c r="AR985" i="62"/>
  <c r="AR950" i="62"/>
  <c r="L892" i="62"/>
  <c r="K632" i="62"/>
  <c r="K621" i="62"/>
  <c r="M896" i="62"/>
  <c r="P668" i="62"/>
  <c r="P631" i="62"/>
  <c r="P1026" i="62"/>
  <c r="AO981" i="62"/>
  <c r="AO946" i="62"/>
  <c r="P1032" i="62"/>
  <c r="AO987" i="62"/>
  <c r="AO952" i="62"/>
  <c r="P942" i="62"/>
  <c r="P898" i="62"/>
  <c r="P914" i="62"/>
  <c r="Q1024" i="62"/>
  <c r="AP979" i="62"/>
  <c r="AP944" i="62"/>
  <c r="S1024" i="62"/>
  <c r="AR979" i="62"/>
  <c r="AR944" i="62"/>
  <c r="S1025" i="62"/>
  <c r="AR980" i="62"/>
  <c r="AR945" i="62"/>
  <c r="R469" i="62"/>
  <c r="N950" i="62"/>
  <c r="N922" i="62"/>
  <c r="P945" i="62"/>
  <c r="P917" i="62"/>
  <c r="O894" i="62"/>
  <c r="N726" i="62"/>
  <c r="Q725" i="62"/>
  <c r="N715" i="62"/>
  <c r="P948" i="62"/>
  <c r="P920" i="62"/>
  <c r="P1029" i="62"/>
  <c r="AO984" i="62"/>
  <c r="AO949" i="62"/>
  <c r="S1027" i="62"/>
  <c r="AR982" i="62"/>
  <c r="AR947" i="62"/>
  <c r="O947" i="62"/>
  <c r="O919" i="62"/>
  <c r="O885" i="62"/>
  <c r="B726" i="62"/>
  <c r="E725" i="62"/>
  <c r="B715" i="62"/>
  <c r="N304" i="53"/>
  <c r="L668" i="62" l="1"/>
  <c r="M893" i="62"/>
  <c r="M950" i="62" s="1"/>
  <c r="AP950" i="62"/>
  <c r="AP985" i="62"/>
  <c r="M887" i="62"/>
  <c r="M944" i="62" s="1"/>
  <c r="D668" i="62"/>
  <c r="N916" i="62"/>
  <c r="Q1023" i="62"/>
  <c r="AP943" i="62"/>
  <c r="L915" i="62"/>
  <c r="M943" i="62"/>
  <c r="AW907" i="62" s="1"/>
  <c r="M915" i="62"/>
  <c r="C632" i="62"/>
  <c r="O631" i="62"/>
  <c r="O632" i="62" s="1"/>
  <c r="Q1032" i="62"/>
  <c r="C621" i="62"/>
  <c r="AP952" i="62"/>
  <c r="M918" i="62"/>
  <c r="M895" i="62"/>
  <c r="M924" i="62" s="1"/>
  <c r="M949" i="62"/>
  <c r="AN984" i="62" s="1"/>
  <c r="G621" i="62"/>
  <c r="G563" i="62" s="1"/>
  <c r="G632" i="62"/>
  <c r="L887" i="62"/>
  <c r="D632" i="62"/>
  <c r="D621" i="62"/>
  <c r="O1026" i="62"/>
  <c r="AN981" i="62"/>
  <c r="AN946" i="62"/>
  <c r="K892" i="62"/>
  <c r="K622" i="62"/>
  <c r="K563" i="62"/>
  <c r="O942" i="62"/>
  <c r="O914" i="62"/>
  <c r="O898" i="62"/>
  <c r="R725" i="62"/>
  <c r="Q1027" i="62"/>
  <c r="AP982" i="62"/>
  <c r="AP947" i="62"/>
  <c r="O951" i="62"/>
  <c r="O923" i="62"/>
  <c r="P1030" i="62"/>
  <c r="AO985" i="62"/>
  <c r="AO950" i="62"/>
  <c r="L893" i="62"/>
  <c r="L632" i="62"/>
  <c r="L621" i="62"/>
  <c r="AR1045" i="62"/>
  <c r="AR1044" i="62"/>
  <c r="AR1043" i="62"/>
  <c r="AR1038" i="62"/>
  <c r="AR1037" i="62"/>
  <c r="AR1042" i="62"/>
  <c r="AR1041" i="62"/>
  <c r="AR1040" i="62"/>
  <c r="AR1039" i="62"/>
  <c r="AR1030" i="62"/>
  <c r="AR1031" i="62"/>
  <c r="AR1032" i="62"/>
  <c r="AR1036" i="62"/>
  <c r="AR1035" i="62"/>
  <c r="AR1034" i="62"/>
  <c r="AR1033" i="62"/>
  <c r="AR1029" i="62"/>
  <c r="AR1025" i="62"/>
  <c r="AR1027" i="62"/>
  <c r="AR1026" i="62"/>
  <c r="AR1022" i="62"/>
  <c r="AR1028" i="62"/>
  <c r="AR1023" i="62"/>
  <c r="AR1024" i="62"/>
  <c r="M953" i="62"/>
  <c r="M925" i="62"/>
  <c r="N1023" i="62"/>
  <c r="AM978" i="62"/>
  <c r="AM943" i="62"/>
  <c r="R1031" i="62"/>
  <c r="AQ986" i="62"/>
  <c r="AQ951" i="62"/>
  <c r="M890" i="62"/>
  <c r="H668" i="62"/>
  <c r="H631" i="62"/>
  <c r="N894" i="62"/>
  <c r="Q715" i="62"/>
  <c r="N716" i="62"/>
  <c r="N667" i="62"/>
  <c r="R1025" i="62"/>
  <c r="AQ980" i="62"/>
  <c r="AQ945" i="62"/>
  <c r="R1022" i="62"/>
  <c r="AQ977" i="62"/>
  <c r="P955" i="62"/>
  <c r="AQ942" i="62"/>
  <c r="L896" i="62"/>
  <c r="P632" i="62"/>
  <c r="P621" i="62"/>
  <c r="O920" i="62"/>
  <c r="O948" i="62"/>
  <c r="O945" i="62"/>
  <c r="O917" i="62"/>
  <c r="N947" i="62"/>
  <c r="N919" i="62"/>
  <c r="AR990" i="62"/>
  <c r="N885" i="62"/>
  <c r="B716" i="62"/>
  <c r="E715" i="62"/>
  <c r="B667" i="62"/>
  <c r="R1028" i="62"/>
  <c r="AQ983" i="62"/>
  <c r="AQ948" i="62"/>
  <c r="P1024" i="62"/>
  <c r="AO979" i="62"/>
  <c r="AO944" i="62"/>
  <c r="L949" i="62"/>
  <c r="L921" i="62"/>
  <c r="P1033" i="62"/>
  <c r="AO988" i="62"/>
  <c r="AO953" i="62"/>
  <c r="N891" i="62"/>
  <c r="J716" i="62"/>
  <c r="M715" i="62"/>
  <c r="J667" i="62"/>
  <c r="N888" i="62"/>
  <c r="F716" i="62"/>
  <c r="I715" i="62"/>
  <c r="F667" i="62"/>
  <c r="AR955" i="62"/>
  <c r="L946" i="62"/>
  <c r="L918" i="62"/>
  <c r="K174" i="61"/>
  <c r="J174" i="61"/>
  <c r="AQ1044" i="62" l="1"/>
  <c r="AQ1042" i="62"/>
  <c r="AQ1036" i="62"/>
  <c r="AQ1031" i="62"/>
  <c r="AQ1030" i="62"/>
  <c r="AQ1022" i="62"/>
  <c r="AQ1043" i="62"/>
  <c r="AQ1041" i="62"/>
  <c r="AQ1035" i="62"/>
  <c r="AQ1027" i="62"/>
  <c r="AQ1029" i="62"/>
  <c r="AQ1028" i="62"/>
  <c r="AQ1038" i="62"/>
  <c r="AQ1040" i="62"/>
  <c r="AQ1034" i="62"/>
  <c r="AQ1032" i="62"/>
  <c r="AQ1025" i="62"/>
  <c r="AQ1023" i="62"/>
  <c r="AQ1045" i="62"/>
  <c r="AQ1037" i="62"/>
  <c r="AQ1039" i="62"/>
  <c r="AQ1033" i="62"/>
  <c r="AQ1024" i="62"/>
  <c r="AQ1026" i="62"/>
  <c r="M922" i="62"/>
  <c r="M916" i="62"/>
  <c r="O621" i="62"/>
  <c r="O622" i="62" s="1"/>
  <c r="L895" i="62"/>
  <c r="L952" i="62" s="1"/>
  <c r="AM952" i="62" s="1"/>
  <c r="M952" i="62"/>
  <c r="O1032" i="62" s="1"/>
  <c r="C622" i="62"/>
  <c r="C563" i="62"/>
  <c r="K886" i="62"/>
  <c r="AN978" i="62"/>
  <c r="AN943" i="62"/>
  <c r="O1023" i="62"/>
  <c r="O1029" i="62"/>
  <c r="AN949" i="62"/>
  <c r="G622" i="62"/>
  <c r="K889" i="62"/>
  <c r="K946" i="62" s="1"/>
  <c r="AQ990" i="62"/>
  <c r="N942" i="62"/>
  <c r="N914" i="62"/>
  <c r="N898" i="62"/>
  <c r="N1026" i="62"/>
  <c r="AM981" i="62"/>
  <c r="AM946" i="62"/>
  <c r="AW910" i="62"/>
  <c r="N945" i="62"/>
  <c r="N917" i="62"/>
  <c r="M888" i="62"/>
  <c r="F668" i="62"/>
  <c r="I667" i="62"/>
  <c r="F631" i="62"/>
  <c r="M891" i="62"/>
  <c r="J668" i="62"/>
  <c r="M667" i="62"/>
  <c r="J631" i="62"/>
  <c r="K896" i="62"/>
  <c r="P622" i="62"/>
  <c r="P563" i="62"/>
  <c r="O1030" i="62"/>
  <c r="AN985" i="62"/>
  <c r="AN950" i="62"/>
  <c r="J892" i="62"/>
  <c r="K564" i="62"/>
  <c r="K519" i="62"/>
  <c r="Q1025" i="62"/>
  <c r="AP980" i="62"/>
  <c r="AP945" i="62"/>
  <c r="L950" i="62"/>
  <c r="L922" i="62"/>
  <c r="M885" i="62"/>
  <c r="E667" i="62"/>
  <c r="B668" i="62"/>
  <c r="B631" i="62"/>
  <c r="J889" i="62"/>
  <c r="G564" i="62"/>
  <c r="G519" i="62"/>
  <c r="Q1028" i="62"/>
  <c r="AP983" i="62"/>
  <c r="AP948" i="62"/>
  <c r="L953" i="62"/>
  <c r="L925" i="62"/>
  <c r="N951" i="62"/>
  <c r="N923" i="62"/>
  <c r="O1033" i="62"/>
  <c r="AN988" i="62"/>
  <c r="AN953" i="62"/>
  <c r="AR1046" i="62"/>
  <c r="Q1031" i="62"/>
  <c r="AP986" i="62"/>
  <c r="AP951" i="62"/>
  <c r="O1024" i="62"/>
  <c r="AN979" i="62"/>
  <c r="AN944" i="62"/>
  <c r="K949" i="62"/>
  <c r="K921" i="62"/>
  <c r="M947" i="62"/>
  <c r="M919" i="62"/>
  <c r="Q1022" i="62"/>
  <c r="AP977" i="62"/>
  <c r="O955" i="62"/>
  <c r="AP942" i="62"/>
  <c r="K887" i="62"/>
  <c r="D622" i="62"/>
  <c r="D563" i="62"/>
  <c r="N948" i="62"/>
  <c r="N920" i="62"/>
  <c r="N1029" i="62"/>
  <c r="AM984" i="62"/>
  <c r="AM949" i="62"/>
  <c r="AW913" i="62"/>
  <c r="R715" i="62"/>
  <c r="P1027" i="62"/>
  <c r="AO982" i="62"/>
  <c r="AO947" i="62"/>
  <c r="AQ955" i="62"/>
  <c r="M894" i="62"/>
  <c r="Q667" i="62"/>
  <c r="N668" i="62"/>
  <c r="N631" i="62"/>
  <c r="L890" i="62"/>
  <c r="H632" i="62"/>
  <c r="H621" i="62"/>
  <c r="K893" i="62"/>
  <c r="L622" i="62"/>
  <c r="L563" i="62"/>
  <c r="L944" i="62"/>
  <c r="L916" i="62"/>
  <c r="Q237" i="61"/>
  <c r="M237" i="61"/>
  <c r="I237" i="61"/>
  <c r="E237" i="61"/>
  <c r="Q260" i="61"/>
  <c r="M260" i="61"/>
  <c r="I260" i="61"/>
  <c r="E260" i="61"/>
  <c r="AP1045" i="62" l="1"/>
  <c r="AP1042" i="62"/>
  <c r="AP1036" i="62"/>
  <c r="AP1030" i="62"/>
  <c r="AP1027" i="62"/>
  <c r="AP1025" i="62"/>
  <c r="AP1044" i="62"/>
  <c r="AP1041" i="62"/>
  <c r="AP1035" i="62"/>
  <c r="AP1028" i="62"/>
  <c r="AP1023" i="62"/>
  <c r="AP1026" i="62"/>
  <c r="AP1043" i="62"/>
  <c r="AP1040" i="62"/>
  <c r="AP1034" i="62"/>
  <c r="AP1037" i="62"/>
  <c r="AP1024" i="62"/>
  <c r="AP1022" i="62"/>
  <c r="AP1039" i="62"/>
  <c r="AP1038" i="62"/>
  <c r="AP1032" i="62"/>
  <c r="AP1033" i="62"/>
  <c r="AP1031" i="62"/>
  <c r="AP1029" i="62"/>
  <c r="AQ1046" i="62"/>
  <c r="K895" i="62"/>
  <c r="K924" i="62" s="1"/>
  <c r="L924" i="62"/>
  <c r="O563" i="62"/>
  <c r="J895" i="62" s="1"/>
  <c r="J924" i="62" s="1"/>
  <c r="AW916" i="62"/>
  <c r="AM987" i="62"/>
  <c r="N1032" i="62"/>
  <c r="AN987" i="62"/>
  <c r="AN952" i="62"/>
  <c r="K943" i="62"/>
  <c r="K915" i="62"/>
  <c r="C519" i="62"/>
  <c r="C564" i="62"/>
  <c r="J886" i="62"/>
  <c r="K918" i="62"/>
  <c r="AP955" i="62"/>
  <c r="AP990" i="62"/>
  <c r="M951" i="62"/>
  <c r="M923" i="62"/>
  <c r="L885" i="62"/>
  <c r="B632" i="62"/>
  <c r="E631" i="62"/>
  <c r="B621" i="62"/>
  <c r="N1024" i="62"/>
  <c r="AM979" i="62"/>
  <c r="AM944" i="62"/>
  <c r="AW908" i="62"/>
  <c r="K890" i="62"/>
  <c r="H622" i="62"/>
  <c r="H563" i="62"/>
  <c r="J893" i="62"/>
  <c r="L564" i="62"/>
  <c r="L519" i="62"/>
  <c r="P1028" i="62"/>
  <c r="AO983" i="62"/>
  <c r="AO948" i="62"/>
  <c r="J887" i="62"/>
  <c r="D564" i="62"/>
  <c r="D519" i="62"/>
  <c r="O1027" i="62"/>
  <c r="AN982" i="62"/>
  <c r="AN947" i="62"/>
  <c r="J946" i="62"/>
  <c r="J918" i="62"/>
  <c r="M942" i="62"/>
  <c r="M898" i="62"/>
  <c r="M914" i="62"/>
  <c r="J949" i="62"/>
  <c r="J921" i="62"/>
  <c r="P1025" i="62"/>
  <c r="AO980" i="62"/>
  <c r="AO945" i="62"/>
  <c r="K953" i="62"/>
  <c r="K925" i="62"/>
  <c r="K950" i="62"/>
  <c r="K922" i="62"/>
  <c r="L894" i="62"/>
  <c r="Q631" i="62"/>
  <c r="N632" i="62"/>
  <c r="N621" i="62"/>
  <c r="K944" i="62"/>
  <c r="K916" i="62"/>
  <c r="M1029" i="62"/>
  <c r="AL984" i="62"/>
  <c r="AL949" i="62"/>
  <c r="P1031" i="62"/>
  <c r="AO986" i="62"/>
  <c r="AO951" i="62"/>
  <c r="N1033" i="62"/>
  <c r="AM988" i="62"/>
  <c r="AM953" i="62"/>
  <c r="AW917" i="62"/>
  <c r="I889" i="62"/>
  <c r="G520" i="62"/>
  <c r="G478" i="62"/>
  <c r="G477" i="62" s="1"/>
  <c r="G476" i="62" s="1"/>
  <c r="G475" i="62" s="1"/>
  <c r="G474" i="62" s="1"/>
  <c r="G473" i="62" s="1"/>
  <c r="G471" i="62"/>
  <c r="G309" i="62" s="1"/>
  <c r="G311" i="62" s="1"/>
  <c r="N1030" i="62"/>
  <c r="AM985" i="62"/>
  <c r="AM950" i="62"/>
  <c r="AW914" i="62"/>
  <c r="I892" i="62"/>
  <c r="K520" i="62"/>
  <c r="K478" i="62"/>
  <c r="K477" i="62" s="1"/>
  <c r="K476" i="62" s="1"/>
  <c r="K475" i="62" s="1"/>
  <c r="K474" i="62" s="1"/>
  <c r="K473" i="62" s="1"/>
  <c r="K471" i="62"/>
  <c r="M948" i="62"/>
  <c r="M920" i="62"/>
  <c r="M917" i="62"/>
  <c r="M945" i="62"/>
  <c r="L947" i="62"/>
  <c r="L919" i="62"/>
  <c r="R667" i="62"/>
  <c r="J896" i="62"/>
  <c r="P564" i="62"/>
  <c r="P519" i="62"/>
  <c r="M1026" i="62"/>
  <c r="AL981" i="62"/>
  <c r="AL946" i="62"/>
  <c r="L891" i="62"/>
  <c r="J632" i="62"/>
  <c r="M631" i="62"/>
  <c r="J621" i="62"/>
  <c r="L888" i="62"/>
  <c r="F632" i="62"/>
  <c r="I631" i="62"/>
  <c r="F621" i="62"/>
  <c r="P1022" i="62"/>
  <c r="AO977" i="62"/>
  <c r="N955" i="62"/>
  <c r="AO942" i="62"/>
  <c r="R237" i="61"/>
  <c r="R260" i="61"/>
  <c r="K952" i="62" l="1"/>
  <c r="AL987" i="62" s="1"/>
  <c r="G310" i="62"/>
  <c r="AO1039" i="62"/>
  <c r="AO1038" i="62"/>
  <c r="AO1036" i="62"/>
  <c r="AO1029" i="62"/>
  <c r="AO1022" i="62"/>
  <c r="AO1025" i="62"/>
  <c r="AO1042" i="62"/>
  <c r="AO1045" i="62"/>
  <c r="AO1037" i="62"/>
  <c r="AO1035" i="62"/>
  <c r="AO1030" i="62"/>
  <c r="AO1023" i="62"/>
  <c r="AO1041" i="62"/>
  <c r="AO1044" i="62"/>
  <c r="AO1031" i="62"/>
  <c r="AO1034" i="62"/>
  <c r="AO1028" i="62"/>
  <c r="AO1027" i="62"/>
  <c r="AO1040" i="62"/>
  <c r="AO1043" i="62"/>
  <c r="AO1032" i="62"/>
  <c r="AO1033" i="62"/>
  <c r="AO1026" i="62"/>
  <c r="AO1024" i="62"/>
  <c r="AP1046" i="62"/>
  <c r="J952" i="62"/>
  <c r="AK952" i="62" s="1"/>
  <c r="O564" i="62"/>
  <c r="O519" i="62"/>
  <c r="I895" i="62" s="1"/>
  <c r="I952" i="62" s="1"/>
  <c r="I886" i="62"/>
  <c r="C478" i="62"/>
  <c r="C477" i="62" s="1"/>
  <c r="C476" i="62" s="1"/>
  <c r="C475" i="62" s="1"/>
  <c r="C474" i="62" s="1"/>
  <c r="C473" i="62" s="1"/>
  <c r="C471" i="62"/>
  <c r="C309" i="62" s="1"/>
  <c r="C311" i="62" s="1"/>
  <c r="C520" i="62"/>
  <c r="J915" i="62"/>
  <c r="J943" i="62"/>
  <c r="M1023" i="62"/>
  <c r="AL943" i="62"/>
  <c r="AL978" i="62"/>
  <c r="AO955" i="62"/>
  <c r="J953" i="62"/>
  <c r="J925" i="62"/>
  <c r="M1030" i="62"/>
  <c r="AL985" i="62"/>
  <c r="AL950" i="62"/>
  <c r="J944" i="62"/>
  <c r="J916" i="62"/>
  <c r="I893" i="62"/>
  <c r="L520" i="62"/>
  <c r="L478" i="62"/>
  <c r="L477" i="62" s="1"/>
  <c r="L476" i="62" s="1"/>
  <c r="L475" i="62" s="1"/>
  <c r="L474" i="62" s="1"/>
  <c r="L473" i="62" s="1"/>
  <c r="L471" i="62"/>
  <c r="R631" i="62"/>
  <c r="AO990" i="62"/>
  <c r="O1022" i="62"/>
  <c r="AN977" i="62"/>
  <c r="M955" i="62"/>
  <c r="AN942" i="62"/>
  <c r="K947" i="62"/>
  <c r="K919" i="62"/>
  <c r="L945" i="62"/>
  <c r="L917" i="62"/>
  <c r="L948" i="62"/>
  <c r="L920" i="62"/>
  <c r="I896" i="62"/>
  <c r="P520" i="62"/>
  <c r="P478" i="62"/>
  <c r="P477" i="62" s="1"/>
  <c r="P476" i="62" s="1"/>
  <c r="P475" i="62" s="1"/>
  <c r="P474" i="62" s="1"/>
  <c r="P473" i="62" s="1"/>
  <c r="P471" i="62"/>
  <c r="N1027" i="62"/>
  <c r="AM982" i="62"/>
  <c r="AM947" i="62"/>
  <c r="AW911" i="62"/>
  <c r="O1028" i="62"/>
  <c r="AN983" i="62"/>
  <c r="AN948" i="62"/>
  <c r="I949" i="62"/>
  <c r="I921" i="62"/>
  <c r="I946" i="62"/>
  <c r="I918" i="62"/>
  <c r="M1024" i="62"/>
  <c r="AL979" i="62"/>
  <c r="AL944" i="62"/>
  <c r="L951" i="62"/>
  <c r="L923" i="62"/>
  <c r="M1033" i="62"/>
  <c r="AL988" i="62"/>
  <c r="AL953" i="62"/>
  <c r="L1029" i="62"/>
  <c r="AK984" i="62"/>
  <c r="AK949" i="62"/>
  <c r="I887" i="62"/>
  <c r="D520" i="62"/>
  <c r="D478" i="62"/>
  <c r="D477" i="62" s="1"/>
  <c r="D476" i="62" s="1"/>
  <c r="D475" i="62" s="1"/>
  <c r="D474" i="62" s="1"/>
  <c r="D473" i="62" s="1"/>
  <c r="D471" i="62"/>
  <c r="D309" i="62" s="1"/>
  <c r="D311" i="62" s="1"/>
  <c r="J950" i="62"/>
  <c r="J922" i="62"/>
  <c r="L942" i="62"/>
  <c r="L898" i="62"/>
  <c r="L914" i="62"/>
  <c r="K888" i="62"/>
  <c r="F622" i="62"/>
  <c r="I621" i="62"/>
  <c r="F563" i="62"/>
  <c r="K891" i="62"/>
  <c r="J622" i="62"/>
  <c r="M621" i="62"/>
  <c r="J563" i="62"/>
  <c r="O1025" i="62"/>
  <c r="AN980" i="62"/>
  <c r="AN945" i="62"/>
  <c r="H892" i="62"/>
  <c r="K472" i="62"/>
  <c r="K309" i="62"/>
  <c r="K311" i="62" s="1"/>
  <c r="H889" i="62"/>
  <c r="G472" i="62"/>
  <c r="K894" i="62"/>
  <c r="Q621" i="62"/>
  <c r="N622" i="62"/>
  <c r="N563" i="62"/>
  <c r="L1026" i="62"/>
  <c r="AK981" i="62"/>
  <c r="AK946" i="62"/>
  <c r="J890" i="62"/>
  <c r="H564" i="62"/>
  <c r="H519" i="62"/>
  <c r="K885" i="62"/>
  <c r="E621" i="62"/>
  <c r="B622" i="62"/>
  <c r="B563" i="62"/>
  <c r="O1031" i="62"/>
  <c r="AN986" i="62"/>
  <c r="AN951" i="62"/>
  <c r="H18" i="61"/>
  <c r="M1032" i="62" l="1"/>
  <c r="AL952" i="62"/>
  <c r="C310" i="62"/>
  <c r="D310" i="62"/>
  <c r="AO1046" i="62"/>
  <c r="AN1044" i="62"/>
  <c r="AN1041" i="62"/>
  <c r="AN1037" i="62"/>
  <c r="AN1035" i="62"/>
  <c r="AN1028" i="62"/>
  <c r="AN1023" i="62"/>
  <c r="AN1043" i="62"/>
  <c r="AN1040" i="62"/>
  <c r="AN1031" i="62"/>
  <c r="AN1034" i="62"/>
  <c r="AN1025" i="62"/>
  <c r="AN1027" i="62"/>
  <c r="AN1038" i="62"/>
  <c r="AN1039" i="62"/>
  <c r="AN1032" i="62"/>
  <c r="AN1033" i="62"/>
  <c r="AN1026" i="62"/>
  <c r="AN1024" i="62"/>
  <c r="AN1045" i="62"/>
  <c r="AN1042" i="62"/>
  <c r="AN1030" i="62"/>
  <c r="AN1036" i="62"/>
  <c r="AN1029" i="62"/>
  <c r="AN1022" i="62"/>
  <c r="L1032" i="62"/>
  <c r="AK987" i="62"/>
  <c r="O520" i="62"/>
  <c r="I924" i="62"/>
  <c r="O471" i="62"/>
  <c r="O472" i="62" s="1"/>
  <c r="O478" i="62"/>
  <c r="O477" i="62" s="1"/>
  <c r="O476" i="62" s="1"/>
  <c r="O475" i="62" s="1"/>
  <c r="O474" i="62" s="1"/>
  <c r="O473" i="62" s="1"/>
  <c r="AK943" i="62"/>
  <c r="L1023" i="62"/>
  <c r="AK978" i="62"/>
  <c r="H886" i="62"/>
  <c r="C472" i="62"/>
  <c r="I943" i="62"/>
  <c r="I915" i="62"/>
  <c r="L1024" i="62"/>
  <c r="AK979" i="62"/>
  <c r="AK944" i="62"/>
  <c r="K942" i="62"/>
  <c r="K914" i="62"/>
  <c r="K898" i="62"/>
  <c r="H949" i="62"/>
  <c r="H921" i="62"/>
  <c r="J891" i="62"/>
  <c r="J564" i="62"/>
  <c r="M563" i="62"/>
  <c r="J519" i="62"/>
  <c r="J888" i="62"/>
  <c r="F564" i="62"/>
  <c r="I563" i="62"/>
  <c r="F519" i="62"/>
  <c r="N1022" i="62"/>
  <c r="AM977" i="62"/>
  <c r="L955" i="62"/>
  <c r="AM942" i="62"/>
  <c r="AW906" i="62"/>
  <c r="H896" i="62"/>
  <c r="P472" i="62"/>
  <c r="P309" i="62"/>
  <c r="P311" i="62" s="1"/>
  <c r="AN990" i="62"/>
  <c r="J885" i="62"/>
  <c r="E563" i="62"/>
  <c r="B564" i="62"/>
  <c r="B519" i="62"/>
  <c r="I890" i="62"/>
  <c r="H478" i="62"/>
  <c r="H477" i="62" s="1"/>
  <c r="H476" i="62" s="1"/>
  <c r="H475" i="62" s="1"/>
  <c r="H474" i="62" s="1"/>
  <c r="H473" i="62" s="1"/>
  <c r="H520" i="62"/>
  <c r="H471" i="62"/>
  <c r="H309" i="62" s="1"/>
  <c r="H311" i="62" s="1"/>
  <c r="H946" i="62"/>
  <c r="H918" i="62"/>
  <c r="K1032" i="62"/>
  <c r="AJ987" i="62"/>
  <c r="AJ952" i="62"/>
  <c r="K1029" i="62"/>
  <c r="AJ984" i="62"/>
  <c r="AJ949" i="62"/>
  <c r="N1028" i="62"/>
  <c r="AM983" i="62"/>
  <c r="AM948" i="62"/>
  <c r="AW912" i="62"/>
  <c r="K951" i="62"/>
  <c r="K923" i="62"/>
  <c r="E892" i="62"/>
  <c r="K310" i="62"/>
  <c r="K131" i="62"/>
  <c r="L1030" i="62"/>
  <c r="AK985" i="62"/>
  <c r="AK950" i="62"/>
  <c r="I944" i="62"/>
  <c r="I916" i="62"/>
  <c r="N1031" i="62"/>
  <c r="AM986" i="62"/>
  <c r="AM951" i="62"/>
  <c r="AW915" i="62"/>
  <c r="AN955" i="62"/>
  <c r="I950" i="62"/>
  <c r="I922" i="62"/>
  <c r="M1027" i="62"/>
  <c r="AL982" i="62"/>
  <c r="AL947" i="62"/>
  <c r="R621" i="62"/>
  <c r="J947" i="62"/>
  <c r="J919" i="62"/>
  <c r="J894" i="62"/>
  <c r="Q563" i="62"/>
  <c r="N564" i="62"/>
  <c r="N519" i="62"/>
  <c r="E889" i="62"/>
  <c r="G131" i="62"/>
  <c r="K920" i="62"/>
  <c r="K948" i="62"/>
  <c r="K945" i="62"/>
  <c r="K917" i="62"/>
  <c r="H887" i="62"/>
  <c r="D472" i="62"/>
  <c r="K1026" i="62"/>
  <c r="AJ981" i="62"/>
  <c r="AJ946" i="62"/>
  <c r="I953" i="62"/>
  <c r="I925" i="62"/>
  <c r="N1025" i="62"/>
  <c r="AM980" i="62"/>
  <c r="AM945" i="62"/>
  <c r="AW909" i="62"/>
  <c r="H893" i="62"/>
  <c r="L472" i="62"/>
  <c r="L309" i="62"/>
  <c r="L311" i="62" s="1"/>
  <c r="L1033" i="62"/>
  <c r="AK988" i="62"/>
  <c r="AK953" i="62"/>
  <c r="P281" i="61"/>
  <c r="O281" i="61"/>
  <c r="N281" i="61"/>
  <c r="L281" i="61"/>
  <c r="K281" i="61"/>
  <c r="J281" i="61"/>
  <c r="H281" i="61"/>
  <c r="G281" i="61"/>
  <c r="F281" i="61"/>
  <c r="D281" i="61"/>
  <c r="C281" i="61"/>
  <c r="B281" i="61"/>
  <c r="P282" i="61"/>
  <c r="O282" i="61"/>
  <c r="N282" i="61"/>
  <c r="L282" i="61"/>
  <c r="K282" i="61"/>
  <c r="J282" i="61"/>
  <c r="H282" i="61"/>
  <c r="G282" i="61"/>
  <c r="F282" i="61"/>
  <c r="D282" i="61"/>
  <c r="C282" i="61"/>
  <c r="B282" i="61"/>
  <c r="P811" i="61"/>
  <c r="O811" i="61"/>
  <c r="N811" i="61"/>
  <c r="L811" i="61"/>
  <c r="K811" i="61"/>
  <c r="J811" i="61"/>
  <c r="H811" i="61"/>
  <c r="G811" i="61"/>
  <c r="F811" i="61"/>
  <c r="D811" i="61"/>
  <c r="C811" i="61"/>
  <c r="B811" i="61"/>
  <c r="Q280" i="61"/>
  <c r="M280" i="61"/>
  <c r="I280" i="61"/>
  <c r="E280" i="61"/>
  <c r="H310" i="62" l="1"/>
  <c r="AN1046" i="62"/>
  <c r="AM1043" i="62"/>
  <c r="AM1041" i="62"/>
  <c r="AM1035" i="62"/>
  <c r="AM1027" i="62"/>
  <c r="AM1025" i="62"/>
  <c r="AM1029" i="62"/>
  <c r="AM1038" i="62"/>
  <c r="AM1040" i="62"/>
  <c r="AM1034" i="62"/>
  <c r="AM1032" i="62"/>
  <c r="AM1030" i="62"/>
  <c r="AM1023" i="62"/>
  <c r="AM1045" i="62"/>
  <c r="AM1037" i="62"/>
  <c r="AM1039" i="62"/>
  <c r="AM1033" i="62"/>
  <c r="AM1024" i="62"/>
  <c r="AM1026" i="62"/>
  <c r="AM1044" i="62"/>
  <c r="AM1042" i="62"/>
  <c r="AM1036" i="62"/>
  <c r="AM1031" i="62"/>
  <c r="AM1028" i="62"/>
  <c r="AM1022" i="62"/>
  <c r="H895" i="62"/>
  <c r="H952" i="62" s="1"/>
  <c r="AI987" i="62" s="1"/>
  <c r="O309" i="62"/>
  <c r="O311" i="62" s="1"/>
  <c r="E886" i="62"/>
  <c r="C131" i="62"/>
  <c r="H915" i="62"/>
  <c r="H943" i="62"/>
  <c r="AJ943" i="62"/>
  <c r="K1023" i="62"/>
  <c r="AJ978" i="62"/>
  <c r="AW919" i="62"/>
  <c r="E893" i="62"/>
  <c r="L310" i="62"/>
  <c r="L131" i="62"/>
  <c r="K1033" i="62"/>
  <c r="AJ988" i="62"/>
  <c r="AJ953" i="62"/>
  <c r="E887" i="62"/>
  <c r="D131" i="62"/>
  <c r="M1025" i="62"/>
  <c r="AL980" i="62"/>
  <c r="AL945" i="62"/>
  <c r="L1027" i="62"/>
  <c r="AK982" i="62"/>
  <c r="AK947" i="62"/>
  <c r="E949" i="62"/>
  <c r="AR918" i="62"/>
  <c r="E921" i="62"/>
  <c r="M1028" i="62"/>
  <c r="AL983" i="62"/>
  <c r="AL948" i="62"/>
  <c r="K1024" i="62"/>
  <c r="AJ979" i="62"/>
  <c r="AJ944" i="62"/>
  <c r="D892" i="62"/>
  <c r="K132" i="62"/>
  <c r="K64" i="62"/>
  <c r="J1026" i="62"/>
  <c r="Z1026" i="62" s="1"/>
  <c r="AI981" i="62"/>
  <c r="AI946" i="62"/>
  <c r="AI880" i="62"/>
  <c r="I947" i="62"/>
  <c r="I919" i="62"/>
  <c r="J942" i="62"/>
  <c r="J914" i="62"/>
  <c r="J898" i="62"/>
  <c r="H953" i="62"/>
  <c r="H925" i="62"/>
  <c r="AM990" i="62"/>
  <c r="H950" i="62"/>
  <c r="H922" i="62"/>
  <c r="H944" i="62"/>
  <c r="H916" i="62"/>
  <c r="E946" i="62"/>
  <c r="AR915" i="62"/>
  <c r="E918" i="62"/>
  <c r="J951" i="62"/>
  <c r="J923" i="62"/>
  <c r="K1030" i="62"/>
  <c r="AJ985" i="62"/>
  <c r="AJ950" i="62"/>
  <c r="M1031" i="62"/>
  <c r="AL986" i="62"/>
  <c r="AL951" i="62"/>
  <c r="H890" i="62"/>
  <c r="H472" i="62"/>
  <c r="I885" i="62"/>
  <c r="B520" i="62"/>
  <c r="B478" i="62"/>
  <c r="B477" i="62" s="1"/>
  <c r="B476" i="62" s="1"/>
  <c r="B475" i="62" s="1"/>
  <c r="B474" i="62" s="1"/>
  <c r="B473" i="62" s="1"/>
  <c r="E519" i="62"/>
  <c r="B471" i="62"/>
  <c r="B309" i="62" s="1"/>
  <c r="B311" i="62" s="1"/>
  <c r="J945" i="62"/>
  <c r="J917" i="62"/>
  <c r="J948" i="62"/>
  <c r="J920" i="62"/>
  <c r="D889" i="62"/>
  <c r="G132" i="62"/>
  <c r="G64" i="62"/>
  <c r="I894" i="62"/>
  <c r="N520" i="62"/>
  <c r="N478" i="62"/>
  <c r="N477" i="62" s="1"/>
  <c r="N476" i="62" s="1"/>
  <c r="N475" i="62" s="1"/>
  <c r="N474" i="62" s="1"/>
  <c r="N473" i="62" s="1"/>
  <c r="Q519" i="62"/>
  <c r="N471" i="62"/>
  <c r="E896" i="62"/>
  <c r="P310" i="62"/>
  <c r="P131" i="62"/>
  <c r="AM955" i="62"/>
  <c r="I888" i="62"/>
  <c r="F520" i="62"/>
  <c r="I519" i="62"/>
  <c r="F478" i="62"/>
  <c r="F477" i="62" s="1"/>
  <c r="F476" i="62" s="1"/>
  <c r="F475" i="62" s="1"/>
  <c r="F474" i="62" s="1"/>
  <c r="F473" i="62" s="1"/>
  <c r="F471" i="62"/>
  <c r="F309" i="62" s="1"/>
  <c r="F311" i="62" s="1"/>
  <c r="I891" i="62"/>
  <c r="J520" i="62"/>
  <c r="M519" i="62"/>
  <c r="J478" i="62"/>
  <c r="J477" i="62" s="1"/>
  <c r="J476" i="62" s="1"/>
  <c r="J475" i="62" s="1"/>
  <c r="J474" i="62" s="1"/>
  <c r="J473" i="62" s="1"/>
  <c r="J471" i="62"/>
  <c r="M1022" i="62"/>
  <c r="AL977" i="62"/>
  <c r="K955" i="62"/>
  <c r="AL942" i="62"/>
  <c r="R563" i="62"/>
  <c r="J1029" i="62"/>
  <c r="Z1029" i="62" s="1"/>
  <c r="AI984" i="62"/>
  <c r="AI949" i="62"/>
  <c r="AI883" i="62"/>
  <c r="R280" i="61"/>
  <c r="F310" i="62" l="1"/>
  <c r="B310" i="62"/>
  <c r="AI1063" i="62"/>
  <c r="AI1062" i="62"/>
  <c r="AI1072" i="62"/>
  <c r="AI1071" i="62"/>
  <c r="AM1046" i="62"/>
  <c r="AL1043" i="62"/>
  <c r="AL1040" i="62"/>
  <c r="AL1034" i="62"/>
  <c r="AL1028" i="62"/>
  <c r="AL1023" i="62"/>
  <c r="AL1022" i="62"/>
  <c r="AL1039" i="62"/>
  <c r="AL1038" i="62"/>
  <c r="AL1032" i="62"/>
  <c r="AL1033" i="62"/>
  <c r="AL1031" i="62"/>
  <c r="AL1024" i="62"/>
  <c r="AL1045" i="62"/>
  <c r="AL1042" i="62"/>
  <c r="AL1036" i="62"/>
  <c r="AL1037" i="62"/>
  <c r="AL1027" i="62"/>
  <c r="AL1025" i="62"/>
  <c r="AL1044" i="62"/>
  <c r="AL1041" i="62"/>
  <c r="AL1035" i="62"/>
  <c r="AL1030" i="62"/>
  <c r="AL1029" i="62"/>
  <c r="AL1026" i="62"/>
  <c r="H924" i="62"/>
  <c r="J1032" i="62"/>
  <c r="Z1032" i="62" s="1"/>
  <c r="E895" i="62"/>
  <c r="E924" i="62" s="1"/>
  <c r="AI952" i="62"/>
  <c r="AI886" i="62"/>
  <c r="O131" i="62"/>
  <c r="O132" i="62" s="1"/>
  <c r="O310" i="62"/>
  <c r="AL990" i="62"/>
  <c r="D886" i="62"/>
  <c r="C132" i="62"/>
  <c r="C64" i="62"/>
  <c r="AI978" i="62"/>
  <c r="AI943" i="62"/>
  <c r="AI877" i="62"/>
  <c r="J1023" i="62"/>
  <c r="Z1023" i="62" s="1"/>
  <c r="E943" i="62"/>
  <c r="E915" i="62"/>
  <c r="AR912" i="62"/>
  <c r="AL955" i="62"/>
  <c r="G1026" i="62"/>
  <c r="AG981" i="62"/>
  <c r="AG946" i="62"/>
  <c r="J1030" i="62"/>
  <c r="Z1030" i="62" s="1"/>
  <c r="AI985" i="62"/>
  <c r="AI950" i="62"/>
  <c r="AI884" i="62"/>
  <c r="K1027" i="62"/>
  <c r="AJ982" i="62"/>
  <c r="AJ947" i="62"/>
  <c r="E944" i="62"/>
  <c r="E916" i="62"/>
  <c r="AR913" i="62"/>
  <c r="D893" i="62"/>
  <c r="L132" i="62"/>
  <c r="L64" i="62"/>
  <c r="D896" i="62"/>
  <c r="P132" i="62"/>
  <c r="P64" i="62"/>
  <c r="L1025" i="62"/>
  <c r="AK980" i="62"/>
  <c r="AK945" i="62"/>
  <c r="H947" i="62"/>
  <c r="H919" i="62"/>
  <c r="C892" i="62"/>
  <c r="K65" i="62"/>
  <c r="K29" i="62"/>
  <c r="H888" i="62"/>
  <c r="F472" i="62"/>
  <c r="I471" i="62"/>
  <c r="I917" i="62"/>
  <c r="I945" i="62"/>
  <c r="H894" i="62"/>
  <c r="N472" i="62"/>
  <c r="Q471" i="62"/>
  <c r="N309" i="62"/>
  <c r="N311" i="62" s="1"/>
  <c r="I951" i="62"/>
  <c r="I923" i="62"/>
  <c r="H885" i="62"/>
  <c r="B472" i="62"/>
  <c r="E471" i="62"/>
  <c r="I942" i="62"/>
  <c r="I898" i="62"/>
  <c r="I914" i="62"/>
  <c r="J1024" i="62"/>
  <c r="Z1024" i="62" s="1"/>
  <c r="AI979" i="62"/>
  <c r="AI944" i="62"/>
  <c r="AI878" i="62"/>
  <c r="L1022" i="62"/>
  <c r="AK977" i="62"/>
  <c r="AK942" i="62"/>
  <c r="J955" i="62"/>
  <c r="G1029" i="62"/>
  <c r="AG984" i="62"/>
  <c r="AG949" i="62"/>
  <c r="H891" i="62"/>
  <c r="J472" i="62"/>
  <c r="M471" i="62"/>
  <c r="J309" i="62"/>
  <c r="J311" i="62" s="1"/>
  <c r="I948" i="62"/>
  <c r="I920" i="62"/>
  <c r="D946" i="62"/>
  <c r="D918" i="62"/>
  <c r="AQ915" i="62"/>
  <c r="L1031" i="62"/>
  <c r="AK986" i="62"/>
  <c r="AK951" i="62"/>
  <c r="D887" i="62"/>
  <c r="D132" i="62"/>
  <c r="D64" i="62"/>
  <c r="E953" i="62"/>
  <c r="AR922" i="62"/>
  <c r="E925" i="62"/>
  <c r="C889" i="62"/>
  <c r="G65" i="62"/>
  <c r="G29" i="62"/>
  <c r="L1028" i="62"/>
  <c r="AK983" i="62"/>
  <c r="AK948" i="62"/>
  <c r="R519" i="62"/>
  <c r="E890" i="62"/>
  <c r="H131" i="62"/>
  <c r="J1033" i="62"/>
  <c r="Z1033" i="62" s="1"/>
  <c r="AI988" i="62"/>
  <c r="AI953" i="62"/>
  <c r="AI887" i="62"/>
  <c r="D949" i="62"/>
  <c r="AQ918" i="62"/>
  <c r="D921" i="62"/>
  <c r="E950" i="62"/>
  <c r="AR919" i="62"/>
  <c r="E922" i="62"/>
  <c r="AI1081" i="62" l="1"/>
  <c r="AI1080" i="62"/>
  <c r="AI1075" i="62"/>
  <c r="AI1074" i="62"/>
  <c r="AI1054" i="62"/>
  <c r="AI1053" i="62"/>
  <c r="AI1084" i="62"/>
  <c r="AI1083" i="62"/>
  <c r="AI1057" i="62"/>
  <c r="AI1056" i="62"/>
  <c r="AL1046" i="62"/>
  <c r="AK1040" i="62"/>
  <c r="AK1043" i="62"/>
  <c r="AK1036" i="62"/>
  <c r="AK1029" i="62"/>
  <c r="AK1027" i="62"/>
  <c r="AK1024" i="62"/>
  <c r="AK1039" i="62"/>
  <c r="AK1031" i="62"/>
  <c r="AK1035" i="62"/>
  <c r="AK1037" i="62"/>
  <c r="AK1026" i="62"/>
  <c r="AK1025" i="62"/>
  <c r="AK1042" i="62"/>
  <c r="AK1045" i="62"/>
  <c r="AK1038" i="62"/>
  <c r="AK1034" i="62"/>
  <c r="AK1030" i="62"/>
  <c r="AK1022" i="62"/>
  <c r="AK1041" i="62"/>
  <c r="AK1044" i="62"/>
  <c r="AK1032" i="62"/>
  <c r="AK1033" i="62"/>
  <c r="AK1028" i="62"/>
  <c r="AK1023" i="62"/>
  <c r="E952" i="62"/>
  <c r="AG952" i="62" s="1"/>
  <c r="AR921" i="62"/>
  <c r="O64" i="62"/>
  <c r="O65" i="62" s="1"/>
  <c r="D895" i="62"/>
  <c r="D924" i="62" s="1"/>
  <c r="G1023" i="62"/>
  <c r="AG978" i="62"/>
  <c r="AG943" i="62"/>
  <c r="C29" i="62"/>
  <c r="C886" i="62"/>
  <c r="C65" i="62"/>
  <c r="AQ912" i="62"/>
  <c r="D943" i="62"/>
  <c r="D915" i="62"/>
  <c r="AK990" i="62"/>
  <c r="C887" i="62"/>
  <c r="D65" i="62"/>
  <c r="D29" i="62"/>
  <c r="B892" i="62"/>
  <c r="K30" i="62"/>
  <c r="K19" i="62"/>
  <c r="G1030" i="62"/>
  <c r="AG985" i="62"/>
  <c r="AG950" i="62"/>
  <c r="C946" i="62"/>
  <c r="C918" i="62"/>
  <c r="AP915" i="62"/>
  <c r="K1028" i="62"/>
  <c r="AJ983" i="62"/>
  <c r="AJ948" i="62"/>
  <c r="H948" i="62"/>
  <c r="H920" i="62"/>
  <c r="AK955" i="62"/>
  <c r="E894" i="62"/>
  <c r="Q309" i="62"/>
  <c r="N310" i="62"/>
  <c r="N131" i="62"/>
  <c r="H945" i="62"/>
  <c r="H917" i="62"/>
  <c r="C893" i="62"/>
  <c r="L65" i="62"/>
  <c r="L29" i="62"/>
  <c r="E947" i="62"/>
  <c r="E919" i="62"/>
  <c r="AR916" i="62"/>
  <c r="K1022" i="62"/>
  <c r="AJ977" i="62"/>
  <c r="I955" i="62"/>
  <c r="AJ942" i="62"/>
  <c r="E888" i="62"/>
  <c r="I309" i="62"/>
  <c r="F131" i="62"/>
  <c r="G1024" i="62"/>
  <c r="AG979" i="62"/>
  <c r="AG944" i="62"/>
  <c r="D890" i="62"/>
  <c r="H132" i="62"/>
  <c r="H64" i="62"/>
  <c r="B889" i="62"/>
  <c r="G30" i="62"/>
  <c r="G19" i="62"/>
  <c r="E885" i="62"/>
  <c r="E309" i="62"/>
  <c r="B131" i="62"/>
  <c r="D950" i="62"/>
  <c r="AQ919" i="62"/>
  <c r="D922" i="62"/>
  <c r="F1029" i="62"/>
  <c r="AF984" i="62"/>
  <c r="AF949" i="62"/>
  <c r="E891" i="62"/>
  <c r="J310" i="62"/>
  <c r="M309" i="62"/>
  <c r="J131" i="62"/>
  <c r="H942" i="62"/>
  <c r="H898" i="62"/>
  <c r="H914" i="62"/>
  <c r="J1027" i="62"/>
  <c r="Z1027" i="62" s="1"/>
  <c r="AI982" i="62"/>
  <c r="AI947" i="62"/>
  <c r="AI881" i="62"/>
  <c r="C896" i="62"/>
  <c r="P29" i="62"/>
  <c r="P65" i="62"/>
  <c r="G1033" i="62"/>
  <c r="AG988" i="62"/>
  <c r="AG953" i="62"/>
  <c r="D944" i="62"/>
  <c r="D916" i="62"/>
  <c r="AQ913" i="62"/>
  <c r="F1026" i="62"/>
  <c r="AF981" i="62"/>
  <c r="AF946" i="62"/>
  <c r="R471" i="62"/>
  <c r="K1031" i="62"/>
  <c r="AJ986" i="62"/>
  <c r="AJ951" i="62"/>
  <c r="H951" i="62"/>
  <c r="H923" i="62"/>
  <c r="K1025" i="62"/>
  <c r="AJ980" i="62"/>
  <c r="AJ945" i="62"/>
  <c r="C949" i="62"/>
  <c r="C921" i="62"/>
  <c r="AP918" i="62"/>
  <c r="D953" i="62"/>
  <c r="AQ922" i="62"/>
  <c r="D925" i="62"/>
  <c r="AI1066" i="62" l="1"/>
  <c r="AI1065" i="62"/>
  <c r="AJ1045" i="62"/>
  <c r="AJ1042" i="62"/>
  <c r="AJ1037" i="62"/>
  <c r="AJ1036" i="62"/>
  <c r="AJ1029" i="62"/>
  <c r="AJ1022" i="62"/>
  <c r="AJ1044" i="62"/>
  <c r="AJ1041" i="62"/>
  <c r="AJ1030" i="62"/>
  <c r="AJ1035" i="62"/>
  <c r="AJ1025" i="62"/>
  <c r="AJ1028" i="62"/>
  <c r="AJ1043" i="62"/>
  <c r="AJ1040" i="62"/>
  <c r="AJ1031" i="62"/>
  <c r="AJ1034" i="62"/>
  <c r="AJ1027" i="62"/>
  <c r="AJ1023" i="62"/>
  <c r="AJ1038" i="62"/>
  <c r="AJ1039" i="62"/>
  <c r="AJ1032" i="62"/>
  <c r="AJ1033" i="62"/>
  <c r="AJ1026" i="62"/>
  <c r="AJ1024" i="62"/>
  <c r="AK1046" i="62"/>
  <c r="AG987" i="62"/>
  <c r="G1032" i="62"/>
  <c r="O29" i="62"/>
  <c r="O30" i="62" s="1"/>
  <c r="C895" i="62"/>
  <c r="AQ921" i="62"/>
  <c r="D952" i="62"/>
  <c r="AF978" i="62"/>
  <c r="F1023" i="62"/>
  <c r="AF943" i="62"/>
  <c r="B886" i="62"/>
  <c r="C30" i="62"/>
  <c r="C19" i="62"/>
  <c r="C915" i="62"/>
  <c r="C943" i="62"/>
  <c r="AP912" i="62"/>
  <c r="E1029" i="62"/>
  <c r="AE984" i="62"/>
  <c r="AE949" i="62"/>
  <c r="C953" i="62"/>
  <c r="C925" i="62"/>
  <c r="AP922" i="62"/>
  <c r="D891" i="62"/>
  <c r="J132" i="62"/>
  <c r="M131" i="62"/>
  <c r="J64" i="62"/>
  <c r="E948" i="62"/>
  <c r="E920" i="62"/>
  <c r="AR917" i="62"/>
  <c r="D947" i="62"/>
  <c r="D919" i="62"/>
  <c r="AQ916" i="62"/>
  <c r="AJ990" i="62"/>
  <c r="G1027" i="62"/>
  <c r="AG982" i="62"/>
  <c r="AG947" i="62"/>
  <c r="J1031" i="62"/>
  <c r="Z1031" i="62" s="1"/>
  <c r="AI986" i="62"/>
  <c r="AI951" i="62"/>
  <c r="AI885" i="62"/>
  <c r="E917" i="62"/>
  <c r="E945" i="62"/>
  <c r="AR914" i="62"/>
  <c r="B893" i="62"/>
  <c r="L30" i="62"/>
  <c r="L19" i="62"/>
  <c r="B887" i="62"/>
  <c r="D30" i="62"/>
  <c r="D19" i="62"/>
  <c r="F1024" i="62"/>
  <c r="AF979" i="62"/>
  <c r="AF944" i="62"/>
  <c r="F1030" i="62"/>
  <c r="AF985" i="62"/>
  <c r="AF950" i="62"/>
  <c r="D885" i="62"/>
  <c r="B132" i="62"/>
  <c r="E131" i="62"/>
  <c r="B64" i="62"/>
  <c r="E942" i="62"/>
  <c r="E898" i="62"/>
  <c r="E914" i="62"/>
  <c r="AR911" i="62"/>
  <c r="C890" i="62"/>
  <c r="H29" i="62"/>
  <c r="H65" i="62"/>
  <c r="AJ955" i="62"/>
  <c r="D894" i="62"/>
  <c r="N132" i="62"/>
  <c r="Q131" i="62"/>
  <c r="N64" i="62"/>
  <c r="AR920" i="62"/>
  <c r="E951" i="62"/>
  <c r="E923" i="62"/>
  <c r="F1033" i="62"/>
  <c r="AF988" i="62"/>
  <c r="AF953" i="62"/>
  <c r="B946" i="62"/>
  <c r="B918" i="62"/>
  <c r="AG880" i="62"/>
  <c r="AO915" i="62"/>
  <c r="AT915" i="62" s="1"/>
  <c r="AN880" i="62"/>
  <c r="D888" i="62"/>
  <c r="F132" i="62"/>
  <c r="I131" i="62"/>
  <c r="F64" i="62"/>
  <c r="J1025" i="62"/>
  <c r="Z1025" i="62" s="1"/>
  <c r="AI980" i="62"/>
  <c r="AI945" i="62"/>
  <c r="AI879" i="62"/>
  <c r="J1028" i="62"/>
  <c r="Z1028" i="62" s="1"/>
  <c r="AI983" i="62"/>
  <c r="AI948" i="62"/>
  <c r="AI882" i="62"/>
  <c r="B949" i="62"/>
  <c r="AO918" i="62"/>
  <c r="AT918" i="62" s="1"/>
  <c r="B921" i="62"/>
  <c r="AG883" i="62"/>
  <c r="AN883" i="62"/>
  <c r="B896" i="62"/>
  <c r="P19" i="62"/>
  <c r="P30" i="62"/>
  <c r="J1022" i="62"/>
  <c r="Z1022" i="62" s="1"/>
  <c r="AI977" i="62"/>
  <c r="H955" i="62"/>
  <c r="AI942" i="62"/>
  <c r="AI876" i="62"/>
  <c r="R309" i="62"/>
  <c r="C950" i="62"/>
  <c r="C922" i="62"/>
  <c r="AP919" i="62"/>
  <c r="E1026" i="62"/>
  <c r="AE981" i="62"/>
  <c r="AE946" i="62"/>
  <c r="C944" i="62"/>
  <c r="C916" i="62"/>
  <c r="AP913" i="62"/>
  <c r="S13" i="61"/>
  <c r="W1026" i="62" l="1"/>
  <c r="V1026" i="62"/>
  <c r="AI1077" i="62"/>
  <c r="AI1078" i="62"/>
  <c r="V1029" i="62"/>
  <c r="W1029" i="62"/>
  <c r="AI1051" i="62"/>
  <c r="AI1050" i="62"/>
  <c r="AI1060" i="62"/>
  <c r="AI1059" i="62"/>
  <c r="AI1069" i="62"/>
  <c r="AI1068" i="62"/>
  <c r="AI1044" i="62"/>
  <c r="AI1042" i="62"/>
  <c r="AI1035" i="62"/>
  <c r="AI1027" i="62"/>
  <c r="AI1029" i="62"/>
  <c r="AI1030" i="62"/>
  <c r="AI1043" i="62"/>
  <c r="AI1041" i="62"/>
  <c r="AI1034" i="62"/>
  <c r="AI1039" i="62"/>
  <c r="AI1025" i="62"/>
  <c r="AI1028" i="62"/>
  <c r="AI1038" i="62"/>
  <c r="AI1040" i="62"/>
  <c r="AI1033" i="62"/>
  <c r="AI1032" i="62"/>
  <c r="AI1026" i="62"/>
  <c r="AI1023" i="62"/>
  <c r="AI1045" i="62"/>
  <c r="AI1037" i="62"/>
  <c r="AI1036" i="62"/>
  <c r="AI1031" i="62"/>
  <c r="AI1024" i="62"/>
  <c r="AI1022" i="62"/>
  <c r="AJ1046" i="62"/>
  <c r="O19" i="62"/>
  <c r="B895" i="62"/>
  <c r="B952" i="62" s="1"/>
  <c r="R1059" i="62" s="1"/>
  <c r="C924" i="62"/>
  <c r="AP921" i="62"/>
  <c r="C952" i="62"/>
  <c r="AF952" i="62"/>
  <c r="F1032" i="62"/>
  <c r="AF987" i="62"/>
  <c r="AO912" i="62"/>
  <c r="AT912" i="62" s="1"/>
  <c r="AG877" i="62"/>
  <c r="B943" i="62"/>
  <c r="AN877" i="62"/>
  <c r="B915" i="62"/>
  <c r="E1023" i="62"/>
  <c r="AE978" i="62"/>
  <c r="AE943" i="62"/>
  <c r="AI990" i="62"/>
  <c r="AI955" i="62"/>
  <c r="AI889" i="62"/>
  <c r="R131" i="62"/>
  <c r="B890" i="62"/>
  <c r="H19" i="62"/>
  <c r="H30" i="62"/>
  <c r="G1022" i="62"/>
  <c r="AG977" i="62"/>
  <c r="E955" i="62"/>
  <c r="AG942" i="62"/>
  <c r="D942" i="62"/>
  <c r="AQ911" i="62"/>
  <c r="D898" i="62"/>
  <c r="D914" i="62"/>
  <c r="E1030" i="62"/>
  <c r="AE985" i="62"/>
  <c r="AE950" i="62"/>
  <c r="D951" i="62"/>
  <c r="AQ920" i="62"/>
  <c r="D923" i="62"/>
  <c r="C947" i="62"/>
  <c r="C919" i="62"/>
  <c r="AP916" i="62"/>
  <c r="AR924" i="62"/>
  <c r="C885" i="62"/>
  <c r="B65" i="62"/>
  <c r="B29" i="62"/>
  <c r="E64" i="62"/>
  <c r="B944" i="62"/>
  <c r="B916" i="62"/>
  <c r="AO913" i="62"/>
  <c r="AT913" i="62" s="1"/>
  <c r="AG878" i="62"/>
  <c r="AN878" i="62"/>
  <c r="E1033" i="62"/>
  <c r="AE988" i="62"/>
  <c r="AE953" i="62"/>
  <c r="AD984" i="62"/>
  <c r="AD949" i="62"/>
  <c r="R1056" i="62"/>
  <c r="G1025" i="62"/>
  <c r="AG980" i="62"/>
  <c r="AG945" i="62"/>
  <c r="G1028" i="62"/>
  <c r="AG983" i="62"/>
  <c r="AG948" i="62"/>
  <c r="E1024" i="62"/>
  <c r="AE979" i="62"/>
  <c r="AE944" i="62"/>
  <c r="C888" i="62"/>
  <c r="I64" i="62"/>
  <c r="F65" i="62"/>
  <c r="F29" i="62"/>
  <c r="AD981" i="62"/>
  <c r="AD946" i="62"/>
  <c r="R1053" i="62"/>
  <c r="F1027" i="62"/>
  <c r="AF982" i="62"/>
  <c r="AF947" i="62"/>
  <c r="C891" i="62"/>
  <c r="J29" i="62"/>
  <c r="J65" i="62"/>
  <c r="M64" i="62"/>
  <c r="B953" i="62"/>
  <c r="B925" i="62"/>
  <c r="AG887" i="62"/>
  <c r="AO922" i="62"/>
  <c r="AT922" i="62" s="1"/>
  <c r="AN887" i="62"/>
  <c r="D945" i="62"/>
  <c r="D917" i="62"/>
  <c r="AQ914" i="62"/>
  <c r="C894" i="62"/>
  <c r="Q64" i="62"/>
  <c r="N65" i="62"/>
  <c r="N29" i="62"/>
  <c r="D948" i="62"/>
  <c r="D920" i="62"/>
  <c r="AQ917" i="62"/>
  <c r="G1031" i="62"/>
  <c r="AG986" i="62"/>
  <c r="AG951" i="62"/>
  <c r="B950" i="62"/>
  <c r="AO919" i="62"/>
  <c r="AT919" i="62" s="1"/>
  <c r="B922" i="62"/>
  <c r="AG884" i="62"/>
  <c r="AN884" i="62"/>
  <c r="Q397" i="61"/>
  <c r="M397" i="61"/>
  <c r="I397" i="61"/>
  <c r="E397" i="61"/>
  <c r="W1030" i="62" l="1"/>
  <c r="V1030" i="62"/>
  <c r="V1024" i="62"/>
  <c r="W1024" i="62"/>
  <c r="V1033" i="62"/>
  <c r="W1033" i="62"/>
  <c r="V1023" i="62"/>
  <c r="W1023" i="62"/>
  <c r="AI1046" i="62"/>
  <c r="AG1041" i="62"/>
  <c r="AG1044" i="62"/>
  <c r="AG1038" i="62"/>
  <c r="AG1034" i="62"/>
  <c r="AG1028" i="62"/>
  <c r="AG1027" i="62"/>
  <c r="AG1040" i="62"/>
  <c r="AG1043" i="62"/>
  <c r="AG1037" i="62"/>
  <c r="AG1033" i="62"/>
  <c r="AG1026" i="62"/>
  <c r="AG1024" i="62"/>
  <c r="AG1039" i="62"/>
  <c r="AG1031" i="62"/>
  <c r="AG1036" i="62"/>
  <c r="AG1029" i="62"/>
  <c r="AG1022" i="62"/>
  <c r="AG1025" i="62"/>
  <c r="AG1042" i="62"/>
  <c r="AG1045" i="62"/>
  <c r="AG1032" i="62"/>
  <c r="AG1035" i="62"/>
  <c r="AG1030" i="62"/>
  <c r="AG1023" i="62"/>
  <c r="AD987" i="62"/>
  <c r="AD952" i="62"/>
  <c r="AO921" i="62"/>
  <c r="AT921" i="62" s="1"/>
  <c r="B924" i="62"/>
  <c r="AG886" i="62"/>
  <c r="AN886" i="62"/>
  <c r="E1032" i="62"/>
  <c r="AE952" i="62"/>
  <c r="AE987" i="62"/>
  <c r="AD978" i="62"/>
  <c r="R1050" i="62"/>
  <c r="AD943" i="62"/>
  <c r="B885" i="62"/>
  <c r="E29" i="62"/>
  <c r="B30" i="62"/>
  <c r="B19" i="62"/>
  <c r="F1028" i="62"/>
  <c r="AF983" i="62"/>
  <c r="AF948" i="62"/>
  <c r="C951" i="62"/>
  <c r="C923" i="62"/>
  <c r="AP920" i="62"/>
  <c r="AD988" i="62"/>
  <c r="AD953" i="62"/>
  <c r="R1060" i="62"/>
  <c r="C945" i="62"/>
  <c r="C917" i="62"/>
  <c r="AP914" i="62"/>
  <c r="B894" i="62"/>
  <c r="N19" i="62"/>
  <c r="N30" i="62"/>
  <c r="Q29" i="62"/>
  <c r="B888" i="62"/>
  <c r="F19" i="62"/>
  <c r="I29" i="62"/>
  <c r="F30" i="62"/>
  <c r="R64" i="62"/>
  <c r="AG955" i="62"/>
  <c r="AD985" i="62"/>
  <c r="AD950" i="62"/>
  <c r="R1057" i="62"/>
  <c r="F1025" i="62"/>
  <c r="AF980" i="62"/>
  <c r="AF945" i="62"/>
  <c r="B891" i="62"/>
  <c r="J30" i="62"/>
  <c r="M29" i="62"/>
  <c r="J19" i="62"/>
  <c r="F1031" i="62"/>
  <c r="AF986" i="62"/>
  <c r="AF951" i="62"/>
  <c r="AQ924" i="62"/>
  <c r="AG990" i="62"/>
  <c r="B947" i="62"/>
  <c r="B919" i="62"/>
  <c r="AO916" i="62"/>
  <c r="AT916" i="62" s="1"/>
  <c r="AG881" i="62"/>
  <c r="AN881" i="62"/>
  <c r="C920" i="62"/>
  <c r="AP917" i="62"/>
  <c r="C948" i="62"/>
  <c r="AD979" i="62"/>
  <c r="AD944" i="62"/>
  <c r="R1051" i="62"/>
  <c r="C942" i="62"/>
  <c r="E1022" i="62" s="1"/>
  <c r="C914" i="62"/>
  <c r="AP911" i="62"/>
  <c r="C898" i="62"/>
  <c r="E1027" i="62"/>
  <c r="AE982" i="62"/>
  <c r="AE947" i="62"/>
  <c r="F1022" i="62"/>
  <c r="AF977" i="62"/>
  <c r="D955" i="62"/>
  <c r="AF942" i="62"/>
  <c r="R397" i="61"/>
  <c r="W1022" i="62" l="1"/>
  <c r="AF1051" i="62" s="1"/>
  <c r="V1032" i="62"/>
  <c r="W1032" i="62"/>
  <c r="V1027" i="62"/>
  <c r="W1027" i="62"/>
  <c r="AF1044" i="62"/>
  <c r="AF1041" i="62"/>
  <c r="AF1031" i="62"/>
  <c r="AF1035" i="62"/>
  <c r="AF1028" i="62"/>
  <c r="AF1023" i="62"/>
  <c r="AF1043" i="62"/>
  <c r="AF1040" i="62"/>
  <c r="AF1032" i="62"/>
  <c r="AF1034" i="62"/>
  <c r="AF1025" i="62"/>
  <c r="AF1027" i="62"/>
  <c r="AF1038" i="62"/>
  <c r="AF1039" i="62"/>
  <c r="AF1037" i="62"/>
  <c r="AF1033" i="62"/>
  <c r="AF1026" i="62"/>
  <c r="AF1024" i="62"/>
  <c r="AF1045" i="62"/>
  <c r="AF1042" i="62"/>
  <c r="AF1030" i="62"/>
  <c r="AF1036" i="62"/>
  <c r="AF1029" i="62"/>
  <c r="AF1022" i="62"/>
  <c r="AG1046" i="62"/>
  <c r="AF955" i="62"/>
  <c r="I19" i="62"/>
  <c r="I20" i="62"/>
  <c r="Q19" i="62"/>
  <c r="Q20" i="62"/>
  <c r="B942" i="62"/>
  <c r="R1049" i="62" s="1"/>
  <c r="B914" i="62"/>
  <c r="AO911" i="62"/>
  <c r="AN876" i="62"/>
  <c r="B898" i="62"/>
  <c r="AG876" i="62"/>
  <c r="AE977" i="62"/>
  <c r="C955" i="62"/>
  <c r="AE942" i="62"/>
  <c r="AF990" i="62"/>
  <c r="AP924" i="62"/>
  <c r="E1028" i="62"/>
  <c r="AE983" i="62"/>
  <c r="AE948" i="62"/>
  <c r="R29" i="62"/>
  <c r="B948" i="62"/>
  <c r="B920" i="62"/>
  <c r="AO917" i="62"/>
  <c r="AT917" i="62" s="1"/>
  <c r="AG882" i="62"/>
  <c r="AN882" i="62"/>
  <c r="B945" i="62"/>
  <c r="B917" i="62"/>
  <c r="AO914" i="62"/>
  <c r="AT914" i="62" s="1"/>
  <c r="AG879" i="62"/>
  <c r="AN879" i="62"/>
  <c r="B951" i="62"/>
  <c r="B923" i="62"/>
  <c r="AN885" i="62"/>
  <c r="AG885" i="62"/>
  <c r="AO920" i="62"/>
  <c r="AT920" i="62" s="1"/>
  <c r="E1025" i="62"/>
  <c r="AE980" i="62"/>
  <c r="AE945" i="62"/>
  <c r="E1031" i="62"/>
  <c r="AE986" i="62"/>
  <c r="AE951" i="62"/>
  <c r="E19" i="62"/>
  <c r="E20" i="62"/>
  <c r="AD982" i="62"/>
  <c r="AD947" i="62"/>
  <c r="R1054" i="62"/>
  <c r="M19" i="62"/>
  <c r="M20" i="62"/>
  <c r="V1025" i="62" l="1"/>
  <c r="W1025" i="62"/>
  <c r="V1022" i="62"/>
  <c r="AF1050" i="62" s="1"/>
  <c r="V1031" i="62"/>
  <c r="W1031" i="62"/>
  <c r="V1028" i="62"/>
  <c r="W1028" i="62"/>
  <c r="AE1044" i="62"/>
  <c r="AE1041" i="62"/>
  <c r="AE1036" i="62"/>
  <c r="AE1031" i="62"/>
  <c r="AE1024" i="62"/>
  <c r="AE1022" i="62"/>
  <c r="AE1043" i="62"/>
  <c r="AE1040" i="62"/>
  <c r="AE1035" i="62"/>
  <c r="AE1027" i="62"/>
  <c r="AE1028" i="62"/>
  <c r="AE1029" i="62"/>
  <c r="AE1038" i="62"/>
  <c r="AE1039" i="62"/>
  <c r="AE1034" i="62"/>
  <c r="AE1032" i="62"/>
  <c r="AE1025" i="62"/>
  <c r="AE1023" i="62"/>
  <c r="AE1045" i="62"/>
  <c r="AE1042" i="62"/>
  <c r="AE1037" i="62"/>
  <c r="AE1033" i="62"/>
  <c r="AE1030" i="62"/>
  <c r="AE1026" i="62"/>
  <c r="AF1046" i="62"/>
  <c r="R19" i="62"/>
  <c r="AD986" i="62"/>
  <c r="AD951" i="62"/>
  <c r="R1058" i="62"/>
  <c r="AD980" i="62"/>
  <c r="AD945" i="62"/>
  <c r="R1052" i="62"/>
  <c r="AD977" i="62"/>
  <c r="B955" i="62"/>
  <c r="R1061" i="62" s="1"/>
  <c r="AD942" i="62"/>
  <c r="AE990" i="62"/>
  <c r="R20" i="62"/>
  <c r="AD983" i="62"/>
  <c r="AD948" i="62"/>
  <c r="R1055" i="62"/>
  <c r="AO924" i="62"/>
  <c r="AT911" i="62"/>
  <c r="AT924" i="62" s="1"/>
  <c r="AE955" i="62"/>
  <c r="AG889" i="62"/>
  <c r="B810" i="61"/>
  <c r="B807" i="61"/>
  <c r="AE1046" i="62" l="1"/>
  <c r="AD990" i="62"/>
  <c r="AD955" i="62"/>
  <c r="P793" i="53"/>
  <c r="O793" i="53"/>
  <c r="N793" i="53"/>
  <c r="L793" i="53"/>
  <c r="K793" i="53"/>
  <c r="J793" i="53"/>
  <c r="H793" i="53"/>
  <c r="G793" i="53"/>
  <c r="F793" i="53"/>
  <c r="D793" i="53"/>
  <c r="C793" i="53"/>
  <c r="B793" i="53"/>
  <c r="P17" i="53" l="1"/>
  <c r="L276" i="53" l="1"/>
  <c r="K276" i="53" l="1"/>
  <c r="J276" i="53"/>
  <c r="L732" i="53" l="1"/>
  <c r="K732" i="53"/>
  <c r="J732" i="53"/>
  <c r="L738" i="53"/>
  <c r="K738" i="53"/>
  <c r="J738" i="53"/>
  <c r="L176" i="53"/>
  <c r="K176" i="53"/>
  <c r="J176" i="53"/>
  <c r="L174" i="53"/>
  <c r="K174" i="53"/>
  <c r="J174" i="53"/>
  <c r="L241" i="53" l="1"/>
  <c r="K241" i="53"/>
  <c r="J241" i="53"/>
  <c r="K359" i="53"/>
  <c r="L157" i="53"/>
  <c r="K140" i="53"/>
  <c r="J140" i="53"/>
  <c r="H140" i="53"/>
  <c r="G140" i="53"/>
  <c r="F140" i="53"/>
  <c r="D140" i="53"/>
  <c r="L153" i="53" l="1"/>
  <c r="J232" i="53"/>
  <c r="Q645" i="61" l="1"/>
  <c r="M645" i="61"/>
  <c r="I645" i="61"/>
  <c r="E645" i="61"/>
  <c r="Q318" i="61"/>
  <c r="M318" i="61"/>
  <c r="I318" i="61"/>
  <c r="E318" i="61"/>
  <c r="E147" i="61"/>
  <c r="M250" i="61"/>
  <c r="I250" i="61"/>
  <c r="R645" i="61" l="1"/>
  <c r="R318" i="61"/>
  <c r="Q216" i="61"/>
  <c r="M216" i="61"/>
  <c r="I216" i="61"/>
  <c r="E216" i="61"/>
  <c r="E215" i="61"/>
  <c r="I215" i="61"/>
  <c r="M215" i="61"/>
  <c r="Q215" i="61"/>
  <c r="R216" i="61" l="1"/>
  <c r="R215" i="61"/>
  <c r="P181" i="61" l="1"/>
  <c r="O181" i="61"/>
  <c r="N181" i="61"/>
  <c r="E176" i="61"/>
  <c r="I176" i="61"/>
  <c r="Q398" i="61"/>
  <c r="M398" i="61"/>
  <c r="I398" i="61"/>
  <c r="E398" i="61"/>
  <c r="Q330" i="61"/>
  <c r="M330" i="61"/>
  <c r="I330" i="61"/>
  <c r="E330" i="61"/>
  <c r="Q174" i="61"/>
  <c r="I174" i="61"/>
  <c r="E174" i="61"/>
  <c r="M335" i="61"/>
  <c r="I335" i="61"/>
  <c r="E335" i="61"/>
  <c r="M331" i="61"/>
  <c r="I331" i="61"/>
  <c r="E331" i="61"/>
  <c r="I169" i="61"/>
  <c r="Q179" i="61"/>
  <c r="M179" i="61"/>
  <c r="I179" i="61"/>
  <c r="E179" i="61"/>
  <c r="I227" i="61"/>
  <c r="E227" i="61"/>
  <c r="Q241" i="61"/>
  <c r="M241" i="61"/>
  <c r="I241" i="61"/>
  <c r="E241" i="61"/>
  <c r="Q176" i="61" l="1"/>
  <c r="M176" i="61"/>
  <c r="R398" i="61"/>
  <c r="R330" i="61"/>
  <c r="M174" i="61"/>
  <c r="R174" i="61" s="1"/>
  <c r="R179" i="61"/>
  <c r="R241" i="61"/>
  <c r="R176" i="61" l="1"/>
  <c r="Q226" i="61"/>
  <c r="M226" i="61"/>
  <c r="I226" i="61"/>
  <c r="E226" i="61"/>
  <c r="R226" i="61" l="1"/>
  <c r="Q549" i="61" l="1"/>
  <c r="M549" i="61"/>
  <c r="I549" i="61"/>
  <c r="I550" i="61"/>
  <c r="E549" i="61"/>
  <c r="R549" i="61" l="1"/>
  <c r="E145" i="61"/>
  <c r="Q143" i="61"/>
  <c r="M143" i="61"/>
  <c r="I143" i="61"/>
  <c r="E143" i="61"/>
  <c r="Q317" i="61"/>
  <c r="M317" i="61"/>
  <c r="I317" i="61"/>
  <c r="E317" i="61"/>
  <c r="P790" i="61"/>
  <c r="O790" i="61"/>
  <c r="N790" i="61"/>
  <c r="L790" i="61"/>
  <c r="K790" i="61"/>
  <c r="J790" i="61"/>
  <c r="H790" i="61"/>
  <c r="G790" i="61"/>
  <c r="F790" i="61"/>
  <c r="D790" i="61"/>
  <c r="C790" i="61"/>
  <c r="B790" i="61"/>
  <c r="R317" i="61" l="1"/>
  <c r="R143" i="61"/>
  <c r="Q315" i="61"/>
  <c r="M315" i="61"/>
  <c r="I315" i="61"/>
  <c r="E315" i="61"/>
  <c r="Q313" i="61"/>
  <c r="M313" i="61"/>
  <c r="I313" i="61"/>
  <c r="E313" i="61"/>
  <c r="M287" i="61"/>
  <c r="I287" i="61"/>
  <c r="E287" i="61"/>
  <c r="O1078" i="61"/>
  <c r="K1078" i="61"/>
  <c r="Q1075" i="61"/>
  <c r="M1075" i="61"/>
  <c r="G1075" i="61"/>
  <c r="I1075" i="61" s="1"/>
  <c r="Q1074" i="61"/>
  <c r="M1074" i="61"/>
  <c r="G1074" i="61"/>
  <c r="I1074" i="61" s="1"/>
  <c r="Q1073" i="61"/>
  <c r="M1073" i="61"/>
  <c r="G1073" i="61"/>
  <c r="I1073" i="61" s="1"/>
  <c r="J1075" i="61" s="1"/>
  <c r="Q1072" i="61"/>
  <c r="M1072" i="61"/>
  <c r="G1072" i="61"/>
  <c r="I1072" i="61" s="1"/>
  <c r="Q1071" i="61"/>
  <c r="M1071" i="61"/>
  <c r="G1071" i="61"/>
  <c r="I1071" i="61" s="1"/>
  <c r="Q1070" i="61"/>
  <c r="M1070" i="61"/>
  <c r="G1070" i="61"/>
  <c r="I1070" i="61" s="1"/>
  <c r="J1072" i="61" s="1"/>
  <c r="Q1069" i="61"/>
  <c r="M1069" i="61"/>
  <c r="G1069" i="61"/>
  <c r="I1069" i="61" s="1"/>
  <c r="Q1068" i="61"/>
  <c r="M1068" i="61"/>
  <c r="G1068" i="61"/>
  <c r="I1068" i="61" s="1"/>
  <c r="Q1067" i="61"/>
  <c r="M1067" i="61"/>
  <c r="G1067" i="61"/>
  <c r="I1067" i="61" s="1"/>
  <c r="J1069" i="61" s="1"/>
  <c r="Q1066" i="61"/>
  <c r="M1066" i="61"/>
  <c r="G1066" i="61"/>
  <c r="I1066" i="61" s="1"/>
  <c r="Q1065" i="61"/>
  <c r="M1065" i="61"/>
  <c r="G1065" i="61"/>
  <c r="I1065" i="61" s="1"/>
  <c r="Q1064" i="61"/>
  <c r="M1064" i="61"/>
  <c r="I1064" i="61"/>
  <c r="G1058" i="61"/>
  <c r="O1057" i="61"/>
  <c r="K1057" i="61"/>
  <c r="C1057" i="61"/>
  <c r="I1054" i="61"/>
  <c r="J1051" i="61"/>
  <c r="Q1050" i="61"/>
  <c r="P1026" i="61"/>
  <c r="O1026" i="61" s="1"/>
  <c r="J1026" i="61"/>
  <c r="G1026" i="61" s="1"/>
  <c r="C999" i="61" s="1"/>
  <c r="I1026" i="61"/>
  <c r="P1025" i="61"/>
  <c r="O1025" i="61" s="1"/>
  <c r="J1025" i="61"/>
  <c r="G1025" i="61" s="1"/>
  <c r="C998" i="61" s="1"/>
  <c r="I1025" i="61"/>
  <c r="P1024" i="61"/>
  <c r="O1024" i="61" s="1"/>
  <c r="J1024" i="61"/>
  <c r="G1024" i="61" s="1"/>
  <c r="C997" i="61" s="1"/>
  <c r="I1024" i="61"/>
  <c r="F1024" i="61" s="1"/>
  <c r="B997" i="61" s="1"/>
  <c r="P1023" i="61"/>
  <c r="O1023" i="61" s="1"/>
  <c r="J1023" i="61"/>
  <c r="G1023" i="61" s="1"/>
  <c r="C996" i="61" s="1"/>
  <c r="I1023" i="61"/>
  <c r="F1023" i="61" s="1"/>
  <c r="B996" i="61" s="1"/>
  <c r="P1022" i="61"/>
  <c r="O1022" i="61" s="1"/>
  <c r="K1022" i="61"/>
  <c r="H1022" i="61" s="1"/>
  <c r="D995" i="61" s="1"/>
  <c r="J1022" i="61"/>
  <c r="I1022" i="61"/>
  <c r="F1022" i="61" s="1"/>
  <c r="B995" i="61" s="1"/>
  <c r="P1021" i="61"/>
  <c r="O1021" i="61" s="1"/>
  <c r="K1021" i="61"/>
  <c r="H1021" i="61" s="1"/>
  <c r="D994" i="61" s="1"/>
  <c r="J1021" i="61"/>
  <c r="I1021" i="61"/>
  <c r="F1021" i="61" s="1"/>
  <c r="B994" i="61" s="1"/>
  <c r="P1020" i="61"/>
  <c r="O1020" i="61" s="1"/>
  <c r="K1020" i="61"/>
  <c r="H1020" i="61" s="1"/>
  <c r="D993" i="61" s="1"/>
  <c r="J1020" i="61"/>
  <c r="G1020" i="61" s="1"/>
  <c r="C993" i="61" s="1"/>
  <c r="I1020" i="61"/>
  <c r="P1019" i="61"/>
  <c r="O1019" i="61" s="1"/>
  <c r="J1019" i="61"/>
  <c r="G1019" i="61" s="1"/>
  <c r="C992" i="61" s="1"/>
  <c r="I1019" i="61"/>
  <c r="F1019" i="61" s="1"/>
  <c r="B992" i="61" s="1"/>
  <c r="P1018" i="61"/>
  <c r="O1018" i="61" s="1"/>
  <c r="J1018" i="61"/>
  <c r="G1018" i="61" s="1"/>
  <c r="C991" i="61" s="1"/>
  <c r="I1018" i="61"/>
  <c r="F1018" i="61" s="1"/>
  <c r="B991" i="61" s="1"/>
  <c r="P1017" i="61"/>
  <c r="O1017" i="61" s="1"/>
  <c r="J1017" i="61"/>
  <c r="G1017" i="61" s="1"/>
  <c r="C990" i="61" s="1"/>
  <c r="I1017" i="61"/>
  <c r="F1017" i="61" s="1"/>
  <c r="B990" i="61" s="1"/>
  <c r="P1016" i="61"/>
  <c r="O1016" i="61" s="1"/>
  <c r="J1016" i="61"/>
  <c r="G1016" i="61" s="1"/>
  <c r="C989" i="61" s="1"/>
  <c r="I1016" i="61"/>
  <c r="P1015" i="61"/>
  <c r="O1015" i="61" s="1"/>
  <c r="J1015" i="61"/>
  <c r="G1015" i="61" s="1"/>
  <c r="C988" i="61" s="1"/>
  <c r="I1015" i="61"/>
  <c r="F1015" i="61" s="1"/>
  <c r="B988" i="61" s="1"/>
  <c r="B1009" i="61"/>
  <c r="B1006" i="61"/>
  <c r="Q1005" i="61"/>
  <c r="B984" i="61"/>
  <c r="B981" i="61"/>
  <c r="Q980" i="61"/>
  <c r="M958" i="61"/>
  <c r="N949" i="61"/>
  <c r="L949" i="61"/>
  <c r="K949" i="61"/>
  <c r="I949" i="61"/>
  <c r="H949" i="61"/>
  <c r="J947" i="61"/>
  <c r="J946" i="61"/>
  <c r="J945" i="61"/>
  <c r="J944" i="61"/>
  <c r="J943" i="61"/>
  <c r="J942" i="61"/>
  <c r="AR941" i="61"/>
  <c r="AQ941" i="61"/>
  <c r="AP941" i="61"/>
  <c r="AO941" i="61"/>
  <c r="AN941" i="61"/>
  <c r="AM941" i="61"/>
  <c r="AL941" i="61"/>
  <c r="AK941" i="61"/>
  <c r="AJ941" i="61"/>
  <c r="AI941" i="61"/>
  <c r="AH941" i="61"/>
  <c r="AG941" i="61"/>
  <c r="AF941" i="61"/>
  <c r="AE941" i="61"/>
  <c r="AD941" i="61"/>
  <c r="J941" i="61"/>
  <c r="J940" i="61"/>
  <c r="J939" i="61"/>
  <c r="J938" i="61"/>
  <c r="J937" i="61"/>
  <c r="J936" i="61"/>
  <c r="AD931" i="61"/>
  <c r="AD928" i="61"/>
  <c r="B928" i="61"/>
  <c r="AR927" i="61"/>
  <c r="B927" i="61"/>
  <c r="Q926" i="61"/>
  <c r="AR906" i="61"/>
  <c r="AQ906" i="61"/>
  <c r="AP906" i="61"/>
  <c r="AO906" i="61"/>
  <c r="AN906" i="61"/>
  <c r="AM906" i="61"/>
  <c r="AL906" i="61"/>
  <c r="AK906" i="61"/>
  <c r="AJ906" i="61"/>
  <c r="AI906" i="61"/>
  <c r="AH906" i="61"/>
  <c r="AG906" i="61"/>
  <c r="AF906" i="61"/>
  <c r="AE906" i="61"/>
  <c r="AD906" i="61"/>
  <c r="B901" i="61"/>
  <c r="B898" i="61"/>
  <c r="Q897" i="61"/>
  <c r="AD896" i="61"/>
  <c r="AD893" i="61"/>
  <c r="AR892" i="61"/>
  <c r="AR875" i="61"/>
  <c r="AQ875" i="61"/>
  <c r="AP875" i="61"/>
  <c r="AO875" i="61"/>
  <c r="AG875" i="61"/>
  <c r="AF875" i="61"/>
  <c r="AE875" i="61"/>
  <c r="AD875" i="61"/>
  <c r="B875" i="61"/>
  <c r="B872" i="61"/>
  <c r="Q871" i="61"/>
  <c r="AR870" i="61"/>
  <c r="AG870" i="61"/>
  <c r="AS867" i="61"/>
  <c r="AH867" i="61"/>
  <c r="AS865" i="61"/>
  <c r="G862" i="61"/>
  <c r="F862" i="61"/>
  <c r="G861" i="61"/>
  <c r="F861" i="61"/>
  <c r="G860" i="61"/>
  <c r="F860" i="61"/>
  <c r="AD851" i="61" s="1"/>
  <c r="AO851" i="61" s="1"/>
  <c r="G859" i="61"/>
  <c r="F859" i="61"/>
  <c r="G858" i="61"/>
  <c r="F858" i="61"/>
  <c r="AD849" i="61" s="1"/>
  <c r="AO849" i="61" s="1"/>
  <c r="G857" i="61"/>
  <c r="F857" i="61"/>
  <c r="AD883" i="61" s="1"/>
  <c r="G856" i="61"/>
  <c r="F856" i="61"/>
  <c r="AD847" i="61" s="1"/>
  <c r="AO847" i="61" s="1"/>
  <c r="G855" i="61"/>
  <c r="F855" i="61"/>
  <c r="G854" i="61"/>
  <c r="F854" i="61"/>
  <c r="G853" i="61"/>
  <c r="F853" i="61"/>
  <c r="G852" i="61"/>
  <c r="F852" i="61"/>
  <c r="G851" i="61"/>
  <c r="F851" i="61"/>
  <c r="B846" i="61"/>
  <c r="B843" i="61"/>
  <c r="Q842" i="61"/>
  <c r="AF834" i="61"/>
  <c r="AS833" i="61"/>
  <c r="AN833" i="61"/>
  <c r="A824" i="61"/>
  <c r="A822" i="61"/>
  <c r="Q818" i="61"/>
  <c r="P812" i="61"/>
  <c r="O812" i="61"/>
  <c r="N812" i="61"/>
  <c r="L812" i="61"/>
  <c r="K812" i="61"/>
  <c r="J812" i="61"/>
  <c r="H812" i="61"/>
  <c r="G812" i="61"/>
  <c r="F812" i="61"/>
  <c r="D812" i="61"/>
  <c r="C812" i="61"/>
  <c r="B812" i="61"/>
  <c r="P810" i="61"/>
  <c r="O810" i="61"/>
  <c r="N810" i="61"/>
  <c r="L810" i="61"/>
  <c r="K810" i="61"/>
  <c r="J810" i="61"/>
  <c r="H810" i="61"/>
  <c r="G810" i="61"/>
  <c r="F810" i="61"/>
  <c r="D810" i="61"/>
  <c r="C810" i="61"/>
  <c r="P809" i="61"/>
  <c r="O809" i="61"/>
  <c r="N809" i="61"/>
  <c r="L809" i="61"/>
  <c r="K809" i="61"/>
  <c r="J809" i="61"/>
  <c r="H809" i="61"/>
  <c r="G809" i="61"/>
  <c r="F809" i="61"/>
  <c r="D809" i="61"/>
  <c r="C809" i="61"/>
  <c r="B809" i="61"/>
  <c r="P808" i="61"/>
  <c r="O808" i="61"/>
  <c r="N808" i="61"/>
  <c r="L808" i="61"/>
  <c r="K808" i="61"/>
  <c r="J808" i="61"/>
  <c r="H808" i="61"/>
  <c r="G808" i="61"/>
  <c r="F808" i="61"/>
  <c r="D808" i="61"/>
  <c r="C808" i="61"/>
  <c r="B808" i="61"/>
  <c r="P807" i="61"/>
  <c r="O807" i="61"/>
  <c r="N807" i="61"/>
  <c r="L807" i="61"/>
  <c r="K807" i="61"/>
  <c r="J807" i="61"/>
  <c r="H807" i="61"/>
  <c r="G807" i="61"/>
  <c r="F807" i="61"/>
  <c r="D807" i="61"/>
  <c r="C807" i="61"/>
  <c r="P804" i="61"/>
  <c r="O804" i="61"/>
  <c r="N804" i="61"/>
  <c r="L804" i="61"/>
  <c r="K804" i="61"/>
  <c r="G804" i="61"/>
  <c r="F804" i="61"/>
  <c r="C804" i="61"/>
  <c r="B804" i="61"/>
  <c r="O803" i="61"/>
  <c r="N803" i="61"/>
  <c r="L803" i="61"/>
  <c r="J803" i="61"/>
  <c r="H803" i="61"/>
  <c r="G803" i="61"/>
  <c r="F803" i="61"/>
  <c r="D803" i="61"/>
  <c r="C803" i="61"/>
  <c r="B803" i="61"/>
  <c r="P799" i="61"/>
  <c r="O799" i="61"/>
  <c r="N799" i="61"/>
  <c r="L799" i="61"/>
  <c r="H799" i="61"/>
  <c r="G799" i="61"/>
  <c r="F799" i="61"/>
  <c r="D799" i="61"/>
  <c r="C799" i="61"/>
  <c r="B799" i="61"/>
  <c r="P798" i="61"/>
  <c r="O798" i="61"/>
  <c r="N798" i="61"/>
  <c r="L798" i="61"/>
  <c r="K798" i="61"/>
  <c r="J798" i="61"/>
  <c r="H798" i="61"/>
  <c r="G798" i="61"/>
  <c r="F798" i="61"/>
  <c r="D798" i="61"/>
  <c r="C798" i="61"/>
  <c r="B798" i="61"/>
  <c r="P795" i="61"/>
  <c r="O795" i="61"/>
  <c r="N795" i="61"/>
  <c r="L795" i="61"/>
  <c r="K795" i="61"/>
  <c r="J795" i="61"/>
  <c r="H795" i="61"/>
  <c r="G795" i="61"/>
  <c r="F795" i="61"/>
  <c r="D795" i="61"/>
  <c r="C795" i="61"/>
  <c r="B795" i="61"/>
  <c r="P794" i="61"/>
  <c r="O794" i="61"/>
  <c r="N794" i="61"/>
  <c r="L794" i="61"/>
  <c r="K794" i="61"/>
  <c r="J794" i="61"/>
  <c r="H794" i="61"/>
  <c r="G794" i="61"/>
  <c r="F794" i="61"/>
  <c r="D794" i="61"/>
  <c r="C794" i="61"/>
  <c r="B794" i="61"/>
  <c r="P793" i="61"/>
  <c r="O793" i="61"/>
  <c r="N793" i="61"/>
  <c r="L793" i="61"/>
  <c r="K793" i="61"/>
  <c r="J793" i="61"/>
  <c r="H793" i="61"/>
  <c r="G793" i="61"/>
  <c r="F793" i="61"/>
  <c r="D793" i="61"/>
  <c r="C793" i="61"/>
  <c r="B793" i="61"/>
  <c r="O792" i="61"/>
  <c r="L792" i="61"/>
  <c r="G792" i="61"/>
  <c r="C792" i="61"/>
  <c r="B792" i="61"/>
  <c r="P791" i="61"/>
  <c r="O791" i="61"/>
  <c r="N791" i="61"/>
  <c r="L791" i="61"/>
  <c r="K791" i="61"/>
  <c r="J791" i="61"/>
  <c r="H791" i="61"/>
  <c r="G791" i="61"/>
  <c r="F791" i="61"/>
  <c r="D791" i="61"/>
  <c r="C791" i="61"/>
  <c r="B791" i="61"/>
  <c r="A783" i="61"/>
  <c r="A781" i="61"/>
  <c r="Q777" i="61"/>
  <c r="Q770" i="61"/>
  <c r="M770" i="61"/>
  <c r="I770" i="61"/>
  <c r="E770" i="61"/>
  <c r="P768" i="61"/>
  <c r="O768" i="61"/>
  <c r="N768" i="61"/>
  <c r="L768" i="61"/>
  <c r="K768" i="61"/>
  <c r="J768" i="61"/>
  <c r="H768" i="61"/>
  <c r="G768" i="61"/>
  <c r="F768" i="61"/>
  <c r="D768" i="61"/>
  <c r="C768" i="61"/>
  <c r="B768" i="61"/>
  <c r="P767" i="61"/>
  <c r="O767" i="61"/>
  <c r="N767" i="61"/>
  <c r="L767" i="61"/>
  <c r="K767" i="61"/>
  <c r="J767" i="61"/>
  <c r="H767" i="61"/>
  <c r="G767" i="61"/>
  <c r="F767" i="61"/>
  <c r="D767" i="61"/>
  <c r="C767" i="61"/>
  <c r="B767" i="61"/>
  <c r="Q764" i="61"/>
  <c r="M764" i="61"/>
  <c r="I764" i="61"/>
  <c r="E764" i="61"/>
  <c r="Q763" i="61"/>
  <c r="M763" i="61"/>
  <c r="I763" i="61"/>
  <c r="E763" i="61"/>
  <c r="Q761" i="61"/>
  <c r="M761" i="61"/>
  <c r="I761" i="61"/>
  <c r="E761" i="61"/>
  <c r="Q760" i="61"/>
  <c r="M760" i="61"/>
  <c r="I760" i="61"/>
  <c r="E760" i="61"/>
  <c r="P757" i="61"/>
  <c r="O757" i="61"/>
  <c r="N757" i="61"/>
  <c r="L757" i="61"/>
  <c r="K757" i="61"/>
  <c r="J757" i="61"/>
  <c r="H757" i="61"/>
  <c r="G757" i="61"/>
  <c r="F757" i="61"/>
  <c r="D757" i="61"/>
  <c r="C757" i="61"/>
  <c r="B757" i="61"/>
  <c r="Q756" i="61"/>
  <c r="M756" i="61"/>
  <c r="I756" i="61"/>
  <c r="E756" i="61"/>
  <c r="Q755" i="61"/>
  <c r="M755" i="61"/>
  <c r="I755" i="61"/>
  <c r="E755" i="61"/>
  <c r="Q754" i="61"/>
  <c r="M754" i="61"/>
  <c r="I754" i="61"/>
  <c r="E754" i="61"/>
  <c r="Q753" i="61"/>
  <c r="M753" i="61"/>
  <c r="I753" i="61"/>
  <c r="E753" i="61"/>
  <c r="Q751" i="61"/>
  <c r="M751" i="61"/>
  <c r="I751" i="61"/>
  <c r="E751" i="61"/>
  <c r="Q750" i="61"/>
  <c r="M750" i="61"/>
  <c r="I750" i="61"/>
  <c r="E750" i="61"/>
  <c r="P747" i="61"/>
  <c r="O747" i="61"/>
  <c r="N747" i="61"/>
  <c r="L747" i="61"/>
  <c r="K747" i="61"/>
  <c r="J747" i="61"/>
  <c r="H747" i="61"/>
  <c r="G747" i="61"/>
  <c r="F747" i="61"/>
  <c r="D747" i="61"/>
  <c r="C747" i="61"/>
  <c r="B747" i="61"/>
  <c r="Q745" i="61"/>
  <c r="M745" i="61"/>
  <c r="I745" i="61"/>
  <c r="E745" i="61"/>
  <c r="P742" i="61"/>
  <c r="O742" i="61"/>
  <c r="N742" i="61"/>
  <c r="L742" i="61"/>
  <c r="K742" i="61"/>
  <c r="J742" i="61"/>
  <c r="H742" i="61"/>
  <c r="G742" i="61"/>
  <c r="F742" i="61"/>
  <c r="D742" i="61"/>
  <c r="C742" i="61"/>
  <c r="B742" i="61"/>
  <c r="Q740" i="61"/>
  <c r="M740" i="61"/>
  <c r="I740" i="61"/>
  <c r="E740" i="61"/>
  <c r="Q737" i="61"/>
  <c r="M737" i="61"/>
  <c r="I737" i="61"/>
  <c r="E737" i="61"/>
  <c r="Q736" i="61"/>
  <c r="M736" i="61"/>
  <c r="I736" i="61"/>
  <c r="E736" i="61"/>
  <c r="Q735" i="61"/>
  <c r="M735" i="61"/>
  <c r="I735" i="61"/>
  <c r="E735" i="61"/>
  <c r="Q734" i="61"/>
  <c r="M734" i="61"/>
  <c r="I734" i="61"/>
  <c r="E734" i="61"/>
  <c r="Q722" i="61"/>
  <c r="M722" i="61"/>
  <c r="I722" i="61"/>
  <c r="E722" i="61"/>
  <c r="Q721" i="61"/>
  <c r="M721" i="61"/>
  <c r="I721" i="61"/>
  <c r="E721" i="61"/>
  <c r="P719" i="61"/>
  <c r="O719" i="61"/>
  <c r="N719" i="61"/>
  <c r="L719" i="61"/>
  <c r="K719" i="61"/>
  <c r="J719" i="61"/>
  <c r="H719" i="61"/>
  <c r="G719" i="61"/>
  <c r="F719" i="61"/>
  <c r="D719" i="61"/>
  <c r="C719" i="61"/>
  <c r="B719" i="61"/>
  <c r="P718" i="61"/>
  <c r="O718" i="61"/>
  <c r="N718" i="61"/>
  <c r="L718" i="61"/>
  <c r="K718" i="61"/>
  <c r="J718" i="61"/>
  <c r="H718" i="61"/>
  <c r="G718" i="61"/>
  <c r="F718" i="61"/>
  <c r="D718" i="61"/>
  <c r="C718" i="61"/>
  <c r="B718" i="61"/>
  <c r="P712" i="61"/>
  <c r="O712" i="61"/>
  <c r="N712" i="61"/>
  <c r="L712" i="61"/>
  <c r="K712" i="61"/>
  <c r="J712" i="61"/>
  <c r="H712" i="61"/>
  <c r="G712" i="61"/>
  <c r="F712" i="61"/>
  <c r="D712" i="61"/>
  <c r="C712" i="61"/>
  <c r="B712" i="61"/>
  <c r="P708" i="61"/>
  <c r="O708" i="61"/>
  <c r="N708" i="61"/>
  <c r="L708" i="61"/>
  <c r="K708" i="61"/>
  <c r="J708" i="61"/>
  <c r="H708" i="61"/>
  <c r="G708" i="61"/>
  <c r="F708" i="61"/>
  <c r="D708" i="61"/>
  <c r="C708" i="61"/>
  <c r="B708" i="61"/>
  <c r="P704" i="61"/>
  <c r="O704" i="61"/>
  <c r="N704" i="61"/>
  <c r="L704" i="61"/>
  <c r="K704" i="61"/>
  <c r="J704" i="61"/>
  <c r="H704" i="61"/>
  <c r="G704" i="61"/>
  <c r="F704" i="61"/>
  <c r="D704" i="61"/>
  <c r="C704" i="61"/>
  <c r="B704" i="61"/>
  <c r="Q700" i="61"/>
  <c r="M700" i="61"/>
  <c r="I700" i="61"/>
  <c r="E700" i="61"/>
  <c r="P690" i="61"/>
  <c r="O690" i="61"/>
  <c r="N690" i="61"/>
  <c r="L690" i="61"/>
  <c r="K690" i="61"/>
  <c r="J690" i="61"/>
  <c r="H690" i="61"/>
  <c r="G690" i="61"/>
  <c r="F690" i="61"/>
  <c r="D690" i="61"/>
  <c r="C690" i="61"/>
  <c r="B690" i="61"/>
  <c r="Q688" i="61"/>
  <c r="M688" i="61"/>
  <c r="I688" i="61"/>
  <c r="E688" i="61"/>
  <c r="Q678" i="61"/>
  <c r="M678" i="61"/>
  <c r="I678" i="61"/>
  <c r="E678" i="61"/>
  <c r="P676" i="61"/>
  <c r="O676" i="61"/>
  <c r="N676" i="61"/>
  <c r="L676" i="61"/>
  <c r="K676" i="61"/>
  <c r="J676" i="61"/>
  <c r="H676" i="61"/>
  <c r="G676" i="61"/>
  <c r="F676" i="61"/>
  <c r="D676" i="61"/>
  <c r="C676" i="61"/>
  <c r="B676" i="61"/>
  <c r="P675" i="61"/>
  <c r="O675" i="61"/>
  <c r="N675" i="61"/>
  <c r="L675" i="61"/>
  <c r="K675" i="61"/>
  <c r="J675" i="61"/>
  <c r="H675" i="61"/>
  <c r="G675" i="61"/>
  <c r="F675" i="61"/>
  <c r="D675" i="61"/>
  <c r="C675" i="61"/>
  <c r="B675" i="61"/>
  <c r="Q672" i="61"/>
  <c r="M672" i="61"/>
  <c r="I672" i="61"/>
  <c r="E672" i="61"/>
  <c r="Q671" i="61"/>
  <c r="M671" i="61"/>
  <c r="I671" i="61"/>
  <c r="E671" i="61"/>
  <c r="Q670" i="61"/>
  <c r="M670" i="61"/>
  <c r="I670" i="61"/>
  <c r="E670" i="61"/>
  <c r="Q669" i="61"/>
  <c r="M669" i="61"/>
  <c r="I669" i="61"/>
  <c r="E669" i="61"/>
  <c r="P665" i="61"/>
  <c r="O665" i="61"/>
  <c r="N665" i="61"/>
  <c r="L665" i="61"/>
  <c r="J665" i="61"/>
  <c r="H665" i="61"/>
  <c r="G665" i="61"/>
  <c r="F665" i="61"/>
  <c r="D665" i="61"/>
  <c r="C665" i="61"/>
  <c r="B665" i="61"/>
  <c r="Q664" i="61"/>
  <c r="M664" i="61"/>
  <c r="I664" i="61"/>
  <c r="E664" i="61"/>
  <c r="Q663" i="61"/>
  <c r="M663" i="61"/>
  <c r="I663" i="61"/>
  <c r="E663" i="61"/>
  <c r="Q662" i="61"/>
  <c r="M662" i="61"/>
  <c r="I662" i="61"/>
  <c r="E662" i="61"/>
  <c r="Q661" i="61"/>
  <c r="M661" i="61"/>
  <c r="I661" i="61"/>
  <c r="E661" i="61"/>
  <c r="Q659" i="61"/>
  <c r="I659" i="61"/>
  <c r="E659" i="61"/>
  <c r="P656" i="61"/>
  <c r="O656" i="61"/>
  <c r="N656" i="61"/>
  <c r="L656" i="61"/>
  <c r="K656" i="61"/>
  <c r="J656" i="61"/>
  <c r="H656" i="61"/>
  <c r="G656" i="61"/>
  <c r="F656" i="61"/>
  <c r="D656" i="61"/>
  <c r="C656" i="61"/>
  <c r="B656" i="61"/>
  <c r="P652" i="61"/>
  <c r="O652" i="61"/>
  <c r="N652" i="61"/>
  <c r="L652" i="61"/>
  <c r="K652" i="61"/>
  <c r="J652" i="61"/>
  <c r="H652" i="61"/>
  <c r="G652" i="61"/>
  <c r="F652" i="61"/>
  <c r="D652" i="61"/>
  <c r="C652" i="61"/>
  <c r="B652" i="61"/>
  <c r="Q648" i="61"/>
  <c r="M648" i="61"/>
  <c r="I648" i="61"/>
  <c r="E648" i="61"/>
  <c r="Q647" i="61"/>
  <c r="M647" i="61"/>
  <c r="I647" i="61"/>
  <c r="E647" i="61"/>
  <c r="Q646" i="61"/>
  <c r="M646" i="61"/>
  <c r="I646" i="61"/>
  <c r="E646" i="61"/>
  <c r="Q644" i="61"/>
  <c r="M644" i="61"/>
  <c r="I644" i="61"/>
  <c r="E644" i="61"/>
  <c r="Q643" i="61"/>
  <c r="M643" i="61"/>
  <c r="I643" i="61"/>
  <c r="E643" i="61"/>
  <c r="Q631" i="61"/>
  <c r="M631" i="61"/>
  <c r="I631" i="61"/>
  <c r="E631" i="61"/>
  <c r="P629" i="61"/>
  <c r="O629" i="61"/>
  <c r="N629" i="61"/>
  <c r="L629" i="61"/>
  <c r="K629" i="61"/>
  <c r="J629" i="61"/>
  <c r="H629" i="61"/>
  <c r="G629" i="61"/>
  <c r="F629" i="61"/>
  <c r="D629" i="61"/>
  <c r="C629" i="61"/>
  <c r="B629" i="61"/>
  <c r="P628" i="61"/>
  <c r="O628" i="61"/>
  <c r="N628" i="61"/>
  <c r="L628" i="61"/>
  <c r="K628" i="61"/>
  <c r="J628" i="61"/>
  <c r="H628" i="61"/>
  <c r="G628" i="61"/>
  <c r="F628" i="61"/>
  <c r="D628" i="61"/>
  <c r="C628" i="61"/>
  <c r="B628" i="61"/>
  <c r="Q625" i="61"/>
  <c r="M625" i="61"/>
  <c r="I625" i="61"/>
  <c r="E625" i="61"/>
  <c r="P621" i="61"/>
  <c r="O621" i="61"/>
  <c r="N621" i="61"/>
  <c r="L621" i="61"/>
  <c r="K621" i="61"/>
  <c r="J621" i="61"/>
  <c r="H621" i="61"/>
  <c r="G621" i="61"/>
  <c r="F621" i="61"/>
  <c r="D621" i="61"/>
  <c r="C621" i="61"/>
  <c r="B621" i="61"/>
  <c r="P617" i="61"/>
  <c r="O617" i="61"/>
  <c r="N617" i="61"/>
  <c r="L617" i="61"/>
  <c r="K617" i="61"/>
  <c r="J617" i="61"/>
  <c r="H617" i="61"/>
  <c r="G617" i="61"/>
  <c r="F617" i="61"/>
  <c r="D617" i="61"/>
  <c r="C617" i="61"/>
  <c r="B617" i="61"/>
  <c r="P613" i="61"/>
  <c r="O613" i="61"/>
  <c r="N613" i="61"/>
  <c r="L613" i="61"/>
  <c r="K613" i="61"/>
  <c r="J613" i="61"/>
  <c r="H613" i="61"/>
  <c r="G613" i="61"/>
  <c r="F613" i="61"/>
  <c r="D613" i="61"/>
  <c r="C613" i="61"/>
  <c r="B613" i="61"/>
  <c r="Q609" i="61"/>
  <c r="M609" i="61"/>
  <c r="I609" i="61"/>
  <c r="E609" i="61"/>
  <c r="Q608" i="61"/>
  <c r="M608" i="61"/>
  <c r="I608" i="61"/>
  <c r="E608" i="61"/>
  <c r="Q607" i="61"/>
  <c r="M607" i="61"/>
  <c r="I607" i="61"/>
  <c r="E607" i="61"/>
  <c r="P597" i="61"/>
  <c r="O597" i="61"/>
  <c r="N597" i="61"/>
  <c r="L597" i="61"/>
  <c r="K597" i="61"/>
  <c r="J597" i="61"/>
  <c r="H597" i="61"/>
  <c r="G597" i="61"/>
  <c r="F597" i="61"/>
  <c r="D597" i="61"/>
  <c r="C597" i="61"/>
  <c r="B597" i="61"/>
  <c r="Q595" i="61"/>
  <c r="M595" i="61"/>
  <c r="I595" i="61"/>
  <c r="E595" i="61"/>
  <c r="Q585" i="61"/>
  <c r="M585" i="61"/>
  <c r="I585" i="61"/>
  <c r="E585" i="61"/>
  <c r="P583" i="61"/>
  <c r="O583" i="61"/>
  <c r="N583" i="61"/>
  <c r="L583" i="61"/>
  <c r="K583" i="61"/>
  <c r="J583" i="61"/>
  <c r="H583" i="61"/>
  <c r="G583" i="61"/>
  <c r="F583" i="61"/>
  <c r="D583" i="61"/>
  <c r="C583" i="61"/>
  <c r="B583" i="61"/>
  <c r="P582" i="61"/>
  <c r="O582" i="61"/>
  <c r="N582" i="61"/>
  <c r="L582" i="61"/>
  <c r="K582" i="61"/>
  <c r="J582" i="61"/>
  <c r="H582" i="61"/>
  <c r="G582" i="61"/>
  <c r="F582" i="61"/>
  <c r="D582" i="61"/>
  <c r="C582" i="61"/>
  <c r="B582" i="61"/>
  <c r="Q581" i="61"/>
  <c r="M581" i="61"/>
  <c r="I581" i="61"/>
  <c r="E581" i="61"/>
  <c r="Q580" i="61"/>
  <c r="M580" i="61"/>
  <c r="I580" i="61"/>
  <c r="E580" i="61"/>
  <c r="Q577" i="61"/>
  <c r="M577" i="61"/>
  <c r="I577" i="61"/>
  <c r="E577" i="61"/>
  <c r="Q576" i="61"/>
  <c r="M576" i="61"/>
  <c r="I576" i="61"/>
  <c r="E576" i="61"/>
  <c r="Q575" i="61"/>
  <c r="M575" i="61"/>
  <c r="I575" i="61"/>
  <c r="E575" i="61"/>
  <c r="Q574" i="61"/>
  <c r="M574" i="61"/>
  <c r="I574" i="61"/>
  <c r="E574" i="61"/>
  <c r="Q572" i="61"/>
  <c r="M572" i="61"/>
  <c r="I572" i="61"/>
  <c r="E572" i="61"/>
  <c r="Q571" i="61"/>
  <c r="M571" i="61"/>
  <c r="I571" i="61"/>
  <c r="E571" i="61"/>
  <c r="P568" i="61"/>
  <c r="O568" i="61"/>
  <c r="N568" i="61"/>
  <c r="L568" i="61"/>
  <c r="K568" i="61"/>
  <c r="J568" i="61"/>
  <c r="H568" i="61"/>
  <c r="G568" i="61"/>
  <c r="F568" i="61"/>
  <c r="D568" i="61"/>
  <c r="C568" i="61"/>
  <c r="B568" i="61"/>
  <c r="Q567" i="61"/>
  <c r="M567" i="61"/>
  <c r="I567" i="61"/>
  <c r="E567" i="61"/>
  <c r="P563" i="61"/>
  <c r="O563" i="61"/>
  <c r="N563" i="61"/>
  <c r="L563" i="61"/>
  <c r="K563" i="61"/>
  <c r="J563" i="61"/>
  <c r="H563" i="61"/>
  <c r="G563" i="61"/>
  <c r="F563" i="61"/>
  <c r="D563" i="61"/>
  <c r="C563" i="61"/>
  <c r="B563" i="61"/>
  <c r="Q561" i="61"/>
  <c r="M561" i="61"/>
  <c r="I561" i="61"/>
  <c r="E561" i="61"/>
  <c r="Q560" i="61"/>
  <c r="M560" i="61"/>
  <c r="I560" i="61"/>
  <c r="E560" i="61"/>
  <c r="P557" i="61"/>
  <c r="O557" i="61"/>
  <c r="N557" i="61"/>
  <c r="L557" i="61"/>
  <c r="K557" i="61"/>
  <c r="J557" i="61"/>
  <c r="H557" i="61"/>
  <c r="G557" i="61"/>
  <c r="F557" i="61"/>
  <c r="D557" i="61"/>
  <c r="C557" i="61"/>
  <c r="B557" i="61"/>
  <c r="Q555" i="61"/>
  <c r="M555" i="61"/>
  <c r="I555" i="61"/>
  <c r="E555" i="61"/>
  <c r="Q553" i="61"/>
  <c r="M553" i="61"/>
  <c r="I553" i="61"/>
  <c r="E553" i="61"/>
  <c r="Q551" i="61"/>
  <c r="M551" i="61"/>
  <c r="I551" i="61"/>
  <c r="E551" i="61"/>
  <c r="Q550" i="61"/>
  <c r="M550" i="61"/>
  <c r="E550" i="61"/>
  <c r="Q548" i="61"/>
  <c r="M548" i="61"/>
  <c r="I548" i="61"/>
  <c r="E548" i="61"/>
  <c r="Q547" i="61"/>
  <c r="M547" i="61"/>
  <c r="I547" i="61"/>
  <c r="E547" i="61"/>
  <c r="Q546" i="61"/>
  <c r="M546" i="61"/>
  <c r="I546" i="61"/>
  <c r="E546" i="61"/>
  <c r="Q545" i="61"/>
  <c r="M545" i="61"/>
  <c r="I545" i="61"/>
  <c r="E545" i="61"/>
  <c r="Q544" i="61"/>
  <c r="M544" i="61"/>
  <c r="I544" i="61"/>
  <c r="E544" i="61"/>
  <c r="Q543" i="61"/>
  <c r="M543" i="61"/>
  <c r="I543" i="61"/>
  <c r="E543" i="61"/>
  <c r="Q542" i="61"/>
  <c r="M542" i="61"/>
  <c r="I542" i="61"/>
  <c r="E542" i="61"/>
  <c r="Q530" i="61"/>
  <c r="M530" i="61"/>
  <c r="I530" i="61"/>
  <c r="E530" i="61"/>
  <c r="P528" i="61"/>
  <c r="O528" i="61"/>
  <c r="N528" i="61"/>
  <c r="L528" i="61"/>
  <c r="K528" i="61"/>
  <c r="J528" i="61"/>
  <c r="H528" i="61"/>
  <c r="G528" i="61"/>
  <c r="F528" i="61"/>
  <c r="D528" i="61"/>
  <c r="C528" i="61"/>
  <c r="B528" i="61"/>
  <c r="P527" i="61"/>
  <c r="O527" i="61"/>
  <c r="N527" i="61"/>
  <c r="L527" i="61"/>
  <c r="K527" i="61"/>
  <c r="J527" i="61"/>
  <c r="H527" i="61"/>
  <c r="G527" i="61"/>
  <c r="F527" i="61"/>
  <c r="D527" i="61"/>
  <c r="C527" i="61"/>
  <c r="B527" i="61"/>
  <c r="Q526" i="61"/>
  <c r="M526" i="61"/>
  <c r="I526" i="61"/>
  <c r="E526" i="61"/>
  <c r="Q525" i="61"/>
  <c r="M525" i="61"/>
  <c r="I525" i="61"/>
  <c r="E525" i="61"/>
  <c r="Q524" i="61"/>
  <c r="M524" i="61"/>
  <c r="I524" i="61"/>
  <c r="E524" i="61"/>
  <c r="Q522" i="61"/>
  <c r="M522" i="61"/>
  <c r="I522" i="61"/>
  <c r="E522" i="61"/>
  <c r="P517" i="61"/>
  <c r="O517" i="61"/>
  <c r="N517" i="61"/>
  <c r="L517" i="61"/>
  <c r="K517" i="61"/>
  <c r="J517" i="61"/>
  <c r="H517" i="61"/>
  <c r="G517" i="61"/>
  <c r="F517" i="61"/>
  <c r="D517" i="61"/>
  <c r="C517" i="61"/>
  <c r="B517" i="61"/>
  <c r="Q516" i="61"/>
  <c r="M516" i="61"/>
  <c r="I516" i="61"/>
  <c r="E516" i="61"/>
  <c r="Q509" i="61"/>
  <c r="M509" i="61"/>
  <c r="I509" i="61"/>
  <c r="E509" i="61"/>
  <c r="Q508" i="61"/>
  <c r="I508" i="61"/>
  <c r="E508" i="61"/>
  <c r="P505" i="61"/>
  <c r="O505" i="61"/>
  <c r="N505" i="61"/>
  <c r="L505" i="61"/>
  <c r="K505" i="61"/>
  <c r="J505" i="61"/>
  <c r="H505" i="61"/>
  <c r="G505" i="61"/>
  <c r="F505" i="61"/>
  <c r="D505" i="61"/>
  <c r="C505" i="61"/>
  <c r="B505" i="61"/>
  <c r="Q501" i="61"/>
  <c r="M501" i="61"/>
  <c r="I501" i="61"/>
  <c r="E501" i="61"/>
  <c r="Q500" i="61"/>
  <c r="M500" i="61"/>
  <c r="I500" i="61"/>
  <c r="E500" i="61"/>
  <c r="Q499" i="61"/>
  <c r="M499" i="61"/>
  <c r="I499" i="61"/>
  <c r="E499" i="61"/>
  <c r="Q498" i="61"/>
  <c r="M498" i="61"/>
  <c r="I498" i="61"/>
  <c r="E498" i="61"/>
  <c r="Q486" i="61"/>
  <c r="M486" i="61"/>
  <c r="I486" i="61"/>
  <c r="E486" i="61"/>
  <c r="P484" i="61"/>
  <c r="O484" i="61"/>
  <c r="N484" i="61"/>
  <c r="L484" i="61"/>
  <c r="K484" i="61"/>
  <c r="J484" i="61"/>
  <c r="H484" i="61"/>
  <c r="G484" i="61"/>
  <c r="F484" i="61"/>
  <c r="D484" i="61"/>
  <c r="C484" i="61"/>
  <c r="B484" i="61"/>
  <c r="P483" i="61"/>
  <c r="O483" i="61"/>
  <c r="N483" i="61"/>
  <c r="L483" i="61"/>
  <c r="K483" i="61"/>
  <c r="J483" i="61"/>
  <c r="H483" i="61"/>
  <c r="G483" i="61"/>
  <c r="F483" i="61"/>
  <c r="D483" i="61"/>
  <c r="C483" i="61"/>
  <c r="B483" i="61"/>
  <c r="Q482" i="61"/>
  <c r="M482" i="61"/>
  <c r="I482" i="61"/>
  <c r="E482" i="61"/>
  <c r="Q481" i="61"/>
  <c r="M481" i="61"/>
  <c r="I481" i="61"/>
  <c r="E481" i="61"/>
  <c r="P475" i="61"/>
  <c r="O475" i="61"/>
  <c r="N475" i="61"/>
  <c r="L475" i="61"/>
  <c r="K475" i="61"/>
  <c r="J475" i="61"/>
  <c r="H475" i="61"/>
  <c r="G475" i="61"/>
  <c r="F475" i="61"/>
  <c r="D475" i="61"/>
  <c r="C475" i="61"/>
  <c r="B475" i="61"/>
  <c r="Q474" i="61"/>
  <c r="M474" i="61"/>
  <c r="I474" i="61"/>
  <c r="E474" i="61"/>
  <c r="P470" i="61"/>
  <c r="O470" i="61"/>
  <c r="N470" i="61"/>
  <c r="L470" i="61"/>
  <c r="H470" i="61"/>
  <c r="G470" i="61"/>
  <c r="F470" i="61"/>
  <c r="D470" i="61"/>
  <c r="C470" i="61"/>
  <c r="B470" i="61"/>
  <c r="Q468" i="61"/>
  <c r="I468" i="61"/>
  <c r="E468" i="61"/>
  <c r="P465" i="61"/>
  <c r="O465" i="61"/>
  <c r="N465" i="61"/>
  <c r="L465" i="61"/>
  <c r="K465" i="61"/>
  <c r="J465" i="61"/>
  <c r="H465" i="61"/>
  <c r="G465" i="61"/>
  <c r="F465" i="61"/>
  <c r="D465" i="61"/>
  <c r="C465" i="61"/>
  <c r="B465" i="61"/>
  <c r="Q462" i="61"/>
  <c r="M462" i="61"/>
  <c r="I462" i="61"/>
  <c r="E462" i="61"/>
  <c r="Q461" i="61"/>
  <c r="M461" i="61"/>
  <c r="I461" i="61"/>
  <c r="E461" i="61"/>
  <c r="Q459" i="61"/>
  <c r="M459" i="61"/>
  <c r="I459" i="61"/>
  <c r="E459" i="61"/>
  <c r="Q458" i="61"/>
  <c r="M458" i="61"/>
  <c r="I458" i="61"/>
  <c r="E458" i="61"/>
  <c r="Q457" i="61"/>
  <c r="M457" i="61"/>
  <c r="I457" i="61"/>
  <c r="E457" i="61"/>
  <c r="Q439" i="61"/>
  <c r="M439" i="61"/>
  <c r="I439" i="61"/>
  <c r="E439" i="61"/>
  <c r="Q438" i="61"/>
  <c r="M438" i="61"/>
  <c r="I438" i="61"/>
  <c r="E438" i="61"/>
  <c r="Q437" i="61"/>
  <c r="M437" i="61"/>
  <c r="I437" i="61"/>
  <c r="E437" i="61"/>
  <c r="P435" i="61"/>
  <c r="O435" i="61"/>
  <c r="N435" i="61"/>
  <c r="L435" i="61"/>
  <c r="K435" i="61"/>
  <c r="J435" i="61"/>
  <c r="H435" i="61"/>
  <c r="G435" i="61"/>
  <c r="F435" i="61"/>
  <c r="D435" i="61"/>
  <c r="C435" i="61"/>
  <c r="B435" i="61"/>
  <c r="P434" i="61"/>
  <c r="O434" i="61"/>
  <c r="N434" i="61"/>
  <c r="L434" i="61"/>
  <c r="K434" i="61"/>
  <c r="J434" i="61"/>
  <c r="H434" i="61"/>
  <c r="G434" i="61"/>
  <c r="F434" i="61"/>
  <c r="D434" i="61"/>
  <c r="C434" i="61"/>
  <c r="B434" i="61"/>
  <c r="Q433" i="61"/>
  <c r="M433" i="61"/>
  <c r="I433" i="61"/>
  <c r="E433" i="61"/>
  <c r="Q432" i="61"/>
  <c r="M432" i="61"/>
  <c r="I432" i="61"/>
  <c r="E432" i="61"/>
  <c r="Q431" i="61"/>
  <c r="M431" i="61"/>
  <c r="I431" i="61"/>
  <c r="E431" i="61"/>
  <c r="Q430" i="61"/>
  <c r="M430" i="61"/>
  <c r="I430" i="61"/>
  <c r="E430" i="61"/>
  <c r="Q429" i="61"/>
  <c r="M429" i="61"/>
  <c r="I429" i="61"/>
  <c r="E429" i="61"/>
  <c r="Q428" i="61"/>
  <c r="M428" i="61"/>
  <c r="I428" i="61"/>
  <c r="E428" i="61"/>
  <c r="Q427" i="61"/>
  <c r="M427" i="61"/>
  <c r="I427" i="61"/>
  <c r="E427" i="61"/>
  <c r="Q426" i="61"/>
  <c r="M426" i="61"/>
  <c r="I426" i="61"/>
  <c r="E426" i="61"/>
  <c r="Q339" i="61"/>
  <c r="M339" i="61"/>
  <c r="I339" i="61"/>
  <c r="E339" i="61"/>
  <c r="Q424" i="61"/>
  <c r="M424" i="61"/>
  <c r="I424" i="61"/>
  <c r="E424" i="61"/>
  <c r="Q423" i="61"/>
  <c r="M423" i="61"/>
  <c r="I423" i="61"/>
  <c r="E423" i="61"/>
  <c r="Q422" i="61"/>
  <c r="M422" i="61"/>
  <c r="I422" i="61"/>
  <c r="E422" i="61"/>
  <c r="Q421" i="61"/>
  <c r="M421" i="61"/>
  <c r="I421" i="61"/>
  <c r="E421" i="61"/>
  <c r="Q420" i="61"/>
  <c r="M420" i="61"/>
  <c r="I420" i="61"/>
  <c r="E420" i="61"/>
  <c r="Q419" i="61"/>
  <c r="M419" i="61"/>
  <c r="I419" i="61"/>
  <c r="E419" i="61"/>
  <c r="Q417" i="61"/>
  <c r="M417" i="61"/>
  <c r="I417" i="61"/>
  <c r="E417" i="61"/>
  <c r="Q416" i="61"/>
  <c r="M416" i="61"/>
  <c r="I416" i="61"/>
  <c r="E416" i="61"/>
  <c r="Q414" i="61"/>
  <c r="M414" i="61"/>
  <c r="I414" i="61"/>
  <c r="E414" i="61"/>
  <c r="O411" i="61"/>
  <c r="N411" i="61"/>
  <c r="L411" i="61"/>
  <c r="K411" i="61"/>
  <c r="J411" i="61"/>
  <c r="H411" i="61"/>
  <c r="G411" i="61"/>
  <c r="F411" i="61"/>
  <c r="D411" i="61"/>
  <c r="C411" i="61"/>
  <c r="B411" i="61"/>
  <c r="Q410" i="61"/>
  <c r="M410" i="61"/>
  <c r="I410" i="61"/>
  <c r="E410" i="61"/>
  <c r="Q409" i="61"/>
  <c r="M409" i="61"/>
  <c r="I409" i="61"/>
  <c r="E409" i="61"/>
  <c r="Q408" i="61"/>
  <c r="M408" i="61"/>
  <c r="I408" i="61"/>
  <c r="E408" i="61"/>
  <c r="Q407" i="61"/>
  <c r="M407" i="61"/>
  <c r="I407" i="61"/>
  <c r="E407" i="61"/>
  <c r="Q405" i="61"/>
  <c r="M405" i="61"/>
  <c r="I405" i="61"/>
  <c r="E405" i="61"/>
  <c r="Q404" i="61"/>
  <c r="M404" i="61"/>
  <c r="I404" i="61"/>
  <c r="E404" i="61"/>
  <c r="Q403" i="61"/>
  <c r="M403" i="61"/>
  <c r="I403" i="61"/>
  <c r="E403" i="61"/>
  <c r="Q402" i="61"/>
  <c r="M402" i="61"/>
  <c r="I402" i="61"/>
  <c r="E402" i="61"/>
  <c r="Q401" i="61"/>
  <c r="M401" i="61"/>
  <c r="I401" i="61"/>
  <c r="E401" i="61"/>
  <c r="Q400" i="61"/>
  <c r="M400" i="61"/>
  <c r="I400" i="61"/>
  <c r="E400" i="61"/>
  <c r="Q399" i="61"/>
  <c r="M399" i="61"/>
  <c r="I399" i="61"/>
  <c r="E399" i="61"/>
  <c r="Q396" i="61"/>
  <c r="M396" i="61"/>
  <c r="I396" i="61"/>
  <c r="E396" i="61"/>
  <c r="Q395" i="61"/>
  <c r="M395" i="61"/>
  <c r="I395" i="61"/>
  <c r="E395" i="61"/>
  <c r="Q394" i="61"/>
  <c r="M394" i="61"/>
  <c r="I394" i="61"/>
  <c r="E394" i="61"/>
  <c r="Q393" i="61"/>
  <c r="M393" i="61"/>
  <c r="I393" i="61"/>
  <c r="E393" i="61"/>
  <c r="Q392" i="61"/>
  <c r="M392" i="61"/>
  <c r="I392" i="61"/>
  <c r="E392" i="61"/>
  <c r="Q391" i="61"/>
  <c r="M391" i="61"/>
  <c r="I391" i="61"/>
  <c r="E391" i="61"/>
  <c r="Q390" i="61"/>
  <c r="M390" i="61"/>
  <c r="I390" i="61"/>
  <c r="E390" i="61"/>
  <c r="Q389" i="61"/>
  <c r="M389" i="61"/>
  <c r="I389" i="61"/>
  <c r="E389" i="61"/>
  <c r="Q388" i="61"/>
  <c r="M388" i="61"/>
  <c r="I388" i="61"/>
  <c r="E388" i="61"/>
  <c r="Q387" i="61"/>
  <c r="M387" i="61"/>
  <c r="I387" i="61"/>
  <c r="E387" i="61"/>
  <c r="Q386" i="61"/>
  <c r="M386" i="61"/>
  <c r="I386" i="61"/>
  <c r="E386" i="61"/>
  <c r="Q385" i="61"/>
  <c r="M385" i="61"/>
  <c r="I385" i="61"/>
  <c r="E385" i="61"/>
  <c r="Q384" i="61"/>
  <c r="M384" i="61"/>
  <c r="I384" i="61"/>
  <c r="E384" i="61"/>
  <c r="Q383" i="61"/>
  <c r="M383" i="61"/>
  <c r="I383" i="61"/>
  <c r="E383" i="61"/>
  <c r="Q382" i="61"/>
  <c r="M382" i="61"/>
  <c r="I382" i="61"/>
  <c r="E382" i="61"/>
  <c r="Q381" i="61"/>
  <c r="M381" i="61"/>
  <c r="I381" i="61"/>
  <c r="E381" i="61"/>
  <c r="Q380" i="61"/>
  <c r="M380" i="61"/>
  <c r="I380" i="61"/>
  <c r="E380" i="61"/>
  <c r="Q379" i="61"/>
  <c r="M379" i="61"/>
  <c r="I379" i="61"/>
  <c r="E379" i="61"/>
  <c r="Q378" i="61"/>
  <c r="M378" i="61"/>
  <c r="I378" i="61"/>
  <c r="E378" i="61"/>
  <c r="Q377" i="61"/>
  <c r="M377" i="61"/>
  <c r="I377" i="61"/>
  <c r="E377" i="61"/>
  <c r="Q376" i="61"/>
  <c r="M376" i="61"/>
  <c r="I376" i="61"/>
  <c r="E376" i="61"/>
  <c r="Q375" i="61"/>
  <c r="M375" i="61"/>
  <c r="I375" i="61"/>
  <c r="E375" i="61"/>
  <c r="Q373" i="61"/>
  <c r="M373" i="61"/>
  <c r="I373" i="61"/>
  <c r="E373" i="61"/>
  <c r="Q372" i="61"/>
  <c r="M372" i="61"/>
  <c r="I372" i="61"/>
  <c r="E372" i="61"/>
  <c r="Q366" i="61"/>
  <c r="M366" i="61"/>
  <c r="I366" i="61"/>
  <c r="E366" i="61"/>
  <c r="Q365" i="61"/>
  <c r="M365" i="61"/>
  <c r="I365" i="61"/>
  <c r="E365" i="61"/>
  <c r="Q364" i="61"/>
  <c r="M364" i="61"/>
  <c r="I364" i="61"/>
  <c r="E364" i="61"/>
  <c r="AK363" i="61"/>
  <c r="AJ363" i="61"/>
  <c r="AI363" i="61"/>
  <c r="AG363" i="61"/>
  <c r="AF363" i="61"/>
  <c r="AE363" i="61"/>
  <c r="Y363" i="61"/>
  <c r="X363" i="61"/>
  <c r="W363" i="61"/>
  <c r="Q363" i="61"/>
  <c r="M363" i="61"/>
  <c r="I363" i="61"/>
  <c r="E363" i="61"/>
  <c r="AK362" i="61"/>
  <c r="AJ362" i="61"/>
  <c r="AI362" i="61"/>
  <c r="AG362" i="61"/>
  <c r="AF362" i="61"/>
  <c r="AE362" i="61"/>
  <c r="Y362" i="61"/>
  <c r="X362" i="61"/>
  <c r="W362" i="61"/>
  <c r="Q362" i="61"/>
  <c r="M362" i="61"/>
  <c r="I362" i="61"/>
  <c r="E362" i="61"/>
  <c r="AK361" i="61"/>
  <c r="AJ361" i="61"/>
  <c r="AI361" i="61"/>
  <c r="AG361" i="61"/>
  <c r="AF361" i="61"/>
  <c r="AE361" i="61"/>
  <c r="Y361" i="61"/>
  <c r="X361" i="61"/>
  <c r="W361" i="61"/>
  <c r="Q361" i="61"/>
  <c r="M361" i="61"/>
  <c r="I361" i="61"/>
  <c r="E361" i="61"/>
  <c r="AL360" i="61"/>
  <c r="AL363" i="61" s="1"/>
  <c r="AH360" i="61"/>
  <c r="AC360" i="61"/>
  <c r="AC363" i="61" s="1"/>
  <c r="AB360" i="61"/>
  <c r="AB361" i="61" s="1"/>
  <c r="AA360" i="61"/>
  <c r="AA361" i="61" s="1"/>
  <c r="Z360" i="61"/>
  <c r="Q360" i="61"/>
  <c r="M360" i="61"/>
  <c r="I360" i="61"/>
  <c r="E360" i="61"/>
  <c r="Q359" i="61"/>
  <c r="I359" i="61"/>
  <c r="E359" i="61"/>
  <c r="Q358" i="61"/>
  <c r="M358" i="61"/>
  <c r="I358" i="61"/>
  <c r="E358" i="61"/>
  <c r="W357" i="61"/>
  <c r="P354" i="61"/>
  <c r="H354" i="61"/>
  <c r="G354" i="61"/>
  <c r="F354" i="61"/>
  <c r="D354" i="61"/>
  <c r="C354" i="61"/>
  <c r="B354" i="61"/>
  <c r="Q352" i="61"/>
  <c r="M352" i="61"/>
  <c r="I352" i="61"/>
  <c r="E352" i="61"/>
  <c r="Q351" i="61"/>
  <c r="M351" i="61"/>
  <c r="I351" i="61"/>
  <c r="E351" i="61"/>
  <c r="Q350" i="61"/>
  <c r="M350" i="61"/>
  <c r="I350" i="61"/>
  <c r="E350" i="61"/>
  <c r="Q349" i="61"/>
  <c r="M349" i="61"/>
  <c r="I349" i="61"/>
  <c r="E349" i="61"/>
  <c r="Q335" i="61"/>
  <c r="Q347" i="61"/>
  <c r="M347" i="61"/>
  <c r="I347" i="61"/>
  <c r="E347" i="61"/>
  <c r="Q346" i="61"/>
  <c r="M346" i="61"/>
  <c r="I346" i="61"/>
  <c r="E346" i="61"/>
  <c r="Q345" i="61"/>
  <c r="M345" i="61"/>
  <c r="I345" i="61"/>
  <c r="E345" i="61"/>
  <c r="Q331" i="61"/>
  <c r="Q344" i="61"/>
  <c r="M344" i="61"/>
  <c r="I344" i="61"/>
  <c r="E344" i="61"/>
  <c r="Q343" i="61"/>
  <c r="M343" i="61"/>
  <c r="I343" i="61"/>
  <c r="E343" i="61"/>
  <c r="Q342" i="61"/>
  <c r="M342" i="61"/>
  <c r="I342" i="61"/>
  <c r="E342" i="61"/>
  <c r="Q327" i="61"/>
  <c r="M327" i="61"/>
  <c r="I327" i="61"/>
  <c r="E327" i="61"/>
  <c r="Q341" i="61"/>
  <c r="M341" i="61"/>
  <c r="I341" i="61"/>
  <c r="E341" i="61"/>
  <c r="Q340" i="61"/>
  <c r="M340" i="61"/>
  <c r="I340" i="61"/>
  <c r="E340" i="61"/>
  <c r="Q338" i="61"/>
  <c r="M338" i="61"/>
  <c r="I338" i="61"/>
  <c r="E338" i="61"/>
  <c r="Q337" i="61"/>
  <c r="M337" i="61"/>
  <c r="I337" i="61"/>
  <c r="E337" i="61"/>
  <c r="Q334" i="61"/>
  <c r="M334" i="61"/>
  <c r="I334" i="61"/>
  <c r="E334" i="61"/>
  <c r="Q333" i="61"/>
  <c r="M333" i="61"/>
  <c r="I333" i="61"/>
  <c r="E333" i="61"/>
  <c r="Q329" i="61"/>
  <c r="M329" i="61"/>
  <c r="I329" i="61"/>
  <c r="E329" i="61"/>
  <c r="Q328" i="61"/>
  <c r="M328" i="61"/>
  <c r="I328" i="61"/>
  <c r="E328" i="61"/>
  <c r="Q326" i="61"/>
  <c r="M326" i="61"/>
  <c r="I326" i="61"/>
  <c r="E326" i="61"/>
  <c r="Q325" i="61"/>
  <c r="M325" i="61"/>
  <c r="I325" i="61"/>
  <c r="E325" i="61"/>
  <c r="Q324" i="61"/>
  <c r="M324" i="61"/>
  <c r="I324" i="61"/>
  <c r="E324" i="61"/>
  <c r="Q323" i="61"/>
  <c r="M323" i="61"/>
  <c r="I323" i="61"/>
  <c r="E323" i="61"/>
  <c r="Q322" i="61"/>
  <c r="M322" i="61"/>
  <c r="I322" i="61"/>
  <c r="E322" i="61"/>
  <c r="Q321" i="61"/>
  <c r="M321" i="61"/>
  <c r="I321" i="61"/>
  <c r="E321" i="61"/>
  <c r="Q320" i="61"/>
  <c r="M320" i="61"/>
  <c r="I320" i="61"/>
  <c r="E320" i="61"/>
  <c r="Q319" i="61"/>
  <c r="M319" i="61"/>
  <c r="I319" i="61"/>
  <c r="E319" i="61"/>
  <c r="Q314" i="61"/>
  <c r="M314" i="61"/>
  <c r="I314" i="61"/>
  <c r="E314" i="61"/>
  <c r="Q312" i="61"/>
  <c r="M312" i="61"/>
  <c r="I312" i="61"/>
  <c r="E312" i="61"/>
  <c r="Q316" i="61"/>
  <c r="O354" i="61"/>
  <c r="N354" i="61"/>
  <c r="L354" i="61"/>
  <c r="K354" i="61"/>
  <c r="J354" i="61"/>
  <c r="I316" i="61"/>
  <c r="E316" i="61"/>
  <c r="Q311" i="61"/>
  <c r="M311" i="61"/>
  <c r="I311" i="61"/>
  <c r="E311" i="61"/>
  <c r="Q310" i="61"/>
  <c r="M310" i="61"/>
  <c r="I310" i="61"/>
  <c r="E310" i="61"/>
  <c r="P302" i="61"/>
  <c r="O302" i="61"/>
  <c r="N302" i="61"/>
  <c r="L302" i="61"/>
  <c r="K302" i="61"/>
  <c r="J302" i="61"/>
  <c r="H302" i="61"/>
  <c r="G302" i="61"/>
  <c r="F302" i="61"/>
  <c r="D302" i="61"/>
  <c r="C302" i="61"/>
  <c r="B302" i="61"/>
  <c r="Q300" i="61"/>
  <c r="M300" i="61"/>
  <c r="I300" i="61"/>
  <c r="E300" i="61"/>
  <c r="Q289" i="61"/>
  <c r="M289" i="61"/>
  <c r="I289" i="61"/>
  <c r="E289" i="61"/>
  <c r="Q288" i="61"/>
  <c r="M288" i="61"/>
  <c r="I288" i="61"/>
  <c r="E288" i="61"/>
  <c r="Q287" i="61"/>
  <c r="Q286" i="61"/>
  <c r="M286" i="61"/>
  <c r="I286" i="61"/>
  <c r="E286" i="61"/>
  <c r="Q285" i="61"/>
  <c r="M285" i="61"/>
  <c r="I285" i="61"/>
  <c r="E285" i="61"/>
  <c r="Q284" i="61"/>
  <c r="M284" i="61"/>
  <c r="I284" i="61"/>
  <c r="E284" i="61"/>
  <c r="Q277" i="61"/>
  <c r="M277" i="61"/>
  <c r="I277" i="61"/>
  <c r="E277" i="61"/>
  <c r="Q276" i="61"/>
  <c r="M276" i="61"/>
  <c r="I276" i="61"/>
  <c r="E276" i="61"/>
  <c r="Q275" i="61"/>
  <c r="M275" i="61"/>
  <c r="I275" i="61"/>
  <c r="E275" i="61"/>
  <c r="Q274" i="61"/>
  <c r="M274" i="61"/>
  <c r="I274" i="61"/>
  <c r="E274" i="61"/>
  <c r="Q273" i="61"/>
  <c r="M273" i="61"/>
  <c r="I273" i="61"/>
  <c r="E273" i="61"/>
  <c r="Q272" i="61"/>
  <c r="M272" i="61"/>
  <c r="I272" i="61"/>
  <c r="E272" i="61"/>
  <c r="Q271" i="61"/>
  <c r="M271" i="61"/>
  <c r="I271" i="61"/>
  <c r="E271" i="61"/>
  <c r="Q270" i="61"/>
  <c r="M270" i="61"/>
  <c r="I270" i="61"/>
  <c r="E270" i="61"/>
  <c r="Q268" i="61"/>
  <c r="M268" i="61"/>
  <c r="I268" i="61"/>
  <c r="E268" i="61"/>
  <c r="Q267" i="61"/>
  <c r="M267" i="61"/>
  <c r="I267" i="61"/>
  <c r="E267" i="61"/>
  <c r="Q266" i="61"/>
  <c r="M266" i="61"/>
  <c r="I266" i="61"/>
  <c r="E266" i="61"/>
  <c r="P263" i="61"/>
  <c r="O263" i="61"/>
  <c r="N263" i="61"/>
  <c r="L263" i="61"/>
  <c r="K263" i="61"/>
  <c r="J263" i="61"/>
  <c r="G263" i="61"/>
  <c r="F263" i="61"/>
  <c r="C263" i="61"/>
  <c r="B263" i="61"/>
  <c r="Q262" i="61"/>
  <c r="M262" i="61"/>
  <c r="I262" i="61"/>
  <c r="E262" i="61"/>
  <c r="Q261" i="61"/>
  <c r="M261" i="61"/>
  <c r="I261" i="61"/>
  <c r="E261" i="61"/>
  <c r="Q259" i="61"/>
  <c r="M259" i="61"/>
  <c r="I259" i="61"/>
  <c r="E259" i="61"/>
  <c r="Q258" i="61"/>
  <c r="M258" i="61"/>
  <c r="J804" i="61"/>
  <c r="I258" i="61"/>
  <c r="E258" i="61"/>
  <c r="Q257" i="61"/>
  <c r="M257" i="61"/>
  <c r="I257" i="61"/>
  <c r="E257" i="61"/>
  <c r="Q256" i="61"/>
  <c r="M256" i="61"/>
  <c r="I256" i="61"/>
  <c r="E256" i="61"/>
  <c r="Q255" i="61"/>
  <c r="M255" i="61"/>
  <c r="I255" i="61"/>
  <c r="E255" i="61"/>
  <c r="Q254" i="61"/>
  <c r="M254" i="61"/>
  <c r="I254" i="61"/>
  <c r="E254" i="61"/>
  <c r="Q253" i="61"/>
  <c r="M253" i="61"/>
  <c r="I253" i="61"/>
  <c r="E253" i="61"/>
  <c r="Q252" i="61"/>
  <c r="M252" i="61"/>
  <c r="I252" i="61"/>
  <c r="E252" i="61"/>
  <c r="Q251" i="61"/>
  <c r="M251" i="61"/>
  <c r="I251" i="61"/>
  <c r="E251" i="61"/>
  <c r="Q250" i="61"/>
  <c r="E250" i="61"/>
  <c r="Q249" i="61"/>
  <c r="M249" i="61"/>
  <c r="I249" i="61"/>
  <c r="E249" i="61"/>
  <c r="Q248" i="61"/>
  <c r="M248" i="61"/>
  <c r="I248" i="61"/>
  <c r="E248" i="61"/>
  <c r="Q247" i="61"/>
  <c r="M247" i="61"/>
  <c r="I247" i="61"/>
  <c r="E247" i="61"/>
  <c r="Q246" i="61"/>
  <c r="M246" i="61"/>
  <c r="I246" i="61"/>
  <c r="E246" i="61"/>
  <c r="Q245" i="61"/>
  <c r="M245" i="61"/>
  <c r="I245" i="61"/>
  <c r="E245" i="61"/>
  <c r="Q244" i="61"/>
  <c r="M244" i="61"/>
  <c r="I244" i="61"/>
  <c r="E244" i="61"/>
  <c r="Q243" i="61"/>
  <c r="M243" i="61"/>
  <c r="I243" i="61"/>
  <c r="E243" i="61"/>
  <c r="Q242" i="61"/>
  <c r="M242" i="61"/>
  <c r="I242" i="61"/>
  <c r="E242" i="61"/>
  <c r="Q240" i="61"/>
  <c r="M240" i="61"/>
  <c r="I240" i="61"/>
  <c r="D804" i="61"/>
  <c r="Q239" i="61"/>
  <c r="M239" i="61"/>
  <c r="I239" i="61"/>
  <c r="E239" i="61"/>
  <c r="Q238" i="61"/>
  <c r="M238" i="61"/>
  <c r="I238" i="61"/>
  <c r="E238" i="61"/>
  <c r="Q236" i="61"/>
  <c r="M236" i="61"/>
  <c r="I236" i="61"/>
  <c r="E236" i="61"/>
  <c r="Q235" i="61"/>
  <c r="M235" i="61"/>
  <c r="H804" i="61"/>
  <c r="E235" i="61"/>
  <c r="Q234" i="61"/>
  <c r="M234" i="61"/>
  <c r="I234" i="61"/>
  <c r="E234" i="61"/>
  <c r="Q233" i="61"/>
  <c r="M233" i="61"/>
  <c r="I233" i="61"/>
  <c r="E233" i="61"/>
  <c r="Q232" i="61"/>
  <c r="M232" i="61"/>
  <c r="I232" i="61"/>
  <c r="E232" i="61"/>
  <c r="Q231" i="61"/>
  <c r="M231" i="61"/>
  <c r="I231" i="61"/>
  <c r="E231" i="61"/>
  <c r="Q230" i="61"/>
  <c r="M230" i="61"/>
  <c r="I230" i="61"/>
  <c r="E230" i="61"/>
  <c r="Q229" i="61"/>
  <c r="M229" i="61"/>
  <c r="I229" i="61"/>
  <c r="E229" i="61"/>
  <c r="Q228" i="61"/>
  <c r="M228" i="61"/>
  <c r="I228" i="61"/>
  <c r="E228" i="61"/>
  <c r="Q227" i="61"/>
  <c r="M227" i="61"/>
  <c r="Q225" i="61"/>
  <c r="M225" i="61"/>
  <c r="I225" i="61"/>
  <c r="E225" i="61"/>
  <c r="Q224" i="61"/>
  <c r="M224" i="61"/>
  <c r="I224" i="61"/>
  <c r="E224" i="61"/>
  <c r="Q223" i="61"/>
  <c r="M223" i="61"/>
  <c r="I223" i="61"/>
  <c r="E223" i="61"/>
  <c r="Q222" i="61"/>
  <c r="M222" i="61"/>
  <c r="I222" i="61"/>
  <c r="E222" i="61"/>
  <c r="Q221" i="61"/>
  <c r="M221" i="61"/>
  <c r="I221" i="61"/>
  <c r="E221" i="61"/>
  <c r="Q220" i="61"/>
  <c r="M220" i="61"/>
  <c r="I220" i="61"/>
  <c r="E220" i="61"/>
  <c r="Q219" i="61"/>
  <c r="M219" i="61"/>
  <c r="I219" i="61"/>
  <c r="E219" i="61"/>
  <c r="Q218" i="61"/>
  <c r="M218" i="61"/>
  <c r="I218" i="61"/>
  <c r="E218" i="61"/>
  <c r="Q217" i="61"/>
  <c r="M217" i="61"/>
  <c r="I217" i="61"/>
  <c r="E217" i="61"/>
  <c r="Q214" i="61"/>
  <c r="M214" i="61"/>
  <c r="I214" i="61"/>
  <c r="E214" i="61"/>
  <c r="Q213" i="61"/>
  <c r="M213" i="61"/>
  <c r="I213" i="61"/>
  <c r="E213" i="61"/>
  <c r="Q211" i="61"/>
  <c r="M211" i="61"/>
  <c r="I211" i="61"/>
  <c r="E211" i="61"/>
  <c r="P207" i="61"/>
  <c r="O207" i="61"/>
  <c r="N207" i="61"/>
  <c r="L207" i="61"/>
  <c r="K207" i="61"/>
  <c r="J207" i="61"/>
  <c r="H207" i="61"/>
  <c r="G207" i="61"/>
  <c r="F207" i="61"/>
  <c r="D207" i="61"/>
  <c r="C207" i="61"/>
  <c r="B207" i="61"/>
  <c r="Q205" i="61"/>
  <c r="M205" i="61"/>
  <c r="I205" i="61"/>
  <c r="E205" i="61"/>
  <c r="Q204" i="61"/>
  <c r="M204" i="61"/>
  <c r="I204" i="61"/>
  <c r="E204" i="61"/>
  <c r="P200" i="61"/>
  <c r="K200" i="61"/>
  <c r="Q198" i="61"/>
  <c r="M198" i="61"/>
  <c r="I198" i="61"/>
  <c r="E198" i="61"/>
  <c r="Q197" i="61"/>
  <c r="M197" i="61"/>
  <c r="I197" i="61"/>
  <c r="E197" i="61"/>
  <c r="Q196" i="61"/>
  <c r="M196" i="61"/>
  <c r="I196" i="61"/>
  <c r="E196" i="61"/>
  <c r="Q194" i="61"/>
  <c r="M194" i="61"/>
  <c r="I194" i="61"/>
  <c r="E194" i="61"/>
  <c r="Q193" i="61"/>
  <c r="M193" i="61"/>
  <c r="I193" i="61"/>
  <c r="E193" i="61"/>
  <c r="Q192" i="61"/>
  <c r="M192" i="61"/>
  <c r="I192" i="61"/>
  <c r="E192" i="61"/>
  <c r="Q191" i="61"/>
  <c r="M191" i="61"/>
  <c r="I191" i="61"/>
  <c r="E191" i="61"/>
  <c r="Q190" i="61"/>
  <c r="M190" i="61"/>
  <c r="I190" i="61"/>
  <c r="E190" i="61"/>
  <c r="Q189" i="61"/>
  <c r="M189" i="61"/>
  <c r="I189" i="61"/>
  <c r="E189" i="61"/>
  <c r="Q188" i="61"/>
  <c r="M188" i="61"/>
  <c r="I188" i="61"/>
  <c r="E188" i="61"/>
  <c r="Q187" i="61"/>
  <c r="M187" i="61"/>
  <c r="I187" i="61"/>
  <c r="E187" i="61"/>
  <c r="Q186" i="61"/>
  <c r="M186" i="61"/>
  <c r="I186" i="61"/>
  <c r="E186" i="61"/>
  <c r="Q185" i="61"/>
  <c r="M185" i="61"/>
  <c r="I185" i="61"/>
  <c r="E185" i="61"/>
  <c r="Q183" i="61"/>
  <c r="M183" i="61"/>
  <c r="I183" i="61"/>
  <c r="E183" i="61"/>
  <c r="Q182" i="61"/>
  <c r="M182" i="61"/>
  <c r="I182" i="61"/>
  <c r="E182" i="61"/>
  <c r="Q181" i="61"/>
  <c r="M181" i="61"/>
  <c r="I181" i="61"/>
  <c r="E181" i="61"/>
  <c r="Q180" i="61"/>
  <c r="M180" i="61"/>
  <c r="I180" i="61"/>
  <c r="E180" i="61"/>
  <c r="Q178" i="61"/>
  <c r="M178" i="61"/>
  <c r="I178" i="61"/>
  <c r="E178" i="61"/>
  <c r="Q177" i="61"/>
  <c r="M177" i="61"/>
  <c r="I177" i="61"/>
  <c r="E177" i="61"/>
  <c r="Q175" i="61"/>
  <c r="M175" i="61"/>
  <c r="I175" i="61"/>
  <c r="E175" i="61"/>
  <c r="Q173" i="61"/>
  <c r="M173" i="61"/>
  <c r="I173" i="61"/>
  <c r="Q172" i="61"/>
  <c r="M172" i="61"/>
  <c r="I172" i="61"/>
  <c r="E172" i="61"/>
  <c r="Q171" i="61"/>
  <c r="M171" i="61"/>
  <c r="I171" i="61"/>
  <c r="E171" i="61"/>
  <c r="Q170" i="61"/>
  <c r="M170" i="61"/>
  <c r="I170" i="61"/>
  <c r="E170" i="61"/>
  <c r="Q169" i="61"/>
  <c r="M169" i="61"/>
  <c r="E169" i="61"/>
  <c r="Q168" i="61"/>
  <c r="M168" i="61"/>
  <c r="I168" i="61"/>
  <c r="E168" i="61"/>
  <c r="Q167" i="61"/>
  <c r="M167" i="61"/>
  <c r="I167" i="61"/>
  <c r="E167" i="61"/>
  <c r="Q166" i="61"/>
  <c r="M166" i="61"/>
  <c r="I166" i="61"/>
  <c r="E166" i="61"/>
  <c r="Q165" i="61"/>
  <c r="M165" i="61"/>
  <c r="I165" i="61"/>
  <c r="E165" i="61"/>
  <c r="Q164" i="61"/>
  <c r="M164" i="61"/>
  <c r="I164" i="61"/>
  <c r="E164" i="61"/>
  <c r="Q163" i="61"/>
  <c r="M163" i="61"/>
  <c r="I163" i="61"/>
  <c r="E163" i="61"/>
  <c r="Q162" i="61"/>
  <c r="M162" i="61"/>
  <c r="I162" i="61"/>
  <c r="E162" i="61"/>
  <c r="Q161" i="61"/>
  <c r="M161" i="61"/>
  <c r="I161" i="61"/>
  <c r="E161" i="61"/>
  <c r="Q160" i="61"/>
  <c r="M160" i="61"/>
  <c r="I160" i="61"/>
  <c r="E160" i="61"/>
  <c r="Q159" i="61"/>
  <c r="M159" i="61"/>
  <c r="I159" i="61"/>
  <c r="E159" i="61"/>
  <c r="Q158" i="61"/>
  <c r="M158" i="61"/>
  <c r="I158" i="61"/>
  <c r="E158" i="61"/>
  <c r="Q157" i="61"/>
  <c r="M157" i="61"/>
  <c r="I157" i="61"/>
  <c r="E157" i="61"/>
  <c r="Q156" i="61"/>
  <c r="M156" i="61"/>
  <c r="I156" i="61"/>
  <c r="E156" i="61"/>
  <c r="Q155" i="61"/>
  <c r="M155" i="61"/>
  <c r="I155" i="61"/>
  <c r="E155" i="61"/>
  <c r="Q154" i="61"/>
  <c r="M154" i="61"/>
  <c r="I154" i="61"/>
  <c r="E154" i="61"/>
  <c r="Q153" i="61"/>
  <c r="M153" i="61"/>
  <c r="I153" i="61"/>
  <c r="E153" i="61"/>
  <c r="M152" i="61"/>
  <c r="I152" i="61"/>
  <c r="E152" i="61"/>
  <c r="Q151" i="61"/>
  <c r="M151" i="61"/>
  <c r="I151" i="61"/>
  <c r="E151" i="61"/>
  <c r="Q150" i="61"/>
  <c r="M150" i="61"/>
  <c r="I150" i="61"/>
  <c r="E150" i="61"/>
  <c r="Q149" i="61"/>
  <c r="M149" i="61"/>
  <c r="I149" i="61"/>
  <c r="E149" i="61"/>
  <c r="Q148" i="61"/>
  <c r="M148" i="61"/>
  <c r="I148" i="61"/>
  <c r="E148" i="61"/>
  <c r="Q147" i="61"/>
  <c r="M147" i="61"/>
  <c r="I147" i="61"/>
  <c r="Q146" i="61"/>
  <c r="M146" i="61"/>
  <c r="I146" i="61"/>
  <c r="E146" i="61"/>
  <c r="Q145" i="61"/>
  <c r="M145" i="61"/>
  <c r="I145" i="61"/>
  <c r="Q144" i="61"/>
  <c r="M144" i="61"/>
  <c r="I144" i="61"/>
  <c r="E144" i="61"/>
  <c r="Q142" i="61"/>
  <c r="M142" i="61"/>
  <c r="I142" i="61"/>
  <c r="E142" i="61"/>
  <c r="Q141" i="61"/>
  <c r="M141" i="61"/>
  <c r="I141" i="61"/>
  <c r="E141" i="61"/>
  <c r="Q140" i="61"/>
  <c r="M140" i="61"/>
  <c r="I140" i="61"/>
  <c r="E140" i="61"/>
  <c r="Q139" i="61"/>
  <c r="Q138" i="61"/>
  <c r="M138" i="61"/>
  <c r="I138" i="61"/>
  <c r="E138" i="61"/>
  <c r="Q126" i="61"/>
  <c r="M126" i="61"/>
  <c r="I126" i="61"/>
  <c r="E126" i="61"/>
  <c r="P124" i="61"/>
  <c r="O124" i="61"/>
  <c r="N124" i="61"/>
  <c r="L124" i="61"/>
  <c r="K124" i="61"/>
  <c r="J124" i="61"/>
  <c r="H124" i="61"/>
  <c r="G124" i="61"/>
  <c r="F124" i="61"/>
  <c r="D124" i="61"/>
  <c r="C124" i="61"/>
  <c r="B124" i="61"/>
  <c r="P123" i="61"/>
  <c r="O123" i="61"/>
  <c r="N123" i="61"/>
  <c r="L123" i="61"/>
  <c r="K123" i="61"/>
  <c r="J123" i="61"/>
  <c r="H123" i="61"/>
  <c r="G123" i="61"/>
  <c r="F123" i="61"/>
  <c r="D123" i="61"/>
  <c r="C123" i="61"/>
  <c r="B123" i="61"/>
  <c r="Q121" i="61"/>
  <c r="M121" i="61"/>
  <c r="I121" i="61"/>
  <c r="E121" i="61"/>
  <c r="Q119" i="61"/>
  <c r="M119" i="61"/>
  <c r="I119" i="61"/>
  <c r="E119" i="61"/>
  <c r="Q118" i="61"/>
  <c r="M118" i="61"/>
  <c r="I118" i="61"/>
  <c r="E118" i="61"/>
  <c r="Q116" i="61"/>
  <c r="M116" i="61"/>
  <c r="I116" i="61"/>
  <c r="E116" i="61"/>
  <c r="Q115" i="61"/>
  <c r="M115" i="61"/>
  <c r="I115" i="61"/>
  <c r="E115" i="61"/>
  <c r="Q114" i="61"/>
  <c r="M114" i="61"/>
  <c r="I114" i="61"/>
  <c r="E114" i="61"/>
  <c r="Q113" i="61"/>
  <c r="M113" i="61"/>
  <c r="I113" i="61"/>
  <c r="E113" i="61"/>
  <c r="Q112" i="61"/>
  <c r="M112" i="61"/>
  <c r="I112" i="61"/>
  <c r="E112" i="61"/>
  <c r="Q111" i="61"/>
  <c r="M111" i="61"/>
  <c r="I111" i="61"/>
  <c r="E111" i="61"/>
  <c r="Q110" i="61"/>
  <c r="M110" i="61"/>
  <c r="I110" i="61"/>
  <c r="E110" i="61"/>
  <c r="Q109" i="61"/>
  <c r="M109" i="61"/>
  <c r="I109" i="61"/>
  <c r="E109" i="61"/>
  <c r="P106" i="61"/>
  <c r="O106" i="61"/>
  <c r="N106" i="61"/>
  <c r="L106" i="61"/>
  <c r="K106" i="61"/>
  <c r="J106" i="61"/>
  <c r="H106" i="61"/>
  <c r="G106" i="61"/>
  <c r="F106" i="61"/>
  <c r="D106" i="61"/>
  <c r="C106" i="61"/>
  <c r="B106" i="61"/>
  <c r="Q105" i="61"/>
  <c r="M105" i="61"/>
  <c r="I105" i="61"/>
  <c r="E105" i="61"/>
  <c r="Q104" i="61"/>
  <c r="M104" i="61"/>
  <c r="I104" i="61"/>
  <c r="E104" i="61"/>
  <c r="Q103" i="61"/>
  <c r="M103" i="61"/>
  <c r="I103" i="61"/>
  <c r="E103" i="61"/>
  <c r="Q102" i="61"/>
  <c r="M102" i="61"/>
  <c r="I102" i="61"/>
  <c r="E102" i="61"/>
  <c r="Q101" i="61"/>
  <c r="M101" i="61"/>
  <c r="I101" i="61"/>
  <c r="E101" i="61"/>
  <c r="Q100" i="61"/>
  <c r="M100" i="61"/>
  <c r="I100" i="61"/>
  <c r="E100" i="61"/>
  <c r="Q99" i="61"/>
  <c r="M99" i="61"/>
  <c r="I99" i="61"/>
  <c r="E99" i="61"/>
  <c r="P95" i="61"/>
  <c r="O95" i="61"/>
  <c r="N95" i="61"/>
  <c r="L95" i="61"/>
  <c r="K95" i="61"/>
  <c r="J95" i="61"/>
  <c r="H95" i="61"/>
  <c r="G95" i="61"/>
  <c r="F95" i="61"/>
  <c r="D95" i="61"/>
  <c r="C95" i="61"/>
  <c r="B95" i="61"/>
  <c r="Q93" i="61"/>
  <c r="M93" i="61"/>
  <c r="I93" i="61"/>
  <c r="E93" i="61"/>
  <c r="Q92" i="61"/>
  <c r="M92" i="61"/>
  <c r="I92" i="61"/>
  <c r="E92" i="61"/>
  <c r="P88" i="61"/>
  <c r="O88" i="61"/>
  <c r="N88" i="61"/>
  <c r="L88" i="61"/>
  <c r="K88" i="61"/>
  <c r="J88" i="61"/>
  <c r="H88" i="61"/>
  <c r="G88" i="61"/>
  <c r="F88" i="61"/>
  <c r="D88" i="61"/>
  <c r="C88" i="61"/>
  <c r="B88" i="61"/>
  <c r="Q86" i="61"/>
  <c r="M86" i="61"/>
  <c r="I86" i="61"/>
  <c r="E86" i="61"/>
  <c r="Q85" i="61"/>
  <c r="M85" i="61"/>
  <c r="I85" i="61"/>
  <c r="E85" i="61"/>
  <c r="Q83" i="61"/>
  <c r="M83" i="61"/>
  <c r="I83" i="61"/>
  <c r="E83" i="61"/>
  <c r="Q81" i="61"/>
  <c r="M81" i="61"/>
  <c r="I81" i="61"/>
  <c r="E81" i="61"/>
  <c r="Q80" i="61"/>
  <c r="M80" i="61"/>
  <c r="I80" i="61"/>
  <c r="E80" i="61"/>
  <c r="Q79" i="61"/>
  <c r="M79" i="61"/>
  <c r="I79" i="61"/>
  <c r="E79" i="61"/>
  <c r="Q78" i="61"/>
  <c r="M78" i="61"/>
  <c r="I78" i="61"/>
  <c r="E78" i="61"/>
  <c r="Q77" i="61"/>
  <c r="M77" i="61"/>
  <c r="I77" i="61"/>
  <c r="E77" i="61"/>
  <c r="Q76" i="61"/>
  <c r="M76" i="61"/>
  <c r="I76" i="61"/>
  <c r="E76" i="61"/>
  <c r="Q75" i="61"/>
  <c r="M75" i="61"/>
  <c r="I75" i="61"/>
  <c r="E75" i="61"/>
  <c r="Q74" i="61"/>
  <c r="M74" i="61"/>
  <c r="I74" i="61"/>
  <c r="E74" i="61"/>
  <c r="Q73" i="61"/>
  <c r="M73" i="61"/>
  <c r="I73" i="61"/>
  <c r="E73" i="61"/>
  <c r="Q72" i="61"/>
  <c r="M72" i="61"/>
  <c r="I72" i="61"/>
  <c r="E72" i="61"/>
  <c r="Q60" i="61"/>
  <c r="M60" i="61"/>
  <c r="I60" i="61"/>
  <c r="E60" i="61"/>
  <c r="P58" i="61"/>
  <c r="O58" i="61"/>
  <c r="N58" i="61"/>
  <c r="L58" i="61"/>
  <c r="K58" i="61"/>
  <c r="J58" i="61"/>
  <c r="H58" i="61"/>
  <c r="G58" i="61"/>
  <c r="F58" i="61"/>
  <c r="D58" i="61"/>
  <c r="C58" i="61"/>
  <c r="B58" i="61"/>
  <c r="P57" i="61"/>
  <c r="O57" i="61"/>
  <c r="N57" i="61"/>
  <c r="L57" i="61"/>
  <c r="K57" i="61"/>
  <c r="J57" i="61"/>
  <c r="H57" i="61"/>
  <c r="G57" i="61"/>
  <c r="F57" i="61"/>
  <c r="D57" i="61"/>
  <c r="C57" i="61"/>
  <c r="B57" i="61"/>
  <c r="Q54" i="61"/>
  <c r="M54" i="61"/>
  <c r="I54" i="61"/>
  <c r="E54" i="61"/>
  <c r="P50" i="61"/>
  <c r="O50" i="61"/>
  <c r="N50" i="61"/>
  <c r="L50" i="61"/>
  <c r="K50" i="61"/>
  <c r="J50" i="61"/>
  <c r="H50" i="61"/>
  <c r="G50" i="61"/>
  <c r="F50" i="61"/>
  <c r="D50" i="61"/>
  <c r="C50" i="61"/>
  <c r="B50" i="61"/>
  <c r="P46" i="61"/>
  <c r="O46" i="61"/>
  <c r="N46" i="61"/>
  <c r="L46" i="61"/>
  <c r="K46" i="61"/>
  <c r="J46" i="61"/>
  <c r="H46" i="61"/>
  <c r="G46" i="61"/>
  <c r="F46" i="61"/>
  <c r="D46" i="61"/>
  <c r="C46" i="61"/>
  <c r="B46" i="61"/>
  <c r="P41" i="61"/>
  <c r="O41" i="61"/>
  <c r="N41" i="61"/>
  <c r="L41" i="61"/>
  <c r="K41" i="61"/>
  <c r="J41" i="61"/>
  <c r="H41" i="61"/>
  <c r="G41" i="61"/>
  <c r="F41" i="61"/>
  <c r="D41" i="61"/>
  <c r="C41" i="61"/>
  <c r="B41" i="61"/>
  <c r="Q38" i="61"/>
  <c r="M38" i="61"/>
  <c r="I38" i="61"/>
  <c r="E38" i="61"/>
  <c r="P27" i="61"/>
  <c r="O27" i="61"/>
  <c r="N27" i="61"/>
  <c r="L27" i="61"/>
  <c r="K27" i="61"/>
  <c r="J27" i="61"/>
  <c r="H27" i="61"/>
  <c r="G27" i="61"/>
  <c r="F27" i="61"/>
  <c r="D27" i="61"/>
  <c r="C27" i="61"/>
  <c r="B27" i="61"/>
  <c r="Q25" i="61"/>
  <c r="M25" i="61"/>
  <c r="I25" i="61"/>
  <c r="E25" i="61"/>
  <c r="P18" i="61"/>
  <c r="O18" i="61"/>
  <c r="N18" i="61"/>
  <c r="L18" i="61"/>
  <c r="K18" i="61"/>
  <c r="J18" i="61"/>
  <c r="G18" i="61"/>
  <c r="F18" i="61"/>
  <c r="D18" i="61"/>
  <c r="C18" i="61"/>
  <c r="B18" i="61"/>
  <c r="P17" i="61"/>
  <c r="O17" i="61"/>
  <c r="L17" i="61"/>
  <c r="K17" i="61"/>
  <c r="J17" i="61"/>
  <c r="H17" i="61"/>
  <c r="G17" i="61"/>
  <c r="F17" i="61"/>
  <c r="D17" i="61"/>
  <c r="C17" i="61"/>
  <c r="B17" i="61"/>
  <c r="P16" i="61"/>
  <c r="O16" i="61"/>
  <c r="N16" i="61"/>
  <c r="L16" i="61"/>
  <c r="K16" i="61"/>
  <c r="J16" i="61"/>
  <c r="H16" i="61"/>
  <c r="G16" i="61"/>
  <c r="F16" i="61"/>
  <c r="D16" i="61"/>
  <c r="C16" i="61"/>
  <c r="B16" i="61"/>
  <c r="P15" i="61"/>
  <c r="O15" i="61"/>
  <c r="N15" i="61"/>
  <c r="L15" i="61"/>
  <c r="K15" i="61"/>
  <c r="J15" i="61"/>
  <c r="H15" i="61"/>
  <c r="G15" i="61"/>
  <c r="F15" i="61"/>
  <c r="D15" i="61"/>
  <c r="C15" i="61"/>
  <c r="B15" i="61"/>
  <c r="P14" i="61"/>
  <c r="O14" i="61"/>
  <c r="N14" i="61"/>
  <c r="L14" i="61"/>
  <c r="K14" i="61"/>
  <c r="J14" i="61"/>
  <c r="H14" i="61"/>
  <c r="G14" i="61"/>
  <c r="F14" i="61"/>
  <c r="D14" i="61"/>
  <c r="C14" i="61"/>
  <c r="B14" i="61"/>
  <c r="R1" i="61"/>
  <c r="B10" i="61"/>
  <c r="J10" i="61"/>
  <c r="F10" i="61"/>
  <c r="N10" i="61"/>
  <c r="D10" i="61"/>
  <c r="H10" i="61"/>
  <c r="C10" i="61"/>
  <c r="L10" i="61"/>
  <c r="G10" i="61"/>
  <c r="O10" i="61"/>
  <c r="P10" i="61"/>
  <c r="AE985" i="61"/>
  <c r="K10" i="61"/>
  <c r="O720" i="61" l="1"/>
  <c r="O724" i="61" s="1"/>
  <c r="O726" i="61" s="1"/>
  <c r="L584" i="61"/>
  <c r="L587" i="61" s="1"/>
  <c r="L588" i="61" s="1"/>
  <c r="O965" i="61"/>
  <c r="Q965" i="61" s="1"/>
  <c r="R965" i="61" s="1"/>
  <c r="O969" i="61"/>
  <c r="Q969" i="61" s="1"/>
  <c r="R969" i="61" s="1"/>
  <c r="O973" i="61"/>
  <c r="Q973" i="61" s="1"/>
  <c r="R973" i="61" s="1"/>
  <c r="O966" i="61"/>
  <c r="Q966" i="61" s="1"/>
  <c r="R966" i="61" s="1"/>
  <c r="O970" i="61"/>
  <c r="Q970" i="61" s="1"/>
  <c r="R970" i="61" s="1"/>
  <c r="O974" i="61"/>
  <c r="Q974" i="61" s="1"/>
  <c r="R974" i="61" s="1"/>
  <c r="O967" i="61"/>
  <c r="Q967" i="61" s="1"/>
  <c r="R967" i="61" s="1"/>
  <c r="O971" i="61"/>
  <c r="Q971" i="61" s="1"/>
  <c r="R971" i="61" s="1"/>
  <c r="O963" i="61"/>
  <c r="O964" i="61"/>
  <c r="Q964" i="61" s="1"/>
  <c r="R964" i="61" s="1"/>
  <c r="O968" i="61"/>
  <c r="Q968" i="61" s="1"/>
  <c r="R968" i="61" s="1"/>
  <c r="O972" i="61"/>
  <c r="Q972" i="61" s="1"/>
  <c r="R972" i="61" s="1"/>
  <c r="P813" i="61"/>
  <c r="P584" i="61"/>
  <c r="P587" i="61" s="1"/>
  <c r="P588" i="61" s="1"/>
  <c r="F630" i="61"/>
  <c r="F633" i="61" s="1"/>
  <c r="G720" i="61"/>
  <c r="G724" i="61" s="1"/>
  <c r="G725" i="61" s="1"/>
  <c r="N1066" i="61"/>
  <c r="D59" i="61"/>
  <c r="D62" i="61" s="1"/>
  <c r="D63" i="61" s="1"/>
  <c r="H630" i="61"/>
  <c r="H633" i="61" s="1"/>
  <c r="H634" i="61" s="1"/>
  <c r="K720" i="61"/>
  <c r="K724" i="61" s="1"/>
  <c r="K725" i="61" s="1"/>
  <c r="C720" i="61"/>
  <c r="C724" i="61" s="1"/>
  <c r="C726" i="61" s="1"/>
  <c r="D720" i="61"/>
  <c r="D724" i="61" s="1"/>
  <c r="D725" i="61" s="1"/>
  <c r="B584" i="61"/>
  <c r="B587" i="61" s="1"/>
  <c r="P796" i="61"/>
  <c r="P830" i="61" s="1"/>
  <c r="L1019" i="61"/>
  <c r="L1021" i="61"/>
  <c r="N805" i="61"/>
  <c r="N834" i="61" s="1"/>
  <c r="E27" i="61"/>
  <c r="L1022" i="61"/>
  <c r="M27" i="61"/>
  <c r="J949" i="61"/>
  <c r="N1069" i="61"/>
  <c r="R1075" i="61"/>
  <c r="L1025" i="61"/>
  <c r="B813" i="61"/>
  <c r="L805" i="61"/>
  <c r="L834" i="61" s="1"/>
  <c r="AD990" i="61"/>
  <c r="AD989" i="61"/>
  <c r="AD988" i="61"/>
  <c r="AE878" i="61"/>
  <c r="AG888" i="61"/>
  <c r="L1015" i="61"/>
  <c r="AG881" i="61"/>
  <c r="AG885" i="61"/>
  <c r="AG887" i="61"/>
  <c r="L1020" i="61"/>
  <c r="L1024" i="61"/>
  <c r="R1069" i="61"/>
  <c r="L720" i="61"/>
  <c r="L724" i="61" s="1"/>
  <c r="L726" i="61" s="1"/>
  <c r="C584" i="61"/>
  <c r="C587" i="61" s="1"/>
  <c r="C588" i="61" s="1"/>
  <c r="AC362" i="61"/>
  <c r="D769" i="61"/>
  <c r="D772" i="61" s="1"/>
  <c r="D773" i="61" s="1"/>
  <c r="AD992" i="61"/>
  <c r="L1018" i="61"/>
  <c r="F1020" i="61"/>
  <c r="B993" i="61" s="1"/>
  <c r="L1026" i="61"/>
  <c r="M1078" i="61"/>
  <c r="Q1078" i="61"/>
  <c r="R1072" i="61"/>
  <c r="N1075" i="61"/>
  <c r="AA363" i="61"/>
  <c r="AD880" i="61"/>
  <c r="AD991" i="61"/>
  <c r="G1021" i="61"/>
  <c r="C994" i="61" s="1"/>
  <c r="F1025" i="61"/>
  <c r="B998" i="61" s="1"/>
  <c r="R1066" i="61"/>
  <c r="G1078" i="61"/>
  <c r="R25" i="61"/>
  <c r="I27" i="61"/>
  <c r="AA362" i="61"/>
  <c r="L1016" i="61"/>
  <c r="N1072" i="61"/>
  <c r="P283" i="61"/>
  <c r="P291" i="61" s="1"/>
  <c r="P292" i="61" s="1"/>
  <c r="R315" i="61"/>
  <c r="N677" i="61"/>
  <c r="N680" i="61" s="1"/>
  <c r="Q568" i="61"/>
  <c r="I281" i="61"/>
  <c r="I527" i="61"/>
  <c r="M465" i="61"/>
  <c r="M690" i="61"/>
  <c r="M708" i="61"/>
  <c r="M747" i="61"/>
  <c r="R313" i="61"/>
  <c r="R314" i="61"/>
  <c r="AD843" i="61"/>
  <c r="AO843" i="61" s="1"/>
  <c r="AD850" i="61"/>
  <c r="AO850" i="61" s="1"/>
  <c r="I14" i="61"/>
  <c r="I18" i="61"/>
  <c r="I41" i="61"/>
  <c r="I57" i="61"/>
  <c r="I106" i="61"/>
  <c r="I123" i="61"/>
  <c r="R509" i="61"/>
  <c r="M517" i="61"/>
  <c r="E583" i="61"/>
  <c r="M617" i="61"/>
  <c r="O677" i="61"/>
  <c r="O680" i="61" s="1"/>
  <c r="O681" i="61" s="1"/>
  <c r="I665" i="61"/>
  <c r="E690" i="61"/>
  <c r="E704" i="61"/>
  <c r="E708" i="61"/>
  <c r="E712" i="61"/>
  <c r="E719" i="61"/>
  <c r="E747" i="61"/>
  <c r="AH361" i="61"/>
  <c r="Q465" i="61"/>
  <c r="Q690" i="61"/>
  <c r="Q708" i="61"/>
  <c r="Q757" i="61"/>
  <c r="Q767" i="61"/>
  <c r="Q795" i="61"/>
  <c r="Q800" i="61"/>
  <c r="E807" i="61"/>
  <c r="AD848" i="61"/>
  <c r="AO848" i="61" s="1"/>
  <c r="R287" i="61"/>
  <c r="Q16" i="61"/>
  <c r="M41" i="61"/>
  <c r="M57" i="61"/>
  <c r="Q124" i="61"/>
  <c r="M302" i="61"/>
  <c r="I465" i="61"/>
  <c r="I690" i="61"/>
  <c r="I708" i="61"/>
  <c r="I747" i="61"/>
  <c r="AD846" i="61"/>
  <c r="AO846" i="61" s="1"/>
  <c r="AD852" i="61"/>
  <c r="AO852" i="61" s="1"/>
  <c r="R211" i="61"/>
  <c r="R213" i="61"/>
  <c r="R214" i="61"/>
  <c r="R217" i="61"/>
  <c r="R218" i="61"/>
  <c r="R219" i="61"/>
  <c r="R220" i="61"/>
  <c r="R221" i="61"/>
  <c r="R222" i="61"/>
  <c r="R223" i="61"/>
  <c r="R224" i="61"/>
  <c r="R225" i="61"/>
  <c r="R227" i="61"/>
  <c r="R228" i="61"/>
  <c r="R229" i="61"/>
  <c r="R230" i="61"/>
  <c r="R231" i="61"/>
  <c r="R232" i="61"/>
  <c r="R233" i="61"/>
  <c r="R234" i="61"/>
  <c r="R236" i="61"/>
  <c r="R238" i="61"/>
  <c r="R239" i="61"/>
  <c r="R242" i="61"/>
  <c r="Q263" i="61"/>
  <c r="Q282" i="61"/>
  <c r="Q302" i="61"/>
  <c r="F436" i="61"/>
  <c r="F441" i="61" s="1"/>
  <c r="Z362" i="61"/>
  <c r="AL362" i="61"/>
  <c r="I369" i="61"/>
  <c r="Q369" i="61"/>
  <c r="E470" i="61"/>
  <c r="Q583" i="61"/>
  <c r="E597" i="61"/>
  <c r="Q613" i="61"/>
  <c r="Q617" i="61"/>
  <c r="I628" i="61"/>
  <c r="C677" i="61"/>
  <c r="C680" i="61" s="1"/>
  <c r="C681" i="61" s="1"/>
  <c r="I652" i="61"/>
  <c r="Q675" i="61"/>
  <c r="M676" i="61"/>
  <c r="P720" i="61"/>
  <c r="P724" i="61" s="1"/>
  <c r="P725" i="61" s="1"/>
  <c r="I712" i="61"/>
  <c r="M718" i="61"/>
  <c r="I719" i="61"/>
  <c r="F769" i="61"/>
  <c r="F772" i="61" s="1"/>
  <c r="M742" i="61"/>
  <c r="P769" i="61"/>
  <c r="P772" i="61" s="1"/>
  <c r="P773" i="61" s="1"/>
  <c r="R760" i="61"/>
  <c r="R761" i="61"/>
  <c r="R763" i="61"/>
  <c r="R764" i="61"/>
  <c r="E767" i="61"/>
  <c r="M768" i="61"/>
  <c r="R770" i="61"/>
  <c r="E791" i="61"/>
  <c r="E792" i="61"/>
  <c r="M793" i="61"/>
  <c r="I794" i="61"/>
  <c r="E795" i="61"/>
  <c r="E800" i="61"/>
  <c r="I807" i="61"/>
  <c r="I808" i="61"/>
  <c r="I811" i="61"/>
  <c r="M15" i="61"/>
  <c r="M88" i="61"/>
  <c r="E14" i="61"/>
  <c r="E15" i="61"/>
  <c r="R38" i="61"/>
  <c r="E41" i="61"/>
  <c r="I46" i="61"/>
  <c r="R54" i="61"/>
  <c r="E57" i="61"/>
  <c r="I58" i="61"/>
  <c r="R60" i="61"/>
  <c r="R72" i="61"/>
  <c r="R99" i="61"/>
  <c r="R100" i="61"/>
  <c r="R101" i="61"/>
  <c r="R102" i="61"/>
  <c r="R103" i="61"/>
  <c r="R104" i="61"/>
  <c r="R105" i="61"/>
  <c r="E106" i="61"/>
  <c r="R109" i="61"/>
  <c r="R110" i="61"/>
  <c r="R111" i="61"/>
  <c r="R112" i="61"/>
  <c r="R113" i="61"/>
  <c r="E123" i="61"/>
  <c r="I302" i="61"/>
  <c r="O485" i="61"/>
  <c r="O488" i="61" s="1"/>
  <c r="O489" i="61" s="1"/>
  <c r="R474" i="61"/>
  <c r="I475" i="61"/>
  <c r="L485" i="61"/>
  <c r="L488" i="61" s="1"/>
  <c r="L489" i="61" s="1"/>
  <c r="R481" i="61"/>
  <c r="R482" i="61"/>
  <c r="E483" i="61"/>
  <c r="I484" i="61"/>
  <c r="I528" i="61"/>
  <c r="I563" i="61"/>
  <c r="Q563" i="61"/>
  <c r="H720" i="61"/>
  <c r="H724" i="61" s="1"/>
  <c r="H725" i="61" s="1"/>
  <c r="M800" i="61"/>
  <c r="Q811" i="61"/>
  <c r="Q812" i="61"/>
  <c r="Q15" i="61"/>
  <c r="Q41" i="61"/>
  <c r="Q57" i="61"/>
  <c r="E88" i="61"/>
  <c r="E95" i="61"/>
  <c r="R266" i="61"/>
  <c r="R267" i="61"/>
  <c r="R268" i="61"/>
  <c r="R276" i="61"/>
  <c r="R277" i="61"/>
  <c r="E282" i="61"/>
  <c r="R285" i="61"/>
  <c r="R286" i="61"/>
  <c r="E302" i="61"/>
  <c r="D436" i="61"/>
  <c r="D441" i="61" s="1"/>
  <c r="D442" i="61" s="1"/>
  <c r="Z363" i="61"/>
  <c r="R375" i="61"/>
  <c r="R376" i="61"/>
  <c r="R377" i="61"/>
  <c r="R378" i="61"/>
  <c r="R379" i="61"/>
  <c r="R380" i="61"/>
  <c r="R381" i="61"/>
  <c r="R382" i="61"/>
  <c r="R383" i="61"/>
  <c r="R384" i="61"/>
  <c r="R385" i="61"/>
  <c r="R386" i="61"/>
  <c r="C485" i="61"/>
  <c r="C488" i="61" s="1"/>
  <c r="C489" i="61" s="1"/>
  <c r="N485" i="61"/>
  <c r="N488" i="61" s="1"/>
  <c r="E528" i="61"/>
  <c r="I800" i="61"/>
  <c r="G59" i="61"/>
  <c r="G62" i="61" s="1"/>
  <c r="G63" i="61" s="1"/>
  <c r="I15" i="61"/>
  <c r="M16" i="61"/>
  <c r="E58" i="61"/>
  <c r="R542" i="61"/>
  <c r="R544" i="61"/>
  <c r="R546" i="61"/>
  <c r="R548" i="61"/>
  <c r="R551" i="61"/>
  <c r="R555" i="61"/>
  <c r="R561" i="61"/>
  <c r="M568" i="61"/>
  <c r="E628" i="61"/>
  <c r="R669" i="61"/>
  <c r="R688" i="61"/>
  <c r="R722" i="61"/>
  <c r="R735" i="61"/>
  <c r="B769" i="61"/>
  <c r="B772" i="61" s="1"/>
  <c r="I793" i="61"/>
  <c r="P801" i="61"/>
  <c r="P832" i="61" s="1"/>
  <c r="G813" i="61"/>
  <c r="Q14" i="61"/>
  <c r="I16" i="61"/>
  <c r="E17" i="61"/>
  <c r="H59" i="61"/>
  <c r="H62" i="61" s="1"/>
  <c r="H63" i="61" s="1"/>
  <c r="L59" i="61"/>
  <c r="L62" i="61" s="1"/>
  <c r="L63" i="61" s="1"/>
  <c r="P59" i="61"/>
  <c r="P62" i="61" s="1"/>
  <c r="P63" i="61" s="1"/>
  <c r="Q46" i="61"/>
  <c r="J59" i="61"/>
  <c r="O59" i="61"/>
  <c r="O62" i="61" s="1"/>
  <c r="O63" i="61" s="1"/>
  <c r="Q58" i="61"/>
  <c r="D125" i="61"/>
  <c r="D128" i="61" s="1"/>
  <c r="D129" i="61" s="1"/>
  <c r="J125" i="61"/>
  <c r="J128" i="61" s="1"/>
  <c r="Q95" i="61"/>
  <c r="Q106" i="61"/>
  <c r="Q123" i="61"/>
  <c r="E124" i="61"/>
  <c r="H796" i="61"/>
  <c r="H830" i="61" s="1"/>
  <c r="R387" i="61"/>
  <c r="R388" i="61"/>
  <c r="R389" i="61"/>
  <c r="R390" i="61"/>
  <c r="R391" i="61"/>
  <c r="R392" i="61"/>
  <c r="R393" i="61"/>
  <c r="R394" i="61"/>
  <c r="R395" i="61"/>
  <c r="R396" i="61"/>
  <c r="R399" i="61"/>
  <c r="R400" i="61"/>
  <c r="R401" i="61"/>
  <c r="R402" i="61"/>
  <c r="R403" i="61"/>
  <c r="R404" i="61"/>
  <c r="R405" i="61"/>
  <c r="R407" i="61"/>
  <c r="R408" i="61"/>
  <c r="R410" i="61"/>
  <c r="E411" i="61"/>
  <c r="Q435" i="61"/>
  <c r="Q470" i="61"/>
  <c r="M475" i="61"/>
  <c r="P485" i="61"/>
  <c r="P488" i="61" s="1"/>
  <c r="P489" i="61" s="1"/>
  <c r="I483" i="61"/>
  <c r="M484" i="61"/>
  <c r="O529" i="61"/>
  <c r="O532" i="61" s="1"/>
  <c r="O533" i="61" s="1"/>
  <c r="I512" i="61"/>
  <c r="Q512" i="61"/>
  <c r="Q517" i="61"/>
  <c r="E527" i="61"/>
  <c r="I617" i="61"/>
  <c r="M767" i="61"/>
  <c r="B59" i="61"/>
  <c r="B62" i="61" s="1"/>
  <c r="E629" i="61"/>
  <c r="E46" i="61"/>
  <c r="C59" i="61"/>
  <c r="C62" i="61" s="1"/>
  <c r="C63" i="61" s="1"/>
  <c r="N59" i="61"/>
  <c r="R530" i="61"/>
  <c r="R543" i="61"/>
  <c r="R545" i="61"/>
  <c r="R547" i="61"/>
  <c r="R550" i="61"/>
  <c r="R553" i="61"/>
  <c r="D630" i="61"/>
  <c r="D633" i="61" s="1"/>
  <c r="D634" i="61" s="1"/>
  <c r="O630" i="61"/>
  <c r="O633" i="61" s="1"/>
  <c r="O634" i="61" s="1"/>
  <c r="Q629" i="61"/>
  <c r="R672" i="61"/>
  <c r="M675" i="61"/>
  <c r="I718" i="61"/>
  <c r="R734" i="61"/>
  <c r="R736" i="61"/>
  <c r="R740" i="61"/>
  <c r="L769" i="61"/>
  <c r="L772" i="61" s="1"/>
  <c r="L774" i="61" s="1"/>
  <c r="I768" i="61"/>
  <c r="H801" i="61"/>
  <c r="H832" i="61" s="1"/>
  <c r="M14" i="61"/>
  <c r="E16" i="61"/>
  <c r="Q18" i="61"/>
  <c r="M46" i="61"/>
  <c r="F59" i="61"/>
  <c r="F62" i="61" s="1"/>
  <c r="K59" i="61"/>
  <c r="K62" i="61" s="1"/>
  <c r="K63" i="61" s="1"/>
  <c r="M58" i="61"/>
  <c r="P125" i="61"/>
  <c r="P128" i="61" s="1"/>
  <c r="P129" i="61" s="1"/>
  <c r="M106" i="61"/>
  <c r="M123" i="61"/>
  <c r="R243" i="61"/>
  <c r="R244" i="61"/>
  <c r="R245" i="61"/>
  <c r="R246" i="61"/>
  <c r="R247" i="61"/>
  <c r="R248" i="61"/>
  <c r="R249" i="61"/>
  <c r="R250" i="61"/>
  <c r="R251" i="61"/>
  <c r="R252" i="61"/>
  <c r="R253" i="61"/>
  <c r="R254" i="61"/>
  <c r="R255" i="61"/>
  <c r="R256" i="61"/>
  <c r="R257" i="61"/>
  <c r="E281" i="61"/>
  <c r="Z361" i="61"/>
  <c r="R362" i="61"/>
  <c r="P529" i="61"/>
  <c r="P532" i="61" s="1"/>
  <c r="P533" i="61" s="1"/>
  <c r="E617" i="61"/>
  <c r="I767" i="61"/>
  <c r="M811" i="61"/>
  <c r="AG877" i="61"/>
  <c r="AD842" i="61"/>
  <c r="AO842" i="61" s="1"/>
  <c r="R73" i="61"/>
  <c r="R74" i="61"/>
  <c r="B125" i="61"/>
  <c r="B128" i="61" s="1"/>
  <c r="L125" i="61"/>
  <c r="L128" i="61" s="1"/>
  <c r="L129" i="61" s="1"/>
  <c r="R93" i="61"/>
  <c r="I95" i="61"/>
  <c r="M95" i="61"/>
  <c r="M124" i="61"/>
  <c r="Q281" i="61"/>
  <c r="M282" i="61"/>
  <c r="R289" i="61"/>
  <c r="R358" i="61"/>
  <c r="R360" i="61"/>
  <c r="R364" i="61"/>
  <c r="R365" i="61"/>
  <c r="F485" i="61"/>
  <c r="F488" i="61" s="1"/>
  <c r="I470" i="61"/>
  <c r="E475" i="61"/>
  <c r="Q483" i="61"/>
  <c r="E484" i="61"/>
  <c r="R486" i="61"/>
  <c r="G529" i="61"/>
  <c r="G532" i="61" s="1"/>
  <c r="G533" i="61" s="1"/>
  <c r="I517" i="61"/>
  <c r="Q527" i="61"/>
  <c r="Q528" i="61"/>
  <c r="H584" i="61"/>
  <c r="H587" i="61" s="1"/>
  <c r="H588" i="61" s="1"/>
  <c r="R567" i="61"/>
  <c r="I568" i="61"/>
  <c r="R571" i="61"/>
  <c r="R572" i="61"/>
  <c r="R577" i="61"/>
  <c r="R580" i="61"/>
  <c r="R581" i="61"/>
  <c r="E582" i="61"/>
  <c r="I583" i="61"/>
  <c r="M583" i="61"/>
  <c r="P630" i="61"/>
  <c r="P633" i="61" s="1"/>
  <c r="P634" i="61" s="1"/>
  <c r="I621" i="61"/>
  <c r="Q628" i="61"/>
  <c r="M629" i="61"/>
  <c r="R664" i="61"/>
  <c r="I675" i="61"/>
  <c r="Q712" i="61"/>
  <c r="E718" i="61"/>
  <c r="Q719" i="61"/>
  <c r="H769" i="61"/>
  <c r="H772" i="61" s="1"/>
  <c r="H774" i="61" s="1"/>
  <c r="N769" i="61"/>
  <c r="N772" i="61" s="1"/>
  <c r="Q747" i="61"/>
  <c r="E768" i="61"/>
  <c r="E793" i="61"/>
  <c r="Q794" i="61"/>
  <c r="M795" i="61"/>
  <c r="D801" i="61"/>
  <c r="D832" i="61" s="1"/>
  <c r="L801" i="61"/>
  <c r="L832" i="61" s="1"/>
  <c r="C814" i="61"/>
  <c r="C836" i="61" s="1"/>
  <c r="H814" i="61"/>
  <c r="H836" i="61" s="1"/>
  <c r="E811" i="61"/>
  <c r="R114" i="61"/>
  <c r="R115" i="61"/>
  <c r="R116" i="61"/>
  <c r="R118" i="61"/>
  <c r="R119" i="61"/>
  <c r="R121" i="61"/>
  <c r="I124" i="61"/>
  <c r="R126" i="61"/>
  <c r="K283" i="61"/>
  <c r="K291" i="61" s="1"/>
  <c r="K292" i="61" s="1"/>
  <c r="E207" i="61"/>
  <c r="M281" i="61"/>
  <c r="H436" i="61"/>
  <c r="H441" i="61" s="1"/>
  <c r="H442" i="61" s="1"/>
  <c r="AL361" i="61"/>
  <c r="R414" i="61"/>
  <c r="R417" i="61"/>
  <c r="R419" i="61"/>
  <c r="R420" i="61"/>
  <c r="R421" i="61"/>
  <c r="R422" i="61"/>
  <c r="R423" i="61"/>
  <c r="R424" i="61"/>
  <c r="R426" i="61"/>
  <c r="R427" i="61"/>
  <c r="R428" i="61"/>
  <c r="R430" i="61"/>
  <c r="R431" i="61"/>
  <c r="R432" i="61"/>
  <c r="R437" i="61"/>
  <c r="R438" i="61"/>
  <c r="R439" i="61"/>
  <c r="R461" i="61"/>
  <c r="R462" i="61"/>
  <c r="E465" i="61"/>
  <c r="Q475" i="61"/>
  <c r="M483" i="61"/>
  <c r="Q484" i="61"/>
  <c r="C529" i="61"/>
  <c r="C532" i="61" s="1"/>
  <c r="C533" i="61" s="1"/>
  <c r="H529" i="61"/>
  <c r="H532" i="61" s="1"/>
  <c r="H533" i="61" s="1"/>
  <c r="N529" i="61"/>
  <c r="N532" i="61" s="1"/>
  <c r="R516" i="61"/>
  <c r="E517" i="61"/>
  <c r="R522" i="61"/>
  <c r="R524" i="61"/>
  <c r="R525" i="61"/>
  <c r="J584" i="61"/>
  <c r="E563" i="61"/>
  <c r="M563" i="61"/>
  <c r="E568" i="61"/>
  <c r="Q582" i="61"/>
  <c r="R585" i="61"/>
  <c r="R595" i="61"/>
  <c r="I597" i="61"/>
  <c r="G630" i="61"/>
  <c r="G633" i="61" s="1"/>
  <c r="G634" i="61" s="1"/>
  <c r="L630" i="61"/>
  <c r="L633" i="61" s="1"/>
  <c r="L634" i="61" s="1"/>
  <c r="R625" i="61"/>
  <c r="M628" i="61"/>
  <c r="I629" i="61"/>
  <c r="R631" i="61"/>
  <c r="E652" i="61"/>
  <c r="E675" i="61"/>
  <c r="M704" i="61"/>
  <c r="M712" i="61"/>
  <c r="Q718" i="61"/>
  <c r="M719" i="61"/>
  <c r="J769" i="61"/>
  <c r="J772" i="61" s="1"/>
  <c r="Q742" i="61"/>
  <c r="I757" i="61"/>
  <c r="Q768" i="61"/>
  <c r="Q793" i="61"/>
  <c r="I795" i="61"/>
  <c r="J813" i="61"/>
  <c r="I812" i="61"/>
  <c r="K813" i="61"/>
  <c r="AE882" i="61"/>
  <c r="M794" i="61"/>
  <c r="E794" i="61"/>
  <c r="R745" i="61"/>
  <c r="R750" i="61"/>
  <c r="R751" i="61"/>
  <c r="R753" i="61"/>
  <c r="R754" i="61"/>
  <c r="R755" i="61"/>
  <c r="R756" i="61"/>
  <c r="M757" i="61"/>
  <c r="E757" i="61"/>
  <c r="R737" i="61"/>
  <c r="I742" i="61"/>
  <c r="E742" i="61"/>
  <c r="R721" i="61"/>
  <c r="Q704" i="61"/>
  <c r="I704" i="61"/>
  <c r="R700" i="61"/>
  <c r="R671" i="61"/>
  <c r="Q676" i="61"/>
  <c r="I676" i="61"/>
  <c r="F677" i="61"/>
  <c r="F680" i="61" s="1"/>
  <c r="E676" i="61"/>
  <c r="E808" i="61"/>
  <c r="D814" i="61"/>
  <c r="D836" i="61" s="1"/>
  <c r="Q665" i="61"/>
  <c r="O805" i="61"/>
  <c r="O834" i="61" s="1"/>
  <c r="M804" i="61"/>
  <c r="J677" i="61"/>
  <c r="J680" i="61" s="1"/>
  <c r="R661" i="61"/>
  <c r="R662" i="61"/>
  <c r="E665" i="61"/>
  <c r="Q652" i="61"/>
  <c r="P677" i="61"/>
  <c r="P680" i="61" s="1"/>
  <c r="P681" i="61" s="1"/>
  <c r="M652" i="61"/>
  <c r="L677" i="61"/>
  <c r="L680" i="61" s="1"/>
  <c r="L681" i="61" s="1"/>
  <c r="R643" i="61"/>
  <c r="R644" i="61"/>
  <c r="R646" i="61"/>
  <c r="R647" i="61"/>
  <c r="R648" i="61"/>
  <c r="H677" i="61"/>
  <c r="H680" i="61" s="1"/>
  <c r="H681" i="61" s="1"/>
  <c r="D677" i="61"/>
  <c r="D680" i="61" s="1"/>
  <c r="D681" i="61" s="1"/>
  <c r="R608" i="61"/>
  <c r="R609" i="61"/>
  <c r="K630" i="61"/>
  <c r="K633" i="61" s="1"/>
  <c r="K634" i="61" s="1"/>
  <c r="M613" i="61"/>
  <c r="E613" i="61"/>
  <c r="C630" i="61"/>
  <c r="C633" i="61" s="1"/>
  <c r="C634" i="61" s="1"/>
  <c r="N584" i="61"/>
  <c r="N587" i="61" s="1"/>
  <c r="R574" i="61"/>
  <c r="R575" i="61"/>
  <c r="R576" i="61"/>
  <c r="O814" i="61"/>
  <c r="O836" i="61" s="1"/>
  <c r="O584" i="61"/>
  <c r="O587" i="61" s="1"/>
  <c r="O588" i="61" s="1"/>
  <c r="M808" i="61"/>
  <c r="K584" i="61"/>
  <c r="K587" i="61" s="1"/>
  <c r="K588" i="61" s="1"/>
  <c r="M582" i="61"/>
  <c r="F584" i="61"/>
  <c r="F587" i="61" s="1"/>
  <c r="G584" i="61"/>
  <c r="G587" i="61" s="1"/>
  <c r="G588" i="61" s="1"/>
  <c r="I582" i="61"/>
  <c r="R560" i="61"/>
  <c r="D584" i="61"/>
  <c r="D587" i="61" s="1"/>
  <c r="D588" i="61" s="1"/>
  <c r="R526" i="61"/>
  <c r="M527" i="61"/>
  <c r="M528" i="61"/>
  <c r="L529" i="61"/>
  <c r="L532" i="61" s="1"/>
  <c r="L533" i="61" s="1"/>
  <c r="F529" i="61"/>
  <c r="F532" i="61" s="1"/>
  <c r="F801" i="61"/>
  <c r="F832" i="61" s="1"/>
  <c r="D529" i="61"/>
  <c r="D532" i="61" s="1"/>
  <c r="D533" i="61" s="1"/>
  <c r="E512" i="61"/>
  <c r="B529" i="61"/>
  <c r="B532" i="61" s="1"/>
  <c r="R501" i="61"/>
  <c r="R498" i="61"/>
  <c r="R499" i="61"/>
  <c r="R500" i="61"/>
  <c r="G485" i="61"/>
  <c r="G488" i="61" s="1"/>
  <c r="G489" i="61" s="1"/>
  <c r="R457" i="61"/>
  <c r="R458" i="61"/>
  <c r="R459" i="61"/>
  <c r="H485" i="61"/>
  <c r="H488" i="61" s="1"/>
  <c r="H489" i="61" s="1"/>
  <c r="B485" i="61"/>
  <c r="B488" i="61" s="1"/>
  <c r="D485" i="61"/>
  <c r="D488" i="61" s="1"/>
  <c r="D489" i="61" s="1"/>
  <c r="N813" i="61"/>
  <c r="O813" i="61"/>
  <c r="J814" i="61"/>
  <c r="J836" i="61" s="1"/>
  <c r="M435" i="61"/>
  <c r="L814" i="61"/>
  <c r="L836" i="61" s="1"/>
  <c r="L813" i="61"/>
  <c r="K814" i="61"/>
  <c r="K836" i="61" s="1"/>
  <c r="L436" i="61"/>
  <c r="L441" i="61" s="1"/>
  <c r="L442" i="61" s="1"/>
  <c r="G814" i="61"/>
  <c r="G836" i="61" s="1"/>
  <c r="F813" i="61"/>
  <c r="I434" i="61"/>
  <c r="I435" i="61"/>
  <c r="C813" i="61"/>
  <c r="E435" i="61"/>
  <c r="M411" i="61"/>
  <c r="G436" i="61"/>
  <c r="G441" i="61" s="1"/>
  <c r="G442" i="61" s="1"/>
  <c r="F805" i="61"/>
  <c r="F834" i="61" s="1"/>
  <c r="R372" i="61"/>
  <c r="R373" i="61"/>
  <c r="I411" i="61"/>
  <c r="C436" i="61"/>
  <c r="C441" i="61" s="1"/>
  <c r="C442" i="61" s="1"/>
  <c r="B436" i="61"/>
  <c r="B441" i="61" s="1"/>
  <c r="C805" i="61"/>
  <c r="C834" i="61" s="1"/>
  <c r="R366" i="61"/>
  <c r="O801" i="61"/>
  <c r="O832" i="61" s="1"/>
  <c r="O436" i="61"/>
  <c r="O441" i="61" s="1"/>
  <c r="O442" i="61" s="1"/>
  <c r="G801" i="61"/>
  <c r="G832" i="61" s="1"/>
  <c r="R361" i="61"/>
  <c r="R363" i="61"/>
  <c r="E799" i="61"/>
  <c r="E369" i="61"/>
  <c r="M791" i="61"/>
  <c r="M792" i="61"/>
  <c r="R310" i="61"/>
  <c r="R311" i="61"/>
  <c r="R312" i="61"/>
  <c r="R319" i="61"/>
  <c r="R320" i="61"/>
  <c r="R321" i="61"/>
  <c r="R322" i="61"/>
  <c r="R323" i="61"/>
  <c r="R324" i="61"/>
  <c r="R325" i="61"/>
  <c r="R326" i="61"/>
  <c r="R328" i="61"/>
  <c r="R329" i="61"/>
  <c r="R333" i="61"/>
  <c r="R334" i="61"/>
  <c r="R337" i="61"/>
  <c r="R338" i="61"/>
  <c r="R340" i="61"/>
  <c r="R341" i="61"/>
  <c r="R327" i="61"/>
  <c r="R342" i="61"/>
  <c r="R343" i="61"/>
  <c r="R344" i="61"/>
  <c r="R331" i="61"/>
  <c r="R345" i="61"/>
  <c r="R346" i="61"/>
  <c r="R347" i="61"/>
  <c r="R335" i="61"/>
  <c r="R349" i="61"/>
  <c r="R350" i="61"/>
  <c r="R351" i="61"/>
  <c r="R352" i="61"/>
  <c r="M18" i="61"/>
  <c r="R300" i="61"/>
  <c r="R302" i="61" s="1"/>
  <c r="E18" i="61"/>
  <c r="G864" i="61"/>
  <c r="AG886" i="61"/>
  <c r="Q17" i="61"/>
  <c r="AD853" i="61"/>
  <c r="AO853" i="61" s="1"/>
  <c r="AD885" i="61"/>
  <c r="M17" i="61"/>
  <c r="I17" i="61"/>
  <c r="R288" i="61"/>
  <c r="Q809" i="61"/>
  <c r="P814" i="61"/>
  <c r="P836" i="61" s="1"/>
  <c r="I282" i="61"/>
  <c r="R270" i="61"/>
  <c r="R271" i="61"/>
  <c r="R272" i="61"/>
  <c r="R273" i="61"/>
  <c r="R274" i="61"/>
  <c r="R275" i="61"/>
  <c r="R259" i="61"/>
  <c r="R262" i="61"/>
  <c r="Q804" i="61"/>
  <c r="R261" i="61"/>
  <c r="M263" i="61"/>
  <c r="G805" i="61"/>
  <c r="G834" i="61" s="1"/>
  <c r="R258" i="61"/>
  <c r="B805" i="61"/>
  <c r="B834" i="61" s="1"/>
  <c r="N801" i="61"/>
  <c r="N832" i="61" s="1"/>
  <c r="Q207" i="61"/>
  <c r="M207" i="61"/>
  <c r="I207" i="61"/>
  <c r="R204" i="61"/>
  <c r="R205" i="61"/>
  <c r="O796" i="61"/>
  <c r="O830" i="61" s="1"/>
  <c r="Q791" i="61"/>
  <c r="Q792" i="61"/>
  <c r="K796" i="61"/>
  <c r="K830" i="61" s="1"/>
  <c r="R153" i="61"/>
  <c r="R154" i="61"/>
  <c r="R155" i="61"/>
  <c r="R156" i="61"/>
  <c r="R157" i="61"/>
  <c r="R158" i="61"/>
  <c r="R159" i="61"/>
  <c r="R160" i="61"/>
  <c r="R161" i="61"/>
  <c r="R162" i="61"/>
  <c r="R163" i="61"/>
  <c r="R164" i="61"/>
  <c r="R165" i="61"/>
  <c r="R166" i="61"/>
  <c r="R167" i="61"/>
  <c r="R168" i="61"/>
  <c r="R169" i="61"/>
  <c r="R170" i="61"/>
  <c r="R171" i="61"/>
  <c r="R172" i="61"/>
  <c r="R138" i="61"/>
  <c r="R175" i="61"/>
  <c r="R177" i="61"/>
  <c r="R178" i="61"/>
  <c r="R180" i="61"/>
  <c r="R182" i="61"/>
  <c r="R183" i="61"/>
  <c r="R185" i="61"/>
  <c r="R186" i="61"/>
  <c r="R187" i="61"/>
  <c r="R188" i="61"/>
  <c r="R189" i="61"/>
  <c r="R190" i="61"/>
  <c r="R191" i="61"/>
  <c r="R192" i="61"/>
  <c r="R193" i="61"/>
  <c r="R194" i="61"/>
  <c r="R196" i="61"/>
  <c r="R197" i="61"/>
  <c r="R198" i="61"/>
  <c r="R140" i="61"/>
  <c r="R141" i="61"/>
  <c r="R142" i="61"/>
  <c r="R144" i="61"/>
  <c r="R145" i="61"/>
  <c r="R146" i="61"/>
  <c r="R147" i="61"/>
  <c r="R148" i="61"/>
  <c r="R149" i="61"/>
  <c r="R150" i="61"/>
  <c r="R151" i="61"/>
  <c r="I791" i="61"/>
  <c r="I792" i="61"/>
  <c r="C796" i="61"/>
  <c r="C830" i="61" s="1"/>
  <c r="R92" i="61"/>
  <c r="Q799" i="61"/>
  <c r="N125" i="61"/>
  <c r="N128" i="61" s="1"/>
  <c r="I799" i="61"/>
  <c r="F125" i="61"/>
  <c r="F128" i="61" s="1"/>
  <c r="H125" i="61"/>
  <c r="H128" i="61" s="1"/>
  <c r="H129" i="61" s="1"/>
  <c r="B801" i="61"/>
  <c r="B832" i="61" s="1"/>
  <c r="C801" i="61"/>
  <c r="C832" i="61" s="1"/>
  <c r="Q88" i="61"/>
  <c r="O125" i="61"/>
  <c r="O128" i="61" s="1"/>
  <c r="O129" i="61" s="1"/>
  <c r="R75" i="61"/>
  <c r="R76" i="61"/>
  <c r="R77" i="61"/>
  <c r="R78" i="61"/>
  <c r="R79" i="61"/>
  <c r="R80" i="61"/>
  <c r="R81" i="61"/>
  <c r="R83" i="61"/>
  <c r="R85" i="61"/>
  <c r="K125" i="61"/>
  <c r="K128" i="61" s="1"/>
  <c r="K129" i="61" s="1"/>
  <c r="L796" i="61"/>
  <c r="L830" i="61" s="1"/>
  <c r="R86" i="61"/>
  <c r="I88" i="61"/>
  <c r="G125" i="61"/>
  <c r="G128" i="61" s="1"/>
  <c r="G129" i="61" s="1"/>
  <c r="C125" i="61"/>
  <c r="C128" i="61" s="1"/>
  <c r="C129" i="61" s="1"/>
  <c r="D796" i="61"/>
  <c r="D830" i="61" s="1"/>
  <c r="I967" i="61"/>
  <c r="L967" i="61"/>
  <c r="H967" i="61"/>
  <c r="N967" i="61"/>
  <c r="K967" i="61"/>
  <c r="F884" i="61"/>
  <c r="L964" i="61"/>
  <c r="H964" i="61"/>
  <c r="K964" i="61"/>
  <c r="M964" i="61"/>
  <c r="I964" i="61"/>
  <c r="N964" i="61"/>
  <c r="C28" i="61"/>
  <c r="L968" i="61"/>
  <c r="H968" i="61"/>
  <c r="K968" i="61"/>
  <c r="I968" i="61"/>
  <c r="N968" i="61"/>
  <c r="M968" i="61"/>
  <c r="K965" i="61"/>
  <c r="N965" i="61"/>
  <c r="L965" i="61"/>
  <c r="I965" i="61"/>
  <c r="H965" i="61"/>
  <c r="M965" i="61"/>
  <c r="D691" i="61"/>
  <c r="D598" i="61"/>
  <c r="D303" i="61"/>
  <c r="AP844" i="61" s="1"/>
  <c r="K969" i="61"/>
  <c r="N969" i="61"/>
  <c r="H969" i="61"/>
  <c r="M969" i="61"/>
  <c r="L969" i="61"/>
  <c r="I969" i="61"/>
  <c r="J691" i="61"/>
  <c r="J598" i="61"/>
  <c r="J303" i="61"/>
  <c r="AP848" i="61" s="1"/>
  <c r="J28" i="61"/>
  <c r="I973" i="61"/>
  <c r="K973" i="61"/>
  <c r="N973" i="61"/>
  <c r="L973" i="61"/>
  <c r="H973" i="61"/>
  <c r="O691" i="61"/>
  <c r="O303" i="61"/>
  <c r="AP852" i="61" s="1"/>
  <c r="I963" i="61"/>
  <c r="L963" i="61"/>
  <c r="H963" i="61"/>
  <c r="N963" i="61"/>
  <c r="K963" i="61"/>
  <c r="B598" i="61"/>
  <c r="B303" i="61"/>
  <c r="AP842" i="61" s="1"/>
  <c r="B28" i="61"/>
  <c r="N966" i="61"/>
  <c r="I966" i="61"/>
  <c r="K966" i="61"/>
  <c r="H966" i="61"/>
  <c r="L966" i="61"/>
  <c r="N970" i="61"/>
  <c r="M970" i="61"/>
  <c r="I970" i="61"/>
  <c r="L970" i="61"/>
  <c r="K970" i="61"/>
  <c r="H970" i="61"/>
  <c r="L974" i="61"/>
  <c r="H974" i="61"/>
  <c r="N974" i="61"/>
  <c r="I974" i="61"/>
  <c r="K974" i="61"/>
  <c r="P691" i="61"/>
  <c r="P303" i="61"/>
  <c r="AP853" i="61" s="1"/>
  <c r="K971" i="61"/>
  <c r="M971" i="61"/>
  <c r="I971" i="61"/>
  <c r="L971" i="61"/>
  <c r="H971" i="61"/>
  <c r="N971" i="61"/>
  <c r="L691" i="61"/>
  <c r="L598" i="61"/>
  <c r="L303" i="61"/>
  <c r="AP850" i="61" s="1"/>
  <c r="N972" i="61"/>
  <c r="L972" i="61"/>
  <c r="H972" i="61"/>
  <c r="K972" i="61"/>
  <c r="M972" i="61"/>
  <c r="I972" i="61"/>
  <c r="N598" i="61"/>
  <c r="N28" i="61"/>
  <c r="AW1011" i="61"/>
  <c r="AW1010" i="61"/>
  <c r="AW1009" i="61"/>
  <c r="AW1008" i="61"/>
  <c r="AW1007" i="61"/>
  <c r="AW1006" i="61"/>
  <c r="AW1005" i="61"/>
  <c r="AW1004" i="61"/>
  <c r="AW996" i="61"/>
  <c r="AW1003" i="61"/>
  <c r="AW997" i="61"/>
  <c r="AW998" i="61"/>
  <c r="AW1002" i="61"/>
  <c r="AW1001" i="61"/>
  <c r="AW1000" i="61"/>
  <c r="AW999" i="61"/>
  <c r="AW995" i="61"/>
  <c r="AW994" i="61"/>
  <c r="AW989" i="61"/>
  <c r="AW990" i="61"/>
  <c r="AW991" i="61"/>
  <c r="AW993" i="61"/>
  <c r="AW992" i="61"/>
  <c r="AW988" i="61"/>
  <c r="O28" i="61"/>
  <c r="F28" i="61"/>
  <c r="N303" i="61"/>
  <c r="AP851" i="61" s="1"/>
  <c r="F303" i="61"/>
  <c r="AP845" i="61" s="1"/>
  <c r="R181" i="61"/>
  <c r="C303" i="61"/>
  <c r="AP843" i="61" s="1"/>
  <c r="G303" i="61"/>
  <c r="AP846" i="61" s="1"/>
  <c r="K303" i="61"/>
  <c r="AP849" i="61" s="1"/>
  <c r="N436" i="61"/>
  <c r="Q354" i="61"/>
  <c r="R284" i="61"/>
  <c r="H303" i="61"/>
  <c r="AP847" i="61" s="1"/>
  <c r="M354" i="61"/>
  <c r="J436" i="61"/>
  <c r="K28" i="61"/>
  <c r="P28" i="61"/>
  <c r="E50" i="61"/>
  <c r="I50" i="61"/>
  <c r="M50" i="61"/>
  <c r="Q50" i="61"/>
  <c r="M790" i="61"/>
  <c r="J796" i="61"/>
  <c r="Q790" i="61"/>
  <c r="N796" i="61"/>
  <c r="E173" i="61"/>
  <c r="R173" i="61" s="1"/>
  <c r="I235" i="61"/>
  <c r="R235" i="61" s="1"/>
  <c r="E240" i="61"/>
  <c r="R240" i="61" s="1"/>
  <c r="M316" i="61"/>
  <c r="R316" i="61" s="1"/>
  <c r="K436" i="61"/>
  <c r="K441" i="61" s="1"/>
  <c r="AC361" i="61"/>
  <c r="AD361" i="61" s="1"/>
  <c r="AH362" i="61"/>
  <c r="AB363" i="61"/>
  <c r="P803" i="61"/>
  <c r="P805" i="61" s="1"/>
  <c r="P834" i="61" s="1"/>
  <c r="P411" i="61"/>
  <c r="Q411" i="61" s="1"/>
  <c r="R416" i="61"/>
  <c r="R433" i="61"/>
  <c r="E434" i="61"/>
  <c r="H598" i="61"/>
  <c r="R1050" i="61"/>
  <c r="R1005" i="61"/>
  <c r="R980" i="61"/>
  <c r="AS927" i="61"/>
  <c r="R926" i="61"/>
  <c r="R897" i="61"/>
  <c r="AS892" i="61"/>
  <c r="R871" i="61"/>
  <c r="R842" i="61"/>
  <c r="R818" i="61"/>
  <c r="AT865" i="61"/>
  <c r="AT833" i="61"/>
  <c r="R777" i="61"/>
  <c r="G28" i="61"/>
  <c r="L28" i="61"/>
  <c r="G796" i="61"/>
  <c r="E790" i="61"/>
  <c r="B796" i="61"/>
  <c r="B200" i="61"/>
  <c r="F200" i="61"/>
  <c r="J200" i="61"/>
  <c r="N200" i="61"/>
  <c r="D263" i="61"/>
  <c r="E263" i="61" s="1"/>
  <c r="H263" i="61"/>
  <c r="I263" i="61" s="1"/>
  <c r="E354" i="61"/>
  <c r="I354" i="61"/>
  <c r="M359" i="61"/>
  <c r="R359" i="61" s="1"/>
  <c r="AD360" i="61"/>
  <c r="AM360" i="61" s="1"/>
  <c r="J799" i="61"/>
  <c r="J801" i="61" s="1"/>
  <c r="M468" i="61"/>
  <c r="R468" i="61" s="1"/>
  <c r="J470" i="61"/>
  <c r="R429" i="61"/>
  <c r="Q434" i="61"/>
  <c r="K529" i="61"/>
  <c r="K532" i="61" s="1"/>
  <c r="O598" i="61"/>
  <c r="C200" i="61"/>
  <c r="C283" i="61" s="1"/>
  <c r="C291" i="61" s="1"/>
  <c r="G200" i="61"/>
  <c r="G283" i="61" s="1"/>
  <c r="G291" i="61" s="1"/>
  <c r="O200" i="61"/>
  <c r="O283" i="61" s="1"/>
  <c r="O291" i="61" s="1"/>
  <c r="AB362" i="61"/>
  <c r="K799" i="61"/>
  <c r="K801" i="61" s="1"/>
  <c r="K832" i="61" s="1"/>
  <c r="K470" i="61"/>
  <c r="K485" i="61" s="1"/>
  <c r="K488" i="61" s="1"/>
  <c r="AH363" i="61"/>
  <c r="R409" i="61"/>
  <c r="R339" i="61"/>
  <c r="M434" i="61"/>
  <c r="F598" i="61"/>
  <c r="K598" i="61"/>
  <c r="P598" i="61"/>
  <c r="H28" i="61"/>
  <c r="Q27" i="61"/>
  <c r="D28" i="61"/>
  <c r="E139" i="61"/>
  <c r="I139" i="61"/>
  <c r="M139" i="61"/>
  <c r="Q152" i="61"/>
  <c r="R152" i="61" s="1"/>
  <c r="D200" i="61"/>
  <c r="H200" i="61"/>
  <c r="L200" i="61"/>
  <c r="L283" i="61" s="1"/>
  <c r="L291" i="61" s="1"/>
  <c r="M512" i="61"/>
  <c r="M508" i="61"/>
  <c r="R508" i="61" s="1"/>
  <c r="G598" i="61"/>
  <c r="B630" i="61"/>
  <c r="B677" i="61"/>
  <c r="N691" i="61"/>
  <c r="D805" i="61"/>
  <c r="D834" i="61" s="1"/>
  <c r="J805" i="61"/>
  <c r="E804" i="61"/>
  <c r="E557" i="61"/>
  <c r="I557" i="61"/>
  <c r="M557" i="61"/>
  <c r="Q557" i="61"/>
  <c r="C598" i="61"/>
  <c r="E621" i="61"/>
  <c r="N630" i="61"/>
  <c r="E656" i="61"/>
  <c r="I656" i="61"/>
  <c r="M656" i="61"/>
  <c r="Q656" i="61"/>
  <c r="K665" i="61"/>
  <c r="M665" i="61" s="1"/>
  <c r="K803" i="61"/>
  <c r="R678" i="61"/>
  <c r="M597" i="61"/>
  <c r="Q597" i="61"/>
  <c r="R607" i="61"/>
  <c r="Q621" i="61"/>
  <c r="J630" i="61"/>
  <c r="G677" i="61"/>
  <c r="G680" i="61" s="1"/>
  <c r="M659" i="61"/>
  <c r="R659" i="61" s="1"/>
  <c r="H691" i="61"/>
  <c r="I804" i="61"/>
  <c r="E505" i="61"/>
  <c r="I505" i="61"/>
  <c r="M505" i="61"/>
  <c r="Q505" i="61"/>
  <c r="I613" i="61"/>
  <c r="M621" i="61"/>
  <c r="R663" i="61"/>
  <c r="R670" i="61"/>
  <c r="H805" i="61"/>
  <c r="H834" i="61" s="1"/>
  <c r="C769" i="61"/>
  <c r="C772" i="61" s="1"/>
  <c r="G769" i="61"/>
  <c r="G772" i="61" s="1"/>
  <c r="K769" i="61"/>
  <c r="K772" i="61" s="1"/>
  <c r="O769" i="61"/>
  <c r="O772" i="61" s="1"/>
  <c r="F885" i="61"/>
  <c r="F691" i="61"/>
  <c r="K691" i="61"/>
  <c r="B720" i="61"/>
  <c r="F720" i="61"/>
  <c r="J720" i="61"/>
  <c r="N720" i="61"/>
  <c r="Q808" i="61"/>
  <c r="M809" i="61"/>
  <c r="E812" i="61"/>
  <c r="B691" i="61"/>
  <c r="G691" i="61"/>
  <c r="E798" i="61"/>
  <c r="I798" i="61"/>
  <c r="M798" i="61"/>
  <c r="Q798" i="61"/>
  <c r="E803" i="61"/>
  <c r="I803" i="61"/>
  <c r="M807" i="61"/>
  <c r="Q807" i="61"/>
  <c r="I809" i="61"/>
  <c r="D813" i="61"/>
  <c r="H813" i="61"/>
  <c r="G882" i="61"/>
  <c r="C691" i="61"/>
  <c r="B814" i="61"/>
  <c r="F814" i="61"/>
  <c r="N814" i="61"/>
  <c r="E809" i="61"/>
  <c r="E810" i="61"/>
  <c r="I810" i="61"/>
  <c r="M810" i="61"/>
  <c r="Q810" i="61"/>
  <c r="M812" i="61"/>
  <c r="F880" i="61"/>
  <c r="AE881" i="61"/>
  <c r="AD881" i="61"/>
  <c r="G887" i="61"/>
  <c r="AF885" i="61"/>
  <c r="F888" i="61"/>
  <c r="AE885" i="61"/>
  <c r="G891" i="61"/>
  <c r="F864" i="61"/>
  <c r="AE877" i="61"/>
  <c r="AE879" i="61"/>
  <c r="AF882" i="61"/>
  <c r="G883" i="61"/>
  <c r="AD884" i="61"/>
  <c r="AD844" i="61"/>
  <c r="AD845" i="61"/>
  <c r="F881" i="61"/>
  <c r="AG878" i="61"/>
  <c r="G884" i="61"/>
  <c r="AD882" i="61"/>
  <c r="AG882" i="61"/>
  <c r="G888" i="61"/>
  <c r="AE886" i="61"/>
  <c r="F889" i="61"/>
  <c r="AD886" i="61"/>
  <c r="AF877" i="61"/>
  <c r="AF878" i="61"/>
  <c r="AF881" i="61"/>
  <c r="AG884" i="61"/>
  <c r="AF886" i="61"/>
  <c r="AF888" i="61"/>
  <c r="G880" i="61"/>
  <c r="G881" i="61"/>
  <c r="F882" i="61"/>
  <c r="AG879" i="61"/>
  <c r="AF879" i="61"/>
  <c r="G885" i="61"/>
  <c r="AG883" i="61"/>
  <c r="F886" i="61"/>
  <c r="AF883" i="61"/>
  <c r="G889" i="61"/>
  <c r="AE887" i="61"/>
  <c r="F890" i="61"/>
  <c r="AD887" i="61"/>
  <c r="AE883" i="61"/>
  <c r="AF880" i="61"/>
  <c r="AE880" i="61"/>
  <c r="G886" i="61"/>
  <c r="AF884" i="61"/>
  <c r="F887" i="61"/>
  <c r="AE884" i="61"/>
  <c r="G890" i="61"/>
  <c r="AE888" i="61"/>
  <c r="F891" i="61"/>
  <c r="AD888" i="61"/>
  <c r="AD877" i="61"/>
  <c r="AD878" i="61"/>
  <c r="AD879" i="61"/>
  <c r="AG880" i="61"/>
  <c r="F883" i="61"/>
  <c r="AF887" i="61"/>
  <c r="M966" i="61"/>
  <c r="M949" i="61"/>
  <c r="O949" i="61" s="1"/>
  <c r="P949" i="61" s="1"/>
  <c r="M967" i="61"/>
  <c r="J963" i="61"/>
  <c r="J968" i="61"/>
  <c r="J971" i="61"/>
  <c r="J964" i="61"/>
  <c r="J965" i="61"/>
  <c r="J967" i="61"/>
  <c r="M963" i="61"/>
  <c r="J972" i="61"/>
  <c r="J973" i="61"/>
  <c r="J974" i="61"/>
  <c r="J966" i="61"/>
  <c r="M973" i="61"/>
  <c r="M974" i="61"/>
  <c r="J970" i="61"/>
  <c r="J969" i="61"/>
  <c r="AD1011" i="61"/>
  <c r="AD1010" i="61"/>
  <c r="AD993" i="61"/>
  <c r="AD1005" i="61"/>
  <c r="AD1009" i="61"/>
  <c r="AD1008" i="61"/>
  <c r="AD1007" i="61"/>
  <c r="AD1006" i="61"/>
  <c r="AD1004" i="61"/>
  <c r="AD998" i="61"/>
  <c r="AD1003" i="61"/>
  <c r="AD1002" i="61"/>
  <c r="AD1001" i="61"/>
  <c r="AD1000" i="61"/>
  <c r="AD999" i="61"/>
  <c r="AD996" i="61"/>
  <c r="AD994" i="61"/>
  <c r="AD997" i="61"/>
  <c r="AD995" i="61"/>
  <c r="I1078" i="61"/>
  <c r="L1017" i="61"/>
  <c r="G1022" i="61"/>
  <c r="C995" i="61" s="1"/>
  <c r="L1023" i="61"/>
  <c r="F1016" i="61"/>
  <c r="B989" i="61" s="1"/>
  <c r="F1026" i="61"/>
  <c r="B999" i="61" s="1"/>
  <c r="J1066" i="61"/>
  <c r="M1025" i="61"/>
  <c r="M1016" i="61"/>
  <c r="M1019" i="61"/>
  <c r="M1022" i="61"/>
  <c r="M1023" i="61"/>
  <c r="M1024" i="61"/>
  <c r="M1017" i="61"/>
  <c r="M1015" i="61"/>
  <c r="M1026" i="61"/>
  <c r="M1020" i="61"/>
  <c r="M1021" i="61"/>
  <c r="M1018" i="61"/>
  <c r="S508" i="61" l="1"/>
  <c r="O725" i="61"/>
  <c r="Q963" i="61"/>
  <c r="R963" i="61" s="1"/>
  <c r="G726" i="61"/>
  <c r="G727" i="61" s="1"/>
  <c r="T271" i="61"/>
  <c r="K726" i="61"/>
  <c r="K727" i="61" s="1"/>
  <c r="C725" i="61"/>
  <c r="D726" i="61"/>
  <c r="P853" i="61" s="1"/>
  <c r="R27" i="61"/>
  <c r="L725" i="61"/>
  <c r="D774" i="61"/>
  <c r="Q853" i="61" s="1"/>
  <c r="P774" i="61"/>
  <c r="Q862" i="61" s="1"/>
  <c r="AD363" i="61"/>
  <c r="AM363" i="61" s="1"/>
  <c r="AD362" i="61"/>
  <c r="AM362" i="61" s="1"/>
  <c r="R718" i="61"/>
  <c r="R124" i="61"/>
  <c r="R41" i="61"/>
  <c r="R747" i="61"/>
  <c r="L773" i="61"/>
  <c r="E584" i="61"/>
  <c r="R719" i="61"/>
  <c r="K677" i="61"/>
  <c r="K680" i="61" s="1"/>
  <c r="M680" i="61" s="1"/>
  <c r="H726" i="61"/>
  <c r="H727" i="61" s="1"/>
  <c r="R57" i="61"/>
  <c r="R629" i="61"/>
  <c r="M584" i="61"/>
  <c r="R675" i="61"/>
  <c r="R282" i="61"/>
  <c r="R411" i="61"/>
  <c r="AM361" i="61"/>
  <c r="E832" i="61"/>
  <c r="R800" i="61"/>
  <c r="R708" i="61"/>
  <c r="R58" i="61"/>
  <c r="E529" i="61"/>
  <c r="R795" i="61"/>
  <c r="R712" i="61"/>
  <c r="R563" i="61"/>
  <c r="R583" i="61"/>
  <c r="R95" i="61"/>
  <c r="R14" i="61"/>
  <c r="R281" i="61"/>
  <c r="R17" i="61"/>
  <c r="P726" i="61"/>
  <c r="P862" i="61" s="1"/>
  <c r="R88" i="61"/>
  <c r="Q584" i="61"/>
  <c r="R742" i="61"/>
  <c r="R517" i="61"/>
  <c r="R465" i="61"/>
  <c r="R475" i="61"/>
  <c r="R46" i="61"/>
  <c r="Q529" i="61"/>
  <c r="H283" i="61"/>
  <c r="H291" i="61" s="1"/>
  <c r="H292" i="61" s="1"/>
  <c r="I529" i="61"/>
  <c r="R767" i="61"/>
  <c r="R811" i="61"/>
  <c r="R793" i="61"/>
  <c r="E813" i="61"/>
  <c r="R597" i="61"/>
  <c r="R528" i="61"/>
  <c r="R794" i="61"/>
  <c r="R652" i="61"/>
  <c r="R483" i="61"/>
  <c r="R568" i="61"/>
  <c r="R484" i="61"/>
  <c r="I485" i="61"/>
  <c r="R617" i="61"/>
  <c r="R123" i="61"/>
  <c r="R16" i="61"/>
  <c r="Q59" i="61"/>
  <c r="R15" i="61"/>
  <c r="R690" i="61"/>
  <c r="R50" i="61"/>
  <c r="R791" i="61"/>
  <c r="Q832" i="61"/>
  <c r="I584" i="61"/>
  <c r="Q677" i="61"/>
  <c r="J587" i="61"/>
  <c r="M587" i="61" s="1"/>
  <c r="R18" i="61"/>
  <c r="R704" i="61"/>
  <c r="R768" i="61"/>
  <c r="M59" i="61"/>
  <c r="H773" i="61"/>
  <c r="R665" i="61"/>
  <c r="Q125" i="61"/>
  <c r="N62" i="61"/>
  <c r="N63" i="61" s="1"/>
  <c r="J62" i="61"/>
  <c r="M62" i="61" s="1"/>
  <c r="E59" i="61"/>
  <c r="Q801" i="61"/>
  <c r="Q813" i="61"/>
  <c r="I832" i="61"/>
  <c r="R527" i="61"/>
  <c r="R106" i="61"/>
  <c r="I59" i="61"/>
  <c r="R628" i="61"/>
  <c r="S81" i="61"/>
  <c r="Q485" i="61"/>
  <c r="L838" i="61"/>
  <c r="L13" i="61" s="1"/>
  <c r="O838" i="61"/>
  <c r="O13" i="61" s="1"/>
  <c r="R676" i="61"/>
  <c r="R207" i="61"/>
  <c r="R808" i="61"/>
  <c r="I630" i="61"/>
  <c r="E436" i="61"/>
  <c r="M813" i="61"/>
  <c r="R757" i="61"/>
  <c r="P815" i="61"/>
  <c r="E834" i="61"/>
  <c r="E805" i="61"/>
  <c r="R613" i="61"/>
  <c r="O815" i="61"/>
  <c r="R582" i="61"/>
  <c r="M836" i="61"/>
  <c r="R810" i="61"/>
  <c r="I813" i="61"/>
  <c r="R557" i="61"/>
  <c r="M814" i="61"/>
  <c r="C838" i="61"/>
  <c r="C13" i="61" s="1"/>
  <c r="R512" i="61"/>
  <c r="I801" i="61"/>
  <c r="E485" i="61"/>
  <c r="R807" i="61"/>
  <c r="I436" i="61"/>
  <c r="R435" i="61"/>
  <c r="Q803" i="61"/>
  <c r="P838" i="61"/>
  <c r="P13" i="61" s="1"/>
  <c r="Q834" i="61"/>
  <c r="E801" i="61"/>
  <c r="C815" i="61"/>
  <c r="R792" i="61"/>
  <c r="L815" i="61"/>
  <c r="R354" i="61"/>
  <c r="S334" i="61"/>
  <c r="AD855" i="61"/>
  <c r="AG890" i="61"/>
  <c r="Q805" i="61"/>
  <c r="D283" i="61"/>
  <c r="D291" i="61" s="1"/>
  <c r="D292" i="61" s="1"/>
  <c r="I125" i="61"/>
  <c r="M125" i="61"/>
  <c r="E125" i="61"/>
  <c r="B1022" i="61"/>
  <c r="Q1022" i="61" s="1"/>
  <c r="B1023" i="61"/>
  <c r="Q1023" i="61" s="1"/>
  <c r="B1024" i="61"/>
  <c r="Q1024" i="61" s="1"/>
  <c r="B1018" i="61"/>
  <c r="Q1018" i="61" s="1"/>
  <c r="B1019" i="61"/>
  <c r="Q1019" i="61" s="1"/>
  <c r="B1016" i="61"/>
  <c r="Q1016" i="61" s="1"/>
  <c r="B1021" i="61"/>
  <c r="Q1021" i="61" s="1"/>
  <c r="B1025" i="61"/>
  <c r="Q1025" i="61" s="1"/>
  <c r="B1015" i="61"/>
  <c r="Q1015" i="61" s="1"/>
  <c r="B1017" i="61"/>
  <c r="Q1017" i="61" s="1"/>
  <c r="B1026" i="61"/>
  <c r="Q1026" i="61" s="1"/>
  <c r="B1020" i="61"/>
  <c r="Q1020" i="61" s="1"/>
  <c r="K489" i="61"/>
  <c r="R263" i="61"/>
  <c r="K442" i="61"/>
  <c r="AO845" i="61"/>
  <c r="Q814" i="61"/>
  <c r="N836" i="61"/>
  <c r="Q836" i="61" s="1"/>
  <c r="E814" i="61"/>
  <c r="B836" i="61"/>
  <c r="E836" i="61" s="1"/>
  <c r="R812" i="61"/>
  <c r="J724" i="61"/>
  <c r="M720" i="61"/>
  <c r="K774" i="61"/>
  <c r="K773" i="61"/>
  <c r="I769" i="61"/>
  <c r="G681" i="61"/>
  <c r="Q488" i="61"/>
  <c r="N489" i="61"/>
  <c r="Q856" i="61"/>
  <c r="H775" i="61"/>
  <c r="Q630" i="61"/>
  <c r="N633" i="61"/>
  <c r="J834" i="61"/>
  <c r="P859" i="61"/>
  <c r="L727" i="61"/>
  <c r="L692" i="61"/>
  <c r="N533" i="61"/>
  <c r="Q532" i="61"/>
  <c r="C292" i="61"/>
  <c r="H838" i="61"/>
  <c r="H13" i="61" s="1"/>
  <c r="Q680" i="61"/>
  <c r="N681" i="61"/>
  <c r="F681" i="61"/>
  <c r="I680" i="61"/>
  <c r="N283" i="61"/>
  <c r="Q200" i="61"/>
  <c r="B830" i="61"/>
  <c r="B815" i="61"/>
  <c r="E796" i="61"/>
  <c r="G830" i="61"/>
  <c r="G838" i="61" s="1"/>
  <c r="G13" i="61" s="1"/>
  <c r="G815" i="61"/>
  <c r="J830" i="61"/>
  <c r="J815" i="61"/>
  <c r="M796" i="61"/>
  <c r="D838" i="61"/>
  <c r="D13" i="61" s="1"/>
  <c r="M369" i="61"/>
  <c r="R369" i="61" s="1"/>
  <c r="N441" i="61"/>
  <c r="Q128" i="61"/>
  <c r="N129" i="61"/>
  <c r="E128" i="61"/>
  <c r="B129" i="61"/>
  <c r="AW1012" i="61"/>
  <c r="AF890" i="61"/>
  <c r="AO844" i="61"/>
  <c r="F724" i="61"/>
  <c r="I720" i="61"/>
  <c r="G774" i="61"/>
  <c r="G773" i="61"/>
  <c r="R505" i="61"/>
  <c r="F489" i="61"/>
  <c r="I488" i="61"/>
  <c r="I805" i="61"/>
  <c r="R621" i="61"/>
  <c r="B774" i="61"/>
  <c r="B773" i="61"/>
  <c r="E772" i="61"/>
  <c r="L292" i="61"/>
  <c r="I677" i="61"/>
  <c r="M799" i="61"/>
  <c r="R799" i="61" s="1"/>
  <c r="J283" i="61"/>
  <c r="M200" i="61"/>
  <c r="R434" i="61"/>
  <c r="P436" i="61"/>
  <c r="P441" i="61" s="1"/>
  <c r="F442" i="61"/>
  <c r="I441" i="61"/>
  <c r="F129" i="61"/>
  <c r="I128" i="61"/>
  <c r="F63" i="61"/>
  <c r="I62" i="61"/>
  <c r="AE890" i="61"/>
  <c r="B724" i="61"/>
  <c r="E720" i="61"/>
  <c r="C774" i="61"/>
  <c r="C692" i="61" s="1"/>
  <c r="C773" i="61"/>
  <c r="J774" i="61"/>
  <c r="J773" i="61"/>
  <c r="M772" i="61"/>
  <c r="P861" i="61"/>
  <c r="O727" i="61"/>
  <c r="B489" i="61"/>
  <c r="E488" i="61"/>
  <c r="I834" i="61"/>
  <c r="N773" i="61"/>
  <c r="N774" i="61"/>
  <c r="Q772" i="61"/>
  <c r="K805" i="61"/>
  <c r="K834" i="61" s="1"/>
  <c r="K838" i="61" s="1"/>
  <c r="K13" i="61" s="1"/>
  <c r="M803" i="61"/>
  <c r="E769" i="61"/>
  <c r="E587" i="61"/>
  <c r="B588" i="61"/>
  <c r="I633" i="61"/>
  <c r="F634" i="61"/>
  <c r="B533" i="61"/>
  <c r="E532" i="61"/>
  <c r="O292" i="61"/>
  <c r="J681" i="61"/>
  <c r="K533" i="61"/>
  <c r="F283" i="61"/>
  <c r="I200" i="61"/>
  <c r="Q587" i="61"/>
  <c r="N588" i="61"/>
  <c r="J529" i="61"/>
  <c r="N830" i="61"/>
  <c r="N815" i="61"/>
  <c r="Q796" i="61"/>
  <c r="I790" i="61"/>
  <c r="R790" i="61" s="1"/>
  <c r="F796" i="61"/>
  <c r="J441" i="61"/>
  <c r="M436" i="61"/>
  <c r="M128" i="61"/>
  <c r="J129" i="61"/>
  <c r="B442" i="61"/>
  <c r="E441" i="61"/>
  <c r="AD1012" i="61"/>
  <c r="AD890" i="61"/>
  <c r="R809" i="61"/>
  <c r="I814" i="61"/>
  <c r="F836" i="61"/>
  <c r="I836" i="61" s="1"/>
  <c r="R798" i="61"/>
  <c r="N724" i="61"/>
  <c r="Q720" i="61"/>
  <c r="O774" i="61"/>
  <c r="O773" i="61"/>
  <c r="F774" i="61"/>
  <c r="F773" i="61"/>
  <c r="I772" i="61"/>
  <c r="J832" i="61"/>
  <c r="M832" i="61" s="1"/>
  <c r="M801" i="61"/>
  <c r="M769" i="61"/>
  <c r="M630" i="61"/>
  <c r="J633" i="61"/>
  <c r="Q769" i="61"/>
  <c r="P852" i="61"/>
  <c r="C727" i="61"/>
  <c r="R656" i="61"/>
  <c r="R804" i="61"/>
  <c r="Q859" i="61"/>
  <c r="L775" i="61"/>
  <c r="E677" i="61"/>
  <c r="B680" i="61"/>
  <c r="E630" i="61"/>
  <c r="B633" i="61"/>
  <c r="R139" i="61"/>
  <c r="S182" i="61" s="1"/>
  <c r="I587" i="61"/>
  <c r="F588" i="61"/>
  <c r="G292" i="61"/>
  <c r="H815" i="61"/>
  <c r="F533" i="61"/>
  <c r="I532" i="61"/>
  <c r="J485" i="61"/>
  <c r="M470" i="61"/>
  <c r="R470" i="61" s="1"/>
  <c r="B283" i="61"/>
  <c r="E200" i="61"/>
  <c r="D815" i="61"/>
  <c r="E62" i="61"/>
  <c r="B63" i="61"/>
  <c r="P855" i="61" l="1"/>
  <c r="P912" i="61" s="1"/>
  <c r="P858" i="61"/>
  <c r="P887" i="61" s="1"/>
  <c r="K692" i="61"/>
  <c r="K693" i="61" s="1"/>
  <c r="D727" i="61"/>
  <c r="P775" i="61"/>
  <c r="D775" i="61"/>
  <c r="D692" i="61"/>
  <c r="D682" i="61" s="1"/>
  <c r="K681" i="61"/>
  <c r="M677" i="61"/>
  <c r="R677" i="61" s="1"/>
  <c r="J63" i="61"/>
  <c r="P856" i="61"/>
  <c r="P913" i="61" s="1"/>
  <c r="J588" i="61"/>
  <c r="P692" i="61"/>
  <c r="O862" i="61" s="1"/>
  <c r="R584" i="61"/>
  <c r="Q62" i="61"/>
  <c r="R62" i="61" s="1"/>
  <c r="R801" i="61"/>
  <c r="P727" i="61"/>
  <c r="H692" i="61"/>
  <c r="H693" i="61" s="1"/>
  <c r="R59" i="61"/>
  <c r="R832" i="61"/>
  <c r="R803" i="61"/>
  <c r="T806" i="61" s="1"/>
  <c r="R813" i="61"/>
  <c r="Q815" i="61"/>
  <c r="M834" i="61"/>
  <c r="R834" i="61" s="1"/>
  <c r="R200" i="61"/>
  <c r="R125" i="61"/>
  <c r="O852" i="61"/>
  <c r="C693" i="61"/>
  <c r="C682" i="61"/>
  <c r="B291" i="61"/>
  <c r="E283" i="61"/>
  <c r="Q861" i="61"/>
  <c r="O775" i="61"/>
  <c r="F830" i="61"/>
  <c r="F815" i="61"/>
  <c r="I815" i="61" s="1"/>
  <c r="I796" i="61"/>
  <c r="R796" i="61" s="1"/>
  <c r="T796" i="61" s="1"/>
  <c r="N838" i="61"/>
  <c r="N13" i="61" s="1"/>
  <c r="Q13" i="61" s="1"/>
  <c r="Q830" i="61"/>
  <c r="Q838" i="61" s="1"/>
  <c r="R769" i="61"/>
  <c r="Q860" i="61"/>
  <c r="Q774" i="61"/>
  <c r="N775" i="61"/>
  <c r="B838" i="61"/>
  <c r="B13" i="61" s="1"/>
  <c r="E13" i="61" s="1"/>
  <c r="E830" i="61"/>
  <c r="Q913" i="61"/>
  <c r="Q885" i="61"/>
  <c r="O692" i="61"/>
  <c r="R630" i="61"/>
  <c r="Q916" i="61"/>
  <c r="Q888" i="61"/>
  <c r="J634" i="61"/>
  <c r="M633" i="61"/>
  <c r="M529" i="61"/>
  <c r="R529" i="61" s="1"/>
  <c r="J532" i="61"/>
  <c r="K815" i="61"/>
  <c r="M815" i="61" s="1"/>
  <c r="R587" i="61"/>
  <c r="R772" i="61"/>
  <c r="Q910" i="61"/>
  <c r="Q882" i="61"/>
  <c r="Q891" i="61"/>
  <c r="Q919" i="61"/>
  <c r="I724" i="61"/>
  <c r="F726" i="61"/>
  <c r="F725" i="61"/>
  <c r="R128" i="61"/>
  <c r="Q436" i="61"/>
  <c r="R436" i="61" s="1"/>
  <c r="P916" i="61"/>
  <c r="P888" i="61"/>
  <c r="N634" i="61"/>
  <c r="Q633" i="61"/>
  <c r="J291" i="61"/>
  <c r="M283" i="61"/>
  <c r="M485" i="61"/>
  <c r="R485" i="61" s="1"/>
  <c r="J488" i="61"/>
  <c r="B681" i="61"/>
  <c r="E680" i="61"/>
  <c r="R680" i="61" s="1"/>
  <c r="Q854" i="61"/>
  <c r="F775" i="61"/>
  <c r="I774" i="61"/>
  <c r="Q724" i="61"/>
  <c r="N725" i="61"/>
  <c r="N726" i="61"/>
  <c r="Q857" i="61"/>
  <c r="J775" i="61"/>
  <c r="M774" i="61"/>
  <c r="P919" i="61"/>
  <c r="P891" i="61"/>
  <c r="R720" i="61"/>
  <c r="Q441" i="61"/>
  <c r="N442" i="61"/>
  <c r="N291" i="61"/>
  <c r="Q283" i="61"/>
  <c r="Q858" i="61"/>
  <c r="K775" i="61"/>
  <c r="R836" i="61"/>
  <c r="B634" i="61"/>
  <c r="E633" i="61"/>
  <c r="Q852" i="61"/>
  <c r="C775" i="61"/>
  <c r="P442" i="61"/>
  <c r="J725" i="61"/>
  <c r="M724" i="61"/>
  <c r="J726" i="61"/>
  <c r="P909" i="61"/>
  <c r="P881" i="61"/>
  <c r="J442" i="61"/>
  <c r="M441" i="61"/>
  <c r="F291" i="61"/>
  <c r="I283" i="61"/>
  <c r="P918" i="61"/>
  <c r="P890" i="61"/>
  <c r="E724" i="61"/>
  <c r="B726" i="61"/>
  <c r="B725" i="61"/>
  <c r="Q851" i="61"/>
  <c r="B775" i="61"/>
  <c r="E774" i="61"/>
  <c r="P910" i="61"/>
  <c r="P882" i="61"/>
  <c r="Q855" i="61"/>
  <c r="G775" i="61"/>
  <c r="G692" i="61"/>
  <c r="J838" i="61"/>
  <c r="J13" i="61" s="1"/>
  <c r="M13" i="61" s="1"/>
  <c r="M830" i="61"/>
  <c r="E815" i="61"/>
  <c r="O859" i="61"/>
  <c r="L693" i="61"/>
  <c r="L682" i="61"/>
  <c r="M805" i="61"/>
  <c r="R805" i="61" s="1"/>
  <c r="R814" i="61"/>
  <c r="Q1027" i="61"/>
  <c r="P884" i="61" l="1"/>
  <c r="P915" i="61"/>
  <c r="AQ915" i="61" s="1"/>
  <c r="O858" i="61"/>
  <c r="O887" i="61" s="1"/>
  <c r="K682" i="61"/>
  <c r="K683" i="61" s="1"/>
  <c r="D693" i="61"/>
  <c r="O853" i="61"/>
  <c r="O882" i="61" s="1"/>
  <c r="P682" i="61"/>
  <c r="P683" i="61" s="1"/>
  <c r="P885" i="61"/>
  <c r="P693" i="61"/>
  <c r="H682" i="61"/>
  <c r="H683" i="61" s="1"/>
  <c r="O856" i="61"/>
  <c r="O913" i="61" s="1"/>
  <c r="M838" i="61"/>
  <c r="R774" i="61"/>
  <c r="R441" i="61"/>
  <c r="Q909" i="61"/>
  <c r="Q881" i="61"/>
  <c r="S996" i="61"/>
  <c r="AR951" i="61"/>
  <c r="AR916" i="61"/>
  <c r="E838" i="61"/>
  <c r="N859" i="61"/>
  <c r="L683" i="61"/>
  <c r="L635" i="61"/>
  <c r="Q912" i="61"/>
  <c r="Q884" i="61"/>
  <c r="R724" i="61"/>
  <c r="F292" i="61"/>
  <c r="I291" i="61"/>
  <c r="R989" i="61"/>
  <c r="AQ944" i="61"/>
  <c r="AQ909" i="61"/>
  <c r="R633" i="61"/>
  <c r="N292" i="61"/>
  <c r="Q291" i="61"/>
  <c r="R999" i="61"/>
  <c r="AQ954" i="61"/>
  <c r="AQ919" i="61"/>
  <c r="P860" i="61"/>
  <c r="N727" i="61"/>
  <c r="Q726" i="61"/>
  <c r="N692" i="61"/>
  <c r="R993" i="61"/>
  <c r="AQ948" i="61"/>
  <c r="AQ913" i="61"/>
  <c r="S999" i="61"/>
  <c r="AR954" i="61"/>
  <c r="AR919" i="61"/>
  <c r="N853" i="61"/>
  <c r="D683" i="61"/>
  <c r="D635" i="61"/>
  <c r="J533" i="61"/>
  <c r="M532" i="61"/>
  <c r="R532" i="61" s="1"/>
  <c r="O861" i="61"/>
  <c r="O693" i="61"/>
  <c r="O682" i="61"/>
  <c r="Q917" i="61"/>
  <c r="Q889" i="61"/>
  <c r="Q918" i="61"/>
  <c r="Q890" i="61"/>
  <c r="N852" i="61"/>
  <c r="C683" i="61"/>
  <c r="C635" i="61"/>
  <c r="R815" i="61"/>
  <c r="S990" i="61"/>
  <c r="AR945" i="61"/>
  <c r="AR910" i="61"/>
  <c r="Q908" i="61"/>
  <c r="Q864" i="61"/>
  <c r="Q880" i="61"/>
  <c r="R992" i="61"/>
  <c r="AQ947" i="61"/>
  <c r="AQ912" i="61"/>
  <c r="P857" i="61"/>
  <c r="J727" i="61"/>
  <c r="M726" i="61"/>
  <c r="J692" i="61"/>
  <c r="Q911" i="61"/>
  <c r="Q883" i="61"/>
  <c r="J489" i="61"/>
  <c r="M488" i="61"/>
  <c r="R488" i="61" s="1"/>
  <c r="O919" i="61"/>
  <c r="O891" i="61"/>
  <c r="R996" i="61"/>
  <c r="AQ951" i="61"/>
  <c r="AQ916" i="61"/>
  <c r="R283" i="61"/>
  <c r="P851" i="61"/>
  <c r="B727" i="61"/>
  <c r="E726" i="61"/>
  <c r="B692" i="61"/>
  <c r="Q914" i="61"/>
  <c r="Q886" i="61"/>
  <c r="O916" i="61"/>
  <c r="O888" i="61"/>
  <c r="O855" i="61"/>
  <c r="G693" i="61"/>
  <c r="G682" i="61"/>
  <c r="R990" i="61"/>
  <c r="AQ945" i="61"/>
  <c r="AQ910" i="61"/>
  <c r="R998" i="61"/>
  <c r="AQ953" i="61"/>
  <c r="AQ918" i="61"/>
  <c r="Q915" i="61"/>
  <c r="Q887" i="61"/>
  <c r="J292" i="61"/>
  <c r="M291" i="61"/>
  <c r="P854" i="61"/>
  <c r="F727" i="61"/>
  <c r="I726" i="61"/>
  <c r="F692" i="61"/>
  <c r="S993" i="61"/>
  <c r="AR948" i="61"/>
  <c r="AR913" i="61"/>
  <c r="F838" i="61"/>
  <c r="F13" i="61" s="1"/>
  <c r="I13" i="61" s="1"/>
  <c r="R13" i="61" s="1"/>
  <c r="T13" i="61" s="1"/>
  <c r="I830" i="61"/>
  <c r="I838" i="61" s="1"/>
  <c r="B292" i="61"/>
  <c r="E291" i="61"/>
  <c r="O909" i="61"/>
  <c r="O881" i="61"/>
  <c r="AQ950" i="61" l="1"/>
  <c r="O915" i="61"/>
  <c r="AP950" i="61" s="1"/>
  <c r="N858" i="61"/>
  <c r="N915" i="61" s="1"/>
  <c r="AO950" i="61" s="1"/>
  <c r="R995" i="61"/>
  <c r="K635" i="61"/>
  <c r="M858" i="61" s="1"/>
  <c r="M887" i="61" s="1"/>
  <c r="N862" i="61"/>
  <c r="N891" i="61" s="1"/>
  <c r="N856" i="61"/>
  <c r="N913" i="61" s="1"/>
  <c r="P635" i="61"/>
  <c r="P636" i="61" s="1"/>
  <c r="O885" i="61"/>
  <c r="O910" i="61"/>
  <c r="AP945" i="61" s="1"/>
  <c r="H635" i="61"/>
  <c r="M856" i="61" s="1"/>
  <c r="R726" i="61"/>
  <c r="U13" i="61"/>
  <c r="P911" i="61"/>
  <c r="P883" i="61"/>
  <c r="M852" i="61"/>
  <c r="C636" i="61"/>
  <c r="C599" i="61"/>
  <c r="O854" i="61"/>
  <c r="F693" i="61"/>
  <c r="I692" i="61"/>
  <c r="F682" i="61"/>
  <c r="N855" i="61"/>
  <c r="G683" i="61"/>
  <c r="G635" i="61"/>
  <c r="Q996" i="61"/>
  <c r="AP951" i="61"/>
  <c r="AP916" i="61"/>
  <c r="S991" i="61"/>
  <c r="AR946" i="61"/>
  <c r="AR911" i="61"/>
  <c r="P914" i="61"/>
  <c r="P886" i="61"/>
  <c r="O860" i="61"/>
  <c r="Q692" i="61"/>
  <c r="N693" i="61"/>
  <c r="N682" i="61"/>
  <c r="Q993" i="61"/>
  <c r="AP948" i="61"/>
  <c r="AP913" i="61"/>
  <c r="S992" i="61"/>
  <c r="AR947" i="61"/>
  <c r="AR912" i="61"/>
  <c r="N861" i="61"/>
  <c r="O683" i="61"/>
  <c r="O635" i="61"/>
  <c r="M853" i="61"/>
  <c r="D636" i="61"/>
  <c r="D599" i="61"/>
  <c r="P917" i="61"/>
  <c r="P889" i="61"/>
  <c r="N916" i="61"/>
  <c r="N888" i="61"/>
  <c r="S994" i="61"/>
  <c r="AR949" i="61"/>
  <c r="AR914" i="61"/>
  <c r="P908" i="61"/>
  <c r="P880" i="61"/>
  <c r="P864" i="61"/>
  <c r="O857" i="61"/>
  <c r="J693" i="61"/>
  <c r="M692" i="61"/>
  <c r="J682" i="61"/>
  <c r="AR1011" i="61"/>
  <c r="AR1010" i="61"/>
  <c r="AR1009" i="61"/>
  <c r="AR1008" i="61"/>
  <c r="AR1007" i="61"/>
  <c r="AR1006" i="61"/>
  <c r="AR1005" i="61"/>
  <c r="AR1003" i="61"/>
  <c r="AR996" i="61"/>
  <c r="AR1004" i="61"/>
  <c r="AR997" i="61"/>
  <c r="AR998" i="61"/>
  <c r="AR1002" i="61"/>
  <c r="AR1001" i="61"/>
  <c r="AR1000" i="61"/>
  <c r="AR999" i="61"/>
  <c r="AR995" i="61"/>
  <c r="AR989" i="61"/>
  <c r="AR993" i="61"/>
  <c r="AR990" i="61"/>
  <c r="AR994" i="61"/>
  <c r="AR991" i="61"/>
  <c r="AR992" i="61"/>
  <c r="AR988" i="61"/>
  <c r="N909" i="61"/>
  <c r="N881" i="61"/>
  <c r="S997" i="61"/>
  <c r="AR952" i="61"/>
  <c r="AR917" i="61"/>
  <c r="O918" i="61"/>
  <c r="O890" i="61"/>
  <c r="N910" i="61"/>
  <c r="N882" i="61"/>
  <c r="M859" i="61"/>
  <c r="L636" i="61"/>
  <c r="L599" i="61"/>
  <c r="R830" i="61"/>
  <c r="R838" i="61" s="1"/>
  <c r="S989" i="61"/>
  <c r="AR944" i="61"/>
  <c r="AR909" i="61"/>
  <c r="S995" i="61"/>
  <c r="AR950" i="61"/>
  <c r="AR915" i="61"/>
  <c r="AQ1011" i="61"/>
  <c r="AQ1010" i="61"/>
  <c r="AQ1009" i="61"/>
  <c r="AQ1004" i="61"/>
  <c r="AQ1008" i="61"/>
  <c r="AQ1007" i="61"/>
  <c r="AQ1006" i="61"/>
  <c r="AQ1005" i="61"/>
  <c r="AQ1002" i="61"/>
  <c r="AQ1001" i="61"/>
  <c r="AQ1000" i="61"/>
  <c r="AQ999" i="61"/>
  <c r="AQ1003" i="61"/>
  <c r="AQ997" i="61"/>
  <c r="AQ993" i="61"/>
  <c r="AQ998" i="61"/>
  <c r="AQ992" i="61"/>
  <c r="AQ988" i="61"/>
  <c r="AQ995" i="61"/>
  <c r="AQ989" i="61"/>
  <c r="AQ990" i="61"/>
  <c r="AQ996" i="61"/>
  <c r="AQ994" i="61"/>
  <c r="AQ991" i="61"/>
  <c r="Q999" i="61"/>
  <c r="AP954" i="61"/>
  <c r="AP919" i="61"/>
  <c r="S998" i="61"/>
  <c r="AR953" i="61"/>
  <c r="AR918" i="61"/>
  <c r="Q989" i="61"/>
  <c r="AP944" i="61"/>
  <c r="AP909" i="61"/>
  <c r="R291" i="61"/>
  <c r="O912" i="61"/>
  <c r="O884" i="61"/>
  <c r="O851" i="61"/>
  <c r="B693" i="61"/>
  <c r="E692" i="61"/>
  <c r="B682" i="61"/>
  <c r="S988" i="61"/>
  <c r="AR943" i="61"/>
  <c r="Q921" i="61"/>
  <c r="AR908" i="61"/>
  <c r="Q995" i="61" l="1"/>
  <c r="M915" i="61"/>
  <c r="AN950" i="61" s="1"/>
  <c r="AO915" i="61"/>
  <c r="AP915" i="61"/>
  <c r="K636" i="61"/>
  <c r="K599" i="61"/>
  <c r="L858" i="61" s="1"/>
  <c r="L915" i="61" s="1"/>
  <c r="N887" i="61"/>
  <c r="P995" i="61"/>
  <c r="N919" i="61"/>
  <c r="AO954" i="61" s="1"/>
  <c r="N885" i="61"/>
  <c r="M862" i="61"/>
  <c r="M891" i="61" s="1"/>
  <c r="P599" i="61"/>
  <c r="L862" i="61" s="1"/>
  <c r="Q990" i="61"/>
  <c r="AP1011" i="61" s="1"/>
  <c r="AP910" i="61"/>
  <c r="H636" i="61"/>
  <c r="H599" i="61"/>
  <c r="H589" i="61" s="1"/>
  <c r="AR956" i="61"/>
  <c r="AR1012" i="61"/>
  <c r="N857" i="61"/>
  <c r="J683" i="61"/>
  <c r="M682" i="61"/>
  <c r="J635" i="61"/>
  <c r="N918" i="61"/>
  <c r="N890" i="61"/>
  <c r="M855" i="61"/>
  <c r="G636" i="61"/>
  <c r="G599" i="61"/>
  <c r="O908" i="61"/>
  <c r="O880" i="61"/>
  <c r="O864" i="61"/>
  <c r="M910" i="61"/>
  <c r="M882" i="61"/>
  <c r="R994" i="61"/>
  <c r="AQ949" i="61"/>
  <c r="AQ914" i="61"/>
  <c r="L852" i="61"/>
  <c r="C600" i="61"/>
  <c r="C589" i="61"/>
  <c r="R991" i="61"/>
  <c r="AQ946" i="61"/>
  <c r="AQ911" i="61"/>
  <c r="L859" i="61"/>
  <c r="L600" i="61"/>
  <c r="L589" i="61"/>
  <c r="N860" i="61"/>
  <c r="Q682" i="61"/>
  <c r="N683" i="61"/>
  <c r="N635" i="61"/>
  <c r="AR921" i="61"/>
  <c r="N851" i="61"/>
  <c r="E682" i="61"/>
  <c r="B683" i="61"/>
  <c r="B635" i="61"/>
  <c r="M916" i="61"/>
  <c r="M888" i="61"/>
  <c r="Q998" i="61"/>
  <c r="AP953" i="61"/>
  <c r="AP918" i="61"/>
  <c r="R988" i="61"/>
  <c r="AQ943" i="61"/>
  <c r="P921" i="61"/>
  <c r="AQ908" i="61"/>
  <c r="P993" i="61"/>
  <c r="AO948" i="61"/>
  <c r="AO913" i="61"/>
  <c r="R997" i="61"/>
  <c r="AQ952" i="61"/>
  <c r="AQ917" i="61"/>
  <c r="M861" i="61"/>
  <c r="O636" i="61"/>
  <c r="O599" i="61"/>
  <c r="N912" i="61"/>
  <c r="N884" i="61"/>
  <c r="O911" i="61"/>
  <c r="O883" i="61"/>
  <c r="AQ1012" i="61"/>
  <c r="P990" i="61"/>
  <c r="AO945" i="61"/>
  <c r="AO910" i="61"/>
  <c r="P996" i="61"/>
  <c r="AO951" i="61"/>
  <c r="AO916" i="61"/>
  <c r="R692" i="61"/>
  <c r="Q992" i="61"/>
  <c r="AP947" i="61"/>
  <c r="AP912" i="61"/>
  <c r="P989" i="61"/>
  <c r="AO944" i="61"/>
  <c r="AO909" i="61"/>
  <c r="O914" i="61"/>
  <c r="O886" i="61"/>
  <c r="L853" i="61"/>
  <c r="D600" i="61"/>
  <c r="D589" i="61"/>
  <c r="M913" i="61"/>
  <c r="M885" i="61"/>
  <c r="O889" i="61"/>
  <c r="O917" i="61"/>
  <c r="N854" i="61"/>
  <c r="F683" i="61"/>
  <c r="I682" i="61"/>
  <c r="F635" i="61"/>
  <c r="M909" i="61"/>
  <c r="M881" i="61"/>
  <c r="O995" i="61" l="1"/>
  <c r="K600" i="61"/>
  <c r="AN915" i="61"/>
  <c r="L887" i="61"/>
  <c r="K589" i="61"/>
  <c r="K590" i="61" s="1"/>
  <c r="P999" i="61"/>
  <c r="AO919" i="61"/>
  <c r="P589" i="61"/>
  <c r="P590" i="61" s="1"/>
  <c r="M919" i="61"/>
  <c r="AN954" i="61" s="1"/>
  <c r="P600" i="61"/>
  <c r="AP988" i="61"/>
  <c r="AP997" i="61"/>
  <c r="AP999" i="61"/>
  <c r="AP998" i="61"/>
  <c r="AP1004" i="61"/>
  <c r="AP1005" i="61"/>
  <c r="AP990" i="61"/>
  <c r="AP992" i="61"/>
  <c r="AP994" i="61"/>
  <c r="AP1000" i="61"/>
  <c r="AP1006" i="61"/>
  <c r="AP1009" i="61"/>
  <c r="AP989" i="61"/>
  <c r="AP991" i="61"/>
  <c r="AP996" i="61"/>
  <c r="AP1001" i="61"/>
  <c r="AP1007" i="61"/>
  <c r="AP1010" i="61"/>
  <c r="AP995" i="61"/>
  <c r="AP993" i="61"/>
  <c r="AP1003" i="61"/>
  <c r="AP1002" i="61"/>
  <c r="AP1008" i="61"/>
  <c r="H600" i="61"/>
  <c r="L856" i="61"/>
  <c r="L885" i="61" s="1"/>
  <c r="AQ921" i="61"/>
  <c r="O993" i="61"/>
  <c r="AN948" i="61"/>
  <c r="AN913" i="61"/>
  <c r="L919" i="61"/>
  <c r="L891" i="61"/>
  <c r="M851" i="61"/>
  <c r="E635" i="61"/>
  <c r="B636" i="61"/>
  <c r="B599" i="61"/>
  <c r="L909" i="61"/>
  <c r="L881" i="61"/>
  <c r="M854" i="61"/>
  <c r="F636" i="61"/>
  <c r="I635" i="61"/>
  <c r="F599" i="61"/>
  <c r="Q997" i="61"/>
  <c r="AP952" i="61"/>
  <c r="AP917" i="61"/>
  <c r="K853" i="61"/>
  <c r="D590" i="61"/>
  <c r="D534" i="61"/>
  <c r="Q994" i="61"/>
  <c r="AP949" i="61"/>
  <c r="AP914" i="61"/>
  <c r="AO1008" i="61"/>
  <c r="AO1007" i="61"/>
  <c r="AO1006" i="61"/>
  <c r="AO1005" i="61"/>
  <c r="AO1011" i="61"/>
  <c r="AO1010" i="61"/>
  <c r="AO1009" i="61"/>
  <c r="AO1004" i="61"/>
  <c r="AO1003" i="61"/>
  <c r="AO997" i="61"/>
  <c r="AO998" i="61"/>
  <c r="AO1002" i="61"/>
  <c r="AO1001" i="61"/>
  <c r="AO1000" i="61"/>
  <c r="AO999" i="61"/>
  <c r="AO995" i="61"/>
  <c r="AO996" i="61"/>
  <c r="AO994" i="61"/>
  <c r="AO990" i="61"/>
  <c r="AO991" i="61"/>
  <c r="AO993" i="61"/>
  <c r="AO992" i="61"/>
  <c r="AO988" i="61"/>
  <c r="AO989" i="61"/>
  <c r="P992" i="61"/>
  <c r="AO947" i="61"/>
  <c r="AO912" i="61"/>
  <c r="K856" i="61"/>
  <c r="H590" i="61"/>
  <c r="H534" i="61"/>
  <c r="O996" i="61"/>
  <c r="AN951" i="61"/>
  <c r="AN916" i="61"/>
  <c r="O990" i="61"/>
  <c r="AN945" i="61"/>
  <c r="AN910" i="61"/>
  <c r="L855" i="61"/>
  <c r="G600" i="61"/>
  <c r="G589" i="61"/>
  <c r="N995" i="61"/>
  <c r="AM915" i="61"/>
  <c r="AM950" i="61"/>
  <c r="AW879" i="61"/>
  <c r="L861" i="61"/>
  <c r="O600" i="61"/>
  <c r="O589" i="61"/>
  <c r="M860" i="61"/>
  <c r="N636" i="61"/>
  <c r="Q635" i="61"/>
  <c r="N599" i="61"/>
  <c r="K859" i="61"/>
  <c r="L590" i="61"/>
  <c r="L534" i="61"/>
  <c r="M857" i="61"/>
  <c r="J636" i="61"/>
  <c r="M635" i="61"/>
  <c r="J599" i="61"/>
  <c r="M918" i="61"/>
  <c r="M890" i="61"/>
  <c r="R682" i="61"/>
  <c r="L916" i="61"/>
  <c r="L888" i="61"/>
  <c r="K852" i="61"/>
  <c r="C590" i="61"/>
  <c r="C534" i="61"/>
  <c r="O989" i="61"/>
  <c r="AN944" i="61"/>
  <c r="AN909" i="61"/>
  <c r="N911" i="61"/>
  <c r="N883" i="61"/>
  <c r="Q988" i="61"/>
  <c r="AP943" i="61"/>
  <c r="O921" i="61"/>
  <c r="AP908" i="61"/>
  <c r="L910" i="61"/>
  <c r="L882" i="61"/>
  <c r="Q991" i="61"/>
  <c r="AP946" i="61"/>
  <c r="AP911" i="61"/>
  <c r="AQ956" i="61"/>
  <c r="N908" i="61"/>
  <c r="N880" i="61"/>
  <c r="N864" i="61"/>
  <c r="N917" i="61"/>
  <c r="N889" i="61"/>
  <c r="M912" i="61"/>
  <c r="M884" i="61"/>
  <c r="P998" i="61"/>
  <c r="AO953" i="61"/>
  <c r="AO918" i="61"/>
  <c r="N914" i="61"/>
  <c r="N886" i="61"/>
  <c r="K862" i="61" l="1"/>
  <c r="K919" i="61" s="1"/>
  <c r="K858" i="61"/>
  <c r="K887" i="61" s="1"/>
  <c r="K534" i="61"/>
  <c r="K535" i="61" s="1"/>
  <c r="P534" i="61"/>
  <c r="P490" i="61" s="1"/>
  <c r="AN919" i="61"/>
  <c r="O999" i="61"/>
  <c r="L913" i="61"/>
  <c r="AM913" i="61" s="1"/>
  <c r="AP1012" i="61"/>
  <c r="AP956" i="61"/>
  <c r="K909" i="61"/>
  <c r="K881" i="61"/>
  <c r="N999" i="61"/>
  <c r="AM919" i="61"/>
  <c r="AM954" i="61"/>
  <c r="AW883" i="61"/>
  <c r="O992" i="61"/>
  <c r="AN947" i="61"/>
  <c r="AN912" i="61"/>
  <c r="K916" i="61"/>
  <c r="K888" i="61"/>
  <c r="M917" i="61"/>
  <c r="M889" i="61"/>
  <c r="K855" i="61"/>
  <c r="G590" i="61"/>
  <c r="G534" i="61"/>
  <c r="AO1012" i="61"/>
  <c r="K910" i="61"/>
  <c r="K882" i="61"/>
  <c r="L854" i="61"/>
  <c r="F600" i="61"/>
  <c r="I599" i="61"/>
  <c r="F589" i="61"/>
  <c r="R635" i="61"/>
  <c r="P988" i="61"/>
  <c r="AO943" i="61"/>
  <c r="N921" i="61"/>
  <c r="AO908" i="61"/>
  <c r="N990" i="61"/>
  <c r="AM945" i="61"/>
  <c r="AM910" i="61"/>
  <c r="AW874" i="61"/>
  <c r="P991" i="61"/>
  <c r="AO946" i="61"/>
  <c r="AO911" i="61"/>
  <c r="J852" i="61"/>
  <c r="C535" i="61"/>
  <c r="C490" i="61"/>
  <c r="N996" i="61"/>
  <c r="AM951" i="61"/>
  <c r="AM916" i="61"/>
  <c r="AW880" i="61"/>
  <c r="M914" i="61"/>
  <c r="M886" i="61"/>
  <c r="L860" i="61"/>
  <c r="N600" i="61"/>
  <c r="Q599" i="61"/>
  <c r="N589" i="61"/>
  <c r="K861" i="61"/>
  <c r="O590" i="61"/>
  <c r="O534" i="61"/>
  <c r="AN1011" i="61"/>
  <c r="AN1010" i="61"/>
  <c r="AN1009" i="61"/>
  <c r="AN1008" i="61"/>
  <c r="AN1007" i="61"/>
  <c r="AN1006" i="61"/>
  <c r="AN1005" i="61"/>
  <c r="AN996" i="61"/>
  <c r="AN997" i="61"/>
  <c r="AN1004" i="61"/>
  <c r="AN998" i="61"/>
  <c r="AN1003" i="61"/>
  <c r="AN1002" i="61"/>
  <c r="AN1001" i="61"/>
  <c r="AN1000" i="61"/>
  <c r="AN999" i="61"/>
  <c r="AN995" i="61"/>
  <c r="AN994" i="61"/>
  <c r="AN989" i="61"/>
  <c r="AN990" i="61"/>
  <c r="AN991" i="61"/>
  <c r="AN993" i="61"/>
  <c r="AN992" i="61"/>
  <c r="AN988" i="61"/>
  <c r="J856" i="61"/>
  <c r="H535" i="61"/>
  <c r="H490" i="61"/>
  <c r="N989" i="61"/>
  <c r="AM944" i="61"/>
  <c r="AM909" i="61"/>
  <c r="AW873" i="61"/>
  <c r="M908" i="61"/>
  <c r="M880" i="61"/>
  <c r="M864" i="61"/>
  <c r="P994" i="61"/>
  <c r="AO949" i="61"/>
  <c r="AO914" i="61"/>
  <c r="O998" i="61"/>
  <c r="AN953" i="61"/>
  <c r="AN918" i="61"/>
  <c r="L918" i="61"/>
  <c r="L890" i="61"/>
  <c r="K913" i="61"/>
  <c r="K885" i="61"/>
  <c r="M911" i="61"/>
  <c r="M883" i="61"/>
  <c r="P997" i="61"/>
  <c r="AO952" i="61"/>
  <c r="AO917" i="61"/>
  <c r="AP921" i="61"/>
  <c r="L857" i="61"/>
  <c r="M599" i="61"/>
  <c r="J600" i="61"/>
  <c r="J589" i="61"/>
  <c r="J859" i="61"/>
  <c r="L535" i="61"/>
  <c r="L490" i="61"/>
  <c r="L912" i="61"/>
  <c r="L884" i="61"/>
  <c r="J853" i="61"/>
  <c r="D535" i="61"/>
  <c r="D490" i="61"/>
  <c r="L851" i="61"/>
  <c r="B600" i="61"/>
  <c r="E599" i="61"/>
  <c r="B589" i="61"/>
  <c r="K891" i="61" l="1"/>
  <c r="K490" i="61"/>
  <c r="K450" i="61" s="1"/>
  <c r="K449" i="61" s="1"/>
  <c r="K448" i="61" s="1"/>
  <c r="K447" i="61" s="1"/>
  <c r="K446" i="61" s="1"/>
  <c r="K445" i="61" s="1"/>
  <c r="J858" i="61"/>
  <c r="J915" i="61" s="1"/>
  <c r="L995" i="61" s="1"/>
  <c r="K915" i="61"/>
  <c r="M995" i="61" s="1"/>
  <c r="P535" i="61"/>
  <c r="J862" i="61"/>
  <c r="J919" i="61" s="1"/>
  <c r="N993" i="61"/>
  <c r="AM948" i="61"/>
  <c r="AW877" i="61"/>
  <c r="K851" i="61"/>
  <c r="B590" i="61"/>
  <c r="E589" i="61"/>
  <c r="B534" i="61"/>
  <c r="I853" i="61"/>
  <c r="D491" i="61"/>
  <c r="D450" i="61"/>
  <c r="D449" i="61" s="1"/>
  <c r="D448" i="61" s="1"/>
  <c r="D447" i="61" s="1"/>
  <c r="D446" i="61" s="1"/>
  <c r="D445" i="61" s="1"/>
  <c r="D443" i="61"/>
  <c r="N992" i="61"/>
  <c r="AM947" i="61"/>
  <c r="AM912" i="61"/>
  <c r="AW876" i="61"/>
  <c r="K857" i="61"/>
  <c r="J590" i="61"/>
  <c r="M589" i="61"/>
  <c r="J534" i="61"/>
  <c r="O988" i="61"/>
  <c r="AN943" i="61"/>
  <c r="AN908" i="61"/>
  <c r="M921" i="61"/>
  <c r="AN1012" i="61"/>
  <c r="J861" i="61"/>
  <c r="O535" i="61"/>
  <c r="O490" i="61"/>
  <c r="O994" i="61"/>
  <c r="AN949" i="61"/>
  <c r="AN914" i="61"/>
  <c r="AM1011" i="61"/>
  <c r="AM1010" i="61"/>
  <c r="AM1009" i="61"/>
  <c r="AM1008" i="61"/>
  <c r="AM1007" i="61"/>
  <c r="AM1006" i="61"/>
  <c r="AM1005" i="61"/>
  <c r="AM1003" i="61"/>
  <c r="AM1002" i="61"/>
  <c r="AM1001" i="61"/>
  <c r="AM1000" i="61"/>
  <c r="AM999" i="61"/>
  <c r="AM997" i="61"/>
  <c r="AM993" i="61"/>
  <c r="AM1004" i="61"/>
  <c r="AM998" i="61"/>
  <c r="AM996" i="61"/>
  <c r="AM992" i="61"/>
  <c r="AM988" i="61"/>
  <c r="AM994" i="61"/>
  <c r="AM989" i="61"/>
  <c r="AM990" i="61"/>
  <c r="AM995" i="61"/>
  <c r="AM991" i="61"/>
  <c r="L908" i="61"/>
  <c r="L880" i="61"/>
  <c r="L864" i="61"/>
  <c r="J916" i="61"/>
  <c r="J888" i="61"/>
  <c r="L914" i="61"/>
  <c r="L886" i="61"/>
  <c r="O991" i="61"/>
  <c r="AN946" i="61"/>
  <c r="AN911" i="61"/>
  <c r="N998" i="61"/>
  <c r="AM953" i="61"/>
  <c r="AM918" i="61"/>
  <c r="AW882" i="61"/>
  <c r="J913" i="61"/>
  <c r="J885" i="61"/>
  <c r="K860" i="61"/>
  <c r="N590" i="61"/>
  <c r="Q589" i="61"/>
  <c r="N534" i="61"/>
  <c r="I852" i="61"/>
  <c r="C491" i="61"/>
  <c r="C450" i="61"/>
  <c r="C449" i="61" s="1"/>
  <c r="C448" i="61" s="1"/>
  <c r="C447" i="61" s="1"/>
  <c r="C446" i="61" s="1"/>
  <c r="C445" i="61" s="1"/>
  <c r="C443" i="61"/>
  <c r="AO956" i="61"/>
  <c r="M990" i="61"/>
  <c r="AL945" i="61"/>
  <c r="AL910" i="61"/>
  <c r="K912" i="61"/>
  <c r="K884" i="61"/>
  <c r="M996" i="61"/>
  <c r="AL951" i="61"/>
  <c r="AL916" i="61"/>
  <c r="I862" i="61"/>
  <c r="P491" i="61"/>
  <c r="P450" i="61"/>
  <c r="P449" i="61" s="1"/>
  <c r="P448" i="61" s="1"/>
  <c r="P447" i="61" s="1"/>
  <c r="P446" i="61" s="1"/>
  <c r="P445" i="61" s="1"/>
  <c r="P443" i="61"/>
  <c r="M989" i="61"/>
  <c r="AL944" i="61"/>
  <c r="AL909" i="61"/>
  <c r="R599" i="61"/>
  <c r="I859" i="61"/>
  <c r="L491" i="61"/>
  <c r="L450" i="61"/>
  <c r="L449" i="61" s="1"/>
  <c r="L448" i="61" s="1"/>
  <c r="L447" i="61" s="1"/>
  <c r="L446" i="61" s="1"/>
  <c r="L445" i="61" s="1"/>
  <c r="L443" i="61"/>
  <c r="M993" i="61"/>
  <c r="AL948" i="61"/>
  <c r="AL913" i="61"/>
  <c r="I856" i="61"/>
  <c r="H491" i="61"/>
  <c r="H450" i="61"/>
  <c r="H449" i="61" s="1"/>
  <c r="H448" i="61" s="1"/>
  <c r="H447" i="61" s="1"/>
  <c r="H446" i="61" s="1"/>
  <c r="H445" i="61" s="1"/>
  <c r="H443" i="61"/>
  <c r="J909" i="61"/>
  <c r="J881" i="61"/>
  <c r="AO921" i="61"/>
  <c r="L911" i="61"/>
  <c r="L883" i="61"/>
  <c r="J855" i="61"/>
  <c r="G535" i="61"/>
  <c r="G490" i="61"/>
  <c r="O997" i="61"/>
  <c r="AN952" i="61"/>
  <c r="AN917" i="61"/>
  <c r="J910" i="61"/>
  <c r="J882" i="61"/>
  <c r="K918" i="61"/>
  <c r="K890" i="61"/>
  <c r="L917" i="61"/>
  <c r="L889" i="61"/>
  <c r="M999" i="61"/>
  <c r="AL954" i="61"/>
  <c r="AL919" i="61"/>
  <c r="K854" i="61"/>
  <c r="F590" i="61"/>
  <c r="I589" i="61"/>
  <c r="F534" i="61"/>
  <c r="AK915" i="61" l="1"/>
  <c r="AK950" i="61"/>
  <c r="AL950" i="61"/>
  <c r="J887" i="61"/>
  <c r="K443" i="61"/>
  <c r="K293" i="61" s="1"/>
  <c r="K295" i="61" s="1"/>
  <c r="I858" i="61"/>
  <c r="I915" i="61" s="1"/>
  <c r="AJ950" i="61" s="1"/>
  <c r="K491" i="61"/>
  <c r="AL915" i="61"/>
  <c r="J891" i="61"/>
  <c r="M998" i="61"/>
  <c r="AL953" i="61"/>
  <c r="AL918" i="61"/>
  <c r="J912" i="61"/>
  <c r="J884" i="61"/>
  <c r="H859" i="61"/>
  <c r="L444" i="61"/>
  <c r="L293" i="61"/>
  <c r="L295" i="61" s="1"/>
  <c r="H862" i="61"/>
  <c r="P444" i="61"/>
  <c r="P293" i="61"/>
  <c r="P295" i="61" s="1"/>
  <c r="L993" i="61"/>
  <c r="AK948" i="61"/>
  <c r="AK913" i="61"/>
  <c r="L999" i="61"/>
  <c r="AK954" i="61"/>
  <c r="AK919" i="61"/>
  <c r="AN921" i="61"/>
  <c r="R589" i="61"/>
  <c r="I916" i="61"/>
  <c r="I888" i="61"/>
  <c r="I891" i="61"/>
  <c r="I919" i="61"/>
  <c r="H852" i="61"/>
  <c r="C444" i="61"/>
  <c r="C293" i="61"/>
  <c r="C295" i="61" s="1"/>
  <c r="J860" i="61"/>
  <c r="Q534" i="61"/>
  <c r="N535" i="61"/>
  <c r="N490" i="61"/>
  <c r="L996" i="61"/>
  <c r="AK951" i="61"/>
  <c r="AK916" i="61"/>
  <c r="I861" i="61"/>
  <c r="O491" i="61"/>
  <c r="O450" i="61"/>
  <c r="O449" i="61" s="1"/>
  <c r="O448" i="61" s="1"/>
  <c r="O447" i="61" s="1"/>
  <c r="O446" i="61" s="1"/>
  <c r="O445" i="61" s="1"/>
  <c r="O443" i="61"/>
  <c r="J857" i="61"/>
  <c r="J535" i="61"/>
  <c r="M534" i="61"/>
  <c r="J490" i="61"/>
  <c r="H853" i="61"/>
  <c r="D444" i="61"/>
  <c r="D293" i="61"/>
  <c r="D295" i="61" s="1"/>
  <c r="J851" i="61"/>
  <c r="B535" i="61"/>
  <c r="E534" i="61"/>
  <c r="B490" i="61"/>
  <c r="AL1005" i="61"/>
  <c r="AL1011" i="61"/>
  <c r="AL1010" i="61"/>
  <c r="AL1009" i="61"/>
  <c r="AL1004" i="61"/>
  <c r="AL1008" i="61"/>
  <c r="AL1007" i="61"/>
  <c r="AL1006" i="61"/>
  <c r="AL998" i="61"/>
  <c r="AL1003" i="61"/>
  <c r="AL1002" i="61"/>
  <c r="AL1001" i="61"/>
  <c r="AL1000" i="61"/>
  <c r="AL999" i="61"/>
  <c r="AL996" i="61"/>
  <c r="AL994" i="61"/>
  <c r="AL997" i="61"/>
  <c r="AL993" i="61"/>
  <c r="AL995" i="61"/>
  <c r="AL991" i="61"/>
  <c r="AL992" i="61"/>
  <c r="AL988" i="61"/>
  <c r="AL989" i="61"/>
  <c r="AL990" i="61"/>
  <c r="N994" i="61"/>
  <c r="AM949" i="61"/>
  <c r="AM914" i="61"/>
  <c r="AW878" i="61"/>
  <c r="AM1012" i="61"/>
  <c r="J918" i="61"/>
  <c r="J890" i="61"/>
  <c r="AN956" i="61"/>
  <c r="K911" i="61"/>
  <c r="K883" i="61"/>
  <c r="L989" i="61"/>
  <c r="AK944" i="61"/>
  <c r="AK909" i="61"/>
  <c r="I913" i="61"/>
  <c r="I885" i="61"/>
  <c r="J854" i="61"/>
  <c r="F535" i="61"/>
  <c r="I534" i="61"/>
  <c r="F490" i="61"/>
  <c r="N997" i="61"/>
  <c r="AM952" i="61"/>
  <c r="AM917" i="61"/>
  <c r="AW881" i="61"/>
  <c r="L990" i="61"/>
  <c r="AK945" i="61"/>
  <c r="AK910" i="61"/>
  <c r="I855" i="61"/>
  <c r="G491" i="61"/>
  <c r="G450" i="61"/>
  <c r="G449" i="61" s="1"/>
  <c r="G448" i="61" s="1"/>
  <c r="G447" i="61" s="1"/>
  <c r="G446" i="61" s="1"/>
  <c r="G445" i="61" s="1"/>
  <c r="G443" i="61"/>
  <c r="N991" i="61"/>
  <c r="AM946" i="61"/>
  <c r="AM911" i="61"/>
  <c r="AW875" i="61"/>
  <c r="H856" i="61"/>
  <c r="H444" i="61"/>
  <c r="H293" i="61"/>
  <c r="H295" i="61" s="1"/>
  <c r="M992" i="61"/>
  <c r="AL947" i="61"/>
  <c r="AL912" i="61"/>
  <c r="I909" i="61"/>
  <c r="I881" i="61"/>
  <c r="K917" i="61"/>
  <c r="K889" i="61"/>
  <c r="N988" i="61"/>
  <c r="AM943" i="61"/>
  <c r="AM908" i="61"/>
  <c r="L921" i="61"/>
  <c r="AW872" i="61"/>
  <c r="K914" i="61"/>
  <c r="K886" i="61"/>
  <c r="I910" i="61"/>
  <c r="I882" i="61"/>
  <c r="K908" i="61"/>
  <c r="K880" i="61"/>
  <c r="K864" i="61"/>
  <c r="I887" i="61" l="1"/>
  <c r="K995" i="61"/>
  <c r="AJ915" i="61"/>
  <c r="K444" i="61"/>
  <c r="H858" i="61"/>
  <c r="E858" i="61"/>
  <c r="E915" i="61" s="1"/>
  <c r="K130" i="61"/>
  <c r="D858" i="61" s="1"/>
  <c r="K294" i="61"/>
  <c r="AM921" i="61"/>
  <c r="M988" i="61"/>
  <c r="AL943" i="61"/>
  <c r="K921" i="61"/>
  <c r="AL908" i="61"/>
  <c r="M994" i="61"/>
  <c r="AL949" i="61"/>
  <c r="AL914" i="61"/>
  <c r="AM956" i="61"/>
  <c r="H855" i="61"/>
  <c r="G444" i="61"/>
  <c r="G293" i="61"/>
  <c r="G295" i="61" s="1"/>
  <c r="K993" i="61"/>
  <c r="AJ948" i="61"/>
  <c r="AJ913" i="61"/>
  <c r="L998" i="61"/>
  <c r="AK953" i="61"/>
  <c r="AK918" i="61"/>
  <c r="AL1012" i="61"/>
  <c r="J908" i="61"/>
  <c r="J880" i="61"/>
  <c r="J864" i="61"/>
  <c r="I857" i="61"/>
  <c r="J491" i="61"/>
  <c r="M490" i="61"/>
  <c r="J450" i="61"/>
  <c r="J449" i="61" s="1"/>
  <c r="J448" i="61" s="1"/>
  <c r="J447" i="61" s="1"/>
  <c r="J446" i="61" s="1"/>
  <c r="J445" i="61" s="1"/>
  <c r="J443" i="61"/>
  <c r="H861" i="61"/>
  <c r="O444" i="61"/>
  <c r="O293" i="61"/>
  <c r="O295" i="61" s="1"/>
  <c r="J917" i="61"/>
  <c r="J889" i="61"/>
  <c r="K999" i="61"/>
  <c r="AJ954" i="61"/>
  <c r="AJ919" i="61"/>
  <c r="E862" i="61"/>
  <c r="P294" i="61"/>
  <c r="P130" i="61"/>
  <c r="M997" i="61"/>
  <c r="AL952" i="61"/>
  <c r="AL917" i="61"/>
  <c r="H885" i="61"/>
  <c r="H913" i="61"/>
  <c r="I912" i="61"/>
  <c r="I884" i="61"/>
  <c r="I854" i="61"/>
  <c r="F491" i="61"/>
  <c r="F450" i="61"/>
  <c r="F449" i="61" s="1"/>
  <c r="F448" i="61" s="1"/>
  <c r="F447" i="61" s="1"/>
  <c r="F446" i="61" s="1"/>
  <c r="F445" i="61" s="1"/>
  <c r="I490" i="61"/>
  <c r="F443" i="61"/>
  <c r="H910" i="61"/>
  <c r="H882" i="61"/>
  <c r="J914" i="61"/>
  <c r="J886" i="61"/>
  <c r="H909" i="61"/>
  <c r="H881" i="61"/>
  <c r="K996" i="61"/>
  <c r="AJ951" i="61"/>
  <c r="AJ916" i="61"/>
  <c r="E859" i="61"/>
  <c r="L294" i="61"/>
  <c r="L130" i="61"/>
  <c r="L992" i="61"/>
  <c r="AK947" i="61"/>
  <c r="AK912" i="61"/>
  <c r="AW885" i="61"/>
  <c r="K989" i="61"/>
  <c r="AJ944" i="61"/>
  <c r="AJ909" i="61"/>
  <c r="E856" i="61"/>
  <c r="H294" i="61"/>
  <c r="H130" i="61"/>
  <c r="I860" i="61"/>
  <c r="Q490" i="61"/>
  <c r="N491" i="61"/>
  <c r="N450" i="61"/>
  <c r="N449" i="61" s="1"/>
  <c r="N448" i="61" s="1"/>
  <c r="N447" i="61" s="1"/>
  <c r="N446" i="61" s="1"/>
  <c r="N445" i="61" s="1"/>
  <c r="N443" i="61"/>
  <c r="E852" i="61"/>
  <c r="C294" i="61"/>
  <c r="C130" i="61"/>
  <c r="H916" i="61"/>
  <c r="H888" i="61"/>
  <c r="I918" i="61"/>
  <c r="I890" i="61"/>
  <c r="M991" i="61"/>
  <c r="AL946" i="61"/>
  <c r="AL911" i="61"/>
  <c r="I851" i="61"/>
  <c r="E490" i="61"/>
  <c r="B491" i="61"/>
  <c r="B450" i="61"/>
  <c r="B449" i="61" s="1"/>
  <c r="B448" i="61" s="1"/>
  <c r="B447" i="61" s="1"/>
  <c r="B446" i="61" s="1"/>
  <c r="B445" i="61" s="1"/>
  <c r="B443" i="61"/>
  <c r="E853" i="61"/>
  <c r="D294" i="61"/>
  <c r="D130" i="61"/>
  <c r="K990" i="61"/>
  <c r="AJ945" i="61"/>
  <c r="AJ910" i="61"/>
  <c r="AK1008" i="61"/>
  <c r="AK1007" i="61"/>
  <c r="AK1006" i="61"/>
  <c r="AK1005" i="61"/>
  <c r="AK1011" i="61"/>
  <c r="AK1010" i="61"/>
  <c r="AK1009" i="61"/>
  <c r="AK1004" i="61"/>
  <c r="AK997" i="61"/>
  <c r="AK998" i="61"/>
  <c r="AK1003" i="61"/>
  <c r="AK1002" i="61"/>
  <c r="AK1001" i="61"/>
  <c r="AK1000" i="61"/>
  <c r="AK999" i="61"/>
  <c r="AK995" i="61"/>
  <c r="AK996" i="61"/>
  <c r="AK994" i="61"/>
  <c r="AK993" i="61"/>
  <c r="AK990" i="61"/>
  <c r="AK991" i="61"/>
  <c r="AK992" i="61"/>
  <c r="AK988" i="61"/>
  <c r="AK989" i="61"/>
  <c r="J911" i="61"/>
  <c r="J883" i="61"/>
  <c r="R534" i="61"/>
  <c r="H919" i="61"/>
  <c r="H891" i="61"/>
  <c r="H887" i="61" l="1"/>
  <c r="H915" i="61"/>
  <c r="E887" i="61"/>
  <c r="AR884" i="61"/>
  <c r="K64" i="61"/>
  <c r="C858" i="61" s="1"/>
  <c r="K131" i="61"/>
  <c r="AL921" i="61"/>
  <c r="AK1012" i="61"/>
  <c r="J999" i="61"/>
  <c r="AI954" i="61"/>
  <c r="AI919" i="61"/>
  <c r="AI853" i="61"/>
  <c r="D915" i="61"/>
  <c r="D887" i="61"/>
  <c r="AQ884" i="61"/>
  <c r="K992" i="61"/>
  <c r="AJ947" i="61"/>
  <c r="AJ912" i="61"/>
  <c r="AJ1011" i="61"/>
  <c r="AJ1010" i="61"/>
  <c r="AJ1009" i="61"/>
  <c r="AJ1008" i="61"/>
  <c r="AJ1007" i="61"/>
  <c r="AJ1006" i="61"/>
  <c r="AJ1005" i="61"/>
  <c r="AJ1004" i="61"/>
  <c r="AJ997" i="61"/>
  <c r="AJ998" i="61"/>
  <c r="AJ1003" i="61"/>
  <c r="AJ1002" i="61"/>
  <c r="AJ1001" i="61"/>
  <c r="AJ1000" i="61"/>
  <c r="AJ999" i="61"/>
  <c r="AJ995" i="61"/>
  <c r="AJ989" i="61"/>
  <c r="AJ996" i="61"/>
  <c r="AJ993" i="61"/>
  <c r="AJ990" i="61"/>
  <c r="AJ994" i="61"/>
  <c r="AJ991" i="61"/>
  <c r="AJ992" i="61"/>
  <c r="AJ988" i="61"/>
  <c r="E910" i="61"/>
  <c r="E882" i="61"/>
  <c r="AR879" i="61"/>
  <c r="R490" i="61"/>
  <c r="G995" i="61"/>
  <c r="AG950" i="61"/>
  <c r="AG915" i="61"/>
  <c r="D852" i="61"/>
  <c r="C131" i="61"/>
  <c r="C64" i="61"/>
  <c r="H860" i="61"/>
  <c r="Q443" i="61"/>
  <c r="N444" i="61"/>
  <c r="N293" i="61"/>
  <c r="N295" i="61" s="1"/>
  <c r="I917" i="61"/>
  <c r="I889" i="61"/>
  <c r="E913" i="61"/>
  <c r="E885" i="61"/>
  <c r="AR882" i="61"/>
  <c r="D859" i="61"/>
  <c r="L131" i="61"/>
  <c r="L64" i="61"/>
  <c r="J989" i="61"/>
  <c r="AI944" i="61"/>
  <c r="AI909" i="61"/>
  <c r="AI843" i="61"/>
  <c r="J990" i="61"/>
  <c r="AI945" i="61"/>
  <c r="AI910" i="61"/>
  <c r="AI844" i="61"/>
  <c r="J993" i="61"/>
  <c r="AI948" i="61"/>
  <c r="AI913" i="61"/>
  <c r="AI847" i="61"/>
  <c r="E891" i="61"/>
  <c r="AR888" i="61"/>
  <c r="E919" i="61"/>
  <c r="H918" i="61"/>
  <c r="H890" i="61"/>
  <c r="L988" i="61"/>
  <c r="AK943" i="61"/>
  <c r="J921" i="61"/>
  <c r="AK908" i="61"/>
  <c r="E855" i="61"/>
  <c r="G294" i="61"/>
  <c r="G130" i="61"/>
  <c r="J996" i="61"/>
  <c r="AI951" i="61"/>
  <c r="AI916" i="61"/>
  <c r="AI850" i="61"/>
  <c r="E909" i="61"/>
  <c r="E881" i="61"/>
  <c r="AR878" i="61"/>
  <c r="E916" i="61"/>
  <c r="AR885" i="61"/>
  <c r="E888" i="61"/>
  <c r="L991" i="61"/>
  <c r="AK946" i="61"/>
  <c r="AK911" i="61"/>
  <c r="D853" i="61"/>
  <c r="D131" i="61"/>
  <c r="D64" i="61"/>
  <c r="H851" i="61"/>
  <c r="E443" i="61"/>
  <c r="B444" i="61"/>
  <c r="B293" i="61"/>
  <c r="B295" i="61" s="1"/>
  <c r="I908" i="61"/>
  <c r="I864" i="61"/>
  <c r="I880" i="61"/>
  <c r="K998" i="61"/>
  <c r="AJ953" i="61"/>
  <c r="AJ918" i="61"/>
  <c r="D856" i="61"/>
  <c r="H131" i="61"/>
  <c r="H64" i="61"/>
  <c r="H854" i="61"/>
  <c r="F444" i="61"/>
  <c r="I443" i="61"/>
  <c r="F293" i="61"/>
  <c r="F295" i="61" s="1"/>
  <c r="I911" i="61"/>
  <c r="I883" i="61"/>
  <c r="D862" i="61"/>
  <c r="P131" i="61"/>
  <c r="P64" i="61"/>
  <c r="L997" i="61"/>
  <c r="AK952" i="61"/>
  <c r="AK917" i="61"/>
  <c r="H857" i="61"/>
  <c r="J444" i="61"/>
  <c r="M443" i="61"/>
  <c r="J293" i="61"/>
  <c r="J295" i="61" s="1"/>
  <c r="I914" i="61"/>
  <c r="I886" i="61"/>
  <c r="AL956" i="61"/>
  <c r="L994" i="61"/>
  <c r="AK949" i="61"/>
  <c r="AK914" i="61"/>
  <c r="E861" i="61"/>
  <c r="O294" i="61"/>
  <c r="O130" i="61"/>
  <c r="H912" i="61"/>
  <c r="H884" i="61"/>
  <c r="AI849" i="61" l="1"/>
  <c r="AI950" i="61"/>
  <c r="AI915" i="61"/>
  <c r="J995" i="61"/>
  <c r="K65" i="61"/>
  <c r="K29" i="61"/>
  <c r="B858" i="61" s="1"/>
  <c r="J992" i="61"/>
  <c r="AI947" i="61"/>
  <c r="AI912" i="61"/>
  <c r="AI846" i="61"/>
  <c r="E851" i="61"/>
  <c r="B294" i="61"/>
  <c r="E293" i="61"/>
  <c r="B130" i="61"/>
  <c r="C859" i="61"/>
  <c r="L65" i="61"/>
  <c r="L29" i="61"/>
  <c r="E860" i="61"/>
  <c r="Q293" i="61"/>
  <c r="N294" i="61"/>
  <c r="N130" i="61"/>
  <c r="C852" i="61"/>
  <c r="C29" i="61"/>
  <c r="C65" i="61"/>
  <c r="D861" i="61"/>
  <c r="O131" i="61"/>
  <c r="O64" i="61"/>
  <c r="D913" i="61"/>
  <c r="D885" i="61"/>
  <c r="AQ882" i="61"/>
  <c r="AK956" i="61"/>
  <c r="G999" i="61"/>
  <c r="AG954" i="61"/>
  <c r="AG919" i="61"/>
  <c r="G993" i="61"/>
  <c r="AG948" i="61"/>
  <c r="AG913" i="61"/>
  <c r="G990" i="61"/>
  <c r="AG945" i="61"/>
  <c r="AG910" i="61"/>
  <c r="D919" i="61"/>
  <c r="AQ888" i="61"/>
  <c r="D891" i="61"/>
  <c r="C853" i="61"/>
  <c r="D65" i="61"/>
  <c r="D29" i="61"/>
  <c r="C915" i="61"/>
  <c r="C887" i="61"/>
  <c r="AP884" i="61"/>
  <c r="J998" i="61"/>
  <c r="AI953" i="61"/>
  <c r="AI918" i="61"/>
  <c r="AI852" i="61"/>
  <c r="K994" i="61"/>
  <c r="AJ949" i="61"/>
  <c r="AJ914" i="61"/>
  <c r="H914" i="61"/>
  <c r="H886" i="61"/>
  <c r="C862" i="61"/>
  <c r="P65" i="61"/>
  <c r="P29" i="61"/>
  <c r="K991" i="61"/>
  <c r="AJ946" i="61"/>
  <c r="AJ911" i="61"/>
  <c r="H911" i="61"/>
  <c r="H883" i="61"/>
  <c r="R443" i="61"/>
  <c r="D910" i="61"/>
  <c r="AQ879" i="61"/>
  <c r="D882" i="61"/>
  <c r="G989" i="61"/>
  <c r="AG944" i="61"/>
  <c r="AG909" i="61"/>
  <c r="E912" i="61"/>
  <c r="AR881" i="61"/>
  <c r="E884" i="61"/>
  <c r="D916" i="61"/>
  <c r="AQ885" i="61"/>
  <c r="D888" i="61"/>
  <c r="D909" i="61"/>
  <c r="AQ878" i="61"/>
  <c r="D881" i="61"/>
  <c r="AJ1012" i="61"/>
  <c r="E918" i="61"/>
  <c r="E890" i="61"/>
  <c r="AR887" i="61"/>
  <c r="E857" i="61"/>
  <c r="J294" i="61"/>
  <c r="M293" i="61"/>
  <c r="J130" i="61"/>
  <c r="E854" i="61"/>
  <c r="F294" i="61"/>
  <c r="I293" i="61"/>
  <c r="F130" i="61"/>
  <c r="C856" i="61"/>
  <c r="H65" i="61"/>
  <c r="H29" i="61"/>
  <c r="K988" i="61"/>
  <c r="AJ943" i="61"/>
  <c r="I921" i="61"/>
  <c r="AJ908" i="61"/>
  <c r="H908" i="61"/>
  <c r="H880" i="61"/>
  <c r="H864" i="61"/>
  <c r="G996" i="61"/>
  <c r="AG951" i="61"/>
  <c r="AG916" i="61"/>
  <c r="D855" i="61"/>
  <c r="G131" i="61"/>
  <c r="G64" i="61"/>
  <c r="AK921" i="61"/>
  <c r="AI1011" i="61"/>
  <c r="AI1010" i="61"/>
  <c r="AI1009" i="61"/>
  <c r="AI1008" i="61"/>
  <c r="AI1007" i="61"/>
  <c r="AI1006" i="61"/>
  <c r="AI1005" i="61"/>
  <c r="AI1003" i="61"/>
  <c r="AI1002" i="61"/>
  <c r="AI1001" i="61"/>
  <c r="AI1000" i="61"/>
  <c r="AI999" i="61"/>
  <c r="AI1004" i="61"/>
  <c r="AI997" i="61"/>
  <c r="AI993" i="61"/>
  <c r="AI998" i="61"/>
  <c r="AI992" i="61"/>
  <c r="AI988" i="61"/>
  <c r="AI995" i="61"/>
  <c r="AI989" i="61"/>
  <c r="AI996" i="61"/>
  <c r="AI990" i="61"/>
  <c r="AI994" i="61"/>
  <c r="AI991" i="61"/>
  <c r="K997" i="61"/>
  <c r="AJ952" i="61"/>
  <c r="AJ917" i="61"/>
  <c r="H917" i="61"/>
  <c r="H889" i="61"/>
  <c r="F995" i="61"/>
  <c r="AF950" i="61"/>
  <c r="AF915" i="61"/>
  <c r="K30" i="61" l="1"/>
  <c r="K19" i="61"/>
  <c r="R293" i="61"/>
  <c r="F990" i="61"/>
  <c r="AF945" i="61"/>
  <c r="AF910" i="61"/>
  <c r="C910" i="61"/>
  <c r="AP879" i="61"/>
  <c r="C882" i="61"/>
  <c r="C855" i="61"/>
  <c r="G29" i="61"/>
  <c r="G65" i="61"/>
  <c r="B915" i="61"/>
  <c r="AO884" i="61"/>
  <c r="AT884" i="61" s="1"/>
  <c r="B887" i="61"/>
  <c r="AN849" i="61"/>
  <c r="AG849" i="61"/>
  <c r="AJ921" i="61"/>
  <c r="B856" i="61"/>
  <c r="H30" i="61"/>
  <c r="H19" i="61"/>
  <c r="D857" i="61"/>
  <c r="J131" i="61"/>
  <c r="M130" i="61"/>
  <c r="J64" i="61"/>
  <c r="E914" i="61"/>
  <c r="E886" i="61"/>
  <c r="AR883" i="61"/>
  <c r="C919" i="61"/>
  <c r="AP888" i="61"/>
  <c r="C891" i="61"/>
  <c r="E995" i="61"/>
  <c r="AE915" i="61"/>
  <c r="AE950" i="61"/>
  <c r="C861" i="61"/>
  <c r="O65" i="61"/>
  <c r="O29" i="61"/>
  <c r="B852" i="61"/>
  <c r="C30" i="61"/>
  <c r="C19" i="61"/>
  <c r="G998" i="61"/>
  <c r="AG953" i="61"/>
  <c r="AG918" i="61"/>
  <c r="F993" i="61"/>
  <c r="AF948" i="61"/>
  <c r="AF913" i="61"/>
  <c r="B859" i="61"/>
  <c r="L19" i="61"/>
  <c r="L30" i="61"/>
  <c r="AI1012" i="61"/>
  <c r="G992" i="61"/>
  <c r="AG947" i="61"/>
  <c r="AG912" i="61"/>
  <c r="B853" i="61"/>
  <c r="D19" i="61"/>
  <c r="D30" i="61"/>
  <c r="AG1008" i="61"/>
  <c r="AG1007" i="61"/>
  <c r="AG1006" i="61"/>
  <c r="AG1005" i="61"/>
  <c r="AG1011" i="61"/>
  <c r="AG1010" i="61"/>
  <c r="AG1009" i="61"/>
  <c r="AG1004" i="61"/>
  <c r="AG997" i="61"/>
  <c r="AG998" i="61"/>
  <c r="AG1003" i="61"/>
  <c r="AG1002" i="61"/>
  <c r="AG1001" i="61"/>
  <c r="AG1000" i="61"/>
  <c r="AG999" i="61"/>
  <c r="AG995" i="61"/>
  <c r="AG996" i="61"/>
  <c r="AG994" i="61"/>
  <c r="AG990" i="61"/>
  <c r="AG991" i="61"/>
  <c r="AG993" i="61"/>
  <c r="AG992" i="61"/>
  <c r="AG988" i="61"/>
  <c r="AG989" i="61"/>
  <c r="C909" i="61"/>
  <c r="C881" i="61"/>
  <c r="AP878" i="61"/>
  <c r="C916" i="61"/>
  <c r="C888" i="61"/>
  <c r="AP885" i="61"/>
  <c r="J997" i="61"/>
  <c r="AI952" i="61"/>
  <c r="AI917" i="61"/>
  <c r="AI851" i="61"/>
  <c r="J988" i="61"/>
  <c r="AI943" i="61"/>
  <c r="H921" i="61"/>
  <c r="AI908" i="61"/>
  <c r="AI842" i="61"/>
  <c r="D854" i="61"/>
  <c r="I130" i="61"/>
  <c r="F131" i="61"/>
  <c r="F64" i="61"/>
  <c r="E911" i="61"/>
  <c r="E883" i="61"/>
  <c r="AR880" i="61"/>
  <c r="F989" i="61"/>
  <c r="AF944" i="61"/>
  <c r="AF909" i="61"/>
  <c r="D912" i="61"/>
  <c r="D884" i="61"/>
  <c r="AQ881" i="61"/>
  <c r="AJ956" i="61"/>
  <c r="C913" i="61"/>
  <c r="C885" i="61"/>
  <c r="AP882" i="61"/>
  <c r="F996" i="61"/>
  <c r="AF951" i="61"/>
  <c r="AF916" i="61"/>
  <c r="J991" i="61"/>
  <c r="AI946" i="61"/>
  <c r="AI911" i="61"/>
  <c r="AI845" i="61"/>
  <c r="B862" i="61"/>
  <c r="P30" i="61"/>
  <c r="P19" i="61"/>
  <c r="J994" i="61"/>
  <c r="AI949" i="61"/>
  <c r="AI914" i="61"/>
  <c r="AI848" i="61"/>
  <c r="F999" i="61"/>
  <c r="AF954" i="61"/>
  <c r="AF919" i="61"/>
  <c r="D918" i="61"/>
  <c r="AQ887" i="61"/>
  <c r="D890" i="61"/>
  <c r="D860" i="61"/>
  <c r="Q130" i="61"/>
  <c r="N131" i="61"/>
  <c r="N64" i="61"/>
  <c r="E917" i="61"/>
  <c r="E889" i="61"/>
  <c r="AR886" i="61"/>
  <c r="D851" i="61"/>
  <c r="E130" i="61"/>
  <c r="B131" i="61"/>
  <c r="B64" i="61"/>
  <c r="E908" i="61"/>
  <c r="E880" i="61"/>
  <c r="E864" i="61"/>
  <c r="AR877" i="61"/>
  <c r="AR890" i="61" l="1"/>
  <c r="R130" i="61"/>
  <c r="AG1012" i="61"/>
  <c r="F998" i="61"/>
  <c r="AF953" i="61"/>
  <c r="AF918" i="61"/>
  <c r="E993" i="61"/>
  <c r="AE948" i="61"/>
  <c r="AE913" i="61"/>
  <c r="F992" i="61"/>
  <c r="AF947" i="61"/>
  <c r="AF912" i="61"/>
  <c r="AI921" i="61"/>
  <c r="B910" i="61"/>
  <c r="B882" i="61"/>
  <c r="AO879" i="61"/>
  <c r="AT879" i="61" s="1"/>
  <c r="AN844" i="61"/>
  <c r="AG844" i="61"/>
  <c r="B909" i="61"/>
  <c r="B881" i="61"/>
  <c r="AN843" i="61"/>
  <c r="AO878" i="61"/>
  <c r="AT878" i="61" s="1"/>
  <c r="AG843" i="61"/>
  <c r="G994" i="61"/>
  <c r="AG949" i="61"/>
  <c r="AG914" i="61"/>
  <c r="D914" i="61"/>
  <c r="D886" i="61"/>
  <c r="AQ883" i="61"/>
  <c r="C912" i="61"/>
  <c r="C884" i="61"/>
  <c r="AP881" i="61"/>
  <c r="C854" i="61"/>
  <c r="I64" i="61"/>
  <c r="F29" i="61"/>
  <c r="F19" i="61" s="1"/>
  <c r="F65" i="61"/>
  <c r="C918" i="61"/>
  <c r="C890" i="61"/>
  <c r="AP887" i="61"/>
  <c r="B913" i="61"/>
  <c r="AN847" i="61"/>
  <c r="B885" i="61"/>
  <c r="AO882" i="61"/>
  <c r="AT882" i="61" s="1"/>
  <c r="AG847" i="61"/>
  <c r="B855" i="61"/>
  <c r="G30" i="61"/>
  <c r="G19" i="61"/>
  <c r="G997" i="61"/>
  <c r="AG952" i="61"/>
  <c r="AG917" i="61"/>
  <c r="D917" i="61"/>
  <c r="AQ886" i="61"/>
  <c r="D889" i="61"/>
  <c r="E989" i="61"/>
  <c r="AE944" i="61"/>
  <c r="AE909" i="61"/>
  <c r="B861" i="61"/>
  <c r="O30" i="61"/>
  <c r="O19" i="61"/>
  <c r="E999" i="61"/>
  <c r="AE919" i="61"/>
  <c r="AE954" i="61"/>
  <c r="C857" i="61"/>
  <c r="J65" i="61"/>
  <c r="M64" i="61"/>
  <c r="J29" i="61"/>
  <c r="AD950" i="61"/>
  <c r="AD915" i="61"/>
  <c r="R1022" i="61"/>
  <c r="C851" i="61"/>
  <c r="E64" i="61"/>
  <c r="B65" i="61"/>
  <c r="B29" i="61"/>
  <c r="AI855" i="61"/>
  <c r="B916" i="61"/>
  <c r="AO885" i="61"/>
  <c r="AT885" i="61" s="1"/>
  <c r="B888" i="61"/>
  <c r="AN850" i="61"/>
  <c r="AG850" i="61"/>
  <c r="E990" i="61"/>
  <c r="AE945" i="61"/>
  <c r="AE910" i="61"/>
  <c r="G988" i="61"/>
  <c r="AG943" i="61"/>
  <c r="AG908" i="61"/>
  <c r="E921" i="61"/>
  <c r="D908" i="61"/>
  <c r="D880" i="61"/>
  <c r="AQ877" i="61"/>
  <c r="D864" i="61"/>
  <c r="C860" i="61"/>
  <c r="Q64" i="61"/>
  <c r="N65" i="61"/>
  <c r="N29" i="61"/>
  <c r="B919" i="61"/>
  <c r="B891" i="61"/>
  <c r="AO888" i="61"/>
  <c r="AT888" i="61" s="1"/>
  <c r="AG853" i="61"/>
  <c r="AN853" i="61"/>
  <c r="G991" i="61"/>
  <c r="AG946" i="61"/>
  <c r="AG911" i="61"/>
  <c r="D911" i="61"/>
  <c r="D883" i="61"/>
  <c r="AQ880" i="61"/>
  <c r="AI956" i="61"/>
  <c r="E996" i="61"/>
  <c r="AE951" i="61"/>
  <c r="AE916" i="61"/>
  <c r="AF1011" i="61"/>
  <c r="AF1010" i="61"/>
  <c r="AF1009" i="61"/>
  <c r="AF1008" i="61"/>
  <c r="AF1007" i="61"/>
  <c r="AF1006" i="61"/>
  <c r="AF1005" i="61"/>
  <c r="AF1004" i="61"/>
  <c r="AF998" i="61"/>
  <c r="AF1003" i="61"/>
  <c r="AF1002" i="61"/>
  <c r="AF1001" i="61"/>
  <c r="AF1000" i="61"/>
  <c r="AF999" i="61"/>
  <c r="AF995" i="61"/>
  <c r="AF994" i="61"/>
  <c r="AF989" i="61"/>
  <c r="AF990" i="61"/>
  <c r="AF991" i="61"/>
  <c r="AF997" i="61"/>
  <c r="AF996" i="61"/>
  <c r="AF993" i="61"/>
  <c r="AF992" i="61"/>
  <c r="AF988" i="61"/>
  <c r="C914" i="61" l="1"/>
  <c r="C886" i="61"/>
  <c r="AP883" i="61"/>
  <c r="F997" i="61"/>
  <c r="AF952" i="61"/>
  <c r="AF917" i="61"/>
  <c r="B854" i="61"/>
  <c r="F30" i="61"/>
  <c r="I29" i="61"/>
  <c r="AD944" i="61"/>
  <c r="AD909" i="61"/>
  <c r="R1016" i="61"/>
  <c r="AQ890" i="61"/>
  <c r="AG921" i="61"/>
  <c r="B851" i="61"/>
  <c r="B19" i="61"/>
  <c r="B30" i="61"/>
  <c r="E29" i="61"/>
  <c r="B857" i="61"/>
  <c r="J19" i="61"/>
  <c r="J30" i="61"/>
  <c r="M29" i="61"/>
  <c r="E992" i="61"/>
  <c r="AE947" i="61"/>
  <c r="AE912" i="61"/>
  <c r="AD945" i="61"/>
  <c r="AD910" i="61"/>
  <c r="R1017" i="61"/>
  <c r="C908" i="61"/>
  <c r="C880" i="61"/>
  <c r="AP877" i="61"/>
  <c r="C864" i="61"/>
  <c r="AF1012" i="61"/>
  <c r="AG956" i="61"/>
  <c r="AE1011" i="61"/>
  <c r="AE1010" i="61"/>
  <c r="AE1009" i="61"/>
  <c r="AE1008" i="61"/>
  <c r="AE1007" i="61"/>
  <c r="AE1006" i="61"/>
  <c r="AE1005" i="61"/>
  <c r="AE1003" i="61"/>
  <c r="AE1002" i="61"/>
  <c r="AE1001" i="61"/>
  <c r="AE1000" i="61"/>
  <c r="AE999" i="61"/>
  <c r="AE997" i="61"/>
  <c r="AE1004" i="61"/>
  <c r="AE998" i="61"/>
  <c r="AE996" i="61"/>
  <c r="AE993" i="61"/>
  <c r="AE992" i="61"/>
  <c r="AE988" i="61"/>
  <c r="AE994" i="61"/>
  <c r="AE989" i="61"/>
  <c r="AE990" i="61"/>
  <c r="AE995" i="61"/>
  <c r="AE991" i="61"/>
  <c r="B918" i="61"/>
  <c r="B890" i="61"/>
  <c r="AN852" i="61"/>
  <c r="AO887" i="61"/>
  <c r="AT887" i="61" s="1"/>
  <c r="AG852" i="61"/>
  <c r="B912" i="61"/>
  <c r="AO881" i="61"/>
  <c r="AT881" i="61" s="1"/>
  <c r="AN846" i="61"/>
  <c r="AG846" i="61"/>
  <c r="B884" i="61"/>
  <c r="E998" i="61"/>
  <c r="AE953" i="61"/>
  <c r="AE918" i="61"/>
  <c r="C911" i="61"/>
  <c r="C883" i="61"/>
  <c r="AP880" i="61"/>
  <c r="B860" i="61"/>
  <c r="N30" i="61"/>
  <c r="N19" i="61"/>
  <c r="Q29" i="61"/>
  <c r="F994" i="61"/>
  <c r="AF949" i="61"/>
  <c r="AF914" i="61"/>
  <c r="F991" i="61"/>
  <c r="AF946" i="61"/>
  <c r="AF911" i="61"/>
  <c r="AD954" i="61"/>
  <c r="AD919" i="61"/>
  <c r="R1026" i="61"/>
  <c r="C917" i="61"/>
  <c r="C889" i="61"/>
  <c r="AP886" i="61"/>
  <c r="F988" i="61"/>
  <c r="AF943" i="61"/>
  <c r="AF908" i="61"/>
  <c r="D921" i="61"/>
  <c r="AD951" i="61"/>
  <c r="AD916" i="61"/>
  <c r="R1023" i="61"/>
  <c r="R64" i="61"/>
  <c r="AD948" i="61"/>
  <c r="AD913" i="61"/>
  <c r="R1020" i="61"/>
  <c r="I19" i="61" l="1"/>
  <c r="I20" i="61"/>
  <c r="E19" i="61"/>
  <c r="E20" i="61"/>
  <c r="AF921" i="61"/>
  <c r="Q19" i="61"/>
  <c r="Q20" i="61"/>
  <c r="E991" i="61"/>
  <c r="AE946" i="61"/>
  <c r="AE911" i="61"/>
  <c r="AD947" i="61"/>
  <c r="AD912" i="61"/>
  <c r="R1019" i="61"/>
  <c r="B911" i="61"/>
  <c r="AO880" i="61"/>
  <c r="AT880" i="61" s="1"/>
  <c r="AN845" i="61"/>
  <c r="B883" i="61"/>
  <c r="AG845" i="61"/>
  <c r="AP890" i="61"/>
  <c r="E997" i="61"/>
  <c r="AE952" i="61"/>
  <c r="AE917" i="61"/>
  <c r="B917" i="61"/>
  <c r="B889" i="61"/>
  <c r="AO886" i="61"/>
  <c r="AT886" i="61" s="1"/>
  <c r="AN851" i="61"/>
  <c r="AG851" i="61"/>
  <c r="AD953" i="61"/>
  <c r="AD918" i="61"/>
  <c r="R1025" i="61"/>
  <c r="AE1012" i="61"/>
  <c r="E988" i="61"/>
  <c r="C921" i="61"/>
  <c r="AE943" i="61"/>
  <c r="AE908" i="61"/>
  <c r="M20" i="61"/>
  <c r="M19" i="61"/>
  <c r="R29" i="61"/>
  <c r="AF956" i="61"/>
  <c r="B914" i="61"/>
  <c r="B886" i="61"/>
  <c r="AO883" i="61"/>
  <c r="AT883" i="61" s="1"/>
  <c r="AN848" i="61"/>
  <c r="AG848" i="61"/>
  <c r="B908" i="61"/>
  <c r="AG842" i="61"/>
  <c r="B880" i="61"/>
  <c r="AO877" i="61"/>
  <c r="AN842" i="61"/>
  <c r="B864" i="61"/>
  <c r="E994" i="61"/>
  <c r="AE949" i="61"/>
  <c r="AE914" i="61"/>
  <c r="R19" i="61" l="1"/>
  <c r="R20" i="61"/>
  <c r="AO890" i="61"/>
  <c r="AT877" i="61"/>
  <c r="AT890" i="61" s="1"/>
  <c r="AD946" i="61"/>
  <c r="AD911" i="61"/>
  <c r="R1018" i="61"/>
  <c r="AE956" i="61"/>
  <c r="AD952" i="61"/>
  <c r="AD917" i="61"/>
  <c r="R1024" i="61"/>
  <c r="AD949" i="61"/>
  <c r="AD914" i="61"/>
  <c r="R1021" i="61"/>
  <c r="AG855" i="61"/>
  <c r="AD943" i="61"/>
  <c r="B921" i="61"/>
  <c r="R1027" i="61" s="1"/>
  <c r="AD908" i="61"/>
  <c r="R1015" i="61"/>
  <c r="AE921" i="61"/>
  <c r="AD956" i="61" l="1"/>
  <c r="AD921" i="61"/>
  <c r="H276" i="53" l="1"/>
  <c r="G276" i="53"/>
  <c r="F276" i="53"/>
  <c r="B174" i="53" l="1"/>
  <c r="H179" i="53"/>
  <c r="G179" i="53"/>
  <c r="F179" i="53"/>
  <c r="H141" i="53"/>
  <c r="G141" i="53"/>
  <c r="F141" i="53"/>
  <c r="H230" i="53"/>
  <c r="G174" i="53"/>
  <c r="F174" i="53"/>
  <c r="G772" i="53" l="1"/>
  <c r="E387" i="53" l="1"/>
  <c r="I387" i="53"/>
  <c r="M387" i="53"/>
  <c r="Q387" i="53"/>
  <c r="R387" i="53" l="1"/>
  <c r="AG883" i="53"/>
  <c r="AF883" i="53"/>
  <c r="AE883" i="53"/>
  <c r="AD883" i="53"/>
  <c r="M108" i="2" l="1"/>
  <c r="B694" i="53" l="1"/>
  <c r="B724" i="53"/>
  <c r="B729" i="53"/>
  <c r="B739" i="53"/>
  <c r="B467" i="53"/>
  <c r="B458" i="53"/>
  <c r="B453" i="53"/>
  <c r="B448" i="53"/>
  <c r="B418" i="53"/>
  <c r="B394" i="53"/>
  <c r="B355" i="53"/>
  <c r="B341" i="53"/>
  <c r="B274" i="53"/>
  <c r="B273" i="53"/>
  <c r="B255" i="53"/>
  <c r="B205" i="53"/>
  <c r="B198" i="53"/>
  <c r="B125" i="53"/>
  <c r="B108" i="53"/>
  <c r="B96" i="53"/>
  <c r="B89" i="53"/>
  <c r="B419" i="53" l="1"/>
  <c r="D234" i="53"/>
  <c r="D276" i="53" l="1"/>
  <c r="E373" i="53" l="1"/>
  <c r="I373" i="53"/>
  <c r="M373" i="53"/>
  <c r="Q373" i="53"/>
  <c r="C786" i="53"/>
  <c r="D246" i="53"/>
  <c r="R373" i="53" l="1"/>
  <c r="Q279" i="53"/>
  <c r="B772" i="53" l="1"/>
  <c r="D179" i="53"/>
  <c r="C179" i="53"/>
  <c r="D141" i="53" l="1"/>
  <c r="D174" i="53"/>
  <c r="C174" i="53"/>
  <c r="D772" i="53" l="1"/>
  <c r="D9" i="2"/>
  <c r="Q316" i="49" l="1"/>
  <c r="H772" i="53" l="1"/>
  <c r="P785" i="53" l="1"/>
  <c r="M929" i="53" l="1"/>
  <c r="M928" i="53"/>
  <c r="M927" i="53"/>
  <c r="M922" i="53"/>
  <c r="M921" i="53"/>
  <c r="M918" i="53"/>
  <c r="J251" i="53" l="1"/>
  <c r="N19" i="25" l="1"/>
  <c r="M19" i="25"/>
  <c r="L19" i="25"/>
  <c r="K19" i="25"/>
  <c r="J19" i="25"/>
  <c r="I19" i="25"/>
  <c r="H19" i="25"/>
  <c r="G19" i="25"/>
  <c r="F19" i="25"/>
  <c r="E19" i="25"/>
  <c r="D19" i="25"/>
  <c r="C19" i="25"/>
  <c r="N18" i="25"/>
  <c r="M18" i="25"/>
  <c r="L18" i="25"/>
  <c r="K18" i="25"/>
  <c r="J18" i="25"/>
  <c r="I18" i="25"/>
  <c r="H18" i="25"/>
  <c r="G18" i="25"/>
  <c r="F18" i="25"/>
  <c r="E18" i="25"/>
  <c r="D18" i="25"/>
  <c r="C18" i="25"/>
  <c r="N17" i="25"/>
  <c r="M17" i="25"/>
  <c r="L17" i="25"/>
  <c r="K17" i="25"/>
  <c r="J17" i="25"/>
  <c r="I17" i="25"/>
  <c r="H17" i="25"/>
  <c r="G17" i="25"/>
  <c r="F17" i="25"/>
  <c r="E17" i="25"/>
  <c r="D17" i="25"/>
  <c r="C17" i="25"/>
  <c r="N16" i="25"/>
  <c r="M16" i="25"/>
  <c r="L16" i="25"/>
  <c r="K16" i="25"/>
  <c r="J16" i="25"/>
  <c r="I16" i="25"/>
  <c r="H16" i="25"/>
  <c r="G16" i="25"/>
  <c r="F16" i="25"/>
  <c r="E16" i="25"/>
  <c r="D16" i="25"/>
  <c r="K15" i="25"/>
  <c r="J15" i="25"/>
  <c r="I15" i="25"/>
  <c r="H15" i="25"/>
  <c r="G15" i="25"/>
  <c r="F15" i="25"/>
  <c r="E15" i="25"/>
  <c r="D15" i="25"/>
  <c r="C16" i="25"/>
  <c r="C15" i="25"/>
  <c r="O18" i="25" l="1"/>
  <c r="O16" i="25"/>
  <c r="O17" i="25"/>
  <c r="O19" i="25"/>
  <c r="P772" i="53"/>
  <c r="O772" i="53"/>
  <c r="L772" i="53"/>
  <c r="K772" i="53"/>
  <c r="J772" i="53"/>
  <c r="F772" i="53"/>
  <c r="C772" i="53"/>
  <c r="E630" i="53"/>
  <c r="I630" i="53"/>
  <c r="M630" i="53"/>
  <c r="Q630" i="53"/>
  <c r="AC347" i="53"/>
  <c r="AB347" i="53"/>
  <c r="AA347" i="53"/>
  <c r="R630" i="53" l="1"/>
  <c r="AK350" i="53"/>
  <c r="AJ350" i="53"/>
  <c r="AI350" i="53"/>
  <c r="AG350" i="53"/>
  <c r="AF350" i="53"/>
  <c r="AE350" i="53"/>
  <c r="AC350" i="53"/>
  <c r="AB350" i="53"/>
  <c r="AA350" i="53"/>
  <c r="Y350" i="53"/>
  <c r="X350" i="53"/>
  <c r="W350" i="53"/>
  <c r="AK349" i="53"/>
  <c r="AK348" i="53"/>
  <c r="AJ349" i="53"/>
  <c r="AJ348" i="53"/>
  <c r="AI349" i="53"/>
  <c r="AI348" i="53"/>
  <c r="AG349" i="53"/>
  <c r="AG348" i="53"/>
  <c r="AF349" i="53"/>
  <c r="AF348" i="53"/>
  <c r="AE349" i="53"/>
  <c r="AE348" i="53"/>
  <c r="AC349" i="53"/>
  <c r="AC348" i="53"/>
  <c r="AB349" i="53"/>
  <c r="AB348" i="53"/>
  <c r="AA349" i="53"/>
  <c r="AA348" i="53"/>
  <c r="Y349" i="53"/>
  <c r="Y348" i="53"/>
  <c r="X349" i="53"/>
  <c r="X348" i="53"/>
  <c r="W349" i="53"/>
  <c r="W348" i="53"/>
  <c r="AL347" i="53"/>
  <c r="AL350" i="53" s="1"/>
  <c r="AH347" i="53"/>
  <c r="AD347" i="53"/>
  <c r="Z347" i="53"/>
  <c r="W344" i="53"/>
  <c r="AD348" i="53" l="1"/>
  <c r="AH348" i="53"/>
  <c r="AL348" i="53"/>
  <c r="AM347" i="53"/>
  <c r="AH349" i="53"/>
  <c r="Z348" i="53"/>
  <c r="AL349" i="53"/>
  <c r="AH350" i="53"/>
  <c r="AD349" i="53"/>
  <c r="AD350" i="53"/>
  <c r="Z349" i="53"/>
  <c r="Z350" i="53"/>
  <c r="AM348" i="53" l="1"/>
  <c r="AM349" i="53"/>
  <c r="AM350" i="53"/>
  <c r="S13" i="53" l="1"/>
  <c r="E181" i="53"/>
  <c r="I181" i="53"/>
  <c r="M181" i="53"/>
  <c r="Q181" i="53"/>
  <c r="R181" i="53" l="1"/>
  <c r="O188" i="49"/>
  <c r="E147" i="53" l="1"/>
  <c r="I147" i="53"/>
  <c r="M147" i="53"/>
  <c r="Q147" i="53"/>
  <c r="B789" i="53"/>
  <c r="R147" i="53" l="1"/>
  <c r="Q176" i="53"/>
  <c r="M176" i="53"/>
  <c r="I176" i="53"/>
  <c r="I732" i="53" l="1"/>
  <c r="Q345" i="53"/>
  <c r="M345" i="53"/>
  <c r="I345" i="53"/>
  <c r="E345" i="53"/>
  <c r="R345" i="53" l="1"/>
  <c r="Q269" i="49" l="1"/>
  <c r="J750" i="49"/>
  <c r="J770" i="49"/>
  <c r="J767" i="49"/>
  <c r="J751" i="49"/>
  <c r="L749" i="49"/>
  <c r="K749" i="49"/>
  <c r="K266" i="49" l="1"/>
  <c r="L266" i="49"/>
  <c r="K294" i="53" l="1"/>
  <c r="J294" i="53"/>
  <c r="O294" i="53"/>
  <c r="P294" i="53"/>
  <c r="E222" i="53"/>
  <c r="I222" i="53"/>
  <c r="M222" i="53"/>
  <c r="Q222" i="53"/>
  <c r="E223" i="53"/>
  <c r="I223" i="53"/>
  <c r="M223" i="53"/>
  <c r="Q223" i="53"/>
  <c r="Q718" i="53"/>
  <c r="M718" i="53"/>
  <c r="I718" i="53"/>
  <c r="E718" i="53"/>
  <c r="E628" i="53"/>
  <c r="I628" i="53"/>
  <c r="M628" i="53"/>
  <c r="Q628" i="53"/>
  <c r="E227" i="53"/>
  <c r="I227" i="53"/>
  <c r="M227" i="53"/>
  <c r="Q227" i="53"/>
  <c r="E228" i="53"/>
  <c r="I228" i="53"/>
  <c r="M228" i="53"/>
  <c r="Q228" i="53"/>
  <c r="I629" i="53"/>
  <c r="E150" i="53"/>
  <c r="I150" i="53"/>
  <c r="M150" i="53"/>
  <c r="Q150" i="53"/>
  <c r="E161" i="53"/>
  <c r="I161" i="53"/>
  <c r="M161" i="53"/>
  <c r="Q161" i="53"/>
  <c r="E162" i="53"/>
  <c r="I162" i="53"/>
  <c r="M162" i="53"/>
  <c r="Q162" i="53"/>
  <c r="E160" i="53"/>
  <c r="I160" i="53"/>
  <c r="M160" i="53"/>
  <c r="Q160" i="53"/>
  <c r="E306" i="53"/>
  <c r="I306" i="53"/>
  <c r="M306" i="53"/>
  <c r="Q306" i="53"/>
  <c r="E529" i="53"/>
  <c r="I529" i="53"/>
  <c r="M529" i="53"/>
  <c r="Q529" i="53"/>
  <c r="C198" i="53" l="1"/>
  <c r="R222" i="53"/>
  <c r="R223" i="53"/>
  <c r="R718" i="53"/>
  <c r="R628" i="53"/>
  <c r="R228" i="53"/>
  <c r="R227" i="53"/>
  <c r="R150" i="53"/>
  <c r="R161" i="53"/>
  <c r="R162" i="53"/>
  <c r="R160" i="53"/>
  <c r="R306" i="53"/>
  <c r="R529" i="53"/>
  <c r="E377" i="53" l="1"/>
  <c r="I377" i="53"/>
  <c r="M377" i="53"/>
  <c r="Q377" i="53"/>
  <c r="N772" i="53"/>
  <c r="I142" i="53"/>
  <c r="R377" i="53" l="1"/>
  <c r="E481" i="53" l="1"/>
  <c r="I481" i="53"/>
  <c r="M481" i="53"/>
  <c r="Q481" i="53"/>
  <c r="E441" i="53"/>
  <c r="I441" i="53"/>
  <c r="M441" i="53"/>
  <c r="Q441" i="53"/>
  <c r="E254" i="53"/>
  <c r="I254" i="53"/>
  <c r="M254" i="53"/>
  <c r="Q254" i="53"/>
  <c r="Q371" i="53"/>
  <c r="M371" i="53"/>
  <c r="I371" i="53"/>
  <c r="E371" i="53"/>
  <c r="O1060" i="53"/>
  <c r="K1060" i="53"/>
  <c r="Q1057" i="53"/>
  <c r="M1057" i="53"/>
  <c r="G1057" i="53"/>
  <c r="I1057" i="53" s="1"/>
  <c r="Q1056" i="53"/>
  <c r="M1056" i="53"/>
  <c r="G1056" i="53"/>
  <c r="I1056" i="53" s="1"/>
  <c r="Q1055" i="53"/>
  <c r="M1055" i="53"/>
  <c r="G1055" i="53"/>
  <c r="I1055" i="53" s="1"/>
  <c r="J1057" i="53" s="1"/>
  <c r="Q1054" i="53"/>
  <c r="M1054" i="53"/>
  <c r="G1054" i="53"/>
  <c r="I1054" i="53" s="1"/>
  <c r="Q1053" i="53"/>
  <c r="M1053" i="53"/>
  <c r="G1053" i="53"/>
  <c r="I1053" i="53" s="1"/>
  <c r="Q1052" i="53"/>
  <c r="M1052" i="53"/>
  <c r="G1052" i="53"/>
  <c r="I1052" i="53" s="1"/>
  <c r="J1054" i="53" s="1"/>
  <c r="Q1051" i="53"/>
  <c r="M1051" i="53"/>
  <c r="G1051" i="53"/>
  <c r="I1051" i="53" s="1"/>
  <c r="Q1050" i="53"/>
  <c r="M1050" i="53"/>
  <c r="G1050" i="53"/>
  <c r="I1050" i="53" s="1"/>
  <c r="Q1049" i="53"/>
  <c r="M1049" i="53"/>
  <c r="G1049" i="53"/>
  <c r="I1049" i="53" s="1"/>
  <c r="J1051" i="53" s="1"/>
  <c r="Q1048" i="53"/>
  <c r="M1048" i="53"/>
  <c r="G1048" i="53"/>
  <c r="I1048" i="53" s="1"/>
  <c r="Q1047" i="53"/>
  <c r="M1047" i="53"/>
  <c r="G1047" i="53"/>
  <c r="I1047" i="53" s="1"/>
  <c r="Q1046" i="53"/>
  <c r="M1046" i="53"/>
  <c r="I1046" i="53"/>
  <c r="G1040" i="53"/>
  <c r="O1039" i="53"/>
  <c r="K1039" i="53"/>
  <c r="C1039" i="53"/>
  <c r="I1036" i="53"/>
  <c r="J1033" i="53"/>
  <c r="Q1032" i="53"/>
  <c r="P1008" i="53"/>
  <c r="O1008" i="53" s="1"/>
  <c r="J1008" i="53"/>
  <c r="G1008" i="53" s="1"/>
  <c r="C981" i="53" s="1"/>
  <c r="I1008" i="53"/>
  <c r="P1007" i="53"/>
  <c r="O1007" i="53" s="1"/>
  <c r="J1007" i="53"/>
  <c r="I1007" i="53"/>
  <c r="F1007" i="53" s="1"/>
  <c r="B980" i="53" s="1"/>
  <c r="P1006" i="53"/>
  <c r="O1006" i="53" s="1"/>
  <c r="J1006" i="53"/>
  <c r="I1006" i="53"/>
  <c r="F1006" i="53" s="1"/>
  <c r="B979" i="53" s="1"/>
  <c r="P1005" i="53"/>
  <c r="O1005" i="53" s="1"/>
  <c r="J1005" i="53"/>
  <c r="G1005" i="53" s="1"/>
  <c r="C978" i="53" s="1"/>
  <c r="I1005" i="53"/>
  <c r="F1005" i="53" s="1"/>
  <c r="B978" i="53" s="1"/>
  <c r="P1004" i="53"/>
  <c r="O1004" i="53" s="1"/>
  <c r="K1004" i="53"/>
  <c r="H1004" i="53" s="1"/>
  <c r="D977" i="53" s="1"/>
  <c r="J1004" i="53"/>
  <c r="I1004" i="53"/>
  <c r="F1004" i="53" s="1"/>
  <c r="B977" i="53" s="1"/>
  <c r="P1003" i="53"/>
  <c r="O1003" i="53" s="1"/>
  <c r="K1003" i="53"/>
  <c r="H1003" i="53" s="1"/>
  <c r="D976" i="53" s="1"/>
  <c r="J1003" i="53"/>
  <c r="I1003" i="53"/>
  <c r="F1003" i="53" s="1"/>
  <c r="B976" i="53" s="1"/>
  <c r="P1002" i="53"/>
  <c r="O1002" i="53" s="1"/>
  <c r="K1002" i="53"/>
  <c r="H1002" i="53" s="1"/>
  <c r="D975" i="53" s="1"/>
  <c r="J1002" i="53"/>
  <c r="I1002" i="53"/>
  <c r="F1002" i="53" s="1"/>
  <c r="B975" i="53" s="1"/>
  <c r="P1001" i="53"/>
  <c r="O1001" i="53" s="1"/>
  <c r="J1001" i="53"/>
  <c r="G1001" i="53" s="1"/>
  <c r="C974" i="53" s="1"/>
  <c r="I1001" i="53"/>
  <c r="F1001" i="53" s="1"/>
  <c r="B974" i="53" s="1"/>
  <c r="P1000" i="53"/>
  <c r="O1000" i="53" s="1"/>
  <c r="J1000" i="53"/>
  <c r="I1000" i="53"/>
  <c r="F1000" i="53" s="1"/>
  <c r="B973" i="53" s="1"/>
  <c r="P999" i="53"/>
  <c r="O999" i="53" s="1"/>
  <c r="J999" i="53"/>
  <c r="G999" i="53" s="1"/>
  <c r="C972" i="53" s="1"/>
  <c r="AD979" i="53" s="1"/>
  <c r="I999" i="53"/>
  <c r="F999" i="53" s="1"/>
  <c r="B972" i="53" s="1"/>
  <c r="P998" i="53"/>
  <c r="O998" i="53" s="1"/>
  <c r="J998" i="53"/>
  <c r="I998" i="53"/>
  <c r="F998" i="53" s="1"/>
  <c r="B971" i="53" s="1"/>
  <c r="P997" i="53"/>
  <c r="O997" i="53" s="1"/>
  <c r="J997" i="53"/>
  <c r="G997" i="53" s="1"/>
  <c r="C970" i="53" s="1"/>
  <c r="I997" i="53"/>
  <c r="F997" i="53" s="1"/>
  <c r="B970" i="53" s="1"/>
  <c r="B991" i="53"/>
  <c r="B988" i="53"/>
  <c r="Q987" i="53"/>
  <c r="B966" i="53"/>
  <c r="B963" i="53"/>
  <c r="Q962" i="53"/>
  <c r="M940" i="53"/>
  <c r="N931" i="53"/>
  <c r="M931" i="53"/>
  <c r="L931" i="53"/>
  <c r="K931" i="53"/>
  <c r="I931" i="53"/>
  <c r="H931" i="53"/>
  <c r="O930" i="53"/>
  <c r="O929" i="53"/>
  <c r="J929" i="53"/>
  <c r="O928" i="53"/>
  <c r="J928" i="53"/>
  <c r="O927" i="53"/>
  <c r="J927" i="53"/>
  <c r="O926" i="53"/>
  <c r="O925" i="53"/>
  <c r="J925" i="53"/>
  <c r="O924" i="53"/>
  <c r="J924" i="53"/>
  <c r="AR923" i="53"/>
  <c r="AQ923" i="53"/>
  <c r="AP923" i="53"/>
  <c r="AO923" i="53"/>
  <c r="AN923" i="53"/>
  <c r="AM923" i="53"/>
  <c r="AL923" i="53"/>
  <c r="AK923" i="53"/>
  <c r="AJ923" i="53"/>
  <c r="AI923" i="53"/>
  <c r="AH923" i="53"/>
  <c r="AG923" i="53"/>
  <c r="AF923" i="53"/>
  <c r="AE923" i="53"/>
  <c r="AD923" i="53"/>
  <c r="O923" i="53"/>
  <c r="J923" i="53"/>
  <c r="O922" i="53"/>
  <c r="J922" i="53"/>
  <c r="O921" i="53"/>
  <c r="J921" i="53"/>
  <c r="O920" i="53"/>
  <c r="J920" i="53"/>
  <c r="O919" i="53"/>
  <c r="J919" i="53"/>
  <c r="O918" i="53"/>
  <c r="J918" i="53"/>
  <c r="AD913" i="53"/>
  <c r="AD910" i="53"/>
  <c r="B910" i="53"/>
  <c r="AR909" i="53"/>
  <c r="B909" i="53"/>
  <c r="Q908" i="53"/>
  <c r="AR888" i="53"/>
  <c r="AQ888" i="53"/>
  <c r="AP888" i="53"/>
  <c r="AO888" i="53"/>
  <c r="AN888" i="53"/>
  <c r="AM888" i="53"/>
  <c r="AL888" i="53"/>
  <c r="AK888" i="53"/>
  <c r="AJ888" i="53"/>
  <c r="AI888" i="53"/>
  <c r="AH888" i="53"/>
  <c r="AG888" i="53"/>
  <c r="AF888" i="53"/>
  <c r="AE888" i="53"/>
  <c r="AD888" i="53"/>
  <c r="B883" i="53"/>
  <c r="B880" i="53"/>
  <c r="Q879" i="53"/>
  <c r="AD878" i="53"/>
  <c r="AD875" i="53"/>
  <c r="AR874" i="53"/>
  <c r="AR857" i="53"/>
  <c r="AQ857" i="53"/>
  <c r="AP857" i="53"/>
  <c r="AO857" i="53"/>
  <c r="AG857" i="53"/>
  <c r="AF857" i="53"/>
  <c r="AE857" i="53"/>
  <c r="AD857" i="53"/>
  <c r="B857" i="53"/>
  <c r="B854" i="53"/>
  <c r="Q853" i="53"/>
  <c r="AR852" i="53"/>
  <c r="AG852" i="53"/>
  <c r="AS849" i="53"/>
  <c r="AH849" i="53"/>
  <c r="AS847" i="53"/>
  <c r="G844" i="53"/>
  <c r="F844" i="53"/>
  <c r="AD835" i="53" s="1"/>
  <c r="AO835" i="53" s="1"/>
  <c r="G843" i="53"/>
  <c r="F843" i="53"/>
  <c r="G842" i="53"/>
  <c r="F842" i="53"/>
  <c r="G841" i="53"/>
  <c r="F841" i="53"/>
  <c r="G840" i="53"/>
  <c r="F840" i="53"/>
  <c r="AD831" i="53" s="1"/>
  <c r="AO831" i="53" s="1"/>
  <c r="G839" i="53"/>
  <c r="F839" i="53"/>
  <c r="G838" i="53"/>
  <c r="F838" i="53"/>
  <c r="G837" i="53"/>
  <c r="F837" i="53"/>
  <c r="AD863" i="53" s="1"/>
  <c r="G836" i="53"/>
  <c r="F836" i="53"/>
  <c r="G835" i="53"/>
  <c r="F835" i="53"/>
  <c r="AD826" i="53" s="1"/>
  <c r="AO826" i="53" s="1"/>
  <c r="G834" i="53"/>
  <c r="F834" i="53"/>
  <c r="AD825" i="53" s="1"/>
  <c r="AO825" i="53" s="1"/>
  <c r="G833" i="53"/>
  <c r="F833" i="53"/>
  <c r="B828" i="53"/>
  <c r="B825" i="53"/>
  <c r="Q824" i="53"/>
  <c r="AF816" i="53"/>
  <c r="AS815" i="53"/>
  <c r="AN815" i="53"/>
  <c r="A806" i="53"/>
  <c r="A804" i="53"/>
  <c r="Q800" i="53"/>
  <c r="P794" i="53"/>
  <c r="O794" i="53"/>
  <c r="N794" i="53"/>
  <c r="L794" i="53"/>
  <c r="K794" i="53"/>
  <c r="J794" i="53"/>
  <c r="H794" i="53"/>
  <c r="G794" i="53"/>
  <c r="F794" i="53"/>
  <c r="D794" i="53"/>
  <c r="C794" i="53"/>
  <c r="B794" i="53"/>
  <c r="P791" i="53"/>
  <c r="O791" i="53"/>
  <c r="N791" i="53"/>
  <c r="L791" i="53"/>
  <c r="K791" i="53"/>
  <c r="J791" i="53"/>
  <c r="H791" i="53"/>
  <c r="G791" i="53"/>
  <c r="F791" i="53"/>
  <c r="D791" i="53"/>
  <c r="C791" i="53"/>
  <c r="B791" i="53"/>
  <c r="P790" i="53"/>
  <c r="O790" i="53"/>
  <c r="N790" i="53"/>
  <c r="L790" i="53"/>
  <c r="K790" i="53"/>
  <c r="J790" i="53"/>
  <c r="H790" i="53"/>
  <c r="G790" i="53"/>
  <c r="F790" i="53"/>
  <c r="D790" i="53"/>
  <c r="C790" i="53"/>
  <c r="B790" i="53"/>
  <c r="P789" i="53"/>
  <c r="O789" i="53"/>
  <c r="N789" i="53"/>
  <c r="L789" i="53"/>
  <c r="K789" i="53"/>
  <c r="J789" i="53"/>
  <c r="H789" i="53"/>
  <c r="G789" i="53"/>
  <c r="F789" i="53"/>
  <c r="D789" i="53"/>
  <c r="C789" i="53"/>
  <c r="O786" i="53"/>
  <c r="N786" i="53"/>
  <c r="L786" i="53"/>
  <c r="K786" i="53"/>
  <c r="J786" i="53"/>
  <c r="H786" i="53"/>
  <c r="G786" i="53"/>
  <c r="O785" i="53"/>
  <c r="N785" i="53"/>
  <c r="L785" i="53"/>
  <c r="K785" i="53"/>
  <c r="J785" i="53"/>
  <c r="H785" i="53"/>
  <c r="G785" i="53"/>
  <c r="F785" i="53"/>
  <c r="D785" i="53"/>
  <c r="C785" i="53"/>
  <c r="B785" i="53"/>
  <c r="P782" i="53"/>
  <c r="O782" i="53"/>
  <c r="N782" i="53"/>
  <c r="L782" i="53"/>
  <c r="K782" i="53"/>
  <c r="J782" i="53"/>
  <c r="H782" i="53"/>
  <c r="G782" i="53"/>
  <c r="F782" i="53"/>
  <c r="D782" i="53"/>
  <c r="C782" i="53"/>
  <c r="B782" i="53"/>
  <c r="P781" i="53"/>
  <c r="O781" i="53"/>
  <c r="N781" i="53"/>
  <c r="L781" i="53"/>
  <c r="K781" i="53"/>
  <c r="J781" i="53"/>
  <c r="H781" i="53"/>
  <c r="G781" i="53"/>
  <c r="F781" i="53"/>
  <c r="D781" i="53"/>
  <c r="C781" i="53"/>
  <c r="B781" i="53"/>
  <c r="P780" i="53"/>
  <c r="O780" i="53"/>
  <c r="N780" i="53"/>
  <c r="L780" i="53"/>
  <c r="K780" i="53"/>
  <c r="J780" i="53"/>
  <c r="H780" i="53"/>
  <c r="G780" i="53"/>
  <c r="F780" i="53"/>
  <c r="D780" i="53"/>
  <c r="C780" i="53"/>
  <c r="B780" i="53"/>
  <c r="P777" i="53"/>
  <c r="O777" i="53"/>
  <c r="N777" i="53"/>
  <c r="L777" i="53"/>
  <c r="K777" i="53"/>
  <c r="J777" i="53"/>
  <c r="H777" i="53"/>
  <c r="G777" i="53"/>
  <c r="F777" i="53"/>
  <c r="D777" i="53"/>
  <c r="C777" i="53"/>
  <c r="B777" i="53"/>
  <c r="P776" i="53"/>
  <c r="O776" i="53"/>
  <c r="N776" i="53"/>
  <c r="L776" i="53"/>
  <c r="K776" i="53"/>
  <c r="J776" i="53"/>
  <c r="H776" i="53"/>
  <c r="G776" i="53"/>
  <c r="F776" i="53"/>
  <c r="D776" i="53"/>
  <c r="C776" i="53"/>
  <c r="B776" i="53"/>
  <c r="P775" i="53"/>
  <c r="O775" i="53"/>
  <c r="N775" i="53"/>
  <c r="L775" i="53"/>
  <c r="K775" i="53"/>
  <c r="J775" i="53"/>
  <c r="H775" i="53"/>
  <c r="G775" i="53"/>
  <c r="F775" i="53"/>
  <c r="D775" i="53"/>
  <c r="C775" i="53"/>
  <c r="B775" i="53"/>
  <c r="P774" i="53"/>
  <c r="O774" i="53"/>
  <c r="N774" i="53"/>
  <c r="L774" i="53"/>
  <c r="K774" i="53"/>
  <c r="J774" i="53"/>
  <c r="H774" i="53"/>
  <c r="G774" i="53"/>
  <c r="F774" i="53"/>
  <c r="D774" i="53"/>
  <c r="C774" i="53"/>
  <c r="B774" i="53"/>
  <c r="P773" i="53"/>
  <c r="O773" i="53"/>
  <c r="N773" i="53"/>
  <c r="L773" i="53"/>
  <c r="K773" i="53"/>
  <c r="J773" i="53"/>
  <c r="H773" i="53"/>
  <c r="G773" i="53"/>
  <c r="F773" i="53"/>
  <c r="D773" i="53"/>
  <c r="C773" i="53"/>
  <c r="B773" i="53"/>
  <c r="A765" i="53"/>
  <c r="A763" i="53"/>
  <c r="Q759" i="53"/>
  <c r="Q752" i="53"/>
  <c r="M752" i="53"/>
  <c r="I752" i="53"/>
  <c r="E752" i="53"/>
  <c r="P750" i="53"/>
  <c r="O750" i="53"/>
  <c r="N750" i="53"/>
  <c r="L750" i="53"/>
  <c r="K750" i="53"/>
  <c r="J750" i="53"/>
  <c r="H750" i="53"/>
  <c r="G750" i="53"/>
  <c r="F750" i="53"/>
  <c r="D750" i="53"/>
  <c r="C750" i="53"/>
  <c r="B750" i="53"/>
  <c r="P749" i="53"/>
  <c r="O749" i="53"/>
  <c r="N749" i="53"/>
  <c r="L749" i="53"/>
  <c r="K749" i="53"/>
  <c r="J749" i="53"/>
  <c r="H749" i="53"/>
  <c r="G749" i="53"/>
  <c r="F749" i="53"/>
  <c r="D749" i="53"/>
  <c r="C749" i="53"/>
  <c r="B749" i="53"/>
  <c r="Q746" i="53"/>
  <c r="M746" i="53"/>
  <c r="I746" i="53"/>
  <c r="E746" i="53"/>
  <c r="Q745" i="53"/>
  <c r="M745" i="53"/>
  <c r="I745" i="53"/>
  <c r="E745" i="53"/>
  <c r="Q743" i="53"/>
  <c r="M743" i="53"/>
  <c r="I743" i="53"/>
  <c r="E743" i="53"/>
  <c r="Q742" i="53"/>
  <c r="M742" i="53"/>
  <c r="I742" i="53"/>
  <c r="E742" i="53"/>
  <c r="P739" i="53"/>
  <c r="O739" i="53"/>
  <c r="N739" i="53"/>
  <c r="L739" i="53"/>
  <c r="K739" i="53"/>
  <c r="J739" i="53"/>
  <c r="H739" i="53"/>
  <c r="G739" i="53"/>
  <c r="F739" i="53"/>
  <c r="D739" i="53"/>
  <c r="C739" i="53"/>
  <c r="Q738" i="53"/>
  <c r="M738" i="53"/>
  <c r="I738" i="53"/>
  <c r="E738" i="53"/>
  <c r="Q737" i="53"/>
  <c r="M737" i="53"/>
  <c r="I737" i="53"/>
  <c r="E737" i="53"/>
  <c r="Q736" i="53"/>
  <c r="M736" i="53"/>
  <c r="I736" i="53"/>
  <c r="E736" i="53"/>
  <c r="Q735" i="53"/>
  <c r="M735" i="53"/>
  <c r="I735" i="53"/>
  <c r="E735" i="53"/>
  <c r="Q733" i="53"/>
  <c r="M733" i="53"/>
  <c r="I733" i="53"/>
  <c r="E733" i="53"/>
  <c r="Q732" i="53"/>
  <c r="M732" i="53"/>
  <c r="E732" i="53"/>
  <c r="P729" i="53"/>
  <c r="O729" i="53"/>
  <c r="N729" i="53"/>
  <c r="L729" i="53"/>
  <c r="K729" i="53"/>
  <c r="J729" i="53"/>
  <c r="H729" i="53"/>
  <c r="G729" i="53"/>
  <c r="F729" i="53"/>
  <c r="D729" i="53"/>
  <c r="C729" i="53"/>
  <c r="Q727" i="53"/>
  <c r="M727" i="53"/>
  <c r="I727" i="53"/>
  <c r="E727" i="53"/>
  <c r="P724" i="53"/>
  <c r="O724" i="53"/>
  <c r="N724" i="53"/>
  <c r="L724" i="53"/>
  <c r="K724" i="53"/>
  <c r="J724" i="53"/>
  <c r="H724" i="53"/>
  <c r="G724" i="53"/>
  <c r="F724" i="53"/>
  <c r="D724" i="53"/>
  <c r="C724" i="53"/>
  <c r="Q722" i="53"/>
  <c r="M722" i="53"/>
  <c r="I722" i="53"/>
  <c r="E722" i="53"/>
  <c r="Q719" i="53"/>
  <c r="M719" i="53"/>
  <c r="I719" i="53"/>
  <c r="E719" i="53"/>
  <c r="Q717" i="53"/>
  <c r="M717" i="53"/>
  <c r="I717" i="53"/>
  <c r="E717" i="53"/>
  <c r="Q716" i="53"/>
  <c r="M716" i="53"/>
  <c r="I716" i="53"/>
  <c r="E716" i="53"/>
  <c r="Q704" i="53"/>
  <c r="M704" i="53"/>
  <c r="I704" i="53"/>
  <c r="E704" i="53"/>
  <c r="Q703" i="53"/>
  <c r="M703" i="53"/>
  <c r="I703" i="53"/>
  <c r="E703" i="53"/>
  <c r="P701" i="53"/>
  <c r="O701" i="53"/>
  <c r="N701" i="53"/>
  <c r="L701" i="53"/>
  <c r="K701" i="53"/>
  <c r="J701" i="53"/>
  <c r="H701" i="53"/>
  <c r="G701" i="53"/>
  <c r="F701" i="53"/>
  <c r="D701" i="53"/>
  <c r="C701" i="53"/>
  <c r="B701" i="53"/>
  <c r="P700" i="53"/>
  <c r="O700" i="53"/>
  <c r="N700" i="53"/>
  <c r="L700" i="53"/>
  <c r="K700" i="53"/>
  <c r="J700" i="53"/>
  <c r="H700" i="53"/>
  <c r="G700" i="53"/>
  <c r="F700" i="53"/>
  <c r="D700" i="53"/>
  <c r="C700" i="53"/>
  <c r="B700" i="53"/>
  <c r="P694" i="53"/>
  <c r="O694" i="53"/>
  <c r="N694" i="53"/>
  <c r="L694" i="53"/>
  <c r="K694" i="53"/>
  <c r="J694" i="53"/>
  <c r="H694" i="53"/>
  <c r="G694" i="53"/>
  <c r="F694" i="53"/>
  <c r="D694" i="53"/>
  <c r="C694" i="53"/>
  <c r="P690" i="53"/>
  <c r="O690" i="53"/>
  <c r="N690" i="53"/>
  <c r="L690" i="53"/>
  <c r="K690" i="53"/>
  <c r="J690" i="53"/>
  <c r="H690" i="53"/>
  <c r="G690" i="53"/>
  <c r="F690" i="53"/>
  <c r="D690" i="53"/>
  <c r="C690" i="53"/>
  <c r="B690" i="53"/>
  <c r="P686" i="53"/>
  <c r="O686" i="53"/>
  <c r="N686" i="53"/>
  <c r="L686" i="53"/>
  <c r="K686" i="53"/>
  <c r="J686" i="53"/>
  <c r="H686" i="53"/>
  <c r="G686" i="53"/>
  <c r="F686" i="53"/>
  <c r="D686" i="53"/>
  <c r="C686" i="53"/>
  <c r="B686" i="53"/>
  <c r="Q682" i="53"/>
  <c r="M682" i="53"/>
  <c r="I682" i="53"/>
  <c r="E682" i="53"/>
  <c r="P672" i="53"/>
  <c r="O672" i="53"/>
  <c r="N672" i="53"/>
  <c r="L672" i="53"/>
  <c r="K672" i="53"/>
  <c r="J672" i="53"/>
  <c r="H672" i="53"/>
  <c r="G672" i="53"/>
  <c r="F672" i="53"/>
  <c r="D672" i="53"/>
  <c r="C672" i="53"/>
  <c r="B672" i="53"/>
  <c r="Q670" i="53"/>
  <c r="M670" i="53"/>
  <c r="I670" i="53"/>
  <c r="E670" i="53"/>
  <c r="Q660" i="53"/>
  <c r="M660" i="53"/>
  <c r="I660" i="53"/>
  <c r="E660" i="53"/>
  <c r="P658" i="53"/>
  <c r="O658" i="53"/>
  <c r="N658" i="53"/>
  <c r="L658" i="53"/>
  <c r="K658" i="53"/>
  <c r="J658" i="53"/>
  <c r="H658" i="53"/>
  <c r="G658" i="53"/>
  <c r="F658" i="53"/>
  <c r="D658" i="53"/>
  <c r="C658" i="53"/>
  <c r="B658" i="53"/>
  <c r="P657" i="53"/>
  <c r="O657" i="53"/>
  <c r="N657" i="53"/>
  <c r="L657" i="53"/>
  <c r="K657" i="53"/>
  <c r="J657" i="53"/>
  <c r="H657" i="53"/>
  <c r="G657" i="53"/>
  <c r="F657" i="53"/>
  <c r="D657" i="53"/>
  <c r="C657" i="53"/>
  <c r="B657" i="53"/>
  <c r="Q654" i="53"/>
  <c r="M654" i="53"/>
  <c r="I654" i="53"/>
  <c r="E654" i="53"/>
  <c r="Q653" i="53"/>
  <c r="M653" i="53"/>
  <c r="I653" i="53"/>
  <c r="E653" i="53"/>
  <c r="Q652" i="53"/>
  <c r="M652" i="53"/>
  <c r="I652" i="53"/>
  <c r="E652" i="53"/>
  <c r="Q651" i="53"/>
  <c r="M651" i="53"/>
  <c r="I651" i="53"/>
  <c r="E651" i="53"/>
  <c r="P647" i="53"/>
  <c r="O647" i="53"/>
  <c r="N647" i="53"/>
  <c r="L647" i="53"/>
  <c r="K647" i="53"/>
  <c r="J647" i="53"/>
  <c r="H647" i="53"/>
  <c r="G647" i="53"/>
  <c r="F647" i="53"/>
  <c r="D647" i="53"/>
  <c r="C647" i="53"/>
  <c r="B647" i="53"/>
  <c r="Q646" i="53"/>
  <c r="M646" i="53"/>
  <c r="I646" i="53"/>
  <c r="E646" i="53"/>
  <c r="Q645" i="53"/>
  <c r="M645" i="53"/>
  <c r="I645" i="53"/>
  <c r="E645" i="53"/>
  <c r="Q644" i="53"/>
  <c r="M644" i="53"/>
  <c r="I644" i="53"/>
  <c r="E644" i="53"/>
  <c r="Q643" i="53"/>
  <c r="M643" i="53"/>
  <c r="I643" i="53"/>
  <c r="E643" i="53"/>
  <c r="Q641" i="53"/>
  <c r="M641" i="53"/>
  <c r="I641" i="53"/>
  <c r="E641" i="53"/>
  <c r="P638" i="53"/>
  <c r="O638" i="53"/>
  <c r="N638" i="53"/>
  <c r="L638" i="53"/>
  <c r="K638" i="53"/>
  <c r="J638" i="53"/>
  <c r="H638" i="53"/>
  <c r="G638" i="53"/>
  <c r="F638" i="53"/>
  <c r="D638" i="53"/>
  <c r="C638" i="53"/>
  <c r="B638" i="53"/>
  <c r="P634" i="53"/>
  <c r="O634" i="53"/>
  <c r="N634" i="53"/>
  <c r="L634" i="53"/>
  <c r="K634" i="53"/>
  <c r="J634" i="53"/>
  <c r="H634" i="53"/>
  <c r="G634" i="53"/>
  <c r="F634" i="53"/>
  <c r="D634" i="53"/>
  <c r="C634" i="53"/>
  <c r="B634" i="53"/>
  <c r="Q629" i="53"/>
  <c r="M629" i="53"/>
  <c r="E629" i="53"/>
  <c r="Q627" i="53"/>
  <c r="M627" i="53"/>
  <c r="I627" i="53"/>
  <c r="E627" i="53"/>
  <c r="Q626" i="53"/>
  <c r="M626" i="53"/>
  <c r="I626" i="53"/>
  <c r="E626" i="53"/>
  <c r="Q614" i="53"/>
  <c r="M614" i="53"/>
  <c r="I614" i="53"/>
  <c r="E614" i="53"/>
  <c r="P612" i="53"/>
  <c r="O612" i="53"/>
  <c r="N612" i="53"/>
  <c r="L612" i="53"/>
  <c r="K612" i="53"/>
  <c r="J612" i="53"/>
  <c r="H612" i="53"/>
  <c r="G612" i="53"/>
  <c r="F612" i="53"/>
  <c r="D612" i="53"/>
  <c r="C612" i="53"/>
  <c r="B612" i="53"/>
  <c r="P611" i="53"/>
  <c r="O611" i="53"/>
  <c r="N611" i="53"/>
  <c r="L611" i="53"/>
  <c r="K611" i="53"/>
  <c r="J611" i="53"/>
  <c r="H611" i="53"/>
  <c r="G611" i="53"/>
  <c r="F611" i="53"/>
  <c r="D611" i="53"/>
  <c r="C611" i="53"/>
  <c r="B611" i="53"/>
  <c r="Q608" i="53"/>
  <c r="M608" i="53"/>
  <c r="I608" i="53"/>
  <c r="E608" i="53"/>
  <c r="P604" i="53"/>
  <c r="O604" i="53"/>
  <c r="N604" i="53"/>
  <c r="L604" i="53"/>
  <c r="K604" i="53"/>
  <c r="J604" i="53"/>
  <c r="H604" i="53"/>
  <c r="G604" i="53"/>
  <c r="F604" i="53"/>
  <c r="D604" i="53"/>
  <c r="C604" i="53"/>
  <c r="B604" i="53"/>
  <c r="P600" i="53"/>
  <c r="O600" i="53"/>
  <c r="N600" i="53"/>
  <c r="L600" i="53"/>
  <c r="K600" i="53"/>
  <c r="J600" i="53"/>
  <c r="H600" i="53"/>
  <c r="G600" i="53"/>
  <c r="F600" i="53"/>
  <c r="D600" i="53"/>
  <c r="C600" i="53"/>
  <c r="B600" i="53"/>
  <c r="P596" i="53"/>
  <c r="O596" i="53"/>
  <c r="N596" i="53"/>
  <c r="L596" i="53"/>
  <c r="K596" i="53"/>
  <c r="J596" i="53"/>
  <c r="H596" i="53"/>
  <c r="G596" i="53"/>
  <c r="F596" i="53"/>
  <c r="D596" i="53"/>
  <c r="C596" i="53"/>
  <c r="B596" i="53"/>
  <c r="Q592" i="53"/>
  <c r="M592" i="53"/>
  <c r="I592" i="53"/>
  <c r="E592" i="53"/>
  <c r="Q591" i="53"/>
  <c r="M591" i="53"/>
  <c r="I591" i="53"/>
  <c r="E591" i="53"/>
  <c r="Q590" i="53"/>
  <c r="M590" i="53"/>
  <c r="I590" i="53"/>
  <c r="E590" i="53"/>
  <c r="P580" i="53"/>
  <c r="O580" i="53"/>
  <c r="N580" i="53"/>
  <c r="L580" i="53"/>
  <c r="K580" i="53"/>
  <c r="J580" i="53"/>
  <c r="H580" i="53"/>
  <c r="G580" i="53"/>
  <c r="F580" i="53"/>
  <c r="D580" i="53"/>
  <c r="C580" i="53"/>
  <c r="B580" i="53"/>
  <c r="Q578" i="53"/>
  <c r="M578" i="53"/>
  <c r="I578" i="53"/>
  <c r="E578" i="53"/>
  <c r="Q568" i="53"/>
  <c r="M568" i="53"/>
  <c r="I568" i="53"/>
  <c r="E568" i="53"/>
  <c r="P566" i="53"/>
  <c r="O566" i="53"/>
  <c r="N566" i="53"/>
  <c r="L566" i="53"/>
  <c r="K566" i="53"/>
  <c r="J566" i="53"/>
  <c r="H566" i="53"/>
  <c r="G566" i="53"/>
  <c r="F566" i="53"/>
  <c r="D566" i="53"/>
  <c r="C566" i="53"/>
  <c r="B566" i="53"/>
  <c r="P565" i="53"/>
  <c r="O565" i="53"/>
  <c r="N565" i="53"/>
  <c r="L565" i="53"/>
  <c r="K565" i="53"/>
  <c r="J565" i="53"/>
  <c r="H565" i="53"/>
  <c r="G565" i="53"/>
  <c r="F565" i="53"/>
  <c r="D565" i="53"/>
  <c r="C565" i="53"/>
  <c r="B565" i="53"/>
  <c r="Q564" i="53"/>
  <c r="M564" i="53"/>
  <c r="I564" i="53"/>
  <c r="E564" i="53"/>
  <c r="Q563" i="53"/>
  <c r="M563" i="53"/>
  <c r="I563" i="53"/>
  <c r="E563" i="53"/>
  <c r="Q559" i="53"/>
  <c r="M559" i="53"/>
  <c r="I559" i="53"/>
  <c r="E559" i="53"/>
  <c r="Q558" i="53"/>
  <c r="M558" i="53"/>
  <c r="I558" i="53"/>
  <c r="E558" i="53"/>
  <c r="Q557" i="53"/>
  <c r="M557" i="53"/>
  <c r="I557" i="53"/>
  <c r="E557" i="53"/>
  <c r="Q556" i="53"/>
  <c r="M556" i="53"/>
  <c r="I556" i="53"/>
  <c r="E556" i="53"/>
  <c r="Q554" i="53"/>
  <c r="M554" i="53"/>
  <c r="I554" i="53"/>
  <c r="E554" i="53"/>
  <c r="Q553" i="53"/>
  <c r="M553" i="53"/>
  <c r="I553" i="53"/>
  <c r="E553" i="53"/>
  <c r="P550" i="53"/>
  <c r="O550" i="53"/>
  <c r="N550" i="53"/>
  <c r="L550" i="53"/>
  <c r="K550" i="53"/>
  <c r="J550" i="53"/>
  <c r="H550" i="53"/>
  <c r="G550" i="53"/>
  <c r="F550" i="53"/>
  <c r="D550" i="53"/>
  <c r="C550" i="53"/>
  <c r="B550" i="53"/>
  <c r="Q549" i="53"/>
  <c r="M549" i="53"/>
  <c r="I549" i="53"/>
  <c r="E549" i="53"/>
  <c r="P544" i="53"/>
  <c r="O544" i="53"/>
  <c r="N544" i="53"/>
  <c r="L544" i="53"/>
  <c r="K544" i="53"/>
  <c r="J544" i="53"/>
  <c r="H544" i="53"/>
  <c r="G544" i="53"/>
  <c r="F544" i="53"/>
  <c r="D544" i="53"/>
  <c r="C544" i="53"/>
  <c r="B544" i="53"/>
  <c r="Q542" i="53"/>
  <c r="M542" i="53"/>
  <c r="I542" i="53"/>
  <c r="E542" i="53"/>
  <c r="Q541" i="53"/>
  <c r="M541" i="53"/>
  <c r="I541" i="53"/>
  <c r="E541" i="53"/>
  <c r="P538" i="53"/>
  <c r="O538" i="53"/>
  <c r="N538" i="53"/>
  <c r="L538" i="53"/>
  <c r="K538" i="53"/>
  <c r="J538" i="53"/>
  <c r="H538" i="53"/>
  <c r="G538" i="53"/>
  <c r="F538" i="53"/>
  <c r="D538" i="53"/>
  <c r="C538" i="53"/>
  <c r="B538" i="53"/>
  <c r="Q536" i="53"/>
  <c r="M536" i="53"/>
  <c r="I536" i="53"/>
  <c r="E536" i="53"/>
  <c r="Q534" i="53"/>
  <c r="M534" i="53"/>
  <c r="I534" i="53"/>
  <c r="E534" i="53"/>
  <c r="Q532" i="53"/>
  <c r="M532" i="53"/>
  <c r="I532" i="53"/>
  <c r="E532" i="53"/>
  <c r="Q531" i="53"/>
  <c r="M531" i="53"/>
  <c r="I531" i="53"/>
  <c r="E531" i="53"/>
  <c r="Q530" i="53"/>
  <c r="M530" i="53"/>
  <c r="I530" i="53"/>
  <c r="E530" i="53"/>
  <c r="Q528" i="53"/>
  <c r="M528" i="53"/>
  <c r="I528" i="53"/>
  <c r="E528" i="53"/>
  <c r="Q527" i="53"/>
  <c r="M527" i="53"/>
  <c r="I527" i="53"/>
  <c r="E527" i="53"/>
  <c r="Q526" i="53"/>
  <c r="M526" i="53"/>
  <c r="I526" i="53"/>
  <c r="E526" i="53"/>
  <c r="Q525" i="53"/>
  <c r="M525" i="53"/>
  <c r="I525" i="53"/>
  <c r="E525" i="53"/>
  <c r="Q524" i="53"/>
  <c r="M524" i="53"/>
  <c r="I524" i="53"/>
  <c r="E524" i="53"/>
  <c r="Q512" i="53"/>
  <c r="M512" i="53"/>
  <c r="I512" i="53"/>
  <c r="E512" i="53"/>
  <c r="P510" i="53"/>
  <c r="O510" i="53"/>
  <c r="N510" i="53"/>
  <c r="L510" i="53"/>
  <c r="K510" i="53"/>
  <c r="J510" i="53"/>
  <c r="H510" i="53"/>
  <c r="G510" i="53"/>
  <c r="F510" i="53"/>
  <c r="D510" i="53"/>
  <c r="C510" i="53"/>
  <c r="B510" i="53"/>
  <c r="P509" i="53"/>
  <c r="O509" i="53"/>
  <c r="N509" i="53"/>
  <c r="L509" i="53"/>
  <c r="K509" i="53"/>
  <c r="J509" i="53"/>
  <c r="H509" i="53"/>
  <c r="G509" i="53"/>
  <c r="F509" i="53"/>
  <c r="D509" i="53"/>
  <c r="C509" i="53"/>
  <c r="B509" i="53"/>
  <c r="Q508" i="53"/>
  <c r="M508" i="53"/>
  <c r="I508" i="53"/>
  <c r="E508" i="53"/>
  <c r="Q507" i="53"/>
  <c r="M507" i="53"/>
  <c r="I507" i="53"/>
  <c r="E507" i="53"/>
  <c r="Q506" i="53"/>
  <c r="M506" i="53"/>
  <c r="I506" i="53"/>
  <c r="E506" i="53"/>
  <c r="Q504" i="53"/>
  <c r="M504" i="53"/>
  <c r="I504" i="53"/>
  <c r="E504" i="53"/>
  <c r="P499" i="53"/>
  <c r="O499" i="53"/>
  <c r="N499" i="53"/>
  <c r="L499" i="53"/>
  <c r="K499" i="53"/>
  <c r="J499" i="53"/>
  <c r="H499" i="53"/>
  <c r="G499" i="53"/>
  <c r="F499" i="53"/>
  <c r="D499" i="53"/>
  <c r="C499" i="53"/>
  <c r="B499" i="53"/>
  <c r="Q498" i="53"/>
  <c r="M498" i="53"/>
  <c r="I498" i="53"/>
  <c r="E498" i="53"/>
  <c r="P494" i="53"/>
  <c r="O494" i="53"/>
  <c r="N494" i="53"/>
  <c r="L494" i="53"/>
  <c r="K494" i="53"/>
  <c r="J494" i="53"/>
  <c r="H494" i="53"/>
  <c r="G494" i="53"/>
  <c r="F494" i="53"/>
  <c r="D494" i="53"/>
  <c r="C494" i="53"/>
  <c r="B494" i="53"/>
  <c r="Q492" i="53"/>
  <c r="M492" i="53"/>
  <c r="I492" i="53"/>
  <c r="E492" i="53"/>
  <c r="Q491" i="53"/>
  <c r="M491" i="53"/>
  <c r="I491" i="53"/>
  <c r="E491" i="53"/>
  <c r="P488" i="53"/>
  <c r="O488" i="53"/>
  <c r="N488" i="53"/>
  <c r="L488" i="53"/>
  <c r="K488" i="53"/>
  <c r="J488" i="53"/>
  <c r="H488" i="53"/>
  <c r="G488" i="53"/>
  <c r="F488" i="53"/>
  <c r="D488" i="53"/>
  <c r="C488" i="53"/>
  <c r="B488" i="53"/>
  <c r="Q484" i="53"/>
  <c r="M484" i="53"/>
  <c r="I484" i="53"/>
  <c r="E484" i="53"/>
  <c r="Q483" i="53"/>
  <c r="M483" i="53"/>
  <c r="I483" i="53"/>
  <c r="E483" i="53"/>
  <c r="Q482" i="53"/>
  <c r="M482" i="53"/>
  <c r="I482" i="53"/>
  <c r="E482" i="53"/>
  <c r="Q469" i="53"/>
  <c r="M469" i="53"/>
  <c r="I469" i="53"/>
  <c r="E469" i="53"/>
  <c r="P467" i="53"/>
  <c r="O467" i="53"/>
  <c r="N467" i="53"/>
  <c r="L467" i="53"/>
  <c r="K467" i="53"/>
  <c r="J467" i="53"/>
  <c r="H467" i="53"/>
  <c r="G467" i="53"/>
  <c r="F467" i="53"/>
  <c r="D467" i="53"/>
  <c r="C467" i="53"/>
  <c r="P466" i="53"/>
  <c r="O466" i="53"/>
  <c r="N466" i="53"/>
  <c r="L466" i="53"/>
  <c r="K466" i="53"/>
  <c r="J466" i="53"/>
  <c r="H466" i="53"/>
  <c r="G466" i="53"/>
  <c r="F466" i="53"/>
  <c r="D466" i="53"/>
  <c r="C466" i="53"/>
  <c r="B466" i="53"/>
  <c r="Q465" i="53"/>
  <c r="M465" i="53"/>
  <c r="I465" i="53"/>
  <c r="E465" i="53"/>
  <c r="Q464" i="53"/>
  <c r="M464" i="53"/>
  <c r="I464" i="53"/>
  <c r="E464" i="53"/>
  <c r="P458" i="53"/>
  <c r="O458" i="53"/>
  <c r="N458" i="53"/>
  <c r="L458" i="53"/>
  <c r="K458" i="53"/>
  <c r="J458" i="53"/>
  <c r="H458" i="53"/>
  <c r="G458" i="53"/>
  <c r="F458" i="53"/>
  <c r="D458" i="53"/>
  <c r="C458" i="53"/>
  <c r="Q457" i="53"/>
  <c r="M457" i="53"/>
  <c r="I457" i="53"/>
  <c r="E457" i="53"/>
  <c r="P453" i="53"/>
  <c r="O453" i="53"/>
  <c r="N453" i="53"/>
  <c r="L453" i="53"/>
  <c r="K453" i="53"/>
  <c r="J453" i="53"/>
  <c r="H453" i="53"/>
  <c r="G453" i="53"/>
  <c r="F453" i="53"/>
  <c r="D453" i="53"/>
  <c r="C453" i="53"/>
  <c r="Q451" i="53"/>
  <c r="M451" i="53"/>
  <c r="I451" i="53"/>
  <c r="E451" i="53"/>
  <c r="P448" i="53"/>
  <c r="O448" i="53"/>
  <c r="N448" i="53"/>
  <c r="L448" i="53"/>
  <c r="K448" i="53"/>
  <c r="J448" i="53"/>
  <c r="H448" i="53"/>
  <c r="G448" i="53"/>
  <c r="F448" i="53"/>
  <c r="D448" i="53"/>
  <c r="C448" i="53"/>
  <c r="Q445" i="53"/>
  <c r="M445" i="53"/>
  <c r="I445" i="53"/>
  <c r="E445" i="53"/>
  <c r="Q444" i="53"/>
  <c r="M444" i="53"/>
  <c r="I444" i="53"/>
  <c r="E444" i="53"/>
  <c r="Q442" i="53"/>
  <c r="M442" i="53"/>
  <c r="I442" i="53"/>
  <c r="E442" i="53"/>
  <c r="Q440" i="53"/>
  <c r="M440" i="53"/>
  <c r="I440" i="53"/>
  <c r="E440" i="53"/>
  <c r="Q422" i="53"/>
  <c r="M422" i="53"/>
  <c r="I422" i="53"/>
  <c r="E422" i="53"/>
  <c r="Q421" i="53"/>
  <c r="M421" i="53"/>
  <c r="I421" i="53"/>
  <c r="E421" i="53"/>
  <c r="Q420" i="53"/>
  <c r="M420" i="53"/>
  <c r="I420" i="53"/>
  <c r="E420" i="53"/>
  <c r="P418" i="53"/>
  <c r="O418" i="53"/>
  <c r="N418" i="53"/>
  <c r="L418" i="53"/>
  <c r="K418" i="53"/>
  <c r="J418" i="53"/>
  <c r="H418" i="53"/>
  <c r="G418" i="53"/>
  <c r="F418" i="53"/>
  <c r="D418" i="53"/>
  <c r="C418" i="53"/>
  <c r="P417" i="53"/>
  <c r="O417" i="53"/>
  <c r="N417" i="53"/>
  <c r="L417" i="53"/>
  <c r="K417" i="53"/>
  <c r="J417" i="53"/>
  <c r="H417" i="53"/>
  <c r="G417" i="53"/>
  <c r="F417" i="53"/>
  <c r="D417" i="53"/>
  <c r="C417" i="53"/>
  <c r="B417" i="53"/>
  <c r="Q416" i="53"/>
  <c r="M416" i="53"/>
  <c r="I416" i="53"/>
  <c r="E416" i="53"/>
  <c r="Q415" i="53"/>
  <c r="M415" i="53"/>
  <c r="I415" i="53"/>
  <c r="E415" i="53"/>
  <c r="Q414" i="53"/>
  <c r="M414" i="53"/>
  <c r="I414" i="53"/>
  <c r="E414" i="53"/>
  <c r="Q413" i="53"/>
  <c r="M413" i="53"/>
  <c r="I413" i="53"/>
  <c r="E413" i="53"/>
  <c r="Q412" i="53"/>
  <c r="M412" i="53"/>
  <c r="I412" i="53"/>
  <c r="E412" i="53"/>
  <c r="Q411" i="53"/>
  <c r="M411" i="53"/>
  <c r="I411" i="53"/>
  <c r="E411" i="53"/>
  <c r="Q410" i="53"/>
  <c r="M410" i="53"/>
  <c r="I410" i="53"/>
  <c r="E410" i="53"/>
  <c r="Q409" i="53"/>
  <c r="M409" i="53"/>
  <c r="I409" i="53"/>
  <c r="E409" i="53"/>
  <c r="Q322" i="53"/>
  <c r="M322" i="53"/>
  <c r="I322" i="53"/>
  <c r="E322" i="53"/>
  <c r="Q407" i="53"/>
  <c r="M407" i="53"/>
  <c r="I407" i="53"/>
  <c r="E407" i="53"/>
  <c r="Q406" i="53"/>
  <c r="M406" i="53"/>
  <c r="I406" i="53"/>
  <c r="E406" i="53"/>
  <c r="Q405" i="53"/>
  <c r="M405" i="53"/>
  <c r="I405" i="53"/>
  <c r="E405" i="53"/>
  <c r="Q404" i="53"/>
  <c r="M404" i="53"/>
  <c r="I404" i="53"/>
  <c r="E404" i="53"/>
  <c r="Q403" i="53"/>
  <c r="M403" i="53"/>
  <c r="I403" i="53"/>
  <c r="E403" i="53"/>
  <c r="Q402" i="53"/>
  <c r="M402" i="53"/>
  <c r="I402" i="53"/>
  <c r="E402" i="53"/>
  <c r="Q400" i="53"/>
  <c r="M400" i="53"/>
  <c r="I400" i="53"/>
  <c r="E400" i="53"/>
  <c r="Q399" i="53"/>
  <c r="M399" i="53"/>
  <c r="I399" i="53"/>
  <c r="E399" i="53"/>
  <c r="Q397" i="53"/>
  <c r="M397" i="53"/>
  <c r="I397" i="53"/>
  <c r="E397" i="53"/>
  <c r="P394" i="53"/>
  <c r="O394" i="53"/>
  <c r="N394" i="53"/>
  <c r="L394" i="53"/>
  <c r="K394" i="53"/>
  <c r="J394" i="53"/>
  <c r="H394" i="53"/>
  <c r="G394" i="53"/>
  <c r="F394" i="53"/>
  <c r="D394" i="53"/>
  <c r="C394" i="53"/>
  <c r="Q393" i="53"/>
  <c r="M393" i="53"/>
  <c r="I393" i="53"/>
  <c r="E393" i="53"/>
  <c r="Q392" i="53"/>
  <c r="M392" i="53"/>
  <c r="I392" i="53"/>
  <c r="E392" i="53"/>
  <c r="Q391" i="53"/>
  <c r="M391" i="53"/>
  <c r="I391" i="53"/>
  <c r="E391" i="53"/>
  <c r="Q390" i="53"/>
  <c r="M390" i="53"/>
  <c r="I390" i="53"/>
  <c r="E390" i="53"/>
  <c r="Q389" i="53"/>
  <c r="M389" i="53"/>
  <c r="I389" i="53"/>
  <c r="E389" i="53"/>
  <c r="Q388" i="53"/>
  <c r="M388" i="53"/>
  <c r="I388" i="53"/>
  <c r="E388" i="53"/>
  <c r="Q386" i="53"/>
  <c r="M386" i="53"/>
  <c r="I386" i="53"/>
  <c r="E386" i="53"/>
  <c r="Q385" i="53"/>
  <c r="M385" i="53"/>
  <c r="I385" i="53"/>
  <c r="E385" i="53"/>
  <c r="Q384" i="53"/>
  <c r="M384" i="53"/>
  <c r="I384" i="53"/>
  <c r="E384" i="53"/>
  <c r="Q383" i="53"/>
  <c r="M383" i="53"/>
  <c r="I383" i="53"/>
  <c r="E383" i="53"/>
  <c r="Q382" i="53"/>
  <c r="M382" i="53"/>
  <c r="I382" i="53"/>
  <c r="E382" i="53"/>
  <c r="Q381" i="53"/>
  <c r="M381" i="53"/>
  <c r="I381" i="53"/>
  <c r="E381" i="53"/>
  <c r="Q380" i="53"/>
  <c r="M380" i="53"/>
  <c r="I380" i="53"/>
  <c r="E380" i="53"/>
  <c r="Q379" i="53"/>
  <c r="M379" i="53"/>
  <c r="I379" i="53"/>
  <c r="E379" i="53"/>
  <c r="Q378" i="53"/>
  <c r="M378" i="53"/>
  <c r="I378" i="53"/>
  <c r="E378" i="53"/>
  <c r="Q376" i="53"/>
  <c r="M376" i="53"/>
  <c r="I376" i="53"/>
  <c r="E376" i="53"/>
  <c r="Q375" i="53"/>
  <c r="M375" i="53"/>
  <c r="I375" i="53"/>
  <c r="E375" i="53"/>
  <c r="Q374" i="53"/>
  <c r="M374" i="53"/>
  <c r="I374" i="53"/>
  <c r="E374" i="53"/>
  <c r="Q372" i="53"/>
  <c r="M372" i="53"/>
  <c r="I372" i="53"/>
  <c r="E372" i="53"/>
  <c r="Q370" i="53"/>
  <c r="M370" i="53"/>
  <c r="I370" i="53"/>
  <c r="E370" i="53"/>
  <c r="Q369" i="53"/>
  <c r="M369" i="53"/>
  <c r="I369" i="53"/>
  <c r="E369" i="53"/>
  <c r="Q368" i="53"/>
  <c r="M368" i="53"/>
  <c r="I368" i="53"/>
  <c r="E368" i="53"/>
  <c r="Q367" i="53"/>
  <c r="M367" i="53"/>
  <c r="I367" i="53"/>
  <c r="E367" i="53"/>
  <c r="Q366" i="53"/>
  <c r="M366" i="53"/>
  <c r="I366" i="53"/>
  <c r="E366" i="53"/>
  <c r="Q365" i="53"/>
  <c r="M365" i="53"/>
  <c r="I365" i="53"/>
  <c r="E365" i="53"/>
  <c r="Q364" i="53"/>
  <c r="M364" i="53"/>
  <c r="I364" i="53"/>
  <c r="E364" i="53"/>
  <c r="Q363" i="53"/>
  <c r="M363" i="53"/>
  <c r="I363" i="53"/>
  <c r="E363" i="53"/>
  <c r="Q362" i="53"/>
  <c r="M362" i="53"/>
  <c r="I362" i="53"/>
  <c r="E362" i="53"/>
  <c r="Q361" i="53"/>
  <c r="M361" i="53"/>
  <c r="I361" i="53"/>
  <c r="E361" i="53"/>
  <c r="Q359" i="53"/>
  <c r="M359" i="53"/>
  <c r="I359" i="53"/>
  <c r="E359" i="53"/>
  <c r="Q358" i="53"/>
  <c r="M358" i="53"/>
  <c r="I358" i="53"/>
  <c r="E358" i="53"/>
  <c r="P355" i="53"/>
  <c r="O355" i="53"/>
  <c r="N355" i="53"/>
  <c r="L355" i="53"/>
  <c r="K355" i="53"/>
  <c r="J355" i="53"/>
  <c r="H355" i="53"/>
  <c r="G355" i="53"/>
  <c r="F355" i="53"/>
  <c r="D355" i="53"/>
  <c r="C355" i="53"/>
  <c r="Q353" i="53"/>
  <c r="M353" i="53"/>
  <c r="I353" i="53"/>
  <c r="E353" i="53"/>
  <c r="Q352" i="53"/>
  <c r="M352" i="53"/>
  <c r="I352" i="53"/>
  <c r="E352" i="53"/>
  <c r="Q351" i="53"/>
  <c r="M351" i="53"/>
  <c r="I351" i="53"/>
  <c r="E351" i="53"/>
  <c r="Q350" i="53"/>
  <c r="I350" i="53"/>
  <c r="E350" i="53"/>
  <c r="Q349" i="53"/>
  <c r="M349" i="53"/>
  <c r="I349" i="53"/>
  <c r="E349" i="53"/>
  <c r="Q348" i="53"/>
  <c r="M348" i="53"/>
  <c r="I348" i="53"/>
  <c r="E348" i="53"/>
  <c r="Q347" i="53"/>
  <c r="M347" i="53"/>
  <c r="I347" i="53"/>
  <c r="E347" i="53"/>
  <c r="Q346" i="53"/>
  <c r="M346" i="53"/>
  <c r="I346" i="53"/>
  <c r="E346" i="53"/>
  <c r="L341" i="53"/>
  <c r="G341" i="53"/>
  <c r="Q339" i="53"/>
  <c r="M339" i="53"/>
  <c r="I339" i="53"/>
  <c r="E339" i="53"/>
  <c r="Q338" i="53"/>
  <c r="M338" i="53"/>
  <c r="I338" i="53"/>
  <c r="E338" i="53"/>
  <c r="Q337" i="53"/>
  <c r="M337" i="53"/>
  <c r="I337" i="53"/>
  <c r="E337" i="53"/>
  <c r="Q336" i="53"/>
  <c r="M336" i="53"/>
  <c r="I336" i="53"/>
  <c r="E336" i="53"/>
  <c r="Q334" i="53"/>
  <c r="M334" i="53"/>
  <c r="I334" i="53"/>
  <c r="E334" i="53"/>
  <c r="Q333" i="53"/>
  <c r="M333" i="53"/>
  <c r="I333" i="53"/>
  <c r="E333" i="53"/>
  <c r="Q332" i="53"/>
  <c r="M332" i="53"/>
  <c r="I332" i="53"/>
  <c r="E332" i="53"/>
  <c r="Q331" i="53"/>
  <c r="M331" i="53"/>
  <c r="I331" i="53"/>
  <c r="E331" i="53"/>
  <c r="Q330" i="53"/>
  <c r="M330" i="53"/>
  <c r="I330" i="53"/>
  <c r="E330" i="53"/>
  <c r="Q329" i="53"/>
  <c r="M329" i="53"/>
  <c r="I329" i="53"/>
  <c r="E329" i="53"/>
  <c r="Q328" i="53"/>
  <c r="M328" i="53"/>
  <c r="I328" i="53"/>
  <c r="E328" i="53"/>
  <c r="Q327" i="53"/>
  <c r="M327" i="53"/>
  <c r="I327" i="53"/>
  <c r="E327" i="53"/>
  <c r="Q326" i="53"/>
  <c r="M326" i="53"/>
  <c r="I326" i="53"/>
  <c r="E326" i="53"/>
  <c r="Q325" i="53"/>
  <c r="M325" i="53"/>
  <c r="I325" i="53"/>
  <c r="E325" i="53"/>
  <c r="Q324" i="53"/>
  <c r="M324" i="53"/>
  <c r="I324" i="53"/>
  <c r="E324" i="53"/>
  <c r="Q323" i="53"/>
  <c r="M323" i="53"/>
  <c r="I323" i="53"/>
  <c r="E323" i="53"/>
  <c r="Q321" i="53"/>
  <c r="M321" i="53"/>
  <c r="I321" i="53"/>
  <c r="E321" i="53"/>
  <c r="Q320" i="53"/>
  <c r="M320" i="53"/>
  <c r="I320" i="53"/>
  <c r="E320" i="53"/>
  <c r="Q318" i="53"/>
  <c r="M318" i="53"/>
  <c r="I318" i="53"/>
  <c r="E318" i="53"/>
  <c r="Q317" i="53"/>
  <c r="M317" i="53"/>
  <c r="I317" i="53"/>
  <c r="E317" i="53"/>
  <c r="Q316" i="53"/>
  <c r="M316" i="53"/>
  <c r="I316" i="53"/>
  <c r="E316" i="53"/>
  <c r="Q315" i="53"/>
  <c r="M315" i="53"/>
  <c r="I315" i="53"/>
  <c r="E315" i="53"/>
  <c r="Q314" i="53"/>
  <c r="M314" i="53"/>
  <c r="I314" i="53"/>
  <c r="E314" i="53"/>
  <c r="Q313" i="53"/>
  <c r="M313" i="53"/>
  <c r="I313" i="53"/>
  <c r="E313" i="53"/>
  <c r="Q312" i="53"/>
  <c r="M312" i="53"/>
  <c r="I312" i="53"/>
  <c r="E312" i="53"/>
  <c r="Q311" i="53"/>
  <c r="M311" i="53"/>
  <c r="I311" i="53"/>
  <c r="E311" i="53"/>
  <c r="Q310" i="53"/>
  <c r="M310" i="53"/>
  <c r="I310" i="53"/>
  <c r="E310" i="53"/>
  <c r="Q309" i="53"/>
  <c r="M309" i="53"/>
  <c r="I309" i="53"/>
  <c r="E309" i="53"/>
  <c r="Q308" i="53"/>
  <c r="M308" i="53"/>
  <c r="I308" i="53"/>
  <c r="E308" i="53"/>
  <c r="Q307" i="53"/>
  <c r="M307" i="53"/>
  <c r="I307" i="53"/>
  <c r="E307" i="53"/>
  <c r="Q305" i="53"/>
  <c r="M305" i="53"/>
  <c r="I305" i="53"/>
  <c r="E305" i="53"/>
  <c r="Q303" i="53"/>
  <c r="M303" i="53"/>
  <c r="I303" i="53"/>
  <c r="E303" i="53"/>
  <c r="M302" i="53"/>
  <c r="I302" i="53"/>
  <c r="E302" i="53"/>
  <c r="L294" i="53"/>
  <c r="H294" i="53"/>
  <c r="G294" i="53"/>
  <c r="F294" i="53"/>
  <c r="D294" i="53"/>
  <c r="C294" i="53"/>
  <c r="B294" i="53"/>
  <c r="Q292" i="53"/>
  <c r="M292" i="53"/>
  <c r="I292" i="53"/>
  <c r="E292" i="53"/>
  <c r="Q281" i="53"/>
  <c r="M281" i="53"/>
  <c r="I281" i="53"/>
  <c r="E281" i="53"/>
  <c r="Q280" i="53"/>
  <c r="M280" i="53"/>
  <c r="I280" i="53"/>
  <c r="E280" i="53"/>
  <c r="M279" i="53"/>
  <c r="I279" i="53"/>
  <c r="E279" i="53"/>
  <c r="Q278" i="53"/>
  <c r="M278" i="53"/>
  <c r="I278" i="53"/>
  <c r="E278" i="53"/>
  <c r="Q277" i="53"/>
  <c r="M277" i="53"/>
  <c r="I277" i="53"/>
  <c r="E277" i="53"/>
  <c r="Q276" i="53"/>
  <c r="M276" i="53"/>
  <c r="H15" i="53"/>
  <c r="E276" i="53"/>
  <c r="P274" i="53"/>
  <c r="O274" i="53"/>
  <c r="N274" i="53"/>
  <c r="L274" i="53"/>
  <c r="K274" i="53"/>
  <c r="J274" i="53"/>
  <c r="H274" i="53"/>
  <c r="G274" i="53"/>
  <c r="F274" i="53"/>
  <c r="D274" i="53"/>
  <c r="C274" i="53"/>
  <c r="P273" i="53"/>
  <c r="O273" i="53"/>
  <c r="N273" i="53"/>
  <c r="L273" i="53"/>
  <c r="K273" i="53"/>
  <c r="J273" i="53"/>
  <c r="H273" i="53"/>
  <c r="G273" i="53"/>
  <c r="F273" i="53"/>
  <c r="D273" i="53"/>
  <c r="C273" i="53"/>
  <c r="Q270" i="53"/>
  <c r="M270" i="53"/>
  <c r="I270" i="53"/>
  <c r="E270" i="53"/>
  <c r="Q269" i="53"/>
  <c r="M269" i="53"/>
  <c r="I269" i="53"/>
  <c r="E269" i="53"/>
  <c r="Q268" i="53"/>
  <c r="M268" i="53"/>
  <c r="I268" i="53"/>
  <c r="E268" i="53"/>
  <c r="Q267" i="53"/>
  <c r="M267" i="53"/>
  <c r="I267" i="53"/>
  <c r="E267" i="53"/>
  <c r="Q266" i="53"/>
  <c r="M266" i="53"/>
  <c r="I266" i="53"/>
  <c r="E266" i="53"/>
  <c r="Q265" i="53"/>
  <c r="M265" i="53"/>
  <c r="I265" i="53"/>
  <c r="E265" i="53"/>
  <c r="Q264" i="53"/>
  <c r="M264" i="53"/>
  <c r="I264" i="53"/>
  <c r="E264" i="53"/>
  <c r="Q263" i="53"/>
  <c r="M263" i="53"/>
  <c r="I263" i="53"/>
  <c r="E263" i="53"/>
  <c r="Q261" i="53"/>
  <c r="M261" i="53"/>
  <c r="I261" i="53"/>
  <c r="E261" i="53"/>
  <c r="Q260" i="53"/>
  <c r="M260" i="53"/>
  <c r="I260" i="53"/>
  <c r="E260" i="53"/>
  <c r="Q259" i="53"/>
  <c r="M259" i="53"/>
  <c r="I259" i="53"/>
  <c r="E259" i="53"/>
  <c r="Q258" i="53"/>
  <c r="M258" i="53"/>
  <c r="I258" i="53"/>
  <c r="E258" i="53"/>
  <c r="P255" i="53"/>
  <c r="O255" i="53"/>
  <c r="N255" i="53"/>
  <c r="L255" i="53"/>
  <c r="K255" i="53"/>
  <c r="J255" i="53"/>
  <c r="H255" i="53"/>
  <c r="G255" i="53"/>
  <c r="F255" i="53"/>
  <c r="Q253" i="53"/>
  <c r="M253" i="53"/>
  <c r="I253" i="53"/>
  <c r="E253" i="53"/>
  <c r="Q252" i="53"/>
  <c r="M252" i="53"/>
  <c r="I252" i="53"/>
  <c r="E252" i="53"/>
  <c r="Q251" i="53"/>
  <c r="M251" i="53"/>
  <c r="I251" i="53"/>
  <c r="E251" i="53"/>
  <c r="Q250" i="53"/>
  <c r="M250" i="53"/>
  <c r="I250" i="53"/>
  <c r="E250" i="53"/>
  <c r="Q249" i="53"/>
  <c r="M249" i="53"/>
  <c r="I249" i="53"/>
  <c r="E249" i="53"/>
  <c r="Q248" i="53"/>
  <c r="M248" i="53"/>
  <c r="I248" i="53"/>
  <c r="E248" i="53"/>
  <c r="Q247" i="53"/>
  <c r="M247" i="53"/>
  <c r="I247" i="53"/>
  <c r="E247" i="53"/>
  <c r="Q246" i="53"/>
  <c r="M246" i="53"/>
  <c r="I246" i="53"/>
  <c r="E246" i="53"/>
  <c r="Q245" i="53"/>
  <c r="M245" i="53"/>
  <c r="I245" i="53"/>
  <c r="E245" i="53"/>
  <c r="Q244" i="53"/>
  <c r="M244" i="53"/>
  <c r="I244" i="53"/>
  <c r="E244" i="53"/>
  <c r="Q243" i="53"/>
  <c r="M243" i="53"/>
  <c r="I243" i="53"/>
  <c r="E243" i="53"/>
  <c r="Q242" i="53"/>
  <c r="M242" i="53"/>
  <c r="I242" i="53"/>
  <c r="E242" i="53"/>
  <c r="Q241" i="53"/>
  <c r="M241" i="53"/>
  <c r="I241" i="53"/>
  <c r="E241" i="53"/>
  <c r="Q240" i="53"/>
  <c r="M240" i="53"/>
  <c r="I240" i="53"/>
  <c r="E240" i="53"/>
  <c r="Q239" i="53"/>
  <c r="M239" i="53"/>
  <c r="I239" i="53"/>
  <c r="E239" i="53"/>
  <c r="Q238" i="53"/>
  <c r="M238" i="53"/>
  <c r="I238" i="53"/>
  <c r="E238" i="53"/>
  <c r="Q237" i="53"/>
  <c r="M237" i="53"/>
  <c r="I237" i="53"/>
  <c r="E237" i="53"/>
  <c r="Q236" i="53"/>
  <c r="M236" i="53"/>
  <c r="I236" i="53"/>
  <c r="E236" i="53"/>
  <c r="Q235" i="53"/>
  <c r="M235" i="53"/>
  <c r="I235" i="53"/>
  <c r="E235" i="53"/>
  <c r="Q234" i="53"/>
  <c r="M234" i="53"/>
  <c r="I234" i="53"/>
  <c r="E234" i="53"/>
  <c r="Q233" i="53"/>
  <c r="M233" i="53"/>
  <c r="I233" i="53"/>
  <c r="E233" i="53"/>
  <c r="Q232" i="53"/>
  <c r="M232" i="53"/>
  <c r="I232" i="53"/>
  <c r="E232" i="53"/>
  <c r="Q231" i="53"/>
  <c r="M231" i="53"/>
  <c r="I231" i="53"/>
  <c r="E231" i="53"/>
  <c r="Q230" i="53"/>
  <c r="M230" i="53"/>
  <c r="I230" i="53"/>
  <c r="E230" i="53"/>
  <c r="Q229" i="53"/>
  <c r="M229" i="53"/>
  <c r="I229" i="53"/>
  <c r="F786" i="53"/>
  <c r="D255" i="53"/>
  <c r="B786" i="53"/>
  <c r="Q226" i="53"/>
  <c r="M226" i="53"/>
  <c r="I226" i="53"/>
  <c r="E226" i="53"/>
  <c r="Q225" i="53"/>
  <c r="M225" i="53"/>
  <c r="I225" i="53"/>
  <c r="E225" i="53"/>
  <c r="Q224" i="53"/>
  <c r="M224" i="53"/>
  <c r="I224" i="53"/>
  <c r="E224" i="53"/>
  <c r="Q221" i="53"/>
  <c r="M221" i="53"/>
  <c r="I221" i="53"/>
  <c r="E221" i="53"/>
  <c r="Q220" i="53"/>
  <c r="M220" i="53"/>
  <c r="I220" i="53"/>
  <c r="E220" i="53"/>
  <c r="Q219" i="53"/>
  <c r="M219" i="53"/>
  <c r="I219" i="53"/>
  <c r="E219" i="53"/>
  <c r="Q218" i="53"/>
  <c r="M218" i="53"/>
  <c r="I218" i="53"/>
  <c r="E218" i="53"/>
  <c r="Q217" i="53"/>
  <c r="M217" i="53"/>
  <c r="I217" i="53"/>
  <c r="E217" i="53"/>
  <c r="Q216" i="53"/>
  <c r="M216" i="53"/>
  <c r="I216" i="53"/>
  <c r="E216" i="53"/>
  <c r="Q215" i="53"/>
  <c r="M215" i="53"/>
  <c r="I215" i="53"/>
  <c r="E215" i="53"/>
  <c r="Q214" i="53"/>
  <c r="M214" i="53"/>
  <c r="I214" i="53"/>
  <c r="E214" i="53"/>
  <c r="Q213" i="53"/>
  <c r="M213" i="53"/>
  <c r="I213" i="53"/>
  <c r="E213" i="53"/>
  <c r="Q212" i="53"/>
  <c r="M212" i="53"/>
  <c r="I212" i="53"/>
  <c r="E212" i="53"/>
  <c r="Q211" i="53"/>
  <c r="M211" i="53"/>
  <c r="I211" i="53"/>
  <c r="E211" i="53"/>
  <c r="Q210" i="53"/>
  <c r="M210" i="53"/>
  <c r="I210" i="53"/>
  <c r="E210" i="53"/>
  <c r="Q209" i="53"/>
  <c r="M209" i="53"/>
  <c r="I209" i="53"/>
  <c r="E209" i="53"/>
  <c r="P205" i="53"/>
  <c r="O205" i="53"/>
  <c r="N205" i="53"/>
  <c r="L205" i="53"/>
  <c r="K205" i="53"/>
  <c r="J205" i="53"/>
  <c r="H205" i="53"/>
  <c r="G205" i="53"/>
  <c r="F205" i="53"/>
  <c r="D205" i="53"/>
  <c r="C205" i="53"/>
  <c r="Q203" i="53"/>
  <c r="M203" i="53"/>
  <c r="I203" i="53"/>
  <c r="E203" i="53"/>
  <c r="Q202" i="53"/>
  <c r="M202" i="53"/>
  <c r="I202" i="53"/>
  <c r="E202" i="53"/>
  <c r="P198" i="53"/>
  <c r="K198" i="53"/>
  <c r="J198" i="53"/>
  <c r="H198" i="53"/>
  <c r="G198" i="53"/>
  <c r="F198" i="53"/>
  <c r="D198" i="53"/>
  <c r="Q196" i="53"/>
  <c r="M196" i="53"/>
  <c r="I196" i="53"/>
  <c r="E196" i="53"/>
  <c r="Q195" i="53"/>
  <c r="M195" i="53"/>
  <c r="I195" i="53"/>
  <c r="E195" i="53"/>
  <c r="Q194" i="53"/>
  <c r="M194" i="53"/>
  <c r="I194" i="53"/>
  <c r="E194" i="53"/>
  <c r="Q192" i="53"/>
  <c r="M192" i="53"/>
  <c r="I192" i="53"/>
  <c r="E192" i="53"/>
  <c r="Q191" i="53"/>
  <c r="M191" i="53"/>
  <c r="I191" i="53"/>
  <c r="E191" i="53"/>
  <c r="Q190" i="53"/>
  <c r="M190" i="53"/>
  <c r="I190" i="53"/>
  <c r="E190" i="53"/>
  <c r="Q189" i="53"/>
  <c r="M189" i="53"/>
  <c r="I189" i="53"/>
  <c r="E189" i="53"/>
  <c r="Q188" i="53"/>
  <c r="M188" i="53"/>
  <c r="I188" i="53"/>
  <c r="E188" i="53"/>
  <c r="Q187" i="53"/>
  <c r="M187" i="53"/>
  <c r="I187" i="53"/>
  <c r="E187" i="53"/>
  <c r="Q186" i="53"/>
  <c r="M186" i="53"/>
  <c r="I186" i="53"/>
  <c r="E186" i="53"/>
  <c r="Q185" i="53"/>
  <c r="M185" i="53"/>
  <c r="I185" i="53"/>
  <c r="E185" i="53"/>
  <c r="Q184" i="53"/>
  <c r="M184" i="53"/>
  <c r="I184" i="53"/>
  <c r="E184" i="53"/>
  <c r="Q183" i="53"/>
  <c r="M183" i="53"/>
  <c r="I183" i="53"/>
  <c r="E183" i="53"/>
  <c r="Q180" i="53"/>
  <c r="M180" i="53"/>
  <c r="I180" i="53"/>
  <c r="E180" i="53"/>
  <c r="Q179" i="53"/>
  <c r="M179" i="53"/>
  <c r="I179" i="53"/>
  <c r="E179" i="53"/>
  <c r="Q178" i="53"/>
  <c r="M178" i="53"/>
  <c r="I178" i="53"/>
  <c r="E178" i="53"/>
  <c r="Q177" i="53"/>
  <c r="M177" i="53"/>
  <c r="I177" i="53"/>
  <c r="E177" i="53"/>
  <c r="E176" i="53"/>
  <c r="R176" i="53" s="1"/>
  <c r="Q175" i="53"/>
  <c r="M175" i="53"/>
  <c r="I175" i="53"/>
  <c r="E175" i="53"/>
  <c r="Q174" i="53"/>
  <c r="M174" i="53"/>
  <c r="I174" i="53"/>
  <c r="E174" i="53"/>
  <c r="Q173" i="53"/>
  <c r="M173" i="53"/>
  <c r="I173" i="53"/>
  <c r="E173" i="53"/>
  <c r="Q172" i="53"/>
  <c r="M172" i="53"/>
  <c r="I172" i="53"/>
  <c r="E172" i="53"/>
  <c r="Q171" i="53"/>
  <c r="M171" i="53"/>
  <c r="I171" i="53"/>
  <c r="E171" i="53"/>
  <c r="Q170" i="53"/>
  <c r="M170" i="53"/>
  <c r="I170" i="53"/>
  <c r="E170" i="53"/>
  <c r="Q169" i="53"/>
  <c r="M169" i="53"/>
  <c r="I169" i="53"/>
  <c r="E169" i="53"/>
  <c r="Q168" i="53"/>
  <c r="M168" i="53"/>
  <c r="I168" i="53"/>
  <c r="E168" i="53"/>
  <c r="Q167" i="53"/>
  <c r="M167" i="53"/>
  <c r="I167" i="53"/>
  <c r="E167" i="53"/>
  <c r="Q166" i="53"/>
  <c r="M166" i="53"/>
  <c r="I166" i="53"/>
  <c r="E166" i="53"/>
  <c r="Q165" i="53"/>
  <c r="M165" i="53"/>
  <c r="I165" i="53"/>
  <c r="E165" i="53"/>
  <c r="Q164" i="53"/>
  <c r="M164" i="53"/>
  <c r="I164" i="53"/>
  <c r="E164" i="53"/>
  <c r="Q163" i="53"/>
  <c r="M163" i="53"/>
  <c r="I163" i="53"/>
  <c r="E163" i="53"/>
  <c r="Q159" i="53"/>
  <c r="M159" i="53"/>
  <c r="I159" i="53"/>
  <c r="E159" i="53"/>
  <c r="Q158" i="53"/>
  <c r="M158" i="53"/>
  <c r="I158" i="53"/>
  <c r="E158" i="53"/>
  <c r="Q157" i="53"/>
  <c r="M157" i="53"/>
  <c r="I157" i="53"/>
  <c r="E157" i="53"/>
  <c r="Q156" i="53"/>
  <c r="M156" i="53"/>
  <c r="I156" i="53"/>
  <c r="E156" i="53"/>
  <c r="Q155" i="53"/>
  <c r="M155" i="53"/>
  <c r="I155" i="53"/>
  <c r="E155" i="53"/>
  <c r="Q154" i="53"/>
  <c r="M154" i="53"/>
  <c r="I154" i="53"/>
  <c r="E154" i="53"/>
  <c r="Q153" i="53"/>
  <c r="M153" i="53"/>
  <c r="I153" i="53"/>
  <c r="E153" i="53"/>
  <c r="Q152" i="53"/>
  <c r="M152" i="53"/>
  <c r="I152" i="53"/>
  <c r="E152" i="53"/>
  <c r="Q151" i="53"/>
  <c r="M151" i="53"/>
  <c r="I151" i="53"/>
  <c r="E151" i="53"/>
  <c r="Q149" i="53"/>
  <c r="M149" i="53"/>
  <c r="I149" i="53"/>
  <c r="E149" i="53"/>
  <c r="Q148" i="53"/>
  <c r="M148" i="53"/>
  <c r="I148" i="53"/>
  <c r="E148" i="53"/>
  <c r="Q146" i="53"/>
  <c r="M146" i="53"/>
  <c r="I146" i="53"/>
  <c r="E146" i="53"/>
  <c r="Q145" i="53"/>
  <c r="M145" i="53"/>
  <c r="I145" i="53"/>
  <c r="E145" i="53"/>
  <c r="Q144" i="53"/>
  <c r="M144" i="53"/>
  <c r="I144" i="53"/>
  <c r="E144" i="53"/>
  <c r="Q143" i="53"/>
  <c r="M143" i="53"/>
  <c r="I143" i="53"/>
  <c r="E143" i="53"/>
  <c r="Q142" i="53"/>
  <c r="M142" i="53"/>
  <c r="E142" i="53"/>
  <c r="I141" i="53"/>
  <c r="E141" i="53"/>
  <c r="Q140" i="53"/>
  <c r="M140" i="53"/>
  <c r="I140" i="53"/>
  <c r="E140" i="53"/>
  <c r="Q128" i="53"/>
  <c r="M128" i="53"/>
  <c r="I128" i="53"/>
  <c r="E128" i="53"/>
  <c r="P126" i="53"/>
  <c r="O126" i="53"/>
  <c r="N126" i="53"/>
  <c r="L126" i="53"/>
  <c r="K126" i="53"/>
  <c r="J126" i="53"/>
  <c r="H126" i="53"/>
  <c r="G126" i="53"/>
  <c r="F126" i="53"/>
  <c r="D126" i="53"/>
  <c r="C126" i="53"/>
  <c r="B126" i="53"/>
  <c r="P125" i="53"/>
  <c r="O125" i="53"/>
  <c r="N125" i="53"/>
  <c r="L125" i="53"/>
  <c r="K125" i="53"/>
  <c r="J125" i="53"/>
  <c r="H125" i="53"/>
  <c r="G125" i="53"/>
  <c r="F125" i="53"/>
  <c r="D125" i="53"/>
  <c r="C125" i="53"/>
  <c r="Q123" i="53"/>
  <c r="M123" i="53"/>
  <c r="I123" i="53"/>
  <c r="E123" i="53"/>
  <c r="Q121" i="53"/>
  <c r="M121" i="53"/>
  <c r="I121" i="53"/>
  <c r="E121" i="53"/>
  <c r="Q120" i="53"/>
  <c r="M120" i="53"/>
  <c r="I120" i="53"/>
  <c r="E120" i="53"/>
  <c r="Q118" i="53"/>
  <c r="M118" i="53"/>
  <c r="I118" i="53"/>
  <c r="E118" i="53"/>
  <c r="Q117" i="53"/>
  <c r="M117" i="53"/>
  <c r="I117" i="53"/>
  <c r="E117" i="53"/>
  <c r="Q116" i="53"/>
  <c r="M116" i="53"/>
  <c r="I116" i="53"/>
  <c r="E116" i="53"/>
  <c r="Q115" i="53"/>
  <c r="M115" i="53"/>
  <c r="I115" i="53"/>
  <c r="E115" i="53"/>
  <c r="Q114" i="53"/>
  <c r="M114" i="53"/>
  <c r="I114" i="53"/>
  <c r="E114" i="53"/>
  <c r="Q113" i="53"/>
  <c r="M113" i="53"/>
  <c r="I113" i="53"/>
  <c r="E113" i="53"/>
  <c r="Q112" i="53"/>
  <c r="M112" i="53"/>
  <c r="I112" i="53"/>
  <c r="E112" i="53"/>
  <c r="Q111" i="53"/>
  <c r="M111" i="53"/>
  <c r="I111" i="53"/>
  <c r="E111" i="53"/>
  <c r="P108" i="53"/>
  <c r="O108" i="53"/>
  <c r="N108" i="53"/>
  <c r="L108" i="53"/>
  <c r="K108" i="53"/>
  <c r="J108" i="53"/>
  <c r="H108" i="53"/>
  <c r="G108" i="53"/>
  <c r="F108" i="53"/>
  <c r="D108" i="53"/>
  <c r="C108" i="53"/>
  <c r="Q107" i="53"/>
  <c r="M107" i="53"/>
  <c r="I107" i="53"/>
  <c r="E107" i="53"/>
  <c r="Q105" i="53"/>
  <c r="M105" i="53"/>
  <c r="I105" i="53"/>
  <c r="E105" i="53"/>
  <c r="Q104" i="53"/>
  <c r="M104" i="53"/>
  <c r="I104" i="53"/>
  <c r="E104" i="53"/>
  <c r="Q103" i="53"/>
  <c r="M103" i="53"/>
  <c r="I103" i="53"/>
  <c r="E103" i="53"/>
  <c r="Q102" i="53"/>
  <c r="M102" i="53"/>
  <c r="I102" i="53"/>
  <c r="E102" i="53"/>
  <c r="Q101" i="53"/>
  <c r="M101" i="53"/>
  <c r="I101" i="53"/>
  <c r="E101" i="53"/>
  <c r="Q100" i="53"/>
  <c r="M100" i="53"/>
  <c r="I100" i="53"/>
  <c r="E100" i="53"/>
  <c r="P96" i="53"/>
  <c r="O96" i="53"/>
  <c r="N96" i="53"/>
  <c r="L96" i="53"/>
  <c r="K96" i="53"/>
  <c r="J96" i="53"/>
  <c r="H96" i="53"/>
  <c r="G96" i="53"/>
  <c r="F96" i="53"/>
  <c r="D96" i="53"/>
  <c r="C96" i="53"/>
  <c r="Q94" i="53"/>
  <c r="M94" i="53"/>
  <c r="I94" i="53"/>
  <c r="E94" i="53"/>
  <c r="Q93" i="53"/>
  <c r="M93" i="53"/>
  <c r="I93" i="53"/>
  <c r="E93" i="53"/>
  <c r="P89" i="53"/>
  <c r="O89" i="53"/>
  <c r="N89" i="53"/>
  <c r="L89" i="53"/>
  <c r="K89" i="53"/>
  <c r="J89" i="53"/>
  <c r="H89" i="53"/>
  <c r="G89" i="53"/>
  <c r="F89" i="53"/>
  <c r="D89" i="53"/>
  <c r="C89" i="53"/>
  <c r="Q87" i="53"/>
  <c r="M87" i="53"/>
  <c r="I87" i="53"/>
  <c r="E87" i="53"/>
  <c r="Q86" i="53"/>
  <c r="M86" i="53"/>
  <c r="I86" i="53"/>
  <c r="E86" i="53"/>
  <c r="Q84" i="53"/>
  <c r="M84" i="53"/>
  <c r="I84" i="53"/>
  <c r="E84" i="53"/>
  <c r="Q83" i="53"/>
  <c r="M83" i="53"/>
  <c r="I83" i="53"/>
  <c r="E83" i="53"/>
  <c r="Q81" i="53"/>
  <c r="M81" i="53"/>
  <c r="I81" i="53"/>
  <c r="E81" i="53"/>
  <c r="Q80" i="53"/>
  <c r="M80" i="53"/>
  <c r="I80" i="53"/>
  <c r="E80" i="53"/>
  <c r="Q79" i="53"/>
  <c r="M79" i="53"/>
  <c r="I79" i="53"/>
  <c r="E79" i="53"/>
  <c r="Q78" i="53"/>
  <c r="M78" i="53"/>
  <c r="I78" i="53"/>
  <c r="E78" i="53"/>
  <c r="Q77" i="53"/>
  <c r="M77" i="53"/>
  <c r="I77" i="53"/>
  <c r="E77" i="53"/>
  <c r="Q76" i="53"/>
  <c r="M76" i="53"/>
  <c r="I76" i="53"/>
  <c r="E76" i="53"/>
  <c r="Q75" i="53"/>
  <c r="M75" i="53"/>
  <c r="I75" i="53"/>
  <c r="E75" i="53"/>
  <c r="Q74" i="53"/>
  <c r="M74" i="53"/>
  <c r="I74" i="53"/>
  <c r="E74" i="53"/>
  <c r="Q73" i="53"/>
  <c r="M73" i="53"/>
  <c r="I73" i="53"/>
  <c r="E73" i="53"/>
  <c r="Q72" i="53"/>
  <c r="M72" i="53"/>
  <c r="I72" i="53"/>
  <c r="E72" i="53"/>
  <c r="Q60" i="53"/>
  <c r="M60" i="53"/>
  <c r="I60" i="53"/>
  <c r="E60" i="53"/>
  <c r="P58" i="53"/>
  <c r="O58" i="53"/>
  <c r="N58" i="53"/>
  <c r="L58" i="53"/>
  <c r="K58" i="53"/>
  <c r="J58" i="53"/>
  <c r="H58" i="53"/>
  <c r="G58" i="53"/>
  <c r="F58" i="53"/>
  <c r="D58" i="53"/>
  <c r="C58" i="53"/>
  <c r="B58" i="53"/>
  <c r="P57" i="53"/>
  <c r="O57" i="53"/>
  <c r="N57" i="53"/>
  <c r="L57" i="53"/>
  <c r="K57" i="53"/>
  <c r="J57" i="53"/>
  <c r="H57" i="53"/>
  <c r="G57" i="53"/>
  <c r="F57" i="53"/>
  <c r="D57" i="53"/>
  <c r="C57" i="53"/>
  <c r="B57" i="53"/>
  <c r="Q54" i="53"/>
  <c r="M54" i="53"/>
  <c r="I54" i="53"/>
  <c r="E54" i="53"/>
  <c r="P50" i="53"/>
  <c r="O50" i="53"/>
  <c r="N50" i="53"/>
  <c r="L50" i="53"/>
  <c r="K50" i="53"/>
  <c r="J50" i="53"/>
  <c r="H50" i="53"/>
  <c r="G50" i="53"/>
  <c r="F50" i="53"/>
  <c r="D50" i="53"/>
  <c r="C50" i="53"/>
  <c r="B50" i="53"/>
  <c r="P46" i="53"/>
  <c r="O46" i="53"/>
  <c r="N46" i="53"/>
  <c r="L46" i="53"/>
  <c r="K46" i="53"/>
  <c r="J46" i="53"/>
  <c r="H46" i="53"/>
  <c r="G46" i="53"/>
  <c r="F46" i="53"/>
  <c r="D46" i="53"/>
  <c r="C46" i="53"/>
  <c r="B46" i="53"/>
  <c r="P41" i="53"/>
  <c r="O41" i="53"/>
  <c r="N41" i="53"/>
  <c r="L41" i="53"/>
  <c r="K41" i="53"/>
  <c r="J41" i="53"/>
  <c r="H41" i="53"/>
  <c r="G41" i="53"/>
  <c r="F41" i="53"/>
  <c r="D41" i="53"/>
  <c r="C41" i="53"/>
  <c r="B41" i="53"/>
  <c r="Q38" i="53"/>
  <c r="M38" i="53"/>
  <c r="I38" i="53"/>
  <c r="E38" i="53"/>
  <c r="P27" i="53"/>
  <c r="O27" i="53"/>
  <c r="N27" i="53"/>
  <c r="L27" i="53"/>
  <c r="K27" i="53"/>
  <c r="J27" i="53"/>
  <c r="H27" i="53"/>
  <c r="G27" i="53"/>
  <c r="F27" i="53"/>
  <c r="D27" i="53"/>
  <c r="C27" i="53"/>
  <c r="B27" i="53"/>
  <c r="Q25" i="53"/>
  <c r="M25" i="53"/>
  <c r="I25" i="53"/>
  <c r="E25" i="53"/>
  <c r="P18" i="53"/>
  <c r="O18" i="53"/>
  <c r="N18" i="53"/>
  <c r="L18" i="53"/>
  <c r="K18" i="53"/>
  <c r="J18" i="53"/>
  <c r="H18" i="53"/>
  <c r="G18" i="53"/>
  <c r="F18" i="53"/>
  <c r="D18" i="53"/>
  <c r="C18" i="53"/>
  <c r="B18" i="53"/>
  <c r="O17" i="53"/>
  <c r="N17" i="53"/>
  <c r="L17" i="53"/>
  <c r="K17" i="53"/>
  <c r="J17" i="53"/>
  <c r="H17" i="53"/>
  <c r="G17" i="53"/>
  <c r="F17" i="53"/>
  <c r="D17" i="53"/>
  <c r="C17" i="53"/>
  <c r="B17" i="53"/>
  <c r="P16" i="53"/>
  <c r="O16" i="53"/>
  <c r="N16" i="53"/>
  <c r="L16" i="53"/>
  <c r="K16" i="53"/>
  <c r="J16" i="53"/>
  <c r="H16" i="53"/>
  <c r="G16" i="53"/>
  <c r="F16" i="53"/>
  <c r="D16" i="53"/>
  <c r="C16" i="53"/>
  <c r="B16" i="53"/>
  <c r="P15" i="53"/>
  <c r="O15" i="53"/>
  <c r="N15" i="53"/>
  <c r="L15" i="53"/>
  <c r="K15" i="53"/>
  <c r="J15" i="53"/>
  <c r="G15" i="53"/>
  <c r="F15" i="53"/>
  <c r="C15" i="53"/>
  <c r="B15" i="53"/>
  <c r="P14" i="53"/>
  <c r="O14" i="53"/>
  <c r="N14" i="53"/>
  <c r="L14" i="53"/>
  <c r="K14" i="53"/>
  <c r="J14" i="53"/>
  <c r="H14" i="53"/>
  <c r="G14" i="53"/>
  <c r="F14" i="53"/>
  <c r="D14" i="53"/>
  <c r="C14" i="53"/>
  <c r="B14" i="53"/>
  <c r="R1" i="53"/>
  <c r="D10" i="53"/>
  <c r="AE967" i="53"/>
  <c r="J10" i="53"/>
  <c r="O10" i="53"/>
  <c r="H10" i="53"/>
  <c r="B10" i="53"/>
  <c r="N10" i="53"/>
  <c r="G10" i="53"/>
  <c r="F10" i="53"/>
  <c r="P10" i="53"/>
  <c r="C10" i="53"/>
  <c r="L10" i="53"/>
  <c r="K10" i="53"/>
  <c r="B59" i="53" l="1"/>
  <c r="D778" i="53"/>
  <c r="D812" i="53" s="1"/>
  <c r="N59" i="53"/>
  <c r="N62" i="53" s="1"/>
  <c r="K613" i="53"/>
  <c r="K616" i="53" s="1"/>
  <c r="K617" i="53" s="1"/>
  <c r="H702" i="53"/>
  <c r="H706" i="53" s="1"/>
  <c r="H708" i="53" s="1"/>
  <c r="N702" i="53"/>
  <c r="N706" i="53" s="1"/>
  <c r="J59" i="53"/>
  <c r="J62" i="53" s="1"/>
  <c r="G59" i="53"/>
  <c r="G62" i="53" s="1"/>
  <c r="G63" i="53" s="1"/>
  <c r="R359" i="53"/>
  <c r="E785" i="53"/>
  <c r="AD824" i="53"/>
  <c r="AO824" i="53" s="1"/>
  <c r="F341" i="53"/>
  <c r="F419" i="53" s="1"/>
  <c r="F778" i="53"/>
  <c r="K341" i="53"/>
  <c r="K419" i="53" s="1"/>
  <c r="K424" i="53" s="1"/>
  <c r="P341" i="53"/>
  <c r="P419" i="53" s="1"/>
  <c r="P424" i="53" s="1"/>
  <c r="P425" i="53" s="1"/>
  <c r="P778" i="53"/>
  <c r="H341" i="53"/>
  <c r="H419" i="53" s="1"/>
  <c r="H424" i="53" s="1"/>
  <c r="H425" i="53" s="1"/>
  <c r="L1007" i="53"/>
  <c r="R1054" i="53"/>
  <c r="Q304" i="53"/>
  <c r="L468" i="53"/>
  <c r="L471" i="53" s="1"/>
  <c r="L472" i="53" s="1"/>
  <c r="G468" i="53"/>
  <c r="G471" i="53" s="1"/>
  <c r="G472" i="53" s="1"/>
  <c r="D127" i="53"/>
  <c r="D130" i="53" s="1"/>
  <c r="D131" i="53" s="1"/>
  <c r="G866" i="53"/>
  <c r="J659" i="53"/>
  <c r="J662" i="53" s="1"/>
  <c r="J663" i="53" s="1"/>
  <c r="I304" i="53"/>
  <c r="C468" i="53"/>
  <c r="C471" i="53" s="1"/>
  <c r="C472" i="53" s="1"/>
  <c r="G127" i="53"/>
  <c r="G130" i="53" s="1"/>
  <c r="G131" i="53" s="1"/>
  <c r="L702" i="53"/>
  <c r="L706" i="53" s="1"/>
  <c r="L707" i="53" s="1"/>
  <c r="D59" i="53"/>
  <c r="D62" i="53" s="1"/>
  <c r="D63" i="53" s="1"/>
  <c r="G613" i="53"/>
  <c r="G616" i="53" s="1"/>
  <c r="G617" i="53" s="1"/>
  <c r="F59" i="53"/>
  <c r="F62" i="53" s="1"/>
  <c r="K59" i="53"/>
  <c r="K62" i="53" s="1"/>
  <c r="K63" i="53" s="1"/>
  <c r="AG860" i="53"/>
  <c r="I27" i="53"/>
  <c r="E27" i="53"/>
  <c r="C795" i="53"/>
  <c r="B751" i="53"/>
  <c r="B754" i="53" s="1"/>
  <c r="B756" i="53" s="1"/>
  <c r="K127" i="53"/>
  <c r="K130" i="53" s="1"/>
  <c r="K131" i="53" s="1"/>
  <c r="O783" i="53"/>
  <c r="O814" i="53" s="1"/>
  <c r="D796" i="53"/>
  <c r="D818" i="53" s="1"/>
  <c r="D795" i="53"/>
  <c r="D751" i="53"/>
  <c r="D754" i="53" s="1"/>
  <c r="D755" i="53" s="1"/>
  <c r="P613" i="53"/>
  <c r="P616" i="53" s="1"/>
  <c r="P617" i="53" s="1"/>
  <c r="K567" i="53"/>
  <c r="K570" i="53" s="1"/>
  <c r="K571" i="53" s="1"/>
  <c r="H127" i="53"/>
  <c r="H130" i="53" s="1"/>
  <c r="H131" i="53" s="1"/>
  <c r="E304" i="53"/>
  <c r="L1008" i="53"/>
  <c r="P275" i="53"/>
  <c r="P283" i="53" s="1"/>
  <c r="P284" i="53" s="1"/>
  <c r="AE868" i="53"/>
  <c r="L997" i="53"/>
  <c r="L998" i="53"/>
  <c r="L1001" i="53"/>
  <c r="L1002" i="53"/>
  <c r="N1051" i="53"/>
  <c r="R25" i="53"/>
  <c r="Q27" i="53"/>
  <c r="M27" i="53"/>
  <c r="C341" i="53"/>
  <c r="C419" i="53" s="1"/>
  <c r="C424" i="53" s="1"/>
  <c r="O931" i="53"/>
  <c r="G1007" i="53"/>
  <c r="C980" i="53" s="1"/>
  <c r="F702" i="53"/>
  <c r="F706" i="53" s="1"/>
  <c r="N468" i="53"/>
  <c r="N471" i="53" s="1"/>
  <c r="J751" i="53"/>
  <c r="J754" i="53" s="1"/>
  <c r="J756" i="53" s="1"/>
  <c r="O751" i="53"/>
  <c r="O754" i="53" s="1"/>
  <c r="O756" i="53" s="1"/>
  <c r="O757" i="53" s="1"/>
  <c r="P795" i="53"/>
  <c r="J511" i="53"/>
  <c r="J514" i="53" s="1"/>
  <c r="C511" i="53"/>
  <c r="C514" i="53" s="1"/>
  <c r="C515" i="53" s="1"/>
  <c r="O341" i="53"/>
  <c r="O419" i="53" s="1"/>
  <c r="O424" i="53" s="1"/>
  <c r="I1060" i="53"/>
  <c r="R1051" i="53"/>
  <c r="L1004" i="53"/>
  <c r="R1057" i="53"/>
  <c r="G1060" i="53"/>
  <c r="M304" i="53"/>
  <c r="D341" i="53"/>
  <c r="D419" i="53" s="1"/>
  <c r="D424" i="53" s="1"/>
  <c r="D425" i="53" s="1"/>
  <c r="J341" i="53"/>
  <c r="J931" i="53"/>
  <c r="G998" i="53"/>
  <c r="C971" i="53" s="1"/>
  <c r="G1002" i="53"/>
  <c r="C975" i="53" s="1"/>
  <c r="N1057" i="53"/>
  <c r="C613" i="53"/>
  <c r="C616" i="53" s="1"/>
  <c r="C617" i="53" s="1"/>
  <c r="H613" i="53"/>
  <c r="H616" i="53" s="1"/>
  <c r="H617" i="53" s="1"/>
  <c r="B567" i="53"/>
  <c r="B570" i="53" s="1"/>
  <c r="B571" i="53" s="1"/>
  <c r="R481" i="53"/>
  <c r="R441" i="53"/>
  <c r="N567" i="53"/>
  <c r="N570" i="53" s="1"/>
  <c r="N571" i="53" s="1"/>
  <c r="R254" i="53"/>
  <c r="H787" i="53"/>
  <c r="H816" i="53" s="1"/>
  <c r="O613" i="53"/>
  <c r="O616" i="53" s="1"/>
  <c r="O617" i="53" s="1"/>
  <c r="E580" i="53"/>
  <c r="M14" i="53"/>
  <c r="E16" i="53"/>
  <c r="M58" i="53"/>
  <c r="L787" i="53"/>
  <c r="L816" i="53" s="1"/>
  <c r="R371" i="53"/>
  <c r="I509" i="53"/>
  <c r="I776" i="53"/>
  <c r="Q794" i="53"/>
  <c r="M580" i="53"/>
  <c r="E600" i="53"/>
  <c r="E611" i="53"/>
  <c r="E612" i="53"/>
  <c r="I750" i="53"/>
  <c r="E776" i="53"/>
  <c r="E794" i="53"/>
  <c r="I580" i="53"/>
  <c r="R608" i="53"/>
  <c r="M749" i="53"/>
  <c r="L795" i="53"/>
  <c r="Q16" i="53"/>
  <c r="I58" i="53"/>
  <c r="M255" i="53"/>
  <c r="E488" i="53"/>
  <c r="E499" i="53"/>
  <c r="E509" i="53"/>
  <c r="E565" i="53"/>
  <c r="Q789" i="53"/>
  <c r="I18" i="53"/>
  <c r="Q510" i="53"/>
  <c r="M657" i="53"/>
  <c r="M694" i="53"/>
  <c r="M701" i="53"/>
  <c r="Q739" i="53"/>
  <c r="M776" i="53"/>
  <c r="E205" i="53"/>
  <c r="Q255" i="53"/>
  <c r="R482" i="53"/>
  <c r="R484" i="53"/>
  <c r="R504" i="53"/>
  <c r="R507" i="53"/>
  <c r="M510" i="53"/>
  <c r="I550" i="53"/>
  <c r="R553" i="53"/>
  <c r="R559" i="53"/>
  <c r="I694" i="53"/>
  <c r="Q777" i="53"/>
  <c r="E789" i="53"/>
  <c r="Q18" i="53"/>
  <c r="R38" i="53"/>
  <c r="R54" i="53"/>
  <c r="E57" i="53"/>
  <c r="E58" i="53"/>
  <c r="B275" i="53"/>
  <c r="B283" i="53" s="1"/>
  <c r="I255" i="53"/>
  <c r="Q273" i="53"/>
  <c r="Q488" i="53"/>
  <c r="Q499" i="53"/>
  <c r="Q509" i="53"/>
  <c r="Q647" i="53"/>
  <c r="E657" i="53"/>
  <c r="Q690" i="53"/>
  <c r="E694" i="53"/>
  <c r="I700" i="53"/>
  <c r="E729" i="53"/>
  <c r="G783" i="53"/>
  <c r="G814" i="53" s="1"/>
  <c r="I782" i="53"/>
  <c r="Q790" i="53"/>
  <c r="M791" i="53"/>
  <c r="M794" i="53"/>
  <c r="M126" i="53"/>
  <c r="R483" i="53"/>
  <c r="R498" i="53"/>
  <c r="R508" i="53"/>
  <c r="R542" i="53"/>
  <c r="R549" i="53"/>
  <c r="R554" i="53"/>
  <c r="R563" i="53"/>
  <c r="I657" i="53"/>
  <c r="I16" i="53"/>
  <c r="Q58" i="53"/>
  <c r="I108" i="53"/>
  <c r="I125" i="53"/>
  <c r="M499" i="53"/>
  <c r="M509" i="53"/>
  <c r="Q550" i="53"/>
  <c r="I600" i="53"/>
  <c r="I612" i="53"/>
  <c r="Q657" i="53"/>
  <c r="Q694" i="53"/>
  <c r="Q776" i="53"/>
  <c r="M789" i="53"/>
  <c r="I794" i="53"/>
  <c r="C751" i="53"/>
  <c r="C754" i="53" s="1"/>
  <c r="C756" i="53" s="1"/>
  <c r="C757" i="53" s="1"/>
  <c r="Q724" i="53"/>
  <c r="N751" i="53"/>
  <c r="N754" i="53" s="1"/>
  <c r="M724" i="53"/>
  <c r="I724" i="53"/>
  <c r="E724" i="53"/>
  <c r="I658" i="53"/>
  <c r="O787" i="53"/>
  <c r="O816" i="53" s="1"/>
  <c r="Q634" i="53"/>
  <c r="P659" i="53"/>
  <c r="P662" i="53" s="1"/>
  <c r="P663" i="53" s="1"/>
  <c r="H659" i="53"/>
  <c r="H662" i="53" s="1"/>
  <c r="H663" i="53" s="1"/>
  <c r="I634" i="53"/>
  <c r="R590" i="53"/>
  <c r="K795" i="53"/>
  <c r="I566" i="53"/>
  <c r="E566" i="53"/>
  <c r="R556" i="53"/>
  <c r="E544" i="53"/>
  <c r="I499" i="53"/>
  <c r="R491" i="53"/>
  <c r="I494" i="53"/>
  <c r="I488" i="53"/>
  <c r="I786" i="53"/>
  <c r="G787" i="53"/>
  <c r="G816" i="53" s="1"/>
  <c r="M453" i="53"/>
  <c r="I453" i="53"/>
  <c r="L419" i="53"/>
  <c r="L424" i="53" s="1"/>
  <c r="L425" i="53" s="1"/>
  <c r="H795" i="53"/>
  <c r="G796" i="53"/>
  <c r="G818" i="53" s="1"/>
  <c r="I793" i="53"/>
  <c r="P787" i="53"/>
  <c r="P816" i="53" s="1"/>
  <c r="Q786" i="53"/>
  <c r="M786" i="53"/>
  <c r="Q773" i="53"/>
  <c r="N778" i="53"/>
  <c r="N812" i="53" s="1"/>
  <c r="R303" i="53"/>
  <c r="R307" i="53"/>
  <c r="R308" i="53"/>
  <c r="R311" i="53"/>
  <c r="R312" i="53"/>
  <c r="R315" i="53"/>
  <c r="R316" i="53"/>
  <c r="R320" i="53"/>
  <c r="R324" i="53"/>
  <c r="R325" i="53"/>
  <c r="R328" i="53"/>
  <c r="R329" i="53"/>
  <c r="R332" i="53"/>
  <c r="R333" i="53"/>
  <c r="R337" i="53"/>
  <c r="R338" i="53"/>
  <c r="I773" i="53"/>
  <c r="E773" i="53"/>
  <c r="Q14" i="53"/>
  <c r="M16" i="53"/>
  <c r="I14" i="53"/>
  <c r="I775" i="53"/>
  <c r="AD859" i="53"/>
  <c r="E14" i="53"/>
  <c r="E17" i="53"/>
  <c r="I789" i="53"/>
  <c r="E273" i="53"/>
  <c r="R215" i="53"/>
  <c r="J275" i="53"/>
  <c r="J283" i="53" s="1"/>
  <c r="R230" i="53"/>
  <c r="R231" i="53"/>
  <c r="R232" i="53"/>
  <c r="R233" i="53"/>
  <c r="R234" i="53"/>
  <c r="R235" i="53"/>
  <c r="R238" i="53"/>
  <c r="R239" i="53"/>
  <c r="R240" i="53"/>
  <c r="R241" i="53"/>
  <c r="R242" i="53"/>
  <c r="R243" i="53"/>
  <c r="R246" i="53"/>
  <c r="R247" i="53"/>
  <c r="R248" i="53"/>
  <c r="R249" i="53"/>
  <c r="R250" i="53"/>
  <c r="R251" i="53"/>
  <c r="Q205" i="53"/>
  <c r="R203" i="53"/>
  <c r="M773" i="53"/>
  <c r="R177" i="53"/>
  <c r="R178" i="53"/>
  <c r="R183" i="53"/>
  <c r="R184" i="53"/>
  <c r="R185" i="53"/>
  <c r="R186" i="53"/>
  <c r="R187" i="53"/>
  <c r="R189" i="53"/>
  <c r="R190" i="53"/>
  <c r="R191" i="53"/>
  <c r="R192" i="53"/>
  <c r="R194" i="53"/>
  <c r="R195" i="53"/>
  <c r="I198" i="53"/>
  <c r="R142" i="53"/>
  <c r="R145" i="53"/>
  <c r="R146" i="53"/>
  <c r="R149" i="53"/>
  <c r="R151" i="53"/>
  <c r="R152" i="53"/>
  <c r="R153" i="53"/>
  <c r="M781" i="53"/>
  <c r="M774" i="53"/>
  <c r="L778" i="53"/>
  <c r="L812" i="53" s="1"/>
  <c r="C778" i="53"/>
  <c r="C812" i="53" s="1"/>
  <c r="O59" i="53"/>
  <c r="O62" i="53" s="1"/>
  <c r="O63" i="53" s="1"/>
  <c r="L59" i="53"/>
  <c r="L62" i="53" s="1"/>
  <c r="L63" i="53" s="1"/>
  <c r="J778" i="53"/>
  <c r="J812" i="53" s="1"/>
  <c r="N127" i="53"/>
  <c r="N130" i="53" s="1"/>
  <c r="M17" i="53"/>
  <c r="E46" i="53"/>
  <c r="M50" i="53"/>
  <c r="M57" i="53"/>
  <c r="R87" i="53"/>
  <c r="Q89" i="53"/>
  <c r="F127" i="53"/>
  <c r="F130" i="53" s="1"/>
  <c r="Q108" i="53"/>
  <c r="Q125" i="53"/>
  <c r="J783" i="53"/>
  <c r="J814" i="53" s="1"/>
  <c r="M780" i="53"/>
  <c r="D783" i="53"/>
  <c r="D814" i="53" s="1"/>
  <c r="J787" i="53"/>
  <c r="M785" i="53"/>
  <c r="I17" i="53"/>
  <c r="E18" i="53"/>
  <c r="E41" i="53"/>
  <c r="I41" i="53"/>
  <c r="M41" i="53"/>
  <c r="Q41" i="53"/>
  <c r="Q46" i="53"/>
  <c r="I50" i="53"/>
  <c r="I57" i="53"/>
  <c r="R60" i="53"/>
  <c r="R72" i="53"/>
  <c r="R73" i="53"/>
  <c r="R74" i="53"/>
  <c r="R76" i="53"/>
  <c r="R77" i="53"/>
  <c r="R78" i="53"/>
  <c r="R79" i="53"/>
  <c r="R80" i="53"/>
  <c r="R81" i="53"/>
  <c r="R84" i="53"/>
  <c r="R86" i="53"/>
  <c r="M89" i="53"/>
  <c r="R93" i="53"/>
  <c r="R94" i="53"/>
  <c r="B127" i="53"/>
  <c r="B130" i="53" s="1"/>
  <c r="R128" i="53"/>
  <c r="R140" i="53"/>
  <c r="R263" i="53"/>
  <c r="Q274" i="53"/>
  <c r="R346" i="53"/>
  <c r="R347" i="53"/>
  <c r="R351" i="53"/>
  <c r="R352" i="53"/>
  <c r="R353" i="53"/>
  <c r="E355" i="53"/>
  <c r="R358" i="53"/>
  <c r="R362" i="53"/>
  <c r="R363" i="53"/>
  <c r="R364" i="53"/>
  <c r="R365" i="53"/>
  <c r="R366" i="53"/>
  <c r="R367" i="53"/>
  <c r="R370" i="53"/>
  <c r="R372" i="53"/>
  <c r="R374" i="53"/>
  <c r="R375" i="53"/>
  <c r="R376" i="53"/>
  <c r="R378" i="53"/>
  <c r="R381" i="53"/>
  <c r="R382" i="53"/>
  <c r="R383" i="53"/>
  <c r="R384" i="53"/>
  <c r="R385" i="53"/>
  <c r="R386" i="53"/>
  <c r="R390" i="53"/>
  <c r="R391" i="53"/>
  <c r="R392" i="53"/>
  <c r="R393" i="53"/>
  <c r="E394" i="53"/>
  <c r="R397" i="53"/>
  <c r="R402" i="53"/>
  <c r="R403" i="53"/>
  <c r="R404" i="53"/>
  <c r="R405" i="53"/>
  <c r="R406" i="53"/>
  <c r="R407" i="53"/>
  <c r="R410" i="53"/>
  <c r="R411" i="53"/>
  <c r="R412" i="53"/>
  <c r="R413" i="53"/>
  <c r="R414" i="53"/>
  <c r="R415" i="53"/>
  <c r="I417" i="53"/>
  <c r="E418" i="53"/>
  <c r="R420" i="53"/>
  <c r="R421" i="53"/>
  <c r="R422" i="53"/>
  <c r="R442" i="53"/>
  <c r="R444" i="53"/>
  <c r="R445" i="53"/>
  <c r="E448" i="53"/>
  <c r="R451" i="53"/>
  <c r="E458" i="53"/>
  <c r="R464" i="53"/>
  <c r="R465" i="53"/>
  <c r="I466" i="53"/>
  <c r="E467" i="53"/>
  <c r="M488" i="53"/>
  <c r="M494" i="53"/>
  <c r="C659" i="53"/>
  <c r="C662" i="53" s="1"/>
  <c r="E634" i="53"/>
  <c r="F751" i="53"/>
  <c r="F754" i="53" s="1"/>
  <c r="F783" i="53"/>
  <c r="F814" i="53" s="1"/>
  <c r="I780" i="53"/>
  <c r="AG863" i="53"/>
  <c r="AD828" i="53"/>
  <c r="AO828" i="53" s="1"/>
  <c r="AD830" i="53"/>
  <c r="AO830" i="53" s="1"/>
  <c r="AF865" i="53"/>
  <c r="AF867" i="53"/>
  <c r="AG867" i="53"/>
  <c r="AD832" i="53"/>
  <c r="AO832" i="53" s="1"/>
  <c r="AD869" i="53"/>
  <c r="AD834" i="53"/>
  <c r="AO834" i="53" s="1"/>
  <c r="C127" i="53"/>
  <c r="C130" i="53" s="1"/>
  <c r="C131" i="53" s="1"/>
  <c r="B511" i="53"/>
  <c r="B514" i="53" s="1"/>
  <c r="B515" i="53" s="1"/>
  <c r="F511" i="53"/>
  <c r="F514" i="53" s="1"/>
  <c r="N511" i="53"/>
  <c r="N514" i="53" s="1"/>
  <c r="N515" i="53" s="1"/>
  <c r="F567" i="53"/>
  <c r="F570" i="53" s="1"/>
  <c r="F571" i="53" s="1"/>
  <c r="I544" i="53"/>
  <c r="Q17" i="53"/>
  <c r="M18" i="53"/>
  <c r="I46" i="53"/>
  <c r="Q57" i="53"/>
  <c r="C59" i="53"/>
  <c r="C62" i="53" s="1"/>
  <c r="C63" i="53" s="1"/>
  <c r="J127" i="53"/>
  <c r="J130" i="53" s="1"/>
  <c r="E108" i="53"/>
  <c r="E125" i="53"/>
  <c r="Q126" i="53"/>
  <c r="R202" i="53"/>
  <c r="M205" i="53"/>
  <c r="R210" i="53"/>
  <c r="R211" i="53"/>
  <c r="R213" i="53"/>
  <c r="R214" i="53"/>
  <c r="R218" i="53"/>
  <c r="R219" i="53"/>
  <c r="R221" i="53"/>
  <c r="R224" i="53"/>
  <c r="R225" i="53"/>
  <c r="F275" i="53"/>
  <c r="F283" i="53" s="1"/>
  <c r="R260" i="53"/>
  <c r="R261" i="53"/>
  <c r="R264" i="53"/>
  <c r="R265" i="53"/>
  <c r="R266" i="53"/>
  <c r="R269" i="53"/>
  <c r="R270" i="53"/>
  <c r="M273" i="53"/>
  <c r="I274" i="53"/>
  <c r="R525" i="53"/>
  <c r="R526" i="53"/>
  <c r="R528" i="53"/>
  <c r="R530" i="53"/>
  <c r="R531" i="53"/>
  <c r="R534" i="53"/>
  <c r="R536" i="53"/>
  <c r="R541" i="53"/>
  <c r="L613" i="53"/>
  <c r="L616" i="53" s="1"/>
  <c r="L617" i="53" s="1"/>
  <c r="K659" i="53"/>
  <c r="K662" i="53" s="1"/>
  <c r="K663" i="53" s="1"/>
  <c r="M634" i="53"/>
  <c r="N787" i="53"/>
  <c r="Q785" i="53"/>
  <c r="R101" i="53"/>
  <c r="R102" i="53"/>
  <c r="R103" i="53"/>
  <c r="R104" i="53"/>
  <c r="R105" i="53"/>
  <c r="R107" i="53"/>
  <c r="M108" i="53"/>
  <c r="R112" i="53"/>
  <c r="R113" i="53"/>
  <c r="R114" i="53"/>
  <c r="R116" i="53"/>
  <c r="R117" i="53"/>
  <c r="R118" i="53"/>
  <c r="R121" i="53"/>
  <c r="R123" i="53"/>
  <c r="M125" i="53"/>
  <c r="I126" i="53"/>
  <c r="R154" i="53"/>
  <c r="R157" i="53"/>
  <c r="R158" i="53"/>
  <c r="R159" i="53"/>
  <c r="R163" i="53"/>
  <c r="R164" i="53"/>
  <c r="R165" i="53"/>
  <c r="R168" i="53"/>
  <c r="R169" i="53"/>
  <c r="R170" i="53"/>
  <c r="R171" i="53"/>
  <c r="R172" i="53"/>
  <c r="R173" i="53"/>
  <c r="D275" i="53"/>
  <c r="D283" i="53" s="1"/>
  <c r="D284" i="53" s="1"/>
  <c r="I205" i="53"/>
  <c r="R244" i="53"/>
  <c r="I273" i="53"/>
  <c r="R277" i="53"/>
  <c r="R278" i="53"/>
  <c r="R279" i="53"/>
  <c r="I294" i="53"/>
  <c r="M355" i="53"/>
  <c r="M394" i="53"/>
  <c r="Q417" i="53"/>
  <c r="M418" i="53"/>
  <c r="M448" i="53"/>
  <c r="E453" i="53"/>
  <c r="M458" i="53"/>
  <c r="Q466" i="53"/>
  <c r="M467" i="53"/>
  <c r="G511" i="53"/>
  <c r="G514" i="53" s="1"/>
  <c r="G515" i="53" s="1"/>
  <c r="E494" i="53"/>
  <c r="I510" i="53"/>
  <c r="R512" i="53"/>
  <c r="E538" i="53"/>
  <c r="O567" i="53"/>
  <c r="O570" i="53" s="1"/>
  <c r="O571" i="53" s="1"/>
  <c r="Q544" i="53"/>
  <c r="Q566" i="53"/>
  <c r="Q600" i="53"/>
  <c r="Q612" i="53"/>
  <c r="Q658" i="53"/>
  <c r="K751" i="53"/>
  <c r="K754" i="53" s="1"/>
  <c r="K756" i="53" s="1"/>
  <c r="I739" i="53"/>
  <c r="I777" i="53"/>
  <c r="B783" i="53"/>
  <c r="B814" i="53" s="1"/>
  <c r="E780" i="53"/>
  <c r="L783" i="53"/>
  <c r="L814" i="53" s="1"/>
  <c r="I785" i="53"/>
  <c r="K787" i="53"/>
  <c r="K816" i="53" s="1"/>
  <c r="I790" i="53"/>
  <c r="Q793" i="53"/>
  <c r="AG864" i="53"/>
  <c r="AD829" i="53"/>
  <c r="AO829" i="53" s="1"/>
  <c r="AG868" i="53"/>
  <c r="AD833" i="53"/>
  <c r="AO833" i="53" s="1"/>
  <c r="Q453" i="53"/>
  <c r="Q494" i="53"/>
  <c r="D511" i="53"/>
  <c r="D514" i="53" s="1"/>
  <c r="D515" i="53" s="1"/>
  <c r="Q538" i="53"/>
  <c r="J567" i="53"/>
  <c r="J570" i="53" s="1"/>
  <c r="M544" i="53"/>
  <c r="M566" i="53"/>
  <c r="M600" i="53"/>
  <c r="D613" i="53"/>
  <c r="D616" i="53" s="1"/>
  <c r="D617" i="53" s="1"/>
  <c r="M611" i="53"/>
  <c r="M612" i="53"/>
  <c r="Q700" i="53"/>
  <c r="N783" i="53"/>
  <c r="N814" i="53" s="1"/>
  <c r="Q780" i="53"/>
  <c r="Q781" i="53"/>
  <c r="I565" i="53"/>
  <c r="Q604" i="53"/>
  <c r="R626" i="53"/>
  <c r="R627" i="53"/>
  <c r="R629" i="53"/>
  <c r="F659" i="53"/>
  <c r="F662" i="53" s="1"/>
  <c r="N659" i="53"/>
  <c r="N662" i="53" s="1"/>
  <c r="M638" i="53"/>
  <c r="R643" i="53"/>
  <c r="R644" i="53"/>
  <c r="R645" i="53"/>
  <c r="R646" i="53"/>
  <c r="E647" i="53"/>
  <c r="G659" i="53"/>
  <c r="G662" i="53" s="1"/>
  <c r="G663" i="53" s="1"/>
  <c r="R651" i="53"/>
  <c r="R654" i="53"/>
  <c r="M658" i="53"/>
  <c r="Q686" i="53"/>
  <c r="M690" i="53"/>
  <c r="E700" i="53"/>
  <c r="Q701" i="53"/>
  <c r="R703" i="53"/>
  <c r="R704" i="53"/>
  <c r="R716" i="53"/>
  <c r="R722" i="53"/>
  <c r="R727" i="53"/>
  <c r="I729" i="53"/>
  <c r="R732" i="53"/>
  <c r="R733" i="53"/>
  <c r="R737" i="53"/>
  <c r="R738" i="53"/>
  <c r="M739" i="53"/>
  <c r="R742" i="53"/>
  <c r="R743" i="53"/>
  <c r="R745" i="53"/>
  <c r="I749" i="53"/>
  <c r="E750" i="53"/>
  <c r="H778" i="53"/>
  <c r="E777" i="53"/>
  <c r="H796" i="53"/>
  <c r="H818" i="53" s="1"/>
  <c r="P796" i="53"/>
  <c r="P818" i="53" s="1"/>
  <c r="E790" i="53"/>
  <c r="Q791" i="53"/>
  <c r="J796" i="53"/>
  <c r="J818" i="53" s="1"/>
  <c r="O795" i="53"/>
  <c r="M793" i="53"/>
  <c r="R568" i="53"/>
  <c r="R578" i="53"/>
  <c r="I604" i="53"/>
  <c r="Q611" i="53"/>
  <c r="D659" i="53"/>
  <c r="D662" i="53" s="1"/>
  <c r="D663" i="53" s="1"/>
  <c r="M647" i="53"/>
  <c r="O659" i="53"/>
  <c r="O662" i="53" s="1"/>
  <c r="O663" i="53" s="1"/>
  <c r="E658" i="53"/>
  <c r="R660" i="53"/>
  <c r="E672" i="53"/>
  <c r="R682" i="53"/>
  <c r="I686" i="53"/>
  <c r="M700" i="53"/>
  <c r="I701" i="53"/>
  <c r="H751" i="53"/>
  <c r="H754" i="53" s="1"/>
  <c r="H756" i="53" s="1"/>
  <c r="P751" i="53"/>
  <c r="P754" i="53" s="1"/>
  <c r="P755" i="53" s="1"/>
  <c r="Q729" i="53"/>
  <c r="E739" i="53"/>
  <c r="Q749" i="53"/>
  <c r="M750" i="53"/>
  <c r="R752" i="53"/>
  <c r="I774" i="53"/>
  <c r="E775" i="53"/>
  <c r="M777" i="53"/>
  <c r="H783" i="53"/>
  <c r="H814" i="53" s="1"/>
  <c r="F796" i="53"/>
  <c r="F818" i="53" s="1"/>
  <c r="N796" i="53"/>
  <c r="N818" i="53" s="1"/>
  <c r="M790" i="53"/>
  <c r="G795" i="53"/>
  <c r="E793" i="53"/>
  <c r="M953" i="53"/>
  <c r="I953" i="53"/>
  <c r="L953" i="53"/>
  <c r="H953" i="53"/>
  <c r="N953" i="53"/>
  <c r="O953" i="53"/>
  <c r="K953" i="53"/>
  <c r="L673" i="53"/>
  <c r="F870" i="53"/>
  <c r="L581" i="53"/>
  <c r="M945" i="53"/>
  <c r="I945" i="53"/>
  <c r="L945" i="53"/>
  <c r="H945" i="53"/>
  <c r="N945" i="53"/>
  <c r="K945" i="53"/>
  <c r="O945" i="53"/>
  <c r="B295" i="53"/>
  <c r="AP824" i="53" s="1"/>
  <c r="B28" i="53"/>
  <c r="B581" i="53"/>
  <c r="L950" i="53"/>
  <c r="H950" i="53"/>
  <c r="K950" i="53"/>
  <c r="M950" i="53"/>
  <c r="I950" i="53"/>
  <c r="N950" i="53"/>
  <c r="J950" i="53"/>
  <c r="H28" i="53"/>
  <c r="H295" i="53"/>
  <c r="AP829" i="53" s="1"/>
  <c r="M956" i="53"/>
  <c r="N956" i="53"/>
  <c r="I956" i="53"/>
  <c r="K956" i="53"/>
  <c r="L956" i="53"/>
  <c r="H956" i="53"/>
  <c r="P673" i="53"/>
  <c r="L946" i="53"/>
  <c r="H946" i="53"/>
  <c r="K946" i="53"/>
  <c r="M946" i="53"/>
  <c r="I946" i="53"/>
  <c r="N946" i="53"/>
  <c r="C581" i="53"/>
  <c r="N952" i="53"/>
  <c r="M952" i="53"/>
  <c r="I952" i="53"/>
  <c r="K952" i="53"/>
  <c r="L952" i="53"/>
  <c r="H952" i="53"/>
  <c r="G869" i="53"/>
  <c r="N948" i="53"/>
  <c r="M948" i="53"/>
  <c r="I948" i="53"/>
  <c r="K948" i="53"/>
  <c r="H948" i="53"/>
  <c r="L948" i="53"/>
  <c r="F673" i="53"/>
  <c r="M949" i="53"/>
  <c r="I949" i="53"/>
  <c r="L949" i="53"/>
  <c r="H949" i="53"/>
  <c r="N949" i="53"/>
  <c r="K949" i="53"/>
  <c r="G673" i="53"/>
  <c r="G28" i="53"/>
  <c r="G295" i="53"/>
  <c r="AP828" i="53" s="1"/>
  <c r="L954" i="53"/>
  <c r="H954" i="53"/>
  <c r="K954" i="53"/>
  <c r="M954" i="53"/>
  <c r="I954" i="53"/>
  <c r="N954" i="53"/>
  <c r="N581" i="53"/>
  <c r="N295" i="53"/>
  <c r="AP833" i="53" s="1"/>
  <c r="N28" i="53"/>
  <c r="K947" i="53"/>
  <c r="N947" i="53"/>
  <c r="L947" i="53"/>
  <c r="H947" i="53"/>
  <c r="I947" i="53"/>
  <c r="M947" i="53"/>
  <c r="K951" i="53"/>
  <c r="N951" i="53"/>
  <c r="L951" i="53"/>
  <c r="H951" i="53"/>
  <c r="M951" i="53"/>
  <c r="J581" i="53"/>
  <c r="J295" i="53"/>
  <c r="AP830" i="53" s="1"/>
  <c r="I951" i="53"/>
  <c r="J28" i="53"/>
  <c r="K955" i="53"/>
  <c r="N955" i="53"/>
  <c r="L955" i="53"/>
  <c r="H955" i="53"/>
  <c r="M955" i="53"/>
  <c r="I955" i="53"/>
  <c r="O28" i="53"/>
  <c r="AW993" i="53"/>
  <c r="AW992" i="53"/>
  <c r="AW991" i="53"/>
  <c r="AW987" i="53"/>
  <c r="AW980" i="53"/>
  <c r="AW989" i="53"/>
  <c r="AW979" i="53"/>
  <c r="AW990" i="53"/>
  <c r="AW986" i="53"/>
  <c r="AW985" i="53"/>
  <c r="AW983" i="53"/>
  <c r="AW981" i="53"/>
  <c r="AW988" i="53"/>
  <c r="AW982" i="53"/>
  <c r="AW977" i="53"/>
  <c r="AW970" i="53"/>
  <c r="AW978" i="53"/>
  <c r="AW971" i="53"/>
  <c r="AW984" i="53"/>
  <c r="AW974" i="53"/>
  <c r="AW975" i="53"/>
  <c r="AW973" i="53"/>
  <c r="AW972" i="53"/>
  <c r="AW976" i="53"/>
  <c r="L295" i="53"/>
  <c r="AP832" i="53" s="1"/>
  <c r="B62" i="53"/>
  <c r="D28" i="53"/>
  <c r="L28" i="53"/>
  <c r="D295" i="53"/>
  <c r="AP826" i="53" s="1"/>
  <c r="D567" i="53"/>
  <c r="D570" i="53" s="1"/>
  <c r="G870" i="53"/>
  <c r="R1032" i="53"/>
  <c r="R962" i="53"/>
  <c r="R987" i="53"/>
  <c r="R908" i="53"/>
  <c r="AT847" i="53"/>
  <c r="AS909" i="53"/>
  <c r="AT815" i="53"/>
  <c r="R759" i="53"/>
  <c r="R800" i="53"/>
  <c r="R879" i="53"/>
  <c r="AS874" i="53"/>
  <c r="R853" i="53"/>
  <c r="R824" i="53"/>
  <c r="M46" i="53"/>
  <c r="E89" i="53"/>
  <c r="Q15" i="53"/>
  <c r="K28" i="53"/>
  <c r="C28" i="53"/>
  <c r="E50" i="53"/>
  <c r="H59" i="53"/>
  <c r="H62" i="53" s="1"/>
  <c r="R115" i="53"/>
  <c r="O127" i="53"/>
  <c r="O130" i="53" s="1"/>
  <c r="R155" i="53"/>
  <c r="R167" i="53"/>
  <c r="R174" i="53"/>
  <c r="R175" i="53"/>
  <c r="R180" i="53"/>
  <c r="R188" i="53"/>
  <c r="R196" i="53"/>
  <c r="L198" i="53"/>
  <c r="L275" i="53" s="1"/>
  <c r="L283" i="53" s="1"/>
  <c r="R236" i="53"/>
  <c r="R237" i="53"/>
  <c r="R252" i="53"/>
  <c r="R253" i="53"/>
  <c r="R259" i="53"/>
  <c r="R267" i="53"/>
  <c r="R281" i="53"/>
  <c r="D15" i="53"/>
  <c r="E15" i="53" s="1"/>
  <c r="M15" i="53"/>
  <c r="P28" i="53"/>
  <c r="Q50" i="53"/>
  <c r="R83" i="53"/>
  <c r="E96" i="53"/>
  <c r="I96" i="53"/>
  <c r="M96" i="53"/>
  <c r="Q96" i="53"/>
  <c r="R111" i="53"/>
  <c r="E126" i="53"/>
  <c r="P127" i="53"/>
  <c r="P130" i="53" s="1"/>
  <c r="M141" i="53"/>
  <c r="R143" i="53"/>
  <c r="R144" i="53"/>
  <c r="E198" i="53"/>
  <c r="H275" i="53"/>
  <c r="H283" i="53" s="1"/>
  <c r="O198" i="53"/>
  <c r="O275" i="53" s="1"/>
  <c r="O283" i="53" s="1"/>
  <c r="R209" i="53"/>
  <c r="R216" i="53"/>
  <c r="R217" i="53"/>
  <c r="R226" i="53"/>
  <c r="M274" i="53"/>
  <c r="G275" i="53"/>
  <c r="G283" i="53" s="1"/>
  <c r="I276" i="53"/>
  <c r="R276" i="53" s="1"/>
  <c r="E294" i="53"/>
  <c r="C295" i="53"/>
  <c r="AP825" i="53" s="1"/>
  <c r="R309" i="53"/>
  <c r="R310" i="53"/>
  <c r="R317" i="53"/>
  <c r="R318" i="53"/>
  <c r="R326" i="53"/>
  <c r="R327" i="53"/>
  <c r="R334" i="53"/>
  <c r="R336" i="53"/>
  <c r="I355" i="53"/>
  <c r="I394" i="53"/>
  <c r="E417" i="53"/>
  <c r="Q418" i="53"/>
  <c r="I448" i="53"/>
  <c r="K468" i="53"/>
  <c r="K471" i="53" s="1"/>
  <c r="P468" i="53"/>
  <c r="P471" i="53" s="1"/>
  <c r="Q458" i="53"/>
  <c r="M466" i="53"/>
  <c r="I467" i="53"/>
  <c r="F468" i="53"/>
  <c r="H511" i="53"/>
  <c r="H514" i="53" s="1"/>
  <c r="P511" i="53"/>
  <c r="P514" i="53" s="1"/>
  <c r="C567" i="53"/>
  <c r="C570" i="53" s="1"/>
  <c r="I538" i="53"/>
  <c r="H567" i="53"/>
  <c r="H570" i="53" s="1"/>
  <c r="M550" i="53"/>
  <c r="R564" i="53"/>
  <c r="F613" i="53"/>
  <c r="I596" i="53"/>
  <c r="L659" i="53"/>
  <c r="L662" i="53" s="1"/>
  <c r="I672" i="53"/>
  <c r="K673" i="53"/>
  <c r="E686" i="53"/>
  <c r="C702" i="53"/>
  <c r="C706" i="53" s="1"/>
  <c r="O702" i="53"/>
  <c r="O706" i="53" s="1"/>
  <c r="Q774" i="53"/>
  <c r="M775" i="53"/>
  <c r="D786" i="53"/>
  <c r="D787" i="53" s="1"/>
  <c r="D816" i="53" s="1"/>
  <c r="B796" i="53"/>
  <c r="L127" i="53"/>
  <c r="L130" i="53" s="1"/>
  <c r="O295" i="53"/>
  <c r="AP834" i="53" s="1"/>
  <c r="Q294" i="53"/>
  <c r="G872" i="53"/>
  <c r="L1000" i="53"/>
  <c r="G1000" i="53"/>
  <c r="C973" i="53" s="1"/>
  <c r="F28" i="53"/>
  <c r="I89" i="53"/>
  <c r="R100" i="53"/>
  <c r="R120" i="53"/>
  <c r="R148" i="53"/>
  <c r="R212" i="53"/>
  <c r="R220" i="53"/>
  <c r="E274" i="53"/>
  <c r="K275" i="53"/>
  <c r="K283" i="53" s="1"/>
  <c r="F295" i="53"/>
  <c r="AP827" i="53" s="1"/>
  <c r="M294" i="53"/>
  <c r="K295" i="53"/>
  <c r="AP831" i="53" s="1"/>
  <c r="P295" i="53"/>
  <c r="AP835" i="53" s="1"/>
  <c r="N341" i="53"/>
  <c r="Q302" i="53"/>
  <c r="R302" i="53" s="1"/>
  <c r="R305" i="53"/>
  <c r="R313" i="53"/>
  <c r="R314" i="53"/>
  <c r="R321" i="53"/>
  <c r="R323" i="53"/>
  <c r="R330" i="53"/>
  <c r="R331" i="53"/>
  <c r="R339" i="53"/>
  <c r="G419" i="53"/>
  <c r="G424" i="53" s="1"/>
  <c r="Q355" i="53"/>
  <c r="Q394" i="53"/>
  <c r="M417" i="53"/>
  <c r="I418" i="53"/>
  <c r="H468" i="53"/>
  <c r="H471" i="53" s="1"/>
  <c r="Q448" i="53"/>
  <c r="I458" i="53"/>
  <c r="E466" i="53"/>
  <c r="Q467" i="53"/>
  <c r="B468" i="53"/>
  <c r="J468" i="53"/>
  <c r="E510" i="53"/>
  <c r="K511" i="53"/>
  <c r="K514" i="53" s="1"/>
  <c r="R532" i="53"/>
  <c r="E550" i="53"/>
  <c r="P567" i="53"/>
  <c r="P570" i="53" s="1"/>
  <c r="F581" i="53"/>
  <c r="B659" i="53"/>
  <c r="E638" i="53"/>
  <c r="I638" i="53"/>
  <c r="Q638" i="53"/>
  <c r="G702" i="53"/>
  <c r="G706" i="53" s="1"/>
  <c r="G751" i="53"/>
  <c r="G754" i="53" s="1"/>
  <c r="I772" i="53"/>
  <c r="P783" i="53"/>
  <c r="P814" i="53" s="1"/>
  <c r="Q782" i="53"/>
  <c r="E791" i="53"/>
  <c r="C796" i="53"/>
  <c r="C818" i="53" s="1"/>
  <c r="N795" i="53"/>
  <c r="Q792" i="53"/>
  <c r="G864" i="53"/>
  <c r="F865" i="53"/>
  <c r="AG862" i="53"/>
  <c r="AF862" i="53"/>
  <c r="AD862" i="53"/>
  <c r="AE862" i="53"/>
  <c r="AD827" i="53"/>
  <c r="I15" i="53"/>
  <c r="P59" i="53"/>
  <c r="P62" i="53" s="1"/>
  <c r="E229" i="53"/>
  <c r="R229" i="53" s="1"/>
  <c r="C255" i="53"/>
  <c r="R75" i="53"/>
  <c r="R156" i="53"/>
  <c r="R166" i="53"/>
  <c r="R179" i="53"/>
  <c r="R245" i="53"/>
  <c r="R258" i="53"/>
  <c r="R268" i="53"/>
  <c r="R280" i="53"/>
  <c r="R292" i="53"/>
  <c r="R294" i="53" s="1"/>
  <c r="R348" i="53"/>
  <c r="R349" i="53"/>
  <c r="R361" i="53"/>
  <c r="R368" i="53"/>
  <c r="R369" i="53"/>
  <c r="R379" i="53"/>
  <c r="R380" i="53"/>
  <c r="R388" i="53"/>
  <c r="R389" i="53"/>
  <c r="R399" i="53"/>
  <c r="R400" i="53"/>
  <c r="R322" i="53"/>
  <c r="R409" i="53"/>
  <c r="R416" i="53"/>
  <c r="R440" i="53"/>
  <c r="D468" i="53"/>
  <c r="D471" i="53" s="1"/>
  <c r="O468" i="53"/>
  <c r="O471" i="53" s="1"/>
  <c r="R457" i="53"/>
  <c r="R469" i="53"/>
  <c r="R492" i="53"/>
  <c r="L511" i="53"/>
  <c r="L514" i="53" s="1"/>
  <c r="O511" i="53"/>
  <c r="O514" i="53" s="1"/>
  <c r="R524" i="53"/>
  <c r="G567" i="53"/>
  <c r="L567" i="53"/>
  <c r="L570" i="53" s="1"/>
  <c r="M538" i="53"/>
  <c r="R558" i="53"/>
  <c r="G581" i="53"/>
  <c r="J613" i="53"/>
  <c r="M596" i="53"/>
  <c r="J673" i="53"/>
  <c r="M672" i="53"/>
  <c r="O673" i="53"/>
  <c r="E690" i="53"/>
  <c r="B702" i="53"/>
  <c r="L751" i="53"/>
  <c r="L754" i="53" s="1"/>
  <c r="B778" i="53"/>
  <c r="E772" i="53"/>
  <c r="E781" i="53"/>
  <c r="I781" i="53"/>
  <c r="M782" i="53"/>
  <c r="K783" i="53"/>
  <c r="K814" i="53" s="1"/>
  <c r="L796" i="53"/>
  <c r="L818" i="53" s="1"/>
  <c r="J795" i="53"/>
  <c r="M792" i="53"/>
  <c r="O796" i="53"/>
  <c r="O818" i="53" s="1"/>
  <c r="G865" i="53"/>
  <c r="O778" i="53"/>
  <c r="K778" i="53"/>
  <c r="Q141" i="53"/>
  <c r="N198" i="53"/>
  <c r="R506" i="53"/>
  <c r="M565" i="53"/>
  <c r="D581" i="53"/>
  <c r="P581" i="53"/>
  <c r="H581" i="53"/>
  <c r="N613" i="53"/>
  <c r="Q596" i="53"/>
  <c r="E604" i="53"/>
  <c r="M604" i="53"/>
  <c r="I611" i="53"/>
  <c r="I647" i="53"/>
  <c r="C673" i="53"/>
  <c r="H673" i="53"/>
  <c r="N673" i="53"/>
  <c r="Q672" i="53"/>
  <c r="B673" i="53"/>
  <c r="M686" i="53"/>
  <c r="P702" i="53"/>
  <c r="P706" i="53" s="1"/>
  <c r="I690" i="53"/>
  <c r="E701" i="53"/>
  <c r="K702" i="53"/>
  <c r="K706" i="53" s="1"/>
  <c r="M729" i="53"/>
  <c r="E749" i="53"/>
  <c r="Q750" i="53"/>
  <c r="E774" i="53"/>
  <c r="Q775" i="53"/>
  <c r="E782" i="53"/>
  <c r="C783" i="53"/>
  <c r="C814" i="53" s="1"/>
  <c r="B787" i="53"/>
  <c r="F787" i="53"/>
  <c r="I791" i="53"/>
  <c r="B795" i="53"/>
  <c r="E792" i="53"/>
  <c r="AG870" i="53"/>
  <c r="F873" i="53"/>
  <c r="AE870" i="53"/>
  <c r="AD870" i="53"/>
  <c r="AF870" i="53"/>
  <c r="R527" i="53"/>
  <c r="R557" i="53"/>
  <c r="Q565" i="53"/>
  <c r="K581" i="53"/>
  <c r="O581" i="53"/>
  <c r="Q580" i="53"/>
  <c r="R591" i="53"/>
  <c r="R592" i="53"/>
  <c r="B613" i="53"/>
  <c r="E596" i="53"/>
  <c r="R614" i="53"/>
  <c r="R641" i="53"/>
  <c r="R652" i="53"/>
  <c r="R653" i="53"/>
  <c r="R670" i="53"/>
  <c r="D702" i="53"/>
  <c r="D706" i="53" s="1"/>
  <c r="J702" i="53"/>
  <c r="R717" i="53"/>
  <c r="R719" i="53"/>
  <c r="R735" i="53"/>
  <c r="R736" i="53"/>
  <c r="R746" i="53"/>
  <c r="G778" i="53"/>
  <c r="F795" i="53"/>
  <c r="I792" i="53"/>
  <c r="K796" i="53"/>
  <c r="K818" i="53" s="1"/>
  <c r="D673" i="53"/>
  <c r="G846" i="53"/>
  <c r="G863" i="53"/>
  <c r="AD861" i="53"/>
  <c r="F864" i="53"/>
  <c r="AG861" i="53"/>
  <c r="AE861" i="53"/>
  <c r="F867" i="53"/>
  <c r="AE864" i="53"/>
  <c r="AD864" i="53"/>
  <c r="AF864" i="53"/>
  <c r="AF861" i="53"/>
  <c r="G862" i="53"/>
  <c r="AF859" i="53"/>
  <c r="AE859" i="53"/>
  <c r="F846" i="53"/>
  <c r="F862" i="53"/>
  <c r="AG859" i="53"/>
  <c r="AE860" i="53"/>
  <c r="AD860" i="53"/>
  <c r="AF860" i="53"/>
  <c r="G868" i="53"/>
  <c r="AD866" i="53"/>
  <c r="AF866" i="53"/>
  <c r="AE866" i="53"/>
  <c r="F869" i="53"/>
  <c r="AG866" i="53"/>
  <c r="G873" i="53"/>
  <c r="F863" i="53"/>
  <c r="AG869" i="53"/>
  <c r="AE865" i="53"/>
  <c r="AD868" i="53"/>
  <c r="O948" i="53"/>
  <c r="J955" i="53"/>
  <c r="AD993" i="53"/>
  <c r="AD992" i="53"/>
  <c r="AD975" i="53"/>
  <c r="AD974" i="53"/>
  <c r="AD972" i="53"/>
  <c r="AD973" i="53"/>
  <c r="AD971" i="53"/>
  <c r="AD970" i="53"/>
  <c r="F866" i="53"/>
  <c r="AD867" i="53"/>
  <c r="AE863" i="53"/>
  <c r="AG865" i="53"/>
  <c r="G867" i="53"/>
  <c r="AF868" i="53"/>
  <c r="AE869" i="53"/>
  <c r="F871" i="53"/>
  <c r="F872" i="53"/>
  <c r="J949" i="53"/>
  <c r="J954" i="53"/>
  <c r="AF863" i="53"/>
  <c r="AD865" i="53"/>
  <c r="AE867" i="53"/>
  <c r="F868" i="53"/>
  <c r="AF869" i="53"/>
  <c r="G871" i="53"/>
  <c r="J946" i="53"/>
  <c r="J947" i="53"/>
  <c r="O949" i="53"/>
  <c r="J948" i="53"/>
  <c r="O952" i="53"/>
  <c r="J953" i="53"/>
  <c r="O947" i="53"/>
  <c r="J951" i="53"/>
  <c r="O954" i="53"/>
  <c r="O955" i="53"/>
  <c r="J956" i="53"/>
  <c r="J945" i="53"/>
  <c r="O946" i="53"/>
  <c r="O950" i="53"/>
  <c r="O951" i="53"/>
  <c r="J952" i="53"/>
  <c r="O956" i="53"/>
  <c r="AD987" i="53"/>
  <c r="AD991" i="53"/>
  <c r="AD990" i="53"/>
  <c r="AD989" i="53"/>
  <c r="AD986" i="53"/>
  <c r="AD985" i="53"/>
  <c r="AD984" i="53"/>
  <c r="AD983" i="53"/>
  <c r="AD982" i="53"/>
  <c r="AD981" i="53"/>
  <c r="AD977" i="53"/>
  <c r="AD988" i="53"/>
  <c r="AD976" i="53"/>
  <c r="AD978" i="53"/>
  <c r="AD980" i="53"/>
  <c r="Q1060" i="53"/>
  <c r="L1006" i="53"/>
  <c r="G1006" i="53"/>
  <c r="C979" i="53" s="1"/>
  <c r="N1048" i="53"/>
  <c r="N1054" i="53"/>
  <c r="G1003" i="53"/>
  <c r="C976" i="53" s="1"/>
  <c r="L1003" i="53"/>
  <c r="L999" i="53"/>
  <c r="G1004" i="53"/>
  <c r="C977" i="53" s="1"/>
  <c r="L1005" i="53"/>
  <c r="F1008" i="53"/>
  <c r="B981" i="53" s="1"/>
  <c r="J1048" i="53"/>
  <c r="R1048" i="53"/>
  <c r="M1060" i="53"/>
  <c r="N17" i="49"/>
  <c r="M1002" i="53"/>
  <c r="M1004" i="53"/>
  <c r="M1007" i="53"/>
  <c r="M998" i="53"/>
  <c r="M997" i="53"/>
  <c r="M1008" i="53"/>
  <c r="M1006" i="53"/>
  <c r="M1005" i="53"/>
  <c r="M999" i="53"/>
  <c r="M1000" i="53"/>
  <c r="M1003" i="53"/>
  <c r="M1001" i="53"/>
  <c r="H707" i="53" l="1"/>
  <c r="C663" i="53"/>
  <c r="R785" i="53"/>
  <c r="M341" i="53"/>
  <c r="I341" i="53"/>
  <c r="R27" i="53"/>
  <c r="L708" i="53"/>
  <c r="L709" i="53" s="1"/>
  <c r="B755" i="53"/>
  <c r="D756" i="53"/>
  <c r="D757" i="53" s="1"/>
  <c r="E795" i="53"/>
  <c r="Q843" i="53"/>
  <c r="Q872" i="53" s="1"/>
  <c r="R304" i="53"/>
  <c r="S318" i="53" s="1"/>
  <c r="J755" i="53"/>
  <c r="O755" i="53"/>
  <c r="E341" i="53"/>
  <c r="J419" i="53"/>
  <c r="J424" i="53" s="1"/>
  <c r="E751" i="53"/>
  <c r="Q834" i="53"/>
  <c r="Q863" i="53" s="1"/>
  <c r="C755" i="53"/>
  <c r="E570" i="53"/>
  <c r="K755" i="53"/>
  <c r="R794" i="53"/>
  <c r="R509" i="53"/>
  <c r="R782" i="53"/>
  <c r="R789" i="53"/>
  <c r="R611" i="53"/>
  <c r="R565" i="53"/>
  <c r="Q570" i="53"/>
  <c r="R776" i="53"/>
  <c r="R739" i="53"/>
  <c r="R499" i="53"/>
  <c r="R657" i="53"/>
  <c r="R580" i="53"/>
  <c r="R612" i="53"/>
  <c r="R205" i="53"/>
  <c r="R125" i="53"/>
  <c r="R544" i="53"/>
  <c r="R775" i="53"/>
  <c r="R14" i="53"/>
  <c r="R488" i="53"/>
  <c r="R18" i="53"/>
  <c r="R701" i="53"/>
  <c r="M795" i="53"/>
  <c r="P756" i="53"/>
  <c r="Q844" i="53" s="1"/>
  <c r="R700" i="53"/>
  <c r="R600" i="53"/>
  <c r="R16" i="53"/>
  <c r="R58" i="53"/>
  <c r="R694" i="53"/>
  <c r="R57" i="53"/>
  <c r="R729" i="53"/>
  <c r="R777" i="53"/>
  <c r="R108" i="53"/>
  <c r="R566" i="53"/>
  <c r="R780" i="53"/>
  <c r="R550" i="53"/>
  <c r="R510" i="53"/>
  <c r="Q751" i="53"/>
  <c r="I127" i="53"/>
  <c r="M59" i="53"/>
  <c r="R750" i="53"/>
  <c r="Q787" i="53"/>
  <c r="E754" i="53"/>
  <c r="M754" i="53"/>
  <c r="R724" i="53"/>
  <c r="I751" i="53"/>
  <c r="I796" i="53"/>
  <c r="I818" i="53"/>
  <c r="R658" i="53"/>
  <c r="I659" i="53"/>
  <c r="M662" i="53"/>
  <c r="R596" i="53"/>
  <c r="E567" i="53"/>
  <c r="R538" i="53"/>
  <c r="E514" i="53"/>
  <c r="E511" i="53"/>
  <c r="R494" i="53"/>
  <c r="Q511" i="53"/>
  <c r="R453" i="53"/>
  <c r="S491" i="53"/>
  <c r="R418" i="53"/>
  <c r="R793" i="53"/>
  <c r="R394" i="53"/>
  <c r="M787" i="53"/>
  <c r="R355" i="53"/>
  <c r="Q814" i="53"/>
  <c r="R773" i="53"/>
  <c r="AD837" i="53"/>
  <c r="R17" i="53"/>
  <c r="R15" i="53"/>
  <c r="R274" i="53"/>
  <c r="I795" i="53"/>
  <c r="R790" i="53"/>
  <c r="R273" i="53"/>
  <c r="J816" i="53"/>
  <c r="M816" i="53" s="1"/>
  <c r="J797" i="53"/>
  <c r="I814" i="53"/>
  <c r="R141" i="53"/>
  <c r="S180" i="53" s="1"/>
  <c r="R126" i="53"/>
  <c r="E127" i="53"/>
  <c r="H797" i="53"/>
  <c r="Q127" i="53"/>
  <c r="M127" i="53"/>
  <c r="H812" i="53"/>
  <c r="H820" i="53" s="1"/>
  <c r="H13" i="53" s="1"/>
  <c r="H5" i="25" s="1"/>
  <c r="R749" i="53"/>
  <c r="R647" i="53"/>
  <c r="E814" i="53"/>
  <c r="H755" i="53"/>
  <c r="Q659" i="53"/>
  <c r="M814" i="53"/>
  <c r="R458" i="53"/>
  <c r="N816" i="53"/>
  <c r="Q816" i="53" s="1"/>
  <c r="N797" i="53"/>
  <c r="D820" i="53"/>
  <c r="D13" i="53" s="1"/>
  <c r="E5" i="25" s="1"/>
  <c r="Q795" i="53"/>
  <c r="M659" i="53"/>
  <c r="R467" i="53"/>
  <c r="R781" i="53"/>
  <c r="D797" i="53"/>
  <c r="S81" i="53"/>
  <c r="I702" i="53"/>
  <c r="R466" i="53"/>
  <c r="R672" i="53"/>
  <c r="R448" i="53"/>
  <c r="R46" i="53"/>
  <c r="I783" i="53"/>
  <c r="E59" i="53"/>
  <c r="R634" i="53"/>
  <c r="R41" i="53"/>
  <c r="B998" i="53"/>
  <c r="Q998" i="53" s="1"/>
  <c r="B1005" i="53"/>
  <c r="Q1005" i="53" s="1"/>
  <c r="B1007" i="53"/>
  <c r="Q1007" i="53" s="1"/>
  <c r="B1003" i="53"/>
  <c r="Q1003" i="53" s="1"/>
  <c r="B1001" i="53"/>
  <c r="Q1001" i="53" s="1"/>
  <c r="B1002" i="53"/>
  <c r="Q1002" i="53" s="1"/>
  <c r="B1008" i="53"/>
  <c r="Q1008" i="53" s="1"/>
  <c r="B1004" i="53"/>
  <c r="Q1004" i="53" s="1"/>
  <c r="B999" i="53"/>
  <c r="Q999" i="53" s="1"/>
  <c r="B997" i="53"/>
  <c r="Q997" i="53" s="1"/>
  <c r="B1006" i="53"/>
  <c r="Q1006" i="53" s="1"/>
  <c r="B1000" i="53"/>
  <c r="Q1000" i="53" s="1"/>
  <c r="D708" i="53"/>
  <c r="D707" i="53"/>
  <c r="O797" i="53"/>
  <c r="O812" i="53"/>
  <c r="O820" i="53" s="1"/>
  <c r="O13" i="53" s="1"/>
  <c r="M5" i="25" s="1"/>
  <c r="Q706" i="53"/>
  <c r="N708" i="53"/>
  <c r="N707" i="53"/>
  <c r="C275" i="53"/>
  <c r="E255" i="53"/>
  <c r="R255" i="53" s="1"/>
  <c r="L820" i="53"/>
  <c r="L13" i="53" s="1"/>
  <c r="K5" i="25" s="1"/>
  <c r="F515" i="53"/>
  <c r="I514" i="53"/>
  <c r="AD994" i="53"/>
  <c r="J706" i="53"/>
  <c r="M702" i="53"/>
  <c r="N616" i="53"/>
  <c r="Q613" i="53"/>
  <c r="K797" i="53"/>
  <c r="K812" i="53"/>
  <c r="K820" i="53" s="1"/>
  <c r="K13" i="53" s="1"/>
  <c r="J5" i="25" s="1"/>
  <c r="E783" i="53"/>
  <c r="Q702" i="53"/>
  <c r="O515" i="53"/>
  <c r="D472" i="53"/>
  <c r="B284" i="53"/>
  <c r="Q839" i="53"/>
  <c r="J757" i="53"/>
  <c r="I706" i="53"/>
  <c r="F707" i="53"/>
  <c r="F708" i="53"/>
  <c r="M275" i="53"/>
  <c r="R791" i="53"/>
  <c r="F812" i="53"/>
  <c r="I778" i="53"/>
  <c r="F797" i="53"/>
  <c r="E659" i="53"/>
  <c r="B662" i="53"/>
  <c r="B471" i="53"/>
  <c r="E468" i="53"/>
  <c r="Q341" i="53"/>
  <c r="N419" i="53"/>
  <c r="Q567" i="53"/>
  <c r="Q772" i="53"/>
  <c r="P515" i="53"/>
  <c r="H515" i="53"/>
  <c r="R417" i="53"/>
  <c r="O284" i="53"/>
  <c r="R96" i="53"/>
  <c r="I62" i="53"/>
  <c r="F63" i="53"/>
  <c r="M778" i="53"/>
  <c r="M511" i="53"/>
  <c r="Q468" i="53"/>
  <c r="N131" i="53"/>
  <c r="Q130" i="53"/>
  <c r="Q783" i="53"/>
  <c r="I275" i="53"/>
  <c r="M130" i="53"/>
  <c r="J131" i="53"/>
  <c r="M796" i="53"/>
  <c r="AW994" i="53"/>
  <c r="B812" i="53"/>
  <c r="E778" i="53"/>
  <c r="B797" i="53"/>
  <c r="L571" i="53"/>
  <c r="P571" i="53"/>
  <c r="H472" i="53"/>
  <c r="E796" i="53"/>
  <c r="B818" i="53"/>
  <c r="E818" i="53" s="1"/>
  <c r="H709" i="53"/>
  <c r="P838" i="53"/>
  <c r="H284" i="53"/>
  <c r="I59" i="53"/>
  <c r="Q471" i="53"/>
  <c r="N472" i="53"/>
  <c r="AG872" i="53"/>
  <c r="AF872" i="53"/>
  <c r="AD872" i="53"/>
  <c r="G797" i="53"/>
  <c r="G812" i="53"/>
  <c r="G820" i="53" s="1"/>
  <c r="G13" i="53" s="1"/>
  <c r="G5" i="25" s="1"/>
  <c r="B616" i="53"/>
  <c r="E613" i="53"/>
  <c r="I787" i="53"/>
  <c r="F816" i="53"/>
  <c r="I816" i="53" s="1"/>
  <c r="P708" i="53"/>
  <c r="P707" i="53"/>
  <c r="R604" i="53"/>
  <c r="Q198" i="53"/>
  <c r="N275" i="53"/>
  <c r="M783" i="53"/>
  <c r="M751" i="53"/>
  <c r="B706" i="53"/>
  <c r="B708" i="53" s="1"/>
  <c r="B674" i="53" s="1"/>
  <c r="E702" i="53"/>
  <c r="J616" i="53"/>
  <c r="M613" i="53"/>
  <c r="I567" i="53"/>
  <c r="G570" i="53"/>
  <c r="O425" i="53"/>
  <c r="Q818" i="53"/>
  <c r="P63" i="53"/>
  <c r="AO827" i="53"/>
  <c r="M772" i="53"/>
  <c r="G755" i="53"/>
  <c r="G756" i="53"/>
  <c r="R638" i="53"/>
  <c r="F663" i="53"/>
  <c r="I662" i="53"/>
  <c r="Q514" i="53"/>
  <c r="I419" i="53"/>
  <c r="F424" i="53"/>
  <c r="K284" i="53"/>
  <c r="M198" i="53"/>
  <c r="L131" i="53"/>
  <c r="P797" i="53"/>
  <c r="P812" i="53"/>
  <c r="P820" i="53" s="1"/>
  <c r="P13" i="53" s="1"/>
  <c r="N5" i="25" s="1"/>
  <c r="Q754" i="53"/>
  <c r="N756" i="53"/>
  <c r="N755" i="53"/>
  <c r="C708" i="53"/>
  <c r="C707" i="53"/>
  <c r="F471" i="53"/>
  <c r="I468" i="53"/>
  <c r="P472" i="53"/>
  <c r="B424" i="53"/>
  <c r="E419" i="53"/>
  <c r="G284" i="53"/>
  <c r="P131" i="53"/>
  <c r="O131" i="53"/>
  <c r="R50" i="53"/>
  <c r="R89" i="53"/>
  <c r="L797" i="53"/>
  <c r="B757" i="53"/>
  <c r="Q833" i="53"/>
  <c r="I511" i="53"/>
  <c r="Q62" i="53"/>
  <c r="N63" i="53"/>
  <c r="Q840" i="53"/>
  <c r="K757" i="53"/>
  <c r="M567" i="53"/>
  <c r="B63" i="53"/>
  <c r="E62" i="53"/>
  <c r="AE872" i="53"/>
  <c r="L756" i="53"/>
  <c r="L755" i="53"/>
  <c r="L515" i="53"/>
  <c r="C425" i="53"/>
  <c r="K515" i="53"/>
  <c r="G425" i="53"/>
  <c r="L663" i="53"/>
  <c r="H571" i="53"/>
  <c r="L284" i="53"/>
  <c r="H63" i="53"/>
  <c r="F131" i="53"/>
  <c r="I130" i="53"/>
  <c r="J63" i="53"/>
  <c r="M62" i="53"/>
  <c r="H674" i="53"/>
  <c r="R792" i="53"/>
  <c r="B816" i="53"/>
  <c r="R774" i="53"/>
  <c r="K707" i="53"/>
  <c r="K708" i="53"/>
  <c r="Q838" i="53"/>
  <c r="H757" i="53"/>
  <c r="R690" i="53"/>
  <c r="O472" i="53"/>
  <c r="J284" i="53"/>
  <c r="M283" i="53"/>
  <c r="Q796" i="53"/>
  <c r="K425" i="53"/>
  <c r="C787" i="53"/>
  <c r="C816" i="53" s="1"/>
  <c r="C820" i="53" s="1"/>
  <c r="C13" i="53" s="1"/>
  <c r="D5" i="25" s="1"/>
  <c r="E786" i="53"/>
  <c r="R786" i="53" s="1"/>
  <c r="I754" i="53"/>
  <c r="F755" i="53"/>
  <c r="F756" i="53"/>
  <c r="G707" i="53"/>
  <c r="G708" i="53"/>
  <c r="N663" i="53"/>
  <c r="Q662" i="53"/>
  <c r="J471" i="53"/>
  <c r="M468" i="53"/>
  <c r="O707" i="53"/>
  <c r="O708" i="53"/>
  <c r="R686" i="53"/>
  <c r="F616" i="53"/>
  <c r="I613" i="53"/>
  <c r="C571" i="53"/>
  <c r="K472" i="53"/>
  <c r="D571" i="53"/>
  <c r="J515" i="53"/>
  <c r="M514" i="53"/>
  <c r="Q778" i="53"/>
  <c r="Q59" i="53"/>
  <c r="J571" i="53"/>
  <c r="M570" i="53"/>
  <c r="B131" i="53"/>
  <c r="E130" i="53"/>
  <c r="I283" i="53"/>
  <c r="F284" i="53"/>
  <c r="M818" i="53"/>
  <c r="J266" i="49"/>
  <c r="J758" i="49"/>
  <c r="B664" i="53" l="1"/>
  <c r="P841" i="53"/>
  <c r="P898" i="53" s="1"/>
  <c r="E756" i="53"/>
  <c r="L674" i="53"/>
  <c r="L675" i="53" s="1"/>
  <c r="Q835" i="53"/>
  <c r="Q892" i="53" s="1"/>
  <c r="Q900" i="53"/>
  <c r="AR935" i="53" s="1"/>
  <c r="R341" i="53"/>
  <c r="M419" i="53"/>
  <c r="R198" i="53"/>
  <c r="Q891" i="53"/>
  <c r="S971" i="53" s="1"/>
  <c r="P757" i="53"/>
  <c r="R511" i="53"/>
  <c r="R751" i="53"/>
  <c r="R754" i="53"/>
  <c r="R613" i="53"/>
  <c r="R567" i="53"/>
  <c r="R514" i="53"/>
  <c r="R795" i="53"/>
  <c r="J820" i="53"/>
  <c r="J13" i="53" s="1"/>
  <c r="M812" i="53"/>
  <c r="M820" i="53" s="1"/>
  <c r="R127" i="53"/>
  <c r="Q797" i="53"/>
  <c r="Q812" i="53"/>
  <c r="Q820" i="53" s="1"/>
  <c r="R59" i="53"/>
  <c r="R62" i="53"/>
  <c r="R659" i="53"/>
  <c r="M797" i="53"/>
  <c r="R772" i="53"/>
  <c r="T788" i="53" s="1"/>
  <c r="I797" i="53"/>
  <c r="R814" i="53"/>
  <c r="N820" i="53"/>
  <c r="N13" i="53" s="1"/>
  <c r="Q895" i="53"/>
  <c r="Q867" i="53"/>
  <c r="B425" i="53"/>
  <c r="E424" i="53"/>
  <c r="R130" i="53"/>
  <c r="P843" i="53"/>
  <c r="O709" i="53"/>
  <c r="O674" i="53"/>
  <c r="Q836" i="53"/>
  <c r="I756" i="53"/>
  <c r="F757" i="53"/>
  <c r="P840" i="53"/>
  <c r="K709" i="53"/>
  <c r="K674" i="53"/>
  <c r="E787" i="53"/>
  <c r="R787" i="53" s="1"/>
  <c r="C709" i="53"/>
  <c r="P834" i="53"/>
  <c r="C674" i="53"/>
  <c r="C664" i="53" s="1"/>
  <c r="F425" i="53"/>
  <c r="I424" i="53"/>
  <c r="Q837" i="53"/>
  <c r="G757" i="53"/>
  <c r="M424" i="53"/>
  <c r="J425" i="53"/>
  <c r="R796" i="53"/>
  <c r="R778" i="53"/>
  <c r="T778" i="53" s="1"/>
  <c r="C797" i="53"/>
  <c r="E797" i="53" s="1"/>
  <c r="P836" i="53"/>
  <c r="I708" i="53"/>
  <c r="F709" i="53"/>
  <c r="F674" i="53"/>
  <c r="Q901" i="53"/>
  <c r="Q873" i="53"/>
  <c r="P835" i="53"/>
  <c r="D709" i="53"/>
  <c r="D674" i="53"/>
  <c r="J617" i="53"/>
  <c r="M616" i="53"/>
  <c r="B820" i="53"/>
  <c r="B13" i="53" s="1"/>
  <c r="E812" i="53"/>
  <c r="R468" i="53"/>
  <c r="C283" i="53"/>
  <c r="E275" i="53"/>
  <c r="J472" i="53"/>
  <c r="M471" i="53"/>
  <c r="P837" i="53"/>
  <c r="G709" i="53"/>
  <c r="G674" i="53"/>
  <c r="O838" i="53"/>
  <c r="H675" i="53"/>
  <c r="H664" i="53"/>
  <c r="Q897" i="53"/>
  <c r="Q869" i="53"/>
  <c r="Q842" i="53"/>
  <c r="N757" i="53"/>
  <c r="Q756" i="53"/>
  <c r="G571" i="53"/>
  <c r="I570" i="53"/>
  <c r="R570" i="53" s="1"/>
  <c r="R702" i="53"/>
  <c r="Q275" i="53"/>
  <c r="N283" i="53"/>
  <c r="P844" i="53"/>
  <c r="P709" i="53"/>
  <c r="P674" i="53"/>
  <c r="E616" i="53"/>
  <c r="B617" i="53"/>
  <c r="E471" i="53"/>
  <c r="B472" i="53"/>
  <c r="R783" i="53"/>
  <c r="J707" i="53"/>
  <c r="M706" i="53"/>
  <c r="J708" i="53"/>
  <c r="Q1009" i="53"/>
  <c r="I616" i="53"/>
  <c r="F617" i="53"/>
  <c r="I471" i="53"/>
  <c r="F472" i="53"/>
  <c r="P895" i="53"/>
  <c r="P867" i="53"/>
  <c r="Q868" i="53"/>
  <c r="Q896" i="53"/>
  <c r="E816" i="53"/>
  <c r="R816" i="53" s="1"/>
  <c r="Q841" i="53"/>
  <c r="L757" i="53"/>
  <c r="Q862" i="53"/>
  <c r="Q890" i="53"/>
  <c r="E706" i="53"/>
  <c r="B707" i="53"/>
  <c r="R818" i="53"/>
  <c r="Q419" i="53"/>
  <c r="N424" i="53"/>
  <c r="B663" i="53"/>
  <c r="E662" i="53"/>
  <c r="R662" i="53" s="1"/>
  <c r="F820" i="53"/>
  <c r="F13" i="53" s="1"/>
  <c r="I812" i="53"/>
  <c r="I820" i="53" s="1"/>
  <c r="M756" i="53"/>
  <c r="N617" i="53"/>
  <c r="Q616" i="53"/>
  <c r="P842" i="53"/>
  <c r="N709" i="53"/>
  <c r="Q708" i="53"/>
  <c r="N674" i="53"/>
  <c r="K284" i="49"/>
  <c r="D750" i="49"/>
  <c r="H758" i="49"/>
  <c r="H763" i="49"/>
  <c r="G763" i="49"/>
  <c r="H266" i="49"/>
  <c r="G266" i="49"/>
  <c r="P753" i="49"/>
  <c r="O753" i="49"/>
  <c r="N753" i="49"/>
  <c r="K753" i="49"/>
  <c r="L753" i="49"/>
  <c r="J753" i="49"/>
  <c r="H753" i="49"/>
  <c r="F753" i="49"/>
  <c r="C753" i="49"/>
  <c r="D753" i="49"/>
  <c r="O841" i="53" l="1"/>
  <c r="O870" i="53" s="1"/>
  <c r="I13" i="53"/>
  <c r="F5" i="25"/>
  <c r="Q13" i="53"/>
  <c r="L5" i="25"/>
  <c r="E13" i="53"/>
  <c r="C5" i="25"/>
  <c r="M13" i="53"/>
  <c r="I5" i="25"/>
  <c r="P870" i="53"/>
  <c r="L664" i="53"/>
  <c r="L618" i="53" s="1"/>
  <c r="Q864" i="53"/>
  <c r="S980" i="53"/>
  <c r="AR900" i="53"/>
  <c r="R419" i="53"/>
  <c r="AR891" i="53"/>
  <c r="AR926" i="53"/>
  <c r="Q846" i="53"/>
  <c r="R706" i="53"/>
  <c r="R275" i="53"/>
  <c r="R797" i="53"/>
  <c r="R471" i="53"/>
  <c r="R756" i="53"/>
  <c r="P839" i="53"/>
  <c r="J709" i="53"/>
  <c r="M708" i="53"/>
  <c r="J674" i="53"/>
  <c r="S977" i="53"/>
  <c r="AR897" i="53"/>
  <c r="AR932" i="53"/>
  <c r="N425" i="53"/>
  <c r="Q424" i="53"/>
  <c r="R424" i="53" s="1"/>
  <c r="P899" i="53"/>
  <c r="P871" i="53"/>
  <c r="O842" i="53"/>
  <c r="N675" i="53"/>
  <c r="Q674" i="53"/>
  <c r="N664" i="53"/>
  <c r="Q898" i="53"/>
  <c r="Q870" i="53"/>
  <c r="O844" i="53"/>
  <c r="P675" i="53"/>
  <c r="P664" i="53"/>
  <c r="H665" i="53"/>
  <c r="N838" i="53"/>
  <c r="H618" i="53"/>
  <c r="R812" i="53"/>
  <c r="R820" i="53" s="1"/>
  <c r="E820" i="53"/>
  <c r="P892" i="53"/>
  <c r="P864" i="53"/>
  <c r="P863" i="53"/>
  <c r="P891" i="53"/>
  <c r="S975" i="53"/>
  <c r="AR930" i="53"/>
  <c r="AR895" i="53"/>
  <c r="P894" i="53"/>
  <c r="P866" i="53"/>
  <c r="O840" i="53"/>
  <c r="K675" i="53"/>
  <c r="K664" i="53"/>
  <c r="P900" i="53"/>
  <c r="P872" i="53"/>
  <c r="E708" i="53"/>
  <c r="P833" i="53"/>
  <c r="B709" i="53"/>
  <c r="R975" i="53"/>
  <c r="AQ930" i="53"/>
  <c r="AQ895" i="53"/>
  <c r="P873" i="53"/>
  <c r="P901" i="53"/>
  <c r="O895" i="53"/>
  <c r="O867" i="53"/>
  <c r="C284" i="53"/>
  <c r="E283" i="53"/>
  <c r="O835" i="53"/>
  <c r="D675" i="53"/>
  <c r="D664" i="53"/>
  <c r="S981" i="53"/>
  <c r="AR901" i="53"/>
  <c r="AR936" i="53"/>
  <c r="P893" i="53"/>
  <c r="P865" i="53"/>
  <c r="Q894" i="53"/>
  <c r="Q866" i="53"/>
  <c r="Q893" i="53"/>
  <c r="Q865" i="53"/>
  <c r="S970" i="53"/>
  <c r="AR925" i="53"/>
  <c r="AR890" i="53"/>
  <c r="S976" i="53"/>
  <c r="AR931" i="53"/>
  <c r="AR896" i="53"/>
  <c r="R616" i="53"/>
  <c r="N284" i="53"/>
  <c r="Q283" i="53"/>
  <c r="Q899" i="53"/>
  <c r="Q871" i="53"/>
  <c r="R978" i="53"/>
  <c r="AQ933" i="53"/>
  <c r="AQ898" i="53"/>
  <c r="G675" i="53"/>
  <c r="O837" i="53"/>
  <c r="G664" i="53"/>
  <c r="O836" i="53"/>
  <c r="F675" i="53"/>
  <c r="I674" i="53"/>
  <c r="F664" i="53"/>
  <c r="O834" i="53"/>
  <c r="C675" i="53"/>
  <c r="P897" i="53"/>
  <c r="P869" i="53"/>
  <c r="O843" i="53"/>
  <c r="O675" i="53"/>
  <c r="O664" i="53"/>
  <c r="AR927" i="53"/>
  <c r="S972" i="53"/>
  <c r="AR892" i="53"/>
  <c r="F266" i="49"/>
  <c r="D266" i="49"/>
  <c r="F219" i="49"/>
  <c r="F763" i="49" s="1"/>
  <c r="D219" i="49"/>
  <c r="E203" i="49"/>
  <c r="F758" i="49"/>
  <c r="F750" i="49"/>
  <c r="F749" i="49"/>
  <c r="O898" i="53" l="1"/>
  <c r="AP898" i="53" s="1"/>
  <c r="R13" i="53"/>
  <c r="U13" i="53" s="1"/>
  <c r="O5" i="25"/>
  <c r="L665" i="53"/>
  <c r="N841" i="53"/>
  <c r="N898" i="53" s="1"/>
  <c r="R283" i="53"/>
  <c r="Q903" i="53"/>
  <c r="O900" i="53"/>
  <c r="O872" i="53"/>
  <c r="O892" i="53"/>
  <c r="O864" i="53"/>
  <c r="R980" i="53"/>
  <c r="AQ935" i="53"/>
  <c r="AQ900" i="53"/>
  <c r="N867" i="53"/>
  <c r="N895" i="53"/>
  <c r="O863" i="53"/>
  <c r="O891" i="53"/>
  <c r="N843" i="53"/>
  <c r="O665" i="53"/>
  <c r="O618" i="53"/>
  <c r="F665" i="53"/>
  <c r="N836" i="53"/>
  <c r="I664" i="53"/>
  <c r="F618" i="53"/>
  <c r="L619" i="53"/>
  <c r="M841" i="53"/>
  <c r="L582" i="53"/>
  <c r="N834" i="53"/>
  <c r="C665" i="53"/>
  <c r="C618" i="53"/>
  <c r="O866" i="53"/>
  <c r="O894" i="53"/>
  <c r="B675" i="53"/>
  <c r="O833" i="53"/>
  <c r="E674" i="53"/>
  <c r="O897" i="53"/>
  <c r="O869" i="53"/>
  <c r="M838" i="53"/>
  <c r="H619" i="53"/>
  <c r="H582" i="53"/>
  <c r="N842" i="53"/>
  <c r="Q664" i="53"/>
  <c r="N665" i="53"/>
  <c r="N618" i="53"/>
  <c r="O839" i="53"/>
  <c r="M674" i="53"/>
  <c r="J675" i="53"/>
  <c r="J664" i="53"/>
  <c r="S974" i="53"/>
  <c r="AR929" i="53"/>
  <c r="AR894" i="53"/>
  <c r="R979" i="53"/>
  <c r="AQ934" i="53"/>
  <c r="AQ899" i="53"/>
  <c r="O893" i="53"/>
  <c r="O865" i="53"/>
  <c r="S979" i="53"/>
  <c r="AR934" i="53"/>
  <c r="AR899" i="53"/>
  <c r="Q975" i="53"/>
  <c r="AP895" i="53"/>
  <c r="AP930" i="53"/>
  <c r="P862" i="53"/>
  <c r="P846" i="53"/>
  <c r="P890" i="53"/>
  <c r="K665" i="53"/>
  <c r="N840" i="53"/>
  <c r="K618" i="53"/>
  <c r="R974" i="53"/>
  <c r="AQ894" i="53"/>
  <c r="AQ929" i="53"/>
  <c r="R971" i="53"/>
  <c r="AQ891" i="53"/>
  <c r="AQ926" i="53"/>
  <c r="AR993" i="53"/>
  <c r="AR992" i="53"/>
  <c r="AR991" i="53"/>
  <c r="AR987" i="53"/>
  <c r="AR986" i="53"/>
  <c r="AR980" i="53"/>
  <c r="AR990" i="53"/>
  <c r="AR988" i="53"/>
  <c r="AR979" i="53"/>
  <c r="AR978" i="53"/>
  <c r="AR984" i="53"/>
  <c r="AR982" i="53"/>
  <c r="AR977" i="53"/>
  <c r="AR983" i="53"/>
  <c r="AR970" i="53"/>
  <c r="AR976" i="53"/>
  <c r="AR975" i="53"/>
  <c r="AR981" i="53"/>
  <c r="AR973" i="53"/>
  <c r="AR972" i="53"/>
  <c r="AR971" i="53"/>
  <c r="AR985" i="53"/>
  <c r="AR974" i="53"/>
  <c r="AR989" i="53"/>
  <c r="R972" i="53"/>
  <c r="AQ927" i="53"/>
  <c r="AQ892" i="53"/>
  <c r="O901" i="53"/>
  <c r="O873" i="53"/>
  <c r="R977" i="53"/>
  <c r="AQ932" i="53"/>
  <c r="AQ897" i="53"/>
  <c r="N837" i="53"/>
  <c r="G665" i="53"/>
  <c r="G618" i="53"/>
  <c r="S973" i="53"/>
  <c r="AR928" i="53"/>
  <c r="AR893" i="53"/>
  <c r="R973" i="53"/>
  <c r="AQ928" i="53"/>
  <c r="AQ893" i="53"/>
  <c r="N835" i="53"/>
  <c r="D665" i="53"/>
  <c r="D618" i="53"/>
  <c r="R981" i="53"/>
  <c r="AQ936" i="53"/>
  <c r="AQ901" i="53"/>
  <c r="R708" i="53"/>
  <c r="P665" i="53"/>
  <c r="N844" i="53"/>
  <c r="P618" i="53"/>
  <c r="S978" i="53"/>
  <c r="AR898" i="53"/>
  <c r="AR933" i="53"/>
  <c r="O899" i="53"/>
  <c r="O871" i="53"/>
  <c r="P896" i="53"/>
  <c r="P868" i="53"/>
  <c r="P192" i="49"/>
  <c r="AP933" i="53" l="1"/>
  <c r="Q978" i="53"/>
  <c r="T13" i="53"/>
  <c r="N870" i="53"/>
  <c r="AR938" i="53"/>
  <c r="AR903" i="53"/>
  <c r="M844" i="53"/>
  <c r="P619" i="53"/>
  <c r="P582" i="53"/>
  <c r="Q981" i="53"/>
  <c r="AP936" i="53"/>
  <c r="AP901" i="53"/>
  <c r="L841" i="53"/>
  <c r="L583" i="53"/>
  <c r="L572" i="53"/>
  <c r="P978" i="53"/>
  <c r="AO933" i="53"/>
  <c r="AO898" i="53"/>
  <c r="N901" i="53"/>
  <c r="N873" i="53"/>
  <c r="D619" i="53"/>
  <c r="M835" i="53"/>
  <c r="D582" i="53"/>
  <c r="N894" i="53"/>
  <c r="N866" i="53"/>
  <c r="AQ990" i="53"/>
  <c r="AQ989" i="53"/>
  <c r="AQ988" i="53"/>
  <c r="AQ992" i="53"/>
  <c r="AQ979" i="53"/>
  <c r="AQ993" i="53"/>
  <c r="AQ987" i="53"/>
  <c r="AQ978" i="53"/>
  <c r="AQ985" i="53"/>
  <c r="AQ983" i="53"/>
  <c r="AQ981" i="53"/>
  <c r="AQ991" i="53"/>
  <c r="AQ974" i="53"/>
  <c r="AQ980" i="53"/>
  <c r="AQ973" i="53"/>
  <c r="AQ982" i="53"/>
  <c r="AQ977" i="53"/>
  <c r="AQ986" i="53"/>
  <c r="AQ975" i="53"/>
  <c r="AQ976" i="53"/>
  <c r="AQ970" i="53"/>
  <c r="AQ984" i="53"/>
  <c r="AQ972" i="53"/>
  <c r="AQ971" i="53"/>
  <c r="N897" i="53"/>
  <c r="N869" i="53"/>
  <c r="N833" i="53"/>
  <c r="B665" i="53"/>
  <c r="E664" i="53"/>
  <c r="B618" i="53"/>
  <c r="Q974" i="53"/>
  <c r="AP929" i="53"/>
  <c r="AP894" i="53"/>
  <c r="N891" i="53"/>
  <c r="N863" i="53"/>
  <c r="M836" i="53"/>
  <c r="F619" i="53"/>
  <c r="I618" i="53"/>
  <c r="F582" i="53"/>
  <c r="M843" i="53"/>
  <c r="O619" i="53"/>
  <c r="O582" i="53"/>
  <c r="M895" i="53"/>
  <c r="M867" i="53"/>
  <c r="P975" i="53"/>
  <c r="AO930" i="53"/>
  <c r="AO895" i="53"/>
  <c r="N892" i="53"/>
  <c r="N864" i="53"/>
  <c r="M837" i="53"/>
  <c r="G619" i="53"/>
  <c r="G582" i="53"/>
  <c r="AR994" i="53"/>
  <c r="R970" i="53"/>
  <c r="P903" i="53"/>
  <c r="AQ925" i="53"/>
  <c r="AQ890" i="53"/>
  <c r="O896" i="53"/>
  <c r="O868" i="53"/>
  <c r="N899" i="53"/>
  <c r="N871" i="53"/>
  <c r="O846" i="53"/>
  <c r="O890" i="53"/>
  <c r="O862" i="53"/>
  <c r="C619" i="53"/>
  <c r="M834" i="53"/>
  <c r="C582" i="53"/>
  <c r="M898" i="53"/>
  <c r="M870" i="53"/>
  <c r="N893" i="53"/>
  <c r="N865" i="53"/>
  <c r="N900" i="53"/>
  <c r="N872" i="53"/>
  <c r="Q979" i="53"/>
  <c r="AP934" i="53"/>
  <c r="AP899" i="53"/>
  <c r="AP893" i="53"/>
  <c r="Q973" i="53"/>
  <c r="AP928" i="53"/>
  <c r="R674" i="53"/>
  <c r="R976" i="53"/>
  <c r="AQ931" i="53"/>
  <c r="AQ896" i="53"/>
  <c r="M840" i="53"/>
  <c r="K619" i="53"/>
  <c r="K582" i="53"/>
  <c r="N839" i="53"/>
  <c r="J665" i="53"/>
  <c r="M664" i="53"/>
  <c r="J618" i="53"/>
  <c r="M842" i="53"/>
  <c r="N619" i="53"/>
  <c r="N582" i="53"/>
  <c r="Q618" i="53"/>
  <c r="H583" i="53"/>
  <c r="L838" i="53"/>
  <c r="H572" i="53"/>
  <c r="Q977" i="53"/>
  <c r="AP932" i="53"/>
  <c r="AP897" i="53"/>
  <c r="Q971" i="53"/>
  <c r="AP926" i="53"/>
  <c r="AP891" i="53"/>
  <c r="Q972" i="53"/>
  <c r="AP892" i="53"/>
  <c r="AP927" i="53"/>
  <c r="Q980" i="53"/>
  <c r="AP935" i="53"/>
  <c r="AP900" i="53"/>
  <c r="C750" i="49"/>
  <c r="C767" i="49"/>
  <c r="AQ938" i="53" l="1"/>
  <c r="AP987" i="53"/>
  <c r="AP993" i="53"/>
  <c r="AP992" i="53"/>
  <c r="AP991" i="53"/>
  <c r="AP986" i="53"/>
  <c r="AP990" i="53"/>
  <c r="AP988" i="53"/>
  <c r="AP978" i="53"/>
  <c r="AP985" i="53"/>
  <c r="AP984" i="53"/>
  <c r="AP983" i="53"/>
  <c r="AP982" i="53"/>
  <c r="AP981" i="53"/>
  <c r="AP977" i="53"/>
  <c r="AP989" i="53"/>
  <c r="AP980" i="53"/>
  <c r="AP979" i="53"/>
  <c r="AP976" i="53"/>
  <c r="AP975" i="53"/>
  <c r="AP972" i="53"/>
  <c r="AP973" i="53"/>
  <c r="AP970" i="53"/>
  <c r="AP974" i="53"/>
  <c r="AP971" i="53"/>
  <c r="L895" i="53"/>
  <c r="L867" i="53"/>
  <c r="M897" i="53"/>
  <c r="M869" i="53"/>
  <c r="P980" i="53"/>
  <c r="AO935" i="53"/>
  <c r="AO900" i="53"/>
  <c r="P979" i="53"/>
  <c r="AO934" i="53"/>
  <c r="AO899" i="53"/>
  <c r="L837" i="53"/>
  <c r="G583" i="53"/>
  <c r="G572" i="53"/>
  <c r="L844" i="53"/>
  <c r="P583" i="53"/>
  <c r="P572" i="53"/>
  <c r="M839" i="53"/>
  <c r="M618" i="53"/>
  <c r="J582" i="53"/>
  <c r="J619" i="53"/>
  <c r="K838" i="53"/>
  <c r="H573" i="53"/>
  <c r="H516" i="53"/>
  <c r="N583" i="53"/>
  <c r="Q582" i="53"/>
  <c r="L842" i="53"/>
  <c r="N572" i="53"/>
  <c r="AQ903" i="53"/>
  <c r="R664" i="53"/>
  <c r="P977" i="53"/>
  <c r="AO932" i="53"/>
  <c r="AO897" i="53"/>
  <c r="AQ994" i="53"/>
  <c r="M892" i="53"/>
  <c r="M864" i="53"/>
  <c r="M893" i="53"/>
  <c r="M865" i="53"/>
  <c r="M899" i="53"/>
  <c r="M871" i="53"/>
  <c r="N896" i="53"/>
  <c r="N868" i="53"/>
  <c r="C583" i="53"/>
  <c r="L834" i="53"/>
  <c r="C572" i="53"/>
  <c r="Q970" i="53"/>
  <c r="AP925" i="53"/>
  <c r="O903" i="53"/>
  <c r="AP890" i="53"/>
  <c r="O975" i="53"/>
  <c r="AN930" i="53"/>
  <c r="AN895" i="53"/>
  <c r="I582" i="53"/>
  <c r="L836" i="53"/>
  <c r="F583" i="53"/>
  <c r="F572" i="53"/>
  <c r="N890" i="53"/>
  <c r="N846" i="53"/>
  <c r="N862" i="53"/>
  <c r="P974" i="53"/>
  <c r="AO929" i="53"/>
  <c r="AO894" i="53"/>
  <c r="O978" i="53"/>
  <c r="AN933" i="53"/>
  <c r="AN898" i="53"/>
  <c r="P972" i="53"/>
  <c r="AO892" i="53"/>
  <c r="AO927" i="53"/>
  <c r="M872" i="53"/>
  <c r="M900" i="53"/>
  <c r="L898" i="53"/>
  <c r="L870" i="53"/>
  <c r="L840" i="53"/>
  <c r="K583" i="53"/>
  <c r="K572" i="53"/>
  <c r="P973" i="53"/>
  <c r="AO893" i="53"/>
  <c r="AO928" i="53"/>
  <c r="M891" i="53"/>
  <c r="M863" i="53"/>
  <c r="Q976" i="53"/>
  <c r="AP931" i="53"/>
  <c r="AP896" i="53"/>
  <c r="M894" i="53"/>
  <c r="M866" i="53"/>
  <c r="L843" i="53"/>
  <c r="O583" i="53"/>
  <c r="O572" i="53"/>
  <c r="P971" i="53"/>
  <c r="AO926" i="53"/>
  <c r="AO891" i="53"/>
  <c r="B619" i="53"/>
  <c r="M833" i="53"/>
  <c r="E618" i="53"/>
  <c r="B582" i="53"/>
  <c r="D583" i="53"/>
  <c r="L835" i="53"/>
  <c r="D572" i="53"/>
  <c r="P981" i="53"/>
  <c r="AO936" i="53"/>
  <c r="AO901" i="53"/>
  <c r="K841" i="53"/>
  <c r="L573" i="53"/>
  <c r="L516" i="53"/>
  <c r="M901" i="53"/>
  <c r="M873" i="53"/>
  <c r="C219" i="49"/>
  <c r="C763" i="49" s="1"/>
  <c r="B219" i="49"/>
  <c r="B763" i="49" s="1"/>
  <c r="R618" i="53" l="1"/>
  <c r="O974" i="53"/>
  <c r="AN929" i="53"/>
  <c r="AN894" i="53"/>
  <c r="J838" i="53"/>
  <c r="H517" i="53"/>
  <c r="H473" i="53"/>
  <c r="L839" i="53"/>
  <c r="J583" i="53"/>
  <c r="M582" i="53"/>
  <c r="J572" i="53"/>
  <c r="L894" i="53"/>
  <c r="L866" i="53"/>
  <c r="E582" i="53"/>
  <c r="B583" i="53"/>
  <c r="L833" i="53"/>
  <c r="B572" i="53"/>
  <c r="K898" i="53"/>
  <c r="K870" i="53"/>
  <c r="K835" i="53"/>
  <c r="D573" i="53"/>
  <c r="D516" i="53"/>
  <c r="L900" i="53"/>
  <c r="L872" i="53"/>
  <c r="O980" i="53"/>
  <c r="AN935" i="53"/>
  <c r="AN900" i="53"/>
  <c r="O981" i="53"/>
  <c r="AN936" i="53"/>
  <c r="AN901" i="53"/>
  <c r="L892" i="53"/>
  <c r="L864" i="53"/>
  <c r="M890" i="53"/>
  <c r="M862" i="53"/>
  <c r="M846" i="53"/>
  <c r="L897" i="53"/>
  <c r="L869" i="53"/>
  <c r="P970" i="53"/>
  <c r="AO925" i="53"/>
  <c r="N903" i="53"/>
  <c r="AO890" i="53"/>
  <c r="AP903" i="53"/>
  <c r="K834" i="53"/>
  <c r="C573" i="53"/>
  <c r="C516" i="53"/>
  <c r="P976" i="53"/>
  <c r="AO931" i="53"/>
  <c r="AO896" i="53"/>
  <c r="O973" i="53"/>
  <c r="AN928" i="53"/>
  <c r="AN893" i="53"/>
  <c r="K844" i="53"/>
  <c r="P573" i="53"/>
  <c r="P516" i="53"/>
  <c r="L891" i="53"/>
  <c r="L863" i="53"/>
  <c r="K842" i="53"/>
  <c r="N573" i="53"/>
  <c r="Q572" i="53"/>
  <c r="N516" i="53"/>
  <c r="O971" i="53"/>
  <c r="AN926" i="53"/>
  <c r="AN891" i="53"/>
  <c r="K840" i="53"/>
  <c r="K573" i="53"/>
  <c r="K516" i="53"/>
  <c r="N978" i="53"/>
  <c r="AM933" i="53"/>
  <c r="AM898" i="53"/>
  <c r="AW862" i="53"/>
  <c r="AP938" i="53"/>
  <c r="O979" i="53"/>
  <c r="AN934" i="53"/>
  <c r="AN899" i="53"/>
  <c r="O972" i="53"/>
  <c r="AN927" i="53"/>
  <c r="AN892" i="53"/>
  <c r="L899" i="53"/>
  <c r="L871" i="53"/>
  <c r="L901" i="53"/>
  <c r="L873" i="53"/>
  <c r="AP994" i="53"/>
  <c r="J841" i="53"/>
  <c r="L517" i="53"/>
  <c r="L473" i="53"/>
  <c r="K843" i="53"/>
  <c r="O573" i="53"/>
  <c r="O516" i="53"/>
  <c r="K836" i="53"/>
  <c r="I572" i="53"/>
  <c r="F573" i="53"/>
  <c r="F516" i="53"/>
  <c r="O977" i="53"/>
  <c r="AN932" i="53"/>
  <c r="AN897" i="53"/>
  <c r="AO990" i="53"/>
  <c r="AO989" i="53"/>
  <c r="AO988" i="53"/>
  <c r="AO993" i="53"/>
  <c r="AO992" i="53"/>
  <c r="AO991" i="53"/>
  <c r="AO987" i="53"/>
  <c r="AO985" i="53"/>
  <c r="AO984" i="53"/>
  <c r="AO983" i="53"/>
  <c r="AO982" i="53"/>
  <c r="AO981" i="53"/>
  <c r="AO980" i="53"/>
  <c r="AO986" i="53"/>
  <c r="AO979" i="53"/>
  <c r="AO978" i="53"/>
  <c r="AO976" i="53"/>
  <c r="AO975" i="53"/>
  <c r="AO974" i="53"/>
  <c r="AO971" i="53"/>
  <c r="AO972" i="53"/>
  <c r="AO977" i="53"/>
  <c r="AO970" i="53"/>
  <c r="AO973" i="53"/>
  <c r="L865" i="53"/>
  <c r="L893" i="53"/>
  <c r="K895" i="53"/>
  <c r="K867" i="53"/>
  <c r="M868" i="53"/>
  <c r="M896" i="53"/>
  <c r="G573" i="53"/>
  <c r="K837" i="53"/>
  <c r="G516" i="53"/>
  <c r="AM930" i="53"/>
  <c r="N975" i="53"/>
  <c r="AM895" i="53"/>
  <c r="AW859" i="53"/>
  <c r="D261" i="34"/>
  <c r="R582" i="53" l="1"/>
  <c r="J837" i="53"/>
  <c r="G517" i="53"/>
  <c r="G473" i="53"/>
  <c r="J843" i="53"/>
  <c r="O517" i="53"/>
  <c r="O473" i="53"/>
  <c r="J842" i="53"/>
  <c r="N517" i="53"/>
  <c r="Q516" i="53"/>
  <c r="N473" i="53"/>
  <c r="K866" i="53"/>
  <c r="K894" i="53"/>
  <c r="AO994" i="53"/>
  <c r="O976" i="53"/>
  <c r="AN931" i="53"/>
  <c r="AN896" i="53"/>
  <c r="N973" i="53"/>
  <c r="AM928" i="53"/>
  <c r="AW857" i="53"/>
  <c r="AM893" i="53"/>
  <c r="K893" i="53"/>
  <c r="K865" i="53"/>
  <c r="I841" i="53"/>
  <c r="L474" i="53"/>
  <c r="L433" i="53"/>
  <c r="L432" i="53" s="1"/>
  <c r="L431" i="53" s="1"/>
  <c r="L430" i="53" s="1"/>
  <c r="L429" i="53" s="1"/>
  <c r="L428" i="53" s="1"/>
  <c r="L426" i="53"/>
  <c r="K899" i="53"/>
  <c r="K871" i="53"/>
  <c r="J834" i="53"/>
  <c r="C517" i="53"/>
  <c r="C473" i="53"/>
  <c r="AO903" i="53"/>
  <c r="AN925" i="53"/>
  <c r="M903" i="53"/>
  <c r="O970" i="53"/>
  <c r="AN890" i="53"/>
  <c r="K833" i="53"/>
  <c r="B573" i="53"/>
  <c r="E572" i="53"/>
  <c r="B516" i="53"/>
  <c r="J867" i="53"/>
  <c r="J895" i="53"/>
  <c r="J836" i="53"/>
  <c r="F517" i="53"/>
  <c r="I516" i="53"/>
  <c r="F473" i="53"/>
  <c r="N977" i="53"/>
  <c r="AM932" i="53"/>
  <c r="AW861" i="53"/>
  <c r="AM897" i="53"/>
  <c r="K892" i="53"/>
  <c r="K864" i="53"/>
  <c r="L890" i="53"/>
  <c r="L862" i="53"/>
  <c r="L846" i="53"/>
  <c r="L896" i="53"/>
  <c r="L868" i="53"/>
  <c r="J898" i="53"/>
  <c r="J870" i="53"/>
  <c r="AN993" i="53"/>
  <c r="AN992" i="53"/>
  <c r="AN991" i="53"/>
  <c r="AN987" i="53"/>
  <c r="AN990" i="53"/>
  <c r="AN980" i="53"/>
  <c r="AN989" i="53"/>
  <c r="AN986" i="53"/>
  <c r="AN979" i="53"/>
  <c r="AN977" i="53"/>
  <c r="AN988" i="53"/>
  <c r="AN985" i="53"/>
  <c r="AN983" i="53"/>
  <c r="AN981" i="53"/>
  <c r="AN984" i="53"/>
  <c r="AN970" i="53"/>
  <c r="AN975" i="53"/>
  <c r="AN974" i="53"/>
  <c r="AN976" i="53"/>
  <c r="AN971" i="53"/>
  <c r="AN978" i="53"/>
  <c r="AN982" i="53"/>
  <c r="AN973" i="53"/>
  <c r="AN972" i="53"/>
  <c r="AM926" i="53"/>
  <c r="N971" i="53"/>
  <c r="AM891" i="53"/>
  <c r="AW855" i="53"/>
  <c r="K891" i="53"/>
  <c r="K863" i="53"/>
  <c r="AO938" i="53"/>
  <c r="N972" i="53"/>
  <c r="AM927" i="53"/>
  <c r="AM892" i="53"/>
  <c r="AW856" i="53"/>
  <c r="N980" i="53"/>
  <c r="AM935" i="53"/>
  <c r="AM900" i="53"/>
  <c r="AW864" i="53"/>
  <c r="K839" i="53"/>
  <c r="M572" i="53"/>
  <c r="J573" i="53"/>
  <c r="J516" i="53"/>
  <c r="I838" i="53"/>
  <c r="H433" i="53"/>
  <c r="H432" i="53" s="1"/>
  <c r="H431" i="53" s="1"/>
  <c r="H430" i="53" s="1"/>
  <c r="H429" i="53" s="1"/>
  <c r="H428" i="53" s="1"/>
  <c r="H474" i="53"/>
  <c r="H426" i="53"/>
  <c r="N981" i="53"/>
  <c r="AM936" i="53"/>
  <c r="AM901" i="53"/>
  <c r="AW865" i="53"/>
  <c r="K897" i="53"/>
  <c r="K869" i="53"/>
  <c r="K901" i="53"/>
  <c r="K873" i="53"/>
  <c r="AM929" i="53"/>
  <c r="AM894" i="53"/>
  <c r="N974" i="53"/>
  <c r="AW858" i="53"/>
  <c r="M975" i="53"/>
  <c r="AL930" i="53"/>
  <c r="AL895" i="53"/>
  <c r="K900" i="53"/>
  <c r="K872" i="53"/>
  <c r="N979" i="53"/>
  <c r="AM934" i="53"/>
  <c r="AM899" i="53"/>
  <c r="AW863" i="53"/>
  <c r="K517" i="53"/>
  <c r="J840" i="53"/>
  <c r="K473" i="53"/>
  <c r="J844" i="53"/>
  <c r="P517" i="53"/>
  <c r="P473" i="53"/>
  <c r="J835" i="53"/>
  <c r="D517" i="53"/>
  <c r="D473" i="53"/>
  <c r="M978" i="53"/>
  <c r="AL933" i="53"/>
  <c r="AL898" i="53"/>
  <c r="AN903" i="53" l="1"/>
  <c r="AN938" i="53"/>
  <c r="R572" i="53"/>
  <c r="I844" i="53"/>
  <c r="P474" i="53"/>
  <c r="P433" i="53"/>
  <c r="P432" i="53" s="1"/>
  <c r="P431" i="53" s="1"/>
  <c r="P430" i="53" s="1"/>
  <c r="P429" i="53" s="1"/>
  <c r="P428" i="53" s="1"/>
  <c r="P426" i="53"/>
  <c r="J897" i="53"/>
  <c r="J869" i="53"/>
  <c r="M971" i="53"/>
  <c r="AL926" i="53"/>
  <c r="AL891" i="53"/>
  <c r="N976" i="53"/>
  <c r="AM931" i="53"/>
  <c r="AM896" i="53"/>
  <c r="AW860" i="53"/>
  <c r="J833" i="53"/>
  <c r="B517" i="53"/>
  <c r="E516" i="53"/>
  <c r="B473" i="53"/>
  <c r="M974" i="53"/>
  <c r="AL929" i="53"/>
  <c r="AL894" i="53"/>
  <c r="J900" i="53"/>
  <c r="J872" i="53"/>
  <c r="M981" i="53"/>
  <c r="AL936" i="53"/>
  <c r="AL901" i="53"/>
  <c r="N970" i="53"/>
  <c r="AM925" i="53"/>
  <c r="L903" i="53"/>
  <c r="AW854" i="53"/>
  <c r="AM890" i="53"/>
  <c r="K846" i="53"/>
  <c r="K862" i="53"/>
  <c r="K890" i="53"/>
  <c r="J891" i="53"/>
  <c r="J863" i="53"/>
  <c r="I835" i="53"/>
  <c r="D474" i="53"/>
  <c r="D426" i="53"/>
  <c r="D433" i="53"/>
  <c r="D432" i="53" s="1"/>
  <c r="D431" i="53" s="1"/>
  <c r="D430" i="53" s="1"/>
  <c r="D429" i="53" s="1"/>
  <c r="D428" i="53" s="1"/>
  <c r="J901" i="53"/>
  <c r="J873" i="53"/>
  <c r="M977" i="53"/>
  <c r="AL932" i="53"/>
  <c r="AL897" i="53"/>
  <c r="I895" i="53"/>
  <c r="I867" i="53"/>
  <c r="K896" i="53"/>
  <c r="K868" i="53"/>
  <c r="AM990" i="53"/>
  <c r="AM989" i="53"/>
  <c r="AM988" i="53"/>
  <c r="AM993" i="53"/>
  <c r="AM986" i="53"/>
  <c r="AM979" i="53"/>
  <c r="AM978" i="53"/>
  <c r="AM987" i="53"/>
  <c r="AM984" i="53"/>
  <c r="AM982" i="53"/>
  <c r="AM980" i="53"/>
  <c r="AM977" i="53"/>
  <c r="AM974" i="53"/>
  <c r="AM976" i="53"/>
  <c r="AM973" i="53"/>
  <c r="AM983" i="53"/>
  <c r="AM991" i="53"/>
  <c r="AM985" i="53"/>
  <c r="AM972" i="53"/>
  <c r="AM971" i="53"/>
  <c r="AM992" i="53"/>
  <c r="AM970" i="53"/>
  <c r="AM975" i="53"/>
  <c r="AM981" i="53"/>
  <c r="AN994" i="53"/>
  <c r="M972" i="53"/>
  <c r="AL927" i="53"/>
  <c r="AL892" i="53"/>
  <c r="J893" i="53"/>
  <c r="J865" i="53"/>
  <c r="C474" i="53"/>
  <c r="I834" i="53"/>
  <c r="C433" i="53"/>
  <c r="C432" i="53" s="1"/>
  <c r="C431" i="53" s="1"/>
  <c r="C430" i="53" s="1"/>
  <c r="C429" i="53" s="1"/>
  <c r="C428" i="53" s="1"/>
  <c r="C426" i="53"/>
  <c r="M979" i="53"/>
  <c r="AL934" i="53"/>
  <c r="AL899" i="53"/>
  <c r="I898" i="53"/>
  <c r="I870" i="53"/>
  <c r="J899" i="53"/>
  <c r="J871" i="53"/>
  <c r="G433" i="53"/>
  <c r="G432" i="53" s="1"/>
  <c r="G431" i="53" s="1"/>
  <c r="G430" i="53" s="1"/>
  <c r="G429" i="53" s="1"/>
  <c r="G428" i="53" s="1"/>
  <c r="I837" i="53"/>
  <c r="G474" i="53"/>
  <c r="G426" i="53"/>
  <c r="J892" i="53"/>
  <c r="J864" i="53"/>
  <c r="I840" i="53"/>
  <c r="K474" i="53"/>
  <c r="K433" i="53"/>
  <c r="K432" i="53" s="1"/>
  <c r="K431" i="53" s="1"/>
  <c r="K430" i="53" s="1"/>
  <c r="K429" i="53" s="1"/>
  <c r="K428" i="53" s="1"/>
  <c r="K426" i="53"/>
  <c r="M980" i="53"/>
  <c r="AL935" i="53"/>
  <c r="AL900" i="53"/>
  <c r="H427" i="53"/>
  <c r="H838" i="53"/>
  <c r="H285" i="53"/>
  <c r="H287" i="53" s="1"/>
  <c r="J839" i="53"/>
  <c r="M516" i="53"/>
  <c r="J517" i="53"/>
  <c r="J473" i="53"/>
  <c r="L978" i="53"/>
  <c r="AK933" i="53"/>
  <c r="AK898" i="53"/>
  <c r="I836" i="53"/>
  <c r="F474" i="53"/>
  <c r="I473" i="53"/>
  <c r="F433" i="53"/>
  <c r="F432" i="53" s="1"/>
  <c r="F431" i="53" s="1"/>
  <c r="F430" i="53" s="1"/>
  <c r="F429" i="53" s="1"/>
  <c r="F428" i="53" s="1"/>
  <c r="F426" i="53"/>
  <c r="L975" i="53"/>
  <c r="AK930" i="53"/>
  <c r="AK895" i="53"/>
  <c r="H841" i="53"/>
  <c r="L427" i="53"/>
  <c r="L285" i="53"/>
  <c r="L287" i="53" s="1"/>
  <c r="I842" i="53"/>
  <c r="N474" i="53"/>
  <c r="Q473" i="53"/>
  <c r="N433" i="53"/>
  <c r="N432" i="53" s="1"/>
  <c r="N431" i="53" s="1"/>
  <c r="N430" i="53" s="1"/>
  <c r="N429" i="53" s="1"/>
  <c r="N428" i="53" s="1"/>
  <c r="N426" i="53"/>
  <c r="I843" i="53"/>
  <c r="O433" i="53"/>
  <c r="O432" i="53" s="1"/>
  <c r="O431" i="53" s="1"/>
  <c r="O430" i="53" s="1"/>
  <c r="O429" i="53" s="1"/>
  <c r="O428" i="53" s="1"/>
  <c r="O474" i="53"/>
  <c r="O426" i="53"/>
  <c r="M973" i="53"/>
  <c r="AL928" i="53"/>
  <c r="AL893" i="53"/>
  <c r="J894" i="53"/>
  <c r="J866" i="53"/>
  <c r="AW867" i="53" l="1"/>
  <c r="AM938" i="53"/>
  <c r="AM903" i="53"/>
  <c r="L972" i="53"/>
  <c r="AK927" i="53"/>
  <c r="AK892" i="53"/>
  <c r="I872" i="53"/>
  <c r="I900" i="53"/>
  <c r="H898" i="53"/>
  <c r="H870" i="53"/>
  <c r="H836" i="53"/>
  <c r="F427" i="53"/>
  <c r="I426" i="53"/>
  <c r="F285" i="53"/>
  <c r="F287" i="53" s="1"/>
  <c r="I893" i="53"/>
  <c r="I865" i="53"/>
  <c r="I839" i="53"/>
  <c r="J474" i="53"/>
  <c r="M473" i="53"/>
  <c r="J433" i="53"/>
  <c r="J432" i="53" s="1"/>
  <c r="J431" i="53" s="1"/>
  <c r="J430" i="53" s="1"/>
  <c r="J429" i="53" s="1"/>
  <c r="J428" i="53" s="1"/>
  <c r="J426" i="53"/>
  <c r="E838" i="53"/>
  <c r="H286" i="53"/>
  <c r="H132" i="53"/>
  <c r="H837" i="53"/>
  <c r="G427" i="53"/>
  <c r="G285" i="53"/>
  <c r="G287" i="53" s="1"/>
  <c r="L974" i="53"/>
  <c r="AK929" i="53"/>
  <c r="AK894" i="53"/>
  <c r="H843" i="53"/>
  <c r="O427" i="53"/>
  <c r="O285" i="53"/>
  <c r="O287" i="53" s="1"/>
  <c r="H842" i="53"/>
  <c r="N427" i="53"/>
  <c r="Q426" i="53"/>
  <c r="N285" i="53"/>
  <c r="N287" i="53" s="1"/>
  <c r="I899" i="53"/>
  <c r="I871" i="53"/>
  <c r="H895" i="53"/>
  <c r="H867" i="53"/>
  <c r="I897" i="53"/>
  <c r="I869" i="53"/>
  <c r="L979" i="53"/>
  <c r="AK934" i="53"/>
  <c r="AK899" i="53"/>
  <c r="I891" i="53"/>
  <c r="I863" i="53"/>
  <c r="L981" i="53"/>
  <c r="AK936" i="53"/>
  <c r="AK901" i="53"/>
  <c r="I892" i="53"/>
  <c r="I864" i="53"/>
  <c r="R516" i="53"/>
  <c r="H844" i="53"/>
  <c r="P427" i="53"/>
  <c r="P285" i="53"/>
  <c r="P287" i="53" s="1"/>
  <c r="E841" i="53"/>
  <c r="L286" i="53"/>
  <c r="L132" i="53"/>
  <c r="I894" i="53"/>
  <c r="I866" i="53"/>
  <c r="J896" i="53"/>
  <c r="J868" i="53"/>
  <c r="K978" i="53"/>
  <c r="AJ898" i="53"/>
  <c r="AJ933" i="53"/>
  <c r="C427" i="53"/>
  <c r="H834" i="53"/>
  <c r="C285" i="53"/>
  <c r="C287" i="53" s="1"/>
  <c r="AL987" i="53"/>
  <c r="AL993" i="53"/>
  <c r="AL992" i="53"/>
  <c r="AL991" i="53"/>
  <c r="AL986" i="53"/>
  <c r="AL990" i="53"/>
  <c r="AL989" i="53"/>
  <c r="AL985" i="53"/>
  <c r="AL984" i="53"/>
  <c r="AL983" i="53"/>
  <c r="AL982" i="53"/>
  <c r="AL981" i="53"/>
  <c r="AL977" i="53"/>
  <c r="AL976" i="53"/>
  <c r="AL975" i="53"/>
  <c r="AL979" i="53"/>
  <c r="AL978" i="53"/>
  <c r="AL972" i="53"/>
  <c r="AL988" i="53"/>
  <c r="AL980" i="53"/>
  <c r="AL973" i="53"/>
  <c r="AL974" i="53"/>
  <c r="AL970" i="53"/>
  <c r="AL971" i="53"/>
  <c r="AM994" i="53"/>
  <c r="H835" i="53"/>
  <c r="D427" i="53"/>
  <c r="D285" i="53"/>
  <c r="D287" i="53" s="1"/>
  <c r="L971" i="53"/>
  <c r="AK926" i="53"/>
  <c r="AK891" i="53"/>
  <c r="J890" i="53"/>
  <c r="J846" i="53"/>
  <c r="J862" i="53"/>
  <c r="H840" i="53"/>
  <c r="K427" i="53"/>
  <c r="K285" i="53"/>
  <c r="K287" i="53" s="1"/>
  <c r="M976" i="53"/>
  <c r="AL931" i="53"/>
  <c r="AL896" i="53"/>
  <c r="L973" i="53"/>
  <c r="AK893" i="53"/>
  <c r="AK928" i="53"/>
  <c r="K975" i="53"/>
  <c r="AJ930" i="53"/>
  <c r="AJ895" i="53"/>
  <c r="M970" i="53"/>
  <c r="K903" i="53"/>
  <c r="AL890" i="53"/>
  <c r="AL925" i="53"/>
  <c r="L980" i="53"/>
  <c r="AK935" i="53"/>
  <c r="AK900" i="53"/>
  <c r="E473" i="53"/>
  <c r="B433" i="53"/>
  <c r="B432" i="53" s="1"/>
  <c r="B431" i="53" s="1"/>
  <c r="B430" i="53" s="1"/>
  <c r="B429" i="53" s="1"/>
  <c r="B428" i="53" s="1"/>
  <c r="I833" i="53"/>
  <c r="B474" i="53"/>
  <c r="B426" i="53"/>
  <c r="L977" i="53"/>
  <c r="AK932" i="53"/>
  <c r="AK897" i="53"/>
  <c r="I901" i="53"/>
  <c r="I873" i="53"/>
  <c r="M917" i="49"/>
  <c r="AL938" i="53" l="1"/>
  <c r="R473" i="53"/>
  <c r="I862" i="53"/>
  <c r="I890" i="53"/>
  <c r="I846" i="53"/>
  <c r="E835" i="53"/>
  <c r="D286" i="53"/>
  <c r="D132" i="53"/>
  <c r="H869" i="53"/>
  <c r="H897" i="53"/>
  <c r="AL994" i="53"/>
  <c r="H863" i="53"/>
  <c r="H891" i="53"/>
  <c r="K974" i="53"/>
  <c r="AJ929" i="53"/>
  <c r="AJ894" i="53"/>
  <c r="E898" i="53"/>
  <c r="E870" i="53"/>
  <c r="AR867" i="53"/>
  <c r="K977" i="53"/>
  <c r="AJ932" i="53"/>
  <c r="AJ897" i="53"/>
  <c r="K979" i="53"/>
  <c r="AJ934" i="53"/>
  <c r="AJ899" i="53"/>
  <c r="H899" i="53"/>
  <c r="H871" i="53"/>
  <c r="K973" i="53"/>
  <c r="AJ928" i="53"/>
  <c r="AJ893" i="53"/>
  <c r="H893" i="53"/>
  <c r="H865" i="53"/>
  <c r="L970" i="53"/>
  <c r="AK925" i="53"/>
  <c r="J903" i="53"/>
  <c r="AK890" i="53"/>
  <c r="C286" i="53"/>
  <c r="E834" i="53"/>
  <c r="C132" i="53"/>
  <c r="H901" i="53"/>
  <c r="H873" i="53"/>
  <c r="K971" i="53"/>
  <c r="AJ891" i="53"/>
  <c r="AJ926" i="53"/>
  <c r="H900" i="53"/>
  <c r="H872" i="53"/>
  <c r="G286" i="53"/>
  <c r="E837" i="53"/>
  <c r="G132" i="53"/>
  <c r="K981" i="53"/>
  <c r="AJ936" i="53"/>
  <c r="AJ901" i="53"/>
  <c r="H833" i="53"/>
  <c r="B427" i="53"/>
  <c r="E426" i="53"/>
  <c r="B285" i="53"/>
  <c r="B287" i="53" s="1"/>
  <c r="H892" i="53"/>
  <c r="H864" i="53"/>
  <c r="D841" i="53"/>
  <c r="L133" i="53"/>
  <c r="L64" i="53"/>
  <c r="E844" i="53"/>
  <c r="P286" i="53"/>
  <c r="P132" i="53"/>
  <c r="E842" i="53"/>
  <c r="N286" i="53"/>
  <c r="Q285" i="53"/>
  <c r="N132" i="53"/>
  <c r="E843" i="53"/>
  <c r="O286" i="53"/>
  <c r="O132" i="53"/>
  <c r="H894" i="53"/>
  <c r="H866" i="53"/>
  <c r="E895" i="53"/>
  <c r="AR864" i="53"/>
  <c r="E867" i="53"/>
  <c r="E836" i="53"/>
  <c r="F286" i="53"/>
  <c r="I285" i="53"/>
  <c r="F132" i="53"/>
  <c r="AL903" i="53"/>
  <c r="E840" i="53"/>
  <c r="K286" i="53"/>
  <c r="K132" i="53"/>
  <c r="L976" i="53"/>
  <c r="AK931" i="53"/>
  <c r="AK896" i="53"/>
  <c r="K972" i="53"/>
  <c r="AJ892" i="53"/>
  <c r="AJ927" i="53"/>
  <c r="AI930" i="53"/>
  <c r="AI895" i="53"/>
  <c r="J975" i="53"/>
  <c r="AI829" i="53"/>
  <c r="D838" i="53"/>
  <c r="H133" i="53"/>
  <c r="H64" i="53"/>
  <c r="H839" i="53"/>
  <c r="M426" i="53"/>
  <c r="J427" i="53"/>
  <c r="J285" i="53"/>
  <c r="J287" i="53" s="1"/>
  <c r="I868" i="53"/>
  <c r="I896" i="53"/>
  <c r="J978" i="53"/>
  <c r="AI933" i="53"/>
  <c r="AI898" i="53"/>
  <c r="AI832" i="53"/>
  <c r="K980" i="53"/>
  <c r="AJ935" i="53"/>
  <c r="AJ900" i="53"/>
  <c r="AK990" i="53"/>
  <c r="AK989" i="53"/>
  <c r="AK988" i="53"/>
  <c r="AK993" i="53"/>
  <c r="AK992" i="53"/>
  <c r="AK991" i="53"/>
  <c r="AK985" i="53"/>
  <c r="AK984" i="53"/>
  <c r="AK983" i="53"/>
  <c r="AK982" i="53"/>
  <c r="AK981" i="53"/>
  <c r="AK980" i="53"/>
  <c r="AK978" i="53"/>
  <c r="AK987" i="53"/>
  <c r="AK986" i="53"/>
  <c r="AK976" i="53"/>
  <c r="AK977" i="53"/>
  <c r="AK971" i="53"/>
  <c r="AK979" i="53"/>
  <c r="AK972" i="53"/>
  <c r="AK973" i="53"/>
  <c r="AK970" i="53"/>
  <c r="AK974" i="53"/>
  <c r="AK975" i="53"/>
  <c r="P261" i="34"/>
  <c r="O261" i="34"/>
  <c r="N261" i="34"/>
  <c r="AK903" i="53" l="1"/>
  <c r="E839" i="53"/>
  <c r="J286" i="53"/>
  <c r="M285" i="53"/>
  <c r="J132" i="53"/>
  <c r="C838" i="53"/>
  <c r="H65" i="53"/>
  <c r="H29" i="53"/>
  <c r="D842" i="53"/>
  <c r="Q132" i="53"/>
  <c r="N133" i="53"/>
  <c r="N64" i="53"/>
  <c r="E901" i="53"/>
  <c r="E873" i="53"/>
  <c r="AR870" i="53"/>
  <c r="AK994" i="53"/>
  <c r="H896" i="53"/>
  <c r="H868" i="53"/>
  <c r="J974" i="53"/>
  <c r="AI894" i="53"/>
  <c r="AI929" i="53"/>
  <c r="AI828" i="53"/>
  <c r="E872" i="53"/>
  <c r="AR869" i="53"/>
  <c r="E900" i="53"/>
  <c r="D898" i="53"/>
  <c r="AQ867" i="53"/>
  <c r="D870" i="53"/>
  <c r="R426" i="53"/>
  <c r="J981" i="53"/>
  <c r="AI936" i="53"/>
  <c r="AI901" i="53"/>
  <c r="AI835" i="53"/>
  <c r="G978" i="53"/>
  <c r="AG933" i="53"/>
  <c r="AG898" i="53"/>
  <c r="J971" i="53"/>
  <c r="AI926" i="53"/>
  <c r="AI891" i="53"/>
  <c r="AI825" i="53"/>
  <c r="E892" i="53"/>
  <c r="AR861" i="53"/>
  <c r="E864" i="53"/>
  <c r="E897" i="53"/>
  <c r="E869" i="53"/>
  <c r="AR866" i="53"/>
  <c r="D843" i="53"/>
  <c r="O133" i="53"/>
  <c r="O64" i="53"/>
  <c r="E899" i="53"/>
  <c r="E871" i="53"/>
  <c r="AR868" i="53"/>
  <c r="D835" i="53"/>
  <c r="D133" i="53"/>
  <c r="D64" i="53"/>
  <c r="AJ993" i="53"/>
  <c r="AJ992" i="53"/>
  <c r="AJ991" i="53"/>
  <c r="AJ987" i="53"/>
  <c r="AJ980" i="53"/>
  <c r="AJ988" i="53"/>
  <c r="AJ979" i="53"/>
  <c r="AJ990" i="53"/>
  <c r="AJ989" i="53"/>
  <c r="AJ984" i="53"/>
  <c r="AJ982" i="53"/>
  <c r="AJ978" i="53"/>
  <c r="AJ985" i="53"/>
  <c r="AJ981" i="53"/>
  <c r="AJ975" i="53"/>
  <c r="AJ974" i="53"/>
  <c r="AJ970" i="53"/>
  <c r="AJ977" i="53"/>
  <c r="AJ976" i="53"/>
  <c r="AJ983" i="53"/>
  <c r="AJ973" i="53"/>
  <c r="AJ972" i="53"/>
  <c r="AJ971" i="53"/>
  <c r="AJ986" i="53"/>
  <c r="D840" i="53"/>
  <c r="K133" i="53"/>
  <c r="K64" i="53"/>
  <c r="G975" i="53"/>
  <c r="AG930" i="53"/>
  <c r="AG895" i="53"/>
  <c r="D844" i="53"/>
  <c r="P133" i="53"/>
  <c r="P64" i="53"/>
  <c r="C841" i="53"/>
  <c r="L65" i="53"/>
  <c r="L29" i="53"/>
  <c r="J972" i="53"/>
  <c r="AI927" i="53"/>
  <c r="AI892" i="53"/>
  <c r="AI826" i="53"/>
  <c r="H890" i="53"/>
  <c r="H862" i="53"/>
  <c r="H846" i="53"/>
  <c r="D837" i="53"/>
  <c r="G133" i="53"/>
  <c r="G64" i="53"/>
  <c r="E891" i="53"/>
  <c r="AR860" i="53"/>
  <c r="E863" i="53"/>
  <c r="J973" i="53"/>
  <c r="AI928" i="53"/>
  <c r="AI893" i="53"/>
  <c r="AI827" i="53"/>
  <c r="K970" i="53"/>
  <c r="I903" i="53"/>
  <c r="AJ925" i="53"/>
  <c r="AJ890" i="53"/>
  <c r="C133" i="53"/>
  <c r="D834" i="53"/>
  <c r="C64" i="53"/>
  <c r="K976" i="53"/>
  <c r="AJ931" i="53"/>
  <c r="AJ896" i="53"/>
  <c r="D895" i="53"/>
  <c r="AQ864" i="53"/>
  <c r="D867" i="53"/>
  <c r="D836" i="53"/>
  <c r="F133" i="53"/>
  <c r="I132" i="53"/>
  <c r="F64" i="53"/>
  <c r="E893" i="53"/>
  <c r="E865" i="53"/>
  <c r="AR862" i="53"/>
  <c r="B286" i="53"/>
  <c r="E285" i="53"/>
  <c r="E833" i="53"/>
  <c r="B132" i="53"/>
  <c r="B64" i="53" s="1"/>
  <c r="B29" i="53" s="1"/>
  <c r="B19" i="53" s="1"/>
  <c r="E894" i="53"/>
  <c r="AR863" i="53"/>
  <c r="E866" i="53"/>
  <c r="J980" i="53"/>
  <c r="AI935" i="53"/>
  <c r="AI900" i="53"/>
  <c r="AI834" i="53"/>
  <c r="AK938" i="53"/>
  <c r="J979" i="53"/>
  <c r="AI934" i="53"/>
  <c r="AI899" i="53"/>
  <c r="AI833" i="53"/>
  <c r="J977" i="53"/>
  <c r="AI932" i="53"/>
  <c r="AI897" i="53"/>
  <c r="AI831" i="53"/>
  <c r="O741" i="34"/>
  <c r="O760" i="34"/>
  <c r="Q315" i="34"/>
  <c r="M315" i="34"/>
  <c r="I315" i="34"/>
  <c r="E315" i="34"/>
  <c r="R285" i="53" l="1"/>
  <c r="AJ938" i="53"/>
  <c r="F975" i="53"/>
  <c r="AF930" i="53"/>
  <c r="AF895" i="53"/>
  <c r="C834" i="53"/>
  <c r="C65" i="53"/>
  <c r="C29" i="53"/>
  <c r="B841" i="53"/>
  <c r="L19" i="53"/>
  <c r="K14" i="25" s="1"/>
  <c r="L30" i="53"/>
  <c r="E862" i="53"/>
  <c r="AR859" i="53"/>
  <c r="E846" i="53"/>
  <c r="E890" i="53"/>
  <c r="AJ903" i="53"/>
  <c r="J970" i="53"/>
  <c r="AI925" i="53"/>
  <c r="H903" i="53"/>
  <c r="AI890" i="53"/>
  <c r="AI824" i="53"/>
  <c r="AI990" i="53"/>
  <c r="AI989" i="53"/>
  <c r="AI988" i="53"/>
  <c r="AI979" i="53"/>
  <c r="AI991" i="53"/>
  <c r="AI987" i="53"/>
  <c r="AI986" i="53"/>
  <c r="AI978" i="53"/>
  <c r="AI992" i="53"/>
  <c r="AI985" i="53"/>
  <c r="AI983" i="53"/>
  <c r="AI981" i="53"/>
  <c r="AI977" i="53"/>
  <c r="AI993" i="53"/>
  <c r="AI974" i="53"/>
  <c r="AI973" i="53"/>
  <c r="AI984" i="53"/>
  <c r="AI975" i="53"/>
  <c r="AI982" i="53"/>
  <c r="AI971" i="53"/>
  <c r="AI976" i="53"/>
  <c r="AI970" i="53"/>
  <c r="AI980" i="53"/>
  <c r="AI972" i="53"/>
  <c r="C844" i="53"/>
  <c r="P65" i="53"/>
  <c r="P29" i="53"/>
  <c r="AQ866" i="53"/>
  <c r="D869" i="53"/>
  <c r="D897" i="53"/>
  <c r="AJ994" i="53"/>
  <c r="AG932" i="53"/>
  <c r="G977" i="53"/>
  <c r="AG897" i="53"/>
  <c r="C842" i="53"/>
  <c r="Q64" i="53"/>
  <c r="N29" i="53"/>
  <c r="N65" i="53"/>
  <c r="B838" i="53"/>
  <c r="H19" i="53"/>
  <c r="H14" i="25" s="1"/>
  <c r="H30" i="53"/>
  <c r="G974" i="53"/>
  <c r="AG929" i="53"/>
  <c r="AG894" i="53"/>
  <c r="G973" i="53"/>
  <c r="AG928" i="53"/>
  <c r="AG893" i="53"/>
  <c r="D893" i="53"/>
  <c r="AQ862" i="53"/>
  <c r="D865" i="53"/>
  <c r="D863" i="53"/>
  <c r="AQ860" i="53"/>
  <c r="D891" i="53"/>
  <c r="G971" i="53"/>
  <c r="AG926" i="53"/>
  <c r="AG891" i="53"/>
  <c r="D873" i="53"/>
  <c r="AQ870" i="53"/>
  <c r="D901" i="53"/>
  <c r="C840" i="53"/>
  <c r="K65" i="53"/>
  <c r="K29" i="53"/>
  <c r="G979" i="53"/>
  <c r="AG934" i="53"/>
  <c r="AG899" i="53"/>
  <c r="F978" i="53"/>
  <c r="AF898" i="53"/>
  <c r="AF933" i="53"/>
  <c r="C895" i="53"/>
  <c r="C867" i="53"/>
  <c r="AP864" i="53"/>
  <c r="D894" i="53"/>
  <c r="D866" i="53"/>
  <c r="AQ863" i="53"/>
  <c r="D29" i="53"/>
  <c r="C835" i="53"/>
  <c r="D65" i="53"/>
  <c r="D900" i="53"/>
  <c r="AQ869" i="53"/>
  <c r="D872" i="53"/>
  <c r="D833" i="53"/>
  <c r="E132" i="53"/>
  <c r="B133" i="53"/>
  <c r="C836" i="53"/>
  <c r="F65" i="53"/>
  <c r="F29" i="53"/>
  <c r="I64" i="53"/>
  <c r="G65" i="53"/>
  <c r="C837" i="53"/>
  <c r="G29" i="53"/>
  <c r="C870" i="53"/>
  <c r="C898" i="53"/>
  <c r="AP867" i="53"/>
  <c r="D892" i="53"/>
  <c r="AQ861" i="53"/>
  <c r="D864" i="53"/>
  <c r="C843" i="53"/>
  <c r="O65" i="53"/>
  <c r="O29" i="53"/>
  <c r="G972" i="53"/>
  <c r="AG927" i="53"/>
  <c r="AG892" i="53"/>
  <c r="G980" i="53"/>
  <c r="AG935" i="53"/>
  <c r="AG900" i="53"/>
  <c r="J976" i="53"/>
  <c r="AI931" i="53"/>
  <c r="AI896" i="53"/>
  <c r="AI830" i="53"/>
  <c r="G981" i="53"/>
  <c r="AG936" i="53"/>
  <c r="AG901" i="53"/>
  <c r="D899" i="53"/>
  <c r="AQ868" i="53"/>
  <c r="D871" i="53"/>
  <c r="D839" i="53"/>
  <c r="M132" i="53"/>
  <c r="J133" i="53"/>
  <c r="J64" i="53"/>
  <c r="E868" i="53"/>
  <c r="AR865" i="53"/>
  <c r="E896" i="53"/>
  <c r="R315" i="34"/>
  <c r="AI837" i="53" l="1"/>
  <c r="AR872" i="53"/>
  <c r="B843" i="53"/>
  <c r="O30" i="53"/>
  <c r="O19" i="53"/>
  <c r="M14" i="25" s="1"/>
  <c r="C833" i="53"/>
  <c r="E64" i="53"/>
  <c r="B65" i="53"/>
  <c r="C892" i="53"/>
  <c r="C864" i="53"/>
  <c r="AP861" i="53"/>
  <c r="C897" i="53"/>
  <c r="AP866" i="53"/>
  <c r="C869" i="53"/>
  <c r="F979" i="53"/>
  <c r="AF899" i="53"/>
  <c r="AF934" i="53"/>
  <c r="C894" i="53"/>
  <c r="C866" i="53"/>
  <c r="AP863" i="53"/>
  <c r="F980" i="53"/>
  <c r="AF935" i="53"/>
  <c r="AF900" i="53"/>
  <c r="D896" i="53"/>
  <c r="D868" i="53"/>
  <c r="AQ865" i="53"/>
  <c r="AG990" i="53"/>
  <c r="AG989" i="53"/>
  <c r="AG988" i="53"/>
  <c r="AG993" i="53"/>
  <c r="AG992" i="53"/>
  <c r="AG991" i="53"/>
  <c r="AG987" i="53"/>
  <c r="AG986" i="53"/>
  <c r="AG985" i="53"/>
  <c r="AG984" i="53"/>
  <c r="AG983" i="53"/>
  <c r="AG982" i="53"/>
  <c r="AG981" i="53"/>
  <c r="AG980" i="53"/>
  <c r="AG979" i="53"/>
  <c r="AG977" i="53"/>
  <c r="AG976" i="53"/>
  <c r="AG971" i="53"/>
  <c r="AG972" i="53"/>
  <c r="AG975" i="53"/>
  <c r="AG970" i="53"/>
  <c r="AG973" i="53"/>
  <c r="AG978" i="53"/>
  <c r="AG974" i="53"/>
  <c r="E978" i="53"/>
  <c r="AE933" i="53"/>
  <c r="AE898" i="53"/>
  <c r="C893" i="53"/>
  <c r="AP862" i="53"/>
  <c r="C865" i="53"/>
  <c r="D862" i="53"/>
  <c r="D890" i="53"/>
  <c r="D846" i="53"/>
  <c r="AQ859" i="53"/>
  <c r="E975" i="53"/>
  <c r="AE930" i="53"/>
  <c r="AE895" i="53"/>
  <c r="F971" i="53"/>
  <c r="AF926" i="53"/>
  <c r="AF891" i="53"/>
  <c r="B842" i="53"/>
  <c r="Q29" i="53"/>
  <c r="N19" i="53"/>
  <c r="L14" i="25" s="1"/>
  <c r="N30" i="53"/>
  <c r="C901" i="53"/>
  <c r="AP870" i="53"/>
  <c r="C873" i="53"/>
  <c r="AI938" i="53"/>
  <c r="C863" i="53"/>
  <c r="C891" i="53"/>
  <c r="AP860" i="53"/>
  <c r="C839" i="53"/>
  <c r="M64" i="53"/>
  <c r="J29" i="53"/>
  <c r="J65" i="53"/>
  <c r="F973" i="53"/>
  <c r="AF928" i="53"/>
  <c r="AF893" i="53"/>
  <c r="B898" i="53"/>
  <c r="AO867" i="53"/>
  <c r="AT867" i="53" s="1"/>
  <c r="B870" i="53"/>
  <c r="AG832" i="53"/>
  <c r="AN832" i="53"/>
  <c r="F972" i="53"/>
  <c r="AF927" i="53"/>
  <c r="AF892" i="53"/>
  <c r="B837" i="53"/>
  <c r="G30" i="53"/>
  <c r="G19" i="53"/>
  <c r="G14" i="25" s="1"/>
  <c r="B836" i="53"/>
  <c r="I29" i="53"/>
  <c r="F19" i="53"/>
  <c r="F14" i="25" s="1"/>
  <c r="F30" i="53"/>
  <c r="B835" i="53"/>
  <c r="D30" i="53"/>
  <c r="D19" i="53"/>
  <c r="E14" i="25" s="1"/>
  <c r="F981" i="53"/>
  <c r="AF901" i="53"/>
  <c r="AF936" i="53"/>
  <c r="B867" i="53"/>
  <c r="B895" i="53"/>
  <c r="AO864" i="53"/>
  <c r="AT864" i="53" s="1"/>
  <c r="AG829" i="53"/>
  <c r="AN829" i="53"/>
  <c r="C899" i="53"/>
  <c r="AP868" i="53"/>
  <c r="C871" i="53"/>
  <c r="B844" i="53"/>
  <c r="P30" i="53"/>
  <c r="P19" i="53"/>
  <c r="N14" i="25" s="1"/>
  <c r="AI903" i="53"/>
  <c r="B834" i="53"/>
  <c r="C30" i="53"/>
  <c r="C19" i="53"/>
  <c r="D14" i="25" s="1"/>
  <c r="AF929" i="53"/>
  <c r="F974" i="53"/>
  <c r="AF894" i="53"/>
  <c r="AG931" i="53"/>
  <c r="G976" i="53"/>
  <c r="AG896" i="53"/>
  <c r="C900" i="53"/>
  <c r="AP869" i="53"/>
  <c r="C872" i="53"/>
  <c r="R132" i="53"/>
  <c r="B840" i="53"/>
  <c r="K30" i="53"/>
  <c r="K19" i="53"/>
  <c r="J14" i="25" s="1"/>
  <c r="F977" i="53"/>
  <c r="AF897" i="53"/>
  <c r="AF932" i="53"/>
  <c r="AI994" i="53"/>
  <c r="G970" i="53"/>
  <c r="AG925" i="53"/>
  <c r="E903" i="53"/>
  <c r="AG890" i="53"/>
  <c r="I20" i="53" l="1"/>
  <c r="AQ872" i="53"/>
  <c r="AG903" i="53"/>
  <c r="AG938" i="53"/>
  <c r="E980" i="53"/>
  <c r="AE935" i="53"/>
  <c r="AE900" i="53"/>
  <c r="AD930" i="53"/>
  <c r="AD895" i="53"/>
  <c r="R1002" i="53"/>
  <c r="B892" i="53"/>
  <c r="B864" i="53"/>
  <c r="AN826" i="53"/>
  <c r="AO861" i="53"/>
  <c r="AT861" i="53" s="1"/>
  <c r="AG826" i="53"/>
  <c r="B893" i="53"/>
  <c r="B865" i="53"/>
  <c r="AO862" i="53"/>
  <c r="AT862" i="53" s="1"/>
  <c r="AN827" i="53"/>
  <c r="AG827" i="53"/>
  <c r="B839" i="53"/>
  <c r="J30" i="53"/>
  <c r="M29" i="53"/>
  <c r="J19" i="53"/>
  <c r="E971" i="53"/>
  <c r="AE926" i="53"/>
  <c r="AE891" i="53"/>
  <c r="Q19" i="53"/>
  <c r="Q20" i="53"/>
  <c r="E972" i="53"/>
  <c r="AE927" i="53"/>
  <c r="AE892" i="53"/>
  <c r="C890" i="53"/>
  <c r="C846" i="53"/>
  <c r="AP859" i="53"/>
  <c r="C862" i="53"/>
  <c r="B897" i="53"/>
  <c r="AO866" i="53"/>
  <c r="AT866" i="53" s="1"/>
  <c r="B869" i="53"/>
  <c r="AG831" i="53"/>
  <c r="AN831" i="53"/>
  <c r="AE934" i="53"/>
  <c r="AE899" i="53"/>
  <c r="E979" i="53"/>
  <c r="B891" i="53"/>
  <c r="AO860" i="53"/>
  <c r="AT860" i="53" s="1"/>
  <c r="AN825" i="53"/>
  <c r="B863" i="53"/>
  <c r="AG825" i="53"/>
  <c r="B901" i="53"/>
  <c r="AO870" i="53"/>
  <c r="AT870" i="53" s="1"/>
  <c r="AN835" i="53"/>
  <c r="B873" i="53"/>
  <c r="AG835" i="53"/>
  <c r="I19" i="53"/>
  <c r="AF993" i="53"/>
  <c r="AF992" i="53"/>
  <c r="AF991" i="53"/>
  <c r="AF987" i="53"/>
  <c r="AF980" i="53"/>
  <c r="AF989" i="53"/>
  <c r="AF979" i="53"/>
  <c r="AF978" i="53"/>
  <c r="AF985" i="53"/>
  <c r="AF983" i="53"/>
  <c r="AF981" i="53"/>
  <c r="AF986" i="53"/>
  <c r="AF982" i="53"/>
  <c r="AF970" i="53"/>
  <c r="AF990" i="53"/>
  <c r="AF988" i="53"/>
  <c r="AF975" i="53"/>
  <c r="AF984" i="53"/>
  <c r="AF974" i="53"/>
  <c r="AF973" i="53"/>
  <c r="AF972" i="53"/>
  <c r="AF971" i="53"/>
  <c r="AF976" i="53"/>
  <c r="AF977" i="53"/>
  <c r="C896" i="53"/>
  <c r="C868" i="53"/>
  <c r="AP865" i="53"/>
  <c r="E981" i="53"/>
  <c r="AE936" i="53"/>
  <c r="AE901" i="53"/>
  <c r="B871" i="53"/>
  <c r="B899" i="53"/>
  <c r="AG833" i="53"/>
  <c r="AN833" i="53"/>
  <c r="AO868" i="53"/>
  <c r="AT868" i="53" s="1"/>
  <c r="AG994" i="53"/>
  <c r="B833" i="53"/>
  <c r="B890" i="53" s="1"/>
  <c r="E29" i="53"/>
  <c r="B30" i="53"/>
  <c r="F976" i="53"/>
  <c r="AF931" i="53"/>
  <c r="AF896" i="53"/>
  <c r="E977" i="53"/>
  <c r="AE932" i="53"/>
  <c r="AE897" i="53"/>
  <c r="B894" i="53"/>
  <c r="B866" i="53"/>
  <c r="AO863" i="53"/>
  <c r="AT863" i="53" s="1"/>
  <c r="AG828" i="53"/>
  <c r="AN828" i="53"/>
  <c r="AD933" i="53"/>
  <c r="AD898" i="53"/>
  <c r="R1005" i="53"/>
  <c r="F970" i="53"/>
  <c r="D903" i="53"/>
  <c r="AF925" i="53"/>
  <c r="AF890" i="53"/>
  <c r="E973" i="53"/>
  <c r="AE928" i="53"/>
  <c r="AE893" i="53"/>
  <c r="E974" i="53"/>
  <c r="AE929" i="53"/>
  <c r="AE894" i="53"/>
  <c r="R64" i="53"/>
  <c r="B900" i="53"/>
  <c r="B872" i="53"/>
  <c r="AO869" i="53"/>
  <c r="AT869" i="53" s="1"/>
  <c r="AG834" i="53"/>
  <c r="AN834" i="53"/>
  <c r="E19" i="53" l="1"/>
  <c r="M19" i="53"/>
  <c r="AP872" i="53"/>
  <c r="AF903" i="53"/>
  <c r="AF938" i="53"/>
  <c r="R29" i="53"/>
  <c r="AD934" i="53"/>
  <c r="AD899" i="53"/>
  <c r="R1006" i="53"/>
  <c r="AD935" i="53"/>
  <c r="AD900" i="53"/>
  <c r="R1007" i="53"/>
  <c r="AD894" i="53"/>
  <c r="AD929" i="53"/>
  <c r="R1001" i="53"/>
  <c r="E976" i="53"/>
  <c r="AE931" i="53"/>
  <c r="AE896" i="53"/>
  <c r="AD892" i="53"/>
  <c r="AD927" i="53"/>
  <c r="R999" i="53"/>
  <c r="AO859" i="53"/>
  <c r="B846" i="53"/>
  <c r="B862" i="53"/>
  <c r="AN824" i="53"/>
  <c r="AG824" i="53"/>
  <c r="AD936" i="53"/>
  <c r="AD901" i="53"/>
  <c r="R1008" i="53"/>
  <c r="AE990" i="53"/>
  <c r="AE989" i="53"/>
  <c r="AE988" i="53"/>
  <c r="AE991" i="53"/>
  <c r="AE979" i="53"/>
  <c r="AE992" i="53"/>
  <c r="AE978" i="53"/>
  <c r="AE986" i="53"/>
  <c r="AE984" i="53"/>
  <c r="AE982" i="53"/>
  <c r="AE980" i="53"/>
  <c r="AE974" i="53"/>
  <c r="AE976" i="53"/>
  <c r="AE975" i="53"/>
  <c r="AE973" i="53"/>
  <c r="AE993" i="53"/>
  <c r="AE985" i="53"/>
  <c r="AE981" i="53"/>
  <c r="AE972" i="53"/>
  <c r="AE970" i="53"/>
  <c r="AE977" i="53"/>
  <c r="AE971" i="53"/>
  <c r="AE987" i="53"/>
  <c r="AE983" i="53"/>
  <c r="B896" i="53"/>
  <c r="B868" i="53"/>
  <c r="AO865" i="53"/>
  <c r="AT865" i="53" s="1"/>
  <c r="AG830" i="53"/>
  <c r="AN830" i="53"/>
  <c r="AF994" i="53"/>
  <c r="AD926" i="53"/>
  <c r="AD891" i="53"/>
  <c r="R998" i="53"/>
  <c r="AD932" i="53"/>
  <c r="AD897" i="53"/>
  <c r="R1004" i="53"/>
  <c r="E970" i="53"/>
  <c r="AE925" i="53"/>
  <c r="AE890" i="53"/>
  <c r="C903" i="53"/>
  <c r="AD893" i="53"/>
  <c r="AD928" i="53"/>
  <c r="R1000" i="53"/>
  <c r="E20" i="53" l="1"/>
  <c r="C14" i="25"/>
  <c r="M20" i="53"/>
  <c r="I14" i="25"/>
  <c r="R19" i="53"/>
  <c r="AE938" i="53"/>
  <c r="AE903" i="53"/>
  <c r="AD925" i="53"/>
  <c r="B903" i="53"/>
  <c r="R1009" i="53" s="1"/>
  <c r="AD890" i="53"/>
  <c r="R997" i="53"/>
  <c r="AD931" i="53"/>
  <c r="AD896" i="53"/>
  <c r="R1003" i="53"/>
  <c r="AE994" i="53"/>
  <c r="AG837" i="53"/>
  <c r="AO872" i="53"/>
  <c r="AT859" i="53"/>
  <c r="AT872" i="53" s="1"/>
  <c r="O14" i="25" l="1"/>
  <c r="R20" i="53"/>
  <c r="AD938" i="53"/>
  <c r="AD903" i="53"/>
  <c r="J262" i="34" l="1"/>
  <c r="F60" i="2"/>
  <c r="L261" i="34"/>
  <c r="K261" i="34"/>
  <c r="N741" i="34"/>
  <c r="N740" i="34"/>
  <c r="L18" i="34" l="1"/>
  <c r="L17" i="34"/>
  <c r="I908" i="49" l="1"/>
  <c r="H908" i="49"/>
  <c r="B17" i="49" l="1"/>
  <c r="P245" i="49" l="1"/>
  <c r="O245" i="49"/>
  <c r="N245" i="49"/>
  <c r="L245" i="49"/>
  <c r="H245" i="49"/>
  <c r="F245" i="49"/>
  <c r="B245" i="49"/>
  <c r="Q302" i="49" l="1"/>
  <c r="M302" i="49"/>
  <c r="I302" i="49"/>
  <c r="E302" i="49"/>
  <c r="Q358" i="49"/>
  <c r="M358" i="49"/>
  <c r="I358" i="49"/>
  <c r="E358" i="49"/>
  <c r="R302" i="49" l="1"/>
  <c r="R358" i="49"/>
  <c r="K740" i="34" l="1"/>
  <c r="K744" i="34"/>
  <c r="L744" i="34"/>
  <c r="N744" i="34"/>
  <c r="E154" i="34" l="1"/>
  <c r="Q154" i="34"/>
  <c r="P763" i="49" l="1"/>
  <c r="O763" i="49"/>
  <c r="N763" i="49"/>
  <c r="L763" i="49"/>
  <c r="Q244" i="49"/>
  <c r="M244" i="49"/>
  <c r="I244" i="49"/>
  <c r="E244" i="49"/>
  <c r="R244" i="49" l="1"/>
  <c r="Q80" i="49"/>
  <c r="M80" i="49"/>
  <c r="I80" i="49"/>
  <c r="E80" i="49"/>
  <c r="R80" i="49" l="1"/>
  <c r="N150" i="49" l="1"/>
  <c r="N749" i="49" s="1"/>
  <c r="Q219" i="49"/>
  <c r="M219" i="49"/>
  <c r="I219" i="49"/>
  <c r="Q306" i="49"/>
  <c r="M306" i="49"/>
  <c r="I306" i="49"/>
  <c r="E306" i="49"/>
  <c r="Q357" i="49"/>
  <c r="M357" i="49"/>
  <c r="I357" i="49"/>
  <c r="E357" i="49"/>
  <c r="Q241" i="49"/>
  <c r="M241" i="49"/>
  <c r="I241" i="49"/>
  <c r="E241" i="49"/>
  <c r="Q215" i="49"/>
  <c r="M215" i="49"/>
  <c r="I215" i="49"/>
  <c r="E215" i="49"/>
  <c r="Q713" i="49"/>
  <c r="M713" i="49"/>
  <c r="I713" i="49"/>
  <c r="E713" i="49"/>
  <c r="I203" i="49"/>
  <c r="G245" i="49" l="1"/>
  <c r="J245" i="49"/>
  <c r="J763" i="49"/>
  <c r="C245" i="49"/>
  <c r="K245" i="49"/>
  <c r="K763" i="49"/>
  <c r="D245" i="49"/>
  <c r="D763" i="49"/>
  <c r="E219" i="49"/>
  <c r="R219" i="49" s="1"/>
  <c r="R306" i="49"/>
  <c r="R357" i="49"/>
  <c r="R241" i="49"/>
  <c r="R215" i="49"/>
  <c r="R713" i="49"/>
  <c r="D10" i="2"/>
  <c r="J261" i="34" l="1"/>
  <c r="M427" i="34"/>
  <c r="B760" i="34" l="1"/>
  <c r="B757" i="34"/>
  <c r="C757" i="34"/>
  <c r="K757" i="34"/>
  <c r="L757" i="34"/>
  <c r="J501" i="34" l="1"/>
  <c r="K279" i="34" l="1"/>
  <c r="N17" i="34"/>
  <c r="AN11" i="34"/>
  <c r="AI11" i="34"/>
  <c r="AJ11" i="34"/>
  <c r="AL11" i="34"/>
  <c r="AF11" i="34"/>
  <c r="AE11" i="34"/>
  <c r="AO11" i="34"/>
  <c r="AG11" i="34"/>
  <c r="AD11" i="34"/>
  <c r="AK11" i="34"/>
  <c r="AM11" i="34"/>
  <c r="AH11" i="34"/>
  <c r="H261" i="34" l="1"/>
  <c r="H741" i="34" l="1"/>
  <c r="G261" i="34" l="1"/>
  <c r="F261" i="34"/>
  <c r="G754" i="34" l="1"/>
  <c r="E350" i="34"/>
  <c r="G151" i="34"/>
  <c r="G740" i="34" s="1"/>
  <c r="F151" i="34"/>
  <c r="F740" i="34"/>
  <c r="F741" i="34"/>
  <c r="AR900" i="49" l="1"/>
  <c r="AQ900" i="49"/>
  <c r="AP900" i="49"/>
  <c r="AO900" i="49"/>
  <c r="AN900" i="49"/>
  <c r="AM900" i="49"/>
  <c r="AL900" i="49"/>
  <c r="AK900" i="49"/>
  <c r="AJ900" i="49"/>
  <c r="AI900" i="49"/>
  <c r="AH900" i="49"/>
  <c r="AG900" i="49"/>
  <c r="AF900" i="49"/>
  <c r="AE900" i="49"/>
  <c r="AD900" i="49"/>
  <c r="AD890" i="49"/>
  <c r="AD887" i="49"/>
  <c r="AR886" i="49"/>
  <c r="AR851" i="49"/>
  <c r="AD855" i="49"/>
  <c r="AD852" i="49"/>
  <c r="AG834" i="49"/>
  <c r="AR834" i="49"/>
  <c r="AF834" i="49"/>
  <c r="AQ834" i="49"/>
  <c r="AE834" i="49"/>
  <c r="AP834" i="49"/>
  <c r="AD834" i="49"/>
  <c r="AO834" i="49"/>
  <c r="K980" i="49" l="1"/>
  <c r="H980" i="49" s="1"/>
  <c r="D953" i="49" s="1"/>
  <c r="K981" i="49"/>
  <c r="H981" i="49" s="1"/>
  <c r="D954" i="49" s="1"/>
  <c r="K979" i="49"/>
  <c r="H979" i="49" s="1"/>
  <c r="D952" i="49" s="1"/>
  <c r="J980" i="49"/>
  <c r="G980" i="49" s="1"/>
  <c r="C953" i="49" s="1"/>
  <c r="J981" i="49"/>
  <c r="G981" i="49" s="1"/>
  <c r="C954" i="49" s="1"/>
  <c r="J979" i="49"/>
  <c r="G979" i="49" s="1"/>
  <c r="C952" i="49" s="1"/>
  <c r="AE865" i="49" l="1"/>
  <c r="AF865" i="49"/>
  <c r="AG865" i="49"/>
  <c r="AH865" i="49"/>
  <c r="AI865" i="49"/>
  <c r="AJ865" i="49"/>
  <c r="AK865" i="49"/>
  <c r="AL865" i="49"/>
  <c r="AM865" i="49"/>
  <c r="AN865" i="49"/>
  <c r="AO865" i="49"/>
  <c r="AP865" i="49"/>
  <c r="AQ865" i="49"/>
  <c r="AR865" i="49"/>
  <c r="AD865" i="49"/>
  <c r="AE944" i="49"/>
  <c r="O1037" i="49" l="1"/>
  <c r="K1037" i="49"/>
  <c r="Q1034" i="49"/>
  <c r="M1034" i="49"/>
  <c r="G1034" i="49"/>
  <c r="I1034" i="49" s="1"/>
  <c r="Q1033" i="49"/>
  <c r="M1033" i="49"/>
  <c r="G1033" i="49"/>
  <c r="I1033" i="49" s="1"/>
  <c r="Q1032" i="49"/>
  <c r="M1032" i="49"/>
  <c r="G1032" i="49"/>
  <c r="I1032" i="49" s="1"/>
  <c r="J1034" i="49" s="1"/>
  <c r="Q1031" i="49"/>
  <c r="M1031" i="49"/>
  <c r="G1031" i="49"/>
  <c r="I1031" i="49" s="1"/>
  <c r="Q1030" i="49"/>
  <c r="M1030" i="49"/>
  <c r="G1030" i="49"/>
  <c r="I1030" i="49" s="1"/>
  <c r="Q1029" i="49"/>
  <c r="M1029" i="49"/>
  <c r="G1029" i="49"/>
  <c r="I1029" i="49" s="1"/>
  <c r="J1031" i="49" s="1"/>
  <c r="Q1028" i="49"/>
  <c r="M1028" i="49"/>
  <c r="G1028" i="49"/>
  <c r="I1028" i="49" s="1"/>
  <c r="Q1027" i="49"/>
  <c r="M1027" i="49"/>
  <c r="G1027" i="49"/>
  <c r="I1027" i="49" s="1"/>
  <c r="Q1026" i="49"/>
  <c r="M1026" i="49"/>
  <c r="G1026" i="49"/>
  <c r="I1026" i="49" s="1"/>
  <c r="J1028" i="49" s="1"/>
  <c r="Q1025" i="49"/>
  <c r="M1025" i="49"/>
  <c r="G1025" i="49"/>
  <c r="I1025" i="49" s="1"/>
  <c r="Q1024" i="49"/>
  <c r="M1024" i="49"/>
  <c r="G1024" i="49"/>
  <c r="G1037" i="49" s="1"/>
  <c r="Q1023" i="49"/>
  <c r="M1023" i="49"/>
  <c r="I1023" i="49"/>
  <c r="G1017" i="49"/>
  <c r="O1016" i="49"/>
  <c r="K1016" i="49"/>
  <c r="C1016" i="49"/>
  <c r="I1013" i="49"/>
  <c r="J1010" i="49"/>
  <c r="Q1009" i="49"/>
  <c r="P985" i="49"/>
  <c r="O985" i="49" s="1"/>
  <c r="J985" i="49"/>
  <c r="G985" i="49" s="1"/>
  <c r="C958" i="49" s="1"/>
  <c r="I985" i="49"/>
  <c r="F985" i="49" s="1"/>
  <c r="B958" i="49" s="1"/>
  <c r="P984" i="49"/>
  <c r="O984" i="49" s="1"/>
  <c r="J984" i="49"/>
  <c r="I984" i="49"/>
  <c r="F984" i="49" s="1"/>
  <c r="B957" i="49" s="1"/>
  <c r="P983" i="49"/>
  <c r="O983" i="49" s="1"/>
  <c r="J983" i="49"/>
  <c r="I983" i="49"/>
  <c r="F983" i="49" s="1"/>
  <c r="B956" i="49" s="1"/>
  <c r="P982" i="49"/>
  <c r="O982" i="49" s="1"/>
  <c r="J982" i="49"/>
  <c r="G982" i="49" s="1"/>
  <c r="C955" i="49" s="1"/>
  <c r="I982" i="49"/>
  <c r="P981" i="49"/>
  <c r="O981" i="49" s="1"/>
  <c r="I981" i="49"/>
  <c r="L981" i="49" s="1"/>
  <c r="P980" i="49"/>
  <c r="O980" i="49" s="1"/>
  <c r="I980" i="49"/>
  <c r="F980" i="49" s="1"/>
  <c r="B953" i="49" s="1"/>
  <c r="P979" i="49"/>
  <c r="O979" i="49" s="1"/>
  <c r="I979" i="49"/>
  <c r="F979" i="49" s="1"/>
  <c r="B952" i="49" s="1"/>
  <c r="P978" i="49"/>
  <c r="O978" i="49" s="1"/>
  <c r="J978" i="49"/>
  <c r="G978" i="49" s="1"/>
  <c r="C951" i="49" s="1"/>
  <c r="I978" i="49"/>
  <c r="P977" i="49"/>
  <c r="O977" i="49" s="1"/>
  <c r="J977" i="49"/>
  <c r="I977" i="49"/>
  <c r="F977" i="49" s="1"/>
  <c r="B950" i="49" s="1"/>
  <c r="P976" i="49"/>
  <c r="O976" i="49" s="1"/>
  <c r="J976" i="49"/>
  <c r="I976" i="49"/>
  <c r="F976" i="49" s="1"/>
  <c r="B949" i="49" s="1"/>
  <c r="P975" i="49"/>
  <c r="O975" i="49" s="1"/>
  <c r="J975" i="49"/>
  <c r="I975" i="49"/>
  <c r="F975" i="49" s="1"/>
  <c r="B948" i="49" s="1"/>
  <c r="P974" i="49"/>
  <c r="O974" i="49" s="1"/>
  <c r="J974" i="49"/>
  <c r="G974" i="49" s="1"/>
  <c r="C947" i="49" s="1"/>
  <c r="I974" i="49"/>
  <c r="B968" i="49"/>
  <c r="B965" i="49"/>
  <c r="Q964" i="49"/>
  <c r="B943" i="49"/>
  <c r="B940" i="49"/>
  <c r="Q939" i="49"/>
  <c r="N908" i="49"/>
  <c r="M908" i="49"/>
  <c r="L908" i="49"/>
  <c r="K908" i="49"/>
  <c r="O907" i="49"/>
  <c r="O906" i="49"/>
  <c r="J906" i="49"/>
  <c r="O905" i="49"/>
  <c r="J905" i="49"/>
  <c r="O904" i="49"/>
  <c r="O903" i="49"/>
  <c r="O902" i="49"/>
  <c r="J902" i="49"/>
  <c r="O901" i="49"/>
  <c r="O900" i="49"/>
  <c r="O899" i="49"/>
  <c r="O898" i="49"/>
  <c r="O897" i="49"/>
  <c r="J897" i="49"/>
  <c r="O896" i="49"/>
  <c r="J896" i="49"/>
  <c r="O895" i="49"/>
  <c r="B887" i="49"/>
  <c r="B886" i="49"/>
  <c r="Q885" i="49"/>
  <c r="B860" i="49"/>
  <c r="B857" i="49"/>
  <c r="Q856" i="49"/>
  <c r="AR829" i="49"/>
  <c r="AG829" i="49"/>
  <c r="AS826" i="49"/>
  <c r="AH826" i="49"/>
  <c r="AS824" i="49"/>
  <c r="B834" i="49"/>
  <c r="B831" i="49"/>
  <c r="Q830" i="49"/>
  <c r="G821" i="49"/>
  <c r="F821" i="49"/>
  <c r="G820" i="49"/>
  <c r="F820" i="49"/>
  <c r="G819" i="49"/>
  <c r="F819" i="49"/>
  <c r="G818" i="49"/>
  <c r="F818" i="49"/>
  <c r="G817" i="49"/>
  <c r="F817" i="49"/>
  <c r="G816" i="49"/>
  <c r="F816" i="49"/>
  <c r="G815" i="49"/>
  <c r="F815" i="49"/>
  <c r="G814" i="49"/>
  <c r="F814" i="49"/>
  <c r="G813" i="49"/>
  <c r="F813" i="49"/>
  <c r="G812" i="49"/>
  <c r="F812" i="49"/>
  <c r="G811" i="49"/>
  <c r="F811" i="49"/>
  <c r="G810" i="49"/>
  <c r="F810" i="49"/>
  <c r="B805" i="49"/>
  <c r="AF793" i="49"/>
  <c r="AS792" i="49"/>
  <c r="AN792" i="49"/>
  <c r="B802" i="49"/>
  <c r="Q801" i="49"/>
  <c r="A783" i="49"/>
  <c r="A781" i="49"/>
  <c r="Q777" i="49"/>
  <c r="P771" i="49"/>
  <c r="O771" i="49"/>
  <c r="N771" i="49"/>
  <c r="L771" i="49"/>
  <c r="K771" i="49"/>
  <c r="J771" i="49"/>
  <c r="H771" i="49"/>
  <c r="G771" i="49"/>
  <c r="F771" i="49"/>
  <c r="D771" i="49"/>
  <c r="C771" i="49"/>
  <c r="B771" i="49"/>
  <c r="P770" i="49"/>
  <c r="O770" i="49"/>
  <c r="N770" i="49"/>
  <c r="L770" i="49"/>
  <c r="K770" i="49"/>
  <c r="H770" i="49"/>
  <c r="G770" i="49"/>
  <c r="F770" i="49"/>
  <c r="D770" i="49"/>
  <c r="C770" i="49"/>
  <c r="B770" i="49"/>
  <c r="P769" i="49"/>
  <c r="O769" i="49"/>
  <c r="N769" i="49"/>
  <c r="L769" i="49"/>
  <c r="K769" i="49"/>
  <c r="J769" i="49"/>
  <c r="H769" i="49"/>
  <c r="G769" i="49"/>
  <c r="F769" i="49"/>
  <c r="D769" i="49"/>
  <c r="C769" i="49"/>
  <c r="B769" i="49"/>
  <c r="P768" i="49"/>
  <c r="O768" i="49"/>
  <c r="N768" i="49"/>
  <c r="L768" i="49"/>
  <c r="K768" i="49"/>
  <c r="J768" i="49"/>
  <c r="H768" i="49"/>
  <c r="G768" i="49"/>
  <c r="F768" i="49"/>
  <c r="D768" i="49"/>
  <c r="C768" i="49"/>
  <c r="B768" i="49"/>
  <c r="P767" i="49"/>
  <c r="O767" i="49"/>
  <c r="N767" i="49"/>
  <c r="L767" i="49"/>
  <c r="K767" i="49"/>
  <c r="H767" i="49"/>
  <c r="G767" i="49"/>
  <c r="F767" i="49"/>
  <c r="D767" i="49"/>
  <c r="B767" i="49"/>
  <c r="P766" i="49"/>
  <c r="O766" i="49"/>
  <c r="N766" i="49"/>
  <c r="L766" i="49"/>
  <c r="K766" i="49"/>
  <c r="J766" i="49"/>
  <c r="H766" i="49"/>
  <c r="G766" i="49"/>
  <c r="F766" i="49"/>
  <c r="D766" i="49"/>
  <c r="C766" i="49"/>
  <c r="B766" i="49"/>
  <c r="P762" i="49"/>
  <c r="O762" i="49"/>
  <c r="N762" i="49"/>
  <c r="L762" i="49"/>
  <c r="K762" i="49"/>
  <c r="J762" i="49"/>
  <c r="H762" i="49"/>
  <c r="G762" i="49"/>
  <c r="F762" i="49"/>
  <c r="D762" i="49"/>
  <c r="C762" i="49"/>
  <c r="B762" i="49"/>
  <c r="P759" i="49"/>
  <c r="O759" i="49"/>
  <c r="N759" i="49"/>
  <c r="L759" i="49"/>
  <c r="K759" i="49"/>
  <c r="J759" i="49"/>
  <c r="H759" i="49"/>
  <c r="G759" i="49"/>
  <c r="F759" i="49"/>
  <c r="D759" i="49"/>
  <c r="C759" i="49"/>
  <c r="B759" i="49"/>
  <c r="P758" i="49"/>
  <c r="O758" i="49"/>
  <c r="N758" i="49"/>
  <c r="K758" i="49"/>
  <c r="G758" i="49"/>
  <c r="D758" i="49"/>
  <c r="C758" i="49"/>
  <c r="B758" i="49"/>
  <c r="P757" i="49"/>
  <c r="O757" i="49"/>
  <c r="N757" i="49"/>
  <c r="L757" i="49"/>
  <c r="K757" i="49"/>
  <c r="J757" i="49"/>
  <c r="H757" i="49"/>
  <c r="G757" i="49"/>
  <c r="F757" i="49"/>
  <c r="D757" i="49"/>
  <c r="C757" i="49"/>
  <c r="B757" i="49"/>
  <c r="P754" i="49"/>
  <c r="O754" i="49"/>
  <c r="N754" i="49"/>
  <c r="L754" i="49"/>
  <c r="K754" i="49"/>
  <c r="J754" i="49"/>
  <c r="H754" i="49"/>
  <c r="G754" i="49"/>
  <c r="F754" i="49"/>
  <c r="D754" i="49"/>
  <c r="C754" i="49"/>
  <c r="B754" i="49"/>
  <c r="G753" i="49"/>
  <c r="B753" i="49"/>
  <c r="P752" i="49"/>
  <c r="O752" i="49"/>
  <c r="N752" i="49"/>
  <c r="L752" i="49"/>
  <c r="K752" i="49"/>
  <c r="J752" i="49"/>
  <c r="H752" i="49"/>
  <c r="G752" i="49"/>
  <c r="F752" i="49"/>
  <c r="D752" i="49"/>
  <c r="C752" i="49"/>
  <c r="B752" i="49"/>
  <c r="P751" i="49"/>
  <c r="O751" i="49"/>
  <c r="N751" i="49"/>
  <c r="L751" i="49"/>
  <c r="K751" i="49"/>
  <c r="H751" i="49"/>
  <c r="G751" i="49"/>
  <c r="F751" i="49"/>
  <c r="D751" i="49"/>
  <c r="C751" i="49"/>
  <c r="B751" i="49"/>
  <c r="P750" i="49"/>
  <c r="O750" i="49"/>
  <c r="N750" i="49"/>
  <c r="L750" i="49"/>
  <c r="K750" i="49"/>
  <c r="H750" i="49"/>
  <c r="G750" i="49"/>
  <c r="B750" i="49"/>
  <c r="P749" i="49"/>
  <c r="O749" i="49"/>
  <c r="C749" i="49"/>
  <c r="B749" i="49"/>
  <c r="A742" i="49"/>
  <c r="A740" i="49"/>
  <c r="Q736" i="49"/>
  <c r="Q729" i="49"/>
  <c r="M729" i="49"/>
  <c r="I729" i="49"/>
  <c r="E729" i="49"/>
  <c r="P727" i="49"/>
  <c r="O727" i="49"/>
  <c r="N727" i="49"/>
  <c r="L727" i="49"/>
  <c r="K727" i="49"/>
  <c r="J727" i="49"/>
  <c r="H727" i="49"/>
  <c r="G727" i="49"/>
  <c r="F727" i="49"/>
  <c r="D727" i="49"/>
  <c r="C727" i="49"/>
  <c r="B727" i="49"/>
  <c r="P726" i="49"/>
  <c r="O726" i="49"/>
  <c r="N726" i="49"/>
  <c r="L726" i="49"/>
  <c r="K726" i="49"/>
  <c r="J726" i="49"/>
  <c r="H726" i="49"/>
  <c r="G726" i="49"/>
  <c r="F726" i="49"/>
  <c r="D726" i="49"/>
  <c r="C726" i="49"/>
  <c r="B726" i="49"/>
  <c r="Q723" i="49"/>
  <c r="M723" i="49"/>
  <c r="I723" i="49"/>
  <c r="E723" i="49"/>
  <c r="Q722" i="49"/>
  <c r="M722" i="49"/>
  <c r="I722" i="49"/>
  <c r="E722" i="49"/>
  <c r="Q720" i="49"/>
  <c r="M720" i="49"/>
  <c r="I720" i="49"/>
  <c r="E720" i="49"/>
  <c r="Q719" i="49"/>
  <c r="M719" i="49"/>
  <c r="I719" i="49"/>
  <c r="E719" i="49"/>
  <c r="P716" i="49"/>
  <c r="O716" i="49"/>
  <c r="N716" i="49"/>
  <c r="L716" i="49"/>
  <c r="K716" i="49"/>
  <c r="J716" i="49"/>
  <c r="H716" i="49"/>
  <c r="G716" i="49"/>
  <c r="F716" i="49"/>
  <c r="D716" i="49"/>
  <c r="C716" i="49"/>
  <c r="B716" i="49"/>
  <c r="Q715" i="49"/>
  <c r="M715" i="49"/>
  <c r="I715" i="49"/>
  <c r="E715" i="49"/>
  <c r="Q714" i="49"/>
  <c r="M714" i="49"/>
  <c r="I714" i="49"/>
  <c r="E714" i="49"/>
  <c r="Q712" i="49"/>
  <c r="M712" i="49"/>
  <c r="I712" i="49"/>
  <c r="E712" i="49"/>
  <c r="Q710" i="49"/>
  <c r="M710" i="49"/>
  <c r="I710" i="49"/>
  <c r="E710" i="49"/>
  <c r="Q709" i="49"/>
  <c r="M709" i="49"/>
  <c r="I709" i="49"/>
  <c r="E709" i="49"/>
  <c r="P706" i="49"/>
  <c r="O706" i="49"/>
  <c r="N706" i="49"/>
  <c r="L706" i="49"/>
  <c r="K706" i="49"/>
  <c r="J706" i="49"/>
  <c r="H706" i="49"/>
  <c r="G706" i="49"/>
  <c r="F706" i="49"/>
  <c r="D706" i="49"/>
  <c r="C706" i="49"/>
  <c r="B706" i="49"/>
  <c r="Q704" i="49"/>
  <c r="M704" i="49"/>
  <c r="I704" i="49"/>
  <c r="E704" i="49"/>
  <c r="P701" i="49"/>
  <c r="O701" i="49"/>
  <c r="N701" i="49"/>
  <c r="N728" i="49" s="1"/>
  <c r="L701" i="49"/>
  <c r="K701" i="49"/>
  <c r="J701" i="49"/>
  <c r="H701" i="49"/>
  <c r="G701" i="49"/>
  <c r="F701" i="49"/>
  <c r="D701" i="49"/>
  <c r="D728" i="49" s="1"/>
  <c r="D731" i="49" s="1"/>
  <c r="C701" i="49"/>
  <c r="C728" i="49" s="1"/>
  <c r="C731" i="49" s="1"/>
  <c r="B701" i="49"/>
  <c r="Q699" i="49"/>
  <c r="M699" i="49"/>
  <c r="I699" i="49"/>
  <c r="E699" i="49"/>
  <c r="Q696" i="49"/>
  <c r="M696" i="49"/>
  <c r="I696" i="49"/>
  <c r="E696" i="49"/>
  <c r="Q695" i="49"/>
  <c r="M695" i="49"/>
  <c r="I695" i="49"/>
  <c r="E695" i="49"/>
  <c r="Q694" i="49"/>
  <c r="M694" i="49"/>
  <c r="I694" i="49"/>
  <c r="E694" i="49"/>
  <c r="Q682" i="49"/>
  <c r="M682" i="49"/>
  <c r="I682" i="49"/>
  <c r="E682" i="49"/>
  <c r="Q681" i="49"/>
  <c r="M681" i="49"/>
  <c r="I681" i="49"/>
  <c r="E681" i="49"/>
  <c r="P679" i="49"/>
  <c r="O679" i="49"/>
  <c r="N679" i="49"/>
  <c r="L679" i="49"/>
  <c r="K679" i="49"/>
  <c r="J679" i="49"/>
  <c r="H679" i="49"/>
  <c r="G679" i="49"/>
  <c r="F679" i="49"/>
  <c r="D679" i="49"/>
  <c r="C679" i="49"/>
  <c r="B679" i="49"/>
  <c r="P678" i="49"/>
  <c r="O678" i="49"/>
  <c r="N678" i="49"/>
  <c r="L678" i="49"/>
  <c r="K678" i="49"/>
  <c r="J678" i="49"/>
  <c r="H678" i="49"/>
  <c r="G678" i="49"/>
  <c r="F678" i="49"/>
  <c r="D678" i="49"/>
  <c r="C678" i="49"/>
  <c r="B678" i="49"/>
  <c r="P672" i="49"/>
  <c r="O672" i="49"/>
  <c r="N672" i="49"/>
  <c r="L672" i="49"/>
  <c r="K672" i="49"/>
  <c r="J672" i="49"/>
  <c r="H672" i="49"/>
  <c r="G672" i="49"/>
  <c r="F672" i="49"/>
  <c r="D672" i="49"/>
  <c r="C672" i="49"/>
  <c r="B672" i="49"/>
  <c r="P668" i="49"/>
  <c r="O668" i="49"/>
  <c r="N668" i="49"/>
  <c r="L668" i="49"/>
  <c r="K668" i="49"/>
  <c r="J668" i="49"/>
  <c r="H668" i="49"/>
  <c r="G668" i="49"/>
  <c r="F668" i="49"/>
  <c r="D668" i="49"/>
  <c r="C668" i="49"/>
  <c r="B668" i="49"/>
  <c r="P664" i="49"/>
  <c r="O664" i="49"/>
  <c r="N664" i="49"/>
  <c r="L664" i="49"/>
  <c r="K664" i="49"/>
  <c r="J664" i="49"/>
  <c r="H664" i="49"/>
  <c r="G664" i="49"/>
  <c r="F664" i="49"/>
  <c r="D664" i="49"/>
  <c r="C664" i="49"/>
  <c r="B664" i="49"/>
  <c r="Q660" i="49"/>
  <c r="M660" i="49"/>
  <c r="I660" i="49"/>
  <c r="E660" i="49"/>
  <c r="P650" i="49"/>
  <c r="O650" i="49"/>
  <c r="N650" i="49"/>
  <c r="L650" i="49"/>
  <c r="K650" i="49"/>
  <c r="J650" i="49"/>
  <c r="H650" i="49"/>
  <c r="G650" i="49"/>
  <c r="F650" i="49"/>
  <c r="D650" i="49"/>
  <c r="C650" i="49"/>
  <c r="B650" i="49"/>
  <c r="Q648" i="49"/>
  <c r="M648" i="49"/>
  <c r="I648" i="49"/>
  <c r="E648" i="49"/>
  <c r="Q638" i="49"/>
  <c r="M638" i="49"/>
  <c r="I638" i="49"/>
  <c r="E638" i="49"/>
  <c r="P636" i="49"/>
  <c r="O636" i="49"/>
  <c r="N636" i="49"/>
  <c r="L636" i="49"/>
  <c r="K636" i="49"/>
  <c r="J636" i="49"/>
  <c r="H636" i="49"/>
  <c r="G636" i="49"/>
  <c r="F636" i="49"/>
  <c r="D636" i="49"/>
  <c r="C636" i="49"/>
  <c r="B636" i="49"/>
  <c r="P635" i="49"/>
  <c r="O635" i="49"/>
  <c r="N635" i="49"/>
  <c r="L635" i="49"/>
  <c r="K635" i="49"/>
  <c r="J635" i="49"/>
  <c r="H635" i="49"/>
  <c r="G635" i="49"/>
  <c r="F635" i="49"/>
  <c r="D635" i="49"/>
  <c r="C635" i="49"/>
  <c r="B635" i="49"/>
  <c r="Q632" i="49"/>
  <c r="M632" i="49"/>
  <c r="I632" i="49"/>
  <c r="E632" i="49"/>
  <c r="Q631" i="49"/>
  <c r="M631" i="49"/>
  <c r="I631" i="49"/>
  <c r="E631" i="49"/>
  <c r="Q630" i="49"/>
  <c r="M630" i="49"/>
  <c r="I630" i="49"/>
  <c r="E630" i="49"/>
  <c r="Q629" i="49"/>
  <c r="M629" i="49"/>
  <c r="I629" i="49"/>
  <c r="E629" i="49"/>
  <c r="P625" i="49"/>
  <c r="O625" i="49"/>
  <c r="N625" i="49"/>
  <c r="L625" i="49"/>
  <c r="K625" i="49"/>
  <c r="J625" i="49"/>
  <c r="H625" i="49"/>
  <c r="G625" i="49"/>
  <c r="F625" i="49"/>
  <c r="D625" i="49"/>
  <c r="C625" i="49"/>
  <c r="B625" i="49"/>
  <c r="Q624" i="49"/>
  <c r="M624" i="49"/>
  <c r="I624" i="49"/>
  <c r="E624" i="49"/>
  <c r="Q623" i="49"/>
  <c r="M623" i="49"/>
  <c r="I623" i="49"/>
  <c r="E623" i="49"/>
  <c r="Q622" i="49"/>
  <c r="M622" i="49"/>
  <c r="I622" i="49"/>
  <c r="E622" i="49"/>
  <c r="Q621" i="49"/>
  <c r="M621" i="49"/>
  <c r="I621" i="49"/>
  <c r="E621" i="49"/>
  <c r="Q619" i="49"/>
  <c r="M619" i="49"/>
  <c r="I619" i="49"/>
  <c r="E619" i="49"/>
  <c r="P616" i="49"/>
  <c r="O616" i="49"/>
  <c r="N616" i="49"/>
  <c r="L616" i="49"/>
  <c r="K616" i="49"/>
  <c r="J616" i="49"/>
  <c r="H616" i="49"/>
  <c r="G616" i="49"/>
  <c r="F616" i="49"/>
  <c r="D616" i="49"/>
  <c r="C616" i="49"/>
  <c r="B616" i="49"/>
  <c r="P612" i="49"/>
  <c r="O612" i="49"/>
  <c r="N612" i="49"/>
  <c r="L612" i="49"/>
  <c r="K612" i="49"/>
  <c r="J612" i="49"/>
  <c r="H612" i="49"/>
  <c r="G612" i="49"/>
  <c r="F612" i="49"/>
  <c r="D612" i="49"/>
  <c r="C612" i="49"/>
  <c r="B612" i="49"/>
  <c r="Q608" i="49"/>
  <c r="M608" i="49"/>
  <c r="I608" i="49"/>
  <c r="E608" i="49"/>
  <c r="Q607" i="49"/>
  <c r="M607" i="49"/>
  <c r="I607" i="49"/>
  <c r="E607" i="49"/>
  <c r="Q606" i="49"/>
  <c r="M606" i="49"/>
  <c r="I606" i="49"/>
  <c r="E606" i="49"/>
  <c r="Q594" i="49"/>
  <c r="M594" i="49"/>
  <c r="I594" i="49"/>
  <c r="E594" i="49"/>
  <c r="P592" i="49"/>
  <c r="O592" i="49"/>
  <c r="N592" i="49"/>
  <c r="L592" i="49"/>
  <c r="K592" i="49"/>
  <c r="J592" i="49"/>
  <c r="H592" i="49"/>
  <c r="G592" i="49"/>
  <c r="F592" i="49"/>
  <c r="D592" i="49"/>
  <c r="C592" i="49"/>
  <c r="B592" i="49"/>
  <c r="P591" i="49"/>
  <c r="O591" i="49"/>
  <c r="N591" i="49"/>
  <c r="L591" i="49"/>
  <c r="K591" i="49"/>
  <c r="J591" i="49"/>
  <c r="H591" i="49"/>
  <c r="G591" i="49"/>
  <c r="F591" i="49"/>
  <c r="D591" i="49"/>
  <c r="C591" i="49"/>
  <c r="B591" i="49"/>
  <c r="Q588" i="49"/>
  <c r="M588" i="49"/>
  <c r="I588" i="49"/>
  <c r="E588" i="49"/>
  <c r="P584" i="49"/>
  <c r="O584" i="49"/>
  <c r="N584" i="49"/>
  <c r="L584" i="49"/>
  <c r="K584" i="49"/>
  <c r="J584" i="49"/>
  <c r="H584" i="49"/>
  <c r="G584" i="49"/>
  <c r="F584" i="49"/>
  <c r="D584" i="49"/>
  <c r="C584" i="49"/>
  <c r="B584" i="49"/>
  <c r="P580" i="49"/>
  <c r="O580" i="49"/>
  <c r="N580" i="49"/>
  <c r="L580" i="49"/>
  <c r="K580" i="49"/>
  <c r="J580" i="49"/>
  <c r="H580" i="49"/>
  <c r="G580" i="49"/>
  <c r="F580" i="49"/>
  <c r="D580" i="49"/>
  <c r="C580" i="49"/>
  <c r="B580" i="49"/>
  <c r="P576" i="49"/>
  <c r="O576" i="49"/>
  <c r="N576" i="49"/>
  <c r="L576" i="49"/>
  <c r="K576" i="49"/>
  <c r="J576" i="49"/>
  <c r="H576" i="49"/>
  <c r="G576" i="49"/>
  <c r="F576" i="49"/>
  <c r="D576" i="49"/>
  <c r="C576" i="49"/>
  <c r="B576" i="49"/>
  <c r="Q572" i="49"/>
  <c r="M572" i="49"/>
  <c r="I572" i="49"/>
  <c r="E572" i="49"/>
  <c r="Q571" i="49"/>
  <c r="M571" i="49"/>
  <c r="I571" i="49"/>
  <c r="E571" i="49"/>
  <c r="Q570" i="49"/>
  <c r="M570" i="49"/>
  <c r="I570" i="49"/>
  <c r="E570" i="49"/>
  <c r="P560" i="49"/>
  <c r="O560" i="49"/>
  <c r="N560" i="49"/>
  <c r="L560" i="49"/>
  <c r="K560" i="49"/>
  <c r="J560" i="49"/>
  <c r="H560" i="49"/>
  <c r="G560" i="49"/>
  <c r="F560" i="49"/>
  <c r="D560" i="49"/>
  <c r="C560" i="49"/>
  <c r="B560" i="49"/>
  <c r="Q558" i="49"/>
  <c r="M558" i="49"/>
  <c r="I558" i="49"/>
  <c r="E558" i="49"/>
  <c r="Q548" i="49"/>
  <c r="M548" i="49"/>
  <c r="I548" i="49"/>
  <c r="E548" i="49"/>
  <c r="P546" i="49"/>
  <c r="O546" i="49"/>
  <c r="N546" i="49"/>
  <c r="L546" i="49"/>
  <c r="K546" i="49"/>
  <c r="J546" i="49"/>
  <c r="H546" i="49"/>
  <c r="G546" i="49"/>
  <c r="F546" i="49"/>
  <c r="D546" i="49"/>
  <c r="C546" i="49"/>
  <c r="B546" i="49"/>
  <c r="P545" i="49"/>
  <c r="O545" i="49"/>
  <c r="N545" i="49"/>
  <c r="L545" i="49"/>
  <c r="K545" i="49"/>
  <c r="J545" i="49"/>
  <c r="H545" i="49"/>
  <c r="G545" i="49"/>
  <c r="F545" i="49"/>
  <c r="D545" i="49"/>
  <c r="C545" i="49"/>
  <c r="B545" i="49"/>
  <c r="Q544" i="49"/>
  <c r="M544" i="49"/>
  <c r="I544" i="49"/>
  <c r="E544" i="49"/>
  <c r="Q543" i="49"/>
  <c r="M543" i="49"/>
  <c r="I543" i="49"/>
  <c r="E543" i="49"/>
  <c r="Q540" i="49"/>
  <c r="M540" i="49"/>
  <c r="I540" i="49"/>
  <c r="E540" i="49"/>
  <c r="Q539" i="49"/>
  <c r="M539" i="49"/>
  <c r="I539" i="49"/>
  <c r="E539" i="49"/>
  <c r="Q538" i="49"/>
  <c r="M538" i="49"/>
  <c r="I538" i="49"/>
  <c r="E538" i="49"/>
  <c r="Q537" i="49"/>
  <c r="M537" i="49"/>
  <c r="I537" i="49"/>
  <c r="E537" i="49"/>
  <c r="Q535" i="49"/>
  <c r="M535" i="49"/>
  <c r="I535" i="49"/>
  <c r="E535" i="49"/>
  <c r="Q534" i="49"/>
  <c r="M534" i="49"/>
  <c r="I534" i="49"/>
  <c r="E534" i="49"/>
  <c r="P531" i="49"/>
  <c r="O531" i="49"/>
  <c r="N531" i="49"/>
  <c r="L531" i="49"/>
  <c r="K531" i="49"/>
  <c r="J531" i="49"/>
  <c r="H531" i="49"/>
  <c r="G531" i="49"/>
  <c r="F531" i="49"/>
  <c r="D531" i="49"/>
  <c r="C531" i="49"/>
  <c r="B531" i="49"/>
  <c r="Q530" i="49"/>
  <c r="M530" i="49"/>
  <c r="I530" i="49"/>
  <c r="E530" i="49"/>
  <c r="P526" i="49"/>
  <c r="O526" i="49"/>
  <c r="N526" i="49"/>
  <c r="L526" i="49"/>
  <c r="K526" i="49"/>
  <c r="J526" i="49"/>
  <c r="H526" i="49"/>
  <c r="G526" i="49"/>
  <c r="F526" i="49"/>
  <c r="D526" i="49"/>
  <c r="C526" i="49"/>
  <c r="B526" i="49"/>
  <c r="Q524" i="49"/>
  <c r="M524" i="49"/>
  <c r="I524" i="49"/>
  <c r="E524" i="49"/>
  <c r="Q523" i="49"/>
  <c r="M523" i="49"/>
  <c r="I523" i="49"/>
  <c r="E523" i="49"/>
  <c r="P520" i="49"/>
  <c r="O520" i="49"/>
  <c r="N520" i="49"/>
  <c r="L520" i="49"/>
  <c r="K520" i="49"/>
  <c r="J520" i="49"/>
  <c r="H520" i="49"/>
  <c r="G520" i="49"/>
  <c r="F520" i="49"/>
  <c r="D520" i="49"/>
  <c r="D547" i="49" s="1"/>
  <c r="D550" i="49" s="1"/>
  <c r="C520" i="49"/>
  <c r="B520" i="49"/>
  <c r="Q518" i="49"/>
  <c r="M518" i="49"/>
  <c r="I518" i="49"/>
  <c r="E518" i="49"/>
  <c r="Q516" i="49"/>
  <c r="M516" i="49"/>
  <c r="I516" i="49"/>
  <c r="E516" i="49"/>
  <c r="Q514" i="49"/>
  <c r="M514" i="49"/>
  <c r="I514" i="49"/>
  <c r="E514" i="49"/>
  <c r="Q513" i="49"/>
  <c r="M513" i="49"/>
  <c r="I513" i="49"/>
  <c r="E513" i="49"/>
  <c r="Q512" i="49"/>
  <c r="M512" i="49"/>
  <c r="I512" i="49"/>
  <c r="E512" i="49"/>
  <c r="Q511" i="49"/>
  <c r="M511" i="49"/>
  <c r="I511" i="49"/>
  <c r="E511" i="49"/>
  <c r="Q510" i="49"/>
  <c r="M510" i="49"/>
  <c r="I510" i="49"/>
  <c r="E510" i="49"/>
  <c r="Q509" i="49"/>
  <c r="M509" i="49"/>
  <c r="I509" i="49"/>
  <c r="E509" i="49"/>
  <c r="Q508" i="49"/>
  <c r="M508" i="49"/>
  <c r="I508" i="49"/>
  <c r="E508" i="49"/>
  <c r="Q507" i="49"/>
  <c r="M507" i="49"/>
  <c r="I507" i="49"/>
  <c r="E507" i="49"/>
  <c r="Q495" i="49"/>
  <c r="M495" i="49"/>
  <c r="I495" i="49"/>
  <c r="E495" i="49"/>
  <c r="P493" i="49"/>
  <c r="O493" i="49"/>
  <c r="N493" i="49"/>
  <c r="L493" i="49"/>
  <c r="K493" i="49"/>
  <c r="J493" i="49"/>
  <c r="H493" i="49"/>
  <c r="G493" i="49"/>
  <c r="F493" i="49"/>
  <c r="D493" i="49"/>
  <c r="C493" i="49"/>
  <c r="B493" i="49"/>
  <c r="P492" i="49"/>
  <c r="O492" i="49"/>
  <c r="N492" i="49"/>
  <c r="L492" i="49"/>
  <c r="K492" i="49"/>
  <c r="J492" i="49"/>
  <c r="H492" i="49"/>
  <c r="G492" i="49"/>
  <c r="F492" i="49"/>
  <c r="D492" i="49"/>
  <c r="C492" i="49"/>
  <c r="B492" i="49"/>
  <c r="Q491" i="49"/>
  <c r="M491" i="49"/>
  <c r="I491" i="49"/>
  <c r="E491" i="49"/>
  <c r="Q490" i="49"/>
  <c r="M490" i="49"/>
  <c r="I490" i="49"/>
  <c r="E490" i="49"/>
  <c r="Q489" i="49"/>
  <c r="M489" i="49"/>
  <c r="I489" i="49"/>
  <c r="E489" i="49"/>
  <c r="Q487" i="49"/>
  <c r="M487" i="49"/>
  <c r="I487" i="49"/>
  <c r="E487" i="49"/>
  <c r="P482" i="49"/>
  <c r="O482" i="49"/>
  <c r="N482" i="49"/>
  <c r="L482" i="49"/>
  <c r="K482" i="49"/>
  <c r="J482" i="49"/>
  <c r="H482" i="49"/>
  <c r="G482" i="49"/>
  <c r="F482" i="49"/>
  <c r="D482" i="49"/>
  <c r="C482" i="49"/>
  <c r="B482" i="49"/>
  <c r="Q481" i="49"/>
  <c r="M481" i="49"/>
  <c r="I481" i="49"/>
  <c r="E481" i="49"/>
  <c r="P477" i="49"/>
  <c r="O477" i="49"/>
  <c r="N477" i="49"/>
  <c r="L477" i="49"/>
  <c r="K477" i="49"/>
  <c r="J477" i="49"/>
  <c r="H477" i="49"/>
  <c r="G477" i="49"/>
  <c r="F477" i="49"/>
  <c r="D477" i="49"/>
  <c r="C477" i="49"/>
  <c r="B477" i="49"/>
  <c r="Q475" i="49"/>
  <c r="M475" i="49"/>
  <c r="I475" i="49"/>
  <c r="E475" i="49"/>
  <c r="Q474" i="49"/>
  <c r="M474" i="49"/>
  <c r="I474" i="49"/>
  <c r="E474" i="49"/>
  <c r="P471" i="49"/>
  <c r="O471" i="49"/>
  <c r="N471" i="49"/>
  <c r="L471" i="49"/>
  <c r="K471" i="49"/>
  <c r="J471" i="49"/>
  <c r="H471" i="49"/>
  <c r="G471" i="49"/>
  <c r="F471" i="49"/>
  <c r="D471" i="49"/>
  <c r="C471" i="49"/>
  <c r="B471" i="49"/>
  <c r="Q467" i="49"/>
  <c r="M467" i="49"/>
  <c r="I467" i="49"/>
  <c r="E467" i="49"/>
  <c r="Q466" i="49"/>
  <c r="M466" i="49"/>
  <c r="I466" i="49"/>
  <c r="E466" i="49"/>
  <c r="Q465" i="49"/>
  <c r="M465" i="49"/>
  <c r="I465" i="49"/>
  <c r="E465" i="49"/>
  <c r="Q453" i="49"/>
  <c r="M453" i="49"/>
  <c r="I453" i="49"/>
  <c r="E453" i="49"/>
  <c r="P451" i="49"/>
  <c r="O451" i="49"/>
  <c r="N451" i="49"/>
  <c r="L451" i="49"/>
  <c r="K451" i="49"/>
  <c r="J451" i="49"/>
  <c r="H451" i="49"/>
  <c r="G451" i="49"/>
  <c r="F451" i="49"/>
  <c r="D451" i="49"/>
  <c r="C451" i="49"/>
  <c r="B451" i="49"/>
  <c r="P450" i="49"/>
  <c r="O450" i="49"/>
  <c r="N450" i="49"/>
  <c r="L450" i="49"/>
  <c r="K450" i="49"/>
  <c r="J450" i="49"/>
  <c r="H450" i="49"/>
  <c r="G450" i="49"/>
  <c r="F450" i="49"/>
  <c r="D450" i="49"/>
  <c r="C450" i="49"/>
  <c r="B450" i="49"/>
  <c r="Q449" i="49"/>
  <c r="M449" i="49"/>
  <c r="I449" i="49"/>
  <c r="E449" i="49"/>
  <c r="Q448" i="49"/>
  <c r="M448" i="49"/>
  <c r="I448" i="49"/>
  <c r="E448" i="49"/>
  <c r="P442" i="49"/>
  <c r="O442" i="49"/>
  <c r="N442" i="49"/>
  <c r="L442" i="49"/>
  <c r="K442" i="49"/>
  <c r="J442" i="49"/>
  <c r="H442" i="49"/>
  <c r="G442" i="49"/>
  <c r="F442" i="49"/>
  <c r="D442" i="49"/>
  <c r="C442" i="49"/>
  <c r="B442" i="49"/>
  <c r="Q441" i="49"/>
  <c r="M441" i="49"/>
  <c r="I441" i="49"/>
  <c r="E441" i="49"/>
  <c r="P437" i="49"/>
  <c r="O437" i="49"/>
  <c r="N437" i="49"/>
  <c r="K437" i="49"/>
  <c r="J437" i="49"/>
  <c r="H437" i="49"/>
  <c r="G437" i="49"/>
  <c r="F437" i="49"/>
  <c r="D437" i="49"/>
  <c r="C437" i="49"/>
  <c r="B437" i="49"/>
  <c r="Q435" i="49"/>
  <c r="M435" i="49"/>
  <c r="L437" i="49"/>
  <c r="I435" i="49"/>
  <c r="E435" i="49"/>
  <c r="P432" i="49"/>
  <c r="O432" i="49"/>
  <c r="N432" i="49"/>
  <c r="L432" i="49"/>
  <c r="K432" i="49"/>
  <c r="J432" i="49"/>
  <c r="H432" i="49"/>
  <c r="G432" i="49"/>
  <c r="F432" i="49"/>
  <c r="D432" i="49"/>
  <c r="C432" i="49"/>
  <c r="B432" i="49"/>
  <c r="Q429" i="49"/>
  <c r="M429" i="49"/>
  <c r="I429" i="49"/>
  <c r="E429" i="49"/>
  <c r="Q428" i="49"/>
  <c r="M428" i="49"/>
  <c r="I428" i="49"/>
  <c r="E428" i="49"/>
  <c r="Q427" i="49"/>
  <c r="M427" i="49"/>
  <c r="I427" i="49"/>
  <c r="E427" i="49"/>
  <c r="Q425" i="49"/>
  <c r="M425" i="49"/>
  <c r="I425" i="49"/>
  <c r="E425" i="49"/>
  <c r="Q424" i="49"/>
  <c r="M424" i="49"/>
  <c r="I424" i="49"/>
  <c r="E424" i="49"/>
  <c r="Q406" i="49"/>
  <c r="M406" i="49"/>
  <c r="I406" i="49"/>
  <c r="E406" i="49"/>
  <c r="Q405" i="49"/>
  <c r="M405" i="49"/>
  <c r="I405" i="49"/>
  <c r="E405" i="49"/>
  <c r="Q404" i="49"/>
  <c r="M404" i="49"/>
  <c r="I404" i="49"/>
  <c r="E404" i="49"/>
  <c r="P402" i="49"/>
  <c r="O402" i="49"/>
  <c r="N402" i="49"/>
  <c r="L402" i="49"/>
  <c r="K402" i="49"/>
  <c r="J402" i="49"/>
  <c r="H402" i="49"/>
  <c r="G402" i="49"/>
  <c r="F402" i="49"/>
  <c r="D402" i="49"/>
  <c r="C402" i="49"/>
  <c r="B402" i="49"/>
  <c r="P401" i="49"/>
  <c r="O401" i="49"/>
  <c r="N401" i="49"/>
  <c r="L401" i="49"/>
  <c r="K401" i="49"/>
  <c r="J401" i="49"/>
  <c r="H401" i="49"/>
  <c r="G401" i="49"/>
  <c r="F401" i="49"/>
  <c r="D401" i="49"/>
  <c r="C401" i="49"/>
  <c r="B401" i="49"/>
  <c r="Q400" i="49"/>
  <c r="M400" i="49"/>
  <c r="I400" i="49"/>
  <c r="E400" i="49"/>
  <c r="Q399" i="49"/>
  <c r="M399" i="49"/>
  <c r="I399" i="49"/>
  <c r="E399" i="49"/>
  <c r="Q398" i="49"/>
  <c r="M398" i="49"/>
  <c r="I398" i="49"/>
  <c r="E398" i="49"/>
  <c r="Q397" i="49"/>
  <c r="M397" i="49"/>
  <c r="I397" i="49"/>
  <c r="E397" i="49"/>
  <c r="Q396" i="49"/>
  <c r="M396" i="49"/>
  <c r="I396" i="49"/>
  <c r="E396" i="49"/>
  <c r="Q395" i="49"/>
  <c r="M395" i="49"/>
  <c r="I395" i="49"/>
  <c r="E395" i="49"/>
  <c r="Q394" i="49"/>
  <c r="M394" i="49"/>
  <c r="I394" i="49"/>
  <c r="E394" i="49"/>
  <c r="Q393" i="49"/>
  <c r="M393" i="49"/>
  <c r="I393" i="49"/>
  <c r="E393" i="49"/>
  <c r="Q392" i="49"/>
  <c r="M392" i="49"/>
  <c r="I392" i="49"/>
  <c r="E392" i="49"/>
  <c r="Q390" i="49"/>
  <c r="M390" i="49"/>
  <c r="I390" i="49"/>
  <c r="E390" i="49"/>
  <c r="Q389" i="49"/>
  <c r="M389" i="49"/>
  <c r="I389" i="49"/>
  <c r="E389" i="49"/>
  <c r="Q388" i="49"/>
  <c r="M388" i="49"/>
  <c r="I388" i="49"/>
  <c r="E388" i="49"/>
  <c r="Q387" i="49"/>
  <c r="M387" i="49"/>
  <c r="I387" i="49"/>
  <c r="E387" i="49"/>
  <c r="Q386" i="49"/>
  <c r="M386" i="49"/>
  <c r="I386" i="49"/>
  <c r="E386" i="49"/>
  <c r="Q385" i="49"/>
  <c r="M385" i="49"/>
  <c r="I385" i="49"/>
  <c r="E385" i="49"/>
  <c r="Q383" i="49"/>
  <c r="M383" i="49"/>
  <c r="I383" i="49"/>
  <c r="E383" i="49"/>
  <c r="Q382" i="49"/>
  <c r="M382" i="49"/>
  <c r="I382" i="49"/>
  <c r="E382" i="49"/>
  <c r="Q380" i="49"/>
  <c r="M380" i="49"/>
  <c r="I380" i="49"/>
  <c r="E380" i="49"/>
  <c r="P377" i="49"/>
  <c r="O377" i="49"/>
  <c r="N377" i="49"/>
  <c r="L377" i="49"/>
  <c r="K377" i="49"/>
  <c r="J377" i="49"/>
  <c r="H377" i="49"/>
  <c r="G377" i="49"/>
  <c r="F377" i="49"/>
  <c r="D377" i="49"/>
  <c r="C377" i="49"/>
  <c r="B377" i="49"/>
  <c r="Q376" i="49"/>
  <c r="M376" i="49"/>
  <c r="I376" i="49"/>
  <c r="E376" i="49"/>
  <c r="Q375" i="49"/>
  <c r="M375" i="49"/>
  <c r="I375" i="49"/>
  <c r="E375" i="49"/>
  <c r="Q374" i="49"/>
  <c r="M374" i="49"/>
  <c r="I374" i="49"/>
  <c r="E374" i="49"/>
  <c r="Q373" i="49"/>
  <c r="M373" i="49"/>
  <c r="I373" i="49"/>
  <c r="E373" i="49"/>
  <c r="Q372" i="49"/>
  <c r="M372" i="49"/>
  <c r="I372" i="49"/>
  <c r="E372" i="49"/>
  <c r="Q371" i="49"/>
  <c r="M371" i="49"/>
  <c r="I371" i="49"/>
  <c r="E371" i="49"/>
  <c r="Q370" i="49"/>
  <c r="M370" i="49"/>
  <c r="I370" i="49"/>
  <c r="E370" i="49"/>
  <c r="Q369" i="49"/>
  <c r="M369" i="49"/>
  <c r="I369" i="49"/>
  <c r="E369" i="49"/>
  <c r="Q368" i="49"/>
  <c r="M368" i="49"/>
  <c r="I368" i="49"/>
  <c r="E368" i="49"/>
  <c r="Q367" i="49"/>
  <c r="M367" i="49"/>
  <c r="I367" i="49"/>
  <c r="E367" i="49"/>
  <c r="Q366" i="49"/>
  <c r="M366" i="49"/>
  <c r="I366" i="49"/>
  <c r="E366" i="49"/>
  <c r="Q365" i="49"/>
  <c r="M365" i="49"/>
  <c r="I365" i="49"/>
  <c r="E365" i="49"/>
  <c r="Q364" i="49"/>
  <c r="M364" i="49"/>
  <c r="I364" i="49"/>
  <c r="E364" i="49"/>
  <c r="Q363" i="49"/>
  <c r="M363" i="49"/>
  <c r="I363" i="49"/>
  <c r="E363" i="49"/>
  <c r="Q362" i="49"/>
  <c r="M362" i="49"/>
  <c r="I362" i="49"/>
  <c r="E362" i="49"/>
  <c r="Q361" i="49"/>
  <c r="M361" i="49"/>
  <c r="I361" i="49"/>
  <c r="E361" i="49"/>
  <c r="Q360" i="49"/>
  <c r="M360" i="49"/>
  <c r="I360" i="49"/>
  <c r="E360" i="49"/>
  <c r="Q359" i="49"/>
  <c r="M359" i="49"/>
  <c r="I359" i="49"/>
  <c r="E359" i="49"/>
  <c r="Q356" i="49"/>
  <c r="M356" i="49"/>
  <c r="I356" i="49"/>
  <c r="E356" i="49"/>
  <c r="Q355" i="49"/>
  <c r="M355" i="49"/>
  <c r="I355" i="49"/>
  <c r="E355" i="49"/>
  <c r="Q354" i="49"/>
  <c r="M354" i="49"/>
  <c r="I354" i="49"/>
  <c r="E354" i="49"/>
  <c r="Q353" i="49"/>
  <c r="M353" i="49"/>
  <c r="I353" i="49"/>
  <c r="E353" i="49"/>
  <c r="Q352" i="49"/>
  <c r="M352" i="49"/>
  <c r="I352" i="49"/>
  <c r="E352" i="49"/>
  <c r="Q351" i="49"/>
  <c r="M351" i="49"/>
  <c r="I351" i="49"/>
  <c r="E351" i="49"/>
  <c r="Q350" i="49"/>
  <c r="M350" i="49"/>
  <c r="I350" i="49"/>
  <c r="E350" i="49"/>
  <c r="Q349" i="49"/>
  <c r="M349" i="49"/>
  <c r="I349" i="49"/>
  <c r="E349" i="49"/>
  <c r="Q348" i="49"/>
  <c r="M348" i="49"/>
  <c r="I348" i="49"/>
  <c r="E348" i="49"/>
  <c r="Q346" i="49"/>
  <c r="M346" i="49"/>
  <c r="I346" i="49"/>
  <c r="E346" i="49"/>
  <c r="Q345" i="49"/>
  <c r="M345" i="49"/>
  <c r="I345" i="49"/>
  <c r="E345" i="49"/>
  <c r="P342" i="49"/>
  <c r="O342" i="49"/>
  <c r="N342" i="49"/>
  <c r="K342" i="49"/>
  <c r="H342" i="49"/>
  <c r="G342" i="49"/>
  <c r="F342" i="49"/>
  <c r="D342" i="49"/>
  <c r="C342" i="49"/>
  <c r="B342" i="49"/>
  <c r="Q340" i="49"/>
  <c r="M340" i="49"/>
  <c r="I340" i="49"/>
  <c r="E340" i="49"/>
  <c r="Q339" i="49"/>
  <c r="M339" i="49"/>
  <c r="I339" i="49"/>
  <c r="E339" i="49"/>
  <c r="Q338" i="49"/>
  <c r="M338" i="49"/>
  <c r="I338" i="49"/>
  <c r="E338" i="49"/>
  <c r="Q337" i="49"/>
  <c r="M337" i="49"/>
  <c r="I337" i="49"/>
  <c r="E337" i="49"/>
  <c r="Q336" i="49"/>
  <c r="M336" i="49"/>
  <c r="I336" i="49"/>
  <c r="E336" i="49"/>
  <c r="Q335" i="49"/>
  <c r="M335" i="49"/>
  <c r="I335" i="49"/>
  <c r="E335" i="49"/>
  <c r="Q334" i="49"/>
  <c r="M334" i="49"/>
  <c r="I334" i="49"/>
  <c r="E334" i="49"/>
  <c r="Q333" i="49"/>
  <c r="M333" i="49"/>
  <c r="I333" i="49"/>
  <c r="E333" i="49"/>
  <c r="P329" i="49"/>
  <c r="O329" i="49"/>
  <c r="N329" i="49"/>
  <c r="C329" i="49"/>
  <c r="B329" i="49"/>
  <c r="Q327" i="49"/>
  <c r="M327" i="49"/>
  <c r="I327" i="49"/>
  <c r="E327" i="49"/>
  <c r="Q326" i="49"/>
  <c r="M326" i="49"/>
  <c r="I326" i="49"/>
  <c r="E326" i="49"/>
  <c r="Q325" i="49"/>
  <c r="M325" i="49"/>
  <c r="I325" i="49"/>
  <c r="E325" i="49"/>
  <c r="Q324" i="49"/>
  <c r="M324" i="49"/>
  <c r="I324" i="49"/>
  <c r="E324" i="49"/>
  <c r="Q322" i="49"/>
  <c r="M322" i="49"/>
  <c r="I322" i="49"/>
  <c r="E322" i="49"/>
  <c r="Q321" i="49"/>
  <c r="M321" i="49"/>
  <c r="I321" i="49"/>
  <c r="E321" i="49"/>
  <c r="Q320" i="49"/>
  <c r="M320" i="49"/>
  <c r="I320" i="49"/>
  <c r="E320" i="49"/>
  <c r="Q319" i="49"/>
  <c r="M319" i="49"/>
  <c r="I319" i="49"/>
  <c r="E319" i="49"/>
  <c r="Q318" i="49"/>
  <c r="M318" i="49"/>
  <c r="I318" i="49"/>
  <c r="E318" i="49"/>
  <c r="Q317" i="49"/>
  <c r="M317" i="49"/>
  <c r="I317" i="49"/>
  <c r="E317" i="49"/>
  <c r="M316" i="49"/>
  <c r="I316" i="49"/>
  <c r="E316" i="49"/>
  <c r="Q315" i="49"/>
  <c r="M315" i="49"/>
  <c r="I315" i="49"/>
  <c r="E315" i="49"/>
  <c r="Q314" i="49"/>
  <c r="M314" i="49"/>
  <c r="I314" i="49"/>
  <c r="E314" i="49"/>
  <c r="Q313" i="49"/>
  <c r="M313" i="49"/>
  <c r="I313" i="49"/>
  <c r="E313" i="49"/>
  <c r="Q312" i="49"/>
  <c r="M312" i="49"/>
  <c r="I312" i="49"/>
  <c r="E312" i="49"/>
  <c r="Q311" i="49"/>
  <c r="M311" i="49"/>
  <c r="I311" i="49"/>
  <c r="E311" i="49"/>
  <c r="Q310" i="49"/>
  <c r="M310" i="49"/>
  <c r="I310" i="49"/>
  <c r="E310" i="49"/>
  <c r="Q309" i="49"/>
  <c r="M309" i="49"/>
  <c r="I309" i="49"/>
  <c r="E309" i="49"/>
  <c r="Q307" i="49"/>
  <c r="M307" i="49"/>
  <c r="I307" i="49"/>
  <c r="E307" i="49"/>
  <c r="Q305" i="49"/>
  <c r="M305" i="49"/>
  <c r="I305" i="49"/>
  <c r="E305" i="49"/>
  <c r="Q304" i="49"/>
  <c r="M304" i="49"/>
  <c r="I304" i="49"/>
  <c r="Q303" i="49"/>
  <c r="M303" i="49"/>
  <c r="I303" i="49"/>
  <c r="E303" i="49"/>
  <c r="Q301" i="49"/>
  <c r="M301" i="49"/>
  <c r="I301" i="49"/>
  <c r="E301" i="49"/>
  <c r="Q300" i="49"/>
  <c r="M300" i="49"/>
  <c r="I300" i="49"/>
  <c r="E300" i="49"/>
  <c r="Q299" i="49"/>
  <c r="M299" i="49"/>
  <c r="I299" i="49"/>
  <c r="E299" i="49"/>
  <c r="Q298" i="49"/>
  <c r="M298" i="49"/>
  <c r="I298" i="49"/>
  <c r="E298" i="49"/>
  <c r="Q297" i="49"/>
  <c r="M297" i="49"/>
  <c r="I297" i="49"/>
  <c r="E297" i="49"/>
  <c r="Q296" i="49"/>
  <c r="M296" i="49"/>
  <c r="I296" i="49"/>
  <c r="E296" i="49"/>
  <c r="Q295" i="49"/>
  <c r="M295" i="49"/>
  <c r="I295" i="49"/>
  <c r="E295" i="49"/>
  <c r="Q294" i="49"/>
  <c r="M294" i="49"/>
  <c r="I294" i="49"/>
  <c r="E294" i="49"/>
  <c r="Q293" i="49"/>
  <c r="M293" i="49"/>
  <c r="I293" i="49"/>
  <c r="E293" i="49"/>
  <c r="Q292" i="49"/>
  <c r="J749" i="49"/>
  <c r="E292" i="49"/>
  <c r="P284" i="49"/>
  <c r="O284" i="49"/>
  <c r="N284" i="49"/>
  <c r="L284" i="49"/>
  <c r="J284" i="49"/>
  <c r="H284" i="49"/>
  <c r="G284" i="49"/>
  <c r="F284" i="49"/>
  <c r="D284" i="49"/>
  <c r="C284" i="49"/>
  <c r="B284" i="49"/>
  <c r="Q282" i="49"/>
  <c r="M282" i="49"/>
  <c r="I282" i="49"/>
  <c r="E282" i="49"/>
  <c r="Q271" i="49"/>
  <c r="M271" i="49"/>
  <c r="I271" i="49"/>
  <c r="E271" i="49"/>
  <c r="Q270" i="49"/>
  <c r="M270" i="49"/>
  <c r="I270" i="49"/>
  <c r="E270" i="49"/>
  <c r="M269" i="49"/>
  <c r="I269" i="49"/>
  <c r="E269" i="49"/>
  <c r="Q268" i="49"/>
  <c r="M268" i="49"/>
  <c r="I268" i="49"/>
  <c r="E268" i="49"/>
  <c r="Q267" i="49"/>
  <c r="M267" i="49"/>
  <c r="I267" i="49"/>
  <c r="E267" i="49"/>
  <c r="Q266" i="49"/>
  <c r="M266" i="49"/>
  <c r="I266" i="49"/>
  <c r="E266" i="49"/>
  <c r="P264" i="49"/>
  <c r="O264" i="49"/>
  <c r="N264" i="49"/>
  <c r="L264" i="49"/>
  <c r="K264" i="49"/>
  <c r="J264" i="49"/>
  <c r="H264" i="49"/>
  <c r="G264" i="49"/>
  <c r="F264" i="49"/>
  <c r="D264" i="49"/>
  <c r="C264" i="49"/>
  <c r="B264" i="49"/>
  <c r="P263" i="49"/>
  <c r="O263" i="49"/>
  <c r="N263" i="49"/>
  <c r="L263" i="49"/>
  <c r="K263" i="49"/>
  <c r="J263" i="49"/>
  <c r="H263" i="49"/>
  <c r="G263" i="49"/>
  <c r="F263" i="49"/>
  <c r="D263" i="49"/>
  <c r="C263" i="49"/>
  <c r="B263" i="49"/>
  <c r="Q260" i="49"/>
  <c r="M260" i="49"/>
  <c r="I260" i="49"/>
  <c r="E260" i="49"/>
  <c r="Q259" i="49"/>
  <c r="M259" i="49"/>
  <c r="I259" i="49"/>
  <c r="E259" i="49"/>
  <c r="Q258" i="49"/>
  <c r="M258" i="49"/>
  <c r="I258" i="49"/>
  <c r="E258" i="49"/>
  <c r="Q257" i="49"/>
  <c r="M257" i="49"/>
  <c r="I257" i="49"/>
  <c r="E257" i="49"/>
  <c r="Q256" i="49"/>
  <c r="M256" i="49"/>
  <c r="I256" i="49"/>
  <c r="E256" i="49"/>
  <c r="Q255" i="49"/>
  <c r="M255" i="49"/>
  <c r="I255" i="49"/>
  <c r="E255" i="49"/>
  <c r="Q254" i="49"/>
  <c r="M254" i="49"/>
  <c r="I254" i="49"/>
  <c r="E254" i="49"/>
  <c r="Q253" i="49"/>
  <c r="M253" i="49"/>
  <c r="I253" i="49"/>
  <c r="E253" i="49"/>
  <c r="Q251" i="49"/>
  <c r="M251" i="49"/>
  <c r="I251" i="49"/>
  <c r="E251" i="49"/>
  <c r="Q250" i="49"/>
  <c r="M250" i="49"/>
  <c r="I250" i="49"/>
  <c r="E250" i="49"/>
  <c r="Q249" i="49"/>
  <c r="M249" i="49"/>
  <c r="I249" i="49"/>
  <c r="E249" i="49"/>
  <c r="Q248" i="49"/>
  <c r="M248" i="49"/>
  <c r="I248" i="49"/>
  <c r="E248" i="49"/>
  <c r="Q243" i="49"/>
  <c r="M243" i="49"/>
  <c r="I243" i="49"/>
  <c r="E243" i="49"/>
  <c r="Q242" i="49"/>
  <c r="M242" i="49"/>
  <c r="I242" i="49"/>
  <c r="E242" i="49"/>
  <c r="Q240" i="49"/>
  <c r="M240" i="49"/>
  <c r="I240" i="49"/>
  <c r="E240" i="49"/>
  <c r="Q239" i="49"/>
  <c r="M239" i="49"/>
  <c r="I239" i="49"/>
  <c r="E239" i="49"/>
  <c r="Q238" i="49"/>
  <c r="M238" i="49"/>
  <c r="I238" i="49"/>
  <c r="E238" i="49"/>
  <c r="Q237" i="49"/>
  <c r="M237" i="49"/>
  <c r="I237" i="49"/>
  <c r="E237" i="49"/>
  <c r="Q236" i="49"/>
  <c r="M236" i="49"/>
  <c r="I236" i="49"/>
  <c r="E236" i="49"/>
  <c r="Q235" i="49"/>
  <c r="M235" i="49"/>
  <c r="I235" i="49"/>
  <c r="E235" i="49"/>
  <c r="Q234" i="49"/>
  <c r="M234" i="49"/>
  <c r="I234" i="49"/>
  <c r="E234" i="49"/>
  <c r="Q233" i="49"/>
  <c r="M233" i="49"/>
  <c r="I233" i="49"/>
  <c r="E233" i="49"/>
  <c r="Q232" i="49"/>
  <c r="M232" i="49"/>
  <c r="I232" i="49"/>
  <c r="E232" i="49"/>
  <c r="Q231" i="49"/>
  <c r="M231" i="49"/>
  <c r="I231" i="49"/>
  <c r="E231" i="49"/>
  <c r="Q230" i="49"/>
  <c r="M230" i="49"/>
  <c r="I230" i="49"/>
  <c r="E230" i="49"/>
  <c r="Q229" i="49"/>
  <c r="M229" i="49"/>
  <c r="I229" i="49"/>
  <c r="E229" i="49"/>
  <c r="Q228" i="49"/>
  <c r="M228" i="49"/>
  <c r="I228" i="49"/>
  <c r="E228" i="49"/>
  <c r="Q227" i="49"/>
  <c r="M227" i="49"/>
  <c r="I227" i="49"/>
  <c r="E227" i="49"/>
  <c r="Q226" i="49"/>
  <c r="M226" i="49"/>
  <c r="I226" i="49"/>
  <c r="E226" i="49"/>
  <c r="Q225" i="49"/>
  <c r="M225" i="49"/>
  <c r="I225" i="49"/>
  <c r="E225" i="49"/>
  <c r="Q224" i="49"/>
  <c r="M224" i="49"/>
  <c r="I224" i="49"/>
  <c r="E224" i="49"/>
  <c r="Q223" i="49"/>
  <c r="M223" i="49"/>
  <c r="I223" i="49"/>
  <c r="E223" i="49"/>
  <c r="Q222" i="49"/>
  <c r="M222" i="49"/>
  <c r="I222" i="49"/>
  <c r="E222" i="49"/>
  <c r="Q221" i="49"/>
  <c r="M221" i="49"/>
  <c r="I221" i="49"/>
  <c r="E221" i="49"/>
  <c r="Q220" i="49"/>
  <c r="M220" i="49"/>
  <c r="I220" i="49"/>
  <c r="E220" i="49"/>
  <c r="Q218" i="49"/>
  <c r="M218" i="49"/>
  <c r="I218" i="49"/>
  <c r="E218" i="49"/>
  <c r="Q217" i="49"/>
  <c r="M217" i="49"/>
  <c r="I217" i="49"/>
  <c r="E217" i="49"/>
  <c r="Q216" i="49"/>
  <c r="M216" i="49"/>
  <c r="I216" i="49"/>
  <c r="E216" i="49"/>
  <c r="Q214" i="49"/>
  <c r="M214" i="49"/>
  <c r="I214" i="49"/>
  <c r="E214" i="49"/>
  <c r="Q213" i="49"/>
  <c r="M213" i="49"/>
  <c r="I213" i="49"/>
  <c r="E213" i="49"/>
  <c r="Q212" i="49"/>
  <c r="M212" i="49"/>
  <c r="I212" i="49"/>
  <c r="E212" i="49"/>
  <c r="Q211" i="49"/>
  <c r="M211" i="49"/>
  <c r="I211" i="49"/>
  <c r="E211" i="49"/>
  <c r="Q210" i="49"/>
  <c r="M210" i="49"/>
  <c r="I210" i="49"/>
  <c r="E210" i="49"/>
  <c r="Q209" i="49"/>
  <c r="M209" i="49"/>
  <c r="I209" i="49"/>
  <c r="E209" i="49"/>
  <c r="Q208" i="49"/>
  <c r="M208" i="49"/>
  <c r="I208" i="49"/>
  <c r="E208" i="49"/>
  <c r="Q207" i="49"/>
  <c r="M207" i="49"/>
  <c r="I207" i="49"/>
  <c r="E207" i="49"/>
  <c r="Q206" i="49"/>
  <c r="M206" i="49"/>
  <c r="I206" i="49"/>
  <c r="E206" i="49"/>
  <c r="Q205" i="49"/>
  <c r="M205" i="49"/>
  <c r="I205" i="49"/>
  <c r="E205" i="49"/>
  <c r="Q204" i="49"/>
  <c r="M204" i="49"/>
  <c r="I204" i="49"/>
  <c r="E204" i="49"/>
  <c r="Q203" i="49"/>
  <c r="M203" i="49"/>
  <c r="P199" i="49"/>
  <c r="O199" i="49"/>
  <c r="N199" i="49"/>
  <c r="L199" i="49"/>
  <c r="K199" i="49"/>
  <c r="J199" i="49"/>
  <c r="H199" i="49"/>
  <c r="G199" i="49"/>
  <c r="F199" i="49"/>
  <c r="D199" i="49"/>
  <c r="C199" i="49"/>
  <c r="B199" i="49"/>
  <c r="Q197" i="49"/>
  <c r="M197" i="49"/>
  <c r="I197" i="49"/>
  <c r="E197" i="49"/>
  <c r="Q196" i="49"/>
  <c r="M196" i="49"/>
  <c r="I196" i="49"/>
  <c r="E196" i="49"/>
  <c r="O192" i="49"/>
  <c r="N192" i="49"/>
  <c r="L192" i="49"/>
  <c r="K192" i="49"/>
  <c r="J192" i="49"/>
  <c r="H192" i="49"/>
  <c r="G192" i="49"/>
  <c r="F192" i="49"/>
  <c r="D192" i="49"/>
  <c r="C192" i="49"/>
  <c r="B192" i="49"/>
  <c r="Q190" i="49"/>
  <c r="M190" i="49"/>
  <c r="I190" i="49"/>
  <c r="E190" i="49"/>
  <c r="Q189" i="49"/>
  <c r="M189" i="49"/>
  <c r="I189" i="49"/>
  <c r="E189" i="49"/>
  <c r="Q188" i="49"/>
  <c r="M188" i="49"/>
  <c r="I188" i="49"/>
  <c r="E188" i="49"/>
  <c r="Q186" i="49"/>
  <c r="M186" i="49"/>
  <c r="I186" i="49"/>
  <c r="E186" i="49"/>
  <c r="Q185" i="49"/>
  <c r="M185" i="49"/>
  <c r="I185" i="49"/>
  <c r="E185" i="49"/>
  <c r="Q184" i="49"/>
  <c r="M184" i="49"/>
  <c r="I184" i="49"/>
  <c r="E184" i="49"/>
  <c r="Q183" i="49"/>
  <c r="M183" i="49"/>
  <c r="I183" i="49"/>
  <c r="E183" i="49"/>
  <c r="Q182" i="49"/>
  <c r="M182" i="49"/>
  <c r="I182" i="49"/>
  <c r="E182" i="49"/>
  <c r="Q181" i="49"/>
  <c r="M181" i="49"/>
  <c r="I181" i="49"/>
  <c r="E181" i="49"/>
  <c r="Q180" i="49"/>
  <c r="M180" i="49"/>
  <c r="I180" i="49"/>
  <c r="E180" i="49"/>
  <c r="Q179" i="49"/>
  <c r="M179" i="49"/>
  <c r="I179" i="49"/>
  <c r="E179" i="49"/>
  <c r="Q178" i="49"/>
  <c r="M178" i="49"/>
  <c r="I178" i="49"/>
  <c r="E178" i="49"/>
  <c r="Q177" i="49"/>
  <c r="M177" i="49"/>
  <c r="I177" i="49"/>
  <c r="E177" i="49"/>
  <c r="Q176" i="49"/>
  <c r="M176" i="49"/>
  <c r="I176" i="49"/>
  <c r="E176" i="49"/>
  <c r="Q174" i="49"/>
  <c r="M174" i="49"/>
  <c r="I174" i="49"/>
  <c r="E174" i="49"/>
  <c r="Q173" i="49"/>
  <c r="M173" i="49"/>
  <c r="I173" i="49"/>
  <c r="E173" i="49"/>
  <c r="Q172" i="49"/>
  <c r="M172" i="49"/>
  <c r="I172" i="49"/>
  <c r="E172" i="49"/>
  <c r="Q171" i="49"/>
  <c r="M171" i="49"/>
  <c r="I171" i="49"/>
  <c r="E171" i="49"/>
  <c r="Q170" i="49"/>
  <c r="M170" i="49"/>
  <c r="I170" i="49"/>
  <c r="E170" i="49"/>
  <c r="Q169" i="49"/>
  <c r="M169" i="49"/>
  <c r="I169" i="49"/>
  <c r="E169" i="49"/>
  <c r="Q168" i="49"/>
  <c r="M168" i="49"/>
  <c r="I168" i="49"/>
  <c r="E168" i="49"/>
  <c r="Q167" i="49"/>
  <c r="M167" i="49"/>
  <c r="I167" i="49"/>
  <c r="E167" i="49"/>
  <c r="Q166" i="49"/>
  <c r="M166" i="49"/>
  <c r="I166" i="49"/>
  <c r="E166" i="49"/>
  <c r="Q165" i="49"/>
  <c r="M165" i="49"/>
  <c r="I165" i="49"/>
  <c r="E165" i="49"/>
  <c r="Q164" i="49"/>
  <c r="M164" i="49"/>
  <c r="I164" i="49"/>
  <c r="E164" i="49"/>
  <c r="Q163" i="49"/>
  <c r="M163" i="49"/>
  <c r="I163" i="49"/>
  <c r="E163" i="49"/>
  <c r="Q162" i="49"/>
  <c r="M162" i="49"/>
  <c r="I162" i="49"/>
  <c r="E162" i="49"/>
  <c r="Q161" i="49"/>
  <c r="M161" i="49"/>
  <c r="I161" i="49"/>
  <c r="E161" i="49"/>
  <c r="Q160" i="49"/>
  <c r="M160" i="49"/>
  <c r="I160" i="49"/>
  <c r="E160" i="49"/>
  <c r="Q159" i="49"/>
  <c r="M159" i="49"/>
  <c r="I159" i="49"/>
  <c r="E159" i="49"/>
  <c r="Q158" i="49"/>
  <c r="M158" i="49"/>
  <c r="I158" i="49"/>
  <c r="E158" i="49"/>
  <c r="Q157" i="49"/>
  <c r="M157" i="49"/>
  <c r="I157" i="49"/>
  <c r="E157" i="49"/>
  <c r="Q156" i="49"/>
  <c r="M156" i="49"/>
  <c r="I156" i="49"/>
  <c r="E156" i="49"/>
  <c r="Q155" i="49"/>
  <c r="M155" i="49"/>
  <c r="I155" i="49"/>
  <c r="E155" i="49"/>
  <c r="Q154" i="49"/>
  <c r="M154" i="49"/>
  <c r="I154" i="49"/>
  <c r="E154" i="49"/>
  <c r="Q153" i="49"/>
  <c r="M153" i="49"/>
  <c r="I153" i="49"/>
  <c r="E153" i="49"/>
  <c r="Q152" i="49"/>
  <c r="M152" i="49"/>
  <c r="I152" i="49"/>
  <c r="E152" i="49"/>
  <c r="Q151" i="49"/>
  <c r="M151" i="49"/>
  <c r="I151" i="49"/>
  <c r="E151" i="49"/>
  <c r="Q150" i="49"/>
  <c r="M150" i="49"/>
  <c r="I150" i="49"/>
  <c r="E150" i="49"/>
  <c r="Q149" i="49"/>
  <c r="M149" i="49"/>
  <c r="I149" i="49"/>
  <c r="E149" i="49"/>
  <c r="Q148" i="49"/>
  <c r="M148" i="49"/>
  <c r="I148" i="49"/>
  <c r="E148" i="49"/>
  <c r="Q147" i="49"/>
  <c r="M147" i="49"/>
  <c r="I147" i="49"/>
  <c r="E147" i="49"/>
  <c r="Q146" i="49"/>
  <c r="M146" i="49"/>
  <c r="I146" i="49"/>
  <c r="E146" i="49"/>
  <c r="Q145" i="49"/>
  <c r="M145" i="49"/>
  <c r="I145" i="49"/>
  <c r="E145" i="49"/>
  <c r="Q144" i="49"/>
  <c r="M144" i="49"/>
  <c r="I144" i="49"/>
  <c r="E144" i="49"/>
  <c r="Q143" i="49"/>
  <c r="M143" i="49"/>
  <c r="I143" i="49"/>
  <c r="E143" i="49"/>
  <c r="Q142" i="49"/>
  <c r="M142" i="49"/>
  <c r="I142" i="49"/>
  <c r="E142" i="49"/>
  <c r="Q141" i="49"/>
  <c r="M141" i="49"/>
  <c r="I141" i="49"/>
  <c r="E141" i="49"/>
  <c r="Q140" i="49"/>
  <c r="M140" i="49"/>
  <c r="I140" i="49"/>
  <c r="E140" i="49"/>
  <c r="Q139" i="49"/>
  <c r="M139" i="49"/>
  <c r="I139" i="49"/>
  <c r="E139" i="49"/>
  <c r="Q127" i="49"/>
  <c r="M127" i="49"/>
  <c r="I127" i="49"/>
  <c r="E127" i="49"/>
  <c r="P125" i="49"/>
  <c r="O125" i="49"/>
  <c r="N125" i="49"/>
  <c r="L125" i="49"/>
  <c r="K125" i="49"/>
  <c r="J125" i="49"/>
  <c r="H125" i="49"/>
  <c r="G125" i="49"/>
  <c r="F125" i="49"/>
  <c r="D125" i="49"/>
  <c r="C125" i="49"/>
  <c r="B125" i="49"/>
  <c r="P124" i="49"/>
  <c r="O124" i="49"/>
  <c r="N124" i="49"/>
  <c r="L124" i="49"/>
  <c r="K124" i="49"/>
  <c r="J124" i="49"/>
  <c r="H124" i="49"/>
  <c r="G124" i="49"/>
  <c r="F124" i="49"/>
  <c r="D124" i="49"/>
  <c r="C124" i="49"/>
  <c r="B124" i="49"/>
  <c r="Q122" i="49"/>
  <c r="M122" i="49"/>
  <c r="I122" i="49"/>
  <c r="E122" i="49"/>
  <c r="Q120" i="49"/>
  <c r="M120" i="49"/>
  <c r="I120" i="49"/>
  <c r="E120" i="49"/>
  <c r="Q119" i="49"/>
  <c r="M119" i="49"/>
  <c r="I119" i="49"/>
  <c r="E119" i="49"/>
  <c r="Q117" i="49"/>
  <c r="M117" i="49"/>
  <c r="I117" i="49"/>
  <c r="E117" i="49"/>
  <c r="Q116" i="49"/>
  <c r="M116" i="49"/>
  <c r="I116" i="49"/>
  <c r="E116" i="49"/>
  <c r="Q115" i="49"/>
  <c r="M115" i="49"/>
  <c r="I115" i="49"/>
  <c r="E115" i="49"/>
  <c r="Q114" i="49"/>
  <c r="M114" i="49"/>
  <c r="I114" i="49"/>
  <c r="E114" i="49"/>
  <c r="Q113" i="49"/>
  <c r="M113" i="49"/>
  <c r="I113" i="49"/>
  <c r="E113" i="49"/>
  <c r="Q112" i="49"/>
  <c r="M112" i="49"/>
  <c r="I112" i="49"/>
  <c r="E112" i="49"/>
  <c r="Q111" i="49"/>
  <c r="M111" i="49"/>
  <c r="I111" i="49"/>
  <c r="E111" i="49"/>
  <c r="Q110" i="49"/>
  <c r="M110" i="49"/>
  <c r="I110" i="49"/>
  <c r="E110" i="49"/>
  <c r="P107" i="49"/>
  <c r="O107" i="49"/>
  <c r="N107" i="49"/>
  <c r="L107" i="49"/>
  <c r="K107" i="49"/>
  <c r="J107" i="49"/>
  <c r="H107" i="49"/>
  <c r="G107" i="49"/>
  <c r="F107" i="49"/>
  <c r="D107" i="49"/>
  <c r="C107" i="49"/>
  <c r="B107" i="49"/>
  <c r="Q106" i="49"/>
  <c r="M106" i="49"/>
  <c r="I106" i="49"/>
  <c r="E106" i="49"/>
  <c r="Q105" i="49"/>
  <c r="M105" i="49"/>
  <c r="I105" i="49"/>
  <c r="E105" i="49"/>
  <c r="Q104" i="49"/>
  <c r="M104" i="49"/>
  <c r="I104" i="49"/>
  <c r="E104" i="49"/>
  <c r="Q103" i="49"/>
  <c r="M103" i="49"/>
  <c r="I103" i="49"/>
  <c r="E103" i="49"/>
  <c r="Q102" i="49"/>
  <c r="M102" i="49"/>
  <c r="I102" i="49"/>
  <c r="E102" i="49"/>
  <c r="Q101" i="49"/>
  <c r="M101" i="49"/>
  <c r="I101" i="49"/>
  <c r="E101" i="49"/>
  <c r="Q100" i="49"/>
  <c r="M100" i="49"/>
  <c r="I100" i="49"/>
  <c r="E100" i="49"/>
  <c r="P96" i="49"/>
  <c r="O96" i="49"/>
  <c r="N96" i="49"/>
  <c r="L96" i="49"/>
  <c r="K96" i="49"/>
  <c r="J96" i="49"/>
  <c r="H96" i="49"/>
  <c r="G96" i="49"/>
  <c r="F96" i="49"/>
  <c r="D96" i="49"/>
  <c r="C96" i="49"/>
  <c r="B96" i="49"/>
  <c r="Q94" i="49"/>
  <c r="M94" i="49"/>
  <c r="I94" i="49"/>
  <c r="E94" i="49"/>
  <c r="Q93" i="49"/>
  <c r="M93" i="49"/>
  <c r="I93" i="49"/>
  <c r="E93" i="49"/>
  <c r="P89" i="49"/>
  <c r="O89" i="49"/>
  <c r="N89" i="49"/>
  <c r="L89" i="49"/>
  <c r="K89" i="49"/>
  <c r="J89" i="49"/>
  <c r="H89" i="49"/>
  <c r="G89" i="49"/>
  <c r="F89" i="49"/>
  <c r="D89" i="49"/>
  <c r="C89" i="49"/>
  <c r="B89" i="49"/>
  <c r="Q87" i="49"/>
  <c r="M87" i="49"/>
  <c r="I87" i="49"/>
  <c r="E87" i="49"/>
  <c r="Q86" i="49"/>
  <c r="M86" i="49"/>
  <c r="I86" i="49"/>
  <c r="E86" i="49"/>
  <c r="Q84" i="49"/>
  <c r="M84" i="49"/>
  <c r="I84" i="49"/>
  <c r="E84" i="49"/>
  <c r="Q83" i="49"/>
  <c r="M83" i="49"/>
  <c r="I83" i="49"/>
  <c r="E83" i="49"/>
  <c r="Q81" i="49"/>
  <c r="M81" i="49"/>
  <c r="I81" i="49"/>
  <c r="E81" i="49"/>
  <c r="Q79" i="49"/>
  <c r="M79" i="49"/>
  <c r="I79" i="49"/>
  <c r="E79" i="49"/>
  <c r="Q78" i="49"/>
  <c r="M78" i="49"/>
  <c r="I78" i="49"/>
  <c r="E78" i="49"/>
  <c r="Q77" i="49"/>
  <c r="M77" i="49"/>
  <c r="I77" i="49"/>
  <c r="E77" i="49"/>
  <c r="Q76" i="49"/>
  <c r="M76" i="49"/>
  <c r="I76" i="49"/>
  <c r="E76" i="49"/>
  <c r="Q75" i="49"/>
  <c r="M75" i="49"/>
  <c r="I75" i="49"/>
  <c r="E75" i="49"/>
  <c r="Q74" i="49"/>
  <c r="M74" i="49"/>
  <c r="I74" i="49"/>
  <c r="E74" i="49"/>
  <c r="Q73" i="49"/>
  <c r="M73" i="49"/>
  <c r="I73" i="49"/>
  <c r="E73" i="49"/>
  <c r="Q72" i="49"/>
  <c r="M72" i="49"/>
  <c r="I72" i="49"/>
  <c r="E72" i="49"/>
  <c r="Q60" i="49"/>
  <c r="M60" i="49"/>
  <c r="I60" i="49"/>
  <c r="E60" i="49"/>
  <c r="P58" i="49"/>
  <c r="O58" i="49"/>
  <c r="N58" i="49"/>
  <c r="L58" i="49"/>
  <c r="K58" i="49"/>
  <c r="J58" i="49"/>
  <c r="H58" i="49"/>
  <c r="G58" i="49"/>
  <c r="F58" i="49"/>
  <c r="D58" i="49"/>
  <c r="C58" i="49"/>
  <c r="B58" i="49"/>
  <c r="P57" i="49"/>
  <c r="O57" i="49"/>
  <c r="N57" i="49"/>
  <c r="L57" i="49"/>
  <c r="K57" i="49"/>
  <c r="J57" i="49"/>
  <c r="H57" i="49"/>
  <c r="G57" i="49"/>
  <c r="F57" i="49"/>
  <c r="D57" i="49"/>
  <c r="C57" i="49"/>
  <c r="B57" i="49"/>
  <c r="Q54" i="49"/>
  <c r="M54" i="49"/>
  <c r="I54" i="49"/>
  <c r="E54" i="49"/>
  <c r="P50" i="49"/>
  <c r="O50" i="49"/>
  <c r="N50" i="49"/>
  <c r="L50" i="49"/>
  <c r="K50" i="49"/>
  <c r="J50" i="49"/>
  <c r="H50" i="49"/>
  <c r="G50" i="49"/>
  <c r="F50" i="49"/>
  <c r="D50" i="49"/>
  <c r="C50" i="49"/>
  <c r="B50" i="49"/>
  <c r="P46" i="49"/>
  <c r="O46" i="49"/>
  <c r="N46" i="49"/>
  <c r="L46" i="49"/>
  <c r="K46" i="49"/>
  <c r="J46" i="49"/>
  <c r="H46" i="49"/>
  <c r="G46" i="49"/>
  <c r="F46" i="49"/>
  <c r="D46" i="49"/>
  <c r="C46" i="49"/>
  <c r="B46" i="49"/>
  <c r="P41" i="49"/>
  <c r="O41" i="49"/>
  <c r="N41" i="49"/>
  <c r="L41" i="49"/>
  <c r="K41" i="49"/>
  <c r="J41" i="49"/>
  <c r="H41" i="49"/>
  <c r="G41" i="49"/>
  <c r="F41" i="49"/>
  <c r="D41" i="49"/>
  <c r="C41" i="49"/>
  <c r="C59" i="49" s="1"/>
  <c r="C62" i="49" s="1"/>
  <c r="B41" i="49"/>
  <c r="Q38" i="49"/>
  <c r="M38" i="49"/>
  <c r="I38" i="49"/>
  <c r="E38" i="49"/>
  <c r="P27" i="49"/>
  <c r="O27" i="49"/>
  <c r="N27" i="49"/>
  <c r="L27" i="49"/>
  <c r="K27" i="49"/>
  <c r="J27" i="49"/>
  <c r="H27" i="49"/>
  <c r="G27" i="49"/>
  <c r="F27" i="49"/>
  <c r="D27" i="49"/>
  <c r="C27" i="49"/>
  <c r="B27" i="49"/>
  <c r="Q25" i="49"/>
  <c r="M25" i="49"/>
  <c r="I25" i="49"/>
  <c r="E25" i="49"/>
  <c r="P18" i="49"/>
  <c r="O18" i="49"/>
  <c r="N18" i="49"/>
  <c r="L18" i="49"/>
  <c r="K18" i="49"/>
  <c r="J18" i="49"/>
  <c r="H18" i="49"/>
  <c r="G18" i="49"/>
  <c r="F18" i="49"/>
  <c r="D18" i="49"/>
  <c r="C18" i="49"/>
  <c r="B18" i="49"/>
  <c r="P17" i="49"/>
  <c r="O17" i="49"/>
  <c r="L17" i="49"/>
  <c r="K17" i="49"/>
  <c r="J17" i="49"/>
  <c r="H17" i="49"/>
  <c r="G17" i="49"/>
  <c r="F17" i="49"/>
  <c r="D17" i="49"/>
  <c r="C17" i="49"/>
  <c r="P16" i="49"/>
  <c r="O16" i="49"/>
  <c r="N16" i="49"/>
  <c r="L16" i="49"/>
  <c r="K16" i="49"/>
  <c r="J16" i="49"/>
  <c r="H16" i="49"/>
  <c r="G16" i="49"/>
  <c r="F16" i="49"/>
  <c r="D16" i="49"/>
  <c r="C16" i="49"/>
  <c r="B16" i="49"/>
  <c r="P15" i="49"/>
  <c r="O15" i="49"/>
  <c r="N15" i="49"/>
  <c r="L15" i="49"/>
  <c r="K15" i="49"/>
  <c r="J15" i="49"/>
  <c r="H15" i="49"/>
  <c r="G15" i="49"/>
  <c r="F15" i="49"/>
  <c r="D15" i="49"/>
  <c r="C15" i="49"/>
  <c r="B15" i="49"/>
  <c r="P14" i="49"/>
  <c r="O14" i="49"/>
  <c r="N14" i="49"/>
  <c r="L14" i="49"/>
  <c r="K14" i="49"/>
  <c r="J14" i="49"/>
  <c r="H14" i="49"/>
  <c r="G14" i="49"/>
  <c r="F14" i="49"/>
  <c r="D14" i="49"/>
  <c r="C14" i="49"/>
  <c r="B14" i="49"/>
  <c r="R1" i="49"/>
  <c r="G10" i="49"/>
  <c r="K10" i="49"/>
  <c r="H10" i="49"/>
  <c r="J10" i="49"/>
  <c r="D10" i="49"/>
  <c r="F10" i="49"/>
  <c r="B10" i="49"/>
  <c r="N10" i="49"/>
  <c r="C10" i="49"/>
  <c r="P10" i="49"/>
  <c r="O10" i="49"/>
  <c r="L10" i="49"/>
  <c r="G59" i="49" l="1"/>
  <c r="G62" i="49" s="1"/>
  <c r="N494" i="49"/>
  <c r="N755" i="49"/>
  <c r="N773" i="49"/>
  <c r="G772" i="49"/>
  <c r="L59" i="49"/>
  <c r="L62" i="49" s="1"/>
  <c r="L63" i="49" s="1"/>
  <c r="H494" i="49"/>
  <c r="H497" i="49" s="1"/>
  <c r="H498" i="49" s="1"/>
  <c r="H772" i="49"/>
  <c r="J494" i="49"/>
  <c r="J497" i="49" s="1"/>
  <c r="O593" i="49"/>
  <c r="O596" i="49" s="1"/>
  <c r="O597" i="49" s="1"/>
  <c r="F773" i="49"/>
  <c r="C772" i="49"/>
  <c r="D772" i="49"/>
  <c r="D494" i="49"/>
  <c r="D497" i="49" s="1"/>
  <c r="D498" i="49" s="1"/>
  <c r="Q192" i="49"/>
  <c r="R151" i="49"/>
  <c r="D637" i="49"/>
  <c r="D640" i="49" s="1"/>
  <c r="D641" i="49" s="1"/>
  <c r="Q27" i="49"/>
  <c r="N772" i="49"/>
  <c r="C547" i="49"/>
  <c r="C550" i="49" s="1"/>
  <c r="C551" i="49" s="1"/>
  <c r="M922" i="49"/>
  <c r="P126" i="49"/>
  <c r="P129" i="49" s="1"/>
  <c r="P130" i="49" s="1"/>
  <c r="P494" i="49"/>
  <c r="P497" i="49" s="1"/>
  <c r="P498" i="49" s="1"/>
  <c r="H59" i="49"/>
  <c r="H62" i="49" s="1"/>
  <c r="H63" i="49" s="1"/>
  <c r="B494" i="49"/>
  <c r="B497" i="49" s="1"/>
  <c r="L494" i="49"/>
  <c r="L497" i="49" s="1"/>
  <c r="L498" i="49" s="1"/>
  <c r="H728" i="49"/>
  <c r="H731" i="49" s="1"/>
  <c r="H732" i="49" s="1"/>
  <c r="D126" i="49"/>
  <c r="D129" i="49" s="1"/>
  <c r="D130" i="49" s="1"/>
  <c r="AW948" i="49"/>
  <c r="R206" i="49"/>
  <c r="H126" i="49"/>
  <c r="H129" i="49" s="1"/>
  <c r="H130" i="49" s="1"/>
  <c r="L547" i="49"/>
  <c r="L550" i="49" s="1"/>
  <c r="L551" i="49" s="1"/>
  <c r="F772" i="49"/>
  <c r="B728" i="49"/>
  <c r="B731" i="49" s="1"/>
  <c r="B732" i="49" s="1"/>
  <c r="H680" i="49"/>
  <c r="H684" i="49" s="1"/>
  <c r="H686" i="49" s="1"/>
  <c r="F728" i="49"/>
  <c r="F731" i="49" s="1"/>
  <c r="F733" i="49" s="1"/>
  <c r="Q813" i="49" s="1"/>
  <c r="Q870" i="49" s="1"/>
  <c r="K728" i="49"/>
  <c r="K731" i="49" s="1"/>
  <c r="K733" i="49" s="1"/>
  <c r="K547" i="49"/>
  <c r="K550" i="49" s="1"/>
  <c r="K551" i="49" s="1"/>
  <c r="G728" i="49"/>
  <c r="G731" i="49" s="1"/>
  <c r="P547" i="49"/>
  <c r="P550" i="49" s="1"/>
  <c r="P551" i="49" s="1"/>
  <c r="G593" i="49"/>
  <c r="G596" i="49" s="1"/>
  <c r="G597" i="49" s="1"/>
  <c r="B547" i="49"/>
  <c r="B550" i="49" s="1"/>
  <c r="F981" i="49"/>
  <c r="B954" i="49" s="1"/>
  <c r="M27" i="49"/>
  <c r="I27" i="49"/>
  <c r="R25" i="49"/>
  <c r="E27" i="49"/>
  <c r="I1024" i="49"/>
  <c r="I1037" i="49" s="1"/>
  <c r="O908" i="49"/>
  <c r="D760" i="49"/>
  <c r="D791" i="49" s="1"/>
  <c r="K126" i="49"/>
  <c r="K129" i="49" s="1"/>
  <c r="K130" i="49" s="1"/>
  <c r="H773" i="49"/>
  <c r="H795" i="49" s="1"/>
  <c r="C773" i="49"/>
  <c r="C795" i="49" s="1"/>
  <c r="O728" i="49"/>
  <c r="O731" i="49" s="1"/>
  <c r="O733" i="49" s="1"/>
  <c r="K265" i="49"/>
  <c r="K273" i="49" s="1"/>
  <c r="K274" i="49" s="1"/>
  <c r="P265" i="49"/>
  <c r="P273" i="49" s="1"/>
  <c r="P274" i="49" s="1"/>
  <c r="R282" i="49"/>
  <c r="R284" i="49" s="1"/>
  <c r="E284" i="49"/>
  <c r="I401" i="49"/>
  <c r="R268" i="49"/>
  <c r="R270" i="49"/>
  <c r="R271" i="49"/>
  <c r="I477" i="49"/>
  <c r="I493" i="49"/>
  <c r="I531" i="49"/>
  <c r="M18" i="49"/>
  <c r="Q46" i="49"/>
  <c r="Q58" i="49"/>
  <c r="C265" i="49"/>
  <c r="C273" i="49" s="1"/>
  <c r="C274" i="49" s="1"/>
  <c r="Q263" i="49"/>
  <c r="C593" i="49"/>
  <c r="C596" i="49" s="1"/>
  <c r="C597" i="49" s="1"/>
  <c r="M768" i="49"/>
  <c r="M769" i="49"/>
  <c r="M14" i="49"/>
  <c r="Q15" i="49"/>
  <c r="Q57" i="49"/>
  <c r="Q401" i="49"/>
  <c r="M46" i="49"/>
  <c r="M58" i="49"/>
  <c r="Q451" i="49"/>
  <c r="M526" i="49"/>
  <c r="M546" i="49"/>
  <c r="M592" i="49"/>
  <c r="E616" i="49"/>
  <c r="M635" i="49"/>
  <c r="M650" i="49"/>
  <c r="M668" i="49"/>
  <c r="M672" i="49"/>
  <c r="Q678" i="49"/>
  <c r="M679" i="49"/>
  <c r="M706" i="49"/>
  <c r="Q726" i="49"/>
  <c r="Q752" i="49"/>
  <c r="Q753" i="49"/>
  <c r="Q757" i="49"/>
  <c r="N1028" i="49"/>
  <c r="H265" i="49"/>
  <c r="H273" i="49" s="1"/>
  <c r="H274" i="49" s="1"/>
  <c r="O265" i="49"/>
  <c r="O273" i="49" s="1"/>
  <c r="O274" i="49" s="1"/>
  <c r="C764" i="49"/>
  <c r="C793" i="49" s="1"/>
  <c r="M762" i="49"/>
  <c r="AW949" i="49"/>
  <c r="AW960" i="49"/>
  <c r="Q284" i="49"/>
  <c r="C403" i="49"/>
  <c r="C408" i="49" s="1"/>
  <c r="C409" i="49" s="1"/>
  <c r="M377" i="49"/>
  <c r="E401" i="49"/>
  <c r="M401" i="49"/>
  <c r="F494" i="49"/>
  <c r="F497" i="49" s="1"/>
  <c r="I526" i="49"/>
  <c r="I546" i="49"/>
  <c r="Q616" i="49"/>
  <c r="I635" i="49"/>
  <c r="I650" i="49"/>
  <c r="I668" i="49"/>
  <c r="K680" i="49"/>
  <c r="K684" i="49" s="1"/>
  <c r="K686" i="49" s="1"/>
  <c r="K687" i="49" s="1"/>
  <c r="M752" i="49"/>
  <c r="M757" i="49"/>
  <c r="E762" i="49"/>
  <c r="AF837" i="49"/>
  <c r="AD837" i="49"/>
  <c r="AG837" i="49"/>
  <c r="AE837" i="49"/>
  <c r="AG839" i="49"/>
  <c r="AE839" i="49"/>
  <c r="AF839" i="49"/>
  <c r="AD839" i="49"/>
  <c r="L985" i="49"/>
  <c r="N1034" i="49"/>
  <c r="AW967" i="49"/>
  <c r="AW970" i="49"/>
  <c r="AW954" i="49"/>
  <c r="AW961" i="49"/>
  <c r="AW963" i="49"/>
  <c r="AW956" i="49"/>
  <c r="AG840" i="49"/>
  <c r="AE840" i="49"/>
  <c r="AF840" i="49"/>
  <c r="AD840" i="49"/>
  <c r="AF842" i="49"/>
  <c r="AD842" i="49"/>
  <c r="AG842" i="49"/>
  <c r="AE842" i="49"/>
  <c r="AG844" i="49"/>
  <c r="AE844" i="49"/>
  <c r="AF844" i="49"/>
  <c r="AD844" i="49"/>
  <c r="AF846" i="49"/>
  <c r="AD846" i="49"/>
  <c r="AG846" i="49"/>
  <c r="AE846" i="49"/>
  <c r="AW952" i="49"/>
  <c r="J772" i="49"/>
  <c r="J908" i="49"/>
  <c r="AW947" i="49"/>
  <c r="AW951" i="49"/>
  <c r="AW958" i="49"/>
  <c r="AW965" i="49"/>
  <c r="I15" i="49"/>
  <c r="I46" i="49"/>
  <c r="I58" i="49"/>
  <c r="Q107" i="49"/>
  <c r="Q124" i="49"/>
  <c r="M125" i="49"/>
  <c r="M264" i="49"/>
  <c r="I377" i="49"/>
  <c r="Q377" i="49"/>
  <c r="R465" i="49"/>
  <c r="R475" i="49"/>
  <c r="E482" i="49"/>
  <c r="R487" i="49"/>
  <c r="R489" i="49"/>
  <c r="R490" i="49"/>
  <c r="R507" i="49"/>
  <c r="R511" i="49"/>
  <c r="R512" i="49"/>
  <c r="R514" i="49"/>
  <c r="R516" i="49"/>
  <c r="R524" i="49"/>
  <c r="R530" i="49"/>
  <c r="R534" i="49"/>
  <c r="R539" i="49"/>
  <c r="R540" i="49"/>
  <c r="R544" i="49"/>
  <c r="E545" i="49"/>
  <c r="E546" i="49"/>
  <c r="E580" i="49"/>
  <c r="M616" i="49"/>
  <c r="N760" i="49"/>
  <c r="N791" i="49" s="1"/>
  <c r="AF841" i="49"/>
  <c r="AD841" i="49"/>
  <c r="AG841" i="49"/>
  <c r="AE841" i="49"/>
  <c r="AD808" i="49"/>
  <c r="AO808" i="49" s="1"/>
  <c r="AG843" i="49"/>
  <c r="AE843" i="49"/>
  <c r="AF843" i="49"/>
  <c r="AD843" i="49"/>
  <c r="AF845" i="49"/>
  <c r="AD845" i="49"/>
  <c r="AG845" i="49"/>
  <c r="AE845" i="49"/>
  <c r="AG847" i="49"/>
  <c r="AE847" i="49"/>
  <c r="AF847" i="49"/>
  <c r="AD847" i="49"/>
  <c r="R1034" i="49"/>
  <c r="AW959" i="49"/>
  <c r="AW966" i="49"/>
  <c r="AW950" i="49"/>
  <c r="AW957" i="49"/>
  <c r="AW968" i="49"/>
  <c r="Q14" i="49"/>
  <c r="I16" i="49"/>
  <c r="E17" i="49"/>
  <c r="Q18" i="49"/>
  <c r="E46" i="49"/>
  <c r="M50" i="49"/>
  <c r="R54" i="49"/>
  <c r="E57" i="49"/>
  <c r="E58" i="49"/>
  <c r="I125" i="49"/>
  <c r="I264" i="49"/>
  <c r="E377" i="49"/>
  <c r="N452" i="49"/>
  <c r="N455" i="49" s="1"/>
  <c r="Q526" i="49"/>
  <c r="Q580" i="49"/>
  <c r="E591" i="49"/>
  <c r="Q592" i="49"/>
  <c r="I616" i="49"/>
  <c r="B760" i="49"/>
  <c r="B791" i="49" s="1"/>
  <c r="Q762" i="49"/>
  <c r="Q768" i="49"/>
  <c r="E771" i="49"/>
  <c r="AG836" i="49"/>
  <c r="AE836" i="49"/>
  <c r="AF836" i="49"/>
  <c r="AD836" i="49"/>
  <c r="AF838" i="49"/>
  <c r="AD838" i="49"/>
  <c r="AG838" i="49"/>
  <c r="AE838" i="49"/>
  <c r="AD804" i="49"/>
  <c r="AO804" i="49" s="1"/>
  <c r="AW955" i="49"/>
  <c r="AW962" i="49"/>
  <c r="AW969" i="49"/>
  <c r="AW953" i="49"/>
  <c r="AW964" i="49"/>
  <c r="Q442" i="49"/>
  <c r="M763" i="49"/>
  <c r="Q482" i="49"/>
  <c r="J764" i="49"/>
  <c r="J793" i="49" s="1"/>
  <c r="R481" i="49"/>
  <c r="M727" i="49"/>
  <c r="O764" i="49"/>
  <c r="O793" i="49" s="1"/>
  <c r="I762" i="49"/>
  <c r="G680" i="49"/>
  <c r="G684" i="49" s="1"/>
  <c r="G686" i="49" s="1"/>
  <c r="Q636" i="49"/>
  <c r="Q625" i="49"/>
  <c r="I612" i="49"/>
  <c r="Q546" i="49"/>
  <c r="E526" i="49"/>
  <c r="R474" i="49"/>
  <c r="C760" i="49"/>
  <c r="C791" i="49" s="1"/>
  <c r="R466" i="49"/>
  <c r="M450" i="49"/>
  <c r="Q437" i="49"/>
  <c r="J452" i="49"/>
  <c r="J455" i="49" s="1"/>
  <c r="M437" i="49"/>
  <c r="I437" i="49"/>
  <c r="E437" i="49"/>
  <c r="Q770" i="49"/>
  <c r="K772" i="49"/>
  <c r="L772" i="49"/>
  <c r="M770" i="49"/>
  <c r="B764" i="49"/>
  <c r="B793" i="49" s="1"/>
  <c r="R333" i="49"/>
  <c r="R327" i="49"/>
  <c r="R293" i="49"/>
  <c r="R294" i="49"/>
  <c r="R296" i="49"/>
  <c r="R297" i="49"/>
  <c r="R300" i="49"/>
  <c r="R303" i="49"/>
  <c r="R305" i="49"/>
  <c r="R307" i="49"/>
  <c r="R309" i="49"/>
  <c r="R310" i="49"/>
  <c r="R315" i="49"/>
  <c r="R316" i="49"/>
  <c r="R318" i="49"/>
  <c r="R319" i="49"/>
  <c r="R320" i="49"/>
  <c r="R322" i="49"/>
  <c r="R324" i="49"/>
  <c r="R325" i="49"/>
  <c r="R326" i="49"/>
  <c r="M753" i="49"/>
  <c r="R269" i="49"/>
  <c r="R266" i="49"/>
  <c r="M15" i="49"/>
  <c r="E15" i="49"/>
  <c r="E763" i="49"/>
  <c r="I245" i="49"/>
  <c r="H764" i="49"/>
  <c r="H793" i="49" s="1"/>
  <c r="M245" i="49"/>
  <c r="N764" i="49"/>
  <c r="N793" i="49" s="1"/>
  <c r="Q199" i="49"/>
  <c r="Q749" i="49"/>
  <c r="L126" i="49"/>
  <c r="L129" i="49" s="1"/>
  <c r="L130" i="49" s="1"/>
  <c r="O760" i="49"/>
  <c r="O791" i="49" s="1"/>
  <c r="Q96" i="49"/>
  <c r="Q750" i="49"/>
  <c r="R38" i="49"/>
  <c r="J755" i="49"/>
  <c r="J789" i="49" s="1"/>
  <c r="B755" i="49"/>
  <c r="B789" i="49" s="1"/>
  <c r="AS851" i="49"/>
  <c r="AS886" i="49"/>
  <c r="R777" i="49"/>
  <c r="J329" i="49"/>
  <c r="O680" i="49"/>
  <c r="O684" i="49" s="1"/>
  <c r="O685" i="49" s="1"/>
  <c r="E16" i="49"/>
  <c r="I50" i="49"/>
  <c r="M124" i="49"/>
  <c r="M442" i="49"/>
  <c r="E493" i="49"/>
  <c r="R594" i="49"/>
  <c r="Q771" i="49"/>
  <c r="Q16" i="49"/>
  <c r="I18" i="49"/>
  <c r="O59" i="49"/>
  <c r="O62" i="49" s="1"/>
  <c r="O63" i="49" s="1"/>
  <c r="E50" i="49"/>
  <c r="M57" i="49"/>
  <c r="R73" i="49"/>
  <c r="R74" i="49"/>
  <c r="R78" i="49"/>
  <c r="R79" i="49"/>
  <c r="R81" i="49"/>
  <c r="R83" i="49"/>
  <c r="R86" i="49"/>
  <c r="R87" i="49"/>
  <c r="I96" i="49"/>
  <c r="R100" i="49"/>
  <c r="R104" i="49"/>
  <c r="R105" i="49"/>
  <c r="R106" i="49"/>
  <c r="I107" i="49"/>
  <c r="R110" i="49"/>
  <c r="R112" i="49"/>
  <c r="R113" i="49"/>
  <c r="R114" i="49"/>
  <c r="R117" i="49"/>
  <c r="R119" i="49"/>
  <c r="I124" i="49"/>
  <c r="E125" i="49"/>
  <c r="R127" i="49"/>
  <c r="R142" i="49"/>
  <c r="R143" i="49"/>
  <c r="R144" i="49"/>
  <c r="R145" i="49"/>
  <c r="R146" i="49"/>
  <c r="R148" i="49"/>
  <c r="R149" i="49"/>
  <c r="R150" i="49"/>
  <c r="R153" i="49"/>
  <c r="R154" i="49"/>
  <c r="R158" i="49"/>
  <c r="R159" i="49"/>
  <c r="R160" i="49"/>
  <c r="R161" i="49"/>
  <c r="R162" i="49"/>
  <c r="R164" i="49"/>
  <c r="R165" i="49"/>
  <c r="R166" i="49"/>
  <c r="R169" i="49"/>
  <c r="R170" i="49"/>
  <c r="R174" i="49"/>
  <c r="R176" i="49"/>
  <c r="R177" i="49"/>
  <c r="R178" i="49"/>
  <c r="R180" i="49"/>
  <c r="R181" i="49"/>
  <c r="R182" i="49"/>
  <c r="R185" i="49"/>
  <c r="R186" i="49"/>
  <c r="R196" i="49"/>
  <c r="R197" i="49"/>
  <c r="I199" i="49"/>
  <c r="R203" i="49"/>
  <c r="R205" i="49"/>
  <c r="R207" i="49"/>
  <c r="R210" i="49"/>
  <c r="R211" i="49"/>
  <c r="R216" i="49"/>
  <c r="R217" i="49"/>
  <c r="R218" i="49"/>
  <c r="R220" i="49"/>
  <c r="R221" i="49"/>
  <c r="R223" i="49"/>
  <c r="R224" i="49"/>
  <c r="R225" i="49"/>
  <c r="R228" i="49"/>
  <c r="R229" i="49"/>
  <c r="R233" i="49"/>
  <c r="R234" i="49"/>
  <c r="R235" i="49"/>
  <c r="R236" i="49"/>
  <c r="R237" i="49"/>
  <c r="R239" i="49"/>
  <c r="R240" i="49"/>
  <c r="R242" i="49"/>
  <c r="R248" i="49"/>
  <c r="R249" i="49"/>
  <c r="R254" i="49"/>
  <c r="R255" i="49"/>
  <c r="R256" i="49"/>
  <c r="R257" i="49"/>
  <c r="R258" i="49"/>
  <c r="R260" i="49"/>
  <c r="I263" i="49"/>
  <c r="M284" i="49"/>
  <c r="M402" i="49"/>
  <c r="D452" i="49"/>
  <c r="D455" i="49" s="1"/>
  <c r="D456" i="49" s="1"/>
  <c r="M482" i="49"/>
  <c r="R495" i="49"/>
  <c r="F547" i="49"/>
  <c r="F550" i="49" s="1"/>
  <c r="F551" i="49" s="1"/>
  <c r="M531" i="49"/>
  <c r="I545" i="49"/>
  <c r="M580" i="49"/>
  <c r="Q591" i="49"/>
  <c r="E650" i="49"/>
  <c r="E668" i="49"/>
  <c r="I753" i="49"/>
  <c r="I757" i="49"/>
  <c r="K760" i="49"/>
  <c r="K791" i="49" s="1"/>
  <c r="P760" i="49"/>
  <c r="P791" i="49" s="1"/>
  <c r="F764" i="49"/>
  <c r="F793" i="49" s="1"/>
  <c r="I763" i="49"/>
  <c r="I769" i="49"/>
  <c r="N1031" i="49"/>
  <c r="Q17" i="49"/>
  <c r="M96" i="49"/>
  <c r="M107" i="49"/>
  <c r="M199" i="49"/>
  <c r="M263" i="49"/>
  <c r="M451" i="49"/>
  <c r="E477" i="49"/>
  <c r="P637" i="49"/>
  <c r="P640" i="49" s="1"/>
  <c r="P641" i="49" s="1"/>
  <c r="M625" i="49"/>
  <c r="M636" i="49"/>
  <c r="Q751" i="49"/>
  <c r="Q767" i="49"/>
  <c r="L977" i="49"/>
  <c r="G977" i="49"/>
  <c r="C950" i="49" s="1"/>
  <c r="I14" i="49"/>
  <c r="M17" i="49"/>
  <c r="E14" i="49"/>
  <c r="M16" i="49"/>
  <c r="I17" i="49"/>
  <c r="E18" i="49"/>
  <c r="K59" i="49"/>
  <c r="K62" i="49" s="1"/>
  <c r="K63" i="49" s="1"/>
  <c r="Q50" i="49"/>
  <c r="I57" i="49"/>
  <c r="E96" i="49"/>
  <c r="E107" i="49"/>
  <c r="E124" i="49"/>
  <c r="Q125" i="49"/>
  <c r="E199" i="49"/>
  <c r="I284" i="49"/>
  <c r="F329" i="49"/>
  <c r="F403" i="49" s="1"/>
  <c r="F408" i="49" s="1"/>
  <c r="F409" i="49" s="1"/>
  <c r="L758" i="49"/>
  <c r="L760" i="49" s="1"/>
  <c r="L791" i="49" s="1"/>
  <c r="L342" i="49"/>
  <c r="P403" i="49"/>
  <c r="P408" i="49" s="1"/>
  <c r="P409" i="49" s="1"/>
  <c r="I432" i="49"/>
  <c r="F452" i="49"/>
  <c r="F455" i="49" s="1"/>
  <c r="P452" i="49"/>
  <c r="P455" i="49" s="1"/>
  <c r="P456" i="49" s="1"/>
  <c r="I482" i="49"/>
  <c r="I580" i="49"/>
  <c r="Q650" i="49"/>
  <c r="C680" i="49"/>
  <c r="C684" i="49" s="1"/>
  <c r="C686" i="49" s="1"/>
  <c r="Q668" i="49"/>
  <c r="E678" i="49"/>
  <c r="Q679" i="49"/>
  <c r="Q706" i="49"/>
  <c r="E726" i="49"/>
  <c r="Q727" i="49"/>
  <c r="E753" i="49"/>
  <c r="M759" i="49"/>
  <c r="E769" i="49"/>
  <c r="R1031" i="49"/>
  <c r="E263" i="49"/>
  <c r="Q264" i="49"/>
  <c r="Q329" i="49"/>
  <c r="R335" i="49"/>
  <c r="R337" i="49"/>
  <c r="R338" i="49"/>
  <c r="R339" i="49"/>
  <c r="R340" i="49"/>
  <c r="E342" i="49"/>
  <c r="Q402" i="49"/>
  <c r="H452" i="49"/>
  <c r="H455" i="49" s="1"/>
  <c r="H456" i="49" s="1"/>
  <c r="R435" i="49"/>
  <c r="E442" i="49"/>
  <c r="Q450" i="49"/>
  <c r="E451" i="49"/>
  <c r="M477" i="49"/>
  <c r="I492" i="49"/>
  <c r="M493" i="49"/>
  <c r="J547" i="49"/>
  <c r="Q531" i="49"/>
  <c r="M545" i="49"/>
  <c r="R572" i="49"/>
  <c r="M584" i="49"/>
  <c r="R588" i="49"/>
  <c r="I591" i="49"/>
  <c r="E592" i="49"/>
  <c r="H637" i="49"/>
  <c r="H640" i="49" s="1"/>
  <c r="H641" i="49" s="1"/>
  <c r="E625" i="49"/>
  <c r="E636" i="49"/>
  <c r="R648" i="49"/>
  <c r="R660" i="49"/>
  <c r="L680" i="49"/>
  <c r="L684" i="49" s="1"/>
  <c r="L685" i="49" s="1"/>
  <c r="I678" i="49"/>
  <c r="E679" i="49"/>
  <c r="R695" i="49"/>
  <c r="R696" i="49"/>
  <c r="E706" i="49"/>
  <c r="R709" i="49"/>
  <c r="R710" i="49"/>
  <c r="R712" i="49"/>
  <c r="R714" i="49"/>
  <c r="E716" i="49"/>
  <c r="R720" i="49"/>
  <c r="R722" i="49"/>
  <c r="I726" i="49"/>
  <c r="E727" i="49"/>
  <c r="I751" i="49"/>
  <c r="E752" i="49"/>
  <c r="E754" i="49"/>
  <c r="E758" i="49"/>
  <c r="Q758" i="49"/>
  <c r="F760" i="49"/>
  <c r="F791" i="49" s="1"/>
  <c r="L764" i="49"/>
  <c r="L793" i="49" s="1"/>
  <c r="D764" i="49"/>
  <c r="D793" i="49" s="1"/>
  <c r="G773" i="49"/>
  <c r="G795" i="49" s="1"/>
  <c r="L773" i="49"/>
  <c r="L795" i="49" s="1"/>
  <c r="I767" i="49"/>
  <c r="E768" i="49"/>
  <c r="I771" i="49"/>
  <c r="B772" i="49"/>
  <c r="Q1037" i="49"/>
  <c r="E264" i="49"/>
  <c r="R345" i="49"/>
  <c r="R349" i="49"/>
  <c r="R350" i="49"/>
  <c r="R355" i="49"/>
  <c r="R359" i="49"/>
  <c r="R360" i="49"/>
  <c r="R361" i="49"/>
  <c r="R362" i="49"/>
  <c r="R363" i="49"/>
  <c r="R365" i="49"/>
  <c r="R368" i="49"/>
  <c r="R369" i="49"/>
  <c r="R372" i="49"/>
  <c r="R373" i="49"/>
  <c r="R375" i="49"/>
  <c r="R376" i="49"/>
  <c r="R380" i="49"/>
  <c r="R382" i="49"/>
  <c r="R383" i="49"/>
  <c r="R385" i="49"/>
  <c r="R387" i="49"/>
  <c r="R388" i="49"/>
  <c r="R392" i="49"/>
  <c r="R394" i="49"/>
  <c r="R396" i="49"/>
  <c r="R397" i="49"/>
  <c r="R398" i="49"/>
  <c r="R399" i="49"/>
  <c r="R400" i="49"/>
  <c r="R404" i="49"/>
  <c r="R405" i="49"/>
  <c r="R424" i="49"/>
  <c r="R428" i="49"/>
  <c r="R429" i="49"/>
  <c r="E432" i="49"/>
  <c r="L452" i="49"/>
  <c r="L455" i="49" s="1"/>
  <c r="L456" i="49" s="1"/>
  <c r="I442" i="49"/>
  <c r="R448" i="49"/>
  <c r="R449" i="49"/>
  <c r="I451" i="49"/>
  <c r="B452" i="49"/>
  <c r="B455" i="49" s="1"/>
  <c r="Q477" i="49"/>
  <c r="M492" i="49"/>
  <c r="Q493" i="49"/>
  <c r="H547" i="49"/>
  <c r="H550" i="49" s="1"/>
  <c r="H551" i="49" s="1"/>
  <c r="N547" i="49"/>
  <c r="N550" i="49" s="1"/>
  <c r="E531" i="49"/>
  <c r="Q545" i="49"/>
  <c r="K593" i="49"/>
  <c r="K596" i="49" s="1"/>
  <c r="K597" i="49" s="1"/>
  <c r="Q584" i="49"/>
  <c r="M591" i="49"/>
  <c r="I592" i="49"/>
  <c r="R607" i="49"/>
  <c r="L637" i="49"/>
  <c r="L640" i="49" s="1"/>
  <c r="L641" i="49" s="1"/>
  <c r="R619" i="49"/>
  <c r="R621" i="49"/>
  <c r="R622" i="49"/>
  <c r="R624" i="49"/>
  <c r="I625" i="49"/>
  <c r="R629" i="49"/>
  <c r="R631" i="49"/>
  <c r="R632" i="49"/>
  <c r="I636" i="49"/>
  <c r="R638" i="49"/>
  <c r="P680" i="49"/>
  <c r="P684" i="49" s="1"/>
  <c r="P686" i="49" s="1"/>
  <c r="I672" i="49"/>
  <c r="M678" i="49"/>
  <c r="I679" i="49"/>
  <c r="I706" i="49"/>
  <c r="I716" i="49"/>
  <c r="M726" i="49"/>
  <c r="I727" i="49"/>
  <c r="M751" i="49"/>
  <c r="I752" i="49"/>
  <c r="E757" i="49"/>
  <c r="I758" i="49"/>
  <c r="E759" i="49"/>
  <c r="G764" i="49"/>
  <c r="G793" i="49" s="1"/>
  <c r="K764" i="49"/>
  <c r="K793" i="49" s="1"/>
  <c r="P773" i="49"/>
  <c r="P795" i="49" s="1"/>
  <c r="M767" i="49"/>
  <c r="I768" i="49"/>
  <c r="Q769" i="49"/>
  <c r="P772" i="49"/>
  <c r="M771" i="49"/>
  <c r="K924" i="49"/>
  <c r="N924" i="49"/>
  <c r="L924" i="49"/>
  <c r="M924" i="49"/>
  <c r="I924" i="49"/>
  <c r="G841" i="49"/>
  <c r="D651" i="49"/>
  <c r="D28" i="49"/>
  <c r="D285" i="49"/>
  <c r="AP803" i="49" s="1"/>
  <c r="K928" i="49"/>
  <c r="N928" i="49"/>
  <c r="L928" i="49"/>
  <c r="M928" i="49"/>
  <c r="I928" i="49"/>
  <c r="J651" i="49"/>
  <c r="J285" i="49"/>
  <c r="AP807" i="49" s="1"/>
  <c r="J28" i="49"/>
  <c r="L923" i="49"/>
  <c r="K923" i="49"/>
  <c r="M923" i="49"/>
  <c r="N923" i="49"/>
  <c r="C561" i="49"/>
  <c r="N931" i="49"/>
  <c r="L931" i="49"/>
  <c r="K931" i="49"/>
  <c r="M931" i="49"/>
  <c r="I931" i="49"/>
  <c r="O931" i="49"/>
  <c r="N561" i="49"/>
  <c r="L927" i="49"/>
  <c r="K927" i="49"/>
  <c r="M927" i="49"/>
  <c r="N927" i="49"/>
  <c r="F844" i="49"/>
  <c r="M932" i="49"/>
  <c r="K932" i="49"/>
  <c r="L932" i="49"/>
  <c r="H932" i="49"/>
  <c r="N932" i="49"/>
  <c r="O651" i="49"/>
  <c r="O285" i="49"/>
  <c r="AP811" i="49" s="1"/>
  <c r="O28" i="49"/>
  <c r="L929" i="49"/>
  <c r="N929" i="49"/>
  <c r="M929" i="49"/>
  <c r="K929" i="49"/>
  <c r="K561" i="49"/>
  <c r="K28" i="49"/>
  <c r="N925" i="49"/>
  <c r="M925" i="49"/>
  <c r="K925" i="49"/>
  <c r="L925" i="49"/>
  <c r="H925" i="49"/>
  <c r="L933" i="49"/>
  <c r="N933" i="49"/>
  <c r="K933" i="49"/>
  <c r="M933" i="49"/>
  <c r="P651" i="49"/>
  <c r="P285" i="49"/>
  <c r="AP812" i="49" s="1"/>
  <c r="P28" i="49"/>
  <c r="L922" i="49"/>
  <c r="N922" i="49"/>
  <c r="K922" i="49"/>
  <c r="B651" i="49"/>
  <c r="B285" i="49"/>
  <c r="AP801" i="49" s="1"/>
  <c r="M926" i="49"/>
  <c r="L926" i="49"/>
  <c r="N926" i="49"/>
  <c r="K926" i="49"/>
  <c r="K930" i="49"/>
  <c r="M930" i="49"/>
  <c r="L930" i="49"/>
  <c r="N930" i="49"/>
  <c r="L651" i="49"/>
  <c r="L28" i="49"/>
  <c r="L285" i="49"/>
  <c r="AP809" i="49" s="1"/>
  <c r="N265" i="49"/>
  <c r="F285" i="49"/>
  <c r="AP804" i="49" s="1"/>
  <c r="K755" i="49"/>
  <c r="M292" i="49"/>
  <c r="K329" i="49"/>
  <c r="K403" i="49" s="1"/>
  <c r="K408" i="49" s="1"/>
  <c r="J593" i="49"/>
  <c r="M576" i="49"/>
  <c r="H28" i="49"/>
  <c r="G63" i="49"/>
  <c r="R84" i="49"/>
  <c r="E89" i="49"/>
  <c r="B126" i="49"/>
  <c r="R111" i="49"/>
  <c r="Q41" i="49"/>
  <c r="N59" i="49"/>
  <c r="P59" i="49"/>
  <c r="P62" i="49" s="1"/>
  <c r="R93" i="49"/>
  <c r="R115" i="49"/>
  <c r="R152" i="49"/>
  <c r="R167" i="49"/>
  <c r="R183" i="49"/>
  <c r="R184" i="49"/>
  <c r="I192" i="49"/>
  <c r="F265" i="49"/>
  <c r="R209" i="49"/>
  <c r="R227" i="49"/>
  <c r="N28" i="49"/>
  <c r="M41" i="49"/>
  <c r="J59" i="49"/>
  <c r="D59" i="49"/>
  <c r="D62" i="49" s="1"/>
  <c r="R60" i="49"/>
  <c r="R75" i="49"/>
  <c r="R76" i="49"/>
  <c r="R77" i="49"/>
  <c r="M89" i="49"/>
  <c r="J126" i="49"/>
  <c r="O126" i="49"/>
  <c r="O129" i="49" s="1"/>
  <c r="R101" i="49"/>
  <c r="R102" i="49"/>
  <c r="R103" i="49"/>
  <c r="R120" i="49"/>
  <c r="R122" i="49"/>
  <c r="R139" i="49"/>
  <c r="R140" i="49"/>
  <c r="R141" i="49"/>
  <c r="R155" i="49"/>
  <c r="R156" i="49"/>
  <c r="R157" i="49"/>
  <c r="R171" i="49"/>
  <c r="R172" i="49"/>
  <c r="R173" i="49"/>
  <c r="R188" i="49"/>
  <c r="R189" i="49"/>
  <c r="R190" i="49"/>
  <c r="E192" i="49"/>
  <c r="B265" i="49"/>
  <c r="G265" i="49"/>
  <c r="G273" i="49" s="1"/>
  <c r="L265" i="49"/>
  <c r="L273" i="49" s="1"/>
  <c r="R212" i="49"/>
  <c r="R213" i="49"/>
  <c r="R214" i="49"/>
  <c r="R230" i="49"/>
  <c r="R231" i="49"/>
  <c r="R232" i="49"/>
  <c r="Q245" i="49"/>
  <c r="R250" i="49"/>
  <c r="R251" i="49"/>
  <c r="R253" i="49"/>
  <c r="R311" i="49"/>
  <c r="R312" i="49"/>
  <c r="R314" i="49"/>
  <c r="R351" i="49"/>
  <c r="R353" i="49"/>
  <c r="R354" i="49"/>
  <c r="E402" i="49"/>
  <c r="R406" i="49"/>
  <c r="R425" i="49"/>
  <c r="H593" i="49"/>
  <c r="H596" i="49" s="1"/>
  <c r="I584" i="49"/>
  <c r="I664" i="49"/>
  <c r="F680" i="49"/>
  <c r="I89" i="49"/>
  <c r="F126" i="49"/>
  <c r="E41" i="49"/>
  <c r="B59" i="49"/>
  <c r="G126" i="49"/>
  <c r="G129" i="49" s="1"/>
  <c r="R147" i="49"/>
  <c r="R163" i="49"/>
  <c r="R179" i="49"/>
  <c r="D265" i="49"/>
  <c r="D273" i="49" s="1"/>
  <c r="M192" i="49"/>
  <c r="J265" i="49"/>
  <c r="R204" i="49"/>
  <c r="R222" i="49"/>
  <c r="R238" i="49"/>
  <c r="R259" i="49"/>
  <c r="R267" i="49"/>
  <c r="C285" i="49"/>
  <c r="AP802" i="49" s="1"/>
  <c r="G285" i="49"/>
  <c r="AP805" i="49" s="1"/>
  <c r="K285" i="49"/>
  <c r="AP808" i="49" s="1"/>
  <c r="G749" i="49"/>
  <c r="G755" i="49" s="1"/>
  <c r="G329" i="49"/>
  <c r="G403" i="49" s="1"/>
  <c r="I292" i="49"/>
  <c r="R298" i="49"/>
  <c r="R301" i="49"/>
  <c r="R334" i="49"/>
  <c r="R364" i="49"/>
  <c r="R367" i="49"/>
  <c r="R389" i="49"/>
  <c r="R393" i="49"/>
  <c r="O403" i="49"/>
  <c r="O408" i="49" s="1"/>
  <c r="N637" i="49"/>
  <c r="Q612" i="49"/>
  <c r="I41" i="49"/>
  <c r="F59" i="49"/>
  <c r="N285" i="49"/>
  <c r="AP810" i="49" s="1"/>
  <c r="N497" i="49"/>
  <c r="C63" i="49"/>
  <c r="R72" i="49"/>
  <c r="C126" i="49"/>
  <c r="C129" i="49" s="1"/>
  <c r="Q89" i="49"/>
  <c r="N126" i="49"/>
  <c r="R94" i="49"/>
  <c r="R116" i="49"/>
  <c r="R168" i="49"/>
  <c r="R208" i="49"/>
  <c r="R226" i="49"/>
  <c r="R243" i="49"/>
  <c r="E245" i="49"/>
  <c r="H285" i="49"/>
  <c r="AP806" i="49" s="1"/>
  <c r="R346" i="49"/>
  <c r="R371" i="49"/>
  <c r="I402" i="49"/>
  <c r="Q471" i="49"/>
  <c r="O494" i="49"/>
  <c r="O497" i="49" s="1"/>
  <c r="D561" i="49"/>
  <c r="J561" i="49"/>
  <c r="M560" i="49"/>
  <c r="O561" i="49"/>
  <c r="E751" i="49"/>
  <c r="C755" i="49"/>
  <c r="F28" i="49"/>
  <c r="H749" i="49"/>
  <c r="H755" i="49" s="1"/>
  <c r="H329" i="49"/>
  <c r="H403" i="49" s="1"/>
  <c r="H408" i="49" s="1"/>
  <c r="L755" i="49"/>
  <c r="L329" i="49"/>
  <c r="R321" i="49"/>
  <c r="B403" i="49"/>
  <c r="R336" i="49"/>
  <c r="Q342" i="49"/>
  <c r="R356" i="49"/>
  <c r="R374" i="49"/>
  <c r="R395" i="49"/>
  <c r="Q432" i="49"/>
  <c r="R441" i="49"/>
  <c r="I450" i="49"/>
  <c r="M471" i="49"/>
  <c r="K494" i="49"/>
  <c r="K497" i="49" s="1"/>
  <c r="R491" i="49"/>
  <c r="E492" i="49"/>
  <c r="R508" i="49"/>
  <c r="R509" i="49"/>
  <c r="R510" i="49"/>
  <c r="O547" i="49"/>
  <c r="O550" i="49" s="1"/>
  <c r="R535" i="49"/>
  <c r="R537" i="49"/>
  <c r="R538" i="49"/>
  <c r="P561" i="49"/>
  <c r="F593" i="49"/>
  <c r="I576" i="49"/>
  <c r="P593" i="49"/>
  <c r="P596" i="49" s="1"/>
  <c r="D593" i="49"/>
  <c r="D596" i="49" s="1"/>
  <c r="E584" i="49"/>
  <c r="L593" i="49"/>
  <c r="L596" i="49" s="1"/>
  <c r="J637" i="49"/>
  <c r="M612" i="49"/>
  <c r="F637" i="49"/>
  <c r="G28" i="49"/>
  <c r="R299" i="49"/>
  <c r="R317" i="49"/>
  <c r="J760" i="49"/>
  <c r="J342" i="49"/>
  <c r="R352" i="49"/>
  <c r="R370" i="49"/>
  <c r="R390" i="49"/>
  <c r="M432" i="49"/>
  <c r="O452" i="49"/>
  <c r="O455" i="49" s="1"/>
  <c r="E450" i="49"/>
  <c r="R467" i="49"/>
  <c r="I471" i="49"/>
  <c r="G494" i="49"/>
  <c r="G497" i="49" s="1"/>
  <c r="Q492" i="49"/>
  <c r="R513" i="49"/>
  <c r="R543" i="49"/>
  <c r="B561" i="49"/>
  <c r="G561" i="49"/>
  <c r="L561" i="49"/>
  <c r="R570" i="49"/>
  <c r="B593" i="49"/>
  <c r="E576" i="49"/>
  <c r="B773" i="49"/>
  <c r="E766" i="49"/>
  <c r="R964" i="49"/>
  <c r="R1009" i="49"/>
  <c r="R939" i="49"/>
  <c r="R885" i="49"/>
  <c r="R856" i="49"/>
  <c r="AT792" i="49"/>
  <c r="R801" i="49"/>
  <c r="AT824" i="49"/>
  <c r="R830" i="49"/>
  <c r="R736" i="49"/>
  <c r="B28" i="49"/>
  <c r="C28" i="49"/>
  <c r="F755" i="49"/>
  <c r="R295" i="49"/>
  <c r="R313" i="49"/>
  <c r="N403" i="49"/>
  <c r="I342" i="49"/>
  <c r="R348" i="49"/>
  <c r="R366" i="49"/>
  <c r="R386" i="49"/>
  <c r="R427" i="49"/>
  <c r="C452" i="49"/>
  <c r="C455" i="49" s="1"/>
  <c r="G452" i="49"/>
  <c r="G455" i="49" s="1"/>
  <c r="K452" i="49"/>
  <c r="K455" i="49" s="1"/>
  <c r="R453" i="49"/>
  <c r="E471" i="49"/>
  <c r="C494" i="49"/>
  <c r="C497" i="49" s="1"/>
  <c r="R518" i="49"/>
  <c r="G547" i="49"/>
  <c r="G550" i="49" s="1"/>
  <c r="R523" i="49"/>
  <c r="D551" i="49"/>
  <c r="R548" i="49"/>
  <c r="N593" i="49"/>
  <c r="Q576" i="49"/>
  <c r="R608" i="49"/>
  <c r="B637" i="49"/>
  <c r="E612" i="49"/>
  <c r="C733" i="49"/>
  <c r="C732" i="49"/>
  <c r="N731" i="49"/>
  <c r="Q560" i="49"/>
  <c r="H561" i="49"/>
  <c r="R571" i="49"/>
  <c r="R623" i="49"/>
  <c r="Q635" i="49"/>
  <c r="F651" i="49"/>
  <c r="N651" i="49"/>
  <c r="D680" i="49"/>
  <c r="D684" i="49" s="1"/>
  <c r="M664" i="49"/>
  <c r="J680" i="49"/>
  <c r="Q672" i="49"/>
  <c r="R681" i="49"/>
  <c r="R682" i="49"/>
  <c r="R699" i="49"/>
  <c r="L728" i="49"/>
  <c r="L731" i="49" s="1"/>
  <c r="R704" i="49"/>
  <c r="M716" i="49"/>
  <c r="R729" i="49"/>
  <c r="E750" i="49"/>
  <c r="I754" i="49"/>
  <c r="O755" i="49"/>
  <c r="H760" i="49"/>
  <c r="H791" i="49" s="1"/>
  <c r="I759" i="49"/>
  <c r="P764" i="49"/>
  <c r="P793" i="49" s="1"/>
  <c r="Q763" i="49"/>
  <c r="I766" i="49"/>
  <c r="G839" i="49"/>
  <c r="E520" i="49"/>
  <c r="I520" i="49"/>
  <c r="M520" i="49"/>
  <c r="Q520" i="49"/>
  <c r="I560" i="49"/>
  <c r="F561" i="49"/>
  <c r="R630" i="49"/>
  <c r="H651" i="49"/>
  <c r="E664" i="49"/>
  <c r="B680" i="49"/>
  <c r="D733" i="49"/>
  <c r="D732" i="49"/>
  <c r="J728" i="49"/>
  <c r="R715" i="49"/>
  <c r="R719" i="49"/>
  <c r="P755" i="49"/>
  <c r="M750" i="49"/>
  <c r="Q754" i="49"/>
  <c r="Q759" i="49"/>
  <c r="Q766" i="49"/>
  <c r="R558" i="49"/>
  <c r="E560" i="49"/>
  <c r="R606" i="49"/>
  <c r="C637" i="49"/>
  <c r="C640" i="49" s="1"/>
  <c r="G637" i="49"/>
  <c r="G640" i="49" s="1"/>
  <c r="K637" i="49"/>
  <c r="K640" i="49" s="1"/>
  <c r="O637" i="49"/>
  <c r="O640" i="49" s="1"/>
  <c r="E635" i="49"/>
  <c r="Q664" i="49"/>
  <c r="N680" i="49"/>
  <c r="E672" i="49"/>
  <c r="R694" i="49"/>
  <c r="P728" i="49"/>
  <c r="P731" i="49" s="1"/>
  <c r="Q716" i="49"/>
  <c r="R723" i="49"/>
  <c r="I750" i="49"/>
  <c r="M754" i="49"/>
  <c r="G760" i="49"/>
  <c r="G791" i="49" s="1"/>
  <c r="J773" i="49"/>
  <c r="M766" i="49"/>
  <c r="K651" i="49"/>
  <c r="E701" i="49"/>
  <c r="I701" i="49"/>
  <c r="M701" i="49"/>
  <c r="Q701" i="49"/>
  <c r="K773" i="49"/>
  <c r="K795" i="49" s="1"/>
  <c r="O773" i="49"/>
  <c r="O795" i="49" s="1"/>
  <c r="I770" i="49"/>
  <c r="G840" i="49"/>
  <c r="F841" i="49"/>
  <c r="F847" i="49"/>
  <c r="AD809" i="49"/>
  <c r="F848" i="49"/>
  <c r="AD810" i="49"/>
  <c r="F849" i="49"/>
  <c r="AD811" i="49"/>
  <c r="G651" i="49"/>
  <c r="D773" i="49"/>
  <c r="D795" i="49" s="1"/>
  <c r="E767" i="49"/>
  <c r="E770" i="49"/>
  <c r="F843" i="49"/>
  <c r="AD805" i="49"/>
  <c r="G846" i="49"/>
  <c r="I925" i="49"/>
  <c r="J898" i="49"/>
  <c r="J925" i="49" s="1"/>
  <c r="C651" i="49"/>
  <c r="O772" i="49"/>
  <c r="F839" i="49"/>
  <c r="F823" i="49"/>
  <c r="AD801" i="49"/>
  <c r="G842" i="49"/>
  <c r="AD803" i="49"/>
  <c r="AD807" i="49"/>
  <c r="F846" i="49"/>
  <c r="G823" i="49"/>
  <c r="F842" i="49"/>
  <c r="G845" i="49"/>
  <c r="J923" i="49"/>
  <c r="J929" i="49"/>
  <c r="G843" i="49"/>
  <c r="G848" i="49"/>
  <c r="G849" i="49"/>
  <c r="AD802" i="49"/>
  <c r="G844" i="49"/>
  <c r="AD806" i="49"/>
  <c r="F845" i="49"/>
  <c r="G850" i="49"/>
  <c r="AD812" i="49"/>
  <c r="F840" i="49"/>
  <c r="G847" i="49"/>
  <c r="F850" i="49"/>
  <c r="O922" i="49"/>
  <c r="H926" i="49"/>
  <c r="H922" i="49"/>
  <c r="J895" i="49"/>
  <c r="J922" i="49" s="1"/>
  <c r="O923" i="49"/>
  <c r="O926" i="49"/>
  <c r="H930" i="49"/>
  <c r="J924" i="49"/>
  <c r="O927" i="49"/>
  <c r="O928" i="49"/>
  <c r="I929" i="49"/>
  <c r="J932" i="49"/>
  <c r="O933" i="49"/>
  <c r="I922" i="49"/>
  <c r="H923" i="49"/>
  <c r="O924" i="49"/>
  <c r="I926" i="49"/>
  <c r="H927" i="49"/>
  <c r="J900" i="49"/>
  <c r="J927" i="49" s="1"/>
  <c r="H928" i="49"/>
  <c r="J901" i="49"/>
  <c r="J928" i="49" s="1"/>
  <c r="O929" i="49"/>
  <c r="J903" i="49"/>
  <c r="J930" i="49" s="1"/>
  <c r="I930" i="49"/>
  <c r="J904" i="49"/>
  <c r="J931" i="49" s="1"/>
  <c r="H931" i="49"/>
  <c r="O932" i="49"/>
  <c r="I933" i="49"/>
  <c r="I923" i="49"/>
  <c r="H924" i="49"/>
  <c r="O925" i="49"/>
  <c r="J899" i="49"/>
  <c r="J926" i="49" s="1"/>
  <c r="I927" i="49"/>
  <c r="J933" i="49"/>
  <c r="G976" i="49"/>
  <c r="C949" i="49" s="1"/>
  <c r="AD957" i="49" s="1"/>
  <c r="L976" i="49"/>
  <c r="N1025" i="49"/>
  <c r="M1037" i="49"/>
  <c r="L980" i="49"/>
  <c r="H929" i="49"/>
  <c r="O930" i="49"/>
  <c r="I932" i="49"/>
  <c r="H933" i="49"/>
  <c r="G984" i="49"/>
  <c r="C957" i="49" s="1"/>
  <c r="L984" i="49"/>
  <c r="R1028" i="49"/>
  <c r="L974" i="49"/>
  <c r="F974" i="49"/>
  <c r="B947" i="49" s="1"/>
  <c r="L975" i="49"/>
  <c r="G975" i="49"/>
  <c r="C948" i="49" s="1"/>
  <c r="L978" i="49"/>
  <c r="F978" i="49"/>
  <c r="B951" i="49" s="1"/>
  <c r="AD950" i="49" s="1"/>
  <c r="L979" i="49"/>
  <c r="L982" i="49"/>
  <c r="F982" i="49"/>
  <c r="B955" i="49" s="1"/>
  <c r="L983" i="49"/>
  <c r="G983" i="49"/>
  <c r="C956" i="49" s="1"/>
  <c r="R1025" i="49"/>
  <c r="D741" i="34"/>
  <c r="M976" i="49"/>
  <c r="M980" i="49"/>
  <c r="M985" i="49"/>
  <c r="M984" i="49"/>
  <c r="M974" i="49"/>
  <c r="M983" i="49"/>
  <c r="M979" i="49"/>
  <c r="M977" i="49"/>
  <c r="M982" i="49"/>
  <c r="M981" i="49"/>
  <c r="M978" i="49"/>
  <c r="M975" i="49"/>
  <c r="Q755" i="49" l="1"/>
  <c r="R766" i="49"/>
  <c r="I772" i="49"/>
  <c r="E772" i="49"/>
  <c r="R192" i="49"/>
  <c r="R27" i="49"/>
  <c r="H733" i="49"/>
  <c r="Q815" i="49" s="1"/>
  <c r="Q872" i="49" s="1"/>
  <c r="AD953" i="49"/>
  <c r="AD958" i="49"/>
  <c r="AD955" i="49"/>
  <c r="AD967" i="49"/>
  <c r="AD954" i="49"/>
  <c r="AD968" i="49"/>
  <c r="AD956" i="49"/>
  <c r="E728" i="49"/>
  <c r="E731" i="49"/>
  <c r="S474" i="49"/>
  <c r="B733" i="49"/>
  <c r="B734" i="49" s="1"/>
  <c r="H685" i="49"/>
  <c r="F734" i="49"/>
  <c r="K732" i="49"/>
  <c r="F732" i="49"/>
  <c r="I731" i="49"/>
  <c r="G733" i="49"/>
  <c r="Q814" i="49" s="1"/>
  <c r="Q871" i="49" s="1"/>
  <c r="M547" i="49"/>
  <c r="I728" i="49"/>
  <c r="G732" i="49"/>
  <c r="R526" i="49"/>
  <c r="E547" i="49"/>
  <c r="J1025" i="49"/>
  <c r="K685" i="49"/>
  <c r="O732" i="49"/>
  <c r="P817" i="49"/>
  <c r="P874" i="49" s="1"/>
  <c r="AQ909" i="49" s="1"/>
  <c r="K652" i="49"/>
  <c r="K653" i="49" s="1"/>
  <c r="R57" i="49"/>
  <c r="R58" i="49"/>
  <c r="R580" i="49"/>
  <c r="R199" i="49"/>
  <c r="R531" i="49"/>
  <c r="L686" i="49"/>
  <c r="L687" i="49" s="1"/>
  <c r="AD969" i="49"/>
  <c r="R768" i="49"/>
  <c r="AD952" i="49"/>
  <c r="E760" i="49"/>
  <c r="R401" i="49"/>
  <c r="R546" i="49"/>
  <c r="Q772" i="49"/>
  <c r="J550" i="49"/>
  <c r="J551" i="49" s="1"/>
  <c r="AD948" i="49"/>
  <c r="R16" i="49"/>
  <c r="R46" i="49"/>
  <c r="P685" i="49"/>
  <c r="R635" i="49"/>
  <c r="M329" i="49"/>
  <c r="AD951" i="49"/>
  <c r="R771" i="49"/>
  <c r="R752" i="49"/>
  <c r="R679" i="49"/>
  <c r="R107" i="49"/>
  <c r="R616" i="49"/>
  <c r="R245" i="49"/>
  <c r="R762" i="49"/>
  <c r="R377" i="49"/>
  <c r="AW971" i="49"/>
  <c r="E791" i="49"/>
  <c r="R15" i="49"/>
  <c r="G685" i="49"/>
  <c r="AD947" i="49"/>
  <c r="AD970" i="49"/>
  <c r="R264" i="49"/>
  <c r="R493" i="49"/>
  <c r="R50" i="49"/>
  <c r="O686" i="49"/>
  <c r="O652" i="49" s="1"/>
  <c r="AD949" i="49"/>
  <c r="R726" i="49"/>
  <c r="R706" i="49"/>
  <c r="R678" i="49"/>
  <c r="R591" i="49"/>
  <c r="R545" i="49"/>
  <c r="R263" i="49"/>
  <c r="R18" i="49"/>
  <c r="R17" i="49"/>
  <c r="R442" i="49"/>
  <c r="R482" i="49"/>
  <c r="E793" i="49"/>
  <c r="I494" i="49"/>
  <c r="Q793" i="49"/>
  <c r="AR905" i="49"/>
  <c r="AR870" i="49"/>
  <c r="R636" i="49"/>
  <c r="R625" i="49"/>
  <c r="E764" i="49"/>
  <c r="M494" i="49"/>
  <c r="M758" i="49"/>
  <c r="R758" i="49" s="1"/>
  <c r="R451" i="49"/>
  <c r="M772" i="49"/>
  <c r="Q791" i="49"/>
  <c r="R437" i="49"/>
  <c r="E452" i="49"/>
  <c r="I452" i="49"/>
  <c r="R770" i="49"/>
  <c r="Q760" i="49"/>
  <c r="I329" i="49"/>
  <c r="R753" i="49"/>
  <c r="I793" i="49"/>
  <c r="M793" i="49"/>
  <c r="R763" i="49"/>
  <c r="I791" i="49"/>
  <c r="R96" i="49"/>
  <c r="I749" i="49"/>
  <c r="R125" i="49"/>
  <c r="R520" i="49"/>
  <c r="C685" i="49"/>
  <c r="R432" i="49"/>
  <c r="M342" i="49"/>
  <c r="R342" i="49" s="1"/>
  <c r="R584" i="49"/>
  <c r="R124" i="49"/>
  <c r="AD962" i="49"/>
  <c r="AD963" i="49"/>
  <c r="AD964" i="49"/>
  <c r="AD961" i="49"/>
  <c r="AD966" i="49"/>
  <c r="AD965" i="49"/>
  <c r="AD959" i="49"/>
  <c r="AD960" i="49"/>
  <c r="R668" i="49"/>
  <c r="AG849" i="49"/>
  <c r="R767" i="49"/>
  <c r="I764" i="49"/>
  <c r="L403" i="49"/>
  <c r="L408" i="49" s="1"/>
  <c r="L409" i="49" s="1"/>
  <c r="R292" i="49"/>
  <c r="R477" i="49"/>
  <c r="AF849" i="49"/>
  <c r="M764" i="49"/>
  <c r="R672" i="49"/>
  <c r="R759" i="49"/>
  <c r="R754" i="49"/>
  <c r="R716" i="49"/>
  <c r="R450" i="49"/>
  <c r="R492" i="49"/>
  <c r="R751" i="49"/>
  <c r="S81" i="49"/>
  <c r="R41" i="49"/>
  <c r="R757" i="49"/>
  <c r="R727" i="49"/>
  <c r="R592" i="49"/>
  <c r="R769" i="49"/>
  <c r="R14" i="49"/>
  <c r="R650" i="49"/>
  <c r="B983" i="49"/>
  <c r="Q983" i="49" s="1"/>
  <c r="B976" i="49"/>
  <c r="Q976" i="49" s="1"/>
  <c r="B975" i="49"/>
  <c r="Q975" i="49" s="1"/>
  <c r="B980" i="49"/>
  <c r="Q980" i="49" s="1"/>
  <c r="B982" i="49"/>
  <c r="Q982" i="49" s="1"/>
  <c r="B977" i="49"/>
  <c r="Q977" i="49" s="1"/>
  <c r="B979" i="49"/>
  <c r="Q979" i="49" s="1"/>
  <c r="B984" i="49"/>
  <c r="Q984" i="49" s="1"/>
  <c r="B978" i="49"/>
  <c r="Q978" i="49" s="1"/>
  <c r="B981" i="49"/>
  <c r="Q981" i="49" s="1"/>
  <c r="B985" i="49"/>
  <c r="Q985" i="49" s="1"/>
  <c r="B974" i="49"/>
  <c r="Q974" i="49" s="1"/>
  <c r="AO802" i="49"/>
  <c r="K641" i="49"/>
  <c r="O774" i="49"/>
  <c r="O789" i="49"/>
  <c r="O797" i="49" s="1"/>
  <c r="O13" i="49" s="1"/>
  <c r="M6" i="25" s="1"/>
  <c r="B795" i="49"/>
  <c r="E795" i="49" s="1"/>
  <c r="E773" i="49"/>
  <c r="O456" i="49"/>
  <c r="Q817" i="49"/>
  <c r="Q874" i="49" s="1"/>
  <c r="K734" i="49"/>
  <c r="Q842" i="49"/>
  <c r="I593" i="49"/>
  <c r="F596" i="49"/>
  <c r="C774" i="49"/>
  <c r="C789" i="49"/>
  <c r="C797" i="49" s="1"/>
  <c r="C13" i="49" s="1"/>
  <c r="D6" i="25" s="1"/>
  <c r="N551" i="49"/>
  <c r="Q550" i="49"/>
  <c r="O409" i="49"/>
  <c r="F684" i="49"/>
  <c r="I680" i="49"/>
  <c r="M593" i="49"/>
  <c r="J596" i="49"/>
  <c r="AO806" i="49"/>
  <c r="AO805" i="49"/>
  <c r="AO811" i="49"/>
  <c r="AO812" i="49"/>
  <c r="AE849" i="49"/>
  <c r="R701" i="49"/>
  <c r="J795" i="49"/>
  <c r="M795" i="49" s="1"/>
  <c r="M773" i="49"/>
  <c r="O641" i="49"/>
  <c r="Q764" i="49"/>
  <c r="Q812" i="49"/>
  <c r="Q869" i="49" s="1"/>
  <c r="D734" i="49"/>
  <c r="R664" i="49"/>
  <c r="N774" i="49"/>
  <c r="N789" i="49"/>
  <c r="L733" i="49"/>
  <c r="L732" i="49"/>
  <c r="P814" i="49"/>
  <c r="P871" i="49" s="1"/>
  <c r="G687" i="49"/>
  <c r="R471" i="49"/>
  <c r="J774" i="49"/>
  <c r="G498" i="49"/>
  <c r="M760" i="49"/>
  <c r="J791" i="49"/>
  <c r="M791" i="49" s="1"/>
  <c r="E497" i="49"/>
  <c r="B498" i="49"/>
  <c r="C130" i="49"/>
  <c r="Q497" i="49"/>
  <c r="N498" i="49"/>
  <c r="G774" i="49"/>
  <c r="G789" i="49"/>
  <c r="G797" i="49" s="1"/>
  <c r="G13" i="49" s="1"/>
  <c r="G6" i="25" s="1"/>
  <c r="J273" i="49"/>
  <c r="M265" i="49"/>
  <c r="E59" i="49"/>
  <c r="B62" i="49"/>
  <c r="P821" i="49"/>
  <c r="P878" i="49" s="1"/>
  <c r="P687" i="49"/>
  <c r="H597" i="49"/>
  <c r="S174" i="49"/>
  <c r="J129" i="49"/>
  <c r="M126" i="49"/>
  <c r="D63" i="49"/>
  <c r="F273" i="49"/>
  <c r="I265" i="49"/>
  <c r="Q59" i="49"/>
  <c r="N62" i="49"/>
  <c r="K774" i="49"/>
  <c r="K789" i="49"/>
  <c r="K797" i="49" s="1"/>
  <c r="K13" i="49" s="1"/>
  <c r="J6" i="25" s="1"/>
  <c r="K456" i="49"/>
  <c r="L789" i="49"/>
  <c r="L797" i="49" s="1"/>
  <c r="L13" i="49" s="1"/>
  <c r="K6" i="25" s="1"/>
  <c r="L774" i="49"/>
  <c r="R402" i="49"/>
  <c r="L274" i="49"/>
  <c r="AO807" i="49"/>
  <c r="AO803" i="49"/>
  <c r="AD849" i="49"/>
  <c r="M749" i="49"/>
  <c r="P732" i="49"/>
  <c r="P733" i="49"/>
  <c r="P652" i="49" s="1"/>
  <c r="P815" i="49"/>
  <c r="P872" i="49" s="1"/>
  <c r="H687" i="49"/>
  <c r="G641" i="49"/>
  <c r="R560" i="49"/>
  <c r="N795" i="49"/>
  <c r="Q795" i="49" s="1"/>
  <c r="Q773" i="49"/>
  <c r="I760" i="49"/>
  <c r="B774" i="49"/>
  <c r="J731" i="49"/>
  <c r="M728" i="49"/>
  <c r="P811" i="49"/>
  <c r="P868" i="49" s="1"/>
  <c r="C687" i="49"/>
  <c r="Q728" i="49"/>
  <c r="R612" i="49"/>
  <c r="N596" i="49"/>
  <c r="Q593" i="49"/>
  <c r="G551" i="49"/>
  <c r="J498" i="49"/>
  <c r="M497" i="49"/>
  <c r="G456" i="49"/>
  <c r="N408" i="49"/>
  <c r="Q403" i="49"/>
  <c r="M755" i="49"/>
  <c r="F774" i="49"/>
  <c r="F789" i="49"/>
  <c r="I755" i="49"/>
  <c r="R576" i="49"/>
  <c r="I547" i="49"/>
  <c r="E455" i="49"/>
  <c r="B456" i="49"/>
  <c r="M637" i="49"/>
  <c r="J640" i="49"/>
  <c r="P597" i="49"/>
  <c r="O551" i="49"/>
  <c r="Q455" i="49"/>
  <c r="N456" i="49"/>
  <c r="H409" i="49"/>
  <c r="Q547" i="49"/>
  <c r="N129" i="49"/>
  <c r="Q126" i="49"/>
  <c r="I59" i="49"/>
  <c r="F62" i="49"/>
  <c r="J456" i="49"/>
  <c r="M455" i="49"/>
  <c r="D274" i="49"/>
  <c r="F129" i="49"/>
  <c r="I126" i="49"/>
  <c r="J403" i="49"/>
  <c r="G274" i="49"/>
  <c r="B129" i="49"/>
  <c r="E126" i="49"/>
  <c r="I550" i="49"/>
  <c r="K409" i="49"/>
  <c r="N273" i="49"/>
  <c r="Q265" i="49"/>
  <c r="AD814" i="49"/>
  <c r="AO801" i="49"/>
  <c r="AO810" i="49"/>
  <c r="AO809" i="49"/>
  <c r="F795" i="49"/>
  <c r="I795" i="49" s="1"/>
  <c r="I773" i="49"/>
  <c r="D686" i="49"/>
  <c r="D685" i="49"/>
  <c r="B551" i="49"/>
  <c r="E550" i="49"/>
  <c r="F498" i="49"/>
  <c r="I497" i="49"/>
  <c r="D597" i="49"/>
  <c r="Q452" i="49"/>
  <c r="B408" i="49"/>
  <c r="O498" i="49"/>
  <c r="M452" i="49"/>
  <c r="Q820" i="49"/>
  <c r="Q877" i="49" s="1"/>
  <c r="O734" i="49"/>
  <c r="N684" i="49"/>
  <c r="Q680" i="49"/>
  <c r="C641" i="49"/>
  <c r="P789" i="49"/>
  <c r="P797" i="49" s="1"/>
  <c r="P13" i="49" s="1"/>
  <c r="N6" i="25" s="1"/>
  <c r="P774" i="49"/>
  <c r="B684" i="49"/>
  <c r="E680" i="49"/>
  <c r="R750" i="49"/>
  <c r="J684" i="49"/>
  <c r="M680" i="49"/>
  <c r="Q731" i="49"/>
  <c r="N732" i="49"/>
  <c r="N733" i="49"/>
  <c r="C734" i="49"/>
  <c r="Q811" i="49"/>
  <c r="Q868" i="49" s="1"/>
  <c r="C652" i="49"/>
  <c r="E637" i="49"/>
  <c r="B640" i="49"/>
  <c r="C498" i="49"/>
  <c r="F456" i="49"/>
  <c r="I455" i="49"/>
  <c r="C456" i="49"/>
  <c r="B596" i="49"/>
  <c r="E593" i="49"/>
  <c r="I637" i="49"/>
  <c r="F640" i="49"/>
  <c r="L597" i="49"/>
  <c r="E494" i="49"/>
  <c r="K498" i="49"/>
  <c r="H789" i="49"/>
  <c r="H797" i="49" s="1"/>
  <c r="H13" i="49" s="1"/>
  <c r="H6" i="25" s="1"/>
  <c r="H774" i="49"/>
  <c r="Q494" i="49"/>
  <c r="Q637" i="49"/>
  <c r="N640" i="49"/>
  <c r="G408" i="49"/>
  <c r="I403" i="49"/>
  <c r="G130" i="49"/>
  <c r="B273" i="49"/>
  <c r="E265" i="49"/>
  <c r="O130" i="49"/>
  <c r="M59" i="49"/>
  <c r="J62" i="49"/>
  <c r="P63" i="49"/>
  <c r="R89" i="49"/>
  <c r="D740" i="34"/>
  <c r="R773" i="49" l="1"/>
  <c r="H652" i="49"/>
  <c r="H653" i="49" s="1"/>
  <c r="Q810" i="49"/>
  <c r="Q867" i="49" s="1"/>
  <c r="AR902" i="49" s="1"/>
  <c r="H734" i="49"/>
  <c r="E733" i="49"/>
  <c r="I733" i="49"/>
  <c r="G734" i="49"/>
  <c r="G652" i="49"/>
  <c r="G642" i="49" s="1"/>
  <c r="P846" i="49"/>
  <c r="K642" i="49"/>
  <c r="K598" i="49" s="1"/>
  <c r="R772" i="49"/>
  <c r="AQ874" i="49"/>
  <c r="O817" i="49"/>
  <c r="O874" i="49" s="1"/>
  <c r="AP909" i="49" s="1"/>
  <c r="M550" i="49"/>
  <c r="R550" i="49" s="1"/>
  <c r="O687" i="49"/>
  <c r="P818" i="49"/>
  <c r="P875" i="49" s="1"/>
  <c r="AQ875" i="49" s="1"/>
  <c r="L652" i="49"/>
  <c r="L653" i="49" s="1"/>
  <c r="O653" i="49"/>
  <c r="O820" i="49"/>
  <c r="O877" i="49" s="1"/>
  <c r="AP912" i="49" s="1"/>
  <c r="O642" i="49"/>
  <c r="O598" i="49" s="1"/>
  <c r="P820" i="49"/>
  <c r="P877" i="49" s="1"/>
  <c r="AQ912" i="49" s="1"/>
  <c r="R265" i="49"/>
  <c r="AQ913" i="49"/>
  <c r="AQ878" i="49"/>
  <c r="R764" i="49"/>
  <c r="AR912" i="49"/>
  <c r="AR877" i="49"/>
  <c r="AR909" i="49"/>
  <c r="AR874" i="49"/>
  <c r="AR907" i="49"/>
  <c r="AR872" i="49"/>
  <c r="AR906" i="49"/>
  <c r="AR871" i="49"/>
  <c r="AR903" i="49"/>
  <c r="AR868" i="49"/>
  <c r="AR904" i="49"/>
  <c r="AR869" i="49"/>
  <c r="AQ907" i="49"/>
  <c r="AQ872" i="49"/>
  <c r="AQ906" i="49"/>
  <c r="AQ871" i="49"/>
  <c r="AQ903" i="49"/>
  <c r="AQ868" i="49"/>
  <c r="R793" i="49"/>
  <c r="R497" i="49"/>
  <c r="R791" i="49"/>
  <c r="R452" i="49"/>
  <c r="R760" i="49"/>
  <c r="J797" i="49"/>
  <c r="J13" i="49" s="1"/>
  <c r="AD971" i="49"/>
  <c r="R547" i="49"/>
  <c r="I774" i="49"/>
  <c r="R954" i="49"/>
  <c r="R728" i="49"/>
  <c r="Q774" i="49"/>
  <c r="S950" i="49"/>
  <c r="Q986" i="49"/>
  <c r="E684" i="49"/>
  <c r="B686" i="49"/>
  <c r="B685" i="49"/>
  <c r="E129" i="49"/>
  <c r="B130" i="49"/>
  <c r="N597" i="49"/>
  <c r="Q596" i="49"/>
  <c r="P850" i="49"/>
  <c r="Q846" i="49"/>
  <c r="G409" i="49"/>
  <c r="I408" i="49"/>
  <c r="R494" i="49"/>
  <c r="M789" i="49"/>
  <c r="M797" i="49" s="1"/>
  <c r="Q840" i="49"/>
  <c r="Q849" i="49"/>
  <c r="F130" i="49"/>
  <c r="I129" i="49"/>
  <c r="I62" i="49"/>
  <c r="F63" i="49"/>
  <c r="P840" i="49"/>
  <c r="F274" i="49"/>
  <c r="I273" i="49"/>
  <c r="J130" i="49"/>
  <c r="M129" i="49"/>
  <c r="E62" i="49"/>
  <c r="B63" i="49"/>
  <c r="I684" i="49"/>
  <c r="F686" i="49"/>
  <c r="F685" i="49"/>
  <c r="Q843" i="49"/>
  <c r="O811" i="49"/>
  <c r="O868" i="49" s="1"/>
  <c r="C653" i="49"/>
  <c r="Q844" i="49"/>
  <c r="Q129" i="49"/>
  <c r="N130" i="49"/>
  <c r="J732" i="49"/>
  <c r="M731" i="49"/>
  <c r="R731" i="49" s="1"/>
  <c r="J733" i="49"/>
  <c r="J274" i="49"/>
  <c r="M273" i="49"/>
  <c r="Q818" i="49"/>
  <c r="Q875" i="49" s="1"/>
  <c r="L734" i="49"/>
  <c r="R795" i="49"/>
  <c r="B274" i="49"/>
  <c r="E273" i="49"/>
  <c r="Q640" i="49"/>
  <c r="N641" i="49"/>
  <c r="R593" i="49"/>
  <c r="B641" i="49"/>
  <c r="E640" i="49"/>
  <c r="Q684" i="49"/>
  <c r="N685" i="49"/>
  <c r="N686" i="49"/>
  <c r="B409" i="49"/>
  <c r="P844" i="49"/>
  <c r="Q62" i="49"/>
  <c r="N63" i="49"/>
  <c r="O821" i="49"/>
  <c r="O878" i="49" s="1"/>
  <c r="P653" i="49"/>
  <c r="P642" i="49"/>
  <c r="R59" i="49"/>
  <c r="P843" i="49"/>
  <c r="M596" i="49"/>
  <c r="J597" i="49"/>
  <c r="B797" i="49"/>
  <c r="B13" i="49" s="1"/>
  <c r="C6" i="25" s="1"/>
  <c r="J63" i="49"/>
  <c r="M62" i="49"/>
  <c r="F641" i="49"/>
  <c r="I640" i="49"/>
  <c r="C642" i="49"/>
  <c r="P812" i="49"/>
  <c r="P869" i="49" s="1"/>
  <c r="D652" i="49"/>
  <c r="D687" i="49"/>
  <c r="B597" i="49"/>
  <c r="E596" i="49"/>
  <c r="R637" i="49"/>
  <c r="Q819" i="49"/>
  <c r="Q876" i="49" s="1"/>
  <c r="Q733" i="49"/>
  <c r="N734" i="49"/>
  <c r="J685" i="49"/>
  <c r="M684" i="49"/>
  <c r="J686" i="49"/>
  <c r="R680" i="49"/>
  <c r="Q273" i="49"/>
  <c r="N274" i="49"/>
  <c r="R126" i="49"/>
  <c r="J408" i="49"/>
  <c r="M403" i="49"/>
  <c r="J641" i="49"/>
  <c r="M640" i="49"/>
  <c r="R455" i="49"/>
  <c r="I789" i="49"/>
  <c r="I797" i="49" s="1"/>
  <c r="F797" i="49"/>
  <c r="F13" i="49" s="1"/>
  <c r="N409" i="49"/>
  <c r="Q408" i="49"/>
  <c r="Q821" i="49"/>
  <c r="Q878" i="49" s="1"/>
  <c r="P734" i="49"/>
  <c r="M774" i="49"/>
  <c r="Q789" i="49"/>
  <c r="Q797" i="49" s="1"/>
  <c r="N797" i="49"/>
  <c r="N13" i="49" s="1"/>
  <c r="Q841" i="49"/>
  <c r="F597" i="49"/>
  <c r="I596" i="49"/>
  <c r="Q955" i="34"/>
  <c r="G965" i="34"/>
  <c r="E965" i="34" s="1"/>
  <c r="B938" i="34" s="1"/>
  <c r="B959" i="34"/>
  <c r="B934" i="34"/>
  <c r="B956" i="34"/>
  <c r="G966" i="34"/>
  <c r="E966" i="34" s="1"/>
  <c r="B939" i="34" s="1"/>
  <c r="M966" i="34"/>
  <c r="L966" i="34" s="1"/>
  <c r="M967" i="34"/>
  <c r="L967" i="34" s="1"/>
  <c r="M968" i="34"/>
  <c r="L968" i="34" s="1"/>
  <c r="M969" i="34"/>
  <c r="L969" i="34" s="1"/>
  <c r="M970" i="34"/>
  <c r="L970" i="34" s="1"/>
  <c r="M971" i="34"/>
  <c r="L971" i="34" s="1"/>
  <c r="M972" i="34"/>
  <c r="L972" i="34" s="1"/>
  <c r="M973" i="34"/>
  <c r="L973" i="34" s="1"/>
  <c r="M974" i="34"/>
  <c r="L974" i="34" s="1"/>
  <c r="M975" i="34"/>
  <c r="L975" i="34" s="1"/>
  <c r="M976" i="34"/>
  <c r="L976" i="34" s="1"/>
  <c r="M965" i="34"/>
  <c r="L965" i="34" s="1"/>
  <c r="Q13" i="49" l="1"/>
  <c r="L6" i="25"/>
  <c r="M13" i="49"/>
  <c r="I6" i="25"/>
  <c r="I13" i="49"/>
  <c r="F6" i="25"/>
  <c r="H642" i="49"/>
  <c r="H598" i="49" s="1"/>
  <c r="O815" i="49"/>
  <c r="O872" i="49" s="1"/>
  <c r="AP907" i="49" s="1"/>
  <c r="AR867" i="49"/>
  <c r="Q839" i="49"/>
  <c r="G653" i="49"/>
  <c r="O814" i="49"/>
  <c r="O871" i="49" s="1"/>
  <c r="AP871" i="49" s="1"/>
  <c r="K643" i="49"/>
  <c r="N817" i="49"/>
  <c r="N874" i="49" s="1"/>
  <c r="AO909" i="49" s="1"/>
  <c r="AQ910" i="49"/>
  <c r="O846" i="49"/>
  <c r="AP874" i="49"/>
  <c r="P849" i="49"/>
  <c r="P847" i="49"/>
  <c r="O818" i="49"/>
  <c r="O875" i="49" s="1"/>
  <c r="AP875" i="49" s="1"/>
  <c r="L642" i="49"/>
  <c r="N818" i="49" s="1"/>
  <c r="N875" i="49" s="1"/>
  <c r="N820" i="49"/>
  <c r="N877" i="49" s="1"/>
  <c r="AO912" i="49" s="1"/>
  <c r="O643" i="49"/>
  <c r="O849" i="49"/>
  <c r="AP877" i="49"/>
  <c r="AQ877" i="49"/>
  <c r="AR913" i="49"/>
  <c r="AR878" i="49"/>
  <c r="AP913" i="49"/>
  <c r="AP878" i="49"/>
  <c r="AR911" i="49"/>
  <c r="AR876" i="49"/>
  <c r="AR910" i="49"/>
  <c r="AR875" i="49"/>
  <c r="AQ904" i="49"/>
  <c r="AQ869" i="49"/>
  <c r="AP903" i="49"/>
  <c r="AP868" i="49"/>
  <c r="R640" i="49"/>
  <c r="R62" i="49"/>
  <c r="R955" i="49"/>
  <c r="R948" i="49"/>
  <c r="S948" i="49"/>
  <c r="R958" i="49"/>
  <c r="R129" i="49"/>
  <c r="R951" i="49"/>
  <c r="R952" i="49"/>
  <c r="Q957" i="49"/>
  <c r="S951" i="49"/>
  <c r="S949" i="49"/>
  <c r="S952" i="49"/>
  <c r="S957" i="49"/>
  <c r="R957" i="49"/>
  <c r="S954" i="49"/>
  <c r="Q954" i="49"/>
  <c r="J409" i="49"/>
  <c r="M408" i="49"/>
  <c r="N811" i="49"/>
  <c r="N868" i="49" s="1"/>
  <c r="C643" i="49"/>
  <c r="C598" i="49"/>
  <c r="N821" i="49"/>
  <c r="N878" i="49" s="1"/>
  <c r="P643" i="49"/>
  <c r="P598" i="49"/>
  <c r="N814" i="49"/>
  <c r="N871" i="49" s="1"/>
  <c r="G643" i="49"/>
  <c r="G598" i="49"/>
  <c r="P819" i="49"/>
  <c r="P876" i="49" s="1"/>
  <c r="N687" i="49"/>
  <c r="N652" i="49"/>
  <c r="Q686" i="49"/>
  <c r="Q847" i="49"/>
  <c r="Q816" i="49"/>
  <c r="Q873" i="49" s="1"/>
  <c r="J734" i="49"/>
  <c r="M733" i="49"/>
  <c r="R733" i="49" s="1"/>
  <c r="S947" i="49"/>
  <c r="Q850" i="49"/>
  <c r="R596" i="49"/>
  <c r="O812" i="49"/>
  <c r="O869" i="49" s="1"/>
  <c r="D653" i="49"/>
  <c r="D642" i="49"/>
  <c r="P810" i="49"/>
  <c r="P867" i="49" s="1"/>
  <c r="B687" i="49"/>
  <c r="B652" i="49"/>
  <c r="E686" i="49"/>
  <c r="M820" i="49"/>
  <c r="M877" i="49" s="1"/>
  <c r="O599" i="49"/>
  <c r="O562" i="49"/>
  <c r="Q848" i="49"/>
  <c r="J652" i="49"/>
  <c r="M686" i="49"/>
  <c r="P816" i="49"/>
  <c r="P873" i="49" s="1"/>
  <c r="J687" i="49"/>
  <c r="P841" i="49"/>
  <c r="O850" i="49"/>
  <c r="R273" i="49"/>
  <c r="O840" i="49"/>
  <c r="M817" i="49"/>
  <c r="M874" i="49" s="1"/>
  <c r="K599" i="49"/>
  <c r="K562" i="49"/>
  <c r="P813" i="49"/>
  <c r="P870" i="49" s="1"/>
  <c r="F652" i="49"/>
  <c r="F687" i="49"/>
  <c r="I686" i="49"/>
  <c r="R684" i="49"/>
  <c r="H966" i="34"/>
  <c r="F966" i="34" s="1"/>
  <c r="C939" i="34" s="1"/>
  <c r="G967" i="34"/>
  <c r="E967" i="34" s="1"/>
  <c r="B940" i="34" s="1"/>
  <c r="H967" i="34"/>
  <c r="F967" i="34" s="1"/>
  <c r="C940" i="34" s="1"/>
  <c r="G968" i="34"/>
  <c r="E968" i="34" s="1"/>
  <c r="B941" i="34" s="1"/>
  <c r="H968" i="34"/>
  <c r="F968" i="34" s="1"/>
  <c r="C941" i="34" s="1"/>
  <c r="G969" i="34"/>
  <c r="E969" i="34" s="1"/>
  <c r="B942" i="34" s="1"/>
  <c r="H969" i="34"/>
  <c r="F969" i="34" s="1"/>
  <c r="C942" i="34" s="1"/>
  <c r="G970" i="34"/>
  <c r="E970" i="34" s="1"/>
  <c r="B943" i="34" s="1"/>
  <c r="H970" i="34"/>
  <c r="F970" i="34" s="1"/>
  <c r="C943" i="34" s="1"/>
  <c r="G971" i="34"/>
  <c r="E971" i="34" s="1"/>
  <c r="B944" i="34" s="1"/>
  <c r="H971" i="34"/>
  <c r="F971" i="34" s="1"/>
  <c r="C944" i="34" s="1"/>
  <c r="G972" i="34"/>
  <c r="E972" i="34" s="1"/>
  <c r="B945" i="34" s="1"/>
  <c r="H972" i="34"/>
  <c r="F972" i="34" s="1"/>
  <c r="C945" i="34" s="1"/>
  <c r="G973" i="34"/>
  <c r="E973" i="34" s="1"/>
  <c r="B946" i="34" s="1"/>
  <c r="H973" i="34"/>
  <c r="F973" i="34" s="1"/>
  <c r="C946" i="34" s="1"/>
  <c r="G974" i="34"/>
  <c r="E974" i="34" s="1"/>
  <c r="B947" i="34" s="1"/>
  <c r="H974" i="34"/>
  <c r="F974" i="34" s="1"/>
  <c r="C947" i="34" s="1"/>
  <c r="G975" i="34"/>
  <c r="E975" i="34" s="1"/>
  <c r="B948" i="34" s="1"/>
  <c r="H975" i="34"/>
  <c r="F975" i="34" s="1"/>
  <c r="C948" i="34" s="1"/>
  <c r="G976" i="34"/>
  <c r="E976" i="34" s="1"/>
  <c r="B949" i="34" s="1"/>
  <c r="H976" i="34"/>
  <c r="F976" i="34" s="1"/>
  <c r="C949" i="34" s="1"/>
  <c r="H965" i="34"/>
  <c r="Q930" i="34"/>
  <c r="B931" i="34"/>
  <c r="B848" i="34"/>
  <c r="B822" i="34"/>
  <c r="B793" i="34"/>
  <c r="H10" i="34"/>
  <c r="C10" i="34"/>
  <c r="J10" i="34"/>
  <c r="K10" i="34"/>
  <c r="B10" i="34"/>
  <c r="D10" i="34"/>
  <c r="O10" i="34"/>
  <c r="L10" i="34"/>
  <c r="G10" i="34"/>
  <c r="N10" i="34"/>
  <c r="P10" i="34"/>
  <c r="F10" i="34"/>
  <c r="H643" i="49" l="1"/>
  <c r="N815" i="49"/>
  <c r="N872" i="49" s="1"/>
  <c r="AO872" i="49" s="1"/>
  <c r="AP872" i="49"/>
  <c r="O844" i="49"/>
  <c r="AR954" i="49"/>
  <c r="AP906" i="49"/>
  <c r="O843" i="49"/>
  <c r="F965" i="34"/>
  <c r="C938" i="34" s="1"/>
  <c r="I965" i="34"/>
  <c r="N846" i="49"/>
  <c r="AO874" i="49"/>
  <c r="L643" i="49"/>
  <c r="O847" i="49"/>
  <c r="AP910" i="49"/>
  <c r="L598" i="49"/>
  <c r="M818" i="49" s="1"/>
  <c r="M875" i="49" s="1"/>
  <c r="AO877" i="49"/>
  <c r="N849" i="49"/>
  <c r="AQ908" i="49"/>
  <c r="AQ873" i="49"/>
  <c r="AR908" i="49"/>
  <c r="AR915" i="49" s="1"/>
  <c r="AR873" i="49"/>
  <c r="AQ911" i="49"/>
  <c r="AQ876" i="49"/>
  <c r="AQ905" i="49"/>
  <c r="AQ870" i="49"/>
  <c r="AP904" i="49"/>
  <c r="AP869" i="49"/>
  <c r="AQ902" i="49"/>
  <c r="AQ867" i="49"/>
  <c r="AO913" i="49"/>
  <c r="AO878" i="49"/>
  <c r="AO910" i="49"/>
  <c r="AO875" i="49"/>
  <c r="AO906" i="49"/>
  <c r="AO871" i="49"/>
  <c r="AO903" i="49"/>
  <c r="AO868" i="49"/>
  <c r="AN912" i="49"/>
  <c r="AN877" i="49"/>
  <c r="AN909" i="49"/>
  <c r="AN874" i="49"/>
  <c r="AR963" i="49"/>
  <c r="AR953" i="49"/>
  <c r="AR960" i="49"/>
  <c r="AR959" i="49"/>
  <c r="AR955" i="49"/>
  <c r="AR958" i="49"/>
  <c r="AR965" i="49"/>
  <c r="AR970" i="49"/>
  <c r="AR952" i="49"/>
  <c r="AR967" i="49"/>
  <c r="AR961" i="49"/>
  <c r="AR968" i="49"/>
  <c r="AR969" i="49"/>
  <c r="AR949" i="49"/>
  <c r="AR966" i="49"/>
  <c r="AR950" i="49"/>
  <c r="AR951" i="49"/>
  <c r="AR957" i="49"/>
  <c r="AR947" i="49"/>
  <c r="AR964" i="49"/>
  <c r="AR956" i="49"/>
  <c r="AR948" i="49"/>
  <c r="AR962" i="49"/>
  <c r="P954" i="49"/>
  <c r="R949" i="49"/>
  <c r="Q952" i="49"/>
  <c r="S958" i="49"/>
  <c r="Q948" i="49"/>
  <c r="Q955" i="49"/>
  <c r="S956" i="49"/>
  <c r="R686" i="49"/>
  <c r="Q951" i="49"/>
  <c r="P957" i="49"/>
  <c r="S955" i="49"/>
  <c r="Q958" i="49"/>
  <c r="P845" i="49"/>
  <c r="F653" i="49"/>
  <c r="O813" i="49"/>
  <c r="O870" i="49" s="1"/>
  <c r="I652" i="49"/>
  <c r="F642" i="49"/>
  <c r="P842" i="49"/>
  <c r="L817" i="49"/>
  <c r="L874" i="49" s="1"/>
  <c r="K563" i="49"/>
  <c r="K552" i="49"/>
  <c r="M849" i="49"/>
  <c r="P839" i="49"/>
  <c r="P823" i="49"/>
  <c r="O841" i="49"/>
  <c r="P848" i="49"/>
  <c r="N850" i="49"/>
  <c r="M811" i="49"/>
  <c r="M868" i="49" s="1"/>
  <c r="C599" i="49"/>
  <c r="C562" i="49"/>
  <c r="M846" i="49"/>
  <c r="L820" i="49"/>
  <c r="L877" i="49" s="1"/>
  <c r="O563" i="49"/>
  <c r="O552" i="49"/>
  <c r="O810" i="49"/>
  <c r="O867" i="49" s="1"/>
  <c r="B653" i="49"/>
  <c r="E652" i="49"/>
  <c r="B642" i="49"/>
  <c r="N812" i="49"/>
  <c r="N869" i="49" s="1"/>
  <c r="D643" i="49"/>
  <c r="D598" i="49"/>
  <c r="Q845" i="49"/>
  <c r="Q823" i="49"/>
  <c r="O819" i="49"/>
  <c r="O876" i="49" s="1"/>
  <c r="Q652" i="49"/>
  <c r="N653" i="49"/>
  <c r="N642" i="49"/>
  <c r="M821" i="49"/>
  <c r="M878" i="49" s="1"/>
  <c r="P599" i="49"/>
  <c r="P562" i="49"/>
  <c r="N843" i="49"/>
  <c r="N847" i="49"/>
  <c r="O816" i="49"/>
  <c r="O873" i="49" s="1"/>
  <c r="J653" i="49"/>
  <c r="M652" i="49"/>
  <c r="J642" i="49"/>
  <c r="M815" i="49"/>
  <c r="M872" i="49" s="1"/>
  <c r="H599" i="49"/>
  <c r="H562" i="49"/>
  <c r="M814" i="49"/>
  <c r="M871" i="49" s="1"/>
  <c r="G599" i="49"/>
  <c r="G562" i="49"/>
  <c r="N840" i="49"/>
  <c r="I966" i="34"/>
  <c r="I973" i="34"/>
  <c r="I970" i="34"/>
  <c r="I974" i="34"/>
  <c r="I972" i="34"/>
  <c r="I968" i="34"/>
  <c r="I976" i="34"/>
  <c r="I969" i="34"/>
  <c r="I967" i="34"/>
  <c r="I975" i="34"/>
  <c r="I971" i="34"/>
  <c r="J975" i="34"/>
  <c r="J974" i="34"/>
  <c r="J968" i="34"/>
  <c r="J973" i="34"/>
  <c r="J965" i="34"/>
  <c r="J966" i="34"/>
  <c r="J967" i="34"/>
  <c r="J972" i="34"/>
  <c r="J971" i="34"/>
  <c r="J976" i="34"/>
  <c r="J970" i="34"/>
  <c r="J969" i="34"/>
  <c r="B965" i="34" l="1"/>
  <c r="N965" i="34" s="1"/>
  <c r="B976" i="34"/>
  <c r="N976" i="34" s="1"/>
  <c r="B973" i="34"/>
  <c r="N973" i="34" s="1"/>
  <c r="B967" i="34"/>
  <c r="N967" i="34" s="1"/>
  <c r="B974" i="34"/>
  <c r="N974" i="34" s="1"/>
  <c r="B968" i="34"/>
  <c r="N968" i="34" s="1"/>
  <c r="B966" i="34"/>
  <c r="N966" i="34" s="1"/>
  <c r="B969" i="34"/>
  <c r="N969" i="34" s="1"/>
  <c r="B975" i="34"/>
  <c r="N975" i="34" s="1"/>
  <c r="B970" i="34"/>
  <c r="N970" i="34" s="1"/>
  <c r="B971" i="34"/>
  <c r="N971" i="34" s="1"/>
  <c r="B972" i="34"/>
  <c r="N972" i="34" s="1"/>
  <c r="AO907" i="49"/>
  <c r="N844" i="49"/>
  <c r="L562" i="49"/>
  <c r="L818" i="49" s="1"/>
  <c r="L875" i="49" s="1"/>
  <c r="L599" i="49"/>
  <c r="AP908" i="49"/>
  <c r="AP873" i="49"/>
  <c r="AP911" i="49"/>
  <c r="AP876" i="49"/>
  <c r="AQ915" i="49"/>
  <c r="AP905" i="49"/>
  <c r="AP870" i="49"/>
  <c r="AP902" i="49"/>
  <c r="AP867" i="49"/>
  <c r="AN903" i="49"/>
  <c r="AN868" i="49"/>
  <c r="AO904" i="49"/>
  <c r="AO869" i="49"/>
  <c r="AN913" i="49"/>
  <c r="AN878" i="49"/>
  <c r="AM912" i="49"/>
  <c r="AM877" i="49"/>
  <c r="AM909" i="49"/>
  <c r="AM874" i="49"/>
  <c r="AN910" i="49"/>
  <c r="AN875" i="49"/>
  <c r="AN907" i="49"/>
  <c r="AN872" i="49"/>
  <c r="AN906" i="49"/>
  <c r="AN871" i="49"/>
  <c r="AR971" i="49"/>
  <c r="AR880" i="49"/>
  <c r="P951" i="49"/>
  <c r="O954" i="49"/>
  <c r="Q949" i="49"/>
  <c r="R953" i="49"/>
  <c r="R652" i="49"/>
  <c r="O957" i="49"/>
  <c r="P948" i="49"/>
  <c r="P955" i="49"/>
  <c r="P952" i="49"/>
  <c r="R956" i="49"/>
  <c r="R950" i="49"/>
  <c r="P958" i="49"/>
  <c r="M812" i="49"/>
  <c r="M869" i="49" s="1"/>
  <c r="D599" i="49"/>
  <c r="D562" i="49"/>
  <c r="L811" i="49"/>
  <c r="L868" i="49" s="1"/>
  <c r="C563" i="49"/>
  <c r="C552" i="49"/>
  <c r="L815" i="49"/>
  <c r="L872" i="49" s="1"/>
  <c r="H563" i="49"/>
  <c r="H552" i="49"/>
  <c r="Q642" i="49"/>
  <c r="N643" i="49"/>
  <c r="N819" i="49"/>
  <c r="N876" i="49" s="1"/>
  <c r="N598" i="49"/>
  <c r="L849" i="49"/>
  <c r="M847" i="49"/>
  <c r="K817" i="49"/>
  <c r="K874" i="49" s="1"/>
  <c r="K553" i="49"/>
  <c r="K499" i="49"/>
  <c r="N816" i="49"/>
  <c r="N873" i="49" s="1"/>
  <c r="J643" i="49"/>
  <c r="M642" i="49"/>
  <c r="J598" i="49"/>
  <c r="M850" i="49"/>
  <c r="O848" i="49"/>
  <c r="L814" i="49"/>
  <c r="L871" i="49" s="1"/>
  <c r="G563" i="49"/>
  <c r="G552" i="49"/>
  <c r="L821" i="49"/>
  <c r="L878" i="49" s="1"/>
  <c r="P563" i="49"/>
  <c r="P552" i="49"/>
  <c r="N841" i="49"/>
  <c r="O839" i="49"/>
  <c r="O823" i="49"/>
  <c r="M840" i="49"/>
  <c r="R947" i="49"/>
  <c r="P880" i="49"/>
  <c r="N813" i="49"/>
  <c r="N870" i="49" s="1"/>
  <c r="F643" i="49"/>
  <c r="I642" i="49"/>
  <c r="F598" i="49"/>
  <c r="M843" i="49"/>
  <c r="O842" i="49"/>
  <c r="M844" i="49"/>
  <c r="O845" i="49"/>
  <c r="S953" i="49"/>
  <c r="Q880" i="49"/>
  <c r="N810" i="49"/>
  <c r="N867" i="49" s="1"/>
  <c r="E642" i="49"/>
  <c r="B643" i="49"/>
  <c r="B598" i="49"/>
  <c r="K820" i="49"/>
  <c r="K877" i="49" s="1"/>
  <c r="O553" i="49"/>
  <c r="O499" i="49"/>
  <c r="L846" i="49"/>
  <c r="L552" i="49" l="1"/>
  <c r="K818" i="49" s="1"/>
  <c r="K875" i="49" s="1"/>
  <c r="L563" i="49"/>
  <c r="AP915" i="49"/>
  <c r="AO911" i="49"/>
  <c r="AO876" i="49"/>
  <c r="R642" i="49"/>
  <c r="AO908" i="49"/>
  <c r="AO873" i="49"/>
  <c r="AO905" i="49"/>
  <c r="AO870" i="49"/>
  <c r="AO902" i="49"/>
  <c r="AO867" i="49"/>
  <c r="AM903" i="49"/>
  <c r="AM868" i="49"/>
  <c r="AM913" i="49"/>
  <c r="AM878" i="49"/>
  <c r="AM910" i="49"/>
  <c r="AM875" i="49"/>
  <c r="AM906" i="49"/>
  <c r="AM871" i="49"/>
  <c r="AM907" i="49"/>
  <c r="AM872" i="49"/>
  <c r="AN904" i="49"/>
  <c r="AN869" i="49"/>
  <c r="AL912" i="49"/>
  <c r="AL877" i="49"/>
  <c r="AL909" i="49"/>
  <c r="AL874" i="49"/>
  <c r="AQ880" i="49"/>
  <c r="P949" i="49"/>
  <c r="Q956" i="49"/>
  <c r="Q953" i="49"/>
  <c r="O952" i="49"/>
  <c r="O951" i="49"/>
  <c r="O948" i="49"/>
  <c r="O955" i="49"/>
  <c r="AQ948" i="49"/>
  <c r="AQ950" i="49"/>
  <c r="AQ952" i="49"/>
  <c r="AQ954" i="49"/>
  <c r="AQ956" i="49"/>
  <c r="AQ958" i="49"/>
  <c r="AQ960" i="49"/>
  <c r="AQ962" i="49"/>
  <c r="AQ964" i="49"/>
  <c r="AQ966" i="49"/>
  <c r="AQ968" i="49"/>
  <c r="AQ970" i="49"/>
  <c r="AQ949" i="49"/>
  <c r="AQ953" i="49"/>
  <c r="AQ957" i="49"/>
  <c r="AQ961" i="49"/>
  <c r="AQ965" i="49"/>
  <c r="AQ969" i="49"/>
  <c r="AQ951" i="49"/>
  <c r="AQ959" i="49"/>
  <c r="AQ967" i="49"/>
  <c r="AQ947" i="49"/>
  <c r="AQ955" i="49"/>
  <c r="AQ963" i="49"/>
  <c r="Q950" i="49"/>
  <c r="AP880" i="49"/>
  <c r="O958" i="49"/>
  <c r="D563" i="49"/>
  <c r="L812" i="49"/>
  <c r="L869" i="49" s="1"/>
  <c r="D552" i="49"/>
  <c r="K849" i="49"/>
  <c r="L847" i="49"/>
  <c r="N954" i="49"/>
  <c r="AW838" i="49"/>
  <c r="J820" i="49"/>
  <c r="J877" i="49" s="1"/>
  <c r="O500" i="49"/>
  <c r="O457" i="49"/>
  <c r="N842" i="49"/>
  <c r="L850" i="49"/>
  <c r="M816" i="49"/>
  <c r="M873" i="49" s="1"/>
  <c r="J599" i="49"/>
  <c r="M598" i="49"/>
  <c r="J562" i="49"/>
  <c r="J817" i="49"/>
  <c r="J874" i="49" s="1"/>
  <c r="K500" i="49"/>
  <c r="K457" i="49"/>
  <c r="N848" i="49"/>
  <c r="L840" i="49"/>
  <c r="M813" i="49"/>
  <c r="M870" i="49" s="1"/>
  <c r="I598" i="49"/>
  <c r="F599" i="49"/>
  <c r="F562" i="49"/>
  <c r="N839" i="49"/>
  <c r="N823" i="49"/>
  <c r="K821" i="49"/>
  <c r="K878" i="49" s="1"/>
  <c r="P553" i="49"/>
  <c r="P499" i="49"/>
  <c r="K846" i="49"/>
  <c r="N957" i="49"/>
  <c r="AW841" i="49"/>
  <c r="K811" i="49"/>
  <c r="K868" i="49" s="1"/>
  <c r="C553" i="49"/>
  <c r="C499" i="49"/>
  <c r="K814" i="49"/>
  <c r="K871" i="49" s="1"/>
  <c r="G553" i="49"/>
  <c r="G499" i="49"/>
  <c r="L844" i="49"/>
  <c r="M810" i="49"/>
  <c r="M867" i="49" s="1"/>
  <c r="B599" i="49"/>
  <c r="E598" i="49"/>
  <c r="B562" i="49"/>
  <c r="Q947" i="49"/>
  <c r="O880" i="49"/>
  <c r="L843" i="49"/>
  <c r="N845" i="49"/>
  <c r="M819" i="49"/>
  <c r="M876" i="49" s="1"/>
  <c r="N562" i="49"/>
  <c r="N599" i="49"/>
  <c r="Q598" i="49"/>
  <c r="K815" i="49"/>
  <c r="K872" i="49" s="1"/>
  <c r="H553" i="49"/>
  <c r="H499" i="49"/>
  <c r="M841" i="49"/>
  <c r="N977" i="34"/>
  <c r="H886" i="34"/>
  <c r="L499" i="49" l="1"/>
  <c r="L457" i="49" s="1"/>
  <c r="L553" i="49"/>
  <c r="AO915" i="49"/>
  <c r="AN902" i="49"/>
  <c r="AN867" i="49"/>
  <c r="AN911" i="49"/>
  <c r="AN876" i="49"/>
  <c r="AN908" i="49"/>
  <c r="AN873" i="49"/>
  <c r="AN905" i="49"/>
  <c r="AN870" i="49"/>
  <c r="AM904" i="49"/>
  <c r="AM869" i="49"/>
  <c r="AL913" i="49"/>
  <c r="AL878" i="49"/>
  <c r="AL910" i="49"/>
  <c r="AL875" i="49"/>
  <c r="AL907" i="49"/>
  <c r="AL872" i="49"/>
  <c r="AL906" i="49"/>
  <c r="AL871" i="49"/>
  <c r="AL903" i="49"/>
  <c r="AL868" i="49"/>
  <c r="AK912" i="49"/>
  <c r="AK877" i="49"/>
  <c r="AK909" i="49"/>
  <c r="AK874" i="49"/>
  <c r="AQ971" i="49"/>
  <c r="P953" i="49"/>
  <c r="P956" i="49"/>
  <c r="P950" i="49"/>
  <c r="AO880" i="49"/>
  <c r="M957" i="49"/>
  <c r="AP947" i="49"/>
  <c r="AP949" i="49"/>
  <c r="AP951" i="49"/>
  <c r="AP953" i="49"/>
  <c r="AP955" i="49"/>
  <c r="AP957" i="49"/>
  <c r="AP959" i="49"/>
  <c r="AP961" i="49"/>
  <c r="AP963" i="49"/>
  <c r="AP965" i="49"/>
  <c r="AP967" i="49"/>
  <c r="AP969" i="49"/>
  <c r="AP954" i="49"/>
  <c r="AP962" i="49"/>
  <c r="AP966" i="49"/>
  <c r="AP948" i="49"/>
  <c r="AP952" i="49"/>
  <c r="AP956" i="49"/>
  <c r="AP960" i="49"/>
  <c r="AP964" i="49"/>
  <c r="AP968" i="49"/>
  <c r="AP950" i="49"/>
  <c r="AP958" i="49"/>
  <c r="AP970" i="49"/>
  <c r="O949" i="49"/>
  <c r="M954" i="49"/>
  <c r="L810" i="49"/>
  <c r="L867" i="49" s="1"/>
  <c r="E562" i="49"/>
  <c r="B563" i="49"/>
  <c r="B552" i="49"/>
  <c r="K843" i="49"/>
  <c r="M842" i="49"/>
  <c r="K844" i="49"/>
  <c r="M848" i="49"/>
  <c r="N951" i="49"/>
  <c r="AW835" i="49"/>
  <c r="R598" i="49"/>
  <c r="N952" i="49"/>
  <c r="AW836" i="49"/>
  <c r="J818" i="49"/>
  <c r="J875" i="49" s="1"/>
  <c r="K850" i="49"/>
  <c r="L813" i="49"/>
  <c r="L870" i="49" s="1"/>
  <c r="I562" i="49"/>
  <c r="F563" i="49"/>
  <c r="F552" i="49"/>
  <c r="I817" i="49"/>
  <c r="I874" i="49" s="1"/>
  <c r="K458" i="49"/>
  <c r="K417" i="49"/>
  <c r="K416" i="49" s="1"/>
  <c r="K415" i="49" s="1"/>
  <c r="K414" i="49" s="1"/>
  <c r="K413" i="49" s="1"/>
  <c r="K412" i="49" s="1"/>
  <c r="K410" i="49"/>
  <c r="N958" i="49"/>
  <c r="AW842" i="49"/>
  <c r="K812" i="49"/>
  <c r="K869" i="49" s="1"/>
  <c r="D553" i="49"/>
  <c r="D499" i="49"/>
  <c r="J811" i="49"/>
  <c r="J868" i="49" s="1"/>
  <c r="C500" i="49"/>
  <c r="C457" i="49"/>
  <c r="P947" i="49"/>
  <c r="N880" i="49"/>
  <c r="L816" i="49"/>
  <c r="L873" i="49" s="1"/>
  <c r="J563" i="49"/>
  <c r="M562" i="49"/>
  <c r="J552" i="49"/>
  <c r="I820" i="49"/>
  <c r="I877" i="49" s="1"/>
  <c r="O458" i="49"/>
  <c r="O417" i="49"/>
  <c r="O416" i="49" s="1"/>
  <c r="O415" i="49" s="1"/>
  <c r="O414" i="49" s="1"/>
  <c r="O413" i="49" s="1"/>
  <c r="O412" i="49" s="1"/>
  <c r="O410" i="49"/>
  <c r="G500" i="49"/>
  <c r="J814" i="49"/>
  <c r="J871" i="49" s="1"/>
  <c r="G457" i="49"/>
  <c r="K840" i="49"/>
  <c r="N948" i="49"/>
  <c r="AW832" i="49"/>
  <c r="J849" i="49"/>
  <c r="N955" i="49"/>
  <c r="AW839" i="49"/>
  <c r="L841" i="49"/>
  <c r="L819" i="49"/>
  <c r="L876" i="49" s="1"/>
  <c r="N563" i="49"/>
  <c r="Q562" i="49"/>
  <c r="N552" i="49"/>
  <c r="J815" i="49"/>
  <c r="J872" i="49" s="1"/>
  <c r="H500" i="49"/>
  <c r="H457" i="49"/>
  <c r="M839" i="49"/>
  <c r="M823" i="49"/>
  <c r="K847" i="49"/>
  <c r="J821" i="49"/>
  <c r="J878" i="49" s="1"/>
  <c r="P500" i="49"/>
  <c r="P457" i="49"/>
  <c r="J846" i="49"/>
  <c r="M845" i="49"/>
  <c r="C261" i="34"/>
  <c r="B27" i="34"/>
  <c r="C754" i="34"/>
  <c r="P749" i="34"/>
  <c r="C749" i="34"/>
  <c r="B749" i="34"/>
  <c r="B741" i="34"/>
  <c r="L500" i="49" l="1"/>
  <c r="AM902" i="49"/>
  <c r="AM867" i="49"/>
  <c r="AM911" i="49"/>
  <c r="AM876" i="49"/>
  <c r="AN915" i="49"/>
  <c r="AM908" i="49"/>
  <c r="AM873" i="49"/>
  <c r="AM905" i="49"/>
  <c r="AM870" i="49"/>
  <c r="AL904" i="49"/>
  <c r="AL869" i="49"/>
  <c r="AK913" i="49"/>
  <c r="AK878" i="49"/>
  <c r="AK903" i="49"/>
  <c r="AK868" i="49"/>
  <c r="AK910" i="49"/>
  <c r="AK875" i="49"/>
  <c r="AK907" i="49"/>
  <c r="AK872" i="49"/>
  <c r="AK906" i="49"/>
  <c r="AK871" i="49"/>
  <c r="AJ912" i="49"/>
  <c r="AJ877" i="49"/>
  <c r="AJ909" i="49"/>
  <c r="AJ874" i="49"/>
  <c r="O956" i="49"/>
  <c r="O950" i="49"/>
  <c r="O953" i="49"/>
  <c r="L954" i="49"/>
  <c r="M958" i="49"/>
  <c r="M952" i="49"/>
  <c r="M951" i="49"/>
  <c r="AP971" i="49"/>
  <c r="AO949" i="49"/>
  <c r="AO951" i="49"/>
  <c r="AO953" i="49"/>
  <c r="AO955" i="49"/>
  <c r="AO957" i="49"/>
  <c r="AO959" i="49"/>
  <c r="AO961" i="49"/>
  <c r="AO963" i="49"/>
  <c r="AO965" i="49"/>
  <c r="AO967" i="49"/>
  <c r="AO969" i="49"/>
  <c r="AO947" i="49"/>
  <c r="AO948" i="49"/>
  <c r="AO952" i="49"/>
  <c r="AO956" i="49"/>
  <c r="AO960" i="49"/>
  <c r="AO964" i="49"/>
  <c r="AO968" i="49"/>
  <c r="AO950" i="49"/>
  <c r="AO958" i="49"/>
  <c r="AO966" i="49"/>
  <c r="AO954" i="49"/>
  <c r="AO962" i="49"/>
  <c r="AO970" i="49"/>
  <c r="M955" i="49"/>
  <c r="L957" i="49"/>
  <c r="M948" i="49"/>
  <c r="J812" i="49"/>
  <c r="J869" i="49" s="1"/>
  <c r="D500" i="49"/>
  <c r="D457" i="49"/>
  <c r="I846" i="49"/>
  <c r="L842" i="49"/>
  <c r="O947" i="49"/>
  <c r="M880" i="49"/>
  <c r="K819" i="49"/>
  <c r="K876" i="49" s="1"/>
  <c r="N553" i="49"/>
  <c r="Q552" i="49"/>
  <c r="N499" i="49"/>
  <c r="I849" i="49"/>
  <c r="L845" i="49"/>
  <c r="K841" i="49"/>
  <c r="P458" i="49"/>
  <c r="I821" i="49"/>
  <c r="I878" i="49" s="1"/>
  <c r="P417" i="49"/>
  <c r="P416" i="49" s="1"/>
  <c r="P415" i="49" s="1"/>
  <c r="P414" i="49" s="1"/>
  <c r="P413" i="49" s="1"/>
  <c r="P412" i="49" s="1"/>
  <c r="P410" i="49"/>
  <c r="I815" i="49"/>
  <c r="I872" i="49" s="1"/>
  <c r="H458" i="49"/>
  <c r="H417" i="49"/>
  <c r="H416" i="49" s="1"/>
  <c r="H415" i="49" s="1"/>
  <c r="H414" i="49" s="1"/>
  <c r="H413" i="49" s="1"/>
  <c r="H412" i="49" s="1"/>
  <c r="H410" i="49"/>
  <c r="N949" i="49"/>
  <c r="AW833" i="49"/>
  <c r="H820" i="49"/>
  <c r="H877" i="49" s="1"/>
  <c r="O411" i="49"/>
  <c r="O275" i="49"/>
  <c r="O277" i="49" s="1"/>
  <c r="K816" i="49"/>
  <c r="K873" i="49" s="1"/>
  <c r="M552" i="49"/>
  <c r="J553" i="49"/>
  <c r="J499" i="49"/>
  <c r="J840" i="49"/>
  <c r="I818" i="49"/>
  <c r="I875" i="49" s="1"/>
  <c r="L417" i="49"/>
  <c r="L416" i="49" s="1"/>
  <c r="L415" i="49" s="1"/>
  <c r="L414" i="49" s="1"/>
  <c r="L413" i="49" s="1"/>
  <c r="L412" i="49" s="1"/>
  <c r="L458" i="49"/>
  <c r="L410" i="49"/>
  <c r="K810" i="49"/>
  <c r="K867" i="49" s="1"/>
  <c r="B553" i="49"/>
  <c r="E552" i="49"/>
  <c r="B499" i="49"/>
  <c r="I814" i="49"/>
  <c r="I871" i="49" s="1"/>
  <c r="G458" i="49"/>
  <c r="G417" i="49"/>
  <c r="G416" i="49" s="1"/>
  <c r="G415" i="49" s="1"/>
  <c r="G414" i="49" s="1"/>
  <c r="G413" i="49" s="1"/>
  <c r="G412" i="49" s="1"/>
  <c r="G410" i="49"/>
  <c r="J850" i="49"/>
  <c r="J844" i="49"/>
  <c r="L848" i="49"/>
  <c r="J843" i="49"/>
  <c r="I811" i="49"/>
  <c r="I868" i="49" s="1"/>
  <c r="C458" i="49"/>
  <c r="C417" i="49"/>
  <c r="C416" i="49" s="1"/>
  <c r="C415" i="49" s="1"/>
  <c r="C414" i="49" s="1"/>
  <c r="C413" i="49" s="1"/>
  <c r="C412" i="49" s="1"/>
  <c r="C410" i="49"/>
  <c r="H817" i="49"/>
  <c r="H874" i="49" s="1"/>
  <c r="K411" i="49"/>
  <c r="K275" i="49"/>
  <c r="K277" i="49" s="1"/>
  <c r="F553" i="49"/>
  <c r="K813" i="49"/>
  <c r="K870" i="49" s="1"/>
  <c r="I552" i="49"/>
  <c r="F499" i="49"/>
  <c r="J847" i="49"/>
  <c r="R562" i="49"/>
  <c r="L823" i="49"/>
  <c r="L839" i="49"/>
  <c r="AM915" i="49" l="1"/>
  <c r="AL911" i="49"/>
  <c r="AL876" i="49"/>
  <c r="AL908" i="49"/>
  <c r="AL873" i="49"/>
  <c r="AL905" i="49"/>
  <c r="AL870" i="49"/>
  <c r="AL902" i="49"/>
  <c r="AL867" i="49"/>
  <c r="AK904" i="49"/>
  <c r="AK869" i="49"/>
  <c r="AJ913" i="49"/>
  <c r="AJ878" i="49"/>
  <c r="AJ910" i="49"/>
  <c r="AJ875" i="49"/>
  <c r="AJ903" i="49"/>
  <c r="AJ868" i="49"/>
  <c r="AJ906" i="49"/>
  <c r="AJ871" i="49"/>
  <c r="AJ907" i="49"/>
  <c r="AJ872" i="49"/>
  <c r="AI912" i="49"/>
  <c r="AI877" i="49"/>
  <c r="AI909" i="49"/>
  <c r="AI874" i="49"/>
  <c r="AN880" i="49"/>
  <c r="AM880" i="49"/>
  <c r="L951" i="49"/>
  <c r="L952" i="49"/>
  <c r="L955" i="49"/>
  <c r="M949" i="49"/>
  <c r="K957" i="49"/>
  <c r="AO971" i="49"/>
  <c r="L948" i="49"/>
  <c r="AN948" i="49"/>
  <c r="AN950" i="49"/>
  <c r="AN952" i="49"/>
  <c r="AN954" i="49"/>
  <c r="AN956" i="49"/>
  <c r="AN958" i="49"/>
  <c r="AN960" i="49"/>
  <c r="AN962" i="49"/>
  <c r="AN964" i="49"/>
  <c r="AN966" i="49"/>
  <c r="AN968" i="49"/>
  <c r="AN970" i="49"/>
  <c r="AN947" i="49"/>
  <c r="AN953" i="49"/>
  <c r="AN961" i="49"/>
  <c r="AN965" i="49"/>
  <c r="AN951" i="49"/>
  <c r="AN955" i="49"/>
  <c r="AN959" i="49"/>
  <c r="AN963" i="49"/>
  <c r="AN967" i="49"/>
  <c r="AN949" i="49"/>
  <c r="AN957" i="49"/>
  <c r="AN969" i="49"/>
  <c r="K954" i="49"/>
  <c r="L958" i="49"/>
  <c r="I840" i="49"/>
  <c r="J816" i="49"/>
  <c r="J873" i="49" s="1"/>
  <c r="J500" i="49"/>
  <c r="M499" i="49"/>
  <c r="J457" i="49"/>
  <c r="E820" i="49"/>
  <c r="O276" i="49"/>
  <c r="O131" i="49"/>
  <c r="I844" i="49"/>
  <c r="N953" i="49"/>
  <c r="AW837" i="49"/>
  <c r="K848" i="49"/>
  <c r="N950" i="49"/>
  <c r="AW834" i="49"/>
  <c r="K842" i="49"/>
  <c r="H846" i="49"/>
  <c r="N956" i="49"/>
  <c r="AW840" i="49"/>
  <c r="I843" i="49"/>
  <c r="K839" i="49"/>
  <c r="K823" i="49"/>
  <c r="I847" i="49"/>
  <c r="H815" i="49"/>
  <c r="H872" i="49" s="1"/>
  <c r="H411" i="49"/>
  <c r="H275" i="49"/>
  <c r="H277" i="49" s="1"/>
  <c r="H821" i="49"/>
  <c r="H878" i="49" s="1"/>
  <c r="P411" i="49"/>
  <c r="P275" i="49"/>
  <c r="P277" i="49" s="1"/>
  <c r="I812" i="49"/>
  <c r="I869" i="49" s="1"/>
  <c r="D458" i="49"/>
  <c r="D417" i="49"/>
  <c r="D416" i="49" s="1"/>
  <c r="D415" i="49" s="1"/>
  <c r="D414" i="49" s="1"/>
  <c r="D413" i="49" s="1"/>
  <c r="D412" i="49" s="1"/>
  <c r="H811" i="49"/>
  <c r="H868" i="49" s="1"/>
  <c r="C411" i="49"/>
  <c r="C275" i="49"/>
  <c r="C277" i="49" s="1"/>
  <c r="H814" i="49"/>
  <c r="H871" i="49" s="1"/>
  <c r="G411" i="49"/>
  <c r="G275" i="49"/>
  <c r="G277" i="49" s="1"/>
  <c r="J810" i="49"/>
  <c r="J867" i="49" s="1"/>
  <c r="E499" i="49"/>
  <c r="B500" i="49"/>
  <c r="B457" i="49"/>
  <c r="H818" i="49"/>
  <c r="H875" i="49" s="1"/>
  <c r="L411" i="49"/>
  <c r="L275" i="49"/>
  <c r="L277" i="49" s="1"/>
  <c r="H849" i="49"/>
  <c r="N947" i="49"/>
  <c r="L880" i="49"/>
  <c r="AW831" i="49"/>
  <c r="J813" i="49"/>
  <c r="J870" i="49" s="1"/>
  <c r="I499" i="49"/>
  <c r="F500" i="49"/>
  <c r="F457" i="49"/>
  <c r="E817" i="49"/>
  <c r="K276" i="49"/>
  <c r="K131" i="49"/>
  <c r="R552" i="49"/>
  <c r="K845" i="49"/>
  <c r="I850" i="49"/>
  <c r="J819" i="49"/>
  <c r="J876" i="49" s="1"/>
  <c r="Q499" i="49"/>
  <c r="N500" i="49"/>
  <c r="N457" i="49"/>
  <c r="J841" i="49"/>
  <c r="AL915" i="49" l="1"/>
  <c r="AK902" i="49"/>
  <c r="AK867" i="49"/>
  <c r="AK911" i="49"/>
  <c r="AK876" i="49"/>
  <c r="AK908" i="49"/>
  <c r="AK873" i="49"/>
  <c r="AK905" i="49"/>
  <c r="AK870" i="49"/>
  <c r="AJ904" i="49"/>
  <c r="AJ869" i="49"/>
  <c r="AI913" i="49"/>
  <c r="AI878" i="49"/>
  <c r="AI910" i="49"/>
  <c r="AI875" i="49"/>
  <c r="AI906" i="49"/>
  <c r="AI871" i="49"/>
  <c r="AI907" i="49"/>
  <c r="AI872" i="49"/>
  <c r="AI903" i="49"/>
  <c r="AI868" i="49"/>
  <c r="AR843" i="49"/>
  <c r="E874" i="49"/>
  <c r="E877" i="49"/>
  <c r="AR846" i="49"/>
  <c r="K958" i="49"/>
  <c r="AW844" i="49"/>
  <c r="M950" i="49"/>
  <c r="M956" i="49"/>
  <c r="K952" i="49"/>
  <c r="K955" i="49"/>
  <c r="L949" i="49"/>
  <c r="M953" i="49"/>
  <c r="AL880" i="49"/>
  <c r="K951" i="49"/>
  <c r="AM948" i="49"/>
  <c r="AM950" i="49"/>
  <c r="AM952" i="49"/>
  <c r="AM954" i="49"/>
  <c r="AM956" i="49"/>
  <c r="AM958" i="49"/>
  <c r="AM960" i="49"/>
  <c r="AM962" i="49"/>
  <c r="AM964" i="49"/>
  <c r="AM966" i="49"/>
  <c r="AM968" i="49"/>
  <c r="AM970" i="49"/>
  <c r="AM951" i="49"/>
  <c r="AM955" i="49"/>
  <c r="AM959" i="49"/>
  <c r="AM963" i="49"/>
  <c r="AM967" i="49"/>
  <c r="AM949" i="49"/>
  <c r="AM957" i="49"/>
  <c r="AM965" i="49"/>
  <c r="AM953" i="49"/>
  <c r="AM961" i="49"/>
  <c r="AM969" i="49"/>
  <c r="AM947" i="49"/>
  <c r="K948" i="49"/>
  <c r="AN971" i="49"/>
  <c r="H844" i="49"/>
  <c r="I819" i="49"/>
  <c r="I876" i="49" s="1"/>
  <c r="Q457" i="49"/>
  <c r="N458" i="49"/>
  <c r="N417" i="49"/>
  <c r="N416" i="49" s="1"/>
  <c r="N415" i="49" s="1"/>
  <c r="N414" i="49" s="1"/>
  <c r="N413" i="49" s="1"/>
  <c r="N412" i="49" s="1"/>
  <c r="N410" i="49"/>
  <c r="E811" i="49"/>
  <c r="C276" i="49"/>
  <c r="C131" i="49"/>
  <c r="D817" i="49"/>
  <c r="K132" i="49"/>
  <c r="K64" i="49"/>
  <c r="I813" i="49"/>
  <c r="I870" i="49" s="1"/>
  <c r="I457" i="49"/>
  <c r="F458" i="49"/>
  <c r="F417" i="49"/>
  <c r="F416" i="49" s="1"/>
  <c r="F415" i="49" s="1"/>
  <c r="F414" i="49" s="1"/>
  <c r="F413" i="49" s="1"/>
  <c r="F412" i="49" s="1"/>
  <c r="F410" i="49"/>
  <c r="J957" i="49"/>
  <c r="AI811" i="49"/>
  <c r="E814" i="49"/>
  <c r="G276" i="49"/>
  <c r="G131" i="49"/>
  <c r="H850" i="49"/>
  <c r="M947" i="49"/>
  <c r="K880" i="49"/>
  <c r="E849" i="49"/>
  <c r="J845" i="49"/>
  <c r="E818" i="49"/>
  <c r="L276" i="49"/>
  <c r="L131" i="49"/>
  <c r="H840" i="49"/>
  <c r="I841" i="49"/>
  <c r="E815" i="49"/>
  <c r="H276" i="49"/>
  <c r="H131" i="49"/>
  <c r="D820" i="49"/>
  <c r="O132" i="49"/>
  <c r="O64" i="49"/>
  <c r="I816" i="49"/>
  <c r="I873" i="49" s="1"/>
  <c r="J458" i="49"/>
  <c r="M457" i="49"/>
  <c r="J417" i="49"/>
  <c r="J416" i="49" s="1"/>
  <c r="J415" i="49" s="1"/>
  <c r="J414" i="49" s="1"/>
  <c r="J413" i="49" s="1"/>
  <c r="J412" i="49" s="1"/>
  <c r="J410" i="49"/>
  <c r="E846" i="49"/>
  <c r="J842" i="49"/>
  <c r="H847" i="49"/>
  <c r="J839" i="49"/>
  <c r="J823" i="49"/>
  <c r="I810" i="49"/>
  <c r="I867" i="49" s="1"/>
  <c r="E457" i="49"/>
  <c r="B458" i="49"/>
  <c r="B417" i="49"/>
  <c r="B416" i="49" s="1"/>
  <c r="B415" i="49" s="1"/>
  <c r="B414" i="49" s="1"/>
  <c r="B413" i="49" s="1"/>
  <c r="B412" i="49" s="1"/>
  <c r="B410" i="49"/>
  <c r="J848" i="49"/>
  <c r="R499" i="49"/>
  <c r="H843" i="49"/>
  <c r="E821" i="49"/>
  <c r="P276" i="49"/>
  <c r="P131" i="49"/>
  <c r="J954" i="49"/>
  <c r="AI808" i="49"/>
  <c r="AK915" i="49" l="1"/>
  <c r="R457" i="49"/>
  <c r="AJ911" i="49"/>
  <c r="AJ876" i="49"/>
  <c r="AJ902" i="49"/>
  <c r="AJ867" i="49"/>
  <c r="AJ908" i="49"/>
  <c r="AJ873" i="49"/>
  <c r="AJ905" i="49"/>
  <c r="AJ870" i="49"/>
  <c r="E868" i="49"/>
  <c r="AR837" i="49"/>
  <c r="AR841" i="49"/>
  <c r="E872" i="49"/>
  <c r="E871" i="49"/>
  <c r="AR840" i="49"/>
  <c r="AR844" i="49"/>
  <c r="E875" i="49"/>
  <c r="AG874" i="49"/>
  <c r="AG909" i="49"/>
  <c r="AR847" i="49"/>
  <c r="E878" i="49"/>
  <c r="AG877" i="49"/>
  <c r="AG912" i="49"/>
  <c r="AQ846" i="49"/>
  <c r="D877" i="49"/>
  <c r="AQ843" i="49"/>
  <c r="D874" i="49"/>
  <c r="L956" i="49"/>
  <c r="K949" i="49"/>
  <c r="L953" i="49"/>
  <c r="AM971" i="49"/>
  <c r="G954" i="49"/>
  <c r="L950" i="49"/>
  <c r="AK880" i="49"/>
  <c r="G957" i="49"/>
  <c r="AL947" i="49"/>
  <c r="AL949" i="49"/>
  <c r="AL951" i="49"/>
  <c r="AL953" i="49"/>
  <c r="AL955" i="49"/>
  <c r="AL957" i="49"/>
  <c r="AL959" i="49"/>
  <c r="AL961" i="49"/>
  <c r="AL963" i="49"/>
  <c r="AL965" i="49"/>
  <c r="AL967" i="49"/>
  <c r="AL969" i="49"/>
  <c r="AL948" i="49"/>
  <c r="AL952" i="49"/>
  <c r="AL960" i="49"/>
  <c r="AL964" i="49"/>
  <c r="AL950" i="49"/>
  <c r="AL954" i="49"/>
  <c r="AL958" i="49"/>
  <c r="AL962" i="49"/>
  <c r="AL966" i="49"/>
  <c r="AL970" i="49"/>
  <c r="AL956" i="49"/>
  <c r="AL968" i="49"/>
  <c r="J955" i="49"/>
  <c r="AI809" i="49"/>
  <c r="J948" i="49"/>
  <c r="AI802" i="49"/>
  <c r="D846" i="49"/>
  <c r="E840" i="49"/>
  <c r="D849" i="49"/>
  <c r="E844" i="49"/>
  <c r="E847" i="49"/>
  <c r="H813" i="49"/>
  <c r="H870" i="49" s="1"/>
  <c r="I410" i="49"/>
  <c r="F411" i="49"/>
  <c r="F275" i="49"/>
  <c r="F277" i="49" s="1"/>
  <c r="I842" i="49"/>
  <c r="D811" i="49"/>
  <c r="C132" i="49"/>
  <c r="C64" i="49"/>
  <c r="H819" i="49"/>
  <c r="H876" i="49" s="1"/>
  <c r="Q410" i="49"/>
  <c r="N411" i="49"/>
  <c r="N275" i="49"/>
  <c r="N277" i="49" s="1"/>
  <c r="I848" i="49"/>
  <c r="E850" i="49"/>
  <c r="L947" i="49"/>
  <c r="J880" i="49"/>
  <c r="H816" i="49"/>
  <c r="H873" i="49" s="1"/>
  <c r="J411" i="49"/>
  <c r="M410" i="49"/>
  <c r="J275" i="49"/>
  <c r="J277" i="49" s="1"/>
  <c r="I845" i="49"/>
  <c r="D815" i="49"/>
  <c r="H132" i="49"/>
  <c r="H64" i="49"/>
  <c r="D818" i="49"/>
  <c r="L132" i="49"/>
  <c r="L64" i="49"/>
  <c r="J958" i="49"/>
  <c r="AI812" i="49"/>
  <c r="E843" i="49"/>
  <c r="C817" i="49"/>
  <c r="K65" i="49"/>
  <c r="K29" i="49"/>
  <c r="D821" i="49"/>
  <c r="P132" i="49"/>
  <c r="P64" i="49"/>
  <c r="J951" i="49"/>
  <c r="AI805" i="49"/>
  <c r="H810" i="49"/>
  <c r="H867" i="49" s="1"/>
  <c r="B411" i="49"/>
  <c r="B275" i="49"/>
  <c r="B277" i="49" s="1"/>
  <c r="I839" i="49"/>
  <c r="I823" i="49"/>
  <c r="C820" i="49"/>
  <c r="O65" i="49"/>
  <c r="O29" i="49"/>
  <c r="D814" i="49"/>
  <c r="G132" i="49"/>
  <c r="G64" i="49"/>
  <c r="J952" i="49"/>
  <c r="AI806" i="49"/>
  <c r="AJ915" i="49" l="1"/>
  <c r="AI911" i="49"/>
  <c r="AI876" i="49"/>
  <c r="AI908" i="49"/>
  <c r="AI873" i="49"/>
  <c r="AI905" i="49"/>
  <c r="AI870" i="49"/>
  <c r="AI902" i="49"/>
  <c r="AI867" i="49"/>
  <c r="AG903" i="49"/>
  <c r="AG868" i="49"/>
  <c r="AG871" i="49"/>
  <c r="AG906" i="49"/>
  <c r="AG907" i="49"/>
  <c r="AG872" i="49"/>
  <c r="AG875" i="49"/>
  <c r="AG910" i="49"/>
  <c r="AG878" i="49"/>
  <c r="AG913" i="49"/>
  <c r="AQ847" i="49"/>
  <c r="D878" i="49"/>
  <c r="AF912" i="49"/>
  <c r="AF877" i="49"/>
  <c r="AF874" i="49"/>
  <c r="AF909" i="49"/>
  <c r="AQ844" i="49"/>
  <c r="D875" i="49"/>
  <c r="AQ840" i="49"/>
  <c r="D871" i="49"/>
  <c r="AQ837" i="49"/>
  <c r="D868" i="49"/>
  <c r="AQ841" i="49"/>
  <c r="D872" i="49"/>
  <c r="AP846" i="49"/>
  <c r="C877" i="49"/>
  <c r="AP843" i="49"/>
  <c r="C874" i="49"/>
  <c r="G951" i="49"/>
  <c r="K950" i="49"/>
  <c r="F957" i="49"/>
  <c r="F954" i="49"/>
  <c r="G952" i="49"/>
  <c r="G948" i="49"/>
  <c r="K953" i="49"/>
  <c r="G958" i="49"/>
  <c r="G955" i="49"/>
  <c r="AL971" i="49"/>
  <c r="AK949" i="49"/>
  <c r="AK951" i="49"/>
  <c r="AK953" i="49"/>
  <c r="AK955" i="49"/>
  <c r="AK957" i="49"/>
  <c r="AK959" i="49"/>
  <c r="AK961" i="49"/>
  <c r="AK963" i="49"/>
  <c r="AK965" i="49"/>
  <c r="AK967" i="49"/>
  <c r="AK969" i="49"/>
  <c r="AK947" i="49"/>
  <c r="AK950" i="49"/>
  <c r="AK954" i="49"/>
  <c r="AK958" i="49"/>
  <c r="AK962" i="49"/>
  <c r="AK966" i="49"/>
  <c r="AK970" i="49"/>
  <c r="AK948" i="49"/>
  <c r="AK956" i="49"/>
  <c r="AK964" i="49"/>
  <c r="AK952" i="49"/>
  <c r="AK960" i="49"/>
  <c r="AK968" i="49"/>
  <c r="K956" i="49"/>
  <c r="C814" i="49"/>
  <c r="G65" i="49"/>
  <c r="G29" i="49"/>
  <c r="H839" i="49"/>
  <c r="C846" i="49"/>
  <c r="D847" i="49"/>
  <c r="H848" i="49"/>
  <c r="C821" i="49"/>
  <c r="P65" i="49"/>
  <c r="P29" i="49"/>
  <c r="C849" i="49"/>
  <c r="D850" i="49"/>
  <c r="C815" i="49"/>
  <c r="H65" i="49"/>
  <c r="H29" i="49"/>
  <c r="H845" i="49"/>
  <c r="E819" i="49"/>
  <c r="Q275" i="49"/>
  <c r="N276" i="49"/>
  <c r="N131" i="49"/>
  <c r="C811" i="49"/>
  <c r="C65" i="49"/>
  <c r="C29" i="49"/>
  <c r="H842" i="49"/>
  <c r="B820" i="49"/>
  <c r="O19" i="49"/>
  <c r="O20" i="49" s="1"/>
  <c r="M15" i="25" s="1"/>
  <c r="O30" i="49"/>
  <c r="D844" i="49"/>
  <c r="D840" i="49"/>
  <c r="E810" i="49"/>
  <c r="B276" i="49"/>
  <c r="B131" i="49"/>
  <c r="D843" i="49"/>
  <c r="K947" i="49"/>
  <c r="I880" i="49"/>
  <c r="B817" i="49"/>
  <c r="K30" i="49"/>
  <c r="K19" i="49"/>
  <c r="C818" i="49"/>
  <c r="L65" i="49"/>
  <c r="L29" i="49"/>
  <c r="E816" i="49"/>
  <c r="J276" i="49"/>
  <c r="M275" i="49"/>
  <c r="J131" i="49"/>
  <c r="E813" i="49"/>
  <c r="F276" i="49"/>
  <c r="I275" i="49"/>
  <c r="F131" i="49"/>
  <c r="AR836" i="49" l="1"/>
  <c r="E867" i="49"/>
  <c r="AR839" i="49"/>
  <c r="E870" i="49"/>
  <c r="E873" i="49"/>
  <c r="AR842" i="49"/>
  <c r="AR845" i="49"/>
  <c r="E876" i="49"/>
  <c r="AF878" i="49"/>
  <c r="AF913" i="49"/>
  <c r="AF875" i="49"/>
  <c r="AF910" i="49"/>
  <c r="AF871" i="49"/>
  <c r="AF906" i="49"/>
  <c r="AF903" i="49"/>
  <c r="AF868" i="49"/>
  <c r="AF907" i="49"/>
  <c r="AF872" i="49"/>
  <c r="AP847" i="49"/>
  <c r="C878" i="49"/>
  <c r="B877" i="49"/>
  <c r="AG811" i="49"/>
  <c r="AO846" i="49"/>
  <c r="AT846" i="49" s="1"/>
  <c r="AE877" i="49"/>
  <c r="AE912" i="49"/>
  <c r="AP844" i="49"/>
  <c r="C875" i="49"/>
  <c r="AE909" i="49"/>
  <c r="AE874" i="49"/>
  <c r="AO843" i="49"/>
  <c r="AT843" i="49" s="1"/>
  <c r="B874" i="49"/>
  <c r="AG808" i="49"/>
  <c r="AP841" i="49"/>
  <c r="C872" i="49"/>
  <c r="AP840" i="49"/>
  <c r="C871" i="49"/>
  <c r="AP837" i="49"/>
  <c r="C868" i="49"/>
  <c r="AJ880" i="49"/>
  <c r="F951" i="49"/>
  <c r="F948" i="49"/>
  <c r="AK971" i="49"/>
  <c r="E957" i="49"/>
  <c r="F955" i="49"/>
  <c r="F952" i="49"/>
  <c r="AJ948" i="49"/>
  <c r="AJ950" i="49"/>
  <c r="AJ952" i="49"/>
  <c r="AJ954" i="49"/>
  <c r="AJ956" i="49"/>
  <c r="AJ958" i="49"/>
  <c r="AJ960" i="49"/>
  <c r="AJ962" i="49"/>
  <c r="AJ964" i="49"/>
  <c r="AJ966" i="49"/>
  <c r="AJ968" i="49"/>
  <c r="AJ970" i="49"/>
  <c r="AJ947" i="49"/>
  <c r="AJ951" i="49"/>
  <c r="AJ959" i="49"/>
  <c r="AJ963" i="49"/>
  <c r="AJ949" i="49"/>
  <c r="AJ953" i="49"/>
  <c r="AJ957" i="49"/>
  <c r="AJ961" i="49"/>
  <c r="AJ965" i="49"/>
  <c r="AJ969" i="49"/>
  <c r="AJ955" i="49"/>
  <c r="AJ967" i="49"/>
  <c r="F958" i="49"/>
  <c r="E954" i="49"/>
  <c r="D813" i="49"/>
  <c r="I131" i="49"/>
  <c r="F132" i="49"/>
  <c r="F64" i="49"/>
  <c r="C847" i="49"/>
  <c r="D810" i="49"/>
  <c r="B132" i="49"/>
  <c r="B64" i="49"/>
  <c r="E839" i="49"/>
  <c r="B849" i="49"/>
  <c r="AN811" i="49"/>
  <c r="J953" i="49"/>
  <c r="AI807" i="49"/>
  <c r="C850" i="49"/>
  <c r="J956" i="49"/>
  <c r="AI810" i="49"/>
  <c r="C843" i="49"/>
  <c r="D816" i="49"/>
  <c r="J132" i="49"/>
  <c r="M131" i="49"/>
  <c r="J64" i="49"/>
  <c r="E845" i="49"/>
  <c r="C840" i="49"/>
  <c r="B815" i="49"/>
  <c r="H19" i="49"/>
  <c r="H30" i="49"/>
  <c r="J947" i="49"/>
  <c r="AI801" i="49"/>
  <c r="B818" i="49"/>
  <c r="L30" i="49"/>
  <c r="L19" i="49"/>
  <c r="J950" i="49"/>
  <c r="AI804" i="49"/>
  <c r="D819" i="49"/>
  <c r="Q131" i="49"/>
  <c r="N132" i="49"/>
  <c r="N64" i="49"/>
  <c r="E848" i="49"/>
  <c r="B821" i="49"/>
  <c r="P19" i="49"/>
  <c r="P20" i="49" s="1"/>
  <c r="N15" i="25" s="1"/>
  <c r="P30" i="49"/>
  <c r="B814" i="49"/>
  <c r="G30" i="49"/>
  <c r="G19" i="49"/>
  <c r="B846" i="49"/>
  <c r="AN808" i="49"/>
  <c r="B811" i="49"/>
  <c r="C19" i="49"/>
  <c r="C30" i="49"/>
  <c r="C844" i="49"/>
  <c r="E842" i="49"/>
  <c r="AG867" i="49" l="1"/>
  <c r="AG902" i="49"/>
  <c r="AG905" i="49"/>
  <c r="AG870" i="49"/>
  <c r="AG873" i="49"/>
  <c r="AG908" i="49"/>
  <c r="AG911" i="49"/>
  <c r="AG876" i="49"/>
  <c r="AQ845" i="49"/>
  <c r="D876" i="49"/>
  <c r="AQ839" i="49"/>
  <c r="D870" i="49"/>
  <c r="D867" i="49"/>
  <c r="AQ836" i="49"/>
  <c r="AQ842" i="49"/>
  <c r="D873" i="49"/>
  <c r="AO847" i="49"/>
  <c r="AT847" i="49" s="1"/>
  <c r="B878" i="49"/>
  <c r="AG812" i="49"/>
  <c r="AE913" i="49"/>
  <c r="AE878" i="49"/>
  <c r="AD912" i="49"/>
  <c r="AD877" i="49"/>
  <c r="B875" i="49"/>
  <c r="AG809" i="49"/>
  <c r="AO844" i="49"/>
  <c r="AT844" i="49" s="1"/>
  <c r="AE875" i="49"/>
  <c r="AE910" i="49"/>
  <c r="AD909" i="49"/>
  <c r="AD874" i="49"/>
  <c r="AE907" i="49"/>
  <c r="AE872" i="49"/>
  <c r="AO841" i="49"/>
  <c r="AT841" i="49" s="1"/>
  <c r="B872" i="49"/>
  <c r="AG806" i="49"/>
  <c r="B871" i="49"/>
  <c r="AG805" i="49"/>
  <c r="AO840" i="49"/>
  <c r="AT840" i="49" s="1"/>
  <c r="AE871" i="49"/>
  <c r="AE906" i="49"/>
  <c r="AO837" i="49"/>
  <c r="AT837" i="49" s="1"/>
  <c r="B868" i="49"/>
  <c r="AG802" i="49"/>
  <c r="AE903" i="49"/>
  <c r="AE868" i="49"/>
  <c r="E948" i="49"/>
  <c r="E952" i="49"/>
  <c r="E951" i="49"/>
  <c r="G950" i="49"/>
  <c r="E955" i="49"/>
  <c r="G956" i="49"/>
  <c r="G953" i="49"/>
  <c r="E958" i="49"/>
  <c r="AJ971" i="49"/>
  <c r="D845" i="49"/>
  <c r="R981" i="49"/>
  <c r="C816" i="49"/>
  <c r="M64" i="49"/>
  <c r="J65" i="49"/>
  <c r="J29" i="49"/>
  <c r="B850" i="49"/>
  <c r="AN812" i="49"/>
  <c r="C819" i="49"/>
  <c r="N65" i="49"/>
  <c r="Q64" i="49"/>
  <c r="N29" i="49"/>
  <c r="B847" i="49"/>
  <c r="AN809" i="49"/>
  <c r="B844" i="49"/>
  <c r="AN806" i="49"/>
  <c r="R984" i="49"/>
  <c r="G947" i="49"/>
  <c r="D839" i="49"/>
  <c r="C813" i="49"/>
  <c r="F65" i="49"/>
  <c r="I64" i="49"/>
  <c r="F29" i="49"/>
  <c r="C810" i="49"/>
  <c r="B65" i="49"/>
  <c r="B29" i="49"/>
  <c r="B840" i="49"/>
  <c r="AN802" i="49"/>
  <c r="B843" i="49"/>
  <c r="AN805" i="49"/>
  <c r="D848" i="49"/>
  <c r="D842" i="49"/>
  <c r="H742" i="34"/>
  <c r="AF911" i="49" l="1"/>
  <c r="AF876" i="49"/>
  <c r="AF905" i="49"/>
  <c r="AF870" i="49"/>
  <c r="AF867" i="49"/>
  <c r="AF902" i="49"/>
  <c r="AF908" i="49"/>
  <c r="AF873" i="49"/>
  <c r="AD913" i="49"/>
  <c r="AD878" i="49"/>
  <c r="AP845" i="49"/>
  <c r="C876" i="49"/>
  <c r="AD910" i="49"/>
  <c r="AD875" i="49"/>
  <c r="AP842" i="49"/>
  <c r="C873" i="49"/>
  <c r="AD907" i="49"/>
  <c r="AD872" i="49"/>
  <c r="AD906" i="49"/>
  <c r="AD871" i="49"/>
  <c r="AP839" i="49"/>
  <c r="C870" i="49"/>
  <c r="AD903" i="49"/>
  <c r="AD868" i="49"/>
  <c r="C867" i="49"/>
  <c r="AP836" i="49"/>
  <c r="F956" i="49"/>
  <c r="F953" i="49"/>
  <c r="F950" i="49"/>
  <c r="B816" i="49"/>
  <c r="J30" i="49"/>
  <c r="M29" i="49"/>
  <c r="J19" i="49"/>
  <c r="R978" i="49"/>
  <c r="C839" i="49"/>
  <c r="C842" i="49"/>
  <c r="F947" i="49"/>
  <c r="R982" i="49"/>
  <c r="C848" i="49"/>
  <c r="C845" i="49"/>
  <c r="R979" i="49"/>
  <c r="R975" i="49"/>
  <c r="B810" i="49"/>
  <c r="B30" i="49"/>
  <c r="B19" i="49"/>
  <c r="B813" i="49"/>
  <c r="F30" i="49"/>
  <c r="I29" i="49"/>
  <c r="F19" i="49"/>
  <c r="B819" i="49"/>
  <c r="Q29" i="49"/>
  <c r="N19" i="49"/>
  <c r="N30" i="49"/>
  <c r="R985" i="49"/>
  <c r="F241" i="31"/>
  <c r="L241" i="31"/>
  <c r="G241" i="31"/>
  <c r="P241" i="31"/>
  <c r="P713" i="31"/>
  <c r="P714" i="31"/>
  <c r="AE911" i="49" l="1"/>
  <c r="AE876" i="49"/>
  <c r="AO845" i="49"/>
  <c r="AT845" i="49" s="1"/>
  <c r="B876" i="49"/>
  <c r="AG810" i="49"/>
  <c r="B873" i="49"/>
  <c r="AG807" i="49"/>
  <c r="AO842" i="49"/>
  <c r="AT842" i="49" s="1"/>
  <c r="AE873" i="49"/>
  <c r="AE908" i="49"/>
  <c r="AO839" i="49"/>
  <c r="AT839" i="49" s="1"/>
  <c r="B870" i="49"/>
  <c r="AG804" i="49"/>
  <c r="AE905" i="49"/>
  <c r="AE870" i="49"/>
  <c r="AG801" i="49"/>
  <c r="AO836" i="49"/>
  <c r="B867" i="49"/>
  <c r="AE902" i="49"/>
  <c r="AE867" i="49"/>
  <c r="E950" i="49"/>
  <c r="E953" i="49"/>
  <c r="E956" i="49"/>
  <c r="AN804" i="49"/>
  <c r="B842" i="49"/>
  <c r="B839" i="49"/>
  <c r="AN801" i="49"/>
  <c r="I20" i="49"/>
  <c r="I19" i="49"/>
  <c r="M20" i="49"/>
  <c r="M19" i="49"/>
  <c r="B848" i="49"/>
  <c r="AN810" i="49"/>
  <c r="N20" i="49"/>
  <c r="Q19" i="49"/>
  <c r="E947" i="49"/>
  <c r="B845" i="49"/>
  <c r="AN807" i="49"/>
  <c r="P712" i="31"/>
  <c r="Q20" i="49" l="1"/>
  <c r="L15" i="25"/>
  <c r="O15" i="25" s="1"/>
  <c r="AD911" i="49"/>
  <c r="AD876" i="49"/>
  <c r="AD908" i="49"/>
  <c r="AD873" i="49"/>
  <c r="AD905" i="49"/>
  <c r="AD870" i="49"/>
  <c r="AD902" i="49"/>
  <c r="AD867" i="49"/>
  <c r="AT836" i="49"/>
  <c r="R974" i="49"/>
  <c r="R980" i="49"/>
  <c r="R983" i="49"/>
  <c r="R977" i="49"/>
  <c r="O241" i="31" l="1"/>
  <c r="N241" i="31"/>
  <c r="O726" i="31" l="1"/>
  <c r="Q341" i="31"/>
  <c r="M341" i="31"/>
  <c r="I341" i="31"/>
  <c r="E341" i="31"/>
  <c r="N403" i="31"/>
  <c r="N713" i="31"/>
  <c r="O714" i="31"/>
  <c r="O729" i="31"/>
  <c r="O730" i="31"/>
  <c r="O732" i="31"/>
  <c r="N536" i="31"/>
  <c r="R341" i="31" l="1"/>
  <c r="AP836" i="34"/>
  <c r="AQ836" i="34"/>
  <c r="AR836" i="34"/>
  <c r="AO836" i="34"/>
  <c r="AE836" i="34"/>
  <c r="AF836" i="34"/>
  <c r="AG836" i="34"/>
  <c r="AD836" i="34"/>
  <c r="Q856" i="34"/>
  <c r="P856" i="34"/>
  <c r="O856" i="34"/>
  <c r="N856" i="34"/>
  <c r="M856" i="34"/>
  <c r="L856" i="34"/>
  <c r="K856" i="34"/>
  <c r="J856" i="34"/>
  <c r="I856" i="34"/>
  <c r="H856" i="34"/>
  <c r="E856" i="34"/>
  <c r="D856" i="34"/>
  <c r="C856" i="34"/>
  <c r="B856" i="34"/>
  <c r="Q830" i="34"/>
  <c r="P830" i="34"/>
  <c r="O830" i="34"/>
  <c r="N830" i="34"/>
  <c r="M830" i="34"/>
  <c r="L830" i="34"/>
  <c r="K830" i="34"/>
  <c r="J830" i="34"/>
  <c r="I830" i="34"/>
  <c r="H830" i="34"/>
  <c r="E830" i="34"/>
  <c r="D830" i="34"/>
  <c r="C830" i="34"/>
  <c r="B830" i="34"/>
  <c r="O886" i="34" l="1"/>
  <c r="H887" i="34"/>
  <c r="H888" i="34"/>
  <c r="H889" i="34"/>
  <c r="H890" i="34"/>
  <c r="H891" i="34"/>
  <c r="H892" i="34"/>
  <c r="H893" i="34"/>
  <c r="H894" i="34"/>
  <c r="H895" i="34"/>
  <c r="H896" i="34"/>
  <c r="H897" i="34"/>
  <c r="P474" i="34" l="1"/>
  <c r="O474" i="34"/>
  <c r="N474" i="34"/>
  <c r="L474" i="34"/>
  <c r="K474" i="34"/>
  <c r="J474" i="34"/>
  <c r="H474" i="34"/>
  <c r="G474" i="34"/>
  <c r="F474" i="34"/>
  <c r="D474" i="34"/>
  <c r="C474" i="34"/>
  <c r="B474" i="34"/>
  <c r="B469" i="34"/>
  <c r="B463" i="34"/>
  <c r="B443" i="34"/>
  <c r="P434" i="34"/>
  <c r="O434" i="34"/>
  <c r="N434" i="34"/>
  <c r="L434" i="34"/>
  <c r="K434" i="34"/>
  <c r="J434" i="34"/>
  <c r="H434" i="34"/>
  <c r="G434" i="34"/>
  <c r="F434" i="34"/>
  <c r="D434" i="34"/>
  <c r="C434" i="34"/>
  <c r="B434" i="34"/>
  <c r="B429" i="34"/>
  <c r="B424" i="34"/>
  <c r="B394" i="34"/>
  <c r="B393" i="34"/>
  <c r="B369" i="34"/>
  <c r="B259" i="34"/>
  <c r="B191" i="34"/>
  <c r="E265" i="34"/>
  <c r="B444" i="34" l="1"/>
  <c r="B258" i="34"/>
  <c r="B198" i="34"/>
  <c r="B124" i="34"/>
  <c r="B123" i="34"/>
  <c r="B106" i="34"/>
  <c r="B95" i="34"/>
  <c r="B88" i="34"/>
  <c r="B50" i="34"/>
  <c r="B46" i="34"/>
  <c r="B41" i="34"/>
  <c r="B125" i="34" l="1"/>
  <c r="B128" i="34" s="1"/>
  <c r="B336" i="34"/>
  <c r="Q152" i="34" l="1"/>
  <c r="M152" i="34"/>
  <c r="I152" i="34"/>
  <c r="E152" i="34"/>
  <c r="R152" i="34" l="1"/>
  <c r="L923" i="34" l="1"/>
  <c r="N923" i="34"/>
  <c r="M923" i="34"/>
  <c r="K923" i="34"/>
  <c r="P761" i="34"/>
  <c r="O761" i="34"/>
  <c r="N761" i="34"/>
  <c r="L761" i="34"/>
  <c r="K761" i="34"/>
  <c r="J761" i="34"/>
  <c r="H761" i="34"/>
  <c r="G761" i="34"/>
  <c r="F761" i="34"/>
  <c r="D761" i="34"/>
  <c r="C761" i="34"/>
  <c r="B761" i="34"/>
  <c r="Q384" i="34"/>
  <c r="M384" i="34"/>
  <c r="I384" i="34"/>
  <c r="E384" i="34"/>
  <c r="B28" i="34" l="1"/>
  <c r="L920" i="34"/>
  <c r="N920" i="34"/>
  <c r="M920" i="34"/>
  <c r="K920" i="34"/>
  <c r="L922" i="34"/>
  <c r="N922" i="34"/>
  <c r="M922" i="34"/>
  <c r="K922" i="34"/>
  <c r="L921" i="34"/>
  <c r="N921" i="34"/>
  <c r="K921" i="34"/>
  <c r="M921" i="34"/>
  <c r="L916" i="34"/>
  <c r="N916" i="34"/>
  <c r="M916" i="34"/>
  <c r="K916" i="34"/>
  <c r="L917" i="34"/>
  <c r="N917" i="34"/>
  <c r="M917" i="34"/>
  <c r="K917" i="34"/>
  <c r="L914" i="34"/>
  <c r="N914" i="34"/>
  <c r="M914" i="34"/>
  <c r="K914" i="34"/>
  <c r="L919" i="34"/>
  <c r="M919" i="34"/>
  <c r="N919" i="34"/>
  <c r="K919" i="34"/>
  <c r="L924" i="34"/>
  <c r="M924" i="34"/>
  <c r="N924" i="34"/>
  <c r="K924" i="34"/>
  <c r="L918" i="34"/>
  <c r="M918" i="34"/>
  <c r="N918" i="34"/>
  <c r="K918" i="34"/>
  <c r="K913" i="34"/>
  <c r="L913" i="34"/>
  <c r="M913" i="34"/>
  <c r="N913" i="34"/>
  <c r="L915" i="34"/>
  <c r="N915" i="34"/>
  <c r="K915" i="34"/>
  <c r="M915" i="34"/>
  <c r="R384" i="34"/>
  <c r="E332" i="31"/>
  <c r="I332" i="31"/>
  <c r="M332" i="31"/>
  <c r="Q332" i="31"/>
  <c r="L713" i="31"/>
  <c r="L729" i="31"/>
  <c r="L732" i="31"/>
  <c r="L733" i="31"/>
  <c r="P729" i="31"/>
  <c r="K729" i="31"/>
  <c r="J729" i="31"/>
  <c r="H729" i="31"/>
  <c r="G729" i="31"/>
  <c r="F729" i="31"/>
  <c r="D729" i="31"/>
  <c r="C729" i="31"/>
  <c r="B729" i="31"/>
  <c r="N729" i="31"/>
  <c r="Q350" i="31"/>
  <c r="M350" i="31"/>
  <c r="I350" i="31"/>
  <c r="E350" i="31"/>
  <c r="Q161" i="31"/>
  <c r="L536" i="31"/>
  <c r="K536" i="31"/>
  <c r="J536" i="31"/>
  <c r="H536" i="31"/>
  <c r="G536" i="31"/>
  <c r="G571" i="31"/>
  <c r="F536" i="31"/>
  <c r="F571" i="31"/>
  <c r="R332" i="31" l="1"/>
  <c r="R350" i="31"/>
  <c r="M673" i="34" l="1"/>
  <c r="I673" i="34"/>
  <c r="E673" i="34"/>
  <c r="M168" i="34"/>
  <c r="I168" i="34"/>
  <c r="E168" i="34"/>
  <c r="M316" i="34"/>
  <c r="I316" i="34"/>
  <c r="E316" i="34"/>
  <c r="O754" i="34" l="1"/>
  <c r="N754" i="34"/>
  <c r="L754" i="34"/>
  <c r="K754" i="34"/>
  <c r="J754" i="34"/>
  <c r="H754" i="34"/>
  <c r="D754" i="34"/>
  <c r="Q473" i="34"/>
  <c r="M473" i="34"/>
  <c r="I473" i="34"/>
  <c r="E473" i="34"/>
  <c r="Q433" i="34"/>
  <c r="M433" i="34"/>
  <c r="I433" i="34"/>
  <c r="E433" i="34"/>
  <c r="Q150" i="34"/>
  <c r="M150" i="34"/>
  <c r="I150" i="34"/>
  <c r="I151" i="34"/>
  <c r="E150" i="34"/>
  <c r="I177" i="34"/>
  <c r="M177" i="34"/>
  <c r="Q177" i="34"/>
  <c r="R433" i="34" l="1"/>
  <c r="R473" i="34"/>
  <c r="R150" i="34"/>
  <c r="I467" i="34"/>
  <c r="Q228" i="34"/>
  <c r="M228" i="34"/>
  <c r="I228" i="34"/>
  <c r="E228" i="34"/>
  <c r="R228" i="34" l="1"/>
  <c r="C758" i="34"/>
  <c r="B758" i="34"/>
  <c r="D758" i="34"/>
  <c r="F758" i="34"/>
  <c r="G758" i="34"/>
  <c r="H758" i="34"/>
  <c r="J758" i="34"/>
  <c r="K758" i="34"/>
  <c r="L758" i="34"/>
  <c r="N758" i="34"/>
  <c r="O758" i="34"/>
  <c r="P758" i="34"/>
  <c r="O749" i="34"/>
  <c r="N749" i="34"/>
  <c r="L749" i="34"/>
  <c r="K749" i="34"/>
  <c r="J749" i="34"/>
  <c r="H749" i="34"/>
  <c r="G749" i="34"/>
  <c r="F749" i="34"/>
  <c r="D749" i="34"/>
  <c r="Q162" i="34"/>
  <c r="Q163" i="34"/>
  <c r="M162" i="34"/>
  <c r="M163" i="34"/>
  <c r="I162" i="34"/>
  <c r="I163" i="34"/>
  <c r="E162" i="34"/>
  <c r="E163" i="34"/>
  <c r="Q196" i="34"/>
  <c r="M196" i="34"/>
  <c r="I196" i="34"/>
  <c r="E196" i="34"/>
  <c r="Q165" i="34"/>
  <c r="M165" i="34"/>
  <c r="I165" i="34"/>
  <c r="E165" i="34"/>
  <c r="M158" i="34"/>
  <c r="R196" i="34" l="1"/>
  <c r="R163" i="34"/>
  <c r="R162" i="34"/>
  <c r="R165" i="34"/>
  <c r="Q76" i="34"/>
  <c r="M76" i="34"/>
  <c r="I76" i="34"/>
  <c r="E76" i="34"/>
  <c r="Q354" i="34"/>
  <c r="M354" i="34"/>
  <c r="I354" i="34"/>
  <c r="E354" i="34"/>
  <c r="Q212" i="34"/>
  <c r="M212" i="34"/>
  <c r="I212" i="34"/>
  <c r="E212" i="34"/>
  <c r="Q614" i="34"/>
  <c r="M614" i="34"/>
  <c r="I614" i="34"/>
  <c r="E614" i="34"/>
  <c r="R76" i="34" l="1"/>
  <c r="R614" i="34"/>
  <c r="R354" i="34"/>
  <c r="R212" i="34"/>
  <c r="Q366" i="34"/>
  <c r="M366" i="34"/>
  <c r="I366" i="34"/>
  <c r="E366" i="34"/>
  <c r="Q344" i="34"/>
  <c r="M344" i="34"/>
  <c r="I344" i="34"/>
  <c r="E344" i="34"/>
  <c r="M296" i="34"/>
  <c r="I350" i="34"/>
  <c r="M350" i="34"/>
  <c r="Q563" i="34"/>
  <c r="M563" i="34"/>
  <c r="I563" i="34"/>
  <c r="E563" i="34"/>
  <c r="E225" i="34"/>
  <c r="I225" i="34"/>
  <c r="M225" i="34"/>
  <c r="R344" i="34" l="1"/>
  <c r="R366" i="34"/>
  <c r="R563" i="34"/>
  <c r="E78" i="34" l="1"/>
  <c r="Q75" i="34"/>
  <c r="M75" i="34"/>
  <c r="I75" i="34"/>
  <c r="E75" i="34"/>
  <c r="B323" i="34"/>
  <c r="B395" i="34" s="1"/>
  <c r="B400" i="34" s="1"/>
  <c r="Q288" i="34"/>
  <c r="M288" i="34"/>
  <c r="I288" i="34"/>
  <c r="E288" i="34"/>
  <c r="M83" i="34"/>
  <c r="Q156" i="34"/>
  <c r="Q157" i="34"/>
  <c r="M156" i="34"/>
  <c r="M157" i="34"/>
  <c r="I156" i="34"/>
  <c r="I157" i="34"/>
  <c r="E156" i="34"/>
  <c r="E157" i="34"/>
  <c r="M151" i="34"/>
  <c r="B754" i="34" l="1"/>
  <c r="B240" i="34"/>
  <c r="B260" i="34" s="1"/>
  <c r="B268" i="34" s="1"/>
  <c r="R156" i="34"/>
  <c r="R288" i="34"/>
  <c r="R75" i="34"/>
  <c r="R157" i="34"/>
  <c r="P757" i="34"/>
  <c r="O757" i="34"/>
  <c r="N757" i="34"/>
  <c r="J757" i="34"/>
  <c r="H757" i="34"/>
  <c r="G757" i="34"/>
  <c r="F757" i="34"/>
  <c r="D757" i="34"/>
  <c r="Q161" i="34" l="1"/>
  <c r="M161" i="34"/>
  <c r="I161" i="34"/>
  <c r="E161" i="34"/>
  <c r="R161" i="34" l="1"/>
  <c r="P670" i="34"/>
  <c r="O670" i="34"/>
  <c r="N670" i="34"/>
  <c r="L670" i="34"/>
  <c r="K670" i="34"/>
  <c r="J670" i="34"/>
  <c r="H670" i="34"/>
  <c r="G670" i="34"/>
  <c r="F670" i="34"/>
  <c r="D670" i="34"/>
  <c r="C670" i="34"/>
  <c r="B670" i="34"/>
  <c r="P537" i="34"/>
  <c r="O537" i="34"/>
  <c r="N537" i="34"/>
  <c r="L537" i="34"/>
  <c r="K537" i="34"/>
  <c r="J537" i="34"/>
  <c r="H537" i="34"/>
  <c r="G537" i="34"/>
  <c r="F537" i="34"/>
  <c r="D537" i="34"/>
  <c r="C537" i="34"/>
  <c r="B537" i="34"/>
  <c r="P393" i="34"/>
  <c r="O393" i="34"/>
  <c r="N393" i="34"/>
  <c r="L393" i="34"/>
  <c r="K393" i="34"/>
  <c r="J393" i="34"/>
  <c r="H393" i="34"/>
  <c r="G393" i="34"/>
  <c r="F393" i="34"/>
  <c r="D393" i="34"/>
  <c r="C393" i="34"/>
  <c r="P123" i="34"/>
  <c r="O123" i="34"/>
  <c r="N123" i="34"/>
  <c r="L123" i="34"/>
  <c r="K123" i="34"/>
  <c r="J123" i="34"/>
  <c r="H123" i="34"/>
  <c r="G123" i="34"/>
  <c r="F123" i="34"/>
  <c r="D123" i="34"/>
  <c r="C123" i="34"/>
  <c r="Q291" i="34"/>
  <c r="M291" i="34"/>
  <c r="I291" i="34"/>
  <c r="E291" i="34"/>
  <c r="Q229" i="34"/>
  <c r="M229" i="34"/>
  <c r="I229" i="34"/>
  <c r="E229" i="34"/>
  <c r="Q214" i="34"/>
  <c r="Q215" i="34"/>
  <c r="M214" i="34"/>
  <c r="M215" i="34"/>
  <c r="I214" i="34"/>
  <c r="I215" i="34"/>
  <c r="E214" i="34"/>
  <c r="E215" i="34"/>
  <c r="Q170" i="34"/>
  <c r="Q171" i="34"/>
  <c r="M170" i="34"/>
  <c r="M171" i="34"/>
  <c r="I170" i="34"/>
  <c r="I171" i="34"/>
  <c r="E170" i="34"/>
  <c r="E171" i="34"/>
  <c r="Q160" i="34"/>
  <c r="Q164" i="34"/>
  <c r="M160" i="34"/>
  <c r="M164" i="34"/>
  <c r="I160" i="34"/>
  <c r="I164" i="34"/>
  <c r="E160" i="34"/>
  <c r="E164" i="34"/>
  <c r="Q144" i="34"/>
  <c r="Q145" i="34"/>
  <c r="M144" i="34"/>
  <c r="M145" i="34"/>
  <c r="I144" i="34"/>
  <c r="I145" i="34"/>
  <c r="E144" i="34"/>
  <c r="E145" i="34"/>
  <c r="R145" i="34" l="1"/>
  <c r="R214" i="34"/>
  <c r="R215" i="34"/>
  <c r="R170" i="34"/>
  <c r="R229" i="34"/>
  <c r="R291" i="34"/>
  <c r="R164" i="34"/>
  <c r="R160" i="34"/>
  <c r="R144" i="34"/>
  <c r="R171" i="34"/>
  <c r="O1028" i="34" l="1"/>
  <c r="I899" i="34" s="1"/>
  <c r="K1028" i="34"/>
  <c r="H899" i="34" s="1"/>
  <c r="Q1025" i="34"/>
  <c r="M1025" i="34"/>
  <c r="G1025" i="34"/>
  <c r="I1025" i="34" s="1"/>
  <c r="Q1024" i="34"/>
  <c r="M1024" i="34"/>
  <c r="G1024" i="34"/>
  <c r="I1024" i="34" s="1"/>
  <c r="Q1023" i="34"/>
  <c r="M1023" i="34"/>
  <c r="G1023" i="34"/>
  <c r="I1023" i="34" s="1"/>
  <c r="J1025" i="34" s="1"/>
  <c r="Q1022" i="34"/>
  <c r="M1022" i="34"/>
  <c r="G1022" i="34"/>
  <c r="I1022" i="34" s="1"/>
  <c r="Q1021" i="34"/>
  <c r="M1021" i="34"/>
  <c r="G1021" i="34"/>
  <c r="I1021" i="34" s="1"/>
  <c r="Q1020" i="34"/>
  <c r="M1020" i="34"/>
  <c r="G1020" i="34"/>
  <c r="I1020" i="34" s="1"/>
  <c r="J1022" i="34" s="1"/>
  <c r="Q1019" i="34"/>
  <c r="M1019" i="34"/>
  <c r="G1019" i="34"/>
  <c r="I1019" i="34" s="1"/>
  <c r="Q1018" i="34"/>
  <c r="M1018" i="34"/>
  <c r="G1018" i="34"/>
  <c r="I1018" i="34" s="1"/>
  <c r="Q1017" i="34"/>
  <c r="M1017" i="34"/>
  <c r="G1017" i="34"/>
  <c r="I1017" i="34" s="1"/>
  <c r="J1019" i="34" s="1"/>
  <c r="Q1016" i="34"/>
  <c r="M1016" i="34"/>
  <c r="G1016" i="34"/>
  <c r="I1016" i="34" s="1"/>
  <c r="Q1015" i="34"/>
  <c r="M1015" i="34"/>
  <c r="G1015" i="34"/>
  <c r="I1015" i="34" s="1"/>
  <c r="Q1014" i="34"/>
  <c r="M1014" i="34"/>
  <c r="I1014" i="34"/>
  <c r="G1008" i="34"/>
  <c r="O1007" i="34"/>
  <c r="K1007" i="34"/>
  <c r="C1007" i="34"/>
  <c r="I1004" i="34"/>
  <c r="J1001" i="34"/>
  <c r="Q1000" i="34"/>
  <c r="N899" i="34"/>
  <c r="M899" i="34"/>
  <c r="L899" i="34"/>
  <c r="K899" i="34"/>
  <c r="O898" i="34"/>
  <c r="O897" i="34"/>
  <c r="O924" i="34" s="1"/>
  <c r="I897" i="34"/>
  <c r="I924" i="34" s="1"/>
  <c r="H924" i="34"/>
  <c r="O896" i="34"/>
  <c r="O923" i="34" s="1"/>
  <c r="I896" i="34"/>
  <c r="I923" i="34" s="1"/>
  <c r="H923" i="34"/>
  <c r="O895" i="34"/>
  <c r="O922" i="34" s="1"/>
  <c r="I895" i="34"/>
  <c r="I922" i="34" s="1"/>
  <c r="H922" i="34"/>
  <c r="O894" i="34"/>
  <c r="O921" i="34" s="1"/>
  <c r="I894" i="34"/>
  <c r="I921" i="34" s="1"/>
  <c r="H921" i="34"/>
  <c r="O893" i="34"/>
  <c r="O920" i="34" s="1"/>
  <c r="I893" i="34"/>
  <c r="I920" i="34" s="1"/>
  <c r="H920" i="34"/>
  <c r="O892" i="34"/>
  <c r="O919" i="34" s="1"/>
  <c r="I892" i="34"/>
  <c r="I919" i="34" s="1"/>
  <c r="H919" i="34"/>
  <c r="O891" i="34"/>
  <c r="O918" i="34" s="1"/>
  <c r="I891" i="34"/>
  <c r="I918" i="34" s="1"/>
  <c r="H918" i="34"/>
  <c r="O890" i="34"/>
  <c r="O917" i="34" s="1"/>
  <c r="I890" i="34"/>
  <c r="I917" i="34" s="1"/>
  <c r="H917" i="34"/>
  <c r="O889" i="34"/>
  <c r="O916" i="34" s="1"/>
  <c r="I889" i="34"/>
  <c r="I916" i="34" s="1"/>
  <c r="H916" i="34"/>
  <c r="O888" i="34"/>
  <c r="O915" i="34" s="1"/>
  <c r="I888" i="34"/>
  <c r="I915" i="34" s="1"/>
  <c r="H915" i="34"/>
  <c r="O887" i="34"/>
  <c r="O914" i="34" s="1"/>
  <c r="I887" i="34"/>
  <c r="I914" i="34" s="1"/>
  <c r="H914" i="34"/>
  <c r="O913" i="34"/>
  <c r="I886" i="34"/>
  <c r="I913" i="34" s="1"/>
  <c r="H913" i="34"/>
  <c r="B877" i="34"/>
  <c r="B878" i="34"/>
  <c r="Q876" i="34"/>
  <c r="AR831" i="34"/>
  <c r="AG831" i="34"/>
  <c r="AS828" i="34"/>
  <c r="AH828" i="34"/>
  <c r="AS826" i="34"/>
  <c r="B851" i="34"/>
  <c r="Q847" i="34"/>
  <c r="B825" i="34"/>
  <c r="Q821" i="34"/>
  <c r="AF795" i="34"/>
  <c r="AS794" i="34"/>
  <c r="AN794" i="34"/>
  <c r="G814" i="34"/>
  <c r="G843" i="34" s="1"/>
  <c r="F814" i="34"/>
  <c r="F843" i="34" s="1"/>
  <c r="G813" i="34"/>
  <c r="G842" i="34" s="1"/>
  <c r="F813" i="34"/>
  <c r="F842" i="34" s="1"/>
  <c r="G812" i="34"/>
  <c r="G841" i="34" s="1"/>
  <c r="F812" i="34"/>
  <c r="F841" i="34" s="1"/>
  <c r="G811" i="34"/>
  <c r="G840" i="34" s="1"/>
  <c r="F811" i="34"/>
  <c r="F840" i="34" s="1"/>
  <c r="G810" i="34"/>
  <c r="G839" i="34" s="1"/>
  <c r="F810" i="34"/>
  <c r="F839" i="34" s="1"/>
  <c r="G809" i="34"/>
  <c r="G838" i="34" s="1"/>
  <c r="F809" i="34"/>
  <c r="F838" i="34" s="1"/>
  <c r="G808" i="34"/>
  <c r="G837" i="34" s="1"/>
  <c r="F808" i="34"/>
  <c r="F837" i="34" s="1"/>
  <c r="G807" i="34"/>
  <c r="G836" i="34" s="1"/>
  <c r="F807" i="34"/>
  <c r="F836" i="34" s="1"/>
  <c r="G806" i="34"/>
  <c r="G835" i="34" s="1"/>
  <c r="F806" i="34"/>
  <c r="F835" i="34" s="1"/>
  <c r="G805" i="34"/>
  <c r="G834" i="34" s="1"/>
  <c r="F805" i="34"/>
  <c r="F834" i="34" s="1"/>
  <c r="G804" i="34"/>
  <c r="G833" i="34" s="1"/>
  <c r="F804" i="34"/>
  <c r="F833" i="34" s="1"/>
  <c r="G803" i="34"/>
  <c r="G832" i="34" s="1"/>
  <c r="F803" i="34"/>
  <c r="F832" i="34" s="1"/>
  <c r="B796" i="34"/>
  <c r="Q792" i="34"/>
  <c r="A774" i="34"/>
  <c r="A772" i="34"/>
  <c r="Q768" i="34"/>
  <c r="P762" i="34"/>
  <c r="O762" i="34"/>
  <c r="N762" i="34"/>
  <c r="L762" i="34"/>
  <c r="K762" i="34"/>
  <c r="J762" i="34"/>
  <c r="H762" i="34"/>
  <c r="G762" i="34"/>
  <c r="F762" i="34"/>
  <c r="D762" i="34"/>
  <c r="C762" i="34"/>
  <c r="B762" i="34"/>
  <c r="P760" i="34"/>
  <c r="L760" i="34"/>
  <c r="K760" i="34"/>
  <c r="J760" i="34"/>
  <c r="H760" i="34"/>
  <c r="G760" i="34"/>
  <c r="F760" i="34"/>
  <c r="D760" i="34"/>
  <c r="C760" i="34"/>
  <c r="P759" i="34"/>
  <c r="O759" i="34"/>
  <c r="N759" i="34"/>
  <c r="L759" i="34"/>
  <c r="K759" i="34"/>
  <c r="J759" i="34"/>
  <c r="H759" i="34"/>
  <c r="G759" i="34"/>
  <c r="F759" i="34"/>
  <c r="D759" i="34"/>
  <c r="C759" i="34"/>
  <c r="B759" i="34"/>
  <c r="P753" i="34"/>
  <c r="O753" i="34"/>
  <c r="N753" i="34"/>
  <c r="L753" i="34"/>
  <c r="K753" i="34"/>
  <c r="J753" i="34"/>
  <c r="H753" i="34"/>
  <c r="G753" i="34"/>
  <c r="F753" i="34"/>
  <c r="D753" i="34"/>
  <c r="C753" i="34"/>
  <c r="C755" i="34" s="1"/>
  <c r="C784" i="34" s="1"/>
  <c r="B753" i="34"/>
  <c r="P750" i="34"/>
  <c r="O750" i="34"/>
  <c r="N750" i="34"/>
  <c r="L750" i="34"/>
  <c r="K750" i="34"/>
  <c r="J750" i="34"/>
  <c r="H750" i="34"/>
  <c r="G750" i="34"/>
  <c r="F750" i="34"/>
  <c r="D750" i="34"/>
  <c r="C750" i="34"/>
  <c r="B750" i="34"/>
  <c r="P748" i="34"/>
  <c r="O748" i="34"/>
  <c r="N748" i="34"/>
  <c r="L748" i="34"/>
  <c r="K748" i="34"/>
  <c r="J748" i="34"/>
  <c r="H748" i="34"/>
  <c r="G748" i="34"/>
  <c r="F748" i="34"/>
  <c r="D748" i="34"/>
  <c r="C748" i="34"/>
  <c r="B748" i="34"/>
  <c r="P745" i="34"/>
  <c r="O745" i="34"/>
  <c r="N745" i="34"/>
  <c r="L745" i="34"/>
  <c r="K745" i="34"/>
  <c r="J745" i="34"/>
  <c r="H745" i="34"/>
  <c r="G745" i="34"/>
  <c r="F745" i="34"/>
  <c r="D745" i="34"/>
  <c r="C745" i="34"/>
  <c r="B745" i="34"/>
  <c r="J744" i="34"/>
  <c r="H744" i="34"/>
  <c r="G744" i="34"/>
  <c r="F744" i="34"/>
  <c r="D744" i="34"/>
  <c r="C744" i="34"/>
  <c r="B744" i="34"/>
  <c r="P743" i="34"/>
  <c r="O743" i="34"/>
  <c r="N743" i="34"/>
  <c r="L743" i="34"/>
  <c r="K743" i="34"/>
  <c r="J743" i="34"/>
  <c r="H743" i="34"/>
  <c r="G743" i="34"/>
  <c r="F743" i="34"/>
  <c r="D743" i="34"/>
  <c r="C743" i="34"/>
  <c r="B743" i="34"/>
  <c r="P742" i="34"/>
  <c r="O742" i="34"/>
  <c r="L742" i="34"/>
  <c r="K742" i="34"/>
  <c r="J742" i="34"/>
  <c r="G742" i="34"/>
  <c r="F742" i="34"/>
  <c r="D742" i="34"/>
  <c r="C742" i="34"/>
  <c r="B742" i="34"/>
  <c r="P741" i="34"/>
  <c r="L741" i="34"/>
  <c r="K741" i="34"/>
  <c r="J741" i="34"/>
  <c r="G741" i="34"/>
  <c r="C741" i="34"/>
  <c r="P740" i="34"/>
  <c r="L740" i="34"/>
  <c r="H740" i="34"/>
  <c r="C740" i="34"/>
  <c r="A733" i="34"/>
  <c r="A731" i="34"/>
  <c r="Q727" i="34"/>
  <c r="Q720" i="34"/>
  <c r="M720" i="34"/>
  <c r="I720" i="34"/>
  <c r="E720" i="34"/>
  <c r="P718" i="34"/>
  <c r="O718" i="34"/>
  <c r="N718" i="34"/>
  <c r="L718" i="34"/>
  <c r="K718" i="34"/>
  <c r="J718" i="34"/>
  <c r="H718" i="34"/>
  <c r="G718" i="34"/>
  <c r="F718" i="34"/>
  <c r="D718" i="34"/>
  <c r="C718" i="34"/>
  <c r="B718" i="34"/>
  <c r="P717" i="34"/>
  <c r="O717" i="34"/>
  <c r="N717" i="34"/>
  <c r="L717" i="34"/>
  <c r="K717" i="34"/>
  <c r="J717" i="34"/>
  <c r="H717" i="34"/>
  <c r="G717" i="34"/>
  <c r="F717" i="34"/>
  <c r="D717" i="34"/>
  <c r="C717" i="34"/>
  <c r="B717" i="34"/>
  <c r="Q714" i="34"/>
  <c r="M714" i="34"/>
  <c r="I714" i="34"/>
  <c r="E714" i="34"/>
  <c r="Q713" i="34"/>
  <c r="M713" i="34"/>
  <c r="I713" i="34"/>
  <c r="E713" i="34"/>
  <c r="Q711" i="34"/>
  <c r="M711" i="34"/>
  <c r="I711" i="34"/>
  <c r="E711" i="34"/>
  <c r="Q710" i="34"/>
  <c r="M710" i="34"/>
  <c r="I710" i="34"/>
  <c r="E710" i="34"/>
  <c r="P707" i="34"/>
  <c r="O707" i="34"/>
  <c r="N707" i="34"/>
  <c r="L707" i="34"/>
  <c r="K707" i="34"/>
  <c r="J707" i="34"/>
  <c r="H707" i="34"/>
  <c r="G707" i="34"/>
  <c r="F707" i="34"/>
  <c r="D707" i="34"/>
  <c r="C707" i="34"/>
  <c r="B707" i="34"/>
  <c r="Q706" i="34"/>
  <c r="M706" i="34"/>
  <c r="I706" i="34"/>
  <c r="E706" i="34"/>
  <c r="Q705" i="34"/>
  <c r="M705" i="34"/>
  <c r="I705" i="34"/>
  <c r="E705" i="34"/>
  <c r="Q704" i="34"/>
  <c r="M704" i="34"/>
  <c r="I704" i="34"/>
  <c r="E704" i="34"/>
  <c r="Q702" i="34"/>
  <c r="M702" i="34"/>
  <c r="I702" i="34"/>
  <c r="E702" i="34"/>
  <c r="Q701" i="34"/>
  <c r="M701" i="34"/>
  <c r="I701" i="34"/>
  <c r="E701" i="34"/>
  <c r="P698" i="34"/>
  <c r="O698" i="34"/>
  <c r="N698" i="34"/>
  <c r="L698" i="34"/>
  <c r="K698" i="34"/>
  <c r="J698" i="34"/>
  <c r="H698" i="34"/>
  <c r="G698" i="34"/>
  <c r="F698" i="34"/>
  <c r="D698" i="34"/>
  <c r="C698" i="34"/>
  <c r="B698" i="34"/>
  <c r="Q696" i="34"/>
  <c r="M696" i="34"/>
  <c r="I696" i="34"/>
  <c r="E696" i="34"/>
  <c r="P693" i="34"/>
  <c r="O693" i="34"/>
  <c r="L693" i="34"/>
  <c r="K693" i="34"/>
  <c r="J693" i="34"/>
  <c r="H693" i="34"/>
  <c r="G693" i="34"/>
  <c r="F693" i="34"/>
  <c r="D693" i="34"/>
  <c r="C693" i="34"/>
  <c r="B693" i="34"/>
  <c r="M691" i="34"/>
  <c r="I691" i="34"/>
  <c r="E691" i="34"/>
  <c r="Q688" i="34"/>
  <c r="M688" i="34"/>
  <c r="I688" i="34"/>
  <c r="E688" i="34"/>
  <c r="Q687" i="34"/>
  <c r="M687" i="34"/>
  <c r="I687" i="34"/>
  <c r="E687" i="34"/>
  <c r="Q686" i="34"/>
  <c r="M686" i="34"/>
  <c r="I686" i="34"/>
  <c r="E686" i="34"/>
  <c r="Q674" i="34"/>
  <c r="M674" i="34"/>
  <c r="I674" i="34"/>
  <c r="E674" i="34"/>
  <c r="Q673" i="34"/>
  <c r="P671" i="34"/>
  <c r="O671" i="34"/>
  <c r="N671" i="34"/>
  <c r="L671" i="34"/>
  <c r="K671" i="34"/>
  <c r="J671" i="34"/>
  <c r="H671" i="34"/>
  <c r="G671" i="34"/>
  <c r="F671" i="34"/>
  <c r="D671" i="34"/>
  <c r="C671" i="34"/>
  <c r="B671" i="34"/>
  <c r="M670" i="34"/>
  <c r="E670" i="34"/>
  <c r="P664" i="34"/>
  <c r="O664" i="34"/>
  <c r="N664" i="34"/>
  <c r="L664" i="34"/>
  <c r="K664" i="34"/>
  <c r="J664" i="34"/>
  <c r="H664" i="34"/>
  <c r="G664" i="34"/>
  <c r="F664" i="34"/>
  <c r="D664" i="34"/>
  <c r="C664" i="34"/>
  <c r="B664" i="34"/>
  <c r="P660" i="34"/>
  <c r="O660" i="34"/>
  <c r="N660" i="34"/>
  <c r="L660" i="34"/>
  <c r="K660" i="34"/>
  <c r="J660" i="34"/>
  <c r="H660" i="34"/>
  <c r="G660" i="34"/>
  <c r="F660" i="34"/>
  <c r="D660" i="34"/>
  <c r="C660" i="34"/>
  <c r="B660" i="34"/>
  <c r="P656" i="34"/>
  <c r="O656" i="34"/>
  <c r="N656" i="34"/>
  <c r="L656" i="34"/>
  <c r="K656" i="34"/>
  <c r="J656" i="34"/>
  <c r="H656" i="34"/>
  <c r="G656" i="34"/>
  <c r="F656" i="34"/>
  <c r="D656" i="34"/>
  <c r="C656" i="34"/>
  <c r="B656" i="34"/>
  <c r="Q652" i="34"/>
  <c r="M652" i="34"/>
  <c r="I652" i="34"/>
  <c r="E652" i="34"/>
  <c r="P642" i="34"/>
  <c r="P643" i="34" s="1"/>
  <c r="O642" i="34"/>
  <c r="O643" i="34" s="1"/>
  <c r="N642" i="34"/>
  <c r="N643" i="34" s="1"/>
  <c r="L642" i="34"/>
  <c r="L643" i="34" s="1"/>
  <c r="K642" i="34"/>
  <c r="K643" i="34" s="1"/>
  <c r="J642" i="34"/>
  <c r="J643" i="34" s="1"/>
  <c r="H642" i="34"/>
  <c r="H643" i="34" s="1"/>
  <c r="G642" i="34"/>
  <c r="G643" i="34" s="1"/>
  <c r="F642" i="34"/>
  <c r="F643" i="34" s="1"/>
  <c r="D642" i="34"/>
  <c r="D643" i="34" s="1"/>
  <c r="C642" i="34"/>
  <c r="C643" i="34" s="1"/>
  <c r="B642" i="34"/>
  <c r="B643" i="34" s="1"/>
  <c r="Q640" i="34"/>
  <c r="M640" i="34"/>
  <c r="I640" i="34"/>
  <c r="E640" i="34"/>
  <c r="Q630" i="34"/>
  <c r="M630" i="34"/>
  <c r="I630" i="34"/>
  <c r="E630" i="34"/>
  <c r="P628" i="34"/>
  <c r="O628" i="34"/>
  <c r="N628" i="34"/>
  <c r="L628" i="34"/>
  <c r="K628" i="34"/>
  <c r="J628" i="34"/>
  <c r="H628" i="34"/>
  <c r="G628" i="34"/>
  <c r="F628" i="34"/>
  <c r="D628" i="34"/>
  <c r="C628" i="34"/>
  <c r="B628" i="34"/>
  <c r="P627" i="34"/>
  <c r="O627" i="34"/>
  <c r="N627" i="34"/>
  <c r="L627" i="34"/>
  <c r="K627" i="34"/>
  <c r="J627" i="34"/>
  <c r="H627" i="34"/>
  <c r="G627" i="34"/>
  <c r="F627" i="34"/>
  <c r="D627" i="34"/>
  <c r="C627" i="34"/>
  <c r="B627" i="34"/>
  <c r="Q624" i="34"/>
  <c r="M624" i="34"/>
  <c r="I624" i="34"/>
  <c r="E624" i="34"/>
  <c r="Q623" i="34"/>
  <c r="M623" i="34"/>
  <c r="I623" i="34"/>
  <c r="E623" i="34"/>
  <c r="Q622" i="34"/>
  <c r="M622" i="34"/>
  <c r="I622" i="34"/>
  <c r="E622" i="34"/>
  <c r="Q621" i="34"/>
  <c r="M621" i="34"/>
  <c r="I621" i="34"/>
  <c r="E621" i="34"/>
  <c r="P617" i="34"/>
  <c r="O617" i="34"/>
  <c r="N617" i="34"/>
  <c r="L617" i="34"/>
  <c r="K617" i="34"/>
  <c r="J617" i="34"/>
  <c r="H617" i="34"/>
  <c r="G617" i="34"/>
  <c r="F617" i="34"/>
  <c r="D617" i="34"/>
  <c r="C617" i="34"/>
  <c r="B617" i="34"/>
  <c r="Q616" i="34"/>
  <c r="M616" i="34"/>
  <c r="I616" i="34"/>
  <c r="E616" i="34"/>
  <c r="Q615" i="34"/>
  <c r="M615" i="34"/>
  <c r="I615" i="34"/>
  <c r="E615" i="34"/>
  <c r="Q613" i="34"/>
  <c r="M613" i="34"/>
  <c r="I613" i="34"/>
  <c r="E613" i="34"/>
  <c r="Q611" i="34"/>
  <c r="M611" i="34"/>
  <c r="I611" i="34"/>
  <c r="E611" i="34"/>
  <c r="P608" i="34"/>
  <c r="O608" i="34"/>
  <c r="N608" i="34"/>
  <c r="L608" i="34"/>
  <c r="K608" i="34"/>
  <c r="J608" i="34"/>
  <c r="H608" i="34"/>
  <c r="G608" i="34"/>
  <c r="F608" i="34"/>
  <c r="D608" i="34"/>
  <c r="C608" i="34"/>
  <c r="B608" i="34"/>
  <c r="P604" i="34"/>
  <c r="O604" i="34"/>
  <c r="N604" i="34"/>
  <c r="L604" i="34"/>
  <c r="J604" i="34"/>
  <c r="H604" i="34"/>
  <c r="D604" i="34"/>
  <c r="C604" i="34"/>
  <c r="B604" i="34"/>
  <c r="Q600" i="34"/>
  <c r="M600" i="34"/>
  <c r="I600" i="34"/>
  <c r="E600" i="34"/>
  <c r="Q599" i="34"/>
  <c r="M599" i="34"/>
  <c r="I599" i="34"/>
  <c r="E599" i="34"/>
  <c r="Q598" i="34"/>
  <c r="J740" i="34"/>
  <c r="G604" i="34"/>
  <c r="E598" i="34"/>
  <c r="Q586" i="34"/>
  <c r="M586" i="34"/>
  <c r="I586" i="34"/>
  <c r="E586" i="34"/>
  <c r="P584" i="34"/>
  <c r="O584" i="34"/>
  <c r="N584" i="34"/>
  <c r="L584" i="34"/>
  <c r="K584" i="34"/>
  <c r="J584" i="34"/>
  <c r="H584" i="34"/>
  <c r="G584" i="34"/>
  <c r="F584" i="34"/>
  <c r="D584" i="34"/>
  <c r="C584" i="34"/>
  <c r="B584" i="34"/>
  <c r="P583" i="34"/>
  <c r="O583" i="34"/>
  <c r="N583" i="34"/>
  <c r="L583" i="34"/>
  <c r="K583" i="34"/>
  <c r="J583" i="34"/>
  <c r="H583" i="34"/>
  <c r="G583" i="34"/>
  <c r="F583" i="34"/>
  <c r="D583" i="34"/>
  <c r="C583" i="34"/>
  <c r="B583" i="34"/>
  <c r="Q580" i="34"/>
  <c r="M580" i="34"/>
  <c r="I580" i="34"/>
  <c r="E580" i="34"/>
  <c r="P576" i="34"/>
  <c r="O576" i="34"/>
  <c r="N576" i="34"/>
  <c r="L576" i="34"/>
  <c r="K576" i="34"/>
  <c r="J576" i="34"/>
  <c r="H576" i="34"/>
  <c r="G576" i="34"/>
  <c r="F576" i="34"/>
  <c r="D576" i="34"/>
  <c r="C576" i="34"/>
  <c r="B576" i="34"/>
  <c r="P572" i="34"/>
  <c r="O572" i="34"/>
  <c r="N572" i="34"/>
  <c r="L572" i="34"/>
  <c r="K572" i="34"/>
  <c r="J572" i="34"/>
  <c r="H572" i="34"/>
  <c r="G572" i="34"/>
  <c r="F572" i="34"/>
  <c r="D572" i="34"/>
  <c r="C572" i="34"/>
  <c r="B572" i="34"/>
  <c r="P568" i="34"/>
  <c r="O568" i="34"/>
  <c r="N568" i="34"/>
  <c r="L568" i="34"/>
  <c r="K568" i="34"/>
  <c r="J568" i="34"/>
  <c r="H568" i="34"/>
  <c r="G568" i="34"/>
  <c r="F568" i="34"/>
  <c r="D568" i="34"/>
  <c r="C568" i="34"/>
  <c r="B568" i="34"/>
  <c r="Q564" i="34"/>
  <c r="M564" i="34"/>
  <c r="I564" i="34"/>
  <c r="E564" i="34"/>
  <c r="Q562" i="34"/>
  <c r="M562" i="34"/>
  <c r="I562" i="34"/>
  <c r="E562" i="34"/>
  <c r="P552" i="34"/>
  <c r="P553" i="34" s="1"/>
  <c r="O552" i="34"/>
  <c r="O553" i="34" s="1"/>
  <c r="N552" i="34"/>
  <c r="N553" i="34" s="1"/>
  <c r="L552" i="34"/>
  <c r="L553" i="34" s="1"/>
  <c r="K552" i="34"/>
  <c r="K553" i="34" s="1"/>
  <c r="J552" i="34"/>
  <c r="J553" i="34" s="1"/>
  <c r="H552" i="34"/>
  <c r="H553" i="34" s="1"/>
  <c r="G552" i="34"/>
  <c r="G553" i="34" s="1"/>
  <c r="F552" i="34"/>
  <c r="F553" i="34" s="1"/>
  <c r="D552" i="34"/>
  <c r="D553" i="34" s="1"/>
  <c r="C552" i="34"/>
  <c r="C553" i="34" s="1"/>
  <c r="B552" i="34"/>
  <c r="B553" i="34" s="1"/>
  <c r="Q550" i="34"/>
  <c r="M550" i="34"/>
  <c r="I550" i="34"/>
  <c r="E550" i="34"/>
  <c r="Q540" i="34"/>
  <c r="M540" i="34"/>
  <c r="I540" i="34"/>
  <c r="E540" i="34"/>
  <c r="P538" i="34"/>
  <c r="O538" i="34"/>
  <c r="N538" i="34"/>
  <c r="L538" i="34"/>
  <c r="K538" i="34"/>
  <c r="J538" i="34"/>
  <c r="H538" i="34"/>
  <c r="G538" i="34"/>
  <c r="F538" i="34"/>
  <c r="D538" i="34"/>
  <c r="C538" i="34"/>
  <c r="B538" i="34"/>
  <c r="Q537" i="34"/>
  <c r="I537" i="34"/>
  <c r="Q536" i="34"/>
  <c r="M536" i="34"/>
  <c r="I536" i="34"/>
  <c r="E536" i="34"/>
  <c r="Q535" i="34"/>
  <c r="M535" i="34"/>
  <c r="I535" i="34"/>
  <c r="E535" i="34"/>
  <c r="Q532" i="34"/>
  <c r="M532" i="34"/>
  <c r="I532" i="34"/>
  <c r="E532" i="34"/>
  <c r="Q531" i="34"/>
  <c r="M531" i="34"/>
  <c r="I531" i="34"/>
  <c r="E531" i="34"/>
  <c r="Q530" i="34"/>
  <c r="M530" i="34"/>
  <c r="I530" i="34"/>
  <c r="E530" i="34"/>
  <c r="Q529" i="34"/>
  <c r="M529" i="34"/>
  <c r="I529" i="34"/>
  <c r="E529" i="34"/>
  <c r="Q527" i="34"/>
  <c r="M527" i="34"/>
  <c r="I527" i="34"/>
  <c r="E527" i="34"/>
  <c r="Q526" i="34"/>
  <c r="M526" i="34"/>
  <c r="I526" i="34"/>
  <c r="E526" i="34"/>
  <c r="P523" i="34"/>
  <c r="O523" i="34"/>
  <c r="N523" i="34"/>
  <c r="L523" i="34"/>
  <c r="K523" i="34"/>
  <c r="J523" i="34"/>
  <c r="H523" i="34"/>
  <c r="G523" i="34"/>
  <c r="F523" i="34"/>
  <c r="D523" i="34"/>
  <c r="C523" i="34"/>
  <c r="B523" i="34"/>
  <c r="Q522" i="34"/>
  <c r="M522" i="34"/>
  <c r="I522" i="34"/>
  <c r="E522" i="34"/>
  <c r="P518" i="34"/>
  <c r="O518" i="34"/>
  <c r="N518" i="34"/>
  <c r="L518" i="34"/>
  <c r="K518" i="34"/>
  <c r="J518" i="34"/>
  <c r="H518" i="34"/>
  <c r="G518" i="34"/>
  <c r="F518" i="34"/>
  <c r="D518" i="34"/>
  <c r="C518" i="34"/>
  <c r="B518" i="34"/>
  <c r="Q516" i="34"/>
  <c r="M516" i="34"/>
  <c r="I516" i="34"/>
  <c r="E516" i="34"/>
  <c r="Q515" i="34"/>
  <c r="M515" i="34"/>
  <c r="I515" i="34"/>
  <c r="E515" i="34"/>
  <c r="P512" i="34"/>
  <c r="O512" i="34"/>
  <c r="N512" i="34"/>
  <c r="L512" i="34"/>
  <c r="K512" i="34"/>
  <c r="J512" i="34"/>
  <c r="H512" i="34"/>
  <c r="G512" i="34"/>
  <c r="F512" i="34"/>
  <c r="D512" i="34"/>
  <c r="C512" i="34"/>
  <c r="B512" i="34"/>
  <c r="Q510" i="34"/>
  <c r="M510" i="34"/>
  <c r="I510" i="34"/>
  <c r="E510" i="34"/>
  <c r="Q508" i="34"/>
  <c r="M508" i="34"/>
  <c r="I508" i="34"/>
  <c r="E508" i="34"/>
  <c r="Q506" i="34"/>
  <c r="M506" i="34"/>
  <c r="I506" i="34"/>
  <c r="E506" i="34"/>
  <c r="Q505" i="34"/>
  <c r="M505" i="34"/>
  <c r="I505" i="34"/>
  <c r="E505" i="34"/>
  <c r="Q504" i="34"/>
  <c r="M504" i="34"/>
  <c r="I504" i="34"/>
  <c r="E504" i="34"/>
  <c r="Q503" i="34"/>
  <c r="M503" i="34"/>
  <c r="I503" i="34"/>
  <c r="E503" i="34"/>
  <c r="Q502" i="34"/>
  <c r="M502" i="34"/>
  <c r="I502" i="34"/>
  <c r="E502" i="34"/>
  <c r="Q501" i="34"/>
  <c r="M501" i="34"/>
  <c r="I501" i="34"/>
  <c r="E501" i="34"/>
  <c r="Q500" i="34"/>
  <c r="M500" i="34"/>
  <c r="I500" i="34"/>
  <c r="E500" i="34"/>
  <c r="Q499" i="34"/>
  <c r="M499" i="34"/>
  <c r="I499" i="34"/>
  <c r="E499" i="34"/>
  <c r="Q487" i="34"/>
  <c r="M487" i="34"/>
  <c r="I487" i="34"/>
  <c r="E487" i="34"/>
  <c r="P485" i="34"/>
  <c r="O485" i="34"/>
  <c r="N485" i="34"/>
  <c r="L485" i="34"/>
  <c r="K485" i="34"/>
  <c r="J485" i="34"/>
  <c r="H485" i="34"/>
  <c r="G485" i="34"/>
  <c r="F485" i="34"/>
  <c r="D485" i="34"/>
  <c r="C485" i="34"/>
  <c r="B485" i="34"/>
  <c r="P484" i="34"/>
  <c r="O484" i="34"/>
  <c r="N484" i="34"/>
  <c r="L484" i="34"/>
  <c r="K484" i="34"/>
  <c r="J484" i="34"/>
  <c r="H484" i="34"/>
  <c r="G484" i="34"/>
  <c r="F484" i="34"/>
  <c r="D484" i="34"/>
  <c r="C484" i="34"/>
  <c r="B484" i="34"/>
  <c r="Q483" i="34"/>
  <c r="M483" i="34"/>
  <c r="I483" i="34"/>
  <c r="E483" i="34"/>
  <c r="Q482" i="34"/>
  <c r="M482" i="34"/>
  <c r="I482" i="34"/>
  <c r="E482" i="34"/>
  <c r="Q481" i="34"/>
  <c r="M481" i="34"/>
  <c r="I481" i="34"/>
  <c r="E481" i="34"/>
  <c r="Q479" i="34"/>
  <c r="M479" i="34"/>
  <c r="I479" i="34"/>
  <c r="E479" i="34"/>
  <c r="P469" i="34"/>
  <c r="O469" i="34"/>
  <c r="N469" i="34"/>
  <c r="L469" i="34"/>
  <c r="K469" i="34"/>
  <c r="J469" i="34"/>
  <c r="H469" i="34"/>
  <c r="G469" i="34"/>
  <c r="F469" i="34"/>
  <c r="D469" i="34"/>
  <c r="C469" i="34"/>
  <c r="Q467" i="34"/>
  <c r="M467" i="34"/>
  <c r="E467" i="34"/>
  <c r="Q466" i="34"/>
  <c r="M466" i="34"/>
  <c r="I466" i="34"/>
  <c r="E466" i="34"/>
  <c r="P463" i="34"/>
  <c r="O463" i="34"/>
  <c r="N463" i="34"/>
  <c r="L463" i="34"/>
  <c r="K463" i="34"/>
  <c r="J463" i="34"/>
  <c r="H463" i="34"/>
  <c r="G463" i="34"/>
  <c r="F463" i="34"/>
  <c r="D463" i="34"/>
  <c r="C463" i="34"/>
  <c r="Q459" i="34"/>
  <c r="M459" i="34"/>
  <c r="I459" i="34"/>
  <c r="E459" i="34"/>
  <c r="Q458" i="34"/>
  <c r="M458" i="34"/>
  <c r="I458" i="34"/>
  <c r="E458" i="34"/>
  <c r="Q457" i="34"/>
  <c r="M457" i="34"/>
  <c r="I457" i="34"/>
  <c r="E457" i="34"/>
  <c r="Q445" i="34"/>
  <c r="M445" i="34"/>
  <c r="I445" i="34"/>
  <c r="E445" i="34"/>
  <c r="P443" i="34"/>
  <c r="O443" i="34"/>
  <c r="N443" i="34"/>
  <c r="L443" i="34"/>
  <c r="K443" i="34"/>
  <c r="J443" i="34"/>
  <c r="H443" i="34"/>
  <c r="G443" i="34"/>
  <c r="F443" i="34"/>
  <c r="D443" i="34"/>
  <c r="C443" i="34"/>
  <c r="P442" i="34"/>
  <c r="O442" i="34"/>
  <c r="N442" i="34"/>
  <c r="L442" i="34"/>
  <c r="K442" i="34"/>
  <c r="J442" i="34"/>
  <c r="H442" i="34"/>
  <c r="G442" i="34"/>
  <c r="F442" i="34"/>
  <c r="D442" i="34"/>
  <c r="C442" i="34"/>
  <c r="B442" i="34"/>
  <c r="Q441" i="34"/>
  <c r="M441" i="34"/>
  <c r="I441" i="34"/>
  <c r="E441" i="34"/>
  <c r="Q440" i="34"/>
  <c r="M440" i="34"/>
  <c r="I440" i="34"/>
  <c r="E440" i="34"/>
  <c r="P429" i="34"/>
  <c r="O429" i="34"/>
  <c r="N429" i="34"/>
  <c r="L429" i="34"/>
  <c r="K429" i="34"/>
  <c r="J429" i="34"/>
  <c r="H429" i="34"/>
  <c r="G429" i="34"/>
  <c r="F429" i="34"/>
  <c r="D429" i="34"/>
  <c r="C429" i="34"/>
  <c r="Q427" i="34"/>
  <c r="I427" i="34"/>
  <c r="E427" i="34"/>
  <c r="P424" i="34"/>
  <c r="O424" i="34"/>
  <c r="N424" i="34"/>
  <c r="L424" i="34"/>
  <c r="K424" i="34"/>
  <c r="J424" i="34"/>
  <c r="H424" i="34"/>
  <c r="G424" i="34"/>
  <c r="F424" i="34"/>
  <c r="D424" i="34"/>
  <c r="C424" i="34"/>
  <c r="Q421" i="34"/>
  <c r="M421" i="34"/>
  <c r="I421" i="34"/>
  <c r="E421" i="34"/>
  <c r="Q420" i="34"/>
  <c r="M420" i="34"/>
  <c r="I420" i="34"/>
  <c r="E420" i="34"/>
  <c r="Q419" i="34"/>
  <c r="M419" i="34"/>
  <c r="I419" i="34"/>
  <c r="E419" i="34"/>
  <c r="Q417" i="34"/>
  <c r="M417" i="34"/>
  <c r="I417" i="34"/>
  <c r="E417" i="34"/>
  <c r="Q416" i="34"/>
  <c r="M416" i="34"/>
  <c r="I416" i="34"/>
  <c r="E416" i="34"/>
  <c r="Q398" i="34"/>
  <c r="M398" i="34"/>
  <c r="I398" i="34"/>
  <c r="E398" i="34"/>
  <c r="Q397" i="34"/>
  <c r="M397" i="34"/>
  <c r="I397" i="34"/>
  <c r="E397" i="34"/>
  <c r="Q396" i="34"/>
  <c r="M396" i="34"/>
  <c r="I396" i="34"/>
  <c r="E396" i="34"/>
  <c r="P394" i="34"/>
  <c r="O394" i="34"/>
  <c r="N394" i="34"/>
  <c r="L394" i="34"/>
  <c r="K394" i="34"/>
  <c r="J394" i="34"/>
  <c r="H394" i="34"/>
  <c r="G394" i="34"/>
  <c r="F394" i="34"/>
  <c r="D394" i="34"/>
  <c r="C394" i="34"/>
  <c r="Q392" i="34"/>
  <c r="M392" i="34"/>
  <c r="I392" i="34"/>
  <c r="E392" i="34"/>
  <c r="Q391" i="34"/>
  <c r="M391" i="34"/>
  <c r="I391" i="34"/>
  <c r="E391" i="34"/>
  <c r="Q390" i="34"/>
  <c r="M390" i="34"/>
  <c r="I390" i="34"/>
  <c r="E390" i="34"/>
  <c r="Q389" i="34"/>
  <c r="M389" i="34"/>
  <c r="I389" i="34"/>
  <c r="E389" i="34"/>
  <c r="Q388" i="34"/>
  <c r="M388" i="34"/>
  <c r="I388" i="34"/>
  <c r="E388" i="34"/>
  <c r="Q387" i="34"/>
  <c r="M387" i="34"/>
  <c r="I387" i="34"/>
  <c r="E387" i="34"/>
  <c r="Q386" i="34"/>
  <c r="M386" i="34"/>
  <c r="I386" i="34"/>
  <c r="E386" i="34"/>
  <c r="Q385" i="34"/>
  <c r="M385" i="34"/>
  <c r="I385" i="34"/>
  <c r="E385" i="34"/>
  <c r="Q382" i="34"/>
  <c r="M382" i="34"/>
  <c r="I382" i="34"/>
  <c r="E382" i="34"/>
  <c r="Q381" i="34"/>
  <c r="M381" i="34"/>
  <c r="I381" i="34"/>
  <c r="E381" i="34"/>
  <c r="Q380" i="34"/>
  <c r="M380" i="34"/>
  <c r="I380" i="34"/>
  <c r="E380" i="34"/>
  <c r="Q379" i="34"/>
  <c r="M379" i="34"/>
  <c r="I379" i="34"/>
  <c r="E379" i="34"/>
  <c r="Q378" i="34"/>
  <c r="M378" i="34"/>
  <c r="I378" i="34"/>
  <c r="E378" i="34"/>
  <c r="Q377" i="34"/>
  <c r="M377" i="34"/>
  <c r="I377" i="34"/>
  <c r="E377" i="34"/>
  <c r="Q375" i="34"/>
  <c r="M375" i="34"/>
  <c r="I375" i="34"/>
  <c r="E375" i="34"/>
  <c r="Q374" i="34"/>
  <c r="M374" i="34"/>
  <c r="I374" i="34"/>
  <c r="E374" i="34"/>
  <c r="Q372" i="34"/>
  <c r="M372" i="34"/>
  <c r="I372" i="34"/>
  <c r="E372" i="34"/>
  <c r="O369" i="34"/>
  <c r="N369" i="34"/>
  <c r="L369" i="34"/>
  <c r="K369" i="34"/>
  <c r="J369" i="34"/>
  <c r="H369" i="34"/>
  <c r="G369" i="34"/>
  <c r="D369" i="34"/>
  <c r="C369" i="34"/>
  <c r="Q368" i="34"/>
  <c r="M368" i="34"/>
  <c r="I368" i="34"/>
  <c r="E368" i="34"/>
  <c r="Q367" i="34"/>
  <c r="M367" i="34"/>
  <c r="I367" i="34"/>
  <c r="E367" i="34"/>
  <c r="Q365" i="34"/>
  <c r="M365" i="34"/>
  <c r="I365" i="34"/>
  <c r="E365" i="34"/>
  <c r="Q364" i="34"/>
  <c r="M364" i="34"/>
  <c r="I364" i="34"/>
  <c r="E364" i="34"/>
  <c r="Q363" i="34"/>
  <c r="M363" i="34"/>
  <c r="I363" i="34"/>
  <c r="E363" i="34"/>
  <c r="Q358" i="34"/>
  <c r="M358" i="34"/>
  <c r="I358" i="34"/>
  <c r="E358" i="34"/>
  <c r="Q357" i="34"/>
  <c r="M357" i="34"/>
  <c r="I357" i="34"/>
  <c r="E357" i="34"/>
  <c r="Q362" i="34"/>
  <c r="M362" i="34"/>
  <c r="I362" i="34"/>
  <c r="E362" i="34"/>
  <c r="Q361" i="34"/>
  <c r="M361" i="34"/>
  <c r="I361" i="34"/>
  <c r="E361" i="34"/>
  <c r="Q360" i="34"/>
  <c r="M360" i="34"/>
  <c r="I360" i="34"/>
  <c r="E360" i="34"/>
  <c r="Q356" i="34"/>
  <c r="M356" i="34"/>
  <c r="I356" i="34"/>
  <c r="E356" i="34"/>
  <c r="Q355" i="34"/>
  <c r="M355" i="34"/>
  <c r="I355" i="34"/>
  <c r="E355" i="34"/>
  <c r="Q359" i="34"/>
  <c r="M359" i="34"/>
  <c r="I359" i="34"/>
  <c r="E359" i="34"/>
  <c r="Q353" i="34"/>
  <c r="M353" i="34"/>
  <c r="I353" i="34"/>
  <c r="E353" i="34"/>
  <c r="Q352" i="34"/>
  <c r="M352" i="34"/>
  <c r="I352" i="34"/>
  <c r="E352" i="34"/>
  <c r="Q351" i="34"/>
  <c r="M351" i="34"/>
  <c r="I351" i="34"/>
  <c r="E351" i="34"/>
  <c r="Q349" i="34"/>
  <c r="M349" i="34"/>
  <c r="I349" i="34"/>
  <c r="E349" i="34"/>
  <c r="Q348" i="34"/>
  <c r="M348" i="34"/>
  <c r="I348" i="34"/>
  <c r="E348" i="34"/>
  <c r="Q347" i="34"/>
  <c r="M347" i="34"/>
  <c r="I347" i="34"/>
  <c r="E347" i="34"/>
  <c r="Q346" i="34"/>
  <c r="M346" i="34"/>
  <c r="I346" i="34"/>
  <c r="E346" i="34"/>
  <c r="Q345" i="34"/>
  <c r="M345" i="34"/>
  <c r="I345" i="34"/>
  <c r="E345" i="34"/>
  <c r="Q343" i="34"/>
  <c r="M343" i="34"/>
  <c r="I343" i="34"/>
  <c r="E343" i="34"/>
  <c r="Q342" i="34"/>
  <c r="M342" i="34"/>
  <c r="I342" i="34"/>
  <c r="E342" i="34"/>
  <c r="Q340" i="34"/>
  <c r="M340" i="34"/>
  <c r="I340" i="34"/>
  <c r="E340" i="34"/>
  <c r="Q339" i="34"/>
  <c r="M339" i="34"/>
  <c r="I339" i="34"/>
  <c r="E339" i="34"/>
  <c r="P336" i="34"/>
  <c r="O336" i="34"/>
  <c r="N336" i="34"/>
  <c r="L336" i="34"/>
  <c r="K336" i="34"/>
  <c r="J336" i="34"/>
  <c r="H336" i="34"/>
  <c r="G336" i="34"/>
  <c r="F336" i="34"/>
  <c r="D336" i="34"/>
  <c r="C336" i="34"/>
  <c r="Q334" i="34"/>
  <c r="M334" i="34"/>
  <c r="I334" i="34"/>
  <c r="E334" i="34"/>
  <c r="Q333" i="34"/>
  <c r="M333" i="34"/>
  <c r="I333" i="34"/>
  <c r="E333" i="34"/>
  <c r="Q332" i="34"/>
  <c r="M332" i="34"/>
  <c r="I332" i="34"/>
  <c r="E332" i="34"/>
  <c r="Q331" i="34"/>
  <c r="M331" i="34"/>
  <c r="I331" i="34"/>
  <c r="E331" i="34"/>
  <c r="Q330" i="34"/>
  <c r="M330" i="34"/>
  <c r="I330" i="34"/>
  <c r="E330" i="34"/>
  <c r="Q329" i="34"/>
  <c r="M329" i="34"/>
  <c r="I329" i="34"/>
  <c r="E329" i="34"/>
  <c r="Q328" i="34"/>
  <c r="M328" i="34"/>
  <c r="I328" i="34"/>
  <c r="E328" i="34"/>
  <c r="Q327" i="34"/>
  <c r="M327" i="34"/>
  <c r="I327" i="34"/>
  <c r="E327" i="34"/>
  <c r="P323" i="34"/>
  <c r="L323" i="34"/>
  <c r="K323" i="34"/>
  <c r="J323" i="34"/>
  <c r="H323" i="34"/>
  <c r="F323" i="34"/>
  <c r="D323" i="34"/>
  <c r="C323" i="34"/>
  <c r="Q321" i="34"/>
  <c r="M321" i="34"/>
  <c r="I321" i="34"/>
  <c r="E321" i="34"/>
  <c r="Q320" i="34"/>
  <c r="M320" i="34"/>
  <c r="I320" i="34"/>
  <c r="E320" i="34"/>
  <c r="Q319" i="34"/>
  <c r="M319" i="34"/>
  <c r="I319" i="34"/>
  <c r="E319" i="34"/>
  <c r="Q318" i="34"/>
  <c r="M318" i="34"/>
  <c r="I318" i="34"/>
  <c r="E318" i="34"/>
  <c r="Q316" i="34"/>
  <c r="Q314" i="34"/>
  <c r="M314" i="34"/>
  <c r="I314" i="34"/>
  <c r="E314" i="34"/>
  <c r="Q313" i="34"/>
  <c r="M313" i="34"/>
  <c r="I313" i="34"/>
  <c r="E313" i="34"/>
  <c r="Q312" i="34"/>
  <c r="M312" i="34"/>
  <c r="I312" i="34"/>
  <c r="E312" i="34"/>
  <c r="Q311" i="34"/>
  <c r="M311" i="34"/>
  <c r="I311" i="34"/>
  <c r="E311" i="34"/>
  <c r="Q310" i="34"/>
  <c r="M310" i="34"/>
  <c r="I310" i="34"/>
  <c r="E310" i="34"/>
  <c r="Q309" i="34"/>
  <c r="M309" i="34"/>
  <c r="I309" i="34"/>
  <c r="E309" i="34"/>
  <c r="Q308" i="34"/>
  <c r="M308" i="34"/>
  <c r="I308" i="34"/>
  <c r="E308" i="34"/>
  <c r="Q307" i="34"/>
  <c r="M307" i="34"/>
  <c r="I307" i="34"/>
  <c r="E307" i="34"/>
  <c r="Q306" i="34"/>
  <c r="M306" i="34"/>
  <c r="I306" i="34"/>
  <c r="E306" i="34"/>
  <c r="Q305" i="34"/>
  <c r="M305" i="34"/>
  <c r="I305" i="34"/>
  <c r="E305" i="34"/>
  <c r="Q304" i="34"/>
  <c r="M304" i="34"/>
  <c r="I304" i="34"/>
  <c r="E304" i="34"/>
  <c r="Q303" i="34"/>
  <c r="M303" i="34"/>
  <c r="I303" i="34"/>
  <c r="E303" i="34"/>
  <c r="Q302" i="34"/>
  <c r="M302" i="34"/>
  <c r="I302" i="34"/>
  <c r="E302" i="34"/>
  <c r="Q300" i="34"/>
  <c r="M300" i="34"/>
  <c r="I300" i="34"/>
  <c r="E300" i="34"/>
  <c r="Q299" i="34"/>
  <c r="M299" i="34"/>
  <c r="I299" i="34"/>
  <c r="E299" i="34"/>
  <c r="Q298" i="34"/>
  <c r="M298" i="34"/>
  <c r="I298" i="34"/>
  <c r="E298" i="34"/>
  <c r="Q297" i="34"/>
  <c r="M297" i="34"/>
  <c r="I297" i="34"/>
  <c r="E297" i="34"/>
  <c r="Q296" i="34"/>
  <c r="G323" i="34"/>
  <c r="E296" i="34"/>
  <c r="Q295" i="34"/>
  <c r="M295" i="34"/>
  <c r="I295" i="34"/>
  <c r="E295" i="34"/>
  <c r="Q294" i="34"/>
  <c r="M294" i="34"/>
  <c r="I294" i="34"/>
  <c r="E294" i="34"/>
  <c r="Q293" i="34"/>
  <c r="M293" i="34"/>
  <c r="I293" i="34"/>
  <c r="E293" i="34"/>
  <c r="Q292" i="34"/>
  <c r="M292" i="34"/>
  <c r="I292" i="34"/>
  <c r="E292" i="34"/>
  <c r="Q290" i="34"/>
  <c r="M290" i="34"/>
  <c r="I290" i="34"/>
  <c r="E290" i="34"/>
  <c r="Q289" i="34"/>
  <c r="M289" i="34"/>
  <c r="I289" i="34"/>
  <c r="E289" i="34"/>
  <c r="O740" i="34"/>
  <c r="M287" i="34"/>
  <c r="I287" i="34"/>
  <c r="E287" i="34"/>
  <c r="P279" i="34"/>
  <c r="O279" i="34"/>
  <c r="N279" i="34"/>
  <c r="N280" i="34" s="1"/>
  <c r="L279" i="34"/>
  <c r="J279" i="34"/>
  <c r="H279" i="34"/>
  <c r="G279" i="34"/>
  <c r="F279" i="34"/>
  <c r="D279" i="34"/>
  <c r="C279" i="34"/>
  <c r="C280" i="34" s="1"/>
  <c r="B279" i="34"/>
  <c r="Q277" i="34"/>
  <c r="M277" i="34"/>
  <c r="I277" i="34"/>
  <c r="E277" i="34"/>
  <c r="Q266" i="34"/>
  <c r="M266" i="34"/>
  <c r="I266" i="34"/>
  <c r="E266" i="34"/>
  <c r="Q265" i="34"/>
  <c r="M265" i="34"/>
  <c r="I265" i="34"/>
  <c r="Q264" i="34"/>
  <c r="M264" i="34"/>
  <c r="I264" i="34"/>
  <c r="E264" i="34"/>
  <c r="Q263" i="34"/>
  <c r="M263" i="34"/>
  <c r="I263" i="34"/>
  <c r="E263" i="34"/>
  <c r="Q262" i="34"/>
  <c r="M262" i="34"/>
  <c r="I262" i="34"/>
  <c r="E262" i="34"/>
  <c r="Q261" i="34"/>
  <c r="M261" i="34"/>
  <c r="I261" i="34"/>
  <c r="E261" i="34"/>
  <c r="P259" i="34"/>
  <c r="O259" i="34"/>
  <c r="N259" i="34"/>
  <c r="L259" i="34"/>
  <c r="K259" i="34"/>
  <c r="J259" i="34"/>
  <c r="H259" i="34"/>
  <c r="G259" i="34"/>
  <c r="F259" i="34"/>
  <c r="D259" i="34"/>
  <c r="C259" i="34"/>
  <c r="P258" i="34"/>
  <c r="O258" i="34"/>
  <c r="N258" i="34"/>
  <c r="L258" i="34"/>
  <c r="K258" i="34"/>
  <c r="J258" i="34"/>
  <c r="H258" i="34"/>
  <c r="G258" i="34"/>
  <c r="F258" i="34"/>
  <c r="D258" i="34"/>
  <c r="C258" i="34"/>
  <c r="Q255" i="34"/>
  <c r="M255" i="34"/>
  <c r="I255" i="34"/>
  <c r="E255" i="34"/>
  <c r="Q254" i="34"/>
  <c r="M254" i="34"/>
  <c r="I254" i="34"/>
  <c r="E254" i="34"/>
  <c r="Q253" i="34"/>
  <c r="M253" i="34"/>
  <c r="I253" i="34"/>
  <c r="E253" i="34"/>
  <c r="Q252" i="34"/>
  <c r="M252" i="34"/>
  <c r="I252" i="34"/>
  <c r="E252" i="34"/>
  <c r="Q251" i="34"/>
  <c r="M251" i="34"/>
  <c r="I251" i="34"/>
  <c r="E251" i="34"/>
  <c r="Q250" i="34"/>
  <c r="M250" i="34"/>
  <c r="I250" i="34"/>
  <c r="E250" i="34"/>
  <c r="Q249" i="34"/>
  <c r="M249" i="34"/>
  <c r="I249" i="34"/>
  <c r="E249" i="34"/>
  <c r="Q248" i="34"/>
  <c r="M248" i="34"/>
  <c r="I248" i="34"/>
  <c r="E248" i="34"/>
  <c r="Q246" i="34"/>
  <c r="M246" i="34"/>
  <c r="I246" i="34"/>
  <c r="E246" i="34"/>
  <c r="Q245" i="34"/>
  <c r="M245" i="34"/>
  <c r="I245" i="34"/>
  <c r="E245" i="34"/>
  <c r="Q244" i="34"/>
  <c r="M244" i="34"/>
  <c r="I244" i="34"/>
  <c r="E244" i="34"/>
  <c r="Q243" i="34"/>
  <c r="M243" i="34"/>
  <c r="I243" i="34"/>
  <c r="E243" i="34"/>
  <c r="Q116" i="34"/>
  <c r="M116" i="34"/>
  <c r="I116" i="34"/>
  <c r="E116" i="34"/>
  <c r="P240" i="34"/>
  <c r="O240" i="34"/>
  <c r="N240" i="34"/>
  <c r="L240" i="34"/>
  <c r="K240" i="34"/>
  <c r="H240" i="34"/>
  <c r="G240" i="34"/>
  <c r="D240" i="34"/>
  <c r="C240" i="34"/>
  <c r="Q239" i="34"/>
  <c r="M239" i="34"/>
  <c r="I239" i="34"/>
  <c r="E239" i="34"/>
  <c r="Q238" i="34"/>
  <c r="M238" i="34"/>
  <c r="I238" i="34"/>
  <c r="E238" i="34"/>
  <c r="Q237" i="34"/>
  <c r="M237" i="34"/>
  <c r="I237" i="34"/>
  <c r="E237" i="34"/>
  <c r="Q236" i="34"/>
  <c r="M236" i="34"/>
  <c r="I236" i="34"/>
  <c r="E236" i="34"/>
  <c r="Q235" i="34"/>
  <c r="M235" i="34"/>
  <c r="I235" i="34"/>
  <c r="E235" i="34"/>
  <c r="Q234" i="34"/>
  <c r="M234" i="34"/>
  <c r="I234" i="34"/>
  <c r="E234" i="34"/>
  <c r="Q233" i="34"/>
  <c r="M233" i="34"/>
  <c r="I233" i="34"/>
  <c r="E233" i="34"/>
  <c r="Q232" i="34"/>
  <c r="M232" i="34"/>
  <c r="I232" i="34"/>
  <c r="E232" i="34"/>
  <c r="Q231" i="34"/>
  <c r="M231" i="34"/>
  <c r="I231" i="34"/>
  <c r="E231" i="34"/>
  <c r="Q230" i="34"/>
  <c r="I230" i="34"/>
  <c r="E230" i="34"/>
  <c r="Q227" i="34"/>
  <c r="M227" i="34"/>
  <c r="I227" i="34"/>
  <c r="E227" i="34"/>
  <c r="Q226" i="34"/>
  <c r="M226" i="34"/>
  <c r="I226" i="34"/>
  <c r="E226" i="34"/>
  <c r="Q225" i="34"/>
  <c r="Q224" i="34"/>
  <c r="M224" i="34"/>
  <c r="I224" i="34"/>
  <c r="E224" i="34"/>
  <c r="Q223" i="34"/>
  <c r="M223" i="34"/>
  <c r="I223" i="34"/>
  <c r="E223" i="34"/>
  <c r="Q222" i="34"/>
  <c r="M222" i="34"/>
  <c r="I222" i="34"/>
  <c r="E222" i="34"/>
  <c r="Q221" i="34"/>
  <c r="M221" i="34"/>
  <c r="E221" i="34"/>
  <c r="Q220" i="34"/>
  <c r="M220" i="34"/>
  <c r="I220" i="34"/>
  <c r="E220" i="34"/>
  <c r="Q219" i="34"/>
  <c r="M219" i="34"/>
  <c r="I219" i="34"/>
  <c r="E219" i="34"/>
  <c r="Q218" i="34"/>
  <c r="M218" i="34"/>
  <c r="I218" i="34"/>
  <c r="E218" i="34"/>
  <c r="Q217" i="34"/>
  <c r="M217" i="34"/>
  <c r="I217" i="34"/>
  <c r="E217" i="34"/>
  <c r="Q216" i="34"/>
  <c r="M216" i="34"/>
  <c r="I216" i="34"/>
  <c r="E216" i="34"/>
  <c r="Q213" i="34"/>
  <c r="M213" i="34"/>
  <c r="I213" i="34"/>
  <c r="E213" i="34"/>
  <c r="Q211" i="34"/>
  <c r="M211" i="34"/>
  <c r="I211" i="34"/>
  <c r="E211" i="34"/>
  <c r="Q210" i="34"/>
  <c r="M210" i="34"/>
  <c r="I210" i="34"/>
  <c r="E210" i="34"/>
  <c r="Q209" i="34"/>
  <c r="M209" i="34"/>
  <c r="I209" i="34"/>
  <c r="E209" i="34"/>
  <c r="Q208" i="34"/>
  <c r="M208" i="34"/>
  <c r="I208" i="34"/>
  <c r="E208" i="34"/>
  <c r="Q207" i="34"/>
  <c r="M207" i="34"/>
  <c r="I207" i="34"/>
  <c r="E207" i="34"/>
  <c r="Q206" i="34"/>
  <c r="M206" i="34"/>
  <c r="I206" i="34"/>
  <c r="E206" i="34"/>
  <c r="Q205" i="34"/>
  <c r="M205" i="34"/>
  <c r="I205" i="34"/>
  <c r="E205" i="34"/>
  <c r="Q204" i="34"/>
  <c r="M204" i="34"/>
  <c r="I204" i="34"/>
  <c r="E204" i="34"/>
  <c r="Q203" i="34"/>
  <c r="M203" i="34"/>
  <c r="I203" i="34"/>
  <c r="E203" i="34"/>
  <c r="Q202" i="34"/>
  <c r="M202" i="34"/>
  <c r="I202" i="34"/>
  <c r="E202" i="34"/>
  <c r="P198" i="34"/>
  <c r="O198" i="34"/>
  <c r="N198" i="34"/>
  <c r="L198" i="34"/>
  <c r="K198" i="34"/>
  <c r="J198" i="34"/>
  <c r="H198" i="34"/>
  <c r="G198" i="34"/>
  <c r="F198" i="34"/>
  <c r="D198" i="34"/>
  <c r="C198" i="34"/>
  <c r="Q195" i="34"/>
  <c r="M195" i="34"/>
  <c r="I195" i="34"/>
  <c r="E195" i="34"/>
  <c r="P191" i="34"/>
  <c r="O191" i="34"/>
  <c r="N191" i="34"/>
  <c r="L191" i="34"/>
  <c r="K191" i="34"/>
  <c r="J191" i="34"/>
  <c r="H191" i="34"/>
  <c r="D191" i="34"/>
  <c r="C191" i="34"/>
  <c r="Q189" i="34"/>
  <c r="M189" i="34"/>
  <c r="I189" i="34"/>
  <c r="E189" i="34"/>
  <c r="Q188" i="34"/>
  <c r="M188" i="34"/>
  <c r="I188" i="34"/>
  <c r="E188" i="34"/>
  <c r="Q187" i="34"/>
  <c r="M187" i="34"/>
  <c r="I187" i="34"/>
  <c r="E187" i="34"/>
  <c r="Q185" i="34"/>
  <c r="M185" i="34"/>
  <c r="I185" i="34"/>
  <c r="E185" i="34"/>
  <c r="Q184" i="34"/>
  <c r="M184" i="34"/>
  <c r="I184" i="34"/>
  <c r="E184" i="34"/>
  <c r="Q183" i="34"/>
  <c r="M183" i="34"/>
  <c r="I183" i="34"/>
  <c r="E183" i="34"/>
  <c r="Q182" i="34"/>
  <c r="M182" i="34"/>
  <c r="I182" i="34"/>
  <c r="E182" i="34"/>
  <c r="Q181" i="34"/>
  <c r="M181" i="34"/>
  <c r="I181" i="34"/>
  <c r="E181" i="34"/>
  <c r="Q180" i="34"/>
  <c r="M180" i="34"/>
  <c r="I180" i="34"/>
  <c r="E180" i="34"/>
  <c r="Q179" i="34"/>
  <c r="M179" i="34"/>
  <c r="I179" i="34"/>
  <c r="E179" i="34"/>
  <c r="Q178" i="34"/>
  <c r="M178" i="34"/>
  <c r="I178" i="34"/>
  <c r="E178" i="34"/>
  <c r="E177" i="34"/>
  <c r="Q176" i="34"/>
  <c r="M176" i="34"/>
  <c r="I176" i="34"/>
  <c r="E176" i="34"/>
  <c r="Q175" i="34"/>
  <c r="M175" i="34"/>
  <c r="I175" i="34"/>
  <c r="E175" i="34"/>
  <c r="Q173" i="34"/>
  <c r="M173" i="34"/>
  <c r="I173" i="34"/>
  <c r="E173" i="34"/>
  <c r="Q172" i="34"/>
  <c r="M172" i="34"/>
  <c r="I172" i="34"/>
  <c r="E172" i="34"/>
  <c r="Q169" i="34"/>
  <c r="M169" i="34"/>
  <c r="I169" i="34"/>
  <c r="B740" i="34"/>
  <c r="Q168" i="34"/>
  <c r="Q167" i="34"/>
  <c r="M167" i="34"/>
  <c r="I167" i="34"/>
  <c r="E167" i="34"/>
  <c r="Q166" i="34"/>
  <c r="M166" i="34"/>
  <c r="I166" i="34"/>
  <c r="E166" i="34"/>
  <c r="Q159" i="34"/>
  <c r="M159" i="34"/>
  <c r="I159" i="34"/>
  <c r="E159" i="34"/>
  <c r="Q158" i="34"/>
  <c r="I158" i="34"/>
  <c r="E158" i="34"/>
  <c r="Q155" i="34"/>
  <c r="M155" i="34"/>
  <c r="E155" i="34"/>
  <c r="M154" i="34"/>
  <c r="I154" i="34"/>
  <c r="Q153" i="34"/>
  <c r="M153" i="34"/>
  <c r="I153" i="34"/>
  <c r="E153" i="34"/>
  <c r="Q151" i="34"/>
  <c r="E151" i="34"/>
  <c r="Q149" i="34"/>
  <c r="M149" i="34"/>
  <c r="I149" i="34"/>
  <c r="E149" i="34"/>
  <c r="Q148" i="34"/>
  <c r="M148" i="34"/>
  <c r="I148" i="34"/>
  <c r="E148" i="34"/>
  <c r="Q147" i="34"/>
  <c r="M147" i="34"/>
  <c r="I147" i="34"/>
  <c r="E147" i="34"/>
  <c r="Q146" i="34"/>
  <c r="M146" i="34"/>
  <c r="I146" i="34"/>
  <c r="E146" i="34"/>
  <c r="Q143" i="34"/>
  <c r="M143" i="34"/>
  <c r="I143" i="34"/>
  <c r="E143" i="34"/>
  <c r="Q142" i="34"/>
  <c r="M142" i="34"/>
  <c r="I142" i="34"/>
  <c r="E142" i="34"/>
  <c r="Q141" i="34"/>
  <c r="M141" i="34"/>
  <c r="I141" i="34"/>
  <c r="E141" i="34"/>
  <c r="Q140" i="34"/>
  <c r="M140" i="34"/>
  <c r="I140" i="34"/>
  <c r="E140" i="34"/>
  <c r="Q139" i="34"/>
  <c r="M139" i="34"/>
  <c r="I139" i="34"/>
  <c r="E139" i="34"/>
  <c r="Q138" i="34"/>
  <c r="M138" i="34"/>
  <c r="I138" i="34"/>
  <c r="E138" i="34"/>
  <c r="Q126" i="34"/>
  <c r="M126" i="34"/>
  <c r="I126" i="34"/>
  <c r="E126" i="34"/>
  <c r="P124" i="34"/>
  <c r="O124" i="34"/>
  <c r="L124" i="34"/>
  <c r="K124" i="34"/>
  <c r="J124" i="34"/>
  <c r="H124" i="34"/>
  <c r="G124" i="34"/>
  <c r="F124" i="34"/>
  <c r="D124" i="34"/>
  <c r="C124" i="34"/>
  <c r="M123" i="34"/>
  <c r="E123" i="34"/>
  <c r="Q121" i="34"/>
  <c r="N760" i="34"/>
  <c r="M121" i="34"/>
  <c r="I121" i="34"/>
  <c r="E121" i="34"/>
  <c r="Q119" i="34"/>
  <c r="M119" i="34"/>
  <c r="I119" i="34"/>
  <c r="E119" i="34"/>
  <c r="Q118" i="34"/>
  <c r="M118" i="34"/>
  <c r="I118" i="34"/>
  <c r="E118" i="34"/>
  <c r="Q115" i="34"/>
  <c r="M115" i="34"/>
  <c r="I115" i="34"/>
  <c r="E115" i="34"/>
  <c r="Q114" i="34"/>
  <c r="M114" i="34"/>
  <c r="I114" i="34"/>
  <c r="E114" i="34"/>
  <c r="Q113" i="34"/>
  <c r="M113" i="34"/>
  <c r="I113" i="34"/>
  <c r="E113" i="34"/>
  <c r="Q112" i="34"/>
  <c r="M112" i="34"/>
  <c r="I112" i="34"/>
  <c r="E112" i="34"/>
  <c r="Q111" i="34"/>
  <c r="M111" i="34"/>
  <c r="I111" i="34"/>
  <c r="E111" i="34"/>
  <c r="Q110" i="34"/>
  <c r="M110" i="34"/>
  <c r="I110" i="34"/>
  <c r="E110" i="34"/>
  <c r="Q109" i="34"/>
  <c r="M109" i="34"/>
  <c r="I109" i="34"/>
  <c r="E109" i="34"/>
  <c r="P106" i="34"/>
  <c r="O106" i="34"/>
  <c r="N106" i="34"/>
  <c r="L106" i="34"/>
  <c r="K106" i="34"/>
  <c r="J106" i="34"/>
  <c r="H106" i="34"/>
  <c r="G106" i="34"/>
  <c r="F106" i="34"/>
  <c r="D106" i="34"/>
  <c r="C106" i="34"/>
  <c r="Q105" i="34"/>
  <c r="M105" i="34"/>
  <c r="I105" i="34"/>
  <c r="E105" i="34"/>
  <c r="Q104" i="34"/>
  <c r="M104" i="34"/>
  <c r="I104" i="34"/>
  <c r="E104" i="34"/>
  <c r="Q103" i="34"/>
  <c r="M103" i="34"/>
  <c r="I103" i="34"/>
  <c r="E103" i="34"/>
  <c r="Q102" i="34"/>
  <c r="M102" i="34"/>
  <c r="I102" i="34"/>
  <c r="E102" i="34"/>
  <c r="Q101" i="34"/>
  <c r="M101" i="34"/>
  <c r="I101" i="34"/>
  <c r="E101" i="34"/>
  <c r="Q100" i="34"/>
  <c r="M100" i="34"/>
  <c r="I100" i="34"/>
  <c r="E100" i="34"/>
  <c r="Q99" i="34"/>
  <c r="M99" i="34"/>
  <c r="I99" i="34"/>
  <c r="E99" i="34"/>
  <c r="P95" i="34"/>
  <c r="O95" i="34"/>
  <c r="N95" i="34"/>
  <c r="L95" i="34"/>
  <c r="K95" i="34"/>
  <c r="J95" i="34"/>
  <c r="H95" i="34"/>
  <c r="G95" i="34"/>
  <c r="F95" i="34"/>
  <c r="D95" i="34"/>
  <c r="C95" i="34"/>
  <c r="Q93" i="34"/>
  <c r="M93" i="34"/>
  <c r="I93" i="34"/>
  <c r="E93" i="34"/>
  <c r="Q92" i="34"/>
  <c r="M92" i="34"/>
  <c r="I92" i="34"/>
  <c r="E92" i="34"/>
  <c r="P88" i="34"/>
  <c r="O88" i="34"/>
  <c r="N88" i="34"/>
  <c r="L88" i="34"/>
  <c r="K88" i="34"/>
  <c r="J88" i="34"/>
  <c r="G88" i="34"/>
  <c r="F88" i="34"/>
  <c r="D88" i="34"/>
  <c r="C88" i="34"/>
  <c r="Q86" i="34"/>
  <c r="M86" i="34"/>
  <c r="E86" i="34"/>
  <c r="Q85" i="34"/>
  <c r="M85" i="34"/>
  <c r="I85" i="34"/>
  <c r="E85" i="34"/>
  <c r="Q83" i="34"/>
  <c r="I83" i="34"/>
  <c r="E83" i="34"/>
  <c r="Q82" i="34"/>
  <c r="M82" i="34"/>
  <c r="I82" i="34"/>
  <c r="E82" i="34"/>
  <c r="Q80" i="34"/>
  <c r="M80" i="34"/>
  <c r="I80" i="34"/>
  <c r="E80" i="34"/>
  <c r="Q79" i="34"/>
  <c r="M79" i="34"/>
  <c r="I79" i="34"/>
  <c r="E79" i="34"/>
  <c r="Q78" i="34"/>
  <c r="M78" i="34"/>
  <c r="I78" i="34"/>
  <c r="Q77" i="34"/>
  <c r="M77" i="34"/>
  <c r="I77" i="34"/>
  <c r="E77" i="34"/>
  <c r="Q74" i="34"/>
  <c r="M74" i="34"/>
  <c r="I74" i="34"/>
  <c r="E74" i="34"/>
  <c r="Q73" i="34"/>
  <c r="M73" i="34"/>
  <c r="I73" i="34"/>
  <c r="E73" i="34"/>
  <c r="Q72" i="34"/>
  <c r="M72" i="34"/>
  <c r="I72" i="34"/>
  <c r="E72" i="34"/>
  <c r="Q60" i="34"/>
  <c r="M60" i="34"/>
  <c r="I60" i="34"/>
  <c r="E60" i="34"/>
  <c r="P58" i="34"/>
  <c r="O58" i="34"/>
  <c r="N58" i="34"/>
  <c r="L58" i="34"/>
  <c r="K58" i="34"/>
  <c r="J58" i="34"/>
  <c r="H58" i="34"/>
  <c r="G58" i="34"/>
  <c r="F58" i="34"/>
  <c r="D58" i="34"/>
  <c r="C58" i="34"/>
  <c r="B58" i="34"/>
  <c r="B59" i="34" s="1"/>
  <c r="B62" i="34" s="1"/>
  <c r="P57" i="34"/>
  <c r="O57" i="34"/>
  <c r="N57" i="34"/>
  <c r="L57" i="34"/>
  <c r="K57" i="34"/>
  <c r="J57" i="34"/>
  <c r="H57" i="34"/>
  <c r="G57" i="34"/>
  <c r="F57" i="34"/>
  <c r="D57" i="34"/>
  <c r="C57" i="34"/>
  <c r="B57" i="34"/>
  <c r="Q54" i="34"/>
  <c r="M54" i="34"/>
  <c r="I54" i="34"/>
  <c r="E54" i="34"/>
  <c r="P50" i="34"/>
  <c r="O50" i="34"/>
  <c r="N50" i="34"/>
  <c r="L50" i="34"/>
  <c r="K50" i="34"/>
  <c r="J50" i="34"/>
  <c r="H50" i="34"/>
  <c r="G50" i="34"/>
  <c r="F50" i="34"/>
  <c r="D50" i="34"/>
  <c r="C50" i="34"/>
  <c r="P46" i="34"/>
  <c r="O46" i="34"/>
  <c r="N46" i="34"/>
  <c r="L46" i="34"/>
  <c r="K46" i="34"/>
  <c r="J46" i="34"/>
  <c r="H46" i="34"/>
  <c r="G46" i="34"/>
  <c r="F46" i="34"/>
  <c r="D46" i="34"/>
  <c r="C46" i="34"/>
  <c r="P41" i="34"/>
  <c r="O41" i="34"/>
  <c r="N41" i="34"/>
  <c r="L41" i="34"/>
  <c r="K41" i="34"/>
  <c r="J41" i="34"/>
  <c r="H41" i="34"/>
  <c r="G41" i="34"/>
  <c r="F41" i="34"/>
  <c r="D41" i="34"/>
  <c r="C41" i="34"/>
  <c r="Q38" i="34"/>
  <c r="M38" i="34"/>
  <c r="I38" i="34"/>
  <c r="E38" i="34"/>
  <c r="P27" i="34"/>
  <c r="P28" i="34" s="1"/>
  <c r="O27" i="34"/>
  <c r="O28" i="34" s="1"/>
  <c r="N27" i="34"/>
  <c r="N28" i="34" s="1"/>
  <c r="L27" i="34"/>
  <c r="L28" i="34" s="1"/>
  <c r="K27" i="34"/>
  <c r="K28" i="34" s="1"/>
  <c r="J27" i="34"/>
  <c r="J28" i="34" s="1"/>
  <c r="H27" i="34"/>
  <c r="H28" i="34" s="1"/>
  <c r="G27" i="34"/>
  <c r="G28" i="34" s="1"/>
  <c r="F27" i="34"/>
  <c r="F28" i="34" s="1"/>
  <c r="D27" i="34"/>
  <c r="D28" i="34" s="1"/>
  <c r="C27" i="34"/>
  <c r="C28" i="34" s="1"/>
  <c r="Q25" i="34"/>
  <c r="M25" i="34"/>
  <c r="I25" i="34"/>
  <c r="E25" i="34"/>
  <c r="P18" i="34"/>
  <c r="O18" i="34"/>
  <c r="N18" i="34"/>
  <c r="K18" i="34"/>
  <c r="J18" i="34"/>
  <c r="H18" i="34"/>
  <c r="G18" i="34"/>
  <c r="F18" i="34"/>
  <c r="D18" i="34"/>
  <c r="C18" i="34"/>
  <c r="B18" i="34"/>
  <c r="P17" i="34"/>
  <c r="O17" i="34"/>
  <c r="K17" i="34"/>
  <c r="J17" i="34"/>
  <c r="H17" i="34"/>
  <c r="G17" i="34"/>
  <c r="F17" i="34"/>
  <c r="D17" i="34"/>
  <c r="C17" i="34"/>
  <c r="B17" i="34"/>
  <c r="P16" i="34"/>
  <c r="O16" i="34"/>
  <c r="N16" i="34"/>
  <c r="L16" i="34"/>
  <c r="K16" i="34"/>
  <c r="J16" i="34"/>
  <c r="H16" i="34"/>
  <c r="G16" i="34"/>
  <c r="F16" i="34"/>
  <c r="D16" i="34"/>
  <c r="C16" i="34"/>
  <c r="B16" i="34"/>
  <c r="P15" i="34"/>
  <c r="O15" i="34"/>
  <c r="N15" i="34"/>
  <c r="L15" i="34"/>
  <c r="K15" i="34"/>
  <c r="J15" i="34"/>
  <c r="H15" i="34"/>
  <c r="G15" i="34"/>
  <c r="F15" i="34"/>
  <c r="D15" i="34"/>
  <c r="C15" i="34"/>
  <c r="B15" i="34"/>
  <c r="P14" i="34"/>
  <c r="O14" i="34"/>
  <c r="N14" i="34"/>
  <c r="L14" i="34"/>
  <c r="K14" i="34"/>
  <c r="J14" i="34"/>
  <c r="H14" i="34"/>
  <c r="G14" i="34"/>
  <c r="F14" i="34"/>
  <c r="D14" i="34"/>
  <c r="C14" i="34"/>
  <c r="B14" i="34"/>
  <c r="R1" i="34"/>
  <c r="L585" i="34" l="1"/>
  <c r="L588" i="34" s="1"/>
  <c r="L589" i="34" s="1"/>
  <c r="N764" i="34"/>
  <c r="N629" i="34"/>
  <c r="N632" i="34" s="1"/>
  <c r="N633" i="34" s="1"/>
  <c r="G585" i="34"/>
  <c r="G588" i="34" s="1"/>
  <c r="G589" i="34" s="1"/>
  <c r="R151" i="34"/>
  <c r="O585" i="34"/>
  <c r="O588" i="34" s="1"/>
  <c r="O589" i="34" s="1"/>
  <c r="D585" i="34"/>
  <c r="D588" i="34" s="1"/>
  <c r="D589" i="34" s="1"/>
  <c r="N751" i="34"/>
  <c r="N782" i="34" s="1"/>
  <c r="O763" i="34"/>
  <c r="H751" i="34"/>
  <c r="H782" i="34" s="1"/>
  <c r="J585" i="34"/>
  <c r="J588" i="34" s="1"/>
  <c r="J589" i="34" s="1"/>
  <c r="F585" i="34"/>
  <c r="F588" i="34" s="1"/>
  <c r="F589" i="34" s="1"/>
  <c r="R930" i="34"/>
  <c r="R955" i="34"/>
  <c r="L751" i="34"/>
  <c r="L782" i="34" s="1"/>
  <c r="P585" i="34"/>
  <c r="P588" i="34" s="1"/>
  <c r="P589" i="34" s="1"/>
  <c r="J751" i="34"/>
  <c r="J782" i="34" s="1"/>
  <c r="B751" i="34"/>
  <c r="B782" i="34" s="1"/>
  <c r="L629" i="34"/>
  <c r="L632" i="34" s="1"/>
  <c r="L633" i="34" s="1"/>
  <c r="P719" i="34"/>
  <c r="P722" i="34" s="1"/>
  <c r="P723" i="34" s="1"/>
  <c r="B585" i="34"/>
  <c r="B588" i="34" s="1"/>
  <c r="B589" i="34" s="1"/>
  <c r="O629" i="34"/>
  <c r="O632" i="34" s="1"/>
  <c r="O633" i="34" s="1"/>
  <c r="H59" i="34"/>
  <c r="H62" i="34" s="1"/>
  <c r="H63" i="34" s="1"/>
  <c r="K444" i="34"/>
  <c r="K447" i="34" s="1"/>
  <c r="K448" i="34" s="1"/>
  <c r="P444" i="34"/>
  <c r="P447" i="34" s="1"/>
  <c r="P448" i="34" s="1"/>
  <c r="G444" i="34"/>
  <c r="G447" i="34" s="1"/>
  <c r="G448" i="34" s="1"/>
  <c r="C444" i="34"/>
  <c r="C447" i="34" s="1"/>
  <c r="C448" i="34" s="1"/>
  <c r="D59" i="34"/>
  <c r="D62" i="34" s="1"/>
  <c r="D63" i="34" s="1"/>
  <c r="O59" i="34"/>
  <c r="O62" i="34" s="1"/>
  <c r="O63" i="34" s="1"/>
  <c r="L444" i="34"/>
  <c r="L447" i="34" s="1"/>
  <c r="L448" i="34" s="1"/>
  <c r="G59" i="34"/>
  <c r="G62" i="34" s="1"/>
  <c r="G63" i="34" s="1"/>
  <c r="L59" i="34"/>
  <c r="L62" i="34" s="1"/>
  <c r="L63" i="34" s="1"/>
  <c r="D444" i="34"/>
  <c r="D447" i="34" s="1"/>
  <c r="D448" i="34" s="1"/>
  <c r="M18" i="34"/>
  <c r="O719" i="34"/>
  <c r="O722" i="34" s="1"/>
  <c r="O723" i="34" s="1"/>
  <c r="P751" i="34"/>
  <c r="P782" i="34" s="1"/>
  <c r="N585" i="34"/>
  <c r="N588" i="34" s="1"/>
  <c r="N589" i="34" s="1"/>
  <c r="F751" i="34"/>
  <c r="F782" i="34" s="1"/>
  <c r="K585" i="34"/>
  <c r="K588" i="34" s="1"/>
  <c r="K589" i="34" s="1"/>
  <c r="F280" i="34"/>
  <c r="AP806" i="34" s="1"/>
  <c r="H280" i="34"/>
  <c r="AP808" i="34" s="1"/>
  <c r="K280" i="34"/>
  <c r="AP810" i="34" s="1"/>
  <c r="P280" i="34"/>
  <c r="AP814" i="34" s="1"/>
  <c r="B280" i="34"/>
  <c r="AP803" i="34" s="1"/>
  <c r="D280" i="34"/>
  <c r="AP805" i="34" s="1"/>
  <c r="G280" i="34"/>
  <c r="AP807" i="34" s="1"/>
  <c r="J280" i="34"/>
  <c r="AP809" i="34" s="1"/>
  <c r="L280" i="34"/>
  <c r="AP811" i="34" s="1"/>
  <c r="O280" i="34"/>
  <c r="AP813" i="34" s="1"/>
  <c r="D751" i="34"/>
  <c r="D782" i="34" s="1"/>
  <c r="H444" i="34"/>
  <c r="H447" i="34" s="1"/>
  <c r="H448" i="34" s="1"/>
  <c r="I155" i="34"/>
  <c r="R155" i="34" s="1"/>
  <c r="F754" i="34"/>
  <c r="I754" i="34" s="1"/>
  <c r="I1028" i="34"/>
  <c r="Q1028" i="34"/>
  <c r="J899" i="34"/>
  <c r="P629" i="34"/>
  <c r="P632" i="34" s="1"/>
  <c r="P633" i="34" s="1"/>
  <c r="M754" i="34"/>
  <c r="K486" i="34"/>
  <c r="K489" i="34" s="1"/>
  <c r="K490" i="34" s="1"/>
  <c r="C486" i="34"/>
  <c r="C489" i="34" s="1"/>
  <c r="C490" i="34" s="1"/>
  <c r="H486" i="34"/>
  <c r="H489" i="34" s="1"/>
  <c r="H490" i="34" s="1"/>
  <c r="D486" i="34"/>
  <c r="D489" i="34" s="1"/>
  <c r="D490" i="34" s="1"/>
  <c r="G486" i="34"/>
  <c r="G489" i="34" s="1"/>
  <c r="G490" i="34" s="1"/>
  <c r="L486" i="34"/>
  <c r="L489" i="34" s="1"/>
  <c r="L490" i="34" s="1"/>
  <c r="O486" i="34"/>
  <c r="O489" i="34" s="1"/>
  <c r="O490" i="34" s="1"/>
  <c r="K59" i="34"/>
  <c r="K62" i="34" s="1"/>
  <c r="K63" i="34" s="1"/>
  <c r="C585" i="34"/>
  <c r="C588" i="34" s="1"/>
  <c r="C589" i="34" s="1"/>
  <c r="H585" i="34"/>
  <c r="H588" i="34" s="1"/>
  <c r="H589" i="34" s="1"/>
  <c r="C59" i="34"/>
  <c r="C62" i="34" s="1"/>
  <c r="C63" i="34" s="1"/>
  <c r="D755" i="34"/>
  <c r="D784" i="34" s="1"/>
  <c r="G539" i="34"/>
  <c r="G542" i="34" s="1"/>
  <c r="G543" i="34" s="1"/>
  <c r="B672" i="34"/>
  <c r="B676" i="34" s="1"/>
  <c r="B677" i="34" s="1"/>
  <c r="G672" i="34"/>
  <c r="G676" i="34" s="1"/>
  <c r="G677" i="34" s="1"/>
  <c r="L672" i="34"/>
  <c r="L676" i="34" s="1"/>
  <c r="K755" i="34"/>
  <c r="K784" i="34" s="1"/>
  <c r="P763" i="34"/>
  <c r="P59" i="34"/>
  <c r="P62" i="34" s="1"/>
  <c r="P63" i="34" s="1"/>
  <c r="P486" i="34"/>
  <c r="P489" i="34" s="1"/>
  <c r="P490" i="34" s="1"/>
  <c r="O125" i="34"/>
  <c r="O128" i="34" s="1"/>
  <c r="O129" i="34" s="1"/>
  <c r="L260" i="34"/>
  <c r="L268" i="34" s="1"/>
  <c r="L269" i="34" s="1"/>
  <c r="C539" i="34"/>
  <c r="C542" i="34" s="1"/>
  <c r="C543" i="34" s="1"/>
  <c r="H539" i="34"/>
  <c r="H542" i="34" s="1"/>
  <c r="H543" i="34" s="1"/>
  <c r="C672" i="34"/>
  <c r="C676" i="34" s="1"/>
  <c r="C677" i="34" s="1"/>
  <c r="H672" i="34"/>
  <c r="H676" i="34" s="1"/>
  <c r="H677" i="34" s="1"/>
  <c r="N672" i="34"/>
  <c r="N676" i="34" s="1"/>
  <c r="N677" i="34" s="1"/>
  <c r="L755" i="34"/>
  <c r="L784" i="34" s="1"/>
  <c r="P125" i="34"/>
  <c r="P128" i="34" s="1"/>
  <c r="P129" i="34" s="1"/>
  <c r="D539" i="34"/>
  <c r="D542" i="34" s="1"/>
  <c r="D543" i="34" s="1"/>
  <c r="O539" i="34"/>
  <c r="O542" i="34" s="1"/>
  <c r="O543" i="34" s="1"/>
  <c r="D672" i="34"/>
  <c r="D676" i="34" s="1"/>
  <c r="D677" i="34" s="1"/>
  <c r="J672" i="34"/>
  <c r="J676" i="34" s="1"/>
  <c r="J677" i="34" s="1"/>
  <c r="O672" i="34"/>
  <c r="O676" i="34" s="1"/>
  <c r="O260" i="34"/>
  <c r="O268" i="34" s="1"/>
  <c r="O269" i="34" s="1"/>
  <c r="O746" i="34"/>
  <c r="O780" i="34" s="1"/>
  <c r="K539" i="34"/>
  <c r="K542" i="34" s="1"/>
  <c r="K543" i="34" s="1"/>
  <c r="P539" i="34"/>
  <c r="P542" i="34" s="1"/>
  <c r="P543" i="34" s="1"/>
  <c r="F672" i="34"/>
  <c r="F676" i="34" s="1"/>
  <c r="F677" i="34" s="1"/>
  <c r="K672" i="34"/>
  <c r="K676" i="34" s="1"/>
  <c r="P672" i="34"/>
  <c r="P676" i="34" s="1"/>
  <c r="P677" i="34" s="1"/>
  <c r="O755" i="34"/>
  <c r="O784" i="34" s="1"/>
  <c r="G746" i="34"/>
  <c r="G780" i="34" s="1"/>
  <c r="K746" i="34"/>
  <c r="K780" i="34" s="1"/>
  <c r="I762" i="34"/>
  <c r="Q762" i="34"/>
  <c r="O444" i="34"/>
  <c r="O447" i="34" s="1"/>
  <c r="O448" i="34" s="1"/>
  <c r="M753" i="34"/>
  <c r="E753" i="34"/>
  <c r="C260" i="34"/>
  <c r="C268" i="34" s="1"/>
  <c r="C269" i="34" s="1"/>
  <c r="R202" i="34"/>
  <c r="R203" i="34"/>
  <c r="R204" i="34"/>
  <c r="R205" i="34"/>
  <c r="R206" i="34"/>
  <c r="R208" i="34"/>
  <c r="G629" i="34"/>
  <c r="G632" i="34" s="1"/>
  <c r="G633" i="34" s="1"/>
  <c r="B719" i="34"/>
  <c r="B722" i="34" s="1"/>
  <c r="B723" i="34" s="1"/>
  <c r="D719" i="34"/>
  <c r="D722" i="34" s="1"/>
  <c r="J719" i="34"/>
  <c r="J722" i="34" s="1"/>
  <c r="J723" i="34" s="1"/>
  <c r="I717" i="34"/>
  <c r="Q717" i="34"/>
  <c r="C629" i="34"/>
  <c r="C632" i="34" s="1"/>
  <c r="C633" i="34" s="1"/>
  <c r="H629" i="34"/>
  <c r="H632" i="34" s="1"/>
  <c r="H633" i="34" s="1"/>
  <c r="I608" i="34"/>
  <c r="Q608" i="34"/>
  <c r="R611" i="34"/>
  <c r="R613" i="34"/>
  <c r="R615" i="34"/>
  <c r="R616" i="34"/>
  <c r="E617" i="34"/>
  <c r="M617" i="34"/>
  <c r="R621" i="34"/>
  <c r="R622" i="34"/>
  <c r="R624" i="34"/>
  <c r="I627" i="34"/>
  <c r="Q627" i="34"/>
  <c r="E628" i="34"/>
  <c r="M628" i="34"/>
  <c r="R630" i="34"/>
  <c r="E660" i="34"/>
  <c r="M660" i="34"/>
  <c r="I664" i="34"/>
  <c r="Q664" i="34"/>
  <c r="I671" i="34"/>
  <c r="Q671" i="34"/>
  <c r="R674" i="34"/>
  <c r="R687" i="34"/>
  <c r="R688" i="34"/>
  <c r="C719" i="34"/>
  <c r="C722" i="34" s="1"/>
  <c r="F719" i="34"/>
  <c r="F722" i="34" s="1"/>
  <c r="F723" i="34" s="1"/>
  <c r="H719" i="34"/>
  <c r="H722" i="34" s="1"/>
  <c r="H723" i="34" s="1"/>
  <c r="K719" i="34"/>
  <c r="K722" i="34" s="1"/>
  <c r="I745" i="34"/>
  <c r="Q745" i="34"/>
  <c r="I750" i="34"/>
  <c r="Q750" i="34"/>
  <c r="I753" i="34"/>
  <c r="Q753" i="34"/>
  <c r="I758" i="34"/>
  <c r="Q758" i="34"/>
  <c r="I759" i="34"/>
  <c r="Q759" i="34"/>
  <c r="R487" i="34"/>
  <c r="H395" i="34"/>
  <c r="H400" i="34" s="1"/>
  <c r="H401" i="34" s="1"/>
  <c r="K395" i="34"/>
  <c r="K400" i="34" s="1"/>
  <c r="K401" i="34" s="1"/>
  <c r="R372" i="34"/>
  <c r="R374" i="34"/>
  <c r="R375" i="34"/>
  <c r="R381" i="34"/>
  <c r="R382" i="34"/>
  <c r="R385" i="34"/>
  <c r="R386" i="34"/>
  <c r="R387" i="34"/>
  <c r="R389" i="34"/>
  <c r="R398" i="34"/>
  <c r="R416" i="34"/>
  <c r="R417" i="34"/>
  <c r="R419" i="34"/>
  <c r="E429" i="34"/>
  <c r="M429" i="34"/>
  <c r="I434" i="34"/>
  <c r="Q434" i="34"/>
  <c r="R440" i="34"/>
  <c r="R441" i="34"/>
  <c r="E469" i="34"/>
  <c r="R211" i="34"/>
  <c r="E442" i="34"/>
  <c r="R502" i="34"/>
  <c r="R640" i="34"/>
  <c r="M758" i="34"/>
  <c r="R391" i="34"/>
  <c r="R505" i="34"/>
  <c r="R210" i="34"/>
  <c r="M442" i="34"/>
  <c r="I443" i="34"/>
  <c r="R508" i="34"/>
  <c r="R510" i="34"/>
  <c r="R516" i="34"/>
  <c r="R378" i="34"/>
  <c r="R379" i="34"/>
  <c r="R392" i="34"/>
  <c r="J125" i="34"/>
  <c r="J128" i="34" s="1"/>
  <c r="J129" i="34" s="1"/>
  <c r="L125" i="34"/>
  <c r="L128" i="34" s="1"/>
  <c r="L129" i="34" s="1"/>
  <c r="M469" i="34"/>
  <c r="I474" i="34"/>
  <c r="Q474" i="34"/>
  <c r="R522" i="34"/>
  <c r="E743" i="34"/>
  <c r="Q443" i="34"/>
  <c r="R445" i="34"/>
  <c r="M463" i="34"/>
  <c r="R479" i="34"/>
  <c r="I523" i="34"/>
  <c r="Q523" i="34"/>
  <c r="M743" i="34"/>
  <c r="R526" i="34"/>
  <c r="R209" i="34"/>
  <c r="H260" i="34"/>
  <c r="H268" i="34" s="1"/>
  <c r="H269" i="34" s="1"/>
  <c r="K260" i="34"/>
  <c r="K268" i="34" s="1"/>
  <c r="K269" i="34" s="1"/>
  <c r="P260" i="34"/>
  <c r="G395" i="34"/>
  <c r="G400" i="34" s="1"/>
  <c r="G401" i="34" s="1"/>
  <c r="C395" i="34"/>
  <c r="C400" i="34" s="1"/>
  <c r="C401" i="34" s="1"/>
  <c r="J395" i="34"/>
  <c r="J400" i="34" s="1"/>
  <c r="J401" i="34" s="1"/>
  <c r="L395" i="34"/>
  <c r="L400" i="34" s="1"/>
  <c r="L401" i="34" s="1"/>
  <c r="E758" i="34"/>
  <c r="E759" i="34"/>
  <c r="R482" i="34"/>
  <c r="R527" i="34"/>
  <c r="R532" i="34"/>
  <c r="I698" i="34"/>
  <c r="R701" i="34"/>
  <c r="R327" i="34"/>
  <c r="L719" i="34"/>
  <c r="L722" i="34" s="1"/>
  <c r="R702" i="34"/>
  <c r="I46" i="34"/>
  <c r="M46" i="34"/>
  <c r="E50" i="34"/>
  <c r="M50" i="34"/>
  <c r="R54" i="34"/>
  <c r="E57" i="34"/>
  <c r="M57" i="34"/>
  <c r="E58" i="34"/>
  <c r="M58" i="34"/>
  <c r="R60" i="34"/>
  <c r="R73" i="34"/>
  <c r="R85" i="34"/>
  <c r="B129" i="34"/>
  <c r="G125" i="34"/>
  <c r="G128" i="34" s="1"/>
  <c r="G129" i="34" s="1"/>
  <c r="K125" i="34"/>
  <c r="K128" i="34" s="1"/>
  <c r="K129" i="34" s="1"/>
  <c r="I106" i="34"/>
  <c r="Q106" i="34"/>
  <c r="I744" i="34"/>
  <c r="R704" i="34"/>
  <c r="E336" i="34"/>
  <c r="I584" i="34"/>
  <c r="Q584" i="34"/>
  <c r="Q744" i="34"/>
  <c r="R705" i="34"/>
  <c r="R706" i="34"/>
  <c r="I707" i="34"/>
  <c r="R710" i="34"/>
  <c r="R711" i="34"/>
  <c r="R217" i="34"/>
  <c r="R213" i="34"/>
  <c r="N260" i="34"/>
  <c r="N268" i="34" s="1"/>
  <c r="N269" i="34" s="1"/>
  <c r="R216" i="34"/>
  <c r="R159" i="34"/>
  <c r="M512" i="34"/>
  <c r="M369" i="34"/>
  <c r="E18" i="34"/>
  <c r="R25" i="34"/>
  <c r="I221" i="34"/>
  <c r="R221" i="34" s="1"/>
  <c r="F240" i="34"/>
  <c r="R540" i="34"/>
  <c r="E745" i="34"/>
  <c r="M759" i="34"/>
  <c r="R82" i="34"/>
  <c r="R713" i="34"/>
  <c r="R714" i="34"/>
  <c r="R380" i="34"/>
  <c r="R331" i="34"/>
  <c r="R390" i="34"/>
  <c r="R330" i="34"/>
  <c r="M394" i="34"/>
  <c r="R388" i="34"/>
  <c r="E394" i="34"/>
  <c r="R329" i="34"/>
  <c r="Q485" i="34"/>
  <c r="M484" i="34"/>
  <c r="R483" i="34"/>
  <c r="I485" i="34"/>
  <c r="E484" i="34"/>
  <c r="R458" i="34"/>
  <c r="R218" i="34"/>
  <c r="R219" i="34"/>
  <c r="H755" i="34"/>
  <c r="H784" i="34" s="1"/>
  <c r="G755" i="34"/>
  <c r="G784" i="34" s="1"/>
  <c r="R207" i="34"/>
  <c r="E754" i="34"/>
  <c r="Q761" i="34"/>
  <c r="Q538" i="34"/>
  <c r="L763" i="34"/>
  <c r="L539" i="34"/>
  <c r="L542" i="34" s="1"/>
  <c r="L543" i="34" s="1"/>
  <c r="K763" i="34"/>
  <c r="M761" i="34"/>
  <c r="J764" i="34"/>
  <c r="J786" i="34" s="1"/>
  <c r="H763" i="34"/>
  <c r="G763" i="34"/>
  <c r="I761" i="34"/>
  <c r="R535" i="34"/>
  <c r="F763" i="34"/>
  <c r="D763" i="34"/>
  <c r="C763" i="34"/>
  <c r="E761" i="34"/>
  <c r="B763" i="34"/>
  <c r="R515" i="34"/>
  <c r="Q518" i="34"/>
  <c r="I518" i="34"/>
  <c r="M742" i="34"/>
  <c r="M41" i="34"/>
  <c r="R420" i="34"/>
  <c r="M424" i="34"/>
  <c r="E424" i="34"/>
  <c r="R83" i="34"/>
  <c r="M198" i="34"/>
  <c r="E198" i="34"/>
  <c r="Q95" i="34"/>
  <c r="I95" i="34"/>
  <c r="D125" i="34"/>
  <c r="D128" i="34" s="1"/>
  <c r="D129" i="34" s="1"/>
  <c r="R686" i="34"/>
  <c r="R506" i="34"/>
  <c r="E512" i="34"/>
  <c r="Q749" i="34"/>
  <c r="Q336" i="34"/>
  <c r="R328" i="34"/>
  <c r="P746" i="34"/>
  <c r="P780" i="34" s="1"/>
  <c r="L746" i="34"/>
  <c r="L780" i="34" s="1"/>
  <c r="D746" i="34"/>
  <c r="D780" i="34" s="1"/>
  <c r="C746" i="34"/>
  <c r="C780" i="34" s="1"/>
  <c r="P764" i="34"/>
  <c r="P786" i="34" s="1"/>
  <c r="O764" i="34"/>
  <c r="O786" i="34" s="1"/>
  <c r="L764" i="34"/>
  <c r="L786" i="34" s="1"/>
  <c r="K764" i="34"/>
  <c r="K786" i="34" s="1"/>
  <c r="H764" i="34"/>
  <c r="H786" i="34" s="1"/>
  <c r="G764" i="34"/>
  <c r="G786" i="34" s="1"/>
  <c r="R377" i="34"/>
  <c r="F764" i="34"/>
  <c r="F786" i="34" s="1"/>
  <c r="D764" i="34"/>
  <c r="D786" i="34" s="1"/>
  <c r="C764" i="34"/>
  <c r="C786" i="34" s="1"/>
  <c r="B764" i="34"/>
  <c r="B786" i="34" s="1"/>
  <c r="R220" i="34"/>
  <c r="R222" i="34"/>
  <c r="R223" i="34"/>
  <c r="R224" i="34"/>
  <c r="R225" i="34"/>
  <c r="R226" i="34"/>
  <c r="R227" i="34"/>
  <c r="R231" i="34"/>
  <c r="R232" i="34"/>
  <c r="R238" i="34"/>
  <c r="E240" i="34"/>
  <c r="Q240" i="34"/>
  <c r="E258" i="34"/>
  <c r="M258" i="34"/>
  <c r="Q258" i="34"/>
  <c r="I259" i="34"/>
  <c r="Q259" i="34"/>
  <c r="B401" i="34"/>
  <c r="D395" i="34"/>
  <c r="D400" i="34" s="1"/>
  <c r="D401" i="34" s="1"/>
  <c r="I424" i="34"/>
  <c r="Q424" i="34"/>
  <c r="I512" i="34"/>
  <c r="E717" i="34"/>
  <c r="I718" i="34"/>
  <c r="I14" i="34"/>
  <c r="Q14" i="34"/>
  <c r="I15" i="34"/>
  <c r="Q15" i="34"/>
  <c r="I16" i="34"/>
  <c r="Q16" i="34"/>
  <c r="I17" i="34"/>
  <c r="E572" i="34"/>
  <c r="M572" i="34"/>
  <c r="I576" i="34"/>
  <c r="Q576" i="34"/>
  <c r="R580" i="34"/>
  <c r="I583" i="34"/>
  <c r="Q583" i="34"/>
  <c r="E584" i="34"/>
  <c r="M584" i="34"/>
  <c r="R586" i="34"/>
  <c r="B629" i="34"/>
  <c r="B632" i="34" s="1"/>
  <c r="B633" i="34" s="1"/>
  <c r="D629" i="34"/>
  <c r="D632" i="34" s="1"/>
  <c r="D633" i="34" s="1"/>
  <c r="J629" i="34"/>
  <c r="J632" i="34" s="1"/>
  <c r="J633" i="34" s="1"/>
  <c r="I748" i="34"/>
  <c r="E14" i="34"/>
  <c r="M14" i="34"/>
  <c r="M15" i="34"/>
  <c r="E16" i="34"/>
  <c r="M16" i="34"/>
  <c r="E17" i="34"/>
  <c r="M17" i="34"/>
  <c r="Q17" i="34"/>
  <c r="I18" i="34"/>
  <c r="Q18" i="34"/>
  <c r="I41" i="34"/>
  <c r="E46" i="34"/>
  <c r="Q46" i="34"/>
  <c r="I50" i="34"/>
  <c r="Q50" i="34"/>
  <c r="I57" i="34"/>
  <c r="Q57" i="34"/>
  <c r="I58" i="34"/>
  <c r="Q58" i="34"/>
  <c r="C125" i="34"/>
  <c r="C128" i="34" s="1"/>
  <c r="C129" i="34" s="1"/>
  <c r="F125" i="34"/>
  <c r="F128" i="34" s="1"/>
  <c r="F129" i="34" s="1"/>
  <c r="M95" i="34"/>
  <c r="R99" i="34"/>
  <c r="R100" i="34"/>
  <c r="R101" i="34"/>
  <c r="R102" i="34"/>
  <c r="R103" i="34"/>
  <c r="R104" i="34"/>
  <c r="R105" i="34"/>
  <c r="E106" i="34"/>
  <c r="M106" i="34"/>
  <c r="R109" i="34"/>
  <c r="R110" i="34"/>
  <c r="R119" i="34"/>
  <c r="R121" i="34"/>
  <c r="I123" i="34"/>
  <c r="Q123" i="34"/>
  <c r="R126" i="34"/>
  <c r="Q198" i="34"/>
  <c r="R116" i="34"/>
  <c r="R243" i="34"/>
  <c r="R244" i="34"/>
  <c r="R245" i="34"/>
  <c r="R248" i="34"/>
  <c r="R249" i="34"/>
  <c r="R250" i="34"/>
  <c r="R251" i="34"/>
  <c r="R252" i="34"/>
  <c r="R253" i="34"/>
  <c r="R254" i="34"/>
  <c r="I258" i="34"/>
  <c r="E259" i="34"/>
  <c r="M259" i="34"/>
  <c r="R262" i="34"/>
  <c r="R263" i="34"/>
  <c r="R264" i="34"/>
  <c r="R265" i="34"/>
  <c r="E537" i="34"/>
  <c r="M537" i="34"/>
  <c r="R550" i="34"/>
  <c r="E608" i="34"/>
  <c r="M608" i="34"/>
  <c r="I617" i="34"/>
  <c r="Q617" i="34"/>
  <c r="E627" i="34"/>
  <c r="M627" i="34"/>
  <c r="I628" i="34"/>
  <c r="Q628" i="34"/>
  <c r="I660" i="34"/>
  <c r="Q660" i="34"/>
  <c r="E664" i="34"/>
  <c r="M664" i="34"/>
  <c r="I670" i="34"/>
  <c r="Q670" i="34"/>
  <c r="E671" i="34"/>
  <c r="M671" i="34"/>
  <c r="E698" i="34"/>
  <c r="M698" i="34"/>
  <c r="E718" i="34"/>
  <c r="M718" i="34"/>
  <c r="E744" i="34"/>
  <c r="M744" i="34"/>
  <c r="E748" i="34"/>
  <c r="M748" i="34"/>
  <c r="E762" i="34"/>
  <c r="M762" i="34"/>
  <c r="E279" i="34"/>
  <c r="Q279" i="34"/>
  <c r="I336" i="34"/>
  <c r="M336" i="34"/>
  <c r="E369" i="34"/>
  <c r="I394" i="34"/>
  <c r="Q394" i="34"/>
  <c r="I429" i="34"/>
  <c r="Q429" i="34"/>
  <c r="E434" i="34"/>
  <c r="M434" i="34"/>
  <c r="I442" i="34"/>
  <c r="Q442" i="34"/>
  <c r="E443" i="34"/>
  <c r="M443" i="34"/>
  <c r="I463" i="34"/>
  <c r="Q463" i="34"/>
  <c r="I469" i="34"/>
  <c r="Q469" i="34"/>
  <c r="E474" i="34"/>
  <c r="M474" i="34"/>
  <c r="Q484" i="34"/>
  <c r="E485" i="34"/>
  <c r="M485" i="34"/>
  <c r="Q512" i="34"/>
  <c r="E518" i="34"/>
  <c r="M518" i="34"/>
  <c r="E523" i="34"/>
  <c r="M538" i="34"/>
  <c r="I572" i="34"/>
  <c r="Q572" i="34"/>
  <c r="E576" i="34"/>
  <c r="M576" i="34"/>
  <c r="E583" i="34"/>
  <c r="M583" i="34"/>
  <c r="M717" i="34"/>
  <c r="Q718" i="34"/>
  <c r="R720" i="34"/>
  <c r="M745" i="34"/>
  <c r="Q748" i="34"/>
  <c r="E750" i="34"/>
  <c r="M750" i="34"/>
  <c r="R1019" i="34"/>
  <c r="R1022" i="34"/>
  <c r="R1025" i="34"/>
  <c r="R255" i="34"/>
  <c r="R233" i="34"/>
  <c r="R234" i="34"/>
  <c r="R235" i="34"/>
  <c r="R236" i="34"/>
  <c r="R237" i="34"/>
  <c r="R111" i="34"/>
  <c r="R112" i="34"/>
  <c r="R113" i="34"/>
  <c r="R72" i="34"/>
  <c r="R74" i="34"/>
  <c r="R77" i="34"/>
  <c r="R78" i="34"/>
  <c r="R79" i="34"/>
  <c r="R80" i="34"/>
  <c r="O899" i="34"/>
  <c r="N1025" i="34"/>
  <c r="N1022" i="34"/>
  <c r="N1019" i="34"/>
  <c r="M1028" i="34"/>
  <c r="Q707" i="34"/>
  <c r="M707" i="34"/>
  <c r="E707" i="34"/>
  <c r="R696" i="34"/>
  <c r="Q698" i="34"/>
  <c r="R652" i="34"/>
  <c r="R673" i="34"/>
  <c r="R623" i="34"/>
  <c r="R599" i="34"/>
  <c r="R600" i="34"/>
  <c r="R562" i="34"/>
  <c r="R564" i="34"/>
  <c r="R536" i="34"/>
  <c r="R529" i="34"/>
  <c r="R530" i="34"/>
  <c r="R531" i="34"/>
  <c r="I538" i="34"/>
  <c r="E538" i="34"/>
  <c r="M523" i="34"/>
  <c r="R503" i="34"/>
  <c r="R504" i="34"/>
  <c r="R499" i="34"/>
  <c r="R500" i="34"/>
  <c r="R501" i="34"/>
  <c r="R481" i="34"/>
  <c r="J763" i="34"/>
  <c r="I484" i="34"/>
  <c r="R466" i="34"/>
  <c r="R467" i="34"/>
  <c r="R459" i="34"/>
  <c r="R427" i="34"/>
  <c r="R421" i="34"/>
  <c r="R396" i="34"/>
  <c r="R397" i="34"/>
  <c r="Q393" i="34"/>
  <c r="M393" i="34"/>
  <c r="I393" i="34"/>
  <c r="E393" i="34"/>
  <c r="R368" i="34"/>
  <c r="R360" i="34"/>
  <c r="R339" i="34"/>
  <c r="R340" i="34"/>
  <c r="R342" i="34"/>
  <c r="R343" i="34"/>
  <c r="R345" i="34"/>
  <c r="R346" i="34"/>
  <c r="R347" i="34"/>
  <c r="R348" i="34"/>
  <c r="R349" i="34"/>
  <c r="R351" i="34"/>
  <c r="R352" i="34"/>
  <c r="R353" i="34"/>
  <c r="R359" i="34"/>
  <c r="R355" i="34"/>
  <c r="R356" i="34"/>
  <c r="R361" i="34"/>
  <c r="R362" i="34"/>
  <c r="R357" i="34"/>
  <c r="R358" i="34"/>
  <c r="R363" i="34"/>
  <c r="R364" i="34"/>
  <c r="R365" i="34"/>
  <c r="R367" i="34"/>
  <c r="R332" i="34"/>
  <c r="R333" i="34"/>
  <c r="R334" i="34"/>
  <c r="R289" i="34"/>
  <c r="R290" i="34"/>
  <c r="R292" i="34"/>
  <c r="R293" i="34"/>
  <c r="R294" i="34"/>
  <c r="R297" i="34"/>
  <c r="R298" i="34"/>
  <c r="R299" i="34"/>
  <c r="R300" i="34"/>
  <c r="R302" i="34"/>
  <c r="R303" i="34"/>
  <c r="R304" i="34"/>
  <c r="R305" i="34"/>
  <c r="R306" i="34"/>
  <c r="R307" i="34"/>
  <c r="R308" i="34"/>
  <c r="R309" i="34"/>
  <c r="R310" i="34"/>
  <c r="R311" i="34"/>
  <c r="R312" i="34"/>
  <c r="R313" i="34"/>
  <c r="R314" i="34"/>
  <c r="R316" i="34"/>
  <c r="R318" i="34"/>
  <c r="R319" i="34"/>
  <c r="R320" i="34"/>
  <c r="R321" i="34"/>
  <c r="R295" i="34"/>
  <c r="R277" i="34"/>
  <c r="R279" i="34" s="1"/>
  <c r="Q743" i="34"/>
  <c r="R266" i="34"/>
  <c r="R261" i="34"/>
  <c r="I743" i="34"/>
  <c r="E15" i="34"/>
  <c r="R246" i="34"/>
  <c r="R239" i="34"/>
  <c r="M749" i="34"/>
  <c r="I198" i="34"/>
  <c r="I749" i="34"/>
  <c r="R195" i="34"/>
  <c r="D260" i="34"/>
  <c r="D268" i="34" s="1"/>
  <c r="D269" i="34" s="1"/>
  <c r="R146" i="34"/>
  <c r="R138" i="34"/>
  <c r="R139" i="34"/>
  <c r="R140" i="34"/>
  <c r="R141" i="34"/>
  <c r="R142" i="34"/>
  <c r="R143" i="34"/>
  <c r="R147" i="34"/>
  <c r="R148" i="34"/>
  <c r="R149" i="34"/>
  <c r="R153" i="34"/>
  <c r="R154" i="34"/>
  <c r="R158" i="34"/>
  <c r="R166" i="34"/>
  <c r="R167" i="34"/>
  <c r="R168" i="34"/>
  <c r="R172" i="34"/>
  <c r="R173" i="34"/>
  <c r="R175" i="34"/>
  <c r="R176" i="34"/>
  <c r="R177" i="34"/>
  <c r="R178" i="34"/>
  <c r="R179" i="34"/>
  <c r="R180" i="34"/>
  <c r="R181" i="34"/>
  <c r="R182" i="34"/>
  <c r="R183" i="34"/>
  <c r="R184" i="34"/>
  <c r="R185" i="34"/>
  <c r="R187" i="34"/>
  <c r="R188" i="34"/>
  <c r="R189" i="34"/>
  <c r="M124" i="34"/>
  <c r="R114" i="34"/>
  <c r="R115" i="34"/>
  <c r="R118" i="34"/>
  <c r="I124" i="34"/>
  <c r="E124" i="34"/>
  <c r="R93" i="34"/>
  <c r="R92" i="34"/>
  <c r="E95" i="34"/>
  <c r="E749" i="34"/>
  <c r="E742" i="34"/>
  <c r="Q41" i="34"/>
  <c r="Q741" i="34"/>
  <c r="M741" i="34"/>
  <c r="I741" i="34"/>
  <c r="R38" i="34"/>
  <c r="E741" i="34"/>
  <c r="E41" i="34"/>
  <c r="E27" i="34"/>
  <c r="I27" i="34"/>
  <c r="M27" i="34"/>
  <c r="Q27" i="34"/>
  <c r="F59" i="34"/>
  <c r="J59" i="34"/>
  <c r="N59" i="34"/>
  <c r="E88" i="34"/>
  <c r="M88" i="34"/>
  <c r="Q88" i="34"/>
  <c r="E740" i="34"/>
  <c r="B746" i="34"/>
  <c r="AP804" i="34"/>
  <c r="AP812" i="34"/>
  <c r="Q740" i="34"/>
  <c r="Q287" i="34"/>
  <c r="R287" i="34" s="1"/>
  <c r="I296" i="34"/>
  <c r="R296" i="34" s="1"/>
  <c r="E323" i="34"/>
  <c r="I323" i="34"/>
  <c r="M323" i="34"/>
  <c r="O323" i="34"/>
  <c r="O395" i="34" s="1"/>
  <c r="O400" i="34" s="1"/>
  <c r="O401" i="34" s="1"/>
  <c r="F444" i="34"/>
  <c r="J444" i="34"/>
  <c r="N444" i="34"/>
  <c r="E463" i="34"/>
  <c r="B486" i="34"/>
  <c r="R1000" i="34"/>
  <c r="R876" i="34"/>
  <c r="AT826" i="34"/>
  <c r="R847" i="34"/>
  <c r="R821" i="34"/>
  <c r="R792" i="34"/>
  <c r="R727" i="34"/>
  <c r="AT794" i="34"/>
  <c r="R768" i="34"/>
  <c r="I86" i="34"/>
  <c r="R86" i="34" s="1"/>
  <c r="H88" i="34"/>
  <c r="H125" i="34" s="1"/>
  <c r="H128" i="34" s="1"/>
  <c r="H129" i="34" s="1"/>
  <c r="N763" i="34"/>
  <c r="Q760" i="34"/>
  <c r="N124" i="34"/>
  <c r="Q124" i="34" s="1"/>
  <c r="E169" i="34"/>
  <c r="R169" i="34" s="1"/>
  <c r="G191" i="34"/>
  <c r="G260" i="34" s="1"/>
  <c r="G268" i="34" s="1"/>
  <c r="G269" i="34" s="1"/>
  <c r="M191" i="34"/>
  <c r="Q191" i="34"/>
  <c r="M230" i="34"/>
  <c r="R230" i="34" s="1"/>
  <c r="J240" i="34"/>
  <c r="M240" i="34" s="1"/>
  <c r="I279" i="34"/>
  <c r="M279" i="34"/>
  <c r="N323" i="34"/>
  <c r="F369" i="34"/>
  <c r="I369" i="34" s="1"/>
  <c r="R457" i="34"/>
  <c r="F486" i="34"/>
  <c r="J486" i="34"/>
  <c r="N486" i="34"/>
  <c r="B539" i="34"/>
  <c r="F539" i="34"/>
  <c r="J539" i="34"/>
  <c r="N539" i="34"/>
  <c r="E552" i="34"/>
  <c r="I552" i="34"/>
  <c r="M552" i="34"/>
  <c r="Q552" i="34"/>
  <c r="E568" i="34"/>
  <c r="I568" i="34"/>
  <c r="M568" i="34"/>
  <c r="Q568" i="34"/>
  <c r="I598" i="34"/>
  <c r="F604" i="34"/>
  <c r="E656" i="34"/>
  <c r="I656" i="34"/>
  <c r="M656" i="34"/>
  <c r="Q656" i="34"/>
  <c r="N693" i="34"/>
  <c r="Q691" i="34"/>
  <c r="R691" i="34" s="1"/>
  <c r="N742" i="34"/>
  <c r="M740" i="34"/>
  <c r="J746" i="34"/>
  <c r="M598" i="34"/>
  <c r="E604" i="34"/>
  <c r="K604" i="34"/>
  <c r="K629" i="34" s="1"/>
  <c r="K632" i="34" s="1"/>
  <c r="K633" i="34" s="1"/>
  <c r="Q604" i="34"/>
  <c r="E642" i="34"/>
  <c r="I642" i="34"/>
  <c r="M642" i="34"/>
  <c r="Q642" i="34"/>
  <c r="E693" i="34"/>
  <c r="G719" i="34"/>
  <c r="G722" i="34" s="1"/>
  <c r="G723" i="34" s="1"/>
  <c r="I693" i="34"/>
  <c r="H746" i="34"/>
  <c r="I742" i="34"/>
  <c r="M693" i="34"/>
  <c r="C751" i="34"/>
  <c r="C782" i="34" s="1"/>
  <c r="G751" i="34"/>
  <c r="G782" i="34" s="1"/>
  <c r="K751" i="34"/>
  <c r="K782" i="34" s="1"/>
  <c r="O751" i="34"/>
  <c r="O782" i="34" s="1"/>
  <c r="B755" i="34"/>
  <c r="J755" i="34"/>
  <c r="N755" i="34"/>
  <c r="E760" i="34"/>
  <c r="I760" i="34"/>
  <c r="M760" i="34"/>
  <c r="AG838" i="34"/>
  <c r="AE838" i="34"/>
  <c r="AF838" i="34"/>
  <c r="AD838" i="34"/>
  <c r="AG839" i="34"/>
  <c r="AE839" i="34"/>
  <c r="AF839" i="34"/>
  <c r="AD839" i="34"/>
  <c r="AG840" i="34"/>
  <c r="AE840" i="34"/>
  <c r="AF840" i="34"/>
  <c r="AD840" i="34"/>
  <c r="AF841" i="34"/>
  <c r="AD841" i="34"/>
  <c r="AG841" i="34"/>
  <c r="AE841" i="34"/>
  <c r="AG842" i="34"/>
  <c r="AE842" i="34"/>
  <c r="AF842" i="34"/>
  <c r="AD842" i="34"/>
  <c r="AF843" i="34"/>
  <c r="AD843" i="34"/>
  <c r="AG843" i="34"/>
  <c r="AE843" i="34"/>
  <c r="AG844" i="34"/>
  <c r="AE844" i="34"/>
  <c r="AF844" i="34"/>
  <c r="AD844" i="34"/>
  <c r="AF845" i="34"/>
  <c r="AD845" i="34"/>
  <c r="AG845" i="34"/>
  <c r="AE845" i="34"/>
  <c r="AD810" i="34"/>
  <c r="AG846" i="34"/>
  <c r="AE846" i="34"/>
  <c r="AF846" i="34"/>
  <c r="AD846" i="34"/>
  <c r="AD811" i="34"/>
  <c r="AF847" i="34"/>
  <c r="AD847" i="34"/>
  <c r="AG847" i="34"/>
  <c r="AE847" i="34"/>
  <c r="AD812" i="34"/>
  <c r="AG848" i="34"/>
  <c r="AE848" i="34"/>
  <c r="AF848" i="34"/>
  <c r="AD848" i="34"/>
  <c r="AD813" i="34"/>
  <c r="AF849" i="34"/>
  <c r="AD849" i="34"/>
  <c r="AG849" i="34"/>
  <c r="AE849" i="34"/>
  <c r="AD814" i="34"/>
  <c r="F816" i="34"/>
  <c r="AD803" i="34"/>
  <c r="AD804" i="34"/>
  <c r="AD805" i="34"/>
  <c r="AD806" i="34"/>
  <c r="AD807" i="34"/>
  <c r="AD808" i="34"/>
  <c r="AD809" i="34"/>
  <c r="E757" i="34"/>
  <c r="I757" i="34"/>
  <c r="M757" i="34"/>
  <c r="Q757" i="34"/>
  <c r="G816" i="34"/>
  <c r="J886" i="34"/>
  <c r="J913" i="34" s="1"/>
  <c r="J888" i="34"/>
  <c r="J915" i="34" s="1"/>
  <c r="J890" i="34"/>
  <c r="J917" i="34" s="1"/>
  <c r="J892" i="34"/>
  <c r="J919" i="34" s="1"/>
  <c r="J894" i="34"/>
  <c r="J921" i="34" s="1"/>
  <c r="J896" i="34"/>
  <c r="J923" i="34" s="1"/>
  <c r="J887" i="34"/>
  <c r="J914" i="34" s="1"/>
  <c r="J889" i="34"/>
  <c r="J916" i="34" s="1"/>
  <c r="J891" i="34"/>
  <c r="J918" i="34" s="1"/>
  <c r="J893" i="34"/>
  <c r="J920" i="34" s="1"/>
  <c r="J895" i="34"/>
  <c r="J922" i="34" s="1"/>
  <c r="J897" i="34"/>
  <c r="J924" i="34" s="1"/>
  <c r="G1028" i="34"/>
  <c r="J1016" i="34"/>
  <c r="N1016" i="34"/>
  <c r="R1016" i="34"/>
  <c r="K241" i="31"/>
  <c r="Q742" i="34" l="1"/>
  <c r="R742" i="34" s="1"/>
  <c r="N746" i="34"/>
  <c r="S466" i="34"/>
  <c r="P724" i="34"/>
  <c r="P725" i="34" s="1"/>
  <c r="P268" i="34"/>
  <c r="P269" i="34" s="1"/>
  <c r="R16" i="34"/>
  <c r="O724" i="34"/>
  <c r="O725" i="34" s="1"/>
  <c r="Q585" i="34"/>
  <c r="M585" i="34"/>
  <c r="C724" i="34"/>
  <c r="C725" i="34" s="1"/>
  <c r="C723" i="34"/>
  <c r="K678" i="34"/>
  <c r="K679" i="34" s="1"/>
  <c r="K677" i="34"/>
  <c r="O678" i="34"/>
  <c r="O679" i="34" s="1"/>
  <c r="O677" i="34"/>
  <c r="L724" i="34"/>
  <c r="L725" i="34" s="1"/>
  <c r="L723" i="34"/>
  <c r="K724" i="34"/>
  <c r="K725" i="34" s="1"/>
  <c r="K723" i="34"/>
  <c r="D724" i="34"/>
  <c r="D725" i="34" s="1"/>
  <c r="D723" i="34"/>
  <c r="L678" i="34"/>
  <c r="L679" i="34" s="1"/>
  <c r="L677" i="34"/>
  <c r="F191" i="34"/>
  <c r="F260" i="34" s="1"/>
  <c r="Q629" i="34"/>
  <c r="E585" i="34"/>
  <c r="G678" i="34"/>
  <c r="G679" i="34" s="1"/>
  <c r="I585" i="34"/>
  <c r="Q763" i="34"/>
  <c r="P678" i="34"/>
  <c r="P679" i="34" s="1"/>
  <c r="C678" i="34"/>
  <c r="C679" i="34" s="1"/>
  <c r="H678" i="34"/>
  <c r="H679" i="34" s="1"/>
  <c r="D678" i="34"/>
  <c r="D679" i="34" s="1"/>
  <c r="I672" i="34"/>
  <c r="M672" i="34"/>
  <c r="E672" i="34"/>
  <c r="Q672" i="34"/>
  <c r="H724" i="34"/>
  <c r="R744" i="34"/>
  <c r="R628" i="34"/>
  <c r="R718" i="34"/>
  <c r="R469" i="34"/>
  <c r="D788" i="34"/>
  <c r="D13" i="34" s="1"/>
  <c r="E7" i="25" s="1"/>
  <c r="M764" i="34"/>
  <c r="M763" i="34"/>
  <c r="R717" i="34"/>
  <c r="R758" i="34"/>
  <c r="R753" i="34"/>
  <c r="R523" i="34"/>
  <c r="R584" i="34"/>
  <c r="R50" i="34"/>
  <c r="M125" i="34"/>
  <c r="E719" i="34"/>
  <c r="Q260" i="34"/>
  <c r="R759" i="34"/>
  <c r="R17" i="34"/>
  <c r="R474" i="34"/>
  <c r="R434" i="34"/>
  <c r="R670" i="34"/>
  <c r="E764" i="34"/>
  <c r="D765" i="34"/>
  <c r="R198" i="34"/>
  <c r="R698" i="34"/>
  <c r="R627" i="34"/>
  <c r="R537" i="34"/>
  <c r="R761" i="34"/>
  <c r="R58" i="34"/>
  <c r="M395" i="34"/>
  <c r="I786" i="34"/>
  <c r="M719" i="34"/>
  <c r="R124" i="34"/>
  <c r="R41" i="34"/>
  <c r="R484" i="34"/>
  <c r="R745" i="34"/>
  <c r="I240" i="34"/>
  <c r="R240" i="34" s="1"/>
  <c r="I764" i="34"/>
  <c r="E763" i="34"/>
  <c r="I763" i="34"/>
  <c r="F755" i="34"/>
  <c r="I755" i="34" s="1"/>
  <c r="R707" i="34"/>
  <c r="R518" i="34"/>
  <c r="R443" i="34"/>
  <c r="R429" i="34"/>
  <c r="R394" i="34"/>
  <c r="R762" i="34"/>
  <c r="R393" i="34"/>
  <c r="R748" i="34"/>
  <c r="R660" i="34"/>
  <c r="R617" i="34"/>
  <c r="R608" i="34"/>
  <c r="R259" i="34"/>
  <c r="R123" i="34"/>
  <c r="E629" i="34"/>
  <c r="R572" i="34"/>
  <c r="R512" i="34"/>
  <c r="R424" i="34"/>
  <c r="R258" i="34"/>
  <c r="R336" i="34"/>
  <c r="R57" i="34"/>
  <c r="L765" i="34"/>
  <c r="R463" i="34"/>
  <c r="E125" i="34"/>
  <c r="R95" i="34"/>
  <c r="R671" i="34"/>
  <c r="R664" i="34"/>
  <c r="R46" i="34"/>
  <c r="R583" i="34"/>
  <c r="R576" i="34"/>
  <c r="R485" i="34"/>
  <c r="R442" i="34"/>
  <c r="E786" i="34"/>
  <c r="R14" i="34"/>
  <c r="R18" i="34"/>
  <c r="L788" i="34"/>
  <c r="L13" i="34" s="1"/>
  <c r="K7" i="25" s="1"/>
  <c r="M786" i="34"/>
  <c r="S173" i="34"/>
  <c r="R15" i="34"/>
  <c r="R106" i="34"/>
  <c r="E395" i="34"/>
  <c r="R750" i="34"/>
  <c r="S80" i="34"/>
  <c r="R598" i="34"/>
  <c r="R538" i="34"/>
  <c r="R743" i="34"/>
  <c r="R741" i="34"/>
  <c r="R749" i="34"/>
  <c r="Q751" i="34"/>
  <c r="I751" i="34"/>
  <c r="S300" i="34"/>
  <c r="R757" i="34"/>
  <c r="AO808" i="34"/>
  <c r="AO806" i="34"/>
  <c r="AO804" i="34"/>
  <c r="AO813" i="34"/>
  <c r="AO811" i="34"/>
  <c r="AD851" i="34"/>
  <c r="AE851" i="34"/>
  <c r="R760" i="34"/>
  <c r="J784" i="34"/>
  <c r="M784" i="34" s="1"/>
  <c r="M755" i="34"/>
  <c r="B784" i="34"/>
  <c r="E784" i="34" s="1"/>
  <c r="E755" i="34"/>
  <c r="C788" i="34"/>
  <c r="C13" i="34" s="1"/>
  <c r="D7" i="25" s="1"/>
  <c r="G724" i="34"/>
  <c r="G725" i="34" s="1"/>
  <c r="M751" i="34"/>
  <c r="E751" i="34"/>
  <c r="I719" i="34"/>
  <c r="F629" i="34"/>
  <c r="I604" i="34"/>
  <c r="K765" i="34"/>
  <c r="Q539" i="34"/>
  <c r="N542" i="34"/>
  <c r="N543" i="34" s="1"/>
  <c r="I539" i="34"/>
  <c r="F542" i="34"/>
  <c r="F543" i="34" s="1"/>
  <c r="Q486" i="34"/>
  <c r="N489" i="34"/>
  <c r="N490" i="34" s="1"/>
  <c r="I486" i="34"/>
  <c r="F489" i="34"/>
  <c r="F490" i="34" s="1"/>
  <c r="J678" i="34"/>
  <c r="J679" i="34" s="1"/>
  <c r="M676" i="34"/>
  <c r="B678" i="34"/>
  <c r="E676" i="34"/>
  <c r="Q588" i="34"/>
  <c r="I588" i="34"/>
  <c r="O788" i="34"/>
  <c r="O13" i="34" s="1"/>
  <c r="M7" i="25" s="1"/>
  <c r="G765" i="34"/>
  <c r="M629" i="34"/>
  <c r="M588" i="34"/>
  <c r="E588" i="34"/>
  <c r="M444" i="34"/>
  <c r="J447" i="34"/>
  <c r="J448" i="34" s="1"/>
  <c r="E444" i="34"/>
  <c r="B447" i="34"/>
  <c r="B448" i="34" s="1"/>
  <c r="B780" i="34"/>
  <c r="E746" i="34"/>
  <c r="B765" i="34"/>
  <c r="I88" i="34"/>
  <c r="R88" i="34" s="1"/>
  <c r="Q59" i="34"/>
  <c r="N62" i="34"/>
  <c r="N63" i="34" s="1"/>
  <c r="I59" i="34"/>
  <c r="F62" i="34"/>
  <c r="F63" i="34" s="1"/>
  <c r="E128" i="34"/>
  <c r="F395" i="34"/>
  <c r="M128" i="34"/>
  <c r="I128" i="34"/>
  <c r="AO809" i="34"/>
  <c r="AO807" i="34"/>
  <c r="AO805" i="34"/>
  <c r="AD816" i="34"/>
  <c r="AO803" i="34"/>
  <c r="AO814" i="34"/>
  <c r="AO812" i="34"/>
  <c r="AO810" i="34"/>
  <c r="AF851" i="34"/>
  <c r="AG851" i="34"/>
  <c r="N784" i="34"/>
  <c r="N786" i="34"/>
  <c r="Q786" i="34" s="1"/>
  <c r="Q764" i="34"/>
  <c r="Q782" i="34"/>
  <c r="I782" i="34"/>
  <c r="H780" i="34"/>
  <c r="H788" i="34" s="1"/>
  <c r="H13" i="34" s="1"/>
  <c r="H7" i="25" s="1"/>
  <c r="H765" i="34"/>
  <c r="C765" i="34"/>
  <c r="J724" i="34"/>
  <c r="J725" i="34" s="1"/>
  <c r="M722" i="34"/>
  <c r="R642" i="34"/>
  <c r="M604" i="34"/>
  <c r="J780" i="34"/>
  <c r="M746" i="34"/>
  <c r="J765" i="34"/>
  <c r="M782" i="34"/>
  <c r="E782" i="34"/>
  <c r="F724" i="34"/>
  <c r="F725" i="34" s="1"/>
  <c r="I722" i="34"/>
  <c r="B724" i="34"/>
  <c r="B725" i="34" s="1"/>
  <c r="E722" i="34"/>
  <c r="N719" i="34"/>
  <c r="Q693" i="34"/>
  <c r="R693" i="34" s="1"/>
  <c r="R656" i="34"/>
  <c r="K788" i="34"/>
  <c r="K13" i="34" s="1"/>
  <c r="J7" i="25" s="1"/>
  <c r="R568" i="34"/>
  <c r="R552" i="34"/>
  <c r="M539" i="34"/>
  <c r="J542" i="34"/>
  <c r="J543" i="34" s="1"/>
  <c r="E539" i="34"/>
  <c r="B542" i="34"/>
  <c r="B543" i="34" s="1"/>
  <c r="M486" i="34"/>
  <c r="J489" i="34"/>
  <c r="J490" i="34" s="1"/>
  <c r="N395" i="34"/>
  <c r="Q323" i="34"/>
  <c r="R323" i="34" s="1"/>
  <c r="O765" i="34"/>
  <c r="G788" i="34"/>
  <c r="G13" i="34" s="1"/>
  <c r="G7" i="25" s="1"/>
  <c r="N678" i="34"/>
  <c r="N679" i="34" s="1"/>
  <c r="Q676" i="34"/>
  <c r="F678" i="34"/>
  <c r="F679" i="34" s="1"/>
  <c r="I676" i="34"/>
  <c r="Q632" i="34"/>
  <c r="M632" i="34"/>
  <c r="E632" i="34"/>
  <c r="E486" i="34"/>
  <c r="B489" i="34"/>
  <c r="B490" i="34" s="1"/>
  <c r="Q444" i="34"/>
  <c r="N447" i="34"/>
  <c r="N448" i="34" s="1"/>
  <c r="I444" i="34"/>
  <c r="F447" i="34"/>
  <c r="F448" i="34" s="1"/>
  <c r="E191" i="34"/>
  <c r="M59" i="34"/>
  <c r="J62" i="34"/>
  <c r="J63" i="34" s="1"/>
  <c r="E59" i="34"/>
  <c r="B63" i="34"/>
  <c r="R27" i="34"/>
  <c r="E400" i="34"/>
  <c r="J260" i="34"/>
  <c r="N125" i="34"/>
  <c r="M400" i="34"/>
  <c r="I125" i="34"/>
  <c r="K713" i="31"/>
  <c r="K714" i="31"/>
  <c r="K732" i="31"/>
  <c r="K733" i="31"/>
  <c r="B679" i="34" l="1"/>
  <c r="P803" i="34"/>
  <c r="Q814" i="34"/>
  <c r="Q843" i="34" s="1"/>
  <c r="Q813" i="34"/>
  <c r="Q842" i="34" s="1"/>
  <c r="Q268" i="34"/>
  <c r="P813" i="34"/>
  <c r="P842" i="34" s="1"/>
  <c r="Q810" i="34"/>
  <c r="Q839" i="34" s="1"/>
  <c r="L644" i="34"/>
  <c r="L645" i="34" s="1"/>
  <c r="Q805" i="34"/>
  <c r="Q834" i="34" s="1"/>
  <c r="Q811" i="34"/>
  <c r="Q840" i="34" s="1"/>
  <c r="K644" i="34"/>
  <c r="K645" i="34" s="1"/>
  <c r="P811" i="34"/>
  <c r="P840" i="34" s="1"/>
  <c r="P810" i="34"/>
  <c r="Q804" i="34"/>
  <c r="O644" i="34"/>
  <c r="O645" i="34" s="1"/>
  <c r="Q808" i="34"/>
  <c r="H725" i="34"/>
  <c r="P807" i="34"/>
  <c r="P836" i="34" s="1"/>
  <c r="F268" i="34"/>
  <c r="F269" i="34" s="1"/>
  <c r="I260" i="34"/>
  <c r="I191" i="34"/>
  <c r="R191" i="34" s="1"/>
  <c r="F746" i="34"/>
  <c r="F765" i="34" s="1"/>
  <c r="I765" i="34" s="1"/>
  <c r="I740" i="34"/>
  <c r="R740" i="34" s="1"/>
  <c r="R585" i="34"/>
  <c r="P814" i="34"/>
  <c r="G644" i="34"/>
  <c r="P804" i="34"/>
  <c r="P833" i="34" s="1"/>
  <c r="P808" i="34"/>
  <c r="P837" i="34" s="1"/>
  <c r="P644" i="34"/>
  <c r="P645" i="34" s="1"/>
  <c r="C644" i="34"/>
  <c r="C645" i="34" s="1"/>
  <c r="P805" i="34"/>
  <c r="P834" i="34" s="1"/>
  <c r="D644" i="34"/>
  <c r="D645" i="34" s="1"/>
  <c r="R672" i="34"/>
  <c r="R59" i="34"/>
  <c r="F784" i="34"/>
  <c r="I784" i="34" s="1"/>
  <c r="H644" i="34"/>
  <c r="H645" i="34" s="1"/>
  <c r="R539" i="34"/>
  <c r="R764" i="34"/>
  <c r="R604" i="34"/>
  <c r="R763" i="34"/>
  <c r="R786" i="34"/>
  <c r="R486" i="34"/>
  <c r="M765" i="34"/>
  <c r="I447" i="34"/>
  <c r="Q447" i="34"/>
  <c r="E489" i="34"/>
  <c r="P806" i="34"/>
  <c r="P835" i="34" s="1"/>
  <c r="I678" i="34"/>
  <c r="F644" i="34"/>
  <c r="F645" i="34" s="1"/>
  <c r="P812" i="34"/>
  <c r="P841" i="34" s="1"/>
  <c r="Q678" i="34"/>
  <c r="Q719" i="34"/>
  <c r="R719" i="34" s="1"/>
  <c r="N722" i="34"/>
  <c r="N723" i="34" s="1"/>
  <c r="Q806" i="34"/>
  <c r="Q835" i="34" s="1"/>
  <c r="I724" i="34"/>
  <c r="Q868" i="34"/>
  <c r="R948" i="34" s="1"/>
  <c r="J788" i="34"/>
  <c r="J13" i="34" s="1"/>
  <c r="I7" i="25" s="1"/>
  <c r="M780" i="34"/>
  <c r="M788" i="34" s="1"/>
  <c r="F400" i="34"/>
  <c r="F401" i="34" s="1"/>
  <c r="I395" i="34"/>
  <c r="I62" i="34"/>
  <c r="Q62" i="34"/>
  <c r="R444" i="34"/>
  <c r="F632" i="34"/>
  <c r="F633" i="34" s="1"/>
  <c r="I629" i="34"/>
  <c r="R629" i="34" s="1"/>
  <c r="Q807" i="34"/>
  <c r="Q836" i="34" s="1"/>
  <c r="Q125" i="34"/>
  <c r="R125" i="34" s="1"/>
  <c r="N128" i="34"/>
  <c r="N129" i="34" s="1"/>
  <c r="J268" i="34"/>
  <c r="J269" i="34" s="1"/>
  <c r="M260" i="34"/>
  <c r="B269" i="34"/>
  <c r="E260" i="34"/>
  <c r="E62" i="34"/>
  <c r="M62" i="34"/>
  <c r="N780" i="34"/>
  <c r="Q746" i="34"/>
  <c r="N765" i="34"/>
  <c r="N400" i="34"/>
  <c r="N401" i="34" s="1"/>
  <c r="M489" i="34"/>
  <c r="E542" i="34"/>
  <c r="M542" i="34"/>
  <c r="Q803" i="34"/>
  <c r="Q832" i="34" s="1"/>
  <c r="E724" i="34"/>
  <c r="R782" i="34"/>
  <c r="Q809" i="34"/>
  <c r="Q838" i="34" s="1"/>
  <c r="M724" i="34"/>
  <c r="E765" i="34"/>
  <c r="B788" i="34"/>
  <c r="B13" i="34" s="1"/>
  <c r="C7" i="25" s="1"/>
  <c r="E780" i="34"/>
  <c r="E447" i="34"/>
  <c r="M447" i="34"/>
  <c r="R588" i="34"/>
  <c r="R676" i="34"/>
  <c r="P832" i="34"/>
  <c r="E678" i="34"/>
  <c r="B644" i="34"/>
  <c r="O803" i="34" s="1"/>
  <c r="P809" i="34"/>
  <c r="P838" i="34" s="1"/>
  <c r="M678" i="34"/>
  <c r="J644" i="34"/>
  <c r="J645" i="34" s="1"/>
  <c r="I489" i="34"/>
  <c r="Q489" i="34"/>
  <c r="I542" i="34"/>
  <c r="Q542" i="34"/>
  <c r="R751" i="34"/>
  <c r="B645" i="34" l="1"/>
  <c r="E13" i="34"/>
  <c r="M13" i="34"/>
  <c r="Q869" i="34"/>
  <c r="R949" i="34" s="1"/>
  <c r="Q865" i="34"/>
  <c r="R945" i="34" s="1"/>
  <c r="P868" i="34"/>
  <c r="Q948" i="34" s="1"/>
  <c r="Q860" i="34"/>
  <c r="R940" i="34" s="1"/>
  <c r="L634" i="34"/>
  <c r="L635" i="34" s="1"/>
  <c r="O811" i="34"/>
  <c r="O840" i="34" s="1"/>
  <c r="O810" i="34"/>
  <c r="O839" i="34" s="1"/>
  <c r="Q866" i="34"/>
  <c r="R946" i="34" s="1"/>
  <c r="K634" i="34"/>
  <c r="K635" i="34" s="1"/>
  <c r="Q863" i="34"/>
  <c r="R943" i="34" s="1"/>
  <c r="Q837" i="34"/>
  <c r="P869" i="34"/>
  <c r="Q949" i="34" s="1"/>
  <c r="P843" i="34"/>
  <c r="P865" i="34"/>
  <c r="Q945" i="34" s="1"/>
  <c r="P839" i="34"/>
  <c r="P866" i="34"/>
  <c r="Q946" i="34" s="1"/>
  <c r="Q859" i="34"/>
  <c r="R939" i="34" s="1"/>
  <c r="Q833" i="34"/>
  <c r="O813" i="34"/>
  <c r="O634" i="34"/>
  <c r="O635" i="34" s="1"/>
  <c r="P862" i="34"/>
  <c r="Q942" i="34" s="1"/>
  <c r="O807" i="34"/>
  <c r="G645" i="34"/>
  <c r="I746" i="34"/>
  <c r="R746" i="34" s="1"/>
  <c r="T746" i="34" s="1"/>
  <c r="F780" i="34"/>
  <c r="I780" i="34" s="1"/>
  <c r="I788" i="34" s="1"/>
  <c r="I268" i="34"/>
  <c r="P859" i="34"/>
  <c r="Q939" i="34" s="1"/>
  <c r="O804" i="34"/>
  <c r="G634" i="34"/>
  <c r="P860" i="34"/>
  <c r="Q940" i="34" s="1"/>
  <c r="P863" i="34"/>
  <c r="Q943" i="34" s="1"/>
  <c r="O814" i="34"/>
  <c r="P634" i="34"/>
  <c r="C634" i="34"/>
  <c r="C635" i="34" s="1"/>
  <c r="O805" i="34"/>
  <c r="O834" i="34" s="1"/>
  <c r="O808" i="34"/>
  <c r="O837" i="34" s="1"/>
  <c r="D634" i="34"/>
  <c r="R260" i="34"/>
  <c r="H634" i="34"/>
  <c r="R447" i="34"/>
  <c r="R62" i="34"/>
  <c r="O832" i="34"/>
  <c r="E644" i="34"/>
  <c r="B634" i="34"/>
  <c r="B635" i="34" s="1"/>
  <c r="R542" i="34"/>
  <c r="N788" i="34"/>
  <c r="N13" i="34" s="1"/>
  <c r="L7" i="25" s="1"/>
  <c r="Q780" i="34"/>
  <c r="Q128" i="34"/>
  <c r="R128" i="34" s="1"/>
  <c r="Q862" i="34"/>
  <c r="R942" i="34" s="1"/>
  <c r="F634" i="34"/>
  <c r="F635" i="34" s="1"/>
  <c r="I632" i="34"/>
  <c r="R632" i="34" s="1"/>
  <c r="Q861" i="34"/>
  <c r="R941" i="34" s="1"/>
  <c r="O806" i="34"/>
  <c r="O835" i="34" s="1"/>
  <c r="I644" i="34"/>
  <c r="O809" i="34"/>
  <c r="O838" i="34" s="1"/>
  <c r="M644" i="34"/>
  <c r="J634" i="34"/>
  <c r="J635" i="34" s="1"/>
  <c r="P864" i="34"/>
  <c r="Q944" i="34" s="1"/>
  <c r="R678" i="34"/>
  <c r="P858" i="34"/>
  <c r="Q938" i="34" s="1"/>
  <c r="P816" i="34"/>
  <c r="E788" i="34"/>
  <c r="Q864" i="34"/>
  <c r="R944" i="34" s="1"/>
  <c r="Q858" i="34"/>
  <c r="R938" i="34" s="1"/>
  <c r="E268" i="34"/>
  <c r="M268" i="34"/>
  <c r="I400" i="34"/>
  <c r="N724" i="34"/>
  <c r="N725" i="34" s="1"/>
  <c r="Q722" i="34"/>
  <c r="R722" i="34" s="1"/>
  <c r="P867" i="34"/>
  <c r="Q947" i="34" s="1"/>
  <c r="P861" i="34"/>
  <c r="Q941" i="34" s="1"/>
  <c r="R489" i="34"/>
  <c r="P726" i="31"/>
  <c r="N726" i="31"/>
  <c r="L726" i="31"/>
  <c r="K726" i="31"/>
  <c r="H726" i="31"/>
  <c r="G726" i="31"/>
  <c r="D726" i="31"/>
  <c r="C726" i="31"/>
  <c r="B726" i="31"/>
  <c r="P497" i="31"/>
  <c r="O497" i="31"/>
  <c r="N497" i="31"/>
  <c r="L497" i="31"/>
  <c r="K497" i="31"/>
  <c r="J497" i="31"/>
  <c r="H497" i="31"/>
  <c r="G497" i="31"/>
  <c r="F497" i="31"/>
  <c r="D497" i="31"/>
  <c r="C497" i="31"/>
  <c r="B497" i="31"/>
  <c r="Q496" i="31"/>
  <c r="M496" i="31"/>
  <c r="I496" i="31"/>
  <c r="E496" i="31"/>
  <c r="N811" i="34" l="1"/>
  <c r="N840" i="34" s="1"/>
  <c r="L590" i="34"/>
  <c r="L591" i="34" s="1"/>
  <c r="O866" i="34"/>
  <c r="P946" i="34" s="1"/>
  <c r="O865" i="34"/>
  <c r="P945" i="34" s="1"/>
  <c r="N810" i="34"/>
  <c r="N839" i="34" s="1"/>
  <c r="K590" i="34"/>
  <c r="K591" i="34" s="1"/>
  <c r="O869" i="34"/>
  <c r="P949" i="34" s="1"/>
  <c r="O843" i="34"/>
  <c r="O859" i="34"/>
  <c r="P939" i="34" s="1"/>
  <c r="O833" i="34"/>
  <c r="O590" i="34"/>
  <c r="O591" i="34" s="1"/>
  <c r="O868" i="34"/>
  <c r="P948" i="34" s="1"/>
  <c r="O842" i="34"/>
  <c r="O862" i="34"/>
  <c r="P942" i="34" s="1"/>
  <c r="O836" i="34"/>
  <c r="N813" i="34"/>
  <c r="H590" i="34"/>
  <c r="H591" i="34" s="1"/>
  <c r="H635" i="34"/>
  <c r="D590" i="34"/>
  <c r="D591" i="34" s="1"/>
  <c r="D635" i="34"/>
  <c r="P590" i="34"/>
  <c r="P591" i="34" s="1"/>
  <c r="P635" i="34"/>
  <c r="G590" i="34"/>
  <c r="G591" i="34" s="1"/>
  <c r="G635" i="34"/>
  <c r="F788" i="34"/>
  <c r="F13" i="34" s="1"/>
  <c r="F7" i="25" s="1"/>
  <c r="N807" i="34"/>
  <c r="N805" i="34"/>
  <c r="N814" i="34"/>
  <c r="O860" i="34"/>
  <c r="P940" i="34" s="1"/>
  <c r="C590" i="34"/>
  <c r="N804" i="34"/>
  <c r="O863" i="34"/>
  <c r="P943" i="34" s="1"/>
  <c r="N808" i="34"/>
  <c r="R780" i="34"/>
  <c r="R268" i="34"/>
  <c r="N809" i="34"/>
  <c r="N838" i="34" s="1"/>
  <c r="M634" i="34"/>
  <c r="J590" i="34"/>
  <c r="J591" i="34" s="1"/>
  <c r="N803" i="34"/>
  <c r="N832" i="34" s="1"/>
  <c r="E634" i="34"/>
  <c r="B590" i="34"/>
  <c r="B591" i="34" s="1"/>
  <c r="Q812" i="34"/>
  <c r="Q841" i="34" s="1"/>
  <c r="Q724" i="34"/>
  <c r="R724" i="34" s="1"/>
  <c r="N644" i="34"/>
  <c r="N645" i="34" s="1"/>
  <c r="P871" i="34"/>
  <c r="O864" i="34"/>
  <c r="P944" i="34" s="1"/>
  <c r="O861" i="34"/>
  <c r="P941" i="34" s="1"/>
  <c r="N806" i="34"/>
  <c r="N835" i="34" s="1"/>
  <c r="I634" i="34"/>
  <c r="F590" i="34"/>
  <c r="F591" i="34" s="1"/>
  <c r="O858" i="34"/>
  <c r="P938" i="34" s="1"/>
  <c r="E497" i="31"/>
  <c r="R496" i="31"/>
  <c r="J241" i="31"/>
  <c r="I13" i="34" l="1"/>
  <c r="N866" i="34"/>
  <c r="O946" i="34" s="1"/>
  <c r="L554" i="34"/>
  <c r="L555" i="34" s="1"/>
  <c r="M811" i="34"/>
  <c r="M840" i="34" s="1"/>
  <c r="K554" i="34"/>
  <c r="K555" i="34" s="1"/>
  <c r="N865" i="34"/>
  <c r="O945" i="34" s="1"/>
  <c r="O554" i="34"/>
  <c r="O555" i="34" s="1"/>
  <c r="M810" i="34"/>
  <c r="M839" i="34" s="1"/>
  <c r="M805" i="34"/>
  <c r="M834" i="34" s="1"/>
  <c r="M813" i="34"/>
  <c r="M842" i="34" s="1"/>
  <c r="N859" i="34"/>
  <c r="O939" i="34" s="1"/>
  <c r="N833" i="34"/>
  <c r="N860" i="34"/>
  <c r="O940" i="34" s="1"/>
  <c r="N834" i="34"/>
  <c r="N869" i="34"/>
  <c r="O949" i="34" s="1"/>
  <c r="N843" i="34"/>
  <c r="N868" i="34"/>
  <c r="O948" i="34" s="1"/>
  <c r="N842" i="34"/>
  <c r="N863" i="34"/>
  <c r="O943" i="34" s="1"/>
  <c r="N837" i="34"/>
  <c r="N862" i="34"/>
  <c r="O942" i="34" s="1"/>
  <c r="N836" i="34"/>
  <c r="M807" i="34"/>
  <c r="M836" i="34" s="1"/>
  <c r="P554" i="34"/>
  <c r="P555" i="34" s="1"/>
  <c r="M808" i="34"/>
  <c r="M837" i="34" s="1"/>
  <c r="G554" i="34"/>
  <c r="G555" i="34" s="1"/>
  <c r="M814" i="34"/>
  <c r="M843" i="34" s="1"/>
  <c r="H554" i="34"/>
  <c r="H555" i="34" s="1"/>
  <c r="D554" i="34"/>
  <c r="D555" i="34" s="1"/>
  <c r="C554" i="34"/>
  <c r="C555" i="34" s="1"/>
  <c r="C591" i="34"/>
  <c r="M804" i="34"/>
  <c r="M833" i="34" s="1"/>
  <c r="N861" i="34"/>
  <c r="O941" i="34" s="1"/>
  <c r="O812" i="34"/>
  <c r="O841" i="34" s="1"/>
  <c r="Q644" i="34"/>
  <c r="R644" i="34" s="1"/>
  <c r="N634" i="34"/>
  <c r="N635" i="34" s="1"/>
  <c r="M803" i="34"/>
  <c r="M832" i="34" s="1"/>
  <c r="E590" i="34"/>
  <c r="B554" i="34"/>
  <c r="B555" i="34" s="1"/>
  <c r="N864" i="34"/>
  <c r="O944" i="34" s="1"/>
  <c r="M806" i="34"/>
  <c r="M835" i="34" s="1"/>
  <c r="I590" i="34"/>
  <c r="F554" i="34"/>
  <c r="F555" i="34" s="1"/>
  <c r="Q867" i="34"/>
  <c r="Q816" i="34"/>
  <c r="N858" i="34"/>
  <c r="O938" i="34" s="1"/>
  <c r="M809" i="34"/>
  <c r="M838" i="34" s="1"/>
  <c r="M590" i="34"/>
  <c r="J554" i="34"/>
  <c r="J555" i="34" s="1"/>
  <c r="P346" i="31"/>
  <c r="O346" i="31"/>
  <c r="N346" i="31"/>
  <c r="L346" i="31"/>
  <c r="K346" i="31"/>
  <c r="J346" i="31"/>
  <c r="H346" i="31"/>
  <c r="G346" i="31"/>
  <c r="D346" i="31"/>
  <c r="C346" i="31"/>
  <c r="B346" i="31"/>
  <c r="E345" i="31"/>
  <c r="I345" i="31"/>
  <c r="M345" i="31"/>
  <c r="Q345" i="31"/>
  <c r="J209" i="31"/>
  <c r="J726" i="31" s="1"/>
  <c r="J713" i="31"/>
  <c r="J732" i="31"/>
  <c r="J714" i="31"/>
  <c r="Q871" i="34" l="1"/>
  <c r="R947" i="34"/>
  <c r="L810" i="34"/>
  <c r="L839" i="34" s="1"/>
  <c r="M866" i="34"/>
  <c r="N946" i="34" s="1"/>
  <c r="L544" i="34"/>
  <c r="L545" i="34" s="1"/>
  <c r="L811" i="34"/>
  <c r="L840" i="34" s="1"/>
  <c r="K544" i="34"/>
  <c r="K545" i="34" s="1"/>
  <c r="M862" i="34"/>
  <c r="N942" i="34" s="1"/>
  <c r="O544" i="34"/>
  <c r="O545" i="34" s="1"/>
  <c r="L813" i="34"/>
  <c r="L842" i="34" s="1"/>
  <c r="M869" i="34"/>
  <c r="N949" i="34" s="1"/>
  <c r="L804" i="34"/>
  <c r="L833" i="34" s="1"/>
  <c r="M868" i="34"/>
  <c r="N948" i="34" s="1"/>
  <c r="M860" i="34"/>
  <c r="N940" i="34" s="1"/>
  <c r="M865" i="34"/>
  <c r="N945" i="34" s="1"/>
  <c r="D544" i="34"/>
  <c r="D545" i="34" s="1"/>
  <c r="L814" i="34"/>
  <c r="L843" i="34" s="1"/>
  <c r="L805" i="34"/>
  <c r="L834" i="34" s="1"/>
  <c r="M863" i="34"/>
  <c r="N943" i="34" s="1"/>
  <c r="L808" i="34"/>
  <c r="L837" i="34" s="1"/>
  <c r="P544" i="34"/>
  <c r="P545" i="34" s="1"/>
  <c r="L807" i="34"/>
  <c r="L836" i="34" s="1"/>
  <c r="M859" i="34"/>
  <c r="N939" i="34" s="1"/>
  <c r="H544" i="34"/>
  <c r="H545" i="34" s="1"/>
  <c r="G544" i="34"/>
  <c r="G545" i="34" s="1"/>
  <c r="C544" i="34"/>
  <c r="C545" i="34" s="1"/>
  <c r="L809" i="34"/>
  <c r="L838" i="34" s="1"/>
  <c r="M554" i="34"/>
  <c r="J544" i="34"/>
  <c r="J545" i="34" s="1"/>
  <c r="M861" i="34"/>
  <c r="N941" i="34" s="1"/>
  <c r="L803" i="34"/>
  <c r="L832" i="34" s="1"/>
  <c r="E554" i="34"/>
  <c r="B544" i="34"/>
  <c r="B545" i="34" s="1"/>
  <c r="N812" i="34"/>
  <c r="N841" i="34" s="1"/>
  <c r="Q634" i="34"/>
  <c r="R634" i="34" s="1"/>
  <c r="N590" i="34"/>
  <c r="N591" i="34" s="1"/>
  <c r="M864" i="34"/>
  <c r="N944" i="34" s="1"/>
  <c r="L806" i="34"/>
  <c r="L835" i="34" s="1"/>
  <c r="I554" i="34"/>
  <c r="F544" i="34"/>
  <c r="F545" i="34" s="1"/>
  <c r="M858" i="34"/>
  <c r="N938" i="34" s="1"/>
  <c r="O867" i="34"/>
  <c r="O816" i="34"/>
  <c r="R345" i="31"/>
  <c r="O871" i="34" l="1"/>
  <c r="P947" i="34"/>
  <c r="L866" i="34"/>
  <c r="L865" i="34"/>
  <c r="K491" i="34"/>
  <c r="K492" i="34" s="1"/>
  <c r="L491" i="34"/>
  <c r="L492" i="34" s="1"/>
  <c r="K811" i="34"/>
  <c r="K840" i="34" s="1"/>
  <c r="K810" i="34"/>
  <c r="K839" i="34" s="1"/>
  <c r="K813" i="34"/>
  <c r="K842" i="34" s="1"/>
  <c r="O491" i="34"/>
  <c r="O492" i="34" s="1"/>
  <c r="L868" i="34"/>
  <c r="L859" i="34"/>
  <c r="L869" i="34"/>
  <c r="D491" i="34"/>
  <c r="D492" i="34" s="1"/>
  <c r="L863" i="34"/>
  <c r="K805" i="34"/>
  <c r="K834" i="34" s="1"/>
  <c r="L860" i="34"/>
  <c r="C491" i="34"/>
  <c r="C492" i="34" s="1"/>
  <c r="L862" i="34"/>
  <c r="K808" i="34"/>
  <c r="K837" i="34" s="1"/>
  <c r="P491" i="34"/>
  <c r="P492" i="34" s="1"/>
  <c r="K814" i="34"/>
  <c r="K843" i="34" s="1"/>
  <c r="G491" i="34"/>
  <c r="G492" i="34" s="1"/>
  <c r="K807" i="34"/>
  <c r="K804" i="34"/>
  <c r="K833" i="34" s="1"/>
  <c r="H491" i="34"/>
  <c r="H492" i="34" s="1"/>
  <c r="L861" i="34"/>
  <c r="M812" i="34"/>
  <c r="M841" i="34" s="1"/>
  <c r="Q590" i="34"/>
  <c r="R590" i="34" s="1"/>
  <c r="N554" i="34"/>
  <c r="N555" i="34" s="1"/>
  <c r="K803" i="34"/>
  <c r="K832" i="34" s="1"/>
  <c r="E544" i="34"/>
  <c r="B491" i="34"/>
  <c r="B492" i="34" s="1"/>
  <c r="L864" i="34"/>
  <c r="K806" i="34"/>
  <c r="K835" i="34" s="1"/>
  <c r="I544" i="34"/>
  <c r="F491" i="34"/>
  <c r="F492" i="34" s="1"/>
  <c r="N867" i="34"/>
  <c r="N816" i="34"/>
  <c r="L858" i="34"/>
  <c r="M938" i="34" s="1"/>
  <c r="K809" i="34"/>
  <c r="K838" i="34" s="1"/>
  <c r="M544" i="34"/>
  <c r="J491" i="34"/>
  <c r="J492" i="34" s="1"/>
  <c r="G778" i="31"/>
  <c r="AW837" i="34" l="1"/>
  <c r="M942" i="34"/>
  <c r="AW838" i="34"/>
  <c r="M943" i="34"/>
  <c r="AW843" i="34"/>
  <c r="M948" i="34"/>
  <c r="AW841" i="34"/>
  <c r="M946" i="34"/>
  <c r="N871" i="34"/>
  <c r="O947" i="34"/>
  <c r="AW839" i="34"/>
  <c r="M944" i="34"/>
  <c r="AW834" i="34"/>
  <c r="M939" i="34"/>
  <c r="AW840" i="34"/>
  <c r="M945" i="34"/>
  <c r="AW836" i="34"/>
  <c r="M941" i="34"/>
  <c r="AW835" i="34"/>
  <c r="M940" i="34"/>
  <c r="AW844" i="34"/>
  <c r="M949" i="34"/>
  <c r="J810" i="34"/>
  <c r="J839" i="34" s="1"/>
  <c r="K449" i="34"/>
  <c r="I810" i="34" s="1"/>
  <c r="I839" i="34" s="1"/>
  <c r="J811" i="34"/>
  <c r="J840" i="34" s="1"/>
  <c r="K865" i="34"/>
  <c r="L945" i="34" s="1"/>
  <c r="K868" i="34"/>
  <c r="L948" i="34" s="1"/>
  <c r="K866" i="34"/>
  <c r="L946" i="34" s="1"/>
  <c r="L449" i="34"/>
  <c r="L450" i="34" s="1"/>
  <c r="O449" i="34"/>
  <c r="O409" i="34" s="1"/>
  <c r="O408" i="34" s="1"/>
  <c r="O407" i="34" s="1"/>
  <c r="O406" i="34" s="1"/>
  <c r="O405" i="34" s="1"/>
  <c r="O404" i="34" s="1"/>
  <c r="J805" i="34"/>
  <c r="J834" i="34" s="1"/>
  <c r="D449" i="34"/>
  <c r="D402" i="34" s="1"/>
  <c r="D403" i="34" s="1"/>
  <c r="J813" i="34"/>
  <c r="J842" i="34" s="1"/>
  <c r="K860" i="34"/>
  <c r="L940" i="34" s="1"/>
  <c r="K859" i="34"/>
  <c r="L939" i="34" s="1"/>
  <c r="P449" i="34"/>
  <c r="I814" i="34" s="1"/>
  <c r="I843" i="34" s="1"/>
  <c r="C449" i="34"/>
  <c r="C450" i="34" s="1"/>
  <c r="K869" i="34"/>
  <c r="L949" i="34" s="1"/>
  <c r="J804" i="34"/>
  <c r="J833" i="34" s="1"/>
  <c r="K863" i="34"/>
  <c r="L943" i="34" s="1"/>
  <c r="J808" i="34"/>
  <c r="J837" i="34" s="1"/>
  <c r="K862" i="34"/>
  <c r="L942" i="34" s="1"/>
  <c r="K836" i="34"/>
  <c r="J814" i="34"/>
  <c r="J843" i="34" s="1"/>
  <c r="H449" i="34"/>
  <c r="H409" i="34" s="1"/>
  <c r="H408" i="34" s="1"/>
  <c r="H407" i="34" s="1"/>
  <c r="H406" i="34" s="1"/>
  <c r="H405" i="34" s="1"/>
  <c r="H404" i="34" s="1"/>
  <c r="G449" i="34"/>
  <c r="G409" i="34" s="1"/>
  <c r="G408" i="34" s="1"/>
  <c r="G407" i="34" s="1"/>
  <c r="G406" i="34" s="1"/>
  <c r="G405" i="34" s="1"/>
  <c r="G404" i="34" s="1"/>
  <c r="J807" i="34"/>
  <c r="K864" i="34"/>
  <c r="L944" i="34" s="1"/>
  <c r="AW833" i="34"/>
  <c r="K861" i="34"/>
  <c r="L941" i="34" s="1"/>
  <c r="K858" i="34"/>
  <c r="L938" i="34" s="1"/>
  <c r="M867" i="34"/>
  <c r="M816" i="34"/>
  <c r="J809" i="34"/>
  <c r="J838" i="34" s="1"/>
  <c r="M491" i="34"/>
  <c r="J449" i="34"/>
  <c r="J806" i="34"/>
  <c r="J835" i="34" s="1"/>
  <c r="I491" i="34"/>
  <c r="F449" i="34"/>
  <c r="J803" i="34"/>
  <c r="J832" i="34" s="1"/>
  <c r="E491" i="34"/>
  <c r="B449" i="34"/>
  <c r="L812" i="34"/>
  <c r="L841" i="34" s="1"/>
  <c r="Q554" i="34"/>
  <c r="R554" i="34" s="1"/>
  <c r="N544" i="34"/>
  <c r="N545" i="34" s="1"/>
  <c r="P730" i="31"/>
  <c r="P725" i="31"/>
  <c r="L716" i="31"/>
  <c r="K716" i="31"/>
  <c r="D716" i="31"/>
  <c r="K450" i="34" l="1"/>
  <c r="M871" i="34"/>
  <c r="N947" i="34"/>
  <c r="J865" i="34"/>
  <c r="K945" i="34" s="1"/>
  <c r="K409" i="34"/>
  <c r="K408" i="34" s="1"/>
  <c r="K407" i="34" s="1"/>
  <c r="K406" i="34" s="1"/>
  <c r="K405" i="34" s="1"/>
  <c r="K404" i="34" s="1"/>
  <c r="L402" i="34"/>
  <c r="L403" i="34" s="1"/>
  <c r="K402" i="34"/>
  <c r="K403" i="34" s="1"/>
  <c r="L409" i="34"/>
  <c r="L408" i="34" s="1"/>
  <c r="L407" i="34" s="1"/>
  <c r="L406" i="34" s="1"/>
  <c r="L405" i="34" s="1"/>
  <c r="L404" i="34" s="1"/>
  <c r="J866" i="34"/>
  <c r="K946" i="34" s="1"/>
  <c r="O450" i="34"/>
  <c r="I811" i="34"/>
  <c r="I840" i="34" s="1"/>
  <c r="O402" i="34"/>
  <c r="O403" i="34" s="1"/>
  <c r="I813" i="34"/>
  <c r="I842" i="34" s="1"/>
  <c r="J860" i="34"/>
  <c r="K940" i="34" s="1"/>
  <c r="J868" i="34"/>
  <c r="K948" i="34" s="1"/>
  <c r="D450" i="34"/>
  <c r="P450" i="34"/>
  <c r="I805" i="34"/>
  <c r="I834" i="34" s="1"/>
  <c r="D409" i="34"/>
  <c r="D408" i="34" s="1"/>
  <c r="D407" i="34" s="1"/>
  <c r="D406" i="34" s="1"/>
  <c r="D405" i="34" s="1"/>
  <c r="D404" i="34" s="1"/>
  <c r="P409" i="34"/>
  <c r="P408" i="34" s="1"/>
  <c r="P407" i="34" s="1"/>
  <c r="P406" i="34" s="1"/>
  <c r="P405" i="34" s="1"/>
  <c r="P404" i="34" s="1"/>
  <c r="C402" i="34"/>
  <c r="C403" i="34" s="1"/>
  <c r="H402" i="34"/>
  <c r="H403" i="34" s="1"/>
  <c r="I808" i="34"/>
  <c r="I837" i="34" s="1"/>
  <c r="I804" i="34"/>
  <c r="I833" i="34" s="1"/>
  <c r="C409" i="34"/>
  <c r="C408" i="34" s="1"/>
  <c r="C407" i="34" s="1"/>
  <c r="C406" i="34" s="1"/>
  <c r="C405" i="34" s="1"/>
  <c r="C404" i="34" s="1"/>
  <c r="G402" i="34"/>
  <c r="G403" i="34" s="1"/>
  <c r="J859" i="34"/>
  <c r="K939" i="34" s="1"/>
  <c r="H450" i="34"/>
  <c r="J863" i="34"/>
  <c r="K943" i="34" s="1"/>
  <c r="G450" i="34"/>
  <c r="J869" i="34"/>
  <c r="K949" i="34" s="1"/>
  <c r="J862" i="34"/>
  <c r="K942" i="34" s="1"/>
  <c r="J836" i="34"/>
  <c r="I807" i="34"/>
  <c r="I836" i="34" s="1"/>
  <c r="F450" i="34"/>
  <c r="F409" i="34"/>
  <c r="F408" i="34" s="1"/>
  <c r="F407" i="34" s="1"/>
  <c r="F406" i="34" s="1"/>
  <c r="F405" i="34" s="1"/>
  <c r="F404" i="34" s="1"/>
  <c r="B450" i="34"/>
  <c r="B409" i="34"/>
  <c r="B408" i="34" s="1"/>
  <c r="B407" i="34" s="1"/>
  <c r="B406" i="34" s="1"/>
  <c r="B405" i="34" s="1"/>
  <c r="B404" i="34" s="1"/>
  <c r="J450" i="34"/>
  <c r="J409" i="34"/>
  <c r="J408" i="34" s="1"/>
  <c r="J407" i="34" s="1"/>
  <c r="J406" i="34" s="1"/>
  <c r="J405" i="34" s="1"/>
  <c r="J404" i="34" s="1"/>
  <c r="L867" i="34"/>
  <c r="M947" i="34" s="1"/>
  <c r="L816" i="34"/>
  <c r="J858" i="34"/>
  <c r="K938" i="34" s="1"/>
  <c r="J861" i="34"/>
  <c r="K941" i="34" s="1"/>
  <c r="I865" i="34"/>
  <c r="J945" i="34" s="1"/>
  <c r="J864" i="34"/>
  <c r="K944" i="34" s="1"/>
  <c r="H805" i="34"/>
  <c r="H834" i="34" s="1"/>
  <c r="D270" i="34"/>
  <c r="D272" i="34" s="1"/>
  <c r="K812" i="34"/>
  <c r="K841" i="34" s="1"/>
  <c r="Q544" i="34"/>
  <c r="R544" i="34" s="1"/>
  <c r="N491" i="34"/>
  <c r="N492" i="34" s="1"/>
  <c r="I803" i="34"/>
  <c r="I832" i="34" s="1"/>
  <c r="E449" i="34"/>
  <c r="B402" i="34"/>
  <c r="B403" i="34" s="1"/>
  <c r="I806" i="34"/>
  <c r="I835" i="34" s="1"/>
  <c r="I449" i="34"/>
  <c r="F402" i="34"/>
  <c r="F403" i="34" s="1"/>
  <c r="I809" i="34"/>
  <c r="I838" i="34" s="1"/>
  <c r="M449" i="34"/>
  <c r="J402" i="34"/>
  <c r="J403" i="34" s="1"/>
  <c r="I869" i="34"/>
  <c r="J949" i="34" s="1"/>
  <c r="J17" i="31"/>
  <c r="H810" i="34" l="1"/>
  <c r="H839" i="34" s="1"/>
  <c r="L270" i="34"/>
  <c r="L272" i="34" s="1"/>
  <c r="H811" i="34"/>
  <c r="H840" i="34" s="1"/>
  <c r="K270" i="34"/>
  <c r="K272" i="34" s="1"/>
  <c r="I866" i="34"/>
  <c r="J946" i="34" s="1"/>
  <c r="O270" i="34"/>
  <c r="O272" i="34" s="1"/>
  <c r="I868" i="34"/>
  <c r="J948" i="34" s="1"/>
  <c r="H813" i="34"/>
  <c r="H842" i="34" s="1"/>
  <c r="I860" i="34"/>
  <c r="J940" i="34" s="1"/>
  <c r="I859" i="34"/>
  <c r="J939" i="34" s="1"/>
  <c r="I863" i="34"/>
  <c r="J943" i="34" s="1"/>
  <c r="C270" i="34"/>
  <c r="C272" i="34" s="1"/>
  <c r="H804" i="34"/>
  <c r="H833" i="34" s="1"/>
  <c r="H270" i="34"/>
  <c r="H272" i="34" s="1"/>
  <c r="H808" i="34"/>
  <c r="H837" i="34" s="1"/>
  <c r="H807" i="34"/>
  <c r="H836" i="34" s="1"/>
  <c r="G270" i="34"/>
  <c r="G272" i="34" s="1"/>
  <c r="I862" i="34"/>
  <c r="J942" i="34" s="1"/>
  <c r="D271" i="34"/>
  <c r="J812" i="34"/>
  <c r="J841" i="34" s="1"/>
  <c r="Q491" i="34"/>
  <c r="R491" i="34" s="1"/>
  <c r="N449" i="34"/>
  <c r="H809" i="34"/>
  <c r="H838" i="34" s="1"/>
  <c r="M402" i="34"/>
  <c r="J270" i="34"/>
  <c r="J272" i="34" s="1"/>
  <c r="I864" i="34"/>
  <c r="J944" i="34" s="1"/>
  <c r="H806" i="34"/>
  <c r="H835" i="34" s="1"/>
  <c r="I402" i="34"/>
  <c r="F270" i="34"/>
  <c r="F272" i="34" s="1"/>
  <c r="I861" i="34"/>
  <c r="J941" i="34" s="1"/>
  <c r="H803" i="34"/>
  <c r="H832" i="34" s="1"/>
  <c r="E402" i="34"/>
  <c r="B270" i="34"/>
  <c r="B272" i="34" s="1"/>
  <c r="I858" i="34"/>
  <c r="J938" i="34" s="1"/>
  <c r="K867" i="34"/>
  <c r="K816" i="34"/>
  <c r="E805" i="34"/>
  <c r="E834" i="34" s="1"/>
  <c r="D130" i="34"/>
  <c r="D131" i="34" s="1"/>
  <c r="H860" i="34"/>
  <c r="I940" i="34" s="1"/>
  <c r="AW842" i="34"/>
  <c r="L871" i="34"/>
  <c r="H241" i="31"/>
  <c r="H865" i="34" l="1"/>
  <c r="I945" i="34" s="1"/>
  <c r="K871" i="34"/>
  <c r="L947" i="34"/>
  <c r="L271" i="34"/>
  <c r="E811" i="34"/>
  <c r="E840" i="34" s="1"/>
  <c r="L130" i="34"/>
  <c r="L131" i="34" s="1"/>
  <c r="H866" i="34"/>
  <c r="AI805" i="34"/>
  <c r="K130" i="34"/>
  <c r="K131" i="34" s="1"/>
  <c r="E813" i="34"/>
  <c r="E842" i="34" s="1"/>
  <c r="E810" i="34"/>
  <c r="E839" i="34" s="1"/>
  <c r="K271" i="34"/>
  <c r="O130" i="34"/>
  <c r="O131" i="34" s="1"/>
  <c r="O271" i="34"/>
  <c r="H868" i="34"/>
  <c r="H271" i="34"/>
  <c r="G271" i="34"/>
  <c r="E808" i="34"/>
  <c r="E837" i="34" s="1"/>
  <c r="C130" i="34"/>
  <c r="C131" i="34" s="1"/>
  <c r="E804" i="34"/>
  <c r="E833" i="34" s="1"/>
  <c r="C271" i="34"/>
  <c r="H130" i="34"/>
  <c r="H131" i="34" s="1"/>
  <c r="E807" i="34"/>
  <c r="E836" i="34" s="1"/>
  <c r="H859" i="34"/>
  <c r="H863" i="34"/>
  <c r="H862" i="34"/>
  <c r="G130" i="34"/>
  <c r="G131" i="34" s="1"/>
  <c r="N450" i="34"/>
  <c r="N409" i="34"/>
  <c r="N408" i="34" s="1"/>
  <c r="N407" i="34" s="1"/>
  <c r="N406" i="34" s="1"/>
  <c r="N405" i="34" s="1"/>
  <c r="N404" i="34" s="1"/>
  <c r="B271" i="34"/>
  <c r="F271" i="34"/>
  <c r="J271" i="34"/>
  <c r="AW846" i="34"/>
  <c r="E803" i="34"/>
  <c r="E832" i="34" s="1"/>
  <c r="E270" i="34"/>
  <c r="B130" i="34"/>
  <c r="B131" i="34" s="1"/>
  <c r="E806" i="34"/>
  <c r="E835" i="34" s="1"/>
  <c r="I270" i="34"/>
  <c r="F130" i="34"/>
  <c r="F131" i="34" s="1"/>
  <c r="H864" i="34"/>
  <c r="J867" i="34"/>
  <c r="J816" i="34"/>
  <c r="D805" i="34"/>
  <c r="D834" i="34" s="1"/>
  <c r="D64" i="34"/>
  <c r="D65" i="34" s="1"/>
  <c r="AR840" i="34"/>
  <c r="E860" i="34"/>
  <c r="F940" i="34" s="1"/>
  <c r="H858" i="34"/>
  <c r="I938" i="34" s="1"/>
  <c r="H861" i="34"/>
  <c r="E809" i="34"/>
  <c r="E838" i="34" s="1"/>
  <c r="M270" i="34"/>
  <c r="J130" i="34"/>
  <c r="J131" i="34" s="1"/>
  <c r="I812" i="34"/>
  <c r="I841" i="34" s="1"/>
  <c r="Q449" i="34"/>
  <c r="R449" i="34" s="1"/>
  <c r="N402" i="34"/>
  <c r="N403" i="34" s="1"/>
  <c r="AI810" i="34" l="1"/>
  <c r="AI807" i="34"/>
  <c r="I942" i="34"/>
  <c r="AI804" i="34"/>
  <c r="I939" i="34"/>
  <c r="AI813" i="34"/>
  <c r="I948" i="34"/>
  <c r="AI811" i="34"/>
  <c r="I946" i="34"/>
  <c r="J871" i="34"/>
  <c r="K947" i="34"/>
  <c r="AI806" i="34"/>
  <c r="I941" i="34"/>
  <c r="AI809" i="34"/>
  <c r="I944" i="34"/>
  <c r="AI808" i="34"/>
  <c r="I943" i="34"/>
  <c r="E866" i="34"/>
  <c r="F946" i="34" s="1"/>
  <c r="AR846" i="34"/>
  <c r="L64" i="34"/>
  <c r="L65" i="34" s="1"/>
  <c r="D811" i="34"/>
  <c r="D840" i="34" s="1"/>
  <c r="K64" i="34"/>
  <c r="K65" i="34" s="1"/>
  <c r="E868" i="34"/>
  <c r="F948" i="34" s="1"/>
  <c r="AR845" i="34"/>
  <c r="D810" i="34"/>
  <c r="D839" i="34" s="1"/>
  <c r="E865" i="34"/>
  <c r="F945" i="34" s="1"/>
  <c r="AR848" i="34"/>
  <c r="O64" i="34"/>
  <c r="O65" i="34" s="1"/>
  <c r="D813" i="34"/>
  <c r="D842" i="34" s="1"/>
  <c r="D807" i="34"/>
  <c r="D836" i="34" s="1"/>
  <c r="H64" i="34"/>
  <c r="H65" i="34" s="1"/>
  <c r="E859" i="34"/>
  <c r="F939" i="34" s="1"/>
  <c r="AR839" i="34"/>
  <c r="C64" i="34"/>
  <c r="D804" i="34"/>
  <c r="D833" i="34" s="1"/>
  <c r="E863" i="34"/>
  <c r="F943" i="34" s="1"/>
  <c r="AR843" i="34"/>
  <c r="E862" i="34"/>
  <c r="F942" i="34" s="1"/>
  <c r="D808" i="34"/>
  <c r="D837" i="34" s="1"/>
  <c r="AR842" i="34"/>
  <c r="G64" i="34"/>
  <c r="G65" i="34" s="1"/>
  <c r="D809" i="34"/>
  <c r="D838" i="34" s="1"/>
  <c r="M130" i="34"/>
  <c r="J64" i="34"/>
  <c r="J65" i="34" s="1"/>
  <c r="AR844" i="34"/>
  <c r="E864" i="34"/>
  <c r="F944" i="34" s="1"/>
  <c r="AI803" i="34"/>
  <c r="D803" i="34"/>
  <c r="D832" i="34" s="1"/>
  <c r="E130" i="34"/>
  <c r="B64" i="34"/>
  <c r="AR838" i="34"/>
  <c r="E858" i="34"/>
  <c r="F938" i="34" s="1"/>
  <c r="H812" i="34"/>
  <c r="H841" i="34" s="1"/>
  <c r="N270" i="34"/>
  <c r="N272" i="34" s="1"/>
  <c r="I867" i="34"/>
  <c r="I816" i="34"/>
  <c r="C805" i="34"/>
  <c r="C834" i="34" s="1"/>
  <c r="D29" i="34"/>
  <c r="D30" i="34" s="1"/>
  <c r="AQ840" i="34"/>
  <c r="D860" i="34"/>
  <c r="E940" i="34" s="1"/>
  <c r="D806" i="34"/>
  <c r="D835" i="34" s="1"/>
  <c r="I130" i="34"/>
  <c r="F64" i="34"/>
  <c r="F65" i="34" s="1"/>
  <c r="AR841" i="34"/>
  <c r="E861" i="34"/>
  <c r="F941" i="34" s="1"/>
  <c r="H85" i="31"/>
  <c r="G142" i="31"/>
  <c r="F335" i="31"/>
  <c r="F726" i="31" s="1"/>
  <c r="Q336" i="31"/>
  <c r="M336" i="31"/>
  <c r="I336" i="31"/>
  <c r="E336" i="31"/>
  <c r="G274" i="31"/>
  <c r="I871" i="34" l="1"/>
  <c r="J947" i="34"/>
  <c r="C65" i="34"/>
  <c r="C29" i="34"/>
  <c r="C811" i="34"/>
  <c r="C840" i="34" s="1"/>
  <c r="L29" i="34"/>
  <c r="L30" i="34" s="1"/>
  <c r="K29" i="34"/>
  <c r="K30" i="34" s="1"/>
  <c r="C810" i="34"/>
  <c r="C839" i="34" s="1"/>
  <c r="D866" i="34"/>
  <c r="E946" i="34" s="1"/>
  <c r="AQ846" i="34"/>
  <c r="D865" i="34"/>
  <c r="E945" i="34" s="1"/>
  <c r="AQ845" i="34"/>
  <c r="AQ848" i="34"/>
  <c r="O29" i="34"/>
  <c r="O30" i="34" s="1"/>
  <c r="C813" i="34"/>
  <c r="C842" i="34" s="1"/>
  <c r="D868" i="34"/>
  <c r="E948" i="34" s="1"/>
  <c r="D862" i="34"/>
  <c r="E942" i="34" s="1"/>
  <c r="AQ842" i="34"/>
  <c r="H29" i="34"/>
  <c r="H30" i="34" s="1"/>
  <c r="C808" i="34"/>
  <c r="C837" i="34" s="1"/>
  <c r="B65" i="34"/>
  <c r="B29" i="34"/>
  <c r="B30" i="34" s="1"/>
  <c r="C804" i="34"/>
  <c r="C833" i="34" s="1"/>
  <c r="AQ839" i="34"/>
  <c r="D859" i="34"/>
  <c r="E939" i="34" s="1"/>
  <c r="D863" i="34"/>
  <c r="E943" i="34" s="1"/>
  <c r="AQ843" i="34"/>
  <c r="G29" i="34"/>
  <c r="G30" i="34" s="1"/>
  <c r="C807" i="34"/>
  <c r="C836" i="34" s="1"/>
  <c r="N271" i="34"/>
  <c r="C809" i="34"/>
  <c r="C838" i="34" s="1"/>
  <c r="M64" i="34"/>
  <c r="J29" i="34"/>
  <c r="J30" i="34" s="1"/>
  <c r="C806" i="34"/>
  <c r="C835" i="34" s="1"/>
  <c r="I64" i="34"/>
  <c r="F29" i="34"/>
  <c r="F30" i="34" s="1"/>
  <c r="H867" i="34"/>
  <c r="I947" i="34" s="1"/>
  <c r="AQ838" i="34"/>
  <c r="D858" i="34"/>
  <c r="E938" i="34" s="1"/>
  <c r="AQ841" i="34"/>
  <c r="D861" i="34"/>
  <c r="E941" i="34" s="1"/>
  <c r="B805" i="34"/>
  <c r="D19" i="34"/>
  <c r="AP840" i="34"/>
  <c r="C860" i="34"/>
  <c r="D940" i="34" s="1"/>
  <c r="E812" i="34"/>
  <c r="E841" i="34" s="1"/>
  <c r="N130" i="34"/>
  <c r="N131" i="34" s="1"/>
  <c r="C803" i="34"/>
  <c r="C832" i="34" s="1"/>
  <c r="E64" i="34"/>
  <c r="AQ844" i="34"/>
  <c r="D864" i="34"/>
  <c r="E944" i="34" s="1"/>
  <c r="F346" i="31"/>
  <c r="R336" i="31"/>
  <c r="J19" i="31"/>
  <c r="F716" i="31"/>
  <c r="F712" i="31"/>
  <c r="C30" i="34" l="1"/>
  <c r="C19" i="34"/>
  <c r="C866" i="34"/>
  <c r="D946" i="34" s="1"/>
  <c r="AP846" i="34"/>
  <c r="L19" i="34"/>
  <c r="AP848" i="34"/>
  <c r="B813" i="34"/>
  <c r="B842" i="34" s="1"/>
  <c r="B811" i="34"/>
  <c r="B840" i="34" s="1"/>
  <c r="C865" i="34"/>
  <c r="D945" i="34" s="1"/>
  <c r="K19" i="34"/>
  <c r="B810" i="34"/>
  <c r="B865" i="34" s="1"/>
  <c r="AP845" i="34"/>
  <c r="B808" i="34"/>
  <c r="B863" i="34" s="1"/>
  <c r="O19" i="34"/>
  <c r="C868" i="34"/>
  <c r="D948" i="34" s="1"/>
  <c r="B834" i="34"/>
  <c r="B860" i="34"/>
  <c r="B19" i="34"/>
  <c r="B803" i="34"/>
  <c r="H19" i="34"/>
  <c r="AP839" i="34"/>
  <c r="C863" i="34"/>
  <c r="D943" i="34" s="1"/>
  <c r="AP843" i="34"/>
  <c r="C859" i="34"/>
  <c r="D939" i="34" s="1"/>
  <c r="B804" i="34"/>
  <c r="AN804" i="34" s="1"/>
  <c r="G19" i="34"/>
  <c r="B807" i="34"/>
  <c r="AP842" i="34"/>
  <c r="C862" i="34"/>
  <c r="D942" i="34" s="1"/>
  <c r="D812" i="34"/>
  <c r="D841" i="34" s="1"/>
  <c r="N64" i="34"/>
  <c r="N65" i="34" s="1"/>
  <c r="E867" i="34"/>
  <c r="AR847" i="34"/>
  <c r="AI812" i="34"/>
  <c r="AP841" i="34"/>
  <c r="C861" i="34"/>
  <c r="D941" i="34" s="1"/>
  <c r="AP844" i="34"/>
  <c r="C864" i="34"/>
  <c r="D944" i="34" s="1"/>
  <c r="AP838" i="34"/>
  <c r="C858" i="34"/>
  <c r="D938" i="34" s="1"/>
  <c r="E29" i="34"/>
  <c r="AO840" i="34"/>
  <c r="AT840" i="34" s="1"/>
  <c r="AN805" i="34"/>
  <c r="AG805" i="34"/>
  <c r="B806" i="34"/>
  <c r="I29" i="34"/>
  <c r="F19" i="34"/>
  <c r="B809" i="34"/>
  <c r="M29" i="34"/>
  <c r="J19" i="34"/>
  <c r="H908" i="31"/>
  <c r="O972" i="34" l="1"/>
  <c r="F947" i="34"/>
  <c r="O967" i="34"/>
  <c r="O970" i="34"/>
  <c r="AO838" i="34"/>
  <c r="B858" i="34"/>
  <c r="O965" i="34" s="1"/>
  <c r="AG813" i="34"/>
  <c r="AG811" i="34"/>
  <c r="AN813" i="34"/>
  <c r="AO846" i="34"/>
  <c r="AT846" i="34" s="1"/>
  <c r="B868" i="34"/>
  <c r="B866" i="34"/>
  <c r="AO848" i="34"/>
  <c r="AT848" i="34" s="1"/>
  <c r="AN811" i="34"/>
  <c r="AG810" i="34"/>
  <c r="B839" i="34"/>
  <c r="AN810" i="34"/>
  <c r="AO845" i="34"/>
  <c r="AT845" i="34" s="1"/>
  <c r="AG808" i="34"/>
  <c r="AN808" i="34"/>
  <c r="B837" i="34"/>
  <c r="AO843" i="34"/>
  <c r="AT843" i="34" s="1"/>
  <c r="B838" i="34"/>
  <c r="B864" i="34"/>
  <c r="B836" i="34"/>
  <c r="B862" i="34"/>
  <c r="B832" i="34"/>
  <c r="B835" i="34"/>
  <c r="B861" i="34"/>
  <c r="B833" i="34"/>
  <c r="B859" i="34"/>
  <c r="M19" i="34"/>
  <c r="M20" i="34"/>
  <c r="I20" i="34"/>
  <c r="E19" i="34"/>
  <c r="E20" i="34"/>
  <c r="AG804" i="34"/>
  <c r="AO842" i="34"/>
  <c r="AT842" i="34" s="1"/>
  <c r="I19" i="34"/>
  <c r="AO839" i="34"/>
  <c r="AT839" i="34" s="1"/>
  <c r="AG807" i="34"/>
  <c r="AN807" i="34"/>
  <c r="AQ847" i="34"/>
  <c r="D867" i="34"/>
  <c r="AO844" i="34"/>
  <c r="AT844" i="34" s="1"/>
  <c r="AG809" i="34"/>
  <c r="AN809" i="34"/>
  <c r="AO841" i="34"/>
  <c r="AT841" i="34" s="1"/>
  <c r="AN806" i="34"/>
  <c r="AG806" i="34"/>
  <c r="AN803" i="34"/>
  <c r="AG803" i="34"/>
  <c r="C812" i="34"/>
  <c r="C841" i="34" s="1"/>
  <c r="N29" i="34"/>
  <c r="N30" i="34" s="1"/>
  <c r="O973" i="34" l="1"/>
  <c r="O966" i="34"/>
  <c r="O975" i="34"/>
  <c r="O969" i="34"/>
  <c r="O971" i="34"/>
  <c r="E947" i="34"/>
  <c r="O968" i="34"/>
  <c r="AT838" i="34"/>
  <c r="B812" i="34"/>
  <c r="N19" i="34"/>
  <c r="C867" i="34"/>
  <c r="AP847" i="34"/>
  <c r="B725" i="31"/>
  <c r="B679" i="31"/>
  <c r="Q676" i="31"/>
  <c r="M676" i="31"/>
  <c r="I676" i="31"/>
  <c r="E676" i="31"/>
  <c r="D947" i="34" l="1"/>
  <c r="B841" i="34"/>
  <c r="B867" i="34"/>
  <c r="AO847" i="34"/>
  <c r="AG812" i="34"/>
  <c r="AN812" i="34"/>
  <c r="R676" i="31"/>
  <c r="D241" i="31"/>
  <c r="O974" i="34" l="1"/>
  <c r="AT847" i="34"/>
  <c r="D713" i="31"/>
  <c r="D733" i="31"/>
  <c r="D730" i="31"/>
  <c r="C712" i="31" l="1"/>
  <c r="Q273" i="31" l="1"/>
  <c r="M273" i="31"/>
  <c r="I273" i="31"/>
  <c r="E273" i="31"/>
  <c r="R273" i="31" l="1"/>
  <c r="B155" i="31"/>
  <c r="N946" i="31" l="1"/>
  <c r="M946" i="31"/>
  <c r="L946" i="31"/>
  <c r="K946" i="31"/>
  <c r="N945" i="31"/>
  <c r="M945" i="31"/>
  <c r="L945" i="31"/>
  <c r="K945" i="31"/>
  <c r="N944" i="31"/>
  <c r="M944" i="31"/>
  <c r="L944" i="31"/>
  <c r="K944" i="31"/>
  <c r="N943" i="31"/>
  <c r="M943" i="31"/>
  <c r="L943" i="31"/>
  <c r="K943" i="31"/>
  <c r="N942" i="31"/>
  <c r="M942" i="31"/>
  <c r="L942" i="31"/>
  <c r="K942" i="31"/>
  <c r="N941" i="31"/>
  <c r="M941" i="31"/>
  <c r="L941" i="31"/>
  <c r="K941" i="31"/>
  <c r="N940" i="31"/>
  <c r="M940" i="31"/>
  <c r="L940" i="31"/>
  <c r="K940" i="31"/>
  <c r="N939" i="31"/>
  <c r="M939" i="31"/>
  <c r="L939" i="31"/>
  <c r="K939" i="31"/>
  <c r="N938" i="31"/>
  <c r="M938" i="31"/>
  <c r="L938" i="31"/>
  <c r="K938" i="31"/>
  <c r="N937" i="31"/>
  <c r="M937" i="31"/>
  <c r="L937" i="31"/>
  <c r="K937" i="31"/>
  <c r="N936" i="31"/>
  <c r="M936" i="31"/>
  <c r="L936" i="31"/>
  <c r="K936" i="31"/>
  <c r="N935" i="31"/>
  <c r="M935" i="31"/>
  <c r="L935" i="31"/>
  <c r="K935" i="31"/>
  <c r="N921" i="31"/>
  <c r="M921" i="31"/>
  <c r="O909" i="31"/>
  <c r="O936" i="31" s="1"/>
  <c r="O910" i="31"/>
  <c r="O937" i="31" s="1"/>
  <c r="O911" i="31"/>
  <c r="O938" i="31" s="1"/>
  <c r="O912" i="31"/>
  <c r="O939" i="31" s="1"/>
  <c r="O913" i="31"/>
  <c r="O940" i="31" s="1"/>
  <c r="O914" i="31"/>
  <c r="O941" i="31" s="1"/>
  <c r="O915" i="31"/>
  <c r="O942" i="31" s="1"/>
  <c r="O916" i="31"/>
  <c r="O943" i="31" s="1"/>
  <c r="O917" i="31"/>
  <c r="O944" i="31" s="1"/>
  <c r="O918" i="31"/>
  <c r="O945" i="31" s="1"/>
  <c r="O919" i="31"/>
  <c r="O946" i="31" s="1"/>
  <c r="O920" i="31"/>
  <c r="O908" i="31"/>
  <c r="O935" i="31" s="1"/>
  <c r="A899" i="31"/>
  <c r="O921" i="31" l="1"/>
  <c r="Q645" i="31"/>
  <c r="M645" i="31"/>
  <c r="I645" i="31"/>
  <c r="E645" i="31"/>
  <c r="R645" i="31" l="1"/>
  <c r="L565" i="26" l="1"/>
  <c r="L530" i="26"/>
  <c r="P307" i="26"/>
  <c r="P143" i="26"/>
  <c r="E243" i="31" l="1"/>
  <c r="I243" i="31"/>
  <c r="M243" i="31"/>
  <c r="Q243" i="31"/>
  <c r="R243" i="31" l="1"/>
  <c r="Q244" i="31"/>
  <c r="M244" i="31"/>
  <c r="I244" i="31"/>
  <c r="E244" i="31"/>
  <c r="R244" i="31" l="1"/>
  <c r="O725" i="31" l="1"/>
  <c r="N725" i="31"/>
  <c r="L725" i="31"/>
  <c r="K725" i="31"/>
  <c r="J725" i="31"/>
  <c r="H725" i="31"/>
  <c r="G725" i="31"/>
  <c r="F725" i="31"/>
  <c r="D725" i="31"/>
  <c r="C725" i="31"/>
  <c r="Q674" i="31"/>
  <c r="M674" i="31"/>
  <c r="I674" i="31"/>
  <c r="E674" i="31"/>
  <c r="R674" i="31" l="1"/>
  <c r="P702" i="26" l="1"/>
  <c r="O702" i="26"/>
  <c r="N702" i="26"/>
  <c r="L702" i="26"/>
  <c r="K702" i="26"/>
  <c r="J702" i="26"/>
  <c r="H702" i="26"/>
  <c r="G702" i="26"/>
  <c r="F702" i="26"/>
  <c r="D702" i="26"/>
  <c r="C702" i="26"/>
  <c r="B702" i="26"/>
  <c r="P709" i="26"/>
  <c r="O709" i="26"/>
  <c r="N709" i="26"/>
  <c r="L709" i="26"/>
  <c r="K709" i="26"/>
  <c r="J709" i="26"/>
  <c r="H709" i="26"/>
  <c r="G709" i="26"/>
  <c r="F709" i="26"/>
  <c r="D709" i="26"/>
  <c r="C709" i="26"/>
  <c r="B709" i="26"/>
  <c r="Q44" i="26"/>
  <c r="M44" i="26"/>
  <c r="I44" i="26"/>
  <c r="E44" i="26"/>
  <c r="B315" i="26"/>
  <c r="Q303" i="26"/>
  <c r="M303" i="26"/>
  <c r="I303" i="26"/>
  <c r="E303" i="26"/>
  <c r="B710" i="26"/>
  <c r="Q302" i="26"/>
  <c r="M302" i="26"/>
  <c r="I302" i="26"/>
  <c r="E302" i="26"/>
  <c r="Q301" i="26"/>
  <c r="M301" i="26"/>
  <c r="I301" i="26"/>
  <c r="E301" i="26"/>
  <c r="C315" i="26"/>
  <c r="L315" i="26"/>
  <c r="N315" i="26"/>
  <c r="O315" i="26"/>
  <c r="P315" i="26"/>
  <c r="R44" i="26" l="1"/>
  <c r="R303" i="26"/>
  <c r="R301" i="26"/>
  <c r="R302" i="26"/>
  <c r="Q281" i="26" l="1"/>
  <c r="Q163" i="26"/>
  <c r="O701" i="26"/>
  <c r="Q147" i="26" l="1"/>
  <c r="M147" i="26"/>
  <c r="I147" i="26"/>
  <c r="E147" i="26"/>
  <c r="R147" i="26" l="1"/>
  <c r="H259" i="31"/>
  <c r="F732" i="31"/>
  <c r="N732" i="31"/>
  <c r="H713" i="31"/>
  <c r="G976" i="31" l="1"/>
  <c r="H935" i="31"/>
  <c r="Q226" i="31"/>
  <c r="M226" i="31"/>
  <c r="I226" i="31"/>
  <c r="E226" i="31"/>
  <c r="R226" i="31" l="1"/>
  <c r="P733" i="31" l="1"/>
  <c r="H714" i="31" l="1"/>
  <c r="N241" i="26" l="1"/>
  <c r="P16" i="31"/>
  <c r="P19" i="31"/>
  <c r="P721" i="31"/>
  <c r="Q164" i="31" l="1"/>
  <c r="M164" i="31"/>
  <c r="I164" i="31"/>
  <c r="E164" i="31"/>
  <c r="Q165" i="31"/>
  <c r="M165" i="31"/>
  <c r="I165" i="31"/>
  <c r="E165" i="31"/>
  <c r="Q150" i="31"/>
  <c r="M150" i="31"/>
  <c r="I150" i="31"/>
  <c r="E150" i="31"/>
  <c r="N18" i="26"/>
  <c r="P18" i="26"/>
  <c r="L241" i="26"/>
  <c r="L259" i="26"/>
  <c r="L703" i="26"/>
  <c r="P715" i="26"/>
  <c r="O715" i="26"/>
  <c r="N715" i="26"/>
  <c r="F715" i="26"/>
  <c r="D715" i="26"/>
  <c r="C715" i="26"/>
  <c r="B715" i="26"/>
  <c r="P492" i="26"/>
  <c r="O492" i="26"/>
  <c r="N492" i="26"/>
  <c r="L492" i="26"/>
  <c r="K492" i="26"/>
  <c r="J492" i="26"/>
  <c r="H492" i="26"/>
  <c r="G492" i="26"/>
  <c r="F492" i="26"/>
  <c r="D492" i="26"/>
  <c r="C492" i="26"/>
  <c r="B492" i="26"/>
  <c r="Q491" i="26"/>
  <c r="M491" i="26"/>
  <c r="I491" i="26"/>
  <c r="E491" i="26"/>
  <c r="L210" i="26"/>
  <c r="L715" i="26" s="1"/>
  <c r="Q187" i="26"/>
  <c r="L710" i="26"/>
  <c r="P701" i="26"/>
  <c r="N701" i="26"/>
  <c r="D701" i="26"/>
  <c r="C701" i="26"/>
  <c r="B701" i="26"/>
  <c r="Q80" i="26"/>
  <c r="M80" i="26"/>
  <c r="I80" i="26"/>
  <c r="E80" i="26"/>
  <c r="L701" i="26"/>
  <c r="M271" i="26"/>
  <c r="R150" i="31" l="1"/>
  <c r="R164" i="31"/>
  <c r="R165" i="31"/>
  <c r="R491" i="26"/>
  <c r="Q492" i="26"/>
  <c r="R80" i="26"/>
  <c r="P732" i="31" l="1"/>
  <c r="H732" i="31"/>
  <c r="G732" i="31"/>
  <c r="D732" i="31"/>
  <c r="C732" i="31"/>
  <c r="B732" i="31"/>
  <c r="Q222" i="31"/>
  <c r="M222" i="31"/>
  <c r="I222" i="31"/>
  <c r="E222" i="31"/>
  <c r="AD319" i="26"/>
  <c r="AC316" i="26"/>
  <c r="AB316" i="26"/>
  <c r="B721" i="31"/>
  <c r="AD316" i="26" l="1"/>
  <c r="R222" i="31"/>
  <c r="G259" i="31"/>
  <c r="Q169" i="31"/>
  <c r="M169" i="31"/>
  <c r="I169" i="31"/>
  <c r="E169" i="31"/>
  <c r="E287" i="31"/>
  <c r="E197" i="31" l="1"/>
  <c r="R169" i="31"/>
  <c r="Q334" i="31"/>
  <c r="M334" i="31"/>
  <c r="I334" i="31"/>
  <c r="E334" i="31"/>
  <c r="R334" i="31" l="1"/>
  <c r="Q587" i="31" l="1"/>
  <c r="M587" i="31"/>
  <c r="I587" i="31"/>
  <c r="E587" i="31"/>
  <c r="E188" i="31"/>
  <c r="R587" i="31" l="1"/>
  <c r="M136" i="31" l="1"/>
  <c r="I136" i="31"/>
  <c r="E136" i="31"/>
  <c r="E138" i="31"/>
  <c r="Q659" i="31" l="1"/>
  <c r="M659" i="31"/>
  <c r="I659" i="31"/>
  <c r="E659" i="31"/>
  <c r="R659" i="31" l="1"/>
  <c r="Q193" i="31" l="1"/>
  <c r="M193" i="31"/>
  <c r="I193" i="31"/>
  <c r="E193" i="31"/>
  <c r="R193" i="31" l="1"/>
  <c r="I204" i="31"/>
  <c r="Q322" i="31" l="1"/>
  <c r="M322" i="31"/>
  <c r="I322" i="31"/>
  <c r="E322" i="31"/>
  <c r="E326" i="31"/>
  <c r="I326" i="31"/>
  <c r="M326" i="31"/>
  <c r="Q326" i="31"/>
  <c r="N663" i="31"/>
  <c r="N714" i="31" s="1"/>
  <c r="O733" i="31"/>
  <c r="N733" i="31"/>
  <c r="J733" i="31"/>
  <c r="H733" i="31"/>
  <c r="G733" i="31"/>
  <c r="F733" i="31"/>
  <c r="C733" i="31"/>
  <c r="B733" i="31"/>
  <c r="Q509" i="31"/>
  <c r="M509" i="31"/>
  <c r="I509" i="31"/>
  <c r="E509" i="31"/>
  <c r="E573" i="31"/>
  <c r="I573" i="31"/>
  <c r="M573" i="31"/>
  <c r="Q573" i="31"/>
  <c r="B712" i="31"/>
  <c r="R322" i="31" l="1"/>
  <c r="R326" i="31"/>
  <c r="R509" i="31"/>
  <c r="R573" i="31"/>
  <c r="E284" i="31"/>
  <c r="M282" i="31"/>
  <c r="O712" i="31"/>
  <c r="N712" i="31"/>
  <c r="L712" i="31"/>
  <c r="K712" i="31"/>
  <c r="J712" i="31"/>
  <c r="H712" i="31"/>
  <c r="G712" i="31"/>
  <c r="D712" i="31"/>
  <c r="O989" i="31"/>
  <c r="I921" i="31" s="1"/>
  <c r="K989" i="31"/>
  <c r="H921" i="31" s="1"/>
  <c r="Q986" i="31"/>
  <c r="M986" i="31"/>
  <c r="Q985" i="31"/>
  <c r="M985" i="31"/>
  <c r="Q984" i="31"/>
  <c r="M984" i="31"/>
  <c r="Q983" i="31"/>
  <c r="M983" i="31"/>
  <c r="Q982" i="31"/>
  <c r="M982" i="31"/>
  <c r="Q981" i="31"/>
  <c r="M981" i="31"/>
  <c r="Q980" i="31"/>
  <c r="M980" i="31"/>
  <c r="Q979" i="31"/>
  <c r="M979" i="31"/>
  <c r="G979" i="31"/>
  <c r="I979" i="31" s="1"/>
  <c r="Q978" i="31"/>
  <c r="M978" i="31"/>
  <c r="G978" i="31"/>
  <c r="I978" i="31" s="1"/>
  <c r="Q977" i="31"/>
  <c r="M977" i="31"/>
  <c r="G977" i="31"/>
  <c r="I977" i="31" s="1"/>
  <c r="Q976" i="31"/>
  <c r="M976" i="31"/>
  <c r="Q975" i="31"/>
  <c r="M975" i="31"/>
  <c r="I975" i="31"/>
  <c r="G969" i="31"/>
  <c r="O968" i="31"/>
  <c r="K968" i="31"/>
  <c r="C968" i="31"/>
  <c r="I965" i="31"/>
  <c r="J962" i="31"/>
  <c r="Q961" i="31"/>
  <c r="I919" i="31"/>
  <c r="I946" i="31" s="1"/>
  <c r="H919" i="31"/>
  <c r="H946" i="31" s="1"/>
  <c r="I918" i="31"/>
  <c r="I945" i="31" s="1"/>
  <c r="H918" i="31"/>
  <c r="H945" i="31" s="1"/>
  <c r="I917" i="31"/>
  <c r="I944" i="31" s="1"/>
  <c r="H917" i="31"/>
  <c r="H944" i="31" s="1"/>
  <c r="I916" i="31"/>
  <c r="I943" i="31" s="1"/>
  <c r="H916" i="31"/>
  <c r="H943" i="31" s="1"/>
  <c r="I915" i="31"/>
  <c r="I942" i="31" s="1"/>
  <c r="H915" i="31"/>
  <c r="H942" i="31" s="1"/>
  <c r="I914" i="31"/>
  <c r="I941" i="31" s="1"/>
  <c r="H914" i="31"/>
  <c r="H941" i="31" s="1"/>
  <c r="I913" i="31"/>
  <c r="I940" i="31" s="1"/>
  <c r="H913" i="31"/>
  <c r="H940" i="31" s="1"/>
  <c r="I912" i="31"/>
  <c r="I939" i="31" s="1"/>
  <c r="H912" i="31"/>
  <c r="H939" i="31" s="1"/>
  <c r="I911" i="31"/>
  <c r="I938" i="31" s="1"/>
  <c r="H911" i="31"/>
  <c r="H938" i="31" s="1"/>
  <c r="I910" i="31"/>
  <c r="I937" i="31" s="1"/>
  <c r="H910" i="31"/>
  <c r="H937" i="31" s="1"/>
  <c r="I909" i="31"/>
  <c r="I936" i="31" s="1"/>
  <c r="H909" i="31"/>
  <c r="H936" i="31" s="1"/>
  <c r="I908" i="31"/>
  <c r="J908" i="31" s="1"/>
  <c r="A901" i="31"/>
  <c r="Q898" i="31"/>
  <c r="P876" i="31"/>
  <c r="E876" i="31"/>
  <c r="Q873" i="31"/>
  <c r="F873" i="31"/>
  <c r="Q871" i="31"/>
  <c r="E848" i="31"/>
  <c r="F845" i="31"/>
  <c r="Q844" i="31"/>
  <c r="E824" i="31"/>
  <c r="F821" i="31"/>
  <c r="Q820" i="31"/>
  <c r="D790" i="31"/>
  <c r="Q789" i="31"/>
  <c r="L789" i="31"/>
  <c r="G784" i="31"/>
  <c r="F784" i="31"/>
  <c r="G783" i="31"/>
  <c r="F783" i="31"/>
  <c r="G782" i="31"/>
  <c r="F782" i="31"/>
  <c r="G781" i="31"/>
  <c r="F781" i="31"/>
  <c r="G780" i="31"/>
  <c r="F780" i="31"/>
  <c r="G779" i="31"/>
  <c r="F779" i="31"/>
  <c r="F778" i="31"/>
  <c r="G777" i="31"/>
  <c r="F777" i="31"/>
  <c r="G776" i="31"/>
  <c r="F776" i="31"/>
  <c r="G775" i="31"/>
  <c r="F775" i="31"/>
  <c r="G774" i="31"/>
  <c r="F774" i="31"/>
  <c r="G773" i="31"/>
  <c r="F773" i="31"/>
  <c r="E766" i="31"/>
  <c r="F763" i="31"/>
  <c r="Q762" i="31"/>
  <c r="A746" i="31"/>
  <c r="A744" i="31"/>
  <c r="Q740" i="31"/>
  <c r="P734" i="31"/>
  <c r="P735" i="31" s="1"/>
  <c r="O734" i="31"/>
  <c r="O735" i="31" s="1"/>
  <c r="N734" i="31"/>
  <c r="N735" i="31" s="1"/>
  <c r="L734" i="31"/>
  <c r="L735" i="31" s="1"/>
  <c r="K734" i="31"/>
  <c r="K735" i="31" s="1"/>
  <c r="J734" i="31"/>
  <c r="J735" i="31" s="1"/>
  <c r="H734" i="31"/>
  <c r="H735" i="31" s="1"/>
  <c r="G734" i="31"/>
  <c r="G735" i="31" s="1"/>
  <c r="F734" i="31"/>
  <c r="F735" i="31" s="1"/>
  <c r="D734" i="31"/>
  <c r="D735" i="31" s="1"/>
  <c r="C734" i="31"/>
  <c r="C735" i="31" s="1"/>
  <c r="B734" i="31"/>
  <c r="B735" i="31" s="1"/>
  <c r="P731" i="31"/>
  <c r="O731" i="31"/>
  <c r="N731" i="31"/>
  <c r="L731" i="31"/>
  <c r="K731" i="31"/>
  <c r="J731" i="31"/>
  <c r="H731" i="31"/>
  <c r="G731" i="31"/>
  <c r="F731" i="31"/>
  <c r="D731" i="31"/>
  <c r="C731" i="31"/>
  <c r="B731" i="31"/>
  <c r="N730" i="31"/>
  <c r="L730" i="31"/>
  <c r="K730" i="31"/>
  <c r="J730" i="31"/>
  <c r="H730" i="31"/>
  <c r="G730" i="31"/>
  <c r="F730" i="31"/>
  <c r="C730" i="31"/>
  <c r="B730" i="31"/>
  <c r="B727" i="31"/>
  <c r="P722" i="31"/>
  <c r="O722" i="31"/>
  <c r="N722" i="31"/>
  <c r="L722" i="31"/>
  <c r="K722" i="31"/>
  <c r="J722" i="31"/>
  <c r="H722" i="31"/>
  <c r="G722" i="31"/>
  <c r="F722" i="31"/>
  <c r="D722" i="31"/>
  <c r="C722" i="31"/>
  <c r="B722" i="31"/>
  <c r="O721" i="31"/>
  <c r="N721" i="31"/>
  <c r="L721" i="31"/>
  <c r="C721" i="31"/>
  <c r="P720" i="31"/>
  <c r="O720" i="31"/>
  <c r="N720" i="31"/>
  <c r="L720" i="31"/>
  <c r="K720" i="31"/>
  <c r="J720" i="31"/>
  <c r="H720" i="31"/>
  <c r="G720" i="31"/>
  <c r="F720" i="31"/>
  <c r="D720" i="31"/>
  <c r="C720" i="31"/>
  <c r="B720" i="31"/>
  <c r="P717" i="31"/>
  <c r="O717" i="31"/>
  <c r="N717" i="31"/>
  <c r="L717" i="31"/>
  <c r="K717" i="31"/>
  <c r="J717" i="31"/>
  <c r="H717" i="31"/>
  <c r="G717" i="31"/>
  <c r="F717" i="31"/>
  <c r="D717" i="31"/>
  <c r="C717" i="31"/>
  <c r="B717" i="31"/>
  <c r="O716" i="31"/>
  <c r="N716" i="31"/>
  <c r="J716" i="31"/>
  <c r="M716" i="31" s="1"/>
  <c r="H716" i="31"/>
  <c r="G716" i="31"/>
  <c r="C716" i="31"/>
  <c r="B716" i="31"/>
  <c r="P715" i="31"/>
  <c r="O715" i="31"/>
  <c r="N715" i="31"/>
  <c r="L715" i="31"/>
  <c r="K715" i="31"/>
  <c r="J715" i="31"/>
  <c r="H715" i="31"/>
  <c r="G715" i="31"/>
  <c r="F715" i="31"/>
  <c r="D715" i="31"/>
  <c r="C715" i="31"/>
  <c r="B715" i="31"/>
  <c r="L714" i="31"/>
  <c r="G714" i="31"/>
  <c r="F714" i="31"/>
  <c r="D714" i="31"/>
  <c r="C714" i="31"/>
  <c r="B714" i="31"/>
  <c r="O713" i="31"/>
  <c r="G713" i="31"/>
  <c r="F713" i="31"/>
  <c r="C713" i="31"/>
  <c r="B713" i="31"/>
  <c r="A705" i="31"/>
  <c r="A703" i="31"/>
  <c r="Q699" i="31"/>
  <c r="Q692" i="31"/>
  <c r="M692" i="31"/>
  <c r="I692" i="31"/>
  <c r="E692" i="31"/>
  <c r="P690" i="31"/>
  <c r="O690" i="31"/>
  <c r="N690" i="31"/>
  <c r="L690" i="31"/>
  <c r="K690" i="31"/>
  <c r="J690" i="31"/>
  <c r="H690" i="31"/>
  <c r="G690" i="31"/>
  <c r="F690" i="31"/>
  <c r="D690" i="31"/>
  <c r="C690" i="31"/>
  <c r="B690" i="31"/>
  <c r="P689" i="31"/>
  <c r="O689" i="31"/>
  <c r="N689" i="31"/>
  <c r="L689" i="31"/>
  <c r="K689" i="31"/>
  <c r="J689" i="31"/>
  <c r="H689" i="31"/>
  <c r="G689" i="31"/>
  <c r="F689" i="31"/>
  <c r="D689" i="31"/>
  <c r="C689" i="31"/>
  <c r="B689" i="31"/>
  <c r="Q686" i="31"/>
  <c r="M686" i="31"/>
  <c r="I686" i="31"/>
  <c r="E686" i="31"/>
  <c r="Q685" i="31"/>
  <c r="M685" i="31"/>
  <c r="I685" i="31"/>
  <c r="E685" i="31"/>
  <c r="Q683" i="31"/>
  <c r="M683" i="31"/>
  <c r="I683" i="31"/>
  <c r="E683" i="31"/>
  <c r="Q682" i="31"/>
  <c r="M682" i="31"/>
  <c r="I682" i="31"/>
  <c r="E682" i="31"/>
  <c r="P679" i="31"/>
  <c r="O679" i="31"/>
  <c r="N679" i="31"/>
  <c r="L679" i="31"/>
  <c r="K679" i="31"/>
  <c r="J679" i="31"/>
  <c r="H679" i="31"/>
  <c r="G679" i="31"/>
  <c r="F679" i="31"/>
  <c r="D679" i="31"/>
  <c r="C679" i="31"/>
  <c r="Q678" i="31"/>
  <c r="M678" i="31"/>
  <c r="I678" i="31"/>
  <c r="E678" i="31"/>
  <c r="Q677" i="31"/>
  <c r="M677" i="31"/>
  <c r="I677" i="31"/>
  <c r="E677" i="31"/>
  <c r="Q673" i="31"/>
  <c r="M673" i="31"/>
  <c r="I673" i="31"/>
  <c r="E673" i="31"/>
  <c r="P670" i="31"/>
  <c r="O670" i="31"/>
  <c r="N670" i="31"/>
  <c r="L670" i="31"/>
  <c r="K670" i="31"/>
  <c r="J670" i="31"/>
  <c r="H670" i="31"/>
  <c r="G670" i="31"/>
  <c r="F670" i="31"/>
  <c r="D670" i="31"/>
  <c r="C670" i="31"/>
  <c r="B670" i="31"/>
  <c r="Q668" i="31"/>
  <c r="M668" i="31"/>
  <c r="I668" i="31"/>
  <c r="E668" i="31"/>
  <c r="P665" i="31"/>
  <c r="O665" i="31"/>
  <c r="N665" i="31"/>
  <c r="L665" i="31"/>
  <c r="K665" i="31"/>
  <c r="J665" i="31"/>
  <c r="H665" i="31"/>
  <c r="G665" i="31"/>
  <c r="F665" i="31"/>
  <c r="D665" i="31"/>
  <c r="C665" i="31"/>
  <c r="B665" i="31"/>
  <c r="Q663" i="31"/>
  <c r="M663" i="31"/>
  <c r="I663" i="31"/>
  <c r="E663" i="31"/>
  <c r="Q660" i="31"/>
  <c r="M660" i="31"/>
  <c r="I660" i="31"/>
  <c r="E660" i="31"/>
  <c r="Q658" i="31"/>
  <c r="M658" i="31"/>
  <c r="I658" i="31"/>
  <c r="E658" i="31"/>
  <c r="Q646" i="31"/>
  <c r="M646" i="31"/>
  <c r="I646" i="31"/>
  <c r="E646" i="31"/>
  <c r="P643" i="31"/>
  <c r="O643" i="31"/>
  <c r="N643" i="31"/>
  <c r="L643" i="31"/>
  <c r="K643" i="31"/>
  <c r="J643" i="31"/>
  <c r="H643" i="31"/>
  <c r="G643" i="31"/>
  <c r="F643" i="31"/>
  <c r="D643" i="31"/>
  <c r="C643" i="31"/>
  <c r="B643" i="31"/>
  <c r="P642" i="31"/>
  <c r="O642" i="31"/>
  <c r="N642" i="31"/>
  <c r="L642" i="31"/>
  <c r="K642" i="31"/>
  <c r="J642" i="31"/>
  <c r="H642" i="31"/>
  <c r="G642" i="31"/>
  <c r="F642" i="31"/>
  <c r="D642" i="31"/>
  <c r="C642" i="31"/>
  <c r="B642" i="31"/>
  <c r="P636" i="31"/>
  <c r="O636" i="31"/>
  <c r="N636" i="31"/>
  <c r="L636" i="31"/>
  <c r="K636" i="31"/>
  <c r="J636" i="31"/>
  <c r="H636" i="31"/>
  <c r="G636" i="31"/>
  <c r="F636" i="31"/>
  <c r="D636" i="31"/>
  <c r="C636" i="31"/>
  <c r="B636" i="31"/>
  <c r="P632" i="31"/>
  <c r="O632" i="31"/>
  <c r="N632" i="31"/>
  <c r="L632" i="31"/>
  <c r="K632" i="31"/>
  <c r="J632" i="31"/>
  <c r="H632" i="31"/>
  <c r="G632" i="31"/>
  <c r="F632" i="31"/>
  <c r="D632" i="31"/>
  <c r="C632" i="31"/>
  <c r="B632" i="31"/>
  <c r="P628" i="31"/>
  <c r="O628" i="31"/>
  <c r="N628" i="31"/>
  <c r="L628" i="31"/>
  <c r="K628" i="31"/>
  <c r="J628" i="31"/>
  <c r="H628" i="31"/>
  <c r="G628" i="31"/>
  <c r="F628" i="31"/>
  <c r="D628" i="31"/>
  <c r="C628" i="31"/>
  <c r="B628" i="31"/>
  <c r="Q624" i="31"/>
  <c r="M624" i="31"/>
  <c r="I624" i="31"/>
  <c r="E624" i="31"/>
  <c r="P614" i="31"/>
  <c r="P615" i="31" s="1"/>
  <c r="O614" i="31"/>
  <c r="N614" i="31"/>
  <c r="N615" i="31" s="1"/>
  <c r="L614" i="31"/>
  <c r="K614" i="31"/>
  <c r="J614" i="31"/>
  <c r="H614" i="31"/>
  <c r="H615" i="31" s="1"/>
  <c r="G614" i="31"/>
  <c r="F614" i="31"/>
  <c r="F615" i="31" s="1"/>
  <c r="D614" i="31"/>
  <c r="C614" i="31"/>
  <c r="B614" i="31"/>
  <c r="Q612" i="31"/>
  <c r="M612" i="31"/>
  <c r="I612" i="31"/>
  <c r="E612" i="31"/>
  <c r="Q602" i="31"/>
  <c r="M602" i="31"/>
  <c r="I602" i="31"/>
  <c r="E602" i="31"/>
  <c r="P600" i="31"/>
  <c r="O600" i="31"/>
  <c r="N600" i="31"/>
  <c r="L600" i="31"/>
  <c r="K600" i="31"/>
  <c r="J600" i="31"/>
  <c r="H600" i="31"/>
  <c r="G600" i="31"/>
  <c r="F600" i="31"/>
  <c r="D600" i="31"/>
  <c r="C600" i="31"/>
  <c r="B600" i="31"/>
  <c r="P599" i="31"/>
  <c r="O599" i="31"/>
  <c r="N599" i="31"/>
  <c r="L599" i="31"/>
  <c r="K599" i="31"/>
  <c r="J599" i="31"/>
  <c r="H599" i="31"/>
  <c r="G599" i="31"/>
  <c r="F599" i="31"/>
  <c r="D599" i="31"/>
  <c r="C599" i="31"/>
  <c r="B599" i="31"/>
  <c r="Q596" i="31"/>
  <c r="M596" i="31"/>
  <c r="I596" i="31"/>
  <c r="E596" i="31"/>
  <c r="Q595" i="31"/>
  <c r="M595" i="31"/>
  <c r="I595" i="31"/>
  <c r="E595" i="31"/>
  <c r="Q594" i="31"/>
  <c r="M594" i="31"/>
  <c r="I594" i="31"/>
  <c r="E594" i="31"/>
  <c r="Q593" i="31"/>
  <c r="M593" i="31"/>
  <c r="I593" i="31"/>
  <c r="E593" i="31"/>
  <c r="P589" i="31"/>
  <c r="O589" i="31"/>
  <c r="N589" i="31"/>
  <c r="L589" i="31"/>
  <c r="K589" i="31"/>
  <c r="J589" i="31"/>
  <c r="H589" i="31"/>
  <c r="G589" i="31"/>
  <c r="F589" i="31"/>
  <c r="D589" i="31"/>
  <c r="C589" i="31"/>
  <c r="B589" i="31"/>
  <c r="Q588" i="31"/>
  <c r="M588" i="31"/>
  <c r="I588" i="31"/>
  <c r="E588" i="31"/>
  <c r="Q586" i="31"/>
  <c r="M586" i="31"/>
  <c r="I586" i="31"/>
  <c r="E586" i="31"/>
  <c r="Q584" i="31"/>
  <c r="M584" i="31"/>
  <c r="I584" i="31"/>
  <c r="E584" i="31"/>
  <c r="P581" i="31"/>
  <c r="O581" i="31"/>
  <c r="N581" i="31"/>
  <c r="L581" i="31"/>
  <c r="K581" i="31"/>
  <c r="J581" i="31"/>
  <c r="H581" i="31"/>
  <c r="G581" i="31"/>
  <c r="F581" i="31"/>
  <c r="D581" i="31"/>
  <c r="C581" i="31"/>
  <c r="B581" i="31"/>
  <c r="P577" i="31"/>
  <c r="O577" i="31"/>
  <c r="N577" i="31"/>
  <c r="L577" i="31"/>
  <c r="K577" i="31"/>
  <c r="J577" i="31"/>
  <c r="H577" i="31"/>
  <c r="G577" i="31"/>
  <c r="F577" i="31"/>
  <c r="D577" i="31"/>
  <c r="C577" i="31"/>
  <c r="B577" i="31"/>
  <c r="Q572" i="31"/>
  <c r="M572" i="31"/>
  <c r="I572" i="31"/>
  <c r="E572" i="31"/>
  <c r="Q571" i="31"/>
  <c r="M571" i="31"/>
  <c r="I571" i="31"/>
  <c r="E571" i="31"/>
  <c r="Q559" i="31"/>
  <c r="M559" i="31"/>
  <c r="I559" i="31"/>
  <c r="E559" i="31"/>
  <c r="P557" i="31"/>
  <c r="O557" i="31"/>
  <c r="N557" i="31"/>
  <c r="L557" i="31"/>
  <c r="K557" i="31"/>
  <c r="J557" i="31"/>
  <c r="H557" i="31"/>
  <c r="G557" i="31"/>
  <c r="F557" i="31"/>
  <c r="D557" i="31"/>
  <c r="C557" i="31"/>
  <c r="B557" i="31"/>
  <c r="P556" i="31"/>
  <c r="O556" i="31"/>
  <c r="N556" i="31"/>
  <c r="L556" i="31"/>
  <c r="K556" i="31"/>
  <c r="J556" i="31"/>
  <c r="H556" i="31"/>
  <c r="G556" i="31"/>
  <c r="F556" i="31"/>
  <c r="D556" i="31"/>
  <c r="C556" i="31"/>
  <c r="B556" i="31"/>
  <c r="Q553" i="31"/>
  <c r="M553" i="31"/>
  <c r="I553" i="31"/>
  <c r="E553" i="31"/>
  <c r="P549" i="31"/>
  <c r="O549" i="31"/>
  <c r="N549" i="31"/>
  <c r="L549" i="31"/>
  <c r="K549" i="31"/>
  <c r="J549" i="31"/>
  <c r="H549" i="31"/>
  <c r="G549" i="31"/>
  <c r="F549" i="31"/>
  <c r="D549" i="31"/>
  <c r="C549" i="31"/>
  <c r="B549" i="31"/>
  <c r="P545" i="31"/>
  <c r="O545" i="31"/>
  <c r="N545" i="31"/>
  <c r="L545" i="31"/>
  <c r="K545" i="31"/>
  <c r="J545" i="31"/>
  <c r="H545" i="31"/>
  <c r="G545" i="31"/>
  <c r="F545" i="31"/>
  <c r="D545" i="31"/>
  <c r="C545" i="31"/>
  <c r="B545" i="31"/>
  <c r="P541" i="31"/>
  <c r="O541" i="31"/>
  <c r="N541" i="31"/>
  <c r="L541" i="31"/>
  <c r="D541" i="31"/>
  <c r="C541" i="31"/>
  <c r="B541" i="31"/>
  <c r="Q537" i="31"/>
  <c r="M537" i="31"/>
  <c r="I537" i="31"/>
  <c r="E537" i="31"/>
  <c r="Q536" i="31"/>
  <c r="E536" i="31"/>
  <c r="P526" i="31"/>
  <c r="P527" i="31" s="1"/>
  <c r="O526" i="31"/>
  <c r="N526" i="31"/>
  <c r="N527" i="31" s="1"/>
  <c r="L526" i="31"/>
  <c r="K526" i="31"/>
  <c r="J526" i="31"/>
  <c r="H526" i="31"/>
  <c r="H527" i="31" s="1"/>
  <c r="G526" i="31"/>
  <c r="F526" i="31"/>
  <c r="F527" i="31" s="1"/>
  <c r="D526" i="31"/>
  <c r="C526" i="31"/>
  <c r="B526" i="31"/>
  <c r="Q524" i="31"/>
  <c r="M524" i="31"/>
  <c r="I524" i="31"/>
  <c r="E524" i="31"/>
  <c r="Q514" i="31"/>
  <c r="M514" i="31"/>
  <c r="I514" i="31"/>
  <c r="E514" i="31"/>
  <c r="P512" i="31"/>
  <c r="O512" i="31"/>
  <c r="N512" i="31"/>
  <c r="L512" i="31"/>
  <c r="K512" i="31"/>
  <c r="J512" i="31"/>
  <c r="H512" i="31"/>
  <c r="G512" i="31"/>
  <c r="F512" i="31"/>
  <c r="D512" i="31"/>
  <c r="C512" i="31"/>
  <c r="B512" i="31"/>
  <c r="P511" i="31"/>
  <c r="O511" i="31"/>
  <c r="N511" i="31"/>
  <c r="L511" i="31"/>
  <c r="K511" i="31"/>
  <c r="J511" i="31"/>
  <c r="H511" i="31"/>
  <c r="G511" i="31"/>
  <c r="F511" i="31"/>
  <c r="D511" i="31"/>
  <c r="C511" i="31"/>
  <c r="B511" i="31"/>
  <c r="Q510" i="31"/>
  <c r="M510" i="31"/>
  <c r="I510" i="31"/>
  <c r="E510" i="31"/>
  <c r="Q506" i="31"/>
  <c r="M506" i="31"/>
  <c r="I506" i="31"/>
  <c r="E506" i="31"/>
  <c r="Q505" i="31"/>
  <c r="M505" i="31"/>
  <c r="I505" i="31"/>
  <c r="E505" i="31"/>
  <c r="Q504" i="31"/>
  <c r="M504" i="31"/>
  <c r="I504" i="31"/>
  <c r="E504" i="31"/>
  <c r="Q503" i="31"/>
  <c r="M503" i="31"/>
  <c r="I503" i="31"/>
  <c r="E503" i="31"/>
  <c r="Q501" i="31"/>
  <c r="M501" i="31"/>
  <c r="I501" i="31"/>
  <c r="E501" i="31"/>
  <c r="Q500" i="31"/>
  <c r="M500" i="31"/>
  <c r="I500" i="31"/>
  <c r="E500" i="31"/>
  <c r="P492" i="31"/>
  <c r="O492" i="31"/>
  <c r="N492" i="31"/>
  <c r="L492" i="31"/>
  <c r="K492" i="31"/>
  <c r="J492" i="31"/>
  <c r="H492" i="31"/>
  <c r="G492" i="31"/>
  <c r="F492" i="31"/>
  <c r="D492" i="31"/>
  <c r="C492" i="31"/>
  <c r="B492" i="31"/>
  <c r="Q490" i="31"/>
  <c r="M490" i="31"/>
  <c r="I490" i="31"/>
  <c r="E490" i="31"/>
  <c r="Q489" i="31"/>
  <c r="M489" i="31"/>
  <c r="I489" i="31"/>
  <c r="E489" i="31"/>
  <c r="P486" i="31"/>
  <c r="O486" i="31"/>
  <c r="N486" i="31"/>
  <c r="L486" i="31"/>
  <c r="K486" i="31"/>
  <c r="J486" i="31"/>
  <c r="H486" i="31"/>
  <c r="H513" i="31" s="1"/>
  <c r="H516" i="31" s="1"/>
  <c r="G486" i="31"/>
  <c r="F486" i="31"/>
  <c r="D486" i="31"/>
  <c r="C486" i="31"/>
  <c r="B486" i="31"/>
  <c r="Q484" i="31"/>
  <c r="M484" i="31"/>
  <c r="I484" i="31"/>
  <c r="E484" i="31"/>
  <c r="Q482" i="31"/>
  <c r="M482" i="31"/>
  <c r="I482" i="31"/>
  <c r="E482" i="31"/>
  <c r="Q480" i="31"/>
  <c r="M480" i="31"/>
  <c r="I480" i="31"/>
  <c r="E480" i="31"/>
  <c r="Q479" i="31"/>
  <c r="M479" i="31"/>
  <c r="I479" i="31"/>
  <c r="E479" i="31"/>
  <c r="Q478" i="31"/>
  <c r="M478" i="31"/>
  <c r="I478" i="31"/>
  <c r="E478" i="31"/>
  <c r="Q477" i="31"/>
  <c r="M477" i="31"/>
  <c r="I477" i="31"/>
  <c r="E477" i="31"/>
  <c r="Q476" i="31"/>
  <c r="M476" i="31"/>
  <c r="I476" i="31"/>
  <c r="E476" i="31"/>
  <c r="Q475" i="31"/>
  <c r="M475" i="31"/>
  <c r="I475" i="31"/>
  <c r="E475" i="31"/>
  <c r="Q474" i="31"/>
  <c r="M474" i="31"/>
  <c r="I474" i="31"/>
  <c r="E474" i="31"/>
  <c r="Q473" i="31"/>
  <c r="M473" i="31"/>
  <c r="I473" i="31"/>
  <c r="E473" i="31"/>
  <c r="Q461" i="31"/>
  <c r="M461" i="31"/>
  <c r="I461" i="31"/>
  <c r="E461" i="31"/>
  <c r="P459" i="31"/>
  <c r="O459" i="31"/>
  <c r="N459" i="31"/>
  <c r="L459" i="31"/>
  <c r="K459" i="31"/>
  <c r="J459" i="31"/>
  <c r="H459" i="31"/>
  <c r="G459" i="31"/>
  <c r="F459" i="31"/>
  <c r="D459" i="31"/>
  <c r="C459" i="31"/>
  <c r="B459" i="31"/>
  <c r="P458" i="31"/>
  <c r="O458" i="31"/>
  <c r="N458" i="31"/>
  <c r="L458" i="31"/>
  <c r="K458" i="31"/>
  <c r="J458" i="31"/>
  <c r="H458" i="31"/>
  <c r="G458" i="31"/>
  <c r="F458" i="31"/>
  <c r="D458" i="31"/>
  <c r="C458" i="31"/>
  <c r="B458" i="31"/>
  <c r="Q457" i="31"/>
  <c r="M457" i="31"/>
  <c r="I457" i="31"/>
  <c r="E457" i="31"/>
  <c r="Q456" i="31"/>
  <c r="M456" i="31"/>
  <c r="I456" i="31"/>
  <c r="E456" i="31"/>
  <c r="Q455" i="31"/>
  <c r="M455" i="31"/>
  <c r="I455" i="31"/>
  <c r="E455" i="31"/>
  <c r="Q453" i="31"/>
  <c r="M453" i="31"/>
  <c r="I453" i="31"/>
  <c r="E453" i="31"/>
  <c r="P448" i="31"/>
  <c r="O448" i="31"/>
  <c r="N448" i="31"/>
  <c r="L448" i="31"/>
  <c r="K448" i="31"/>
  <c r="J448" i="31"/>
  <c r="H448" i="31"/>
  <c r="G448" i="31"/>
  <c r="F448" i="31"/>
  <c r="D448" i="31"/>
  <c r="C448" i="31"/>
  <c r="B448" i="31"/>
  <c r="P444" i="31"/>
  <c r="O444" i="31"/>
  <c r="N444" i="31"/>
  <c r="L444" i="31"/>
  <c r="K444" i="31"/>
  <c r="J444" i="31"/>
  <c r="H444" i="31"/>
  <c r="G444" i="31"/>
  <c r="F444" i="31"/>
  <c r="D444" i="31"/>
  <c r="C444" i="31"/>
  <c r="B444" i="31"/>
  <c r="Q442" i="31"/>
  <c r="M442" i="31"/>
  <c r="I442" i="31"/>
  <c r="E442" i="31"/>
  <c r="Q441" i="31"/>
  <c r="M441" i="31"/>
  <c r="I441" i="31"/>
  <c r="E441" i="31"/>
  <c r="P438" i="31"/>
  <c r="O438" i="31"/>
  <c r="N438" i="31"/>
  <c r="L438" i="31"/>
  <c r="K438" i="31"/>
  <c r="J438" i="31"/>
  <c r="H438" i="31"/>
  <c r="G438" i="31"/>
  <c r="F438" i="31"/>
  <c r="D438" i="31"/>
  <c r="C438" i="31"/>
  <c r="B438" i="31"/>
  <c r="Q434" i="31"/>
  <c r="M434" i="31"/>
  <c r="I434" i="31"/>
  <c r="E434" i="31"/>
  <c r="Q433" i="31"/>
  <c r="M433" i="31"/>
  <c r="I433" i="31"/>
  <c r="E433" i="31"/>
  <c r="Q432" i="31"/>
  <c r="M432" i="31"/>
  <c r="I432" i="31"/>
  <c r="E432" i="31"/>
  <c r="Q420" i="31"/>
  <c r="M420" i="31"/>
  <c r="I420" i="31"/>
  <c r="E420" i="31"/>
  <c r="P418" i="31"/>
  <c r="O418" i="31"/>
  <c r="N418" i="31"/>
  <c r="L418" i="31"/>
  <c r="K418" i="31"/>
  <c r="J418" i="31"/>
  <c r="H418" i="31"/>
  <c r="G418" i="31"/>
  <c r="F418" i="31"/>
  <c r="D418" i="31"/>
  <c r="C418" i="31"/>
  <c r="B418" i="31"/>
  <c r="P417" i="31"/>
  <c r="O417" i="31"/>
  <c r="N417" i="31"/>
  <c r="L417" i="31"/>
  <c r="K417" i="31"/>
  <c r="J417" i="31"/>
  <c r="H417" i="31"/>
  <c r="G417" i="31"/>
  <c r="F417" i="31"/>
  <c r="D417" i="31"/>
  <c r="C417" i="31"/>
  <c r="B417" i="31"/>
  <c r="Q416" i="31"/>
  <c r="M416" i="31"/>
  <c r="I416" i="31"/>
  <c r="E416" i="31"/>
  <c r="Q415" i="31"/>
  <c r="M415" i="31"/>
  <c r="I415" i="31"/>
  <c r="E415" i="31"/>
  <c r="P409" i="31"/>
  <c r="O409" i="31"/>
  <c r="N409" i="31"/>
  <c r="L409" i="31"/>
  <c r="K409" i="31"/>
  <c r="J409" i="31"/>
  <c r="H409" i="31"/>
  <c r="G409" i="31"/>
  <c r="F409" i="31"/>
  <c r="D409" i="31"/>
  <c r="C409" i="31"/>
  <c r="B409" i="31"/>
  <c r="P405" i="31"/>
  <c r="O405" i="31"/>
  <c r="N405" i="31"/>
  <c r="L405" i="31"/>
  <c r="K405" i="31"/>
  <c r="G405" i="31"/>
  <c r="F405" i="31"/>
  <c r="D405" i="31"/>
  <c r="C405" i="31"/>
  <c r="B405" i="31"/>
  <c r="Q403" i="31"/>
  <c r="J405" i="31"/>
  <c r="H405" i="31"/>
  <c r="E403" i="31"/>
  <c r="P400" i="31"/>
  <c r="O400" i="31"/>
  <c r="N400" i="31"/>
  <c r="L400" i="31"/>
  <c r="K400" i="31"/>
  <c r="J400" i="31"/>
  <c r="H400" i="31"/>
  <c r="G400" i="31"/>
  <c r="F400" i="31"/>
  <c r="D400" i="31"/>
  <c r="C400" i="31"/>
  <c r="B400" i="31"/>
  <c r="Q397" i="31"/>
  <c r="M397" i="31"/>
  <c r="I397" i="31"/>
  <c r="E397" i="31"/>
  <c r="Q396" i="31"/>
  <c r="M396" i="31"/>
  <c r="I396" i="31"/>
  <c r="E396" i="31"/>
  <c r="Q395" i="31"/>
  <c r="M395" i="31"/>
  <c r="I395" i="31"/>
  <c r="E395" i="31"/>
  <c r="Q393" i="31"/>
  <c r="M393" i="31"/>
  <c r="I393" i="31"/>
  <c r="E393" i="31"/>
  <c r="Q392" i="31"/>
  <c r="M392" i="31"/>
  <c r="I392" i="31"/>
  <c r="E392" i="31"/>
  <c r="Q375" i="31"/>
  <c r="M375" i="31"/>
  <c r="I375" i="31"/>
  <c r="E375" i="31"/>
  <c r="Q374" i="31"/>
  <c r="M374" i="31"/>
  <c r="I374" i="31"/>
  <c r="E374" i="31"/>
  <c r="Q373" i="31"/>
  <c r="M373" i="31"/>
  <c r="I373" i="31"/>
  <c r="E373" i="31"/>
  <c r="P371" i="31"/>
  <c r="O371" i="31"/>
  <c r="N371" i="31"/>
  <c r="L371" i="31"/>
  <c r="K371" i="31"/>
  <c r="J371" i="31"/>
  <c r="H371" i="31"/>
  <c r="G371" i="31"/>
  <c r="F371" i="31"/>
  <c r="D371" i="31"/>
  <c r="C371" i="31"/>
  <c r="B371" i="31"/>
  <c r="P370" i="31"/>
  <c r="O370" i="31"/>
  <c r="N370" i="31"/>
  <c r="L370" i="31"/>
  <c r="K370" i="31"/>
  <c r="J370" i="31"/>
  <c r="H370" i="31"/>
  <c r="G370" i="31"/>
  <c r="F370" i="31"/>
  <c r="D370" i="31"/>
  <c r="C370" i="31"/>
  <c r="B370" i="31"/>
  <c r="Q369" i="31"/>
  <c r="M369" i="31"/>
  <c r="I369" i="31"/>
  <c r="E369" i="31"/>
  <c r="Q368" i="31"/>
  <c r="M368" i="31"/>
  <c r="I368" i="31"/>
  <c r="E368" i="31"/>
  <c r="Q367" i="31"/>
  <c r="M367" i="31"/>
  <c r="I367" i="31"/>
  <c r="E367" i="31"/>
  <c r="Q366" i="31"/>
  <c r="M366" i="31"/>
  <c r="I366" i="31"/>
  <c r="E366" i="31"/>
  <c r="Q365" i="31"/>
  <c r="M365" i="31"/>
  <c r="I365" i="31"/>
  <c r="E365" i="31"/>
  <c r="Q364" i="31"/>
  <c r="M364" i="31"/>
  <c r="I364" i="31"/>
  <c r="E364" i="31"/>
  <c r="Q363" i="31"/>
  <c r="M363" i="31"/>
  <c r="I363" i="31"/>
  <c r="E363" i="31"/>
  <c r="Q362" i="31"/>
  <c r="M362" i="31"/>
  <c r="I362" i="31"/>
  <c r="E362" i="31"/>
  <c r="Q360" i="31"/>
  <c r="M360" i="31"/>
  <c r="I360" i="31"/>
  <c r="E360" i="31"/>
  <c r="Q359" i="31"/>
  <c r="M359" i="31"/>
  <c r="I359" i="31"/>
  <c r="E359" i="31"/>
  <c r="Q358" i="31"/>
  <c r="M358" i="31"/>
  <c r="I358" i="31"/>
  <c r="E358" i="31"/>
  <c r="Q357" i="31"/>
  <c r="M357" i="31"/>
  <c r="I357" i="31"/>
  <c r="E357" i="31"/>
  <c r="Q356" i="31"/>
  <c r="M356" i="31"/>
  <c r="I356" i="31"/>
  <c r="E356" i="31"/>
  <c r="Q355" i="31"/>
  <c r="M355" i="31"/>
  <c r="I355" i="31"/>
  <c r="E355" i="31"/>
  <c r="Q353" i="31"/>
  <c r="M353" i="31"/>
  <c r="I353" i="31"/>
  <c r="E353" i="31"/>
  <c r="Q352" i="31"/>
  <c r="M352" i="31"/>
  <c r="I352" i="31"/>
  <c r="E352" i="31"/>
  <c r="Q349" i="31"/>
  <c r="M349" i="31"/>
  <c r="I349" i="31"/>
  <c r="E349" i="31"/>
  <c r="Q344" i="31"/>
  <c r="M344" i="31"/>
  <c r="I344" i="31"/>
  <c r="E344" i="31"/>
  <c r="Q343" i="31"/>
  <c r="M343" i="31"/>
  <c r="I343" i="31"/>
  <c r="E343" i="31"/>
  <c r="Q342" i="31"/>
  <c r="M342" i="31"/>
  <c r="I342" i="31"/>
  <c r="E342" i="31"/>
  <c r="Q340" i="31"/>
  <c r="M340" i="31"/>
  <c r="I340" i="31"/>
  <c r="E340" i="31"/>
  <c r="Q339" i="31"/>
  <c r="M339" i="31"/>
  <c r="I339" i="31"/>
  <c r="E339" i="31"/>
  <c r="Q338" i="31"/>
  <c r="M338" i="31"/>
  <c r="I338" i="31"/>
  <c r="E338" i="31"/>
  <c r="Q337" i="31"/>
  <c r="M337" i="31"/>
  <c r="I337" i="31"/>
  <c r="E337" i="31"/>
  <c r="Q335" i="31"/>
  <c r="M335" i="31"/>
  <c r="I335" i="31"/>
  <c r="E335" i="31"/>
  <c r="Q333" i="31"/>
  <c r="M333" i="31"/>
  <c r="I333" i="31"/>
  <c r="E333" i="31"/>
  <c r="Q331" i="31"/>
  <c r="M331" i="31"/>
  <c r="I331" i="31"/>
  <c r="E331" i="31"/>
  <c r="Q330" i="31"/>
  <c r="M330" i="31"/>
  <c r="I330" i="31"/>
  <c r="E330" i="31"/>
  <c r="Q329" i="31"/>
  <c r="M329" i="31"/>
  <c r="I329" i="31"/>
  <c r="E329" i="31"/>
  <c r="Q328" i="31"/>
  <c r="M328" i="31"/>
  <c r="I328" i="31"/>
  <c r="E328" i="31"/>
  <c r="Q327" i="31"/>
  <c r="M327" i="31"/>
  <c r="I327" i="31"/>
  <c r="E327" i="31"/>
  <c r="Q325" i="31"/>
  <c r="M325" i="31"/>
  <c r="I325" i="31"/>
  <c r="E325" i="31"/>
  <c r="Q324" i="31"/>
  <c r="M324" i="31"/>
  <c r="I324" i="31"/>
  <c r="E324" i="31"/>
  <c r="Q323" i="31"/>
  <c r="M323" i="31"/>
  <c r="I323" i="31"/>
  <c r="E323" i="31"/>
  <c r="Q321" i="31"/>
  <c r="M321" i="31"/>
  <c r="I321" i="31"/>
  <c r="E321" i="31"/>
  <c r="Q320" i="31"/>
  <c r="M320" i="31"/>
  <c r="I320" i="31"/>
  <c r="E320" i="31"/>
  <c r="Q319" i="31"/>
  <c r="M319" i="31"/>
  <c r="I319" i="31"/>
  <c r="E319" i="31"/>
  <c r="Q317" i="31"/>
  <c r="M317" i="31"/>
  <c r="I317" i="31"/>
  <c r="E317" i="31"/>
  <c r="Q316" i="31"/>
  <c r="M316" i="31"/>
  <c r="I316" i="31"/>
  <c r="E316" i="31"/>
  <c r="P313" i="31"/>
  <c r="O313" i="31"/>
  <c r="N313" i="31"/>
  <c r="L313" i="31"/>
  <c r="C313" i="31"/>
  <c r="B313" i="31"/>
  <c r="Q311" i="31"/>
  <c r="M311" i="31"/>
  <c r="I311" i="31"/>
  <c r="E311" i="31"/>
  <c r="Q310" i="31"/>
  <c r="M310" i="31"/>
  <c r="I310" i="31"/>
  <c r="E310" i="31"/>
  <c r="Q309" i="31"/>
  <c r="M309" i="31"/>
  <c r="I309" i="31"/>
  <c r="E309" i="31"/>
  <c r="Q308" i="31"/>
  <c r="M308" i="31"/>
  <c r="I308" i="31"/>
  <c r="E308" i="31"/>
  <c r="Q307" i="31"/>
  <c r="M307" i="31"/>
  <c r="I307" i="31"/>
  <c r="E307" i="31"/>
  <c r="Q306" i="31"/>
  <c r="K721" i="31"/>
  <c r="J721" i="31"/>
  <c r="H721" i="31"/>
  <c r="G721" i="31"/>
  <c r="F721" i="31"/>
  <c r="E306" i="31"/>
  <c r="D721" i="31"/>
  <c r="Q305" i="31"/>
  <c r="M305" i="31"/>
  <c r="I305" i="31"/>
  <c r="E305" i="31"/>
  <c r="Q304" i="31"/>
  <c r="M304" i="31"/>
  <c r="I304" i="31"/>
  <c r="E304" i="31"/>
  <c r="N300" i="31"/>
  <c r="J300" i="31"/>
  <c r="D300" i="31"/>
  <c r="B300" i="31"/>
  <c r="Q298" i="31"/>
  <c r="M298" i="31"/>
  <c r="I298" i="31"/>
  <c r="E298" i="31"/>
  <c r="Q297" i="31"/>
  <c r="M297" i="31"/>
  <c r="I297" i="31"/>
  <c r="E297" i="31"/>
  <c r="Q296" i="31"/>
  <c r="M296" i="31"/>
  <c r="I296" i="31"/>
  <c r="E296" i="31"/>
  <c r="Q295" i="31"/>
  <c r="M295" i="31"/>
  <c r="I295" i="31"/>
  <c r="E295" i="31"/>
  <c r="Q293" i="31"/>
  <c r="M293" i="31"/>
  <c r="I293" i="31"/>
  <c r="E293" i="31"/>
  <c r="Q292" i="31"/>
  <c r="M292" i="31"/>
  <c r="I292" i="31"/>
  <c r="E292" i="31"/>
  <c r="Q291" i="31"/>
  <c r="M291" i="31"/>
  <c r="I291" i="31"/>
  <c r="E291" i="31"/>
  <c r="Q290" i="31"/>
  <c r="M290" i="31"/>
  <c r="I290" i="31"/>
  <c r="E290" i="31"/>
  <c r="Q289" i="31"/>
  <c r="M289" i="31"/>
  <c r="I289" i="31"/>
  <c r="E289" i="31"/>
  <c r="Q288" i="31"/>
  <c r="M288" i="31"/>
  <c r="I288" i="31"/>
  <c r="E288" i="31"/>
  <c r="Q287" i="31"/>
  <c r="M287" i="31"/>
  <c r="I287" i="31"/>
  <c r="Q286" i="31"/>
  <c r="M286" i="31"/>
  <c r="I286" i="31"/>
  <c r="E286" i="31"/>
  <c r="Q285" i="31"/>
  <c r="M285" i="31"/>
  <c r="I285" i="31"/>
  <c r="E285" i="31"/>
  <c r="Q284" i="31"/>
  <c r="M284" i="31"/>
  <c r="I284" i="31"/>
  <c r="Q283" i="31"/>
  <c r="M283" i="31"/>
  <c r="I283" i="31"/>
  <c r="E283" i="31"/>
  <c r="Q282" i="31"/>
  <c r="I282" i="31"/>
  <c r="E282" i="31"/>
  <c r="Q281" i="31"/>
  <c r="M281" i="31"/>
  <c r="I281" i="31"/>
  <c r="E281" i="31"/>
  <c r="Q280" i="31"/>
  <c r="M280" i="31"/>
  <c r="I280" i="31"/>
  <c r="E280" i="31"/>
  <c r="Q278" i="31"/>
  <c r="M278" i="31"/>
  <c r="I278" i="31"/>
  <c r="E278" i="31"/>
  <c r="Q277" i="31"/>
  <c r="M277" i="31"/>
  <c r="I277" i="31"/>
  <c r="E277" i="31"/>
  <c r="Q276" i="31"/>
  <c r="M276" i="31"/>
  <c r="I276" i="31"/>
  <c r="E276" i="31"/>
  <c r="Q275" i="31"/>
  <c r="M275" i="31"/>
  <c r="I275" i="31"/>
  <c r="E275" i="31"/>
  <c r="Q274" i="31"/>
  <c r="M274" i="31"/>
  <c r="I274" i="31"/>
  <c r="E274" i="31"/>
  <c r="Q272" i="31"/>
  <c r="M272" i="31"/>
  <c r="I272" i="31"/>
  <c r="E272" i="31"/>
  <c r="Q271" i="31"/>
  <c r="M271" i="31"/>
  <c r="I271" i="31"/>
  <c r="E271" i="31"/>
  <c r="Q270" i="31"/>
  <c r="M270" i="31"/>
  <c r="I270" i="31"/>
  <c r="E270" i="31"/>
  <c r="Q269" i="31"/>
  <c r="M269" i="31"/>
  <c r="I269" i="31"/>
  <c r="E269" i="31"/>
  <c r="Q268" i="31"/>
  <c r="M268" i="31"/>
  <c r="I268" i="31"/>
  <c r="E268" i="31"/>
  <c r="P259" i="31"/>
  <c r="P260" i="31" s="1"/>
  <c r="N809" i="31" s="1"/>
  <c r="O259" i="31"/>
  <c r="O260" i="31" s="1"/>
  <c r="N808" i="31" s="1"/>
  <c r="N259" i="31"/>
  <c r="N260" i="31" s="1"/>
  <c r="N807" i="31" s="1"/>
  <c r="L259" i="31"/>
  <c r="L260" i="31" s="1"/>
  <c r="N806" i="31" s="1"/>
  <c r="K259" i="31"/>
  <c r="J259" i="31"/>
  <c r="J260" i="31" s="1"/>
  <c r="N804" i="31" s="1"/>
  <c r="H260" i="31"/>
  <c r="N803" i="31" s="1"/>
  <c r="G260" i="31"/>
  <c r="N802" i="31" s="1"/>
  <c r="F259" i="31"/>
  <c r="F260" i="31" s="1"/>
  <c r="N801" i="31" s="1"/>
  <c r="D259" i="31"/>
  <c r="D260" i="31" s="1"/>
  <c r="N800" i="31" s="1"/>
  <c r="C259" i="31"/>
  <c r="B259" i="31"/>
  <c r="B260" i="31" s="1"/>
  <c r="N798" i="31" s="1"/>
  <c r="Q257" i="31"/>
  <c r="M257" i="31"/>
  <c r="I257" i="31"/>
  <c r="E257" i="31"/>
  <c r="Q246" i="31"/>
  <c r="M246" i="31"/>
  <c r="I246" i="31"/>
  <c r="E246" i="31"/>
  <c r="Q245" i="31"/>
  <c r="M245" i="31"/>
  <c r="I245" i="31"/>
  <c r="E245" i="31"/>
  <c r="Q242" i="31"/>
  <c r="M242" i="31"/>
  <c r="I242" i="31"/>
  <c r="E242" i="31"/>
  <c r="Q241" i="31"/>
  <c r="M241" i="31"/>
  <c r="I241" i="31"/>
  <c r="E241" i="31"/>
  <c r="P239" i="31"/>
  <c r="O239" i="31"/>
  <c r="N239" i="31"/>
  <c r="L239" i="31"/>
  <c r="K239" i="31"/>
  <c r="J239" i="31"/>
  <c r="H239" i="31"/>
  <c r="G239" i="31"/>
  <c r="F239" i="31"/>
  <c r="D239" i="31"/>
  <c r="C239" i="31"/>
  <c r="B239" i="31"/>
  <c r="P238" i="31"/>
  <c r="O238" i="31"/>
  <c r="N238" i="31"/>
  <c r="L238" i="31"/>
  <c r="K238" i="31"/>
  <c r="J238" i="31"/>
  <c r="H238" i="31"/>
  <c r="G238" i="31"/>
  <c r="F238" i="31"/>
  <c r="D238" i="31"/>
  <c r="C238" i="31"/>
  <c r="B238" i="31"/>
  <c r="Q235" i="31"/>
  <c r="M235" i="31"/>
  <c r="I235" i="31"/>
  <c r="E235" i="31"/>
  <c r="Q234" i="31"/>
  <c r="M234" i="31"/>
  <c r="I234" i="31"/>
  <c r="E234" i="31"/>
  <c r="Q233" i="31"/>
  <c r="M233" i="31"/>
  <c r="I233" i="31"/>
  <c r="E233" i="31"/>
  <c r="Q232" i="31"/>
  <c r="M232" i="31"/>
  <c r="I232" i="31"/>
  <c r="E232" i="31"/>
  <c r="Q231" i="31"/>
  <c r="M231" i="31"/>
  <c r="I231" i="31"/>
  <c r="E231" i="31"/>
  <c r="Q230" i="31"/>
  <c r="M230" i="31"/>
  <c r="I230" i="31"/>
  <c r="E230" i="31"/>
  <c r="Q229" i="31"/>
  <c r="M229" i="31"/>
  <c r="I229" i="31"/>
  <c r="E229" i="31"/>
  <c r="Q228" i="31"/>
  <c r="M228" i="31"/>
  <c r="I228" i="31"/>
  <c r="E228" i="31"/>
  <c r="Q225" i="31"/>
  <c r="M225" i="31"/>
  <c r="I225" i="31"/>
  <c r="E225" i="31"/>
  <c r="Q224" i="31"/>
  <c r="M224" i="31"/>
  <c r="I224" i="31"/>
  <c r="E224" i="31"/>
  <c r="Q223" i="31"/>
  <c r="M223" i="31"/>
  <c r="I223" i="31"/>
  <c r="E223" i="31"/>
  <c r="F219" i="31"/>
  <c r="D219" i="31"/>
  <c r="C219" i="31"/>
  <c r="B219" i="31"/>
  <c r="Q218" i="31"/>
  <c r="M218" i="31"/>
  <c r="I218" i="31"/>
  <c r="E218" i="31"/>
  <c r="Q217" i="31"/>
  <c r="M217" i="31"/>
  <c r="I217" i="31"/>
  <c r="E217" i="31"/>
  <c r="Q216" i="31"/>
  <c r="M216" i="31"/>
  <c r="I216" i="31"/>
  <c r="E216" i="31"/>
  <c r="Q215" i="31"/>
  <c r="M215" i="31"/>
  <c r="I215" i="31"/>
  <c r="E215" i="31"/>
  <c r="Q214" i="31"/>
  <c r="M214" i="31"/>
  <c r="I214" i="31"/>
  <c r="E214" i="31"/>
  <c r="Q213" i="31"/>
  <c r="M213" i="31"/>
  <c r="I213" i="31"/>
  <c r="E213" i="31"/>
  <c r="Q212" i="31"/>
  <c r="M212" i="31"/>
  <c r="I212" i="31"/>
  <c r="E212" i="31"/>
  <c r="Q211" i="31"/>
  <c r="M211" i="31"/>
  <c r="I211" i="31"/>
  <c r="E211" i="31"/>
  <c r="Q210" i="31"/>
  <c r="M210" i="31"/>
  <c r="I210" i="31"/>
  <c r="E210" i="31"/>
  <c r="E209" i="31"/>
  <c r="Q208" i="31"/>
  <c r="M208" i="31"/>
  <c r="I208" i="31"/>
  <c r="E208" i="31"/>
  <c r="Q207" i="31"/>
  <c r="M207" i="31"/>
  <c r="I207" i="31"/>
  <c r="E207" i="31"/>
  <c r="Q206" i="31"/>
  <c r="M206" i="31"/>
  <c r="I206" i="31"/>
  <c r="E206" i="31"/>
  <c r="Q205" i="31"/>
  <c r="M205" i="31"/>
  <c r="I205" i="31"/>
  <c r="E205" i="31"/>
  <c r="Q204" i="31"/>
  <c r="M204" i="31"/>
  <c r="E204" i="31"/>
  <c r="Q203" i="31"/>
  <c r="M203" i="31"/>
  <c r="I203" i="31"/>
  <c r="E203" i="31"/>
  <c r="Q202" i="31"/>
  <c r="M202" i="31"/>
  <c r="I202" i="31"/>
  <c r="E202" i="31"/>
  <c r="Q201" i="31"/>
  <c r="M201" i="31"/>
  <c r="I201" i="31"/>
  <c r="E201" i="31"/>
  <c r="Q200" i="31"/>
  <c r="M200" i="31"/>
  <c r="I200" i="31"/>
  <c r="E200" i="31"/>
  <c r="Q199" i="31"/>
  <c r="M199" i="31"/>
  <c r="I199" i="31"/>
  <c r="E199" i="31"/>
  <c r="Q198" i="31"/>
  <c r="M198" i="31"/>
  <c r="I198" i="31"/>
  <c r="E198" i="31"/>
  <c r="Q197" i="31"/>
  <c r="M197" i="31"/>
  <c r="I197" i="31"/>
  <c r="Q196" i="31"/>
  <c r="M196" i="31"/>
  <c r="I196" i="31"/>
  <c r="E196" i="31"/>
  <c r="Q195" i="31"/>
  <c r="M195" i="31"/>
  <c r="I195" i="31"/>
  <c r="E195" i="31"/>
  <c r="Q194" i="31"/>
  <c r="M194" i="31"/>
  <c r="I194" i="31"/>
  <c r="E194" i="31"/>
  <c r="Q192" i="31"/>
  <c r="M192" i="31"/>
  <c r="I192" i="31"/>
  <c r="E192" i="31"/>
  <c r="Q191" i="31"/>
  <c r="M191" i="31"/>
  <c r="I191" i="31"/>
  <c r="E191" i="31"/>
  <c r="Q190" i="31"/>
  <c r="M190" i="31"/>
  <c r="I190" i="31"/>
  <c r="E190" i="31"/>
  <c r="Q189" i="31"/>
  <c r="M189" i="31"/>
  <c r="I189" i="31"/>
  <c r="E189" i="31"/>
  <c r="Q188" i="31"/>
  <c r="M188" i="31"/>
  <c r="I188" i="31"/>
  <c r="Q187" i="31"/>
  <c r="M187" i="31"/>
  <c r="I187" i="31"/>
  <c r="E187" i="31"/>
  <c r="Q186" i="31"/>
  <c r="M186" i="31"/>
  <c r="I186" i="31"/>
  <c r="E186" i="31"/>
  <c r="P182" i="31"/>
  <c r="O182" i="31"/>
  <c r="N182" i="31"/>
  <c r="L182" i="31"/>
  <c r="K182" i="31"/>
  <c r="J182" i="31"/>
  <c r="H182" i="31"/>
  <c r="G182" i="31"/>
  <c r="F182" i="31"/>
  <c r="D182" i="31"/>
  <c r="C182" i="31"/>
  <c r="B182" i="31"/>
  <c r="Q180" i="31"/>
  <c r="M180" i="31"/>
  <c r="I180" i="31"/>
  <c r="E180" i="31"/>
  <c r="P176" i="31"/>
  <c r="O176" i="31"/>
  <c r="N176" i="31"/>
  <c r="L176" i="31"/>
  <c r="K176" i="31"/>
  <c r="J176" i="31"/>
  <c r="H176" i="31"/>
  <c r="G176" i="31"/>
  <c r="F176" i="31"/>
  <c r="D176" i="31"/>
  <c r="C176" i="31"/>
  <c r="B176" i="31"/>
  <c r="Q174" i="31"/>
  <c r="M174" i="31"/>
  <c r="I174" i="31"/>
  <c r="E174" i="31"/>
  <c r="Q173" i="31"/>
  <c r="M173" i="31"/>
  <c r="I173" i="31"/>
  <c r="E173" i="31"/>
  <c r="Q172" i="31"/>
  <c r="M172" i="31"/>
  <c r="I172" i="31"/>
  <c r="E172" i="31"/>
  <c r="Q170" i="31"/>
  <c r="M170" i="31"/>
  <c r="I170" i="31"/>
  <c r="E170" i="31"/>
  <c r="Q168" i="31"/>
  <c r="M168" i="31"/>
  <c r="I168" i="31"/>
  <c r="E168" i="31"/>
  <c r="Q167" i="31"/>
  <c r="M167" i="31"/>
  <c r="I167" i="31"/>
  <c r="E167" i="31"/>
  <c r="Q166" i="31"/>
  <c r="M166" i="31"/>
  <c r="I166" i="31"/>
  <c r="E166" i="31"/>
  <c r="Q163" i="31"/>
  <c r="M163" i="31"/>
  <c r="I163" i="31"/>
  <c r="E163" i="31"/>
  <c r="Q162" i="31"/>
  <c r="M162" i="31"/>
  <c r="I162" i="31"/>
  <c r="E162" i="31"/>
  <c r="M161" i="31"/>
  <c r="I161" i="31"/>
  <c r="E161" i="31"/>
  <c r="Q160" i="31"/>
  <c r="M160" i="31"/>
  <c r="I160" i="31"/>
  <c r="E160" i="31"/>
  <c r="Q158" i="31"/>
  <c r="M158" i="31"/>
  <c r="I158" i="31"/>
  <c r="E158" i="31"/>
  <c r="Q157" i="31"/>
  <c r="M157" i="31"/>
  <c r="I157" i="31"/>
  <c r="E157" i="31"/>
  <c r="Q156" i="31"/>
  <c r="M156" i="31"/>
  <c r="I156" i="31"/>
  <c r="E156" i="31"/>
  <c r="Q155" i="31"/>
  <c r="M155" i="31"/>
  <c r="I155" i="31"/>
  <c r="E155" i="31"/>
  <c r="Q154" i="31"/>
  <c r="M154" i="31"/>
  <c r="I154" i="31"/>
  <c r="E154" i="31"/>
  <c r="Q153" i="31"/>
  <c r="M153" i="31"/>
  <c r="I153" i="31"/>
  <c r="E153" i="31"/>
  <c r="Q152" i="31"/>
  <c r="M152" i="31"/>
  <c r="I152" i="31"/>
  <c r="E152" i="31"/>
  <c r="Q151" i="31"/>
  <c r="M151" i="31"/>
  <c r="I151" i="31"/>
  <c r="E151" i="31"/>
  <c r="Q149" i="31"/>
  <c r="M149" i="31"/>
  <c r="I149" i="31"/>
  <c r="E149" i="31"/>
  <c r="Q148" i="31"/>
  <c r="M148" i="31"/>
  <c r="I148" i="31"/>
  <c r="E148" i="31"/>
  <c r="Q147" i="31"/>
  <c r="M147" i="31"/>
  <c r="I147" i="31"/>
  <c r="E147" i="31"/>
  <c r="Q146" i="31"/>
  <c r="M146" i="31"/>
  <c r="I146" i="31"/>
  <c r="E146" i="31"/>
  <c r="Q145" i="31"/>
  <c r="M145" i="31"/>
  <c r="I145" i="31"/>
  <c r="E145" i="31"/>
  <c r="Q144" i="31"/>
  <c r="M144" i="31"/>
  <c r="I144" i="31"/>
  <c r="E144" i="31"/>
  <c r="Q143" i="31"/>
  <c r="M143" i="31"/>
  <c r="I143" i="31"/>
  <c r="E143" i="31"/>
  <c r="Q142" i="31"/>
  <c r="M142" i="31"/>
  <c r="I142" i="31"/>
  <c r="E142" i="31"/>
  <c r="Q141" i="31"/>
  <c r="M141" i="31"/>
  <c r="I141" i="31"/>
  <c r="E141" i="31"/>
  <c r="Q140" i="31"/>
  <c r="M140" i="31"/>
  <c r="I140" i="31"/>
  <c r="E140" i="31"/>
  <c r="Q139" i="31"/>
  <c r="M139" i="31"/>
  <c r="I139" i="31"/>
  <c r="E139" i="31"/>
  <c r="Q138" i="31"/>
  <c r="M138" i="31"/>
  <c r="I138" i="31"/>
  <c r="Q137" i="31"/>
  <c r="M137" i="31"/>
  <c r="I137" i="31"/>
  <c r="E137" i="31"/>
  <c r="Q136" i="31"/>
  <c r="Q124" i="31"/>
  <c r="M124" i="31"/>
  <c r="I124" i="31"/>
  <c r="E124" i="31"/>
  <c r="P122" i="31"/>
  <c r="O122" i="31"/>
  <c r="N122" i="31"/>
  <c r="L122" i="31"/>
  <c r="K122" i="31"/>
  <c r="J122" i="31"/>
  <c r="H122" i="31"/>
  <c r="G122" i="31"/>
  <c r="F122" i="31"/>
  <c r="D122" i="31"/>
  <c r="C122" i="31"/>
  <c r="B122" i="31"/>
  <c r="P121" i="31"/>
  <c r="O121" i="31"/>
  <c r="N121" i="31"/>
  <c r="L121" i="31"/>
  <c r="K121" i="31"/>
  <c r="J121" i="31"/>
  <c r="H121" i="31"/>
  <c r="G121" i="31"/>
  <c r="F121" i="31"/>
  <c r="D121" i="31"/>
  <c r="C121" i="31"/>
  <c r="B121" i="31"/>
  <c r="Q119" i="31"/>
  <c r="M119" i="31"/>
  <c r="I119" i="31"/>
  <c r="E119" i="31"/>
  <c r="Q117" i="31"/>
  <c r="M117" i="31"/>
  <c r="I117" i="31"/>
  <c r="E117" i="31"/>
  <c r="Q116" i="31"/>
  <c r="M116" i="31"/>
  <c r="I116" i="31"/>
  <c r="E116" i="31"/>
  <c r="Q114" i="31"/>
  <c r="M114" i="31"/>
  <c r="I114" i="31"/>
  <c r="E114" i="31"/>
  <c r="Q113" i="31"/>
  <c r="M113" i="31"/>
  <c r="I113" i="31"/>
  <c r="E113" i="31"/>
  <c r="Q112" i="31"/>
  <c r="M112" i="31"/>
  <c r="I112" i="31"/>
  <c r="E112" i="31"/>
  <c r="Q111" i="31"/>
  <c r="M111" i="31"/>
  <c r="I111" i="31"/>
  <c r="E111" i="31"/>
  <c r="Q110" i="31"/>
  <c r="M110" i="31"/>
  <c r="I110" i="31"/>
  <c r="E110" i="31"/>
  <c r="Q109" i="31"/>
  <c r="M109" i="31"/>
  <c r="I109" i="31"/>
  <c r="E109" i="31"/>
  <c r="Q108" i="31"/>
  <c r="M108" i="31"/>
  <c r="I108" i="31"/>
  <c r="E108" i="31"/>
  <c r="P105" i="31"/>
  <c r="O105" i="31"/>
  <c r="N105" i="31"/>
  <c r="L105" i="31"/>
  <c r="K105" i="31"/>
  <c r="J105" i="31"/>
  <c r="H105" i="31"/>
  <c r="G105" i="31"/>
  <c r="F105" i="31"/>
  <c r="D105" i="31"/>
  <c r="C105" i="31"/>
  <c r="B105" i="31"/>
  <c r="Q104" i="31"/>
  <c r="M104" i="31"/>
  <c r="I104" i="31"/>
  <c r="E104" i="31"/>
  <c r="Q103" i="31"/>
  <c r="M103" i="31"/>
  <c r="I103" i="31"/>
  <c r="E103" i="31"/>
  <c r="Q102" i="31"/>
  <c r="M102" i="31"/>
  <c r="I102" i="31"/>
  <c r="E102" i="31"/>
  <c r="Q101" i="31"/>
  <c r="M101" i="31"/>
  <c r="I101" i="31"/>
  <c r="E101" i="31"/>
  <c r="Q100" i="31"/>
  <c r="M100" i="31"/>
  <c r="I100" i="31"/>
  <c r="E100" i="31"/>
  <c r="Q99" i="31"/>
  <c r="M99" i="31"/>
  <c r="I99" i="31"/>
  <c r="E99" i="31"/>
  <c r="Q98" i="31"/>
  <c r="M98" i="31"/>
  <c r="I98" i="31"/>
  <c r="E98" i="31"/>
  <c r="P94" i="31"/>
  <c r="O94" i="31"/>
  <c r="N94" i="31"/>
  <c r="L94" i="31"/>
  <c r="K94" i="31"/>
  <c r="J94" i="31"/>
  <c r="H94" i="31"/>
  <c r="G94" i="31"/>
  <c r="F94" i="31"/>
  <c r="D94" i="31"/>
  <c r="C94" i="31"/>
  <c r="B94" i="31"/>
  <c r="Q92" i="31"/>
  <c r="M92" i="31"/>
  <c r="I92" i="31"/>
  <c r="E92" i="31"/>
  <c r="Q91" i="31"/>
  <c r="M91" i="31"/>
  <c r="I91" i="31"/>
  <c r="E91" i="31"/>
  <c r="P87" i="31"/>
  <c r="O87" i="31"/>
  <c r="N87" i="31"/>
  <c r="L87" i="31"/>
  <c r="K87" i="31"/>
  <c r="J87" i="31"/>
  <c r="H87" i="31"/>
  <c r="G87" i="31"/>
  <c r="F87" i="31"/>
  <c r="D87" i="31"/>
  <c r="C87" i="31"/>
  <c r="C123" i="31" s="1"/>
  <c r="C126" i="31" s="1"/>
  <c r="B87" i="31"/>
  <c r="Q85" i="31"/>
  <c r="M85" i="31"/>
  <c r="I85" i="31"/>
  <c r="E85" i="31"/>
  <c r="Q84" i="31"/>
  <c r="M84" i="31"/>
  <c r="I84" i="31"/>
  <c r="E84" i="31"/>
  <c r="Q82" i="31"/>
  <c r="M82" i="31"/>
  <c r="I82" i="31"/>
  <c r="E82" i="31"/>
  <c r="Q81" i="31"/>
  <c r="M81" i="31"/>
  <c r="I81" i="31"/>
  <c r="E81" i="31"/>
  <c r="Q79" i="31"/>
  <c r="M79" i="31"/>
  <c r="I79" i="31"/>
  <c r="E79" i="31"/>
  <c r="Q78" i="31"/>
  <c r="M78" i="31"/>
  <c r="I78" i="31"/>
  <c r="E78" i="31"/>
  <c r="Q77" i="31"/>
  <c r="M77" i="31"/>
  <c r="I77" i="31"/>
  <c r="E77" i="31"/>
  <c r="Q76" i="31"/>
  <c r="M76" i="31"/>
  <c r="I76" i="31"/>
  <c r="E76" i="31"/>
  <c r="Q75" i="31"/>
  <c r="M75" i="31"/>
  <c r="I75" i="31"/>
  <c r="E75" i="31"/>
  <c r="Q74" i="31"/>
  <c r="M74" i="31"/>
  <c r="I74" i="31"/>
  <c r="E74" i="31"/>
  <c r="Q73" i="31"/>
  <c r="M73" i="31"/>
  <c r="I73" i="31"/>
  <c r="E73" i="31"/>
  <c r="Q61" i="31"/>
  <c r="M61" i="31"/>
  <c r="I61" i="31"/>
  <c r="E61" i="31"/>
  <c r="P59" i="31"/>
  <c r="O59" i="31"/>
  <c r="N59" i="31"/>
  <c r="L59" i="31"/>
  <c r="K59" i="31"/>
  <c r="J59" i="31"/>
  <c r="H59" i="31"/>
  <c r="G59" i="31"/>
  <c r="F59" i="31"/>
  <c r="D59" i="31"/>
  <c r="C59" i="31"/>
  <c r="B59" i="31"/>
  <c r="P58" i="31"/>
  <c r="O58" i="31"/>
  <c r="N58" i="31"/>
  <c r="L58" i="31"/>
  <c r="K58" i="31"/>
  <c r="J58" i="31"/>
  <c r="H58" i="31"/>
  <c r="G58" i="31"/>
  <c r="F58" i="31"/>
  <c r="D58" i="31"/>
  <c r="C58" i="31"/>
  <c r="B58" i="31"/>
  <c r="Q55" i="31"/>
  <c r="M55" i="31"/>
  <c r="I55" i="31"/>
  <c r="E55" i="31"/>
  <c r="P51" i="31"/>
  <c r="O51" i="31"/>
  <c r="N51" i="31"/>
  <c r="L51" i="31"/>
  <c r="K51" i="31"/>
  <c r="J51" i="31"/>
  <c r="H51" i="31"/>
  <c r="G51" i="31"/>
  <c r="F51" i="31"/>
  <c r="D51" i="31"/>
  <c r="C51" i="31"/>
  <c r="B51" i="31"/>
  <c r="P47" i="31"/>
  <c r="O47" i="31"/>
  <c r="N47" i="31"/>
  <c r="L47" i="31"/>
  <c r="K47" i="31"/>
  <c r="J47" i="31"/>
  <c r="H47" i="31"/>
  <c r="G47" i="31"/>
  <c r="F47" i="31"/>
  <c r="D47" i="31"/>
  <c r="C47" i="31"/>
  <c r="B47" i="31"/>
  <c r="P42" i="31"/>
  <c r="O42" i="31"/>
  <c r="N42" i="31"/>
  <c r="L42" i="31"/>
  <c r="K42" i="31"/>
  <c r="J42" i="31"/>
  <c r="H42" i="31"/>
  <c r="G42" i="31"/>
  <c r="F42" i="31"/>
  <c r="D42" i="31"/>
  <c r="C42" i="31"/>
  <c r="B42" i="31"/>
  <c r="Q39" i="31"/>
  <c r="M39" i="31"/>
  <c r="I39" i="31"/>
  <c r="E39" i="31"/>
  <c r="P28" i="31"/>
  <c r="O28" i="31"/>
  <c r="N28" i="31"/>
  <c r="L28" i="31"/>
  <c r="L29" i="31" s="1"/>
  <c r="K28" i="31"/>
  <c r="K29" i="31" s="1"/>
  <c r="J28" i="31"/>
  <c r="J29" i="31" s="1"/>
  <c r="H28" i="31"/>
  <c r="G28" i="31"/>
  <c r="F28" i="31"/>
  <c r="D28" i="31"/>
  <c r="D29" i="31" s="1"/>
  <c r="C28" i="31"/>
  <c r="C29" i="31" s="1"/>
  <c r="B28" i="31"/>
  <c r="Q26" i="31"/>
  <c r="M26" i="31"/>
  <c r="I26" i="31"/>
  <c r="E26" i="31"/>
  <c r="O19" i="31"/>
  <c r="N19" i="31"/>
  <c r="L19" i="31"/>
  <c r="K19" i="31"/>
  <c r="H19" i="31"/>
  <c r="G19" i="31"/>
  <c r="F19" i="31"/>
  <c r="D19" i="31"/>
  <c r="C19" i="31"/>
  <c r="B19" i="31"/>
  <c r="P18" i="31"/>
  <c r="O18" i="31"/>
  <c r="N18" i="31"/>
  <c r="L18" i="31"/>
  <c r="K18" i="31"/>
  <c r="J18" i="31"/>
  <c r="H18" i="31"/>
  <c r="G18" i="31"/>
  <c r="F18" i="31"/>
  <c r="D18" i="31"/>
  <c r="C18" i="31"/>
  <c r="B18" i="31"/>
  <c r="P17" i="31"/>
  <c r="O17" i="31"/>
  <c r="N17" i="31"/>
  <c r="L17" i="31"/>
  <c r="K17" i="31"/>
  <c r="H17" i="31"/>
  <c r="G17" i="31"/>
  <c r="F17" i="31"/>
  <c r="D17" i="31"/>
  <c r="C17" i="31"/>
  <c r="B17" i="31"/>
  <c r="O16" i="31"/>
  <c r="N16" i="31"/>
  <c r="L16" i="31"/>
  <c r="K16" i="31"/>
  <c r="J16" i="31"/>
  <c r="H16" i="31"/>
  <c r="G16" i="31"/>
  <c r="F16" i="31"/>
  <c r="D16" i="31"/>
  <c r="C16" i="31"/>
  <c r="B16" i="31"/>
  <c r="P15" i="31"/>
  <c r="O15" i="31"/>
  <c r="N15" i="31"/>
  <c r="L15" i="31"/>
  <c r="K15" i="31"/>
  <c r="J15" i="31"/>
  <c r="H15" i="31"/>
  <c r="G15" i="31"/>
  <c r="F15" i="31"/>
  <c r="D15" i="31"/>
  <c r="C15" i="31"/>
  <c r="B15" i="31"/>
  <c r="R1" i="31"/>
  <c r="D644" i="31" l="1"/>
  <c r="D648" i="31" s="1"/>
  <c r="J123" i="31"/>
  <c r="J126" i="31" s="1"/>
  <c r="N123" i="31"/>
  <c r="N126" i="31" s="1"/>
  <c r="O123" i="31"/>
  <c r="O126" i="31" s="1"/>
  <c r="O127" i="31" s="1"/>
  <c r="B601" i="31"/>
  <c r="B604" i="31" s="1"/>
  <c r="H601" i="31"/>
  <c r="H604" i="31" s="1"/>
  <c r="H605" i="31" s="1"/>
  <c r="H644" i="31"/>
  <c r="H648" i="31" s="1"/>
  <c r="H649" i="31" s="1"/>
  <c r="B644" i="31"/>
  <c r="B648" i="31" s="1"/>
  <c r="O300" i="31"/>
  <c r="O372" i="31" s="1"/>
  <c r="O377" i="31" s="1"/>
  <c r="O378" i="31" s="1"/>
  <c r="E716" i="31"/>
  <c r="K736" i="31"/>
  <c r="K758" i="31" s="1"/>
  <c r="L513" i="31"/>
  <c r="L516" i="31" s="1"/>
  <c r="L517" i="31" s="1"/>
  <c r="O513" i="31"/>
  <c r="O516" i="31" s="1"/>
  <c r="O517" i="31" s="1"/>
  <c r="B513" i="31"/>
  <c r="B516" i="31" s="1"/>
  <c r="F832" i="31"/>
  <c r="F834" i="31"/>
  <c r="F836" i="31"/>
  <c r="G840" i="31"/>
  <c r="G842" i="31"/>
  <c r="G834" i="31"/>
  <c r="F837" i="31"/>
  <c r="F841" i="31"/>
  <c r="I716" i="31"/>
  <c r="F831" i="31"/>
  <c r="F833" i="31"/>
  <c r="F835" i="31"/>
  <c r="G837" i="31"/>
  <c r="G839" i="31"/>
  <c r="G841" i="31"/>
  <c r="F839" i="31"/>
  <c r="G831" i="31"/>
  <c r="F838" i="31"/>
  <c r="F842" i="31"/>
  <c r="D601" i="31"/>
  <c r="D604" i="31" s="1"/>
  <c r="D605" i="31" s="1"/>
  <c r="J644" i="31"/>
  <c r="J648" i="31" s="1"/>
  <c r="B123" i="31"/>
  <c r="B126" i="31" s="1"/>
  <c r="N644" i="31"/>
  <c r="N648" i="31" s="1"/>
  <c r="J513" i="31"/>
  <c r="J516" i="31" s="1"/>
  <c r="G123" i="31"/>
  <c r="G126" i="31" s="1"/>
  <c r="G127" i="31" s="1"/>
  <c r="G60" i="31"/>
  <c r="G63" i="31" s="1"/>
  <c r="G64" i="31" s="1"/>
  <c r="B60" i="31"/>
  <c r="B63" i="31" s="1"/>
  <c r="N691" i="31"/>
  <c r="N694" i="31" s="1"/>
  <c r="H691" i="31"/>
  <c r="H694" i="31" s="1"/>
  <c r="H695" i="31" s="1"/>
  <c r="D513" i="31"/>
  <c r="D516" i="31" s="1"/>
  <c r="D517" i="31" s="1"/>
  <c r="P691" i="31"/>
  <c r="P694" i="31" s="1"/>
  <c r="P696" i="31" s="1"/>
  <c r="L123" i="31"/>
  <c r="L126" i="31" s="1"/>
  <c r="L127" i="31" s="1"/>
  <c r="G691" i="31"/>
  <c r="G694" i="31" s="1"/>
  <c r="G696" i="31" s="1"/>
  <c r="L691" i="31"/>
  <c r="L694" i="31" s="1"/>
  <c r="L695" i="31" s="1"/>
  <c r="J691" i="31"/>
  <c r="J694" i="31" s="1"/>
  <c r="F691" i="31"/>
  <c r="B691" i="31"/>
  <c r="B694" i="31" s="1"/>
  <c r="C644" i="31"/>
  <c r="C648" i="31" s="1"/>
  <c r="C649" i="31" s="1"/>
  <c r="L60" i="31"/>
  <c r="L63" i="31" s="1"/>
  <c r="L64" i="31" s="1"/>
  <c r="G601" i="31"/>
  <c r="G604" i="31" s="1"/>
  <c r="G605" i="31" s="1"/>
  <c r="O558" i="31"/>
  <c r="O561" i="31" s="1"/>
  <c r="O562" i="31" s="1"/>
  <c r="L558" i="31"/>
  <c r="L561" i="31" s="1"/>
  <c r="L562" i="31" s="1"/>
  <c r="D60" i="31"/>
  <c r="D63" i="31" s="1"/>
  <c r="D64" i="31" s="1"/>
  <c r="G644" i="31"/>
  <c r="G648" i="31" s="1"/>
  <c r="G650" i="31" s="1"/>
  <c r="L644" i="31"/>
  <c r="L648" i="31" s="1"/>
  <c r="L650" i="31" s="1"/>
  <c r="C513" i="31"/>
  <c r="C516" i="31" s="1"/>
  <c r="C517" i="31" s="1"/>
  <c r="O601" i="31"/>
  <c r="O604" i="31" s="1"/>
  <c r="O605" i="31" s="1"/>
  <c r="J935" i="31"/>
  <c r="I935" i="31"/>
  <c r="R320" i="31"/>
  <c r="K513" i="31"/>
  <c r="K516" i="31" s="1"/>
  <c r="K517" i="31" s="1"/>
  <c r="P513" i="31"/>
  <c r="P516" i="31" s="1"/>
  <c r="P517" i="31" s="1"/>
  <c r="C601" i="31"/>
  <c r="C604" i="31" s="1"/>
  <c r="C605" i="31" s="1"/>
  <c r="D691" i="31"/>
  <c r="D694" i="31" s="1"/>
  <c r="D695" i="31" s="1"/>
  <c r="P123" i="31"/>
  <c r="P126" i="31" s="1"/>
  <c r="P127" i="31" s="1"/>
  <c r="K123" i="31"/>
  <c r="K126" i="31" s="1"/>
  <c r="K127" i="31" s="1"/>
  <c r="F60" i="31"/>
  <c r="F63" i="31" s="1"/>
  <c r="K60" i="31"/>
  <c r="K63" i="31" s="1"/>
  <c r="K64" i="31" s="1"/>
  <c r="F513" i="31"/>
  <c r="F516" i="31" s="1"/>
  <c r="K691" i="31"/>
  <c r="K694" i="31" s="1"/>
  <c r="K695" i="31" s="1"/>
  <c r="H123" i="31"/>
  <c r="H126" i="31" s="1"/>
  <c r="H127" i="31" s="1"/>
  <c r="P558" i="31"/>
  <c r="P561" i="31" s="1"/>
  <c r="P562" i="31" s="1"/>
  <c r="F644" i="31"/>
  <c r="F648" i="31" s="1"/>
  <c r="K644" i="31"/>
  <c r="K648" i="31" s="1"/>
  <c r="K650" i="31" s="1"/>
  <c r="K601" i="31"/>
  <c r="K604" i="31" s="1"/>
  <c r="K605" i="31" s="1"/>
  <c r="J60" i="31"/>
  <c r="O60" i="31"/>
  <c r="O63" i="31" s="1"/>
  <c r="O64" i="31" s="1"/>
  <c r="C60" i="31"/>
  <c r="C63" i="31" s="1"/>
  <c r="C64" i="31" s="1"/>
  <c r="G513" i="31"/>
  <c r="G516" i="31" s="1"/>
  <c r="G517" i="31" s="1"/>
  <c r="N60" i="31"/>
  <c r="N63" i="31" s="1"/>
  <c r="H60" i="31"/>
  <c r="H63" i="31" s="1"/>
  <c r="H64" i="31" s="1"/>
  <c r="P644" i="31"/>
  <c r="P648" i="31" s="1"/>
  <c r="P650" i="31" s="1"/>
  <c r="N513" i="31"/>
  <c r="N516" i="31" s="1"/>
  <c r="P60" i="31"/>
  <c r="P63" i="31" s="1"/>
  <c r="P64" i="31" s="1"/>
  <c r="D736" i="31"/>
  <c r="D758" i="31" s="1"/>
  <c r="J736" i="31"/>
  <c r="J758" i="31" s="1"/>
  <c r="F300" i="31"/>
  <c r="P300" i="31"/>
  <c r="P372" i="31" s="1"/>
  <c r="P377" i="31" s="1"/>
  <c r="P378" i="31" s="1"/>
  <c r="K300" i="31"/>
  <c r="H300" i="31"/>
  <c r="Q267" i="31"/>
  <c r="M267" i="31"/>
  <c r="C300" i="31"/>
  <c r="C372" i="31" s="1"/>
  <c r="C377" i="31" s="1"/>
  <c r="C378" i="31" s="1"/>
  <c r="F123" i="31"/>
  <c r="O691" i="31"/>
  <c r="O694" i="31" s="1"/>
  <c r="O695" i="31" s="1"/>
  <c r="C691" i="31"/>
  <c r="C694" i="31" s="1"/>
  <c r="C695" i="31" s="1"/>
  <c r="B736" i="31"/>
  <c r="B758" i="31" s="1"/>
  <c r="H736" i="31"/>
  <c r="H758" i="31" s="1"/>
  <c r="N736" i="31"/>
  <c r="N758" i="31" s="1"/>
  <c r="P736" i="31"/>
  <c r="P758" i="31" s="1"/>
  <c r="F736" i="31"/>
  <c r="F758" i="31" s="1"/>
  <c r="O644" i="31"/>
  <c r="O648" i="31" s="1"/>
  <c r="O649" i="31" s="1"/>
  <c r="B718" i="31"/>
  <c r="G833" i="31"/>
  <c r="G832" i="31"/>
  <c r="D123" i="31"/>
  <c r="D126" i="31" s="1"/>
  <c r="D127" i="31" s="1"/>
  <c r="G838" i="31"/>
  <c r="B807" i="31"/>
  <c r="M807" i="31" s="1"/>
  <c r="F840" i="31"/>
  <c r="G836" i="31"/>
  <c r="G835" i="31"/>
  <c r="I267" i="31"/>
  <c r="G300" i="31"/>
  <c r="L300" i="31"/>
  <c r="R983" i="31"/>
  <c r="J919" i="31"/>
  <c r="J946" i="31" s="1"/>
  <c r="N983" i="31"/>
  <c r="E267" i="31"/>
  <c r="P601" i="31"/>
  <c r="P604" i="31" s="1"/>
  <c r="P605" i="31" s="1"/>
  <c r="J917" i="31"/>
  <c r="J944" i="31" s="1"/>
  <c r="L601" i="31"/>
  <c r="L604" i="31" s="1"/>
  <c r="L605" i="31" s="1"/>
  <c r="L723" i="31"/>
  <c r="L754" i="31" s="1"/>
  <c r="Q989" i="31"/>
  <c r="B723" i="31"/>
  <c r="K718" i="31"/>
  <c r="K752" i="31" s="1"/>
  <c r="P718" i="31"/>
  <c r="P752" i="31" s="1"/>
  <c r="G718" i="31"/>
  <c r="G752" i="31" s="1"/>
  <c r="L718" i="31"/>
  <c r="L752" i="31" s="1"/>
  <c r="H718" i="31"/>
  <c r="H752" i="31" s="1"/>
  <c r="C419" i="31"/>
  <c r="C422" i="31" s="1"/>
  <c r="C423" i="31" s="1"/>
  <c r="H419" i="31"/>
  <c r="H422" i="31" s="1"/>
  <c r="H423" i="31" s="1"/>
  <c r="N419" i="31"/>
  <c r="N422" i="31" s="1"/>
  <c r="O718" i="31"/>
  <c r="O752" i="31" s="1"/>
  <c r="B419" i="31"/>
  <c r="B422" i="31" s="1"/>
  <c r="G419" i="31"/>
  <c r="G422" i="31" s="1"/>
  <c r="G423" i="31" s="1"/>
  <c r="L419" i="31"/>
  <c r="L422" i="31" s="1"/>
  <c r="L423" i="31" s="1"/>
  <c r="O723" i="31"/>
  <c r="O754" i="31" s="1"/>
  <c r="L736" i="31"/>
  <c r="L758" i="31" s="1"/>
  <c r="P723" i="31"/>
  <c r="P754" i="31" s="1"/>
  <c r="J915" i="31"/>
  <c r="J942" i="31" s="1"/>
  <c r="R986" i="31"/>
  <c r="R197" i="31"/>
  <c r="C723" i="31"/>
  <c r="C754" i="31" s="1"/>
  <c r="N723" i="31"/>
  <c r="N986" i="31"/>
  <c r="N372" i="31"/>
  <c r="N377" i="31" s="1"/>
  <c r="F419" i="31"/>
  <c r="K419" i="31"/>
  <c r="K422" i="31" s="1"/>
  <c r="K423" i="31" s="1"/>
  <c r="P419" i="31"/>
  <c r="P422" i="31" s="1"/>
  <c r="P423" i="31" s="1"/>
  <c r="B372" i="31"/>
  <c r="B377" i="31" s="1"/>
  <c r="D419" i="31"/>
  <c r="D422" i="31" s="1"/>
  <c r="D423" i="31" s="1"/>
  <c r="J419" i="31"/>
  <c r="J422" i="31" s="1"/>
  <c r="O419" i="31"/>
  <c r="O422" i="31" s="1"/>
  <c r="O423" i="31" s="1"/>
  <c r="L921" i="31"/>
  <c r="D727" i="31"/>
  <c r="D756" i="31" s="1"/>
  <c r="C727" i="31"/>
  <c r="C756" i="31" s="1"/>
  <c r="F727" i="31"/>
  <c r="F756" i="31" s="1"/>
  <c r="C558" i="31"/>
  <c r="C561" i="31" s="1"/>
  <c r="C562" i="31" s="1"/>
  <c r="E545" i="31"/>
  <c r="R270" i="31"/>
  <c r="R274" i="31"/>
  <c r="R275" i="31"/>
  <c r="R276" i="31"/>
  <c r="R277" i="31"/>
  <c r="R278" i="31"/>
  <c r="R280" i="31"/>
  <c r="R281" i="31"/>
  <c r="R285" i="31"/>
  <c r="R286" i="31"/>
  <c r="R287" i="31"/>
  <c r="R288" i="31"/>
  <c r="R292" i="31"/>
  <c r="R293" i="31"/>
  <c r="R304" i="31"/>
  <c r="R305" i="31"/>
  <c r="R373" i="31"/>
  <c r="R374" i="31"/>
  <c r="R375" i="31"/>
  <c r="R392" i="31"/>
  <c r="R393" i="31"/>
  <c r="R395" i="31"/>
  <c r="M405" i="31"/>
  <c r="E405" i="31"/>
  <c r="I409" i="31"/>
  <c r="Q409" i="31"/>
  <c r="R415" i="31"/>
  <c r="R416" i="31"/>
  <c r="E417" i="31"/>
  <c r="M417" i="31"/>
  <c r="R420" i="31"/>
  <c r="R433" i="31"/>
  <c r="R434" i="31"/>
  <c r="M545" i="31"/>
  <c r="R291" i="31"/>
  <c r="R290" i="31"/>
  <c r="R289" i="31"/>
  <c r="R441" i="31"/>
  <c r="I448" i="31"/>
  <c r="Q448" i="31"/>
  <c r="R453" i="31"/>
  <c r="R456" i="31"/>
  <c r="E458" i="31"/>
  <c r="M458" i="31"/>
  <c r="R457" i="31"/>
  <c r="I689" i="31"/>
  <c r="Q689" i="31"/>
  <c r="Q714" i="31"/>
  <c r="I715" i="31"/>
  <c r="Q715" i="31"/>
  <c r="I717" i="31"/>
  <c r="Q717" i="31"/>
  <c r="I722" i="31"/>
  <c r="Q722" i="31"/>
  <c r="R455" i="31"/>
  <c r="R432" i="31"/>
  <c r="E726" i="31"/>
  <c r="R461" i="31"/>
  <c r="R283" i="31"/>
  <c r="R473" i="31"/>
  <c r="R475" i="31"/>
  <c r="R476" i="31"/>
  <c r="R477" i="31"/>
  <c r="R478" i="31"/>
  <c r="M714" i="31"/>
  <c r="M735" i="31"/>
  <c r="R284" i="31"/>
  <c r="Q721" i="31"/>
  <c r="R282" i="31"/>
  <c r="R272" i="31"/>
  <c r="R479" i="31"/>
  <c r="F240" i="31"/>
  <c r="F248" i="31" s="1"/>
  <c r="R480" i="31"/>
  <c r="E492" i="31"/>
  <c r="I497" i="31"/>
  <c r="Q497" i="31"/>
  <c r="I549" i="31"/>
  <c r="R553" i="31"/>
  <c r="M556" i="31"/>
  <c r="E557" i="31"/>
  <c r="M557" i="31"/>
  <c r="R559" i="31"/>
  <c r="R571" i="31"/>
  <c r="M577" i="31"/>
  <c r="E581" i="31"/>
  <c r="M581" i="31"/>
  <c r="R584" i="31"/>
  <c r="E589" i="31"/>
  <c r="M589" i="31"/>
  <c r="R593" i="31"/>
  <c r="R594" i="31"/>
  <c r="I599" i="31"/>
  <c r="Q599" i="31"/>
  <c r="E600" i="31"/>
  <c r="M600" i="31"/>
  <c r="R602" i="31"/>
  <c r="R612" i="31"/>
  <c r="I632" i="31"/>
  <c r="Q632" i="31"/>
  <c r="E636" i="31"/>
  <c r="M636" i="31"/>
  <c r="I642" i="31"/>
  <c r="Q642" i="31"/>
  <c r="E643" i="31"/>
  <c r="M643" i="31"/>
  <c r="R646" i="31"/>
  <c r="R271" i="31"/>
  <c r="Q730" i="31"/>
  <c r="I730" i="31"/>
  <c r="R474" i="31"/>
  <c r="R489" i="31"/>
  <c r="R269" i="31"/>
  <c r="R268" i="31"/>
  <c r="M715" i="31"/>
  <c r="M722" i="31"/>
  <c r="M730" i="31"/>
  <c r="R980" i="31"/>
  <c r="I15" i="31"/>
  <c r="Q15" i="31"/>
  <c r="I17" i="31"/>
  <c r="Q17" i="31"/>
  <c r="I19" i="31"/>
  <c r="Q19" i="31"/>
  <c r="I28" i="31"/>
  <c r="Q28" i="31"/>
  <c r="I47" i="31"/>
  <c r="Q47" i="31"/>
  <c r="I51" i="31"/>
  <c r="Q51" i="31"/>
  <c r="I58" i="31"/>
  <c r="Q58" i="31"/>
  <c r="E59" i="31"/>
  <c r="M59" i="31"/>
  <c r="I121" i="31"/>
  <c r="Q121" i="31"/>
  <c r="I182" i="31"/>
  <c r="Q182" i="31"/>
  <c r="M726" i="31"/>
  <c r="R210" i="31"/>
  <c r="R211" i="31"/>
  <c r="R212" i="31"/>
  <c r="R213" i="31"/>
  <c r="R214" i="31"/>
  <c r="R215" i="31"/>
  <c r="R216" i="31"/>
  <c r="E219" i="31"/>
  <c r="M239" i="31"/>
  <c r="R246" i="31"/>
  <c r="Q712" i="31"/>
  <c r="E712" i="31"/>
  <c r="E15" i="31"/>
  <c r="M15" i="31"/>
  <c r="R26" i="31"/>
  <c r="B240" i="31"/>
  <c r="B248" i="31" s="1"/>
  <c r="D240" i="31"/>
  <c r="D248" i="31" s="1"/>
  <c r="D249" i="31" s="1"/>
  <c r="I346" i="31"/>
  <c r="Q346" i="31"/>
  <c r="I371" i="31"/>
  <c r="Q371" i="31"/>
  <c r="I492" i="31"/>
  <c r="E511" i="31"/>
  <c r="I511" i="31"/>
  <c r="Q511" i="31"/>
  <c r="I512" i="31"/>
  <c r="Q512" i="31"/>
  <c r="B558" i="31"/>
  <c r="D558" i="31"/>
  <c r="D561" i="31" s="1"/>
  <c r="D562" i="31" s="1"/>
  <c r="R658" i="31"/>
  <c r="R668" i="31"/>
  <c r="R673" i="31"/>
  <c r="R677" i="31"/>
  <c r="E717" i="31"/>
  <c r="E722" i="31"/>
  <c r="E734" i="31"/>
  <c r="J914" i="31"/>
  <c r="J941" i="31" s="1"/>
  <c r="R257" i="31"/>
  <c r="R259" i="31" s="1"/>
  <c r="R241" i="31"/>
  <c r="R242" i="31"/>
  <c r="R245" i="31"/>
  <c r="M18" i="31"/>
  <c r="I16" i="31"/>
  <c r="E715" i="31"/>
  <c r="M690" i="31"/>
  <c r="E690" i="31"/>
  <c r="R678" i="31"/>
  <c r="I679" i="31"/>
  <c r="Q670" i="31"/>
  <c r="I670" i="31"/>
  <c r="R660" i="31"/>
  <c r="R663" i="31"/>
  <c r="R624" i="31"/>
  <c r="R595" i="31"/>
  <c r="R596" i="31"/>
  <c r="R586" i="31"/>
  <c r="R588" i="31"/>
  <c r="R572" i="31"/>
  <c r="R500" i="31"/>
  <c r="R501" i="31"/>
  <c r="R490" i="31"/>
  <c r="M492" i="31"/>
  <c r="R482" i="31"/>
  <c r="R484" i="31"/>
  <c r="Q459" i="31"/>
  <c r="I459" i="31"/>
  <c r="R442" i="31"/>
  <c r="Q438" i="31"/>
  <c r="I438" i="31"/>
  <c r="Q418" i="31"/>
  <c r="I418" i="31"/>
  <c r="R396" i="31"/>
  <c r="R397" i="31"/>
  <c r="Q734" i="31"/>
  <c r="M370" i="31"/>
  <c r="I734" i="31"/>
  <c r="E370" i="31"/>
  <c r="R316" i="31"/>
  <c r="R317" i="31"/>
  <c r="R319" i="31"/>
  <c r="Q313" i="31"/>
  <c r="E16" i="31"/>
  <c r="M16" i="31"/>
  <c r="E18" i="31"/>
  <c r="Q405" i="31"/>
  <c r="E409" i="31"/>
  <c r="M409" i="31"/>
  <c r="I417" i="31"/>
  <c r="Q417" i="31"/>
  <c r="E418" i="31"/>
  <c r="M418" i="31"/>
  <c r="E438" i="31"/>
  <c r="M438" i="31"/>
  <c r="F460" i="31"/>
  <c r="F463" i="31" s="1"/>
  <c r="H460" i="31"/>
  <c r="H463" i="31" s="1"/>
  <c r="H464" i="31" s="1"/>
  <c r="N460" i="31"/>
  <c r="N463" i="31" s="1"/>
  <c r="P460" i="31"/>
  <c r="P463" i="31" s="1"/>
  <c r="P464" i="31" s="1"/>
  <c r="E448" i="31"/>
  <c r="M448" i="31"/>
  <c r="I458" i="31"/>
  <c r="Q458" i="31"/>
  <c r="E459" i="31"/>
  <c r="M459" i="31"/>
  <c r="Q492" i="31"/>
  <c r="M497" i="31"/>
  <c r="R537" i="31"/>
  <c r="Q541" i="31"/>
  <c r="I545" i="31"/>
  <c r="Q545" i="31"/>
  <c r="E549" i="31"/>
  <c r="M549" i="31"/>
  <c r="Q549" i="31"/>
  <c r="E556" i="31"/>
  <c r="I556" i="31"/>
  <c r="Q556" i="31"/>
  <c r="I557" i="31"/>
  <c r="Q557" i="31"/>
  <c r="I577" i="31"/>
  <c r="Q577" i="31"/>
  <c r="I581" i="31"/>
  <c r="Q581" i="31"/>
  <c r="I589" i="31"/>
  <c r="Q589" i="31"/>
  <c r="E599" i="31"/>
  <c r="M599" i="31"/>
  <c r="I600" i="31"/>
  <c r="Q600" i="31"/>
  <c r="E632" i="31"/>
  <c r="M632" i="31"/>
  <c r="I636" i="31"/>
  <c r="Q636" i="31"/>
  <c r="E642" i="31"/>
  <c r="M642" i="31"/>
  <c r="I643" i="31"/>
  <c r="Q643" i="31"/>
  <c r="E670" i="31"/>
  <c r="M670" i="31"/>
  <c r="E679" i="31"/>
  <c r="M679" i="31"/>
  <c r="Q716" i="31"/>
  <c r="E733" i="31"/>
  <c r="M733" i="31"/>
  <c r="J909" i="31"/>
  <c r="J936" i="31" s="1"/>
  <c r="J910" i="31"/>
  <c r="J937" i="31" s="1"/>
  <c r="J911" i="31"/>
  <c r="J938" i="31" s="1"/>
  <c r="J912" i="31"/>
  <c r="J939" i="31" s="1"/>
  <c r="J913" i="31"/>
  <c r="J940" i="31" s="1"/>
  <c r="J916" i="31"/>
  <c r="J943" i="31" s="1"/>
  <c r="J918" i="31"/>
  <c r="J945" i="31" s="1"/>
  <c r="J921" i="31"/>
  <c r="M989" i="31"/>
  <c r="N980" i="31"/>
  <c r="Q16" i="31"/>
  <c r="E17" i="31"/>
  <c r="M17" i="31"/>
  <c r="I18" i="31"/>
  <c r="Q18" i="31"/>
  <c r="E19" i="31"/>
  <c r="M19" i="31"/>
  <c r="E47" i="31"/>
  <c r="M47" i="31"/>
  <c r="E51" i="31"/>
  <c r="M51" i="31"/>
  <c r="R55" i="31"/>
  <c r="E58" i="31"/>
  <c r="M58" i="31"/>
  <c r="I59" i="31"/>
  <c r="Q59" i="31"/>
  <c r="R61" i="31"/>
  <c r="R73" i="31"/>
  <c r="R74" i="31"/>
  <c r="R75" i="31"/>
  <c r="R76" i="31"/>
  <c r="R77" i="31"/>
  <c r="R78" i="31"/>
  <c r="R79" i="31"/>
  <c r="R81" i="31"/>
  <c r="R91" i="31"/>
  <c r="R92" i="31"/>
  <c r="I105" i="31"/>
  <c r="Q105" i="31"/>
  <c r="R108" i="31"/>
  <c r="R109" i="31"/>
  <c r="R110" i="31"/>
  <c r="R111" i="31"/>
  <c r="R112" i="31"/>
  <c r="R113" i="31"/>
  <c r="R114" i="31"/>
  <c r="R116" i="31"/>
  <c r="R117" i="31"/>
  <c r="R119" i="31"/>
  <c r="E121" i="31"/>
  <c r="M121" i="31"/>
  <c r="R124" i="31"/>
  <c r="R136" i="31"/>
  <c r="R137" i="31"/>
  <c r="R138" i="31"/>
  <c r="R139" i="31"/>
  <c r="R140" i="31"/>
  <c r="R141" i="31"/>
  <c r="R142" i="31"/>
  <c r="R143" i="31"/>
  <c r="R144" i="31"/>
  <c r="R145" i="31"/>
  <c r="R146" i="31"/>
  <c r="R147" i="31"/>
  <c r="R148" i="31"/>
  <c r="R149" i="31"/>
  <c r="R151" i="31"/>
  <c r="R152" i="31"/>
  <c r="R153" i="31"/>
  <c r="R154" i="31"/>
  <c r="R155" i="31"/>
  <c r="R180" i="31"/>
  <c r="E182" i="31"/>
  <c r="M182" i="31"/>
  <c r="E238" i="31"/>
  <c r="Q238" i="31"/>
  <c r="I239" i="31"/>
  <c r="Q239" i="31"/>
  <c r="E259" i="31"/>
  <c r="M259" i="31"/>
  <c r="R321" i="31"/>
  <c r="R323" i="31"/>
  <c r="R324" i="31"/>
  <c r="R325" i="31"/>
  <c r="R327" i="31"/>
  <c r="R328" i="31"/>
  <c r="R329" i="31"/>
  <c r="R330" i="31"/>
  <c r="R331" i="31"/>
  <c r="R333" i="31"/>
  <c r="R335" i="31"/>
  <c r="R337" i="31"/>
  <c r="R338" i="31"/>
  <c r="R339" i="31"/>
  <c r="R340" i="31"/>
  <c r="R342" i="31"/>
  <c r="R343" i="31"/>
  <c r="R344" i="31"/>
  <c r="E346" i="31"/>
  <c r="M346" i="31"/>
  <c r="R349" i="31"/>
  <c r="R352" i="31"/>
  <c r="R353" i="31"/>
  <c r="R355" i="31"/>
  <c r="R356" i="31"/>
  <c r="R357" i="31"/>
  <c r="R358" i="31"/>
  <c r="R359" i="31"/>
  <c r="R360" i="31"/>
  <c r="R362" i="31"/>
  <c r="R363" i="31"/>
  <c r="R364" i="31"/>
  <c r="R365" i="31"/>
  <c r="R366" i="31"/>
  <c r="R367" i="31"/>
  <c r="R368" i="31"/>
  <c r="R369" i="31"/>
  <c r="I370" i="31"/>
  <c r="Q370" i="31"/>
  <c r="E371" i="31"/>
  <c r="M371" i="31"/>
  <c r="B460" i="31"/>
  <c r="B463" i="31" s="1"/>
  <c r="D460" i="31"/>
  <c r="D463" i="31" s="1"/>
  <c r="D464" i="31" s="1"/>
  <c r="J460" i="31"/>
  <c r="J463" i="31" s="1"/>
  <c r="L460" i="31"/>
  <c r="L463" i="31" s="1"/>
  <c r="L464" i="31" s="1"/>
  <c r="R503" i="31"/>
  <c r="R504" i="31"/>
  <c r="R505" i="31"/>
  <c r="R506" i="31"/>
  <c r="R510" i="31"/>
  <c r="M511" i="31"/>
  <c r="E512" i="31"/>
  <c r="M512" i="31"/>
  <c r="R514" i="31"/>
  <c r="R524" i="31"/>
  <c r="Q679" i="31"/>
  <c r="R682" i="31"/>
  <c r="R683" i="31"/>
  <c r="R685" i="31"/>
  <c r="R686" i="31"/>
  <c r="E689" i="31"/>
  <c r="M689" i="31"/>
  <c r="I690" i="31"/>
  <c r="Q690" i="31"/>
  <c r="R692" i="31"/>
  <c r="M717" i="31"/>
  <c r="I733" i="31"/>
  <c r="Q733" i="31"/>
  <c r="M734" i="31"/>
  <c r="R308" i="31"/>
  <c r="R309" i="31"/>
  <c r="R310" i="31"/>
  <c r="R311" i="31"/>
  <c r="R307" i="31"/>
  <c r="R295" i="31"/>
  <c r="R296" i="31"/>
  <c r="R297" i="31"/>
  <c r="R298" i="31"/>
  <c r="E713" i="31"/>
  <c r="R223" i="31"/>
  <c r="R224" i="31"/>
  <c r="R225" i="31"/>
  <c r="R228" i="31"/>
  <c r="R229" i="31"/>
  <c r="R230" i="31"/>
  <c r="R231" i="31"/>
  <c r="R232" i="31"/>
  <c r="R233" i="31"/>
  <c r="R234" i="31"/>
  <c r="R235" i="31"/>
  <c r="M238" i="31"/>
  <c r="I238" i="31"/>
  <c r="C240" i="31"/>
  <c r="C248" i="31" s="1"/>
  <c r="C249" i="31" s="1"/>
  <c r="E239" i="31"/>
  <c r="E730" i="31"/>
  <c r="E735" i="31"/>
  <c r="R217" i="31"/>
  <c r="R186" i="31"/>
  <c r="R187" i="31"/>
  <c r="R188" i="31"/>
  <c r="R189" i="31"/>
  <c r="R190" i="31"/>
  <c r="R191" i="31"/>
  <c r="R192" i="31"/>
  <c r="R194" i="31"/>
  <c r="R195" i="31"/>
  <c r="R196" i="31"/>
  <c r="R198" i="31"/>
  <c r="R199" i="31"/>
  <c r="R200" i="31"/>
  <c r="R201" i="31"/>
  <c r="R202" i="31"/>
  <c r="R203" i="31"/>
  <c r="R204" i="31"/>
  <c r="R205" i="31"/>
  <c r="R206" i="31"/>
  <c r="R207" i="31"/>
  <c r="R208" i="31"/>
  <c r="R218" i="31"/>
  <c r="R156" i="31"/>
  <c r="R157" i="31"/>
  <c r="R158" i="31"/>
  <c r="R160" i="31"/>
  <c r="R161" i="31"/>
  <c r="R162" i="31"/>
  <c r="R163" i="31"/>
  <c r="R166" i="31"/>
  <c r="R167" i="31"/>
  <c r="R168" i="31"/>
  <c r="R170" i="31"/>
  <c r="R172" i="31"/>
  <c r="R173" i="31"/>
  <c r="R174" i="31"/>
  <c r="Q122" i="31"/>
  <c r="Q729" i="31"/>
  <c r="Q731" i="31"/>
  <c r="M729" i="31"/>
  <c r="M731" i="31"/>
  <c r="M122" i="31"/>
  <c r="I122" i="31"/>
  <c r="I729" i="31"/>
  <c r="I731" i="31"/>
  <c r="E729" i="31"/>
  <c r="E731" i="31"/>
  <c r="E122" i="31"/>
  <c r="Q726" i="31"/>
  <c r="M105" i="31"/>
  <c r="R98" i="31"/>
  <c r="R99" i="31"/>
  <c r="R100" i="31"/>
  <c r="R101" i="31"/>
  <c r="R102" i="31"/>
  <c r="R103" i="31"/>
  <c r="R104" i="31"/>
  <c r="E105" i="31"/>
  <c r="Q94" i="31"/>
  <c r="M94" i="31"/>
  <c r="I94" i="31"/>
  <c r="E94" i="31"/>
  <c r="R82" i="31"/>
  <c r="R84" i="31"/>
  <c r="I714" i="31"/>
  <c r="R85" i="31"/>
  <c r="D718" i="31"/>
  <c r="D752" i="31" s="1"/>
  <c r="C718" i="31"/>
  <c r="C752" i="31" s="1"/>
  <c r="E714" i="31"/>
  <c r="Q713" i="31"/>
  <c r="M713" i="31"/>
  <c r="R39" i="31"/>
  <c r="I713" i="31"/>
  <c r="E28" i="31"/>
  <c r="M28" i="31"/>
  <c r="B29" i="31"/>
  <c r="G29" i="31"/>
  <c r="O29" i="31"/>
  <c r="I405" i="31"/>
  <c r="R961" i="31"/>
  <c r="R898" i="31"/>
  <c r="R871" i="31"/>
  <c r="R789" i="31"/>
  <c r="R844" i="31"/>
  <c r="R820" i="31"/>
  <c r="R762" i="31"/>
  <c r="R699" i="31"/>
  <c r="R740" i="31"/>
  <c r="C127" i="31"/>
  <c r="F29" i="31"/>
  <c r="H29" i="31"/>
  <c r="N29" i="31"/>
  <c r="P29" i="31"/>
  <c r="I712" i="31"/>
  <c r="F718" i="31"/>
  <c r="E42" i="31"/>
  <c r="I42" i="31"/>
  <c r="M42" i="31"/>
  <c r="Q42" i="31"/>
  <c r="E87" i="31"/>
  <c r="I87" i="31"/>
  <c r="M87" i="31"/>
  <c r="Q87" i="31"/>
  <c r="E176" i="31"/>
  <c r="I176" i="31"/>
  <c r="M176" i="31"/>
  <c r="Q176" i="31"/>
  <c r="I209" i="31"/>
  <c r="M209" i="31"/>
  <c r="Q209" i="31"/>
  <c r="G219" i="31"/>
  <c r="G240" i="31" s="1"/>
  <c r="K219" i="31"/>
  <c r="K240" i="31" s="1"/>
  <c r="K248" i="31" s="1"/>
  <c r="O219" i="31"/>
  <c r="O240" i="31" s="1"/>
  <c r="O248" i="31" s="1"/>
  <c r="C260" i="31"/>
  <c r="N799" i="31" s="1"/>
  <c r="K260" i="31"/>
  <c r="N805" i="31" s="1"/>
  <c r="I721" i="31"/>
  <c r="M721" i="31"/>
  <c r="M306" i="31"/>
  <c r="D313" i="31"/>
  <c r="E313" i="31" s="1"/>
  <c r="F313" i="31"/>
  <c r="H313" i="31"/>
  <c r="J313" i="31"/>
  <c r="E400" i="31"/>
  <c r="I400" i="31"/>
  <c r="M400" i="31"/>
  <c r="Q400" i="31"/>
  <c r="I403" i="31"/>
  <c r="M403" i="31"/>
  <c r="E444" i="31"/>
  <c r="I444" i="31"/>
  <c r="M444" i="31"/>
  <c r="Q444" i="31"/>
  <c r="C460" i="31"/>
  <c r="C463" i="31" s="1"/>
  <c r="G460" i="31"/>
  <c r="G463" i="31" s="1"/>
  <c r="K460" i="31"/>
  <c r="K463" i="31" s="1"/>
  <c r="O460" i="31"/>
  <c r="O463" i="31" s="1"/>
  <c r="E486" i="31"/>
  <c r="I486" i="31"/>
  <c r="M486" i="31"/>
  <c r="Q486" i="31"/>
  <c r="F723" i="31"/>
  <c r="H723" i="31"/>
  <c r="H754" i="31" s="1"/>
  <c r="K723" i="31"/>
  <c r="K754" i="31" s="1"/>
  <c r="H727" i="31"/>
  <c r="H756" i="31" s="1"/>
  <c r="K727" i="31"/>
  <c r="K756" i="31" s="1"/>
  <c r="N727" i="31"/>
  <c r="P727" i="31"/>
  <c r="P756" i="31" s="1"/>
  <c r="I726" i="31"/>
  <c r="I735" i="31"/>
  <c r="Q735" i="31"/>
  <c r="H517" i="31"/>
  <c r="M712" i="31"/>
  <c r="J718" i="31"/>
  <c r="D650" i="31"/>
  <c r="D649" i="31"/>
  <c r="B756" i="31"/>
  <c r="H219" i="31"/>
  <c r="H240" i="31" s="1"/>
  <c r="H248" i="31" s="1"/>
  <c r="J219" i="31"/>
  <c r="L219" i="31"/>
  <c r="L240" i="31" s="1"/>
  <c r="L248" i="31" s="1"/>
  <c r="N219" i="31"/>
  <c r="P219" i="31"/>
  <c r="P240" i="31" s="1"/>
  <c r="P248" i="31" s="1"/>
  <c r="I259" i="31"/>
  <c r="Q259" i="31"/>
  <c r="I306" i="31"/>
  <c r="G313" i="31"/>
  <c r="K313" i="31"/>
  <c r="D723" i="31"/>
  <c r="D754" i="31" s="1"/>
  <c r="G723" i="31"/>
  <c r="G754" i="31" s="1"/>
  <c r="J723" i="31"/>
  <c r="E721" i="31"/>
  <c r="G727" i="31"/>
  <c r="G756" i="31" s="1"/>
  <c r="J727" i="31"/>
  <c r="L727" i="31"/>
  <c r="L756" i="31" s="1"/>
  <c r="O727" i="31"/>
  <c r="O756" i="31" s="1"/>
  <c r="D883" i="31"/>
  <c r="B883" i="31"/>
  <c r="E883" i="31"/>
  <c r="C883" i="31"/>
  <c r="B798" i="31"/>
  <c r="F786" i="31"/>
  <c r="D885" i="31"/>
  <c r="B885" i="31"/>
  <c r="E885" i="31"/>
  <c r="C885" i="31"/>
  <c r="B800" i="31"/>
  <c r="D887" i="31"/>
  <c r="B887" i="31"/>
  <c r="E887" i="31"/>
  <c r="C887" i="31"/>
  <c r="B802" i="31"/>
  <c r="D889" i="31"/>
  <c r="B889" i="31"/>
  <c r="E889" i="31"/>
  <c r="C889" i="31"/>
  <c r="B804" i="31"/>
  <c r="D891" i="31"/>
  <c r="B891" i="31"/>
  <c r="E891" i="31"/>
  <c r="C891" i="31"/>
  <c r="B806" i="31"/>
  <c r="E526" i="31"/>
  <c r="I526" i="31"/>
  <c r="M526" i="31"/>
  <c r="Q526" i="31"/>
  <c r="B527" i="31"/>
  <c r="D527" i="31"/>
  <c r="G527" i="31"/>
  <c r="J527" i="31"/>
  <c r="L527" i="31"/>
  <c r="O527" i="31"/>
  <c r="M536" i="31"/>
  <c r="F541" i="31"/>
  <c r="H541" i="31"/>
  <c r="H558" i="31" s="1"/>
  <c r="H561" i="31" s="1"/>
  <c r="J541" i="31"/>
  <c r="N558" i="31"/>
  <c r="F601" i="31"/>
  <c r="J601" i="31"/>
  <c r="N601" i="31"/>
  <c r="E614" i="31"/>
  <c r="I614" i="31"/>
  <c r="M614" i="31"/>
  <c r="Q614" i="31"/>
  <c r="B615" i="31"/>
  <c r="D615" i="31"/>
  <c r="G615" i="31"/>
  <c r="J615" i="31"/>
  <c r="L615" i="31"/>
  <c r="O615" i="31"/>
  <c r="E665" i="31"/>
  <c r="I665" i="31"/>
  <c r="M665" i="31"/>
  <c r="Q665" i="31"/>
  <c r="N718" i="31"/>
  <c r="E720" i="31"/>
  <c r="I720" i="31"/>
  <c r="M720" i="31"/>
  <c r="Q720" i="31"/>
  <c r="E725" i="31"/>
  <c r="I725" i="31"/>
  <c r="M725" i="31"/>
  <c r="Q725" i="31"/>
  <c r="E732" i="31"/>
  <c r="I732" i="31"/>
  <c r="M732" i="31"/>
  <c r="Q732" i="31"/>
  <c r="C736" i="31"/>
  <c r="C758" i="31" s="1"/>
  <c r="G736" i="31"/>
  <c r="G758" i="31" s="1"/>
  <c r="O736" i="31"/>
  <c r="O758" i="31" s="1"/>
  <c r="G786" i="31"/>
  <c r="D884" i="31"/>
  <c r="B884" i="31"/>
  <c r="E884" i="31"/>
  <c r="C884" i="31"/>
  <c r="B799" i="31"/>
  <c r="D886" i="31"/>
  <c r="B886" i="31"/>
  <c r="E886" i="31"/>
  <c r="C886" i="31"/>
  <c r="B801" i="31"/>
  <c r="D888" i="31"/>
  <c r="B888" i="31"/>
  <c r="E888" i="31"/>
  <c r="C888" i="31"/>
  <c r="B803" i="31"/>
  <c r="D890" i="31"/>
  <c r="B890" i="31"/>
  <c r="E890" i="31"/>
  <c r="C890" i="31"/>
  <c r="B805" i="31"/>
  <c r="C527" i="31"/>
  <c r="K527" i="31"/>
  <c r="I536" i="31"/>
  <c r="E541" i="31"/>
  <c r="G541" i="31"/>
  <c r="G558" i="31" s="1"/>
  <c r="G561" i="31" s="1"/>
  <c r="K541" i="31"/>
  <c r="K558" i="31" s="1"/>
  <c r="K561" i="31" s="1"/>
  <c r="E577" i="31"/>
  <c r="C615" i="31"/>
  <c r="K615" i="31"/>
  <c r="E628" i="31"/>
  <c r="I628" i="31"/>
  <c r="M628" i="31"/>
  <c r="Q628" i="31"/>
  <c r="D892" i="31"/>
  <c r="B892" i="31"/>
  <c r="E892" i="31"/>
  <c r="C892" i="31"/>
  <c r="D893" i="31"/>
  <c r="B893" i="31"/>
  <c r="E893" i="31"/>
  <c r="C893" i="31"/>
  <c r="D894" i="31"/>
  <c r="B894" i="31"/>
  <c r="E894" i="31"/>
  <c r="C894" i="31"/>
  <c r="B808" i="31"/>
  <c r="B809" i="31"/>
  <c r="I976" i="31"/>
  <c r="J977" i="31" s="1"/>
  <c r="N977" i="31"/>
  <c r="R977" i="31"/>
  <c r="H650" i="31" l="1"/>
  <c r="P778" i="31" s="1"/>
  <c r="P836" i="31" s="1"/>
  <c r="R714" i="31"/>
  <c r="R346" i="31"/>
  <c r="R716" i="31"/>
  <c r="H696" i="31"/>
  <c r="H616" i="31" s="1"/>
  <c r="H617" i="31" s="1"/>
  <c r="P695" i="31"/>
  <c r="G695" i="31"/>
  <c r="L696" i="31"/>
  <c r="Q781" i="31" s="1"/>
  <c r="Q839" i="31" s="1"/>
  <c r="I691" i="31"/>
  <c r="F694" i="31"/>
  <c r="F695" i="31" s="1"/>
  <c r="C650" i="31"/>
  <c r="C651" i="31" s="1"/>
  <c r="E644" i="31"/>
  <c r="G649" i="31"/>
  <c r="L649" i="31"/>
  <c r="E513" i="31"/>
  <c r="M513" i="31"/>
  <c r="D696" i="31"/>
  <c r="Q775" i="31" s="1"/>
  <c r="Q833" i="31" s="1"/>
  <c r="E601" i="31"/>
  <c r="Q123" i="31"/>
  <c r="K696" i="31"/>
  <c r="K616" i="31" s="1"/>
  <c r="K617" i="31" s="1"/>
  <c r="M123" i="31"/>
  <c r="M60" i="31"/>
  <c r="M691" i="31"/>
  <c r="I123" i="31"/>
  <c r="I644" i="31"/>
  <c r="J63" i="31"/>
  <c r="M63" i="31" s="1"/>
  <c r="K649" i="31"/>
  <c r="M644" i="31"/>
  <c r="I60" i="31"/>
  <c r="E60" i="31"/>
  <c r="I513" i="31"/>
  <c r="P649" i="31"/>
  <c r="Q513" i="31"/>
  <c r="Q60" i="31"/>
  <c r="Q300" i="31"/>
  <c r="R267" i="31"/>
  <c r="S278" i="31" s="1"/>
  <c r="K372" i="31"/>
  <c r="K377" i="31" s="1"/>
  <c r="K378" i="31" s="1"/>
  <c r="M300" i="31"/>
  <c r="E691" i="31"/>
  <c r="C696" i="31"/>
  <c r="Q691" i="31"/>
  <c r="H372" i="31"/>
  <c r="H377" i="31" s="1"/>
  <c r="H378" i="31" s="1"/>
  <c r="E300" i="31"/>
  <c r="F126" i="31"/>
  <c r="F127" i="31" s="1"/>
  <c r="E123" i="31"/>
  <c r="I300" i="31"/>
  <c r="O696" i="31"/>
  <c r="Q783" i="31" s="1"/>
  <c r="Q841" i="31" s="1"/>
  <c r="O650" i="31"/>
  <c r="P783" i="31" s="1"/>
  <c r="P841" i="31" s="1"/>
  <c r="L372" i="31"/>
  <c r="L377" i="31" s="1"/>
  <c r="L378" i="31" s="1"/>
  <c r="G372" i="31"/>
  <c r="G377" i="31" s="1"/>
  <c r="G378" i="31" s="1"/>
  <c r="B737" i="31"/>
  <c r="Q644" i="31"/>
  <c r="B754" i="31"/>
  <c r="E754" i="31" s="1"/>
  <c r="R732" i="31"/>
  <c r="S158" i="31"/>
  <c r="R121" i="31"/>
  <c r="R47" i="31"/>
  <c r="R722" i="31"/>
  <c r="Q419" i="31"/>
  <c r="R549" i="31"/>
  <c r="Q723" i="31"/>
  <c r="R51" i="31"/>
  <c r="R418" i="31"/>
  <c r="R734" i="31"/>
  <c r="I419" i="31"/>
  <c r="R577" i="31"/>
  <c r="Q372" i="31"/>
  <c r="R448" i="31"/>
  <c r="R409" i="31"/>
  <c r="R636" i="31"/>
  <c r="R717" i="31"/>
  <c r="R679" i="31"/>
  <c r="R492" i="31"/>
  <c r="M419" i="31"/>
  <c r="E419" i="31"/>
  <c r="R58" i="31"/>
  <c r="R670" i="31"/>
  <c r="R642" i="31"/>
  <c r="R632" i="31"/>
  <c r="R599" i="31"/>
  <c r="R557" i="31"/>
  <c r="R497" i="31"/>
  <c r="R458" i="31"/>
  <c r="F422" i="31"/>
  <c r="I422" i="31" s="1"/>
  <c r="N754" i="31"/>
  <c r="Q754" i="31" s="1"/>
  <c r="E558" i="31"/>
  <c r="R306" i="31"/>
  <c r="R370" i="31"/>
  <c r="R459" i="31"/>
  <c r="R690" i="31"/>
  <c r="R511" i="31"/>
  <c r="R15" i="31"/>
  <c r="R556" i="31"/>
  <c r="P616" i="31"/>
  <c r="P617" i="31" s="1"/>
  <c r="R733" i="31"/>
  <c r="E727" i="31"/>
  <c r="B561" i="31"/>
  <c r="B562" i="31" s="1"/>
  <c r="R405" i="31"/>
  <c r="R715" i="31"/>
  <c r="R105" i="31"/>
  <c r="R536" i="31"/>
  <c r="E756" i="31"/>
  <c r="R589" i="31"/>
  <c r="R417" i="31"/>
  <c r="R643" i="31"/>
  <c r="R600" i="31"/>
  <c r="R581" i="31"/>
  <c r="R545" i="31"/>
  <c r="R238" i="31"/>
  <c r="R239" i="31"/>
  <c r="R182" i="31"/>
  <c r="S79" i="31"/>
  <c r="R438" i="31"/>
  <c r="R59" i="31"/>
  <c r="R730" i="31"/>
  <c r="R403" i="31"/>
  <c r="S441" i="31" s="1"/>
  <c r="R94" i="31"/>
  <c r="R122" i="31"/>
  <c r="E240" i="31"/>
  <c r="R19" i="31"/>
  <c r="R17" i="31"/>
  <c r="R729" i="31"/>
  <c r="G616" i="31"/>
  <c r="O777" i="31" s="1"/>
  <c r="O835" i="31" s="1"/>
  <c r="R371" i="31"/>
  <c r="M313" i="31"/>
  <c r="E460" i="31"/>
  <c r="R18" i="31"/>
  <c r="R16" i="31"/>
  <c r="E723" i="31"/>
  <c r="L760" i="31"/>
  <c r="L14" i="31" s="1"/>
  <c r="K8" i="25" s="1"/>
  <c r="M460" i="31"/>
  <c r="R28" i="31"/>
  <c r="R689" i="31"/>
  <c r="R512" i="31"/>
  <c r="R726" i="31"/>
  <c r="R209" i="31"/>
  <c r="R735" i="31"/>
  <c r="R731" i="31"/>
  <c r="P760" i="31"/>
  <c r="P14" i="31" s="1"/>
  <c r="N8" i="25" s="1"/>
  <c r="R721" i="31"/>
  <c r="R713" i="31"/>
  <c r="R712" i="31"/>
  <c r="P249" i="31"/>
  <c r="L249" i="31"/>
  <c r="H249" i="31"/>
  <c r="O249" i="31"/>
  <c r="G248" i="31"/>
  <c r="I248" i="31" s="1"/>
  <c r="I240" i="31"/>
  <c r="K249" i="31"/>
  <c r="M809" i="31"/>
  <c r="M805" i="31"/>
  <c r="M801" i="31"/>
  <c r="N752" i="31"/>
  <c r="Q718" i="31"/>
  <c r="N737" i="31"/>
  <c r="M541" i="31"/>
  <c r="J558" i="31"/>
  <c r="M808" i="31"/>
  <c r="G562" i="31"/>
  <c r="M803" i="31"/>
  <c r="M799" i="31"/>
  <c r="B752" i="31"/>
  <c r="E718" i="31"/>
  <c r="M601" i="31"/>
  <c r="J604" i="31"/>
  <c r="Q558" i="31"/>
  <c r="N561" i="31"/>
  <c r="H562" i="31"/>
  <c r="M804" i="31"/>
  <c r="M800" i="31"/>
  <c r="B811" i="31"/>
  <c r="M798" i="31"/>
  <c r="M723" i="31"/>
  <c r="J754" i="31"/>
  <c r="M754" i="31" s="1"/>
  <c r="J696" i="31"/>
  <c r="J695" i="31"/>
  <c r="M694" i="31"/>
  <c r="Q777" i="31"/>
  <c r="Q835" i="31" s="1"/>
  <c r="G697" i="31"/>
  <c r="B696" i="31"/>
  <c r="B695" i="31"/>
  <c r="E694" i="31"/>
  <c r="P777" i="31"/>
  <c r="P835" i="31" s="1"/>
  <c r="G651" i="31"/>
  <c r="B605" i="31"/>
  <c r="E604" i="31"/>
  <c r="J752" i="31"/>
  <c r="M718" i="31"/>
  <c r="J737" i="31"/>
  <c r="Q516" i="31"/>
  <c r="N517" i="31"/>
  <c r="J517" i="31"/>
  <c r="M516" i="31"/>
  <c r="I516" i="31"/>
  <c r="F517" i="31"/>
  <c r="B517" i="31"/>
  <c r="E516" i="31"/>
  <c r="I723" i="31"/>
  <c r="F754" i="31"/>
  <c r="I754" i="31" s="1"/>
  <c r="K464" i="31"/>
  <c r="C464" i="31"/>
  <c r="N696" i="31"/>
  <c r="Q694" i="31"/>
  <c r="N695" i="31"/>
  <c r="F752" i="31"/>
  <c r="I718" i="31"/>
  <c r="F737" i="31"/>
  <c r="J464" i="31"/>
  <c r="M463" i="31"/>
  <c r="B464" i="31"/>
  <c r="E463" i="31"/>
  <c r="J423" i="31"/>
  <c r="M422" i="31"/>
  <c r="B423" i="31"/>
  <c r="E422" i="31"/>
  <c r="F249" i="31"/>
  <c r="N127" i="31"/>
  <c r="Q126" i="31"/>
  <c r="N64" i="31"/>
  <c r="Q63" i="31"/>
  <c r="F64" i="31"/>
  <c r="I63" i="31"/>
  <c r="Q377" i="31"/>
  <c r="N378" i="31"/>
  <c r="R628" i="31"/>
  <c r="R725" i="31"/>
  <c r="R720" i="31"/>
  <c r="R665" i="31"/>
  <c r="R614" i="31"/>
  <c r="R526" i="31"/>
  <c r="E896" i="31"/>
  <c r="D896" i="31"/>
  <c r="Q219" i="31"/>
  <c r="M219" i="31"/>
  <c r="M736" i="31"/>
  <c r="E736" i="31"/>
  <c r="O760" i="31"/>
  <c r="O14" i="31" s="1"/>
  <c r="M8" i="25" s="1"/>
  <c r="L737" i="31"/>
  <c r="C760" i="31"/>
  <c r="C14" i="31" s="1"/>
  <c r="D8" i="25" s="1"/>
  <c r="G760" i="31"/>
  <c r="G14" i="31" s="1"/>
  <c r="G8" i="25" s="1"/>
  <c r="R486" i="31"/>
  <c r="R444" i="31"/>
  <c r="R400" i="31"/>
  <c r="Q736" i="31"/>
  <c r="I736" i="31"/>
  <c r="I727" i="31"/>
  <c r="P737" i="31"/>
  <c r="D737" i="31"/>
  <c r="K760" i="31"/>
  <c r="K14" i="31" s="1"/>
  <c r="J8" i="25" s="1"/>
  <c r="H737" i="31"/>
  <c r="J372" i="31"/>
  <c r="D372" i="31"/>
  <c r="J240" i="31"/>
  <c r="Q460" i="31"/>
  <c r="I460" i="31"/>
  <c r="K562" i="31"/>
  <c r="Q601" i="31"/>
  <c r="N604" i="31"/>
  <c r="I601" i="31"/>
  <c r="F604" i="31"/>
  <c r="I541" i="31"/>
  <c r="F558" i="31"/>
  <c r="M806" i="31"/>
  <c r="M802" i="31"/>
  <c r="B896" i="31"/>
  <c r="J756" i="31"/>
  <c r="M756" i="31" s="1"/>
  <c r="M727" i="31"/>
  <c r="P781" i="31"/>
  <c r="P839" i="31" s="1"/>
  <c r="L651" i="31"/>
  <c r="J650" i="31"/>
  <c r="J649" i="31"/>
  <c r="M648" i="31"/>
  <c r="P775" i="31"/>
  <c r="P833" i="31" s="1"/>
  <c r="D651" i="31"/>
  <c r="B650" i="31"/>
  <c r="B649" i="31"/>
  <c r="E648" i="31"/>
  <c r="N756" i="31"/>
  <c r="Q756" i="31" s="1"/>
  <c r="Q727" i="31"/>
  <c r="O464" i="31"/>
  <c r="G464" i="31"/>
  <c r="Q784" i="31"/>
  <c r="Q842" i="31" s="1"/>
  <c r="P697" i="31"/>
  <c r="P784" i="31"/>
  <c r="P842" i="31" s="1"/>
  <c r="P651" i="31"/>
  <c r="N650" i="31"/>
  <c r="Q648" i="31"/>
  <c r="N649" i="31"/>
  <c r="P780" i="31"/>
  <c r="P838" i="31" s="1"/>
  <c r="K651" i="31"/>
  <c r="F650" i="31"/>
  <c r="I648" i="31"/>
  <c r="F649" i="31"/>
  <c r="B378" i="31"/>
  <c r="N464" i="31"/>
  <c r="Q463" i="31"/>
  <c r="F464" i="31"/>
  <c r="I463" i="31"/>
  <c r="N423" i="31"/>
  <c r="Q422" i="31"/>
  <c r="B249" i="31"/>
  <c r="E248" i="31"/>
  <c r="J127" i="31"/>
  <c r="M126" i="31"/>
  <c r="B127" i="31"/>
  <c r="E126" i="31"/>
  <c r="B64" i="31"/>
  <c r="E63" i="31"/>
  <c r="C896" i="31"/>
  <c r="M758" i="31"/>
  <c r="E758" i="31"/>
  <c r="O737" i="31"/>
  <c r="C737" i="31"/>
  <c r="G737" i="31"/>
  <c r="I313" i="31"/>
  <c r="R176" i="31"/>
  <c r="R87" i="31"/>
  <c r="R42" i="31"/>
  <c r="Q758" i="31"/>
  <c r="I758" i="31"/>
  <c r="I756" i="31"/>
  <c r="D760" i="31"/>
  <c r="D14" i="31" s="1"/>
  <c r="E8" i="25" s="1"/>
  <c r="K737" i="31"/>
  <c r="H760" i="31"/>
  <c r="H14" i="31" s="1"/>
  <c r="H8" i="25" s="1"/>
  <c r="N240" i="31"/>
  <c r="F372" i="31"/>
  <c r="I219" i="31"/>
  <c r="H651" i="31" l="1"/>
  <c r="H697" i="31"/>
  <c r="Q778" i="31"/>
  <c r="Q836" i="31" s="1"/>
  <c r="I694" i="31"/>
  <c r="R694" i="31" s="1"/>
  <c r="P774" i="31"/>
  <c r="P832" i="31" s="1"/>
  <c r="L616" i="31"/>
  <c r="O781" i="31" s="1"/>
  <c r="O839" i="31" s="1"/>
  <c r="L697" i="31"/>
  <c r="C616" i="31"/>
  <c r="O774" i="31" s="1"/>
  <c r="O832" i="31" s="1"/>
  <c r="F696" i="31"/>
  <c r="I696" i="31" s="1"/>
  <c r="D616" i="31"/>
  <c r="D617" i="31" s="1"/>
  <c r="D697" i="31"/>
  <c r="K697" i="31"/>
  <c r="J64" i="31"/>
  <c r="Q780" i="31"/>
  <c r="Q838" i="31" s="1"/>
  <c r="R123" i="31"/>
  <c r="R644" i="31"/>
  <c r="R60" i="31"/>
  <c r="R513" i="31"/>
  <c r="R691" i="31"/>
  <c r="R300" i="31"/>
  <c r="O697" i="31"/>
  <c r="C697" i="31"/>
  <c r="Q774" i="31"/>
  <c r="Q832" i="31" s="1"/>
  <c r="I126" i="31"/>
  <c r="R126" i="31" s="1"/>
  <c r="O651" i="31"/>
  <c r="O616" i="31"/>
  <c r="O606" i="31" s="1"/>
  <c r="O607" i="31" s="1"/>
  <c r="R723" i="31"/>
  <c r="F423" i="31"/>
  <c r="T728" i="31"/>
  <c r="R419" i="31"/>
  <c r="O784" i="31"/>
  <c r="O842" i="31" s="1"/>
  <c r="P606" i="31"/>
  <c r="N784" i="31" s="1"/>
  <c r="N842" i="31" s="1"/>
  <c r="O778" i="31"/>
  <c r="H606" i="31"/>
  <c r="H607" i="31" s="1"/>
  <c r="E561" i="31"/>
  <c r="R541" i="31"/>
  <c r="G617" i="31"/>
  <c r="R219" i="31"/>
  <c r="K606" i="31"/>
  <c r="K563" i="31" s="1"/>
  <c r="M780" i="31" s="1"/>
  <c r="M838" i="31" s="1"/>
  <c r="R756" i="31"/>
  <c r="G606" i="31"/>
  <c r="N777" i="31" s="1"/>
  <c r="N835" i="31" s="1"/>
  <c r="O780" i="31"/>
  <c r="R601" i="31"/>
  <c r="R516" i="31"/>
  <c r="R313" i="31"/>
  <c r="R460" i="31"/>
  <c r="R727" i="31"/>
  <c r="R754" i="31"/>
  <c r="R63" i="31"/>
  <c r="P860" i="31"/>
  <c r="P862" i="31"/>
  <c r="P857" i="31"/>
  <c r="I604" i="31"/>
  <c r="F605" i="31"/>
  <c r="I372" i="31"/>
  <c r="F377" i="31"/>
  <c r="P782" i="31"/>
  <c r="P840" i="31" s="1"/>
  <c r="N651" i="31"/>
  <c r="Q650" i="31"/>
  <c r="N616" i="31"/>
  <c r="N606" i="31" s="1"/>
  <c r="N563" i="31" s="1"/>
  <c r="P866" i="31"/>
  <c r="Q866" i="31"/>
  <c r="P779" i="31"/>
  <c r="P837" i="31" s="1"/>
  <c r="J651" i="31"/>
  <c r="M650" i="31"/>
  <c r="J616" i="31"/>
  <c r="J606" i="31" s="1"/>
  <c r="P863" i="31"/>
  <c r="Q857" i="31"/>
  <c r="Q863" i="31"/>
  <c r="J248" i="31"/>
  <c r="M240" i="31"/>
  <c r="M372" i="31"/>
  <c r="J377" i="31"/>
  <c r="F760" i="31"/>
  <c r="F14" i="31" s="1"/>
  <c r="I752" i="31"/>
  <c r="I760" i="31" s="1"/>
  <c r="J760" i="31"/>
  <c r="J14" i="31" s="1"/>
  <c r="M752" i="31"/>
  <c r="M760" i="31" s="1"/>
  <c r="Q773" i="31"/>
  <c r="Q831" i="31" s="1"/>
  <c r="B697" i="31"/>
  <c r="E696" i="31"/>
  <c r="Q859" i="31"/>
  <c r="M558" i="31"/>
  <c r="J561" i="31"/>
  <c r="N760" i="31"/>
  <c r="N14" i="31" s="1"/>
  <c r="Q752" i="31"/>
  <c r="Q760" i="31" s="1"/>
  <c r="G249" i="31"/>
  <c r="R648" i="31"/>
  <c r="R758" i="31"/>
  <c r="R422" i="31"/>
  <c r="R463" i="31"/>
  <c r="I737" i="31"/>
  <c r="M737" i="31"/>
  <c r="R718" i="31"/>
  <c r="T718" i="31" s="1"/>
  <c r="Q737" i="31"/>
  <c r="N248" i="31"/>
  <c r="Q240" i="31"/>
  <c r="P776" i="31"/>
  <c r="P834" i="31" s="1"/>
  <c r="F651" i="31"/>
  <c r="I650" i="31"/>
  <c r="P773" i="31"/>
  <c r="P831" i="31" s="1"/>
  <c r="B651" i="31"/>
  <c r="E650" i="31"/>
  <c r="B616" i="31"/>
  <c r="I558" i="31"/>
  <c r="F561" i="31"/>
  <c r="Q604" i="31"/>
  <c r="N605" i="31"/>
  <c r="D377" i="31"/>
  <c r="E372" i="31"/>
  <c r="Q782" i="31"/>
  <c r="Q840" i="31" s="1"/>
  <c r="N697" i="31"/>
  <c r="Q696" i="31"/>
  <c r="P859" i="31"/>
  <c r="P865" i="31"/>
  <c r="Q779" i="31"/>
  <c r="Q837" i="31" s="1"/>
  <c r="J697" i="31"/>
  <c r="M696" i="31"/>
  <c r="Q865" i="31"/>
  <c r="O859" i="31"/>
  <c r="Q561" i="31"/>
  <c r="N562" i="31"/>
  <c r="J605" i="31"/>
  <c r="M604" i="31"/>
  <c r="B760" i="31"/>
  <c r="B14" i="31" s="1"/>
  <c r="E752" i="31"/>
  <c r="R736" i="31"/>
  <c r="E737" i="31"/>
  <c r="Q14" i="31" l="1"/>
  <c r="L8" i="25"/>
  <c r="M14" i="31"/>
  <c r="I8" i="25"/>
  <c r="E14" i="31"/>
  <c r="C8" i="25"/>
  <c r="I14" i="31"/>
  <c r="R14" i="31" s="1"/>
  <c r="F8" i="25"/>
  <c r="O863" i="31"/>
  <c r="L606" i="31"/>
  <c r="N781" i="31" s="1"/>
  <c r="N839" i="31" s="1"/>
  <c r="P856" i="31"/>
  <c r="Q860" i="31"/>
  <c r="L617" i="31"/>
  <c r="C606" i="31"/>
  <c r="N774" i="31" s="1"/>
  <c r="N832" i="31" s="1"/>
  <c r="O856" i="31"/>
  <c r="C617" i="31"/>
  <c r="Q776" i="31"/>
  <c r="Q834" i="31" s="1"/>
  <c r="F616" i="31"/>
  <c r="O776" i="31" s="1"/>
  <c r="O834" i="31" s="1"/>
  <c r="F697" i="31"/>
  <c r="Q862" i="31"/>
  <c r="O775" i="31"/>
  <c r="O833" i="31" s="1"/>
  <c r="N783" i="31"/>
  <c r="N841" i="31" s="1"/>
  <c r="D606" i="31"/>
  <c r="D563" i="31" s="1"/>
  <c r="D564" i="31" s="1"/>
  <c r="Q856" i="31"/>
  <c r="O783" i="31"/>
  <c r="O841" i="31" s="1"/>
  <c r="O563" i="31"/>
  <c r="O564" i="31" s="1"/>
  <c r="O617" i="31"/>
  <c r="O866" i="31"/>
  <c r="O862" i="31"/>
  <c r="O838" i="31"/>
  <c r="O860" i="31"/>
  <c r="O836" i="31"/>
  <c r="P563" i="31"/>
  <c r="P607" i="31"/>
  <c r="H563" i="31"/>
  <c r="H528" i="31" s="1"/>
  <c r="N778" i="31"/>
  <c r="N780" i="31"/>
  <c r="N838" i="31" s="1"/>
  <c r="R558" i="31"/>
  <c r="K564" i="31"/>
  <c r="K607" i="31"/>
  <c r="K528" i="31"/>
  <c r="L780" i="31" s="1"/>
  <c r="L838" i="31" s="1"/>
  <c r="R372" i="31"/>
  <c r="G607" i="31"/>
  <c r="G563" i="31"/>
  <c r="M777" i="31" s="1"/>
  <c r="M835" i="31" s="1"/>
  <c r="R604" i="31"/>
  <c r="R240" i="31"/>
  <c r="R737" i="31"/>
  <c r="M782" i="31"/>
  <c r="M840" i="31" s="1"/>
  <c r="N564" i="31"/>
  <c r="N528" i="31"/>
  <c r="Q864" i="31"/>
  <c r="O773" i="31"/>
  <c r="O831" i="31" s="1"/>
  <c r="B617" i="31"/>
  <c r="E616" i="31"/>
  <c r="B606" i="31"/>
  <c r="N249" i="31"/>
  <c r="Q248" i="31"/>
  <c r="J378" i="31"/>
  <c r="M377" i="31"/>
  <c r="P864" i="31"/>
  <c r="R752" i="31"/>
  <c r="R760" i="31" s="1"/>
  <c r="E760" i="31"/>
  <c r="N779" i="31"/>
  <c r="N837" i="31" s="1"/>
  <c r="J607" i="31"/>
  <c r="Q861" i="31"/>
  <c r="N782" i="31"/>
  <c r="N840" i="31" s="1"/>
  <c r="N607" i="31"/>
  <c r="Q606" i="31"/>
  <c r="P855" i="31"/>
  <c r="P786" i="31"/>
  <c r="P858" i="31"/>
  <c r="N859" i="31"/>
  <c r="J249" i="31"/>
  <c r="M248" i="31"/>
  <c r="O779" i="31"/>
  <c r="O837" i="31" s="1"/>
  <c r="J617" i="31"/>
  <c r="M616" i="31"/>
  <c r="O782" i="31"/>
  <c r="O840" i="31" s="1"/>
  <c r="Q616" i="31"/>
  <c r="N617" i="31"/>
  <c r="N866" i="31"/>
  <c r="R650" i="31"/>
  <c r="D378" i="31"/>
  <c r="E377" i="31"/>
  <c r="I561" i="31"/>
  <c r="F562" i="31"/>
  <c r="J563" i="31"/>
  <c r="J562" i="31"/>
  <c r="M561" i="31"/>
  <c r="Q855" i="31"/>
  <c r="M862" i="31"/>
  <c r="P861" i="31"/>
  <c r="I377" i="31"/>
  <c r="F378" i="31"/>
  <c r="R696" i="31"/>
  <c r="O8" i="25" l="1"/>
  <c r="N863" i="31"/>
  <c r="M606" i="31"/>
  <c r="L563" i="31"/>
  <c r="L564" i="31" s="1"/>
  <c r="L607" i="31"/>
  <c r="Q858" i="31"/>
  <c r="Q868" i="31" s="1"/>
  <c r="N856" i="31"/>
  <c r="F606" i="31"/>
  <c r="F563" i="31" s="1"/>
  <c r="F564" i="31" s="1"/>
  <c r="C607" i="31"/>
  <c r="I616" i="31"/>
  <c r="R616" i="31" s="1"/>
  <c r="C563" i="31"/>
  <c r="C564" i="31" s="1"/>
  <c r="F617" i="31"/>
  <c r="Q786" i="31"/>
  <c r="N865" i="31"/>
  <c r="D528" i="31"/>
  <c r="D518" i="31" s="1"/>
  <c r="O857" i="31"/>
  <c r="M775" i="31"/>
  <c r="M833" i="31" s="1"/>
  <c r="D607" i="31"/>
  <c r="N775" i="31"/>
  <c r="N833" i="31" s="1"/>
  <c r="Q563" i="31"/>
  <c r="O528" i="31"/>
  <c r="O529" i="31" s="1"/>
  <c r="O865" i="31"/>
  <c r="M783" i="31"/>
  <c r="M841" i="31" s="1"/>
  <c r="P528" i="31"/>
  <c r="P518" i="31" s="1"/>
  <c r="M778" i="31"/>
  <c r="M836" i="31" s="1"/>
  <c r="H564" i="31"/>
  <c r="M784" i="31"/>
  <c r="M842" i="31" s="1"/>
  <c r="P564" i="31"/>
  <c r="N860" i="31"/>
  <c r="N836" i="31"/>
  <c r="N862" i="31"/>
  <c r="K529" i="31"/>
  <c r="K518" i="31"/>
  <c r="K780" i="31" s="1"/>
  <c r="K838" i="31" s="1"/>
  <c r="G564" i="31"/>
  <c r="G528" i="31"/>
  <c r="G529" i="31" s="1"/>
  <c r="P868" i="31"/>
  <c r="R248" i="31"/>
  <c r="O864" i="31"/>
  <c r="L778" i="31"/>
  <c r="L836" i="31" s="1"/>
  <c r="H529" i="31"/>
  <c r="H518" i="31"/>
  <c r="N861" i="31"/>
  <c r="N773" i="31"/>
  <c r="N831" i="31" s="1"/>
  <c r="B607" i="31"/>
  <c r="E606" i="31"/>
  <c r="B563" i="31"/>
  <c r="L782" i="31"/>
  <c r="L840" i="31" s="1"/>
  <c r="N529" i="31"/>
  <c r="N518" i="31"/>
  <c r="M779" i="31"/>
  <c r="M837" i="31" s="1"/>
  <c r="J564" i="31"/>
  <c r="J528" i="31"/>
  <c r="O858" i="31"/>
  <c r="O861" i="31"/>
  <c r="M859" i="31"/>
  <c r="N864" i="31"/>
  <c r="L862" i="31"/>
  <c r="O855" i="31"/>
  <c r="O786" i="31"/>
  <c r="M864" i="31"/>
  <c r="R561" i="31"/>
  <c r="R377" i="31"/>
  <c r="M774" i="31" l="1"/>
  <c r="M832" i="31" s="1"/>
  <c r="C528" i="31"/>
  <c r="L774" i="31" s="1"/>
  <c r="L832" i="31" s="1"/>
  <c r="M781" i="31"/>
  <c r="M839" i="31" s="1"/>
  <c r="M563" i="31"/>
  <c r="L528" i="31"/>
  <c r="L529" i="31" s="1"/>
  <c r="F528" i="31"/>
  <c r="I528" i="31" s="1"/>
  <c r="F607" i="31"/>
  <c r="N776" i="31"/>
  <c r="N834" i="31" s="1"/>
  <c r="M776" i="31"/>
  <c r="M834" i="31" s="1"/>
  <c r="I606" i="31"/>
  <c r="R606" i="31" s="1"/>
  <c r="I563" i="31"/>
  <c r="L775" i="31"/>
  <c r="L833" i="31" s="1"/>
  <c r="M857" i="31"/>
  <c r="D529" i="31"/>
  <c r="N857" i="31"/>
  <c r="M865" i="31"/>
  <c r="L783" i="31"/>
  <c r="L841" i="31" s="1"/>
  <c r="O518" i="31"/>
  <c r="O519" i="31" s="1"/>
  <c r="L784" i="31"/>
  <c r="L842" i="31" s="1"/>
  <c r="Q528" i="31"/>
  <c r="P529" i="31"/>
  <c r="M860" i="31"/>
  <c r="M866" i="31"/>
  <c r="U892" i="31"/>
  <c r="S862" i="31" s="1"/>
  <c r="K519" i="31"/>
  <c r="K465" i="31"/>
  <c r="K466" i="31" s="1"/>
  <c r="L777" i="31"/>
  <c r="L835" i="31" s="1"/>
  <c r="G518" i="31"/>
  <c r="G519" i="31" s="1"/>
  <c r="O868" i="31"/>
  <c r="K775" i="31"/>
  <c r="K833" i="31" s="1"/>
  <c r="D519" i="31"/>
  <c r="D465" i="31"/>
  <c r="M861" i="31"/>
  <c r="K782" i="31"/>
  <c r="K840" i="31" s="1"/>
  <c r="N519" i="31"/>
  <c r="N465" i="31"/>
  <c r="M773" i="31"/>
  <c r="M831" i="31" s="1"/>
  <c r="B564" i="31"/>
  <c r="E563" i="31"/>
  <c r="B528" i="31"/>
  <c r="K778" i="31"/>
  <c r="K836" i="31" s="1"/>
  <c r="H519" i="31"/>
  <c r="H465" i="31"/>
  <c r="L860" i="31"/>
  <c r="K862" i="31"/>
  <c r="J529" i="31"/>
  <c r="L779" i="31"/>
  <c r="L837" i="31" s="1"/>
  <c r="J518" i="31"/>
  <c r="L864" i="31"/>
  <c r="U894" i="31" s="1"/>
  <c r="S864" i="31" s="1"/>
  <c r="N855" i="31"/>
  <c r="K784" i="31"/>
  <c r="K842" i="31" s="1"/>
  <c r="P519" i="31"/>
  <c r="P465" i="31"/>
  <c r="M856" i="31" l="1"/>
  <c r="C529" i="31"/>
  <c r="L856" i="31"/>
  <c r="C518" i="31"/>
  <c r="K774" i="31" s="1"/>
  <c r="K832" i="31" s="1"/>
  <c r="M863" i="31"/>
  <c r="M528" i="31"/>
  <c r="L776" i="31"/>
  <c r="L834" i="31" s="1"/>
  <c r="L518" i="31"/>
  <c r="L519" i="31" s="1"/>
  <c r="L781" i="31"/>
  <c r="L839" i="31" s="1"/>
  <c r="F518" i="31"/>
  <c r="F465" i="31" s="1"/>
  <c r="F529" i="31"/>
  <c r="M858" i="31"/>
  <c r="R563" i="31"/>
  <c r="N786" i="31"/>
  <c r="N858" i="31"/>
  <c r="N868" i="31" s="1"/>
  <c r="L857" i="31"/>
  <c r="U887" i="31" s="1"/>
  <c r="S857" i="31" s="1"/>
  <c r="Q518" i="31"/>
  <c r="L865" i="31"/>
  <c r="U895" i="31" s="1"/>
  <c r="S865" i="31" s="1"/>
  <c r="O465" i="31"/>
  <c r="O466" i="31" s="1"/>
  <c r="K783" i="31"/>
  <c r="K841" i="31" s="1"/>
  <c r="L866" i="31"/>
  <c r="U896" i="31" s="1"/>
  <c r="S866" i="31" s="1"/>
  <c r="K777" i="31"/>
  <c r="K835" i="31" s="1"/>
  <c r="U890" i="31"/>
  <c r="S860" i="31" s="1"/>
  <c r="K424" i="31"/>
  <c r="I780" i="31" s="1"/>
  <c r="I838" i="31" s="1"/>
  <c r="J780" i="31"/>
  <c r="J838" i="31" s="1"/>
  <c r="L859" i="31"/>
  <c r="U889" i="31" s="1"/>
  <c r="S859" i="31" s="1"/>
  <c r="G465" i="31"/>
  <c r="J777" i="31" s="1"/>
  <c r="J835" i="31" s="1"/>
  <c r="J784" i="31"/>
  <c r="J842" i="31" s="1"/>
  <c r="P466" i="31"/>
  <c r="P424" i="31"/>
  <c r="K866" i="31"/>
  <c r="K779" i="31"/>
  <c r="K837" i="31" s="1"/>
  <c r="J519" i="31"/>
  <c r="J465" i="31"/>
  <c r="B529" i="31"/>
  <c r="E528" i="31"/>
  <c r="L773" i="31"/>
  <c r="L831" i="31" s="1"/>
  <c r="B518" i="31"/>
  <c r="J782" i="31"/>
  <c r="J840" i="31" s="1"/>
  <c r="N466" i="31"/>
  <c r="N424" i="31"/>
  <c r="J775" i="31"/>
  <c r="J833" i="31" s="1"/>
  <c r="D466" i="31"/>
  <c r="D424" i="31"/>
  <c r="K857" i="31"/>
  <c r="L861" i="31"/>
  <c r="U891" i="31" s="1"/>
  <c r="S861" i="31" s="1"/>
  <c r="J778" i="31"/>
  <c r="J836" i="31" s="1"/>
  <c r="H466" i="31"/>
  <c r="H424" i="31"/>
  <c r="K860" i="31"/>
  <c r="M855" i="31"/>
  <c r="M786" i="31"/>
  <c r="K864" i="31"/>
  <c r="U886" i="31" l="1"/>
  <c r="S856" i="31" s="1"/>
  <c r="K856" i="31"/>
  <c r="C465" i="31"/>
  <c r="C466" i="31" s="1"/>
  <c r="C519" i="31"/>
  <c r="R528" i="31"/>
  <c r="L465" i="31"/>
  <c r="L466" i="31" s="1"/>
  <c r="L858" i="31"/>
  <c r="U888" i="31" s="1"/>
  <c r="S858" i="31" s="1"/>
  <c r="M518" i="31"/>
  <c r="K781" i="31"/>
  <c r="K839" i="31" s="1"/>
  <c r="L863" i="31"/>
  <c r="U893" i="31" s="1"/>
  <c r="S863" i="31" s="1"/>
  <c r="I518" i="31"/>
  <c r="M868" i="31"/>
  <c r="F519" i="31"/>
  <c r="K776" i="31"/>
  <c r="K834" i="31" s="1"/>
  <c r="Q465" i="31"/>
  <c r="J783" i="31"/>
  <c r="J865" i="31" s="1"/>
  <c r="O424" i="31"/>
  <c r="O425" i="31" s="1"/>
  <c r="K865" i="31"/>
  <c r="C424" i="31"/>
  <c r="I774" i="31" s="1"/>
  <c r="I832" i="31" s="1"/>
  <c r="K859" i="31"/>
  <c r="K386" i="31"/>
  <c r="K385" i="31" s="1"/>
  <c r="K384" i="31" s="1"/>
  <c r="K383" i="31" s="1"/>
  <c r="K382" i="31" s="1"/>
  <c r="K381" i="31" s="1"/>
  <c r="J862" i="31"/>
  <c r="K379" i="31"/>
  <c r="K250" i="31" s="1"/>
  <c r="K252" i="31" s="1"/>
  <c r="K425" i="31"/>
  <c r="G466" i="31"/>
  <c r="G424" i="31"/>
  <c r="G425" i="31" s="1"/>
  <c r="J859" i="31"/>
  <c r="I778" i="31"/>
  <c r="I836" i="31" s="1"/>
  <c r="H386" i="31"/>
  <c r="H385" i="31" s="1"/>
  <c r="H384" i="31" s="1"/>
  <c r="H383" i="31" s="1"/>
  <c r="H382" i="31" s="1"/>
  <c r="H381" i="31" s="1"/>
  <c r="H425" i="31"/>
  <c r="H379" i="31"/>
  <c r="J860" i="31"/>
  <c r="I862" i="31"/>
  <c r="I775" i="31"/>
  <c r="I833" i="31" s="1"/>
  <c r="D425" i="31"/>
  <c r="D386" i="31"/>
  <c r="D385" i="31" s="1"/>
  <c r="D384" i="31" s="1"/>
  <c r="D383" i="31" s="1"/>
  <c r="D382" i="31" s="1"/>
  <c r="D381" i="31" s="1"/>
  <c r="D379" i="31"/>
  <c r="J857" i="31"/>
  <c r="J864" i="31"/>
  <c r="L855" i="31"/>
  <c r="U885" i="31" s="1"/>
  <c r="L786" i="31"/>
  <c r="J779" i="31"/>
  <c r="J837" i="31" s="1"/>
  <c r="J466" i="31"/>
  <c r="J424" i="31"/>
  <c r="I784" i="31"/>
  <c r="I842" i="31" s="1"/>
  <c r="P386" i="31"/>
  <c r="P385" i="31" s="1"/>
  <c r="P384" i="31" s="1"/>
  <c r="P383" i="31" s="1"/>
  <c r="P382" i="31" s="1"/>
  <c r="P381" i="31" s="1"/>
  <c r="P425" i="31"/>
  <c r="P379" i="31"/>
  <c r="J866" i="31"/>
  <c r="I782" i="31"/>
  <c r="I840" i="31" s="1"/>
  <c r="N386" i="31"/>
  <c r="N385" i="31" s="1"/>
  <c r="N384" i="31" s="1"/>
  <c r="N383" i="31" s="1"/>
  <c r="N382" i="31" s="1"/>
  <c r="N381" i="31" s="1"/>
  <c r="N425" i="31"/>
  <c r="N379" i="31"/>
  <c r="K773" i="31"/>
  <c r="K831" i="31" s="1"/>
  <c r="B519" i="31"/>
  <c r="E518" i="31"/>
  <c r="B465" i="31"/>
  <c r="K861" i="31"/>
  <c r="J776" i="31"/>
  <c r="J834" i="31" s="1"/>
  <c r="I465" i="31"/>
  <c r="F466" i="31"/>
  <c r="F424" i="31"/>
  <c r="J774" i="31" l="1"/>
  <c r="J832" i="31" s="1"/>
  <c r="M465" i="31"/>
  <c r="K863" i="31"/>
  <c r="L424" i="31"/>
  <c r="L425" i="31" s="1"/>
  <c r="J781" i="31"/>
  <c r="J839" i="31" s="1"/>
  <c r="R518" i="31"/>
  <c r="K858" i="31"/>
  <c r="C425" i="31"/>
  <c r="O379" i="31"/>
  <c r="H783" i="31" s="1"/>
  <c r="H841" i="31" s="1"/>
  <c r="J841" i="31"/>
  <c r="O386" i="31"/>
  <c r="O385" i="31" s="1"/>
  <c r="O384" i="31" s="1"/>
  <c r="O383" i="31" s="1"/>
  <c r="O382" i="31" s="1"/>
  <c r="O381" i="31" s="1"/>
  <c r="I783" i="31"/>
  <c r="I865" i="31" s="1"/>
  <c r="Q424" i="31"/>
  <c r="C386" i="31"/>
  <c r="C385" i="31" s="1"/>
  <c r="C384" i="31" s="1"/>
  <c r="C383" i="31" s="1"/>
  <c r="C382" i="31" s="1"/>
  <c r="C381" i="31" s="1"/>
  <c r="C379" i="31"/>
  <c r="C380" i="31" s="1"/>
  <c r="I777" i="31"/>
  <c r="I835" i="31" s="1"/>
  <c r="K380" i="31"/>
  <c r="H780" i="31"/>
  <c r="H838" i="31" s="1"/>
  <c r="G386" i="31"/>
  <c r="G385" i="31" s="1"/>
  <c r="G384" i="31" s="1"/>
  <c r="G383" i="31" s="1"/>
  <c r="G382" i="31" s="1"/>
  <c r="G381" i="31" s="1"/>
  <c r="G379" i="31"/>
  <c r="G380" i="31" s="1"/>
  <c r="H784" i="31"/>
  <c r="H842" i="31" s="1"/>
  <c r="P380" i="31"/>
  <c r="P250" i="31"/>
  <c r="P252" i="31" s="1"/>
  <c r="J858" i="31"/>
  <c r="J773" i="31"/>
  <c r="J831" i="31" s="1"/>
  <c r="B466" i="31"/>
  <c r="E465" i="31"/>
  <c r="B424" i="31"/>
  <c r="H782" i="31"/>
  <c r="H840" i="31" s="1"/>
  <c r="N380" i="31"/>
  <c r="N250" i="31"/>
  <c r="N252" i="31" s="1"/>
  <c r="I864" i="31"/>
  <c r="I856" i="31"/>
  <c r="I866" i="31"/>
  <c r="J861" i="31"/>
  <c r="H775" i="31"/>
  <c r="H833" i="31" s="1"/>
  <c r="D380" i="31"/>
  <c r="D250" i="31"/>
  <c r="D252" i="31" s="1"/>
  <c r="H778" i="31"/>
  <c r="H836" i="31" s="1"/>
  <c r="H380" i="31"/>
  <c r="H250" i="31"/>
  <c r="H252" i="31" s="1"/>
  <c r="E780" i="31"/>
  <c r="E838" i="31" s="1"/>
  <c r="K251" i="31"/>
  <c r="K128" i="31"/>
  <c r="I776" i="31"/>
  <c r="I834" i="31" s="1"/>
  <c r="I424" i="31"/>
  <c r="F386" i="31"/>
  <c r="F385" i="31" s="1"/>
  <c r="F384" i="31" s="1"/>
  <c r="F383" i="31" s="1"/>
  <c r="F382" i="31" s="1"/>
  <c r="F381" i="31" s="1"/>
  <c r="F425" i="31"/>
  <c r="F379" i="31"/>
  <c r="K855" i="31"/>
  <c r="K786" i="31"/>
  <c r="I779" i="31"/>
  <c r="I837" i="31" s="1"/>
  <c r="J425" i="31"/>
  <c r="J386" i="31"/>
  <c r="J385" i="31" s="1"/>
  <c r="J384" i="31" s="1"/>
  <c r="J383" i="31" s="1"/>
  <c r="J382" i="31" s="1"/>
  <c r="J381" i="31" s="1"/>
  <c r="J379" i="31"/>
  <c r="L868" i="31"/>
  <c r="I857" i="31"/>
  <c r="I860" i="31"/>
  <c r="R465" i="31" l="1"/>
  <c r="J856" i="31"/>
  <c r="I781" i="31"/>
  <c r="I839" i="31" s="1"/>
  <c r="M424" i="31"/>
  <c r="L379" i="31"/>
  <c r="H781" i="31" s="1"/>
  <c r="H839" i="31" s="1"/>
  <c r="L386" i="31"/>
  <c r="L385" i="31" s="1"/>
  <c r="L384" i="31" s="1"/>
  <c r="L383" i="31" s="1"/>
  <c r="L382" i="31" s="1"/>
  <c r="L381" i="31" s="1"/>
  <c r="J863" i="31"/>
  <c r="K868" i="31"/>
  <c r="H865" i="31"/>
  <c r="G808" i="31" s="1"/>
  <c r="Q379" i="31"/>
  <c r="O250" i="31"/>
  <c r="O252" i="31" s="1"/>
  <c r="H774" i="31"/>
  <c r="H832" i="31" s="1"/>
  <c r="C250" i="31"/>
  <c r="C252" i="31" s="1"/>
  <c r="O380" i="31"/>
  <c r="I841" i="31"/>
  <c r="I859" i="31"/>
  <c r="H777" i="31"/>
  <c r="H835" i="31" s="1"/>
  <c r="H862" i="31"/>
  <c r="G805" i="31" s="1"/>
  <c r="G250" i="31"/>
  <c r="G252" i="31" s="1"/>
  <c r="U898" i="31"/>
  <c r="S855" i="31"/>
  <c r="S868" i="31" s="1"/>
  <c r="H779" i="31"/>
  <c r="H837" i="31" s="1"/>
  <c r="J380" i="31"/>
  <c r="J250" i="31"/>
  <c r="J252" i="31" s="1"/>
  <c r="I861" i="31"/>
  <c r="H776" i="31"/>
  <c r="H834" i="31" s="1"/>
  <c r="F380" i="31"/>
  <c r="I379" i="31"/>
  <c r="F250" i="31"/>
  <c r="F252" i="31" s="1"/>
  <c r="I858" i="31"/>
  <c r="P890" i="31"/>
  <c r="E862" i="31"/>
  <c r="E778" i="31"/>
  <c r="E836" i="31" s="1"/>
  <c r="H251" i="31"/>
  <c r="H128" i="31"/>
  <c r="H860" i="31"/>
  <c r="G803" i="31" s="1"/>
  <c r="E782" i="31"/>
  <c r="E840" i="31" s="1"/>
  <c r="N251" i="31"/>
  <c r="N128" i="31"/>
  <c r="I773" i="31"/>
  <c r="I831" i="31" s="1"/>
  <c r="B425" i="31"/>
  <c r="E424" i="31"/>
  <c r="B386" i="31"/>
  <c r="B385" i="31" s="1"/>
  <c r="B384" i="31" s="1"/>
  <c r="B383" i="31" s="1"/>
  <c r="B382" i="31" s="1"/>
  <c r="B381" i="31" s="1"/>
  <c r="B379" i="31"/>
  <c r="E784" i="31"/>
  <c r="E842" i="31" s="1"/>
  <c r="P251" i="31"/>
  <c r="P128" i="31"/>
  <c r="H866" i="31"/>
  <c r="G809" i="31" s="1"/>
  <c r="D780" i="31"/>
  <c r="D838" i="31" s="1"/>
  <c r="K129" i="31"/>
  <c r="K65" i="31"/>
  <c r="E775" i="31"/>
  <c r="E833" i="31" s="1"/>
  <c r="D251" i="31"/>
  <c r="D128" i="31"/>
  <c r="H857" i="31"/>
  <c r="G800" i="31" s="1"/>
  <c r="H864" i="31"/>
  <c r="G807" i="31" s="1"/>
  <c r="J855" i="31"/>
  <c r="J786" i="31"/>
  <c r="I863" i="31" l="1"/>
  <c r="L380" i="31"/>
  <c r="L250" i="31"/>
  <c r="L252" i="31" s="1"/>
  <c r="M379" i="31"/>
  <c r="R424" i="31"/>
  <c r="H863" i="31"/>
  <c r="J868" i="31"/>
  <c r="Q250" i="31"/>
  <c r="O251" i="31"/>
  <c r="O128" i="31"/>
  <c r="O65" i="31" s="1"/>
  <c r="O30" i="31" s="1"/>
  <c r="O31" i="31" s="1"/>
  <c r="H856" i="31"/>
  <c r="G799" i="31" s="1"/>
  <c r="E783" i="31"/>
  <c r="E841" i="31" s="1"/>
  <c r="C128" i="31"/>
  <c r="D774" i="31" s="1"/>
  <c r="D832" i="31" s="1"/>
  <c r="C251" i="31"/>
  <c r="E774" i="31"/>
  <c r="E832" i="31" s="1"/>
  <c r="H859" i="31"/>
  <c r="G802" i="31" s="1"/>
  <c r="E777" i="31"/>
  <c r="G128" i="31"/>
  <c r="D777" i="31" s="1"/>
  <c r="D835" i="31" s="1"/>
  <c r="G251" i="31"/>
  <c r="D782" i="31"/>
  <c r="D840" i="31" s="1"/>
  <c r="N129" i="31"/>
  <c r="N65" i="31"/>
  <c r="E864" i="31"/>
  <c r="P892" i="31"/>
  <c r="P888" i="31"/>
  <c r="E860" i="31"/>
  <c r="E776" i="31"/>
  <c r="E834" i="31" s="1"/>
  <c r="I250" i="31"/>
  <c r="F251" i="31"/>
  <c r="F128" i="31"/>
  <c r="H861" i="31"/>
  <c r="G804" i="31" s="1"/>
  <c r="P885" i="31"/>
  <c r="E857" i="31"/>
  <c r="P894" i="31"/>
  <c r="E866" i="31"/>
  <c r="D775" i="31"/>
  <c r="D833" i="31" s="1"/>
  <c r="D129" i="31"/>
  <c r="D65" i="31"/>
  <c r="C780" i="31"/>
  <c r="C838" i="31" s="1"/>
  <c r="K66" i="31"/>
  <c r="K30" i="31"/>
  <c r="O890" i="31"/>
  <c r="D862" i="31"/>
  <c r="D784" i="31"/>
  <c r="D842" i="31" s="1"/>
  <c r="P129" i="31"/>
  <c r="P65" i="31"/>
  <c r="H773" i="31"/>
  <c r="H831" i="31" s="1"/>
  <c r="B380" i="31"/>
  <c r="E379" i="31"/>
  <c r="B250" i="31"/>
  <c r="B252" i="31" s="1"/>
  <c r="I855" i="31"/>
  <c r="I786" i="31"/>
  <c r="D778" i="31"/>
  <c r="D836" i="31" s="1"/>
  <c r="H129" i="31"/>
  <c r="H65" i="31"/>
  <c r="H858" i="31"/>
  <c r="G801" i="31" s="1"/>
  <c r="E779" i="31"/>
  <c r="E837" i="31" s="1"/>
  <c r="J251" i="31"/>
  <c r="J128" i="31"/>
  <c r="I868" i="31" l="1"/>
  <c r="G806" i="31"/>
  <c r="M250" i="31"/>
  <c r="E781" i="31"/>
  <c r="E839" i="31" s="1"/>
  <c r="L128" i="31"/>
  <c r="D781" i="31" s="1"/>
  <c r="D839" i="31" s="1"/>
  <c r="L251" i="31"/>
  <c r="R379" i="31"/>
  <c r="C783" i="31"/>
  <c r="C841" i="31" s="1"/>
  <c r="O66" i="31"/>
  <c r="O129" i="31"/>
  <c r="D783" i="31"/>
  <c r="D841" i="31" s="1"/>
  <c r="Q128" i="31"/>
  <c r="P893" i="31"/>
  <c r="E865" i="31"/>
  <c r="C65" i="31"/>
  <c r="C30" i="31" s="1"/>
  <c r="C129" i="31"/>
  <c r="E856" i="31"/>
  <c r="P884" i="31"/>
  <c r="E859" i="31"/>
  <c r="E835" i="31"/>
  <c r="P887" i="31"/>
  <c r="G129" i="31"/>
  <c r="G65" i="31"/>
  <c r="D779" i="31"/>
  <c r="D837" i="31" s="1"/>
  <c r="J129" i="31"/>
  <c r="J65" i="31"/>
  <c r="P889" i="31"/>
  <c r="E861" i="31"/>
  <c r="H855" i="31"/>
  <c r="H786" i="31"/>
  <c r="O884" i="31"/>
  <c r="D856" i="31"/>
  <c r="O887" i="31"/>
  <c r="D859" i="31"/>
  <c r="C782" i="31"/>
  <c r="C840" i="31" s="1"/>
  <c r="Q65" i="31"/>
  <c r="N66" i="31"/>
  <c r="N30" i="31"/>
  <c r="C778" i="31"/>
  <c r="C836" i="31" s="1"/>
  <c r="H66" i="31"/>
  <c r="H30" i="31"/>
  <c r="O888" i="31"/>
  <c r="D860" i="31"/>
  <c r="E773" i="31"/>
  <c r="E831" i="31" s="1"/>
  <c r="B251" i="31"/>
  <c r="E250" i="31"/>
  <c r="B128" i="31"/>
  <c r="C784" i="31"/>
  <c r="C842" i="31" s="1"/>
  <c r="P66" i="31"/>
  <c r="P30" i="31"/>
  <c r="O894" i="31"/>
  <c r="D866" i="31"/>
  <c r="B780" i="31"/>
  <c r="K31" i="31"/>
  <c r="K20" i="31"/>
  <c r="N890" i="31"/>
  <c r="C862" i="31"/>
  <c r="C775" i="31"/>
  <c r="C833" i="31" s="1"/>
  <c r="D66" i="31"/>
  <c r="D30" i="31"/>
  <c r="O885" i="31"/>
  <c r="D857" i="31"/>
  <c r="B783" i="31"/>
  <c r="O20" i="31"/>
  <c r="D776" i="31"/>
  <c r="D834" i="31" s="1"/>
  <c r="I128" i="31"/>
  <c r="F129" i="31"/>
  <c r="F65" i="31"/>
  <c r="P886" i="31"/>
  <c r="E858" i="31"/>
  <c r="O892" i="31"/>
  <c r="D864" i="31"/>
  <c r="B838" i="31" l="1"/>
  <c r="T780" i="31"/>
  <c r="B841" i="31"/>
  <c r="T783" i="31"/>
  <c r="R250" i="31"/>
  <c r="D863" i="31"/>
  <c r="E863" i="31"/>
  <c r="P891" i="31"/>
  <c r="L65" i="31"/>
  <c r="L66" i="31" s="1"/>
  <c r="M128" i="31"/>
  <c r="O891" i="31"/>
  <c r="L129" i="31"/>
  <c r="C777" i="31"/>
  <c r="C835" i="31" s="1"/>
  <c r="G30" i="31"/>
  <c r="G31" i="31" s="1"/>
  <c r="C865" i="31"/>
  <c r="N893" i="31"/>
  <c r="O893" i="31"/>
  <c r="D865" i="31"/>
  <c r="C66" i="31"/>
  <c r="C774" i="31"/>
  <c r="C832" i="31" s="1"/>
  <c r="C31" i="31"/>
  <c r="G66" i="31"/>
  <c r="C776" i="31"/>
  <c r="C834" i="31" s="1"/>
  <c r="I65" i="31"/>
  <c r="F66" i="31"/>
  <c r="F30" i="31"/>
  <c r="F31" i="31" s="1"/>
  <c r="M893" i="31"/>
  <c r="B865" i="31"/>
  <c r="L808" i="31"/>
  <c r="E808" i="31"/>
  <c r="B775" i="31"/>
  <c r="D31" i="31"/>
  <c r="D20" i="31"/>
  <c r="N885" i="31"/>
  <c r="C857" i="31"/>
  <c r="M890" i="31"/>
  <c r="R890" i="31" s="1"/>
  <c r="B862" i="31"/>
  <c r="L805" i="31"/>
  <c r="E805" i="31"/>
  <c r="B784" i="31"/>
  <c r="P31" i="31"/>
  <c r="P20" i="31"/>
  <c r="N894" i="31"/>
  <c r="C866" i="31"/>
  <c r="B782" i="31"/>
  <c r="N31" i="31"/>
  <c r="Q30" i="31"/>
  <c r="N20" i="31"/>
  <c r="H868" i="31"/>
  <c r="G798" i="31"/>
  <c r="G811" i="31" s="1"/>
  <c r="C779" i="31"/>
  <c r="C837" i="31" s="1"/>
  <c r="J66" i="31"/>
  <c r="J30" i="31"/>
  <c r="O886" i="31"/>
  <c r="D858" i="31"/>
  <c r="D773" i="31"/>
  <c r="D831" i="31" s="1"/>
  <c r="B129" i="31"/>
  <c r="E128" i="31"/>
  <c r="B65" i="31"/>
  <c r="P883" i="31"/>
  <c r="E855" i="31"/>
  <c r="E786" i="31"/>
  <c r="B778" i="31"/>
  <c r="H31" i="31"/>
  <c r="H20" i="31"/>
  <c r="N888" i="31"/>
  <c r="C860" i="31"/>
  <c r="C864" i="31"/>
  <c r="N892" i="31"/>
  <c r="B774" i="31"/>
  <c r="C20" i="31"/>
  <c r="O889" i="31"/>
  <c r="D861" i="31"/>
  <c r="B836" i="31" l="1"/>
  <c r="T778" i="31"/>
  <c r="B832" i="31"/>
  <c r="T774" i="31"/>
  <c r="B833" i="31"/>
  <c r="T775" i="31"/>
  <c r="B840" i="31"/>
  <c r="T782" i="31"/>
  <c r="B842" i="31"/>
  <c r="T784" i="31"/>
  <c r="M65" i="31"/>
  <c r="C781" i="31"/>
  <c r="C839" i="31" s="1"/>
  <c r="L30" i="31"/>
  <c r="M21" i="31" s="1"/>
  <c r="P896" i="31"/>
  <c r="E868" i="31"/>
  <c r="R128" i="31"/>
  <c r="N887" i="31"/>
  <c r="C859" i="31"/>
  <c r="R893" i="31"/>
  <c r="C856" i="31"/>
  <c r="N884" i="31"/>
  <c r="Q21" i="31"/>
  <c r="G20" i="31"/>
  <c r="B777" i="31"/>
  <c r="T777" i="31" s="1"/>
  <c r="Q20" i="31"/>
  <c r="B776" i="31"/>
  <c r="I21" i="31"/>
  <c r="C773" i="31"/>
  <c r="C831" i="31" s="1"/>
  <c r="B66" i="31"/>
  <c r="E65" i="31"/>
  <c r="B30" i="31"/>
  <c r="N889" i="31"/>
  <c r="C861" i="31"/>
  <c r="M894" i="31"/>
  <c r="R894" i="31" s="1"/>
  <c r="B866" i="31"/>
  <c r="L809" i="31"/>
  <c r="E809" i="31"/>
  <c r="N886" i="31"/>
  <c r="C858" i="31"/>
  <c r="M884" i="31"/>
  <c r="B856" i="31"/>
  <c r="L799" i="31"/>
  <c r="E799" i="31"/>
  <c r="M888" i="31"/>
  <c r="R888" i="31" s="1"/>
  <c r="B860" i="31"/>
  <c r="L803" i="31"/>
  <c r="E803" i="31"/>
  <c r="O883" i="31"/>
  <c r="O896" i="31" s="1"/>
  <c r="D855" i="31"/>
  <c r="D868" i="31" s="1"/>
  <c r="D786" i="31"/>
  <c r="B779" i="31"/>
  <c r="J31" i="31"/>
  <c r="J20" i="31"/>
  <c r="M892" i="31"/>
  <c r="R892" i="31" s="1"/>
  <c r="B864" i="31"/>
  <c r="E807" i="31"/>
  <c r="L807" i="31"/>
  <c r="M885" i="31"/>
  <c r="R885" i="31" s="1"/>
  <c r="B857" i="31"/>
  <c r="L800" i="31"/>
  <c r="E800" i="31"/>
  <c r="I30" i="31"/>
  <c r="F20" i="31"/>
  <c r="B837" i="31" l="1"/>
  <c r="T779" i="31"/>
  <c r="B834" i="31"/>
  <c r="T776" i="31"/>
  <c r="R65" i="31"/>
  <c r="C863" i="31"/>
  <c r="N891" i="31"/>
  <c r="L31" i="31"/>
  <c r="M30" i="31"/>
  <c r="B781" i="31"/>
  <c r="L20" i="31"/>
  <c r="M20" i="31" s="1"/>
  <c r="R884" i="31"/>
  <c r="E802" i="31"/>
  <c r="B835" i="31"/>
  <c r="E21" i="31"/>
  <c r="R21" i="31" s="1"/>
  <c r="B773" i="31"/>
  <c r="T773" i="31" s="1"/>
  <c r="L802" i="31"/>
  <c r="M887" i="31"/>
  <c r="R887" i="31" s="1"/>
  <c r="B859" i="31"/>
  <c r="I20" i="31"/>
  <c r="M886" i="31"/>
  <c r="R886" i="31" s="1"/>
  <c r="B858" i="31"/>
  <c r="L801" i="31"/>
  <c r="E801" i="31"/>
  <c r="M889" i="31"/>
  <c r="R889" i="31" s="1"/>
  <c r="B861" i="31"/>
  <c r="L804" i="31"/>
  <c r="E804" i="31"/>
  <c r="N883" i="31"/>
  <c r="C855" i="31"/>
  <c r="C786" i="31"/>
  <c r="B31" i="31"/>
  <c r="E30" i="31"/>
  <c r="B20" i="31"/>
  <c r="E20" i="31" s="1"/>
  <c r="C868" i="31" l="1"/>
  <c r="B863" i="31"/>
  <c r="T781" i="31"/>
  <c r="B855" i="31"/>
  <c r="B831" i="31"/>
  <c r="N896" i="31"/>
  <c r="B839" i="31"/>
  <c r="E806" i="31"/>
  <c r="R30" i="31"/>
  <c r="M891" i="31"/>
  <c r="R891" i="31" s="1"/>
  <c r="L806" i="31"/>
  <c r="R20" i="31"/>
  <c r="E798" i="31"/>
  <c r="M883" i="31"/>
  <c r="B786" i="31"/>
  <c r="L798" i="31"/>
  <c r="G982" i="31" l="1"/>
  <c r="I982" i="31" s="1"/>
  <c r="G985" i="31"/>
  <c r="I985" i="31" s="1"/>
  <c r="E811" i="31"/>
  <c r="B868" i="31"/>
  <c r="M896" i="31"/>
  <c r="R883" i="31"/>
  <c r="R896" i="31" s="1"/>
  <c r="G986" i="31" l="1"/>
  <c r="I986" i="31" s="1"/>
  <c r="G984" i="31"/>
  <c r="I984" i="31" s="1"/>
  <c r="G980" i="31"/>
  <c r="G983" i="31"/>
  <c r="J986" i="31" l="1"/>
  <c r="I983" i="31"/>
  <c r="I980" i="31"/>
  <c r="G981" i="31" l="1"/>
  <c r="J980" i="31"/>
  <c r="I981" i="31" l="1"/>
  <c r="G989" i="31"/>
  <c r="K921" i="31" l="1"/>
  <c r="J983" i="31"/>
  <c r="I989" i="31"/>
  <c r="H35" i="2" l="1"/>
  <c r="T35" i="2" s="1"/>
  <c r="U35" i="2" l="1"/>
  <c r="I35" i="2"/>
  <c r="C35" i="2"/>
  <c r="H37" i="2"/>
  <c r="B35" i="2"/>
  <c r="X36" i="2" l="1"/>
  <c r="Y36" i="2"/>
  <c r="Z36" i="2"/>
  <c r="T952" i="78"/>
  <c r="AJ22" i="2"/>
  <c r="T911" i="68"/>
  <c r="AS911" i="62"/>
  <c r="AS949" i="71"/>
  <c r="AS937" i="68"/>
  <c r="T833" i="53"/>
  <c r="T885" i="62"/>
  <c r="AS877" i="61"/>
  <c r="T851" i="61"/>
  <c r="H39" i="2"/>
  <c r="H41" i="2" l="1"/>
  <c r="H43" i="2" l="1"/>
  <c r="H45" i="2" l="1"/>
  <c r="H47" i="2" l="1"/>
  <c r="H49" i="2" l="1"/>
  <c r="H51" i="2" l="1"/>
  <c r="H53" i="2" l="1"/>
  <c r="H55" i="2" l="1"/>
  <c r="H57" i="2" l="1"/>
  <c r="G60" i="2"/>
  <c r="J60" i="2"/>
  <c r="K60" i="2"/>
  <c r="L60" i="2"/>
  <c r="M60" i="2"/>
  <c r="N60" i="2"/>
  <c r="O60" i="2"/>
  <c r="P60" i="2"/>
  <c r="V60" i="2"/>
  <c r="H60" i="2" l="1"/>
  <c r="H83" i="2" l="1"/>
  <c r="H85" i="2" l="1"/>
  <c r="H87" i="2" l="1"/>
  <c r="H89" i="2" l="1"/>
  <c r="H91" i="2" l="1"/>
  <c r="H93" i="2" l="1"/>
  <c r="H95" i="2" l="1"/>
  <c r="H97" i="2" l="1"/>
  <c r="H99" i="2" l="1"/>
  <c r="H101" i="2" l="1"/>
  <c r="H103" i="2" l="1"/>
  <c r="H105" i="2" l="1"/>
  <c r="H108" i="2" s="1"/>
  <c r="F108" i="2"/>
  <c r="G108" i="2"/>
  <c r="J108" i="2"/>
  <c r="K108" i="2"/>
  <c r="L108" i="2"/>
  <c r="N108" i="2"/>
  <c r="O108" i="2"/>
  <c r="P108" i="2"/>
  <c r="V108" i="2"/>
  <c r="P718" i="26" l="1"/>
  <c r="O718" i="26"/>
  <c r="N718" i="26"/>
  <c r="L718" i="26"/>
  <c r="K718" i="26"/>
  <c r="J718" i="26"/>
  <c r="H718" i="26"/>
  <c r="G718" i="26"/>
  <c r="F718" i="26"/>
  <c r="D718" i="26"/>
  <c r="C718" i="26"/>
  <c r="B718" i="26"/>
  <c r="Q115" i="26"/>
  <c r="M115" i="26"/>
  <c r="I115" i="26"/>
  <c r="E115" i="26"/>
  <c r="B123" i="26"/>
  <c r="B239" i="26"/>
  <c r="P239" i="26"/>
  <c r="L18" i="26"/>
  <c r="Q276" i="26"/>
  <c r="M276" i="26"/>
  <c r="I276" i="26"/>
  <c r="E276" i="26"/>
  <c r="O18" i="26"/>
  <c r="R115" i="26" l="1"/>
  <c r="R276" i="26"/>
  <c r="P722" i="26" l="1"/>
  <c r="O722" i="26"/>
  <c r="N722" i="26"/>
  <c r="L722" i="26"/>
  <c r="K722" i="26"/>
  <c r="J722" i="26"/>
  <c r="H722" i="26"/>
  <c r="G722" i="26"/>
  <c r="F722" i="26"/>
  <c r="D722" i="26"/>
  <c r="C722" i="26"/>
  <c r="B722" i="26"/>
  <c r="K210" i="26" l="1"/>
  <c r="K715" i="26" s="1"/>
  <c r="L341" i="26"/>
  <c r="Q332" i="26"/>
  <c r="M332" i="26"/>
  <c r="I332" i="26"/>
  <c r="E332" i="26"/>
  <c r="K307" i="26"/>
  <c r="K315" i="26" s="1"/>
  <c r="K721" i="26"/>
  <c r="Q359" i="26"/>
  <c r="M359" i="26"/>
  <c r="I359" i="26"/>
  <c r="E359" i="26"/>
  <c r="H365" i="26"/>
  <c r="K530" i="26"/>
  <c r="K701" i="26" s="1"/>
  <c r="J530" i="26"/>
  <c r="J701" i="26" s="1"/>
  <c r="R332" i="26" l="1"/>
  <c r="R359" i="26"/>
  <c r="K19" i="3"/>
  <c r="K21" i="3"/>
  <c r="K22" i="3" s="1"/>
  <c r="K23" i="3" s="1"/>
  <c r="K24" i="3" s="1"/>
  <c r="K25" i="3" s="1"/>
  <c r="K26" i="3" s="1"/>
  <c r="K1" i="7"/>
  <c r="I4" i="7" s="1"/>
  <c r="F47" i="7"/>
  <c r="G47" i="7"/>
  <c r="H47" i="7"/>
  <c r="I47" i="7"/>
  <c r="J47" i="7"/>
  <c r="K47" i="7"/>
  <c r="L47" i="7"/>
  <c r="M47" i="7"/>
  <c r="N47" i="7"/>
  <c r="O47" i="7"/>
  <c r="P47" i="7"/>
  <c r="AA11" i="27"/>
  <c r="AB11" i="27"/>
  <c r="AA12" i="27"/>
  <c r="AB12" i="27"/>
  <c r="AA13" i="27"/>
  <c r="AB13" i="27"/>
  <c r="AA14" i="27"/>
  <c r="AB14" i="27"/>
  <c r="AA15" i="27"/>
  <c r="AB15" i="27"/>
  <c r="AA16" i="27"/>
  <c r="AB16" i="27"/>
  <c r="C17" i="27"/>
  <c r="D17" i="27"/>
  <c r="E17" i="27"/>
  <c r="F17" i="27"/>
  <c r="G17" i="27"/>
  <c r="H17" i="27"/>
  <c r="I17" i="27"/>
  <c r="J17" i="27"/>
  <c r="K17" i="27"/>
  <c r="L17" i="27"/>
  <c r="M17" i="27"/>
  <c r="N17" i="27"/>
  <c r="O17" i="27"/>
  <c r="P17" i="27"/>
  <c r="Q17" i="27"/>
  <c r="R17" i="27"/>
  <c r="S17" i="27"/>
  <c r="T17" i="27"/>
  <c r="U17" i="27"/>
  <c r="V17" i="27"/>
  <c r="W17" i="27"/>
  <c r="X17" i="27"/>
  <c r="Y17" i="27"/>
  <c r="Z17" i="27"/>
  <c r="H18" i="27"/>
  <c r="L18" i="27"/>
  <c r="P18" i="27"/>
  <c r="T18" i="27"/>
  <c r="AA18" i="27"/>
  <c r="AA19" i="27"/>
  <c r="AB19" i="27"/>
  <c r="AA20" i="27"/>
  <c r="AB20" i="27"/>
  <c r="AB21" i="27" s="1"/>
  <c r="C21" i="27"/>
  <c r="D21" i="27"/>
  <c r="E21" i="27"/>
  <c r="F21" i="27"/>
  <c r="G21" i="27"/>
  <c r="H21" i="27"/>
  <c r="I21" i="27"/>
  <c r="J21" i="27"/>
  <c r="K21" i="27"/>
  <c r="L21" i="27"/>
  <c r="M21" i="27"/>
  <c r="N21" i="27"/>
  <c r="O21" i="27"/>
  <c r="P21" i="27"/>
  <c r="Q21" i="27"/>
  <c r="R21" i="27"/>
  <c r="S21" i="27"/>
  <c r="T21" i="27"/>
  <c r="U21" i="27"/>
  <c r="V21" i="27"/>
  <c r="W21" i="27"/>
  <c r="X21" i="27"/>
  <c r="Y21" i="27"/>
  <c r="Z21" i="27"/>
  <c r="AA21" i="27"/>
  <c r="AA22" i="27"/>
  <c r="AB22" i="27"/>
  <c r="AA23" i="27"/>
  <c r="AB23" i="27"/>
  <c r="AA24" i="27"/>
  <c r="AB24" i="27"/>
  <c r="AA25" i="27"/>
  <c r="AA27" i="27" s="1"/>
  <c r="AB25" i="27"/>
  <c r="AA26" i="27"/>
  <c r="AB26" i="27"/>
  <c r="C27" i="27"/>
  <c r="D27" i="27"/>
  <c r="E27" i="27"/>
  <c r="F27" i="27"/>
  <c r="G27" i="27"/>
  <c r="H27" i="27"/>
  <c r="I27" i="27"/>
  <c r="J27" i="27"/>
  <c r="K27" i="27"/>
  <c r="L27" i="27"/>
  <c r="M27" i="27"/>
  <c r="N27" i="27"/>
  <c r="O27" i="27"/>
  <c r="P27" i="27"/>
  <c r="Q27" i="27"/>
  <c r="R27" i="27"/>
  <c r="S27" i="27"/>
  <c r="T27" i="27"/>
  <c r="U27" i="27"/>
  <c r="V27" i="27"/>
  <c r="W27" i="27"/>
  <c r="X27" i="27"/>
  <c r="Y27" i="27"/>
  <c r="Z27" i="27"/>
  <c r="AA28" i="27"/>
  <c r="AB28" i="27"/>
  <c r="AA29" i="27"/>
  <c r="AA30" i="27" s="1"/>
  <c r="AB29" i="27"/>
  <c r="C30" i="27"/>
  <c r="D30" i="27"/>
  <c r="D89" i="27" s="1"/>
  <c r="D90" i="27" s="1"/>
  <c r="E30" i="27"/>
  <c r="F30" i="27"/>
  <c r="G30" i="27"/>
  <c r="H30" i="27"/>
  <c r="I30" i="27"/>
  <c r="J30" i="27"/>
  <c r="K30" i="27"/>
  <c r="L30" i="27"/>
  <c r="L89" i="27" s="1"/>
  <c r="L90" i="27" s="1"/>
  <c r="M30" i="27"/>
  <c r="N30" i="27"/>
  <c r="O30" i="27"/>
  <c r="P30" i="27"/>
  <c r="P89" i="27" s="1"/>
  <c r="P90" i="27" s="1"/>
  <c r="Q30" i="27"/>
  <c r="R30" i="27"/>
  <c r="S30" i="27"/>
  <c r="T30" i="27"/>
  <c r="U30" i="27"/>
  <c r="V30" i="27"/>
  <c r="W30" i="27"/>
  <c r="X30" i="27"/>
  <c r="Y30" i="27"/>
  <c r="Z30" i="27"/>
  <c r="AA31" i="27"/>
  <c r="AB31" i="27"/>
  <c r="AA32" i="27"/>
  <c r="AA33" i="27" s="1"/>
  <c r="AA94" i="27" s="1"/>
  <c r="AB32" i="27"/>
  <c r="C33" i="27"/>
  <c r="C94" i="27" s="1"/>
  <c r="D33" i="27"/>
  <c r="D94" i="27" s="1"/>
  <c r="E33" i="27"/>
  <c r="E94" i="27" s="1"/>
  <c r="F33" i="27"/>
  <c r="F94" i="27" s="1"/>
  <c r="G33" i="27"/>
  <c r="H33" i="27"/>
  <c r="I33" i="27"/>
  <c r="I94" i="27" s="1"/>
  <c r="J33" i="27"/>
  <c r="J94" i="27" s="1"/>
  <c r="K33" i="27"/>
  <c r="K94" i="27" s="1"/>
  <c r="L33" i="27"/>
  <c r="L94" i="27" s="1"/>
  <c r="M33" i="27"/>
  <c r="M94" i="27" s="1"/>
  <c r="N33" i="27"/>
  <c r="N94" i="27" s="1"/>
  <c r="O33" i="27"/>
  <c r="O94" i="27" s="1"/>
  <c r="P33" i="27"/>
  <c r="Q33" i="27"/>
  <c r="Q94" i="27" s="1"/>
  <c r="R33" i="27"/>
  <c r="R94" i="27" s="1"/>
  <c r="S33" i="27"/>
  <c r="T33" i="27"/>
  <c r="T94" i="27" s="1"/>
  <c r="U33" i="27"/>
  <c r="U94" i="27" s="1"/>
  <c r="V33" i="27"/>
  <c r="V94" i="27" s="1"/>
  <c r="W33" i="27"/>
  <c r="W94" i="27" s="1"/>
  <c r="X33" i="27"/>
  <c r="Y33" i="27"/>
  <c r="Y94" i="27" s="1"/>
  <c r="Z33" i="27"/>
  <c r="Z94" i="27" s="1"/>
  <c r="AA34" i="27"/>
  <c r="AB34" i="27"/>
  <c r="AA35" i="27"/>
  <c r="AB35" i="27"/>
  <c r="AB36" i="27" s="1"/>
  <c r="C36" i="27"/>
  <c r="D36" i="27"/>
  <c r="E36" i="27"/>
  <c r="F36" i="27"/>
  <c r="G36" i="27"/>
  <c r="H36" i="27"/>
  <c r="I36" i="27"/>
  <c r="J36" i="27"/>
  <c r="K36" i="27"/>
  <c r="L36" i="27"/>
  <c r="M36" i="27"/>
  <c r="N36" i="27"/>
  <c r="O36" i="27"/>
  <c r="P36" i="27"/>
  <c r="Q36" i="27"/>
  <c r="R36" i="27"/>
  <c r="S36" i="27"/>
  <c r="T36" i="27"/>
  <c r="U36" i="27"/>
  <c r="V36" i="27"/>
  <c r="W36" i="27"/>
  <c r="X36" i="27"/>
  <c r="Y36" i="27"/>
  <c r="Z36" i="27"/>
  <c r="AA37" i="27"/>
  <c r="AB37" i="27"/>
  <c r="AA38" i="27"/>
  <c r="AA39" i="27" s="1"/>
  <c r="AB38" i="27"/>
  <c r="AB39" i="27" s="1"/>
  <c r="C39" i="27"/>
  <c r="C99" i="27" s="1"/>
  <c r="D39" i="27"/>
  <c r="E39" i="27"/>
  <c r="F39" i="27"/>
  <c r="G39" i="27"/>
  <c r="G99" i="27" s="1"/>
  <c r="H39" i="27"/>
  <c r="I39" i="27"/>
  <c r="J39" i="27"/>
  <c r="K39" i="27"/>
  <c r="K99" i="27" s="1"/>
  <c r="L39" i="27"/>
  <c r="M39" i="27"/>
  <c r="N39" i="27"/>
  <c r="O39" i="27"/>
  <c r="O99" i="27" s="1"/>
  <c r="P39" i="27"/>
  <c r="Q39" i="27"/>
  <c r="R39" i="27"/>
  <c r="S39" i="27"/>
  <c r="S99" i="27" s="1"/>
  <c r="T39" i="27"/>
  <c r="U39" i="27"/>
  <c r="V39" i="27"/>
  <c r="W39" i="27"/>
  <c r="W99" i="27" s="1"/>
  <c r="X39" i="27"/>
  <c r="Y39" i="27"/>
  <c r="Z39" i="27"/>
  <c r="AA40" i="27"/>
  <c r="AB40" i="27"/>
  <c r="AA41" i="27"/>
  <c r="AA42" i="27" s="1"/>
  <c r="AB41" i="27"/>
  <c r="C42" i="27"/>
  <c r="D42" i="27"/>
  <c r="E42" i="27"/>
  <c r="F42" i="27"/>
  <c r="G42" i="27"/>
  <c r="H42" i="27"/>
  <c r="I42" i="27"/>
  <c r="J42" i="27"/>
  <c r="K42" i="27"/>
  <c r="L42" i="27"/>
  <c r="M42" i="27"/>
  <c r="N42" i="27"/>
  <c r="O42" i="27"/>
  <c r="P42" i="27"/>
  <c r="Q42" i="27"/>
  <c r="R42" i="27"/>
  <c r="S42" i="27"/>
  <c r="T42" i="27"/>
  <c r="U42" i="27"/>
  <c r="V42" i="27"/>
  <c r="W42" i="27"/>
  <c r="X42" i="27"/>
  <c r="Y42" i="27"/>
  <c r="Z42" i="27"/>
  <c r="AA43" i="27"/>
  <c r="AB43" i="27"/>
  <c r="AA44" i="27"/>
  <c r="AA45" i="27" s="1"/>
  <c r="AB44" i="27"/>
  <c r="C45" i="27"/>
  <c r="D45" i="27"/>
  <c r="E45" i="27"/>
  <c r="F45" i="27"/>
  <c r="G45" i="27"/>
  <c r="H45" i="27"/>
  <c r="H104" i="27" s="1"/>
  <c r="I45" i="27"/>
  <c r="J45" i="27"/>
  <c r="K45" i="27"/>
  <c r="L45" i="27"/>
  <c r="M45" i="27"/>
  <c r="N45" i="27"/>
  <c r="O45" i="27"/>
  <c r="P45" i="27"/>
  <c r="P104" i="27" s="1"/>
  <c r="Q45" i="27"/>
  <c r="R45" i="27"/>
  <c r="S45" i="27"/>
  <c r="T45" i="27"/>
  <c r="U45" i="27"/>
  <c r="V45" i="27"/>
  <c r="W45" i="27"/>
  <c r="X45" i="27"/>
  <c r="X104" i="27" s="1"/>
  <c r="Y45" i="27"/>
  <c r="Z45" i="27"/>
  <c r="AA46" i="27"/>
  <c r="AB46" i="27"/>
  <c r="AA47" i="27"/>
  <c r="AB47" i="27"/>
  <c r="AA48" i="27"/>
  <c r="AB48" i="27"/>
  <c r="AA49" i="27"/>
  <c r="AB49" i="27"/>
  <c r="C50" i="27"/>
  <c r="D50" i="27"/>
  <c r="E50" i="27"/>
  <c r="F50" i="27"/>
  <c r="G50" i="27"/>
  <c r="H50" i="27"/>
  <c r="I50" i="27"/>
  <c r="J50" i="27"/>
  <c r="K50" i="27"/>
  <c r="L50" i="27"/>
  <c r="M50" i="27"/>
  <c r="N50" i="27"/>
  <c r="O50" i="27"/>
  <c r="P50" i="27"/>
  <c r="Q50" i="27"/>
  <c r="R50" i="27"/>
  <c r="S50" i="27"/>
  <c r="T50" i="27"/>
  <c r="U50" i="27"/>
  <c r="V50" i="27"/>
  <c r="W50" i="27"/>
  <c r="X50" i="27"/>
  <c r="Y50" i="27"/>
  <c r="Z50" i="27"/>
  <c r="AA51" i="27"/>
  <c r="AB51" i="27"/>
  <c r="AA52" i="27"/>
  <c r="AB52" i="27"/>
  <c r="AA53" i="27"/>
  <c r="AB53" i="27"/>
  <c r="AA54" i="27"/>
  <c r="AB54" i="27"/>
  <c r="AA55" i="27"/>
  <c r="AB55" i="27"/>
  <c r="AA56" i="27"/>
  <c r="AB56" i="27"/>
  <c r="AA57" i="27"/>
  <c r="AB57" i="27"/>
  <c r="AA58" i="27"/>
  <c r="AB58" i="27"/>
  <c r="AA59" i="27"/>
  <c r="AB59" i="27"/>
  <c r="C60" i="27"/>
  <c r="D60" i="27"/>
  <c r="E60" i="27"/>
  <c r="F60" i="27"/>
  <c r="G60" i="27"/>
  <c r="H60" i="27"/>
  <c r="I60" i="27"/>
  <c r="J60" i="27"/>
  <c r="K60" i="27"/>
  <c r="L60" i="27"/>
  <c r="M60" i="27"/>
  <c r="N60" i="27"/>
  <c r="O60" i="27"/>
  <c r="P60" i="27"/>
  <c r="Q60" i="27"/>
  <c r="R60" i="27"/>
  <c r="S60" i="27"/>
  <c r="T60" i="27"/>
  <c r="U60" i="27"/>
  <c r="V60" i="27"/>
  <c r="W60" i="27"/>
  <c r="X60" i="27"/>
  <c r="Y60" i="27"/>
  <c r="Z60" i="27"/>
  <c r="D61" i="27"/>
  <c r="AA66" i="27"/>
  <c r="AB66" i="27"/>
  <c r="AA67" i="27"/>
  <c r="AB67" i="27"/>
  <c r="AA68" i="27"/>
  <c r="AB68" i="27"/>
  <c r="AA69" i="27"/>
  <c r="AB69" i="27"/>
  <c r="C70" i="27"/>
  <c r="D70" i="27"/>
  <c r="E70" i="27"/>
  <c r="F70" i="27"/>
  <c r="G70" i="27"/>
  <c r="H70" i="27"/>
  <c r="I70" i="27"/>
  <c r="J70" i="27"/>
  <c r="K70" i="27"/>
  <c r="L70" i="27"/>
  <c r="M70" i="27"/>
  <c r="N70" i="27"/>
  <c r="O70" i="27"/>
  <c r="P70" i="27"/>
  <c r="Q70" i="27"/>
  <c r="R70" i="27"/>
  <c r="S70" i="27"/>
  <c r="T70" i="27"/>
  <c r="U70" i="27"/>
  <c r="V70" i="27"/>
  <c r="W70" i="27"/>
  <c r="X70" i="27"/>
  <c r="Y70" i="27"/>
  <c r="Z70" i="27"/>
  <c r="C71" i="27"/>
  <c r="D71" i="27"/>
  <c r="E71" i="27"/>
  <c r="F71" i="27"/>
  <c r="G71" i="27"/>
  <c r="H71" i="27"/>
  <c r="I71" i="27"/>
  <c r="J71" i="27"/>
  <c r="K71" i="27"/>
  <c r="L71" i="27"/>
  <c r="M71" i="27"/>
  <c r="N71" i="27"/>
  <c r="O71" i="27"/>
  <c r="P71" i="27"/>
  <c r="Q71" i="27"/>
  <c r="R71" i="27"/>
  <c r="S71" i="27"/>
  <c r="T71" i="27"/>
  <c r="U71" i="27"/>
  <c r="V71" i="27"/>
  <c r="W71" i="27"/>
  <c r="X71" i="27"/>
  <c r="Y71" i="27"/>
  <c r="Z71" i="27"/>
  <c r="AA76" i="27"/>
  <c r="AA77" i="27" s="1"/>
  <c r="AB76" i="27"/>
  <c r="AB77" i="27" s="1"/>
  <c r="C77" i="27"/>
  <c r="C79" i="27" s="1"/>
  <c r="D77" i="27"/>
  <c r="D114" i="27" s="1"/>
  <c r="E77" i="27"/>
  <c r="E79" i="27" s="1"/>
  <c r="F77" i="27"/>
  <c r="F79" i="27" s="1"/>
  <c r="G77" i="27"/>
  <c r="G79" i="27" s="1"/>
  <c r="H77" i="27"/>
  <c r="H114" i="27" s="1"/>
  <c r="H115" i="27" s="1"/>
  <c r="I77" i="27"/>
  <c r="I79" i="27" s="1"/>
  <c r="J77" i="27"/>
  <c r="K77" i="27"/>
  <c r="K79" i="27" s="1"/>
  <c r="L77" i="27"/>
  <c r="L79" i="27" s="1"/>
  <c r="M77" i="27"/>
  <c r="M79" i="27" s="1"/>
  <c r="N77" i="27"/>
  <c r="N79" i="27" s="1"/>
  <c r="O77" i="27"/>
  <c r="O79" i="27" s="1"/>
  <c r="P77" i="27"/>
  <c r="P114" i="27" s="1"/>
  <c r="Q77" i="27"/>
  <c r="Q79" i="27" s="1"/>
  <c r="R77" i="27"/>
  <c r="S77" i="27"/>
  <c r="S79" i="27" s="1"/>
  <c r="T77" i="27"/>
  <c r="T79" i="27" s="1"/>
  <c r="U77" i="27"/>
  <c r="U79" i="27" s="1"/>
  <c r="V77" i="27"/>
  <c r="V79" i="27" s="1"/>
  <c r="W77" i="27"/>
  <c r="W79" i="27" s="1"/>
  <c r="X77" i="27"/>
  <c r="X114" i="27" s="1"/>
  <c r="X115" i="27" s="1"/>
  <c r="Y77" i="27"/>
  <c r="Y79" i="27" s="1"/>
  <c r="Z77" i="27"/>
  <c r="AA78" i="27"/>
  <c r="AB78" i="27"/>
  <c r="J79" i="27"/>
  <c r="R79" i="27"/>
  <c r="Z79" i="27"/>
  <c r="H89" i="27"/>
  <c r="H90" i="27" s="1"/>
  <c r="X89" i="27"/>
  <c r="X90" i="27" s="1"/>
  <c r="S94" i="27"/>
  <c r="D99" i="27"/>
  <c r="H99" i="27"/>
  <c r="I99" i="27"/>
  <c r="L99" i="27"/>
  <c r="P99" i="27"/>
  <c r="Q99" i="27"/>
  <c r="T99" i="27"/>
  <c r="X99" i="27"/>
  <c r="Y99" i="27"/>
  <c r="C104" i="27"/>
  <c r="G104" i="27"/>
  <c r="J104" i="27"/>
  <c r="K104" i="27"/>
  <c r="O104" i="27"/>
  <c r="R104" i="27"/>
  <c r="S104" i="27"/>
  <c r="W104" i="27"/>
  <c r="Z104" i="27"/>
  <c r="D109" i="27"/>
  <c r="F109" i="27"/>
  <c r="H109" i="27"/>
  <c r="J109" i="27"/>
  <c r="L109" i="27"/>
  <c r="N109" i="27"/>
  <c r="P109" i="27"/>
  <c r="R109" i="27"/>
  <c r="T109" i="27"/>
  <c r="V109" i="27"/>
  <c r="X109" i="27"/>
  <c r="Z109" i="27"/>
  <c r="L114" i="27"/>
  <c r="L115" i="27" s="1"/>
  <c r="H131" i="2"/>
  <c r="H133" i="2"/>
  <c r="H135" i="2"/>
  <c r="H137" i="2"/>
  <c r="H139" i="2"/>
  <c r="H141" i="2"/>
  <c r="H143" i="2"/>
  <c r="H145" i="2"/>
  <c r="H147" i="2"/>
  <c r="H149" i="2"/>
  <c r="H151" i="2"/>
  <c r="H153" i="2"/>
  <c r="F156" i="2"/>
  <c r="G156" i="2"/>
  <c r="J156" i="2"/>
  <c r="K156" i="2"/>
  <c r="L156" i="2"/>
  <c r="P156" i="2"/>
  <c r="V156" i="2"/>
  <c r="R1" i="26"/>
  <c r="R777" i="26" s="1"/>
  <c r="B15" i="26"/>
  <c r="C15" i="26"/>
  <c r="D15" i="26"/>
  <c r="F15" i="26"/>
  <c r="G15" i="26"/>
  <c r="H15" i="26"/>
  <c r="J15" i="26"/>
  <c r="K15" i="26"/>
  <c r="L15" i="26"/>
  <c r="N15" i="26"/>
  <c r="O15" i="26"/>
  <c r="P15" i="26"/>
  <c r="B16" i="26"/>
  <c r="C16" i="26"/>
  <c r="D16" i="26"/>
  <c r="F16" i="26"/>
  <c r="G16" i="26"/>
  <c r="H16" i="26"/>
  <c r="J16" i="26"/>
  <c r="K16" i="26"/>
  <c r="L16" i="26"/>
  <c r="N16" i="26"/>
  <c r="O16" i="26"/>
  <c r="P16" i="26"/>
  <c r="B17" i="26"/>
  <c r="C17" i="26"/>
  <c r="D17" i="26"/>
  <c r="F17" i="26"/>
  <c r="G17" i="26"/>
  <c r="H17" i="26"/>
  <c r="J17" i="26"/>
  <c r="K17" i="26"/>
  <c r="L17" i="26"/>
  <c r="N17" i="26"/>
  <c r="O17" i="26"/>
  <c r="P17" i="26"/>
  <c r="B18" i="26"/>
  <c r="C18" i="26"/>
  <c r="D18" i="26"/>
  <c r="F18" i="26"/>
  <c r="G18" i="26"/>
  <c r="H18" i="26"/>
  <c r="J18" i="26"/>
  <c r="K18" i="26"/>
  <c r="B19" i="26"/>
  <c r="C19" i="26"/>
  <c r="D19" i="26"/>
  <c r="F19" i="26"/>
  <c r="G19" i="26"/>
  <c r="H19" i="26"/>
  <c r="J19" i="26"/>
  <c r="K19" i="26"/>
  <c r="L19" i="26"/>
  <c r="N19" i="26"/>
  <c r="O19" i="26"/>
  <c r="P19" i="26"/>
  <c r="E21" i="26"/>
  <c r="I21" i="26"/>
  <c r="E26" i="26"/>
  <c r="I26" i="26"/>
  <c r="M26" i="26"/>
  <c r="Q26" i="26"/>
  <c r="B28" i="26"/>
  <c r="C28" i="26"/>
  <c r="D28" i="26"/>
  <c r="D29" i="26" s="1"/>
  <c r="F28" i="26"/>
  <c r="G28" i="26"/>
  <c r="G29" i="26" s="1"/>
  <c r="H28" i="26"/>
  <c r="H29" i="26" s="1"/>
  <c r="J28" i="26"/>
  <c r="J29" i="26" s="1"/>
  <c r="K28" i="26"/>
  <c r="K29" i="26" s="1"/>
  <c r="L28" i="26"/>
  <c r="L29" i="26" s="1"/>
  <c r="N28" i="26"/>
  <c r="N29" i="26" s="1"/>
  <c r="O28" i="26"/>
  <c r="O29" i="26" s="1"/>
  <c r="P28" i="26"/>
  <c r="P29" i="26" s="1"/>
  <c r="B29" i="26"/>
  <c r="C29" i="26"/>
  <c r="F29" i="26"/>
  <c r="B41" i="26"/>
  <c r="C41" i="26"/>
  <c r="D41" i="26"/>
  <c r="F41" i="26"/>
  <c r="G41" i="26"/>
  <c r="H41" i="26"/>
  <c r="J41" i="26"/>
  <c r="K41" i="26"/>
  <c r="L41" i="26"/>
  <c r="N41" i="26"/>
  <c r="O41" i="26"/>
  <c r="P41" i="26"/>
  <c r="B47" i="26"/>
  <c r="C47" i="26"/>
  <c r="D47" i="26"/>
  <c r="F47" i="26"/>
  <c r="G47" i="26"/>
  <c r="H47" i="26"/>
  <c r="J47" i="26"/>
  <c r="K47" i="26"/>
  <c r="L47" i="26"/>
  <c r="N47" i="26"/>
  <c r="O47" i="26"/>
  <c r="P47" i="26"/>
  <c r="B51" i="26"/>
  <c r="C51" i="26"/>
  <c r="D51" i="26"/>
  <c r="F51" i="26"/>
  <c r="G51" i="26"/>
  <c r="H51" i="26"/>
  <c r="J51" i="26"/>
  <c r="K51" i="26"/>
  <c r="L51" i="26"/>
  <c r="N51" i="26"/>
  <c r="O51" i="26"/>
  <c r="P51" i="26"/>
  <c r="E55" i="26"/>
  <c r="I55" i="26"/>
  <c r="M55" i="26"/>
  <c r="Q55" i="26"/>
  <c r="B58" i="26"/>
  <c r="C58" i="26"/>
  <c r="D58" i="26"/>
  <c r="F58" i="26"/>
  <c r="G58" i="26"/>
  <c r="H58" i="26"/>
  <c r="J58" i="26"/>
  <c r="K58" i="26"/>
  <c r="L58" i="26"/>
  <c r="N58" i="26"/>
  <c r="O58" i="26"/>
  <c r="P58" i="26"/>
  <c r="B59" i="26"/>
  <c r="C59" i="26"/>
  <c r="D59" i="26"/>
  <c r="F59" i="26"/>
  <c r="G59" i="26"/>
  <c r="H59" i="26"/>
  <c r="J59" i="26"/>
  <c r="K59" i="26"/>
  <c r="L59" i="26"/>
  <c r="N59" i="26"/>
  <c r="O59" i="26"/>
  <c r="P59" i="26"/>
  <c r="E61" i="26"/>
  <c r="I61" i="26"/>
  <c r="M61" i="26"/>
  <c r="Q61" i="26"/>
  <c r="E73" i="26"/>
  <c r="I73" i="26"/>
  <c r="M73" i="26"/>
  <c r="Q73" i="26"/>
  <c r="E74" i="26"/>
  <c r="I74" i="26"/>
  <c r="M74" i="26"/>
  <c r="Q74" i="26"/>
  <c r="E75" i="26"/>
  <c r="I75" i="26"/>
  <c r="M75" i="26"/>
  <c r="Q75" i="26"/>
  <c r="E76" i="26"/>
  <c r="I76" i="26"/>
  <c r="M76" i="26"/>
  <c r="Q76" i="26"/>
  <c r="E77" i="26"/>
  <c r="I77" i="26"/>
  <c r="M77" i="26"/>
  <c r="Q77" i="26"/>
  <c r="E78" i="26"/>
  <c r="I78" i="26"/>
  <c r="M78" i="26"/>
  <c r="Q78" i="26"/>
  <c r="E79" i="26"/>
  <c r="I79" i="26"/>
  <c r="M79" i="26"/>
  <c r="Q79" i="26"/>
  <c r="E82" i="26"/>
  <c r="I82" i="26"/>
  <c r="M82" i="26"/>
  <c r="Q82" i="26"/>
  <c r="E83" i="26"/>
  <c r="I83" i="26"/>
  <c r="M83" i="26"/>
  <c r="Q83" i="26"/>
  <c r="E85" i="26"/>
  <c r="I85" i="26"/>
  <c r="M85" i="26"/>
  <c r="Q85" i="26"/>
  <c r="E86" i="26"/>
  <c r="I86" i="26"/>
  <c r="M86" i="26"/>
  <c r="Q86" i="26"/>
  <c r="B88" i="26"/>
  <c r="C88" i="26"/>
  <c r="D88" i="26"/>
  <c r="F88" i="26"/>
  <c r="G88" i="26"/>
  <c r="H88" i="26"/>
  <c r="J88" i="26"/>
  <c r="K88" i="26"/>
  <c r="L88" i="26"/>
  <c r="N88" i="26"/>
  <c r="O88" i="26"/>
  <c r="P88" i="26"/>
  <c r="E92" i="26"/>
  <c r="I92" i="26"/>
  <c r="M92" i="26"/>
  <c r="Q92" i="26"/>
  <c r="E93" i="26"/>
  <c r="I93" i="26"/>
  <c r="M93" i="26"/>
  <c r="Q93" i="26"/>
  <c r="B95" i="26"/>
  <c r="C95" i="26"/>
  <c r="D95" i="26"/>
  <c r="F95" i="26"/>
  <c r="G95" i="26"/>
  <c r="H95" i="26"/>
  <c r="J95" i="26"/>
  <c r="K95" i="26"/>
  <c r="L95" i="26"/>
  <c r="N95" i="26"/>
  <c r="O95" i="26"/>
  <c r="P95" i="26"/>
  <c r="E99" i="26"/>
  <c r="I99" i="26"/>
  <c r="M99" i="26"/>
  <c r="Q99" i="26"/>
  <c r="E100" i="26"/>
  <c r="I100" i="26"/>
  <c r="M100" i="26"/>
  <c r="Q100" i="26"/>
  <c r="E101" i="26"/>
  <c r="I101" i="26"/>
  <c r="M101" i="26"/>
  <c r="Q101" i="26"/>
  <c r="E102" i="26"/>
  <c r="I102" i="26"/>
  <c r="M102" i="26"/>
  <c r="Q102" i="26"/>
  <c r="E103" i="26"/>
  <c r="I103" i="26"/>
  <c r="M103" i="26"/>
  <c r="Q103" i="26"/>
  <c r="E104" i="26"/>
  <c r="I104" i="26"/>
  <c r="M104" i="26"/>
  <c r="Q104" i="26"/>
  <c r="E105" i="26"/>
  <c r="I105" i="26"/>
  <c r="M105" i="26"/>
  <c r="Q105" i="26"/>
  <c r="B106" i="26"/>
  <c r="C106" i="26"/>
  <c r="D106" i="26"/>
  <c r="F106" i="26"/>
  <c r="G106" i="26"/>
  <c r="H106" i="26"/>
  <c r="J106" i="26"/>
  <c r="K106" i="26"/>
  <c r="L106" i="26"/>
  <c r="N106" i="26"/>
  <c r="O106" i="26"/>
  <c r="P106" i="26"/>
  <c r="E109" i="26"/>
  <c r="I109" i="26"/>
  <c r="M109" i="26"/>
  <c r="Q109" i="26"/>
  <c r="E110" i="26"/>
  <c r="I110" i="26"/>
  <c r="M110" i="26"/>
  <c r="Q110" i="26"/>
  <c r="E111" i="26"/>
  <c r="I111" i="26"/>
  <c r="M111" i="26"/>
  <c r="Q111" i="26"/>
  <c r="E112" i="26"/>
  <c r="I112" i="26"/>
  <c r="M112" i="26"/>
  <c r="Q112" i="26"/>
  <c r="E113" i="26"/>
  <c r="I113" i="26"/>
  <c r="M113" i="26"/>
  <c r="Q113" i="26"/>
  <c r="E114" i="26"/>
  <c r="I114" i="26"/>
  <c r="M114" i="26"/>
  <c r="Q114" i="26"/>
  <c r="E117" i="26"/>
  <c r="I117" i="26"/>
  <c r="M117" i="26"/>
  <c r="Q117" i="26"/>
  <c r="E118" i="26"/>
  <c r="I118" i="26"/>
  <c r="M118" i="26"/>
  <c r="Q118" i="26"/>
  <c r="E120" i="26"/>
  <c r="I120" i="26"/>
  <c r="M120" i="26"/>
  <c r="Q120" i="26"/>
  <c r="B122" i="26"/>
  <c r="C122" i="26"/>
  <c r="D122" i="26"/>
  <c r="F122" i="26"/>
  <c r="G122" i="26"/>
  <c r="H122" i="26"/>
  <c r="J122" i="26"/>
  <c r="K122" i="26"/>
  <c r="L122" i="26"/>
  <c r="N122" i="26"/>
  <c r="O122" i="26"/>
  <c r="P122" i="26"/>
  <c r="C123" i="26"/>
  <c r="D123" i="26"/>
  <c r="F123" i="26"/>
  <c r="G123" i="26"/>
  <c r="H123" i="26"/>
  <c r="J123" i="26"/>
  <c r="K123" i="26"/>
  <c r="L123" i="26"/>
  <c r="N123" i="26"/>
  <c r="O123" i="26"/>
  <c r="P123" i="26"/>
  <c r="E125" i="26"/>
  <c r="I125" i="26"/>
  <c r="M125" i="26"/>
  <c r="Q125" i="26"/>
  <c r="E137" i="26"/>
  <c r="I137" i="26"/>
  <c r="M137" i="26"/>
  <c r="Q137" i="26"/>
  <c r="E138" i="26"/>
  <c r="I138" i="26"/>
  <c r="M138" i="26"/>
  <c r="Q138" i="26"/>
  <c r="E139" i="26"/>
  <c r="I139" i="26"/>
  <c r="M139" i="26"/>
  <c r="Q139" i="26"/>
  <c r="E140" i="26"/>
  <c r="I140" i="26"/>
  <c r="M140" i="26"/>
  <c r="Q140" i="26"/>
  <c r="E141" i="26"/>
  <c r="I141" i="26"/>
  <c r="M141" i="26"/>
  <c r="Q141" i="26"/>
  <c r="E142" i="26"/>
  <c r="I142" i="26"/>
  <c r="M142" i="26"/>
  <c r="Q142" i="26"/>
  <c r="E143" i="26"/>
  <c r="I143" i="26"/>
  <c r="M143" i="26"/>
  <c r="Q143" i="26"/>
  <c r="E144" i="26"/>
  <c r="I144" i="26"/>
  <c r="M144" i="26"/>
  <c r="Q144" i="26"/>
  <c r="E145" i="26"/>
  <c r="I145" i="26"/>
  <c r="M145" i="26"/>
  <c r="Q145" i="26"/>
  <c r="E146" i="26"/>
  <c r="I146" i="26"/>
  <c r="M146" i="26"/>
  <c r="Q146" i="26"/>
  <c r="E148" i="26"/>
  <c r="I148" i="26"/>
  <c r="M148" i="26"/>
  <c r="Q148" i="26"/>
  <c r="E149" i="26"/>
  <c r="I149" i="26"/>
  <c r="M149" i="26"/>
  <c r="Q149" i="26"/>
  <c r="E150" i="26"/>
  <c r="I150" i="26"/>
  <c r="M150" i="26"/>
  <c r="Q150" i="26"/>
  <c r="E151" i="26"/>
  <c r="I151" i="26"/>
  <c r="M151" i="26"/>
  <c r="Q151" i="26"/>
  <c r="E152" i="26"/>
  <c r="I152" i="26"/>
  <c r="M152" i="26"/>
  <c r="Q152" i="26"/>
  <c r="E153" i="26"/>
  <c r="I153" i="26"/>
  <c r="M153" i="26"/>
  <c r="Q153" i="26"/>
  <c r="E154" i="26"/>
  <c r="I154" i="26"/>
  <c r="M154" i="26"/>
  <c r="Q154" i="26"/>
  <c r="E155" i="26"/>
  <c r="I155" i="26"/>
  <c r="M155" i="26"/>
  <c r="Q155" i="26"/>
  <c r="E156" i="26"/>
  <c r="I156" i="26"/>
  <c r="M156" i="26"/>
  <c r="Q156" i="26"/>
  <c r="E157" i="26"/>
  <c r="I157" i="26"/>
  <c r="M157" i="26"/>
  <c r="Q157" i="26"/>
  <c r="E158" i="26"/>
  <c r="I158" i="26"/>
  <c r="M158" i="26"/>
  <c r="Q158" i="26"/>
  <c r="E159" i="26"/>
  <c r="I159" i="26"/>
  <c r="M159" i="26"/>
  <c r="Q159" i="26"/>
  <c r="E161" i="26"/>
  <c r="I161" i="26"/>
  <c r="M161" i="26"/>
  <c r="Q161" i="26"/>
  <c r="E162" i="26"/>
  <c r="I162" i="26"/>
  <c r="M162" i="26"/>
  <c r="Q162" i="26"/>
  <c r="E163" i="26"/>
  <c r="I163" i="26"/>
  <c r="M163" i="26"/>
  <c r="E164" i="26"/>
  <c r="I164" i="26"/>
  <c r="M164" i="26"/>
  <c r="Q164" i="26"/>
  <c r="E165" i="26"/>
  <c r="I165" i="26"/>
  <c r="M165" i="26"/>
  <c r="Q165" i="26"/>
  <c r="E166" i="26"/>
  <c r="I166" i="26"/>
  <c r="M166" i="26"/>
  <c r="Q166" i="26"/>
  <c r="E167" i="26"/>
  <c r="I167" i="26"/>
  <c r="M167" i="26"/>
  <c r="Q167" i="26"/>
  <c r="E168" i="26"/>
  <c r="I168" i="26"/>
  <c r="M168" i="26"/>
  <c r="Q168" i="26"/>
  <c r="E169" i="26"/>
  <c r="I169" i="26"/>
  <c r="M169" i="26"/>
  <c r="Q169" i="26"/>
  <c r="E170" i="26"/>
  <c r="I170" i="26"/>
  <c r="M170" i="26"/>
  <c r="Q170" i="26"/>
  <c r="E171" i="26"/>
  <c r="I171" i="26"/>
  <c r="M171" i="26"/>
  <c r="Q171" i="26"/>
  <c r="E173" i="26"/>
  <c r="I173" i="26"/>
  <c r="M173" i="26"/>
  <c r="Q173" i="26"/>
  <c r="E174" i="26"/>
  <c r="I174" i="26"/>
  <c r="M174" i="26"/>
  <c r="Q174" i="26"/>
  <c r="E175" i="26"/>
  <c r="I175" i="26"/>
  <c r="M175" i="26"/>
  <c r="Q175" i="26"/>
  <c r="B177" i="26"/>
  <c r="C177" i="26"/>
  <c r="D177" i="26"/>
  <c r="F177" i="26"/>
  <c r="G177" i="26"/>
  <c r="H177" i="26"/>
  <c r="J177" i="26"/>
  <c r="K177" i="26"/>
  <c r="L177" i="26"/>
  <c r="N177" i="26"/>
  <c r="O177" i="26"/>
  <c r="P177" i="26"/>
  <c r="E181" i="26"/>
  <c r="I181" i="26"/>
  <c r="M181" i="26"/>
  <c r="Q181" i="26"/>
  <c r="B183" i="26"/>
  <c r="C183" i="26"/>
  <c r="D183" i="26"/>
  <c r="F183" i="26"/>
  <c r="G183" i="26"/>
  <c r="H183" i="26"/>
  <c r="J183" i="26"/>
  <c r="K183" i="26"/>
  <c r="L183" i="26"/>
  <c r="N183" i="26"/>
  <c r="O183" i="26"/>
  <c r="P183" i="26"/>
  <c r="E187" i="26"/>
  <c r="I187" i="26"/>
  <c r="M187" i="26"/>
  <c r="E188" i="26"/>
  <c r="I188" i="26"/>
  <c r="M188" i="26"/>
  <c r="Q188" i="26"/>
  <c r="E189" i="26"/>
  <c r="I189" i="26"/>
  <c r="M189" i="26"/>
  <c r="Q189" i="26"/>
  <c r="E190" i="26"/>
  <c r="I190" i="26"/>
  <c r="M190" i="26"/>
  <c r="Q190" i="26"/>
  <c r="E191" i="26"/>
  <c r="I191" i="26"/>
  <c r="M191" i="26"/>
  <c r="Q191" i="26"/>
  <c r="E192" i="26"/>
  <c r="I192" i="26"/>
  <c r="M192" i="26"/>
  <c r="Q192" i="26"/>
  <c r="E193" i="26"/>
  <c r="I193" i="26"/>
  <c r="M193" i="26"/>
  <c r="Q193" i="26"/>
  <c r="E194" i="26"/>
  <c r="I194" i="26"/>
  <c r="M194" i="26"/>
  <c r="Q194" i="26"/>
  <c r="E195" i="26"/>
  <c r="I195" i="26"/>
  <c r="M195" i="26"/>
  <c r="Q195" i="26"/>
  <c r="E196" i="26"/>
  <c r="I196" i="26"/>
  <c r="M196" i="26"/>
  <c r="Q196" i="26"/>
  <c r="E197" i="26"/>
  <c r="I197" i="26"/>
  <c r="M197" i="26"/>
  <c r="Q197" i="26"/>
  <c r="E198" i="26"/>
  <c r="I198" i="26"/>
  <c r="M198" i="26"/>
  <c r="Q198" i="26"/>
  <c r="E199" i="26"/>
  <c r="I199" i="26"/>
  <c r="M199" i="26"/>
  <c r="Q199" i="26"/>
  <c r="E200" i="26"/>
  <c r="I200" i="26"/>
  <c r="M200" i="26"/>
  <c r="Q200" i="26"/>
  <c r="E201" i="26"/>
  <c r="I201" i="26"/>
  <c r="M201" i="26"/>
  <c r="Q201" i="26"/>
  <c r="E202" i="26"/>
  <c r="I202" i="26"/>
  <c r="M202" i="26"/>
  <c r="Q202" i="26"/>
  <c r="E203" i="26"/>
  <c r="I203" i="26"/>
  <c r="M203" i="26"/>
  <c r="Q203" i="26"/>
  <c r="E204" i="26"/>
  <c r="I204" i="26"/>
  <c r="M204" i="26"/>
  <c r="Q204" i="26"/>
  <c r="E205" i="26"/>
  <c r="I205" i="26"/>
  <c r="M205" i="26"/>
  <c r="Q205" i="26"/>
  <c r="E206" i="26"/>
  <c r="I206" i="26"/>
  <c r="M206" i="26"/>
  <c r="Q206" i="26"/>
  <c r="E207" i="26"/>
  <c r="I207" i="26"/>
  <c r="M207" i="26"/>
  <c r="Q207" i="26"/>
  <c r="E208" i="26"/>
  <c r="I208" i="26"/>
  <c r="M208" i="26"/>
  <c r="Q208" i="26"/>
  <c r="E209" i="26"/>
  <c r="I209" i="26"/>
  <c r="M209" i="26"/>
  <c r="Q209" i="26"/>
  <c r="E210" i="26"/>
  <c r="G210" i="26"/>
  <c r="H210" i="26"/>
  <c r="J210" i="26"/>
  <c r="Q210" i="26"/>
  <c r="E211" i="26"/>
  <c r="I211" i="26"/>
  <c r="M211" i="26"/>
  <c r="Q211" i="26"/>
  <c r="E212" i="26"/>
  <c r="I212" i="26"/>
  <c r="M212" i="26"/>
  <c r="Q212" i="26"/>
  <c r="E213" i="26"/>
  <c r="I213" i="26"/>
  <c r="M213" i="26"/>
  <c r="Q213" i="26"/>
  <c r="E214" i="26"/>
  <c r="I214" i="26"/>
  <c r="M214" i="26"/>
  <c r="Q214" i="26"/>
  <c r="E215" i="26"/>
  <c r="I215" i="26"/>
  <c r="M215" i="26"/>
  <c r="Q215" i="26"/>
  <c r="E216" i="26"/>
  <c r="I216" i="26"/>
  <c r="M216" i="26"/>
  <c r="Q216" i="26"/>
  <c r="E217" i="26"/>
  <c r="I217" i="26"/>
  <c r="M217" i="26"/>
  <c r="Q217" i="26"/>
  <c r="E218" i="26"/>
  <c r="I218" i="26"/>
  <c r="M218" i="26"/>
  <c r="Q218" i="26"/>
  <c r="E219" i="26"/>
  <c r="I219" i="26"/>
  <c r="M219" i="26"/>
  <c r="Q219" i="26"/>
  <c r="B220" i="26"/>
  <c r="C220" i="26"/>
  <c r="D220" i="26"/>
  <c r="F220" i="26"/>
  <c r="K220" i="26"/>
  <c r="L220" i="26"/>
  <c r="N220" i="26"/>
  <c r="O220" i="26"/>
  <c r="P220" i="26"/>
  <c r="E223" i="26"/>
  <c r="I223" i="26"/>
  <c r="M223" i="26"/>
  <c r="Q223" i="26"/>
  <c r="E224" i="26"/>
  <c r="I224" i="26"/>
  <c r="M224" i="26"/>
  <c r="Q224" i="26"/>
  <c r="E225" i="26"/>
  <c r="I225" i="26"/>
  <c r="M225" i="26"/>
  <c r="Q225" i="26"/>
  <c r="E227" i="26"/>
  <c r="I227" i="26"/>
  <c r="M227" i="26"/>
  <c r="Q227" i="26"/>
  <c r="E228" i="26"/>
  <c r="I228" i="26"/>
  <c r="M228" i="26"/>
  <c r="Q228" i="26"/>
  <c r="E229" i="26"/>
  <c r="I229" i="26"/>
  <c r="M229" i="26"/>
  <c r="Q229" i="26"/>
  <c r="E230" i="26"/>
  <c r="I230" i="26"/>
  <c r="M230" i="26"/>
  <c r="Q230" i="26"/>
  <c r="E231" i="26"/>
  <c r="I231" i="26"/>
  <c r="M231" i="26"/>
  <c r="Q231" i="26"/>
  <c r="E232" i="26"/>
  <c r="I232" i="26"/>
  <c r="M232" i="26"/>
  <c r="Q232" i="26"/>
  <c r="E233" i="26"/>
  <c r="I233" i="26"/>
  <c r="M233" i="26"/>
  <c r="Q233" i="26"/>
  <c r="E234" i="26"/>
  <c r="I234" i="26"/>
  <c r="M234" i="26"/>
  <c r="Q234" i="26"/>
  <c r="E236" i="26"/>
  <c r="I236" i="26"/>
  <c r="M236" i="26"/>
  <c r="Q236" i="26"/>
  <c r="B238" i="26"/>
  <c r="C238" i="26"/>
  <c r="D238" i="26"/>
  <c r="F238" i="26"/>
  <c r="G238" i="26"/>
  <c r="H238" i="26"/>
  <c r="J238" i="26"/>
  <c r="K238" i="26"/>
  <c r="L238" i="26"/>
  <c r="N238" i="26"/>
  <c r="O238" i="26"/>
  <c r="P238" i="26"/>
  <c r="C239" i="26"/>
  <c r="D239" i="26"/>
  <c r="F239" i="26"/>
  <c r="G239" i="26"/>
  <c r="H239" i="26"/>
  <c r="J239" i="26"/>
  <c r="K239" i="26"/>
  <c r="L239" i="26"/>
  <c r="N239" i="26"/>
  <c r="O239" i="26"/>
  <c r="E241" i="26"/>
  <c r="I241" i="26"/>
  <c r="M241" i="26"/>
  <c r="Q241" i="26"/>
  <c r="E242" i="26"/>
  <c r="I242" i="26"/>
  <c r="M242" i="26"/>
  <c r="Q242" i="26"/>
  <c r="E243" i="26"/>
  <c r="I243" i="26"/>
  <c r="M243" i="26"/>
  <c r="Q243" i="26"/>
  <c r="E244" i="26"/>
  <c r="I244" i="26"/>
  <c r="M244" i="26"/>
  <c r="Q244" i="26"/>
  <c r="E245" i="26"/>
  <c r="I245" i="26"/>
  <c r="M245" i="26"/>
  <c r="Q245" i="26"/>
  <c r="E246" i="26"/>
  <c r="I246" i="26"/>
  <c r="M246" i="26"/>
  <c r="Q246" i="26"/>
  <c r="E257" i="26"/>
  <c r="I257" i="26"/>
  <c r="M257" i="26"/>
  <c r="Q257" i="26"/>
  <c r="B259" i="26"/>
  <c r="C259" i="26"/>
  <c r="C260" i="26" s="1"/>
  <c r="N787" i="26" s="1"/>
  <c r="D259" i="26"/>
  <c r="D260" i="26" s="1"/>
  <c r="N788" i="26" s="1"/>
  <c r="F259" i="26"/>
  <c r="F260" i="26" s="1"/>
  <c r="N789" i="26" s="1"/>
  <c r="G259" i="26"/>
  <c r="G260" i="26" s="1"/>
  <c r="N790" i="26" s="1"/>
  <c r="H259" i="26"/>
  <c r="H260" i="26" s="1"/>
  <c r="N791" i="26" s="1"/>
  <c r="J259" i="26"/>
  <c r="K259" i="26"/>
  <c r="K260" i="26" s="1"/>
  <c r="N793" i="26" s="1"/>
  <c r="L260" i="26"/>
  <c r="N794" i="26" s="1"/>
  <c r="N259" i="26"/>
  <c r="O259" i="26"/>
  <c r="O260" i="26" s="1"/>
  <c r="N796" i="26" s="1"/>
  <c r="P259" i="26"/>
  <c r="P260" i="26" s="1"/>
  <c r="N797" i="26" s="1"/>
  <c r="B260" i="26"/>
  <c r="N786" i="26" s="1"/>
  <c r="E267" i="26"/>
  <c r="I267" i="26"/>
  <c r="M267" i="26"/>
  <c r="Q267" i="26"/>
  <c r="E268" i="26"/>
  <c r="I268" i="26"/>
  <c r="M268" i="26"/>
  <c r="Q268" i="26"/>
  <c r="E269" i="26"/>
  <c r="I269" i="26"/>
  <c r="M269" i="26"/>
  <c r="Q269" i="26"/>
  <c r="E270" i="26"/>
  <c r="I270" i="26"/>
  <c r="M270" i="26"/>
  <c r="Q270" i="26"/>
  <c r="E271" i="26"/>
  <c r="I271" i="26"/>
  <c r="Q271" i="26"/>
  <c r="E272" i="26"/>
  <c r="I272" i="26"/>
  <c r="M272" i="26"/>
  <c r="Q272" i="26"/>
  <c r="E273" i="26"/>
  <c r="I273" i="26"/>
  <c r="M273" i="26"/>
  <c r="Q273" i="26"/>
  <c r="E274" i="26"/>
  <c r="I274" i="26"/>
  <c r="M274" i="26"/>
  <c r="Q274" i="26"/>
  <c r="E275" i="26"/>
  <c r="I275" i="26"/>
  <c r="M275" i="26"/>
  <c r="Q275" i="26"/>
  <c r="E277" i="26"/>
  <c r="I277" i="26"/>
  <c r="M277" i="26"/>
  <c r="Q277" i="26"/>
  <c r="E279" i="26"/>
  <c r="I279" i="26"/>
  <c r="M279" i="26"/>
  <c r="Q279" i="26"/>
  <c r="E280" i="26"/>
  <c r="I280" i="26"/>
  <c r="M280" i="26"/>
  <c r="Q280" i="26"/>
  <c r="E281" i="26"/>
  <c r="I281" i="26"/>
  <c r="M281" i="26"/>
  <c r="E282" i="26"/>
  <c r="I282" i="26"/>
  <c r="M282" i="26"/>
  <c r="Q282" i="26"/>
  <c r="E283" i="26"/>
  <c r="I283" i="26"/>
  <c r="M283" i="26"/>
  <c r="Q283" i="26"/>
  <c r="E284" i="26"/>
  <c r="I284" i="26"/>
  <c r="M284" i="26"/>
  <c r="Q284" i="26"/>
  <c r="E285" i="26"/>
  <c r="I285" i="26"/>
  <c r="M285" i="26"/>
  <c r="Q285" i="26"/>
  <c r="E286" i="26"/>
  <c r="I286" i="26"/>
  <c r="M286" i="26"/>
  <c r="Q286" i="26"/>
  <c r="E287" i="26"/>
  <c r="I287" i="26"/>
  <c r="M287" i="26"/>
  <c r="Q287" i="26"/>
  <c r="E288" i="26"/>
  <c r="I288" i="26"/>
  <c r="M288" i="26"/>
  <c r="Q288" i="26"/>
  <c r="E289" i="26"/>
  <c r="I289" i="26"/>
  <c r="M289" i="26"/>
  <c r="Q289" i="26"/>
  <c r="E290" i="26"/>
  <c r="I290" i="26"/>
  <c r="M290" i="26"/>
  <c r="Q290" i="26"/>
  <c r="E291" i="26"/>
  <c r="I291" i="26"/>
  <c r="M291" i="26"/>
  <c r="Q291" i="26"/>
  <c r="E293" i="26"/>
  <c r="I293" i="26"/>
  <c r="M293" i="26"/>
  <c r="Q293" i="26"/>
  <c r="E294" i="26"/>
  <c r="I294" i="26"/>
  <c r="M294" i="26"/>
  <c r="Q294" i="26"/>
  <c r="E295" i="26"/>
  <c r="I295" i="26"/>
  <c r="M295" i="26"/>
  <c r="Q295" i="26"/>
  <c r="E296" i="26"/>
  <c r="I296" i="26"/>
  <c r="M296" i="26"/>
  <c r="Q296" i="26"/>
  <c r="B298" i="26"/>
  <c r="C298" i="26"/>
  <c r="D298" i="26"/>
  <c r="F298" i="26"/>
  <c r="G298" i="26"/>
  <c r="H298" i="26"/>
  <c r="J298" i="26"/>
  <c r="K298" i="26"/>
  <c r="L298" i="26"/>
  <c r="N298" i="26"/>
  <c r="O298" i="26"/>
  <c r="P298" i="26"/>
  <c r="E305" i="26"/>
  <c r="I305" i="26"/>
  <c r="M305" i="26"/>
  <c r="Q305" i="26"/>
  <c r="E306" i="26"/>
  <c r="I306" i="26"/>
  <c r="M306" i="26"/>
  <c r="Q306" i="26"/>
  <c r="D307" i="26"/>
  <c r="F307" i="26"/>
  <c r="F315" i="26" s="1"/>
  <c r="G307" i="26"/>
  <c r="H307" i="26"/>
  <c r="J307" i="26"/>
  <c r="Q307" i="26"/>
  <c r="E308" i="26"/>
  <c r="I308" i="26"/>
  <c r="M308" i="26"/>
  <c r="Q308" i="26"/>
  <c r="E309" i="26"/>
  <c r="G309" i="26"/>
  <c r="H309" i="26"/>
  <c r="J309" i="26"/>
  <c r="M309" i="26" s="1"/>
  <c r="Q309" i="26"/>
  <c r="E310" i="26"/>
  <c r="I310" i="26"/>
  <c r="M310" i="26"/>
  <c r="Q310" i="26"/>
  <c r="E311" i="26"/>
  <c r="I311" i="26"/>
  <c r="M311" i="26"/>
  <c r="Q311" i="26"/>
  <c r="E312" i="26"/>
  <c r="I312" i="26"/>
  <c r="M312" i="26"/>
  <c r="Q312" i="26"/>
  <c r="E313" i="26"/>
  <c r="I313" i="26"/>
  <c r="M313" i="26"/>
  <c r="Q313" i="26"/>
  <c r="E318" i="26"/>
  <c r="I318" i="26"/>
  <c r="M318" i="26"/>
  <c r="Q318" i="26"/>
  <c r="E319" i="26"/>
  <c r="I319" i="26"/>
  <c r="M319" i="26"/>
  <c r="Q319" i="26"/>
  <c r="E321" i="26"/>
  <c r="I321" i="26"/>
  <c r="M321" i="26"/>
  <c r="Q321" i="26"/>
  <c r="E322" i="26"/>
  <c r="I322" i="26"/>
  <c r="M322" i="26"/>
  <c r="Q322" i="26"/>
  <c r="E323" i="26"/>
  <c r="I323" i="26"/>
  <c r="M323" i="26"/>
  <c r="Q323" i="26"/>
  <c r="E324" i="26"/>
  <c r="I324" i="26"/>
  <c r="M324" i="26"/>
  <c r="Q324" i="26"/>
  <c r="E325" i="26"/>
  <c r="I325" i="26"/>
  <c r="M325" i="26"/>
  <c r="Q325" i="26"/>
  <c r="E326" i="26"/>
  <c r="I326" i="26"/>
  <c r="M326" i="26"/>
  <c r="Q326" i="26"/>
  <c r="E327" i="26"/>
  <c r="I327" i="26"/>
  <c r="M327" i="26"/>
  <c r="Q327" i="26"/>
  <c r="E328" i="26"/>
  <c r="I328" i="26"/>
  <c r="M328" i="26"/>
  <c r="Q328" i="26"/>
  <c r="E329" i="26"/>
  <c r="I329" i="26"/>
  <c r="M329" i="26"/>
  <c r="Q329" i="26"/>
  <c r="E330" i="26"/>
  <c r="I330" i="26"/>
  <c r="M330" i="26"/>
  <c r="Q330" i="26"/>
  <c r="E331" i="26"/>
  <c r="I331" i="26"/>
  <c r="M331" i="26"/>
  <c r="Q331" i="26"/>
  <c r="E333" i="26"/>
  <c r="I333" i="26"/>
  <c r="M333" i="26"/>
  <c r="Q333" i="26"/>
  <c r="E334" i="26"/>
  <c r="I334" i="26"/>
  <c r="M334" i="26"/>
  <c r="Q334" i="26"/>
  <c r="E335" i="26"/>
  <c r="I335" i="26"/>
  <c r="M335" i="26"/>
  <c r="Q335" i="26"/>
  <c r="E336" i="26"/>
  <c r="I336" i="26"/>
  <c r="M336" i="26"/>
  <c r="Q336" i="26"/>
  <c r="E337" i="26"/>
  <c r="I337" i="26"/>
  <c r="M337" i="26"/>
  <c r="Q337" i="26"/>
  <c r="E338" i="26"/>
  <c r="I338" i="26"/>
  <c r="M338" i="26"/>
  <c r="Q338" i="26"/>
  <c r="E339" i="26"/>
  <c r="I339" i="26"/>
  <c r="M339" i="26"/>
  <c r="Q339" i="26"/>
  <c r="E340" i="26"/>
  <c r="I340" i="26"/>
  <c r="M340" i="26"/>
  <c r="Q340" i="26"/>
  <c r="B341" i="26"/>
  <c r="C341" i="26"/>
  <c r="D341" i="26"/>
  <c r="F341" i="26"/>
  <c r="G341" i="26"/>
  <c r="H341" i="26"/>
  <c r="J341" i="26"/>
  <c r="K341" i="26"/>
  <c r="N341" i="26"/>
  <c r="O341" i="26"/>
  <c r="P341" i="26"/>
  <c r="E344" i="26"/>
  <c r="I344" i="26"/>
  <c r="M344" i="26"/>
  <c r="Q344" i="26"/>
  <c r="E346" i="26"/>
  <c r="I346" i="26"/>
  <c r="M346" i="26"/>
  <c r="Q346" i="26"/>
  <c r="E347" i="26"/>
  <c r="I347" i="26"/>
  <c r="M347" i="26"/>
  <c r="Q347" i="26"/>
  <c r="E349" i="26"/>
  <c r="I349" i="26"/>
  <c r="M349" i="26"/>
  <c r="Q349" i="26"/>
  <c r="E350" i="26"/>
  <c r="I350" i="26"/>
  <c r="M350" i="26"/>
  <c r="Q350" i="26"/>
  <c r="E351" i="26"/>
  <c r="I351" i="26"/>
  <c r="M351" i="26"/>
  <c r="Q351" i="26"/>
  <c r="E352" i="26"/>
  <c r="I352" i="26"/>
  <c r="M352" i="26"/>
  <c r="Q352" i="26"/>
  <c r="E353" i="26"/>
  <c r="I353" i="26"/>
  <c r="M353" i="26"/>
  <c r="Q353" i="26"/>
  <c r="E354" i="26"/>
  <c r="I354" i="26"/>
  <c r="M354" i="26"/>
  <c r="Q354" i="26"/>
  <c r="E355" i="26"/>
  <c r="I355" i="26"/>
  <c r="M355" i="26"/>
  <c r="Q355" i="26"/>
  <c r="E357" i="26"/>
  <c r="I357" i="26"/>
  <c r="M357" i="26"/>
  <c r="Q357" i="26"/>
  <c r="E358" i="26"/>
  <c r="I358" i="26"/>
  <c r="M358" i="26"/>
  <c r="Q358" i="26"/>
  <c r="E360" i="26"/>
  <c r="I360" i="26"/>
  <c r="M360" i="26"/>
  <c r="Q360" i="26"/>
  <c r="E361" i="26"/>
  <c r="I361" i="26"/>
  <c r="M361" i="26"/>
  <c r="Q361" i="26"/>
  <c r="E362" i="26"/>
  <c r="I362" i="26"/>
  <c r="M362" i="26"/>
  <c r="Q362" i="26"/>
  <c r="E363" i="26"/>
  <c r="I363" i="26"/>
  <c r="M363" i="26"/>
  <c r="Q363" i="26"/>
  <c r="E364" i="26"/>
  <c r="I364" i="26"/>
  <c r="M364" i="26"/>
  <c r="Q364" i="26"/>
  <c r="B365" i="26"/>
  <c r="C365" i="26"/>
  <c r="D365" i="26"/>
  <c r="F365" i="26"/>
  <c r="G365" i="26"/>
  <c r="J365" i="26"/>
  <c r="K365" i="26"/>
  <c r="L365" i="26"/>
  <c r="N365" i="26"/>
  <c r="O365" i="26"/>
  <c r="P365" i="26"/>
  <c r="B366" i="26"/>
  <c r="C366" i="26"/>
  <c r="D366" i="26"/>
  <c r="F366" i="26"/>
  <c r="G366" i="26"/>
  <c r="H366" i="26"/>
  <c r="J366" i="26"/>
  <c r="K366" i="26"/>
  <c r="L366" i="26"/>
  <c r="N366" i="26"/>
  <c r="O366" i="26"/>
  <c r="P366" i="26"/>
  <c r="E368" i="26"/>
  <c r="I368" i="26"/>
  <c r="M368" i="26"/>
  <c r="Q368" i="26"/>
  <c r="E369" i="26"/>
  <c r="I369" i="26"/>
  <c r="M369" i="26"/>
  <c r="Q369" i="26"/>
  <c r="E370" i="26"/>
  <c r="I370" i="26"/>
  <c r="M370" i="26"/>
  <c r="Q370" i="26"/>
  <c r="E387" i="26"/>
  <c r="I387" i="26"/>
  <c r="M387" i="26"/>
  <c r="Q387" i="26"/>
  <c r="E388" i="26"/>
  <c r="I388" i="26"/>
  <c r="M388" i="26"/>
  <c r="Q388" i="26"/>
  <c r="E390" i="26"/>
  <c r="I390" i="26"/>
  <c r="M390" i="26"/>
  <c r="Q390" i="26"/>
  <c r="E391" i="26"/>
  <c r="I391" i="26"/>
  <c r="M391" i="26"/>
  <c r="Q391" i="26"/>
  <c r="E392" i="26"/>
  <c r="I392" i="26"/>
  <c r="M392" i="26"/>
  <c r="Q392" i="26"/>
  <c r="B395" i="26"/>
  <c r="C395" i="26"/>
  <c r="D395" i="26"/>
  <c r="F395" i="26"/>
  <c r="G395" i="26"/>
  <c r="H395" i="26"/>
  <c r="J395" i="26"/>
  <c r="K395" i="26"/>
  <c r="L395" i="26"/>
  <c r="N395" i="26"/>
  <c r="O395" i="26"/>
  <c r="P395" i="26"/>
  <c r="E398" i="26"/>
  <c r="H398" i="26"/>
  <c r="J398" i="26"/>
  <c r="M398" i="26" s="1"/>
  <c r="Q398" i="26"/>
  <c r="B400" i="26"/>
  <c r="C400" i="26"/>
  <c r="D400" i="26"/>
  <c r="F400" i="26"/>
  <c r="G400" i="26"/>
  <c r="H400" i="26"/>
  <c r="K400" i="26"/>
  <c r="L400" i="26"/>
  <c r="N400" i="26"/>
  <c r="O400" i="26"/>
  <c r="P400" i="26"/>
  <c r="B404" i="26"/>
  <c r="C404" i="26"/>
  <c r="D404" i="26"/>
  <c r="F404" i="26"/>
  <c r="G404" i="26"/>
  <c r="H404" i="26"/>
  <c r="J404" i="26"/>
  <c r="K404" i="26"/>
  <c r="L404" i="26"/>
  <c r="N404" i="26"/>
  <c r="O404" i="26"/>
  <c r="P404" i="26"/>
  <c r="E410" i="26"/>
  <c r="I410" i="26"/>
  <c r="M410" i="26"/>
  <c r="Q410" i="26"/>
  <c r="E411" i="26"/>
  <c r="I411" i="26"/>
  <c r="M411" i="26"/>
  <c r="Q411" i="26"/>
  <c r="B412" i="26"/>
  <c r="C412" i="26"/>
  <c r="D412" i="26"/>
  <c r="F412" i="26"/>
  <c r="G412" i="26"/>
  <c r="H412" i="26"/>
  <c r="J412" i="26"/>
  <c r="K412" i="26"/>
  <c r="L412" i="26"/>
  <c r="N412" i="26"/>
  <c r="O412" i="26"/>
  <c r="P412" i="26"/>
  <c r="B413" i="26"/>
  <c r="C413" i="26"/>
  <c r="D413" i="26"/>
  <c r="F413" i="26"/>
  <c r="G413" i="26"/>
  <c r="H413" i="26"/>
  <c r="J413" i="26"/>
  <c r="K413" i="26"/>
  <c r="L413" i="26"/>
  <c r="N413" i="26"/>
  <c r="O413" i="26"/>
  <c r="P413" i="26"/>
  <c r="E415" i="26"/>
  <c r="I415" i="26"/>
  <c r="M415" i="26"/>
  <c r="Q415" i="26"/>
  <c r="E427" i="26"/>
  <c r="I427" i="26"/>
  <c r="M427" i="26"/>
  <c r="Q427" i="26"/>
  <c r="E428" i="26"/>
  <c r="I428" i="26"/>
  <c r="M428" i="26"/>
  <c r="Q428" i="26"/>
  <c r="E429" i="26"/>
  <c r="I429" i="26"/>
  <c r="M429" i="26"/>
  <c r="Q429" i="26"/>
  <c r="B433" i="26"/>
  <c r="C433" i="26"/>
  <c r="D433" i="26"/>
  <c r="F433" i="26"/>
  <c r="G433" i="26"/>
  <c r="H433" i="26"/>
  <c r="J433" i="26"/>
  <c r="K433" i="26"/>
  <c r="L433" i="26"/>
  <c r="N433" i="26"/>
  <c r="O433" i="26"/>
  <c r="P433" i="26"/>
  <c r="E436" i="26"/>
  <c r="I436" i="26"/>
  <c r="M436" i="26"/>
  <c r="Q436" i="26"/>
  <c r="E437" i="26"/>
  <c r="I437" i="26"/>
  <c r="M437" i="26"/>
  <c r="Q437" i="26"/>
  <c r="B439" i="26"/>
  <c r="C439" i="26"/>
  <c r="D439" i="26"/>
  <c r="F439" i="26"/>
  <c r="G439" i="26"/>
  <c r="H439" i="26"/>
  <c r="J439" i="26"/>
  <c r="K439" i="26"/>
  <c r="L439" i="26"/>
  <c r="N439" i="26"/>
  <c r="O439" i="26"/>
  <c r="P439" i="26"/>
  <c r="B443" i="26"/>
  <c r="C443" i="26"/>
  <c r="D443" i="26"/>
  <c r="F443" i="26"/>
  <c r="G443" i="26"/>
  <c r="H443" i="26"/>
  <c r="J443" i="26"/>
  <c r="K443" i="26"/>
  <c r="L443" i="26"/>
  <c r="N443" i="26"/>
  <c r="O443" i="26"/>
  <c r="P443" i="26"/>
  <c r="E448" i="26"/>
  <c r="I448" i="26"/>
  <c r="M448" i="26"/>
  <c r="Q448" i="26"/>
  <c r="E450" i="26"/>
  <c r="I450" i="26"/>
  <c r="M450" i="26"/>
  <c r="Q450" i="26"/>
  <c r="E451" i="26"/>
  <c r="I451" i="26"/>
  <c r="M451" i="26"/>
  <c r="Q451" i="26"/>
  <c r="E452" i="26"/>
  <c r="I452" i="26"/>
  <c r="M452" i="26"/>
  <c r="Q452" i="26"/>
  <c r="B453" i="26"/>
  <c r="C453" i="26"/>
  <c r="D453" i="26"/>
  <c r="F453" i="26"/>
  <c r="G453" i="26"/>
  <c r="H453" i="26"/>
  <c r="J453" i="26"/>
  <c r="K453" i="26"/>
  <c r="L453" i="26"/>
  <c r="N453" i="26"/>
  <c r="O453" i="26"/>
  <c r="P453" i="26"/>
  <c r="B454" i="26"/>
  <c r="C454" i="26"/>
  <c r="D454" i="26"/>
  <c r="F454" i="26"/>
  <c r="G454" i="26"/>
  <c r="H454" i="26"/>
  <c r="J454" i="26"/>
  <c r="K454" i="26"/>
  <c r="L454" i="26"/>
  <c r="N454" i="26"/>
  <c r="O454" i="26"/>
  <c r="P454" i="26"/>
  <c r="E456" i="26"/>
  <c r="I456" i="26"/>
  <c r="M456" i="26"/>
  <c r="Q456" i="26"/>
  <c r="E468" i="26"/>
  <c r="I468" i="26"/>
  <c r="M468" i="26"/>
  <c r="Q468" i="26"/>
  <c r="E469" i="26"/>
  <c r="I469" i="26"/>
  <c r="M469" i="26"/>
  <c r="Q469" i="26"/>
  <c r="E470" i="26"/>
  <c r="I470" i="26"/>
  <c r="M470" i="26"/>
  <c r="Q470" i="26"/>
  <c r="E471" i="26"/>
  <c r="I471" i="26"/>
  <c r="M471" i="26"/>
  <c r="Q471" i="26"/>
  <c r="E472" i="26"/>
  <c r="I472" i="26"/>
  <c r="M472" i="26"/>
  <c r="Q472" i="26"/>
  <c r="E473" i="26"/>
  <c r="I473" i="26"/>
  <c r="M473" i="26"/>
  <c r="Q473" i="26"/>
  <c r="E474" i="26"/>
  <c r="I474" i="26"/>
  <c r="M474" i="26"/>
  <c r="Q474" i="26"/>
  <c r="E475" i="26"/>
  <c r="I475" i="26"/>
  <c r="M475" i="26"/>
  <c r="Q475" i="26"/>
  <c r="E477" i="26"/>
  <c r="I477" i="26"/>
  <c r="M477" i="26"/>
  <c r="Q477" i="26"/>
  <c r="E479" i="26"/>
  <c r="I479" i="26"/>
  <c r="M479" i="26"/>
  <c r="Q479" i="26"/>
  <c r="B481" i="26"/>
  <c r="C481" i="26"/>
  <c r="D481" i="26"/>
  <c r="F481" i="26"/>
  <c r="G481" i="26"/>
  <c r="H481" i="26"/>
  <c r="J481" i="26"/>
  <c r="K481" i="26"/>
  <c r="L481" i="26"/>
  <c r="N481" i="26"/>
  <c r="O481" i="26"/>
  <c r="P481" i="26"/>
  <c r="E484" i="26"/>
  <c r="I484" i="26"/>
  <c r="M484" i="26"/>
  <c r="Q484" i="26"/>
  <c r="E485" i="26"/>
  <c r="I485" i="26"/>
  <c r="M485" i="26"/>
  <c r="Q485" i="26"/>
  <c r="B487" i="26"/>
  <c r="C487" i="26"/>
  <c r="D487" i="26"/>
  <c r="F487" i="26"/>
  <c r="G487" i="26"/>
  <c r="H487" i="26"/>
  <c r="J487" i="26"/>
  <c r="K487" i="26"/>
  <c r="L487" i="26"/>
  <c r="N487" i="26"/>
  <c r="O487" i="26"/>
  <c r="P487" i="26"/>
  <c r="E495" i="26"/>
  <c r="I495" i="26"/>
  <c r="M495" i="26"/>
  <c r="Q495" i="26"/>
  <c r="E496" i="26"/>
  <c r="I496" i="26"/>
  <c r="M496" i="26"/>
  <c r="Q496" i="26"/>
  <c r="E498" i="26"/>
  <c r="I498" i="26"/>
  <c r="M498" i="26"/>
  <c r="Q498" i="26"/>
  <c r="E499" i="26"/>
  <c r="I499" i="26"/>
  <c r="M499" i="26"/>
  <c r="Q499" i="26"/>
  <c r="E500" i="26"/>
  <c r="I500" i="26"/>
  <c r="M500" i="26"/>
  <c r="Q500" i="26"/>
  <c r="E501" i="26"/>
  <c r="I501" i="26"/>
  <c r="M501" i="26"/>
  <c r="Q501" i="26"/>
  <c r="E504" i="26"/>
  <c r="I504" i="26"/>
  <c r="M504" i="26"/>
  <c r="Q504" i="26"/>
  <c r="B505" i="26"/>
  <c r="C505" i="26"/>
  <c r="D505" i="26"/>
  <c r="F505" i="26"/>
  <c r="G505" i="26"/>
  <c r="H505" i="26"/>
  <c r="J505" i="26"/>
  <c r="K505" i="26"/>
  <c r="L505" i="26"/>
  <c r="N505" i="26"/>
  <c r="O505" i="26"/>
  <c r="P505" i="26"/>
  <c r="B506" i="26"/>
  <c r="C506" i="26"/>
  <c r="D506" i="26"/>
  <c r="F506" i="26"/>
  <c r="G506" i="26"/>
  <c r="H506" i="26"/>
  <c r="J506" i="26"/>
  <c r="K506" i="26"/>
  <c r="L506" i="26"/>
  <c r="N506" i="26"/>
  <c r="O506" i="26"/>
  <c r="P506" i="26"/>
  <c r="E508" i="26"/>
  <c r="I508" i="26"/>
  <c r="M508" i="26"/>
  <c r="Q508" i="26"/>
  <c r="E518" i="26"/>
  <c r="I518" i="26"/>
  <c r="M518" i="26"/>
  <c r="Q518" i="26"/>
  <c r="B520" i="26"/>
  <c r="C520" i="26"/>
  <c r="C521" i="26" s="1"/>
  <c r="D520" i="26"/>
  <c r="D521" i="26" s="1"/>
  <c r="F520" i="26"/>
  <c r="F521" i="26" s="1"/>
  <c r="G520" i="26"/>
  <c r="G521" i="26" s="1"/>
  <c r="H520" i="26"/>
  <c r="H521" i="26" s="1"/>
  <c r="J520" i="26"/>
  <c r="K520" i="26"/>
  <c r="K521" i="26" s="1"/>
  <c r="L520" i="26"/>
  <c r="L521" i="26" s="1"/>
  <c r="N520" i="26"/>
  <c r="N521" i="26" s="1"/>
  <c r="O520" i="26"/>
  <c r="O521" i="26" s="1"/>
  <c r="P520" i="26"/>
  <c r="P521" i="26" s="1"/>
  <c r="E530" i="26"/>
  <c r="F530" i="26"/>
  <c r="F701" i="26" s="1"/>
  <c r="G530" i="26"/>
  <c r="H530" i="26"/>
  <c r="M530" i="26"/>
  <c r="Q530" i="26"/>
  <c r="E531" i="26"/>
  <c r="I531" i="26"/>
  <c r="M531" i="26"/>
  <c r="Q531" i="26"/>
  <c r="B535" i="26"/>
  <c r="C535" i="26"/>
  <c r="D535" i="26"/>
  <c r="J535" i="26"/>
  <c r="K535" i="26"/>
  <c r="L535" i="26"/>
  <c r="N535" i="26"/>
  <c r="O535" i="26"/>
  <c r="P535" i="26"/>
  <c r="B539" i="26"/>
  <c r="C539" i="26"/>
  <c r="D539" i="26"/>
  <c r="F539" i="26"/>
  <c r="G539" i="26"/>
  <c r="H539" i="26"/>
  <c r="J539" i="26"/>
  <c r="K539" i="26"/>
  <c r="L539" i="26"/>
  <c r="N539" i="26"/>
  <c r="O539" i="26"/>
  <c r="P539" i="26"/>
  <c r="B543" i="26"/>
  <c r="C543" i="26"/>
  <c r="D543" i="26"/>
  <c r="F543" i="26"/>
  <c r="G543" i="26"/>
  <c r="H543" i="26"/>
  <c r="J543" i="26"/>
  <c r="K543" i="26"/>
  <c r="L543" i="26"/>
  <c r="N543" i="26"/>
  <c r="O543" i="26"/>
  <c r="P543" i="26"/>
  <c r="E547" i="26"/>
  <c r="I547" i="26"/>
  <c r="M547" i="26"/>
  <c r="Q547" i="26"/>
  <c r="B550" i="26"/>
  <c r="C550" i="26"/>
  <c r="D550" i="26"/>
  <c r="F550" i="26"/>
  <c r="G550" i="26"/>
  <c r="H550" i="26"/>
  <c r="J550" i="26"/>
  <c r="K550" i="26"/>
  <c r="L550" i="26"/>
  <c r="N550" i="26"/>
  <c r="O550" i="26"/>
  <c r="P550" i="26"/>
  <c r="B551" i="26"/>
  <c r="C551" i="26"/>
  <c r="D551" i="26"/>
  <c r="F551" i="26"/>
  <c r="G551" i="26"/>
  <c r="H551" i="26"/>
  <c r="J551" i="26"/>
  <c r="K551" i="26"/>
  <c r="L551" i="26"/>
  <c r="N551" i="26"/>
  <c r="O551" i="26"/>
  <c r="P551" i="26"/>
  <c r="E553" i="26"/>
  <c r="I553" i="26"/>
  <c r="M553" i="26"/>
  <c r="Q553" i="26"/>
  <c r="E565" i="26"/>
  <c r="I565" i="26"/>
  <c r="M565" i="26"/>
  <c r="Q565" i="26"/>
  <c r="E566" i="26"/>
  <c r="I566" i="26"/>
  <c r="M566" i="26"/>
  <c r="Q566" i="26"/>
  <c r="B570" i="26"/>
  <c r="C570" i="26"/>
  <c r="D570" i="26"/>
  <c r="F570" i="26"/>
  <c r="G570" i="26"/>
  <c r="H570" i="26"/>
  <c r="J570" i="26"/>
  <c r="K570" i="26"/>
  <c r="L570" i="26"/>
  <c r="N570" i="26"/>
  <c r="O570" i="26"/>
  <c r="P570" i="26"/>
  <c r="B574" i="26"/>
  <c r="C574" i="26"/>
  <c r="D574" i="26"/>
  <c r="F574" i="26"/>
  <c r="G574" i="26"/>
  <c r="H574" i="26"/>
  <c r="J574" i="26"/>
  <c r="K574" i="26"/>
  <c r="L574" i="26"/>
  <c r="N574" i="26"/>
  <c r="O574" i="26"/>
  <c r="P574" i="26"/>
  <c r="E577" i="26"/>
  <c r="I577" i="26"/>
  <c r="M577" i="26"/>
  <c r="Q577" i="26"/>
  <c r="E579" i="26"/>
  <c r="I579" i="26"/>
  <c r="M579" i="26"/>
  <c r="Q579" i="26"/>
  <c r="E580" i="26"/>
  <c r="I580" i="26"/>
  <c r="M580" i="26"/>
  <c r="Q580" i="26"/>
  <c r="B581" i="26"/>
  <c r="C581" i="26"/>
  <c r="D581" i="26"/>
  <c r="F581" i="26"/>
  <c r="G581" i="26"/>
  <c r="H581" i="26"/>
  <c r="J581" i="26"/>
  <c r="K581" i="26"/>
  <c r="L581" i="26"/>
  <c r="N581" i="26"/>
  <c r="O581" i="26"/>
  <c r="P581" i="26"/>
  <c r="E585" i="26"/>
  <c r="I585" i="26"/>
  <c r="M585" i="26"/>
  <c r="Q585" i="26"/>
  <c r="E586" i="26"/>
  <c r="I586" i="26"/>
  <c r="M586" i="26"/>
  <c r="Q586" i="26"/>
  <c r="E587" i="26"/>
  <c r="I587" i="26"/>
  <c r="M587" i="26"/>
  <c r="E588" i="26"/>
  <c r="I588" i="26"/>
  <c r="M588" i="26"/>
  <c r="Q588" i="26"/>
  <c r="B591" i="26"/>
  <c r="C591" i="26"/>
  <c r="D591" i="26"/>
  <c r="F591" i="26"/>
  <c r="G591" i="26"/>
  <c r="H591" i="26"/>
  <c r="J591" i="26"/>
  <c r="K591" i="26"/>
  <c r="L591" i="26"/>
  <c r="N591" i="26"/>
  <c r="O591" i="26"/>
  <c r="P591" i="26"/>
  <c r="B592" i="26"/>
  <c r="C592" i="26"/>
  <c r="D592" i="26"/>
  <c r="F592" i="26"/>
  <c r="G592" i="26"/>
  <c r="H592" i="26"/>
  <c r="J592" i="26"/>
  <c r="K592" i="26"/>
  <c r="L592" i="26"/>
  <c r="N592" i="26"/>
  <c r="O592" i="26"/>
  <c r="E594" i="26"/>
  <c r="I594" i="26"/>
  <c r="M594" i="26"/>
  <c r="Q594" i="26"/>
  <c r="E604" i="26"/>
  <c r="I604" i="26"/>
  <c r="M604" i="26"/>
  <c r="Q604" i="26"/>
  <c r="B606" i="26"/>
  <c r="C606" i="26"/>
  <c r="D606" i="26"/>
  <c r="D607" i="26" s="1"/>
  <c r="F606" i="26"/>
  <c r="F607" i="26" s="1"/>
  <c r="G606" i="26"/>
  <c r="G607" i="26" s="1"/>
  <c r="H606" i="26"/>
  <c r="H607" i="26" s="1"/>
  <c r="J606" i="26"/>
  <c r="K606" i="26"/>
  <c r="L606" i="26"/>
  <c r="L607" i="26" s="1"/>
  <c r="N606" i="26"/>
  <c r="O606" i="26"/>
  <c r="O607" i="26" s="1"/>
  <c r="P606" i="26"/>
  <c r="P607" i="26" s="1"/>
  <c r="B607" i="26"/>
  <c r="E616" i="26"/>
  <c r="I616" i="26"/>
  <c r="M616" i="26"/>
  <c r="Q616" i="26"/>
  <c r="B620" i="26"/>
  <c r="C620" i="26"/>
  <c r="D620" i="26"/>
  <c r="F620" i="26"/>
  <c r="G620" i="26"/>
  <c r="H620" i="26"/>
  <c r="J620" i="26"/>
  <c r="K620" i="26"/>
  <c r="L620" i="26"/>
  <c r="N620" i="26"/>
  <c r="O620" i="26"/>
  <c r="P620" i="26"/>
  <c r="B624" i="26"/>
  <c r="C624" i="26"/>
  <c r="D624" i="26"/>
  <c r="F624" i="26"/>
  <c r="G624" i="26"/>
  <c r="H624" i="26"/>
  <c r="J624" i="26"/>
  <c r="K624" i="26"/>
  <c r="L624" i="26"/>
  <c r="N624" i="26"/>
  <c r="O624" i="26"/>
  <c r="P624" i="26"/>
  <c r="B628" i="26"/>
  <c r="C628" i="26"/>
  <c r="D628" i="26"/>
  <c r="F628" i="26"/>
  <c r="G628" i="26"/>
  <c r="H628" i="26"/>
  <c r="J628" i="26"/>
  <c r="K628" i="26"/>
  <c r="L628" i="26"/>
  <c r="N628" i="26"/>
  <c r="O628" i="26"/>
  <c r="P628" i="26"/>
  <c r="B634" i="26"/>
  <c r="C634" i="26"/>
  <c r="D634" i="26"/>
  <c r="F634" i="26"/>
  <c r="G634" i="26"/>
  <c r="H634" i="26"/>
  <c r="J634" i="26"/>
  <c r="K634" i="26"/>
  <c r="L634" i="26"/>
  <c r="N634" i="26"/>
  <c r="O634" i="26"/>
  <c r="P634" i="26"/>
  <c r="B635" i="26"/>
  <c r="C635" i="26"/>
  <c r="D635" i="26"/>
  <c r="F635" i="26"/>
  <c r="G635" i="26"/>
  <c r="H635" i="26"/>
  <c r="J635" i="26"/>
  <c r="K635" i="26"/>
  <c r="L635" i="26"/>
  <c r="N635" i="26"/>
  <c r="O635" i="26"/>
  <c r="P635" i="26"/>
  <c r="E637" i="26"/>
  <c r="I637" i="26"/>
  <c r="M637" i="26"/>
  <c r="Q637" i="26"/>
  <c r="E638" i="26"/>
  <c r="I638" i="26"/>
  <c r="M638" i="26"/>
  <c r="Q638" i="26"/>
  <c r="E650" i="26"/>
  <c r="I650" i="26"/>
  <c r="M650" i="26"/>
  <c r="Q650" i="26"/>
  <c r="E651" i="26"/>
  <c r="I651" i="26"/>
  <c r="M651" i="26"/>
  <c r="Q651" i="26"/>
  <c r="E654" i="26"/>
  <c r="I654" i="26"/>
  <c r="M654" i="26"/>
  <c r="Q654" i="26"/>
  <c r="B656" i="26"/>
  <c r="C656" i="26"/>
  <c r="D656" i="26"/>
  <c r="F656" i="26"/>
  <c r="G656" i="26"/>
  <c r="H656" i="26"/>
  <c r="J656" i="26"/>
  <c r="K656" i="26"/>
  <c r="L656" i="26"/>
  <c r="N656" i="26"/>
  <c r="O656" i="26"/>
  <c r="P656" i="26"/>
  <c r="E659" i="26"/>
  <c r="I659" i="26"/>
  <c r="M659" i="26"/>
  <c r="Q659" i="26"/>
  <c r="B661" i="26"/>
  <c r="C661" i="26"/>
  <c r="D661" i="26"/>
  <c r="F661" i="26"/>
  <c r="G661" i="26"/>
  <c r="H661" i="26"/>
  <c r="J661" i="26"/>
  <c r="K661" i="26"/>
  <c r="L661" i="26"/>
  <c r="N661" i="26"/>
  <c r="O661" i="26"/>
  <c r="P661" i="26"/>
  <c r="E664" i="26"/>
  <c r="I664" i="26"/>
  <c r="M664" i="26"/>
  <c r="Q664" i="26"/>
  <c r="E666" i="26"/>
  <c r="I666" i="26"/>
  <c r="M666" i="26"/>
  <c r="Q666" i="26"/>
  <c r="E667" i="26"/>
  <c r="I667" i="26"/>
  <c r="M667" i="26"/>
  <c r="Q667" i="26"/>
  <c r="B668" i="26"/>
  <c r="C668" i="26"/>
  <c r="D668" i="26"/>
  <c r="F668" i="26"/>
  <c r="G668" i="26"/>
  <c r="H668" i="26"/>
  <c r="J668" i="26"/>
  <c r="K668" i="26"/>
  <c r="L668" i="26"/>
  <c r="N668" i="26"/>
  <c r="O668" i="26"/>
  <c r="P668" i="26"/>
  <c r="E671" i="26"/>
  <c r="I671" i="26"/>
  <c r="M671" i="26"/>
  <c r="Q671" i="26"/>
  <c r="E672" i="26"/>
  <c r="I672" i="26"/>
  <c r="M672" i="26"/>
  <c r="Q672" i="26"/>
  <c r="E674" i="26"/>
  <c r="I674" i="26"/>
  <c r="M674" i="26"/>
  <c r="Q674" i="26"/>
  <c r="E675" i="26"/>
  <c r="I675" i="26"/>
  <c r="M675" i="26"/>
  <c r="Q675" i="26"/>
  <c r="B678" i="26"/>
  <c r="C678" i="26"/>
  <c r="D678" i="26"/>
  <c r="F678" i="26"/>
  <c r="G678" i="26"/>
  <c r="H678" i="26"/>
  <c r="J678" i="26"/>
  <c r="K678" i="26"/>
  <c r="L678" i="26"/>
  <c r="N678" i="26"/>
  <c r="O678" i="26"/>
  <c r="P678" i="26"/>
  <c r="B679" i="26"/>
  <c r="C679" i="26"/>
  <c r="D679" i="26"/>
  <c r="F679" i="26"/>
  <c r="G679" i="26"/>
  <c r="H679" i="26"/>
  <c r="J679" i="26"/>
  <c r="K679" i="26"/>
  <c r="L679" i="26"/>
  <c r="N679" i="26"/>
  <c r="O679" i="26"/>
  <c r="P679" i="26"/>
  <c r="B680" i="26"/>
  <c r="B683" i="26" s="1"/>
  <c r="E681" i="26"/>
  <c r="I681" i="26"/>
  <c r="M681" i="26"/>
  <c r="Q681" i="26"/>
  <c r="Q688" i="26"/>
  <c r="A692" i="26"/>
  <c r="A694" i="26"/>
  <c r="B703" i="26"/>
  <c r="C703" i="26"/>
  <c r="D703" i="26"/>
  <c r="F703" i="26"/>
  <c r="G703" i="26"/>
  <c r="H703" i="26"/>
  <c r="J703" i="26"/>
  <c r="K703" i="26"/>
  <c r="N703" i="26"/>
  <c r="O703" i="26"/>
  <c r="P703" i="26"/>
  <c r="B704" i="26"/>
  <c r="C704" i="26"/>
  <c r="D704" i="26"/>
  <c r="F704" i="26"/>
  <c r="G704" i="26"/>
  <c r="H704" i="26"/>
  <c r="J704" i="26"/>
  <c r="K704" i="26"/>
  <c r="L704" i="26"/>
  <c r="N704" i="26"/>
  <c r="O704" i="26"/>
  <c r="P704" i="26"/>
  <c r="B705" i="26"/>
  <c r="C705" i="26"/>
  <c r="D705" i="26"/>
  <c r="F705" i="26"/>
  <c r="G705" i="26"/>
  <c r="H705" i="26"/>
  <c r="J705" i="26"/>
  <c r="K705" i="26"/>
  <c r="L705" i="26"/>
  <c r="N705" i="26"/>
  <c r="O705" i="26"/>
  <c r="P705" i="26"/>
  <c r="B706" i="26"/>
  <c r="C706" i="26"/>
  <c r="D706" i="26"/>
  <c r="F706" i="26"/>
  <c r="G706" i="26"/>
  <c r="H706" i="26"/>
  <c r="J706" i="26"/>
  <c r="K706" i="26"/>
  <c r="L706" i="26"/>
  <c r="N706" i="26"/>
  <c r="O706" i="26"/>
  <c r="P706" i="26"/>
  <c r="C710" i="26"/>
  <c r="D710" i="26"/>
  <c r="F710" i="26"/>
  <c r="K710" i="26"/>
  <c r="N710" i="26"/>
  <c r="O710" i="26"/>
  <c r="P710" i="26"/>
  <c r="B711" i="26"/>
  <c r="C711" i="26"/>
  <c r="D711" i="26"/>
  <c r="F711" i="26"/>
  <c r="G711" i="26"/>
  <c r="H711" i="26"/>
  <c r="J711" i="26"/>
  <c r="K711" i="26"/>
  <c r="L711" i="26"/>
  <c r="N711" i="26"/>
  <c r="O711" i="26"/>
  <c r="P711" i="26"/>
  <c r="B714" i="26"/>
  <c r="C714" i="26"/>
  <c r="D714" i="26"/>
  <c r="D716" i="26" s="1"/>
  <c r="D744" i="26" s="1"/>
  <c r="F714" i="26"/>
  <c r="G714" i="26"/>
  <c r="H714" i="26"/>
  <c r="J714" i="26"/>
  <c r="K714" i="26"/>
  <c r="L714" i="26"/>
  <c r="L716" i="26" s="1"/>
  <c r="L744" i="26" s="1"/>
  <c r="N714" i="26"/>
  <c r="O714" i="26"/>
  <c r="P714" i="26"/>
  <c r="P716" i="26" s="1"/>
  <c r="P744" i="26" s="1"/>
  <c r="B719" i="26"/>
  <c r="C719" i="26"/>
  <c r="D719" i="26"/>
  <c r="F719" i="26"/>
  <c r="G719" i="26"/>
  <c r="H719" i="26"/>
  <c r="J719" i="26"/>
  <c r="K719" i="26"/>
  <c r="L719" i="26"/>
  <c r="N719" i="26"/>
  <c r="O719" i="26"/>
  <c r="B720" i="26"/>
  <c r="C720" i="26"/>
  <c r="D720" i="26"/>
  <c r="F720" i="26"/>
  <c r="G720" i="26"/>
  <c r="H720" i="26"/>
  <c r="J720" i="26"/>
  <c r="K720" i="26"/>
  <c r="L720" i="26"/>
  <c r="N720" i="26"/>
  <c r="O720" i="26"/>
  <c r="P720" i="26"/>
  <c r="B721" i="26"/>
  <c r="C721" i="26"/>
  <c r="D721" i="26"/>
  <c r="F721" i="26"/>
  <c r="G721" i="26"/>
  <c r="H721" i="26"/>
  <c r="J721" i="26"/>
  <c r="L721" i="26"/>
  <c r="N721" i="26"/>
  <c r="O721" i="26"/>
  <c r="P721" i="26"/>
  <c r="B723" i="26"/>
  <c r="C723" i="26"/>
  <c r="D723" i="26"/>
  <c r="F723" i="26"/>
  <c r="G723" i="26"/>
  <c r="H723" i="26"/>
  <c r="J723" i="26"/>
  <c r="K723" i="26"/>
  <c r="L723" i="26"/>
  <c r="N723" i="26"/>
  <c r="O723" i="26"/>
  <c r="P723" i="26"/>
  <c r="Q728" i="26"/>
  <c r="A732" i="26"/>
  <c r="A734" i="26"/>
  <c r="Q750" i="26"/>
  <c r="F751" i="26"/>
  <c r="E754" i="26"/>
  <c r="F761" i="26"/>
  <c r="F819" i="26" s="1"/>
  <c r="G761" i="26"/>
  <c r="G819" i="26" s="1"/>
  <c r="F762" i="26"/>
  <c r="B787" i="26" s="1"/>
  <c r="G762" i="26"/>
  <c r="G820" i="26" s="1"/>
  <c r="F763" i="26"/>
  <c r="B788" i="26" s="1"/>
  <c r="G763" i="26"/>
  <c r="G821" i="26" s="1"/>
  <c r="F764" i="26"/>
  <c r="F822" i="26" s="1"/>
  <c r="G764" i="26"/>
  <c r="G822" i="26" s="1"/>
  <c r="F765" i="26"/>
  <c r="F847" i="26" s="1"/>
  <c r="G765" i="26"/>
  <c r="G823" i="26" s="1"/>
  <c r="F766" i="26"/>
  <c r="B791" i="26" s="1"/>
  <c r="G766" i="26"/>
  <c r="G824" i="26" s="1"/>
  <c r="F767" i="26"/>
  <c r="F825" i="26" s="1"/>
  <c r="G767" i="26"/>
  <c r="G825" i="26" s="1"/>
  <c r="F768" i="26"/>
  <c r="B793" i="26" s="1"/>
  <c r="G768" i="26"/>
  <c r="G826" i="26" s="1"/>
  <c r="F769" i="26"/>
  <c r="F827" i="26" s="1"/>
  <c r="G769" i="26"/>
  <c r="G827" i="26" s="1"/>
  <c r="F770" i="26"/>
  <c r="B795" i="26" s="1"/>
  <c r="G770" i="26"/>
  <c r="G828" i="26" s="1"/>
  <c r="F771" i="26"/>
  <c r="B796" i="26" s="1"/>
  <c r="G771" i="26"/>
  <c r="G829" i="26" s="1"/>
  <c r="F772" i="26"/>
  <c r="B797" i="26" s="1"/>
  <c r="G772" i="26"/>
  <c r="G830" i="26" s="1"/>
  <c r="L777" i="26"/>
  <c r="Q777" i="26"/>
  <c r="D778" i="26"/>
  <c r="C786" i="26"/>
  <c r="C787" i="26"/>
  <c r="C788" i="26"/>
  <c r="C789" i="26"/>
  <c r="C790" i="26"/>
  <c r="C791" i="26"/>
  <c r="C792" i="26"/>
  <c r="C793" i="26"/>
  <c r="C794" i="26"/>
  <c r="C795" i="26"/>
  <c r="C796" i="26"/>
  <c r="C797" i="26"/>
  <c r="Q808" i="26"/>
  <c r="F809" i="26"/>
  <c r="E812" i="26"/>
  <c r="Q832" i="26"/>
  <c r="F833" i="26"/>
  <c r="E836" i="26"/>
  <c r="Q859" i="26"/>
  <c r="F861" i="26"/>
  <c r="Q861" i="26"/>
  <c r="E864" i="26"/>
  <c r="P864" i="26"/>
  <c r="Q886" i="26"/>
  <c r="I887" i="26"/>
  <c r="H890" i="26"/>
  <c r="F897" i="26"/>
  <c r="G897" i="26"/>
  <c r="I897" i="26"/>
  <c r="J897" i="26"/>
  <c r="M897" i="26" s="1"/>
  <c r="F898" i="26"/>
  <c r="G898" i="26"/>
  <c r="J898" i="26"/>
  <c r="M898" i="26" s="1"/>
  <c r="F899" i="26"/>
  <c r="G899" i="26"/>
  <c r="J899" i="26"/>
  <c r="M899" i="26" s="1"/>
  <c r="F900" i="26"/>
  <c r="G900" i="26"/>
  <c r="J900" i="26"/>
  <c r="M900" i="26" s="1"/>
  <c r="F901" i="26"/>
  <c r="G901" i="26"/>
  <c r="J901" i="26"/>
  <c r="M901" i="26" s="1"/>
  <c r="F902" i="26"/>
  <c r="G902" i="26"/>
  <c r="J902" i="26"/>
  <c r="M902" i="26" s="1"/>
  <c r="F903" i="26"/>
  <c r="G903" i="26"/>
  <c r="J903" i="26"/>
  <c r="M903" i="26" s="1"/>
  <c r="F904" i="26"/>
  <c r="G904" i="26"/>
  <c r="J904" i="26"/>
  <c r="M904" i="26" s="1"/>
  <c r="F905" i="26"/>
  <c r="G905" i="26"/>
  <c r="J905" i="26"/>
  <c r="M905" i="26" s="1"/>
  <c r="F906" i="26"/>
  <c r="G906" i="26"/>
  <c r="J906" i="26"/>
  <c r="M906" i="26" s="1"/>
  <c r="F907" i="26"/>
  <c r="G907" i="26"/>
  <c r="J907" i="26"/>
  <c r="M907" i="26" s="1"/>
  <c r="F908" i="26"/>
  <c r="G908" i="26"/>
  <c r="J908" i="26"/>
  <c r="M908" i="26" s="1"/>
  <c r="Q920" i="26"/>
  <c r="J921" i="26"/>
  <c r="I924" i="26"/>
  <c r="C927" i="26"/>
  <c r="K927" i="26"/>
  <c r="O927" i="26"/>
  <c r="G928" i="26"/>
  <c r="I934" i="26"/>
  <c r="M934" i="26"/>
  <c r="Q934" i="26"/>
  <c r="G935" i="26"/>
  <c r="I935" i="26" s="1"/>
  <c r="M935" i="26"/>
  <c r="Q935" i="26"/>
  <c r="G936" i="26"/>
  <c r="I899" i="26" s="1"/>
  <c r="M936" i="26"/>
  <c r="Q936" i="26"/>
  <c r="G937" i="26"/>
  <c r="I937" i="26" s="1"/>
  <c r="M937" i="26"/>
  <c r="Q937" i="26"/>
  <c r="G938" i="26"/>
  <c r="I901" i="26" s="1"/>
  <c r="M938" i="26"/>
  <c r="Q938" i="26"/>
  <c r="M939" i="26"/>
  <c r="Q939" i="26"/>
  <c r="M940" i="26"/>
  <c r="Q940" i="26"/>
  <c r="M941" i="26"/>
  <c r="Q941" i="26"/>
  <c r="M942" i="26"/>
  <c r="Q942" i="26"/>
  <c r="M943" i="26"/>
  <c r="Q943" i="26"/>
  <c r="M944" i="26"/>
  <c r="Q944" i="26"/>
  <c r="M945" i="26"/>
  <c r="Q945" i="26"/>
  <c r="K948" i="26"/>
  <c r="F910" i="26" s="1"/>
  <c r="O948" i="26"/>
  <c r="G910" i="26" s="1"/>
  <c r="R1" i="24"/>
  <c r="R728" i="24" s="1"/>
  <c r="B16" i="24"/>
  <c r="C16" i="24"/>
  <c r="D16" i="24"/>
  <c r="F16" i="24"/>
  <c r="G16" i="24"/>
  <c r="H16" i="24"/>
  <c r="J16" i="24"/>
  <c r="K16" i="24"/>
  <c r="L16" i="24"/>
  <c r="N16" i="24"/>
  <c r="O16" i="24"/>
  <c r="P16" i="24"/>
  <c r="B17" i="24"/>
  <c r="C17" i="24"/>
  <c r="D17" i="24"/>
  <c r="F17" i="24"/>
  <c r="G17" i="24"/>
  <c r="H17" i="24"/>
  <c r="J17" i="24"/>
  <c r="K17" i="24"/>
  <c r="L17" i="24"/>
  <c r="N17" i="24"/>
  <c r="O17" i="24"/>
  <c r="P17" i="24"/>
  <c r="B18" i="24"/>
  <c r="C18" i="24"/>
  <c r="D18" i="24"/>
  <c r="F18" i="24"/>
  <c r="G18" i="24"/>
  <c r="H18" i="24"/>
  <c r="J18" i="24"/>
  <c r="K18" i="24"/>
  <c r="L18" i="24"/>
  <c r="N18" i="24"/>
  <c r="O18" i="24"/>
  <c r="P18" i="24"/>
  <c r="B19" i="24"/>
  <c r="C19" i="24"/>
  <c r="D19" i="24"/>
  <c r="F19" i="24"/>
  <c r="G19" i="24"/>
  <c r="H19" i="24"/>
  <c r="J19" i="24"/>
  <c r="K19" i="24"/>
  <c r="L19" i="24"/>
  <c r="N19" i="24"/>
  <c r="O19" i="24"/>
  <c r="P19" i="24"/>
  <c r="B20" i="24"/>
  <c r="C20" i="24"/>
  <c r="D20" i="24"/>
  <c r="F20" i="24"/>
  <c r="G20" i="24"/>
  <c r="H20" i="24"/>
  <c r="J20" i="24"/>
  <c r="K20" i="24"/>
  <c r="L20" i="24"/>
  <c r="N20" i="24"/>
  <c r="O20" i="24"/>
  <c r="P20" i="24"/>
  <c r="B21" i="24"/>
  <c r="C21" i="24"/>
  <c r="D21" i="24"/>
  <c r="F21" i="24"/>
  <c r="G21" i="24"/>
  <c r="H21" i="24"/>
  <c r="J21" i="24"/>
  <c r="K21" i="24"/>
  <c r="L21" i="24"/>
  <c r="N21" i="24"/>
  <c r="O21" i="24"/>
  <c r="P21" i="24"/>
  <c r="E23" i="24"/>
  <c r="I23" i="24"/>
  <c r="M23" i="24"/>
  <c r="Q23" i="24"/>
  <c r="E28" i="24"/>
  <c r="I28" i="24"/>
  <c r="M28" i="24"/>
  <c r="Q28" i="24"/>
  <c r="B30" i="24"/>
  <c r="C30" i="24"/>
  <c r="C31" i="24" s="1"/>
  <c r="D30" i="24"/>
  <c r="F30" i="24"/>
  <c r="F31" i="24" s="1"/>
  <c r="G30" i="24"/>
  <c r="H30" i="24"/>
  <c r="H31" i="24" s="1"/>
  <c r="J30" i="24"/>
  <c r="K30" i="24"/>
  <c r="L30" i="24"/>
  <c r="L31" i="24" s="1"/>
  <c r="N30" i="24"/>
  <c r="N31" i="24" s="1"/>
  <c r="O30" i="24"/>
  <c r="O31" i="24" s="1"/>
  <c r="P30" i="24"/>
  <c r="G31" i="24"/>
  <c r="B43" i="24"/>
  <c r="C43" i="24"/>
  <c r="D43" i="24"/>
  <c r="F43" i="24"/>
  <c r="G43" i="24"/>
  <c r="H43" i="24"/>
  <c r="J43" i="24"/>
  <c r="K43" i="24"/>
  <c r="L43" i="24"/>
  <c r="N43" i="24"/>
  <c r="O43" i="24"/>
  <c r="P43" i="24"/>
  <c r="B48" i="24"/>
  <c r="C48" i="24"/>
  <c r="D48" i="24"/>
  <c r="F48" i="24"/>
  <c r="G48" i="24"/>
  <c r="H48" i="24"/>
  <c r="J48" i="24"/>
  <c r="K48" i="24"/>
  <c r="L48" i="24"/>
  <c r="N48" i="24"/>
  <c r="O48" i="24"/>
  <c r="P48" i="24"/>
  <c r="B52" i="24"/>
  <c r="C52" i="24"/>
  <c r="D52" i="24"/>
  <c r="F52" i="24"/>
  <c r="G52" i="24"/>
  <c r="H52" i="24"/>
  <c r="J52" i="24"/>
  <c r="K52" i="24"/>
  <c r="L52" i="24"/>
  <c r="N52" i="24"/>
  <c r="O52" i="24"/>
  <c r="P52" i="24"/>
  <c r="E55" i="24"/>
  <c r="I55" i="24"/>
  <c r="M55" i="24"/>
  <c r="Q55" i="24"/>
  <c r="E57" i="24"/>
  <c r="I57" i="24"/>
  <c r="M57" i="24"/>
  <c r="Q57" i="24"/>
  <c r="B60" i="24"/>
  <c r="C60" i="24"/>
  <c r="D60" i="24"/>
  <c r="F60" i="24"/>
  <c r="G60" i="24"/>
  <c r="I60" i="24" s="1"/>
  <c r="H60" i="24"/>
  <c r="J60" i="24"/>
  <c r="K60" i="24"/>
  <c r="L60" i="24"/>
  <c r="N60" i="24"/>
  <c r="O60" i="24"/>
  <c r="P60" i="24"/>
  <c r="B61" i="24"/>
  <c r="C61" i="24"/>
  <c r="D61" i="24"/>
  <c r="F61" i="24"/>
  <c r="G61" i="24"/>
  <c r="H61" i="24"/>
  <c r="J61" i="24"/>
  <c r="K61" i="24"/>
  <c r="L61" i="24"/>
  <c r="N61" i="24"/>
  <c r="O61" i="24"/>
  <c r="P61" i="24"/>
  <c r="E63" i="24"/>
  <c r="I63" i="24"/>
  <c r="M63" i="24"/>
  <c r="Q63" i="24"/>
  <c r="E75" i="24"/>
  <c r="I75" i="24"/>
  <c r="M75" i="24"/>
  <c r="Q75" i="24"/>
  <c r="E76" i="24"/>
  <c r="I76" i="24"/>
  <c r="M76" i="24"/>
  <c r="Q76" i="24"/>
  <c r="E77" i="24"/>
  <c r="I77" i="24"/>
  <c r="M77" i="24"/>
  <c r="Q77" i="24"/>
  <c r="E78" i="24"/>
  <c r="I78" i="24"/>
  <c r="M78" i="24"/>
  <c r="Q78" i="24"/>
  <c r="E79" i="24"/>
  <c r="I79" i="24"/>
  <c r="M79" i="24"/>
  <c r="Q79" i="24"/>
  <c r="E81" i="24"/>
  <c r="I81" i="24"/>
  <c r="M81" i="24"/>
  <c r="Q81" i="24"/>
  <c r="E82" i="24"/>
  <c r="I82" i="24"/>
  <c r="M82" i="24"/>
  <c r="Q82" i="24"/>
  <c r="E83" i="24"/>
  <c r="I83" i="24"/>
  <c r="M83" i="24"/>
  <c r="Q83" i="24"/>
  <c r="E85" i="24"/>
  <c r="I85" i="24"/>
  <c r="M85" i="24"/>
  <c r="Q85" i="24"/>
  <c r="E86" i="24"/>
  <c r="I86" i="24"/>
  <c r="M86" i="24"/>
  <c r="Q86" i="24"/>
  <c r="B88" i="24"/>
  <c r="C88" i="24"/>
  <c r="D88" i="24"/>
  <c r="F88" i="24"/>
  <c r="G88" i="24"/>
  <c r="H88" i="24"/>
  <c r="J88" i="24"/>
  <c r="K88" i="24"/>
  <c r="L88" i="24"/>
  <c r="N88" i="24"/>
  <c r="O88" i="24"/>
  <c r="P88" i="24"/>
  <c r="E92" i="24"/>
  <c r="I92" i="24"/>
  <c r="M92" i="24"/>
  <c r="Q92" i="24"/>
  <c r="E93" i="24"/>
  <c r="I93" i="24"/>
  <c r="M93" i="24"/>
  <c r="Q93" i="24"/>
  <c r="B95" i="24"/>
  <c r="C95" i="24"/>
  <c r="D95" i="24"/>
  <c r="F95" i="24"/>
  <c r="G95" i="24"/>
  <c r="H95" i="24"/>
  <c r="J95" i="24"/>
  <c r="K95" i="24"/>
  <c r="L95" i="24"/>
  <c r="N95" i="24"/>
  <c r="O95" i="24"/>
  <c r="P95" i="24"/>
  <c r="E99" i="24"/>
  <c r="I99" i="24"/>
  <c r="M99" i="24"/>
  <c r="Q99" i="24"/>
  <c r="E100" i="24"/>
  <c r="I100" i="24"/>
  <c r="M100" i="24"/>
  <c r="Q100" i="24"/>
  <c r="E101" i="24"/>
  <c r="I101" i="24"/>
  <c r="M101" i="24"/>
  <c r="Q101" i="24"/>
  <c r="E102" i="24"/>
  <c r="I102" i="24"/>
  <c r="M102" i="24"/>
  <c r="Q102" i="24"/>
  <c r="B103" i="24"/>
  <c r="C103" i="24"/>
  <c r="D103" i="24"/>
  <c r="F103" i="24"/>
  <c r="G103" i="24"/>
  <c r="H103" i="24"/>
  <c r="J103" i="24"/>
  <c r="K103" i="24"/>
  <c r="L103" i="24"/>
  <c r="N103" i="24"/>
  <c r="O103" i="24"/>
  <c r="P103" i="24"/>
  <c r="E106" i="24"/>
  <c r="I106" i="24"/>
  <c r="M106" i="24"/>
  <c r="Q106" i="24"/>
  <c r="E107" i="24"/>
  <c r="I107" i="24"/>
  <c r="M107" i="24"/>
  <c r="Q107" i="24"/>
  <c r="E108" i="24"/>
  <c r="I108" i="24"/>
  <c r="M108" i="24"/>
  <c r="Q108" i="24"/>
  <c r="E109" i="24"/>
  <c r="I109" i="24"/>
  <c r="M109" i="24"/>
  <c r="Q109" i="24"/>
  <c r="E110" i="24"/>
  <c r="I110" i="24"/>
  <c r="M110" i="24"/>
  <c r="Q110" i="24"/>
  <c r="E111" i="24"/>
  <c r="I111" i="24"/>
  <c r="M111" i="24"/>
  <c r="Q111" i="24"/>
  <c r="E112" i="24"/>
  <c r="I112" i="24"/>
  <c r="M112" i="24"/>
  <c r="Q112" i="24"/>
  <c r="E113" i="24"/>
  <c r="I113" i="24"/>
  <c r="M113" i="24"/>
  <c r="Q113" i="24"/>
  <c r="E115" i="24"/>
  <c r="I115" i="24"/>
  <c r="M115" i="24"/>
  <c r="Q115" i="24"/>
  <c r="E116" i="24"/>
  <c r="I116" i="24"/>
  <c r="M116" i="24"/>
  <c r="Q116" i="24"/>
  <c r="E118" i="24"/>
  <c r="I118" i="24"/>
  <c r="M118" i="24"/>
  <c r="Q118" i="24"/>
  <c r="E120" i="24"/>
  <c r="I120" i="24"/>
  <c r="M120" i="24"/>
  <c r="Q120" i="24"/>
  <c r="B121" i="24"/>
  <c r="C121" i="24"/>
  <c r="D121" i="24"/>
  <c r="F121" i="24"/>
  <c r="G121" i="24"/>
  <c r="H121" i="24"/>
  <c r="J121" i="24"/>
  <c r="K121" i="24"/>
  <c r="L121" i="24"/>
  <c r="N121" i="24"/>
  <c r="O121" i="24"/>
  <c r="P121" i="24"/>
  <c r="B122" i="24"/>
  <c r="C122" i="24"/>
  <c r="D122" i="24"/>
  <c r="F122" i="24"/>
  <c r="G122" i="24"/>
  <c r="H122" i="24"/>
  <c r="J122" i="24"/>
  <c r="K122" i="24"/>
  <c r="L122" i="24"/>
  <c r="N122" i="24"/>
  <c r="O122" i="24"/>
  <c r="P122" i="24"/>
  <c r="E124" i="24"/>
  <c r="I124" i="24"/>
  <c r="M124" i="24"/>
  <c r="Q124" i="24"/>
  <c r="E136" i="24"/>
  <c r="I136" i="24"/>
  <c r="M136" i="24"/>
  <c r="Q136" i="24"/>
  <c r="E137" i="24"/>
  <c r="I137" i="24"/>
  <c r="M137" i="24"/>
  <c r="Q137" i="24"/>
  <c r="E138" i="24"/>
  <c r="I138" i="24"/>
  <c r="M138" i="24"/>
  <c r="Q138" i="24"/>
  <c r="E139" i="24"/>
  <c r="I139" i="24"/>
  <c r="M139" i="24"/>
  <c r="Q139" i="24"/>
  <c r="E140" i="24"/>
  <c r="I140" i="24"/>
  <c r="M140" i="24"/>
  <c r="Q140" i="24"/>
  <c r="E141" i="24"/>
  <c r="I141" i="24"/>
  <c r="M141" i="24"/>
  <c r="Q141" i="24"/>
  <c r="E142" i="24"/>
  <c r="I142" i="24"/>
  <c r="M142" i="24"/>
  <c r="Q142" i="24"/>
  <c r="E143" i="24"/>
  <c r="I143" i="24"/>
  <c r="M143" i="24"/>
  <c r="Q143" i="24"/>
  <c r="E144" i="24"/>
  <c r="I144" i="24"/>
  <c r="M144" i="24"/>
  <c r="Q144" i="24"/>
  <c r="E145" i="24"/>
  <c r="I145" i="24"/>
  <c r="M145" i="24"/>
  <c r="Q145" i="24"/>
  <c r="E146" i="24"/>
  <c r="I146" i="24"/>
  <c r="M146" i="24"/>
  <c r="Q146" i="24"/>
  <c r="E147" i="24"/>
  <c r="I147" i="24"/>
  <c r="M147" i="24"/>
  <c r="Q147" i="24"/>
  <c r="E148" i="24"/>
  <c r="I148" i="24"/>
  <c r="M148" i="24"/>
  <c r="Q148" i="24"/>
  <c r="E149" i="24"/>
  <c r="I149" i="24"/>
  <c r="M149" i="24"/>
  <c r="Q149" i="24"/>
  <c r="E150" i="24"/>
  <c r="I150" i="24"/>
  <c r="M150" i="24"/>
  <c r="Q150" i="24"/>
  <c r="E151" i="24"/>
  <c r="I151" i="24"/>
  <c r="M151" i="24"/>
  <c r="Q151" i="24"/>
  <c r="E152" i="24"/>
  <c r="I152" i="24"/>
  <c r="M152" i="24"/>
  <c r="Q152" i="24"/>
  <c r="E153" i="24"/>
  <c r="I153" i="24"/>
  <c r="M153" i="24"/>
  <c r="Q153" i="24"/>
  <c r="E154" i="24"/>
  <c r="I154" i="24"/>
  <c r="M154" i="24"/>
  <c r="Q154" i="24"/>
  <c r="E155" i="24"/>
  <c r="I155" i="24"/>
  <c r="M155" i="24"/>
  <c r="Q155" i="24"/>
  <c r="E156" i="24"/>
  <c r="I156" i="24"/>
  <c r="M156" i="24"/>
  <c r="Q156" i="24"/>
  <c r="E157" i="24"/>
  <c r="I157" i="24"/>
  <c r="M157" i="24"/>
  <c r="Q157" i="24"/>
  <c r="E159" i="24"/>
  <c r="I159" i="24"/>
  <c r="M159" i="24"/>
  <c r="Q159" i="24"/>
  <c r="E160" i="24"/>
  <c r="I160" i="24"/>
  <c r="M160" i="24"/>
  <c r="Q160" i="24"/>
  <c r="E161" i="24"/>
  <c r="I161" i="24"/>
  <c r="M161" i="24"/>
  <c r="Q161" i="24"/>
  <c r="E162" i="24"/>
  <c r="I162" i="24"/>
  <c r="M162" i="24"/>
  <c r="Q162" i="24"/>
  <c r="E163" i="24"/>
  <c r="I163" i="24"/>
  <c r="M163" i="24"/>
  <c r="Q163" i="24"/>
  <c r="E164" i="24"/>
  <c r="I164" i="24"/>
  <c r="M164" i="24"/>
  <c r="Q164" i="24"/>
  <c r="E165" i="24"/>
  <c r="I165" i="24"/>
  <c r="M165" i="24"/>
  <c r="Q165" i="24"/>
  <c r="E166" i="24"/>
  <c r="I166" i="24"/>
  <c r="M166" i="24"/>
  <c r="Q166" i="24"/>
  <c r="E167" i="24"/>
  <c r="I167" i="24"/>
  <c r="M167" i="24"/>
  <c r="Q167" i="24"/>
  <c r="E168" i="24"/>
  <c r="I168" i="24"/>
  <c r="M168" i="24"/>
  <c r="Q168" i="24"/>
  <c r="E170" i="24"/>
  <c r="I170" i="24"/>
  <c r="M170" i="24"/>
  <c r="Q170" i="24"/>
  <c r="E171" i="24"/>
  <c r="I171" i="24"/>
  <c r="M171" i="24"/>
  <c r="Q171" i="24"/>
  <c r="E172" i="24"/>
  <c r="I172" i="24"/>
  <c r="M172" i="24"/>
  <c r="Q172" i="24"/>
  <c r="B174" i="24"/>
  <c r="E174" i="24" s="1"/>
  <c r="C174" i="24"/>
  <c r="D174" i="24"/>
  <c r="F174" i="24"/>
  <c r="G174" i="24"/>
  <c r="H174" i="24"/>
  <c r="J174" i="24"/>
  <c r="K174" i="24"/>
  <c r="L174" i="24"/>
  <c r="N174" i="24"/>
  <c r="O174" i="24"/>
  <c r="P174" i="24"/>
  <c r="E178" i="24"/>
  <c r="I178" i="24"/>
  <c r="M178" i="24"/>
  <c r="Q178" i="24"/>
  <c r="B180" i="24"/>
  <c r="E180" i="24" s="1"/>
  <c r="C180" i="24"/>
  <c r="D180" i="24"/>
  <c r="F180" i="24"/>
  <c r="G180" i="24"/>
  <c r="H180" i="24"/>
  <c r="J180" i="24"/>
  <c r="K180" i="24"/>
  <c r="L180" i="24"/>
  <c r="N180" i="24"/>
  <c r="O180" i="24"/>
  <c r="P180" i="24"/>
  <c r="E184" i="24"/>
  <c r="I184" i="24"/>
  <c r="M184" i="24"/>
  <c r="Q184" i="24"/>
  <c r="E185" i="24"/>
  <c r="I185" i="24"/>
  <c r="M185" i="24"/>
  <c r="Q185" i="24"/>
  <c r="E186" i="24"/>
  <c r="I186" i="24"/>
  <c r="M186" i="24"/>
  <c r="Q186" i="24"/>
  <c r="E187" i="24"/>
  <c r="I187" i="24"/>
  <c r="M187" i="24"/>
  <c r="Q187" i="24"/>
  <c r="E188" i="24"/>
  <c r="I188" i="24"/>
  <c r="R188" i="24" s="1"/>
  <c r="M188" i="24"/>
  <c r="Q188" i="24"/>
  <c r="E189" i="24"/>
  <c r="I189" i="24"/>
  <c r="M189" i="24"/>
  <c r="Q189" i="24"/>
  <c r="E190" i="24"/>
  <c r="I190" i="24"/>
  <c r="M190" i="24"/>
  <c r="Q190" i="24"/>
  <c r="E191" i="24"/>
  <c r="I191" i="24"/>
  <c r="M191" i="24"/>
  <c r="Q191" i="24"/>
  <c r="E192" i="24"/>
  <c r="I192" i="24"/>
  <c r="M192" i="24"/>
  <c r="Q192" i="24"/>
  <c r="E193" i="24"/>
  <c r="I193" i="24"/>
  <c r="M193" i="24"/>
  <c r="Q193" i="24"/>
  <c r="E194" i="24"/>
  <c r="I194" i="24"/>
  <c r="M194" i="24"/>
  <c r="Q194" i="24"/>
  <c r="E195" i="24"/>
  <c r="I195" i="24"/>
  <c r="M195" i="24"/>
  <c r="Q195" i="24"/>
  <c r="E196" i="24"/>
  <c r="I196" i="24"/>
  <c r="M196" i="24"/>
  <c r="Q196" i="24"/>
  <c r="E197" i="24"/>
  <c r="I197" i="24"/>
  <c r="M197" i="24"/>
  <c r="Q197" i="24"/>
  <c r="E198" i="24"/>
  <c r="I198" i="24"/>
  <c r="M198" i="24"/>
  <c r="Q198" i="24"/>
  <c r="E199" i="24"/>
  <c r="I199" i="24"/>
  <c r="M199" i="24"/>
  <c r="Q199" i="24"/>
  <c r="E200" i="24"/>
  <c r="I200" i="24"/>
  <c r="M200" i="24"/>
  <c r="Q200" i="24"/>
  <c r="E201" i="24"/>
  <c r="I201" i="24"/>
  <c r="M201" i="24"/>
  <c r="Q201" i="24"/>
  <c r="E202" i="24"/>
  <c r="I202" i="24"/>
  <c r="M202" i="24"/>
  <c r="Q202" i="24"/>
  <c r="E203" i="24"/>
  <c r="I203" i="24"/>
  <c r="M203" i="24"/>
  <c r="Q203" i="24"/>
  <c r="E204" i="24"/>
  <c r="I204" i="24"/>
  <c r="M204" i="24"/>
  <c r="Q204" i="24"/>
  <c r="E205" i="24"/>
  <c r="I205" i="24"/>
  <c r="M205" i="24"/>
  <c r="Q205" i="24"/>
  <c r="E206" i="24"/>
  <c r="I206" i="24"/>
  <c r="M206" i="24"/>
  <c r="Q206" i="24"/>
  <c r="E207" i="24"/>
  <c r="I207" i="24"/>
  <c r="M207" i="24"/>
  <c r="Q207" i="24"/>
  <c r="E208" i="24"/>
  <c r="I208" i="24"/>
  <c r="M208" i="24"/>
  <c r="Q208" i="24"/>
  <c r="E209" i="24"/>
  <c r="I209" i="24"/>
  <c r="M209" i="24"/>
  <c r="Q209" i="24"/>
  <c r="E210" i="24"/>
  <c r="I210" i="24"/>
  <c r="M210" i="24"/>
  <c r="Q210" i="24"/>
  <c r="E211" i="24"/>
  <c r="I211" i="24"/>
  <c r="M211" i="24"/>
  <c r="Q211" i="24"/>
  <c r="E212" i="24"/>
  <c r="I212" i="24"/>
  <c r="M212" i="24"/>
  <c r="Q212" i="24"/>
  <c r="E213" i="24"/>
  <c r="I213" i="24"/>
  <c r="M213" i="24"/>
  <c r="Q213" i="24"/>
  <c r="E214" i="24"/>
  <c r="I214" i="24"/>
  <c r="M214" i="24"/>
  <c r="Q214" i="24"/>
  <c r="E215" i="24"/>
  <c r="I215" i="24"/>
  <c r="M215" i="24"/>
  <c r="Q215" i="24"/>
  <c r="B216" i="24"/>
  <c r="C216" i="24"/>
  <c r="D216" i="24"/>
  <c r="F216" i="24"/>
  <c r="G216" i="24"/>
  <c r="H216" i="24"/>
  <c r="J216" i="24"/>
  <c r="K216" i="24"/>
  <c r="L216" i="24"/>
  <c r="N216" i="24"/>
  <c r="O216" i="24"/>
  <c r="P216" i="24"/>
  <c r="E219" i="24"/>
  <c r="I219" i="24"/>
  <c r="M219" i="24"/>
  <c r="Q219" i="24"/>
  <c r="E220" i="24"/>
  <c r="I220" i="24"/>
  <c r="M220" i="24"/>
  <c r="Q220" i="24"/>
  <c r="E221" i="24"/>
  <c r="I221" i="24"/>
  <c r="M221" i="24"/>
  <c r="Q221" i="24"/>
  <c r="E222" i="24"/>
  <c r="I222" i="24"/>
  <c r="M222" i="24"/>
  <c r="Q222" i="24"/>
  <c r="E223" i="24"/>
  <c r="I223" i="24"/>
  <c r="M223" i="24"/>
  <c r="Q223" i="24"/>
  <c r="E225" i="24"/>
  <c r="I225" i="24"/>
  <c r="M225" i="24"/>
  <c r="Q225" i="24"/>
  <c r="E226" i="24"/>
  <c r="I226" i="24"/>
  <c r="M226" i="24"/>
  <c r="Q226" i="24"/>
  <c r="E227" i="24"/>
  <c r="I227" i="24"/>
  <c r="M227" i="24"/>
  <c r="Q227" i="24"/>
  <c r="E228" i="24"/>
  <c r="I228" i="24"/>
  <c r="M228" i="24"/>
  <c r="Q228" i="24"/>
  <c r="E229" i="24"/>
  <c r="I229" i="24"/>
  <c r="M229" i="24"/>
  <c r="Q229" i="24"/>
  <c r="E230" i="24"/>
  <c r="I230" i="24"/>
  <c r="M230" i="24"/>
  <c r="Q230" i="24"/>
  <c r="B233" i="24"/>
  <c r="C233" i="24"/>
  <c r="D233" i="24"/>
  <c r="F233" i="24"/>
  <c r="G233" i="24"/>
  <c r="H233" i="24"/>
  <c r="J233" i="24"/>
  <c r="K233" i="24"/>
  <c r="L233" i="24"/>
  <c r="N233" i="24"/>
  <c r="O233" i="24"/>
  <c r="P233" i="24"/>
  <c r="B234" i="24"/>
  <c r="C234" i="24"/>
  <c r="D234" i="24"/>
  <c r="F234" i="24"/>
  <c r="G234" i="24"/>
  <c r="H234" i="24"/>
  <c r="J234" i="24"/>
  <c r="K234" i="24"/>
  <c r="L234" i="24"/>
  <c r="N234" i="24"/>
  <c r="O234" i="24"/>
  <c r="P234" i="24"/>
  <c r="E236" i="24"/>
  <c r="I236" i="24"/>
  <c r="M236" i="24"/>
  <c r="Q236" i="24"/>
  <c r="E237" i="24"/>
  <c r="I237" i="24"/>
  <c r="M237" i="24"/>
  <c r="Q237" i="24"/>
  <c r="E238" i="24"/>
  <c r="I238" i="24"/>
  <c r="M238" i="24"/>
  <c r="Q238" i="24"/>
  <c r="E239" i="24"/>
  <c r="I239" i="24"/>
  <c r="M239" i="24"/>
  <c r="Q239" i="24"/>
  <c r="E240" i="24"/>
  <c r="I240" i="24"/>
  <c r="M240" i="24"/>
  <c r="Q240" i="24"/>
  <c r="E241" i="24"/>
  <c r="I241" i="24"/>
  <c r="M241" i="24"/>
  <c r="Q241" i="24"/>
  <c r="E252" i="24"/>
  <c r="I252" i="24"/>
  <c r="M252" i="24"/>
  <c r="Q252" i="24"/>
  <c r="B254" i="24"/>
  <c r="C254" i="24"/>
  <c r="C255" i="24" s="1"/>
  <c r="N765" i="24" s="1"/>
  <c r="D254" i="24"/>
  <c r="D255" i="24" s="1"/>
  <c r="N766" i="24" s="1"/>
  <c r="F254" i="24"/>
  <c r="G254" i="24"/>
  <c r="G255" i="24" s="1"/>
  <c r="N768" i="24" s="1"/>
  <c r="H254" i="24"/>
  <c r="H255" i="24" s="1"/>
  <c r="N769" i="24" s="1"/>
  <c r="J254" i="24"/>
  <c r="J255" i="24" s="1"/>
  <c r="N770" i="24" s="1"/>
  <c r="K254" i="24"/>
  <c r="K255" i="24" s="1"/>
  <c r="N771" i="24" s="1"/>
  <c r="L254" i="24"/>
  <c r="L255" i="24" s="1"/>
  <c r="N772" i="24" s="1"/>
  <c r="N254" i="24"/>
  <c r="O254" i="24"/>
  <c r="O255" i="24" s="1"/>
  <c r="P254" i="24"/>
  <c r="P255" i="24"/>
  <c r="N775" i="24" s="1"/>
  <c r="E262" i="24"/>
  <c r="I262" i="24"/>
  <c r="M262" i="24"/>
  <c r="Q262" i="24"/>
  <c r="E263" i="24"/>
  <c r="I263" i="24"/>
  <c r="M263" i="24"/>
  <c r="Q263" i="24"/>
  <c r="E264" i="24"/>
  <c r="I264" i="24"/>
  <c r="M264" i="24"/>
  <c r="Q264" i="24"/>
  <c r="E265" i="24"/>
  <c r="I265" i="24"/>
  <c r="M265" i="24"/>
  <c r="Q265" i="24"/>
  <c r="E266" i="24"/>
  <c r="I266" i="24"/>
  <c r="M266" i="24"/>
  <c r="Q266" i="24"/>
  <c r="E267" i="24"/>
  <c r="I267" i="24"/>
  <c r="M267" i="24"/>
  <c r="Q267" i="24"/>
  <c r="E268" i="24"/>
  <c r="I268" i="24"/>
  <c r="M268" i="24"/>
  <c r="Q268" i="24"/>
  <c r="E269" i="24"/>
  <c r="I269" i="24"/>
  <c r="M269" i="24"/>
  <c r="Q269" i="24"/>
  <c r="E270" i="24"/>
  <c r="I270" i="24"/>
  <c r="M270" i="24"/>
  <c r="Q270" i="24"/>
  <c r="E271" i="24"/>
  <c r="I271" i="24"/>
  <c r="M271" i="24"/>
  <c r="Q271" i="24"/>
  <c r="E273" i="24"/>
  <c r="I273" i="24"/>
  <c r="M273" i="24"/>
  <c r="Q273" i="24"/>
  <c r="E274" i="24"/>
  <c r="I274" i="24"/>
  <c r="M274" i="24"/>
  <c r="Q274" i="24"/>
  <c r="E275" i="24"/>
  <c r="I275" i="24"/>
  <c r="M275" i="24"/>
  <c r="Q275" i="24"/>
  <c r="E276" i="24"/>
  <c r="I276" i="24"/>
  <c r="M276" i="24"/>
  <c r="Q276" i="24"/>
  <c r="E277" i="24"/>
  <c r="I277" i="24"/>
  <c r="M277" i="24"/>
  <c r="Q277" i="24"/>
  <c r="E278" i="24"/>
  <c r="I278" i="24"/>
  <c r="M278" i="24"/>
  <c r="Q278" i="24"/>
  <c r="E279" i="24"/>
  <c r="I279" i="24"/>
  <c r="M279" i="24"/>
  <c r="Q279" i="24"/>
  <c r="E280" i="24"/>
  <c r="I280" i="24"/>
  <c r="M280" i="24"/>
  <c r="Q280" i="24"/>
  <c r="E281" i="24"/>
  <c r="I281" i="24"/>
  <c r="M281" i="24"/>
  <c r="Q281" i="24"/>
  <c r="E282" i="24"/>
  <c r="I282" i="24"/>
  <c r="M282" i="24"/>
  <c r="Q282" i="24"/>
  <c r="E283" i="24"/>
  <c r="I283" i="24"/>
  <c r="M283" i="24"/>
  <c r="Q283" i="24"/>
  <c r="E284" i="24"/>
  <c r="I284" i="24"/>
  <c r="M284" i="24"/>
  <c r="Q284" i="24"/>
  <c r="E285" i="24"/>
  <c r="I285" i="24"/>
  <c r="M285" i="24"/>
  <c r="Q285" i="24"/>
  <c r="E286" i="24"/>
  <c r="I286" i="24"/>
  <c r="M286" i="24"/>
  <c r="Q286" i="24"/>
  <c r="E287" i="24"/>
  <c r="I287" i="24"/>
  <c r="M287" i="24"/>
  <c r="Q287" i="24"/>
  <c r="E289" i="24"/>
  <c r="I289" i="24"/>
  <c r="M289" i="24"/>
  <c r="Q289" i="24"/>
  <c r="E290" i="24"/>
  <c r="I290" i="24"/>
  <c r="M290" i="24"/>
  <c r="Q290" i="24"/>
  <c r="E291" i="24"/>
  <c r="I291" i="24"/>
  <c r="M291" i="24"/>
  <c r="Q291" i="24"/>
  <c r="E292" i="24"/>
  <c r="I292" i="24"/>
  <c r="M292" i="24"/>
  <c r="Q292" i="24"/>
  <c r="B294" i="24"/>
  <c r="C294" i="24"/>
  <c r="D294" i="24"/>
  <c r="F294" i="24"/>
  <c r="G294" i="24"/>
  <c r="H294" i="24"/>
  <c r="J294" i="24"/>
  <c r="K294" i="24"/>
  <c r="L294" i="24"/>
  <c r="N294" i="24"/>
  <c r="O294" i="24"/>
  <c r="P294" i="24"/>
  <c r="E298" i="24"/>
  <c r="R298" i="24" s="1"/>
  <c r="I298" i="24"/>
  <c r="M298" i="24"/>
  <c r="Q298" i="24"/>
  <c r="E299" i="24"/>
  <c r="I299" i="24"/>
  <c r="M299" i="24"/>
  <c r="Q299" i="24"/>
  <c r="E300" i="24"/>
  <c r="I300" i="24"/>
  <c r="M300" i="24"/>
  <c r="Q300" i="24"/>
  <c r="E301" i="24"/>
  <c r="I301" i="24"/>
  <c r="M301" i="24"/>
  <c r="Q301" i="24"/>
  <c r="E302" i="24"/>
  <c r="I302" i="24"/>
  <c r="M302" i="24"/>
  <c r="Q302" i="24"/>
  <c r="E303" i="24"/>
  <c r="I303" i="24"/>
  <c r="M303" i="24"/>
  <c r="Q303" i="24"/>
  <c r="E304" i="24"/>
  <c r="I304" i="24"/>
  <c r="M304" i="24"/>
  <c r="Q304" i="24"/>
  <c r="E305" i="24"/>
  <c r="I305" i="24"/>
  <c r="M305" i="24"/>
  <c r="Q305" i="24"/>
  <c r="B307" i="24"/>
  <c r="C307" i="24"/>
  <c r="D307" i="24"/>
  <c r="F307" i="24"/>
  <c r="G307" i="24"/>
  <c r="H307" i="24"/>
  <c r="J307" i="24"/>
  <c r="K307" i="24"/>
  <c r="L307" i="24"/>
  <c r="N307" i="24"/>
  <c r="O307" i="24"/>
  <c r="P307" i="24"/>
  <c r="E310" i="24"/>
  <c r="I310" i="24"/>
  <c r="M310" i="24"/>
  <c r="Q310" i="24"/>
  <c r="E311" i="24"/>
  <c r="I311" i="24"/>
  <c r="M311" i="24"/>
  <c r="Q311" i="24"/>
  <c r="E313" i="24"/>
  <c r="I313" i="24"/>
  <c r="M313" i="24"/>
  <c r="Q313" i="24"/>
  <c r="E314" i="24"/>
  <c r="I314" i="24"/>
  <c r="M314" i="24"/>
  <c r="Q314" i="24"/>
  <c r="E315" i="24"/>
  <c r="I315" i="24"/>
  <c r="M315" i="24"/>
  <c r="Q315" i="24"/>
  <c r="E316" i="24"/>
  <c r="I316" i="24"/>
  <c r="M316" i="24"/>
  <c r="Q316" i="24"/>
  <c r="E317" i="24"/>
  <c r="I317" i="24"/>
  <c r="M317" i="24"/>
  <c r="Q317" i="24"/>
  <c r="E318" i="24"/>
  <c r="I318" i="24"/>
  <c r="M318" i="24"/>
  <c r="Q318" i="24"/>
  <c r="E319" i="24"/>
  <c r="I319" i="24"/>
  <c r="M319" i="24"/>
  <c r="Q319" i="24"/>
  <c r="E320" i="24"/>
  <c r="I320" i="24"/>
  <c r="M320" i="24"/>
  <c r="Q320" i="24"/>
  <c r="E321" i="24"/>
  <c r="I321" i="24"/>
  <c r="M321" i="24"/>
  <c r="Q321" i="24"/>
  <c r="E322" i="24"/>
  <c r="I322" i="24"/>
  <c r="M322" i="24"/>
  <c r="Q322" i="24"/>
  <c r="E323" i="24"/>
  <c r="I323" i="24"/>
  <c r="M323" i="24"/>
  <c r="Q323" i="24"/>
  <c r="E324" i="24"/>
  <c r="I324" i="24"/>
  <c r="M324" i="24"/>
  <c r="Q324" i="24"/>
  <c r="E325" i="24"/>
  <c r="I325" i="24"/>
  <c r="M325" i="24"/>
  <c r="Q325" i="24"/>
  <c r="E326" i="24"/>
  <c r="I326" i="24"/>
  <c r="M326" i="24"/>
  <c r="Q326" i="24"/>
  <c r="E327" i="24"/>
  <c r="I327" i="24"/>
  <c r="M327" i="24"/>
  <c r="Q327" i="24"/>
  <c r="E328" i="24"/>
  <c r="I328" i="24"/>
  <c r="M328" i="24"/>
  <c r="Q328" i="24"/>
  <c r="B329" i="24"/>
  <c r="C329" i="24"/>
  <c r="D329" i="24"/>
  <c r="F329" i="24"/>
  <c r="G329" i="24"/>
  <c r="H329" i="24"/>
  <c r="J329" i="24"/>
  <c r="K329" i="24"/>
  <c r="L329" i="24"/>
  <c r="N329" i="24"/>
  <c r="O329" i="24"/>
  <c r="P329" i="24"/>
  <c r="E332" i="24"/>
  <c r="I332" i="24"/>
  <c r="M332" i="24"/>
  <c r="Q332" i="24"/>
  <c r="E334" i="24"/>
  <c r="I334" i="24"/>
  <c r="M334" i="24"/>
  <c r="Q334" i="24"/>
  <c r="E335" i="24"/>
  <c r="I335" i="24"/>
  <c r="M335" i="24"/>
  <c r="Q335" i="24"/>
  <c r="E337" i="24"/>
  <c r="I337" i="24"/>
  <c r="M337" i="24"/>
  <c r="Q337" i="24"/>
  <c r="E338" i="24"/>
  <c r="I338" i="24"/>
  <c r="M338" i="24"/>
  <c r="Q338" i="24"/>
  <c r="E339" i="24"/>
  <c r="I339" i="24"/>
  <c r="M339" i="24"/>
  <c r="Q339" i="24"/>
  <c r="E340" i="24"/>
  <c r="I340" i="24"/>
  <c r="M340" i="24"/>
  <c r="Q340" i="24"/>
  <c r="E341" i="24"/>
  <c r="I341" i="24"/>
  <c r="M341" i="24"/>
  <c r="Q341" i="24"/>
  <c r="E342" i="24"/>
  <c r="I342" i="24"/>
  <c r="M342" i="24"/>
  <c r="Q342" i="24"/>
  <c r="E343" i="24"/>
  <c r="I343" i="24"/>
  <c r="M343" i="24"/>
  <c r="Q343" i="24"/>
  <c r="E344" i="24"/>
  <c r="I344" i="24"/>
  <c r="M344" i="24"/>
  <c r="Q344" i="24"/>
  <c r="E345" i="24"/>
  <c r="I345" i="24"/>
  <c r="M345" i="24"/>
  <c r="Q345" i="24"/>
  <c r="E346" i="24"/>
  <c r="I346" i="24"/>
  <c r="M346" i="24"/>
  <c r="Q346" i="24"/>
  <c r="E347" i="24"/>
  <c r="I347" i="24"/>
  <c r="M347" i="24"/>
  <c r="Q347" i="24"/>
  <c r="E349" i="24"/>
  <c r="I349" i="24"/>
  <c r="M349" i="24"/>
  <c r="Q349" i="24"/>
  <c r="E350" i="24"/>
  <c r="I350" i="24"/>
  <c r="M350" i="24"/>
  <c r="Q350" i="24"/>
  <c r="E351" i="24"/>
  <c r="I351" i="24"/>
  <c r="M351" i="24"/>
  <c r="Q351" i="24"/>
  <c r="E352" i="24"/>
  <c r="I352" i="24"/>
  <c r="M352" i="24"/>
  <c r="Q352" i="24"/>
  <c r="E353" i="24"/>
  <c r="I353" i="24"/>
  <c r="M353" i="24"/>
  <c r="Q353" i="24"/>
  <c r="E354" i="24"/>
  <c r="I354" i="24"/>
  <c r="M354" i="24"/>
  <c r="Q354" i="24"/>
  <c r="E355" i="24"/>
  <c r="I355" i="24"/>
  <c r="M355" i="24"/>
  <c r="Q355" i="24"/>
  <c r="B356" i="24"/>
  <c r="C356" i="24"/>
  <c r="D356" i="24"/>
  <c r="F356" i="24"/>
  <c r="G356" i="24"/>
  <c r="H356" i="24"/>
  <c r="J356" i="24"/>
  <c r="K356" i="24"/>
  <c r="L356" i="24"/>
  <c r="N356" i="24"/>
  <c r="O356" i="24"/>
  <c r="P356" i="24"/>
  <c r="B357" i="24"/>
  <c r="C357" i="24"/>
  <c r="D357" i="24"/>
  <c r="F357" i="24"/>
  <c r="G357" i="24"/>
  <c r="H357" i="24"/>
  <c r="J357" i="24"/>
  <c r="K357" i="24"/>
  <c r="L357" i="24"/>
  <c r="N357" i="24"/>
  <c r="O357" i="24"/>
  <c r="P357" i="24"/>
  <c r="E359" i="24"/>
  <c r="I359" i="24"/>
  <c r="M359" i="24"/>
  <c r="Q359" i="24"/>
  <c r="E360" i="24"/>
  <c r="I360" i="24"/>
  <c r="M360" i="24"/>
  <c r="Q360" i="24"/>
  <c r="E372" i="24"/>
  <c r="I372" i="24"/>
  <c r="M372" i="24"/>
  <c r="Q372" i="24"/>
  <c r="E374" i="24"/>
  <c r="I374" i="24"/>
  <c r="M374" i="24"/>
  <c r="Q374" i="24"/>
  <c r="E375" i="24"/>
  <c r="I375" i="24"/>
  <c r="M375" i="24"/>
  <c r="Q375" i="24"/>
  <c r="B378" i="24"/>
  <c r="C378" i="24"/>
  <c r="D378" i="24"/>
  <c r="F378" i="24"/>
  <c r="G378" i="24"/>
  <c r="H378" i="24"/>
  <c r="J378" i="24"/>
  <c r="K378" i="24"/>
  <c r="L378" i="24"/>
  <c r="N378" i="24"/>
  <c r="O378" i="24"/>
  <c r="P378" i="24"/>
  <c r="E381" i="24"/>
  <c r="I381" i="24"/>
  <c r="M381" i="24"/>
  <c r="Q381" i="24"/>
  <c r="B384" i="24"/>
  <c r="C384" i="24"/>
  <c r="D384" i="24"/>
  <c r="F384" i="24"/>
  <c r="G384" i="24"/>
  <c r="H384" i="24"/>
  <c r="J384" i="24"/>
  <c r="K384" i="24"/>
  <c r="L384" i="24"/>
  <c r="N384" i="24"/>
  <c r="O384" i="24"/>
  <c r="P384" i="24"/>
  <c r="B388" i="24"/>
  <c r="C388" i="24"/>
  <c r="D388" i="24"/>
  <c r="F388" i="24"/>
  <c r="I388" i="24" s="1"/>
  <c r="G388" i="24"/>
  <c r="H388" i="24"/>
  <c r="J388" i="24"/>
  <c r="K388" i="24"/>
  <c r="L388" i="24"/>
  <c r="N388" i="24"/>
  <c r="O388" i="24"/>
  <c r="P388" i="24"/>
  <c r="E393" i="24"/>
  <c r="I393" i="24"/>
  <c r="M393" i="24"/>
  <c r="Q393" i="24"/>
  <c r="E394" i="24"/>
  <c r="I394" i="24"/>
  <c r="M394" i="24"/>
  <c r="Q394" i="24"/>
  <c r="E396" i="24"/>
  <c r="I396" i="24"/>
  <c r="M396" i="24"/>
  <c r="Q396" i="24"/>
  <c r="E397" i="24"/>
  <c r="I397" i="24"/>
  <c r="M397" i="24"/>
  <c r="Q397" i="24"/>
  <c r="B398" i="24"/>
  <c r="C398" i="24"/>
  <c r="D398" i="24"/>
  <c r="F398" i="24"/>
  <c r="G398" i="24"/>
  <c r="H398" i="24"/>
  <c r="J398" i="24"/>
  <c r="K398" i="24"/>
  <c r="L398" i="24"/>
  <c r="N398" i="24"/>
  <c r="O398" i="24"/>
  <c r="P398" i="24"/>
  <c r="B399" i="24"/>
  <c r="C399" i="24"/>
  <c r="D399" i="24"/>
  <c r="F399" i="24"/>
  <c r="G399" i="24"/>
  <c r="H399" i="24"/>
  <c r="J399" i="24"/>
  <c r="K399" i="24"/>
  <c r="L399" i="24"/>
  <c r="N399" i="24"/>
  <c r="O399" i="24"/>
  <c r="P399" i="24"/>
  <c r="B400" i="24"/>
  <c r="B403" i="24" s="1"/>
  <c r="B404" i="24" s="1"/>
  <c r="E401" i="24"/>
  <c r="I401" i="24"/>
  <c r="M401" i="24"/>
  <c r="Q401" i="24"/>
  <c r="E413" i="24"/>
  <c r="I413" i="24"/>
  <c r="M413" i="24"/>
  <c r="Q413" i="24"/>
  <c r="E414" i="24"/>
  <c r="I414" i="24"/>
  <c r="M414" i="24"/>
  <c r="Q414" i="24"/>
  <c r="E415" i="24"/>
  <c r="I415" i="24"/>
  <c r="M415" i="24"/>
  <c r="Q415" i="24"/>
  <c r="B419" i="24"/>
  <c r="C419" i="24"/>
  <c r="D419" i="24"/>
  <c r="F419" i="24"/>
  <c r="G419" i="24"/>
  <c r="H419" i="24"/>
  <c r="J419" i="24"/>
  <c r="K419" i="24"/>
  <c r="L419" i="24"/>
  <c r="N419" i="24"/>
  <c r="O419" i="24"/>
  <c r="P419" i="24"/>
  <c r="E422" i="24"/>
  <c r="I422" i="24"/>
  <c r="M422" i="24"/>
  <c r="Q422" i="24"/>
  <c r="E423" i="24"/>
  <c r="I423" i="24"/>
  <c r="M423" i="24"/>
  <c r="Q423" i="24"/>
  <c r="B426" i="24"/>
  <c r="C426" i="24"/>
  <c r="D426" i="24"/>
  <c r="F426" i="24"/>
  <c r="G426" i="24"/>
  <c r="H426" i="24"/>
  <c r="J426" i="24"/>
  <c r="K426" i="24"/>
  <c r="L426" i="24"/>
  <c r="N426" i="24"/>
  <c r="O426" i="24"/>
  <c r="P426" i="24"/>
  <c r="B430" i="24"/>
  <c r="C430" i="24"/>
  <c r="D430" i="24"/>
  <c r="F430" i="24"/>
  <c r="G430" i="24"/>
  <c r="H430" i="24"/>
  <c r="J430" i="24"/>
  <c r="K430" i="24"/>
  <c r="L430" i="24"/>
  <c r="N430" i="24"/>
  <c r="O430" i="24"/>
  <c r="P430" i="24"/>
  <c r="E435" i="24"/>
  <c r="I435" i="24"/>
  <c r="M435" i="24"/>
  <c r="Q435" i="24"/>
  <c r="E437" i="24"/>
  <c r="I437" i="24"/>
  <c r="M437" i="24"/>
  <c r="Q437" i="24"/>
  <c r="E438" i="24"/>
  <c r="I438" i="24"/>
  <c r="M438" i="24"/>
  <c r="Q438" i="24"/>
  <c r="B439" i="24"/>
  <c r="C439" i="24"/>
  <c r="D439" i="24"/>
  <c r="F439" i="24"/>
  <c r="G439" i="24"/>
  <c r="H439" i="24"/>
  <c r="J439" i="24"/>
  <c r="K439" i="24"/>
  <c r="L439" i="24"/>
  <c r="N439" i="24"/>
  <c r="O439" i="24"/>
  <c r="P439" i="24"/>
  <c r="B440" i="24"/>
  <c r="C440" i="24"/>
  <c r="D440" i="24"/>
  <c r="F440" i="24"/>
  <c r="G440" i="24"/>
  <c r="H440" i="24"/>
  <c r="J440" i="24"/>
  <c r="K440" i="24"/>
  <c r="L440" i="24"/>
  <c r="N440" i="24"/>
  <c r="O440" i="24"/>
  <c r="P440" i="24"/>
  <c r="E442" i="24"/>
  <c r="I442" i="24"/>
  <c r="M442" i="24"/>
  <c r="Q442" i="24"/>
  <c r="E454" i="24"/>
  <c r="I454" i="24"/>
  <c r="M454" i="24"/>
  <c r="Q454" i="24"/>
  <c r="E455" i="24"/>
  <c r="I455" i="24"/>
  <c r="M455" i="24"/>
  <c r="Q455" i="24"/>
  <c r="E456" i="24"/>
  <c r="I456" i="24"/>
  <c r="M456" i="24"/>
  <c r="Q456" i="24"/>
  <c r="E457" i="24"/>
  <c r="I457" i="24"/>
  <c r="M457" i="24"/>
  <c r="Q457" i="24"/>
  <c r="E458" i="24"/>
  <c r="I458" i="24"/>
  <c r="M458" i="24"/>
  <c r="Q458" i="24"/>
  <c r="E459" i="24"/>
  <c r="I459" i="24"/>
  <c r="M459" i="24"/>
  <c r="Q459" i="24"/>
  <c r="E462" i="24"/>
  <c r="I462" i="24"/>
  <c r="M462" i="24"/>
  <c r="Q462" i="24"/>
  <c r="B464" i="24"/>
  <c r="C464" i="24"/>
  <c r="D464" i="24"/>
  <c r="F464" i="24"/>
  <c r="G464" i="24"/>
  <c r="H464" i="24"/>
  <c r="J464" i="24"/>
  <c r="K464" i="24"/>
  <c r="L464" i="24"/>
  <c r="N464" i="24"/>
  <c r="O464" i="24"/>
  <c r="P464" i="24"/>
  <c r="E467" i="24"/>
  <c r="I467" i="24"/>
  <c r="M467" i="24"/>
  <c r="Q467" i="24"/>
  <c r="E468" i="24"/>
  <c r="I468" i="24"/>
  <c r="M468" i="24"/>
  <c r="Q468" i="24"/>
  <c r="B470" i="24"/>
  <c r="C470" i="24"/>
  <c r="D470" i="24"/>
  <c r="F470" i="24"/>
  <c r="G470" i="24"/>
  <c r="H470" i="24"/>
  <c r="J470" i="24"/>
  <c r="K470" i="24"/>
  <c r="L470" i="24"/>
  <c r="N470" i="24"/>
  <c r="O470" i="24"/>
  <c r="P470" i="24"/>
  <c r="E474" i="24"/>
  <c r="I474" i="24"/>
  <c r="M474" i="24"/>
  <c r="Q474" i="24"/>
  <c r="B475" i="24"/>
  <c r="C475" i="24"/>
  <c r="D475" i="24"/>
  <c r="F475" i="24"/>
  <c r="G475" i="24"/>
  <c r="H475" i="24"/>
  <c r="J475" i="24"/>
  <c r="K475" i="24"/>
  <c r="L475" i="24"/>
  <c r="N475" i="24"/>
  <c r="O475" i="24"/>
  <c r="P475" i="24"/>
  <c r="E478" i="24"/>
  <c r="I478" i="24"/>
  <c r="M478" i="24"/>
  <c r="Q478" i="24"/>
  <c r="E479" i="24"/>
  <c r="I479" i="24"/>
  <c r="M479" i="24"/>
  <c r="Q479" i="24"/>
  <c r="E481" i="24"/>
  <c r="I481" i="24"/>
  <c r="M481" i="24"/>
  <c r="Q481" i="24"/>
  <c r="E482" i="24"/>
  <c r="I482" i="24"/>
  <c r="M482" i="24"/>
  <c r="Q482" i="24"/>
  <c r="E483" i="24"/>
  <c r="I483" i="24"/>
  <c r="M483" i="24"/>
  <c r="Q483" i="24"/>
  <c r="E484" i="24"/>
  <c r="I484" i="24"/>
  <c r="M484" i="24"/>
  <c r="Q484" i="24"/>
  <c r="E487" i="24"/>
  <c r="I487" i="24"/>
  <c r="M487" i="24"/>
  <c r="Q487" i="24"/>
  <c r="B488" i="24"/>
  <c r="C488" i="24"/>
  <c r="D488" i="24"/>
  <c r="F488" i="24"/>
  <c r="G488" i="24"/>
  <c r="H488" i="24"/>
  <c r="J488" i="24"/>
  <c r="K488" i="24"/>
  <c r="L488" i="24"/>
  <c r="N488" i="24"/>
  <c r="O488" i="24"/>
  <c r="P488" i="24"/>
  <c r="B489" i="24"/>
  <c r="C489" i="24"/>
  <c r="D489" i="24"/>
  <c r="F489" i="24"/>
  <c r="G489" i="24"/>
  <c r="H489" i="24"/>
  <c r="J489" i="24"/>
  <c r="K489" i="24"/>
  <c r="L489" i="24"/>
  <c r="N489" i="24"/>
  <c r="O489" i="24"/>
  <c r="P489" i="24"/>
  <c r="E491" i="24"/>
  <c r="I491" i="24"/>
  <c r="M491" i="24"/>
  <c r="Q491" i="24"/>
  <c r="E501" i="24"/>
  <c r="I501" i="24"/>
  <c r="M501" i="24"/>
  <c r="Q501" i="24"/>
  <c r="B503" i="24"/>
  <c r="C503" i="24"/>
  <c r="C504" i="24" s="1"/>
  <c r="D503" i="24"/>
  <c r="D504" i="24" s="1"/>
  <c r="F503" i="24"/>
  <c r="F504" i="24" s="1"/>
  <c r="G503" i="24"/>
  <c r="G504" i="24" s="1"/>
  <c r="H503" i="24"/>
  <c r="H504" i="24" s="1"/>
  <c r="J503" i="24"/>
  <c r="K503" i="24"/>
  <c r="L503" i="24"/>
  <c r="L504" i="24" s="1"/>
  <c r="N503" i="24"/>
  <c r="O503" i="24"/>
  <c r="O504" i="24" s="1"/>
  <c r="P503" i="24"/>
  <c r="P504" i="24" s="1"/>
  <c r="J504" i="24"/>
  <c r="K504" i="24"/>
  <c r="E513" i="24"/>
  <c r="I513" i="24"/>
  <c r="M513" i="24"/>
  <c r="Q513" i="24"/>
  <c r="E514" i="24"/>
  <c r="I514" i="24"/>
  <c r="M514" i="24"/>
  <c r="Q514" i="24"/>
  <c r="B518" i="24"/>
  <c r="C518" i="24"/>
  <c r="D518" i="24"/>
  <c r="F518" i="24"/>
  <c r="G518" i="24"/>
  <c r="H518" i="24"/>
  <c r="J518" i="24"/>
  <c r="K518" i="24"/>
  <c r="L518" i="24"/>
  <c r="N518" i="24"/>
  <c r="O518" i="24"/>
  <c r="P518" i="24"/>
  <c r="B522" i="24"/>
  <c r="C522" i="24"/>
  <c r="D522" i="24"/>
  <c r="F522" i="24"/>
  <c r="G522" i="24"/>
  <c r="H522" i="24"/>
  <c r="J522" i="24"/>
  <c r="K522" i="24"/>
  <c r="M522" i="24" s="1"/>
  <c r="L522" i="24"/>
  <c r="N522" i="24"/>
  <c r="O522" i="24"/>
  <c r="P522" i="24"/>
  <c r="B526" i="24"/>
  <c r="C526" i="24"/>
  <c r="D526" i="24"/>
  <c r="F526" i="24"/>
  <c r="G526" i="24"/>
  <c r="H526" i="24"/>
  <c r="J526" i="24"/>
  <c r="K526" i="24"/>
  <c r="L526" i="24"/>
  <c r="N526" i="24"/>
  <c r="O526" i="24"/>
  <c r="P526" i="24"/>
  <c r="E530" i="24"/>
  <c r="I530" i="24"/>
  <c r="M530" i="24"/>
  <c r="Q530" i="24"/>
  <c r="B533" i="24"/>
  <c r="C533" i="24"/>
  <c r="D533" i="24"/>
  <c r="F533" i="24"/>
  <c r="G533" i="24"/>
  <c r="H533" i="24"/>
  <c r="J533" i="24"/>
  <c r="K533" i="24"/>
  <c r="L533" i="24"/>
  <c r="N533" i="24"/>
  <c r="O533" i="24"/>
  <c r="P533" i="24"/>
  <c r="B534" i="24"/>
  <c r="C534" i="24"/>
  <c r="C535" i="24" s="1"/>
  <c r="C538" i="24" s="1"/>
  <c r="D534" i="24"/>
  <c r="F534" i="24"/>
  <c r="G534" i="24"/>
  <c r="H534" i="24"/>
  <c r="J534" i="24"/>
  <c r="K534" i="24"/>
  <c r="L534" i="24"/>
  <c r="N534" i="24"/>
  <c r="O534" i="24"/>
  <c r="P534" i="24"/>
  <c r="E536" i="24"/>
  <c r="I536" i="24"/>
  <c r="M536" i="24"/>
  <c r="Q536" i="24"/>
  <c r="E548" i="24"/>
  <c r="I548" i="24"/>
  <c r="M548" i="24"/>
  <c r="Q548" i="24"/>
  <c r="E549" i="24"/>
  <c r="I549" i="24"/>
  <c r="M549" i="24"/>
  <c r="Q549" i="24"/>
  <c r="B553" i="24"/>
  <c r="C553" i="24"/>
  <c r="D553" i="24"/>
  <c r="F553" i="24"/>
  <c r="G553" i="24"/>
  <c r="H553" i="24"/>
  <c r="J553" i="24"/>
  <c r="K553" i="24"/>
  <c r="L553" i="24"/>
  <c r="N553" i="24"/>
  <c r="O553" i="24"/>
  <c r="P553" i="24"/>
  <c r="B557" i="24"/>
  <c r="C557" i="24"/>
  <c r="D557" i="24"/>
  <c r="F557" i="24"/>
  <c r="G557" i="24"/>
  <c r="H557" i="24"/>
  <c r="J557" i="24"/>
  <c r="K557" i="24"/>
  <c r="L557" i="24"/>
  <c r="N557" i="24"/>
  <c r="O557" i="24"/>
  <c r="P557" i="24"/>
  <c r="E560" i="24"/>
  <c r="I560" i="24"/>
  <c r="M560" i="24"/>
  <c r="Q560" i="24"/>
  <c r="B562" i="24"/>
  <c r="C562" i="24"/>
  <c r="D562" i="24"/>
  <c r="F562" i="24"/>
  <c r="G562" i="24"/>
  <c r="H562" i="24"/>
  <c r="J562" i="24"/>
  <c r="K562" i="24"/>
  <c r="L562" i="24"/>
  <c r="N562" i="24"/>
  <c r="O562" i="24"/>
  <c r="P562" i="24"/>
  <c r="E566" i="24"/>
  <c r="I566" i="24"/>
  <c r="M566" i="24"/>
  <c r="Q566" i="24"/>
  <c r="E567" i="24"/>
  <c r="I567" i="24"/>
  <c r="M567" i="24"/>
  <c r="Q567" i="24"/>
  <c r="E568" i="24"/>
  <c r="I568" i="24"/>
  <c r="M568" i="24"/>
  <c r="Q568" i="24"/>
  <c r="E569" i="24"/>
  <c r="I569" i="24"/>
  <c r="M569" i="24"/>
  <c r="Q569" i="24"/>
  <c r="B572" i="24"/>
  <c r="C572" i="24"/>
  <c r="D572" i="24"/>
  <c r="F572" i="24"/>
  <c r="I572" i="24" s="1"/>
  <c r="G572" i="24"/>
  <c r="H572" i="24"/>
  <c r="J572" i="24"/>
  <c r="K572" i="24"/>
  <c r="L572" i="24"/>
  <c r="N572" i="24"/>
  <c r="O572" i="24"/>
  <c r="P572" i="24"/>
  <c r="B573" i="24"/>
  <c r="C573" i="24"/>
  <c r="D573" i="24"/>
  <c r="F573" i="24"/>
  <c r="G573" i="24"/>
  <c r="H573" i="24"/>
  <c r="J573" i="24"/>
  <c r="K573" i="24"/>
  <c r="L573" i="24"/>
  <c r="N573" i="24"/>
  <c r="O573" i="24"/>
  <c r="P573" i="24"/>
  <c r="E575" i="24"/>
  <c r="I575" i="24"/>
  <c r="M575" i="24"/>
  <c r="Q575" i="24"/>
  <c r="E585" i="24"/>
  <c r="I585" i="24"/>
  <c r="M585" i="24"/>
  <c r="Q585" i="24"/>
  <c r="B587" i="24"/>
  <c r="C587" i="24"/>
  <c r="D587" i="24"/>
  <c r="D588" i="24" s="1"/>
  <c r="F587" i="24"/>
  <c r="G587" i="24"/>
  <c r="H587" i="24"/>
  <c r="H588" i="24" s="1"/>
  <c r="J587" i="24"/>
  <c r="K587" i="24"/>
  <c r="L587" i="24"/>
  <c r="L588" i="24" s="1"/>
  <c r="N587" i="24"/>
  <c r="O587" i="24"/>
  <c r="P587" i="24"/>
  <c r="P588" i="24" s="1"/>
  <c r="E597" i="24"/>
  <c r="I597" i="24"/>
  <c r="M597" i="24"/>
  <c r="Q597" i="24"/>
  <c r="B601" i="24"/>
  <c r="C601" i="24"/>
  <c r="D601" i="24"/>
  <c r="F601" i="24"/>
  <c r="G601" i="24"/>
  <c r="I601" i="24" s="1"/>
  <c r="H601" i="24"/>
  <c r="J601" i="24"/>
  <c r="K601" i="24"/>
  <c r="L601" i="24"/>
  <c r="N601" i="24"/>
  <c r="O601" i="24"/>
  <c r="P601" i="24"/>
  <c r="B605" i="24"/>
  <c r="C605" i="24"/>
  <c r="D605" i="24"/>
  <c r="F605" i="24"/>
  <c r="G605" i="24"/>
  <c r="G617" i="24" s="1"/>
  <c r="G621" i="24" s="1"/>
  <c r="G622" i="24" s="1"/>
  <c r="H605" i="24"/>
  <c r="J605" i="24"/>
  <c r="K605" i="24"/>
  <c r="L605" i="24"/>
  <c r="N605" i="24"/>
  <c r="O605" i="24"/>
  <c r="P605" i="24"/>
  <c r="B609" i="24"/>
  <c r="C609" i="24"/>
  <c r="D609" i="24"/>
  <c r="F609" i="24"/>
  <c r="G609" i="24"/>
  <c r="H609" i="24"/>
  <c r="J609" i="24"/>
  <c r="K609" i="24"/>
  <c r="L609" i="24"/>
  <c r="N609" i="24"/>
  <c r="O609" i="24"/>
  <c r="P609" i="24"/>
  <c r="B615" i="24"/>
  <c r="C615" i="24"/>
  <c r="D615" i="24"/>
  <c r="F615" i="24"/>
  <c r="G615" i="24"/>
  <c r="H615" i="24"/>
  <c r="J615" i="24"/>
  <c r="K615" i="24"/>
  <c r="L615" i="24"/>
  <c r="N615" i="24"/>
  <c r="O615" i="24"/>
  <c r="P615" i="24"/>
  <c r="B616" i="24"/>
  <c r="C616" i="24"/>
  <c r="D616" i="24"/>
  <c r="F616" i="24"/>
  <c r="G616" i="24"/>
  <c r="H616" i="24"/>
  <c r="J616" i="24"/>
  <c r="K616" i="24"/>
  <c r="L616" i="24"/>
  <c r="N616" i="24"/>
  <c r="O616" i="24"/>
  <c r="P616" i="24"/>
  <c r="E618" i="24"/>
  <c r="I618" i="24"/>
  <c r="R618" i="24" s="1"/>
  <c r="M618" i="24"/>
  <c r="Q618" i="24"/>
  <c r="E619" i="24"/>
  <c r="I619" i="24"/>
  <c r="M619" i="24"/>
  <c r="Q619" i="24"/>
  <c r="E631" i="24"/>
  <c r="I631" i="24"/>
  <c r="M631" i="24"/>
  <c r="Q631" i="24"/>
  <c r="E632" i="24"/>
  <c r="I632" i="24"/>
  <c r="M632" i="24"/>
  <c r="Q632" i="24"/>
  <c r="E635" i="24"/>
  <c r="I635" i="24"/>
  <c r="M635" i="24"/>
  <c r="Q635" i="24"/>
  <c r="B637" i="24"/>
  <c r="C637" i="24"/>
  <c r="D637" i="24"/>
  <c r="F637" i="24"/>
  <c r="G637" i="24"/>
  <c r="H637" i="24"/>
  <c r="J637" i="24"/>
  <c r="K637" i="24"/>
  <c r="L637" i="24"/>
  <c r="N637" i="24"/>
  <c r="O637" i="24"/>
  <c r="P637" i="24"/>
  <c r="B641" i="24"/>
  <c r="C641" i="24"/>
  <c r="D641" i="24"/>
  <c r="D659" i="24" s="1"/>
  <c r="D662" i="24" s="1"/>
  <c r="D663" i="24" s="1"/>
  <c r="F641" i="24"/>
  <c r="G641" i="24"/>
  <c r="H641" i="24"/>
  <c r="J641" i="24"/>
  <c r="K641" i="24"/>
  <c r="L641" i="24"/>
  <c r="N641" i="24"/>
  <c r="Q641" i="24" s="1"/>
  <c r="O641" i="24"/>
  <c r="P641" i="24"/>
  <c r="E644" i="24"/>
  <c r="I644" i="24"/>
  <c r="M644" i="24"/>
  <c r="Q644" i="24"/>
  <c r="E646" i="24"/>
  <c r="I646" i="24"/>
  <c r="R646" i="24" s="1"/>
  <c r="M646" i="24"/>
  <c r="Q646" i="24"/>
  <c r="E647" i="24"/>
  <c r="I647" i="24"/>
  <c r="M647" i="24"/>
  <c r="Q647" i="24"/>
  <c r="B648" i="24"/>
  <c r="C648" i="24"/>
  <c r="D648" i="24"/>
  <c r="F648" i="24"/>
  <c r="G648" i="24"/>
  <c r="H648" i="24"/>
  <c r="J648" i="24"/>
  <c r="K648" i="24"/>
  <c r="L648" i="24"/>
  <c r="N648" i="24"/>
  <c r="Q648" i="24" s="1"/>
  <c r="O648" i="24"/>
  <c r="P648" i="24"/>
  <c r="E651" i="24"/>
  <c r="I651" i="24"/>
  <c r="M651" i="24"/>
  <c r="Q651" i="24"/>
  <c r="E653" i="24"/>
  <c r="I653" i="24"/>
  <c r="M653" i="24"/>
  <c r="Q653" i="24"/>
  <c r="E654" i="24"/>
  <c r="I654" i="24"/>
  <c r="M654" i="24"/>
  <c r="Q654" i="24"/>
  <c r="B657" i="24"/>
  <c r="C657" i="24"/>
  <c r="D657" i="24"/>
  <c r="F657" i="24"/>
  <c r="G657" i="24"/>
  <c r="H657" i="24"/>
  <c r="J657" i="24"/>
  <c r="K657" i="24"/>
  <c r="L657" i="24"/>
  <c r="N657" i="24"/>
  <c r="Q657" i="24" s="1"/>
  <c r="O657" i="24"/>
  <c r="P657" i="24"/>
  <c r="B658" i="24"/>
  <c r="C658" i="24"/>
  <c r="D658" i="24"/>
  <c r="F658" i="24"/>
  <c r="G658" i="24"/>
  <c r="H658" i="24"/>
  <c r="J658" i="24"/>
  <c r="K658" i="24"/>
  <c r="K659" i="24" s="1"/>
  <c r="K662" i="24" s="1"/>
  <c r="L658" i="24"/>
  <c r="N658" i="24"/>
  <c r="Q658" i="24" s="1"/>
  <c r="O658" i="24"/>
  <c r="P658" i="24"/>
  <c r="L659" i="24"/>
  <c r="L662" i="24" s="1"/>
  <c r="E660" i="24"/>
  <c r="I660" i="24"/>
  <c r="M660" i="24"/>
  <c r="Q660" i="24"/>
  <c r="A670" i="24"/>
  <c r="A672" i="24"/>
  <c r="B679" i="24"/>
  <c r="C679" i="24"/>
  <c r="D679" i="24"/>
  <c r="F679" i="24"/>
  <c r="G679" i="24"/>
  <c r="H679" i="24"/>
  <c r="J679" i="24"/>
  <c r="K679" i="24"/>
  <c r="L679" i="24"/>
  <c r="N679" i="24"/>
  <c r="O679" i="24"/>
  <c r="P679" i="24"/>
  <c r="B680" i="24"/>
  <c r="C680" i="24"/>
  <c r="D680" i="24"/>
  <c r="F680" i="24"/>
  <c r="G680" i="24"/>
  <c r="H680" i="24"/>
  <c r="J680" i="24"/>
  <c r="K680" i="24"/>
  <c r="L680" i="24"/>
  <c r="N680" i="24"/>
  <c r="O680" i="24"/>
  <c r="P680" i="24"/>
  <c r="B681" i="24"/>
  <c r="C681" i="24"/>
  <c r="D681" i="24"/>
  <c r="F681" i="24"/>
  <c r="G681" i="24"/>
  <c r="H681" i="24"/>
  <c r="J681" i="24"/>
  <c r="K681" i="24"/>
  <c r="L681" i="24"/>
  <c r="N681" i="24"/>
  <c r="O681" i="24"/>
  <c r="P681" i="24"/>
  <c r="B682" i="24"/>
  <c r="C682" i="24"/>
  <c r="D682" i="24"/>
  <c r="F682" i="24"/>
  <c r="G682" i="24"/>
  <c r="H682" i="24"/>
  <c r="J682" i="24"/>
  <c r="K682" i="24"/>
  <c r="L682" i="24"/>
  <c r="N682" i="24"/>
  <c r="O682" i="24"/>
  <c r="P682" i="24"/>
  <c r="B683" i="24"/>
  <c r="C683" i="24"/>
  <c r="E683" i="24" s="1"/>
  <c r="D683" i="24"/>
  <c r="F683" i="24"/>
  <c r="G683" i="24"/>
  <c r="H683" i="24"/>
  <c r="J683" i="24"/>
  <c r="K683" i="24"/>
  <c r="M683" i="24" s="1"/>
  <c r="L683" i="24"/>
  <c r="N683" i="24"/>
  <c r="O683" i="24"/>
  <c r="P683" i="24"/>
  <c r="B684" i="24"/>
  <c r="C684" i="24"/>
  <c r="D684" i="24"/>
  <c r="F684" i="24"/>
  <c r="G684" i="24"/>
  <c r="H684" i="24"/>
  <c r="J684" i="24"/>
  <c r="K684" i="24"/>
  <c r="L684" i="24"/>
  <c r="N684" i="24"/>
  <c r="O684" i="24"/>
  <c r="P684" i="24"/>
  <c r="B687" i="24"/>
  <c r="C687" i="24"/>
  <c r="D687" i="24"/>
  <c r="F687" i="24"/>
  <c r="G687" i="24"/>
  <c r="H687" i="24"/>
  <c r="J687" i="24"/>
  <c r="K687" i="24"/>
  <c r="L687" i="24"/>
  <c r="N687" i="24"/>
  <c r="O687" i="24"/>
  <c r="P687" i="24"/>
  <c r="B688" i="24"/>
  <c r="C688" i="24"/>
  <c r="D688" i="24"/>
  <c r="F688" i="24"/>
  <c r="G688" i="24"/>
  <c r="H688" i="24"/>
  <c r="J688" i="24"/>
  <c r="K688" i="24"/>
  <c r="L688" i="24"/>
  <c r="N688" i="24"/>
  <c r="O688" i="24"/>
  <c r="P688" i="24"/>
  <c r="B689" i="24"/>
  <c r="C689" i="24"/>
  <c r="D689" i="24"/>
  <c r="D690" i="24" s="1"/>
  <c r="D720" i="24" s="1"/>
  <c r="F689" i="24"/>
  <c r="G689" i="24"/>
  <c r="G690" i="24" s="1"/>
  <c r="G720" i="24" s="1"/>
  <c r="H689" i="24"/>
  <c r="J689" i="24"/>
  <c r="K689" i="24"/>
  <c r="L689" i="24"/>
  <c r="N689" i="24"/>
  <c r="O689" i="24"/>
  <c r="P689" i="24"/>
  <c r="P690" i="24" s="1"/>
  <c r="P720" i="24" s="1"/>
  <c r="B692" i="24"/>
  <c r="C692" i="24"/>
  <c r="D692" i="24"/>
  <c r="F692" i="24"/>
  <c r="G692" i="24"/>
  <c r="H692" i="24"/>
  <c r="H694" i="24" s="1"/>
  <c r="H722" i="24" s="1"/>
  <c r="J692" i="24"/>
  <c r="K692" i="24"/>
  <c r="L692" i="24"/>
  <c r="N692" i="24"/>
  <c r="O692" i="24"/>
  <c r="P692" i="24"/>
  <c r="B693" i="24"/>
  <c r="C693" i="24"/>
  <c r="D693" i="24"/>
  <c r="F693" i="24"/>
  <c r="G693" i="24"/>
  <c r="H693" i="24"/>
  <c r="J693" i="24"/>
  <c r="K693" i="24"/>
  <c r="L693" i="24"/>
  <c r="N693" i="24"/>
  <c r="O693" i="24"/>
  <c r="P693" i="24"/>
  <c r="P694" i="24" s="1"/>
  <c r="P722" i="24" s="1"/>
  <c r="B696" i="24"/>
  <c r="C696" i="24"/>
  <c r="D696" i="24"/>
  <c r="F696" i="24"/>
  <c r="G696" i="24"/>
  <c r="H696" i="24"/>
  <c r="J696" i="24"/>
  <c r="K696" i="24"/>
  <c r="L696" i="24"/>
  <c r="N696" i="24"/>
  <c r="O696" i="24"/>
  <c r="P696" i="24"/>
  <c r="B697" i="24"/>
  <c r="C697" i="24"/>
  <c r="D697" i="24"/>
  <c r="F697" i="24"/>
  <c r="G697" i="24"/>
  <c r="H697" i="24"/>
  <c r="J697" i="24"/>
  <c r="K697" i="24"/>
  <c r="L697" i="24"/>
  <c r="N697" i="24"/>
  <c r="O697" i="24"/>
  <c r="P697" i="24"/>
  <c r="B698" i="24"/>
  <c r="C698" i="24"/>
  <c r="D698" i="24"/>
  <c r="F698" i="24"/>
  <c r="G698" i="24"/>
  <c r="H698" i="24"/>
  <c r="J698" i="24"/>
  <c r="K698" i="24"/>
  <c r="L698" i="24"/>
  <c r="N698" i="24"/>
  <c r="O698" i="24"/>
  <c r="P698" i="24"/>
  <c r="B699" i="24"/>
  <c r="C699" i="24"/>
  <c r="D699" i="24"/>
  <c r="D702" i="24" s="1"/>
  <c r="F699" i="24"/>
  <c r="G699" i="24"/>
  <c r="H699" i="24"/>
  <c r="J699" i="24"/>
  <c r="K699" i="24"/>
  <c r="L699" i="24"/>
  <c r="N699" i="24"/>
  <c r="O699" i="24"/>
  <c r="P699" i="24"/>
  <c r="B700" i="24"/>
  <c r="C700" i="24"/>
  <c r="D700" i="24"/>
  <c r="F700" i="24"/>
  <c r="G700" i="24"/>
  <c r="H700" i="24"/>
  <c r="J700" i="24"/>
  <c r="K700" i="24"/>
  <c r="K703" i="24" s="1"/>
  <c r="K724" i="24" s="1"/>
  <c r="L700" i="24"/>
  <c r="N700" i="24"/>
  <c r="O700" i="24"/>
  <c r="P700" i="24"/>
  <c r="B701" i="24"/>
  <c r="C701" i="24"/>
  <c r="D701" i="24"/>
  <c r="F701" i="24"/>
  <c r="G701" i="24"/>
  <c r="H701" i="24"/>
  <c r="J701" i="24"/>
  <c r="K701" i="24"/>
  <c r="L701" i="24"/>
  <c r="N701" i="24"/>
  <c r="O701" i="24"/>
  <c r="P701" i="24"/>
  <c r="Q706" i="24"/>
  <c r="A710" i="24"/>
  <c r="A712" i="24"/>
  <c r="Q728" i="24"/>
  <c r="F729" i="24"/>
  <c r="E732" i="24"/>
  <c r="F739" i="24"/>
  <c r="F797" i="24" s="1"/>
  <c r="G739" i="24"/>
  <c r="F740" i="24"/>
  <c r="B765" i="24" s="1"/>
  <c r="G740" i="24"/>
  <c r="G798" i="24" s="1"/>
  <c r="F741" i="24"/>
  <c r="B766" i="24" s="1"/>
  <c r="G741" i="24"/>
  <c r="E877" i="24" s="1"/>
  <c r="I766" i="24" s="1"/>
  <c r="F742" i="24"/>
  <c r="F852" i="24" s="1"/>
  <c r="G742" i="24"/>
  <c r="E878" i="24" s="1"/>
  <c r="I767" i="24" s="1"/>
  <c r="F743" i="24"/>
  <c r="G743" i="24"/>
  <c r="G825" i="24" s="1"/>
  <c r="F744" i="24"/>
  <c r="F826" i="24" s="1"/>
  <c r="G744" i="24"/>
  <c r="G802" i="24" s="1"/>
  <c r="F745" i="24"/>
  <c r="B855" i="24" s="1"/>
  <c r="G745" i="24"/>
  <c r="G827" i="24" s="1"/>
  <c r="F746" i="24"/>
  <c r="F804" i="24" s="1"/>
  <c r="G746" i="24"/>
  <c r="F747" i="24"/>
  <c r="B772" i="24" s="1"/>
  <c r="G747" i="24"/>
  <c r="F748" i="24"/>
  <c r="F830" i="24" s="1"/>
  <c r="G748" i="24"/>
  <c r="G806" i="24" s="1"/>
  <c r="F749" i="24"/>
  <c r="F807" i="24" s="1"/>
  <c r="G749" i="24"/>
  <c r="G807" i="24" s="1"/>
  <c r="F750" i="24"/>
  <c r="F860" i="24" s="1"/>
  <c r="G750" i="24"/>
  <c r="G808" i="24" s="1"/>
  <c r="L755" i="24"/>
  <c r="Q755" i="24"/>
  <c r="D756" i="24"/>
  <c r="C764" i="24"/>
  <c r="C765" i="24"/>
  <c r="C766" i="24"/>
  <c r="B767" i="24"/>
  <c r="C767" i="24"/>
  <c r="C768" i="24"/>
  <c r="C769" i="24"/>
  <c r="C770" i="24"/>
  <c r="C771" i="24"/>
  <c r="C772" i="24"/>
  <c r="C773" i="24"/>
  <c r="C774" i="24"/>
  <c r="N774" i="24"/>
  <c r="C775" i="24"/>
  <c r="Q786" i="24"/>
  <c r="F787" i="24"/>
  <c r="E790" i="24"/>
  <c r="G799" i="24"/>
  <c r="G801" i="24"/>
  <c r="F805" i="24"/>
  <c r="G805" i="24"/>
  <c r="Q810" i="24"/>
  <c r="F811" i="24"/>
  <c r="E814" i="24"/>
  <c r="F821" i="24"/>
  <c r="F829" i="24"/>
  <c r="Q837" i="24"/>
  <c r="F839" i="24"/>
  <c r="Q839" i="24"/>
  <c r="E842" i="24"/>
  <c r="P842" i="24"/>
  <c r="C850" i="24"/>
  <c r="B857" i="24"/>
  <c r="Q864" i="24"/>
  <c r="I865" i="24"/>
  <c r="H868" i="24"/>
  <c r="F875" i="24"/>
  <c r="G875" i="24"/>
  <c r="I875" i="24"/>
  <c r="J875" i="24"/>
  <c r="E876" i="24"/>
  <c r="I765" i="24" s="1"/>
  <c r="F876" i="24"/>
  <c r="G876" i="24"/>
  <c r="J876" i="24"/>
  <c r="M876" i="24" s="1"/>
  <c r="F877" i="24"/>
  <c r="G877" i="24"/>
  <c r="J877" i="24"/>
  <c r="M877" i="24" s="1"/>
  <c r="F878" i="24"/>
  <c r="G878" i="24"/>
  <c r="J878" i="24"/>
  <c r="M878" i="24" s="1"/>
  <c r="E879" i="24"/>
  <c r="I768" i="24" s="1"/>
  <c r="F879" i="24"/>
  <c r="G879" i="24"/>
  <c r="J879" i="24"/>
  <c r="M879" i="24" s="1"/>
  <c r="F880" i="24"/>
  <c r="G880" i="24"/>
  <c r="J880" i="24"/>
  <c r="M880" i="24" s="1"/>
  <c r="F881" i="24"/>
  <c r="H881" i="24" s="1"/>
  <c r="G881" i="24"/>
  <c r="J881" i="24"/>
  <c r="M881" i="24" s="1"/>
  <c r="F882" i="24"/>
  <c r="G882" i="24"/>
  <c r="H882" i="24" s="1"/>
  <c r="J882" i="24"/>
  <c r="M882" i="24" s="1"/>
  <c r="F883" i="24"/>
  <c r="G883" i="24"/>
  <c r="J883" i="24"/>
  <c r="M883" i="24" s="1"/>
  <c r="F884" i="24"/>
  <c r="G884" i="24"/>
  <c r="J884" i="24"/>
  <c r="M884" i="24" s="1"/>
  <c r="F885" i="24"/>
  <c r="H885" i="24" s="1"/>
  <c r="G885" i="24"/>
  <c r="J885" i="24"/>
  <c r="M885" i="24" s="1"/>
  <c r="F886" i="24"/>
  <c r="G886" i="24"/>
  <c r="J886" i="24"/>
  <c r="M886" i="24" s="1"/>
  <c r="Q898" i="24"/>
  <c r="J899" i="24"/>
  <c r="I902" i="24"/>
  <c r="C905" i="24"/>
  <c r="K905" i="24"/>
  <c r="O905" i="24"/>
  <c r="G906" i="24"/>
  <c r="I912" i="24"/>
  <c r="M912" i="24"/>
  <c r="Q912" i="24"/>
  <c r="G913" i="24"/>
  <c r="M913" i="24"/>
  <c r="Q913" i="24"/>
  <c r="G914" i="24"/>
  <c r="I914" i="24" s="1"/>
  <c r="M914" i="24"/>
  <c r="Q914" i="24"/>
  <c r="G915" i="24"/>
  <c r="M915" i="24"/>
  <c r="Q915" i="24"/>
  <c r="G916" i="24"/>
  <c r="M916" i="24"/>
  <c r="Q916" i="24"/>
  <c r="G917" i="24"/>
  <c r="I880" i="24" s="1"/>
  <c r="M917" i="24"/>
  <c r="Q917" i="24"/>
  <c r="G918" i="24"/>
  <c r="I918" i="24" s="1"/>
  <c r="M918" i="24"/>
  <c r="Q918" i="24"/>
  <c r="G919" i="24"/>
  <c r="I882" i="24" s="1"/>
  <c r="M919" i="24"/>
  <c r="Q919" i="24"/>
  <c r="G920" i="24"/>
  <c r="I920" i="24" s="1"/>
  <c r="M920" i="24"/>
  <c r="Q920" i="24"/>
  <c r="M921" i="24"/>
  <c r="Q921" i="24"/>
  <c r="M922" i="24"/>
  <c r="N923" i="24" s="1"/>
  <c r="Q922" i="24"/>
  <c r="M923" i="24"/>
  <c r="Q923" i="24"/>
  <c r="K926" i="24"/>
  <c r="F888" i="24" s="1"/>
  <c r="H888" i="24" s="1"/>
  <c r="O926" i="24"/>
  <c r="G888" i="24" s="1"/>
  <c r="R1" i="23"/>
  <c r="R730" i="23" s="1"/>
  <c r="B16" i="23"/>
  <c r="C16" i="23"/>
  <c r="D16" i="23"/>
  <c r="F16" i="23"/>
  <c r="G16" i="23"/>
  <c r="H16" i="23"/>
  <c r="J16" i="23"/>
  <c r="K16" i="23"/>
  <c r="L16" i="23"/>
  <c r="N16" i="23"/>
  <c r="O16" i="23"/>
  <c r="P16" i="23"/>
  <c r="B17" i="23"/>
  <c r="C17" i="23"/>
  <c r="D17" i="23"/>
  <c r="F17" i="23"/>
  <c r="G17" i="23"/>
  <c r="H17" i="23"/>
  <c r="J17" i="23"/>
  <c r="K17" i="23"/>
  <c r="L17" i="23"/>
  <c r="N17" i="23"/>
  <c r="O17" i="23"/>
  <c r="P17" i="23"/>
  <c r="B18" i="23"/>
  <c r="C18" i="23"/>
  <c r="D18" i="23"/>
  <c r="F18" i="23"/>
  <c r="G18" i="23"/>
  <c r="H18" i="23"/>
  <c r="J18" i="23"/>
  <c r="K18" i="23"/>
  <c r="L18" i="23"/>
  <c r="N18" i="23"/>
  <c r="O18" i="23"/>
  <c r="P18" i="23"/>
  <c r="B19" i="23"/>
  <c r="C19" i="23"/>
  <c r="D19" i="23"/>
  <c r="F19" i="23"/>
  <c r="G19" i="23"/>
  <c r="H19" i="23"/>
  <c r="J19" i="23"/>
  <c r="K19" i="23"/>
  <c r="L19" i="23"/>
  <c r="N19" i="23"/>
  <c r="O19" i="23"/>
  <c r="P19" i="23"/>
  <c r="B20" i="23"/>
  <c r="C20" i="23"/>
  <c r="D20" i="23"/>
  <c r="F20" i="23"/>
  <c r="G20" i="23"/>
  <c r="H20" i="23"/>
  <c r="J20" i="23"/>
  <c r="K20" i="23"/>
  <c r="L20" i="23"/>
  <c r="N20" i="23"/>
  <c r="O20" i="23"/>
  <c r="P20" i="23"/>
  <c r="B21" i="23"/>
  <c r="C21" i="23"/>
  <c r="D21" i="23"/>
  <c r="F21" i="23"/>
  <c r="G21" i="23"/>
  <c r="H21" i="23"/>
  <c r="J21" i="23"/>
  <c r="K21" i="23"/>
  <c r="L21" i="23"/>
  <c r="N21" i="23"/>
  <c r="O21" i="23"/>
  <c r="P21" i="23"/>
  <c r="E23" i="23"/>
  <c r="I23" i="23"/>
  <c r="M23" i="23"/>
  <c r="Q23" i="23"/>
  <c r="E27" i="23"/>
  <c r="I27" i="23"/>
  <c r="M27" i="23"/>
  <c r="Q27" i="23"/>
  <c r="B29" i="23"/>
  <c r="C29" i="23"/>
  <c r="C30" i="23" s="1"/>
  <c r="D29" i="23"/>
  <c r="F29" i="23"/>
  <c r="F30" i="23" s="1"/>
  <c r="G29" i="23"/>
  <c r="G30" i="23" s="1"/>
  <c r="H29" i="23"/>
  <c r="J29" i="23"/>
  <c r="J30" i="23" s="1"/>
  <c r="K29" i="23"/>
  <c r="L29" i="23"/>
  <c r="L30" i="23" s="1"/>
  <c r="N29" i="23"/>
  <c r="N30" i="23" s="1"/>
  <c r="O29" i="23"/>
  <c r="P29" i="23"/>
  <c r="B30" i="23"/>
  <c r="B42" i="23"/>
  <c r="C42" i="23"/>
  <c r="D42" i="23"/>
  <c r="F42" i="23"/>
  <c r="G42" i="23"/>
  <c r="H42" i="23"/>
  <c r="J42" i="23"/>
  <c r="K42" i="23"/>
  <c r="L42" i="23"/>
  <c r="N42" i="23"/>
  <c r="O42" i="23"/>
  <c r="P42" i="23"/>
  <c r="B47" i="23"/>
  <c r="C47" i="23"/>
  <c r="D47" i="23"/>
  <c r="F47" i="23"/>
  <c r="G47" i="23"/>
  <c r="H47" i="23"/>
  <c r="J47" i="23"/>
  <c r="K47" i="23"/>
  <c r="L47" i="23"/>
  <c r="N47" i="23"/>
  <c r="O47" i="23"/>
  <c r="P47" i="23"/>
  <c r="B51" i="23"/>
  <c r="C51" i="23"/>
  <c r="D51" i="23"/>
  <c r="F51" i="23"/>
  <c r="G51" i="23"/>
  <c r="H51" i="23"/>
  <c r="J51" i="23"/>
  <c r="K51" i="23"/>
  <c r="L51" i="23"/>
  <c r="N51" i="23"/>
  <c r="O51" i="23"/>
  <c r="P51" i="23"/>
  <c r="E54" i="23"/>
  <c r="I54" i="23"/>
  <c r="M54" i="23"/>
  <c r="Q54" i="23"/>
  <c r="E56" i="23"/>
  <c r="I56" i="23"/>
  <c r="M56" i="23"/>
  <c r="Q56" i="23"/>
  <c r="B59" i="23"/>
  <c r="E59" i="23" s="1"/>
  <c r="C59" i="23"/>
  <c r="D59" i="23"/>
  <c r="F59" i="23"/>
  <c r="G59" i="23"/>
  <c r="H59" i="23"/>
  <c r="J59" i="23"/>
  <c r="K59" i="23"/>
  <c r="L59" i="23"/>
  <c r="N59" i="23"/>
  <c r="Q59" i="23" s="1"/>
  <c r="O59" i="23"/>
  <c r="P59" i="23"/>
  <c r="B60" i="23"/>
  <c r="C60" i="23"/>
  <c r="D60" i="23"/>
  <c r="F60" i="23"/>
  <c r="G60" i="23"/>
  <c r="H60" i="23"/>
  <c r="J60" i="23"/>
  <c r="K60" i="23"/>
  <c r="L60" i="23"/>
  <c r="N60" i="23"/>
  <c r="O60" i="23"/>
  <c r="P60" i="23"/>
  <c r="E62" i="23"/>
  <c r="I62" i="23"/>
  <c r="M62" i="23"/>
  <c r="Q62" i="23"/>
  <c r="E74" i="23"/>
  <c r="I74" i="23"/>
  <c r="M74" i="23"/>
  <c r="Q74" i="23"/>
  <c r="E75" i="23"/>
  <c r="I75" i="23"/>
  <c r="M75" i="23"/>
  <c r="Q75" i="23"/>
  <c r="E76" i="23"/>
  <c r="I76" i="23"/>
  <c r="M76" i="23"/>
  <c r="Q76" i="23"/>
  <c r="E77" i="23"/>
  <c r="I77" i="23"/>
  <c r="M77" i="23"/>
  <c r="Q77" i="23"/>
  <c r="E78" i="23"/>
  <c r="I78" i="23"/>
  <c r="M78" i="23"/>
  <c r="Q78" i="23"/>
  <c r="E79" i="23"/>
  <c r="I79" i="23"/>
  <c r="M79" i="23"/>
  <c r="Q79" i="23"/>
  <c r="E81" i="23"/>
  <c r="I81" i="23"/>
  <c r="M81" i="23"/>
  <c r="Q81" i="23"/>
  <c r="E82" i="23"/>
  <c r="I82" i="23"/>
  <c r="M82" i="23"/>
  <c r="Q82" i="23"/>
  <c r="E83" i="23"/>
  <c r="I83" i="23"/>
  <c r="M83" i="23"/>
  <c r="Q83" i="23"/>
  <c r="E84" i="23"/>
  <c r="I84" i="23"/>
  <c r="M84" i="23"/>
  <c r="Q84" i="23"/>
  <c r="E86" i="23"/>
  <c r="I86" i="23"/>
  <c r="M86" i="23"/>
  <c r="Q86" i="23"/>
  <c r="E87" i="23"/>
  <c r="I87" i="23"/>
  <c r="M87" i="23"/>
  <c r="Q87" i="23"/>
  <c r="B89" i="23"/>
  <c r="C89" i="23"/>
  <c r="D89" i="23"/>
  <c r="F89" i="23"/>
  <c r="G89" i="23"/>
  <c r="H89" i="23"/>
  <c r="J89" i="23"/>
  <c r="K89" i="23"/>
  <c r="L89" i="23"/>
  <c r="N89" i="23"/>
  <c r="O89" i="23"/>
  <c r="P89" i="23"/>
  <c r="E93" i="23"/>
  <c r="I93" i="23"/>
  <c r="M93" i="23"/>
  <c r="Q93" i="23"/>
  <c r="E94" i="23"/>
  <c r="I94" i="23"/>
  <c r="M94" i="23"/>
  <c r="Q94" i="23"/>
  <c r="B96" i="23"/>
  <c r="C96" i="23"/>
  <c r="D96" i="23"/>
  <c r="F96" i="23"/>
  <c r="G96" i="23"/>
  <c r="H96" i="23"/>
  <c r="J96" i="23"/>
  <c r="K96" i="23"/>
  <c r="L96" i="23"/>
  <c r="N96" i="23"/>
  <c r="O96" i="23"/>
  <c r="P96" i="23"/>
  <c r="E100" i="23"/>
  <c r="I100" i="23"/>
  <c r="M100" i="23"/>
  <c r="Q100" i="23"/>
  <c r="E101" i="23"/>
  <c r="I101" i="23"/>
  <c r="M101" i="23"/>
  <c r="Q101" i="23"/>
  <c r="E102" i="23"/>
  <c r="I102" i="23"/>
  <c r="M102" i="23"/>
  <c r="Q102" i="23"/>
  <c r="E103" i="23"/>
  <c r="I103" i="23"/>
  <c r="M103" i="23"/>
  <c r="Q103" i="23"/>
  <c r="E104" i="23"/>
  <c r="I104" i="23"/>
  <c r="M104" i="23"/>
  <c r="Q104" i="23"/>
  <c r="E105" i="23"/>
  <c r="I105" i="23"/>
  <c r="M105" i="23"/>
  <c r="Q105" i="23"/>
  <c r="E106" i="23"/>
  <c r="I106" i="23"/>
  <c r="M106" i="23"/>
  <c r="Q106" i="23"/>
  <c r="B107" i="23"/>
  <c r="C107" i="23"/>
  <c r="D107" i="23"/>
  <c r="F107" i="23"/>
  <c r="G107" i="23"/>
  <c r="H107" i="23"/>
  <c r="J107" i="23"/>
  <c r="K107" i="23"/>
  <c r="L107" i="23"/>
  <c r="N107" i="23"/>
  <c r="O107" i="23"/>
  <c r="P107" i="23"/>
  <c r="E110" i="23"/>
  <c r="I110" i="23"/>
  <c r="M110" i="23"/>
  <c r="Q110" i="23"/>
  <c r="E111" i="23"/>
  <c r="I111" i="23"/>
  <c r="M111" i="23"/>
  <c r="Q111" i="23"/>
  <c r="E112" i="23"/>
  <c r="I112" i="23"/>
  <c r="M112" i="23"/>
  <c r="Q112" i="23"/>
  <c r="E113" i="23"/>
  <c r="I113" i="23"/>
  <c r="M113" i="23"/>
  <c r="Q113" i="23"/>
  <c r="E114" i="23"/>
  <c r="I114" i="23"/>
  <c r="M114" i="23"/>
  <c r="Q114" i="23"/>
  <c r="E115" i="23"/>
  <c r="I115" i="23"/>
  <c r="M115" i="23"/>
  <c r="Q115" i="23"/>
  <c r="E116" i="23"/>
  <c r="I116" i="23"/>
  <c r="M116" i="23"/>
  <c r="Q116" i="23"/>
  <c r="E117" i="23"/>
  <c r="I117" i="23"/>
  <c r="M117" i="23"/>
  <c r="Q117" i="23"/>
  <c r="E119" i="23"/>
  <c r="I119" i="23"/>
  <c r="M119" i="23"/>
  <c r="Q119" i="23"/>
  <c r="E120" i="23"/>
  <c r="I120" i="23"/>
  <c r="M120" i="23"/>
  <c r="Q120" i="23"/>
  <c r="E122" i="23"/>
  <c r="I122" i="23"/>
  <c r="M122" i="23"/>
  <c r="Q122" i="23"/>
  <c r="E124" i="23"/>
  <c r="I124" i="23"/>
  <c r="M124" i="23"/>
  <c r="Q124" i="23"/>
  <c r="B125" i="23"/>
  <c r="C125" i="23"/>
  <c r="D125" i="23"/>
  <c r="F125" i="23"/>
  <c r="G125" i="23"/>
  <c r="H125" i="23"/>
  <c r="J125" i="23"/>
  <c r="K125" i="23"/>
  <c r="L125" i="23"/>
  <c r="N125" i="23"/>
  <c r="O125" i="23"/>
  <c r="P125" i="23"/>
  <c r="B126" i="23"/>
  <c r="C126" i="23"/>
  <c r="D126" i="23"/>
  <c r="F126" i="23"/>
  <c r="G126" i="23"/>
  <c r="H126" i="23"/>
  <c r="J126" i="23"/>
  <c r="K126" i="23"/>
  <c r="L126" i="23"/>
  <c r="N126" i="23"/>
  <c r="O126" i="23"/>
  <c r="P126" i="23"/>
  <c r="E128" i="23"/>
  <c r="I128" i="23"/>
  <c r="M128" i="23"/>
  <c r="Q128" i="23"/>
  <c r="E140" i="23"/>
  <c r="I140" i="23"/>
  <c r="M140" i="23"/>
  <c r="Q140" i="23"/>
  <c r="E141" i="23"/>
  <c r="I141" i="23"/>
  <c r="M141" i="23"/>
  <c r="Q141" i="23"/>
  <c r="E142" i="23"/>
  <c r="I142" i="23"/>
  <c r="M142" i="23"/>
  <c r="Q142" i="23"/>
  <c r="E143" i="23"/>
  <c r="I143" i="23"/>
  <c r="M143" i="23"/>
  <c r="Q143" i="23"/>
  <c r="E144" i="23"/>
  <c r="I144" i="23"/>
  <c r="M144" i="23"/>
  <c r="Q144" i="23"/>
  <c r="E145" i="23"/>
  <c r="I145" i="23"/>
  <c r="M145" i="23"/>
  <c r="Q145" i="23"/>
  <c r="E146" i="23"/>
  <c r="I146" i="23"/>
  <c r="M146" i="23"/>
  <c r="Q146" i="23"/>
  <c r="E147" i="23"/>
  <c r="I147" i="23"/>
  <c r="M147" i="23"/>
  <c r="Q147" i="23"/>
  <c r="E148" i="23"/>
  <c r="I148" i="23"/>
  <c r="M148" i="23"/>
  <c r="Q148" i="23"/>
  <c r="E149" i="23"/>
  <c r="I149" i="23"/>
  <c r="M149" i="23"/>
  <c r="Q149" i="23"/>
  <c r="E150" i="23"/>
  <c r="I150" i="23"/>
  <c r="M150" i="23"/>
  <c r="Q150" i="23"/>
  <c r="E151" i="23"/>
  <c r="I151" i="23"/>
  <c r="M151" i="23"/>
  <c r="Q151" i="23"/>
  <c r="E152" i="23"/>
  <c r="I152" i="23"/>
  <c r="M152" i="23"/>
  <c r="Q152" i="23"/>
  <c r="E153" i="23"/>
  <c r="I153" i="23"/>
  <c r="M153" i="23"/>
  <c r="Q153" i="23"/>
  <c r="E154" i="23"/>
  <c r="I154" i="23"/>
  <c r="M154" i="23"/>
  <c r="Q154" i="23"/>
  <c r="E155" i="23"/>
  <c r="I155" i="23"/>
  <c r="M155" i="23"/>
  <c r="Q155" i="23"/>
  <c r="E156" i="23"/>
  <c r="I156" i="23"/>
  <c r="M156" i="23"/>
  <c r="Q156" i="23"/>
  <c r="E157" i="23"/>
  <c r="I157" i="23"/>
  <c r="M157" i="23"/>
  <c r="Q157" i="23"/>
  <c r="E158" i="23"/>
  <c r="I158" i="23"/>
  <c r="M158" i="23"/>
  <c r="Q158" i="23"/>
  <c r="E159" i="23"/>
  <c r="I159" i="23"/>
  <c r="M159" i="23"/>
  <c r="Q159" i="23"/>
  <c r="E161" i="23"/>
  <c r="I161" i="23"/>
  <c r="M161" i="23"/>
  <c r="Q161" i="23"/>
  <c r="E162" i="23"/>
  <c r="I162" i="23"/>
  <c r="M162" i="23"/>
  <c r="Q162" i="23"/>
  <c r="E163" i="23"/>
  <c r="I163" i="23"/>
  <c r="M163" i="23"/>
  <c r="Q163" i="23"/>
  <c r="E164" i="23"/>
  <c r="I164" i="23"/>
  <c r="M164" i="23"/>
  <c r="Q164" i="23"/>
  <c r="E165" i="23"/>
  <c r="I165" i="23"/>
  <c r="M165" i="23"/>
  <c r="Q165" i="23"/>
  <c r="E166" i="23"/>
  <c r="I166" i="23"/>
  <c r="M166" i="23"/>
  <c r="Q166" i="23"/>
  <c r="E167" i="23"/>
  <c r="I167" i="23"/>
  <c r="M167" i="23"/>
  <c r="Q167" i="23"/>
  <c r="E168" i="23"/>
  <c r="I168" i="23"/>
  <c r="M168" i="23"/>
  <c r="Q168" i="23"/>
  <c r="E169" i="23"/>
  <c r="I169" i="23"/>
  <c r="M169" i="23"/>
  <c r="Q169" i="23"/>
  <c r="E170" i="23"/>
  <c r="I170" i="23"/>
  <c r="M170" i="23"/>
  <c r="Q170" i="23"/>
  <c r="E171" i="23"/>
  <c r="I171" i="23"/>
  <c r="M171" i="23"/>
  <c r="Q171" i="23"/>
  <c r="E173" i="23"/>
  <c r="I173" i="23"/>
  <c r="M173" i="23"/>
  <c r="Q173" i="23"/>
  <c r="E174" i="23"/>
  <c r="I174" i="23"/>
  <c r="M174" i="23"/>
  <c r="Q174" i="23"/>
  <c r="E175" i="23"/>
  <c r="I175" i="23"/>
  <c r="M175" i="23"/>
  <c r="Q175" i="23"/>
  <c r="B177" i="23"/>
  <c r="C177" i="23"/>
  <c r="D177" i="23"/>
  <c r="F177" i="23"/>
  <c r="G177" i="23"/>
  <c r="H177" i="23"/>
  <c r="J177" i="23"/>
  <c r="K177" i="23"/>
  <c r="L177" i="23"/>
  <c r="N177" i="23"/>
  <c r="O177" i="23"/>
  <c r="P177" i="23"/>
  <c r="B182" i="23"/>
  <c r="C182" i="23"/>
  <c r="D182" i="23"/>
  <c r="F182" i="23"/>
  <c r="G182" i="23"/>
  <c r="H182" i="23"/>
  <c r="J182" i="23"/>
  <c r="K182" i="23"/>
  <c r="L182" i="23"/>
  <c r="N182" i="23"/>
  <c r="O182" i="23"/>
  <c r="P182" i="23"/>
  <c r="E186" i="23"/>
  <c r="I186" i="23"/>
  <c r="M186" i="23"/>
  <c r="Q186" i="23"/>
  <c r="E187" i="23"/>
  <c r="I187" i="23"/>
  <c r="M187" i="23"/>
  <c r="Q187" i="23"/>
  <c r="E188" i="23"/>
  <c r="I188" i="23"/>
  <c r="M188" i="23"/>
  <c r="Q188" i="23"/>
  <c r="E189" i="23"/>
  <c r="I189" i="23"/>
  <c r="M189" i="23"/>
  <c r="Q189" i="23"/>
  <c r="E190" i="23"/>
  <c r="I190" i="23"/>
  <c r="M190" i="23"/>
  <c r="Q190" i="23"/>
  <c r="E191" i="23"/>
  <c r="I191" i="23"/>
  <c r="M191" i="23"/>
  <c r="Q191" i="23"/>
  <c r="E192" i="23"/>
  <c r="I192" i="23"/>
  <c r="M192" i="23"/>
  <c r="Q192" i="23"/>
  <c r="E193" i="23"/>
  <c r="I193" i="23"/>
  <c r="M193" i="23"/>
  <c r="Q193" i="23"/>
  <c r="E194" i="23"/>
  <c r="I194" i="23"/>
  <c r="M194" i="23"/>
  <c r="Q194" i="23"/>
  <c r="E195" i="23"/>
  <c r="I195" i="23"/>
  <c r="M195" i="23"/>
  <c r="Q195" i="23"/>
  <c r="E196" i="23"/>
  <c r="I196" i="23"/>
  <c r="M196" i="23"/>
  <c r="Q196" i="23"/>
  <c r="E197" i="23"/>
  <c r="I197" i="23"/>
  <c r="M197" i="23"/>
  <c r="Q197" i="23"/>
  <c r="E198" i="23"/>
  <c r="I198" i="23"/>
  <c r="M198" i="23"/>
  <c r="Q198" i="23"/>
  <c r="E199" i="23"/>
  <c r="I199" i="23"/>
  <c r="M199" i="23"/>
  <c r="Q199" i="23"/>
  <c r="E200" i="23"/>
  <c r="R200" i="23" s="1"/>
  <c r="I200" i="23"/>
  <c r="M200" i="23"/>
  <c r="Q200" i="23"/>
  <c r="E201" i="23"/>
  <c r="I201" i="23"/>
  <c r="M201" i="23"/>
  <c r="Q201" i="23"/>
  <c r="E202" i="23"/>
  <c r="I202" i="23"/>
  <c r="M202" i="23"/>
  <c r="Q202" i="23"/>
  <c r="E203" i="23"/>
  <c r="I203" i="23"/>
  <c r="M203" i="23"/>
  <c r="Q203" i="23"/>
  <c r="E204" i="23"/>
  <c r="I204" i="23"/>
  <c r="M204" i="23"/>
  <c r="Q204" i="23"/>
  <c r="E205" i="23"/>
  <c r="I205" i="23"/>
  <c r="M205" i="23"/>
  <c r="Q205" i="23"/>
  <c r="R205" i="23" s="1"/>
  <c r="E206" i="23"/>
  <c r="I206" i="23"/>
  <c r="M206" i="23"/>
  <c r="Q206" i="23"/>
  <c r="E207" i="23"/>
  <c r="I207" i="23"/>
  <c r="M207" i="23"/>
  <c r="Q207" i="23"/>
  <c r="E208" i="23"/>
  <c r="I208" i="23"/>
  <c r="M208" i="23"/>
  <c r="Q208" i="23"/>
  <c r="E209" i="23"/>
  <c r="I209" i="23"/>
  <c r="M209" i="23"/>
  <c r="Q209" i="23"/>
  <c r="E210" i="23"/>
  <c r="I210" i="23"/>
  <c r="M210" i="23"/>
  <c r="Q210" i="23"/>
  <c r="E211" i="23"/>
  <c r="I211" i="23"/>
  <c r="M211" i="23"/>
  <c r="Q211" i="23"/>
  <c r="E212" i="23"/>
  <c r="I212" i="23"/>
  <c r="M212" i="23"/>
  <c r="Q212" i="23"/>
  <c r="E213" i="23"/>
  <c r="I213" i="23"/>
  <c r="M213" i="23"/>
  <c r="Q213" i="23"/>
  <c r="E214" i="23"/>
  <c r="I214" i="23"/>
  <c r="M214" i="23"/>
  <c r="Q214" i="23"/>
  <c r="B215" i="23"/>
  <c r="C215" i="23"/>
  <c r="D215" i="23"/>
  <c r="F215" i="23"/>
  <c r="G215" i="23"/>
  <c r="H215" i="23"/>
  <c r="J215" i="23"/>
  <c r="K215" i="23"/>
  <c r="L215" i="23"/>
  <c r="N215" i="23"/>
  <c r="O215" i="23"/>
  <c r="P215" i="23"/>
  <c r="E218" i="23"/>
  <c r="I218" i="23"/>
  <c r="M218" i="23"/>
  <c r="Q218" i="23"/>
  <c r="E219" i="23"/>
  <c r="I219" i="23"/>
  <c r="M219" i="23"/>
  <c r="Q219" i="23"/>
  <c r="E220" i="23"/>
  <c r="I220" i="23"/>
  <c r="M220" i="23"/>
  <c r="Q220" i="23"/>
  <c r="E221" i="23"/>
  <c r="I221" i="23"/>
  <c r="M221" i="23"/>
  <c r="Q221" i="23"/>
  <c r="E222" i="23"/>
  <c r="I222" i="23"/>
  <c r="M222" i="23"/>
  <c r="Q222" i="23"/>
  <c r="E224" i="23"/>
  <c r="I224" i="23"/>
  <c r="M224" i="23"/>
  <c r="Q224" i="23"/>
  <c r="E225" i="23"/>
  <c r="I225" i="23"/>
  <c r="M225" i="23"/>
  <c r="Q225" i="23"/>
  <c r="E226" i="23"/>
  <c r="I226" i="23"/>
  <c r="M226" i="23"/>
  <c r="Q226" i="23"/>
  <c r="E227" i="23"/>
  <c r="I227" i="23"/>
  <c r="M227" i="23"/>
  <c r="Q227" i="23"/>
  <c r="E228" i="23"/>
  <c r="I228" i="23"/>
  <c r="M228" i="23"/>
  <c r="Q228" i="23"/>
  <c r="E229" i="23"/>
  <c r="I229" i="23"/>
  <c r="M229" i="23"/>
  <c r="Q229" i="23"/>
  <c r="E231" i="23"/>
  <c r="I231" i="23"/>
  <c r="M231" i="23"/>
  <c r="Q231" i="23"/>
  <c r="E232" i="23"/>
  <c r="I232" i="23"/>
  <c r="M232" i="23"/>
  <c r="Q232" i="23"/>
  <c r="B234" i="23"/>
  <c r="C234" i="23"/>
  <c r="D234" i="23"/>
  <c r="F234" i="23"/>
  <c r="G234" i="23"/>
  <c r="H234" i="23"/>
  <c r="J234" i="23"/>
  <c r="K234" i="23"/>
  <c r="L234" i="23"/>
  <c r="N234" i="23"/>
  <c r="O234" i="23"/>
  <c r="P234" i="23"/>
  <c r="B235" i="23"/>
  <c r="C235" i="23"/>
  <c r="D235" i="23"/>
  <c r="F235" i="23"/>
  <c r="G235" i="23"/>
  <c r="H235" i="23"/>
  <c r="J235" i="23"/>
  <c r="K235" i="23"/>
  <c r="L235" i="23"/>
  <c r="N235" i="23"/>
  <c r="O235" i="23"/>
  <c r="P235" i="23"/>
  <c r="E237" i="23"/>
  <c r="I237" i="23"/>
  <c r="M237" i="23"/>
  <c r="Q237" i="23"/>
  <c r="E238" i="23"/>
  <c r="I238" i="23"/>
  <c r="M238" i="23"/>
  <c r="Q238" i="23"/>
  <c r="E239" i="23"/>
  <c r="I239" i="23"/>
  <c r="M239" i="23"/>
  <c r="Q239" i="23"/>
  <c r="E240" i="23"/>
  <c r="I240" i="23"/>
  <c r="M240" i="23"/>
  <c r="Q240" i="23"/>
  <c r="E241" i="23"/>
  <c r="I241" i="23"/>
  <c r="M241" i="23"/>
  <c r="Q241" i="23"/>
  <c r="E242" i="23"/>
  <c r="I242" i="23"/>
  <c r="M242" i="23"/>
  <c r="Q242" i="23"/>
  <c r="E253" i="23"/>
  <c r="I253" i="23"/>
  <c r="M253" i="23"/>
  <c r="Q253" i="23"/>
  <c r="B255" i="23"/>
  <c r="C255" i="23"/>
  <c r="C256" i="23" s="1"/>
  <c r="N767" i="23" s="1"/>
  <c r="D255" i="23"/>
  <c r="D256" i="23" s="1"/>
  <c r="N768" i="23" s="1"/>
  <c r="F255" i="23"/>
  <c r="G255" i="23"/>
  <c r="G256" i="23" s="1"/>
  <c r="N770" i="23" s="1"/>
  <c r="H255" i="23"/>
  <c r="H256" i="23" s="1"/>
  <c r="N771" i="23" s="1"/>
  <c r="J255" i="23"/>
  <c r="K255" i="23"/>
  <c r="K256" i="23" s="1"/>
  <c r="N773" i="23" s="1"/>
  <c r="L255" i="23"/>
  <c r="L256" i="23" s="1"/>
  <c r="N774" i="23" s="1"/>
  <c r="N255" i="23"/>
  <c r="O255" i="23"/>
  <c r="O256" i="23" s="1"/>
  <c r="N776" i="23" s="1"/>
  <c r="P255" i="23"/>
  <c r="P256" i="23" s="1"/>
  <c r="N777" i="23" s="1"/>
  <c r="E263" i="23"/>
  <c r="I263" i="23"/>
  <c r="M263" i="23"/>
  <c r="Q263" i="23"/>
  <c r="E264" i="23"/>
  <c r="I264" i="23"/>
  <c r="M264" i="23"/>
  <c r="Q264" i="23"/>
  <c r="E265" i="23"/>
  <c r="I265" i="23"/>
  <c r="M265" i="23"/>
  <c r="Q265" i="23"/>
  <c r="E266" i="23"/>
  <c r="I266" i="23"/>
  <c r="M266" i="23"/>
  <c r="Q266" i="23"/>
  <c r="E267" i="23"/>
  <c r="I267" i="23"/>
  <c r="M267" i="23"/>
  <c r="Q267" i="23"/>
  <c r="E268" i="23"/>
  <c r="I268" i="23"/>
  <c r="M268" i="23"/>
  <c r="Q268" i="23"/>
  <c r="E269" i="23"/>
  <c r="I269" i="23"/>
  <c r="M269" i="23"/>
  <c r="Q269" i="23"/>
  <c r="E270" i="23"/>
  <c r="I270" i="23"/>
  <c r="M270" i="23"/>
  <c r="Q270" i="23"/>
  <c r="E271" i="23"/>
  <c r="I271" i="23"/>
  <c r="M271" i="23"/>
  <c r="Q271" i="23"/>
  <c r="E272" i="23"/>
  <c r="I272" i="23"/>
  <c r="M272" i="23"/>
  <c r="Q272" i="23"/>
  <c r="E273" i="23"/>
  <c r="I273" i="23"/>
  <c r="M273" i="23"/>
  <c r="Q273" i="23"/>
  <c r="E275" i="23"/>
  <c r="I275" i="23"/>
  <c r="M275" i="23"/>
  <c r="Q275" i="23"/>
  <c r="E276" i="23"/>
  <c r="I276" i="23"/>
  <c r="M276" i="23"/>
  <c r="Q276" i="23"/>
  <c r="E277" i="23"/>
  <c r="I277" i="23"/>
  <c r="M277" i="23"/>
  <c r="Q277" i="23"/>
  <c r="E278" i="23"/>
  <c r="I278" i="23"/>
  <c r="M278" i="23"/>
  <c r="Q278" i="23"/>
  <c r="E279" i="23"/>
  <c r="I279" i="23"/>
  <c r="M279" i="23"/>
  <c r="Q279" i="23"/>
  <c r="E280" i="23"/>
  <c r="I280" i="23"/>
  <c r="M280" i="23"/>
  <c r="Q280" i="23"/>
  <c r="E281" i="23"/>
  <c r="I281" i="23"/>
  <c r="M281" i="23"/>
  <c r="Q281" i="23"/>
  <c r="E282" i="23"/>
  <c r="I282" i="23"/>
  <c r="M282" i="23"/>
  <c r="Q282" i="23"/>
  <c r="E283" i="23"/>
  <c r="I283" i="23"/>
  <c r="M283" i="23"/>
  <c r="Q283" i="23"/>
  <c r="E284" i="23"/>
  <c r="I284" i="23"/>
  <c r="M284" i="23"/>
  <c r="Q284" i="23"/>
  <c r="E285" i="23"/>
  <c r="I285" i="23"/>
  <c r="M285" i="23"/>
  <c r="Q285" i="23"/>
  <c r="E286" i="23"/>
  <c r="I286" i="23"/>
  <c r="M286" i="23"/>
  <c r="Q286" i="23"/>
  <c r="E287" i="23"/>
  <c r="I287" i="23"/>
  <c r="M287" i="23"/>
  <c r="Q287" i="23"/>
  <c r="E288" i="23"/>
  <c r="I288" i="23"/>
  <c r="M288" i="23"/>
  <c r="Q288" i="23"/>
  <c r="E289" i="23"/>
  <c r="I289" i="23"/>
  <c r="M289" i="23"/>
  <c r="Q289" i="23"/>
  <c r="E290" i="23"/>
  <c r="I290" i="23"/>
  <c r="M290" i="23"/>
  <c r="Q290" i="23"/>
  <c r="E291" i="23"/>
  <c r="I291" i="23"/>
  <c r="M291" i="23"/>
  <c r="Q291" i="23"/>
  <c r="E293" i="23"/>
  <c r="I293" i="23"/>
  <c r="M293" i="23"/>
  <c r="Q293" i="23"/>
  <c r="E294" i="23"/>
  <c r="I294" i="23"/>
  <c r="M294" i="23"/>
  <c r="Q294" i="23"/>
  <c r="E295" i="23"/>
  <c r="I295" i="23"/>
  <c r="M295" i="23"/>
  <c r="Q295" i="23"/>
  <c r="B297" i="23"/>
  <c r="C297" i="23"/>
  <c r="D297" i="23"/>
  <c r="F297" i="23"/>
  <c r="G297" i="23"/>
  <c r="H297" i="23"/>
  <c r="J297" i="23"/>
  <c r="K297" i="23"/>
  <c r="L297" i="23"/>
  <c r="N297" i="23"/>
  <c r="O297" i="23"/>
  <c r="P297" i="23"/>
  <c r="E301" i="23"/>
  <c r="I301" i="23"/>
  <c r="M301" i="23"/>
  <c r="Q301" i="23"/>
  <c r="E302" i="23"/>
  <c r="I302" i="23"/>
  <c r="M302" i="23"/>
  <c r="Q302" i="23"/>
  <c r="E303" i="23"/>
  <c r="I303" i="23"/>
  <c r="M303" i="23"/>
  <c r="Q303" i="23"/>
  <c r="E304" i="23"/>
  <c r="I304" i="23"/>
  <c r="M304" i="23"/>
  <c r="Q304" i="23"/>
  <c r="E305" i="23"/>
  <c r="I305" i="23"/>
  <c r="M305" i="23"/>
  <c r="Q305" i="23"/>
  <c r="E306" i="23"/>
  <c r="I306" i="23"/>
  <c r="M306" i="23"/>
  <c r="Q306" i="23"/>
  <c r="E307" i="23"/>
  <c r="I307" i="23"/>
  <c r="M307" i="23"/>
  <c r="Q307" i="23"/>
  <c r="E308" i="23"/>
  <c r="I308" i="23"/>
  <c r="M308" i="23"/>
  <c r="Q308" i="23"/>
  <c r="E311" i="23"/>
  <c r="I311" i="23"/>
  <c r="M311" i="23"/>
  <c r="Q311" i="23"/>
  <c r="B312" i="23"/>
  <c r="C312" i="23"/>
  <c r="D312" i="23"/>
  <c r="F312" i="23"/>
  <c r="G312" i="23"/>
  <c r="H312" i="23"/>
  <c r="J312" i="23"/>
  <c r="K312" i="23"/>
  <c r="L312" i="23"/>
  <c r="N312" i="23"/>
  <c r="O312" i="23"/>
  <c r="P312" i="23"/>
  <c r="E315" i="23"/>
  <c r="I315" i="23"/>
  <c r="M315" i="23"/>
  <c r="Q315" i="23"/>
  <c r="E316" i="23"/>
  <c r="I316" i="23"/>
  <c r="M316" i="23"/>
  <c r="Q316" i="23"/>
  <c r="E318" i="23"/>
  <c r="I318" i="23"/>
  <c r="M318" i="23"/>
  <c r="Q318" i="23"/>
  <c r="E319" i="23"/>
  <c r="I319" i="23"/>
  <c r="M319" i="23"/>
  <c r="Q319" i="23"/>
  <c r="E320" i="23"/>
  <c r="I320" i="23"/>
  <c r="M320" i="23"/>
  <c r="Q320" i="23"/>
  <c r="E321" i="23"/>
  <c r="I321" i="23"/>
  <c r="M321" i="23"/>
  <c r="Q321" i="23"/>
  <c r="E322" i="23"/>
  <c r="I322" i="23"/>
  <c r="M322" i="23"/>
  <c r="Q322" i="23"/>
  <c r="E323" i="23"/>
  <c r="I323" i="23"/>
  <c r="M323" i="23"/>
  <c r="Q323" i="23"/>
  <c r="E324" i="23"/>
  <c r="I324" i="23"/>
  <c r="M324" i="23"/>
  <c r="Q324" i="23"/>
  <c r="E325" i="23"/>
  <c r="I325" i="23"/>
  <c r="M325" i="23"/>
  <c r="Q325" i="23"/>
  <c r="E326" i="23"/>
  <c r="I326" i="23"/>
  <c r="M326" i="23"/>
  <c r="Q326" i="23"/>
  <c r="E327" i="23"/>
  <c r="I327" i="23"/>
  <c r="M327" i="23"/>
  <c r="Q327" i="23"/>
  <c r="E328" i="23"/>
  <c r="I328" i="23"/>
  <c r="M328" i="23"/>
  <c r="Q328" i="23"/>
  <c r="E329" i="23"/>
  <c r="I329" i="23"/>
  <c r="M329" i="23"/>
  <c r="Q329" i="23"/>
  <c r="B330" i="23"/>
  <c r="C330" i="23"/>
  <c r="D330" i="23"/>
  <c r="F330" i="23"/>
  <c r="G330" i="23"/>
  <c r="H330" i="23"/>
  <c r="J330" i="23"/>
  <c r="K330" i="23"/>
  <c r="L330" i="23"/>
  <c r="N330" i="23"/>
  <c r="O330" i="23"/>
  <c r="P330" i="23"/>
  <c r="E333" i="23"/>
  <c r="I333" i="23"/>
  <c r="M333" i="23"/>
  <c r="Q333" i="23"/>
  <c r="E335" i="23"/>
  <c r="I335" i="23"/>
  <c r="M335" i="23"/>
  <c r="Q335" i="23"/>
  <c r="E336" i="23"/>
  <c r="I336" i="23"/>
  <c r="M336" i="23"/>
  <c r="Q336" i="23"/>
  <c r="E338" i="23"/>
  <c r="I338" i="23"/>
  <c r="M338" i="23"/>
  <c r="Q338" i="23"/>
  <c r="E339" i="23"/>
  <c r="I339" i="23"/>
  <c r="M339" i="23"/>
  <c r="Q339" i="23"/>
  <c r="E340" i="23"/>
  <c r="I340" i="23"/>
  <c r="M340" i="23"/>
  <c r="Q340" i="23"/>
  <c r="E341" i="23"/>
  <c r="I341" i="23"/>
  <c r="M341" i="23"/>
  <c r="Q341" i="23"/>
  <c r="E342" i="23"/>
  <c r="I342" i="23"/>
  <c r="M342" i="23"/>
  <c r="Q342" i="23"/>
  <c r="E344" i="23"/>
  <c r="I344" i="23"/>
  <c r="M344" i="23"/>
  <c r="Q344" i="23"/>
  <c r="E345" i="23"/>
  <c r="I345" i="23"/>
  <c r="M345" i="23"/>
  <c r="Q345" i="23"/>
  <c r="E346" i="23"/>
  <c r="I346" i="23"/>
  <c r="M346" i="23"/>
  <c r="Q346" i="23"/>
  <c r="E347" i="23"/>
  <c r="I347" i="23"/>
  <c r="M347" i="23"/>
  <c r="Q347" i="23"/>
  <c r="E348" i="23"/>
  <c r="I348" i="23"/>
  <c r="M348" i="23"/>
  <c r="Q348" i="23"/>
  <c r="E349" i="23"/>
  <c r="I349" i="23"/>
  <c r="M349" i="23"/>
  <c r="Q349" i="23"/>
  <c r="B350" i="23"/>
  <c r="C350" i="23"/>
  <c r="D350" i="23"/>
  <c r="F350" i="23"/>
  <c r="G350" i="23"/>
  <c r="H350" i="23"/>
  <c r="J350" i="23"/>
  <c r="K350" i="23"/>
  <c r="L350" i="23"/>
  <c r="N350" i="23"/>
  <c r="O350" i="23"/>
  <c r="P350" i="23"/>
  <c r="B351" i="23"/>
  <c r="C351" i="23"/>
  <c r="D351" i="23"/>
  <c r="F351" i="23"/>
  <c r="G351" i="23"/>
  <c r="H351" i="23"/>
  <c r="J351" i="23"/>
  <c r="K351" i="23"/>
  <c r="L351" i="23"/>
  <c r="N351" i="23"/>
  <c r="O351" i="23"/>
  <c r="P351" i="23"/>
  <c r="E353" i="23"/>
  <c r="I353" i="23"/>
  <c r="M353" i="23"/>
  <c r="Q353" i="23"/>
  <c r="E354" i="23"/>
  <c r="I354" i="23"/>
  <c r="M354" i="23"/>
  <c r="Q354" i="23"/>
  <c r="E355" i="23"/>
  <c r="I355" i="23"/>
  <c r="M355" i="23"/>
  <c r="Q355" i="23"/>
  <c r="E367" i="23"/>
  <c r="I367" i="23"/>
  <c r="M367" i="23"/>
  <c r="Q367" i="23"/>
  <c r="E368" i="23"/>
  <c r="I368" i="23"/>
  <c r="M368" i="23"/>
  <c r="Q368" i="23"/>
  <c r="E370" i="23"/>
  <c r="I370" i="23"/>
  <c r="M370" i="23"/>
  <c r="Q370" i="23"/>
  <c r="E371" i="23"/>
  <c r="I371" i="23"/>
  <c r="M371" i="23"/>
  <c r="Q371" i="23"/>
  <c r="B374" i="23"/>
  <c r="C374" i="23"/>
  <c r="D374" i="23"/>
  <c r="F374" i="23"/>
  <c r="G374" i="23"/>
  <c r="H374" i="23"/>
  <c r="J374" i="23"/>
  <c r="K374" i="23"/>
  <c r="L374" i="23"/>
  <c r="N374" i="23"/>
  <c r="O374" i="23"/>
  <c r="P374" i="23"/>
  <c r="E377" i="23"/>
  <c r="I377" i="23"/>
  <c r="M377" i="23"/>
  <c r="Q377" i="23"/>
  <c r="B379" i="23"/>
  <c r="C379" i="23"/>
  <c r="D379" i="23"/>
  <c r="F379" i="23"/>
  <c r="G379" i="23"/>
  <c r="H379" i="23"/>
  <c r="J379" i="23"/>
  <c r="K379" i="23"/>
  <c r="L379" i="23"/>
  <c r="N379" i="23"/>
  <c r="O379" i="23"/>
  <c r="P379" i="23"/>
  <c r="B383" i="23"/>
  <c r="C383" i="23"/>
  <c r="D383" i="23"/>
  <c r="F383" i="23"/>
  <c r="G383" i="23"/>
  <c r="H383" i="23"/>
  <c r="J383" i="23"/>
  <c r="K383" i="23"/>
  <c r="L383" i="23"/>
  <c r="N383" i="23"/>
  <c r="O383" i="23"/>
  <c r="P383" i="23"/>
  <c r="E386" i="23"/>
  <c r="I386" i="23"/>
  <c r="M386" i="23"/>
  <c r="Q386" i="23"/>
  <c r="E390" i="23"/>
  <c r="I390" i="23"/>
  <c r="M390" i="23"/>
  <c r="Q390" i="23"/>
  <c r="E391" i="23"/>
  <c r="I391" i="23"/>
  <c r="M391" i="23"/>
  <c r="Q391" i="23"/>
  <c r="B392" i="23"/>
  <c r="C392" i="23"/>
  <c r="D392" i="23"/>
  <c r="F392" i="23"/>
  <c r="G392" i="23"/>
  <c r="H392" i="23"/>
  <c r="J392" i="23"/>
  <c r="K392" i="23"/>
  <c r="L392" i="23"/>
  <c r="N392" i="23"/>
  <c r="O392" i="23"/>
  <c r="P392" i="23"/>
  <c r="B393" i="23"/>
  <c r="C393" i="23"/>
  <c r="D393" i="23"/>
  <c r="F393" i="23"/>
  <c r="G393" i="23"/>
  <c r="H393" i="23"/>
  <c r="J393" i="23"/>
  <c r="K393" i="23"/>
  <c r="L393" i="23"/>
  <c r="N393" i="23"/>
  <c r="O393" i="23"/>
  <c r="P393" i="23"/>
  <c r="E395" i="23"/>
  <c r="I395" i="23"/>
  <c r="M395" i="23"/>
  <c r="Q395" i="23"/>
  <c r="E407" i="23"/>
  <c r="I407" i="23"/>
  <c r="M407" i="23"/>
  <c r="Q407" i="23"/>
  <c r="E408" i="23"/>
  <c r="I408" i="23"/>
  <c r="M408" i="23"/>
  <c r="Q408" i="23"/>
  <c r="B412" i="23"/>
  <c r="C412" i="23"/>
  <c r="D412" i="23"/>
  <c r="F412" i="23"/>
  <c r="G412" i="23"/>
  <c r="H412" i="23"/>
  <c r="J412" i="23"/>
  <c r="K412" i="23"/>
  <c r="L412" i="23"/>
  <c r="N412" i="23"/>
  <c r="O412" i="23"/>
  <c r="P412" i="23"/>
  <c r="E415" i="23"/>
  <c r="I415" i="23"/>
  <c r="M415" i="23"/>
  <c r="Q415" i="23"/>
  <c r="E416" i="23"/>
  <c r="I416" i="23"/>
  <c r="M416" i="23"/>
  <c r="Q416" i="23"/>
  <c r="B419" i="23"/>
  <c r="C419" i="23"/>
  <c r="D419" i="23"/>
  <c r="F419" i="23"/>
  <c r="G419" i="23"/>
  <c r="H419" i="23"/>
  <c r="J419" i="23"/>
  <c r="K419" i="23"/>
  <c r="L419" i="23"/>
  <c r="N419" i="23"/>
  <c r="O419" i="23"/>
  <c r="P419" i="23"/>
  <c r="B423" i="23"/>
  <c r="C423" i="23"/>
  <c r="D423" i="23"/>
  <c r="F423" i="23"/>
  <c r="G423" i="23"/>
  <c r="H423" i="23"/>
  <c r="J423" i="23"/>
  <c r="K423" i="23"/>
  <c r="L423" i="23"/>
  <c r="N423" i="23"/>
  <c r="O423" i="23"/>
  <c r="P423" i="23"/>
  <c r="E428" i="23"/>
  <c r="I428" i="23"/>
  <c r="M428" i="23"/>
  <c r="Q428" i="23"/>
  <c r="E429" i="23"/>
  <c r="I429" i="23"/>
  <c r="M429" i="23"/>
  <c r="Q429" i="23"/>
  <c r="E430" i="23"/>
  <c r="I430" i="23"/>
  <c r="M430" i="23"/>
  <c r="Q430" i="23"/>
  <c r="E431" i="23"/>
  <c r="I431" i="23"/>
  <c r="M431" i="23"/>
  <c r="Q431" i="23"/>
  <c r="E433" i="23"/>
  <c r="I433" i="23"/>
  <c r="M433" i="23"/>
  <c r="Q433" i="23"/>
  <c r="E434" i="23"/>
  <c r="I434" i="23"/>
  <c r="M434" i="23"/>
  <c r="Q434" i="23"/>
  <c r="E435" i="23"/>
  <c r="I435" i="23"/>
  <c r="M435" i="23"/>
  <c r="Q435" i="23"/>
  <c r="B436" i="23"/>
  <c r="C436" i="23"/>
  <c r="D436" i="23"/>
  <c r="F436" i="23"/>
  <c r="G436" i="23"/>
  <c r="H436" i="23"/>
  <c r="J436" i="23"/>
  <c r="K436" i="23"/>
  <c r="L436" i="23"/>
  <c r="N436" i="23"/>
  <c r="O436" i="23"/>
  <c r="P436" i="23"/>
  <c r="B437" i="23"/>
  <c r="C437" i="23"/>
  <c r="D437" i="23"/>
  <c r="F437" i="23"/>
  <c r="G437" i="23"/>
  <c r="H437" i="23"/>
  <c r="H438" i="23" s="1"/>
  <c r="H441" i="23" s="1"/>
  <c r="J437" i="23"/>
  <c r="K437" i="23"/>
  <c r="L437" i="23"/>
  <c r="N437" i="23"/>
  <c r="O437" i="23"/>
  <c r="P437" i="23"/>
  <c r="E439" i="23"/>
  <c r="I439" i="23"/>
  <c r="M439" i="23"/>
  <c r="Q439" i="23"/>
  <c r="E451" i="23"/>
  <c r="I451" i="23"/>
  <c r="M451" i="23"/>
  <c r="Q451" i="23"/>
  <c r="E452" i="23"/>
  <c r="I452" i="23"/>
  <c r="M452" i="23"/>
  <c r="Q452" i="23"/>
  <c r="E453" i="23"/>
  <c r="I453" i="23"/>
  <c r="M453" i="23"/>
  <c r="Q453" i="23"/>
  <c r="E454" i="23"/>
  <c r="I454" i="23"/>
  <c r="M454" i="23"/>
  <c r="Q454" i="23"/>
  <c r="E455" i="23"/>
  <c r="I455" i="23"/>
  <c r="M455" i="23"/>
  <c r="Q455" i="23"/>
  <c r="E456" i="23"/>
  <c r="I456" i="23"/>
  <c r="M456" i="23"/>
  <c r="Q456" i="23"/>
  <c r="E458" i="23"/>
  <c r="I458" i="23"/>
  <c r="M458" i="23"/>
  <c r="Q458" i="23"/>
  <c r="E460" i="23"/>
  <c r="I460" i="23"/>
  <c r="M460" i="23"/>
  <c r="Q460" i="23"/>
  <c r="B462" i="23"/>
  <c r="C462" i="23"/>
  <c r="D462" i="23"/>
  <c r="F462" i="23"/>
  <c r="G462" i="23"/>
  <c r="H462" i="23"/>
  <c r="J462" i="23"/>
  <c r="K462" i="23"/>
  <c r="L462" i="23"/>
  <c r="N462" i="23"/>
  <c r="O462" i="23"/>
  <c r="P462" i="23"/>
  <c r="E465" i="23"/>
  <c r="I465" i="23"/>
  <c r="M465" i="23"/>
  <c r="Q465" i="23"/>
  <c r="B467" i="23"/>
  <c r="C467" i="23"/>
  <c r="D467" i="23"/>
  <c r="F467" i="23"/>
  <c r="G467" i="23"/>
  <c r="H467" i="23"/>
  <c r="J467" i="23"/>
  <c r="K467" i="23"/>
  <c r="L467" i="23"/>
  <c r="N467" i="23"/>
  <c r="O467" i="23"/>
  <c r="P467" i="23"/>
  <c r="B471" i="23"/>
  <c r="C471" i="23"/>
  <c r="D471" i="23"/>
  <c r="F471" i="23"/>
  <c r="G471" i="23"/>
  <c r="H471" i="23"/>
  <c r="J471" i="23"/>
  <c r="K471" i="23"/>
  <c r="L471" i="23"/>
  <c r="L489" i="23" s="1"/>
  <c r="L492" i="23" s="1"/>
  <c r="N471" i="23"/>
  <c r="O471" i="23"/>
  <c r="P471" i="23"/>
  <c r="E474" i="23"/>
  <c r="I474" i="23"/>
  <c r="M474" i="23"/>
  <c r="Q474" i="23"/>
  <c r="E475" i="23"/>
  <c r="I475" i="23"/>
  <c r="M475" i="23"/>
  <c r="Q475" i="23"/>
  <c r="E476" i="23"/>
  <c r="I476" i="23"/>
  <c r="M476" i="23"/>
  <c r="Q476" i="23"/>
  <c r="E477" i="23"/>
  <c r="I477" i="23"/>
  <c r="M477" i="23"/>
  <c r="Q477" i="23"/>
  <c r="E479" i="23"/>
  <c r="I479" i="23"/>
  <c r="M479" i="23"/>
  <c r="Q479" i="23"/>
  <c r="E480" i="23"/>
  <c r="I480" i="23"/>
  <c r="M480" i="23"/>
  <c r="Q480" i="23"/>
  <c r="E481" i="23"/>
  <c r="I481" i="23"/>
  <c r="M481" i="23"/>
  <c r="Q481" i="23"/>
  <c r="E482" i="23"/>
  <c r="I482" i="23"/>
  <c r="M482" i="23"/>
  <c r="Q482" i="23"/>
  <c r="E484" i="23"/>
  <c r="I484" i="23"/>
  <c r="M484" i="23"/>
  <c r="Q484" i="23"/>
  <c r="E485" i="23"/>
  <c r="I485" i="23"/>
  <c r="M485" i="23"/>
  <c r="Q485" i="23"/>
  <c r="B487" i="23"/>
  <c r="C487" i="23"/>
  <c r="D487" i="23"/>
  <c r="F487" i="23"/>
  <c r="G487" i="23"/>
  <c r="H487" i="23"/>
  <c r="J487" i="23"/>
  <c r="K487" i="23"/>
  <c r="L487" i="23"/>
  <c r="N487" i="23"/>
  <c r="O487" i="23"/>
  <c r="P487" i="23"/>
  <c r="B488" i="23"/>
  <c r="C488" i="23"/>
  <c r="D488" i="23"/>
  <c r="D489" i="23" s="1"/>
  <c r="D492" i="23" s="1"/>
  <c r="F488" i="23"/>
  <c r="G488" i="23"/>
  <c r="H488" i="23"/>
  <c r="J488" i="23"/>
  <c r="K488" i="23"/>
  <c r="L488" i="23"/>
  <c r="N488" i="23"/>
  <c r="Q488" i="23" s="1"/>
  <c r="O488" i="23"/>
  <c r="P488" i="23"/>
  <c r="P489" i="23" s="1"/>
  <c r="P492" i="23" s="1"/>
  <c r="P493" i="23" s="1"/>
  <c r="E490" i="23"/>
  <c r="I490" i="23"/>
  <c r="M490" i="23"/>
  <c r="Q490" i="23"/>
  <c r="E500" i="23"/>
  <c r="I500" i="23"/>
  <c r="M500" i="23"/>
  <c r="Q500" i="23"/>
  <c r="B502" i="23"/>
  <c r="C502" i="23"/>
  <c r="D502" i="23"/>
  <c r="F502" i="23"/>
  <c r="F503" i="23" s="1"/>
  <c r="G502" i="23"/>
  <c r="G503" i="23" s="1"/>
  <c r="H502" i="23"/>
  <c r="J502" i="23"/>
  <c r="J503" i="23" s="1"/>
  <c r="K502" i="23"/>
  <c r="L502" i="23"/>
  <c r="L503" i="23" s="1"/>
  <c r="N502" i="23"/>
  <c r="O502" i="23"/>
  <c r="P502" i="23"/>
  <c r="B503" i="23"/>
  <c r="C503" i="23"/>
  <c r="N503" i="23"/>
  <c r="E512" i="23"/>
  <c r="I512" i="23"/>
  <c r="M512" i="23"/>
  <c r="Q512" i="23"/>
  <c r="E513" i="23"/>
  <c r="I513" i="23"/>
  <c r="M513" i="23"/>
  <c r="Q513" i="23"/>
  <c r="B517" i="23"/>
  <c r="C517" i="23"/>
  <c r="D517" i="23"/>
  <c r="F517" i="23"/>
  <c r="G517" i="23"/>
  <c r="H517" i="23"/>
  <c r="J517" i="23"/>
  <c r="K517" i="23"/>
  <c r="L517" i="23"/>
  <c r="N517" i="23"/>
  <c r="O517" i="23"/>
  <c r="P517" i="23"/>
  <c r="B521" i="23"/>
  <c r="C521" i="23"/>
  <c r="D521" i="23"/>
  <c r="F521" i="23"/>
  <c r="G521" i="23"/>
  <c r="H521" i="23"/>
  <c r="J521" i="23"/>
  <c r="K521" i="23"/>
  <c r="L521" i="23"/>
  <c r="N521" i="23"/>
  <c r="O521" i="23"/>
  <c r="P521" i="23"/>
  <c r="B525" i="23"/>
  <c r="C525" i="23"/>
  <c r="D525" i="23"/>
  <c r="F525" i="23"/>
  <c r="G525" i="23"/>
  <c r="H525" i="23"/>
  <c r="J525" i="23"/>
  <c r="K525" i="23"/>
  <c r="L525" i="23"/>
  <c r="N525" i="23"/>
  <c r="O525" i="23"/>
  <c r="P525" i="23"/>
  <c r="E529" i="23"/>
  <c r="I529" i="23"/>
  <c r="M529" i="23"/>
  <c r="Q529" i="23"/>
  <c r="B532" i="23"/>
  <c r="C532" i="23"/>
  <c r="D532" i="23"/>
  <c r="F532" i="23"/>
  <c r="G532" i="23"/>
  <c r="H532" i="23"/>
  <c r="J532" i="23"/>
  <c r="K532" i="23"/>
  <c r="L532" i="23"/>
  <c r="N532" i="23"/>
  <c r="O532" i="23"/>
  <c r="P532" i="23"/>
  <c r="B533" i="23"/>
  <c r="C533" i="23"/>
  <c r="D533" i="23"/>
  <c r="F533" i="23"/>
  <c r="G533" i="23"/>
  <c r="H533" i="23"/>
  <c r="J533" i="23"/>
  <c r="K533" i="23"/>
  <c r="L533" i="23"/>
  <c r="N533" i="23"/>
  <c r="O533" i="23"/>
  <c r="P533" i="23"/>
  <c r="E535" i="23"/>
  <c r="I535" i="23"/>
  <c r="M535" i="23"/>
  <c r="Q535" i="23"/>
  <c r="E547" i="23"/>
  <c r="I547" i="23"/>
  <c r="M547" i="23"/>
  <c r="Q547" i="23"/>
  <c r="E548" i="23"/>
  <c r="I548" i="23"/>
  <c r="M548" i="23"/>
  <c r="Q548" i="23"/>
  <c r="B552" i="23"/>
  <c r="C552" i="23"/>
  <c r="D552" i="23"/>
  <c r="F552" i="23"/>
  <c r="G552" i="23"/>
  <c r="H552" i="23"/>
  <c r="J552" i="23"/>
  <c r="K552" i="23"/>
  <c r="L552" i="23"/>
  <c r="N552" i="23"/>
  <c r="O552" i="23"/>
  <c r="P552" i="23"/>
  <c r="B556" i="23"/>
  <c r="C556" i="23"/>
  <c r="D556" i="23"/>
  <c r="F556" i="23"/>
  <c r="G556" i="23"/>
  <c r="H556" i="23"/>
  <c r="J556" i="23"/>
  <c r="K556" i="23"/>
  <c r="L556" i="23"/>
  <c r="N556" i="23"/>
  <c r="O556" i="23"/>
  <c r="P556" i="23"/>
  <c r="E559" i="23"/>
  <c r="I559" i="23"/>
  <c r="M559" i="23"/>
  <c r="Q559" i="23"/>
  <c r="B561" i="23"/>
  <c r="C561" i="23"/>
  <c r="D561" i="23"/>
  <c r="F561" i="23"/>
  <c r="G561" i="23"/>
  <c r="H561" i="23"/>
  <c r="J561" i="23"/>
  <c r="K561" i="23"/>
  <c r="L561" i="23"/>
  <c r="N561" i="23"/>
  <c r="O561" i="23"/>
  <c r="P561" i="23"/>
  <c r="E565" i="23"/>
  <c r="I565" i="23"/>
  <c r="M565" i="23"/>
  <c r="Q565" i="23"/>
  <c r="E566" i="23"/>
  <c r="I566" i="23"/>
  <c r="M566" i="23"/>
  <c r="Q566" i="23"/>
  <c r="E567" i="23"/>
  <c r="I567" i="23"/>
  <c r="M567" i="23"/>
  <c r="Q567" i="23"/>
  <c r="E568" i="23"/>
  <c r="I568" i="23"/>
  <c r="M568" i="23"/>
  <c r="Q568" i="23"/>
  <c r="B571" i="23"/>
  <c r="C571" i="23"/>
  <c r="D571" i="23"/>
  <c r="F571" i="23"/>
  <c r="G571" i="23"/>
  <c r="H571" i="23"/>
  <c r="J571" i="23"/>
  <c r="K571" i="23"/>
  <c r="L571" i="23"/>
  <c r="N571" i="23"/>
  <c r="O571" i="23"/>
  <c r="P571" i="23"/>
  <c r="B572" i="23"/>
  <c r="C572" i="23"/>
  <c r="D572" i="23"/>
  <c r="F572" i="23"/>
  <c r="G572" i="23"/>
  <c r="H572" i="23"/>
  <c r="J572" i="23"/>
  <c r="K572" i="23"/>
  <c r="L572" i="23"/>
  <c r="N572" i="23"/>
  <c r="O572" i="23"/>
  <c r="P572" i="23"/>
  <c r="E574" i="23"/>
  <c r="I574" i="23"/>
  <c r="M574" i="23"/>
  <c r="Q574" i="23"/>
  <c r="E584" i="23"/>
  <c r="I584" i="23"/>
  <c r="M584" i="23"/>
  <c r="Q584" i="23"/>
  <c r="B586" i="23"/>
  <c r="E586" i="23" s="1"/>
  <c r="C586" i="23"/>
  <c r="C587" i="23" s="1"/>
  <c r="D586" i="23"/>
  <c r="D587" i="23" s="1"/>
  <c r="F586" i="23"/>
  <c r="I586" i="23" s="1"/>
  <c r="G586" i="23"/>
  <c r="G587" i="23" s="1"/>
  <c r="H586" i="23"/>
  <c r="J586" i="23"/>
  <c r="J587" i="23" s="1"/>
  <c r="K586" i="23"/>
  <c r="K587" i="23" s="1"/>
  <c r="L586" i="23"/>
  <c r="L587" i="23" s="1"/>
  <c r="N586" i="23"/>
  <c r="N587" i="23" s="1"/>
  <c r="O586" i="23"/>
  <c r="O587" i="23" s="1"/>
  <c r="P586" i="23"/>
  <c r="P587" i="23" s="1"/>
  <c r="H587" i="23"/>
  <c r="E596" i="23"/>
  <c r="I596" i="23"/>
  <c r="M596" i="23"/>
  <c r="Q596" i="23"/>
  <c r="B600" i="23"/>
  <c r="C600" i="23"/>
  <c r="D600" i="23"/>
  <c r="F600" i="23"/>
  <c r="G600" i="23"/>
  <c r="H600" i="23"/>
  <c r="J600" i="23"/>
  <c r="K600" i="23"/>
  <c r="L600" i="23"/>
  <c r="N600" i="23"/>
  <c r="O600" i="23"/>
  <c r="P600" i="23"/>
  <c r="B604" i="23"/>
  <c r="C604" i="23"/>
  <c r="D604" i="23"/>
  <c r="F604" i="23"/>
  <c r="G604" i="23"/>
  <c r="H604" i="23"/>
  <c r="J604" i="23"/>
  <c r="K604" i="23"/>
  <c r="L604" i="23"/>
  <c r="N604" i="23"/>
  <c r="O604" i="23"/>
  <c r="P604" i="23"/>
  <c r="B608" i="23"/>
  <c r="C608" i="23"/>
  <c r="D608" i="23"/>
  <c r="F608" i="23"/>
  <c r="G608" i="23"/>
  <c r="H608" i="23"/>
  <c r="J608" i="23"/>
  <c r="K608" i="23"/>
  <c r="L608" i="23"/>
  <c r="N608" i="23"/>
  <c r="O608" i="23"/>
  <c r="P608" i="23"/>
  <c r="B614" i="23"/>
  <c r="C614" i="23"/>
  <c r="D614" i="23"/>
  <c r="F614" i="23"/>
  <c r="G614" i="23"/>
  <c r="H614" i="23"/>
  <c r="J614" i="23"/>
  <c r="K614" i="23"/>
  <c r="L614" i="23"/>
  <c r="N614" i="23"/>
  <c r="O614" i="23"/>
  <c r="P614" i="23"/>
  <c r="B615" i="23"/>
  <c r="C615" i="23"/>
  <c r="D615" i="23"/>
  <c r="F615" i="23"/>
  <c r="G615" i="23"/>
  <c r="H615" i="23"/>
  <c r="J615" i="23"/>
  <c r="K615" i="23"/>
  <c r="L615" i="23"/>
  <c r="N615" i="23"/>
  <c r="O615" i="23"/>
  <c r="P615" i="23"/>
  <c r="E617" i="23"/>
  <c r="I617" i="23"/>
  <c r="M617" i="23"/>
  <c r="Q617" i="23"/>
  <c r="E618" i="23"/>
  <c r="I618" i="23"/>
  <c r="M618" i="23"/>
  <c r="Q618" i="23"/>
  <c r="E630" i="23"/>
  <c r="I630" i="23"/>
  <c r="M630" i="23"/>
  <c r="Q630" i="23"/>
  <c r="E631" i="23"/>
  <c r="I631" i="23"/>
  <c r="M631" i="23"/>
  <c r="Q631" i="23"/>
  <c r="E634" i="23"/>
  <c r="R634" i="23" s="1"/>
  <c r="I634" i="23"/>
  <c r="M634" i="23"/>
  <c r="Q634" i="23"/>
  <c r="B636" i="23"/>
  <c r="E636" i="23" s="1"/>
  <c r="C636" i="23"/>
  <c r="D636" i="23"/>
  <c r="F636" i="23"/>
  <c r="G636" i="23"/>
  <c r="H636" i="23"/>
  <c r="H659" i="23" s="1"/>
  <c r="H662" i="23" s="1"/>
  <c r="J636" i="23"/>
  <c r="K636" i="23"/>
  <c r="L636" i="23"/>
  <c r="N636" i="23"/>
  <c r="O636" i="23"/>
  <c r="P636" i="23"/>
  <c r="B640" i="23"/>
  <c r="E640" i="23" s="1"/>
  <c r="C640" i="23"/>
  <c r="D640" i="23"/>
  <c r="F640" i="23"/>
  <c r="G640" i="23"/>
  <c r="H640" i="23"/>
  <c r="J640" i="23"/>
  <c r="K640" i="23"/>
  <c r="L640" i="23"/>
  <c r="N640" i="23"/>
  <c r="O640" i="23"/>
  <c r="P640" i="23"/>
  <c r="E643" i="23"/>
  <c r="I643" i="23"/>
  <c r="M643" i="23"/>
  <c r="Q643" i="23"/>
  <c r="R643" i="23"/>
  <c r="E645" i="23"/>
  <c r="I645" i="23"/>
  <c r="M645" i="23"/>
  <c r="Q645" i="23"/>
  <c r="E646" i="23"/>
  <c r="I646" i="23"/>
  <c r="M646" i="23"/>
  <c r="Q646" i="23"/>
  <c r="B647" i="23"/>
  <c r="C647" i="23"/>
  <c r="D647" i="23"/>
  <c r="F647" i="23"/>
  <c r="G647" i="23"/>
  <c r="H647" i="23"/>
  <c r="J647" i="23"/>
  <c r="K647" i="23"/>
  <c r="M647" i="23" s="1"/>
  <c r="L647" i="23"/>
  <c r="N647" i="23"/>
  <c r="O647" i="23"/>
  <c r="P647" i="23"/>
  <c r="E650" i="23"/>
  <c r="I650" i="23"/>
  <c r="M650" i="23"/>
  <c r="Q650" i="23"/>
  <c r="E651" i="23"/>
  <c r="I651" i="23"/>
  <c r="M651" i="23"/>
  <c r="Q651" i="23"/>
  <c r="E653" i="23"/>
  <c r="I653" i="23"/>
  <c r="M653" i="23"/>
  <c r="Q653" i="23"/>
  <c r="E654" i="23"/>
  <c r="I654" i="23"/>
  <c r="M654" i="23"/>
  <c r="Q654" i="23"/>
  <c r="B657" i="23"/>
  <c r="C657" i="23"/>
  <c r="D657" i="23"/>
  <c r="F657" i="23"/>
  <c r="G657" i="23"/>
  <c r="H657" i="23"/>
  <c r="J657" i="23"/>
  <c r="K657" i="23"/>
  <c r="L657" i="23"/>
  <c r="N657" i="23"/>
  <c r="O657" i="23"/>
  <c r="P657" i="23"/>
  <c r="B658" i="23"/>
  <c r="C658" i="23"/>
  <c r="D658" i="23"/>
  <c r="F658" i="23"/>
  <c r="G658" i="23"/>
  <c r="H658" i="23"/>
  <c r="J658" i="23"/>
  <c r="K658" i="23"/>
  <c r="L658" i="23"/>
  <c r="N658" i="23"/>
  <c r="O658" i="23"/>
  <c r="P658" i="23"/>
  <c r="E660" i="23"/>
  <c r="I660" i="23"/>
  <c r="M660" i="23"/>
  <c r="Q660" i="23"/>
  <c r="Q667" i="23"/>
  <c r="A671" i="23"/>
  <c r="A673" i="23"/>
  <c r="B680" i="23"/>
  <c r="C680" i="23"/>
  <c r="D680" i="23"/>
  <c r="E680" i="23"/>
  <c r="F680" i="23"/>
  <c r="I680" i="23" s="1"/>
  <c r="G680" i="23"/>
  <c r="H680" i="23"/>
  <c r="J680" i="23"/>
  <c r="K680" i="23"/>
  <c r="L680" i="23"/>
  <c r="M680" i="23"/>
  <c r="N680" i="23"/>
  <c r="Q680" i="23" s="1"/>
  <c r="O680" i="23"/>
  <c r="P680" i="23"/>
  <c r="B681" i="23"/>
  <c r="C681" i="23"/>
  <c r="D681" i="23"/>
  <c r="F681" i="23"/>
  <c r="G681" i="23"/>
  <c r="H681" i="23"/>
  <c r="J681" i="23"/>
  <c r="K681" i="23"/>
  <c r="L681" i="23"/>
  <c r="N681" i="23"/>
  <c r="O681" i="23"/>
  <c r="P681" i="23"/>
  <c r="B682" i="23"/>
  <c r="C682" i="23"/>
  <c r="D682" i="23"/>
  <c r="F682" i="23"/>
  <c r="G682" i="23"/>
  <c r="H682" i="23"/>
  <c r="J682" i="23"/>
  <c r="K682" i="23"/>
  <c r="L682" i="23"/>
  <c r="N682" i="23"/>
  <c r="O682" i="23"/>
  <c r="P682" i="23"/>
  <c r="B683" i="23"/>
  <c r="C683" i="23"/>
  <c r="D683" i="23"/>
  <c r="E683" i="23"/>
  <c r="F683" i="23"/>
  <c r="I683" i="23" s="1"/>
  <c r="G683" i="23"/>
  <c r="H683" i="23"/>
  <c r="J683" i="23"/>
  <c r="K683" i="23"/>
  <c r="L683" i="23"/>
  <c r="M683" i="23"/>
  <c r="N683" i="23"/>
  <c r="Q683" i="23" s="1"/>
  <c r="O683" i="23"/>
  <c r="P683" i="23"/>
  <c r="B684" i="23"/>
  <c r="C684" i="23"/>
  <c r="D684" i="23"/>
  <c r="F684" i="23"/>
  <c r="G684" i="23"/>
  <c r="H684" i="23"/>
  <c r="J684" i="23"/>
  <c r="K684" i="23"/>
  <c r="L684" i="23"/>
  <c r="N684" i="23"/>
  <c r="O684" i="23"/>
  <c r="P684" i="23"/>
  <c r="Q684" i="23" s="1"/>
  <c r="B685" i="23"/>
  <c r="C685" i="23"/>
  <c r="C686" i="23" s="1"/>
  <c r="D685" i="23"/>
  <c r="F685" i="23"/>
  <c r="G685" i="23"/>
  <c r="H685" i="23"/>
  <c r="J685" i="23"/>
  <c r="K685" i="23"/>
  <c r="L685" i="23"/>
  <c r="N685" i="23"/>
  <c r="O685" i="23"/>
  <c r="P685" i="23"/>
  <c r="B688" i="23"/>
  <c r="C688" i="23"/>
  <c r="D688" i="23"/>
  <c r="F688" i="23"/>
  <c r="G688" i="23"/>
  <c r="H688" i="23"/>
  <c r="J688" i="23"/>
  <c r="K688" i="23"/>
  <c r="L688" i="23"/>
  <c r="N688" i="23"/>
  <c r="O688" i="23"/>
  <c r="P688" i="23"/>
  <c r="B689" i="23"/>
  <c r="C689" i="23"/>
  <c r="D689" i="23"/>
  <c r="F689" i="23"/>
  <c r="G689" i="23"/>
  <c r="H689" i="23"/>
  <c r="J689" i="23"/>
  <c r="K689" i="23"/>
  <c r="L689" i="23"/>
  <c r="N689" i="23"/>
  <c r="O689" i="23"/>
  <c r="P689" i="23"/>
  <c r="B690" i="23"/>
  <c r="C690" i="23"/>
  <c r="D690" i="23"/>
  <c r="F690" i="23"/>
  <c r="G690" i="23"/>
  <c r="H690" i="23"/>
  <c r="J690" i="23"/>
  <c r="K690" i="23"/>
  <c r="L690" i="23"/>
  <c r="N690" i="23"/>
  <c r="O690" i="23"/>
  <c r="P690" i="23"/>
  <c r="B691" i="23"/>
  <c r="C691" i="23"/>
  <c r="D691" i="23"/>
  <c r="F691" i="23"/>
  <c r="G691" i="23"/>
  <c r="H691" i="23"/>
  <c r="J691" i="23"/>
  <c r="K691" i="23"/>
  <c r="L691" i="23"/>
  <c r="N691" i="23"/>
  <c r="O691" i="23"/>
  <c r="P691" i="23"/>
  <c r="B694" i="23"/>
  <c r="C694" i="23"/>
  <c r="D694" i="23"/>
  <c r="F694" i="23"/>
  <c r="G694" i="23"/>
  <c r="H694" i="23"/>
  <c r="J694" i="23"/>
  <c r="K694" i="23"/>
  <c r="L694" i="23"/>
  <c r="N694" i="23"/>
  <c r="N696" i="23" s="1"/>
  <c r="O694" i="23"/>
  <c r="P694" i="23"/>
  <c r="B695" i="23"/>
  <c r="B696" i="23" s="1"/>
  <c r="B724" i="23" s="1"/>
  <c r="C695" i="23"/>
  <c r="C696" i="23" s="1"/>
  <c r="C724" i="23" s="1"/>
  <c r="D695" i="23"/>
  <c r="F695" i="23"/>
  <c r="G695" i="23"/>
  <c r="H695" i="23"/>
  <c r="J695" i="23"/>
  <c r="K695" i="23"/>
  <c r="L695" i="23"/>
  <c r="N695" i="23"/>
  <c r="O695" i="23"/>
  <c r="O696" i="23" s="1"/>
  <c r="O724" i="23" s="1"/>
  <c r="P695" i="23"/>
  <c r="B698" i="23"/>
  <c r="C698" i="23"/>
  <c r="D698" i="23"/>
  <c r="F698" i="23"/>
  <c r="G698" i="23"/>
  <c r="H698" i="23"/>
  <c r="J698" i="23"/>
  <c r="K698" i="23"/>
  <c r="L698" i="23"/>
  <c r="N698" i="23"/>
  <c r="O698" i="23"/>
  <c r="P698" i="23"/>
  <c r="B699" i="23"/>
  <c r="E699" i="23" s="1"/>
  <c r="C699" i="23"/>
  <c r="D699" i="23"/>
  <c r="F699" i="23"/>
  <c r="G699" i="23"/>
  <c r="H699" i="23"/>
  <c r="J699" i="23"/>
  <c r="K699" i="23"/>
  <c r="L699" i="23"/>
  <c r="N699" i="23"/>
  <c r="O699" i="23"/>
  <c r="P699" i="23"/>
  <c r="B700" i="23"/>
  <c r="C700" i="23"/>
  <c r="D700" i="23"/>
  <c r="F700" i="23"/>
  <c r="G700" i="23"/>
  <c r="H700" i="23"/>
  <c r="J700" i="23"/>
  <c r="K700" i="23"/>
  <c r="L700" i="23"/>
  <c r="N700" i="23"/>
  <c r="O700" i="23"/>
  <c r="P700" i="23"/>
  <c r="B701" i="23"/>
  <c r="C701" i="23"/>
  <c r="D701" i="23"/>
  <c r="F701" i="23"/>
  <c r="G701" i="23"/>
  <c r="H701" i="23"/>
  <c r="J701" i="23"/>
  <c r="K701" i="23"/>
  <c r="L701" i="23"/>
  <c r="N701" i="23"/>
  <c r="O701" i="23"/>
  <c r="P701" i="23"/>
  <c r="B702" i="23"/>
  <c r="B15" i="23" s="1"/>
  <c r="C702" i="23"/>
  <c r="D702" i="23"/>
  <c r="F702" i="23"/>
  <c r="I702" i="23" s="1"/>
  <c r="G702" i="23"/>
  <c r="H702" i="23"/>
  <c r="J702" i="23"/>
  <c r="K702" i="23"/>
  <c r="L702" i="23"/>
  <c r="N702" i="23"/>
  <c r="O702" i="23"/>
  <c r="P702" i="23"/>
  <c r="B703" i="23"/>
  <c r="C703" i="23"/>
  <c r="D703" i="23"/>
  <c r="F703" i="23"/>
  <c r="G703" i="23"/>
  <c r="H703" i="23"/>
  <c r="J703" i="23"/>
  <c r="K703" i="23"/>
  <c r="L703" i="23"/>
  <c r="N703" i="23"/>
  <c r="O703" i="23"/>
  <c r="P703" i="23"/>
  <c r="C705" i="23"/>
  <c r="C726" i="23" s="1"/>
  <c r="N705" i="23"/>
  <c r="N726" i="23" s="1"/>
  <c r="Q708" i="23"/>
  <c r="A712" i="23"/>
  <c r="A714" i="23"/>
  <c r="Q730" i="23"/>
  <c r="F731" i="23"/>
  <c r="E734" i="23"/>
  <c r="F741" i="23"/>
  <c r="B766" i="23" s="1"/>
  <c r="G741" i="23"/>
  <c r="F742" i="23"/>
  <c r="F852" i="23" s="1"/>
  <c r="G742" i="23"/>
  <c r="G800" i="23" s="1"/>
  <c r="F743" i="23"/>
  <c r="B768" i="23" s="1"/>
  <c r="G743" i="23"/>
  <c r="F744" i="23"/>
  <c r="G744" i="23"/>
  <c r="G802" i="23" s="1"/>
  <c r="F745" i="23"/>
  <c r="B770" i="23" s="1"/>
  <c r="G745" i="23"/>
  <c r="G803" i="23" s="1"/>
  <c r="F746" i="23"/>
  <c r="F856" i="23" s="1"/>
  <c r="G746" i="23"/>
  <c r="G804" i="23" s="1"/>
  <c r="F747" i="23"/>
  <c r="F857" i="23" s="1"/>
  <c r="G747" i="23"/>
  <c r="G805" i="23" s="1"/>
  <c r="F748" i="23"/>
  <c r="G748" i="23"/>
  <c r="F749" i="23"/>
  <c r="C859" i="23" s="1"/>
  <c r="G749" i="23"/>
  <c r="G807" i="23" s="1"/>
  <c r="F750" i="23"/>
  <c r="C860" i="23" s="1"/>
  <c r="G750" i="23"/>
  <c r="G808" i="23" s="1"/>
  <c r="F751" i="23"/>
  <c r="Q861" i="23" s="1"/>
  <c r="G751" i="23"/>
  <c r="G809" i="23" s="1"/>
  <c r="F752" i="23"/>
  <c r="G752" i="23"/>
  <c r="G810" i="23" s="1"/>
  <c r="F754" i="23"/>
  <c r="L757" i="23"/>
  <c r="Q757" i="23"/>
  <c r="D758" i="23"/>
  <c r="C766" i="23"/>
  <c r="C767" i="23"/>
  <c r="C768" i="23"/>
  <c r="B769" i="23"/>
  <c r="C769" i="23"/>
  <c r="C770" i="23"/>
  <c r="C771" i="23"/>
  <c r="C772" i="23"/>
  <c r="B773" i="23"/>
  <c r="C773" i="23"/>
  <c r="C774" i="23"/>
  <c r="C775" i="23"/>
  <c r="C776" i="23"/>
  <c r="B777" i="23"/>
  <c r="M777" i="23" s="1"/>
  <c r="C777" i="23"/>
  <c r="Q788" i="23"/>
  <c r="F789" i="23"/>
  <c r="E792" i="23"/>
  <c r="F802" i="23"/>
  <c r="F804" i="23"/>
  <c r="F805" i="23"/>
  <c r="F806" i="23"/>
  <c r="F810" i="23"/>
  <c r="Q812" i="23"/>
  <c r="F813" i="23"/>
  <c r="E816" i="23"/>
  <c r="F826" i="23"/>
  <c r="F827" i="23"/>
  <c r="F828" i="23"/>
  <c r="G828" i="23"/>
  <c r="F829" i="23"/>
  <c r="F830" i="23"/>
  <c r="G830" i="23"/>
  <c r="G834" i="23"/>
  <c r="Q839" i="23"/>
  <c r="F841" i="23"/>
  <c r="Q841" i="23"/>
  <c r="E844" i="23"/>
  <c r="P844" i="23"/>
  <c r="E851" i="23"/>
  <c r="B852" i="23"/>
  <c r="Q852" i="23"/>
  <c r="B853" i="23"/>
  <c r="C853" i="23"/>
  <c r="D853" i="23"/>
  <c r="E853" i="23"/>
  <c r="B854" i="23"/>
  <c r="C854" i="23"/>
  <c r="D854" i="23"/>
  <c r="E854" i="23"/>
  <c r="F854" i="23"/>
  <c r="Q854" i="23"/>
  <c r="E855" i="23"/>
  <c r="B856" i="23"/>
  <c r="Q856" i="23"/>
  <c r="B857" i="23"/>
  <c r="C857" i="23"/>
  <c r="D857" i="23"/>
  <c r="E857" i="23"/>
  <c r="B858" i="23"/>
  <c r="C858" i="23"/>
  <c r="D858" i="23"/>
  <c r="E858" i="23"/>
  <c r="F858" i="23"/>
  <c r="Q858" i="23"/>
  <c r="E860" i="23"/>
  <c r="Q860" i="23"/>
  <c r="C861" i="23"/>
  <c r="E861" i="23"/>
  <c r="C862" i="23"/>
  <c r="E862" i="23"/>
  <c r="Q862" i="23"/>
  <c r="Q866" i="23"/>
  <c r="I867" i="23"/>
  <c r="H870" i="23"/>
  <c r="F877" i="23"/>
  <c r="G877" i="23"/>
  <c r="I877" i="23"/>
  <c r="J877" i="23"/>
  <c r="F878" i="23"/>
  <c r="G878" i="23"/>
  <c r="J878" i="23"/>
  <c r="M878" i="23" s="1"/>
  <c r="F879" i="23"/>
  <c r="H879" i="23" s="1"/>
  <c r="G879" i="23"/>
  <c r="J879" i="23"/>
  <c r="M879" i="23" s="1"/>
  <c r="F880" i="23"/>
  <c r="G880" i="23"/>
  <c r="J880" i="23"/>
  <c r="M880" i="23" s="1"/>
  <c r="F881" i="23"/>
  <c r="G881" i="23"/>
  <c r="J881" i="23"/>
  <c r="M881" i="23" s="1"/>
  <c r="F882" i="23"/>
  <c r="G882" i="23"/>
  <c r="J882" i="23"/>
  <c r="M882" i="23" s="1"/>
  <c r="F883" i="23"/>
  <c r="G883" i="23"/>
  <c r="H883" i="23" s="1"/>
  <c r="J883" i="23"/>
  <c r="M883" i="23" s="1"/>
  <c r="F884" i="23"/>
  <c r="G884" i="23"/>
  <c r="J884" i="23"/>
  <c r="M884" i="23"/>
  <c r="F885" i="23"/>
  <c r="G885" i="23"/>
  <c r="J885" i="23"/>
  <c r="M885" i="23" s="1"/>
  <c r="E886" i="23"/>
  <c r="F886" i="23"/>
  <c r="H886" i="23" s="1"/>
  <c r="G886" i="23"/>
  <c r="J886" i="23"/>
  <c r="M886" i="23" s="1"/>
  <c r="F887" i="23"/>
  <c r="G887" i="23"/>
  <c r="J887" i="23"/>
  <c r="M887" i="23" s="1"/>
  <c r="E888" i="23"/>
  <c r="I777" i="23" s="1"/>
  <c r="F888" i="23"/>
  <c r="G888" i="23"/>
  <c r="J888" i="23"/>
  <c r="M888" i="23" s="1"/>
  <c r="Q900" i="23"/>
  <c r="J901" i="23"/>
  <c r="I904" i="23"/>
  <c r="C907" i="23"/>
  <c r="K907" i="23"/>
  <c r="O907" i="23"/>
  <c r="G908" i="23"/>
  <c r="I914" i="23"/>
  <c r="M914" i="23"/>
  <c r="Q914" i="23"/>
  <c r="G915" i="23"/>
  <c r="I915" i="23" s="1"/>
  <c r="M915" i="23"/>
  <c r="Q915" i="23"/>
  <c r="G916" i="23"/>
  <c r="I879" i="23" s="1"/>
  <c r="M916" i="23"/>
  <c r="Q916" i="23"/>
  <c r="G917" i="23"/>
  <c r="M917" i="23"/>
  <c r="Q917" i="23"/>
  <c r="G918" i="23"/>
  <c r="I881" i="23" s="1"/>
  <c r="M918" i="23"/>
  <c r="Q918" i="23"/>
  <c r="G919" i="23"/>
  <c r="I919" i="23" s="1"/>
  <c r="M919" i="23"/>
  <c r="Q919" i="23"/>
  <c r="G920" i="23"/>
  <c r="I920" i="23" s="1"/>
  <c r="M920" i="23"/>
  <c r="Q920" i="23"/>
  <c r="M921" i="23"/>
  <c r="Q921" i="23"/>
  <c r="M922" i="23"/>
  <c r="Q922" i="23"/>
  <c r="M923" i="23"/>
  <c r="Q923" i="23"/>
  <c r="M924" i="23"/>
  <c r="Q924" i="23"/>
  <c r="M925" i="23"/>
  <c r="Q925" i="23"/>
  <c r="K928" i="23"/>
  <c r="F890" i="23" s="1"/>
  <c r="O928" i="23"/>
  <c r="G890" i="23" s="1"/>
  <c r="R1" i="21"/>
  <c r="R747" i="21" s="1"/>
  <c r="B16" i="21"/>
  <c r="C16" i="21"/>
  <c r="D16" i="21"/>
  <c r="F16" i="21"/>
  <c r="G16" i="21"/>
  <c r="H16" i="21"/>
  <c r="J16" i="21"/>
  <c r="K16" i="21"/>
  <c r="L16" i="21"/>
  <c r="N16" i="21"/>
  <c r="O16" i="21"/>
  <c r="P16" i="21"/>
  <c r="B17" i="21"/>
  <c r="C17" i="21"/>
  <c r="D17" i="21"/>
  <c r="F17" i="21"/>
  <c r="G17" i="21"/>
  <c r="H17" i="21"/>
  <c r="J17" i="21"/>
  <c r="K17" i="21"/>
  <c r="L17" i="21"/>
  <c r="N17" i="21"/>
  <c r="O17" i="21"/>
  <c r="P17" i="21"/>
  <c r="B18" i="21"/>
  <c r="C18" i="21"/>
  <c r="D18" i="21"/>
  <c r="F18" i="21"/>
  <c r="G18" i="21"/>
  <c r="H18" i="21"/>
  <c r="J18" i="21"/>
  <c r="K18" i="21"/>
  <c r="L18" i="21"/>
  <c r="N18" i="21"/>
  <c r="O18" i="21"/>
  <c r="P18" i="21"/>
  <c r="B19" i="21"/>
  <c r="C19" i="21"/>
  <c r="D19" i="21"/>
  <c r="F19" i="21"/>
  <c r="G19" i="21"/>
  <c r="H19" i="21"/>
  <c r="J19" i="21"/>
  <c r="K19" i="21"/>
  <c r="L19" i="21"/>
  <c r="N19" i="21"/>
  <c r="O19" i="21"/>
  <c r="P19" i="21"/>
  <c r="B20" i="21"/>
  <c r="C20" i="21"/>
  <c r="D20" i="21"/>
  <c r="F20" i="21"/>
  <c r="G20" i="21"/>
  <c r="H20" i="21"/>
  <c r="J20" i="21"/>
  <c r="K20" i="21"/>
  <c r="L20" i="21"/>
  <c r="N20" i="21"/>
  <c r="O20" i="21"/>
  <c r="P20" i="21"/>
  <c r="B21" i="21"/>
  <c r="C21" i="21"/>
  <c r="D21" i="21"/>
  <c r="F21" i="21"/>
  <c r="G21" i="21"/>
  <c r="H21" i="21"/>
  <c r="J21" i="21"/>
  <c r="K21" i="21"/>
  <c r="L21" i="21"/>
  <c r="N21" i="21"/>
  <c r="O21" i="21"/>
  <c r="P21" i="21"/>
  <c r="E23" i="21"/>
  <c r="I23" i="21"/>
  <c r="M23" i="21"/>
  <c r="Q23" i="21"/>
  <c r="E28" i="21"/>
  <c r="I28" i="21"/>
  <c r="M28" i="21"/>
  <c r="Q28" i="21"/>
  <c r="B30" i="21"/>
  <c r="B31" i="21" s="1"/>
  <c r="C30" i="21"/>
  <c r="D30" i="21"/>
  <c r="D31" i="21" s="1"/>
  <c r="F30" i="21"/>
  <c r="F31" i="21" s="1"/>
  <c r="G30" i="21"/>
  <c r="H30" i="21"/>
  <c r="J30" i="21"/>
  <c r="K30" i="21"/>
  <c r="K31" i="21" s="1"/>
  <c r="L30" i="21"/>
  <c r="L31" i="21" s="1"/>
  <c r="N30" i="21"/>
  <c r="O30" i="21"/>
  <c r="P30" i="21"/>
  <c r="P31" i="21" s="1"/>
  <c r="H31" i="21"/>
  <c r="B43" i="21"/>
  <c r="C43" i="21"/>
  <c r="D43" i="21"/>
  <c r="F43" i="21"/>
  <c r="G43" i="21"/>
  <c r="H43" i="21"/>
  <c r="J43" i="21"/>
  <c r="K43" i="21"/>
  <c r="L43" i="21"/>
  <c r="N43" i="21"/>
  <c r="O43" i="21"/>
  <c r="P43" i="21"/>
  <c r="B48" i="21"/>
  <c r="C48" i="21"/>
  <c r="D48" i="21"/>
  <c r="F48" i="21"/>
  <c r="G48" i="21"/>
  <c r="H48" i="21"/>
  <c r="J48" i="21"/>
  <c r="K48" i="21"/>
  <c r="L48" i="21"/>
  <c r="N48" i="21"/>
  <c r="O48" i="21"/>
  <c r="P48" i="21"/>
  <c r="B52" i="21"/>
  <c r="C52" i="21"/>
  <c r="D52" i="21"/>
  <c r="F52" i="21"/>
  <c r="G52" i="21"/>
  <c r="H52" i="21"/>
  <c r="J52" i="21"/>
  <c r="K52" i="21"/>
  <c r="L52" i="21"/>
  <c r="N52" i="21"/>
  <c r="O52" i="21"/>
  <c r="P52" i="21"/>
  <c r="E55" i="21"/>
  <c r="I55" i="21"/>
  <c r="M55" i="21"/>
  <c r="Q55" i="21"/>
  <c r="E57" i="21"/>
  <c r="I57" i="21"/>
  <c r="M57" i="21"/>
  <c r="Q57" i="21"/>
  <c r="B60" i="21"/>
  <c r="C60" i="21"/>
  <c r="D60" i="21"/>
  <c r="F60" i="21"/>
  <c r="G60" i="21"/>
  <c r="H60" i="21"/>
  <c r="J60" i="21"/>
  <c r="K60" i="21"/>
  <c r="L60" i="21"/>
  <c r="N60" i="21"/>
  <c r="O60" i="21"/>
  <c r="P60" i="21"/>
  <c r="B61" i="21"/>
  <c r="C61" i="21"/>
  <c r="D61" i="21"/>
  <c r="F61" i="21"/>
  <c r="G61" i="21"/>
  <c r="H61" i="21"/>
  <c r="J61" i="21"/>
  <c r="K61" i="21"/>
  <c r="L61" i="21"/>
  <c r="N61" i="21"/>
  <c r="O61" i="21"/>
  <c r="P61" i="21"/>
  <c r="E63" i="21"/>
  <c r="I63" i="21"/>
  <c r="M63" i="21"/>
  <c r="Q63" i="21"/>
  <c r="E75" i="21"/>
  <c r="I75" i="21"/>
  <c r="M75" i="21"/>
  <c r="Q75" i="21"/>
  <c r="E76" i="21"/>
  <c r="I76" i="21"/>
  <c r="M76" i="21"/>
  <c r="Q76" i="21"/>
  <c r="E77" i="21"/>
  <c r="I77" i="21"/>
  <c r="M77" i="21"/>
  <c r="Q77" i="21"/>
  <c r="E78" i="21"/>
  <c r="I78" i="21"/>
  <c r="M78" i="21"/>
  <c r="Q78" i="21"/>
  <c r="E80" i="21"/>
  <c r="I80" i="21"/>
  <c r="M80" i="21"/>
  <c r="Q80" i="21"/>
  <c r="E81" i="21"/>
  <c r="I81" i="21"/>
  <c r="M81" i="21"/>
  <c r="Q81" i="21"/>
  <c r="E82" i="21"/>
  <c r="I82" i="21"/>
  <c r="M82" i="21"/>
  <c r="Q82" i="21"/>
  <c r="E83" i="21"/>
  <c r="I83" i="21"/>
  <c r="M83" i="21"/>
  <c r="Q83" i="21"/>
  <c r="E84" i="21"/>
  <c r="I84" i="21"/>
  <c r="M84" i="21"/>
  <c r="Q84" i="21"/>
  <c r="E86" i="21"/>
  <c r="I86" i="21"/>
  <c r="M86" i="21"/>
  <c r="Q86" i="21"/>
  <c r="E87" i="21"/>
  <c r="I87" i="21"/>
  <c r="M87" i="21"/>
  <c r="Q87" i="21"/>
  <c r="B89" i="21"/>
  <c r="C89" i="21"/>
  <c r="D89" i="21"/>
  <c r="F89" i="21"/>
  <c r="G89" i="21"/>
  <c r="H89" i="21"/>
  <c r="J89" i="21"/>
  <c r="K89" i="21"/>
  <c r="L89" i="21"/>
  <c r="N89" i="21"/>
  <c r="O89" i="21"/>
  <c r="P89" i="21"/>
  <c r="E93" i="21"/>
  <c r="I93" i="21"/>
  <c r="M93" i="21"/>
  <c r="Q93" i="21"/>
  <c r="E94" i="21"/>
  <c r="I94" i="21"/>
  <c r="M94" i="21"/>
  <c r="Q94" i="21"/>
  <c r="B96" i="21"/>
  <c r="C96" i="21"/>
  <c r="D96" i="21"/>
  <c r="F96" i="21"/>
  <c r="G96" i="21"/>
  <c r="H96" i="21"/>
  <c r="J96" i="21"/>
  <c r="K96" i="21"/>
  <c r="L96" i="21"/>
  <c r="N96" i="21"/>
  <c r="O96" i="21"/>
  <c r="P96" i="21"/>
  <c r="E100" i="21"/>
  <c r="I100" i="21"/>
  <c r="M100" i="21"/>
  <c r="Q100" i="21"/>
  <c r="E101" i="21"/>
  <c r="I101" i="21"/>
  <c r="M101" i="21"/>
  <c r="Q101" i="21"/>
  <c r="E102" i="21"/>
  <c r="I102" i="21"/>
  <c r="M102" i="21"/>
  <c r="Q102" i="21"/>
  <c r="E103" i="21"/>
  <c r="I103" i="21"/>
  <c r="M103" i="21"/>
  <c r="Q103" i="21"/>
  <c r="E104" i="21"/>
  <c r="I104" i="21"/>
  <c r="R104" i="21" s="1"/>
  <c r="M104" i="21"/>
  <c r="Q104" i="21"/>
  <c r="E105" i="21"/>
  <c r="I105" i="21"/>
  <c r="M105" i="21"/>
  <c r="Q105" i="21"/>
  <c r="E106" i="21"/>
  <c r="I106" i="21"/>
  <c r="M106" i="21"/>
  <c r="Q106" i="21"/>
  <c r="E107" i="21"/>
  <c r="I107" i="21"/>
  <c r="M107" i="21"/>
  <c r="Q107" i="21"/>
  <c r="B108" i="21"/>
  <c r="C108" i="21"/>
  <c r="D108" i="21"/>
  <c r="F108" i="21"/>
  <c r="G108" i="21"/>
  <c r="H108" i="21"/>
  <c r="J108" i="21"/>
  <c r="K108" i="21"/>
  <c r="L108" i="21"/>
  <c r="N108" i="21"/>
  <c r="O108" i="21"/>
  <c r="P108" i="21"/>
  <c r="E111" i="21"/>
  <c r="I111" i="21"/>
  <c r="M111" i="21"/>
  <c r="Q111" i="21"/>
  <c r="E112" i="21"/>
  <c r="I112" i="21"/>
  <c r="M112" i="21"/>
  <c r="Q112" i="21"/>
  <c r="E113" i="21"/>
  <c r="I113" i="21"/>
  <c r="M113" i="21"/>
  <c r="Q113" i="21"/>
  <c r="E114" i="21"/>
  <c r="I114" i="21"/>
  <c r="M114" i="21"/>
  <c r="Q114" i="21"/>
  <c r="E115" i="21"/>
  <c r="I115" i="21"/>
  <c r="M115" i="21"/>
  <c r="Q115" i="21"/>
  <c r="E116" i="21"/>
  <c r="I116" i="21"/>
  <c r="M116" i="21"/>
  <c r="Q116" i="21"/>
  <c r="E117" i="21"/>
  <c r="I117" i="21"/>
  <c r="M117" i="21"/>
  <c r="Q117" i="21"/>
  <c r="E118" i="21"/>
  <c r="I118" i="21"/>
  <c r="M118" i="21"/>
  <c r="Q118" i="21"/>
  <c r="E120" i="21"/>
  <c r="I120" i="21"/>
  <c r="M120" i="21"/>
  <c r="Q120" i="21"/>
  <c r="E121" i="21"/>
  <c r="I121" i="21"/>
  <c r="M121" i="21"/>
  <c r="Q121" i="21"/>
  <c r="E123" i="21"/>
  <c r="I123" i="21"/>
  <c r="M123" i="21"/>
  <c r="Q123" i="21"/>
  <c r="E125" i="21"/>
  <c r="I125" i="21"/>
  <c r="M125" i="21"/>
  <c r="Q125" i="21"/>
  <c r="B126" i="21"/>
  <c r="C126" i="21"/>
  <c r="D126" i="21"/>
  <c r="F126" i="21"/>
  <c r="G126" i="21"/>
  <c r="H126" i="21"/>
  <c r="J126" i="21"/>
  <c r="K126" i="21"/>
  <c r="L126" i="21"/>
  <c r="N126" i="21"/>
  <c r="O126" i="21"/>
  <c r="P126" i="21"/>
  <c r="B127" i="21"/>
  <c r="C127" i="21"/>
  <c r="D127" i="21"/>
  <c r="F127" i="21"/>
  <c r="G127" i="21"/>
  <c r="H127" i="21"/>
  <c r="J127" i="21"/>
  <c r="K127" i="21"/>
  <c r="L127" i="21"/>
  <c r="N127" i="21"/>
  <c r="O127" i="21"/>
  <c r="P127" i="21"/>
  <c r="E129" i="21"/>
  <c r="I129" i="21"/>
  <c r="M129" i="21"/>
  <c r="Q129" i="21"/>
  <c r="E141" i="21"/>
  <c r="I141" i="21"/>
  <c r="M141" i="21"/>
  <c r="Q141" i="21"/>
  <c r="E142" i="21"/>
  <c r="I142" i="21"/>
  <c r="M142" i="21"/>
  <c r="Q142" i="21"/>
  <c r="E143" i="21"/>
  <c r="I143" i="21"/>
  <c r="M143" i="21"/>
  <c r="Q143" i="21"/>
  <c r="E144" i="21"/>
  <c r="I144" i="21"/>
  <c r="M144" i="21"/>
  <c r="Q144" i="21"/>
  <c r="E145" i="21"/>
  <c r="I145" i="21"/>
  <c r="M145" i="21"/>
  <c r="Q145" i="21"/>
  <c r="E146" i="21"/>
  <c r="I146" i="21"/>
  <c r="M146" i="21"/>
  <c r="Q146" i="21"/>
  <c r="E147" i="21"/>
  <c r="I147" i="21"/>
  <c r="M147" i="21"/>
  <c r="Q147" i="21"/>
  <c r="E148" i="21"/>
  <c r="I148" i="21"/>
  <c r="M148" i="21"/>
  <c r="Q148" i="21"/>
  <c r="E149" i="21"/>
  <c r="I149" i="21"/>
  <c r="M149" i="21"/>
  <c r="Q149" i="21"/>
  <c r="E150" i="21"/>
  <c r="I150" i="21"/>
  <c r="M150" i="21"/>
  <c r="Q150" i="21"/>
  <c r="E151" i="21"/>
  <c r="I151" i="21"/>
  <c r="M151" i="21"/>
  <c r="Q151" i="21"/>
  <c r="E152" i="21"/>
  <c r="I152" i="21"/>
  <c r="M152" i="21"/>
  <c r="Q152" i="21"/>
  <c r="E153" i="21"/>
  <c r="I153" i="21"/>
  <c r="M153" i="21"/>
  <c r="Q153" i="21"/>
  <c r="E154" i="21"/>
  <c r="I154" i="21"/>
  <c r="M154" i="21"/>
  <c r="Q154" i="21"/>
  <c r="E155" i="21"/>
  <c r="I155" i="21"/>
  <c r="M155" i="21"/>
  <c r="Q155" i="21"/>
  <c r="E156" i="21"/>
  <c r="I156" i="21"/>
  <c r="M156" i="21"/>
  <c r="Q156" i="21"/>
  <c r="E157" i="21"/>
  <c r="I157" i="21"/>
  <c r="M157" i="21"/>
  <c r="Q157" i="21"/>
  <c r="E158" i="21"/>
  <c r="I158" i="21"/>
  <c r="R158" i="21" s="1"/>
  <c r="M158" i="21"/>
  <c r="Q158" i="21"/>
  <c r="E160" i="21"/>
  <c r="I160" i="21"/>
  <c r="M160" i="21"/>
  <c r="Q160" i="21"/>
  <c r="E161" i="21"/>
  <c r="I161" i="21"/>
  <c r="M161" i="21"/>
  <c r="Q161" i="21"/>
  <c r="E162" i="21"/>
  <c r="I162" i="21"/>
  <c r="M162" i="21"/>
  <c r="Q162" i="21"/>
  <c r="E163" i="21"/>
  <c r="I163" i="21"/>
  <c r="M163" i="21"/>
  <c r="Q163" i="21"/>
  <c r="E164" i="21"/>
  <c r="I164" i="21"/>
  <c r="M164" i="21"/>
  <c r="Q164" i="21"/>
  <c r="E165" i="21"/>
  <c r="I165" i="21"/>
  <c r="M165" i="21"/>
  <c r="Q165" i="21"/>
  <c r="E166" i="21"/>
  <c r="I166" i="21"/>
  <c r="M166" i="21"/>
  <c r="Q166" i="21"/>
  <c r="E167" i="21"/>
  <c r="I167" i="21"/>
  <c r="M167" i="21"/>
  <c r="Q167" i="21"/>
  <c r="E168" i="21"/>
  <c r="I168" i="21"/>
  <c r="M168" i="21"/>
  <c r="Q168" i="21"/>
  <c r="E169" i="21"/>
  <c r="I169" i="21"/>
  <c r="M169" i="21"/>
  <c r="Q169" i="21"/>
  <c r="E170" i="21"/>
  <c r="I170" i="21"/>
  <c r="M170" i="21"/>
  <c r="Q170" i="21"/>
  <c r="E172" i="21"/>
  <c r="I172" i="21"/>
  <c r="M172" i="21"/>
  <c r="Q172" i="21"/>
  <c r="E173" i="21"/>
  <c r="I173" i="21"/>
  <c r="M173" i="21"/>
  <c r="Q173" i="21"/>
  <c r="E174" i="21"/>
  <c r="I174" i="21"/>
  <c r="M174" i="21"/>
  <c r="Q174" i="21"/>
  <c r="B176" i="21"/>
  <c r="C176" i="21"/>
  <c r="D176" i="21"/>
  <c r="F176" i="21"/>
  <c r="G176" i="21"/>
  <c r="H176" i="21"/>
  <c r="J176" i="21"/>
  <c r="K176" i="21"/>
  <c r="L176" i="21"/>
  <c r="N176" i="21"/>
  <c r="O176" i="21"/>
  <c r="P176" i="21"/>
  <c r="E180" i="21"/>
  <c r="I180" i="21"/>
  <c r="M180" i="21"/>
  <c r="Q180" i="21"/>
  <c r="E181" i="21"/>
  <c r="I181" i="21"/>
  <c r="M181" i="21"/>
  <c r="Q181" i="21"/>
  <c r="B183" i="21"/>
  <c r="C183" i="21"/>
  <c r="D183" i="21"/>
  <c r="F183" i="21"/>
  <c r="G183" i="21"/>
  <c r="H183" i="21"/>
  <c r="J183" i="21"/>
  <c r="K183" i="21"/>
  <c r="L183" i="21"/>
  <c r="N183" i="21"/>
  <c r="O183" i="21"/>
  <c r="P183" i="21"/>
  <c r="E187" i="21"/>
  <c r="I187" i="21"/>
  <c r="M187" i="21"/>
  <c r="Q187" i="21"/>
  <c r="E188" i="21"/>
  <c r="I188" i="21"/>
  <c r="M188" i="21"/>
  <c r="Q188" i="21"/>
  <c r="E189" i="21"/>
  <c r="I189" i="21"/>
  <c r="M189" i="21"/>
  <c r="Q189" i="21"/>
  <c r="E190" i="21"/>
  <c r="I190" i="21"/>
  <c r="M190" i="21"/>
  <c r="Q190" i="21"/>
  <c r="E191" i="21"/>
  <c r="I191" i="21"/>
  <c r="M191" i="21"/>
  <c r="Q191" i="21"/>
  <c r="E192" i="21"/>
  <c r="I192" i="21"/>
  <c r="M192" i="21"/>
  <c r="Q192" i="21"/>
  <c r="E193" i="21"/>
  <c r="I193" i="21"/>
  <c r="M193" i="21"/>
  <c r="Q193" i="21"/>
  <c r="E194" i="21"/>
  <c r="I194" i="21"/>
  <c r="M194" i="21"/>
  <c r="Q194" i="21"/>
  <c r="E195" i="21"/>
  <c r="I195" i="21"/>
  <c r="M195" i="21"/>
  <c r="Q195" i="21"/>
  <c r="E196" i="21"/>
  <c r="I196" i="21"/>
  <c r="M196" i="21"/>
  <c r="Q196" i="21"/>
  <c r="E197" i="21"/>
  <c r="I197" i="21"/>
  <c r="M197" i="21"/>
  <c r="Q197" i="21"/>
  <c r="E198" i="21"/>
  <c r="I198" i="21"/>
  <c r="M198" i="21"/>
  <c r="Q198" i="21"/>
  <c r="E199" i="21"/>
  <c r="I199" i="21"/>
  <c r="M199" i="21"/>
  <c r="Q199" i="21"/>
  <c r="E200" i="21"/>
  <c r="I200" i="21"/>
  <c r="M200" i="21"/>
  <c r="Q200" i="21"/>
  <c r="E201" i="21"/>
  <c r="I201" i="21"/>
  <c r="M201" i="21"/>
  <c r="Q201" i="21"/>
  <c r="E202" i="21"/>
  <c r="I202" i="21"/>
  <c r="M202" i="21"/>
  <c r="Q202" i="21"/>
  <c r="E203" i="21"/>
  <c r="I203" i="21"/>
  <c r="M203" i="21"/>
  <c r="Q203" i="21"/>
  <c r="E204" i="21"/>
  <c r="I204" i="21"/>
  <c r="M204" i="21"/>
  <c r="Q204" i="21"/>
  <c r="E205" i="21"/>
  <c r="I205" i="21"/>
  <c r="M205" i="21"/>
  <c r="Q205" i="21"/>
  <c r="E206" i="21"/>
  <c r="I206" i="21"/>
  <c r="M206" i="21"/>
  <c r="Q206" i="21"/>
  <c r="E207" i="21"/>
  <c r="I207" i="21"/>
  <c r="M207" i="21"/>
  <c r="Q207" i="21"/>
  <c r="E208" i="21"/>
  <c r="I208" i="21"/>
  <c r="M208" i="21"/>
  <c r="Q208" i="21"/>
  <c r="E209" i="21"/>
  <c r="I209" i="21"/>
  <c r="M209" i="21"/>
  <c r="Q209" i="21"/>
  <c r="E210" i="21"/>
  <c r="I210" i="21"/>
  <c r="M210" i="21"/>
  <c r="Q210" i="21"/>
  <c r="E211" i="21"/>
  <c r="I211" i="21"/>
  <c r="M211" i="21"/>
  <c r="Q211" i="21"/>
  <c r="E212" i="21"/>
  <c r="I212" i="21"/>
  <c r="M212" i="21"/>
  <c r="Q212" i="21"/>
  <c r="E213" i="21"/>
  <c r="I213" i="21"/>
  <c r="M213" i="21"/>
  <c r="Q213" i="21"/>
  <c r="E214" i="21"/>
  <c r="I214" i="21"/>
  <c r="M214" i="21"/>
  <c r="Q214" i="21"/>
  <c r="E215" i="21"/>
  <c r="I215" i="21"/>
  <c r="M215" i="21"/>
  <c r="Q215" i="21"/>
  <c r="E216" i="21"/>
  <c r="I216" i="21"/>
  <c r="M216" i="21"/>
  <c r="Q216" i="21"/>
  <c r="E217" i="21"/>
  <c r="I217" i="21"/>
  <c r="M217" i="21"/>
  <c r="Q217" i="21"/>
  <c r="E218" i="21"/>
  <c r="I218" i="21"/>
  <c r="M218" i="21"/>
  <c r="Q218" i="21"/>
  <c r="E219" i="21"/>
  <c r="I219" i="21"/>
  <c r="M219" i="21"/>
  <c r="Q219" i="21"/>
  <c r="E220" i="21"/>
  <c r="I220" i="21"/>
  <c r="M220" i="21"/>
  <c r="Q220" i="21"/>
  <c r="B221" i="21"/>
  <c r="C221" i="21"/>
  <c r="D221" i="21"/>
  <c r="F221" i="21"/>
  <c r="G221" i="21"/>
  <c r="H221" i="21"/>
  <c r="J221" i="21"/>
  <c r="K221" i="21"/>
  <c r="L221" i="21"/>
  <c r="N221" i="21"/>
  <c r="O221" i="21"/>
  <c r="P221" i="21"/>
  <c r="E224" i="21"/>
  <c r="I224" i="21"/>
  <c r="M224" i="21"/>
  <c r="Q224" i="21"/>
  <c r="E225" i="21"/>
  <c r="I225" i="21"/>
  <c r="M225" i="21"/>
  <c r="Q225" i="21"/>
  <c r="E226" i="21"/>
  <c r="I226" i="21"/>
  <c r="M226" i="21"/>
  <c r="Q226" i="21"/>
  <c r="E227" i="21"/>
  <c r="I227" i="21"/>
  <c r="M227" i="21"/>
  <c r="Q227" i="21"/>
  <c r="E228" i="21"/>
  <c r="I228" i="21"/>
  <c r="M228" i="21"/>
  <c r="Q228" i="21"/>
  <c r="E229" i="21"/>
  <c r="I229" i="21"/>
  <c r="M229" i="21"/>
  <c r="Q229" i="21"/>
  <c r="E231" i="21"/>
  <c r="I231" i="21"/>
  <c r="M231" i="21"/>
  <c r="Q231" i="21"/>
  <c r="E232" i="21"/>
  <c r="I232" i="21"/>
  <c r="M232" i="21"/>
  <c r="Q232" i="21"/>
  <c r="E233" i="21"/>
  <c r="I233" i="21"/>
  <c r="M233" i="21"/>
  <c r="Q233" i="21"/>
  <c r="E234" i="21"/>
  <c r="I234" i="21"/>
  <c r="M234" i="21"/>
  <c r="Q234" i="21"/>
  <c r="E235" i="21"/>
  <c r="I235" i="21"/>
  <c r="M235" i="21"/>
  <c r="Q235" i="21"/>
  <c r="E236" i="21"/>
  <c r="I236" i="21"/>
  <c r="M236" i="21"/>
  <c r="Q236" i="21"/>
  <c r="E237" i="21"/>
  <c r="I237" i="21"/>
  <c r="M237" i="21"/>
  <c r="Q237" i="21"/>
  <c r="E238" i="21"/>
  <c r="I238" i="21"/>
  <c r="M238" i="21"/>
  <c r="Q238" i="21"/>
  <c r="E240" i="21"/>
  <c r="I240" i="21"/>
  <c r="M240" i="21"/>
  <c r="Q240" i="21"/>
  <c r="E241" i="21"/>
  <c r="I241" i="21"/>
  <c r="M241" i="21"/>
  <c r="Q241" i="21"/>
  <c r="E242" i="21"/>
  <c r="I242" i="21"/>
  <c r="M242" i="21"/>
  <c r="Q242" i="21"/>
  <c r="B244" i="21"/>
  <c r="C244" i="21"/>
  <c r="D244" i="21"/>
  <c r="F244" i="21"/>
  <c r="G244" i="21"/>
  <c r="H244" i="21"/>
  <c r="J244" i="21"/>
  <c r="K244" i="21"/>
  <c r="L244" i="21"/>
  <c r="N244" i="21"/>
  <c r="O244" i="21"/>
  <c r="P244" i="21"/>
  <c r="B245" i="21"/>
  <c r="C245" i="21"/>
  <c r="D245" i="21"/>
  <c r="F245" i="21"/>
  <c r="G245" i="21"/>
  <c r="H245" i="21"/>
  <c r="J245" i="21"/>
  <c r="K245" i="21"/>
  <c r="L245" i="21"/>
  <c r="N245" i="21"/>
  <c r="O245" i="21"/>
  <c r="P245" i="21"/>
  <c r="E247" i="21"/>
  <c r="I247" i="21"/>
  <c r="M247" i="21"/>
  <c r="Q247" i="21"/>
  <c r="E248" i="21"/>
  <c r="I248" i="21"/>
  <c r="M248" i="21"/>
  <c r="Q248" i="21"/>
  <c r="E249" i="21"/>
  <c r="I249" i="21"/>
  <c r="M249" i="21"/>
  <c r="Q249" i="21"/>
  <c r="E250" i="21"/>
  <c r="I250" i="21"/>
  <c r="R250" i="21" s="1"/>
  <c r="M250" i="21"/>
  <c r="Q250" i="21"/>
  <c r="E251" i="21"/>
  <c r="I251" i="21"/>
  <c r="M251" i="21"/>
  <c r="Q251" i="21"/>
  <c r="E252" i="21"/>
  <c r="I252" i="21"/>
  <c r="M252" i="21"/>
  <c r="Q252" i="21"/>
  <c r="E263" i="21"/>
  <c r="I263" i="21"/>
  <c r="M263" i="21"/>
  <c r="Q263" i="21"/>
  <c r="B265" i="21"/>
  <c r="C265" i="21"/>
  <c r="C266" i="21" s="1"/>
  <c r="N784" i="21" s="1"/>
  <c r="D265" i="21"/>
  <c r="D266" i="21" s="1"/>
  <c r="F265" i="21"/>
  <c r="F266" i="21" s="1"/>
  <c r="N786" i="21" s="1"/>
  <c r="G265" i="21"/>
  <c r="H265" i="21"/>
  <c r="H266" i="21" s="1"/>
  <c r="N788" i="21" s="1"/>
  <c r="J265" i="21"/>
  <c r="K265" i="21"/>
  <c r="L265" i="21"/>
  <c r="L266" i="21" s="1"/>
  <c r="N791" i="21" s="1"/>
  <c r="N265" i="21"/>
  <c r="N266" i="21" s="1"/>
  <c r="N792" i="21" s="1"/>
  <c r="O265" i="21"/>
  <c r="P265" i="21"/>
  <c r="P266" i="21" s="1"/>
  <c r="N794" i="21" s="1"/>
  <c r="B266" i="21"/>
  <c r="N783" i="21" s="1"/>
  <c r="J266" i="21"/>
  <c r="E273" i="21"/>
  <c r="I273" i="21"/>
  <c r="M273" i="21"/>
  <c r="Q273" i="21"/>
  <c r="E274" i="21"/>
  <c r="I274" i="21"/>
  <c r="M274" i="21"/>
  <c r="Q274" i="21"/>
  <c r="E275" i="21"/>
  <c r="I275" i="21"/>
  <c r="M275" i="21"/>
  <c r="Q275" i="21"/>
  <c r="E276" i="21"/>
  <c r="I276" i="21"/>
  <c r="M276" i="21"/>
  <c r="Q276" i="21"/>
  <c r="E277" i="21"/>
  <c r="I277" i="21"/>
  <c r="M277" i="21"/>
  <c r="Q277" i="21"/>
  <c r="E278" i="21"/>
  <c r="I278" i="21"/>
  <c r="M278" i="21"/>
  <c r="Q278" i="21"/>
  <c r="E279" i="21"/>
  <c r="I279" i="21"/>
  <c r="M279" i="21"/>
  <c r="Q279" i="21"/>
  <c r="E280" i="21"/>
  <c r="I280" i="21"/>
  <c r="M280" i="21"/>
  <c r="Q280" i="21"/>
  <c r="E281" i="21"/>
  <c r="I281" i="21"/>
  <c r="M281" i="21"/>
  <c r="Q281" i="21"/>
  <c r="E282" i="21"/>
  <c r="I282" i="21"/>
  <c r="M282" i="21"/>
  <c r="Q282" i="21"/>
  <c r="E283" i="21"/>
  <c r="I283" i="21"/>
  <c r="M283" i="21"/>
  <c r="R283" i="21" s="1"/>
  <c r="Q283" i="21"/>
  <c r="E285" i="21"/>
  <c r="I285" i="21"/>
  <c r="M285" i="21"/>
  <c r="Q285" i="21"/>
  <c r="E286" i="21"/>
  <c r="I286" i="21"/>
  <c r="M286" i="21"/>
  <c r="Q286" i="21"/>
  <c r="E287" i="21"/>
  <c r="I287" i="21"/>
  <c r="M287" i="21"/>
  <c r="Q287" i="21"/>
  <c r="E288" i="21"/>
  <c r="I288" i="21"/>
  <c r="M288" i="21"/>
  <c r="Q288" i="21"/>
  <c r="E289" i="21"/>
  <c r="I289" i="21"/>
  <c r="M289" i="21"/>
  <c r="Q289" i="21"/>
  <c r="E290" i="21"/>
  <c r="I290" i="21"/>
  <c r="M290" i="21"/>
  <c r="R290" i="21" s="1"/>
  <c r="Q290" i="21"/>
  <c r="E291" i="21"/>
  <c r="I291" i="21"/>
  <c r="M291" i="21"/>
  <c r="Q291" i="21"/>
  <c r="E292" i="21"/>
  <c r="I292" i="21"/>
  <c r="M292" i="21"/>
  <c r="Q292" i="21"/>
  <c r="E293" i="21"/>
  <c r="I293" i="21"/>
  <c r="M293" i="21"/>
  <c r="Q293" i="21"/>
  <c r="E294" i="21"/>
  <c r="I294" i="21"/>
  <c r="M294" i="21"/>
  <c r="Q294" i="21"/>
  <c r="E295" i="21"/>
  <c r="I295" i="21"/>
  <c r="M295" i="21"/>
  <c r="Q295" i="21"/>
  <c r="E296" i="21"/>
  <c r="I296" i="21"/>
  <c r="M296" i="21"/>
  <c r="Q296" i="21"/>
  <c r="E297" i="21"/>
  <c r="I297" i="21"/>
  <c r="M297" i="21"/>
  <c r="Q297" i="21"/>
  <c r="E298" i="21"/>
  <c r="I298" i="21"/>
  <c r="M298" i="21"/>
  <c r="Q298" i="21"/>
  <c r="E299" i="21"/>
  <c r="I299" i="21"/>
  <c r="M299" i="21"/>
  <c r="Q299" i="21"/>
  <c r="E300" i="21"/>
  <c r="I300" i="21"/>
  <c r="M300" i="21"/>
  <c r="Q300" i="21"/>
  <c r="E302" i="21"/>
  <c r="I302" i="21"/>
  <c r="M302" i="21"/>
  <c r="Q302" i="21"/>
  <c r="E303" i="21"/>
  <c r="I303" i="21"/>
  <c r="M303" i="21"/>
  <c r="Q303" i="21"/>
  <c r="E304" i="21"/>
  <c r="I304" i="21"/>
  <c r="M304" i="21"/>
  <c r="Q304" i="21"/>
  <c r="B306" i="21"/>
  <c r="C306" i="21"/>
  <c r="D306" i="21"/>
  <c r="F306" i="21"/>
  <c r="G306" i="21"/>
  <c r="H306" i="21"/>
  <c r="J306" i="21"/>
  <c r="K306" i="21"/>
  <c r="L306" i="21"/>
  <c r="N306" i="21"/>
  <c r="O306" i="21"/>
  <c r="P306" i="21"/>
  <c r="E310" i="21"/>
  <c r="I310" i="21"/>
  <c r="M310" i="21"/>
  <c r="Q310" i="21"/>
  <c r="E311" i="21"/>
  <c r="I311" i="21"/>
  <c r="M311" i="21"/>
  <c r="Q311" i="21"/>
  <c r="E312" i="21"/>
  <c r="I312" i="21"/>
  <c r="M312" i="21"/>
  <c r="Q312" i="21"/>
  <c r="E313" i="21"/>
  <c r="I313" i="21"/>
  <c r="M313" i="21"/>
  <c r="Q313" i="21"/>
  <c r="E314" i="21"/>
  <c r="I314" i="21"/>
  <c r="M314" i="21"/>
  <c r="Q314" i="21"/>
  <c r="E315" i="21"/>
  <c r="I315" i="21"/>
  <c r="M315" i="21"/>
  <c r="Q315" i="21"/>
  <c r="E316" i="21"/>
  <c r="I316" i="21"/>
  <c r="M316" i="21"/>
  <c r="Q316" i="21"/>
  <c r="E317" i="21"/>
  <c r="I317" i="21"/>
  <c r="M317" i="21"/>
  <c r="Q317" i="21"/>
  <c r="E320" i="21"/>
  <c r="I320" i="21"/>
  <c r="M320" i="21"/>
  <c r="Q320" i="21"/>
  <c r="B321" i="21"/>
  <c r="C321" i="21"/>
  <c r="D321" i="21"/>
  <c r="F321" i="21"/>
  <c r="G321" i="21"/>
  <c r="H321" i="21"/>
  <c r="J321" i="21"/>
  <c r="K321" i="21"/>
  <c r="L321" i="21"/>
  <c r="N321" i="21"/>
  <c r="O321" i="21"/>
  <c r="P321" i="21"/>
  <c r="E324" i="21"/>
  <c r="I324" i="21"/>
  <c r="M324" i="21"/>
  <c r="Q324" i="21"/>
  <c r="E325" i="21"/>
  <c r="I325" i="21"/>
  <c r="M325" i="21"/>
  <c r="Q325" i="21"/>
  <c r="E327" i="21"/>
  <c r="I327" i="21"/>
  <c r="M327" i="21"/>
  <c r="Q327" i="21"/>
  <c r="E328" i="21"/>
  <c r="I328" i="21"/>
  <c r="M328" i="21"/>
  <c r="Q328" i="21"/>
  <c r="E329" i="21"/>
  <c r="I329" i="21"/>
  <c r="M329" i="21"/>
  <c r="Q329" i="21"/>
  <c r="E330" i="21"/>
  <c r="I330" i="21"/>
  <c r="M330" i="21"/>
  <c r="Q330" i="21"/>
  <c r="E331" i="21"/>
  <c r="I331" i="21"/>
  <c r="M331" i="21"/>
  <c r="Q331" i="21"/>
  <c r="E332" i="21"/>
  <c r="I332" i="21"/>
  <c r="M332" i="21"/>
  <c r="Q332" i="21"/>
  <c r="E333" i="21"/>
  <c r="I333" i="21"/>
  <c r="M333" i="21"/>
  <c r="Q333" i="21"/>
  <c r="E334" i="21"/>
  <c r="I334" i="21"/>
  <c r="M334" i="21"/>
  <c r="Q334" i="21"/>
  <c r="E335" i="21"/>
  <c r="I335" i="21"/>
  <c r="M335" i="21"/>
  <c r="Q335" i="21"/>
  <c r="E336" i="21"/>
  <c r="I336" i="21"/>
  <c r="M336" i="21"/>
  <c r="Q336" i="21"/>
  <c r="E337" i="21"/>
  <c r="I337" i="21"/>
  <c r="M337" i="21"/>
  <c r="Q337" i="21"/>
  <c r="E338" i="21"/>
  <c r="I338" i="21"/>
  <c r="M338" i="21"/>
  <c r="Q338" i="21"/>
  <c r="E339" i="21"/>
  <c r="I339" i="21"/>
  <c r="M339" i="21"/>
  <c r="Q339" i="21"/>
  <c r="E340" i="21"/>
  <c r="I340" i="21"/>
  <c r="M340" i="21"/>
  <c r="Q340" i="21"/>
  <c r="E341" i="21"/>
  <c r="I341" i="21"/>
  <c r="M341" i="21"/>
  <c r="Q341" i="21"/>
  <c r="B342" i="21"/>
  <c r="C342" i="21"/>
  <c r="D342" i="21"/>
  <c r="F342" i="21"/>
  <c r="G342" i="21"/>
  <c r="H342" i="21"/>
  <c r="J342" i="21"/>
  <c r="K342" i="21"/>
  <c r="L342" i="21"/>
  <c r="N342" i="21"/>
  <c r="O342" i="21"/>
  <c r="P342" i="21"/>
  <c r="E345" i="21"/>
  <c r="I345" i="21"/>
  <c r="M345" i="21"/>
  <c r="Q345" i="21"/>
  <c r="E346" i="21"/>
  <c r="I346" i="21"/>
  <c r="M346" i="21"/>
  <c r="Q346" i="21"/>
  <c r="E348" i="21"/>
  <c r="I348" i="21"/>
  <c r="M348" i="21"/>
  <c r="Q348" i="21"/>
  <c r="E349" i="21"/>
  <c r="I349" i="21"/>
  <c r="M349" i="21"/>
  <c r="Q349" i="21"/>
  <c r="E351" i="21"/>
  <c r="I351" i="21"/>
  <c r="M351" i="21"/>
  <c r="Q351" i="21"/>
  <c r="E352" i="21"/>
  <c r="I352" i="21"/>
  <c r="M352" i="21"/>
  <c r="Q352" i="21"/>
  <c r="E353" i="21"/>
  <c r="I353" i="21"/>
  <c r="M353" i="21"/>
  <c r="Q353" i="21"/>
  <c r="E354" i="21"/>
  <c r="I354" i="21"/>
  <c r="M354" i="21"/>
  <c r="Q354" i="21"/>
  <c r="E355" i="21"/>
  <c r="I355" i="21"/>
  <c r="M355" i="21"/>
  <c r="Q355" i="21"/>
  <c r="E356" i="21"/>
  <c r="I356" i="21"/>
  <c r="M356" i="21"/>
  <c r="Q356" i="21"/>
  <c r="E357" i="21"/>
  <c r="I357" i="21"/>
  <c r="M357" i="21"/>
  <c r="Q357" i="21"/>
  <c r="E359" i="21"/>
  <c r="I359" i="21"/>
  <c r="M359" i="21"/>
  <c r="Q359" i="21"/>
  <c r="E360" i="21"/>
  <c r="I360" i="21"/>
  <c r="M360" i="21"/>
  <c r="Q360" i="21"/>
  <c r="E361" i="21"/>
  <c r="I361" i="21"/>
  <c r="M361" i="21"/>
  <c r="Q361" i="21"/>
  <c r="E362" i="21"/>
  <c r="I362" i="21"/>
  <c r="M362" i="21"/>
  <c r="Q362" i="21"/>
  <c r="E363" i="21"/>
  <c r="I363" i="21"/>
  <c r="M363" i="21"/>
  <c r="Q363" i="21"/>
  <c r="E364" i="21"/>
  <c r="I364" i="21"/>
  <c r="M364" i="21"/>
  <c r="Q364" i="21"/>
  <c r="E365" i="21"/>
  <c r="I365" i="21"/>
  <c r="M365" i="21"/>
  <c r="Q365" i="21"/>
  <c r="E366" i="21"/>
  <c r="I366" i="21"/>
  <c r="M366" i="21"/>
  <c r="Q366" i="21"/>
  <c r="E367" i="21"/>
  <c r="I367" i="21"/>
  <c r="M367" i="21"/>
  <c r="Q367" i="21"/>
  <c r="B368" i="21"/>
  <c r="C368" i="21"/>
  <c r="D368" i="21"/>
  <c r="F368" i="21"/>
  <c r="G368" i="21"/>
  <c r="H368" i="21"/>
  <c r="J368" i="21"/>
  <c r="K368" i="21"/>
  <c r="L368" i="21"/>
  <c r="N368" i="21"/>
  <c r="O368" i="21"/>
  <c r="P368" i="21"/>
  <c r="B369" i="21"/>
  <c r="C369" i="21"/>
  <c r="D369" i="21"/>
  <c r="F369" i="21"/>
  <c r="G369" i="21"/>
  <c r="H369" i="21"/>
  <c r="J369" i="21"/>
  <c r="K369" i="21"/>
  <c r="L369" i="21"/>
  <c r="N369" i="21"/>
  <c r="O369" i="21"/>
  <c r="P369" i="21"/>
  <c r="E371" i="21"/>
  <c r="I371" i="21"/>
  <c r="M371" i="21"/>
  <c r="Q371" i="21"/>
  <c r="E372" i="21"/>
  <c r="I372" i="21"/>
  <c r="M372" i="21"/>
  <c r="Q372" i="21"/>
  <c r="E373" i="21"/>
  <c r="I373" i="21"/>
  <c r="M373" i="21"/>
  <c r="Q373" i="21"/>
  <c r="E390" i="21"/>
  <c r="I390" i="21"/>
  <c r="M390" i="21"/>
  <c r="Q390" i="21"/>
  <c r="E391" i="21"/>
  <c r="I391" i="21"/>
  <c r="M391" i="21"/>
  <c r="Q391" i="21"/>
  <c r="E393" i="21"/>
  <c r="I393" i="21"/>
  <c r="M393" i="21"/>
  <c r="Q393" i="21"/>
  <c r="E394" i="21"/>
  <c r="I394" i="21"/>
  <c r="M394" i="21"/>
  <c r="Q394" i="21"/>
  <c r="B397" i="21"/>
  <c r="C397" i="21"/>
  <c r="D397" i="21"/>
  <c r="F397" i="21"/>
  <c r="G397" i="21"/>
  <c r="H397" i="21"/>
  <c r="J397" i="21"/>
  <c r="K397" i="21"/>
  <c r="L397" i="21"/>
  <c r="N397" i="21"/>
  <c r="O397" i="21"/>
  <c r="P397" i="21"/>
  <c r="E400" i="21"/>
  <c r="I400" i="21"/>
  <c r="M400" i="21"/>
  <c r="Q400" i="21"/>
  <c r="B402" i="21"/>
  <c r="C402" i="21"/>
  <c r="D402" i="21"/>
  <c r="F402" i="21"/>
  <c r="G402" i="21"/>
  <c r="H402" i="21"/>
  <c r="J402" i="21"/>
  <c r="K402" i="21"/>
  <c r="L402" i="21"/>
  <c r="N402" i="21"/>
  <c r="O402" i="21"/>
  <c r="P402" i="21"/>
  <c r="B406" i="21"/>
  <c r="C406" i="21"/>
  <c r="D406" i="21"/>
  <c r="F406" i="21"/>
  <c r="G406" i="21"/>
  <c r="H406" i="21"/>
  <c r="J406" i="21"/>
  <c r="K406" i="21"/>
  <c r="L406" i="21"/>
  <c r="N406" i="21"/>
  <c r="O406" i="21"/>
  <c r="P406" i="21"/>
  <c r="E409" i="21"/>
  <c r="I409" i="21"/>
  <c r="M409" i="21"/>
  <c r="Q409" i="21"/>
  <c r="E413" i="21"/>
  <c r="I413" i="21"/>
  <c r="M413" i="21"/>
  <c r="Q413" i="21"/>
  <c r="E414" i="21"/>
  <c r="I414" i="21"/>
  <c r="M414" i="21"/>
  <c r="Q414" i="21"/>
  <c r="B415" i="21"/>
  <c r="C415" i="21"/>
  <c r="D415" i="21"/>
  <c r="F415" i="21"/>
  <c r="G415" i="21"/>
  <c r="H415" i="21"/>
  <c r="J415" i="21"/>
  <c r="K415" i="21"/>
  <c r="L415" i="21"/>
  <c r="N415" i="21"/>
  <c r="O415" i="21"/>
  <c r="P415" i="21"/>
  <c r="B416" i="21"/>
  <c r="C416" i="21"/>
  <c r="D416" i="21"/>
  <c r="F416" i="21"/>
  <c r="G416" i="21"/>
  <c r="H416" i="21"/>
  <c r="J416" i="21"/>
  <c r="K416" i="21"/>
  <c r="L416" i="21"/>
  <c r="N416" i="21"/>
  <c r="O416" i="21"/>
  <c r="P416" i="21"/>
  <c r="E418" i="21"/>
  <c r="I418" i="21"/>
  <c r="M418" i="21"/>
  <c r="Q418" i="21"/>
  <c r="E430" i="21"/>
  <c r="I430" i="21"/>
  <c r="M430" i="21"/>
  <c r="Q430" i="21"/>
  <c r="E431" i="21"/>
  <c r="I431" i="21"/>
  <c r="M431" i="21"/>
  <c r="Q431" i="21"/>
  <c r="B435" i="21"/>
  <c r="C435" i="21"/>
  <c r="D435" i="21"/>
  <c r="F435" i="21"/>
  <c r="F458" i="21" s="1"/>
  <c r="G435" i="21"/>
  <c r="H435" i="21"/>
  <c r="J435" i="21"/>
  <c r="K435" i="21"/>
  <c r="L435" i="21"/>
  <c r="N435" i="21"/>
  <c r="O435" i="21"/>
  <c r="P435" i="21"/>
  <c r="E438" i="21"/>
  <c r="I438" i="21"/>
  <c r="M438" i="21"/>
  <c r="Q438" i="21"/>
  <c r="E439" i="21"/>
  <c r="I439" i="21"/>
  <c r="M439" i="21"/>
  <c r="Q439" i="21"/>
  <c r="B441" i="21"/>
  <c r="C441" i="21"/>
  <c r="D441" i="21"/>
  <c r="F441" i="21"/>
  <c r="G441" i="21"/>
  <c r="H441" i="21"/>
  <c r="J441" i="21"/>
  <c r="K441" i="21"/>
  <c r="K458" i="21" s="1"/>
  <c r="K461" i="21" s="1"/>
  <c r="K462" i="21" s="1"/>
  <c r="L441" i="21"/>
  <c r="N441" i="21"/>
  <c r="O441" i="21"/>
  <c r="P441" i="21"/>
  <c r="B445" i="21"/>
  <c r="C445" i="21"/>
  <c r="D445" i="21"/>
  <c r="F445" i="21"/>
  <c r="G445" i="21"/>
  <c r="H445" i="21"/>
  <c r="J445" i="21"/>
  <c r="K445" i="21"/>
  <c r="L445" i="21"/>
  <c r="N445" i="21"/>
  <c r="O445" i="21"/>
  <c r="P445" i="21"/>
  <c r="E450" i="21"/>
  <c r="I450" i="21"/>
  <c r="M450" i="21"/>
  <c r="Q450" i="21"/>
  <c r="E451" i="21"/>
  <c r="I451" i="21"/>
  <c r="M451" i="21"/>
  <c r="Q451" i="21"/>
  <c r="E452" i="21"/>
  <c r="I452" i="21"/>
  <c r="M452" i="21"/>
  <c r="Q452" i="21"/>
  <c r="E454" i="21"/>
  <c r="I454" i="21"/>
  <c r="M454" i="21"/>
  <c r="Q454" i="21"/>
  <c r="E455" i="21"/>
  <c r="I455" i="21"/>
  <c r="M455" i="21"/>
  <c r="Q455" i="21"/>
  <c r="B456" i="21"/>
  <c r="C456" i="21"/>
  <c r="D456" i="21"/>
  <c r="F456" i="21"/>
  <c r="G456" i="21"/>
  <c r="H456" i="21"/>
  <c r="J456" i="21"/>
  <c r="K456" i="21"/>
  <c r="L456" i="21"/>
  <c r="N456" i="21"/>
  <c r="O456" i="21"/>
  <c r="P456" i="21"/>
  <c r="B457" i="21"/>
  <c r="C457" i="21"/>
  <c r="D457" i="21"/>
  <c r="F457" i="21"/>
  <c r="G457" i="21"/>
  <c r="H457" i="21"/>
  <c r="J457" i="21"/>
  <c r="K457" i="21"/>
  <c r="L457" i="21"/>
  <c r="N457" i="21"/>
  <c r="N458" i="21" s="1"/>
  <c r="O457" i="21"/>
  <c r="P457" i="21"/>
  <c r="E459" i="21"/>
  <c r="I459" i="21"/>
  <c r="M459" i="21"/>
  <c r="Q459" i="21"/>
  <c r="E471" i="21"/>
  <c r="I471" i="21"/>
  <c r="M471" i="21"/>
  <c r="Q471" i="21"/>
  <c r="E472" i="21"/>
  <c r="I472" i="21"/>
  <c r="M472" i="21"/>
  <c r="Q472" i="21"/>
  <c r="E473" i="21"/>
  <c r="I473" i="21"/>
  <c r="M473" i="21"/>
  <c r="Q473" i="21"/>
  <c r="E474" i="21"/>
  <c r="I474" i="21"/>
  <c r="M474" i="21"/>
  <c r="Q474" i="21"/>
  <c r="E475" i="21"/>
  <c r="I475" i="21"/>
  <c r="M475" i="21"/>
  <c r="Q475" i="21"/>
  <c r="E477" i="21"/>
  <c r="I477" i="21"/>
  <c r="M477" i="21"/>
  <c r="Q477" i="21"/>
  <c r="E479" i="21"/>
  <c r="I479" i="21"/>
  <c r="M479" i="21"/>
  <c r="Q479" i="21"/>
  <c r="B481" i="21"/>
  <c r="C481" i="21"/>
  <c r="D481" i="21"/>
  <c r="F481" i="21"/>
  <c r="G481" i="21"/>
  <c r="H481" i="21"/>
  <c r="J481" i="21"/>
  <c r="K481" i="21"/>
  <c r="L481" i="21"/>
  <c r="N481" i="21"/>
  <c r="O481" i="21"/>
  <c r="P481" i="21"/>
  <c r="E484" i="21"/>
  <c r="I484" i="21"/>
  <c r="M484" i="21"/>
  <c r="Q484" i="21"/>
  <c r="B486" i="21"/>
  <c r="C486" i="21"/>
  <c r="D486" i="21"/>
  <c r="F486" i="21"/>
  <c r="G486" i="21"/>
  <c r="H486" i="21"/>
  <c r="J486" i="21"/>
  <c r="K486" i="21"/>
  <c r="L486" i="21"/>
  <c r="N486" i="21"/>
  <c r="O486" i="21"/>
  <c r="P486" i="21"/>
  <c r="B490" i="21"/>
  <c r="C490" i="21"/>
  <c r="D490" i="21"/>
  <c r="F490" i="21"/>
  <c r="G490" i="21"/>
  <c r="H490" i="21"/>
  <c r="J490" i="21"/>
  <c r="K490" i="21"/>
  <c r="L490" i="21"/>
  <c r="N490" i="21"/>
  <c r="O490" i="21"/>
  <c r="P490" i="21"/>
  <c r="E493" i="21"/>
  <c r="I493" i="21"/>
  <c r="M493" i="21"/>
  <c r="Q493" i="21"/>
  <c r="E494" i="21"/>
  <c r="I494" i="21"/>
  <c r="M494" i="21"/>
  <c r="Q494" i="21"/>
  <c r="E495" i="21"/>
  <c r="I495" i="21"/>
  <c r="M495" i="21"/>
  <c r="Q495" i="21"/>
  <c r="E497" i="21"/>
  <c r="I497" i="21"/>
  <c r="M497" i="21"/>
  <c r="Q497" i="21"/>
  <c r="E498" i="21"/>
  <c r="I498" i="21"/>
  <c r="M498" i="21"/>
  <c r="Q498" i="21"/>
  <c r="E499" i="21"/>
  <c r="I499" i="21"/>
  <c r="M499" i="21"/>
  <c r="Q499" i="21"/>
  <c r="E500" i="21"/>
  <c r="I500" i="21"/>
  <c r="M500" i="21"/>
  <c r="Q500" i="21"/>
  <c r="E502" i="21"/>
  <c r="I502" i="21"/>
  <c r="M502" i="21"/>
  <c r="Q502" i="21"/>
  <c r="B504" i="21"/>
  <c r="C504" i="21"/>
  <c r="D504" i="21"/>
  <c r="F504" i="21"/>
  <c r="G504" i="21"/>
  <c r="H504" i="21"/>
  <c r="J504" i="21"/>
  <c r="K504" i="21"/>
  <c r="L504" i="21"/>
  <c r="N504" i="21"/>
  <c r="O504" i="21"/>
  <c r="P504" i="21"/>
  <c r="B505" i="21"/>
  <c r="C505" i="21"/>
  <c r="D505" i="21"/>
  <c r="F505" i="21"/>
  <c r="G505" i="21"/>
  <c r="H505" i="21"/>
  <c r="J505" i="21"/>
  <c r="K505" i="21"/>
  <c r="L505" i="21"/>
  <c r="N505" i="21"/>
  <c r="O505" i="21"/>
  <c r="P505" i="21"/>
  <c r="E507" i="21"/>
  <c r="I507" i="21"/>
  <c r="M507" i="21"/>
  <c r="Q507" i="21"/>
  <c r="E517" i="21"/>
  <c r="I517" i="21"/>
  <c r="M517" i="21"/>
  <c r="Q517" i="21"/>
  <c r="B519" i="21"/>
  <c r="B520" i="21" s="1"/>
  <c r="C519" i="21"/>
  <c r="C520" i="21" s="1"/>
  <c r="D519" i="21"/>
  <c r="F519" i="21"/>
  <c r="F520" i="21" s="1"/>
  <c r="G519" i="21"/>
  <c r="H519" i="21"/>
  <c r="J519" i="21"/>
  <c r="J520" i="21" s="1"/>
  <c r="K519" i="21"/>
  <c r="K520" i="21" s="1"/>
  <c r="L519" i="21"/>
  <c r="N519" i="21"/>
  <c r="N520" i="21" s="1"/>
  <c r="O519" i="21"/>
  <c r="O520" i="21" s="1"/>
  <c r="P519" i="21"/>
  <c r="G520" i="21"/>
  <c r="E529" i="21"/>
  <c r="I529" i="21"/>
  <c r="M529" i="21"/>
  <c r="Q529" i="21"/>
  <c r="E530" i="21"/>
  <c r="I530" i="21"/>
  <c r="M530" i="21"/>
  <c r="Q530" i="21"/>
  <c r="B534" i="21"/>
  <c r="C534" i="21"/>
  <c r="D534" i="21"/>
  <c r="F534" i="21"/>
  <c r="G534" i="21"/>
  <c r="H534" i="21"/>
  <c r="J534" i="21"/>
  <c r="K534" i="21"/>
  <c r="L534" i="21"/>
  <c r="N534" i="21"/>
  <c r="O534" i="21"/>
  <c r="P534" i="21"/>
  <c r="B538" i="21"/>
  <c r="C538" i="21"/>
  <c r="D538" i="21"/>
  <c r="F538" i="21"/>
  <c r="G538" i="21"/>
  <c r="H538" i="21"/>
  <c r="J538" i="21"/>
  <c r="K538" i="21"/>
  <c r="L538" i="21"/>
  <c r="N538" i="21"/>
  <c r="O538" i="21"/>
  <c r="P538" i="21"/>
  <c r="B542" i="21"/>
  <c r="C542" i="21"/>
  <c r="D542" i="21"/>
  <c r="F542" i="21"/>
  <c r="G542" i="21"/>
  <c r="H542" i="21"/>
  <c r="J542" i="21"/>
  <c r="K542" i="21"/>
  <c r="L542" i="21"/>
  <c r="N542" i="21"/>
  <c r="O542" i="21"/>
  <c r="P542" i="21"/>
  <c r="E546" i="21"/>
  <c r="I546" i="21"/>
  <c r="M546" i="21"/>
  <c r="Q546" i="21"/>
  <c r="B549" i="21"/>
  <c r="C549" i="21"/>
  <c r="D549" i="21"/>
  <c r="F549" i="21"/>
  <c r="G549" i="21"/>
  <c r="H549" i="21"/>
  <c r="J549" i="21"/>
  <c r="K549" i="21"/>
  <c r="L549" i="21"/>
  <c r="N549" i="21"/>
  <c r="O549" i="21"/>
  <c r="P549" i="21"/>
  <c r="B550" i="21"/>
  <c r="C550" i="21"/>
  <c r="D550" i="21"/>
  <c r="F550" i="21"/>
  <c r="G550" i="21"/>
  <c r="H550" i="21"/>
  <c r="J550" i="21"/>
  <c r="K550" i="21"/>
  <c r="L550" i="21"/>
  <c r="N550" i="21"/>
  <c r="O550" i="21"/>
  <c r="P550" i="21"/>
  <c r="E552" i="21"/>
  <c r="I552" i="21"/>
  <c r="M552" i="21"/>
  <c r="Q552" i="21"/>
  <c r="E564" i="21"/>
  <c r="I564" i="21"/>
  <c r="M564" i="21"/>
  <c r="Q564" i="21"/>
  <c r="E565" i="21"/>
  <c r="I565" i="21"/>
  <c r="M565" i="21"/>
  <c r="Q565" i="21"/>
  <c r="B569" i="21"/>
  <c r="C569" i="21"/>
  <c r="D569" i="21"/>
  <c r="F569" i="21"/>
  <c r="G569" i="21"/>
  <c r="H569" i="21"/>
  <c r="J569" i="21"/>
  <c r="K569" i="21"/>
  <c r="L569" i="21"/>
  <c r="N569" i="21"/>
  <c r="O569" i="21"/>
  <c r="P569" i="21"/>
  <c r="B573" i="21"/>
  <c r="C573" i="21"/>
  <c r="D573" i="21"/>
  <c r="F573" i="21"/>
  <c r="G573" i="21"/>
  <c r="H573" i="21"/>
  <c r="J573" i="21"/>
  <c r="K573" i="21"/>
  <c r="L573" i="21"/>
  <c r="N573" i="21"/>
  <c r="O573" i="21"/>
  <c r="O590" i="21" s="1"/>
  <c r="O593" i="21" s="1"/>
  <c r="O594" i="21" s="1"/>
  <c r="P573" i="21"/>
  <c r="E576" i="21"/>
  <c r="I576" i="21"/>
  <c r="M576" i="21"/>
  <c r="Q576" i="21"/>
  <c r="B578" i="21"/>
  <c r="C578" i="21"/>
  <c r="D578" i="21"/>
  <c r="F578" i="21"/>
  <c r="G578" i="21"/>
  <c r="H578" i="21"/>
  <c r="J578" i="21"/>
  <c r="K578" i="21"/>
  <c r="L578" i="21"/>
  <c r="N578" i="21"/>
  <c r="O578" i="21"/>
  <c r="P578" i="21"/>
  <c r="E582" i="21"/>
  <c r="I582" i="21"/>
  <c r="M582" i="21"/>
  <c r="Q582" i="21"/>
  <c r="E583" i="21"/>
  <c r="I583" i="21"/>
  <c r="M583" i="21"/>
  <c r="Q583" i="21"/>
  <c r="E584" i="21"/>
  <c r="I584" i="21"/>
  <c r="M584" i="21"/>
  <c r="Q584" i="21"/>
  <c r="E585" i="21"/>
  <c r="I585" i="21"/>
  <c r="M585" i="21"/>
  <c r="Q585" i="21"/>
  <c r="B588" i="21"/>
  <c r="C588" i="21"/>
  <c r="D588" i="21"/>
  <c r="F588" i="21"/>
  <c r="G588" i="21"/>
  <c r="H588" i="21"/>
  <c r="J588" i="21"/>
  <c r="K588" i="21"/>
  <c r="L588" i="21"/>
  <c r="N588" i="21"/>
  <c r="O588" i="21"/>
  <c r="P588" i="21"/>
  <c r="B589" i="21"/>
  <c r="C589" i="21"/>
  <c r="D589" i="21"/>
  <c r="F589" i="21"/>
  <c r="G589" i="21"/>
  <c r="H589" i="21"/>
  <c r="J589" i="21"/>
  <c r="K589" i="21"/>
  <c r="L589" i="21"/>
  <c r="N589" i="21"/>
  <c r="O589" i="21"/>
  <c r="P589" i="21"/>
  <c r="E591" i="21"/>
  <c r="I591" i="21"/>
  <c r="M591" i="21"/>
  <c r="Q591" i="21"/>
  <c r="E601" i="21"/>
  <c r="I601" i="21"/>
  <c r="M601" i="21"/>
  <c r="Q601" i="21"/>
  <c r="B603" i="21"/>
  <c r="C603" i="21"/>
  <c r="C604" i="21" s="1"/>
  <c r="D603" i="21"/>
  <c r="F603" i="21"/>
  <c r="G603" i="21"/>
  <c r="G604" i="21" s="1"/>
  <c r="H603" i="21"/>
  <c r="H604" i="21" s="1"/>
  <c r="J603" i="21"/>
  <c r="K603" i="21"/>
  <c r="K604" i="21" s="1"/>
  <c r="L603" i="21"/>
  <c r="L604" i="21" s="1"/>
  <c r="N603" i="21"/>
  <c r="O603" i="21"/>
  <c r="P603" i="21"/>
  <c r="P604" i="21" s="1"/>
  <c r="D604" i="21"/>
  <c r="O604" i="21"/>
  <c r="E613" i="21"/>
  <c r="I613" i="21"/>
  <c r="M613" i="21"/>
  <c r="Q613" i="21"/>
  <c r="B617" i="21"/>
  <c r="C617" i="21"/>
  <c r="D617" i="21"/>
  <c r="F617" i="21"/>
  <c r="G617" i="21"/>
  <c r="H617" i="21"/>
  <c r="J617" i="21"/>
  <c r="K617" i="21"/>
  <c r="L617" i="21"/>
  <c r="N617" i="21"/>
  <c r="O617" i="21"/>
  <c r="P617" i="21"/>
  <c r="B621" i="21"/>
  <c r="C621" i="21"/>
  <c r="D621" i="21"/>
  <c r="F621" i="21"/>
  <c r="G621" i="21"/>
  <c r="H621" i="21"/>
  <c r="J621" i="21"/>
  <c r="K621" i="21"/>
  <c r="L621" i="21"/>
  <c r="N621" i="21"/>
  <c r="O621" i="21"/>
  <c r="P621" i="21"/>
  <c r="B625" i="21"/>
  <c r="C625" i="21"/>
  <c r="D625" i="21"/>
  <c r="F625" i="21"/>
  <c r="G625" i="21"/>
  <c r="H625" i="21"/>
  <c r="J625" i="21"/>
  <c r="K625" i="21"/>
  <c r="L625" i="21"/>
  <c r="N625" i="21"/>
  <c r="O625" i="21"/>
  <c r="P625" i="21"/>
  <c r="B631" i="21"/>
  <c r="C631" i="21"/>
  <c r="D631" i="21"/>
  <c r="F631" i="21"/>
  <c r="G631" i="21"/>
  <c r="H631" i="21"/>
  <c r="J631" i="21"/>
  <c r="K631" i="21"/>
  <c r="L631" i="21"/>
  <c r="N631" i="21"/>
  <c r="O631" i="21"/>
  <c r="P631" i="21"/>
  <c r="B632" i="21"/>
  <c r="C632" i="21"/>
  <c r="D632" i="21"/>
  <c r="F632" i="21"/>
  <c r="G632" i="21"/>
  <c r="H632" i="21"/>
  <c r="J632" i="21"/>
  <c r="K632" i="21"/>
  <c r="L632" i="21"/>
  <c r="N632" i="21"/>
  <c r="O632" i="21"/>
  <c r="P632" i="21"/>
  <c r="E634" i="21"/>
  <c r="I634" i="21"/>
  <c r="M634" i="21"/>
  <c r="Q634" i="21"/>
  <c r="E635" i="21"/>
  <c r="I635" i="21"/>
  <c r="M635" i="21"/>
  <c r="Q635" i="21"/>
  <c r="E647" i="21"/>
  <c r="I647" i="21"/>
  <c r="M647" i="21"/>
  <c r="Q647" i="21"/>
  <c r="E648" i="21"/>
  <c r="I648" i="21"/>
  <c r="M648" i="21"/>
  <c r="Q648" i="21"/>
  <c r="E651" i="21"/>
  <c r="I651" i="21"/>
  <c r="M651" i="21"/>
  <c r="Q651" i="21"/>
  <c r="B653" i="21"/>
  <c r="C653" i="21"/>
  <c r="D653" i="21"/>
  <c r="F653" i="21"/>
  <c r="G653" i="21"/>
  <c r="H653" i="21"/>
  <c r="J653" i="21"/>
  <c r="K653" i="21"/>
  <c r="L653" i="21"/>
  <c r="N653" i="21"/>
  <c r="O653" i="21"/>
  <c r="P653" i="21"/>
  <c r="B657" i="21"/>
  <c r="C657" i="21"/>
  <c r="D657" i="21"/>
  <c r="F657" i="21"/>
  <c r="G657" i="21"/>
  <c r="H657" i="21"/>
  <c r="J657" i="21"/>
  <c r="K657" i="21"/>
  <c r="L657" i="21"/>
  <c r="N657" i="21"/>
  <c r="O657" i="21"/>
  <c r="P657" i="21"/>
  <c r="E660" i="21"/>
  <c r="I660" i="21"/>
  <c r="M660" i="21"/>
  <c r="Q660" i="21"/>
  <c r="B662" i="21"/>
  <c r="C662" i="21"/>
  <c r="D662" i="21"/>
  <c r="F662" i="21"/>
  <c r="G662" i="21"/>
  <c r="H662" i="21"/>
  <c r="J662" i="21"/>
  <c r="K662" i="21"/>
  <c r="L662" i="21"/>
  <c r="N662" i="21"/>
  <c r="O662" i="21"/>
  <c r="P662" i="21"/>
  <c r="E665" i="21"/>
  <c r="I665" i="21"/>
  <c r="M665" i="21"/>
  <c r="Q665" i="21"/>
  <c r="E666" i="21"/>
  <c r="I666" i="21"/>
  <c r="M666" i="21"/>
  <c r="Q666" i="21"/>
  <c r="E667" i="21"/>
  <c r="I667" i="21"/>
  <c r="M667" i="21"/>
  <c r="Q667" i="21"/>
  <c r="E668" i="21"/>
  <c r="I668" i="21"/>
  <c r="M668" i="21"/>
  <c r="Q668" i="21"/>
  <c r="E670" i="21"/>
  <c r="I670" i="21"/>
  <c r="M670" i="21"/>
  <c r="Q670" i="21"/>
  <c r="E671" i="21"/>
  <c r="I671" i="21"/>
  <c r="M671" i="21"/>
  <c r="Q671" i="21"/>
  <c r="B674" i="21"/>
  <c r="C674" i="21"/>
  <c r="D674" i="21"/>
  <c r="F674" i="21"/>
  <c r="G674" i="21"/>
  <c r="H674" i="21"/>
  <c r="J674" i="21"/>
  <c r="K674" i="21"/>
  <c r="L674" i="21"/>
  <c r="N674" i="21"/>
  <c r="O674" i="21"/>
  <c r="P674" i="21"/>
  <c r="B675" i="21"/>
  <c r="C675" i="21"/>
  <c r="D675" i="21"/>
  <c r="F675" i="21"/>
  <c r="G675" i="21"/>
  <c r="H675" i="21"/>
  <c r="J675" i="21"/>
  <c r="K675" i="21"/>
  <c r="L675" i="21"/>
  <c r="N675" i="21"/>
  <c r="O675" i="21"/>
  <c r="P675" i="21"/>
  <c r="E677" i="21"/>
  <c r="I677" i="21"/>
  <c r="M677" i="21"/>
  <c r="Q677" i="21"/>
  <c r="Q684" i="21"/>
  <c r="A688" i="21"/>
  <c r="A690" i="21"/>
  <c r="B697" i="21"/>
  <c r="C697" i="21"/>
  <c r="D697" i="21"/>
  <c r="F697" i="21"/>
  <c r="G697" i="21"/>
  <c r="H697" i="21"/>
  <c r="J697" i="21"/>
  <c r="K697" i="21"/>
  <c r="L697" i="21"/>
  <c r="N697" i="21"/>
  <c r="O697" i="21"/>
  <c r="P697" i="21"/>
  <c r="B698" i="21"/>
  <c r="C698" i="21"/>
  <c r="D698" i="21"/>
  <c r="F698" i="21"/>
  <c r="G698" i="21"/>
  <c r="H698" i="21"/>
  <c r="J698" i="21"/>
  <c r="K698" i="21"/>
  <c r="L698" i="21"/>
  <c r="N698" i="21"/>
  <c r="O698" i="21"/>
  <c r="P698" i="21"/>
  <c r="B699" i="21"/>
  <c r="C699" i="21"/>
  <c r="D699" i="21"/>
  <c r="F699" i="21"/>
  <c r="G699" i="21"/>
  <c r="H699" i="21"/>
  <c r="J699" i="21"/>
  <c r="K699" i="21"/>
  <c r="L699" i="21"/>
  <c r="N699" i="21"/>
  <c r="O699" i="21"/>
  <c r="P699" i="21"/>
  <c r="B700" i="21"/>
  <c r="C700" i="21"/>
  <c r="D700" i="21"/>
  <c r="F700" i="21"/>
  <c r="G700" i="21"/>
  <c r="H700" i="21"/>
  <c r="J700" i="21"/>
  <c r="K700" i="21"/>
  <c r="L700" i="21"/>
  <c r="N700" i="21"/>
  <c r="O700" i="21"/>
  <c r="P700" i="21"/>
  <c r="B701" i="21"/>
  <c r="C701" i="21"/>
  <c r="D701" i="21"/>
  <c r="F701" i="21"/>
  <c r="G701" i="21"/>
  <c r="H701" i="21"/>
  <c r="J701" i="21"/>
  <c r="K701" i="21"/>
  <c r="L701" i="21"/>
  <c r="N701" i="21"/>
  <c r="O701" i="21"/>
  <c r="P701" i="21"/>
  <c r="B702" i="21"/>
  <c r="C702" i="21"/>
  <c r="D702" i="21"/>
  <c r="F702" i="21"/>
  <c r="G702" i="21"/>
  <c r="H702" i="21"/>
  <c r="J702" i="21"/>
  <c r="K702" i="21"/>
  <c r="L702" i="21"/>
  <c r="N702" i="21"/>
  <c r="O702" i="21"/>
  <c r="P702" i="21"/>
  <c r="B705" i="21"/>
  <c r="C705" i="21"/>
  <c r="D705" i="21"/>
  <c r="F705" i="21"/>
  <c r="G705" i="21"/>
  <c r="H705" i="21"/>
  <c r="J705" i="21"/>
  <c r="K705" i="21"/>
  <c r="L705" i="21"/>
  <c r="N705" i="21"/>
  <c r="O705" i="21"/>
  <c r="P705" i="21"/>
  <c r="B706" i="21"/>
  <c r="C706" i="21"/>
  <c r="D706" i="21"/>
  <c r="F706" i="21"/>
  <c r="G706" i="21"/>
  <c r="H706" i="21"/>
  <c r="J706" i="21"/>
  <c r="K706" i="21"/>
  <c r="L706" i="21"/>
  <c r="N706" i="21"/>
  <c r="O706" i="21"/>
  <c r="P706" i="21"/>
  <c r="B707" i="21"/>
  <c r="C707" i="21"/>
  <c r="D707" i="21"/>
  <c r="F707" i="21"/>
  <c r="G707" i="21"/>
  <c r="H707" i="21"/>
  <c r="J707" i="21"/>
  <c r="K707" i="21"/>
  <c r="L707" i="21"/>
  <c r="N707" i="21"/>
  <c r="O707" i="21"/>
  <c r="P707" i="21"/>
  <c r="B708" i="21"/>
  <c r="C708" i="21"/>
  <c r="D708" i="21"/>
  <c r="F708" i="21"/>
  <c r="G708" i="21"/>
  <c r="H708" i="21"/>
  <c r="J708" i="21"/>
  <c r="K708" i="21"/>
  <c r="L708" i="21"/>
  <c r="N708" i="21"/>
  <c r="O708" i="21"/>
  <c r="P708" i="21"/>
  <c r="B711" i="21"/>
  <c r="C711" i="21"/>
  <c r="D711" i="21"/>
  <c r="F711" i="21"/>
  <c r="G711" i="21"/>
  <c r="H711" i="21"/>
  <c r="J711" i="21"/>
  <c r="K711" i="21"/>
  <c r="L711" i="21"/>
  <c r="N711" i="21"/>
  <c r="O711" i="21"/>
  <c r="P711" i="21"/>
  <c r="B712" i="21"/>
  <c r="C712" i="21"/>
  <c r="D712" i="21"/>
  <c r="F712" i="21"/>
  <c r="G712" i="21"/>
  <c r="H712" i="21"/>
  <c r="J712" i="21"/>
  <c r="K712" i="21"/>
  <c r="L712" i="21"/>
  <c r="N712" i="21"/>
  <c r="O712" i="21"/>
  <c r="P712" i="21"/>
  <c r="P713" i="21" s="1"/>
  <c r="P741" i="21" s="1"/>
  <c r="B715" i="21"/>
  <c r="C715" i="21"/>
  <c r="D715" i="21"/>
  <c r="F715" i="21"/>
  <c r="G715" i="21"/>
  <c r="H715" i="21"/>
  <c r="J715" i="21"/>
  <c r="K715" i="21"/>
  <c r="L715" i="21"/>
  <c r="N715" i="21"/>
  <c r="O715" i="21"/>
  <c r="P715" i="21"/>
  <c r="B716" i="21"/>
  <c r="C716" i="21"/>
  <c r="D716" i="21"/>
  <c r="F716" i="21"/>
  <c r="G716" i="21"/>
  <c r="H716" i="21"/>
  <c r="J716" i="21"/>
  <c r="K716" i="21"/>
  <c r="L716" i="21"/>
  <c r="N716" i="21"/>
  <c r="O716" i="21"/>
  <c r="P716" i="21"/>
  <c r="B717" i="21"/>
  <c r="C717" i="21"/>
  <c r="D717" i="21"/>
  <c r="F717" i="21"/>
  <c r="G717" i="21"/>
  <c r="H717" i="21"/>
  <c r="J717" i="21"/>
  <c r="K717" i="21"/>
  <c r="L717" i="21"/>
  <c r="N717" i="21"/>
  <c r="O717" i="21"/>
  <c r="P717" i="21"/>
  <c r="B718" i="21"/>
  <c r="C718" i="21"/>
  <c r="D718" i="21"/>
  <c r="F718" i="21"/>
  <c r="G718" i="21"/>
  <c r="H718" i="21"/>
  <c r="J718" i="21"/>
  <c r="K718" i="21"/>
  <c r="L718" i="21"/>
  <c r="N718" i="21"/>
  <c r="O718" i="21"/>
  <c r="P718" i="21"/>
  <c r="B719" i="21"/>
  <c r="C719" i="21"/>
  <c r="D719" i="21"/>
  <c r="F719" i="21"/>
  <c r="G719" i="21"/>
  <c r="H719" i="21"/>
  <c r="H15" i="21" s="1"/>
  <c r="J719" i="21"/>
  <c r="K719" i="21"/>
  <c r="L719" i="21"/>
  <c r="N719" i="21"/>
  <c r="O719" i="21"/>
  <c r="P719" i="21"/>
  <c r="B720" i="21"/>
  <c r="C720" i="21"/>
  <c r="D720" i="21"/>
  <c r="F720" i="21"/>
  <c r="F721" i="21" s="1"/>
  <c r="G720" i="21"/>
  <c r="H720" i="21"/>
  <c r="J720" i="21"/>
  <c r="K720" i="21"/>
  <c r="L720" i="21"/>
  <c r="N720" i="21"/>
  <c r="O720" i="21"/>
  <c r="P720" i="21"/>
  <c r="Q725" i="21"/>
  <c r="A729" i="21"/>
  <c r="A731" i="21"/>
  <c r="Q747" i="21"/>
  <c r="F748" i="21"/>
  <c r="E751" i="21"/>
  <c r="F758" i="21"/>
  <c r="D868" i="21" s="1"/>
  <c r="G758" i="21"/>
  <c r="G816" i="21" s="1"/>
  <c r="F759" i="21"/>
  <c r="G759" i="21"/>
  <c r="F760" i="21"/>
  <c r="Q870" i="21" s="1"/>
  <c r="G760" i="21"/>
  <c r="G842" i="21" s="1"/>
  <c r="F761" i="21"/>
  <c r="C871" i="21" s="1"/>
  <c r="G761" i="21"/>
  <c r="G843" i="21" s="1"/>
  <c r="F762" i="21"/>
  <c r="B787" i="21" s="1"/>
  <c r="G762" i="21"/>
  <c r="F763" i="21"/>
  <c r="Q873" i="21" s="1"/>
  <c r="G763" i="21"/>
  <c r="F764" i="21"/>
  <c r="F822" i="21" s="1"/>
  <c r="G764" i="21"/>
  <c r="G846" i="21" s="1"/>
  <c r="F765" i="21"/>
  <c r="B875" i="21" s="1"/>
  <c r="G765" i="21"/>
  <c r="G847" i="21" s="1"/>
  <c r="F766" i="21"/>
  <c r="B876" i="21" s="1"/>
  <c r="G766" i="21"/>
  <c r="G824" i="21" s="1"/>
  <c r="F767" i="21"/>
  <c r="F877" i="21" s="1"/>
  <c r="G767" i="21"/>
  <c r="F768" i="21"/>
  <c r="B878" i="21" s="1"/>
  <c r="G768" i="21"/>
  <c r="G850" i="21" s="1"/>
  <c r="F769" i="21"/>
  <c r="B879" i="21" s="1"/>
  <c r="G769" i="21"/>
  <c r="E905" i="21" s="1"/>
  <c r="I794" i="21" s="1"/>
  <c r="L774" i="21"/>
  <c r="Q774" i="21"/>
  <c r="D775" i="21"/>
  <c r="C783" i="21"/>
  <c r="C784" i="21"/>
  <c r="C785" i="21"/>
  <c r="N785" i="21"/>
  <c r="C786" i="21"/>
  <c r="C787" i="21"/>
  <c r="C788" i="21"/>
  <c r="C789" i="21"/>
  <c r="N789" i="21"/>
  <c r="B790" i="21"/>
  <c r="C790" i="21"/>
  <c r="C791" i="21"/>
  <c r="B792" i="21"/>
  <c r="M792" i="21" s="1"/>
  <c r="C792" i="21"/>
  <c r="B793" i="21"/>
  <c r="C793" i="21"/>
  <c r="B794" i="21"/>
  <c r="C794" i="21"/>
  <c r="Q805" i="21"/>
  <c r="F806" i="21"/>
  <c r="E809" i="21"/>
  <c r="G817" i="21"/>
  <c r="G818" i="21"/>
  <c r="G820" i="21"/>
  <c r="F821" i="21"/>
  <c r="G821" i="21"/>
  <c r="G822" i="21"/>
  <c r="G825" i="21"/>
  <c r="G826" i="21"/>
  <c r="Q829" i="21"/>
  <c r="F830" i="21"/>
  <c r="E833" i="21"/>
  <c r="G840" i="21"/>
  <c r="G841" i="21"/>
  <c r="G844" i="21"/>
  <c r="G845" i="21"/>
  <c r="F847" i="21"/>
  <c r="F849" i="21"/>
  <c r="Q856" i="21"/>
  <c r="F858" i="21"/>
  <c r="Q858" i="21"/>
  <c r="E861" i="21"/>
  <c r="P861" i="21"/>
  <c r="B869" i="21"/>
  <c r="D869" i="21"/>
  <c r="F869" i="21"/>
  <c r="D875" i="21"/>
  <c r="F875" i="21"/>
  <c r="F876" i="21"/>
  <c r="D877" i="21"/>
  <c r="Q879" i="21"/>
  <c r="Q883" i="21"/>
  <c r="I884" i="21"/>
  <c r="H887" i="21"/>
  <c r="E894" i="21"/>
  <c r="I783" i="21" s="1"/>
  <c r="F894" i="21"/>
  <c r="G894" i="21"/>
  <c r="I894" i="21"/>
  <c r="J894" i="21"/>
  <c r="M894" i="21" s="1"/>
  <c r="E895" i="21"/>
  <c r="I784" i="21" s="1"/>
  <c r="F895" i="21"/>
  <c r="G895" i="21"/>
  <c r="J895" i="21"/>
  <c r="M895" i="21" s="1"/>
  <c r="E896" i="21"/>
  <c r="I785" i="21" s="1"/>
  <c r="F896" i="21"/>
  <c r="G896" i="21"/>
  <c r="J896" i="21"/>
  <c r="M896" i="21" s="1"/>
  <c r="E897" i="21"/>
  <c r="I786" i="21" s="1"/>
  <c r="F897" i="21"/>
  <c r="H897" i="21" s="1"/>
  <c r="G897" i="21"/>
  <c r="J897" i="21"/>
  <c r="M897" i="21" s="1"/>
  <c r="E898" i="21"/>
  <c r="I787" i="21" s="1"/>
  <c r="F898" i="21"/>
  <c r="G898" i="21"/>
  <c r="H898" i="21" s="1"/>
  <c r="J898" i="21"/>
  <c r="M898" i="21" s="1"/>
  <c r="E899" i="21"/>
  <c r="I788" i="21" s="1"/>
  <c r="F899" i="21"/>
  <c r="G899" i="21"/>
  <c r="J899" i="21"/>
  <c r="M899" i="21" s="1"/>
  <c r="E900" i="21"/>
  <c r="I789" i="21" s="1"/>
  <c r="F900" i="21"/>
  <c r="G900" i="21"/>
  <c r="J900" i="21"/>
  <c r="M900" i="21" s="1"/>
  <c r="F901" i="21"/>
  <c r="G901" i="21"/>
  <c r="J901" i="21"/>
  <c r="M901" i="21" s="1"/>
  <c r="F902" i="21"/>
  <c r="G902" i="21"/>
  <c r="J902" i="21"/>
  <c r="M902" i="21" s="1"/>
  <c r="F903" i="21"/>
  <c r="G903" i="21"/>
  <c r="J903" i="21"/>
  <c r="M903" i="21" s="1"/>
  <c r="E904" i="21"/>
  <c r="I793" i="21" s="1"/>
  <c r="F904" i="21"/>
  <c r="H904" i="21" s="1"/>
  <c r="G904" i="21"/>
  <c r="J904" i="21"/>
  <c r="M904" i="21" s="1"/>
  <c r="F905" i="21"/>
  <c r="G905" i="21"/>
  <c r="J905" i="21"/>
  <c r="M905" i="21" s="1"/>
  <c r="Q917" i="21"/>
  <c r="J918" i="21"/>
  <c r="I921" i="21"/>
  <c r="C924" i="21"/>
  <c r="K924" i="21"/>
  <c r="O924" i="21"/>
  <c r="G925" i="21"/>
  <c r="I931" i="21"/>
  <c r="M931" i="21"/>
  <c r="Q931" i="21"/>
  <c r="G932" i="21"/>
  <c r="M932" i="21"/>
  <c r="Q932" i="21"/>
  <c r="G933" i="21"/>
  <c r="M933" i="21"/>
  <c r="Q933" i="21"/>
  <c r="G934" i="21"/>
  <c r="M934" i="21"/>
  <c r="Q934" i="21"/>
  <c r="G935" i="21"/>
  <c r="M935" i="21"/>
  <c r="Q935" i="21"/>
  <c r="G936" i="21"/>
  <c r="I899" i="21" s="1"/>
  <c r="I936" i="21"/>
  <c r="M936" i="21"/>
  <c r="Q936" i="21"/>
  <c r="G937" i="21"/>
  <c r="M937" i="21"/>
  <c r="Q937" i="21"/>
  <c r="G938" i="21"/>
  <c r="I938" i="21" s="1"/>
  <c r="M938" i="21"/>
  <c r="Q938" i="21"/>
  <c r="M939" i="21"/>
  <c r="Q939" i="21"/>
  <c r="M940" i="21"/>
  <c r="Q940" i="21"/>
  <c r="M941" i="21"/>
  <c r="Q941" i="21"/>
  <c r="M942" i="21"/>
  <c r="Q942" i="21"/>
  <c r="K945" i="21"/>
  <c r="F907" i="21" s="1"/>
  <c r="O945" i="21"/>
  <c r="G907" i="21" s="1"/>
  <c r="H22" i="3"/>
  <c r="L26" i="3"/>
  <c r="I19" i="3"/>
  <c r="L17" i="3"/>
  <c r="I17" i="3"/>
  <c r="H24" i="3"/>
  <c r="H23" i="3"/>
  <c r="H25" i="3"/>
  <c r="H26" i="3"/>
  <c r="L19" i="3"/>
  <c r="I25" i="3"/>
  <c r="I22" i="3"/>
  <c r="H19" i="3"/>
  <c r="L22" i="3"/>
  <c r="H17" i="3"/>
  <c r="L20" i="3"/>
  <c r="H18" i="3"/>
  <c r="L18" i="3"/>
  <c r="L21" i="3"/>
  <c r="I18" i="3"/>
  <c r="I26" i="3"/>
  <c r="I21" i="3"/>
  <c r="I20" i="3"/>
  <c r="I24" i="3"/>
  <c r="H20" i="3"/>
  <c r="H21" i="3"/>
  <c r="L23" i="3"/>
  <c r="L24" i="3"/>
  <c r="I23" i="3"/>
  <c r="L25" i="3"/>
  <c r="R939" i="21" l="1"/>
  <c r="D879" i="21"/>
  <c r="C873" i="21"/>
  <c r="J721" i="21"/>
  <c r="E878" i="23"/>
  <c r="I767" i="23" s="1"/>
  <c r="I779" i="23" s="1"/>
  <c r="Q859" i="23"/>
  <c r="Q857" i="23"/>
  <c r="E856" i="23"/>
  <c r="C855" i="23"/>
  <c r="Q853" i="23"/>
  <c r="E852" i="23"/>
  <c r="C851" i="23"/>
  <c r="F832" i="23"/>
  <c r="F836" i="23" s="1"/>
  <c r="F825" i="23"/>
  <c r="F809" i="23"/>
  <c r="B772" i="23"/>
  <c r="D772" i="23" s="1"/>
  <c r="J15" i="23"/>
  <c r="R56" i="23"/>
  <c r="E859" i="24"/>
  <c r="D878" i="21"/>
  <c r="Q871" i="21"/>
  <c r="F843" i="21"/>
  <c r="H713" i="21"/>
  <c r="H741" i="21" s="1"/>
  <c r="I916" i="23"/>
  <c r="J916" i="23" s="1"/>
  <c r="E859" i="23"/>
  <c r="D856" i="23"/>
  <c r="B855" i="23"/>
  <c r="F853" i="23"/>
  <c r="D852" i="23"/>
  <c r="H852" i="23" s="1"/>
  <c r="B851" i="23"/>
  <c r="G824" i="23"/>
  <c r="F801" i="23"/>
  <c r="B767" i="23"/>
  <c r="H489" i="23"/>
  <c r="H492" i="23" s="1"/>
  <c r="E437" i="23"/>
  <c r="I235" i="23"/>
  <c r="R197" i="23"/>
  <c r="H877" i="24"/>
  <c r="F858" i="24"/>
  <c r="M475" i="24"/>
  <c r="M356" i="24"/>
  <c r="AB79" i="27"/>
  <c r="F823" i="21"/>
  <c r="R78" i="21"/>
  <c r="C856" i="23"/>
  <c r="C864" i="23" s="1"/>
  <c r="C852" i="23"/>
  <c r="F824" i="23"/>
  <c r="F808" i="23"/>
  <c r="F800" i="23"/>
  <c r="B771" i="23"/>
  <c r="K696" i="23"/>
  <c r="K724" i="23" s="1"/>
  <c r="R645" i="23"/>
  <c r="G659" i="23"/>
  <c r="B587" i="23"/>
  <c r="I59" i="23"/>
  <c r="F832" i="24"/>
  <c r="H690" i="24"/>
  <c r="H720" i="24" s="1"/>
  <c r="E680" i="24"/>
  <c r="R654" i="24"/>
  <c r="R647" i="24"/>
  <c r="R78" i="24"/>
  <c r="Q60" i="24"/>
  <c r="X79" i="27"/>
  <c r="E871" i="21"/>
  <c r="G709" i="21"/>
  <c r="G739" i="21" s="1"/>
  <c r="B877" i="21"/>
  <c r="D870" i="21"/>
  <c r="Q708" i="21"/>
  <c r="Q588" i="21"/>
  <c r="F823" i="23"/>
  <c r="F807" i="23"/>
  <c r="F799" i="23"/>
  <c r="M297" i="23"/>
  <c r="E852" i="24"/>
  <c r="G803" i="24"/>
  <c r="G851" i="21"/>
  <c r="B786" i="21"/>
  <c r="M786" i="21" s="1"/>
  <c r="E708" i="21"/>
  <c r="I397" i="21"/>
  <c r="N925" i="23"/>
  <c r="Q855" i="23"/>
  <c r="Q851" i="23"/>
  <c r="B774" i="23"/>
  <c r="D394" i="23"/>
  <c r="D397" i="23" s="1"/>
  <c r="G823" i="24"/>
  <c r="M680" i="24"/>
  <c r="E522" i="24"/>
  <c r="P79" i="27"/>
  <c r="T104" i="27"/>
  <c r="L104" i="27"/>
  <c r="D104" i="27"/>
  <c r="F855" i="23"/>
  <c r="F851" i="23"/>
  <c r="R340" i="23"/>
  <c r="J490" i="24"/>
  <c r="R422" i="24"/>
  <c r="R299" i="24"/>
  <c r="I294" i="24"/>
  <c r="C235" i="24"/>
  <c r="C243" i="24" s="1"/>
  <c r="C244" i="24" s="1"/>
  <c r="N123" i="24"/>
  <c r="N126" i="24" s="1"/>
  <c r="H79" i="27"/>
  <c r="AB45" i="27"/>
  <c r="F879" i="21"/>
  <c r="E873" i="21"/>
  <c r="P15" i="21"/>
  <c r="I707" i="21"/>
  <c r="R677" i="21"/>
  <c r="R361" i="21"/>
  <c r="D855" i="23"/>
  <c r="D851" i="23"/>
  <c r="F803" i="23"/>
  <c r="I699" i="23"/>
  <c r="R699" i="23" s="1"/>
  <c r="E215" i="23"/>
  <c r="M59" i="23"/>
  <c r="E860" i="24"/>
  <c r="L694" i="24"/>
  <c r="L722" i="24" s="1"/>
  <c r="L690" i="24"/>
  <c r="L720" i="24" s="1"/>
  <c r="E356" i="24"/>
  <c r="G235" i="24"/>
  <c r="G243" i="24" s="1"/>
  <c r="G244" i="24" s="1"/>
  <c r="R172" i="24"/>
  <c r="C62" i="24"/>
  <c r="C65" i="24" s="1"/>
  <c r="C66" i="24" s="1"/>
  <c r="P712" i="26"/>
  <c r="P742" i="26" s="1"/>
  <c r="K60" i="26"/>
  <c r="K63" i="26" s="1"/>
  <c r="K64" i="26" s="1"/>
  <c r="V114" i="27"/>
  <c r="F114" i="27"/>
  <c r="F110" i="27" s="1"/>
  <c r="F105" i="27" s="1"/>
  <c r="AB99" i="27"/>
  <c r="D110" i="27"/>
  <c r="D105" i="27" s="1"/>
  <c r="D115" i="27"/>
  <c r="H901" i="21"/>
  <c r="M708" i="21"/>
  <c r="I657" i="21"/>
  <c r="F676" i="21"/>
  <c r="F679" i="21" s="1"/>
  <c r="I621" i="21"/>
  <c r="M588" i="21"/>
  <c r="M578" i="21"/>
  <c r="M569" i="21"/>
  <c r="R569" i="21" s="1"/>
  <c r="J551" i="21"/>
  <c r="R530" i="21"/>
  <c r="M416" i="21"/>
  <c r="Q397" i="21"/>
  <c r="R232" i="21"/>
  <c r="R228" i="21"/>
  <c r="M221" i="21"/>
  <c r="R218" i="21"/>
  <c r="R210" i="21"/>
  <c r="R200" i="21"/>
  <c r="R194" i="21"/>
  <c r="E183" i="21"/>
  <c r="L704" i="23"/>
  <c r="J686" i="23"/>
  <c r="E657" i="23"/>
  <c r="Q636" i="23"/>
  <c r="R636" i="23" s="1"/>
  <c r="Q600" i="23"/>
  <c r="Q437" i="23"/>
  <c r="R433" i="23"/>
  <c r="I350" i="23"/>
  <c r="R341" i="23"/>
  <c r="I297" i="23"/>
  <c r="E235" i="23"/>
  <c r="R164" i="23"/>
  <c r="R158" i="23"/>
  <c r="R157" i="23"/>
  <c r="R155" i="23"/>
  <c r="R154" i="23"/>
  <c r="R153" i="23"/>
  <c r="Q126" i="23"/>
  <c r="R120" i="23"/>
  <c r="R119" i="23"/>
  <c r="R114" i="23"/>
  <c r="R113" i="23"/>
  <c r="R111" i="23"/>
  <c r="Q17" i="23"/>
  <c r="B859" i="24"/>
  <c r="B856" i="24"/>
  <c r="F800" i="24"/>
  <c r="Q683" i="24"/>
  <c r="R683" i="24" s="1"/>
  <c r="Q680" i="24"/>
  <c r="E572" i="24"/>
  <c r="I522" i="24"/>
  <c r="I475" i="24"/>
  <c r="K490" i="24"/>
  <c r="K493" i="24" s="1"/>
  <c r="K494" i="24" s="1"/>
  <c r="E388" i="24"/>
  <c r="R285" i="24"/>
  <c r="R282" i="24"/>
  <c r="R281" i="24"/>
  <c r="R274" i="24"/>
  <c r="R273" i="24"/>
  <c r="R138" i="24"/>
  <c r="R116" i="24"/>
  <c r="R106" i="24"/>
  <c r="M103" i="24"/>
  <c r="AB27" i="27"/>
  <c r="P703" i="21"/>
  <c r="C590" i="21"/>
  <c r="C593" i="21" s="1"/>
  <c r="C594" i="21" s="1"/>
  <c r="C458" i="21"/>
  <c r="C461" i="21" s="1"/>
  <c r="C462" i="21" s="1"/>
  <c r="E397" i="21"/>
  <c r="R173" i="21"/>
  <c r="F696" i="23"/>
  <c r="K236" i="23"/>
  <c r="K244" i="23" s="1"/>
  <c r="K702" i="24"/>
  <c r="C685" i="24"/>
  <c r="C718" i="24" s="1"/>
  <c r="O441" i="24"/>
  <c r="O444" i="24" s="1"/>
  <c r="D441" i="24"/>
  <c r="D444" i="24" s="1"/>
  <c r="T114" i="27"/>
  <c r="T115" i="27" s="1"/>
  <c r="D79" i="27"/>
  <c r="AB33" i="27"/>
  <c r="AB94" i="27" s="1"/>
  <c r="T61" i="27"/>
  <c r="R933" i="21"/>
  <c r="D790" i="21"/>
  <c r="M712" i="21"/>
  <c r="Q504" i="21"/>
  <c r="Q486" i="21"/>
  <c r="R484" i="21"/>
  <c r="R471" i="21"/>
  <c r="R329" i="21"/>
  <c r="N370" i="21"/>
  <c r="N375" i="21" s="1"/>
  <c r="N376" i="21" s="1"/>
  <c r="R311" i="21"/>
  <c r="H887" i="23"/>
  <c r="H885" i="23"/>
  <c r="M699" i="23"/>
  <c r="I471" i="23"/>
  <c r="R471" i="23" s="1"/>
  <c r="I462" i="23"/>
  <c r="I437" i="23"/>
  <c r="I419" i="23"/>
  <c r="R354" i="23"/>
  <c r="R353" i="23"/>
  <c r="Q297" i="23"/>
  <c r="R295" i="23"/>
  <c r="R278" i="23"/>
  <c r="M235" i="23"/>
  <c r="M20" i="23"/>
  <c r="H883" i="24"/>
  <c r="B860" i="24"/>
  <c r="E858" i="24"/>
  <c r="B852" i="24"/>
  <c r="F831" i="24"/>
  <c r="F822" i="24"/>
  <c r="I683" i="24"/>
  <c r="I680" i="24"/>
  <c r="M572" i="24"/>
  <c r="R572" i="24" s="1"/>
  <c r="Q522" i="24"/>
  <c r="Q475" i="24"/>
  <c r="R474" i="24"/>
  <c r="R462" i="24"/>
  <c r="R459" i="24"/>
  <c r="R457" i="24"/>
  <c r="R442" i="24"/>
  <c r="E426" i="24"/>
  <c r="Q398" i="24"/>
  <c r="M388" i="24"/>
  <c r="R343" i="24"/>
  <c r="R222" i="24"/>
  <c r="R219" i="24"/>
  <c r="M216" i="24"/>
  <c r="R207" i="24"/>
  <c r="R23" i="24"/>
  <c r="M20" i="24"/>
  <c r="W114" i="27"/>
  <c r="S114" i="27"/>
  <c r="S115" i="27" s="1"/>
  <c r="O114" i="27"/>
  <c r="K114" i="27"/>
  <c r="K110" i="27" s="1"/>
  <c r="K105" i="27" s="1"/>
  <c r="K100" i="27" s="1"/>
  <c r="K95" i="27" s="1"/>
  <c r="G114" i="27"/>
  <c r="C114" i="27"/>
  <c r="V104" i="27"/>
  <c r="N104" i="27"/>
  <c r="F104" i="27"/>
  <c r="Q712" i="21"/>
  <c r="I708" i="21"/>
  <c r="E675" i="21"/>
  <c r="E662" i="21"/>
  <c r="E657" i="21"/>
  <c r="E653" i="21"/>
  <c r="E621" i="21"/>
  <c r="M397" i="21"/>
  <c r="R362" i="21"/>
  <c r="R160" i="21"/>
  <c r="R114" i="21"/>
  <c r="R919" i="23"/>
  <c r="Q702" i="23"/>
  <c r="Q699" i="23"/>
  <c r="F587" i="23"/>
  <c r="Q586" i="23"/>
  <c r="M586" i="23"/>
  <c r="I525" i="23"/>
  <c r="I521" i="23"/>
  <c r="R512" i="23"/>
  <c r="M437" i="23"/>
  <c r="L394" i="23"/>
  <c r="L397" i="23" s="1"/>
  <c r="L398" i="23" s="1"/>
  <c r="R328" i="23"/>
  <c r="E297" i="23"/>
  <c r="R237" i="23"/>
  <c r="Q235" i="23"/>
  <c r="R227" i="23"/>
  <c r="R147" i="23"/>
  <c r="R104" i="23"/>
  <c r="F808" i="24"/>
  <c r="Q700" i="24"/>
  <c r="C702" i="24"/>
  <c r="K690" i="24"/>
  <c r="K720" i="24" s="1"/>
  <c r="Q572" i="24"/>
  <c r="R569" i="24"/>
  <c r="C574" i="24"/>
  <c r="C577" i="24" s="1"/>
  <c r="I533" i="24"/>
  <c r="E475" i="24"/>
  <c r="R475" i="24" s="1"/>
  <c r="L441" i="24"/>
  <c r="L444" i="24" s="1"/>
  <c r="L445" i="24" s="1"/>
  <c r="N400" i="24"/>
  <c r="R374" i="24"/>
  <c r="R334" i="24"/>
  <c r="R199" i="24"/>
  <c r="O235" i="24"/>
  <c r="O243" i="24" s="1"/>
  <c r="O244" i="24" s="1"/>
  <c r="N84" i="27"/>
  <c r="N85" i="27" s="1"/>
  <c r="K61" i="27"/>
  <c r="D787" i="21"/>
  <c r="M787" i="21"/>
  <c r="H722" i="21"/>
  <c r="H743" i="21" s="1"/>
  <c r="F878" i="21"/>
  <c r="C872" i="21"/>
  <c r="F870" i="21"/>
  <c r="B868" i="21"/>
  <c r="O713" i="21"/>
  <c r="O741" i="21" s="1"/>
  <c r="D713" i="21"/>
  <c r="D741" i="21" s="1"/>
  <c r="K709" i="21"/>
  <c r="K739" i="21" s="1"/>
  <c r="I700" i="21"/>
  <c r="I674" i="21"/>
  <c r="R670" i="21"/>
  <c r="M625" i="21"/>
  <c r="R552" i="21"/>
  <c r="F551" i="21"/>
  <c r="F554" i="21" s="1"/>
  <c r="M534" i="21"/>
  <c r="R517" i="21"/>
  <c r="F506" i="21"/>
  <c r="F509" i="21" s="1"/>
  <c r="M486" i="21"/>
  <c r="Q457" i="21"/>
  <c r="E456" i="21"/>
  <c r="Q441" i="21"/>
  <c r="I416" i="21"/>
  <c r="R416" i="21" s="1"/>
  <c r="P417" i="21"/>
  <c r="P420" i="21" s="1"/>
  <c r="P421" i="21" s="1"/>
  <c r="R357" i="21"/>
  <c r="R356" i="21"/>
  <c r="R348" i="21"/>
  <c r="R346" i="21"/>
  <c r="I342" i="21"/>
  <c r="J370" i="21"/>
  <c r="F246" i="21"/>
  <c r="F254" i="21" s="1"/>
  <c r="F255" i="21" s="1"/>
  <c r="R155" i="21"/>
  <c r="R154" i="21"/>
  <c r="R142" i="21"/>
  <c r="R129" i="21"/>
  <c r="Q96" i="21"/>
  <c r="R63" i="21"/>
  <c r="M19" i="21"/>
  <c r="M18" i="21"/>
  <c r="E887" i="23"/>
  <c r="I776" i="23" s="1"/>
  <c r="G833" i="23"/>
  <c r="G826" i="23"/>
  <c r="M702" i="23"/>
  <c r="E702" i="23"/>
  <c r="R702" i="23" s="1"/>
  <c r="I700" i="23"/>
  <c r="I698" i="23"/>
  <c r="R596" i="23"/>
  <c r="R477" i="23"/>
  <c r="R476" i="23"/>
  <c r="E471" i="23"/>
  <c r="R465" i="23"/>
  <c r="E462" i="23"/>
  <c r="R462" i="23" s="1"/>
  <c r="R458" i="23"/>
  <c r="R452" i="23"/>
  <c r="P438" i="23"/>
  <c r="P441" i="23" s="1"/>
  <c r="P442" i="23" s="1"/>
  <c r="G352" i="23"/>
  <c r="G357" i="23" s="1"/>
  <c r="R270" i="23"/>
  <c r="I234" i="23"/>
  <c r="R228" i="23"/>
  <c r="R192" i="23"/>
  <c r="R191" i="23"/>
  <c r="R189" i="23"/>
  <c r="R188" i="23"/>
  <c r="Q182" i="23"/>
  <c r="G804" i="24"/>
  <c r="G828" i="24"/>
  <c r="P676" i="21"/>
  <c r="P679" i="21" s="1"/>
  <c r="H590" i="21"/>
  <c r="H593" i="21" s="1"/>
  <c r="H594" i="21" s="1"/>
  <c r="O551" i="21"/>
  <c r="O554" i="21" s="1"/>
  <c r="O555" i="21" s="1"/>
  <c r="H721" i="21"/>
  <c r="H900" i="21"/>
  <c r="H899" i="21"/>
  <c r="D876" i="21"/>
  <c r="E874" i="21"/>
  <c r="Q872" i="21"/>
  <c r="B870" i="21"/>
  <c r="F868" i="21"/>
  <c r="M790" i="21"/>
  <c r="D786" i="21"/>
  <c r="B783" i="21"/>
  <c r="E718" i="21"/>
  <c r="E717" i="21"/>
  <c r="L713" i="21"/>
  <c r="L741" i="21" s="1"/>
  <c r="G713" i="21"/>
  <c r="G741" i="21" s="1"/>
  <c r="M702" i="21"/>
  <c r="M699" i="21"/>
  <c r="M698" i="21"/>
  <c r="D703" i="21"/>
  <c r="D737" i="21" s="1"/>
  <c r="Q631" i="21"/>
  <c r="G590" i="21"/>
  <c r="G593" i="21" s="1"/>
  <c r="Q549" i="21"/>
  <c r="R546" i="21"/>
  <c r="E534" i="21"/>
  <c r="R499" i="21"/>
  <c r="R494" i="21"/>
  <c r="I490" i="21"/>
  <c r="E486" i="21"/>
  <c r="R477" i="21"/>
  <c r="R475" i="21"/>
  <c r="R450" i="21"/>
  <c r="H417" i="21"/>
  <c r="H420" i="21" s="1"/>
  <c r="Q306" i="21"/>
  <c r="R304" i="21"/>
  <c r="R303" i="21"/>
  <c r="R294" i="21"/>
  <c r="R281" i="21"/>
  <c r="R277" i="21"/>
  <c r="R235" i="21"/>
  <c r="R208" i="21"/>
  <c r="R204" i="21"/>
  <c r="N246" i="21"/>
  <c r="N254" i="21" s="1"/>
  <c r="N255" i="21" s="1"/>
  <c r="I126" i="21"/>
  <c r="R115" i="21"/>
  <c r="R105" i="21"/>
  <c r="R101" i="21"/>
  <c r="G128" i="21"/>
  <c r="G131" i="21" s="1"/>
  <c r="G132" i="21" s="1"/>
  <c r="R84" i="21"/>
  <c r="I60" i="21"/>
  <c r="H888" i="23"/>
  <c r="E885" i="23"/>
  <c r="H884" i="23"/>
  <c r="H880" i="23"/>
  <c r="O704" i="23"/>
  <c r="G704" i="23"/>
  <c r="M695" i="23"/>
  <c r="J696" i="23"/>
  <c r="J724" i="23" s="1"/>
  <c r="M689" i="23"/>
  <c r="R567" i="23"/>
  <c r="E561" i="23"/>
  <c r="J573" i="23"/>
  <c r="J576" i="23" s="1"/>
  <c r="M471" i="23"/>
  <c r="M462" i="23"/>
  <c r="R415" i="23"/>
  <c r="C438" i="23"/>
  <c r="C441" i="23" s="1"/>
  <c r="R408" i="23"/>
  <c r="R395" i="23"/>
  <c r="I393" i="23"/>
  <c r="I392" i="23"/>
  <c r="R386" i="23"/>
  <c r="R367" i="23"/>
  <c r="E351" i="23"/>
  <c r="M350" i="23"/>
  <c r="R329" i="23"/>
  <c r="R325" i="23"/>
  <c r="L352" i="23"/>
  <c r="L357" i="23" s="1"/>
  <c r="L358" i="23" s="1"/>
  <c r="R291" i="23"/>
  <c r="R290" i="23"/>
  <c r="R286" i="23"/>
  <c r="R285" i="23"/>
  <c r="R282" i="23"/>
  <c r="R281" i="23"/>
  <c r="R75" i="23"/>
  <c r="E882" i="24"/>
  <c r="I771" i="24" s="1"/>
  <c r="N936" i="21"/>
  <c r="C874" i="21"/>
  <c r="E872" i="21"/>
  <c r="F820" i="21"/>
  <c r="F771" i="21"/>
  <c r="P722" i="21"/>
  <c r="P743" i="21" s="1"/>
  <c r="I718" i="21"/>
  <c r="Q702" i="21"/>
  <c r="Q699" i="21"/>
  <c r="H676" i="21"/>
  <c r="H679" i="21" s="1"/>
  <c r="E549" i="21"/>
  <c r="G551" i="21"/>
  <c r="G554" i="21" s="1"/>
  <c r="I486" i="21"/>
  <c r="L506" i="21"/>
  <c r="L509" i="21" s="1"/>
  <c r="L510" i="21" s="1"/>
  <c r="B506" i="21"/>
  <c r="B509" i="21" s="1"/>
  <c r="B510" i="21" s="1"/>
  <c r="R459" i="21"/>
  <c r="L417" i="21"/>
  <c r="L420" i="21" s="1"/>
  <c r="L421" i="21" s="1"/>
  <c r="R352" i="21"/>
  <c r="R340" i="21"/>
  <c r="R334" i="21"/>
  <c r="R312" i="21"/>
  <c r="E306" i="21"/>
  <c r="E245" i="21"/>
  <c r="I244" i="21"/>
  <c r="R241" i="21"/>
  <c r="R150" i="21"/>
  <c r="R144" i="21"/>
  <c r="E127" i="21"/>
  <c r="M126" i="21"/>
  <c r="F62" i="21"/>
  <c r="F65" i="21" s="1"/>
  <c r="I19" i="21"/>
  <c r="H853" i="23"/>
  <c r="N15" i="23"/>
  <c r="F15" i="23"/>
  <c r="Q689" i="23"/>
  <c r="K686" i="23"/>
  <c r="R618" i="23"/>
  <c r="M615" i="23"/>
  <c r="M614" i="23"/>
  <c r="M608" i="23"/>
  <c r="E604" i="23"/>
  <c r="M600" i="23"/>
  <c r="E571" i="23"/>
  <c r="E532" i="23"/>
  <c r="R490" i="23"/>
  <c r="R481" i="23"/>
  <c r="Q471" i="23"/>
  <c r="Q462" i="23"/>
  <c r="E423" i="23"/>
  <c r="O352" i="23"/>
  <c r="O357" i="23" s="1"/>
  <c r="R316" i="23"/>
  <c r="K352" i="23"/>
  <c r="K357" i="23" s="1"/>
  <c r="K358" i="23" s="1"/>
  <c r="R308" i="23"/>
  <c r="R224" i="23"/>
  <c r="R222" i="23"/>
  <c r="R218" i="23"/>
  <c r="R212" i="23"/>
  <c r="R211" i="23"/>
  <c r="R208" i="23"/>
  <c r="I126" i="23"/>
  <c r="R105" i="23"/>
  <c r="L127" i="23"/>
  <c r="L130" i="23" s="1"/>
  <c r="L131" i="23" s="1"/>
  <c r="R27" i="23"/>
  <c r="E20" i="23"/>
  <c r="M19" i="23"/>
  <c r="M18" i="23"/>
  <c r="R914" i="24"/>
  <c r="R142" i="23"/>
  <c r="R141" i="23"/>
  <c r="M126" i="23"/>
  <c r="R126" i="23" s="1"/>
  <c r="Q20" i="23"/>
  <c r="I19" i="23"/>
  <c r="I18" i="23"/>
  <c r="I919" i="24"/>
  <c r="J920" i="24" s="1"/>
  <c r="E881" i="24"/>
  <c r="I770" i="24" s="1"/>
  <c r="E701" i="24"/>
  <c r="E700" i="24"/>
  <c r="G703" i="24"/>
  <c r="G724" i="24" s="1"/>
  <c r="N694" i="24"/>
  <c r="E682" i="24"/>
  <c r="Q573" i="24"/>
  <c r="G574" i="24"/>
  <c r="G577" i="24" s="1"/>
  <c r="M533" i="24"/>
  <c r="L535" i="24"/>
  <c r="L538" i="24" s="1"/>
  <c r="R481" i="24"/>
  <c r="Q388" i="24"/>
  <c r="R388" i="24" s="1"/>
  <c r="I384" i="24"/>
  <c r="I356" i="24"/>
  <c r="R323" i="24"/>
  <c r="R320" i="24"/>
  <c r="R315" i="24"/>
  <c r="R286" i="24"/>
  <c r="Q234" i="24"/>
  <c r="R226" i="24"/>
  <c r="Q216" i="24"/>
  <c r="R215" i="24"/>
  <c r="R211" i="24"/>
  <c r="R210" i="24"/>
  <c r="R142" i="24"/>
  <c r="E122" i="24"/>
  <c r="R111" i="24"/>
  <c r="R110" i="24"/>
  <c r="R109" i="24"/>
  <c r="M60" i="24"/>
  <c r="I48" i="24"/>
  <c r="Q20" i="24"/>
  <c r="Q19" i="24"/>
  <c r="H710" i="26"/>
  <c r="G710" i="26"/>
  <c r="X110" i="27"/>
  <c r="X105" i="27" s="1"/>
  <c r="X100" i="27" s="1"/>
  <c r="T89" i="27"/>
  <c r="T90" i="27" s="1"/>
  <c r="E16" i="23"/>
  <c r="P702" i="24"/>
  <c r="E693" i="24"/>
  <c r="M689" i="24"/>
  <c r="R689" i="24" s="1"/>
  <c r="M688" i="24"/>
  <c r="Q684" i="24"/>
  <c r="I658" i="24"/>
  <c r="P659" i="24"/>
  <c r="P662" i="24" s="1"/>
  <c r="P663" i="24" s="1"/>
  <c r="M615" i="24"/>
  <c r="E609" i="24"/>
  <c r="Q533" i="24"/>
  <c r="R530" i="24"/>
  <c r="Q503" i="24"/>
  <c r="R501" i="24"/>
  <c r="R491" i="24"/>
  <c r="I464" i="24"/>
  <c r="I440" i="24"/>
  <c r="I439" i="24"/>
  <c r="R326" i="24"/>
  <c r="R325" i="24"/>
  <c r="R318" i="24"/>
  <c r="R317" i="24"/>
  <c r="R236" i="24"/>
  <c r="E234" i="24"/>
  <c r="E233" i="24"/>
  <c r="R163" i="24"/>
  <c r="R160" i="24"/>
  <c r="R149" i="24"/>
  <c r="R57" i="24"/>
  <c r="M48" i="24"/>
  <c r="L61" i="27"/>
  <c r="W109" i="27"/>
  <c r="S109" i="27"/>
  <c r="S110" i="27" s="1"/>
  <c r="S105" i="27" s="1"/>
  <c r="S100" i="27" s="1"/>
  <c r="S95" i="27" s="1"/>
  <c r="O109" i="27"/>
  <c r="K109" i="27"/>
  <c r="G109" i="27"/>
  <c r="G110" i="27" s="1"/>
  <c r="G105" i="27" s="1"/>
  <c r="G100" i="27" s="1"/>
  <c r="C109" i="27"/>
  <c r="U99" i="27"/>
  <c r="M99" i="27"/>
  <c r="E99" i="27"/>
  <c r="AB30" i="27"/>
  <c r="R175" i="23"/>
  <c r="R171" i="23"/>
  <c r="R170" i="23"/>
  <c r="R167" i="23"/>
  <c r="E126" i="23"/>
  <c r="E125" i="23"/>
  <c r="R101" i="23"/>
  <c r="R100" i="23"/>
  <c r="H127" i="23"/>
  <c r="H130" i="23" s="1"/>
  <c r="R87" i="23"/>
  <c r="R84" i="23"/>
  <c r="R83" i="23"/>
  <c r="R78" i="23"/>
  <c r="I20" i="23"/>
  <c r="R20" i="23" s="1"/>
  <c r="R923" i="24"/>
  <c r="E885" i="24"/>
  <c r="I774" i="24" s="1"/>
  <c r="H878" i="24"/>
  <c r="I877" i="24"/>
  <c r="H876" i="24"/>
  <c r="C856" i="24"/>
  <c r="D850" i="24"/>
  <c r="G831" i="24"/>
  <c r="G822" i="24"/>
  <c r="B771" i="24"/>
  <c r="M701" i="24"/>
  <c r="M696" i="24"/>
  <c r="O685" i="24"/>
  <c r="O718" i="24" s="1"/>
  <c r="O726" i="24" s="1"/>
  <c r="O14" i="24" s="1"/>
  <c r="M10" i="25" s="1"/>
  <c r="Q615" i="24"/>
  <c r="M562" i="24"/>
  <c r="E557" i="24"/>
  <c r="O574" i="24"/>
  <c r="O577" i="24" s="1"/>
  <c r="O578" i="24" s="1"/>
  <c r="M553" i="24"/>
  <c r="O535" i="24"/>
  <c r="O538" i="24" s="1"/>
  <c r="O539" i="24" s="1"/>
  <c r="E533" i="24"/>
  <c r="Q488" i="24"/>
  <c r="R487" i="24"/>
  <c r="M464" i="24"/>
  <c r="R360" i="24"/>
  <c r="Q356" i="24"/>
  <c r="R355" i="24"/>
  <c r="R277" i="24"/>
  <c r="R269" i="24"/>
  <c r="R241" i="24"/>
  <c r="R240" i="24"/>
  <c r="R200" i="24"/>
  <c r="R196" i="24"/>
  <c r="H235" i="24"/>
  <c r="H243" i="24" s="1"/>
  <c r="R166" i="24"/>
  <c r="R157" i="24"/>
  <c r="R153" i="24"/>
  <c r="R152" i="24"/>
  <c r="M122" i="24"/>
  <c r="I103" i="24"/>
  <c r="R85" i="24"/>
  <c r="R79" i="24"/>
  <c r="E60" i="24"/>
  <c r="M16" i="24"/>
  <c r="L119" i="27"/>
  <c r="L120" i="27" s="1"/>
  <c r="D119" i="27"/>
  <c r="D120" i="27" s="1"/>
  <c r="W89" i="27"/>
  <c r="W90" i="27" s="1"/>
  <c r="D123" i="24"/>
  <c r="D126" i="24" s="1"/>
  <c r="D127" i="24" s="1"/>
  <c r="R936" i="21"/>
  <c r="I895" i="21"/>
  <c r="I932" i="21"/>
  <c r="I901" i="21"/>
  <c r="O703" i="21"/>
  <c r="O737" i="21" s="1"/>
  <c r="E864" i="23"/>
  <c r="Q864" i="23"/>
  <c r="G801" i="23"/>
  <c r="E879" i="23"/>
  <c r="I768" i="23" s="1"/>
  <c r="E877" i="23"/>
  <c r="I766" i="23" s="1"/>
  <c r="G754" i="23"/>
  <c r="G799" i="23"/>
  <c r="M718" i="21"/>
  <c r="M717" i="21"/>
  <c r="O15" i="21"/>
  <c r="D15" i="21"/>
  <c r="D722" i="21"/>
  <c r="D743" i="21" s="1"/>
  <c r="D745" i="21" s="1"/>
  <c r="D14" i="21" s="1"/>
  <c r="E712" i="21"/>
  <c r="E702" i="21"/>
  <c r="E701" i="21"/>
  <c r="L703" i="21"/>
  <c r="E699" i="21"/>
  <c r="R699" i="21" s="1"/>
  <c r="E698" i="21"/>
  <c r="R666" i="21"/>
  <c r="M657" i="21"/>
  <c r="D676" i="21"/>
  <c r="D679" i="21" s="1"/>
  <c r="M653" i="21"/>
  <c r="R647" i="21"/>
  <c r="E625" i="21"/>
  <c r="M621" i="21"/>
  <c r="R591" i="21"/>
  <c r="E588" i="21"/>
  <c r="R585" i="21"/>
  <c r="R584" i="21"/>
  <c r="E578" i="21"/>
  <c r="L590" i="21"/>
  <c r="L593" i="21" s="1"/>
  <c r="L594" i="21" s="1"/>
  <c r="E569" i="21"/>
  <c r="R565" i="21"/>
  <c r="I549" i="21"/>
  <c r="Q534" i="21"/>
  <c r="I534" i="21"/>
  <c r="Q490" i="21"/>
  <c r="R454" i="21"/>
  <c r="R439" i="21"/>
  <c r="Q416" i="21"/>
  <c r="R409" i="21"/>
  <c r="K417" i="21"/>
  <c r="K420" i="21" s="1"/>
  <c r="K421" i="21" s="1"/>
  <c r="R373" i="21"/>
  <c r="R353" i="21"/>
  <c r="R332" i="21"/>
  <c r="R325" i="21"/>
  <c r="I306" i="21"/>
  <c r="F370" i="21"/>
  <c r="F375" i="21" s="1"/>
  <c r="R299" i="21"/>
  <c r="R291" i="21"/>
  <c r="R287" i="21"/>
  <c r="R247" i="21"/>
  <c r="R226" i="21"/>
  <c r="E221" i="21"/>
  <c r="R216" i="21"/>
  <c r="R213" i="21"/>
  <c r="R180" i="21"/>
  <c r="R169" i="21"/>
  <c r="R151" i="21"/>
  <c r="R147" i="21"/>
  <c r="Q126" i="21"/>
  <c r="R125" i="21"/>
  <c r="R118" i="21"/>
  <c r="R55" i="21"/>
  <c r="N62" i="21"/>
  <c r="N65" i="21" s="1"/>
  <c r="N66" i="21" s="1"/>
  <c r="Q19" i="21"/>
  <c r="H890" i="23"/>
  <c r="R925" i="23"/>
  <c r="R922" i="23"/>
  <c r="Q928" i="23"/>
  <c r="R916" i="23"/>
  <c r="G829" i="23"/>
  <c r="G827" i="23"/>
  <c r="G825" i="23"/>
  <c r="G823" i="23"/>
  <c r="G806" i="23"/>
  <c r="E884" i="23"/>
  <c r="I773" i="23" s="1"/>
  <c r="G696" i="23"/>
  <c r="G724" i="23" s="1"/>
  <c r="E691" i="23"/>
  <c r="E690" i="23"/>
  <c r="E689" i="23"/>
  <c r="Q685" i="23"/>
  <c r="I684" i="23"/>
  <c r="Q682" i="23"/>
  <c r="R660" i="23"/>
  <c r="J659" i="23"/>
  <c r="J662" i="23" s="1"/>
  <c r="M658" i="23"/>
  <c r="I636" i="23"/>
  <c r="E615" i="23"/>
  <c r="G616" i="23"/>
  <c r="G620" i="23" s="1"/>
  <c r="G622" i="23" s="1"/>
  <c r="M604" i="23"/>
  <c r="E600" i="23"/>
  <c r="R600" i="23" s="1"/>
  <c r="R574" i="23"/>
  <c r="M561" i="23"/>
  <c r="R547" i="23"/>
  <c r="Q533" i="23"/>
  <c r="Q525" i="23"/>
  <c r="Q521" i="23"/>
  <c r="H534" i="23"/>
  <c r="H537" i="23" s="1"/>
  <c r="H538" i="23" s="1"/>
  <c r="R500" i="23"/>
  <c r="I488" i="23"/>
  <c r="I487" i="23"/>
  <c r="R482" i="23"/>
  <c r="Q393" i="23"/>
  <c r="Q392" i="23"/>
  <c r="R391" i="23"/>
  <c r="Q383" i="23"/>
  <c r="H394" i="23"/>
  <c r="H397" i="23" s="1"/>
  <c r="H398" i="23" s="1"/>
  <c r="R371" i="23"/>
  <c r="Q350" i="23"/>
  <c r="R346" i="23"/>
  <c r="R345" i="23"/>
  <c r="R344" i="23"/>
  <c r="R275" i="23"/>
  <c r="R273" i="23"/>
  <c r="R268" i="23"/>
  <c r="R265" i="23"/>
  <c r="R264" i="23"/>
  <c r="R242" i="23"/>
  <c r="R241" i="23"/>
  <c r="R240" i="23"/>
  <c r="R150" i="23"/>
  <c r="M42" i="23"/>
  <c r="J61" i="23"/>
  <c r="J64" i="23" s="1"/>
  <c r="K664" i="24"/>
  <c r="K663" i="24"/>
  <c r="L617" i="24"/>
  <c r="L621" i="24" s="1"/>
  <c r="E553" i="24"/>
  <c r="N490" i="24"/>
  <c r="Q464" i="24"/>
  <c r="L235" i="24"/>
  <c r="L243" i="24" s="1"/>
  <c r="L244" i="24" s="1"/>
  <c r="O62" i="24"/>
  <c r="O65" i="24" s="1"/>
  <c r="O66" i="24" s="1"/>
  <c r="M43" i="24"/>
  <c r="J62" i="24"/>
  <c r="H894" i="21"/>
  <c r="E878" i="21"/>
  <c r="F826" i="21"/>
  <c r="F850" i="21"/>
  <c r="C878" i="21"/>
  <c r="H878" i="21" s="1"/>
  <c r="Q878" i="21"/>
  <c r="B791" i="21"/>
  <c r="F848" i="21"/>
  <c r="E876" i="21"/>
  <c r="F824" i="21"/>
  <c r="C876" i="21"/>
  <c r="Q876" i="21"/>
  <c r="B789" i="21"/>
  <c r="B874" i="21"/>
  <c r="F874" i="21"/>
  <c r="F846" i="21"/>
  <c r="D874" i="21"/>
  <c r="Q874" i="21"/>
  <c r="B872" i="21"/>
  <c r="F872" i="21"/>
  <c r="F844" i="21"/>
  <c r="D872" i="21"/>
  <c r="F818" i="21"/>
  <c r="F842" i="21"/>
  <c r="C870" i="21"/>
  <c r="B785" i="21"/>
  <c r="E870" i="21"/>
  <c r="F816" i="21"/>
  <c r="F840" i="21"/>
  <c r="C868" i="21"/>
  <c r="Q868" i="21"/>
  <c r="E868" i="21"/>
  <c r="Q718" i="21"/>
  <c r="N721" i="21"/>
  <c r="N722" i="21"/>
  <c r="N743" i="21" s="1"/>
  <c r="I712" i="21"/>
  <c r="Q707" i="21"/>
  <c r="H709" i="21"/>
  <c r="H739" i="21" s="1"/>
  <c r="C709" i="21"/>
  <c r="C739" i="21" s="1"/>
  <c r="I702" i="21"/>
  <c r="I699" i="21"/>
  <c r="Q657" i="21"/>
  <c r="N676" i="21"/>
  <c r="N679" i="21" s="1"/>
  <c r="N680" i="21" s="1"/>
  <c r="Q621" i="21"/>
  <c r="I588" i="21"/>
  <c r="R588" i="21" s="1"/>
  <c r="I569" i="21"/>
  <c r="F590" i="21"/>
  <c r="M549" i="21"/>
  <c r="R502" i="21"/>
  <c r="R472" i="21"/>
  <c r="M456" i="21"/>
  <c r="E416" i="21"/>
  <c r="E415" i="21"/>
  <c r="R365" i="21"/>
  <c r="Q342" i="21"/>
  <c r="R341" i="21"/>
  <c r="R337" i="21"/>
  <c r="R316" i="21"/>
  <c r="R315" i="21"/>
  <c r="M306" i="21"/>
  <c r="R274" i="21"/>
  <c r="R237" i="21"/>
  <c r="R201" i="21"/>
  <c r="R197" i="21"/>
  <c r="R192" i="21"/>
  <c r="R189" i="21"/>
  <c r="M183" i="21"/>
  <c r="R167" i="21"/>
  <c r="R163" i="21"/>
  <c r="E126" i="21"/>
  <c r="R111" i="21"/>
  <c r="R94" i="21"/>
  <c r="R81" i="21"/>
  <c r="E61" i="21"/>
  <c r="E19" i="21"/>
  <c r="R19" i="21" s="1"/>
  <c r="E18" i="21"/>
  <c r="E883" i="23"/>
  <c r="I772" i="23" s="1"/>
  <c r="E882" i="23"/>
  <c r="I771" i="23" s="1"/>
  <c r="E881" i="23"/>
  <c r="I770" i="23" s="1"/>
  <c r="E880" i="23"/>
  <c r="I769" i="23" s="1"/>
  <c r="F834" i="23"/>
  <c r="D862" i="23"/>
  <c r="H862" i="23" s="1"/>
  <c r="B862" i="23"/>
  <c r="F862" i="23"/>
  <c r="D860" i="23"/>
  <c r="B775" i="23"/>
  <c r="D775" i="23" s="1"/>
  <c r="B860" i="23"/>
  <c r="F860" i="23"/>
  <c r="C704" i="23"/>
  <c r="O15" i="23"/>
  <c r="O705" i="23"/>
  <c r="O726" i="23" s="1"/>
  <c r="K15" i="23"/>
  <c r="G15" i="23"/>
  <c r="C15" i="23"/>
  <c r="Q698" i="23"/>
  <c r="I689" i="23"/>
  <c r="N686" i="23"/>
  <c r="N720" i="23" s="1"/>
  <c r="N659" i="23"/>
  <c r="N662" i="23" s="1"/>
  <c r="N664" i="23" s="1"/>
  <c r="Q750" i="23" s="1"/>
  <c r="Q658" i="23"/>
  <c r="R651" i="23"/>
  <c r="R650" i="23"/>
  <c r="M636" i="23"/>
  <c r="I600" i="23"/>
  <c r="F573" i="23"/>
  <c r="F576" i="23" s="1"/>
  <c r="K489" i="23"/>
  <c r="K492" i="23" s="1"/>
  <c r="R454" i="23"/>
  <c r="Q436" i="23"/>
  <c r="R435" i="23"/>
  <c r="R429" i="23"/>
  <c r="D438" i="23"/>
  <c r="D441" i="23" s="1"/>
  <c r="D442" i="23" s="1"/>
  <c r="M351" i="23"/>
  <c r="E350" i="23"/>
  <c r="R349" i="23"/>
  <c r="R336" i="23"/>
  <c r="R335" i="23"/>
  <c r="I330" i="23"/>
  <c r="R279" i="23"/>
  <c r="I182" i="23"/>
  <c r="P127" i="23"/>
  <c r="P130" i="23" s="1"/>
  <c r="N61" i="23"/>
  <c r="Q42" i="23"/>
  <c r="I876" i="24"/>
  <c r="I913" i="24"/>
  <c r="M693" i="24"/>
  <c r="O694" i="24"/>
  <c r="O722" i="24" s="1"/>
  <c r="D694" i="24"/>
  <c r="D722" i="24" s="1"/>
  <c r="E689" i="24"/>
  <c r="D664" i="24"/>
  <c r="F617" i="24"/>
  <c r="I609" i="24"/>
  <c r="I488" i="24"/>
  <c r="B490" i="24"/>
  <c r="E464" i="24"/>
  <c r="R464" i="24" s="1"/>
  <c r="P400" i="24"/>
  <c r="P403" i="24" s="1"/>
  <c r="P404" i="24" s="1"/>
  <c r="F400" i="24"/>
  <c r="L676" i="21"/>
  <c r="L679" i="21" s="1"/>
  <c r="L681" i="21" s="1"/>
  <c r="L682" i="21" s="1"/>
  <c r="G633" i="21"/>
  <c r="G637" i="21" s="1"/>
  <c r="G458" i="21"/>
  <c r="G461" i="21" s="1"/>
  <c r="G462" i="21" s="1"/>
  <c r="I883" i="23"/>
  <c r="F686" i="23"/>
  <c r="B659" i="23"/>
  <c r="B662" i="23" s="1"/>
  <c r="B663" i="23" s="1"/>
  <c r="E658" i="23"/>
  <c r="O616" i="23"/>
  <c r="O620" i="23" s="1"/>
  <c r="Q572" i="23"/>
  <c r="N573" i="23"/>
  <c r="N576" i="23" s="1"/>
  <c r="N577" i="23" s="1"/>
  <c r="P534" i="23"/>
  <c r="P537" i="23" s="1"/>
  <c r="P538" i="23" s="1"/>
  <c r="P394" i="23"/>
  <c r="P397" i="23" s="1"/>
  <c r="G61" i="23"/>
  <c r="G64" i="23" s="1"/>
  <c r="B61" i="23"/>
  <c r="B64" i="23" s="1"/>
  <c r="E42" i="23"/>
  <c r="L702" i="24"/>
  <c r="G702" i="24"/>
  <c r="E696" i="24"/>
  <c r="B703" i="24"/>
  <c r="B724" i="24" s="1"/>
  <c r="L663" i="24"/>
  <c r="L664" i="24"/>
  <c r="L665" i="24" s="1"/>
  <c r="H659" i="24"/>
  <c r="H662" i="24" s="1"/>
  <c r="H663" i="24" s="1"/>
  <c r="C659" i="24"/>
  <c r="C662" i="24" s="1"/>
  <c r="J617" i="24"/>
  <c r="M609" i="24"/>
  <c r="D574" i="24"/>
  <c r="D577" i="24" s="1"/>
  <c r="D578" i="24" s="1"/>
  <c r="P441" i="24"/>
  <c r="P444" i="24" s="1"/>
  <c r="P445" i="24" s="1"/>
  <c r="I897" i="21"/>
  <c r="I934" i="21"/>
  <c r="I896" i="21"/>
  <c r="I933" i="21"/>
  <c r="H902" i="21"/>
  <c r="F827" i="21"/>
  <c r="F851" i="21"/>
  <c r="C879" i="21"/>
  <c r="H879" i="21" s="1"/>
  <c r="E879" i="21"/>
  <c r="F825" i="21"/>
  <c r="C877" i="21"/>
  <c r="Q877" i="21"/>
  <c r="E877" i="21"/>
  <c r="C875" i="21"/>
  <c r="Q875" i="21"/>
  <c r="E875" i="21"/>
  <c r="B788" i="21"/>
  <c r="F845" i="21"/>
  <c r="D873" i="21"/>
  <c r="B873" i="21"/>
  <c r="F873" i="21"/>
  <c r="D871" i="21"/>
  <c r="F819" i="21"/>
  <c r="B871" i="21"/>
  <c r="H871" i="21" s="1"/>
  <c r="F871" i="21"/>
  <c r="E869" i="21"/>
  <c r="B784" i="21"/>
  <c r="F817" i="21"/>
  <c r="F841" i="21"/>
  <c r="C869" i="21"/>
  <c r="Q869" i="21"/>
  <c r="P709" i="21"/>
  <c r="P739" i="21" s="1"/>
  <c r="H703" i="21"/>
  <c r="H737" i="21" s="1"/>
  <c r="Q569" i="21"/>
  <c r="N590" i="21"/>
  <c r="I880" i="23"/>
  <c r="I917" i="23"/>
  <c r="H854" i="23"/>
  <c r="B776" i="23"/>
  <c r="M776" i="23" s="1"/>
  <c r="B861" i="23"/>
  <c r="F861" i="23"/>
  <c r="F833" i="23"/>
  <c r="D861" i="23"/>
  <c r="F831" i="23"/>
  <c r="B859" i="23"/>
  <c r="F859" i="23"/>
  <c r="D859" i="23"/>
  <c r="K704" i="23"/>
  <c r="K705" i="23"/>
  <c r="K726" i="23" s="1"/>
  <c r="F659" i="23"/>
  <c r="F662" i="23" s="1"/>
  <c r="F663" i="23" s="1"/>
  <c r="I658" i="23"/>
  <c r="L659" i="23"/>
  <c r="L662" i="23" s="1"/>
  <c r="L664" i="23" s="1"/>
  <c r="L665" i="23" s="1"/>
  <c r="C489" i="23"/>
  <c r="C492" i="23" s="1"/>
  <c r="L438" i="23"/>
  <c r="L441" i="23" s="1"/>
  <c r="L442" i="23" s="1"/>
  <c r="H236" i="23"/>
  <c r="H244" i="23" s="1"/>
  <c r="H245" i="23" s="1"/>
  <c r="C236" i="23"/>
  <c r="C244" i="23" s="1"/>
  <c r="C245" i="23" s="1"/>
  <c r="F61" i="23"/>
  <c r="I42" i="23"/>
  <c r="R920" i="24"/>
  <c r="G832" i="24"/>
  <c r="E886" i="24"/>
  <c r="I775" i="24" s="1"/>
  <c r="F803" i="24"/>
  <c r="C855" i="24"/>
  <c r="F855" i="24"/>
  <c r="B770" i="24"/>
  <c r="F825" i="24"/>
  <c r="D853" i="24"/>
  <c r="E853" i="24"/>
  <c r="F799" i="24"/>
  <c r="B851" i="24"/>
  <c r="F851" i="24"/>
  <c r="O690" i="24"/>
  <c r="O720" i="24" s="1"/>
  <c r="N617" i="24"/>
  <c r="Q609" i="24"/>
  <c r="E489" i="24"/>
  <c r="C490" i="24"/>
  <c r="C493" i="24" s="1"/>
  <c r="C494" i="24" s="1"/>
  <c r="M84" i="27"/>
  <c r="M85" i="27" s="1"/>
  <c r="O89" i="27"/>
  <c r="O90" i="27" s="1"/>
  <c r="G89" i="27"/>
  <c r="G90" i="27" s="1"/>
  <c r="M907" i="21"/>
  <c r="Q717" i="21"/>
  <c r="C15" i="21"/>
  <c r="C713" i="21"/>
  <c r="C741" i="21" s="1"/>
  <c r="M707" i="21"/>
  <c r="D709" i="21"/>
  <c r="D739" i="21" s="1"/>
  <c r="Q698" i="21"/>
  <c r="C703" i="21"/>
  <c r="C737" i="21" s="1"/>
  <c r="R668" i="21"/>
  <c r="Q653" i="21"/>
  <c r="R651" i="21"/>
  <c r="I625" i="21"/>
  <c r="R625" i="21" s="1"/>
  <c r="R601" i="21"/>
  <c r="R583" i="21"/>
  <c r="Q578" i="21"/>
  <c r="R576" i="21"/>
  <c r="R529" i="21"/>
  <c r="R500" i="21"/>
  <c r="R495" i="21"/>
  <c r="M490" i="21"/>
  <c r="R473" i="21"/>
  <c r="I456" i="21"/>
  <c r="R438" i="21"/>
  <c r="M406" i="21"/>
  <c r="Q402" i="21"/>
  <c r="D417" i="21"/>
  <c r="D420" i="21" s="1"/>
  <c r="R400" i="21"/>
  <c r="R371" i="21"/>
  <c r="E369" i="21"/>
  <c r="I368" i="21"/>
  <c r="R366" i="21"/>
  <c r="R354" i="21"/>
  <c r="M342" i="21"/>
  <c r="R342" i="21" s="1"/>
  <c r="R336" i="21"/>
  <c r="R324" i="21"/>
  <c r="R300" i="21"/>
  <c r="R292" i="21"/>
  <c r="R282" i="21"/>
  <c r="R278" i="21"/>
  <c r="R273" i="21"/>
  <c r="R240" i="21"/>
  <c r="R227" i="21"/>
  <c r="I221" i="21"/>
  <c r="R217" i="21"/>
  <c r="R209" i="21"/>
  <c r="R205" i="21"/>
  <c r="R196" i="21"/>
  <c r="R188" i="21"/>
  <c r="I183" i="21"/>
  <c r="R168" i="21"/>
  <c r="R164" i="21"/>
  <c r="R152" i="21"/>
  <c r="R143" i="21"/>
  <c r="I127" i="21"/>
  <c r="R116" i="21"/>
  <c r="R100" i="21"/>
  <c r="R83" i="21"/>
  <c r="I21" i="21"/>
  <c r="M20" i="21"/>
  <c r="I18" i="21"/>
  <c r="N922" i="23"/>
  <c r="I882" i="23"/>
  <c r="H878" i="23"/>
  <c r="M703" i="23"/>
  <c r="E700" i="23"/>
  <c r="I688" i="23"/>
  <c r="O686" i="23"/>
  <c r="O720" i="23" s="1"/>
  <c r="M685" i="23"/>
  <c r="E684" i="23"/>
  <c r="Q657" i="23"/>
  <c r="R654" i="23"/>
  <c r="Q647" i="23"/>
  <c r="D659" i="23"/>
  <c r="D662" i="23" s="1"/>
  <c r="D664" i="23" s="1"/>
  <c r="R646" i="23"/>
  <c r="P659" i="23"/>
  <c r="P662" i="23" s="1"/>
  <c r="P664" i="23" s="1"/>
  <c r="K659" i="23"/>
  <c r="R617" i="23"/>
  <c r="Q615" i="23"/>
  <c r="C616" i="23"/>
  <c r="C620" i="23" s="1"/>
  <c r="C622" i="23" s="1"/>
  <c r="R584" i="23"/>
  <c r="E572" i="23"/>
  <c r="I571" i="23"/>
  <c r="R566" i="23"/>
  <c r="I561" i="23"/>
  <c r="Q556" i="23"/>
  <c r="E533" i="23"/>
  <c r="I532" i="23"/>
  <c r="L534" i="23"/>
  <c r="L537" i="23" s="1"/>
  <c r="E488" i="23"/>
  <c r="R480" i="23"/>
  <c r="R474" i="23"/>
  <c r="O489" i="23"/>
  <c r="O492" i="23" s="1"/>
  <c r="O493" i="23" s="1"/>
  <c r="R455" i="23"/>
  <c r="R428" i="23"/>
  <c r="M393" i="23"/>
  <c r="M392" i="23"/>
  <c r="R390" i="23"/>
  <c r="R368" i="23"/>
  <c r="I351" i="23"/>
  <c r="R348" i="23"/>
  <c r="R342" i="23"/>
  <c r="M330" i="23"/>
  <c r="R327" i="23"/>
  <c r="R324" i="23"/>
  <c r="R323" i="23"/>
  <c r="R322" i="23"/>
  <c r="R320" i="23"/>
  <c r="R319" i="23"/>
  <c r="M312" i="23"/>
  <c r="D352" i="23"/>
  <c r="D357" i="23" s="1"/>
  <c r="D358" i="23" s="1"/>
  <c r="R311" i="23"/>
  <c r="R301" i="23"/>
  <c r="R253" i="23"/>
  <c r="R255" i="23" s="1"/>
  <c r="M234" i="23"/>
  <c r="R229" i="23"/>
  <c r="R186" i="23"/>
  <c r="M182" i="23"/>
  <c r="O236" i="23"/>
  <c r="O244" i="23" s="1"/>
  <c r="O245" i="23" s="1"/>
  <c r="D236" i="23"/>
  <c r="D244" i="23" s="1"/>
  <c r="D245" i="23" s="1"/>
  <c r="R169" i="23"/>
  <c r="R159" i="23"/>
  <c r="R81" i="23"/>
  <c r="R62" i="23"/>
  <c r="R23" i="23"/>
  <c r="M17" i="23"/>
  <c r="Q16" i="23"/>
  <c r="N920" i="24"/>
  <c r="G797" i="24"/>
  <c r="G821" i="24"/>
  <c r="E875" i="24"/>
  <c r="I764" i="24" s="1"/>
  <c r="G752" i="24"/>
  <c r="I701" i="24"/>
  <c r="R701" i="24" s="1"/>
  <c r="I696" i="24"/>
  <c r="Q693" i="24"/>
  <c r="C694" i="24"/>
  <c r="C722" i="24" s="1"/>
  <c r="I689" i="24"/>
  <c r="M684" i="24"/>
  <c r="L685" i="24"/>
  <c r="L718" i="24" s="1"/>
  <c r="I681" i="24"/>
  <c r="E658" i="24"/>
  <c r="R658" i="24" s="1"/>
  <c r="E657" i="24"/>
  <c r="E648" i="24"/>
  <c r="E641" i="24"/>
  <c r="G659" i="24"/>
  <c r="G662" i="24" s="1"/>
  <c r="K574" i="24"/>
  <c r="K577" i="24" s="1"/>
  <c r="K578" i="24" s="1"/>
  <c r="I553" i="24"/>
  <c r="E503" i="24"/>
  <c r="M488" i="24"/>
  <c r="R482" i="24"/>
  <c r="I470" i="24"/>
  <c r="I357" i="24"/>
  <c r="H358" i="24"/>
  <c r="H362" i="24" s="1"/>
  <c r="R356" i="24"/>
  <c r="L358" i="24"/>
  <c r="L362" i="24" s="1"/>
  <c r="L363" i="24" s="1"/>
  <c r="N942" i="21"/>
  <c r="Q945" i="21"/>
  <c r="H896" i="21"/>
  <c r="I717" i="21"/>
  <c r="K713" i="21"/>
  <c r="K741" i="21" s="1"/>
  <c r="E707" i="21"/>
  <c r="L709" i="21"/>
  <c r="L739" i="21" s="1"/>
  <c r="I698" i="21"/>
  <c r="R665" i="21"/>
  <c r="I653" i="21"/>
  <c r="R653" i="21" s="1"/>
  <c r="Q625" i="21"/>
  <c r="K633" i="21"/>
  <c r="K637" i="21" s="1"/>
  <c r="K639" i="21" s="1"/>
  <c r="F633" i="21"/>
  <c r="F637" i="21" s="1"/>
  <c r="M589" i="21"/>
  <c r="I578" i="21"/>
  <c r="N506" i="21"/>
  <c r="E490" i="21"/>
  <c r="Q456" i="21"/>
  <c r="R455" i="21"/>
  <c r="R394" i="21"/>
  <c r="R363" i="21"/>
  <c r="E342" i="21"/>
  <c r="R333" i="21"/>
  <c r="R328" i="21"/>
  <c r="R313" i="21"/>
  <c r="R298" i="21"/>
  <c r="R295" i="21"/>
  <c r="R286" i="21"/>
  <c r="R275" i="21"/>
  <c r="R249" i="21"/>
  <c r="R236" i="21"/>
  <c r="R231" i="21"/>
  <c r="Q221" i="21"/>
  <c r="R220" i="21"/>
  <c r="R212" i="21"/>
  <c r="R202" i="21"/>
  <c r="R193" i="21"/>
  <c r="Q183" i="21"/>
  <c r="R181" i="21"/>
  <c r="R172" i="21"/>
  <c r="R161" i="21"/>
  <c r="R146" i="21"/>
  <c r="R120" i="21"/>
  <c r="M108" i="21"/>
  <c r="R106" i="21"/>
  <c r="R93" i="21"/>
  <c r="K128" i="21"/>
  <c r="K131" i="21" s="1"/>
  <c r="R80" i="21"/>
  <c r="R75" i="21"/>
  <c r="B62" i="21"/>
  <c r="R28" i="21"/>
  <c r="Q18" i="21"/>
  <c r="Q17" i="21"/>
  <c r="E16" i="21"/>
  <c r="N916" i="23"/>
  <c r="H882" i="23"/>
  <c r="H858" i="23"/>
  <c r="H855" i="23"/>
  <c r="D777" i="23"/>
  <c r="Q691" i="23"/>
  <c r="Q688" i="23"/>
  <c r="M684" i="23"/>
  <c r="E681" i="23"/>
  <c r="R631" i="23"/>
  <c r="R630" i="23"/>
  <c r="I615" i="23"/>
  <c r="I614" i="23"/>
  <c r="K616" i="23"/>
  <c r="K620" i="23" s="1"/>
  <c r="Q561" i="23"/>
  <c r="R559" i="23"/>
  <c r="I556" i="23"/>
  <c r="P573" i="23"/>
  <c r="P576" i="23" s="1"/>
  <c r="P577" i="23" s="1"/>
  <c r="R535" i="23"/>
  <c r="M525" i="23"/>
  <c r="D534" i="23"/>
  <c r="D537" i="23" s="1"/>
  <c r="R513" i="23"/>
  <c r="M488" i="23"/>
  <c r="M487" i="23"/>
  <c r="R484" i="23"/>
  <c r="G489" i="23"/>
  <c r="G492" i="23" s="1"/>
  <c r="G493" i="23" s="1"/>
  <c r="R460" i="23"/>
  <c r="R453" i="23"/>
  <c r="E436" i="23"/>
  <c r="R431" i="23"/>
  <c r="Q423" i="23"/>
  <c r="E419" i="23"/>
  <c r="O438" i="23"/>
  <c r="O441" i="23" s="1"/>
  <c r="R407" i="23"/>
  <c r="E393" i="23"/>
  <c r="E383" i="23"/>
  <c r="Q351" i="23"/>
  <c r="R307" i="23"/>
  <c r="R304" i="23"/>
  <c r="N352" i="23"/>
  <c r="N357" i="23" s="1"/>
  <c r="J352" i="23"/>
  <c r="F352" i="23"/>
  <c r="F357" i="23" s="1"/>
  <c r="B352" i="23"/>
  <c r="R294" i="23"/>
  <c r="R288" i="23"/>
  <c r="R280" i="23"/>
  <c r="R269" i="23"/>
  <c r="R266" i="23"/>
  <c r="R210" i="23"/>
  <c r="R201" i="23"/>
  <c r="R193" i="23"/>
  <c r="E182" i="23"/>
  <c r="R152" i="23"/>
  <c r="R143" i="23"/>
  <c r="M107" i="23"/>
  <c r="R106" i="23"/>
  <c r="G127" i="23"/>
  <c r="G130" i="23" s="1"/>
  <c r="I878" i="24"/>
  <c r="I915" i="24"/>
  <c r="H884" i="24"/>
  <c r="G826" i="24"/>
  <c r="E880" i="24"/>
  <c r="I769" i="24" s="1"/>
  <c r="G800" i="24"/>
  <c r="G824" i="24"/>
  <c r="Q701" i="24"/>
  <c r="H702" i="24"/>
  <c r="Q696" i="24"/>
  <c r="I693" i="24"/>
  <c r="Q689" i="24"/>
  <c r="Q688" i="24"/>
  <c r="C690" i="24"/>
  <c r="C720" i="24" s="1"/>
  <c r="M658" i="24"/>
  <c r="M573" i="24"/>
  <c r="R566" i="24"/>
  <c r="Q553" i="24"/>
  <c r="R549" i="24"/>
  <c r="Q534" i="24"/>
  <c r="I526" i="24"/>
  <c r="G535" i="24"/>
  <c r="G538" i="24" s="1"/>
  <c r="G539" i="24" s="1"/>
  <c r="E488" i="24"/>
  <c r="R488" i="24" s="1"/>
  <c r="N235" i="24"/>
  <c r="Q174" i="24"/>
  <c r="P123" i="24"/>
  <c r="P126" i="24" s="1"/>
  <c r="P127" i="24" s="1"/>
  <c r="R238" i="23"/>
  <c r="Q234" i="23"/>
  <c r="R232" i="23"/>
  <c r="R231" i="23"/>
  <c r="R219" i="23"/>
  <c r="L236" i="23"/>
  <c r="L244" i="23" s="1"/>
  <c r="I215" i="23"/>
  <c r="R213" i="23"/>
  <c r="R207" i="23"/>
  <c r="R202" i="23"/>
  <c r="R194" i="23"/>
  <c r="R173" i="23"/>
  <c r="R166" i="23"/>
  <c r="R161" i="23"/>
  <c r="R149" i="23"/>
  <c r="R144" i="23"/>
  <c r="R115" i="23"/>
  <c r="R110" i="23"/>
  <c r="M96" i="23"/>
  <c r="R93" i="23"/>
  <c r="K127" i="23"/>
  <c r="K130" i="23" s="1"/>
  <c r="K131" i="23" s="1"/>
  <c r="R77" i="23"/>
  <c r="Q51" i="23"/>
  <c r="M51" i="23"/>
  <c r="E29" i="23"/>
  <c r="E21" i="23"/>
  <c r="Q19" i="23"/>
  <c r="I16" i="23"/>
  <c r="N917" i="24"/>
  <c r="H886" i="24"/>
  <c r="H880" i="24"/>
  <c r="H879" i="24"/>
  <c r="H875" i="24"/>
  <c r="G694" i="24"/>
  <c r="G722" i="24" s="1"/>
  <c r="E688" i="24"/>
  <c r="R660" i="24"/>
  <c r="I657" i="24"/>
  <c r="R657" i="24" s="1"/>
  <c r="I648" i="24"/>
  <c r="I641" i="24"/>
  <c r="R631" i="24"/>
  <c r="E615" i="24"/>
  <c r="E573" i="24"/>
  <c r="M557" i="24"/>
  <c r="I534" i="24"/>
  <c r="I503" i="24"/>
  <c r="R503" i="24" s="1"/>
  <c r="R484" i="24"/>
  <c r="R478" i="24"/>
  <c r="O490" i="24"/>
  <c r="O493" i="24" s="1"/>
  <c r="O494" i="24" s="1"/>
  <c r="M470" i="24"/>
  <c r="R467" i="24"/>
  <c r="Q440" i="24"/>
  <c r="Q430" i="24"/>
  <c r="H441" i="24"/>
  <c r="H444" i="24" s="1"/>
  <c r="R397" i="24"/>
  <c r="R352" i="24"/>
  <c r="R351" i="24"/>
  <c r="R346" i="24"/>
  <c r="R345" i="24"/>
  <c r="R303" i="24"/>
  <c r="R302" i="24"/>
  <c r="R278" i="24"/>
  <c r="R265" i="24"/>
  <c r="R264" i="24"/>
  <c r="I234" i="24"/>
  <c r="E216" i="24"/>
  <c r="R204" i="24"/>
  <c r="R203" i="24"/>
  <c r="R193" i="24"/>
  <c r="P235" i="24"/>
  <c r="P243" i="24" s="1"/>
  <c r="F235" i="24"/>
  <c r="I174" i="24"/>
  <c r="R146" i="24"/>
  <c r="R145" i="24"/>
  <c r="I121" i="24"/>
  <c r="R118" i="24"/>
  <c r="Q103" i="24"/>
  <c r="R102" i="24"/>
  <c r="R101" i="24"/>
  <c r="Q95" i="24"/>
  <c r="R93" i="24"/>
  <c r="R92" i="24"/>
  <c r="H123" i="24"/>
  <c r="H126" i="24" s="1"/>
  <c r="R82" i="24"/>
  <c r="Q48" i="24"/>
  <c r="E20" i="24"/>
  <c r="R20" i="24" s="1"/>
  <c r="R339" i="23"/>
  <c r="E330" i="23"/>
  <c r="R321" i="23"/>
  <c r="R315" i="23"/>
  <c r="C352" i="23"/>
  <c r="C357" i="23" s="1"/>
  <c r="C358" i="23" s="1"/>
  <c r="R306" i="23"/>
  <c r="R303" i="23"/>
  <c r="R302" i="23"/>
  <c r="R287" i="23"/>
  <c r="R283" i="23"/>
  <c r="R277" i="23"/>
  <c r="R271" i="23"/>
  <c r="R263" i="23"/>
  <c r="R239" i="23"/>
  <c r="E234" i="23"/>
  <c r="R234" i="23" s="1"/>
  <c r="R226" i="23"/>
  <c r="R220" i="23"/>
  <c r="P236" i="23"/>
  <c r="P244" i="23" s="1"/>
  <c r="P245" i="23" s="1"/>
  <c r="R209" i="23"/>
  <c r="R204" i="23"/>
  <c r="R199" i="23"/>
  <c r="R196" i="23"/>
  <c r="R195" i="23"/>
  <c r="R168" i="23"/>
  <c r="R163" i="23"/>
  <c r="R151" i="23"/>
  <c r="R146" i="23"/>
  <c r="Q125" i="23"/>
  <c r="R124" i="23"/>
  <c r="R116" i="23"/>
  <c r="R103" i="23"/>
  <c r="Q96" i="23"/>
  <c r="D127" i="23"/>
  <c r="D130" i="23" s="1"/>
  <c r="R79" i="23"/>
  <c r="R74" i="23"/>
  <c r="I60" i="23"/>
  <c r="E60" i="23"/>
  <c r="R54" i="23"/>
  <c r="I21" i="23"/>
  <c r="E19" i="23"/>
  <c r="R19" i="23" s="1"/>
  <c r="M16" i="23"/>
  <c r="F856" i="24"/>
  <c r="M700" i="24"/>
  <c r="O702" i="24"/>
  <c r="O703" i="24"/>
  <c r="O724" i="24" s="1"/>
  <c r="M698" i="24"/>
  <c r="K694" i="24"/>
  <c r="K722" i="24" s="1"/>
  <c r="I688" i="24"/>
  <c r="I684" i="24"/>
  <c r="M657" i="24"/>
  <c r="M648" i="24"/>
  <c r="M641" i="24"/>
  <c r="O659" i="24"/>
  <c r="O662" i="24" s="1"/>
  <c r="R632" i="24"/>
  <c r="I615" i="24"/>
  <c r="Q605" i="24"/>
  <c r="H617" i="24"/>
  <c r="H621" i="24" s="1"/>
  <c r="R575" i="24"/>
  <c r="I573" i="24"/>
  <c r="R573" i="24" s="1"/>
  <c r="R536" i="24"/>
  <c r="M534" i="24"/>
  <c r="R514" i="24"/>
  <c r="R513" i="24"/>
  <c r="M503" i="24"/>
  <c r="R479" i="24"/>
  <c r="R413" i="24"/>
  <c r="R394" i="24"/>
  <c r="R393" i="24"/>
  <c r="Q384" i="24"/>
  <c r="R381" i="24"/>
  <c r="H400" i="24"/>
  <c r="H403" i="24" s="1"/>
  <c r="H404" i="24" s="1"/>
  <c r="Q357" i="24"/>
  <c r="R357" i="24" s="1"/>
  <c r="R339" i="24"/>
  <c r="R338" i="24"/>
  <c r="R337" i="24"/>
  <c r="D358" i="24"/>
  <c r="D362" i="24" s="1"/>
  <c r="R328" i="24"/>
  <c r="R310" i="24"/>
  <c r="R291" i="24"/>
  <c r="R290" i="24"/>
  <c r="M254" i="24"/>
  <c r="R237" i="24"/>
  <c r="M234" i="24"/>
  <c r="R234" i="24" s="1"/>
  <c r="D235" i="24"/>
  <c r="D243" i="24" s="1"/>
  <c r="M233" i="24"/>
  <c r="R228" i="24"/>
  <c r="I216" i="24"/>
  <c r="R208" i="24"/>
  <c r="R191" i="24"/>
  <c r="R185" i="24"/>
  <c r="J235" i="24"/>
  <c r="J243" i="24" s="1"/>
  <c r="M174" i="24"/>
  <c r="R168" i="24"/>
  <c r="R150" i="24"/>
  <c r="R107" i="24"/>
  <c r="E103" i="24"/>
  <c r="R76" i="24"/>
  <c r="R75" i="24"/>
  <c r="I61" i="24"/>
  <c r="E48" i="24"/>
  <c r="I20" i="24"/>
  <c r="I19" i="24"/>
  <c r="I18" i="24"/>
  <c r="R456" i="24"/>
  <c r="E440" i="24"/>
  <c r="R435" i="24"/>
  <c r="M384" i="24"/>
  <c r="D400" i="24"/>
  <c r="D403" i="24" s="1"/>
  <c r="D404" i="24" s="1"/>
  <c r="R359" i="24"/>
  <c r="E357" i="24"/>
  <c r="R347" i="24"/>
  <c r="R342" i="24"/>
  <c r="P358" i="24"/>
  <c r="P362" i="24" s="1"/>
  <c r="P363" i="24" s="1"/>
  <c r="R327" i="24"/>
  <c r="R322" i="24"/>
  <c r="R287" i="24"/>
  <c r="R276" i="24"/>
  <c r="R252" i="24"/>
  <c r="R254" i="24" s="1"/>
  <c r="Q233" i="24"/>
  <c r="R230" i="24"/>
  <c r="R229" i="24"/>
  <c r="R212" i="24"/>
  <c r="R201" i="24"/>
  <c r="R192" i="24"/>
  <c r="R187" i="24"/>
  <c r="R171" i="24"/>
  <c r="R170" i="24"/>
  <c r="R159" i="24"/>
  <c r="R154" i="24"/>
  <c r="R143" i="24"/>
  <c r="Q122" i="24"/>
  <c r="R122" i="24" s="1"/>
  <c r="M121" i="24"/>
  <c r="R100" i="24"/>
  <c r="R86" i="24"/>
  <c r="R81" i="24"/>
  <c r="R63" i="24"/>
  <c r="G62" i="24"/>
  <c r="G65" i="24" s="1"/>
  <c r="G66" i="24" s="1"/>
  <c r="E61" i="24"/>
  <c r="R55" i="24"/>
  <c r="I21" i="24"/>
  <c r="E19" i="24"/>
  <c r="M440" i="24"/>
  <c r="K441" i="24"/>
  <c r="K444" i="24" s="1"/>
  <c r="I399" i="24"/>
  <c r="M398" i="24"/>
  <c r="R396" i="24"/>
  <c r="E384" i="24"/>
  <c r="R384" i="24" s="1"/>
  <c r="R372" i="24"/>
  <c r="M357" i="24"/>
  <c r="R354" i="24"/>
  <c r="R332" i="24"/>
  <c r="R319" i="24"/>
  <c r="R314" i="24"/>
  <c r="R305" i="24"/>
  <c r="R300" i="24"/>
  <c r="R284" i="24"/>
  <c r="R279" i="24"/>
  <c r="R268" i="24"/>
  <c r="R267" i="24"/>
  <c r="R238" i="24"/>
  <c r="I233" i="24"/>
  <c r="R227" i="24"/>
  <c r="R221" i="24"/>
  <c r="R209" i="24"/>
  <c r="R195" i="24"/>
  <c r="R194" i="24"/>
  <c r="R184" i="24"/>
  <c r="K235" i="24"/>
  <c r="K243" i="24" s="1"/>
  <c r="K244" i="24" s="1"/>
  <c r="R167" i="24"/>
  <c r="R162" i="24"/>
  <c r="R151" i="24"/>
  <c r="R141" i="24"/>
  <c r="R137" i="24"/>
  <c r="R136" i="24"/>
  <c r="I122" i="24"/>
  <c r="R108" i="24"/>
  <c r="L123" i="24"/>
  <c r="L126" i="24" s="1"/>
  <c r="L127" i="24" s="1"/>
  <c r="R83" i="24"/>
  <c r="K62" i="24"/>
  <c r="K65" i="24" s="1"/>
  <c r="I52" i="24"/>
  <c r="M19" i="24"/>
  <c r="M17" i="24"/>
  <c r="Y104" i="27"/>
  <c r="U104" i="27"/>
  <c r="Q104" i="27"/>
  <c r="M104" i="27"/>
  <c r="I104" i="27"/>
  <c r="E104" i="27"/>
  <c r="AA104" i="27"/>
  <c r="H110" i="27"/>
  <c r="H105" i="27" s="1"/>
  <c r="H100" i="27" s="1"/>
  <c r="AA79" i="27"/>
  <c r="O115" i="27"/>
  <c r="O110" i="27"/>
  <c r="O105" i="27" s="1"/>
  <c r="O100" i="27" s="1"/>
  <c r="O95" i="27" s="1"/>
  <c r="C115" i="27"/>
  <c r="C110" i="27"/>
  <c r="C105" i="27" s="1"/>
  <c r="C100" i="27" s="1"/>
  <c r="C95" i="27" s="1"/>
  <c r="S61" i="27"/>
  <c r="K89" i="27"/>
  <c r="C61" i="27"/>
  <c r="AA17" i="27"/>
  <c r="AA89" i="27" s="1"/>
  <c r="AA36" i="27"/>
  <c r="AA99" i="27" s="1"/>
  <c r="S89" i="27"/>
  <c r="S90" i="27" s="1"/>
  <c r="C89" i="27"/>
  <c r="Y114" i="27"/>
  <c r="Q114" i="27"/>
  <c r="Q115" i="27" s="1"/>
  <c r="M114" i="27"/>
  <c r="M115" i="27" s="1"/>
  <c r="I114" i="27"/>
  <c r="I110" i="27" s="1"/>
  <c r="I105" i="27" s="1"/>
  <c r="I100" i="27" s="1"/>
  <c r="I95" i="27" s="1"/>
  <c r="Y109" i="27"/>
  <c r="U109" i="27"/>
  <c r="Q109" i="27"/>
  <c r="M109" i="27"/>
  <c r="I109" i="27"/>
  <c r="E109" i="27"/>
  <c r="AB42" i="27"/>
  <c r="AB104" i="27" s="1"/>
  <c r="Z114" i="27"/>
  <c r="R114" i="27"/>
  <c r="N114" i="27"/>
  <c r="J114" i="27"/>
  <c r="J115" i="27" s="1"/>
  <c r="Z99" i="27"/>
  <c r="V99" i="27"/>
  <c r="R99" i="27"/>
  <c r="N99" i="27"/>
  <c r="J99" i="27"/>
  <c r="F99" i="27"/>
  <c r="R667" i="23"/>
  <c r="R708" i="23"/>
  <c r="M945" i="21"/>
  <c r="P737" i="21"/>
  <c r="H681" i="21"/>
  <c r="H680" i="21"/>
  <c r="R486" i="21"/>
  <c r="I481" i="21"/>
  <c r="G506" i="21"/>
  <c r="R397" i="21"/>
  <c r="L62" i="21"/>
  <c r="L65" i="21" s="1"/>
  <c r="M43" i="21"/>
  <c r="N31" i="21"/>
  <c r="Q30" i="21"/>
  <c r="L539" i="24"/>
  <c r="N939" i="21"/>
  <c r="N933" i="21"/>
  <c r="E720" i="21"/>
  <c r="B721" i="21"/>
  <c r="I719" i="21"/>
  <c r="G721" i="21"/>
  <c r="I721" i="21" s="1"/>
  <c r="Q705" i="21"/>
  <c r="O709" i="21"/>
  <c r="O739" i="21" s="1"/>
  <c r="J703" i="21"/>
  <c r="M697" i="21"/>
  <c r="G639" i="21"/>
  <c r="G638" i="21"/>
  <c r="F604" i="21"/>
  <c r="I603" i="21"/>
  <c r="G594" i="21"/>
  <c r="R564" i="21"/>
  <c r="Q542" i="21"/>
  <c r="N551" i="21"/>
  <c r="H520" i="21"/>
  <c r="I519" i="21"/>
  <c r="N509" i="21"/>
  <c r="G370" i="21"/>
  <c r="L246" i="21"/>
  <c r="L254" i="21" s="1"/>
  <c r="E89" i="21"/>
  <c r="B128" i="21"/>
  <c r="I701" i="23"/>
  <c r="F704" i="23"/>
  <c r="F705" i="23"/>
  <c r="C720" i="23"/>
  <c r="P663" i="23"/>
  <c r="I937" i="21"/>
  <c r="I900" i="21"/>
  <c r="I898" i="21"/>
  <c r="I935" i="21"/>
  <c r="E901" i="21"/>
  <c r="I790" i="21" s="1"/>
  <c r="I796" i="21" s="1"/>
  <c r="D794" i="21"/>
  <c r="M794" i="21"/>
  <c r="D793" i="21"/>
  <c r="M793" i="21"/>
  <c r="G771" i="21"/>
  <c r="H907" i="21"/>
  <c r="H903" i="21"/>
  <c r="H895" i="21"/>
  <c r="G853" i="21"/>
  <c r="G827" i="21"/>
  <c r="G823" i="21"/>
  <c r="G819" i="21"/>
  <c r="J15" i="21"/>
  <c r="J722" i="21"/>
  <c r="M716" i="21"/>
  <c r="Q715" i="21"/>
  <c r="O722" i="21"/>
  <c r="O743" i="21" s="1"/>
  <c r="R702" i="21"/>
  <c r="L737" i="21"/>
  <c r="K638" i="21"/>
  <c r="N604" i="21"/>
  <c r="Q603" i="21"/>
  <c r="P520" i="21"/>
  <c r="Q519" i="21"/>
  <c r="N461" i="21"/>
  <c r="O458" i="21"/>
  <c r="O461" i="21" s="1"/>
  <c r="J375" i="21"/>
  <c r="O128" i="21"/>
  <c r="O131" i="21" s="1"/>
  <c r="H128" i="21"/>
  <c r="H131" i="21" s="1"/>
  <c r="H62" i="21"/>
  <c r="H65" i="21" s="1"/>
  <c r="I43" i="21"/>
  <c r="D773" i="23"/>
  <c r="M773" i="23"/>
  <c r="D765" i="24"/>
  <c r="M765" i="24"/>
  <c r="K445" i="24"/>
  <c r="B881" i="21"/>
  <c r="P681" i="21"/>
  <c r="P680" i="21"/>
  <c r="B604" i="21"/>
  <c r="E603" i="21"/>
  <c r="G555" i="21"/>
  <c r="D520" i="21"/>
  <c r="E519" i="21"/>
  <c r="M505" i="21"/>
  <c r="J506" i="21"/>
  <c r="F376" i="21"/>
  <c r="M127" i="21"/>
  <c r="L128" i="21"/>
  <c r="L131" i="21" s="1"/>
  <c r="C31" i="21"/>
  <c r="H131" i="23"/>
  <c r="R942" i="21"/>
  <c r="L722" i="21"/>
  <c r="L743" i="21" s="1"/>
  <c r="L15" i="21"/>
  <c r="M706" i="21"/>
  <c r="J709" i="21"/>
  <c r="L633" i="21"/>
  <c r="L637" i="21" s="1"/>
  <c r="E617" i="21"/>
  <c r="B633" i="21"/>
  <c r="M573" i="21"/>
  <c r="K590" i="21"/>
  <c r="K593" i="21" s="1"/>
  <c r="E538" i="21"/>
  <c r="C551" i="21"/>
  <c r="C554" i="21" s="1"/>
  <c r="F461" i="21"/>
  <c r="E435" i="21"/>
  <c r="B458" i="21"/>
  <c r="H421" i="21"/>
  <c r="D421" i="21"/>
  <c r="E321" i="21"/>
  <c r="B370" i="21"/>
  <c r="I176" i="21"/>
  <c r="G246" i="21"/>
  <c r="Q127" i="21"/>
  <c r="P128" i="21"/>
  <c r="P131" i="21" s="1"/>
  <c r="R126" i="21"/>
  <c r="P62" i="21"/>
  <c r="P65" i="21" s="1"/>
  <c r="Q43" i="21"/>
  <c r="H905" i="21"/>
  <c r="B713" i="21"/>
  <c r="E711" i="21"/>
  <c r="G676" i="21"/>
  <c r="M632" i="21"/>
  <c r="J633" i="21"/>
  <c r="K640" i="21"/>
  <c r="P765" i="21"/>
  <c r="J604" i="21"/>
  <c r="M603" i="21"/>
  <c r="M550" i="21"/>
  <c r="K551" i="21"/>
  <c r="K554" i="21" s="1"/>
  <c r="L520" i="21"/>
  <c r="M519" i="21"/>
  <c r="M445" i="21"/>
  <c r="J458" i="21"/>
  <c r="D458" i="21"/>
  <c r="D461" i="21" s="1"/>
  <c r="I265" i="21"/>
  <c r="G266" i="21"/>
  <c r="N787" i="21" s="1"/>
  <c r="D128" i="21"/>
  <c r="D131" i="21" s="1"/>
  <c r="K132" i="21"/>
  <c r="M52" i="21"/>
  <c r="J62" i="21"/>
  <c r="Q48" i="21"/>
  <c r="O62" i="21"/>
  <c r="D62" i="21"/>
  <c r="D65" i="21" s="1"/>
  <c r="E43" i="21"/>
  <c r="M928" i="23"/>
  <c r="N919" i="23"/>
  <c r="E703" i="23"/>
  <c r="D704" i="23"/>
  <c r="L245" i="23"/>
  <c r="N127" i="24"/>
  <c r="E698" i="23"/>
  <c r="B705" i="23"/>
  <c r="G692" i="23"/>
  <c r="G722" i="23" s="1"/>
  <c r="F720" i="23"/>
  <c r="H664" i="23"/>
  <c r="H663" i="23"/>
  <c r="Q749" i="23"/>
  <c r="O622" i="23"/>
  <c r="O621" i="23"/>
  <c r="F577" i="23"/>
  <c r="M552" i="23"/>
  <c r="K573" i="23"/>
  <c r="K576" i="23" s="1"/>
  <c r="E517" i="23"/>
  <c r="C534" i="23"/>
  <c r="C537" i="23" s="1"/>
  <c r="I467" i="23"/>
  <c r="F489" i="23"/>
  <c r="D398" i="23"/>
  <c r="F394" i="23"/>
  <c r="I374" i="23"/>
  <c r="O358" i="23"/>
  <c r="G236" i="23"/>
  <c r="G244" i="23" s="1"/>
  <c r="I89" i="23"/>
  <c r="F127" i="23"/>
  <c r="B854" i="24"/>
  <c r="F854" i="24"/>
  <c r="E854" i="24"/>
  <c r="F802" i="24"/>
  <c r="C854" i="24"/>
  <c r="D854" i="24"/>
  <c r="Q854" i="24"/>
  <c r="P703" i="24"/>
  <c r="P724" i="24" s="1"/>
  <c r="Q697" i="24"/>
  <c r="P15" i="24"/>
  <c r="N685" i="24"/>
  <c r="Q679" i="24"/>
  <c r="N621" i="24"/>
  <c r="H363" i="24"/>
  <c r="B255" i="24"/>
  <c r="N764" i="24" s="1"/>
  <c r="E254" i="24"/>
  <c r="N243" i="24"/>
  <c r="I235" i="24"/>
  <c r="F243" i="24"/>
  <c r="F123" i="24"/>
  <c r="I95" i="24"/>
  <c r="J65" i="24"/>
  <c r="R718" i="21"/>
  <c r="E715" i="21"/>
  <c r="C722" i="21"/>
  <c r="F713" i="21"/>
  <c r="I711" i="21"/>
  <c r="R708" i="21"/>
  <c r="I701" i="21"/>
  <c r="N703" i="21"/>
  <c r="Q697" i="21"/>
  <c r="I675" i="21"/>
  <c r="K676" i="21"/>
  <c r="K679" i="21" s="1"/>
  <c r="R648" i="21"/>
  <c r="Q632" i="21"/>
  <c r="E631" i="21"/>
  <c r="F593" i="21"/>
  <c r="D590" i="21"/>
  <c r="D593" i="21" s="1"/>
  <c r="Q550" i="21"/>
  <c r="E542" i="21"/>
  <c r="E504" i="21"/>
  <c r="P506" i="21"/>
  <c r="P509" i="21" s="1"/>
  <c r="H458" i="21"/>
  <c r="H461" i="21" s="1"/>
  <c r="I415" i="21"/>
  <c r="I369" i="21"/>
  <c r="R335" i="21"/>
  <c r="K370" i="21"/>
  <c r="K375" i="21" s="1"/>
  <c r="R314" i="21"/>
  <c r="R302" i="21"/>
  <c r="R285" i="21"/>
  <c r="M265" i="21"/>
  <c r="K266" i="21"/>
  <c r="N790" i="21" s="1"/>
  <c r="R248" i="21"/>
  <c r="M244" i="21"/>
  <c r="R238" i="21"/>
  <c r="R219" i="21"/>
  <c r="R203" i="21"/>
  <c r="P246" i="21"/>
  <c r="P254" i="21" s="1"/>
  <c r="R170" i="21"/>
  <c r="R117" i="21"/>
  <c r="Q108" i="21"/>
  <c r="E96" i="21"/>
  <c r="I89" i="21"/>
  <c r="F128" i="21"/>
  <c r="I61" i="21"/>
  <c r="M60" i="21"/>
  <c r="Q20" i="21"/>
  <c r="E17" i="21"/>
  <c r="H881" i="23"/>
  <c r="H851" i="23"/>
  <c r="I703" i="23"/>
  <c r="H704" i="23"/>
  <c r="D696" i="23"/>
  <c r="D724" i="23" s="1"/>
  <c r="E724" i="23" s="1"/>
  <c r="E694" i="23"/>
  <c r="K692" i="23"/>
  <c r="K722" i="23" s="1"/>
  <c r="B692" i="23"/>
  <c r="E688" i="23"/>
  <c r="J720" i="23"/>
  <c r="J663" i="23"/>
  <c r="J664" i="23"/>
  <c r="I640" i="23"/>
  <c r="L538" i="23"/>
  <c r="N534" i="23"/>
  <c r="I533" i="23"/>
  <c r="B534" i="23"/>
  <c r="E525" i="23"/>
  <c r="R525" i="23" s="1"/>
  <c r="R475" i="23"/>
  <c r="M419" i="23"/>
  <c r="K245" i="23"/>
  <c r="R235" i="23"/>
  <c r="R117" i="23"/>
  <c r="E96" i="23"/>
  <c r="H61" i="23"/>
  <c r="H64" i="23" s="1"/>
  <c r="I47" i="23"/>
  <c r="Q926" i="24"/>
  <c r="C853" i="24"/>
  <c r="B853" i="24"/>
  <c r="F853" i="24"/>
  <c r="B768" i="24"/>
  <c r="M699" i="24"/>
  <c r="J702" i="24"/>
  <c r="M687" i="24"/>
  <c r="J690" i="24"/>
  <c r="B685" i="24"/>
  <c r="E679" i="24"/>
  <c r="G588" i="24"/>
  <c r="E587" i="24"/>
  <c r="B588" i="24"/>
  <c r="G358" i="24"/>
  <c r="G362" i="24" s="1"/>
  <c r="R262" i="24"/>
  <c r="I254" i="24"/>
  <c r="F255" i="24"/>
  <c r="N767" i="24" s="1"/>
  <c r="P244" i="24"/>
  <c r="I180" i="24"/>
  <c r="J907" i="21"/>
  <c r="D881" i="21"/>
  <c r="Q766" i="21"/>
  <c r="Q720" i="21"/>
  <c r="E719" i="21"/>
  <c r="C721" i="21"/>
  <c r="K15" i="21"/>
  <c r="F15" i="21"/>
  <c r="F722" i="21"/>
  <c r="I716" i="21"/>
  <c r="M715" i="21"/>
  <c r="K722" i="21"/>
  <c r="K743" i="21" s="1"/>
  <c r="N713" i="21"/>
  <c r="Q711" i="21"/>
  <c r="I706" i="21"/>
  <c r="F709" i="21"/>
  <c r="M705" i="21"/>
  <c r="Q701" i="21"/>
  <c r="E700" i="21"/>
  <c r="K703" i="21"/>
  <c r="F703" i="21"/>
  <c r="I697" i="21"/>
  <c r="J676" i="21"/>
  <c r="B676" i="21"/>
  <c r="Q675" i="21"/>
  <c r="E674" i="21"/>
  <c r="Q662" i="21"/>
  <c r="C676" i="21"/>
  <c r="C679" i="21" s="1"/>
  <c r="R660" i="21"/>
  <c r="R635" i="21"/>
  <c r="N633" i="21"/>
  <c r="I632" i="21"/>
  <c r="M631" i="21"/>
  <c r="Q617" i="21"/>
  <c r="H633" i="21"/>
  <c r="H637" i="21" s="1"/>
  <c r="C633" i="21"/>
  <c r="C637" i="21" s="1"/>
  <c r="R613" i="21"/>
  <c r="J590" i="21"/>
  <c r="B590" i="21"/>
  <c r="I589" i="21"/>
  <c r="R582" i="21"/>
  <c r="I573" i="21"/>
  <c r="J554" i="21"/>
  <c r="B551" i="21"/>
  <c r="I550" i="21"/>
  <c r="M542" i="21"/>
  <c r="Q538" i="21"/>
  <c r="P551" i="21"/>
  <c r="P554" i="21" s="1"/>
  <c r="L551" i="21"/>
  <c r="L554" i="21" s="1"/>
  <c r="H551" i="21"/>
  <c r="H554" i="21" s="1"/>
  <c r="D551" i="21"/>
  <c r="D554" i="21" s="1"/>
  <c r="F510" i="21"/>
  <c r="I505" i="21"/>
  <c r="M504" i="21"/>
  <c r="R498" i="21"/>
  <c r="H506" i="21"/>
  <c r="H509" i="21" s="1"/>
  <c r="E481" i="21"/>
  <c r="C506" i="21"/>
  <c r="M457" i="21"/>
  <c r="R452" i="21"/>
  <c r="I445" i="21"/>
  <c r="P458" i="21"/>
  <c r="P461" i="21" s="1"/>
  <c r="M441" i="21"/>
  <c r="Q435" i="21"/>
  <c r="R431" i="21"/>
  <c r="Q415" i="21"/>
  <c r="R414" i="21"/>
  <c r="I406" i="21"/>
  <c r="M402" i="21"/>
  <c r="N417" i="21"/>
  <c r="J417" i="21"/>
  <c r="F417" i="21"/>
  <c r="B417" i="21"/>
  <c r="R393" i="21"/>
  <c r="Q369" i="21"/>
  <c r="E368" i="21"/>
  <c r="R360" i="21"/>
  <c r="R351" i="21"/>
  <c r="R339" i="21"/>
  <c r="R331" i="21"/>
  <c r="Q321" i="21"/>
  <c r="C370" i="21"/>
  <c r="C375" i="21" s="1"/>
  <c r="R320" i="21"/>
  <c r="R310" i="21"/>
  <c r="R297" i="21"/>
  <c r="R289" i="21"/>
  <c r="R280" i="21"/>
  <c r="E265" i="21"/>
  <c r="R252" i="21"/>
  <c r="J246" i="21"/>
  <c r="B246" i="21"/>
  <c r="Q245" i="21"/>
  <c r="E244" i="21"/>
  <c r="R234" i="21"/>
  <c r="R225" i="21"/>
  <c r="R215" i="21"/>
  <c r="R207" i="21"/>
  <c r="R199" i="21"/>
  <c r="R191" i="21"/>
  <c r="H246" i="21"/>
  <c r="H254" i="21" s="1"/>
  <c r="E176" i="21"/>
  <c r="C246" i="21"/>
  <c r="C254" i="21" s="1"/>
  <c r="R166" i="21"/>
  <c r="R157" i="21"/>
  <c r="R149" i="21"/>
  <c r="R141" i="21"/>
  <c r="R123" i="21"/>
  <c r="R113" i="21"/>
  <c r="I108" i="21"/>
  <c r="R103" i="21"/>
  <c r="M96" i="21"/>
  <c r="Q89" i="21"/>
  <c r="N128" i="21"/>
  <c r="R87" i="21"/>
  <c r="R77" i="21"/>
  <c r="Q61" i="21"/>
  <c r="E60" i="21"/>
  <c r="I52" i="21"/>
  <c r="M48" i="21"/>
  <c r="K62" i="21"/>
  <c r="K65" i="21" s="1"/>
  <c r="O31" i="21"/>
  <c r="M30" i="21"/>
  <c r="J31" i="21"/>
  <c r="R23" i="21"/>
  <c r="E21" i="21"/>
  <c r="I20" i="21"/>
  <c r="M17" i="21"/>
  <c r="Q16" i="21"/>
  <c r="I878" i="23"/>
  <c r="H857" i="23"/>
  <c r="D768" i="23"/>
  <c r="M768" i="23"/>
  <c r="Q703" i="23"/>
  <c r="P704" i="23"/>
  <c r="E701" i="23"/>
  <c r="B704" i="23"/>
  <c r="G705" i="23"/>
  <c r="G726" i="23" s="1"/>
  <c r="L696" i="23"/>
  <c r="L724" i="23" s="1"/>
  <c r="M694" i="23"/>
  <c r="F692" i="23"/>
  <c r="J692" i="23"/>
  <c r="M688" i="23"/>
  <c r="K720" i="23"/>
  <c r="R684" i="23"/>
  <c r="I682" i="23"/>
  <c r="I681" i="23"/>
  <c r="R680" i="23"/>
  <c r="L663" i="23"/>
  <c r="K662" i="23"/>
  <c r="I657" i="23"/>
  <c r="L616" i="23"/>
  <c r="L620" i="23" s="1"/>
  <c r="Q604" i="23"/>
  <c r="P616" i="23"/>
  <c r="P620" i="23" s="1"/>
  <c r="E556" i="23"/>
  <c r="B573" i="23"/>
  <c r="L573" i="23"/>
  <c r="L576" i="23" s="1"/>
  <c r="I552" i="23"/>
  <c r="G573" i="23"/>
  <c r="G576" i="23" s="1"/>
  <c r="D538" i="23"/>
  <c r="F534" i="23"/>
  <c r="M521" i="23"/>
  <c r="J534" i="23"/>
  <c r="Q517" i="23"/>
  <c r="O534" i="23"/>
  <c r="O537" i="23" s="1"/>
  <c r="H503" i="23"/>
  <c r="E502" i="23"/>
  <c r="D493" i="23"/>
  <c r="Q487" i="23"/>
  <c r="R485" i="23"/>
  <c r="E467" i="23"/>
  <c r="B489" i="23"/>
  <c r="R456" i="23"/>
  <c r="R439" i="23"/>
  <c r="H442" i="23"/>
  <c r="I436" i="23"/>
  <c r="O442" i="23"/>
  <c r="M412" i="23"/>
  <c r="J438" i="23"/>
  <c r="I383" i="23"/>
  <c r="P398" i="23"/>
  <c r="K394" i="23"/>
  <c r="K397" i="23" s="1"/>
  <c r="M379" i="23"/>
  <c r="B394" i="23"/>
  <c r="E374" i="23"/>
  <c r="I255" i="23"/>
  <c r="F256" i="23"/>
  <c r="N769" i="23" s="1"/>
  <c r="Q107" i="23"/>
  <c r="E107" i="23"/>
  <c r="G131" i="23"/>
  <c r="E89" i="23"/>
  <c r="B127" i="23"/>
  <c r="R82" i="23"/>
  <c r="P61" i="23"/>
  <c r="P64" i="23" s="1"/>
  <c r="Q47" i="23"/>
  <c r="Q29" i="23"/>
  <c r="O30" i="23"/>
  <c r="D30" i="23"/>
  <c r="M21" i="23"/>
  <c r="I917" i="24"/>
  <c r="I879" i="24"/>
  <c r="I916" i="24"/>
  <c r="J914" i="24"/>
  <c r="Q853" i="24"/>
  <c r="Q850" i="24"/>
  <c r="F801" i="24"/>
  <c r="B769" i="24"/>
  <c r="D767" i="24"/>
  <c r="M767" i="24"/>
  <c r="D857" i="24"/>
  <c r="Q857" i="24"/>
  <c r="C857" i="24"/>
  <c r="E857" i="24"/>
  <c r="F857" i="24"/>
  <c r="C849" i="24"/>
  <c r="B849" i="24"/>
  <c r="F849" i="24"/>
  <c r="B764" i="24"/>
  <c r="D849" i="24"/>
  <c r="Q849" i="24"/>
  <c r="E849" i="24"/>
  <c r="L15" i="24"/>
  <c r="L703" i="24"/>
  <c r="L724" i="24" s="1"/>
  <c r="M697" i="24"/>
  <c r="N703" i="24"/>
  <c r="F694" i="24"/>
  <c r="I692" i="24"/>
  <c r="Q747" i="24"/>
  <c r="Q616" i="24"/>
  <c r="O617" i="24"/>
  <c r="O621" i="24" s="1"/>
  <c r="E534" i="24"/>
  <c r="R534" i="24" s="1"/>
  <c r="D535" i="24"/>
  <c r="D538" i="24" s="1"/>
  <c r="M526" i="24"/>
  <c r="K535" i="24"/>
  <c r="K538" i="24" s="1"/>
  <c r="R522" i="24"/>
  <c r="B535" i="24"/>
  <c r="E518" i="24"/>
  <c r="B493" i="24"/>
  <c r="I489" i="24"/>
  <c r="G490" i="24"/>
  <c r="G493" i="24" s="1"/>
  <c r="D445" i="24"/>
  <c r="H445" i="24"/>
  <c r="O445" i="24"/>
  <c r="J441" i="24"/>
  <c r="M419" i="24"/>
  <c r="R414" i="24"/>
  <c r="F403" i="24"/>
  <c r="M399" i="24"/>
  <c r="J400" i="24"/>
  <c r="M378" i="24"/>
  <c r="K400" i="24"/>
  <c r="K403" i="24" s="1"/>
  <c r="R340" i="24"/>
  <c r="E294" i="24"/>
  <c r="C358" i="24"/>
  <c r="C362" i="24" s="1"/>
  <c r="E95" i="24"/>
  <c r="B123" i="24"/>
  <c r="I43" i="24"/>
  <c r="F62" i="24"/>
  <c r="P696" i="23"/>
  <c r="P724" i="23" s="1"/>
  <c r="Q694" i="23"/>
  <c r="G662" i="23"/>
  <c r="L493" i="23"/>
  <c r="C442" i="23"/>
  <c r="Q412" i="23"/>
  <c r="N438" i="23"/>
  <c r="Q330" i="23"/>
  <c r="P352" i="23"/>
  <c r="P357" i="23" s="1"/>
  <c r="J256" i="23"/>
  <c r="N772" i="23" s="1"/>
  <c r="M255" i="23"/>
  <c r="E177" i="23"/>
  <c r="B236" i="23"/>
  <c r="P131" i="23"/>
  <c r="D131" i="23"/>
  <c r="G65" i="23"/>
  <c r="D61" i="23"/>
  <c r="D64" i="23" s="1"/>
  <c r="E47" i="23"/>
  <c r="H30" i="23"/>
  <c r="F15" i="24"/>
  <c r="I700" i="24"/>
  <c r="F703" i="24"/>
  <c r="Q307" i="24"/>
  <c r="N358" i="24"/>
  <c r="B235" i="24"/>
  <c r="I720" i="21"/>
  <c r="M719" i="21"/>
  <c r="K721" i="21"/>
  <c r="N15" i="21"/>
  <c r="Q15" i="21" s="1"/>
  <c r="Q716" i="21"/>
  <c r="Q706" i="21"/>
  <c r="N709" i="21"/>
  <c r="E705" i="21"/>
  <c r="M700" i="21"/>
  <c r="D680" i="21"/>
  <c r="D681" i="21"/>
  <c r="F680" i="21"/>
  <c r="M674" i="21"/>
  <c r="R667" i="21"/>
  <c r="I662" i="21"/>
  <c r="R657" i="21"/>
  <c r="P633" i="21"/>
  <c r="P637" i="21" s="1"/>
  <c r="I617" i="21"/>
  <c r="N593" i="21"/>
  <c r="Q589" i="21"/>
  <c r="Q573" i="21"/>
  <c r="P590" i="21"/>
  <c r="P593" i="21" s="1"/>
  <c r="I551" i="21"/>
  <c r="I538" i="21"/>
  <c r="Q505" i="21"/>
  <c r="R493" i="21"/>
  <c r="M481" i="21"/>
  <c r="K506" i="21"/>
  <c r="K509" i="21" s="1"/>
  <c r="R474" i="21"/>
  <c r="E457" i="21"/>
  <c r="Q445" i="21"/>
  <c r="E441" i="21"/>
  <c r="I435" i="21"/>
  <c r="R418" i="21"/>
  <c r="Q406" i="21"/>
  <c r="E402" i="21"/>
  <c r="R372" i="21"/>
  <c r="M368" i="21"/>
  <c r="R364" i="21"/>
  <c r="R355" i="21"/>
  <c r="R345" i="21"/>
  <c r="R327" i="21"/>
  <c r="I321" i="21"/>
  <c r="R293" i="21"/>
  <c r="R276" i="21"/>
  <c r="I245" i="21"/>
  <c r="R229" i="21"/>
  <c r="R211" i="21"/>
  <c r="R195" i="21"/>
  <c r="R187" i="21"/>
  <c r="M176" i="21"/>
  <c r="K246" i="21"/>
  <c r="K254" i="21" s="1"/>
  <c r="R162" i="21"/>
  <c r="R153" i="21"/>
  <c r="R145" i="21"/>
  <c r="R107" i="21"/>
  <c r="R82" i="21"/>
  <c r="F66" i="21"/>
  <c r="Q52" i="21"/>
  <c r="E48" i="21"/>
  <c r="C62" i="21"/>
  <c r="C65" i="21" s="1"/>
  <c r="E30" i="21"/>
  <c r="M21" i="21"/>
  <c r="I16" i="21"/>
  <c r="H877" i="23"/>
  <c r="N724" i="23"/>
  <c r="F724" i="23"/>
  <c r="N692" i="23"/>
  <c r="N706" i="23" s="1"/>
  <c r="I691" i="23"/>
  <c r="I690" i="23"/>
  <c r="R689" i="23"/>
  <c r="F664" i="23"/>
  <c r="D663" i="23"/>
  <c r="D616" i="23"/>
  <c r="D620" i="23" s="1"/>
  <c r="Q614" i="23"/>
  <c r="Q608" i="23"/>
  <c r="I604" i="23"/>
  <c r="H616" i="23"/>
  <c r="H620" i="23" s="1"/>
  <c r="R586" i="23"/>
  <c r="R565" i="23"/>
  <c r="M532" i="23"/>
  <c r="I423" i="23"/>
  <c r="J394" i="23"/>
  <c r="M374" i="23"/>
  <c r="N256" i="23"/>
  <c r="N775" i="23" s="1"/>
  <c r="Q255" i="23"/>
  <c r="M215" i="23"/>
  <c r="I177" i="23"/>
  <c r="F236" i="23"/>
  <c r="R94" i="23"/>
  <c r="E51" i="23"/>
  <c r="C61" i="23"/>
  <c r="C64" i="23" s="1"/>
  <c r="M875" i="24"/>
  <c r="M888" i="24" s="1"/>
  <c r="J888" i="24"/>
  <c r="D772" i="24"/>
  <c r="M772" i="24"/>
  <c r="F752" i="24"/>
  <c r="J703" i="24"/>
  <c r="D15" i="24"/>
  <c r="D703" i="24"/>
  <c r="D724" i="24" s="1"/>
  <c r="E697" i="24"/>
  <c r="E684" i="24"/>
  <c r="D685" i="24"/>
  <c r="I682" i="24"/>
  <c r="M681" i="24"/>
  <c r="K685" i="24"/>
  <c r="R680" i="24"/>
  <c r="G623" i="24"/>
  <c r="D792" i="21"/>
  <c r="M720" i="21"/>
  <c r="Q719" i="21"/>
  <c r="O721" i="21"/>
  <c r="P721" i="21"/>
  <c r="L721" i="21"/>
  <c r="D721" i="21"/>
  <c r="G15" i="21"/>
  <c r="B15" i="21"/>
  <c r="B722" i="21"/>
  <c r="E716" i="21"/>
  <c r="I715" i="21"/>
  <c r="G722" i="21"/>
  <c r="G743" i="21" s="1"/>
  <c r="J713" i="21"/>
  <c r="M711" i="21"/>
  <c r="E706" i="21"/>
  <c r="B709" i="21"/>
  <c r="I705" i="21"/>
  <c r="M701" i="21"/>
  <c r="Q700" i="21"/>
  <c r="G703" i="21"/>
  <c r="B703" i="21"/>
  <c r="E697" i="21"/>
  <c r="F681" i="21"/>
  <c r="L680" i="21"/>
  <c r="M675" i="21"/>
  <c r="Q674" i="21"/>
  <c r="R671" i="21"/>
  <c r="O676" i="21"/>
  <c r="M662" i="21"/>
  <c r="R634" i="21"/>
  <c r="E632" i="21"/>
  <c r="I631" i="21"/>
  <c r="O633" i="21"/>
  <c r="O637" i="21" s="1"/>
  <c r="M617" i="21"/>
  <c r="D633" i="21"/>
  <c r="D637" i="21" s="1"/>
  <c r="E589" i="21"/>
  <c r="E573" i="21"/>
  <c r="E550" i="21"/>
  <c r="I542" i="21"/>
  <c r="M538" i="21"/>
  <c r="R507" i="21"/>
  <c r="E505" i="21"/>
  <c r="I504" i="21"/>
  <c r="R497" i="21"/>
  <c r="Q481" i="21"/>
  <c r="O506" i="21"/>
  <c r="O509" i="21" s="1"/>
  <c r="D506" i="21"/>
  <c r="D509" i="21" s="1"/>
  <c r="R479" i="21"/>
  <c r="I457" i="21"/>
  <c r="R451" i="21"/>
  <c r="E445" i="21"/>
  <c r="L458" i="21"/>
  <c r="L461" i="21" s="1"/>
  <c r="I441" i="21"/>
  <c r="M435" i="21"/>
  <c r="R430" i="21"/>
  <c r="M415" i="21"/>
  <c r="R413" i="21"/>
  <c r="E406" i="21"/>
  <c r="I402" i="21"/>
  <c r="O417" i="21"/>
  <c r="O420" i="21" s="1"/>
  <c r="G417" i="21"/>
  <c r="G420" i="21" s="1"/>
  <c r="C417" i="21"/>
  <c r="C420" i="21" s="1"/>
  <c r="M369" i="21"/>
  <c r="Q368" i="21"/>
  <c r="R367" i="21"/>
  <c r="R359" i="21"/>
  <c r="R349" i="21"/>
  <c r="R338" i="21"/>
  <c r="R330" i="21"/>
  <c r="O370" i="21"/>
  <c r="M321" i="21"/>
  <c r="R317" i="21"/>
  <c r="P370" i="21"/>
  <c r="P375" i="21" s="1"/>
  <c r="L370" i="21"/>
  <c r="L375" i="21" s="1"/>
  <c r="H370" i="21"/>
  <c r="H375" i="21" s="1"/>
  <c r="D370" i="21"/>
  <c r="D375" i="21" s="1"/>
  <c r="R296" i="21"/>
  <c r="R288" i="21"/>
  <c r="R279" i="21"/>
  <c r="Q265" i="21"/>
  <c r="O266" i="21"/>
  <c r="N793" i="21" s="1"/>
  <c r="R263" i="21"/>
  <c r="R265" i="21" s="1"/>
  <c r="R251" i="21"/>
  <c r="M245" i="21"/>
  <c r="Q244" i="21"/>
  <c r="R242" i="21"/>
  <c r="R233" i="21"/>
  <c r="R224" i="21"/>
  <c r="R214" i="21"/>
  <c r="R206" i="21"/>
  <c r="R198" i="21"/>
  <c r="R190" i="21"/>
  <c r="Q176" i="21"/>
  <c r="O246" i="21"/>
  <c r="D246" i="21"/>
  <c r="D254" i="21" s="1"/>
  <c r="R174" i="21"/>
  <c r="R165" i="21"/>
  <c r="R156" i="21"/>
  <c r="R148" i="21"/>
  <c r="C128" i="21"/>
  <c r="C131" i="21" s="1"/>
  <c r="R121" i="21"/>
  <c r="R112" i="21"/>
  <c r="E108" i="21"/>
  <c r="R102" i="21"/>
  <c r="I96" i="21"/>
  <c r="M89" i="21"/>
  <c r="J128" i="21"/>
  <c r="R86" i="21"/>
  <c r="R76" i="21"/>
  <c r="M61" i="21"/>
  <c r="Q60" i="21"/>
  <c r="R57" i="21"/>
  <c r="E52" i="21"/>
  <c r="I48" i="21"/>
  <c r="G62" i="21"/>
  <c r="G31" i="21"/>
  <c r="I30" i="21"/>
  <c r="Q21" i="21"/>
  <c r="E20" i="21"/>
  <c r="I17" i="21"/>
  <c r="M16" i="21"/>
  <c r="M877" i="23"/>
  <c r="M890" i="23" s="1"/>
  <c r="J890" i="23"/>
  <c r="D769" i="23"/>
  <c r="M769" i="23"/>
  <c r="M724" i="23"/>
  <c r="M698" i="23"/>
  <c r="J705" i="23"/>
  <c r="Q695" i="23"/>
  <c r="H696" i="23"/>
  <c r="H724" i="23" s="1"/>
  <c r="I694" i="23"/>
  <c r="R683" i="23"/>
  <c r="E682" i="23"/>
  <c r="B686" i="23"/>
  <c r="G686" i="23"/>
  <c r="E647" i="23"/>
  <c r="I572" i="23"/>
  <c r="M571" i="23"/>
  <c r="Q502" i="23"/>
  <c r="O503" i="23"/>
  <c r="D503" i="23"/>
  <c r="K493" i="23"/>
  <c r="R437" i="23"/>
  <c r="R430" i="23"/>
  <c r="G394" i="23"/>
  <c r="G397" i="23" s="1"/>
  <c r="I379" i="23"/>
  <c r="N394" i="23"/>
  <c r="Q374" i="23"/>
  <c r="R370" i="23"/>
  <c r="G358" i="23"/>
  <c r="R333" i="23"/>
  <c r="Q312" i="23"/>
  <c r="H352" i="23"/>
  <c r="H357" i="23" s="1"/>
  <c r="R297" i="23"/>
  <c r="R289" i="23"/>
  <c r="R272" i="23"/>
  <c r="B256" i="23"/>
  <c r="N766" i="23" s="1"/>
  <c r="E255" i="23"/>
  <c r="R221" i="23"/>
  <c r="R203" i="23"/>
  <c r="R187" i="23"/>
  <c r="R162" i="23"/>
  <c r="R145" i="23"/>
  <c r="R128" i="23"/>
  <c r="I125" i="23"/>
  <c r="O61" i="23"/>
  <c r="O64" i="23" s="1"/>
  <c r="M60" i="23"/>
  <c r="K61" i="23"/>
  <c r="K64" i="23" s="1"/>
  <c r="R59" i="23"/>
  <c r="L61" i="23"/>
  <c r="L64" i="23" s="1"/>
  <c r="M47" i="23"/>
  <c r="N64" i="23"/>
  <c r="I61" i="23"/>
  <c r="F64" i="23"/>
  <c r="Q18" i="23"/>
  <c r="N914" i="24"/>
  <c r="M926" i="24"/>
  <c r="D770" i="24"/>
  <c r="M770" i="24"/>
  <c r="B773" i="24"/>
  <c r="D858" i="24"/>
  <c r="Q858" i="24"/>
  <c r="C858" i="24"/>
  <c r="F806" i="24"/>
  <c r="B858" i="24"/>
  <c r="B850" i="24"/>
  <c r="F850" i="24"/>
  <c r="E850" i="24"/>
  <c r="F798" i="24"/>
  <c r="Q699" i="24"/>
  <c r="N702" i="24"/>
  <c r="Q702" i="24" s="1"/>
  <c r="Q698" i="24"/>
  <c r="C703" i="24"/>
  <c r="C724" i="24" s="1"/>
  <c r="H15" i="24"/>
  <c r="H703" i="24"/>
  <c r="H724" i="24" s="1"/>
  <c r="I697" i="24"/>
  <c r="B694" i="24"/>
  <c r="E692" i="24"/>
  <c r="Q687" i="24"/>
  <c r="N690" i="24"/>
  <c r="G685" i="24"/>
  <c r="R651" i="24"/>
  <c r="R641" i="24"/>
  <c r="E605" i="24"/>
  <c r="B617" i="24"/>
  <c r="L623" i="24"/>
  <c r="L622" i="24"/>
  <c r="K588" i="24"/>
  <c r="I587" i="24"/>
  <c r="F588" i="24"/>
  <c r="L574" i="24"/>
  <c r="L577" i="24" s="1"/>
  <c r="Q562" i="24"/>
  <c r="C578" i="24"/>
  <c r="R560" i="24"/>
  <c r="I557" i="24"/>
  <c r="H574" i="24"/>
  <c r="H577" i="24" s="1"/>
  <c r="R533" i="24"/>
  <c r="N535" i="24"/>
  <c r="Q518" i="24"/>
  <c r="F441" i="24"/>
  <c r="I419" i="24"/>
  <c r="D363" i="24"/>
  <c r="Q329" i="24"/>
  <c r="O358" i="24"/>
  <c r="O362" i="24" s="1"/>
  <c r="D244" i="24"/>
  <c r="R239" i="24"/>
  <c r="H127" i="24"/>
  <c r="K66" i="24"/>
  <c r="R48" i="24"/>
  <c r="B62" i="24"/>
  <c r="E43" i="24"/>
  <c r="I918" i="23"/>
  <c r="J919" i="23" s="1"/>
  <c r="D774" i="23"/>
  <c r="M774" i="23"/>
  <c r="D770" i="23"/>
  <c r="M770" i="23"/>
  <c r="D766" i="23"/>
  <c r="M766" i="23"/>
  <c r="M701" i="23"/>
  <c r="J704" i="23"/>
  <c r="M700" i="23"/>
  <c r="P15" i="23"/>
  <c r="P705" i="23"/>
  <c r="P726" i="23" s="1"/>
  <c r="Q726" i="23" s="1"/>
  <c r="L15" i="23"/>
  <c r="M15" i="23" s="1"/>
  <c r="L705" i="23"/>
  <c r="L726" i="23" s="1"/>
  <c r="H15" i="23"/>
  <c r="H705" i="23"/>
  <c r="H726" i="23" s="1"/>
  <c r="D15" i="23"/>
  <c r="E15" i="23" s="1"/>
  <c r="D705" i="23"/>
  <c r="D726" i="23" s="1"/>
  <c r="E696" i="23"/>
  <c r="E695" i="23"/>
  <c r="M691" i="23"/>
  <c r="O692" i="23"/>
  <c r="O722" i="23" s="1"/>
  <c r="M690" i="23"/>
  <c r="P692" i="23"/>
  <c r="P722" i="23" s="1"/>
  <c r="L692" i="23"/>
  <c r="L722" i="23" s="1"/>
  <c r="H692" i="23"/>
  <c r="H722" i="23" s="1"/>
  <c r="D692" i="23"/>
  <c r="D722" i="23" s="1"/>
  <c r="E685" i="23"/>
  <c r="M682" i="23"/>
  <c r="M681" i="23"/>
  <c r="P686" i="23"/>
  <c r="L686" i="23"/>
  <c r="H686" i="23"/>
  <c r="D686" i="23"/>
  <c r="M657" i="23"/>
  <c r="R653" i="23"/>
  <c r="I647" i="23"/>
  <c r="O659" i="23"/>
  <c r="Q640" i="23"/>
  <c r="M640" i="23"/>
  <c r="E614" i="23"/>
  <c r="G621" i="23"/>
  <c r="E608" i="23"/>
  <c r="M572" i="23"/>
  <c r="Q571" i="23"/>
  <c r="R568" i="23"/>
  <c r="M556" i="23"/>
  <c r="Q552" i="23"/>
  <c r="O573" i="23"/>
  <c r="D573" i="23"/>
  <c r="D576" i="23" s="1"/>
  <c r="R548" i="23"/>
  <c r="M533" i="23"/>
  <c r="Q532" i="23"/>
  <c r="R532" i="23" s="1"/>
  <c r="R529" i="23"/>
  <c r="E521" i="23"/>
  <c r="I517" i="23"/>
  <c r="G534" i="23"/>
  <c r="G537" i="23" s="1"/>
  <c r="I502" i="23"/>
  <c r="H493" i="23"/>
  <c r="E487" i="23"/>
  <c r="R479" i="23"/>
  <c r="M467" i="23"/>
  <c r="J489" i="23"/>
  <c r="R451" i="23"/>
  <c r="M436" i="23"/>
  <c r="R434" i="23"/>
  <c r="M423" i="23"/>
  <c r="Q419" i="23"/>
  <c r="R416" i="23"/>
  <c r="G438" i="23"/>
  <c r="G441" i="23" s="1"/>
  <c r="E412" i="23"/>
  <c r="B438" i="23"/>
  <c r="E392" i="23"/>
  <c r="M383" i="23"/>
  <c r="O394" i="23"/>
  <c r="O397" i="23" s="1"/>
  <c r="Q379" i="23"/>
  <c r="R377" i="23"/>
  <c r="R355" i="23"/>
  <c r="R347" i="23"/>
  <c r="R338" i="23"/>
  <c r="E312" i="23"/>
  <c r="R305" i="23"/>
  <c r="R293" i="23"/>
  <c r="R284" i="23"/>
  <c r="R276" i="23"/>
  <c r="R267" i="23"/>
  <c r="R225" i="23"/>
  <c r="Q215" i="23"/>
  <c r="R214" i="23"/>
  <c r="R206" i="23"/>
  <c r="R198" i="23"/>
  <c r="R190" i="23"/>
  <c r="M177" i="23"/>
  <c r="J236" i="23"/>
  <c r="R174" i="23"/>
  <c r="R165" i="23"/>
  <c r="R148" i="23"/>
  <c r="R140" i="23"/>
  <c r="M125" i="23"/>
  <c r="R122" i="23"/>
  <c r="R112" i="23"/>
  <c r="I107" i="23"/>
  <c r="R102" i="23"/>
  <c r="I96" i="23"/>
  <c r="O127" i="23"/>
  <c r="O130" i="23" s="1"/>
  <c r="M89" i="23"/>
  <c r="J127" i="23"/>
  <c r="R76" i="23"/>
  <c r="Q60" i="23"/>
  <c r="I51" i="23"/>
  <c r="I29" i="23"/>
  <c r="Q21" i="23"/>
  <c r="E18" i="23"/>
  <c r="R18" i="23" s="1"/>
  <c r="I17" i="23"/>
  <c r="E17" i="23"/>
  <c r="I881" i="24"/>
  <c r="F859" i="24"/>
  <c r="C851" i="24"/>
  <c r="D860" i="24"/>
  <c r="Q860" i="24"/>
  <c r="B775" i="24"/>
  <c r="C860" i="24"/>
  <c r="F828" i="24"/>
  <c r="E856" i="24"/>
  <c r="D856" i="24"/>
  <c r="Q856" i="24"/>
  <c r="F824" i="24"/>
  <c r="D852" i="24"/>
  <c r="Q852" i="24"/>
  <c r="C852" i="24"/>
  <c r="E699" i="24"/>
  <c r="B702" i="24"/>
  <c r="E702" i="24" s="1"/>
  <c r="E698" i="24"/>
  <c r="J15" i="24"/>
  <c r="N722" i="24"/>
  <c r="P685" i="24"/>
  <c r="H685" i="24"/>
  <c r="F685" i="24"/>
  <c r="I679" i="24"/>
  <c r="I637" i="24"/>
  <c r="F659" i="24"/>
  <c r="P535" i="24"/>
  <c r="P538" i="24" s="1"/>
  <c r="H535" i="24"/>
  <c r="H538" i="24" s="1"/>
  <c r="F535" i="24"/>
  <c r="I518" i="24"/>
  <c r="N493" i="24"/>
  <c r="F490" i="24"/>
  <c r="R454" i="24"/>
  <c r="M439" i="24"/>
  <c r="R437" i="24"/>
  <c r="E430" i="24"/>
  <c r="I426" i="24"/>
  <c r="N403" i="24"/>
  <c r="Q378" i="24"/>
  <c r="O400" i="24"/>
  <c r="O403" i="24" s="1"/>
  <c r="R375" i="24"/>
  <c r="R349" i="24"/>
  <c r="R311" i="24"/>
  <c r="E307" i="24"/>
  <c r="B358" i="24"/>
  <c r="R270" i="24"/>
  <c r="R220" i="24"/>
  <c r="R202" i="24"/>
  <c r="R186" i="24"/>
  <c r="R161" i="24"/>
  <c r="R144" i="24"/>
  <c r="J123" i="24"/>
  <c r="M95" i="24"/>
  <c r="O123" i="24"/>
  <c r="O126" i="24" s="1"/>
  <c r="Q88" i="24"/>
  <c r="M18" i="24"/>
  <c r="Q16" i="24"/>
  <c r="D771" i="23"/>
  <c r="M771" i="23"/>
  <c r="D767" i="23"/>
  <c r="M767" i="23"/>
  <c r="Q701" i="23"/>
  <c r="N704" i="23"/>
  <c r="Q700" i="23"/>
  <c r="I695" i="23"/>
  <c r="Q690" i="23"/>
  <c r="C692" i="23"/>
  <c r="C722" i="23" s="1"/>
  <c r="I685" i="23"/>
  <c r="Q681" i="23"/>
  <c r="C659" i="23"/>
  <c r="I608" i="23"/>
  <c r="N616" i="23"/>
  <c r="J616" i="23"/>
  <c r="F616" i="23"/>
  <c r="B616" i="23"/>
  <c r="J577" i="23"/>
  <c r="H573" i="23"/>
  <c r="H576" i="23" s="1"/>
  <c r="E552" i="23"/>
  <c r="C573" i="23"/>
  <c r="C576" i="23" s="1"/>
  <c r="M517" i="23"/>
  <c r="K534" i="23"/>
  <c r="K537" i="23" s="1"/>
  <c r="P503" i="23"/>
  <c r="K503" i="23"/>
  <c r="M502" i="23"/>
  <c r="C493" i="23"/>
  <c r="Q467" i="23"/>
  <c r="N489" i="23"/>
  <c r="K438" i="23"/>
  <c r="K441" i="23" s="1"/>
  <c r="I412" i="23"/>
  <c r="F438" i="23"/>
  <c r="C394" i="23"/>
  <c r="C397" i="23" s="1"/>
  <c r="E379" i="23"/>
  <c r="R326" i="23"/>
  <c r="R318" i="23"/>
  <c r="I312" i="23"/>
  <c r="J357" i="23"/>
  <c r="M352" i="23"/>
  <c r="B357" i="23"/>
  <c r="Q177" i="23"/>
  <c r="N236" i="23"/>
  <c r="R156" i="23"/>
  <c r="Q89" i="23"/>
  <c r="N127" i="23"/>
  <c r="C127" i="23"/>
  <c r="C130" i="23" s="1"/>
  <c r="R86" i="23"/>
  <c r="P30" i="23"/>
  <c r="K30" i="23"/>
  <c r="M29" i="23"/>
  <c r="R917" i="24"/>
  <c r="D771" i="24"/>
  <c r="M771" i="24"/>
  <c r="D766" i="24"/>
  <c r="M766" i="24"/>
  <c r="D859" i="24"/>
  <c r="Q859" i="24"/>
  <c r="B774" i="24"/>
  <c r="C859" i="24"/>
  <c r="E855" i="24"/>
  <c r="F827" i="24"/>
  <c r="D855" i="24"/>
  <c r="Q855" i="24"/>
  <c r="E851" i="24"/>
  <c r="F823" i="24"/>
  <c r="D851" i="24"/>
  <c r="Q851" i="24"/>
  <c r="I699" i="24"/>
  <c r="F702" i="24"/>
  <c r="I702" i="24" s="1"/>
  <c r="I698" i="24"/>
  <c r="J685" i="24"/>
  <c r="M679" i="24"/>
  <c r="C663" i="24"/>
  <c r="C664" i="24"/>
  <c r="O664" i="24"/>
  <c r="O663" i="24"/>
  <c r="M637" i="24"/>
  <c r="J659" i="24"/>
  <c r="M616" i="24"/>
  <c r="K617" i="24"/>
  <c r="K621" i="24" s="1"/>
  <c r="J621" i="24"/>
  <c r="H623" i="24"/>
  <c r="H622" i="24"/>
  <c r="E601" i="24"/>
  <c r="C617" i="24"/>
  <c r="C621" i="24" s="1"/>
  <c r="G578" i="24"/>
  <c r="Q557" i="24"/>
  <c r="P574" i="24"/>
  <c r="P577" i="24" s="1"/>
  <c r="J535" i="24"/>
  <c r="M518" i="24"/>
  <c r="J493" i="24"/>
  <c r="M329" i="24"/>
  <c r="K358" i="24"/>
  <c r="K362" i="24" s="1"/>
  <c r="N255" i="24"/>
  <c r="N773" i="24" s="1"/>
  <c r="Q254" i="24"/>
  <c r="H244" i="24"/>
  <c r="R103" i="24"/>
  <c r="C123" i="24"/>
  <c r="C126" i="24" s="1"/>
  <c r="E88" i="24"/>
  <c r="R60" i="24"/>
  <c r="N62" i="24"/>
  <c r="Q43" i="24"/>
  <c r="N725" i="26"/>
  <c r="N707" i="26"/>
  <c r="N740" i="26" s="1"/>
  <c r="I398" i="26"/>
  <c r="R398" i="26" s="1"/>
  <c r="H712" i="26"/>
  <c r="H742" i="26" s="1"/>
  <c r="I883" i="24"/>
  <c r="N15" i="24"/>
  <c r="B15" i="24"/>
  <c r="Q692" i="24"/>
  <c r="I687" i="24"/>
  <c r="F690" i="24"/>
  <c r="Q682" i="24"/>
  <c r="E681" i="24"/>
  <c r="G663" i="24"/>
  <c r="G664" i="24"/>
  <c r="R644" i="24"/>
  <c r="E637" i="24"/>
  <c r="B659" i="24"/>
  <c r="R619" i="24"/>
  <c r="I616" i="24"/>
  <c r="M605" i="24"/>
  <c r="Q601" i="24"/>
  <c r="D617" i="24"/>
  <c r="D621" i="24" s="1"/>
  <c r="R597" i="24"/>
  <c r="N588" i="24"/>
  <c r="Q587" i="24"/>
  <c r="C588" i="24"/>
  <c r="R585" i="24"/>
  <c r="R568" i="24"/>
  <c r="I562" i="24"/>
  <c r="N574" i="24"/>
  <c r="J574" i="24"/>
  <c r="F574" i="24"/>
  <c r="B574" i="24"/>
  <c r="R548" i="24"/>
  <c r="E526" i="24"/>
  <c r="Q489" i="24"/>
  <c r="P490" i="24"/>
  <c r="P493" i="24" s="1"/>
  <c r="L490" i="24"/>
  <c r="L493" i="24" s="1"/>
  <c r="H490" i="24"/>
  <c r="H493" i="24" s="1"/>
  <c r="D490" i="24"/>
  <c r="D493" i="24" s="1"/>
  <c r="E470" i="24"/>
  <c r="R458" i="24"/>
  <c r="E439" i="24"/>
  <c r="M430" i="24"/>
  <c r="Q426" i="24"/>
  <c r="R423" i="24"/>
  <c r="G441" i="24"/>
  <c r="G444" i="24" s="1"/>
  <c r="B441" i="24"/>
  <c r="E419" i="24"/>
  <c r="R401" i="24"/>
  <c r="E399" i="24"/>
  <c r="I398" i="24"/>
  <c r="L400" i="24"/>
  <c r="L403" i="24" s="1"/>
  <c r="I378" i="24"/>
  <c r="G400" i="24"/>
  <c r="G403" i="24" s="1"/>
  <c r="R353" i="24"/>
  <c r="R344" i="24"/>
  <c r="R335" i="24"/>
  <c r="I329" i="24"/>
  <c r="R324" i="24"/>
  <c r="R316" i="24"/>
  <c r="M307" i="24"/>
  <c r="J358" i="24"/>
  <c r="R304" i="24"/>
  <c r="Q294" i="24"/>
  <c r="R292" i="24"/>
  <c r="R283" i="24"/>
  <c r="R275" i="24"/>
  <c r="R266" i="24"/>
  <c r="R225" i="24"/>
  <c r="R214" i="24"/>
  <c r="R206" i="24"/>
  <c r="R198" i="24"/>
  <c r="R190" i="24"/>
  <c r="Q180" i="24"/>
  <c r="R178" i="24"/>
  <c r="R165" i="24"/>
  <c r="R156" i="24"/>
  <c r="R148" i="24"/>
  <c r="R140" i="24"/>
  <c r="R115" i="24"/>
  <c r="R113" i="24"/>
  <c r="K123" i="24"/>
  <c r="K126" i="24" s="1"/>
  <c r="M88" i="24"/>
  <c r="P31" i="24"/>
  <c r="K31" i="24"/>
  <c r="I30" i="24"/>
  <c r="M21" i="24"/>
  <c r="E18" i="24"/>
  <c r="I16" i="24"/>
  <c r="O15" i="24"/>
  <c r="K15" i="24"/>
  <c r="G15" i="24"/>
  <c r="C15" i="24"/>
  <c r="J694" i="24"/>
  <c r="M692" i="24"/>
  <c r="E687" i="24"/>
  <c r="R687" i="24" s="1"/>
  <c r="B690" i="24"/>
  <c r="M682" i="24"/>
  <c r="Q681" i="24"/>
  <c r="R653" i="24"/>
  <c r="Q637" i="24"/>
  <c r="N659" i="24"/>
  <c r="R635" i="24"/>
  <c r="E616" i="24"/>
  <c r="I605" i="24"/>
  <c r="P617" i="24"/>
  <c r="P621" i="24" s="1"/>
  <c r="M601" i="24"/>
  <c r="O588" i="24"/>
  <c r="M587" i="24"/>
  <c r="J588" i="24"/>
  <c r="R567" i="24"/>
  <c r="E562" i="24"/>
  <c r="C539" i="24"/>
  <c r="Q526" i="24"/>
  <c r="N504" i="24"/>
  <c r="B504" i="24"/>
  <c r="M489" i="24"/>
  <c r="R483" i="24"/>
  <c r="Q470" i="24"/>
  <c r="R468" i="24"/>
  <c r="R455" i="24"/>
  <c r="Q439" i="24"/>
  <c r="R438" i="24"/>
  <c r="I430" i="24"/>
  <c r="M426" i="24"/>
  <c r="N441" i="24"/>
  <c r="Q419" i="24"/>
  <c r="C441" i="24"/>
  <c r="C444" i="24" s="1"/>
  <c r="R415" i="24"/>
  <c r="Q399" i="24"/>
  <c r="E398" i="24"/>
  <c r="E378" i="24"/>
  <c r="C400" i="24"/>
  <c r="R350" i="24"/>
  <c r="R341" i="24"/>
  <c r="E329" i="24"/>
  <c r="R321" i="24"/>
  <c r="R313" i="24"/>
  <c r="I307" i="24"/>
  <c r="F358" i="24"/>
  <c r="R301" i="24"/>
  <c r="M294" i="24"/>
  <c r="R289" i="24"/>
  <c r="R280" i="24"/>
  <c r="R271" i="24"/>
  <c r="R263" i="24"/>
  <c r="R223" i="24"/>
  <c r="R213" i="24"/>
  <c r="R205" i="24"/>
  <c r="R197" i="24"/>
  <c r="R189" i="24"/>
  <c r="M180" i="24"/>
  <c r="R164" i="24"/>
  <c r="R155" i="24"/>
  <c r="R147" i="24"/>
  <c r="R139" i="24"/>
  <c r="R112" i="24"/>
  <c r="G123" i="24"/>
  <c r="G126" i="24" s="1"/>
  <c r="I88" i="24"/>
  <c r="M52" i="24"/>
  <c r="E30" i="24"/>
  <c r="B31" i="24"/>
  <c r="Q18" i="24"/>
  <c r="Q17" i="24"/>
  <c r="E16" i="24"/>
  <c r="Q121" i="24"/>
  <c r="R120" i="24"/>
  <c r="R99" i="24"/>
  <c r="M61" i="24"/>
  <c r="Q52" i="24"/>
  <c r="P62" i="24"/>
  <c r="P65" i="24" s="1"/>
  <c r="L62" i="24"/>
  <c r="L65" i="24" s="1"/>
  <c r="H62" i="24"/>
  <c r="H65" i="24" s="1"/>
  <c r="D62" i="24"/>
  <c r="D65" i="24" s="1"/>
  <c r="M30" i="24"/>
  <c r="J31" i="24"/>
  <c r="D31" i="24"/>
  <c r="Q21" i="24"/>
  <c r="E17" i="24"/>
  <c r="R124" i="24"/>
  <c r="E121" i="24"/>
  <c r="R77" i="24"/>
  <c r="Q61" i="24"/>
  <c r="E52" i="24"/>
  <c r="Q30" i="24"/>
  <c r="R28" i="24"/>
  <c r="E21" i="24"/>
  <c r="I17" i="24"/>
  <c r="P110" i="27"/>
  <c r="P105" i="27" s="1"/>
  <c r="P100" i="27" s="1"/>
  <c r="P115" i="27"/>
  <c r="V110" i="27"/>
  <c r="V115" i="27"/>
  <c r="G115" i="27"/>
  <c r="T110" i="27"/>
  <c r="T105" i="27" s="1"/>
  <c r="T100" i="27" s="1"/>
  <c r="T95" i="27" s="1"/>
  <c r="T119" i="27"/>
  <c r="T120" i="27" s="1"/>
  <c r="L110" i="27"/>
  <c r="L105" i="27" s="1"/>
  <c r="L100" i="27" s="1"/>
  <c r="L95" i="27" s="1"/>
  <c r="AB70" i="27"/>
  <c r="AB114" i="27" s="1"/>
  <c r="AB71" i="27"/>
  <c r="Z61" i="27"/>
  <c r="Z89" i="27"/>
  <c r="Z84" i="27"/>
  <c r="Z85" i="27" s="1"/>
  <c r="Z18" i="27"/>
  <c r="V61" i="27"/>
  <c r="V89" i="27"/>
  <c r="V18" i="27"/>
  <c r="V84" i="27"/>
  <c r="V85" i="27" s="1"/>
  <c r="R18" i="27"/>
  <c r="R61" i="27"/>
  <c r="R89" i="27"/>
  <c r="R84" i="27"/>
  <c r="R85" i="27" s="1"/>
  <c r="N61" i="27"/>
  <c r="N89" i="27"/>
  <c r="J61" i="27"/>
  <c r="J89" i="27"/>
  <c r="J84" i="27"/>
  <c r="J85" i="27" s="1"/>
  <c r="F61" i="27"/>
  <c r="F89" i="27"/>
  <c r="F84" i="27"/>
  <c r="F85" i="27" s="1"/>
  <c r="AB17" i="27"/>
  <c r="W115" i="27"/>
  <c r="W110" i="27"/>
  <c r="W105" i="27" s="1"/>
  <c r="W100" i="27" s="1"/>
  <c r="W95" i="27" s="1"/>
  <c r="K115" i="27"/>
  <c r="Y110" i="27"/>
  <c r="Y105" i="27" s="1"/>
  <c r="Y100" i="27" s="1"/>
  <c r="Y95" i="27" s="1"/>
  <c r="Y115" i="27"/>
  <c r="U114" i="27"/>
  <c r="U84" i="27"/>
  <c r="U85" i="27" s="1"/>
  <c r="M110" i="27"/>
  <c r="M105" i="27" s="1"/>
  <c r="E114" i="27"/>
  <c r="E84" i="27"/>
  <c r="E85" i="27" s="1"/>
  <c r="AA70" i="27"/>
  <c r="AA114" i="27" s="1"/>
  <c r="AA71" i="27"/>
  <c r="AB50" i="27"/>
  <c r="X94" i="27"/>
  <c r="X61" i="27"/>
  <c r="P94" i="27"/>
  <c r="P61" i="27"/>
  <c r="H94" i="27"/>
  <c r="H61" i="27"/>
  <c r="D100" i="27"/>
  <c r="D95" i="27" s="1"/>
  <c r="K90" i="27"/>
  <c r="C90" i="27"/>
  <c r="C119" i="27"/>
  <c r="C120" i="27" s="1"/>
  <c r="AA50" i="27"/>
  <c r="Y84" i="27"/>
  <c r="Y85" i="27" s="1"/>
  <c r="Q84" i="27"/>
  <c r="Q85" i="27" s="1"/>
  <c r="I84" i="27"/>
  <c r="I85" i="27" s="1"/>
  <c r="W61" i="27"/>
  <c r="O61" i="27"/>
  <c r="G94" i="27"/>
  <c r="G61" i="27"/>
  <c r="W119" i="27"/>
  <c r="W120" i="27" s="1"/>
  <c r="O119" i="27"/>
  <c r="O120" i="27" s="1"/>
  <c r="AB60" i="27"/>
  <c r="X84" i="27"/>
  <c r="X85" i="27" s="1"/>
  <c r="T84" i="27"/>
  <c r="T85" i="27" s="1"/>
  <c r="P84" i="27"/>
  <c r="P85" i="27" s="1"/>
  <c r="L84" i="27"/>
  <c r="L85" i="27" s="1"/>
  <c r="H84" i="27"/>
  <c r="H85" i="27" s="1"/>
  <c r="D84" i="27"/>
  <c r="D85" i="27" s="1"/>
  <c r="AA60" i="27"/>
  <c r="Y61" i="27"/>
  <c r="Y89" i="27"/>
  <c r="U61" i="27"/>
  <c r="U89" i="27"/>
  <c r="Q61" i="27"/>
  <c r="Q89" i="27"/>
  <c r="M61" i="27"/>
  <c r="M89" i="27"/>
  <c r="I61" i="27"/>
  <c r="I89" i="27"/>
  <c r="E61" i="27"/>
  <c r="E89" i="27"/>
  <c r="W84" i="27"/>
  <c r="W85" i="27" s="1"/>
  <c r="S84" i="27"/>
  <c r="S85" i="27" s="1"/>
  <c r="O84" i="27"/>
  <c r="O85" i="27" s="1"/>
  <c r="K84" i="27"/>
  <c r="K85" i="27" s="1"/>
  <c r="G84" i="27"/>
  <c r="G85" i="27" s="1"/>
  <c r="C84" i="27"/>
  <c r="C85" i="27" s="1"/>
  <c r="J710" i="26"/>
  <c r="J712" i="26" s="1"/>
  <c r="J742" i="26" s="1"/>
  <c r="H220" i="26"/>
  <c r="H240" i="26" s="1"/>
  <c r="H248" i="26" s="1"/>
  <c r="H249" i="26" s="1"/>
  <c r="H715" i="26"/>
  <c r="H716" i="26" s="1"/>
  <c r="H744" i="26" s="1"/>
  <c r="M307" i="26"/>
  <c r="J315" i="26"/>
  <c r="J367" i="26" s="1"/>
  <c r="J372" i="26" s="1"/>
  <c r="J373" i="26" s="1"/>
  <c r="E307" i="26"/>
  <c r="D315" i="26"/>
  <c r="D367" i="26" s="1"/>
  <c r="D372" i="26" s="1"/>
  <c r="M210" i="26"/>
  <c r="J715" i="26"/>
  <c r="M715" i="26" s="1"/>
  <c r="G220" i="26"/>
  <c r="I220" i="26" s="1"/>
  <c r="G715" i="26"/>
  <c r="G716" i="26" s="1"/>
  <c r="G744" i="26" s="1"/>
  <c r="G315" i="26"/>
  <c r="G367" i="26" s="1"/>
  <c r="G372" i="26" s="1"/>
  <c r="G373" i="26" s="1"/>
  <c r="R942" i="26"/>
  <c r="R898" i="24"/>
  <c r="R706" i="24"/>
  <c r="B712" i="26"/>
  <c r="B742" i="26" s="1"/>
  <c r="B507" i="26"/>
  <c r="B510" i="26" s="1"/>
  <c r="G535" i="26"/>
  <c r="G552" i="26" s="1"/>
  <c r="G555" i="26" s="1"/>
  <c r="G556" i="26" s="1"/>
  <c r="G701" i="26"/>
  <c r="G707" i="26" s="1"/>
  <c r="G740" i="26" s="1"/>
  <c r="H535" i="26"/>
  <c r="H552" i="26" s="1"/>
  <c r="H555" i="26" s="1"/>
  <c r="H556" i="26" s="1"/>
  <c r="H701" i="26"/>
  <c r="H707" i="26" s="1"/>
  <c r="H740" i="26" s="1"/>
  <c r="D712" i="26"/>
  <c r="D742" i="26" s="1"/>
  <c r="R945" i="26"/>
  <c r="C124" i="26"/>
  <c r="C127" i="26" s="1"/>
  <c r="C128" i="26" s="1"/>
  <c r="J60" i="26"/>
  <c r="J63" i="26" s="1"/>
  <c r="J64" i="26" s="1"/>
  <c r="H124" i="26"/>
  <c r="H127" i="26" s="1"/>
  <c r="H128" i="26" s="1"/>
  <c r="L712" i="26"/>
  <c r="L742" i="26" s="1"/>
  <c r="P124" i="26"/>
  <c r="P127" i="26" s="1"/>
  <c r="P128" i="26" s="1"/>
  <c r="R725" i="21"/>
  <c r="R684" i="21"/>
  <c r="D124" i="26"/>
  <c r="D127" i="26" s="1"/>
  <c r="D128" i="26" s="1"/>
  <c r="B124" i="26"/>
  <c r="B127" i="26" s="1"/>
  <c r="B128" i="26" s="1"/>
  <c r="O124" i="26"/>
  <c r="O127" i="26" s="1"/>
  <c r="O128" i="26" s="1"/>
  <c r="L124" i="26"/>
  <c r="L127" i="26" s="1"/>
  <c r="L128" i="26" s="1"/>
  <c r="J124" i="26"/>
  <c r="J127" i="26" s="1"/>
  <c r="J128" i="26" s="1"/>
  <c r="G124" i="26"/>
  <c r="G127" i="26" s="1"/>
  <c r="G128" i="26" s="1"/>
  <c r="H156" i="2"/>
  <c r="R336" i="26"/>
  <c r="H899" i="26"/>
  <c r="B552" i="26"/>
  <c r="B555" i="26" s="1"/>
  <c r="B556" i="26" s="1"/>
  <c r="B240" i="26"/>
  <c r="B248" i="26" s="1"/>
  <c r="R936" i="26"/>
  <c r="H897" i="26"/>
  <c r="G414" i="26"/>
  <c r="G417" i="26" s="1"/>
  <c r="G418" i="26" s="1"/>
  <c r="H901" i="26"/>
  <c r="H898" i="26"/>
  <c r="N945" i="26"/>
  <c r="N942" i="26"/>
  <c r="N936" i="26"/>
  <c r="R939" i="26"/>
  <c r="N939" i="26"/>
  <c r="H907" i="26"/>
  <c r="H905" i="26"/>
  <c r="H903" i="26"/>
  <c r="I309" i="26"/>
  <c r="R309" i="26" s="1"/>
  <c r="J220" i="26"/>
  <c r="M220" i="26" s="1"/>
  <c r="I210" i="26"/>
  <c r="H910" i="26"/>
  <c r="I900" i="26"/>
  <c r="Q948" i="26"/>
  <c r="M948" i="26"/>
  <c r="I938" i="26"/>
  <c r="H908" i="26"/>
  <c r="H906" i="26"/>
  <c r="H904" i="26"/>
  <c r="H902" i="26"/>
  <c r="H900" i="26"/>
  <c r="I530" i="26"/>
  <c r="R530" i="26" s="1"/>
  <c r="J400" i="26"/>
  <c r="M400" i="26" s="1"/>
  <c r="H315" i="26"/>
  <c r="H367" i="26" s="1"/>
  <c r="H372" i="26" s="1"/>
  <c r="H373" i="26" s="1"/>
  <c r="I307" i="26"/>
  <c r="I898" i="26"/>
  <c r="I936" i="26"/>
  <c r="J936" i="26" s="1"/>
  <c r="F535" i="26"/>
  <c r="F552" i="26" s="1"/>
  <c r="F555" i="26" s="1"/>
  <c r="F367" i="26"/>
  <c r="F372" i="26" s="1"/>
  <c r="O716" i="26"/>
  <c r="O744" i="26" s="1"/>
  <c r="F852" i="26"/>
  <c r="F823" i="26"/>
  <c r="R832" i="26"/>
  <c r="R808" i="26"/>
  <c r="R750" i="26"/>
  <c r="R728" i="26"/>
  <c r="R886" i="26"/>
  <c r="R859" i="26"/>
  <c r="R688" i="26"/>
  <c r="J724" i="26"/>
  <c r="J725" i="26"/>
  <c r="B367" i="26"/>
  <c r="B372" i="26" s="1"/>
  <c r="B373" i="26" s="1"/>
  <c r="O367" i="26"/>
  <c r="O372" i="26" s="1"/>
  <c r="O373" i="26" s="1"/>
  <c r="L367" i="26"/>
  <c r="L372" i="26" s="1"/>
  <c r="L373" i="26" s="1"/>
  <c r="N724" i="26"/>
  <c r="P707" i="26"/>
  <c r="P740" i="26" s="1"/>
  <c r="O725" i="26"/>
  <c r="O746" i="26" s="1"/>
  <c r="F60" i="26"/>
  <c r="F63" i="26" s="1"/>
  <c r="F64" i="26" s="1"/>
  <c r="F707" i="26"/>
  <c r="F740" i="26" s="1"/>
  <c r="B724" i="26"/>
  <c r="J707" i="26"/>
  <c r="C60" i="26"/>
  <c r="C63" i="26" s="1"/>
  <c r="C64" i="26" s="1"/>
  <c r="B707" i="26"/>
  <c r="B740" i="26" s="1"/>
  <c r="O240" i="26"/>
  <c r="O248" i="26" s="1"/>
  <c r="O249" i="26" s="1"/>
  <c r="L240" i="26"/>
  <c r="L248" i="26" s="1"/>
  <c r="L249" i="26" s="1"/>
  <c r="G240" i="26"/>
  <c r="G248" i="26" s="1"/>
  <c r="G249" i="26" s="1"/>
  <c r="D240" i="26"/>
  <c r="D248" i="26" s="1"/>
  <c r="D249" i="26" s="1"/>
  <c r="D876" i="26"/>
  <c r="R856" i="21"/>
  <c r="R774" i="21"/>
  <c r="Q59" i="26"/>
  <c r="M59" i="26"/>
  <c r="N60" i="26"/>
  <c r="N63" i="26" s="1"/>
  <c r="N64" i="26" s="1"/>
  <c r="E881" i="26"/>
  <c r="F873" i="26"/>
  <c r="B879" i="26"/>
  <c r="Q882" i="26"/>
  <c r="D880" i="26"/>
  <c r="F877" i="26"/>
  <c r="B875" i="26"/>
  <c r="C872" i="26"/>
  <c r="C882" i="26"/>
  <c r="Q880" i="26"/>
  <c r="F879" i="26"/>
  <c r="D878" i="26"/>
  <c r="B877" i="26"/>
  <c r="F875" i="26"/>
  <c r="D874" i="26"/>
  <c r="B873" i="26"/>
  <c r="E871" i="26"/>
  <c r="C240" i="26"/>
  <c r="C248" i="26" s="1"/>
  <c r="C249" i="26" s="1"/>
  <c r="E903" i="26"/>
  <c r="I792" i="26" s="1"/>
  <c r="G854" i="26"/>
  <c r="G849" i="26"/>
  <c r="B792" i="26"/>
  <c r="B790" i="26"/>
  <c r="B789" i="26"/>
  <c r="I59" i="26"/>
  <c r="J552" i="26"/>
  <c r="J555" i="26" s="1"/>
  <c r="J556" i="26" s="1"/>
  <c r="K240" i="26"/>
  <c r="K248" i="26" s="1"/>
  <c r="K249" i="26" s="1"/>
  <c r="P60" i="26"/>
  <c r="P63" i="26" s="1"/>
  <c r="P64" i="26" s="1"/>
  <c r="Q47" i="26"/>
  <c r="H60" i="26"/>
  <c r="H63" i="26" s="1"/>
  <c r="H64" i="26" s="1"/>
  <c r="I47" i="26"/>
  <c r="Q18" i="26"/>
  <c r="I18" i="26"/>
  <c r="Q16" i="26"/>
  <c r="I16" i="26"/>
  <c r="G845" i="26"/>
  <c r="F593" i="26"/>
  <c r="F596" i="26" s="1"/>
  <c r="F597" i="26" s="1"/>
  <c r="K124" i="26"/>
  <c r="K127" i="26" s="1"/>
  <c r="K128" i="26" s="1"/>
  <c r="E59" i="26"/>
  <c r="M47" i="26"/>
  <c r="E47" i="26"/>
  <c r="L60" i="26"/>
  <c r="L63" i="26" s="1"/>
  <c r="L64" i="26" s="1"/>
  <c r="D60" i="26"/>
  <c r="D63" i="26" s="1"/>
  <c r="D64" i="26" s="1"/>
  <c r="B60" i="26"/>
  <c r="B63" i="26" s="1"/>
  <c r="B64" i="26" s="1"/>
  <c r="M18" i="26"/>
  <c r="E18" i="26"/>
  <c r="M16" i="26"/>
  <c r="R917" i="21"/>
  <c r="R883" i="21"/>
  <c r="R829" i="21"/>
  <c r="R805" i="21"/>
  <c r="R839" i="23"/>
  <c r="R757" i="23"/>
  <c r="R837" i="24"/>
  <c r="R755" i="24"/>
  <c r="E907" i="26"/>
  <c r="I796" i="26" s="1"/>
  <c r="G847" i="26"/>
  <c r="G843" i="26"/>
  <c r="R330" i="26"/>
  <c r="R241" i="26"/>
  <c r="P240" i="26"/>
  <c r="P248" i="26" s="1"/>
  <c r="P249" i="26" s="1"/>
  <c r="E15" i="26"/>
  <c r="R498" i="26"/>
  <c r="E908" i="26"/>
  <c r="I797" i="26" s="1"/>
  <c r="E904" i="26"/>
  <c r="I793" i="26" s="1"/>
  <c r="E902" i="26"/>
  <c r="I791" i="26" s="1"/>
  <c r="E901" i="26"/>
  <c r="I790" i="26" s="1"/>
  <c r="E900" i="26"/>
  <c r="I789" i="26" s="1"/>
  <c r="E899" i="26"/>
  <c r="I788" i="26" s="1"/>
  <c r="E898" i="26"/>
  <c r="I787" i="26" s="1"/>
  <c r="E897" i="26"/>
  <c r="I786" i="26" s="1"/>
  <c r="G853" i="26"/>
  <c r="G850" i="26"/>
  <c r="G848" i="26"/>
  <c r="G846" i="26"/>
  <c r="G844" i="26"/>
  <c r="R171" i="26"/>
  <c r="M551" i="26"/>
  <c r="E551" i="26"/>
  <c r="M539" i="26"/>
  <c r="E539" i="26"/>
  <c r="L552" i="26"/>
  <c r="L555" i="26" s="1"/>
  <c r="L556" i="26" s="1"/>
  <c r="D552" i="26"/>
  <c r="D555" i="26" s="1"/>
  <c r="D556" i="26" s="1"/>
  <c r="R272" i="26"/>
  <c r="Q551" i="26"/>
  <c r="I551" i="26"/>
  <c r="Q539" i="26"/>
  <c r="I539" i="26"/>
  <c r="C455" i="26"/>
  <c r="C458" i="26" s="1"/>
  <c r="C459" i="26" s="1"/>
  <c r="R137" i="26"/>
  <c r="J680" i="26"/>
  <c r="J683" i="26" s="1"/>
  <c r="J685" i="26" s="1"/>
  <c r="M634" i="26"/>
  <c r="E634" i="26"/>
  <c r="M624" i="26"/>
  <c r="E624" i="26"/>
  <c r="G507" i="26"/>
  <c r="G510" i="26" s="1"/>
  <c r="G511" i="26" s="1"/>
  <c r="R428" i="26"/>
  <c r="M395" i="26"/>
  <c r="E395" i="26"/>
  <c r="R353" i="26"/>
  <c r="E220" i="26"/>
  <c r="R200" i="26"/>
  <c r="E882" i="26"/>
  <c r="Q881" i="26"/>
  <c r="C881" i="26"/>
  <c r="F880" i="26"/>
  <c r="B880" i="26"/>
  <c r="D879" i="26"/>
  <c r="F878" i="26"/>
  <c r="B878" i="26"/>
  <c r="D877" i="26"/>
  <c r="F876" i="26"/>
  <c r="B876" i="26"/>
  <c r="D875" i="26"/>
  <c r="F874" i="26"/>
  <c r="B874" i="26"/>
  <c r="D873" i="26"/>
  <c r="E872" i="26"/>
  <c r="Q871" i="26"/>
  <c r="C871" i="26"/>
  <c r="F821" i="26"/>
  <c r="B794" i="26"/>
  <c r="Q634" i="26"/>
  <c r="I634" i="26"/>
  <c r="Q624" i="26"/>
  <c r="I624" i="26"/>
  <c r="R585" i="26"/>
  <c r="N593" i="26"/>
  <c r="N596" i="26" s="1"/>
  <c r="N597" i="26" s="1"/>
  <c r="P552" i="26"/>
  <c r="P555" i="26" s="1"/>
  <c r="P556" i="26" s="1"/>
  <c r="R456" i="26"/>
  <c r="Q395" i="26"/>
  <c r="I395" i="26"/>
  <c r="R392" i="26"/>
  <c r="R289" i="26"/>
  <c r="Q220" i="26"/>
  <c r="R219" i="26"/>
  <c r="R153" i="26"/>
  <c r="R110" i="26"/>
  <c r="R79" i="26"/>
  <c r="M797" i="26"/>
  <c r="D797" i="26"/>
  <c r="M793" i="26"/>
  <c r="D793" i="26"/>
  <c r="M788" i="26"/>
  <c r="D788" i="26"/>
  <c r="F882" i="26"/>
  <c r="D882" i="26"/>
  <c r="B882" i="26"/>
  <c r="F881" i="26"/>
  <c r="D881" i="26"/>
  <c r="B881" i="26"/>
  <c r="E880" i="26"/>
  <c r="C880" i="26"/>
  <c r="Q879" i="26"/>
  <c r="E879" i="26"/>
  <c r="C879" i="26"/>
  <c r="Q878" i="26"/>
  <c r="E878" i="26"/>
  <c r="C878" i="26"/>
  <c r="Q877" i="26"/>
  <c r="E877" i="26"/>
  <c r="C877" i="26"/>
  <c r="Q876" i="26"/>
  <c r="E876" i="26"/>
  <c r="C876" i="26"/>
  <c r="Q875" i="26"/>
  <c r="E875" i="26"/>
  <c r="C875" i="26"/>
  <c r="Q874" i="26"/>
  <c r="E874" i="26"/>
  <c r="C874" i="26"/>
  <c r="Q873" i="26"/>
  <c r="E873" i="26"/>
  <c r="C873" i="26"/>
  <c r="Q872" i="26"/>
  <c r="F872" i="26"/>
  <c r="D872" i="26"/>
  <c r="B872" i="26"/>
  <c r="F871" i="26"/>
  <c r="D871" i="26"/>
  <c r="B871" i="26"/>
  <c r="F854" i="26"/>
  <c r="F853" i="26"/>
  <c r="F851" i="26"/>
  <c r="F850" i="26"/>
  <c r="F849" i="26"/>
  <c r="F848" i="26"/>
  <c r="F846" i="26"/>
  <c r="F845" i="26"/>
  <c r="F844" i="26"/>
  <c r="F843" i="26"/>
  <c r="F830" i="26"/>
  <c r="F829" i="26"/>
  <c r="F828" i="26"/>
  <c r="F826" i="26"/>
  <c r="F824" i="26"/>
  <c r="R664" i="26"/>
  <c r="I656" i="26"/>
  <c r="R654" i="26"/>
  <c r="R475" i="26"/>
  <c r="P367" i="26"/>
  <c r="P372" i="26" s="1"/>
  <c r="P373" i="26" s="1"/>
  <c r="Q366" i="26"/>
  <c r="K367" i="26"/>
  <c r="K372" i="26" s="1"/>
  <c r="K373" i="26" s="1"/>
  <c r="I366" i="26"/>
  <c r="C367" i="26"/>
  <c r="C372" i="26" s="1"/>
  <c r="C373" i="26" s="1"/>
  <c r="R363" i="26"/>
  <c r="R322" i="26"/>
  <c r="R229" i="26"/>
  <c r="R208" i="26"/>
  <c r="R163" i="26"/>
  <c r="R92" i="26"/>
  <c r="M656" i="26"/>
  <c r="E656" i="26"/>
  <c r="M366" i="26"/>
  <c r="E366" i="26"/>
  <c r="R339" i="26"/>
  <c r="R281" i="26"/>
  <c r="R211" i="26"/>
  <c r="R192" i="26"/>
  <c r="R145" i="26"/>
  <c r="E16" i="26"/>
  <c r="N156" i="2"/>
  <c r="A54" i="7"/>
  <c r="R900" i="23"/>
  <c r="R866" i="23"/>
  <c r="R812" i="23"/>
  <c r="R788" i="23"/>
  <c r="R864" i="24"/>
  <c r="R810" i="24"/>
  <c r="R786" i="24"/>
  <c r="R920" i="26"/>
  <c r="M723" i="26"/>
  <c r="E723" i="26"/>
  <c r="G725" i="26"/>
  <c r="G746" i="26" s="1"/>
  <c r="D724" i="26"/>
  <c r="L724" i="26"/>
  <c r="M721" i="26"/>
  <c r="E721" i="26"/>
  <c r="M719" i="26"/>
  <c r="E719" i="26"/>
  <c r="Q714" i="26"/>
  <c r="I714" i="26"/>
  <c r="M711" i="26"/>
  <c r="E711" i="26"/>
  <c r="M709" i="26"/>
  <c r="E709" i="26"/>
  <c r="O636" i="26"/>
  <c r="O640" i="26" s="1"/>
  <c r="O641" i="26" s="1"/>
  <c r="G636" i="26"/>
  <c r="G640" i="26" s="1"/>
  <c r="G642" i="26" s="1"/>
  <c r="Q606" i="26"/>
  <c r="I606" i="26"/>
  <c r="R604" i="26"/>
  <c r="J593" i="26"/>
  <c r="J596" i="26" s="1"/>
  <c r="J597" i="26" s="1"/>
  <c r="B593" i="26"/>
  <c r="B596" i="26" s="1"/>
  <c r="B597" i="26" s="1"/>
  <c r="Q505" i="26"/>
  <c r="I505" i="26"/>
  <c r="R504" i="26"/>
  <c r="M492" i="26"/>
  <c r="E492" i="26"/>
  <c r="O507" i="26"/>
  <c r="O510" i="26" s="1"/>
  <c r="O511" i="26" s="1"/>
  <c r="R471" i="26"/>
  <c r="R450" i="26"/>
  <c r="K455" i="26"/>
  <c r="K458" i="26" s="1"/>
  <c r="K459" i="26" s="1"/>
  <c r="Q412" i="26"/>
  <c r="I412" i="26"/>
  <c r="R411" i="26"/>
  <c r="O414" i="26"/>
  <c r="O417" i="26" s="1"/>
  <c r="O418" i="26" s="1"/>
  <c r="R358" i="26"/>
  <c r="R335" i="26"/>
  <c r="R312" i="26"/>
  <c r="R293" i="26"/>
  <c r="R277" i="26"/>
  <c r="M259" i="26"/>
  <c r="E259" i="26"/>
  <c r="R245" i="26"/>
  <c r="R225" i="26"/>
  <c r="R204" i="26"/>
  <c r="R188" i="26"/>
  <c r="R157" i="26"/>
  <c r="R141" i="26"/>
  <c r="R114" i="26"/>
  <c r="G774" i="26"/>
  <c r="Q723" i="26"/>
  <c r="I723" i="26"/>
  <c r="Q721" i="26"/>
  <c r="I721" i="26"/>
  <c r="I719" i="26"/>
  <c r="M714" i="26"/>
  <c r="E714" i="26"/>
  <c r="Q711" i="26"/>
  <c r="I711" i="26"/>
  <c r="Q709" i="26"/>
  <c r="I709" i="26"/>
  <c r="R671" i="26"/>
  <c r="N680" i="26"/>
  <c r="N683" i="26" s="1"/>
  <c r="N684" i="26" s="1"/>
  <c r="H680" i="26"/>
  <c r="H683" i="26" s="1"/>
  <c r="H684" i="26" s="1"/>
  <c r="F680" i="26"/>
  <c r="F683" i="26" s="1"/>
  <c r="F684" i="26" s="1"/>
  <c r="M606" i="26"/>
  <c r="E606" i="26"/>
  <c r="R577" i="26"/>
  <c r="M505" i="26"/>
  <c r="E505" i="26"/>
  <c r="I492" i="26"/>
  <c r="R484" i="26"/>
  <c r="M412" i="26"/>
  <c r="E412" i="26"/>
  <c r="R387" i="26"/>
  <c r="R349" i="26"/>
  <c r="R326" i="26"/>
  <c r="R285" i="26"/>
  <c r="R268" i="26"/>
  <c r="Q259" i="26"/>
  <c r="I259" i="26"/>
  <c r="R257" i="26"/>
  <c r="R259" i="26" s="1"/>
  <c r="R233" i="26"/>
  <c r="R215" i="26"/>
  <c r="R196" i="26"/>
  <c r="R167" i="26"/>
  <c r="R149" i="26"/>
  <c r="R102" i="26"/>
  <c r="R75" i="26"/>
  <c r="P724" i="26"/>
  <c r="H724" i="26"/>
  <c r="F724" i="26"/>
  <c r="C725" i="26"/>
  <c r="C746" i="26" s="1"/>
  <c r="K725" i="26"/>
  <c r="K716" i="26"/>
  <c r="K744" i="26" s="1"/>
  <c r="C716" i="26"/>
  <c r="C744" i="26" s="1"/>
  <c r="N712" i="26"/>
  <c r="N742" i="26" s="1"/>
  <c r="F712" i="26"/>
  <c r="F742" i="26" s="1"/>
  <c r="Q706" i="26"/>
  <c r="I706" i="26"/>
  <c r="Q704" i="26"/>
  <c r="I704" i="26"/>
  <c r="Q702" i="26"/>
  <c r="I702" i="26"/>
  <c r="Q679" i="26"/>
  <c r="I679" i="26"/>
  <c r="R674" i="26"/>
  <c r="M668" i="26"/>
  <c r="E668" i="26"/>
  <c r="N607" i="26"/>
  <c r="J607" i="26"/>
  <c r="Q581" i="26"/>
  <c r="I581" i="26"/>
  <c r="R580" i="26"/>
  <c r="M574" i="26"/>
  <c r="E574" i="26"/>
  <c r="R508" i="26"/>
  <c r="R495" i="26"/>
  <c r="K507" i="26"/>
  <c r="K510" i="26" s="1"/>
  <c r="K511" i="26" s="1"/>
  <c r="C507" i="26"/>
  <c r="C510" i="26" s="1"/>
  <c r="C511" i="26" s="1"/>
  <c r="M481" i="26"/>
  <c r="E481" i="26"/>
  <c r="R473" i="26"/>
  <c r="Q453" i="26"/>
  <c r="I453" i="26"/>
  <c r="R452" i="26"/>
  <c r="O455" i="26"/>
  <c r="O458" i="26" s="1"/>
  <c r="O459" i="26" s="1"/>
  <c r="G455" i="26"/>
  <c r="G458" i="26" s="1"/>
  <c r="G459" i="26" s="1"/>
  <c r="M439" i="26"/>
  <c r="E439" i="26"/>
  <c r="R415" i="26"/>
  <c r="L414" i="26"/>
  <c r="L417" i="26" s="1"/>
  <c r="L418" i="26" s="1"/>
  <c r="D414" i="26"/>
  <c r="D417" i="26" s="1"/>
  <c r="D418" i="26" s="1"/>
  <c r="E400" i="26"/>
  <c r="R390" i="26"/>
  <c r="R361" i="26"/>
  <c r="R351" i="26"/>
  <c r="R337" i="26"/>
  <c r="R328" i="26"/>
  <c r="R319" i="26"/>
  <c r="R290" i="26"/>
  <c r="R283" i="26"/>
  <c r="R274" i="26"/>
  <c r="R243" i="26"/>
  <c r="M238" i="26"/>
  <c r="E238" i="26"/>
  <c r="R231" i="26"/>
  <c r="R223" i="26"/>
  <c r="R213" i="26"/>
  <c r="R202" i="26"/>
  <c r="R194" i="26"/>
  <c r="R174" i="26"/>
  <c r="R165" i="26"/>
  <c r="R155" i="26"/>
  <c r="R139" i="26"/>
  <c r="M123" i="26"/>
  <c r="E123" i="26"/>
  <c r="R112" i="26"/>
  <c r="R100" i="26"/>
  <c r="M88" i="26"/>
  <c r="E88" i="26"/>
  <c r="R82" i="26"/>
  <c r="R73" i="26"/>
  <c r="O60" i="26"/>
  <c r="O63" i="26" s="1"/>
  <c r="O64" i="26" s="1"/>
  <c r="G60" i="26"/>
  <c r="G63" i="26" s="1"/>
  <c r="G64" i="26" s="1"/>
  <c r="M706" i="26"/>
  <c r="E706" i="26"/>
  <c r="M704" i="26"/>
  <c r="E704" i="26"/>
  <c r="M702" i="26"/>
  <c r="E702" i="26"/>
  <c r="L707" i="26"/>
  <c r="L740" i="26" s="1"/>
  <c r="D707" i="26"/>
  <c r="D740" i="26" s="1"/>
  <c r="M679" i="26"/>
  <c r="E679" i="26"/>
  <c r="Q668" i="26"/>
  <c r="I668" i="26"/>
  <c r="R667" i="26"/>
  <c r="L680" i="26"/>
  <c r="L683" i="26" s="1"/>
  <c r="L684" i="26" s="1"/>
  <c r="D680" i="26"/>
  <c r="D683" i="26" s="1"/>
  <c r="D684" i="26" s="1"/>
  <c r="M581" i="26"/>
  <c r="E581" i="26"/>
  <c r="Q574" i="26"/>
  <c r="I574" i="26"/>
  <c r="N552" i="26"/>
  <c r="N555" i="26" s="1"/>
  <c r="R500" i="26"/>
  <c r="Q481" i="26"/>
  <c r="I481" i="26"/>
  <c r="R479" i="26"/>
  <c r="R469" i="26"/>
  <c r="M453" i="26"/>
  <c r="E453" i="26"/>
  <c r="Q439" i="26"/>
  <c r="I439" i="26"/>
  <c r="R437" i="26"/>
  <c r="Q400" i="26"/>
  <c r="I400" i="26"/>
  <c r="K414" i="26"/>
  <c r="K417" i="26" s="1"/>
  <c r="K418" i="26" s="1"/>
  <c r="C414" i="26"/>
  <c r="C417" i="26" s="1"/>
  <c r="C418" i="26" s="1"/>
  <c r="R369" i="26"/>
  <c r="R355" i="26"/>
  <c r="R346" i="26"/>
  <c r="N367" i="26"/>
  <c r="N372" i="26" s="1"/>
  <c r="R333" i="26"/>
  <c r="R324" i="26"/>
  <c r="R310" i="26"/>
  <c r="R306" i="26"/>
  <c r="R295" i="26"/>
  <c r="R287" i="26"/>
  <c r="R279" i="26"/>
  <c r="R270" i="26"/>
  <c r="N260" i="26"/>
  <c r="N795" i="26" s="1"/>
  <c r="J260" i="26"/>
  <c r="N792" i="26" s="1"/>
  <c r="Q238" i="26"/>
  <c r="I238" i="26"/>
  <c r="R236" i="26"/>
  <c r="R227" i="26"/>
  <c r="R217" i="26"/>
  <c r="R206" i="26"/>
  <c r="R198" i="26"/>
  <c r="R190" i="26"/>
  <c r="R169" i="26"/>
  <c r="R161" i="26"/>
  <c r="R159" i="26"/>
  <c r="R151" i="26"/>
  <c r="R143" i="26"/>
  <c r="Q123" i="26"/>
  <c r="I123" i="26"/>
  <c r="R118" i="26"/>
  <c r="R104" i="26"/>
  <c r="Q88" i="26"/>
  <c r="I88" i="26"/>
  <c r="R86" i="26"/>
  <c r="R77" i="26"/>
  <c r="I15" i="26"/>
  <c r="O156" i="2"/>
  <c r="P680" i="26"/>
  <c r="P683" i="26" s="1"/>
  <c r="P685" i="26" s="1"/>
  <c r="Q656" i="26"/>
  <c r="R565" i="26"/>
  <c r="M796" i="26"/>
  <c r="D796" i="26"/>
  <c r="M795" i="26"/>
  <c r="D795" i="26"/>
  <c r="M791" i="26"/>
  <c r="D791" i="26"/>
  <c r="M787" i="26"/>
  <c r="D787" i="26"/>
  <c r="F820" i="26"/>
  <c r="E722" i="26"/>
  <c r="M720" i="26"/>
  <c r="D725" i="26"/>
  <c r="D746" i="26" s="1"/>
  <c r="E720" i="26"/>
  <c r="M718" i="26"/>
  <c r="E718" i="26"/>
  <c r="E715" i="26"/>
  <c r="E710" i="26"/>
  <c r="Q705" i="26"/>
  <c r="I705" i="26"/>
  <c r="Q703" i="26"/>
  <c r="I703" i="26"/>
  <c r="O707" i="26"/>
  <c r="O740" i="26" s="1"/>
  <c r="K707" i="26"/>
  <c r="C707" i="26"/>
  <c r="C740" i="26" s="1"/>
  <c r="Q701" i="26"/>
  <c r="R681" i="26"/>
  <c r="Q678" i="26"/>
  <c r="I678" i="26"/>
  <c r="R675" i="26"/>
  <c r="Q661" i="26"/>
  <c r="I661" i="26"/>
  <c r="R659" i="26"/>
  <c r="O680" i="26"/>
  <c r="O683" i="26" s="1"/>
  <c r="O684" i="26" s="1"/>
  <c r="K680" i="26"/>
  <c r="K683" i="26" s="1"/>
  <c r="K684" i="26" s="1"/>
  <c r="G680" i="26"/>
  <c r="G683" i="26" s="1"/>
  <c r="G684" i="26" s="1"/>
  <c r="C680" i="26"/>
  <c r="C683" i="26" s="1"/>
  <c r="C685" i="26" s="1"/>
  <c r="M592" i="26"/>
  <c r="E592" i="26"/>
  <c r="M591" i="26"/>
  <c r="E591" i="26"/>
  <c r="L593" i="26"/>
  <c r="L596" i="26" s="1"/>
  <c r="L597" i="26" s="1"/>
  <c r="D593" i="26"/>
  <c r="D596" i="26" s="1"/>
  <c r="D597" i="26" s="1"/>
  <c r="M910" i="26"/>
  <c r="F774" i="26"/>
  <c r="O724" i="26"/>
  <c r="K724" i="26"/>
  <c r="G724" i="26"/>
  <c r="C724" i="26"/>
  <c r="Q720" i="26"/>
  <c r="I720" i="26"/>
  <c r="Q718" i="26"/>
  <c r="I718" i="26"/>
  <c r="Q715" i="26"/>
  <c r="Q710" i="26"/>
  <c r="O712" i="26"/>
  <c r="O742" i="26" s="1"/>
  <c r="K712" i="26"/>
  <c r="K742" i="26" s="1"/>
  <c r="G712" i="26"/>
  <c r="G742" i="26" s="1"/>
  <c r="C712" i="26"/>
  <c r="C742" i="26" s="1"/>
  <c r="M705" i="26"/>
  <c r="E705" i="26"/>
  <c r="M703" i="26"/>
  <c r="E703" i="26"/>
  <c r="E701" i="26"/>
  <c r="M678" i="26"/>
  <c r="E678" i="26"/>
  <c r="R672" i="26"/>
  <c r="R666" i="26"/>
  <c r="M661" i="26"/>
  <c r="E661" i="26"/>
  <c r="R650" i="26"/>
  <c r="R637" i="26"/>
  <c r="K636" i="26"/>
  <c r="K640" i="26" s="1"/>
  <c r="C636" i="26"/>
  <c r="C640" i="26" s="1"/>
  <c r="I592" i="26"/>
  <c r="R586" i="26"/>
  <c r="H593" i="26"/>
  <c r="H596" i="26" s="1"/>
  <c r="H597" i="26" s="1"/>
  <c r="R651" i="26"/>
  <c r="R594" i="26"/>
  <c r="Q591" i="26"/>
  <c r="I591" i="26"/>
  <c r="R588" i="26"/>
  <c r="O593" i="26"/>
  <c r="O596" i="26" s="1"/>
  <c r="O597" i="26" s="1"/>
  <c r="K593" i="26"/>
  <c r="K596" i="26" s="1"/>
  <c r="K597" i="26" s="1"/>
  <c r="G593" i="26"/>
  <c r="G596" i="26" s="1"/>
  <c r="G597" i="26" s="1"/>
  <c r="C593" i="26"/>
  <c r="C596" i="26" s="1"/>
  <c r="C597" i="26" s="1"/>
  <c r="Q570" i="26"/>
  <c r="I570" i="26"/>
  <c r="R566" i="26"/>
  <c r="M550" i="26"/>
  <c r="E550" i="26"/>
  <c r="M543" i="26"/>
  <c r="E543" i="26"/>
  <c r="M535" i="26"/>
  <c r="E535" i="26"/>
  <c r="Q520" i="26"/>
  <c r="I520" i="26"/>
  <c r="R518" i="26"/>
  <c r="M506" i="26"/>
  <c r="E506" i="26"/>
  <c r="R501" i="26"/>
  <c r="R496" i="26"/>
  <c r="L507" i="26"/>
  <c r="L510" i="26" s="1"/>
  <c r="L511" i="26" s="1"/>
  <c r="M487" i="26"/>
  <c r="D507" i="26"/>
  <c r="D510" i="26" s="1"/>
  <c r="D511" i="26" s="1"/>
  <c r="E487" i="26"/>
  <c r="R474" i="26"/>
  <c r="R470" i="26"/>
  <c r="Q454" i="26"/>
  <c r="I454" i="26"/>
  <c r="R448" i="26"/>
  <c r="Q443" i="26"/>
  <c r="I443" i="26"/>
  <c r="L455" i="26"/>
  <c r="L458" i="26" s="1"/>
  <c r="L459" i="26" s="1"/>
  <c r="M433" i="26"/>
  <c r="D455" i="26"/>
  <c r="D458" i="26" s="1"/>
  <c r="D459" i="26" s="1"/>
  <c r="E433" i="26"/>
  <c r="R427" i="26"/>
  <c r="M413" i="26"/>
  <c r="E413" i="26"/>
  <c r="R410" i="26"/>
  <c r="P414" i="26"/>
  <c r="P417" i="26" s="1"/>
  <c r="P418" i="26" s="1"/>
  <c r="Q404" i="26"/>
  <c r="H414" i="26"/>
  <c r="H417" i="26" s="1"/>
  <c r="H418" i="26" s="1"/>
  <c r="I404" i="26"/>
  <c r="R391" i="26"/>
  <c r="R370" i="26"/>
  <c r="M365" i="26"/>
  <c r="E365" i="26"/>
  <c r="R362" i="26"/>
  <c r="R357" i="26"/>
  <c r="R352" i="26"/>
  <c r="R347" i="26"/>
  <c r="M341" i="26"/>
  <c r="E341" i="26"/>
  <c r="R338" i="26"/>
  <c r="R334" i="26"/>
  <c r="R329" i="26"/>
  <c r="R325" i="26"/>
  <c r="R321" i="26"/>
  <c r="R311" i="26"/>
  <c r="R308" i="26"/>
  <c r="M298" i="26"/>
  <c r="E298" i="26"/>
  <c r="R294" i="26"/>
  <c r="R286" i="26"/>
  <c r="R282" i="26"/>
  <c r="R273" i="26"/>
  <c r="R269" i="26"/>
  <c r="R242" i="26"/>
  <c r="M239" i="26"/>
  <c r="E239" i="26"/>
  <c r="R234" i="26"/>
  <c r="R230" i="26"/>
  <c r="R216" i="26"/>
  <c r="R212" i="26"/>
  <c r="R209" i="26"/>
  <c r="R205" i="26"/>
  <c r="R201" i="26"/>
  <c r="R197" i="26"/>
  <c r="R193" i="26"/>
  <c r="R189" i="26"/>
  <c r="M183" i="26"/>
  <c r="E183" i="26"/>
  <c r="E177" i="26"/>
  <c r="R173" i="26"/>
  <c r="R168" i="26"/>
  <c r="R164" i="26"/>
  <c r="R158" i="26"/>
  <c r="R154" i="26"/>
  <c r="R150" i="26"/>
  <c r="R146" i="26"/>
  <c r="R142" i="26"/>
  <c r="R138" i="26"/>
  <c r="M122" i="26"/>
  <c r="E122" i="26"/>
  <c r="R117" i="26"/>
  <c r="R111" i="26"/>
  <c r="M106" i="26"/>
  <c r="E106" i="26"/>
  <c r="R103" i="26"/>
  <c r="R99" i="26"/>
  <c r="Q95" i="26"/>
  <c r="I95" i="26"/>
  <c r="R93" i="26"/>
  <c r="R85" i="26"/>
  <c r="R76" i="26"/>
  <c r="R61" i="26"/>
  <c r="Q58" i="26"/>
  <c r="I58" i="26"/>
  <c r="R55" i="26"/>
  <c r="Q51" i="26"/>
  <c r="I51" i="26"/>
  <c r="Q41" i="26"/>
  <c r="I41" i="26"/>
  <c r="Q28" i="26"/>
  <c r="I28" i="26"/>
  <c r="R26" i="26"/>
  <c r="Q19" i="26"/>
  <c r="I19" i="26"/>
  <c r="Q17" i="26"/>
  <c r="I17" i="26"/>
  <c r="Q15" i="26"/>
  <c r="R579" i="26"/>
  <c r="M570" i="26"/>
  <c r="E570" i="26"/>
  <c r="R553" i="26"/>
  <c r="Q550" i="26"/>
  <c r="I550" i="26"/>
  <c r="R547" i="26"/>
  <c r="Q543" i="26"/>
  <c r="I543" i="26"/>
  <c r="O552" i="26"/>
  <c r="O555" i="26" s="1"/>
  <c r="O556" i="26" s="1"/>
  <c r="K552" i="26"/>
  <c r="K555" i="26" s="1"/>
  <c r="C552" i="26"/>
  <c r="C555" i="26" s="1"/>
  <c r="Q535" i="26"/>
  <c r="R531" i="26"/>
  <c r="M520" i="26"/>
  <c r="E520" i="26"/>
  <c r="Q506" i="26"/>
  <c r="I506" i="26"/>
  <c r="R499" i="26"/>
  <c r="P507" i="26"/>
  <c r="P510" i="26" s="1"/>
  <c r="P511" i="26" s="1"/>
  <c r="Q487" i="26"/>
  <c r="H507" i="26"/>
  <c r="H510" i="26" s="1"/>
  <c r="H511" i="26" s="1"/>
  <c r="I487" i="26"/>
  <c r="R485" i="26"/>
  <c r="R477" i="26"/>
  <c r="R472" i="26"/>
  <c r="R468" i="26"/>
  <c r="M454" i="26"/>
  <c r="E454" i="26"/>
  <c r="R451" i="26"/>
  <c r="M443" i="26"/>
  <c r="E443" i="26"/>
  <c r="R436" i="26"/>
  <c r="P455" i="26"/>
  <c r="P458" i="26" s="1"/>
  <c r="P459" i="26" s="1"/>
  <c r="Q433" i="26"/>
  <c r="H455" i="26"/>
  <c r="H458" i="26" s="1"/>
  <c r="H459" i="26" s="1"/>
  <c r="I433" i="26"/>
  <c r="R429" i="26"/>
  <c r="Q413" i="26"/>
  <c r="I413" i="26"/>
  <c r="M404" i="26"/>
  <c r="E404" i="26"/>
  <c r="R388" i="26"/>
  <c r="R368" i="26"/>
  <c r="Q365" i="26"/>
  <c r="I365" i="26"/>
  <c r="R364" i="26"/>
  <c r="R360" i="26"/>
  <c r="R354" i="26"/>
  <c r="R350" i="26"/>
  <c r="R344" i="26"/>
  <c r="Q341" i="26"/>
  <c r="I341" i="26"/>
  <c r="R340" i="26"/>
  <c r="R331" i="26"/>
  <c r="R327" i="26"/>
  <c r="R323" i="26"/>
  <c r="R318" i="26"/>
  <c r="Q315" i="26"/>
  <c r="R313" i="26"/>
  <c r="R305" i="26"/>
  <c r="Q298" i="26"/>
  <c r="I298" i="26"/>
  <c r="R296" i="26"/>
  <c r="R291" i="26"/>
  <c r="R288" i="26"/>
  <c r="R284" i="26"/>
  <c r="R280" i="26"/>
  <c r="R275" i="26"/>
  <c r="R271" i="26"/>
  <c r="R267" i="26"/>
  <c r="Q239" i="26"/>
  <c r="I239" i="26"/>
  <c r="R232" i="26"/>
  <c r="R228" i="26"/>
  <c r="R224" i="26"/>
  <c r="R218" i="26"/>
  <c r="R214" i="26"/>
  <c r="R207" i="26"/>
  <c r="R203" i="26"/>
  <c r="R199" i="26"/>
  <c r="R195" i="26"/>
  <c r="R191" i="26"/>
  <c r="R187" i="26"/>
  <c r="Q183" i="26"/>
  <c r="I183" i="26"/>
  <c r="R181" i="26"/>
  <c r="Q177" i="26"/>
  <c r="I177" i="26"/>
  <c r="R175" i="26"/>
  <c r="R170" i="26"/>
  <c r="R166" i="26"/>
  <c r="R162" i="26"/>
  <c r="R156" i="26"/>
  <c r="R152" i="26"/>
  <c r="R148" i="26"/>
  <c r="R144" i="26"/>
  <c r="R140" i="26"/>
  <c r="R125" i="26"/>
  <c r="N124" i="26"/>
  <c r="F124" i="26"/>
  <c r="Q122" i="26"/>
  <c r="I122" i="26"/>
  <c r="R120" i="26"/>
  <c r="R113" i="26"/>
  <c r="R109" i="26"/>
  <c r="Q106" i="26"/>
  <c r="I106" i="26"/>
  <c r="R105" i="26"/>
  <c r="R101" i="26"/>
  <c r="M95" i="26"/>
  <c r="E95" i="26"/>
  <c r="R83" i="26"/>
  <c r="R78" i="26"/>
  <c r="R74" i="26"/>
  <c r="M58" i="26"/>
  <c r="E58" i="26"/>
  <c r="M51" i="26"/>
  <c r="E51" i="26"/>
  <c r="M41" i="26"/>
  <c r="E41" i="26"/>
  <c r="M28" i="26"/>
  <c r="E28" i="26"/>
  <c r="M19" i="26"/>
  <c r="E19" i="26"/>
  <c r="M17" i="26"/>
  <c r="E17" i="26"/>
  <c r="M15" i="26"/>
  <c r="M156" i="2"/>
  <c r="M701" i="26"/>
  <c r="M177" i="26"/>
  <c r="J910" i="26"/>
  <c r="B786" i="26"/>
  <c r="M722" i="26"/>
  <c r="L725" i="26"/>
  <c r="Q722" i="26"/>
  <c r="I722" i="26"/>
  <c r="H725" i="26"/>
  <c r="M620" i="26"/>
  <c r="J636" i="26"/>
  <c r="E620" i="26"/>
  <c r="B636" i="26"/>
  <c r="K607" i="26"/>
  <c r="C607" i="26"/>
  <c r="F725" i="26"/>
  <c r="B725" i="26"/>
  <c r="N716" i="26"/>
  <c r="F716" i="26"/>
  <c r="B716" i="26"/>
  <c r="B685" i="26"/>
  <c r="B684" i="26"/>
  <c r="M635" i="26"/>
  <c r="E635" i="26"/>
  <c r="Q628" i="26"/>
  <c r="I628" i="26"/>
  <c r="L636" i="26"/>
  <c r="L640" i="26" s="1"/>
  <c r="D636" i="26"/>
  <c r="D640" i="26" s="1"/>
  <c r="Q620" i="26"/>
  <c r="N636" i="26"/>
  <c r="I620" i="26"/>
  <c r="F636" i="26"/>
  <c r="R638" i="26"/>
  <c r="Q635" i="26"/>
  <c r="I635" i="26"/>
  <c r="M628" i="26"/>
  <c r="E628" i="26"/>
  <c r="P636" i="26"/>
  <c r="P640" i="26" s="1"/>
  <c r="H636" i="26"/>
  <c r="H640" i="26" s="1"/>
  <c r="R616" i="26"/>
  <c r="R246" i="26"/>
  <c r="J521" i="26"/>
  <c r="B521" i="26"/>
  <c r="N507" i="26"/>
  <c r="J507" i="26"/>
  <c r="F507" i="26"/>
  <c r="N455" i="26"/>
  <c r="J455" i="26"/>
  <c r="F455" i="26"/>
  <c r="B455" i="26"/>
  <c r="N414" i="26"/>
  <c r="F414" i="26"/>
  <c r="B414" i="26"/>
  <c r="R244" i="26"/>
  <c r="N240" i="26"/>
  <c r="F240" i="26"/>
  <c r="V105" i="27" l="1"/>
  <c r="V100" i="27" s="1"/>
  <c r="V95" i="27" s="1"/>
  <c r="R329" i="24"/>
  <c r="I352" i="23"/>
  <c r="B664" i="23"/>
  <c r="E888" i="24"/>
  <c r="R490" i="21"/>
  <c r="R42" i="23"/>
  <c r="R534" i="21"/>
  <c r="R604" i="23"/>
  <c r="R233" i="24"/>
  <c r="H745" i="21"/>
  <c r="H14" i="21" s="1"/>
  <c r="I115" i="27"/>
  <c r="R392" i="23"/>
  <c r="M704" i="23"/>
  <c r="R589" i="21"/>
  <c r="F115" i="27"/>
  <c r="R561" i="23"/>
  <c r="H870" i="21"/>
  <c r="J110" i="27"/>
  <c r="J105" i="27" s="1"/>
  <c r="J100" i="27" s="1"/>
  <c r="J95" i="27" s="1"/>
  <c r="R378" i="24"/>
  <c r="M772" i="23"/>
  <c r="H723" i="21"/>
  <c r="H869" i="21"/>
  <c r="P664" i="24"/>
  <c r="P665" i="24" s="1"/>
  <c r="K119" i="27"/>
  <c r="K120" i="27" s="1"/>
  <c r="M100" i="27"/>
  <c r="M95" i="27" s="1"/>
  <c r="Q722" i="24"/>
  <c r="R521" i="23"/>
  <c r="R406" i="21"/>
  <c r="Q235" i="24"/>
  <c r="P723" i="21"/>
  <c r="I590" i="21"/>
  <c r="N663" i="23"/>
  <c r="H856" i="23"/>
  <c r="M702" i="24"/>
  <c r="R615" i="23"/>
  <c r="R108" i="21"/>
  <c r="R445" i="21"/>
  <c r="Q696" i="23"/>
  <c r="R216" i="24"/>
  <c r="R615" i="24"/>
  <c r="R707" i="21"/>
  <c r="H859" i="23"/>
  <c r="C881" i="21"/>
  <c r="F834" i="24"/>
  <c r="H860" i="24"/>
  <c r="R700" i="23"/>
  <c r="B864" i="23"/>
  <c r="F881" i="21"/>
  <c r="H877" i="21"/>
  <c r="R621" i="21"/>
  <c r="R712" i="21"/>
  <c r="AB18" i="27"/>
  <c r="H852" i="24"/>
  <c r="R571" i="23"/>
  <c r="I686" i="23"/>
  <c r="R419" i="23"/>
  <c r="G834" i="24"/>
  <c r="I617" i="24"/>
  <c r="H860" i="23"/>
  <c r="R350" i="23"/>
  <c r="R549" i="21"/>
  <c r="Q400" i="24"/>
  <c r="Q123" i="24"/>
  <c r="Q722" i="21"/>
  <c r="Q110" i="27"/>
  <c r="Q105" i="27" s="1"/>
  <c r="Q100" i="27" s="1"/>
  <c r="Q95" i="27" s="1"/>
  <c r="E352" i="23"/>
  <c r="E62" i="21"/>
  <c r="R489" i="24"/>
  <c r="H861" i="23"/>
  <c r="R18" i="21"/>
  <c r="R60" i="23"/>
  <c r="R682" i="24"/>
  <c r="R30" i="21"/>
  <c r="R330" i="23"/>
  <c r="R174" i="24"/>
  <c r="R215" i="23"/>
  <c r="R351" i="23"/>
  <c r="O728" i="23"/>
  <c r="O14" i="23" s="1"/>
  <c r="R698" i="21"/>
  <c r="F864" i="23"/>
  <c r="H875" i="21"/>
  <c r="R183" i="21"/>
  <c r="Q881" i="21"/>
  <c r="H872" i="21"/>
  <c r="H876" i="21"/>
  <c r="I576" i="23"/>
  <c r="R703" i="23"/>
  <c r="R440" i="24"/>
  <c r="R21" i="23"/>
  <c r="R553" i="24"/>
  <c r="R648" i="24"/>
  <c r="R693" i="24"/>
  <c r="I777" i="24"/>
  <c r="R16" i="23"/>
  <c r="R456" i="21"/>
  <c r="R717" i="21"/>
  <c r="R696" i="24"/>
  <c r="R658" i="23"/>
  <c r="R609" i="24"/>
  <c r="R182" i="23"/>
  <c r="G836" i="23"/>
  <c r="R306" i="21"/>
  <c r="M783" i="21"/>
  <c r="D783" i="21"/>
  <c r="R210" i="26"/>
  <c r="I715" i="26"/>
  <c r="R715" i="26" s="1"/>
  <c r="R19" i="24"/>
  <c r="E881" i="21"/>
  <c r="H664" i="24"/>
  <c r="H589" i="24" s="1"/>
  <c r="R43" i="24"/>
  <c r="I724" i="23"/>
  <c r="H868" i="21"/>
  <c r="I704" i="23"/>
  <c r="R110" i="27"/>
  <c r="R105" i="27" s="1"/>
  <c r="R100" i="27" s="1"/>
  <c r="R95" i="27" s="1"/>
  <c r="R115" i="27"/>
  <c r="F100" i="27"/>
  <c r="F95" i="27" s="1"/>
  <c r="K622" i="23"/>
  <c r="K621" i="23"/>
  <c r="D776" i="23"/>
  <c r="D779" i="23" s="1"/>
  <c r="R221" i="21"/>
  <c r="R578" i="21"/>
  <c r="AA84" i="27"/>
  <c r="S119" i="27"/>
  <c r="S120" i="27" s="1"/>
  <c r="R398" i="24"/>
  <c r="O704" i="24"/>
  <c r="H859" i="24"/>
  <c r="R379" i="23"/>
  <c r="R426" i="24"/>
  <c r="Q694" i="24"/>
  <c r="M696" i="23"/>
  <c r="I15" i="23"/>
  <c r="Q15" i="23"/>
  <c r="B779" i="23"/>
  <c r="R557" i="24"/>
  <c r="R125" i="23"/>
  <c r="R647" i="23"/>
  <c r="N681" i="21"/>
  <c r="R684" i="24"/>
  <c r="R690" i="23"/>
  <c r="I696" i="23"/>
  <c r="R16" i="21"/>
  <c r="M721" i="21"/>
  <c r="M235" i="24"/>
  <c r="R47" i="23"/>
  <c r="I659" i="23"/>
  <c r="I400" i="24"/>
  <c r="R681" i="23"/>
  <c r="K706" i="23"/>
  <c r="F706" i="23"/>
  <c r="R21" i="21"/>
  <c r="F621" i="24"/>
  <c r="F622" i="24" s="1"/>
  <c r="C621" i="23"/>
  <c r="E907" i="21"/>
  <c r="N665" i="23"/>
  <c r="B65" i="21"/>
  <c r="B66" i="21" s="1"/>
  <c r="Q458" i="21"/>
  <c r="L723" i="21"/>
  <c r="C704" i="24"/>
  <c r="C706" i="23"/>
  <c r="O745" i="21"/>
  <c r="O14" i="21" s="1"/>
  <c r="Z115" i="27"/>
  <c r="Z110" i="27"/>
  <c r="Z105" i="27" s="1"/>
  <c r="Z100" i="27" s="1"/>
  <c r="Z95" i="27" s="1"/>
  <c r="R488" i="23"/>
  <c r="D784" i="21"/>
  <c r="M784" i="21"/>
  <c r="H873" i="21"/>
  <c r="D665" i="24"/>
  <c r="Q741" i="24"/>
  <c r="D785" i="21"/>
  <c r="M785" i="21"/>
  <c r="H874" i="21"/>
  <c r="K665" i="24"/>
  <c r="Q746" i="24"/>
  <c r="R17" i="24"/>
  <c r="R127" i="21"/>
  <c r="N115" i="27"/>
  <c r="N110" i="27"/>
  <c r="N105" i="27" s="1"/>
  <c r="N100" i="27" s="1"/>
  <c r="N95" i="27" s="1"/>
  <c r="D788" i="21"/>
  <c r="M788" i="21"/>
  <c r="F853" i="21"/>
  <c r="R61" i="24"/>
  <c r="Q352" i="23"/>
  <c r="R702" i="24"/>
  <c r="R640" i="23"/>
  <c r="M775" i="23"/>
  <c r="E15" i="21"/>
  <c r="R502" i="23"/>
  <c r="M791" i="21"/>
  <c r="D791" i="21"/>
  <c r="I710" i="26"/>
  <c r="G119" i="27"/>
  <c r="G120" i="27" s="1"/>
  <c r="R121" i="24"/>
  <c r="R562" i="24"/>
  <c r="R18" i="24"/>
  <c r="R419" i="24"/>
  <c r="R470" i="24"/>
  <c r="E15" i="24"/>
  <c r="H855" i="24"/>
  <c r="Q126" i="24"/>
  <c r="R17" i="23"/>
  <c r="R29" i="23"/>
  <c r="E724" i="24"/>
  <c r="Q61" i="23"/>
  <c r="R682" i="23"/>
  <c r="E890" i="23"/>
  <c r="R20" i="21"/>
  <c r="R697" i="21"/>
  <c r="R716" i="21"/>
  <c r="Q724" i="23"/>
  <c r="R700" i="24"/>
  <c r="I662" i="23"/>
  <c r="H857" i="24"/>
  <c r="M662" i="23"/>
  <c r="K728" i="23"/>
  <c r="K14" i="23" s="1"/>
  <c r="I15" i="21"/>
  <c r="R688" i="23"/>
  <c r="D864" i="23"/>
  <c r="D723" i="21"/>
  <c r="O723" i="21"/>
  <c r="P745" i="21"/>
  <c r="P14" i="21" s="1"/>
  <c r="R688" i="24"/>
  <c r="M659" i="23"/>
  <c r="D789" i="21"/>
  <c r="M789" i="21"/>
  <c r="B796" i="21"/>
  <c r="R393" i="23"/>
  <c r="J933" i="21"/>
  <c r="M90" i="27"/>
  <c r="M119" i="27"/>
  <c r="M120" i="27" s="1"/>
  <c r="E110" i="27"/>
  <c r="E105" i="27" s="1"/>
  <c r="E100" i="27" s="1"/>
  <c r="E95" i="27" s="1"/>
  <c r="E115" i="27"/>
  <c r="J119" i="27"/>
  <c r="J120" i="27" s="1"/>
  <c r="J90" i="27"/>
  <c r="G127" i="24"/>
  <c r="P623" i="24"/>
  <c r="P622" i="24"/>
  <c r="P494" i="24"/>
  <c r="K622" i="24"/>
  <c r="K623" i="24"/>
  <c r="M123" i="24"/>
  <c r="J126" i="24"/>
  <c r="E358" i="24"/>
  <c r="B362" i="24"/>
  <c r="F493" i="24"/>
  <c r="I490" i="24"/>
  <c r="O398" i="23"/>
  <c r="H578" i="24"/>
  <c r="Q64" i="23"/>
  <c r="N65" i="23"/>
  <c r="M705" i="23"/>
  <c r="J726" i="23"/>
  <c r="M726" i="23" s="1"/>
  <c r="O639" i="21"/>
  <c r="O638" i="21"/>
  <c r="R51" i="23"/>
  <c r="K255" i="21"/>
  <c r="P594" i="21"/>
  <c r="Q593" i="21"/>
  <c r="N594" i="21"/>
  <c r="P358" i="23"/>
  <c r="E123" i="24"/>
  <c r="B126" i="24"/>
  <c r="J444" i="24"/>
  <c r="M441" i="24"/>
  <c r="R518" i="24"/>
  <c r="O622" i="24"/>
  <c r="O623" i="24"/>
  <c r="E862" i="24"/>
  <c r="J65" i="23"/>
  <c r="M64" i="23"/>
  <c r="R374" i="23"/>
  <c r="E489" i="23"/>
  <c r="B492" i="23"/>
  <c r="P555" i="21"/>
  <c r="C638" i="21"/>
  <c r="C639" i="21"/>
  <c r="C680" i="21"/>
  <c r="C681" i="21"/>
  <c r="K723" i="21"/>
  <c r="K737" i="21"/>
  <c r="K745" i="21" s="1"/>
  <c r="K14" i="21" s="1"/>
  <c r="E685" i="24"/>
  <c r="B704" i="24"/>
  <c r="B718" i="24"/>
  <c r="P742" i="23"/>
  <c r="C623" i="23"/>
  <c r="K376" i="21"/>
  <c r="F397" i="23"/>
  <c r="I394" i="23"/>
  <c r="R517" i="23"/>
  <c r="K555" i="21"/>
  <c r="P823" i="21"/>
  <c r="P847" i="21"/>
  <c r="R711" i="21"/>
  <c r="G254" i="21"/>
  <c r="I246" i="21"/>
  <c r="B461" i="21"/>
  <c r="E458" i="21"/>
  <c r="J509" i="21"/>
  <c r="M506" i="21"/>
  <c r="M370" i="21"/>
  <c r="Q752" i="23"/>
  <c r="P665" i="23"/>
  <c r="L704" i="24"/>
  <c r="R90" i="27"/>
  <c r="R119" i="27"/>
  <c r="R120" i="27" s="1"/>
  <c r="P66" i="24"/>
  <c r="C403" i="24"/>
  <c r="E400" i="24"/>
  <c r="D494" i="24"/>
  <c r="I574" i="24"/>
  <c r="F577" i="24"/>
  <c r="F358" i="23"/>
  <c r="I357" i="23"/>
  <c r="K442" i="23"/>
  <c r="Q616" i="23"/>
  <c r="N620" i="23"/>
  <c r="R307" i="24"/>
  <c r="Q403" i="24"/>
  <c r="N404" i="24"/>
  <c r="Q490" i="24"/>
  <c r="I659" i="24"/>
  <c r="F662" i="24"/>
  <c r="M236" i="23"/>
  <c r="J244" i="23"/>
  <c r="R487" i="23"/>
  <c r="G623" i="23"/>
  <c r="P745" i="23"/>
  <c r="D706" i="23"/>
  <c r="D720" i="23"/>
  <c r="D728" i="23" s="1"/>
  <c r="D14" i="23" s="1"/>
  <c r="B65" i="24"/>
  <c r="E62" i="24"/>
  <c r="R605" i="24"/>
  <c r="B722" i="24"/>
  <c r="E722" i="24" s="1"/>
  <c r="E694" i="24"/>
  <c r="H850" i="24"/>
  <c r="K65" i="23"/>
  <c r="O510" i="21"/>
  <c r="B723" i="21"/>
  <c r="B737" i="21"/>
  <c r="E703" i="21"/>
  <c r="J741" i="21"/>
  <c r="M741" i="21" s="1"/>
  <c r="M713" i="21"/>
  <c r="D621" i="23"/>
  <c r="D622" i="23"/>
  <c r="R402" i="21"/>
  <c r="K510" i="21"/>
  <c r="D682" i="21"/>
  <c r="Q760" i="21"/>
  <c r="I15" i="24"/>
  <c r="I403" i="24"/>
  <c r="F404" i="24"/>
  <c r="G494" i="24"/>
  <c r="D539" i="24"/>
  <c r="H849" i="24"/>
  <c r="B862" i="24"/>
  <c r="M61" i="23"/>
  <c r="R467" i="23"/>
  <c r="P622" i="23"/>
  <c r="P621" i="23"/>
  <c r="C255" i="21"/>
  <c r="C376" i="21"/>
  <c r="Q417" i="21"/>
  <c r="N420" i="21"/>
  <c r="C509" i="21"/>
  <c r="E506" i="21"/>
  <c r="H638" i="21"/>
  <c r="H639" i="21"/>
  <c r="J679" i="21"/>
  <c r="M676" i="21"/>
  <c r="M690" i="24"/>
  <c r="J720" i="24"/>
  <c r="M720" i="24" s="1"/>
  <c r="E61" i="23"/>
  <c r="B537" i="23"/>
  <c r="E534" i="23"/>
  <c r="R17" i="21"/>
  <c r="P255" i="21"/>
  <c r="H462" i="21"/>
  <c r="K680" i="21"/>
  <c r="K681" i="21"/>
  <c r="F741" i="21"/>
  <c r="I741" i="21" s="1"/>
  <c r="I713" i="21"/>
  <c r="Q617" i="24"/>
  <c r="F492" i="23"/>
  <c r="I489" i="23"/>
  <c r="D132" i="21"/>
  <c r="D462" i="21"/>
  <c r="R435" i="21"/>
  <c r="B637" i="21"/>
  <c r="E633" i="21"/>
  <c r="J414" i="26"/>
  <c r="J417" i="26" s="1"/>
  <c r="M710" i="26"/>
  <c r="J716" i="26"/>
  <c r="J726" i="26" s="1"/>
  <c r="AA109" i="27"/>
  <c r="AA119" i="27" s="1"/>
  <c r="AA61" i="27"/>
  <c r="AB109" i="27"/>
  <c r="AB84" i="27"/>
  <c r="AB89" i="27"/>
  <c r="AB61" i="27"/>
  <c r="R21" i="24"/>
  <c r="R52" i="24"/>
  <c r="H66" i="24"/>
  <c r="R30" i="24"/>
  <c r="Q441" i="24"/>
  <c r="N444" i="24"/>
  <c r="L494" i="24"/>
  <c r="Q574" i="24"/>
  <c r="N577" i="24"/>
  <c r="R637" i="24"/>
  <c r="H665" i="24"/>
  <c r="Q744" i="24"/>
  <c r="N65" i="24"/>
  <c r="Q62" i="24"/>
  <c r="C127" i="24"/>
  <c r="M490" i="24"/>
  <c r="M535" i="24"/>
  <c r="J538" i="24"/>
  <c r="R601" i="24"/>
  <c r="M617" i="24"/>
  <c r="C665" i="24"/>
  <c r="Q740" i="24"/>
  <c r="C131" i="23"/>
  <c r="Q236" i="23"/>
  <c r="N244" i="23"/>
  <c r="E357" i="23"/>
  <c r="B358" i="23"/>
  <c r="M357" i="23"/>
  <c r="J358" i="23"/>
  <c r="I438" i="23"/>
  <c r="F441" i="23"/>
  <c r="N492" i="23"/>
  <c r="Q489" i="23"/>
  <c r="K538" i="23"/>
  <c r="I616" i="23"/>
  <c r="F620" i="23"/>
  <c r="E659" i="23"/>
  <c r="C662" i="23"/>
  <c r="R430" i="24"/>
  <c r="P539" i="24"/>
  <c r="R698" i="24"/>
  <c r="H856" i="24"/>
  <c r="D775" i="24"/>
  <c r="M775" i="24"/>
  <c r="J130" i="23"/>
  <c r="M127" i="23"/>
  <c r="B441" i="23"/>
  <c r="E438" i="23"/>
  <c r="G538" i="23"/>
  <c r="Q573" i="23"/>
  <c r="O576" i="23"/>
  <c r="R608" i="23"/>
  <c r="L706" i="23"/>
  <c r="L720" i="23"/>
  <c r="L728" i="23" s="1"/>
  <c r="L14" i="23" s="1"/>
  <c r="R685" i="23"/>
  <c r="R695" i="23"/>
  <c r="I441" i="24"/>
  <c r="F444" i="24"/>
  <c r="L578" i="24"/>
  <c r="L624" i="24"/>
  <c r="P747" i="24"/>
  <c r="M773" i="24"/>
  <c r="D773" i="24"/>
  <c r="J917" i="24"/>
  <c r="L65" i="23"/>
  <c r="O65" i="23"/>
  <c r="G398" i="23"/>
  <c r="E686" i="23"/>
  <c r="B720" i="23"/>
  <c r="B706" i="23"/>
  <c r="N728" i="23"/>
  <c r="N14" i="23" s="1"/>
  <c r="G65" i="21"/>
  <c r="I62" i="21"/>
  <c r="P376" i="21"/>
  <c r="G421" i="21"/>
  <c r="R573" i="21"/>
  <c r="N682" i="21"/>
  <c r="Q767" i="21"/>
  <c r="R706" i="21"/>
  <c r="Q721" i="21"/>
  <c r="L589" i="24"/>
  <c r="R697" i="24"/>
  <c r="C65" i="23"/>
  <c r="I236" i="23"/>
  <c r="F244" i="23"/>
  <c r="M394" i="23"/>
  <c r="J397" i="23"/>
  <c r="D665" i="23"/>
  <c r="Q743" i="23"/>
  <c r="F665" i="23"/>
  <c r="Q744" i="23"/>
  <c r="N722" i="23"/>
  <c r="Q722" i="23" s="1"/>
  <c r="Q692" i="23"/>
  <c r="R48" i="21"/>
  <c r="R457" i="21"/>
  <c r="F555" i="21"/>
  <c r="I554" i="21"/>
  <c r="Q590" i="21"/>
  <c r="M243" i="24"/>
  <c r="J244" i="24"/>
  <c r="Q358" i="24"/>
  <c r="N362" i="24"/>
  <c r="I703" i="24"/>
  <c r="F724" i="24"/>
  <c r="I724" i="24" s="1"/>
  <c r="E236" i="23"/>
  <c r="B244" i="23"/>
  <c r="R294" i="24"/>
  <c r="E490" i="24"/>
  <c r="K539" i="24"/>
  <c r="E703" i="24"/>
  <c r="D764" i="24"/>
  <c r="M764" i="24"/>
  <c r="B777" i="24"/>
  <c r="P65" i="23"/>
  <c r="B130" i="23"/>
  <c r="E127" i="23"/>
  <c r="R107" i="23"/>
  <c r="K398" i="23"/>
  <c r="J441" i="23"/>
  <c r="M438" i="23"/>
  <c r="R436" i="23"/>
  <c r="O538" i="23"/>
  <c r="F537" i="23"/>
  <c r="I534" i="23"/>
  <c r="I573" i="23"/>
  <c r="L621" i="23"/>
  <c r="L622" i="23"/>
  <c r="O706" i="23"/>
  <c r="R701" i="23"/>
  <c r="Q705" i="23"/>
  <c r="K66" i="21"/>
  <c r="H255" i="21"/>
  <c r="R368" i="21"/>
  <c r="I417" i="21"/>
  <c r="F420" i="21"/>
  <c r="H510" i="21"/>
  <c r="L555" i="21"/>
  <c r="J593" i="21"/>
  <c r="M590" i="21"/>
  <c r="F723" i="21"/>
  <c r="F737" i="21"/>
  <c r="I703" i="21"/>
  <c r="Q713" i="21"/>
  <c r="N741" i="21"/>
  <c r="Q741" i="21" s="1"/>
  <c r="I722" i="21"/>
  <c r="F743" i="21"/>
  <c r="I743" i="21" s="1"/>
  <c r="R719" i="21"/>
  <c r="R679" i="24"/>
  <c r="H853" i="24"/>
  <c r="N537" i="23"/>
  <c r="Q534" i="23"/>
  <c r="Q747" i="23"/>
  <c r="J665" i="23"/>
  <c r="M686" i="23"/>
  <c r="R694" i="23"/>
  <c r="H864" i="23"/>
  <c r="I128" i="21"/>
  <c r="F131" i="21"/>
  <c r="R415" i="21"/>
  <c r="R504" i="21"/>
  <c r="D594" i="21"/>
  <c r="R715" i="21"/>
  <c r="J66" i="24"/>
  <c r="M65" i="24"/>
  <c r="Q685" i="24"/>
  <c r="N718" i="24"/>
  <c r="N704" i="24"/>
  <c r="I127" i="23"/>
  <c r="F130" i="23"/>
  <c r="C538" i="23"/>
  <c r="O623" i="23"/>
  <c r="P751" i="23"/>
  <c r="Q62" i="21"/>
  <c r="O65" i="21"/>
  <c r="I633" i="21"/>
  <c r="J637" i="21"/>
  <c r="M633" i="21"/>
  <c r="R321" i="21"/>
  <c r="F462" i="21"/>
  <c r="I461" i="21"/>
  <c r="K594" i="21"/>
  <c r="L639" i="21"/>
  <c r="L638" i="21"/>
  <c r="L132" i="21"/>
  <c r="J376" i="21"/>
  <c r="M375" i="21"/>
  <c r="O462" i="21"/>
  <c r="Q743" i="21"/>
  <c r="I705" i="23"/>
  <c r="F726" i="23"/>
  <c r="I726" i="23" s="1"/>
  <c r="R89" i="21"/>
  <c r="Q509" i="21"/>
  <c r="N510" i="21"/>
  <c r="N554" i="21"/>
  <c r="Q551" i="21"/>
  <c r="J723" i="21"/>
  <c r="M723" i="21" s="1"/>
  <c r="J737" i="21"/>
  <c r="M703" i="21"/>
  <c r="J936" i="21"/>
  <c r="L726" i="24"/>
  <c r="L14" i="24" s="1"/>
  <c r="K10" i="25" s="1"/>
  <c r="E90" i="27"/>
  <c r="E119" i="27"/>
  <c r="E120" i="27" s="1"/>
  <c r="U90" i="27"/>
  <c r="U119" i="27"/>
  <c r="U120" i="27" s="1"/>
  <c r="G95" i="27"/>
  <c r="P95" i="27"/>
  <c r="P119" i="27"/>
  <c r="P120" i="27" s="1"/>
  <c r="L66" i="24"/>
  <c r="Q659" i="24"/>
  <c r="N662" i="24"/>
  <c r="L404" i="24"/>
  <c r="E574" i="24"/>
  <c r="B577" i="24"/>
  <c r="R681" i="24"/>
  <c r="M493" i="24"/>
  <c r="J494" i="24"/>
  <c r="Q127" i="23"/>
  <c r="N130" i="23"/>
  <c r="C577" i="23"/>
  <c r="M616" i="23"/>
  <c r="J620" i="23"/>
  <c r="I685" i="24"/>
  <c r="F704" i="24"/>
  <c r="F718" i="24"/>
  <c r="R412" i="23"/>
  <c r="P706" i="23"/>
  <c r="P720" i="23"/>
  <c r="P728" i="23" s="1"/>
  <c r="P14" i="23" s="1"/>
  <c r="E617" i="24"/>
  <c r="B621" i="24"/>
  <c r="R692" i="24"/>
  <c r="R572" i="23"/>
  <c r="Q686" i="23"/>
  <c r="C132" i="21"/>
  <c r="D376" i="21"/>
  <c r="O421" i="21"/>
  <c r="D510" i="21"/>
  <c r="P743" i="24"/>
  <c r="G624" i="24"/>
  <c r="R423" i="23"/>
  <c r="R662" i="21"/>
  <c r="R177" i="23"/>
  <c r="F65" i="24"/>
  <c r="I62" i="24"/>
  <c r="B494" i="24"/>
  <c r="E493" i="24"/>
  <c r="F862" i="24"/>
  <c r="R89" i="23"/>
  <c r="L577" i="23"/>
  <c r="R657" i="23"/>
  <c r="J722" i="23"/>
  <c r="M722" i="23" s="1"/>
  <c r="M692" i="23"/>
  <c r="J706" i="23"/>
  <c r="M706" i="23" s="1"/>
  <c r="E246" i="21"/>
  <c r="B254" i="21"/>
  <c r="J420" i="21"/>
  <c r="M417" i="21"/>
  <c r="B554" i="21"/>
  <c r="E551" i="21"/>
  <c r="B679" i="21"/>
  <c r="E676" i="21"/>
  <c r="I709" i="21"/>
  <c r="F739" i="21"/>
  <c r="I739" i="21" s="1"/>
  <c r="G589" i="24"/>
  <c r="B65" i="23"/>
  <c r="E64" i="23"/>
  <c r="N244" i="24"/>
  <c r="Q243" i="24"/>
  <c r="Q621" i="24"/>
  <c r="N623" i="24"/>
  <c r="N622" i="24"/>
  <c r="H665" i="23"/>
  <c r="Q746" i="23"/>
  <c r="P66" i="21"/>
  <c r="H66" i="21"/>
  <c r="M722" i="21"/>
  <c r="J743" i="21"/>
  <c r="M743" i="21" s="1"/>
  <c r="L255" i="21"/>
  <c r="F90" i="27"/>
  <c r="F119" i="27"/>
  <c r="F120" i="27" s="1"/>
  <c r="R16" i="24"/>
  <c r="C445" i="24"/>
  <c r="J722" i="24"/>
  <c r="M722" i="24" s="1"/>
  <c r="M694" i="24"/>
  <c r="E441" i="24"/>
  <c r="R441" i="24" s="1"/>
  <c r="B444" i="24"/>
  <c r="D622" i="24"/>
  <c r="D623" i="24"/>
  <c r="G665" i="24"/>
  <c r="Q743" i="24"/>
  <c r="K363" i="24"/>
  <c r="H624" i="24"/>
  <c r="P744" i="24"/>
  <c r="O665" i="24"/>
  <c r="Q749" i="24"/>
  <c r="D774" i="24"/>
  <c r="M774" i="24"/>
  <c r="Q357" i="23"/>
  <c r="N358" i="23"/>
  <c r="R552" i="23"/>
  <c r="M576" i="23"/>
  <c r="O404" i="24"/>
  <c r="I535" i="24"/>
  <c r="F538" i="24"/>
  <c r="H704" i="24"/>
  <c r="H718" i="24"/>
  <c r="H726" i="24" s="1"/>
  <c r="H14" i="24" s="1"/>
  <c r="H10" i="25" s="1"/>
  <c r="R699" i="24"/>
  <c r="O131" i="23"/>
  <c r="G442" i="23"/>
  <c r="M573" i="23"/>
  <c r="Q659" i="23"/>
  <c r="O662" i="23"/>
  <c r="G704" i="24"/>
  <c r="G718" i="24"/>
  <c r="G726" i="24" s="1"/>
  <c r="G14" i="24" s="1"/>
  <c r="G10" i="25" s="1"/>
  <c r="N397" i="23"/>
  <c r="Q394" i="23"/>
  <c r="R52" i="21"/>
  <c r="M128" i="21"/>
  <c r="J131" i="21"/>
  <c r="D255" i="21"/>
  <c r="H376" i="21"/>
  <c r="R505" i="21"/>
  <c r="Q676" i="21"/>
  <c r="O679" i="21"/>
  <c r="B743" i="21"/>
  <c r="E722" i="21"/>
  <c r="R722" i="21" s="1"/>
  <c r="D704" i="24"/>
  <c r="D718" i="24"/>
  <c r="D726" i="24" s="1"/>
  <c r="D14" i="24" s="1"/>
  <c r="E10" i="25" s="1"/>
  <c r="H621" i="23"/>
  <c r="H622" i="23"/>
  <c r="B665" i="23"/>
  <c r="Q741" i="23"/>
  <c r="R441" i="21"/>
  <c r="R705" i="21"/>
  <c r="D65" i="23"/>
  <c r="R95" i="24"/>
  <c r="E535" i="24"/>
  <c r="B538" i="24"/>
  <c r="F722" i="24"/>
  <c r="I722" i="24" s="1"/>
  <c r="I694" i="24"/>
  <c r="Q862" i="24"/>
  <c r="E394" i="23"/>
  <c r="B397" i="23"/>
  <c r="J537" i="23"/>
  <c r="M534" i="23"/>
  <c r="B576" i="23"/>
  <c r="E573" i="23"/>
  <c r="K664" i="23"/>
  <c r="K663" i="23"/>
  <c r="F722" i="23"/>
  <c r="I722" i="23" s="1"/>
  <c r="I692" i="23"/>
  <c r="M246" i="21"/>
  <c r="J254" i="21"/>
  <c r="P462" i="21"/>
  <c r="D555" i="21"/>
  <c r="M551" i="21"/>
  <c r="Q633" i="21"/>
  <c r="N637" i="21"/>
  <c r="R700" i="21"/>
  <c r="Q824" i="21"/>
  <c r="Q848" i="21"/>
  <c r="G363" i="24"/>
  <c r="D768" i="24"/>
  <c r="M768" i="24"/>
  <c r="B722" i="23"/>
  <c r="E722" i="23" s="1"/>
  <c r="E692" i="23"/>
  <c r="R692" i="23" s="1"/>
  <c r="R61" i="21"/>
  <c r="R96" i="21"/>
  <c r="R542" i="21"/>
  <c r="F594" i="21"/>
  <c r="I593" i="21"/>
  <c r="N723" i="21"/>
  <c r="N737" i="21"/>
  <c r="Q703" i="21"/>
  <c r="I123" i="24"/>
  <c r="F126" i="24"/>
  <c r="K577" i="23"/>
  <c r="Q831" i="23"/>
  <c r="Q807" i="23"/>
  <c r="E705" i="23"/>
  <c r="R705" i="23" s="1"/>
  <c r="B726" i="23"/>
  <c r="E726" i="23" s="1"/>
  <c r="R43" i="21"/>
  <c r="J65" i="21"/>
  <c r="M62" i="21"/>
  <c r="E713" i="21"/>
  <c r="B741" i="21"/>
  <c r="E741" i="21" s="1"/>
  <c r="C555" i="21"/>
  <c r="H132" i="21"/>
  <c r="Q461" i="21"/>
  <c r="N462" i="21"/>
  <c r="M15" i="21"/>
  <c r="R15" i="21" s="1"/>
  <c r="G375" i="21"/>
  <c r="I370" i="21"/>
  <c r="G640" i="21"/>
  <c r="P762" i="21"/>
  <c r="E721" i="21"/>
  <c r="L66" i="21"/>
  <c r="I506" i="21"/>
  <c r="G509" i="21"/>
  <c r="M127" i="26"/>
  <c r="E742" i="26"/>
  <c r="R307" i="26"/>
  <c r="I119" i="27"/>
  <c r="I120" i="27" s="1"/>
  <c r="I90" i="27"/>
  <c r="Q90" i="27"/>
  <c r="Q119" i="27"/>
  <c r="Q120" i="27" s="1"/>
  <c r="Y119" i="27"/>
  <c r="Y120" i="27" s="1"/>
  <c r="Y90" i="27"/>
  <c r="H119" i="27"/>
  <c r="H120" i="27" s="1"/>
  <c r="H95" i="27"/>
  <c r="X119" i="27"/>
  <c r="X120" i="27" s="1"/>
  <c r="X95" i="27"/>
  <c r="U110" i="27"/>
  <c r="U105" i="27" s="1"/>
  <c r="U100" i="27" s="1"/>
  <c r="U95" i="27" s="1"/>
  <c r="U115" i="27"/>
  <c r="N90" i="27"/>
  <c r="N119" i="27"/>
  <c r="N120" i="27" s="1"/>
  <c r="V90" i="27"/>
  <c r="V119" i="27"/>
  <c r="V120" i="27" s="1"/>
  <c r="Z90" i="27"/>
  <c r="Z119" i="27"/>
  <c r="Z120" i="27" s="1"/>
  <c r="D66" i="24"/>
  <c r="I358" i="24"/>
  <c r="F362" i="24"/>
  <c r="R616" i="24"/>
  <c r="E690" i="24"/>
  <c r="B720" i="24"/>
  <c r="E720" i="24" s="1"/>
  <c r="K127" i="24"/>
  <c r="M358" i="24"/>
  <c r="J362" i="24"/>
  <c r="G404" i="24"/>
  <c r="R399" i="24"/>
  <c r="G445" i="24"/>
  <c r="R439" i="24"/>
  <c r="H494" i="24"/>
  <c r="R526" i="24"/>
  <c r="M574" i="24"/>
  <c r="J577" i="24"/>
  <c r="E659" i="24"/>
  <c r="B662" i="24"/>
  <c r="I690" i="24"/>
  <c r="F720" i="24"/>
  <c r="I720" i="24" s="1"/>
  <c r="Q15" i="24"/>
  <c r="R88" i="24"/>
  <c r="P578" i="24"/>
  <c r="C623" i="24"/>
  <c r="C622" i="24"/>
  <c r="M621" i="24"/>
  <c r="J622" i="24"/>
  <c r="J623" i="24"/>
  <c r="M659" i="24"/>
  <c r="J662" i="24"/>
  <c r="M685" i="24"/>
  <c r="J704" i="24"/>
  <c r="J718" i="24"/>
  <c r="R352" i="23"/>
  <c r="C398" i="23"/>
  <c r="H577" i="23"/>
  <c r="E616" i="23"/>
  <c r="B620" i="23"/>
  <c r="Q704" i="23"/>
  <c r="O127" i="24"/>
  <c r="N494" i="24"/>
  <c r="Q493" i="24"/>
  <c r="H539" i="24"/>
  <c r="P704" i="24"/>
  <c r="P718" i="24"/>
  <c r="P726" i="24" s="1"/>
  <c r="P14" i="24" s="1"/>
  <c r="N10" i="25" s="1"/>
  <c r="M15" i="24"/>
  <c r="H851" i="24"/>
  <c r="R312" i="23"/>
  <c r="M489" i="23"/>
  <c r="J492" i="23"/>
  <c r="D577" i="23"/>
  <c r="R614" i="23"/>
  <c r="H706" i="23"/>
  <c r="H720" i="23"/>
  <c r="H728" i="23" s="1"/>
  <c r="H14" i="23" s="1"/>
  <c r="O363" i="24"/>
  <c r="Q535" i="24"/>
  <c r="N538" i="24"/>
  <c r="Q690" i="24"/>
  <c r="N720" i="24"/>
  <c r="Q720" i="24" s="1"/>
  <c r="H858" i="24"/>
  <c r="F65" i="23"/>
  <c r="I64" i="23"/>
  <c r="H358" i="23"/>
  <c r="G720" i="23"/>
  <c r="G728" i="23" s="1"/>
  <c r="G14" i="23" s="1"/>
  <c r="G706" i="23"/>
  <c r="Q706" i="23"/>
  <c r="O254" i="21"/>
  <c r="Q246" i="21"/>
  <c r="L376" i="21"/>
  <c r="O375" i="21"/>
  <c r="Q370" i="21"/>
  <c r="C421" i="21"/>
  <c r="L462" i="21"/>
  <c r="R550" i="21"/>
  <c r="D638" i="21"/>
  <c r="D639" i="21"/>
  <c r="R632" i="21"/>
  <c r="F682" i="21"/>
  <c r="Q761" i="21"/>
  <c r="G737" i="21"/>
  <c r="G745" i="21" s="1"/>
  <c r="G14" i="21" s="1"/>
  <c r="G723" i="21"/>
  <c r="E709" i="21"/>
  <c r="B739" i="21"/>
  <c r="E739" i="21" s="1"/>
  <c r="K704" i="24"/>
  <c r="K718" i="24"/>
  <c r="K726" i="24" s="1"/>
  <c r="K14" i="24" s="1"/>
  <c r="J10" i="25" s="1"/>
  <c r="M703" i="24"/>
  <c r="J724" i="24"/>
  <c r="M724" i="24" s="1"/>
  <c r="R691" i="23"/>
  <c r="C66" i="21"/>
  <c r="R245" i="21"/>
  <c r="P639" i="21"/>
  <c r="P638" i="21"/>
  <c r="Q709" i="21"/>
  <c r="N739" i="21"/>
  <c r="Q739" i="21" s="1"/>
  <c r="E235" i="24"/>
  <c r="B243" i="24"/>
  <c r="Q438" i="23"/>
  <c r="N441" i="23"/>
  <c r="G664" i="23"/>
  <c r="G663" i="23"/>
  <c r="C363" i="24"/>
  <c r="K404" i="24"/>
  <c r="J403" i="24"/>
  <c r="M400" i="24"/>
  <c r="Q829" i="24"/>
  <c r="Q805" i="24"/>
  <c r="Q703" i="24"/>
  <c r="N724" i="24"/>
  <c r="Q724" i="24" s="1"/>
  <c r="D862" i="24"/>
  <c r="C862" i="24"/>
  <c r="D769" i="24"/>
  <c r="M769" i="24"/>
  <c r="R383" i="23"/>
  <c r="G577" i="23"/>
  <c r="R556" i="23"/>
  <c r="E704" i="23"/>
  <c r="R60" i="21"/>
  <c r="Q128" i="21"/>
  <c r="N131" i="21"/>
  <c r="R176" i="21"/>
  <c r="R244" i="21"/>
  <c r="B420" i="21"/>
  <c r="E417" i="21"/>
  <c r="R481" i="21"/>
  <c r="H555" i="21"/>
  <c r="J555" i="21"/>
  <c r="M554" i="21"/>
  <c r="B593" i="21"/>
  <c r="E590" i="21"/>
  <c r="R674" i="21"/>
  <c r="R180" i="24"/>
  <c r="R587" i="24"/>
  <c r="H65" i="23"/>
  <c r="R96" i="23"/>
  <c r="R533" i="23"/>
  <c r="J728" i="23"/>
  <c r="J14" i="23" s="1"/>
  <c r="M14" i="23" s="1"/>
  <c r="R369" i="21"/>
  <c r="P510" i="21"/>
  <c r="R631" i="21"/>
  <c r="R675" i="21"/>
  <c r="R701" i="21"/>
  <c r="C743" i="21"/>
  <c r="C745" i="21" s="1"/>
  <c r="C14" i="21" s="1"/>
  <c r="C723" i="21"/>
  <c r="M62" i="24"/>
  <c r="F244" i="24"/>
  <c r="I243" i="24"/>
  <c r="H854" i="24"/>
  <c r="G245" i="23"/>
  <c r="R698" i="23"/>
  <c r="D66" i="21"/>
  <c r="J461" i="21"/>
  <c r="M458" i="21"/>
  <c r="I637" i="21"/>
  <c r="F638" i="21"/>
  <c r="F639" i="21"/>
  <c r="I676" i="21"/>
  <c r="G679" i="21"/>
  <c r="P132" i="21"/>
  <c r="E370" i="21"/>
  <c r="R370" i="21" s="1"/>
  <c r="B375" i="21"/>
  <c r="I458" i="21"/>
  <c r="R538" i="21"/>
  <c r="R617" i="21"/>
  <c r="M709" i="21"/>
  <c r="J739" i="21"/>
  <c r="M739" i="21" s="1"/>
  <c r="Q832" i="23"/>
  <c r="Q808" i="23"/>
  <c r="E65" i="21"/>
  <c r="R519" i="21"/>
  <c r="R603" i="21"/>
  <c r="P682" i="21"/>
  <c r="Q769" i="21"/>
  <c r="O132" i="21"/>
  <c r="L745" i="21"/>
  <c r="L14" i="21" s="1"/>
  <c r="C726" i="24"/>
  <c r="C14" i="24" s="1"/>
  <c r="D10" i="25" s="1"/>
  <c r="C728" i="23"/>
  <c r="C14" i="23" s="1"/>
  <c r="E128" i="21"/>
  <c r="R128" i="21" s="1"/>
  <c r="B131" i="21"/>
  <c r="Q506" i="21"/>
  <c r="R720" i="21"/>
  <c r="H682" i="21"/>
  <c r="Q763" i="21"/>
  <c r="R709" i="26"/>
  <c r="I701" i="26"/>
  <c r="R701" i="26" s="1"/>
  <c r="H685" i="26"/>
  <c r="H686" i="26" s="1"/>
  <c r="R492" i="26"/>
  <c r="E555" i="26"/>
  <c r="J240" i="26"/>
  <c r="J248" i="26" s="1"/>
  <c r="C684" i="26"/>
  <c r="D685" i="26"/>
  <c r="E685" i="26" s="1"/>
  <c r="Q742" i="26"/>
  <c r="M63" i="26"/>
  <c r="M60" i="26"/>
  <c r="E315" i="26"/>
  <c r="K685" i="26"/>
  <c r="Q768" i="26" s="1"/>
  <c r="E127" i="26"/>
  <c r="F856" i="26"/>
  <c r="R624" i="26"/>
  <c r="I799" i="26"/>
  <c r="M555" i="26"/>
  <c r="E124" i="26"/>
  <c r="M315" i="26"/>
  <c r="J684" i="26"/>
  <c r="N685" i="26"/>
  <c r="Q770" i="26" s="1"/>
  <c r="I535" i="26"/>
  <c r="R535" i="26" s="1"/>
  <c r="I315" i="26"/>
  <c r="M124" i="26"/>
  <c r="I596" i="26"/>
  <c r="Q724" i="26"/>
  <c r="I593" i="26"/>
  <c r="D373" i="26"/>
  <c r="E372" i="26"/>
  <c r="R16" i="26"/>
  <c r="R412" i="26"/>
  <c r="R505" i="26"/>
  <c r="R366" i="26"/>
  <c r="Q712" i="26"/>
  <c r="K740" i="26"/>
  <c r="K726" i="26"/>
  <c r="J740" i="26"/>
  <c r="R591" i="26"/>
  <c r="I742" i="26"/>
  <c r="C748" i="26"/>
  <c r="C14" i="26" s="1"/>
  <c r="D9" i="25" s="1"/>
  <c r="R723" i="26"/>
  <c r="C884" i="26"/>
  <c r="H882" i="26"/>
  <c r="R220" i="26"/>
  <c r="R551" i="26"/>
  <c r="R47" i="26"/>
  <c r="R18" i="26"/>
  <c r="H877" i="26"/>
  <c r="C726" i="26"/>
  <c r="E707" i="26"/>
  <c r="I60" i="26"/>
  <c r="I63" i="26"/>
  <c r="E367" i="26"/>
  <c r="R703" i="26"/>
  <c r="E724" i="26"/>
  <c r="G641" i="26"/>
  <c r="G856" i="26"/>
  <c r="O726" i="26"/>
  <c r="R487" i="26"/>
  <c r="O642" i="26"/>
  <c r="O643" i="26" s="1"/>
  <c r="I683" i="26"/>
  <c r="M372" i="26"/>
  <c r="B884" i="26"/>
  <c r="M367" i="26"/>
  <c r="K746" i="26"/>
  <c r="S159" i="26"/>
  <c r="R341" i="26"/>
  <c r="R59" i="26"/>
  <c r="R177" i="26"/>
  <c r="R714" i="26"/>
  <c r="R454" i="26"/>
  <c r="G748" i="26"/>
  <c r="G14" i="26" s="1"/>
  <c r="G9" i="25" s="1"/>
  <c r="R718" i="26"/>
  <c r="R298" i="26"/>
  <c r="E884" i="26"/>
  <c r="H875" i="26"/>
  <c r="R106" i="26"/>
  <c r="R239" i="26"/>
  <c r="R404" i="26"/>
  <c r="R413" i="26"/>
  <c r="R543" i="26"/>
  <c r="R17" i="26"/>
  <c r="R453" i="26"/>
  <c r="I712" i="26"/>
  <c r="Q63" i="26"/>
  <c r="I367" i="26"/>
  <c r="R51" i="26"/>
  <c r="O748" i="26"/>
  <c r="O14" i="26" s="1"/>
  <c r="M9" i="25" s="1"/>
  <c r="Q683" i="26"/>
  <c r="E740" i="26"/>
  <c r="E683" i="26"/>
  <c r="R19" i="26"/>
  <c r="R28" i="26"/>
  <c r="S79" i="26"/>
  <c r="R95" i="26"/>
  <c r="S277" i="26"/>
  <c r="D748" i="26"/>
  <c r="D14" i="26" s="1"/>
  <c r="E9" i="25" s="1"/>
  <c r="M789" i="26"/>
  <c r="D789" i="26"/>
  <c r="M792" i="26"/>
  <c r="D792" i="26"/>
  <c r="R41" i="26"/>
  <c r="R58" i="26"/>
  <c r="R720" i="26"/>
  <c r="M790" i="26"/>
  <c r="D790" i="26"/>
  <c r="R122" i="26"/>
  <c r="R183" i="26"/>
  <c r="R365" i="26"/>
  <c r="R433" i="26"/>
  <c r="R443" i="26"/>
  <c r="R506" i="26"/>
  <c r="R520" i="26"/>
  <c r="R550" i="26"/>
  <c r="R678" i="26"/>
  <c r="R705" i="26"/>
  <c r="R439" i="26"/>
  <c r="R574" i="26"/>
  <c r="R704" i="26"/>
  <c r="I740" i="26"/>
  <c r="I724" i="26"/>
  <c r="R606" i="26"/>
  <c r="R711" i="26"/>
  <c r="R721" i="26"/>
  <c r="M596" i="26"/>
  <c r="M742" i="26"/>
  <c r="H871" i="26"/>
  <c r="H873" i="26"/>
  <c r="H881" i="26"/>
  <c r="H874" i="26"/>
  <c r="H879" i="26"/>
  <c r="R395" i="26"/>
  <c r="R634" i="26"/>
  <c r="R539" i="26"/>
  <c r="R15" i="26"/>
  <c r="E593" i="26"/>
  <c r="M593" i="26"/>
  <c r="E596" i="26"/>
  <c r="F685" i="26"/>
  <c r="F686" i="26" s="1"/>
  <c r="L685" i="26"/>
  <c r="Q769" i="26" s="1"/>
  <c r="C556" i="26"/>
  <c r="G726" i="26"/>
  <c r="I707" i="26"/>
  <c r="E712" i="26"/>
  <c r="M712" i="26"/>
  <c r="G685" i="26"/>
  <c r="G608" i="26" s="1"/>
  <c r="G609" i="26" s="1"/>
  <c r="O685" i="26"/>
  <c r="E60" i="26"/>
  <c r="E63" i="26"/>
  <c r="Q60" i="26"/>
  <c r="M724" i="26"/>
  <c r="R656" i="26"/>
  <c r="E910" i="26"/>
  <c r="M683" i="26"/>
  <c r="P684" i="26"/>
  <c r="R123" i="26"/>
  <c r="R400" i="26"/>
  <c r="R581" i="26"/>
  <c r="D884" i="26"/>
  <c r="H872" i="26"/>
  <c r="Q884" i="26"/>
  <c r="H876" i="26"/>
  <c r="H878" i="26"/>
  <c r="R481" i="26"/>
  <c r="R668" i="26"/>
  <c r="R679" i="26"/>
  <c r="R628" i="26"/>
  <c r="R722" i="26"/>
  <c r="E680" i="26"/>
  <c r="Q367" i="26"/>
  <c r="M794" i="26"/>
  <c r="D794" i="26"/>
  <c r="H880" i="26"/>
  <c r="R238" i="26"/>
  <c r="R702" i="26"/>
  <c r="R706" i="26"/>
  <c r="F884" i="26"/>
  <c r="M680" i="26"/>
  <c r="R88" i="26"/>
  <c r="R661" i="26"/>
  <c r="R570" i="26"/>
  <c r="Q707" i="26"/>
  <c r="Q740" i="26"/>
  <c r="M707" i="26"/>
  <c r="K556" i="26"/>
  <c r="Q124" i="26"/>
  <c r="N127" i="26"/>
  <c r="K641" i="26"/>
  <c r="K642" i="26"/>
  <c r="P686" i="26"/>
  <c r="Q772" i="26"/>
  <c r="E552" i="26"/>
  <c r="I680" i="26"/>
  <c r="Q680" i="26"/>
  <c r="I552" i="26"/>
  <c r="Q552" i="26"/>
  <c r="D726" i="26"/>
  <c r="I124" i="26"/>
  <c r="F127" i="26"/>
  <c r="C642" i="26"/>
  <c r="C641" i="26"/>
  <c r="I372" i="26"/>
  <c r="F373" i="26"/>
  <c r="Q372" i="26"/>
  <c r="N373" i="26"/>
  <c r="I555" i="26"/>
  <c r="F556" i="26"/>
  <c r="Q555" i="26"/>
  <c r="N556" i="26"/>
  <c r="G643" i="26"/>
  <c r="P765" i="26"/>
  <c r="M552" i="26"/>
  <c r="E240" i="26"/>
  <c r="F417" i="26"/>
  <c r="I414" i="26"/>
  <c r="N417" i="26"/>
  <c r="Q414" i="26"/>
  <c r="F458" i="26"/>
  <c r="I455" i="26"/>
  <c r="N458" i="26"/>
  <c r="Q455" i="26"/>
  <c r="F510" i="26"/>
  <c r="I507" i="26"/>
  <c r="N510" i="26"/>
  <c r="Q507" i="26"/>
  <c r="P641" i="26"/>
  <c r="P642" i="26"/>
  <c r="D641" i="26"/>
  <c r="D642" i="26"/>
  <c r="J686" i="26"/>
  <c r="Q767" i="26"/>
  <c r="I716" i="26"/>
  <c r="F744" i="26"/>
  <c r="F726" i="26"/>
  <c r="Q716" i="26"/>
  <c r="N744" i="26"/>
  <c r="N726" i="26"/>
  <c r="I725" i="26"/>
  <c r="F746" i="26"/>
  <c r="N746" i="26"/>
  <c r="D786" i="26"/>
  <c r="M786" i="26"/>
  <c r="B799" i="26"/>
  <c r="C686" i="26"/>
  <c r="Q762" i="26"/>
  <c r="R620" i="26"/>
  <c r="I240" i="26"/>
  <c r="F248" i="26"/>
  <c r="Q240" i="26"/>
  <c r="N248" i="26"/>
  <c r="B417" i="26"/>
  <c r="E414" i="26"/>
  <c r="B458" i="26"/>
  <c r="E455" i="26"/>
  <c r="J458" i="26"/>
  <c r="M455" i="26"/>
  <c r="E507" i="26"/>
  <c r="J510" i="26"/>
  <c r="M507" i="26"/>
  <c r="H641" i="26"/>
  <c r="H642" i="26"/>
  <c r="I636" i="26"/>
  <c r="F640" i="26"/>
  <c r="Q636" i="26"/>
  <c r="N640" i="26"/>
  <c r="L641" i="26"/>
  <c r="L642" i="26"/>
  <c r="B686" i="26"/>
  <c r="Q761" i="26"/>
  <c r="E716" i="26"/>
  <c r="B744" i="26"/>
  <c r="B726" i="26"/>
  <c r="E725" i="26"/>
  <c r="B746" i="26"/>
  <c r="E746" i="26" s="1"/>
  <c r="M725" i="26"/>
  <c r="J746" i="26"/>
  <c r="E636" i="26"/>
  <c r="B640" i="26"/>
  <c r="M636" i="26"/>
  <c r="J640" i="26"/>
  <c r="H726" i="26"/>
  <c r="H746" i="26"/>
  <c r="H748" i="26" s="1"/>
  <c r="H14" i="26" s="1"/>
  <c r="H9" i="25" s="1"/>
  <c r="L726" i="26"/>
  <c r="L746" i="26"/>
  <c r="L748" i="26" s="1"/>
  <c r="L14" i="26" s="1"/>
  <c r="K9" i="25" s="1"/>
  <c r="R635" i="26"/>
  <c r="Q750" i="24" l="1"/>
  <c r="R590" i="21"/>
  <c r="R721" i="21"/>
  <c r="Q723" i="21"/>
  <c r="R235" i="24"/>
  <c r="F623" i="24"/>
  <c r="I621" i="24"/>
  <c r="R15" i="23"/>
  <c r="R704" i="23"/>
  <c r="R659" i="24"/>
  <c r="R720" i="24"/>
  <c r="M704" i="24"/>
  <c r="I706" i="23"/>
  <c r="D796" i="21"/>
  <c r="R696" i="23"/>
  <c r="I723" i="21"/>
  <c r="R724" i="23"/>
  <c r="R710" i="26"/>
  <c r="J744" i="26"/>
  <c r="M744" i="26" s="1"/>
  <c r="M716" i="26"/>
  <c r="R716" i="26" s="1"/>
  <c r="O744" i="24"/>
  <c r="O802" i="24" s="1"/>
  <c r="H579" i="24"/>
  <c r="H540" i="24" s="1"/>
  <c r="H541" i="24" s="1"/>
  <c r="H590" i="24"/>
  <c r="R574" i="24"/>
  <c r="R236" i="23"/>
  <c r="R357" i="23"/>
  <c r="AB119" i="27"/>
  <c r="R703" i="21"/>
  <c r="R685" i="24"/>
  <c r="H881" i="21"/>
  <c r="R724" i="24"/>
  <c r="E706" i="23"/>
  <c r="R706" i="23" s="1"/>
  <c r="Q804" i="24"/>
  <c r="Q828" i="24"/>
  <c r="R15" i="24"/>
  <c r="R62" i="21"/>
  <c r="Q808" i="24"/>
  <c r="Q832" i="24"/>
  <c r="Q823" i="24"/>
  <c r="Q799" i="24"/>
  <c r="K623" i="23"/>
  <c r="P748" i="23"/>
  <c r="R417" i="21"/>
  <c r="R690" i="24"/>
  <c r="R722" i="23"/>
  <c r="B376" i="21"/>
  <c r="E375" i="21"/>
  <c r="G681" i="21"/>
  <c r="G680" i="21"/>
  <c r="I679" i="21"/>
  <c r="N132" i="21"/>
  <c r="Q131" i="21"/>
  <c r="B244" i="24"/>
  <c r="E243" i="24"/>
  <c r="R243" i="24" s="1"/>
  <c r="R709" i="21"/>
  <c r="B621" i="23"/>
  <c r="B622" i="23"/>
  <c r="E620" i="23"/>
  <c r="M623" i="24"/>
  <c r="J624" i="24"/>
  <c r="P745" i="24"/>
  <c r="C624" i="24"/>
  <c r="P740" i="24"/>
  <c r="C589" i="24"/>
  <c r="J363" i="24"/>
  <c r="M362" i="24"/>
  <c r="P820" i="21"/>
  <c r="P844" i="21"/>
  <c r="N745" i="21"/>
  <c r="N14" i="21" s="1"/>
  <c r="Q14" i="21" s="1"/>
  <c r="Q737" i="21"/>
  <c r="Q745" i="21" s="1"/>
  <c r="I623" i="24"/>
  <c r="P742" i="24"/>
  <c r="F624" i="24"/>
  <c r="N638" i="21"/>
  <c r="Q637" i="21"/>
  <c r="N639" i="21"/>
  <c r="K665" i="23"/>
  <c r="Q748" i="23"/>
  <c r="K588" i="23"/>
  <c r="M537" i="23"/>
  <c r="J538" i="23"/>
  <c r="H588" i="23"/>
  <c r="H623" i="23"/>
  <c r="P746" i="23"/>
  <c r="Q831" i="24"/>
  <c r="Q807" i="24"/>
  <c r="D624" i="24"/>
  <c r="P741" i="24"/>
  <c r="D589" i="24"/>
  <c r="B555" i="21"/>
  <c r="E554" i="21"/>
  <c r="R246" i="21"/>
  <c r="I704" i="24"/>
  <c r="J745" i="21"/>
  <c r="J14" i="21" s="1"/>
  <c r="M14" i="21" s="1"/>
  <c r="M737" i="21"/>
  <c r="M745" i="21" s="1"/>
  <c r="Q704" i="24"/>
  <c r="Q537" i="23"/>
  <c r="N538" i="23"/>
  <c r="E130" i="23"/>
  <c r="B131" i="23"/>
  <c r="Q826" i="23"/>
  <c r="Q802" i="23"/>
  <c r="M397" i="23"/>
  <c r="J398" i="23"/>
  <c r="Q825" i="21"/>
  <c r="Q849" i="21"/>
  <c r="E441" i="23"/>
  <c r="B442" i="23"/>
  <c r="Q492" i="23"/>
  <c r="N493" i="23"/>
  <c r="Q65" i="24"/>
  <c r="N66" i="24"/>
  <c r="K682" i="21"/>
  <c r="Q765" i="21"/>
  <c r="K605" i="21"/>
  <c r="E537" i="23"/>
  <c r="B538" i="23"/>
  <c r="Q818" i="21"/>
  <c r="Q842" i="21"/>
  <c r="R62" i="24"/>
  <c r="I577" i="24"/>
  <c r="F578" i="24"/>
  <c r="C404" i="24"/>
  <c r="E403" i="24"/>
  <c r="M509" i="21"/>
  <c r="J510" i="21"/>
  <c r="G255" i="21"/>
  <c r="I254" i="21"/>
  <c r="I397" i="23"/>
  <c r="F398" i="23"/>
  <c r="P824" i="23"/>
  <c r="P800" i="23"/>
  <c r="O624" i="24"/>
  <c r="P749" i="24"/>
  <c r="O589" i="24"/>
  <c r="M444" i="24"/>
  <c r="J445" i="24"/>
  <c r="R358" i="24"/>
  <c r="M414" i="26"/>
  <c r="R414" i="26" s="1"/>
  <c r="B594" i="21"/>
  <c r="E593" i="21"/>
  <c r="E420" i="21"/>
  <c r="B421" i="21"/>
  <c r="G665" i="23"/>
  <c r="Q745" i="23"/>
  <c r="P640" i="21"/>
  <c r="P769" i="21"/>
  <c r="P605" i="21"/>
  <c r="H505" i="24"/>
  <c r="M744" i="24"/>
  <c r="R616" i="23"/>
  <c r="J578" i="24"/>
  <c r="M577" i="24"/>
  <c r="M65" i="21"/>
  <c r="J66" i="21"/>
  <c r="F127" i="24"/>
  <c r="I126" i="24"/>
  <c r="R573" i="23"/>
  <c r="E397" i="23"/>
  <c r="B398" i="23"/>
  <c r="Q799" i="23"/>
  <c r="Q823" i="23"/>
  <c r="O663" i="23"/>
  <c r="O664" i="23"/>
  <c r="Q662" i="23"/>
  <c r="R676" i="21"/>
  <c r="F66" i="24"/>
  <c r="I65" i="24"/>
  <c r="J622" i="23"/>
  <c r="M620" i="23"/>
  <c r="J621" i="23"/>
  <c r="Q130" i="23"/>
  <c r="N131" i="23"/>
  <c r="N664" i="24"/>
  <c r="N663" i="24"/>
  <c r="Q662" i="24"/>
  <c r="L640" i="21"/>
  <c r="L605" i="21"/>
  <c r="P766" i="21"/>
  <c r="M637" i="21"/>
  <c r="J638" i="21"/>
  <c r="J639" i="21"/>
  <c r="Q718" i="24"/>
  <c r="Q726" i="24" s="1"/>
  <c r="N726" i="24"/>
  <c r="N14" i="24" s="1"/>
  <c r="Q829" i="23"/>
  <c r="Q805" i="23"/>
  <c r="D777" i="24"/>
  <c r="R490" i="24"/>
  <c r="G66" i="21"/>
  <c r="I65" i="21"/>
  <c r="B728" i="23"/>
  <c r="B14" i="23" s="1"/>
  <c r="E14" i="23" s="1"/>
  <c r="E720" i="23"/>
  <c r="P805" i="24"/>
  <c r="P829" i="24"/>
  <c r="I444" i="24"/>
  <c r="F445" i="24"/>
  <c r="C663" i="23"/>
  <c r="C664" i="23"/>
  <c r="E662" i="23"/>
  <c r="I441" i="23"/>
  <c r="F442" i="23"/>
  <c r="N245" i="23"/>
  <c r="Q244" i="23"/>
  <c r="N445" i="24"/>
  <c r="Q444" i="24"/>
  <c r="R61" i="23"/>
  <c r="R506" i="21"/>
  <c r="D623" i="23"/>
  <c r="P743" i="23"/>
  <c r="D588" i="23"/>
  <c r="R694" i="24"/>
  <c r="E65" i="24"/>
  <c r="B66" i="24"/>
  <c r="G588" i="23"/>
  <c r="M244" i="23"/>
  <c r="J245" i="23"/>
  <c r="Q834" i="23"/>
  <c r="Q810" i="23"/>
  <c r="R458" i="21"/>
  <c r="C640" i="21"/>
  <c r="P759" i="21"/>
  <c r="C605" i="21"/>
  <c r="E492" i="23"/>
  <c r="B493" i="23"/>
  <c r="B127" i="24"/>
  <c r="E126" i="24"/>
  <c r="H580" i="24"/>
  <c r="M126" i="24"/>
  <c r="J127" i="24"/>
  <c r="P746" i="24"/>
  <c r="K624" i="24"/>
  <c r="K589" i="24"/>
  <c r="M403" i="24"/>
  <c r="J404" i="24"/>
  <c r="J664" i="24"/>
  <c r="J589" i="24" s="1"/>
  <c r="J579" i="24" s="1"/>
  <c r="M662" i="24"/>
  <c r="J663" i="24"/>
  <c r="R741" i="21"/>
  <c r="E576" i="23"/>
  <c r="B577" i="23"/>
  <c r="R394" i="23"/>
  <c r="B539" i="24"/>
  <c r="E538" i="24"/>
  <c r="E743" i="21"/>
  <c r="R743" i="21" s="1"/>
  <c r="J132" i="21"/>
  <c r="M131" i="21"/>
  <c r="Q397" i="23"/>
  <c r="N398" i="23"/>
  <c r="P802" i="24"/>
  <c r="P826" i="24"/>
  <c r="Q825" i="24"/>
  <c r="Q801" i="24"/>
  <c r="E444" i="24"/>
  <c r="B445" i="24"/>
  <c r="N624" i="24"/>
  <c r="Q623" i="24"/>
  <c r="N589" i="24"/>
  <c r="N579" i="24" s="1"/>
  <c r="N540" i="24" s="1"/>
  <c r="P748" i="24"/>
  <c r="G590" i="24"/>
  <c r="O743" i="24"/>
  <c r="G579" i="24"/>
  <c r="E679" i="21"/>
  <c r="B680" i="21"/>
  <c r="B681" i="21"/>
  <c r="M420" i="21"/>
  <c r="J421" i="21"/>
  <c r="P801" i="24"/>
  <c r="P825" i="24"/>
  <c r="E621" i="24"/>
  <c r="R621" i="24" s="1"/>
  <c r="B623" i="24"/>
  <c r="B622" i="24"/>
  <c r="P833" i="23"/>
  <c r="P809" i="23"/>
  <c r="I130" i="23"/>
  <c r="F131" i="23"/>
  <c r="M664" i="23"/>
  <c r="J594" i="21"/>
  <c r="M593" i="21"/>
  <c r="L623" i="23"/>
  <c r="P749" i="23"/>
  <c r="L588" i="23"/>
  <c r="F538" i="23"/>
  <c r="I537" i="23"/>
  <c r="R703" i="24"/>
  <c r="B245" i="23"/>
  <c r="E244" i="23"/>
  <c r="Q362" i="24"/>
  <c r="N363" i="24"/>
  <c r="Q825" i="23"/>
  <c r="Q801" i="23"/>
  <c r="F245" i="23"/>
  <c r="I244" i="23"/>
  <c r="Q720" i="23"/>
  <c r="Q728" i="23" s="1"/>
  <c r="R686" i="23"/>
  <c r="M130" i="23"/>
  <c r="J131" i="23"/>
  <c r="R659" i="23"/>
  <c r="Q822" i="24"/>
  <c r="Q798" i="24"/>
  <c r="J539" i="24"/>
  <c r="M538" i="24"/>
  <c r="N578" i="24"/>
  <c r="Q577" i="24"/>
  <c r="R633" i="21"/>
  <c r="I492" i="23"/>
  <c r="F493" i="23"/>
  <c r="M679" i="21"/>
  <c r="J680" i="21"/>
  <c r="J681" i="21"/>
  <c r="C510" i="21"/>
  <c r="E509" i="21"/>
  <c r="P623" i="23"/>
  <c r="P588" i="23"/>
  <c r="P752" i="23"/>
  <c r="B745" i="21"/>
  <c r="B14" i="21" s="1"/>
  <c r="E14" i="21" s="1"/>
  <c r="E737" i="21"/>
  <c r="R722" i="24"/>
  <c r="P827" i="23"/>
  <c r="P803" i="23"/>
  <c r="N621" i="23"/>
  <c r="N622" i="23"/>
  <c r="Q620" i="23"/>
  <c r="O826" i="24"/>
  <c r="B462" i="21"/>
  <c r="E461" i="21"/>
  <c r="B726" i="24"/>
  <c r="B14" i="24" s="1"/>
  <c r="E718" i="24"/>
  <c r="R489" i="23"/>
  <c r="R123" i="24"/>
  <c r="P768" i="21"/>
  <c r="O640" i="21"/>
  <c r="F494" i="24"/>
  <c r="I493" i="24"/>
  <c r="R493" i="24" s="1"/>
  <c r="P750" i="24"/>
  <c r="P624" i="24"/>
  <c r="P589" i="24"/>
  <c r="Q766" i="26"/>
  <c r="Q848" i="26" s="1"/>
  <c r="Q827" i="21"/>
  <c r="Q851" i="21"/>
  <c r="I639" i="21"/>
  <c r="P761" i="21"/>
  <c r="F640" i="21"/>
  <c r="F605" i="21"/>
  <c r="M461" i="21"/>
  <c r="J462" i="21"/>
  <c r="I720" i="23"/>
  <c r="I728" i="23" s="1"/>
  <c r="Q441" i="23"/>
  <c r="N442" i="23"/>
  <c r="M492" i="23"/>
  <c r="J493" i="23"/>
  <c r="Q821" i="21"/>
  <c r="Q845" i="21"/>
  <c r="B132" i="21"/>
  <c r="E131" i="21"/>
  <c r="F728" i="23"/>
  <c r="F14" i="23" s="1"/>
  <c r="I14" i="23" s="1"/>
  <c r="M720" i="23"/>
  <c r="M728" i="23" s="1"/>
  <c r="R739" i="21"/>
  <c r="Q819" i="21"/>
  <c r="Q843" i="21"/>
  <c r="D605" i="21"/>
  <c r="P760" i="21"/>
  <c r="D640" i="21"/>
  <c r="O376" i="21"/>
  <c r="Q375" i="21"/>
  <c r="O255" i="21"/>
  <c r="Q254" i="21"/>
  <c r="N539" i="24"/>
  <c r="Q538" i="24"/>
  <c r="J726" i="24"/>
  <c r="J14" i="24" s="1"/>
  <c r="M718" i="24"/>
  <c r="M726" i="24" s="1"/>
  <c r="B663" i="24"/>
  <c r="B664" i="24"/>
  <c r="E662" i="24"/>
  <c r="F363" i="24"/>
  <c r="I362" i="24"/>
  <c r="G510" i="21"/>
  <c r="I509" i="21"/>
  <c r="G376" i="21"/>
  <c r="I375" i="21"/>
  <c r="R713" i="21"/>
  <c r="R726" i="23"/>
  <c r="M254" i="21"/>
  <c r="J255" i="21"/>
  <c r="R535" i="24"/>
  <c r="O680" i="21"/>
  <c r="O681" i="21"/>
  <c r="Q679" i="21"/>
  <c r="I538" i="24"/>
  <c r="F539" i="24"/>
  <c r="Q804" i="23"/>
  <c r="Q828" i="23"/>
  <c r="R64" i="23"/>
  <c r="R551" i="21"/>
  <c r="E254" i="21"/>
  <c r="B255" i="21"/>
  <c r="R617" i="24"/>
  <c r="I718" i="24"/>
  <c r="I726" i="24" s="1"/>
  <c r="F726" i="24"/>
  <c r="F14" i="24" s="1"/>
  <c r="B578" i="24"/>
  <c r="E577" i="24"/>
  <c r="Q554" i="21"/>
  <c r="N555" i="21"/>
  <c r="O66" i="21"/>
  <c r="Q65" i="21"/>
  <c r="I131" i="21"/>
  <c r="F132" i="21"/>
  <c r="F745" i="21"/>
  <c r="F14" i="21" s="1"/>
  <c r="I14" i="21" s="1"/>
  <c r="I737" i="21"/>
  <c r="I745" i="21" s="1"/>
  <c r="I420" i="21"/>
  <c r="F421" i="21"/>
  <c r="M441" i="23"/>
  <c r="J442" i="23"/>
  <c r="R127" i="23"/>
  <c r="I664" i="23"/>
  <c r="L590" i="24"/>
  <c r="O747" i="24"/>
  <c r="Q14" i="23"/>
  <c r="L579" i="24"/>
  <c r="O577" i="23"/>
  <c r="Q576" i="23"/>
  <c r="R438" i="23"/>
  <c r="F622" i="23"/>
  <c r="I620" i="23"/>
  <c r="F621" i="23"/>
  <c r="Q826" i="24"/>
  <c r="Q802" i="24"/>
  <c r="E637" i="21"/>
  <c r="R637" i="21" s="1"/>
  <c r="B638" i="21"/>
  <c r="B639" i="21"/>
  <c r="R534" i="23"/>
  <c r="H640" i="21"/>
  <c r="P763" i="21"/>
  <c r="H605" i="21"/>
  <c r="N421" i="21"/>
  <c r="Q420" i="21"/>
  <c r="H862" i="24"/>
  <c r="E723" i="21"/>
  <c r="F664" i="24"/>
  <c r="F663" i="24"/>
  <c r="I662" i="24"/>
  <c r="R400" i="24"/>
  <c r="E704" i="24"/>
  <c r="C682" i="21"/>
  <c r="Q759" i="21"/>
  <c r="B363" i="24"/>
  <c r="E362" i="24"/>
  <c r="R315" i="26"/>
  <c r="D686" i="26"/>
  <c r="Q763" i="26"/>
  <c r="Q821" i="26" s="1"/>
  <c r="M740" i="26"/>
  <c r="R740" i="26" s="1"/>
  <c r="M240" i="26"/>
  <c r="R240" i="26" s="1"/>
  <c r="N686" i="26"/>
  <c r="K686" i="26"/>
  <c r="P771" i="26"/>
  <c r="P829" i="26" s="1"/>
  <c r="G686" i="26"/>
  <c r="O608" i="26"/>
  <c r="O598" i="26" s="1"/>
  <c r="O599" i="26" s="1"/>
  <c r="K748" i="26"/>
  <c r="K14" i="26" s="1"/>
  <c r="J9" i="25" s="1"/>
  <c r="R742" i="26"/>
  <c r="R683" i="26"/>
  <c r="O686" i="26"/>
  <c r="Q764" i="26"/>
  <c r="Q846" i="26" s="1"/>
  <c r="Q771" i="26"/>
  <c r="Q829" i="26" s="1"/>
  <c r="R712" i="26"/>
  <c r="L686" i="26"/>
  <c r="M685" i="26"/>
  <c r="R367" i="26"/>
  <c r="Q685" i="26"/>
  <c r="R63" i="26"/>
  <c r="O765" i="26"/>
  <c r="O823" i="26" s="1"/>
  <c r="R724" i="26"/>
  <c r="Q765" i="26"/>
  <c r="I685" i="26"/>
  <c r="G598" i="26"/>
  <c r="N765" i="26" s="1"/>
  <c r="R60" i="26"/>
  <c r="H884" i="26"/>
  <c r="E726" i="26"/>
  <c r="R707" i="26"/>
  <c r="R555" i="26"/>
  <c r="C643" i="26"/>
  <c r="P762" i="26"/>
  <c r="C608" i="26"/>
  <c r="Q830" i="26"/>
  <c r="Q854" i="26"/>
  <c r="K643" i="26"/>
  <c r="P768" i="26"/>
  <c r="K608" i="26"/>
  <c r="Q127" i="26"/>
  <c r="N128" i="26"/>
  <c r="R455" i="26"/>
  <c r="I726" i="26"/>
  <c r="R372" i="26"/>
  <c r="R124" i="26"/>
  <c r="R680" i="26"/>
  <c r="P823" i="26"/>
  <c r="P847" i="26"/>
  <c r="I127" i="26"/>
  <c r="F128" i="26"/>
  <c r="R552" i="26"/>
  <c r="M726" i="26"/>
  <c r="M640" i="26"/>
  <c r="J641" i="26"/>
  <c r="J642" i="26"/>
  <c r="Q827" i="26"/>
  <c r="Q851" i="26"/>
  <c r="I640" i="26"/>
  <c r="F641" i="26"/>
  <c r="F642" i="26"/>
  <c r="I248" i="26"/>
  <c r="F249" i="26"/>
  <c r="Q826" i="26"/>
  <c r="Q850" i="26"/>
  <c r="Q820" i="26"/>
  <c r="Q844" i="26"/>
  <c r="D799" i="26"/>
  <c r="Q744" i="26"/>
  <c r="N748" i="26"/>
  <c r="N14" i="26" s="1"/>
  <c r="L9" i="25" s="1"/>
  <c r="F511" i="26"/>
  <c r="I510" i="26"/>
  <c r="F459" i="26"/>
  <c r="I458" i="26"/>
  <c r="F418" i="26"/>
  <c r="I417" i="26"/>
  <c r="Q819" i="26"/>
  <c r="Q843" i="26"/>
  <c r="M510" i="26"/>
  <c r="J511" i="26"/>
  <c r="E510" i="26"/>
  <c r="B511" i="26"/>
  <c r="M458" i="26"/>
  <c r="J459" i="26"/>
  <c r="E458" i="26"/>
  <c r="B459" i="26"/>
  <c r="M417" i="26"/>
  <c r="J418" i="26"/>
  <c r="E417" i="26"/>
  <c r="B418" i="26"/>
  <c r="I744" i="26"/>
  <c r="F748" i="26"/>
  <c r="F14" i="26" s="1"/>
  <c r="Q828" i="26"/>
  <c r="Q852" i="26"/>
  <c r="D643" i="26"/>
  <c r="D608" i="26"/>
  <c r="P763" i="26"/>
  <c r="P608" i="26"/>
  <c r="P643" i="26"/>
  <c r="P772" i="26"/>
  <c r="M248" i="26"/>
  <c r="J249" i="26"/>
  <c r="E248" i="26"/>
  <c r="B249" i="26"/>
  <c r="R636" i="26"/>
  <c r="I746" i="26"/>
  <c r="E640" i="26"/>
  <c r="B641" i="26"/>
  <c r="B642" i="26"/>
  <c r="E744" i="26"/>
  <c r="B748" i="26"/>
  <c r="L643" i="26"/>
  <c r="L608" i="26"/>
  <c r="P769" i="26"/>
  <c r="Q640" i="26"/>
  <c r="N641" i="26"/>
  <c r="N642" i="26"/>
  <c r="H608" i="26"/>
  <c r="H643" i="26"/>
  <c r="P766" i="26"/>
  <c r="Q248" i="26"/>
  <c r="N249" i="26"/>
  <c r="Q825" i="26"/>
  <c r="Q849" i="26"/>
  <c r="N511" i="26"/>
  <c r="Q510" i="26"/>
  <c r="N459" i="26"/>
  <c r="Q458" i="26"/>
  <c r="N418" i="26"/>
  <c r="Q417" i="26"/>
  <c r="M746" i="26"/>
  <c r="R507" i="26"/>
  <c r="R723" i="21" l="1"/>
  <c r="Q14" i="24"/>
  <c r="L10" i="25"/>
  <c r="I14" i="26"/>
  <c r="F9" i="25"/>
  <c r="I14" i="24"/>
  <c r="F10" i="25"/>
  <c r="E14" i="24"/>
  <c r="C10" i="25"/>
  <c r="R662" i="24"/>
  <c r="M14" i="24"/>
  <c r="I10" i="25"/>
  <c r="J748" i="26"/>
  <c r="J14" i="26" s="1"/>
  <c r="Q824" i="26"/>
  <c r="R444" i="24"/>
  <c r="R65" i="21"/>
  <c r="R461" i="21"/>
  <c r="R362" i="24"/>
  <c r="R254" i="21"/>
  <c r="N744" i="24"/>
  <c r="N826" i="24" s="1"/>
  <c r="R397" i="23"/>
  <c r="R403" i="24"/>
  <c r="R620" i="23"/>
  <c r="P806" i="23"/>
  <c r="P830" i="23"/>
  <c r="F665" i="24"/>
  <c r="I664" i="24"/>
  <c r="Q742" i="24"/>
  <c r="F588" i="23"/>
  <c r="F623" i="23"/>
  <c r="P744" i="23"/>
  <c r="I622" i="23"/>
  <c r="O805" i="24"/>
  <c r="O829" i="24"/>
  <c r="F606" i="21"/>
  <c r="O761" i="21"/>
  <c r="F595" i="21"/>
  <c r="N588" i="23"/>
  <c r="N623" i="23"/>
  <c r="P750" i="23"/>
  <c r="Q622" i="23"/>
  <c r="P589" i="23"/>
  <c r="O752" i="23"/>
  <c r="P578" i="23"/>
  <c r="P831" i="23"/>
  <c r="P807" i="23"/>
  <c r="O801" i="24"/>
  <c r="O825" i="24"/>
  <c r="R538" i="24"/>
  <c r="O745" i="23"/>
  <c r="G589" i="23"/>
  <c r="G578" i="23"/>
  <c r="P824" i="21"/>
  <c r="P848" i="21"/>
  <c r="J588" i="23"/>
  <c r="M622" i="23"/>
  <c r="P747" i="23"/>
  <c r="J623" i="23"/>
  <c r="J580" i="24"/>
  <c r="N745" i="24"/>
  <c r="N640" i="21"/>
  <c r="Q639" i="21"/>
  <c r="P767" i="21"/>
  <c r="N605" i="21"/>
  <c r="M589" i="24"/>
  <c r="O745" i="24"/>
  <c r="J590" i="24"/>
  <c r="R131" i="21"/>
  <c r="R737" i="21"/>
  <c r="R745" i="21" s="1"/>
  <c r="E745" i="21"/>
  <c r="M681" i="21"/>
  <c r="J682" i="21"/>
  <c r="Q764" i="21"/>
  <c r="E623" i="24"/>
  <c r="R623" i="24" s="1"/>
  <c r="B624" i="24"/>
  <c r="P739" i="24"/>
  <c r="B589" i="24"/>
  <c r="O746" i="24"/>
  <c r="K590" i="24"/>
  <c r="K579" i="24"/>
  <c r="M579" i="24" s="1"/>
  <c r="R126" i="24"/>
  <c r="O743" i="23"/>
  <c r="D589" i="23"/>
  <c r="D578" i="23"/>
  <c r="R662" i="23"/>
  <c r="R720" i="23"/>
  <c r="R728" i="23" s="1"/>
  <c r="E728" i="23"/>
  <c r="J640" i="21"/>
  <c r="P764" i="21"/>
  <c r="M639" i="21"/>
  <c r="J605" i="21"/>
  <c r="O665" i="23"/>
  <c r="Q751" i="23"/>
  <c r="Q664" i="23"/>
  <c r="O588" i="23"/>
  <c r="Q803" i="23"/>
  <c r="Q827" i="23"/>
  <c r="O590" i="24"/>
  <c r="O749" i="24"/>
  <c r="O579" i="24"/>
  <c r="R704" i="24"/>
  <c r="P821" i="21"/>
  <c r="P845" i="21"/>
  <c r="O682" i="21"/>
  <c r="Q768" i="21"/>
  <c r="Q681" i="21"/>
  <c r="R718" i="24"/>
  <c r="R726" i="24" s="1"/>
  <c r="E726" i="24"/>
  <c r="P834" i="23"/>
  <c r="P810" i="23"/>
  <c r="N580" i="24"/>
  <c r="N748" i="24"/>
  <c r="J540" i="24"/>
  <c r="O749" i="23"/>
  <c r="L589" i="23"/>
  <c r="L578" i="23"/>
  <c r="G580" i="24"/>
  <c r="N743" i="24"/>
  <c r="G540" i="24"/>
  <c r="N590" i="24"/>
  <c r="O748" i="24"/>
  <c r="Q589" i="24"/>
  <c r="J665" i="24"/>
  <c r="M664" i="24"/>
  <c r="Q745" i="24"/>
  <c r="P804" i="24"/>
  <c r="P828" i="24"/>
  <c r="C606" i="21"/>
  <c r="O759" i="21"/>
  <c r="C595" i="21"/>
  <c r="R65" i="24"/>
  <c r="Q664" i="24"/>
  <c r="Q748" i="24"/>
  <c r="N665" i="24"/>
  <c r="M802" i="24"/>
  <c r="M826" i="24"/>
  <c r="P827" i="21"/>
  <c r="P851" i="21"/>
  <c r="R537" i="23"/>
  <c r="P799" i="24"/>
  <c r="P823" i="24"/>
  <c r="P804" i="23"/>
  <c r="P828" i="23"/>
  <c r="F589" i="24"/>
  <c r="R375" i="21"/>
  <c r="P590" i="24"/>
  <c r="O750" i="24"/>
  <c r="P579" i="24"/>
  <c r="P826" i="21"/>
  <c r="P850" i="21"/>
  <c r="R244" i="23"/>
  <c r="E681" i="21"/>
  <c r="B682" i="21"/>
  <c r="Q758" i="21"/>
  <c r="N802" i="24"/>
  <c r="P817" i="21"/>
  <c r="P841" i="21"/>
  <c r="K606" i="21"/>
  <c r="O765" i="21"/>
  <c r="K595" i="21"/>
  <c r="Q817" i="21"/>
  <c r="Q841" i="21"/>
  <c r="L580" i="24"/>
  <c r="N747" i="24"/>
  <c r="L540" i="24"/>
  <c r="B665" i="24"/>
  <c r="Q739" i="24"/>
  <c r="E664" i="24"/>
  <c r="N541" i="24"/>
  <c r="M748" i="24"/>
  <c r="N505" i="24"/>
  <c r="P842" i="21"/>
  <c r="P818" i="21"/>
  <c r="L606" i="21"/>
  <c r="O766" i="21"/>
  <c r="L595" i="21"/>
  <c r="H506" i="24"/>
  <c r="L744" i="24"/>
  <c r="H495" i="24"/>
  <c r="R420" i="21"/>
  <c r="Q823" i="21"/>
  <c r="Q847" i="21"/>
  <c r="R441" i="23"/>
  <c r="O746" i="23"/>
  <c r="H589" i="23"/>
  <c r="H578" i="23"/>
  <c r="K589" i="23"/>
  <c r="O748" i="23"/>
  <c r="K578" i="23"/>
  <c r="P800" i="24"/>
  <c r="P824" i="24"/>
  <c r="C590" i="24"/>
  <c r="O740" i="24"/>
  <c r="C579" i="24"/>
  <c r="P803" i="24"/>
  <c r="P827" i="24"/>
  <c r="B588" i="23"/>
  <c r="B623" i="23"/>
  <c r="E622" i="23"/>
  <c r="P741" i="23"/>
  <c r="H606" i="21"/>
  <c r="O763" i="21"/>
  <c r="H595" i="21"/>
  <c r="B640" i="21"/>
  <c r="E639" i="21"/>
  <c r="P758" i="21"/>
  <c r="B605" i="21"/>
  <c r="R577" i="24"/>
  <c r="D606" i="21"/>
  <c r="O760" i="21"/>
  <c r="D595" i="21"/>
  <c r="P843" i="21"/>
  <c r="P819" i="21"/>
  <c r="P808" i="24"/>
  <c r="P832" i="24"/>
  <c r="O605" i="21"/>
  <c r="R14" i="21"/>
  <c r="R509" i="21"/>
  <c r="R679" i="21"/>
  <c r="P806" i="24"/>
  <c r="P830" i="24"/>
  <c r="R576" i="23"/>
  <c r="R492" i="23"/>
  <c r="P801" i="23"/>
  <c r="P825" i="23"/>
  <c r="C665" i="23"/>
  <c r="Q742" i="23"/>
  <c r="E664" i="23"/>
  <c r="C588" i="23"/>
  <c r="R14" i="23"/>
  <c r="P606" i="21"/>
  <c r="O769" i="21"/>
  <c r="P595" i="21"/>
  <c r="R593" i="21"/>
  <c r="P807" i="24"/>
  <c r="P831" i="24"/>
  <c r="R130" i="23"/>
  <c r="R554" i="21"/>
  <c r="D590" i="24"/>
  <c r="O741" i="24"/>
  <c r="D579" i="24"/>
  <c r="Q830" i="23"/>
  <c r="Q806" i="23"/>
  <c r="P798" i="24"/>
  <c r="P822" i="24"/>
  <c r="G682" i="21"/>
  <c r="Q762" i="21"/>
  <c r="G605" i="21"/>
  <c r="I681" i="21"/>
  <c r="Q845" i="26"/>
  <c r="P853" i="26"/>
  <c r="G599" i="26"/>
  <c r="O771" i="26"/>
  <c r="O829" i="26" s="1"/>
  <c r="O609" i="26"/>
  <c r="B14" i="26"/>
  <c r="Q822" i="26"/>
  <c r="Q853" i="26"/>
  <c r="Q774" i="26"/>
  <c r="O847" i="26"/>
  <c r="R685" i="26"/>
  <c r="Q847" i="26"/>
  <c r="G557" i="26"/>
  <c r="G558" i="26" s="1"/>
  <c r="N771" i="26"/>
  <c r="O557" i="26"/>
  <c r="Q823" i="26"/>
  <c r="R127" i="26"/>
  <c r="P826" i="26"/>
  <c r="P850" i="26"/>
  <c r="C598" i="26"/>
  <c r="O762" i="26"/>
  <c r="C609" i="26"/>
  <c r="M748" i="26"/>
  <c r="R417" i="26"/>
  <c r="R510" i="26"/>
  <c r="K598" i="26"/>
  <c r="O768" i="26"/>
  <c r="K609" i="26"/>
  <c r="P820" i="26"/>
  <c r="P844" i="26"/>
  <c r="R248" i="26"/>
  <c r="H609" i="26"/>
  <c r="O766" i="26"/>
  <c r="H598" i="26"/>
  <c r="P830" i="26"/>
  <c r="P854" i="26"/>
  <c r="D609" i="26"/>
  <c r="O763" i="26"/>
  <c r="D598" i="26"/>
  <c r="N608" i="26"/>
  <c r="Q642" i="26"/>
  <c r="N643" i="26"/>
  <c r="P770" i="26"/>
  <c r="L609" i="26"/>
  <c r="O769" i="26"/>
  <c r="L598" i="26"/>
  <c r="B608" i="26"/>
  <c r="E642" i="26"/>
  <c r="B643" i="26"/>
  <c r="P761" i="26"/>
  <c r="P821" i="26"/>
  <c r="P845" i="26"/>
  <c r="J608" i="26"/>
  <c r="M642" i="26"/>
  <c r="J643" i="26"/>
  <c r="P767" i="26"/>
  <c r="R640" i="26"/>
  <c r="I748" i="26"/>
  <c r="P824" i="26"/>
  <c r="P848" i="26"/>
  <c r="P851" i="26"/>
  <c r="P827" i="26"/>
  <c r="R744" i="26"/>
  <c r="E748" i="26"/>
  <c r="N823" i="26"/>
  <c r="N847" i="26"/>
  <c r="P609" i="26"/>
  <c r="O772" i="26"/>
  <c r="F608" i="26"/>
  <c r="I642" i="26"/>
  <c r="F643" i="26"/>
  <c r="P764" i="26"/>
  <c r="R458" i="26"/>
  <c r="R14" i="24" l="1"/>
  <c r="O10" i="25"/>
  <c r="M14" i="26"/>
  <c r="I9" i="25"/>
  <c r="E14" i="26"/>
  <c r="C9" i="25"/>
  <c r="Q579" i="24"/>
  <c r="N763" i="21"/>
  <c r="H596" i="21"/>
  <c r="H556" i="21"/>
  <c r="L802" i="24"/>
  <c r="L826" i="24"/>
  <c r="Q880" i="24" s="1"/>
  <c r="S848" i="24" s="1"/>
  <c r="O807" i="23"/>
  <c r="O831" i="23"/>
  <c r="B590" i="24"/>
  <c r="E589" i="24"/>
  <c r="O739" i="24"/>
  <c r="B579" i="24"/>
  <c r="Q822" i="21"/>
  <c r="Q846" i="21"/>
  <c r="N827" i="24"/>
  <c r="N803" i="24"/>
  <c r="N745" i="23"/>
  <c r="G579" i="23"/>
  <c r="G539" i="23"/>
  <c r="D580" i="24"/>
  <c r="N741" i="24"/>
  <c r="D540" i="24"/>
  <c r="R664" i="23"/>
  <c r="D596" i="21"/>
  <c r="N760" i="21"/>
  <c r="D556" i="21"/>
  <c r="P816" i="21"/>
  <c r="P771" i="21"/>
  <c r="P840" i="21"/>
  <c r="O741" i="23"/>
  <c r="E588" i="23"/>
  <c r="B589" i="23"/>
  <c r="B578" i="23"/>
  <c r="N748" i="23"/>
  <c r="K579" i="23"/>
  <c r="K539" i="23"/>
  <c r="N766" i="21"/>
  <c r="L596" i="21"/>
  <c r="L556" i="21"/>
  <c r="R681" i="21"/>
  <c r="O806" i="24"/>
  <c r="O830" i="24"/>
  <c r="J541" i="24"/>
  <c r="M745" i="24"/>
  <c r="J505" i="24"/>
  <c r="D579" i="23"/>
  <c r="N743" i="23"/>
  <c r="D539" i="23"/>
  <c r="P752" i="24"/>
  <c r="P797" i="24"/>
  <c r="P821" i="24"/>
  <c r="P834" i="24" s="1"/>
  <c r="Q820" i="21"/>
  <c r="Q844" i="21"/>
  <c r="O827" i="21"/>
  <c r="O851" i="21"/>
  <c r="O768" i="21"/>
  <c r="O606" i="21"/>
  <c r="O595" i="21"/>
  <c r="R622" i="23"/>
  <c r="H496" i="24"/>
  <c r="K744" i="24"/>
  <c r="H446" i="24"/>
  <c r="M830" i="24"/>
  <c r="M806" i="24"/>
  <c r="Q821" i="24"/>
  <c r="Q752" i="24"/>
  <c r="Q797" i="24"/>
  <c r="Q816" i="21"/>
  <c r="Q771" i="21"/>
  <c r="Q840" i="21"/>
  <c r="O808" i="24"/>
  <c r="O832" i="24"/>
  <c r="F590" i="24"/>
  <c r="O742" i="24"/>
  <c r="I589" i="24"/>
  <c r="F579" i="24"/>
  <c r="Q830" i="24"/>
  <c r="Q806" i="24"/>
  <c r="G541" i="24"/>
  <c r="M743" i="24"/>
  <c r="G505" i="24"/>
  <c r="O807" i="24"/>
  <c r="O831" i="24"/>
  <c r="O751" i="23"/>
  <c r="O589" i="23"/>
  <c r="O578" i="23"/>
  <c r="O801" i="23"/>
  <c r="O825" i="23"/>
  <c r="O804" i="24"/>
  <c r="O828" i="24"/>
  <c r="O827" i="24"/>
  <c r="O803" i="24"/>
  <c r="N606" i="21"/>
  <c r="Q605" i="21"/>
  <c r="O767" i="21"/>
  <c r="N595" i="21"/>
  <c r="P829" i="23"/>
  <c r="P805" i="23"/>
  <c r="O810" i="23"/>
  <c r="O834" i="23"/>
  <c r="O843" i="21"/>
  <c r="O819" i="21"/>
  <c r="F589" i="23"/>
  <c r="O744" i="23"/>
  <c r="I588" i="23"/>
  <c r="F578" i="23"/>
  <c r="O742" i="23"/>
  <c r="C589" i="23"/>
  <c r="C578" i="23"/>
  <c r="B606" i="21"/>
  <c r="E605" i="21"/>
  <c r="O758" i="21"/>
  <c r="B595" i="21"/>
  <c r="C580" i="24"/>
  <c r="N740" i="24"/>
  <c r="C540" i="24"/>
  <c r="H579" i="23"/>
  <c r="N746" i="23"/>
  <c r="H539" i="23"/>
  <c r="L541" i="24"/>
  <c r="L505" i="24"/>
  <c r="M747" i="24"/>
  <c r="K596" i="21"/>
  <c r="N765" i="21"/>
  <c r="K556" i="21"/>
  <c r="Q827" i="24"/>
  <c r="Q803" i="24"/>
  <c r="N801" i="24"/>
  <c r="N825" i="24"/>
  <c r="P846" i="21"/>
  <c r="P822" i="21"/>
  <c r="P825" i="21"/>
  <c r="P849" i="21"/>
  <c r="O750" i="23"/>
  <c r="Q588" i="23"/>
  <c r="N589" i="23"/>
  <c r="N578" i="23"/>
  <c r="O821" i="21"/>
  <c r="O845" i="21"/>
  <c r="O798" i="24"/>
  <c r="O822" i="24"/>
  <c r="N829" i="24"/>
  <c r="N805" i="24"/>
  <c r="O847" i="21"/>
  <c r="O823" i="21"/>
  <c r="N759" i="21"/>
  <c r="C596" i="21"/>
  <c r="C556" i="21"/>
  <c r="Q809" i="23"/>
  <c r="Q833" i="23"/>
  <c r="K580" i="24"/>
  <c r="N746" i="24"/>
  <c r="K540" i="24"/>
  <c r="M540" i="24" s="1"/>
  <c r="O747" i="23"/>
  <c r="M588" i="23"/>
  <c r="J589" i="23"/>
  <c r="J578" i="23"/>
  <c r="F596" i="21"/>
  <c r="N761" i="21"/>
  <c r="F556" i="21"/>
  <c r="P826" i="23"/>
  <c r="P802" i="23"/>
  <c r="G606" i="21"/>
  <c r="O762" i="21"/>
  <c r="G595" i="21"/>
  <c r="O823" i="24"/>
  <c r="O799" i="24"/>
  <c r="P596" i="21"/>
  <c r="N769" i="21"/>
  <c r="P556" i="21"/>
  <c r="Q824" i="23"/>
  <c r="Q800" i="23"/>
  <c r="Q754" i="23"/>
  <c r="O842" i="21"/>
  <c r="O818" i="21"/>
  <c r="R639" i="21"/>
  <c r="P823" i="23"/>
  <c r="P754" i="23"/>
  <c r="P799" i="23"/>
  <c r="O806" i="23"/>
  <c r="O830" i="23"/>
  <c r="O804" i="23"/>
  <c r="O828" i="23"/>
  <c r="O848" i="21"/>
  <c r="O824" i="21"/>
  <c r="L748" i="24"/>
  <c r="N506" i="24"/>
  <c r="N495" i="24"/>
  <c r="R664" i="24"/>
  <c r="P580" i="24"/>
  <c r="N750" i="24"/>
  <c r="P540" i="24"/>
  <c r="O817" i="21"/>
  <c r="O841" i="21"/>
  <c r="N749" i="23"/>
  <c r="L579" i="23"/>
  <c r="L539" i="23"/>
  <c r="N830" i="24"/>
  <c r="N806" i="24"/>
  <c r="Q826" i="21"/>
  <c r="Q850" i="21"/>
  <c r="N749" i="24"/>
  <c r="O580" i="24"/>
  <c r="O540" i="24"/>
  <c r="J606" i="21"/>
  <c r="O764" i="21"/>
  <c r="M605" i="21"/>
  <c r="J595" i="21"/>
  <c r="O803" i="23"/>
  <c r="O827" i="23"/>
  <c r="N752" i="23"/>
  <c r="P579" i="23"/>
  <c r="P539" i="23"/>
  <c r="P832" i="23"/>
  <c r="P808" i="23"/>
  <c r="I605" i="21"/>
  <c r="Q824" i="24"/>
  <c r="Q800" i="24"/>
  <c r="G522" i="26"/>
  <c r="G512" i="26" s="1"/>
  <c r="O853" i="26"/>
  <c r="Q856" i="26"/>
  <c r="M765" i="26"/>
  <c r="M847" i="26" s="1"/>
  <c r="O558" i="26"/>
  <c r="O522" i="26"/>
  <c r="M771" i="26"/>
  <c r="N853" i="26"/>
  <c r="N829" i="26"/>
  <c r="R642" i="26"/>
  <c r="O826" i="26"/>
  <c r="O850" i="26"/>
  <c r="O844" i="26"/>
  <c r="O820" i="26"/>
  <c r="N768" i="26"/>
  <c r="K557" i="26"/>
  <c r="K599" i="26"/>
  <c r="C599" i="26"/>
  <c r="N762" i="26"/>
  <c r="C557" i="26"/>
  <c r="I608" i="26"/>
  <c r="F609" i="26"/>
  <c r="O764" i="26"/>
  <c r="F598" i="26"/>
  <c r="O830" i="26"/>
  <c r="O854" i="26"/>
  <c r="M608" i="26"/>
  <c r="J609" i="26"/>
  <c r="O767" i="26"/>
  <c r="J598" i="26"/>
  <c r="P774" i="26"/>
  <c r="P819" i="26"/>
  <c r="P843" i="26"/>
  <c r="L599" i="26"/>
  <c r="N769" i="26"/>
  <c r="L557" i="26"/>
  <c r="Q608" i="26"/>
  <c r="N609" i="26"/>
  <c r="O770" i="26"/>
  <c r="N598" i="26"/>
  <c r="D599" i="26"/>
  <c r="N763" i="26"/>
  <c r="D557" i="26"/>
  <c r="O824" i="26"/>
  <c r="O848" i="26"/>
  <c r="P822" i="26"/>
  <c r="P846" i="26"/>
  <c r="P825" i="26"/>
  <c r="P849" i="26"/>
  <c r="E608" i="26"/>
  <c r="B609" i="26"/>
  <c r="O761" i="26"/>
  <c r="B598" i="26"/>
  <c r="O827" i="26"/>
  <c r="O851" i="26"/>
  <c r="P828" i="26"/>
  <c r="P852" i="26"/>
  <c r="O821" i="26"/>
  <c r="O845" i="26"/>
  <c r="H599" i="26"/>
  <c r="N766" i="26"/>
  <c r="H557" i="26"/>
  <c r="Q853" i="21" l="1"/>
  <c r="Q836" i="23"/>
  <c r="K748" i="24"/>
  <c r="N496" i="24"/>
  <c r="N446" i="24"/>
  <c r="O805" i="23"/>
  <c r="O829" i="23"/>
  <c r="Q578" i="23"/>
  <c r="N579" i="23"/>
  <c r="N750" i="23"/>
  <c r="N539" i="23"/>
  <c r="N822" i="24"/>
  <c r="N798" i="24"/>
  <c r="M578" i="23"/>
  <c r="J579" i="23"/>
  <c r="N747" i="23"/>
  <c r="J539" i="23"/>
  <c r="N817" i="21"/>
  <c r="N841" i="21"/>
  <c r="N804" i="23"/>
  <c r="N828" i="23"/>
  <c r="Q834" i="24"/>
  <c r="K802" i="24"/>
  <c r="K826" i="24"/>
  <c r="O850" i="21"/>
  <c r="O826" i="21"/>
  <c r="N825" i="23"/>
  <c r="N801" i="23"/>
  <c r="M766" i="21"/>
  <c r="L557" i="21"/>
  <c r="L521" i="21"/>
  <c r="R589" i="24"/>
  <c r="M763" i="21"/>
  <c r="H557" i="21"/>
  <c r="H521" i="21"/>
  <c r="P540" i="23"/>
  <c r="M752" i="23"/>
  <c r="P504" i="23"/>
  <c r="L540" i="23"/>
  <c r="M749" i="23"/>
  <c r="L504" i="23"/>
  <c r="N832" i="24"/>
  <c r="N808" i="24"/>
  <c r="P836" i="23"/>
  <c r="N843" i="21"/>
  <c r="N819" i="21"/>
  <c r="M829" i="24"/>
  <c r="M805" i="24"/>
  <c r="E595" i="21"/>
  <c r="N758" i="21"/>
  <c r="B596" i="21"/>
  <c r="B556" i="21"/>
  <c r="O800" i="23"/>
  <c r="O824" i="23"/>
  <c r="O802" i="23"/>
  <c r="O826" i="23"/>
  <c r="G506" i="24"/>
  <c r="L743" i="24"/>
  <c r="G495" i="24"/>
  <c r="N806" i="23"/>
  <c r="N830" i="23"/>
  <c r="O754" i="23"/>
  <c r="O799" i="23"/>
  <c r="O823" i="23"/>
  <c r="D557" i="21"/>
  <c r="M760" i="21"/>
  <c r="D521" i="21"/>
  <c r="G504" i="23"/>
  <c r="G540" i="23"/>
  <c r="M745" i="23"/>
  <c r="N810" i="23"/>
  <c r="N834" i="23"/>
  <c r="N807" i="23"/>
  <c r="N831" i="23"/>
  <c r="N851" i="21"/>
  <c r="N827" i="21"/>
  <c r="N762" i="21"/>
  <c r="G596" i="21"/>
  <c r="G556" i="21"/>
  <c r="I595" i="21"/>
  <c r="N828" i="24"/>
  <c r="N804" i="24"/>
  <c r="N847" i="21"/>
  <c r="N823" i="21"/>
  <c r="H540" i="23"/>
  <c r="M746" i="23"/>
  <c r="H504" i="23"/>
  <c r="R605" i="21"/>
  <c r="C579" i="23"/>
  <c r="N742" i="23"/>
  <c r="C539" i="23"/>
  <c r="I578" i="23"/>
  <c r="N744" i="23"/>
  <c r="F579" i="23"/>
  <c r="F539" i="23"/>
  <c r="O849" i="21"/>
  <c r="O825" i="21"/>
  <c r="H447" i="24"/>
  <c r="J744" i="24"/>
  <c r="H405" i="24"/>
  <c r="D540" i="23"/>
  <c r="M743" i="23"/>
  <c r="D504" i="23"/>
  <c r="M748" i="23"/>
  <c r="K504" i="23"/>
  <c r="K540" i="23"/>
  <c r="N823" i="24"/>
  <c r="N799" i="24"/>
  <c r="N803" i="23"/>
  <c r="N827" i="23"/>
  <c r="O752" i="24"/>
  <c r="O797" i="24"/>
  <c r="O821" i="24"/>
  <c r="O846" i="21"/>
  <c r="O822" i="21"/>
  <c r="N807" i="24"/>
  <c r="N831" i="24"/>
  <c r="P541" i="24"/>
  <c r="P505" i="24"/>
  <c r="M750" i="24"/>
  <c r="O844" i="21"/>
  <c r="O820" i="21"/>
  <c r="I556" i="21"/>
  <c r="F557" i="21"/>
  <c r="M761" i="21"/>
  <c r="F521" i="21"/>
  <c r="O809" i="23"/>
  <c r="O833" i="23"/>
  <c r="O800" i="24"/>
  <c r="O824" i="24"/>
  <c r="M803" i="24"/>
  <c r="M827" i="24"/>
  <c r="R588" i="23"/>
  <c r="L765" i="26"/>
  <c r="L823" i="26" s="1"/>
  <c r="M595" i="21"/>
  <c r="J596" i="21"/>
  <c r="N764" i="21"/>
  <c r="J556" i="21"/>
  <c r="M749" i="24"/>
  <c r="O541" i="24"/>
  <c r="O505" i="24"/>
  <c r="Q540" i="24"/>
  <c r="L806" i="24"/>
  <c r="L830" i="24"/>
  <c r="Q884" i="24" s="1"/>
  <c r="S852" i="24" s="1"/>
  <c r="P557" i="21"/>
  <c r="M769" i="21"/>
  <c r="P521" i="21"/>
  <c r="K541" i="24"/>
  <c r="M746" i="24"/>
  <c r="K505" i="24"/>
  <c r="C557" i="21"/>
  <c r="C521" i="21"/>
  <c r="M759" i="21"/>
  <c r="O808" i="23"/>
  <c r="O832" i="23"/>
  <c r="K557" i="21"/>
  <c r="M765" i="21"/>
  <c r="K521" i="21"/>
  <c r="L506" i="24"/>
  <c r="L747" i="24"/>
  <c r="L495" i="24"/>
  <c r="C541" i="24"/>
  <c r="M740" i="24"/>
  <c r="C505" i="24"/>
  <c r="O771" i="21"/>
  <c r="O840" i="21"/>
  <c r="O816" i="21"/>
  <c r="Q595" i="21"/>
  <c r="N767" i="21"/>
  <c r="N596" i="21"/>
  <c r="N556" i="21"/>
  <c r="O579" i="23"/>
  <c r="N751" i="23"/>
  <c r="O539" i="23"/>
  <c r="M825" i="24"/>
  <c r="M801" i="24"/>
  <c r="F580" i="24"/>
  <c r="I579" i="24"/>
  <c r="N742" i="24"/>
  <c r="F540" i="24"/>
  <c r="O596" i="21"/>
  <c r="N768" i="21"/>
  <c r="O556" i="21"/>
  <c r="L745" i="24"/>
  <c r="M505" i="24"/>
  <c r="J506" i="24"/>
  <c r="J495" i="24"/>
  <c r="N848" i="21"/>
  <c r="N824" i="21"/>
  <c r="E578" i="23"/>
  <c r="N741" i="23"/>
  <c r="B579" i="23"/>
  <c r="B539" i="23"/>
  <c r="P853" i="21"/>
  <c r="N818" i="21"/>
  <c r="N842" i="21"/>
  <c r="M741" i="24"/>
  <c r="D541" i="24"/>
  <c r="D505" i="24"/>
  <c r="B580" i="24"/>
  <c r="E579" i="24"/>
  <c r="N739" i="24"/>
  <c r="B540" i="24"/>
  <c r="N821" i="21"/>
  <c r="N845" i="21"/>
  <c r="G523" i="26"/>
  <c r="M823" i="26"/>
  <c r="R608" i="26"/>
  <c r="O523" i="26"/>
  <c r="O512" i="26"/>
  <c r="L771" i="26"/>
  <c r="M829" i="26"/>
  <c r="M853" i="26"/>
  <c r="N844" i="26"/>
  <c r="N820" i="26"/>
  <c r="N826" i="26"/>
  <c r="N850" i="26"/>
  <c r="C558" i="26"/>
  <c r="M762" i="26"/>
  <c r="C522" i="26"/>
  <c r="K522" i="26"/>
  <c r="K558" i="26"/>
  <c r="M768" i="26"/>
  <c r="O774" i="26"/>
  <c r="O819" i="26"/>
  <c r="O843" i="26"/>
  <c r="H558" i="26"/>
  <c r="M766" i="26"/>
  <c r="H522" i="26"/>
  <c r="E598" i="26"/>
  <c r="B599" i="26"/>
  <c r="N761" i="26"/>
  <c r="B557" i="26"/>
  <c r="G513" i="26"/>
  <c r="K765" i="26"/>
  <c r="G460" i="26"/>
  <c r="N821" i="26"/>
  <c r="N845" i="26"/>
  <c r="N599" i="26"/>
  <c r="N770" i="26"/>
  <c r="N557" i="26"/>
  <c r="L558" i="26"/>
  <c r="M769" i="26"/>
  <c r="L522" i="26"/>
  <c r="M598" i="26"/>
  <c r="J599" i="26"/>
  <c r="N767" i="26"/>
  <c r="J557" i="26"/>
  <c r="O822" i="26"/>
  <c r="O846" i="26"/>
  <c r="N824" i="26"/>
  <c r="N848" i="26"/>
  <c r="D558" i="26"/>
  <c r="M763" i="26"/>
  <c r="D522" i="26"/>
  <c r="O828" i="26"/>
  <c r="O852" i="26"/>
  <c r="N851" i="26"/>
  <c r="N827" i="26"/>
  <c r="O825" i="26"/>
  <c r="O849" i="26"/>
  <c r="F599" i="26"/>
  <c r="I598" i="26"/>
  <c r="N764" i="26"/>
  <c r="F557" i="26"/>
  <c r="P856" i="26"/>
  <c r="O853" i="21" l="1"/>
  <c r="L847" i="26"/>
  <c r="Q901" i="26" s="1"/>
  <c r="S847" i="26" s="1"/>
  <c r="R595" i="21"/>
  <c r="L803" i="24"/>
  <c r="L827" i="24"/>
  <c r="Q881" i="24" s="1"/>
  <c r="S849" i="24" s="1"/>
  <c r="N850" i="21"/>
  <c r="N826" i="21"/>
  <c r="O540" i="23"/>
  <c r="M751" i="23"/>
  <c r="O504" i="23"/>
  <c r="M817" i="21"/>
  <c r="M841" i="21"/>
  <c r="M828" i="24"/>
  <c r="M804" i="24"/>
  <c r="M819" i="21"/>
  <c r="M843" i="21"/>
  <c r="O834" i="24"/>
  <c r="L748" i="23"/>
  <c r="K505" i="23"/>
  <c r="K494" i="23"/>
  <c r="H406" i="24"/>
  <c r="I744" i="24"/>
  <c r="H364" i="24"/>
  <c r="M804" i="23"/>
  <c r="M828" i="23"/>
  <c r="N844" i="21"/>
  <c r="N820" i="21"/>
  <c r="L766" i="21"/>
  <c r="L522" i="21"/>
  <c r="L511" i="21"/>
  <c r="N447" i="24"/>
  <c r="J748" i="24"/>
  <c r="N405" i="24"/>
  <c r="B541" i="24"/>
  <c r="E540" i="24"/>
  <c r="M739" i="24"/>
  <c r="B505" i="24"/>
  <c r="J496" i="24"/>
  <c r="K745" i="24"/>
  <c r="J446" i="24"/>
  <c r="N809" i="23"/>
  <c r="N833" i="23"/>
  <c r="N825" i="21"/>
  <c r="N849" i="21"/>
  <c r="K747" i="24"/>
  <c r="L496" i="24"/>
  <c r="L446" i="24"/>
  <c r="M823" i="21"/>
  <c r="M847" i="21"/>
  <c r="L759" i="21"/>
  <c r="C522" i="21"/>
  <c r="C511" i="21"/>
  <c r="M831" i="24"/>
  <c r="M807" i="24"/>
  <c r="M830" i="23"/>
  <c r="M806" i="23"/>
  <c r="J826" i="24"/>
  <c r="J802" i="24"/>
  <c r="M803" i="23"/>
  <c r="M827" i="23"/>
  <c r="E556" i="21"/>
  <c r="M758" i="21"/>
  <c r="B557" i="21"/>
  <c r="B521" i="21"/>
  <c r="F541" i="24"/>
  <c r="I540" i="24"/>
  <c r="M742" i="24"/>
  <c r="F505" i="24"/>
  <c r="L740" i="24"/>
  <c r="C506" i="24"/>
  <c r="C495" i="24"/>
  <c r="P522" i="21"/>
  <c r="L769" i="21"/>
  <c r="P511" i="21"/>
  <c r="R579" i="24"/>
  <c r="M799" i="24"/>
  <c r="M823" i="24"/>
  <c r="E539" i="23"/>
  <c r="B540" i="23"/>
  <c r="B504" i="23"/>
  <c r="M741" i="23"/>
  <c r="O557" i="21"/>
  <c r="O521" i="21"/>
  <c r="M768" i="21"/>
  <c r="N824" i="24"/>
  <c r="N800" i="24"/>
  <c r="Q556" i="21"/>
  <c r="N557" i="21"/>
  <c r="M767" i="21"/>
  <c r="N521" i="21"/>
  <c r="M798" i="24"/>
  <c r="M822" i="24"/>
  <c r="K506" i="24"/>
  <c r="L746" i="24"/>
  <c r="K495" i="24"/>
  <c r="M495" i="24" s="1"/>
  <c r="M827" i="21"/>
  <c r="M851" i="21"/>
  <c r="L749" i="24"/>
  <c r="O506" i="24"/>
  <c r="O495" i="24"/>
  <c r="Q505" i="24"/>
  <c r="N822" i="21"/>
  <c r="N846" i="21"/>
  <c r="F522" i="21"/>
  <c r="F511" i="21"/>
  <c r="L761" i="21"/>
  <c r="I539" i="23"/>
  <c r="F540" i="23"/>
  <c r="M744" i="23"/>
  <c r="F504" i="23"/>
  <c r="C540" i="23"/>
  <c r="M742" i="23"/>
  <c r="C504" i="23"/>
  <c r="H505" i="23"/>
  <c r="L746" i="23"/>
  <c r="H494" i="23"/>
  <c r="G505" i="23"/>
  <c r="L745" i="23"/>
  <c r="G494" i="23"/>
  <c r="O836" i="23"/>
  <c r="L801" i="24"/>
  <c r="L825" i="24"/>
  <c r="Q879" i="24" s="1"/>
  <c r="S847" i="24" s="1"/>
  <c r="N771" i="21"/>
  <c r="N840" i="21"/>
  <c r="N816" i="21"/>
  <c r="M831" i="23"/>
  <c r="M807" i="23"/>
  <c r="N829" i="23"/>
  <c r="N805" i="23"/>
  <c r="N808" i="23"/>
  <c r="N832" i="23"/>
  <c r="K522" i="21"/>
  <c r="L765" i="21"/>
  <c r="K511" i="21"/>
  <c r="N800" i="23"/>
  <c r="N824" i="23"/>
  <c r="D522" i="21"/>
  <c r="L760" i="21"/>
  <c r="D511" i="21"/>
  <c r="H522" i="21"/>
  <c r="L763" i="21"/>
  <c r="H511" i="21"/>
  <c r="L741" i="24"/>
  <c r="D506" i="24"/>
  <c r="D495" i="24"/>
  <c r="N754" i="23"/>
  <c r="N799" i="23"/>
  <c r="N823" i="23"/>
  <c r="M808" i="24"/>
  <c r="M832" i="24"/>
  <c r="D505" i="23"/>
  <c r="L743" i="23"/>
  <c r="D494" i="23"/>
  <c r="N802" i="23"/>
  <c r="N826" i="23"/>
  <c r="M818" i="21"/>
  <c r="M842" i="21"/>
  <c r="L752" i="23"/>
  <c r="P505" i="23"/>
  <c r="P494" i="23"/>
  <c r="N797" i="24"/>
  <c r="N752" i="24"/>
  <c r="N821" i="24"/>
  <c r="R578" i="23"/>
  <c r="L805" i="24"/>
  <c r="L829" i="24"/>
  <c r="Q883" i="24" s="1"/>
  <c r="S851" i="24" s="1"/>
  <c r="M556" i="21"/>
  <c r="J557" i="21"/>
  <c r="M764" i="21"/>
  <c r="J521" i="21"/>
  <c r="P506" i="24"/>
  <c r="L750" i="24"/>
  <c r="P495" i="24"/>
  <c r="M825" i="23"/>
  <c r="M801" i="23"/>
  <c r="M762" i="21"/>
  <c r="G557" i="21"/>
  <c r="G521" i="21"/>
  <c r="I521" i="21" s="1"/>
  <c r="G496" i="24"/>
  <c r="K743" i="24"/>
  <c r="G446" i="24"/>
  <c r="L749" i="23"/>
  <c r="L505" i="23"/>
  <c r="L494" i="23"/>
  <c r="M810" i="23"/>
  <c r="M834" i="23"/>
  <c r="M821" i="21"/>
  <c r="M845" i="21"/>
  <c r="M824" i="21"/>
  <c r="M848" i="21"/>
  <c r="M539" i="23"/>
  <c r="J540" i="23"/>
  <c r="J504" i="23"/>
  <c r="M747" i="23"/>
  <c r="Q539" i="23"/>
  <c r="N540" i="23"/>
  <c r="M750" i="23"/>
  <c r="N504" i="23"/>
  <c r="K806" i="24"/>
  <c r="K830" i="24"/>
  <c r="K771" i="26"/>
  <c r="O513" i="26"/>
  <c r="O460" i="26"/>
  <c r="L853" i="26"/>
  <c r="Q907" i="26" s="1"/>
  <c r="S853" i="26" s="1"/>
  <c r="L829" i="26"/>
  <c r="M850" i="26"/>
  <c r="M826" i="26"/>
  <c r="K523" i="26"/>
  <c r="K512" i="26"/>
  <c r="L768" i="26"/>
  <c r="M844" i="26"/>
  <c r="M820" i="26"/>
  <c r="L762" i="26"/>
  <c r="C523" i="26"/>
  <c r="C512" i="26"/>
  <c r="N822" i="26"/>
  <c r="N846" i="26"/>
  <c r="F558" i="26"/>
  <c r="I557" i="26"/>
  <c r="M764" i="26"/>
  <c r="F522" i="26"/>
  <c r="D523" i="26"/>
  <c r="L763" i="26"/>
  <c r="D512" i="26"/>
  <c r="N825" i="26"/>
  <c r="N849" i="26"/>
  <c r="M827" i="26"/>
  <c r="M851" i="26"/>
  <c r="N558" i="26"/>
  <c r="M770" i="26"/>
  <c r="N522" i="26"/>
  <c r="K823" i="26"/>
  <c r="K847" i="26"/>
  <c r="E557" i="26"/>
  <c r="B558" i="26"/>
  <c r="M761" i="26"/>
  <c r="B522" i="26"/>
  <c r="B512" i="26" s="1"/>
  <c r="H523" i="26"/>
  <c r="L766" i="26"/>
  <c r="H512" i="26"/>
  <c r="M821" i="26"/>
  <c r="M845" i="26"/>
  <c r="M557" i="26"/>
  <c r="J558" i="26"/>
  <c r="M767" i="26"/>
  <c r="J522" i="26"/>
  <c r="L523" i="26"/>
  <c r="L769" i="26"/>
  <c r="L512" i="26"/>
  <c r="N828" i="26"/>
  <c r="N852" i="26"/>
  <c r="G461" i="26"/>
  <c r="J765" i="26"/>
  <c r="G419" i="26"/>
  <c r="N819" i="26"/>
  <c r="N843" i="26"/>
  <c r="M824" i="26"/>
  <c r="M848" i="26"/>
  <c r="O856" i="26"/>
  <c r="N834" i="24" l="1"/>
  <c r="M822" i="21"/>
  <c r="M846" i="21"/>
  <c r="M825" i="21"/>
  <c r="M849" i="21"/>
  <c r="M823" i="23"/>
  <c r="M799" i="23"/>
  <c r="M754" i="23"/>
  <c r="L827" i="21"/>
  <c r="L851" i="21"/>
  <c r="Q905" i="21" s="1"/>
  <c r="S876" i="21" s="1"/>
  <c r="E521" i="21"/>
  <c r="B522" i="21"/>
  <c r="L758" i="21"/>
  <c r="B511" i="21"/>
  <c r="K805" i="24"/>
  <c r="K829" i="24"/>
  <c r="Q504" i="23"/>
  <c r="N505" i="23"/>
  <c r="L750" i="23"/>
  <c r="N494" i="23"/>
  <c r="L834" i="23"/>
  <c r="Q888" i="23" s="1"/>
  <c r="S855" i="23" s="1"/>
  <c r="L810" i="23"/>
  <c r="D496" i="24"/>
  <c r="K741" i="24"/>
  <c r="D446" i="24"/>
  <c r="M826" i="23"/>
  <c r="M802" i="23"/>
  <c r="M826" i="21"/>
  <c r="M850" i="21"/>
  <c r="J447" i="24"/>
  <c r="J745" i="24"/>
  <c r="J405" i="24"/>
  <c r="N406" i="24"/>
  <c r="I748" i="24"/>
  <c r="N364" i="24"/>
  <c r="L512" i="21"/>
  <c r="K766" i="21"/>
  <c r="L463" i="21"/>
  <c r="I826" i="24"/>
  <c r="I802" i="24"/>
  <c r="L830" i="23"/>
  <c r="Q884" i="23" s="1"/>
  <c r="S851" i="23" s="1"/>
  <c r="L806" i="23"/>
  <c r="O505" i="23"/>
  <c r="L751" i="23"/>
  <c r="O494" i="23"/>
  <c r="K801" i="24"/>
  <c r="K825" i="24"/>
  <c r="M820" i="21"/>
  <c r="M844" i="21"/>
  <c r="P496" i="24"/>
  <c r="K750" i="24"/>
  <c r="P446" i="24"/>
  <c r="K743" i="23"/>
  <c r="D495" i="23"/>
  <c r="D443" i="23"/>
  <c r="N836" i="23"/>
  <c r="L842" i="21"/>
  <c r="Q896" i="21" s="1"/>
  <c r="S867" i="21" s="1"/>
  <c r="L818" i="21"/>
  <c r="L847" i="21"/>
  <c r="Q901" i="21" s="1"/>
  <c r="S872" i="21" s="1"/>
  <c r="L823" i="21"/>
  <c r="K745" i="23"/>
  <c r="G495" i="23"/>
  <c r="G443" i="23"/>
  <c r="H495" i="23"/>
  <c r="K746" i="23"/>
  <c r="H443" i="23"/>
  <c r="M800" i="23"/>
  <c r="M824" i="23"/>
  <c r="L819" i="21"/>
  <c r="L843" i="21"/>
  <c r="Q897" i="21" s="1"/>
  <c r="S868" i="21" s="1"/>
  <c r="K496" i="24"/>
  <c r="K746" i="24"/>
  <c r="K446" i="24"/>
  <c r="M446" i="24" s="1"/>
  <c r="O522" i="21"/>
  <c r="L768" i="21"/>
  <c r="O511" i="21"/>
  <c r="L798" i="24"/>
  <c r="L822" i="24"/>
  <c r="Q876" i="24" s="1"/>
  <c r="S844" i="24" s="1"/>
  <c r="M771" i="21"/>
  <c r="M816" i="21"/>
  <c r="M840" i="21"/>
  <c r="L447" i="24"/>
  <c r="J747" i="24"/>
  <c r="L405" i="24"/>
  <c r="K827" i="24"/>
  <c r="K803" i="24"/>
  <c r="M821" i="24"/>
  <c r="M797" i="24"/>
  <c r="M752" i="24"/>
  <c r="J830" i="24"/>
  <c r="J806" i="24"/>
  <c r="M833" i="23"/>
  <c r="M809" i="23"/>
  <c r="K749" i="23"/>
  <c r="L495" i="23"/>
  <c r="L443" i="23"/>
  <c r="G522" i="21"/>
  <c r="L762" i="21"/>
  <c r="G511" i="21"/>
  <c r="H512" i="21"/>
  <c r="K763" i="21"/>
  <c r="H463" i="21"/>
  <c r="I504" i="23"/>
  <c r="L744" i="23"/>
  <c r="F505" i="23"/>
  <c r="F494" i="23"/>
  <c r="K740" i="24"/>
  <c r="C496" i="24"/>
  <c r="C446" i="24"/>
  <c r="M824" i="24"/>
  <c r="M800" i="24"/>
  <c r="H744" i="24"/>
  <c r="H365" i="24"/>
  <c r="H245" i="24"/>
  <c r="M829" i="23"/>
  <c r="M805" i="23"/>
  <c r="G447" i="24"/>
  <c r="J743" i="24"/>
  <c r="G405" i="24"/>
  <c r="L821" i="21"/>
  <c r="L845" i="21"/>
  <c r="Q899" i="21" s="1"/>
  <c r="S870" i="21" s="1"/>
  <c r="D512" i="21"/>
  <c r="K760" i="21"/>
  <c r="D463" i="21"/>
  <c r="K512" i="21"/>
  <c r="K765" i="21"/>
  <c r="K463" i="21"/>
  <c r="C505" i="23"/>
  <c r="L742" i="23"/>
  <c r="C494" i="23"/>
  <c r="O496" i="24"/>
  <c r="K749" i="24"/>
  <c r="O446" i="24"/>
  <c r="Q495" i="24"/>
  <c r="E504" i="23"/>
  <c r="L741" i="23"/>
  <c r="B505" i="23"/>
  <c r="B494" i="23"/>
  <c r="C512" i="21"/>
  <c r="K759" i="21"/>
  <c r="C463" i="21"/>
  <c r="B506" i="24"/>
  <c r="L739" i="24"/>
  <c r="E505" i="24"/>
  <c r="B495" i="24"/>
  <c r="M832" i="23"/>
  <c r="M808" i="23"/>
  <c r="M504" i="23"/>
  <c r="J505" i="23"/>
  <c r="L747" i="23"/>
  <c r="J494" i="23"/>
  <c r="L831" i="23"/>
  <c r="Q885" i="23" s="1"/>
  <c r="S852" i="23" s="1"/>
  <c r="L807" i="23"/>
  <c r="L808" i="24"/>
  <c r="L832" i="24"/>
  <c r="Q886" i="24" s="1"/>
  <c r="S854" i="24" s="1"/>
  <c r="M521" i="21"/>
  <c r="J522" i="21"/>
  <c r="L764" i="21"/>
  <c r="J511" i="21"/>
  <c r="K752" i="23"/>
  <c r="P495" i="23"/>
  <c r="P443" i="23"/>
  <c r="L825" i="23"/>
  <c r="Q879" i="23" s="1"/>
  <c r="S846" i="23" s="1"/>
  <c r="L801" i="23"/>
  <c r="L799" i="24"/>
  <c r="L823" i="24"/>
  <c r="Q877" i="24" s="1"/>
  <c r="S845" i="24" s="1"/>
  <c r="N853" i="21"/>
  <c r="L827" i="23"/>
  <c r="Q881" i="23" s="1"/>
  <c r="S848" i="23" s="1"/>
  <c r="L803" i="23"/>
  <c r="L828" i="23"/>
  <c r="Q882" i="23" s="1"/>
  <c r="S849" i="23" s="1"/>
  <c r="L804" i="23"/>
  <c r="K761" i="21"/>
  <c r="F512" i="21"/>
  <c r="F463" i="21"/>
  <c r="L807" i="24"/>
  <c r="L831" i="24"/>
  <c r="Q885" i="24" s="1"/>
  <c r="S853" i="24" s="1"/>
  <c r="L804" i="24"/>
  <c r="L828" i="24"/>
  <c r="Q882" i="24" s="1"/>
  <c r="S850" i="24" s="1"/>
  <c r="Q521" i="21"/>
  <c r="L767" i="21"/>
  <c r="N522" i="21"/>
  <c r="N511" i="21"/>
  <c r="R539" i="23"/>
  <c r="K769" i="21"/>
  <c r="P512" i="21"/>
  <c r="P463" i="21"/>
  <c r="F506" i="24"/>
  <c r="L742" i="24"/>
  <c r="I505" i="24"/>
  <c r="F495" i="24"/>
  <c r="R556" i="21"/>
  <c r="L817" i="21"/>
  <c r="L841" i="21"/>
  <c r="Q895" i="21" s="1"/>
  <c r="S866" i="21" s="1"/>
  <c r="R540" i="24"/>
  <c r="L848" i="21"/>
  <c r="Q902" i="21" s="1"/>
  <c r="S873" i="21" s="1"/>
  <c r="L824" i="21"/>
  <c r="K748" i="23"/>
  <c r="K495" i="23"/>
  <c r="K443" i="23"/>
  <c r="O461" i="26"/>
  <c r="O419" i="26"/>
  <c r="J771" i="26"/>
  <c r="K829" i="26"/>
  <c r="K853" i="26"/>
  <c r="L850" i="26"/>
  <c r="Q904" i="26" s="1"/>
  <c r="S850" i="26" s="1"/>
  <c r="L826" i="26"/>
  <c r="C513" i="26"/>
  <c r="C460" i="26"/>
  <c r="K762" i="26"/>
  <c r="L820" i="26"/>
  <c r="L844" i="26"/>
  <c r="Q898" i="26" s="1"/>
  <c r="S844" i="26" s="1"/>
  <c r="K768" i="26"/>
  <c r="K460" i="26"/>
  <c r="K513" i="26"/>
  <c r="L824" i="26"/>
  <c r="L848" i="26"/>
  <c r="Q902" i="26" s="1"/>
  <c r="S848" i="26" s="1"/>
  <c r="E522" i="26"/>
  <c r="B523" i="26"/>
  <c r="L761" i="26"/>
  <c r="M828" i="26"/>
  <c r="M852" i="26"/>
  <c r="G420" i="26"/>
  <c r="G381" i="26"/>
  <c r="G380" i="26" s="1"/>
  <c r="G379" i="26" s="1"/>
  <c r="G378" i="26" s="1"/>
  <c r="G377" i="26" s="1"/>
  <c r="G376" i="26" s="1"/>
  <c r="I765" i="26"/>
  <c r="G374" i="26"/>
  <c r="L851" i="26"/>
  <c r="Q905" i="26" s="1"/>
  <c r="S851" i="26" s="1"/>
  <c r="L827" i="26"/>
  <c r="M522" i="26"/>
  <c r="J523" i="26"/>
  <c r="L767" i="26"/>
  <c r="J512" i="26"/>
  <c r="H513" i="26"/>
  <c r="K766" i="26"/>
  <c r="H460" i="26"/>
  <c r="M819" i="26"/>
  <c r="M843" i="26"/>
  <c r="N523" i="26"/>
  <c r="L770" i="26"/>
  <c r="N512" i="26"/>
  <c r="D513" i="26"/>
  <c r="K763" i="26"/>
  <c r="D460" i="26"/>
  <c r="M822" i="26"/>
  <c r="M846" i="26"/>
  <c r="J823" i="26"/>
  <c r="J847" i="26"/>
  <c r="L513" i="26"/>
  <c r="K769" i="26"/>
  <c r="L460" i="26"/>
  <c r="M825" i="26"/>
  <c r="M849" i="26"/>
  <c r="L821" i="26"/>
  <c r="L845" i="26"/>
  <c r="Q899" i="26" s="1"/>
  <c r="S845" i="26" s="1"/>
  <c r="F523" i="26"/>
  <c r="I522" i="26"/>
  <c r="L764" i="26"/>
  <c r="F512" i="26"/>
  <c r="M834" i="24" l="1"/>
  <c r="R521" i="21"/>
  <c r="R504" i="23"/>
  <c r="I495" i="24"/>
  <c r="F496" i="24"/>
  <c r="K742" i="24"/>
  <c r="F446" i="24"/>
  <c r="P464" i="21"/>
  <c r="J769" i="21"/>
  <c r="P422" i="21"/>
  <c r="N512" i="21"/>
  <c r="Q511" i="21"/>
  <c r="K767" i="21"/>
  <c r="N463" i="21"/>
  <c r="L846" i="21"/>
  <c r="Q900" i="21" s="1"/>
  <c r="S871" i="21" s="1"/>
  <c r="L822" i="21"/>
  <c r="L805" i="23"/>
  <c r="L829" i="23"/>
  <c r="Q883" i="23" s="1"/>
  <c r="S850" i="23" s="1"/>
  <c r="K464" i="21"/>
  <c r="J765" i="21"/>
  <c r="K422" i="21"/>
  <c r="K842" i="21"/>
  <c r="K818" i="21"/>
  <c r="J825" i="24"/>
  <c r="J801" i="24"/>
  <c r="C447" i="24"/>
  <c r="J740" i="24"/>
  <c r="C405" i="24"/>
  <c r="G512" i="21"/>
  <c r="K762" i="21"/>
  <c r="G463" i="21"/>
  <c r="J829" i="24"/>
  <c r="J805" i="24"/>
  <c r="G444" i="23"/>
  <c r="J745" i="23"/>
  <c r="G399" i="23"/>
  <c r="K801" i="23"/>
  <c r="K825" i="23"/>
  <c r="K751" i="23"/>
  <c r="O495" i="23"/>
  <c r="O443" i="23"/>
  <c r="K848" i="21"/>
  <c r="K824" i="21"/>
  <c r="E495" i="24"/>
  <c r="R495" i="24" s="1"/>
  <c r="K739" i="24"/>
  <c r="B496" i="24"/>
  <c r="B446" i="24"/>
  <c r="J759" i="21"/>
  <c r="C464" i="21"/>
  <c r="C422" i="21"/>
  <c r="K741" i="23"/>
  <c r="B495" i="23"/>
  <c r="E494" i="23"/>
  <c r="B443" i="23"/>
  <c r="C495" i="23"/>
  <c r="K742" i="23"/>
  <c r="C443" i="23"/>
  <c r="K847" i="21"/>
  <c r="K823" i="21"/>
  <c r="H246" i="24"/>
  <c r="H247" i="24"/>
  <c r="E744" i="24"/>
  <c r="H128" i="24"/>
  <c r="L826" i="23"/>
  <c r="Q880" i="23" s="1"/>
  <c r="S847" i="23" s="1"/>
  <c r="L802" i="23"/>
  <c r="J763" i="21"/>
  <c r="H464" i="21"/>
  <c r="H422" i="21"/>
  <c r="L820" i="21"/>
  <c r="L844" i="21"/>
  <c r="Q898" i="21" s="1"/>
  <c r="S869" i="21" s="1"/>
  <c r="K807" i="23"/>
  <c r="K831" i="23"/>
  <c r="H444" i="23"/>
  <c r="J746" i="23"/>
  <c r="H399" i="23"/>
  <c r="J750" i="24"/>
  <c r="P447" i="24"/>
  <c r="P405" i="24"/>
  <c r="L833" i="23"/>
  <c r="Q887" i="23" s="1"/>
  <c r="S854" i="23" s="1"/>
  <c r="L809" i="23"/>
  <c r="E511" i="21"/>
  <c r="B512" i="21"/>
  <c r="K758" i="21"/>
  <c r="B463" i="21"/>
  <c r="M836" i="23"/>
  <c r="L800" i="24"/>
  <c r="L824" i="24"/>
  <c r="Q878" i="24" s="1"/>
  <c r="S846" i="24" s="1"/>
  <c r="K827" i="21"/>
  <c r="K851" i="21"/>
  <c r="K843" i="21"/>
  <c r="K819" i="21"/>
  <c r="K810" i="23"/>
  <c r="K834" i="23"/>
  <c r="R505" i="24"/>
  <c r="K841" i="21"/>
  <c r="K817" i="21"/>
  <c r="O447" i="24"/>
  <c r="J749" i="24"/>
  <c r="O405" i="24"/>
  <c r="Q446" i="24"/>
  <c r="L824" i="23"/>
  <c r="Q878" i="23" s="1"/>
  <c r="S845" i="23" s="1"/>
  <c r="L800" i="23"/>
  <c r="K798" i="24"/>
  <c r="K822" i="24"/>
  <c r="K821" i="21"/>
  <c r="K845" i="21"/>
  <c r="M853" i="21"/>
  <c r="K447" i="24"/>
  <c r="J746" i="24"/>
  <c r="K405" i="24"/>
  <c r="M405" i="24" s="1"/>
  <c r="K804" i="23"/>
  <c r="K828" i="23"/>
  <c r="K803" i="23"/>
  <c r="K827" i="23"/>
  <c r="J743" i="23"/>
  <c r="D444" i="23"/>
  <c r="D399" i="23"/>
  <c r="K808" i="24"/>
  <c r="K832" i="24"/>
  <c r="N365" i="24"/>
  <c r="H748" i="24"/>
  <c r="N245" i="24"/>
  <c r="J406" i="24"/>
  <c r="I745" i="24"/>
  <c r="J364" i="24"/>
  <c r="D447" i="24"/>
  <c r="J741" i="24"/>
  <c r="D405" i="24"/>
  <c r="N495" i="23"/>
  <c r="K750" i="23"/>
  <c r="Q494" i="23"/>
  <c r="N443" i="23"/>
  <c r="L771" i="21"/>
  <c r="L816" i="21"/>
  <c r="L840" i="21"/>
  <c r="J748" i="23"/>
  <c r="K444" i="23"/>
  <c r="K399" i="23"/>
  <c r="I463" i="21"/>
  <c r="F464" i="21"/>
  <c r="J761" i="21"/>
  <c r="F422" i="21"/>
  <c r="J752" i="23"/>
  <c r="P444" i="23"/>
  <c r="P399" i="23"/>
  <c r="L826" i="21"/>
  <c r="L850" i="21"/>
  <c r="Q904" i="21" s="1"/>
  <c r="S875" i="21" s="1"/>
  <c r="K806" i="23"/>
  <c r="K830" i="23"/>
  <c r="L849" i="21"/>
  <c r="Q903" i="21" s="1"/>
  <c r="S874" i="21" s="1"/>
  <c r="L825" i="21"/>
  <c r="I511" i="21"/>
  <c r="M511" i="21"/>
  <c r="J512" i="21"/>
  <c r="K764" i="21"/>
  <c r="J463" i="21"/>
  <c r="K747" i="23"/>
  <c r="J495" i="23"/>
  <c r="M494" i="23"/>
  <c r="J443" i="23"/>
  <c r="L752" i="24"/>
  <c r="L797" i="24"/>
  <c r="L821" i="24"/>
  <c r="L823" i="23"/>
  <c r="L799" i="23"/>
  <c r="L754" i="23"/>
  <c r="K807" i="24"/>
  <c r="K831" i="24"/>
  <c r="D464" i="21"/>
  <c r="J760" i="21"/>
  <c r="D422" i="21"/>
  <c r="I743" i="24"/>
  <c r="G406" i="24"/>
  <c r="G364" i="24"/>
  <c r="H802" i="24"/>
  <c r="H826" i="24"/>
  <c r="G769" i="24" s="1"/>
  <c r="K744" i="23"/>
  <c r="F495" i="23"/>
  <c r="I494" i="23"/>
  <c r="F443" i="23"/>
  <c r="L444" i="23"/>
  <c r="J749" i="23"/>
  <c r="L399" i="23"/>
  <c r="L406" i="24"/>
  <c r="I747" i="24"/>
  <c r="L364" i="24"/>
  <c r="O512" i="21"/>
  <c r="K768" i="21"/>
  <c r="O463" i="21"/>
  <c r="K804" i="24"/>
  <c r="K828" i="24"/>
  <c r="J766" i="21"/>
  <c r="L464" i="21"/>
  <c r="L422" i="21"/>
  <c r="I830" i="24"/>
  <c r="I806" i="24"/>
  <c r="J827" i="24"/>
  <c r="J803" i="24"/>
  <c r="K823" i="24"/>
  <c r="K799" i="24"/>
  <c r="L832" i="23"/>
  <c r="Q886" i="23" s="1"/>
  <c r="S853" i="23" s="1"/>
  <c r="L808" i="23"/>
  <c r="J829" i="26"/>
  <c r="J853" i="26"/>
  <c r="O420" i="26"/>
  <c r="I771" i="26"/>
  <c r="O381" i="26"/>
  <c r="O380" i="26" s="1"/>
  <c r="O379" i="26" s="1"/>
  <c r="O378" i="26" s="1"/>
  <c r="O377" i="26" s="1"/>
  <c r="O376" i="26" s="1"/>
  <c r="O374" i="26"/>
  <c r="K461" i="26"/>
  <c r="K419" i="26"/>
  <c r="J768" i="26"/>
  <c r="K844" i="26"/>
  <c r="K820" i="26"/>
  <c r="K850" i="26"/>
  <c r="K826" i="26"/>
  <c r="C461" i="26"/>
  <c r="C419" i="26"/>
  <c r="J762" i="26"/>
  <c r="L819" i="26"/>
  <c r="L843" i="26"/>
  <c r="I512" i="26"/>
  <c r="F513" i="26"/>
  <c r="K764" i="26"/>
  <c r="F460" i="26"/>
  <c r="L461" i="26"/>
  <c r="J769" i="26"/>
  <c r="L419" i="26"/>
  <c r="D461" i="26"/>
  <c r="J763" i="26"/>
  <c r="D419" i="26"/>
  <c r="N513" i="26"/>
  <c r="K770" i="26"/>
  <c r="N460" i="26"/>
  <c r="K824" i="26"/>
  <c r="K848" i="26"/>
  <c r="M512" i="26"/>
  <c r="J513" i="26"/>
  <c r="K767" i="26"/>
  <c r="J460" i="26"/>
  <c r="G250" i="26"/>
  <c r="G375" i="26"/>
  <c r="H765" i="26"/>
  <c r="L822" i="26"/>
  <c r="L846" i="26"/>
  <c r="Q900" i="26" s="1"/>
  <c r="S846" i="26" s="1"/>
  <c r="K827" i="26"/>
  <c r="K851" i="26"/>
  <c r="K821" i="26"/>
  <c r="K845" i="26"/>
  <c r="L828" i="26"/>
  <c r="L852" i="26"/>
  <c r="Q906" i="26" s="1"/>
  <c r="S852" i="26" s="1"/>
  <c r="H461" i="26"/>
  <c r="J766" i="26"/>
  <c r="H419" i="26"/>
  <c r="L825" i="26"/>
  <c r="L849" i="26"/>
  <c r="Q903" i="26" s="1"/>
  <c r="S849" i="26" s="1"/>
  <c r="I823" i="26"/>
  <c r="I847" i="26"/>
  <c r="E512" i="26"/>
  <c r="B513" i="26"/>
  <c r="K761" i="26"/>
  <c r="B460" i="26"/>
  <c r="J824" i="21" l="1"/>
  <c r="J848" i="21"/>
  <c r="L400" i="23"/>
  <c r="I749" i="23"/>
  <c r="L359" i="23"/>
  <c r="D423" i="21"/>
  <c r="D384" i="21"/>
  <c r="D383" i="21" s="1"/>
  <c r="D382" i="21" s="1"/>
  <c r="D381" i="21" s="1"/>
  <c r="D380" i="21" s="1"/>
  <c r="D379" i="21" s="1"/>
  <c r="I760" i="21"/>
  <c r="D377" i="21"/>
  <c r="K808" i="23"/>
  <c r="K832" i="23"/>
  <c r="K809" i="23"/>
  <c r="K833" i="23"/>
  <c r="J827" i="21"/>
  <c r="J851" i="21"/>
  <c r="J807" i="23"/>
  <c r="J831" i="23"/>
  <c r="J818" i="21"/>
  <c r="J842" i="21"/>
  <c r="J806" i="23"/>
  <c r="J830" i="23"/>
  <c r="N247" i="24"/>
  <c r="N246" i="24"/>
  <c r="E748" i="24"/>
  <c r="N128" i="24"/>
  <c r="I743" i="23"/>
  <c r="D400" i="23"/>
  <c r="D359" i="23"/>
  <c r="K840" i="21"/>
  <c r="K771" i="21"/>
  <c r="K816" i="21"/>
  <c r="P406" i="24"/>
  <c r="P364" i="24"/>
  <c r="I750" i="24"/>
  <c r="H423" i="21"/>
  <c r="I763" i="21"/>
  <c r="H384" i="21"/>
  <c r="H383" i="21" s="1"/>
  <c r="H382" i="21" s="1"/>
  <c r="H381" i="21" s="1"/>
  <c r="H380" i="21" s="1"/>
  <c r="H379" i="21" s="1"/>
  <c r="H377" i="21"/>
  <c r="H129" i="24"/>
  <c r="D744" i="24"/>
  <c r="H67" i="24"/>
  <c r="K754" i="23"/>
  <c r="K799" i="23"/>
  <c r="K823" i="23"/>
  <c r="B447" i="24"/>
  <c r="J739" i="24"/>
  <c r="E446" i="24"/>
  <c r="B405" i="24"/>
  <c r="G400" i="23"/>
  <c r="I745" i="23"/>
  <c r="G359" i="23"/>
  <c r="C406" i="24"/>
  <c r="I740" i="24"/>
  <c r="C364" i="24"/>
  <c r="L423" i="21"/>
  <c r="L384" i="21"/>
  <c r="L383" i="21" s="1"/>
  <c r="L382" i="21" s="1"/>
  <c r="L381" i="21" s="1"/>
  <c r="L380" i="21" s="1"/>
  <c r="L379" i="21" s="1"/>
  <c r="I766" i="21"/>
  <c r="L377" i="21"/>
  <c r="O464" i="21"/>
  <c r="J768" i="21"/>
  <c r="O422" i="21"/>
  <c r="I829" i="24"/>
  <c r="I805" i="24"/>
  <c r="K802" i="23"/>
  <c r="K826" i="23"/>
  <c r="K805" i="23"/>
  <c r="K829" i="23"/>
  <c r="K846" i="21"/>
  <c r="K822" i="21"/>
  <c r="N444" i="23"/>
  <c r="J750" i="23"/>
  <c r="Q443" i="23"/>
  <c r="N399" i="23"/>
  <c r="D406" i="24"/>
  <c r="I741" i="24"/>
  <c r="D364" i="24"/>
  <c r="I803" i="24"/>
  <c r="I827" i="24"/>
  <c r="H806" i="24"/>
  <c r="H830" i="24"/>
  <c r="G773" i="24" s="1"/>
  <c r="K406" i="24"/>
  <c r="I746" i="24"/>
  <c r="K364" i="24"/>
  <c r="J807" i="24"/>
  <c r="J831" i="24"/>
  <c r="H400" i="23"/>
  <c r="I746" i="23"/>
  <c r="H359" i="23"/>
  <c r="P854" i="24"/>
  <c r="E802" i="24"/>
  <c r="E826" i="24"/>
  <c r="B444" i="23"/>
  <c r="J741" i="23"/>
  <c r="E443" i="23"/>
  <c r="B399" i="23"/>
  <c r="C423" i="21"/>
  <c r="C384" i="21"/>
  <c r="C383" i="21" s="1"/>
  <c r="C382" i="21" s="1"/>
  <c r="C381" i="21" s="1"/>
  <c r="C380" i="21" s="1"/>
  <c r="C379" i="21" s="1"/>
  <c r="I759" i="21"/>
  <c r="C377" i="21"/>
  <c r="J751" i="23"/>
  <c r="O444" i="23"/>
  <c r="O399" i="23"/>
  <c r="J803" i="23"/>
  <c r="J827" i="23"/>
  <c r="J762" i="21"/>
  <c r="G464" i="21"/>
  <c r="G422" i="21"/>
  <c r="I422" i="21" s="1"/>
  <c r="J822" i="24"/>
  <c r="J798" i="24"/>
  <c r="J823" i="21"/>
  <c r="J847" i="21"/>
  <c r="I446" i="24"/>
  <c r="F447" i="24"/>
  <c r="J742" i="24"/>
  <c r="F405" i="24"/>
  <c r="Q875" i="24"/>
  <c r="L834" i="24"/>
  <c r="J819" i="21"/>
  <c r="J843" i="21"/>
  <c r="L853" i="21"/>
  <c r="Q894" i="21"/>
  <c r="E463" i="21"/>
  <c r="J758" i="21"/>
  <c r="B464" i="21"/>
  <c r="B422" i="21"/>
  <c r="K800" i="23"/>
  <c r="K824" i="23"/>
  <c r="J841" i="21"/>
  <c r="J817" i="21"/>
  <c r="K849" i="21"/>
  <c r="K825" i="21"/>
  <c r="H747" i="24"/>
  <c r="L365" i="24"/>
  <c r="L245" i="24"/>
  <c r="H743" i="24"/>
  <c r="G365" i="24"/>
  <c r="G245" i="24"/>
  <c r="M463" i="21"/>
  <c r="J464" i="21"/>
  <c r="J764" i="21"/>
  <c r="J422" i="21"/>
  <c r="P400" i="23"/>
  <c r="I752" i="23"/>
  <c r="P359" i="23"/>
  <c r="M364" i="24"/>
  <c r="J365" i="24"/>
  <c r="H745" i="24"/>
  <c r="J245" i="24"/>
  <c r="O406" i="24"/>
  <c r="I749" i="24"/>
  <c r="O364" i="24"/>
  <c r="Q405" i="24"/>
  <c r="K384" i="21"/>
  <c r="K383" i="21" s="1"/>
  <c r="K382" i="21" s="1"/>
  <c r="K381" i="21" s="1"/>
  <c r="K380" i="21" s="1"/>
  <c r="K379" i="21" s="1"/>
  <c r="I765" i="21"/>
  <c r="K423" i="21"/>
  <c r="K377" i="21"/>
  <c r="K850" i="21"/>
  <c r="K826" i="21"/>
  <c r="J744" i="23"/>
  <c r="F444" i="23"/>
  <c r="I443" i="23"/>
  <c r="F399" i="23"/>
  <c r="I825" i="24"/>
  <c r="I801" i="24"/>
  <c r="L836" i="23"/>
  <c r="Q877" i="23"/>
  <c r="J747" i="23"/>
  <c r="M443" i="23"/>
  <c r="J444" i="23"/>
  <c r="J399" i="23"/>
  <c r="J810" i="23"/>
  <c r="J834" i="23"/>
  <c r="F384" i="21"/>
  <c r="F383" i="21" s="1"/>
  <c r="F382" i="21" s="1"/>
  <c r="F381" i="21" s="1"/>
  <c r="F380" i="21" s="1"/>
  <c r="F379" i="21" s="1"/>
  <c r="I761" i="21"/>
  <c r="F423" i="21"/>
  <c r="F377" i="21"/>
  <c r="K400" i="23"/>
  <c r="I748" i="23"/>
  <c r="K359" i="23"/>
  <c r="J823" i="24"/>
  <c r="J799" i="24"/>
  <c r="J825" i="23"/>
  <c r="J801" i="23"/>
  <c r="J828" i="24"/>
  <c r="J804" i="24"/>
  <c r="R511" i="21"/>
  <c r="J808" i="24"/>
  <c r="J832" i="24"/>
  <c r="J804" i="23"/>
  <c r="J828" i="23"/>
  <c r="J845" i="21"/>
  <c r="J821" i="21"/>
  <c r="C444" i="23"/>
  <c r="J742" i="23"/>
  <c r="C399" i="23"/>
  <c r="R494" i="23"/>
  <c r="K752" i="24"/>
  <c r="K797" i="24"/>
  <c r="K821" i="24"/>
  <c r="K844" i="21"/>
  <c r="K820" i="21"/>
  <c r="Q463" i="21"/>
  <c r="J767" i="21"/>
  <c r="N464" i="21"/>
  <c r="N422" i="21"/>
  <c r="P384" i="21"/>
  <c r="P383" i="21" s="1"/>
  <c r="P382" i="21" s="1"/>
  <c r="P381" i="21" s="1"/>
  <c r="P380" i="21" s="1"/>
  <c r="P379" i="21" s="1"/>
  <c r="I769" i="21"/>
  <c r="P423" i="21"/>
  <c r="P377" i="21"/>
  <c r="K800" i="24"/>
  <c r="K824" i="24"/>
  <c r="O250" i="26"/>
  <c r="H771" i="26"/>
  <c r="O375" i="26"/>
  <c r="I829" i="26"/>
  <c r="I853" i="26"/>
  <c r="J820" i="26"/>
  <c r="J844" i="26"/>
  <c r="K381" i="26"/>
  <c r="K380" i="26" s="1"/>
  <c r="K379" i="26" s="1"/>
  <c r="K378" i="26" s="1"/>
  <c r="K377" i="26" s="1"/>
  <c r="K376" i="26" s="1"/>
  <c r="I768" i="26"/>
  <c r="K420" i="26"/>
  <c r="K374" i="26"/>
  <c r="C381" i="26"/>
  <c r="C380" i="26" s="1"/>
  <c r="C379" i="26" s="1"/>
  <c r="C378" i="26" s="1"/>
  <c r="C377" i="26" s="1"/>
  <c r="C376" i="26" s="1"/>
  <c r="I762" i="26"/>
  <c r="C420" i="26"/>
  <c r="C374" i="26"/>
  <c r="J850" i="26"/>
  <c r="J826" i="26"/>
  <c r="K819" i="26"/>
  <c r="K843" i="26"/>
  <c r="J824" i="26"/>
  <c r="J848" i="26"/>
  <c r="H823" i="26"/>
  <c r="H847" i="26"/>
  <c r="G790" i="26" s="1"/>
  <c r="G129" i="26"/>
  <c r="G251" i="26"/>
  <c r="G252" i="26"/>
  <c r="E765" i="26"/>
  <c r="K825" i="26"/>
  <c r="K849" i="26"/>
  <c r="K828" i="26"/>
  <c r="K852" i="26"/>
  <c r="J821" i="26"/>
  <c r="J845" i="26"/>
  <c r="L420" i="26"/>
  <c r="L381" i="26"/>
  <c r="L380" i="26" s="1"/>
  <c r="L379" i="26" s="1"/>
  <c r="L378" i="26" s="1"/>
  <c r="L377" i="26" s="1"/>
  <c r="L376" i="26" s="1"/>
  <c r="I769" i="26"/>
  <c r="L374" i="26"/>
  <c r="K822" i="26"/>
  <c r="K846" i="26"/>
  <c r="Q897" i="26"/>
  <c r="E460" i="26"/>
  <c r="B461" i="26"/>
  <c r="J761" i="26"/>
  <c r="B419" i="26"/>
  <c r="H381" i="26"/>
  <c r="H380" i="26" s="1"/>
  <c r="H379" i="26" s="1"/>
  <c r="H378" i="26" s="1"/>
  <c r="H377" i="26" s="1"/>
  <c r="H376" i="26" s="1"/>
  <c r="H420" i="26"/>
  <c r="I766" i="26"/>
  <c r="H374" i="26"/>
  <c r="M460" i="26"/>
  <c r="J461" i="26"/>
  <c r="J767" i="26"/>
  <c r="J419" i="26"/>
  <c r="N461" i="26"/>
  <c r="J770" i="26"/>
  <c r="N419" i="26"/>
  <c r="D420" i="26"/>
  <c r="D381" i="26"/>
  <c r="D380" i="26" s="1"/>
  <c r="D379" i="26" s="1"/>
  <c r="D378" i="26" s="1"/>
  <c r="D377" i="26" s="1"/>
  <c r="D376" i="26" s="1"/>
  <c r="I763" i="26"/>
  <c r="D374" i="26"/>
  <c r="J851" i="26"/>
  <c r="J827" i="26"/>
  <c r="I460" i="26"/>
  <c r="F461" i="26"/>
  <c r="J764" i="26"/>
  <c r="F419" i="26"/>
  <c r="K834" i="24" l="1"/>
  <c r="C365" i="24"/>
  <c r="H740" i="24"/>
  <c r="C245" i="24"/>
  <c r="I803" i="23"/>
  <c r="I827" i="23"/>
  <c r="J821" i="24"/>
  <c r="J752" i="24"/>
  <c r="J797" i="24"/>
  <c r="H763" i="21"/>
  <c r="H378" i="21"/>
  <c r="H256" i="21"/>
  <c r="I808" i="24"/>
  <c r="I832" i="24"/>
  <c r="I825" i="23"/>
  <c r="I801" i="23"/>
  <c r="J754" i="23"/>
  <c r="J799" i="23"/>
  <c r="J823" i="23"/>
  <c r="I804" i="23"/>
  <c r="I828" i="23"/>
  <c r="D365" i="24"/>
  <c r="H741" i="24"/>
  <c r="D245" i="24"/>
  <c r="J850" i="21"/>
  <c r="J826" i="21"/>
  <c r="I822" i="24"/>
  <c r="I798" i="24"/>
  <c r="H68" i="24"/>
  <c r="C744" i="24"/>
  <c r="H32" i="24"/>
  <c r="P365" i="24"/>
  <c r="H750" i="24"/>
  <c r="P245" i="24"/>
  <c r="I827" i="21"/>
  <c r="I851" i="21"/>
  <c r="J825" i="21"/>
  <c r="J849" i="21"/>
  <c r="K360" i="23"/>
  <c r="H748" i="23"/>
  <c r="K246" i="23"/>
  <c r="O365" i="24"/>
  <c r="H749" i="24"/>
  <c r="O245" i="24"/>
  <c r="Q364" i="24"/>
  <c r="H803" i="24"/>
  <c r="H827" i="24"/>
  <c r="G770" i="24" s="1"/>
  <c r="I834" i="23"/>
  <c r="I810" i="23"/>
  <c r="M422" i="21"/>
  <c r="J384" i="21"/>
  <c r="J383" i="21" s="1"/>
  <c r="J382" i="21" s="1"/>
  <c r="J381" i="21" s="1"/>
  <c r="J380" i="21" s="1"/>
  <c r="J379" i="21" s="1"/>
  <c r="I764" i="21"/>
  <c r="J423" i="21"/>
  <c r="J377" i="21"/>
  <c r="G247" i="24"/>
  <c r="E743" i="24"/>
  <c r="G246" i="24"/>
  <c r="G128" i="24"/>
  <c r="R463" i="21"/>
  <c r="J824" i="24"/>
  <c r="J800" i="24"/>
  <c r="J844" i="21"/>
  <c r="J820" i="21"/>
  <c r="C378" i="21"/>
  <c r="H759" i="21"/>
  <c r="C256" i="21"/>
  <c r="B400" i="23"/>
  <c r="I741" i="23"/>
  <c r="E399" i="23"/>
  <c r="B359" i="23"/>
  <c r="K365" i="24"/>
  <c r="H746" i="24"/>
  <c r="K245" i="24"/>
  <c r="I824" i="21"/>
  <c r="I848" i="21"/>
  <c r="G360" i="23"/>
  <c r="H745" i="23"/>
  <c r="G246" i="23"/>
  <c r="R446" i="24"/>
  <c r="I818" i="21"/>
  <c r="I842" i="21"/>
  <c r="I831" i="23"/>
  <c r="I807" i="23"/>
  <c r="C400" i="23"/>
  <c r="I742" i="23"/>
  <c r="C359" i="23"/>
  <c r="I830" i="23"/>
  <c r="I806" i="23"/>
  <c r="I823" i="21"/>
  <c r="I847" i="21"/>
  <c r="I831" i="24"/>
  <c r="I807" i="24"/>
  <c r="J822" i="21"/>
  <c r="J846" i="21"/>
  <c r="H805" i="24"/>
  <c r="H829" i="24"/>
  <c r="G772" i="24" s="1"/>
  <c r="B423" i="21"/>
  <c r="B384" i="21"/>
  <c r="B383" i="21" s="1"/>
  <c r="B382" i="21" s="1"/>
  <c r="B381" i="21" s="1"/>
  <c r="B380" i="21" s="1"/>
  <c r="B379" i="21" s="1"/>
  <c r="E422" i="21"/>
  <c r="I758" i="21"/>
  <c r="B377" i="21"/>
  <c r="S865" i="21"/>
  <c r="S878" i="21" s="1"/>
  <c r="Q907" i="21"/>
  <c r="I751" i="23"/>
  <c r="O400" i="23"/>
  <c r="O359" i="23"/>
  <c r="I817" i="21"/>
  <c r="I841" i="21"/>
  <c r="R443" i="23"/>
  <c r="H360" i="23"/>
  <c r="H746" i="23"/>
  <c r="H246" i="23"/>
  <c r="I828" i="24"/>
  <c r="I804" i="24"/>
  <c r="N400" i="23"/>
  <c r="Q399" i="23"/>
  <c r="I750" i="23"/>
  <c r="N359" i="23"/>
  <c r="O423" i="21"/>
  <c r="I768" i="21"/>
  <c r="O384" i="21"/>
  <c r="O383" i="21" s="1"/>
  <c r="O382" i="21" s="1"/>
  <c r="O381" i="21" s="1"/>
  <c r="O380" i="21" s="1"/>
  <c r="O379" i="21" s="1"/>
  <c r="O377" i="21"/>
  <c r="P378" i="21"/>
  <c r="H769" i="21"/>
  <c r="P256" i="21"/>
  <c r="N423" i="21"/>
  <c r="N384" i="21"/>
  <c r="N383" i="21" s="1"/>
  <c r="N382" i="21" s="1"/>
  <c r="N381" i="21" s="1"/>
  <c r="N380" i="21" s="1"/>
  <c r="N379" i="21" s="1"/>
  <c r="Q422" i="21"/>
  <c r="I767" i="21"/>
  <c r="N377" i="21"/>
  <c r="J800" i="23"/>
  <c r="J824" i="23"/>
  <c r="I819" i="21"/>
  <c r="I843" i="21"/>
  <c r="J829" i="23"/>
  <c r="J805" i="23"/>
  <c r="J802" i="23"/>
  <c r="J826" i="23"/>
  <c r="H801" i="24"/>
  <c r="H825" i="24"/>
  <c r="G768" i="24" s="1"/>
  <c r="S843" i="24"/>
  <c r="S856" i="24" s="1"/>
  <c r="Q888" i="24"/>
  <c r="G423" i="21"/>
  <c r="G384" i="21"/>
  <c r="G383" i="21" s="1"/>
  <c r="G382" i="21" s="1"/>
  <c r="G381" i="21" s="1"/>
  <c r="G380" i="21" s="1"/>
  <c r="G379" i="21" s="1"/>
  <c r="I762" i="21"/>
  <c r="G377" i="21"/>
  <c r="I377" i="21" s="1"/>
  <c r="K853" i="21"/>
  <c r="D748" i="24"/>
  <c r="N129" i="24"/>
  <c r="N67" i="24"/>
  <c r="F378" i="21"/>
  <c r="H761" i="21"/>
  <c r="F256" i="21"/>
  <c r="J400" i="23"/>
  <c r="I747" i="23"/>
  <c r="M399" i="23"/>
  <c r="J359" i="23"/>
  <c r="S844" i="23"/>
  <c r="S857" i="23" s="1"/>
  <c r="Q890" i="23"/>
  <c r="F400" i="23"/>
  <c r="I399" i="23"/>
  <c r="I744" i="23"/>
  <c r="F359" i="23"/>
  <c r="K378" i="21"/>
  <c r="H765" i="21"/>
  <c r="K256" i="21"/>
  <c r="M245" i="24"/>
  <c r="J246" i="24"/>
  <c r="J247" i="24"/>
  <c r="E745" i="24"/>
  <c r="J128" i="24"/>
  <c r="P360" i="23"/>
  <c r="H752" i="23"/>
  <c r="P246" i="23"/>
  <c r="L246" i="24"/>
  <c r="L128" i="24"/>
  <c r="E747" i="24"/>
  <c r="L247" i="24"/>
  <c r="J771" i="21"/>
  <c r="J840" i="21"/>
  <c r="J816" i="21"/>
  <c r="I405" i="24"/>
  <c r="F406" i="24"/>
  <c r="I742" i="24"/>
  <c r="F364" i="24"/>
  <c r="J809" i="23"/>
  <c r="J833" i="23"/>
  <c r="I823" i="24"/>
  <c r="I799" i="24"/>
  <c r="J808" i="23"/>
  <c r="J832" i="23"/>
  <c r="L378" i="21"/>
  <c r="H766" i="21"/>
  <c r="L256" i="21"/>
  <c r="E405" i="24"/>
  <c r="B406" i="24"/>
  <c r="I739" i="24"/>
  <c r="B364" i="24"/>
  <c r="K836" i="23"/>
  <c r="D802" i="24"/>
  <c r="D826" i="24"/>
  <c r="O854" i="24"/>
  <c r="I821" i="21"/>
  <c r="I845" i="21"/>
  <c r="D360" i="23"/>
  <c r="H743" i="23"/>
  <c r="D246" i="23"/>
  <c r="E830" i="24"/>
  <c r="P858" i="24"/>
  <c r="E806" i="24"/>
  <c r="D378" i="21"/>
  <c r="H760" i="21"/>
  <c r="D256" i="21"/>
  <c r="H749" i="23"/>
  <c r="L360" i="23"/>
  <c r="L246" i="23"/>
  <c r="O129" i="26"/>
  <c r="O252" i="26"/>
  <c r="O251" i="26"/>
  <c r="E771" i="26"/>
  <c r="H829" i="26"/>
  <c r="H853" i="26"/>
  <c r="G796" i="26" s="1"/>
  <c r="C375" i="26"/>
  <c r="H762" i="26"/>
  <c r="C250" i="26"/>
  <c r="I820" i="26"/>
  <c r="I844" i="26"/>
  <c r="K250" i="26"/>
  <c r="K375" i="26"/>
  <c r="H768" i="26"/>
  <c r="I826" i="26"/>
  <c r="I850" i="26"/>
  <c r="F381" i="26"/>
  <c r="F380" i="26" s="1"/>
  <c r="F379" i="26" s="1"/>
  <c r="F378" i="26" s="1"/>
  <c r="F377" i="26" s="1"/>
  <c r="F376" i="26" s="1"/>
  <c r="I419" i="26"/>
  <c r="F420" i="26"/>
  <c r="I764" i="26"/>
  <c r="F374" i="26"/>
  <c r="D375" i="26"/>
  <c r="H763" i="26"/>
  <c r="D250" i="26"/>
  <c r="J828" i="26"/>
  <c r="J852" i="26"/>
  <c r="J825" i="26"/>
  <c r="J849" i="26"/>
  <c r="I824" i="26"/>
  <c r="I848" i="26"/>
  <c r="J819" i="26"/>
  <c r="J843" i="26"/>
  <c r="S843" i="26"/>
  <c r="I827" i="26"/>
  <c r="I851" i="26"/>
  <c r="E823" i="26"/>
  <c r="E847" i="26"/>
  <c r="P875" i="26"/>
  <c r="J822" i="26"/>
  <c r="J846" i="26"/>
  <c r="I821" i="26"/>
  <c r="I845" i="26"/>
  <c r="N381" i="26"/>
  <c r="N380" i="26" s="1"/>
  <c r="N379" i="26" s="1"/>
  <c r="N378" i="26" s="1"/>
  <c r="N377" i="26" s="1"/>
  <c r="N376" i="26" s="1"/>
  <c r="N420" i="26"/>
  <c r="I770" i="26"/>
  <c r="N374" i="26"/>
  <c r="M419" i="26"/>
  <c r="J420" i="26"/>
  <c r="J381" i="26"/>
  <c r="J380" i="26" s="1"/>
  <c r="J379" i="26" s="1"/>
  <c r="J378" i="26" s="1"/>
  <c r="J377" i="26" s="1"/>
  <c r="J376" i="26" s="1"/>
  <c r="I767" i="26"/>
  <c r="J374" i="26"/>
  <c r="H375" i="26"/>
  <c r="H766" i="26"/>
  <c r="H250" i="26"/>
  <c r="E419" i="26"/>
  <c r="B420" i="26"/>
  <c r="B381" i="26"/>
  <c r="B380" i="26" s="1"/>
  <c r="B379" i="26" s="1"/>
  <c r="B378" i="26" s="1"/>
  <c r="B377" i="26" s="1"/>
  <c r="B376" i="26" s="1"/>
  <c r="I761" i="26"/>
  <c r="B374" i="26"/>
  <c r="L375" i="26"/>
  <c r="H769" i="26"/>
  <c r="L250" i="26"/>
  <c r="G65" i="26"/>
  <c r="G130" i="26"/>
  <c r="D765" i="26"/>
  <c r="H831" i="23" l="1"/>
  <c r="G774" i="23" s="1"/>
  <c r="H807" i="23"/>
  <c r="H801" i="23"/>
  <c r="H825" i="23"/>
  <c r="G768" i="23" s="1"/>
  <c r="I821" i="24"/>
  <c r="I752" i="24"/>
  <c r="I797" i="24"/>
  <c r="P247" i="23"/>
  <c r="P248" i="23"/>
  <c r="E752" i="23"/>
  <c r="P132" i="23"/>
  <c r="E803" i="24"/>
  <c r="E827" i="24"/>
  <c r="P855" i="24"/>
  <c r="E765" i="21"/>
  <c r="K257" i="21"/>
  <c r="K258" i="21"/>
  <c r="K133" i="21"/>
  <c r="I826" i="23"/>
  <c r="I802" i="23"/>
  <c r="N68" i="24"/>
  <c r="C748" i="24"/>
  <c r="N32" i="24"/>
  <c r="I820" i="21"/>
  <c r="I844" i="21"/>
  <c r="H827" i="21"/>
  <c r="H851" i="21"/>
  <c r="G794" i="21" s="1"/>
  <c r="O378" i="21"/>
  <c r="H768" i="21"/>
  <c r="O256" i="21"/>
  <c r="I832" i="23"/>
  <c r="I808" i="23"/>
  <c r="H804" i="23"/>
  <c r="H828" i="23"/>
  <c r="G771" i="23" s="1"/>
  <c r="O360" i="23"/>
  <c r="H751" i="23"/>
  <c r="O246" i="23"/>
  <c r="B378" i="21"/>
  <c r="H758" i="21"/>
  <c r="E377" i="21"/>
  <c r="B256" i="21"/>
  <c r="I824" i="23"/>
  <c r="I800" i="23"/>
  <c r="E359" i="23"/>
  <c r="H741" i="23"/>
  <c r="B360" i="23"/>
  <c r="B246" i="23"/>
  <c r="C257" i="21"/>
  <c r="C258" i="21"/>
  <c r="E759" i="21"/>
  <c r="C133" i="21"/>
  <c r="D247" i="23"/>
  <c r="D248" i="23"/>
  <c r="E743" i="23"/>
  <c r="D132" i="23"/>
  <c r="E364" i="24"/>
  <c r="H739" i="24"/>
  <c r="B365" i="24"/>
  <c r="B245" i="24"/>
  <c r="D745" i="24"/>
  <c r="J129" i="24"/>
  <c r="J67" i="24"/>
  <c r="I359" i="23"/>
  <c r="F360" i="23"/>
  <c r="H744" i="23"/>
  <c r="F246" i="23"/>
  <c r="I829" i="23"/>
  <c r="I805" i="23"/>
  <c r="D806" i="24"/>
  <c r="D830" i="24"/>
  <c r="O858" i="24"/>
  <c r="G378" i="21"/>
  <c r="H762" i="21"/>
  <c r="G256" i="21"/>
  <c r="I825" i="21"/>
  <c r="I849" i="21"/>
  <c r="E769" i="21"/>
  <c r="P257" i="21"/>
  <c r="P258" i="21"/>
  <c r="P133" i="21"/>
  <c r="Q359" i="23"/>
  <c r="N360" i="23"/>
  <c r="H750" i="23"/>
  <c r="N246" i="23"/>
  <c r="H247" i="23"/>
  <c r="E746" i="23"/>
  <c r="H248" i="23"/>
  <c r="H132" i="23"/>
  <c r="R422" i="21"/>
  <c r="G248" i="23"/>
  <c r="E745" i="23"/>
  <c r="G247" i="23"/>
  <c r="G132" i="23"/>
  <c r="K246" i="24"/>
  <c r="K247" i="24"/>
  <c r="E746" i="24"/>
  <c r="K128" i="24"/>
  <c r="M128" i="24" s="1"/>
  <c r="I799" i="23"/>
  <c r="I754" i="23"/>
  <c r="I823" i="23"/>
  <c r="H22" i="24"/>
  <c r="H33" i="24"/>
  <c r="B744" i="24"/>
  <c r="D246" i="24"/>
  <c r="D247" i="24"/>
  <c r="E741" i="24"/>
  <c r="D128" i="24"/>
  <c r="H821" i="21"/>
  <c r="H845" i="21"/>
  <c r="G788" i="21" s="1"/>
  <c r="C360" i="23"/>
  <c r="H742" i="23"/>
  <c r="C246" i="23"/>
  <c r="H827" i="23"/>
  <c r="G770" i="23" s="1"/>
  <c r="H803" i="23"/>
  <c r="H804" i="24"/>
  <c r="H828" i="24"/>
  <c r="G771" i="24" s="1"/>
  <c r="E825" i="24"/>
  <c r="P853" i="24"/>
  <c r="E801" i="24"/>
  <c r="I822" i="21"/>
  <c r="I846" i="21"/>
  <c r="K247" i="23"/>
  <c r="K248" i="23"/>
  <c r="E748" i="23"/>
  <c r="K132" i="23"/>
  <c r="P246" i="24"/>
  <c r="P247" i="24"/>
  <c r="P128" i="24"/>
  <c r="E750" i="24"/>
  <c r="C802" i="24"/>
  <c r="C826" i="24"/>
  <c r="N854" i="24"/>
  <c r="H799" i="24"/>
  <c r="H823" i="24"/>
  <c r="G766" i="24" s="1"/>
  <c r="C247" i="24"/>
  <c r="C246" i="24"/>
  <c r="E740" i="24"/>
  <c r="C128" i="24"/>
  <c r="D258" i="21"/>
  <c r="E760" i="21"/>
  <c r="D257" i="21"/>
  <c r="D133" i="21"/>
  <c r="L257" i="21"/>
  <c r="L258" i="21"/>
  <c r="E766" i="21"/>
  <c r="L133" i="21"/>
  <c r="I364" i="24"/>
  <c r="F365" i="24"/>
  <c r="H742" i="24"/>
  <c r="F245" i="24"/>
  <c r="E829" i="24"/>
  <c r="P857" i="24"/>
  <c r="E805" i="24"/>
  <c r="H834" i="23"/>
  <c r="G777" i="23" s="1"/>
  <c r="H810" i="23"/>
  <c r="H823" i="21"/>
  <c r="H847" i="21"/>
  <c r="G790" i="21" s="1"/>
  <c r="M359" i="23"/>
  <c r="J360" i="23"/>
  <c r="H747" i="23"/>
  <c r="J246" i="23"/>
  <c r="I256" i="21"/>
  <c r="E761" i="21"/>
  <c r="F257" i="21"/>
  <c r="F258" i="21"/>
  <c r="F133" i="21"/>
  <c r="O246" i="24"/>
  <c r="O247" i="24"/>
  <c r="E749" i="24"/>
  <c r="O128" i="24"/>
  <c r="Q245" i="24"/>
  <c r="H830" i="23"/>
  <c r="G773" i="23" s="1"/>
  <c r="H806" i="23"/>
  <c r="H808" i="24"/>
  <c r="H832" i="24"/>
  <c r="G775" i="24" s="1"/>
  <c r="J836" i="23"/>
  <c r="H257" i="21"/>
  <c r="H258" i="21"/>
  <c r="E763" i="21"/>
  <c r="H133" i="21"/>
  <c r="H798" i="24"/>
  <c r="H822" i="24"/>
  <c r="G765" i="24" s="1"/>
  <c r="L247" i="23"/>
  <c r="E749" i="23"/>
  <c r="L248" i="23"/>
  <c r="L132" i="23"/>
  <c r="H842" i="21"/>
  <c r="G785" i="21" s="1"/>
  <c r="H818" i="21"/>
  <c r="R405" i="24"/>
  <c r="H824" i="21"/>
  <c r="H848" i="21"/>
  <c r="G791" i="21" s="1"/>
  <c r="I824" i="24"/>
  <c r="I800" i="24"/>
  <c r="J853" i="21"/>
  <c r="L129" i="24"/>
  <c r="D747" i="24"/>
  <c r="L67" i="24"/>
  <c r="H843" i="21"/>
  <c r="G786" i="21" s="1"/>
  <c r="H819" i="21"/>
  <c r="N378" i="21"/>
  <c r="H767" i="21"/>
  <c r="Q377" i="21"/>
  <c r="N256" i="21"/>
  <c r="I826" i="21"/>
  <c r="I850" i="21"/>
  <c r="I809" i="23"/>
  <c r="I833" i="23"/>
  <c r="I816" i="21"/>
  <c r="I840" i="21"/>
  <c r="I771" i="21"/>
  <c r="R399" i="23"/>
  <c r="H817" i="21"/>
  <c r="H841" i="21"/>
  <c r="G784" i="21" s="1"/>
  <c r="G129" i="24"/>
  <c r="D743" i="24"/>
  <c r="G67" i="24"/>
  <c r="J378" i="21"/>
  <c r="M377" i="21"/>
  <c r="H764" i="21"/>
  <c r="J256" i="21"/>
  <c r="H807" i="24"/>
  <c r="H831" i="24"/>
  <c r="G774" i="24" s="1"/>
  <c r="J834" i="24"/>
  <c r="O130" i="26"/>
  <c r="O65" i="26"/>
  <c r="D771" i="26"/>
  <c r="E829" i="26"/>
  <c r="P881" i="26"/>
  <c r="E853" i="26"/>
  <c r="C252" i="26"/>
  <c r="E762" i="26"/>
  <c r="C251" i="26"/>
  <c r="C129" i="26"/>
  <c r="H850" i="26"/>
  <c r="G793" i="26" s="1"/>
  <c r="H826" i="26"/>
  <c r="K251" i="26"/>
  <c r="K252" i="26"/>
  <c r="E768" i="26"/>
  <c r="K129" i="26"/>
  <c r="H820" i="26"/>
  <c r="H844" i="26"/>
  <c r="G787" i="26" s="1"/>
  <c r="G30" i="26"/>
  <c r="G66" i="26"/>
  <c r="C765" i="26"/>
  <c r="L129" i="26"/>
  <c r="L251" i="26"/>
  <c r="L252" i="26"/>
  <c r="E769" i="26"/>
  <c r="H851" i="26"/>
  <c r="G794" i="26" s="1"/>
  <c r="H827" i="26"/>
  <c r="E374" i="26"/>
  <c r="B375" i="26"/>
  <c r="H761" i="26"/>
  <c r="B250" i="26"/>
  <c r="H824" i="26"/>
  <c r="H848" i="26"/>
  <c r="G791" i="26" s="1"/>
  <c r="M374" i="26"/>
  <c r="J375" i="26"/>
  <c r="H767" i="26"/>
  <c r="J250" i="26"/>
  <c r="I828" i="26"/>
  <c r="I852" i="26"/>
  <c r="D129" i="26"/>
  <c r="D251" i="26"/>
  <c r="D252" i="26"/>
  <c r="E763" i="26"/>
  <c r="I822" i="26"/>
  <c r="I846" i="26"/>
  <c r="D823" i="26"/>
  <c r="D847" i="26"/>
  <c r="O875" i="26"/>
  <c r="I819" i="26"/>
  <c r="I843" i="26"/>
  <c r="H129" i="26"/>
  <c r="H251" i="26"/>
  <c r="H252" i="26"/>
  <c r="E766" i="26"/>
  <c r="I825" i="26"/>
  <c r="I849" i="26"/>
  <c r="N375" i="26"/>
  <c r="H770" i="26"/>
  <c r="N250" i="26"/>
  <c r="H821" i="26"/>
  <c r="H845" i="26"/>
  <c r="G788" i="26" s="1"/>
  <c r="F375" i="26"/>
  <c r="I374" i="26"/>
  <c r="H764" i="26"/>
  <c r="F250" i="26"/>
  <c r="I836" i="23" l="1"/>
  <c r="E821" i="21"/>
  <c r="E845" i="21"/>
  <c r="P873" i="21"/>
  <c r="F134" i="21"/>
  <c r="D761" i="21"/>
  <c r="F67" i="21"/>
  <c r="E824" i="21"/>
  <c r="P876" i="21"/>
  <c r="E848" i="21"/>
  <c r="F247" i="23"/>
  <c r="F248" i="23"/>
  <c r="I246" i="23"/>
  <c r="E744" i="23"/>
  <c r="F132" i="23"/>
  <c r="J68" i="24"/>
  <c r="C745" i="24"/>
  <c r="J32" i="24"/>
  <c r="R377" i="21"/>
  <c r="C806" i="24"/>
  <c r="N858" i="24"/>
  <c r="C830" i="24"/>
  <c r="J257" i="21"/>
  <c r="E764" i="21"/>
  <c r="M256" i="21"/>
  <c r="J258" i="21"/>
  <c r="J133" i="21"/>
  <c r="E831" i="24"/>
  <c r="P859" i="24"/>
  <c r="E807" i="24"/>
  <c r="M246" i="23"/>
  <c r="J247" i="23"/>
  <c r="J248" i="23"/>
  <c r="E747" i="23"/>
  <c r="J132" i="23"/>
  <c r="C248" i="23"/>
  <c r="C247" i="23"/>
  <c r="E742" i="23"/>
  <c r="C132" i="23"/>
  <c r="D741" i="24"/>
  <c r="D129" i="24"/>
  <c r="D67" i="24"/>
  <c r="E803" i="23"/>
  <c r="E827" i="23"/>
  <c r="P855" i="23"/>
  <c r="P856" i="23"/>
  <c r="E828" i="23"/>
  <c r="E804" i="23"/>
  <c r="H826" i="23"/>
  <c r="G769" i="23" s="1"/>
  <c r="H802" i="23"/>
  <c r="H752" i="24"/>
  <c r="H797" i="24"/>
  <c r="H821" i="24"/>
  <c r="D743" i="23"/>
  <c r="D133" i="23"/>
  <c r="D66" i="23"/>
  <c r="C134" i="21"/>
  <c r="D759" i="21"/>
  <c r="C67" i="21"/>
  <c r="E246" i="23"/>
  <c r="B247" i="23"/>
  <c r="E741" i="23"/>
  <c r="B248" i="23"/>
  <c r="B132" i="23"/>
  <c r="H771" i="21"/>
  <c r="H816" i="21"/>
  <c r="H840" i="21"/>
  <c r="K134" i="21"/>
  <c r="D765" i="21"/>
  <c r="K67" i="21"/>
  <c r="P862" i="23"/>
  <c r="E834" i="23"/>
  <c r="E810" i="23"/>
  <c r="H846" i="21"/>
  <c r="G789" i="21" s="1"/>
  <c r="H822" i="21"/>
  <c r="D801" i="24"/>
  <c r="D825" i="24"/>
  <c r="O853" i="24"/>
  <c r="C747" i="24"/>
  <c r="L68" i="24"/>
  <c r="L32" i="24"/>
  <c r="H829" i="23"/>
  <c r="G772" i="23" s="1"/>
  <c r="H805" i="23"/>
  <c r="P860" i="24"/>
  <c r="E808" i="24"/>
  <c r="E832" i="24"/>
  <c r="K133" i="23"/>
  <c r="D748" i="23"/>
  <c r="K66" i="23"/>
  <c r="H824" i="23"/>
  <c r="G767" i="23" s="1"/>
  <c r="H800" i="23"/>
  <c r="E799" i="24"/>
  <c r="E823" i="24"/>
  <c r="P851" i="24"/>
  <c r="E827" i="21"/>
  <c r="E851" i="21"/>
  <c r="P879" i="21"/>
  <c r="H820" i="21"/>
  <c r="H844" i="21"/>
  <c r="G787" i="21" s="1"/>
  <c r="R364" i="24"/>
  <c r="P853" i="23"/>
  <c r="E825" i="23"/>
  <c r="E801" i="23"/>
  <c r="E817" i="21"/>
  <c r="E841" i="21"/>
  <c r="P869" i="21"/>
  <c r="O247" i="23"/>
  <c r="O248" i="23"/>
  <c r="E751" i="23"/>
  <c r="O132" i="23"/>
  <c r="O258" i="21"/>
  <c r="E768" i="21"/>
  <c r="O257" i="21"/>
  <c r="O133" i="21"/>
  <c r="D749" i="24"/>
  <c r="O129" i="24"/>
  <c r="O67" i="24"/>
  <c r="Q128" i="24"/>
  <c r="H800" i="24"/>
  <c r="H824" i="24"/>
  <c r="G767" i="24" s="1"/>
  <c r="E798" i="24"/>
  <c r="E822" i="24"/>
  <c r="P850" i="24"/>
  <c r="E828" i="24"/>
  <c r="E804" i="24"/>
  <c r="P856" i="24"/>
  <c r="H832" i="23"/>
  <c r="G775" i="23" s="1"/>
  <c r="H808" i="23"/>
  <c r="R359" i="23"/>
  <c r="E823" i="21"/>
  <c r="P875" i="21"/>
  <c r="E847" i="21"/>
  <c r="P133" i="23"/>
  <c r="D752" i="23"/>
  <c r="P66" i="23"/>
  <c r="C743" i="24"/>
  <c r="G68" i="24"/>
  <c r="G32" i="24"/>
  <c r="H825" i="21"/>
  <c r="H849" i="21"/>
  <c r="G792" i="21" s="1"/>
  <c r="L133" i="23"/>
  <c r="D749" i="23"/>
  <c r="L66" i="23"/>
  <c r="E818" i="21"/>
  <c r="E842" i="21"/>
  <c r="P870" i="21"/>
  <c r="E769" i="24"/>
  <c r="F769" i="24" s="1"/>
  <c r="H769" i="24" s="1"/>
  <c r="L769" i="24"/>
  <c r="B826" i="24"/>
  <c r="R826" i="24" s="1"/>
  <c r="H29" i="25" s="1"/>
  <c r="B802" i="24"/>
  <c r="M854" i="24"/>
  <c r="R854" i="24" s="1"/>
  <c r="G257" i="21"/>
  <c r="G258" i="21"/>
  <c r="E762" i="21"/>
  <c r="G133" i="21"/>
  <c r="I853" i="21"/>
  <c r="N257" i="21"/>
  <c r="N258" i="21"/>
  <c r="Q256" i="21"/>
  <c r="E767" i="21"/>
  <c r="N133" i="21"/>
  <c r="D805" i="24"/>
  <c r="D829" i="24"/>
  <c r="O857" i="24"/>
  <c r="P859" i="23"/>
  <c r="E807" i="23"/>
  <c r="E831" i="23"/>
  <c r="D763" i="21"/>
  <c r="H134" i="21"/>
  <c r="H67" i="21"/>
  <c r="E819" i="21"/>
  <c r="P871" i="21"/>
  <c r="E843" i="21"/>
  <c r="I245" i="24"/>
  <c r="F246" i="24"/>
  <c r="F247" i="24"/>
  <c r="E742" i="24"/>
  <c r="F128" i="24"/>
  <c r="L134" i="21"/>
  <c r="D766" i="21"/>
  <c r="L67" i="21"/>
  <c r="D134" i="21"/>
  <c r="D760" i="21"/>
  <c r="D67" i="21"/>
  <c r="D740" i="24"/>
  <c r="C129" i="24"/>
  <c r="C67" i="24"/>
  <c r="P129" i="24"/>
  <c r="D750" i="24"/>
  <c r="P67" i="24"/>
  <c r="E830" i="23"/>
  <c r="P858" i="23"/>
  <c r="E806" i="23"/>
  <c r="K129" i="24"/>
  <c r="D746" i="24"/>
  <c r="K67" i="24"/>
  <c r="M67" i="24" s="1"/>
  <c r="G133" i="23"/>
  <c r="D745" i="23"/>
  <c r="G66" i="23"/>
  <c r="H133" i="23"/>
  <c r="D746" i="23"/>
  <c r="H66" i="23"/>
  <c r="Q246" i="23"/>
  <c r="N248" i="23"/>
  <c r="N247" i="23"/>
  <c r="E750" i="23"/>
  <c r="N132" i="23"/>
  <c r="P134" i="21"/>
  <c r="D769" i="21"/>
  <c r="P67" i="21"/>
  <c r="D803" i="24"/>
  <c r="O855" i="24"/>
  <c r="D827" i="24"/>
  <c r="E245" i="24"/>
  <c r="B246" i="24"/>
  <c r="B247" i="24"/>
  <c r="E739" i="24"/>
  <c r="B128" i="24"/>
  <c r="H823" i="23"/>
  <c r="H754" i="23"/>
  <c r="H799" i="23"/>
  <c r="B257" i="21"/>
  <c r="B258" i="21"/>
  <c r="E758" i="21"/>
  <c r="E256" i="21"/>
  <c r="B133" i="21"/>
  <c r="H833" i="23"/>
  <c r="G776" i="23" s="1"/>
  <c r="H809" i="23"/>
  <c r="H826" i="21"/>
  <c r="H850" i="21"/>
  <c r="G793" i="21" s="1"/>
  <c r="N33" i="24"/>
  <c r="B748" i="24"/>
  <c r="N22" i="24"/>
  <c r="I834" i="24"/>
  <c r="D853" i="26"/>
  <c r="D829" i="26"/>
  <c r="O881" i="26"/>
  <c r="O30" i="26"/>
  <c r="C771" i="26"/>
  <c r="O66" i="26"/>
  <c r="C130" i="26"/>
  <c r="D762" i="26"/>
  <c r="C65" i="26"/>
  <c r="E844" i="26"/>
  <c r="E820" i="26"/>
  <c r="P872" i="26"/>
  <c r="E826" i="26"/>
  <c r="P878" i="26"/>
  <c r="E850" i="26"/>
  <c r="K65" i="26"/>
  <c r="K130" i="26"/>
  <c r="D768" i="26"/>
  <c r="F129" i="26"/>
  <c r="F251" i="26"/>
  <c r="F252" i="26"/>
  <c r="I250" i="26"/>
  <c r="E764" i="26"/>
  <c r="H828" i="26"/>
  <c r="H852" i="26"/>
  <c r="G795" i="26" s="1"/>
  <c r="H65" i="26"/>
  <c r="H130" i="26"/>
  <c r="D766" i="26"/>
  <c r="D65" i="26"/>
  <c r="D130" i="26"/>
  <c r="D763" i="26"/>
  <c r="J129" i="26"/>
  <c r="M250" i="26"/>
  <c r="J251" i="26"/>
  <c r="J252" i="26"/>
  <c r="E767" i="26"/>
  <c r="B129" i="26"/>
  <c r="E250" i="26"/>
  <c r="B251" i="26"/>
  <c r="B252" i="26"/>
  <c r="E761" i="26"/>
  <c r="E827" i="26"/>
  <c r="E851" i="26"/>
  <c r="P879" i="26"/>
  <c r="C823" i="26"/>
  <c r="C847" i="26"/>
  <c r="N875" i="26"/>
  <c r="G20" i="26"/>
  <c r="G31" i="26"/>
  <c r="B765" i="26"/>
  <c r="H822" i="26"/>
  <c r="H846" i="26"/>
  <c r="G789" i="26" s="1"/>
  <c r="N129" i="26"/>
  <c r="N251" i="26"/>
  <c r="N252" i="26"/>
  <c r="E770" i="26"/>
  <c r="E824" i="26"/>
  <c r="E848" i="26"/>
  <c r="P876" i="26"/>
  <c r="E821" i="26"/>
  <c r="E845" i="26"/>
  <c r="P873" i="26"/>
  <c r="H825" i="26"/>
  <c r="H849" i="26"/>
  <c r="G792" i="26" s="1"/>
  <c r="H819" i="26"/>
  <c r="H843" i="26"/>
  <c r="L65" i="26"/>
  <c r="L130" i="26"/>
  <c r="D769" i="26"/>
  <c r="R256" i="21" l="1"/>
  <c r="C745" i="23"/>
  <c r="G31" i="23"/>
  <c r="G67" i="23"/>
  <c r="F129" i="24"/>
  <c r="D742" i="24"/>
  <c r="I128" i="24"/>
  <c r="F67" i="24"/>
  <c r="C749" i="23"/>
  <c r="L67" i="23"/>
  <c r="L31" i="23"/>
  <c r="O862" i="23"/>
  <c r="D834" i="23"/>
  <c r="D810" i="23"/>
  <c r="K67" i="23"/>
  <c r="C748" i="23"/>
  <c r="K31" i="23"/>
  <c r="G783" i="21"/>
  <c r="G796" i="21" s="1"/>
  <c r="H853" i="21"/>
  <c r="E799" i="23"/>
  <c r="E754" i="23"/>
  <c r="P851" i="23"/>
  <c r="E823" i="23"/>
  <c r="O853" i="23"/>
  <c r="D801" i="23"/>
  <c r="D825" i="23"/>
  <c r="R245" i="24"/>
  <c r="D827" i="23"/>
  <c r="O855" i="23"/>
  <c r="D803" i="23"/>
  <c r="D798" i="24"/>
  <c r="D822" i="24"/>
  <c r="O850" i="24"/>
  <c r="D831" i="23"/>
  <c r="O859" i="23"/>
  <c r="D807" i="23"/>
  <c r="L22" i="24"/>
  <c r="L33" i="24"/>
  <c r="B747" i="24"/>
  <c r="M133" i="21"/>
  <c r="J134" i="21"/>
  <c r="D764" i="21"/>
  <c r="J67" i="21"/>
  <c r="J22" i="24"/>
  <c r="B745" i="24"/>
  <c r="J33" i="24"/>
  <c r="I132" i="23"/>
  <c r="F133" i="23"/>
  <c r="D744" i="23"/>
  <c r="F66" i="23"/>
  <c r="L773" i="24"/>
  <c r="M858" i="24"/>
  <c r="R858" i="24" s="1"/>
  <c r="E773" i="24"/>
  <c r="F773" i="24" s="1"/>
  <c r="H773" i="24" s="1"/>
  <c r="B830" i="24"/>
  <c r="R830" i="24" s="1"/>
  <c r="H33" i="25" s="1"/>
  <c r="B806" i="24"/>
  <c r="E821" i="24"/>
  <c r="P849" i="24"/>
  <c r="E752" i="24"/>
  <c r="E797" i="24"/>
  <c r="D827" i="21"/>
  <c r="D851" i="21"/>
  <c r="O879" i="21"/>
  <c r="P860" i="23"/>
  <c r="E808" i="23"/>
  <c r="E832" i="23"/>
  <c r="C746" i="23"/>
  <c r="H67" i="23"/>
  <c r="H31" i="23"/>
  <c r="D68" i="21"/>
  <c r="C760" i="21"/>
  <c r="D32" i="21"/>
  <c r="D824" i="21"/>
  <c r="O876" i="21"/>
  <c r="D848" i="21"/>
  <c r="E825" i="21"/>
  <c r="E849" i="21"/>
  <c r="P877" i="21"/>
  <c r="G134" i="21"/>
  <c r="D762" i="21"/>
  <c r="G67" i="21"/>
  <c r="I67" i="21" s="1"/>
  <c r="C801" i="24"/>
  <c r="C825" i="24"/>
  <c r="N853" i="24"/>
  <c r="O134" i="21"/>
  <c r="D768" i="21"/>
  <c r="O67" i="21"/>
  <c r="D751" i="23"/>
  <c r="O133" i="23"/>
  <c r="O66" i="23"/>
  <c r="D847" i="21"/>
  <c r="D823" i="21"/>
  <c r="O875" i="21"/>
  <c r="B133" i="23"/>
  <c r="D741" i="23"/>
  <c r="E132" i="23"/>
  <c r="B66" i="23"/>
  <c r="R246" i="23"/>
  <c r="C743" i="23"/>
  <c r="D67" i="23"/>
  <c r="D31" i="23"/>
  <c r="D799" i="24"/>
  <c r="O851" i="24"/>
  <c r="D823" i="24"/>
  <c r="C133" i="23"/>
  <c r="D742" i="23"/>
  <c r="C66" i="23"/>
  <c r="C827" i="24"/>
  <c r="N855" i="24"/>
  <c r="C803" i="24"/>
  <c r="E826" i="23"/>
  <c r="E802" i="23"/>
  <c r="P854" i="23"/>
  <c r="D819" i="21"/>
  <c r="D843" i="21"/>
  <c r="O871" i="21"/>
  <c r="G766" i="23"/>
  <c r="G779" i="23" s="1"/>
  <c r="H836" i="23"/>
  <c r="D804" i="24"/>
  <c r="O856" i="24"/>
  <c r="D828" i="24"/>
  <c r="P68" i="24"/>
  <c r="C750" i="24"/>
  <c r="P32" i="24"/>
  <c r="G22" i="24"/>
  <c r="G33" i="24"/>
  <c r="B743" i="24"/>
  <c r="E826" i="21"/>
  <c r="E850" i="21"/>
  <c r="P878" i="21"/>
  <c r="O869" i="21"/>
  <c r="D817" i="21"/>
  <c r="D841" i="21"/>
  <c r="D68" i="24"/>
  <c r="C741" i="24"/>
  <c r="D32" i="24"/>
  <c r="E829" i="23"/>
  <c r="P857" i="23"/>
  <c r="E805" i="23"/>
  <c r="E822" i="21"/>
  <c r="E846" i="21"/>
  <c r="P874" i="21"/>
  <c r="E816" i="21"/>
  <c r="P868" i="21"/>
  <c r="E771" i="21"/>
  <c r="E840" i="21"/>
  <c r="B129" i="24"/>
  <c r="D739" i="24"/>
  <c r="E128" i="24"/>
  <c r="B67" i="24"/>
  <c r="P68" i="21"/>
  <c r="C769" i="21"/>
  <c r="P32" i="21"/>
  <c r="N133" i="23"/>
  <c r="Q132" i="23"/>
  <c r="D750" i="23"/>
  <c r="N66" i="23"/>
  <c r="D808" i="24"/>
  <c r="D832" i="24"/>
  <c r="O860" i="24"/>
  <c r="L68" i="21"/>
  <c r="C766" i="21"/>
  <c r="L32" i="21"/>
  <c r="E824" i="24"/>
  <c r="P852" i="24"/>
  <c r="E800" i="24"/>
  <c r="H68" i="21"/>
  <c r="C763" i="21"/>
  <c r="H32" i="21"/>
  <c r="N134" i="21"/>
  <c r="Q133" i="21"/>
  <c r="D767" i="21"/>
  <c r="N67" i="21"/>
  <c r="B880" i="24"/>
  <c r="J769" i="24"/>
  <c r="O68" i="24"/>
  <c r="O32" i="24"/>
  <c r="C749" i="24"/>
  <c r="Q67" i="24"/>
  <c r="D830" i="23"/>
  <c r="O858" i="23"/>
  <c r="D806" i="23"/>
  <c r="K68" i="21"/>
  <c r="C765" i="21"/>
  <c r="K32" i="21"/>
  <c r="H834" i="24"/>
  <c r="G764" i="24"/>
  <c r="G777" i="24" s="1"/>
  <c r="F68" i="21"/>
  <c r="C761" i="21"/>
  <c r="F32" i="21"/>
  <c r="B134" i="21"/>
  <c r="D758" i="21"/>
  <c r="E133" i="21"/>
  <c r="B67" i="21"/>
  <c r="O856" i="23"/>
  <c r="D804" i="23"/>
  <c r="D828" i="23"/>
  <c r="K68" i="24"/>
  <c r="C746" i="24"/>
  <c r="K32" i="24"/>
  <c r="C68" i="24"/>
  <c r="C740" i="24"/>
  <c r="C32" i="24"/>
  <c r="D842" i="21"/>
  <c r="O870" i="21"/>
  <c r="D818" i="21"/>
  <c r="O873" i="21"/>
  <c r="D821" i="21"/>
  <c r="D845" i="21"/>
  <c r="E820" i="21"/>
  <c r="P872" i="21"/>
  <c r="E844" i="21"/>
  <c r="P67" i="23"/>
  <c r="C752" i="23"/>
  <c r="P31" i="23"/>
  <c r="D807" i="24"/>
  <c r="D831" i="24"/>
  <c r="O859" i="24"/>
  <c r="P861" i="23"/>
  <c r="E809" i="23"/>
  <c r="E833" i="23"/>
  <c r="C805" i="24"/>
  <c r="C829" i="24"/>
  <c r="N857" i="24"/>
  <c r="C68" i="21"/>
  <c r="C759" i="21"/>
  <c r="C32" i="21"/>
  <c r="P852" i="23"/>
  <c r="E824" i="23"/>
  <c r="E800" i="23"/>
  <c r="D747" i="23"/>
  <c r="M132" i="23"/>
  <c r="J133" i="23"/>
  <c r="J66" i="23"/>
  <c r="I133" i="21"/>
  <c r="C829" i="26"/>
  <c r="N881" i="26"/>
  <c r="C853" i="26"/>
  <c r="O20" i="26"/>
  <c r="B771" i="26"/>
  <c r="O31" i="26"/>
  <c r="D850" i="26"/>
  <c r="D826" i="26"/>
  <c r="O878" i="26"/>
  <c r="K66" i="26"/>
  <c r="C768" i="26"/>
  <c r="K30" i="26"/>
  <c r="D820" i="26"/>
  <c r="O872" i="26"/>
  <c r="D844" i="26"/>
  <c r="C30" i="26"/>
  <c r="C20" i="26" s="1"/>
  <c r="C66" i="26"/>
  <c r="C762" i="26"/>
  <c r="E790" i="26"/>
  <c r="F790" i="26" s="1"/>
  <c r="H790" i="26" s="1"/>
  <c r="L790" i="26"/>
  <c r="B823" i="26"/>
  <c r="B847" i="26"/>
  <c r="R847" i="26" s="1"/>
  <c r="G28" i="25" s="1"/>
  <c r="M875" i="26"/>
  <c r="R875" i="26" s="1"/>
  <c r="E825" i="26"/>
  <c r="E849" i="26"/>
  <c r="P877" i="26"/>
  <c r="J65" i="26"/>
  <c r="M129" i="26"/>
  <c r="J130" i="26"/>
  <c r="D767" i="26"/>
  <c r="D827" i="26"/>
  <c r="D851" i="26"/>
  <c r="O879" i="26"/>
  <c r="L30" i="26"/>
  <c r="L66" i="26"/>
  <c r="C769" i="26"/>
  <c r="G786" i="26"/>
  <c r="E828" i="26"/>
  <c r="P880" i="26"/>
  <c r="E852" i="26"/>
  <c r="N65" i="26"/>
  <c r="N130" i="26"/>
  <c r="D770" i="26"/>
  <c r="E819" i="26"/>
  <c r="E843" i="26"/>
  <c r="P871" i="26"/>
  <c r="B65" i="26"/>
  <c r="E129" i="26"/>
  <c r="B130" i="26"/>
  <c r="D761" i="26"/>
  <c r="D821" i="26"/>
  <c r="D845" i="26"/>
  <c r="O873" i="26"/>
  <c r="D30" i="26"/>
  <c r="D66" i="26"/>
  <c r="C763" i="26"/>
  <c r="D824" i="26"/>
  <c r="D848" i="26"/>
  <c r="O876" i="26"/>
  <c r="H30" i="26"/>
  <c r="H66" i="26"/>
  <c r="C766" i="26"/>
  <c r="E822" i="26"/>
  <c r="E846" i="26"/>
  <c r="P874" i="26"/>
  <c r="F65" i="26"/>
  <c r="F130" i="26"/>
  <c r="I129" i="26"/>
  <c r="D764" i="26"/>
  <c r="R128" i="24" l="1"/>
  <c r="P864" i="23"/>
  <c r="R132" i="23"/>
  <c r="D829" i="23"/>
  <c r="O857" i="23"/>
  <c r="D805" i="23"/>
  <c r="N869" i="21"/>
  <c r="C817" i="21"/>
  <c r="C841" i="21"/>
  <c r="P22" i="23"/>
  <c r="B752" i="23"/>
  <c r="P32" i="23"/>
  <c r="N856" i="24"/>
  <c r="C804" i="24"/>
  <c r="C828" i="24"/>
  <c r="E67" i="21"/>
  <c r="B68" i="21"/>
  <c r="C758" i="21"/>
  <c r="B32" i="21"/>
  <c r="D880" i="24"/>
  <c r="C880" i="24"/>
  <c r="H22" i="21"/>
  <c r="H33" i="21"/>
  <c r="B763" i="21"/>
  <c r="D22" i="24"/>
  <c r="D33" i="24"/>
  <c r="B741" i="24"/>
  <c r="C804" i="23"/>
  <c r="C828" i="23"/>
  <c r="N856" i="23"/>
  <c r="B745" i="23"/>
  <c r="G32" i="23"/>
  <c r="G22" i="23"/>
  <c r="C810" i="23"/>
  <c r="C834" i="23"/>
  <c r="N862" i="23"/>
  <c r="C33" i="24"/>
  <c r="C22" i="24"/>
  <c r="B740" i="24"/>
  <c r="R133" i="21"/>
  <c r="C843" i="21"/>
  <c r="N871" i="21"/>
  <c r="C819" i="21"/>
  <c r="C847" i="21"/>
  <c r="N875" i="21"/>
  <c r="C823" i="21"/>
  <c r="N68" i="21"/>
  <c r="Q67" i="21"/>
  <c r="C767" i="21"/>
  <c r="N32" i="21"/>
  <c r="N873" i="21"/>
  <c r="C821" i="21"/>
  <c r="C845" i="21"/>
  <c r="D832" i="23"/>
  <c r="O860" i="23"/>
  <c r="D808" i="23"/>
  <c r="N879" i="21"/>
  <c r="C851" i="21"/>
  <c r="C827" i="21"/>
  <c r="D752" i="24"/>
  <c r="D797" i="24"/>
  <c r="D821" i="24"/>
  <c r="O849" i="24"/>
  <c r="C823" i="24"/>
  <c r="N851" i="24"/>
  <c r="C799" i="24"/>
  <c r="N870" i="21"/>
  <c r="C842" i="21"/>
  <c r="C818" i="21"/>
  <c r="J773" i="24"/>
  <c r="B884" i="24"/>
  <c r="O854" i="23"/>
  <c r="D826" i="23"/>
  <c r="D802" i="23"/>
  <c r="D846" i="21"/>
  <c r="O874" i="21"/>
  <c r="D822" i="21"/>
  <c r="B748" i="23"/>
  <c r="K22" i="23"/>
  <c r="K32" i="23"/>
  <c r="C807" i="23"/>
  <c r="C831" i="23"/>
  <c r="N859" i="23"/>
  <c r="D800" i="24"/>
  <c r="D824" i="24"/>
  <c r="O852" i="24"/>
  <c r="C803" i="23"/>
  <c r="N855" i="23"/>
  <c r="C827" i="23"/>
  <c r="C798" i="24"/>
  <c r="C822" i="24"/>
  <c r="N850" i="24"/>
  <c r="D771" i="21"/>
  <c r="D816" i="21"/>
  <c r="O868" i="21"/>
  <c r="D840" i="21"/>
  <c r="O877" i="21"/>
  <c r="D825" i="21"/>
  <c r="D849" i="21"/>
  <c r="L33" i="21"/>
  <c r="L22" i="21"/>
  <c r="B766" i="21"/>
  <c r="E768" i="24"/>
  <c r="F768" i="24" s="1"/>
  <c r="H768" i="24" s="1"/>
  <c r="B825" i="24"/>
  <c r="R825" i="24" s="1"/>
  <c r="H28" i="25" s="1"/>
  <c r="M853" i="24"/>
  <c r="R853" i="24" s="1"/>
  <c r="L768" i="24"/>
  <c r="B801" i="24"/>
  <c r="P22" i="24"/>
  <c r="P33" i="24"/>
  <c r="B750" i="24"/>
  <c r="C801" i="23"/>
  <c r="N853" i="23"/>
  <c r="C825" i="23"/>
  <c r="D823" i="23"/>
  <c r="D754" i="23"/>
  <c r="O851" i="23"/>
  <c r="D799" i="23"/>
  <c r="D833" i="23"/>
  <c r="O861" i="23"/>
  <c r="D809" i="23"/>
  <c r="H22" i="23"/>
  <c r="H32" i="23"/>
  <c r="B746" i="23"/>
  <c r="E834" i="24"/>
  <c r="C806" i="23"/>
  <c r="N858" i="23"/>
  <c r="C830" i="23"/>
  <c r="B761" i="21"/>
  <c r="F33" i="21"/>
  <c r="F22" i="21"/>
  <c r="K22" i="21"/>
  <c r="B765" i="21"/>
  <c r="K33" i="21"/>
  <c r="C807" i="24"/>
  <c r="C831" i="24"/>
  <c r="N859" i="24"/>
  <c r="C750" i="23"/>
  <c r="Q66" i="23"/>
  <c r="N67" i="23"/>
  <c r="N31" i="23"/>
  <c r="P22" i="21"/>
  <c r="B769" i="21"/>
  <c r="P33" i="21"/>
  <c r="D824" i="23"/>
  <c r="D800" i="23"/>
  <c r="O852" i="23"/>
  <c r="D32" i="23"/>
  <c r="D22" i="23"/>
  <c r="B743" i="23"/>
  <c r="C741" i="23"/>
  <c r="E66" i="23"/>
  <c r="B31" i="23"/>
  <c r="B67" i="23"/>
  <c r="C751" i="23"/>
  <c r="O67" i="23"/>
  <c r="O31" i="23"/>
  <c r="O878" i="21"/>
  <c r="D826" i="21"/>
  <c r="D850" i="21"/>
  <c r="D820" i="21"/>
  <c r="O872" i="21"/>
  <c r="D844" i="21"/>
  <c r="D22" i="21"/>
  <c r="B760" i="21"/>
  <c r="D33" i="21"/>
  <c r="F67" i="23"/>
  <c r="C744" i="23"/>
  <c r="I66" i="23"/>
  <c r="F31" i="23"/>
  <c r="M67" i="21"/>
  <c r="J68" i="21"/>
  <c r="J32" i="21"/>
  <c r="C764" i="21"/>
  <c r="C747" i="23"/>
  <c r="M66" i="23"/>
  <c r="J67" i="23"/>
  <c r="J31" i="23"/>
  <c r="O33" i="24"/>
  <c r="B749" i="24"/>
  <c r="O22" i="24"/>
  <c r="Q32" i="24"/>
  <c r="P881" i="21"/>
  <c r="P862" i="24"/>
  <c r="E770" i="24"/>
  <c r="F770" i="24" s="1"/>
  <c r="H770" i="24" s="1"/>
  <c r="B827" i="24"/>
  <c r="R827" i="24" s="1"/>
  <c r="H30" i="25" s="1"/>
  <c r="M855" i="24"/>
  <c r="R855" i="24" s="1"/>
  <c r="L770" i="24"/>
  <c r="B803" i="24"/>
  <c r="C22" i="21"/>
  <c r="C33" i="21"/>
  <c r="B759" i="21"/>
  <c r="K22" i="24"/>
  <c r="M22" i="24" s="1"/>
  <c r="K33" i="24"/>
  <c r="B746" i="24"/>
  <c r="C848" i="21"/>
  <c r="C824" i="21"/>
  <c r="N876" i="21"/>
  <c r="E67" i="24"/>
  <c r="B68" i="24"/>
  <c r="C739" i="24"/>
  <c r="B32" i="24"/>
  <c r="E853" i="21"/>
  <c r="C808" i="24"/>
  <c r="C832" i="24"/>
  <c r="N860" i="24"/>
  <c r="C742" i="23"/>
  <c r="C67" i="23"/>
  <c r="C31" i="23"/>
  <c r="O68" i="21"/>
  <c r="C768" i="21"/>
  <c r="O32" i="21"/>
  <c r="G68" i="21"/>
  <c r="C762" i="21"/>
  <c r="G32" i="21"/>
  <c r="I32" i="21" s="1"/>
  <c r="M32" i="24"/>
  <c r="E772" i="24"/>
  <c r="F772" i="24" s="1"/>
  <c r="H772" i="24" s="1"/>
  <c r="M857" i="24"/>
  <c r="R857" i="24" s="1"/>
  <c r="B829" i="24"/>
  <c r="R829" i="24" s="1"/>
  <c r="H32" i="25" s="1"/>
  <c r="B805" i="24"/>
  <c r="L772" i="24"/>
  <c r="E836" i="23"/>
  <c r="L22" i="23"/>
  <c r="B749" i="23"/>
  <c r="L32" i="23"/>
  <c r="I67" i="24"/>
  <c r="F68" i="24"/>
  <c r="C742" i="24"/>
  <c r="F32" i="24"/>
  <c r="L796" i="26"/>
  <c r="B853" i="26"/>
  <c r="R853" i="26" s="1"/>
  <c r="G34" i="25" s="1"/>
  <c r="B829" i="26"/>
  <c r="M881" i="26"/>
  <c r="R881" i="26" s="1"/>
  <c r="E796" i="26"/>
  <c r="F796" i="26" s="1"/>
  <c r="H796" i="26" s="1"/>
  <c r="C826" i="26"/>
  <c r="C850" i="26"/>
  <c r="N878" i="26"/>
  <c r="C844" i="26"/>
  <c r="C820" i="26"/>
  <c r="N872" i="26"/>
  <c r="C31" i="26"/>
  <c r="B762" i="26"/>
  <c r="K31" i="26"/>
  <c r="B768" i="26"/>
  <c r="K20" i="26"/>
  <c r="D822" i="26"/>
  <c r="D846" i="26"/>
  <c r="O874" i="26"/>
  <c r="B30" i="26"/>
  <c r="E65" i="26"/>
  <c r="B66" i="26"/>
  <c r="C761" i="26"/>
  <c r="N30" i="26"/>
  <c r="N66" i="26"/>
  <c r="C770" i="26"/>
  <c r="C827" i="26"/>
  <c r="C851" i="26"/>
  <c r="N879" i="26"/>
  <c r="L20" i="26"/>
  <c r="M21" i="26"/>
  <c r="L31" i="26"/>
  <c r="B769" i="26"/>
  <c r="D825" i="26"/>
  <c r="D849" i="26"/>
  <c r="O877" i="26"/>
  <c r="F30" i="26"/>
  <c r="F66" i="26"/>
  <c r="I65" i="26"/>
  <c r="C764" i="26"/>
  <c r="C824" i="26"/>
  <c r="C848" i="26"/>
  <c r="N876" i="26"/>
  <c r="H20" i="26"/>
  <c r="H31" i="26"/>
  <c r="B766" i="26"/>
  <c r="C821" i="26"/>
  <c r="C845" i="26"/>
  <c r="N873" i="26"/>
  <c r="D20" i="26"/>
  <c r="D31" i="26"/>
  <c r="B763" i="26"/>
  <c r="D819" i="26"/>
  <c r="D843" i="26"/>
  <c r="O871" i="26"/>
  <c r="D852" i="26"/>
  <c r="D828" i="26"/>
  <c r="O880" i="26"/>
  <c r="J30" i="26"/>
  <c r="M65" i="26"/>
  <c r="J66" i="26"/>
  <c r="C767" i="26"/>
  <c r="J790" i="26"/>
  <c r="B901" i="26"/>
  <c r="R67" i="24" l="1"/>
  <c r="O864" i="23"/>
  <c r="D853" i="21"/>
  <c r="K880" i="24"/>
  <c r="C917" i="24" s="1"/>
  <c r="F22" i="24"/>
  <c r="I22" i="24" s="1"/>
  <c r="F33" i="24"/>
  <c r="I32" i="24"/>
  <c r="B742" i="24"/>
  <c r="C844" i="21"/>
  <c r="C820" i="21"/>
  <c r="N872" i="21"/>
  <c r="Q31" i="23"/>
  <c r="N32" i="23"/>
  <c r="B750" i="23"/>
  <c r="N22" i="23"/>
  <c r="L790" i="21"/>
  <c r="E790" i="21"/>
  <c r="F790" i="21" s="1"/>
  <c r="H790" i="21" s="1"/>
  <c r="M875" i="21"/>
  <c r="R875" i="21" s="1"/>
  <c r="B823" i="21"/>
  <c r="B847" i="21"/>
  <c r="R847" i="21" s="1"/>
  <c r="E777" i="23"/>
  <c r="F777" i="23" s="1"/>
  <c r="H777" i="23" s="1"/>
  <c r="B810" i="23"/>
  <c r="B834" i="23"/>
  <c r="R834" i="23" s="1"/>
  <c r="L777" i="23"/>
  <c r="M862" i="23"/>
  <c r="R862" i="23" s="1"/>
  <c r="J772" i="24"/>
  <c r="B883" i="24"/>
  <c r="C850" i="21"/>
  <c r="N878" i="21"/>
  <c r="C826" i="21"/>
  <c r="I31" i="23"/>
  <c r="B744" i="23"/>
  <c r="F22" i="23"/>
  <c r="I22" i="23" s="1"/>
  <c r="F32" i="23"/>
  <c r="L785" i="21"/>
  <c r="M870" i="21"/>
  <c r="R870" i="21" s="1"/>
  <c r="B818" i="21"/>
  <c r="E785" i="21"/>
  <c r="F785" i="21" s="1"/>
  <c r="H785" i="21" s="1"/>
  <c r="B842" i="21"/>
  <c r="R842" i="21" s="1"/>
  <c r="O32" i="23"/>
  <c r="B751" i="23"/>
  <c r="O22" i="23"/>
  <c r="M856" i="23"/>
  <c r="R856" i="23" s="1"/>
  <c r="L771" i="23"/>
  <c r="B804" i="23"/>
  <c r="B828" i="23"/>
  <c r="R828" i="23" s="1"/>
  <c r="E771" i="23"/>
  <c r="F771" i="23" s="1"/>
  <c r="H771" i="23" s="1"/>
  <c r="O862" i="24"/>
  <c r="E766" i="24"/>
  <c r="F766" i="24" s="1"/>
  <c r="H766" i="24" s="1"/>
  <c r="B823" i="24"/>
  <c r="R823" i="24" s="1"/>
  <c r="H26" i="25" s="1"/>
  <c r="M851" i="24"/>
  <c r="R851" i="24" s="1"/>
  <c r="L766" i="24"/>
  <c r="B799" i="24"/>
  <c r="B33" i="21"/>
  <c r="B758" i="21"/>
  <c r="B22" i="21"/>
  <c r="E22" i="21" s="1"/>
  <c r="E32" i="21"/>
  <c r="B22" i="24"/>
  <c r="E22" i="24" s="1"/>
  <c r="B33" i="24"/>
  <c r="E32" i="24"/>
  <c r="R32" i="24" s="1"/>
  <c r="B739" i="24"/>
  <c r="L784" i="21"/>
  <c r="E784" i="21"/>
  <c r="F784" i="21" s="1"/>
  <c r="H784" i="21" s="1"/>
  <c r="B841" i="21"/>
  <c r="R841" i="21" s="1"/>
  <c r="B817" i="21"/>
  <c r="M869" i="21"/>
  <c r="R869" i="21" s="1"/>
  <c r="M31" i="23"/>
  <c r="J32" i="23"/>
  <c r="B747" i="23"/>
  <c r="J22" i="23"/>
  <c r="M22" i="23" s="1"/>
  <c r="B764" i="21"/>
  <c r="J22" i="21"/>
  <c r="M22" i="21" s="1"/>
  <c r="J33" i="21"/>
  <c r="M32" i="21"/>
  <c r="R66" i="23"/>
  <c r="B827" i="21"/>
  <c r="B851" i="21"/>
  <c r="R851" i="21" s="1"/>
  <c r="L794" i="21"/>
  <c r="M879" i="21"/>
  <c r="R879" i="21" s="1"/>
  <c r="E794" i="21"/>
  <c r="F794" i="21" s="1"/>
  <c r="H794" i="21" s="1"/>
  <c r="D836" i="23"/>
  <c r="L775" i="24"/>
  <c r="M860" i="24"/>
  <c r="R860" i="24" s="1"/>
  <c r="B808" i="24"/>
  <c r="E775" i="24"/>
  <c r="F775" i="24" s="1"/>
  <c r="H775" i="24" s="1"/>
  <c r="B832" i="24"/>
  <c r="R832" i="24" s="1"/>
  <c r="H35" i="25" s="1"/>
  <c r="B848" i="21"/>
  <c r="R848" i="21" s="1"/>
  <c r="B824" i="21"/>
  <c r="M876" i="21"/>
  <c r="R876" i="21" s="1"/>
  <c r="L791" i="21"/>
  <c r="E791" i="21"/>
  <c r="F791" i="21" s="1"/>
  <c r="H791" i="21" s="1"/>
  <c r="D884" i="24"/>
  <c r="C884" i="24"/>
  <c r="L884" i="24" s="1"/>
  <c r="D834" i="24"/>
  <c r="N33" i="21"/>
  <c r="B767" i="21"/>
  <c r="Q32" i="21"/>
  <c r="N22" i="21"/>
  <c r="C771" i="21"/>
  <c r="C840" i="21"/>
  <c r="N868" i="21"/>
  <c r="C816" i="21"/>
  <c r="O22" i="21"/>
  <c r="B768" i="21"/>
  <c r="O33" i="21"/>
  <c r="L774" i="24"/>
  <c r="M859" i="24"/>
  <c r="R859" i="24" s="1"/>
  <c r="B831" i="24"/>
  <c r="R831" i="24" s="1"/>
  <c r="H34" i="25" s="1"/>
  <c r="E774" i="24"/>
  <c r="F774" i="24" s="1"/>
  <c r="H774" i="24" s="1"/>
  <c r="B807" i="24"/>
  <c r="B825" i="23"/>
  <c r="R825" i="23" s="1"/>
  <c r="L768" i="23"/>
  <c r="B801" i="23"/>
  <c r="E768" i="23"/>
  <c r="F768" i="23" s="1"/>
  <c r="H768" i="23" s="1"/>
  <c r="M853" i="23"/>
  <c r="R853" i="23" s="1"/>
  <c r="L773" i="23"/>
  <c r="B806" i="23"/>
  <c r="E773" i="23"/>
  <c r="F773" i="23" s="1"/>
  <c r="H773" i="23" s="1"/>
  <c r="B830" i="23"/>
  <c r="R830" i="23" s="1"/>
  <c r="M858" i="23"/>
  <c r="R858" i="23" s="1"/>
  <c r="E765" i="24"/>
  <c r="F765" i="24" s="1"/>
  <c r="H765" i="24" s="1"/>
  <c r="B822" i="24"/>
  <c r="R822" i="24" s="1"/>
  <c r="H25" i="25" s="1"/>
  <c r="M850" i="24"/>
  <c r="R850" i="24" s="1"/>
  <c r="B798" i="24"/>
  <c r="L765" i="24"/>
  <c r="L788" i="21"/>
  <c r="E788" i="21"/>
  <c r="F788" i="21" s="1"/>
  <c r="H788" i="21" s="1"/>
  <c r="B845" i="21"/>
  <c r="R845" i="21" s="1"/>
  <c r="B821" i="21"/>
  <c r="M873" i="21"/>
  <c r="R873" i="21" s="1"/>
  <c r="R67" i="21"/>
  <c r="C800" i="24"/>
  <c r="C824" i="24"/>
  <c r="N852" i="24"/>
  <c r="B807" i="23"/>
  <c r="B831" i="23"/>
  <c r="R831" i="23" s="1"/>
  <c r="M859" i="23"/>
  <c r="R859" i="23" s="1"/>
  <c r="E774" i="23"/>
  <c r="F774" i="23" s="1"/>
  <c r="H774" i="23" s="1"/>
  <c r="L774" i="23"/>
  <c r="C800" i="23"/>
  <c r="C824" i="23"/>
  <c r="N852" i="23"/>
  <c r="C805" i="23"/>
  <c r="C829" i="23"/>
  <c r="N857" i="23"/>
  <c r="N874" i="21"/>
  <c r="C846" i="21"/>
  <c r="C822" i="21"/>
  <c r="E31" i="23"/>
  <c r="R31" i="23" s="1"/>
  <c r="B741" i="23"/>
  <c r="B22" i="23"/>
  <c r="B32" i="23"/>
  <c r="L786" i="21"/>
  <c r="E786" i="21"/>
  <c r="F786" i="21" s="1"/>
  <c r="H786" i="21" s="1"/>
  <c r="M871" i="21"/>
  <c r="R871" i="21" s="1"/>
  <c r="B819" i="21"/>
  <c r="B843" i="21"/>
  <c r="R843" i="21" s="1"/>
  <c r="J768" i="24"/>
  <c r="B879" i="24"/>
  <c r="O881" i="21"/>
  <c r="G22" i="21"/>
  <c r="I22" i="21" s="1"/>
  <c r="G33" i="21"/>
  <c r="B762" i="21"/>
  <c r="C32" i="23"/>
  <c r="B742" i="23"/>
  <c r="C22" i="23"/>
  <c r="C752" i="24"/>
  <c r="C797" i="24"/>
  <c r="C821" i="24"/>
  <c r="N849" i="24"/>
  <c r="N862" i="24" s="1"/>
  <c r="E771" i="24"/>
  <c r="F771" i="24" s="1"/>
  <c r="H771" i="24" s="1"/>
  <c r="B828" i="24"/>
  <c r="R828" i="24" s="1"/>
  <c r="H31" i="25" s="1"/>
  <c r="M856" i="24"/>
  <c r="R856" i="24" s="1"/>
  <c r="B804" i="24"/>
  <c r="L771" i="24"/>
  <c r="B881" i="24"/>
  <c r="J770" i="24"/>
  <c r="Q22" i="24"/>
  <c r="C802" i="23"/>
  <c r="N854" i="23"/>
  <c r="C826" i="23"/>
  <c r="C809" i="23"/>
  <c r="C833" i="23"/>
  <c r="N861" i="23"/>
  <c r="C754" i="23"/>
  <c r="C799" i="23"/>
  <c r="N851" i="23"/>
  <c r="C823" i="23"/>
  <c r="C808" i="23"/>
  <c r="C832" i="23"/>
  <c r="N860" i="23"/>
  <c r="C849" i="21"/>
  <c r="N877" i="21"/>
  <c r="C825" i="21"/>
  <c r="L770" i="23"/>
  <c r="B803" i="23"/>
  <c r="M855" i="23"/>
  <c r="R855" i="23" s="1"/>
  <c r="B827" i="23"/>
  <c r="R827" i="23" s="1"/>
  <c r="E770" i="23"/>
  <c r="F770" i="23" s="1"/>
  <c r="H770" i="23" s="1"/>
  <c r="L880" i="24"/>
  <c r="J796" i="26"/>
  <c r="B907" i="26"/>
  <c r="L793" i="26"/>
  <c r="B850" i="26"/>
  <c r="R850" i="26" s="1"/>
  <c r="G31" i="25" s="1"/>
  <c r="E793" i="26"/>
  <c r="F793" i="26" s="1"/>
  <c r="H793" i="26" s="1"/>
  <c r="B826" i="26"/>
  <c r="M878" i="26"/>
  <c r="R878" i="26" s="1"/>
  <c r="L787" i="26"/>
  <c r="B844" i="26"/>
  <c r="R844" i="26" s="1"/>
  <c r="G25" i="25" s="1"/>
  <c r="E787" i="26"/>
  <c r="F787" i="26" s="1"/>
  <c r="H787" i="26" s="1"/>
  <c r="B820" i="26"/>
  <c r="M872" i="26"/>
  <c r="R872" i="26" s="1"/>
  <c r="C901" i="26"/>
  <c r="D901" i="26"/>
  <c r="C825" i="26"/>
  <c r="C849" i="26"/>
  <c r="N877" i="26"/>
  <c r="F20" i="26"/>
  <c r="I20" i="26" s="1"/>
  <c r="F31" i="26"/>
  <c r="I30" i="26"/>
  <c r="B764" i="26"/>
  <c r="C828" i="26"/>
  <c r="N880" i="26"/>
  <c r="C852" i="26"/>
  <c r="C819" i="26"/>
  <c r="C843" i="26"/>
  <c r="N871" i="26"/>
  <c r="J20" i="26"/>
  <c r="M20" i="26" s="1"/>
  <c r="M30" i="26"/>
  <c r="J31" i="26"/>
  <c r="B767" i="26"/>
  <c r="E788" i="26"/>
  <c r="F788" i="26" s="1"/>
  <c r="H788" i="26" s="1"/>
  <c r="L788" i="26"/>
  <c r="B821" i="26"/>
  <c r="B845" i="26"/>
  <c r="R845" i="26" s="1"/>
  <c r="G26" i="25" s="1"/>
  <c r="M873" i="26"/>
  <c r="R873" i="26" s="1"/>
  <c r="E791" i="26"/>
  <c r="F791" i="26" s="1"/>
  <c r="H791" i="26" s="1"/>
  <c r="L791" i="26"/>
  <c r="B824" i="26"/>
  <c r="B848" i="26"/>
  <c r="R848" i="26" s="1"/>
  <c r="G29" i="25" s="1"/>
  <c r="M876" i="26"/>
  <c r="R876" i="26" s="1"/>
  <c r="C822" i="26"/>
  <c r="C846" i="26"/>
  <c r="N874" i="26"/>
  <c r="E794" i="26"/>
  <c r="F794" i="26" s="1"/>
  <c r="H794" i="26" s="1"/>
  <c r="L794" i="26"/>
  <c r="B827" i="26"/>
  <c r="B851" i="26"/>
  <c r="R851" i="26" s="1"/>
  <c r="G32" i="25" s="1"/>
  <c r="M879" i="26"/>
  <c r="R879" i="26" s="1"/>
  <c r="N20" i="26"/>
  <c r="N31" i="26"/>
  <c r="B770" i="26"/>
  <c r="B20" i="26"/>
  <c r="E20" i="26" s="1"/>
  <c r="E30" i="26"/>
  <c r="B31" i="26"/>
  <c r="B761" i="26"/>
  <c r="C834" i="24" l="1"/>
  <c r="Q22" i="21"/>
  <c r="E917" i="24"/>
  <c r="Q22" i="23"/>
  <c r="J786" i="21"/>
  <c r="B897" i="21"/>
  <c r="J775" i="24"/>
  <c r="B886" i="24"/>
  <c r="B829" i="23"/>
  <c r="R829" i="23" s="1"/>
  <c r="M857" i="23"/>
  <c r="R857" i="23" s="1"/>
  <c r="L772" i="23"/>
  <c r="B805" i="23"/>
  <c r="E772" i="23"/>
  <c r="F772" i="23" s="1"/>
  <c r="H772" i="23" s="1"/>
  <c r="R22" i="21"/>
  <c r="J771" i="23"/>
  <c r="B882" i="23"/>
  <c r="E776" i="23"/>
  <c r="F776" i="23" s="1"/>
  <c r="H776" i="23" s="1"/>
  <c r="B809" i="23"/>
  <c r="M861" i="23"/>
  <c r="R861" i="23" s="1"/>
  <c r="L776" i="23"/>
  <c r="B833" i="23"/>
  <c r="R833" i="23" s="1"/>
  <c r="L787" i="21"/>
  <c r="B844" i="21"/>
  <c r="R844" i="21" s="1"/>
  <c r="B820" i="21"/>
  <c r="M872" i="21"/>
  <c r="R872" i="21" s="1"/>
  <c r="E787" i="21"/>
  <c r="F787" i="21" s="1"/>
  <c r="H787" i="21" s="1"/>
  <c r="J788" i="21"/>
  <c r="B899" i="21"/>
  <c r="J768" i="23"/>
  <c r="B879" i="23"/>
  <c r="L789" i="21"/>
  <c r="M874" i="21"/>
  <c r="R874" i="21" s="1"/>
  <c r="B822" i="21"/>
  <c r="E789" i="21"/>
  <c r="F789" i="21" s="1"/>
  <c r="H789" i="21" s="1"/>
  <c r="B846" i="21"/>
  <c r="R846" i="21" s="1"/>
  <c r="B771" i="21"/>
  <c r="L783" i="21"/>
  <c r="B840" i="21"/>
  <c r="B816" i="21"/>
  <c r="M868" i="21"/>
  <c r="E783" i="21"/>
  <c r="L769" i="23"/>
  <c r="B802" i="23"/>
  <c r="E769" i="23"/>
  <c r="F769" i="23" s="1"/>
  <c r="H769" i="23" s="1"/>
  <c r="M854" i="23"/>
  <c r="R854" i="23" s="1"/>
  <c r="B826" i="23"/>
  <c r="R826" i="23" s="1"/>
  <c r="C881" i="24"/>
  <c r="D881" i="24"/>
  <c r="K881" i="24" s="1"/>
  <c r="J770" i="23"/>
  <c r="B881" i="23"/>
  <c r="N864" i="23"/>
  <c r="B882" i="24"/>
  <c r="J771" i="24"/>
  <c r="B754" i="23"/>
  <c r="L766" i="23"/>
  <c r="B799" i="23"/>
  <c r="M851" i="23"/>
  <c r="E766" i="23"/>
  <c r="B823" i="23"/>
  <c r="C853" i="21"/>
  <c r="B849" i="21"/>
  <c r="R849" i="21" s="1"/>
  <c r="B825" i="21"/>
  <c r="L792" i="21"/>
  <c r="E792" i="21"/>
  <c r="F792" i="21" s="1"/>
  <c r="H792" i="21" s="1"/>
  <c r="M877" i="21"/>
  <c r="R877" i="21" s="1"/>
  <c r="E764" i="24"/>
  <c r="B752" i="24"/>
  <c r="B821" i="24"/>
  <c r="L764" i="24"/>
  <c r="B797" i="24"/>
  <c r="M849" i="24"/>
  <c r="R32" i="21"/>
  <c r="B877" i="24"/>
  <c r="J766" i="24"/>
  <c r="J785" i="21"/>
  <c r="B896" i="21"/>
  <c r="J777" i="23"/>
  <c r="B888" i="23"/>
  <c r="E767" i="24"/>
  <c r="F767" i="24" s="1"/>
  <c r="H767" i="24" s="1"/>
  <c r="B824" i="24"/>
  <c r="R824" i="24" s="1"/>
  <c r="H27" i="25" s="1"/>
  <c r="M852" i="24"/>
  <c r="R852" i="24" s="1"/>
  <c r="B800" i="24"/>
  <c r="L767" i="24"/>
  <c r="B884" i="23"/>
  <c r="J773" i="23"/>
  <c r="B905" i="21"/>
  <c r="J794" i="21"/>
  <c r="M852" i="23"/>
  <c r="R852" i="23" s="1"/>
  <c r="L767" i="23"/>
  <c r="B800" i="23"/>
  <c r="B824" i="23"/>
  <c r="R824" i="23" s="1"/>
  <c r="E767" i="23"/>
  <c r="F767" i="23" s="1"/>
  <c r="H767" i="23" s="1"/>
  <c r="B876" i="24"/>
  <c r="J765" i="24"/>
  <c r="D883" i="24"/>
  <c r="C883" i="24"/>
  <c r="E775" i="23"/>
  <c r="F775" i="23" s="1"/>
  <c r="H775" i="23" s="1"/>
  <c r="B808" i="23"/>
  <c r="L775" i="23"/>
  <c r="M860" i="23"/>
  <c r="R860" i="23" s="1"/>
  <c r="B832" i="23"/>
  <c r="R832" i="23" s="1"/>
  <c r="C836" i="23"/>
  <c r="D879" i="24"/>
  <c r="C879" i="24"/>
  <c r="E22" i="23"/>
  <c r="R22" i="23" s="1"/>
  <c r="B885" i="23"/>
  <c r="J774" i="23"/>
  <c r="J774" i="24"/>
  <c r="B885" i="24"/>
  <c r="B850" i="21"/>
  <c r="R850" i="21" s="1"/>
  <c r="E793" i="21"/>
  <c r="F793" i="21" s="1"/>
  <c r="H793" i="21" s="1"/>
  <c r="L793" i="21"/>
  <c r="B826" i="21"/>
  <c r="M878" i="21"/>
  <c r="R878" i="21" s="1"/>
  <c r="N881" i="21"/>
  <c r="N884" i="24"/>
  <c r="N888" i="24" s="1"/>
  <c r="B902" i="21"/>
  <c r="J791" i="21"/>
  <c r="J784" i="21"/>
  <c r="B895" i="21"/>
  <c r="R22" i="24"/>
  <c r="J790" i="21"/>
  <c r="B901" i="21"/>
  <c r="C907" i="26"/>
  <c r="D907" i="26"/>
  <c r="B898" i="26"/>
  <c r="J787" i="26"/>
  <c r="B904" i="26"/>
  <c r="J793" i="26"/>
  <c r="K901" i="26"/>
  <c r="E938" i="26" s="1"/>
  <c r="E786" i="26"/>
  <c r="L786" i="26"/>
  <c r="B819" i="26"/>
  <c r="B843" i="26"/>
  <c r="M871" i="26"/>
  <c r="L795" i="26"/>
  <c r="B852" i="26"/>
  <c r="R852" i="26" s="1"/>
  <c r="G33" i="25" s="1"/>
  <c r="E795" i="26"/>
  <c r="F795" i="26" s="1"/>
  <c r="H795" i="26" s="1"/>
  <c r="B828" i="26"/>
  <c r="M880" i="26"/>
  <c r="R880" i="26" s="1"/>
  <c r="J788" i="26"/>
  <c r="B899" i="26"/>
  <c r="E789" i="26"/>
  <c r="F789" i="26" s="1"/>
  <c r="H789" i="26" s="1"/>
  <c r="L789" i="26"/>
  <c r="B822" i="26"/>
  <c r="B846" i="26"/>
  <c r="R846" i="26" s="1"/>
  <c r="G27" i="25" s="1"/>
  <c r="M874" i="26"/>
  <c r="R874" i="26" s="1"/>
  <c r="L901" i="26"/>
  <c r="N901" i="26" s="1"/>
  <c r="J794" i="26"/>
  <c r="B905" i="26"/>
  <c r="J791" i="26"/>
  <c r="B902" i="26"/>
  <c r="E792" i="26"/>
  <c r="F792" i="26" s="1"/>
  <c r="H792" i="26" s="1"/>
  <c r="L792" i="26"/>
  <c r="B825" i="26"/>
  <c r="B849" i="26"/>
  <c r="R849" i="26" s="1"/>
  <c r="G30" i="25" s="1"/>
  <c r="M877" i="26"/>
  <c r="R877" i="26" s="1"/>
  <c r="L879" i="24" l="1"/>
  <c r="L883" i="24"/>
  <c r="D876" i="24"/>
  <c r="C876" i="24"/>
  <c r="D905" i="21"/>
  <c r="C905" i="21"/>
  <c r="E777" i="24"/>
  <c r="F764" i="24"/>
  <c r="J789" i="21"/>
  <c r="B900" i="21"/>
  <c r="C897" i="21"/>
  <c r="D897" i="21"/>
  <c r="C879" i="23"/>
  <c r="D879" i="23"/>
  <c r="D895" i="21"/>
  <c r="C895" i="21"/>
  <c r="O884" i="24"/>
  <c r="C885" i="23"/>
  <c r="D885" i="23"/>
  <c r="M862" i="24"/>
  <c r="R849" i="24"/>
  <c r="R862" i="24" s="1"/>
  <c r="E779" i="23"/>
  <c r="F766" i="23"/>
  <c r="L881" i="24"/>
  <c r="D899" i="21"/>
  <c r="C899" i="21"/>
  <c r="B898" i="21"/>
  <c r="J787" i="21"/>
  <c r="C882" i="23"/>
  <c r="D882" i="23"/>
  <c r="C885" i="24"/>
  <c r="D885" i="24"/>
  <c r="J775" i="23"/>
  <c r="B886" i="23"/>
  <c r="B878" i="24"/>
  <c r="J767" i="24"/>
  <c r="C896" i="21"/>
  <c r="D896" i="21"/>
  <c r="C877" i="24"/>
  <c r="D877" i="24"/>
  <c r="B903" i="21"/>
  <c r="J792" i="21"/>
  <c r="R851" i="23"/>
  <c r="R864" i="23" s="1"/>
  <c r="M864" i="23"/>
  <c r="C882" i="24"/>
  <c r="D882" i="24"/>
  <c r="R840" i="21"/>
  <c r="R853" i="21" s="1"/>
  <c r="B853" i="21"/>
  <c r="J772" i="23"/>
  <c r="B883" i="23"/>
  <c r="J767" i="23"/>
  <c r="B878" i="23"/>
  <c r="E796" i="21"/>
  <c r="F783" i="21"/>
  <c r="D886" i="24"/>
  <c r="C886" i="24"/>
  <c r="C901" i="21"/>
  <c r="D901" i="21"/>
  <c r="C902" i="21"/>
  <c r="D902" i="21"/>
  <c r="B904" i="21"/>
  <c r="J793" i="21"/>
  <c r="K879" i="24"/>
  <c r="K883" i="24"/>
  <c r="D884" i="23"/>
  <c r="C884" i="23"/>
  <c r="C888" i="23"/>
  <c r="D888" i="23"/>
  <c r="B834" i="24"/>
  <c r="R821" i="24"/>
  <c r="B836" i="23"/>
  <c r="R823" i="23"/>
  <c r="R836" i="23" s="1"/>
  <c r="D881" i="23"/>
  <c r="C881" i="23"/>
  <c r="C918" i="24"/>
  <c r="E918" i="24"/>
  <c r="B880" i="23"/>
  <c r="J769" i="23"/>
  <c r="M881" i="21"/>
  <c r="R868" i="21"/>
  <c r="R881" i="21" s="1"/>
  <c r="J776" i="23"/>
  <c r="B887" i="23"/>
  <c r="L907" i="26"/>
  <c r="O907" i="26" s="1"/>
  <c r="G944" i="26" s="1"/>
  <c r="C938" i="26"/>
  <c r="D904" i="26"/>
  <c r="C904" i="26"/>
  <c r="D898" i="26"/>
  <c r="C898" i="26"/>
  <c r="C902" i="26"/>
  <c r="D902" i="26"/>
  <c r="D905" i="26"/>
  <c r="C905" i="26"/>
  <c r="J789" i="26"/>
  <c r="B900" i="26"/>
  <c r="R871" i="26"/>
  <c r="B903" i="26"/>
  <c r="J792" i="26"/>
  <c r="C899" i="26"/>
  <c r="D899" i="26"/>
  <c r="B906" i="26"/>
  <c r="J795" i="26"/>
  <c r="R843" i="26"/>
  <c r="G24" i="25" s="1"/>
  <c r="F786" i="26"/>
  <c r="K877" i="24" l="1"/>
  <c r="K897" i="21"/>
  <c r="L876" i="24"/>
  <c r="K882" i="24"/>
  <c r="C919" i="24" s="1"/>
  <c r="K896" i="21"/>
  <c r="E933" i="21" s="1"/>
  <c r="L902" i="21"/>
  <c r="K895" i="21"/>
  <c r="C932" i="21" s="1"/>
  <c r="R834" i="24"/>
  <c r="H24" i="25"/>
  <c r="H36" i="25" s="1"/>
  <c r="L881" i="23"/>
  <c r="K901" i="21"/>
  <c r="C938" i="21" s="1"/>
  <c r="K882" i="23"/>
  <c r="E919" i="23" s="1"/>
  <c r="L899" i="21"/>
  <c r="K879" i="23"/>
  <c r="C916" i="23" s="1"/>
  <c r="N902" i="21"/>
  <c r="N907" i="21" s="1"/>
  <c r="E919" i="24"/>
  <c r="C886" i="23"/>
  <c r="D886" i="23"/>
  <c r="H766" i="23"/>
  <c r="F779" i="23"/>
  <c r="C887" i="23"/>
  <c r="D887" i="23"/>
  <c r="D903" i="21"/>
  <c r="C903" i="21"/>
  <c r="L896" i="21"/>
  <c r="L885" i="23"/>
  <c r="K881" i="23"/>
  <c r="L888" i="23"/>
  <c r="O888" i="23" s="1"/>
  <c r="G925" i="23" s="1"/>
  <c r="L901" i="21"/>
  <c r="H783" i="21"/>
  <c r="F796" i="21"/>
  <c r="L884" i="23"/>
  <c r="C920" i="24"/>
  <c r="E920" i="24"/>
  <c r="L886" i="24"/>
  <c r="O886" i="24" s="1"/>
  <c r="G923" i="24" s="1"/>
  <c r="L877" i="24"/>
  <c r="C878" i="24"/>
  <c r="D878" i="24"/>
  <c r="L885" i="24"/>
  <c r="O885" i="24" s="1"/>
  <c r="G922" i="24" s="1"/>
  <c r="L895" i="21"/>
  <c r="L879" i="23"/>
  <c r="L897" i="21"/>
  <c r="D900" i="21"/>
  <c r="C900" i="21"/>
  <c r="L900" i="21" s="1"/>
  <c r="L905" i="21"/>
  <c r="O905" i="21" s="1"/>
  <c r="G942" i="21" s="1"/>
  <c r="C916" i="24"/>
  <c r="E916" i="24"/>
  <c r="C878" i="23"/>
  <c r="D878" i="23"/>
  <c r="C883" i="23"/>
  <c r="D883" i="23"/>
  <c r="C933" i="21"/>
  <c r="C898" i="21"/>
  <c r="D898" i="21"/>
  <c r="L882" i="24"/>
  <c r="C919" i="23"/>
  <c r="H764" i="24"/>
  <c r="F777" i="24"/>
  <c r="C880" i="23"/>
  <c r="D880" i="23"/>
  <c r="C904" i="21"/>
  <c r="D904" i="21"/>
  <c r="C914" i="24"/>
  <c r="E914" i="24"/>
  <c r="L882" i="23"/>
  <c r="K899" i="21"/>
  <c r="G921" i="24"/>
  <c r="E916" i="23"/>
  <c r="E934" i="21"/>
  <c r="C934" i="21"/>
  <c r="K876" i="24"/>
  <c r="I944" i="26"/>
  <c r="I907" i="26"/>
  <c r="K907" i="26" s="1"/>
  <c r="K899" i="26"/>
  <c r="E936" i="26" s="1"/>
  <c r="L905" i="26"/>
  <c r="N905" i="26" s="1"/>
  <c r="O905" i="26" s="1"/>
  <c r="G942" i="26" s="1"/>
  <c r="L898" i="26"/>
  <c r="N898" i="26" s="1"/>
  <c r="L904" i="26"/>
  <c r="N904" i="26" s="1"/>
  <c r="O904" i="26" s="1"/>
  <c r="G941" i="26" s="1"/>
  <c r="I904" i="26" s="1"/>
  <c r="K904" i="26" s="1"/>
  <c r="E941" i="26" s="1"/>
  <c r="K898" i="26"/>
  <c r="H786" i="26"/>
  <c r="C900" i="26"/>
  <c r="D900" i="26"/>
  <c r="D906" i="26"/>
  <c r="C906" i="26"/>
  <c r="D903" i="26"/>
  <c r="C903" i="26"/>
  <c r="L899" i="26"/>
  <c r="N899" i="26" s="1"/>
  <c r="L902" i="26"/>
  <c r="E932" i="21" l="1"/>
  <c r="K898" i="21"/>
  <c r="L878" i="24"/>
  <c r="K878" i="23"/>
  <c r="E938" i="21"/>
  <c r="F920" i="24"/>
  <c r="L886" i="23"/>
  <c r="O886" i="23" s="1"/>
  <c r="G923" i="23" s="1"/>
  <c r="I886" i="23" s="1"/>
  <c r="K886" i="23" s="1"/>
  <c r="L880" i="23"/>
  <c r="L903" i="21"/>
  <c r="O903" i="21" s="1"/>
  <c r="G940" i="21" s="1"/>
  <c r="O902" i="21"/>
  <c r="G939" i="21" s="1"/>
  <c r="O888" i="24"/>
  <c r="L883" i="23"/>
  <c r="E936" i="21"/>
  <c r="C936" i="21"/>
  <c r="C935" i="21"/>
  <c r="E935" i="21"/>
  <c r="K900" i="21"/>
  <c r="E918" i="23"/>
  <c r="C918" i="23"/>
  <c r="N885" i="23"/>
  <c r="O885" i="23"/>
  <c r="G922" i="23" s="1"/>
  <c r="J766" i="23"/>
  <c r="J779" i="23" s="1"/>
  <c r="B877" i="23"/>
  <c r="H779" i="23"/>
  <c r="E913" i="24"/>
  <c r="C913" i="24"/>
  <c r="L904" i="21"/>
  <c r="O904" i="21" s="1"/>
  <c r="G941" i="21" s="1"/>
  <c r="L898" i="21"/>
  <c r="L878" i="23"/>
  <c r="I905" i="21"/>
  <c r="K905" i="21" s="1"/>
  <c r="I942" i="21"/>
  <c r="I922" i="24"/>
  <c r="I885" i="24"/>
  <c r="K885" i="24" s="1"/>
  <c r="I886" i="24"/>
  <c r="K886" i="24" s="1"/>
  <c r="I923" i="24"/>
  <c r="N884" i="23"/>
  <c r="N890" i="23" s="1"/>
  <c r="B894" i="21"/>
  <c r="H796" i="21"/>
  <c r="J783" i="21"/>
  <c r="J796" i="21" s="1"/>
  <c r="I925" i="23"/>
  <c r="I888" i="23"/>
  <c r="K888" i="23" s="1"/>
  <c r="I923" i="23"/>
  <c r="C915" i="23"/>
  <c r="E915" i="23"/>
  <c r="I940" i="21"/>
  <c r="I903" i="21"/>
  <c r="K903" i="21" s="1"/>
  <c r="I884" i="24"/>
  <c r="I921" i="24"/>
  <c r="G926" i="24"/>
  <c r="K880" i="23"/>
  <c r="H777" i="24"/>
  <c r="J764" i="24"/>
  <c r="J777" i="24" s="1"/>
  <c r="B875" i="24"/>
  <c r="K883" i="23"/>
  <c r="K878" i="24"/>
  <c r="L887" i="23"/>
  <c r="O887" i="23" s="1"/>
  <c r="G924" i="23" s="1"/>
  <c r="C936" i="26"/>
  <c r="E944" i="26"/>
  <c r="C944" i="26"/>
  <c r="C941" i="26"/>
  <c r="L903" i="26"/>
  <c r="N903" i="26" s="1"/>
  <c r="O903" i="26" s="1"/>
  <c r="G940" i="26" s="1"/>
  <c r="I941" i="26"/>
  <c r="E935" i="26"/>
  <c r="C935" i="26"/>
  <c r="K900" i="26"/>
  <c r="C937" i="26" s="1"/>
  <c r="L906" i="26"/>
  <c r="O906" i="26" s="1"/>
  <c r="G943" i="26" s="1"/>
  <c r="I943" i="26" s="1"/>
  <c r="I905" i="26"/>
  <c r="K905" i="26" s="1"/>
  <c r="I942" i="26"/>
  <c r="N902" i="26"/>
  <c r="O902" i="26" s="1"/>
  <c r="J786" i="26"/>
  <c r="B897" i="26"/>
  <c r="L900" i="26"/>
  <c r="N900" i="26" s="1"/>
  <c r="F936" i="21" l="1"/>
  <c r="O884" i="23"/>
  <c r="C923" i="23"/>
  <c r="E923" i="23"/>
  <c r="E940" i="21"/>
  <c r="C940" i="21"/>
  <c r="C922" i="24"/>
  <c r="E922" i="24"/>
  <c r="I941" i="21"/>
  <c r="I904" i="21"/>
  <c r="K904" i="21" s="1"/>
  <c r="I885" i="23"/>
  <c r="K885" i="23" s="1"/>
  <c r="I922" i="23"/>
  <c r="E915" i="24"/>
  <c r="F917" i="24" s="1"/>
  <c r="C915" i="24"/>
  <c r="J923" i="24"/>
  <c r="I926" i="24"/>
  <c r="O907" i="21"/>
  <c r="D875" i="24"/>
  <c r="B888" i="24"/>
  <c r="D888" i="24" s="1"/>
  <c r="C875" i="24"/>
  <c r="I887" i="23"/>
  <c r="K887" i="23" s="1"/>
  <c r="I924" i="23"/>
  <c r="J925" i="23" s="1"/>
  <c r="C894" i="21"/>
  <c r="B907" i="21"/>
  <c r="D907" i="21" s="1"/>
  <c r="D894" i="21"/>
  <c r="E923" i="24"/>
  <c r="C923" i="24"/>
  <c r="E942" i="21"/>
  <c r="C942" i="21"/>
  <c r="C920" i="23"/>
  <c r="E920" i="23"/>
  <c r="G921" i="23"/>
  <c r="O890" i="23"/>
  <c r="C877" i="23"/>
  <c r="D877" i="23"/>
  <c r="B890" i="23"/>
  <c r="D890" i="23" s="1"/>
  <c r="C917" i="23"/>
  <c r="E917" i="23"/>
  <c r="F919" i="23" s="1"/>
  <c r="C925" i="23"/>
  <c r="E925" i="23"/>
  <c r="I888" i="24"/>
  <c r="K884" i="24"/>
  <c r="J942" i="21"/>
  <c r="I939" i="21"/>
  <c r="I902" i="21"/>
  <c r="G945" i="21"/>
  <c r="C937" i="21"/>
  <c r="E937" i="21"/>
  <c r="E937" i="26"/>
  <c r="I906" i="26"/>
  <c r="K906" i="26" s="1"/>
  <c r="C943" i="26" s="1"/>
  <c r="G939" i="26"/>
  <c r="I940" i="26"/>
  <c r="J942" i="26" s="1"/>
  <c r="I903" i="26"/>
  <c r="K903" i="26" s="1"/>
  <c r="C897" i="26"/>
  <c r="D897" i="26"/>
  <c r="E942" i="26"/>
  <c r="C942" i="26"/>
  <c r="K894" i="21" l="1"/>
  <c r="K877" i="23"/>
  <c r="C914" i="23" s="1"/>
  <c r="J939" i="21"/>
  <c r="I945" i="21"/>
  <c r="I884" i="23"/>
  <c r="I921" i="23"/>
  <c r="G928" i="23"/>
  <c r="C888" i="24"/>
  <c r="L875" i="24"/>
  <c r="L888" i="24" s="1"/>
  <c r="E914" i="23"/>
  <c r="L877" i="23"/>
  <c r="L890" i="23" s="1"/>
  <c r="C890" i="23"/>
  <c r="C907" i="21"/>
  <c r="L894" i="21"/>
  <c r="L907" i="21" s="1"/>
  <c r="K875" i="24"/>
  <c r="C941" i="21"/>
  <c r="E941" i="21"/>
  <c r="F942" i="21" s="1"/>
  <c r="E921" i="24"/>
  <c r="F923" i="24" s="1"/>
  <c r="C921" i="24"/>
  <c r="C931" i="21"/>
  <c r="E931" i="21"/>
  <c r="E922" i="23"/>
  <c r="C922" i="23"/>
  <c r="I907" i="21"/>
  <c r="K902" i="21"/>
  <c r="C924" i="23"/>
  <c r="E924" i="23"/>
  <c r="F925" i="23" s="1"/>
  <c r="K897" i="26"/>
  <c r="E934" i="26" s="1"/>
  <c r="E943" i="26"/>
  <c r="E940" i="26"/>
  <c r="F942" i="26" s="1"/>
  <c r="C940" i="26"/>
  <c r="I902" i="26"/>
  <c r="I939" i="26"/>
  <c r="L897" i="26"/>
  <c r="K888" i="24" l="1"/>
  <c r="E912" i="24"/>
  <c r="C912" i="24"/>
  <c r="C926" i="24" s="1"/>
  <c r="I890" i="23"/>
  <c r="K884" i="23"/>
  <c r="F933" i="21"/>
  <c r="E939" i="21"/>
  <c r="F939" i="21" s="1"/>
  <c r="C939" i="21"/>
  <c r="C945" i="21" s="1"/>
  <c r="K907" i="21"/>
  <c r="F916" i="23"/>
  <c r="J922" i="23"/>
  <c r="I928" i="23"/>
  <c r="C934" i="26"/>
  <c r="N897" i="26"/>
  <c r="N910" i="26" s="1"/>
  <c r="K902" i="26"/>
  <c r="J939" i="26"/>
  <c r="F936" i="26"/>
  <c r="E945" i="21" l="1"/>
  <c r="C921" i="23"/>
  <c r="C928" i="23" s="1"/>
  <c r="E921" i="23"/>
  <c r="K890" i="23"/>
  <c r="E926" i="24"/>
  <c r="F914" i="24"/>
  <c r="E939" i="26"/>
  <c r="C939" i="26"/>
  <c r="F922" i="23" l="1"/>
  <c r="E928" i="23"/>
  <c r="F939" i="26"/>
  <c r="D35" i="2" l="1"/>
  <c r="Q35" i="2" l="1"/>
  <c r="R35" i="2" s="1"/>
  <c r="AS859" i="53"/>
  <c r="T810" i="49"/>
  <c r="AE801" i="49" s="1"/>
  <c r="AS836" i="49"/>
  <c r="T803" i="34"/>
  <c r="G855" i="31"/>
  <c r="Q883" i="31"/>
  <c r="F883" i="31"/>
  <c r="H883" i="31" s="1"/>
  <c r="C798" i="31"/>
  <c r="D798" i="31" s="1"/>
  <c r="F798" i="31" s="1"/>
  <c r="H798" i="31" s="1"/>
  <c r="B908" i="31" s="1"/>
  <c r="D908" i="31" s="1"/>
  <c r="F855" i="31"/>
  <c r="G908" i="31"/>
  <c r="G935" i="31" s="1"/>
  <c r="AS838" i="34"/>
  <c r="E35" i="2"/>
  <c r="T37" i="2" l="1"/>
  <c r="U37" i="2" s="1"/>
  <c r="AF801" i="49"/>
  <c r="F867" i="49"/>
  <c r="G867" i="49"/>
  <c r="G895" i="49" s="1"/>
  <c r="AH836" i="49"/>
  <c r="G858" i="34"/>
  <c r="H938" i="34" s="1"/>
  <c r="G886" i="34"/>
  <c r="G913" i="34" s="1"/>
  <c r="I798" i="31"/>
  <c r="J798" i="31" s="1"/>
  <c r="F858" i="34"/>
  <c r="G938" i="34" s="1"/>
  <c r="AH838" i="34"/>
  <c r="AJ838" i="34" s="1"/>
  <c r="AE803" i="34"/>
  <c r="AF803" i="34" s="1"/>
  <c r="AH803" i="34" s="1"/>
  <c r="AJ803" i="34" s="1"/>
  <c r="B886" i="34" s="1"/>
  <c r="C908" i="31"/>
  <c r="E908" i="31" s="1"/>
  <c r="E935" i="31" s="1"/>
  <c r="B935" i="31"/>
  <c r="R855" i="31"/>
  <c r="F24" i="25" s="1"/>
  <c r="D935" i="31"/>
  <c r="W37" i="2" l="1"/>
  <c r="I37" i="2"/>
  <c r="AH867" i="49"/>
  <c r="AS867" i="49" s="1"/>
  <c r="AH902" i="49"/>
  <c r="AJ836" i="49"/>
  <c r="AH801" i="49"/>
  <c r="H947" i="49"/>
  <c r="R867" i="49"/>
  <c r="G922" i="49"/>
  <c r="AK801" i="49"/>
  <c r="I947" i="49"/>
  <c r="T938" i="34"/>
  <c r="S938" i="34"/>
  <c r="R858" i="34"/>
  <c r="E24" i="25" s="1"/>
  <c r="D886" i="34"/>
  <c r="C886" i="34"/>
  <c r="B913" i="34"/>
  <c r="C37" i="2"/>
  <c r="AK803" i="34"/>
  <c r="AL803" i="34" s="1"/>
  <c r="F908" i="31"/>
  <c r="F935" i="31" s="1"/>
  <c r="C935" i="31"/>
  <c r="B37" i="2"/>
  <c r="Z38" i="2" l="1"/>
  <c r="Y38" i="2"/>
  <c r="X38" i="2"/>
  <c r="T953" i="78"/>
  <c r="AJ23" i="2"/>
  <c r="T912" i="68"/>
  <c r="AS950" i="71"/>
  <c r="AS938" i="68"/>
  <c r="T886" i="62"/>
  <c r="T852" i="61"/>
  <c r="AS912" i="62"/>
  <c r="T834" i="53"/>
  <c r="AS878" i="61"/>
  <c r="B895" i="49"/>
  <c r="D24" i="25"/>
  <c r="AS860" i="53"/>
  <c r="AS902" i="49"/>
  <c r="D895" i="49"/>
  <c r="T811" i="49"/>
  <c r="AE802" i="49" s="1"/>
  <c r="AS837" i="49"/>
  <c r="AJ801" i="49"/>
  <c r="U947" i="49"/>
  <c r="T947" i="49"/>
  <c r="D913" i="34"/>
  <c r="E886" i="34"/>
  <c r="E913" i="34" s="1"/>
  <c r="C913" i="34"/>
  <c r="AS839" i="34"/>
  <c r="Q884" i="31"/>
  <c r="G856" i="31"/>
  <c r="G909" i="31"/>
  <c r="G936" i="31" s="1"/>
  <c r="C799" i="31"/>
  <c r="D799" i="31" s="1"/>
  <c r="F799" i="31" s="1"/>
  <c r="H799" i="31" s="1"/>
  <c r="B909" i="31" s="1"/>
  <c r="C909" i="31" s="1"/>
  <c r="E909" i="31" s="1"/>
  <c r="E936" i="31" s="1"/>
  <c r="T804" i="34"/>
  <c r="F884" i="31"/>
  <c r="H884" i="31" s="1"/>
  <c r="F856" i="31"/>
  <c r="D37" i="2"/>
  <c r="Q37" i="2" s="1"/>
  <c r="P908" i="31"/>
  <c r="P935" i="31" s="1"/>
  <c r="E37" i="2"/>
  <c r="R37" i="2" l="1"/>
  <c r="AL801" i="49"/>
  <c r="AF802" i="49"/>
  <c r="G868" i="49"/>
  <c r="G896" i="49" s="1"/>
  <c r="F868" i="49"/>
  <c r="AH837" i="49"/>
  <c r="AE804" i="34"/>
  <c r="AF804" i="34" s="1"/>
  <c r="AH804" i="34" s="1"/>
  <c r="AJ804" i="34" s="1"/>
  <c r="B887" i="34" s="1"/>
  <c r="B914" i="34" s="1"/>
  <c r="G887" i="34"/>
  <c r="G914" i="34" s="1"/>
  <c r="F886" i="34"/>
  <c r="P886" i="34" s="1"/>
  <c r="T39" i="2"/>
  <c r="R856" i="31"/>
  <c r="F25" i="25" s="1"/>
  <c r="F859" i="34"/>
  <c r="G939" i="34" s="1"/>
  <c r="AH839" i="34"/>
  <c r="AJ839" i="34" s="1"/>
  <c r="G859" i="34"/>
  <c r="H939" i="34" s="1"/>
  <c r="I799" i="31"/>
  <c r="J799" i="31" s="1"/>
  <c r="D909" i="31"/>
  <c r="D936" i="31" s="1"/>
  <c r="B936" i="31"/>
  <c r="E975" i="31"/>
  <c r="Q908" i="31"/>
  <c r="R908" i="31"/>
  <c r="C975" i="31"/>
  <c r="C936" i="31"/>
  <c r="R935" i="31"/>
  <c r="Q935" i="31"/>
  <c r="I39" i="2" l="1"/>
  <c r="U39" i="2"/>
  <c r="AH903" i="49"/>
  <c r="AH868" i="49"/>
  <c r="AS868" i="49" s="1"/>
  <c r="B922" i="49"/>
  <c r="C895" i="49"/>
  <c r="E895" i="49" s="1"/>
  <c r="E922" i="49" s="1"/>
  <c r="AH802" i="49"/>
  <c r="G923" i="49"/>
  <c r="AK802" i="49"/>
  <c r="H948" i="49"/>
  <c r="R868" i="49"/>
  <c r="I948" i="49"/>
  <c r="AJ837" i="49"/>
  <c r="S939" i="34"/>
  <c r="T939" i="34"/>
  <c r="C887" i="34"/>
  <c r="C914" i="34" s="1"/>
  <c r="D887" i="34"/>
  <c r="D914" i="34" s="1"/>
  <c r="F913" i="34"/>
  <c r="C39" i="2"/>
  <c r="D39" i="2" s="1"/>
  <c r="R859" i="34"/>
  <c r="E25" i="25" s="1"/>
  <c r="AK804" i="34"/>
  <c r="AL804" i="34" s="1"/>
  <c r="F909" i="31"/>
  <c r="F936" i="31" s="1"/>
  <c r="B39" i="2"/>
  <c r="T954" i="78" l="1"/>
  <c r="AJ24" i="2"/>
  <c r="T913" i="68"/>
  <c r="AS951" i="71"/>
  <c r="AS939" i="68"/>
  <c r="T887" i="62"/>
  <c r="T853" i="61"/>
  <c r="AS913" i="62"/>
  <c r="W39" i="2"/>
  <c r="T835" i="53"/>
  <c r="AS879" i="61"/>
  <c r="B896" i="49"/>
  <c r="D25" i="25"/>
  <c r="AS861" i="53"/>
  <c r="AS903" i="49"/>
  <c r="D896" i="49"/>
  <c r="T812" i="49"/>
  <c r="AE803" i="49" s="1"/>
  <c r="AS838" i="49"/>
  <c r="D922" i="49"/>
  <c r="F895" i="49"/>
  <c r="U948" i="49"/>
  <c r="T948" i="49"/>
  <c r="AJ802" i="49"/>
  <c r="C922" i="49"/>
  <c r="E887" i="34"/>
  <c r="E914" i="34" s="1"/>
  <c r="P913" i="34"/>
  <c r="Q886" i="34"/>
  <c r="R886" i="34"/>
  <c r="C1014" i="34"/>
  <c r="E1014" i="34"/>
  <c r="AS840" i="34"/>
  <c r="G910" i="31"/>
  <c r="G937" i="31" s="1"/>
  <c r="G857" i="31"/>
  <c r="F885" i="31"/>
  <c r="H885" i="31" s="1"/>
  <c r="Q885" i="31"/>
  <c r="C800" i="31"/>
  <c r="D800" i="31" s="1"/>
  <c r="F800" i="31" s="1"/>
  <c r="H800" i="31" s="1"/>
  <c r="B910" i="31" s="1"/>
  <c r="B937" i="31" s="1"/>
  <c r="F857" i="31"/>
  <c r="T805" i="34"/>
  <c r="P909" i="31"/>
  <c r="P936" i="31" s="1"/>
  <c r="E39" i="2"/>
  <c r="Y40" i="2" l="1"/>
  <c r="Z40" i="2"/>
  <c r="X40" i="2"/>
  <c r="Q39" i="2"/>
  <c r="R39" i="2" s="1"/>
  <c r="T41" i="2"/>
  <c r="I41" i="2" s="1"/>
  <c r="AL802" i="49"/>
  <c r="F922" i="49"/>
  <c r="P895" i="49"/>
  <c r="AF803" i="49"/>
  <c r="G869" i="49"/>
  <c r="G897" i="49" s="1"/>
  <c r="F869" i="49"/>
  <c r="AH838" i="49"/>
  <c r="F887" i="34"/>
  <c r="F914" i="34" s="1"/>
  <c r="G860" i="34"/>
  <c r="H940" i="34" s="1"/>
  <c r="G888" i="34"/>
  <c r="R913" i="34"/>
  <c r="Q913" i="34"/>
  <c r="D910" i="31"/>
  <c r="D937" i="31" s="1"/>
  <c r="AE805" i="34"/>
  <c r="AF805" i="34" s="1"/>
  <c r="AH805" i="34" s="1"/>
  <c r="AJ805" i="34" s="1"/>
  <c r="C910" i="31"/>
  <c r="C937" i="31" s="1"/>
  <c r="F860" i="34"/>
  <c r="G940" i="34" s="1"/>
  <c r="I800" i="31"/>
  <c r="J800" i="31" s="1"/>
  <c r="AH840" i="34"/>
  <c r="AJ840" i="34" s="1"/>
  <c r="R857" i="31"/>
  <c r="F26" i="25" s="1"/>
  <c r="Q909" i="31"/>
  <c r="R909" i="31"/>
  <c r="E976" i="31"/>
  <c r="C976" i="31"/>
  <c r="Q936" i="31"/>
  <c r="R936" i="31"/>
  <c r="AH904" i="49" l="1"/>
  <c r="AH869" i="49"/>
  <c r="G924" i="49"/>
  <c r="AK803" i="49"/>
  <c r="B923" i="49"/>
  <c r="C896" i="49"/>
  <c r="E896" i="49" s="1"/>
  <c r="E923" i="49" s="1"/>
  <c r="AJ838" i="49"/>
  <c r="E1023" i="49"/>
  <c r="C1023" i="49"/>
  <c r="P922" i="49"/>
  <c r="R895" i="49"/>
  <c r="Q895" i="49"/>
  <c r="H949" i="49"/>
  <c r="I949" i="49"/>
  <c r="S940" i="34"/>
  <c r="T940" i="34"/>
  <c r="R860" i="34"/>
  <c r="E26" i="25" s="1"/>
  <c r="P887" i="34"/>
  <c r="P914" i="34" s="1"/>
  <c r="Q914" i="34" s="1"/>
  <c r="B888" i="34"/>
  <c r="B915" i="34" s="1"/>
  <c r="AK805" i="34"/>
  <c r="AL805" i="34" s="1"/>
  <c r="G915" i="34"/>
  <c r="E910" i="31"/>
  <c r="E937" i="31" s="1"/>
  <c r="Q922" i="49" l="1"/>
  <c r="R922" i="49"/>
  <c r="C923" i="49"/>
  <c r="D923" i="49"/>
  <c r="F896" i="49"/>
  <c r="E1015" i="34"/>
  <c r="R914" i="34"/>
  <c r="R887" i="34"/>
  <c r="C1015" i="34"/>
  <c r="Q887" i="34"/>
  <c r="D888" i="34"/>
  <c r="D915" i="34" s="1"/>
  <c r="C888" i="34"/>
  <c r="E888" i="34" s="1"/>
  <c r="F910" i="31"/>
  <c r="F937" i="31" s="1"/>
  <c r="P896" i="49" l="1"/>
  <c r="F923" i="49"/>
  <c r="C915" i="34"/>
  <c r="P910" i="31"/>
  <c r="P937" i="31" s="1"/>
  <c r="R937" i="31" s="1"/>
  <c r="E915" i="34"/>
  <c r="F888" i="34"/>
  <c r="E1024" i="49" l="1"/>
  <c r="C1024" i="49"/>
  <c r="P923" i="49"/>
  <c r="Q896" i="49"/>
  <c r="R896" i="49"/>
  <c r="E977" i="31"/>
  <c r="F977" i="31" s="1"/>
  <c r="R910" i="31"/>
  <c r="Q937" i="31"/>
  <c r="Q910" i="31"/>
  <c r="C977" i="31"/>
  <c r="F915" i="34"/>
  <c r="P888" i="34"/>
  <c r="Q923" i="49" l="1"/>
  <c r="R923" i="49"/>
  <c r="E1016" i="34"/>
  <c r="F1016" i="34" s="1"/>
  <c r="P915" i="34"/>
  <c r="Q888" i="34"/>
  <c r="R888" i="34"/>
  <c r="C1016" i="34"/>
  <c r="R915" i="34" l="1"/>
  <c r="Q915" i="34"/>
  <c r="P719" i="26" l="1"/>
  <c r="P725" i="26" s="1"/>
  <c r="Q587" i="26"/>
  <c r="R587" i="26" s="1"/>
  <c r="P592" i="26"/>
  <c r="P593" i="26" s="1"/>
  <c r="Q725" i="26" l="1"/>
  <c r="R725" i="26" s="1"/>
  <c r="P746" i="26"/>
  <c r="P726" i="26"/>
  <c r="Q726" i="26" s="1"/>
  <c r="R726" i="26" s="1"/>
  <c r="Q593" i="26"/>
  <c r="R593" i="26" s="1"/>
  <c r="P596" i="26"/>
  <c r="Q592" i="26"/>
  <c r="R592" i="26" s="1"/>
  <c r="Q719" i="26"/>
  <c r="R719" i="26" s="1"/>
  <c r="P597" i="26" l="1"/>
  <c r="P598" i="26"/>
  <c r="Q596" i="26"/>
  <c r="R596" i="26" s="1"/>
  <c r="Q746" i="26"/>
  <c r="P748" i="26"/>
  <c r="P14" i="26" s="1"/>
  <c r="Q14" i="26" l="1"/>
  <c r="R14" i="26" s="1"/>
  <c r="N9" i="25"/>
  <c r="O9" i="25" s="1"/>
  <c r="Q598" i="26"/>
  <c r="R598" i="26" s="1"/>
  <c r="P599" i="26"/>
  <c r="P557" i="26"/>
  <c r="N772" i="26"/>
  <c r="Q748" i="26"/>
  <c r="R746" i="26"/>
  <c r="R748" i="26" s="1"/>
  <c r="P522" i="26" l="1"/>
  <c r="P558" i="26"/>
  <c r="M772" i="26"/>
  <c r="Q557" i="26"/>
  <c r="R557" i="26" s="1"/>
  <c r="N830" i="26"/>
  <c r="N854" i="26"/>
  <c r="N856" i="26" s="1"/>
  <c r="N774" i="26"/>
  <c r="M854" i="26" l="1"/>
  <c r="M856" i="26" s="1"/>
  <c r="M830" i="26"/>
  <c r="M774" i="26"/>
  <c r="Q522" i="26"/>
  <c r="R522" i="26" s="1"/>
  <c r="P523" i="26"/>
  <c r="L772" i="26"/>
  <c r="P512" i="26"/>
  <c r="L774" i="26" l="1"/>
  <c r="L830" i="26"/>
  <c r="L854" i="26"/>
  <c r="P513" i="26"/>
  <c r="K772" i="26"/>
  <c r="P460" i="26"/>
  <c r="Q512" i="26"/>
  <c r="R512" i="26" s="1"/>
  <c r="Q460" i="26" l="1"/>
  <c r="R460" i="26" s="1"/>
  <c r="P461" i="26"/>
  <c r="J772" i="26"/>
  <c r="P419" i="26"/>
  <c r="Q908" i="26"/>
  <c r="L856" i="26"/>
  <c r="K774" i="26"/>
  <c r="K830" i="26"/>
  <c r="K854" i="26"/>
  <c r="K856" i="26" s="1"/>
  <c r="J830" i="26" l="1"/>
  <c r="J854" i="26"/>
  <c r="J856" i="26" s="1"/>
  <c r="J774" i="26"/>
  <c r="Q419" i="26"/>
  <c r="R419" i="26" s="1"/>
  <c r="P374" i="26"/>
  <c r="P381" i="26"/>
  <c r="P380" i="26" s="1"/>
  <c r="P379" i="26" s="1"/>
  <c r="P378" i="26" s="1"/>
  <c r="P377" i="26" s="1"/>
  <c r="P376" i="26" s="1"/>
  <c r="P420" i="26"/>
  <c r="I772" i="26"/>
  <c r="Q910" i="26"/>
  <c r="S854" i="26"/>
  <c r="S856" i="26" s="1"/>
  <c r="I830" i="26" l="1"/>
  <c r="I774" i="26"/>
  <c r="I854" i="26"/>
  <c r="I856" i="26" s="1"/>
  <c r="P375" i="26"/>
  <c r="H772" i="26"/>
  <c r="Q374" i="26"/>
  <c r="R374" i="26" s="1"/>
  <c r="P250" i="26"/>
  <c r="H854" i="26" l="1"/>
  <c r="H774" i="26"/>
  <c r="H830" i="26"/>
  <c r="P252" i="26"/>
  <c r="Q250" i="26"/>
  <c r="R250" i="26" s="1"/>
  <c r="P251" i="26"/>
  <c r="E772" i="26"/>
  <c r="P129" i="26"/>
  <c r="E830" i="26" l="1"/>
  <c r="E774" i="26"/>
  <c r="P882" i="26"/>
  <c r="P884" i="26" s="1"/>
  <c r="E854" i="26"/>
  <c r="E856" i="26" s="1"/>
  <c r="P130" i="26"/>
  <c r="D772" i="26"/>
  <c r="P65" i="26"/>
  <c r="Q129" i="26"/>
  <c r="R129" i="26" s="1"/>
  <c r="G797" i="26"/>
  <c r="G799" i="26" s="1"/>
  <c r="H856" i="26"/>
  <c r="O882" i="26" l="1"/>
  <c r="O884" i="26" s="1"/>
  <c r="D830" i="26"/>
  <c r="D774" i="26"/>
  <c r="D854" i="26"/>
  <c r="D856" i="26" s="1"/>
  <c r="Q65" i="26"/>
  <c r="R65" i="26" s="1"/>
  <c r="P66" i="26"/>
  <c r="C772" i="26"/>
  <c r="P30" i="26"/>
  <c r="C830" i="26" l="1"/>
  <c r="C854" i="26"/>
  <c r="C856" i="26" s="1"/>
  <c r="C774" i="26"/>
  <c r="N882" i="26"/>
  <c r="N884" i="26" s="1"/>
  <c r="P20" i="26"/>
  <c r="Q20" i="26" s="1"/>
  <c r="R20" i="26" s="1"/>
  <c r="Q21" i="26"/>
  <c r="R21" i="26" s="1"/>
  <c r="P31" i="26"/>
  <c r="Q30" i="26"/>
  <c r="R30" i="26" s="1"/>
  <c r="B772" i="26"/>
  <c r="L797" i="26" l="1"/>
  <c r="B774" i="26"/>
  <c r="B854" i="26"/>
  <c r="E797" i="26"/>
  <c r="B830" i="26"/>
  <c r="M882" i="26"/>
  <c r="R882" i="26" l="1"/>
  <c r="R884" i="26" s="1"/>
  <c r="M884" i="26"/>
  <c r="B856" i="26"/>
  <c r="R854" i="26"/>
  <c r="E799" i="26"/>
  <c r="F797" i="26"/>
  <c r="R856" i="26" l="1"/>
  <c r="G35" i="25"/>
  <c r="G36" i="25" s="1"/>
  <c r="F799" i="26"/>
  <c r="H797" i="26"/>
  <c r="H799" i="26" l="1"/>
  <c r="B908" i="26"/>
  <c r="J797" i="26"/>
  <c r="J799" i="26" s="1"/>
  <c r="B910" i="26" l="1"/>
  <c r="D910" i="26" s="1"/>
  <c r="D908" i="26"/>
  <c r="C908" i="26"/>
  <c r="C910" i="26" l="1"/>
  <c r="L908" i="26"/>
  <c r="O908" i="26" l="1"/>
  <c r="L910" i="26"/>
  <c r="G945" i="26" l="1"/>
  <c r="O910" i="26"/>
  <c r="I908" i="26" l="1"/>
  <c r="G948" i="26"/>
  <c r="I945" i="26"/>
  <c r="J945" i="26" l="1"/>
  <c r="I948" i="26"/>
  <c r="I910" i="26"/>
  <c r="K908" i="26"/>
  <c r="K910" i="26" l="1"/>
  <c r="C945" i="26"/>
  <c r="C948" i="26" s="1"/>
  <c r="E945" i="26"/>
  <c r="F945" i="26" l="1"/>
  <c r="E948" i="26"/>
  <c r="U41" i="2" l="1"/>
  <c r="W41" i="2" l="1"/>
  <c r="C41" i="2"/>
  <c r="B41" i="2"/>
  <c r="Z42" i="2" l="1"/>
  <c r="Y42" i="2"/>
  <c r="X42" i="2"/>
  <c r="T955" i="78"/>
  <c r="AJ25" i="2"/>
  <c r="T914" i="68"/>
  <c r="AS952" i="71"/>
  <c r="AS940" i="68"/>
  <c r="T888" i="62"/>
  <c r="T854" i="61"/>
  <c r="AS914" i="62"/>
  <c r="T836" i="53"/>
  <c r="AS880" i="61"/>
  <c r="AS862" i="53"/>
  <c r="G858" i="31"/>
  <c r="AS839" i="49"/>
  <c r="AS841" i="34"/>
  <c r="Q886" i="31"/>
  <c r="F858" i="31"/>
  <c r="F886" i="31"/>
  <c r="G911" i="31"/>
  <c r="T806" i="34"/>
  <c r="C801" i="31"/>
  <c r="D801" i="31" s="1"/>
  <c r="T813" i="49"/>
  <c r="D41" i="2"/>
  <c r="Q41" i="2" s="1"/>
  <c r="R41" i="2" s="1"/>
  <c r="E41" i="2"/>
  <c r="T43" i="2" l="1"/>
  <c r="C43" i="2" s="1"/>
  <c r="D43" i="2" s="1"/>
  <c r="H886" i="31"/>
  <c r="AH839" i="49"/>
  <c r="G870" i="49"/>
  <c r="AE804" i="49"/>
  <c r="AF804" i="49" s="1"/>
  <c r="F870" i="49"/>
  <c r="G938" i="31"/>
  <c r="I801" i="31"/>
  <c r="F801" i="31"/>
  <c r="R858" i="31"/>
  <c r="F27" i="25" s="1"/>
  <c r="G889" i="34"/>
  <c r="G861" i="34"/>
  <c r="F861" i="34"/>
  <c r="AH841" i="34"/>
  <c r="AE806" i="34"/>
  <c r="AF806" i="34" s="1"/>
  <c r="B43" i="2"/>
  <c r="T956" i="78" l="1"/>
  <c r="AJ26" i="2"/>
  <c r="T915" i="68"/>
  <c r="AS953" i="71"/>
  <c r="AS941" i="68"/>
  <c r="T889" i="62"/>
  <c r="T855" i="61"/>
  <c r="AS915" i="62"/>
  <c r="T837" i="53"/>
  <c r="AS881" i="61"/>
  <c r="AS863" i="53"/>
  <c r="U43" i="2"/>
  <c r="I43" i="2"/>
  <c r="G859" i="31"/>
  <c r="T807" i="34"/>
  <c r="AH842" i="34" s="1"/>
  <c r="AJ842" i="34" s="1"/>
  <c r="Q887" i="31"/>
  <c r="F887" i="31"/>
  <c r="H887" i="31" s="1"/>
  <c r="AS840" i="49"/>
  <c r="F859" i="31"/>
  <c r="G912" i="31"/>
  <c r="I802" i="31" s="1"/>
  <c r="AS842" i="34"/>
  <c r="C802" i="31"/>
  <c r="D802" i="31" s="1"/>
  <c r="F802" i="31" s="1"/>
  <c r="H802" i="31" s="1"/>
  <c r="B912" i="31" s="1"/>
  <c r="T814" i="49"/>
  <c r="AE805" i="49" s="1"/>
  <c r="AF805" i="49" s="1"/>
  <c r="AH805" i="49" s="1"/>
  <c r="AJ805" i="49" s="1"/>
  <c r="G916" i="34"/>
  <c r="AK806" i="34"/>
  <c r="I950" i="49"/>
  <c r="G898" i="49"/>
  <c r="AJ841" i="34"/>
  <c r="AJ839" i="49"/>
  <c r="G941" i="34"/>
  <c r="R861" i="34"/>
  <c r="E27" i="25" s="1"/>
  <c r="H950" i="49"/>
  <c r="R870" i="49"/>
  <c r="D27" i="25" s="1"/>
  <c r="AH905" i="49"/>
  <c r="AH870" i="49"/>
  <c r="AH806" i="34"/>
  <c r="H941" i="34"/>
  <c r="H801" i="31"/>
  <c r="AH804" i="49"/>
  <c r="E43" i="2"/>
  <c r="W43" i="2" l="1"/>
  <c r="R859" i="31"/>
  <c r="F28" i="25" s="1"/>
  <c r="T45" i="2"/>
  <c r="C45" i="2" s="1"/>
  <c r="J802" i="31"/>
  <c r="G871" i="49"/>
  <c r="I951" i="49" s="1"/>
  <c r="G939" i="31"/>
  <c r="F862" i="34"/>
  <c r="G942" i="34" s="1"/>
  <c r="AH840" i="49"/>
  <c r="AJ840" i="49" s="1"/>
  <c r="F871" i="49"/>
  <c r="AH871" i="49" s="1"/>
  <c r="AS871" i="49" s="1"/>
  <c r="AE807" i="34"/>
  <c r="AF807" i="34" s="1"/>
  <c r="AH807" i="34" s="1"/>
  <c r="AJ807" i="34" s="1"/>
  <c r="B890" i="34" s="1"/>
  <c r="G862" i="34"/>
  <c r="H942" i="34" s="1"/>
  <c r="G890" i="34"/>
  <c r="AK807" i="34" s="1"/>
  <c r="AJ804" i="49"/>
  <c r="AJ806" i="34"/>
  <c r="C912" i="31"/>
  <c r="C939" i="31" s="1"/>
  <c r="B939" i="31"/>
  <c r="D912" i="31"/>
  <c r="AS905" i="49"/>
  <c r="S941" i="34"/>
  <c r="T941" i="34"/>
  <c r="G925" i="49"/>
  <c r="AK804" i="49"/>
  <c r="B898" i="49"/>
  <c r="J801" i="31"/>
  <c r="B911" i="31"/>
  <c r="AS870" i="49"/>
  <c r="T950" i="49"/>
  <c r="U950" i="49"/>
  <c r="B45" i="2"/>
  <c r="Y44" i="2" l="1"/>
  <c r="X44" i="2"/>
  <c r="Z44" i="2"/>
  <c r="T957" i="78"/>
  <c r="AJ27" i="2"/>
  <c r="Q43" i="2"/>
  <c r="R43" i="2" s="1"/>
  <c r="U45" i="2" s="1"/>
  <c r="T916" i="68"/>
  <c r="AS954" i="71"/>
  <c r="AS942" i="68"/>
  <c r="T890" i="62"/>
  <c r="T856" i="61"/>
  <c r="AS916" i="62"/>
  <c r="T838" i="53"/>
  <c r="AS882" i="61"/>
  <c r="AS864" i="53"/>
  <c r="I45" i="2"/>
  <c r="AS841" i="49"/>
  <c r="T815" i="49"/>
  <c r="G872" i="49" s="1"/>
  <c r="I952" i="49" s="1"/>
  <c r="G913" i="31"/>
  <c r="G940" i="31" s="1"/>
  <c r="Q888" i="31"/>
  <c r="T808" i="34"/>
  <c r="F863" i="34" s="1"/>
  <c r="G943" i="34" s="1"/>
  <c r="F860" i="31"/>
  <c r="F888" i="31"/>
  <c r="H888" i="31" s="1"/>
  <c r="AS843" i="34"/>
  <c r="C803" i="31"/>
  <c r="D803" i="31" s="1"/>
  <c r="F803" i="31" s="1"/>
  <c r="H803" i="31" s="1"/>
  <c r="G860" i="31"/>
  <c r="D45" i="2"/>
  <c r="H951" i="49"/>
  <c r="AH948" i="49" s="1"/>
  <c r="G917" i="34"/>
  <c r="G899" i="49"/>
  <c r="G926" i="49" s="1"/>
  <c r="R862" i="34"/>
  <c r="E28" i="25" s="1"/>
  <c r="R871" i="49"/>
  <c r="AH906" i="49"/>
  <c r="AS906" i="49" s="1"/>
  <c r="AL807" i="34"/>
  <c r="AL806" i="34"/>
  <c r="B889" i="34"/>
  <c r="D898" i="49"/>
  <c r="C911" i="31"/>
  <c r="E911" i="31" s="1"/>
  <c r="E938" i="31" s="1"/>
  <c r="B938" i="31"/>
  <c r="D911" i="31"/>
  <c r="E912" i="31"/>
  <c r="E939" i="31" s="1"/>
  <c r="S942" i="34"/>
  <c r="T942" i="34"/>
  <c r="AL804" i="49"/>
  <c r="B925" i="49"/>
  <c r="C898" i="49"/>
  <c r="E898" i="49" s="1"/>
  <c r="E925" i="49" s="1"/>
  <c r="D939" i="31"/>
  <c r="C890" i="34"/>
  <c r="C917" i="34" s="1"/>
  <c r="B917" i="34"/>
  <c r="D890" i="34"/>
  <c r="D899" i="49"/>
  <c r="E45" i="2"/>
  <c r="W45" i="2" l="1"/>
  <c r="B899" i="49"/>
  <c r="C899" i="49" s="1"/>
  <c r="C926" i="49" s="1"/>
  <c r="D28" i="25"/>
  <c r="T47" i="2"/>
  <c r="AH843" i="34"/>
  <c r="AJ843" i="34" s="1"/>
  <c r="AH841" i="49"/>
  <c r="AJ841" i="49" s="1"/>
  <c r="AE806" i="49"/>
  <c r="AF806" i="49" s="1"/>
  <c r="AH806" i="49" s="1"/>
  <c r="AJ806" i="49" s="1"/>
  <c r="G900" i="49"/>
  <c r="G927" i="49" s="1"/>
  <c r="F872" i="49"/>
  <c r="AH872" i="49" s="1"/>
  <c r="AS872" i="49" s="1"/>
  <c r="R860" i="31"/>
  <c r="F29" i="25" s="1"/>
  <c r="I803" i="31"/>
  <c r="J803" i="31" s="1"/>
  <c r="AE808" i="34"/>
  <c r="AF808" i="34" s="1"/>
  <c r="AH808" i="34" s="1"/>
  <c r="AJ808" i="34" s="1"/>
  <c r="G891" i="34"/>
  <c r="G918" i="34" s="1"/>
  <c r="G863" i="34"/>
  <c r="R863" i="34" s="1"/>
  <c r="E29" i="25" s="1"/>
  <c r="AH960" i="49"/>
  <c r="T951" i="49"/>
  <c r="AH957" i="49"/>
  <c r="AH955" i="49"/>
  <c r="AH956" i="49"/>
  <c r="AH959" i="49"/>
  <c r="AH953" i="49"/>
  <c r="AH951" i="49"/>
  <c r="U951" i="49"/>
  <c r="AH950" i="49"/>
  <c r="AH949" i="49"/>
  <c r="AH967" i="49"/>
  <c r="AH966" i="49"/>
  <c r="AK805" i="49"/>
  <c r="AL805" i="49" s="1"/>
  <c r="AH965" i="49"/>
  <c r="AH961" i="49"/>
  <c r="AH958" i="49"/>
  <c r="AH954" i="49"/>
  <c r="AH952" i="49"/>
  <c r="AH968" i="49"/>
  <c r="AH947" i="49"/>
  <c r="AH970" i="49"/>
  <c r="AH964" i="49"/>
  <c r="AH962" i="49"/>
  <c r="AH969" i="49"/>
  <c r="AH963" i="49"/>
  <c r="E890" i="34"/>
  <c r="E917" i="34" s="1"/>
  <c r="C938" i="31"/>
  <c r="D925" i="49"/>
  <c r="F898" i="49"/>
  <c r="C889" i="34"/>
  <c r="E889" i="34" s="1"/>
  <c r="E916" i="34" s="1"/>
  <c r="B916" i="34"/>
  <c r="D889" i="34"/>
  <c r="D926" i="49"/>
  <c r="B913" i="31"/>
  <c r="C925" i="49"/>
  <c r="D938" i="31"/>
  <c r="F911" i="31"/>
  <c r="D917" i="34"/>
  <c r="F912" i="31"/>
  <c r="X46" i="2" l="1"/>
  <c r="Z46" i="2"/>
  <c r="Y46" i="2"/>
  <c r="Q45" i="2"/>
  <c r="R45" i="2" s="1"/>
  <c r="U47" i="2" s="1"/>
  <c r="W47" i="2" s="1"/>
  <c r="B926" i="49"/>
  <c r="E899" i="49"/>
  <c r="E926" i="49" s="1"/>
  <c r="I47" i="2"/>
  <c r="C47" i="2"/>
  <c r="D47" i="2" s="1"/>
  <c r="AK806" i="49"/>
  <c r="AL806" i="49" s="1"/>
  <c r="AK808" i="34"/>
  <c r="AL808" i="34" s="1"/>
  <c r="R872" i="49"/>
  <c r="AH907" i="49"/>
  <c r="AS907" i="49" s="1"/>
  <c r="H952" i="49"/>
  <c r="V952" i="49" s="1"/>
  <c r="H943" i="34"/>
  <c r="S943" i="34" s="1"/>
  <c r="AH971" i="49"/>
  <c r="F890" i="34"/>
  <c r="F917" i="34" s="1"/>
  <c r="F939" i="31"/>
  <c r="P912" i="31"/>
  <c r="C913" i="31"/>
  <c r="E913" i="31" s="1"/>
  <c r="E940" i="31" s="1"/>
  <c r="B940" i="31"/>
  <c r="D913" i="31"/>
  <c r="C916" i="34"/>
  <c r="D900" i="49"/>
  <c r="F938" i="31"/>
  <c r="P911" i="31"/>
  <c r="B891" i="34"/>
  <c r="D916" i="34"/>
  <c r="F889" i="34"/>
  <c r="F925" i="49"/>
  <c r="P898" i="49"/>
  <c r="B47" i="2"/>
  <c r="Z48" i="2" l="1"/>
  <c r="Y48" i="2"/>
  <c r="X48" i="2"/>
  <c r="T958" i="78"/>
  <c r="AJ28" i="2"/>
  <c r="T917" i="68"/>
  <c r="AS955" i="71"/>
  <c r="AS943" i="68"/>
  <c r="T891" i="62"/>
  <c r="T857" i="61"/>
  <c r="AS917" i="62"/>
  <c r="Q47" i="2"/>
  <c r="R47" i="2" s="1"/>
  <c r="T839" i="53"/>
  <c r="AS883" i="61"/>
  <c r="F899" i="49"/>
  <c r="F926" i="49" s="1"/>
  <c r="B900" i="49"/>
  <c r="B927" i="49" s="1"/>
  <c r="D29" i="25"/>
  <c r="AS865" i="53"/>
  <c r="T943" i="34"/>
  <c r="AS842" i="49"/>
  <c r="F861" i="31"/>
  <c r="AS844" i="34"/>
  <c r="F889" i="31"/>
  <c r="H889" i="31" s="1"/>
  <c r="G861" i="31"/>
  <c r="G914" i="31"/>
  <c r="I804" i="31" s="1"/>
  <c r="Q889" i="31"/>
  <c r="T816" i="49"/>
  <c r="AH842" i="49" s="1"/>
  <c r="AJ842" i="49" s="1"/>
  <c r="T809" i="34"/>
  <c r="G892" i="34" s="1"/>
  <c r="C804" i="31"/>
  <c r="D804" i="31" s="1"/>
  <c r="F804" i="31" s="1"/>
  <c r="H804" i="31" s="1"/>
  <c r="B914" i="31" s="1"/>
  <c r="D914" i="31" s="1"/>
  <c r="D941" i="31" s="1"/>
  <c r="T952" i="49"/>
  <c r="U952" i="49"/>
  <c r="P890" i="34"/>
  <c r="E1018" i="34" s="1"/>
  <c r="F916" i="34"/>
  <c r="P889" i="34"/>
  <c r="B918" i="34"/>
  <c r="C891" i="34"/>
  <c r="E891" i="34" s="1"/>
  <c r="E918" i="34" s="1"/>
  <c r="D891" i="34"/>
  <c r="P938" i="31"/>
  <c r="E978" i="31"/>
  <c r="Q911" i="31"/>
  <c r="R911" i="31"/>
  <c r="C978" i="31"/>
  <c r="Q912" i="31"/>
  <c r="R912" i="31"/>
  <c r="P939" i="31"/>
  <c r="C979" i="31"/>
  <c r="E979" i="31"/>
  <c r="D927" i="49"/>
  <c r="C940" i="31"/>
  <c r="P925" i="49"/>
  <c r="E1026" i="49"/>
  <c r="Q898" i="49"/>
  <c r="R898" i="49"/>
  <c r="C1026" i="49"/>
  <c r="D940" i="31"/>
  <c r="F913" i="31"/>
  <c r="E47" i="2"/>
  <c r="C900" i="49" l="1"/>
  <c r="E900" i="49" s="1"/>
  <c r="E927" i="49" s="1"/>
  <c r="P899" i="49"/>
  <c r="E1027" i="49" s="1"/>
  <c r="T49" i="2"/>
  <c r="U49" i="2" s="1"/>
  <c r="G873" i="49"/>
  <c r="G901" i="49" s="1"/>
  <c r="F873" i="49"/>
  <c r="AH908" i="49" s="1"/>
  <c r="AS908" i="49" s="1"/>
  <c r="G941" i="31"/>
  <c r="AE807" i="49"/>
  <c r="AF807" i="49" s="1"/>
  <c r="AH807" i="49" s="1"/>
  <c r="AJ807" i="49" s="1"/>
  <c r="R861" i="31"/>
  <c r="F30" i="25" s="1"/>
  <c r="J804" i="31"/>
  <c r="G864" i="34"/>
  <c r="H944" i="34" s="1"/>
  <c r="C914" i="31"/>
  <c r="E914" i="31" s="1"/>
  <c r="E941" i="31" s="1"/>
  <c r="AH844" i="34"/>
  <c r="AJ844" i="34" s="1"/>
  <c r="B941" i="31"/>
  <c r="AE809" i="34"/>
  <c r="AF809" i="34" s="1"/>
  <c r="AH809" i="34" s="1"/>
  <c r="AJ809" i="34" s="1"/>
  <c r="B892" i="34" s="1"/>
  <c r="D892" i="34" s="1"/>
  <c r="D919" i="34" s="1"/>
  <c r="F864" i="34"/>
  <c r="G944" i="34" s="1"/>
  <c r="R890" i="34"/>
  <c r="Q890" i="34"/>
  <c r="C1018" i="34"/>
  <c r="P917" i="34"/>
  <c r="R917" i="34" s="1"/>
  <c r="AK809" i="34"/>
  <c r="G919" i="34"/>
  <c r="Q939" i="31"/>
  <c r="R939" i="31"/>
  <c r="D918" i="34"/>
  <c r="F891" i="34"/>
  <c r="P916" i="34"/>
  <c r="E1017" i="34"/>
  <c r="Q889" i="34"/>
  <c r="R889" i="34"/>
  <c r="C1017" i="34"/>
  <c r="F940" i="31"/>
  <c r="P913" i="31"/>
  <c r="R925" i="49"/>
  <c r="Q925" i="49"/>
  <c r="C918" i="34"/>
  <c r="R938" i="31"/>
  <c r="Q938" i="31"/>
  <c r="W49" i="2" l="1"/>
  <c r="F900" i="49"/>
  <c r="F927" i="49" s="1"/>
  <c r="C927" i="49"/>
  <c r="Q899" i="49"/>
  <c r="C1027" i="49"/>
  <c r="P926" i="49"/>
  <c r="Q926" i="49" s="1"/>
  <c r="R899" i="49"/>
  <c r="C49" i="2"/>
  <c r="D49" i="2" s="1"/>
  <c r="I49" i="2"/>
  <c r="I953" i="49"/>
  <c r="H953" i="49"/>
  <c r="R873" i="49"/>
  <c r="AH873" i="49"/>
  <c r="AS873" i="49" s="1"/>
  <c r="D901" i="49" s="1"/>
  <c r="D928" i="49" s="1"/>
  <c r="Q917" i="34"/>
  <c r="C941" i="31"/>
  <c r="C892" i="34"/>
  <c r="C919" i="34" s="1"/>
  <c r="B919" i="34"/>
  <c r="R864" i="34"/>
  <c r="E30" i="25" s="1"/>
  <c r="AL809" i="34"/>
  <c r="G928" i="49"/>
  <c r="AK807" i="49"/>
  <c r="AL807" i="49" s="1"/>
  <c r="F914" i="31"/>
  <c r="T944" i="34"/>
  <c r="S944" i="34"/>
  <c r="R916" i="34"/>
  <c r="Q916" i="34"/>
  <c r="E980" i="31"/>
  <c r="Q913" i="31"/>
  <c r="C980" i="31"/>
  <c r="R913" i="31"/>
  <c r="P940" i="31"/>
  <c r="F918" i="34"/>
  <c r="P891" i="34"/>
  <c r="B49" i="2"/>
  <c r="Z50" i="2" l="1"/>
  <c r="Y50" i="2"/>
  <c r="X50" i="2"/>
  <c r="T959" i="78"/>
  <c r="AJ29" i="2"/>
  <c r="T918" i="68"/>
  <c r="AS956" i="71"/>
  <c r="AS944" i="68"/>
  <c r="T892" i="62"/>
  <c r="T858" i="61"/>
  <c r="AS918" i="62"/>
  <c r="Q49" i="2"/>
  <c r="R49" i="2" s="1"/>
  <c r="T840" i="53"/>
  <c r="AS884" i="61"/>
  <c r="R926" i="49"/>
  <c r="P900" i="49"/>
  <c r="Q900" i="49" s="1"/>
  <c r="B901" i="49"/>
  <c r="C901" i="49" s="1"/>
  <c r="C928" i="49" s="1"/>
  <c r="D30" i="25"/>
  <c r="AS866" i="53"/>
  <c r="T817" i="49"/>
  <c r="AE808" i="49" s="1"/>
  <c r="AF808" i="49" s="1"/>
  <c r="AH808" i="49" s="1"/>
  <c r="AJ808" i="49" s="1"/>
  <c r="Q890" i="31"/>
  <c r="T810" i="34"/>
  <c r="AE810" i="34" s="1"/>
  <c r="AF810" i="34" s="1"/>
  <c r="AH810" i="34" s="1"/>
  <c r="AJ810" i="34" s="1"/>
  <c r="B893" i="34" s="1"/>
  <c r="C805" i="31"/>
  <c r="D805" i="31" s="1"/>
  <c r="F805" i="31" s="1"/>
  <c r="H805" i="31" s="1"/>
  <c r="B915" i="31" s="1"/>
  <c r="AS845" i="34"/>
  <c r="F890" i="31"/>
  <c r="H890" i="31" s="1"/>
  <c r="AS843" i="49"/>
  <c r="F862" i="31"/>
  <c r="G862" i="31"/>
  <c r="G915" i="31"/>
  <c r="I805" i="31" s="1"/>
  <c r="T953" i="49"/>
  <c r="V953" i="49"/>
  <c r="U953" i="49"/>
  <c r="E892" i="34"/>
  <c r="E919" i="34" s="1"/>
  <c r="P914" i="31"/>
  <c r="F941" i="31"/>
  <c r="F980" i="31"/>
  <c r="E1019" i="34"/>
  <c r="Q891" i="34"/>
  <c r="R891" i="34"/>
  <c r="C1019" i="34"/>
  <c r="P918" i="34"/>
  <c r="R940" i="31"/>
  <c r="Q940" i="31"/>
  <c r="E49" i="2"/>
  <c r="P927" i="49" l="1"/>
  <c r="R927" i="49" s="1"/>
  <c r="E1028" i="49"/>
  <c r="F1028" i="49" s="1"/>
  <c r="C1028" i="49"/>
  <c r="R900" i="49"/>
  <c r="E901" i="49"/>
  <c r="E928" i="49" s="1"/>
  <c r="B928" i="49"/>
  <c r="T51" i="2"/>
  <c r="I51" i="2" s="1"/>
  <c r="AH845" i="34"/>
  <c r="AJ845" i="34" s="1"/>
  <c r="R862" i="31"/>
  <c r="F31" i="25" s="1"/>
  <c r="G942" i="31"/>
  <c r="AH843" i="49"/>
  <c r="AJ843" i="49" s="1"/>
  <c r="F865" i="34"/>
  <c r="G945" i="34" s="1"/>
  <c r="G874" i="49"/>
  <c r="I954" i="49" s="1"/>
  <c r="G865" i="34"/>
  <c r="H945" i="34" s="1"/>
  <c r="G893" i="34"/>
  <c r="AK810" i="34" s="1"/>
  <c r="AL810" i="34" s="1"/>
  <c r="F874" i="49"/>
  <c r="AH874" i="49" s="1"/>
  <c r="AS874" i="49" s="1"/>
  <c r="D902" i="49" s="1"/>
  <c r="J805" i="31"/>
  <c r="F892" i="34"/>
  <c r="P892" i="34" s="1"/>
  <c r="C915" i="31"/>
  <c r="C942" i="31" s="1"/>
  <c r="B942" i="31"/>
  <c r="D915" i="31"/>
  <c r="C893" i="34"/>
  <c r="C920" i="34" s="1"/>
  <c r="B920" i="34"/>
  <c r="D893" i="34"/>
  <c r="P941" i="31"/>
  <c r="Q914" i="31"/>
  <c r="C981" i="31"/>
  <c r="R914" i="31"/>
  <c r="E981" i="31"/>
  <c r="Q918" i="34"/>
  <c r="R918" i="34"/>
  <c r="F1019" i="34"/>
  <c r="Q927" i="49" l="1"/>
  <c r="F901" i="49"/>
  <c r="F928" i="49" s="1"/>
  <c r="G920" i="34"/>
  <c r="U51" i="2"/>
  <c r="C51" i="2"/>
  <c r="H954" i="49"/>
  <c r="T954" i="49" s="1"/>
  <c r="AH909" i="49"/>
  <c r="AS909" i="49" s="1"/>
  <c r="R865" i="34"/>
  <c r="E31" i="25" s="1"/>
  <c r="G902" i="49"/>
  <c r="AK808" i="49" s="1"/>
  <c r="AL808" i="49" s="1"/>
  <c r="R874" i="49"/>
  <c r="F919" i="34"/>
  <c r="R892" i="34"/>
  <c r="C1020" i="34"/>
  <c r="P919" i="34"/>
  <c r="E1020" i="34"/>
  <c r="Q892" i="34"/>
  <c r="E915" i="31"/>
  <c r="E942" i="31" s="1"/>
  <c r="D942" i="31"/>
  <c r="D929" i="49"/>
  <c r="Q941" i="31"/>
  <c r="R941" i="31"/>
  <c r="D920" i="34"/>
  <c r="E893" i="34"/>
  <c r="E920" i="34" s="1"/>
  <c r="T945" i="34"/>
  <c r="S945" i="34"/>
  <c r="B51" i="2"/>
  <c r="T960" i="78" l="1"/>
  <c r="AJ30" i="2"/>
  <c r="T919" i="68"/>
  <c r="AS957" i="71"/>
  <c r="AS945" i="68"/>
  <c r="T893" i="62"/>
  <c r="T859" i="61"/>
  <c r="AS919" i="62"/>
  <c r="W51" i="2"/>
  <c r="T841" i="53"/>
  <c r="AS885" i="61"/>
  <c r="P901" i="49"/>
  <c r="Q901" i="49" s="1"/>
  <c r="B902" i="49"/>
  <c r="C902" i="49" s="1"/>
  <c r="C929" i="49" s="1"/>
  <c r="D31" i="25"/>
  <c r="AS867" i="53"/>
  <c r="T811" i="34"/>
  <c r="F866" i="34" s="1"/>
  <c r="G946" i="34" s="1"/>
  <c r="AS846" i="34"/>
  <c r="AS844" i="49"/>
  <c r="C806" i="31"/>
  <c r="D806" i="31" s="1"/>
  <c r="F806" i="31" s="1"/>
  <c r="H806" i="31" s="1"/>
  <c r="B916" i="31" s="1"/>
  <c r="D916" i="31" s="1"/>
  <c r="F891" i="31"/>
  <c r="H891" i="31" s="1"/>
  <c r="G863" i="31"/>
  <c r="Q891" i="31"/>
  <c r="F863" i="31"/>
  <c r="T818" i="49"/>
  <c r="AE809" i="49" s="1"/>
  <c r="AF809" i="49" s="1"/>
  <c r="AH809" i="49" s="1"/>
  <c r="AJ809" i="49" s="1"/>
  <c r="AL809" i="49" s="1"/>
  <c r="G916" i="31"/>
  <c r="G943" i="31" s="1"/>
  <c r="D51" i="2"/>
  <c r="V954" i="49"/>
  <c r="U954" i="49"/>
  <c r="G929" i="49"/>
  <c r="R919" i="34"/>
  <c r="Q919" i="34"/>
  <c r="F915" i="31"/>
  <c r="F942" i="31" s="1"/>
  <c r="F893" i="34"/>
  <c r="E51" i="2"/>
  <c r="Y52" i="2" l="1"/>
  <c r="Z52" i="2"/>
  <c r="X52" i="2"/>
  <c r="Q51" i="2"/>
  <c r="R51" i="2" s="1"/>
  <c r="T53" i="2"/>
  <c r="E1029" i="49"/>
  <c r="P928" i="49"/>
  <c r="R928" i="49" s="1"/>
  <c r="C1029" i="49"/>
  <c r="R901" i="49"/>
  <c r="E902" i="49"/>
  <c r="E929" i="49" s="1"/>
  <c r="B929" i="49"/>
  <c r="B943" i="31"/>
  <c r="R863" i="31"/>
  <c r="F32" i="25" s="1"/>
  <c r="J806" i="31"/>
  <c r="C916" i="31"/>
  <c r="C943" i="31" s="1"/>
  <c r="AE811" i="34"/>
  <c r="AF811" i="34" s="1"/>
  <c r="AH811" i="34" s="1"/>
  <c r="AJ811" i="34" s="1"/>
  <c r="AL811" i="34" s="1"/>
  <c r="G866" i="34"/>
  <c r="H946" i="34" s="1"/>
  <c r="T946" i="34" s="1"/>
  <c r="AH846" i="34"/>
  <c r="AJ846" i="34" s="1"/>
  <c r="AH844" i="49"/>
  <c r="AJ844" i="49" s="1"/>
  <c r="G894" i="34"/>
  <c r="G921" i="34" s="1"/>
  <c r="F875" i="49"/>
  <c r="H955" i="49" s="1"/>
  <c r="G875" i="49"/>
  <c r="I955" i="49" s="1"/>
  <c r="P915" i="31"/>
  <c r="E982" i="31" s="1"/>
  <c r="D943" i="31"/>
  <c r="F920" i="34"/>
  <c r="P893" i="34"/>
  <c r="U53" i="2" l="1"/>
  <c r="C53" i="2"/>
  <c r="Q928" i="49"/>
  <c r="F902" i="49"/>
  <c r="F929" i="49" s="1"/>
  <c r="E916" i="31"/>
  <c r="E943" i="31" s="1"/>
  <c r="B894" i="34"/>
  <c r="C894" i="34" s="1"/>
  <c r="C921" i="34" s="1"/>
  <c r="S946" i="34"/>
  <c r="R866" i="34"/>
  <c r="E32" i="25" s="1"/>
  <c r="G903" i="49"/>
  <c r="G930" i="49" s="1"/>
  <c r="AH910" i="49"/>
  <c r="AS910" i="49" s="1"/>
  <c r="T955" i="49"/>
  <c r="AH875" i="49"/>
  <c r="AS875" i="49" s="1"/>
  <c r="D903" i="49" s="1"/>
  <c r="D930" i="49" s="1"/>
  <c r="U955" i="49"/>
  <c r="R875" i="49"/>
  <c r="Q915" i="31"/>
  <c r="R915" i="31"/>
  <c r="P942" i="31"/>
  <c r="Q942" i="31" s="1"/>
  <c r="C982" i="31"/>
  <c r="C1021" i="34"/>
  <c r="P920" i="34"/>
  <c r="E1021" i="34"/>
  <c r="R893" i="34"/>
  <c r="Q893" i="34"/>
  <c r="W53" i="2" l="1"/>
  <c r="P902" i="49"/>
  <c r="Q902" i="49" s="1"/>
  <c r="B903" i="49"/>
  <c r="C903" i="49" s="1"/>
  <c r="C930" i="49" s="1"/>
  <c r="D32" i="25"/>
  <c r="D894" i="34"/>
  <c r="D921" i="34" s="1"/>
  <c r="F916" i="31"/>
  <c r="P916" i="31" s="1"/>
  <c r="R916" i="31" s="1"/>
  <c r="E894" i="34"/>
  <c r="E921" i="34" s="1"/>
  <c r="B921" i="34"/>
  <c r="R942" i="31"/>
  <c r="Q920" i="34"/>
  <c r="R920" i="34"/>
  <c r="Z54" i="2" l="1"/>
  <c r="Y54" i="2"/>
  <c r="X54" i="2"/>
  <c r="E1030" i="49"/>
  <c r="R902" i="49"/>
  <c r="P929" i="49"/>
  <c r="R929" i="49" s="1"/>
  <c r="C1030" i="49"/>
  <c r="E903" i="49"/>
  <c r="F903" i="49" s="1"/>
  <c r="P903" i="49" s="1"/>
  <c r="B930" i="49"/>
  <c r="C983" i="31"/>
  <c r="F894" i="34"/>
  <c r="P894" i="34" s="1"/>
  <c r="C1022" i="34" s="1"/>
  <c r="Q916" i="31"/>
  <c r="P943" i="31"/>
  <c r="R943" i="31" s="1"/>
  <c r="E983" i="31"/>
  <c r="F983" i="31" s="1"/>
  <c r="F943" i="31"/>
  <c r="I53" i="2"/>
  <c r="B53" i="2"/>
  <c r="T961" i="78" l="1"/>
  <c r="AJ31" i="2"/>
  <c r="T920" i="68"/>
  <c r="AS958" i="71"/>
  <c r="AS946" i="68"/>
  <c r="T894" i="62"/>
  <c r="T860" i="61"/>
  <c r="AS920" i="62"/>
  <c r="T842" i="53"/>
  <c r="AS886" i="61"/>
  <c r="Q929" i="49"/>
  <c r="F930" i="49"/>
  <c r="E930" i="49"/>
  <c r="AS868" i="53"/>
  <c r="P921" i="34"/>
  <c r="R921" i="34" s="1"/>
  <c r="R894" i="34"/>
  <c r="E1022" i="34"/>
  <c r="F1022" i="34" s="1"/>
  <c r="Q894" i="34"/>
  <c r="F921" i="34"/>
  <c r="Q943" i="31"/>
  <c r="C807" i="31"/>
  <c r="D807" i="31" s="1"/>
  <c r="F807" i="31" s="1"/>
  <c r="H807" i="31" s="1"/>
  <c r="F892" i="31"/>
  <c r="H892" i="31" s="1"/>
  <c r="T812" i="34"/>
  <c r="G917" i="31"/>
  <c r="G944" i="31" s="1"/>
  <c r="AS847" i="34"/>
  <c r="AS845" i="49"/>
  <c r="Q892" i="31"/>
  <c r="T819" i="49"/>
  <c r="G864" i="31"/>
  <c r="F864" i="31"/>
  <c r="D53" i="2"/>
  <c r="Q53" i="2" s="1"/>
  <c r="R53" i="2" s="1"/>
  <c r="E1031" i="49"/>
  <c r="F1031" i="49" s="1"/>
  <c r="C1031" i="49"/>
  <c r="Q903" i="49"/>
  <c r="P930" i="49"/>
  <c r="R903" i="49"/>
  <c r="E53" i="2"/>
  <c r="T55" i="2" l="1"/>
  <c r="U55" i="2" s="1"/>
  <c r="W55" i="2" s="1"/>
  <c r="Q921" i="34"/>
  <c r="R864" i="31"/>
  <c r="F33" i="25" s="1"/>
  <c r="J807" i="31"/>
  <c r="B917" i="31"/>
  <c r="AE810" i="49"/>
  <c r="AF810" i="49" s="1"/>
  <c r="AH810" i="49" s="1"/>
  <c r="AJ810" i="49" s="1"/>
  <c r="AL810" i="49" s="1"/>
  <c r="G876" i="49"/>
  <c r="F876" i="49"/>
  <c r="AH845" i="49"/>
  <c r="AJ845" i="49" s="1"/>
  <c r="G867" i="34"/>
  <c r="H947" i="34" s="1"/>
  <c r="AE812" i="34"/>
  <c r="AF812" i="34" s="1"/>
  <c r="AH812" i="34" s="1"/>
  <c r="AJ812" i="34" s="1"/>
  <c r="F867" i="34"/>
  <c r="G895" i="34"/>
  <c r="G922" i="34" s="1"/>
  <c r="AH847" i="34"/>
  <c r="AJ847" i="34" s="1"/>
  <c r="Q930" i="49"/>
  <c r="R930" i="49"/>
  <c r="Y56" i="2" l="1"/>
  <c r="X56" i="2"/>
  <c r="Z56" i="2"/>
  <c r="I55" i="2"/>
  <c r="C55" i="2"/>
  <c r="G904" i="49"/>
  <c r="G931" i="49" s="1"/>
  <c r="I956" i="49"/>
  <c r="B944" i="31"/>
  <c r="D917" i="31"/>
  <c r="D944" i="31" s="1"/>
  <c r="C917" i="31"/>
  <c r="C944" i="31" s="1"/>
  <c r="AL812" i="34"/>
  <c r="B895" i="34"/>
  <c r="G947" i="34"/>
  <c r="R867" i="34"/>
  <c r="E33" i="25" s="1"/>
  <c r="H956" i="49"/>
  <c r="AH876" i="49"/>
  <c r="AS876" i="49" s="1"/>
  <c r="D904" i="49" s="1"/>
  <c r="AH911" i="49"/>
  <c r="AS911" i="49" s="1"/>
  <c r="R876" i="49"/>
  <c r="B55" i="2"/>
  <c r="T962" i="78" l="1"/>
  <c r="AJ32" i="2"/>
  <c r="T921" i="68"/>
  <c r="AS959" i="71"/>
  <c r="AS947" i="68"/>
  <c r="T895" i="62"/>
  <c r="T861" i="61"/>
  <c r="AS921" i="62"/>
  <c r="F893" i="31"/>
  <c r="H893" i="31" s="1"/>
  <c r="G865" i="31"/>
  <c r="G918" i="31"/>
  <c r="AS869" i="53"/>
  <c r="T820" i="49"/>
  <c r="T843" i="53"/>
  <c r="F865" i="31"/>
  <c r="AS846" i="49"/>
  <c r="AS887" i="61"/>
  <c r="T813" i="34"/>
  <c r="Q893" i="31"/>
  <c r="C808" i="31"/>
  <c r="D808" i="31" s="1"/>
  <c r="F808" i="31" s="1"/>
  <c r="H808" i="31" s="1"/>
  <c r="B918" i="31" s="1"/>
  <c r="AS848" i="34"/>
  <c r="D55" i="2"/>
  <c r="Q55" i="2" s="1"/>
  <c r="R55" i="2" s="1"/>
  <c r="B904" i="49"/>
  <c r="B931" i="49" s="1"/>
  <c r="D33" i="25"/>
  <c r="E917" i="31"/>
  <c r="E944" i="31" s="1"/>
  <c r="U956" i="49"/>
  <c r="T956" i="49"/>
  <c r="D931" i="49"/>
  <c r="C895" i="34"/>
  <c r="D895" i="34"/>
  <c r="D922" i="34" s="1"/>
  <c r="B922" i="34"/>
  <c r="T947" i="34"/>
  <c r="S947" i="34"/>
  <c r="E55" i="2"/>
  <c r="T57" i="2" l="1"/>
  <c r="C57" i="2" s="1"/>
  <c r="F877" i="49"/>
  <c r="AE811" i="49"/>
  <c r="AF811" i="49" s="1"/>
  <c r="AH811" i="49" s="1"/>
  <c r="AJ811" i="49" s="1"/>
  <c r="G877" i="49"/>
  <c r="AH846" i="49"/>
  <c r="AJ846" i="49" s="1"/>
  <c r="AE813" i="34"/>
  <c r="AF813" i="34" s="1"/>
  <c r="AH813" i="34" s="1"/>
  <c r="AJ813" i="34" s="1"/>
  <c r="B896" i="34" s="1"/>
  <c r="G868" i="34"/>
  <c r="H948" i="34" s="1"/>
  <c r="F868" i="34"/>
  <c r="AH848" i="34"/>
  <c r="AJ848" i="34" s="1"/>
  <c r="G896" i="34"/>
  <c r="R865" i="31"/>
  <c r="F34" i="25" s="1"/>
  <c r="C918" i="31"/>
  <c r="D918" i="31"/>
  <c r="D945" i="31" s="1"/>
  <c r="B945" i="31"/>
  <c r="G945" i="31"/>
  <c r="I808" i="31"/>
  <c r="J808" i="31" s="1"/>
  <c r="C904" i="49"/>
  <c r="E904" i="49" s="1"/>
  <c r="F917" i="31"/>
  <c r="P917" i="31" s="1"/>
  <c r="C984" i="31" s="1"/>
  <c r="C922" i="34"/>
  <c r="E895" i="34"/>
  <c r="B57" i="2"/>
  <c r="T963" i="78" l="1"/>
  <c r="AJ33" i="2"/>
  <c r="T922" i="68"/>
  <c r="AS960" i="71"/>
  <c r="AS962" i="71" s="1"/>
  <c r="AS948" i="68"/>
  <c r="AS950" i="68" s="1"/>
  <c r="T896" i="62"/>
  <c r="T862" i="61"/>
  <c r="AS922" i="62"/>
  <c r="AS924" i="62" s="1"/>
  <c r="I57" i="2"/>
  <c r="I60" i="2" s="1"/>
  <c r="AS870" i="53"/>
  <c r="AS872" i="53" s="1"/>
  <c r="G866" i="31"/>
  <c r="G868" i="31" s="1"/>
  <c r="AS849" i="34"/>
  <c r="AS851" i="34" s="1"/>
  <c r="T844" i="53"/>
  <c r="Q894" i="31"/>
  <c r="Q896" i="31" s="1"/>
  <c r="AS888" i="61"/>
  <c r="AS890" i="61" s="1"/>
  <c r="F894" i="31"/>
  <c r="H894" i="31" s="1"/>
  <c r="H896" i="31" s="1"/>
  <c r="T821" i="49"/>
  <c r="G878" i="49" s="1"/>
  <c r="G880" i="49" s="1"/>
  <c r="C809" i="31"/>
  <c r="D809" i="31" s="1"/>
  <c r="F809" i="31" s="1"/>
  <c r="H809" i="31" s="1"/>
  <c r="G919" i="31"/>
  <c r="I809" i="31" s="1"/>
  <c r="I811" i="31" s="1"/>
  <c r="F866" i="31"/>
  <c r="F868" i="31" s="1"/>
  <c r="AS847" i="49"/>
  <c r="AS849" i="49" s="1"/>
  <c r="T814" i="34"/>
  <c r="AE814" i="34" s="1"/>
  <c r="AF814" i="34" s="1"/>
  <c r="AF816" i="34" s="1"/>
  <c r="D57" i="2"/>
  <c r="U57" i="2"/>
  <c r="W57" i="2" s="1"/>
  <c r="T60" i="2"/>
  <c r="G923" i="34"/>
  <c r="AK813" i="34"/>
  <c r="AL813" i="34" s="1"/>
  <c r="C945" i="31"/>
  <c r="E918" i="31"/>
  <c r="D896" i="34"/>
  <c r="D923" i="34" s="1"/>
  <c r="C896" i="34"/>
  <c r="C923" i="34" s="1"/>
  <c r="B923" i="34"/>
  <c r="AH877" i="49"/>
  <c r="AS877" i="49" s="1"/>
  <c r="D905" i="49" s="1"/>
  <c r="D932" i="49" s="1"/>
  <c r="H957" i="49"/>
  <c r="AH912" i="49"/>
  <c r="AS912" i="49" s="1"/>
  <c r="R877" i="49"/>
  <c r="R868" i="34"/>
  <c r="E34" i="25" s="1"/>
  <c r="G948" i="34"/>
  <c r="G905" i="49"/>
  <c r="I957" i="49"/>
  <c r="C931" i="49"/>
  <c r="R917" i="31"/>
  <c r="Q917" i="31"/>
  <c r="E984" i="31"/>
  <c r="P944" i="31"/>
  <c r="Q944" i="31" s="1"/>
  <c r="F944" i="31"/>
  <c r="E931" i="49"/>
  <c r="F904" i="49"/>
  <c r="E922" i="34"/>
  <c r="F895" i="34"/>
  <c r="E57" i="2"/>
  <c r="Z58" i="2" l="1"/>
  <c r="Y58" i="2"/>
  <c r="X58" i="2"/>
  <c r="I83" i="2"/>
  <c r="F869" i="34"/>
  <c r="G949" i="34" s="1"/>
  <c r="D811" i="31"/>
  <c r="I958" i="49"/>
  <c r="G869" i="34"/>
  <c r="G871" i="34" s="1"/>
  <c r="U60" i="2"/>
  <c r="F811" i="31"/>
  <c r="G897" i="34"/>
  <c r="G924" i="34" s="1"/>
  <c r="F896" i="31"/>
  <c r="AH849" i="34"/>
  <c r="AJ849" i="34" s="1"/>
  <c r="AJ851" i="34" s="1"/>
  <c r="R866" i="31"/>
  <c r="R868" i="31" s="1"/>
  <c r="Q57" i="2"/>
  <c r="R57" i="2" s="1"/>
  <c r="G906" i="49"/>
  <c r="AK812" i="49" s="1"/>
  <c r="AE812" i="49"/>
  <c r="AF812" i="49" s="1"/>
  <c r="AF814" i="49" s="1"/>
  <c r="F878" i="49"/>
  <c r="AH878" i="49" s="1"/>
  <c r="AH880" i="49" s="1"/>
  <c r="G921" i="31"/>
  <c r="G946" i="31"/>
  <c r="AH847" i="49"/>
  <c r="AK811" i="49"/>
  <c r="AL811" i="49" s="1"/>
  <c r="G932" i="49"/>
  <c r="T957" i="49"/>
  <c r="U957" i="49"/>
  <c r="D34" i="25"/>
  <c r="B905" i="49"/>
  <c r="T948" i="34"/>
  <c r="S948" i="34"/>
  <c r="E896" i="34"/>
  <c r="E945" i="31"/>
  <c r="F918" i="31"/>
  <c r="R944" i="31"/>
  <c r="B919" i="31"/>
  <c r="J809" i="31"/>
  <c r="J811" i="31" s="1"/>
  <c r="H811" i="31"/>
  <c r="F922" i="34"/>
  <c r="P895" i="34"/>
  <c r="F931" i="49"/>
  <c r="P904" i="49"/>
  <c r="C83" i="2" l="1"/>
  <c r="F871" i="34"/>
  <c r="H949" i="34"/>
  <c r="AH851" i="34"/>
  <c r="G899" i="34"/>
  <c r="AK814" i="34"/>
  <c r="AK816" i="34" s="1"/>
  <c r="F35" i="25"/>
  <c r="F36" i="25" s="1"/>
  <c r="G908" i="49"/>
  <c r="G933" i="49"/>
  <c r="AH812" i="49"/>
  <c r="AJ812" i="49" s="1"/>
  <c r="AL812" i="49" s="1"/>
  <c r="AS878" i="49"/>
  <c r="D906" i="49" s="1"/>
  <c r="D933" i="49" s="1"/>
  <c r="R878" i="49"/>
  <c r="F880" i="49"/>
  <c r="AH849" i="49"/>
  <c r="AJ847" i="49"/>
  <c r="AJ849" i="49" s="1"/>
  <c r="H958" i="49"/>
  <c r="U958" i="49" s="1"/>
  <c r="AH913" i="49"/>
  <c r="AS913" i="49" s="1"/>
  <c r="AK814" i="49"/>
  <c r="E923" i="34"/>
  <c r="F896" i="34"/>
  <c r="B932" i="49"/>
  <c r="C905" i="49"/>
  <c r="F945" i="31"/>
  <c r="P918" i="31"/>
  <c r="F890" i="53"/>
  <c r="AE824" i="53"/>
  <c r="AF824" i="53" s="1"/>
  <c r="AH859" i="53"/>
  <c r="G890" i="53"/>
  <c r="C1023" i="34"/>
  <c r="P922" i="34"/>
  <c r="E1023" i="34"/>
  <c r="Q895" i="34"/>
  <c r="R895" i="34"/>
  <c r="B921" i="31"/>
  <c r="E921" i="31" s="1"/>
  <c r="B946" i="31"/>
  <c r="C919" i="31"/>
  <c r="D919" i="31"/>
  <c r="Q904" i="49"/>
  <c r="R904" i="49"/>
  <c r="E1032" i="49"/>
  <c r="C1032" i="49"/>
  <c r="P931" i="49"/>
  <c r="B83" i="2"/>
  <c r="T947" i="82" l="1"/>
  <c r="X84" i="2"/>
  <c r="Y84" i="2"/>
  <c r="Z84" i="2"/>
  <c r="AK22" i="2"/>
  <c r="T939" i="79"/>
  <c r="T923" i="71"/>
  <c r="AE876" i="62"/>
  <c r="AF876" i="62" s="1"/>
  <c r="G908" i="61"/>
  <c r="I988" i="61" s="1"/>
  <c r="D83" i="2"/>
  <c r="Q83" i="2" s="1"/>
  <c r="R83" i="2" s="1"/>
  <c r="AH915" i="49"/>
  <c r="T958" i="49"/>
  <c r="D35" i="25"/>
  <c r="B906" i="49"/>
  <c r="E985" i="31"/>
  <c r="Q918" i="31"/>
  <c r="C985" i="31"/>
  <c r="R918" i="31"/>
  <c r="P945" i="31"/>
  <c r="P896" i="34"/>
  <c r="F923" i="34"/>
  <c r="C932" i="49"/>
  <c r="E905" i="49"/>
  <c r="R890" i="53"/>
  <c r="B918" i="53" s="1"/>
  <c r="C918" i="53" s="1"/>
  <c r="AJ859" i="53"/>
  <c r="AH824" i="53"/>
  <c r="I970" i="53"/>
  <c r="G918" i="53"/>
  <c r="H970" i="53"/>
  <c r="AH925" i="53"/>
  <c r="AH890" i="53"/>
  <c r="Q922" i="34"/>
  <c r="R922" i="34"/>
  <c r="E919" i="31"/>
  <c r="E946" i="31" s="1"/>
  <c r="C946" i="31"/>
  <c r="C921" i="31"/>
  <c r="Q931" i="49"/>
  <c r="R931" i="49"/>
  <c r="D946" i="31"/>
  <c r="D921" i="31"/>
  <c r="E83" i="2"/>
  <c r="AE938" i="82" l="1"/>
  <c r="AF938" i="82" s="1"/>
  <c r="AS973" i="82"/>
  <c r="G1004" i="82"/>
  <c r="AH973" i="82"/>
  <c r="F1004" i="82"/>
  <c r="G996" i="79"/>
  <c r="AH965" i="79"/>
  <c r="AE930" i="79"/>
  <c r="AF930" i="79" s="1"/>
  <c r="AS965" i="79"/>
  <c r="F996" i="79"/>
  <c r="AE943" i="78"/>
  <c r="AF943" i="78" s="1"/>
  <c r="AS978" i="78"/>
  <c r="F1009" i="78"/>
  <c r="AH978" i="78"/>
  <c r="G1009" i="78"/>
  <c r="AE914" i="71"/>
  <c r="AF914" i="71" s="1"/>
  <c r="F980" i="71"/>
  <c r="AH949" i="71"/>
  <c r="G980" i="71"/>
  <c r="G968" i="68"/>
  <c r="F968" i="68"/>
  <c r="AH937" i="68"/>
  <c r="AE902" i="68"/>
  <c r="AF902" i="68" s="1"/>
  <c r="T85" i="2"/>
  <c r="C85" i="2" s="1"/>
  <c r="G936" i="61"/>
  <c r="AK842" i="61" s="1"/>
  <c r="AE842" i="61"/>
  <c r="AF842" i="61" s="1"/>
  <c r="AH842" i="61" s="1"/>
  <c r="AJ842" i="61" s="1"/>
  <c r="F908" i="61"/>
  <c r="H988" i="61" s="1"/>
  <c r="U988" i="61" s="1"/>
  <c r="AH877" i="61"/>
  <c r="AJ877" i="61" s="1"/>
  <c r="AH911" i="62"/>
  <c r="AJ911" i="62" s="1"/>
  <c r="F942" i="62"/>
  <c r="G942" i="62"/>
  <c r="AH876" i="62"/>
  <c r="C906" i="49"/>
  <c r="C933" i="49" s="1"/>
  <c r="B933" i="49"/>
  <c r="E1024" i="34"/>
  <c r="P923" i="34"/>
  <c r="Q896" i="34"/>
  <c r="R896" i="34"/>
  <c r="C1024" i="34"/>
  <c r="F905" i="49"/>
  <c r="E932" i="49"/>
  <c r="R945" i="31"/>
  <c r="Q945" i="31"/>
  <c r="AJ824" i="53"/>
  <c r="G945" i="53"/>
  <c r="AK824" i="53"/>
  <c r="AS925" i="53"/>
  <c r="C24" i="25"/>
  <c r="AS890" i="53"/>
  <c r="D918" i="53" s="1"/>
  <c r="U970" i="53"/>
  <c r="T970" i="53"/>
  <c r="AH860" i="53"/>
  <c r="AE825" i="53"/>
  <c r="AF825" i="53" s="1"/>
  <c r="G891" i="53"/>
  <c r="F891" i="53"/>
  <c r="F919" i="31"/>
  <c r="B85" i="2"/>
  <c r="T948" i="82" l="1"/>
  <c r="H1084" i="82"/>
  <c r="AH1039" i="82"/>
  <c r="AH1004" i="82"/>
  <c r="R1004" i="82"/>
  <c r="AJ973" i="82"/>
  <c r="I1084" i="82"/>
  <c r="Y1084" i="82" s="1"/>
  <c r="G1032" i="82"/>
  <c r="AH938" i="82"/>
  <c r="AK23" i="2"/>
  <c r="T940" i="79"/>
  <c r="H1076" i="79"/>
  <c r="AH1031" i="79"/>
  <c r="AH996" i="79"/>
  <c r="R996" i="79"/>
  <c r="AH930" i="79"/>
  <c r="AJ965" i="79"/>
  <c r="I1076" i="79"/>
  <c r="Y1076" i="79" s="1"/>
  <c r="G1024" i="79"/>
  <c r="I1089" i="78"/>
  <c r="Y1089" i="78" s="1"/>
  <c r="G1037" i="78"/>
  <c r="AH943" i="78"/>
  <c r="H1089" i="78"/>
  <c r="AH1009" i="78"/>
  <c r="AH1044" i="78"/>
  <c r="R1009" i="78"/>
  <c r="AJ978" i="78"/>
  <c r="T924" i="71"/>
  <c r="I1060" i="71"/>
  <c r="Y1060" i="71" s="1"/>
  <c r="G1008" i="71"/>
  <c r="AJ949" i="71"/>
  <c r="AH1015" i="71"/>
  <c r="H1060" i="71"/>
  <c r="AH980" i="71"/>
  <c r="R980" i="71"/>
  <c r="AH914" i="71"/>
  <c r="AH902" i="68"/>
  <c r="AJ937" i="68"/>
  <c r="R968" i="68"/>
  <c r="AH1003" i="68"/>
  <c r="H1048" i="68"/>
  <c r="AH968" i="68"/>
  <c r="G996" i="68"/>
  <c r="I1048" i="68"/>
  <c r="Y1048" i="68" s="1"/>
  <c r="AH977" i="62"/>
  <c r="AS977" i="62" s="1"/>
  <c r="R942" i="62"/>
  <c r="B970" i="62" s="1"/>
  <c r="U85" i="2"/>
  <c r="W85" i="2" s="1"/>
  <c r="I85" i="2"/>
  <c r="G943" i="62"/>
  <c r="AE843" i="61"/>
  <c r="AF843" i="61" s="1"/>
  <c r="AH843" i="61" s="1"/>
  <c r="D85" i="2"/>
  <c r="G963" i="61"/>
  <c r="AH943" i="61"/>
  <c r="AS943" i="61" s="1"/>
  <c r="T988" i="61"/>
  <c r="AH908" i="61"/>
  <c r="AS908" i="61" s="1"/>
  <c r="D936" i="61" s="1"/>
  <c r="R908" i="61"/>
  <c r="B936" i="61" s="1"/>
  <c r="C936" i="61" s="1"/>
  <c r="H1022" i="62"/>
  <c r="AH942" i="62"/>
  <c r="AS942" i="62" s="1"/>
  <c r="I1022" i="62"/>
  <c r="Y1022" i="62" s="1"/>
  <c r="G970" i="62"/>
  <c r="G997" i="62" s="1"/>
  <c r="AJ876" i="62"/>
  <c r="E906" i="49"/>
  <c r="F906" i="49" s="1"/>
  <c r="R923" i="34"/>
  <c r="Q923" i="34"/>
  <c r="F932" i="49"/>
  <c r="P905" i="49"/>
  <c r="AL842" i="61"/>
  <c r="H971" i="53"/>
  <c r="R891" i="53"/>
  <c r="AH891" i="53"/>
  <c r="AH926" i="53"/>
  <c r="I971" i="53"/>
  <c r="G919" i="53"/>
  <c r="AH825" i="53"/>
  <c r="AJ860" i="53"/>
  <c r="B945" i="53"/>
  <c r="AL824" i="53"/>
  <c r="P919" i="31"/>
  <c r="F921" i="31"/>
  <c r="P921" i="31" s="1"/>
  <c r="F946" i="31"/>
  <c r="E85" i="2"/>
  <c r="AJ938" i="82" l="1"/>
  <c r="B1032" i="82"/>
  <c r="AS1039" i="82"/>
  <c r="G1059" i="82"/>
  <c r="AK938" i="82"/>
  <c r="X1084" i="82"/>
  <c r="U1084" i="82"/>
  <c r="T1084" i="82"/>
  <c r="AS1004" i="82"/>
  <c r="AH1112" i="82"/>
  <c r="AH1113" i="82"/>
  <c r="AE939" i="82"/>
  <c r="AF939" i="82" s="1"/>
  <c r="F1005" i="82"/>
  <c r="AH974" i="82"/>
  <c r="AS974" i="82"/>
  <c r="G1005" i="82"/>
  <c r="X86" i="2"/>
  <c r="Y86" i="2"/>
  <c r="Z86" i="2"/>
  <c r="B1024" i="79"/>
  <c r="AS996" i="79"/>
  <c r="AH1104" i="79"/>
  <c r="AH1105" i="79"/>
  <c r="G1051" i="79"/>
  <c r="AK930" i="79"/>
  <c r="AS1031" i="79"/>
  <c r="X1076" i="79"/>
  <c r="T1076" i="79"/>
  <c r="U1076" i="79"/>
  <c r="AJ930" i="79"/>
  <c r="AE931" i="79"/>
  <c r="AF931" i="79" s="1"/>
  <c r="F997" i="79"/>
  <c r="AH966" i="79"/>
  <c r="AS966" i="79"/>
  <c r="G997" i="79"/>
  <c r="AE944" i="78"/>
  <c r="AF944" i="78" s="1"/>
  <c r="G1010" i="78"/>
  <c r="F1010" i="78"/>
  <c r="AS979" i="78"/>
  <c r="AH979" i="78"/>
  <c r="X1089" i="78"/>
  <c r="U1089" i="78"/>
  <c r="T1089" i="78"/>
  <c r="AJ943" i="78"/>
  <c r="AS1009" i="78"/>
  <c r="B1037" i="78"/>
  <c r="G1064" i="78"/>
  <c r="AK943" i="78"/>
  <c r="AS1044" i="78"/>
  <c r="AH1117" i="78"/>
  <c r="AH1118" i="78"/>
  <c r="AJ914" i="71"/>
  <c r="B1008" i="71"/>
  <c r="AS1015" i="71"/>
  <c r="G1035" i="71"/>
  <c r="AK914" i="71"/>
  <c r="AS980" i="71"/>
  <c r="AH1088" i="71"/>
  <c r="AH1089" i="71"/>
  <c r="X1060" i="71"/>
  <c r="U1060" i="71"/>
  <c r="T1060" i="71"/>
  <c r="AE915" i="71"/>
  <c r="AF915" i="71" s="1"/>
  <c r="F981" i="71"/>
  <c r="AH950" i="71"/>
  <c r="G981" i="71"/>
  <c r="AS968" i="68"/>
  <c r="AE903" i="68"/>
  <c r="AF903" i="68" s="1"/>
  <c r="F969" i="68"/>
  <c r="G969" i="68"/>
  <c r="AH938" i="68"/>
  <c r="AH1077" i="68"/>
  <c r="AH1076" i="68"/>
  <c r="X1048" i="68"/>
  <c r="T1048" i="68"/>
  <c r="U1048" i="68"/>
  <c r="G1023" i="68"/>
  <c r="AK902" i="68"/>
  <c r="AS1003" i="68"/>
  <c r="B996" i="68"/>
  <c r="AJ902" i="68"/>
  <c r="T1022" i="62"/>
  <c r="X1022" i="62"/>
  <c r="AH1050" i="62"/>
  <c r="AH1051" i="62"/>
  <c r="T87" i="2"/>
  <c r="C87" i="2" s="1"/>
  <c r="D87" i="2" s="1"/>
  <c r="F909" i="61"/>
  <c r="AH909" i="61" s="1"/>
  <c r="AS909" i="61" s="1"/>
  <c r="Q85" i="2"/>
  <c r="R85" i="2" s="1"/>
  <c r="F943" i="62"/>
  <c r="AH912" i="62"/>
  <c r="AJ912" i="62" s="1"/>
  <c r="AE877" i="62"/>
  <c r="AF877" i="62" s="1"/>
  <c r="AH877" i="62" s="1"/>
  <c r="AH878" i="61"/>
  <c r="AJ878" i="61" s="1"/>
  <c r="G909" i="61"/>
  <c r="G937" i="61" s="1"/>
  <c r="AK843" i="61" s="1"/>
  <c r="B963" i="61"/>
  <c r="AU908" i="61"/>
  <c r="U1022" i="62"/>
  <c r="AK876" i="62"/>
  <c r="AL876" i="62" s="1"/>
  <c r="D970" i="62"/>
  <c r="AU942" i="62"/>
  <c r="I1023" i="62"/>
  <c r="Y1023" i="62" s="1"/>
  <c r="G971" i="62"/>
  <c r="B997" i="62"/>
  <c r="C970" i="62"/>
  <c r="E933" i="49"/>
  <c r="P906" i="49"/>
  <c r="F933" i="49"/>
  <c r="R905" i="49"/>
  <c r="E1033" i="49"/>
  <c r="Q905" i="49"/>
  <c r="P932" i="49"/>
  <c r="C1033" i="49"/>
  <c r="D963" i="61"/>
  <c r="C963" i="61"/>
  <c r="E936" i="61"/>
  <c r="E963" i="61" s="1"/>
  <c r="AJ843" i="61"/>
  <c r="AJ825" i="53"/>
  <c r="U971" i="53"/>
  <c r="T971" i="53"/>
  <c r="E918" i="53"/>
  <c r="E945" i="53" s="1"/>
  <c r="C945" i="53"/>
  <c r="G946" i="53"/>
  <c r="AK825" i="53"/>
  <c r="AS891" i="53"/>
  <c r="C25" i="25"/>
  <c r="B919" i="53"/>
  <c r="D945" i="53"/>
  <c r="AS926" i="53"/>
  <c r="AH861" i="53"/>
  <c r="F892" i="53"/>
  <c r="G892" i="53"/>
  <c r="AE826" i="53"/>
  <c r="AF826" i="53" s="1"/>
  <c r="Q919" i="31"/>
  <c r="Q921" i="31" s="1"/>
  <c r="C986" i="31"/>
  <c r="C989" i="31" s="1"/>
  <c r="R919" i="31"/>
  <c r="R921" i="31" s="1"/>
  <c r="P946" i="31"/>
  <c r="E986" i="31"/>
  <c r="B87" i="2"/>
  <c r="T949" i="82" l="1"/>
  <c r="D1032" i="82"/>
  <c r="AU1004" i="82"/>
  <c r="I1085" i="82"/>
  <c r="Y1085" i="82" s="1"/>
  <c r="G1033" i="82"/>
  <c r="AJ974" i="82"/>
  <c r="H1085" i="82"/>
  <c r="AH1040" i="82"/>
  <c r="AH1005" i="82"/>
  <c r="R1005" i="82"/>
  <c r="AG1112" i="82"/>
  <c r="AG1113" i="82"/>
  <c r="AL938" i="82"/>
  <c r="AH939" i="82"/>
  <c r="B1059" i="82"/>
  <c r="C1032" i="82"/>
  <c r="AK24" i="2"/>
  <c r="T941" i="79"/>
  <c r="AL930" i="79"/>
  <c r="AG1104" i="79"/>
  <c r="AG1105" i="79"/>
  <c r="AJ966" i="79"/>
  <c r="D1024" i="79"/>
  <c r="AU996" i="79"/>
  <c r="I1077" i="79"/>
  <c r="Y1077" i="79" s="1"/>
  <c r="G1025" i="79"/>
  <c r="H1077" i="79"/>
  <c r="AH997" i="79"/>
  <c r="AH1032" i="79"/>
  <c r="R997" i="79"/>
  <c r="AH931" i="79"/>
  <c r="B1051" i="79"/>
  <c r="C1024" i="79"/>
  <c r="E1024" i="79" s="1"/>
  <c r="E1051" i="79" s="1"/>
  <c r="B1064" i="78"/>
  <c r="C1037" i="78"/>
  <c r="E1037" i="78" s="1"/>
  <c r="E1064" i="78" s="1"/>
  <c r="AG1117" i="78"/>
  <c r="AG1118" i="78"/>
  <c r="D1037" i="78"/>
  <c r="AU1009" i="78"/>
  <c r="AJ979" i="78"/>
  <c r="AL943" i="78"/>
  <c r="H1090" i="78"/>
  <c r="AH1045" i="78"/>
  <c r="AH1010" i="78"/>
  <c r="R1010" i="78"/>
  <c r="I1090" i="78"/>
  <c r="Y1090" i="78" s="1"/>
  <c r="G1038" i="78"/>
  <c r="AH944" i="78"/>
  <c r="T925" i="71"/>
  <c r="AJ950" i="71"/>
  <c r="C1008" i="71"/>
  <c r="B1035" i="71"/>
  <c r="AH1016" i="71"/>
  <c r="AH981" i="71"/>
  <c r="H1061" i="71"/>
  <c r="R981" i="71"/>
  <c r="AG1089" i="71"/>
  <c r="AG1088" i="71"/>
  <c r="D1008" i="71"/>
  <c r="AU980" i="71"/>
  <c r="AH915" i="71"/>
  <c r="AL914" i="71"/>
  <c r="I1061" i="71"/>
  <c r="Y1061" i="71" s="1"/>
  <c r="G1009" i="71"/>
  <c r="AH1004" i="68"/>
  <c r="H1049" i="68"/>
  <c r="AH969" i="68"/>
  <c r="R969" i="68"/>
  <c r="AL902" i="68"/>
  <c r="AH903" i="68"/>
  <c r="AJ938" i="68"/>
  <c r="B1023" i="68"/>
  <c r="C996" i="68"/>
  <c r="E996" i="68" s="1"/>
  <c r="E1023" i="68" s="1"/>
  <c r="AG1077" i="68"/>
  <c r="AG1076" i="68"/>
  <c r="G997" i="68"/>
  <c r="I1049" i="68"/>
  <c r="Y1049" i="68" s="1"/>
  <c r="AU968" i="68"/>
  <c r="D996" i="68"/>
  <c r="AH1054" i="62"/>
  <c r="AH1053" i="62"/>
  <c r="AG1051" i="62"/>
  <c r="AG1050" i="62"/>
  <c r="AH943" i="62"/>
  <c r="AS943" i="62" s="1"/>
  <c r="R943" i="62"/>
  <c r="H989" i="61"/>
  <c r="I87" i="2"/>
  <c r="U87" i="2"/>
  <c r="W87" i="2" s="1"/>
  <c r="AH978" i="62"/>
  <c r="AS978" i="62" s="1"/>
  <c r="AH879" i="61"/>
  <c r="AJ879" i="61" s="1"/>
  <c r="G944" i="62"/>
  <c r="H1023" i="62"/>
  <c r="X1023" i="62" s="1"/>
  <c r="AH944" i="61"/>
  <c r="AS944" i="61" s="1"/>
  <c r="I989" i="61"/>
  <c r="G964" i="61"/>
  <c r="R909" i="61"/>
  <c r="B937" i="61" s="1"/>
  <c r="B964" i="61" s="1"/>
  <c r="G998" i="62"/>
  <c r="AK877" i="62"/>
  <c r="C997" i="62"/>
  <c r="D997" i="62"/>
  <c r="AJ877" i="62"/>
  <c r="E970" i="62"/>
  <c r="E997" i="62" s="1"/>
  <c r="C1034" i="49"/>
  <c r="E1034" i="49"/>
  <c r="F1034" i="49" s="1"/>
  <c r="Q906" i="49"/>
  <c r="P933" i="49"/>
  <c r="R906" i="49"/>
  <c r="R932" i="49"/>
  <c r="Q932" i="49"/>
  <c r="D937" i="61"/>
  <c r="AL843" i="61"/>
  <c r="F936" i="61"/>
  <c r="AJ861" i="53"/>
  <c r="AL825" i="53"/>
  <c r="AH826" i="53"/>
  <c r="F918" i="53"/>
  <c r="I972" i="53"/>
  <c r="G920" i="53"/>
  <c r="D919" i="53"/>
  <c r="AH892" i="53"/>
  <c r="H972" i="53"/>
  <c r="AH927" i="53"/>
  <c r="R892" i="53"/>
  <c r="B946" i="53"/>
  <c r="C919" i="53"/>
  <c r="E989" i="31"/>
  <c r="F986" i="31"/>
  <c r="Q946" i="31"/>
  <c r="R946" i="31"/>
  <c r="E87" i="2"/>
  <c r="G1060" i="82" l="1"/>
  <c r="AK939" i="82"/>
  <c r="AS1005" i="82"/>
  <c r="AH1116" i="82"/>
  <c r="AH1115" i="82"/>
  <c r="B1033" i="82"/>
  <c r="AJ939" i="82"/>
  <c r="AS1040" i="82"/>
  <c r="AH1103" i="82"/>
  <c r="AS1103" i="82" s="1"/>
  <c r="AH1106" i="82"/>
  <c r="AS1106" i="82" s="1"/>
  <c r="AH1104" i="82"/>
  <c r="AS1104" i="82" s="1"/>
  <c r="AH1102" i="82"/>
  <c r="AS1102" i="82" s="1"/>
  <c r="AH1094" i="82"/>
  <c r="AS1094" i="82" s="1"/>
  <c r="AH1091" i="82"/>
  <c r="AS1091" i="82" s="1"/>
  <c r="AH1101" i="82"/>
  <c r="AS1101" i="82" s="1"/>
  <c r="AH1097" i="82"/>
  <c r="AS1097" i="82" s="1"/>
  <c r="AH1092" i="82"/>
  <c r="AS1092" i="82" s="1"/>
  <c r="AH1089" i="82"/>
  <c r="AS1089" i="82" s="1"/>
  <c r="X1085" i="82"/>
  <c r="AH1100" i="82"/>
  <c r="AS1100" i="82" s="1"/>
  <c r="AH1096" i="82"/>
  <c r="AS1096" i="82" s="1"/>
  <c r="AH1087" i="82"/>
  <c r="AS1087" i="82" s="1"/>
  <c r="AH1085" i="82"/>
  <c r="AS1085" i="82" s="1"/>
  <c r="AH1105" i="82"/>
  <c r="AS1105" i="82" s="1"/>
  <c r="AH1099" i="82"/>
  <c r="AS1099" i="82" s="1"/>
  <c r="AH1095" i="82"/>
  <c r="AS1095" i="82" s="1"/>
  <c r="AH1093" i="82"/>
  <c r="AS1093" i="82" s="1"/>
  <c r="AH1090" i="82"/>
  <c r="AS1090" i="82" s="1"/>
  <c r="AH1088" i="82"/>
  <c r="AS1088" i="82" s="1"/>
  <c r="AH1086" i="82"/>
  <c r="AS1086" i="82" s="1"/>
  <c r="AH1098" i="82"/>
  <c r="AS1098" i="82" s="1"/>
  <c r="AH1107" i="82"/>
  <c r="AS1107" i="82" s="1"/>
  <c r="AH1084" i="82"/>
  <c r="T1085" i="82"/>
  <c r="U1085" i="82"/>
  <c r="D1059" i="82"/>
  <c r="C1059" i="82"/>
  <c r="E1032" i="82"/>
  <c r="E1059" i="82" s="1"/>
  <c r="AE940" i="82"/>
  <c r="AF940" i="82" s="1"/>
  <c r="G1006" i="82"/>
  <c r="AS975" i="82"/>
  <c r="F1006" i="82"/>
  <c r="AH975" i="82"/>
  <c r="Q87" i="2"/>
  <c r="R87" i="2" s="1"/>
  <c r="X88" i="2"/>
  <c r="Y88" i="2"/>
  <c r="Z88" i="2"/>
  <c r="D1051" i="79"/>
  <c r="F1024" i="79"/>
  <c r="M1024" i="79"/>
  <c r="AH1095" i="79"/>
  <c r="AS1095" i="79" s="1"/>
  <c r="AH1093" i="79"/>
  <c r="AS1093" i="79" s="1"/>
  <c r="AH1098" i="79"/>
  <c r="AS1098" i="79" s="1"/>
  <c r="AH1091" i="79"/>
  <c r="AS1091" i="79" s="1"/>
  <c r="AH1089" i="79"/>
  <c r="AS1089" i="79" s="1"/>
  <c r="AH1087" i="79"/>
  <c r="AS1087" i="79" s="1"/>
  <c r="AH1085" i="79"/>
  <c r="AS1085" i="79" s="1"/>
  <c r="AH1096" i="79"/>
  <c r="AS1096" i="79" s="1"/>
  <c r="AH1094" i="79"/>
  <c r="AS1094" i="79" s="1"/>
  <c r="AH1099" i="79"/>
  <c r="AS1099" i="79" s="1"/>
  <c r="AH1092" i="79"/>
  <c r="AS1092" i="79" s="1"/>
  <c r="AH1084" i="79"/>
  <c r="AS1084" i="79" s="1"/>
  <c r="AH1080" i="79"/>
  <c r="AS1080" i="79" s="1"/>
  <c r="AH1083" i="79"/>
  <c r="AS1083" i="79" s="1"/>
  <c r="AH1088" i="79"/>
  <c r="AS1088" i="79" s="1"/>
  <c r="X1077" i="79"/>
  <c r="AH1078" i="79"/>
  <c r="AS1078" i="79" s="1"/>
  <c r="AH1076" i="79"/>
  <c r="AH1097" i="79"/>
  <c r="AS1097" i="79" s="1"/>
  <c r="AH1090" i="79"/>
  <c r="AS1090" i="79" s="1"/>
  <c r="AH1081" i="79"/>
  <c r="AS1081" i="79" s="1"/>
  <c r="AH1086" i="79"/>
  <c r="AS1086" i="79" s="1"/>
  <c r="AH1082" i="79"/>
  <c r="AS1082" i="79" s="1"/>
  <c r="AH1077" i="79"/>
  <c r="AS1077" i="79" s="1"/>
  <c r="AH1079" i="79"/>
  <c r="AS1079" i="79" s="1"/>
  <c r="U1077" i="79"/>
  <c r="T1077" i="79"/>
  <c r="G1052" i="79"/>
  <c r="AK931" i="79"/>
  <c r="AJ931" i="79"/>
  <c r="AH1108" i="79"/>
  <c r="AH1107" i="79"/>
  <c r="C1051" i="79"/>
  <c r="B1025" i="79"/>
  <c r="AS1032" i="79"/>
  <c r="AS997" i="79"/>
  <c r="AE932" i="79"/>
  <c r="AF932" i="79" s="1"/>
  <c r="F998" i="79"/>
  <c r="G998" i="79"/>
  <c r="AH967" i="79"/>
  <c r="AS967" i="79"/>
  <c r="G1011" i="78"/>
  <c r="AE945" i="78"/>
  <c r="AF945" i="78" s="1"/>
  <c r="AH980" i="78"/>
  <c r="AS980" i="78"/>
  <c r="F1011" i="78"/>
  <c r="G1065" i="78"/>
  <c r="AK944" i="78"/>
  <c r="D1064" i="78"/>
  <c r="M1037" i="78"/>
  <c r="F1037" i="78"/>
  <c r="AH1121" i="78"/>
  <c r="AH1120" i="78"/>
  <c r="C1064" i="78"/>
  <c r="AH1108" i="78"/>
  <c r="AS1108" i="78" s="1"/>
  <c r="AH1106" i="78"/>
  <c r="AS1106" i="78" s="1"/>
  <c r="AH1111" i="78"/>
  <c r="AS1111" i="78" s="1"/>
  <c r="AH1104" i="78"/>
  <c r="AS1104" i="78" s="1"/>
  <c r="AH1102" i="78"/>
  <c r="AS1102" i="78" s="1"/>
  <c r="AH1100" i="78"/>
  <c r="AS1100" i="78" s="1"/>
  <c r="AH1098" i="78"/>
  <c r="AS1098" i="78" s="1"/>
  <c r="AH1112" i="78"/>
  <c r="AS1112" i="78" s="1"/>
  <c r="AH1110" i="78"/>
  <c r="AS1110" i="78" s="1"/>
  <c r="AH1105" i="78"/>
  <c r="AS1105" i="78" s="1"/>
  <c r="AH1103" i="78"/>
  <c r="AS1103" i="78" s="1"/>
  <c r="AH1094" i="78"/>
  <c r="AS1094" i="78" s="1"/>
  <c r="X1090" i="78"/>
  <c r="AH1095" i="78"/>
  <c r="AS1095" i="78" s="1"/>
  <c r="AH1096" i="78"/>
  <c r="AS1096" i="78" s="1"/>
  <c r="AH1109" i="78"/>
  <c r="AS1109" i="78" s="1"/>
  <c r="AH1097" i="78"/>
  <c r="AS1097" i="78" s="1"/>
  <c r="AH1091" i="78"/>
  <c r="AS1091" i="78" s="1"/>
  <c r="AH1089" i="78"/>
  <c r="AH1107" i="78"/>
  <c r="AS1107" i="78" s="1"/>
  <c r="AH1099" i="78"/>
  <c r="AS1099" i="78" s="1"/>
  <c r="AH1093" i="78"/>
  <c r="AS1093" i="78" s="1"/>
  <c r="AH1101" i="78"/>
  <c r="AS1101" i="78" s="1"/>
  <c r="AH1092" i="78"/>
  <c r="AS1092" i="78" s="1"/>
  <c r="AH1090" i="78"/>
  <c r="AS1090" i="78" s="1"/>
  <c r="U1090" i="78"/>
  <c r="T1090" i="78"/>
  <c r="B1038" i="78"/>
  <c r="AS1010" i="78"/>
  <c r="AJ944" i="78"/>
  <c r="AS1045" i="78"/>
  <c r="G1036" i="71"/>
  <c r="AK915" i="71"/>
  <c r="D1035" i="71"/>
  <c r="C1035" i="71"/>
  <c r="AH1092" i="71"/>
  <c r="AH1091" i="71"/>
  <c r="B1009" i="71"/>
  <c r="AJ915" i="71"/>
  <c r="AH1081" i="71"/>
  <c r="AS1081" i="71" s="1"/>
  <c r="AH1073" i="71"/>
  <c r="AS1073" i="71" s="1"/>
  <c r="AH1066" i="71"/>
  <c r="AS1066" i="71" s="1"/>
  <c r="AH1082" i="71"/>
  <c r="AS1082" i="71" s="1"/>
  <c r="AH1080" i="71"/>
  <c r="AS1080" i="71" s="1"/>
  <c r="AH1074" i="71"/>
  <c r="AS1074" i="71" s="1"/>
  <c r="AH1065" i="71"/>
  <c r="AS1065" i="71" s="1"/>
  <c r="AH1083" i="71"/>
  <c r="AS1083" i="71" s="1"/>
  <c r="AH1075" i="71"/>
  <c r="AS1075" i="71" s="1"/>
  <c r="AH1071" i="71"/>
  <c r="AS1071" i="71" s="1"/>
  <c r="AH1079" i="71"/>
  <c r="AS1079" i="71" s="1"/>
  <c r="AH1063" i="71"/>
  <c r="AS1063" i="71" s="1"/>
  <c r="AH1062" i="71"/>
  <c r="AS1062" i="71" s="1"/>
  <c r="AH1061" i="71"/>
  <c r="AS1061" i="71" s="1"/>
  <c r="AH1060" i="71"/>
  <c r="AH1069" i="71"/>
  <c r="AS1069" i="71" s="1"/>
  <c r="AH1068" i="71"/>
  <c r="AS1068" i="71" s="1"/>
  <c r="AH1067" i="71"/>
  <c r="AS1067" i="71" s="1"/>
  <c r="AH1064" i="71"/>
  <c r="AS1064" i="71" s="1"/>
  <c r="AH1072" i="71"/>
  <c r="AS1072" i="71" s="1"/>
  <c r="AH1070" i="71"/>
  <c r="AS1070" i="71" s="1"/>
  <c r="AH1078" i="71"/>
  <c r="AS1078" i="71" s="1"/>
  <c r="AH1076" i="71"/>
  <c r="AS1076" i="71" s="1"/>
  <c r="AH1077" i="71"/>
  <c r="AS1077" i="71" s="1"/>
  <c r="X1061" i="71"/>
  <c r="U1061" i="71"/>
  <c r="T1061" i="71"/>
  <c r="E1008" i="71"/>
  <c r="E1035" i="71" s="1"/>
  <c r="AS1016" i="71"/>
  <c r="AS981" i="71"/>
  <c r="AE916" i="71"/>
  <c r="AF916" i="71" s="1"/>
  <c r="AH951" i="71"/>
  <c r="G982" i="71"/>
  <c r="F982" i="71"/>
  <c r="AJ903" i="68"/>
  <c r="B997" i="68"/>
  <c r="F970" i="68"/>
  <c r="AH939" i="68"/>
  <c r="AE904" i="68"/>
  <c r="AF904" i="68" s="1"/>
  <c r="G970" i="68"/>
  <c r="AH1080" i="68"/>
  <c r="AH1079" i="68"/>
  <c r="AS969" i="68"/>
  <c r="D1023" i="68"/>
  <c r="M996" i="68"/>
  <c r="O996" i="68" s="1"/>
  <c r="F996" i="68"/>
  <c r="AK903" i="68"/>
  <c r="G1024" i="68"/>
  <c r="AH1070" i="68"/>
  <c r="AS1070" i="68" s="1"/>
  <c r="AH1066" i="68"/>
  <c r="AS1066" i="68" s="1"/>
  <c r="AH1052" i="68"/>
  <c r="AS1052" i="68" s="1"/>
  <c r="AH1048" i="68"/>
  <c r="AH1057" i="68"/>
  <c r="AS1057" i="68" s="1"/>
  <c r="AH1054" i="68"/>
  <c r="AS1054" i="68" s="1"/>
  <c r="AH1067" i="68"/>
  <c r="AS1067" i="68" s="1"/>
  <c r="AH1050" i="68"/>
  <c r="AS1050" i="68" s="1"/>
  <c r="AH1056" i="68"/>
  <c r="AS1056" i="68" s="1"/>
  <c r="AH1065" i="68"/>
  <c r="AS1065" i="68" s="1"/>
  <c r="AH1049" i="68"/>
  <c r="AS1049" i="68" s="1"/>
  <c r="AH1055" i="68"/>
  <c r="AS1055" i="68" s="1"/>
  <c r="AH1069" i="68"/>
  <c r="AS1069" i="68" s="1"/>
  <c r="AH1071" i="68"/>
  <c r="AS1071" i="68" s="1"/>
  <c r="AH1064" i="68"/>
  <c r="AS1064" i="68" s="1"/>
  <c r="AH1051" i="68"/>
  <c r="AS1051" i="68" s="1"/>
  <c r="AH1063" i="68"/>
  <c r="AS1063" i="68" s="1"/>
  <c r="AH1058" i="68"/>
  <c r="AS1058" i="68" s="1"/>
  <c r="X1049" i="68"/>
  <c r="AH1068" i="68"/>
  <c r="AS1068" i="68" s="1"/>
  <c r="AH1062" i="68"/>
  <c r="AS1062" i="68" s="1"/>
  <c r="AH1061" i="68"/>
  <c r="AS1061" i="68" s="1"/>
  <c r="T1049" i="68"/>
  <c r="AH1053" i="68"/>
  <c r="AS1053" i="68" s="1"/>
  <c r="AH1060" i="68"/>
  <c r="AS1060" i="68" s="1"/>
  <c r="AH1059" i="68"/>
  <c r="AS1059" i="68" s="1"/>
  <c r="U1049" i="68"/>
  <c r="C1023" i="68"/>
  <c r="AS1004" i="68"/>
  <c r="M970" i="62"/>
  <c r="AG1053" i="62"/>
  <c r="AG1054" i="62"/>
  <c r="U1023" i="62"/>
  <c r="AF1054" i="62"/>
  <c r="AF1053" i="62"/>
  <c r="B971" i="62"/>
  <c r="B998" i="62" s="1"/>
  <c r="T89" i="2"/>
  <c r="C89" i="2" s="1"/>
  <c r="U989" i="61"/>
  <c r="T1023" i="62"/>
  <c r="AE878" i="62"/>
  <c r="AF878" i="62" s="1"/>
  <c r="AH878" i="62" s="1"/>
  <c r="F910" i="61"/>
  <c r="AH910" i="61" s="1"/>
  <c r="AS910" i="61" s="1"/>
  <c r="G910" i="61"/>
  <c r="G938" i="61" s="1"/>
  <c r="G965" i="61" s="1"/>
  <c r="T989" i="61"/>
  <c r="F944" i="62"/>
  <c r="AH979" i="62" s="1"/>
  <c r="AH913" i="62"/>
  <c r="AJ913" i="62" s="1"/>
  <c r="AE844" i="61"/>
  <c r="AF844" i="61" s="1"/>
  <c r="AH844" i="61" s="1"/>
  <c r="AJ844" i="61" s="1"/>
  <c r="C937" i="61"/>
  <c r="C964" i="61" s="1"/>
  <c r="AU909" i="61"/>
  <c r="I1024" i="62"/>
  <c r="Y1024" i="62" s="1"/>
  <c r="G972" i="62"/>
  <c r="F970" i="62"/>
  <c r="S970" i="62" s="1"/>
  <c r="D971" i="62"/>
  <c r="AU943" i="62"/>
  <c r="AL877" i="62"/>
  <c r="Q933" i="49"/>
  <c r="R933" i="49"/>
  <c r="F963" i="61"/>
  <c r="S936" i="61"/>
  <c r="D964" i="61"/>
  <c r="C26" i="25"/>
  <c r="B920" i="53"/>
  <c r="AE827" i="53"/>
  <c r="AF827" i="53" s="1"/>
  <c r="G893" i="53"/>
  <c r="F893" i="53"/>
  <c r="AH862" i="53"/>
  <c r="E919" i="53"/>
  <c r="E946" i="53" s="1"/>
  <c r="C946" i="53"/>
  <c r="AS927" i="53"/>
  <c r="D946" i="53"/>
  <c r="P918" i="53"/>
  <c r="F945" i="53"/>
  <c r="AH987" i="53"/>
  <c r="AS987" i="53" s="1"/>
  <c r="AH986" i="53"/>
  <c r="AS986" i="53" s="1"/>
  <c r="AH984" i="53"/>
  <c r="AS984" i="53" s="1"/>
  <c r="AH977" i="53"/>
  <c r="AS977" i="53" s="1"/>
  <c r="AH975" i="53"/>
  <c r="AS975" i="53" s="1"/>
  <c r="AH973" i="53"/>
  <c r="AS973" i="53" s="1"/>
  <c r="U972" i="53"/>
  <c r="AH988" i="53"/>
  <c r="AS988" i="53" s="1"/>
  <c r="AH982" i="53"/>
  <c r="AS982" i="53" s="1"/>
  <c r="AH978" i="53"/>
  <c r="AS978" i="53" s="1"/>
  <c r="AH985" i="53"/>
  <c r="AS985" i="53" s="1"/>
  <c r="AH976" i="53"/>
  <c r="AS976" i="53" s="1"/>
  <c r="AH970" i="53"/>
  <c r="AH993" i="53"/>
  <c r="AS993" i="53" s="1"/>
  <c r="AH990" i="53"/>
  <c r="AS990" i="53" s="1"/>
  <c r="AH983" i="53"/>
  <c r="AS983" i="53" s="1"/>
  <c r="AH980" i="53"/>
  <c r="AS980" i="53" s="1"/>
  <c r="AH972" i="53"/>
  <c r="AS972" i="53" s="1"/>
  <c r="AH971" i="53"/>
  <c r="AS971" i="53" s="1"/>
  <c r="T972" i="53"/>
  <c r="AH992" i="53"/>
  <c r="AS992" i="53" s="1"/>
  <c r="AH979" i="53"/>
  <c r="AS979" i="53" s="1"/>
  <c r="AH989" i="53"/>
  <c r="AS989" i="53" s="1"/>
  <c r="AH991" i="53"/>
  <c r="AS991" i="53" s="1"/>
  <c r="AH981" i="53"/>
  <c r="AS981" i="53" s="1"/>
  <c r="AH974" i="53"/>
  <c r="AS974" i="53" s="1"/>
  <c r="AS892" i="53"/>
  <c r="G947" i="53"/>
  <c r="AK826" i="53"/>
  <c r="AJ826" i="53"/>
  <c r="B89" i="2"/>
  <c r="T950" i="82" l="1"/>
  <c r="AJ975" i="82"/>
  <c r="AH1108" i="82"/>
  <c r="AS1084" i="82"/>
  <c r="B1060" i="82"/>
  <c r="C1033" i="82"/>
  <c r="E1033" i="82" s="1"/>
  <c r="E1060" i="82" s="1"/>
  <c r="H1086" i="82"/>
  <c r="AH1041" i="82"/>
  <c r="AH1006" i="82"/>
  <c r="R1006" i="82"/>
  <c r="M1032" i="82"/>
  <c r="AG1116" i="82"/>
  <c r="AG1115" i="82"/>
  <c r="AU1005" i="82"/>
  <c r="D1033" i="82"/>
  <c r="I1086" i="82"/>
  <c r="Y1086" i="82" s="1"/>
  <c r="G1034" i="82"/>
  <c r="F1032" i="82"/>
  <c r="AH940" i="82"/>
  <c r="AL939" i="82"/>
  <c r="AK25" i="2"/>
  <c r="T942" i="79"/>
  <c r="B1052" i="79"/>
  <c r="C1025" i="79"/>
  <c r="E1025" i="79" s="1"/>
  <c r="E1052" i="79" s="1"/>
  <c r="AG1108" i="79"/>
  <c r="AG1107" i="79"/>
  <c r="O1024" i="79"/>
  <c r="M1051" i="79"/>
  <c r="AJ967" i="79"/>
  <c r="AL931" i="79"/>
  <c r="F1051" i="79"/>
  <c r="I1078" i="79"/>
  <c r="Y1078" i="79" s="1"/>
  <c r="G1026" i="79"/>
  <c r="AH1100" i="79"/>
  <c r="AS1076" i="79"/>
  <c r="AH1033" i="79"/>
  <c r="H1078" i="79"/>
  <c r="AH998" i="79"/>
  <c r="R998" i="79"/>
  <c r="D1025" i="79"/>
  <c r="AU997" i="79"/>
  <c r="AH932" i="79"/>
  <c r="D1038" i="78"/>
  <c r="AU1010" i="78"/>
  <c r="AG1121" i="78"/>
  <c r="AG1120" i="78"/>
  <c r="B1065" i="78"/>
  <c r="C1038" i="78"/>
  <c r="H1091" i="78"/>
  <c r="AH1046" i="78"/>
  <c r="AH1011" i="78"/>
  <c r="R1011" i="78"/>
  <c r="AH1113" i="78"/>
  <c r="AS1089" i="78"/>
  <c r="F1064" i="78"/>
  <c r="M1064" i="78"/>
  <c r="O1037" i="78"/>
  <c r="AJ980" i="78"/>
  <c r="AL944" i="78"/>
  <c r="AH945" i="78"/>
  <c r="I1091" i="78"/>
  <c r="Y1091" i="78" s="1"/>
  <c r="G1039" i="78"/>
  <c r="T926" i="71"/>
  <c r="AU981" i="71"/>
  <c r="D1009" i="71"/>
  <c r="AG1092" i="71"/>
  <c r="AG1091" i="71"/>
  <c r="C1009" i="71"/>
  <c r="E1009" i="71" s="1"/>
  <c r="E1036" i="71" s="1"/>
  <c r="B1036" i="71"/>
  <c r="I1062" i="71"/>
  <c r="Y1062" i="71" s="1"/>
  <c r="G1010" i="71"/>
  <c r="AJ951" i="71"/>
  <c r="M1008" i="71"/>
  <c r="AH916" i="71"/>
  <c r="AH1084" i="71"/>
  <c r="AS1060" i="71"/>
  <c r="AL915" i="71"/>
  <c r="F1008" i="71"/>
  <c r="AH1017" i="71"/>
  <c r="AH982" i="71"/>
  <c r="H1062" i="71"/>
  <c r="R982" i="71"/>
  <c r="Q996" i="68"/>
  <c r="O1023" i="68"/>
  <c r="Q1023" i="68" s="1"/>
  <c r="R1023" i="68" s="1"/>
  <c r="H1050" i="68"/>
  <c r="AH1005" i="68"/>
  <c r="AH970" i="68"/>
  <c r="R970" i="68"/>
  <c r="AL903" i="68"/>
  <c r="G998" i="68"/>
  <c r="I1050" i="68"/>
  <c r="Y1050" i="68" s="1"/>
  <c r="AS1048" i="68"/>
  <c r="AH1072" i="68"/>
  <c r="F1023" i="68"/>
  <c r="AU969" i="68"/>
  <c r="D997" i="68"/>
  <c r="AH904" i="68"/>
  <c r="B1024" i="68"/>
  <c r="C997" i="68"/>
  <c r="E997" i="68" s="1"/>
  <c r="E1024" i="68" s="1"/>
  <c r="AG1080" i="68"/>
  <c r="AG1079" i="68"/>
  <c r="M1023" i="68"/>
  <c r="AJ939" i="68"/>
  <c r="M997" i="62"/>
  <c r="O970" i="62"/>
  <c r="Q970" i="62" s="1"/>
  <c r="AH1056" i="62"/>
  <c r="AH1057" i="62"/>
  <c r="C971" i="62"/>
  <c r="E971" i="62" s="1"/>
  <c r="E998" i="62" s="1"/>
  <c r="U89" i="2"/>
  <c r="W89" i="2" s="1"/>
  <c r="I89" i="2"/>
  <c r="AE845" i="61"/>
  <c r="AF845" i="61" s="1"/>
  <c r="AH845" i="61" s="1"/>
  <c r="F945" i="62"/>
  <c r="D89" i="2"/>
  <c r="AH945" i="61"/>
  <c r="AS945" i="61" s="1"/>
  <c r="H990" i="61"/>
  <c r="AH1010" i="61" s="1"/>
  <c r="AS1010" i="61" s="1"/>
  <c r="AK844" i="61"/>
  <c r="AL844" i="61" s="1"/>
  <c r="R910" i="61"/>
  <c r="B938" i="61" s="1"/>
  <c r="C938" i="61" s="1"/>
  <c r="I990" i="61"/>
  <c r="AH944" i="62"/>
  <c r="AS944" i="62" s="1"/>
  <c r="H1024" i="62"/>
  <c r="X1024" i="62" s="1"/>
  <c r="R944" i="62"/>
  <c r="E937" i="61"/>
  <c r="E964" i="61" s="1"/>
  <c r="D998" i="62"/>
  <c r="G999" i="62"/>
  <c r="AK878" i="62"/>
  <c r="F997" i="62"/>
  <c r="AJ878" i="62"/>
  <c r="AS979" i="62"/>
  <c r="E1064" i="61"/>
  <c r="C1064" i="61"/>
  <c r="S963" i="61"/>
  <c r="T936" i="61"/>
  <c r="U936" i="61"/>
  <c r="D938" i="61"/>
  <c r="C1046" i="53"/>
  <c r="Q918" i="53"/>
  <c r="P945" i="53"/>
  <c r="R918" i="53"/>
  <c r="E1046" i="53"/>
  <c r="AH827" i="53"/>
  <c r="AS970" i="53"/>
  <c r="AH994" i="53"/>
  <c r="AJ862" i="53"/>
  <c r="AL826" i="53"/>
  <c r="F919" i="53"/>
  <c r="AH893" i="53"/>
  <c r="R893" i="53"/>
  <c r="H973" i="53"/>
  <c r="AH928" i="53"/>
  <c r="B947" i="53"/>
  <c r="C920" i="53"/>
  <c r="E920" i="53" s="1"/>
  <c r="E947" i="53" s="1"/>
  <c r="D920" i="53"/>
  <c r="I973" i="53"/>
  <c r="G921" i="53"/>
  <c r="E89" i="2"/>
  <c r="C1060" i="82" l="1"/>
  <c r="M1059" i="82"/>
  <c r="O1032" i="82"/>
  <c r="F1059" i="82"/>
  <c r="AJ940" i="82"/>
  <c r="B1034" i="82"/>
  <c r="G1061" i="82"/>
  <c r="AK940" i="82"/>
  <c r="AS1006" i="82"/>
  <c r="AH1119" i="82"/>
  <c r="AH1118" i="82"/>
  <c r="AS1041" i="82"/>
  <c r="X1086" i="82"/>
  <c r="T1086" i="82"/>
  <c r="U1086" i="82"/>
  <c r="AS1108" i="82"/>
  <c r="AT1084" i="82" s="1"/>
  <c r="AU1084" i="82" s="1"/>
  <c r="D1060" i="82"/>
  <c r="M1033" i="82"/>
  <c r="F1033" i="82"/>
  <c r="AE941" i="82"/>
  <c r="AF941" i="82" s="1"/>
  <c r="AS976" i="82"/>
  <c r="G1007" i="82"/>
  <c r="AH976" i="82"/>
  <c r="F1007" i="82"/>
  <c r="X90" i="2"/>
  <c r="Y90" i="2"/>
  <c r="Z90" i="2"/>
  <c r="AJ932" i="79"/>
  <c r="AS1100" i="79"/>
  <c r="AT1076" i="79" s="1"/>
  <c r="G1053" i="79"/>
  <c r="AK932" i="79"/>
  <c r="AE933" i="79"/>
  <c r="AF933" i="79" s="1"/>
  <c r="F999" i="79"/>
  <c r="AH968" i="79"/>
  <c r="G999" i="79"/>
  <c r="AS968" i="79"/>
  <c r="AH1111" i="79"/>
  <c r="AH1110" i="79"/>
  <c r="O1051" i="79"/>
  <c r="Q1024" i="79"/>
  <c r="R1024" i="79" s="1"/>
  <c r="D1052" i="79"/>
  <c r="F1025" i="79"/>
  <c r="M1025" i="79"/>
  <c r="B1026" i="79"/>
  <c r="AS998" i="79"/>
  <c r="C1052" i="79"/>
  <c r="X1078" i="79"/>
  <c r="T1078" i="79"/>
  <c r="U1078" i="79"/>
  <c r="AS1033" i="79"/>
  <c r="AS1011" i="78"/>
  <c r="G1066" i="78"/>
  <c r="AK945" i="78"/>
  <c r="AH1124" i="78"/>
  <c r="AH1123" i="78"/>
  <c r="AJ945" i="78"/>
  <c r="B1039" i="78"/>
  <c r="AS1046" i="78"/>
  <c r="D1065" i="78"/>
  <c r="O1064" i="78"/>
  <c r="Q1037" i="78"/>
  <c r="X1091" i="78"/>
  <c r="U1091" i="78"/>
  <c r="T1091" i="78"/>
  <c r="C1065" i="78"/>
  <c r="AS1113" i="78"/>
  <c r="AT1089" i="78" s="1"/>
  <c r="AU1089" i="78" s="1"/>
  <c r="E1038" i="78"/>
  <c r="E1065" i="78" s="1"/>
  <c r="G1012" i="78"/>
  <c r="AE946" i="78"/>
  <c r="AF946" i="78" s="1"/>
  <c r="AH981" i="78"/>
  <c r="F1012" i="78"/>
  <c r="AS981" i="78"/>
  <c r="AS982" i="71"/>
  <c r="M1035" i="71"/>
  <c r="O1008" i="71"/>
  <c r="G1037" i="71"/>
  <c r="AK916" i="71"/>
  <c r="AS1017" i="71"/>
  <c r="AH1095" i="71"/>
  <c r="AH1094" i="71"/>
  <c r="M1009" i="71"/>
  <c r="D1036" i="71"/>
  <c r="F1009" i="71"/>
  <c r="AS1084" i="71"/>
  <c r="AT1060" i="71" s="1"/>
  <c r="AU1060" i="71" s="1"/>
  <c r="B1010" i="71"/>
  <c r="C1036" i="71"/>
  <c r="X1062" i="71"/>
  <c r="U1062" i="71"/>
  <c r="T1062" i="71"/>
  <c r="F1035" i="71"/>
  <c r="AJ916" i="71"/>
  <c r="AE917" i="71"/>
  <c r="AF917" i="71" s="1"/>
  <c r="F983" i="71"/>
  <c r="G983" i="71"/>
  <c r="AH952" i="71"/>
  <c r="R996" i="68"/>
  <c r="D1024" i="68"/>
  <c r="F997" i="68"/>
  <c r="M997" i="68"/>
  <c r="O997" i="68" s="1"/>
  <c r="U1050" i="68"/>
  <c r="X1050" i="68"/>
  <c r="T1050" i="68"/>
  <c r="AE905" i="68"/>
  <c r="AF905" i="68" s="1"/>
  <c r="G971" i="68"/>
  <c r="F971" i="68"/>
  <c r="AH940" i="68"/>
  <c r="AH1083" i="68"/>
  <c r="AH1082" i="68"/>
  <c r="B998" i="68"/>
  <c r="AJ904" i="68"/>
  <c r="AS1072" i="68"/>
  <c r="G1025" i="68"/>
  <c r="AK904" i="68"/>
  <c r="AS970" i="68"/>
  <c r="C1024" i="68"/>
  <c r="AS1005" i="68"/>
  <c r="O997" i="62"/>
  <c r="Q997" i="62" s="1"/>
  <c r="R997" i="62" s="1"/>
  <c r="M971" i="62"/>
  <c r="C998" i="62"/>
  <c r="F971" i="62"/>
  <c r="AG1057" i="62"/>
  <c r="AG1056" i="62"/>
  <c r="AH1044" i="62"/>
  <c r="AS1044" i="62" s="1"/>
  <c r="AF1057" i="62"/>
  <c r="AF1056" i="62"/>
  <c r="B972" i="62"/>
  <c r="C972" i="62" s="1"/>
  <c r="E972" i="62" s="1"/>
  <c r="E999" i="62" s="1"/>
  <c r="T91" i="2"/>
  <c r="I91" i="2" s="1"/>
  <c r="Q89" i="2"/>
  <c r="R89" i="2" s="1"/>
  <c r="AE879" i="62"/>
  <c r="AF879" i="62" s="1"/>
  <c r="AH879" i="62" s="1"/>
  <c r="G945" i="62"/>
  <c r="I1025" i="62" s="1"/>
  <c r="Y1025" i="62" s="1"/>
  <c r="AH880" i="61"/>
  <c r="AJ880" i="61" s="1"/>
  <c r="F911" i="61"/>
  <c r="AH911" i="61" s="1"/>
  <c r="AS911" i="61" s="1"/>
  <c r="G911" i="61"/>
  <c r="I991" i="61" s="1"/>
  <c r="AH914" i="62"/>
  <c r="AJ914" i="62" s="1"/>
  <c r="AH992" i="61"/>
  <c r="AS992" i="61" s="1"/>
  <c r="AH1000" i="61"/>
  <c r="AS1000" i="61" s="1"/>
  <c r="AH1011" i="61"/>
  <c r="AS1011" i="61" s="1"/>
  <c r="AH989" i="61"/>
  <c r="AS989" i="61" s="1"/>
  <c r="AH1002" i="61"/>
  <c r="AS1002" i="61" s="1"/>
  <c r="AH1003" i="61"/>
  <c r="AS1003" i="61" s="1"/>
  <c r="AH994" i="61"/>
  <c r="AS994" i="61" s="1"/>
  <c r="AH1008" i="61"/>
  <c r="AS1008" i="61" s="1"/>
  <c r="AH990" i="61"/>
  <c r="AS990" i="61" s="1"/>
  <c r="AH1007" i="61"/>
  <c r="AS1007" i="61" s="1"/>
  <c r="AH998" i="61"/>
  <c r="AS998" i="61" s="1"/>
  <c r="AH991" i="61"/>
  <c r="AS991" i="61" s="1"/>
  <c r="AH1004" i="61"/>
  <c r="AS1004" i="61" s="1"/>
  <c r="AH988" i="61"/>
  <c r="AS988" i="61" s="1"/>
  <c r="AH995" i="61"/>
  <c r="AS995" i="61" s="1"/>
  <c r="AH1006" i="61"/>
  <c r="AS1006" i="61" s="1"/>
  <c r="AH1045" i="62"/>
  <c r="AS1045" i="62" s="1"/>
  <c r="AH1001" i="61"/>
  <c r="AS1001" i="61" s="1"/>
  <c r="T990" i="61"/>
  <c r="F937" i="61"/>
  <c r="S937" i="61" s="1"/>
  <c r="AH996" i="61"/>
  <c r="AS996" i="61" s="1"/>
  <c r="AH1005" i="61"/>
  <c r="AS1005" i="61" s="1"/>
  <c r="AH997" i="61"/>
  <c r="AS997" i="61" s="1"/>
  <c r="AH993" i="61"/>
  <c r="AS993" i="61" s="1"/>
  <c r="AH999" i="61"/>
  <c r="AS999" i="61" s="1"/>
  <c r="AH1009" i="61"/>
  <c r="AS1009" i="61" s="1"/>
  <c r="AH1042" i="62"/>
  <c r="AS1042" i="62" s="1"/>
  <c r="B965" i="61"/>
  <c r="U990" i="61"/>
  <c r="AU910" i="61"/>
  <c r="AH1025" i="62"/>
  <c r="AS1025" i="62" s="1"/>
  <c r="AH1027" i="62"/>
  <c r="AS1027" i="62" s="1"/>
  <c r="AH1033" i="62"/>
  <c r="AS1033" i="62" s="1"/>
  <c r="T1024" i="62"/>
  <c r="AH1037" i="62"/>
  <c r="AS1037" i="62" s="1"/>
  <c r="U1024" i="62"/>
  <c r="AH1029" i="62"/>
  <c r="AS1029" i="62" s="1"/>
  <c r="AH1031" i="62"/>
  <c r="AS1031" i="62" s="1"/>
  <c r="AH1034" i="62"/>
  <c r="AS1034" i="62" s="1"/>
  <c r="AH1032" i="62"/>
  <c r="AS1032" i="62" s="1"/>
  <c r="AH1038" i="62"/>
  <c r="AS1038" i="62" s="1"/>
  <c r="AH1039" i="62"/>
  <c r="AS1039" i="62" s="1"/>
  <c r="AH1022" i="62"/>
  <c r="AS1022" i="62" s="1"/>
  <c r="AH1024" i="62"/>
  <c r="AS1024" i="62" s="1"/>
  <c r="AH1028" i="62"/>
  <c r="AS1028" i="62" s="1"/>
  <c r="AH1035" i="62"/>
  <c r="AS1035" i="62" s="1"/>
  <c r="AH1040" i="62"/>
  <c r="AS1040" i="62" s="1"/>
  <c r="AH1043" i="62"/>
  <c r="AS1043" i="62" s="1"/>
  <c r="AH1026" i="62"/>
  <c r="AS1026" i="62" s="1"/>
  <c r="AH1023" i="62"/>
  <c r="AS1023" i="62" s="1"/>
  <c r="AH1030" i="62"/>
  <c r="AS1030" i="62" s="1"/>
  <c r="AH1036" i="62"/>
  <c r="AS1036" i="62" s="1"/>
  <c r="AH1041" i="62"/>
  <c r="AS1041" i="62" s="1"/>
  <c r="H1025" i="62"/>
  <c r="X1025" i="62" s="1"/>
  <c r="AH980" i="62"/>
  <c r="AH945" i="62"/>
  <c r="D972" i="62"/>
  <c r="AU944" i="62"/>
  <c r="E1098" i="62"/>
  <c r="C1098" i="62"/>
  <c r="AL878" i="62"/>
  <c r="C965" i="61"/>
  <c r="E938" i="61"/>
  <c r="E965" i="61" s="1"/>
  <c r="T963" i="61"/>
  <c r="U963" i="61"/>
  <c r="AJ845" i="61"/>
  <c r="D965" i="61"/>
  <c r="C27" i="25"/>
  <c r="B921" i="53"/>
  <c r="AS994" i="53"/>
  <c r="AT970" i="53" s="1"/>
  <c r="R945" i="53"/>
  <c r="Q945" i="53"/>
  <c r="AS893" i="53"/>
  <c r="AJ827" i="53"/>
  <c r="AS928" i="53"/>
  <c r="F946" i="53"/>
  <c r="P919" i="53"/>
  <c r="G948" i="53"/>
  <c r="AK827" i="53"/>
  <c r="D947" i="53"/>
  <c r="F920" i="53"/>
  <c r="C947" i="53"/>
  <c r="T973" i="53"/>
  <c r="U973" i="53"/>
  <c r="AG1119" i="82" l="1"/>
  <c r="AG1118" i="82"/>
  <c r="M1060" i="82"/>
  <c r="O1033" i="82"/>
  <c r="F1060" i="82"/>
  <c r="H1087" i="82"/>
  <c r="AH1042" i="82"/>
  <c r="AH1007" i="82"/>
  <c r="R1007" i="82"/>
  <c r="O1059" i="82"/>
  <c r="Q1032" i="82"/>
  <c r="R1032" i="82" s="1"/>
  <c r="I1087" i="82"/>
  <c r="Y1087" i="82" s="1"/>
  <c r="G1035" i="82"/>
  <c r="B1061" i="82"/>
  <c r="C1034" i="82"/>
  <c r="AJ976" i="82"/>
  <c r="AT1106" i="82"/>
  <c r="AU1106" i="82" s="1"/>
  <c r="AT1099" i="82"/>
  <c r="AU1099" i="82" s="1"/>
  <c r="AT1107" i="82"/>
  <c r="AU1107" i="82" s="1"/>
  <c r="AT1087" i="82"/>
  <c r="AU1087" i="82" s="1"/>
  <c r="AT1090" i="82"/>
  <c r="AU1090" i="82" s="1"/>
  <c r="AT1088" i="82"/>
  <c r="AU1088" i="82" s="1"/>
  <c r="AT1098" i="82"/>
  <c r="AU1098" i="82" s="1"/>
  <c r="AT1096" i="82"/>
  <c r="AU1096" i="82" s="1"/>
  <c r="AT1086" i="82"/>
  <c r="AU1086" i="82" s="1"/>
  <c r="AT1104" i="82"/>
  <c r="AU1104" i="82" s="1"/>
  <c r="AT1093" i="82"/>
  <c r="AU1093" i="82" s="1"/>
  <c r="AT1092" i="82"/>
  <c r="AU1092" i="82" s="1"/>
  <c r="AT1105" i="82"/>
  <c r="AU1105" i="82" s="1"/>
  <c r="AT1100" i="82"/>
  <c r="AU1100" i="82" s="1"/>
  <c r="AT1089" i="82"/>
  <c r="AU1089" i="82" s="1"/>
  <c r="AT1085" i="82"/>
  <c r="AU1085" i="82" s="1"/>
  <c r="AT1091" i="82"/>
  <c r="AU1091" i="82" s="1"/>
  <c r="AT1094" i="82"/>
  <c r="AU1094" i="82" s="1"/>
  <c r="AT1101" i="82"/>
  <c r="AU1101" i="82" s="1"/>
  <c r="AT1095" i="82"/>
  <c r="AU1095" i="82" s="1"/>
  <c r="AT1103" i="82"/>
  <c r="AU1103" i="82" s="1"/>
  <c r="AT1097" i="82"/>
  <c r="AU1097" i="82" s="1"/>
  <c r="AT1102" i="82"/>
  <c r="AU1102" i="82" s="1"/>
  <c r="AH941" i="82"/>
  <c r="AL940" i="82"/>
  <c r="D1034" i="82"/>
  <c r="AU1006" i="82"/>
  <c r="C1026" i="79"/>
  <c r="B1053" i="79"/>
  <c r="AG1111" i="79"/>
  <c r="AG1110" i="79"/>
  <c r="M1052" i="79"/>
  <c r="O1025" i="79"/>
  <c r="I1079" i="79"/>
  <c r="Y1079" i="79" s="1"/>
  <c r="G1027" i="79"/>
  <c r="F1052" i="79"/>
  <c r="AJ968" i="79"/>
  <c r="AU1076" i="79"/>
  <c r="H1079" i="79"/>
  <c r="AH1034" i="79"/>
  <c r="AH999" i="79"/>
  <c r="R999" i="79"/>
  <c r="AT1093" i="79"/>
  <c r="AU1093" i="79" s="1"/>
  <c r="AT1092" i="79"/>
  <c r="AU1092" i="79" s="1"/>
  <c r="AT1094" i="79"/>
  <c r="AU1094" i="79" s="1"/>
  <c r="AT1085" i="79"/>
  <c r="AU1085" i="79" s="1"/>
  <c r="AT1080" i="79"/>
  <c r="AU1080" i="79" s="1"/>
  <c r="AT1086" i="79"/>
  <c r="AU1086" i="79" s="1"/>
  <c r="AT1098" i="79"/>
  <c r="AU1098" i="79" s="1"/>
  <c r="AT1095" i="79"/>
  <c r="AU1095" i="79" s="1"/>
  <c r="AT1089" i="79"/>
  <c r="AU1089" i="79" s="1"/>
  <c r="AT1090" i="79"/>
  <c r="AU1090" i="79" s="1"/>
  <c r="AT1082" i="79"/>
  <c r="AU1082" i="79" s="1"/>
  <c r="AT1084" i="79"/>
  <c r="AU1084" i="79" s="1"/>
  <c r="AT1096" i="79"/>
  <c r="AU1096" i="79" s="1"/>
  <c r="AT1083" i="79"/>
  <c r="AU1083" i="79" s="1"/>
  <c r="AT1079" i="79"/>
  <c r="AU1079" i="79" s="1"/>
  <c r="AT1099" i="79"/>
  <c r="AU1099" i="79" s="1"/>
  <c r="AT1087" i="79"/>
  <c r="AU1087" i="79" s="1"/>
  <c r="AT1097" i="79"/>
  <c r="AU1097" i="79" s="1"/>
  <c r="AT1078" i="79"/>
  <c r="AU1078" i="79" s="1"/>
  <c r="AT1088" i="79"/>
  <c r="AU1088" i="79" s="1"/>
  <c r="AT1081" i="79"/>
  <c r="AU1081" i="79" s="1"/>
  <c r="AT1091" i="79"/>
  <c r="AU1091" i="79" s="1"/>
  <c r="AT1077" i="79"/>
  <c r="AU1077" i="79" s="1"/>
  <c r="AU998" i="79"/>
  <c r="D1026" i="79"/>
  <c r="S1024" i="79"/>
  <c r="AH933" i="79"/>
  <c r="Q1051" i="79"/>
  <c r="R1051" i="79" s="1"/>
  <c r="AL932" i="79"/>
  <c r="F1038" i="78"/>
  <c r="F1065" i="78" s="1"/>
  <c r="AL945" i="78"/>
  <c r="AG1124" i="78"/>
  <c r="AG1123" i="78"/>
  <c r="I1092" i="78"/>
  <c r="Y1092" i="78" s="1"/>
  <c r="G1040" i="78"/>
  <c r="AT1099" i="78"/>
  <c r="AU1099" i="78" s="1"/>
  <c r="AT1104" i="78"/>
  <c r="AU1104" i="78" s="1"/>
  <c r="AT1095" i="78"/>
  <c r="AU1095" i="78" s="1"/>
  <c r="AT1097" i="78"/>
  <c r="AU1097" i="78" s="1"/>
  <c r="AT1092" i="78"/>
  <c r="AU1092" i="78" s="1"/>
  <c r="AT1098" i="78"/>
  <c r="AU1098" i="78" s="1"/>
  <c r="AT1103" i="78"/>
  <c r="AU1103" i="78" s="1"/>
  <c r="AT1091" i="78"/>
  <c r="AU1091" i="78" s="1"/>
  <c r="AT1100" i="78"/>
  <c r="AU1100" i="78" s="1"/>
  <c r="AT1110" i="78"/>
  <c r="AU1110" i="78" s="1"/>
  <c r="AT1102" i="78"/>
  <c r="AU1102" i="78" s="1"/>
  <c r="AT1107" i="78"/>
  <c r="AU1107" i="78" s="1"/>
  <c r="AT1111" i="78"/>
  <c r="AU1111" i="78" s="1"/>
  <c r="AT1105" i="78"/>
  <c r="AU1105" i="78" s="1"/>
  <c r="AT1108" i="78"/>
  <c r="AU1108" i="78" s="1"/>
  <c r="AT1112" i="78"/>
  <c r="AU1112" i="78" s="1"/>
  <c r="AT1101" i="78"/>
  <c r="AU1101" i="78" s="1"/>
  <c r="AT1096" i="78"/>
  <c r="AU1096" i="78" s="1"/>
  <c r="AT1094" i="78"/>
  <c r="AU1094" i="78" s="1"/>
  <c r="AT1106" i="78"/>
  <c r="AU1106" i="78" s="1"/>
  <c r="AT1090" i="78"/>
  <c r="AU1090" i="78" s="1"/>
  <c r="AT1109" i="78"/>
  <c r="AU1109" i="78" s="1"/>
  <c r="AT1093" i="78"/>
  <c r="AU1093" i="78" s="1"/>
  <c r="R1037" i="78"/>
  <c r="H1092" i="78"/>
  <c r="AH1047" i="78"/>
  <c r="AH1012" i="78"/>
  <c r="R1012" i="78"/>
  <c r="B1066" i="78"/>
  <c r="C1039" i="78"/>
  <c r="E1039" i="78" s="1"/>
  <c r="E1066" i="78" s="1"/>
  <c r="Q1064" i="78"/>
  <c r="R1064" i="78" s="1"/>
  <c r="AJ981" i="78"/>
  <c r="M1038" i="78"/>
  <c r="AH946" i="78"/>
  <c r="D1039" i="78"/>
  <c r="AU1011" i="78"/>
  <c r="AL916" i="71"/>
  <c r="H1063" i="71"/>
  <c r="AH1018" i="71"/>
  <c r="AH983" i="71"/>
  <c r="R983" i="71"/>
  <c r="I1063" i="71"/>
  <c r="Y1063" i="71" s="1"/>
  <c r="G1011" i="71"/>
  <c r="F1036" i="71"/>
  <c r="AH917" i="71"/>
  <c r="AG1095" i="71"/>
  <c r="AG1094" i="71"/>
  <c r="AT1077" i="71"/>
  <c r="AU1077" i="71" s="1"/>
  <c r="AT1069" i="71"/>
  <c r="AU1069" i="71" s="1"/>
  <c r="AT1083" i="71"/>
  <c r="AU1083" i="71" s="1"/>
  <c r="AT1070" i="71"/>
  <c r="AU1070" i="71" s="1"/>
  <c r="AT1076" i="71"/>
  <c r="AU1076" i="71" s="1"/>
  <c r="AT1065" i="71"/>
  <c r="AU1065" i="71" s="1"/>
  <c r="AT1067" i="71"/>
  <c r="AU1067" i="71" s="1"/>
  <c r="AT1071" i="71"/>
  <c r="AU1071" i="71" s="1"/>
  <c r="AT1068" i="71"/>
  <c r="AU1068" i="71" s="1"/>
  <c r="AT1075" i="71"/>
  <c r="AU1075" i="71" s="1"/>
  <c r="AT1081" i="71"/>
  <c r="AU1081" i="71" s="1"/>
  <c r="AT1064" i="71"/>
  <c r="AU1064" i="71" s="1"/>
  <c r="AT1079" i="71"/>
  <c r="AU1079" i="71" s="1"/>
  <c r="AT1066" i="71"/>
  <c r="AU1066" i="71" s="1"/>
  <c r="AT1078" i="71"/>
  <c r="AU1078" i="71" s="1"/>
  <c r="AT1061" i="71"/>
  <c r="AU1061" i="71" s="1"/>
  <c r="AT1074" i="71"/>
  <c r="AU1074" i="71" s="1"/>
  <c r="AT1062" i="71"/>
  <c r="AU1062" i="71" s="1"/>
  <c r="AT1073" i="71"/>
  <c r="AU1073" i="71" s="1"/>
  <c r="AT1072" i="71"/>
  <c r="AU1072" i="71" s="1"/>
  <c r="AT1063" i="71"/>
  <c r="AU1063" i="71" s="1"/>
  <c r="AT1082" i="71"/>
  <c r="AU1082" i="71" s="1"/>
  <c r="AT1080" i="71"/>
  <c r="AU1080" i="71" s="1"/>
  <c r="M1036" i="71"/>
  <c r="O1009" i="71"/>
  <c r="AJ952" i="71"/>
  <c r="C1010" i="71"/>
  <c r="E1010" i="71" s="1"/>
  <c r="E1037" i="71" s="1"/>
  <c r="B1037" i="71"/>
  <c r="O1035" i="71"/>
  <c r="Q1008" i="71"/>
  <c r="R1008" i="71" s="1"/>
  <c r="D1010" i="71"/>
  <c r="AU982" i="71"/>
  <c r="S996" i="68"/>
  <c r="Q997" i="68"/>
  <c r="AW1049" i="68"/>
  <c r="AW1069" i="68"/>
  <c r="AW1061" i="68"/>
  <c r="AW1068" i="68"/>
  <c r="AW1057" i="68"/>
  <c r="AW1052" i="68"/>
  <c r="AW1048" i="68"/>
  <c r="AW1071" i="68"/>
  <c r="AW1059" i="68"/>
  <c r="AW1055" i="68"/>
  <c r="AW1070" i="68"/>
  <c r="AW1058" i="68"/>
  <c r="AW1054" i="68"/>
  <c r="AW1064" i="68"/>
  <c r="AW1060" i="68"/>
  <c r="AW1067" i="68"/>
  <c r="AW1056" i="68"/>
  <c r="AW1053" i="68"/>
  <c r="AW1063" i="68"/>
  <c r="AW1066" i="68"/>
  <c r="AW1051" i="68"/>
  <c r="O1024" i="68"/>
  <c r="Q1024" i="68" s="1"/>
  <c r="R1024" i="68" s="1"/>
  <c r="AW1062" i="68"/>
  <c r="AW1065" i="68"/>
  <c r="AW1050" i="68"/>
  <c r="AL904" i="68"/>
  <c r="AH905" i="68"/>
  <c r="AU970" i="68"/>
  <c r="D998" i="68"/>
  <c r="AJ940" i="68"/>
  <c r="M1024" i="68"/>
  <c r="AT1048" i="68"/>
  <c r="AT1059" i="68"/>
  <c r="AU1059" i="68" s="1"/>
  <c r="AT1065" i="68"/>
  <c r="AU1065" i="68" s="1"/>
  <c r="AT1063" i="68"/>
  <c r="AU1063" i="68" s="1"/>
  <c r="AT1070" i="68"/>
  <c r="AU1070" i="68" s="1"/>
  <c r="AT1053" i="68"/>
  <c r="AU1053" i="68" s="1"/>
  <c r="AT1050" i="68"/>
  <c r="AU1050" i="68" s="1"/>
  <c r="AT1052" i="68"/>
  <c r="AU1052" i="68" s="1"/>
  <c r="AT1061" i="68"/>
  <c r="AU1061" i="68" s="1"/>
  <c r="AT1054" i="68"/>
  <c r="AU1054" i="68" s="1"/>
  <c r="AT1069" i="68"/>
  <c r="AU1069" i="68" s="1"/>
  <c r="AT1068" i="68"/>
  <c r="AU1068" i="68" s="1"/>
  <c r="AT1064" i="68"/>
  <c r="AU1064" i="68" s="1"/>
  <c r="AT1058" i="68"/>
  <c r="AU1058" i="68" s="1"/>
  <c r="AT1066" i="68"/>
  <c r="AU1066" i="68" s="1"/>
  <c r="AT1060" i="68"/>
  <c r="AU1060" i="68" s="1"/>
  <c r="AT1056" i="68"/>
  <c r="AU1056" i="68" s="1"/>
  <c r="AT1051" i="68"/>
  <c r="AU1051" i="68" s="1"/>
  <c r="AT1049" i="68"/>
  <c r="AU1049" i="68" s="1"/>
  <c r="AT1071" i="68"/>
  <c r="AU1071" i="68" s="1"/>
  <c r="AT1062" i="68"/>
  <c r="AU1062" i="68" s="1"/>
  <c r="AT1057" i="68"/>
  <c r="AU1057" i="68" s="1"/>
  <c r="AT1055" i="68"/>
  <c r="AU1055" i="68" s="1"/>
  <c r="AT1067" i="68"/>
  <c r="AU1067" i="68" s="1"/>
  <c r="C998" i="68"/>
  <c r="B1025" i="68"/>
  <c r="R971" i="68"/>
  <c r="AH1006" i="68"/>
  <c r="H1051" i="68"/>
  <c r="AH971" i="68"/>
  <c r="AG1082" i="68"/>
  <c r="AG1083" i="68"/>
  <c r="F1024" i="68"/>
  <c r="I1051" i="68"/>
  <c r="Y1051" i="68" s="1"/>
  <c r="G999" i="68"/>
  <c r="M972" i="62"/>
  <c r="M998" i="62"/>
  <c r="O971" i="62"/>
  <c r="S997" i="62"/>
  <c r="T970" i="62"/>
  <c r="U970" i="62"/>
  <c r="F998" i="62"/>
  <c r="B999" i="62"/>
  <c r="AG1059" i="62"/>
  <c r="AG1060" i="62"/>
  <c r="AH1060" i="62"/>
  <c r="AH1059" i="62"/>
  <c r="AF1059" i="62"/>
  <c r="AF1060" i="62"/>
  <c r="U91" i="2"/>
  <c r="W91" i="2" s="1"/>
  <c r="C91" i="2"/>
  <c r="G973" i="62"/>
  <c r="AK879" i="62" s="1"/>
  <c r="R945" i="62"/>
  <c r="AH946" i="61"/>
  <c r="AS946" i="61" s="1"/>
  <c r="H991" i="61"/>
  <c r="U991" i="61" s="1"/>
  <c r="G939" i="61"/>
  <c r="G966" i="61" s="1"/>
  <c r="R911" i="61"/>
  <c r="B939" i="61" s="1"/>
  <c r="B966" i="61" s="1"/>
  <c r="F964" i="61"/>
  <c r="AS1012" i="61"/>
  <c r="AT988" i="61" s="1"/>
  <c r="AU988" i="61" s="1"/>
  <c r="AH1012" i="61"/>
  <c r="AH1046" i="62"/>
  <c r="AS980" i="62"/>
  <c r="AS1046" i="62"/>
  <c r="AT1022" i="62" s="1"/>
  <c r="AU1022" i="62" s="1"/>
  <c r="AJ879" i="62"/>
  <c r="D999" i="62"/>
  <c r="F972" i="62"/>
  <c r="AS945" i="62"/>
  <c r="E1099" i="62"/>
  <c r="C1099" i="62"/>
  <c r="T1025" i="62"/>
  <c r="U1025" i="62"/>
  <c r="C999" i="62"/>
  <c r="F938" i="61"/>
  <c r="S938" i="61" s="1"/>
  <c r="D939" i="61"/>
  <c r="E1065" i="61"/>
  <c r="C1065" i="61"/>
  <c r="S964" i="61"/>
  <c r="U937" i="61"/>
  <c r="T937" i="61"/>
  <c r="AU970" i="53"/>
  <c r="P946" i="53"/>
  <c r="R919" i="53"/>
  <c r="E1047" i="53"/>
  <c r="Q919" i="53"/>
  <c r="C1047" i="53"/>
  <c r="AL827" i="53"/>
  <c r="B948" i="53"/>
  <c r="C921" i="53"/>
  <c r="D921" i="53"/>
  <c r="F947" i="53"/>
  <c r="P920" i="53"/>
  <c r="AT972" i="53"/>
  <c r="AU972" i="53" s="1"/>
  <c r="AX972" i="53" s="1"/>
  <c r="AT986" i="53"/>
  <c r="AU986" i="53" s="1"/>
  <c r="AX986" i="53" s="1"/>
  <c r="AT981" i="53"/>
  <c r="AU981" i="53" s="1"/>
  <c r="AX981" i="53" s="1"/>
  <c r="AT991" i="53"/>
  <c r="AU991" i="53" s="1"/>
  <c r="AX991" i="53" s="1"/>
  <c r="AT977" i="53"/>
  <c r="AU977" i="53" s="1"/>
  <c r="AX977" i="53" s="1"/>
  <c r="AT990" i="53"/>
  <c r="AU990" i="53" s="1"/>
  <c r="AX990" i="53" s="1"/>
  <c r="AT993" i="53"/>
  <c r="AU993" i="53" s="1"/>
  <c r="AX993" i="53" s="1"/>
  <c r="AT992" i="53"/>
  <c r="AU992" i="53" s="1"/>
  <c r="AX992" i="53" s="1"/>
  <c r="AT982" i="53"/>
  <c r="AU982" i="53" s="1"/>
  <c r="AX982" i="53" s="1"/>
  <c r="AT983" i="53"/>
  <c r="AU983" i="53" s="1"/>
  <c r="AX983" i="53" s="1"/>
  <c r="AT985" i="53"/>
  <c r="AU985" i="53" s="1"/>
  <c r="AX985" i="53" s="1"/>
  <c r="AT978" i="53"/>
  <c r="AU978" i="53" s="1"/>
  <c r="AX978" i="53" s="1"/>
  <c r="AT980" i="53"/>
  <c r="AU980" i="53" s="1"/>
  <c r="AX980" i="53" s="1"/>
  <c r="AT975" i="53"/>
  <c r="AU975" i="53" s="1"/>
  <c r="AX975" i="53" s="1"/>
  <c r="AT976" i="53"/>
  <c r="AU976" i="53" s="1"/>
  <c r="AX976" i="53" s="1"/>
  <c r="AT989" i="53"/>
  <c r="AU989" i="53" s="1"/>
  <c r="AX989" i="53" s="1"/>
  <c r="AT984" i="53"/>
  <c r="AU984" i="53" s="1"/>
  <c r="AX984" i="53" s="1"/>
  <c r="AT979" i="53"/>
  <c r="AU979" i="53" s="1"/>
  <c r="AX979" i="53" s="1"/>
  <c r="AT973" i="53"/>
  <c r="AU973" i="53" s="1"/>
  <c r="AX973" i="53" s="1"/>
  <c r="AT987" i="53"/>
  <c r="AU987" i="53" s="1"/>
  <c r="AX987" i="53" s="1"/>
  <c r="AT988" i="53"/>
  <c r="AU988" i="53" s="1"/>
  <c r="AX988" i="53" s="1"/>
  <c r="AT974" i="53"/>
  <c r="AU974" i="53" s="1"/>
  <c r="AX974" i="53" s="1"/>
  <c r="AT971" i="53"/>
  <c r="AU971" i="53" s="1"/>
  <c r="AX971" i="53" s="1"/>
  <c r="AE828" i="53"/>
  <c r="AF828" i="53" s="1"/>
  <c r="AH863" i="53"/>
  <c r="F894" i="53"/>
  <c r="G894" i="53"/>
  <c r="B91" i="2"/>
  <c r="T951" i="82" l="1"/>
  <c r="C1061" i="82"/>
  <c r="AJ941" i="82"/>
  <c r="AW1085" i="82"/>
  <c r="AX1085" i="82" s="1"/>
  <c r="AW1090" i="82"/>
  <c r="AX1090" i="82" s="1"/>
  <c r="AW1087" i="82"/>
  <c r="AX1087" i="82" s="1"/>
  <c r="O1060" i="82"/>
  <c r="Q1033" i="82"/>
  <c r="R1033" i="82" s="1"/>
  <c r="AW1103" i="82"/>
  <c r="AX1103" i="82" s="1"/>
  <c r="AW1095" i="82"/>
  <c r="AX1095" i="82" s="1"/>
  <c r="AW1101" i="82"/>
  <c r="AX1101" i="82" s="1"/>
  <c r="AW1094" i="82"/>
  <c r="AX1094" i="82" s="1"/>
  <c r="AW1093" i="82"/>
  <c r="AX1093" i="82" s="1"/>
  <c r="AW1091" i="82"/>
  <c r="AX1091" i="82" s="1"/>
  <c r="AW1092" i="82"/>
  <c r="AX1092" i="82" s="1"/>
  <c r="AW1098" i="82"/>
  <c r="AX1098" i="82" s="1"/>
  <c r="AW1106" i="82"/>
  <c r="AX1106" i="82" s="1"/>
  <c r="AW1097" i="82"/>
  <c r="AX1097" i="82" s="1"/>
  <c r="AW1104" i="82"/>
  <c r="AX1104" i="82" s="1"/>
  <c r="AW1088" i="82"/>
  <c r="AX1088" i="82" s="1"/>
  <c r="AW1102" i="82"/>
  <c r="AX1102" i="82" s="1"/>
  <c r="AW1089" i="82"/>
  <c r="AX1089" i="82" s="1"/>
  <c r="AW1084" i="82"/>
  <c r="AW1107" i="82"/>
  <c r="AX1107" i="82" s="1"/>
  <c r="AW1099" i="82"/>
  <c r="AX1099" i="82" s="1"/>
  <c r="AW1096" i="82"/>
  <c r="AX1096" i="82" s="1"/>
  <c r="AW1086" i="82"/>
  <c r="AX1086" i="82" s="1"/>
  <c r="AW1105" i="82"/>
  <c r="AX1105" i="82" s="1"/>
  <c r="AW1100" i="82"/>
  <c r="AX1100" i="82" s="1"/>
  <c r="B1035" i="82"/>
  <c r="AH1121" i="82"/>
  <c r="AH1122" i="82"/>
  <c r="AS1007" i="82"/>
  <c r="S1032" i="82"/>
  <c r="AS1042" i="82"/>
  <c r="AT1108" i="82"/>
  <c r="G1062" i="82"/>
  <c r="AK941" i="82"/>
  <c r="D1061" i="82"/>
  <c r="X1087" i="82"/>
  <c r="U1087" i="82"/>
  <c r="T1087" i="82"/>
  <c r="E1034" i="82"/>
  <c r="E1061" i="82" s="1"/>
  <c r="Q1059" i="82"/>
  <c r="R1059" i="82" s="1"/>
  <c r="AU1108" i="82"/>
  <c r="X92" i="2"/>
  <c r="Y92" i="2"/>
  <c r="Z92" i="2"/>
  <c r="AK26" i="2"/>
  <c r="T943" i="79"/>
  <c r="AJ933" i="79"/>
  <c r="AS999" i="79"/>
  <c r="T1024" i="79"/>
  <c r="S1051" i="79"/>
  <c r="U1024" i="79"/>
  <c r="AS1034" i="79"/>
  <c r="X1079" i="79"/>
  <c r="T1079" i="79"/>
  <c r="U1079" i="79"/>
  <c r="AT1100" i="79"/>
  <c r="D1053" i="79"/>
  <c r="AU1100" i="79"/>
  <c r="G1054" i="79"/>
  <c r="AK933" i="79"/>
  <c r="AH1113" i="79"/>
  <c r="AH1114" i="79"/>
  <c r="C1053" i="79"/>
  <c r="B1027" i="79"/>
  <c r="O1052" i="79"/>
  <c r="Q1025" i="79"/>
  <c r="R1025" i="79" s="1"/>
  <c r="AW1088" i="79"/>
  <c r="AX1088" i="79" s="1"/>
  <c r="AW1098" i="79"/>
  <c r="AX1098" i="79" s="1"/>
  <c r="AW1091" i="79"/>
  <c r="AX1091" i="79" s="1"/>
  <c r="AW1096" i="79"/>
  <c r="AX1096" i="79" s="1"/>
  <c r="AW1082" i="79"/>
  <c r="AX1082" i="79" s="1"/>
  <c r="AW1086" i="79"/>
  <c r="AX1086" i="79" s="1"/>
  <c r="AW1094" i="79"/>
  <c r="AX1094" i="79" s="1"/>
  <c r="AW1080" i="79"/>
  <c r="AX1080" i="79" s="1"/>
  <c r="AW1084" i="79"/>
  <c r="AX1084" i="79" s="1"/>
  <c r="AW1078" i="79"/>
  <c r="AX1078" i="79" s="1"/>
  <c r="AW1077" i="79"/>
  <c r="AX1077" i="79" s="1"/>
  <c r="AW1083" i="79"/>
  <c r="AX1083" i="79" s="1"/>
  <c r="AW1093" i="79"/>
  <c r="AX1093" i="79" s="1"/>
  <c r="AW1095" i="79"/>
  <c r="AX1095" i="79" s="1"/>
  <c r="AW1076" i="79"/>
  <c r="AW1092" i="79"/>
  <c r="AX1092" i="79" s="1"/>
  <c r="AW1099" i="79"/>
  <c r="AX1099" i="79" s="1"/>
  <c r="AW1097" i="79"/>
  <c r="AX1097" i="79" s="1"/>
  <c r="AW1089" i="79"/>
  <c r="AX1089" i="79" s="1"/>
  <c r="AW1081" i="79"/>
  <c r="AX1081" i="79" s="1"/>
  <c r="AW1087" i="79"/>
  <c r="AX1087" i="79" s="1"/>
  <c r="AW1090" i="79"/>
  <c r="AX1090" i="79" s="1"/>
  <c r="AW1085" i="79"/>
  <c r="AX1085" i="79" s="1"/>
  <c r="AW1079" i="79"/>
  <c r="AX1079" i="79" s="1"/>
  <c r="E1026" i="79"/>
  <c r="E1053" i="79" s="1"/>
  <c r="AS1012" i="78"/>
  <c r="AH1126" i="78"/>
  <c r="AH1127" i="78"/>
  <c r="AS1047" i="78"/>
  <c r="X1092" i="78"/>
  <c r="T1092" i="78"/>
  <c r="U1092" i="78"/>
  <c r="C1066" i="78"/>
  <c r="AT1113" i="78"/>
  <c r="AJ946" i="78"/>
  <c r="AU1113" i="78"/>
  <c r="O1038" i="78"/>
  <c r="M1065" i="78"/>
  <c r="S1037" i="78"/>
  <c r="F1039" i="78"/>
  <c r="D1066" i="78"/>
  <c r="M1039" i="78"/>
  <c r="B1040" i="78"/>
  <c r="G1067" i="78"/>
  <c r="AK946" i="78"/>
  <c r="AX1057" i="68"/>
  <c r="AX1060" i="68"/>
  <c r="AX1063" i="68"/>
  <c r="T927" i="71"/>
  <c r="G1038" i="71"/>
  <c r="AK917" i="71"/>
  <c r="AH1097" i="71"/>
  <c r="AH1098" i="71"/>
  <c r="AS983" i="71"/>
  <c r="S1008" i="71"/>
  <c r="O1036" i="71"/>
  <c r="Q1009" i="71"/>
  <c r="R1009" i="71" s="1"/>
  <c r="S1009" i="71" s="1"/>
  <c r="AW1060" i="71"/>
  <c r="AW1065" i="71"/>
  <c r="AX1065" i="71" s="1"/>
  <c r="AW1083" i="71"/>
  <c r="AX1083" i="71" s="1"/>
  <c r="AW1077" i="71"/>
  <c r="AX1077" i="71" s="1"/>
  <c r="AW1072" i="71"/>
  <c r="AX1072" i="71" s="1"/>
  <c r="AW1067" i="71"/>
  <c r="AX1067" i="71" s="1"/>
  <c r="AW1073" i="71"/>
  <c r="AX1073" i="71" s="1"/>
  <c r="AW1079" i="71"/>
  <c r="AX1079" i="71" s="1"/>
  <c r="AW1064" i="71"/>
  <c r="AX1064" i="71" s="1"/>
  <c r="AW1070" i="71"/>
  <c r="AX1070" i="71" s="1"/>
  <c r="AW1069" i="71"/>
  <c r="AX1069" i="71" s="1"/>
  <c r="AW1061" i="71"/>
  <c r="AX1061" i="71" s="1"/>
  <c r="AW1066" i="71"/>
  <c r="AX1066" i="71" s="1"/>
  <c r="AW1082" i="71"/>
  <c r="AX1082" i="71" s="1"/>
  <c r="AW1075" i="71"/>
  <c r="AX1075" i="71" s="1"/>
  <c r="AW1062" i="71"/>
  <c r="AX1062" i="71" s="1"/>
  <c r="AW1081" i="71"/>
  <c r="AX1081" i="71" s="1"/>
  <c r="AW1076" i="71"/>
  <c r="AX1076" i="71" s="1"/>
  <c r="AW1074" i="71"/>
  <c r="AX1074" i="71" s="1"/>
  <c r="AW1080" i="71"/>
  <c r="AX1080" i="71" s="1"/>
  <c r="AW1078" i="71"/>
  <c r="AX1078" i="71" s="1"/>
  <c r="AW1071" i="71"/>
  <c r="AX1071" i="71" s="1"/>
  <c r="AW1063" i="71"/>
  <c r="AX1063" i="71" s="1"/>
  <c r="AW1068" i="71"/>
  <c r="AX1068" i="71" s="1"/>
  <c r="AJ917" i="71"/>
  <c r="B1011" i="71"/>
  <c r="Q1035" i="71"/>
  <c r="R1035" i="71" s="1"/>
  <c r="AS1018" i="71"/>
  <c r="D1037" i="71"/>
  <c r="M1010" i="71"/>
  <c r="F1010" i="71"/>
  <c r="C1037" i="71"/>
  <c r="AT1084" i="71"/>
  <c r="X1063" i="71"/>
  <c r="T1063" i="71"/>
  <c r="U1063" i="71"/>
  <c r="AU1084" i="71"/>
  <c r="AX1054" i="68"/>
  <c r="AX1051" i="68"/>
  <c r="AX1059" i="68"/>
  <c r="AX1049" i="68"/>
  <c r="AX1050" i="68"/>
  <c r="AX1056" i="68"/>
  <c r="AX1062" i="68"/>
  <c r="AX1061" i="68"/>
  <c r="AX1070" i="68"/>
  <c r="AX1053" i="68"/>
  <c r="AX1067" i="68"/>
  <c r="AX1071" i="68"/>
  <c r="AX1068" i="68"/>
  <c r="AX1066" i="68"/>
  <c r="AX1065" i="68"/>
  <c r="AX1058" i="68"/>
  <c r="AX1064" i="68"/>
  <c r="AX1052" i="68"/>
  <c r="R997" i="68"/>
  <c r="T996" i="68"/>
  <c r="S1023" i="68"/>
  <c r="U996" i="68"/>
  <c r="AX1055" i="68"/>
  <c r="AX1069" i="68"/>
  <c r="AW1072" i="68"/>
  <c r="D1025" i="68"/>
  <c r="AH1085" i="68"/>
  <c r="AH1086" i="68"/>
  <c r="AJ905" i="68"/>
  <c r="AS1006" i="68"/>
  <c r="E998" i="68"/>
  <c r="E1025" i="68" s="1"/>
  <c r="C1025" i="68"/>
  <c r="AT1072" i="68"/>
  <c r="AU1048" i="68"/>
  <c r="G1026" i="68"/>
  <c r="AK905" i="68"/>
  <c r="AS971" i="68"/>
  <c r="U1051" i="68"/>
  <c r="T1051" i="68"/>
  <c r="X1051" i="68"/>
  <c r="B999" i="68"/>
  <c r="M999" i="62"/>
  <c r="O972" i="62"/>
  <c r="O998" i="62"/>
  <c r="Q998" i="62" s="1"/>
  <c r="R998" i="62" s="1"/>
  <c r="Q971" i="62"/>
  <c r="AW1043" i="62"/>
  <c r="AW1041" i="62"/>
  <c r="AW1031" i="62"/>
  <c r="AW1034" i="62"/>
  <c r="AW1025" i="62"/>
  <c r="AW1027" i="62"/>
  <c r="AW1040" i="62"/>
  <c r="AW1033" i="62"/>
  <c r="AW1024" i="62"/>
  <c r="AW1037" i="62"/>
  <c r="AW1022" i="62"/>
  <c r="AX1022" i="62" s="1"/>
  <c r="AW1044" i="62"/>
  <c r="AW1042" i="62"/>
  <c r="AW1030" i="62"/>
  <c r="AW1035" i="62"/>
  <c r="AW1028" i="62"/>
  <c r="AW1023" i="62"/>
  <c r="AW1038" i="62"/>
  <c r="AW1032" i="62"/>
  <c r="AW1026" i="62"/>
  <c r="AW1045" i="62"/>
  <c r="AW1039" i="62"/>
  <c r="AW1036" i="62"/>
  <c r="AW1029" i="62"/>
  <c r="T997" i="62"/>
  <c r="U997" i="62"/>
  <c r="B973" i="62"/>
  <c r="B1000" i="62" s="1"/>
  <c r="G912" i="61"/>
  <c r="G940" i="61" s="1"/>
  <c r="AH915" i="62"/>
  <c r="AJ915" i="62" s="1"/>
  <c r="D91" i="2"/>
  <c r="Q91" i="2" s="1"/>
  <c r="R91" i="2" s="1"/>
  <c r="G1000" i="62"/>
  <c r="AK845" i="61"/>
  <c r="AL845" i="61" s="1"/>
  <c r="T991" i="61"/>
  <c r="AT1006" i="61"/>
  <c r="AU1006" i="61" s="1"/>
  <c r="AX1006" i="61" s="1"/>
  <c r="C939" i="61"/>
  <c r="E939" i="61" s="1"/>
  <c r="E966" i="61" s="1"/>
  <c r="AU911" i="61"/>
  <c r="AT1003" i="61"/>
  <c r="AU1003" i="61" s="1"/>
  <c r="AX1003" i="61" s="1"/>
  <c r="AT993" i="61"/>
  <c r="AU993" i="61" s="1"/>
  <c r="AX993" i="61" s="1"/>
  <c r="AT991" i="61"/>
  <c r="AU991" i="61" s="1"/>
  <c r="AX991" i="61" s="1"/>
  <c r="AT1001" i="61"/>
  <c r="AU1001" i="61" s="1"/>
  <c r="AX1001" i="61" s="1"/>
  <c r="AT1005" i="61"/>
  <c r="AU1005" i="61" s="1"/>
  <c r="AX1005" i="61" s="1"/>
  <c r="AT995" i="61"/>
  <c r="AU995" i="61" s="1"/>
  <c r="AX995" i="61" s="1"/>
  <c r="AT1004" i="61"/>
  <c r="AU1004" i="61" s="1"/>
  <c r="AX1004" i="61" s="1"/>
  <c r="AT998" i="61"/>
  <c r="AU998" i="61" s="1"/>
  <c r="AX998" i="61" s="1"/>
  <c r="AT989" i="61"/>
  <c r="AU989" i="61" s="1"/>
  <c r="AX989" i="61" s="1"/>
  <c r="AT1007" i="61"/>
  <c r="AU1007" i="61" s="1"/>
  <c r="AX1007" i="61" s="1"/>
  <c r="AT999" i="61"/>
  <c r="AU999" i="61" s="1"/>
  <c r="AX999" i="61" s="1"/>
  <c r="AT1010" i="61"/>
  <c r="AU1010" i="61" s="1"/>
  <c r="AX1010" i="61" s="1"/>
  <c r="AT1011" i="61"/>
  <c r="AU1011" i="61" s="1"/>
  <c r="AX1011" i="61" s="1"/>
  <c r="AT992" i="61"/>
  <c r="AU992" i="61" s="1"/>
  <c r="AX992" i="61" s="1"/>
  <c r="AT1000" i="61"/>
  <c r="AU1000" i="61" s="1"/>
  <c r="AX1000" i="61" s="1"/>
  <c r="AT990" i="61"/>
  <c r="AU990" i="61" s="1"/>
  <c r="AX990" i="61" s="1"/>
  <c r="AT1002" i="61"/>
  <c r="AU1002" i="61" s="1"/>
  <c r="AX1002" i="61" s="1"/>
  <c r="AT997" i="61"/>
  <c r="AU997" i="61" s="1"/>
  <c r="AX997" i="61" s="1"/>
  <c r="AT1009" i="61"/>
  <c r="AU1009" i="61" s="1"/>
  <c r="AX1009" i="61" s="1"/>
  <c r="AT996" i="61"/>
  <c r="AU996" i="61" s="1"/>
  <c r="AX996" i="61" s="1"/>
  <c r="AT1008" i="61"/>
  <c r="AU1008" i="61" s="1"/>
  <c r="AX1008" i="61" s="1"/>
  <c r="AT994" i="61"/>
  <c r="AU994" i="61" s="1"/>
  <c r="AX994" i="61" s="1"/>
  <c r="F999" i="62"/>
  <c r="AU945" i="62"/>
  <c r="D973" i="62"/>
  <c r="AL879" i="62"/>
  <c r="AT1023" i="62"/>
  <c r="AU1023" i="62" s="1"/>
  <c r="AT1036" i="62"/>
  <c r="AU1036" i="62" s="1"/>
  <c r="AT1029" i="62"/>
  <c r="AU1029" i="62" s="1"/>
  <c r="AT1034" i="62"/>
  <c r="AU1034" i="62" s="1"/>
  <c r="AT1038" i="62"/>
  <c r="AU1038" i="62" s="1"/>
  <c r="AT1026" i="62"/>
  <c r="AU1026" i="62" s="1"/>
  <c r="AT1027" i="62"/>
  <c r="AU1027" i="62" s="1"/>
  <c r="AT1045" i="62"/>
  <c r="AU1045" i="62" s="1"/>
  <c r="AT1043" i="62"/>
  <c r="AU1043" i="62" s="1"/>
  <c r="AT1025" i="62"/>
  <c r="AU1025" i="62" s="1"/>
  <c r="AT1033" i="62"/>
  <c r="AU1033" i="62" s="1"/>
  <c r="AT1042" i="62"/>
  <c r="AU1042" i="62" s="1"/>
  <c r="AT1028" i="62"/>
  <c r="AU1028" i="62" s="1"/>
  <c r="AT1040" i="62"/>
  <c r="AU1040" i="62" s="1"/>
  <c r="AT1037" i="62"/>
  <c r="AU1037" i="62" s="1"/>
  <c r="AT1024" i="62"/>
  <c r="AU1024" i="62" s="1"/>
  <c r="AT1035" i="62"/>
  <c r="AU1035" i="62" s="1"/>
  <c r="AT1030" i="62"/>
  <c r="AU1030" i="62" s="1"/>
  <c r="AT1044" i="62"/>
  <c r="AU1044" i="62" s="1"/>
  <c r="AT1031" i="62"/>
  <c r="AU1031" i="62" s="1"/>
  <c r="AT1032" i="62"/>
  <c r="AU1032" i="62" s="1"/>
  <c r="AT1039" i="62"/>
  <c r="AU1039" i="62" s="1"/>
  <c r="AT1041" i="62"/>
  <c r="AU1041" i="62" s="1"/>
  <c r="F965" i="61"/>
  <c r="U964" i="61"/>
  <c r="T964" i="61"/>
  <c r="D966" i="61"/>
  <c r="AX988" i="61"/>
  <c r="E1066" i="61"/>
  <c r="F1066" i="61" s="1"/>
  <c r="C1066" i="61"/>
  <c r="S965" i="61"/>
  <c r="T938" i="61"/>
  <c r="U938" i="61"/>
  <c r="AJ863" i="53"/>
  <c r="D948" i="53"/>
  <c r="AU994" i="53"/>
  <c r="AX970" i="53"/>
  <c r="AX994" i="53" s="1"/>
  <c r="AH828" i="53"/>
  <c r="E1048" i="53"/>
  <c r="F1048" i="53" s="1"/>
  <c r="R920" i="53"/>
  <c r="C1048" i="53"/>
  <c r="P947" i="53"/>
  <c r="Q920" i="53"/>
  <c r="AT994" i="53"/>
  <c r="G922" i="53"/>
  <c r="I974" i="53"/>
  <c r="E921" i="53"/>
  <c r="E948" i="53" s="1"/>
  <c r="C948" i="53"/>
  <c r="Q946" i="53"/>
  <c r="R946" i="53"/>
  <c r="R894" i="53"/>
  <c r="H974" i="53"/>
  <c r="AH929" i="53"/>
  <c r="AH894" i="53"/>
  <c r="E91" i="2"/>
  <c r="S1033" i="82" l="1"/>
  <c r="AG1121" i="82"/>
  <c r="AG1122" i="82"/>
  <c r="B1062" i="82"/>
  <c r="C1035" i="82"/>
  <c r="E1035" i="82" s="1"/>
  <c r="E1062" i="82" s="1"/>
  <c r="AW1108" i="82"/>
  <c r="AX1084" i="82"/>
  <c r="AX1108" i="82" s="1"/>
  <c r="Q1060" i="82"/>
  <c r="R1060" i="82" s="1"/>
  <c r="AL941" i="82"/>
  <c r="F1034" i="82"/>
  <c r="D1035" i="82"/>
  <c r="AU1007" i="82"/>
  <c r="M1034" i="82"/>
  <c r="S1059" i="82"/>
  <c r="U1032" i="82"/>
  <c r="T1032" i="82"/>
  <c r="AE942" i="82"/>
  <c r="AF942" i="82" s="1"/>
  <c r="AS977" i="82"/>
  <c r="G1008" i="82"/>
  <c r="AH977" i="82"/>
  <c r="F1008" i="82"/>
  <c r="M1026" i="79"/>
  <c r="M1053" i="79" s="1"/>
  <c r="S1025" i="79"/>
  <c r="AW1100" i="79"/>
  <c r="D1027" i="79"/>
  <c r="AU999" i="79"/>
  <c r="Q1052" i="79"/>
  <c r="R1052" i="79" s="1"/>
  <c r="F1026" i="79"/>
  <c r="C1027" i="79"/>
  <c r="E1027" i="79" s="1"/>
  <c r="E1054" i="79" s="1"/>
  <c r="B1054" i="79"/>
  <c r="AG1113" i="79"/>
  <c r="AG1114" i="79"/>
  <c r="AX1076" i="79"/>
  <c r="AX1100" i="79" s="1"/>
  <c r="T1051" i="79"/>
  <c r="U1051" i="79"/>
  <c r="AL933" i="79"/>
  <c r="AE934" i="79"/>
  <c r="AF934" i="79" s="1"/>
  <c r="AH969" i="79"/>
  <c r="F1000" i="79"/>
  <c r="AS969" i="79"/>
  <c r="G1000" i="79"/>
  <c r="S1064" i="78"/>
  <c r="U1037" i="78"/>
  <c r="T1037" i="78"/>
  <c r="B1067" i="78"/>
  <c r="C1040" i="78"/>
  <c r="E1040" i="78" s="1"/>
  <c r="E1067" i="78" s="1"/>
  <c r="AG1126" i="78"/>
  <c r="AG1127" i="78"/>
  <c r="M1066" i="78"/>
  <c r="O1039" i="78"/>
  <c r="AW1095" i="78"/>
  <c r="AX1095" i="78" s="1"/>
  <c r="Q1038" i="78"/>
  <c r="O1065" i="78"/>
  <c r="AW1112" i="78"/>
  <c r="AX1112" i="78" s="1"/>
  <c r="AW1102" i="78"/>
  <c r="AX1102" i="78" s="1"/>
  <c r="AW1096" i="78"/>
  <c r="AX1096" i="78" s="1"/>
  <c r="AW1093" i="78"/>
  <c r="AX1093" i="78" s="1"/>
  <c r="AW1101" i="78"/>
  <c r="AX1101" i="78" s="1"/>
  <c r="AW1106" i="78"/>
  <c r="AX1106" i="78" s="1"/>
  <c r="AW1110" i="78"/>
  <c r="AX1110" i="78" s="1"/>
  <c r="AW1100" i="78"/>
  <c r="AX1100" i="78" s="1"/>
  <c r="AW1092" i="78"/>
  <c r="AX1092" i="78" s="1"/>
  <c r="AW1109" i="78"/>
  <c r="AX1109" i="78" s="1"/>
  <c r="AW1105" i="78"/>
  <c r="AX1105" i="78" s="1"/>
  <c r="AW1098" i="78"/>
  <c r="AX1098" i="78" s="1"/>
  <c r="AW1090" i="78"/>
  <c r="AX1090" i="78" s="1"/>
  <c r="AW1103" i="78"/>
  <c r="AX1103" i="78" s="1"/>
  <c r="AW1108" i="78"/>
  <c r="AX1108" i="78" s="1"/>
  <c r="AW1107" i="78"/>
  <c r="AX1107" i="78" s="1"/>
  <c r="AW1097" i="78"/>
  <c r="AX1097" i="78" s="1"/>
  <c r="AW1089" i="78"/>
  <c r="AW1111" i="78"/>
  <c r="AX1111" i="78" s="1"/>
  <c r="AW1094" i="78"/>
  <c r="AX1094" i="78" s="1"/>
  <c r="AW1091" i="78"/>
  <c r="AX1091" i="78" s="1"/>
  <c r="AW1099" i="78"/>
  <c r="AX1099" i="78" s="1"/>
  <c r="AW1104" i="78"/>
  <c r="AX1104" i="78" s="1"/>
  <c r="F1066" i="78"/>
  <c r="AL946" i="78"/>
  <c r="D1040" i="78"/>
  <c r="AU1012" i="78"/>
  <c r="AH982" i="78"/>
  <c r="AE947" i="78"/>
  <c r="AF947" i="78" s="1"/>
  <c r="AS982" i="78"/>
  <c r="G1013" i="78"/>
  <c r="F1013" i="78"/>
  <c r="B1038" i="71"/>
  <c r="C1011" i="71"/>
  <c r="AW1084" i="71"/>
  <c r="AX1060" i="71"/>
  <c r="AX1084" i="71" s="1"/>
  <c r="S1035" i="71"/>
  <c r="U1008" i="71"/>
  <c r="T1008" i="71"/>
  <c r="AU983" i="71"/>
  <c r="D1011" i="71"/>
  <c r="F1037" i="71"/>
  <c r="AG1097" i="71"/>
  <c r="AG1098" i="71"/>
  <c r="M1037" i="71"/>
  <c r="O1010" i="71"/>
  <c r="AL917" i="71"/>
  <c r="S1036" i="71"/>
  <c r="T1009" i="71"/>
  <c r="U1009" i="71"/>
  <c r="Q1036" i="71"/>
  <c r="R1036" i="71" s="1"/>
  <c r="AE918" i="71"/>
  <c r="AF918" i="71" s="1"/>
  <c r="F984" i="71"/>
  <c r="G984" i="71"/>
  <c r="AH953" i="71"/>
  <c r="S997" i="68"/>
  <c r="U1023" i="68"/>
  <c r="T1023" i="68"/>
  <c r="B1026" i="68"/>
  <c r="C999" i="68"/>
  <c r="AG1086" i="68"/>
  <c r="AG1085" i="68"/>
  <c r="D999" i="68"/>
  <c r="AU971" i="68"/>
  <c r="AU1072" i="68"/>
  <c r="AX1048" i="68"/>
  <c r="AX1072" i="68" s="1"/>
  <c r="AL905" i="68"/>
  <c r="F998" i="68"/>
  <c r="M998" i="68"/>
  <c r="O998" i="68" s="1"/>
  <c r="F972" i="68"/>
  <c r="AH941" i="68"/>
  <c r="G972" i="68"/>
  <c r="AE906" i="68"/>
  <c r="AF906" i="68" s="1"/>
  <c r="AX1025" i="62"/>
  <c r="AX1026" i="62"/>
  <c r="AX1043" i="62"/>
  <c r="AX1023" i="62"/>
  <c r="AX1039" i="62"/>
  <c r="AX1030" i="62"/>
  <c r="AX1040" i="62"/>
  <c r="AX1036" i="62"/>
  <c r="AX1032" i="62"/>
  <c r="AX1035" i="62"/>
  <c r="AX1031" i="62"/>
  <c r="AX1041" i="62"/>
  <c r="AX1037" i="62"/>
  <c r="AX1027" i="62"/>
  <c r="O999" i="62"/>
  <c r="Q972" i="62"/>
  <c r="S972" i="62" s="1"/>
  <c r="AX1038" i="62"/>
  <c r="AX1024" i="62"/>
  <c r="AX1042" i="62"/>
  <c r="AX1045" i="62"/>
  <c r="AX1028" i="62"/>
  <c r="AX1044" i="62"/>
  <c r="AX1033" i="62"/>
  <c r="AX1029" i="62"/>
  <c r="AW1046" i="62"/>
  <c r="AX1034" i="62"/>
  <c r="C973" i="62"/>
  <c r="E973" i="62" s="1"/>
  <c r="E1000" i="62" s="1"/>
  <c r="T93" i="2"/>
  <c r="C93" i="2" s="1"/>
  <c r="F946" i="62"/>
  <c r="AH946" i="62" s="1"/>
  <c r="AS946" i="62" s="1"/>
  <c r="AE880" i="62"/>
  <c r="AF880" i="62" s="1"/>
  <c r="AH880" i="62" s="1"/>
  <c r="AJ880" i="62" s="1"/>
  <c r="I992" i="61"/>
  <c r="F912" i="61"/>
  <c r="R912" i="61" s="1"/>
  <c r="B940" i="61" s="1"/>
  <c r="G946" i="62"/>
  <c r="G974" i="62" s="1"/>
  <c r="G1001" i="62" s="1"/>
  <c r="AE846" i="61"/>
  <c r="AF846" i="61" s="1"/>
  <c r="AH846" i="61" s="1"/>
  <c r="AJ846" i="61" s="1"/>
  <c r="AH881" i="61"/>
  <c r="AJ881" i="61" s="1"/>
  <c r="C966" i="61"/>
  <c r="F939" i="61"/>
  <c r="F966" i="61" s="1"/>
  <c r="AX1012" i="61"/>
  <c r="AU1012" i="61"/>
  <c r="AT1012" i="61"/>
  <c r="D1000" i="62"/>
  <c r="E1100" i="62"/>
  <c r="C1100" i="62"/>
  <c r="AU1046" i="62"/>
  <c r="AT1046" i="62"/>
  <c r="U965" i="61"/>
  <c r="T965" i="61"/>
  <c r="G967" i="61"/>
  <c r="AK846" i="61"/>
  <c r="F921" i="53"/>
  <c r="F948" i="53" s="1"/>
  <c r="AS929" i="53"/>
  <c r="T974" i="53"/>
  <c r="U974" i="53"/>
  <c r="R947" i="53"/>
  <c r="Q947" i="53"/>
  <c r="C28" i="25"/>
  <c r="B922" i="53"/>
  <c r="AK828" i="53"/>
  <c r="G949" i="53"/>
  <c r="AJ828" i="53"/>
  <c r="AS894" i="53"/>
  <c r="AE829" i="53"/>
  <c r="AF829" i="53" s="1"/>
  <c r="AH829" i="53" s="1"/>
  <c r="AJ829" i="53" s="1"/>
  <c r="AH864" i="53"/>
  <c r="AJ864" i="53" s="1"/>
  <c r="F895" i="53"/>
  <c r="G895" i="53"/>
  <c r="B93" i="2"/>
  <c r="T952" i="82" l="1"/>
  <c r="D1062" i="82"/>
  <c r="F1035" i="82"/>
  <c r="M1035" i="82"/>
  <c r="AH942" i="82"/>
  <c r="F1061" i="82"/>
  <c r="C1062" i="82"/>
  <c r="U1059" i="82"/>
  <c r="T1059" i="82"/>
  <c r="H1088" i="82"/>
  <c r="AH1008" i="82"/>
  <c r="AH1043" i="82"/>
  <c r="R1008" i="82"/>
  <c r="M1061" i="82"/>
  <c r="O1034" i="82"/>
  <c r="AJ977" i="82"/>
  <c r="I1088" i="82"/>
  <c r="Y1088" i="82" s="1"/>
  <c r="G1036" i="82"/>
  <c r="S1060" i="82"/>
  <c r="U1033" i="82"/>
  <c r="T1033" i="82"/>
  <c r="AK27" i="2"/>
  <c r="O1026" i="79"/>
  <c r="O1053" i="79" s="1"/>
  <c r="T944" i="79"/>
  <c r="S1052" i="79"/>
  <c r="U1025" i="79"/>
  <c r="T1025" i="79"/>
  <c r="I1080" i="79"/>
  <c r="Y1080" i="79" s="1"/>
  <c r="G1028" i="79"/>
  <c r="C1054" i="79"/>
  <c r="H1080" i="79"/>
  <c r="AH1035" i="79"/>
  <c r="AH1000" i="79"/>
  <c r="R1000" i="79"/>
  <c r="AJ969" i="79"/>
  <c r="D1054" i="79"/>
  <c r="M1027" i="79"/>
  <c r="F1027" i="79"/>
  <c r="AH934" i="79"/>
  <c r="F1053" i="79"/>
  <c r="AJ982" i="78"/>
  <c r="Q1065" i="78"/>
  <c r="R1065" i="78" s="1"/>
  <c r="D1067" i="78"/>
  <c r="F1040" i="78"/>
  <c r="M1040" i="78"/>
  <c r="C1067" i="78"/>
  <c r="H1093" i="78"/>
  <c r="AH1048" i="78"/>
  <c r="AH1013" i="78"/>
  <c r="R1013" i="78"/>
  <c r="R1038" i="78"/>
  <c r="I1093" i="78"/>
  <c r="Y1093" i="78" s="1"/>
  <c r="G1041" i="78"/>
  <c r="O1066" i="78"/>
  <c r="Q1039" i="78"/>
  <c r="R1039" i="78" s="1"/>
  <c r="S1039" i="78" s="1"/>
  <c r="AH947" i="78"/>
  <c r="AW1113" i="78"/>
  <c r="AX1089" i="78"/>
  <c r="AX1113" i="78" s="1"/>
  <c r="U1064" i="78"/>
  <c r="T1064" i="78"/>
  <c r="T928" i="71"/>
  <c r="AJ953" i="71"/>
  <c r="U1036" i="71"/>
  <c r="T1036" i="71"/>
  <c r="O1037" i="71"/>
  <c r="Q1010" i="71"/>
  <c r="R1010" i="71" s="1"/>
  <c r="I1064" i="71"/>
  <c r="Y1064" i="71" s="1"/>
  <c r="G1012" i="71"/>
  <c r="D1038" i="71"/>
  <c r="U1035" i="71"/>
  <c r="T1035" i="71"/>
  <c r="C1038" i="71"/>
  <c r="H1064" i="71"/>
  <c r="AH1019" i="71"/>
  <c r="AH984" i="71"/>
  <c r="R984" i="71"/>
  <c r="AH918" i="71"/>
  <c r="E1011" i="71"/>
  <c r="E1038" i="71" s="1"/>
  <c r="S1024" i="68"/>
  <c r="T997" i="68"/>
  <c r="U997" i="68"/>
  <c r="Q998" i="68"/>
  <c r="O1025" i="68"/>
  <c r="Q1025" i="68" s="1"/>
  <c r="R1025" i="68" s="1"/>
  <c r="H1052" i="68"/>
  <c r="AH972" i="68"/>
  <c r="R972" i="68"/>
  <c r="AH1007" i="68"/>
  <c r="F1025" i="68"/>
  <c r="AH906" i="68"/>
  <c r="M1025" i="68"/>
  <c r="I1052" i="68"/>
  <c r="Y1052" i="68" s="1"/>
  <c r="G1000" i="68"/>
  <c r="AJ941" i="68"/>
  <c r="D1026" i="68"/>
  <c r="E999" i="68"/>
  <c r="E1026" i="68" s="1"/>
  <c r="C1026" i="68"/>
  <c r="F973" i="62"/>
  <c r="F1000" i="62" s="1"/>
  <c r="AX1046" i="62"/>
  <c r="S999" i="62"/>
  <c r="U972" i="62"/>
  <c r="T972" i="62"/>
  <c r="Q999" i="62"/>
  <c r="R999" i="62" s="1"/>
  <c r="M973" i="62"/>
  <c r="S971" i="62"/>
  <c r="T971" i="62" s="1"/>
  <c r="C1000" i="62"/>
  <c r="U93" i="2"/>
  <c r="W93" i="2" s="1"/>
  <c r="I93" i="2"/>
  <c r="G913" i="61"/>
  <c r="I993" i="61" s="1"/>
  <c r="AE881" i="62"/>
  <c r="AF881" i="62" s="1"/>
  <c r="AH881" i="62" s="1"/>
  <c r="AJ881" i="62" s="1"/>
  <c r="D93" i="2"/>
  <c r="AH981" i="62"/>
  <c r="AS981" i="62" s="1"/>
  <c r="H1026" i="62"/>
  <c r="X1026" i="62" s="1"/>
  <c r="AK880" i="62"/>
  <c r="AL880" i="62" s="1"/>
  <c r="R946" i="62"/>
  <c r="B974" i="62" s="1"/>
  <c r="C974" i="62" s="1"/>
  <c r="E974" i="62" s="1"/>
  <c r="E1001" i="62" s="1"/>
  <c r="AH947" i="61"/>
  <c r="AS947" i="61" s="1"/>
  <c r="AH912" i="61"/>
  <c r="AS912" i="61" s="1"/>
  <c r="AU912" i="61" s="1"/>
  <c r="H992" i="61"/>
  <c r="T992" i="61" s="1"/>
  <c r="I1026" i="62"/>
  <c r="Y1026" i="62" s="1"/>
  <c r="S939" i="61"/>
  <c r="C1067" i="61" s="1"/>
  <c r="D974" i="62"/>
  <c r="F1100" i="62"/>
  <c r="B967" i="61"/>
  <c r="C940" i="61"/>
  <c r="AL846" i="61"/>
  <c r="AH865" i="53"/>
  <c r="AJ865" i="53" s="1"/>
  <c r="P921" i="53"/>
  <c r="R921" i="53" s="1"/>
  <c r="G923" i="53"/>
  <c r="I975" i="53"/>
  <c r="B949" i="53"/>
  <c r="C922" i="53"/>
  <c r="R895" i="53"/>
  <c r="H975" i="53"/>
  <c r="AH930" i="53"/>
  <c r="AS930" i="53" s="1"/>
  <c r="AH895" i="53"/>
  <c r="AS895" i="53" s="1"/>
  <c r="D923" i="53" s="1"/>
  <c r="D922" i="53"/>
  <c r="AL828" i="53"/>
  <c r="E93" i="2"/>
  <c r="O1061" i="82" l="1"/>
  <c r="Q1034" i="82"/>
  <c r="U1060" i="82"/>
  <c r="T1060" i="82"/>
  <c r="AJ942" i="82"/>
  <c r="G1063" i="82"/>
  <c r="AK942" i="82"/>
  <c r="B1036" i="82"/>
  <c r="M1062" i="82"/>
  <c r="O1035" i="82"/>
  <c r="AH1125" i="82"/>
  <c r="AH1124" i="82"/>
  <c r="AS1043" i="82"/>
  <c r="F1062" i="82"/>
  <c r="AS1008" i="82"/>
  <c r="X1088" i="82"/>
  <c r="U1088" i="82"/>
  <c r="T1088" i="82"/>
  <c r="AE943" i="82"/>
  <c r="AF943" i="82" s="1"/>
  <c r="AH943" i="82" s="1"/>
  <c r="AJ943" i="82" s="1"/>
  <c r="AS978" i="82"/>
  <c r="F1009" i="82"/>
  <c r="G1009" i="82"/>
  <c r="AH978" i="82"/>
  <c r="AJ978" i="82" s="1"/>
  <c r="X94" i="2"/>
  <c r="Z94" i="2"/>
  <c r="Y94" i="2"/>
  <c r="Q1026" i="79"/>
  <c r="R1026" i="79" s="1"/>
  <c r="U1052" i="79"/>
  <c r="T1052" i="79"/>
  <c r="AE935" i="79"/>
  <c r="AF935" i="79" s="1"/>
  <c r="AH935" i="79" s="1"/>
  <c r="AJ935" i="79" s="1"/>
  <c r="AS970" i="79"/>
  <c r="AH970" i="79"/>
  <c r="AJ970" i="79" s="1"/>
  <c r="G1001" i="79"/>
  <c r="F1001" i="79"/>
  <c r="AJ934" i="79"/>
  <c r="F1054" i="79"/>
  <c r="G1055" i="79"/>
  <c r="AK934" i="79"/>
  <c r="M1054" i="79"/>
  <c r="O1027" i="79"/>
  <c r="B1028" i="79"/>
  <c r="AH1117" i="79"/>
  <c r="AH1116" i="79"/>
  <c r="AS1000" i="79"/>
  <c r="AS1035" i="79"/>
  <c r="X1080" i="79"/>
  <c r="U1080" i="79"/>
  <c r="T1080" i="79"/>
  <c r="Q1053" i="79"/>
  <c r="R1053" i="79" s="1"/>
  <c r="S1066" i="78"/>
  <c r="T1039" i="78"/>
  <c r="U1039" i="78"/>
  <c r="Q1066" i="78"/>
  <c r="R1066" i="78" s="1"/>
  <c r="AS1013" i="78"/>
  <c r="AS1048" i="78"/>
  <c r="X1093" i="78"/>
  <c r="T1093" i="78"/>
  <c r="U1093" i="78"/>
  <c r="B1041" i="78"/>
  <c r="G1068" i="78"/>
  <c r="AK947" i="78"/>
  <c r="AJ947" i="78"/>
  <c r="AH1130" i="78"/>
  <c r="AH1129" i="78"/>
  <c r="S1038" i="78"/>
  <c r="F1067" i="78"/>
  <c r="M1067" i="78"/>
  <c r="O1040" i="78"/>
  <c r="AE948" i="78"/>
  <c r="AF948" i="78" s="1"/>
  <c r="AH948" i="78" s="1"/>
  <c r="AJ948" i="78" s="1"/>
  <c r="AH983" i="78"/>
  <c r="AJ983" i="78" s="1"/>
  <c r="AS983" i="78"/>
  <c r="F1014" i="78"/>
  <c r="G1014" i="78"/>
  <c r="B1012" i="71"/>
  <c r="AS984" i="71"/>
  <c r="F1011" i="71"/>
  <c r="G1039" i="71"/>
  <c r="AK918" i="71"/>
  <c r="AJ918" i="71"/>
  <c r="AS1019" i="71"/>
  <c r="AH1101" i="71"/>
  <c r="AH1100" i="71"/>
  <c r="Q1037" i="71"/>
  <c r="R1037" i="71" s="1"/>
  <c r="S1010" i="71"/>
  <c r="X1064" i="71"/>
  <c r="U1064" i="71"/>
  <c r="T1064" i="71"/>
  <c r="M1011" i="71"/>
  <c r="AE919" i="71"/>
  <c r="AF919" i="71" s="1"/>
  <c r="AH919" i="71" s="1"/>
  <c r="AJ919" i="71" s="1"/>
  <c r="F985" i="71"/>
  <c r="G985" i="71"/>
  <c r="AH954" i="71"/>
  <c r="AJ954" i="71" s="1"/>
  <c r="R998" i="68"/>
  <c r="U1024" i="68"/>
  <c r="T1024" i="68"/>
  <c r="M999" i="68"/>
  <c r="F999" i="68"/>
  <c r="F1026" i="68" s="1"/>
  <c r="AS1007" i="68"/>
  <c r="AH942" i="68"/>
  <c r="AJ942" i="68" s="1"/>
  <c r="G973" i="68"/>
  <c r="AE907" i="68"/>
  <c r="AF907" i="68" s="1"/>
  <c r="AH907" i="68" s="1"/>
  <c r="AJ907" i="68" s="1"/>
  <c r="F973" i="68"/>
  <c r="B1000" i="68"/>
  <c r="G1027" i="68"/>
  <c r="AK906" i="68"/>
  <c r="AS972" i="68"/>
  <c r="AH1089" i="68"/>
  <c r="AH1088" i="68"/>
  <c r="AJ906" i="68"/>
  <c r="X1052" i="68"/>
  <c r="T1052" i="68"/>
  <c r="U1052" i="68"/>
  <c r="M974" i="62"/>
  <c r="O974" i="62" s="1"/>
  <c r="U999" i="62"/>
  <c r="T999" i="62"/>
  <c r="O973" i="62"/>
  <c r="M1000" i="62"/>
  <c r="S998" i="62"/>
  <c r="U971" i="62"/>
  <c r="AH1063" i="62"/>
  <c r="AH1062" i="62"/>
  <c r="AG1062" i="62"/>
  <c r="AG1063" i="62"/>
  <c r="AF1063" i="62"/>
  <c r="AF1062" i="62"/>
  <c r="Q93" i="2"/>
  <c r="R93" i="2" s="1"/>
  <c r="AH916" i="62"/>
  <c r="AJ916" i="62" s="1"/>
  <c r="F947" i="62"/>
  <c r="AH947" i="62" s="1"/>
  <c r="AS947" i="62" s="1"/>
  <c r="D975" i="62" s="1"/>
  <c r="G947" i="62"/>
  <c r="G975" i="62" s="1"/>
  <c r="AK881" i="62" s="1"/>
  <c r="AL881" i="62" s="1"/>
  <c r="G941" i="61"/>
  <c r="AK847" i="61" s="1"/>
  <c r="F913" i="61"/>
  <c r="H993" i="61" s="1"/>
  <c r="T993" i="61" s="1"/>
  <c r="AE847" i="61"/>
  <c r="AF847" i="61" s="1"/>
  <c r="AH847" i="61" s="1"/>
  <c r="AJ847" i="61" s="1"/>
  <c r="AH882" i="61"/>
  <c r="AJ882" i="61" s="1"/>
  <c r="T95" i="2"/>
  <c r="U1026" i="62"/>
  <c r="B1001" i="62"/>
  <c r="AU946" i="62"/>
  <c r="U992" i="61"/>
  <c r="T1026" i="62"/>
  <c r="D940" i="61"/>
  <c r="D967" i="61" s="1"/>
  <c r="U939" i="61"/>
  <c r="E1067" i="61"/>
  <c r="T939" i="61"/>
  <c r="S966" i="61"/>
  <c r="U966" i="61" s="1"/>
  <c r="C1001" i="62"/>
  <c r="E1101" i="62"/>
  <c r="C1101" i="62"/>
  <c r="D1001" i="62"/>
  <c r="F974" i="62"/>
  <c r="C967" i="61"/>
  <c r="E940" i="61"/>
  <c r="E967" i="61" s="1"/>
  <c r="F896" i="53"/>
  <c r="AH896" i="53" s="1"/>
  <c r="AS896" i="53" s="1"/>
  <c r="D924" i="53" s="1"/>
  <c r="G896" i="53"/>
  <c r="I976" i="53" s="1"/>
  <c r="AE830" i="53"/>
  <c r="AF830" i="53" s="1"/>
  <c r="AH830" i="53" s="1"/>
  <c r="AJ830" i="53" s="1"/>
  <c r="P948" i="53"/>
  <c r="R948" i="53" s="1"/>
  <c r="Q921" i="53"/>
  <c r="C1049" i="53"/>
  <c r="E1049" i="53"/>
  <c r="D949" i="53"/>
  <c r="B923" i="53"/>
  <c r="C29" i="25"/>
  <c r="D950" i="53"/>
  <c r="G950" i="53"/>
  <c r="AK829" i="53"/>
  <c r="AL829" i="53" s="1"/>
  <c r="E922" i="53"/>
  <c r="E949" i="53" s="1"/>
  <c r="C949" i="53"/>
  <c r="V975" i="53"/>
  <c r="T975" i="53"/>
  <c r="U975" i="53"/>
  <c r="I1089" i="82" l="1"/>
  <c r="Y1089" i="82" s="1"/>
  <c r="G1037" i="82"/>
  <c r="H1089" i="82"/>
  <c r="AH1044" i="82"/>
  <c r="AS1044" i="82" s="1"/>
  <c r="AH1009" i="82"/>
  <c r="AS1009" i="82" s="1"/>
  <c r="R1009" i="82"/>
  <c r="B1037" i="82" s="1"/>
  <c r="AU1008" i="82"/>
  <c r="D1036" i="82"/>
  <c r="B1063" i="82"/>
  <c r="C1036" i="82"/>
  <c r="R1034" i="82"/>
  <c r="Q1061" i="82"/>
  <c r="R1061" i="82" s="1"/>
  <c r="AG1125" i="82"/>
  <c r="AG1124" i="82"/>
  <c r="O1062" i="82"/>
  <c r="Q1035" i="82"/>
  <c r="AL942" i="82"/>
  <c r="Q1027" i="79"/>
  <c r="R1027" i="79" s="1"/>
  <c r="O1054" i="79"/>
  <c r="D1028" i="79"/>
  <c r="AU1000" i="79"/>
  <c r="H1081" i="79"/>
  <c r="AH1036" i="79"/>
  <c r="AS1036" i="79" s="1"/>
  <c r="AH1001" i="79"/>
  <c r="AS1001" i="79" s="1"/>
  <c r="R1001" i="79"/>
  <c r="B1029" i="79" s="1"/>
  <c r="AG1117" i="79"/>
  <c r="AG1116" i="79"/>
  <c r="I1081" i="79"/>
  <c r="Y1081" i="79" s="1"/>
  <c r="G1029" i="79"/>
  <c r="AL934" i="79"/>
  <c r="B1055" i="79"/>
  <c r="C1028" i="79"/>
  <c r="E1028" i="79" s="1"/>
  <c r="E1055" i="79" s="1"/>
  <c r="S1026" i="79"/>
  <c r="S1065" i="78"/>
  <c r="T1038" i="78"/>
  <c r="U1038" i="78"/>
  <c r="D1041" i="78"/>
  <c r="AU1013" i="78"/>
  <c r="O1067" i="78"/>
  <c r="Q1040" i="78"/>
  <c r="R1040" i="78" s="1"/>
  <c r="B1068" i="78"/>
  <c r="C1041" i="78"/>
  <c r="E1041" i="78" s="1"/>
  <c r="E1068" i="78" s="1"/>
  <c r="I1094" i="78"/>
  <c r="Y1094" i="78" s="1"/>
  <c r="G1042" i="78"/>
  <c r="AL947" i="78"/>
  <c r="H1094" i="78"/>
  <c r="AH1049" i="78"/>
  <c r="AS1049" i="78" s="1"/>
  <c r="AH1014" i="78"/>
  <c r="AS1014" i="78" s="1"/>
  <c r="R1014" i="78"/>
  <c r="B1042" i="78" s="1"/>
  <c r="AG1130" i="78"/>
  <c r="AG1129" i="78"/>
  <c r="U1066" i="78"/>
  <c r="T1066" i="78"/>
  <c r="AG1101" i="71"/>
  <c r="AG1100" i="71"/>
  <c r="M1038" i="71"/>
  <c r="O1011" i="71"/>
  <c r="D1012" i="71"/>
  <c r="AU984" i="71"/>
  <c r="I1065" i="71"/>
  <c r="Y1065" i="71" s="1"/>
  <c r="G1013" i="71"/>
  <c r="S1037" i="71"/>
  <c r="U1010" i="71"/>
  <c r="T1010" i="71"/>
  <c r="AL918" i="71"/>
  <c r="H1065" i="71"/>
  <c r="AH1020" i="71"/>
  <c r="AS1020" i="71" s="1"/>
  <c r="AH985" i="71"/>
  <c r="AS985" i="71" s="1"/>
  <c r="R985" i="71"/>
  <c r="B1013" i="71" s="1"/>
  <c r="F1038" i="71"/>
  <c r="C1012" i="71"/>
  <c r="B1039" i="71"/>
  <c r="M1026" i="68"/>
  <c r="O999" i="68"/>
  <c r="S998" i="68"/>
  <c r="C1000" i="68"/>
  <c r="B1027" i="68"/>
  <c r="G1001" i="68"/>
  <c r="I1053" i="68"/>
  <c r="Y1053" i="68" s="1"/>
  <c r="AG1089" i="68"/>
  <c r="AG1088" i="68"/>
  <c r="R973" i="68"/>
  <c r="B1001" i="68" s="1"/>
  <c r="H1053" i="68"/>
  <c r="AH1008" i="68"/>
  <c r="AS1008" i="68" s="1"/>
  <c r="AH973" i="68"/>
  <c r="AS973" i="68" s="1"/>
  <c r="AL906" i="68"/>
  <c r="D1000" i="68"/>
  <c r="AU972" i="68"/>
  <c r="M1001" i="62"/>
  <c r="Q973" i="62"/>
  <c r="O1000" i="62"/>
  <c r="Q1000" i="62" s="1"/>
  <c r="R1000" i="62" s="1"/>
  <c r="Q974" i="62"/>
  <c r="S974" i="62" s="1"/>
  <c r="O1001" i="62"/>
  <c r="Q1001" i="62" s="1"/>
  <c r="R1001" i="62" s="1"/>
  <c r="U998" i="62"/>
  <c r="T998" i="62"/>
  <c r="AH982" i="62"/>
  <c r="AS982" i="62" s="1"/>
  <c r="H1027" i="62"/>
  <c r="X1027" i="62" s="1"/>
  <c r="G1002" i="62"/>
  <c r="R947" i="62"/>
  <c r="B975" i="62" s="1"/>
  <c r="C975" i="62" s="1"/>
  <c r="C1002" i="62" s="1"/>
  <c r="I1027" i="62"/>
  <c r="Y1027" i="62" s="1"/>
  <c r="AH913" i="61"/>
  <c r="AS913" i="61" s="1"/>
  <c r="D941" i="61" s="1"/>
  <c r="D968" i="61" s="1"/>
  <c r="V993" i="61"/>
  <c r="R913" i="61"/>
  <c r="B941" i="61" s="1"/>
  <c r="B968" i="61" s="1"/>
  <c r="U993" i="61"/>
  <c r="AH948" i="61"/>
  <c r="AS948" i="61" s="1"/>
  <c r="AL847" i="61"/>
  <c r="G968" i="61"/>
  <c r="C95" i="2"/>
  <c r="I95" i="2"/>
  <c r="U95" i="2"/>
  <c r="W95" i="2" s="1"/>
  <c r="T966" i="61"/>
  <c r="F1001" i="62"/>
  <c r="D1002" i="62"/>
  <c r="F940" i="61"/>
  <c r="G924" i="53"/>
  <c r="AK830" i="53" s="1"/>
  <c r="AL830" i="53" s="1"/>
  <c r="AH931" i="53"/>
  <c r="AS931" i="53" s="1"/>
  <c r="R896" i="53"/>
  <c r="B924" i="53" s="1"/>
  <c r="H976" i="53"/>
  <c r="V976" i="53" s="1"/>
  <c r="Q948" i="53"/>
  <c r="F922" i="53"/>
  <c r="F949" i="53" s="1"/>
  <c r="C923" i="53"/>
  <c r="C950" i="53" s="1"/>
  <c r="B950" i="53"/>
  <c r="D951" i="53"/>
  <c r="B95" i="2"/>
  <c r="T953" i="82" l="1"/>
  <c r="D1063" i="82"/>
  <c r="R1035" i="82"/>
  <c r="S1035" i="82" s="1"/>
  <c r="B1064" i="82"/>
  <c r="C1037" i="82"/>
  <c r="C1064" i="82" s="1"/>
  <c r="Q1062" i="82"/>
  <c r="R1062" i="82" s="1"/>
  <c r="AU1009" i="82"/>
  <c r="D1037" i="82"/>
  <c r="C1063" i="82"/>
  <c r="S1034" i="82"/>
  <c r="E1036" i="82"/>
  <c r="E1063" i="82" s="1"/>
  <c r="X1089" i="82"/>
  <c r="T1089" i="82"/>
  <c r="U1089" i="82"/>
  <c r="G1064" i="82"/>
  <c r="AK943" i="82"/>
  <c r="AL943" i="82" s="1"/>
  <c r="AH1128" i="82"/>
  <c r="AH1127" i="82"/>
  <c r="X96" i="2"/>
  <c r="Y96" i="2"/>
  <c r="Z96" i="2"/>
  <c r="AK28" i="2"/>
  <c r="T945" i="79"/>
  <c r="S1027" i="79"/>
  <c r="B1056" i="79"/>
  <c r="C1029" i="79"/>
  <c r="C1056" i="79" s="1"/>
  <c r="D1029" i="79"/>
  <c r="AU1001" i="79"/>
  <c r="S1053" i="79"/>
  <c r="T1026" i="79"/>
  <c r="U1026" i="79"/>
  <c r="X1081" i="79"/>
  <c r="T1081" i="79"/>
  <c r="U1081" i="79"/>
  <c r="G1056" i="79"/>
  <c r="AK935" i="79"/>
  <c r="AL935" i="79" s="1"/>
  <c r="AH1120" i="79"/>
  <c r="AH1119" i="79"/>
  <c r="D1055" i="79"/>
  <c r="F1028" i="79"/>
  <c r="M1028" i="79"/>
  <c r="C1055" i="79"/>
  <c r="Q1054" i="79"/>
  <c r="R1054" i="79" s="1"/>
  <c r="S1040" i="78"/>
  <c r="G1069" i="78"/>
  <c r="AK948" i="78"/>
  <c r="AL948" i="78" s="1"/>
  <c r="Q1067" i="78"/>
  <c r="R1067" i="78" s="1"/>
  <c r="AH1133" i="78"/>
  <c r="AH1132" i="78"/>
  <c r="B1069" i="78"/>
  <c r="C1042" i="78"/>
  <c r="C1069" i="78" s="1"/>
  <c r="D1068" i="78"/>
  <c r="M1041" i="78"/>
  <c r="F1041" i="78"/>
  <c r="D1042" i="78"/>
  <c r="AU1014" i="78"/>
  <c r="X1094" i="78"/>
  <c r="T1094" i="78"/>
  <c r="U1094" i="78"/>
  <c r="C1068" i="78"/>
  <c r="T1065" i="78"/>
  <c r="U1065" i="78"/>
  <c r="T929" i="71"/>
  <c r="C1039" i="71"/>
  <c r="C1013" i="71"/>
  <c r="C1040" i="71" s="1"/>
  <c r="B1040" i="71"/>
  <c r="O1038" i="71"/>
  <c r="Q1011" i="71"/>
  <c r="D1013" i="71"/>
  <c r="AU985" i="71"/>
  <c r="U1037" i="71"/>
  <c r="T1037" i="71"/>
  <c r="E1012" i="71"/>
  <c r="E1039" i="71" s="1"/>
  <c r="G1040" i="71"/>
  <c r="AK919" i="71"/>
  <c r="AL919" i="71" s="1"/>
  <c r="D1039" i="71"/>
  <c r="X1065" i="71"/>
  <c r="U1065" i="71"/>
  <c r="T1065" i="71"/>
  <c r="AH1104" i="71"/>
  <c r="AH1103" i="71"/>
  <c r="T998" i="68"/>
  <c r="U998" i="68"/>
  <c r="S1025" i="68"/>
  <c r="Q999" i="68"/>
  <c r="O1026" i="68"/>
  <c r="Q1026" i="68" s="1"/>
  <c r="R1026" i="68" s="1"/>
  <c r="D1027" i="68"/>
  <c r="AH1092" i="68"/>
  <c r="AH1091" i="68"/>
  <c r="E1000" i="68"/>
  <c r="E1027" i="68" s="1"/>
  <c r="C1027" i="68"/>
  <c r="T1053" i="68"/>
  <c r="U1053" i="68"/>
  <c r="X1053" i="68"/>
  <c r="AK907" i="68"/>
  <c r="AL907" i="68" s="1"/>
  <c r="G1028" i="68"/>
  <c r="C1001" i="68"/>
  <c r="C1028" i="68" s="1"/>
  <c r="B1028" i="68"/>
  <c r="D1001" i="68"/>
  <c r="AU973" i="68"/>
  <c r="S1001" i="62"/>
  <c r="T974" i="62"/>
  <c r="U974" i="62"/>
  <c r="AH1066" i="62"/>
  <c r="AH1065" i="62"/>
  <c r="AG1065" i="62"/>
  <c r="AG1066" i="62"/>
  <c r="AF1065" i="62"/>
  <c r="AF1066" i="62"/>
  <c r="T1027" i="62"/>
  <c r="U1027" i="62"/>
  <c r="E975" i="62"/>
  <c r="AU947" i="62"/>
  <c r="B1002" i="62"/>
  <c r="AU913" i="61"/>
  <c r="C941" i="61"/>
  <c r="C968" i="61" s="1"/>
  <c r="D95" i="2"/>
  <c r="Q95" i="2" s="1"/>
  <c r="R95" i="2" s="1"/>
  <c r="E1102" i="62"/>
  <c r="C1102" i="62"/>
  <c r="G951" i="53"/>
  <c r="F967" i="61"/>
  <c r="S940" i="61"/>
  <c r="G897" i="53"/>
  <c r="C30" i="25"/>
  <c r="T976" i="53"/>
  <c r="U976" i="53"/>
  <c r="P922" i="53"/>
  <c r="E1050" i="53" s="1"/>
  <c r="C924" i="53"/>
  <c r="C951" i="53" s="1"/>
  <c r="B951" i="53"/>
  <c r="E923" i="53"/>
  <c r="E95" i="2"/>
  <c r="S1062" i="82" l="1"/>
  <c r="T1035" i="82"/>
  <c r="U1035" i="82"/>
  <c r="D1064" i="82"/>
  <c r="AG1128" i="82"/>
  <c r="AG1127" i="82"/>
  <c r="M1036" i="82"/>
  <c r="F1036" i="82"/>
  <c r="S1061" i="82"/>
  <c r="U1034" i="82"/>
  <c r="T1034" i="82"/>
  <c r="E1037" i="82"/>
  <c r="E1064" i="82" s="1"/>
  <c r="AE944" i="82"/>
  <c r="AF944" i="82" s="1"/>
  <c r="AH944" i="82" s="1"/>
  <c r="AJ944" i="82" s="1"/>
  <c r="F1010" i="82"/>
  <c r="AS979" i="82"/>
  <c r="AH979" i="82"/>
  <c r="AJ979" i="82" s="1"/>
  <c r="G1010" i="82"/>
  <c r="E1029" i="79"/>
  <c r="E1056" i="79" s="1"/>
  <c r="T1053" i="79"/>
  <c r="U1053" i="79"/>
  <c r="AS971" i="79"/>
  <c r="AE936" i="79"/>
  <c r="AF936" i="79" s="1"/>
  <c r="AH936" i="79" s="1"/>
  <c r="AJ936" i="79" s="1"/>
  <c r="F1002" i="79"/>
  <c r="AH971" i="79"/>
  <c r="AJ971" i="79" s="1"/>
  <c r="G1002" i="79"/>
  <c r="D1056" i="79"/>
  <c r="S1054" i="79"/>
  <c r="U1027" i="79"/>
  <c r="T1027" i="79"/>
  <c r="F1055" i="79"/>
  <c r="AG1120" i="79"/>
  <c r="AG1119" i="79"/>
  <c r="M1055" i="79"/>
  <c r="O1028" i="79"/>
  <c r="F1068" i="78"/>
  <c r="M1068" i="78"/>
  <c r="O1041" i="78"/>
  <c r="AE949" i="78"/>
  <c r="AF949" i="78" s="1"/>
  <c r="AH949" i="78" s="1"/>
  <c r="AJ949" i="78" s="1"/>
  <c r="AS984" i="78"/>
  <c r="F1015" i="78"/>
  <c r="AH984" i="78"/>
  <c r="AJ984" i="78" s="1"/>
  <c r="G1015" i="78"/>
  <c r="AG1133" i="78"/>
  <c r="AG1132" i="78"/>
  <c r="E1042" i="78"/>
  <c r="E1069" i="78" s="1"/>
  <c r="D1069" i="78"/>
  <c r="S1067" i="78"/>
  <c r="T1040" i="78"/>
  <c r="U1040" i="78"/>
  <c r="M1012" i="71"/>
  <c r="O1012" i="71" s="1"/>
  <c r="E1013" i="71"/>
  <c r="E1040" i="71" s="1"/>
  <c r="F1012" i="71"/>
  <c r="F1039" i="71" s="1"/>
  <c r="Q1038" i="71"/>
  <c r="R1038" i="71" s="1"/>
  <c r="D1040" i="71"/>
  <c r="AG1104" i="71"/>
  <c r="AG1103" i="71"/>
  <c r="R1011" i="71"/>
  <c r="AE920" i="71"/>
  <c r="AF920" i="71" s="1"/>
  <c r="AH920" i="71" s="1"/>
  <c r="AJ920" i="71" s="1"/>
  <c r="G986" i="71"/>
  <c r="AH955" i="71"/>
  <c r="AJ955" i="71" s="1"/>
  <c r="F986" i="71"/>
  <c r="U1025" i="68"/>
  <c r="T1025" i="68"/>
  <c r="R999" i="68"/>
  <c r="E1001" i="68"/>
  <c r="E1028" i="68" s="1"/>
  <c r="D1028" i="68"/>
  <c r="AG1091" i="68"/>
  <c r="AG1092" i="68"/>
  <c r="G974" i="68"/>
  <c r="F974" i="68"/>
  <c r="AE908" i="68"/>
  <c r="AF908" i="68" s="1"/>
  <c r="AH908" i="68" s="1"/>
  <c r="AJ908" i="68" s="1"/>
  <c r="AH943" i="68"/>
  <c r="AJ943" i="68" s="1"/>
  <c r="F1000" i="68"/>
  <c r="M1000" i="68"/>
  <c r="O1000" i="68" s="1"/>
  <c r="E1002" i="62"/>
  <c r="M975" i="62"/>
  <c r="S973" i="62"/>
  <c r="T1001" i="62"/>
  <c r="U1001" i="62"/>
  <c r="F975" i="62"/>
  <c r="F1002" i="62" s="1"/>
  <c r="T97" i="2"/>
  <c r="U97" i="2" s="1"/>
  <c r="W97" i="2" s="1"/>
  <c r="E941" i="61"/>
  <c r="F941" i="61" s="1"/>
  <c r="S941" i="61" s="1"/>
  <c r="AE882" i="62"/>
  <c r="AF882" i="62" s="1"/>
  <c r="AH882" i="62" s="1"/>
  <c r="AJ882" i="62" s="1"/>
  <c r="AH917" i="62"/>
  <c r="AJ917" i="62" s="1"/>
  <c r="F948" i="62"/>
  <c r="G948" i="62"/>
  <c r="AE848" i="61"/>
  <c r="AF848" i="61" s="1"/>
  <c r="AH848" i="61" s="1"/>
  <c r="AJ848" i="61" s="1"/>
  <c r="F914" i="61"/>
  <c r="AH883" i="61"/>
  <c r="AJ883" i="61" s="1"/>
  <c r="G914" i="61"/>
  <c r="E1068" i="61"/>
  <c r="C1068" i="61"/>
  <c r="S967" i="61"/>
  <c r="U940" i="61"/>
  <c r="T940" i="61"/>
  <c r="AH866" i="53"/>
  <c r="AJ866" i="53" s="1"/>
  <c r="AE831" i="53"/>
  <c r="AF831" i="53" s="1"/>
  <c r="AH831" i="53" s="1"/>
  <c r="AJ831" i="53" s="1"/>
  <c r="F897" i="53"/>
  <c r="AH897" i="53" s="1"/>
  <c r="AS897" i="53" s="1"/>
  <c r="D925" i="53" s="1"/>
  <c r="C1050" i="53"/>
  <c r="R922" i="53"/>
  <c r="P949" i="53"/>
  <c r="R949" i="53" s="1"/>
  <c r="Q922" i="53"/>
  <c r="E950" i="53"/>
  <c r="F923" i="53"/>
  <c r="I977" i="53"/>
  <c r="G925" i="53"/>
  <c r="E924" i="53"/>
  <c r="F1037" i="82" l="1"/>
  <c r="M1037" i="82"/>
  <c r="I1090" i="82"/>
  <c r="Y1090" i="82" s="1"/>
  <c r="G1038" i="82"/>
  <c r="U1061" i="82"/>
  <c r="T1061" i="82"/>
  <c r="F1063" i="82"/>
  <c r="H1090" i="82"/>
  <c r="AH1045" i="82"/>
  <c r="AS1045" i="82" s="1"/>
  <c r="AH1010" i="82"/>
  <c r="AS1010" i="82" s="1"/>
  <c r="R1010" i="82"/>
  <c r="B1038" i="82" s="1"/>
  <c r="M1063" i="82"/>
  <c r="O1036" i="82"/>
  <c r="U1062" i="82"/>
  <c r="T1062" i="82"/>
  <c r="X98" i="2"/>
  <c r="Y98" i="2"/>
  <c r="Z98" i="2"/>
  <c r="M1029" i="79"/>
  <c r="M1056" i="79" s="1"/>
  <c r="F1029" i="79"/>
  <c r="F1056" i="79" s="1"/>
  <c r="G1030" i="79"/>
  <c r="I1082" i="79"/>
  <c r="Y1082" i="79" s="1"/>
  <c r="O1055" i="79"/>
  <c r="Q1028" i="79"/>
  <c r="R1028" i="79" s="1"/>
  <c r="U1054" i="79"/>
  <c r="T1054" i="79"/>
  <c r="H1082" i="79"/>
  <c r="AH1002" i="79"/>
  <c r="AS1002" i="79" s="1"/>
  <c r="AH1037" i="79"/>
  <c r="AS1037" i="79" s="1"/>
  <c r="R1002" i="79"/>
  <c r="B1030" i="79" s="1"/>
  <c r="F1042" i="78"/>
  <c r="F1069" i="78" s="1"/>
  <c r="O1068" i="78"/>
  <c r="Q1041" i="78"/>
  <c r="R1041" i="78" s="1"/>
  <c r="I1095" i="78"/>
  <c r="Y1095" i="78" s="1"/>
  <c r="G1043" i="78"/>
  <c r="T1067" i="78"/>
  <c r="U1067" i="78"/>
  <c r="M1042" i="78"/>
  <c r="AH1050" i="78"/>
  <c r="AS1050" i="78" s="1"/>
  <c r="AH1015" i="78"/>
  <c r="AS1015" i="78" s="1"/>
  <c r="H1095" i="78"/>
  <c r="R1015" i="78"/>
  <c r="B1043" i="78" s="1"/>
  <c r="M1039" i="71"/>
  <c r="F1013" i="71"/>
  <c r="F1040" i="71" s="1"/>
  <c r="M1013" i="71"/>
  <c r="O1013" i="71" s="1"/>
  <c r="H1066" i="71"/>
  <c r="AH1021" i="71"/>
  <c r="AS1021" i="71" s="1"/>
  <c r="AH986" i="71"/>
  <c r="AS986" i="71" s="1"/>
  <c r="R986" i="71"/>
  <c r="B1014" i="71" s="1"/>
  <c r="S1011" i="71"/>
  <c r="O1039" i="71"/>
  <c r="Q1012" i="71"/>
  <c r="R1012" i="71" s="1"/>
  <c r="I1066" i="71"/>
  <c r="Y1066" i="71" s="1"/>
  <c r="G1014" i="71"/>
  <c r="Q1000" i="68"/>
  <c r="O1027" i="68"/>
  <c r="Q1027" i="68" s="1"/>
  <c r="R1027" i="68" s="1"/>
  <c r="S999" i="68"/>
  <c r="M1001" i="68"/>
  <c r="F1001" i="68"/>
  <c r="F1028" i="68" s="1"/>
  <c r="M1027" i="68"/>
  <c r="H1054" i="68"/>
  <c r="R974" i="68"/>
  <c r="B1002" i="68" s="1"/>
  <c r="AH1009" i="68"/>
  <c r="AS1009" i="68" s="1"/>
  <c r="AH974" i="68"/>
  <c r="AS974" i="68" s="1"/>
  <c r="F1027" i="68"/>
  <c r="G1002" i="68"/>
  <c r="I1054" i="68"/>
  <c r="Y1054" i="68" s="1"/>
  <c r="S1000" i="62"/>
  <c r="T973" i="62"/>
  <c r="U973" i="62"/>
  <c r="O975" i="62"/>
  <c r="M1002" i="62"/>
  <c r="I97" i="2"/>
  <c r="E1103" i="62"/>
  <c r="F1103" i="62" s="1"/>
  <c r="C97" i="2"/>
  <c r="D97" i="2" s="1"/>
  <c r="Q97" i="2" s="1"/>
  <c r="R97" i="2" s="1"/>
  <c r="F968" i="61"/>
  <c r="E968" i="61"/>
  <c r="H1028" i="62"/>
  <c r="X1028" i="62" s="1"/>
  <c r="AH983" i="62"/>
  <c r="AS983" i="62" s="1"/>
  <c r="AH948" i="62"/>
  <c r="AS948" i="62" s="1"/>
  <c r="R948" i="62"/>
  <c r="B976" i="62" s="1"/>
  <c r="R914" i="61"/>
  <c r="B942" i="61" s="1"/>
  <c r="H994" i="61"/>
  <c r="AH949" i="61"/>
  <c r="AS949" i="61" s="1"/>
  <c r="AH914" i="61"/>
  <c r="AS914" i="61" s="1"/>
  <c r="I994" i="61"/>
  <c r="G942" i="61"/>
  <c r="I1028" i="62"/>
  <c r="Y1028" i="62" s="1"/>
  <c r="G976" i="62"/>
  <c r="AH867" i="53"/>
  <c r="AJ867" i="53" s="1"/>
  <c r="R897" i="53"/>
  <c r="C31" i="25" s="1"/>
  <c r="E1069" i="61"/>
  <c r="F1069" i="61" s="1"/>
  <c r="C1069" i="61"/>
  <c r="S968" i="61"/>
  <c r="U941" i="61"/>
  <c r="T941" i="61"/>
  <c r="T967" i="61"/>
  <c r="U967" i="61"/>
  <c r="AH932" i="53"/>
  <c r="AS932" i="53" s="1"/>
  <c r="H977" i="53"/>
  <c r="U977" i="53" s="1"/>
  <c r="Q949" i="53"/>
  <c r="D952" i="53"/>
  <c r="E951" i="53"/>
  <c r="F924" i="53"/>
  <c r="G952" i="53"/>
  <c r="AK831" i="53"/>
  <c r="AL831" i="53" s="1"/>
  <c r="P923" i="53"/>
  <c r="F950" i="53"/>
  <c r="B97" i="2"/>
  <c r="T954" i="82" l="1"/>
  <c r="B1065" i="82"/>
  <c r="C1038" i="82"/>
  <c r="C1065" i="82" s="1"/>
  <c r="D1038" i="82"/>
  <c r="AU1010" i="82"/>
  <c r="G1065" i="82"/>
  <c r="AK944" i="82"/>
  <c r="AL944" i="82" s="1"/>
  <c r="X1090" i="82"/>
  <c r="T1090" i="82"/>
  <c r="U1090" i="82"/>
  <c r="AH1131" i="82"/>
  <c r="AH1130" i="82"/>
  <c r="M1064" i="82"/>
  <c r="O1037" i="82"/>
  <c r="O1063" i="82"/>
  <c r="Q1036" i="82"/>
  <c r="R1036" i="82" s="1"/>
  <c r="F1064" i="82"/>
  <c r="AK29" i="2"/>
  <c r="O1029" i="79"/>
  <c r="Q1029" i="79" s="1"/>
  <c r="R1029" i="79" s="1"/>
  <c r="S1029" i="79" s="1"/>
  <c r="T946" i="79"/>
  <c r="S1028" i="79"/>
  <c r="G1057" i="79"/>
  <c r="AK936" i="79"/>
  <c r="AL936" i="79" s="1"/>
  <c r="D1030" i="79"/>
  <c r="AU1002" i="79"/>
  <c r="X1082" i="79"/>
  <c r="T1082" i="79"/>
  <c r="U1082" i="79"/>
  <c r="C1030" i="79"/>
  <c r="C1057" i="79" s="1"/>
  <c r="B1057" i="79"/>
  <c r="AH1123" i="79"/>
  <c r="AH1122" i="79"/>
  <c r="Q1055" i="79"/>
  <c r="R1055" i="79" s="1"/>
  <c r="S1041" i="78"/>
  <c r="X1095" i="78"/>
  <c r="T1095" i="78"/>
  <c r="U1095" i="78"/>
  <c r="B1070" i="78"/>
  <c r="C1043" i="78"/>
  <c r="C1070" i="78" s="1"/>
  <c r="D1043" i="78"/>
  <c r="AU1015" i="78"/>
  <c r="AH1136" i="78"/>
  <c r="AH1135" i="78"/>
  <c r="M1069" i="78"/>
  <c r="O1042" i="78"/>
  <c r="G1070" i="78"/>
  <c r="AK949" i="78"/>
  <c r="AL949" i="78" s="1"/>
  <c r="Q1068" i="78"/>
  <c r="R1068" i="78" s="1"/>
  <c r="M1040" i="71"/>
  <c r="T930" i="71"/>
  <c r="S1012" i="71"/>
  <c r="O1040" i="71"/>
  <c r="Q1013" i="71"/>
  <c r="R1013" i="71" s="1"/>
  <c r="S1013" i="71" s="1"/>
  <c r="B1041" i="71"/>
  <c r="C1014" i="71"/>
  <c r="C1041" i="71" s="1"/>
  <c r="Q1039" i="71"/>
  <c r="R1039" i="71" s="1"/>
  <c r="D1014" i="71"/>
  <c r="AU986" i="71"/>
  <c r="G1041" i="71"/>
  <c r="AK920" i="71"/>
  <c r="AL920" i="71" s="1"/>
  <c r="S1038" i="71"/>
  <c r="U1011" i="71"/>
  <c r="T1011" i="71"/>
  <c r="AH1107" i="71"/>
  <c r="AH1106" i="71"/>
  <c r="X1066" i="71"/>
  <c r="U1066" i="71"/>
  <c r="T1066" i="71"/>
  <c r="U999" i="68"/>
  <c r="T999" i="68"/>
  <c r="S1026" i="68"/>
  <c r="R1000" i="68"/>
  <c r="M1028" i="68"/>
  <c r="O1001" i="68"/>
  <c r="C1002" i="68"/>
  <c r="C1029" i="68" s="1"/>
  <c r="B1029" i="68"/>
  <c r="AH1095" i="68"/>
  <c r="AH1094" i="68"/>
  <c r="X1054" i="68"/>
  <c r="T1054" i="68"/>
  <c r="U1054" i="68"/>
  <c r="G1029" i="68"/>
  <c r="AK908" i="68"/>
  <c r="AL908" i="68" s="1"/>
  <c r="D1002" i="68"/>
  <c r="AU974" i="68"/>
  <c r="U1000" i="62"/>
  <c r="T1000" i="62"/>
  <c r="O1002" i="62"/>
  <c r="Q1002" i="62" s="1"/>
  <c r="R1002" i="62" s="1"/>
  <c r="Q975" i="62"/>
  <c r="AH1069" i="62"/>
  <c r="AH1068" i="62"/>
  <c r="AG1068" i="62"/>
  <c r="AG1069" i="62"/>
  <c r="AF1068" i="62"/>
  <c r="AF1069" i="62"/>
  <c r="C1103" i="62"/>
  <c r="AH918" i="62"/>
  <c r="AJ918" i="62" s="1"/>
  <c r="G915" i="61"/>
  <c r="AK848" i="61"/>
  <c r="AL848" i="61" s="1"/>
  <c r="G969" i="61"/>
  <c r="T1028" i="62"/>
  <c r="U1028" i="62"/>
  <c r="T994" i="61"/>
  <c r="V994" i="61"/>
  <c r="U994" i="61"/>
  <c r="G1003" i="62"/>
  <c r="AK882" i="62"/>
  <c r="AL882" i="62" s="1"/>
  <c r="C942" i="61"/>
  <c r="C969" i="61" s="1"/>
  <c r="B969" i="61"/>
  <c r="D976" i="62"/>
  <c r="AU948" i="62"/>
  <c r="B1003" i="62"/>
  <c r="C976" i="62"/>
  <c r="C1003" i="62" s="1"/>
  <c r="D942" i="61"/>
  <c r="AU914" i="61"/>
  <c r="G898" i="53"/>
  <c r="G926" i="53" s="1"/>
  <c r="G953" i="53" s="1"/>
  <c r="AE832" i="53"/>
  <c r="AF832" i="53" s="1"/>
  <c r="AH832" i="53" s="1"/>
  <c r="AJ832" i="53" s="1"/>
  <c r="AL832" i="53" s="1"/>
  <c r="F898" i="53"/>
  <c r="H978" i="53" s="1"/>
  <c r="B925" i="53"/>
  <c r="C925" i="53" s="1"/>
  <c r="C952" i="53" s="1"/>
  <c r="T968" i="61"/>
  <c r="U968" i="61"/>
  <c r="V977" i="53"/>
  <c r="T977" i="53"/>
  <c r="R923" i="53"/>
  <c r="Q923" i="53"/>
  <c r="E1051" i="53"/>
  <c r="F1051" i="53" s="1"/>
  <c r="C1051" i="53"/>
  <c r="P950" i="53"/>
  <c r="F951" i="53"/>
  <c r="P924" i="53"/>
  <c r="E97" i="2"/>
  <c r="Q1063" i="82" l="1"/>
  <c r="R1063" i="82" s="1"/>
  <c r="Q1037" i="82"/>
  <c r="R1037" i="82" s="1"/>
  <c r="S1037" i="82" s="1"/>
  <c r="O1064" i="82"/>
  <c r="D1065" i="82"/>
  <c r="E1038" i="82"/>
  <c r="E1065" i="82" s="1"/>
  <c r="S1036" i="82"/>
  <c r="AG1131" i="82"/>
  <c r="AG1130" i="82"/>
  <c r="AE945" i="82"/>
  <c r="AF945" i="82" s="1"/>
  <c r="AH945" i="82" s="1"/>
  <c r="AJ945" i="82" s="1"/>
  <c r="AS980" i="82"/>
  <c r="AH980" i="82"/>
  <c r="AJ980" i="82" s="1"/>
  <c r="G1011" i="82"/>
  <c r="F1011" i="82"/>
  <c r="O1056" i="79"/>
  <c r="Q1056" i="79" s="1"/>
  <c r="R1056" i="79" s="1"/>
  <c r="E1030" i="79"/>
  <c r="E1057" i="79" s="1"/>
  <c r="S1056" i="79"/>
  <c r="U1029" i="79"/>
  <c r="T1029" i="79"/>
  <c r="AE937" i="79"/>
  <c r="AF937" i="79" s="1"/>
  <c r="AH937" i="79" s="1"/>
  <c r="AJ937" i="79" s="1"/>
  <c r="AH972" i="79"/>
  <c r="AJ972" i="79" s="1"/>
  <c r="F1003" i="79"/>
  <c r="AS972" i="79"/>
  <c r="G1003" i="79"/>
  <c r="AG1123" i="79"/>
  <c r="AG1122" i="79"/>
  <c r="D1057" i="79"/>
  <c r="T1028" i="79"/>
  <c r="U1028" i="79"/>
  <c r="S1055" i="79"/>
  <c r="AE950" i="78"/>
  <c r="AF950" i="78" s="1"/>
  <c r="AH950" i="78" s="1"/>
  <c r="AJ950" i="78" s="1"/>
  <c r="F1016" i="78"/>
  <c r="G1016" i="78"/>
  <c r="AS985" i="78"/>
  <c r="AH985" i="78"/>
  <c r="AJ985" i="78" s="1"/>
  <c r="E1043" i="78"/>
  <c r="E1070" i="78" s="1"/>
  <c r="O1069" i="78"/>
  <c r="Q1042" i="78"/>
  <c r="R1042" i="78" s="1"/>
  <c r="AG1136" i="78"/>
  <c r="AG1135" i="78"/>
  <c r="S1068" i="78"/>
  <c r="U1041" i="78"/>
  <c r="T1041" i="78"/>
  <c r="D1070" i="78"/>
  <c r="U1038" i="71"/>
  <c r="T1038" i="71"/>
  <c r="D1041" i="71"/>
  <c r="Q1040" i="71"/>
  <c r="R1040" i="71" s="1"/>
  <c r="S1040" i="71"/>
  <c r="U1013" i="71"/>
  <c r="T1013" i="71"/>
  <c r="S1039" i="71"/>
  <c r="U1012" i="71"/>
  <c r="T1012" i="71"/>
  <c r="AG1107" i="71"/>
  <c r="AG1106" i="71"/>
  <c r="E1014" i="71"/>
  <c r="E1041" i="71" s="1"/>
  <c r="AE921" i="71"/>
  <c r="AF921" i="71" s="1"/>
  <c r="AH921" i="71" s="1"/>
  <c r="AJ921" i="71" s="1"/>
  <c r="G987" i="71"/>
  <c r="AH956" i="71"/>
  <c r="AJ956" i="71" s="1"/>
  <c r="F987" i="71"/>
  <c r="Q1001" i="68"/>
  <c r="R1001" i="68" s="1"/>
  <c r="S1001" i="68" s="1"/>
  <c r="T1001" i="68" s="1"/>
  <c r="O1028" i="68"/>
  <c r="Q1028" i="68" s="1"/>
  <c r="R1028" i="68" s="1"/>
  <c r="S1000" i="68"/>
  <c r="U1026" i="68"/>
  <c r="T1026" i="68"/>
  <c r="E1002" i="68"/>
  <c r="E1029" i="68" s="1"/>
  <c r="D1029" i="68"/>
  <c r="AG1095" i="68"/>
  <c r="AG1094" i="68"/>
  <c r="F975" i="68"/>
  <c r="AE909" i="68"/>
  <c r="AF909" i="68" s="1"/>
  <c r="AH909" i="68" s="1"/>
  <c r="AJ909" i="68" s="1"/>
  <c r="G975" i="68"/>
  <c r="AH944" i="68"/>
  <c r="AJ944" i="68" s="1"/>
  <c r="S975" i="62"/>
  <c r="T99" i="2"/>
  <c r="C99" i="2" s="1"/>
  <c r="D99" i="2" s="1"/>
  <c r="AH884" i="61"/>
  <c r="AJ884" i="61" s="1"/>
  <c r="F949" i="62"/>
  <c r="AH949" i="62" s="1"/>
  <c r="AS949" i="62" s="1"/>
  <c r="F915" i="61"/>
  <c r="AH950" i="61" s="1"/>
  <c r="AS950" i="61" s="1"/>
  <c r="AE849" i="61"/>
  <c r="AF849" i="61" s="1"/>
  <c r="AH849" i="61" s="1"/>
  <c r="AJ849" i="61" s="1"/>
  <c r="G949" i="62"/>
  <c r="I1029" i="62" s="1"/>
  <c r="Y1029" i="62" s="1"/>
  <c r="AE883" i="62"/>
  <c r="AF883" i="62" s="1"/>
  <c r="AH883" i="62" s="1"/>
  <c r="AJ883" i="62" s="1"/>
  <c r="E942" i="61"/>
  <c r="E969" i="61" s="1"/>
  <c r="D1003" i="62"/>
  <c r="E976" i="62"/>
  <c r="E1003" i="62" s="1"/>
  <c r="G943" i="61"/>
  <c r="I995" i="61"/>
  <c r="D969" i="61"/>
  <c r="R898" i="53"/>
  <c r="C32" i="25" s="1"/>
  <c r="AH898" i="53"/>
  <c r="AS898" i="53" s="1"/>
  <c r="D926" i="53" s="1"/>
  <c r="D953" i="53" s="1"/>
  <c r="I978" i="53"/>
  <c r="T978" i="53" s="1"/>
  <c r="AH933" i="53"/>
  <c r="AS933" i="53" s="1"/>
  <c r="B952" i="53"/>
  <c r="E925" i="53"/>
  <c r="F925" i="53" s="1"/>
  <c r="Q924" i="53"/>
  <c r="R924" i="53"/>
  <c r="P951" i="53"/>
  <c r="E1052" i="53"/>
  <c r="C1052" i="53"/>
  <c r="Q950" i="53"/>
  <c r="R950" i="53"/>
  <c r="B99" i="2"/>
  <c r="F1038" i="82" l="1"/>
  <c r="F1065" i="82" s="1"/>
  <c r="M1038" i="82"/>
  <c r="O1038" i="82" s="1"/>
  <c r="T955" i="82"/>
  <c r="S1064" i="82"/>
  <c r="U1037" i="82"/>
  <c r="T1037" i="82"/>
  <c r="Q1064" i="82"/>
  <c r="R1064" i="82" s="1"/>
  <c r="U1036" i="82"/>
  <c r="S1063" i="82"/>
  <c r="T1036" i="82"/>
  <c r="H1091" i="82"/>
  <c r="AH1046" i="82"/>
  <c r="AS1046" i="82" s="1"/>
  <c r="AH1011" i="82"/>
  <c r="AS1011" i="82" s="1"/>
  <c r="R1011" i="82"/>
  <c r="B1039" i="82" s="1"/>
  <c r="I1091" i="82"/>
  <c r="Y1091" i="82" s="1"/>
  <c r="G1039" i="82"/>
  <c r="AK30" i="2"/>
  <c r="M1030" i="79"/>
  <c r="O1030" i="79" s="1"/>
  <c r="F1030" i="79"/>
  <c r="F1057" i="79" s="1"/>
  <c r="T947" i="79"/>
  <c r="U1056" i="79"/>
  <c r="T1056" i="79"/>
  <c r="G1031" i="79"/>
  <c r="I1083" i="79"/>
  <c r="Y1083" i="79" s="1"/>
  <c r="T1055" i="79"/>
  <c r="U1055" i="79"/>
  <c r="H1083" i="79"/>
  <c r="AH1038" i="79"/>
  <c r="AS1038" i="79" s="1"/>
  <c r="AH1003" i="79"/>
  <c r="AS1003" i="79" s="1"/>
  <c r="R1003" i="79"/>
  <c r="B1031" i="79" s="1"/>
  <c r="F1043" i="78"/>
  <c r="F1070" i="78" s="1"/>
  <c r="S1042" i="78"/>
  <c r="M1043" i="78"/>
  <c r="Q1069" i="78"/>
  <c r="R1069" i="78" s="1"/>
  <c r="I1096" i="78"/>
  <c r="Y1096" i="78" s="1"/>
  <c r="G1044" i="78"/>
  <c r="U1068" i="78"/>
  <c r="T1068" i="78"/>
  <c r="AH1051" i="78"/>
  <c r="AS1051" i="78" s="1"/>
  <c r="H1096" i="78"/>
  <c r="AH1016" i="78"/>
  <c r="AS1016" i="78" s="1"/>
  <c r="R1016" i="78"/>
  <c r="B1044" i="78" s="1"/>
  <c r="F1014" i="71"/>
  <c r="F1041" i="71" s="1"/>
  <c r="T931" i="71"/>
  <c r="H1067" i="71"/>
  <c r="AH1022" i="71"/>
  <c r="AS1022" i="71" s="1"/>
  <c r="AH987" i="71"/>
  <c r="AS987" i="71" s="1"/>
  <c r="R987" i="71"/>
  <c r="B1015" i="71" s="1"/>
  <c r="I1067" i="71"/>
  <c r="Y1067" i="71" s="1"/>
  <c r="G1015" i="71"/>
  <c r="U1039" i="71"/>
  <c r="T1039" i="71"/>
  <c r="U1040" i="71"/>
  <c r="T1040" i="71"/>
  <c r="M1014" i="71"/>
  <c r="U1001" i="68"/>
  <c r="S1028" i="68"/>
  <c r="T1028" i="68" s="1"/>
  <c r="S1027" i="68"/>
  <c r="T1000" i="68"/>
  <c r="U1000" i="68"/>
  <c r="M1002" i="68"/>
  <c r="F1002" i="68"/>
  <c r="F1029" i="68" s="1"/>
  <c r="I1055" i="68"/>
  <c r="Y1055" i="68" s="1"/>
  <c r="G1003" i="68"/>
  <c r="H1055" i="68"/>
  <c r="AH1010" i="68"/>
  <c r="AS1010" i="68" s="1"/>
  <c r="AH975" i="68"/>
  <c r="AS975" i="68" s="1"/>
  <c r="R975" i="68"/>
  <c r="B1003" i="68" s="1"/>
  <c r="M976" i="62"/>
  <c r="O976" i="62" s="1"/>
  <c r="S1002" i="62"/>
  <c r="U975" i="62"/>
  <c r="T975" i="62"/>
  <c r="AH1072" i="62"/>
  <c r="AH1071" i="62"/>
  <c r="I99" i="2"/>
  <c r="U99" i="2"/>
  <c r="W99" i="2" s="1"/>
  <c r="F950" i="62"/>
  <c r="AH985" i="62" s="1"/>
  <c r="AS985" i="62" s="1"/>
  <c r="F916" i="61"/>
  <c r="AH951" i="61" s="1"/>
  <c r="AS951" i="61" s="1"/>
  <c r="H1029" i="62"/>
  <c r="X1029" i="62" s="1"/>
  <c r="AH984" i="62"/>
  <c r="AS984" i="62" s="1"/>
  <c r="R915" i="61"/>
  <c r="B943" i="61" s="1"/>
  <c r="C943" i="61" s="1"/>
  <c r="AH915" i="61"/>
  <c r="AS915" i="61" s="1"/>
  <c r="D943" i="61" s="1"/>
  <c r="D970" i="61" s="1"/>
  <c r="H995" i="61"/>
  <c r="V995" i="61" s="1"/>
  <c r="R949" i="62"/>
  <c r="B977" i="62" s="1"/>
  <c r="B1004" i="62" s="1"/>
  <c r="G977" i="62"/>
  <c r="G1004" i="62" s="1"/>
  <c r="F942" i="61"/>
  <c r="S942" i="61" s="1"/>
  <c r="AK849" i="61"/>
  <c r="AL849" i="61" s="1"/>
  <c r="G970" i="61"/>
  <c r="D977" i="62"/>
  <c r="F976" i="62"/>
  <c r="B926" i="53"/>
  <c r="C926" i="53" s="1"/>
  <c r="C953" i="53" s="1"/>
  <c r="U978" i="53"/>
  <c r="E952" i="53"/>
  <c r="Q951" i="53"/>
  <c r="R951" i="53"/>
  <c r="F952" i="53"/>
  <c r="P925" i="53"/>
  <c r="E99" i="2"/>
  <c r="M1065" i="82" l="1"/>
  <c r="X1091" i="82"/>
  <c r="U1091" i="82"/>
  <c r="T1091" i="82"/>
  <c r="U1063" i="82"/>
  <c r="T1063" i="82"/>
  <c r="O1065" i="82"/>
  <c r="Q1038" i="82"/>
  <c r="R1038" i="82" s="1"/>
  <c r="S1038" i="82" s="1"/>
  <c r="G1066" i="82"/>
  <c r="AK945" i="82"/>
  <c r="AL945" i="82" s="1"/>
  <c r="AH1134" i="82"/>
  <c r="AH1133" i="82"/>
  <c r="C1039" i="82"/>
  <c r="C1066" i="82" s="1"/>
  <c r="B1066" i="82"/>
  <c r="AU1011" i="82"/>
  <c r="D1039" i="82"/>
  <c r="U1064" i="82"/>
  <c r="T1064" i="82"/>
  <c r="AE946" i="82"/>
  <c r="AF946" i="82" s="1"/>
  <c r="AH946" i="82" s="1"/>
  <c r="AJ946" i="82" s="1"/>
  <c r="AL946" i="82" s="1"/>
  <c r="F1012" i="82"/>
  <c r="G1012" i="82"/>
  <c r="AH981" i="82"/>
  <c r="AJ981" i="82" s="1"/>
  <c r="AS981" i="82"/>
  <c r="Q99" i="2"/>
  <c r="R99" i="2" s="1"/>
  <c r="X100" i="2"/>
  <c r="Y100" i="2"/>
  <c r="Z100" i="2"/>
  <c r="M1057" i="79"/>
  <c r="C1031" i="79"/>
  <c r="C1058" i="79" s="1"/>
  <c r="B1058" i="79"/>
  <c r="O1057" i="79"/>
  <c r="Q1030" i="79"/>
  <c r="R1030" i="79" s="1"/>
  <c r="S1030" i="79" s="1"/>
  <c r="D1031" i="79"/>
  <c r="AU1003" i="79"/>
  <c r="G1058" i="79"/>
  <c r="AK937" i="79"/>
  <c r="AL937" i="79" s="1"/>
  <c r="X1083" i="79"/>
  <c r="T1083" i="79"/>
  <c r="U1083" i="79"/>
  <c r="AH1126" i="79"/>
  <c r="AH1125" i="79"/>
  <c r="AE938" i="79"/>
  <c r="AF938" i="79" s="1"/>
  <c r="AH938" i="79" s="1"/>
  <c r="AJ938" i="79" s="1"/>
  <c r="AL938" i="79" s="1"/>
  <c r="AH973" i="79"/>
  <c r="AJ973" i="79" s="1"/>
  <c r="AS973" i="79"/>
  <c r="F1004" i="79"/>
  <c r="G1004" i="79"/>
  <c r="D1044" i="78"/>
  <c r="AU1016" i="78"/>
  <c r="X1096" i="78"/>
  <c r="T1096" i="78"/>
  <c r="U1096" i="78"/>
  <c r="M1070" i="78"/>
  <c r="O1043" i="78"/>
  <c r="AH986" i="78"/>
  <c r="AJ986" i="78" s="1"/>
  <c r="AE951" i="78"/>
  <c r="AF951" i="78" s="1"/>
  <c r="AH951" i="78" s="1"/>
  <c r="AJ951" i="78" s="1"/>
  <c r="AL951" i="78" s="1"/>
  <c r="G1017" i="78"/>
  <c r="F1017" i="78"/>
  <c r="AS986" i="78"/>
  <c r="G1071" i="78"/>
  <c r="AK950" i="78"/>
  <c r="AL950" i="78" s="1"/>
  <c r="B1071" i="78"/>
  <c r="C1044" i="78"/>
  <c r="C1071" i="78" s="1"/>
  <c r="AH1139" i="78"/>
  <c r="AH1138" i="78"/>
  <c r="S1069" i="78"/>
  <c r="T1042" i="78"/>
  <c r="U1042" i="78"/>
  <c r="M1041" i="71"/>
  <c r="O1014" i="71"/>
  <c r="AH1110" i="71"/>
  <c r="AH1109" i="71"/>
  <c r="X1067" i="71"/>
  <c r="T1067" i="71"/>
  <c r="U1067" i="71"/>
  <c r="B1042" i="71"/>
  <c r="C1015" i="71"/>
  <c r="C1042" i="71" s="1"/>
  <c r="G1042" i="71"/>
  <c r="AK921" i="71"/>
  <c r="AL921" i="71" s="1"/>
  <c r="D1015" i="71"/>
  <c r="AU987" i="71"/>
  <c r="AE922" i="71"/>
  <c r="AF922" i="71" s="1"/>
  <c r="AH922" i="71" s="1"/>
  <c r="AJ922" i="71" s="1"/>
  <c r="AL922" i="71" s="1"/>
  <c r="G988" i="71"/>
  <c r="F988" i="71"/>
  <c r="AH957" i="71"/>
  <c r="AJ957" i="71" s="1"/>
  <c r="U1028" i="68"/>
  <c r="U1027" i="68"/>
  <c r="T1027" i="68"/>
  <c r="M1029" i="68"/>
  <c r="O1002" i="68"/>
  <c r="U1055" i="68"/>
  <c r="X1055" i="68"/>
  <c r="T1055" i="68"/>
  <c r="C1003" i="68"/>
  <c r="C1030" i="68" s="1"/>
  <c r="B1030" i="68"/>
  <c r="G1030" i="68"/>
  <c r="AK909" i="68"/>
  <c r="AL909" i="68" s="1"/>
  <c r="AU975" i="68"/>
  <c r="D1003" i="68"/>
  <c r="AH1098" i="68"/>
  <c r="AH1097" i="68"/>
  <c r="F976" i="68"/>
  <c r="AH945" i="68"/>
  <c r="AJ945" i="68" s="1"/>
  <c r="AE910" i="68"/>
  <c r="AF910" i="68" s="1"/>
  <c r="AH910" i="68" s="1"/>
  <c r="AJ910" i="68" s="1"/>
  <c r="AL910" i="68" s="1"/>
  <c r="G976" i="68"/>
  <c r="M1003" i="62"/>
  <c r="T1002" i="62"/>
  <c r="U1002" i="62"/>
  <c r="O1003" i="62"/>
  <c r="Q1003" i="62" s="1"/>
  <c r="R1003" i="62" s="1"/>
  <c r="Q976" i="62"/>
  <c r="D1004" i="62"/>
  <c r="AG1072" i="62"/>
  <c r="AG1071" i="62"/>
  <c r="T1029" i="62"/>
  <c r="AF1072" i="62"/>
  <c r="AF1071" i="62"/>
  <c r="T101" i="2"/>
  <c r="C101" i="2" s="1"/>
  <c r="AH916" i="61"/>
  <c r="AS916" i="61" s="1"/>
  <c r="D944" i="61" s="1"/>
  <c r="D971" i="61" s="1"/>
  <c r="AH885" i="61"/>
  <c r="AJ885" i="61" s="1"/>
  <c r="AE850" i="61"/>
  <c r="AF850" i="61" s="1"/>
  <c r="AH850" i="61" s="1"/>
  <c r="AJ850" i="61" s="1"/>
  <c r="AL850" i="61" s="1"/>
  <c r="G916" i="61"/>
  <c r="I996" i="61" s="1"/>
  <c r="H1030" i="62"/>
  <c r="X1030" i="62" s="1"/>
  <c r="AE884" i="62"/>
  <c r="AF884" i="62" s="1"/>
  <c r="AH884" i="62" s="1"/>
  <c r="AJ884" i="62" s="1"/>
  <c r="AL884" i="62" s="1"/>
  <c r="H996" i="61"/>
  <c r="G950" i="62"/>
  <c r="I1030" i="62" s="1"/>
  <c r="Y1030" i="62" s="1"/>
  <c r="AH950" i="62"/>
  <c r="AS950" i="62" s="1"/>
  <c r="D978" i="62" s="1"/>
  <c r="AH919" i="62"/>
  <c r="AJ919" i="62" s="1"/>
  <c r="U1029" i="62"/>
  <c r="C977" i="62"/>
  <c r="C1004" i="62" s="1"/>
  <c r="AU949" i="62"/>
  <c r="B970" i="61"/>
  <c r="T995" i="61"/>
  <c r="AU915" i="61"/>
  <c r="U995" i="61"/>
  <c r="AK883" i="62"/>
  <c r="AL883" i="62" s="1"/>
  <c r="F969" i="61"/>
  <c r="F1003" i="62"/>
  <c r="U942" i="61"/>
  <c r="C1070" i="61"/>
  <c r="S969" i="61"/>
  <c r="E1070" i="61"/>
  <c r="T942" i="61"/>
  <c r="C970" i="61"/>
  <c r="E943" i="61"/>
  <c r="B953" i="53"/>
  <c r="E926" i="53"/>
  <c r="E953" i="53" s="1"/>
  <c r="AE833" i="53"/>
  <c r="AF833" i="53" s="1"/>
  <c r="AH833" i="53" s="1"/>
  <c r="AJ833" i="53" s="1"/>
  <c r="AL833" i="53" s="1"/>
  <c r="F899" i="53"/>
  <c r="AH868" i="53"/>
  <c r="AJ868" i="53" s="1"/>
  <c r="G899" i="53"/>
  <c r="E1053" i="53"/>
  <c r="R925" i="53"/>
  <c r="P952" i="53"/>
  <c r="C1053" i="53"/>
  <c r="Q925" i="53"/>
  <c r="B101" i="2"/>
  <c r="E1039" i="82" l="1"/>
  <c r="E1066" i="82" s="1"/>
  <c r="T956" i="82"/>
  <c r="D1066" i="82"/>
  <c r="AG1134" i="82"/>
  <c r="AG1133" i="82"/>
  <c r="I1092" i="82"/>
  <c r="Y1092" i="82" s="1"/>
  <c r="G1040" i="82"/>
  <c r="G1067" i="82" s="1"/>
  <c r="Q1065" i="82"/>
  <c r="R1065" i="82" s="1"/>
  <c r="H1092" i="82"/>
  <c r="AH1047" i="82"/>
  <c r="AS1047" i="82" s="1"/>
  <c r="AH1012" i="82"/>
  <c r="AS1012" i="82" s="1"/>
  <c r="R1012" i="82"/>
  <c r="B1040" i="82" s="1"/>
  <c r="S1065" i="82"/>
  <c r="T1038" i="82"/>
  <c r="U1038" i="82"/>
  <c r="AK31" i="2"/>
  <c r="T948" i="79"/>
  <c r="S1057" i="79"/>
  <c r="U1030" i="79"/>
  <c r="T1030" i="79"/>
  <c r="E1031" i="79"/>
  <c r="E1058" i="79" s="1"/>
  <c r="D1058" i="79"/>
  <c r="G1032" i="79"/>
  <c r="G1059" i="79" s="1"/>
  <c r="I1084" i="79"/>
  <c r="Y1084" i="79" s="1"/>
  <c r="Q1057" i="79"/>
  <c r="R1057" i="79" s="1"/>
  <c r="H1084" i="79"/>
  <c r="AH1004" i="79"/>
  <c r="AS1004" i="79" s="1"/>
  <c r="AH1039" i="79"/>
  <c r="AS1039" i="79" s="1"/>
  <c r="R1004" i="79"/>
  <c r="B1032" i="79" s="1"/>
  <c r="AG1126" i="79"/>
  <c r="AG1125" i="79"/>
  <c r="E1044" i="78"/>
  <c r="E1071" i="78" s="1"/>
  <c r="Q1043" i="78"/>
  <c r="R1043" i="78" s="1"/>
  <c r="S1043" i="78" s="1"/>
  <c r="O1070" i="78"/>
  <c r="T1069" i="78"/>
  <c r="U1069" i="78"/>
  <c r="AH1052" i="78"/>
  <c r="AS1052" i="78" s="1"/>
  <c r="H1097" i="78"/>
  <c r="AH1017" i="78"/>
  <c r="AS1017" i="78" s="1"/>
  <c r="R1017" i="78"/>
  <c r="B1045" i="78" s="1"/>
  <c r="AG1139" i="78"/>
  <c r="AG1138" i="78"/>
  <c r="D1071" i="78"/>
  <c r="I1097" i="78"/>
  <c r="Y1097" i="78" s="1"/>
  <c r="G1045" i="78"/>
  <c r="G1072" i="78" s="1"/>
  <c r="T932" i="71"/>
  <c r="E1015" i="71"/>
  <c r="E1042" i="71" s="1"/>
  <c r="H1068" i="71"/>
  <c r="AH1023" i="71"/>
  <c r="AS1023" i="71" s="1"/>
  <c r="AH988" i="71"/>
  <c r="AS988" i="71" s="1"/>
  <c r="R988" i="71"/>
  <c r="B1016" i="71" s="1"/>
  <c r="D1042" i="71"/>
  <c r="AG1110" i="71"/>
  <c r="AG1109" i="71"/>
  <c r="O1041" i="71"/>
  <c r="Q1014" i="71"/>
  <c r="R1014" i="71" s="1"/>
  <c r="S1014" i="71" s="1"/>
  <c r="I1068" i="71"/>
  <c r="Y1068" i="71" s="1"/>
  <c r="G1016" i="71"/>
  <c r="G1043" i="71" s="1"/>
  <c r="Q1002" i="68"/>
  <c r="R1002" i="68" s="1"/>
  <c r="S1002" i="68" s="1"/>
  <c r="S1029" i="68" s="1"/>
  <c r="U1029" i="68" s="1"/>
  <c r="O1029" i="68"/>
  <c r="Q1029" i="68" s="1"/>
  <c r="R1029" i="68" s="1"/>
  <c r="AH1011" i="68"/>
  <c r="AS1011" i="68" s="1"/>
  <c r="AH976" i="68"/>
  <c r="AS976" i="68" s="1"/>
  <c r="R976" i="68"/>
  <c r="B1004" i="68" s="1"/>
  <c r="H1056" i="68"/>
  <c r="I1056" i="68"/>
  <c r="Y1056" i="68" s="1"/>
  <c r="G1004" i="68"/>
  <c r="G1031" i="68" s="1"/>
  <c r="D1030" i="68"/>
  <c r="E1003" i="68"/>
  <c r="E1030" i="68" s="1"/>
  <c r="AG1097" i="68"/>
  <c r="AG1098" i="68"/>
  <c r="D1005" i="62"/>
  <c r="AH1075" i="62"/>
  <c r="AH1074" i="62"/>
  <c r="AG1074" i="62"/>
  <c r="AG1075" i="62"/>
  <c r="AF1075" i="62"/>
  <c r="AF1074" i="62"/>
  <c r="T1030" i="62"/>
  <c r="I101" i="2"/>
  <c r="U101" i="2"/>
  <c r="W101" i="2" s="1"/>
  <c r="G951" i="62"/>
  <c r="G917" i="61"/>
  <c r="I997" i="61" s="1"/>
  <c r="D101" i="2"/>
  <c r="U1030" i="62"/>
  <c r="T996" i="61"/>
  <c r="G944" i="61"/>
  <c r="G971" i="61" s="1"/>
  <c r="R950" i="62"/>
  <c r="B978" i="62" s="1"/>
  <c r="C978" i="62" s="1"/>
  <c r="C1005" i="62" s="1"/>
  <c r="R916" i="61"/>
  <c r="B944" i="61" s="1"/>
  <c r="C944" i="61" s="1"/>
  <c r="C971" i="61" s="1"/>
  <c r="U996" i="61"/>
  <c r="G978" i="62"/>
  <c r="G1005" i="62" s="1"/>
  <c r="E977" i="62"/>
  <c r="E970" i="61"/>
  <c r="F943" i="61"/>
  <c r="T969" i="61"/>
  <c r="U969" i="61"/>
  <c r="E1104" i="62"/>
  <c r="C1104" i="62"/>
  <c r="F926" i="53"/>
  <c r="P926" i="53" s="1"/>
  <c r="R952" i="53"/>
  <c r="Q952" i="53"/>
  <c r="AH934" i="53"/>
  <c r="AS934" i="53" s="1"/>
  <c r="R899" i="53"/>
  <c r="H979" i="53"/>
  <c r="AH899" i="53"/>
  <c r="AS899" i="53" s="1"/>
  <c r="D927" i="53" s="1"/>
  <c r="AH869" i="53"/>
  <c r="AJ869" i="53" s="1"/>
  <c r="G900" i="53"/>
  <c r="F900" i="53"/>
  <c r="AE834" i="53"/>
  <c r="AF834" i="53" s="1"/>
  <c r="AH834" i="53" s="1"/>
  <c r="AJ834" i="53" s="1"/>
  <c r="I979" i="53"/>
  <c r="G927" i="53"/>
  <c r="G954" i="53" s="1"/>
  <c r="E101" i="2"/>
  <c r="F1039" i="82" l="1"/>
  <c r="F1066" i="82" s="1"/>
  <c r="M1039" i="82"/>
  <c r="M1066" i="82" s="1"/>
  <c r="U1065" i="82"/>
  <c r="T1065" i="82"/>
  <c r="C1040" i="82"/>
  <c r="C1067" i="82" s="1"/>
  <c r="B1067" i="82"/>
  <c r="AH1137" i="82"/>
  <c r="AH1136" i="82"/>
  <c r="D1040" i="82"/>
  <c r="AU1012" i="82"/>
  <c r="X1092" i="82"/>
  <c r="T1092" i="82"/>
  <c r="U1092" i="82"/>
  <c r="AH982" i="82"/>
  <c r="AJ982" i="82" s="1"/>
  <c r="AE947" i="82"/>
  <c r="AF947" i="82" s="1"/>
  <c r="AH947" i="82" s="1"/>
  <c r="AJ947" i="82" s="1"/>
  <c r="AL947" i="82" s="1"/>
  <c r="AS982" i="82"/>
  <c r="F1013" i="82"/>
  <c r="G1013" i="82"/>
  <c r="X102" i="2"/>
  <c r="Y102" i="2"/>
  <c r="Z102" i="2"/>
  <c r="F1031" i="79"/>
  <c r="F1058" i="79" s="1"/>
  <c r="M1031" i="79"/>
  <c r="AU1004" i="79"/>
  <c r="D1032" i="79"/>
  <c r="X1084" i="79"/>
  <c r="T1084" i="79"/>
  <c r="U1084" i="79"/>
  <c r="B1059" i="79"/>
  <c r="C1032" i="79"/>
  <c r="C1059" i="79" s="1"/>
  <c r="AH1129" i="79"/>
  <c r="AH1128" i="79"/>
  <c r="T1057" i="79"/>
  <c r="U1057" i="79"/>
  <c r="AE939" i="79"/>
  <c r="AF939" i="79" s="1"/>
  <c r="AH939" i="79" s="1"/>
  <c r="AJ939" i="79" s="1"/>
  <c r="AL939" i="79" s="1"/>
  <c r="G1005" i="79"/>
  <c r="F1005" i="79"/>
  <c r="AS974" i="79"/>
  <c r="AH974" i="79"/>
  <c r="AJ974" i="79" s="1"/>
  <c r="F1044" i="78"/>
  <c r="F1071" i="78" s="1"/>
  <c r="M1044" i="78"/>
  <c r="M1071" i="78" s="1"/>
  <c r="X1097" i="78"/>
  <c r="U1097" i="78"/>
  <c r="T1097" i="78"/>
  <c r="AH1142" i="78"/>
  <c r="AH1141" i="78"/>
  <c r="S1070" i="78"/>
  <c r="U1043" i="78"/>
  <c r="T1043" i="78"/>
  <c r="Q1070" i="78"/>
  <c r="R1070" i="78" s="1"/>
  <c r="B1072" i="78"/>
  <c r="C1045" i="78"/>
  <c r="C1072" i="78" s="1"/>
  <c r="D1045" i="78"/>
  <c r="AU1017" i="78"/>
  <c r="AE952" i="78"/>
  <c r="AF952" i="78" s="1"/>
  <c r="AH952" i="78" s="1"/>
  <c r="AJ952" i="78" s="1"/>
  <c r="AL952" i="78" s="1"/>
  <c r="F1018" i="78"/>
  <c r="G1018" i="78"/>
  <c r="AH987" i="78"/>
  <c r="AJ987" i="78" s="1"/>
  <c r="AS987" i="78"/>
  <c r="M1015" i="71"/>
  <c r="M1042" i="71" s="1"/>
  <c r="S1041" i="71"/>
  <c r="U1014" i="71"/>
  <c r="T1014" i="71"/>
  <c r="AH1113" i="71"/>
  <c r="AH1112" i="71"/>
  <c r="F1015" i="71"/>
  <c r="X1068" i="71"/>
  <c r="T1068" i="71"/>
  <c r="U1068" i="71"/>
  <c r="Q1041" i="71"/>
  <c r="R1041" i="71" s="1"/>
  <c r="B1043" i="71"/>
  <c r="C1016" i="71"/>
  <c r="C1043" i="71" s="1"/>
  <c r="D1016" i="71"/>
  <c r="AU988" i="71"/>
  <c r="AE923" i="71"/>
  <c r="AF923" i="71" s="1"/>
  <c r="AH923" i="71" s="1"/>
  <c r="AJ923" i="71" s="1"/>
  <c r="AL923" i="71" s="1"/>
  <c r="AH958" i="71"/>
  <c r="AJ958" i="71" s="1"/>
  <c r="G989" i="71"/>
  <c r="F989" i="71"/>
  <c r="T1029" i="68"/>
  <c r="U1002" i="68"/>
  <c r="T1002" i="68"/>
  <c r="X1056" i="68"/>
  <c r="T1056" i="68"/>
  <c r="U1056" i="68"/>
  <c r="AE911" i="68"/>
  <c r="AF911" i="68" s="1"/>
  <c r="AH911" i="68" s="1"/>
  <c r="AJ911" i="68" s="1"/>
  <c r="AL911" i="68" s="1"/>
  <c r="AH946" i="68"/>
  <c r="AJ946" i="68" s="1"/>
  <c r="G977" i="68"/>
  <c r="F977" i="68"/>
  <c r="F1003" i="68"/>
  <c r="B1031" i="68"/>
  <c r="C1004" i="68"/>
  <c r="C1031" i="68" s="1"/>
  <c r="M1003" i="68"/>
  <c r="D1004" i="68"/>
  <c r="AU976" i="68"/>
  <c r="AH1101" i="68"/>
  <c r="AH1100" i="68"/>
  <c r="E1004" i="62"/>
  <c r="M977" i="62"/>
  <c r="S976" i="62"/>
  <c r="T103" i="2"/>
  <c r="C103" i="2" s="1"/>
  <c r="Q101" i="2"/>
  <c r="R101" i="2" s="1"/>
  <c r="AH886" i="61"/>
  <c r="AJ886" i="61" s="1"/>
  <c r="AE885" i="62"/>
  <c r="AF885" i="62" s="1"/>
  <c r="AH885" i="62" s="1"/>
  <c r="AJ885" i="62" s="1"/>
  <c r="AL885" i="62" s="1"/>
  <c r="G945" i="61"/>
  <c r="G972" i="61" s="1"/>
  <c r="AE851" i="61"/>
  <c r="AF851" i="61" s="1"/>
  <c r="AH851" i="61" s="1"/>
  <c r="AJ851" i="61" s="1"/>
  <c r="AL851" i="61" s="1"/>
  <c r="F951" i="62"/>
  <c r="H1031" i="62" s="1"/>
  <c r="X1031" i="62" s="1"/>
  <c r="AH920" i="62"/>
  <c r="AJ920" i="62" s="1"/>
  <c r="F917" i="61"/>
  <c r="H997" i="61" s="1"/>
  <c r="U997" i="61" s="1"/>
  <c r="E944" i="61"/>
  <c r="E971" i="61" s="1"/>
  <c r="AU950" i="62"/>
  <c r="B971" i="61"/>
  <c r="AU916" i="61"/>
  <c r="B1005" i="62"/>
  <c r="E978" i="62"/>
  <c r="F977" i="62"/>
  <c r="S943" i="61"/>
  <c r="F970" i="61"/>
  <c r="I1031" i="62"/>
  <c r="Y1031" i="62" s="1"/>
  <c r="G979" i="62"/>
  <c r="G1006" i="62" s="1"/>
  <c r="F953" i="53"/>
  <c r="G928" i="53"/>
  <c r="I980" i="53"/>
  <c r="B927" i="53"/>
  <c r="C33" i="25"/>
  <c r="P953" i="53"/>
  <c r="R926" i="53"/>
  <c r="Q926" i="53"/>
  <c r="E1054" i="53"/>
  <c r="F1054" i="53" s="1"/>
  <c r="C1054" i="53"/>
  <c r="D954" i="53"/>
  <c r="AH900" i="53"/>
  <c r="AS900" i="53" s="1"/>
  <c r="D928" i="53" s="1"/>
  <c r="AH935" i="53"/>
  <c r="AS935" i="53" s="1"/>
  <c r="R900" i="53"/>
  <c r="H980" i="53"/>
  <c r="T979" i="53"/>
  <c r="U979" i="53"/>
  <c r="B103" i="2"/>
  <c r="O1039" i="82" l="1"/>
  <c r="Q1039" i="82" s="1"/>
  <c r="R1039" i="82" s="1"/>
  <c r="S1039" i="82" s="1"/>
  <c r="T957" i="82"/>
  <c r="D1067" i="82"/>
  <c r="I1093" i="82"/>
  <c r="Y1093" i="82" s="1"/>
  <c r="G1041" i="82"/>
  <c r="G1068" i="82" s="1"/>
  <c r="H1093" i="82"/>
  <c r="AH1048" i="82"/>
  <c r="AS1048" i="82" s="1"/>
  <c r="AH1013" i="82"/>
  <c r="AS1013" i="82" s="1"/>
  <c r="R1013" i="82"/>
  <c r="B1041" i="82" s="1"/>
  <c r="E1040" i="82"/>
  <c r="E1067" i="82" s="1"/>
  <c r="AG1137" i="82"/>
  <c r="AG1136" i="82"/>
  <c r="AK32" i="2"/>
  <c r="E1032" i="79"/>
  <c r="E1059" i="79" s="1"/>
  <c r="T949" i="79"/>
  <c r="AG1129" i="79"/>
  <c r="AG1128" i="79"/>
  <c r="D1059" i="79"/>
  <c r="H1085" i="79"/>
  <c r="AH1005" i="79"/>
  <c r="AS1005" i="79" s="1"/>
  <c r="AH1040" i="79"/>
  <c r="AS1040" i="79" s="1"/>
  <c r="R1005" i="79"/>
  <c r="B1033" i="79" s="1"/>
  <c r="I1085" i="79"/>
  <c r="Y1085" i="79" s="1"/>
  <c r="G1033" i="79"/>
  <c r="G1060" i="79" s="1"/>
  <c r="M1058" i="79"/>
  <c r="O1031" i="79"/>
  <c r="O1044" i="78"/>
  <c r="O1071" i="78" s="1"/>
  <c r="E1045" i="78"/>
  <c r="E1072" i="78" s="1"/>
  <c r="H1098" i="78"/>
  <c r="AH1053" i="78"/>
  <c r="AS1053" i="78" s="1"/>
  <c r="AH1018" i="78"/>
  <c r="AS1018" i="78" s="1"/>
  <c r="R1018" i="78"/>
  <c r="B1046" i="78" s="1"/>
  <c r="AG1142" i="78"/>
  <c r="AG1141" i="78"/>
  <c r="D1072" i="78"/>
  <c r="U1070" i="78"/>
  <c r="T1070" i="78"/>
  <c r="I1098" i="78"/>
  <c r="Y1098" i="78" s="1"/>
  <c r="G1046" i="78"/>
  <c r="G1073" i="78" s="1"/>
  <c r="O1015" i="71"/>
  <c r="Q1015" i="71" s="1"/>
  <c r="R1015" i="71" s="1"/>
  <c r="S1015" i="71" s="1"/>
  <c r="T933" i="71"/>
  <c r="AG1113" i="71"/>
  <c r="AG1112" i="71"/>
  <c r="H1069" i="71"/>
  <c r="AH1024" i="71"/>
  <c r="AS1024" i="71" s="1"/>
  <c r="AH989" i="71"/>
  <c r="AS989" i="71" s="1"/>
  <c r="R989" i="71"/>
  <c r="B1017" i="71" s="1"/>
  <c r="F1042" i="71"/>
  <c r="I1069" i="71"/>
  <c r="Y1069" i="71" s="1"/>
  <c r="G1017" i="71"/>
  <c r="G1044" i="71" s="1"/>
  <c r="D1043" i="71"/>
  <c r="E1016" i="71"/>
  <c r="E1043" i="71" s="1"/>
  <c r="U1041" i="71"/>
  <c r="T1041" i="71"/>
  <c r="M1030" i="68"/>
  <c r="O1003" i="68"/>
  <c r="E1004" i="68"/>
  <c r="E1031" i="68" s="1"/>
  <c r="D1031" i="68"/>
  <c r="AG1101" i="68"/>
  <c r="AG1100" i="68"/>
  <c r="F1030" i="68"/>
  <c r="H1057" i="68"/>
  <c r="AH977" i="68"/>
  <c r="AS977" i="68" s="1"/>
  <c r="AH1012" i="68"/>
  <c r="AS1012" i="68" s="1"/>
  <c r="R977" i="68"/>
  <c r="B1005" i="68" s="1"/>
  <c r="I1057" i="68"/>
  <c r="Y1057" i="68" s="1"/>
  <c r="G1005" i="68"/>
  <c r="G1032" i="68" s="1"/>
  <c r="E1005" i="62"/>
  <c r="M978" i="62"/>
  <c r="S1003" i="62"/>
  <c r="T976" i="62"/>
  <c r="U976" i="62"/>
  <c r="O977" i="62"/>
  <c r="M1004" i="62"/>
  <c r="AH1078" i="62"/>
  <c r="AH1077" i="62"/>
  <c r="AG1077" i="62"/>
  <c r="AG1078" i="62"/>
  <c r="AF1077" i="62"/>
  <c r="AF1078" i="62"/>
  <c r="I103" i="2"/>
  <c r="U103" i="2"/>
  <c r="W103" i="2" s="1"/>
  <c r="T997" i="61"/>
  <c r="AH917" i="61"/>
  <c r="AS917" i="61" s="1"/>
  <c r="D945" i="61" s="1"/>
  <c r="D972" i="61" s="1"/>
  <c r="R917" i="61"/>
  <c r="B945" i="61" s="1"/>
  <c r="C945" i="61" s="1"/>
  <c r="C972" i="61" s="1"/>
  <c r="AH952" i="61"/>
  <c r="AS952" i="61" s="1"/>
  <c r="R951" i="62"/>
  <c r="B979" i="62" s="1"/>
  <c r="B1006" i="62" s="1"/>
  <c r="AH986" i="62"/>
  <c r="AS986" i="62" s="1"/>
  <c r="AH951" i="62"/>
  <c r="AS951" i="62" s="1"/>
  <c r="D979" i="62" s="1"/>
  <c r="F944" i="61"/>
  <c r="F971" i="61" s="1"/>
  <c r="F978" i="62"/>
  <c r="F1004" i="62"/>
  <c r="E1105" i="62"/>
  <c r="C1105" i="62"/>
  <c r="C1071" i="61"/>
  <c r="U943" i="61"/>
  <c r="E1071" i="61"/>
  <c r="S970" i="61"/>
  <c r="T943" i="61"/>
  <c r="T1031" i="62"/>
  <c r="U1031" i="62"/>
  <c r="D103" i="2"/>
  <c r="D955" i="53"/>
  <c r="F901" i="53"/>
  <c r="G901" i="53"/>
  <c r="AE835" i="53"/>
  <c r="AF835" i="53" s="1"/>
  <c r="AH870" i="53"/>
  <c r="U980" i="53"/>
  <c r="T980" i="53"/>
  <c r="B954" i="53"/>
  <c r="C927" i="53"/>
  <c r="C954" i="53" s="1"/>
  <c r="B928" i="53"/>
  <c r="C34" i="25"/>
  <c r="R953" i="53"/>
  <c r="Q953" i="53"/>
  <c r="G955" i="53"/>
  <c r="AK834" i="53"/>
  <c r="AL834" i="53" s="1"/>
  <c r="D749" i="49"/>
  <c r="E749" i="49" s="1"/>
  <c r="R749" i="49" s="1"/>
  <c r="T765" i="49" s="1"/>
  <c r="E304" i="49"/>
  <c r="R304" i="49" s="1"/>
  <c r="S307" i="49" s="1"/>
  <c r="D329" i="49"/>
  <c r="E329" i="49" s="1"/>
  <c r="R329" i="49" s="1"/>
  <c r="E103" i="2"/>
  <c r="O1066" i="82" l="1"/>
  <c r="Q1066" i="82" s="1"/>
  <c r="R1066" i="82" s="1"/>
  <c r="M1040" i="82"/>
  <c r="O1040" i="82" s="1"/>
  <c r="AE948" i="82"/>
  <c r="AF948" i="82" s="1"/>
  <c r="AH948" i="82" s="1"/>
  <c r="AJ948" i="82" s="1"/>
  <c r="G1014" i="82"/>
  <c r="F1014" i="82"/>
  <c r="AS983" i="82"/>
  <c r="AH983" i="82"/>
  <c r="AJ983" i="82" s="1"/>
  <c r="AH1140" i="82"/>
  <c r="AH1139" i="82"/>
  <c r="F1040" i="82"/>
  <c r="B1068" i="82"/>
  <c r="C1041" i="82"/>
  <c r="C1068" i="82" s="1"/>
  <c r="D1041" i="82"/>
  <c r="AU1013" i="82"/>
  <c r="S1066" i="82"/>
  <c r="T1039" i="82"/>
  <c r="U1039" i="82"/>
  <c r="X1093" i="82"/>
  <c r="U1093" i="82"/>
  <c r="T1093" i="82"/>
  <c r="X104" i="2"/>
  <c r="Z104" i="2"/>
  <c r="Y104" i="2"/>
  <c r="M1032" i="79"/>
  <c r="M1059" i="79" s="1"/>
  <c r="F1032" i="79"/>
  <c r="F1059" i="79" s="1"/>
  <c r="B1060" i="79"/>
  <c r="C1033" i="79"/>
  <c r="C1060" i="79" s="1"/>
  <c r="D1033" i="79"/>
  <c r="AU1005" i="79"/>
  <c r="X1085" i="79"/>
  <c r="T1085" i="79"/>
  <c r="U1085" i="79"/>
  <c r="O1058" i="79"/>
  <c r="Q1031" i="79"/>
  <c r="R1031" i="79" s="1"/>
  <c r="S1031" i="79" s="1"/>
  <c r="AH1132" i="79"/>
  <c r="AH1131" i="79"/>
  <c r="AE940" i="79"/>
  <c r="AF940" i="79" s="1"/>
  <c r="AH940" i="79" s="1"/>
  <c r="AJ940" i="79" s="1"/>
  <c r="AH975" i="79"/>
  <c r="AJ975" i="79" s="1"/>
  <c r="AS975" i="79"/>
  <c r="F1006" i="79"/>
  <c r="G1006" i="79"/>
  <c r="Q1044" i="78"/>
  <c r="R1044" i="78" s="1"/>
  <c r="S1044" i="78" s="1"/>
  <c r="S1071" i="78" s="1"/>
  <c r="F1045" i="78"/>
  <c r="F1072" i="78" s="1"/>
  <c r="M1045" i="78"/>
  <c r="M1072" i="78" s="1"/>
  <c r="Q1071" i="78"/>
  <c r="R1071" i="78" s="1"/>
  <c r="AH1145" i="78"/>
  <c r="AH1144" i="78"/>
  <c r="B1073" i="78"/>
  <c r="C1046" i="78"/>
  <c r="C1073" i="78" s="1"/>
  <c r="D1046" i="78"/>
  <c r="AU1018" i="78"/>
  <c r="X1098" i="78"/>
  <c r="T1098" i="78"/>
  <c r="U1098" i="78"/>
  <c r="AE953" i="78"/>
  <c r="AF953" i="78" s="1"/>
  <c r="AH953" i="78" s="1"/>
  <c r="AJ953" i="78" s="1"/>
  <c r="AH988" i="78"/>
  <c r="AJ988" i="78" s="1"/>
  <c r="AS988" i="78"/>
  <c r="G1019" i="78"/>
  <c r="F1019" i="78"/>
  <c r="O1042" i="71"/>
  <c r="Q1042" i="71" s="1"/>
  <c r="R1042" i="71" s="1"/>
  <c r="F1016" i="71"/>
  <c r="F1043" i="71" s="1"/>
  <c r="M1016" i="71"/>
  <c r="O1016" i="71" s="1"/>
  <c r="S1042" i="71"/>
  <c r="T1015" i="71"/>
  <c r="U1015" i="71"/>
  <c r="X1069" i="71"/>
  <c r="U1069" i="71"/>
  <c r="T1069" i="71"/>
  <c r="C1017" i="71"/>
  <c r="C1044" i="71" s="1"/>
  <c r="B1044" i="71"/>
  <c r="AH1116" i="71"/>
  <c r="AH1115" i="71"/>
  <c r="AU989" i="71"/>
  <c r="D1017" i="71"/>
  <c r="AE924" i="71"/>
  <c r="AF924" i="71" s="1"/>
  <c r="AH924" i="71" s="1"/>
  <c r="AJ924" i="71" s="1"/>
  <c r="AH959" i="71"/>
  <c r="AJ959" i="71" s="1"/>
  <c r="G990" i="71"/>
  <c r="F990" i="71"/>
  <c r="Q1003" i="68"/>
  <c r="R1003" i="68" s="1"/>
  <c r="S1003" i="68" s="1"/>
  <c r="T1003" i="68" s="1"/>
  <c r="O1030" i="68"/>
  <c r="Q1030" i="68" s="1"/>
  <c r="R1030" i="68" s="1"/>
  <c r="M1004" i="68"/>
  <c r="F1004" i="68"/>
  <c r="C1005" i="68"/>
  <c r="C1032" i="68" s="1"/>
  <c r="B1032" i="68"/>
  <c r="D1005" i="68"/>
  <c r="AU977" i="68"/>
  <c r="AH1103" i="68"/>
  <c r="AH1104" i="68"/>
  <c r="U1057" i="68"/>
  <c r="X1057" i="68"/>
  <c r="T1057" i="68"/>
  <c r="AE912" i="68"/>
  <c r="AF912" i="68" s="1"/>
  <c r="AH912" i="68" s="1"/>
  <c r="AJ912" i="68" s="1"/>
  <c r="G978" i="68"/>
  <c r="AH947" i="68"/>
  <c r="AJ947" i="68" s="1"/>
  <c r="F978" i="68"/>
  <c r="U1003" i="62"/>
  <c r="T1003" i="62"/>
  <c r="F1005" i="62"/>
  <c r="O1004" i="62"/>
  <c r="Q1004" i="62" s="1"/>
  <c r="R1004" i="62" s="1"/>
  <c r="Q977" i="62"/>
  <c r="M1005" i="62"/>
  <c r="O978" i="62"/>
  <c r="Q103" i="2"/>
  <c r="R103" i="2" s="1"/>
  <c r="B972" i="61"/>
  <c r="AU917" i="61"/>
  <c r="E945" i="61"/>
  <c r="F945" i="61" s="1"/>
  <c r="AU951" i="62"/>
  <c r="C979" i="62"/>
  <c r="C1006" i="62" s="1"/>
  <c r="S944" i="61"/>
  <c r="E1072" i="61" s="1"/>
  <c r="F1072" i="61" s="1"/>
  <c r="U970" i="61"/>
  <c r="T970" i="61"/>
  <c r="D1006" i="62"/>
  <c r="AE886" i="62"/>
  <c r="AF886" i="62" s="1"/>
  <c r="AH886" i="62" s="1"/>
  <c r="AJ886" i="62" s="1"/>
  <c r="AH921" i="62"/>
  <c r="AJ921" i="62" s="1"/>
  <c r="F952" i="62"/>
  <c r="G952" i="62"/>
  <c r="T105" i="2"/>
  <c r="C105" i="2" s="1"/>
  <c r="D105" i="2" s="1"/>
  <c r="F918" i="61"/>
  <c r="G918" i="61"/>
  <c r="AH887" i="61"/>
  <c r="AJ887" i="61" s="1"/>
  <c r="AE852" i="61"/>
  <c r="AF852" i="61" s="1"/>
  <c r="AH852" i="61" s="1"/>
  <c r="AJ852" i="61" s="1"/>
  <c r="E927" i="53"/>
  <c r="F927" i="53" s="1"/>
  <c r="AH835" i="53"/>
  <c r="AF837" i="53"/>
  <c r="B955" i="53"/>
  <c r="C928" i="53"/>
  <c r="C955" i="53" s="1"/>
  <c r="G929" i="53"/>
  <c r="I981" i="53"/>
  <c r="G903" i="53"/>
  <c r="H981" i="53"/>
  <c r="AH901" i="53"/>
  <c r="R901" i="53"/>
  <c r="AH936" i="53"/>
  <c r="F903" i="53"/>
  <c r="AJ870" i="53"/>
  <c r="AJ872" i="53" s="1"/>
  <c r="AH872" i="53"/>
  <c r="D403" i="49"/>
  <c r="D408" i="49" s="1"/>
  <c r="D755" i="49"/>
  <c r="D789" i="49" s="1"/>
  <c r="B105" i="2"/>
  <c r="M1067" i="82" l="1"/>
  <c r="T958" i="82"/>
  <c r="D1068" i="82"/>
  <c r="AG1140" i="82"/>
  <c r="AG1139" i="82"/>
  <c r="E1041" i="82"/>
  <c r="E1068" i="82" s="1"/>
  <c r="H1094" i="82"/>
  <c r="AH1049" i="82"/>
  <c r="AS1049" i="82" s="1"/>
  <c r="AH1014" i="82"/>
  <c r="AS1014" i="82" s="1"/>
  <c r="R1014" i="82"/>
  <c r="B1042" i="82" s="1"/>
  <c r="T1066" i="82"/>
  <c r="U1066" i="82"/>
  <c r="F1067" i="82"/>
  <c r="I1094" i="82"/>
  <c r="Y1094" i="82" s="1"/>
  <c r="G1042" i="82"/>
  <c r="O1067" i="82"/>
  <c r="Q1040" i="82"/>
  <c r="R1040" i="82" s="1"/>
  <c r="S1040" i="82" s="1"/>
  <c r="AK33" i="2"/>
  <c r="O1032" i="79"/>
  <c r="O1059" i="79" s="1"/>
  <c r="T950" i="79"/>
  <c r="S1058" i="79"/>
  <c r="T1031" i="79"/>
  <c r="U1031" i="79"/>
  <c r="Q1058" i="79"/>
  <c r="R1058" i="79" s="1"/>
  <c r="I1086" i="79"/>
  <c r="Y1086" i="79" s="1"/>
  <c r="G1034" i="79"/>
  <c r="AG1132" i="79"/>
  <c r="AG1131" i="79"/>
  <c r="D1060" i="79"/>
  <c r="H1086" i="79"/>
  <c r="AH1006" i="79"/>
  <c r="AS1006" i="79" s="1"/>
  <c r="AH1041" i="79"/>
  <c r="AS1041" i="79" s="1"/>
  <c r="R1006" i="79"/>
  <c r="B1034" i="79" s="1"/>
  <c r="E1033" i="79"/>
  <c r="E1060" i="79" s="1"/>
  <c r="T1044" i="78"/>
  <c r="U1044" i="78"/>
  <c r="O1045" i="78"/>
  <c r="O1072" i="78" s="1"/>
  <c r="I1099" i="78"/>
  <c r="Y1099" i="78" s="1"/>
  <c r="G1047" i="78"/>
  <c r="AG1145" i="78"/>
  <c r="AG1144" i="78"/>
  <c r="H1099" i="78"/>
  <c r="AH1054" i="78"/>
  <c r="AS1054" i="78" s="1"/>
  <c r="AH1019" i="78"/>
  <c r="AS1019" i="78" s="1"/>
  <c r="R1019" i="78"/>
  <c r="B1047" i="78" s="1"/>
  <c r="D1073" i="78"/>
  <c r="E1046" i="78"/>
  <c r="E1073" i="78" s="1"/>
  <c r="T1071" i="78"/>
  <c r="U1071" i="78"/>
  <c r="M1043" i="71"/>
  <c r="T934" i="71"/>
  <c r="H1070" i="71"/>
  <c r="AH1025" i="71"/>
  <c r="AS1025" i="71" s="1"/>
  <c r="AH990" i="71"/>
  <c r="AS990" i="71" s="1"/>
  <c r="R990" i="71"/>
  <c r="B1018" i="71" s="1"/>
  <c r="D1044" i="71"/>
  <c r="O1043" i="71"/>
  <c r="Q1016" i="71"/>
  <c r="R1016" i="71" s="1"/>
  <c r="S1016" i="71" s="1"/>
  <c r="U1042" i="71"/>
  <c r="T1042" i="71"/>
  <c r="I1070" i="71"/>
  <c r="Y1070" i="71" s="1"/>
  <c r="G1018" i="71"/>
  <c r="AG1116" i="71"/>
  <c r="AG1115" i="71"/>
  <c r="E1017" i="71"/>
  <c r="E1044" i="71" s="1"/>
  <c r="S1030" i="68"/>
  <c r="U1030" i="68" s="1"/>
  <c r="M1031" i="68"/>
  <c r="O1004" i="68"/>
  <c r="U1003" i="68"/>
  <c r="F1031" i="68"/>
  <c r="E1005" i="68"/>
  <c r="E1032" i="68" s="1"/>
  <c r="R978" i="68"/>
  <c r="B1006" i="68" s="1"/>
  <c r="AH978" i="68"/>
  <c r="AS978" i="68" s="1"/>
  <c r="H1058" i="68"/>
  <c r="AH1013" i="68"/>
  <c r="AS1013" i="68" s="1"/>
  <c r="AG1104" i="68"/>
  <c r="AG1103" i="68"/>
  <c r="I1058" i="68"/>
  <c r="Y1058" i="68" s="1"/>
  <c r="G1006" i="68"/>
  <c r="D1032" i="68"/>
  <c r="O1005" i="62"/>
  <c r="Q1005" i="62" s="1"/>
  <c r="R1005" i="62" s="1"/>
  <c r="Q978" i="62"/>
  <c r="S977" i="62"/>
  <c r="E972" i="61"/>
  <c r="E979" i="62"/>
  <c r="S971" i="61"/>
  <c r="U971" i="61" s="1"/>
  <c r="U944" i="61"/>
  <c r="C1072" i="61"/>
  <c r="T944" i="61"/>
  <c r="E1106" i="62"/>
  <c r="F1106" i="62" s="1"/>
  <c r="C1106" i="62"/>
  <c r="I1032" i="62"/>
  <c r="Y1032" i="62" s="1"/>
  <c r="G980" i="62"/>
  <c r="H1032" i="62"/>
  <c r="X1032" i="62" s="1"/>
  <c r="AH987" i="62"/>
  <c r="AS987" i="62" s="1"/>
  <c r="AH952" i="62"/>
  <c r="AS952" i="62" s="1"/>
  <c r="R952" i="62"/>
  <c r="B980" i="62" s="1"/>
  <c r="U105" i="2"/>
  <c r="U108" i="2" s="1"/>
  <c r="G919" i="61"/>
  <c r="I999" i="61" s="1"/>
  <c r="I105" i="2"/>
  <c r="I108" i="2" s="1"/>
  <c r="T108" i="2"/>
  <c r="H998" i="61"/>
  <c r="AH953" i="61"/>
  <c r="AS953" i="61" s="1"/>
  <c r="AH918" i="61"/>
  <c r="AS918" i="61" s="1"/>
  <c r="R918" i="61"/>
  <c r="B946" i="61" s="1"/>
  <c r="I998" i="61"/>
  <c r="G946" i="61"/>
  <c r="F972" i="61"/>
  <c r="S945" i="61"/>
  <c r="E954" i="53"/>
  <c r="E928" i="53"/>
  <c r="F928" i="53" s="1"/>
  <c r="C35" i="25"/>
  <c r="C36" i="25" s="1"/>
  <c r="B929" i="53"/>
  <c r="R903" i="53"/>
  <c r="AJ835" i="53"/>
  <c r="AH837" i="53"/>
  <c r="AS901" i="53"/>
  <c r="AH903" i="53"/>
  <c r="T981" i="53"/>
  <c r="U981" i="53"/>
  <c r="AS936" i="53"/>
  <c r="AS938" i="53" s="1"/>
  <c r="AH938" i="53"/>
  <c r="F954" i="53"/>
  <c r="P927" i="53"/>
  <c r="AK835" i="53"/>
  <c r="AK837" i="53" s="1"/>
  <c r="G956" i="53"/>
  <c r="G931" i="53"/>
  <c r="E403" i="49"/>
  <c r="R403" i="49" s="1"/>
  <c r="D774" i="49"/>
  <c r="E774" i="49" s="1"/>
  <c r="R774" i="49" s="1"/>
  <c r="E755" i="49"/>
  <c r="D797" i="49"/>
  <c r="D13" i="49" s="1"/>
  <c r="E789" i="49"/>
  <c r="D410" i="49"/>
  <c r="D409" i="49"/>
  <c r="E408" i="49"/>
  <c r="R408" i="49" s="1"/>
  <c r="E105" i="2"/>
  <c r="U1040" i="82" l="1"/>
  <c r="T1040" i="82"/>
  <c r="S1067" i="82"/>
  <c r="AH1143" i="82"/>
  <c r="AH1142" i="82"/>
  <c r="X1094" i="82"/>
  <c r="U1094" i="82"/>
  <c r="T1094" i="82"/>
  <c r="M1041" i="82"/>
  <c r="C1042" i="82"/>
  <c r="C1069" i="82" s="1"/>
  <c r="B1069" i="82"/>
  <c r="F1041" i="82"/>
  <c r="Q1067" i="82"/>
  <c r="R1067" i="82" s="1"/>
  <c r="AU1014" i="82"/>
  <c r="D1042" i="82"/>
  <c r="G1069" i="82"/>
  <c r="AK948" i="82"/>
  <c r="AL948" i="82" s="1"/>
  <c r="AE949" i="82"/>
  <c r="AF949" i="82" s="1"/>
  <c r="F1015" i="82"/>
  <c r="AS984" i="82"/>
  <c r="AS986" i="82" s="1"/>
  <c r="AH984" i="82"/>
  <c r="G1015" i="82"/>
  <c r="Q1032" i="79"/>
  <c r="R1032" i="79" s="1"/>
  <c r="S1032" i="79" s="1"/>
  <c r="U1032" i="79" s="1"/>
  <c r="G1061" i="79"/>
  <c r="AK940" i="79"/>
  <c r="AL940" i="79" s="1"/>
  <c r="AH1135" i="79"/>
  <c r="AH1134" i="79"/>
  <c r="F1033" i="79"/>
  <c r="B1061" i="79"/>
  <c r="C1034" i="79"/>
  <c r="C1061" i="79" s="1"/>
  <c r="M1033" i="79"/>
  <c r="Q1059" i="79"/>
  <c r="R1059" i="79" s="1"/>
  <c r="AU1006" i="79"/>
  <c r="D1034" i="79"/>
  <c r="U1058" i="79"/>
  <c r="T1058" i="79"/>
  <c r="X1086" i="79"/>
  <c r="T1086" i="79"/>
  <c r="U1086" i="79"/>
  <c r="AE941" i="79"/>
  <c r="AF941" i="79" s="1"/>
  <c r="F1007" i="79"/>
  <c r="AH976" i="79"/>
  <c r="AS976" i="79"/>
  <c r="AS978" i="79" s="1"/>
  <c r="G1007" i="79"/>
  <c r="Q1045" i="78"/>
  <c r="R1045" i="78" s="1"/>
  <c r="S1045" i="78" s="1"/>
  <c r="S1072" i="78" s="1"/>
  <c r="F1046" i="78"/>
  <c r="M1046" i="78"/>
  <c r="AE954" i="78"/>
  <c r="AF954" i="78" s="1"/>
  <c r="F1020" i="78"/>
  <c r="AH989" i="78"/>
  <c r="AS989" i="78"/>
  <c r="AS991" i="78" s="1"/>
  <c r="G1020" i="78"/>
  <c r="X1099" i="78"/>
  <c r="T1099" i="78"/>
  <c r="U1099" i="78"/>
  <c r="B1074" i="78"/>
  <c r="C1047" i="78"/>
  <c r="C1074" i="78" s="1"/>
  <c r="D1047" i="78"/>
  <c r="AU1019" i="78"/>
  <c r="Q1072" i="78"/>
  <c r="R1072" i="78" s="1"/>
  <c r="G1074" i="78"/>
  <c r="AK953" i="78"/>
  <c r="AL953" i="78" s="1"/>
  <c r="AH1148" i="78"/>
  <c r="AH1147" i="78"/>
  <c r="M1017" i="71"/>
  <c r="M1044" i="71" s="1"/>
  <c r="S1043" i="71"/>
  <c r="U1016" i="71"/>
  <c r="T1016" i="71"/>
  <c r="G1045" i="71"/>
  <c r="AK924" i="71"/>
  <c r="AL924" i="71" s="1"/>
  <c r="AH1119" i="71"/>
  <c r="AH1118" i="71"/>
  <c r="F1017" i="71"/>
  <c r="X1070" i="71"/>
  <c r="U1070" i="71"/>
  <c r="T1070" i="71"/>
  <c r="Q1043" i="71"/>
  <c r="R1043" i="71" s="1"/>
  <c r="B1045" i="71"/>
  <c r="C1018" i="71"/>
  <c r="C1045" i="71" s="1"/>
  <c r="D1018" i="71"/>
  <c r="AU990" i="71"/>
  <c r="AE925" i="71"/>
  <c r="AF925" i="71" s="1"/>
  <c r="G991" i="71"/>
  <c r="AH960" i="71"/>
  <c r="F991" i="71"/>
  <c r="T1030" i="68"/>
  <c r="F1005" i="68"/>
  <c r="F1032" i="68" s="1"/>
  <c r="Q1004" i="68"/>
  <c r="R1004" i="68" s="1"/>
  <c r="S1004" i="68" s="1"/>
  <c r="O1031" i="68"/>
  <c r="Q1031" i="68" s="1"/>
  <c r="R1031" i="68" s="1"/>
  <c r="M1005" i="68"/>
  <c r="C1006" i="68"/>
  <c r="C1033" i="68" s="1"/>
  <c r="B1033" i="68"/>
  <c r="G1033" i="68"/>
  <c r="AK912" i="68"/>
  <c r="AL912" i="68" s="1"/>
  <c r="U1058" i="68"/>
  <c r="T1058" i="68"/>
  <c r="X1058" i="68"/>
  <c r="AH1107" i="68"/>
  <c r="AH1106" i="68"/>
  <c r="D1006" i="68"/>
  <c r="AU978" i="68"/>
  <c r="F979" i="68"/>
  <c r="G979" i="68"/>
  <c r="AH948" i="68"/>
  <c r="AE913" i="68"/>
  <c r="AF913" i="68" s="1"/>
  <c r="S978" i="62"/>
  <c r="E1006" i="62"/>
  <c r="M979" i="62"/>
  <c r="S1004" i="62"/>
  <c r="U977" i="62"/>
  <c r="T977" i="62"/>
  <c r="AH1081" i="62"/>
  <c r="AH1080" i="62"/>
  <c r="AG1080" i="62"/>
  <c r="AG1081" i="62"/>
  <c r="AF1080" i="62"/>
  <c r="AF1081" i="62"/>
  <c r="F979" i="62"/>
  <c r="C1107" i="62" s="1"/>
  <c r="T971" i="61"/>
  <c r="G1007" i="62"/>
  <c r="AK886" i="62"/>
  <c r="AL886" i="62" s="1"/>
  <c r="T1032" i="62"/>
  <c r="U1032" i="62"/>
  <c r="B1007" i="62"/>
  <c r="C980" i="62"/>
  <c r="C1007" i="62" s="1"/>
  <c r="D980" i="62"/>
  <c r="AU952" i="62"/>
  <c r="AE887" i="62"/>
  <c r="AF887" i="62" s="1"/>
  <c r="F953" i="62"/>
  <c r="G953" i="62"/>
  <c r="AH922" i="62"/>
  <c r="U998" i="61"/>
  <c r="D946" i="61"/>
  <c r="D973" i="61" s="1"/>
  <c r="AU918" i="61"/>
  <c r="T131" i="2"/>
  <c r="C131" i="2" s="1"/>
  <c r="D131" i="2" s="1"/>
  <c r="W105" i="2"/>
  <c r="AE853" i="61"/>
  <c r="AF853" i="61" s="1"/>
  <c r="AH853" i="61" s="1"/>
  <c r="AH855" i="61" s="1"/>
  <c r="AH888" i="61"/>
  <c r="AJ888" i="61" s="1"/>
  <c r="AJ890" i="61" s="1"/>
  <c r="G947" i="61"/>
  <c r="AK853" i="61" s="1"/>
  <c r="G921" i="61"/>
  <c r="F919" i="61"/>
  <c r="H999" i="61" s="1"/>
  <c r="T999" i="61" s="1"/>
  <c r="T998" i="61"/>
  <c r="B973" i="61"/>
  <c r="C946" i="61"/>
  <c r="C973" i="61" s="1"/>
  <c r="G973" i="61"/>
  <c r="AK852" i="61"/>
  <c r="AL852" i="61" s="1"/>
  <c r="E1073" i="61"/>
  <c r="C1073" i="61"/>
  <c r="S972" i="61"/>
  <c r="U945" i="61"/>
  <c r="T945" i="61"/>
  <c r="R755" i="49"/>
  <c r="T755" i="49" s="1"/>
  <c r="E955" i="53"/>
  <c r="D929" i="53"/>
  <c r="AS903" i="53"/>
  <c r="R927" i="53"/>
  <c r="C1055" i="53"/>
  <c r="E1055" i="53"/>
  <c r="P954" i="53"/>
  <c r="Q927" i="53"/>
  <c r="AL835" i="53"/>
  <c r="AL837" i="53" s="1"/>
  <c r="AJ837" i="53"/>
  <c r="B956" i="53"/>
  <c r="C929" i="53"/>
  <c r="B931" i="53"/>
  <c r="E931" i="53" s="1"/>
  <c r="F955" i="53"/>
  <c r="P928" i="53"/>
  <c r="E13" i="49"/>
  <c r="R13" i="49" s="1"/>
  <c r="T13" i="49" s="1"/>
  <c r="E6" i="25"/>
  <c r="O6" i="25" s="1"/>
  <c r="R789" i="49"/>
  <c r="R797" i="49" s="1"/>
  <c r="E797" i="49"/>
  <c r="E410" i="49"/>
  <c r="R410" i="49" s="1"/>
  <c r="D411" i="49"/>
  <c r="H812" i="49"/>
  <c r="D275" i="49"/>
  <c r="D277" i="49" s="1"/>
  <c r="B131" i="2"/>
  <c r="E1042" i="82" l="1"/>
  <c r="E1069" i="82" s="1"/>
  <c r="I1095" i="82"/>
  <c r="Y1095" i="82" s="1"/>
  <c r="G1043" i="82"/>
  <c r="G1017" i="82"/>
  <c r="AG1143" i="82"/>
  <c r="AG1142" i="82"/>
  <c r="AJ984" i="82"/>
  <c r="AJ986" i="82" s="1"/>
  <c r="AH986" i="82"/>
  <c r="H1095" i="82"/>
  <c r="AH1050" i="82"/>
  <c r="AH1015" i="82"/>
  <c r="R1015" i="82"/>
  <c r="F1017" i="82"/>
  <c r="F1068" i="82"/>
  <c r="AH949" i="82"/>
  <c r="AF951" i="82"/>
  <c r="U1067" i="82"/>
  <c r="T1067" i="82"/>
  <c r="D1069" i="82"/>
  <c r="M1068" i="82"/>
  <c r="O1041" i="82"/>
  <c r="Q105" i="2"/>
  <c r="R105" i="2" s="1"/>
  <c r="X106" i="2"/>
  <c r="Z106" i="2"/>
  <c r="Y106" i="2"/>
  <c r="T945" i="81"/>
  <c r="AL22" i="2"/>
  <c r="S1059" i="79"/>
  <c r="U1059" i="79" s="1"/>
  <c r="T1032" i="79"/>
  <c r="E1034" i="79"/>
  <c r="E1061" i="79" s="1"/>
  <c r="AJ976" i="79"/>
  <c r="AJ978" i="79" s="1"/>
  <c r="AH978" i="79"/>
  <c r="D1061" i="79"/>
  <c r="F1060" i="79"/>
  <c r="AH941" i="79"/>
  <c r="AF943" i="79"/>
  <c r="M1060" i="79"/>
  <c r="O1033" i="79"/>
  <c r="H1087" i="79"/>
  <c r="AH1042" i="79"/>
  <c r="AH1007" i="79"/>
  <c r="R1007" i="79"/>
  <c r="F1009" i="79"/>
  <c r="AG1135" i="79"/>
  <c r="AG1134" i="79"/>
  <c r="I1087" i="79"/>
  <c r="Y1087" i="79" s="1"/>
  <c r="G1035" i="79"/>
  <c r="G1009" i="79"/>
  <c r="U1045" i="78"/>
  <c r="T1045" i="78"/>
  <c r="AJ989" i="78"/>
  <c r="AJ991" i="78" s="1"/>
  <c r="AH991" i="78"/>
  <c r="E1047" i="78"/>
  <c r="E1074" i="78" s="1"/>
  <c r="H1100" i="78"/>
  <c r="AH1055" i="78"/>
  <c r="AH1020" i="78"/>
  <c r="R1020" i="78"/>
  <c r="F1022" i="78"/>
  <c r="AH954" i="78"/>
  <c r="AF956" i="78"/>
  <c r="D1074" i="78"/>
  <c r="F1073" i="78"/>
  <c r="M1073" i="78"/>
  <c r="O1046" i="78"/>
  <c r="AG1148" i="78"/>
  <c r="AG1147" i="78"/>
  <c r="I1100" i="78"/>
  <c r="Y1100" i="78" s="1"/>
  <c r="G1048" i="78"/>
  <c r="G1022" i="78"/>
  <c r="U1072" i="78"/>
  <c r="T1072" i="78"/>
  <c r="O1017" i="71"/>
  <c r="Q1017" i="71" s="1"/>
  <c r="R1017" i="71" s="1"/>
  <c r="S1017" i="71" s="1"/>
  <c r="E1018" i="71"/>
  <c r="E1045" i="71" s="1"/>
  <c r="H1071" i="71"/>
  <c r="AH1026" i="71"/>
  <c r="AH991" i="71"/>
  <c r="R991" i="71"/>
  <c r="F993" i="71"/>
  <c r="AJ960" i="71"/>
  <c r="AJ962" i="71" s="1"/>
  <c r="AH962" i="71"/>
  <c r="D1045" i="71"/>
  <c r="AG1119" i="71"/>
  <c r="AG1118" i="71"/>
  <c r="I1071" i="71"/>
  <c r="Y1071" i="71" s="1"/>
  <c r="G1019" i="71"/>
  <c r="G993" i="71"/>
  <c r="F1044" i="71"/>
  <c r="AH925" i="71"/>
  <c r="AF927" i="71"/>
  <c r="U1043" i="71"/>
  <c r="T1043" i="71"/>
  <c r="U1004" i="68"/>
  <c r="T1004" i="68"/>
  <c r="S1031" i="68"/>
  <c r="M1032" i="68"/>
  <c r="O1005" i="68"/>
  <c r="E1006" i="68"/>
  <c r="E1033" i="68" s="1"/>
  <c r="AH979" i="68"/>
  <c r="R979" i="68"/>
  <c r="R981" i="68" s="1"/>
  <c r="H1059" i="68"/>
  <c r="AH1014" i="68"/>
  <c r="F981" i="68"/>
  <c r="AH913" i="68"/>
  <c r="AF915" i="68"/>
  <c r="AG1107" i="68"/>
  <c r="AG1106" i="68"/>
  <c r="AJ948" i="68"/>
  <c r="AJ950" i="68" s="1"/>
  <c r="AH950" i="68"/>
  <c r="D1033" i="68"/>
  <c r="G1007" i="68"/>
  <c r="I1059" i="68"/>
  <c r="Y1059" i="68" s="1"/>
  <c r="G981" i="68"/>
  <c r="M1006" i="62"/>
  <c r="O979" i="62"/>
  <c r="U1004" i="62"/>
  <c r="T1004" i="62"/>
  <c r="U978" i="62"/>
  <c r="S1005" i="62"/>
  <c r="T978" i="62"/>
  <c r="E1107" i="62"/>
  <c r="F1006" i="62"/>
  <c r="AH887" i="62"/>
  <c r="AF889" i="62"/>
  <c r="H1033" i="62"/>
  <c r="X1033" i="62" s="1"/>
  <c r="AH988" i="62"/>
  <c r="AH953" i="62"/>
  <c r="R953" i="62"/>
  <c r="R955" i="62" s="1"/>
  <c r="F955" i="62"/>
  <c r="E980" i="62"/>
  <c r="E1007" i="62" s="1"/>
  <c r="AJ922" i="62"/>
  <c r="AJ924" i="62" s="1"/>
  <c r="AH924" i="62"/>
  <c r="I1033" i="62"/>
  <c r="Y1033" i="62" s="1"/>
  <c r="G981" i="62"/>
  <c r="G955" i="62"/>
  <c r="D1007" i="62"/>
  <c r="I131" i="2"/>
  <c r="G974" i="61"/>
  <c r="AJ853" i="61"/>
  <c r="AJ855" i="61" s="1"/>
  <c r="AF855" i="61"/>
  <c r="AH890" i="61"/>
  <c r="U999" i="61"/>
  <c r="G949" i="61"/>
  <c r="AH919" i="61"/>
  <c r="AH921" i="61" s="1"/>
  <c r="AH954" i="61"/>
  <c r="AS954" i="61" s="1"/>
  <c r="AS956" i="61" s="1"/>
  <c r="R919" i="61"/>
  <c r="R921" i="61" s="1"/>
  <c r="F921" i="61"/>
  <c r="E946" i="61"/>
  <c r="E973" i="61" s="1"/>
  <c r="AK855" i="61"/>
  <c r="U972" i="61"/>
  <c r="T972" i="61"/>
  <c r="D956" i="53"/>
  <c r="D931" i="53"/>
  <c r="E929" i="53"/>
  <c r="E956" i="53" s="1"/>
  <c r="C956" i="53"/>
  <c r="C931" i="53"/>
  <c r="E1056" i="53"/>
  <c r="Q928" i="53"/>
  <c r="P955" i="53"/>
  <c r="C1056" i="53"/>
  <c r="R928" i="53"/>
  <c r="R954" i="53"/>
  <c r="Q954" i="53"/>
  <c r="H841" i="49"/>
  <c r="H869" i="49"/>
  <c r="H823" i="49"/>
  <c r="D276" i="49"/>
  <c r="E812" i="49"/>
  <c r="E275" i="49"/>
  <c r="R275" i="49" s="1"/>
  <c r="D131" i="49"/>
  <c r="E131" i="2"/>
  <c r="F1042" i="82" l="1"/>
  <c r="F1069" i="82" s="1"/>
  <c r="M1042" i="82"/>
  <c r="M1069" i="82" s="1"/>
  <c r="X1095" i="82"/>
  <c r="T1095" i="82"/>
  <c r="U1095" i="82"/>
  <c r="O1068" i="82"/>
  <c r="Q1041" i="82"/>
  <c r="R1041" i="82" s="1"/>
  <c r="S1041" i="82" s="1"/>
  <c r="AJ949" i="82"/>
  <c r="AH951" i="82"/>
  <c r="B1043" i="82"/>
  <c r="R1017" i="82"/>
  <c r="AS1015" i="82"/>
  <c r="AH1017" i="82"/>
  <c r="G1070" i="82"/>
  <c r="AK949" i="82"/>
  <c r="AK951" i="82" s="1"/>
  <c r="G1045" i="82"/>
  <c r="AS1050" i="82"/>
  <c r="AS1052" i="82" s="1"/>
  <c r="AH1052" i="82"/>
  <c r="AH1145" i="82"/>
  <c r="AH1146" i="82"/>
  <c r="X132" i="2"/>
  <c r="Y132" i="2"/>
  <c r="Z132" i="2"/>
  <c r="F1002" i="81"/>
  <c r="AS971" i="81"/>
  <c r="AH971" i="81"/>
  <c r="AE936" i="81"/>
  <c r="AF936" i="81" s="1"/>
  <c r="G1002" i="81"/>
  <c r="T1059" i="79"/>
  <c r="F1034" i="79"/>
  <c r="F1061" i="79" s="1"/>
  <c r="M1034" i="79"/>
  <c r="O1034" i="79" s="1"/>
  <c r="AJ941" i="79"/>
  <c r="AH943" i="79"/>
  <c r="B1035" i="79"/>
  <c r="R1009" i="79"/>
  <c r="AS1042" i="79"/>
  <c r="AS1044" i="79" s="1"/>
  <c r="AH1044" i="79"/>
  <c r="X1087" i="79"/>
  <c r="T1087" i="79"/>
  <c r="U1087" i="79"/>
  <c r="G1062" i="79"/>
  <c r="AK941" i="79"/>
  <c r="AK943" i="79" s="1"/>
  <c r="G1037" i="79"/>
  <c r="AS1007" i="79"/>
  <c r="AH1009" i="79"/>
  <c r="AH1137" i="79"/>
  <c r="AH1138" i="79"/>
  <c r="Q1033" i="79"/>
  <c r="R1033" i="79" s="1"/>
  <c r="S1033" i="79" s="1"/>
  <c r="O1060" i="79"/>
  <c r="M1047" i="78"/>
  <c r="M1074" i="78" s="1"/>
  <c r="F1047" i="78"/>
  <c r="F1074" i="78" s="1"/>
  <c r="B1048" i="78"/>
  <c r="R1022" i="78"/>
  <c r="AS1020" i="78"/>
  <c r="AH1022" i="78"/>
  <c r="G1075" i="78"/>
  <c r="AK954" i="78"/>
  <c r="AK956" i="78" s="1"/>
  <c r="G1050" i="78"/>
  <c r="AS1055" i="78"/>
  <c r="AS1057" i="78" s="1"/>
  <c r="AH1057" i="78"/>
  <c r="AH1150" i="78"/>
  <c r="AH1151" i="78"/>
  <c r="X1100" i="78"/>
  <c r="T1100" i="78"/>
  <c r="U1100" i="78"/>
  <c r="O1073" i="78"/>
  <c r="Q1046" i="78"/>
  <c r="R1046" i="78" s="1"/>
  <c r="S1046" i="78" s="1"/>
  <c r="AJ954" i="78"/>
  <c r="AH956" i="78"/>
  <c r="F1018" i="71"/>
  <c r="F1045" i="71" s="1"/>
  <c r="O1044" i="71"/>
  <c r="Q1044" i="71" s="1"/>
  <c r="R1044" i="71" s="1"/>
  <c r="M1018" i="71"/>
  <c r="M1045" i="71" s="1"/>
  <c r="S1044" i="71"/>
  <c r="T1017" i="71"/>
  <c r="U1017" i="71"/>
  <c r="B1019" i="71"/>
  <c r="R993" i="71"/>
  <c r="AS991" i="71"/>
  <c r="AH993" i="71"/>
  <c r="AS1026" i="71"/>
  <c r="AS1028" i="71" s="1"/>
  <c r="AH1028" i="71"/>
  <c r="AH1121" i="71"/>
  <c r="AH1122" i="71"/>
  <c r="AJ925" i="71"/>
  <c r="AH927" i="71"/>
  <c r="G1046" i="71"/>
  <c r="AK925" i="71"/>
  <c r="AK927" i="71" s="1"/>
  <c r="G1021" i="71"/>
  <c r="X1071" i="71"/>
  <c r="T1071" i="71"/>
  <c r="U1071" i="71"/>
  <c r="M1006" i="68"/>
  <c r="M1033" i="68" s="1"/>
  <c r="T1031" i="68"/>
  <c r="U1031" i="68"/>
  <c r="Q1005" i="68"/>
  <c r="R1005" i="68" s="1"/>
  <c r="S1005" i="68" s="1"/>
  <c r="O1032" i="68"/>
  <c r="Q1032" i="68" s="1"/>
  <c r="R1032" i="68" s="1"/>
  <c r="F1006" i="68"/>
  <c r="AJ913" i="68"/>
  <c r="AH915" i="68"/>
  <c r="AS979" i="68"/>
  <c r="AH981" i="68"/>
  <c r="AS1014" i="68"/>
  <c r="AS1016" i="68" s="1"/>
  <c r="AH1016" i="68"/>
  <c r="AH1109" i="68"/>
  <c r="AH1110" i="68"/>
  <c r="X1059" i="68"/>
  <c r="U1059" i="68"/>
  <c r="T1059" i="68"/>
  <c r="G1034" i="68"/>
  <c r="AK913" i="68"/>
  <c r="AK915" i="68" s="1"/>
  <c r="G1009" i="68"/>
  <c r="B1007" i="68"/>
  <c r="B1009" i="68" s="1"/>
  <c r="T1005" i="62"/>
  <c r="U1005" i="62"/>
  <c r="O1006" i="62"/>
  <c r="Q1006" i="62" s="1"/>
  <c r="R1006" i="62" s="1"/>
  <c r="Q979" i="62"/>
  <c r="S979" i="62" s="1"/>
  <c r="M980" i="62"/>
  <c r="AH1084" i="62"/>
  <c r="AH1083" i="62"/>
  <c r="AG1083" i="62"/>
  <c r="AG1084" i="62"/>
  <c r="AF1084" i="62"/>
  <c r="AF1083" i="62"/>
  <c r="F980" i="62"/>
  <c r="F1007" i="62" s="1"/>
  <c r="U1033" i="62"/>
  <c r="T1033" i="62"/>
  <c r="AS988" i="62"/>
  <c r="AS990" i="62" s="1"/>
  <c r="AH990" i="62"/>
  <c r="G1008" i="62"/>
  <c r="AK887" i="62"/>
  <c r="AK889" i="62" s="1"/>
  <c r="G983" i="62"/>
  <c r="B981" i="62"/>
  <c r="B983" i="62" s="1"/>
  <c r="AS953" i="62"/>
  <c r="AH955" i="62"/>
  <c r="AJ887" i="62"/>
  <c r="AH889" i="62"/>
  <c r="T133" i="2"/>
  <c r="AL853" i="61"/>
  <c r="AL855" i="61" s="1"/>
  <c r="AS919" i="61"/>
  <c r="AH956" i="61"/>
  <c r="B947" i="61"/>
  <c r="C947" i="61" s="1"/>
  <c r="E947" i="61" s="1"/>
  <c r="E974" i="61" s="1"/>
  <c r="F946" i="61"/>
  <c r="F973" i="61" s="1"/>
  <c r="F929" i="53"/>
  <c r="Q955" i="53"/>
  <c r="R955" i="53"/>
  <c r="D132" i="49"/>
  <c r="D64" i="49"/>
  <c r="E131" i="49"/>
  <c r="R131" i="49" s="1"/>
  <c r="D812" i="49"/>
  <c r="E823" i="49"/>
  <c r="E841" i="49"/>
  <c r="AR838" i="49"/>
  <c r="AR849" i="49" s="1"/>
  <c r="E869" i="49"/>
  <c r="J949" i="49"/>
  <c r="AI904" i="49"/>
  <c r="AI915" i="49" s="1"/>
  <c r="AI803" i="49"/>
  <c r="AI814" i="49" s="1"/>
  <c r="H880" i="49"/>
  <c r="AI869" i="49"/>
  <c r="AI880" i="49" s="1"/>
  <c r="O1042" i="82" l="1"/>
  <c r="O1069" i="82" s="1"/>
  <c r="AU1015" i="82"/>
  <c r="D1043" i="82"/>
  <c r="AS1017" i="82"/>
  <c r="AU1017" i="82" s="1"/>
  <c r="AL949" i="82"/>
  <c r="AL951" i="82" s="1"/>
  <c r="AJ951" i="82"/>
  <c r="Q1068" i="82"/>
  <c r="R1068" i="82" s="1"/>
  <c r="C1043" i="82"/>
  <c r="E1043" i="82" s="1"/>
  <c r="E1070" i="82" s="1"/>
  <c r="B1070" i="82"/>
  <c r="B1045" i="82"/>
  <c r="S1068" i="82"/>
  <c r="U1041" i="82"/>
  <c r="T1041" i="82"/>
  <c r="AG1145" i="82"/>
  <c r="AG1146" i="82"/>
  <c r="U133" i="2"/>
  <c r="X134" i="2" s="1"/>
  <c r="H1082" i="81"/>
  <c r="AH1037" i="81"/>
  <c r="AH1002" i="81"/>
  <c r="R1002" i="81"/>
  <c r="G1030" i="81"/>
  <c r="I1082" i="81"/>
  <c r="Y1082" i="81" s="1"/>
  <c r="AH936" i="81"/>
  <c r="AJ971" i="81"/>
  <c r="M1061" i="79"/>
  <c r="AL941" i="79"/>
  <c r="AL943" i="79" s="1"/>
  <c r="AJ943" i="79"/>
  <c r="AG1137" i="79"/>
  <c r="AG1138" i="79"/>
  <c r="Q1060" i="79"/>
  <c r="R1060" i="79" s="1"/>
  <c r="D1035" i="79"/>
  <c r="AU1007" i="79"/>
  <c r="AS1009" i="79"/>
  <c r="AU1009" i="79" s="1"/>
  <c r="S1060" i="79"/>
  <c r="U1033" i="79"/>
  <c r="T1033" i="79"/>
  <c r="B1062" i="79"/>
  <c r="C1035" i="79"/>
  <c r="E1035" i="79" s="1"/>
  <c r="E1062" i="79" s="1"/>
  <c r="B1037" i="79"/>
  <c r="Q1034" i="79"/>
  <c r="R1034" i="79" s="1"/>
  <c r="S1034" i="79" s="1"/>
  <c r="O1061" i="79"/>
  <c r="O1047" i="78"/>
  <c r="Q1047" i="78" s="1"/>
  <c r="R1047" i="78" s="1"/>
  <c r="S1047" i="78" s="1"/>
  <c r="AL954" i="78"/>
  <c r="AL956" i="78" s="1"/>
  <c r="AJ956" i="78"/>
  <c r="AG1150" i="78"/>
  <c r="AG1151" i="78"/>
  <c r="B1075" i="78"/>
  <c r="C1048" i="78"/>
  <c r="B1050" i="78"/>
  <c r="Q1073" i="78"/>
  <c r="R1073" i="78" s="1"/>
  <c r="D1048" i="78"/>
  <c r="AU1020" i="78"/>
  <c r="AS1022" i="78"/>
  <c r="AU1022" i="78" s="1"/>
  <c r="S1073" i="78"/>
  <c r="U1046" i="78"/>
  <c r="T1046" i="78"/>
  <c r="O1018" i="71"/>
  <c r="Q1018" i="71" s="1"/>
  <c r="R1018" i="71" s="1"/>
  <c r="S1018" i="71" s="1"/>
  <c r="C1019" i="71"/>
  <c r="B1046" i="71"/>
  <c r="B1021" i="71"/>
  <c r="AG1121" i="71"/>
  <c r="AG1122" i="71"/>
  <c r="AL925" i="71"/>
  <c r="AL927" i="71" s="1"/>
  <c r="AJ927" i="71"/>
  <c r="AU991" i="71"/>
  <c r="D1019" i="71"/>
  <c r="AS993" i="71"/>
  <c r="AU993" i="71" s="1"/>
  <c r="U1044" i="71"/>
  <c r="T1044" i="71"/>
  <c r="O1006" i="68"/>
  <c r="Q1006" i="68" s="1"/>
  <c r="R1006" i="68" s="1"/>
  <c r="S1006" i="68" s="1"/>
  <c r="U1005" i="68"/>
  <c r="T1005" i="68"/>
  <c r="S1032" i="68"/>
  <c r="F1033" i="68"/>
  <c r="AG1110" i="68"/>
  <c r="AG1109" i="68"/>
  <c r="D1007" i="68"/>
  <c r="AU979" i="68"/>
  <c r="AS981" i="68"/>
  <c r="AU981" i="68" s="1"/>
  <c r="C1007" i="68"/>
  <c r="B1034" i="68"/>
  <c r="AL913" i="68"/>
  <c r="AL915" i="68" s="1"/>
  <c r="AJ915" i="68"/>
  <c r="S1006" i="62"/>
  <c r="U979" i="62"/>
  <c r="T979" i="62"/>
  <c r="O980" i="62"/>
  <c r="M1007" i="62"/>
  <c r="E1108" i="62"/>
  <c r="D981" i="62"/>
  <c r="AU953" i="62"/>
  <c r="AS955" i="62"/>
  <c r="AU955" i="62" s="1"/>
  <c r="B1008" i="62"/>
  <c r="C981" i="62"/>
  <c r="AL887" i="62"/>
  <c r="AL889" i="62" s="1"/>
  <c r="AJ889" i="62"/>
  <c r="AS921" i="61"/>
  <c r="AU921" i="61" s="1"/>
  <c r="AU919" i="61"/>
  <c r="I133" i="2"/>
  <c r="D947" i="61"/>
  <c r="D949" i="61" s="1"/>
  <c r="C949" i="61"/>
  <c r="B949" i="61"/>
  <c r="B974" i="61"/>
  <c r="C974" i="61"/>
  <c r="S946" i="61"/>
  <c r="E1074" i="61" s="1"/>
  <c r="F956" i="53"/>
  <c r="P929" i="53"/>
  <c r="F931" i="53"/>
  <c r="P931" i="53" s="1"/>
  <c r="AI954" i="49"/>
  <c r="AI962" i="49"/>
  <c r="AI970" i="49"/>
  <c r="AI961" i="49"/>
  <c r="AI963" i="49"/>
  <c r="AI967" i="49"/>
  <c r="AI948" i="49"/>
  <c r="AI956" i="49"/>
  <c r="AI964" i="49"/>
  <c r="AI949" i="49"/>
  <c r="AI965" i="49"/>
  <c r="AI947" i="49"/>
  <c r="AI950" i="49"/>
  <c r="AI958" i="49"/>
  <c r="AI966" i="49"/>
  <c r="AI953" i="49"/>
  <c r="AI969" i="49"/>
  <c r="AI951" i="49"/>
  <c r="AI952" i="49"/>
  <c r="AI960" i="49"/>
  <c r="AI968" i="49"/>
  <c r="AI957" i="49"/>
  <c r="AI955" i="49"/>
  <c r="AI959" i="49"/>
  <c r="E880" i="49"/>
  <c r="G949" i="49"/>
  <c r="AG904" i="49"/>
  <c r="AG915" i="49" s="1"/>
  <c r="AG869" i="49"/>
  <c r="AG880" i="49" s="1"/>
  <c r="D823" i="49"/>
  <c r="AQ838" i="49"/>
  <c r="AQ849" i="49" s="1"/>
  <c r="D841" i="49"/>
  <c r="D869" i="49"/>
  <c r="E64" i="49"/>
  <c r="R64" i="49" s="1"/>
  <c r="D65" i="49"/>
  <c r="D29" i="49"/>
  <c r="C812" i="49"/>
  <c r="Q1042" i="82" l="1"/>
  <c r="R1042" i="82" s="1"/>
  <c r="S1042" i="82" s="1"/>
  <c r="U1042" i="82" s="1"/>
  <c r="T1068" i="82"/>
  <c r="U1068" i="82"/>
  <c r="Q1069" i="82"/>
  <c r="R1069" i="82" s="1"/>
  <c r="C1070" i="82"/>
  <c r="C1045" i="82"/>
  <c r="E1045" i="82" s="1"/>
  <c r="D1070" i="82"/>
  <c r="M1043" i="82"/>
  <c r="F1043" i="82"/>
  <c r="D1045" i="82"/>
  <c r="Z134" i="2"/>
  <c r="Y134" i="2"/>
  <c r="T946" i="81"/>
  <c r="AJ936" i="81"/>
  <c r="T1082" i="81"/>
  <c r="X1082" i="81"/>
  <c r="U1082" i="81"/>
  <c r="AH1110" i="81"/>
  <c r="AH1111" i="81"/>
  <c r="G1057" i="81"/>
  <c r="AK936" i="81"/>
  <c r="B1030" i="81"/>
  <c r="AS1002" i="81"/>
  <c r="AS1037" i="81"/>
  <c r="AL23" i="2"/>
  <c r="S1061" i="79"/>
  <c r="U1034" i="79"/>
  <c r="T1034" i="79"/>
  <c r="U1060" i="79"/>
  <c r="T1060" i="79"/>
  <c r="M1035" i="79"/>
  <c r="F1035" i="79"/>
  <c r="D1062" i="79"/>
  <c r="D1037" i="79"/>
  <c r="C1062" i="79"/>
  <c r="C1037" i="79"/>
  <c r="E1037" i="79" s="1"/>
  <c r="Q1061" i="79"/>
  <c r="R1061" i="79" s="1"/>
  <c r="O1074" i="78"/>
  <c r="Q1074" i="78" s="1"/>
  <c r="R1074" i="78" s="1"/>
  <c r="S1074" i="78"/>
  <c r="T1047" i="78"/>
  <c r="U1047" i="78"/>
  <c r="C1075" i="78"/>
  <c r="C1050" i="78"/>
  <c r="E1050" i="78" s="1"/>
  <c r="T1073" i="78"/>
  <c r="U1073" i="78"/>
  <c r="E1048" i="78"/>
  <c r="E1075" i="78" s="1"/>
  <c r="D1075" i="78"/>
  <c r="D1050" i="78"/>
  <c r="O1045" i="71"/>
  <c r="Q1045" i="71" s="1"/>
  <c r="R1045" i="71" s="1"/>
  <c r="S1045" i="71"/>
  <c r="U1018" i="71"/>
  <c r="T1018" i="71"/>
  <c r="C1046" i="71"/>
  <c r="C1021" i="71"/>
  <c r="E1021" i="71" s="1"/>
  <c r="D1046" i="71"/>
  <c r="D1021" i="71"/>
  <c r="E1019" i="71"/>
  <c r="E1046" i="71" s="1"/>
  <c r="O1033" i="68"/>
  <c r="Q1033" i="68" s="1"/>
  <c r="R1033" i="68" s="1"/>
  <c r="U1006" i="68"/>
  <c r="S1033" i="68"/>
  <c r="T1033" i="68" s="1"/>
  <c r="T1006" i="68"/>
  <c r="T1032" i="68"/>
  <c r="U1032" i="68"/>
  <c r="E1007" i="68"/>
  <c r="E1034" i="68" s="1"/>
  <c r="C1034" i="68"/>
  <c r="C1009" i="68"/>
  <c r="E1009" i="68" s="1"/>
  <c r="D1034" i="68"/>
  <c r="D1009" i="68"/>
  <c r="O1007" i="62"/>
  <c r="Q1007" i="62" s="1"/>
  <c r="R1007" i="62" s="1"/>
  <c r="Q980" i="62"/>
  <c r="S980" i="62" s="1"/>
  <c r="T1006" i="62"/>
  <c r="U1006" i="62"/>
  <c r="C1108" i="62"/>
  <c r="C1008" i="62"/>
  <c r="C983" i="62"/>
  <c r="E983" i="62" s="1"/>
  <c r="E981" i="62"/>
  <c r="E1008" i="62" s="1"/>
  <c r="D1008" i="62"/>
  <c r="D983" i="62"/>
  <c r="E949" i="61"/>
  <c r="D133" i="2"/>
  <c r="Q133" i="2" s="1"/>
  <c r="R133" i="2" s="1"/>
  <c r="D974" i="61"/>
  <c r="F947" i="61"/>
  <c r="F949" i="61" s="1"/>
  <c r="S949" i="61" s="1"/>
  <c r="C1074" i="61"/>
  <c r="S973" i="61"/>
  <c r="U973" i="61" s="1"/>
  <c r="U946" i="61"/>
  <c r="T946" i="61"/>
  <c r="Q929" i="53"/>
  <c r="Q931" i="53" s="1"/>
  <c r="P956" i="53"/>
  <c r="E1057" i="53"/>
  <c r="R929" i="53"/>
  <c r="R931" i="53" s="1"/>
  <c r="C1057" i="53"/>
  <c r="C1060" i="53" s="1"/>
  <c r="AI971" i="49"/>
  <c r="AG951" i="49"/>
  <c r="AG959" i="49"/>
  <c r="AG967" i="49"/>
  <c r="AG952" i="49"/>
  <c r="AG968" i="49"/>
  <c r="AG950" i="49"/>
  <c r="AG953" i="49"/>
  <c r="AG961" i="49"/>
  <c r="AG969" i="49"/>
  <c r="AG956" i="49"/>
  <c r="AG954" i="49"/>
  <c r="AG958" i="49"/>
  <c r="AG955" i="49"/>
  <c r="AG963" i="49"/>
  <c r="AG947" i="49"/>
  <c r="AG960" i="49"/>
  <c r="AG962" i="49"/>
  <c r="AG966" i="49"/>
  <c r="AG949" i="49"/>
  <c r="AG957" i="49"/>
  <c r="AG965" i="49"/>
  <c r="AG948" i="49"/>
  <c r="AG964" i="49"/>
  <c r="AG970" i="49"/>
  <c r="C869" i="49"/>
  <c r="C823" i="49"/>
  <c r="C841" i="49"/>
  <c r="AP838" i="49"/>
  <c r="AP849" i="49" s="1"/>
  <c r="D880" i="49"/>
  <c r="AF904" i="49"/>
  <c r="AF915" i="49" s="1"/>
  <c r="F949" i="49"/>
  <c r="AF869" i="49"/>
  <c r="AF880" i="49" s="1"/>
  <c r="E29" i="49"/>
  <c r="R29" i="49" s="1"/>
  <c r="D30" i="49"/>
  <c r="B812" i="49"/>
  <c r="D19" i="49"/>
  <c r="E133" i="2"/>
  <c r="T1042" i="82" l="1"/>
  <c r="S1069" i="82"/>
  <c r="T1069" i="82" s="1"/>
  <c r="F1070" i="82"/>
  <c r="F1045" i="82"/>
  <c r="O1043" i="82"/>
  <c r="M1070" i="82"/>
  <c r="M1045" i="82"/>
  <c r="O1045" i="82" s="1"/>
  <c r="D1030" i="81"/>
  <c r="AU1002" i="81"/>
  <c r="AG1110" i="81"/>
  <c r="AG1111" i="81"/>
  <c r="B1057" i="81"/>
  <c r="C1030" i="81"/>
  <c r="E1030" i="81" s="1"/>
  <c r="E1057" i="81" s="1"/>
  <c r="AL936" i="81"/>
  <c r="AS972" i="81"/>
  <c r="AE937" i="81"/>
  <c r="AF937" i="81" s="1"/>
  <c r="AH972" i="81"/>
  <c r="F1003" i="81"/>
  <c r="G1003" i="81"/>
  <c r="F1062" i="79"/>
  <c r="F1037" i="79"/>
  <c r="M1062" i="79"/>
  <c r="O1035" i="79"/>
  <c r="M1037" i="79"/>
  <c r="O1037" i="79" s="1"/>
  <c r="U1061" i="79"/>
  <c r="T1061" i="79"/>
  <c r="M1048" i="78"/>
  <c r="M1075" i="78" s="1"/>
  <c r="F1048" i="78"/>
  <c r="F1075" i="78" s="1"/>
  <c r="U1074" i="78"/>
  <c r="T1074" i="78"/>
  <c r="M1019" i="71"/>
  <c r="M1046" i="71" s="1"/>
  <c r="F1019" i="71"/>
  <c r="U1045" i="71"/>
  <c r="T1045" i="71"/>
  <c r="U1033" i="68"/>
  <c r="F1007" i="68"/>
  <c r="F1034" i="68" s="1"/>
  <c r="M1007" i="68"/>
  <c r="M981" i="62"/>
  <c r="M1008" i="62" s="1"/>
  <c r="S1007" i="62"/>
  <c r="U980" i="62"/>
  <c r="T980" i="62"/>
  <c r="F981" i="62"/>
  <c r="F983" i="62" s="1"/>
  <c r="T135" i="2"/>
  <c r="C135" i="2" s="1"/>
  <c r="S947" i="61"/>
  <c r="F974" i="61"/>
  <c r="T973" i="61"/>
  <c r="R956" i="53"/>
  <c r="Q956" i="53"/>
  <c r="E1060" i="53"/>
  <c r="F1057" i="53"/>
  <c r="AF952" i="49"/>
  <c r="AF960" i="49"/>
  <c r="AF968" i="49"/>
  <c r="AF955" i="49"/>
  <c r="AF947" i="49"/>
  <c r="AF965" i="49"/>
  <c r="AF954" i="49"/>
  <c r="AF962" i="49"/>
  <c r="AF970" i="49"/>
  <c r="AF959" i="49"/>
  <c r="AF949" i="49"/>
  <c r="AF948" i="49"/>
  <c r="AF956" i="49"/>
  <c r="AF964" i="49"/>
  <c r="AF957" i="49"/>
  <c r="AF963" i="49"/>
  <c r="AF953" i="49"/>
  <c r="AF950" i="49"/>
  <c r="AF958" i="49"/>
  <c r="AF966" i="49"/>
  <c r="AF951" i="49"/>
  <c r="AF967" i="49"/>
  <c r="AF961" i="49"/>
  <c r="AF969" i="49"/>
  <c r="AG971" i="49"/>
  <c r="E19" i="49"/>
  <c r="R19" i="49" s="1"/>
  <c r="E20" i="49"/>
  <c r="R20" i="49" s="1"/>
  <c r="AN803" i="49"/>
  <c r="AG803" i="49"/>
  <c r="B823" i="49"/>
  <c r="AO838" i="49"/>
  <c r="B841" i="49"/>
  <c r="B869" i="49"/>
  <c r="E949" i="49"/>
  <c r="AE869" i="49"/>
  <c r="AE880" i="49" s="1"/>
  <c r="C880" i="49"/>
  <c r="AE904" i="49"/>
  <c r="AE915" i="49" s="1"/>
  <c r="B135" i="2"/>
  <c r="U1069" i="82" l="1"/>
  <c r="O1070" i="82"/>
  <c r="Q1043" i="82"/>
  <c r="Q1045" i="82" s="1"/>
  <c r="P1045" i="82" s="1"/>
  <c r="T947" i="81"/>
  <c r="D1057" i="81"/>
  <c r="F1030" i="81"/>
  <c r="M1030" i="81"/>
  <c r="I1083" i="81"/>
  <c r="Y1083" i="81" s="1"/>
  <c r="G1031" i="81"/>
  <c r="AH1038" i="81"/>
  <c r="H1083" i="81"/>
  <c r="AH1003" i="81"/>
  <c r="R1003" i="81"/>
  <c r="C1057" i="81"/>
  <c r="AH937" i="81"/>
  <c r="AJ972" i="81"/>
  <c r="AL24" i="2"/>
  <c r="O1062" i="79"/>
  <c r="Q1035" i="79"/>
  <c r="Q1037" i="79" s="1"/>
  <c r="P1037" i="79" s="1"/>
  <c r="M1050" i="78"/>
  <c r="O1050" i="78" s="1"/>
  <c r="O1048" i="78"/>
  <c r="Q1048" i="78" s="1"/>
  <c r="Q1050" i="78" s="1"/>
  <c r="F1050" i="78"/>
  <c r="M1021" i="71"/>
  <c r="O1021" i="71" s="1"/>
  <c r="O1019" i="71"/>
  <c r="O1046" i="71" s="1"/>
  <c r="F1046" i="71"/>
  <c r="F1021" i="71"/>
  <c r="M1009" i="68"/>
  <c r="O1009" i="68" s="1"/>
  <c r="O1007" i="68"/>
  <c r="M1034" i="68"/>
  <c r="F1009" i="68"/>
  <c r="O981" i="62"/>
  <c r="O1008" i="62" s="1"/>
  <c r="Q1008" i="62" s="1"/>
  <c r="R1008" i="62" s="1"/>
  <c r="M983" i="62"/>
  <c r="O983" i="62" s="1"/>
  <c r="U1007" i="62"/>
  <c r="T1007" i="62"/>
  <c r="F1008" i="62"/>
  <c r="E1109" i="62"/>
  <c r="I135" i="2"/>
  <c r="U135" i="2"/>
  <c r="W135" i="2" s="1"/>
  <c r="D135" i="2"/>
  <c r="C1075" i="61"/>
  <c r="C1078" i="61" s="1"/>
  <c r="S974" i="61"/>
  <c r="T947" i="61"/>
  <c r="T949" i="61" s="1"/>
  <c r="E1075" i="61"/>
  <c r="U947" i="61"/>
  <c r="U949" i="61" s="1"/>
  <c r="AE954" i="49"/>
  <c r="AS954" i="49" s="1"/>
  <c r="AE962" i="49"/>
  <c r="AS962" i="49" s="1"/>
  <c r="AE970" i="49"/>
  <c r="AS970" i="49" s="1"/>
  <c r="AE963" i="49"/>
  <c r="AS963" i="49" s="1"/>
  <c r="AE969" i="49"/>
  <c r="AS969" i="49" s="1"/>
  <c r="AE947" i="49"/>
  <c r="AE948" i="49"/>
  <c r="AS948" i="49" s="1"/>
  <c r="AE956" i="49"/>
  <c r="AS956" i="49" s="1"/>
  <c r="AE964" i="49"/>
  <c r="AS964" i="49" s="1"/>
  <c r="AE951" i="49"/>
  <c r="AS951" i="49" s="1"/>
  <c r="AE967" i="49"/>
  <c r="AS967" i="49" s="1"/>
  <c r="AE949" i="49"/>
  <c r="AS949" i="49" s="1"/>
  <c r="AE950" i="49"/>
  <c r="AS950" i="49" s="1"/>
  <c r="AE958" i="49"/>
  <c r="AS958" i="49" s="1"/>
  <c r="AE966" i="49"/>
  <c r="AS966" i="49" s="1"/>
  <c r="AE955" i="49"/>
  <c r="AS955" i="49" s="1"/>
  <c r="AE953" i="49"/>
  <c r="AS953" i="49" s="1"/>
  <c r="AE957" i="49"/>
  <c r="AS957" i="49" s="1"/>
  <c r="AE952" i="49"/>
  <c r="AS952" i="49" s="1"/>
  <c r="AE960" i="49"/>
  <c r="AS960" i="49" s="1"/>
  <c r="AE968" i="49"/>
  <c r="AS968" i="49" s="1"/>
  <c r="AE959" i="49"/>
  <c r="AS959" i="49" s="1"/>
  <c r="AE961" i="49"/>
  <c r="AS961" i="49" s="1"/>
  <c r="AE965" i="49"/>
  <c r="AS965" i="49" s="1"/>
  <c r="AF971" i="49"/>
  <c r="AG814" i="49"/>
  <c r="AH803" i="49"/>
  <c r="AT838" i="49"/>
  <c r="AT849" i="49" s="1"/>
  <c r="AO849" i="49"/>
  <c r="U949" i="49"/>
  <c r="T949" i="49"/>
  <c r="AD904" i="49"/>
  <c r="AD869" i="49"/>
  <c r="R976" i="49"/>
  <c r="B880" i="49"/>
  <c r="R986" i="49" s="1"/>
  <c r="R869" i="49"/>
  <c r="D26" i="25" s="1"/>
  <c r="D36" i="25" s="1"/>
  <c r="E135" i="2"/>
  <c r="R1043" i="82" l="1"/>
  <c r="R1045" i="82" s="1"/>
  <c r="S1045" i="82" s="1"/>
  <c r="Q1070" i="82"/>
  <c r="R1070" i="82" s="1"/>
  <c r="X136" i="2"/>
  <c r="Z136" i="2"/>
  <c r="Y136" i="2"/>
  <c r="AH1104" i="81"/>
  <c r="AS1104" i="81" s="1"/>
  <c r="AH1095" i="81"/>
  <c r="AS1095" i="81" s="1"/>
  <c r="AH1092" i="81"/>
  <c r="AS1092" i="81" s="1"/>
  <c r="U1083" i="81"/>
  <c r="AH1097" i="81"/>
  <c r="AS1097" i="81" s="1"/>
  <c r="AH1091" i="81"/>
  <c r="AS1091" i="81" s="1"/>
  <c r="AH1090" i="81"/>
  <c r="AS1090" i="81" s="1"/>
  <c r="T1083" i="81"/>
  <c r="AH1102" i="81"/>
  <c r="AS1102" i="81" s="1"/>
  <c r="AH1098" i="81"/>
  <c r="AS1098" i="81" s="1"/>
  <c r="AH1085" i="81"/>
  <c r="AS1085" i="81" s="1"/>
  <c r="AH1100" i="81"/>
  <c r="AS1100" i="81" s="1"/>
  <c r="AH1086" i="81"/>
  <c r="AS1086" i="81" s="1"/>
  <c r="X1083" i="81"/>
  <c r="AH1099" i="81"/>
  <c r="AS1099" i="81" s="1"/>
  <c r="AH1094" i="81"/>
  <c r="AS1094" i="81" s="1"/>
  <c r="AH1084" i="81"/>
  <c r="AS1084" i="81" s="1"/>
  <c r="AH1105" i="81"/>
  <c r="AS1105" i="81" s="1"/>
  <c r="AH1101" i="81"/>
  <c r="AS1101" i="81" s="1"/>
  <c r="AH1096" i="81"/>
  <c r="AS1096" i="81" s="1"/>
  <c r="AH1093" i="81"/>
  <c r="AS1093" i="81" s="1"/>
  <c r="AH1082" i="81"/>
  <c r="AH1087" i="81"/>
  <c r="AS1087" i="81" s="1"/>
  <c r="AH1088" i="81"/>
  <c r="AS1088" i="81" s="1"/>
  <c r="AH1103" i="81"/>
  <c r="AS1103" i="81" s="1"/>
  <c r="AH1083" i="81"/>
  <c r="AS1083" i="81" s="1"/>
  <c r="AH1089" i="81"/>
  <c r="AS1089" i="81" s="1"/>
  <c r="AS1038" i="81"/>
  <c r="F1004" i="81"/>
  <c r="AH973" i="81"/>
  <c r="G1004" i="81"/>
  <c r="AE938" i="81"/>
  <c r="AF938" i="81" s="1"/>
  <c r="AS973" i="81"/>
  <c r="AJ937" i="81"/>
  <c r="G1058" i="81"/>
  <c r="AK937" i="81"/>
  <c r="AH1114" i="81"/>
  <c r="AH1113" i="81"/>
  <c r="B1031" i="81"/>
  <c r="M1057" i="81"/>
  <c r="O1030" i="81"/>
  <c r="AS1003" i="81"/>
  <c r="F1057" i="81"/>
  <c r="Q1062" i="79"/>
  <c r="R1062" i="79" s="1"/>
  <c r="R1035" i="79"/>
  <c r="O1075" i="78"/>
  <c r="Q1075" i="78" s="1"/>
  <c r="R1075" i="78" s="1"/>
  <c r="P1050" i="78"/>
  <c r="R1048" i="78"/>
  <c r="R1050" i="78" s="1"/>
  <c r="S1050" i="78" s="1"/>
  <c r="Q1019" i="71"/>
  <c r="Q1021" i="71" s="1"/>
  <c r="P1021" i="71" s="1"/>
  <c r="Q1046" i="71"/>
  <c r="R1046" i="71" s="1"/>
  <c r="Q1007" i="68"/>
  <c r="O1034" i="68"/>
  <c r="Q1034" i="68" s="1"/>
  <c r="R1034" i="68" s="1"/>
  <c r="Q981" i="62"/>
  <c r="Q983" i="62" s="1"/>
  <c r="P983" i="62" s="1"/>
  <c r="C1109" i="62"/>
  <c r="C1112" i="62" s="1"/>
  <c r="E1112" i="62"/>
  <c r="F1109" i="62"/>
  <c r="T137" i="2"/>
  <c r="Q135" i="2"/>
  <c r="R135" i="2" s="1"/>
  <c r="F1075" i="61"/>
  <c r="E1078" i="61"/>
  <c r="T974" i="61"/>
  <c r="U974" i="61"/>
  <c r="AE971" i="49"/>
  <c r="AS947" i="49"/>
  <c r="AS971" i="49" s="1"/>
  <c r="AD880" i="49"/>
  <c r="AS869" i="49"/>
  <c r="R880" i="49"/>
  <c r="B897" i="49"/>
  <c r="AD915" i="49"/>
  <c r="AS904" i="49"/>
  <c r="AS915" i="49" s="1"/>
  <c r="AH814" i="49"/>
  <c r="AJ803" i="49"/>
  <c r="S1043" i="82" l="1"/>
  <c r="S1070" i="82" s="1"/>
  <c r="B1058" i="81"/>
  <c r="C1031" i="81"/>
  <c r="AH938" i="81"/>
  <c r="I1084" i="81"/>
  <c r="Y1084" i="81" s="1"/>
  <c r="G1032" i="81"/>
  <c r="AJ973" i="81"/>
  <c r="H1084" i="81"/>
  <c r="AH1039" i="81"/>
  <c r="AH1004" i="81"/>
  <c r="R1004" i="81"/>
  <c r="AH1106" i="81"/>
  <c r="AS1082" i="81"/>
  <c r="AG1113" i="81"/>
  <c r="AG1114" i="81"/>
  <c r="O1057" i="81"/>
  <c r="Q1057" i="81" s="1"/>
  <c r="R1057" i="81" s="1"/>
  <c r="Q1030" i="81"/>
  <c r="R1030" i="81" s="1"/>
  <c r="S1030" i="81" s="1"/>
  <c r="AL937" i="81"/>
  <c r="AU1003" i="81"/>
  <c r="D1031" i="81"/>
  <c r="R1037" i="79"/>
  <c r="S1037" i="79" s="1"/>
  <c r="S1035" i="79"/>
  <c r="S1048" i="78"/>
  <c r="T1048" i="78" s="1"/>
  <c r="T1050" i="78" s="1"/>
  <c r="R1019" i="71"/>
  <c r="R1021" i="71" s="1"/>
  <c r="S1021" i="71" s="1"/>
  <c r="R1007" i="68"/>
  <c r="Q1009" i="68"/>
  <c r="P1009" i="68" s="1"/>
  <c r="R983" i="62"/>
  <c r="S983" i="62" s="1"/>
  <c r="I137" i="2"/>
  <c r="C137" i="2"/>
  <c r="U137" i="2"/>
  <c r="W137" i="2" s="1"/>
  <c r="AT966" i="49"/>
  <c r="AU966" i="49" s="1"/>
  <c r="AX966" i="49" s="1"/>
  <c r="AT958" i="49"/>
  <c r="AU958" i="49" s="1"/>
  <c r="AX958" i="49" s="1"/>
  <c r="AT960" i="49"/>
  <c r="AU960" i="49" s="1"/>
  <c r="AX960" i="49" s="1"/>
  <c r="AT968" i="49"/>
  <c r="AU968" i="49" s="1"/>
  <c r="AX968" i="49" s="1"/>
  <c r="AT948" i="49"/>
  <c r="AU948" i="49" s="1"/>
  <c r="AX948" i="49" s="1"/>
  <c r="AT953" i="49"/>
  <c r="AU953" i="49" s="1"/>
  <c r="AX953" i="49" s="1"/>
  <c r="AT947" i="49"/>
  <c r="AT964" i="49"/>
  <c r="AU964" i="49" s="1"/>
  <c r="AX964" i="49" s="1"/>
  <c r="AT952" i="49"/>
  <c r="AU952" i="49" s="1"/>
  <c r="AX952" i="49" s="1"/>
  <c r="AT955" i="49"/>
  <c r="AU955" i="49" s="1"/>
  <c r="AX955" i="49" s="1"/>
  <c r="AT963" i="49"/>
  <c r="AU963" i="49" s="1"/>
  <c r="AX963" i="49" s="1"/>
  <c r="AT962" i="49"/>
  <c r="AU962" i="49" s="1"/>
  <c r="AX962" i="49" s="1"/>
  <c r="AT961" i="49"/>
  <c r="AU961" i="49" s="1"/>
  <c r="AX961" i="49" s="1"/>
  <c r="AT969" i="49"/>
  <c r="AU969" i="49" s="1"/>
  <c r="AX969" i="49" s="1"/>
  <c r="AT949" i="49"/>
  <c r="AU949" i="49" s="1"/>
  <c r="AX949" i="49" s="1"/>
  <c r="AT951" i="49"/>
  <c r="AU951" i="49" s="1"/>
  <c r="AX951" i="49" s="1"/>
  <c r="AT967" i="49"/>
  <c r="AU967" i="49" s="1"/>
  <c r="AX967" i="49" s="1"/>
  <c r="AT970" i="49"/>
  <c r="AU970" i="49" s="1"/>
  <c r="AX970" i="49" s="1"/>
  <c r="AT954" i="49"/>
  <c r="AU954" i="49" s="1"/>
  <c r="AX954" i="49" s="1"/>
  <c r="AT950" i="49"/>
  <c r="AU950" i="49" s="1"/>
  <c r="AX950" i="49" s="1"/>
  <c r="AT956" i="49"/>
  <c r="AU956" i="49" s="1"/>
  <c r="AX956" i="49" s="1"/>
  <c r="AT959" i="49"/>
  <c r="AU959" i="49" s="1"/>
  <c r="AX959" i="49" s="1"/>
  <c r="AT957" i="49"/>
  <c r="AU957" i="49" s="1"/>
  <c r="AX957" i="49" s="1"/>
  <c r="AT965" i="49"/>
  <c r="AU965" i="49" s="1"/>
  <c r="AX965" i="49" s="1"/>
  <c r="AL803" i="49"/>
  <c r="AL814" i="49" s="1"/>
  <c r="AJ814" i="49"/>
  <c r="B924" i="49"/>
  <c r="C897" i="49"/>
  <c r="E897" i="49" s="1"/>
  <c r="E924" i="49" s="1"/>
  <c r="B908" i="49"/>
  <c r="E908" i="49" s="1"/>
  <c r="D897" i="49"/>
  <c r="AS880" i="49"/>
  <c r="B137" i="2"/>
  <c r="U1043" i="82" l="1"/>
  <c r="U1045" i="82" s="1"/>
  <c r="T1043" i="82"/>
  <c r="T1045" i="82" s="1"/>
  <c r="T1070" i="82"/>
  <c r="U1070" i="82"/>
  <c r="X138" i="2"/>
  <c r="Z138" i="2"/>
  <c r="Y138" i="2"/>
  <c r="T948" i="81"/>
  <c r="AS1106" i="81"/>
  <c r="AK938" i="81"/>
  <c r="G1059" i="81"/>
  <c r="T1030" i="81"/>
  <c r="S1057" i="81"/>
  <c r="U1030" i="81"/>
  <c r="B1032" i="81"/>
  <c r="AH1117" i="81"/>
  <c r="AH1116" i="81"/>
  <c r="AS1004" i="81"/>
  <c r="AS1039" i="81"/>
  <c r="AJ938" i="81"/>
  <c r="X1084" i="81"/>
  <c r="U1084" i="81"/>
  <c r="T1084" i="81"/>
  <c r="D1058" i="81"/>
  <c r="E1031" i="81"/>
  <c r="E1058" i="81" s="1"/>
  <c r="C1058" i="81"/>
  <c r="AL25" i="2"/>
  <c r="U1035" i="79"/>
  <c r="U1037" i="79" s="1"/>
  <c r="S1062" i="79"/>
  <c r="T1035" i="79"/>
  <c r="T1037" i="79" s="1"/>
  <c r="S1075" i="78"/>
  <c r="T1075" i="78" s="1"/>
  <c r="U1048" i="78"/>
  <c r="U1050" i="78" s="1"/>
  <c r="S1019" i="71"/>
  <c r="S1046" i="71" s="1"/>
  <c r="R1009" i="68"/>
  <c r="S1009" i="68" s="1"/>
  <c r="S1007" i="68"/>
  <c r="S981" i="62"/>
  <c r="U981" i="62" s="1"/>
  <c r="U983" i="62" s="1"/>
  <c r="D137" i="2"/>
  <c r="Q137" i="2" s="1"/>
  <c r="R137" i="2" s="1"/>
  <c r="AT971" i="49"/>
  <c r="AU947" i="49"/>
  <c r="D924" i="49"/>
  <c r="D908" i="49"/>
  <c r="F897" i="49"/>
  <c r="C924" i="49"/>
  <c r="C908" i="49"/>
  <c r="E137" i="2"/>
  <c r="F1031" i="81" l="1"/>
  <c r="F1058" i="81" s="1"/>
  <c r="M1031" i="81"/>
  <c r="O1031" i="81" s="1"/>
  <c r="B1059" i="81"/>
  <c r="C1032" i="81"/>
  <c r="E1032" i="81" s="1"/>
  <c r="E1059" i="81" s="1"/>
  <c r="AT1082" i="81"/>
  <c r="AT1091" i="81"/>
  <c r="AU1091" i="81" s="1"/>
  <c r="AT1083" i="81"/>
  <c r="AU1083" i="81" s="1"/>
  <c r="AT1089" i="81"/>
  <c r="AU1089" i="81" s="1"/>
  <c r="AT1094" i="81"/>
  <c r="AU1094" i="81" s="1"/>
  <c r="AT1100" i="81"/>
  <c r="AU1100" i="81" s="1"/>
  <c r="AT1096" i="81"/>
  <c r="AU1096" i="81" s="1"/>
  <c r="AT1084" i="81"/>
  <c r="AU1084" i="81" s="1"/>
  <c r="AT1095" i="81"/>
  <c r="AU1095" i="81" s="1"/>
  <c r="AT1086" i="81"/>
  <c r="AU1086" i="81" s="1"/>
  <c r="AT1097" i="81"/>
  <c r="AU1097" i="81" s="1"/>
  <c r="AT1087" i="81"/>
  <c r="AU1087" i="81" s="1"/>
  <c r="AT1085" i="81"/>
  <c r="AU1085" i="81" s="1"/>
  <c r="AT1103" i="81"/>
  <c r="AU1103" i="81" s="1"/>
  <c r="AT1102" i="81"/>
  <c r="AU1102" i="81" s="1"/>
  <c r="AT1099" i="81"/>
  <c r="AU1099" i="81" s="1"/>
  <c r="AT1088" i="81"/>
  <c r="AU1088" i="81" s="1"/>
  <c r="AT1105" i="81"/>
  <c r="AU1105" i="81" s="1"/>
  <c r="AT1093" i="81"/>
  <c r="AU1093" i="81" s="1"/>
  <c r="AT1098" i="81"/>
  <c r="AU1098" i="81" s="1"/>
  <c r="AT1092" i="81"/>
  <c r="AU1092" i="81" s="1"/>
  <c r="AT1090" i="81"/>
  <c r="AU1090" i="81" s="1"/>
  <c r="AT1104" i="81"/>
  <c r="AU1104" i="81" s="1"/>
  <c r="AT1101" i="81"/>
  <c r="AU1101" i="81" s="1"/>
  <c r="AE939" i="81"/>
  <c r="AF939" i="81" s="1"/>
  <c r="AH974" i="81"/>
  <c r="F1005" i="81"/>
  <c r="AS974" i="81"/>
  <c r="G1005" i="81"/>
  <c r="U1057" i="81"/>
  <c r="T1057" i="81"/>
  <c r="AL938" i="81"/>
  <c r="AU1004" i="81"/>
  <c r="D1032" i="81"/>
  <c r="AG1116" i="81"/>
  <c r="AG1117" i="81"/>
  <c r="U1062" i="79"/>
  <c r="T1062" i="79"/>
  <c r="U1075" i="78"/>
  <c r="U1019" i="71"/>
  <c r="U1021" i="71" s="1"/>
  <c r="T1019" i="71"/>
  <c r="T1021" i="71" s="1"/>
  <c r="U1046" i="71"/>
  <c r="T1046" i="71"/>
  <c r="S1034" i="68"/>
  <c r="T1007" i="68"/>
  <c r="T1009" i="68" s="1"/>
  <c r="U1007" i="68"/>
  <c r="U1009" i="68" s="1"/>
  <c r="S1008" i="62"/>
  <c r="T1008" i="62" s="1"/>
  <c r="T981" i="62"/>
  <c r="T983" i="62" s="1"/>
  <c r="T139" i="2"/>
  <c r="C139" i="2" s="1"/>
  <c r="AU971" i="49"/>
  <c r="AX947" i="49"/>
  <c r="AX971" i="49" s="1"/>
  <c r="P897" i="49"/>
  <c r="F924" i="49"/>
  <c r="F908" i="49"/>
  <c r="P908" i="49" s="1"/>
  <c r="B139" i="2"/>
  <c r="M1058" i="81" l="1"/>
  <c r="T949" i="81"/>
  <c r="AH939" i="81"/>
  <c r="AT1106" i="81"/>
  <c r="AU1082" i="81"/>
  <c r="C1059" i="81"/>
  <c r="D1059" i="81"/>
  <c r="F1032" i="81"/>
  <c r="M1032" i="81"/>
  <c r="I1085" i="81"/>
  <c r="Y1085" i="81" s="1"/>
  <c r="G1033" i="81"/>
  <c r="H1085" i="81"/>
  <c r="AH1040" i="81"/>
  <c r="AH1005" i="81"/>
  <c r="R1005" i="81"/>
  <c r="AW1105" i="81"/>
  <c r="AX1105" i="81" s="1"/>
  <c r="AW1099" i="81"/>
  <c r="AX1099" i="81" s="1"/>
  <c r="AW1094" i="81"/>
  <c r="AX1094" i="81" s="1"/>
  <c r="AW1095" i="81"/>
  <c r="AX1095" i="81" s="1"/>
  <c r="AW1102" i="81"/>
  <c r="AX1102" i="81" s="1"/>
  <c r="AW1082" i="81"/>
  <c r="AW1087" i="81"/>
  <c r="AX1087" i="81" s="1"/>
  <c r="AW1088" i="81"/>
  <c r="AX1088" i="81" s="1"/>
  <c r="AW1092" i="81"/>
  <c r="AX1092" i="81" s="1"/>
  <c r="AW1084" i="81"/>
  <c r="AX1084" i="81" s="1"/>
  <c r="AW1103" i="81"/>
  <c r="AX1103" i="81" s="1"/>
  <c r="AW1086" i="81"/>
  <c r="AX1086" i="81" s="1"/>
  <c r="AW1104" i="81"/>
  <c r="AX1104" i="81" s="1"/>
  <c r="AW1093" i="81"/>
  <c r="AX1093" i="81" s="1"/>
  <c r="AW1090" i="81"/>
  <c r="AX1090" i="81" s="1"/>
  <c r="AW1085" i="81"/>
  <c r="AX1085" i="81" s="1"/>
  <c r="AW1091" i="81"/>
  <c r="AX1091" i="81" s="1"/>
  <c r="AW1089" i="81"/>
  <c r="AX1089" i="81" s="1"/>
  <c r="AW1096" i="81"/>
  <c r="AX1096" i="81" s="1"/>
  <c r="AW1101" i="81"/>
  <c r="AX1101" i="81" s="1"/>
  <c r="O1058" i="81"/>
  <c r="Q1058" i="81" s="1"/>
  <c r="R1058" i="81" s="1"/>
  <c r="AW1083" i="81"/>
  <c r="AX1083" i="81" s="1"/>
  <c r="AW1100" i="81"/>
  <c r="AX1100" i="81" s="1"/>
  <c r="AW1097" i="81"/>
  <c r="AX1097" i="81" s="1"/>
  <c r="Q1031" i="81"/>
  <c r="R1031" i="81" s="1"/>
  <c r="AW1098" i="81"/>
  <c r="AX1098" i="81" s="1"/>
  <c r="AJ974" i="81"/>
  <c r="AL26" i="2"/>
  <c r="T1034" i="68"/>
  <c r="U1034" i="68"/>
  <c r="U1008" i="62"/>
  <c r="I139" i="2"/>
  <c r="U139" i="2"/>
  <c r="W139" i="2" s="1"/>
  <c r="D139" i="2"/>
  <c r="R897" i="49"/>
  <c r="R908" i="49" s="1"/>
  <c r="Q897" i="49"/>
  <c r="Q908" i="49" s="1"/>
  <c r="E1025" i="49"/>
  <c r="C1025" i="49"/>
  <c r="C1037" i="49" s="1"/>
  <c r="P924" i="49"/>
  <c r="E139" i="2"/>
  <c r="X140" i="2" l="1"/>
  <c r="Z140" i="2"/>
  <c r="Y140" i="2"/>
  <c r="AS1040" i="81"/>
  <c r="X1085" i="81"/>
  <c r="U1085" i="81"/>
  <c r="T1085" i="81"/>
  <c r="G1060" i="81"/>
  <c r="AK939" i="81"/>
  <c r="AU1106" i="81"/>
  <c r="AX1082" i="81"/>
  <c r="AX1106" i="81" s="1"/>
  <c r="AH1119" i="81"/>
  <c r="AH1120" i="81"/>
  <c r="S1031" i="81"/>
  <c r="B1033" i="81"/>
  <c r="M1059" i="81"/>
  <c r="O1032" i="81"/>
  <c r="AJ939" i="81"/>
  <c r="AW1106" i="81"/>
  <c r="AS1005" i="81"/>
  <c r="F1059" i="81"/>
  <c r="AE940" i="81"/>
  <c r="AF940" i="81" s="1"/>
  <c r="F1006" i="81"/>
  <c r="AH975" i="81"/>
  <c r="G1006" i="81"/>
  <c r="AS975" i="81"/>
  <c r="T141" i="2"/>
  <c r="I141" i="2" s="1"/>
  <c r="Q139" i="2"/>
  <c r="R139" i="2" s="1"/>
  <c r="Q924" i="49"/>
  <c r="R924" i="49"/>
  <c r="F1025" i="49"/>
  <c r="E1037" i="49"/>
  <c r="D1033" i="81" l="1"/>
  <c r="AU1005" i="81"/>
  <c r="H1086" i="81"/>
  <c r="AH1041" i="81"/>
  <c r="AH1006" i="81"/>
  <c r="R1006" i="81"/>
  <c r="S1058" i="81"/>
  <c r="U1031" i="81"/>
  <c r="T1031" i="81"/>
  <c r="I1086" i="81"/>
  <c r="Y1086" i="81" s="1"/>
  <c r="G1034" i="81"/>
  <c r="AH940" i="81"/>
  <c r="AG1119" i="81"/>
  <c r="AG1120" i="81"/>
  <c r="B1060" i="81"/>
  <c r="C1033" i="81"/>
  <c r="AJ975" i="81"/>
  <c r="AL939" i="81"/>
  <c r="O1059" i="81"/>
  <c r="Q1059" i="81" s="1"/>
  <c r="R1059" i="81" s="1"/>
  <c r="Q1032" i="81"/>
  <c r="R1032" i="81" s="1"/>
  <c r="C141" i="2"/>
  <c r="D141" i="2" s="1"/>
  <c r="U141" i="2"/>
  <c r="W141" i="2" s="1"/>
  <c r="B141" i="2"/>
  <c r="X142" i="2" l="1"/>
  <c r="Y142" i="2"/>
  <c r="Z142" i="2"/>
  <c r="T950" i="81"/>
  <c r="AS1006" i="81"/>
  <c r="U1058" i="81"/>
  <c r="T1058" i="81"/>
  <c r="D1060" i="81"/>
  <c r="AJ940" i="81"/>
  <c r="G1061" i="81"/>
  <c r="AK940" i="81"/>
  <c r="E1033" i="81"/>
  <c r="E1060" i="81" s="1"/>
  <c r="C1060" i="81"/>
  <c r="AH1123" i="81"/>
  <c r="AH1122" i="81"/>
  <c r="X1086" i="81"/>
  <c r="U1086" i="81"/>
  <c r="T1086" i="81"/>
  <c r="S1032" i="81"/>
  <c r="B1034" i="81"/>
  <c r="AS1041" i="81"/>
  <c r="AL27" i="2"/>
  <c r="Q141" i="2"/>
  <c r="R141" i="2" s="1"/>
  <c r="E141" i="2"/>
  <c r="F1033" i="81" l="1"/>
  <c r="F1060" i="81" s="1"/>
  <c r="AL940" i="81"/>
  <c r="D1034" i="81"/>
  <c r="AU1006" i="81"/>
  <c r="B1061" i="81"/>
  <c r="C1034" i="81"/>
  <c r="AE941" i="81"/>
  <c r="AF941" i="81" s="1"/>
  <c r="AH941" i="81" s="1"/>
  <c r="AJ941" i="81" s="1"/>
  <c r="AS976" i="81"/>
  <c r="AH976" i="81"/>
  <c r="AJ976" i="81" s="1"/>
  <c r="G1007" i="81"/>
  <c r="F1007" i="81"/>
  <c r="T1032" i="81"/>
  <c r="S1059" i="81"/>
  <c r="U1032" i="81"/>
  <c r="M1033" i="81"/>
  <c r="AG1122" i="81"/>
  <c r="AG1123" i="81"/>
  <c r="T143" i="2"/>
  <c r="I143" i="2" s="1"/>
  <c r="O1033" i="81" l="1"/>
  <c r="M1060" i="81"/>
  <c r="T1059" i="81"/>
  <c r="U1059" i="81"/>
  <c r="E1034" i="81"/>
  <c r="E1061" i="81" s="1"/>
  <c r="C1061" i="81"/>
  <c r="AH1042" i="81"/>
  <c r="AS1042" i="81" s="1"/>
  <c r="AH1007" i="81"/>
  <c r="AS1007" i="81" s="1"/>
  <c r="R1007" i="81"/>
  <c r="B1035" i="81" s="1"/>
  <c r="H1087" i="81"/>
  <c r="G1035" i="81"/>
  <c r="I1087" i="81"/>
  <c r="Y1087" i="81" s="1"/>
  <c r="D1061" i="81"/>
  <c r="C143" i="2"/>
  <c r="U143" i="2"/>
  <c r="W143" i="2" s="1"/>
  <c r="B143" i="2"/>
  <c r="X144" i="2" l="1"/>
  <c r="Z144" i="2"/>
  <c r="Y144" i="2"/>
  <c r="T951" i="81"/>
  <c r="AU1007" i="81"/>
  <c r="D1035" i="81"/>
  <c r="F1034" i="81"/>
  <c r="O1060" i="81"/>
  <c r="Q1060" i="81" s="1"/>
  <c r="R1060" i="81" s="1"/>
  <c r="Q1033" i="81"/>
  <c r="R1033" i="81" s="1"/>
  <c r="M1034" i="81"/>
  <c r="G1062" i="81"/>
  <c r="AK941" i="81"/>
  <c r="AL941" i="81" s="1"/>
  <c r="AH1126" i="81"/>
  <c r="AH1125" i="81"/>
  <c r="X1087" i="81"/>
  <c r="U1087" i="81"/>
  <c r="T1087" i="81"/>
  <c r="B1062" i="81"/>
  <c r="C1035" i="81"/>
  <c r="C1062" i="81" s="1"/>
  <c r="AL28" i="2"/>
  <c r="D143" i="2"/>
  <c r="Q143" i="2" s="1"/>
  <c r="R143" i="2" s="1"/>
  <c r="E143" i="2"/>
  <c r="E1035" i="81" l="1"/>
  <c r="E1062" i="81" s="1"/>
  <c r="AH977" i="81"/>
  <c r="AJ977" i="81" s="1"/>
  <c r="AS977" i="81"/>
  <c r="G1008" i="81"/>
  <c r="F1008" i="81"/>
  <c r="AE942" i="81"/>
  <c r="AF942" i="81" s="1"/>
  <c r="AH942" i="81" s="1"/>
  <c r="AJ942" i="81" s="1"/>
  <c r="O1034" i="81"/>
  <c r="M1061" i="81"/>
  <c r="S1033" i="81"/>
  <c r="AG1126" i="81"/>
  <c r="AG1125" i="81"/>
  <c r="F1061" i="81"/>
  <c r="D1062" i="81"/>
  <c r="T145" i="2"/>
  <c r="I145" i="2" s="1"/>
  <c r="M1035" i="81" l="1"/>
  <c r="M1062" i="81" s="1"/>
  <c r="F1035" i="81"/>
  <c r="F1062" i="81" s="1"/>
  <c r="S1060" i="81"/>
  <c r="U1033" i="81"/>
  <c r="T1033" i="81"/>
  <c r="O1061" i="81"/>
  <c r="Q1061" i="81" s="1"/>
  <c r="R1061" i="81" s="1"/>
  <c r="Q1034" i="81"/>
  <c r="R1034" i="81" s="1"/>
  <c r="H1088" i="81"/>
  <c r="AH1043" i="81"/>
  <c r="AS1043" i="81" s="1"/>
  <c r="AH1008" i="81"/>
  <c r="AS1008" i="81" s="1"/>
  <c r="R1008" i="81"/>
  <c r="B1036" i="81" s="1"/>
  <c r="I1088" i="81"/>
  <c r="Y1088" i="81" s="1"/>
  <c r="G1036" i="81"/>
  <c r="C145" i="2"/>
  <c r="D145" i="2" s="1"/>
  <c r="U145" i="2"/>
  <c r="W145" i="2" s="1"/>
  <c r="P754" i="34"/>
  <c r="Q754" i="34" s="1"/>
  <c r="R754" i="34" s="1"/>
  <c r="T756" i="34" s="1"/>
  <c r="Q350" i="34"/>
  <c r="R350" i="34" s="1"/>
  <c r="P369" i="34"/>
  <c r="P395" i="34" s="1"/>
  <c r="B145" i="2"/>
  <c r="X146" i="2" l="1"/>
  <c r="Y146" i="2"/>
  <c r="Z146" i="2"/>
  <c r="O1035" i="81"/>
  <c r="O1062" i="81" s="1"/>
  <c r="Q1062" i="81" s="1"/>
  <c r="R1062" i="81" s="1"/>
  <c r="T952" i="81"/>
  <c r="U1060" i="81"/>
  <c r="T1060" i="81"/>
  <c r="X1088" i="81"/>
  <c r="U1088" i="81"/>
  <c r="T1088" i="81"/>
  <c r="S1034" i="81"/>
  <c r="AU1008" i="81"/>
  <c r="D1036" i="81"/>
  <c r="G1063" i="81"/>
  <c r="AK942" i="81"/>
  <c r="AL942" i="81" s="1"/>
  <c r="AH1129" i="81"/>
  <c r="AH1128" i="81"/>
  <c r="C1036" i="81"/>
  <c r="C1063" i="81" s="1"/>
  <c r="B1063" i="81"/>
  <c r="AL29" i="2"/>
  <c r="Q145" i="2"/>
  <c r="R145" i="2" s="1"/>
  <c r="P755" i="34"/>
  <c r="P784" i="34" s="1"/>
  <c r="P400" i="34"/>
  <c r="Q395" i="34"/>
  <c r="R395" i="34" s="1"/>
  <c r="Q369" i="34"/>
  <c r="R369" i="34" s="1"/>
  <c r="E145" i="2"/>
  <c r="Q1035" i="81" l="1"/>
  <c r="R1035" i="81" s="1"/>
  <c r="S1035" i="81" s="1"/>
  <c r="S1062" i="81" s="1"/>
  <c r="AE943" i="81"/>
  <c r="AF943" i="81" s="1"/>
  <c r="AH943" i="81" s="1"/>
  <c r="AJ943" i="81" s="1"/>
  <c r="AH978" i="81"/>
  <c r="AJ978" i="81" s="1"/>
  <c r="AS978" i="81"/>
  <c r="G1009" i="81"/>
  <c r="F1009" i="81"/>
  <c r="S1061" i="81"/>
  <c r="T1034" i="81"/>
  <c r="U1034" i="81"/>
  <c r="D1063" i="81"/>
  <c r="AG1129" i="81"/>
  <c r="AG1128" i="81"/>
  <c r="E1036" i="81"/>
  <c r="E1063" i="81" s="1"/>
  <c r="T147" i="2"/>
  <c r="I147" i="2" s="1"/>
  <c r="Q755" i="34"/>
  <c r="R755" i="34" s="1"/>
  <c r="P765" i="34"/>
  <c r="Q765" i="34" s="1"/>
  <c r="R765" i="34" s="1"/>
  <c r="Q400" i="34"/>
  <c r="R400" i="34" s="1"/>
  <c r="P401" i="34"/>
  <c r="P402" i="34"/>
  <c r="P788" i="34"/>
  <c r="P13" i="34" s="1"/>
  <c r="N7" i="25" s="1"/>
  <c r="O7" i="25" s="1"/>
  <c r="Q784" i="34"/>
  <c r="T1035" i="81" l="1"/>
  <c r="U1035" i="81"/>
  <c r="M1036" i="81"/>
  <c r="M1063" i="81" s="1"/>
  <c r="T1061" i="81"/>
  <c r="U1061" i="81"/>
  <c r="AH1044" i="81"/>
  <c r="AS1044" i="81" s="1"/>
  <c r="AH1009" i="81"/>
  <c r="AS1009" i="81" s="1"/>
  <c r="R1009" i="81"/>
  <c r="B1037" i="81" s="1"/>
  <c r="H1089" i="81"/>
  <c r="T1062" i="81"/>
  <c r="U1062" i="81"/>
  <c r="I1089" i="81"/>
  <c r="Y1089" i="81" s="1"/>
  <c r="G1037" i="81"/>
  <c r="F1036" i="81"/>
  <c r="F1063" i="81" s="1"/>
  <c r="U147" i="2"/>
  <c r="W147" i="2" s="1"/>
  <c r="C147" i="2"/>
  <c r="D147" i="2" s="1"/>
  <c r="R784" i="34"/>
  <c r="R788" i="34" s="1"/>
  <c r="Q788" i="34"/>
  <c r="Q13" i="34"/>
  <c r="R13" i="34" s="1"/>
  <c r="H814" i="34"/>
  <c r="P270" i="34"/>
  <c r="Q402" i="34"/>
  <c r="R402" i="34" s="1"/>
  <c r="P403" i="34"/>
  <c r="B147" i="2"/>
  <c r="X148" i="2" l="1"/>
  <c r="Y148" i="2"/>
  <c r="Z148" i="2"/>
  <c r="O1036" i="81"/>
  <c r="Q1036" i="81" s="1"/>
  <c r="R1036" i="81" s="1"/>
  <c r="S1036" i="81" s="1"/>
  <c r="T953" i="81"/>
  <c r="X1089" i="81"/>
  <c r="T1089" i="81"/>
  <c r="U1089" i="81"/>
  <c r="B1064" i="81"/>
  <c r="C1037" i="81"/>
  <c r="C1064" i="81" s="1"/>
  <c r="AU1009" i="81"/>
  <c r="D1037" i="81"/>
  <c r="AK943" i="81"/>
  <c r="AL943" i="81" s="1"/>
  <c r="G1064" i="81"/>
  <c r="AH1132" i="81"/>
  <c r="AH1131" i="81"/>
  <c r="AL30" i="2"/>
  <c r="Q147" i="2"/>
  <c r="R147" i="2" s="1"/>
  <c r="P272" i="34"/>
  <c r="Q270" i="34"/>
  <c r="R270" i="34" s="1"/>
  <c r="P130" i="34"/>
  <c r="P271" i="34"/>
  <c r="E814" i="34"/>
  <c r="H816" i="34"/>
  <c r="H869" i="34"/>
  <c r="H843" i="34"/>
  <c r="AE13" i="34"/>
  <c r="AG13" i="34"/>
  <c r="AJ13" i="34"/>
  <c r="AD13" i="34"/>
  <c r="AP13" i="34"/>
  <c r="AL13" i="34"/>
  <c r="AK13" i="34"/>
  <c r="AF13" i="34"/>
  <c r="AH13" i="34"/>
  <c r="AI13" i="34"/>
  <c r="AN13" i="34"/>
  <c r="AM13" i="34"/>
  <c r="AO13" i="34"/>
  <c r="E147" i="2"/>
  <c r="O1063" i="81" l="1"/>
  <c r="Q1063" i="81" s="1"/>
  <c r="R1063" i="81" s="1"/>
  <c r="AG1132" i="81"/>
  <c r="AG1131" i="81"/>
  <c r="AE944" i="81"/>
  <c r="AF944" i="81" s="1"/>
  <c r="AH944" i="81" s="1"/>
  <c r="AJ944" i="81" s="1"/>
  <c r="AL944" i="81" s="1"/>
  <c r="AH979" i="81"/>
  <c r="AJ979" i="81" s="1"/>
  <c r="G1010" i="81"/>
  <c r="F1010" i="81"/>
  <c r="AS979" i="81"/>
  <c r="S1063" i="81"/>
  <c r="U1036" i="81"/>
  <c r="T1036" i="81"/>
  <c r="E1037" i="81"/>
  <c r="E1064" i="81" s="1"/>
  <c r="D1064" i="81"/>
  <c r="T149" i="2"/>
  <c r="U149" i="2" s="1"/>
  <c r="W149" i="2" s="1"/>
  <c r="E816" i="34"/>
  <c r="E869" i="34"/>
  <c r="E843" i="34"/>
  <c r="AR849" i="34"/>
  <c r="AR851" i="34" s="1"/>
  <c r="H871" i="34"/>
  <c r="I949" i="34"/>
  <c r="AI814" i="34"/>
  <c r="AI816" i="34" s="1"/>
  <c r="P131" i="34"/>
  <c r="P64" i="34"/>
  <c r="Q130" i="34"/>
  <c r="R130" i="34" s="1"/>
  <c r="D814" i="34"/>
  <c r="M1037" i="81" l="1"/>
  <c r="M1064" i="81" s="1"/>
  <c r="X150" i="2"/>
  <c r="Y150" i="2"/>
  <c r="Z150" i="2"/>
  <c r="F1037" i="81"/>
  <c r="F1064" i="81" s="1"/>
  <c r="T1063" i="81"/>
  <c r="U1063" i="81"/>
  <c r="H1090" i="81"/>
  <c r="AH1010" i="81"/>
  <c r="AS1010" i="81" s="1"/>
  <c r="AH1045" i="81"/>
  <c r="AS1045" i="81" s="1"/>
  <c r="R1010" i="81"/>
  <c r="B1038" i="81" s="1"/>
  <c r="I1090" i="81"/>
  <c r="Y1090" i="81" s="1"/>
  <c r="G1038" i="81"/>
  <c r="G1065" i="81" s="1"/>
  <c r="C149" i="2"/>
  <c r="I149" i="2"/>
  <c r="D816" i="34"/>
  <c r="AQ849" i="34"/>
  <c r="AQ851" i="34" s="1"/>
  <c r="D843" i="34"/>
  <c r="D869" i="34"/>
  <c r="F949" i="34"/>
  <c r="E871" i="34"/>
  <c r="C814" i="34"/>
  <c r="Q64" i="34"/>
  <c r="R64" i="34" s="1"/>
  <c r="P65" i="34"/>
  <c r="P29" i="34"/>
  <c r="B149" i="2"/>
  <c r="O1037" i="81" l="1"/>
  <c r="O1064" i="81" s="1"/>
  <c r="Q1064" i="81" s="1"/>
  <c r="R1064" i="81" s="1"/>
  <c r="T954" i="81"/>
  <c r="AH1135" i="81"/>
  <c r="AH1134" i="81"/>
  <c r="B1065" i="81"/>
  <c r="C1038" i="81"/>
  <c r="C1065" i="81" s="1"/>
  <c r="D1038" i="81"/>
  <c r="AU1010" i="81"/>
  <c r="X1090" i="81"/>
  <c r="U1090" i="81"/>
  <c r="T1090" i="81"/>
  <c r="AL31" i="2"/>
  <c r="D149" i="2"/>
  <c r="Q149" i="2" s="1"/>
  <c r="R149" i="2" s="1"/>
  <c r="D871" i="34"/>
  <c r="E949" i="34"/>
  <c r="C843" i="34"/>
  <c r="AP849" i="34"/>
  <c r="AP851" i="34" s="1"/>
  <c r="C816" i="34"/>
  <c r="C869" i="34"/>
  <c r="B814" i="34"/>
  <c r="Q29" i="34"/>
  <c r="R29" i="34" s="1"/>
  <c r="P30" i="34"/>
  <c r="P19" i="34"/>
  <c r="E149" i="2"/>
  <c r="Q1037" i="81" l="1"/>
  <c r="R1037" i="81" s="1"/>
  <c r="S1037" i="81" s="1"/>
  <c r="S1064" i="81" s="1"/>
  <c r="E1038" i="81"/>
  <c r="E1065" i="81" s="1"/>
  <c r="AG1135" i="81"/>
  <c r="AG1134" i="81"/>
  <c r="D1065" i="81"/>
  <c r="G1011" i="81"/>
  <c r="AH980" i="81"/>
  <c r="AJ980" i="81" s="1"/>
  <c r="F1011" i="81"/>
  <c r="AS980" i="81"/>
  <c r="AE945" i="81"/>
  <c r="AF945" i="81" s="1"/>
  <c r="AH945" i="81" s="1"/>
  <c r="AJ945" i="81" s="1"/>
  <c r="AL945" i="81" s="1"/>
  <c r="T151" i="2"/>
  <c r="U151" i="2" s="1"/>
  <c r="W151" i="2" s="1"/>
  <c r="Q19" i="34"/>
  <c r="R19" i="34" s="1"/>
  <c r="Q20" i="34"/>
  <c r="R20" i="34" s="1"/>
  <c r="C871" i="34"/>
  <c r="D949" i="34"/>
  <c r="B843" i="34"/>
  <c r="B869" i="34"/>
  <c r="AO849" i="34"/>
  <c r="AN814" i="34"/>
  <c r="B816" i="34"/>
  <c r="AG814" i="34"/>
  <c r="U1037" i="81" l="1"/>
  <c r="T1037" i="81"/>
  <c r="X152" i="2"/>
  <c r="Z152" i="2"/>
  <c r="Y152" i="2"/>
  <c r="F1038" i="81"/>
  <c r="F1065" i="81" s="1"/>
  <c r="M1038" i="81"/>
  <c r="M1065" i="81" s="1"/>
  <c r="I1091" i="81"/>
  <c r="Y1091" i="81" s="1"/>
  <c r="G1039" i="81"/>
  <c r="G1066" i="81" s="1"/>
  <c r="U1064" i="81"/>
  <c r="T1064" i="81"/>
  <c r="R1011" i="81"/>
  <c r="B1039" i="81" s="1"/>
  <c r="H1091" i="81"/>
  <c r="AH1046" i="81"/>
  <c r="AS1046" i="81" s="1"/>
  <c r="AH1011" i="81"/>
  <c r="AS1011" i="81" s="1"/>
  <c r="I151" i="2"/>
  <c r="C151" i="2"/>
  <c r="T949" i="34"/>
  <c r="S949" i="34"/>
  <c r="AG816" i="34"/>
  <c r="AH814" i="34"/>
  <c r="O976" i="34"/>
  <c r="B871" i="34"/>
  <c r="O977" i="34" s="1"/>
  <c r="R869" i="34"/>
  <c r="AO851" i="34"/>
  <c r="AT849" i="34"/>
  <c r="AT851" i="34" s="1"/>
  <c r="B151" i="2"/>
  <c r="O1038" i="81" l="1"/>
  <c r="O1065" i="81" s="1"/>
  <c r="Q1065" i="81" s="1"/>
  <c r="R1065" i="81" s="1"/>
  <c r="T955" i="81"/>
  <c r="X1091" i="81"/>
  <c r="U1091" i="81"/>
  <c r="T1091" i="81"/>
  <c r="C1039" i="81"/>
  <c r="C1066" i="81" s="1"/>
  <c r="B1066" i="81"/>
  <c r="D1039" i="81"/>
  <c r="AU1011" i="81"/>
  <c r="AH1138" i="81"/>
  <c r="AH1137" i="81"/>
  <c r="AL32" i="2"/>
  <c r="D151" i="2"/>
  <c r="Q151" i="2" s="1"/>
  <c r="R151" i="2" s="1"/>
  <c r="R871" i="34"/>
  <c r="E35" i="25"/>
  <c r="E36" i="25" s="1"/>
  <c r="AJ814" i="34"/>
  <c r="AH816" i="34"/>
  <c r="E151" i="2"/>
  <c r="Q1038" i="81" l="1"/>
  <c r="R1038" i="81" s="1"/>
  <c r="S1038" i="81" s="1"/>
  <c r="S1065" i="81" s="1"/>
  <c r="D1066" i="81"/>
  <c r="AG1137" i="81"/>
  <c r="AG1138" i="81"/>
  <c r="E1039" i="81"/>
  <c r="E1066" i="81" s="1"/>
  <c r="F1012" i="81"/>
  <c r="G1012" i="81"/>
  <c r="AH981" i="81"/>
  <c r="AJ981" i="81" s="1"/>
  <c r="AS981" i="81"/>
  <c r="AE946" i="81"/>
  <c r="AF946" i="81" s="1"/>
  <c r="AH946" i="81" s="1"/>
  <c r="AJ946" i="81" s="1"/>
  <c r="T153" i="2"/>
  <c r="C153" i="2" s="1"/>
  <c r="D153" i="2" s="1"/>
  <c r="AJ816" i="34"/>
  <c r="B897" i="34"/>
  <c r="AL814" i="34"/>
  <c r="AL816" i="34" s="1"/>
  <c r="B153" i="2"/>
  <c r="T1038" i="81" l="1"/>
  <c r="U1038" i="81"/>
  <c r="T956" i="81"/>
  <c r="M1039" i="81"/>
  <c r="G1040" i="81"/>
  <c r="I1092" i="81"/>
  <c r="Y1092" i="81" s="1"/>
  <c r="H1092" i="81"/>
  <c r="AH1012" i="81"/>
  <c r="AS1012" i="81" s="1"/>
  <c r="AH1047" i="81"/>
  <c r="AS1047" i="81" s="1"/>
  <c r="R1012" i="81"/>
  <c r="B1040" i="81" s="1"/>
  <c r="T1065" i="81"/>
  <c r="U1065" i="81"/>
  <c r="F1039" i="81"/>
  <c r="F1066" i="81" s="1"/>
  <c r="AL33" i="2"/>
  <c r="U153" i="2"/>
  <c r="U156" i="2" s="1"/>
  <c r="T156" i="2"/>
  <c r="I153" i="2"/>
  <c r="I156" i="2" s="1"/>
  <c r="B899" i="34"/>
  <c r="E899" i="34" s="1"/>
  <c r="B924" i="34"/>
  <c r="C897" i="34"/>
  <c r="E897" i="34" s="1"/>
  <c r="E924" i="34" s="1"/>
  <c r="D897" i="34"/>
  <c r="E153" i="2"/>
  <c r="D1040" i="81" l="1"/>
  <c r="AU1012" i="81"/>
  <c r="M1066" i="81"/>
  <c r="O1039" i="81"/>
  <c r="AH982" i="81"/>
  <c r="AE947" i="81"/>
  <c r="AF947" i="81" s="1"/>
  <c r="G1013" i="81"/>
  <c r="F1013" i="81"/>
  <c r="AS982" i="81"/>
  <c r="AS984" i="81" s="1"/>
  <c r="B1067" i="81"/>
  <c r="C1040" i="81"/>
  <c r="C1067" i="81" s="1"/>
  <c r="T1092" i="81"/>
  <c r="X1092" i="81"/>
  <c r="U1092" i="81"/>
  <c r="AH1141" i="81"/>
  <c r="AH1140" i="81"/>
  <c r="G1067" i="81"/>
  <c r="AK946" i="81"/>
  <c r="AL946" i="81" s="1"/>
  <c r="W153" i="2"/>
  <c r="D899" i="34"/>
  <c r="F897" i="34"/>
  <c r="D924" i="34"/>
  <c r="C924" i="34"/>
  <c r="C899" i="34"/>
  <c r="Q153" i="2" l="1"/>
  <c r="R153" i="2" s="1"/>
  <c r="X154" i="2"/>
  <c r="Z154" i="2"/>
  <c r="Y154" i="2"/>
  <c r="E1040" i="81"/>
  <c r="E1067" i="81" s="1"/>
  <c r="G1041" i="81"/>
  <c r="I1093" i="81"/>
  <c r="Y1093" i="81" s="1"/>
  <c r="G1015" i="81"/>
  <c r="D1067" i="81"/>
  <c r="H1093" i="81"/>
  <c r="AH1013" i="81"/>
  <c r="AH1048" i="81"/>
  <c r="R1013" i="81"/>
  <c r="F1015" i="81"/>
  <c r="AG1141" i="81"/>
  <c r="AG1140" i="81"/>
  <c r="AH947" i="81"/>
  <c r="AF949" i="81"/>
  <c r="AJ982" i="81"/>
  <c r="AJ984" i="81" s="1"/>
  <c r="AH984" i="81"/>
  <c r="Q1039" i="81"/>
  <c r="R1039" i="81" s="1"/>
  <c r="S1039" i="81" s="1"/>
  <c r="O1066" i="81"/>
  <c r="Q1066" i="81" s="1"/>
  <c r="R1066" i="81" s="1"/>
  <c r="P897" i="34"/>
  <c r="F924" i="34"/>
  <c r="F899" i="34"/>
  <c r="P899" i="34" s="1"/>
  <c r="M1040" i="81" l="1"/>
  <c r="M1067" i="81" s="1"/>
  <c r="F1040" i="81"/>
  <c r="F1067" i="81" s="1"/>
  <c r="B1041" i="81"/>
  <c r="R1015" i="81"/>
  <c r="AS1048" i="81"/>
  <c r="AS1050" i="81" s="1"/>
  <c r="AH1050" i="81"/>
  <c r="G1068" i="81"/>
  <c r="AK947" i="81"/>
  <c r="AK949" i="81" s="1"/>
  <c r="G1043" i="81"/>
  <c r="AS1013" i="81"/>
  <c r="AH1015" i="81"/>
  <c r="T1039" i="81"/>
  <c r="S1066" i="81"/>
  <c r="U1039" i="81"/>
  <c r="AJ947" i="81"/>
  <c r="AH949" i="81"/>
  <c r="AH1143" i="81"/>
  <c r="AH1144" i="81"/>
  <c r="T1093" i="81"/>
  <c r="U1093" i="81"/>
  <c r="X1093" i="81"/>
  <c r="E1025" i="34"/>
  <c r="Q897" i="34"/>
  <c r="Q899" i="34" s="1"/>
  <c r="R897" i="34"/>
  <c r="R899" i="34" s="1"/>
  <c r="P924" i="34"/>
  <c r="C1025" i="34"/>
  <c r="C1028" i="34" s="1"/>
  <c r="O1040" i="81" l="1"/>
  <c r="O1067" i="81" s="1"/>
  <c r="Q1067" i="81" s="1"/>
  <c r="R1067" i="81" s="1"/>
  <c r="D1041" i="81"/>
  <c r="AU1013" i="81"/>
  <c r="AS1015" i="81"/>
  <c r="AU1015" i="81" s="1"/>
  <c r="AG1143" i="81"/>
  <c r="AG1144" i="81"/>
  <c r="AL947" i="81"/>
  <c r="AL949" i="81" s="1"/>
  <c r="AJ949" i="81"/>
  <c r="U1066" i="81"/>
  <c r="T1066" i="81"/>
  <c r="B1068" i="81"/>
  <c r="C1041" i="81"/>
  <c r="B1043" i="81"/>
  <c r="Q924" i="34"/>
  <c r="R924" i="34"/>
  <c r="F1025" i="34"/>
  <c r="E1028" i="34"/>
  <c r="Q1040" i="81" l="1"/>
  <c r="R1040" i="81" s="1"/>
  <c r="S1040" i="81" s="1"/>
  <c r="U1040" i="81" s="1"/>
  <c r="E1041" i="81"/>
  <c r="E1068" i="81" s="1"/>
  <c r="C1068" i="81"/>
  <c r="C1043" i="81"/>
  <c r="E1043" i="81" s="1"/>
  <c r="D1068" i="81"/>
  <c r="D1043" i="81"/>
  <c r="M350" i="53"/>
  <c r="R350" i="53" s="1"/>
  <c r="T1040" i="81" l="1"/>
  <c r="S1067" i="81"/>
  <c r="T1067" i="81" s="1"/>
  <c r="F1041" i="81"/>
  <c r="F1068" i="81" s="1"/>
  <c r="M1041" i="81"/>
  <c r="F1043" i="81" l="1"/>
  <c r="U1067" i="81"/>
  <c r="M1068" i="81"/>
  <c r="O1041" i="81"/>
  <c r="M1043" i="81"/>
  <c r="O1043" i="81" s="1"/>
  <c r="Q1041" i="81" l="1"/>
  <c r="Q1043" i="81" s="1"/>
  <c r="P1043" i="81" s="1"/>
  <c r="O1068" i="81"/>
  <c r="Q1068" i="81" s="1"/>
  <c r="R1068" i="81" s="1"/>
  <c r="R1041" i="81" l="1"/>
  <c r="R1043" i="81" s="1"/>
  <c r="S1043" i="81" s="1"/>
  <c r="S1041" i="81" l="1"/>
  <c r="S1068" i="81" s="1"/>
  <c r="T1041" i="81" l="1"/>
  <c r="T1043" i="81" s="1"/>
  <c r="U1041" i="81"/>
  <c r="U1043" i="81" s="1"/>
  <c r="U1068" i="81"/>
  <c r="T1068" i="81"/>
</calcChain>
</file>

<file path=xl/sharedStrings.xml><?xml version="1.0" encoding="utf-8"?>
<sst xmlns="http://schemas.openxmlformats.org/spreadsheetml/2006/main" count="56020" uniqueCount="3474">
  <si>
    <t>Revised Vidler, &amp; Aqua Capital CY09 - 11 del sch to accommodate access to XS peelback.  Revised HIDD &amp; MSIDD AWBA/GSF del sch.</t>
  </si>
  <si>
    <t>Forbearance of 8.1kaf as ICUA Recovery for MWD. Orig 1.588 maf for AZ + anticipating 30kaf Nev unused apportionment</t>
  </si>
  <si>
    <t>Total recovery is 8.2kaf; no cagrd credit transfer in 2010,  2 kaf, caidd  2 kaf, hid  4kaf  (backed out of ag supply)</t>
  </si>
  <si>
    <t>Checked actuals for January 2010, entered HAV actual. Modified 2011 and 2012 for SRP exchange water and zero'd srp excess use.</t>
  </si>
  <si>
    <t>Entered PCWAA CY09 - 11 del sch.</t>
  </si>
  <si>
    <t xml:space="preserve">               Shea Sunbelt/Vistancia</t>
  </si>
  <si>
    <t>FLOW PASSING LHQ (CFS)</t>
  </si>
  <si>
    <t>Revised SRP CY08 del sch to include the GRIC settlement breakout.  Deleted recovery lines.  Moved CY08 SRP/GSF w/CAIDD &amp; MSIDD from SGL non-subcontract excess water to "below the SGL segment".  Deleted Apache Junction /incentive w/NMIDD line, &amp; deleted Oro Valley incentive line - they now take subcontract water.  Revised MSIDD's CY08 del sch to accommodate their redistributed Ag pool water volume.</t>
  </si>
  <si>
    <t>Entered SRP actual deliveries for May.</t>
  </si>
  <si>
    <t>06/11/01</t>
  </si>
  <si>
    <t>Entered June Waddell acctg info.  Also entered CAVSARP pump, t/o, &amp; recovery data.  Tuc Plant use for June entered.  Also entered Jun 04 Temp permits, SRP $9/af water, &amp; MWD lake water.  Revised VF Investment del sch for CY04.</t>
  </si>
  <si>
    <t>12/17/03</t>
  </si>
  <si>
    <t>cutover Nov 1?</t>
  </si>
  <si>
    <t>Revised Oct, Nov, Dec 2010 Waddell pumping and Colorado River diversions with new estimates.  New 2010 EOY diversion plan is 1,666,587.  Also entered actual energy use for Aug and Sep 2010.</t>
  </si>
  <si>
    <t xml:space="preserve">               Phoenix/SRPMIC Lease</t>
  </si>
  <si>
    <t>04/13/04</t>
  </si>
  <si>
    <t xml:space="preserve">               Scottsdale/GRIC Settlement Lease</t>
  </si>
  <si>
    <t xml:space="preserve">Checked March 2008 actuals, entered Waddell and HAV actuals, and finalized AWBA sched at TDRP per above entry and remarketed water.  Updated Lake Pleasant actuals for Mar 2008.  </t>
  </si>
  <si>
    <t>CAIDD-Sman (less recovery)</t>
  </si>
  <si>
    <r>
      <t xml:space="preserve">CAIDD-Cman </t>
    </r>
    <r>
      <rPr>
        <sz val="12"/>
        <rFont val="Helv"/>
      </rPr>
      <t>(less recovery</t>
    </r>
    <r>
      <rPr>
        <sz val="10"/>
        <rFont val="Helv"/>
      </rPr>
      <t>)</t>
    </r>
  </si>
  <si>
    <t xml:space="preserve">               CAGRD (Agua Fria)</t>
  </si>
  <si>
    <t>Corrected error in recharge totals for April 07.</t>
  </si>
  <si>
    <t>Added CY02 del sch for RWCD Mesa/Incentive &amp; Goodyear incentive.</t>
  </si>
  <si>
    <t>10/23/01</t>
  </si>
  <si>
    <t>Revised CY09 del sch for Peoria.  Entered various water customer CY10 &amp; 11 del sch.</t>
  </si>
  <si>
    <t>Entered CY09 - 11 del sch for Rosemont Copper.</t>
  </si>
  <si>
    <t xml:space="preserve">Forbearance of 27.5kaf as Recovery for MWD 27.5kaf, </t>
  </si>
  <si>
    <t>Entered Sep 2010 actuals for LHQ segment.</t>
  </si>
  <si>
    <t>Revised CAVSARP delivery sch as per Tim's clearwater operational planning table for CY03.  Also revised CY02 deliveries for Rio Verde &amp; SRP pre-del exchange for Nov as per SRP request.  And changed Scottsdale incentive water for Jan - Oct as per Scottsdale request - the difference in the incentive water was added to Scotssdale M&amp;I water.</t>
  </si>
  <si>
    <t>Revised SCIDD 03 sch back to it's original for now.</t>
  </si>
  <si>
    <t xml:space="preserve">               Mesa/Red Mt Recharge site</t>
  </si>
  <si>
    <t>(ER)</t>
  </si>
  <si>
    <t>(NExER)</t>
  </si>
  <si>
    <t>07/05/02</t>
  </si>
  <si>
    <t>Entered CY06 - 08 del sch for AZ Wholesale Growers, Florence, H2O WC, Red Mt Ranch CC, Southern Dunes, SRP &amp; SCIDD.</t>
  </si>
  <si>
    <t>Salt River Project Excess ($10/AF Water)</t>
  </si>
  <si>
    <t>Updated CS19 Flow for 2005,  Still needs to be corrected for '06, '07</t>
  </si>
  <si>
    <t xml:space="preserve">               ASU-Karsten Golf Course</t>
  </si>
  <si>
    <t>Entered CY03 CAVSARP recovery #s from Tuc, and changed redistributed Pool 2 in CY03 for STID &amp; NMIDD.  All CY03 changes - revised NMIDD AWBA to 47200, reduced GRUSP to 30kaf, reduced RWCD pool 3 to 40kaf, entered 20kaf of AWBA for RWCD, revised CAIDD Pool 2 to reflect increase of STID Pool wtr redistribution, put SRP &amp; MSIDD AWBA del sch back to written req amt.</t>
  </si>
  <si>
    <t>01/14/05</t>
  </si>
  <si>
    <t xml:space="preserve">               Tohono O'Odham/SAVSARP</t>
  </si>
  <si>
    <t xml:space="preserve">               SCAT GSF 1 Yr Lease w/Gilbert w/IDs</t>
  </si>
  <si>
    <t xml:space="preserve">Entered Feb 2010 actual deliveries, adjusted Ag pool total to back to 391,841 AF (400kaf less recovery), adjusted all recharge, and many other subcontract/Federal del sch. </t>
  </si>
  <si>
    <t>CENTRAL ARIZONA PROJECT</t>
  </si>
  <si>
    <t>Deleted Stallion Mgt del sch for CY05, and added it to H2) CY05 del sch under a remarketing agreement between the 2 parties.</t>
  </si>
  <si>
    <t>1/16/04</t>
  </si>
  <si>
    <t>05/25/04</t>
  </si>
  <si>
    <t xml:space="preserve">               Tucson/Pima Mine Rd</t>
  </si>
  <si>
    <t>APRIL</t>
  </si>
  <si>
    <t>JUNE</t>
  </si>
  <si>
    <t>JULY</t>
  </si>
  <si>
    <t>AUGUST</t>
  </si>
  <si>
    <t>Entered CMID CY09 - 11 del sch via Metro.</t>
  </si>
  <si>
    <t>Added remarketed line item for AWBA/CAVSARP deliveries from Tucson in Nov &amp; Dec.</t>
  </si>
  <si>
    <t>11/28/01</t>
  </si>
  <si>
    <t>09/09/03</t>
  </si>
  <si>
    <t>05/10/01</t>
  </si>
  <si>
    <t>FLOW PASSING SXV (CFS)</t>
  </si>
  <si>
    <t xml:space="preserve">               Pima Mine Rd</t>
  </si>
  <si>
    <t>Changed font of SRP $9 water to match rest of spreadsheet (arial 11)</t>
  </si>
  <si>
    <t>09/20/01</t>
  </si>
  <si>
    <t>02/01/02</t>
  </si>
  <si>
    <t>Added SND pumping to CAVSARP recovery for Jan 02.</t>
  </si>
  <si>
    <t>10/15/04</t>
  </si>
  <si>
    <t xml:space="preserve">          Interstate (from Direct AWBA)</t>
  </si>
  <si>
    <t>Revised May 09 AZ Pacific Materials actual use from 10 af to 5 af.  Revised CY09 Ag pool and recharge del sch.  Updated the SYSCAP tab. For July 09.</t>
  </si>
  <si>
    <t>NSC, FCC, FCA, PIL, CGE</t>
  </si>
  <si>
    <t>Revised for March actuals.</t>
  </si>
  <si>
    <t xml:space="preserve">               Tohono O-Odham (PMR)</t>
  </si>
  <si>
    <t>Changed Hoover C # for June 02 under Projection of Navajo Power Purchases as per Tim's request.  Added Waddell actuals for Oct 02 &amp; changed power #s as needed.</t>
  </si>
  <si>
    <t>Added Waddell pumpage/outflow for June 03.  Also revised Oasis Golf del sch thru NMIDD 03.</t>
  </si>
  <si>
    <t>Revised CY08 Tohono Nation del sch for Shcuk Toak &amp; San Xavier.</t>
  </si>
  <si>
    <t>SRO, CMN, SMN</t>
  </si>
  <si>
    <t>Revised March 09 deliveries for Peoria/subcontract.</t>
  </si>
  <si>
    <t>Checked March 2006 actuals, added Waddell actuals, and adjusted Lake Pleasant to match eom actual elevation and lake storage.  Re-checked rest of year monthly diversions.</t>
  </si>
  <si>
    <t>No ICUA Forbearance in 2011, MWD recovery complete.</t>
  </si>
  <si>
    <t>SRP $48</t>
  </si>
  <si>
    <t>Salt River Project Excess ($48/AF Water)</t>
  </si>
  <si>
    <t>Salt River Project XS ($48/AF) w/MSIDD</t>
  </si>
  <si>
    <t xml:space="preserve">     SALT RIVER PROJECT/XS ($48/AF)</t>
  </si>
  <si>
    <t xml:space="preserve">Made del sch changes to transfer 5000 af of MSIDD Pool 1 water to Hohokam in Jun - Aug, and 3934 AF of CAIDD Pool 1 water to HID during the same months.  MSIDD 1000 af of Pool 1 sch for transfer to HID in Jun was reflected out of their Pool 2 water for operational purposes only (MSIDD did not have Pool 1 water sch for June). </t>
  </si>
  <si>
    <t>Changed Sep 04 water use for Picacho School from 6af to 3 af - based on call from Maurice @ CAIDD who explained that they had just discovered a meter problem.</t>
  </si>
  <si>
    <t>11/3/00</t>
  </si>
  <si>
    <t>BKH</t>
  </si>
  <si>
    <t>Revised SCIDD CY)* Ag Pool del sch.</t>
  </si>
  <si>
    <t>Cancelled CY03 del sch for SunEnvironments</t>
  </si>
  <si>
    <t xml:space="preserve">               Surprise - TDRP</t>
  </si>
  <si>
    <t>Entered Apr 2010 SND Recovery</t>
  </si>
  <si>
    <t>Modified Mesa, subcontract for dec 2005 from 1963 af to 1102 af.</t>
  </si>
  <si>
    <t>SALT GILA PP</t>
  </si>
  <si>
    <t xml:space="preserve">               Az American/WV (TDRP)</t>
  </si>
  <si>
    <t>Revised CY08 del sch for AAWC (WV), Glendale, &amp; Tempe for their remarketed water to the AWBA.</t>
  </si>
  <si>
    <t xml:space="preserve">               Mesa, City of</t>
  </si>
  <si>
    <t>Entered Nov 09 Waddell Acctg.  Revised Buckeye CY09 del sch to 0 af - no designation from DWR yet.</t>
  </si>
  <si>
    <t>Removed 2006 and 2007 tables from Lake Pleasant Forecast sheet and Updated 3 year plot with correct values and labels</t>
  </si>
  <si>
    <t>Revised column "T" turnout designations for customers in the SGL segment.</t>
  </si>
  <si>
    <t xml:space="preserve">               QCID</t>
  </si>
  <si>
    <t>Revised CY09 Tuc/CAV &amp; SAV Feb sch - moved 8000 af to Dec.  Revised Vidler CY09.</t>
  </si>
  <si>
    <t>Added Oct 01 Waddell #s.</t>
  </si>
  <si>
    <t>11/29/01</t>
  </si>
  <si>
    <t xml:space="preserve">               Glendale/Welton-Mohawk</t>
  </si>
  <si>
    <t xml:space="preserve">               Mesa/Welton-Mohawk</t>
  </si>
  <si>
    <t>Assessed about 100,000 af of excess water for re-marketing.  SRP to 25,000 m&amp;I subcon, 6,000 af month GRUSP aug-dec, 24,000 af to msidd,caidd, hohokam - pool 3,  28,000+ af for direct recharge cap facilities.</t>
  </si>
  <si>
    <t>10/22/03</t>
  </si>
  <si>
    <t>FLOW PASSING SGL (CFS)</t>
  </si>
  <si>
    <t>Entered CY06 - 08 F/C data for SRP and Chandler (includes Chandler thru GRIC).</t>
  </si>
  <si>
    <t xml:space="preserve">               Interstate Banking (TDRP)</t>
  </si>
  <si>
    <t>Revised CY2003 Diversion schedule for Oct thru Dec per modified plan of operation (TFK memo on west plant end of year schedule)</t>
  </si>
  <si>
    <t>Entered Temp Permit total for July 02, &amp; revised SCIDD del sch..</t>
  </si>
  <si>
    <t>Revised CY 2010 remaining M&amp;I subcon EOY totals.  Removed SRP exchange water for SRO from segment demand calc.  Moved 2500 af of CY 2010 SCIDD Ag Pool to CAIDD Ag Pool.</t>
  </si>
  <si>
    <t>Entered HAV actual for July 2010.  Adjusted Dec 2010 diversion to hit 1.651 MAF available CRO water in 2010, per latest web site allowable diversion volume.</t>
  </si>
  <si>
    <t>Checked overall actuals and entered Lake Pleasant actuals for July 2010.</t>
  </si>
  <si>
    <t>Revised SCAT water to TDRP to zero, and added 20kaf to Gilbert (excess) at TDRP.</t>
  </si>
  <si>
    <t xml:space="preserve">Checked September 2007 actuals, entered Waddell actuals for Sep 2007,  Checked remaining 2007 schedule for monthly diversions for revised eoy target of 1.570 maf &amp; reduced Oct lake fill by 5kaf,   Adjusted Lake Pleasant to match eom actual elevation and lake storage.  </t>
  </si>
  <si>
    <t>Entered HAV actual for Jan 2009, entered finalized SRP Exchange deliveries, updated Lake Pleasant actuals for Jan 2009, adjusted Wad fill in Oct 2009 down by 10kaf to match 1.570 maf target.</t>
  </si>
  <si>
    <t xml:space="preserve">               GRIC exchg w/Chandler thru CGT</t>
  </si>
  <si>
    <t>Entered Jan 09 actuals, revised Ag pool to annual 400kaf volume less Jan 09 recovery, and updated the SYSCAP tab.</t>
  </si>
  <si>
    <t>CY04 changed all non-sub del sch for cities to 0 af.  Also changed Gilbert Misc water to 0 af in CY04.  Changed CY04 Ag customers (MSIDD, CAIDD, &amp; Hohokam deliveries to mirror their preliminary Settlement Pool allocations and monthly use.</t>
  </si>
  <si>
    <t xml:space="preserve">               thru Agua Fria</t>
  </si>
  <si>
    <t>11/15/03</t>
  </si>
  <si>
    <t xml:space="preserve">SEGMENT DEMAND </t>
  </si>
  <si>
    <t>09/10/02</t>
  </si>
  <si>
    <t>Revised CY03 Chandler del sch.</t>
  </si>
  <si>
    <t>Entered CY08 - 10 del sch for Sonoran Land Group/Las Sendas Golf, and AZ Pacific Materials.</t>
  </si>
  <si>
    <t>Reviewed CY2004 final schedule, checked Lake Pleasant storage, modified energy table for surcharge schedule.</t>
  </si>
  <si>
    <t>06/26/01</t>
  </si>
  <si>
    <t>Revised Aug-Dec 2009 waddell operations schedule, per request by SRP.  Revised actual 2009 threshold energy.  This schedule agreed to by CRO, SRP, and West Maintenance.</t>
  </si>
  <si>
    <t>Updated 2003 Power tables, with carryover surcharge to 117,092 MWh and target Threshold to 2,061,000 MWh.</t>
  </si>
  <si>
    <t>Entered all March 06 actuals except for SRO t/o users.</t>
  </si>
  <si>
    <t>Minor adjustments to  RWCD/Viewpoint incentive schedule and waddell pumping to accommodate requested schedule.</t>
  </si>
  <si>
    <t>POOL BRD-C FLOW (design=1200)</t>
  </si>
  <si>
    <t>CGE</t>
  </si>
  <si>
    <t>Revised CY07 &amp; 08 f/c data for Superstition Mt recharge project.</t>
  </si>
  <si>
    <t>Delivered</t>
  </si>
  <si>
    <t>Purchases</t>
  </si>
  <si>
    <t>Load</t>
  </si>
  <si>
    <t>Threshold</t>
  </si>
  <si>
    <t>Revised SRP $9/AF CY04 del sch.</t>
  </si>
  <si>
    <t>Revised CY09 del sch for Apache Junction, Shea Sunbelt, MCP&amp;R/xs, and Picacho School</t>
  </si>
  <si>
    <t>Revised MSIDD Ag pool del sch for CY09.</t>
  </si>
  <si>
    <t>Added 30kaf of SCIP water to CY03 only - split 15kaf each between GRIC/pool 3 &amp; SCIDD/Drought water.  Changed CY04 &amp; 05 SCIDD/Drought to the same as CY02 del sch (w/o SCIP).  Deleted all projections previously shown for Queen Creek Recharge site for CY02 thru 05 - this includes Gilbert's plans for storage into the site.  Changed East Salt River Valley recharge deliveries to begin in July 04.  Per Larry, moved GRIC from Pool 3 to on-reservation Federal for CY04 &amp; 05.  Combined Ag Pools 1 - 3, into one (400,000 af) Ag Pool for CY04 &amp; 05.</t>
  </si>
  <si>
    <t>09/12/03</t>
  </si>
  <si>
    <t>Entered CY07 - 09 del sch for Southern Dunes, Maricopa County P&amp;Rec, DMB, Augusta Resources.</t>
  </si>
  <si>
    <t>Data Linked to other Worksheets</t>
  </si>
  <si>
    <t>Added JUN CY02 CAVSARP, MW, &amp; CAV REC #s.  Also changed Goodyear incentive water for Tucson, &amp; deleted C&amp;M Ranch.</t>
  </si>
  <si>
    <t>03/13/03</t>
  </si>
  <si>
    <t>Cross-checked SRP and Cities revised water demands for CY2003,  determined new excess capacities and entered draft AWBA delivery forecast for 2003.  Checked Lake P. forecast for 2003</t>
  </si>
  <si>
    <t>Revised CY08 - 10 CHCID AWBA del sch .</t>
  </si>
  <si>
    <t>Revised MSIDD xs ag del sch for 07.  Revised CY07 Tohono O'Odamh del sch for both San Xavier &amp; Schuk Toak.</t>
  </si>
  <si>
    <t>Reduced CY2011 State Land del sch.</t>
  </si>
  <si>
    <t>Cancelled CY06 del sch for Stallion Mgmt.</t>
  </si>
  <si>
    <t>Final Check of CY2005 Diversion and Delivery Schedule and Lake Pleasant schedule.</t>
  </si>
  <si>
    <t>Adjusted 2003-2005 wad spring fill for 3000 cfs max at havasu.  Adjusted 2002 hoover schedule.  Adjusted 2003-2005 energy schedules.  Changed trans losses to 7.5% on all years.  Adjusted HAV rate from 968 down to 946 and 942 in outer years due to new impeller efficiencies.</t>
  </si>
  <si>
    <t>Entered actuals for September 05, and Waddell accounting for Sep 05.</t>
  </si>
  <si>
    <t>VOLUME PASSING HSY</t>
  </si>
  <si>
    <t>Revised BKW CY04 Ag Pool del sch.</t>
  </si>
  <si>
    <t>09/15/04</t>
  </si>
  <si>
    <t>02/25/05</t>
  </si>
  <si>
    <t>11/17/03</t>
  </si>
  <si>
    <t>Added Waddell actuals for July 03.</t>
  </si>
  <si>
    <t>Lake Volume December Previous Year =</t>
  </si>
  <si>
    <t>Dropped off 2005 pages;  added 2009 and 2010 by copying 2008.   Rotated Lake Pleasant page up to 2010; dropped 2005, reprogrammed 12 mth fcast page.</t>
  </si>
  <si>
    <t>Changed CAGRD sch for BWK &amp; GRUSP.</t>
  </si>
  <si>
    <t>Modified cy2006 and 2007 AWBA Intrastate and Interstate deliveries.  Target 200kaf/yr Interstate and added some Interstate water to Maricopa USFs</t>
  </si>
  <si>
    <t>Entered CY2010 - 12 del sch for Carferee WC, Flowing Wells ID.</t>
  </si>
  <si>
    <t>Entered 2 new customers under SGL XS M&amp;I non-sub: 1) AZ Board of Regents &amp; Grande Valley Airport for CY02 - 04.</t>
  </si>
  <si>
    <t>T/O = NMIDD#3</t>
  </si>
  <si>
    <t>New Magma IDD #4</t>
  </si>
  <si>
    <t>AZ Pacific Materials</t>
  </si>
  <si>
    <t>entered jan and feb 2007 actual energy on 2007 energy page.</t>
  </si>
  <si>
    <t>Modified cy2006, 07, 08 schedules per awba recharge estimates, srp exchange payback, nevada recovery in pinal county</t>
  </si>
  <si>
    <t>Revised CY06 data to reflect AWBA amended Plan of Operations.</t>
  </si>
  <si>
    <t>Entered CY2010 - 12 del sch for SCIDD.  Corrected Jan &amp; Feb 09 SRP exchange water actual use.</t>
  </si>
  <si>
    <t>Reduced Direct Water Bank Deliveries by 20,822 af</t>
  </si>
  <si>
    <t>Moved SRP 11$ water deliveries out of July and August (20,000) af</t>
  </si>
  <si>
    <t>Entered new excess M&amp;I customer into all yrs (Stone Creek Farm) in SGL segment.  Entered actual water use for March (all except for SRO breakdown).</t>
  </si>
  <si>
    <t>3) Energy threshold for 2009 is 2,370 GWh.</t>
  </si>
  <si>
    <t>Entered CY08 - 2010 del sch for Apache Junction.</t>
  </si>
  <si>
    <t>Added Aug 01 actual del.  Also added CY02 del sch for Cave Creek &amp; Tohono O'Odham.</t>
  </si>
  <si>
    <t>09/11/01</t>
  </si>
  <si>
    <t>Entered 08 - 10 Scottsdale SCAT lease water.</t>
  </si>
  <si>
    <t>07/25/03</t>
  </si>
  <si>
    <t xml:space="preserve">Checked February 2007 actuals,  Checked remaining 2007 schedule for monthly diversions and adjusted Nov diversions target of 1.555 maf.  Adjusted Lake Pleasant to match eom actual elevation and lake storage.  </t>
  </si>
  <si>
    <t>Revised CY08 del sch for Tempe &amp; CAGRD due to remarketed water.  Also entered Waddell accounting for Feb 08.  Entered Feb 08 actuals.</t>
  </si>
  <si>
    <t>Revised CY04 Dec for Vidler &amp; PCWAA to accommodate the remarketing of an additional 1700 af.</t>
  </si>
  <si>
    <t>Per Hohokam del sch increase, updated nov 2007 waddell fill to match 1.580 MAF off river. (via actual Hav row)</t>
  </si>
  <si>
    <t>Deleted 20kaf of place-holder water for SCAT via SGL PP.  BOR sent official notice dated 3/11/04 releasing the water back to CAP.  Also revised CMID settlement pool water del sch to 2500 af as a result of their DWR waiver for GSF storage.</t>
  </si>
  <si>
    <t>05/20/02</t>
  </si>
  <si>
    <t>Entered Proposed CY06 GRIIDD Indian firming del sch.</t>
  </si>
  <si>
    <t xml:space="preserve">               Tohono O-Odham (ASARCO)</t>
  </si>
  <si>
    <t>Added Waddell and Lake Pleasant actuals for Jan 2010.</t>
  </si>
  <si>
    <t>Revised MSIDD/AWBA 2010 del sch</t>
  </si>
  <si>
    <t>Corrected 2009 threshold energy use and target.  Increased Waddell fill in March, April, and Oct by 10,000 af each.  Reduced Nov and Dec Waddell fill by 10,000 each to hit 1.570 CRO target.</t>
  </si>
  <si>
    <t>Adjusted August 2010, Sept 2010, and Dec 2010 Waddell release and fill to hit 1.673 MAF available CRO water in 2010.</t>
  </si>
  <si>
    <t>Cells in Yellow are actual</t>
  </si>
  <si>
    <t xml:space="preserve">               Gilbert/Excess - TDRP</t>
  </si>
  <si>
    <t>Revised CY09 permit monthly sch.</t>
  </si>
  <si>
    <t>Entered CY2010 &amp; 11 del sch for AZ American, Hohokam, Hopi. Metro, Oro Valley, QCID.</t>
  </si>
  <si>
    <t>Entered CY2011 - 13 del sch for Carefree, Florence, Viewpoint, MCP&amp;R</t>
  </si>
  <si>
    <t>Added actual deliveries for April 02, plus revised del sch for Oasis Golf.</t>
  </si>
  <si>
    <t>Entered Y07 - 09 del sch for Florence.</t>
  </si>
  <si>
    <t>Revised HVID Pool 3 del sch.</t>
  </si>
  <si>
    <t>Revised Sun States CY04 del sch.</t>
  </si>
  <si>
    <t>03/17/05</t>
  </si>
  <si>
    <t>Entered CY04 del sch for Carefree &amp; BKW.</t>
  </si>
  <si>
    <t>Entered Feb 06 actuals.</t>
  </si>
  <si>
    <t>Added Feb actual deliveries.  Revised Chandler's incentive recharge water del sch thru SRP.  Revised AWC del sch.</t>
  </si>
  <si>
    <t>03/22/01</t>
  </si>
  <si>
    <t xml:space="preserve">               Gila River Indian IDD</t>
  </si>
  <si>
    <t>08/23/03</t>
  </si>
  <si>
    <t>Entered Waddell accounting for July 06.</t>
  </si>
  <si>
    <t>Entered CY08 - 2010 Vail incentive del sch thru Kai.</t>
  </si>
  <si>
    <t>Forward looked at September 2005 deliveries and adjusted some customers slightly lower to reflect most probable total deliveries for month.</t>
  </si>
  <si>
    <t>05/06/03</t>
  </si>
  <si>
    <t>08/09/04</t>
  </si>
  <si>
    <t>Entered Waddell actuals for cy03 Oct.  Deleted recovery water for nov/dec 03.  Checked lake pleasant actual elevation and data.</t>
  </si>
  <si>
    <t>Revised Temp Permit estimates for 2011 - Lennar asante increased their sch.</t>
  </si>
  <si>
    <t xml:space="preserve">               Water Util. Greater Tonopah</t>
  </si>
  <si>
    <t>Entered Feb 2011 actual deliveries.</t>
  </si>
  <si>
    <t>Adjusted 2011 ag pool to year-end total less recovery = 396,700.</t>
  </si>
  <si>
    <t>Entered Feb 2011 Waddell accounting, and revised Carefree projections for 2012 &amp; 2013.</t>
  </si>
  <si>
    <t>Revised end of year totals for all recharge, AWBA, and most Subcontract &amp; Federal schedules.</t>
  </si>
  <si>
    <t xml:space="preserve">               AZ American WC (AF) - TDRP</t>
  </si>
  <si>
    <t xml:space="preserve">               AZ American WC (PV) - TDRP</t>
  </si>
  <si>
    <t>Enter Hav Actual, Lake Pleasant actuals for Feb 2011.  Checked and resyncd remaining 2011 monthly schedules with begin of year deliveries and diversions.</t>
  </si>
  <si>
    <t>Checked April 2006 actuals, added Waddell actuals, and adjusted Lake Pleasant to match eom actual elevation and lake storage.  Re-checked rest of year monthly diversions.</t>
  </si>
  <si>
    <t xml:space="preserve">Added Glibert/sub water in April for TDRP (1004 af).  Added 3 new customers (Lorenzo Nolasco/XS AG, Spanish Trail/incentive w/Kai, Communities SW/Incentive @ TDRP. </t>
  </si>
  <si>
    <t>05/24/04</t>
  </si>
  <si>
    <t>(NG)</t>
  </si>
  <si>
    <t>(HE)</t>
  </si>
  <si>
    <t xml:space="preserve">               TGV Investments/Vicksburg Farm</t>
  </si>
  <si>
    <t xml:space="preserve">               Shea Homes/Encanterra-NMIDD</t>
  </si>
  <si>
    <t>Revised Waddell fill/release schedule for Oct and Nov 2002 per maintenance outage.  Completed 12-month forecast update for Lake Pleasant.</t>
  </si>
  <si>
    <t>06/13/02</t>
  </si>
  <si>
    <t>APA Hoover B Energy Purchases</t>
  </si>
  <si>
    <t>Revised CY09 Ag Pool.</t>
  </si>
  <si>
    <t xml:space="preserve">               Shea Homes/Encanterra - NMIDD</t>
  </si>
  <si>
    <t>Adjusted eoy 2006 diversion to 1.620 maf per updated usbr web site with on-river usage.  Zero'd out GRUSP for 2006 and increased TDR AWBA to 12kaf for Oct.- Nov. 2006.</t>
  </si>
  <si>
    <t xml:space="preserve">               Gilbert/SRP</t>
  </si>
  <si>
    <t xml:space="preserve">               CAGRD/Tonopah ID</t>
  </si>
  <si>
    <t>Entered Jan 06 actuals.</t>
  </si>
  <si>
    <t>Surcharge</t>
  </si>
  <si>
    <t>Amount</t>
  </si>
  <si>
    <t>Changed MWD lake water tru t/o.  Changed CHCID, NMIDD, MSIDD, QCID AWBA water.  Changed MSIDD Pool 1 water.  Changed Mesa incentive water thru RWCD &amp; SRP.  Added Chnadler incentive water thru SRP.</t>
  </si>
  <si>
    <t>Checked November 2004 actuals, entered Waddell actuals, adjusted Lake Pleasant to match eom actual elevation and lake storage, updated diversion schedule thru Dec.</t>
  </si>
  <si>
    <t>Entered May 09 Tucson plant &amp; BKW use.  Also revised CY09 del sch for Recreational and Gilbert XS via TDRP, and added Tonto Forest line item.</t>
  </si>
  <si>
    <t>Entered Oct 08 Waddell acctg.  Revised NMIDD CY09 - 11 del sch.  Revised HVID CY09 AG Pool sch.</t>
  </si>
  <si>
    <t xml:space="preserve">               Spanish TrailKai Farms</t>
  </si>
  <si>
    <t>Entered CY08 - 2010 del sch for MWD lake water.</t>
  </si>
  <si>
    <t>Month</t>
  </si>
  <si>
    <t xml:space="preserve">Added "YTD GRAPH" sheet, This sheet automatically updates graph of the past year deliveries compared with current year deliveries and projections.  </t>
  </si>
  <si>
    <t>-------</t>
  </si>
  <si>
    <t>West</t>
  </si>
  <si>
    <t xml:space="preserve">  Non-firm Transmission Service</t>
  </si>
  <si>
    <t xml:space="preserve">          Tucson B Plants only</t>
  </si>
  <si>
    <t>Revised April 05 LSCRP AWBA deliveries to be split between interstate &amp; intrastate water use.</t>
  </si>
  <si>
    <t>Revised Oro Valley CY07 del sch - direct use by Kai.  Revised CY07 del sch for SRP $10 water, QCID AWBA water, &amp; Cave Creek subcontract &amp; xs M&amp;I water..  Entered Sep 07 actuals rec'd as of 10/5 - NOTE 1) the recharge facility use for all but PMR has been entered as AWBA/intrastate in-lieu of getting the actual breakdown among each site from TH.  2) PMR Sep use was entered as Augusta because there wasn't any AWBA water sch to go to that recharge facility in 07.  3)  Vidler use is assumed to be correct as reported in-lieu of final calc by BH.   4) Mesa t/o use was entered all as Mesa subcontract water in-lieu of getting their final breakdown.   5)  SRO total t/o use was entered as all AWBA/GSF water in-lieu of MSIDD providing their breakdown.  6)  There is no temp permit use entered yet - waiting for final use from MJ.</t>
  </si>
  <si>
    <t>Revised TDRP sch for Gilbert in CY08.  Revised CY08 &amp; CY09 - 11 sch for MCP&amp;R.  Revised CY09 - 11 sch for Marana.</t>
  </si>
  <si>
    <t xml:space="preserve">                   UPDATED PER NEW SURVEY (JUNE 30, 1994)</t>
  </si>
  <si>
    <t>Elevation Based</t>
  </si>
  <si>
    <t>City of Eloy</t>
  </si>
  <si>
    <t>Maricopa Drill&amp;Equip</t>
  </si>
  <si>
    <t>T/O = SRO</t>
  </si>
  <si>
    <t>SGMT 4 TOTAL</t>
  </si>
  <si>
    <t>Revised 2010 Ag pool to 391,841 af (400kaf less recovery), and other recharge, AWBA, subcontract schedules as well.</t>
  </si>
  <si>
    <t>From Elev. 1590  to  1706.5</t>
  </si>
  <si>
    <r>
      <t xml:space="preserve">               CAIDD (SMAN) </t>
    </r>
    <r>
      <rPr>
        <sz val="12"/>
        <color indexed="10"/>
        <rFont val="Helv"/>
      </rPr>
      <t>(less recovery)</t>
    </r>
  </si>
  <si>
    <t>Updated formulas to balance Diversions and Deliveries for 2010, Corrected CS19 flow for 2009 and 2010</t>
  </si>
  <si>
    <t>Adjusted 2010 end of year totals back to scheduled volumes for most customers.</t>
  </si>
  <si>
    <t>04/10/02</t>
  </si>
  <si>
    <t>Revised CY09 del sch between CAGRD &amp; TID XS water by moving 200 af from TDRP to TID.</t>
  </si>
  <si>
    <t>Entered new line item for Pulte Homes thru SRO for XS water in CY06.</t>
  </si>
  <si>
    <t>Revised CY2010 del sch for TGV Investments, Schafer, &amp; Resolution Copper.</t>
  </si>
  <si>
    <r>
      <t xml:space="preserve">               Resolution Copper</t>
    </r>
    <r>
      <rPr>
        <sz val="10"/>
        <rFont val="Helv"/>
      </rPr>
      <t>(AFRP &amp;/or HMRP)</t>
    </r>
  </si>
  <si>
    <t>Revised CAIDD &amp; Hohokam CY06 AWBA &amp; Nevada water use, as a result of the GRIIDD firming issue for funding.</t>
  </si>
  <si>
    <t>CAP PP</t>
  </si>
  <si>
    <t>Generation</t>
  </si>
  <si>
    <t>Modified Waddell outflow for Feb 2005 volume to 14,477 af.  Actual metered was 32,670 af but flood releases aren't included in billed deliveries, and needed to balance close with actual HAV pumpage of 67,750 af</t>
  </si>
  <si>
    <t>Revised QCID Jul 01 Pool 1 &amp; AWBA deliveries due to redistribution of 5 kaf of Pool 1 wtr to HVID</t>
  </si>
  <si>
    <t>2) Waddell generation ends mid-August when lake elevation drops below elevation 1635.</t>
  </si>
  <si>
    <t>10/18/04</t>
  </si>
  <si>
    <t>Entered June 05 actual water use.</t>
  </si>
  <si>
    <t>Revised CY09 subcon, indian, &amp; recharge del to ann del sch totals.</t>
  </si>
  <si>
    <t>Entered CY06 Supplemental XS del sch for Phx.</t>
  </si>
  <si>
    <t>WAD</t>
  </si>
  <si>
    <t>SGL</t>
  </si>
  <si>
    <t>BRD</t>
  </si>
  <si>
    <t>PIC</t>
  </si>
  <si>
    <t>RED</t>
  </si>
  <si>
    <t>TWP</t>
  </si>
  <si>
    <t xml:space="preserve">               El Mirage/AFRP or HMRP</t>
  </si>
  <si>
    <t xml:space="preserve">               Surprise (HMRP and/or AFRP)</t>
  </si>
  <si>
    <t xml:space="preserve">Entered CY2011 - 13 del sch for Surprise, MD&amp;E, WUGT, </t>
  </si>
  <si>
    <t>Updated Havasu pumping and Lake Pleasant actuals for August 2009, re-adjusted Waddell operations and checked delivery schedules to match TFK Sep15version and 1.606 maf diversion target.</t>
  </si>
  <si>
    <t>CGE &amp; KLK</t>
  </si>
  <si>
    <t>Entered actual deliveries (less recovery) for May 2010.</t>
  </si>
  <si>
    <r>
      <t>Maricopa Water District Lake Water(**)</t>
    </r>
    <r>
      <rPr>
        <b/>
        <sz val="12"/>
        <color indexed="10"/>
        <rFont val="Helv"/>
      </rPr>
      <t>(@)</t>
    </r>
  </si>
  <si>
    <t>Entered Nov 08 actual water use, and revised Ag pool for Dec 08.</t>
  </si>
  <si>
    <t>Entered Pinnacle West del sch 5000 af, and added Green Valley Wtr Co for Dir Inc under PMR.</t>
  </si>
  <si>
    <t xml:space="preserve">               Stone Creek Farm</t>
  </si>
  <si>
    <t>Added Martori Farms as a new xs ag customer thru HVID.  Changed Odom Farms, under HVID turnout, to Stephens.  Stephens is the land ower, and contract holder.  Odom is the lessee taking the water.</t>
  </si>
  <si>
    <t xml:space="preserve">               Gilbert/Welton-Mohawk  (TDRP)</t>
  </si>
  <si>
    <t>Updated the Colorado River -- Arizona on-river usage table with ADWR actuals thru April 2002,  modifed monthly remaining schedules for Big Nine users per ADWR table.</t>
  </si>
  <si>
    <t>Entered Waddell actuals for April 05.</t>
  </si>
  <si>
    <t>Revised Tucson 2011 del sch to accommodate the 8500 af they moved out of PMR for the Tohono Nation, and then reduced the Tohono Nation del sch at AFRP/HMRP by 8500 af..</t>
  </si>
  <si>
    <t xml:space="preserve">               Ak-Chin/Pulte/AFRP &amp; HMRP</t>
  </si>
  <si>
    <t>Revised Ak Chin Cy 2010 del sch to reflect AFRP/HMRP storage.  Entered Nov 2010 actuals.</t>
  </si>
  <si>
    <t>Entered Nov 2010 actuals, revised ag pool deliveries w/o recovery, and adjusted EOY sch totals.</t>
  </si>
  <si>
    <t>Revised feb, july, aug, sept, nov 2011 Waddell operations to accommodate SRP and maintenance needs.</t>
  </si>
  <si>
    <t>Revised CY 2010 EOY scheduled water volumes.</t>
  </si>
  <si>
    <t xml:space="preserve">               El Mirage - (TDRP)</t>
  </si>
  <si>
    <t xml:space="preserve">               Gilbert - (TDRP)</t>
  </si>
  <si>
    <t>Entered CY2010 - 2012 sch for ARM, Apache Junction WC, Aqua Capital, AZ State Land Dept, BOR/recharge, AWC (both), CHCID, Florence, Green Valley, H2O, HVID,  Oasis Golf, Hopi Tribe, Mazatzal, MGFC, Phelps Dodge, QCWC, Recreational center, R ed Mt Ranch HOA, Resolution Copper, Rio Verde, RWCD, Rosemont Copper line deleted since they will not sch syorage in this year, SRP, Shea Sunbelt (Vistancia), Surprise, TGV Investments, Vail WC, Valencia line deleted since they will not be storing in this year, Vidler, WUGT,</t>
  </si>
  <si>
    <t>Checked October 2004 actuals, entered Waddell actuals, adjusted Lake Pleasant to match eom actual elevation and lake storage, updated diversion schedule Nov thru Dec. per new CAP diversion amount of 1.643 maf</t>
  </si>
  <si>
    <t>AREA</t>
  </si>
  <si>
    <t>Added Diversion Plot to YTD Sheet (and Macro)</t>
  </si>
  <si>
    <t>11/16/04</t>
  </si>
  <si>
    <t xml:space="preserve">Modified 2011 and 2012 for 30kaf Nev unused apportionment at TDRP. </t>
  </si>
  <si>
    <t xml:space="preserve">Temporary Reduced M&amp;I demand  (-) </t>
  </si>
  <si>
    <t>Temporary Indirect Reduced demand (-)</t>
  </si>
  <si>
    <t xml:space="preserve">               El Mirage (TDRP)</t>
  </si>
  <si>
    <t>Deleted CY02 del sch for SCAT = 14kaf &amp; Robson = 1000 af.  Also added Tonto Hills Utility Co to HSY segment.</t>
  </si>
  <si>
    <t>Entered SRO final actuals for March 06.</t>
  </si>
  <si>
    <t>12/17/01</t>
  </si>
  <si>
    <t>01/30/02</t>
  </si>
  <si>
    <t>01/31/02</t>
  </si>
  <si>
    <t>Modified 2006 waddell pumping schedule to accommodate SRP's wishes and CRO 2006 ceiling</t>
  </si>
  <si>
    <t>Entered Waddell actuals for Oct 2007,  updated nov 2007 waddell fill to match 1.580 MAF off river.</t>
  </si>
  <si>
    <t xml:space="preserve">               AZAmerican/Sun City (MWD)</t>
  </si>
  <si>
    <t>Added actuals for April.  Entered Stallion Mgmt as new owners of Desert Mirage (thru SRP) formerly Par Golf.  Entered revised del sch for MSIDD CY04 Ag Pool &amp; subcontract water.  Entered QCWC XS M&amp;I CY04 revised del sch.  Entered CAIDD revised Ag pool del sch for CY04.</t>
  </si>
  <si>
    <t>Entered 2008 Hoover B energy schedule.</t>
  </si>
  <si>
    <t xml:space="preserve">               Eloy, City of</t>
  </si>
  <si>
    <t>Entered Marana's CY09 - 2011 del sch.</t>
  </si>
  <si>
    <t>Waddell (1)</t>
  </si>
  <si>
    <t>Deliveries(2)</t>
  </si>
  <si>
    <t>Energy</t>
  </si>
  <si>
    <t>(TL)</t>
  </si>
  <si>
    <t xml:space="preserve">Entered CY08 - 2010 Mesa incentive water thru RWCD. </t>
  </si>
  <si>
    <t>Cancelled Tuc PMR CY02 incentive del sch, and revised HVF CY02 Drought del sch.  Also added Nov 01 actuals.  Added AZ-American to XS m&amp;I for CY01.</t>
  </si>
  <si>
    <t>12/14/01</t>
  </si>
  <si>
    <t>Modified QCR ID schedule for cy2003.   Reduced water bank and increased in-lieu with Gilbert.</t>
  </si>
  <si>
    <t>EVAPORATION</t>
  </si>
  <si>
    <t xml:space="preserve">               Roosevelt Water Conservation Dist</t>
  </si>
  <si>
    <t xml:space="preserve">               Tempe/Welton-Mohawk</t>
  </si>
  <si>
    <t>Entered SRP Aug 05 actuals.</t>
  </si>
  <si>
    <t>01/15/03</t>
  </si>
  <si>
    <t xml:space="preserve">               Tempe, City of</t>
  </si>
  <si>
    <t xml:space="preserve">               Gilbert, Town of</t>
  </si>
  <si>
    <t xml:space="preserve">               Arizona Water Co. (Apache Junct.)</t>
  </si>
  <si>
    <t xml:space="preserve">               Arizona Water Co. (Casa Grande)</t>
  </si>
  <si>
    <t>01/08/02</t>
  </si>
  <si>
    <t>Added Town of Kearney del sch for CY03 - 06.  Added Mesa Incentive water thru RWCD del sch for CY03.</t>
  </si>
  <si>
    <t>Entered Cy2011 - 13 del sch for Rosemont Copper.  Entered Aug 2010 Actuals.</t>
  </si>
  <si>
    <t>Entered CY09 - 11 del sch for ASU Karsten Golf &amp; Ancala Country Club.  Also updated the SYSCAP tab info, and revised the CY08 temp permit del sch for Aug - Dec to include Ames construction.  Adjusted CY08 Ag pool to 378 af (w/o recovery), and adjusted CY08 del sch for Coolidge Power Corp (to be  mined from the lake)..</t>
  </si>
  <si>
    <t>Entered CY04 - 06 F/C data for recharge projects, SRP, Tucson, Scottsdale, GRIIDD, and PHX.</t>
  </si>
  <si>
    <t xml:space="preserve">               Picacho Elementary School</t>
  </si>
  <si>
    <t xml:space="preserve">Checked actuals for February 2010, entered February HAV actual and Lake Pleasant actuals. </t>
  </si>
  <si>
    <t xml:space="preserve">               Chandler Heights Citris ID</t>
  </si>
  <si>
    <t>Added Delivery Schedule sheets for years 2001 through 2004 and linked those sheets to the Lake Pleasant Forecast.</t>
  </si>
  <si>
    <t>Developed and Modified 2010 and 2011 operating plans for water deliveries and energy schedules.  (cursory 2012 plan modified)</t>
  </si>
  <si>
    <t>Added incentive del sch for Chandler CY03 thry SRP.  Changed CAIDD CY04 AWBA water to 0 as per BH.</t>
  </si>
  <si>
    <t>04/26/02</t>
  </si>
  <si>
    <t>Entered Jan 07 actual deliveries for Indian &amp; M&amp;I subcontract.</t>
  </si>
  <si>
    <t>Entered 3 yr f/c for Vidler (CY04 - 06).  Also revised Hohokam Pool 3 del sch.</t>
  </si>
  <si>
    <t>Changed Waddell #'s for Jan 01.</t>
  </si>
  <si>
    <t>02/21/01</t>
  </si>
  <si>
    <t>Entered Jan 01 actual delivery data</t>
  </si>
  <si>
    <t>Purple Text =</t>
  </si>
  <si>
    <t>Modified Energy tables for 2005,2006,2007 --  updated HAV rate to 953 KWh/AF  --  recomputed SRP (own energy) water using new HAV rate and 7.5% losses =  1.728 MWh</t>
  </si>
  <si>
    <t>Increased MSIDD interstate water for Dec 05 by 3200 af.</t>
  </si>
  <si>
    <t>Revised CY04 del sch for Martori Farms, &amp; SRP XS-M&amp;I.  Entered CY05 del sch for VF Investments, Vidler, Mazatzal, Sun Environments, She Sunbelt, Val Vista Lakes, Tonto Hills, H2O Water, Kearny, Red Mt Ranch HOA, Sonoran, Southern Dunes, Springfield Golf, Apache Junction Wtr Co, MCP&amp;R.</t>
  </si>
  <si>
    <t>12/02/03</t>
  </si>
  <si>
    <t>Entered CY 2011 - 13 Del Sch for Ancala.</t>
  </si>
  <si>
    <r>
      <t xml:space="preserve">               San Xavier </t>
    </r>
    <r>
      <rPr>
        <sz val="10"/>
        <rFont val="Helv"/>
      </rPr>
      <t>(incl. Arroyos &amp; ASARCO</t>
    </r>
    <r>
      <rPr>
        <sz val="12"/>
        <rFont val="Helv"/>
      </rPr>
      <t>)</t>
    </r>
  </si>
  <si>
    <t>SAN XAVIER PP</t>
  </si>
  <si>
    <t xml:space="preserve">               LSM Golf, LLC</t>
  </si>
  <si>
    <t>Revised CY01 del sch for Scottsdale incentive water.</t>
  </si>
  <si>
    <t>05/15/02</t>
  </si>
  <si>
    <t>Changes Made</t>
  </si>
  <si>
    <t>10/27/00</t>
  </si>
  <si>
    <t>JLG</t>
  </si>
  <si>
    <t>Entered the changes to LSCRP &amp; PMR as per BH's revision to AWBA CY05 sch.</t>
  </si>
  <si>
    <t>Entered Jan 2010 actuals &amp; adjusted Ag pool back to 391,841, &amp; most all year-end totals.</t>
  </si>
  <si>
    <t>10/20/03</t>
  </si>
  <si>
    <t>Revised SRP CY04 del sch.</t>
  </si>
  <si>
    <t>SCH</t>
  </si>
  <si>
    <t>DEL</t>
  </si>
  <si>
    <t>Queen Creek ID</t>
  </si>
  <si>
    <t>H20, Inc.</t>
  </si>
  <si>
    <t>Queen Creek (M&amp;I)</t>
  </si>
  <si>
    <t>Redistributed CAGRD/incentive for CY08 among TID &amp; AFRP.  Moved Flowing Wells 500 af/LSCRP in CY08 to Marana/XS.</t>
  </si>
  <si>
    <t>Revised CAIDD CY05 Ag Subcontract del sch.</t>
  </si>
  <si>
    <t>07/09/04</t>
  </si>
  <si>
    <t>Entered CY2011 - 2013 del sch for ASU Karsten Golf.  Revised CY2010 del sch for SRP &amp; MSIDD GSF exchange.</t>
  </si>
  <si>
    <t>Redistributed 1638 af of GRD CY2010 among HMRP, AFRP, for subcontract water.</t>
  </si>
  <si>
    <t xml:space="preserve">               CAGRD (AFRP and/or HMRP)</t>
  </si>
  <si>
    <t>Entered Avondale for 2010 &amp; 2011, and May 09 MSIDD use.</t>
  </si>
  <si>
    <t>MWD LAKE STORAGE THRU T/O</t>
  </si>
  <si>
    <t>Entered new CY06 del sch for ADOT xs M&amp;I under SGL.  Revised Aug 06 deliveries for Az State Land.</t>
  </si>
  <si>
    <t>Reduced 2004 ABWA direct recharge from 425,000 AF to 189,000 AF.</t>
  </si>
  <si>
    <t>&lt;----------</t>
  </si>
  <si>
    <t>07/15/03</t>
  </si>
  <si>
    <t>Entered CY07 - 09 del sch for Apache Junction WC, Metro, CHCID, Vail, QCID, Tempe's incentive, MSIDD, Tucson, Glendale.</t>
  </si>
  <si>
    <t>Entered HAV, WAD actuals for May 2009, updated remaining HAV diversions to match SRP energy version.  Updated Lake Pleasant actuals for May 2009, adjusted Wad fill in Oct/Nov 2009 to match 1.570 maf target and threshold energy target.</t>
  </si>
  <si>
    <t>Entered 12,000 af of LP releases in Sept 07, then added 12,000 af of LP fill into Oct 2007</t>
  </si>
  <si>
    <t xml:space="preserve">               Tabletop Nursery</t>
  </si>
  <si>
    <t>09/09/02</t>
  </si>
  <si>
    <t>Entered CY03 Tentative del sch for Gilbert.</t>
  </si>
  <si>
    <t>THE RAINFALL AND AGUA FRIA GAGED INFLOWS ARE BASED ON A NORMAL YEAR.</t>
  </si>
  <si>
    <t>Revised CAIDD &amp; MSIDD AWBA/GSF CY08 del sch.  Revised MSIDD CY08 Ag Pool sch.  Also moved Santa Cruz WC CY07 del sch to MSIDD XS AG.</t>
  </si>
  <si>
    <t>Checked June 2005 actuals, adjusted Lake Pleasant to match eom actual elevation and lake storage., adjusted 2005 energy schedule to match 2180 gwh threshold limit.</t>
  </si>
  <si>
    <t xml:space="preserve">Modified 2006 and 2007 schedules for Phoenix M&amp;I water,  added Direct and Indirect Incentive water based on 2005 numbers but excluding SRP water programs. </t>
  </si>
  <si>
    <t>Revised Mesa T/O deliveries for Aug 08.</t>
  </si>
  <si>
    <t>Moved SCAT deliveries of 4166 af from Jan/Feb to Oct as per RWCD operational change.</t>
  </si>
  <si>
    <t>02/15/01</t>
  </si>
  <si>
    <t>Entered Jan 08 actual deliveries.  Also revised NMIDD &amp; SCIDD CY08 del sch for Ag pool to match invoices previously sent.</t>
  </si>
  <si>
    <t xml:space="preserve">               Pinnacle West Capital Corporation</t>
  </si>
  <si>
    <t>04/27/01</t>
  </si>
  <si>
    <t>colored cell means some flow didn't go thru turnout, actually delivered from lake thru beardsley canal</t>
  </si>
  <si>
    <t>Adjusted sep. - dec. 2006 diversions per new River diversion target of 1.613 maf.  Updated 2006 energy page per new diversion schedule.</t>
  </si>
  <si>
    <t>Entered CY10 Del sch for Chaparral, and Cy11 &amp; 12 projections.</t>
  </si>
  <si>
    <t>USABLE</t>
  </si>
  <si>
    <t>Entered Waddell Actual Pumpage for Feb 2003.</t>
  </si>
  <si>
    <t>07/28/04</t>
  </si>
  <si>
    <t>06/11/02</t>
  </si>
  <si>
    <t>06/24/03</t>
  </si>
  <si>
    <t>FLOW PASSING PIC (CFS)</t>
  </si>
  <si>
    <t xml:space="preserve">  DECEMBER</t>
  </si>
  <si>
    <t>Pinal County</t>
  </si>
  <si>
    <t>Total Navajo</t>
  </si>
  <si>
    <t xml:space="preserve">               TDRP</t>
  </si>
  <si>
    <t>Added Tempe Suuplemental XS del sch for CY06.</t>
  </si>
  <si>
    <t>Revised MSIDD/CAGRD CY06 del sch to 154 af, and moved it to Aug.  Entered all actual delivery data for April (except SRO use breakdown)</t>
  </si>
  <si>
    <t>Modified 2010 with reduced deliveries and reduced wad fill for Jan and Feb. Entered (neg af) rows in Indirect and M&amp;I for reduced deliveries.  Added 30kaf of Nev unused apportionment to TDR and LSC</t>
  </si>
  <si>
    <t>Adjusted SRP Exchange return water to 0 for all three years.  Zero'd Interstate recovery water for 2007 and 2008.</t>
  </si>
  <si>
    <t>Revised Gilbert's CY09 del sch.</t>
  </si>
  <si>
    <t xml:space="preserve">               Gilbert/SRPMIC Lease - TDRP</t>
  </si>
  <si>
    <t>Added CY02 del sch for Mazatzal &amp; MCP&amp;R.  Also revised QCWC xs M&amp;I del sch.</t>
  </si>
  <si>
    <t>09/12/01</t>
  </si>
  <si>
    <t>Entered March 09 actual delivery data.</t>
  </si>
  <si>
    <t>(2) West Plant Energy for Deliveries is west plant energy used to make deliveries. (HAV+BSH+LHQ+HSY)</t>
  </si>
  <si>
    <t>Entered Ak Chin revised estimated use for Sep - Dec 08, and in the SYSCAP tab as well.</t>
  </si>
  <si>
    <t>Added Waddell #s for June &amp; revised threshold power data.  Also changed AWC/Casa Grande &amp; Kai/AWBA del sch.</t>
  </si>
  <si>
    <t>07/18/01</t>
  </si>
  <si>
    <t>Added Robson CY02 del sch to CY 02 f/c.</t>
  </si>
  <si>
    <t>Calendar Year 2011</t>
  </si>
  <si>
    <t>Entered MCP&amp;R CY09 - 11 del sch.  Also added new file tab for CY 2011.</t>
  </si>
  <si>
    <t xml:space="preserve">               CAGRD/PMR</t>
  </si>
  <si>
    <t xml:space="preserve">               Green Valley WC/PMR</t>
  </si>
  <si>
    <t>Entered actual deliveries for CY05 (except for Waddell, SRO, permits - amounts shown are advisory only)</t>
  </si>
  <si>
    <t>Revised H20's CY05 del sch.</t>
  </si>
  <si>
    <t>Added Waddel #s for Nov 01, and changed power info.  Also changed SND plant use rate to 333 for CY01.</t>
  </si>
  <si>
    <t>Checked February 2008 actuals and Temporarily input AWBA excess at TDRP until official schedules are revised.  Updated Lake Pleasant actuals for Feb 2008.  Modified equation on energy page for SRP $10 water to include the Pinal GSF lines.</t>
  </si>
  <si>
    <t>3) Energy threshold for 2008 is 2,340 GWh.</t>
  </si>
  <si>
    <t xml:space="preserve">Entered TUC Plant use for Apr 08. </t>
  </si>
  <si>
    <t>Entered April 2008 actual Havasu pumping</t>
  </si>
  <si>
    <t xml:space="preserve">Added interstate line itme for Hohokam in CY05, and linked it at the bottom summary line for in-lieu AWBA.  Also took out all remarket request water for Tempe, Az American (PV), Avondale, Active Resources, Scottsdale, Val Vista, MWD, GRIIDD, Chandler, and Glendale.  Although Phx request was info only, Steve Rossi told me on this date that their official request will not be anymore LESS than 30kaf.  Phx will provide their offical remarket request by 3/18.  For now, I reduced their CY05 del sch by 3000 af for each month of Mar - Dec.   Also added 3 yr F/C data (CY06, 07, and 08) for Avondale &amp; Tempe. </t>
  </si>
  <si>
    <t>Entered CY07 - 09 del sch for Maricopa Drilling.</t>
  </si>
  <si>
    <t xml:space="preserve">Deleted Robson del sch (1000 af) from CY04. </t>
  </si>
  <si>
    <t>Entered Waddell inflow &amp; releases for June 08.</t>
  </si>
  <si>
    <t>Entered Waddell accounting for August 06.</t>
  </si>
  <si>
    <t>Checked January 2006 actuals, added Waddell actuals, and adjusted Lake Pleasant to match eom actual elevation and lake storage.</t>
  </si>
  <si>
    <t>Added XS Ag line for HVID in 2007.</t>
  </si>
  <si>
    <t>Changed Royal Dunes to Southern Dunes Golf Club under SGL seg - xs M&amp;I.  Revised Vidler &amp; MSIDD CY09 del sch.  Msidd's sch now includes GSF water w/SRP.  Changed Glibert CY09 del sch back to original with 11,067 af thru SRP.</t>
  </si>
  <si>
    <t xml:space="preserve">               GRIC GSF w/MSIDD</t>
  </si>
  <si>
    <t>Entered CY2011 - 13 del sch for Mazatzal, Chandler, MSIDD, MWD, RWCD, TGV Investments, Vail, GRIC, CAIDD.</t>
  </si>
  <si>
    <t>Entered revised CY07 del sch for MSIDD Ag Pool (recovery) &amp; Nevada water.  Also entered Town of Buckeye for CY07 storage at TDRP.</t>
  </si>
  <si>
    <t>Added GRIC XS del sch to cy01</t>
  </si>
  <si>
    <t>07/30/01</t>
  </si>
  <si>
    <t xml:space="preserve">Entered Aug 02 actuals &amp; Waddell, Plus CY 03 del sch for AZ Pacific, QCID, AWC (both), SRP, Ak-Chin thru 05, AZ Stare Land. </t>
  </si>
  <si>
    <t>08/25/03</t>
  </si>
  <si>
    <t>09/29/01</t>
  </si>
  <si>
    <t>Entered CY2011 - 13 del sch for Eloy &amp; El Mirage.</t>
  </si>
  <si>
    <t xml:space="preserve">               CAIDD (Central Main)</t>
  </si>
  <si>
    <t>Maricopa Water District Lake Water (**)</t>
  </si>
  <si>
    <t xml:space="preserve">               GRIC/SRP excahnge</t>
  </si>
  <si>
    <t>1st Iteration for cy2006 delivery plan.  Incorporated maintenance schedules, recharge schedules, and Lake Pleasant pumped/storage operation.  Target 1.6 maf for river diversion.</t>
  </si>
  <si>
    <t>Added Webb Farms del sch, &amp; revised Anthum Jan - Mar # for f/c only (del sch did not change).</t>
  </si>
  <si>
    <t>04/07/03</t>
  </si>
  <si>
    <t>Revised MSIDD 08 draft AWBA/GSF sch, AWBA schedule for CAV/SAV, and AWBA TDRP for remaining turn back water.</t>
  </si>
  <si>
    <t>Entered Maricopa Drilling CY05 del sch.  Also entered BH's Waddell accounting #s for August, and CAVSARP recovery for 8/04..</t>
  </si>
  <si>
    <t>Entered CY09 del sch.</t>
  </si>
  <si>
    <t xml:space="preserve">               Aqua Capital (TDRP)</t>
  </si>
  <si>
    <t xml:space="preserve">               Aqua Capital/LSCRP</t>
  </si>
  <si>
    <t xml:space="preserve">               Oro Valley/LSCRP</t>
  </si>
  <si>
    <t xml:space="preserve">               Oro Valley/Kai Farms</t>
  </si>
  <si>
    <t xml:space="preserve">               Aqua CapitalKai Farms</t>
  </si>
  <si>
    <t>3) Energy threshold for 2011 is 2,431 GWh.</t>
  </si>
  <si>
    <t xml:space="preserve">4) Estimated surcharge carryover from 2010 to Oct 2011 is 0 MWh.  </t>
  </si>
  <si>
    <t>Entered CY2005 delivery sched for Sun State rock products</t>
  </si>
  <si>
    <t>Added 1019 af to CY03 F/C for CAP incentive recharge into HMRP - credits earned from this storage will be transferred to Mohave County once approved by DWR.  Reduced CY 04 storage into HMRP for Mhave to 0 af.</t>
  </si>
  <si>
    <t>11/06/03</t>
  </si>
  <si>
    <t>Adjusted Gilbert Assignment &amp; Lease water deliveries from Jan - Sep, 2002 due to Mesa/Gilbert Highland HS reconciliation.  This Gilbert Mesa change was 928 af total being subtracted from Gilbert and added to Mesa.  Mesa changes are reflected all in one month (October) - so monthly customer deliveries have all changed.as a result.  Added October 02 actual deliveries.  Addjusted CY02 SRP exchange water to reflect actual exchange remaining after they used some payback water in Jan, Feb, &amp; June.  CY02 exchange balance also includes a carry-over exchange balance from CY01 of 954 AF.  This 954 AF carry-over is reflected in the Jan exchange #.</t>
  </si>
  <si>
    <t>Revised CY09 Ag Pool del sch for CAIDD, HIDD, &amp; MSIDD as a result of redistributed Ag Pool water.  Entered CAIDD del sch for CY10 &amp; 11.  Revised AVRP &amp; LSCRP CY08 storage for AWBA.</t>
  </si>
  <si>
    <t>Reduced Dec 2008 Waddell releases by 20,000 af, to divert 20,000 more Yuma Groundwater Permit water in 2008 which was just given back to us by the USBR.</t>
  </si>
  <si>
    <t>Revised CY05 Ag Settlement Pool del sch for CAIDD, MWD, MSIDD, NMIDD, SRP, RWCD, &amp; Hoihokam, to acct for the redistributed water from STID &amp; Tuc AMA.</t>
  </si>
  <si>
    <t>COLORADO RIVER ACTUAL</t>
  </si>
  <si>
    <t>Revised AWC/CG CY04 del sch.  Revised Tono Goodyear incentive for CY03.  1500 af was moved between afrp to tono.</t>
  </si>
  <si>
    <t>06/09/04</t>
  </si>
  <si>
    <t>BRADY</t>
  </si>
  <si>
    <t>CMA</t>
  </si>
  <si>
    <t>Picacho School</t>
  </si>
  <si>
    <t>T/O = CMA</t>
  </si>
  <si>
    <t>SGMT 5 TOTAL</t>
  </si>
  <si>
    <t>PICACHO</t>
  </si>
  <si>
    <t>SMA</t>
  </si>
  <si>
    <t>T/O = SMA</t>
  </si>
  <si>
    <t>P</t>
  </si>
  <si>
    <t>Kai Farms (1 - 3)</t>
  </si>
  <si>
    <t>SGMT 6 TOTAL</t>
  </si>
  <si>
    <t>SEGMENT TOTALS</t>
  </si>
  <si>
    <t xml:space="preserve">QCID thru Seg 6 Total </t>
  </si>
  <si>
    <t>Average Monthly CFS</t>
  </si>
  <si>
    <t>QCID to Pool 30 Total</t>
  </si>
  <si>
    <t>POOL 30 TOTAL</t>
  </si>
  <si>
    <t>Entered revised HVID delivery schedule for 2006, which increased supplemental water order.   Diversion schedule adjusted accordingly.</t>
  </si>
  <si>
    <t>Entered CAGRD Nov 08 actual use, and revised their CY08 XS &amp; incentive del sch.</t>
  </si>
  <si>
    <t>10/22/01</t>
  </si>
  <si>
    <t>05/02/02</t>
  </si>
  <si>
    <t xml:space="preserve">               San Carlos Apache Tribe/SRP</t>
  </si>
  <si>
    <t>04/22/02</t>
  </si>
  <si>
    <t xml:space="preserve">               Vidler Water Company</t>
  </si>
  <si>
    <t>Entered March 2010 Waddell accgt.</t>
  </si>
  <si>
    <t>Entered April 08 actuals.</t>
  </si>
  <si>
    <t>SND</t>
  </si>
  <si>
    <t>BLK</t>
  </si>
  <si>
    <t>Use rate</t>
  </si>
  <si>
    <t>CAIDD AWBA &amp; Ag Pool del sch for CY08 was revised to accommodate the 5kaf that HIDD needed to change to meet their permit capacity.</t>
  </si>
  <si>
    <t>Modified 2002 and 2003 forecasts adjusting Waddell pumpage/outflow and Direct AWBA numbers to meet normal CAP Colorado River Diversion assumption of 1.6 MAF.</t>
  </si>
  <si>
    <t>06/07/01</t>
  </si>
  <si>
    <t xml:space="preserve">Cut CMA, SAV, SKT, and SX2 deliveries in half for Nov 2008, to accommodate south outage  </t>
  </si>
  <si>
    <t>Cut PMR deliveries in half for Oct and Nov 2008, to accommodate south outage</t>
  </si>
  <si>
    <t>Added recover line for interstate recovery. cy2003, 2004</t>
  </si>
  <si>
    <t xml:space="preserve">               Peoria</t>
  </si>
  <si>
    <t xml:space="preserve">  NOVEMBER</t>
  </si>
  <si>
    <t>Entered CY 2010 - 2012 del sch for Gilbert.  Revised NMIDD &amp; HVID CY2010 Ag Pool.</t>
  </si>
  <si>
    <t>Modified 2007 Ag Pool use for remaining months at HVID, MSIDD, CAIDD,HID,NMID to match revised ag pool allocations.  The Ag users have been significantly ahead of schedule which was skewing other delivery and energy numbers.</t>
  </si>
  <si>
    <t xml:space="preserve">               Tucson/BKW/GSF-Milewide</t>
  </si>
  <si>
    <t>05/29/03</t>
  </si>
  <si>
    <t>Revised CY09 del sch for Peoria &amp; CHCID.  Revised CY08 Ag Pool, and SYSCAP tab.</t>
  </si>
  <si>
    <t xml:space="preserve">               Resolution Copper/HIDD &amp; NMIDD</t>
  </si>
  <si>
    <t>Entered multiple CY04 del sch.</t>
  </si>
  <si>
    <t xml:space="preserve">  MARCH</t>
  </si>
  <si>
    <t xml:space="preserve">  APRIL</t>
  </si>
  <si>
    <t>(acre-feet)</t>
  </si>
  <si>
    <t>Entered CY04 actual deliveries for Sep, Waddell Accounting, SND Recovery, MWD lake.   Also entered CY05 del sch for Glendale, Martori Farms, Az Pacific, Indians, Gilbert. CAGRD, Revised Recharge</t>
  </si>
  <si>
    <t>08/23/01</t>
  </si>
  <si>
    <t>Added CY02 del sch for Red Mt Ranch</t>
  </si>
  <si>
    <t>Added CY04 del sch for Mazatal, NMIDD &amp; MWD of Sca.</t>
  </si>
  <si>
    <t>08/24/01</t>
  </si>
  <si>
    <t>Revised Vidlers 2010 del sch.</t>
  </si>
  <si>
    <t>Adjusted Dec 2005 Waddell filling from 95kaf to 0 af per meeting with Larry, Tim, Brian and Patrick on target end of year water elevation in Lake Pleasant.  Decision to end near elev 1681 for flood storage buffer, and leave water in Mead storage.</t>
  </si>
  <si>
    <t>Entered HAV Nov 2008 actual, Checked November 2008 actuals, updated Lake Pleasant actuals for Nov 2008.  adjusted wad fill/release in Dec. to match updated eoy diversion target of 1.554 maf</t>
  </si>
  <si>
    <t>Revised HVID CY09 &amp; 2010 del sch for Glendale, MSIDD, Mesa, Tom's recharge sch for all, Chandler &amp; Gilbert TDRP only, Phoenix, Gilbert, &amp; Scottsdale.   Resvised MSIDD &amp; SRP 08 to acct for the 10kaf of in-lieu w/SRP - temporarily entered the 20kaf for MSIDD &amp; CAIDD under the xs-M&amp;I section of SGL seg.</t>
  </si>
  <si>
    <t>Revised Mesa Golf Center del sch.</t>
  </si>
  <si>
    <t>07/10/01</t>
  </si>
  <si>
    <t xml:space="preserve">     Direct Incentive</t>
  </si>
  <si>
    <t xml:space="preserve">     Direct AWBA</t>
  </si>
  <si>
    <t xml:space="preserve">     Indirect Incentive</t>
  </si>
  <si>
    <t xml:space="preserve">     Indirect AWBA</t>
  </si>
  <si>
    <t>05/12/03</t>
  </si>
  <si>
    <t>Increased 07 MSIDD AWBA/GSF del sch in Oct by 3kaf.</t>
  </si>
  <si>
    <t>Checked January 2008 actuals and remainder year schedule.  Added CRO Actual to top header section.</t>
  </si>
  <si>
    <t xml:space="preserve">               Hopi Tribe (TDRP)</t>
  </si>
  <si>
    <t>Entered Permit sch for CY09, and revised CY09 del sch for El Mirage.  Also entered late CY09 del sch for SCIDD, Red Mt HOACommunity SW, Hopi Tribe.</t>
  </si>
  <si>
    <t>Increased SND volumes in 2006 and 2007 to match tucson's projected build-out</t>
  </si>
  <si>
    <t>Entered Waddell accgt for Nov 04.</t>
  </si>
  <si>
    <t>Note=  The Macro should update table and titles for labels on dates and on the graphs.</t>
  </si>
  <si>
    <t xml:space="preserve">               Glendale/Assignment</t>
  </si>
  <si>
    <t>10/23/03</t>
  </si>
  <si>
    <t>Entered CY06 - 08 del sch for New Harquahala Generating, Vail, Goodyear, Oro Valley, Viewpoint, Tonto National Forest, Metro, MWD, Kai, BKW, QCID.</t>
  </si>
  <si>
    <t>Revised TDRP June storage for Surpise.</t>
  </si>
  <si>
    <t>Updated 2002 Deliveries -- On-River usage with actual volumes thru May 2002</t>
  </si>
  <si>
    <t xml:space="preserve">               City of Tucson/Plant</t>
  </si>
  <si>
    <t>TOTAL DELIVERIES</t>
  </si>
  <si>
    <t>VOLUME PASSING BRD</t>
  </si>
  <si>
    <t>FLOW PASSING BRD (CFS)</t>
  </si>
  <si>
    <t>Revised SRP del sch for Aug - Dec 03 to reflect redistributed monthly volumes for the additional 25kaf of $6/af water.  Also added Eloy CY04 del sch.  Redistributed 1500 af of Goodyear incentive water from Tonopah and put it into AFRP storage for Sep 03.  Revised Tucson CY03 del sch for CAVSARP &amp; MW, and added 5000 af to CAV Dec 03 on behalf of the AWBA.</t>
  </si>
  <si>
    <t>Revised CY03 GRD del sch for Scottsdale, and changed the April 03 water use for Scott under GRD - facility not ready yet.</t>
  </si>
  <si>
    <t xml:space="preserve">Entered AZ American CY 2010 &amp; 2011 projections, and May 09 temp permits. </t>
  </si>
  <si>
    <t>reduced sept 03 pass-thru pumping due to pool 16 lining repairs.  Increased pleasant fill in oct - dec to compensate.</t>
  </si>
  <si>
    <t>Entered CY07 - 09 del sch for Chaparral.</t>
  </si>
  <si>
    <t xml:space="preserve">               CAVSARP - BKW pumps</t>
  </si>
  <si>
    <t>Revised CAVSARP's CY08 delivery sch for AWBA  as per Dee's email of 6/11/08.</t>
  </si>
  <si>
    <t>Reviewed Lake Pleasant Operating Forecast Numbers for Storage and Elevation.</t>
  </si>
  <si>
    <t>VOLUME PASSING SXV</t>
  </si>
  <si>
    <t>Compiled by CAWCD Water Control Branch</t>
  </si>
  <si>
    <t>(E O M)</t>
  </si>
  <si>
    <t>ADJUSTED</t>
  </si>
  <si>
    <t>M W D</t>
  </si>
  <si>
    <t>C A P</t>
  </si>
  <si>
    <t>SEEPAGE</t>
  </si>
  <si>
    <t>Entered CY07 - 09 del sch for Shea Homes/Avalea project.  Revised CAGRD CY06 del sch for XS M&amp;I &amp; incentive water.</t>
  </si>
  <si>
    <t xml:space="preserve">               Gilbert, town of</t>
  </si>
  <si>
    <t>Entered CY09 - 11 del sch for Red Mt Ranch CC, Active Resource Mgmt, GRIIDD, &amp; RWCD.</t>
  </si>
  <si>
    <t>Revised SCIDD Drought water for 03 for BH review/approval.</t>
  </si>
  <si>
    <t>(ED)</t>
  </si>
  <si>
    <t>Set eoy 2008 Havasu diversions at 1.566 MAF, by reducing Nov 2008 Havasu pumping from 75K to 58K.  Entered Apr and May 2008 Threshold Energy actuals.</t>
  </si>
  <si>
    <t>Calendar Year 2012</t>
  </si>
  <si>
    <t>(FT)</t>
  </si>
  <si>
    <t>Removed 2004 Deliver and Power Sheets, added 2008, updated Lake Pleasant Forecast, and updated canal losses for all years to theoretical.</t>
  </si>
  <si>
    <t xml:space="preserve">               Pasqua YaQui/SAVSARP</t>
  </si>
  <si>
    <t>Entered Waddell actual for January 2008, updated Lake Pleasant actuals for January 2008, entered new runoff inflow estimate for Feb 2008, updated 12 month Lake Pleasant projection.</t>
  </si>
  <si>
    <t>LITTLE HARQUAHALA  PP</t>
  </si>
  <si>
    <t xml:space="preserve">               Oro Valley/PMR</t>
  </si>
  <si>
    <t>Revised Eloy CY09 &amp; 2010 del sch.</t>
  </si>
  <si>
    <t>Moved 2004, 2005 Energy pages to individual worksheets.  Note:  last rolling year, ie. 2006 will be maintained the same with water and energy on same page, due to future page copy and linking.</t>
  </si>
  <si>
    <t>1/26/04</t>
  </si>
  <si>
    <t>10/02/01</t>
  </si>
  <si>
    <t>03/21/02</t>
  </si>
  <si>
    <t>Modified 2006 waddell pumping schedule to adjust to C.River entitlement volume of 1.575 maf and SRP power agreement (Jan-June schedule).</t>
  </si>
  <si>
    <t>Redistributed CAGRD CY05 excess &amp; incentive use (after f/c was distributed for the month).</t>
  </si>
  <si>
    <t xml:space="preserve">               New Magma IDD</t>
  </si>
  <si>
    <t xml:space="preserve">               Gilbert/SRPMIC Lease</t>
  </si>
  <si>
    <t xml:space="preserve">          Interstate Banking (from Direct AWBA)</t>
  </si>
  <si>
    <t xml:space="preserve">               Gilbert/QCID</t>
  </si>
  <si>
    <t>Entered CY2010 - 12 del sch for AZ Wholesale Growers.</t>
  </si>
  <si>
    <t xml:space="preserve">Entered CY06 - 08 del sch for Sonoran Land, AWC, CAIDD, Shea Sunbelt, Tonto Hills, CMID, revised RWCD Ag Pool. </t>
  </si>
  <si>
    <t>Checked February 2006 actuals, added Waddell actuals, and adjusted Lake Pleasant to match eom actual elevation and lake storage.  Rechecked rest of year monthly diversions.</t>
  </si>
  <si>
    <t>Entered CY06 - 08 CAGRD del sch.  Revised CAIDD CY06 ag pool sch.</t>
  </si>
  <si>
    <t>(ACRES)</t>
  </si>
  <si>
    <t>Added CY02 del sch for AWC CG &amp; AJ, CAIDD, &amp; Pinal Cnty Augmentation Auth.</t>
  </si>
  <si>
    <t>10/01/01</t>
  </si>
  <si>
    <t>Calendar Year 2008</t>
  </si>
  <si>
    <t xml:space="preserve">               CAGRD/LSCRP</t>
  </si>
  <si>
    <t>Entered CY08 - 2010 del sch for New Harq. Gen Co., VF Investments, Harq. Valley Farms, Tonto NatL Forest, Shea Sunbelt, Recreational Center, Stallon Mgmt was deleted, Sun State was deleted, Florence, Maricopa Drilling, Mesa Golf Center, Red Mt Ranch CC, Red Mt Ranch HOA, &amp; Santa Cruz WC.</t>
  </si>
  <si>
    <t xml:space="preserve">               Queen Creek ID</t>
  </si>
  <si>
    <t>Redistributed SAVSARP deliveries for CY08 per Dick Thompson at Tucson water.</t>
  </si>
  <si>
    <t>Cleaned up 2006 surcharge energy use</t>
  </si>
  <si>
    <t xml:space="preserve">Modified Direct Recharge monthly distributions for State Demo facilities to resolve and accommodate monthly capacity constraints for the facilities with AWBA, CAGRD, and cities.  </t>
  </si>
  <si>
    <t>06/17/02</t>
  </si>
  <si>
    <t>Entered CY05 del sch for Mesa Golf Center.  Also revised NMIDD AWBA del sch for CY04.</t>
  </si>
  <si>
    <t>11/19/03</t>
  </si>
  <si>
    <t>SAN</t>
  </si>
  <si>
    <t>BRW</t>
  </si>
  <si>
    <t>HIDD AWBA &amp; Ag Pool del sch for CY08 was revised to accommodate the 5kaf that HIDD needed to change to meet their permit capacity via agreement with CAIDD &amp; MSIDD.</t>
  </si>
  <si>
    <t>Checked actuals for August 2010.  Revised oct-nov 2010 wad fill to make west flow = 3000 cfs.  Adjusted Dec 2010 diversion to hit target 1.651 maf.energy use.</t>
  </si>
  <si>
    <t>Checked March 2004 actuals, adjusted Lake Pleasant to match eom actual elevation and lake storage.</t>
  </si>
  <si>
    <t>Redistributed SRP CU05 XS M&amp;I ($11/AF) water for Jun - Dec.</t>
  </si>
  <si>
    <t xml:space="preserve">               Metro/BKW</t>
  </si>
  <si>
    <t>Revised:  1/24/11</t>
  </si>
  <si>
    <t xml:space="preserve">               Tohono O'Odham/Schuk Toak</t>
  </si>
  <si>
    <t>Changed del sch for Robson Communities.</t>
  </si>
  <si>
    <t>03/02/01</t>
  </si>
  <si>
    <t xml:space="preserve">               Schafer, Todd (Bob White Farms)</t>
  </si>
  <si>
    <t>Reduced Vidler CY03 incentive by 7kaf and added it to HVID Pool 3 for CY03.  Also reduced CY04 - 06 direct recharge/AWBA deliveries to avoid double accounting of the same deliveries from GRD.  Added Mohave County Wtr Authority as a new Incentive customer who w/store water at HMR.</t>
  </si>
  <si>
    <t>Revised SYSCAP tab for Oct.</t>
  </si>
  <si>
    <t>VOLUME PASSING SND</t>
  </si>
  <si>
    <t>02/25/02</t>
  </si>
  <si>
    <t>07/16/04</t>
  </si>
  <si>
    <t>Elevation</t>
  </si>
  <si>
    <t>Volume Ac-ft</t>
  </si>
  <si>
    <t>05/19/04</t>
  </si>
  <si>
    <t>Updated the on river users table for the month of October and November. (No Likely change to December 2002 Havasu Pumping Target)</t>
  </si>
  <si>
    <t>updated nov 2007 waddell pumping to get 1.580 MAF off river</t>
  </si>
  <si>
    <t>Reduced SCIDD CY06 Ag Pool water by 28264 af, and increased HVID Ag Pool/Supplemental XS water by the same amount.</t>
  </si>
  <si>
    <t xml:space="preserve">               CAGRD (TDRP)</t>
  </si>
  <si>
    <t>Revised Temp permit use for July 02.  Entered CY03 del sch for Maricopa County Parks.</t>
  </si>
  <si>
    <t xml:space="preserve">Adjusted WAD fill in Sept, Oct, Nov 2007 to lock in diversions at 130,000 af in Sept, plus hit 1.57 MAF year-end diversions.  Entered July and Aug 2007 actual threshold energy. </t>
  </si>
  <si>
    <t>Entered Jan 05 actual water use &amp; Waddell accounting.  Redistributed Chandler CY05 del sch - annual volumes will not change.</t>
  </si>
  <si>
    <t>02/28/05</t>
  </si>
  <si>
    <t>Entered CY07 - 09 del sch for Carefree</t>
  </si>
  <si>
    <t>WADDELL RELEASES</t>
  </si>
  <si>
    <t>;07/20/04</t>
  </si>
  <si>
    <t>04/18/01</t>
  </si>
  <si>
    <t>08/08/03</t>
  </si>
  <si>
    <t>Reduced QCID Pool 1 allocation by 4kaf and redistributed it to HVID &amp; NMIDD @ 2kaf ea in August 03.</t>
  </si>
  <si>
    <t>Revised AWBA Direct Recharge schedule per meeting with T. Harbour on facility capacities and increased delivery during off-peak months. CY2004</t>
  </si>
  <si>
    <t>Entered Maricopa Drilling CY03 del sch.  Put in actual Waddell pmpg/otflw for July 02.  Changed power #s.</t>
  </si>
  <si>
    <t>05/05/03</t>
  </si>
  <si>
    <t>Entered CY04-06 CAGRD f/c.</t>
  </si>
  <si>
    <t>01/14/03</t>
  </si>
  <si>
    <t>AG</t>
  </si>
  <si>
    <t>M&amp;I</t>
  </si>
  <si>
    <t xml:space="preserve">Revised CY08 Ag pool Jul - Dec projections to keep total Ag pool volume to 376kaf for the year. </t>
  </si>
  <si>
    <t xml:space="preserve">Entered cy04 del sch for MCP&amp;R and Mojave County Water Auth. </t>
  </si>
  <si>
    <t xml:space="preserve">               Interstate (CAIDD/CMAN) 60%</t>
  </si>
  <si>
    <t xml:space="preserve">               CAIDD/SMAN (20%)</t>
  </si>
  <si>
    <t xml:space="preserve">               Interstate (CAIDD/SMAN) (20%)</t>
  </si>
  <si>
    <t xml:space="preserve">               Vidler/RWCD</t>
  </si>
  <si>
    <t>Inserted february actual surcharge use in 2006 energy sheet</t>
  </si>
  <si>
    <t>BOUSE  PP</t>
  </si>
  <si>
    <t>Adjusted Oct 01 for Tonopah pool 2 vs goodyear incentive.</t>
  </si>
  <si>
    <t>12/13/01</t>
  </si>
  <si>
    <t>Entered CY05 July actual water use.   Also entered new line item for Direct incentive to LSCRP for CAP storage with Pima County funds.</t>
  </si>
  <si>
    <t>Revised Del Sch for CY03 for Pinal County XS M&amp;I.</t>
  </si>
  <si>
    <t xml:space="preserve">Entered CY07 - 09 del sch Green Valley, Avondal, Scottsdale, Tohono O'Odham, San Xavier, SCAT/SRP, SCAT/SGL-placeholder, </t>
  </si>
  <si>
    <t>05/20/04</t>
  </si>
  <si>
    <t>Added CY03 f/c data.  Revised SCIDD del sch for CY02.</t>
  </si>
  <si>
    <t>PICACHO PP</t>
  </si>
  <si>
    <t>09/19/03</t>
  </si>
  <si>
    <t>Entered August 2004 actual deliveries.</t>
  </si>
  <si>
    <t>Entered Waddell accounting, &amp; temp permit use for July 08, also revised July 08 water use for Viewpoint.  Entered Mesa's incentive del sch for CY09 - 11.</t>
  </si>
  <si>
    <t xml:space="preserve">               Ak-Chin/Pulte/Festrival Rch pumps</t>
  </si>
  <si>
    <t>Added actual data to CY01.</t>
  </si>
  <si>
    <t>10/04/02</t>
  </si>
  <si>
    <t xml:space="preserve">               CAIDD (60%)</t>
  </si>
  <si>
    <t xml:space="preserve">               Gilbert/Lease- TDRP</t>
  </si>
  <si>
    <t>04/12/04</t>
  </si>
  <si>
    <t>Added Mesa Incentive water in CY04.</t>
  </si>
  <si>
    <t>Edited and Developed a draft 2010 delivery schedule.  3-year forecast to be sent to SRP.</t>
  </si>
  <si>
    <t xml:space="preserve">               Harquahala Valley ID</t>
  </si>
  <si>
    <t xml:space="preserve">               Tonopah ID</t>
  </si>
  <si>
    <t xml:space="preserve">               Cave Creek Water Company</t>
  </si>
  <si>
    <t>Entered CY2011 - 13 del sch for Southern Dunes Golf Club.</t>
  </si>
  <si>
    <t>Checked November 2005 actuals, added Waddell actuals, and adjusted Lake Pleasant to match eom actual elevation and lake storage.</t>
  </si>
  <si>
    <t>Feb</t>
  </si>
  <si>
    <t>Mar</t>
  </si>
  <si>
    <t>Revised SRP CY06 Jan XS/M&amp;I del sch to 3000 af.  Also, added AZ State land/ADOT line item to SGL seg.</t>
  </si>
  <si>
    <t>05/24/01</t>
  </si>
  <si>
    <t xml:space="preserve">               Avondale (AFRP &amp; HMRP)</t>
  </si>
  <si>
    <t xml:space="preserve">               RWCD/Excess</t>
  </si>
  <si>
    <t>Changed power #s as requested by TFK under Projection of Navajo Power Purchases page for Sep 02 Hoover B &amp; C.</t>
  </si>
  <si>
    <t>09/16/02</t>
  </si>
  <si>
    <t xml:space="preserve">               CAVSARP - BKW Pumps</t>
  </si>
  <si>
    <t xml:space="preserve">               Tucson/PMR</t>
  </si>
  <si>
    <t>08/04/04</t>
  </si>
  <si>
    <t>12/16/01</t>
  </si>
  <si>
    <t>08/11/04</t>
  </si>
  <si>
    <t>Entered CY2011 - 13 Avondale, H2O, &amp; Shea Hms Encanterra del sch.</t>
  </si>
  <si>
    <t>Entered SRO T/O customers actuals for March 08.</t>
  </si>
  <si>
    <t>Entered Waddell actuals for Dec 04.</t>
  </si>
  <si>
    <t>Revised MSIDD delivery schedule per B.Betcher fax, for June thru Dec. 2002  includes pool water - OK, water bank in-lieu schedule</t>
  </si>
  <si>
    <t>Revised del sch for CY02 for Shea Sunbelt.</t>
  </si>
  <si>
    <t>03/09/04</t>
  </si>
  <si>
    <t xml:space="preserve">               Gilbert/Assignment</t>
  </si>
  <si>
    <t>Revised Hieroglyphic Recharge schedule (AWBA) by entering 2500 af for June, July, August , September.    0'd out Oct thru Dec.   Prep schedule for potential extra water for recharge in fall.</t>
  </si>
  <si>
    <t xml:space="preserve">               Ak-Chin Farm Indian Community</t>
  </si>
  <si>
    <t>Revised Tucson/Subcontract water use for May, CY06 (CAVSARP use was more than originally reported).</t>
  </si>
  <si>
    <t>Revised CY03 del sch for Scottsdale/incentive water.  Enetered multiple CY04 del sch.  Revised BKW/AWBA del sch for CY03.  Added new categories for Ag subcontract and non-subcontract water to F/C.</t>
  </si>
  <si>
    <t xml:space="preserve">               Arizona Water Co. (Apache Junction)</t>
  </si>
  <si>
    <t>Revised Green Valley WC CY02 del sch - moved from incentive to M&amp;I subcontract.</t>
  </si>
  <si>
    <t>Added AZ Wholesale Growers, Rancho Escalante &amp; Pinnacle West CY02 del sch.</t>
  </si>
  <si>
    <t>10/16/01</t>
  </si>
  <si>
    <t>Target = 2370</t>
  </si>
  <si>
    <t xml:space="preserve">               Royal Dunes Golf Club</t>
  </si>
  <si>
    <r>
      <t>6) WE</t>
    </r>
    <r>
      <rPr>
        <vertAlign val="subscript"/>
        <sz val="11"/>
        <rFont val="Arial"/>
        <family val="2"/>
      </rPr>
      <t>2</t>
    </r>
    <r>
      <rPr>
        <sz val="11"/>
        <rFont val="Arial"/>
        <family val="2"/>
      </rPr>
      <t xml:space="preserve"> = SRP $11 water volume (AF) * 1728 KWh per AF.</t>
    </r>
  </si>
  <si>
    <t>06/03/04</t>
  </si>
  <si>
    <t>Entered HAV actual for June 2010.  Adjusted July/Aug/Dec 2010 diversions to hit 1.672 MAF available CRO water in 2010.</t>
  </si>
  <si>
    <t>Checked overall actuals and entered Lake Pleasant actuals for June 2010.</t>
  </si>
  <si>
    <t xml:space="preserve">Reduced HVID CY05 Ag Pool del sch in Dec by 2500 af.  Entered new line items for CAVSARP interstate water, and moved 5000 af of current del sch from intrastate to interstate in Nov &amp; Dec CY05.  Also cleaned up the Direct/Indirect AWBA "Intra"state vs "Inter"state summary line formulas - there was some double accounting of cell addresses. </t>
  </si>
  <si>
    <t>02/22/01</t>
  </si>
  <si>
    <t>12/19/01</t>
  </si>
  <si>
    <t>08/13/02</t>
  </si>
  <si>
    <t>Entered HAV and Waddell actuals for May 2010.  Adjusted June 2010 diversion lower and Sept 2010 diversion higher to hit 1.673 MAF available CRO water in 2010.</t>
  </si>
  <si>
    <t xml:space="preserve">               Metro/LSCRP</t>
  </si>
  <si>
    <t xml:space="preserve">               Metro/AVRP</t>
  </si>
  <si>
    <t xml:space="preserve">               CAGRD/Superstition Mt</t>
  </si>
  <si>
    <t xml:space="preserve">               CAGRD/AFRP and/or HMRP</t>
  </si>
  <si>
    <t>Entered remaining Sep 2010 actuals, revised Ag Pool EOY totals to reflect 400kaf pool less recovery = 391,841 AF, and adjusted Sep 2010 EOY totals for M&amp;I subcontract, GRD XS, MWD Lake, SRP bring your own power, and "all" recharge &amp; Federal.   Also entered CY 2011 - 2013 del sch for Glendale, CHCID, Metro, Kai, CAGRD.</t>
  </si>
  <si>
    <t>Checked overall actuals and entered Lake Pleasant actuals for May 2010.</t>
  </si>
  <si>
    <t>Revised Pinal county del sch.  Added Waddell actuals for April 02, and changed power #s accordingly.</t>
  </si>
  <si>
    <t>Calendar Year 2009</t>
  </si>
  <si>
    <t>Moved CAIDD CY04 Ag Subcontract deliveries into their settlement pool deliveries as a result of their relinquished Ag subcontract.  This resulted in changes to their AWBA/interstate delivery postings as well, since the additional subcontract Ag water used all their pool water and reduced their previous bank deliveries.  Entered Nov actuals.</t>
  </si>
  <si>
    <t xml:space="preserve">               Arizona Pacific Materials, LLC</t>
  </si>
  <si>
    <t>Revised Avondale CY09 incentive sch, QCID &amp; Kai CY09 AWBA/GSF sch.  Revised Eloy Sep 09 use.</t>
  </si>
  <si>
    <t>Updated Lake Pleasant actuals for July 2009, re-adjusted Waddell operations schedule to match TFK previous revisions and 1.581 maf target.</t>
  </si>
  <si>
    <t xml:space="preserve">Adjusted 2006 AG Pool by -20,000 af to catch up with correct end of year volume. Input negative schedules for December for CAIDD (S.R), MSIDD, and HoHokam. </t>
  </si>
  <si>
    <t>Modified cy2006, 07, 08 diversions, various deliveries,  and pumping schedules per estimates used in G.Given Long-range forecast.</t>
  </si>
  <si>
    <t>MSIDD Ag Subcontract decreased from 11040 af to 9026 af for 2006, so MSIDD Ag Settlement Pool water increased accordingly by 2014 af.</t>
  </si>
  <si>
    <t>Revised Hohokam AWBA/GSF 2007 del sch.  Entered 08 - 2010 del sch for APS.</t>
  </si>
  <si>
    <t>Changed VF Investment March 2002 volume to 300 af.</t>
  </si>
  <si>
    <t xml:space="preserve">Entered Aug 09 Waddell accounting, SRP exchange, MWD lake, &amp; temp permits.  Transferred 800 af from MSIDD nevada acct, and moved it to Kai farms/AWBA.  Also moved 500 af from GRD /HMRP full cost excess to TID under GRD/excess. </t>
  </si>
  <si>
    <t>Added XS-M&amp;I customer to BLK seg (ASARCO).  Also aentered July 07 actual delivery data.</t>
  </si>
  <si>
    <t>Reduced Tempe 2009 del sch by 500 af.  Revised Sep 09 SYSCAP tab.  Revised 2009 ag pool to 373 kaf after dropping in Sep actuals.  Updated 2009 EOY totals.  Revised 2009 XS/GRD sch to increase TID use by 250 af, and reduce HMRP by the same.</t>
  </si>
  <si>
    <t>Checked AWBA numbers. Modified CAIDD to 20%, 60%, 20% distribution. Changed waddell pumping for Nov/Dec.  Assuming available pass-thru-pumping plan per SRP extra on-peak hours.</t>
  </si>
  <si>
    <t>Revised April 04 water use for AWBA @ AFRP, and AFRP for Gilbert Incentive.  Water planning exceeded Gilbert's inc sch @ AFRP by 111 af (Gilbert didn't want the extra water), and adjusted April delivery postings accordingly.  Added June 04 actuals to f/c.</t>
  </si>
  <si>
    <t>Revised MSIDD CY04 del sch.</t>
  </si>
  <si>
    <t>Revised CAIDD 08 AWBA/GSF &amp; Nevada del sch.</t>
  </si>
  <si>
    <t>Revised Jan - Apr water deliveries by removing recovery water from Ag Pool water use.  Also entered Waddell  accounting for April.</t>
  </si>
  <si>
    <t>Computed by Lookup Macros</t>
  </si>
  <si>
    <t>AF</t>
  </si>
  <si>
    <t>FT</t>
  </si>
  <si>
    <t>ACRES</t>
  </si>
  <si>
    <t>08/15/03</t>
  </si>
  <si>
    <t>08/13/03</t>
  </si>
  <si>
    <t>Includes 20kaf of Nev unused apportionment and 30kaf of CAP apportionment</t>
  </si>
  <si>
    <t>Revised LSC AWBA for 2010.</t>
  </si>
  <si>
    <t xml:space="preserve">Checked actuals for March 2010 and remaining year schedules. </t>
  </si>
  <si>
    <t xml:space="preserve">               Glendale (Pyramid Peak &amp; MWD)</t>
  </si>
  <si>
    <t xml:space="preserve">               GRIC exchange w/Chandler</t>
  </si>
  <si>
    <t xml:space="preserve">               Chandler/Welton-Mohawk/TDRP</t>
  </si>
  <si>
    <t xml:space="preserve">               SCAT/Gilbert - TDRP</t>
  </si>
  <si>
    <t xml:space="preserve">               Tohono O'Odham/PMR</t>
  </si>
  <si>
    <t>04/05/02</t>
  </si>
  <si>
    <t xml:space="preserve">     used to support Waddell pumping.  (HAV+BSH+LHQ+HSY+WAD)</t>
  </si>
  <si>
    <t>11/25/03</t>
  </si>
  <si>
    <t>12/22/03</t>
  </si>
  <si>
    <t>Entered all actuals for Nov 06, except Waddell accounting.</t>
  </si>
  <si>
    <t xml:space="preserve">               El Mirage - TDRP</t>
  </si>
  <si>
    <t>per Tim/Patrick SRP Analysis,  updated SRP Exchange schedule to 150K for year and updated Waddell pump/outflow schedule.</t>
  </si>
  <si>
    <t xml:space="preserve">               CAIDD (South Main)</t>
  </si>
  <si>
    <t xml:space="preserve">               Avra Valley</t>
  </si>
  <si>
    <t xml:space="preserve">               Resolution Copper/NMIDD &amp; HIDD</t>
  </si>
  <si>
    <t>Salt River Project Excess ($12/AF Water)</t>
  </si>
  <si>
    <t xml:space="preserve">               Valencia Water Company</t>
  </si>
  <si>
    <t>Entered revised 2007 del sch for Peoria XS &amp; Shea Sunbelt/Vistancia.  Also entered Aug 07 actuals.</t>
  </si>
  <si>
    <t xml:space="preserve">               Mesa/GRIC Settlement Lease</t>
  </si>
  <si>
    <t>Entered CY07 - 09 del sch for Mesa, VF Investment, SCIDD, BKW, Phx.</t>
  </si>
  <si>
    <t>Revised CY2010 temp permit sch volume.</t>
  </si>
  <si>
    <t xml:space="preserve">Checked December 2006 actuals, Adjusted Lake Pleasant to match eom actual elevation and lake storage.  </t>
  </si>
  <si>
    <t>Entered revised BKW CY07 - 09 Ag Pool del sch.</t>
  </si>
  <si>
    <t>01/17/03</t>
  </si>
  <si>
    <t xml:space="preserve">               thru MSIDD</t>
  </si>
  <si>
    <t>Entered CY07 Recharge facility storage sch.</t>
  </si>
  <si>
    <t>Revised CY05 direct recharge &amp; CAGRD del sch.</t>
  </si>
  <si>
    <t>Entered SRP modified schedule for cy2005 (awba, ag, and excess)</t>
  </si>
  <si>
    <t xml:space="preserve">               Southern Dunes Golf Club</t>
  </si>
  <si>
    <t>Entered Waddell acctg for Feb 2010.</t>
  </si>
  <si>
    <t xml:space="preserve">            Vidler  (TDRP)  (*)</t>
  </si>
  <si>
    <t>Adjusted 2002-2003-2004 Hoover energy, hoover A+B rates, WAPA rates, Navajo Rates, and Tucson nonfirm rates.</t>
  </si>
  <si>
    <t>Entered New CAGRD Projections for 2003 thru 2005  (M&amp;I and Incentive water)</t>
  </si>
  <si>
    <t>10/03/03</t>
  </si>
  <si>
    <t>BRADY PP</t>
  </si>
  <si>
    <t>Entered Az Wholesale Growers &amp; Quintero Golf CY05 del sch.</t>
  </si>
  <si>
    <t>Enter Hav actual for sep 2010.  Checked actuals for September 2010.  Revised oct-nov 2010 wad fill to make west flow = 3000 cfs.  Adjusted Dec 2010 diversion to hit target 1.653 maf annual River diversion.  Added Lake Pleasant actuals for sep 2010. Tuc Subcon only, and all Gilbert except entitlement.</t>
  </si>
  <si>
    <r>
      <t xml:space="preserve">Added some of the June 08 actual use.  </t>
    </r>
    <r>
      <rPr>
        <b/>
        <sz val="12"/>
        <color indexed="10"/>
        <rFont val="Helv"/>
      </rPr>
      <t>Also added the Coolidge Power Corporation in SGL segment - they will take incentive recharge via HIDD GSF.  The 6000 af used for this del sch will be mined from the lake via prior authorization from LRD</t>
    </r>
    <r>
      <rPr>
        <sz val="12"/>
        <rFont val="Helv"/>
      </rPr>
      <t>.</t>
    </r>
  </si>
  <si>
    <t>Increased QCWC CY04 del sch for xs m&amp;I.  Also entered CY05 del sch for Tabletop.</t>
  </si>
  <si>
    <t>Entered 2010 - 2012 del sch for Mesa, CAIDD, Glendale, Chandler, BOR/Indians, GRIC.</t>
  </si>
  <si>
    <t>Entered SYS CAP tab and worksheet to forecast file.</t>
  </si>
  <si>
    <t>08/17/01</t>
  </si>
  <si>
    <t>RELEASES</t>
  </si>
  <si>
    <t>ACCOUNT</t>
  </si>
  <si>
    <t>(GAIN) / LOSS</t>
  </si>
  <si>
    <t>Revised Purcell Jojoba, Tuc incentive for PMR &amp; BKW, &amp; GRD for BKW.</t>
  </si>
  <si>
    <t>01/15/01</t>
  </si>
  <si>
    <t>Revised CY03 del sch for SCIDD.  Changed CY04 - 06 to reflect 400kaf of total Ag Pool water.  Added the 11212 af of Ag Pool water to MSIDD and reduced AWBA by the same amtount in each month where possible.  Revised CAGRD CY03 del sch for both xs &amp; incentive.</t>
  </si>
  <si>
    <t xml:space="preserve">Revised CY05 CHCID Ag Pool del sch as a result of MWD redistributed Ag Pool water. </t>
  </si>
  <si>
    <t>Entered CY04-06 f/c data for BOR Indian contractors, Glendale. MWD</t>
  </si>
  <si>
    <t xml:space="preserve">               Scottsdale/Welton-Mohawk</t>
  </si>
  <si>
    <t>Redistributed Kai AWBA water for CY03 and added del sch for AZ Wholesale growers for C03.</t>
  </si>
  <si>
    <t xml:space="preserve">4) Estimated threshold carryover from Oct, Nov and Dec 2009 to Jan 2010 is 16,660 MWh.  </t>
  </si>
  <si>
    <t>Target = 2403 - 16.7 = 2386.3</t>
  </si>
  <si>
    <t>For SRP 3-yr forecast demand for Excess water --- assumed the following:  cy2008: 100kaf total of which 35k delivered from Exchange and 65kaf delivered from CAP canal.</t>
  </si>
  <si>
    <t>08/23/02</t>
  </si>
  <si>
    <t>Entered July 02 CAVSARP &amp; SND Pumping info.</t>
  </si>
  <si>
    <t>Entered CY07 - 09 del sch for Picacho School, and Pinal County.  Revised CY06 del sch for VF Investments' supplemental XS water, and Pinal County full cost XS.</t>
  </si>
  <si>
    <t>10/24/02</t>
  </si>
  <si>
    <t>11/13/02</t>
  </si>
  <si>
    <t>Entered 3 yr f/c data for Gilbert.</t>
  </si>
  <si>
    <t>Added Quintero CY02 del sch.</t>
  </si>
  <si>
    <t>09/19/01</t>
  </si>
  <si>
    <t>Cross-checked final AWBA 2002 numbers,  Incorporated some Interstate water in 2003 and 2004 schedules, removed Pool 3 deliveries (except GRIC) for 2004.</t>
  </si>
  <si>
    <t>10/26/01</t>
  </si>
  <si>
    <t>Energy for</t>
  </si>
  <si>
    <t>Plant</t>
  </si>
  <si>
    <t>Entered July 2010 SND pumping.  Revised the June 2010 MWD lake water volume to include the 117 af that went thru the Beardsley canal, and footnoted the line item for future reference to the alternate water source.  Entered CY2011 - 13 del sch for Apache Junction WC.</t>
  </si>
  <si>
    <t>Entered CY07 - 09 del sch for Az State Land, Pinal County Augmentation via CAIDD, Marana, CAIDD.  Revised CY06 del sch for Tohono O'Odham &amp; Vidler.</t>
  </si>
  <si>
    <t xml:space="preserve">               H2O Water Company</t>
  </si>
  <si>
    <t>Entered CY05 Del sch for Mesa Incentive water thru RWCD.</t>
  </si>
  <si>
    <t>08/12/03</t>
  </si>
  <si>
    <t>COLORADO RIVER DIVERSIONS</t>
  </si>
  <si>
    <t xml:space="preserve"> </t>
  </si>
  <si>
    <t>Canal Losses</t>
  </si>
  <si>
    <t>Entered May CY01 actual data for all except SRP &amp; SRO deliveries.  Also added GRIC XS as a new customer for temp water use at Mesa Golf course.</t>
  </si>
  <si>
    <t>06/08/01</t>
  </si>
  <si>
    <t>Entered CY09 - 11 del sch for Scottsdale's SCAT water.</t>
  </si>
  <si>
    <t>Added del sch #s for Odom, Triple W, &amp; Robson.  Changed #s for Rogers. Added new customers Eagletail, Southern Dunes, &amp; PPL Sundance.</t>
  </si>
  <si>
    <t>02/23/01</t>
  </si>
  <si>
    <t>03/17/04</t>
  </si>
  <si>
    <t>Deleted RHV Farms - water to be taken under HVID Pool water use.  Also changed Rogers del sch to 925 AF.</t>
  </si>
  <si>
    <t>04/23/01</t>
  </si>
  <si>
    <t>12/10/02</t>
  </si>
  <si>
    <t>Corrected SRP exchange water use for Feb 02.  Entered CY03 del sch for Odom &amp; Triple W Drought wtr.</t>
  </si>
  <si>
    <t xml:space="preserve">        CAP Pumping Plants - Projection of Water Volumes Pumped</t>
  </si>
  <si>
    <t>Entered Waddell accounting for July 05.</t>
  </si>
  <si>
    <t xml:space="preserve">Revised AK-Chin CY08 del sch by redistributing pump site deliveries to TDRP. </t>
  </si>
  <si>
    <t xml:space="preserve">               Ak-Chin/Del Webb - TDRP</t>
  </si>
  <si>
    <t>Revised SRP XS-M&amp;I del sch for 2007.</t>
  </si>
  <si>
    <t>Revised CY 2010 M&amp;I subcontract del sch to EOY.  Moved 6kaf from SCIDD ag pool to HVID Ag Pool.</t>
  </si>
  <si>
    <t>Checked actuals for December 2009, entered HAV actual and updated Lake Pleasant actuals for Dec 2009.  Final for 2009.</t>
  </si>
  <si>
    <t>Changed Eloy CY01 del sch to 2171 af, and changed SRP AWBA operational sch for Jun - Sep.</t>
  </si>
  <si>
    <t>05/08/02</t>
  </si>
  <si>
    <t>Added Apr Temp Permit total.</t>
  </si>
  <si>
    <t>Entered June 2006 actual billed threshold energy in 2006 energy sheet.</t>
  </si>
  <si>
    <t xml:space="preserve">               Red Mt Ranch Country Club</t>
  </si>
  <si>
    <t>Entered CY2010  - 12 del sch for Ancala, APS, HarqGen CO.</t>
  </si>
  <si>
    <t xml:space="preserve">               Pulte/Del Webb (TDRP)</t>
  </si>
  <si>
    <t>04/14/04</t>
  </si>
  <si>
    <t>Entered BKW CY08 - 10 del sch.</t>
  </si>
  <si>
    <t>Entered Sep 02 CAVSARP &amp; SND Recovery info.</t>
  </si>
  <si>
    <t>Revised CY08 del sch for GRIID/Chandler, and temp permits.</t>
  </si>
  <si>
    <t xml:space="preserve">               GRIC exchg w/Chandler</t>
  </si>
  <si>
    <t>Entered Hohokam/Resolutiom Copper CY07 del sch (4500 af).</t>
  </si>
  <si>
    <t>Entered CY06 - 08 F/C data for Glendale, Peoria, Phoenix &amp; Gilbert..</t>
  </si>
  <si>
    <t xml:space="preserve">               Chandler/SRPMIC Lease</t>
  </si>
  <si>
    <t>Entered CY05 del sch for Oasis Golf, Cave Creek, Ak-Chin, RWCD, Oro Valley,  &amp; Tucson.  Also revised CAIDD's CY04 AWBA del sch.</t>
  </si>
  <si>
    <t>Added June 03 actuals.</t>
  </si>
  <si>
    <t>First Iteration on the 2008 Delivery Schedule.  Targeting 1.575 maf for diversions and 25 kaf of ICUA forbearance.</t>
  </si>
  <si>
    <t>Changed SRP drought water.  Revised Waddell pumping &amp; releases numbers.  Added Oasis #s, Changed CAVSARP under Tuc, PMR/Tuc, ASARCO, &amp;CAGRD @ BKW/Tuc.  Added AZ Wholesale Growers #'s.</t>
  </si>
  <si>
    <t>Completed entering Gilbert &amp; Rucson CY 2011 - 13 del sch.  Revised CY2010 temp permit del sch.  Revised CY2010 Chandler del sch - moved 79 af from CGT plant to TDRP storage.</t>
  </si>
  <si>
    <t xml:space="preserve">Incresed NMIDD CY05 Ag Pool del sch by 2500 af.  Moved all remaining projections for LSCRP &amp; PMR direct/AWBA in CY05 from intrastate to "inter"state. </t>
  </si>
  <si>
    <t xml:space="preserve">               CHCID</t>
  </si>
  <si>
    <t>06/22/01</t>
  </si>
  <si>
    <t>08/10/01</t>
  </si>
  <si>
    <t>Revised Vidler CY2010 del sch to match A2E reduction.</t>
  </si>
  <si>
    <t>Reduced AWBA at TDRP in July by 2303 af, and increased QCID AWBA/GSF by same amount in Sep 08.  Redistributed Metro subcontract water in CY08 among CMID &amp; Kai (reduced Kai by 2kaf and increased CMID by 2kaf).</t>
  </si>
  <si>
    <t>Lake Elevation December Previous Year =</t>
  </si>
  <si>
    <t>10/10/02</t>
  </si>
  <si>
    <t>SRP/CAP Exchange Water</t>
  </si>
  <si>
    <t>12/27/01</t>
  </si>
  <si>
    <t>SURFACE</t>
  </si>
  <si>
    <t>NET</t>
  </si>
  <si>
    <t>GAGED</t>
  </si>
  <si>
    <t>TURNOUT</t>
  </si>
  <si>
    <t>FLOOD</t>
  </si>
  <si>
    <t>STORAGE</t>
  </si>
  <si>
    <t>T O T A L</t>
  </si>
  <si>
    <t>Adkusted actual deliveries for Pinal County Dept of PW (wheeled thru NM#3) as per NMIDD discrepancy resolution w/the County, and revised del sch.</t>
  </si>
  <si>
    <t xml:space="preserve">               Hohokam IDD</t>
  </si>
  <si>
    <t>moved 1000 af from HVID pool 3 in Sep. 2003 to San Carlos IDD drought water in Sep.</t>
  </si>
  <si>
    <t>08/27/04</t>
  </si>
  <si>
    <t>Moved Metro Water Cy03 del sch for BKW, CMID &amp; Kai from incentive to M&amp;I subcontract water.  Also added Waddell actuals to CY02.  Moved RWCD CY03 Pool 3 del sch to Viewpoint indirect incentive.</t>
  </si>
  <si>
    <t>October for cy2004,2005,2006 to 0 Hav diversions due to scheduled maintenance in west aqueduct.  Adjusted waddell pumpage and outflow to maintain target Col. Riv diversion and storage.  West customers 0'd for October (between Hav and cs18, and some neg. values to account for canal losses and zero plant usage, hav seg loss to 0)</t>
  </si>
  <si>
    <t>Revised Pinnacle West del sch.  Entered AZ-American (PV thru SRP) CY03 wtr del sch.</t>
  </si>
  <si>
    <t>10/17/03</t>
  </si>
  <si>
    <t>Reduced Mar 2010 actual deliveries by 40,000 af (temporary) and reduced LP outflow 20kaf in June 2010, increased LP fill 20kaf in Oct 2010.</t>
  </si>
  <si>
    <t xml:space="preserve">               Avondale (HMRP)</t>
  </si>
  <si>
    <t>Added multiple CY04 del sch.</t>
  </si>
  <si>
    <t>Entered Waddell info for Sep 02 &amp; adjusted power #s.  Also added Sun Environment to Cy02 - 04.  Entered CY03 del sch.</t>
  </si>
  <si>
    <t>09/11/03</t>
  </si>
  <si>
    <t>Increased Shea Sunbelt CY03 del sch to 1792 af.</t>
  </si>
  <si>
    <t>Entered CY2011 - 13 del sch for AZ Pacific Materials, Picacho School, Recreational Center, Rio Verde, Todd Schafer, APS. Revised CY2011 - 13 for RWCD w/ARM, Gilbert, Resolution, &amp; BOR. Picacho Peak Gas Storage, Oro Valley, Hohokam, Scottsdale.</t>
  </si>
  <si>
    <t>Entered CY07 - 09 del sch for Ancala Country Club, Resolution Copper, GRIIDD (estimate given to AWBA - not their final CAP order), Scottsdale/SCAT lease water</t>
  </si>
  <si>
    <t>Moved 1000 af of ARM water via RWCD from Aug to July.</t>
  </si>
  <si>
    <t>(4)</t>
  </si>
  <si>
    <t>Entered CY06 - 08 del sch for Mesa Golf, revised CHCID, Glendale, Phoenix, BOR Indians, SCAT SGL seg placeholder of 6kaf..</t>
  </si>
  <si>
    <t>Calendar Year 2010</t>
  </si>
  <si>
    <t>Blue Text =</t>
  </si>
  <si>
    <t>Q at WAD</t>
  </si>
  <si>
    <t>(AF)</t>
  </si>
  <si>
    <t>(KWH/AF)</t>
  </si>
  <si>
    <t>(MWH)</t>
  </si>
  <si>
    <t xml:space="preserve">               Tucson/CAVSARP pumps</t>
  </si>
  <si>
    <t>Entered CY08 revised Ag pool del sch for CAIDD, SRP, SCIDD, HVID, NMIDD, &amp; MSIDD (CAIDD &amp; MSIDD DO NOT include recovery water).</t>
  </si>
  <si>
    <t>Added actuals thru SRO for May.</t>
  </si>
  <si>
    <t>06/12/01</t>
  </si>
  <si>
    <t>Changed Rancho Escalante del sch.</t>
  </si>
  <si>
    <t>INFLOW</t>
  </si>
  <si>
    <t>OUTFLOW</t>
  </si>
  <si>
    <t>FLOW</t>
  </si>
  <si>
    <t>PUMPAGE</t>
  </si>
  <si>
    <t>Revised NMID/AWBA schedule for Aug thru Nov 2004  per re-marketed Vidler water.</t>
  </si>
  <si>
    <t>Updated Hohokam and Harquahala Generating station per Jodi's request.</t>
  </si>
  <si>
    <t>07/31/03</t>
  </si>
  <si>
    <t>Added Nov 01 SND pumping.  Changed Aug 01 xs vs incentive del for GRD into PMR - classification split changed.</t>
  </si>
  <si>
    <t>(cfs)</t>
  </si>
  <si>
    <t>07/15/04</t>
  </si>
  <si>
    <t>04/23/02</t>
  </si>
  <si>
    <t>Changed SND plant use rate for CY02 - 04.  And added CAVSARP recovery #s for CY02 - 04.</t>
  </si>
  <si>
    <t>10/25/01</t>
  </si>
  <si>
    <t>Execution OK</t>
  </si>
  <si>
    <t>Entered acutal use data for Dec 01.  Added Tempe M&amp;I XS line</t>
  </si>
  <si>
    <t>Entered multiple CY04 del sch.  Revised Oasis CY03 del sch.</t>
  </si>
  <si>
    <t>Modified 12 month forecast macro to produce forecasts for any 12 months in the available 3 year horizon, also updated text boxes on graphs and tables to auto update with creation of a new forecast</t>
  </si>
  <si>
    <t>Pumping</t>
  </si>
  <si>
    <t>Rate</t>
  </si>
  <si>
    <t xml:space="preserve">               CAGRD/AFRP</t>
  </si>
  <si>
    <t>Increased September Wad releases and zero'd Nov Wad fill in accordance with new EOY diversion target of 1.506 maf.  Entered actual threshold power for June and July, balanced rest of year for energy schedule surcharge.</t>
  </si>
  <si>
    <t>Revised Val Vista Lakes M&amp;I 2003 order to 50 af july, 150 af august.</t>
  </si>
  <si>
    <t>Entered HAV actual for Feb 2009, updated Lake Pleasant actuals for Feb 2009, adjusted Wad fill in Oct/Nov 2009 to match 1.570 maf target and threshold energy target.</t>
  </si>
  <si>
    <t>Entered Revised 2007 AWBA/GSF water for CAIDD in Nov &amp; Dec.</t>
  </si>
  <si>
    <t>Revised CAIDD CY09 Ag Pool del sch to accommodate the Nov outage - reduced Nov use by 1500 af, and put it in May &amp; June.</t>
  </si>
  <si>
    <t>Adjusted Ag pool deliveries to maintain 376KAF pool (w/o recovery).  Added Lennar-Asante temp permit del sch to permit line.</t>
  </si>
  <si>
    <t>Entered Green Valley Wtr Dist CY04 &amp; CY05 del sch for storage at PMR.   Also revised CY04 Oct - Dec recharge facility projections per Planning's latest projections.  Entered CY05 del sch change for AWBA at CAVSARP &amp; LSCRP.</t>
  </si>
  <si>
    <t>05/16/03</t>
  </si>
  <si>
    <t>Added CAP/SRP Echange water to top summary data.</t>
  </si>
  <si>
    <t>SRP/CAP EXCHANGE WATER</t>
  </si>
  <si>
    <t>Entered multiple CY04 del sch.  Revised CY03 Del Webb del sch.</t>
  </si>
  <si>
    <t>Added GRIC Southside replenishment via AWBA to off-res Indian use for Sep 09.</t>
  </si>
  <si>
    <r>
      <t xml:space="preserve">               GRIC/</t>
    </r>
    <r>
      <rPr>
        <sz val="10"/>
        <rFont val="Helv"/>
      </rPr>
      <t>SS Replenishment Bank/AWBA</t>
    </r>
  </si>
  <si>
    <t>Revised CY2010 Ag pool to 391,841 AF, and added Waddel accounting for July 2010.  Added CY2011 - 13 del sch for Cave Creek &amp; Flowing Wells.  Adjusted CY2010 end of year totals.</t>
  </si>
  <si>
    <t>Revised MSIDD Pool 3 for CY03.  Entered many CY 04 del sch.</t>
  </si>
  <si>
    <t>04/08/04</t>
  </si>
  <si>
    <t>08/13/04</t>
  </si>
  <si>
    <t>Entered June 06 actuals.</t>
  </si>
  <si>
    <t>Entered CY2010 - 12 del sch for APS.</t>
  </si>
  <si>
    <t>Entered all May 03 actual deliveries.  Also entered NMIDD Pool 3 revised del sch for CY03.</t>
  </si>
  <si>
    <t xml:space="preserve">               Queen Creek Recharge Project</t>
  </si>
  <si>
    <t>09/18/03</t>
  </si>
  <si>
    <t>08/28/02</t>
  </si>
  <si>
    <t>Entered CY03 del sch for Picacho School.</t>
  </si>
  <si>
    <t>Entered April Waddell pump/release #s &amp; AWC Casa Grande del sch.</t>
  </si>
  <si>
    <t>10/08/03</t>
  </si>
  <si>
    <t>Salt River Project XS ($10/AF) w/CAIDD</t>
  </si>
  <si>
    <t>Entered CY07 - 09 del sch for HVF, New Harq. Gen Co, HVID, Tonto Hills Itility, Lafarge N America, deleted Sun State for 3 yrs, H2O, Santa Cruz Water Co, Viewpoint, Az American/PV, SRP, Sun Environments, Pulte/Del Webb (incentive), Goodyear, Tonopah ID, RWCD, Chaparral, Cave Creek, AZ American/West Valley Cities, MWD/lake, Shea Homes/Johnson Farms, AWC (both), Peoria, Water Utility of Greater Buckeye/Tonopah, GRIIDD.</t>
  </si>
  <si>
    <t>Added interstate recovery water into the 2007 energy table.</t>
  </si>
  <si>
    <t>02/24/03</t>
  </si>
  <si>
    <t>Entered Nov 08 Waddell accounting, and updated SYSCAP file.  Revised El Mirage, Gilbert, and Tucson CY09 del sch.  Revised HMRP &amp; LSC CY08 AWBA totals to accommodate CAVSARP increase.</t>
  </si>
  <si>
    <t>Changed CY 2010 summary page calculations for AVRP interstate, and CAGRD excess for TDRP.</t>
  </si>
  <si>
    <t>SALT GILA</t>
  </si>
  <si>
    <t>JANUARY</t>
  </si>
  <si>
    <t>FEBRUARY</t>
  </si>
  <si>
    <t>MARCH</t>
  </si>
  <si>
    <t>Added 2007 Sheet Rotated up Lake Pleasant Forecast to 2004 - 2007, Removed 2003.</t>
  </si>
  <si>
    <t>Revised Chandler del sch for M&amp;I sub wtr.</t>
  </si>
  <si>
    <t>07/06/01</t>
  </si>
  <si>
    <t xml:space="preserve">Checked July 2006 actuals, Checked remaining 2006 schedule for monthly diversions and adjusted to 1.589 maf year-end diversion per CRO August Conference call with trend for more water on river .  Adjusted Lake Pleasant to match eom actual elevation and lake storage.  </t>
  </si>
  <si>
    <t>(MWh)</t>
  </si>
  <si>
    <t>Target = 2340</t>
  </si>
  <si>
    <t>Waddell (outflow)</t>
  </si>
  <si>
    <t>11/18/03</t>
  </si>
  <si>
    <t>Entered Mar 2010 actuals w/o recovery.</t>
  </si>
  <si>
    <t>Revised Gilbert's incentive &amp; subcontract sch - reduced inc by 7kaf, &amp; increased subcontract by 7kaf.</t>
  </si>
  <si>
    <t>Entered CY05 del sch for Pinal County Dept of PW, AZ State Land, and Ancala Country Club.</t>
  </si>
  <si>
    <t>Updated the 12-month Lake Pleasant Operating Forecast</t>
  </si>
  <si>
    <t xml:space="preserve">               Mesa</t>
  </si>
  <si>
    <t>Re-entered Sep 01 actual deliveries.  Changed GRD, Duke Energy CY01 del sch. And CY02 florence, QCID revised, Shea/Sunbelt, Duke Energy &amp; direct recharge del sch.</t>
  </si>
  <si>
    <t>10/15/01</t>
  </si>
  <si>
    <t>Changed Chandler &amp; Goodyear incentive sch, added Pulice Const as XS M&amp;I under HSY, and changed SRP AWBA sch.</t>
  </si>
  <si>
    <t>07/20/01</t>
  </si>
  <si>
    <t>POOL 30 FLOW (design=2400)</t>
  </si>
  <si>
    <t>POOL 31 FLOW (design=2400)</t>
  </si>
  <si>
    <t>POOL 32 FLOW (design=2400)</t>
  </si>
  <si>
    <t>POOL BRD-A FLOW (design=2400)</t>
  </si>
  <si>
    <t>POOL BRD-B FLOW (design=2250)</t>
  </si>
  <si>
    <t>Added Avondale subcontract &amp; Incentive del sch..  Changed Mesa incentive thru RWCD (Sep-Nov).  Changed Gilbert thru SRP.</t>
  </si>
  <si>
    <t>11/14/02</t>
  </si>
  <si>
    <t>Entered adjustments to cy2005;  added 25 af for nov and dec for Queen Creek water co. non-subcontract;  added 110 af nov and 80 af dec to Shea Sunbelt non-subcontract schedule.</t>
  </si>
  <si>
    <t xml:space="preserve">               TOTAL INDIRECT</t>
  </si>
  <si>
    <t>Updated the Colorado River -- Arizona on-river usage table with ADWR actuals thru July 2002.</t>
  </si>
  <si>
    <t xml:space="preserve">     Direct</t>
  </si>
  <si>
    <t xml:space="preserve">     Indirect</t>
  </si>
  <si>
    <t>Entered revised CY06 - 08 del sch Az American (WV), Peoria, CHCID, Chandler.  Added new customer line entry for Resolution Copper Mining.  Deleted Maricopa Drilling from the file.</t>
  </si>
  <si>
    <t>Checked August 2005 actuals, adjusted Lake Pleasant to match eom actual elevation and lake storage.</t>
  </si>
  <si>
    <t>DROUGHT</t>
  </si>
  <si>
    <t>11/2/00</t>
  </si>
  <si>
    <t>08/17/04</t>
  </si>
  <si>
    <t>08/16/04</t>
  </si>
  <si>
    <t>LHQ</t>
  </si>
  <si>
    <t>HSY</t>
  </si>
  <si>
    <t>Revised Mesa Red Mt Recharge incentive water for C06.  Added new XS AG non-subcontract line to summary page - HVF &amp; VF investments were showing up in the M&amp;I section.  Moved VF Investments to the Bouse segment.</t>
  </si>
  <si>
    <t>Moved 53,000 af LP fill from Dec 2007 to 49,000 af in Oct 2007.</t>
  </si>
  <si>
    <t>Entered CY04 del sch for Ancala &amp; PPL Sundance.</t>
  </si>
  <si>
    <t>Updated YTD Graph</t>
  </si>
  <si>
    <t>Chandler Heights</t>
  </si>
  <si>
    <t>T/O = QCID</t>
  </si>
  <si>
    <t>New Magma IDD #1</t>
  </si>
  <si>
    <t>T/O = NMIDD#1</t>
  </si>
  <si>
    <t>T/O = NMIDD#2</t>
  </si>
  <si>
    <t>New Magma IDD #3</t>
  </si>
  <si>
    <t>Oasis Golf Resort</t>
  </si>
  <si>
    <t>Entered HVID CY07 revised del sch to include the redistributed Ag pool water, and revised Chandler CY07 del sch to include CY07 Cliff Dam water calc.</t>
  </si>
  <si>
    <t>revised energy values for 2004-2005-2006</t>
  </si>
  <si>
    <t>Entered actual Hav diversion Dec 2007, updated Lake Pleasant actuals for Dec 2007 to match eom elevation, and ran new lake pleasant 12-month forecast and disbributed.</t>
  </si>
  <si>
    <t xml:space="preserve">  JULY</t>
  </si>
  <si>
    <t xml:space="preserve">  AUGUST</t>
  </si>
  <si>
    <t xml:space="preserve">  SEPTEMBER</t>
  </si>
  <si>
    <t>Revised Peoria XS del sch.</t>
  </si>
  <si>
    <t>Updated 12-month rolling forecast for Lake Pleasant</t>
  </si>
  <si>
    <t>Entered Sep 09 Waddell acctg, and all actual delivery data.</t>
  </si>
  <si>
    <t>Revised SRP 07 del sch for operational purposes only.</t>
  </si>
  <si>
    <t>Moved GRIIDD Indian Firming del sch for CY06 from indirect/incentive class, to indirect/AWBA water class.</t>
  </si>
  <si>
    <t xml:space="preserve">Entered 3 yr f/c data for Hohokam, CMID, BKW, Tempe, Phx, &amp; Glendale. </t>
  </si>
  <si>
    <t>Increased Hohokam CY06 Interstate by 10kaf.  Also revised MSIDD CY06 AWBA/GSF &amp; interstate del sch to accommodate the GRIID firming water w/the bank.</t>
  </si>
  <si>
    <r>
      <t xml:space="preserve">               CAIDD (SRO) </t>
    </r>
    <r>
      <rPr>
        <sz val="12"/>
        <color indexed="10"/>
        <rFont val="Helv"/>
      </rPr>
      <t>(less recovery)</t>
    </r>
  </si>
  <si>
    <t xml:space="preserve">               CAIDD/SRO (20%)</t>
  </si>
  <si>
    <t>Made changes to CY02 actuals.  Also changed CY03 Chandler &amp; Metro Water del sch.  Moved Aug &amp; Sep Pool 3 deliveries for CAIDD to AWBA account as per T. Henley.</t>
  </si>
  <si>
    <t xml:space="preserve">               VF Investments/Vicksburg Farm</t>
  </si>
  <si>
    <t xml:space="preserve">               Red Mt Ranch/HOA</t>
  </si>
  <si>
    <t>09/24/01</t>
  </si>
  <si>
    <t>02/19/03</t>
  </si>
  <si>
    <t>Added Jan 03 actuals for everything.</t>
  </si>
  <si>
    <t>12/19/02</t>
  </si>
  <si>
    <t>Revised CY2011 - 13 for H2O &amp; WUGT del sch, deleted the Gilbert/SCAT storage at TDRP for CY2011 - 13.</t>
  </si>
  <si>
    <t xml:space="preserve">               Picacho Peak Gas Storage/CAIDD</t>
  </si>
  <si>
    <t xml:space="preserve">               Fort McDowell Tribe - SRP</t>
  </si>
  <si>
    <t xml:space="preserve">     Salt River Project/XS ($137/AF)</t>
  </si>
  <si>
    <t>Entered CY06 - 08 del sch for Maricopa Drilling Co.  Revised AFRP &amp; TDRP AWBA CY06 del sch, and Avondale.</t>
  </si>
  <si>
    <t>RED ROCK PP</t>
  </si>
  <si>
    <t>Added CY02 del for Picacho School &amp; AZ American wtr co.  Revised CY01 del sch for Kai AWBA wtr.</t>
  </si>
  <si>
    <t>(@)  MWD lake water volumes include some amount of water deliveries through the Beardlsey canal for Jun - Aug 2010.  See MTH Raw Data in Livelink for specifics.</t>
  </si>
  <si>
    <t>Revised CY 2010 EOY totals to include AWBA amended plan of Ops, all other recharge del sch, subcontract Federal, and XS GRD, and most subcontract.</t>
  </si>
  <si>
    <t>Checked September 2005 actuals, adjusted Lake Pleasant to match eom actual elevation and lake storage.</t>
  </si>
  <si>
    <t xml:space="preserve">               Interstate Banking (Agua Fria)</t>
  </si>
  <si>
    <t xml:space="preserve">               Interstate Banking (GRUSP)</t>
  </si>
  <si>
    <t>04/06/04</t>
  </si>
  <si>
    <t>(WExER)</t>
  </si>
  <si>
    <t>(HExER)</t>
  </si>
  <si>
    <t>Corrected indirect AWBA formulas in summary.</t>
  </si>
  <si>
    <t>Entered Dec 2005 actuals for Waddell and adjusted Lake Pleasant to match eom actual elevation and lake storage.</t>
  </si>
  <si>
    <t>Entered schedule for Table Top Nursery, cy2006</t>
  </si>
  <si>
    <t>Entered Feb 07 actual deliveries.</t>
  </si>
  <si>
    <t>05/17/02</t>
  </si>
  <si>
    <t>Made changes to CY05 AWBA deliveries so that they would match the same data on BH's last AWBA table 2 dated today.</t>
  </si>
  <si>
    <t>colored cell means didn't go thru turnout, actually delivered from lake thru beardsley canal, due to AF Tunnel outage</t>
  </si>
  <si>
    <t>Entered HAV actual for Aug 2010, entered Lake Pleasant actuals for Aug 2010.</t>
  </si>
  <si>
    <t>Entered CY06 - 08 F/C data for Scottsdale subcontract water.</t>
  </si>
  <si>
    <t>TOTAL DELIVERIES BY CLASS</t>
  </si>
  <si>
    <t>INDIAN</t>
  </si>
  <si>
    <t>RECHARGE</t>
  </si>
  <si>
    <t xml:space="preserve">               Chandler/Assignment</t>
  </si>
  <si>
    <t>Entered Mesa &amp; Tuc delivery breakdowns for July.</t>
  </si>
  <si>
    <t>Revised CY2010 del sch for Resolution Copper &amp; GRIC on-res use.</t>
  </si>
  <si>
    <t>Changed Citizens Wtr Resources to AZ-American/Sun City thru MWD &amp; changed AZ-American to AZ-American/Paradise Vly thru SRP on CY02, 03, &amp; 04.</t>
  </si>
  <si>
    <t xml:space="preserve">               Oasis Golf Resort</t>
  </si>
  <si>
    <t>05/10/02</t>
  </si>
  <si>
    <t xml:space="preserve">               Mesa/SRPMIC Lease</t>
  </si>
  <si>
    <t>12/06/02</t>
  </si>
  <si>
    <t>Revised Gilbert CY03 del sch.</t>
  </si>
  <si>
    <t xml:space="preserve">               NESalt River Valley Recharge</t>
  </si>
  <si>
    <t>07/25/02</t>
  </si>
  <si>
    <t>T/O = NMIDD#4</t>
  </si>
  <si>
    <t>NSC/FCC</t>
  </si>
  <si>
    <t>San Carlos IDD</t>
  </si>
  <si>
    <t>Gila River Indians</t>
  </si>
  <si>
    <t>T/O = NSC</t>
  </si>
  <si>
    <t>T/O = FCA</t>
  </si>
  <si>
    <t>T/O = FCC</t>
  </si>
  <si>
    <t>T/O = PIL</t>
  </si>
  <si>
    <t>KLK</t>
  </si>
  <si>
    <t>Hohokam IDD</t>
  </si>
  <si>
    <t>T/O = KLECK Rd</t>
  </si>
  <si>
    <t>Resolution Copper</t>
  </si>
  <si>
    <t>APS</t>
  </si>
  <si>
    <t>07/31/02</t>
  </si>
  <si>
    <t>Checked September 2008 actuals, updated Lake Pleasant actuals for Sep 2008.  Tim K. adjusted remaining months to match new eoy diversion target of 1.515 maf</t>
  </si>
  <si>
    <t>Revised CAGRD, AWBA direct recharge schedules per T. Harbour's revised table.</t>
  </si>
  <si>
    <t>09/18/01</t>
  </si>
  <si>
    <t>VOLUME PASSING HAV</t>
  </si>
  <si>
    <t>Entyered CY07 MSIDD XS AG del sch.  Also revised Metro's CY07 incentive recharge del sch w/BKW.  Entered CY08 - 2010 del sch for ARM/RWCD, AZ Wholesale Growers, Augusta Resources, Carefree, Marana, Mazatzal, Oasis, Pulte/Del Webb, Resolution Copper, Royal Dunes, AZ American (PV), AWC (AJ &amp; CG), Metro, and AJ for CY09 &amp; 2010.</t>
  </si>
  <si>
    <t>Added CY02 del sch for Pinal County, QCID, Peoria, Citizens, Glendale, MWD, SRP &amp; Tonopah.  Added RWCD Pool 3 del sch for CY01, and AWC Casa Grande revised del sch.</t>
  </si>
  <si>
    <t>11/07/01</t>
  </si>
  <si>
    <t>Reviewed CY2003 delivery schedules, adjusted water bank schedules and waddell pumpage/outflow.</t>
  </si>
  <si>
    <t>Modifications for 2003:  Clearwater/AWBA of 10,000 af to PMR and LSC,  GRUSP/AWBA water to Hieroglyphic,  RWCD pool 3 water reduced by 5,000 af each for June and July.</t>
  </si>
  <si>
    <t>Revised SCAT del sch to include 5950 af of exchange water for GRIC/SCIDD.  Also added CY05 &amp; 06 f/c data for Mesa, and CY04-06 f/c data for Chandler.</t>
  </si>
  <si>
    <t>entered aug 2005 actual surcharge energy</t>
  </si>
  <si>
    <t>Revised Avondale's subcon &amp; incentive del sch.</t>
  </si>
  <si>
    <t>Added Feb 02 actuals.</t>
  </si>
  <si>
    <t>Revised May &amp; June 03 actual deliveries for GRUSP &amp; SRP $6 water - GRUSP was re-posted as 0 af &amp; was added to SRP's $6 water class for those 2 months.  Also revised june 03 deliveries for Tempe xs by adding 4 af and subtracting 4 af from SRP $6 water due to SRP changing their transportation charges.</t>
  </si>
  <si>
    <t>Forbearance of 25kaf as Recovery for MWD</t>
  </si>
  <si>
    <t>Revised CY06 del sch for Oro Valley.  Also entered CY07 - 09 del sch for Red Mt Ranch HOA, Oasis, Shea Sunbelt (Cistancia), Tempe/subcontract, Oro Valley, Kai Farms.</t>
  </si>
  <si>
    <t xml:space="preserve">               Recreational Ctr (Scott Shadows)</t>
  </si>
  <si>
    <t>07/24/02</t>
  </si>
  <si>
    <t xml:space="preserve">               GRIC/SS Replenishment/AWBA</t>
  </si>
  <si>
    <t xml:space="preserve">               Surprise (HMRP, AFRP)</t>
  </si>
  <si>
    <t>Entered Dec 03 actuals, to include waddell inflow/outflow.  Revised Nov CY03 CAGRD for HMRP distribution between xs &amp; incentive.  Entered Dec 03 line item for Chandler remarketed water from Scottsdale.  Chandler paid $54/af for 1000 af, while Scottsdale paid the remaining $12/af for the 1000 af.</t>
  </si>
  <si>
    <t>Revised APS Cy05 del sch.</t>
  </si>
  <si>
    <t xml:space="preserve">               Pinal County Dept of Public Works</t>
  </si>
  <si>
    <t>Checked actuals for October 2009, entered HAV actual for Oct 2009.  Added 25kaf to TDRP and 5kaf to LSC/PMR for NEV storage.  Modified Nov waddell fill so eoy diversion matches 1.649 maf per TFK latest diversion schedule, which includes assuming 40kaf of NEV diversion.</t>
  </si>
  <si>
    <t xml:space="preserve">               Hohokam</t>
  </si>
  <si>
    <t xml:space="preserve">               MSIDD</t>
  </si>
  <si>
    <t>Revised Sep 09 GRIC exchange w/SRP.</t>
  </si>
  <si>
    <t>NOTE:   The MWD Turnout Volume represents Colorado River water delivered through the MWD Turnout as an exchange for MWD lake water which is not released from Lake Pleasant.  This water is credited to the CAP Storage Account.</t>
  </si>
  <si>
    <t>07/23/01</t>
  </si>
  <si>
    <t>Revised July incentive water for Tucson via BKW from 632 af to 752 af.</t>
  </si>
  <si>
    <t xml:space="preserve">               Chandler/NMIDD</t>
  </si>
  <si>
    <t>Changed GRD Sep &amp; Oct actual &amp; projected Agua Fria use.</t>
  </si>
  <si>
    <t>Revised Kai CY05 Ag Pool sch.  Revised Tonopah &amp; Kai AWBA CY04 sch.</t>
  </si>
  <si>
    <t>Revised some initial Waddell fill/release schedule tweaking for new 2003 - 2005 forecasts.</t>
  </si>
  <si>
    <t xml:space="preserve">               Mesa/Assignment</t>
  </si>
  <si>
    <t>msidd  11kaf, caidd  11kaf, hid  5kaf  (backed out of ag supply)</t>
  </si>
  <si>
    <t xml:space="preserve">  2009 PHYSICAL DELIVERIES/SEGMENT 4 CAPACITY BY TURNOUT</t>
  </si>
  <si>
    <t>CAGRD</t>
  </si>
  <si>
    <t>Gilbert/Excess</t>
  </si>
  <si>
    <t>Shea/Encanterra</t>
  </si>
  <si>
    <t>Southern Dunes Golf</t>
  </si>
  <si>
    <t>Florence</t>
  </si>
  <si>
    <t>Entered a line for GRIIDD Indian firming in CY2007.  Also entered the final CY06 del sch for the GRIIDD firming water.</t>
  </si>
  <si>
    <t>Entered a 2005 modified Recharge schedule per T.Harbour updated facility use and capacities.</t>
  </si>
  <si>
    <t xml:space="preserve">Checked October 2006 actuals, Checked remaining 2006 schedule for monthly diversions and adjusted per new diversion target of 1.62 maf.  Adjusted Lake Pleasant to match eom actual elevation and lake storage.  </t>
  </si>
  <si>
    <t xml:space="preserve">               Florence, Town of</t>
  </si>
  <si>
    <t>Modified cy2006, 07, 08 diversions, various AWBA deliveries,  and pumping schedules per 3yr forecasts submiited to Jodi in April and consistent with estimates used in G.Given Long-range forecast.</t>
  </si>
  <si>
    <t xml:space="preserve">               Glendale/SRPMIC Lease</t>
  </si>
  <si>
    <t>Revised Gilbert XS &amp; incentive recharge at TDRP for CY09.  Revised Oasis del sch for CY09.  Entered CY2010 - 2012 delivery schedules for AZ Pacific Materials, &amp; AZ American water.</t>
  </si>
  <si>
    <t>Entered CY06 - 08 del sch for Green Valley, Ancala, Revised Shea Sunbelt, VF Investment, Red Mt Ranch HOA, Stone Creek, CHCID, QCWC, Stallion Mgmt, HVID, Scottsdale, AWBA-direct storage from BH sch, Pinal County Aug. Auth., GRIC, Mesa, Az American, Gilbert, Az Pacific, revised Tonopah.</t>
  </si>
  <si>
    <t xml:space="preserve">               RWCD/Vidler</t>
  </si>
  <si>
    <t>Adjusted Oct 06 TDRP Water Bank deliveries between domestic &amp; Nevada.</t>
  </si>
  <si>
    <t>Added an Evaluation sheet that compares our beginning of year forecasts with actual water deliveries once they are added to the model.</t>
  </si>
  <si>
    <t>Modified pertinent formulas and checked math for 2006 and 2007 schedule edits.  Also, rechecked Lake Pleasant levels after modified schedules.</t>
  </si>
  <si>
    <t>Entered "official" CY05 remarket del sch for Phx (came in much less than the original 30kaf anticipated).  Also entered MSIDD CY05 revised AWBA del sch for intertstate water at $26/af.  Entered new interstate line item for MSIDD AWBA water, and followed through w/cell formulas in the summaries.</t>
  </si>
  <si>
    <t>10/10/03</t>
  </si>
  <si>
    <t>AGRICULTURAL:</t>
  </si>
  <si>
    <t xml:space="preserve">               Arizona Public Service</t>
  </si>
  <si>
    <t>10/07/03</t>
  </si>
  <si>
    <t xml:space="preserve">               Rosemont/LSCRP</t>
  </si>
  <si>
    <t>WADDELL PUMPING</t>
  </si>
  <si>
    <t>Entered HAV actuals for June 2009, updated remaining HAV diversions to match SRP energy version.  Updated Lake Pleasant actuals for June 2009, adjusted Wad fill in Oct/Dec 2009 to match 1.570 maf target and threshold energy target.  Entered actual threshold enery for June 2009.</t>
  </si>
  <si>
    <t>Revised CAGRD CY04 del sch to match monthly distribution of Tom H's #s. Revised CAIDD CY04 del sch for settlement pool - was 800 af too low, and their Ag subcontract water was increased by 69 af.  Also, revised CY03 del sch for Scott/Scubcon water by reducing Dec by 1000 af and moving it to CHandler/Subcon in Dec 03.</t>
  </si>
  <si>
    <t>Entered CY08 - 10 del sch for MCP&amp;R.</t>
  </si>
  <si>
    <t>Hoover</t>
  </si>
  <si>
    <t xml:space="preserve">               Avondale  (AFRP and/or HMRP)</t>
  </si>
  <si>
    <t>Added March Waddell pumpage/outflow, and made power changes.</t>
  </si>
  <si>
    <t>06/04/04</t>
  </si>
  <si>
    <t>Entered Cy07 - 09 del sch for AZ Pacific Materials, AZ Wholesale Growers, Vidler, Mazatzal, ASU Karsten Golf, Rio Verde, &amp; CMID.</t>
  </si>
  <si>
    <t xml:space="preserve">               Metro/CMID</t>
  </si>
  <si>
    <t>Enterec June 05 actuals for Waddell accouting, and changed GRUSP &amp; Tonopah Desert projections from Intrastate to "Interstate".</t>
  </si>
  <si>
    <t xml:space="preserve">Revised CY06 &amp; CY07 del sch for Shea Homes (Johnson Farms), and also changed the CY06 del sch for CAGRD/excess water for TID. </t>
  </si>
  <si>
    <t>Reduced GRIC on res deliveries and redistributed them to all 3 GSF.</t>
  </si>
  <si>
    <t>Revised Tonopah AWBA del sch for Nov/Dec, &amp; HVID Pool 3 del sch for Aug.</t>
  </si>
  <si>
    <t>07/26/01</t>
  </si>
  <si>
    <t>Added CY01 Waddell #s.  Added Sun State Rock CY02 del sch.</t>
  </si>
  <si>
    <t>SXV</t>
  </si>
  <si>
    <t>Pump</t>
  </si>
  <si>
    <t>Release</t>
  </si>
  <si>
    <t>(KWH/AF)-&gt;</t>
  </si>
  <si>
    <t>Draft completion of 3-yr forecast for CY2005 thru CY2007.  Checked math errors and fixed.  Deliveries checked OK.  Lake Pleasant checked OK.  CY2005 includes 1 month shift in lake pleasant releases beginning in May and ending by Sep 1.</t>
  </si>
  <si>
    <t>03/11/03</t>
  </si>
  <si>
    <t xml:space="preserve">     CAP Pumping Plants - Projection of Energy Use</t>
  </si>
  <si>
    <t xml:space="preserve">    (Megawatt Hours)</t>
  </si>
  <si>
    <t>Checked actuals for November 2009, entered HAV actual and updated Lake Pleasant actuals for Nov 2009.  Modified Dec waddell fill so eoy diversion matches 1.660 maf per TFK latest diversion schedule, which includes 40kaf of NEV diversion.</t>
  </si>
  <si>
    <t>Moved ASARCO CY02 subcon M&amp;I water del sch to NON-SUB XS M&amp;I category.</t>
  </si>
  <si>
    <t>Added SRO actuals for July 03, and revised H2O CY03 del sch.</t>
  </si>
  <si>
    <t>09/06/02</t>
  </si>
  <si>
    <t>Modified surcharge/threshold energy schedule at bottom of DS&amp;P</t>
  </si>
  <si>
    <t>04/03/03</t>
  </si>
  <si>
    <t xml:space="preserve">Revised Tempe &amp; Chandler CY08 incentive water - remarketed all of Chandler/Tempe to Vidler. </t>
  </si>
  <si>
    <t xml:space="preserve">               LaFarge North America</t>
  </si>
  <si>
    <t>Added Aqua/CMID del sch for 2009.</t>
  </si>
  <si>
    <t>Checked May 2005 actuals, adjusted Lake Pleasant to match eom actual elevation and lake storage., adjusted 2005 energy schedule to match 2180 gwh threshold limit.</t>
  </si>
  <si>
    <t>Entered CY09 - 11 del sch for Maricopa Drilling, APS, AZ State Land/ADOT, NMIDD, &amp; Eloy.  Also revised HVID CY)* XS-AG del sch.</t>
  </si>
  <si>
    <t>Made changes to Feb &amp; Jun 07 deliveries for AWBA &amp; CAGRD/incentive deliveries at HMRP &amp; TDRP.</t>
  </si>
  <si>
    <t>Entered 18000 AF of incnetive water to Resolution Copper for HIDD remarketed water from SRP for CY08.  Also, reduced SRP XS M&amp;I water ($10/AF) down to 3000 af, and redistributed the GRIC/SRP lease water between HSY &amp; SGL segments for CY08.</t>
  </si>
  <si>
    <r>
      <t>5) WE</t>
    </r>
    <r>
      <rPr>
        <vertAlign val="subscript"/>
        <sz val="11"/>
        <rFont val="Arial"/>
        <family val="2"/>
      </rPr>
      <t>2</t>
    </r>
    <r>
      <rPr>
        <sz val="11"/>
        <rFont val="Arial"/>
        <family val="2"/>
      </rPr>
      <t xml:space="preserve"> is energy supplied by SRP for water deliveries to SRP.</t>
    </r>
  </si>
  <si>
    <t xml:space="preserve">               thru Superstition Mt Recharge</t>
  </si>
  <si>
    <t>Adjusted Lake Pleasant pumping/outflow volumes for G.Given long-range forecast analysis for 2006-2007-2008.  Assumed CAP Target Colorado River diversion volume of 1.6 maf for the three years.</t>
  </si>
  <si>
    <t>Updated the December 2002 waddell pumpage based on Joe Donnelly (BOR CRO) estimate of extra 13,334 af available for CAP diversions.</t>
  </si>
  <si>
    <t>09/27/01</t>
  </si>
  <si>
    <t xml:space="preserve">                    TOTAL M&amp;I</t>
  </si>
  <si>
    <t xml:space="preserve">                    TOTAL AG</t>
  </si>
  <si>
    <t xml:space="preserve">                    TOTAL FEDERAL</t>
  </si>
  <si>
    <t xml:space="preserve">               TOTAL RECHARGE</t>
  </si>
  <si>
    <t xml:space="preserve">            TOTAL DELIVERIES</t>
  </si>
  <si>
    <t>04/17/03</t>
  </si>
  <si>
    <t xml:space="preserve">               LSCRP</t>
  </si>
  <si>
    <t>Reduced Chandler water by 612 af for cy2003.  Reduced the december number.</t>
  </si>
  <si>
    <t>Checked December 2004 actuals, adjusted Lake Pleasant to match eom actual elevation and lake storage, checked eoy2004 diversions and lake values.</t>
  </si>
  <si>
    <t xml:space="preserve">               Resolution Copper/RWCD</t>
  </si>
  <si>
    <t>Checked September 2004 actuals, entered Waddell actuals, adjusted Lake Pleasant to match eom actual elevation and lake storage, x-checked with updated diversion schedule Oct thru Dec.</t>
  </si>
  <si>
    <t>Deleted Non-Subcontract line item for Phelps Dodge &amp; Stone Creek Farms from CY2011 - 13.  Revised CY 2011 - 13 del sch for Tempe.</t>
  </si>
  <si>
    <t>Changed Sunbelt Ornamental name to Gardner Turfgrass.</t>
  </si>
  <si>
    <t>06/14/04</t>
  </si>
  <si>
    <t>Adjusted CY 2010 Ag settlement pool back to annual total w/o recovery (391,841 AF), both direct &amp; indirect recharge, and other subcontractors..  Also changed Sonoran Land Group to it's new owners' name (LSM Golf, LLC).</t>
  </si>
  <si>
    <t>Moved 7205 AF from Valencia to WUGT for CY09.  Redistributed 10kaf of SCIDD Ag pool in CY09 to MSIDD &amp; CAIDD.</t>
  </si>
  <si>
    <t>Revised Az State Land CY06 del sch.</t>
  </si>
  <si>
    <t>Entered mesa's CY07 incentive recharge del sch w/RWCD.</t>
  </si>
  <si>
    <t>System</t>
  </si>
  <si>
    <t>Revised Jul 09 temp permit total.  Entered CY2010 - 12 del sch for Cave Creek.</t>
  </si>
  <si>
    <t>Revised HVID CY 2010 ag Pool, and brought entire ag pool back to total, less recovery (391,841 af).</t>
  </si>
  <si>
    <t>Entered revis del sch for Peoria CY06 xs &amp; subcontract M&amp;I.</t>
  </si>
  <si>
    <t>09/08/04</t>
  </si>
  <si>
    <t>Checked October 2005 actuals, adjusted Lake Pleasant to match eom actual elevation and lake storage.</t>
  </si>
  <si>
    <t>Temporary (-) for reduced deliveries (m&amp;i)</t>
  </si>
  <si>
    <t>Updated Recharge projections for state demo facilities for sep thru dec, 2002</t>
  </si>
  <si>
    <t>Revised H2O del sch to 270 af for CY04, and QCWC XS del sch for CY04 to 597 af.</t>
  </si>
  <si>
    <t xml:space="preserve">     On Reservation</t>
  </si>
  <si>
    <t>Added July 03 actuals to f/c w/the exception of SRO breakdown..</t>
  </si>
  <si>
    <t>Revised Jul &amp; Aug CY05 actual deliveries for CAGRD.  Moved 4115 af of QCID use from GRD incentive to GRD excess water.</t>
  </si>
  <si>
    <t>Revised CY07 del sch for CAIDD &amp; HOHO interstate water.  Revised CY07 del sch for Marana - changed deliveries from incentive water to M&amp;I subcon &amp; xs full cost water.  Entered most of CY06 Oct actuals.</t>
  </si>
  <si>
    <t>Revised Temp permit projected use for 2009</t>
  </si>
  <si>
    <t>09/05/03</t>
  </si>
  <si>
    <t xml:space="preserve">               Peoria (AFRP and/or HMRP)</t>
  </si>
  <si>
    <t>The Rainfall and Agua Fria Adjusted Gaged Inflows are based on a Normal Year.</t>
  </si>
  <si>
    <t>01/07/02</t>
  </si>
  <si>
    <t>07/29/03</t>
  </si>
  <si>
    <t xml:space="preserve">               Hieroglyphic</t>
  </si>
  <si>
    <r>
      <t xml:space="preserve">Maricopa Stanfield </t>
    </r>
    <r>
      <rPr>
        <sz val="11"/>
        <rFont val="Helv"/>
      </rPr>
      <t>(less recovery)</t>
    </r>
  </si>
  <si>
    <t>Entered CY2010 - 12 del sch for Picacho school, Red Mt Ranch CC.</t>
  </si>
  <si>
    <t>Re-entered  Tonopah CY04 AWBA del sch for Oct - Dec.</t>
  </si>
  <si>
    <t>10/31/03</t>
  </si>
  <si>
    <t>Revised Navajo power purchases delivery split #s, and CAP Energy purchases rates as per Tim.</t>
  </si>
  <si>
    <t>Updated 12-month Lake Pleasant Operating Forecast -- sep. 2001 thru august 2002.  Adjusted nov/dec 2001 waddell pumpages lower due to max. 1702 elevation in reservoir.</t>
  </si>
  <si>
    <t>09/25/01</t>
  </si>
  <si>
    <t>Entered multiple CY03 del sch.  Also entered CY04 &amp; 05 data for Anthem/pump as per Terri Sue.</t>
  </si>
  <si>
    <t>Revised CY04 Nov &amp; Dec Direct recharge for Planning, and revised Chandler, Gilbert, and Planning's CY05 del sch.</t>
  </si>
  <si>
    <t>04/17/01</t>
  </si>
  <si>
    <t>04/12/02</t>
  </si>
  <si>
    <t>Revised Frank Rogers del sch to 0 for CY02.</t>
  </si>
  <si>
    <t>Per Tim K./SRP --  modified Nov 2006 HAV pumping &amp;  WAD fill/release for 10 day maintenance outage for R.Randolph;  targeted HAV 3,000 cfs in June 2006, modified Oct diversions to match 1.575 maf diversion.</t>
  </si>
  <si>
    <t>Reduced Val Vista Lakes del sch to 485 AF.</t>
  </si>
  <si>
    <t>Checked June 2004 actuals, entered Waddell actuals, adjusted Lake Pleasant to match eom actual elevation and lake storage, x-checked with new diversion schedule July thru Oct.</t>
  </si>
  <si>
    <t xml:space="preserve">                (CFS)</t>
  </si>
  <si>
    <t>Entered Mazatzal &amp; Tonopah ID CY06 - 08 del sch.  Also revised Oasis CY05 del sch to 1487 af.  Reduced Chaparral CY05 del sch to 6000 af - remarketed to Oasis.</t>
  </si>
  <si>
    <t>Revised HVID &amp; MSIDD CY2010 Ag pool.  Deleted some unecessary line items in 2010.  Revised Resolution Copper CY2009 del sch.  Revised MSIDD CY2010 AWBA sch.</t>
  </si>
  <si>
    <t>Revised CAIDD interstate water del sch for CY05.</t>
  </si>
  <si>
    <t>Checked April 2008 actuals, entered Waddell actuals.  Updated Lake Pleasant actuals for Apr 2008.  Tweaked Nov filling to match eoy target 1.576 maf.</t>
  </si>
  <si>
    <t>Entered NMIDD CY07 - 09 del sch.</t>
  </si>
  <si>
    <t>TOTAL CUSTOMER DELIVERIES</t>
  </si>
  <si>
    <t>TOTAL CANAL LOSSES</t>
  </si>
  <si>
    <t>Entered Waddell Acctg for Dec 08, and updated SYSCAP tab for Dec 08.</t>
  </si>
  <si>
    <t>Increased AJWC incentive del sch to 2883 af for the year (1583 af in may) from the 20kaf the BOR turned back to us.  Water w/b del thru NMIDD.</t>
  </si>
  <si>
    <t>Fixed the October pump/outflow split for October and mid-October cells</t>
  </si>
  <si>
    <t>06/06/01</t>
  </si>
  <si>
    <t>05/08/03</t>
  </si>
  <si>
    <t>Entered June 05 actuals for SRO breakdown &amp; temp permits.</t>
  </si>
  <si>
    <t>Checked Sep 2009 Actuals and updated Lake Pleasant actuals for September 2009, re-adjusted Waddell operations and checked delivery schedules to match TFK Oct13version and 1.609 maf diversion target.  Adjusted CAIDD/VCY 09 interstate water to reflect total annual scheduled volume of 12.5kaf.</t>
  </si>
  <si>
    <t>Added Jan 04 Waddell pump/outflow actuals.  Revised Avondale Cy04 subcon &amp; incentive del sch.  Added Jan 04 actual water deliveries.</t>
  </si>
  <si>
    <t>Added Augusta Resoucre to CY06 - CY10 files for Direct incentive water.</t>
  </si>
  <si>
    <t>Checked February 2005 actuals, adjusted Lake Pleasant to match eom actual elevation and lake storage. Note: revised plan for rest of cy2005 not entered yet.</t>
  </si>
  <si>
    <t>10/17/01</t>
  </si>
  <si>
    <t>Added CY02 del sch for H2O, SCIDD, Tonto, SRP/CAP exhcnage line item, revised Kai, MSIDD &amp; HVF.  Also revised SCIDD CY01 del sch.</t>
  </si>
  <si>
    <t>Revised SCIDD &amp; NMIDD CY06 Ag Pool del sch, and CAGRD XS-M&amp;I for Tonopah, revised Az American (WVC) because MWD could not meet the obligation for in-lieu w/them this year - MWD had DWR storage issues..  Entered Sep CY06 actual deliveries.  Entered CY07 - 09 del sch for Chandler, Stallion Mgmt.</t>
  </si>
  <si>
    <t>Entered Waddell actuals for May 04.  Also changed the name of Harquahala Generating Co to the "New" Harquahala Generating Co.</t>
  </si>
  <si>
    <t>Entered May 05 actuals.</t>
  </si>
  <si>
    <t>Added Waddell #s for July &amp; revised threshold power data.</t>
  </si>
  <si>
    <t xml:space="preserve">               Marana/LSCRP</t>
  </si>
  <si>
    <t>Deleted Ft McDowell GRIC lease schedule from CY08 - 2010.  Also deleted CY08 interstate for MSIDD &amp; Hohokam, and reduced Hohokam AWBA/GSF in CY08 down to 25KAF.</t>
  </si>
  <si>
    <t>Increased GRD CY07 incentive del sch by 500 af for TID use.</t>
  </si>
  <si>
    <t xml:space="preserve">               Water Utility of Greater Tonopah</t>
  </si>
  <si>
    <t>Entered Waddell actuals for March 05.</t>
  </si>
  <si>
    <t>Entered actual water use for June 07.</t>
  </si>
  <si>
    <t>Entered new XS M&amp;I customer Val Vista Lakes in HSY seg for CY03, Revised Vail WC &amp; Green Valley WC CY03 del sch.   Also moved Scottsdale incentive for CY02 &amp; CY03 from in-lieu to Direct for deliveries thru their #2 t/o going to their water campus.</t>
  </si>
  <si>
    <t>Added CY04 del sch for VF Investments.</t>
  </si>
  <si>
    <t>2/2/04</t>
  </si>
  <si>
    <t>Revised SRP Dec 03 deliveries.</t>
  </si>
  <si>
    <t>Revised AZ-American (PV), and H2O del sch.  Added actuals for May 02, to include Waddell.  Changes power #s.</t>
  </si>
  <si>
    <t xml:space="preserve">    (Acre-Feet)</t>
  </si>
  <si>
    <t>Plant -&gt;</t>
  </si>
  <si>
    <t>HAV</t>
  </si>
  <si>
    <t>BSH</t>
  </si>
  <si>
    <t>Entered Glendale, Mesa, Phx, &amp; Tucson projections for CY2010 &amp; 2011.  Added CY2012 Tab, and entered CY2012 del sch for Avondale.</t>
  </si>
  <si>
    <t>Checked July 2005 actuals, adjusted Lake Pleasant to match eom actual elevation and lake storage., adjusted 2005 energy schedule to match 2180 gwh threshold limit.</t>
  </si>
  <si>
    <t>Revised Shea Sunbelt 07 del sch.</t>
  </si>
  <si>
    <t>Changed Picacho Sewer Co to Sun Lakes Casa Grande.  Changed March Waddell releases from + to (-) #.  Changed Navajo delivery split #s to accommodate the 36af waddell change.</t>
  </si>
  <si>
    <t>04/25/01</t>
  </si>
  <si>
    <t>Re-finalized Tohono Nation 2011 delivery order and schedule.  Modified 2011 monthly delivery and pumping schedule with small tweaks and according to Tim's schedule after SRP &amp; Main. Meeting.</t>
  </si>
  <si>
    <t xml:space="preserve">Checked August 2006 actuals, Checked remaining 2006 schedule for monthly diversions and adjusted to 1.589 maf year-end diversion per CRO August Conference call with trend for more water on river .  Adjusted Lake Pleasant to match eom actual elevation and lake storage.  </t>
  </si>
  <si>
    <t>Revised CY04 del sch for Mesa, PWCAA, &amp; Vidler incentive water.  Vidler purchase remaining Mesa water, and 3000 af of PWCAA's remarketed incentive water.</t>
  </si>
  <si>
    <t>Western</t>
  </si>
  <si>
    <t>02/13/03</t>
  </si>
  <si>
    <t>Revised CY03 Avondale incentive del sch.</t>
  </si>
  <si>
    <t>Apr</t>
  </si>
  <si>
    <t xml:space="preserve">               Avondale  (HMRP)</t>
  </si>
  <si>
    <t xml:space="preserve">               CAGRD (AFRP)</t>
  </si>
  <si>
    <t>Entered Waddell actuals for Aug 07, and CY08 - 10 del sch for Eloy.</t>
  </si>
  <si>
    <t>12/23/02</t>
  </si>
  <si>
    <t>09/09/04</t>
  </si>
  <si>
    <t>Entered Red Mt Ranch CC CY05 del sch.</t>
  </si>
  <si>
    <t xml:space="preserve">               ASARCO/San Xavier</t>
  </si>
  <si>
    <t>Deleted Avondale CY09 full cost excess from file.</t>
  </si>
  <si>
    <t>Moved 20kaf of CAVSARP water from direct/AWBA to Tuc subcontract water.  Added Springfield Lakes &amp; Sun Groves to SGL/PP non-subcontract customers</t>
  </si>
  <si>
    <t>10/29/00</t>
  </si>
  <si>
    <t>FLOW PASSING TWP (CFS)</t>
  </si>
  <si>
    <t>SANDARIO PP</t>
  </si>
  <si>
    <t>VOLUME PASSING SAN</t>
  </si>
  <si>
    <t>FLOW PASSING SAN (CFS)</t>
  </si>
  <si>
    <t>Entered actual CY04 Dec water use for Scottsdale.</t>
  </si>
  <si>
    <t>Modified Surplus summation formula in bottom summary table for CY2004</t>
  </si>
  <si>
    <t>Moved all Az Am (PV) SRP water in 08 to TDRP, and all Gilbert's incentive water in 08 from SRP to TDRP.</t>
  </si>
  <si>
    <t xml:space="preserve">               AZ American (WVC) - TDRP</t>
  </si>
  <si>
    <t>Canceled CY09 XS M&amp;I del sch for Town of Queen Creek.</t>
  </si>
  <si>
    <t>Adjusted June wad outflow for more accurate Havasu pumpage,  adjusted dec waddell pumping accordingly to match the AZ 2.8 maf limit.</t>
  </si>
  <si>
    <t>10/30/03</t>
  </si>
  <si>
    <t>11/03/03</t>
  </si>
  <si>
    <t>11/04/03</t>
  </si>
  <si>
    <t>Entered March 07 actual water deliveries.</t>
  </si>
  <si>
    <t>Canceled Purcell Jojoba CY02 del sch</t>
  </si>
  <si>
    <t>1/22/04</t>
  </si>
  <si>
    <t>03/28/03</t>
  </si>
  <si>
    <t>Entered CY04 del sch for SCIDD, Tonto Hills, RWCD, Viewpoint incentive.  Entered CY 03 actuals for August.</t>
  </si>
  <si>
    <t>Entered March 2010 SND recovery.</t>
  </si>
  <si>
    <t xml:space="preserve">            LAKE PLEASANT RESERVOIR AREA/CAPACITY TABLE</t>
  </si>
  <si>
    <t>07/26/02</t>
  </si>
  <si>
    <t>--------</t>
  </si>
  <si>
    <t>Jan</t>
  </si>
  <si>
    <t>Adjusted Tuc Oct 08 entries.  Also entered SRO actuals for Oct 08, and updated SYSCAP tab.</t>
  </si>
  <si>
    <t>Revised Threshold volume for Tim.</t>
  </si>
  <si>
    <t>Entered Waddell pumpage for January 2007.</t>
  </si>
  <si>
    <t>SMR</t>
  </si>
  <si>
    <t>Added column showing actual turnout name.  Added rows showing monthly average flow for pools 30 thru BRD.</t>
  </si>
  <si>
    <t>P26</t>
  </si>
  <si>
    <t>P27</t>
  </si>
  <si>
    <t>P28</t>
  </si>
  <si>
    <t>02/18/05</t>
  </si>
  <si>
    <t xml:space="preserve">               Ak-Chin/Pulte/Anthem - Wad T/O</t>
  </si>
  <si>
    <t>Re-entered 230 af of SCWC 07 xs water "back" from MSIDD full cost - this was not remarketed to MSIDD, it was meant to be taken at MSIDD GSF.</t>
  </si>
  <si>
    <t>Modified Dec 2008 TDR/HMR/AFR deliveries by adding turnback to AWBA (16,225 af &lt;---  HID 9750 af  and 6475 af CAV)</t>
  </si>
  <si>
    <t>Entered Sep 02 actual deliveries - all except Waddell info.</t>
  </si>
  <si>
    <t>Adjusted 2003 thru 2005 for AWBA recharge schedule reductions at Direct faciliites,  adjusted waddell filling/releases per 1.6 maf diversion limit.</t>
  </si>
  <si>
    <t>06/23/03</t>
  </si>
  <si>
    <t>07/10/03</t>
  </si>
  <si>
    <t>SRP $11</t>
  </si>
  <si>
    <t>Updated 2009 and 2010 operating plans with the latest best estimate deliveries to SRP; Recharge; Ag for long-range financial planning analysis.</t>
  </si>
  <si>
    <t>2/3/04</t>
  </si>
  <si>
    <t xml:space="preserve">               BOR/RWCD</t>
  </si>
  <si>
    <t xml:space="preserve">               Phelps/Dodge Miami (SRP)</t>
  </si>
  <si>
    <t xml:space="preserve">               Resolution Copper/NMIDD</t>
  </si>
  <si>
    <t>Revised CY09 del sch for AZ American &amp; redistributed CAGRD XS.</t>
  </si>
  <si>
    <t>Revised HVID Pool 1 del sch by moving 5000 af from Jul to Mar.  Also revised CY03 AG Del Status calc formulas.</t>
  </si>
  <si>
    <t xml:space="preserve">               Glendale (Pyramid Peak)</t>
  </si>
  <si>
    <t xml:space="preserve">               GRIC GSF w/CAIDD</t>
  </si>
  <si>
    <t xml:space="preserve">               GRIC GSF w/Hohokam</t>
  </si>
  <si>
    <t>Entered CY05 del sch for APS, CMID, Active Resource Mgmt, Rio Verde, Picacho School, Viewpoint, PPL Sundance, &amp; Vail water co.  Also changed the CY04 del sch for Martori Farms.</t>
  </si>
  <si>
    <t>N E W    W A D D E L L    D A M  /  L A K E   P L E A S A N T   R E S E R V O I R</t>
  </si>
  <si>
    <t>Entered CY07 - 09 del sch for Hohokam, Red Mt Ranch CC, Eloy, &amp; QCWC.  Also revised QCWC XS M&amp;I del sch.</t>
  </si>
  <si>
    <t>Addedd MBT/BJ Farm under Drought, &amp; Pinnacle West Capital Corp under incentive.</t>
  </si>
  <si>
    <t>Revised MSIDD CY06 Nevada water sch.</t>
  </si>
  <si>
    <t xml:space="preserve">               thru Scottsdale</t>
  </si>
  <si>
    <t xml:space="preserve">               Ak-Chin/Pulte/MWD</t>
  </si>
  <si>
    <t>Revised Peoria CY03 del sch to include cancelling their incentive sch and moving it to their M&amp;I subcon sch.</t>
  </si>
  <si>
    <t>Entered VF Investment Supplemental XS water del sch for CY06, and revised (redistributed) Glendale del sch for CY06.</t>
  </si>
  <si>
    <t>Reduced Mesa Nov &amp; Dec to 0.  Revised GRUSP.</t>
  </si>
  <si>
    <t>11/1/00</t>
  </si>
  <si>
    <t>Entered CY09 - 11 del sch for Royal Dunes.</t>
  </si>
  <si>
    <t>05/02/01</t>
  </si>
  <si>
    <t>07/18/02</t>
  </si>
  <si>
    <t>Revised Scottsdale CY03 f/c data.  Added CY04 f/c data, and addded CY05 tab file.</t>
  </si>
  <si>
    <t>Added CY02 del sch for Apache Junction, Az State Land, Oro Valley, Vail WC, Mesa Golf, Maricopa Drillig.  Added CY03 del sch for AZ state land.</t>
  </si>
  <si>
    <t>09/26/01</t>
  </si>
  <si>
    <t>Lake Pleasant Elevation</t>
  </si>
  <si>
    <t>06/20/03</t>
  </si>
  <si>
    <t>Entered CY06 Shea Homes (Johnson Farms/Trilogy) del sch.</t>
  </si>
  <si>
    <t>Revised Oasis Gold del sch .  Corrected segment locations for Tucson water deliveries at the CAVSARP T/O and BKW pumps.</t>
  </si>
  <si>
    <t>Entered actuals for Feb 09.  Revised year-end totals for AG pool, AWBA, M&amp;I subcontract, and incentive Rechare customers</t>
  </si>
  <si>
    <t xml:space="preserve">               Arizona Electric Power Coop</t>
  </si>
  <si>
    <t>Entered AZ Electric Power Coop to CY2010 XS-M&amp;I &amp; incentive under Brady seg.</t>
  </si>
  <si>
    <t>Entered Feb 09 Tuc plant use, and total permit use.</t>
  </si>
  <si>
    <t>Entered Feb 09 Waddell accounting.</t>
  </si>
  <si>
    <t>Increased MSIDD Pool 3 del sch in Oct 03 by 5000 af.  Revised HVID (Pool 3), Glendale (xs), and SCIDD (Drought) CY03 del sch.</t>
  </si>
  <si>
    <t>WAPA (or SRP) Extra Energy Purchases</t>
  </si>
  <si>
    <t xml:space="preserve">               Scottsdale/Yavapai-Prescott</t>
  </si>
  <si>
    <t>Revised Mesa's Incentive del sch for CY04.</t>
  </si>
  <si>
    <t>(WE)</t>
  </si>
  <si>
    <t>(NE)*</t>
  </si>
  <si>
    <t>(ED+TL)</t>
  </si>
  <si>
    <t>Losses</t>
  </si>
  <si>
    <t>Hoover B</t>
  </si>
  <si>
    <t>Hoover C</t>
  </si>
  <si>
    <t xml:space="preserve">               Tucson/BKW</t>
  </si>
  <si>
    <t xml:space="preserve">               CAVSARP</t>
  </si>
  <si>
    <t>Entered supplemental interstate water for MSIDD in CY06 (4000 af).  Also revised CY07 del sch for Town of Buckeye subcon to incentive</t>
  </si>
  <si>
    <t xml:space="preserve">Moved CY02 &amp; CY03 Avondale incentive recharge from indirect to direct. </t>
  </si>
  <si>
    <t>Revised 2010 TGV investments del sch.  Also reduced 2010 GRD HMRP/Recharge to 5kaf.</t>
  </si>
  <si>
    <t>Cancelled the 6000 af SCAT placeholder - no response from BOR relative to the 1/15/07 deadline.  Also, footnoted the SRP Ag pool water over use that will occur in 07.</t>
  </si>
  <si>
    <t>Entered actual SRO Feb 07 breakdown.</t>
  </si>
  <si>
    <t>Entered Waddell actuals for cy03 Nov.  Checked lake pleasant actual elevation and data.</t>
  </si>
  <si>
    <t>Updated Waddell Forecast Sheet to begin at 2003, Removed YTD_Graph, Forecast Evaluation, and DS&amp;P 2002, Sheets (I have a backup if we need them).  Added 2006 by making copy of 2005.</t>
  </si>
  <si>
    <t>NM1 - NM4</t>
  </si>
  <si>
    <t>Added CY02 Kai Farms, Chaparral, &amp; Springfield Lakes del sch.</t>
  </si>
  <si>
    <t>09/21/01</t>
  </si>
  <si>
    <t xml:space="preserve">  OCTOBER</t>
  </si>
  <si>
    <t>Entered Dec CY02 CAVSARP, MW, CAVREC, &amp; Waddell accounting info.</t>
  </si>
  <si>
    <t>08/07/02</t>
  </si>
  <si>
    <t>VOLUME PASSING PIC</t>
  </si>
  <si>
    <t>08/29/03</t>
  </si>
  <si>
    <t>Revised Red Mt Ranch Del Sch/</t>
  </si>
  <si>
    <t>09/04/01</t>
  </si>
  <si>
    <t>Entered forecast volumes for G.Given long-range forecast analysis for 2006-2007-2008.  Includes increased SRP water use,  Indian Lease use, general M&amp;I water use.  Checked math and corrected equations.</t>
  </si>
  <si>
    <t>Revised del sch for Chandler.  Entered CY02 del sch for Carefree</t>
  </si>
  <si>
    <t xml:space="preserve">               Ak-Chin/Pulte/Tierra Del Rio pump</t>
  </si>
  <si>
    <t>Revised CY02 del sch for San Xavier.</t>
  </si>
  <si>
    <t>11/20/03</t>
  </si>
  <si>
    <t>Navajo Energy Purchases</t>
  </si>
  <si>
    <t>01/17/02</t>
  </si>
  <si>
    <t>Added waddell actuals, &amp; revised power data.</t>
  </si>
  <si>
    <t>Checked and modified Nov 2006 HAV pumping &amp;  WAD fill/release for 10 day maintenance outage for R.Randolph;  modified Dec 06 diversions to match 1.575 maf diversion.</t>
  </si>
  <si>
    <t>HASSAYAMPA PP</t>
  </si>
  <si>
    <t>Entered CY03 del sch for Tempe, Ancala, Chaparral.  Added Eloy non-subcontract line to CY03 - 05.  Aded AWBA "DRAFT" del sch for CY03.</t>
  </si>
  <si>
    <t>Entered CY07 - 09 del sch for Tonto Forest, Tabletop, revised H2O, all direct recharge data from Tom.</t>
  </si>
  <si>
    <t>Revised actual CY04 deliveries as previously reported by MSIDD.  Moved CAIDD Nov 04 use from AWBA to Interstate deliveries.</t>
  </si>
  <si>
    <t>Entered SND Recovery for Feb 2010.</t>
  </si>
  <si>
    <t xml:space="preserve">Modified SRP to original water order for 2006 of 34 kaf, reduced from 100 kaf.  Reduced Waddell outflow to meet target HAV volumes during summer maintenance. </t>
  </si>
  <si>
    <t>Revised CY2010 permit sch to include Ames increase.  Plus entered CY2011 - 2013 del sch for Buckeye, Scottsdale (SCAT only), &amp; Tonto Hills.</t>
  </si>
  <si>
    <t xml:space="preserve">               Scottsdale/SCAT Lease</t>
  </si>
  <si>
    <t>Updated seed values for Lake Pleasant Forecast</t>
  </si>
  <si>
    <t>(Actual Water Use Entered Thru May)</t>
  </si>
  <si>
    <t>CAP Pumping Plants - Projection of Energy Use - For Deliveries Only</t>
  </si>
  <si>
    <t>Added revised CY02 del sch for Rio Verde.</t>
  </si>
  <si>
    <t>05/16/02</t>
  </si>
  <si>
    <t>Target = 2431</t>
  </si>
  <si>
    <t>Revised Sun Groves del sch down to 48AF.</t>
  </si>
  <si>
    <t>02/07/01</t>
  </si>
  <si>
    <t xml:space="preserve">               Surprise (AFRP &amp; HMRP)</t>
  </si>
  <si>
    <t>Entered CY03 del sch for Oro Valley thru Kai for Incentive wtr.</t>
  </si>
  <si>
    <t>Revised Vidler incentive del sch to 1751.</t>
  </si>
  <si>
    <t>04/16/01</t>
  </si>
  <si>
    <t xml:space="preserve">               Tohono Nation/AFRP&amp;HMRP</t>
  </si>
  <si>
    <t>Revised CY 10 del sch for Gilbert.</t>
  </si>
  <si>
    <t>Checked CY04 shedule and adjusted energy tables for threshold and surcharge energy schedules per latest delivery schedules.</t>
  </si>
  <si>
    <t>09/13/01</t>
  </si>
  <si>
    <t>Per Tim K./SRP --  SRP requested an additional 20kaf in Nov 2007, and reduced November lake fill by 20kaf.</t>
  </si>
  <si>
    <t>Added new XS-M&amp;I customer under Salt Gila in CY03 - 06  - Tabletop Nursery who w/take water through SRO.  Also added 3500 of Pool 3 water in Aug 03 for MSIDD.</t>
  </si>
  <si>
    <t>04/09/02</t>
  </si>
  <si>
    <t>05/09/03</t>
  </si>
  <si>
    <t>Increased Hohokam's CY05 Interstate AWBA to 10300 AF.</t>
  </si>
  <si>
    <t xml:space="preserve">               Gilbert/Welton-Mohawk</t>
  </si>
  <si>
    <t xml:space="preserve">               Ak-Chin/Pulte/MWD - turnout</t>
  </si>
  <si>
    <t>Finalized CY2006 plan of operation.  Reduced Indian Firming at GRICS to 35kaf.  Rechecked Lake Pleasant filling and release elevations.</t>
  </si>
  <si>
    <t xml:space="preserve">               Metro/Kai Farms</t>
  </si>
  <si>
    <t>Entered Nov 09 actual water deliveries.  Updated SYSCAP Tab.</t>
  </si>
  <si>
    <t>(3) Total Scheduled Energy = ED - Waddell Generation Energy</t>
  </si>
  <si>
    <t>($1000)</t>
  </si>
  <si>
    <t>Entered CY09 - 2011 del sch for Recrational, LaFarge, Carefree, Gilbert, Sonoran.</t>
  </si>
  <si>
    <t>06/05/03</t>
  </si>
  <si>
    <t>Changed Waddell pumped/outflow data for May.  Also changed threshold power accordingly.</t>
  </si>
  <si>
    <t>Entered CY05 del sch for AWC (AJ &amp; CG), Chaparral, DMB White Tank, SCIDD, tempe.  Entered Cy04 DMB Incentive del sch.</t>
  </si>
  <si>
    <t>Energy (3)</t>
  </si>
  <si>
    <t>at HAV</t>
  </si>
  <si>
    <t>Avg Mo CFS (D/S of Brady)</t>
  </si>
  <si>
    <t>Revised 09 temp permit projections</t>
  </si>
  <si>
    <t>Updated SYSCAP tab for Sep 09.</t>
  </si>
  <si>
    <t>Entered CY2010 - 12 del sch for Sonoran Golf, Tonto Hills Utility, and revised previous del sch for AZ Wholesale Growers.</t>
  </si>
  <si>
    <t>Waddell 12-Month Operating Forecast -- two month update,  adjusted march 2002 lake fill from 50k to 40k to limit elev to 1702.</t>
  </si>
  <si>
    <t>Entered Jan 07 actual deliveries for remaining customers.  Also moved CAVSARP sch from Nevada to domestic water throughout the year.</t>
  </si>
  <si>
    <t>Entered April actual deliveries into f/c.</t>
  </si>
  <si>
    <t xml:space="preserve">               Phoenix/Fort McDowell</t>
  </si>
  <si>
    <t>PRINTED:</t>
  </si>
  <si>
    <t xml:space="preserve">               Vail WC/Kai Farms</t>
  </si>
  <si>
    <t>Water</t>
  </si>
  <si>
    <r>
      <t>(WE</t>
    </r>
    <r>
      <rPr>
        <vertAlign val="subscript"/>
        <sz val="11"/>
        <rFont val="Arial"/>
        <family val="2"/>
      </rPr>
      <t>2</t>
    </r>
    <r>
      <rPr>
        <sz val="11"/>
        <rFont val="Arial"/>
        <family val="2"/>
      </rPr>
      <t>)</t>
    </r>
  </si>
  <si>
    <t>Entered CY03 del sch for RWCD pool 3, sun envronments &amp; Sun Groves.  And CY02 del sch for Sun Environment, revisions for recharge from Tom Harbour.</t>
  </si>
  <si>
    <t>Entered CY07 - 09 del sch for Sonoran Land Group aka Las Sendas Golf, and APS.</t>
  </si>
  <si>
    <t>Cap Storage Account December Previous Year =</t>
  </si>
  <si>
    <t>Checked July 2004 actuals, entered Waddell actuals, adjusted Lake Pleasant to match eom actual elevation and lake storage, x-checked with updated diversion schedule Aug thru Dec.</t>
  </si>
  <si>
    <t>JUL</t>
  </si>
  <si>
    <t>AUG</t>
  </si>
  <si>
    <t>SEP</t>
  </si>
  <si>
    <t>OCT</t>
  </si>
  <si>
    <t>NOV</t>
  </si>
  <si>
    <t>DEC</t>
  </si>
  <si>
    <t>TOTAL</t>
  </si>
  <si>
    <t>05/07/03</t>
  </si>
  <si>
    <t>Entered CY04 - 06 F/C data for Gilbert and changed Chandler, Mesa, Scotssdale, GRIDD deliveries for the same yrs.  Added Waddell actuals for April 03.  Also entered all Ag Pool water for 04-06 as indicated on DRAFT AG pool allocation initial offer table.</t>
  </si>
  <si>
    <t xml:space="preserve">               San Carlos IDD</t>
  </si>
  <si>
    <t>Added SND pumping for April 02 to CAVREC.</t>
  </si>
  <si>
    <t>Revised Gilbert 3 yr f/c for 06 - 08 for deliveries thru SRP only, and entered Mesa's 3 yr f/c.</t>
  </si>
  <si>
    <t>QCID thru Kai TOTAL</t>
  </si>
  <si>
    <t>Modified CY2004 - Havasu pumping schedule for June thru September per agreed upon power and Havasu operating schedule with SRP.  Lake storage and elev checked OK. Updated energy table for threshold use.</t>
  </si>
  <si>
    <t>12/15/04</t>
  </si>
  <si>
    <t>03/15/04</t>
  </si>
  <si>
    <t xml:space="preserve">               Scottsdale, City of</t>
  </si>
  <si>
    <t>Revised CY05 Ag Settlement Pool del sch for MWD, CAIDD, HVID, Hohokam, &amp; MSIDD to accommodate MWD's redistributed Ag Pool request.</t>
  </si>
  <si>
    <t>Entered Maricopa Drilling CY04 del sch.  Also revised Chandler incentive CY03 sch from 17500 to 9000 af.</t>
  </si>
  <si>
    <t>Entered July 06 actual water use.</t>
  </si>
  <si>
    <t xml:space="preserve"> W.S.</t>
  </si>
  <si>
    <t>LAKE</t>
  </si>
  <si>
    <t>Entered CY03 actuals for Feb to include all deliveries (except the SRO breakdown &amp; Waddell final #s), but includes CAVSARP recovery &amp; revised San Xavier del sch increase of 200 af..</t>
  </si>
  <si>
    <t>08/25/04</t>
  </si>
  <si>
    <t>Adjusted SRP "bring your own power" energy use rate.  Adjusted Nov 2010 threshold energy amount.  Adjusted 2010 Threshold energy target.</t>
  </si>
  <si>
    <t>Added City of Surprise in June 08 for storage at TDRP.</t>
  </si>
  <si>
    <t>Adjusted Delivery schedules for budget forecast 2008 and 2009,  including AWBA, CAGRD schedules.  Recovery schedules backed out of diversions and associated ag supply water. Tweaked L.Pleasant fill/release schedules accordingly.</t>
  </si>
  <si>
    <t>Entered CY 2005 del sch for Phoenix, Mesa, Recreational Center, Chandler.</t>
  </si>
  <si>
    <t>01/11/02</t>
  </si>
  <si>
    <t>Entered June 2007 Waddell accounting.</t>
  </si>
  <si>
    <t>Modified Lake Pleasant spreadsheet for case of MWD filling to 157600 af. Changed formulas for mwd and cap storage account calcs.</t>
  </si>
  <si>
    <t>VOLUME PASSING RED</t>
  </si>
  <si>
    <t>FLOW PASSING RED (CFS)</t>
  </si>
  <si>
    <t>TWIN PEAKS PP</t>
  </si>
  <si>
    <t>04/16/04</t>
  </si>
  <si>
    <t>Revised CY05 del sch for VF Investments, &amp; Gilbert incentive.</t>
  </si>
  <si>
    <t>Revised NMIDD CY08 Ag Pool del sch.  Revised SRP XS-M&amp;I CY08 del sch.  Entered some of the Oct 07 actuals.</t>
  </si>
  <si>
    <t>Entered Oct 07 actuals.</t>
  </si>
  <si>
    <t>Added 84 af to Tonto Forest for June 2010 - will be delivered from SRP exchange credits.  Entered Dec 09 actuals.</t>
  </si>
  <si>
    <t>Revised 2008 - 2010 sch for Scottsdale/SCAT water.</t>
  </si>
  <si>
    <t>Revised Chandler projection for CY09.</t>
  </si>
  <si>
    <t>Entered CY2010 &amp; 11 projections for Peoria &amp; Gilbert, and firm CY2010 del sch for MCP&amp;R.</t>
  </si>
  <si>
    <t xml:space="preserve">               Peoria (MWD, Quintero, P2 pump)</t>
  </si>
  <si>
    <t xml:space="preserve">               Gilbert/NMIDD</t>
  </si>
  <si>
    <t xml:space="preserve">               Gilbert/RWCD</t>
  </si>
  <si>
    <r>
      <t>6) WE</t>
    </r>
    <r>
      <rPr>
        <vertAlign val="subscript"/>
        <sz val="11"/>
        <rFont val="Arial"/>
        <family val="2"/>
      </rPr>
      <t>2</t>
    </r>
    <r>
      <rPr>
        <sz val="11"/>
        <rFont val="Arial"/>
        <family val="2"/>
      </rPr>
      <t xml:space="preserve"> = SRP $48 water volume (AF) * 1728 KWh per AF.</t>
    </r>
  </si>
  <si>
    <t>Redistributed 3764 af of SCIDD CY 2010 Ag Pool water to HVID.</t>
  </si>
  <si>
    <t>Entered Dec 09 Waddell Acctg.  Revised WUGT &amp; Gilbert XS CY2010 del sch.</t>
  </si>
  <si>
    <t>Entered actual water use for July 2004.  Also revised Vidler inc dels ch for July 04.</t>
  </si>
  <si>
    <t>Revised QCWC CY03 del sch.  Entered Goodyear incentive del sch for CY04.</t>
  </si>
  <si>
    <t>Scheduled</t>
  </si>
  <si>
    <t>Flow</t>
  </si>
  <si>
    <t>Increased CY05 Hohokam-interstate water by 1300 AF in Oct.  Revised CY05 del sch for Az State Land.  Re-entered Val Vista for 65 af in July.</t>
  </si>
  <si>
    <t>Entered remaining Feb 06 actuals.</t>
  </si>
  <si>
    <t>Revised CY04 Ag Pool del sch for CAIDD, CHCID, HVID, Hohokam, MSIDD, MWD, MNIDD, SRP &amp; Tonopah to accommodate the CMID redistributed water.</t>
  </si>
  <si>
    <t xml:space="preserve">Added Oct 03 actuals.  Added 500 af of Pool 3 for RWCD in Nov 03.  Revised NMIDD 04 AWBA sch to accommodate summer capacity issues.   Added excess Federal water line item in table and summary for Tohono O'Odham water in 03. Added hohokam full cost AWBA line item to table and summary in o4. </t>
  </si>
  <si>
    <t>Moved Cy2010 GRIC/SSR from non-sub to Indian Off-res.  Made adjustments/cleaned up CY2010.  Entered DRAFT table AWBA sch.  Revised CY09 Gilbert/Incentive at TDRP.</t>
  </si>
  <si>
    <t>09/10/03</t>
  </si>
  <si>
    <t>09/05/01</t>
  </si>
  <si>
    <t>Added new sheet titled "12_MTH_FC", This sheet provides a table and graph for a rolling 12 month forecast.  To excecute push the blue button at top and follow the menu commands.</t>
  </si>
  <si>
    <t>Revised Dec 09 carefree water use.</t>
  </si>
  <si>
    <t xml:space="preserve">               Ak-Chin/Pulte/Festrival - pump</t>
  </si>
  <si>
    <t>Entered CY2011 - 13 del sch for SCIDD &amp; NHG.</t>
  </si>
  <si>
    <t>Entered CY03 del sch for Mazatzal &amp; Springfield.</t>
  </si>
  <si>
    <t xml:space="preserve">Entered 3 yr f/c data for MCP&amp;R, Apache Junction WC, AZ-American, all Ag Settlement Pool Customers, </t>
  </si>
  <si>
    <t>Entered Dec 07 actual deliveries.</t>
  </si>
  <si>
    <t>Entered new header line for recovery water.  Adjusted SRP $6 water for Aug - Dec.  Revised Oasis del sch to add 300 af, 2000 af to Hohokam Pool 3, Vidler reduced to 24200 af, and MSIDD increased their Pool 3 del sch by 12800 af..</t>
  </si>
  <si>
    <t xml:space="preserve">               Chandler/Welton-Mohawk - TDRP</t>
  </si>
  <si>
    <t xml:space="preserve">               Communities SW (TDRP)</t>
  </si>
  <si>
    <t>Changed Tonto Hills Utility Co to Tonto Hills Dom Wtr Impr Dst (DWID) for CY 2011 &amp; beyond.</t>
  </si>
  <si>
    <t xml:space="preserve">               Tonto Hills DWID</t>
  </si>
  <si>
    <t>Revised CY09 She/Encanterra del sch down to 93af as per their remarket request.</t>
  </si>
  <si>
    <t>Modified CY2006 --  Assumed Incentive program has ended, zero'd incentive recharge numbers,  excess balance to AWBA recharge.</t>
  </si>
  <si>
    <t>08/12/04</t>
  </si>
  <si>
    <t>Entered July 04 Waddell actuals.</t>
  </si>
  <si>
    <t>Completed an updated 12-month Lake Pleasant Forecast from July 2006 thru June 2007.  Also, changed CAIDD AWBA GSF &amp; Nevada del sch to match revised AWBA changes necessary to accommodate the GRIIDD firming water.</t>
  </si>
  <si>
    <t>Adjusted Waddell pumping for cy2003</t>
  </si>
  <si>
    <t>Entered actual deliveries, and SND recovery for May 04.  Added new xs M&amp;I customer Motorgrande Motorcross Park in SGL segment.</t>
  </si>
  <si>
    <t>Moved 1000 af of PMR storage from CAGRD to Oro Valley/incnetive.  Added Oct 08 total permit use.</t>
  </si>
  <si>
    <t>Revised CY08 projections for Aug - Dec for CAGRD/XS - AFRP, Indian customers to bring back in line with annual sch volumes.  Also entered CY09 - 11 del sch for Viewpoint &amp; Flowing Wells.  Also revised the CY09 - 11 del sch for Chaparral.</t>
  </si>
  <si>
    <t xml:space="preserve">               Chandler/Assignment - TDRP</t>
  </si>
  <si>
    <t>07/16/03</t>
  </si>
  <si>
    <t>Entered Actual deliveries for Feb 05.</t>
  </si>
  <si>
    <t>Checked April 2005 actuals, adjusted Lake Pleasant to match eom actual elevation and lake storage., adjusted 2005 energy schedule to match 2180 gwh threshold limit.</t>
  </si>
  <si>
    <t xml:space="preserve">               AZ American/PV (MWD)</t>
  </si>
  <si>
    <t xml:space="preserve">               AZ American/PV - TDRP</t>
  </si>
  <si>
    <t xml:space="preserve">               AZ American/WV - TDRP</t>
  </si>
  <si>
    <t xml:space="preserve">               GRIIID</t>
  </si>
  <si>
    <t xml:space="preserve">               Chandler</t>
  </si>
  <si>
    <t>Added CS19 calculated flow to approximately row 30.  Hid Direct AWBA deliveries and SRP $6 water rows in top table.</t>
  </si>
  <si>
    <t>1st Qtr</t>
  </si>
  <si>
    <t>2nd Qtr</t>
  </si>
  <si>
    <t>3rd Qtr</t>
  </si>
  <si>
    <t>4th Qtr</t>
  </si>
  <si>
    <t xml:space="preserve">       </t>
  </si>
  <si>
    <t>Entered CMID Ag Pool del sch for CY04.</t>
  </si>
  <si>
    <t>07/13/04</t>
  </si>
  <si>
    <t xml:space="preserve">               GRUSP</t>
  </si>
  <si>
    <t>08/31/04</t>
  </si>
  <si>
    <t>Modified 2010 AWBA schedule to 2500 af in AVRP and 17500 af in LSC.</t>
  </si>
  <si>
    <t>Deleted the SCAT CY06 placeholder entry of 5000 af.</t>
  </si>
  <si>
    <t>09/20/02</t>
  </si>
  <si>
    <t>Entered Apr 08 actuals for SRO customers.</t>
  </si>
  <si>
    <r>
      <t xml:space="preserve">               CAIDD (CMAN) </t>
    </r>
    <r>
      <rPr>
        <sz val="12"/>
        <color indexed="10"/>
        <rFont val="Helv"/>
      </rPr>
      <t>(less recovery)</t>
    </r>
  </si>
  <si>
    <t>Changed MBT to Rancho Escalante &amp; added del sch #s.</t>
  </si>
  <si>
    <t xml:space="preserve">               Arizona-American WV/MWD</t>
  </si>
  <si>
    <t xml:space="preserve">               Arizona Water Co. (Apache Junct)</t>
  </si>
  <si>
    <t xml:space="preserve">               Chandler/SRP</t>
  </si>
  <si>
    <t>Entered CY08 - 10 del sch for Chaparral &amp; Picacho.</t>
  </si>
  <si>
    <t>plus credit exchange for balance of 25kaf  (GRD @ AFRP)</t>
  </si>
  <si>
    <t>10/30/00</t>
  </si>
  <si>
    <t xml:space="preserve">Increased HAV diversion by 40kaf for Aug 2010 and tweaked Jun/Oct by 2kaf each to match updated CAP entitlement target of 1.657 maf </t>
  </si>
  <si>
    <t xml:space="preserve">Per 2008 remarketed water and new delivery schedules, added 10kaf waddell release for May 08,  modifed summer 08 pass thru, and adjusted Nov 08 fill to attain original monthly schedules and meet 1.575 diversion.  </t>
  </si>
  <si>
    <t>Adjusted Agua Fria Recharge, Waddell Releases, and Waddell Pumping to account for changes in the schedule for the AF Siphon</t>
  </si>
  <si>
    <t>Revised CY04 Ag Settlement Pool users del sch after election of redistributed amounts.</t>
  </si>
  <si>
    <t>Entered May, 06 actuals.</t>
  </si>
  <si>
    <t>10/09/03</t>
  </si>
  <si>
    <t>Revised Gilbert CY06 subcon distribution between SRP &amp; TDRP.</t>
  </si>
  <si>
    <t xml:space="preserve">         Projection of Navajo Power Purchases</t>
  </si>
  <si>
    <t xml:space="preserve">           Projection of CAP Energy Purchases</t>
  </si>
  <si>
    <t>Entered July 2010 actual deliveries, less recovery.</t>
  </si>
  <si>
    <t xml:space="preserve">               Gilbert, town of (TDRP)</t>
  </si>
  <si>
    <t>Adjusted the Threshold and Surcharge energy projection schedule based on new delivery schedules for cy2004 thru cy2006.</t>
  </si>
  <si>
    <t>Entered Marana's CY2010 - 12 del sch.</t>
  </si>
  <si>
    <t>Checked Dec 2003 actuals, adjusted Lake Pleasant to match eoy actual elevation and lake storage,  zero'd recovery for cy2004.</t>
  </si>
  <si>
    <t xml:space="preserve">               Interstate (Hohokam)</t>
  </si>
  <si>
    <t>08/21/01</t>
  </si>
  <si>
    <t>Added CHCID CY02 del sch.</t>
  </si>
  <si>
    <t>08/22/01</t>
  </si>
  <si>
    <t xml:space="preserve">Checked June 2006 actuals, Checked remaining 2006 schedule for monthly diversions and 1.575 maf year-end diversion.  Adjusted Lake Pleasant to match eom actual elevation and lake storage.  </t>
  </si>
  <si>
    <t>Revised CY04 del sch for Az State Land.  Entered March 04 actuals, except for Waddell info.</t>
  </si>
  <si>
    <t>Added June 02 actual deliveries, to include Waddell, changing threshold power #s, adjusting SRP exchange to = 150kaf for the year, &amp; adjusting Havasu pumping for Jul - Nov as per Tim.  Also, revised Oasis del sch for Jul - Dec 02.</t>
  </si>
  <si>
    <t>08/06/03</t>
  </si>
  <si>
    <t>01/20/03</t>
  </si>
  <si>
    <t xml:space="preserve">               Arizona-American (PV)/HMRP</t>
  </si>
  <si>
    <t>Added Hohokam &amp; NMIDD CY02 del sch.</t>
  </si>
  <si>
    <t>Added Temp permit monthly info to HSY segment so water use w/b calculated into Vol passing Hav - and total Colorado River diversionns w/match vol passing hav at top of spreadsheet..</t>
  </si>
  <si>
    <t>JLH</t>
  </si>
  <si>
    <t xml:space="preserve">Revised CY08 Shea-Avalea del sch.  Entered Tohono Nation CY09 PMR del sch.  Revised CY)( - 11 del sch for Gilbert direct recharge.  </t>
  </si>
  <si>
    <t xml:space="preserve">               San Carlos Apache/SRP</t>
  </si>
  <si>
    <t xml:space="preserve">Checked November 2006 actuals, Added Nov. Waddell numbers, Checked remaining 2006 schedule for monthly diversions and adjusted per diversion target of ?1.615 maf.  Adjusted Lake Pleasant to match eom actual elevation and lake storage.  </t>
  </si>
  <si>
    <t xml:space="preserve">               MWD</t>
  </si>
  <si>
    <t xml:space="preserve">               Peoria  (AFRP, Glen, HMRP, Quin)</t>
  </si>
  <si>
    <t xml:space="preserve">               Peoria  (AFRP, HMRP, SRP, Glen)</t>
  </si>
  <si>
    <t xml:space="preserve">               FICO</t>
  </si>
  <si>
    <t>Added CY02 del sch for VF Investments, C&amp;M Ranch, Mesa, HVA, Revised HVF, GRIC, Recreational, Eloy, QCWC, Gardner Turfgrass, Triple W. San Xavier &amp; Scottsdale.  Added CY01 del sch for C&amp;M Ranch, and revised Scott and Springfield del sch.</t>
  </si>
  <si>
    <t>10/03/01</t>
  </si>
  <si>
    <t>Added CY02 del sch for Odom.</t>
  </si>
  <si>
    <t>04/24/03</t>
  </si>
  <si>
    <t>12/20/01</t>
  </si>
  <si>
    <t>Revised GRIC Pool 3 del sch for CY01.</t>
  </si>
  <si>
    <t>08/08/01</t>
  </si>
  <si>
    <t>Revised CY07 Ag pool del sch for HVID.</t>
  </si>
  <si>
    <t>Two-month update for 12-month  Lake Pleasant forecast.</t>
  </si>
  <si>
    <t xml:space="preserve">     Drought</t>
  </si>
  <si>
    <t xml:space="preserve">               Chandler/GRIC Settlement Lease</t>
  </si>
  <si>
    <t>1) ED = 100.5% of MLD</t>
  </si>
  <si>
    <t>TOTAL SYSTEM DELIVERIES</t>
  </si>
  <si>
    <t>Entered SRO actuals for for Feb 06.</t>
  </si>
  <si>
    <t>Deleted Springfield Golf line CY05 - CY08.  Revised Tucson del sch for CY05 (includes AWBA/CAVSARP 15kaf) - no annual change in delivery for subcontract water, monthly distribution only.  AWBA water increased from 10kaf to 15kaf, but there was 16,8kaf in the f/c already.</t>
  </si>
  <si>
    <t>Revised CY07 del sch for Wtr Util of Grtr Buckeye &amp; Tonopah - moved 6200af to TDRP.</t>
  </si>
  <si>
    <t xml:space="preserve">               Peoria/GRIC Settlement Lease</t>
  </si>
  <si>
    <t>Checked October 2008 actuals, updated Lake Pleasant actuals for Oct 2008.  adjusted wad fill/release in remaining months to match Nov/Dec diversion targets and eoy diversion target of 1.516 maf</t>
  </si>
  <si>
    <t>Revised Waddell Pumping / Release Volumes for May thru Dec. per new SRP / Maintenance / Operations discussions and agreement on 4/26/01</t>
  </si>
  <si>
    <t>05/01/01</t>
  </si>
  <si>
    <t>O P E R A T I N G    F O R E C A S T   U P D A T E</t>
  </si>
  <si>
    <t xml:space="preserve">            Ft McDowell/PLACEHOLDER</t>
  </si>
  <si>
    <t>Entered CY2010 - 12 del sch for La Farge.</t>
  </si>
  <si>
    <t>Salt River Project XS ($10/AF) w/MSIDD</t>
  </si>
  <si>
    <t>Inserted  new row called GRIC settlement Lease water for 2005.   Re-distributed the GRIC 65K with more going to lease than on-reservation.  Consistent with financial and planning numbers.</t>
  </si>
  <si>
    <t>Checked January 2005 actuals, adjusted Lake Pleasant to match eom actual elevation and lake storage. Note: revised plan for rest of cy2005 not entered yet.</t>
  </si>
  <si>
    <t>07/03/01</t>
  </si>
  <si>
    <t xml:space="preserve">               Chaparral City Water Company</t>
  </si>
  <si>
    <t>added notes to 2005 energy sheet</t>
  </si>
  <si>
    <t>Entered CY06 - 08 del sch for Peoria, revised Kai, Recreational.</t>
  </si>
  <si>
    <t xml:space="preserve">VOLUME PASSING LHQ </t>
  </si>
  <si>
    <t>Revised Tucson subcontract del sch for CY04.  Moved 1000 af from CAVSARP to PMR.</t>
  </si>
  <si>
    <t xml:space="preserve">               Coolidge Power Corp/Hohokam</t>
  </si>
  <si>
    <t>Entered Waddell pumpage for February 2007.</t>
  </si>
  <si>
    <t>thru SRP for GRIC GSF</t>
  </si>
  <si>
    <t>Entered April 09 actual deliveries for the remaining system.  Adjusted Ag Pool volume to 373KAF w/o recovery.   Revised SYSCAP tab for April 09.</t>
  </si>
  <si>
    <t xml:space="preserve">               East Salt River Valley (ESRV)</t>
  </si>
  <si>
    <t>'11/08/02</t>
  </si>
  <si>
    <t xml:space="preserve">   A N N U A L   T O T A L</t>
  </si>
  <si>
    <t>Revised Tucson del sch for CAVSARP clearwater.</t>
  </si>
  <si>
    <t>10/28/02</t>
  </si>
  <si>
    <t>Revised SYSCAP tab for Dec 09.</t>
  </si>
  <si>
    <t>12/22/00</t>
  </si>
  <si>
    <t xml:space="preserve">     Direct Recharge</t>
  </si>
  <si>
    <t xml:space="preserve">     Indirect Recharge</t>
  </si>
  <si>
    <t>03/12/02</t>
  </si>
  <si>
    <t>Adjusted 2005 energy accordingly to match 2180 gwh threshold limit, for Gary Ijams use.</t>
  </si>
  <si>
    <t>(1)  West Plant Energy for Waddell is the pumping energy</t>
  </si>
  <si>
    <t xml:space="preserve">               thru Hieroglyphic</t>
  </si>
  <si>
    <t>Removed 2006 and 2007 Delivery Sheets</t>
  </si>
  <si>
    <t>Revised CY05 del sch for APS, and deleted PPL Sundance line since APS has taken over for PPL.</t>
  </si>
  <si>
    <t>FLOW AT CS19 (CFS)</t>
  </si>
  <si>
    <t>APA Hoover C Energy Purchases</t>
  </si>
  <si>
    <t>Entered CY09 - 2011 del sch for Viewpoint &amp; Cave Creek.</t>
  </si>
  <si>
    <t>Added final actual deliveries to April, except for Waddell.</t>
  </si>
  <si>
    <t>05/16/01</t>
  </si>
  <si>
    <t>Reduced CY2011 recovery to 3300 af (1100 af per each Pinal County user), and adjusted the bring to minimum volume accordingly.  Also changed CY 2010 sch to show transfer of 1998 af of AWBA water from HMRP to AFRP.  Revised Tuc Water CY2011 del sch.</t>
  </si>
  <si>
    <t>Added CY02 del sch for AZ Pacific, Phx.</t>
  </si>
  <si>
    <t>Added March 03 actuals to include Waddell &amp; CAVSARP recovery.</t>
  </si>
  <si>
    <t>Updated the SYSCAP tab with June actuals, and also adjusted some other customers Jul - Dec projections to bring them back in line w/their original del sch for the year.</t>
  </si>
  <si>
    <t>SNYDER HILL PP</t>
  </si>
  <si>
    <t>Checked May 2008 actuals, entered Havasu and Waddell actuals.  Updated Lake Pleasant actuals for May 2008.  Tweaked Nov filling to match eoy target 1.576 maf.</t>
  </si>
  <si>
    <t xml:space="preserve">     Off Reservation</t>
  </si>
  <si>
    <t>RECHARGE:</t>
  </si>
  <si>
    <t>Reduced Az State Land use for Jan - Mar 06, by 112 af per month - SRP erroneously reported deliveries that should not have been made.</t>
  </si>
  <si>
    <t>02/23/05</t>
  </si>
  <si>
    <t>Entered CY04 del sch for Par Golf.  Also revised Chandler's incentive del sch for CY03.</t>
  </si>
  <si>
    <t>FLOW PASSING BRW (CFS)</t>
  </si>
  <si>
    <t>06/15/04</t>
  </si>
  <si>
    <t>09/06/01</t>
  </si>
  <si>
    <t>Volume Based</t>
  </si>
  <si>
    <t>(FT)MSL</t>
  </si>
  <si>
    <t>06/01/04</t>
  </si>
  <si>
    <t>10/01/03</t>
  </si>
  <si>
    <t>For SRP 3-yr forecast demand for Excess water --- assumed the following:  cy2007: 75kaf total of which 30k delivered from Exchange and 45kaf delivered from CAP canal.</t>
  </si>
  <si>
    <t xml:space="preserve">Checked July 2007 actuals,  Checked remaining 2007 schedule for monthly diversions for eoy target of 1.555 maf,  adjusted Nov diversion.  Adjusted Lake Pleasant to match eom actual elevation and lake storage.  </t>
  </si>
  <si>
    <t>Bumped dec 2007 waddell fill from 38,000 by 15,000 to 53,000 af.  Updated actual threshold energy column.  Removed all effects of interstate recovery energy on threshold and surchrge.</t>
  </si>
  <si>
    <t>Modified 2006 and 2007 schedules for AWBA and split out Interstate water (indirect recharge in Pinal) and (direct recharge in Tucson AMA) based on AZ Budget limitations for recharge.</t>
  </si>
  <si>
    <t>08/14/01</t>
  </si>
  <si>
    <t xml:space="preserve">Checked September 2006 actuals, Checked remaining 2006 schedule for monthly diversions and adjusted December per new diversion target of 1.606 maf.  Adjusted Lake Pleasant to match eom actual elevation and lake storage.  </t>
  </si>
  <si>
    <t>Changed Carefree WC CY02 del sch.</t>
  </si>
  <si>
    <t xml:space="preserve">Enetered ALL Dec 06 actual deliveries (including Waddell accounting). </t>
  </si>
  <si>
    <t>Entered CY03 del sch for Quintero.</t>
  </si>
  <si>
    <t xml:space="preserve">               Maricopa Drilling Company</t>
  </si>
  <si>
    <t>08/20/01</t>
  </si>
  <si>
    <t>02/21/02</t>
  </si>
  <si>
    <t xml:space="preserve">Entered revised  MSIDD Interstate water order for 2006 at 60,960 af.  </t>
  </si>
  <si>
    <t>Reduced 2010 AWBA water to get total CRO diversions down to 1570.  Adjusted threshold energy totals for 2008, 2009, 2010.</t>
  </si>
  <si>
    <t>CGE, KLK, MN1 - 4</t>
  </si>
  <si>
    <t>Entered CY05 del for Tonto National Forest &amp; NMIDD.</t>
  </si>
  <si>
    <t xml:space="preserve">               Maricopa Stanfield IDD</t>
  </si>
  <si>
    <t xml:space="preserve">               Picacho Peak Gas Storage</t>
  </si>
  <si>
    <t>Revised June #a to add actuals - all except for SRO deliveries.  Added new line item for CAP/SRP exchange water.</t>
  </si>
  <si>
    <t>07/12/01</t>
  </si>
  <si>
    <t>Added June actuals for SRO deliveries to spreadsheet &amp; graph</t>
  </si>
  <si>
    <t>07/13/01</t>
  </si>
  <si>
    <t>03/27/03</t>
  </si>
  <si>
    <t xml:space="preserve">               Mazatzal Tree Farm</t>
  </si>
  <si>
    <t xml:space="preserve">               Arizona Wholesale Growers</t>
  </si>
  <si>
    <t>Revised CY05 del sch for H20 &amp; Mesa - increased H20 by 45 af, and reduced Mesa by the same amt.</t>
  </si>
  <si>
    <t xml:space="preserve">               Scottsdale/Water Campus</t>
  </si>
  <si>
    <t>Checked May 2006 actuals, added Waddell actuals, and adjusted Lake Pleasant to match eom actual elevation and lake storage.  Modified 2006 energy page per Tim K. threshold actuals.</t>
  </si>
  <si>
    <t>Entered Nov 05 actual deliveries.  Changed HIDD Dec interstate del sch.</t>
  </si>
  <si>
    <t xml:space="preserve">Checked April 2007 actuals,  Checked remaining 2007 schedule for monthly diversions for eoy target of 1.555 maf, added Waddell releases for May, adjusted Nov diversion.  Adjusted Lake Pleasant to match eom actual elevation and lake storage.  </t>
  </si>
  <si>
    <t>Adjusted 2007 - 2009 forecast schedules for Waddell releases in Sep. and June.  Typical planned operation is 0 af releases in September for water quality, and move releases to June.</t>
  </si>
  <si>
    <t>WADDELL PGP</t>
  </si>
  <si>
    <t>(Deliveries are actuals through December, and projections for the remainder of the year)</t>
  </si>
  <si>
    <t>Entered Dec 08 actuals.</t>
  </si>
  <si>
    <t xml:space="preserve">  MAY</t>
  </si>
  <si>
    <t xml:space="preserve">  JUNE</t>
  </si>
  <si>
    <t>08/06/02</t>
  </si>
  <si>
    <t>(*)  Vidler deliveries to TDRP in Feb 2010 were NOT billed - resulted from CY 2008 meter correction.</t>
  </si>
  <si>
    <t>Revised CAIDD &amp; SCIDD CY 2010 Ag Pool del sch.</t>
  </si>
  <si>
    <t>Entered CY08 - 2010 del sch for CHCID, Ancala, Tonto Hills.  Also revised Phx &amp; Mesa's CY07 del sch.</t>
  </si>
  <si>
    <t>O P E R A T I N G    F O R E C A S T</t>
  </si>
  <si>
    <t>Revised Gilbert, Mesa, Phoenix CY05 del sch to account for the changes that effected their sch from the CY05 Hohokam/Cliff Dam &amp; Wellton-Mohawk calculations.</t>
  </si>
  <si>
    <t>07/21/04</t>
  </si>
  <si>
    <t xml:space="preserve">Added Interstate line items for CAIDD (20,60,20%) in CY05, and linked it at the bottom summary line for in-lieu AWBA.  Total amount of 30,000 af </t>
  </si>
  <si>
    <t>put actual threshold energy on 2007 energy sheet</t>
  </si>
  <si>
    <t>12/12/02</t>
  </si>
  <si>
    <t>Entered Dec 2010 AAWC revised deliveries for all 4 t/o's Jan - Dec.  Also entered Waddell accounting, temp permits, &amp; MWD lake water for Dec 2010.</t>
  </si>
  <si>
    <t>Entered Dec 2010 acutal deliveries.</t>
  </si>
  <si>
    <t xml:space="preserve">Enter Hav Actual, Lake Pleasant actuals for Dec 2010.  Checked actuals for Dec 2010, and end of year finals.  </t>
  </si>
  <si>
    <t>BRAWLEY PP</t>
  </si>
  <si>
    <t>Waddell Operating Forecast update for July 2001 thru June 2002</t>
  </si>
  <si>
    <t>07/25/01</t>
  </si>
  <si>
    <t>09/25/03</t>
  </si>
  <si>
    <t>Added xs M&amp;I customers of Marana thru CMID &amp; Spectrum at Val Vista.  Also added incentive customer of Picacho Sewer Company.</t>
  </si>
  <si>
    <t>03/30/01</t>
  </si>
  <si>
    <t>Revised CY06 Oct actuals.</t>
  </si>
  <si>
    <t xml:space="preserve">               Glendale, City of</t>
  </si>
  <si>
    <t xml:space="preserve">               GRIC exchg w/Mesa</t>
  </si>
  <si>
    <t>03/07/03</t>
  </si>
  <si>
    <t>09/15/03</t>
  </si>
  <si>
    <t>12/01/03</t>
  </si>
  <si>
    <t xml:space="preserve">               Peoria (HMRP)</t>
  </si>
  <si>
    <t xml:space="preserve">               Tempe/SRP</t>
  </si>
  <si>
    <r>
      <t xml:space="preserve">               Shea Homes/Encanterra</t>
    </r>
    <r>
      <rPr>
        <sz val="10"/>
        <rFont val="Helv"/>
      </rPr>
      <t xml:space="preserve"> - NMIDD</t>
    </r>
  </si>
  <si>
    <t xml:space="preserve">               Rosemont Copper/LSCRP</t>
  </si>
  <si>
    <t>T/O = CGT</t>
  </si>
  <si>
    <t>Entered March 09 temp permit use.</t>
  </si>
  <si>
    <t>Entered Actuals for June 2009.  Revised CY09 Ag Pool to 373KAF.</t>
  </si>
  <si>
    <t>Adjusted CY09 interstate deliveries.  Deleted lines associated with MSIDD/State land Ag use.  Revised CY2010 Ag pool to reflect 390kaf total, and revised projected Temp permit use.</t>
  </si>
  <si>
    <t xml:space="preserve">               Interstate (PMR)</t>
  </si>
  <si>
    <t xml:space="preserve">               GRIC/SRP exchange</t>
  </si>
  <si>
    <t xml:space="preserve">Checked June 2007 actuals,  Checked remaining 2007 schedule for monthly diversions for eoy target of 1.555 maf,  adjusted Dec diversion.  Adjusted Lake Pleasant to match eom actual elevation and lake storage.  </t>
  </si>
  <si>
    <t>Checked April 2004 actuals, entered Waddell actuals, adjusted Lake Pleasant to match eom actual elevation and lake storage.</t>
  </si>
  <si>
    <t>TUC cavsarp to 2500 af in nov 2003, 3300 in dec 2003 (total remains 5800af), awba reduced to 2200 af at cavsarp, dec 2003.  Due to Pic PP maintenance allowing only 1 large unit to run.</t>
  </si>
  <si>
    <t xml:space="preserve">               Interstate (MSIDD)</t>
  </si>
  <si>
    <t>05/23/01</t>
  </si>
  <si>
    <t>Entered CY09 - 11 del sch for AZ Pacific Materials.  Entered Aug 08 actual use into CY08 &amp; SYSCAP tabs, and brought year-end ag pool allocations up to date.</t>
  </si>
  <si>
    <t>Checked Jan 2004 actuals, adjusted Lake Pleasant to match eom actual elevation and lake storage.</t>
  </si>
  <si>
    <t xml:space="preserve">Entered CY06 - 08 del sch for Tempe, Avondale, Apache Junction, Eloy, Carefree, revised APS, Picacho, Val Vista, revised SRP, Az State Land.. </t>
  </si>
  <si>
    <t>Revised CY04 del sch for Goodyear Incentive water (Tonopah only).</t>
  </si>
  <si>
    <t>Revised  Lake Pleasant Forecast pumpages for Feb and March.  Volumes increased per actual conditions and discussion with SRP.   Completed two-month forecast update.</t>
  </si>
  <si>
    <t>03/06/01</t>
  </si>
  <si>
    <t>Revised Vidler incentive del sch</t>
  </si>
  <si>
    <t>03/21/01</t>
  </si>
  <si>
    <t>01/15/02</t>
  </si>
  <si>
    <t>Moved 12kaf from Resolution incentive for HIDD, to Gilbert incentive at TDRP.</t>
  </si>
  <si>
    <t>Revised del sch totals for 2009 based on actual June water use, and updated the SYSCAP tab.  Entered Cy2010 - 12 del sch for El Mirage.</t>
  </si>
  <si>
    <t>Entered May 07 Waddell accounting, and all actual water deliveries.</t>
  </si>
  <si>
    <t>Revised GRIIDD &amp; Hohokam's CY08 AWBA/GSF del sch, and entered all recharge changes as a result of the AWBA peel-back.</t>
  </si>
  <si>
    <t xml:space="preserve">               GRIIDD</t>
  </si>
  <si>
    <t>For SRP 3-yr forecast demand for Excess water --- assumed the following:  cy2006: 50kaf total of which 25k delivered from Exchange and 25kaf delivered from CAP canal.</t>
  </si>
  <si>
    <t xml:space="preserve">               Gila River Indian Community</t>
  </si>
  <si>
    <t>T/O = CGE</t>
  </si>
  <si>
    <t>Ak-Chin Indains</t>
  </si>
  <si>
    <t>AWC-Casa Grande</t>
  </si>
  <si>
    <t>CAGRD/Excess</t>
  </si>
  <si>
    <t>Entered March 2010 actuals for HAV diversion and Lake Pleasant.</t>
  </si>
  <si>
    <t>Redistributed CY 09 - 11 Rosemont sch to end of year storage, and revised Mesa Golf CY09 - 11 del sch.  Deleted CHCID/AWBA line from CY09 - 11.</t>
  </si>
  <si>
    <t>Added CY02 del sch for Vidler, Tempe, HVID, PPL Sundance &amp; MDWID.  Also revised del sch for Vidler CY02 dec del sch.</t>
  </si>
  <si>
    <t>Entered Dec 05 actuals.</t>
  </si>
  <si>
    <t>Entered CAIDD revised Sep - Dec CY08 del sch in f/c &amp; SYSCAP tab.</t>
  </si>
  <si>
    <t xml:space="preserve">               Lafarge North America(former Sun State)</t>
  </si>
  <si>
    <t xml:space="preserve">Entered CY02 CAVSARP, MW &amp; CAVREC info for Aug.  Also entered CY03 del sch for Carefree WC &amp; Tonto Utility Co, and (tentative) CY03 del sch for Phx, Tempe, Chandler, Peoria, Mesa, Scottsdale, &amp; SRP based on info from mtg help on this date.  </t>
  </si>
  <si>
    <t>LOSSES</t>
  </si>
  <si>
    <t xml:space="preserve">               Phoenix/GRIC Settlement Lease</t>
  </si>
  <si>
    <t>Entered May 08 actual use.</t>
  </si>
  <si>
    <t>Updated Sept 2007 actual threshold energy, and revised 2007 threshold target.  Added "CRO actuals" to top of 2007 forecast.  Entered 2008 APA hoover energy schedule.</t>
  </si>
  <si>
    <t>Completed Waddell Forecast 12-mth update,  adjusted wad pumpage and adjusted inflow to estimate end of march 2003 numbers,  adjusted dec 2003 wad pumpage to meet C Riv limit of 1.596 maf</t>
  </si>
  <si>
    <t>Split out energy worksheets for 2002 and 2003.  Added SRP $5 water to energy spreadsheet.  In 2003, Moved 292,000 af from water bank to SRP, tempe, mesa, phoenix.</t>
  </si>
  <si>
    <t>Deleted Jim Jones (pool 3).  Added SCIP water del sch for SCIDD &amp; GRIC.</t>
  </si>
  <si>
    <t>1/19/04</t>
  </si>
  <si>
    <t>11/02/01</t>
  </si>
  <si>
    <t>Increased QCWC xs del sch for CY05.  Also reduced Chaparral del sch by 520 AF for remarket to QCWC in CY05.</t>
  </si>
  <si>
    <t xml:space="preserve">               Flowing Wells/LSCRP</t>
  </si>
  <si>
    <t>msidd  10kaf, caidd  11kaf,  hid  1kaf  (backed out of ag pool)</t>
  </si>
  <si>
    <t>Revised:  1/19/09</t>
  </si>
  <si>
    <t>Entered CY05 CHCID, Kai Farms, and recharge projects from planning del sch.  Also revised MSIDD/AWBA CY 04 del sch to include 7000 af of interstate banking water.</t>
  </si>
  <si>
    <t xml:space="preserve">               Ranegras Plain Recharge Project</t>
  </si>
  <si>
    <t>Revisied Mesa's CY05 subcontract del sch down by 192 af - remarketed to Oasis Golf.  Entered most of Aug 05 actuals - still waiting on Anthem &amp; SRO breakdown.</t>
  </si>
  <si>
    <t>10/05/01</t>
  </si>
  <si>
    <t>Compiled by CAP  Water Control Department</t>
  </si>
  <si>
    <t>Average Monthly CFS (Pool + D/S)</t>
  </si>
  <si>
    <t>POOL 31 TOTAL</t>
  </si>
  <si>
    <t>POOL 32 TOTAL</t>
  </si>
  <si>
    <t>POOL BRADY TOTAL</t>
  </si>
  <si>
    <t>D/S BRD thru Kai Total</t>
  </si>
  <si>
    <r>
      <t xml:space="preserve">               Peoria/GRIC</t>
    </r>
    <r>
      <rPr>
        <sz val="8"/>
        <rFont val="Helv"/>
      </rPr>
      <t xml:space="preserve"> lease(AFRP,Glen,HMRP,SRP)</t>
    </r>
  </si>
  <si>
    <t xml:space="preserve">               Scottsdale/GRIC Lease</t>
  </si>
  <si>
    <t xml:space="preserve">               Phoenix/GRIC Lease</t>
  </si>
  <si>
    <t xml:space="preserve">               Tempe/SRP-GRUSP</t>
  </si>
  <si>
    <t>Entered CY2010 - 2012 del sch for MWD, MSIDD, NMIDD, HIDD, MD&amp;E, Peoria, Phx, Scottsdale, Oro Valley, Tempe,</t>
  </si>
  <si>
    <t>Moved 1000 af of Gilbert SRP water in July 08 to TDRP.</t>
  </si>
  <si>
    <t>(INCHES)</t>
  </si>
  <si>
    <t xml:space="preserve"> (AF)</t>
  </si>
  <si>
    <t xml:space="preserve">  JANUARY</t>
  </si>
  <si>
    <t xml:space="preserve">               Maricopa Water District</t>
  </si>
  <si>
    <t>Added 3 year forecast numbers for 2005, 2006, and 2007</t>
  </si>
  <si>
    <t>Modifications for 2003:  SRP/CAP Exchange water to 0, MCP&amp;R modified by 4 af per memo, BKW/Metro water and AWBA changed, all AWBA in June/July to 0</t>
  </si>
  <si>
    <t>Revised H2O CY06 del sch to 277 af.</t>
  </si>
  <si>
    <t xml:space="preserve">          Interstate Banking (from Indirect AWBA)</t>
  </si>
  <si>
    <t>06/19/03</t>
  </si>
  <si>
    <t>Entered CY08 - 2010 del sch for RWCD, Mesa incentive water, &amp; Pinal County DPW.  Updated 2007 AG deliveries thru Dec - assumes no more MSIDD recovery for the year, and assumes CAIDD "will" take "all" of their sch recovery of 8804 af, by year-end..</t>
  </si>
  <si>
    <t>Entered June 2010 remaining actuals.  Adjusted Ag Pool total back to annual 400kaf less recovery = 391,841 af.  Also adjusted EOY totals for 2010 recharge, AWBA, &amp; subcontract.</t>
  </si>
  <si>
    <t xml:space="preserve">               CAGRD/QCID</t>
  </si>
  <si>
    <t>Modified PHX subcontract to 0 for nov,dec 2006</t>
  </si>
  <si>
    <t>Entered CY08 - 2010 del sch for CAIDD, Chandler, Tucson, &amp; Indian contractors.</t>
  </si>
  <si>
    <t>Revised CAIDD (25,500 AF) &amp; Hohokam (55755 AF) AWBA deliveries to reflect new #s established by the bank for CY02.</t>
  </si>
  <si>
    <t xml:space="preserve">               Sun Lakes Casa Grande, LLC.</t>
  </si>
  <si>
    <t>04/19/01</t>
  </si>
  <si>
    <t>06/12/02</t>
  </si>
  <si>
    <t>Entered 3 yr f/c data for Chandler, Ak-Chin (Waddell T/O), QCWC, Tucson, Mesa, and made GRIC settlement/lease water 0 af for all 3 yrs.</t>
  </si>
  <si>
    <t>Added Jan 02 actuals + Waddell.</t>
  </si>
  <si>
    <t xml:space="preserve">               Sonoran Land Group</t>
  </si>
  <si>
    <t>Forward looked at August 2005 deliveries and adjusted about 33% lower due to wet month to date and lower demands.    Adjusted Sep 2005 Hav and Wad schedule per cofferdam sched and Tim K. water quality blend.</t>
  </si>
  <si>
    <t>09/12/02</t>
  </si>
  <si>
    <t>HAVASU  PP</t>
  </si>
  <si>
    <t xml:space="preserve">               Maricopa County Parks &amp; Rec.</t>
  </si>
  <si>
    <t xml:space="preserve">               Carefree Water Company</t>
  </si>
  <si>
    <t>Revised Mar &amp; Jul 09 del for Gilbert incentive, WM, &amp; subcontract water stored at TDRP - moved 751 af from Mar WM to Mar incentive, and adjusted Jul WM &amp; subcon to accommodate changes.  Monthly totals did not change - just redistributed how they were posted.</t>
  </si>
  <si>
    <t>Revised various customer end of year deliveries to original scheduled volumes.</t>
  </si>
  <si>
    <t xml:space="preserve">               Oro Valley/Kai</t>
  </si>
  <si>
    <t xml:space="preserve">     Temporary Water Use Permits</t>
  </si>
  <si>
    <t>Revised Pinal Cnty Augmentation Authority incentive del sch to 7987 (remarket from Vidler), and redistributed Hohokam $70/AWBA water Oct - Dec 04.  Also, revised Az State Land CY04 del sch to 694 - remarketed from Vidler.</t>
  </si>
  <si>
    <t>Revised CY08 del sch for Tonto Forest, and CY08 SYSCAP tab for Coolidge Power.</t>
  </si>
  <si>
    <t>Added Par Golf/Desert Mirage Golf Course as an XS M&amp;I customer under HSY segment.</t>
  </si>
  <si>
    <t>Added new xs customer in SGL seg - Shea Homes, Avalea &amp; Jhnson Farms projects.</t>
  </si>
  <si>
    <t>Revised CY07 del sch for SCIDD.</t>
  </si>
  <si>
    <t>Moved SCIDD pool 3 to Drought.  Moved Chandler Nov use to Dec.  Changed Avondale subcontract &amp; incentive @'s.</t>
  </si>
  <si>
    <t>10/20/02</t>
  </si>
  <si>
    <t>10/06/03</t>
  </si>
  <si>
    <t>Entered CY06 - 08 del sch for APS.  Deleted PPL Sundance in CY06 - 08.</t>
  </si>
  <si>
    <t>Entered Oct 05 SND recovery, and Waddell accounting for releases and outflow.  Also entered Oct 05 actual use, and revised Nov &amp; Dec 05 sch for Oasis Golf.</t>
  </si>
  <si>
    <t xml:space="preserve">(E O M)  :     END-OF-MONTH   VALUES </t>
  </si>
  <si>
    <t>05/26/04</t>
  </si>
  <si>
    <t>SEGMENT AVG FLOW (CFS)</t>
  </si>
  <si>
    <t xml:space="preserve">     CAP Pumping Plants - Average Flow Projection</t>
  </si>
  <si>
    <t>Checked July 2008 actuals, updated Lake Pleasant actuals for July 2008.  Reduced Nov filling to match updated eoy target 1.575 maf, due to no 2006 overrun payback requirement.</t>
  </si>
  <si>
    <t>Adjusted AWBA Direct Recharge Numbers for 2005 and 2006 to reflect a 1.6 MAF CRO Diversion</t>
  </si>
  <si>
    <t>Deleted unused lines associated with Ag pool calculations.  Also revised CAIDD &amp; MSIDD CY09 Ag pool sch to accommodate the 2500 af they will take of the SCIDD remarketed water.  Made adjustments to various other customers sch to bring EOY total forecast demand back in line with actual orders.</t>
  </si>
  <si>
    <t>Revised CY07 &amp; 08 Ag Pool for all users, Ag Subcontract for MSIDD, deleted SNWA interstate line, and all indirect Nevada water projections.  Increased BKW Ag Pool sch in CY07 &amp; 08 by 10% each year, over their CY06 del sch (as indicated on their written sch rec'd).  Entered HVID revised Ag poll &amp; Supplemental excess del sch for CY06.</t>
  </si>
  <si>
    <t xml:space="preserve">Tuned CY02 schedule, modified GRUSP, SRP GSF, MSIDD indirect recharge, Queen Creek indirect recharge per AWBA fax 8/23/01. </t>
  </si>
  <si>
    <t xml:space="preserve">               Gilbert/Assignment - TDRP</t>
  </si>
  <si>
    <t>May</t>
  </si>
  <si>
    <t>Jun</t>
  </si>
  <si>
    <t>Jul</t>
  </si>
  <si>
    <t>Aug</t>
  </si>
  <si>
    <t>Revised Gilbert del sch for off-res Lease water thru SRP.   Also added Town of Kearny as a new XS M&amp;I customer (CY02 - 05) exchanging Gila river water thru GRIC &amp; SCIDD.  Revised SRP AWBA del sch, &amp; Gilbert incentive sch for Aug thru Nov 02 - totals didn't change, operational adjustments only.  Moved SRP $5 water from XS M&amp;I under HSY to below delivery area under HSY, and gave it it's own line item on summary pages - did this for CY 02 &amp; 03.</t>
  </si>
  <si>
    <t xml:space="preserve">               Green Valley Water District/PMR</t>
  </si>
  <si>
    <t xml:space="preserve">               Avondale (AFRP and/or HMRP)</t>
  </si>
  <si>
    <t xml:space="preserve">               Tonto Hills Utility Co</t>
  </si>
  <si>
    <t>Entered CY03 del sch.</t>
  </si>
  <si>
    <t>11/24/03</t>
  </si>
  <si>
    <t xml:space="preserve">               GRIC exchg w/Chandler - SRP</t>
  </si>
  <si>
    <t>Revised CY2010 Temp permit sch to include Lennar use increase.</t>
  </si>
  <si>
    <t>($/MWH)</t>
  </si>
  <si>
    <t xml:space="preserve">               San Xavier Cooperative Farm</t>
  </si>
  <si>
    <t>Increased CY07 del sch for GRD/XS (Scottsdale).</t>
  </si>
  <si>
    <t>Added Nov 02 actuals and updated power #s.</t>
  </si>
  <si>
    <t>Entered Waddell accounting for May 05.</t>
  </si>
  <si>
    <t>Entered CY05 del sch for AZ-American, Avondale, SRP, Goodyear, Florence, QCWC, PCWAA, Metro Water.</t>
  </si>
  <si>
    <t>08/15/02</t>
  </si>
  <si>
    <t>1/14/04</t>
  </si>
  <si>
    <t>Revised HVF CY04 Del Sch.</t>
  </si>
  <si>
    <t>Revised SRP CY07 Ag Pool del sch for "operating purposes" only.</t>
  </si>
  <si>
    <t xml:space="preserve">               Queen Creek Water Company</t>
  </si>
  <si>
    <t xml:space="preserve">Enter Hav and Waddell, Lake Pleasant actuals for Nov 2010.  Checked actuals for Nov 2010.  Adjusted Dec 2010 diversion to maximum capable for eoy 1.655 maf annual River diversion.  </t>
  </si>
  <si>
    <t>Increased August 2006 Waddell Releases and reduced HSY flow for the plant trashrake install project.  Assumed max HSY flow of 600 cfs</t>
  </si>
  <si>
    <t>Added Aug 01 Waddell actuals and changed power #s..  Also added CY02 STID del sch.</t>
  </si>
  <si>
    <t>Entered June 2010 actual deliveries (HAV - HSY).</t>
  </si>
  <si>
    <t>Moved date field back to cell A8 so all titles display this correctly.</t>
  </si>
  <si>
    <t>Increased H2O Wc CY05 del sch to accommodate the increase of use by Apache Sun Golf Course - AWBA has agreed to reduce their CY05 del sch in order to remarket this water to H20.</t>
  </si>
  <si>
    <t>Updated Waddellt Pumping for December 04, added 1000 af per month to Jan - Apr 2005 Waddell Pumping</t>
  </si>
  <si>
    <t xml:space="preserve">          Interstate (from Indirect AWBA)</t>
  </si>
  <si>
    <t xml:space="preserve"> CENTRAL ARIZONA PROJECT</t>
  </si>
  <si>
    <t>Revised:  1/25/10</t>
  </si>
  <si>
    <t xml:space="preserve">               Vail Water Company/Kai Farms</t>
  </si>
  <si>
    <t xml:space="preserve">               San Xavier (includes Arroyos)</t>
  </si>
  <si>
    <t>Changed YTD Graph.  Revised HVIS CY02 del sch.</t>
  </si>
  <si>
    <t>Revised HVID CY04 del sch to accommodate Oct 04 outage capacity constraints.  Revised MSIDD Pool 3 water for Oct 03.</t>
  </si>
  <si>
    <t>10/28/03</t>
  </si>
  <si>
    <t>Entered CY2010 - 12 del sch for Shea Homes (Encanterra).</t>
  </si>
  <si>
    <t>Entered HAV actual for Apr 2009, updated Lake Pleasant actuals for Apr 2009, adjusted Wad fill in Oct/Nov 2009 to match 1.570 maf target and threshold energy target.</t>
  </si>
  <si>
    <t>Finished several changes to 2011 and 2012 for Ggiven LRFP.  Updated TW volumes, ag pools, water bank, excess delivery volumes, indian schedules and C River Diversion volumes.</t>
  </si>
  <si>
    <t>Adjusted 2009 schedule per Salt River Siphon outage Nov.1-21.  Cut flows at SRP and SGL by 75%;  CAV and SAV, some recharge redistributed to other months.</t>
  </si>
  <si>
    <t>Revised CAGRD XS M&amp;I &amp; Incentive del sch for CY02.  Also revised Vidler's incentive del sch for CY02.</t>
  </si>
  <si>
    <t>Entered Glendale/SRP Exchange water for cy2006 at 5890 af.  Added to Glendale subcontract water.</t>
  </si>
  <si>
    <t>Modified SRP $9 schedule for less water in June/July, draft modified NMID awba schedule for less water in June/July.  Updated Energy tables for 2004 for Hoover B, Surcharge schedule.</t>
  </si>
  <si>
    <t xml:space="preserve">               Interstate (CAIDD 60%)</t>
  </si>
  <si>
    <t>Entered CY06  CAIDD Interstate schedule (25kaf)</t>
  </si>
  <si>
    <t>10/21/02</t>
  </si>
  <si>
    <t>Entered CY2011 - 13 del sch for Red Mt Ranch HOA, Phelphs Dodge, LaFarge.</t>
  </si>
  <si>
    <t>Added in the 2010 SRP Exchange schedule for 11,921 af.</t>
  </si>
  <si>
    <t>Also 0 af assumed for USBR's Yuma groundwater pumping program</t>
  </si>
  <si>
    <t>Also 0 AF assumed for USBR's Yuma groundwater pumping program</t>
  </si>
  <si>
    <t>Revised Cy2010 dle sch for Vidler &amp; Global.</t>
  </si>
  <si>
    <t xml:space="preserve">               CMID</t>
  </si>
  <si>
    <t>Revised CY09 del sch for SRP and Mesa/sub.</t>
  </si>
  <si>
    <t>Modified CAGRD scheduled numbers (A.Fria,GRUSP,LSC,PMR) per Cliff Neal budget numbers to G. Given.  Adjusted AWBA recharge numbers accordingly to maximize recharge facility.  Added Vidler 30,000 af back in.</t>
  </si>
  <si>
    <t>Entered CAVSARP Recovery thru SND for May 2010.</t>
  </si>
  <si>
    <t>Modified CY02 Waddell pump and release schedule to maximize Colorado River diversions and maintain acceptable Lake Pleasant storage elevations.</t>
  </si>
  <si>
    <t>Entered CY08 - 10 del sch for TID &amp; Flowing Wells.  Also entered line to accommodate the WUG Buckeye/Tonopah storage at TDRP.</t>
  </si>
  <si>
    <r>
      <t xml:space="preserve">        </t>
    </r>
    <r>
      <rPr>
        <sz val="12"/>
        <rFont val="Helv"/>
      </rPr>
      <t xml:space="preserve">     LSCRP</t>
    </r>
  </si>
  <si>
    <t>Entered CY2010 - 12 del sch for Scottsdale's SCAT water, and Town of Buckeye.</t>
  </si>
  <si>
    <t>Added CY03/04 F/C data, added new Hoover B &amp; C power #s for CY02, separated interstate banking from other direct recharge facility use for pricing purposes CY03 &amp; 04.</t>
  </si>
  <si>
    <t>09/16/03</t>
  </si>
  <si>
    <t>FLOW PASSING HAV (CFS)</t>
  </si>
  <si>
    <t>VOLUME PASSING BSH</t>
  </si>
  <si>
    <t>FLOW PASSING BSH (CFS)</t>
  </si>
  <si>
    <t>Entered Sep 07 actuals for all CAP recharge projects, Tuc plant use, SRO breakdown, Mesa breakdown, and temp permits.</t>
  </si>
  <si>
    <t>Entered July 07 Waddell Acctg info.  Also entered CY08 del sch for LaFarge.</t>
  </si>
  <si>
    <t xml:space="preserve">               Phoenix/Assignment</t>
  </si>
  <si>
    <t xml:space="preserve">               Scottsdale/Assignment</t>
  </si>
  <si>
    <t xml:space="preserve">               Tempe/Assignment</t>
  </si>
  <si>
    <t>05/14/02</t>
  </si>
  <si>
    <t xml:space="preserve">               Chandler/SRPMIC Lease - TDRP</t>
  </si>
  <si>
    <t>Adjusted Dec 2005 waddell fill according to official 2005 CAP entitlement of 1,587,142 af per USBR letter.</t>
  </si>
  <si>
    <t>05/17/04</t>
  </si>
  <si>
    <t>Revised Festival Ranch/Ak Chin for Feb 09.</t>
  </si>
  <si>
    <t>Changed Valencia &amp; Vidler CY09-11 del back to their original volume requested.</t>
  </si>
  <si>
    <t>Entered CY05 Del sch for Carefree WC, &amp; HVF.</t>
  </si>
  <si>
    <t>07/14/03</t>
  </si>
  <si>
    <t>Entered Temp permit &amp; SND pumping in CAV recovery.</t>
  </si>
  <si>
    <t>01/09/01</t>
  </si>
  <si>
    <t>Entered CY06  CAIDD Interstate schedule (31kaf)</t>
  </si>
  <si>
    <t>09/08/03</t>
  </si>
  <si>
    <t>QUARTERLY SYSTEM DEMAND FORECAST</t>
  </si>
  <si>
    <t xml:space="preserve">               Interstate (CAIDD/SRO) 20%</t>
  </si>
  <si>
    <t>Entered HAV actual for Dec 2008, checked final numbers for 2008, updated Lake Pleasant actuals for Dec 2008.</t>
  </si>
  <si>
    <t>Increased Apache Junction CY06 del sch for Jan - Mar to include temp pump install for temp treatment facility while well repairs are made.</t>
  </si>
  <si>
    <t>Entered April 03 actuals including CAV recovery and MW.</t>
  </si>
  <si>
    <t>03/14/02</t>
  </si>
  <si>
    <t>Revised New Magma ID Ag pool schedule for cy2004.</t>
  </si>
  <si>
    <t>Changed Sunbelt Ornamental to Gardner Turfgrass.  Sunbelt was bought out by Gardner.</t>
  </si>
  <si>
    <t>04/26/01</t>
  </si>
  <si>
    <t>Dropped 2001 forecast table and page, saved in separate file.  Fixed YTD Graph table accordingly for 2001 numbers.  Fixed Lake Pleasant forecast table accordingly.</t>
  </si>
  <si>
    <t>08/08/02</t>
  </si>
  <si>
    <t xml:space="preserve">        Delivery Split</t>
  </si>
  <si>
    <t>Invoice</t>
  </si>
  <si>
    <t>(AC-FT)</t>
  </si>
  <si>
    <t>SEPTEMBER</t>
  </si>
  <si>
    <t>OCTOBER</t>
  </si>
  <si>
    <t>NOVEMBER</t>
  </si>
  <si>
    <t>DECEMBER</t>
  </si>
  <si>
    <t>Customer</t>
  </si>
  <si>
    <t>Entered CY2011 - 13 del sch for Chaparral, AZ Wholesale Growers, Red Mt Ranch CC, Hopi Trive, HVID, NMIDD, QCWC,  Marana, AZ American (TDRP only), AWC (AJ &amp; CG), QCID, Resolution Copper, &amp; Tempe</t>
  </si>
  <si>
    <t>Entered Marana's revised CY05 del sch.  Entered BKW CY05 del sch.  Added ASU Karsten Golf Course to CY05 and a new excess M&amp;I customer.</t>
  </si>
  <si>
    <t>Added 1500 af to MWD Drought water in CY03, and changed Mohave County storage in HMR to 0 af in same year.  Revised CHCID Settlement Pool water in CY04, and added 950 af of mohave County storage to HMR in this year.</t>
  </si>
  <si>
    <t>Entered 82,302 af as official waddell pumping for nov 2001 (needs to be checked).  Increased waddell fill schedule in feb, apr, and may 2002 to push lake to el 1702 in '02.  Increased waddell fill from 107 and 96 to 120 and 120 in nov and dec '02 to push lake to el 1702 in '03.  Also entered correct hoover B and C rates and schedule for 2002.  Updated Havasu pump rate from 968 to 950 kwh/af.</t>
  </si>
  <si>
    <t>SEGMENT DEMAND</t>
  </si>
  <si>
    <t>Entered CY08 - 10 del sch for Az State Land Dept.</t>
  </si>
  <si>
    <t>Revised CY09 SYSCAP tab.</t>
  </si>
  <si>
    <t>Revised CY09 del sch for Flowing Wells (subcontract) &amp; Gilbert's (XS &amp; incentive).</t>
  </si>
  <si>
    <t>Entered CY05 del sch for Tonopah, HVID, QCID, Eloy, GRIIDD, Del Webb, Hohokam, MWD, MSIDD, Peoria, New Harq. Gen, CAIDD, Tempe, Scottsdale, Stallion Mgmt.</t>
  </si>
  <si>
    <t>Entered CY06 - 08 del sch for Harq. Valley Farms, and Maricopa County Parks.</t>
  </si>
  <si>
    <t xml:space="preserve">               CAGRD/SMRP</t>
  </si>
  <si>
    <t>Adjusted 2008 and 2009 delivery schedules per CAGRD updates; AWBA updates.</t>
  </si>
  <si>
    <t>VOLUME PASSING TWP</t>
  </si>
  <si>
    <t>Corrected the Macro for the 12 Month Lake Pleasant Forecast.  Should be real slick now Brian</t>
  </si>
  <si>
    <t>07/21/03</t>
  </si>
  <si>
    <t>Revised CY07 del sch for CAGRD/incentive (added 1000 af for TID), and MSIDD/XS-full cost AG increased by another 3000 af = 11000 af total CY07 they've paid for.</t>
  </si>
  <si>
    <t xml:space="preserve">               SRP</t>
  </si>
  <si>
    <t>Revised HVID &amp; GRIC CY 03 del sch.</t>
  </si>
  <si>
    <t>Entered CY06-08 del sch for ASU Karsten Golf.  Also added a new line item for Ak-Chin water lease for Az American's Tierra Del Rio,  under the HSY segment.  Reduced Pulte's Anthem site, by the amount added for TDR - was a redistribution of water only.</t>
  </si>
  <si>
    <t>reduced west pass-thru flows in Aug 2007, for 3-week Jackrabbit siphon outage.  Adjusted june and august lake pleasant releases to compensate, keeping year-end CR diversions at 1.555 MAF.</t>
  </si>
  <si>
    <t>tfk</t>
  </si>
  <si>
    <t>Reduced jun 07 west pumping; increased nov 07 wad fill; zeroed 09 and 10 direct AWBA; reduced 09 and 10 indirect AWBA to get 09 and 10 deliveries to 1575. (was 1913 and 1848)</t>
  </si>
  <si>
    <t xml:space="preserve">               thru QCID</t>
  </si>
  <si>
    <t>07/15/02</t>
  </si>
  <si>
    <t>Removed password protection as per TK.</t>
  </si>
  <si>
    <t xml:space="preserve">               Harquahala ID GSF (Ind.Firming)</t>
  </si>
  <si>
    <t>05/27/04</t>
  </si>
  <si>
    <t>Removed sept 2010 wad releases. Rebalanced oct and nov fill to compensate.  Added threshold energy carryover for Jan 2010.  Entered correct values for 2010 Hoover B energy.</t>
  </si>
  <si>
    <t xml:space="preserve">               Tonopah Desert Recharge Project</t>
  </si>
  <si>
    <t xml:space="preserve">     CAGRD (xs only)</t>
  </si>
  <si>
    <t>03/19/02</t>
  </si>
  <si>
    <t>Revised Rancho Escalante del sch to 0 for CY02.</t>
  </si>
  <si>
    <t>08/27/02</t>
  </si>
  <si>
    <t>updated apr,may, jun 2007 actual threshold energy use.  Also 2008 and 2009 surcharge energy needs.</t>
  </si>
  <si>
    <t>05/03/04</t>
  </si>
  <si>
    <t>Reduced SCIDD Ag Pool water to 11,000 af.</t>
  </si>
  <si>
    <t>Added CY02 del sch for Oasis, and Chandler Incentive water.  Revised MSIDD &amp; Kai AWBA CY01 del sch.</t>
  </si>
  <si>
    <t>10/09/01</t>
  </si>
  <si>
    <t>09/18/02</t>
  </si>
  <si>
    <t>Increased Tonopah del sch under Goodyear incentive by 500 af.  Revised QCWC xs del sch.  Deleted Pulice Constr. Under HSY non-sub - they will take water under AZ State agreement w/ADOT.</t>
  </si>
  <si>
    <t>Updated the on river users table for the month of November projections.  Also Adjusted the Colorado River Diversions to 1.555 MAF As outlined in the letter from the  Bureau.</t>
  </si>
  <si>
    <t xml:space="preserve">Revised CY03 Dec sch for Scottsdale subcontract, Chandler &amp; Vidler incentive, and Del Webb xs. </t>
  </si>
  <si>
    <t xml:space="preserve">  FEBRUARY</t>
  </si>
  <si>
    <t>VOLUME PASSING BLK</t>
  </si>
  <si>
    <t>FLOW PASSING BLK (CFS)</t>
  </si>
  <si>
    <t>WATER BANK DELIVERIES ***</t>
  </si>
  <si>
    <t>Revised CAGRD 2002 schedule per JLG/BKH and original schedule,  revised Havasu diversion and Waddell releases per Hav unit 5 downtime impact per TFK spreadsheet</t>
  </si>
  <si>
    <t>Updated hoover B and C energy schedule at bottom of DS&amp;P_2001</t>
  </si>
  <si>
    <t>Entered CY09 del sch for Green Valley, TGV Investments, &amp; Mesa Golf.</t>
  </si>
  <si>
    <t>Revised Nov/Dec 2008 west pumping to 1.513 target (this overshoots CRO's AZ diversions by 10,000 af); entered Aug 2008 actual threshold energy use</t>
  </si>
  <si>
    <t>Revised CY2010 del sch for Pinal County &amp; MGC.</t>
  </si>
  <si>
    <t>Entered Picacho School &amp; BKW CY09 - 11 del sch.</t>
  </si>
  <si>
    <t>Entered Sep 08 actuals, and added and XS line for MCP&amp;R in 08.   Added CY09 del sch for Buckeye.</t>
  </si>
  <si>
    <t xml:space="preserve">               Buckeye - TDRP</t>
  </si>
  <si>
    <t>Added 1700 af for Mesa in Dec.</t>
  </si>
  <si>
    <t>11/22/00</t>
  </si>
  <si>
    <t>Entered CY06 - 08 del sch for MSIDD, Gilbert, Rio Verde, revised Carefree, DMB, Tabletop, Tucson, Vidler, ARM.</t>
  </si>
  <si>
    <t>03/01/05</t>
  </si>
  <si>
    <t>Finalized SRP Exchange deliveries for 2009 at 50,834 af, and rechecked cities/SCAT volumes.  Modified Waddell Fill/Release volumes for 2009 and checked monthly canal capacities. OK</t>
  </si>
  <si>
    <t>Revised CAIDD, HVID, MSIDD, MWD, &amp; Pima Lateral del sch for operational purposes only.</t>
  </si>
  <si>
    <t>Made graph changes for Tim.</t>
  </si>
  <si>
    <t>Moved 298 af of CAIDD interstate water for Sep 09, to Sep 09 Ag pool water in ensure their eoy incentive refund target would be satisfied.  Also revised Gilbert recharge at TDRP &amp; Vidler @ RWCD to include CY2010 exchange (added 3684 af each).</t>
  </si>
  <si>
    <t>Checked August 2008 actuals, entered Waddell actuals, updated Lake Pleasant actuals for August 2008.  Adjusted Sep 2008 Hav pumping to better number and match new eoy target of 1.498 maf</t>
  </si>
  <si>
    <t xml:space="preserve">               SMRP</t>
  </si>
  <si>
    <t xml:space="preserve">               CAIDD/CMAN (60%)</t>
  </si>
  <si>
    <t>Adjusted cy2004 SRP $9 water for June 10K to 5K, July 10K to 8K, added 5K to Sep., added 2K to Oct.  Same total.  Done in this schedule only, not SRP's, will deliver what capacity is available in June/July and make up later.</t>
  </si>
  <si>
    <t>Revised H2o WC del sch for CY04 to 214 af.</t>
  </si>
  <si>
    <t xml:space="preserve">               Mesa Golf Center</t>
  </si>
  <si>
    <t xml:space="preserve">Entered April 09 Waddell accounting.  Entered Apr 09 actuals for LHQ segment. </t>
  </si>
  <si>
    <t>Entered CY 2010 &amp; 11 projections for Metro &amp; Chaparral..</t>
  </si>
  <si>
    <t>Revised APS CY08 del sch.</t>
  </si>
  <si>
    <t>Reduced ASL for 2009  from 818 af to 238 af.  Nov/dec volumes changed.</t>
  </si>
  <si>
    <t xml:space="preserve">               Tohono O'Odham/LSCRP</t>
  </si>
  <si>
    <t>Moved Scottsdale incentive water from indirect to direct class of recharge since it's direct storage into their water campus - recharge reps show it this way.  Also entered cy06 - 08 scottsdale incentive water.</t>
  </si>
  <si>
    <t>Entered correct Hoover B energy and 2008-2009 surcharge carryover into 2009 energy page</t>
  </si>
  <si>
    <t>Added SND for Mar 02 to CAV/REC = 1998 AF.</t>
  </si>
  <si>
    <t>10/17/02</t>
  </si>
  <si>
    <t>Entered "some" of the July 08 actual deliveries.</t>
  </si>
  <si>
    <t>Revised CY08 del sch for MSIDD AWBA/GSF &amp; Nevada, and Kai CY08 GSF w/Spanish Trail WC.</t>
  </si>
  <si>
    <t>Entered March 08 actuals.</t>
  </si>
  <si>
    <t xml:space="preserve">               Gilbert (TDRP)</t>
  </si>
  <si>
    <t>Revised CY06 interstate del sch for Hohokam.</t>
  </si>
  <si>
    <t xml:space="preserve">               Chandler/Welton-Mohawk</t>
  </si>
  <si>
    <t xml:space="preserve">       JAN</t>
  </si>
  <si>
    <t>FEB</t>
  </si>
  <si>
    <t>Rev del sch for Anthem/pump under off-reservation indian use for CY01.  Added Aug CY01 temp permit use &amp; SND pumping funder CAVSARP recovery.  Added CY02 del sch for Red Mt Ranch Owners &amp; Rio Verde.</t>
  </si>
  <si>
    <t>09/10/01</t>
  </si>
  <si>
    <t>09/30/03</t>
  </si>
  <si>
    <t>05/04/01</t>
  </si>
  <si>
    <t>Waddell (pumpage)</t>
  </si>
  <si>
    <t>Added actual deliveries for July 01.</t>
  </si>
  <si>
    <r>
      <t xml:space="preserve">               Lafarge North America</t>
    </r>
    <r>
      <rPr>
        <sz val="8"/>
        <rFont val="Helv"/>
      </rPr>
      <t>(former Sun State)</t>
    </r>
  </si>
  <si>
    <t xml:space="preserve">               CAIDD (Santa Rosa)</t>
  </si>
  <si>
    <t>Entered Waddell actuals to CY 03 for SEP.  Revised Tucson/PMR &amp; Viewpoint/RWCD CY04 del sch.  Added Sep 03 actual deliveries.</t>
  </si>
  <si>
    <t>Entered Nov 07 actual deliveries.</t>
  </si>
  <si>
    <t xml:space="preserve">               CAGRD/Kai Farms</t>
  </si>
  <si>
    <t>Entered Feb 04 Waddell accounting, and Feb 04 actual deliveries..</t>
  </si>
  <si>
    <t>Revised AWC/CG &amp; Tonopah's AWBA CY02 del sch.</t>
  </si>
  <si>
    <t>Entered SRO breakdown for July 05.  Also rev CY05 del sch for Chaparral &amp; Az State Land.</t>
  </si>
  <si>
    <t>Revised CAGRD Subcontract del sch to 0af.  3yr F/C data for Scottsdale, &amp; CAGRD.</t>
  </si>
  <si>
    <t>Entered Actuals for October 04.</t>
  </si>
  <si>
    <t>Added actual Waddell pumpage for October 2009, and updated Lake Pleasant actuals for Oct 2009.</t>
  </si>
  <si>
    <t xml:space="preserve">Checked March 2005 actuals, adjusted Lake Pleasant to match eom actual elevation and lake storage. </t>
  </si>
  <si>
    <t>FLOW PASSING HSY (CFS)</t>
  </si>
  <si>
    <t>Added March 04 actual water use, and Waddell pumpage &amp; outflow.</t>
  </si>
  <si>
    <t>Revised CAIDD &amp; MSIDD AWBA for 2009, and added interstate for 09.  Changed BLK On/Off Reservation line items to accurately reflect the Tohono O'Odham's various water uses.</t>
  </si>
  <si>
    <t>Entered Waddell acctg for March 09, and also revised the SCIDD, CAVSARP, and SAVSARP AWBA CY09 del sch.</t>
  </si>
  <si>
    <t>Revised Oct, Nov, Dec 2008 Colorado River diversions.  New 2008 EOY diversion plan is 1,515,500.</t>
  </si>
  <si>
    <t>Entered June 2010 SND recovery &amp; Waddell acctg.</t>
  </si>
  <si>
    <t>Entered June 09 Waddell Accounting.</t>
  </si>
  <si>
    <t>CAVSARP Recovery System</t>
  </si>
  <si>
    <t>Entered multiple CY04 del sch.  Revised Mohave County HMR storage on CY03.</t>
  </si>
  <si>
    <t>----------</t>
  </si>
  <si>
    <t>Changed Vidler AWBA del sch.</t>
  </si>
  <si>
    <t>04/25/03</t>
  </si>
  <si>
    <t>Entered Jan 09 Waddell accounting.</t>
  </si>
  <si>
    <t xml:space="preserve">               Resolution Copper (TDRP)</t>
  </si>
  <si>
    <t>Revised CY2010 HVID &amp; Kai Farms Ag Pool, AWC/AJ Subcontract, &amp; Resolution Copper recharge del schs.</t>
  </si>
  <si>
    <t>CAP Pumping Plants - Projection of Energy Use - For Waddell Filling Only</t>
  </si>
  <si>
    <t>By: Tim Kacerek, CAWCD Water Control Department</t>
  </si>
  <si>
    <t>Revised most del sch to match annual sch after posting Aug 09 actual use, and some of Sep 09 actual use.</t>
  </si>
  <si>
    <t xml:space="preserve">               San Carlos Apache/Scottsdale</t>
  </si>
  <si>
    <t xml:space="preserve">Entered revised CY07 Ag pool del sch for HIDD &amp; CAIDD as a result of the reditributed SCIDD water. </t>
  </si>
  <si>
    <t xml:space="preserve">               Tucson/CAVSARP - BKW pumps</t>
  </si>
  <si>
    <t xml:space="preserve">               CAGRD (Hieroglyphic)</t>
  </si>
  <si>
    <t>Revised GRD CY08 XS del sch between SRP &amp; AFRP.</t>
  </si>
  <si>
    <t>Increased AFRP/AWBA sch for CY04 by 4kaf.  Added new direct incentive customer (DMB White Tank, LLC) to CY03 &amp; 04 sch.  Revised SRP/AWBA, Chandler, Glendale, Mesa, Phoenix CY04 del sch.  Deleted BKW/AWBA for CY04 - they will take redistributed Ag settlement Pool water instead.</t>
  </si>
  <si>
    <t>Minor adjustments to 2010, 2011, and 2012 forecasts.  Zeroed the SRP "bring yer own power" classification in 2012.</t>
  </si>
  <si>
    <t>Revised SCAT del sch thru SRP for CY02.  Entered provisional cum del for CY01 on graph.  Also added SND Dec 01 pmpg.</t>
  </si>
  <si>
    <t>02/22/02</t>
  </si>
  <si>
    <t>Made changes to YTD graph.</t>
  </si>
  <si>
    <t>12/03/03</t>
  </si>
  <si>
    <t>TDRP</t>
  </si>
  <si>
    <t>Added Santa Cruz Water Co as a new XS M&amp;I customer under SGL, will be wheeled thru MSIDD.</t>
  </si>
  <si>
    <t>NOTE:  The MWD Turnout volumes represent Colorado River water delivered through the MWD Turnout as an exchange for MWD lake water which is not released from Lake Pleasant.  This water is credited to the CAP Storage Account.</t>
  </si>
  <si>
    <t>Created By Patrick Dent 9/1/2000</t>
  </si>
  <si>
    <t>WADACAP</t>
  </si>
  <si>
    <t>BKH 10/26/94</t>
  </si>
  <si>
    <t xml:space="preserve">Checked January 2007 actuals,  Checked remaining 2007 schedule for monthly diversions and adjusted Nov and Dec diversions per Tim K. diversion spreadsheet target of 1.555 maf.  Adjusted Lake Pleasant to match eom actual elevation and lake storage.  </t>
  </si>
  <si>
    <t xml:space="preserve">               Tucson/SAVSARP</t>
  </si>
  <si>
    <t xml:space="preserve">               SAVSARP</t>
  </si>
  <si>
    <t xml:space="preserve">               SAVSARP (Interstate)</t>
  </si>
  <si>
    <t xml:space="preserve">               CAVSARP (Interstate)</t>
  </si>
  <si>
    <t>Entered SRO April 06 breakdown.</t>
  </si>
  <si>
    <t>Revised CY01 Del Sch for HVF, QCWC XS, Scottsdale &amp; Springfield.  Also added CY02 del sch for Sun Groves, Gilbert, chandler.</t>
  </si>
  <si>
    <t>Entered CY06 - 08 del sch for Cave Creek WC, &amp; Hohokam IDD.  Note that CCWC is awaiting a 200 af allocation transfer from Berniel WC, so their subcontract entitlemnt will increase to 1800 af.  Also entered revised water use for Anthem/Phx breakdown for Aug 05.  Added Interstate line items for Hohokam in the out years.  Revised BKW Ag Pool &amp; Metro water use for Aug 05.  Entered Waddell accounting for Aug 05.</t>
  </si>
  <si>
    <t>Entered Chaparral CY06 - 08 del sch.</t>
  </si>
  <si>
    <t>Entered CY06 - 08 recharge del sch from Tom Harbour, &amp; revised HVID.</t>
  </si>
  <si>
    <t>01/09/03</t>
  </si>
  <si>
    <t>01/10/03</t>
  </si>
  <si>
    <t>Moved CY06 Oro Valley del sch from Incentive, to Subcontract.</t>
  </si>
  <si>
    <t>Entered March CY06 temp permit total.</t>
  </si>
  <si>
    <t xml:space="preserve">               Tohono Nation/(AFRP &amp; HMRP)</t>
  </si>
  <si>
    <t xml:space="preserve">     Subcontract</t>
  </si>
  <si>
    <t xml:space="preserve">     Non-Subcontract</t>
  </si>
  <si>
    <t xml:space="preserve">     CAGRD</t>
  </si>
  <si>
    <t xml:space="preserve">     Temporary  Water Use Permits</t>
  </si>
  <si>
    <t xml:space="preserve">     Miscellaneous</t>
  </si>
  <si>
    <t xml:space="preserve">     Surplus</t>
  </si>
  <si>
    <t>FEDERAL:</t>
  </si>
  <si>
    <t>NEW WADDELL DAM / LAKE PLEASANT RESERVOIR AREA/CAPCITY TABLES PER NEW SURVEY (JUNE 30, 1994)</t>
  </si>
  <si>
    <t>MONTH</t>
  </si>
  <si>
    <t>ELEVATION</t>
  </si>
  <si>
    <t>VOLUME</t>
  </si>
  <si>
    <t xml:space="preserve">               Tucson/CAVSARP</t>
  </si>
  <si>
    <t>Physical</t>
  </si>
  <si>
    <t>Turnout</t>
  </si>
  <si>
    <t>SRO</t>
  </si>
  <si>
    <t>QCR</t>
  </si>
  <si>
    <t>PIL</t>
  </si>
  <si>
    <t>MES</t>
  </si>
  <si>
    <t>RWC</t>
  </si>
  <si>
    <t>NM1</t>
  </si>
  <si>
    <t xml:space="preserve">               Interstate (LSCRP)</t>
  </si>
  <si>
    <t>Entered CY2010 - 12 del sch for CAIDD.  Revised July 09 Waddell Acctg.</t>
  </si>
  <si>
    <t xml:space="preserve">               Gilbert/Welton-Mohawk - TDRP</t>
  </si>
  <si>
    <t xml:space="preserve">               Gilbert - TDRP</t>
  </si>
  <si>
    <t>Added del sch for New xs-m&amp;I customer in SLG seg - Tabletop Nursery.</t>
  </si>
  <si>
    <t>Entered SRO actuals for Feb 03.</t>
  </si>
  <si>
    <t>Entered Ancala  &amp; Marana CY02 del sch, and deleted Tonopah CY01 Dec AWBA del sch.</t>
  </si>
  <si>
    <t>09/07/01</t>
  </si>
  <si>
    <t>07/16/02</t>
  </si>
  <si>
    <t>08/19/02</t>
  </si>
  <si>
    <t>Increased Avondale CY04 Incentive del sch by 2000 af, and redistributed their delivery points among SRP, AFRP, &amp; HMRP.  Also, cancelled remaining del sch for Gardner Turfgrass.</t>
  </si>
  <si>
    <t>FLOW PASSING SND (CFS)</t>
  </si>
  <si>
    <t>BLACK MOUNTAIN PP</t>
  </si>
  <si>
    <t xml:space="preserve">               H20, Inc.</t>
  </si>
  <si>
    <t xml:space="preserve">               CAIDD (20%)</t>
  </si>
  <si>
    <t>Revised WUGT del sch for CY 2010.</t>
  </si>
  <si>
    <t>Entered CY08 - 2010 del sch for Az American (WV), Avondale, Cave Creek, CAGRD, GRIIDD, Goodyear, Green Valley, H2O, HVID, Hohokam, Kai Farms, Metro, NMIDD, Oro Valley, Peoria, Pinal Cnty Wtr Augmentation Auth, QCID, QCWC, Rio Verde, SRP, SCIDD, Shea Hms (Avalea), Shea Hms (Johnson Farms), Stone Creek, Tabletop Nursery, Tempe, Vidler, Viewpoint, &amp; Wtr Utility of Greater Buckeye/Tonopah.</t>
  </si>
  <si>
    <t>Revised CY04 Pinal County Augmentation Authority del sch, and H2O del sch.</t>
  </si>
  <si>
    <t>04/09/01</t>
  </si>
  <si>
    <t>Entered CY07 - 09 del sch for Ak-Chin, Mesa Golf, Stone Creek, Gilbert, CAGRD.</t>
  </si>
  <si>
    <t xml:space="preserve">               Apache Junction Water Co</t>
  </si>
  <si>
    <t>($/MWh)</t>
  </si>
  <si>
    <t>---------</t>
  </si>
  <si>
    <t>10/16/03</t>
  </si>
  <si>
    <t>Added Del Webb Corp as an xs m7i user under HSY segment for CY03.</t>
  </si>
  <si>
    <t>06/13/01</t>
  </si>
  <si>
    <t>08/01/03</t>
  </si>
  <si>
    <t>LPD</t>
  </si>
  <si>
    <t>08/14/02</t>
  </si>
  <si>
    <t>Entered July 02 actual deliveries.</t>
  </si>
  <si>
    <t>Entered revised AWBA sch for CY08 to accommodate the remarketed water.</t>
  </si>
  <si>
    <t>Entered CY2010 - 12 del sch for ASU Karsten Golf.  Entered July 09 Actual water use.</t>
  </si>
  <si>
    <t xml:space="preserve">                   GRIC/SRP Settlement Lease w/CAIDD</t>
  </si>
  <si>
    <t xml:space="preserve">                   GRIC/SRP Settlement Lease w/MSIDD</t>
  </si>
  <si>
    <t>Revised CY07 - 09 dels ch for Royal Dunes Golf club.</t>
  </si>
  <si>
    <t>Revised CY06 del sch for Oro Valley subcontract in nov for 100 af, added 1118 af for oct.</t>
  </si>
  <si>
    <t>Revised Phoenix CY03 sch for Sep - Dec.  Entered CY04 del sch for Sun Environments.</t>
  </si>
  <si>
    <t>12/20/00</t>
  </si>
  <si>
    <t>10/04/31</t>
  </si>
  <si>
    <t>Entered 08 - 2010 del sch for ASU Karsten Golf</t>
  </si>
  <si>
    <t xml:space="preserve">               Viewpoint RV &amp; Golf Resort</t>
  </si>
  <si>
    <t xml:space="preserve">               Superstition Mountains Recharge</t>
  </si>
  <si>
    <t>Revised GRIDD CY04 del sch for Jan &amp; Feb.</t>
  </si>
  <si>
    <t xml:space="preserve">Reviewed CY2004 Delivery Schedule.  Reviewed AWBA schedule.  Adjusted monthly waddell pumping/outlfow accordingly to meet Havasu diversions, canal capacities and max/min lake levels. </t>
  </si>
  <si>
    <t>Revised Mesa CY04 Incentrive del sch.  Also revised GRIDD/Chandller CY05 exchange water in Jan &amp; Feb.</t>
  </si>
  <si>
    <t>Entered CY09 del sch for Stone Creek.  Also entered Sep 08 Waddell actuals.</t>
  </si>
  <si>
    <t>Entered CY2010 - 12 del sch for Tonopah ID.</t>
  </si>
  <si>
    <t>Updated Forecast Evaluation sheet with link for 2002.  Added Colorado River -- Arizona on-river usage table  for 2002 for tracking Arizona's Colorado River use.</t>
  </si>
  <si>
    <t>MES &amp; P27</t>
  </si>
  <si>
    <t>NM4</t>
  </si>
  <si>
    <t>NM3</t>
  </si>
  <si>
    <t>Entered all Oct 08 actuals except Waddell acctg, SRO, &amp; permits.  Adjusted all Ag Pool &amp; most recharge to reflect end of year totals, and updated SYSCAP tab.  Revised Oro Valley del sch w/Kai.</t>
  </si>
  <si>
    <t>Checked August 2004 actuals, entered Waddell actuals, adjusted Lake Pleasant to match eom actual elevation and lake storage, x-checked with updated diversion schedule Sep thru Dec.</t>
  </si>
  <si>
    <t xml:space="preserve">               Interstate (CAIDD 20%)</t>
  </si>
  <si>
    <t>MAR</t>
  </si>
  <si>
    <t>APR</t>
  </si>
  <si>
    <t>MAY</t>
  </si>
  <si>
    <t>JUN</t>
  </si>
  <si>
    <t xml:space="preserve">               Arizona State Land Dept. (ADOT)</t>
  </si>
  <si>
    <t xml:space="preserve">               Rio Verde Utilities Company</t>
  </si>
  <si>
    <t>Entered actual threshold energy use for Feb and March 2008</t>
  </si>
  <si>
    <t>Revised Ag pool for Aug 09 to 373kaf.  Entered Aug 09 actuals.  DID NOT update syscap tab for AUG 09.</t>
  </si>
  <si>
    <t>Deleted Pulte/XS M&amp;I from SGL Seg - they are not going forward with the project.</t>
  </si>
  <si>
    <t>Updated energy rates for 2003 - 2005.  Also included energy carryover from 2002-2003, 2003-2004, and 2004-2005.</t>
  </si>
  <si>
    <t>Checked December 2005 actuals.</t>
  </si>
  <si>
    <t xml:space="preserve">Checked August 2007 actuals,  Checked remaining 2007 schedule for monthly diversions for revised eoy target of 1.570 maf, adjusted Sep LP release volume to 24kaf.  Adjusted Lake Pleasant to match eom actual elevation and lake storage.  </t>
  </si>
  <si>
    <t>06/08/04</t>
  </si>
  <si>
    <t>Revised the YTD Graph and Reformated worksheet</t>
  </si>
  <si>
    <t>Revised Tucson CY09 del sch.</t>
  </si>
  <si>
    <t>Revised Aqua Capital CY09 del sch for CMID.</t>
  </si>
  <si>
    <t>Redistributed 900 af of SCIDD Ag pool water in CY09 to MSIDD &amp; HVID.  Revised Gilbert excess water to reflect A2E cutback to 39555 af.</t>
  </si>
  <si>
    <t>Revised CY04 Sep deliveries to include CAIDD/MSIDD AWBA use as interstate, and also revised the CY05 del sch for APS.  Reversed previous posting for Sep water use as Interstate as per LRD.</t>
  </si>
  <si>
    <t>Entered Oct 06 SRO deliveries.</t>
  </si>
  <si>
    <t>Added CY02 del sch for Sonoran, and Sun Environments CY01 del sch.</t>
  </si>
  <si>
    <t>Changed Cave Creek Nov 01 deliveries to 0.  Original use was 86 AF, but resolution of a meter discrepancy reduced their bill by 86 AF that was previously overcharged.  Also entered Scottsdale actuals for Nov 01.</t>
  </si>
  <si>
    <t>Deleted del sch for CY01 &amp; 02 for C&amp;M Ranch.  Revised incentive del sch for Chandler &amp; Gilbert thru SRP for CY02.  Revised Pinnacle West del sch for CY01 Dec.  Deleted CY02 del sch for ASARCO.</t>
  </si>
  <si>
    <t>12/10/01</t>
  </si>
  <si>
    <t>(without Well Recovery and Permits)</t>
  </si>
  <si>
    <t>Revised CY 2011 AWBA del sch.</t>
  </si>
  <si>
    <t>3) Energy threshold for 2010 is 2,403 GWh.</t>
  </si>
  <si>
    <t>01/18/02</t>
  </si>
  <si>
    <t xml:space="preserve">               GRIC exchg w/Chandler - TDRP</t>
  </si>
  <si>
    <t xml:space="preserve">               Chandler - TDRP</t>
  </si>
  <si>
    <t xml:space="preserve">               GRIC/SRP Settlement Lease w/MSIDD</t>
  </si>
  <si>
    <t xml:space="preserve">Entered Chandler, Scottsdale, &amp; Tempe CY 2010 &amp; 2011 projections.  Adjusted Cy09 Ag pool to 373kaf.  Also adjusted various other CY09 recharge and subcontract del sch to match original sch volumes. </t>
  </si>
  <si>
    <t xml:space="preserve">Deleted Southern Dunes golf from file - they are now blended in as part of the Ak chin order.  Also moved Chandler storage at TDRP to SMRP. </t>
  </si>
  <si>
    <t xml:space="preserve">               GRIC exchange w/Chandler @ SMRP</t>
  </si>
  <si>
    <t xml:space="preserve">               Chandler/Welton-Mohawk @ CGT</t>
  </si>
  <si>
    <t xml:space="preserve">               Chandler/Welton-Mohawk @ SMRP</t>
  </si>
  <si>
    <t>Modified 2012 forecast, to hold Feb HAV pumping to 2400 cfs (NGS constraint), and Oct HAV pumping to 2000 cfs (weed constraint).  Also worked on 2012 energy table.</t>
  </si>
  <si>
    <t xml:space="preserve">               Active Resource Mgmt (Vidler)</t>
  </si>
  <si>
    <t>Salt River Project Excess ($84/AF Water)</t>
  </si>
  <si>
    <t xml:space="preserve">                                        PHX  PLP Turnout (AF)</t>
  </si>
  <si>
    <t>Salt River Project XS ($XX/AF) w/CAIDD</t>
  </si>
  <si>
    <t>Salt River Project XS ($XX/AF) w/MSIDD</t>
  </si>
  <si>
    <t xml:space="preserve">               San Carlos Apache Tribe - SRP</t>
  </si>
  <si>
    <t>Entered Jan 2011 actual water deliveries, SND recovery, adjusted end of year (2011) sch amt - Ag pool does not include recovery 400,000 af - 3300 af = 396,700 af).  Moved Hassayampa Ventures from direct recharge category to the excess/non-subcontract category for CY 2011 - 2013.  Also moved Picacho Peak Gas Storage from the indirect recharge category, to the excess/non-subcontract category for CY 2011 - 2013.</t>
  </si>
  <si>
    <t>CAP Overrun Payback of &lt;12,000 af subtracted from 1.60 maf for 1.588 maf</t>
  </si>
  <si>
    <t>Enter Hav Actual, Lake Pleasant actuals for Jan 2011.  Checked remaining 2011 monthly schedules with begin of year deliveries and diversions.</t>
  </si>
  <si>
    <t>Entered revised 04, &amp; 3 yr f/c data for VF Investments.  Also revised Oasis Golf CY04 del sch to 1088, and entered 3 yr f/c data for GRIIDD &amp; GCID.</t>
  </si>
  <si>
    <t>Total Area</t>
  </si>
  <si>
    <t>Manual Input</t>
  </si>
  <si>
    <t>Revised CY09 Ag pool to accommodate MSIDD &amp; CAIDD (all out of CMAN) recovery sch - used an estimated 5000 af for HIDD (no formal recovery sch from them yet).</t>
  </si>
  <si>
    <t xml:space="preserve">Revised CY04 MSIDD Ag settlement &amp; subcontract del sch to accommodate the resolution reducing their subcontract allocation.  </t>
  </si>
  <si>
    <t>Entered new del sch for Odom Farms via HVID/LHQ seg.</t>
  </si>
  <si>
    <t>03/05/02</t>
  </si>
  <si>
    <t>Revised sept-nov 2010 wad fill to make west flow = 3000 cfs.  Corrected 2010 monthly threshold and surcharge energy use.</t>
  </si>
  <si>
    <t>Entered Waddell actuals for Nov 2007,  entered actual Hav diversion Nov 2007, updated Dec 2007 waddell fill to match new 1.595 MAF off river.</t>
  </si>
  <si>
    <t xml:space="preserve">Actual Threshold deliveries are shown in </t>
  </si>
  <si>
    <t>yellow.</t>
  </si>
  <si>
    <t xml:space="preserve">Revised Chandler, Carefree &amp; all direct recharge projects del sch.  Also added AG del status calculation for monthly f/c to the right of LHQ PP. </t>
  </si>
  <si>
    <t>11/12/02</t>
  </si>
  <si>
    <r>
      <t xml:space="preserve">        </t>
    </r>
    <r>
      <rPr>
        <sz val="12"/>
        <rFont val="Helv"/>
      </rPr>
      <t xml:space="preserve">    LSCRP</t>
    </r>
  </si>
  <si>
    <t>09/04/03</t>
  </si>
  <si>
    <t>Corrected Dec 2009 recharge deliveries for 40,000 Nevada water.</t>
  </si>
  <si>
    <t>Adjusted April 2010 Waddell fill due to April 5-21 transmission outage.  Re-adjusted 2010 threshold energy use.  2010 forecast can now be locked down as a Generation in LL.</t>
  </si>
  <si>
    <t>Moved 1000 AF of Gilbert SRP water to TDRP for May 08 - per Gilbert request to balance an overcredit SRP surface water issue.  Took the 1000 af from AWBA storage at TDRP.</t>
  </si>
  <si>
    <t xml:space="preserve">     Salt River Project/XS ($10/AF)</t>
  </si>
  <si>
    <t>Reduced Goodyear Incentive for White Tanks to 0 af, and added 5000 af for Agua Fria storage instead.  Also revised Par Golf del sch to 51 af.</t>
  </si>
  <si>
    <t>Entered Pinal County &amp; Viewpoint CY04 del sch.  And revised GRIIDD CY03 Pool 3 del sch.  Increased Kai AWBA CY03 del sch by 371 af.</t>
  </si>
  <si>
    <t xml:space="preserve">               Kai Farms</t>
  </si>
  <si>
    <t>Entered CY09 - 2011 del sch for Avondale, Pinal County &amp; Chaparral.</t>
  </si>
  <si>
    <t>SALT RIVER PROJECT/XS ($6/AF)</t>
  </si>
  <si>
    <t>Entered adjustments to cy2005;  HVID ag pool reduced by 63 af in Dec 2005;  AZ State Land sched amounts to 138 af Nov and 128 af Dec.</t>
  </si>
  <si>
    <t xml:space="preserve">               Chandler, City of</t>
  </si>
  <si>
    <t>Updated forecast volumes for 2007-2008-2009.  Zero'd SRP water use for the years per SRP July 2006.  Did not trim recharge volumes yet, similar volumes to 2008.  No GRIDD Indian Firming in 2008/9</t>
  </si>
  <si>
    <t>Added FICO CY2011 - 13 Ag pool del sch under PMR &amp; reduced the BTM Ag Pool volume.  Cancelled Bucket's CY 2010 del sch, and moved 130 af of CGT/Gilbert water to TDRP storage.</t>
  </si>
  <si>
    <t>Revised CY2011 Ag pool del sch for HVID, MSIDD, &amp; NMIDD. SCIDD</t>
  </si>
  <si>
    <t>Revised MSIDD CY2011 del sch for Ag pool.</t>
  </si>
  <si>
    <t>Entered Hoover B energy schedule for 2011.   Added 2,500 af of waddell fill in Sept 2011 to burn entire 2431 GWh of threshold energy in 2011.</t>
  </si>
  <si>
    <t>Entered Oct 2010 Waddell accounting.</t>
  </si>
  <si>
    <t xml:space="preserve">            Interstate Banking (Direct AWBA)</t>
  </si>
  <si>
    <t xml:space="preserve">            Interstate Banking (Indirect AWBA)</t>
  </si>
  <si>
    <t>Moved 500 af from GRD/RR for CY 2010 Kai sch to 500 af stored at LSC.  Entered Oct 2010 actuals, and adjusted 2010 Ag pool back to 391,841.  Removed Rosemont Copper CY 2011 del sch from file.  Adjusted CY 2010 EOY totals for all recharge, AWBA, CAGRD, &amp; subcontract M&amp;I.  Redistributed CAIDD CY 2011 del sch among all 3 t/o's.</t>
  </si>
  <si>
    <t>Enter Hav actual for Oct 2010.  Checked actuals for October 2010.  Adjusted Dec 2010 diversion to hit target 1.666 maf annual River diversion.  Added Lake Pleasant actuals for Oct 2010.</t>
  </si>
  <si>
    <t>Added Pool 2 wtr for Tono in Jul (177 af), &amp; NMIDD (1386 af) in Oct.</t>
  </si>
  <si>
    <t>01/04/01</t>
  </si>
  <si>
    <t xml:space="preserve">               CAGRD (HMRP)</t>
  </si>
  <si>
    <t>Checked Feb 2004 actuals, adjusted Lake Pleasant to match eom actual elevation and lake storage.</t>
  </si>
  <si>
    <t>03/16/04</t>
  </si>
  <si>
    <t>11/01/01</t>
  </si>
  <si>
    <t>Posted SND pumping for Oct 01 to CAVSARP recovery.</t>
  </si>
  <si>
    <t>Entered Pinal County &amp; Viewpoint CY2010 - 12 del sch.  Revised El Mirage CY 2010 - 12 del sch.</t>
  </si>
  <si>
    <t>Revised HVID CY05 Ag Pool del sch to accommodate the redistribution of SCIDD water.</t>
  </si>
  <si>
    <t>Reduced GRD incentive del sch only, to 3000 af for CY04.  They remarketed all their direct incentive (5000 af) to the AWBA.</t>
  </si>
  <si>
    <t>Modified forecast plot on 12_MTH_FC sheet macro</t>
  </si>
  <si>
    <t>05/07/01</t>
  </si>
  <si>
    <t>Added preliminary "actuals" for April.</t>
  </si>
  <si>
    <t>Revised TGV Nov 09 del to 0 af - meter multiplier was incorrect.  Moved 693 af from Jan 09 for Valencia to WUGT for Jan 09.</t>
  </si>
  <si>
    <t>Entered CY2010 - 12 del sch for Southern Dunes.</t>
  </si>
  <si>
    <t>Completed Waddell Forecast 12-mth update from Aug 2003 thru Aug 2004.</t>
  </si>
  <si>
    <t>11/13/00</t>
  </si>
  <si>
    <t>Entered SND recovery for Aug 2010.  Moved 460 af from (AJWC = 450 af, &amp; MGC = 10 af) to TDRP for AWBA in Dec 2010.</t>
  </si>
  <si>
    <t xml:space="preserve">               Gilbert</t>
  </si>
  <si>
    <t>Remarketed 84 af of Tonto Forest in 2010 to TGV investments.</t>
  </si>
  <si>
    <t xml:space="preserve">               Vidler Water Company/TDRP</t>
  </si>
  <si>
    <t xml:space="preserve">               Vidler Water Company/Vidler</t>
  </si>
  <si>
    <t>Note:  for Dec 2004, entered (19,478) af in srp/cap exchange row since this volume was payed back from srp to cap and the water was part of billed deliveries but not diverted thru canal and srp turnout.</t>
  </si>
  <si>
    <t>Modified Energy tables for 2004 and 2005, added SRP $9 water energy back in, adjusted pertinent energy formulas.</t>
  </si>
  <si>
    <t xml:space="preserve">               thru NMIDD</t>
  </si>
  <si>
    <t xml:space="preserve">               CAGRD/NMIDD</t>
  </si>
  <si>
    <t>Entered CY2010- -2012 del sch for BKW, CMID, Eloy, Metro, Tucson, CAGRD, Kai, QCID.</t>
  </si>
  <si>
    <t>Added Viewpoint/RWCD to indirect incentive water under HSY seg in CY03</t>
  </si>
  <si>
    <t>05/18/01</t>
  </si>
  <si>
    <t>TFK</t>
  </si>
  <si>
    <t>Finalized the 2009 Delivery Schedule.  New River Diversion target is 1.570 maf due to the 30kaf ICUA Recovery for MWD, and no Reclamation Yuma GW pumping.  Checked monthly capacities, Nov. outage volumes, and Lake Pleasant ops. Adjusted energy page accordingly for threshold/surcharge energy.</t>
  </si>
  <si>
    <t xml:space="preserve">4) Estimated surcharge carryover from 2007 to Oct 2008 is 44,340 MWh.  </t>
  </si>
  <si>
    <t>Adjusted CAIDD, MSIDD, and Hohokam AWBA Indirect numbers per Tim Henley proposed Interstate Banking volumes for Sep. thru Dec.  Checked for capacity, waddell / Lake P. elevs -- OK</t>
  </si>
  <si>
    <t>Temporary Water Permits (various locations)</t>
  </si>
  <si>
    <t>Updated SYSCAp Tab w/Mar 09 actuals.</t>
  </si>
  <si>
    <r>
      <t xml:space="preserve">        </t>
    </r>
    <r>
      <rPr>
        <sz val="11"/>
        <rFont val="Helv"/>
      </rPr>
      <t xml:space="preserve">     LSCRP</t>
    </r>
  </si>
  <si>
    <t>Entered actual water use for March 02.</t>
  </si>
  <si>
    <t>Sep</t>
  </si>
  <si>
    <t>Oct</t>
  </si>
  <si>
    <t>Nov</t>
  </si>
  <si>
    <t>Dec</t>
  </si>
  <si>
    <t>Total</t>
  </si>
  <si>
    <t>Entered multiple CY04 del sch.  Transferred 200 af of AWC (AJ) water in Dec to AWC (CG) in Dec 03.  Revised Southern Dunes CY 03 del sch.</t>
  </si>
  <si>
    <t>Redistributed Peoria subcontract water among delivery points - they will not take water thru SRP this year.</t>
  </si>
  <si>
    <t xml:space="preserve">               Interstate (AVRP)</t>
  </si>
  <si>
    <t>Entered correct CAVSARP recovery pumping schedule for 2008, 2009, 2010 (per Steven Dean, TW).  Changed days in Sept from 31 to 30 in Plant CFS table for 2008, 2009, 2010.</t>
  </si>
  <si>
    <t>CAIDD-SRO (less recovery)</t>
  </si>
  <si>
    <t xml:space="preserve">               GRIC exchange w/Mesa</t>
  </si>
  <si>
    <t xml:space="preserve">Entered Havasu actual for April 2010.  Checked actuals for April 2010 and remaining year schedules. </t>
  </si>
  <si>
    <t xml:space="preserve">Checked May 2007 actuals,  Checked remaining 2007 schedule for monthly diversions for eoy target of 1.555 maf,  adjusted Nov diversion.  Adjusted Lake Pleasant to match eom actual elevation and lake storage.  </t>
  </si>
  <si>
    <t xml:space="preserve">               AZAmerican/WV (MWD)</t>
  </si>
  <si>
    <t>Entered AWC CY2010 &amp; 11 projections.  Revised Chandler CY09 del sch to accommodate the Nov outage.</t>
  </si>
  <si>
    <t xml:space="preserve">               Interstate Banking (Hieroglyphic)</t>
  </si>
  <si>
    <t xml:space="preserve">               Ancala Country Club</t>
  </si>
  <si>
    <t>Entered Sep 2010 Waddell acctg.  Also entered CY2011 - 13 del sch for LSM Golf, TID ag Pool &amp; GRD, CMID via Metro/Sub, BKW.</t>
  </si>
  <si>
    <t>Added Todd Schafer aka Bob White Farms as an xs customer for 2010 - this is a permit conversion to contract that has been pending for over a year.</t>
  </si>
  <si>
    <t>Changed Nov to 0 for Ak-Chin, Tohono O'Odham, &amp; San Xavier Indians, and moved Nov del into Oct.  Also changed Tempe subcon &amp; incentive for Nov to 0, moved subcon Nov into Sep &amp; Oct, and moved all incentive for the year into Mar &amp; May.  Changed Gilbert subcon water thru Mesa for Nov and moved it into Oct.</t>
  </si>
  <si>
    <t>Revised STID/NMIDD Pool 2 del sch.</t>
  </si>
  <si>
    <t>09/19/02</t>
  </si>
  <si>
    <t>Revised MSIDD &amp; NMIDD Sep - Dec CY08 del sch in f/c file &amp; SYSCAP tab.  Moved 1000 ag for Gilbert from SRP into TDRP for Sep 08.  Entered QCWC revised CY08 XS del sch.  Entered CY09 - CY11 del sch for Tuc/CAV, SAV, &amp;PMR.</t>
  </si>
  <si>
    <t xml:space="preserve">               Oro Valley, Town of/Kai Farms</t>
  </si>
  <si>
    <t>Red Text =</t>
  </si>
  <si>
    <t>Entered March 07 actual data for Waddell accounting.</t>
  </si>
  <si>
    <t>Adjusted 2003 threshold energy schedule, added some hoover c energy.</t>
  </si>
  <si>
    <t>Use</t>
  </si>
  <si>
    <t xml:space="preserve">     Salt River Project/XS ($12/AF)</t>
  </si>
  <si>
    <t>Revised Mesa CY02 del sch for Incentive water, and added Viewpoint, Harq. Generating, Ak-Chin, SCAT.  Added SND Pumping for Sep 01 to CAVSARP Recovery &amp; Sep 01 actuals.</t>
  </si>
  <si>
    <t>10/14/01</t>
  </si>
  <si>
    <t>10/22/02</t>
  </si>
  <si>
    <t xml:space="preserve">               Gilbert/Welton-Mohawk  (RWCD)</t>
  </si>
  <si>
    <t xml:space="preserve">Entered revised CY09 - 11 del sch for Eloy.  Also entered CY09 - 11 del sch for Surprise, El Mirage, Apache Junction Water Company, Mazatzal. </t>
  </si>
  <si>
    <t>Sun Environment reported 0 AF for CY06 - 08, I deleted them from the file.</t>
  </si>
  <si>
    <t>Entered CY03 Rec Cntr schedule (125 af) thru SRP, also, HVID added 5.000 af of pool 3 for cy2003.</t>
  </si>
  <si>
    <t>Added CY02 del sch for Avondale.  Added Pinal County Wtr Augmentation Authority as a new customer to CY01 - 04.</t>
  </si>
  <si>
    <t>09/14/01</t>
  </si>
  <si>
    <t>VOLUME PASSING BRW</t>
  </si>
  <si>
    <t xml:space="preserve">Entered August 2006 actual deliveries.  Also entered CY 07 - 09 del sch for Recreational Center. </t>
  </si>
  <si>
    <t xml:space="preserve">               Rosemont Copper/PMR</t>
  </si>
  <si>
    <t xml:space="preserve">               Mesa/RWCD</t>
  </si>
  <si>
    <t>Adjusted Waddell pumpage and outflow (2002 and 2003) to allow for an extra 50,000 AF diversion capacity in December.</t>
  </si>
  <si>
    <t xml:space="preserve">               New Riv-Agua Fria(NAUSP)/SRP</t>
  </si>
  <si>
    <t>&lt;-----------</t>
  </si>
  <si>
    <t>Adjusted Waddell release numbers for 2002 for July - Sep. to reflect 1,000 cfs available off-peak pass-thru pumping.   Small change to Waddell ouflow 551K af to 546K af.</t>
  </si>
  <si>
    <t>04/01/02</t>
  </si>
  <si>
    <t>Modified cy2004 for extra 20,000 af waddell pumping, extra 40,000 for AWBA,  GRIC assumed to be 0 (since no pool 3 and settlement not finalized)</t>
  </si>
  <si>
    <t xml:space="preserve">                                           PHX  PLP Turnout (AF)</t>
  </si>
  <si>
    <t>Adjusted WAD fill in Oct, Nov 2007 to lock in Hav diversions of 165,000 af for October, and match eoy diversion target of 1.573 maf.</t>
  </si>
  <si>
    <t>Added Dec 02 actuals.</t>
  </si>
  <si>
    <t xml:space="preserve">      CENTRAL ARIZONA PROJECT </t>
  </si>
  <si>
    <t>Entered revised SCID schedule for CY2004</t>
  </si>
  <si>
    <t>Entered MSIDD breakdown for April 05.  Also entered revised SCIDD, and Chandler/GRIC del sch.  Changed March Chandler deliveries of 105 af from Assignment to GRIC/Chandler.</t>
  </si>
  <si>
    <t>08/26/02</t>
  </si>
  <si>
    <t>07/19/01</t>
  </si>
  <si>
    <t>05/21/02</t>
  </si>
  <si>
    <t xml:space="preserve">     AG Pool</t>
  </si>
  <si>
    <t xml:space="preserve">               Scottsdale/SRPMIC Lease</t>
  </si>
  <si>
    <t>Revised Tucson subcontract &amp; incentive del sch.</t>
  </si>
  <si>
    <t>07/17/01</t>
  </si>
  <si>
    <t>Entered April 2010 actual deliveries W/O recovery.  Adjusted Ag Pool totals for 2010.</t>
  </si>
  <si>
    <t xml:space="preserve">               AZAmerican/Sun Cty West (MWD)</t>
  </si>
  <si>
    <t xml:space="preserve">       (Energy use above threshold subject to surcharge)</t>
  </si>
  <si>
    <t>Deleted the MACRO1 tab that had appeared in the file - Pdent verified it was not his work, and looked to be ok to delete.  Added CY08 full cost excess line items for Gilbert &amp; Vilder.</t>
  </si>
  <si>
    <t>MUNICIPAL &amp; INDUSTRIAL:</t>
  </si>
  <si>
    <t>Remarketed 1500 AF from Scottsdale/incentive CY08 del sch to AWBA/TDRP in Dec.</t>
  </si>
  <si>
    <t xml:space="preserve">               New Harquahala Generating Co.</t>
  </si>
  <si>
    <t>Revised CY05 HVID Dec sch amt.</t>
  </si>
  <si>
    <t>Lake Surface Area December Previous Year =</t>
  </si>
  <si>
    <t>EVAP</t>
  </si>
  <si>
    <t>PRECIP</t>
  </si>
  <si>
    <t>Date</t>
  </si>
  <si>
    <t>User</t>
  </si>
  <si>
    <t xml:space="preserve">               Phoenix, City of</t>
  </si>
  <si>
    <t>08/28/03</t>
  </si>
  <si>
    <t>12/07/01</t>
  </si>
  <si>
    <t>12/06/01</t>
  </si>
  <si>
    <t>06/14/02</t>
  </si>
  <si>
    <t>11/21/03</t>
  </si>
  <si>
    <t>VOLUME PASSING SGL</t>
  </si>
  <si>
    <t>Revised Mesa Golf CY04 &amp; CY05 del sch.</t>
  </si>
  <si>
    <t>Analysis and breakdown of energy use</t>
  </si>
  <si>
    <t/>
  </si>
  <si>
    <t>West Plant</t>
  </si>
  <si>
    <t>Total West</t>
  </si>
  <si>
    <t>SGL to</t>
  </si>
  <si>
    <t>(MLD)</t>
  </si>
  <si>
    <t xml:space="preserve">               AZAmerican/Agua Fria (MWD)</t>
  </si>
  <si>
    <t xml:space="preserve">               AZAmerican/PV (MWD)</t>
  </si>
  <si>
    <t>Revised GRD CY09 XS &amp; incentive del sch - moved TID water to TDRP.  Revised Kai/AWBA del sch for CY09.</t>
  </si>
  <si>
    <t>Added Waddell actual for August 2003,  modified recovery schedule for only 1,000 af in nov and dec 2003.</t>
  </si>
  <si>
    <t xml:space="preserve">               PMR</t>
  </si>
  <si>
    <t>12/18/02</t>
  </si>
  <si>
    <t xml:space="preserve">               Phoenix/Welton-Mohawk</t>
  </si>
  <si>
    <t>Waddell Operating Forecast update for May 2001 thru April 2002</t>
  </si>
  <si>
    <t xml:space="preserve">               Spanish Trails/CMID</t>
  </si>
  <si>
    <t xml:space="preserve">Revised CY2011 - 13 CAIDD del sch. Deleted Mesa Golf Center, entered CY2011 - 13 del sch for Pinal County, Green Valley, AZ-American, AZ State Land, SRP, Mesa, Shea Sunbelt/Vistancia, Vidler, ARM, Revised Vidler/RWCD CY2010 del sch. Spanish Trails, </t>
  </si>
  <si>
    <t>Added new sheet for "YTD GRAPH" for Patrick to incorporate YTD data/graph into this file for auto calc of projected data.</t>
  </si>
  <si>
    <t>07/12/04</t>
  </si>
  <si>
    <r>
      <t>*  Total Navajo Energy = ED-HE-WE-NG+TL-WE</t>
    </r>
    <r>
      <rPr>
        <vertAlign val="subscript"/>
        <sz val="11"/>
        <rFont val="Arial"/>
        <family val="2"/>
      </rPr>
      <t>2</t>
    </r>
  </si>
  <si>
    <t>Entered HAV actual for Mar 2009, updated Lake Pleasant actuals for Mar 2009, adjusted Wad fill in Oct/Nov 2009 to match 1.570 maf target and threshold energy target.</t>
  </si>
  <si>
    <t>Entered Waddell actuals for Dec 07.</t>
  </si>
  <si>
    <t>10/31/00</t>
  </si>
  <si>
    <t>Increased CY04 del sch for Chaparral.   Entered 3 yr f/c data for Active Resource Mgmt. SRP, CAIDD, &amp; MWD.</t>
  </si>
  <si>
    <t>05/21/04</t>
  </si>
  <si>
    <t>Deleted Mesa's Red Mt Recharge line item from CY09 SGL segment/Direct recharge.</t>
  </si>
  <si>
    <t>I also changed the name of the "Delivery Schedule and Power" to "DS&amp;P"  The reason for the change was the long name had to many characters for the VB compiler and errors occurred.</t>
  </si>
  <si>
    <t>04/24/02</t>
  </si>
  <si>
    <t>05/04/04</t>
  </si>
  <si>
    <t>05/18/04</t>
  </si>
  <si>
    <t>Waddell</t>
  </si>
  <si>
    <t>Average</t>
  </si>
  <si>
    <t>Entered Dec 04 actuals, and revised Tohono O'Odham (San Xavier) &amp; Phx CY05 del sch - remarketed 75 af from Phx to the tribe.</t>
  </si>
  <si>
    <t>Revised Purcell jojoba del sch to 0.</t>
  </si>
  <si>
    <t>12/11/03</t>
  </si>
  <si>
    <t xml:space="preserve">               AVRP/MDWID</t>
  </si>
  <si>
    <t>01/25/02</t>
  </si>
  <si>
    <t>Posted April 01 SND pumping for CAVSARP recovery.</t>
  </si>
  <si>
    <t>Entered May 09 actuals, and revised SYSCAP tab.</t>
  </si>
  <si>
    <t>Salt River Project XS  w/CAIDD</t>
  </si>
  <si>
    <t>Salt River Project XS w/MSIDD</t>
  </si>
  <si>
    <t>Revised annual del sch totals for CY08 Ag pool based on April actuals.</t>
  </si>
  <si>
    <t>Temporary Water Permits (various locals)</t>
  </si>
  <si>
    <t xml:space="preserve">4) Estimated surcharge carryover from 2008 to Oct 2009 is 0 MWh; HEbanking carryover = 8,000 MWh. </t>
  </si>
  <si>
    <t>Revised 2009 Waddell pumping and releases to optimize SRP's position in forward energy market.  First day of 2009 Surcharge is now Nov 1.</t>
  </si>
  <si>
    <t xml:space="preserve">               BKW Farms</t>
  </si>
  <si>
    <t xml:space="preserve">               Recreational Cntr (Scott Shdws)</t>
  </si>
  <si>
    <t>05/28/02</t>
  </si>
  <si>
    <t>09/28/01</t>
  </si>
  <si>
    <t>Reduced Val Vista Lakes del sch to 450 AF.  Also revised Mesa subcontract del sch for CY04 - increased by 3088 af through both their plant and SRP.</t>
  </si>
  <si>
    <t>12/17/02</t>
  </si>
  <si>
    <t>03/19/03</t>
  </si>
  <si>
    <t xml:space="preserve">               Tempe/SRPMIC Lease</t>
  </si>
  <si>
    <t xml:space="preserve">               Active Resource Mgmt/RWCD</t>
  </si>
  <si>
    <t>Revised Tucson CY05 del sch to accommodate the 10kaf of AWBA water.</t>
  </si>
  <si>
    <t>Deleted Webb Farms and replaced w/Harquahala Valley Farms.  HVF bought out Webb.</t>
  </si>
  <si>
    <t>(E O M) :  End of Month Values</t>
  </si>
  <si>
    <t>Entered new Hoover Energy entitlement schedule -- Oct 2002 thru Sep 2003 for Hoover B and C energy.</t>
  </si>
  <si>
    <t xml:space="preserve">               Tonto National Forest</t>
  </si>
  <si>
    <t>Entered Waddell and Lake Pleasant actuals for April 2010.</t>
  </si>
  <si>
    <t>Revised CY2010 GRIC use for Pinal GSFs.  Moved 2kaf from @ HMRP from GRD acct to AWBA.  Revised CY 2010 Ag pool to 391,841 AF (400kaf less recovery).</t>
  </si>
  <si>
    <t>Modified Waddell release volumes (June thru Oct) to fit pass-thru-pumping schedule.  Modified 2001 Lake Pleasant inflow for a normal 39,032 af year.</t>
  </si>
  <si>
    <t>11/16/00</t>
  </si>
  <si>
    <t xml:space="preserve">Checked March 2007 actuals,  Checked remaining 2007 schedule for monthly diversions for eoy target of 1.555 maf.  Adjusted Lake Pleasant to match eom actual elevation and lake storage.  </t>
  </si>
  <si>
    <t>Entered Tuc plant for Feb 07.</t>
  </si>
  <si>
    <t>Entered CY06 - 08 del sch for NMIDD, Pinal County, Oasis Golf, &amp; RWCD/Mesa Incentive water.  Also entered CY05 changes for BKW, KAI, HVID.</t>
  </si>
  <si>
    <t>Checked June 2008 actuals, updated Lake Pleasant actuals for June 2008.  Reduced Nov filling to match updated eoy target 1.575 maf, due to no 2006 overrun payback requirement.</t>
  </si>
  <si>
    <t>Moved BKW/MDWID incentive CY03 wtr from direct to indirect.  Deleted Oro Valley/Kai Incentive wtr for CY03 in Red Rock Segment - it remains in Picacho segment.  Moved Tuc/BKW-MW GSF from Sandario seg to Brawley seg.</t>
  </si>
  <si>
    <t>Increased July 2010 waddell outflow to account for only 1 week of pass-thru pumping due to Agua Fria Tunnel 3-week outage.   Made up HAV diversion shortfall in June and August.</t>
  </si>
  <si>
    <t xml:space="preserve">               Agua Fria</t>
  </si>
  <si>
    <t xml:space="preserve">               Hassayampa Ventures, LLC (HRF)</t>
  </si>
  <si>
    <t xml:space="preserve">               SCAT 100 yr lease w/Gilbert via CGT</t>
  </si>
  <si>
    <t xml:space="preserve">Entered CY2011 - 13 del sch for Phoenix, Hassayampa Ventures, changed all direct AWBA line items to 0 - waiting for AWBA sch, Peoria, SND Recovery from Tuc, entered Sep 2010 Waddell Accounting, all Indians, </t>
  </si>
  <si>
    <t xml:space="preserve">               Fort McDowell Tribe/Gilbert - TDRP</t>
  </si>
  <si>
    <t xml:space="preserve">Revised LaFarge 2007 del sch. </t>
  </si>
  <si>
    <t>07/03/02</t>
  </si>
  <si>
    <t>10/25/02</t>
  </si>
  <si>
    <t>Revised SCAT del sch thru SRP for CY02.</t>
  </si>
  <si>
    <t>Updated the Colorado River -- Arizona on-river usage table with ADWR actuals thru September 2002.</t>
  </si>
  <si>
    <t xml:space="preserve">               Avondale  (AFRP,HMRP,SRP)</t>
  </si>
  <si>
    <t>Revised AZ-American 2010 del sch.</t>
  </si>
  <si>
    <t xml:space="preserve">Redistributed Valencia's CY09 incentive water, and redistributed SRP's CY09 del sch.  </t>
  </si>
  <si>
    <t xml:space="preserve">               1440, INC</t>
  </si>
  <si>
    <t>Added JADAAL (formerly AZ Pacific Materials) under NMIDD, and 1440 Inc under SRP in 2011 - 2013.</t>
  </si>
  <si>
    <t xml:space="preserve">               JADAAL, Inc.</t>
  </si>
  <si>
    <t>Entered March 2011 Waddell accounting.</t>
  </si>
  <si>
    <t>Revised Feb 2011 TDRP storage for AWBA &amp; AAWC - moved 2000 af of previously reported AAWC storage to AWBA.</t>
  </si>
  <si>
    <t>Entered March 2011 actual deliveries (less) recovery water for Ag pool, and also added the SND recovery for the month.  Adjusted end-of-year Ag Pool volumes for 2011 to 400kaf (less 3300) recovery = 396,700 af.  Adjusted all 2011 EOY volumes for M&amp;I subcontract, AWBA &amp; recharge schedulee.  Also adjusted most Federal schedules to EOY totals.</t>
  </si>
  <si>
    <t>Temporary (-) for reduced deliveries (ag)</t>
  </si>
  <si>
    <t>Enter Hav Actual, Lake Pleasant actuals for Mar 2011.  Checked and resyncd remaining 2011 monthly schedules with begin of year deliveries and diversions.</t>
  </si>
  <si>
    <t>Moved FMYN 250 af from June 2011, to Sep 2011 thru SRP.</t>
  </si>
  <si>
    <t>Entered Waddell accounting for April 2011.</t>
  </si>
  <si>
    <t>Revised 2011 del sch for TGV Investments &amp; Schafer.</t>
  </si>
  <si>
    <t>Entered April 2011 Ag pool actuals, and adjusted year end total Ag Pool back to 396,700 AF (400kaf less 3300 af recovery).</t>
  </si>
  <si>
    <t>Entered April 2011 actual deliveries, and adjusted year end totals.</t>
  </si>
  <si>
    <t>Entered April 2011 actual deliveries, and revised year end projections.</t>
  </si>
  <si>
    <t>Completed the end of year revisions for April 2011 actuals.</t>
  </si>
  <si>
    <t>Enter Hav Actual, Lake Pleasant actuals for Apr 2011.  Checked and resyncd remaining 2011 monthly schedules with begin of year deliveries and diversions.</t>
  </si>
  <si>
    <t>Revised 2011 del sch for TGV Investments, Schafer &amp; H2O.</t>
  </si>
  <si>
    <t>Completed water and energy forecasts for 2012 and 2013 for budget purposes and initial estimates.</t>
  </si>
  <si>
    <t>Added Havasu and Lake Pleasant actuals for May 2011.  Reduced July for Hav per SRP shaping request.  Rebalanced rest of year to divert 1.610 maf per USBR website.</t>
  </si>
  <si>
    <t>Modified forecast for 2012 and 2013.  Reduced TW at PMR to 15000 af and increased SAV accordingly.  Moved BOR Fed Firming water to AWBA Indirect per assumptions to arrange with AWBA and avoid the Tax Equivalency charge starting 2012.</t>
  </si>
  <si>
    <t xml:space="preserve">Modified forecast for 2012 and 2013.  Reduced AWBA in Pima Cty per lower available funds.  Water shifted to TDRP. </t>
  </si>
  <si>
    <t>Updated Lake Pleasant actuals and MWD actual for June 2011.</t>
  </si>
  <si>
    <t>Added Havasu and Lake Pleasant actuals for July 2011.  Rebalanced rest of year to divert 1.603 maf per USBR website.</t>
  </si>
  <si>
    <t>.</t>
  </si>
  <si>
    <t xml:space="preserve">               Maricopa Stanfield IDD (MSIDD)</t>
  </si>
  <si>
    <t xml:space="preserve">               ASARCO/Tohono (San Xavier)</t>
  </si>
  <si>
    <t>Updated Deliveries for May through August to actuals, made projections for end of year</t>
  </si>
  <si>
    <t xml:space="preserve">               Gilbert/FT McDowell @ SMRP</t>
  </si>
  <si>
    <t xml:space="preserve">               CAGRD thru NMIDD</t>
  </si>
  <si>
    <t xml:space="preserve">               Pima Mine Rd (CAGRD)</t>
  </si>
  <si>
    <t>By: Brian Henning, CAWCD Water Control Department</t>
  </si>
  <si>
    <t xml:space="preserve">               TDRP (CAGRD)</t>
  </si>
  <si>
    <t xml:space="preserve">               Tonopah ID (CAGRD)</t>
  </si>
  <si>
    <t xml:space="preserve">               Interstate Banking (TDRP, AWBA, Direct)</t>
  </si>
  <si>
    <t xml:space="preserve">               thru Agua Fria (CAGRD)</t>
  </si>
  <si>
    <t xml:space="preserve">               thru Hieroglyphic (CAGRD)</t>
  </si>
  <si>
    <t xml:space="preserve">               thru Scottsdale (CAGRD)</t>
  </si>
  <si>
    <t xml:space="preserve">               thru MSIDD (CAGRD)</t>
  </si>
  <si>
    <t xml:space="preserve">               thru NMIDD (CAGRD)</t>
  </si>
  <si>
    <t xml:space="preserve">               thru QCID (CAGRD)</t>
  </si>
  <si>
    <t xml:space="preserve">               thru Superstition Mt Recharge (CAGRD)</t>
  </si>
  <si>
    <t xml:space="preserve">               Tonopah Desert Recharge Project (TDRP, AWBA, Direct)</t>
  </si>
  <si>
    <t xml:space="preserve">               Ranegras Plain Recharge Project (AWBA, Direct)</t>
  </si>
  <si>
    <t xml:space="preserve">               Agua Fria (AWBA, Direct)</t>
  </si>
  <si>
    <t xml:space="preserve">               Interstate Banking (Agua Fria) (AWBA, Direct)</t>
  </si>
  <si>
    <t xml:space="preserve">               GRUSP (AWBA, Direct)</t>
  </si>
  <si>
    <t xml:space="preserve">               Interstate Banking (GRUSP) (AWBA, Direct)</t>
  </si>
  <si>
    <t xml:space="preserve">               Hieroglyphic (AWBA, Direct)</t>
  </si>
  <si>
    <t xml:space="preserve">               Interstate Banking (Hieroglyphic) (HMRP, AWBA, Direct)</t>
  </si>
  <si>
    <t xml:space="preserve">               New Riv-Agua Fria(NAUSP)/SRP (AWBA, Direct)</t>
  </si>
  <si>
    <t xml:space="preserve">               East Salt River Valley (ESRV) (AWBA, Direct)</t>
  </si>
  <si>
    <t xml:space="preserve">               NESalt River Valley Recharge (AWBA, Direct)</t>
  </si>
  <si>
    <t xml:space="preserve">               CAIDD (20%) (AWBA, Indirect)</t>
  </si>
  <si>
    <t xml:space="preserve">               Interstate (CAIDD 20%) (AWBA, Indirect)</t>
  </si>
  <si>
    <t xml:space="preserve">               NMIDD (AWBA, Indirect)</t>
  </si>
  <si>
    <t xml:space="preserve">               Hohokam (AWBA, Indirect)</t>
  </si>
  <si>
    <t xml:space="preserve">               Interstate (Hohokam) (AWBA, Indirect)</t>
  </si>
  <si>
    <t xml:space="preserve">               MSIDD (AWBA, Indirect)</t>
  </si>
  <si>
    <t xml:space="preserve">               Interstate (MSIDD) (AWBA, Indirect)</t>
  </si>
  <si>
    <t xml:space="preserve">               QCID (AWBA, Indirect)</t>
  </si>
  <si>
    <t xml:space="preserve">               CAIDD (60%) (AWBA, Indirect)</t>
  </si>
  <si>
    <t xml:space="preserve">               Interstate (CAIDD 60%) (AWBA, Indirect)</t>
  </si>
  <si>
    <t xml:space="preserve">               Kai Farms (AWBA, Indirect)</t>
  </si>
  <si>
    <r>
      <t xml:space="preserve">        </t>
    </r>
    <r>
      <rPr>
        <sz val="12"/>
        <rFont val="Helv"/>
      </rPr>
      <t xml:space="preserve">    LSCRP (CAGRD)</t>
    </r>
  </si>
  <si>
    <t xml:space="preserve">               Interstate (AVRP) (AWBA, Direct)</t>
  </si>
  <si>
    <t xml:space="preserve">               Avra Valley (AVRP, AWBA, Direct)</t>
  </si>
  <si>
    <t xml:space="preserve">               LSCRP (AWBA, Direct)</t>
  </si>
  <si>
    <t xml:space="preserve">               Interstate (LSCRP) (AWBA, Direct)</t>
  </si>
  <si>
    <t xml:space="preserve">               CMID (AWBA, Indirect)</t>
  </si>
  <si>
    <t xml:space="preserve">               CAVSARP - BKW pumps (AWBA, Direct)</t>
  </si>
  <si>
    <t xml:space="preserve">               CAVSARP (AWBA, Direct)</t>
  </si>
  <si>
    <t xml:space="preserve">               CAVSARP (Interstate) (AWBA, Direct)</t>
  </si>
  <si>
    <t xml:space="preserve">               SAVSARP (AWBA, Direct)</t>
  </si>
  <si>
    <t xml:space="preserve">               SAVSARP (Interstate) (AWBA, Direct)</t>
  </si>
  <si>
    <t xml:space="preserve">               PMR (AWBA, Direct)</t>
  </si>
  <si>
    <t xml:space="preserve">               Interstate (PMR) (AWBA, Direct)</t>
  </si>
  <si>
    <t xml:space="preserve">   </t>
  </si>
  <si>
    <t>ADD AWBA CAGRD titles to individulaual rows that use that customer.  Updated Lake Pleasant Forecast Tab, added blank 2012 -2014 forecast files for entering water orders.</t>
  </si>
  <si>
    <t xml:space="preserve">               H2O Inc.</t>
  </si>
  <si>
    <t xml:space="preserve">               GRIC GSF w/NMID</t>
  </si>
  <si>
    <t xml:space="preserve">              SMRP (AWBA, Direct)</t>
  </si>
  <si>
    <t xml:space="preserve">               Oro Valley/CAVSARP</t>
  </si>
  <si>
    <t xml:space="preserve">               BKW Farms (AWBA)</t>
  </si>
  <si>
    <t xml:space="preserve">               GRIC GSF w/RWCD</t>
  </si>
  <si>
    <t xml:space="preserve">               Phoenix/RWCD Assignment</t>
  </si>
  <si>
    <t xml:space="preserve">               Chandler, City of (TP's and SMRP)</t>
  </si>
  <si>
    <t xml:space="preserve">               Surprise (HMRP,AFRP,TDRP)</t>
  </si>
  <si>
    <t xml:space="preserve">               San Carlos Apache Tribe - SRP (FCX)</t>
  </si>
  <si>
    <t xml:space="preserve">               Gilbert/FT McDowell @ NMIDD</t>
  </si>
  <si>
    <t xml:space="preserve">               Gilbert/FT McDowell @ QCID</t>
  </si>
  <si>
    <t>Updated Schedlues for 2012,2013,2014</t>
  </si>
  <si>
    <t xml:space="preserve">               TDRP, AWBA</t>
  </si>
  <si>
    <t xml:space="preserve">               Florence, Town of (Thru MSIDD)</t>
  </si>
  <si>
    <t xml:space="preserve">               Eloy, City of (Thru MSIDD)</t>
  </si>
  <si>
    <t xml:space="preserve">               Queen Creek, Town of</t>
  </si>
  <si>
    <t>CAIDD</t>
  </si>
  <si>
    <t>MSIDD</t>
  </si>
  <si>
    <t>Hohokam</t>
  </si>
  <si>
    <t>NMIDD</t>
  </si>
  <si>
    <t>RWCD</t>
  </si>
  <si>
    <t>GRIID</t>
  </si>
  <si>
    <t>diff</t>
  </si>
  <si>
    <t>Moved HSY Ventures to Direct Recharge Segment 3 deducted from CS19 flow calculation (was currently incorrectly placed in M&amp;I non-subcontract)</t>
  </si>
  <si>
    <t xml:space="preserve">               Gila River Indian IDD (GRIC)</t>
  </si>
  <si>
    <t xml:space="preserve">               Tohono Odham/LSCRP</t>
  </si>
  <si>
    <t>Updated actual deliveries through September 2011 projected through end of year.</t>
  </si>
  <si>
    <t>Updated Lake Pleasant Operations</t>
  </si>
  <si>
    <t>Updated 2012 Schedules per AG Pool Re-allocation, Updated AWBA per Option 1 of reduced excess pool</t>
  </si>
  <si>
    <t xml:space="preserve">               Avondale  (own facility)</t>
  </si>
  <si>
    <t>Avondale will take this water from Roosevelt account</t>
  </si>
  <si>
    <t>added Avondale excess to be reduced from Roosevelt account, also removed the avondale direct recharge line to not be included in CS19 flow calculation.</t>
  </si>
  <si>
    <t>3) New 3-party agreement since Oct 1, 2011.  No categories for threshold or surcharge energy.</t>
  </si>
  <si>
    <t>Updated Hoover Energy monthly allocation for 2012.  Cleaned up and deleted threshold and surcharge energy variables since na with new 3-party agreement.</t>
  </si>
  <si>
    <t xml:space="preserve">               Town of, Queen Creek</t>
  </si>
  <si>
    <t xml:space="preserve">               Tempe/SRP GRUSP</t>
  </si>
  <si>
    <t xml:space="preserve">               SRP (Excess to San Tan PP)</t>
  </si>
  <si>
    <t>Delivered from Roosevelt Lake Account in 2012</t>
  </si>
  <si>
    <t>Total
Hoover</t>
  </si>
  <si>
    <t>Energy Needed for Water Operations</t>
  </si>
  <si>
    <t>CAP</t>
  </si>
  <si>
    <t>2) Waddell generation ends when lake elevation drops below elevation 1640  (Manually determined does not check LP forecast sheet).</t>
  </si>
  <si>
    <t>Others</t>
  </si>
  <si>
    <t>Energy
Provided by</t>
  </si>
  <si>
    <t>(CP)</t>
  </si>
  <si>
    <t>(PO)</t>
  </si>
  <si>
    <t>*  Total Navajo Energy NE= ED+TL-NG-HE-CP-PO</t>
  </si>
  <si>
    <t>Updated Power Table "projection of Navajo powe purchases"  also updated Vidler Schedule.</t>
  </si>
  <si>
    <t xml:space="preserve">     Non-Subcontract (direct use excess)</t>
  </si>
  <si>
    <t xml:space="preserve">     Direct (excess)</t>
  </si>
  <si>
    <t xml:space="preserve">     Indirect (excess)</t>
  </si>
  <si>
    <r>
      <t>RECHARGE</t>
    </r>
    <r>
      <rPr>
        <b/>
        <vertAlign val="superscript"/>
        <sz val="12"/>
        <rFont val="Helv"/>
      </rPr>
      <t>1</t>
    </r>
    <r>
      <rPr>
        <b/>
        <sz val="12"/>
        <rFont val="Helv"/>
      </rPr>
      <t>:</t>
    </r>
  </si>
  <si>
    <r>
      <rPr>
        <vertAlign val="superscript"/>
        <sz val="12"/>
        <rFont val="Helv"/>
      </rPr>
      <t>1</t>
    </r>
    <r>
      <rPr>
        <sz val="12"/>
        <rFont val="Helv"/>
      </rPr>
      <t xml:space="preserve"> This classification represents </t>
    </r>
    <r>
      <rPr>
        <b/>
        <sz val="12"/>
        <rFont val="Helv"/>
      </rPr>
      <t>EXCESS</t>
    </r>
    <r>
      <rPr>
        <sz val="12"/>
        <rFont val="Helv"/>
      </rPr>
      <t xml:space="preserve"> water that has been directly or indirectly recharged.  AWBA, Federal Indian Firming, CAGRD Replenishment Reserve are included in this category.  CAP water recharged under Federal or M&amp;I Subcontract are not included.</t>
    </r>
  </si>
  <si>
    <t xml:space="preserve">     CAGRD (xs replenishment obligation)</t>
  </si>
  <si>
    <t>CAP PP
Energy</t>
  </si>
  <si>
    <t>@ GEN</t>
  </si>
  <si>
    <t>GEN</t>
  </si>
  <si>
    <t>Transmission
Losses</t>
  </si>
  <si>
    <t>(TL+ED)</t>
  </si>
  <si>
    <t>Total
 Energy</t>
  </si>
  <si>
    <t>@ LOAD</t>
  </si>
  <si>
    <t>Revised 2012 AOP to reflect Maintenance Outages</t>
  </si>
  <si>
    <t>Switchyard 
Losses</t>
  </si>
  <si>
    <t xml:space="preserve">               SMRP (AWBA, Direct)</t>
  </si>
  <si>
    <t xml:space="preserve">     XS AG</t>
  </si>
  <si>
    <t xml:space="preserve">     XS AG (MSIDD)</t>
  </si>
  <si>
    <t>Added October and November 2011 Deliveries, Projected through rest of year.</t>
  </si>
  <si>
    <t>Add XS AG Category, Used the drought Line.  This was for customers who took excess (full cost) water in 2011 (unusual) and used it direct;ly for Agriculture.</t>
  </si>
  <si>
    <t>Updated Lake Pleasant Ops for November, Added Delivery Schedules for 2013 and 2014</t>
  </si>
  <si>
    <t>Re-distributed Chandler and Phoenix deliveries by class, no changes were made to CRO diversion or monthly deliveries  added line for PYQ on res deliveries</t>
  </si>
  <si>
    <t xml:space="preserve">               SCAT 1 Yr Lease w/Gilbert @ SMRP</t>
  </si>
  <si>
    <t>Updated 2013/2014 CAGRD, BOR and AWBA schedules</t>
  </si>
  <si>
    <t>Finished 2013/2014 projected plans.  Added estimated temp volumes 2012 plan.</t>
  </si>
  <si>
    <t>Updated 2011 CAVSARP recovery data with 2011 Snyder Hill Actuals through 10/2011</t>
  </si>
  <si>
    <t xml:space="preserve">               Tucson/CAVSARP + BKW pumps</t>
  </si>
  <si>
    <t>Updated 2011  a portion of the december 2011 water deliveries</t>
  </si>
  <si>
    <t>Revised:  1/23/11</t>
  </si>
  <si>
    <t>(Deliveries are actuals for water deliveries in 2011)</t>
  </si>
  <si>
    <t>Updated 2011 with final deliveries for 2011 Deliveries = 1,616,347 + 3366 (recovery) = 1,619,713.  CRO diversions = 1,625,043 af</t>
  </si>
  <si>
    <t>Adjusted 2012 TDR Schedule to reflect Nevada Water Deliveries, adjusted Lake pumping and CRO diversions to accommodate additional TDR Delivery</t>
  </si>
  <si>
    <t>Non Navajo Energy Resources</t>
  </si>
  <si>
    <t>Monthly Projection of CAP Energy Resources (Mega Watt Hours)</t>
  </si>
  <si>
    <t>Prepared by CAP Water Control Department</t>
  </si>
  <si>
    <t>Navajo Reserved Energy</t>
  </si>
  <si>
    <t>(NE)* per WAPA 12/15/2011</t>
  </si>
  <si>
    <t xml:space="preserve">For </t>
  </si>
  <si>
    <t>Additional</t>
  </si>
  <si>
    <t>6.2 OP1</t>
  </si>
  <si>
    <t>Projected Actions</t>
  </si>
  <si>
    <t>OPS</t>
  </si>
  <si>
    <t>Balance</t>
  </si>
  <si>
    <t>Sales</t>
  </si>
  <si>
    <t>(Short)</t>
  </si>
  <si>
    <t>(Long)</t>
  </si>
  <si>
    <t>RSVD</t>
  </si>
  <si>
    <r>
      <rPr>
        <b/>
        <sz val="11"/>
        <color rgb="FFFF0000"/>
        <rFont val="Arial"/>
        <family val="2"/>
      </rPr>
      <t>HOURLY AVERAGE</t>
    </r>
    <r>
      <rPr>
        <b/>
        <sz val="11"/>
        <rFont val="Arial"/>
        <family val="2"/>
      </rPr>
      <t xml:space="preserve"> of CAP Energy Resources (Mega Watts)</t>
    </r>
  </si>
  <si>
    <t xml:space="preserve">               Water Util. Greater Tonopah (WUG)</t>
  </si>
  <si>
    <t>Updated January February Deliveries, Hoover projected Power Values, Lake Pleasant Ops.  (still need to finalize deliveries with MJ, some issues with the cities.)</t>
  </si>
  <si>
    <t xml:space="preserve">               Gilbert, Town of (SMRP)</t>
  </si>
  <si>
    <t>Updated January February Deliveries, Hoover projected Power Values, Lake Pleasant Ops.  (still need to finalize deliveries with MJ, some issues with the Pinal GSF's and Roosevelt Account.)</t>
  </si>
  <si>
    <t>Jan -  February Deliveries completed</t>
  </si>
  <si>
    <t>(MW)</t>
  </si>
  <si>
    <t>MW</t>
  </si>
  <si>
    <t>March deliveries updated to actuals</t>
  </si>
  <si>
    <t>Updated Lake Pleasant OPS MWD, accouting, Hoover Values and removed remaining Nevada water from Plan</t>
  </si>
  <si>
    <t xml:space="preserve">               Pascua Yaqui/SAVSARP</t>
  </si>
  <si>
    <t xml:space="preserve">                Pascua Yaqui SCAT Lease</t>
  </si>
  <si>
    <t xml:space="preserve">               Pascua Yaqui (SCAT Lease) SAVSARP</t>
  </si>
  <si>
    <t xml:space="preserve">               Pascua Yaqui</t>
  </si>
  <si>
    <t>Updated PYQ and CMID and AWBA schedules (removed water from LSC)</t>
  </si>
  <si>
    <t>CAIDD AG Pool Total</t>
  </si>
  <si>
    <t>Monthly Updates, need to complete deliveries with data from MJ</t>
  </si>
  <si>
    <t xml:space="preserve">               SCAT 1-yr lease w/Gilbert (CGT)</t>
  </si>
  <si>
    <t>5/302012</t>
  </si>
  <si>
    <t>Finalized april deliveries, updated Lake Pleaseant Ops and CRO diversions.</t>
  </si>
  <si>
    <t>Began updating May Deliveries with Actuals (not completed)</t>
  </si>
  <si>
    <t xml:space="preserve">               Tucson - BKW GSF pumps (BKW/CAV)</t>
  </si>
  <si>
    <t xml:space="preserve">               Gilbert/SRPMIC Lease  @SMRP</t>
  </si>
  <si>
    <t>Finalized Deliveries Data, Lake Pleasant operations, SRP exchange and updated hoover numbers.</t>
  </si>
  <si>
    <t>shifted Lake Pleasant fill from October to December to equalize Navajo Energy needs.</t>
  </si>
  <si>
    <t xml:space="preserve">               Peoria  (AFRP, Glen, HMRP, Quin, P2, MWD)</t>
  </si>
  <si>
    <t>Updated Lake Pleasant Data, June Deliveies</t>
  </si>
  <si>
    <t>Corrected Schedule Error(s) to that forecast file matches MJ CAP Water Delivery Official Schedules.</t>
  </si>
  <si>
    <t xml:space="preserve">               Tohono O'odham/NMIDD</t>
  </si>
  <si>
    <t>Updated July Water Deliveries</t>
  </si>
  <si>
    <t>Finished July updates and adjusted CRO Diversions for December,  Made Schedule Changes for TO recharge at H:MR are AFR</t>
  </si>
  <si>
    <t xml:space="preserve">               Tohono O'Odham/LSC</t>
  </si>
  <si>
    <t>Updated Lake Pleasant Operations for Energy Planning for remainder of 2012</t>
  </si>
  <si>
    <t>Moved 1000 af of AWBA water from CMID to SAVSARP and LSC</t>
  </si>
  <si>
    <t>Completed Monthly updates for August</t>
  </si>
  <si>
    <t>Updated SRP Exchange per Glendale Pyramid Peak Schedule change</t>
  </si>
  <si>
    <t>MGS</t>
  </si>
  <si>
    <t>Created new sheets for 2013, 2014, 2015.  Delete "2012 Origfcst" and "2013 Origfcst".  Update Lake Pleasant Forecast to include 2012-2015.</t>
  </si>
  <si>
    <t xml:space="preserve">               thru SMRP (CAGRD)</t>
  </si>
  <si>
    <t xml:space="preserve">               New Magma IDD (NMIDD)</t>
  </si>
  <si>
    <t xml:space="preserve">               GRIC GSF w/NMIDD</t>
  </si>
  <si>
    <t xml:space="preserve">               EPCOR-AZAmerican/Sun City (MWD)</t>
  </si>
  <si>
    <t xml:space="preserve">               EPCOR-AZ American WC (AF) - TDRP</t>
  </si>
  <si>
    <t xml:space="preserve">               EPCOR-AZ American WC (PV) - TDRP</t>
  </si>
  <si>
    <t xml:space="preserve">               EPCOR-AZAmerican/Agua Fria (MWD)</t>
  </si>
  <si>
    <t xml:space="preserve">               EPCOR-AZAmerican/Sun Cty West (MWD)</t>
  </si>
  <si>
    <t xml:space="preserve">               EPCOR-AZAmerican/PV (MWD)</t>
  </si>
  <si>
    <t xml:space="preserve">               Avondale (AFRP)</t>
  </si>
  <si>
    <t xml:space="preserve">               Peoria  (AFRP)</t>
  </si>
  <si>
    <t xml:space="preserve">               Peoria  (HMRP)</t>
  </si>
  <si>
    <t xml:space="preserve">               Surprise (AFRP)</t>
  </si>
  <si>
    <t xml:space="preserve">               Surprise (HMRP)</t>
  </si>
  <si>
    <t xml:space="preserve">               Tohono Nation (AFRP)</t>
  </si>
  <si>
    <t xml:space="preserve">               Tohono Nation (HMRP)</t>
  </si>
  <si>
    <t xml:space="preserve">               Chandler, City of (SMRP)</t>
  </si>
  <si>
    <t xml:space="preserve">               Chandler, City of (TP's)</t>
  </si>
  <si>
    <t xml:space="preserve">               Chandler/Welton-Mohawk @ CGT TPs</t>
  </si>
  <si>
    <t xml:space="preserve">               CAGRD (SMRP)</t>
  </si>
  <si>
    <t xml:space="preserve">               Tucson - BKW Pumps (GSF)</t>
  </si>
  <si>
    <t xml:space="preserve">               Tucson - BKW Pumps (CAVSARP)</t>
  </si>
  <si>
    <t xml:space="preserve">               Pascua Yaqui SCAT Lease</t>
  </si>
  <si>
    <t xml:space="preserve">               San Xavier Cooperative Farm/Tohono (San Xavier)</t>
  </si>
  <si>
    <t xml:space="preserve">               Active Resource Mgmt-Vidler</t>
  </si>
  <si>
    <t xml:space="preserve">               Active Resource Mgmt-Vidler (TDRP)</t>
  </si>
  <si>
    <t xml:space="preserve">               Peoria/GRIC Lease (AFRP)</t>
  </si>
  <si>
    <t xml:space="preserve">               Peoria/GRIC Lease (HMRP)</t>
  </si>
  <si>
    <t xml:space="preserve">               Peoria/GRIC Lease (Glen,SRP)</t>
  </si>
  <si>
    <t>Lake Pleasant Projected EOM Elevation (ft)</t>
  </si>
  <si>
    <t>Updated customer names.  Create "2013 Origfcst" and "2014 Origfcst".</t>
  </si>
  <si>
    <t xml:space="preserve">               Peoria  (GLE)</t>
  </si>
  <si>
    <t xml:space="preserve">               Arizona Public Service (APS)</t>
  </si>
  <si>
    <t>SRP</t>
  </si>
  <si>
    <t>CCR</t>
  </si>
  <si>
    <t>CCW</t>
  </si>
  <si>
    <t>COT</t>
  </si>
  <si>
    <t>MWD</t>
  </si>
  <si>
    <t>PMR</t>
  </si>
  <si>
    <t>LSC</t>
  </si>
  <si>
    <t xml:space="preserve">               Goodyear (AFRP)</t>
  </si>
  <si>
    <t xml:space="preserve">               Goodyear (HMRP)</t>
  </si>
  <si>
    <t>AFR</t>
  </si>
  <si>
    <t>HMR</t>
  </si>
  <si>
    <t xml:space="preserve">               Oasis Golf Resort (Johnson Utilities)</t>
  </si>
  <si>
    <t>Avondale requested to take this water from Roosevelt account if no excess avail.</t>
  </si>
  <si>
    <t xml:space="preserve">               Buckeye - Tonopah ID</t>
  </si>
  <si>
    <t>TON</t>
  </si>
  <si>
    <t>GLE</t>
  </si>
  <si>
    <t>KLK/CGE</t>
  </si>
  <si>
    <t>NM1, NM2, NM3, NM4</t>
  </si>
  <si>
    <t>Updated 2012 Lake pumping per post canal breach operating plan</t>
  </si>
  <si>
    <t xml:space="preserve">               Roosevelt Water Conservation Dist (RWCD)</t>
  </si>
  <si>
    <t>CGT</t>
  </si>
  <si>
    <t xml:space="preserve">               Gilbert/Assignment - CGT</t>
  </si>
  <si>
    <t xml:space="preserve">               Gilbert/Assignment - SMRP</t>
  </si>
  <si>
    <t xml:space="preserve">               Gilbert/Welton-Mohawk - CGT</t>
  </si>
  <si>
    <t xml:space="preserve">               Gilbert/Welton-Mohawk - SMRP</t>
  </si>
  <si>
    <t>PYQ</t>
  </si>
  <si>
    <t xml:space="preserve">               Gilbert/SCAT @ NMIDD</t>
  </si>
  <si>
    <t xml:space="preserve">               Gilbert/SCAT @ QCID</t>
  </si>
  <si>
    <t xml:space="preserve">               Gilbert/SCAT 1-yr lease (CGT)</t>
  </si>
  <si>
    <t xml:space="preserve">               Gilbert/SCAT 1 Yr Lease @ SMRP</t>
  </si>
  <si>
    <t xml:space="preserve">               Pascua Yaqui (Ak-Chin Lease)/SAVSARP</t>
  </si>
  <si>
    <t xml:space="preserve">               Gilbert/Fort McDowell Lease (CSIF)</t>
  </si>
  <si>
    <t xml:space="preserve">               Gilbert/Fort McDowell @ SMRP</t>
  </si>
  <si>
    <t>SC1</t>
  </si>
  <si>
    <t xml:space="preserve">               CAGRD (Tonopah ID)</t>
  </si>
  <si>
    <t xml:space="preserve">               Florence, Town of (Thru CAIDD)</t>
  </si>
  <si>
    <t xml:space="preserve">               Avondale/CSIF  (own facility)</t>
  </si>
  <si>
    <t xml:space="preserve">               Eloy, City of (Thru CAIDD)</t>
  </si>
  <si>
    <t xml:space="preserve">               Chandler/Welton-Mohawk (CSIF)</t>
  </si>
  <si>
    <t>TDR</t>
  </si>
  <si>
    <t>APX</t>
  </si>
  <si>
    <t>SAV</t>
  </si>
  <si>
    <t xml:space="preserve">               Fort McDowell Tribe - SRP (CSIF)</t>
  </si>
  <si>
    <t xml:space="preserve">               SCAT - SRP (FCX) CSIF</t>
  </si>
  <si>
    <t>SKT</t>
  </si>
  <si>
    <t>SX2</t>
  </si>
  <si>
    <t>ASR</t>
  </si>
  <si>
    <t xml:space="preserve">               Gilbert/SRPMIC Lease (CSIF)</t>
  </si>
  <si>
    <t xml:space="preserve">               Gilbert/Welton-Mohawk (CSIF)</t>
  </si>
  <si>
    <t xml:space="preserve">               Gilbert, Town of (CSIF)</t>
  </si>
  <si>
    <t>HAR</t>
  </si>
  <si>
    <t>WMC</t>
  </si>
  <si>
    <t xml:space="preserve">               Avra Valley/METRO (AVRP, AWBA, Direct)</t>
  </si>
  <si>
    <t xml:space="preserve">               Peoria (CSIF)</t>
  </si>
  <si>
    <t xml:space="preserve">               Queen Creek ID (QCID)</t>
  </si>
  <si>
    <t xml:space="preserve">               SRP (Excess to San Tan PP?)</t>
  </si>
  <si>
    <t xml:space="preserve">               Peoria  (QTO)</t>
  </si>
  <si>
    <t xml:space="preserve">               Peoria  (P2)</t>
  </si>
  <si>
    <t xml:space="preserve">               Peoria  (MWD)</t>
  </si>
  <si>
    <t>QTO</t>
  </si>
  <si>
    <t xml:space="preserve">               Phelps/Dodge Miami (SRP) CSIF</t>
  </si>
  <si>
    <t xml:space="preserve">               Tempe, City of (CSIF)</t>
  </si>
  <si>
    <t xml:space="preserve">               ASU-Karsten Golf Course (CSIF)</t>
  </si>
  <si>
    <t xml:space="preserve">               Recreational Ctr (Scott Shadows) CSIF</t>
  </si>
  <si>
    <t xml:space="preserve">               SRP (CSIF)</t>
  </si>
  <si>
    <t xml:space="preserve">               Tempe/SRP GRUSP (CSIF)</t>
  </si>
  <si>
    <t xml:space="preserve">               SRP/GRIC (CSIF)</t>
  </si>
  <si>
    <t>Maricopa Water District Lake Water (MWD**)</t>
  </si>
  <si>
    <t xml:space="preserve">               Hieroglyphic (HMRP, AWBA, Direct)</t>
  </si>
  <si>
    <t xml:space="preserve">               Chaparral City Water Company (MWD)</t>
  </si>
  <si>
    <t xml:space="preserve">               Chaparral City Water Company (CCW)</t>
  </si>
  <si>
    <t xml:space="preserve">               CAIDD (22%) (AWBA, Indirect)</t>
  </si>
  <si>
    <t xml:space="preserve">               Interstate (CAIDD 22%) (AWBA, Indirect)</t>
  </si>
  <si>
    <t xml:space="preserve">               CAIDD (45%) (AWBA, Indirect)</t>
  </si>
  <si>
    <t xml:space="preserve">               Interstate (CAIDD 45%) (AWBA, Indirect)</t>
  </si>
  <si>
    <t xml:space="preserve">               CAIDD (33%) (AWBA, Indirect)</t>
  </si>
  <si>
    <t xml:space="preserve">               Interstate (CAIDD 33%) (AWBA, Indirect)</t>
  </si>
  <si>
    <t xml:space="preserve">               GRIC GSF w/CAIDD (22%)</t>
  </si>
  <si>
    <t xml:space="preserve">               GRIC GSF w/CAIDD (45%)</t>
  </si>
  <si>
    <t xml:space="preserve">               GRIC GSF w/CAIDD (33%)</t>
  </si>
  <si>
    <t xml:space="preserve">               Active Recource Management (Vidler)</t>
  </si>
  <si>
    <t xml:space="preserve">               Chandler/SRPMIC Lease (SMRP)</t>
  </si>
  <si>
    <t>Updatd 2012 Water Deliveries.</t>
  </si>
  <si>
    <t>JAN</t>
  </si>
  <si>
    <t>Number of days</t>
  </si>
  <si>
    <t xml:space="preserve">               El Mirage (HMRP)</t>
  </si>
  <si>
    <t xml:space="preserve">               thru AFRP (CAGRD)</t>
  </si>
  <si>
    <t xml:space="preserve">               thru HMRP (CAGRD)</t>
  </si>
  <si>
    <t xml:space="preserve">               Tempe/Assignment (CSIF)</t>
  </si>
  <si>
    <t xml:space="preserve">               Tempe/SRPMIC Lease (CSIF)</t>
  </si>
  <si>
    <t xml:space="preserve">               Tempe/Welton-Mohawk (CSIF)</t>
  </si>
  <si>
    <t>Updated 2013 AOP, Lake Pleasant OPS and Final Delivery Schedules including SRP Exchange Volumes.</t>
  </si>
  <si>
    <r>
      <t xml:space="preserve">Added 22 af to GRIC at SRP GSF for unused Chandler Exchange  </t>
    </r>
    <r>
      <rPr>
        <b/>
        <sz val="12"/>
        <rFont val="Helv"/>
      </rPr>
      <t>This is the final plan for 2013</t>
    </r>
    <r>
      <rPr>
        <sz val="12"/>
        <rFont val="Helv"/>
      </rPr>
      <t xml:space="preserve"> </t>
    </r>
  </si>
  <si>
    <t>2) Waddell generation ends when lake elevation drops below elevation 1640.</t>
  </si>
  <si>
    <t xml:space="preserve">moved 2000 af Tucson Water at CAVSARP to PMR (2012) </t>
  </si>
  <si>
    <t>Moved 4000 af of AWBA water from CMID to PMR (2013)</t>
  </si>
  <si>
    <t>moved 500 af of AWBA from AVRA Valley to PMR</t>
  </si>
  <si>
    <t>(NE)* per WAPA 12/15/2012</t>
  </si>
  <si>
    <t>moved 3600 af of AWBA from NMIDD to TDRP (already delivered)</t>
  </si>
  <si>
    <t>Revised KW/AF Power numbers for BRD, PIC, TWP, SAN, BRW, SXV, SND, BLK</t>
  </si>
  <si>
    <t>2012 moved additonal 100 af from Avra Valley to PMR for AWBA,  Moved 2000 af from QCID to TDR (OD) for AWBA</t>
  </si>
  <si>
    <t>2012 Moved 242 AF from CMID to LSC for AWBA</t>
  </si>
  <si>
    <t xml:space="preserve">               Chandler/Welton-Mohawk @ RWCD</t>
  </si>
  <si>
    <t>2012 Updated Water Deliveries for October and November.  Updated Lake Pleasant Ops and Roosevelt Account</t>
  </si>
  <si>
    <t xml:space="preserve">               Rio Verde Utilities Company (CSIF)</t>
  </si>
  <si>
    <t>aid</t>
  </si>
  <si>
    <t>(Deliveries are actuals for 2012)</t>
  </si>
  <si>
    <t>Revised:  1/22/2013</t>
  </si>
  <si>
    <t>Updated 2012 water deliveries.  Lake Pleasant Data, Cavsarp Recovery Data and SRP Exchange.  This should represent the final data for 2012</t>
  </si>
  <si>
    <t xml:space="preserve">               WUCFD (Apache Junction)</t>
  </si>
  <si>
    <t>MES + Pump</t>
  </si>
  <si>
    <t>Pumps</t>
  </si>
  <si>
    <t xml:space="preserve">               WUCFD (Apache Junction) - SMRP</t>
  </si>
  <si>
    <t xml:space="preserve">               Arizona Water Co. (Superstition)</t>
  </si>
  <si>
    <t>CCR/SCO</t>
  </si>
  <si>
    <t>Updated January and February 2013 Water Deliveries</t>
  </si>
  <si>
    <t>Worked on 2014 2015 forecast and Recharge Schedules</t>
  </si>
  <si>
    <t>Updated CAGRD Schedule TID AFR HMR</t>
  </si>
  <si>
    <t>CAWCD Water Control Department</t>
  </si>
  <si>
    <t>(CFS)</t>
  </si>
  <si>
    <t xml:space="preserve">     CAP Pumping Plants - Daily "Average"  Power Schedule</t>
  </si>
  <si>
    <t>WAD (P)</t>
  </si>
  <si>
    <t>WAD (G)</t>
  </si>
  <si>
    <t>Weekdays</t>
  </si>
  <si>
    <t>Sundays</t>
  </si>
  <si>
    <t>ONPK</t>
  </si>
  <si>
    <t>OFPK</t>
  </si>
  <si>
    <t xml:space="preserve">     Mark Wilmer PP Detailed Daily "Average"  Power Schedule</t>
  </si>
  <si>
    <t>HAV*</t>
  </si>
  <si>
    <t>* Sundays considered OFPK MW For entire day (24hrs)</t>
  </si>
  <si>
    <t>Days*</t>
  </si>
  <si>
    <t>* Excluding Sundays</t>
  </si>
  <si>
    <t>MWH TOT</t>
  </si>
  <si>
    <t>Days**</t>
  </si>
  <si>
    <t>**Number of Sundays in Given Month</t>
  </si>
  <si>
    <t># Units</t>
  </si>
  <si>
    <t>MWH</t>
  </si>
  <si>
    <t>Day Total</t>
  </si>
  <si>
    <t>Monthly</t>
  </si>
  <si>
    <t xml:space="preserve">Monthly </t>
  </si>
  <si>
    <t>Variance**</t>
  </si>
  <si>
    <t>Represents Monthly Variance against water projection total</t>
  </si>
  <si>
    <t>Completed monthly updates for March/  Added new version with revised power forecast tables (still work in progress)</t>
  </si>
  <si>
    <t>OFPK tot</t>
  </si>
  <si>
    <t>ONPK tot</t>
  </si>
  <si>
    <r>
      <t xml:space="preserve">     Indirect AWBA</t>
    </r>
    <r>
      <rPr>
        <b/>
        <vertAlign val="superscript"/>
        <sz val="12"/>
        <rFont val="Helv"/>
      </rPr>
      <t>2</t>
    </r>
  </si>
  <si>
    <t>2  The AWBA South Side Replenishment Bank is included in this summation.  The bank offsets groundwater pumped by NIA conractors on zones near the Gila Indian Reservation.  AWBA is required to replenish up to 15,000 af total 1,000 af annually</t>
  </si>
  <si>
    <t>NGS</t>
  </si>
  <si>
    <t>Parker/Davis</t>
  </si>
  <si>
    <t>Intertie</t>
  </si>
  <si>
    <t>pump</t>
  </si>
  <si>
    <t>Typical Day</t>
  </si>
  <si>
    <t>Num Days</t>
  </si>
  <si>
    <t>Sunday</t>
  </si>
  <si>
    <t>SUPER-PEAK</t>
  </si>
  <si>
    <t>SUPER PEAK</t>
  </si>
  <si>
    <t>n/a</t>
  </si>
  <si>
    <t>Energy Use Rate (kWh/AF)</t>
  </si>
  <si>
    <t>(Acre-Feet)</t>
  </si>
  <si>
    <t>(Megawatt Hours - MWh)</t>
  </si>
  <si>
    <t xml:space="preserve">PRINTED:  </t>
  </si>
  <si>
    <t>Monthly Projection of CAP Energy Resources (MWh)</t>
  </si>
  <si>
    <t>CAP Energy Transmission Losses</t>
  </si>
  <si>
    <t>CAP Energy Transmission Losses (Financial Reconcilation)</t>
  </si>
  <si>
    <t>SUPER PEAK tot</t>
  </si>
  <si>
    <t>Navajo Reserve</t>
  </si>
  <si>
    <t>Other Resources</t>
  </si>
  <si>
    <t>Completed Monthly Updates for April-May</t>
  </si>
  <si>
    <t>Updated 2014 2015 Projections</t>
  </si>
  <si>
    <t>Updated water schedules for water turned back 2000 af from phoenix, 10000 af from GRIC, 321 af from buckeye</t>
  </si>
  <si>
    <t>Note Hoover #'s acutals through April 2013, data taken from DOE letter May 20,2013</t>
  </si>
  <si>
    <t>Monthly Updates from June (2nd Quarter complete)</t>
  </si>
  <si>
    <t>Updated Schedules for AWBA, CAGRD, Chandler, Mesa</t>
  </si>
  <si>
    <t>Monthly Updates from July completed</t>
  </si>
  <si>
    <t>Updated AWBA sched moved 500 af from LSC to SAVSARP</t>
  </si>
  <si>
    <t xml:space="preserve">               Pascua Yaqui Ak-Chin Lease</t>
  </si>
  <si>
    <t xml:space="preserve">               CAIDD (AWBA, Indirect)</t>
  </si>
  <si>
    <t xml:space="preserve">               GRIC GSF w/CAIDD (50%)</t>
  </si>
  <si>
    <t xml:space="preserve">               GRIC/MWD</t>
  </si>
  <si>
    <t xml:space="preserve">               GRIC/SRP (CSIF)</t>
  </si>
  <si>
    <t xml:space="preserve">               Gilbert/Assignment (CSIF)</t>
  </si>
  <si>
    <t xml:space="preserve">               Gilbert/SRPMIC Lease (CGT)</t>
  </si>
  <si>
    <t xml:space="preserve">               Gilbert/SCAT Lease (CSIF)</t>
  </si>
  <si>
    <t xml:space="preserve">               GRIC Lease (FRPT MCMRN) w/RWCD</t>
  </si>
  <si>
    <t xml:space="preserve">               Tonto Hills DWID GSF w/RWCD</t>
  </si>
  <si>
    <t>Added 2014 Water Schedules</t>
  </si>
  <si>
    <t xml:space="preserve">               Peoria/GRIC Lease (MWD, Quintero, P2 pump)</t>
  </si>
  <si>
    <t xml:space="preserve">               Scottsdale TDRP</t>
  </si>
  <si>
    <t xml:space="preserve">               Tonoto Apache (CSIF)</t>
  </si>
  <si>
    <t>Moved 250 af for Metro from AVRP to LSC</t>
  </si>
  <si>
    <t>for 2013 Removed 60 af 299 af 1776 from H20 chaparral and Glendale (2135 af) added 230 CAGRD RR @PMR 300 BOR @RWCD 1605 AWBA at AFR (2135)</t>
  </si>
  <si>
    <t xml:space="preserve">               Red Mt Ranch/OA</t>
  </si>
  <si>
    <t>Updated August and Sept 2013 deliveries</t>
  </si>
  <si>
    <t xml:space="preserve">               GRIC SMRP</t>
  </si>
  <si>
    <t xml:space="preserve">               Goodyear, Town of (SMRP)</t>
  </si>
  <si>
    <t>Worked on 2014 Schedules</t>
  </si>
  <si>
    <t>Revised:  11/25/13</t>
  </si>
  <si>
    <t>Updated October 2013 Deliveres made projections through end of year.</t>
  </si>
  <si>
    <t xml:space="preserve">     Salt River Project XS</t>
  </si>
  <si>
    <t xml:space="preserve">               GRIC exchange w/Chandler @ CGT</t>
  </si>
  <si>
    <t>Updated Recharge projections at SMRP</t>
  </si>
  <si>
    <t xml:space="preserve">               San Carlos IDD/Excess</t>
  </si>
  <si>
    <t>(Deliveries are actuals)</t>
  </si>
  <si>
    <t>Updated Actual deliveries through end of year, updated Lake Pleasant Forecast and Power projections.</t>
  </si>
  <si>
    <t>(NE)* per WAPA 12/4/2013</t>
  </si>
  <si>
    <t xml:space="preserve">               Chandler/Assignment (CSIF)</t>
  </si>
  <si>
    <t xml:space="preserve">               Chandler/Assignment -CGT</t>
  </si>
  <si>
    <t xml:space="preserve">               Chandler, City of (CSIF)</t>
  </si>
  <si>
    <t>Updated Actual deliveries through February, updated Lake Pleasant and Power Projections.</t>
  </si>
  <si>
    <t>Moved 1000 af for ORO from LSC to PMR</t>
  </si>
  <si>
    <t>Monthly updates March/April</t>
  </si>
  <si>
    <t xml:space="preserve">               TGV Investments/Fondomonte</t>
  </si>
  <si>
    <t>Monthly updates for May June, New Lake Pleasant Forecast</t>
  </si>
  <si>
    <t>Monly updates for July, Changed 2015 to reflect Waddell Canal Outage in Feb</t>
  </si>
  <si>
    <t>Moved 1435 from TID to HMR for CAGRD</t>
  </si>
  <si>
    <t>moved 2500 AF from CSIF/CGT to TDRP for Gilbert</t>
  </si>
  <si>
    <r>
      <t xml:space="preserve">           </t>
    </r>
    <r>
      <rPr>
        <sz val="12"/>
        <rFont val="Helv"/>
      </rPr>
      <t>Arizona Water Co.  (Coolidge) W/CAIDD</t>
    </r>
  </si>
  <si>
    <t xml:space="preserve">               Arizona Water Co. (Casa Grande) w/ CAIDD</t>
  </si>
  <si>
    <t xml:space="preserve">               GRIC GSF w/CAIDD </t>
  </si>
  <si>
    <t xml:space="preserve">               Chandler/SRPMIC Lease (CSIF)</t>
  </si>
  <si>
    <t>added turnback of 7542 AWBA and 907 CAGRD (turned back from various sources)</t>
  </si>
  <si>
    <t xml:space="preserve">               Gilbert/Fort McDowell w/NMIDD</t>
  </si>
  <si>
    <t xml:space="preserve">               Phoenix/AVRP</t>
  </si>
  <si>
    <t xml:space="preserve">               Arizona Water Co. (Casa Grande) w/MSIDD</t>
  </si>
  <si>
    <t xml:space="preserve">               Glendale w/MWD</t>
  </si>
  <si>
    <t xml:space="preserve">               Glendale w/SRP (CSIF)</t>
  </si>
  <si>
    <t>CSIF</t>
  </si>
  <si>
    <t xml:space="preserve">               Glendale (HMRP)</t>
  </si>
  <si>
    <t xml:space="preserve">               CAGRD (MWD)</t>
  </si>
  <si>
    <t xml:space="preserve">               Peoria/GRIC Lease (Quintero)</t>
  </si>
  <si>
    <t xml:space="preserve">               Peoria/GRIC Lease (P2 pump)</t>
  </si>
  <si>
    <t xml:space="preserve">               Peoria/GRIC Lease (MWD)</t>
  </si>
  <si>
    <t xml:space="preserve">               Phoenix/SAVSARP</t>
  </si>
  <si>
    <t xml:space="preserve">               WUCFD (Apache Junction) w/RWCD</t>
  </si>
  <si>
    <t xml:space="preserve">               Scottsdale, City of (some CSIF)</t>
  </si>
  <si>
    <t xml:space="preserve">               Phoenix, City of (some CSIF)</t>
  </si>
  <si>
    <t xml:space="preserve">               Spanish Trail/PMR</t>
  </si>
  <si>
    <t xml:space="preserve">              Goodyear/GRIC Lease (HMRP)</t>
  </si>
  <si>
    <t xml:space="preserve">              Goodyear/GRIC Lease (AFRP)</t>
  </si>
  <si>
    <t>Updated Aug and Septembr 2014 deliveries</t>
  </si>
  <si>
    <t xml:space="preserve">         AG Pool Forbearance Program</t>
  </si>
  <si>
    <t xml:space="preserve">               Avondale (CSIF)</t>
  </si>
  <si>
    <t>Took 5000 af out of Phoenix for system conservation.</t>
  </si>
  <si>
    <t>(Deliveries are actuals through September, and projections for the remainder of the year)</t>
  </si>
  <si>
    <t>Updated Leads River Forecast, Adjusted Phoenix delivieries to reflect Systerm Conservation from Customer Turnback</t>
  </si>
  <si>
    <t>Updated re-directs and turnback to AWBA and CAGRD</t>
  </si>
  <si>
    <t xml:space="preserve">               AFRP (AWBA, Direct)</t>
  </si>
  <si>
    <t xml:space="preserve">               HMRP (AWBA, Direct)</t>
  </si>
  <si>
    <t xml:space="preserve">               WUCFD (Apache Junction) w/SRP (CSIF)</t>
  </si>
  <si>
    <t>2  The AWBA South Side Replenishment Bank is included in this summation.  The bank offsets groundwater pumped by NIA conractors on zones near the Gila Indian Reservation.  AWBA is required to replenish up to 15,000 acre-feet</t>
  </si>
  <si>
    <t xml:space="preserve">               Interstate Banking (AFRP) (AWBA, Direct)</t>
  </si>
  <si>
    <t>CAIDD AG Pool Split</t>
  </si>
  <si>
    <t>CAIDD TO</t>
  </si>
  <si>
    <t>%</t>
  </si>
  <si>
    <t>AG Pool</t>
  </si>
  <si>
    <t xml:space="preserve">               Vail/SAVSARP</t>
  </si>
  <si>
    <t>Water Delivery Summary Table</t>
  </si>
  <si>
    <t>Colorado River Diversions</t>
  </si>
  <si>
    <t>Monthly Energy</t>
  </si>
  <si>
    <t>(NE)* per WAPA 12/10/2014</t>
  </si>
  <si>
    <t>x</t>
  </si>
  <si>
    <t xml:space="preserve">               GRUSP (AWBA, Direct) (CSIF)</t>
  </si>
  <si>
    <t xml:space="preserve">               Phoenix/Welton-Mohawk (some CSIF)</t>
  </si>
  <si>
    <t xml:space="preserve">               Phoenix/GRIC Lease (some CSIF)</t>
  </si>
  <si>
    <t xml:space="preserve">               Scottsdale/GRIC Lease (some CSIF)</t>
  </si>
  <si>
    <t xml:space="preserve">               Tonto Apache (CSIF)</t>
  </si>
  <si>
    <t>Revised:  2/10/2015</t>
  </si>
  <si>
    <t>Added final water deliveries for 2014</t>
  </si>
  <si>
    <t>Adjusted CRO diversions to match estimated River Forebearance Volumes</t>
  </si>
  <si>
    <t xml:space="preserve">               Scottsdale/SCAT Lease (some CSIF)</t>
  </si>
  <si>
    <t>GLE/MWD</t>
  </si>
  <si>
    <t xml:space="preserve">               GRIC exchange w/APS @ CGE</t>
  </si>
  <si>
    <t>Accounts Estimated see Waddell Accounting for Acutals</t>
  </si>
  <si>
    <t>2015 target</t>
  </si>
  <si>
    <t>Updated Q1 Deliveries, Lake Pleasant Forecast, Transmission Losses, Annuall Pump and Release from Waddell to Reflect super-peak load shed at Havasu</t>
  </si>
  <si>
    <t>EOM Elevatoins</t>
  </si>
  <si>
    <t xml:space="preserve">               GRIC Lease  WUCFD (Apache Junction)</t>
  </si>
  <si>
    <t xml:space="preserve">               CAGRD (QCID)</t>
  </si>
  <si>
    <t>Created Draft 2016 and 2017 forecasts for 2016 2017 budget.  Actual file contains a shortage year for 2017.  A separate file titled 2016-2017 Budget…. Has an identical 2016 and a normal 2017.</t>
  </si>
  <si>
    <t>Updated WY 2016 Hoover Energy estimates from WAPA, made own estimates for 2017.</t>
  </si>
  <si>
    <t>NGS/McC TX</t>
  </si>
  <si>
    <t>NSTS</t>
  </si>
  <si>
    <t xml:space="preserve">               Chandler/SRPMIC Lease @ CGT</t>
  </si>
  <si>
    <t xml:space="preserve">               Chandler/SRPMIC Lease @SMRP</t>
  </si>
  <si>
    <t>2015 Q2 water delivery forecast, updated 2015 deliveries and Lake Pleasant Operations.</t>
  </si>
  <si>
    <t xml:space="preserve">               Arizona Water Co. (Superstition) w/RWCD</t>
  </si>
  <si>
    <t xml:space="preserve">               Arizona Water Co. (White Tank) w/MWD</t>
  </si>
  <si>
    <t xml:space="preserve">               Marana/BKW</t>
  </si>
  <si>
    <t xml:space="preserve">               Chandler/Assignment -SMRP</t>
  </si>
  <si>
    <t xml:space="preserve">               Goodyear/GRIC Lease (HMRP)</t>
  </si>
  <si>
    <t xml:space="preserve">               Goodyear/GRIC Lease (AFRP)</t>
  </si>
  <si>
    <t xml:space="preserve">               Freeport-McMoRan/GRIC Lease w/SRP (CSIF)</t>
  </si>
  <si>
    <t xml:space="preserve">               GRIC Lease (Freeport-McMoRan) w/RWCD</t>
  </si>
  <si>
    <t xml:space="preserve">               SCAT - SRP (Freeport-McMoRan) CSIF</t>
  </si>
  <si>
    <t xml:space="preserve">               Glendale/SRPMIC Lease (HMRP)</t>
  </si>
  <si>
    <t xml:space="preserve">               Surprise (MWD)</t>
  </si>
  <si>
    <t xml:space="preserve">               LSM Golf, LLC (Mesa)</t>
  </si>
  <si>
    <t xml:space="preserve">               Red Mt Ranch Country Club (Mesa)</t>
  </si>
  <si>
    <t xml:space="preserve">               Viewpoint RV &amp; Golf Resort (Mesa)</t>
  </si>
  <si>
    <t xml:space="preserve">               Phoenix, City of (CSIF)</t>
  </si>
  <si>
    <t xml:space="preserve">               Scottsdale (SMRP)</t>
  </si>
  <si>
    <t xml:space="preserve">               Scottsdale/SCAT Lease (SMRP)</t>
  </si>
  <si>
    <t xml:space="preserve">               Scottsdale, City of (CSIF)</t>
  </si>
  <si>
    <t xml:space="preserve">               Ak-Chin/Pulte (CSIF)</t>
  </si>
  <si>
    <t xml:space="preserve">               Metro/SAVSARP</t>
  </si>
  <si>
    <t xml:space="preserve">               Arizona Water Co. (Casa Grande) w/Hohokam</t>
  </si>
  <si>
    <t xml:space="preserve">               Arizona Water Co. (Coolidge) w/Hohokam</t>
  </si>
  <si>
    <t>2012</t>
  </si>
  <si>
    <t xml:space="preserve">               Chandler/Assignment - SMRP</t>
  </si>
  <si>
    <t>Updated 2015 3rd quarter actuals and budget forecast thru end of 2015; entered schedules for 2016 AOP.</t>
  </si>
  <si>
    <t>For 2015, moved 5000 AF for GRIC/SS Replishment Bank/AWBA from AWBA Indirect Recharge subcategory to M&amp;I Non-Subcontract subcategory to match water delivery accounting at the request of Gary Given.</t>
  </si>
  <si>
    <t>Adjusted Ag pool and CAGRD deliveries according to revised schedules for 2016.</t>
  </si>
  <si>
    <t xml:space="preserve">               Ak-Chin/Pulte/HMRP</t>
  </si>
  <si>
    <t xml:space="preserve">               Scottsdale/GRIC Lease (SMRP)</t>
  </si>
  <si>
    <t xml:space="preserve">               SRP GSF (AWBA, Indirect) (CSIF)</t>
  </si>
  <si>
    <t>Schedule changes for AWBA and SRP Ag Pool water.</t>
  </si>
  <si>
    <t xml:space="preserve">         AG Pool Forebearance Program</t>
  </si>
  <si>
    <t>Update Lake Pleasant Operations, incorporating Ag Pool Forbearance 2 water.</t>
  </si>
  <si>
    <t>Removed anticipated Forbearance 2 and Forbearanace 3 water from schedules and operated Lake Pleasant</t>
  </si>
  <si>
    <t>Updated transmission losses for NGS from 1.4% to 1.7%</t>
  </si>
  <si>
    <t xml:space="preserve">               Scottsdale/SCAT Lease (CSIF)</t>
  </si>
  <si>
    <t xml:space="preserve">               Scottsdale/GRIC Lease (CSIF)</t>
  </si>
  <si>
    <t>Shifted 2500 AF from SMR to SRP (CSIF) for Scottsdale and operated Lake Pleasant</t>
  </si>
  <si>
    <t>2016 target</t>
  </si>
  <si>
    <t>Cum %</t>
  </si>
  <si>
    <t>Use in River Shaper for each month</t>
  </si>
  <si>
    <t>Shifted SRP GSF deliveries according to new schedule provided by SRP and operated Lake Pleasant</t>
  </si>
  <si>
    <t>Shifted 3339 AF for Pulte/Del Webb (Ak-Chin Lease) according to SRP GSF schedule and operated Lake Pleasant</t>
  </si>
  <si>
    <t>Tweaked Lake Pleasant Ops for 2,200 cfs diversion during 4th quarter 2016</t>
  </si>
  <si>
    <t>Entered actuals for Oct 2015</t>
  </si>
  <si>
    <t xml:space="preserve">               Ak-Chin/Pulte/WMC</t>
  </si>
  <si>
    <t>Entered acutals for Nov 2015</t>
  </si>
  <si>
    <t>LPD/MGS</t>
  </si>
  <si>
    <t>Patrick and Marcus Adjusted Navajo Reserve to reflect changes in Havasu Trashrake installation schedule</t>
  </si>
  <si>
    <t>Moved 16,215 AF from TDR/AWBA in 2016 4th quarter to Lake Pleasant Pumping because there is no capacity avail for AWBA to take the water.</t>
  </si>
  <si>
    <t xml:space="preserve">               Community Water Co.</t>
  </si>
  <si>
    <t xml:space="preserve">               CAGRD/MWD</t>
  </si>
  <si>
    <t>Shifted water in 2017 from Ag Pool (Forbearance in Phoenix AMA) to AWBA, BOR, CAGRD.</t>
  </si>
  <si>
    <t>2017 target</t>
  </si>
  <si>
    <t>Shifted water in 2018 from Ag Pool (Forbearance in Phoenix AMA) to AWBA, BOR, CAGRD.</t>
  </si>
  <si>
    <t>Adjusted AWBA water in 2017 and 2018 and reoperated Lake Pleasant.</t>
  </si>
  <si>
    <t>Shifted monthly recharge deliveries and operated Lake Pleasant in 2018</t>
  </si>
  <si>
    <t>Added 3,000 AF of Replenishment obligation water for CAGRD in 2018 and shifted CAGRD M&amp;I subcontract water around to HMR, AFR, QCID.</t>
  </si>
  <si>
    <t>Shifted 6,649 AF of CAGRD M&amp;I water from MWD to requested facilities (HMRP, AFRP, QCID) and operated Lake Pleasant</t>
  </si>
  <si>
    <t>Added 2017, 2018 energy based on river shaper. See AOP folder for details.</t>
  </si>
  <si>
    <t>Updated Lake Pleasant Ops to provide 2016 low elev estimate for Hussen summer ops letter to customers.</t>
  </si>
  <si>
    <t xml:space="preserve">               Ak-Chin/LSC</t>
  </si>
  <si>
    <t>(Deliveries are actuals through Dec 2015, and projections for the remainder of the year)</t>
  </si>
  <si>
    <t>Entered actuals for Dec 2015.</t>
  </si>
  <si>
    <t>Revised:  5/2/2016</t>
  </si>
  <si>
    <t xml:space="preserve">               Gilbert/Welton-Mohawk @ QCID</t>
  </si>
  <si>
    <t>Entered actuals for Jan-Mar 2016.</t>
  </si>
  <si>
    <t>Outage /</t>
  </si>
  <si>
    <t>Curtailment</t>
  </si>
  <si>
    <t>Added curtailment columns for power calculations.</t>
  </si>
  <si>
    <t>Incorporated some Apr 2016 actuals and operated Lake Pleasant.</t>
  </si>
  <si>
    <t>(NE)* per WAPA</t>
  </si>
  <si>
    <t>Net</t>
  </si>
  <si>
    <t>Adjusted curtailment columns for power calculations.</t>
  </si>
  <si>
    <t>Redirected 2,800 AF from Ak-Chin on-res use to SRP GSF for Del Webb lease. Additional 168 AF removed from Ak-Chin on-res use to account for 6% losses. Total deliveries = 1,465,984 - 168 = 1,465,816</t>
  </si>
  <si>
    <t>Entered Waddell pump/release actuals for Apr 2016 and estimates for May 2016 and tuned lake to actual end of month elevations. Operated lake to send out lake elevation forecast.</t>
  </si>
  <si>
    <t>Moved 10,000 AF of AWBA water from SRP GSF to GRUSP.</t>
  </si>
  <si>
    <t>2016</t>
  </si>
  <si>
    <t>2017</t>
  </si>
  <si>
    <t>2018</t>
  </si>
  <si>
    <t>2015</t>
  </si>
  <si>
    <t>Entered actuals for Apr-Jun 2016.</t>
  </si>
  <si>
    <t>Incorporated forbearance water (~9,800 AF for Tohono O'odham, 10,000 AF for GRIC), anticipated turnback of 40,000 AF (35,000 AF for GRIC and 5,000 AF for M&amp;I), and 20,000 AF to Roosevelt account.</t>
  </si>
  <si>
    <t>Operated Lake Pleasant.</t>
  </si>
  <si>
    <t>Entered LP actual operations data for Jul and Aug and operated Lake Pleasant.</t>
  </si>
  <si>
    <t xml:space="preserve">               Florence - Tonopah ID</t>
  </si>
  <si>
    <t xml:space="preserve">               Surprise (NMIDD)</t>
  </si>
  <si>
    <t xml:space="preserve">               Miami - SRP (Freeport-McMoRan) CSIF</t>
  </si>
  <si>
    <t xml:space="preserve">               Ak-Chin/Pulte/Sky Crossing</t>
  </si>
  <si>
    <t xml:space="preserve">               Phoenix/GRIC Lease (CSIF)</t>
  </si>
  <si>
    <t xml:space="preserve">               GRIC/SRP GRSP</t>
  </si>
  <si>
    <t xml:space="preserve">               Scottsdale/Yavapai-Prescott (CSIF)</t>
  </si>
  <si>
    <t xml:space="preserve">               ASARCO w/ RWCD GSF</t>
  </si>
  <si>
    <t xml:space="preserve">               Surprise thru NMIDD</t>
  </si>
  <si>
    <t xml:space="preserve">               Gilbert/SCAT GSF @ RWCD</t>
  </si>
  <si>
    <t xml:space="preserve">               Gilbert/FMYN @ QCID</t>
  </si>
  <si>
    <t xml:space="preserve">               Eloy, City of (Thru CAIDD) GSF</t>
  </si>
  <si>
    <t xml:space="preserve">               Tucson/Kai Farms</t>
  </si>
  <si>
    <t>Entered actual deliveries Jul-Sep 2016. Operated Lake Pleasant. Removed 20,000 AF to Roosevelt account.</t>
  </si>
  <si>
    <t>Entered updated estimates for Oct 2016 Colorado River diversion and Waddell pumping, 3rd quarter CAVSARP recovery and Hoover actuals.</t>
  </si>
  <si>
    <t xml:space="preserve">               Eloy, City of Central Main</t>
  </si>
  <si>
    <t>Added 5,000 AF back to M&amp;I and 15,000 AF back to GRIC On-Res use for 2016 because anticipated turnback has not happened yet. Also added 20,000 AF back for GRIC anticipated turnback that was redirected to GSF partners (3,000 AF to RWCD, 7,000 AF to MSIDD, 10,000 AF to SRP)</t>
  </si>
  <si>
    <t xml:space="preserve">               Chandler, City of (NMIDD)</t>
  </si>
  <si>
    <t xml:space="preserve">               Chandler/Assignment -NMIDD</t>
  </si>
  <si>
    <t xml:space="preserve">               Gilbert/SCAT 1 Yr Lease @ NMIDD</t>
  </si>
  <si>
    <t xml:space="preserve">               Chandler/Welton-Mohawk @ NMIDD</t>
  </si>
  <si>
    <t xml:space="preserve">               Ak-Chin / RWCD</t>
  </si>
  <si>
    <t xml:space="preserve">               Gilbert/FMYN GRUSP @ SRP</t>
  </si>
  <si>
    <t xml:space="preserve">               GRIC Lease  WUCFD (Apache Junction) w/RWCD</t>
  </si>
  <si>
    <t xml:space="preserve">               Gilbert/SCAT GRUSP @ SRP (CSIF)</t>
  </si>
  <si>
    <t xml:space="preserve">               FMYN/Gilbert - TDRP</t>
  </si>
  <si>
    <t xml:space="preserve">               Gilbert/FMYN Lease (CSIF)</t>
  </si>
  <si>
    <t xml:space="preserve">               Phoenix/FMYN (CSIF)</t>
  </si>
  <si>
    <t xml:space="preserve">               FMYN - SRP (CSIF)</t>
  </si>
  <si>
    <t xml:space="preserve">               Gilbert/FMYN w/NMIDD</t>
  </si>
  <si>
    <t xml:space="preserve">               Gilbert/FMYN @ SMRP</t>
  </si>
  <si>
    <t xml:space="preserve">               Phoenix/FMYN</t>
  </si>
  <si>
    <t>Operated Lake Pleasant for 2017 - initial cut</t>
  </si>
  <si>
    <t>AMC/MGS/LPD</t>
  </si>
  <si>
    <t xml:space="preserve">               Phoenix (MAR5)</t>
  </si>
  <si>
    <t>Added 4,313 AF to Pinal County in 2017 for CMID Ag water to be redistributed and operated Lake Pleasant.</t>
  </si>
  <si>
    <t>Removed 4,313 in Pinal Countyin 2017 for CMID Ag water to be redistributed. This maintains total pool numbers for DCP planning. 4,313 AF will be handled later as a schedule change, if necessary.</t>
  </si>
  <si>
    <t>Updated Lake Pleasant and Colorado River Ops for Oct-Nov 2016 to fine tune year end projections.</t>
  </si>
  <si>
    <t>Shifted 1,250 AF of water for Goodyear scheduled at HMR in Jan to other months.</t>
  </si>
  <si>
    <t>Total Load</t>
  </si>
  <si>
    <t>OFFPK</t>
  </si>
  <si>
    <t>West Total</t>
  </si>
  <si>
    <t>South Total</t>
  </si>
  <si>
    <t>OFF PK</t>
  </si>
  <si>
    <t>Includes WAD SGL</t>
  </si>
  <si>
    <t>On Peak</t>
  </si>
  <si>
    <t>Off Peak</t>
  </si>
  <si>
    <t>Sept</t>
  </si>
  <si>
    <t xml:space="preserve">  </t>
  </si>
  <si>
    <t>feb</t>
  </si>
  <si>
    <t>Waddel</t>
  </si>
  <si>
    <t>Gen</t>
  </si>
  <si>
    <t>w/SGL</t>
  </si>
  <si>
    <t>WAD -PMP</t>
  </si>
  <si>
    <t>WAD - GEN</t>
  </si>
  <si>
    <t>South w/SGL</t>
  </si>
  <si>
    <t>West HAV - HSY</t>
  </si>
  <si>
    <t>Added Power load graphs for Energry discussions</t>
  </si>
  <si>
    <t>Moved file tabs, deleted old forecast tabs (thru 2016)</t>
  </si>
  <si>
    <t xml:space="preserve">               Ak-Chin/HMRP</t>
  </si>
  <si>
    <t>Enter 2016 Q4 actual deliveries.</t>
  </si>
  <si>
    <t>Note: Per LPD disabled super peak 1-30-2017</t>
  </si>
  <si>
    <t>Hours</t>
  </si>
  <si>
    <t>Weekday</t>
  </si>
  <si>
    <t xml:space="preserve">     Ag Excess</t>
  </si>
  <si>
    <t>(Deliveries are actuals through DEC, and projections for the remainder of the year)</t>
  </si>
  <si>
    <t>Revised:  2/23/2017</t>
  </si>
  <si>
    <t>Enter 2016 Q4 actual deliveries and operated Lake Pleasant. Updated Lake Pleasant operations in 2017 based on Jan and Feb data, including reducing Colorado River diversion by 40,000 AF for GRIC conservation. (Still need to reforecast scheduled Jan and Feb deliveries throughout the rest of year and remove 40,000 AF from GRIC deliveries for conservation.</t>
  </si>
  <si>
    <t>Removed 40,000 AF from GRIC per their amended schedule.</t>
  </si>
  <si>
    <t>Operated Lake Pleasant to match current Havasu diversion schedule.</t>
  </si>
  <si>
    <t>Added curtailment columns for power calculations to 2017 and 2018 worksheets.</t>
  </si>
  <si>
    <t>Entered Jan/Feb 2017 actual deliveries and began operating lake.</t>
  </si>
  <si>
    <t xml:space="preserve">               Ak-Chin/LSCRP</t>
  </si>
  <si>
    <t>Operated Lake Pleasant with Jan/Feb 2017 actuals.</t>
  </si>
  <si>
    <t xml:space="preserve">               Phoenix/SRPMIC Lease (CSIF)</t>
  </si>
  <si>
    <t xml:space="preserve">               Miami - Freeport-McMoRan (RWCD)</t>
  </si>
  <si>
    <t>Ag Pool Redistribution/Remarket (+/-)</t>
  </si>
  <si>
    <t xml:space="preserve">               Viewpoint RV &amp; Golf Resort (Mesa) / Assignment</t>
  </si>
  <si>
    <t xml:space="preserve">               Phoenix/SAVSARP Wellton-Mohawk</t>
  </si>
  <si>
    <t xml:space="preserve">               Phoenix/SAVSARP GRIC</t>
  </si>
  <si>
    <t xml:space="preserve">               Phoenix/SAVSARP FMYN</t>
  </si>
  <si>
    <t xml:space="preserve">               Phoenix/AVRP GRIC</t>
  </si>
  <si>
    <t xml:space="preserve">               Buckeye/Festival Rch</t>
  </si>
  <si>
    <t>CAGRD M&amp;I</t>
  </si>
  <si>
    <t>CAGRD RO</t>
  </si>
  <si>
    <t>Updated Waddell, Havasu actuals through May 2017. Used M&amp;I line to show actual deliveries through May 2017. Operated Lake Pleasant for 2017. Water classes are not accurate, but Lake Pleasant Ops should be.</t>
  </si>
  <si>
    <t xml:space="preserve">               Unknown SCAT Water (tbd)</t>
  </si>
  <si>
    <t>AMC/LPD</t>
  </si>
  <si>
    <t>Input Hoover energy estimate for 2018 and 2019. Operated Lake Pleasant for 2018 and 2019.</t>
  </si>
  <si>
    <t xml:space="preserve">               Phoenix/GRIC Lease/AVRP</t>
  </si>
  <si>
    <t xml:space="preserve">               Phoenix/GRIC Lease/SAVSARP</t>
  </si>
  <si>
    <t xml:space="preserve">               Gilbert/Welton-Mohawk (AFRP)</t>
  </si>
  <si>
    <t xml:space="preserve">               Tucson/BKW (GSF) thru LSC turnout</t>
  </si>
  <si>
    <t>Input 2017 Q2 actuals, CAVSARP recovery, Hoover actuals, Waddell operations, and operated Lake Pleasant for remainder of 2017; removed 10,080 AF for Tohono O'odham conversations and 40,000 AF for additional GRIC conservation.</t>
  </si>
  <si>
    <t>Small changes to Q1 2018 Lake Pleasant pumping</t>
  </si>
  <si>
    <t xml:space="preserve">               Interstate (NMIDD)  (AWBA, Indirect)</t>
  </si>
  <si>
    <t xml:space="preserve">               Interstate (QCID) (AWBA, Indirect)</t>
  </si>
  <si>
    <t xml:space="preserve">               Interstate (CMID) (AWBA, Indirect)</t>
  </si>
  <si>
    <t xml:space="preserve">               Interstate (Kai Farms) (AWBA, Indirect)</t>
  </si>
  <si>
    <t xml:space="preserve">               Chandler/SRPMIC Lease @ CGT TPs</t>
  </si>
  <si>
    <t xml:space="preserve">               BOR/CMID</t>
  </si>
  <si>
    <t xml:space="preserve">               Ak-Chin/CMID</t>
  </si>
  <si>
    <t>Operated lake to match 2018 water order to BOR.</t>
  </si>
  <si>
    <t>Operated lake with 2017 Q3 Lake Pleasant actuals, using temporary M&amp;I delivery line to show total actual deliveries.</t>
  </si>
  <si>
    <t xml:space="preserve">               Freeport McMoRan/SCAT 1 Yr Lease w/MSIDD</t>
  </si>
  <si>
    <t xml:space="preserve">               Phoenix/AVRP SRPMIC</t>
  </si>
  <si>
    <t xml:space="preserve">               Interstate (Tonopah ID, AWBA, Indirect)</t>
  </si>
  <si>
    <t xml:space="preserve">               Tonopah ID (AWBA, Indirect)</t>
  </si>
  <si>
    <t xml:space="preserve">               Arizona Water Co. (Casa Grande) w/ Pinal Valley USF</t>
  </si>
  <si>
    <t xml:space="preserve">               Miami - Freeport-McMoRan (CAIDD)</t>
  </si>
  <si>
    <t xml:space="preserve">               CAGRD M&amp;I (Tonopah ID)</t>
  </si>
  <si>
    <t xml:space="preserve">               TDRP (CAGRD RO)</t>
  </si>
  <si>
    <t xml:space="preserve">               Tonopah ID (CAGRD RO)</t>
  </si>
  <si>
    <t xml:space="preserve">               CAGRD RR (TDRP)</t>
  </si>
  <si>
    <t xml:space="preserve">               CAGRD RR/Tonopah ID</t>
  </si>
  <si>
    <t xml:space="preserve">     CAGRD RO</t>
  </si>
  <si>
    <t xml:space="preserve">               CAGRD M&amp;I (AFRP)</t>
  </si>
  <si>
    <t xml:space="preserve">               CAGRD M&amp;I (HMRP)</t>
  </si>
  <si>
    <t xml:space="preserve">               CAGRD M&amp;I (MWD)</t>
  </si>
  <si>
    <t xml:space="preserve">               thru AFRP (CAGRD RO)</t>
  </si>
  <si>
    <t xml:space="preserve">               thru HMRP (CAGRD RO)</t>
  </si>
  <si>
    <t xml:space="preserve">               thru Scottsdale (CAGRD RO)</t>
  </si>
  <si>
    <t xml:space="preserve">               CAGRD RR (AFRP)</t>
  </si>
  <si>
    <t xml:space="preserve">               CAGRD RR (HMRP)</t>
  </si>
  <si>
    <t xml:space="preserve">               CAGRD RR/MWD</t>
  </si>
  <si>
    <t xml:space="preserve">               CAGRD M&amp;I (QCID)</t>
  </si>
  <si>
    <t xml:space="preserve">               thru MSIDD (CAGRD RO)</t>
  </si>
  <si>
    <t xml:space="preserve">               thru NMIDD (CAGRD RO)</t>
  </si>
  <si>
    <t xml:space="preserve">               thru QCID (CAGRD RO)</t>
  </si>
  <si>
    <t xml:space="preserve">               thru SMRP (CAGRD RO)</t>
  </si>
  <si>
    <t xml:space="preserve">               CAGRD RR (SMRP)</t>
  </si>
  <si>
    <t xml:space="preserve">               CAGRD RR/QCID</t>
  </si>
  <si>
    <t xml:space="preserve">               CAGRD RR/NMIDD</t>
  </si>
  <si>
    <t xml:space="preserve">               CAGRD RR/Kai Farms</t>
  </si>
  <si>
    <t xml:space="preserve">               CAGRD RO/LSCRP</t>
  </si>
  <si>
    <t xml:space="preserve">               CAGRD RR/LSCRP</t>
  </si>
  <si>
    <t xml:space="preserve">               CAGRD RO/PMR</t>
  </si>
  <si>
    <t xml:space="preserve">               CAGRD RR/PMR</t>
  </si>
  <si>
    <t xml:space="preserve">               CAGRD M&amp;I thru NMIDD</t>
  </si>
  <si>
    <t>Operated lake in 2018 with 1,466,644 AF of deliveries and 1,501,391 diversion.</t>
  </si>
  <si>
    <t>Operated lake in 2018 with 1,485,159 AF of deliveries and 1,516,625 diversion. Also, increased 2019 diversion by 21,000 AF.</t>
  </si>
  <si>
    <t xml:space="preserve">               Chandler, City of (AFRP)</t>
  </si>
  <si>
    <t>Input 2017 Q3 actuals, CAVSARP recovery, Hoover actuals thru Aug, Waddell operations, and operated Lake Pleasant for remainder of 2017.</t>
  </si>
  <si>
    <t xml:space="preserve">               BOR/LSCRP</t>
  </si>
  <si>
    <t xml:space="preserve">               Miami - SRP GSF (Freeport-McMoRan) CSIF</t>
  </si>
  <si>
    <t xml:space="preserve">               Gilbert/FMYN GRUSP @ SRP CSIF</t>
  </si>
  <si>
    <t xml:space="preserve">               GRIC/SRP GRUSP (CSIF)</t>
  </si>
  <si>
    <t>Shifted GRIC On-Res water scheduled in Jun/Jul to latter months in the year. Operated Lake Pleasant for 2018 AOP. Estimated diversion of 1,680,000 - 149,005 (conservation) + 13,500 (Nevada) = 1,544,495.</t>
  </si>
  <si>
    <t>Updated 2017 to reflect additional Dec pumping and ~8,000 AF of GRIC water going to Lake Pleasant instead; Shifted 2018 Lake Pleasant ops for energy purposes.</t>
  </si>
  <si>
    <t>2  In 2018, Nevada has entered into a Storage and Interstate Release Agreement (SIRA) for 13,500 acre-feet of Nevada un-used apportionment.</t>
  </si>
  <si>
    <r>
      <t xml:space="preserve">          Interstate Banking (from Indirect AWBA)</t>
    </r>
    <r>
      <rPr>
        <vertAlign val="superscript"/>
        <sz val="12"/>
        <rFont val="Helv"/>
      </rPr>
      <t>2</t>
    </r>
  </si>
  <si>
    <r>
      <t xml:space="preserve">          Interstate Banking (from Direct AWBA)</t>
    </r>
    <r>
      <rPr>
        <vertAlign val="superscript"/>
        <sz val="12"/>
        <rFont val="Helv"/>
      </rPr>
      <t>2</t>
    </r>
  </si>
  <si>
    <r>
      <rPr>
        <vertAlign val="superscript"/>
        <sz val="12"/>
        <rFont val="Helv"/>
      </rPr>
      <t>1</t>
    </r>
    <r>
      <rPr>
        <sz val="12"/>
        <rFont val="Helv"/>
      </rPr>
      <t xml:space="preserve"> This classification represents </t>
    </r>
    <r>
      <rPr>
        <b/>
        <sz val="12"/>
        <rFont val="Helv"/>
      </rPr>
      <t>EXCESS</t>
    </r>
    <r>
      <rPr>
        <sz val="12"/>
        <rFont val="Helv"/>
      </rPr>
      <t xml:space="preserve"> water that has been directly or indirectly recharged.  AWBA, Federal Indian Firming, CAGRD Replenishment Reserve are included in this category.  CAP water recharged under Federal or M&amp;I Subcontracts is not included.</t>
    </r>
  </si>
  <si>
    <t xml:space="preserve">               Gilbert/SCAT (AFRP)</t>
  </si>
  <si>
    <t xml:space="preserve">               Gilbert, Town of (QCID)</t>
  </si>
  <si>
    <t xml:space="preserve">               Glendale (AFRP)</t>
  </si>
  <si>
    <t>Updated 2017 Lake Pleasant Ops with preliminary values to provide 2018 Lake Pleasant forecast to leads.</t>
  </si>
  <si>
    <t xml:space="preserve">               Chandler/Wellton-Mohawk - TDRP</t>
  </si>
  <si>
    <t xml:space="preserve">               Gilbert/Wellton-Mohawk - TDRP</t>
  </si>
  <si>
    <t xml:space="preserve">               Chandler/Wellton-Mohawk (CSIF)</t>
  </si>
  <si>
    <t xml:space="preserve">               Gilbert/Wellton-Mohawk (CSIF)</t>
  </si>
  <si>
    <t xml:space="preserve">               Glendale/Wellton-Mohawk</t>
  </si>
  <si>
    <t xml:space="preserve">               Mesa/Wellton-Mohawk</t>
  </si>
  <si>
    <t xml:space="preserve">               Phoenix/Wellton-Mohawk</t>
  </si>
  <si>
    <t xml:space="preserve">               Scottsdale/Wellton-Mohawk</t>
  </si>
  <si>
    <t xml:space="preserve">               Tempe/Wellton-Mohawk (CSIF)</t>
  </si>
  <si>
    <t xml:space="preserve">               Chandler/Wellton-Mohawk @ CGT TPs</t>
  </si>
  <si>
    <t xml:space="preserve">               Chandler/Wellton-Mohawk @ NMIDD</t>
  </si>
  <si>
    <t xml:space="preserve">               Chandler/Wellton-Mohawk @ SMRP</t>
  </si>
  <si>
    <t xml:space="preserve">               Gilbert/Wellton-Mohawk - CGT</t>
  </si>
  <si>
    <t xml:space="preserve">               Gilbert/Wellton-Mohawk - SMRP</t>
  </si>
  <si>
    <t xml:space="preserve">              Viewpoint (Mesa)/Wellton-Mohawk</t>
  </si>
  <si>
    <t xml:space="preserve">               LSM (Mesa)/Wellton-Mohawk</t>
  </si>
  <si>
    <t xml:space="preserve">               Red Mt Ranch CC (Mesa)/Wellton-Mohawk</t>
  </si>
  <si>
    <t xml:space="preserve">               Chandler (Inadvertent Overrun)</t>
  </si>
  <si>
    <t xml:space="preserve">               Gilbert (Inadvertent Overrun)</t>
  </si>
  <si>
    <t xml:space="preserve">               Peoria (GLE, Inadvertent Overrun)</t>
  </si>
  <si>
    <t xml:space="preserve">               Tonto Hills DWID (Inadvertent Overrun)</t>
  </si>
  <si>
    <t>Revised:  1/18/2018</t>
  </si>
  <si>
    <t>Updated 2017 with actuals through Dec.</t>
  </si>
  <si>
    <t>Entered adjustements on Ag Temp line to get to forecasted ag pool totals in 2019-20. Shifted Lake Pleasant around to model 2018-2020.</t>
  </si>
  <si>
    <t>Operated Lake Pleasant based on Jan 2018 estimates of actuals.</t>
  </si>
  <si>
    <t>Operated Lake Pleasant based on 2018 Q1 estimates, using the M&amp;I fudge line for deliveries until actual deliveries are entered. Removed 10,080 AF for anticipated Tohono O'odham (PSCP) conservation.</t>
  </si>
  <si>
    <t xml:space="preserve">               Phoenix/Wellton-Mohawk (CSIF)</t>
  </si>
  <si>
    <t xml:space="preserve">               Glendale/Wellton-Mohawk (HMRP)</t>
  </si>
  <si>
    <t>Entered 2018 Q1 actuals. Removed additional 970 AF for a total of 11,050 AF of conservation for Tohono O'odham (PSCP) conservation. Entered GRIC redirect of 51,551 AF. Reoperated Lake Pleasant.</t>
  </si>
  <si>
    <t xml:space="preserve">               Phoenix/SAVSARP SRPMIC</t>
  </si>
  <si>
    <t xml:space="preserve">               Glendale/Assignment/HMRP</t>
  </si>
  <si>
    <t xml:space="preserve">               Arizona State Land Dept. (ADOT) CSIF</t>
  </si>
  <si>
    <t>Entered 2018 Q2 acutals. Removed 10,000 AF in Sep/Oct for Ag 5 Forbearance. Reoperated Lake Pleasant.</t>
  </si>
  <si>
    <t>Tweaked July deliveries using M&amp;I line, and reoperated Lake Pleasant to reflect where actual Lake Pleasant ops and Havasu diversions are headed for the end of July.</t>
  </si>
  <si>
    <t xml:space="preserve">               Tucson/LSCRP</t>
  </si>
  <si>
    <t>Entered Tucson schedule change, which including moving 3,500 AF from CAVSARP/SAVSARP to LSC. Moved 2,800 AF of Tucson's water from PMR to LSC in anticipation of not being able to deliver all water to PMR. Reoperated Lake Pleasant.</t>
  </si>
  <si>
    <t>Entered July Lake Pleasant Accounting data and reoperated lake with reduced HAV pumping in Aug.</t>
  </si>
  <si>
    <t>Added SRP/CAP Exchange volumes.</t>
  </si>
  <si>
    <t xml:space="preserve">               GRIC Lease  WUCFD (Apache Junction) (CSIF)</t>
  </si>
  <si>
    <t xml:space="preserve">               ASARCO w/ RID GSF (CSIF)</t>
  </si>
  <si>
    <t xml:space="preserve">               Phoenix/SAVSARP Assignment</t>
  </si>
  <si>
    <t xml:space="preserve">               Ak-Chin/Pulte/Festival Rch pumps</t>
  </si>
  <si>
    <t xml:space="preserve">               Ak-Chin/Pulte QCID</t>
  </si>
  <si>
    <t xml:space="preserve">               Eloy, City of (Thru NMIDD)</t>
  </si>
  <si>
    <t xml:space="preserve">               Tucson/CMID</t>
  </si>
  <si>
    <t>Interstate</t>
  </si>
  <si>
    <t xml:space="preserve">               Freeport McMoran Storage w/ CAIDD SCAT 1 Yr Lease (Safford)</t>
  </si>
  <si>
    <t>Entered 2018 Q3 actuals. Made schedule changes according to schedule change worksheet. Added 163 AF for Metro overrun. Added 958 AF for Ag 5 conservation that will not occur. Added 30,000 AF SRP/CAP exchange water in Q4. Reoperated Lake Pleasant.</t>
  </si>
  <si>
    <t>(Deliveries are actuals through XXX, and projections for the remainder of the year)</t>
  </si>
  <si>
    <t xml:space="preserve">               EPCOR-Chaparral City Water Company (MWD)</t>
  </si>
  <si>
    <t xml:space="preserve">               EPCOR-Chaparral City Water Company (CCW)</t>
  </si>
  <si>
    <t xml:space="preserve">               Spanish Trail/CMID</t>
  </si>
  <si>
    <t>Entered 2018 Oct actuals. Made schedule changes according to the schedule change worksheet. Added. 477 AF for Metro overrun. Reduced deliveries by 819 AF for CAIDD turnback to conservation and 500 AF for Eloy turnback to conservation. Reoperated Lake Pleasant.</t>
  </si>
  <si>
    <t>Reduced SRP/CAP Exchange from 30,000 ac-ft to 20,000 ac-ft during summer 2019 and added 6,000 AF of deliveries to CSIF in spring 2019 that will not occur in 2018.</t>
  </si>
  <si>
    <t>Shifted CSIF deliveries to match SRP schedules. Changes were minimal; involved moving Glendale's 500 AF from Jul to Jun and matching Scottsdale's schedule to SRP GSF schedule.</t>
  </si>
  <si>
    <t>2020 Forecast includes 70,000 AF for Ag Pool, reduction of GRIC on-res deliveries of 29,140 AF for compensated conservation, and USF-&gt;GSF for HMRP, AFRP, SMRP</t>
  </si>
  <si>
    <t xml:space="preserve">               Phoenix</t>
  </si>
  <si>
    <t xml:space="preserve">               Scottsdale</t>
  </si>
  <si>
    <t xml:space="preserve">               Tucson/AVRP</t>
  </si>
  <si>
    <t>(Deliveries are actuals through DEC)</t>
  </si>
  <si>
    <t>Revised:  3/2/2019</t>
  </si>
  <si>
    <t>Entered 2018 Q4 Actuals.</t>
  </si>
  <si>
    <t>Reverted back to original 2020 forecast: ~273,000 for Ag Pool, added 29,140 AF back to GRIC. Added 2020 DCP &amp; 2020 DCP+SHORT forecast.</t>
  </si>
  <si>
    <t>2019</t>
  </si>
  <si>
    <t>30-DAY</t>
  </si>
  <si>
    <t>60-DAY</t>
  </si>
  <si>
    <t>90-DAY</t>
  </si>
  <si>
    <t>RESERVE</t>
  </si>
  <si>
    <t>Tuned Jan, Feb deliveries using Ag red line, entered Lake Pleasant accounting actuals for Jan, Feb and operated Lake Pleasant according to BOR forecast dated 3/18/2019.</t>
  </si>
  <si>
    <t>Operated Lake Pleasant for power optimization with input from Brian Young/Bryce Dininger. Produced output for 2 unit and 3 units available during Jun, Jul, Aug.</t>
  </si>
  <si>
    <t xml:space="preserve">               Phoenix, City of (Hohokam-CDR)</t>
  </si>
  <si>
    <t xml:space="preserve">               Phoenix, City of (CSIF) (Hohokam-CDR)</t>
  </si>
  <si>
    <t xml:space="preserve">               Phoenix/SAVSARP (Hohokam-CDR)</t>
  </si>
  <si>
    <t xml:space="preserve">               Phoenix/AVRP (Hohokam-CDR)</t>
  </si>
  <si>
    <t xml:space="preserve">               Phoenix (Hohokam-CDR) @ NMIDD</t>
  </si>
  <si>
    <t xml:space="preserve">               Tucson/LSC TO/BKW</t>
  </si>
  <si>
    <t xml:space="preserve">               Chandler/SRPMIC Lease -NMIDD</t>
  </si>
  <si>
    <t xml:space="preserve">               GRIC/RWCD GSF (CSIF)</t>
  </si>
  <si>
    <t>Entered 2019 Q1 actuals with schedule changes, including 117,000 AF conservation for GRIC. Reoperated Lake Pleasant.</t>
  </si>
  <si>
    <t xml:space="preserve">               GRIC Exchange (CAGRD) / Tonopah ID</t>
  </si>
  <si>
    <t xml:space="preserve">               GRIC Exchange (CAGRD)/NMIDD</t>
  </si>
  <si>
    <t xml:space="preserve">               GRIC Exchange (CAGRD)/QCID</t>
  </si>
  <si>
    <t xml:space="preserve">               GRIC Exchange (CAGRD)/LSCRP</t>
  </si>
  <si>
    <t xml:space="preserve">               GRIC Lease (CAGRD) / MAR5</t>
  </si>
  <si>
    <t>Adjusted 2020 &amp; 2021 for GRIC GRWS/CAGRD exchange water (15,000 AF) and lease water (18,185 AF)</t>
  </si>
  <si>
    <t>Removed SRP/CAP Exchange from 2021 forecast. Also, reforecasted SRP/CAP Exchange in 2019 based on current Roosevelt account balance and a zero balance at the end of the 2019.</t>
  </si>
  <si>
    <t xml:space="preserve">Adjusted summer 2020 releases moved from July to June and increased small pumping in September </t>
  </si>
  <si>
    <t>Adjusted GRIC schedule to reflect 83,000 AF of conservation in 2020 and 0 AF of conservation in 2021. Re-operated Lake Pleasant. Provided updated volumes and MW to Doug Dunlap, Brian Young, and Bryce Dininger.</t>
  </si>
  <si>
    <t xml:space="preserve">               Morenci - Freeport-McMoRan (RWCD)</t>
  </si>
  <si>
    <t xml:space="preserve">               El Mirage (AFRP)</t>
  </si>
  <si>
    <t>Entered actuals thru Jul 2019 and reoperated Lake Pleasant.</t>
  </si>
  <si>
    <t xml:space="preserve">               Phoenix @ QCID</t>
  </si>
  <si>
    <t xml:space="preserve">               Phoenix/GRIC Lease (HMRP)</t>
  </si>
  <si>
    <t xml:space="preserve">               Phoenix, City of (HMRP)</t>
  </si>
  <si>
    <t>Shifted 9,500 AF + 7,500 AF of Phoenix water from Dec to earlier months for redirects.</t>
  </si>
  <si>
    <t>Moved GRIC Exchange water erroneously scheduled for Scottsdale WAS (1260 AF) to Tonopah ID, QCID, NMIDD, LSC in 2020 and 2021.</t>
  </si>
  <si>
    <t>Used M&amp;I and Ag forecast lines to operate to forecast Lake Pleasant Ops thru the end of 2019.</t>
  </si>
  <si>
    <t xml:space="preserve">               CAGRD/FMYN Lease w/NMIDD</t>
  </si>
  <si>
    <t xml:space="preserve">               Gilbert/SCAT 100-yr Lease (CSIF)</t>
  </si>
  <si>
    <t xml:space="preserve">               Gilbert/SCAT 100-yr lease (CGT)</t>
  </si>
  <si>
    <t xml:space="preserve">               Gilbert/SCAT 100-yr Lease @ NMIDD</t>
  </si>
  <si>
    <t xml:space="preserve">               Gilbert/SCAT 1-yr Lease @ QCID</t>
  </si>
  <si>
    <t xml:space="preserve">               Gilbert/SCAT 1-yr Lease @ NMIDD</t>
  </si>
  <si>
    <t xml:space="preserve">               Gilbert/SCAT 1-yr Lease @ SMRP</t>
  </si>
  <si>
    <t xml:space="preserve">               Stone Applications/SCAT Lease (SMRP)</t>
  </si>
  <si>
    <t xml:space="preserve">               GRIC GSF w/QCID</t>
  </si>
  <si>
    <t xml:space="preserve">               Arizona Water Co. (Coolidge) w/Pinal Valley USF</t>
  </si>
  <si>
    <t xml:space="preserve">               Freeport-McMoRan (CAIDD)</t>
  </si>
  <si>
    <t xml:space="preserve">               Stone Applications/SCAT Lease (RWCD)</t>
  </si>
  <si>
    <t xml:space="preserve">               Chandler/GRIC Lease @ CGT</t>
  </si>
  <si>
    <t xml:space="preserve">               Chandler/SRPMIC Lease @ NMIDD</t>
  </si>
  <si>
    <t xml:space="preserve">               EPCOR Rio Verde Utilities Company (CSIF)</t>
  </si>
  <si>
    <t xml:space="preserve">               EPCOR-Rio Verde Utilities (MWD)</t>
  </si>
  <si>
    <t xml:space="preserve">               EPCOR-PV (CSIF)</t>
  </si>
  <si>
    <t xml:space="preserve">               Tucson/FICO</t>
  </si>
  <si>
    <t xml:space="preserve">               Freeport McMoRan GRIC Lease/FICO</t>
  </si>
  <si>
    <t xml:space="preserve">               Freeport McMoRan Miami CSIF/RWCD</t>
  </si>
  <si>
    <t xml:space="preserve">               Freeport McMoran GRIC 100-yr lease/CAIDD</t>
  </si>
  <si>
    <t xml:space="preserve">               Goodyear w/SRP (CSIF)</t>
  </si>
  <si>
    <t xml:space="preserve">               Viewpoint (Mesa)/SRPMIC Lease</t>
  </si>
  <si>
    <t xml:space="preserve">               LSM (Mesa)/SRPMIC Lease</t>
  </si>
  <si>
    <t xml:space="preserve">               Red Mt Ranch CC (Mesa)/SRPMIC Lease</t>
  </si>
  <si>
    <t xml:space="preserve">               Phoenix (NMIDD)</t>
  </si>
  <si>
    <t xml:space="preserve">               Phoenix (QCID)</t>
  </si>
  <si>
    <t xml:space="preserve">               Phoenix/GRIC Lease (NMIDD)</t>
  </si>
  <si>
    <t xml:space="preserve">               Phoenix/GRIC Lease (QCID)</t>
  </si>
  <si>
    <t xml:space="preserve">               Phoenix/SRPMIC Lease (NMIDD)</t>
  </si>
  <si>
    <t xml:space="preserve">               Phoenix/SRPMIC Lease (QCID)</t>
  </si>
  <si>
    <t xml:space="preserve">               Phoenix/FMYN Lease (NMIDD)</t>
  </si>
  <si>
    <t xml:space="preserve">               GRIC (MAR5)</t>
  </si>
  <si>
    <t xml:space="preserve">               Gilbert/SCAT Lease @ SMRP</t>
  </si>
  <si>
    <t xml:space="preserve">               Phoenix/Wellton-Mohawk @ QCID</t>
  </si>
  <si>
    <t xml:space="preserve">               Marana/AVRP</t>
  </si>
  <si>
    <t>(Deliveries are actuals through SEP, and projections for the remainder of the year)</t>
  </si>
  <si>
    <t>Revised:  11/4/2019</t>
  </si>
  <si>
    <t>Updated Lake Pleasant ops to match planned Nov/Dec pumping.</t>
  </si>
  <si>
    <t xml:space="preserve">               Stone Applications/SCAT Lease (AFRP)</t>
  </si>
  <si>
    <t xml:space="preserve">               Chandler, City of (HMRP)</t>
  </si>
  <si>
    <t xml:space="preserve">               Scottsdale, City of (HMRP)</t>
  </si>
  <si>
    <t xml:space="preserve">               Gilbert/SCAT 1-yr Lease @ AFRP</t>
  </si>
  <si>
    <t xml:space="preserve">               Phoenix/FMYN Lease (QCID)</t>
  </si>
  <si>
    <t xml:space="preserve">               SCAT - SRP (Freeport-McMoRan) RWCD</t>
  </si>
  <si>
    <t>Updated CSIF deliveries for Phoenix and added additional 400 AF to Roosevelt Exchange in Apr 2020.</t>
  </si>
  <si>
    <t>Revised:  2/5/2020</t>
  </si>
  <si>
    <t xml:space="preserve">               Johnson Utilities</t>
  </si>
  <si>
    <t xml:space="preserve">               CAGRD NIA (TDRP)</t>
  </si>
  <si>
    <t xml:space="preserve">               Freeport McMoRan Sierrita NIA/FICO</t>
  </si>
  <si>
    <t xml:space="preserve">               Rosemont Copper</t>
  </si>
  <si>
    <t xml:space="preserve">               New Harquahala Generating Co. NIA</t>
  </si>
  <si>
    <t>Estimated Jan actuals and shifted monthly diversion targets based on power/ops monthly meeting.</t>
  </si>
  <si>
    <t>Mitigation</t>
  </si>
  <si>
    <t>Dead Storage</t>
  </si>
  <si>
    <t>Inactive Conservation</t>
  </si>
  <si>
    <t xml:space="preserve">               Chandler/SRPMIC Lease (HMRP)</t>
  </si>
  <si>
    <t xml:space="preserve">               Chandler/SRPMIC Lease @ SMRP</t>
  </si>
  <si>
    <t xml:space="preserve">               Goodyear/GRIC Lease (CSIF)</t>
  </si>
  <si>
    <t xml:space="preserve">               GRIC Exchange (CAGRD) / TDRP</t>
  </si>
  <si>
    <t>Entered Q1 actuals and forecasted remaining of year.</t>
  </si>
  <si>
    <t>Tweaked Lake Pleasant Ops based on estimated Apr diversions, deliveries, and WAD pumping.</t>
  </si>
  <si>
    <t>January  2020  Through  December 2020</t>
  </si>
  <si>
    <t>Updated with Apr data and pulled additional 75,000 AF out of Lake Pleasant.</t>
  </si>
  <si>
    <t>Added 75,000 AF back into Lake Pleasant until acutal schedule changes are received.</t>
  </si>
  <si>
    <t xml:space="preserve">               GRIC (MAR1B)</t>
  </si>
  <si>
    <t xml:space="preserve">               Peoria TDRP</t>
  </si>
  <si>
    <t xml:space="preserve">               WUCFD (Apache Junction) w/NMIDD</t>
  </si>
  <si>
    <t xml:space="preserve">               GRIC Lease  WUCFD (Apache Junction) w/NMIDD</t>
  </si>
  <si>
    <t xml:space="preserve">               Avondale - TDRP</t>
  </si>
  <si>
    <t xml:space="preserve">               Tucson/BKW thru LSC</t>
  </si>
  <si>
    <t>Updated Q2 deliveries and added 75,000 AF of unexpected water supply. Operated Lake Pleasant. Morning version of file went to Finance. Made slight adjustments in the afternoon.</t>
  </si>
  <si>
    <t>2021 - removed 45,000 AF of GRIC DCP Mitigation Offset and 13,933 AF of FMYN System Conservation and reoperated lake according to Part 417 diversion schedule submitted to Reclamation.</t>
  </si>
  <si>
    <t xml:space="preserve">               GRIC Lease (CAGRD) / TDRP</t>
  </si>
  <si>
    <t xml:space="preserve">               Ak-Chin - TDRP</t>
  </si>
  <si>
    <t xml:space="preserve">               Freeport McMoRan/GRIC Lease w/MSIDD</t>
  </si>
  <si>
    <t xml:space="preserve">               Freeport McMoRan/SCAT Lease w/MSIDD</t>
  </si>
  <si>
    <t xml:space="preserve">               Freeport McMoran SCAT lease/CAIDD</t>
  </si>
  <si>
    <t xml:space="preserve">               Gilbert/SCAT 1-yr Lease (CSIF)</t>
  </si>
  <si>
    <t xml:space="preserve">               Gilbert/SCAT 1-yr Lease CGT</t>
  </si>
  <si>
    <t>Revised:  10/5/2020</t>
  </si>
  <si>
    <t>(Deliveries are actuals through AUG and projections for the remainder of the year)</t>
  </si>
  <si>
    <t>Updated 2020 Jul, Aug deliveries and operated Lake Pleasant.</t>
  </si>
  <si>
    <t xml:space="preserve">               Arizona Water Co. (Superstition) (SMRP)</t>
  </si>
  <si>
    <t xml:space="preserve">               Phoenix/AVRP FMYN</t>
  </si>
  <si>
    <t xml:space="preserve">               GRIC Exchange (CAGRD)/PMR</t>
  </si>
  <si>
    <t xml:space="preserve">               GRIC Lease (CAGRD) / QCID</t>
  </si>
  <si>
    <t>Updated 2020 Sep deliveries and operated Lake Pleasant.</t>
  </si>
  <si>
    <t xml:space="preserve">               Gilbert/SCAT 1-yr Lease (CGT)</t>
  </si>
  <si>
    <t>Updated Lake Pleasant actuals through Nov 2020 &amp; finalized 2021 AOP.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</si>
</sst>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5" formatCode="&quot;$&quot;#,##0_);\(&quot;$&quot;#,##0\)"/>
    <numFmt numFmtId="7" formatCode="&quot;$&quot;#,##0.00_);\(&quot;$&quot;#,##0.00\)"/>
    <numFmt numFmtId="43" formatCode="_(* #,##0.00_);_(* \(#,##0.00\);_(* &quot;-&quot;??_);_(@_)"/>
    <numFmt numFmtId="164" formatCode="mm/dd/yy_)"/>
    <numFmt numFmtId="165" formatCode="mm/dd/yy"/>
    <numFmt numFmtId="166" formatCode="0.00_)"/>
    <numFmt numFmtId="167" formatCode="0.00_);\(0.00\)"/>
    <numFmt numFmtId="168" formatCode="_(* #,##0_);_(* \(#,##0\);_(* &quot;-&quot;??_);_(@_)"/>
    <numFmt numFmtId="169" formatCode="0_);\(0\)"/>
    <numFmt numFmtId="170" formatCode="mmmm\ d\,\ yyyy"/>
    <numFmt numFmtId="171" formatCode="[$-409]mmmm\ d\,\ yyyy;@"/>
    <numFmt numFmtId="172" formatCode="0.0%"/>
    <numFmt numFmtId="173" formatCode="[$-409]mmm\-yy;@"/>
    <numFmt numFmtId="174" formatCode="#,##0.0_);\(#,##0.0\)"/>
    <numFmt numFmtId="175" formatCode="#,##0.000_);\(#,##0.000\)"/>
  </numFmts>
  <fonts count="72" x14ac:knownFonts="1">
    <font>
      <sz val="12"/>
      <name val="Helv"/>
    </font>
    <font>
      <sz val="10"/>
      <name val="Arial"/>
      <family val="2"/>
    </font>
    <font>
      <sz val="12"/>
      <name val="Helv"/>
    </font>
    <font>
      <b/>
      <sz val="14"/>
      <name val="Helv"/>
    </font>
    <font>
      <b/>
      <sz val="12"/>
      <name val="Helv"/>
    </font>
    <font>
      <sz val="11"/>
      <name val="Helv"/>
    </font>
    <font>
      <b/>
      <sz val="11"/>
      <name val="Helv"/>
    </font>
    <font>
      <b/>
      <sz val="16"/>
      <name val="Helv"/>
    </font>
    <font>
      <sz val="11"/>
      <name val="Arial"/>
      <family val="2"/>
    </font>
    <font>
      <b/>
      <sz val="11"/>
      <name val="Arial"/>
      <family val="2"/>
    </font>
    <font>
      <sz val="14"/>
      <color indexed="12"/>
      <name val="Arial"/>
      <family val="2"/>
    </font>
    <font>
      <sz val="14"/>
      <name val="Arial"/>
      <family val="2"/>
    </font>
    <font>
      <sz val="10"/>
      <name val="Arial"/>
      <family val="2"/>
    </font>
    <font>
      <sz val="14"/>
      <color indexed="10"/>
      <name val="Arial"/>
      <family val="2"/>
    </font>
    <font>
      <sz val="10"/>
      <color indexed="12"/>
      <name val="Arial"/>
      <family val="2"/>
    </font>
    <font>
      <sz val="10"/>
      <color indexed="10"/>
      <name val="Arial"/>
      <family val="2"/>
    </font>
    <font>
      <b/>
      <sz val="10"/>
      <color indexed="12"/>
      <name val="Courier"/>
      <family val="3"/>
    </font>
    <font>
      <b/>
      <sz val="10"/>
      <name val="Courier"/>
      <family val="3"/>
    </font>
    <font>
      <sz val="20"/>
      <name val="Helv"/>
    </font>
    <font>
      <sz val="12"/>
      <name val="Arial"/>
      <family val="2"/>
    </font>
    <font>
      <b/>
      <sz val="10"/>
      <name val="Arial"/>
      <family val="2"/>
    </font>
    <font>
      <b/>
      <sz val="12"/>
      <name val="Arial"/>
      <family val="2"/>
    </font>
    <font>
      <b/>
      <sz val="10"/>
      <color indexed="10"/>
      <name val="Arial"/>
      <family val="2"/>
    </font>
    <font>
      <b/>
      <sz val="12"/>
      <color indexed="10"/>
      <name val="Helv"/>
    </font>
    <font>
      <sz val="10"/>
      <color indexed="48"/>
      <name val="Arial"/>
      <family val="2"/>
    </font>
    <font>
      <b/>
      <sz val="14"/>
      <name val="Arial"/>
      <family val="2"/>
    </font>
    <font>
      <sz val="12"/>
      <color indexed="10"/>
      <name val="Arial"/>
      <family val="2"/>
    </font>
    <font>
      <sz val="12"/>
      <name val="Helv"/>
    </font>
    <font>
      <sz val="8"/>
      <name val="Arial"/>
      <family val="2"/>
    </font>
    <font>
      <sz val="10"/>
      <color indexed="20"/>
      <name val="Arial"/>
      <family val="2"/>
    </font>
    <font>
      <sz val="14"/>
      <color indexed="20"/>
      <name val="Arial"/>
      <family val="2"/>
    </font>
    <font>
      <sz val="10"/>
      <name val="Helv"/>
    </font>
    <font>
      <vertAlign val="subscript"/>
      <sz val="11"/>
      <name val="Arial"/>
      <family val="2"/>
    </font>
    <font>
      <sz val="12"/>
      <color indexed="8"/>
      <name val="Helv"/>
    </font>
    <font>
      <sz val="8"/>
      <name val="Helv"/>
    </font>
    <font>
      <sz val="12"/>
      <color indexed="10"/>
      <name val="Helv"/>
    </font>
    <font>
      <sz val="9"/>
      <name val="Helv"/>
    </font>
    <font>
      <b/>
      <sz val="24"/>
      <name val="Helv"/>
    </font>
    <font>
      <b/>
      <sz val="20"/>
      <name val="Helv"/>
    </font>
    <font>
      <b/>
      <sz val="18"/>
      <name val="Helv"/>
    </font>
    <font>
      <sz val="16"/>
      <name val="Helv"/>
    </font>
    <font>
      <sz val="24"/>
      <name val="Helv"/>
    </font>
    <font>
      <b/>
      <i/>
      <sz val="14"/>
      <name val="Helv"/>
    </font>
    <font>
      <b/>
      <sz val="8"/>
      <name val="Helv"/>
    </font>
    <font>
      <b/>
      <sz val="14"/>
      <color indexed="10"/>
      <name val="Helv"/>
    </font>
    <font>
      <sz val="8"/>
      <color indexed="8"/>
      <name val="Helv"/>
    </font>
    <font>
      <b/>
      <sz val="12"/>
      <color indexed="8"/>
      <name val="Helv"/>
    </font>
    <font>
      <b/>
      <sz val="14"/>
      <color indexed="8"/>
      <name val="Helv"/>
    </font>
    <font>
      <b/>
      <sz val="10"/>
      <color indexed="10"/>
      <name val="Helv"/>
    </font>
    <font>
      <sz val="12"/>
      <name val="Helv"/>
    </font>
    <font>
      <sz val="14"/>
      <color indexed="10"/>
      <name val="Helv"/>
    </font>
    <font>
      <b/>
      <sz val="11"/>
      <color indexed="10"/>
      <name val="Helv"/>
    </font>
    <font>
      <sz val="12"/>
      <color rgb="FFFF0000"/>
      <name val="Helv"/>
    </font>
    <font>
      <b/>
      <sz val="12"/>
      <color rgb="FFFF0000"/>
      <name val="Helv"/>
    </font>
    <font>
      <sz val="11"/>
      <color theme="3"/>
      <name val="Arial"/>
      <family val="2"/>
    </font>
    <font>
      <b/>
      <vertAlign val="superscript"/>
      <sz val="12"/>
      <name val="Helv"/>
    </font>
    <font>
      <vertAlign val="superscript"/>
      <sz val="12"/>
      <name val="Helv"/>
    </font>
    <font>
      <sz val="11"/>
      <color theme="3" tint="-0.249977111117893"/>
      <name val="Arial"/>
      <family val="2"/>
    </font>
    <font>
      <b/>
      <sz val="11"/>
      <color rgb="FFFF0000"/>
      <name val="Arial"/>
      <family val="2"/>
    </font>
    <font>
      <sz val="11"/>
      <color indexed="20"/>
      <name val="Arial"/>
      <family val="2"/>
    </font>
    <font>
      <b/>
      <sz val="11"/>
      <color theme="3" tint="0.39997558519241921"/>
      <name val="Arial"/>
      <family val="2"/>
    </font>
    <font>
      <sz val="10"/>
      <color theme="3"/>
      <name val="Arial"/>
      <family val="2"/>
    </font>
    <font>
      <b/>
      <sz val="12"/>
      <color theme="3" tint="0.39997558519241921"/>
      <name val="Helv"/>
    </font>
    <font>
      <b/>
      <sz val="12"/>
      <color theme="6" tint="-0.499984740745262"/>
      <name val="Helv"/>
    </font>
    <font>
      <b/>
      <sz val="12"/>
      <color theme="7" tint="-0.499984740745262"/>
      <name val="Helv"/>
    </font>
    <font>
      <sz val="11"/>
      <color theme="4" tint="-0.249977111117893"/>
      <name val="Arial"/>
      <family val="2"/>
    </font>
    <font>
      <sz val="12"/>
      <color theme="3" tint="0.39997558519241921"/>
      <name val="Helv"/>
    </font>
    <font>
      <sz val="11"/>
      <color rgb="FF9C6500"/>
      <name val="Calibri"/>
      <family val="2"/>
      <scheme val="minor"/>
    </font>
    <font>
      <b/>
      <sz val="10"/>
      <name val="Helv"/>
    </font>
    <font>
      <i/>
      <sz val="12"/>
      <name val="Helv"/>
    </font>
    <font>
      <sz val="10"/>
      <color theme="0" tint="-0.499984740745262"/>
      <name val="Arial"/>
      <family val="2"/>
    </font>
    <font>
      <i/>
      <sz val="10"/>
      <name val="Arial"/>
      <family val="2"/>
    </font>
  </fonts>
  <fills count="24">
    <fill>
      <patternFill patternType="none"/>
    </fill>
    <fill>
      <patternFill patternType="gray125"/>
    </fill>
    <fill>
      <patternFill patternType="solid">
        <fgColor indexed="9"/>
        <bgColor indexed="64"/>
      </patternFill>
    </fill>
    <fill>
      <patternFill patternType="solid">
        <fgColor indexed="22"/>
        <bgColor indexed="8"/>
      </patternFill>
    </fill>
    <fill>
      <patternFill patternType="solid">
        <fgColor indexed="22"/>
        <bgColor indexed="64"/>
      </patternFill>
    </fill>
    <fill>
      <patternFill patternType="solid">
        <fgColor indexed="43"/>
        <bgColor indexed="64"/>
      </patternFill>
    </fill>
    <fill>
      <patternFill patternType="solid">
        <fgColor indexed="41"/>
        <bgColor indexed="64"/>
      </patternFill>
    </fill>
    <fill>
      <patternFill patternType="solid">
        <fgColor indexed="13"/>
        <bgColor indexed="64"/>
      </patternFill>
    </fill>
    <fill>
      <patternFill patternType="solid">
        <fgColor indexed="10"/>
        <bgColor indexed="64"/>
      </patternFill>
    </fill>
    <fill>
      <patternFill patternType="solid">
        <fgColor indexed="27"/>
        <bgColor indexed="64"/>
      </patternFill>
    </fill>
    <fill>
      <patternFill patternType="solid">
        <fgColor indexed="34"/>
        <bgColor indexed="64"/>
      </patternFill>
    </fill>
    <fill>
      <patternFill patternType="solid">
        <fgColor rgb="FFFFFF00"/>
        <bgColor indexed="64"/>
      </patternFill>
    </fill>
    <fill>
      <patternFill patternType="solid">
        <fgColor rgb="FFFFFF00"/>
        <bgColor indexed="8"/>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00B0F0"/>
        <bgColor indexed="64"/>
      </patternFill>
    </fill>
    <fill>
      <patternFill patternType="solid">
        <fgColor rgb="FFFFEB9C"/>
      </patternFill>
    </fill>
    <fill>
      <patternFill patternType="solid">
        <fgColor theme="9" tint="0.59999389629810485"/>
        <bgColor indexed="64"/>
      </patternFill>
    </fill>
  </fills>
  <borders count="97">
    <border>
      <left/>
      <right/>
      <top/>
      <bottom/>
      <diagonal/>
    </border>
    <border>
      <left style="medium">
        <color indexed="8"/>
      </left>
      <right/>
      <top style="medium">
        <color indexed="8"/>
      </top>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bottom style="medium">
        <color indexed="8"/>
      </bottom>
      <diagonal/>
    </border>
    <border>
      <left/>
      <right style="medium">
        <color indexed="8"/>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right/>
      <top/>
      <bottom style="medium">
        <color indexed="8"/>
      </bottom>
      <diagonal/>
    </border>
    <border>
      <left/>
      <right/>
      <top style="medium">
        <color indexed="8"/>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8"/>
      </left>
      <right style="medium">
        <color indexed="64"/>
      </right>
      <top style="medium">
        <color indexed="64"/>
      </top>
      <bottom style="medium">
        <color indexed="8"/>
      </bottom>
      <diagonal/>
    </border>
    <border>
      <left/>
      <right/>
      <top style="medium">
        <color indexed="64"/>
      </top>
      <bottom style="medium">
        <color indexed="64"/>
      </bottom>
      <diagonal/>
    </border>
    <border>
      <left style="medium">
        <color indexed="64"/>
      </left>
      <right style="medium">
        <color indexed="64"/>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64"/>
      </right>
      <top style="medium">
        <color indexed="64"/>
      </top>
      <bottom style="medium">
        <color indexed="64"/>
      </bottom>
      <diagonal/>
    </border>
    <border>
      <left style="medium">
        <color indexed="8"/>
      </left>
      <right style="medium">
        <color indexed="64"/>
      </right>
      <top/>
      <bottom style="medium">
        <color indexed="8"/>
      </bottom>
      <diagonal/>
    </border>
    <border>
      <left style="medium">
        <color indexed="8"/>
      </left>
      <right style="medium">
        <color indexed="64"/>
      </right>
      <top/>
      <bottom/>
      <diagonal/>
    </border>
    <border>
      <left/>
      <right style="medium">
        <color indexed="64"/>
      </right>
      <top/>
      <bottom/>
      <diagonal/>
    </border>
    <border>
      <left style="medium">
        <color indexed="64"/>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medium">
        <color indexed="64"/>
      </left>
      <right style="medium">
        <color indexed="64"/>
      </right>
      <top style="medium">
        <color indexed="64"/>
      </top>
      <bottom style="medium">
        <color indexed="8"/>
      </bottom>
      <diagonal/>
    </border>
    <border>
      <left style="medium">
        <color indexed="64"/>
      </left>
      <right/>
      <top style="medium">
        <color indexed="64"/>
      </top>
      <bottom style="medium">
        <color indexed="8"/>
      </bottom>
      <diagonal/>
    </border>
    <border>
      <left style="medium">
        <color indexed="64"/>
      </left>
      <right style="medium">
        <color indexed="64"/>
      </right>
      <top/>
      <bottom style="medium">
        <color indexed="8"/>
      </bottom>
      <diagonal/>
    </border>
    <border>
      <left style="medium">
        <color indexed="64"/>
      </left>
      <right/>
      <top/>
      <bottom style="medium">
        <color indexed="8"/>
      </bottom>
      <diagonal/>
    </border>
    <border>
      <left style="medium">
        <color indexed="8"/>
      </left>
      <right style="medium">
        <color indexed="64"/>
      </right>
      <top style="medium">
        <color indexed="64"/>
      </top>
      <bottom/>
      <diagonal/>
    </border>
    <border>
      <left/>
      <right/>
      <top style="medium">
        <color indexed="64"/>
      </top>
      <bottom style="medium">
        <color indexed="8"/>
      </bottom>
      <diagonal/>
    </border>
    <border>
      <left style="medium">
        <color indexed="64"/>
      </left>
      <right style="medium">
        <color indexed="8"/>
      </right>
      <top style="medium">
        <color indexed="64"/>
      </top>
      <bottom style="medium">
        <color indexed="64"/>
      </bottom>
      <diagonal/>
    </border>
    <border>
      <left style="medium">
        <color indexed="64"/>
      </left>
      <right style="medium">
        <color indexed="8"/>
      </right>
      <top style="medium">
        <color indexed="64"/>
      </top>
      <bottom/>
      <diagonal/>
    </border>
    <border>
      <left style="medium">
        <color indexed="8"/>
      </left>
      <right/>
      <top/>
      <bottom/>
      <diagonal/>
    </border>
    <border>
      <left style="medium">
        <color indexed="64"/>
      </left>
      <right style="medium">
        <color indexed="8"/>
      </right>
      <top/>
      <bottom/>
      <diagonal/>
    </border>
    <border>
      <left style="medium">
        <color indexed="64"/>
      </left>
      <right style="medium">
        <color indexed="8"/>
      </right>
      <top/>
      <bottom style="medium">
        <color indexed="64"/>
      </bottom>
      <diagonal/>
    </border>
    <border>
      <left/>
      <right style="medium">
        <color indexed="8"/>
      </right>
      <top style="medium">
        <color indexed="8"/>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medium">
        <color indexed="8"/>
      </top>
      <bottom style="medium">
        <color indexed="64"/>
      </bottom>
      <diagonal/>
    </border>
    <border>
      <left/>
      <right/>
      <top style="medium">
        <color indexed="8"/>
      </top>
      <bottom style="medium">
        <color indexed="64"/>
      </bottom>
      <diagonal/>
    </border>
    <border>
      <left style="medium">
        <color indexed="64"/>
      </left>
      <right style="medium">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style="medium">
        <color auto="1"/>
      </top>
      <bottom style="medium">
        <color auto="1"/>
      </bottom>
      <diagonal/>
    </border>
    <border>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auto="1"/>
      </right>
      <top/>
      <bottom/>
      <diagonal/>
    </border>
    <border>
      <left/>
      <right style="medium">
        <color auto="1"/>
      </right>
      <top/>
      <bottom/>
      <diagonal/>
    </border>
    <border>
      <left style="thin">
        <color indexed="64"/>
      </left>
      <right/>
      <top style="thin">
        <color indexed="64"/>
      </top>
      <bottom/>
      <diagonal/>
    </border>
  </borders>
  <cellStyleXfs count="12">
    <xf numFmtId="37" fontId="0" fillId="0" borderId="0"/>
    <xf numFmtId="43" fontId="1"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67" fillId="22" borderId="0" applyNumberFormat="0" applyBorder="0" applyAlignment="0" applyProtection="0"/>
  </cellStyleXfs>
  <cellXfs count="858">
    <xf numFmtId="37" fontId="0" fillId="0" borderId="0" xfId="0"/>
    <xf numFmtId="37" fontId="4" fillId="2" borderId="0" xfId="0" applyFont="1" applyFill="1" applyAlignment="1">
      <alignment horizontal="centerContinuous"/>
    </xf>
    <xf numFmtId="37" fontId="5" fillId="2" borderId="0" xfId="0" applyFont="1" applyFill="1"/>
    <xf numFmtId="37" fontId="6" fillId="2" borderId="1" xfId="0" applyFont="1" applyFill="1" applyBorder="1" applyAlignment="1">
      <alignment horizontal="center"/>
    </xf>
    <xf numFmtId="37" fontId="4" fillId="2" borderId="2" xfId="0" applyFont="1" applyFill="1" applyBorder="1" applyAlignment="1">
      <alignment horizontal="left"/>
    </xf>
    <xf numFmtId="37" fontId="4" fillId="2" borderId="3" xfId="0" applyFont="1" applyFill="1" applyBorder="1" applyAlignment="1">
      <alignment horizontal="right"/>
    </xf>
    <xf numFmtId="37" fontId="6" fillId="2" borderId="4" xfId="0" applyFont="1" applyFill="1" applyBorder="1" applyAlignment="1">
      <alignment horizontal="left"/>
    </xf>
    <xf numFmtId="37" fontId="6" fillId="2" borderId="5" xfId="0" applyFont="1" applyFill="1" applyBorder="1" applyAlignment="1">
      <alignment horizontal="center"/>
    </xf>
    <xf numFmtId="37" fontId="6" fillId="2" borderId="0" xfId="0" applyFont="1" applyFill="1" applyAlignment="1">
      <alignment horizontal="left"/>
    </xf>
    <xf numFmtId="37" fontId="5" fillId="2" borderId="4" xfId="0" applyFont="1" applyFill="1" applyBorder="1" applyAlignment="1">
      <alignment horizontal="left"/>
    </xf>
    <xf numFmtId="37" fontId="2" fillId="2" borderId="0" xfId="0" applyFont="1" applyFill="1"/>
    <xf numFmtId="37" fontId="6" fillId="2" borderId="6" xfId="0" applyFont="1" applyFill="1" applyBorder="1" applyAlignment="1">
      <alignment horizontal="center"/>
    </xf>
    <xf numFmtId="37" fontId="6" fillId="3" borderId="7" xfId="0" applyFont="1" applyFill="1" applyBorder="1"/>
    <xf numFmtId="37" fontId="4" fillId="3" borderId="8" xfId="0" applyFont="1" applyFill="1" applyBorder="1"/>
    <xf numFmtId="37" fontId="4" fillId="3" borderId="9" xfId="0" applyFont="1" applyFill="1" applyBorder="1"/>
    <xf numFmtId="37" fontId="4" fillId="3" borderId="10" xfId="0" applyFont="1" applyFill="1" applyBorder="1"/>
    <xf numFmtId="37" fontId="4" fillId="3" borderId="11" xfId="0" applyFont="1" applyFill="1" applyBorder="1"/>
    <xf numFmtId="37" fontId="4" fillId="2" borderId="0" xfId="0" applyFont="1" applyFill="1"/>
    <xf numFmtId="37" fontId="4" fillId="2" borderId="0" xfId="0" applyFont="1" applyFill="1" applyAlignment="1">
      <alignment horizontal="left"/>
    </xf>
    <xf numFmtId="37" fontId="4" fillId="3" borderId="12" xfId="0" applyFont="1" applyFill="1" applyBorder="1"/>
    <xf numFmtId="37" fontId="4" fillId="3" borderId="4" xfId="0" applyFont="1" applyFill="1" applyBorder="1"/>
    <xf numFmtId="37" fontId="4" fillId="3" borderId="13" xfId="0" applyFont="1" applyFill="1" applyBorder="1"/>
    <xf numFmtId="37" fontId="4" fillId="3" borderId="7" xfId="0" applyFont="1" applyFill="1" applyBorder="1"/>
    <xf numFmtId="37" fontId="4" fillId="3" borderId="7" xfId="0" applyFont="1" applyFill="1" applyBorder="1" applyAlignment="1">
      <alignment horizontal="left"/>
    </xf>
    <xf numFmtId="37" fontId="4" fillId="2" borderId="14" xfId="0" applyFont="1" applyFill="1" applyBorder="1"/>
    <xf numFmtId="37" fontId="4" fillId="2" borderId="1" xfId="0" applyFont="1" applyFill="1" applyBorder="1" applyAlignment="1">
      <alignment horizontal="left"/>
    </xf>
    <xf numFmtId="37" fontId="4" fillId="2" borderId="15" xfId="0" applyFont="1" applyFill="1" applyBorder="1" applyAlignment="1">
      <alignment horizontal="right"/>
    </xf>
    <xf numFmtId="37" fontId="5" fillId="4" borderId="16" xfId="0" applyFont="1" applyFill="1" applyBorder="1"/>
    <xf numFmtId="37" fontId="4" fillId="3" borderId="17" xfId="0" applyFont="1" applyFill="1" applyBorder="1"/>
    <xf numFmtId="37" fontId="4" fillId="3" borderId="18" xfId="0" applyFont="1" applyFill="1" applyBorder="1"/>
    <xf numFmtId="37" fontId="4" fillId="3" borderId="19" xfId="0" applyFont="1" applyFill="1" applyBorder="1"/>
    <xf numFmtId="37" fontId="4" fillId="3" borderId="14" xfId="0" applyFont="1" applyFill="1" applyBorder="1"/>
    <xf numFmtId="37" fontId="4" fillId="3" borderId="20" xfId="0" applyFont="1" applyFill="1" applyBorder="1"/>
    <xf numFmtId="37" fontId="4" fillId="4" borderId="9" xfId="0" applyFont="1" applyFill="1" applyBorder="1" applyAlignment="1">
      <alignment horizontal="center"/>
    </xf>
    <xf numFmtId="37" fontId="4" fillId="4" borderId="6" xfId="0" applyFont="1" applyFill="1" applyBorder="1" applyAlignment="1">
      <alignment horizontal="right"/>
    </xf>
    <xf numFmtId="37" fontId="4" fillId="4" borderId="13" xfId="0" applyFont="1" applyFill="1" applyBorder="1" applyAlignment="1">
      <alignment horizontal="center"/>
    </xf>
    <xf numFmtId="37" fontId="4" fillId="4" borderId="5" xfId="0" applyFont="1" applyFill="1" applyBorder="1" applyAlignment="1">
      <alignment horizontal="right"/>
    </xf>
    <xf numFmtId="37" fontId="4" fillId="4" borderId="13" xfId="0" applyFont="1" applyFill="1" applyBorder="1"/>
    <xf numFmtId="37" fontId="4" fillId="4" borderId="10" xfId="0" applyFont="1" applyFill="1" applyBorder="1"/>
    <xf numFmtId="37" fontId="4" fillId="4" borderId="9" xfId="0" applyFont="1" applyFill="1" applyBorder="1"/>
    <xf numFmtId="37" fontId="4" fillId="4" borderId="11" xfId="0" applyFont="1" applyFill="1" applyBorder="1"/>
    <xf numFmtId="37" fontId="6" fillId="4" borderId="13" xfId="0" applyFont="1" applyFill="1" applyBorder="1" applyAlignment="1">
      <alignment horizontal="left"/>
    </xf>
    <xf numFmtId="37" fontId="4" fillId="4" borderId="21" xfId="0" quotePrefix="1" applyFont="1" applyFill="1" applyBorder="1" applyAlignment="1">
      <alignment horizontal="right"/>
    </xf>
    <xf numFmtId="37" fontId="4" fillId="4" borderId="13" xfId="0" applyFont="1" applyFill="1" applyBorder="1" applyAlignment="1">
      <alignment horizontal="left"/>
    </xf>
    <xf numFmtId="37" fontId="4" fillId="4" borderId="7" xfId="0" applyFont="1" applyFill="1" applyBorder="1"/>
    <xf numFmtId="37" fontId="4" fillId="4" borderId="16" xfId="0" applyFont="1" applyFill="1" applyBorder="1"/>
    <xf numFmtId="37" fontId="4" fillId="4" borderId="21" xfId="0" applyFont="1" applyFill="1" applyBorder="1"/>
    <xf numFmtId="37" fontId="4" fillId="4" borderId="16" xfId="0" quotePrefix="1" applyFont="1" applyFill="1" applyBorder="1" applyAlignment="1">
      <alignment horizontal="right"/>
    </xf>
    <xf numFmtId="37" fontId="4" fillId="4" borderId="4" xfId="0" applyFont="1" applyFill="1" applyBorder="1"/>
    <xf numFmtId="37" fontId="4" fillId="4" borderId="17" xfId="0" applyFont="1" applyFill="1" applyBorder="1"/>
    <xf numFmtId="37" fontId="4" fillId="4" borderId="18" xfId="0" applyFont="1" applyFill="1" applyBorder="1"/>
    <xf numFmtId="37" fontId="4" fillId="4" borderId="19" xfId="0" applyFont="1" applyFill="1" applyBorder="1"/>
    <xf numFmtId="37" fontId="4" fillId="4" borderId="12" xfId="0" applyFont="1" applyFill="1" applyBorder="1"/>
    <xf numFmtId="37" fontId="4" fillId="4" borderId="22" xfId="0" applyFont="1" applyFill="1" applyBorder="1"/>
    <xf numFmtId="37" fontId="4" fillId="4" borderId="23" xfId="0" applyFont="1" applyFill="1" applyBorder="1"/>
    <xf numFmtId="37" fontId="4" fillId="4" borderId="8" xfId="0" applyFont="1" applyFill="1" applyBorder="1"/>
    <xf numFmtId="37" fontId="6" fillId="4" borderId="13" xfId="0" applyFont="1" applyFill="1" applyBorder="1"/>
    <xf numFmtId="37" fontId="6" fillId="4" borderId="16" xfId="0" applyFont="1" applyFill="1" applyBorder="1" applyAlignment="1">
      <alignment horizontal="left"/>
    </xf>
    <xf numFmtId="37" fontId="4" fillId="4" borderId="24" xfId="0" applyFont="1" applyFill="1" applyBorder="1"/>
    <xf numFmtId="37" fontId="4" fillId="4" borderId="23" xfId="0" applyFont="1" applyFill="1" applyBorder="1" applyAlignment="1">
      <alignment horizontal="right"/>
    </xf>
    <xf numFmtId="37" fontId="4" fillId="4" borderId="20" xfId="0" applyFont="1" applyFill="1" applyBorder="1" applyAlignment="1">
      <alignment horizontal="right"/>
    </xf>
    <xf numFmtId="37" fontId="4" fillId="3" borderId="25" xfId="0" applyFont="1" applyFill="1" applyBorder="1"/>
    <xf numFmtId="37" fontId="4" fillId="3" borderId="26" xfId="0" applyFont="1" applyFill="1" applyBorder="1"/>
    <xf numFmtId="37" fontId="4" fillId="4" borderId="27" xfId="0" applyFont="1" applyFill="1" applyBorder="1"/>
    <xf numFmtId="37" fontId="6" fillId="4" borderId="13" xfId="0" applyFont="1" applyFill="1" applyBorder="1" applyAlignment="1">
      <alignment horizontal="center"/>
    </xf>
    <xf numFmtId="37" fontId="6" fillId="3" borderId="28" xfId="0" applyFont="1" applyFill="1" applyBorder="1"/>
    <xf numFmtId="37" fontId="6" fillId="2" borderId="13" xfId="0" applyFont="1" applyFill="1" applyBorder="1" applyAlignment="1">
      <alignment horizontal="center"/>
    </xf>
    <xf numFmtId="37" fontId="8" fillId="0" borderId="0" xfId="0" applyFont="1"/>
    <xf numFmtId="37" fontId="9" fillId="0" borderId="0" xfId="0" applyFont="1" applyAlignment="1">
      <alignment horizontal="left"/>
    </xf>
    <xf numFmtId="164" fontId="8" fillId="0" borderId="0" xfId="0" applyNumberFormat="1" applyFont="1"/>
    <xf numFmtId="37" fontId="8" fillId="0" borderId="0" xfId="0" applyFont="1" applyAlignment="1">
      <alignment horizontal="center"/>
    </xf>
    <xf numFmtId="37" fontId="9" fillId="0" borderId="0" xfId="0" applyFont="1"/>
    <xf numFmtId="7" fontId="8" fillId="0" borderId="0" xfId="0" applyNumberFormat="1" applyFont="1"/>
    <xf numFmtId="5" fontId="8" fillId="0" borderId="0" xfId="0" applyNumberFormat="1" applyFont="1"/>
    <xf numFmtId="37" fontId="8" fillId="0" borderId="0" xfId="0" applyFont="1" applyAlignment="1">
      <alignment horizontal="right"/>
    </xf>
    <xf numFmtId="37" fontId="4" fillId="3" borderId="29" xfId="0" applyFont="1" applyFill="1" applyBorder="1"/>
    <xf numFmtId="165" fontId="4" fillId="2" borderId="0" xfId="0" applyNumberFormat="1" applyFont="1" applyFill="1"/>
    <xf numFmtId="165" fontId="9" fillId="0" borderId="0" xfId="0" applyNumberFormat="1" applyFont="1"/>
    <xf numFmtId="37" fontId="11" fillId="0" borderId="0" xfId="0" applyFont="1"/>
    <xf numFmtId="37" fontId="12" fillId="0" borderId="0" xfId="0" applyFont="1"/>
    <xf numFmtId="37" fontId="12" fillId="0" borderId="0" xfId="0" applyFont="1" applyAlignment="1">
      <alignment horizontal="right"/>
    </xf>
    <xf numFmtId="37" fontId="14" fillId="0" borderId="0" xfId="0" applyFont="1" applyAlignment="1">
      <alignment horizontal="center"/>
    </xf>
    <xf numFmtId="39" fontId="12" fillId="0" borderId="0" xfId="0" applyNumberFormat="1" applyFont="1" applyAlignment="1">
      <alignment horizontal="center"/>
    </xf>
    <xf numFmtId="37" fontId="12" fillId="0" borderId="0" xfId="0" applyFont="1" applyAlignment="1">
      <alignment horizontal="center"/>
    </xf>
    <xf numFmtId="37" fontId="12" fillId="0" borderId="30" xfId="0" applyFont="1" applyBorder="1"/>
    <xf numFmtId="37" fontId="12" fillId="0" borderId="31" xfId="0" applyFont="1" applyBorder="1"/>
    <xf numFmtId="37" fontId="12" fillId="0" borderId="32" xfId="0" applyFont="1" applyBorder="1"/>
    <xf numFmtId="37" fontId="12" fillId="0" borderId="33" xfId="0" applyFont="1" applyBorder="1"/>
    <xf numFmtId="37" fontId="12" fillId="0" borderId="34" xfId="0" applyFont="1" applyBorder="1"/>
    <xf numFmtId="37" fontId="12" fillId="4" borderId="35" xfId="0" applyFont="1" applyFill="1" applyBorder="1"/>
    <xf numFmtId="37" fontId="12" fillId="4" borderId="9" xfId="0" applyFont="1" applyFill="1" applyBorder="1" applyAlignment="1">
      <alignment horizontal="center"/>
    </xf>
    <xf numFmtId="37" fontId="12" fillId="4" borderId="36" xfId="0" applyFont="1" applyFill="1" applyBorder="1" applyAlignment="1">
      <alignment horizontal="center"/>
    </xf>
    <xf numFmtId="37" fontId="12" fillId="4" borderId="36" xfId="0" applyFont="1" applyFill="1" applyBorder="1"/>
    <xf numFmtId="37" fontId="12" fillId="4" borderId="37" xfId="0" applyFont="1" applyFill="1" applyBorder="1"/>
    <xf numFmtId="37" fontId="12" fillId="4" borderId="17" xfId="0" applyFont="1" applyFill="1" applyBorder="1"/>
    <xf numFmtId="37" fontId="12" fillId="4" borderId="38" xfId="0" applyFont="1" applyFill="1" applyBorder="1" applyAlignment="1">
      <alignment horizontal="center"/>
    </xf>
    <xf numFmtId="37" fontId="12" fillId="4" borderId="33" xfId="0" applyFont="1" applyFill="1" applyBorder="1"/>
    <xf numFmtId="37" fontId="12" fillId="4" borderId="10" xfId="0" applyFont="1" applyFill="1" applyBorder="1"/>
    <xf numFmtId="37" fontId="12" fillId="4" borderId="0" xfId="0" applyFont="1" applyFill="1"/>
    <xf numFmtId="37" fontId="12" fillId="4" borderId="27" xfId="0" applyFont="1" applyFill="1" applyBorder="1"/>
    <xf numFmtId="37" fontId="12" fillId="4" borderId="18" xfId="0" applyFont="1" applyFill="1" applyBorder="1"/>
    <xf numFmtId="37" fontId="12" fillId="4" borderId="27" xfId="0" applyFont="1" applyFill="1" applyBorder="1" applyAlignment="1">
      <alignment horizontal="center"/>
    </xf>
    <xf numFmtId="37" fontId="12" fillId="4" borderId="10" xfId="0" applyFont="1" applyFill="1" applyBorder="1" applyAlignment="1">
      <alignment horizontal="center"/>
    </xf>
    <xf numFmtId="37" fontId="12" fillId="4" borderId="34" xfId="0" applyFont="1" applyFill="1" applyBorder="1" applyAlignment="1">
      <alignment horizontal="center"/>
    </xf>
    <xf numFmtId="37" fontId="12" fillId="4" borderId="0" xfId="0" applyFont="1" applyFill="1" applyAlignment="1">
      <alignment horizontal="center"/>
    </xf>
    <xf numFmtId="37" fontId="12" fillId="4" borderId="18" xfId="0" applyFont="1" applyFill="1" applyBorder="1" applyAlignment="1">
      <alignment horizontal="center"/>
    </xf>
    <xf numFmtId="37" fontId="12" fillId="4" borderId="33" xfId="0" applyFont="1" applyFill="1" applyBorder="1" applyAlignment="1">
      <alignment horizontal="center"/>
    </xf>
    <xf numFmtId="37" fontId="12" fillId="4" borderId="39" xfId="0" applyFont="1" applyFill="1" applyBorder="1"/>
    <xf numFmtId="37" fontId="12" fillId="4" borderId="11" xfId="0" applyFont="1" applyFill="1" applyBorder="1" applyAlignment="1">
      <alignment horizontal="center"/>
    </xf>
    <xf numFmtId="37" fontId="12" fillId="4" borderId="40" xfId="0" applyFont="1" applyFill="1" applyBorder="1" applyAlignment="1">
      <alignment horizontal="center"/>
    </xf>
    <xf numFmtId="37" fontId="12" fillId="4" borderId="41" xfId="0" applyFont="1" applyFill="1" applyBorder="1" applyAlignment="1">
      <alignment horizontal="center"/>
    </xf>
    <xf numFmtId="37" fontId="12" fillId="4" borderId="19" xfId="0" applyFont="1" applyFill="1" applyBorder="1" applyAlignment="1">
      <alignment horizontal="center"/>
    </xf>
    <xf numFmtId="37" fontId="12" fillId="4" borderId="42" xfId="0" applyFont="1" applyFill="1" applyBorder="1" applyAlignment="1">
      <alignment horizontal="center"/>
    </xf>
    <xf numFmtId="37" fontId="12" fillId="0" borderId="10" xfId="0" applyFont="1" applyBorder="1"/>
    <xf numFmtId="37" fontId="12" fillId="0" borderId="27" xfId="0" applyFont="1" applyBorder="1"/>
    <xf numFmtId="37" fontId="12" fillId="0" borderId="17" xfId="0" applyFont="1" applyBorder="1"/>
    <xf numFmtId="37" fontId="12" fillId="0" borderId="36" xfId="0" applyFont="1" applyBorder="1"/>
    <xf numFmtId="37" fontId="12" fillId="0" borderId="37" xfId="0" applyFont="1" applyBorder="1"/>
    <xf numFmtId="166" fontId="15" fillId="0" borderId="10" xfId="0" applyNumberFormat="1" applyFont="1" applyBorder="1"/>
    <xf numFmtId="37" fontId="15" fillId="0" borderId="10" xfId="0" applyFont="1" applyBorder="1"/>
    <xf numFmtId="166" fontId="14" fillId="0" borderId="0" xfId="0" applyNumberFormat="1" applyFont="1"/>
    <xf numFmtId="166" fontId="12" fillId="0" borderId="27" xfId="0" applyNumberFormat="1" applyFont="1" applyBorder="1"/>
    <xf numFmtId="37" fontId="14" fillId="0" borderId="0" xfId="0" applyFont="1"/>
    <xf numFmtId="37" fontId="14" fillId="0" borderId="18" xfId="0" applyFont="1" applyBorder="1"/>
    <xf numFmtId="37" fontId="12" fillId="0" borderId="39" xfId="0" applyFont="1" applyBorder="1"/>
    <xf numFmtId="166" fontId="12" fillId="0" borderId="10" xfId="0" applyNumberFormat="1" applyFont="1" applyBorder="1"/>
    <xf numFmtId="166" fontId="12" fillId="0" borderId="0" xfId="0" applyNumberFormat="1" applyFont="1"/>
    <xf numFmtId="37" fontId="12" fillId="0" borderId="19" xfId="0" applyFont="1" applyBorder="1"/>
    <xf numFmtId="37" fontId="12" fillId="0" borderId="40" xfId="0" applyFont="1" applyBorder="1"/>
    <xf numFmtId="37" fontId="12" fillId="0" borderId="41" xfId="0" applyFont="1" applyBorder="1"/>
    <xf numFmtId="37" fontId="12" fillId="0" borderId="38" xfId="0" applyFont="1" applyBorder="1"/>
    <xf numFmtId="37" fontId="12" fillId="0" borderId="43" xfId="0" applyFont="1" applyBorder="1"/>
    <xf numFmtId="37" fontId="12" fillId="0" borderId="44" xfId="0" applyFont="1" applyBorder="1"/>
    <xf numFmtId="37" fontId="12" fillId="0" borderId="45" xfId="0" applyFont="1" applyBorder="1"/>
    <xf numFmtId="2" fontId="0" fillId="0" borderId="0" xfId="0" applyNumberFormat="1"/>
    <xf numFmtId="3" fontId="0" fillId="0" borderId="0" xfId="0" applyNumberFormat="1"/>
    <xf numFmtId="166" fontId="0" fillId="0" borderId="0" xfId="0" applyNumberFormat="1"/>
    <xf numFmtId="37" fontId="0" fillId="0" borderId="46" xfId="0" applyBorder="1"/>
    <xf numFmtId="37" fontId="0" fillId="0" borderId="46" xfId="0" applyBorder="1" applyAlignment="1">
      <alignment horizontal="center"/>
    </xf>
    <xf numFmtId="37" fontId="0" fillId="0" borderId="0" xfId="0" applyAlignment="1">
      <alignment horizontal="center"/>
    </xf>
    <xf numFmtId="37" fontId="0" fillId="0" borderId="47" xfId="0" applyBorder="1" applyAlignment="1">
      <alignment horizontal="center"/>
    </xf>
    <xf numFmtId="37" fontId="0" fillId="0" borderId="47" xfId="0" applyBorder="1"/>
    <xf numFmtId="167" fontId="0" fillId="0" borderId="0" xfId="1" applyNumberFormat="1" applyFont="1" applyAlignment="1">
      <alignment horizontal="right"/>
    </xf>
    <xf numFmtId="168" fontId="0" fillId="0" borderId="0" xfId="1" applyNumberFormat="1" applyFont="1" applyAlignment="1">
      <alignment horizontal="center"/>
    </xf>
    <xf numFmtId="2" fontId="16" fillId="0" borderId="0" xfId="0" applyNumberFormat="1" applyFont="1" applyAlignment="1">
      <alignment horizontal="center"/>
    </xf>
    <xf numFmtId="3" fontId="17" fillId="5" borderId="48" xfId="0" applyNumberFormat="1" applyFont="1" applyFill="1" applyBorder="1" applyAlignment="1">
      <alignment horizontal="center"/>
    </xf>
    <xf numFmtId="1" fontId="17" fillId="5" borderId="49" xfId="0" applyNumberFormat="1" applyFont="1" applyFill="1" applyBorder="1" applyAlignment="1">
      <alignment horizontal="center"/>
    </xf>
    <xf numFmtId="3" fontId="16" fillId="0" borderId="0" xfId="0" applyNumberFormat="1" applyFont="1" applyAlignment="1">
      <alignment horizontal="center"/>
    </xf>
    <xf numFmtId="2" fontId="17" fillId="5" borderId="50" xfId="0" applyNumberFormat="1" applyFont="1" applyFill="1" applyBorder="1" applyAlignment="1">
      <alignment horizontal="center"/>
    </xf>
    <xf numFmtId="1" fontId="17" fillId="0" borderId="0" xfId="0" applyNumberFormat="1" applyFont="1" applyAlignment="1">
      <alignment horizontal="center"/>
    </xf>
    <xf numFmtId="3" fontId="17" fillId="5" borderId="49" xfId="0" applyNumberFormat="1" applyFont="1" applyFill="1" applyBorder="1" applyAlignment="1">
      <alignment horizontal="center"/>
    </xf>
    <xf numFmtId="2" fontId="17" fillId="5" borderId="49" xfId="0" applyNumberFormat="1" applyFont="1" applyFill="1" applyBorder="1" applyAlignment="1">
      <alignment horizontal="center"/>
    </xf>
    <xf numFmtId="37" fontId="0" fillId="0" borderId="0" xfId="0" applyAlignment="1">
      <alignment horizontal="fill"/>
    </xf>
    <xf numFmtId="167" fontId="0" fillId="0" borderId="0" xfId="1" applyNumberFormat="1" applyFont="1" applyAlignment="1" applyProtection="1">
      <alignment horizontal="right"/>
    </xf>
    <xf numFmtId="168" fontId="0" fillId="0" borderId="0" xfId="1" applyNumberFormat="1" applyFont="1" applyAlignment="1" applyProtection="1">
      <alignment horizontal="center"/>
    </xf>
    <xf numFmtId="37" fontId="0" fillId="0" borderId="51" xfId="0" applyBorder="1"/>
    <xf numFmtId="37" fontId="18" fillId="0" borderId="51" xfId="0" applyFont="1" applyBorder="1" applyAlignment="1">
      <alignment horizontal="center"/>
    </xf>
    <xf numFmtId="37" fontId="0" fillId="0" borderId="0" xfId="0" quotePrefix="1"/>
    <xf numFmtId="37" fontId="19" fillId="0" borderId="0" xfId="0" applyFont="1" applyAlignment="1">
      <alignment horizontal="center"/>
    </xf>
    <xf numFmtId="37" fontId="19" fillId="0" borderId="0" xfId="0" applyFont="1"/>
    <xf numFmtId="37" fontId="21" fillId="0" borderId="0" xfId="0" applyFont="1"/>
    <xf numFmtId="37" fontId="23" fillId="0" borderId="0" xfId="0" applyFont="1" applyAlignment="1">
      <alignment horizontal="center"/>
    </xf>
    <xf numFmtId="37" fontId="20" fillId="0" borderId="49" xfId="0" applyFont="1" applyBorder="1" applyAlignment="1">
      <alignment horizontal="center"/>
    </xf>
    <xf numFmtId="169" fontId="24" fillId="0" borderId="0" xfId="0" applyNumberFormat="1" applyFont="1" applyAlignment="1">
      <alignment horizontal="center"/>
    </xf>
    <xf numFmtId="165" fontId="0" fillId="0" borderId="0" xfId="0" quotePrefix="1" applyNumberFormat="1" applyAlignment="1">
      <alignment horizontal="left"/>
    </xf>
    <xf numFmtId="165" fontId="0" fillId="0" borderId="0" xfId="0" applyNumberFormat="1" applyAlignment="1">
      <alignment horizontal="left"/>
    </xf>
    <xf numFmtId="37" fontId="25" fillId="0" borderId="0" xfId="0" applyFont="1" applyAlignment="1">
      <alignment horizontal="center"/>
    </xf>
    <xf numFmtId="37" fontId="19" fillId="0" borderId="33" xfId="0" applyFont="1" applyBorder="1"/>
    <xf numFmtId="166" fontId="26" fillId="0" borderId="10" xfId="0" applyNumberFormat="1" applyFont="1" applyBorder="1"/>
    <xf numFmtId="37" fontId="26" fillId="0" borderId="10" xfId="0" applyFont="1" applyBorder="1"/>
    <xf numFmtId="39" fontId="19" fillId="0" borderId="0" xfId="0" applyNumberFormat="1" applyFont="1"/>
    <xf numFmtId="169" fontId="25" fillId="0" borderId="0" xfId="0" applyNumberFormat="1" applyFont="1" applyAlignment="1">
      <alignment horizontal="center"/>
    </xf>
    <xf numFmtId="37" fontId="27" fillId="2" borderId="0" xfId="0" applyFont="1" applyFill="1"/>
    <xf numFmtId="37" fontId="6" fillId="2" borderId="1" xfId="0" applyFont="1" applyFill="1" applyBorder="1" applyAlignment="1">
      <alignment horizontal="left"/>
    </xf>
    <xf numFmtId="37" fontId="6" fillId="2" borderId="15" xfId="0" applyFont="1" applyFill="1" applyBorder="1" applyAlignment="1">
      <alignment horizontal="right"/>
    </xf>
    <xf numFmtId="37" fontId="6" fillId="4" borderId="9" xfId="0" applyFont="1" applyFill="1" applyBorder="1" applyAlignment="1">
      <alignment horizontal="center"/>
    </xf>
    <xf numFmtId="37" fontId="6" fillId="4" borderId="6" xfId="0" applyFont="1" applyFill="1" applyBorder="1" applyAlignment="1">
      <alignment horizontal="right"/>
    </xf>
    <xf numFmtId="37" fontId="5" fillId="3" borderId="21" xfId="0" applyFont="1" applyFill="1" applyBorder="1"/>
    <xf numFmtId="37" fontId="5" fillId="3" borderId="13" xfId="0" applyFont="1" applyFill="1" applyBorder="1"/>
    <xf numFmtId="37" fontId="6" fillId="2" borderId="2" xfId="0" applyFont="1" applyFill="1" applyBorder="1" applyAlignment="1">
      <alignment horizontal="left"/>
    </xf>
    <xf numFmtId="37" fontId="6" fillId="2" borderId="3" xfId="0" applyFont="1" applyFill="1" applyBorder="1" applyAlignment="1">
      <alignment horizontal="right"/>
    </xf>
    <xf numFmtId="37" fontId="5" fillId="3" borderId="14" xfId="0" applyFont="1" applyFill="1" applyBorder="1"/>
    <xf numFmtId="37" fontId="5" fillId="3" borderId="52" xfId="0" applyFont="1" applyFill="1" applyBorder="1"/>
    <xf numFmtId="37" fontId="6" fillId="4" borderId="10" xfId="0" applyFont="1" applyFill="1" applyBorder="1"/>
    <xf numFmtId="37" fontId="6" fillId="4" borderId="21" xfId="0" quotePrefix="1" applyFont="1" applyFill="1" applyBorder="1" applyAlignment="1">
      <alignment horizontal="right"/>
    </xf>
    <xf numFmtId="37" fontId="6" fillId="4" borderId="9" xfId="0" applyFont="1" applyFill="1" applyBorder="1"/>
    <xf numFmtId="37" fontId="6" fillId="4" borderId="11" xfId="0" applyFont="1" applyFill="1" applyBorder="1"/>
    <xf numFmtId="37" fontId="6" fillId="2" borderId="0" xfId="0" applyFont="1" applyFill="1"/>
    <xf numFmtId="37" fontId="6" fillId="4" borderId="16" xfId="0" applyFont="1" applyFill="1" applyBorder="1"/>
    <xf numFmtId="37" fontId="6" fillId="4" borderId="21" xfId="0" applyFont="1" applyFill="1" applyBorder="1"/>
    <xf numFmtId="37" fontId="6" fillId="4" borderId="16" xfId="0" quotePrefix="1" applyFont="1" applyFill="1" applyBorder="1" applyAlignment="1">
      <alignment horizontal="right"/>
    </xf>
    <xf numFmtId="37" fontId="6" fillId="4" borderId="24" xfId="0" applyFont="1" applyFill="1" applyBorder="1"/>
    <xf numFmtId="37" fontId="5" fillId="3" borderId="53" xfId="0" applyFont="1" applyFill="1" applyBorder="1"/>
    <xf numFmtId="37" fontId="5" fillId="3" borderId="54" xfId="0" applyFont="1" applyFill="1" applyBorder="1"/>
    <xf numFmtId="37" fontId="6" fillId="4" borderId="20" xfId="0" applyFont="1" applyFill="1" applyBorder="1" applyAlignment="1">
      <alignment horizontal="right"/>
    </xf>
    <xf numFmtId="37" fontId="5" fillId="3" borderId="55" xfId="0" applyFont="1" applyFill="1" applyBorder="1"/>
    <xf numFmtId="37" fontId="6" fillId="3" borderId="25" xfId="0" applyFont="1" applyFill="1" applyBorder="1"/>
    <xf numFmtId="37" fontId="5" fillId="4" borderId="10" xfId="0" applyFont="1" applyFill="1" applyBorder="1"/>
    <xf numFmtId="37" fontId="5" fillId="4" borderId="18" xfId="0" applyFont="1" applyFill="1" applyBorder="1"/>
    <xf numFmtId="37" fontId="6" fillId="3" borderId="26" xfId="0" applyFont="1" applyFill="1" applyBorder="1"/>
    <xf numFmtId="165" fontId="6" fillId="2" borderId="0" xfId="0" applyNumberFormat="1" applyFont="1" applyFill="1"/>
    <xf numFmtId="37" fontId="6" fillId="2" borderId="0" xfId="0" applyFont="1" applyFill="1" applyAlignment="1">
      <alignment horizontal="center"/>
    </xf>
    <xf numFmtId="37" fontId="6" fillId="2" borderId="0" xfId="0" applyFont="1" applyFill="1" applyAlignment="1">
      <alignment horizontal="centerContinuous"/>
    </xf>
    <xf numFmtId="37" fontId="5" fillId="2" borderId="0" xfId="0" applyFont="1" applyFill="1" applyAlignment="1">
      <alignment horizontal="centerContinuous"/>
    </xf>
    <xf numFmtId="37" fontId="6" fillId="4" borderId="36" xfId="0" quotePrefix="1" applyFont="1" applyFill="1" applyBorder="1" applyAlignment="1">
      <alignment horizontal="right"/>
    </xf>
    <xf numFmtId="37" fontId="6" fillId="4" borderId="37" xfId="0" applyFont="1" applyFill="1" applyBorder="1"/>
    <xf numFmtId="37" fontId="6" fillId="4" borderId="19" xfId="0" quotePrefix="1" applyFont="1" applyFill="1" applyBorder="1" applyAlignment="1">
      <alignment horizontal="right"/>
    </xf>
    <xf numFmtId="37" fontId="6" fillId="4" borderId="40" xfId="0" quotePrefix="1" applyFont="1" applyFill="1" applyBorder="1" applyAlignment="1">
      <alignment horizontal="right"/>
    </xf>
    <xf numFmtId="37" fontId="5" fillId="2" borderId="0" xfId="0" quotePrefix="1" applyFont="1" applyFill="1" applyAlignment="1">
      <alignment horizontal="left"/>
    </xf>
    <xf numFmtId="37" fontId="6" fillId="4" borderId="56" xfId="0" applyFont="1" applyFill="1" applyBorder="1" applyAlignment="1">
      <alignment horizontal="right"/>
    </xf>
    <xf numFmtId="37" fontId="5" fillId="3" borderId="57" xfId="0" applyFont="1" applyFill="1" applyBorder="1"/>
    <xf numFmtId="37" fontId="6" fillId="3" borderId="56" xfId="0" applyFont="1" applyFill="1" applyBorder="1"/>
    <xf numFmtId="37" fontId="6" fillId="2" borderId="16" xfId="0" applyFont="1" applyFill="1" applyBorder="1"/>
    <xf numFmtId="37" fontId="6" fillId="4" borderId="13" xfId="0" quotePrefix="1" applyFont="1" applyFill="1" applyBorder="1" applyAlignment="1">
      <alignment horizontal="right"/>
    </xf>
    <xf numFmtId="37" fontId="5" fillId="0" borderId="0" xfId="0" applyFont="1" applyAlignment="1">
      <alignment horizontal="center"/>
    </xf>
    <xf numFmtId="37" fontId="5" fillId="0" borderId="0" xfId="0" applyFont="1"/>
    <xf numFmtId="37" fontId="6" fillId="2" borderId="1" xfId="0" applyFont="1" applyFill="1" applyBorder="1" applyAlignment="1">
      <alignment horizontal="right"/>
    </xf>
    <xf numFmtId="10" fontId="8" fillId="0" borderId="0" xfId="0" applyNumberFormat="1" applyFont="1" applyAlignment="1">
      <alignment horizontal="center"/>
    </xf>
    <xf numFmtId="37" fontId="28" fillId="0" borderId="0" xfId="0" quotePrefix="1" applyFont="1" applyAlignment="1">
      <alignment horizontal="left"/>
    </xf>
    <xf numFmtId="37" fontId="28" fillId="0" borderId="0" xfId="0" applyFont="1"/>
    <xf numFmtId="37" fontId="2" fillId="2" borderId="0" xfId="0" applyFont="1" applyFill="1" applyAlignment="1">
      <alignment horizontal="centerContinuous"/>
    </xf>
    <xf numFmtId="37" fontId="29" fillId="0" borderId="27" xfId="0" quotePrefix="1" applyFont="1" applyBorder="1"/>
    <xf numFmtId="37" fontId="29" fillId="0" borderId="0" xfId="0" applyFont="1"/>
    <xf numFmtId="37" fontId="29" fillId="0" borderId="27" xfId="0" applyFont="1" applyBorder="1"/>
    <xf numFmtId="37" fontId="10" fillId="0" borderId="0" xfId="0" applyFont="1" applyAlignment="1">
      <alignment horizontal="right"/>
    </xf>
    <xf numFmtId="37" fontId="13" fillId="0" borderId="0" xfId="0" applyFont="1" applyAlignment="1">
      <alignment horizontal="right"/>
    </xf>
    <xf numFmtId="37" fontId="30" fillId="0" borderId="0" xfId="0" applyFont="1" applyAlignment="1">
      <alignment horizontal="right"/>
    </xf>
    <xf numFmtId="37" fontId="23" fillId="4" borderId="11" xfId="0" applyFont="1" applyFill="1" applyBorder="1"/>
    <xf numFmtId="37" fontId="23" fillId="4" borderId="19" xfId="0" applyFont="1" applyFill="1" applyBorder="1"/>
    <xf numFmtId="37" fontId="23" fillId="2" borderId="40" xfId="0" applyFont="1" applyFill="1" applyBorder="1"/>
    <xf numFmtId="37" fontId="31" fillId="0" borderId="0" xfId="0" applyFont="1"/>
    <xf numFmtId="37" fontId="27" fillId="4" borderId="16" xfId="0" applyFont="1" applyFill="1" applyBorder="1"/>
    <xf numFmtId="37" fontId="27" fillId="3" borderId="21" xfId="0" applyFont="1" applyFill="1" applyBorder="1"/>
    <xf numFmtId="37" fontId="27" fillId="3" borderId="13" xfId="0" applyFont="1" applyFill="1" applyBorder="1"/>
    <xf numFmtId="37" fontId="4" fillId="2" borderId="4" xfId="0" applyFont="1" applyFill="1" applyBorder="1" applyAlignment="1">
      <alignment horizontal="left"/>
    </xf>
    <xf numFmtId="37" fontId="4" fillId="2" borderId="10" xfId="0" applyFont="1" applyFill="1" applyBorder="1" applyAlignment="1">
      <alignment horizontal="left"/>
    </xf>
    <xf numFmtId="37" fontId="4" fillId="2" borderId="4" xfId="0" quotePrefix="1" applyFont="1" applyFill="1" applyBorder="1" applyAlignment="1">
      <alignment horizontal="left"/>
    </xf>
    <xf numFmtId="37" fontId="4" fillId="2" borderId="7" xfId="0" applyFont="1" applyFill="1" applyBorder="1" applyAlignment="1">
      <alignment horizontal="left"/>
    </xf>
    <xf numFmtId="37" fontId="27" fillId="2" borderId="14" xfId="0" applyFont="1" applyFill="1" applyBorder="1"/>
    <xf numFmtId="37" fontId="27" fillId="2" borderId="0" xfId="0" applyFont="1" applyFill="1" applyAlignment="1">
      <alignment horizontal="left"/>
    </xf>
    <xf numFmtId="37" fontId="4" fillId="2" borderId="58" xfId="0" applyFont="1" applyFill="1" applyBorder="1" applyAlignment="1">
      <alignment horizontal="center"/>
    </xf>
    <xf numFmtId="37" fontId="27" fillId="3" borderId="7" xfId="0" applyFont="1" applyFill="1" applyBorder="1"/>
    <xf numFmtId="37" fontId="27" fillId="3" borderId="14" xfId="0" applyFont="1" applyFill="1" applyBorder="1"/>
    <xf numFmtId="37" fontId="27" fillId="3" borderId="52" xfId="0" applyFont="1" applyFill="1" applyBorder="1"/>
    <xf numFmtId="37" fontId="27" fillId="2" borderId="7" xfId="0" applyFont="1" applyFill="1" applyBorder="1" applyAlignment="1">
      <alignment horizontal="left"/>
    </xf>
    <xf numFmtId="37" fontId="4" fillId="2" borderId="59" xfId="0" applyFont="1" applyFill="1" applyBorder="1" applyAlignment="1">
      <alignment horizontal="center"/>
    </xf>
    <xf numFmtId="37" fontId="27" fillId="3" borderId="16" xfId="0" applyFont="1" applyFill="1" applyBorder="1"/>
    <xf numFmtId="37" fontId="4" fillId="2" borderId="9" xfId="0" applyFont="1" applyFill="1" applyBorder="1" applyAlignment="1">
      <alignment horizontal="left"/>
    </xf>
    <xf numFmtId="37" fontId="4" fillId="2" borderId="0" xfId="0" quotePrefix="1" applyFont="1" applyFill="1" applyAlignment="1">
      <alignment horizontal="left"/>
    </xf>
    <xf numFmtId="37" fontId="27" fillId="2" borderId="10" xfId="0" quotePrefix="1" applyFont="1" applyFill="1" applyBorder="1" applyAlignment="1">
      <alignment horizontal="left"/>
    </xf>
    <xf numFmtId="37" fontId="27" fillId="2" borderId="13" xfId="0" applyFont="1" applyFill="1" applyBorder="1" applyAlignment="1">
      <alignment horizontal="left"/>
    </xf>
    <xf numFmtId="37" fontId="27" fillId="2" borderId="21" xfId="0" applyFont="1" applyFill="1" applyBorder="1"/>
    <xf numFmtId="37" fontId="4" fillId="4" borderId="60" xfId="0" applyFont="1" applyFill="1" applyBorder="1"/>
    <xf numFmtId="37" fontId="27" fillId="4" borderId="21" xfId="0" applyFont="1" applyFill="1" applyBorder="1"/>
    <xf numFmtId="37" fontId="27" fillId="4" borderId="13" xfId="0" applyFont="1" applyFill="1" applyBorder="1"/>
    <xf numFmtId="37" fontId="27" fillId="4" borderId="24" xfId="0" applyFont="1" applyFill="1" applyBorder="1"/>
    <xf numFmtId="37" fontId="27" fillId="2" borderId="10" xfId="0" applyFont="1" applyFill="1" applyBorder="1" applyAlignment="1">
      <alignment horizontal="left"/>
    </xf>
    <xf numFmtId="37" fontId="27" fillId="2" borderId="11" xfId="0" applyFont="1" applyFill="1" applyBorder="1" applyAlignment="1">
      <alignment horizontal="left"/>
    </xf>
    <xf numFmtId="37" fontId="27" fillId="4" borderId="14" xfId="0" applyFont="1" applyFill="1" applyBorder="1"/>
    <xf numFmtId="37" fontId="4" fillId="2" borderId="59" xfId="0" applyFont="1" applyFill="1" applyBorder="1" applyAlignment="1">
      <alignment horizontal="left"/>
    </xf>
    <xf numFmtId="37" fontId="27" fillId="2" borderId="36" xfId="0" applyFont="1" applyFill="1" applyBorder="1"/>
    <xf numFmtId="37" fontId="4" fillId="2" borderId="61" xfId="0" quotePrefix="1" applyFont="1" applyFill="1" applyBorder="1" applyAlignment="1">
      <alignment horizontal="left"/>
    </xf>
    <xf numFmtId="37" fontId="4" fillId="2" borderId="61" xfId="0" applyFont="1" applyFill="1" applyBorder="1" applyAlignment="1">
      <alignment horizontal="left"/>
    </xf>
    <xf numFmtId="37" fontId="4" fillId="2" borderId="62" xfId="0" applyFont="1" applyFill="1" applyBorder="1" applyAlignment="1">
      <alignment horizontal="left"/>
    </xf>
    <xf numFmtId="37" fontId="27" fillId="2" borderId="40" xfId="0" applyFont="1" applyFill="1" applyBorder="1"/>
    <xf numFmtId="37" fontId="27" fillId="4" borderId="52" xfId="0" applyFont="1" applyFill="1" applyBorder="1"/>
    <xf numFmtId="37" fontId="27" fillId="2" borderId="4" xfId="0" applyFont="1" applyFill="1" applyBorder="1" applyAlignment="1">
      <alignment horizontal="left"/>
    </xf>
    <xf numFmtId="37" fontId="27" fillId="6" borderId="4" xfId="0" applyFont="1" applyFill="1" applyBorder="1" applyAlignment="1">
      <alignment horizontal="left"/>
    </xf>
    <xf numFmtId="37" fontId="27" fillId="6" borderId="10" xfId="0" quotePrefix="1" applyFont="1" applyFill="1" applyBorder="1" applyAlignment="1">
      <alignment horizontal="left"/>
    </xf>
    <xf numFmtId="37" fontId="27" fillId="6" borderId="4" xfId="0" quotePrefix="1" applyFont="1" applyFill="1" applyBorder="1" applyAlignment="1">
      <alignment horizontal="left"/>
    </xf>
    <xf numFmtId="37" fontId="27" fillId="2" borderId="4" xfId="0" quotePrefix="1" applyFont="1" applyFill="1" applyBorder="1" applyAlignment="1">
      <alignment horizontal="left"/>
    </xf>
    <xf numFmtId="37" fontId="23" fillId="2" borderId="62" xfId="0" applyFont="1" applyFill="1" applyBorder="1" applyAlignment="1">
      <alignment horizontal="left"/>
    </xf>
    <xf numFmtId="37" fontId="4" fillId="4" borderId="5" xfId="0" applyFont="1" applyFill="1" applyBorder="1"/>
    <xf numFmtId="37" fontId="27" fillId="4" borderId="3" xfId="0" applyFont="1" applyFill="1" applyBorder="1"/>
    <xf numFmtId="37" fontId="4" fillId="2" borderId="6" xfId="0" applyFont="1" applyFill="1" applyBorder="1" applyAlignment="1">
      <alignment horizontal="center"/>
    </xf>
    <xf numFmtId="37" fontId="27" fillId="2" borderId="0" xfId="0" quotePrefix="1" applyFont="1" applyFill="1"/>
    <xf numFmtId="37" fontId="27" fillId="4" borderId="13" xfId="0" applyFont="1" applyFill="1" applyBorder="1" applyAlignment="1">
      <alignment horizontal="left"/>
    </xf>
    <xf numFmtId="37" fontId="4" fillId="4" borderId="16" xfId="0" applyFont="1" applyFill="1" applyBorder="1" applyAlignment="1">
      <alignment horizontal="left"/>
    </xf>
    <xf numFmtId="37" fontId="4" fillId="2" borderId="5" xfId="0" applyFont="1" applyFill="1" applyBorder="1" applyAlignment="1">
      <alignment horizontal="center"/>
    </xf>
    <xf numFmtId="37" fontId="27" fillId="3" borderId="53" xfId="0" applyFont="1" applyFill="1" applyBorder="1"/>
    <xf numFmtId="37" fontId="27" fillId="3" borderId="9" xfId="0" applyFont="1" applyFill="1" applyBorder="1"/>
    <xf numFmtId="37" fontId="4" fillId="3" borderId="58" xfId="0" applyFont="1" applyFill="1" applyBorder="1"/>
    <xf numFmtId="37" fontId="27" fillId="3" borderId="54" xfId="0" applyFont="1" applyFill="1" applyBorder="1"/>
    <xf numFmtId="37" fontId="27" fillId="3" borderId="55" xfId="0" applyFont="1" applyFill="1" applyBorder="1"/>
    <xf numFmtId="37" fontId="27" fillId="4" borderId="10" xfId="0" applyFont="1" applyFill="1" applyBorder="1"/>
    <xf numFmtId="37" fontId="27" fillId="4" borderId="18" xfId="0" applyFont="1" applyFill="1" applyBorder="1"/>
    <xf numFmtId="37" fontId="6" fillId="2" borderId="0" xfId="0" quotePrefix="1" applyFont="1" applyFill="1" applyAlignment="1">
      <alignment horizontal="right"/>
    </xf>
    <xf numFmtId="37" fontId="26" fillId="0" borderId="0" xfId="0" applyFont="1"/>
    <xf numFmtId="166" fontId="26" fillId="0" borderId="0" xfId="0" applyNumberFormat="1" applyFont="1"/>
    <xf numFmtId="166" fontId="26" fillId="0" borderId="27" xfId="0" applyNumberFormat="1" applyFont="1" applyBorder="1"/>
    <xf numFmtId="37" fontId="26" fillId="0" borderId="18" xfId="0" applyFont="1" applyBorder="1"/>
    <xf numFmtId="37" fontId="26" fillId="0" borderId="27" xfId="0" applyFont="1" applyBorder="1"/>
    <xf numFmtId="37" fontId="26" fillId="0" borderId="34" xfId="0" applyFont="1" applyBorder="1"/>
    <xf numFmtId="37" fontId="22" fillId="0" borderId="49" xfId="0" applyFont="1" applyBorder="1" applyAlignment="1">
      <alignment horizontal="center"/>
    </xf>
    <xf numFmtId="37" fontId="2" fillId="2" borderId="14" xfId="0" applyFont="1" applyFill="1" applyBorder="1"/>
    <xf numFmtId="37" fontId="2" fillId="2" borderId="0" xfId="0" applyFont="1" applyFill="1" applyAlignment="1">
      <alignment horizontal="left"/>
    </xf>
    <xf numFmtId="37" fontId="2" fillId="3" borderId="7" xfId="0" applyFont="1" applyFill="1" applyBorder="1"/>
    <xf numFmtId="37" fontId="2" fillId="3" borderId="14" xfId="0" applyFont="1" applyFill="1" applyBorder="1"/>
    <xf numFmtId="37" fontId="2" fillId="3" borderId="52" xfId="0" applyFont="1" applyFill="1" applyBorder="1"/>
    <xf numFmtId="37" fontId="2" fillId="2" borderId="7" xfId="0" applyFont="1" applyFill="1" applyBorder="1" applyAlignment="1">
      <alignment horizontal="left"/>
    </xf>
    <xf numFmtId="37" fontId="2" fillId="3" borderId="16" xfId="0" applyFont="1" applyFill="1" applyBorder="1"/>
    <xf numFmtId="37" fontId="2" fillId="3" borderId="21" xfId="0" applyFont="1" applyFill="1" applyBorder="1"/>
    <xf numFmtId="37" fontId="2" fillId="3" borderId="13" xfId="0" applyFont="1" applyFill="1" applyBorder="1"/>
    <xf numFmtId="37" fontId="2" fillId="2" borderId="10" xfId="0" quotePrefix="1" applyFont="1" applyFill="1" applyBorder="1" applyAlignment="1">
      <alignment horizontal="left"/>
    </xf>
    <xf numFmtId="37" fontId="2" fillId="2" borderId="13" xfId="0" applyFont="1" applyFill="1" applyBorder="1" applyAlignment="1">
      <alignment horizontal="left"/>
    </xf>
    <xf numFmtId="37" fontId="2" fillId="2" borderId="21" xfId="0" applyFont="1" applyFill="1" applyBorder="1"/>
    <xf numFmtId="37" fontId="2" fillId="4" borderId="16" xfId="0" applyFont="1" applyFill="1" applyBorder="1"/>
    <xf numFmtId="37" fontId="2" fillId="4" borderId="21" xfId="0" applyFont="1" applyFill="1" applyBorder="1"/>
    <xf numFmtId="37" fontId="2" fillId="4" borderId="13" xfId="0" applyFont="1" applyFill="1" applyBorder="1"/>
    <xf numFmtId="37" fontId="2" fillId="4" borderId="24" xfId="0" applyFont="1" applyFill="1" applyBorder="1"/>
    <xf numFmtId="37" fontId="2" fillId="2" borderId="4" xfId="0" applyFont="1" applyFill="1" applyBorder="1" applyAlignment="1">
      <alignment horizontal="left"/>
    </xf>
    <xf numFmtId="37" fontId="2" fillId="2" borderId="10" xfId="0" applyFont="1" applyFill="1" applyBorder="1" applyAlignment="1">
      <alignment horizontal="left"/>
    </xf>
    <xf numFmtId="37" fontId="2" fillId="2" borderId="11" xfId="0" applyFont="1" applyFill="1" applyBorder="1" applyAlignment="1">
      <alignment horizontal="left"/>
    </xf>
    <xf numFmtId="37" fontId="2" fillId="4" borderId="14" xfId="0" applyFont="1" applyFill="1" applyBorder="1"/>
    <xf numFmtId="37" fontId="2" fillId="2" borderId="36" xfId="0" applyFont="1" applyFill="1" applyBorder="1"/>
    <xf numFmtId="37" fontId="2" fillId="2" borderId="40" xfId="0" applyFont="1" applyFill="1" applyBorder="1"/>
    <xf numFmtId="37" fontId="2" fillId="4" borderId="52" xfId="0" applyFont="1" applyFill="1" applyBorder="1"/>
    <xf numFmtId="37" fontId="2" fillId="6" borderId="4" xfId="0" applyFont="1" applyFill="1" applyBorder="1" applyAlignment="1">
      <alignment horizontal="left"/>
    </xf>
    <xf numFmtId="37" fontId="2" fillId="6" borderId="10" xfId="0" quotePrefix="1" applyFont="1" applyFill="1" applyBorder="1" applyAlignment="1">
      <alignment horizontal="left"/>
    </xf>
    <xf numFmtId="37" fontId="2" fillId="6" borderId="4" xfId="0" quotePrefix="1" applyFont="1" applyFill="1" applyBorder="1" applyAlignment="1">
      <alignment horizontal="left"/>
    </xf>
    <xf numFmtId="37" fontId="2" fillId="2" borderId="4" xfId="0" quotePrefix="1" applyFont="1" applyFill="1" applyBorder="1" applyAlignment="1">
      <alignment horizontal="left"/>
    </xf>
    <xf numFmtId="37" fontId="2" fillId="4" borderId="3" xfId="0" applyFont="1" applyFill="1" applyBorder="1"/>
    <xf numFmtId="37" fontId="2" fillId="4" borderId="13" xfId="0" applyFont="1" applyFill="1" applyBorder="1" applyAlignment="1">
      <alignment horizontal="left"/>
    </xf>
    <xf numFmtId="37" fontId="2" fillId="3" borderId="53" xfId="0" applyFont="1" applyFill="1" applyBorder="1"/>
    <xf numFmtId="37" fontId="2" fillId="3" borderId="9" xfId="0" applyFont="1" applyFill="1" applyBorder="1"/>
    <xf numFmtId="37" fontId="2" fillId="3" borderId="54" xfId="0" applyFont="1" applyFill="1" applyBorder="1"/>
    <xf numFmtId="37" fontId="2" fillId="3" borderId="55" xfId="0" applyFont="1" applyFill="1" applyBorder="1"/>
    <xf numFmtId="37" fontId="2" fillId="4" borderId="10" xfId="0" applyFont="1" applyFill="1" applyBorder="1"/>
    <xf numFmtId="37" fontId="2" fillId="4" borderId="18" xfId="0" applyFont="1" applyFill="1" applyBorder="1"/>
    <xf numFmtId="37" fontId="23" fillId="0" borderId="0" xfId="0" applyFont="1"/>
    <xf numFmtId="165" fontId="12" fillId="0" borderId="0" xfId="0" applyNumberFormat="1" applyFont="1"/>
    <xf numFmtId="37" fontId="23" fillId="4" borderId="10" xfId="0" applyFont="1" applyFill="1" applyBorder="1"/>
    <xf numFmtId="37" fontId="23" fillId="2" borderId="10" xfId="0" applyFont="1" applyFill="1" applyBorder="1" applyAlignment="1">
      <alignment horizontal="left"/>
    </xf>
    <xf numFmtId="37" fontId="23" fillId="2" borderId="0" xfId="0" applyFont="1" applyFill="1"/>
    <xf numFmtId="37" fontId="5" fillId="6" borderId="0" xfId="0" applyFont="1" applyFill="1" applyAlignment="1">
      <alignment horizontal="left"/>
    </xf>
    <xf numFmtId="37" fontId="4" fillId="4" borderId="36" xfId="0" quotePrefix="1" applyFont="1" applyFill="1" applyBorder="1" applyAlignment="1">
      <alignment horizontal="right"/>
    </xf>
    <xf numFmtId="37" fontId="4" fillId="4" borderId="37" xfId="0" applyFont="1" applyFill="1" applyBorder="1"/>
    <xf numFmtId="37" fontId="4" fillId="4" borderId="19" xfId="0" quotePrefix="1" applyFont="1" applyFill="1" applyBorder="1" applyAlignment="1">
      <alignment horizontal="right"/>
    </xf>
    <xf numFmtId="37" fontId="4" fillId="4" borderId="40" xfId="0" quotePrefix="1" applyFont="1" applyFill="1" applyBorder="1" applyAlignment="1">
      <alignment horizontal="right"/>
    </xf>
    <xf numFmtId="37" fontId="4" fillId="4" borderId="56" xfId="0" applyFont="1" applyFill="1" applyBorder="1" applyAlignment="1">
      <alignment horizontal="right"/>
    </xf>
    <xf numFmtId="37" fontId="4" fillId="3" borderId="28" xfId="0" applyFont="1" applyFill="1" applyBorder="1"/>
    <xf numFmtId="37" fontId="27" fillId="3" borderId="57" xfId="0" applyFont="1" applyFill="1" applyBorder="1"/>
    <xf numFmtId="37" fontId="4" fillId="3" borderId="56" xfId="0" applyFont="1" applyFill="1" applyBorder="1"/>
    <xf numFmtId="37" fontId="4" fillId="2" borderId="13" xfId="0" applyFont="1" applyFill="1" applyBorder="1" applyAlignment="1">
      <alignment horizontal="center"/>
    </xf>
    <xf numFmtId="37" fontId="4" fillId="2" borderId="16" xfId="0" applyFont="1" applyFill="1" applyBorder="1"/>
    <xf numFmtId="37" fontId="4" fillId="4" borderId="13" xfId="0" quotePrefix="1" applyFont="1" applyFill="1" applyBorder="1" applyAlignment="1">
      <alignment horizontal="right"/>
    </xf>
    <xf numFmtId="37" fontId="27" fillId="2" borderId="41" xfId="0" applyFont="1" applyFill="1" applyBorder="1"/>
    <xf numFmtId="37" fontId="4" fillId="2" borderId="63" xfId="0" applyFont="1" applyFill="1" applyBorder="1" applyAlignment="1">
      <alignment horizontal="left"/>
    </xf>
    <xf numFmtId="37" fontId="8" fillId="7" borderId="0" xfId="0" applyFont="1" applyFill="1"/>
    <xf numFmtId="37" fontId="5" fillId="2" borderId="10" xfId="0" applyFont="1" applyFill="1" applyBorder="1" applyAlignment="1">
      <alignment horizontal="left"/>
    </xf>
    <xf numFmtId="37" fontId="4" fillId="0" borderId="0" xfId="0" applyFont="1"/>
    <xf numFmtId="37" fontId="23" fillId="2" borderId="0" xfId="0" applyFont="1" applyFill="1" applyAlignment="1">
      <alignment horizontal="left"/>
    </xf>
    <xf numFmtId="37" fontId="35" fillId="2" borderId="0" xfId="0" applyFont="1" applyFill="1"/>
    <xf numFmtId="37" fontId="35" fillId="0" borderId="0" xfId="0" applyFont="1"/>
    <xf numFmtId="37" fontId="27" fillId="0" borderId="0" xfId="0" applyFont="1"/>
    <xf numFmtId="37" fontId="36" fillId="0" borderId="0" xfId="0" applyFont="1"/>
    <xf numFmtId="37" fontId="0" fillId="2" borderId="0" xfId="0" applyFill="1"/>
    <xf numFmtId="37" fontId="39" fillId="2" borderId="0" xfId="0" applyFont="1" applyFill="1" applyAlignment="1">
      <alignment horizontal="center"/>
    </xf>
    <xf numFmtId="171" fontId="3" fillId="2" borderId="0" xfId="0" applyNumberFormat="1" applyFont="1" applyFill="1" applyAlignment="1">
      <alignment horizontal="center"/>
    </xf>
    <xf numFmtId="37" fontId="40" fillId="0" borderId="0" xfId="0" applyFont="1"/>
    <xf numFmtId="37" fontId="37" fillId="2" borderId="0" xfId="0" quotePrefix="1" applyFont="1" applyFill="1" applyAlignment="1">
      <alignment horizontal="left"/>
    </xf>
    <xf numFmtId="37" fontId="37" fillId="2" borderId="0" xfId="0" applyFont="1" applyFill="1"/>
    <xf numFmtId="37" fontId="41" fillId="2" borderId="0" xfId="0" applyFont="1" applyFill="1"/>
    <xf numFmtId="37" fontId="31" fillId="2" borderId="0" xfId="0" applyFont="1" applyFill="1"/>
    <xf numFmtId="37" fontId="42" fillId="2" borderId="2" xfId="0" applyFont="1" applyFill="1" applyBorder="1" applyAlignment="1">
      <alignment horizontal="center"/>
    </xf>
    <xf numFmtId="37" fontId="43" fillId="2" borderId="13" xfId="0" applyFont="1" applyFill="1" applyBorder="1" applyAlignment="1">
      <alignment horizontal="center"/>
    </xf>
    <xf numFmtId="37" fontId="3" fillId="2" borderId="2" xfId="0" applyFont="1" applyFill="1" applyBorder="1" applyAlignment="1">
      <alignment horizontal="center"/>
    </xf>
    <xf numFmtId="37" fontId="4" fillId="2" borderId="13" xfId="0" applyFont="1" applyFill="1" applyBorder="1" applyAlignment="1">
      <alignment horizontal="right"/>
    </xf>
    <xf numFmtId="37" fontId="4" fillId="2" borderId="41" xfId="0" applyFont="1" applyFill="1" applyBorder="1" applyAlignment="1">
      <alignment horizontal="right"/>
    </xf>
    <xf numFmtId="37" fontId="4" fillId="2" borderId="9" xfId="0" applyFont="1" applyFill="1" applyBorder="1" applyAlignment="1">
      <alignment horizontal="right"/>
    </xf>
    <xf numFmtId="37" fontId="34" fillId="2" borderId="10" xfId="0" applyFont="1" applyFill="1" applyBorder="1"/>
    <xf numFmtId="37" fontId="0" fillId="2" borderId="0" xfId="0" applyFill="1" applyAlignment="1">
      <alignment horizontal="left"/>
    </xf>
    <xf numFmtId="37" fontId="0" fillId="2" borderId="18" xfId="0" applyFill="1" applyBorder="1" applyAlignment="1">
      <alignment horizontal="right"/>
    </xf>
    <xf numFmtId="37" fontId="0" fillId="2" borderId="27" xfId="0" applyFill="1" applyBorder="1"/>
    <xf numFmtId="37" fontId="33" fillId="2" borderId="27" xfId="0" applyFont="1" applyFill="1" applyBorder="1"/>
    <xf numFmtId="37" fontId="0" fillId="2" borderId="18" xfId="0" applyFill="1" applyBorder="1"/>
    <xf numFmtId="37" fontId="34" fillId="8" borderId="64" xfId="0" applyFont="1" applyFill="1" applyBorder="1"/>
    <xf numFmtId="37" fontId="44" fillId="2" borderId="13" xfId="0" applyFont="1" applyFill="1" applyBorder="1" applyAlignment="1">
      <alignment horizontal="right"/>
    </xf>
    <xf numFmtId="37" fontId="44" fillId="2" borderId="16" xfId="0" applyFont="1" applyFill="1" applyBorder="1" applyAlignment="1">
      <alignment horizontal="right"/>
    </xf>
    <xf numFmtId="37" fontId="44" fillId="2" borderId="65" xfId="0" applyFont="1" applyFill="1" applyBorder="1" applyAlignment="1">
      <alignment horizontal="right"/>
    </xf>
    <xf numFmtId="37" fontId="44" fillId="2" borderId="21" xfId="0" applyFont="1" applyFill="1" applyBorder="1" applyAlignment="1">
      <alignment horizontal="right"/>
    </xf>
    <xf numFmtId="37" fontId="44" fillId="2" borderId="24" xfId="0" applyFont="1" applyFill="1" applyBorder="1" applyAlignment="1">
      <alignment horizontal="right"/>
    </xf>
    <xf numFmtId="37" fontId="0" fillId="2" borderId="18" xfId="0" quotePrefix="1" applyFill="1" applyBorder="1" applyAlignment="1">
      <alignment horizontal="right"/>
    </xf>
    <xf numFmtId="37" fontId="45" fillId="8" borderId="66" xfId="0" applyFont="1" applyFill="1" applyBorder="1"/>
    <xf numFmtId="37" fontId="44" fillId="2" borderId="17" xfId="0" applyFont="1" applyFill="1" applyBorder="1" applyAlignment="1">
      <alignment horizontal="right"/>
    </xf>
    <xf numFmtId="37" fontId="44" fillId="2" borderId="37" xfId="0" applyFont="1" applyFill="1" applyBorder="1" applyAlignment="1">
      <alignment horizontal="right"/>
    </xf>
    <xf numFmtId="37" fontId="44" fillId="2" borderId="19" xfId="0" applyFont="1" applyFill="1" applyBorder="1" applyAlignment="1">
      <alignment horizontal="right"/>
    </xf>
    <xf numFmtId="37" fontId="44" fillId="2" borderId="41" xfId="0" applyFont="1" applyFill="1" applyBorder="1" applyAlignment="1">
      <alignment horizontal="right"/>
    </xf>
    <xf numFmtId="37" fontId="0" fillId="2" borderId="16" xfId="0" applyFill="1" applyBorder="1"/>
    <xf numFmtId="37" fontId="0" fillId="2" borderId="24" xfId="0" applyFill="1" applyBorder="1"/>
    <xf numFmtId="37" fontId="0" fillId="2" borderId="67" xfId="0" applyFill="1" applyBorder="1"/>
    <xf numFmtId="37" fontId="0" fillId="2" borderId="68" xfId="0" applyFill="1" applyBorder="1"/>
    <xf numFmtId="37" fontId="0" fillId="2" borderId="27" xfId="0" applyFill="1" applyBorder="1" applyAlignment="1">
      <alignment horizontal="right"/>
    </xf>
    <xf numFmtId="37" fontId="0" fillId="2" borderId="69" xfId="0" applyFill="1" applyBorder="1"/>
    <xf numFmtId="37" fontId="0" fillId="2" borderId="70" xfId="0" applyFill="1" applyBorder="1"/>
    <xf numFmtId="37" fontId="0" fillId="2" borderId="0" xfId="0" quotePrefix="1" applyFill="1" applyAlignment="1">
      <alignment horizontal="left"/>
    </xf>
    <xf numFmtId="37" fontId="34" fillId="2" borderId="11" xfId="0" applyFont="1" applyFill="1" applyBorder="1"/>
    <xf numFmtId="37" fontId="34" fillId="2" borderId="0" xfId="0" applyFont="1" applyFill="1"/>
    <xf numFmtId="37" fontId="0" fillId="2" borderId="2" xfId="0" applyFill="1" applyBorder="1" applyAlignment="1">
      <alignment horizontal="center"/>
    </xf>
    <xf numFmtId="37" fontId="23" fillId="2" borderId="0" xfId="0" applyFont="1" applyFill="1" applyAlignment="1">
      <alignment horizontal="center"/>
    </xf>
    <xf numFmtId="37" fontId="0" fillId="2" borderId="0" xfId="0" applyFill="1" applyAlignment="1">
      <alignment horizontal="center"/>
    </xf>
    <xf numFmtId="37" fontId="42" fillId="2" borderId="1" xfId="0" applyFont="1" applyFill="1" applyBorder="1" applyAlignment="1">
      <alignment horizontal="center"/>
    </xf>
    <xf numFmtId="37" fontId="43" fillId="2" borderId="9" xfId="0" applyFont="1" applyFill="1" applyBorder="1" applyAlignment="1">
      <alignment horizontal="center"/>
    </xf>
    <xf numFmtId="37" fontId="3" fillId="2" borderId="1" xfId="0" applyFont="1" applyFill="1" applyBorder="1" applyAlignment="1">
      <alignment horizontal="center"/>
    </xf>
    <xf numFmtId="37" fontId="4" fillId="2" borderId="24" xfId="0" applyFont="1" applyFill="1" applyBorder="1" applyAlignment="1">
      <alignment horizontal="right"/>
    </xf>
    <xf numFmtId="37" fontId="34" fillId="2" borderId="17" xfId="0" applyFont="1" applyFill="1" applyBorder="1"/>
    <xf numFmtId="37" fontId="0" fillId="2" borderId="9" xfId="0" applyFill="1" applyBorder="1" applyAlignment="1">
      <alignment horizontal="left"/>
    </xf>
    <xf numFmtId="37" fontId="0" fillId="2" borderId="17" xfId="0" applyFill="1" applyBorder="1" applyAlignment="1">
      <alignment horizontal="right"/>
    </xf>
    <xf numFmtId="37" fontId="0" fillId="2" borderId="37" xfId="0" applyFill="1" applyBorder="1"/>
    <xf numFmtId="37" fontId="34" fillId="2" borderId="18" xfId="0" applyFont="1" applyFill="1" applyBorder="1"/>
    <xf numFmtId="37" fontId="0" fillId="2" borderId="10" xfId="0" applyFill="1" applyBorder="1" applyAlignment="1">
      <alignment horizontal="left"/>
    </xf>
    <xf numFmtId="37" fontId="34" fillId="2" borderId="19" xfId="0" applyFont="1" applyFill="1" applyBorder="1"/>
    <xf numFmtId="37" fontId="0" fillId="2" borderId="11" xfId="0" applyFill="1" applyBorder="1" applyAlignment="1">
      <alignment horizontal="left"/>
    </xf>
    <xf numFmtId="37" fontId="44" fillId="2" borderId="36" xfId="0" applyFont="1" applyFill="1" applyBorder="1" applyAlignment="1">
      <alignment horizontal="right"/>
    </xf>
    <xf numFmtId="37" fontId="0" fillId="2" borderId="16" xfId="0" quotePrefix="1" applyFill="1" applyBorder="1" applyAlignment="1">
      <alignment horizontal="center"/>
    </xf>
    <xf numFmtId="37" fontId="0" fillId="2" borderId="71" xfId="0" applyFill="1" applyBorder="1"/>
    <xf numFmtId="37" fontId="0" fillId="2" borderId="72" xfId="0" applyFill="1" applyBorder="1"/>
    <xf numFmtId="37" fontId="0" fillId="2" borderId="0" xfId="0" quotePrefix="1" applyFill="1" applyAlignment="1">
      <alignment horizontal="center"/>
    </xf>
    <xf numFmtId="37" fontId="42" fillId="2" borderId="13" xfId="0" applyFont="1" applyFill="1" applyBorder="1" applyAlignment="1">
      <alignment horizontal="center"/>
    </xf>
    <xf numFmtId="37" fontId="0" fillId="2" borderId="17" xfId="0" applyFill="1" applyBorder="1"/>
    <xf numFmtId="37" fontId="34" fillId="8" borderId="73" xfId="0" applyFont="1" applyFill="1" applyBorder="1"/>
    <xf numFmtId="37" fontId="34" fillId="2" borderId="13" xfId="0" applyFont="1" applyFill="1" applyBorder="1"/>
    <xf numFmtId="37" fontId="0" fillId="2" borderId="10" xfId="0" quotePrefix="1" applyFill="1" applyBorder="1" applyAlignment="1">
      <alignment horizontal="left"/>
    </xf>
    <xf numFmtId="37" fontId="0" fillId="2" borderId="16" xfId="0" applyFill="1" applyBorder="1" applyAlignment="1">
      <alignment horizontal="center"/>
    </xf>
    <xf numFmtId="37" fontId="0" fillId="2" borderId="16" xfId="0" applyFill="1" applyBorder="1" applyAlignment="1">
      <alignment horizontal="right"/>
    </xf>
    <xf numFmtId="37" fontId="0" fillId="2" borderId="24" xfId="0" applyFill="1" applyBorder="1" applyAlignment="1">
      <alignment horizontal="right"/>
    </xf>
    <xf numFmtId="37" fontId="7" fillId="2" borderId="13" xfId="0" applyFont="1" applyFill="1" applyBorder="1"/>
    <xf numFmtId="37" fontId="4" fillId="2" borderId="1" xfId="0" applyFont="1" applyFill="1" applyBorder="1" applyAlignment="1">
      <alignment horizontal="center"/>
    </xf>
    <xf numFmtId="37" fontId="3" fillId="2" borderId="16" xfId="0" applyFont="1" applyFill="1" applyBorder="1" applyAlignment="1">
      <alignment horizontal="center"/>
    </xf>
    <xf numFmtId="37" fontId="3" fillId="2" borderId="13" xfId="0" applyFont="1" applyFill="1" applyBorder="1" applyAlignment="1">
      <alignment horizontal="center"/>
    </xf>
    <xf numFmtId="37" fontId="23" fillId="2" borderId="13" xfId="0" applyFont="1" applyFill="1" applyBorder="1" applyAlignment="1">
      <alignment horizontal="center"/>
    </xf>
    <xf numFmtId="37" fontId="44" fillId="2" borderId="13" xfId="0" applyFont="1" applyFill="1" applyBorder="1" applyAlignment="1">
      <alignment horizontal="center"/>
    </xf>
    <xf numFmtId="37" fontId="44" fillId="8" borderId="13" xfId="0" applyFont="1" applyFill="1" applyBorder="1" applyAlignment="1">
      <alignment horizontal="center"/>
    </xf>
    <xf numFmtId="37" fontId="44" fillId="8" borderId="24" xfId="0" applyFont="1" applyFill="1" applyBorder="1" applyAlignment="1">
      <alignment horizontal="center"/>
    </xf>
    <xf numFmtId="37" fontId="3" fillId="2" borderId="0" xfId="0" applyFont="1" applyFill="1" applyAlignment="1">
      <alignment horizontal="center"/>
    </xf>
    <xf numFmtId="37" fontId="3" fillId="2" borderId="0" xfId="0" applyFont="1" applyFill="1"/>
    <xf numFmtId="37" fontId="46" fillId="2" borderId="2" xfId="0" applyFont="1" applyFill="1" applyBorder="1" applyAlignment="1">
      <alignment horizontal="center"/>
    </xf>
    <xf numFmtId="37" fontId="47" fillId="2" borderId="16" xfId="0" applyFont="1" applyFill="1" applyBorder="1" applyAlignment="1">
      <alignment horizontal="center"/>
    </xf>
    <xf numFmtId="37" fontId="47" fillId="2" borderId="13" xfId="0" applyFont="1" applyFill="1" applyBorder="1" applyAlignment="1">
      <alignment horizontal="center"/>
    </xf>
    <xf numFmtId="37" fontId="47" fillId="2" borderId="2" xfId="0" applyFont="1" applyFill="1" applyBorder="1" applyAlignment="1">
      <alignment horizontal="center"/>
    </xf>
    <xf numFmtId="37" fontId="48" fillId="2" borderId="13" xfId="0" applyFont="1" applyFill="1" applyBorder="1" applyAlignment="1">
      <alignment horizontal="center"/>
    </xf>
    <xf numFmtId="37" fontId="4" fillId="2" borderId="2" xfId="0" applyFont="1" applyFill="1" applyBorder="1" applyAlignment="1">
      <alignment horizontal="center"/>
    </xf>
    <xf numFmtId="37" fontId="33" fillId="2" borderId="4" xfId="0" applyFont="1" applyFill="1" applyBorder="1" applyAlignment="1">
      <alignment horizontal="left"/>
    </xf>
    <xf numFmtId="37" fontId="33" fillId="2" borderId="0" xfId="0" applyFont="1" applyFill="1"/>
    <xf numFmtId="37" fontId="46" fillId="4" borderId="10" xfId="0" applyFont="1" applyFill="1" applyBorder="1"/>
    <xf numFmtId="37" fontId="44" fillId="2" borderId="16" xfId="0" applyFont="1" applyFill="1" applyBorder="1"/>
    <xf numFmtId="37" fontId="44" fillId="2" borderId="24" xfId="0" applyFont="1" applyFill="1" applyBorder="1"/>
    <xf numFmtId="37" fontId="4" fillId="2" borderId="16" xfId="0" applyFont="1" applyFill="1" applyBorder="1" applyAlignment="1">
      <alignment horizontal="center"/>
    </xf>
    <xf numFmtId="37" fontId="4" fillId="2" borderId="0" xfId="0" applyFont="1" applyFill="1" applyAlignment="1">
      <alignment horizontal="center"/>
    </xf>
    <xf numFmtId="37" fontId="4" fillId="2" borderId="1" xfId="0" applyFont="1" applyFill="1" applyBorder="1" applyAlignment="1">
      <alignment horizontal="right"/>
    </xf>
    <xf numFmtId="37" fontId="49" fillId="2" borderId="0" xfId="0" applyFont="1" applyFill="1"/>
    <xf numFmtId="37" fontId="49" fillId="0" borderId="0" xfId="0" applyFont="1"/>
    <xf numFmtId="37" fontId="27" fillId="2" borderId="0" xfId="0" applyFont="1" applyFill="1" applyAlignment="1">
      <alignment horizontal="centerContinuous"/>
    </xf>
    <xf numFmtId="37" fontId="27" fillId="2" borderId="0" xfId="0" quotePrefix="1" applyFont="1" applyFill="1" applyAlignment="1">
      <alignment horizontal="left"/>
    </xf>
    <xf numFmtId="37" fontId="0" fillId="7" borderId="18" xfId="0" applyFill="1" applyBorder="1"/>
    <xf numFmtId="37" fontId="34" fillId="8" borderId="10" xfId="0" applyFont="1" applyFill="1" applyBorder="1"/>
    <xf numFmtId="37" fontId="50" fillId="2" borderId="16" xfId="0" applyFont="1" applyFill="1" applyBorder="1"/>
    <xf numFmtId="37" fontId="50" fillId="2" borderId="24" xfId="0" applyFont="1" applyFill="1" applyBorder="1"/>
    <xf numFmtId="37" fontId="6" fillId="2" borderId="7" xfId="0" applyFont="1" applyFill="1" applyBorder="1" applyAlignment="1">
      <alignment horizontal="left"/>
    </xf>
    <xf numFmtId="37" fontId="5" fillId="2" borderId="14" xfId="0" applyFont="1" applyFill="1" applyBorder="1"/>
    <xf numFmtId="37" fontId="6" fillId="3" borderId="10" xfId="0" applyFont="1" applyFill="1" applyBorder="1"/>
    <xf numFmtId="37" fontId="6" fillId="3" borderId="18" xfId="0" applyFont="1" applyFill="1" applyBorder="1"/>
    <xf numFmtId="37" fontId="6" fillId="2" borderId="10" xfId="0" applyFont="1" applyFill="1" applyBorder="1" applyAlignment="1">
      <alignment horizontal="left"/>
    </xf>
    <xf numFmtId="37" fontId="6" fillId="2" borderId="4" xfId="0" quotePrefix="1" applyFont="1" applyFill="1" applyBorder="1" applyAlignment="1">
      <alignment horizontal="left"/>
    </xf>
    <xf numFmtId="37" fontId="6" fillId="3" borderId="11" xfId="0" applyFont="1" applyFill="1" applyBorder="1"/>
    <xf numFmtId="37" fontId="6" fillId="3" borderId="19" xfId="0" applyFont="1" applyFill="1" applyBorder="1"/>
    <xf numFmtId="37" fontId="6" fillId="2" borderId="63" xfId="0" applyFont="1" applyFill="1" applyBorder="1" applyAlignment="1">
      <alignment horizontal="left"/>
    </xf>
    <xf numFmtId="37" fontId="5" fillId="2" borderId="40" xfId="0" applyFont="1" applyFill="1" applyBorder="1"/>
    <xf numFmtId="37" fontId="5" fillId="2" borderId="41" xfId="0" applyFont="1" applyFill="1" applyBorder="1"/>
    <xf numFmtId="37" fontId="5" fillId="2" borderId="0" xfId="0" applyFont="1" applyFill="1" applyAlignment="1">
      <alignment horizontal="left"/>
    </xf>
    <xf numFmtId="37" fontId="6" fillId="2" borderId="58" xfId="0" applyFont="1" applyFill="1" applyBorder="1" applyAlignment="1">
      <alignment horizontal="center"/>
    </xf>
    <xf numFmtId="37" fontId="6" fillId="4" borderId="5" xfId="0" applyFont="1" applyFill="1" applyBorder="1" applyAlignment="1">
      <alignment horizontal="right"/>
    </xf>
    <xf numFmtId="37" fontId="5" fillId="3" borderId="7" xfId="0" applyFont="1" applyFill="1" applyBorder="1"/>
    <xf numFmtId="37" fontId="6" fillId="3" borderId="12" xfId="0" applyFont="1" applyFill="1" applyBorder="1"/>
    <xf numFmtId="37" fontId="5" fillId="2" borderId="7" xfId="0" applyFont="1" applyFill="1" applyBorder="1" applyAlignment="1">
      <alignment horizontal="left"/>
    </xf>
    <xf numFmtId="37" fontId="6" fillId="3" borderId="9" xfId="0" applyFont="1" applyFill="1" applyBorder="1"/>
    <xf numFmtId="37" fontId="6" fillId="3" borderId="13" xfId="0" applyFont="1" applyFill="1" applyBorder="1"/>
    <xf numFmtId="37" fontId="6" fillId="3" borderId="8" xfId="0" applyFont="1" applyFill="1" applyBorder="1"/>
    <xf numFmtId="37" fontId="6" fillId="3" borderId="17" xfId="0" applyFont="1" applyFill="1" applyBorder="1"/>
    <xf numFmtId="37" fontId="6" fillId="2" borderId="59" xfId="0" applyFont="1" applyFill="1" applyBorder="1" applyAlignment="1">
      <alignment horizontal="center"/>
    </xf>
    <xf numFmtId="37" fontId="5" fillId="3" borderId="16" xfId="0" applyFont="1" applyFill="1" applyBorder="1"/>
    <xf numFmtId="37" fontId="6" fillId="3" borderId="29" xfId="0" applyFont="1" applyFill="1" applyBorder="1"/>
    <xf numFmtId="37" fontId="6" fillId="2" borderId="9" xfId="0" applyFont="1" applyFill="1" applyBorder="1" applyAlignment="1">
      <alignment horizontal="left"/>
    </xf>
    <xf numFmtId="37" fontId="6" fillId="2" borderId="0" xfId="0" quotePrefix="1" applyFont="1" applyFill="1" applyAlignment="1">
      <alignment horizontal="left"/>
    </xf>
    <xf numFmtId="37" fontId="5" fillId="2" borderId="10" xfId="0" quotePrefix="1" applyFont="1" applyFill="1" applyBorder="1" applyAlignment="1">
      <alignment horizontal="left"/>
    </xf>
    <xf numFmtId="37" fontId="5" fillId="2" borderId="13" xfId="0" applyFont="1" applyFill="1" applyBorder="1" applyAlignment="1">
      <alignment horizontal="left"/>
    </xf>
    <xf numFmtId="37" fontId="5" fillId="2" borderId="21" xfId="0" applyFont="1" applyFill="1" applyBorder="1"/>
    <xf numFmtId="37" fontId="6" fillId="3" borderId="4" xfId="0" applyFont="1" applyFill="1" applyBorder="1"/>
    <xf numFmtId="37" fontId="6" fillId="3" borderId="7" xfId="0" applyFont="1" applyFill="1" applyBorder="1" applyAlignment="1">
      <alignment horizontal="left"/>
    </xf>
    <xf numFmtId="37" fontId="6" fillId="4" borderId="60" xfId="0" applyFont="1" applyFill="1" applyBorder="1"/>
    <xf numFmtId="37" fontId="5" fillId="4" borderId="21" xfId="0" applyFont="1" applyFill="1" applyBorder="1"/>
    <xf numFmtId="37" fontId="5" fillId="4" borderId="13" xfId="0" applyFont="1" applyFill="1" applyBorder="1"/>
    <xf numFmtId="37" fontId="5" fillId="4" borderId="24" xfId="0" applyFont="1" applyFill="1" applyBorder="1"/>
    <xf numFmtId="37" fontId="5" fillId="2" borderId="11" xfId="0" applyFont="1" applyFill="1" applyBorder="1" applyAlignment="1">
      <alignment horizontal="left"/>
    </xf>
    <xf numFmtId="37" fontId="6" fillId="4" borderId="7" xfId="0" applyFont="1" applyFill="1" applyBorder="1"/>
    <xf numFmtId="37" fontId="5" fillId="4" borderId="14" xfId="0" applyFont="1" applyFill="1" applyBorder="1"/>
    <xf numFmtId="37" fontId="6" fillId="2" borderId="59" xfId="0" applyFont="1" applyFill="1" applyBorder="1" applyAlignment="1">
      <alignment horizontal="left"/>
    </xf>
    <xf numFmtId="37" fontId="5" fillId="2" borderId="36" xfId="0" applyFont="1" applyFill="1" applyBorder="1"/>
    <xf numFmtId="37" fontId="6" fillId="2" borderId="61" xfId="0" quotePrefix="1" applyFont="1" applyFill="1" applyBorder="1" applyAlignment="1">
      <alignment horizontal="left"/>
    </xf>
    <xf numFmtId="37" fontId="6" fillId="2" borderId="61" xfId="0" applyFont="1" applyFill="1" applyBorder="1" applyAlignment="1">
      <alignment horizontal="left"/>
    </xf>
    <xf numFmtId="37" fontId="6" fillId="2" borderId="62" xfId="0" applyFont="1" applyFill="1" applyBorder="1" applyAlignment="1">
      <alignment horizontal="left"/>
    </xf>
    <xf numFmtId="37" fontId="5" fillId="4" borderId="52" xfId="0" applyFont="1" applyFill="1" applyBorder="1"/>
    <xf numFmtId="37" fontId="6" fillId="4" borderId="4" xfId="0" applyFont="1" applyFill="1" applyBorder="1"/>
    <xf numFmtId="37" fontId="5" fillId="6" borderId="4" xfId="0" applyFont="1" applyFill="1" applyBorder="1" applyAlignment="1">
      <alignment horizontal="left"/>
    </xf>
    <xf numFmtId="37" fontId="5" fillId="9" borderId="4" xfId="0" applyFont="1" applyFill="1" applyBorder="1" applyAlignment="1">
      <alignment horizontal="left"/>
    </xf>
    <xf numFmtId="37" fontId="5" fillId="6" borderId="10" xfId="0" quotePrefix="1" applyFont="1" applyFill="1" applyBorder="1" applyAlignment="1">
      <alignment horizontal="left"/>
    </xf>
    <xf numFmtId="37" fontId="5" fillId="6" borderId="4" xfId="0" quotePrefix="1" applyFont="1" applyFill="1" applyBorder="1" applyAlignment="1">
      <alignment horizontal="left"/>
    </xf>
    <xf numFmtId="37" fontId="5" fillId="2" borderId="4" xfId="0" quotePrefix="1" applyFont="1" applyFill="1" applyBorder="1" applyAlignment="1">
      <alignment horizontal="left"/>
    </xf>
    <xf numFmtId="37" fontId="6" fillId="4" borderId="17" xfId="0" applyFont="1" applyFill="1" applyBorder="1"/>
    <xf numFmtId="37" fontId="6" fillId="4" borderId="18" xfId="0" applyFont="1" applyFill="1" applyBorder="1"/>
    <xf numFmtId="37" fontId="6" fillId="4" borderId="19" xfId="0" applyFont="1" applyFill="1" applyBorder="1"/>
    <xf numFmtId="37" fontId="51" fillId="2" borderId="62" xfId="0" applyFont="1" applyFill="1" applyBorder="1" applyAlignment="1">
      <alignment horizontal="left"/>
    </xf>
    <xf numFmtId="37" fontId="51" fillId="2" borderId="40" xfId="0" applyFont="1" applyFill="1" applyBorder="1"/>
    <xf numFmtId="37" fontId="51" fillId="4" borderId="11" xfId="0" applyFont="1" applyFill="1" applyBorder="1"/>
    <xf numFmtId="37" fontId="51" fillId="4" borderId="19" xfId="0" applyFont="1" applyFill="1" applyBorder="1"/>
    <xf numFmtId="37" fontId="6" fillId="4" borderId="12" xfId="0" applyFont="1" applyFill="1" applyBorder="1"/>
    <xf numFmtId="37" fontId="6" fillId="4" borderId="5" xfId="0" applyFont="1" applyFill="1" applyBorder="1"/>
    <xf numFmtId="37" fontId="5" fillId="4" borderId="3" xfId="0" applyFont="1" applyFill="1" applyBorder="1"/>
    <xf numFmtId="37" fontId="6" fillId="4" borderId="22" xfId="0" applyFont="1" applyFill="1" applyBorder="1"/>
    <xf numFmtId="37" fontId="6" fillId="4" borderId="23" xfId="0" applyFont="1" applyFill="1" applyBorder="1"/>
    <xf numFmtId="37" fontId="6" fillId="4" borderId="8" xfId="0" applyFont="1" applyFill="1" applyBorder="1"/>
    <xf numFmtId="37" fontId="6" fillId="2" borderId="14" xfId="0" applyFont="1" applyFill="1" applyBorder="1"/>
    <xf numFmtId="37" fontId="5" fillId="2" borderId="0" xfId="0" quotePrefix="1" applyFont="1" applyFill="1"/>
    <xf numFmtId="37" fontId="5" fillId="4" borderId="13" xfId="0" applyFont="1" applyFill="1" applyBorder="1" applyAlignment="1">
      <alignment horizontal="left"/>
    </xf>
    <xf numFmtId="37" fontId="6" fillId="4" borderId="27" xfId="0" applyFont="1" applyFill="1" applyBorder="1"/>
    <xf numFmtId="37" fontId="6" fillId="3" borderId="14" xfId="0" applyFont="1" applyFill="1" applyBorder="1"/>
    <xf numFmtId="37" fontId="6" fillId="3" borderId="20" xfId="0" applyFont="1" applyFill="1" applyBorder="1"/>
    <xf numFmtId="37" fontId="5" fillId="3" borderId="9" xfId="0" applyFont="1" applyFill="1" applyBorder="1"/>
    <xf numFmtId="37" fontId="6" fillId="3" borderId="58" xfId="0" applyFont="1" applyFill="1" applyBorder="1"/>
    <xf numFmtId="37" fontId="6" fillId="4" borderId="23" xfId="0" applyFont="1" applyFill="1" applyBorder="1" applyAlignment="1">
      <alignment horizontal="right"/>
    </xf>
    <xf numFmtId="37" fontId="8" fillId="10" borderId="0" xfId="0" applyFont="1" applyFill="1"/>
    <xf numFmtId="37" fontId="28" fillId="0" borderId="74" xfId="0" applyFont="1" applyBorder="1"/>
    <xf numFmtId="37" fontId="0" fillId="0" borderId="75" xfId="0" applyBorder="1"/>
    <xf numFmtId="37" fontId="2" fillId="3" borderId="0" xfId="0" applyFont="1" applyFill="1"/>
    <xf numFmtId="37" fontId="35" fillId="2" borderId="10" xfId="0" applyFont="1" applyFill="1" applyBorder="1" applyAlignment="1">
      <alignment horizontal="left"/>
    </xf>
    <xf numFmtId="37" fontId="35" fillId="2" borderId="4" xfId="0" applyFont="1" applyFill="1" applyBorder="1" applyAlignment="1">
      <alignment horizontal="left"/>
    </xf>
    <xf numFmtId="37" fontId="23" fillId="2" borderId="10" xfId="0" quotePrefix="1" applyFont="1" applyFill="1" applyBorder="1" applyAlignment="1">
      <alignment horizontal="left"/>
    </xf>
    <xf numFmtId="37" fontId="4" fillId="4" borderId="9" xfId="0" applyFont="1" applyFill="1" applyBorder="1" applyAlignment="1">
      <alignment horizontal="left"/>
    </xf>
    <xf numFmtId="37" fontId="4" fillId="2" borderId="75" xfId="0" applyFont="1" applyFill="1" applyBorder="1"/>
    <xf numFmtId="37" fontId="0" fillId="2" borderId="4" xfId="0" applyFill="1" applyBorder="1" applyAlignment="1">
      <alignment horizontal="left"/>
    </xf>
    <xf numFmtId="37" fontId="0" fillId="6" borderId="4" xfId="0" quotePrefix="1" applyFill="1" applyBorder="1" applyAlignment="1">
      <alignment horizontal="left"/>
    </xf>
    <xf numFmtId="37" fontId="0" fillId="6" borderId="0" xfId="0" applyFill="1" applyAlignment="1">
      <alignment horizontal="left"/>
    </xf>
    <xf numFmtId="37" fontId="52" fillId="2" borderId="0" xfId="0" applyFont="1" applyFill="1"/>
    <xf numFmtId="37" fontId="53" fillId="4" borderId="10" xfId="0" applyFont="1" applyFill="1" applyBorder="1"/>
    <xf numFmtId="37" fontId="6" fillId="2" borderId="0" xfId="0" applyFont="1" applyFill="1" applyAlignment="1">
      <alignment horizontal="right"/>
    </xf>
    <xf numFmtId="37" fontId="4" fillId="0" borderId="4" xfId="0" applyFont="1" applyBorder="1" applyAlignment="1">
      <alignment horizontal="left"/>
    </xf>
    <xf numFmtId="37" fontId="8" fillId="0" borderId="17" xfId="0" applyFont="1" applyBorder="1"/>
    <xf numFmtId="37" fontId="8" fillId="0" borderId="36" xfId="0" applyFont="1" applyBorder="1"/>
    <xf numFmtId="37" fontId="9" fillId="0" borderId="36" xfId="0" applyFont="1" applyBorder="1" applyAlignment="1">
      <alignment horizontal="left"/>
    </xf>
    <xf numFmtId="37" fontId="9" fillId="0" borderId="36" xfId="0" applyFont="1" applyBorder="1"/>
    <xf numFmtId="165" fontId="9" fillId="0" borderId="37" xfId="0" applyNumberFormat="1" applyFont="1" applyBorder="1"/>
    <xf numFmtId="37" fontId="8" fillId="0" borderId="18" xfId="0" applyFont="1" applyBorder="1"/>
    <xf numFmtId="37" fontId="8" fillId="0" borderId="27" xfId="0" applyFont="1" applyBorder="1"/>
    <xf numFmtId="37" fontId="8" fillId="0" borderId="18" xfId="0" applyFont="1" applyBorder="1" applyAlignment="1">
      <alignment horizontal="center"/>
    </xf>
    <xf numFmtId="37" fontId="8" fillId="0" borderId="19" xfId="0" applyFont="1" applyBorder="1"/>
    <xf numFmtId="37" fontId="8" fillId="0" borderId="40" xfId="0" applyFont="1" applyBorder="1"/>
    <xf numFmtId="37" fontId="8" fillId="0" borderId="41" xfId="0" applyFont="1" applyBorder="1"/>
    <xf numFmtId="164" fontId="8" fillId="0" borderId="36" xfId="0" applyNumberFormat="1" applyFont="1" applyBorder="1"/>
    <xf numFmtId="37" fontId="8" fillId="0" borderId="19" xfId="0" applyFont="1" applyBorder="1" applyAlignment="1">
      <alignment horizontal="center"/>
    </xf>
    <xf numFmtId="165" fontId="9" fillId="0" borderId="36" xfId="0" applyNumberFormat="1" applyFont="1" applyBorder="1"/>
    <xf numFmtId="37" fontId="0" fillId="0" borderId="37" xfId="0" applyBorder="1"/>
    <xf numFmtId="37" fontId="0" fillId="0" borderId="27" xfId="0" applyBorder="1"/>
    <xf numFmtId="37" fontId="8" fillId="0" borderId="27" xfId="0" applyFont="1" applyBorder="1" applyAlignment="1">
      <alignment horizontal="center"/>
    </xf>
    <xf numFmtId="5" fontId="8" fillId="0" borderId="27" xfId="0" applyNumberFormat="1" applyFont="1" applyBorder="1"/>
    <xf numFmtId="37" fontId="8" fillId="0" borderId="40" xfId="0" applyFont="1" applyBorder="1" applyAlignment="1">
      <alignment horizontal="center"/>
    </xf>
    <xf numFmtId="37" fontId="0" fillId="0" borderId="41" xfId="0" applyBorder="1"/>
    <xf numFmtId="37" fontId="5" fillId="0" borderId="36" xfId="0" applyFont="1" applyBorder="1"/>
    <xf numFmtId="5" fontId="8" fillId="0" borderId="40" xfId="0" applyNumberFormat="1" applyFont="1" applyBorder="1"/>
    <xf numFmtId="37" fontId="0" fillId="6" borderId="10" xfId="0" quotePrefix="1" applyFill="1" applyBorder="1" applyAlignment="1">
      <alignment horizontal="left"/>
    </xf>
    <xf numFmtId="37" fontId="0" fillId="6" borderId="4" xfId="0" applyFill="1" applyBorder="1" applyAlignment="1">
      <alignment horizontal="left"/>
    </xf>
    <xf numFmtId="37" fontId="4" fillId="11" borderId="7" xfId="0" applyFont="1" applyFill="1" applyBorder="1" applyAlignment="1">
      <alignment horizontal="left"/>
    </xf>
    <xf numFmtId="37" fontId="27" fillId="11" borderId="14" xfId="0" applyFont="1" applyFill="1" applyBorder="1"/>
    <xf numFmtId="37" fontId="4" fillId="12" borderId="11" xfId="0" applyFont="1" applyFill="1" applyBorder="1"/>
    <xf numFmtId="37" fontId="4" fillId="12" borderId="19" xfId="0" applyFont="1" applyFill="1" applyBorder="1"/>
    <xf numFmtId="37" fontId="0" fillId="11" borderId="0" xfId="0" applyFill="1"/>
    <xf numFmtId="37" fontId="4" fillId="11" borderId="0" xfId="0" applyFont="1" applyFill="1"/>
    <xf numFmtId="37" fontId="4" fillId="11" borderId="62" xfId="0" applyFont="1" applyFill="1" applyBorder="1" applyAlignment="1">
      <alignment horizontal="left"/>
    </xf>
    <xf numFmtId="37" fontId="27" fillId="11" borderId="40" xfId="0" applyFont="1" applyFill="1" applyBorder="1"/>
    <xf numFmtId="37" fontId="4" fillId="11" borderId="11" xfId="0" applyFont="1" applyFill="1" applyBorder="1"/>
    <xf numFmtId="37" fontId="0" fillId="0" borderId="18" xfId="0" applyBorder="1"/>
    <xf numFmtId="37" fontId="0" fillId="0" borderId="19" xfId="0" applyBorder="1"/>
    <xf numFmtId="37" fontId="0" fillId="0" borderId="40" xfId="0" applyBorder="1"/>
    <xf numFmtId="37" fontId="0" fillId="0" borderId="76" xfId="0" applyBorder="1"/>
    <xf numFmtId="37" fontId="0" fillId="0" borderId="77" xfId="0" applyBorder="1"/>
    <xf numFmtId="37" fontId="0" fillId="0" borderId="78" xfId="0" applyBorder="1"/>
    <xf numFmtId="37" fontId="0" fillId="0" borderId="79" xfId="0" applyBorder="1"/>
    <xf numFmtId="37" fontId="0" fillId="0" borderId="80" xfId="0" applyBorder="1"/>
    <xf numFmtId="37" fontId="0" fillId="2" borderId="4" xfId="0" quotePrefix="1" applyFill="1" applyBorder="1" applyAlignment="1">
      <alignment horizontal="left"/>
    </xf>
    <xf numFmtId="37" fontId="8" fillId="0" borderId="0" xfId="0" applyFont="1" applyAlignment="1">
      <alignment horizontal="center" wrapText="1"/>
    </xf>
    <xf numFmtId="37" fontId="54" fillId="0" borderId="0" xfId="0" applyFont="1"/>
    <xf numFmtId="7" fontId="54" fillId="0" borderId="0" xfId="0" applyNumberFormat="1" applyFont="1"/>
    <xf numFmtId="37" fontId="8" fillId="0" borderId="27" xfId="0" applyFont="1" applyBorder="1" applyAlignment="1">
      <alignment horizontal="center" wrapText="1"/>
    </xf>
    <xf numFmtId="37" fontId="8" fillId="0" borderId="10" xfId="0" applyFont="1" applyBorder="1" applyAlignment="1">
      <alignment horizontal="center"/>
    </xf>
    <xf numFmtId="37" fontId="8" fillId="0" borderId="18" xfId="0" applyFont="1" applyBorder="1" applyAlignment="1">
      <alignment horizontal="center" wrapText="1"/>
    </xf>
    <xf numFmtId="37" fontId="8" fillId="0" borderId="18" xfId="0" quotePrefix="1" applyFont="1" applyBorder="1" applyAlignment="1">
      <alignment horizontal="center"/>
    </xf>
    <xf numFmtId="37" fontId="8" fillId="0" borderId="27" xfId="0" quotePrefix="1" applyFont="1" applyBorder="1" applyAlignment="1">
      <alignment horizontal="center"/>
    </xf>
    <xf numFmtId="37" fontId="8" fillId="0" borderId="11" xfId="0" applyFont="1" applyBorder="1" applyAlignment="1">
      <alignment horizontal="center"/>
    </xf>
    <xf numFmtId="37" fontId="8" fillId="0" borderId="37" xfId="0" applyFont="1" applyBorder="1"/>
    <xf numFmtId="37" fontId="8" fillId="0" borderId="9" xfId="0" applyFont="1" applyBorder="1" applyAlignment="1">
      <alignment horizontal="center"/>
    </xf>
    <xf numFmtId="37" fontId="8" fillId="14" borderId="0" xfId="0" applyFont="1" applyFill="1" applyAlignment="1">
      <alignment horizontal="center"/>
    </xf>
    <xf numFmtId="37" fontId="54" fillId="0" borderId="0" xfId="0" applyFont="1" applyAlignment="1">
      <alignment horizontal="center"/>
    </xf>
    <xf numFmtId="5" fontId="8" fillId="0" borderId="0" xfId="0" applyNumberFormat="1" applyFont="1" applyAlignment="1">
      <alignment horizontal="center"/>
    </xf>
    <xf numFmtId="37" fontId="8" fillId="0" borderId="41" xfId="0" applyFont="1" applyBorder="1" applyAlignment="1">
      <alignment horizontal="center"/>
    </xf>
    <xf numFmtId="37" fontId="8" fillId="14" borderId="18" xfId="0" applyFont="1" applyFill="1" applyBorder="1" applyAlignment="1">
      <alignment horizontal="center" wrapText="1"/>
    </xf>
    <xf numFmtId="37" fontId="8" fillId="14" borderId="0" xfId="0" applyFont="1" applyFill="1" applyAlignment="1">
      <alignment horizontal="center" wrapText="1"/>
    </xf>
    <xf numFmtId="37" fontId="8" fillId="14" borderId="18" xfId="0" applyFont="1" applyFill="1" applyBorder="1" applyAlignment="1">
      <alignment horizontal="center"/>
    </xf>
    <xf numFmtId="37" fontId="57" fillId="14" borderId="18" xfId="0" applyFont="1" applyFill="1" applyBorder="1" applyAlignment="1">
      <alignment horizontal="center"/>
    </xf>
    <xf numFmtId="37" fontId="57" fillId="14" borderId="0" xfId="0" applyFont="1" applyFill="1" applyAlignment="1">
      <alignment horizontal="center"/>
    </xf>
    <xf numFmtId="37" fontId="8" fillId="14" borderId="19" xfId="0" applyFont="1" applyFill="1" applyBorder="1" applyAlignment="1">
      <alignment horizontal="center"/>
    </xf>
    <xf numFmtId="37" fontId="8" fillId="14" borderId="40" xfId="0" applyFont="1" applyFill="1" applyBorder="1" applyAlignment="1">
      <alignment horizontal="center"/>
    </xf>
    <xf numFmtId="37" fontId="8" fillId="15" borderId="0" xfId="0" applyFont="1" applyFill="1" applyAlignment="1">
      <alignment horizontal="center"/>
    </xf>
    <xf numFmtId="37" fontId="8" fillId="16" borderId="27" xfId="0" applyFont="1" applyFill="1" applyBorder="1" applyAlignment="1">
      <alignment horizontal="center"/>
    </xf>
    <xf numFmtId="37" fontId="8" fillId="13" borderId="18" xfId="0" applyFont="1" applyFill="1" applyBorder="1" applyAlignment="1">
      <alignment horizontal="center"/>
    </xf>
    <xf numFmtId="37" fontId="8" fillId="13" borderId="19" xfId="0" applyFont="1" applyFill="1" applyBorder="1" applyAlignment="1">
      <alignment horizontal="center"/>
    </xf>
    <xf numFmtId="37" fontId="54" fillId="0" borderId="40" xfId="0" applyFont="1" applyBorder="1" applyAlignment="1">
      <alignment horizontal="center"/>
    </xf>
    <xf numFmtId="37" fontId="57" fillId="14" borderId="19" xfId="0" applyFont="1" applyFill="1" applyBorder="1" applyAlignment="1">
      <alignment horizontal="center"/>
    </xf>
    <xf numFmtId="37" fontId="57" fillId="14" borderId="40" xfId="0" applyFont="1" applyFill="1" applyBorder="1" applyAlignment="1">
      <alignment horizontal="center"/>
    </xf>
    <xf numFmtId="10" fontId="0" fillId="0" borderId="0" xfId="10" applyNumberFormat="1" applyFont="1"/>
    <xf numFmtId="37" fontId="0" fillId="0" borderId="10" xfId="0" quotePrefix="1" applyBorder="1" applyAlignment="1">
      <alignment horizontal="left"/>
    </xf>
    <xf numFmtId="37" fontId="59" fillId="0" borderId="0" xfId="0" applyFont="1"/>
    <xf numFmtId="37" fontId="0" fillId="2" borderId="27" xfId="0" applyFill="1" applyBorder="1" applyAlignment="1">
      <alignment horizontal="left"/>
    </xf>
    <xf numFmtId="37" fontId="0" fillId="17" borderId="10" xfId="0" applyFill="1" applyBorder="1" applyAlignment="1">
      <alignment horizontal="left"/>
    </xf>
    <xf numFmtId="37" fontId="2" fillId="17" borderId="0" xfId="0" applyFont="1" applyFill="1"/>
    <xf numFmtId="37" fontId="4" fillId="17" borderId="10" xfId="0" applyFont="1" applyFill="1" applyBorder="1"/>
    <xf numFmtId="37" fontId="0" fillId="17" borderId="0" xfId="0" applyFill="1"/>
    <xf numFmtId="37" fontId="8" fillId="14" borderId="0" xfId="0" applyFont="1" applyFill="1"/>
    <xf numFmtId="5" fontId="8" fillId="14" borderId="27" xfId="0" applyNumberFormat="1" applyFont="1" applyFill="1" applyBorder="1"/>
    <xf numFmtId="37" fontId="0" fillId="14" borderId="0" xfId="0" applyFill="1"/>
    <xf numFmtId="37" fontId="8" fillId="13" borderId="0" xfId="0" applyFont="1" applyFill="1" applyAlignment="1">
      <alignment horizontal="center"/>
    </xf>
    <xf numFmtId="37" fontId="8" fillId="13" borderId="40" xfId="0" applyFont="1" applyFill="1" applyBorder="1" applyAlignment="1">
      <alignment horizontal="center"/>
    </xf>
    <xf numFmtId="37" fontId="8" fillId="14" borderId="27" xfId="0" applyFont="1" applyFill="1" applyBorder="1" applyAlignment="1">
      <alignment horizontal="center"/>
    </xf>
    <xf numFmtId="37" fontId="8" fillId="14" borderId="41" xfId="0" applyFont="1" applyFill="1" applyBorder="1" applyAlignment="1">
      <alignment horizontal="center"/>
    </xf>
    <xf numFmtId="37" fontId="60" fillId="0" borderId="0" xfId="0" applyFont="1"/>
    <xf numFmtId="37" fontId="61" fillId="0" borderId="0" xfId="0" applyFont="1"/>
    <xf numFmtId="37" fontId="9" fillId="0" borderId="81" xfId="0" applyFont="1" applyBorder="1" applyAlignment="1">
      <alignment horizontal="center"/>
    </xf>
    <xf numFmtId="37" fontId="9" fillId="0" borderId="13" xfId="0" applyFont="1" applyBorder="1" applyAlignment="1">
      <alignment horizontal="center"/>
    </xf>
    <xf numFmtId="37" fontId="8" fillId="0" borderId="10" xfId="0" applyFont="1" applyBorder="1"/>
    <xf numFmtId="37" fontId="8" fillId="0" borderId="11" xfId="0" applyFont="1" applyBorder="1"/>
    <xf numFmtId="37" fontId="9" fillId="0" borderId="10" xfId="0" applyFont="1" applyBorder="1"/>
    <xf numFmtId="37" fontId="58" fillId="0" borderId="10" xfId="0" applyFont="1" applyBorder="1"/>
    <xf numFmtId="37" fontId="8" fillId="0" borderId="18" xfId="0" applyFont="1" applyBorder="1" applyAlignment="1">
      <alignment horizontal="right"/>
    </xf>
    <xf numFmtId="37" fontId="0" fillId="0" borderId="0" xfId="0" applyAlignment="1">
      <alignment horizontal="right"/>
    </xf>
    <xf numFmtId="37" fontId="0" fillId="0" borderId="18" xfId="0" applyBorder="1" applyAlignment="1">
      <alignment horizontal="center"/>
    </xf>
    <xf numFmtId="37" fontId="0" fillId="0" borderId="27" xfId="0" applyBorder="1" applyAlignment="1">
      <alignment horizontal="center"/>
    </xf>
    <xf numFmtId="37" fontId="0" fillId="0" borderId="19" xfId="0" applyBorder="1" applyAlignment="1">
      <alignment horizontal="center"/>
    </xf>
    <xf numFmtId="37" fontId="0" fillId="0" borderId="40" xfId="0" applyBorder="1" applyAlignment="1">
      <alignment horizontal="center"/>
    </xf>
    <xf numFmtId="37" fontId="0" fillId="0" borderId="41" xfId="0" applyBorder="1" applyAlignment="1">
      <alignment horizontal="center"/>
    </xf>
    <xf numFmtId="37" fontId="0" fillId="0" borderId="18" xfId="0" applyBorder="1" applyAlignment="1">
      <alignment horizontal="right"/>
    </xf>
    <xf numFmtId="37" fontId="0" fillId="0" borderId="19" xfId="0" applyBorder="1" applyAlignment="1">
      <alignment horizontal="right"/>
    </xf>
    <xf numFmtId="37" fontId="8" fillId="0" borderId="10" xfId="0" applyFont="1" applyBorder="1" applyAlignment="1">
      <alignment horizontal="right"/>
    </xf>
    <xf numFmtId="37" fontId="8" fillId="0" borderId="17" xfId="0" applyFont="1" applyBorder="1" applyAlignment="1">
      <alignment horizontal="right"/>
    </xf>
    <xf numFmtId="37" fontId="8" fillId="0" borderId="17" xfId="0" applyFont="1" applyBorder="1" applyAlignment="1">
      <alignment horizontal="center"/>
    </xf>
    <xf numFmtId="37" fontId="9" fillId="0" borderId="82" xfId="0" applyFont="1" applyBorder="1"/>
    <xf numFmtId="37" fontId="9" fillId="0" borderId="79" xfId="0" applyFont="1" applyBorder="1" applyAlignment="1">
      <alignment horizontal="center"/>
    </xf>
    <xf numFmtId="37" fontId="9" fillId="0" borderId="51" xfId="0" applyFont="1" applyBorder="1" applyAlignment="1">
      <alignment horizontal="center"/>
    </xf>
    <xf numFmtId="37" fontId="9" fillId="0" borderId="80" xfId="0" applyFont="1" applyBorder="1" applyAlignment="1">
      <alignment horizontal="center"/>
    </xf>
    <xf numFmtId="37" fontId="62" fillId="20" borderId="0" xfId="0" applyFont="1" applyFill="1" applyAlignment="1">
      <alignment horizontal="center"/>
    </xf>
    <xf numFmtId="37" fontId="62" fillId="20" borderId="40" xfId="0" applyFont="1" applyFill="1" applyBorder="1" applyAlignment="1">
      <alignment horizontal="center"/>
    </xf>
    <xf numFmtId="37" fontId="20" fillId="0" borderId="79" xfId="0" applyFont="1" applyBorder="1" applyAlignment="1">
      <alignment horizontal="center"/>
    </xf>
    <xf numFmtId="37" fontId="20" fillId="0" borderId="51" xfId="0" applyFont="1" applyBorder="1" applyAlignment="1">
      <alignment horizontal="center"/>
    </xf>
    <xf numFmtId="37" fontId="20" fillId="0" borderId="80" xfId="0" applyFont="1" applyBorder="1" applyAlignment="1">
      <alignment horizontal="center"/>
    </xf>
    <xf numFmtId="37" fontId="20" fillId="0" borderId="18" xfId="0" applyFont="1" applyBorder="1" applyAlignment="1">
      <alignment horizontal="center"/>
    </xf>
    <xf numFmtId="37" fontId="1" fillId="0" borderId="0" xfId="0" applyFont="1" applyAlignment="1">
      <alignment horizontal="center"/>
    </xf>
    <xf numFmtId="37" fontId="1" fillId="0" borderId="27" xfId="0" applyFont="1" applyBorder="1" applyAlignment="1">
      <alignment horizontal="center"/>
    </xf>
    <xf numFmtId="37" fontId="1" fillId="20" borderId="0" xfId="0" applyFont="1" applyFill="1" applyAlignment="1">
      <alignment horizontal="center"/>
    </xf>
    <xf numFmtId="37" fontId="1" fillId="0" borderId="18" xfId="0" applyFont="1" applyBorder="1" applyAlignment="1">
      <alignment horizontal="center"/>
    </xf>
    <xf numFmtId="37" fontId="0" fillId="0" borderId="86" xfId="0" applyBorder="1" applyAlignment="1">
      <alignment horizontal="center"/>
    </xf>
    <xf numFmtId="37" fontId="0" fillId="0" borderId="17" xfId="0" applyBorder="1" applyAlignment="1">
      <alignment horizontal="right"/>
    </xf>
    <xf numFmtId="37" fontId="31" fillId="0" borderId="0" xfId="0" applyFont="1" applyAlignment="1">
      <alignment horizontal="center"/>
    </xf>
    <xf numFmtId="37" fontId="9" fillId="0" borderId="0" xfId="0" applyFont="1" applyAlignment="1">
      <alignment horizontal="center"/>
    </xf>
    <xf numFmtId="169" fontId="9" fillId="0" borderId="0" xfId="0" applyNumberFormat="1" applyFont="1" applyAlignment="1">
      <alignment horizontal="center"/>
    </xf>
    <xf numFmtId="37" fontId="0" fillId="0" borderId="0" xfId="0" quotePrefix="1" applyAlignment="1">
      <alignment horizontal="right"/>
    </xf>
    <xf numFmtId="37" fontId="31" fillId="0" borderId="27" xfId="0" applyFont="1" applyBorder="1" applyAlignment="1">
      <alignment horizontal="center"/>
    </xf>
    <xf numFmtId="37" fontId="0" fillId="0" borderId="87" xfId="0" applyBorder="1" applyAlignment="1">
      <alignment horizontal="center"/>
    </xf>
    <xf numFmtId="37" fontId="0" fillId="0" borderId="88" xfId="0" applyBorder="1"/>
    <xf numFmtId="37" fontId="0" fillId="0" borderId="89" xfId="0" applyBorder="1"/>
    <xf numFmtId="169" fontId="8" fillId="0" borderId="0" xfId="0" applyNumberFormat="1" applyFont="1"/>
    <xf numFmtId="37" fontId="60" fillId="0" borderId="0" xfId="0" applyFont="1" applyAlignment="1">
      <alignment horizontal="center"/>
    </xf>
    <xf numFmtId="37" fontId="9" fillId="0" borderId="36" xfId="0" applyFont="1" applyBorder="1" applyAlignment="1">
      <alignment horizontal="right"/>
    </xf>
    <xf numFmtId="165" fontId="9" fillId="0" borderId="37" xfId="0" applyNumberFormat="1" applyFont="1" applyBorder="1" applyAlignment="1">
      <alignment horizontal="left"/>
    </xf>
    <xf numFmtId="37" fontId="4" fillId="2" borderId="0" xfId="0" applyFont="1" applyFill="1" applyAlignment="1">
      <alignment horizontal="right"/>
    </xf>
    <xf numFmtId="165" fontId="4" fillId="2" borderId="0" xfId="0" applyNumberFormat="1" applyFont="1" applyFill="1" applyAlignment="1">
      <alignment horizontal="left"/>
    </xf>
    <xf numFmtId="165" fontId="9" fillId="0" borderId="36" xfId="0" applyNumberFormat="1" applyFont="1" applyBorder="1" applyAlignment="1">
      <alignment horizontal="left"/>
    </xf>
    <xf numFmtId="37" fontId="0" fillId="0" borderId="36" xfId="0" applyBorder="1"/>
    <xf numFmtId="37" fontId="9" fillId="0" borderId="90" xfId="0" applyFont="1" applyBorder="1" applyAlignment="1">
      <alignment horizontal="center"/>
    </xf>
    <xf numFmtId="37" fontId="0" fillId="0" borderId="17" xfId="0" applyBorder="1"/>
    <xf numFmtId="14" fontId="9" fillId="0" borderId="37" xfId="0" applyNumberFormat="1" applyFont="1" applyBorder="1" applyAlignment="1">
      <alignment horizontal="left"/>
    </xf>
    <xf numFmtId="10" fontId="65" fillId="0" borderId="0" xfId="0" applyNumberFormat="1" applyFont="1" applyAlignment="1">
      <alignment horizontal="center"/>
    </xf>
    <xf numFmtId="1" fontId="0" fillId="0" borderId="0" xfId="0" applyNumberFormat="1" applyAlignment="1">
      <alignment horizontal="center"/>
    </xf>
    <xf numFmtId="37" fontId="0" fillId="0" borderId="10" xfId="0" applyBorder="1" applyAlignment="1">
      <alignment horizontal="left"/>
    </xf>
    <xf numFmtId="37" fontId="23" fillId="2" borderId="4" xfId="0" applyFont="1" applyFill="1" applyBorder="1" applyAlignment="1">
      <alignment horizontal="left"/>
    </xf>
    <xf numFmtId="172" fontId="0" fillId="0" borderId="0" xfId="10" applyNumberFormat="1" applyFont="1"/>
    <xf numFmtId="37" fontId="4" fillId="4" borderId="0" xfId="0" applyFont="1" applyFill="1" applyAlignment="1">
      <alignment horizontal="center"/>
    </xf>
    <xf numFmtId="37" fontId="4" fillId="2" borderId="18" xfId="0" applyFont="1" applyFill="1" applyBorder="1" applyAlignment="1">
      <alignment horizontal="center"/>
    </xf>
    <xf numFmtId="37" fontId="4" fillId="4" borderId="27" xfId="0" applyFont="1" applyFill="1" applyBorder="1" applyAlignment="1">
      <alignment horizontal="right"/>
    </xf>
    <xf numFmtId="172" fontId="62" fillId="0" borderId="0" xfId="10" applyNumberFormat="1" applyFont="1"/>
    <xf numFmtId="37" fontId="66" fillId="0" borderId="0" xfId="0" applyFont="1"/>
    <xf numFmtId="37" fontId="4" fillId="0" borderId="0" xfId="0" applyFont="1" applyAlignment="1">
      <alignment horizontal="center"/>
    </xf>
    <xf numFmtId="37" fontId="1" fillId="0" borderId="0" xfId="0" applyFont="1"/>
    <xf numFmtId="49" fontId="12" fillId="0" borderId="0" xfId="0" applyNumberFormat="1" applyFont="1" applyAlignment="1">
      <alignment horizontal="center"/>
    </xf>
    <xf numFmtId="37" fontId="2" fillId="0" borderId="0" xfId="0" applyFont="1"/>
    <xf numFmtId="37" fontId="8" fillId="0" borderId="92" xfId="0" applyFont="1" applyBorder="1"/>
    <xf numFmtId="37" fontId="0" fillId="0" borderId="93" xfId="0" applyBorder="1"/>
    <xf numFmtId="37" fontId="0" fillId="0" borderId="92" xfId="0" applyBorder="1"/>
    <xf numFmtId="37" fontId="0" fillId="0" borderId="91" xfId="0" applyBorder="1"/>
    <xf numFmtId="37" fontId="0" fillId="0" borderId="21" xfId="0" applyBorder="1"/>
    <xf numFmtId="49" fontId="1" fillId="0" borderId="0" xfId="0" applyNumberFormat="1" applyFont="1" applyAlignment="1">
      <alignment horizontal="center"/>
    </xf>
    <xf numFmtId="37" fontId="52" fillId="0" borderId="0" xfId="0" applyFont="1"/>
    <xf numFmtId="10" fontId="0" fillId="0" borderId="0" xfId="0" applyNumberFormat="1"/>
    <xf numFmtId="37" fontId="0" fillId="21" borderId="0" xfId="0" applyFill="1"/>
    <xf numFmtId="10" fontId="8" fillId="14" borderId="0" xfId="0" applyNumberFormat="1" applyFont="1" applyFill="1" applyAlignment="1">
      <alignment horizontal="center" wrapText="1"/>
    </xf>
    <xf numFmtId="10" fontId="8" fillId="14" borderId="19" xfId="0" applyNumberFormat="1" applyFont="1" applyFill="1" applyBorder="1" applyAlignment="1">
      <alignment horizontal="center" wrapText="1"/>
    </xf>
    <xf numFmtId="37" fontId="0" fillId="0" borderId="94" xfId="0" applyBorder="1"/>
    <xf numFmtId="37" fontId="8" fillId="14" borderId="93" xfId="0" applyFont="1" applyFill="1" applyBorder="1" applyAlignment="1">
      <alignment horizontal="center"/>
    </xf>
    <xf numFmtId="37" fontId="8" fillId="14" borderId="94" xfId="0" applyFont="1" applyFill="1" applyBorder="1" applyAlignment="1">
      <alignment horizontal="center"/>
    </xf>
    <xf numFmtId="37" fontId="8" fillId="14" borderId="91" xfId="0" applyFont="1" applyFill="1" applyBorder="1" applyAlignment="1">
      <alignment horizontal="center" wrapText="1"/>
    </xf>
    <xf numFmtId="10" fontId="8" fillId="14" borderId="18" xfId="0" applyNumberFormat="1" applyFont="1" applyFill="1" applyBorder="1" applyAlignment="1">
      <alignment horizontal="center" wrapText="1"/>
    </xf>
    <xf numFmtId="37" fontId="67" fillId="22" borderId="0" xfId="11" applyNumberFormat="1"/>
    <xf numFmtId="37" fontId="0" fillId="2" borderId="94" xfId="0" applyFill="1" applyBorder="1" applyAlignment="1">
      <alignment horizontal="left"/>
    </xf>
    <xf numFmtId="37" fontId="68" fillId="0" borderId="0" xfId="0" applyFont="1" applyAlignment="1">
      <alignment horizontal="center"/>
    </xf>
    <xf numFmtId="37" fontId="4" fillId="0" borderId="92" xfId="0" applyFont="1" applyBorder="1" applyAlignment="1">
      <alignment horizontal="center"/>
    </xf>
    <xf numFmtId="37" fontId="4" fillId="0" borderId="18" xfId="0" applyFont="1" applyBorder="1"/>
    <xf numFmtId="37" fontId="4" fillId="0" borderId="19" xfId="0" applyFont="1" applyBorder="1"/>
    <xf numFmtId="37" fontId="69" fillId="0" borderId="0" xfId="0" applyFont="1"/>
    <xf numFmtId="37" fontId="69" fillId="0" borderId="40" xfId="0" applyFont="1" applyBorder="1"/>
    <xf numFmtId="37" fontId="4" fillId="0" borderId="92" xfId="0" applyFont="1" applyBorder="1" applyAlignment="1">
      <alignment horizontal="center" wrapText="1"/>
    </xf>
    <xf numFmtId="37" fontId="62" fillId="0" borderId="0" xfId="0" applyFont="1" applyAlignment="1">
      <alignment horizontal="center"/>
    </xf>
    <xf numFmtId="37" fontId="0" fillId="0" borderId="95" xfId="0" applyBorder="1"/>
    <xf numFmtId="37" fontId="52" fillId="2" borderId="10" xfId="0" applyFont="1" applyFill="1" applyBorder="1" applyAlignment="1">
      <alignment horizontal="left"/>
    </xf>
    <xf numFmtId="37" fontId="20" fillId="0" borderId="0" xfId="0" applyFont="1" applyAlignment="1">
      <alignment horizontal="center"/>
    </xf>
    <xf numFmtId="37" fontId="20" fillId="0" borderId="96" xfId="0" applyFont="1" applyBorder="1" applyAlignment="1">
      <alignment horizontal="center"/>
    </xf>
    <xf numFmtId="37" fontId="22" fillId="0" borderId="0" xfId="0" applyFont="1" applyAlignment="1">
      <alignment horizontal="center"/>
    </xf>
    <xf numFmtId="173" fontId="20" fillId="0" borderId="49" xfId="0" applyNumberFormat="1" applyFont="1" applyBorder="1" applyAlignment="1">
      <alignment horizontal="center"/>
    </xf>
    <xf numFmtId="174" fontId="0" fillId="0" borderId="0" xfId="0" applyNumberFormat="1"/>
    <xf numFmtId="169" fontId="12" fillId="0" borderId="0" xfId="0" applyNumberFormat="1" applyFont="1" applyAlignment="1">
      <alignment horizontal="center"/>
    </xf>
    <xf numFmtId="37" fontId="0" fillId="19" borderId="0" xfId="0" applyFill="1"/>
    <xf numFmtId="37" fontId="0" fillId="23" borderId="0" xfId="0" applyFill="1"/>
    <xf numFmtId="37" fontId="4" fillId="4" borderId="95" xfId="0" applyFont="1" applyFill="1" applyBorder="1"/>
    <xf numFmtId="37" fontId="2" fillId="3" borderId="88" xfId="0" applyFont="1" applyFill="1" applyBorder="1"/>
    <xf numFmtId="37" fontId="4" fillId="3" borderId="91" xfId="0" applyFont="1" applyFill="1" applyBorder="1"/>
    <xf numFmtId="37" fontId="2" fillId="11" borderId="14" xfId="0" applyFont="1" applyFill="1" applyBorder="1"/>
    <xf numFmtId="37" fontId="2" fillId="2" borderId="92" xfId="0" applyFont="1" applyFill="1" applyBorder="1"/>
    <xf numFmtId="37" fontId="4" fillId="4" borderId="91" xfId="0" applyFont="1" applyFill="1" applyBorder="1"/>
    <xf numFmtId="37" fontId="4" fillId="4" borderId="95" xfId="0" applyFont="1" applyFill="1" applyBorder="1" applyAlignment="1">
      <alignment horizontal="right"/>
    </xf>
    <xf numFmtId="37" fontId="2" fillId="11" borderId="40" xfId="0" applyFont="1" applyFill="1" applyBorder="1"/>
    <xf numFmtId="37" fontId="4" fillId="4" borderId="92" xfId="0" quotePrefix="1" applyFont="1" applyFill="1" applyBorder="1" applyAlignment="1">
      <alignment horizontal="right"/>
    </xf>
    <xf numFmtId="37" fontId="4" fillId="4" borderId="93" xfId="0" applyFont="1" applyFill="1" applyBorder="1"/>
    <xf numFmtId="37" fontId="2" fillId="2" borderId="0" xfId="0" quotePrefix="1" applyFont="1" applyFill="1" applyAlignment="1">
      <alignment horizontal="left"/>
    </xf>
    <xf numFmtId="37" fontId="2" fillId="3" borderId="57" xfId="0" applyFont="1" applyFill="1" applyBorder="1"/>
    <xf numFmtId="37" fontId="8" fillId="0" borderId="91" xfId="0" applyFont="1" applyBorder="1"/>
    <xf numFmtId="37" fontId="9" fillId="0" borderId="92" xfId="0" applyFont="1" applyBorder="1"/>
    <xf numFmtId="164" fontId="8" fillId="0" borderId="92" xfId="0" applyNumberFormat="1" applyFont="1" applyBorder="1"/>
    <xf numFmtId="37" fontId="9" fillId="0" borderId="92" xfId="0" applyFont="1" applyBorder="1" applyAlignment="1">
      <alignment horizontal="right"/>
    </xf>
    <xf numFmtId="165" fontId="9" fillId="0" borderId="93" xfId="0" applyNumberFormat="1" applyFont="1" applyBorder="1" applyAlignment="1">
      <alignment horizontal="left"/>
    </xf>
    <xf numFmtId="37" fontId="8" fillId="0" borderId="95" xfId="0" applyFont="1" applyBorder="1"/>
    <xf numFmtId="37" fontId="8" fillId="0" borderId="91" xfId="0" applyFont="1" applyBorder="1" applyAlignment="1">
      <alignment horizontal="center"/>
    </xf>
    <xf numFmtId="165" fontId="9" fillId="0" borderId="92" xfId="0" applyNumberFormat="1" applyFont="1" applyBorder="1" applyAlignment="1">
      <alignment horizontal="left"/>
    </xf>
    <xf numFmtId="14" fontId="9" fillId="0" borderId="93" xfId="0" applyNumberFormat="1" applyFont="1" applyBorder="1" applyAlignment="1">
      <alignment horizontal="left"/>
    </xf>
    <xf numFmtId="37" fontId="8" fillId="0" borderId="95" xfId="0" applyFont="1" applyBorder="1" applyAlignment="1">
      <alignment horizontal="center"/>
    </xf>
    <xf numFmtId="37" fontId="8" fillId="16" borderId="95" xfId="0" applyFont="1" applyFill="1" applyBorder="1" applyAlignment="1">
      <alignment horizontal="center"/>
    </xf>
    <xf numFmtId="37" fontId="8" fillId="0" borderId="95" xfId="0" applyFont="1" applyBorder="1" applyAlignment="1">
      <alignment horizontal="center" wrapText="1"/>
    </xf>
    <xf numFmtId="37" fontId="8" fillId="14" borderId="95" xfId="0" applyFont="1" applyFill="1" applyBorder="1" applyAlignment="1">
      <alignment horizontal="center"/>
    </xf>
    <xf numFmtId="37" fontId="8" fillId="0" borderId="95" xfId="0" quotePrefix="1" applyFont="1" applyBorder="1" applyAlignment="1">
      <alignment horizontal="center"/>
    </xf>
    <xf numFmtId="37" fontId="8" fillId="0" borderId="91" xfId="0" applyFont="1" applyBorder="1" applyAlignment="1">
      <alignment horizontal="right"/>
    </xf>
    <xf numFmtId="37" fontId="0" fillId="0" borderId="95" xfId="0" applyBorder="1" applyAlignment="1">
      <alignment horizontal="center"/>
    </xf>
    <xf numFmtId="37" fontId="0" fillId="0" borderId="91" xfId="0" applyBorder="1" applyAlignment="1">
      <alignment horizontal="right"/>
    </xf>
    <xf numFmtId="37" fontId="31" fillId="0" borderId="95" xfId="0" applyFont="1" applyBorder="1" applyAlignment="1">
      <alignment horizontal="center"/>
    </xf>
    <xf numFmtId="37" fontId="1" fillId="0" borderId="95" xfId="0" applyFont="1" applyBorder="1" applyAlignment="1">
      <alignment horizontal="center"/>
    </xf>
    <xf numFmtId="37" fontId="5" fillId="0" borderId="92" xfId="0" applyFont="1" applyBorder="1"/>
    <xf numFmtId="37" fontId="0" fillId="6" borderId="95" xfId="0" applyFill="1" applyBorder="1" applyAlignment="1">
      <alignment horizontal="left"/>
    </xf>
    <xf numFmtId="37" fontId="70" fillId="0" borderId="0" xfId="0" applyFont="1"/>
    <xf numFmtId="37" fontId="70" fillId="13" borderId="0" xfId="0" applyFont="1" applyFill="1"/>
    <xf numFmtId="37" fontId="71" fillId="0" borderId="0" xfId="0" applyFont="1"/>
    <xf numFmtId="37" fontId="71" fillId="13" borderId="0" xfId="0" applyFont="1" applyFill="1"/>
    <xf numFmtId="37" fontId="20" fillId="0" borderId="0" xfId="0" applyFont="1"/>
    <xf numFmtId="37" fontId="12" fillId="13" borderId="0" xfId="0" applyFont="1" applyFill="1"/>
    <xf numFmtId="37" fontId="1" fillId="13" borderId="0" xfId="0" applyFont="1" applyFill="1"/>
    <xf numFmtId="175" fontId="12" fillId="0" borderId="0" xfId="0" applyNumberFormat="1" applyFont="1"/>
    <xf numFmtId="37" fontId="4" fillId="2" borderId="0" xfId="0" applyFont="1" applyFill="1" applyAlignment="1">
      <alignment horizontal="center"/>
    </xf>
    <xf numFmtId="37" fontId="7" fillId="2" borderId="0" xfId="0" applyFont="1" applyFill="1" applyAlignment="1">
      <alignment horizontal="center"/>
    </xf>
    <xf numFmtId="37" fontId="3" fillId="2" borderId="0" xfId="0" applyFont="1" applyFill="1" applyAlignment="1">
      <alignment horizontal="center"/>
    </xf>
    <xf numFmtId="169" fontId="3" fillId="2" borderId="0" xfId="0" applyNumberFormat="1" applyFont="1" applyFill="1" applyAlignment="1">
      <alignment horizontal="center"/>
    </xf>
    <xf numFmtId="37" fontId="9" fillId="0" borderId="36" xfId="0" applyFont="1" applyBorder="1" applyAlignment="1">
      <alignment horizontal="center"/>
    </xf>
    <xf numFmtId="49" fontId="4" fillId="2" borderId="0" xfId="0" applyNumberFormat="1" applyFont="1" applyFill="1" applyAlignment="1">
      <alignment horizontal="center"/>
    </xf>
    <xf numFmtId="169" fontId="4" fillId="2" borderId="0" xfId="0" applyNumberFormat="1" applyFont="1" applyFill="1" applyAlignment="1">
      <alignment horizontal="center"/>
    </xf>
    <xf numFmtId="37" fontId="0" fillId="0" borderId="36" xfId="0" applyBorder="1"/>
    <xf numFmtId="37" fontId="8" fillId="0" borderId="0" xfId="0" applyFont="1" applyAlignment="1">
      <alignment horizontal="center"/>
    </xf>
    <xf numFmtId="169" fontId="9" fillId="0" borderId="0" xfId="0" applyNumberFormat="1" applyFont="1" applyAlignment="1">
      <alignment horizontal="center"/>
    </xf>
    <xf numFmtId="37" fontId="0" fillId="0" borderId="0" xfId="0" applyAlignment="1">
      <alignment horizontal="center"/>
    </xf>
    <xf numFmtId="37" fontId="0" fillId="0" borderId="0" xfId="0"/>
    <xf numFmtId="37" fontId="9" fillId="0" borderId="17" xfId="0" applyFont="1" applyBorder="1" applyAlignment="1">
      <alignment horizontal="center"/>
    </xf>
    <xf numFmtId="169" fontId="9" fillId="0" borderId="18" xfId="0" applyNumberFormat="1" applyFont="1" applyBorder="1" applyAlignment="1">
      <alignment horizontal="center"/>
    </xf>
    <xf numFmtId="37" fontId="8" fillId="0" borderId="18" xfId="0" applyFont="1" applyBorder="1" applyAlignment="1">
      <alignment horizontal="center"/>
    </xf>
    <xf numFmtId="37" fontId="8" fillId="0" borderId="19" xfId="0" applyFont="1" applyBorder="1" applyAlignment="1">
      <alignment horizontal="center"/>
    </xf>
    <xf numFmtId="37" fontId="8" fillId="0" borderId="40" xfId="0" applyFont="1" applyBorder="1" applyAlignment="1">
      <alignment horizontal="center"/>
    </xf>
    <xf numFmtId="37" fontId="8" fillId="0" borderId="16" xfId="0" applyFont="1" applyBorder="1" applyAlignment="1">
      <alignment horizontal="center"/>
    </xf>
    <xf numFmtId="37" fontId="8" fillId="0" borderId="21" xfId="0" applyFont="1" applyBorder="1" applyAlignment="1">
      <alignment horizontal="center"/>
    </xf>
    <xf numFmtId="37" fontId="8" fillId="0" borderId="24" xfId="0" applyFont="1" applyBorder="1" applyAlignment="1">
      <alignment horizontal="center"/>
    </xf>
    <xf numFmtId="37" fontId="8" fillId="14" borderId="16" xfId="0" applyFont="1" applyFill="1" applyBorder="1" applyAlignment="1">
      <alignment horizontal="center"/>
    </xf>
    <xf numFmtId="37" fontId="0" fillId="0" borderId="21" xfId="0" applyBorder="1"/>
    <xf numFmtId="37" fontId="0" fillId="0" borderId="24" xfId="0" applyBorder="1"/>
    <xf numFmtId="37" fontId="0" fillId="0" borderId="21" xfId="0" applyBorder="1" applyAlignment="1">
      <alignment horizontal="center"/>
    </xf>
    <xf numFmtId="37" fontId="0" fillId="0" borderId="24" xfId="0" applyBorder="1" applyAlignment="1">
      <alignment horizontal="center"/>
    </xf>
    <xf numFmtId="37" fontId="8" fillId="14" borderId="91" xfId="0" applyFont="1" applyFill="1" applyBorder="1" applyAlignment="1">
      <alignment horizontal="center"/>
    </xf>
    <xf numFmtId="37" fontId="8" fillId="14" borderId="92" xfId="0" applyFont="1" applyFill="1" applyBorder="1" applyAlignment="1">
      <alignment horizontal="center"/>
    </xf>
    <xf numFmtId="37" fontId="8" fillId="14" borderId="93" xfId="0" applyFont="1" applyFill="1" applyBorder="1" applyAlignment="1">
      <alignment horizontal="center"/>
    </xf>
    <xf numFmtId="37" fontId="9" fillId="0" borderId="16" xfId="0" applyFont="1" applyBorder="1" applyAlignment="1">
      <alignment horizontal="center"/>
    </xf>
    <xf numFmtId="37" fontId="9" fillId="0" borderId="21" xfId="0" applyFont="1" applyBorder="1" applyAlignment="1">
      <alignment horizontal="center"/>
    </xf>
    <xf numFmtId="37" fontId="8" fillId="14" borderId="18" xfId="0" applyFont="1" applyFill="1" applyBorder="1" applyAlignment="1">
      <alignment horizontal="center"/>
    </xf>
    <xf numFmtId="37" fontId="8" fillId="14" borderId="0" xfId="0" applyFont="1" applyFill="1" applyAlignment="1">
      <alignment horizontal="center"/>
    </xf>
    <xf numFmtId="169" fontId="9" fillId="0" borderId="0" xfId="0" quotePrefix="1" applyNumberFormat="1" applyFont="1" applyAlignment="1">
      <alignment horizontal="center"/>
    </xf>
    <xf numFmtId="37" fontId="8" fillId="14" borderId="21" xfId="0" applyFont="1" applyFill="1" applyBorder="1" applyAlignment="1">
      <alignment horizontal="center"/>
    </xf>
    <xf numFmtId="37" fontId="68" fillId="0" borderId="18" xfId="0" applyFont="1" applyBorder="1" applyAlignment="1">
      <alignment horizontal="center"/>
    </xf>
    <xf numFmtId="37" fontId="68" fillId="0" borderId="0" xfId="0" applyFont="1" applyAlignment="1">
      <alignment horizontal="center"/>
    </xf>
    <xf numFmtId="37" fontId="63" fillId="18" borderId="83" xfId="0" applyFont="1" applyFill="1" applyBorder="1" applyAlignment="1">
      <alignment horizontal="center"/>
    </xf>
    <xf numFmtId="37" fontId="0" fillId="0" borderId="84" xfId="0" applyBorder="1" applyAlignment="1">
      <alignment horizontal="center"/>
    </xf>
    <xf numFmtId="37" fontId="0" fillId="0" borderId="85" xfId="0" applyBorder="1" applyAlignment="1">
      <alignment horizontal="center"/>
    </xf>
    <xf numFmtId="37" fontId="64" fillId="19" borderId="83" xfId="0" applyFont="1" applyFill="1" applyBorder="1" applyAlignment="1">
      <alignment horizontal="center"/>
    </xf>
    <xf numFmtId="37" fontId="9" fillId="0" borderId="83" xfId="0" applyFont="1" applyBorder="1" applyAlignment="1">
      <alignment horizontal="center"/>
    </xf>
    <xf numFmtId="37" fontId="9" fillId="0" borderId="84" xfId="0" applyFont="1" applyBorder="1" applyAlignment="1">
      <alignment horizontal="center"/>
    </xf>
    <xf numFmtId="37" fontId="0" fillId="0" borderId="85" xfId="0" applyBorder="1"/>
    <xf numFmtId="37" fontId="9" fillId="0" borderId="92" xfId="0" applyFont="1" applyBorder="1" applyAlignment="1">
      <alignment horizontal="center"/>
    </xf>
    <xf numFmtId="37" fontId="9" fillId="0" borderId="91" xfId="0" applyFont="1" applyBorder="1" applyAlignment="1">
      <alignment horizontal="center"/>
    </xf>
    <xf numFmtId="37" fontId="0" fillId="0" borderId="92" xfId="0" applyBorder="1"/>
    <xf numFmtId="37" fontId="1" fillId="0" borderId="0" xfId="0" applyFont="1" applyAlignment="1">
      <alignment horizontal="center" wrapText="1"/>
    </xf>
    <xf numFmtId="37" fontId="1" fillId="0" borderId="34" xfId="0" applyFont="1" applyBorder="1" applyAlignment="1">
      <alignment horizontal="center" wrapText="1"/>
    </xf>
    <xf numFmtId="37" fontId="1" fillId="0" borderId="40" xfId="0" applyFont="1" applyBorder="1" applyAlignment="1">
      <alignment horizontal="center" wrapText="1"/>
    </xf>
    <xf numFmtId="37" fontId="1" fillId="0" borderId="42" xfId="0" applyFont="1" applyBorder="1" applyAlignment="1">
      <alignment horizontal="center" wrapText="1"/>
    </xf>
    <xf numFmtId="37" fontId="4" fillId="0" borderId="49" xfId="0" applyFont="1" applyBorder="1" applyAlignment="1">
      <alignment horizontal="center"/>
    </xf>
    <xf numFmtId="170" fontId="0" fillId="0" borderId="0" xfId="0" applyNumberFormat="1" applyAlignment="1">
      <alignment horizontal="center"/>
    </xf>
    <xf numFmtId="37" fontId="0" fillId="0" borderId="93" xfId="0" applyBorder="1"/>
    <xf numFmtId="37" fontId="35" fillId="0" borderId="17" xfId="0" applyFont="1" applyBorder="1" applyAlignment="1">
      <alignment horizontal="center"/>
    </xf>
    <xf numFmtId="37" fontId="35" fillId="0" borderId="36" xfId="0" applyFont="1" applyBorder="1" applyAlignment="1">
      <alignment horizontal="center"/>
    </xf>
    <xf numFmtId="37" fontId="35" fillId="0" borderId="37" xfId="0" applyFont="1" applyBorder="1" applyAlignment="1">
      <alignment horizontal="center"/>
    </xf>
    <xf numFmtId="37" fontId="8" fillId="14" borderId="24" xfId="0" applyFont="1" applyFill="1" applyBorder="1" applyAlignment="1">
      <alignment horizontal="center"/>
    </xf>
    <xf numFmtId="37" fontId="8" fillId="14" borderId="27" xfId="0" applyFont="1" applyFill="1" applyBorder="1" applyAlignment="1">
      <alignment horizontal="center"/>
    </xf>
    <xf numFmtId="37" fontId="9" fillId="0" borderId="24" xfId="0" applyFont="1" applyBorder="1" applyAlignment="1">
      <alignment horizontal="center"/>
    </xf>
    <xf numFmtId="37" fontId="9" fillId="0" borderId="85" xfId="0" applyFont="1" applyBorder="1" applyAlignment="1">
      <alignment horizontal="center"/>
    </xf>
    <xf numFmtId="37" fontId="63" fillId="18" borderId="84" xfId="0" applyFont="1" applyFill="1" applyBorder="1" applyAlignment="1">
      <alignment horizontal="center"/>
    </xf>
    <xf numFmtId="37" fontId="63" fillId="18" borderId="85" xfId="0" applyFont="1" applyFill="1" applyBorder="1" applyAlignment="1">
      <alignment horizontal="center"/>
    </xf>
    <xf numFmtId="37" fontId="64" fillId="19" borderId="17" xfId="0" applyFont="1" applyFill="1" applyBorder="1" applyAlignment="1">
      <alignment horizontal="center"/>
    </xf>
    <xf numFmtId="37" fontId="64" fillId="19" borderId="36" xfId="0" applyFont="1" applyFill="1" applyBorder="1" applyAlignment="1">
      <alignment horizontal="center"/>
    </xf>
    <xf numFmtId="37" fontId="64" fillId="19" borderId="37" xfId="0" applyFont="1" applyFill="1" applyBorder="1" applyAlignment="1">
      <alignment horizontal="center"/>
    </xf>
    <xf numFmtId="49" fontId="9" fillId="0" borderId="18" xfId="0" applyNumberFormat="1" applyFont="1" applyBorder="1" applyAlignment="1">
      <alignment horizontal="center"/>
    </xf>
    <xf numFmtId="49" fontId="9" fillId="0" borderId="0" xfId="0" applyNumberFormat="1" applyFont="1" applyAlignment="1">
      <alignment horizontal="center"/>
    </xf>
    <xf numFmtId="37" fontId="9" fillId="0" borderId="0" xfId="0" applyFont="1" applyAlignment="1">
      <alignment horizontal="center"/>
    </xf>
    <xf numFmtId="37" fontId="8" fillId="0" borderId="0" xfId="0" applyFont="1" applyAlignment="1">
      <alignment horizontal="right"/>
    </xf>
    <xf numFmtId="37" fontId="6" fillId="2" borderId="0" xfId="0" applyFont="1" applyFill="1" applyAlignment="1">
      <alignment horizontal="center"/>
    </xf>
    <xf numFmtId="37" fontId="21" fillId="2" borderId="0" xfId="0" applyFont="1" applyFill="1" applyAlignment="1">
      <alignment horizontal="center"/>
    </xf>
    <xf numFmtId="37" fontId="4" fillId="2" borderId="16" xfId="0" applyFont="1" applyFill="1" applyBorder="1" applyAlignment="1">
      <alignment horizontal="center"/>
    </xf>
    <xf numFmtId="37" fontId="4" fillId="2" borderId="24" xfId="0" applyFont="1" applyFill="1" applyBorder="1" applyAlignment="1">
      <alignment horizontal="center"/>
    </xf>
    <xf numFmtId="37" fontId="4" fillId="2" borderId="21" xfId="0" applyFont="1" applyFill="1" applyBorder="1" applyAlignment="1">
      <alignment horizontal="center"/>
    </xf>
    <xf numFmtId="37" fontId="4" fillId="2" borderId="17" xfId="0" applyFont="1" applyFill="1" applyBorder="1" applyAlignment="1">
      <alignment horizontal="center"/>
    </xf>
    <xf numFmtId="37" fontId="4" fillId="2" borderId="37" xfId="0" applyFont="1" applyFill="1" applyBorder="1" applyAlignment="1">
      <alignment horizontal="center"/>
    </xf>
    <xf numFmtId="37" fontId="37" fillId="2" borderId="0" xfId="0" applyFont="1" applyFill="1" applyAlignment="1">
      <alignment horizontal="center"/>
    </xf>
    <xf numFmtId="37" fontId="37" fillId="2" borderId="0" xfId="0" quotePrefix="1" applyFont="1" applyFill="1" applyAlignment="1">
      <alignment horizontal="center"/>
    </xf>
    <xf numFmtId="37" fontId="38" fillId="2" borderId="0" xfId="0" applyFont="1" applyFill="1" applyAlignment="1">
      <alignment horizontal="center"/>
    </xf>
    <xf numFmtId="171" fontId="3" fillId="2" borderId="0" xfId="0" applyNumberFormat="1" applyFont="1" applyFill="1" applyAlignment="1">
      <alignment horizontal="center"/>
    </xf>
  </cellXfs>
  <cellStyles count="12">
    <cellStyle name="Comma" xfId="1" builtinId="3"/>
    <cellStyle name="Neutral" xfId="11" builtinId="28"/>
    <cellStyle name="Normal" xfId="0" builtinId="0"/>
    <cellStyle name="Normal - Style1" xfId="2" xr:uid="{00000000-0005-0000-0000-000003000000}"/>
    <cellStyle name="Normal - Style2" xfId="3" xr:uid="{00000000-0005-0000-0000-000004000000}"/>
    <cellStyle name="Normal - Style3" xfId="4" xr:uid="{00000000-0005-0000-0000-000005000000}"/>
    <cellStyle name="Normal - Style4" xfId="5" xr:uid="{00000000-0005-0000-0000-000006000000}"/>
    <cellStyle name="Normal - Style5" xfId="6" xr:uid="{00000000-0005-0000-0000-000007000000}"/>
    <cellStyle name="Normal - Style6" xfId="7" xr:uid="{00000000-0005-0000-0000-000008000000}"/>
    <cellStyle name="Normal - Style7" xfId="8" xr:uid="{00000000-0005-0000-0000-000009000000}"/>
    <cellStyle name="Normal - Style8" xfId="9" xr:uid="{00000000-0005-0000-0000-00000A000000}"/>
    <cellStyle name="Percent" xfId="10" builtinId="5"/>
  </cellStyles>
  <dxfs count="12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4.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strRef>
              <c:f>'2017'!$AI$1049</c:f>
              <c:strCache>
                <c:ptCount val="1"/>
                <c:pt idx="0">
                  <c:v>South w/SGL</c:v>
                </c:pt>
              </c:strCache>
            </c:strRef>
          </c:tx>
          <c:spPr>
            <a:solidFill>
              <a:schemeClr val="accent4"/>
            </a:solidFill>
            <a:ln>
              <a:noFill/>
            </a:ln>
            <a:effectLst/>
          </c:spPr>
          <c:invertIfNegative val="0"/>
          <c:cat>
            <c:strRef>
              <c:f>'2017'!$AE$1050:$AE$1084</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'2017'!$AI$1050:$AI$1084</c:f>
              <c:numCache>
                <c:formatCode>#,##0_);\(#,##0\)</c:formatCode>
                <c:ptCount val="35"/>
                <c:pt idx="0">
                  <c:v>29.069892473118284</c:v>
                </c:pt>
                <c:pt idx="1">
                  <c:v>29.069892473118284</c:v>
                </c:pt>
                <c:pt idx="3">
                  <c:v>28.278273809523814</c:v>
                </c:pt>
                <c:pt idx="4">
                  <c:v>28.278273809523814</c:v>
                </c:pt>
                <c:pt idx="6">
                  <c:v>52.884408602150543</c:v>
                </c:pt>
                <c:pt idx="7">
                  <c:v>52.884408602150543</c:v>
                </c:pt>
                <c:pt idx="9">
                  <c:v>60.004166666666656</c:v>
                </c:pt>
                <c:pt idx="10">
                  <c:v>60.004166666666656</c:v>
                </c:pt>
                <c:pt idx="12">
                  <c:v>56.326612903225808</c:v>
                </c:pt>
                <c:pt idx="13">
                  <c:v>56.326612903225808</c:v>
                </c:pt>
                <c:pt idx="15">
                  <c:v>70.88611111111112</c:v>
                </c:pt>
                <c:pt idx="16">
                  <c:v>70.88611111111112</c:v>
                </c:pt>
                <c:pt idx="18">
                  <c:v>64.408602150537632</c:v>
                </c:pt>
                <c:pt idx="19">
                  <c:v>64.408602150537632</c:v>
                </c:pt>
                <c:pt idx="21">
                  <c:v>63.659946236559129</c:v>
                </c:pt>
                <c:pt idx="22">
                  <c:v>63.659946236559129</c:v>
                </c:pt>
                <c:pt idx="24">
                  <c:v>54.67916666666666</c:v>
                </c:pt>
                <c:pt idx="25">
                  <c:v>54.67916666666666</c:v>
                </c:pt>
                <c:pt idx="27">
                  <c:v>24.803763440860219</c:v>
                </c:pt>
                <c:pt idx="28">
                  <c:v>24.803763440860219</c:v>
                </c:pt>
                <c:pt idx="30">
                  <c:v>9.5527777777777771</c:v>
                </c:pt>
                <c:pt idx="31">
                  <c:v>9.5527777777777771</c:v>
                </c:pt>
                <c:pt idx="33">
                  <c:v>24.081989247311828</c:v>
                </c:pt>
                <c:pt idx="34">
                  <c:v>24.081989247311828</c:v>
                </c:pt>
              </c:numCache>
            </c:numRef>
          </c:val>
          <c:extLst>
            <c:ext xmlns:c16="http://schemas.microsoft.com/office/drawing/2014/chart" uri="{C3380CC4-5D6E-409C-BE32-E72D297353CC}">
              <c16:uniqueId val="{00000000-6961-49C8-8306-43EAB9B9B1AD}"/>
            </c:ext>
          </c:extLst>
        </c:ser>
        <c:ser>
          <c:idx val="1"/>
          <c:order val="1"/>
          <c:tx>
            <c:strRef>
              <c:f>'2017'!$AG$1049</c:f>
              <c:strCache>
                <c:ptCount val="1"/>
                <c:pt idx="0">
                  <c:v>WAD -PMP</c:v>
                </c:pt>
              </c:strCache>
            </c:strRef>
          </c:tx>
          <c:spPr>
            <a:solidFill>
              <a:schemeClr val="accent2"/>
            </a:solidFill>
            <a:ln>
              <a:noFill/>
            </a:ln>
            <a:effectLst/>
          </c:spPr>
          <c:invertIfNegative val="0"/>
          <c:cat>
            <c:strRef>
              <c:f>'2017'!$AE$1050:$AE$1084</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'2017'!$AG$1050:$AG$1084</c:f>
              <c:numCache>
                <c:formatCode>#,##0_);\(#,##0\)</c:formatCode>
                <c:ptCount val="35"/>
                <c:pt idx="0">
                  <c:v>24.032200475787594</c:v>
                </c:pt>
                <c:pt idx="1">
                  <c:v>24.032200475787594</c:v>
                </c:pt>
                <c:pt idx="3">
                  <c:v>5.2804837333531163</c:v>
                </c:pt>
                <c:pt idx="4">
                  <c:v>5.2804837333531163</c:v>
                </c:pt>
                <c:pt idx="6">
                  <c:v>5.9990485767542543</c:v>
                </c:pt>
                <c:pt idx="7">
                  <c:v>5.9990485767542543</c:v>
                </c:pt>
                <c:pt idx="9">
                  <c:v>2.9375522591534704</c:v>
                </c:pt>
                <c:pt idx="10">
                  <c:v>2.9375522591534704</c:v>
                </c:pt>
                <c:pt idx="12">
                  <c:v>7.2865709367487268</c:v>
                </c:pt>
                <c:pt idx="13">
                  <c:v>7.2865709367487268</c:v>
                </c:pt>
                <c:pt idx="15">
                  <c:v>0</c:v>
                </c:pt>
                <c:pt idx="16">
                  <c:v>0</c:v>
                </c:pt>
                <c:pt idx="18">
                  <c:v>0</c:v>
                </c:pt>
                <c:pt idx="19">
                  <c:v>0</c:v>
                </c:pt>
                <c:pt idx="21">
                  <c:v>0</c:v>
                </c:pt>
                <c:pt idx="22">
                  <c:v>0</c:v>
                </c:pt>
                <c:pt idx="24">
                  <c:v>2.2732274699326704</c:v>
                </c:pt>
                <c:pt idx="25">
                  <c:v>2.2732274699326704</c:v>
                </c:pt>
                <c:pt idx="27">
                  <c:v>10.703817748776331</c:v>
                </c:pt>
                <c:pt idx="28">
                  <c:v>10.703817748776331</c:v>
                </c:pt>
                <c:pt idx="30">
                  <c:v>17.281595364840303</c:v>
                </c:pt>
                <c:pt idx="31">
                  <c:v>17.281595364840303</c:v>
                </c:pt>
                <c:pt idx="33">
                  <c:v>18.968240741057965</c:v>
                </c:pt>
                <c:pt idx="34">
                  <c:v>18.968240741057965</c:v>
                </c:pt>
              </c:numCache>
            </c:numRef>
          </c:val>
          <c:extLst>
            <c:ext xmlns:c16="http://schemas.microsoft.com/office/drawing/2014/chart" uri="{C3380CC4-5D6E-409C-BE32-E72D297353CC}">
              <c16:uniqueId val="{00000001-6961-49C8-8306-43EAB9B9B1AD}"/>
            </c:ext>
          </c:extLst>
        </c:ser>
        <c:ser>
          <c:idx val="2"/>
          <c:order val="2"/>
          <c:tx>
            <c:strRef>
              <c:f>'2017'!$AH$1049</c:f>
              <c:strCache>
                <c:ptCount val="1"/>
                <c:pt idx="0">
                  <c:v>WAD - GEN</c:v>
                </c:pt>
              </c:strCache>
            </c:strRef>
          </c:tx>
          <c:spPr>
            <a:solidFill>
              <a:schemeClr val="accent3"/>
            </a:solidFill>
            <a:ln>
              <a:noFill/>
            </a:ln>
            <a:effectLst/>
          </c:spPr>
          <c:invertIfNegative val="0"/>
          <c:cat>
            <c:strRef>
              <c:f>'2017'!$AE$1050:$AE$1084</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'2017'!$AH$1050:$AH$1084</c:f>
              <c:numCache>
                <c:formatCode>#,##0_);\(#,##0\)</c:formatCode>
                <c:ptCount val="35"/>
                <c:pt idx="0">
                  <c:v>-0.74396305839835863</c:v>
                </c:pt>
                <c:pt idx="1">
                  <c:v>-0.74396305839835863</c:v>
                </c:pt>
                <c:pt idx="3">
                  <c:v>-1.7860593174722752</c:v>
                </c:pt>
                <c:pt idx="4">
                  <c:v>-1.7860593174722752</c:v>
                </c:pt>
                <c:pt idx="6">
                  <c:v>-4.4788695070029222E-2</c:v>
                </c:pt>
                <c:pt idx="7">
                  <c:v>-4.4788695070029222E-2</c:v>
                </c:pt>
                <c:pt idx="9">
                  <c:v>-1.3427530771163035E-3</c:v>
                </c:pt>
                <c:pt idx="10">
                  <c:v>-1.3427530771163035E-3</c:v>
                </c:pt>
                <c:pt idx="12">
                  <c:v>-0.31723330983461706</c:v>
                </c:pt>
                <c:pt idx="13">
                  <c:v>-0.31723330983461706</c:v>
                </c:pt>
                <c:pt idx="15">
                  <c:v>-23.253724859750488</c:v>
                </c:pt>
                <c:pt idx="16">
                  <c:v>-23.253724859750488</c:v>
                </c:pt>
                <c:pt idx="18">
                  <c:v>-16.262096612133437</c:v>
                </c:pt>
                <c:pt idx="19">
                  <c:v>-16.262096612133437</c:v>
                </c:pt>
                <c:pt idx="21">
                  <c:v>-11.992837878271379</c:v>
                </c:pt>
                <c:pt idx="22">
                  <c:v>-11.992837878271379</c:v>
                </c:pt>
                <c:pt idx="24">
                  <c:v>-1.925969081471316</c:v>
                </c:pt>
                <c:pt idx="25">
                  <c:v>-1.925969081471316</c:v>
                </c:pt>
                <c:pt idx="27">
                  <c:v>0</c:v>
                </c:pt>
                <c:pt idx="28">
                  <c:v>0</c:v>
                </c:pt>
                <c:pt idx="30">
                  <c:v>0</c:v>
                </c:pt>
                <c:pt idx="31">
                  <c:v>0</c:v>
                </c:pt>
                <c:pt idx="33">
                  <c:v>-1.3631211010251569E-2</c:v>
                </c:pt>
                <c:pt idx="34">
                  <c:v>-1.3631211010251569E-2</c:v>
                </c:pt>
              </c:numCache>
            </c:numRef>
          </c:val>
          <c:extLst>
            <c:ext xmlns:c16="http://schemas.microsoft.com/office/drawing/2014/chart" uri="{C3380CC4-5D6E-409C-BE32-E72D297353CC}">
              <c16:uniqueId val="{00000002-6961-49C8-8306-43EAB9B9B1AD}"/>
            </c:ext>
          </c:extLst>
        </c:ser>
        <c:ser>
          <c:idx val="0"/>
          <c:order val="3"/>
          <c:tx>
            <c:strRef>
              <c:f>'2017'!$AF$1049</c:f>
              <c:strCache>
                <c:ptCount val="1"/>
                <c:pt idx="0">
                  <c:v>West HAV - HSY</c:v>
                </c:pt>
              </c:strCache>
            </c:strRef>
          </c:tx>
          <c:spPr>
            <a:solidFill>
              <a:schemeClr val="accent1"/>
            </a:solidFill>
            <a:ln>
              <a:noFill/>
            </a:ln>
            <a:effectLst/>
          </c:spPr>
          <c:invertIfNegative val="0"/>
          <c:cat>
            <c:strRef>
              <c:f>'2017'!$AE$1050:$AE$1084</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'2017'!$AF$1050:$AF$1084</c:f>
              <c:numCache>
                <c:formatCode>#,##0_);\(#,##0\)</c:formatCode>
                <c:ptCount val="35"/>
                <c:pt idx="0">
                  <c:v>274.3440860215054</c:v>
                </c:pt>
                <c:pt idx="1">
                  <c:v>78.344086021505376</c:v>
                </c:pt>
                <c:pt idx="3">
                  <c:v>139.43154761904762</c:v>
                </c:pt>
                <c:pt idx="4">
                  <c:v>41.43154761904762</c:v>
                </c:pt>
                <c:pt idx="6">
                  <c:v>378.32661290322579</c:v>
                </c:pt>
                <c:pt idx="7">
                  <c:v>84.326612903225808</c:v>
                </c:pt>
                <c:pt idx="9">
                  <c:v>396.30694444444441</c:v>
                </c:pt>
                <c:pt idx="10">
                  <c:v>102.30694444444444</c:v>
                </c:pt>
                <c:pt idx="12">
                  <c:v>402.62768817204301</c:v>
                </c:pt>
                <c:pt idx="13">
                  <c:v>108.62768817204301</c:v>
                </c:pt>
                <c:pt idx="15">
                  <c:v>198.57222222222222</c:v>
                </c:pt>
                <c:pt idx="16">
                  <c:v>51.572222222222223</c:v>
                </c:pt>
                <c:pt idx="18">
                  <c:v>192.33736559139786</c:v>
                </c:pt>
                <c:pt idx="19">
                  <c:v>45.337365591397848</c:v>
                </c:pt>
                <c:pt idx="21">
                  <c:v>190.49731182795699</c:v>
                </c:pt>
                <c:pt idx="22">
                  <c:v>43.497311827956992</c:v>
                </c:pt>
                <c:pt idx="24">
                  <c:v>329.68888888888887</c:v>
                </c:pt>
                <c:pt idx="25">
                  <c:v>84.688888888888883</c:v>
                </c:pt>
                <c:pt idx="27">
                  <c:v>325.38172043010752</c:v>
                </c:pt>
                <c:pt idx="28">
                  <c:v>80.381720430107521</c:v>
                </c:pt>
                <c:pt idx="30">
                  <c:v>326.8458333333333</c:v>
                </c:pt>
                <c:pt idx="31">
                  <c:v>81.845833333333331</c:v>
                </c:pt>
                <c:pt idx="33">
                  <c:v>333.10483870967744</c:v>
                </c:pt>
                <c:pt idx="34">
                  <c:v>88.104838709677423</c:v>
                </c:pt>
              </c:numCache>
            </c:numRef>
          </c:val>
          <c:extLst>
            <c:ext xmlns:c16="http://schemas.microsoft.com/office/drawing/2014/chart" uri="{C3380CC4-5D6E-409C-BE32-E72D297353CC}">
              <c16:uniqueId val="{00000003-6961-49C8-8306-43EAB9B9B1AD}"/>
            </c:ext>
          </c:extLst>
        </c:ser>
        <c:dLbls>
          <c:showLegendKey val="0"/>
          <c:showVal val="0"/>
          <c:showCatName val="0"/>
          <c:showSerName val="0"/>
          <c:showPercent val="0"/>
          <c:showBubbleSize val="0"/>
        </c:dLbls>
        <c:gapWidth val="30"/>
        <c:overlap val="100"/>
        <c:axId val="423796840"/>
        <c:axId val="323163520"/>
      </c:barChart>
      <c:catAx>
        <c:axId val="4237968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3520"/>
        <c:crosses val="autoZero"/>
        <c:auto val="1"/>
        <c:lblAlgn val="ctr"/>
        <c:lblOffset val="100"/>
        <c:noMultiLvlLbl val="0"/>
      </c:catAx>
      <c:valAx>
        <c:axId val="323163520"/>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2379684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strRef>
              <c:f>'2018'!$AI$1075</c:f>
              <c:strCache>
                <c:ptCount val="1"/>
                <c:pt idx="0">
                  <c:v>South w/SGL</c:v>
                </c:pt>
              </c:strCache>
            </c:strRef>
          </c:tx>
          <c:spPr>
            <a:solidFill>
              <a:schemeClr val="accent4"/>
            </a:solidFill>
            <a:ln>
              <a:noFill/>
            </a:ln>
            <a:effectLst/>
          </c:spPr>
          <c:invertIfNegative val="0"/>
          <c:cat>
            <c:strRef>
              <c:f>'2018'!$AE$1076:$AE$1110</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'2018'!$AI$1076:$AI$1110</c:f>
              <c:numCache>
                <c:formatCode>#,##0_);\(#,##0\)</c:formatCode>
                <c:ptCount val="35"/>
                <c:pt idx="0">
                  <c:v>28.262096774193548</c:v>
                </c:pt>
                <c:pt idx="1">
                  <c:v>28.262096774193548</c:v>
                </c:pt>
                <c:pt idx="3">
                  <c:v>44.538690476190474</c:v>
                </c:pt>
                <c:pt idx="4">
                  <c:v>44.538690476190474</c:v>
                </c:pt>
                <c:pt idx="6">
                  <c:v>53.040322580645167</c:v>
                </c:pt>
                <c:pt idx="7">
                  <c:v>53.040322580645167</c:v>
                </c:pt>
                <c:pt idx="9">
                  <c:v>68.540277777777774</c:v>
                </c:pt>
                <c:pt idx="10">
                  <c:v>68.540277777777774</c:v>
                </c:pt>
                <c:pt idx="12">
                  <c:v>66.646505376344095</c:v>
                </c:pt>
                <c:pt idx="13">
                  <c:v>66.646505376344095</c:v>
                </c:pt>
                <c:pt idx="15">
                  <c:v>66.05972222222222</c:v>
                </c:pt>
                <c:pt idx="16">
                  <c:v>66.05972222222222</c:v>
                </c:pt>
                <c:pt idx="18">
                  <c:v>63.869623655913983</c:v>
                </c:pt>
                <c:pt idx="19">
                  <c:v>63.869623655913983</c:v>
                </c:pt>
                <c:pt idx="21">
                  <c:v>67.284946236559136</c:v>
                </c:pt>
                <c:pt idx="22">
                  <c:v>67.284946236559136</c:v>
                </c:pt>
                <c:pt idx="24">
                  <c:v>57.140277777777776</c:v>
                </c:pt>
                <c:pt idx="25">
                  <c:v>57.140277777777776</c:v>
                </c:pt>
                <c:pt idx="27">
                  <c:v>26.626344086021508</c:v>
                </c:pt>
                <c:pt idx="28">
                  <c:v>26.626344086021508</c:v>
                </c:pt>
                <c:pt idx="30">
                  <c:v>16.7</c:v>
                </c:pt>
                <c:pt idx="31">
                  <c:v>16.7</c:v>
                </c:pt>
                <c:pt idx="33">
                  <c:v>14.760752688172044</c:v>
                </c:pt>
                <c:pt idx="34">
                  <c:v>14.760752688172044</c:v>
                </c:pt>
              </c:numCache>
            </c:numRef>
          </c:val>
          <c:extLst>
            <c:ext xmlns:c16="http://schemas.microsoft.com/office/drawing/2014/chart" uri="{C3380CC4-5D6E-409C-BE32-E72D297353CC}">
              <c16:uniqueId val="{00000000-AE81-49EA-A8F9-029D691C6908}"/>
            </c:ext>
          </c:extLst>
        </c:ser>
        <c:ser>
          <c:idx val="1"/>
          <c:order val="1"/>
          <c:tx>
            <c:strRef>
              <c:f>'2018'!$AG$1075</c:f>
              <c:strCache>
                <c:ptCount val="1"/>
                <c:pt idx="0">
                  <c:v>WAD -PMP</c:v>
                </c:pt>
              </c:strCache>
            </c:strRef>
          </c:tx>
          <c:spPr>
            <a:solidFill>
              <a:schemeClr val="accent2"/>
            </a:solidFill>
            <a:ln>
              <a:noFill/>
            </a:ln>
            <a:effectLst/>
          </c:spPr>
          <c:invertIfNegative val="0"/>
          <c:cat>
            <c:strRef>
              <c:f>'2018'!$AE$1076:$AE$1110</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'2018'!$AG$1076:$AG$1110</c:f>
              <c:numCache>
                <c:formatCode>#,##0_);\(#,##0\)</c:formatCode>
                <c:ptCount val="35"/>
                <c:pt idx="0">
                  <c:v>12.128602436736161</c:v>
                </c:pt>
                <c:pt idx="1">
                  <c:v>12.128602436736161</c:v>
                </c:pt>
                <c:pt idx="3">
                  <c:v>16.348031587342799</c:v>
                </c:pt>
                <c:pt idx="4">
                  <c:v>16.348031587342799</c:v>
                </c:pt>
                <c:pt idx="6">
                  <c:v>13.773432646055825</c:v>
                </c:pt>
                <c:pt idx="7">
                  <c:v>13.773432646055825</c:v>
                </c:pt>
                <c:pt idx="9">
                  <c:v>3.1791008287890636</c:v>
                </c:pt>
                <c:pt idx="10">
                  <c:v>3.1791008287890636</c:v>
                </c:pt>
                <c:pt idx="12">
                  <c:v>1.2010636114624602</c:v>
                </c:pt>
                <c:pt idx="13">
                  <c:v>1.2010636114624602</c:v>
                </c:pt>
                <c:pt idx="15">
                  <c:v>0</c:v>
                </c:pt>
                <c:pt idx="16">
                  <c:v>0</c:v>
                </c:pt>
                <c:pt idx="18">
                  <c:v>0</c:v>
                </c:pt>
                <c:pt idx="19">
                  <c:v>0</c:v>
                </c:pt>
                <c:pt idx="21">
                  <c:v>0</c:v>
                </c:pt>
                <c:pt idx="22">
                  <c:v>0</c:v>
                </c:pt>
                <c:pt idx="24">
                  <c:v>4.2505024406577467</c:v>
                </c:pt>
                <c:pt idx="25">
                  <c:v>4.2505024406577467</c:v>
                </c:pt>
                <c:pt idx="27">
                  <c:v>22.837978963710039</c:v>
                </c:pt>
                <c:pt idx="28">
                  <c:v>22.837978963710039</c:v>
                </c:pt>
                <c:pt idx="30">
                  <c:v>21.279188738855712</c:v>
                </c:pt>
                <c:pt idx="31">
                  <c:v>21.279188738855712</c:v>
                </c:pt>
                <c:pt idx="33">
                  <c:v>21.132657126109862</c:v>
                </c:pt>
                <c:pt idx="34">
                  <c:v>21.132657126109862</c:v>
                </c:pt>
              </c:numCache>
            </c:numRef>
          </c:val>
          <c:extLst>
            <c:ext xmlns:c16="http://schemas.microsoft.com/office/drawing/2014/chart" uri="{C3380CC4-5D6E-409C-BE32-E72D297353CC}">
              <c16:uniqueId val="{00000001-AE81-49EA-A8F9-029D691C6908}"/>
            </c:ext>
          </c:extLst>
        </c:ser>
        <c:ser>
          <c:idx val="2"/>
          <c:order val="2"/>
          <c:tx>
            <c:strRef>
              <c:f>'2018'!$AH$1075</c:f>
              <c:strCache>
                <c:ptCount val="1"/>
                <c:pt idx="0">
                  <c:v>WAD - GEN</c:v>
                </c:pt>
              </c:strCache>
            </c:strRef>
          </c:tx>
          <c:spPr>
            <a:solidFill>
              <a:schemeClr val="accent3"/>
            </a:solidFill>
            <a:ln>
              <a:noFill/>
            </a:ln>
            <a:effectLst/>
          </c:spPr>
          <c:invertIfNegative val="0"/>
          <c:cat>
            <c:strRef>
              <c:f>'2018'!$AE$1076:$AE$1110</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'2018'!$AH$1076:$AH$1110</c:f>
              <c:numCache>
                <c:formatCode>#,##0_);\(#,##0\)</c:formatCode>
                <c:ptCount val="35"/>
                <c:pt idx="0">
                  <c:v>-0.96305171338049111</c:v>
                </c:pt>
                <c:pt idx="1">
                  <c:v>-0.96305171338049111</c:v>
                </c:pt>
                <c:pt idx="3">
                  <c:v>-3.2946504826497223</c:v>
                </c:pt>
                <c:pt idx="4">
                  <c:v>-3.2946504826497223</c:v>
                </c:pt>
                <c:pt idx="6">
                  <c:v>-4.1077940864951925</c:v>
                </c:pt>
                <c:pt idx="7">
                  <c:v>-4.1077940864951925</c:v>
                </c:pt>
                <c:pt idx="9">
                  <c:v>-1.4810566440592829</c:v>
                </c:pt>
                <c:pt idx="10">
                  <c:v>-1.4810566440592829</c:v>
                </c:pt>
                <c:pt idx="12">
                  <c:v>-1.0382374342643668</c:v>
                </c:pt>
                <c:pt idx="13">
                  <c:v>-1.0382374342643668</c:v>
                </c:pt>
                <c:pt idx="15">
                  <c:v>-21.140918529682661</c:v>
                </c:pt>
                <c:pt idx="16">
                  <c:v>-21.140918529682661</c:v>
                </c:pt>
                <c:pt idx="18">
                  <c:v>-19.133547050100876</c:v>
                </c:pt>
                <c:pt idx="19">
                  <c:v>-19.133547050100876</c:v>
                </c:pt>
                <c:pt idx="21">
                  <c:v>-19.959569540071353</c:v>
                </c:pt>
                <c:pt idx="22">
                  <c:v>-19.959569540071353</c:v>
                </c:pt>
                <c:pt idx="24">
                  <c:v>-1.1127604528758424</c:v>
                </c:pt>
                <c:pt idx="25">
                  <c:v>-1.1127604528758424</c:v>
                </c:pt>
                <c:pt idx="27">
                  <c:v>0</c:v>
                </c:pt>
                <c:pt idx="28">
                  <c:v>0</c:v>
                </c:pt>
                <c:pt idx="30">
                  <c:v>-1.8623000921041591E-2</c:v>
                </c:pt>
                <c:pt idx="31">
                  <c:v>-1.8623000921041591E-2</c:v>
                </c:pt>
                <c:pt idx="33">
                  <c:v>0</c:v>
                </c:pt>
                <c:pt idx="34">
                  <c:v>0</c:v>
                </c:pt>
              </c:numCache>
            </c:numRef>
          </c:val>
          <c:extLst>
            <c:ext xmlns:c16="http://schemas.microsoft.com/office/drawing/2014/chart" uri="{C3380CC4-5D6E-409C-BE32-E72D297353CC}">
              <c16:uniqueId val="{00000002-AE81-49EA-A8F9-029D691C6908}"/>
            </c:ext>
          </c:extLst>
        </c:ser>
        <c:ser>
          <c:idx val="0"/>
          <c:order val="3"/>
          <c:tx>
            <c:strRef>
              <c:f>'2018'!$AF$1075</c:f>
              <c:strCache>
                <c:ptCount val="1"/>
                <c:pt idx="0">
                  <c:v>West HAV - HSY</c:v>
                </c:pt>
              </c:strCache>
            </c:strRef>
          </c:tx>
          <c:spPr>
            <a:solidFill>
              <a:schemeClr val="accent1"/>
            </a:solidFill>
            <a:ln>
              <a:noFill/>
            </a:ln>
            <a:effectLst/>
          </c:spPr>
          <c:invertIfNegative val="0"/>
          <c:cat>
            <c:strRef>
              <c:f>'2018'!$AE$1076:$AE$1110</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'2018'!$AF$1076:$AF$1110</c:f>
              <c:numCache>
                <c:formatCode>#,##0_);\(#,##0\)</c:formatCode>
                <c:ptCount val="35"/>
                <c:pt idx="0">
                  <c:v>252.19623655913978</c:v>
                </c:pt>
                <c:pt idx="1">
                  <c:v>56.196236559139777</c:v>
                </c:pt>
                <c:pt idx="3">
                  <c:v>172.1860119047619</c:v>
                </c:pt>
                <c:pt idx="4">
                  <c:v>74.186011904761898</c:v>
                </c:pt>
                <c:pt idx="6">
                  <c:v>379.48252688172045</c:v>
                </c:pt>
                <c:pt idx="7">
                  <c:v>85.482526881720418</c:v>
                </c:pt>
                <c:pt idx="9">
                  <c:v>401.72638888888889</c:v>
                </c:pt>
                <c:pt idx="10">
                  <c:v>107.72638888888889</c:v>
                </c:pt>
                <c:pt idx="12">
                  <c:v>404.71102150537632</c:v>
                </c:pt>
                <c:pt idx="13">
                  <c:v>110.71102150537634</c:v>
                </c:pt>
                <c:pt idx="15">
                  <c:v>204.40833333333333</c:v>
                </c:pt>
                <c:pt idx="16">
                  <c:v>57.408333333333331</c:v>
                </c:pt>
                <c:pt idx="18">
                  <c:v>194.13575268817203</c:v>
                </c:pt>
                <c:pt idx="19">
                  <c:v>47.13575268817204</c:v>
                </c:pt>
                <c:pt idx="21">
                  <c:v>162.3991935483871</c:v>
                </c:pt>
                <c:pt idx="22">
                  <c:v>15.399193548387096</c:v>
                </c:pt>
                <c:pt idx="24">
                  <c:v>350.79722222222222</c:v>
                </c:pt>
                <c:pt idx="25">
                  <c:v>105.79722222222222</c:v>
                </c:pt>
                <c:pt idx="27">
                  <c:v>354.83467741935488</c:v>
                </c:pt>
                <c:pt idx="28">
                  <c:v>109.83467741935485</c:v>
                </c:pt>
                <c:pt idx="30">
                  <c:v>355.33472222222224</c:v>
                </c:pt>
                <c:pt idx="31">
                  <c:v>110.33472222222221</c:v>
                </c:pt>
                <c:pt idx="33">
                  <c:v>333.93010752688173</c:v>
                </c:pt>
                <c:pt idx="34">
                  <c:v>88.930107526881727</c:v>
                </c:pt>
              </c:numCache>
            </c:numRef>
          </c:val>
          <c:extLst>
            <c:ext xmlns:c16="http://schemas.microsoft.com/office/drawing/2014/chart" uri="{C3380CC4-5D6E-409C-BE32-E72D297353CC}">
              <c16:uniqueId val="{00000003-AE81-49EA-A8F9-029D691C6908}"/>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strRef>
              <c:f>'2019'!$AI$1087</c:f>
              <c:strCache>
                <c:ptCount val="1"/>
                <c:pt idx="0">
                  <c:v>South w/SGL</c:v>
                </c:pt>
              </c:strCache>
            </c:strRef>
          </c:tx>
          <c:spPr>
            <a:solidFill>
              <a:schemeClr val="accent4"/>
            </a:solidFill>
            <a:ln>
              <a:noFill/>
            </a:ln>
            <a:effectLst/>
          </c:spPr>
          <c:invertIfNegative val="0"/>
          <c:cat>
            <c:strRef>
              <c:f>'2019'!$AE$1088:$AE$1122</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'2019'!$AI$1088:$AI$1122</c:f>
              <c:numCache>
                <c:formatCode>#,##0_);\(#,##0\)</c:formatCode>
                <c:ptCount val="35"/>
                <c:pt idx="0">
                  <c:v>29.467741935483868</c:v>
                </c:pt>
                <c:pt idx="1">
                  <c:v>29.467741935483868</c:v>
                </c:pt>
                <c:pt idx="3">
                  <c:v>30.989583333333332</c:v>
                </c:pt>
                <c:pt idx="4">
                  <c:v>30.989583333333332</c:v>
                </c:pt>
                <c:pt idx="6">
                  <c:v>40.774193548387096</c:v>
                </c:pt>
                <c:pt idx="7">
                  <c:v>40.774193548387096</c:v>
                </c:pt>
                <c:pt idx="9">
                  <c:v>64.19861111111112</c:v>
                </c:pt>
                <c:pt idx="10">
                  <c:v>64.19861111111112</c:v>
                </c:pt>
                <c:pt idx="12">
                  <c:v>59.005376344086031</c:v>
                </c:pt>
                <c:pt idx="13">
                  <c:v>59.005376344086031</c:v>
                </c:pt>
                <c:pt idx="15">
                  <c:v>70.23333333333332</c:v>
                </c:pt>
                <c:pt idx="16">
                  <c:v>70.23333333333332</c:v>
                </c:pt>
                <c:pt idx="18">
                  <c:v>71.868279569892479</c:v>
                </c:pt>
                <c:pt idx="19">
                  <c:v>71.868279569892479</c:v>
                </c:pt>
                <c:pt idx="21">
                  <c:v>70.298387096774192</c:v>
                </c:pt>
                <c:pt idx="22">
                  <c:v>70.298387096774192</c:v>
                </c:pt>
                <c:pt idx="24">
                  <c:v>49.298611111111114</c:v>
                </c:pt>
                <c:pt idx="25">
                  <c:v>49.298611111111114</c:v>
                </c:pt>
                <c:pt idx="27">
                  <c:v>40.767473118279568</c:v>
                </c:pt>
                <c:pt idx="28">
                  <c:v>40.767473118279568</c:v>
                </c:pt>
                <c:pt idx="30">
                  <c:v>5.2722222222222221</c:v>
                </c:pt>
                <c:pt idx="31">
                  <c:v>5.2722222222222221</c:v>
                </c:pt>
                <c:pt idx="33">
                  <c:v>14.981182795698924</c:v>
                </c:pt>
                <c:pt idx="34">
                  <c:v>14.981182795698924</c:v>
                </c:pt>
              </c:numCache>
            </c:numRef>
          </c:val>
          <c:extLst>
            <c:ext xmlns:c16="http://schemas.microsoft.com/office/drawing/2014/chart" uri="{C3380CC4-5D6E-409C-BE32-E72D297353CC}">
              <c16:uniqueId val="{00000000-06B7-4936-9793-26211C340AB8}"/>
            </c:ext>
          </c:extLst>
        </c:ser>
        <c:ser>
          <c:idx val="1"/>
          <c:order val="1"/>
          <c:tx>
            <c:strRef>
              <c:f>'2019'!$AG$1087</c:f>
              <c:strCache>
                <c:ptCount val="1"/>
                <c:pt idx="0">
                  <c:v>WAD -PMP</c:v>
                </c:pt>
              </c:strCache>
            </c:strRef>
          </c:tx>
          <c:spPr>
            <a:solidFill>
              <a:schemeClr val="accent2"/>
            </a:solidFill>
            <a:ln>
              <a:noFill/>
            </a:ln>
            <a:effectLst/>
          </c:spPr>
          <c:invertIfNegative val="0"/>
          <c:cat>
            <c:strRef>
              <c:f>'2019'!$AE$1088:$AE$1122</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'2019'!$AG$1088:$AG$1122</c:f>
              <c:numCache>
                <c:formatCode>#,##0_);\(#,##0\)</c:formatCode>
                <c:ptCount val="35"/>
                <c:pt idx="0">
                  <c:v>17.543544618094426</c:v>
                </c:pt>
                <c:pt idx="1">
                  <c:v>17.543544618094426</c:v>
                </c:pt>
                <c:pt idx="3">
                  <c:v>32.05085178656504</c:v>
                </c:pt>
                <c:pt idx="4">
                  <c:v>32.05085178656504</c:v>
                </c:pt>
                <c:pt idx="6">
                  <c:v>1.832137980953592E-2</c:v>
                </c:pt>
                <c:pt idx="7">
                  <c:v>1.832137980953592E-2</c:v>
                </c:pt>
                <c:pt idx="9">
                  <c:v>3.3298749075416922</c:v>
                </c:pt>
                <c:pt idx="10">
                  <c:v>3.3298749075416922</c:v>
                </c:pt>
                <c:pt idx="12">
                  <c:v>5.3322581177670463</c:v>
                </c:pt>
                <c:pt idx="13">
                  <c:v>5.3322581177670463</c:v>
                </c:pt>
                <c:pt idx="15">
                  <c:v>0.40638777574340584</c:v>
                </c:pt>
                <c:pt idx="16">
                  <c:v>0.40638777574340584</c:v>
                </c:pt>
                <c:pt idx="18">
                  <c:v>0</c:v>
                </c:pt>
                <c:pt idx="19">
                  <c:v>0</c:v>
                </c:pt>
                <c:pt idx="21">
                  <c:v>6.0426622595773716E-3</c:v>
                </c:pt>
                <c:pt idx="22">
                  <c:v>6.0426622595773716E-3</c:v>
                </c:pt>
                <c:pt idx="24">
                  <c:v>7.0169091506912693</c:v>
                </c:pt>
                <c:pt idx="25">
                  <c:v>7.0169091506912693</c:v>
                </c:pt>
                <c:pt idx="27">
                  <c:v>9.0011490037727384</c:v>
                </c:pt>
                <c:pt idx="28">
                  <c:v>9.0011490037727384</c:v>
                </c:pt>
                <c:pt idx="30">
                  <c:v>26.18269366038891</c:v>
                </c:pt>
                <c:pt idx="31">
                  <c:v>26.18269366038891</c:v>
                </c:pt>
                <c:pt idx="33">
                  <c:v>6.7207385450970669</c:v>
                </c:pt>
                <c:pt idx="34">
                  <c:v>6.7207385450970669</c:v>
                </c:pt>
              </c:numCache>
            </c:numRef>
          </c:val>
          <c:extLst>
            <c:ext xmlns:c16="http://schemas.microsoft.com/office/drawing/2014/chart" uri="{C3380CC4-5D6E-409C-BE32-E72D297353CC}">
              <c16:uniqueId val="{00000001-06B7-4936-9793-26211C340AB8}"/>
            </c:ext>
          </c:extLst>
        </c:ser>
        <c:ser>
          <c:idx val="2"/>
          <c:order val="2"/>
          <c:tx>
            <c:strRef>
              <c:f>'2019'!$AH$1087</c:f>
              <c:strCache>
                <c:ptCount val="1"/>
                <c:pt idx="0">
                  <c:v>WAD - GEN</c:v>
                </c:pt>
              </c:strCache>
            </c:strRef>
          </c:tx>
          <c:spPr>
            <a:solidFill>
              <a:schemeClr val="accent3"/>
            </a:solidFill>
            <a:ln>
              <a:noFill/>
            </a:ln>
            <a:effectLst/>
          </c:spPr>
          <c:invertIfNegative val="0"/>
          <c:cat>
            <c:strRef>
              <c:f>'2019'!$AE$1088:$AE$1122</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'2019'!$AH$1088:$AH$1122</c:f>
              <c:numCache>
                <c:formatCode>#,##0_);\(#,##0\)</c:formatCode>
                <c:ptCount val="35"/>
                <c:pt idx="0">
                  <c:v>-3.5474988566588941</c:v>
                </c:pt>
                <c:pt idx="1">
                  <c:v>-3.5474988566588941</c:v>
                </c:pt>
                <c:pt idx="3">
                  <c:v>0</c:v>
                </c:pt>
                <c:pt idx="4">
                  <c:v>0</c:v>
                </c:pt>
                <c:pt idx="6">
                  <c:v>-2.6944837039364677E-2</c:v>
                </c:pt>
                <c:pt idx="7">
                  <c:v>-2.6944837039364677E-2</c:v>
                </c:pt>
                <c:pt idx="9">
                  <c:v>-2.9170136294978644</c:v>
                </c:pt>
                <c:pt idx="10">
                  <c:v>-2.9170136294978644</c:v>
                </c:pt>
                <c:pt idx="12">
                  <c:v>-3.2179735578685951</c:v>
                </c:pt>
                <c:pt idx="13">
                  <c:v>-3.2179735578685951</c:v>
                </c:pt>
                <c:pt idx="15">
                  <c:v>-15.535806113260291</c:v>
                </c:pt>
                <c:pt idx="16">
                  <c:v>-15.535806113260291</c:v>
                </c:pt>
                <c:pt idx="18">
                  <c:v>-13.150097702538803</c:v>
                </c:pt>
                <c:pt idx="19">
                  <c:v>-13.150097702538803</c:v>
                </c:pt>
                <c:pt idx="21">
                  <c:v>-8.3576898173578016</c:v>
                </c:pt>
                <c:pt idx="22">
                  <c:v>-8.3576898173578016</c:v>
                </c:pt>
                <c:pt idx="24">
                  <c:v>0</c:v>
                </c:pt>
                <c:pt idx="25">
                  <c:v>0</c:v>
                </c:pt>
                <c:pt idx="27">
                  <c:v>0</c:v>
                </c:pt>
                <c:pt idx="28">
                  <c:v>0</c:v>
                </c:pt>
                <c:pt idx="30">
                  <c:v>-0.28926834505184057</c:v>
                </c:pt>
                <c:pt idx="31">
                  <c:v>-0.28926834505184057</c:v>
                </c:pt>
                <c:pt idx="33">
                  <c:v>0</c:v>
                </c:pt>
                <c:pt idx="34">
                  <c:v>0</c:v>
                </c:pt>
              </c:numCache>
            </c:numRef>
          </c:val>
          <c:extLst>
            <c:ext xmlns:c16="http://schemas.microsoft.com/office/drawing/2014/chart" uri="{C3380CC4-5D6E-409C-BE32-E72D297353CC}">
              <c16:uniqueId val="{00000002-06B7-4936-9793-26211C340AB8}"/>
            </c:ext>
          </c:extLst>
        </c:ser>
        <c:ser>
          <c:idx val="0"/>
          <c:order val="3"/>
          <c:tx>
            <c:strRef>
              <c:f>'2019'!$AF$1087</c:f>
              <c:strCache>
                <c:ptCount val="1"/>
                <c:pt idx="0">
                  <c:v>West HAV - HSY</c:v>
                </c:pt>
              </c:strCache>
            </c:strRef>
          </c:tx>
          <c:spPr>
            <a:solidFill>
              <a:schemeClr val="accent1"/>
            </a:solidFill>
            <a:ln>
              <a:noFill/>
            </a:ln>
            <a:effectLst/>
          </c:spPr>
          <c:invertIfNegative val="0"/>
          <c:cat>
            <c:strRef>
              <c:f>'2019'!$AE$1088:$AE$1122</c:f>
              <c:strCache>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Cache>
            </c:strRef>
          </c:cat>
          <c:val>
            <c:numRef>
              <c:f>'2019'!$AF$1088:$AF$1122</c:f>
              <c:numCache>
                <c:formatCode>#,##0_);\(#,##0\)</c:formatCode>
                <c:ptCount val="35"/>
                <c:pt idx="0">
                  <c:v>250.75537634408602</c:v>
                </c:pt>
                <c:pt idx="1">
                  <c:v>54.755376344086017</c:v>
                </c:pt>
                <c:pt idx="3">
                  <c:v>203.3154761904762</c:v>
                </c:pt>
                <c:pt idx="4">
                  <c:v>105.31547619047619</c:v>
                </c:pt>
                <c:pt idx="6">
                  <c:v>345.25940860215053</c:v>
                </c:pt>
                <c:pt idx="7">
                  <c:v>51.259408602150536</c:v>
                </c:pt>
                <c:pt idx="9">
                  <c:v>388.3</c:v>
                </c:pt>
                <c:pt idx="10">
                  <c:v>94.300000000000011</c:v>
                </c:pt>
                <c:pt idx="12">
                  <c:v>388.375</c:v>
                </c:pt>
                <c:pt idx="13">
                  <c:v>94.375</c:v>
                </c:pt>
                <c:pt idx="15">
                  <c:v>214.08750000000001</c:v>
                </c:pt>
                <c:pt idx="16">
                  <c:v>67.087500000000006</c:v>
                </c:pt>
                <c:pt idx="18">
                  <c:v>205.8736559139785</c:v>
                </c:pt>
                <c:pt idx="19">
                  <c:v>58.873655913978496</c:v>
                </c:pt>
                <c:pt idx="21">
                  <c:v>209.75806451612902</c:v>
                </c:pt>
                <c:pt idx="22">
                  <c:v>62.758064516129039</c:v>
                </c:pt>
                <c:pt idx="24">
                  <c:v>347.20277777777778</c:v>
                </c:pt>
                <c:pt idx="25">
                  <c:v>102.20277777777778</c:v>
                </c:pt>
                <c:pt idx="27">
                  <c:v>337.48252688172045</c:v>
                </c:pt>
                <c:pt idx="28">
                  <c:v>92.482526881720432</c:v>
                </c:pt>
                <c:pt idx="30">
                  <c:v>323.88472222222219</c:v>
                </c:pt>
                <c:pt idx="31">
                  <c:v>78.884722222222223</c:v>
                </c:pt>
                <c:pt idx="33">
                  <c:v>290.45833333333331</c:v>
                </c:pt>
                <c:pt idx="34">
                  <c:v>45.458333333333336</c:v>
                </c:pt>
              </c:numCache>
            </c:numRef>
          </c:val>
          <c:extLst>
            <c:ext xmlns:c16="http://schemas.microsoft.com/office/drawing/2014/chart" uri="{C3380CC4-5D6E-409C-BE32-E72D297353CC}">
              <c16:uniqueId val="{00000003-06B7-4936-9793-26211C340AB8}"/>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strRef>
              <c:f>'2020 T0'!$AI$1129</c:f>
              <c:strCache>
                <c:ptCount val="1"/>
                <c:pt idx="0">
                  <c:v>69 </c:v>
                </c:pt>
              </c:strCache>
            </c:strRef>
          </c:tx>
          <c:spPr>
            <a:solidFill>
              <a:schemeClr val="accent4"/>
            </a:solidFill>
            <a:ln>
              <a:noFill/>
            </a:ln>
            <a:effectLst/>
          </c:spPr>
          <c:invertIfNegative val="0"/>
          <c:cat>
            <c:strRef>
              <c:f>'2020 T0'!$AE$1130:$AE$1164</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'2020 T0'!$AI$1130:$AI$1164</c:f>
              <c:numCache>
                <c:formatCode>#,##0_);\(#,##0\)</c:formatCode>
                <c:ptCount val="35"/>
                <c:pt idx="0">
                  <c:v>69.106182795698928</c:v>
                </c:pt>
                <c:pt idx="2">
                  <c:v>71.226388888888891</c:v>
                </c:pt>
                <c:pt idx="3">
                  <c:v>71.226388888888891</c:v>
                </c:pt>
                <c:pt idx="5">
                  <c:v>70.724462365591393</c:v>
                </c:pt>
                <c:pt idx="6">
                  <c:v>70.724462365591393</c:v>
                </c:pt>
                <c:pt idx="8">
                  <c:v>65.1989247311828</c:v>
                </c:pt>
                <c:pt idx="9">
                  <c:v>65.1989247311828</c:v>
                </c:pt>
                <c:pt idx="11">
                  <c:v>52.61388888888888</c:v>
                </c:pt>
                <c:pt idx="12">
                  <c:v>52.61388888888888</c:v>
                </c:pt>
                <c:pt idx="14">
                  <c:v>34.353494623655919</c:v>
                </c:pt>
                <c:pt idx="15">
                  <c:v>34.353494623655919</c:v>
                </c:pt>
                <c:pt idx="17">
                  <c:v>11.2125</c:v>
                </c:pt>
                <c:pt idx="18">
                  <c:v>11.2125</c:v>
                </c:pt>
                <c:pt idx="20">
                  <c:v>33.439516129032256</c:v>
                </c:pt>
                <c:pt idx="21">
                  <c:v>33.439516129032256</c:v>
                </c:pt>
              </c:numCache>
            </c:numRef>
          </c:val>
          <c:extLst>
            <c:ext xmlns:c16="http://schemas.microsoft.com/office/drawing/2014/chart" uri="{C3380CC4-5D6E-409C-BE32-E72D297353CC}">
              <c16:uniqueId val="{00000000-FD33-4C3B-A01B-BC76DBAAD9C9}"/>
            </c:ext>
          </c:extLst>
        </c:ser>
        <c:ser>
          <c:idx val="1"/>
          <c:order val="1"/>
          <c:tx>
            <c:strRef>
              <c:f>'2020 T0'!$AG$1129</c:f>
              <c:strCache>
                <c:ptCount val="1"/>
                <c:pt idx="0">
                  <c:v>0 </c:v>
                </c:pt>
              </c:strCache>
            </c:strRef>
          </c:tx>
          <c:spPr>
            <a:solidFill>
              <a:schemeClr val="accent2"/>
            </a:solidFill>
            <a:ln>
              <a:noFill/>
            </a:ln>
            <a:effectLst/>
          </c:spPr>
          <c:invertIfNegative val="0"/>
          <c:cat>
            <c:strRef>
              <c:f>'2020 T0'!$AE$1130:$AE$1164</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'2020 T0'!$AG$1130:$AG$1164</c:f>
              <c:numCache>
                <c:formatCode>#,##0_);\(#,##0\)</c:formatCode>
                <c:ptCount val="35"/>
                <c:pt idx="0">
                  <c:v>0</c:v>
                </c:pt>
                <c:pt idx="2">
                  <c:v>0</c:v>
                </c:pt>
                <c:pt idx="3">
                  <c:v>0</c:v>
                </c:pt>
                <c:pt idx="5">
                  <c:v>0</c:v>
                </c:pt>
                <c:pt idx="6">
                  <c:v>0</c:v>
                </c:pt>
                <c:pt idx="8">
                  <c:v>1.1107640236536435E-3</c:v>
                </c:pt>
                <c:pt idx="9">
                  <c:v>1.1107640236536435E-3</c:v>
                </c:pt>
                <c:pt idx="11">
                  <c:v>7.8998735459945557</c:v>
                </c:pt>
                <c:pt idx="12">
                  <c:v>7.8998735459945557</c:v>
                </c:pt>
                <c:pt idx="14">
                  <c:v>14.918724783117364</c:v>
                </c:pt>
                <c:pt idx="15">
                  <c:v>14.918724783117364</c:v>
                </c:pt>
                <c:pt idx="17">
                  <c:v>17.178498009175112</c:v>
                </c:pt>
                <c:pt idx="18">
                  <c:v>17.178498009175112</c:v>
                </c:pt>
                <c:pt idx="20">
                  <c:v>14.698469092215623</c:v>
                </c:pt>
                <c:pt idx="21">
                  <c:v>14.698469092215623</c:v>
                </c:pt>
              </c:numCache>
            </c:numRef>
          </c:val>
          <c:extLst>
            <c:ext xmlns:c16="http://schemas.microsoft.com/office/drawing/2014/chart" uri="{C3380CC4-5D6E-409C-BE32-E72D297353CC}">
              <c16:uniqueId val="{00000001-FD33-4C3B-A01B-BC76DBAAD9C9}"/>
            </c:ext>
          </c:extLst>
        </c:ser>
        <c:ser>
          <c:idx val="2"/>
          <c:order val="2"/>
          <c:tx>
            <c:strRef>
              <c:f>'2020 T0'!$AH$1129</c:f>
              <c:strCache>
                <c:ptCount val="1"/>
                <c:pt idx="0">
                  <c:v>(3)</c:v>
                </c:pt>
              </c:strCache>
            </c:strRef>
          </c:tx>
          <c:spPr>
            <a:solidFill>
              <a:schemeClr val="accent3"/>
            </a:solidFill>
            <a:ln>
              <a:noFill/>
            </a:ln>
            <a:effectLst/>
          </c:spPr>
          <c:invertIfNegative val="0"/>
          <c:cat>
            <c:strRef>
              <c:f>'2020 T0'!$AE$1130:$AE$1164</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'2020 T0'!$AH$1130:$AH$1164</c:f>
              <c:numCache>
                <c:formatCode>#,##0_);\(#,##0\)</c:formatCode>
                <c:ptCount val="35"/>
                <c:pt idx="0">
                  <c:v>-2.6833005161614394</c:v>
                </c:pt>
                <c:pt idx="2">
                  <c:v>-17.237082140165789</c:v>
                </c:pt>
                <c:pt idx="3">
                  <c:v>-17.237082140165789</c:v>
                </c:pt>
                <c:pt idx="5">
                  <c:v>-18.29953934414274</c:v>
                </c:pt>
                <c:pt idx="6">
                  <c:v>-18.29953934414274</c:v>
                </c:pt>
                <c:pt idx="8">
                  <c:v>-15.394159676835569</c:v>
                </c:pt>
                <c:pt idx="9">
                  <c:v>-15.394159676835569</c:v>
                </c:pt>
                <c:pt idx="11">
                  <c:v>-0.4498156058412055</c:v>
                </c:pt>
                <c:pt idx="12">
                  <c:v>-0.4498156058412055</c:v>
                </c:pt>
                <c:pt idx="14">
                  <c:v>-3.4627383296464633E-3</c:v>
                </c:pt>
                <c:pt idx="15">
                  <c:v>-3.4627383296464633E-3</c:v>
                </c:pt>
                <c:pt idx="17">
                  <c:v>-0.90381353093862404</c:v>
                </c:pt>
                <c:pt idx="18">
                  <c:v>-0.90381353093862404</c:v>
                </c:pt>
                <c:pt idx="20">
                  <c:v>0</c:v>
                </c:pt>
                <c:pt idx="21">
                  <c:v>0</c:v>
                </c:pt>
              </c:numCache>
            </c:numRef>
          </c:val>
          <c:extLst>
            <c:ext xmlns:c16="http://schemas.microsoft.com/office/drawing/2014/chart" uri="{C3380CC4-5D6E-409C-BE32-E72D297353CC}">
              <c16:uniqueId val="{00000002-FD33-4C3B-A01B-BC76DBAAD9C9}"/>
            </c:ext>
          </c:extLst>
        </c:ser>
        <c:ser>
          <c:idx val="0"/>
          <c:order val="3"/>
          <c:tx>
            <c:strRef>
              <c:f>'2020 T0'!$AF$1129</c:f>
              <c:strCache>
                <c:ptCount val="1"/>
                <c:pt idx="0">
                  <c:v>405 </c:v>
                </c:pt>
              </c:strCache>
            </c:strRef>
          </c:tx>
          <c:spPr>
            <a:solidFill>
              <a:schemeClr val="accent1"/>
            </a:solidFill>
            <a:ln>
              <a:noFill/>
            </a:ln>
            <a:effectLst/>
          </c:spPr>
          <c:invertIfNegative val="0"/>
          <c:cat>
            <c:strRef>
              <c:f>'2020 T0'!$AE$1130:$AE$1164</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'2020 T0'!$AF$1130:$AF$1164</c:f>
              <c:numCache>
                <c:formatCode>#,##0_);\(#,##0\)</c:formatCode>
                <c:ptCount val="35"/>
                <c:pt idx="0">
                  <c:v>110.56048387096774</c:v>
                </c:pt>
                <c:pt idx="2">
                  <c:v>213.80416666666667</c:v>
                </c:pt>
                <c:pt idx="3">
                  <c:v>66.804166666666674</c:v>
                </c:pt>
                <c:pt idx="5">
                  <c:v>190.23655913978496</c:v>
                </c:pt>
                <c:pt idx="6">
                  <c:v>43.236559139784944</c:v>
                </c:pt>
                <c:pt idx="8">
                  <c:v>179.93548387096774</c:v>
                </c:pt>
                <c:pt idx="9">
                  <c:v>32.935483870967744</c:v>
                </c:pt>
                <c:pt idx="11">
                  <c:v>346.04722222222222</c:v>
                </c:pt>
                <c:pt idx="12">
                  <c:v>101.04722222222222</c:v>
                </c:pt>
                <c:pt idx="14">
                  <c:v>343.60618279569894</c:v>
                </c:pt>
                <c:pt idx="15">
                  <c:v>98.606182795698928</c:v>
                </c:pt>
                <c:pt idx="17">
                  <c:v>322.70555555555558</c:v>
                </c:pt>
                <c:pt idx="18">
                  <c:v>77.705555555555563</c:v>
                </c:pt>
                <c:pt idx="20">
                  <c:v>323.16935483870964</c:v>
                </c:pt>
                <c:pt idx="21">
                  <c:v>78.169354838709666</c:v>
                </c:pt>
              </c:numCache>
            </c:numRef>
          </c:val>
          <c:extLst>
            <c:ext xmlns:c16="http://schemas.microsoft.com/office/drawing/2014/chart" uri="{C3380CC4-5D6E-409C-BE32-E72D297353CC}">
              <c16:uniqueId val="{00000003-FD33-4C3B-A01B-BC76DBAAD9C9}"/>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v>South w/SGL</c:v>
          </c:tx>
          <c:spPr>
            <a:solidFill>
              <a:schemeClr val="accent4"/>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37.887096774193559</c:v>
              </c:pt>
              <c:pt idx="1">
                <c:v>37.887096774193559</c:v>
              </c:pt>
              <c:pt idx="3">
                <c:v>47.678160919540225</c:v>
              </c:pt>
              <c:pt idx="4">
                <c:v>47.678160919540225</c:v>
              </c:pt>
              <c:pt idx="6">
                <c:v>55.387096774193544</c:v>
              </c:pt>
              <c:pt idx="7">
                <c:v>55.387096774193544</c:v>
              </c:pt>
              <c:pt idx="9">
                <c:v>63.465277777777771</c:v>
              </c:pt>
              <c:pt idx="10">
                <c:v>63.465277777777771</c:v>
              </c:pt>
              <c:pt idx="12">
                <c:v>64.745967741935488</c:v>
              </c:pt>
              <c:pt idx="13">
                <c:v>64.745967741935488</c:v>
              </c:pt>
              <c:pt idx="15">
                <c:v>66.411111111111111</c:v>
              </c:pt>
              <c:pt idx="16">
                <c:v>66.411111111111111</c:v>
              </c:pt>
              <c:pt idx="18">
                <c:v>66.129032258064512</c:v>
              </c:pt>
              <c:pt idx="19">
                <c:v>66.129032258064512</c:v>
              </c:pt>
              <c:pt idx="21">
                <c:v>61.61021505376344</c:v>
              </c:pt>
              <c:pt idx="22">
                <c:v>61.61021505376344</c:v>
              </c:pt>
              <c:pt idx="24">
                <c:v>55.479166666666657</c:v>
              </c:pt>
              <c:pt idx="25">
                <c:v>55.479166666666657</c:v>
              </c:pt>
              <c:pt idx="27">
                <c:v>40.768817204301072</c:v>
              </c:pt>
              <c:pt idx="28">
                <c:v>40.768817204301072</c:v>
              </c:pt>
              <c:pt idx="30">
                <c:v>9.5166666666666675</c:v>
              </c:pt>
              <c:pt idx="31">
                <c:v>9.5166666666666675</c:v>
              </c:pt>
              <c:pt idx="33">
                <c:v>20.709677419354836</c:v>
              </c:pt>
              <c:pt idx="34">
                <c:v>20.709677419354836</c:v>
              </c:pt>
            </c:numLit>
          </c:val>
          <c:extLst>
            <c:ext xmlns:c16="http://schemas.microsoft.com/office/drawing/2014/chart" uri="{C3380CC4-5D6E-409C-BE32-E72D297353CC}">
              <c16:uniqueId val="{00000000-F9DD-492A-95B5-E1CB7CA5844B}"/>
            </c:ext>
          </c:extLst>
        </c:ser>
        <c:ser>
          <c:idx val="1"/>
          <c:order val="1"/>
          <c:tx>
            <c:v>WAD -PMP</c:v>
          </c:tx>
          <c:spPr>
            <a:solidFill>
              <a:schemeClr val="accent2"/>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14.264355415601463</c:v>
              </c:pt>
              <c:pt idx="1">
                <c:v>14.264355415601463</c:v>
              </c:pt>
              <c:pt idx="3">
                <c:v>23.716310568347794</c:v>
              </c:pt>
              <c:pt idx="4">
                <c:v>23.716310568347794</c:v>
              </c:pt>
              <c:pt idx="6">
                <c:v>14.816329568181672</c:v>
              </c:pt>
              <c:pt idx="7">
                <c:v>14.816329568181672</c:v>
              </c:pt>
              <c:pt idx="9">
                <c:v>1.2010591539095501</c:v>
              </c:pt>
              <c:pt idx="10">
                <c:v>1.2010591539095501</c:v>
              </c:pt>
              <c:pt idx="12">
                <c:v>0</c:v>
              </c:pt>
              <c:pt idx="13">
                <c:v>0</c:v>
              </c:pt>
              <c:pt idx="15">
                <c:v>0</c:v>
              </c:pt>
              <c:pt idx="16">
                <c:v>0</c:v>
              </c:pt>
              <c:pt idx="18">
                <c:v>0</c:v>
              </c:pt>
              <c:pt idx="19">
                <c:v>0</c:v>
              </c:pt>
              <c:pt idx="21">
                <c:v>0</c:v>
              </c:pt>
              <c:pt idx="22">
                <c:v>0</c:v>
              </c:pt>
              <c:pt idx="24">
                <c:v>2.9117163568879949</c:v>
              </c:pt>
              <c:pt idx="25">
                <c:v>2.9117163568879949</c:v>
              </c:pt>
              <c:pt idx="27">
                <c:v>9.5581881151136141</c:v>
              </c:pt>
              <c:pt idx="28">
                <c:v>9.5581881151136141</c:v>
              </c:pt>
              <c:pt idx="30">
                <c:v>20.943760618939489</c:v>
              </c:pt>
              <c:pt idx="31">
                <c:v>20.943760618939489</c:v>
              </c:pt>
              <c:pt idx="33">
                <c:v>19.517514937787887</c:v>
              </c:pt>
              <c:pt idx="34">
                <c:v>19.517514937787887</c:v>
              </c:pt>
            </c:numLit>
          </c:val>
          <c:extLst>
            <c:ext xmlns:c16="http://schemas.microsoft.com/office/drawing/2014/chart" uri="{C3380CC4-5D6E-409C-BE32-E72D297353CC}">
              <c16:uniqueId val="{00000001-F9DD-492A-95B5-E1CB7CA5844B}"/>
            </c:ext>
          </c:extLst>
        </c:ser>
        <c:ser>
          <c:idx val="2"/>
          <c:order val="2"/>
          <c:tx>
            <c:v>WAD - GEN</c:v>
          </c:tx>
          <c:spPr>
            <a:solidFill>
              <a:schemeClr val="accent3"/>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-5.8004408859118906</c:v>
              </c:pt>
              <c:pt idx="1">
                <c:v>-5.8004408859118906</c:v>
              </c:pt>
              <c:pt idx="3">
                <c:v>0</c:v>
              </c:pt>
              <c:pt idx="4">
                <c:v>0</c:v>
              </c:pt>
              <c:pt idx="6">
                <c:v>0</c:v>
              </c:pt>
              <c:pt idx="7">
                <c:v>0</c:v>
              </c:pt>
              <c:pt idx="9">
                <c:v>0</c:v>
              </c:pt>
              <c:pt idx="10">
                <c:v>0</c:v>
              </c:pt>
              <c:pt idx="12">
                <c:v>-1.2205511799333035</c:v>
              </c:pt>
              <c:pt idx="13">
                <c:v>-1.2205511799333035</c:v>
              </c:pt>
              <c:pt idx="15">
                <c:v>-20.502526345806164</c:v>
              </c:pt>
              <c:pt idx="16">
                <c:v>-20.502526345806164</c:v>
              </c:pt>
              <c:pt idx="18">
                <c:v>-16.174906736153343</c:v>
              </c:pt>
              <c:pt idx="19">
                <c:v>-16.174906736153343</c:v>
              </c:pt>
              <c:pt idx="21">
                <c:v>-11.332630851062866</c:v>
              </c:pt>
              <c:pt idx="22">
                <c:v>-11.332630851062866</c:v>
              </c:pt>
              <c:pt idx="24">
                <c:v>0</c:v>
              </c:pt>
              <c:pt idx="25">
                <c:v>0</c:v>
              </c:pt>
              <c:pt idx="27">
                <c:v>0</c:v>
              </c:pt>
              <c:pt idx="28">
                <c:v>0</c:v>
              </c:pt>
              <c:pt idx="30">
                <c:v>0</c:v>
              </c:pt>
              <c:pt idx="31">
                <c:v>0</c:v>
              </c:pt>
              <c:pt idx="33">
                <c:v>0</c:v>
              </c:pt>
              <c:pt idx="34">
                <c:v>0</c:v>
              </c:pt>
            </c:numLit>
          </c:val>
          <c:extLst>
            <c:ext xmlns:c16="http://schemas.microsoft.com/office/drawing/2014/chart" uri="{C3380CC4-5D6E-409C-BE32-E72D297353CC}">
              <c16:uniqueId val="{00000002-F9DD-492A-95B5-E1CB7CA5844B}"/>
            </c:ext>
          </c:extLst>
        </c:ser>
        <c:ser>
          <c:idx val="0"/>
          <c:order val="3"/>
          <c:tx>
            <c:v>West HAV - HSY</c:v>
          </c:tx>
          <c:spPr>
            <a:solidFill>
              <a:schemeClr val="accent1"/>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252.02553763440861</c:v>
              </c:pt>
              <c:pt idx="1">
                <c:v>56.0255376344086</c:v>
              </c:pt>
              <c:pt idx="3">
                <c:v>208.16522988505747</c:v>
              </c:pt>
              <c:pt idx="4">
                <c:v>110.16522988505747</c:v>
              </c:pt>
              <c:pt idx="6">
                <c:v>406.43548387096774</c:v>
              </c:pt>
              <c:pt idx="7">
                <c:v>112.43548387096774</c:v>
              </c:pt>
              <c:pt idx="9">
                <c:v>406.22500000000002</c:v>
              </c:pt>
              <c:pt idx="10">
                <c:v>112.22500000000001</c:v>
              </c:pt>
              <c:pt idx="12">
                <c:v>403.57123655913978</c:v>
              </c:pt>
              <c:pt idx="13">
                <c:v>109.57123655913979</c:v>
              </c:pt>
              <c:pt idx="15">
                <c:v>191.24027777777778</c:v>
              </c:pt>
              <c:pt idx="16">
                <c:v>44.240277777777777</c:v>
              </c:pt>
              <c:pt idx="18">
                <c:v>190.91801075268819</c:v>
              </c:pt>
              <c:pt idx="19">
                <c:v>43.918010752688176</c:v>
              </c:pt>
              <c:pt idx="21">
                <c:v>191.06720430107526</c:v>
              </c:pt>
              <c:pt idx="22">
                <c:v>44.067204301075265</c:v>
              </c:pt>
              <c:pt idx="24">
                <c:v>341.69861111111106</c:v>
              </c:pt>
              <c:pt idx="25">
                <c:v>96.698611111111092</c:v>
              </c:pt>
              <c:pt idx="27">
                <c:v>335.60618279569894</c:v>
              </c:pt>
              <c:pt idx="28">
                <c:v>90.606182795698928</c:v>
              </c:pt>
              <c:pt idx="30">
                <c:v>323.83055555555558</c:v>
              </c:pt>
              <c:pt idx="31">
                <c:v>78.830555555555563</c:v>
              </c:pt>
              <c:pt idx="33">
                <c:v>322.4986559139785</c:v>
              </c:pt>
              <c:pt idx="34">
                <c:v>77.498655913978496</c:v>
              </c:pt>
            </c:numLit>
          </c:val>
          <c:extLst>
            <c:ext xmlns:c16="http://schemas.microsoft.com/office/drawing/2014/chart" uri="{C3380CC4-5D6E-409C-BE32-E72D297353CC}">
              <c16:uniqueId val="{00000003-F9DD-492A-95B5-E1CB7CA5844B}"/>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strRef>
              <c:f>'2021 T0'!$AI$1124</c:f>
              <c:strCache>
                <c:ptCount val="1"/>
                <c:pt idx="0">
                  <c:v>70 </c:v>
                </c:pt>
              </c:strCache>
            </c:strRef>
          </c:tx>
          <c:spPr>
            <a:solidFill>
              <a:schemeClr val="accent4"/>
            </a:solidFill>
            <a:ln>
              <a:noFill/>
            </a:ln>
            <a:effectLst/>
          </c:spPr>
          <c:invertIfNegative val="0"/>
          <c:cat>
            <c:strRef>
              <c:f>'2021 T0'!$AE$1125:$AE$1159</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T0'!$AI$1125:$AI$1159</c:f>
              <c:numCache>
                <c:formatCode>#,##0_);\(#,##0\)</c:formatCode>
                <c:ptCount val="35"/>
                <c:pt idx="0">
                  <c:v>69.762096774193552</c:v>
                </c:pt>
                <c:pt idx="2">
                  <c:v>73.783333333333331</c:v>
                </c:pt>
                <c:pt idx="3">
                  <c:v>73.783333333333331</c:v>
                </c:pt>
                <c:pt idx="5">
                  <c:v>70.943548387096769</c:v>
                </c:pt>
                <c:pt idx="6">
                  <c:v>70.943548387096769</c:v>
                </c:pt>
                <c:pt idx="8">
                  <c:v>63.202956989247319</c:v>
                </c:pt>
                <c:pt idx="9">
                  <c:v>63.202956989247319</c:v>
                </c:pt>
                <c:pt idx="11">
                  <c:v>51.676388888888887</c:v>
                </c:pt>
                <c:pt idx="12">
                  <c:v>51.676388888888887</c:v>
                </c:pt>
                <c:pt idx="14">
                  <c:v>25.263440860215056</c:v>
                </c:pt>
                <c:pt idx="15">
                  <c:v>25.263440860215056</c:v>
                </c:pt>
                <c:pt idx="17">
                  <c:v>10.841666666666667</c:v>
                </c:pt>
                <c:pt idx="18">
                  <c:v>10.841666666666667</c:v>
                </c:pt>
                <c:pt idx="20">
                  <c:v>23.630376344086024</c:v>
                </c:pt>
                <c:pt idx="21">
                  <c:v>23.630376344086024</c:v>
                </c:pt>
              </c:numCache>
            </c:numRef>
          </c:val>
          <c:extLst>
            <c:ext xmlns:c16="http://schemas.microsoft.com/office/drawing/2014/chart" uri="{C3380CC4-5D6E-409C-BE32-E72D297353CC}">
              <c16:uniqueId val="{00000000-F6C6-4BBC-B554-6285ECD1F21F}"/>
            </c:ext>
          </c:extLst>
        </c:ser>
        <c:ser>
          <c:idx val="1"/>
          <c:order val="1"/>
          <c:tx>
            <c:strRef>
              <c:f>'2021 T0'!$AG$1124</c:f>
              <c:strCache>
                <c:ptCount val="1"/>
                <c:pt idx="0">
                  <c:v>0 </c:v>
                </c:pt>
              </c:strCache>
            </c:strRef>
          </c:tx>
          <c:spPr>
            <a:solidFill>
              <a:schemeClr val="accent2"/>
            </a:solidFill>
            <a:ln>
              <a:noFill/>
            </a:ln>
            <a:effectLst/>
          </c:spPr>
          <c:invertIfNegative val="0"/>
          <c:cat>
            <c:strRef>
              <c:f>'2021 T0'!$AE$1125:$AE$1159</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T0'!$AG$1125:$AG$1159</c:f>
              <c:numCache>
                <c:formatCode>#,##0_);\(#,##0\)</c:formatCode>
                <c:ptCount val="35"/>
                <c:pt idx="0">
                  <c:v>0</c:v>
                </c:pt>
                <c:pt idx="2">
                  <c:v>0</c:v>
                </c:pt>
                <c:pt idx="3">
                  <c:v>0</c:v>
                </c:pt>
                <c:pt idx="5">
                  <c:v>0</c:v>
                </c:pt>
                <c:pt idx="6">
                  <c:v>0</c:v>
                </c:pt>
                <c:pt idx="8">
                  <c:v>0</c:v>
                </c:pt>
                <c:pt idx="9">
                  <c:v>0</c:v>
                </c:pt>
                <c:pt idx="11">
                  <c:v>3.7402394118380697</c:v>
                </c:pt>
                <c:pt idx="12">
                  <c:v>3.7402394118380697</c:v>
                </c:pt>
                <c:pt idx="14">
                  <c:v>13.708029347336522</c:v>
                </c:pt>
                <c:pt idx="15">
                  <c:v>13.708029347336522</c:v>
                </c:pt>
                <c:pt idx="17">
                  <c:v>21.012780818711924</c:v>
                </c:pt>
                <c:pt idx="18">
                  <c:v>21.012780818711924</c:v>
                </c:pt>
                <c:pt idx="20">
                  <c:v>12.967389336067507</c:v>
                </c:pt>
                <c:pt idx="21">
                  <c:v>12.967389336067507</c:v>
                </c:pt>
              </c:numCache>
            </c:numRef>
          </c:val>
          <c:extLst>
            <c:ext xmlns:c16="http://schemas.microsoft.com/office/drawing/2014/chart" uri="{C3380CC4-5D6E-409C-BE32-E72D297353CC}">
              <c16:uniqueId val="{00000001-F6C6-4BBC-B554-6285ECD1F21F}"/>
            </c:ext>
          </c:extLst>
        </c:ser>
        <c:ser>
          <c:idx val="2"/>
          <c:order val="2"/>
          <c:tx>
            <c:strRef>
              <c:f>'2021 T0'!$AH$1124</c:f>
              <c:strCache>
                <c:ptCount val="1"/>
                <c:pt idx="0">
                  <c:v>0 </c:v>
                </c:pt>
              </c:strCache>
            </c:strRef>
          </c:tx>
          <c:spPr>
            <a:solidFill>
              <a:schemeClr val="accent3"/>
            </a:solidFill>
            <a:ln>
              <a:noFill/>
            </a:ln>
            <a:effectLst/>
          </c:spPr>
          <c:invertIfNegative val="0"/>
          <c:cat>
            <c:strRef>
              <c:f>'2021 T0'!$AE$1125:$AE$1159</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T0'!$AH$1125:$AH$1159</c:f>
              <c:numCache>
                <c:formatCode>#,##0_);\(#,##0\)</c:formatCode>
                <c:ptCount val="35"/>
                <c:pt idx="0">
                  <c:v>0</c:v>
                </c:pt>
                <c:pt idx="2">
                  <c:v>-21.96721634360711</c:v>
                </c:pt>
                <c:pt idx="3">
                  <c:v>-21.96721634360711</c:v>
                </c:pt>
                <c:pt idx="5">
                  <c:v>-19.852710780525623</c:v>
                </c:pt>
                <c:pt idx="6">
                  <c:v>-19.852710780525623</c:v>
                </c:pt>
                <c:pt idx="8">
                  <c:v>-10.87922856973494</c:v>
                </c:pt>
                <c:pt idx="9">
                  <c:v>-10.87922856973494</c:v>
                </c:pt>
                <c:pt idx="11">
                  <c:v>0</c:v>
                </c:pt>
                <c:pt idx="12">
                  <c:v>0</c:v>
                </c:pt>
                <c:pt idx="14">
                  <c:v>0</c:v>
                </c:pt>
                <c:pt idx="15">
                  <c:v>0</c:v>
                </c:pt>
                <c:pt idx="17">
                  <c:v>0</c:v>
                </c:pt>
                <c:pt idx="18">
                  <c:v>0</c:v>
                </c:pt>
                <c:pt idx="20">
                  <c:v>0</c:v>
                </c:pt>
                <c:pt idx="21">
                  <c:v>0</c:v>
                </c:pt>
              </c:numCache>
            </c:numRef>
          </c:val>
          <c:extLst>
            <c:ext xmlns:c16="http://schemas.microsoft.com/office/drawing/2014/chart" uri="{C3380CC4-5D6E-409C-BE32-E72D297353CC}">
              <c16:uniqueId val="{00000002-F6C6-4BBC-B554-6285ECD1F21F}"/>
            </c:ext>
          </c:extLst>
        </c:ser>
        <c:ser>
          <c:idx val="0"/>
          <c:order val="3"/>
          <c:tx>
            <c:strRef>
              <c:f>'2021 T0'!$AF$1124</c:f>
              <c:strCache>
                <c:ptCount val="1"/>
                <c:pt idx="0">
                  <c:v>400 </c:v>
                </c:pt>
              </c:strCache>
            </c:strRef>
          </c:tx>
          <c:spPr>
            <a:solidFill>
              <a:schemeClr val="accent1"/>
            </a:solidFill>
            <a:ln>
              <a:noFill/>
            </a:ln>
            <a:effectLst/>
          </c:spPr>
          <c:invertIfNegative val="0"/>
          <c:cat>
            <c:strRef>
              <c:f>'2021 T0'!$AE$1125:$AE$1159</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T0'!$AF$1125:$AF$1159</c:f>
              <c:numCache>
                <c:formatCode>#,##0_);\(#,##0\)</c:formatCode>
                <c:ptCount val="35"/>
                <c:pt idx="0">
                  <c:v>106.42876344086022</c:v>
                </c:pt>
                <c:pt idx="2">
                  <c:v>192.90694444444443</c:v>
                </c:pt>
                <c:pt idx="3">
                  <c:v>45.906944444444449</c:v>
                </c:pt>
                <c:pt idx="5">
                  <c:v>177.24596774193549</c:v>
                </c:pt>
                <c:pt idx="6">
                  <c:v>30.24596774193548</c:v>
                </c:pt>
                <c:pt idx="8">
                  <c:v>177.87768817204301</c:v>
                </c:pt>
                <c:pt idx="9">
                  <c:v>30.877688172043015</c:v>
                </c:pt>
                <c:pt idx="11">
                  <c:v>328.47638888888889</c:v>
                </c:pt>
                <c:pt idx="12">
                  <c:v>83.476388888888891</c:v>
                </c:pt>
                <c:pt idx="14">
                  <c:v>335.06451612903226</c:v>
                </c:pt>
                <c:pt idx="15">
                  <c:v>90.064516129032256</c:v>
                </c:pt>
                <c:pt idx="17">
                  <c:v>334.7833333333333</c:v>
                </c:pt>
                <c:pt idx="18">
                  <c:v>89.783333333333331</c:v>
                </c:pt>
                <c:pt idx="20">
                  <c:v>312.53763440860212</c:v>
                </c:pt>
                <c:pt idx="21">
                  <c:v>67.537634408602145</c:v>
                </c:pt>
              </c:numCache>
            </c:numRef>
          </c:val>
          <c:extLst>
            <c:ext xmlns:c16="http://schemas.microsoft.com/office/drawing/2014/chart" uri="{C3380CC4-5D6E-409C-BE32-E72D297353CC}">
              <c16:uniqueId val="{00000003-F6C6-4BBC-B554-6285ECD1F21F}"/>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v>South w/SGL</c:v>
          </c:tx>
          <c:spPr>
            <a:solidFill>
              <a:schemeClr val="accent4"/>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37.887096774193559</c:v>
              </c:pt>
              <c:pt idx="1">
                <c:v>37.887096774193559</c:v>
              </c:pt>
              <c:pt idx="3">
                <c:v>47.678160919540225</c:v>
              </c:pt>
              <c:pt idx="4">
                <c:v>47.678160919540225</c:v>
              </c:pt>
              <c:pt idx="6">
                <c:v>55.387096774193544</c:v>
              </c:pt>
              <c:pt idx="7">
                <c:v>55.387096774193544</c:v>
              </c:pt>
              <c:pt idx="9">
                <c:v>63.465277777777771</c:v>
              </c:pt>
              <c:pt idx="10">
                <c:v>63.465277777777771</c:v>
              </c:pt>
              <c:pt idx="12">
                <c:v>64.745967741935488</c:v>
              </c:pt>
              <c:pt idx="13">
                <c:v>64.745967741935488</c:v>
              </c:pt>
              <c:pt idx="15">
                <c:v>66.411111111111111</c:v>
              </c:pt>
              <c:pt idx="16">
                <c:v>66.411111111111111</c:v>
              </c:pt>
              <c:pt idx="18">
                <c:v>66.129032258064512</c:v>
              </c:pt>
              <c:pt idx="19">
                <c:v>66.129032258064512</c:v>
              </c:pt>
              <c:pt idx="21">
                <c:v>61.61021505376344</c:v>
              </c:pt>
              <c:pt idx="22">
                <c:v>61.61021505376344</c:v>
              </c:pt>
              <c:pt idx="24">
                <c:v>55.479166666666657</c:v>
              </c:pt>
              <c:pt idx="25">
                <c:v>55.479166666666657</c:v>
              </c:pt>
              <c:pt idx="27">
                <c:v>40.768817204301072</c:v>
              </c:pt>
              <c:pt idx="28">
                <c:v>40.768817204301072</c:v>
              </c:pt>
              <c:pt idx="30">
                <c:v>9.5166666666666675</c:v>
              </c:pt>
              <c:pt idx="31">
                <c:v>9.5166666666666675</c:v>
              </c:pt>
              <c:pt idx="33">
                <c:v>20.709677419354836</c:v>
              </c:pt>
              <c:pt idx="34">
                <c:v>20.709677419354836</c:v>
              </c:pt>
            </c:numLit>
          </c:val>
          <c:extLst>
            <c:ext xmlns:c16="http://schemas.microsoft.com/office/drawing/2014/chart" uri="{C3380CC4-5D6E-409C-BE32-E72D297353CC}">
              <c16:uniqueId val="{00000000-115F-4A3A-9147-C69C0F7228E5}"/>
            </c:ext>
          </c:extLst>
        </c:ser>
        <c:ser>
          <c:idx val="1"/>
          <c:order val="1"/>
          <c:tx>
            <c:v>WAD -PMP</c:v>
          </c:tx>
          <c:spPr>
            <a:solidFill>
              <a:schemeClr val="accent2"/>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14.264355415601463</c:v>
              </c:pt>
              <c:pt idx="1">
                <c:v>14.264355415601463</c:v>
              </c:pt>
              <c:pt idx="3">
                <c:v>23.716310568347794</c:v>
              </c:pt>
              <c:pt idx="4">
                <c:v>23.716310568347794</c:v>
              </c:pt>
              <c:pt idx="6">
                <c:v>14.816329568181672</c:v>
              </c:pt>
              <c:pt idx="7">
                <c:v>14.816329568181672</c:v>
              </c:pt>
              <c:pt idx="9">
                <c:v>1.2010591539095501</c:v>
              </c:pt>
              <c:pt idx="10">
                <c:v>1.2010591539095501</c:v>
              </c:pt>
              <c:pt idx="12">
                <c:v>0</c:v>
              </c:pt>
              <c:pt idx="13">
                <c:v>0</c:v>
              </c:pt>
              <c:pt idx="15">
                <c:v>0</c:v>
              </c:pt>
              <c:pt idx="16">
                <c:v>0</c:v>
              </c:pt>
              <c:pt idx="18">
                <c:v>0</c:v>
              </c:pt>
              <c:pt idx="19">
                <c:v>0</c:v>
              </c:pt>
              <c:pt idx="21">
                <c:v>0</c:v>
              </c:pt>
              <c:pt idx="22">
                <c:v>0</c:v>
              </c:pt>
              <c:pt idx="24">
                <c:v>2.9117163568879949</c:v>
              </c:pt>
              <c:pt idx="25">
                <c:v>2.9117163568879949</c:v>
              </c:pt>
              <c:pt idx="27">
                <c:v>9.5581881151136141</c:v>
              </c:pt>
              <c:pt idx="28">
                <c:v>9.5581881151136141</c:v>
              </c:pt>
              <c:pt idx="30">
                <c:v>20.943760618939489</c:v>
              </c:pt>
              <c:pt idx="31">
                <c:v>20.943760618939489</c:v>
              </c:pt>
              <c:pt idx="33">
                <c:v>19.517514937787887</c:v>
              </c:pt>
              <c:pt idx="34">
                <c:v>19.517514937787887</c:v>
              </c:pt>
            </c:numLit>
          </c:val>
          <c:extLst>
            <c:ext xmlns:c16="http://schemas.microsoft.com/office/drawing/2014/chart" uri="{C3380CC4-5D6E-409C-BE32-E72D297353CC}">
              <c16:uniqueId val="{00000001-115F-4A3A-9147-C69C0F7228E5}"/>
            </c:ext>
          </c:extLst>
        </c:ser>
        <c:ser>
          <c:idx val="2"/>
          <c:order val="2"/>
          <c:tx>
            <c:v>WAD - GEN</c:v>
          </c:tx>
          <c:spPr>
            <a:solidFill>
              <a:schemeClr val="accent3"/>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-5.8004408859118906</c:v>
              </c:pt>
              <c:pt idx="1">
                <c:v>-5.8004408859118906</c:v>
              </c:pt>
              <c:pt idx="3">
                <c:v>0</c:v>
              </c:pt>
              <c:pt idx="4">
                <c:v>0</c:v>
              </c:pt>
              <c:pt idx="6">
                <c:v>0</c:v>
              </c:pt>
              <c:pt idx="7">
                <c:v>0</c:v>
              </c:pt>
              <c:pt idx="9">
                <c:v>0</c:v>
              </c:pt>
              <c:pt idx="10">
                <c:v>0</c:v>
              </c:pt>
              <c:pt idx="12">
                <c:v>-1.2205511799333035</c:v>
              </c:pt>
              <c:pt idx="13">
                <c:v>-1.2205511799333035</c:v>
              </c:pt>
              <c:pt idx="15">
                <c:v>-20.502526345806164</c:v>
              </c:pt>
              <c:pt idx="16">
                <c:v>-20.502526345806164</c:v>
              </c:pt>
              <c:pt idx="18">
                <c:v>-16.174906736153343</c:v>
              </c:pt>
              <c:pt idx="19">
                <c:v>-16.174906736153343</c:v>
              </c:pt>
              <c:pt idx="21">
                <c:v>-11.332630851062866</c:v>
              </c:pt>
              <c:pt idx="22">
                <c:v>-11.332630851062866</c:v>
              </c:pt>
              <c:pt idx="24">
                <c:v>0</c:v>
              </c:pt>
              <c:pt idx="25">
                <c:v>0</c:v>
              </c:pt>
              <c:pt idx="27">
                <c:v>0</c:v>
              </c:pt>
              <c:pt idx="28">
                <c:v>0</c:v>
              </c:pt>
              <c:pt idx="30">
                <c:v>0</c:v>
              </c:pt>
              <c:pt idx="31">
                <c:v>0</c:v>
              </c:pt>
              <c:pt idx="33">
                <c:v>0</c:v>
              </c:pt>
              <c:pt idx="34">
                <c:v>0</c:v>
              </c:pt>
            </c:numLit>
          </c:val>
          <c:extLst>
            <c:ext xmlns:c16="http://schemas.microsoft.com/office/drawing/2014/chart" uri="{C3380CC4-5D6E-409C-BE32-E72D297353CC}">
              <c16:uniqueId val="{00000002-115F-4A3A-9147-C69C0F7228E5}"/>
            </c:ext>
          </c:extLst>
        </c:ser>
        <c:ser>
          <c:idx val="0"/>
          <c:order val="3"/>
          <c:tx>
            <c:v>West HAV - HSY</c:v>
          </c:tx>
          <c:spPr>
            <a:solidFill>
              <a:schemeClr val="accent1"/>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252.02553763440861</c:v>
              </c:pt>
              <c:pt idx="1">
                <c:v>56.0255376344086</c:v>
              </c:pt>
              <c:pt idx="3">
                <c:v>208.16522988505747</c:v>
              </c:pt>
              <c:pt idx="4">
                <c:v>110.16522988505747</c:v>
              </c:pt>
              <c:pt idx="6">
                <c:v>406.43548387096774</c:v>
              </c:pt>
              <c:pt idx="7">
                <c:v>112.43548387096774</c:v>
              </c:pt>
              <c:pt idx="9">
                <c:v>406.22500000000002</c:v>
              </c:pt>
              <c:pt idx="10">
                <c:v>112.22500000000001</c:v>
              </c:pt>
              <c:pt idx="12">
                <c:v>403.57123655913978</c:v>
              </c:pt>
              <c:pt idx="13">
                <c:v>109.57123655913979</c:v>
              </c:pt>
              <c:pt idx="15">
                <c:v>191.24027777777778</c:v>
              </c:pt>
              <c:pt idx="16">
                <c:v>44.240277777777777</c:v>
              </c:pt>
              <c:pt idx="18">
                <c:v>190.91801075268819</c:v>
              </c:pt>
              <c:pt idx="19">
                <c:v>43.918010752688176</c:v>
              </c:pt>
              <c:pt idx="21">
                <c:v>191.06720430107526</c:v>
              </c:pt>
              <c:pt idx="22">
                <c:v>44.067204301075265</c:v>
              </c:pt>
              <c:pt idx="24">
                <c:v>341.69861111111106</c:v>
              </c:pt>
              <c:pt idx="25">
                <c:v>96.698611111111092</c:v>
              </c:pt>
              <c:pt idx="27">
                <c:v>335.60618279569894</c:v>
              </c:pt>
              <c:pt idx="28">
                <c:v>90.606182795698928</c:v>
              </c:pt>
              <c:pt idx="30">
                <c:v>323.83055555555558</c:v>
              </c:pt>
              <c:pt idx="31">
                <c:v>78.830555555555563</c:v>
              </c:pt>
              <c:pt idx="33">
                <c:v>322.4986559139785</c:v>
              </c:pt>
              <c:pt idx="34">
                <c:v>77.498655913978496</c:v>
              </c:pt>
            </c:numLit>
          </c:val>
          <c:extLst>
            <c:ext xmlns:c16="http://schemas.microsoft.com/office/drawing/2014/chart" uri="{C3380CC4-5D6E-409C-BE32-E72D297353CC}">
              <c16:uniqueId val="{00000003-115F-4A3A-9147-C69C0F7228E5}"/>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Lake</a:t>
            </a:r>
            <a:r>
              <a:rPr lang="en-US" baseline="0"/>
              <a:t> Pleasant Elevation</a:t>
            </a:r>
            <a:endParaRPr lang="en-US" sz="1400" b="0" baseline="0"/>
          </a:p>
          <a:p>
            <a:pPr>
              <a:defRPr/>
            </a:pPr>
            <a:r>
              <a:rPr lang="en-US" sz="1200" b="0" baseline="0"/>
              <a:t>Jan 2014-Nov 2018 Actual, Dec 2018-Dec 2019 Forecast</a:t>
            </a:r>
            <a:endParaRPr lang="en-US" sz="1200" b="0"/>
          </a:p>
        </c:rich>
      </c:tx>
      <c:overlay val="0"/>
    </c:title>
    <c:autoTitleDeleted val="0"/>
    <c:plotArea>
      <c:layout>
        <c:manualLayout>
          <c:layoutTarget val="inner"/>
          <c:xMode val="edge"/>
          <c:yMode val="edge"/>
          <c:x val="0.1147833996555946"/>
          <c:y val="0.1257935927407981"/>
          <c:w val="0.76670740682156957"/>
          <c:h val="0.75946512150462064"/>
        </c:manualLayout>
      </c:layout>
      <c:lineChart>
        <c:grouping val="standard"/>
        <c:varyColors val="0"/>
        <c:ser>
          <c:idx val="2"/>
          <c:order val="2"/>
          <c:tx>
            <c:strRef>
              <c:f>'Lake Pleasant Forecast'!$AD$21</c:f>
              <c:strCache>
                <c:ptCount val="1"/>
                <c:pt idx="0">
                  <c:v>2014</c:v>
                </c:pt>
              </c:strCache>
            </c:strRef>
          </c:tx>
          <c:marker>
            <c:symbol val="none"/>
          </c:marker>
          <c:cat>
            <c:strRef>
              <c:f>'Lake Pleasant Forecast'!$AA$22:$AA$33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'Lake Pleasant Forecast'!$AD$22:$AD$33</c:f>
              <c:numCache>
                <c:formatCode>#,##0.00_);\(#,##0.00\)</c:formatCode>
                <c:ptCount val="12"/>
                <c:pt idx="0">
                  <c:v>1676.01</c:v>
                </c:pt>
                <c:pt idx="1">
                  <c:v>1682.06</c:v>
                </c:pt>
                <c:pt idx="2">
                  <c:v>1687.21</c:v>
                </c:pt>
                <c:pt idx="3">
                  <c:v>1687.74</c:v>
                </c:pt>
                <c:pt idx="4">
                  <c:v>1686.17</c:v>
                </c:pt>
                <c:pt idx="5">
                  <c:v>1677.62</c:v>
                </c:pt>
                <c:pt idx="6">
                  <c:v>1664.9</c:v>
                </c:pt>
                <c:pt idx="7">
                  <c:v>1660.54</c:v>
                </c:pt>
                <c:pt idx="8">
                  <c:v>1663.61</c:v>
                </c:pt>
                <c:pt idx="9">
                  <c:v>1666.06</c:v>
                </c:pt>
                <c:pt idx="10">
                  <c:v>1672.78</c:v>
                </c:pt>
                <c:pt idx="11">
                  <c:v>1679.81</c:v>
                </c:pt>
              </c:numCache>
            </c:numRef>
          </c:val>
          <c:smooth val="0"/>
          <c:extLst>
            <c:ext xmlns:c16="http://schemas.microsoft.com/office/drawing/2014/chart" uri="{C3380CC4-5D6E-409C-BE32-E72D297353CC}">
              <c16:uniqueId val="{00000001-0D5E-49F6-94FF-B1DB919FE989}"/>
            </c:ext>
          </c:extLst>
        </c:ser>
        <c:ser>
          <c:idx val="6"/>
          <c:order val="3"/>
          <c:tx>
            <c:strRef>
              <c:f>'Lake Pleasant Forecast'!$AE$21</c:f>
              <c:strCache>
                <c:ptCount val="1"/>
                <c:pt idx="0">
                  <c:v>2015</c:v>
                </c:pt>
              </c:strCache>
            </c:strRef>
          </c:tx>
          <c:spPr>
            <a:ln>
              <a:solidFill>
                <a:schemeClr val="accent4"/>
              </a:solidFill>
            </a:ln>
          </c:spPr>
          <c:marker>
            <c:symbol val="none"/>
          </c:marker>
          <c:val>
            <c:numRef>
              <c:f>'Lake Pleasant Forecast'!$AE$22:$AE$33</c:f>
              <c:numCache>
                <c:formatCode>#,##0.00_);\(#,##0.00\)</c:formatCode>
                <c:ptCount val="12"/>
                <c:pt idx="0">
                  <c:v>1692.97</c:v>
                </c:pt>
                <c:pt idx="1">
                  <c:v>1695.21</c:v>
                </c:pt>
                <c:pt idx="2">
                  <c:v>1696.1</c:v>
                </c:pt>
                <c:pt idx="3">
                  <c:v>1692.06</c:v>
                </c:pt>
                <c:pt idx="4">
                  <c:v>1695.14</c:v>
                </c:pt>
                <c:pt idx="5">
                  <c:v>1685.16</c:v>
                </c:pt>
                <c:pt idx="6">
                  <c:v>1673.81</c:v>
                </c:pt>
                <c:pt idx="7">
                  <c:v>1660.2</c:v>
                </c:pt>
                <c:pt idx="8">
                  <c:v>1665.25</c:v>
                </c:pt>
                <c:pt idx="9">
                  <c:v>1667.24</c:v>
                </c:pt>
                <c:pt idx="10">
                  <c:v>1673.02</c:v>
                </c:pt>
                <c:pt idx="11">
                  <c:v>1678.56</c:v>
                </c:pt>
              </c:numCache>
            </c:numRef>
          </c:val>
          <c:smooth val="0"/>
          <c:extLst>
            <c:ext xmlns:c16="http://schemas.microsoft.com/office/drawing/2014/chart" uri="{C3380CC4-5D6E-409C-BE32-E72D297353CC}">
              <c16:uniqueId val="{00000002-0D5E-49F6-94FF-B1DB919FE989}"/>
            </c:ext>
          </c:extLst>
        </c:ser>
        <c:ser>
          <c:idx val="3"/>
          <c:order val="4"/>
          <c:tx>
            <c:strRef>
              <c:f>'Lake Pleasant Forecast'!$AF$21</c:f>
              <c:strCache>
                <c:ptCount val="1"/>
                <c:pt idx="0">
                  <c:v>2016</c:v>
                </c:pt>
              </c:strCache>
            </c:strRef>
          </c:tx>
          <c:spPr>
            <a:ln>
              <a:solidFill>
                <a:schemeClr val="accent6"/>
              </a:solidFill>
            </a:ln>
          </c:spPr>
          <c:marker>
            <c:symbol val="none"/>
          </c:marker>
          <c:cat>
            <c:strRef>
              <c:f>'Lake Pleasant Forecast'!$AA$22:$AA$33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'Lake Pleasant Forecast'!$AF$22:$AF$33</c:f>
              <c:numCache>
                <c:formatCode>#,##0.00_);\(#,##0.00\)</c:formatCode>
                <c:ptCount val="12"/>
                <c:pt idx="0">
                  <c:v>1691.4099999999999</c:v>
                </c:pt>
                <c:pt idx="1">
                  <c:v>1694.6000000000001</c:v>
                </c:pt>
                <c:pt idx="2">
                  <c:v>1693.55</c:v>
                </c:pt>
                <c:pt idx="3">
                  <c:v>1696.16</c:v>
                </c:pt>
                <c:pt idx="4">
                  <c:v>1697.04</c:v>
                </c:pt>
                <c:pt idx="5">
                  <c:v>1683.71</c:v>
                </c:pt>
                <c:pt idx="6">
                  <c:v>1668.3399999999997</c:v>
                </c:pt>
                <c:pt idx="7">
                  <c:v>1656.1100000000001</c:v>
                </c:pt>
                <c:pt idx="8">
                  <c:v>1655.21</c:v>
                </c:pt>
                <c:pt idx="9">
                  <c:v>1660.29</c:v>
                </c:pt>
                <c:pt idx="10">
                  <c:v>1669.95</c:v>
                </c:pt>
                <c:pt idx="11">
                  <c:v>1676.8100000000002</c:v>
                </c:pt>
              </c:numCache>
            </c:numRef>
          </c:val>
          <c:smooth val="0"/>
          <c:extLst>
            <c:ext xmlns:c16="http://schemas.microsoft.com/office/drawing/2014/chart" uri="{C3380CC4-5D6E-409C-BE32-E72D297353CC}">
              <c16:uniqueId val="{00000003-0D5E-49F6-94FF-B1DB919FE989}"/>
            </c:ext>
          </c:extLst>
        </c:ser>
        <c:ser>
          <c:idx val="4"/>
          <c:order val="5"/>
          <c:tx>
            <c:strRef>
              <c:f>'Lake Pleasant Forecast'!$AG$21</c:f>
              <c:strCache>
                <c:ptCount val="1"/>
                <c:pt idx="0">
                  <c:v>2017</c:v>
                </c:pt>
              </c:strCache>
              <c:extLst xmlns:c15="http://schemas.microsoft.com/office/drawing/2012/chart"/>
            </c:strRef>
          </c:tx>
          <c:spPr>
            <a:ln w="28575"/>
          </c:spPr>
          <c:marker>
            <c:symbol val="none"/>
          </c:marker>
          <c:val>
            <c:numRef>
              <c:f>'Lake Pleasant Forecast'!$AG$22:$AG$33</c:f>
              <c:numCache>
                <c:formatCode>#,##0.00_);\(#,##0.00\)</c:formatCode>
                <c:ptCount val="12"/>
                <c:pt idx="0">
                  <c:v>1688.84</c:v>
                </c:pt>
                <c:pt idx="1">
                  <c:v>1693.6</c:v>
                </c:pt>
                <c:pt idx="2">
                  <c:v>1696.84</c:v>
                </c:pt>
                <c:pt idx="3">
                  <c:v>1697.48</c:v>
                </c:pt>
                <c:pt idx="4">
                  <c:v>1699.2</c:v>
                </c:pt>
                <c:pt idx="5">
                  <c:v>1685.59</c:v>
                </c:pt>
                <c:pt idx="6">
                  <c:v>1672.97</c:v>
                </c:pt>
                <c:pt idx="7">
                  <c:v>1659.82</c:v>
                </c:pt>
                <c:pt idx="8">
                  <c:v>1658.56</c:v>
                </c:pt>
                <c:pt idx="9">
                  <c:v>1663.98</c:v>
                </c:pt>
                <c:pt idx="10">
                  <c:v>1672.25</c:v>
                </c:pt>
                <c:pt idx="11">
                  <c:v>1680.49</c:v>
                </c:pt>
              </c:numCache>
              <c:extLst xmlns:c15="http://schemas.microsoft.com/office/drawing/2012/chart"/>
            </c:numRef>
          </c:val>
          <c:smooth val="0"/>
          <c:extLst>
            <c:ext xmlns:c16="http://schemas.microsoft.com/office/drawing/2014/chart" uri="{C3380CC4-5D6E-409C-BE32-E72D297353CC}">
              <c16:uniqueId val="{00000004-0D5E-49F6-94FF-B1DB919FE989}"/>
            </c:ext>
          </c:extLst>
        </c:ser>
        <c:ser>
          <c:idx val="9"/>
          <c:order val="6"/>
          <c:tx>
            <c:strRef>
              <c:f>'Lake Pleasant Forecast'!$AH$21</c:f>
              <c:strCache>
                <c:ptCount val="1"/>
                <c:pt idx="0">
                  <c:v>2018</c:v>
                </c:pt>
              </c:strCache>
            </c:strRef>
          </c:tx>
          <c:marker>
            <c:symbol val="none"/>
          </c:marker>
          <c:val>
            <c:numRef>
              <c:f>'Lake Pleasant Forecast'!$AH$22:$AH$33</c:f>
              <c:numCache>
                <c:formatCode>#,##0.00_);\(#,##0.00\)</c:formatCode>
                <c:ptCount val="12"/>
                <c:pt idx="0">
                  <c:v>1684.54</c:v>
                </c:pt>
                <c:pt idx="1">
                  <c:v>1688.46</c:v>
                </c:pt>
                <c:pt idx="2">
                  <c:v>1691.01</c:v>
                </c:pt>
                <c:pt idx="3">
                  <c:v>1690.89</c:v>
                </c:pt>
                <c:pt idx="4">
                  <c:v>1690.06</c:v>
                </c:pt>
                <c:pt idx="5">
                  <c:v>1676.82</c:v>
                </c:pt>
                <c:pt idx="6">
                  <c:v>1661.6</c:v>
                </c:pt>
                <c:pt idx="7">
                  <c:v>1636.42</c:v>
                </c:pt>
                <c:pt idx="8">
                  <c:v>1637.44</c:v>
                </c:pt>
                <c:pt idx="9">
                  <c:v>1654.22</c:v>
                </c:pt>
                <c:pt idx="10">
                  <c:v>1665.14</c:v>
                </c:pt>
                <c:pt idx="11">
                  <c:v>1674.98</c:v>
                </c:pt>
              </c:numCache>
            </c:numRef>
          </c:val>
          <c:smooth val="0"/>
          <c:extLst>
            <c:ext xmlns:c16="http://schemas.microsoft.com/office/drawing/2014/chart" uri="{C3380CC4-5D6E-409C-BE32-E72D297353CC}">
              <c16:uniqueId val="{00000000-5D09-437D-9D73-1BDF4A31BD43}"/>
            </c:ext>
          </c:extLst>
        </c:ser>
        <c:ser>
          <c:idx val="5"/>
          <c:order val="7"/>
          <c:tx>
            <c:strRef>
              <c:f>'Lake Pleasant Forecast'!$AI$21</c:f>
              <c:strCache>
                <c:ptCount val="1"/>
                <c:pt idx="0">
                  <c:v>2019</c:v>
                </c:pt>
              </c:strCache>
              <c:extLst xmlns:c15="http://schemas.microsoft.com/office/drawing/2012/chart"/>
            </c:strRef>
          </c:tx>
          <c:spPr>
            <a:ln w="28575">
              <a:solidFill>
                <a:schemeClr val="bg2">
                  <a:lumMod val="75000"/>
                </a:schemeClr>
              </a:solidFill>
              <a:prstDash val="solid"/>
            </a:ln>
          </c:spPr>
          <c:marker>
            <c:symbol val="none"/>
          </c:marker>
          <c:val>
            <c:numRef>
              <c:f>'Lake Pleasant Forecast'!$AI$22:$AI$33</c:f>
              <c:numCache>
                <c:formatCode>#,##0.00_);\(#,##0.00\)</c:formatCode>
                <c:ptCount val="12"/>
                <c:pt idx="0">
                  <c:v>1680.61</c:v>
                </c:pt>
                <c:pt idx="1">
                  <c:v>1694.83</c:v>
                </c:pt>
                <c:pt idx="2">
                  <c:v>1696.57</c:v>
                </c:pt>
                <c:pt idx="3">
                  <c:v>1695.77</c:v>
                </c:pt>
                <c:pt idx="4">
                  <c:v>1695.49</c:v>
                </c:pt>
                <c:pt idx="5">
                  <c:v>1685.6</c:v>
                </c:pt>
                <c:pt idx="6">
                  <c:v>1673.7</c:v>
                </c:pt>
                <c:pt idx="7">
                  <c:v>1663</c:v>
                </c:pt>
                <c:pt idx="8">
                  <c:v>1668</c:v>
                </c:pt>
                <c:pt idx="9">
                  <c:v>1672.13</c:v>
                </c:pt>
                <c:pt idx="10">
                  <c:v>1685.71</c:v>
                </c:pt>
                <c:pt idx="11">
                  <c:v>1689.88</c:v>
                </c:pt>
              </c:numCache>
              <c:extLst xmlns:c15="http://schemas.microsoft.com/office/drawing/2012/chart"/>
            </c:numRef>
          </c:val>
          <c:smooth val="0"/>
          <c:extLst>
            <c:ext xmlns:c16="http://schemas.microsoft.com/office/drawing/2014/chart" uri="{C3380CC4-5D6E-409C-BE32-E72D297353CC}">
              <c16:uniqueId val="{00000005-0D5E-49F6-94FF-B1DB919FE989}"/>
            </c:ext>
          </c:extLst>
        </c:ser>
        <c:ser>
          <c:idx val="7"/>
          <c:order val="8"/>
          <c:tx>
            <c:strRef>
              <c:f>'Lake Pleasant Forecast'!$AJ$21</c:f>
              <c:strCache>
                <c:ptCount val="1"/>
                <c:pt idx="0">
                  <c:v>2020 </c:v>
                </c:pt>
              </c:strCache>
            </c:strRef>
          </c:tx>
          <c:spPr>
            <a:ln w="44450">
              <a:prstDash val="dash"/>
            </a:ln>
          </c:spPr>
          <c:marker>
            <c:symbol val="none"/>
          </c:marker>
          <c:val>
            <c:numRef>
              <c:f>'Lake Pleasant Forecast'!$AJ$22:$AJ$33</c:f>
              <c:numCache>
                <c:formatCode>#,##0.00_);\(#,##0.00\)</c:formatCode>
                <c:ptCount val="12"/>
                <c:pt idx="0">
                  <c:v>1692.1</c:v>
                </c:pt>
                <c:pt idx="1">
                  <c:v>1692.6399999999999</c:v>
                </c:pt>
                <c:pt idx="2">
                  <c:v>1698.210002846133</c:v>
                </c:pt>
                <c:pt idx="3">
                  <c:v>1698.3100000000002</c:v>
                </c:pt>
                <c:pt idx="4">
                  <c:v>1696.36</c:v>
                </c:pt>
                <c:pt idx="5">
                  <c:v>1685.88</c:v>
                </c:pt>
                <c:pt idx="6">
                  <c:v>1671.42</c:v>
                </c:pt>
                <c:pt idx="7">
                  <c:v>1654.0999551114837</c:v>
                </c:pt>
                <c:pt idx="8">
                  <c:v>1657.9899941811159</c:v>
                </c:pt>
                <c:pt idx="9">
                  <c:v>1665.72</c:v>
                </c:pt>
                <c:pt idx="10">
                  <c:v>1673.02</c:v>
                </c:pt>
                <c:pt idx="11">
                  <c:v>1679.9390201045346</c:v>
                </c:pt>
              </c:numCache>
            </c:numRef>
          </c:val>
          <c:smooth val="0"/>
          <c:extLst>
            <c:ext xmlns:c16="http://schemas.microsoft.com/office/drawing/2014/chart" uri="{C3380CC4-5D6E-409C-BE32-E72D297353CC}">
              <c16:uniqueId val="{00000006-0D5E-49F6-94FF-B1DB919FE989}"/>
            </c:ext>
          </c:extLst>
        </c:ser>
        <c:ser>
          <c:idx val="8"/>
          <c:order val="9"/>
          <c:tx>
            <c:strRef>
              <c:f>'Lake Pleasant Forecast'!$AK$21</c:f>
              <c:strCache>
                <c:ptCount val="1"/>
                <c:pt idx="0">
                  <c:v>2021 </c:v>
                </c:pt>
              </c:strCache>
              <c:extLst xmlns:c15="http://schemas.microsoft.com/office/drawing/2012/chart"/>
            </c:strRef>
          </c:tx>
          <c:spPr>
            <a:ln>
              <a:prstDash val="dash"/>
            </a:ln>
          </c:spPr>
          <c:marker>
            <c:symbol val="none"/>
          </c:marker>
          <c:val>
            <c:numRef>
              <c:f>'Lake Pleasant Forecast'!$AK$22:$AK$33</c:f>
              <c:numCache>
                <c:formatCode>#,##0_);\(#,##0\)</c:formatCode>
                <c:ptCount val="12"/>
                <c:pt idx="0">
                  <c:v>1686.5533104540602</c:v>
                </c:pt>
                <c:pt idx="1">
                  <c:v>1693.1377792108647</c:v>
                </c:pt>
                <c:pt idx="2">
                  <c:v>1696.1335207516547</c:v>
                </c:pt>
                <c:pt idx="3">
                  <c:v>1694.6692864298</c:v>
                </c:pt>
                <c:pt idx="4">
                  <c:v>1693.8331531467943</c:v>
                </c:pt>
                <c:pt idx="5">
                  <c:v>1679.5863747198991</c:v>
                </c:pt>
                <c:pt idx="6">
                  <c:v>1660.904762840722</c:v>
                </c:pt>
                <c:pt idx="7">
                  <c:v>1646.2006725314106</c:v>
                </c:pt>
                <c:pt idx="8">
                  <c:v>1648.80748967049</c:v>
                </c:pt>
                <c:pt idx="9">
                  <c:v>1657.7182601211505</c:v>
                </c:pt>
                <c:pt idx="10">
                  <c:v>1668.9037991016071</c:v>
                </c:pt>
                <c:pt idx="11">
                  <c:v>1675.4137510075911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7-0D5E-49F6-94FF-B1DB919FE989}"/>
            </c:ext>
          </c:extLst>
        </c:ser>
        <c:ser>
          <c:idx val="10"/>
          <c:order val="10"/>
          <c:tx>
            <c:strRef>
              <c:f>'Lake Pleasant Forecast'!$AL$21</c:f>
              <c:strCache>
                <c:ptCount val="1"/>
                <c:pt idx="0">
                  <c:v>2022 </c:v>
                </c:pt>
              </c:strCache>
            </c:strRef>
          </c:tx>
          <c:spPr>
            <a:ln>
              <a:prstDash val="dash"/>
            </a:ln>
          </c:spPr>
          <c:marker>
            <c:symbol val="none"/>
          </c:marker>
          <c:val>
            <c:numRef>
              <c:f>'Lake Pleasant Forecast'!$AL$22:$AL$33</c:f>
              <c:numCache>
                <c:formatCode>#,##0_);\(#,##0\)</c:formatCode>
                <c:ptCount val="12"/>
                <c:pt idx="0">
                  <c:v>1683.9090649807492</c:v>
                </c:pt>
                <c:pt idx="1">
                  <c:v>1688.9705695121313</c:v>
                </c:pt>
                <c:pt idx="2">
                  <c:v>1692.8421717966189</c:v>
                </c:pt>
                <c:pt idx="3">
                  <c:v>1692.4459653662382</c:v>
                </c:pt>
                <c:pt idx="4">
                  <c:v>1691.6096578784525</c:v>
                </c:pt>
                <c:pt idx="5">
                  <c:v>1677.8437391869641</c:v>
                </c:pt>
                <c:pt idx="6">
                  <c:v>1661.2869356564206</c:v>
                </c:pt>
                <c:pt idx="7">
                  <c:v>1645.2159347448808</c:v>
                </c:pt>
                <c:pt idx="8">
                  <c:v>1645.1920166200891</c:v>
                </c:pt>
                <c:pt idx="9">
                  <c:v>1654.6586984158639</c:v>
                </c:pt>
                <c:pt idx="10">
                  <c:v>1666.1128936701784</c:v>
                </c:pt>
                <c:pt idx="11">
                  <c:v>1669.5462592419979</c:v>
                </c:pt>
              </c:numCache>
            </c:numRef>
          </c:val>
          <c:smooth val="0"/>
          <c:extLst>
            <c:ext xmlns:c16="http://schemas.microsoft.com/office/drawing/2014/chart" uri="{C3380CC4-5D6E-409C-BE32-E72D297353CC}">
              <c16:uniqueId val="{00000001-157D-4298-8A90-788D7426661A}"/>
            </c:ext>
          </c:extLst>
        </c:ser>
        <c:dLbls>
          <c:showLegendKey val="0"/>
          <c:showVal val="0"/>
          <c:showCatName val="0"/>
          <c:showSerName val="0"/>
          <c:showPercent val="0"/>
          <c:showBubbleSize val="0"/>
        </c:dLbls>
        <c:smooth val="0"/>
        <c:axId val="437681464"/>
        <c:axId val="437681856"/>
        <c:extLst>
          <c:ext xmlns:c15="http://schemas.microsoft.com/office/drawing/2012/chart" uri="{02D57815-91ED-43cb-92C2-25804820EDAC}">
            <c15:filteredLineSeries>
              <c15:ser>
                <c:idx val="0"/>
                <c:order val="0"/>
                <c:tx>
                  <c:strRef>
                    <c:extLst>
                      <c:ext uri="{02D57815-91ED-43cb-92C2-25804820EDAC}">
                        <c15:formulaRef>
                          <c15:sqref>'Lake Pleasant Forecast'!$AB$21</c15:sqref>
                        </c15:formulaRef>
                      </c:ext>
                    </c:extLst>
                    <c:strCache>
                      <c:ptCount val="1"/>
                      <c:pt idx="0">
                        <c:v>2012</c:v>
                      </c:pt>
                    </c:strCache>
                  </c:strRef>
                </c:tx>
                <c:marker>
                  <c:symbol val="none"/>
                </c:marker>
                <c:cat>
                  <c:strRef>
                    <c:extLst>
                      <c:ext uri="{02D57815-91ED-43cb-92C2-25804820EDAC}">
                        <c15:formulaRef>
                          <c15:sqref>'Lake Pleasant Forecast'!$AA$22:$AA$33</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c:ext uri="{02D57815-91ED-43cb-92C2-25804820EDAC}">
                        <c15:formulaRef>
                          <c15:sqref>'Lake Pleasant Forecast'!$AB$22:$AB$33</c15:sqref>
                        </c15:formulaRef>
                      </c:ext>
                    </c:extLst>
                    <c:numCache>
                      <c:formatCode>#,##0.00_);\(#,##0.00\)</c:formatCode>
                      <c:ptCount val="12"/>
                      <c:pt idx="0">
                        <c:v>1684.58</c:v>
                      </c:pt>
                      <c:pt idx="1">
                        <c:v>1691.71</c:v>
                      </c:pt>
                      <c:pt idx="2">
                        <c:v>1695.97</c:v>
                      </c:pt>
                      <c:pt idx="3">
                        <c:v>1695.87</c:v>
                      </c:pt>
                      <c:pt idx="4">
                        <c:v>1693.14</c:v>
                      </c:pt>
                      <c:pt idx="5">
                        <c:v>1683.69</c:v>
                      </c:pt>
                      <c:pt idx="6">
                        <c:v>1653.2</c:v>
                      </c:pt>
                      <c:pt idx="7">
                        <c:v>1652.62</c:v>
                      </c:pt>
                      <c:pt idx="8">
                        <c:v>1638.68</c:v>
                      </c:pt>
                      <c:pt idx="9">
                        <c:v>1640.34</c:v>
                      </c:pt>
                      <c:pt idx="10">
                        <c:v>1656.7</c:v>
                      </c:pt>
                      <c:pt idx="11">
                        <c:v>1664.26</c:v>
                      </c:pt>
                    </c:numCache>
                  </c:numRef>
                </c:val>
                <c:smooth val="0"/>
                <c:extLst>
                  <c:ext xmlns:c16="http://schemas.microsoft.com/office/drawing/2014/chart" uri="{C3380CC4-5D6E-409C-BE32-E72D297353CC}">
                    <c16:uniqueId val="{00000008-0D5E-49F6-94FF-B1DB919FE989}"/>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'Lake Pleasant Forecast'!$AC$21</c15:sqref>
                        </c15:formulaRef>
                      </c:ext>
                    </c:extLst>
                    <c:strCache>
                      <c:ptCount val="1"/>
                      <c:pt idx="0">
                        <c:v>2013</c:v>
                      </c:pt>
                    </c:strCache>
                  </c:strRef>
                </c:tx>
                <c:marker>
                  <c:symbol val="none"/>
                </c:marker>
                <c:cat>
                  <c:strRef>
                    <c:extLst xmlns:c15="http://schemas.microsoft.com/office/drawing/2012/chart">
                      <c:ext xmlns:c15="http://schemas.microsoft.com/office/drawing/2012/chart" uri="{02D57815-91ED-43cb-92C2-25804820EDAC}">
                        <c15:formulaRef>
                          <c15:sqref>'Lake Pleasant Forecast'!$AA$22:$AA$33</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'Lake Pleasant Forecast'!$AC$22:$AC$33</c15:sqref>
                        </c15:formulaRef>
                      </c:ext>
                    </c:extLst>
                    <c:numCache>
                      <c:formatCode>#,##0.00_);\(#,##0.00\)</c:formatCode>
                      <c:ptCount val="12"/>
                      <c:pt idx="0">
                        <c:v>1668.54</c:v>
                      </c:pt>
                      <c:pt idx="1">
                        <c:v>1679.39</c:v>
                      </c:pt>
                      <c:pt idx="2">
                        <c:v>1686.95</c:v>
                      </c:pt>
                      <c:pt idx="3">
                        <c:v>1682.49</c:v>
                      </c:pt>
                      <c:pt idx="4">
                        <c:v>1679.39</c:v>
                      </c:pt>
                      <c:pt idx="5">
                        <c:v>1668.83</c:v>
                      </c:pt>
                      <c:pt idx="6">
                        <c:v>1655.42</c:v>
                      </c:pt>
                      <c:pt idx="7">
                        <c:v>1641.57</c:v>
                      </c:pt>
                      <c:pt idx="8">
                        <c:v>1646.14</c:v>
                      </c:pt>
                      <c:pt idx="9">
                        <c:v>1657.17</c:v>
                      </c:pt>
                      <c:pt idx="10">
                        <c:v>1667.83</c:v>
                      </c:pt>
                      <c:pt idx="11">
                        <c:v>1672.96</c:v>
                      </c:pt>
                    </c:numCache>
                  </c:numRef>
                </c:val>
                <c:smooth val="0"/>
                <c:extLst xmlns:c15="http://schemas.microsoft.com/office/drawing/2012/chart">
                  <c:ext xmlns:c16="http://schemas.microsoft.com/office/drawing/2014/chart" uri="{C3380CC4-5D6E-409C-BE32-E72D297353CC}">
                    <c16:uniqueId val="{00000000-0D5E-49F6-94FF-B1DB919FE989}"/>
                  </c:ext>
                </c:extLst>
              </c15:ser>
            </c15:filteredLineSeries>
          </c:ext>
        </c:extLst>
      </c:lineChart>
      <c:catAx>
        <c:axId val="437681464"/>
        <c:scaling>
          <c:orientation val="minMax"/>
        </c:scaling>
        <c:delete val="0"/>
        <c:axPos val="b"/>
        <c:numFmt formatCode="General" sourceLinked="1"/>
        <c:majorTickMark val="none"/>
        <c:minorTickMark val="none"/>
        <c:tickLblPos val="nextTo"/>
        <c:txPr>
          <a:bodyPr/>
          <a:lstStyle/>
          <a:p>
            <a:pPr>
              <a:defRPr sz="1200"/>
            </a:pPr>
            <a:endParaRPr lang="en-US"/>
          </a:p>
        </c:txPr>
        <c:crossAx val="437681856"/>
        <c:crosses val="autoZero"/>
        <c:auto val="1"/>
        <c:lblAlgn val="ctr"/>
        <c:lblOffset val="100"/>
        <c:noMultiLvlLbl val="1"/>
      </c:catAx>
      <c:valAx>
        <c:axId val="437681856"/>
        <c:scaling>
          <c:orientation val="minMax"/>
          <c:max val="1710"/>
          <c:min val="1580"/>
        </c:scaling>
        <c:delete val="0"/>
        <c:axPos val="l"/>
        <c:majorGridlines/>
        <c:minorGridlines>
          <c:spPr>
            <a:ln w="3175">
              <a:prstDash val="sysDash"/>
            </a:ln>
          </c:spPr>
        </c:minorGridlines>
        <c:title>
          <c:tx>
            <c:rich>
              <a:bodyPr/>
              <a:lstStyle/>
              <a:p>
                <a:pPr>
                  <a:defRPr sz="1400" b="0"/>
                </a:pPr>
                <a:r>
                  <a:rPr lang="en-US" sz="1400" b="0"/>
                  <a:t>End</a:t>
                </a:r>
                <a:r>
                  <a:rPr lang="en-US" sz="1400" b="0" baseline="0"/>
                  <a:t> of Month Elevation (ft)</a:t>
                </a:r>
                <a:endParaRPr lang="en-US" sz="1400" b="0"/>
              </a:p>
            </c:rich>
          </c:tx>
          <c:overlay val="0"/>
        </c:title>
        <c:numFmt formatCode="#,##0_);\(#,##0\)" sourceLinked="0"/>
        <c:majorTickMark val="none"/>
        <c:minorTickMark val="none"/>
        <c:tickLblPos val="nextTo"/>
        <c:txPr>
          <a:bodyPr/>
          <a:lstStyle/>
          <a:p>
            <a:pPr>
              <a:defRPr sz="1200"/>
            </a:pPr>
            <a:endParaRPr lang="en-US"/>
          </a:p>
        </c:txPr>
        <c:crossAx val="437681464"/>
        <c:crosses val="autoZero"/>
        <c:crossBetween val="between"/>
        <c:majorUnit val="10"/>
        <c:minorUnit val="5"/>
      </c:valAx>
    </c:plotArea>
    <c:legend>
      <c:legendPos val="r"/>
      <c:overlay val="0"/>
      <c:txPr>
        <a:bodyPr/>
        <a:lstStyle/>
        <a:p>
          <a:pPr>
            <a:defRPr sz="1200"/>
          </a:pPr>
          <a:endParaRPr lang="en-US"/>
        </a:p>
      </c:txPr>
    </c:legend>
    <c:plotVisOnly val="1"/>
    <c:dispBlanksAs val="gap"/>
    <c:showDLblsOverMax val="0"/>
  </c:chart>
  <c:printSettings>
    <c:headerFooter/>
    <c:pageMargins b="0.75" l="0.7" r="0.7" t="0.75" header="0.3" footer="0.3"/>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LAKE PLEASANT / NEW WADDELL DAM</a:t>
            </a:r>
          </a:p>
          <a:p>
            <a:pPr>
              <a:defRPr sz="1600"/>
            </a:pPr>
            <a:r>
              <a:rPr lang="en-US" sz="1600"/>
              <a:t>12-Month Operating Forecast</a:t>
            </a:r>
          </a:p>
        </c:rich>
      </c:tx>
      <c:overlay val="0"/>
    </c:title>
    <c:autoTitleDeleted val="0"/>
    <c:plotArea>
      <c:layout>
        <c:manualLayout>
          <c:layoutTarget val="inner"/>
          <c:xMode val="edge"/>
          <c:yMode val="edge"/>
          <c:x val="7.2263020563132385E-2"/>
          <c:y val="0.13595001072794241"/>
          <c:w val="0.90926205600581045"/>
          <c:h val="0.7178167902584407"/>
        </c:manualLayout>
      </c:layout>
      <c:lineChart>
        <c:grouping val="standard"/>
        <c:varyColors val="0"/>
        <c:ser>
          <c:idx val="0"/>
          <c:order val="1"/>
          <c:tx>
            <c:v>Lake Pleasant Elevation Forecast</c:v>
          </c:tx>
          <c:spPr>
            <a:ln>
              <a:prstDash val="sysDash"/>
            </a:ln>
          </c:spPr>
          <c:marker>
            <c:symbol val="square"/>
            <c:size val="7"/>
          </c:marker>
          <c:dLbls>
            <c:numFmt formatCode="#,##0.0" sourceLinked="0"/>
            <c:spPr>
              <a:noFill/>
              <a:ln>
                <a:noFill/>
              </a:ln>
              <a:effectLst/>
            </c:spPr>
            <c:txPr>
              <a:bodyPr wrap="square" lIns="38100" tIns="19050" rIns="38100" bIns="19050" anchor="ctr">
                <a:spAutoFit/>
              </a:bodyPr>
              <a:lstStyle/>
              <a:p>
                <a:pPr>
                  <a:defRPr sz="1400"/>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'12_MTH_FC'!$A$59:$A$81</c15:sqref>
                  </c15:fullRef>
                </c:ext>
              </c:extLst>
              <c:f>('12_MTH_FC'!$A$59,'12_MTH_FC'!$A$61,'12_MTH_FC'!$A$63,'12_MTH_FC'!$A$65,'12_MTH_FC'!$A$67,'12_MTH_FC'!$A$69,'12_MTH_FC'!$A$71,'12_MTH_FC'!$A$73,'12_MTH_FC'!$A$75,'12_MTH_FC'!$A$77,'12_MTH_FC'!$A$79,'12_MTH_FC'!$A$81)</c:f>
              <c:strCache>
                <c:ptCount val="12"/>
                <c:pt idx="0">
                  <c:v>  JANUARY</c:v>
                </c:pt>
                <c:pt idx="1">
                  <c:v>  FEBRUARY</c:v>
                </c:pt>
                <c:pt idx="2">
                  <c:v>  MARCH</c:v>
                </c:pt>
                <c:pt idx="3">
                  <c:v>  APRIL</c:v>
                </c:pt>
                <c:pt idx="4">
                  <c:v>  MAY</c:v>
                </c:pt>
                <c:pt idx="5">
                  <c:v>  JUNE</c:v>
                </c:pt>
                <c:pt idx="6">
                  <c:v>  JULY</c:v>
                </c:pt>
                <c:pt idx="7">
                  <c:v>  AUGUST</c:v>
                </c:pt>
                <c:pt idx="8">
                  <c:v>  SEPTEMBER</c:v>
                </c:pt>
                <c:pt idx="9">
                  <c:v>  OCTOBER</c:v>
                </c:pt>
                <c:pt idx="10">
                  <c:v>  NOVEMBER</c:v>
                </c:pt>
                <c:pt idx="11">
                  <c:v>  DECEMBER</c:v>
                </c:pt>
              </c:strCache>
            </c:strRef>
          </c:cat>
          <c:val>
            <c:numRef>
              <c:extLst>
                <c:ext xmlns:c15="http://schemas.microsoft.com/office/drawing/2012/chart" uri="{02D57815-91ED-43cb-92C2-25804820EDAC}">
                  <c15:fullRef>
                    <c15:sqref>'12_MTH_FC'!$B$59:$B$81</c15:sqref>
                  </c15:fullRef>
                </c:ext>
              </c:extLst>
              <c:f>('12_MTH_FC'!$B$59,'12_MTH_FC'!$B$61,'12_MTH_FC'!$B$63,'12_MTH_FC'!$B$65,'12_MTH_FC'!$B$67,'12_MTH_FC'!$B$69,'12_MTH_FC'!$B$71,'12_MTH_FC'!$B$73,'12_MTH_FC'!$B$75,'12_MTH_FC'!$B$77,'12_MTH_FC'!$B$79,'12_MTH_FC'!$B$81)</c:f>
              <c:numCache>
                <c:formatCode>#,##0_);\(#,##0\)</c:formatCode>
                <c:ptCount val="12"/>
                <c:pt idx="0">
                  <c:v>1692.1</c:v>
                </c:pt>
                <c:pt idx="1">
                  <c:v>1692.6399999999999</c:v>
                </c:pt>
                <c:pt idx="2">
                  <c:v>1698.210002846133</c:v>
                </c:pt>
                <c:pt idx="3">
                  <c:v>1698.3100000000002</c:v>
                </c:pt>
                <c:pt idx="4">
                  <c:v>1697.3224426818881</c:v>
                </c:pt>
                <c:pt idx="5">
                  <c:v>1685.1617002252592</c:v>
                </c:pt>
                <c:pt idx="6">
                  <c:v>1670.9531269207582</c:v>
                </c:pt>
                <c:pt idx="7">
                  <c:v>1655.9899167718938</c:v>
                </c:pt>
                <c:pt idx="8">
                  <c:v>1658.3678670068061</c:v>
                </c:pt>
                <c:pt idx="9">
                  <c:v>1668.9247318036535</c:v>
                </c:pt>
                <c:pt idx="10">
                  <c:v>1681.0428630265039</c:v>
                </c:pt>
                <c:pt idx="11">
                  <c:v>1686.1525252512831</c:v>
                </c:pt>
              </c:numCache>
            </c:numRef>
          </c:val>
          <c:smooth val="0"/>
          <c:extLst>
            <c:ext xmlns:c16="http://schemas.microsoft.com/office/drawing/2014/chart" uri="{C3380CC4-5D6E-409C-BE32-E72D297353CC}">
              <c16:uniqueId val="{00000001-D1A9-48CF-B48A-56F7E7BCB47F}"/>
            </c:ext>
          </c:extLst>
        </c:ser>
        <c:dLbls>
          <c:showLegendKey val="0"/>
          <c:showVal val="1"/>
          <c:showCatName val="0"/>
          <c:showSerName val="0"/>
          <c:showPercent val="0"/>
          <c:showBubbleSize val="0"/>
        </c:dLbls>
        <c:marker val="1"/>
        <c:smooth val="0"/>
        <c:axId val="428789160"/>
        <c:axId val="428789552"/>
        <c:extLst>
          <c:ext xmlns:c15="http://schemas.microsoft.com/office/drawing/2012/chart" uri="{02D57815-91ED-43cb-92C2-25804820EDAC}">
            <c15:filteredLineSeries>
              <c15:ser>
                <c:idx val="1"/>
                <c:order val="0"/>
                <c:tx>
                  <c:v>Lake Pleasant Elevation Actual</c:v>
                </c:tx>
                <c:spPr>
                  <a:ln>
                    <a:solidFill>
                      <a:schemeClr val="accent1"/>
                    </a:solidFill>
                  </a:ln>
                </c:spPr>
                <c:marker>
                  <c:spPr>
                    <a:solidFill>
                      <a:schemeClr val="accent1"/>
                    </a:solidFill>
                    <a:ln>
                      <a:solidFill>
                        <a:schemeClr val="accent1"/>
                      </a:solidFill>
                    </a:ln>
                  </c:spPr>
                </c:marker>
                <c:dLbls>
                  <c:delete val="1"/>
                </c:dLbls>
                <c:cat>
                  <c:strRef>
                    <c:extLst>
                      <c:ext uri="{02D57815-91ED-43cb-92C2-25804820EDAC}">
                        <c15:fullRef>
                          <c15:sqref>'12_MTH_FC'!$A$59:$A$81</c15:sqref>
                        </c15:fullRef>
                        <c15:formulaRef>
                          <c15:sqref>('12_MTH_FC'!$A$59,'12_MTH_FC'!$A$61,'12_MTH_FC'!$A$63,'12_MTH_FC'!$A$65,'12_MTH_FC'!$A$67,'12_MTH_FC'!$A$69,'12_MTH_FC'!$A$71,'12_MTH_FC'!$A$73,'12_MTH_FC'!$A$75,'12_MTH_FC'!$A$77,'12_MTH_FC'!$A$79,'12_MTH_FC'!$A$81)</c15:sqref>
                        </c15:formulaRef>
                      </c:ext>
                    </c:extLst>
                    <c:strCache>
                      <c:ptCount val="12"/>
                      <c:pt idx="0">
                        <c:v>  JANUARY</c:v>
                      </c:pt>
                      <c:pt idx="1">
                        <c:v>  FEBRUARY</c:v>
                      </c:pt>
                      <c:pt idx="2">
                        <c:v>  MARCH</c:v>
                      </c:pt>
                      <c:pt idx="3">
                        <c:v>  APRIL</c:v>
                      </c:pt>
                      <c:pt idx="4">
                        <c:v>  MAY</c:v>
                      </c:pt>
                      <c:pt idx="5">
                        <c:v>  JUNE</c:v>
                      </c:pt>
                      <c:pt idx="7">
                        <c:v>  JULY</c:v>
                      </c:pt>
                      <c:pt idx="9">
                        <c:v>  AUGUST</c:v>
                      </c:pt>
                      <c:pt idx="11">
                        <c:v>  SEPTEMBER</c:v>
                      </c:pt>
                      <c:pt idx="13">
                        <c:v>  OCTOBER</c:v>
                      </c:pt>
                      <c:pt idx="15">
                        <c:v>  NOVEMBER</c:v>
                      </c:pt>
                      <c:pt idx="17">
                        <c:v>  DECEMBER</c:v>
                      </c:pt>
                    </c:strCache>
                  </c:strRef>
                </c:cat>
                <c:val>
                  <c:numRef>
                    <c:extLst>
                      <c:ext uri="{02D57815-91ED-43cb-92C2-25804820EDAC}">
                        <c15:fullRef>
                          <c15:sqref>'12_MTH_FC'!$B$59:$B$69</c15:sqref>
                        </c15:fullRef>
                        <c15:formulaRef>
                          <c15:sqref>('12_MTH_FC'!$B$59,'12_MTH_FC'!$B$61,'12_MTH_FC'!$B$63,'12_MTH_FC'!$B$65,'12_MTH_FC'!$B$67,'12_MTH_FC'!$B$69)</c15:sqref>
                        </c15:formulaRef>
                      </c:ext>
                    </c:extLst>
                    <c:numCache>
                      <c:formatCode>#,##0_);\(#,##0\)</c:formatCode>
                      <c:ptCount val="6"/>
                      <c:pt idx="0">
                        <c:v>1692.1</c:v>
                      </c:pt>
                      <c:pt idx="1">
                        <c:v>1692.6399999999999</c:v>
                      </c:pt>
                      <c:pt idx="2">
                        <c:v>1698.210002846133</c:v>
                      </c:pt>
                      <c:pt idx="3">
                        <c:v>1698.3100000000002</c:v>
                      </c:pt>
                      <c:pt idx="4">
                        <c:v>1697.3224426818881</c:v>
                      </c:pt>
                      <c:pt idx="5">
                        <c:v>1685.1617002252592</c:v>
                      </c:pt>
                    </c:numCache>
                  </c:numRef>
                </c:val>
                <c:smooth val="0"/>
                <c:extLst>
                  <c:ext xmlns:c16="http://schemas.microsoft.com/office/drawing/2014/chart" uri="{C3380CC4-5D6E-409C-BE32-E72D297353CC}">
                    <c16:uniqueId val="{00000000-D1A9-48CF-B48A-56F7E7BCB47F}"/>
                  </c:ext>
                </c:extLst>
              </c15:ser>
            </c15:filteredLineSeries>
          </c:ext>
        </c:extLst>
      </c:lineChart>
      <c:catAx>
        <c:axId val="428789160"/>
        <c:scaling>
          <c:orientation val="minMax"/>
        </c:scaling>
        <c:delete val="0"/>
        <c:axPos val="b"/>
        <c:numFmt formatCode="mmmm\-yy" sourceLinked="0"/>
        <c:majorTickMark val="none"/>
        <c:minorTickMark val="none"/>
        <c:tickLblPos val="nextTo"/>
        <c:txPr>
          <a:bodyPr rot="-2700000" vert="horz"/>
          <a:lstStyle/>
          <a:p>
            <a:pPr>
              <a:defRPr sz="1400"/>
            </a:pPr>
            <a:endParaRPr lang="en-US"/>
          </a:p>
        </c:txPr>
        <c:crossAx val="428789552"/>
        <c:crosses val="autoZero"/>
        <c:auto val="1"/>
        <c:lblAlgn val="ctr"/>
        <c:lblOffset val="100"/>
        <c:tickLblSkip val="1"/>
        <c:tickMarkSkip val="1"/>
        <c:noMultiLvlLbl val="0"/>
      </c:catAx>
      <c:valAx>
        <c:axId val="428789552"/>
        <c:scaling>
          <c:orientation val="minMax"/>
          <c:max val="1710"/>
          <c:min val="1580"/>
        </c:scaling>
        <c:delete val="0"/>
        <c:axPos val="l"/>
        <c:majorGridlines/>
        <c:title>
          <c:tx>
            <c:rich>
              <a:bodyPr/>
              <a:lstStyle/>
              <a:p>
                <a:pPr>
                  <a:defRPr/>
                </a:pPr>
                <a:r>
                  <a:rPr lang="en-US" sz="1600" b="0"/>
                  <a:t>End</a:t>
                </a:r>
                <a:r>
                  <a:rPr lang="en-US" sz="1600" b="0" baseline="0"/>
                  <a:t> of Month Elevation (ft)</a:t>
                </a:r>
                <a:endParaRPr lang="en-US" sz="1600" b="0"/>
              </a:p>
            </c:rich>
          </c:tx>
          <c:overlay val="0"/>
        </c:title>
        <c:numFmt formatCode="0_);\(0\)" sourceLinked="0"/>
        <c:majorTickMark val="none"/>
        <c:minorTickMark val="none"/>
        <c:tickLblPos val="nextTo"/>
        <c:txPr>
          <a:bodyPr rot="0" vert="horz"/>
          <a:lstStyle/>
          <a:p>
            <a:pPr>
              <a:defRPr sz="1400"/>
            </a:pPr>
            <a:endParaRPr lang="en-US"/>
          </a:p>
        </c:txPr>
        <c:crossAx val="428789160"/>
        <c:crosses val="autoZero"/>
        <c:crossBetween val="between"/>
        <c:majorUnit val="10"/>
      </c:valAx>
      <c:spPr>
        <a:ln>
          <a:solidFill>
            <a:schemeClr val="tx1">
              <a:lumMod val="65000"/>
              <a:lumOff val="35000"/>
            </a:schemeClr>
          </a:solidFill>
        </a:ln>
      </c:spPr>
    </c:plotArea>
    <c:legend>
      <c:legendPos val="t"/>
      <c:overlay val="0"/>
      <c:txPr>
        <a:bodyPr/>
        <a:lstStyle/>
        <a:p>
          <a:pPr>
            <a:defRPr sz="1400"/>
          </a:pPr>
          <a:endParaRPr lang="en-US"/>
        </a:p>
      </c:txPr>
    </c:legend>
    <c:plotVisOnly val="0"/>
    <c:dispBlanksAs val="gap"/>
    <c:showDLblsOverMax val="0"/>
  </c:chart>
  <c:txPr>
    <a:bodyPr/>
    <a:lstStyle/>
    <a:p>
      <a:pPr>
        <a:defRPr sz="1100"/>
      </a:pPr>
      <a:endParaRPr lang="en-US"/>
    </a:p>
  </c:txPr>
  <c:printSettings>
    <c:headerFooter alignWithMargins="0"/>
    <c:pageMargins b="0.5" l="0.75000000000000522" r="0.75000000000000522" t="0.5" header="0" footer="0.5"/>
    <c:pageSetup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LAKE PLEASANT / NEW WADDELL DAM</a:t>
            </a:r>
          </a:p>
          <a:p>
            <a:pPr>
              <a:defRPr sz="1600"/>
            </a:pPr>
            <a:r>
              <a:rPr lang="en-US" sz="1600"/>
              <a:t>Operating Forecast</a:t>
            </a:r>
          </a:p>
        </c:rich>
      </c:tx>
      <c:overlay val="0"/>
    </c:title>
    <c:autoTitleDeleted val="0"/>
    <c:plotArea>
      <c:layout>
        <c:manualLayout>
          <c:layoutTarget val="inner"/>
          <c:xMode val="edge"/>
          <c:yMode val="edge"/>
          <c:x val="6.8358676980897162E-2"/>
          <c:y val="0.13595001072794241"/>
          <c:w val="0.91316639958804569"/>
          <c:h val="0.7178167902584407"/>
        </c:manualLayout>
      </c:layout>
      <c:scatterChart>
        <c:scatterStyle val="lineMarker"/>
        <c:varyColors val="0"/>
        <c:ser>
          <c:idx val="1"/>
          <c:order val="0"/>
          <c:tx>
            <c:v>Actual</c:v>
          </c:tx>
          <c:spPr>
            <a:ln>
              <a:solidFill>
                <a:schemeClr val="accent1"/>
              </a:solidFill>
            </a:ln>
          </c:spPr>
          <c:marker>
            <c:spPr>
              <a:solidFill>
                <a:schemeClr val="accent1"/>
              </a:solidFill>
              <a:ln>
                <a:solidFill>
                  <a:schemeClr val="accent1"/>
                </a:solidFill>
              </a:ln>
            </c:spPr>
          </c:marker>
          <c:dLbls>
            <c:dLbl>
              <c:idx val="2"/>
              <c:layout>
                <c:manualLayout>
                  <c:x val="-2.7088843030785133E-2"/>
                  <c:y val="-2.671991118505430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2A4-4DA3-A54D-D6E84909E1C4}"/>
                </c:ext>
              </c:extLst>
            </c:dLbl>
            <c:numFmt formatCode="#,##0.0" sourceLinked="0"/>
            <c:spPr>
              <a:noFill/>
              <a:ln>
                <a:noFill/>
              </a:ln>
              <a:effectLst/>
            </c:spPr>
            <c:txPr>
              <a:bodyPr wrap="square" lIns="38100" tIns="19050" rIns="38100" bIns="19050" anchor="ctr">
                <a:spAutoFit/>
              </a:bodyPr>
              <a:lstStyle/>
              <a:p>
                <a:pPr>
                  <a:defRPr sz="1400"/>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'12_MTH_FC'!$A$104:$A$107</c:f>
              <c:numCache>
                <c:formatCode>[$-409]mmm\-yy;@</c:formatCode>
                <c:ptCount val="4"/>
                <c:pt idx="0">
                  <c:v>42735</c:v>
                </c:pt>
                <c:pt idx="1">
                  <c:v>42766</c:v>
                </c:pt>
                <c:pt idx="2">
                  <c:v>42794</c:v>
                </c:pt>
                <c:pt idx="3">
                  <c:v>42825</c:v>
                </c:pt>
              </c:numCache>
            </c:numRef>
          </c:xVal>
          <c:yVal>
            <c:numRef>
              <c:f>'12_MTH_FC'!$B$104:$B$107</c:f>
              <c:numCache>
                <c:formatCode>#,##0.0_);\(#,##0.0\)</c:formatCode>
                <c:ptCount val="4"/>
                <c:pt idx="0">
                  <c:v>1676.81</c:v>
                </c:pt>
                <c:pt idx="1">
                  <c:v>1692.1</c:v>
                </c:pt>
                <c:pt idx="2">
                  <c:v>1692.6399999999999</c:v>
                </c:pt>
                <c:pt idx="3">
                  <c:v>1698.210002846133</c:v>
                </c:pt>
              </c:numCache>
            </c:numRef>
          </c:yVal>
          <c:smooth val="0"/>
          <c:extLst>
            <c:ext xmlns:c16="http://schemas.microsoft.com/office/drawing/2014/chart" uri="{C3380CC4-5D6E-409C-BE32-E72D297353CC}">
              <c16:uniqueId val="{00000001-F2A4-4DA3-A54D-D6E84909E1C4}"/>
            </c:ext>
          </c:extLst>
        </c:ser>
        <c:ser>
          <c:idx val="0"/>
          <c:order val="1"/>
          <c:tx>
            <c:v>Forecast</c:v>
          </c:tx>
          <c:spPr>
            <a:ln>
              <a:prstDash val="dash"/>
            </a:ln>
          </c:spPr>
          <c:marker>
            <c:symbol val="square"/>
            <c:size val="7"/>
          </c:marker>
          <c:dLbls>
            <c:dLbl>
              <c:idx val="0"/>
              <c:delete val="1"/>
              <c:extLst>
                <c:ext xmlns:c15="http://schemas.microsoft.com/office/drawing/2012/chart" uri="{CE6537A1-D6FC-4f65-9D91-7224C49458BB}"/>
                <c:ext xmlns:c16="http://schemas.microsoft.com/office/drawing/2014/chart" uri="{C3380CC4-5D6E-409C-BE32-E72D297353CC}">
                  <c16:uniqueId val="{00000002-F2A4-4DA3-A54D-D6E84909E1C4}"/>
                </c:ext>
              </c:extLst>
            </c:dLbl>
            <c:dLbl>
              <c:idx val="1"/>
              <c:layout>
                <c:manualLayout>
                  <c:x val="-1.2689116642264554E-2"/>
                  <c:y val="-2.58899691898574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2A4-4DA3-A54D-D6E84909E1C4}"/>
                </c:ext>
              </c:extLst>
            </c:dLbl>
            <c:dLbl>
              <c:idx val="4"/>
              <c:layout>
                <c:manualLayout>
                  <c:x val="-1.95217179111769E-3"/>
                  <c:y val="-2.13211510975296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2A4-4DA3-A54D-D6E84909E1C4}"/>
                </c:ext>
              </c:extLst>
            </c:dLbl>
            <c:dLbl>
              <c:idx val="5"/>
              <c:layout>
                <c:manualLayout>
                  <c:x val="-5.8565153733528552E-3"/>
                  <c:y val="1.675233300520185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2A4-4DA3-A54D-D6E84909E1C4}"/>
                </c:ext>
              </c:extLst>
            </c:dLbl>
            <c:dLbl>
              <c:idx val="9"/>
              <c:layout>
                <c:manualLayout>
                  <c:x val="-4.9780380673499408E-2"/>
                  <c:y val="-2.58899691898574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2A4-4DA3-A54D-D6E84909E1C4}"/>
                </c:ext>
              </c:extLst>
            </c:dLbl>
            <c:spPr>
              <a:noFill/>
              <a:ln>
                <a:noFill/>
              </a:ln>
              <a:effectLst/>
            </c:spPr>
            <c:txPr>
              <a:bodyPr wrap="square" lIns="38100" tIns="19050" rIns="38100" bIns="19050" anchor="ctr">
                <a:spAutoFit/>
              </a:bodyPr>
              <a:lstStyle/>
              <a:p>
                <a:pPr>
                  <a:defRPr sz="14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'12_MTH_FC'!$A$107:$A$116</c:f>
              <c:numCache>
                <c:formatCode>[$-409]mmm\-yy;@</c:formatCode>
                <c:ptCount val="10"/>
                <c:pt idx="0">
                  <c:v>42825</c:v>
                </c:pt>
                <c:pt idx="1">
                  <c:v>42855</c:v>
                </c:pt>
                <c:pt idx="2">
                  <c:v>42886</c:v>
                </c:pt>
                <c:pt idx="3">
                  <c:v>42916</c:v>
                </c:pt>
                <c:pt idx="4">
                  <c:v>42947</c:v>
                </c:pt>
                <c:pt idx="5">
                  <c:v>42978</c:v>
                </c:pt>
                <c:pt idx="6">
                  <c:v>43008</c:v>
                </c:pt>
                <c:pt idx="7">
                  <c:v>43039</c:v>
                </c:pt>
                <c:pt idx="8">
                  <c:v>43069</c:v>
                </c:pt>
                <c:pt idx="9">
                  <c:v>43100</c:v>
                </c:pt>
              </c:numCache>
            </c:numRef>
          </c:xVal>
          <c:yVal>
            <c:numRef>
              <c:f>'12_MTH_FC'!$B$107:$B$116</c:f>
              <c:numCache>
                <c:formatCode>#,##0.0_);\(#,##0.0\)</c:formatCode>
                <c:ptCount val="10"/>
                <c:pt idx="0">
                  <c:v>1698.210002846133</c:v>
                </c:pt>
                <c:pt idx="1">
                  <c:v>1698.3100000000002</c:v>
                </c:pt>
                <c:pt idx="2">
                  <c:v>1697.3224426818881</c:v>
                </c:pt>
                <c:pt idx="3">
                  <c:v>1685.1617002252592</c:v>
                </c:pt>
                <c:pt idx="4">
                  <c:v>1670.9531269207582</c:v>
                </c:pt>
                <c:pt idx="5">
                  <c:v>1655.9899167718938</c:v>
                </c:pt>
                <c:pt idx="6">
                  <c:v>1658.3678670068061</c:v>
                </c:pt>
                <c:pt idx="7">
                  <c:v>1668.9247318036535</c:v>
                </c:pt>
                <c:pt idx="8">
                  <c:v>1681.0428630265039</c:v>
                </c:pt>
                <c:pt idx="9">
                  <c:v>1686.1525252512831</c:v>
                </c:pt>
              </c:numCache>
            </c:numRef>
          </c:yVal>
          <c:smooth val="0"/>
          <c:extLst>
            <c:ext xmlns:c16="http://schemas.microsoft.com/office/drawing/2014/chart" uri="{C3380CC4-5D6E-409C-BE32-E72D297353CC}">
              <c16:uniqueId val="{00000007-F2A4-4DA3-A54D-D6E84909E1C4}"/>
            </c:ext>
          </c:extLst>
        </c:ser>
        <c:ser>
          <c:idx val="2"/>
          <c:order val="2"/>
          <c:tx>
            <c:v>Max</c:v>
          </c:tx>
          <c:spPr>
            <a:ln>
              <a:prstDash val="sysDash"/>
            </a:ln>
          </c:spPr>
          <c:marker>
            <c:symbol val="triangle"/>
            <c:size val="8"/>
            <c:spPr>
              <a:ln>
                <a:prstDash val="dash"/>
              </a:ln>
            </c:spPr>
          </c:marker>
          <c:dLbls>
            <c:dLbl>
              <c:idx val="0"/>
              <c:layout>
                <c:manualLayout>
                  <c:x val="-9.760858955588092E-4"/>
                  <c:y val="9.137636184655559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2A4-4DA3-A54D-D6E84909E1C4}"/>
                </c:ext>
              </c:extLst>
            </c:dLbl>
            <c:spPr>
              <a:noFill/>
              <a:ln>
                <a:noFill/>
              </a:ln>
              <a:effectLst/>
            </c:spPr>
            <c:txPr>
              <a:bodyPr wrap="square" lIns="38100" tIns="19050" rIns="38100" bIns="19050" anchor="ctr">
                <a:spAutoFit/>
              </a:bodyPr>
              <a:lstStyle/>
              <a:p>
                <a:pPr>
                  <a:defRPr sz="14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'12_MTH_FC'!$A$117:$A$119</c:f>
              <c:numCache>
                <c:formatCode>[$-409]mmm\-yy;@</c:formatCode>
                <c:ptCount val="3"/>
                <c:pt idx="0">
                  <c:v>43101</c:v>
                </c:pt>
                <c:pt idx="1">
                  <c:v>43159</c:v>
                </c:pt>
                <c:pt idx="2">
                  <c:v>43190</c:v>
                </c:pt>
              </c:numCache>
            </c:numRef>
          </c:xVal>
          <c:yVal>
            <c:numRef>
              <c:f>'12_MTH_FC'!$B$117:$B$119</c:f>
              <c:numCache>
                <c:formatCode>#,##0.0_);\(#,##0.0\)</c:formatCode>
                <c:ptCount val="3"/>
                <c:pt idx="0">
                  <c:v>1679.41</c:v>
                </c:pt>
                <c:pt idx="1">
                  <c:v>1694</c:v>
                </c:pt>
                <c:pt idx="2">
                  <c:v>1697</c:v>
                </c:pt>
              </c:numCache>
            </c:numRef>
          </c:yVal>
          <c:smooth val="0"/>
          <c:extLst>
            <c:ext xmlns:c16="http://schemas.microsoft.com/office/drawing/2014/chart" uri="{C3380CC4-5D6E-409C-BE32-E72D297353CC}">
              <c16:uniqueId val="{00000009-F2A4-4DA3-A54D-D6E84909E1C4}"/>
            </c:ext>
          </c:extLst>
        </c:ser>
        <c:dLbls>
          <c:showLegendKey val="0"/>
          <c:showVal val="1"/>
          <c:showCatName val="0"/>
          <c:showSerName val="0"/>
          <c:showPercent val="0"/>
          <c:showBubbleSize val="0"/>
        </c:dLbls>
        <c:axId val="428790336"/>
        <c:axId val="428790728"/>
      </c:scatterChart>
      <c:valAx>
        <c:axId val="428790336"/>
        <c:scaling>
          <c:orientation val="minMax"/>
          <c:max val="43220"/>
          <c:min val="42736"/>
        </c:scaling>
        <c:delete val="0"/>
        <c:axPos val="b"/>
        <c:numFmt formatCode="[$-409]mmm\-yy;@" sourceLinked="1"/>
        <c:majorTickMark val="none"/>
        <c:minorTickMark val="none"/>
        <c:tickLblPos val="nextTo"/>
        <c:txPr>
          <a:bodyPr rot="-2700000" vert="horz"/>
          <a:lstStyle/>
          <a:p>
            <a:pPr>
              <a:defRPr sz="1400"/>
            </a:pPr>
            <a:endParaRPr lang="en-US"/>
          </a:p>
        </c:txPr>
        <c:crossAx val="428790728"/>
        <c:crosses val="autoZero"/>
        <c:crossBetween val="midCat"/>
        <c:majorUnit val="31"/>
        <c:minorUnit val="1"/>
      </c:valAx>
      <c:valAx>
        <c:axId val="428790728"/>
        <c:scaling>
          <c:orientation val="minMax"/>
          <c:max val="1710"/>
          <c:min val="1630"/>
        </c:scaling>
        <c:delete val="0"/>
        <c:axPos val="l"/>
        <c:majorGridlines/>
        <c:title>
          <c:tx>
            <c:rich>
              <a:bodyPr/>
              <a:lstStyle/>
              <a:p>
                <a:pPr>
                  <a:defRPr sz="1600"/>
                </a:pPr>
                <a:r>
                  <a:rPr lang="en-US" sz="1600"/>
                  <a:t>Lake</a:t>
                </a:r>
                <a:r>
                  <a:rPr lang="en-US" sz="1600" baseline="0"/>
                  <a:t> Pleasant Elevation (ft)</a:t>
                </a:r>
                <a:endParaRPr lang="en-US" sz="1600"/>
              </a:p>
            </c:rich>
          </c:tx>
          <c:overlay val="0"/>
        </c:title>
        <c:numFmt formatCode="0_);\(0\)" sourceLinked="0"/>
        <c:majorTickMark val="none"/>
        <c:minorTickMark val="none"/>
        <c:tickLblPos val="nextTo"/>
        <c:txPr>
          <a:bodyPr rot="0" vert="horz"/>
          <a:lstStyle/>
          <a:p>
            <a:pPr>
              <a:defRPr sz="1400"/>
            </a:pPr>
            <a:endParaRPr lang="en-US"/>
          </a:p>
        </c:txPr>
        <c:crossAx val="428790336"/>
        <c:crosses val="autoZero"/>
        <c:crossBetween val="midCat"/>
        <c:majorUnit val="10"/>
      </c:valAx>
      <c:spPr>
        <a:ln>
          <a:solidFill>
            <a:schemeClr val="tx1">
              <a:lumMod val="65000"/>
              <a:lumOff val="35000"/>
            </a:schemeClr>
          </a:solidFill>
        </a:ln>
      </c:spPr>
    </c:plotArea>
    <c:legend>
      <c:legendPos val="t"/>
      <c:overlay val="0"/>
      <c:txPr>
        <a:bodyPr/>
        <a:lstStyle/>
        <a:p>
          <a:pPr>
            <a:defRPr sz="1400"/>
          </a:pPr>
          <a:endParaRPr lang="en-US"/>
        </a:p>
      </c:txPr>
    </c:legend>
    <c:plotVisOnly val="0"/>
    <c:dispBlanksAs val="gap"/>
    <c:showDLblsOverMax val="0"/>
  </c:chart>
  <c:txPr>
    <a:bodyPr/>
    <a:lstStyle/>
    <a:p>
      <a:pPr>
        <a:defRPr sz="1100"/>
      </a:pPr>
      <a:endParaRPr lang="en-US"/>
    </a:p>
  </c:txPr>
  <c:printSettings>
    <c:headerFooter alignWithMargins="0"/>
    <c:pageMargins b="0.5" l="0.75000000000000522" r="0.75000000000000522" t="0.5" header="0" footer="0.5"/>
    <c:pageSetup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strRef>
              <c:f>'2022 T0 (2020 FC)'!$AI$1122</c:f>
              <c:strCache>
                <c:ptCount val="1"/>
                <c:pt idx="0">
                  <c:v>65 </c:v>
                </c:pt>
              </c:strCache>
            </c:strRef>
          </c:tx>
          <c:spPr>
            <a:solidFill>
              <a:schemeClr val="accent4"/>
            </a:solidFill>
            <a:ln>
              <a:noFill/>
            </a:ln>
            <a:effectLst/>
          </c:spPr>
          <c:invertIfNegative val="0"/>
          <c:cat>
            <c:strRef>
              <c:f>'2022 T0 (2020 FC)'!$AE$1123:$AE$1157</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'2022 T0 (2020 FC)'!$AI$1123:$AI$1157</c:f>
              <c:numCache>
                <c:formatCode>#,##0_);\(#,##0\)</c:formatCode>
                <c:ptCount val="35"/>
                <c:pt idx="0">
                  <c:v>65.215053763440849</c:v>
                </c:pt>
                <c:pt idx="2">
                  <c:v>73.358333333333334</c:v>
                </c:pt>
                <c:pt idx="3">
                  <c:v>73.358333333333334</c:v>
                </c:pt>
                <c:pt idx="5">
                  <c:v>65.482526881720432</c:v>
                </c:pt>
                <c:pt idx="6">
                  <c:v>65.482526881720432</c:v>
                </c:pt>
                <c:pt idx="8">
                  <c:v>67.611559139784958</c:v>
                </c:pt>
                <c:pt idx="9">
                  <c:v>67.611559139784958</c:v>
                </c:pt>
                <c:pt idx="11">
                  <c:v>55.968055555555559</c:v>
                </c:pt>
                <c:pt idx="12">
                  <c:v>55.968055555555559</c:v>
                </c:pt>
                <c:pt idx="14">
                  <c:v>34.88575268817204</c:v>
                </c:pt>
                <c:pt idx="15">
                  <c:v>34.88575268817204</c:v>
                </c:pt>
                <c:pt idx="17">
                  <c:v>16.701388888888889</c:v>
                </c:pt>
                <c:pt idx="18">
                  <c:v>16.701388888888889</c:v>
                </c:pt>
                <c:pt idx="20">
                  <c:v>10.478494623655914</c:v>
                </c:pt>
                <c:pt idx="21">
                  <c:v>10.478494623655914</c:v>
                </c:pt>
              </c:numCache>
            </c:numRef>
          </c:val>
          <c:extLst>
            <c:ext xmlns:c16="http://schemas.microsoft.com/office/drawing/2014/chart" uri="{C3380CC4-5D6E-409C-BE32-E72D297353CC}">
              <c16:uniqueId val="{00000000-1550-4DA7-AF30-F42615EA3E89}"/>
            </c:ext>
          </c:extLst>
        </c:ser>
        <c:ser>
          <c:idx val="1"/>
          <c:order val="1"/>
          <c:tx>
            <c:strRef>
              <c:f>'2022 T0 (2020 FC)'!$AG$1122</c:f>
              <c:strCache>
                <c:ptCount val="1"/>
                <c:pt idx="0">
                  <c:v>0 </c:v>
                </c:pt>
              </c:strCache>
            </c:strRef>
          </c:tx>
          <c:spPr>
            <a:solidFill>
              <a:schemeClr val="accent2"/>
            </a:solidFill>
            <a:ln>
              <a:noFill/>
            </a:ln>
            <a:effectLst/>
          </c:spPr>
          <c:invertIfNegative val="0"/>
          <c:cat>
            <c:strRef>
              <c:f>'2022 T0 (2020 FC)'!$AE$1123:$AE$1157</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'2022 T0 (2020 FC)'!$AG$1123:$AG$1157</c:f>
              <c:numCache>
                <c:formatCode>#,##0_);\(#,##0\)</c:formatCode>
                <c:ptCount val="35"/>
                <c:pt idx="0">
                  <c:v>0</c:v>
                </c:pt>
                <c:pt idx="2">
                  <c:v>0</c:v>
                </c:pt>
                <c:pt idx="3">
                  <c:v>0</c:v>
                </c:pt>
                <c:pt idx="5">
                  <c:v>0</c:v>
                </c:pt>
                <c:pt idx="6">
                  <c:v>0</c:v>
                </c:pt>
                <c:pt idx="8">
                  <c:v>0</c:v>
                </c:pt>
                <c:pt idx="9">
                  <c:v>0</c:v>
                </c:pt>
                <c:pt idx="11">
                  <c:v>0</c:v>
                </c:pt>
                <c:pt idx="12">
                  <c:v>0</c:v>
                </c:pt>
                <c:pt idx="14">
                  <c:v>13.833928245462646</c:v>
                </c:pt>
                <c:pt idx="15">
                  <c:v>13.833928245462646</c:v>
                </c:pt>
                <c:pt idx="17">
                  <c:v>20.600091752781811</c:v>
                </c:pt>
                <c:pt idx="18">
                  <c:v>20.600091752781811</c:v>
                </c:pt>
                <c:pt idx="20">
                  <c:v>6.2277087662085187</c:v>
                </c:pt>
                <c:pt idx="21">
                  <c:v>6.2277087662085187</c:v>
                </c:pt>
              </c:numCache>
            </c:numRef>
          </c:val>
          <c:extLst>
            <c:ext xmlns:c16="http://schemas.microsoft.com/office/drawing/2014/chart" uri="{C3380CC4-5D6E-409C-BE32-E72D297353CC}">
              <c16:uniqueId val="{00000001-1550-4DA7-AF30-F42615EA3E89}"/>
            </c:ext>
          </c:extLst>
        </c:ser>
        <c:ser>
          <c:idx val="2"/>
          <c:order val="2"/>
          <c:tx>
            <c:strRef>
              <c:f>'2022 T0 (2020 FC)'!$AH$1122</c:f>
              <c:strCache>
                <c:ptCount val="1"/>
                <c:pt idx="0">
                  <c:v>0 </c:v>
                </c:pt>
              </c:strCache>
            </c:strRef>
          </c:tx>
          <c:spPr>
            <a:solidFill>
              <a:schemeClr val="accent3"/>
            </a:solidFill>
            <a:ln>
              <a:noFill/>
            </a:ln>
            <a:effectLst/>
          </c:spPr>
          <c:invertIfNegative val="0"/>
          <c:cat>
            <c:strRef>
              <c:f>'2022 T0 (2020 FC)'!$AE$1123:$AE$1157</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'2022 T0 (2020 FC)'!$AH$1123:$AH$1157</c:f>
              <c:numCache>
                <c:formatCode>#,##0_);\(#,##0\)</c:formatCode>
                <c:ptCount val="35"/>
                <c:pt idx="0">
                  <c:v>0</c:v>
                </c:pt>
                <c:pt idx="2">
                  <c:v>-20.447422188995493</c:v>
                </c:pt>
                <c:pt idx="3">
                  <c:v>-20.447422188995493</c:v>
                </c:pt>
                <c:pt idx="5">
                  <c:v>-17.555120737608771</c:v>
                </c:pt>
                <c:pt idx="6">
                  <c:v>-17.555120737608771</c:v>
                </c:pt>
                <c:pt idx="8">
                  <c:v>-11.66489417009471</c:v>
                </c:pt>
                <c:pt idx="9">
                  <c:v>-11.66489417009471</c:v>
                </c:pt>
                <c:pt idx="11">
                  <c:v>0</c:v>
                </c:pt>
                <c:pt idx="12">
                  <c:v>0</c:v>
                </c:pt>
                <c:pt idx="14">
                  <c:v>0</c:v>
                </c:pt>
                <c:pt idx="15">
                  <c:v>0</c:v>
                </c:pt>
                <c:pt idx="17">
                  <c:v>0</c:v>
                </c:pt>
                <c:pt idx="18">
                  <c:v>0</c:v>
                </c:pt>
                <c:pt idx="20">
                  <c:v>0</c:v>
                </c:pt>
                <c:pt idx="21">
                  <c:v>0</c:v>
                </c:pt>
              </c:numCache>
            </c:numRef>
          </c:val>
          <c:extLst>
            <c:ext xmlns:c16="http://schemas.microsoft.com/office/drawing/2014/chart" uri="{C3380CC4-5D6E-409C-BE32-E72D297353CC}">
              <c16:uniqueId val="{00000002-1550-4DA7-AF30-F42615EA3E89}"/>
            </c:ext>
          </c:extLst>
        </c:ser>
        <c:ser>
          <c:idx val="0"/>
          <c:order val="3"/>
          <c:tx>
            <c:strRef>
              <c:f>'2022 T0 (2020 FC)'!$AF$1122</c:f>
              <c:strCache>
                <c:ptCount val="1"/>
                <c:pt idx="0">
                  <c:v>399 </c:v>
                </c:pt>
              </c:strCache>
            </c:strRef>
          </c:tx>
          <c:spPr>
            <a:solidFill>
              <a:schemeClr val="accent1"/>
            </a:solidFill>
            <a:ln>
              <a:noFill/>
            </a:ln>
            <a:effectLst/>
          </c:spPr>
          <c:invertIfNegative val="0"/>
          <c:cat>
            <c:strRef>
              <c:f>'2022 T0 (2020 FC)'!$AE$1123:$AE$1157</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'2022 T0 (2020 FC)'!$AF$1123:$AF$1157</c:f>
              <c:numCache>
                <c:formatCode>#,##0_);\(#,##0\)</c:formatCode>
                <c:ptCount val="35"/>
                <c:pt idx="0">
                  <c:v>105.4529569892473</c:v>
                </c:pt>
                <c:pt idx="2">
                  <c:v>206.97222222222223</c:v>
                </c:pt>
                <c:pt idx="3">
                  <c:v>59.972222222222214</c:v>
                </c:pt>
                <c:pt idx="5">
                  <c:v>176.4771505376344</c:v>
                </c:pt>
                <c:pt idx="6">
                  <c:v>29.477150537634408</c:v>
                </c:pt>
                <c:pt idx="8">
                  <c:v>177.0779569892473</c:v>
                </c:pt>
                <c:pt idx="9">
                  <c:v>30.077956989247312</c:v>
                </c:pt>
                <c:pt idx="11">
                  <c:v>322.70277777777778</c:v>
                </c:pt>
                <c:pt idx="12">
                  <c:v>77.702777777777783</c:v>
                </c:pt>
                <c:pt idx="14">
                  <c:v>346.64784946236557</c:v>
                </c:pt>
                <c:pt idx="15">
                  <c:v>101.6478494623656</c:v>
                </c:pt>
                <c:pt idx="17">
                  <c:v>345.57361111111112</c:v>
                </c:pt>
                <c:pt idx="18">
                  <c:v>100.57361111111111</c:v>
                </c:pt>
                <c:pt idx="20">
                  <c:v>293.55376344086022</c:v>
                </c:pt>
                <c:pt idx="21">
                  <c:v>48.553763440860209</c:v>
                </c:pt>
              </c:numCache>
            </c:numRef>
          </c:val>
          <c:extLst>
            <c:ext xmlns:c16="http://schemas.microsoft.com/office/drawing/2014/chart" uri="{C3380CC4-5D6E-409C-BE32-E72D297353CC}">
              <c16:uniqueId val="{00000003-1550-4DA7-AF30-F42615EA3E89}"/>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v>South w/SGL</c:v>
          </c:tx>
          <c:spPr>
            <a:solidFill>
              <a:schemeClr val="accent4"/>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37.887096774193559</c:v>
              </c:pt>
              <c:pt idx="1">
                <c:v>37.887096774193559</c:v>
              </c:pt>
              <c:pt idx="3">
                <c:v>47.678160919540225</c:v>
              </c:pt>
              <c:pt idx="4">
                <c:v>47.678160919540225</c:v>
              </c:pt>
              <c:pt idx="6">
                <c:v>55.387096774193544</c:v>
              </c:pt>
              <c:pt idx="7">
                <c:v>55.387096774193544</c:v>
              </c:pt>
              <c:pt idx="9">
                <c:v>63.465277777777771</c:v>
              </c:pt>
              <c:pt idx="10">
                <c:v>63.465277777777771</c:v>
              </c:pt>
              <c:pt idx="12">
                <c:v>64.745967741935488</c:v>
              </c:pt>
              <c:pt idx="13">
                <c:v>64.745967741935488</c:v>
              </c:pt>
              <c:pt idx="15">
                <c:v>66.411111111111111</c:v>
              </c:pt>
              <c:pt idx="16">
                <c:v>66.411111111111111</c:v>
              </c:pt>
              <c:pt idx="18">
                <c:v>66.129032258064512</c:v>
              </c:pt>
              <c:pt idx="19">
                <c:v>66.129032258064512</c:v>
              </c:pt>
              <c:pt idx="21">
                <c:v>61.61021505376344</c:v>
              </c:pt>
              <c:pt idx="22">
                <c:v>61.61021505376344</c:v>
              </c:pt>
              <c:pt idx="24">
                <c:v>55.479166666666657</c:v>
              </c:pt>
              <c:pt idx="25">
                <c:v>55.479166666666657</c:v>
              </c:pt>
              <c:pt idx="27">
                <c:v>40.768817204301072</c:v>
              </c:pt>
              <c:pt idx="28">
                <c:v>40.768817204301072</c:v>
              </c:pt>
              <c:pt idx="30">
                <c:v>9.5166666666666675</c:v>
              </c:pt>
              <c:pt idx="31">
                <c:v>9.5166666666666675</c:v>
              </c:pt>
              <c:pt idx="33">
                <c:v>20.709677419354836</c:v>
              </c:pt>
              <c:pt idx="34">
                <c:v>20.709677419354836</c:v>
              </c:pt>
            </c:numLit>
          </c:val>
          <c:extLst>
            <c:ext xmlns:c16="http://schemas.microsoft.com/office/drawing/2014/chart" uri="{C3380CC4-5D6E-409C-BE32-E72D297353CC}">
              <c16:uniqueId val="{00000000-156D-4901-B8CD-1A8C5DAC0B6F}"/>
            </c:ext>
          </c:extLst>
        </c:ser>
        <c:ser>
          <c:idx val="1"/>
          <c:order val="1"/>
          <c:tx>
            <c:v>WAD -PMP</c:v>
          </c:tx>
          <c:spPr>
            <a:solidFill>
              <a:schemeClr val="accent2"/>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14.264355415601463</c:v>
              </c:pt>
              <c:pt idx="1">
                <c:v>14.264355415601463</c:v>
              </c:pt>
              <c:pt idx="3">
                <c:v>23.716310568347794</c:v>
              </c:pt>
              <c:pt idx="4">
                <c:v>23.716310568347794</c:v>
              </c:pt>
              <c:pt idx="6">
                <c:v>14.816329568181672</c:v>
              </c:pt>
              <c:pt idx="7">
                <c:v>14.816329568181672</c:v>
              </c:pt>
              <c:pt idx="9">
                <c:v>1.2010591539095501</c:v>
              </c:pt>
              <c:pt idx="10">
                <c:v>1.2010591539095501</c:v>
              </c:pt>
              <c:pt idx="12">
                <c:v>0</c:v>
              </c:pt>
              <c:pt idx="13">
                <c:v>0</c:v>
              </c:pt>
              <c:pt idx="15">
                <c:v>0</c:v>
              </c:pt>
              <c:pt idx="16">
                <c:v>0</c:v>
              </c:pt>
              <c:pt idx="18">
                <c:v>0</c:v>
              </c:pt>
              <c:pt idx="19">
                <c:v>0</c:v>
              </c:pt>
              <c:pt idx="21">
                <c:v>0</c:v>
              </c:pt>
              <c:pt idx="22">
                <c:v>0</c:v>
              </c:pt>
              <c:pt idx="24">
                <c:v>2.9117163568879949</c:v>
              </c:pt>
              <c:pt idx="25">
                <c:v>2.9117163568879949</c:v>
              </c:pt>
              <c:pt idx="27">
                <c:v>9.5581881151136141</c:v>
              </c:pt>
              <c:pt idx="28">
                <c:v>9.5581881151136141</c:v>
              </c:pt>
              <c:pt idx="30">
                <c:v>20.943760618939489</c:v>
              </c:pt>
              <c:pt idx="31">
                <c:v>20.943760618939489</c:v>
              </c:pt>
              <c:pt idx="33">
                <c:v>19.517514937787887</c:v>
              </c:pt>
              <c:pt idx="34">
                <c:v>19.517514937787887</c:v>
              </c:pt>
            </c:numLit>
          </c:val>
          <c:extLst>
            <c:ext xmlns:c16="http://schemas.microsoft.com/office/drawing/2014/chart" uri="{C3380CC4-5D6E-409C-BE32-E72D297353CC}">
              <c16:uniqueId val="{00000001-156D-4901-B8CD-1A8C5DAC0B6F}"/>
            </c:ext>
          </c:extLst>
        </c:ser>
        <c:ser>
          <c:idx val="2"/>
          <c:order val="2"/>
          <c:tx>
            <c:v>WAD - GEN</c:v>
          </c:tx>
          <c:spPr>
            <a:solidFill>
              <a:schemeClr val="accent3"/>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-5.8004408859118906</c:v>
              </c:pt>
              <c:pt idx="1">
                <c:v>-5.8004408859118906</c:v>
              </c:pt>
              <c:pt idx="3">
                <c:v>0</c:v>
              </c:pt>
              <c:pt idx="4">
                <c:v>0</c:v>
              </c:pt>
              <c:pt idx="6">
                <c:v>0</c:v>
              </c:pt>
              <c:pt idx="7">
                <c:v>0</c:v>
              </c:pt>
              <c:pt idx="9">
                <c:v>0</c:v>
              </c:pt>
              <c:pt idx="10">
                <c:v>0</c:v>
              </c:pt>
              <c:pt idx="12">
                <c:v>-1.2205511799333035</c:v>
              </c:pt>
              <c:pt idx="13">
                <c:v>-1.2205511799333035</c:v>
              </c:pt>
              <c:pt idx="15">
                <c:v>-20.502526345806164</c:v>
              </c:pt>
              <c:pt idx="16">
                <c:v>-20.502526345806164</c:v>
              </c:pt>
              <c:pt idx="18">
                <c:v>-16.174906736153343</c:v>
              </c:pt>
              <c:pt idx="19">
                <c:v>-16.174906736153343</c:v>
              </c:pt>
              <c:pt idx="21">
                <c:v>-11.332630851062866</c:v>
              </c:pt>
              <c:pt idx="22">
                <c:v>-11.332630851062866</c:v>
              </c:pt>
              <c:pt idx="24">
                <c:v>0</c:v>
              </c:pt>
              <c:pt idx="25">
                <c:v>0</c:v>
              </c:pt>
              <c:pt idx="27">
                <c:v>0</c:v>
              </c:pt>
              <c:pt idx="28">
                <c:v>0</c:v>
              </c:pt>
              <c:pt idx="30">
                <c:v>0</c:v>
              </c:pt>
              <c:pt idx="31">
                <c:v>0</c:v>
              </c:pt>
              <c:pt idx="33">
                <c:v>0</c:v>
              </c:pt>
              <c:pt idx="34">
                <c:v>0</c:v>
              </c:pt>
            </c:numLit>
          </c:val>
          <c:extLst>
            <c:ext xmlns:c16="http://schemas.microsoft.com/office/drawing/2014/chart" uri="{C3380CC4-5D6E-409C-BE32-E72D297353CC}">
              <c16:uniqueId val="{00000002-156D-4901-B8CD-1A8C5DAC0B6F}"/>
            </c:ext>
          </c:extLst>
        </c:ser>
        <c:ser>
          <c:idx val="0"/>
          <c:order val="3"/>
          <c:tx>
            <c:v>West HAV - HSY</c:v>
          </c:tx>
          <c:spPr>
            <a:solidFill>
              <a:schemeClr val="accent1"/>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252.02553763440861</c:v>
              </c:pt>
              <c:pt idx="1">
                <c:v>56.0255376344086</c:v>
              </c:pt>
              <c:pt idx="3">
                <c:v>208.16522988505747</c:v>
              </c:pt>
              <c:pt idx="4">
                <c:v>110.16522988505747</c:v>
              </c:pt>
              <c:pt idx="6">
                <c:v>406.43548387096774</c:v>
              </c:pt>
              <c:pt idx="7">
                <c:v>112.43548387096774</c:v>
              </c:pt>
              <c:pt idx="9">
                <c:v>406.22500000000002</c:v>
              </c:pt>
              <c:pt idx="10">
                <c:v>112.22500000000001</c:v>
              </c:pt>
              <c:pt idx="12">
                <c:v>403.57123655913978</c:v>
              </c:pt>
              <c:pt idx="13">
                <c:v>109.57123655913979</c:v>
              </c:pt>
              <c:pt idx="15">
                <c:v>191.24027777777778</c:v>
              </c:pt>
              <c:pt idx="16">
                <c:v>44.240277777777777</c:v>
              </c:pt>
              <c:pt idx="18">
                <c:v>190.91801075268819</c:v>
              </c:pt>
              <c:pt idx="19">
                <c:v>43.918010752688176</c:v>
              </c:pt>
              <c:pt idx="21">
                <c:v>191.06720430107526</c:v>
              </c:pt>
              <c:pt idx="22">
                <c:v>44.067204301075265</c:v>
              </c:pt>
              <c:pt idx="24">
                <c:v>341.69861111111106</c:v>
              </c:pt>
              <c:pt idx="25">
                <c:v>96.698611111111092</c:v>
              </c:pt>
              <c:pt idx="27">
                <c:v>335.60618279569894</c:v>
              </c:pt>
              <c:pt idx="28">
                <c:v>90.606182795698928</c:v>
              </c:pt>
              <c:pt idx="30">
                <c:v>323.83055555555558</c:v>
              </c:pt>
              <c:pt idx="31">
                <c:v>78.830555555555563</c:v>
              </c:pt>
              <c:pt idx="33">
                <c:v>322.4986559139785</c:v>
              </c:pt>
              <c:pt idx="34">
                <c:v>77.498655913978496</c:v>
              </c:pt>
            </c:numLit>
          </c:val>
          <c:extLst>
            <c:ext xmlns:c16="http://schemas.microsoft.com/office/drawing/2014/chart" uri="{C3380CC4-5D6E-409C-BE32-E72D297353CC}">
              <c16:uniqueId val="{00000003-156D-4901-B8CD-1A8C5DAC0B6F}"/>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strRef>
              <c:f>'2021 T0 (2020 FC)'!$AI$1116</c:f>
              <c:strCache>
                <c:ptCount val="1"/>
                <c:pt idx="0">
                  <c:v>62 </c:v>
                </c:pt>
              </c:strCache>
            </c:strRef>
          </c:tx>
          <c:spPr>
            <a:solidFill>
              <a:schemeClr val="accent4"/>
            </a:solidFill>
            <a:ln>
              <a:noFill/>
            </a:ln>
            <a:effectLst/>
          </c:spPr>
          <c:invertIfNegative val="0"/>
          <c:cat>
            <c:strRef>
              <c:f>'2021 T0 (2020 FC)'!$AE$1117:$AE$1151</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 (2020 FC)'!$AI$1117:$AI$1151</c:f>
              <c:numCache>
                <c:formatCode>#,##0_);\(#,##0\)</c:formatCode>
                <c:ptCount val="35"/>
                <c:pt idx="0">
                  <c:v>62.29032258064516</c:v>
                </c:pt>
                <c:pt idx="2">
                  <c:v>71.140277777777769</c:v>
                </c:pt>
                <c:pt idx="3">
                  <c:v>71.140277777777769</c:v>
                </c:pt>
                <c:pt idx="5">
                  <c:v>62.775537634408607</c:v>
                </c:pt>
                <c:pt idx="6">
                  <c:v>62.775537634408607</c:v>
                </c:pt>
                <c:pt idx="8">
                  <c:v>66.172043010752688</c:v>
                </c:pt>
                <c:pt idx="9">
                  <c:v>66.172043010752688</c:v>
                </c:pt>
                <c:pt idx="11">
                  <c:v>53.411111111111111</c:v>
                </c:pt>
                <c:pt idx="12">
                  <c:v>53.411111111111111</c:v>
                </c:pt>
                <c:pt idx="14">
                  <c:v>33.196236559139777</c:v>
                </c:pt>
                <c:pt idx="15">
                  <c:v>33.196236559139777</c:v>
                </c:pt>
                <c:pt idx="17">
                  <c:v>15.738888888888891</c:v>
                </c:pt>
                <c:pt idx="18">
                  <c:v>15.738888888888891</c:v>
                </c:pt>
                <c:pt idx="20">
                  <c:v>10.165322580645162</c:v>
                </c:pt>
                <c:pt idx="21">
                  <c:v>10.165322580645162</c:v>
                </c:pt>
              </c:numCache>
            </c:numRef>
          </c:val>
          <c:extLst>
            <c:ext xmlns:c16="http://schemas.microsoft.com/office/drawing/2014/chart" uri="{C3380CC4-5D6E-409C-BE32-E72D297353CC}">
              <c16:uniqueId val="{00000000-F514-4B4A-B6FE-6A817399E001}"/>
            </c:ext>
          </c:extLst>
        </c:ser>
        <c:ser>
          <c:idx val="1"/>
          <c:order val="1"/>
          <c:tx>
            <c:strRef>
              <c:f>'2021 T0 (2020 FC)'!$AG$1116</c:f>
              <c:strCache>
                <c:ptCount val="1"/>
                <c:pt idx="0">
                  <c:v>1 </c:v>
                </c:pt>
              </c:strCache>
            </c:strRef>
          </c:tx>
          <c:spPr>
            <a:solidFill>
              <a:schemeClr val="accent2"/>
            </a:solidFill>
            <a:ln>
              <a:noFill/>
            </a:ln>
            <a:effectLst/>
          </c:spPr>
          <c:invertIfNegative val="0"/>
          <c:cat>
            <c:strRef>
              <c:f>'2021 T0 (2020 FC)'!$AE$1117:$AE$1151</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 (2020 FC)'!$AG$1117:$AG$1151</c:f>
              <c:numCache>
                <c:formatCode>#,##0_);\(#,##0\)</c:formatCode>
                <c:ptCount val="35"/>
                <c:pt idx="0">
                  <c:v>1.457458622906862</c:v>
                </c:pt>
                <c:pt idx="2">
                  <c:v>0</c:v>
                </c:pt>
                <c:pt idx="3">
                  <c:v>0</c:v>
                </c:pt>
                <c:pt idx="5">
                  <c:v>0</c:v>
                </c:pt>
                <c:pt idx="6">
                  <c:v>0</c:v>
                </c:pt>
                <c:pt idx="8">
                  <c:v>0</c:v>
                </c:pt>
                <c:pt idx="9">
                  <c:v>0</c:v>
                </c:pt>
                <c:pt idx="11">
                  <c:v>3.7402394118380697</c:v>
                </c:pt>
                <c:pt idx="12">
                  <c:v>3.7402394118380697</c:v>
                </c:pt>
                <c:pt idx="14">
                  <c:v>15.078832282070175</c:v>
                </c:pt>
                <c:pt idx="15">
                  <c:v>15.078832282070175</c:v>
                </c:pt>
                <c:pt idx="17">
                  <c:v>18.962753421764422</c:v>
                </c:pt>
                <c:pt idx="18">
                  <c:v>18.962753421764422</c:v>
                </c:pt>
                <c:pt idx="20">
                  <c:v>12.967389336067507</c:v>
                </c:pt>
                <c:pt idx="21">
                  <c:v>12.967389336067507</c:v>
                </c:pt>
              </c:numCache>
            </c:numRef>
          </c:val>
          <c:extLst>
            <c:ext xmlns:c16="http://schemas.microsoft.com/office/drawing/2014/chart" uri="{C3380CC4-5D6E-409C-BE32-E72D297353CC}">
              <c16:uniqueId val="{00000001-F514-4B4A-B6FE-6A817399E001}"/>
            </c:ext>
          </c:extLst>
        </c:ser>
        <c:ser>
          <c:idx val="2"/>
          <c:order val="2"/>
          <c:tx>
            <c:strRef>
              <c:f>'2021 T0 (2020 FC)'!$AH$1116</c:f>
              <c:strCache>
                <c:ptCount val="1"/>
                <c:pt idx="0">
                  <c:v>0 </c:v>
                </c:pt>
              </c:strCache>
            </c:strRef>
          </c:tx>
          <c:spPr>
            <a:solidFill>
              <a:schemeClr val="accent3"/>
            </a:solidFill>
            <a:ln>
              <a:noFill/>
            </a:ln>
            <a:effectLst/>
          </c:spPr>
          <c:invertIfNegative val="0"/>
          <c:cat>
            <c:strRef>
              <c:f>'2021 T0 (2020 FC)'!$AE$1117:$AE$1151</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 (2020 FC)'!$AH$1117:$AH$1151</c:f>
              <c:numCache>
                <c:formatCode>#,##0_);\(#,##0\)</c:formatCode>
                <c:ptCount val="35"/>
                <c:pt idx="0">
                  <c:v>0</c:v>
                </c:pt>
                <c:pt idx="2">
                  <c:v>-20.490428690255374</c:v>
                </c:pt>
                <c:pt idx="3">
                  <c:v>-20.490428690255374</c:v>
                </c:pt>
                <c:pt idx="5">
                  <c:v>-16.895924068532448</c:v>
                </c:pt>
                <c:pt idx="6">
                  <c:v>-16.895924068532448</c:v>
                </c:pt>
                <c:pt idx="8">
                  <c:v>-11.434291251864272</c:v>
                </c:pt>
                <c:pt idx="9">
                  <c:v>-11.434291251864272</c:v>
                </c:pt>
                <c:pt idx="11">
                  <c:v>0</c:v>
                </c:pt>
                <c:pt idx="12">
                  <c:v>0</c:v>
                </c:pt>
                <c:pt idx="14">
                  <c:v>0</c:v>
                </c:pt>
                <c:pt idx="15">
                  <c:v>0</c:v>
                </c:pt>
                <c:pt idx="17">
                  <c:v>0</c:v>
                </c:pt>
                <c:pt idx="18">
                  <c:v>0</c:v>
                </c:pt>
                <c:pt idx="20">
                  <c:v>0</c:v>
                </c:pt>
                <c:pt idx="21">
                  <c:v>0</c:v>
                </c:pt>
              </c:numCache>
            </c:numRef>
          </c:val>
          <c:extLst>
            <c:ext xmlns:c16="http://schemas.microsoft.com/office/drawing/2014/chart" uri="{C3380CC4-5D6E-409C-BE32-E72D297353CC}">
              <c16:uniqueId val="{00000002-F514-4B4A-B6FE-6A817399E001}"/>
            </c:ext>
          </c:extLst>
        </c:ser>
        <c:ser>
          <c:idx val="0"/>
          <c:order val="3"/>
          <c:tx>
            <c:strRef>
              <c:f>'2021 T0 (2020 FC)'!$AF$1116</c:f>
              <c:strCache>
                <c:ptCount val="1"/>
                <c:pt idx="0">
                  <c:v>398 </c:v>
                </c:pt>
              </c:strCache>
            </c:strRef>
          </c:tx>
          <c:spPr>
            <a:solidFill>
              <a:schemeClr val="accent1"/>
            </a:solidFill>
            <a:ln>
              <a:noFill/>
            </a:ln>
            <a:effectLst/>
          </c:spPr>
          <c:invertIfNegative val="0"/>
          <c:cat>
            <c:strRef>
              <c:f>'2021 T0 (2020 FC)'!$AE$1117:$AE$1151</c:f>
              <c:strCache>
                <c:ptCount val="23"/>
                <c:pt idx="0">
                  <c:v>On Peak</c:v>
                </c:pt>
                <c:pt idx="1">
                  <c:v> </c:v>
                </c:pt>
                <c:pt idx="2">
                  <c:v>Off Peak</c:v>
                </c:pt>
                <c:pt idx="3">
                  <c:v>On Peak</c:v>
                </c:pt>
                <c:pt idx="4">
                  <c:v> </c:v>
                </c:pt>
                <c:pt idx="5">
                  <c:v>Off Peak</c:v>
                </c:pt>
                <c:pt idx="6">
                  <c:v>On Peak</c:v>
                </c:pt>
                <c:pt idx="7">
                  <c:v> </c:v>
                </c:pt>
                <c:pt idx="8">
                  <c:v>Off Peak</c:v>
                </c:pt>
                <c:pt idx="9">
                  <c:v>On Peak</c:v>
                </c:pt>
                <c:pt idx="10">
                  <c:v> </c:v>
                </c:pt>
                <c:pt idx="11">
                  <c:v>Off Peak</c:v>
                </c:pt>
                <c:pt idx="12">
                  <c:v>On Peak</c:v>
                </c:pt>
                <c:pt idx="13">
                  <c:v> </c:v>
                </c:pt>
                <c:pt idx="14">
                  <c:v>Off Peak</c:v>
                </c:pt>
                <c:pt idx="15">
                  <c:v>On Peak</c:v>
                </c:pt>
                <c:pt idx="16">
                  <c:v> </c:v>
                </c:pt>
                <c:pt idx="17">
                  <c:v>Off Peak</c:v>
                </c:pt>
                <c:pt idx="18">
                  <c:v>On Peak</c:v>
                </c:pt>
                <c:pt idx="19">
                  <c:v> </c:v>
                </c:pt>
                <c:pt idx="20">
                  <c:v>Off Peak</c:v>
                </c:pt>
                <c:pt idx="21">
                  <c:v>On Peak</c:v>
                </c:pt>
                <c:pt idx="22">
                  <c:v> </c:v>
                </c:pt>
              </c:strCache>
            </c:strRef>
          </c:cat>
          <c:val>
            <c:numRef>
              <c:f>'2021 T0 (2020 FC)'!$AF$1117:$AF$1151</c:f>
              <c:numCache>
                <c:formatCode>#,##0_);\(#,##0\)</c:formatCode>
                <c:ptCount val="35"/>
                <c:pt idx="0">
                  <c:v>103.82123655913978</c:v>
                </c:pt>
                <c:pt idx="2">
                  <c:v>207.05555555555554</c:v>
                </c:pt>
                <c:pt idx="3">
                  <c:v>60.055555555555557</c:v>
                </c:pt>
                <c:pt idx="5">
                  <c:v>177.05510752688173</c:v>
                </c:pt>
                <c:pt idx="6">
                  <c:v>30.05510752688172</c:v>
                </c:pt>
                <c:pt idx="8">
                  <c:v>177.49462365591398</c:v>
                </c:pt>
                <c:pt idx="9">
                  <c:v>30.494623655913976</c:v>
                </c:pt>
                <c:pt idx="11">
                  <c:v>329.05555555555554</c:v>
                </c:pt>
                <c:pt idx="12">
                  <c:v>84.055555555555557</c:v>
                </c:pt>
                <c:pt idx="14">
                  <c:v>345.09946236559142</c:v>
                </c:pt>
                <c:pt idx="15">
                  <c:v>100.09946236559139</c:v>
                </c:pt>
                <c:pt idx="17">
                  <c:v>336.7208333333333</c:v>
                </c:pt>
                <c:pt idx="18">
                  <c:v>91.720833333333331</c:v>
                </c:pt>
                <c:pt idx="20">
                  <c:v>307.00672043010752</c:v>
                </c:pt>
                <c:pt idx="21">
                  <c:v>62.006720430107528</c:v>
                </c:pt>
              </c:numCache>
            </c:numRef>
          </c:val>
          <c:extLst>
            <c:ext xmlns:c16="http://schemas.microsoft.com/office/drawing/2014/chart" uri="{C3380CC4-5D6E-409C-BE32-E72D297353CC}">
              <c16:uniqueId val="{00000003-F514-4B4A-B6FE-6A817399E001}"/>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Power Schedule On-Peak v Off-Peak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7678258967629041E-2"/>
          <c:y val="0.10866006311870478"/>
          <c:w val="0.88454396325459317"/>
          <c:h val="0.65336779221745989"/>
        </c:manualLayout>
      </c:layout>
      <c:barChart>
        <c:barDir val="col"/>
        <c:grouping val="stacked"/>
        <c:varyColors val="0"/>
        <c:ser>
          <c:idx val="3"/>
          <c:order val="0"/>
          <c:tx>
            <c:v>South w/SGL</c:v>
          </c:tx>
          <c:spPr>
            <a:solidFill>
              <a:schemeClr val="accent4"/>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37.887096774193559</c:v>
              </c:pt>
              <c:pt idx="1">
                <c:v>37.887096774193559</c:v>
              </c:pt>
              <c:pt idx="3">
                <c:v>47.678160919540225</c:v>
              </c:pt>
              <c:pt idx="4">
                <c:v>47.678160919540225</c:v>
              </c:pt>
              <c:pt idx="6">
                <c:v>55.387096774193544</c:v>
              </c:pt>
              <c:pt idx="7">
                <c:v>55.387096774193544</c:v>
              </c:pt>
              <c:pt idx="9">
                <c:v>63.465277777777771</c:v>
              </c:pt>
              <c:pt idx="10">
                <c:v>63.465277777777771</c:v>
              </c:pt>
              <c:pt idx="12">
                <c:v>64.745967741935488</c:v>
              </c:pt>
              <c:pt idx="13">
                <c:v>64.745967741935488</c:v>
              </c:pt>
              <c:pt idx="15">
                <c:v>66.411111111111111</c:v>
              </c:pt>
              <c:pt idx="16">
                <c:v>66.411111111111111</c:v>
              </c:pt>
              <c:pt idx="18">
                <c:v>66.129032258064512</c:v>
              </c:pt>
              <c:pt idx="19">
                <c:v>66.129032258064512</c:v>
              </c:pt>
              <c:pt idx="21">
                <c:v>61.61021505376344</c:v>
              </c:pt>
              <c:pt idx="22">
                <c:v>61.61021505376344</c:v>
              </c:pt>
              <c:pt idx="24">
                <c:v>55.479166666666657</c:v>
              </c:pt>
              <c:pt idx="25">
                <c:v>55.479166666666657</c:v>
              </c:pt>
              <c:pt idx="27">
                <c:v>40.768817204301072</c:v>
              </c:pt>
              <c:pt idx="28">
                <c:v>40.768817204301072</c:v>
              </c:pt>
              <c:pt idx="30">
                <c:v>9.5166666666666675</c:v>
              </c:pt>
              <c:pt idx="31">
                <c:v>9.5166666666666675</c:v>
              </c:pt>
              <c:pt idx="33">
                <c:v>20.709677419354836</c:v>
              </c:pt>
              <c:pt idx="34">
                <c:v>20.709677419354836</c:v>
              </c:pt>
            </c:numLit>
          </c:val>
          <c:extLst>
            <c:ext xmlns:c16="http://schemas.microsoft.com/office/drawing/2014/chart" uri="{C3380CC4-5D6E-409C-BE32-E72D297353CC}">
              <c16:uniqueId val="{00000000-7A87-4A36-8669-E6EA4527A41C}"/>
            </c:ext>
          </c:extLst>
        </c:ser>
        <c:ser>
          <c:idx val="1"/>
          <c:order val="1"/>
          <c:tx>
            <c:v>WAD -PMP</c:v>
          </c:tx>
          <c:spPr>
            <a:solidFill>
              <a:schemeClr val="accent2"/>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14.264355415601463</c:v>
              </c:pt>
              <c:pt idx="1">
                <c:v>14.264355415601463</c:v>
              </c:pt>
              <c:pt idx="3">
                <c:v>23.716310568347794</c:v>
              </c:pt>
              <c:pt idx="4">
                <c:v>23.716310568347794</c:v>
              </c:pt>
              <c:pt idx="6">
                <c:v>14.816329568181672</c:v>
              </c:pt>
              <c:pt idx="7">
                <c:v>14.816329568181672</c:v>
              </c:pt>
              <c:pt idx="9">
                <c:v>1.2010591539095501</c:v>
              </c:pt>
              <c:pt idx="10">
                <c:v>1.2010591539095501</c:v>
              </c:pt>
              <c:pt idx="12">
                <c:v>0</c:v>
              </c:pt>
              <c:pt idx="13">
                <c:v>0</c:v>
              </c:pt>
              <c:pt idx="15">
                <c:v>0</c:v>
              </c:pt>
              <c:pt idx="16">
                <c:v>0</c:v>
              </c:pt>
              <c:pt idx="18">
                <c:v>0</c:v>
              </c:pt>
              <c:pt idx="19">
                <c:v>0</c:v>
              </c:pt>
              <c:pt idx="21">
                <c:v>0</c:v>
              </c:pt>
              <c:pt idx="22">
                <c:v>0</c:v>
              </c:pt>
              <c:pt idx="24">
                <c:v>2.9117163568879949</c:v>
              </c:pt>
              <c:pt idx="25">
                <c:v>2.9117163568879949</c:v>
              </c:pt>
              <c:pt idx="27">
                <c:v>9.5581881151136141</c:v>
              </c:pt>
              <c:pt idx="28">
                <c:v>9.5581881151136141</c:v>
              </c:pt>
              <c:pt idx="30">
                <c:v>20.943760618939489</c:v>
              </c:pt>
              <c:pt idx="31">
                <c:v>20.943760618939489</c:v>
              </c:pt>
              <c:pt idx="33">
                <c:v>19.517514937787887</c:v>
              </c:pt>
              <c:pt idx="34">
                <c:v>19.517514937787887</c:v>
              </c:pt>
            </c:numLit>
          </c:val>
          <c:extLst>
            <c:ext xmlns:c16="http://schemas.microsoft.com/office/drawing/2014/chart" uri="{C3380CC4-5D6E-409C-BE32-E72D297353CC}">
              <c16:uniqueId val="{00000001-7A87-4A36-8669-E6EA4527A41C}"/>
            </c:ext>
          </c:extLst>
        </c:ser>
        <c:ser>
          <c:idx val="2"/>
          <c:order val="2"/>
          <c:tx>
            <c:v>WAD - GEN</c:v>
          </c:tx>
          <c:spPr>
            <a:solidFill>
              <a:schemeClr val="accent3"/>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-5.8004408859118906</c:v>
              </c:pt>
              <c:pt idx="1">
                <c:v>-5.8004408859118906</c:v>
              </c:pt>
              <c:pt idx="3">
                <c:v>0</c:v>
              </c:pt>
              <c:pt idx="4">
                <c:v>0</c:v>
              </c:pt>
              <c:pt idx="6">
                <c:v>0</c:v>
              </c:pt>
              <c:pt idx="7">
                <c:v>0</c:v>
              </c:pt>
              <c:pt idx="9">
                <c:v>0</c:v>
              </c:pt>
              <c:pt idx="10">
                <c:v>0</c:v>
              </c:pt>
              <c:pt idx="12">
                <c:v>-1.2205511799333035</c:v>
              </c:pt>
              <c:pt idx="13">
                <c:v>-1.2205511799333035</c:v>
              </c:pt>
              <c:pt idx="15">
                <c:v>-20.502526345806164</c:v>
              </c:pt>
              <c:pt idx="16">
                <c:v>-20.502526345806164</c:v>
              </c:pt>
              <c:pt idx="18">
                <c:v>-16.174906736153343</c:v>
              </c:pt>
              <c:pt idx="19">
                <c:v>-16.174906736153343</c:v>
              </c:pt>
              <c:pt idx="21">
                <c:v>-11.332630851062866</c:v>
              </c:pt>
              <c:pt idx="22">
                <c:v>-11.332630851062866</c:v>
              </c:pt>
              <c:pt idx="24">
                <c:v>0</c:v>
              </c:pt>
              <c:pt idx="25">
                <c:v>0</c:v>
              </c:pt>
              <c:pt idx="27">
                <c:v>0</c:v>
              </c:pt>
              <c:pt idx="28">
                <c:v>0</c:v>
              </c:pt>
              <c:pt idx="30">
                <c:v>0</c:v>
              </c:pt>
              <c:pt idx="31">
                <c:v>0</c:v>
              </c:pt>
              <c:pt idx="33">
                <c:v>0</c:v>
              </c:pt>
              <c:pt idx="34">
                <c:v>0</c:v>
              </c:pt>
            </c:numLit>
          </c:val>
          <c:extLst>
            <c:ext xmlns:c16="http://schemas.microsoft.com/office/drawing/2014/chart" uri="{C3380CC4-5D6E-409C-BE32-E72D297353CC}">
              <c16:uniqueId val="{00000002-7A87-4A36-8669-E6EA4527A41C}"/>
            </c:ext>
          </c:extLst>
        </c:ser>
        <c:ser>
          <c:idx val="0"/>
          <c:order val="3"/>
          <c:tx>
            <c:v>West HAV - HSY</c:v>
          </c:tx>
          <c:spPr>
            <a:solidFill>
              <a:schemeClr val="accent1"/>
            </a:solidFill>
            <a:ln>
              <a:noFill/>
            </a:ln>
            <a:effectLst/>
          </c:spPr>
          <c:invertIfNegative val="0"/>
          <c:cat>
            <c:strLit>
              <c:ptCount val="35"/>
              <c:pt idx="0">
                <c:v>Off Peak</c:v>
              </c:pt>
              <c:pt idx="1">
                <c:v>On Peak</c:v>
              </c:pt>
              <c:pt idx="2">
                <c:v> </c:v>
              </c:pt>
              <c:pt idx="3">
                <c:v>Off Peak</c:v>
              </c:pt>
              <c:pt idx="4">
                <c:v>On Peak</c:v>
              </c:pt>
              <c:pt idx="5">
                <c:v> </c:v>
              </c:pt>
              <c:pt idx="6">
                <c:v>Off Peak</c:v>
              </c:pt>
              <c:pt idx="7">
                <c:v>On Peak</c:v>
              </c:pt>
              <c:pt idx="8">
                <c:v> </c:v>
              </c:pt>
              <c:pt idx="9">
                <c:v>Off Peak</c:v>
              </c:pt>
              <c:pt idx="10">
                <c:v>On Peak</c:v>
              </c:pt>
              <c:pt idx="11">
                <c:v> </c:v>
              </c:pt>
              <c:pt idx="12">
                <c:v>Off Peak</c:v>
              </c:pt>
              <c:pt idx="13">
                <c:v>On Peak</c:v>
              </c:pt>
              <c:pt idx="14">
                <c:v> </c:v>
              </c:pt>
              <c:pt idx="15">
                <c:v>Off Peak</c:v>
              </c:pt>
              <c:pt idx="16">
                <c:v>On Peak</c:v>
              </c:pt>
              <c:pt idx="17">
                <c:v> </c:v>
              </c:pt>
              <c:pt idx="18">
                <c:v>Off Peak</c:v>
              </c:pt>
              <c:pt idx="19">
                <c:v>On Peak</c:v>
              </c:pt>
              <c:pt idx="20">
                <c:v> </c:v>
              </c:pt>
              <c:pt idx="21">
                <c:v>Off Peak</c:v>
              </c:pt>
              <c:pt idx="22">
                <c:v>On Peak</c:v>
              </c:pt>
              <c:pt idx="23">
                <c:v> </c:v>
              </c:pt>
              <c:pt idx="24">
                <c:v>Off Peak</c:v>
              </c:pt>
              <c:pt idx="25">
                <c:v>On Peak</c:v>
              </c:pt>
              <c:pt idx="26">
                <c:v> </c:v>
              </c:pt>
              <c:pt idx="27">
                <c:v>Off Peak</c:v>
              </c:pt>
              <c:pt idx="28">
                <c:v>On Peak</c:v>
              </c:pt>
              <c:pt idx="29">
                <c:v> </c:v>
              </c:pt>
              <c:pt idx="30">
                <c:v>Off Peak</c:v>
              </c:pt>
              <c:pt idx="31">
                <c:v>On Peak</c:v>
              </c:pt>
              <c:pt idx="32">
                <c:v> </c:v>
              </c:pt>
              <c:pt idx="33">
                <c:v>Off Peak</c:v>
              </c:pt>
              <c:pt idx="34">
                <c:v>On Peak</c:v>
              </c:pt>
            </c:strLit>
          </c:cat>
          <c:val>
            <c:numLit>
              <c:formatCode>General</c:formatCode>
              <c:ptCount val="35"/>
              <c:pt idx="0">
                <c:v>252.02553763440861</c:v>
              </c:pt>
              <c:pt idx="1">
                <c:v>56.0255376344086</c:v>
              </c:pt>
              <c:pt idx="3">
                <c:v>208.16522988505747</c:v>
              </c:pt>
              <c:pt idx="4">
                <c:v>110.16522988505747</c:v>
              </c:pt>
              <c:pt idx="6">
                <c:v>406.43548387096774</c:v>
              </c:pt>
              <c:pt idx="7">
                <c:v>112.43548387096774</c:v>
              </c:pt>
              <c:pt idx="9">
                <c:v>406.22500000000002</c:v>
              </c:pt>
              <c:pt idx="10">
                <c:v>112.22500000000001</c:v>
              </c:pt>
              <c:pt idx="12">
                <c:v>403.57123655913978</c:v>
              </c:pt>
              <c:pt idx="13">
                <c:v>109.57123655913979</c:v>
              </c:pt>
              <c:pt idx="15">
                <c:v>191.24027777777778</c:v>
              </c:pt>
              <c:pt idx="16">
                <c:v>44.240277777777777</c:v>
              </c:pt>
              <c:pt idx="18">
                <c:v>190.91801075268819</c:v>
              </c:pt>
              <c:pt idx="19">
                <c:v>43.918010752688176</c:v>
              </c:pt>
              <c:pt idx="21">
                <c:v>191.06720430107526</c:v>
              </c:pt>
              <c:pt idx="22">
                <c:v>44.067204301075265</c:v>
              </c:pt>
              <c:pt idx="24">
                <c:v>341.69861111111106</c:v>
              </c:pt>
              <c:pt idx="25">
                <c:v>96.698611111111092</c:v>
              </c:pt>
              <c:pt idx="27">
                <c:v>335.60618279569894</c:v>
              </c:pt>
              <c:pt idx="28">
                <c:v>90.606182795698928</c:v>
              </c:pt>
              <c:pt idx="30">
                <c:v>323.83055555555558</c:v>
              </c:pt>
              <c:pt idx="31">
                <c:v>78.830555555555563</c:v>
              </c:pt>
              <c:pt idx="33">
                <c:v>322.4986559139785</c:v>
              </c:pt>
              <c:pt idx="34">
                <c:v>77.498655913978496</c:v>
              </c:pt>
            </c:numLit>
          </c:val>
          <c:extLst>
            <c:ext xmlns:c16="http://schemas.microsoft.com/office/drawing/2014/chart" uri="{C3380CC4-5D6E-409C-BE32-E72D297353CC}">
              <c16:uniqueId val="{00000003-7A87-4A36-8669-E6EA4527A41C}"/>
            </c:ext>
          </c:extLst>
        </c:ser>
        <c:dLbls>
          <c:showLegendKey val="0"/>
          <c:showVal val="0"/>
          <c:showCatName val="0"/>
          <c:showSerName val="0"/>
          <c:showPercent val="0"/>
          <c:showBubbleSize val="0"/>
        </c:dLbls>
        <c:gapWidth val="30"/>
        <c:overlap val="100"/>
        <c:axId val="323165480"/>
        <c:axId val="323166264"/>
      </c:barChart>
      <c:catAx>
        <c:axId val="32316548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6264"/>
        <c:crosses val="autoZero"/>
        <c:auto val="1"/>
        <c:lblAlgn val="ctr"/>
        <c:lblOffset val="100"/>
        <c:noMultiLvlLbl val="0"/>
      </c:catAx>
      <c:valAx>
        <c:axId val="323166264"/>
        <c:scaling>
          <c:orientation val="minMax"/>
          <c:max val="500"/>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Power (MWh)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23165480"/>
        <c:crosses val="autoZero"/>
        <c:crossBetween val="between"/>
        <c:majorUnit val="50"/>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Delivery Curve</a:t>
            </a:r>
          </a:p>
        </c:rich>
      </c:tx>
      <c:overlay val="0"/>
    </c:title>
    <c:autoTitleDeleted val="0"/>
    <c:plotArea>
      <c:layout/>
      <c:barChart>
        <c:barDir val="col"/>
        <c:grouping val="clustered"/>
        <c:varyColors val="1"/>
        <c:ser>
          <c:idx val="0"/>
          <c:order val="0"/>
          <c:tx>
            <c:v>Delivery Curve</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'2013'!$AD$12:$AO$12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'2013'!$AD$13:$AO$13</c:f>
              <c:numCache>
                <c:formatCode>0.00%</c:formatCode>
                <c:ptCount val="12"/>
                <c:pt idx="0">
                  <c:v>3.3548595924747564E-2</c:v>
                </c:pt>
                <c:pt idx="1">
                  <c:v>3.5188723187570561E-2</c:v>
                </c:pt>
                <c:pt idx="2">
                  <c:v>6.9734684908723921E-2</c:v>
                </c:pt>
                <c:pt idx="3">
                  <c:v>0.11620429946236983</c:v>
                </c:pt>
                <c:pt idx="4">
                  <c:v>0.12356612219441528</c:v>
                </c:pt>
                <c:pt idx="5">
                  <c:v>0.13875884537145955</c:v>
                </c:pt>
                <c:pt idx="6">
                  <c:v>0.11776350588551082</c:v>
                </c:pt>
                <c:pt idx="7">
                  <c:v>0.11793455806695245</c:v>
                </c:pt>
                <c:pt idx="8">
                  <c:v>7.7726111247075666E-2</c:v>
                </c:pt>
                <c:pt idx="9">
                  <c:v>6.9245212512598645E-2</c:v>
                </c:pt>
                <c:pt idx="10">
                  <c:v>3.9094633961489572E-2</c:v>
                </c:pt>
                <c:pt idx="11">
                  <c:v>6.123470727708611E-2</c:v>
                </c:pt>
              </c:numCache>
            </c:numRef>
          </c:val>
          <c:extLst>
            <c:ext xmlns:c16="http://schemas.microsoft.com/office/drawing/2014/chart" uri="{C3380CC4-5D6E-409C-BE32-E72D297353CC}">
              <c16:uniqueId val="{00000000-293E-4C9A-A7F5-FB0706517681}"/>
            </c:ext>
          </c:extLst>
        </c:ser>
        <c:dLbls>
          <c:showLegendKey val="0"/>
          <c:showVal val="0"/>
          <c:showCatName val="0"/>
          <c:showSerName val="0"/>
          <c:showPercent val="0"/>
          <c:showBubbleSize val="0"/>
        </c:dLbls>
        <c:gapWidth val="150"/>
        <c:axId val="427957688"/>
        <c:axId val="427958080"/>
      </c:barChart>
      <c:catAx>
        <c:axId val="427957688"/>
        <c:scaling>
          <c:orientation val="minMax"/>
        </c:scaling>
        <c:delete val="0"/>
        <c:axPos val="b"/>
        <c:numFmt formatCode="General" sourceLinked="0"/>
        <c:majorTickMark val="out"/>
        <c:minorTickMark val="none"/>
        <c:tickLblPos val="nextTo"/>
        <c:crossAx val="427958080"/>
        <c:crosses val="autoZero"/>
        <c:auto val="1"/>
        <c:lblAlgn val="ctr"/>
        <c:lblOffset val="100"/>
        <c:noMultiLvlLbl val="0"/>
      </c:catAx>
      <c:valAx>
        <c:axId val="427958080"/>
        <c:scaling>
          <c:orientation val="minMax"/>
        </c:scaling>
        <c:delete val="0"/>
        <c:axPos val="l"/>
        <c:majorGridlines/>
        <c:numFmt formatCode="0.00%" sourceLinked="1"/>
        <c:majorTickMark val="out"/>
        <c:minorTickMark val="none"/>
        <c:tickLblPos val="nextTo"/>
        <c:crossAx val="4279576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6"/>
          <c:order val="6"/>
          <c:tx>
            <c:strRef>
              <c:f>'Delivery Comparisons'!$B$5</c:f>
              <c:strCache>
                <c:ptCount val="1"/>
                <c:pt idx="0">
                  <c:v>2,015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Comparisons'!$C$5:$N$5</c:f>
              <c:numCache>
                <c:formatCode>#,##0_);\(#,##0\)</c:formatCode>
                <c:ptCount val="12"/>
                <c:pt idx="0">
                  <c:v>58728</c:v>
                </c:pt>
                <c:pt idx="1">
                  <c:v>77475</c:v>
                </c:pt>
                <c:pt idx="2">
                  <c:v>134316</c:v>
                </c:pt>
                <c:pt idx="3">
                  <c:v>183305</c:v>
                </c:pt>
                <c:pt idx="4">
                  <c:v>146795</c:v>
                </c:pt>
                <c:pt idx="5">
                  <c:v>166051</c:v>
                </c:pt>
                <c:pt idx="6">
                  <c:v>156931</c:v>
                </c:pt>
                <c:pt idx="7">
                  <c:v>165338</c:v>
                </c:pt>
                <c:pt idx="8">
                  <c:v>121912</c:v>
                </c:pt>
                <c:pt idx="9">
                  <c:v>96557</c:v>
                </c:pt>
                <c:pt idx="10">
                  <c:v>63748</c:v>
                </c:pt>
                <c:pt idx="11">
                  <c:v>78053</c:v>
                </c:pt>
              </c:numCache>
            </c:numRef>
          </c:val>
          <c:smooth val="0"/>
          <c:extLst>
            <c:ext xmlns:c16="http://schemas.microsoft.com/office/drawing/2014/chart" uri="{C3380CC4-5D6E-409C-BE32-E72D297353CC}">
              <c16:uniqueId val="{00000000-9624-476D-84C9-6655A86B8261}"/>
            </c:ext>
          </c:extLst>
        </c:ser>
        <c:ser>
          <c:idx val="7"/>
          <c:order val="7"/>
          <c:tx>
            <c:strRef>
              <c:f>'Delivery Comparisons'!$B$6</c:f>
              <c:strCache>
                <c:ptCount val="1"/>
                <c:pt idx="0">
                  <c:v>2,014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Comparisons'!$C$6:$N$6</c:f>
              <c:numCache>
                <c:formatCode>#,##0_);\(#,##0\)</c:formatCode>
                <c:ptCount val="12"/>
                <c:pt idx="0">
                  <c:v>54644</c:v>
                </c:pt>
                <c:pt idx="1">
                  <c:v>73683</c:v>
                </c:pt>
                <c:pt idx="2">
                  <c:v>123825</c:v>
                </c:pt>
                <c:pt idx="3">
                  <c:v>164245</c:v>
                </c:pt>
                <c:pt idx="4">
                  <c:v>187340</c:v>
                </c:pt>
                <c:pt idx="5">
                  <c:v>194295</c:v>
                </c:pt>
                <c:pt idx="6">
                  <c:v>183511</c:v>
                </c:pt>
                <c:pt idx="7">
                  <c:v>165587</c:v>
                </c:pt>
                <c:pt idx="8">
                  <c:v>114740</c:v>
                </c:pt>
                <c:pt idx="9">
                  <c:v>110496</c:v>
                </c:pt>
                <c:pt idx="10">
                  <c:v>82300</c:v>
                </c:pt>
                <c:pt idx="11">
                  <c:v>71294</c:v>
                </c:pt>
              </c:numCache>
            </c:numRef>
          </c:val>
          <c:smooth val="0"/>
          <c:extLst>
            <c:ext xmlns:c16="http://schemas.microsoft.com/office/drawing/2014/chart" uri="{C3380CC4-5D6E-409C-BE32-E72D297353CC}">
              <c16:uniqueId val="{00000001-9624-476D-84C9-6655A86B8261}"/>
            </c:ext>
          </c:extLst>
        </c:ser>
        <c:ser>
          <c:idx val="8"/>
          <c:order val="8"/>
          <c:tx>
            <c:strRef>
              <c:f>'Delivery Comparisons'!$B$7</c:f>
              <c:strCache>
                <c:ptCount val="1"/>
                <c:pt idx="0">
                  <c:v>2,013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Comparisons'!$C$7:$N$7</c:f>
              <c:numCache>
                <c:formatCode>#,##0_);\(#,##0\)</c:formatCode>
                <c:ptCount val="12"/>
                <c:pt idx="0">
                  <c:v>50994</c:v>
                </c:pt>
                <c:pt idx="1">
                  <c:v>53487</c:v>
                </c:pt>
                <c:pt idx="2">
                  <c:v>105997</c:v>
                </c:pt>
                <c:pt idx="3">
                  <c:v>176631</c:v>
                </c:pt>
                <c:pt idx="4">
                  <c:v>187821</c:v>
                </c:pt>
                <c:pt idx="5">
                  <c:v>210914</c:v>
                </c:pt>
                <c:pt idx="6">
                  <c:v>179001</c:v>
                </c:pt>
                <c:pt idx="7">
                  <c:v>179261</c:v>
                </c:pt>
                <c:pt idx="8">
                  <c:v>118144</c:v>
                </c:pt>
                <c:pt idx="9">
                  <c:v>105253</c:v>
                </c:pt>
                <c:pt idx="10">
                  <c:v>59424</c:v>
                </c:pt>
                <c:pt idx="11">
                  <c:v>93077</c:v>
                </c:pt>
              </c:numCache>
            </c:numRef>
          </c:val>
          <c:smooth val="0"/>
          <c:extLst>
            <c:ext xmlns:c16="http://schemas.microsoft.com/office/drawing/2014/chart" uri="{C3380CC4-5D6E-409C-BE32-E72D297353CC}">
              <c16:uniqueId val="{00000002-9624-476D-84C9-6655A86B8261}"/>
            </c:ext>
          </c:extLst>
        </c:ser>
        <c:ser>
          <c:idx val="9"/>
          <c:order val="9"/>
          <c:tx>
            <c:strRef>
              <c:f>'Delivery Comparisons'!$B$8</c:f>
              <c:strCache>
                <c:ptCount val="1"/>
                <c:pt idx="0">
                  <c:v>2,012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Comparisons'!$C$8:$N$8</c:f>
              <c:numCache>
                <c:formatCode>#,##0_);\(#,##0\)</c:formatCode>
                <c:ptCount val="12"/>
                <c:pt idx="0">
                  <c:v>71862</c:v>
                </c:pt>
                <c:pt idx="1">
                  <c:v>97013</c:v>
                </c:pt>
                <c:pt idx="2">
                  <c:v>138394</c:v>
                </c:pt>
                <c:pt idx="3">
                  <c:v>173973</c:v>
                </c:pt>
                <c:pt idx="4">
                  <c:v>190845</c:v>
                </c:pt>
                <c:pt idx="5">
                  <c:v>207776</c:v>
                </c:pt>
                <c:pt idx="6">
                  <c:v>174557</c:v>
                </c:pt>
                <c:pt idx="7">
                  <c:v>175287</c:v>
                </c:pt>
                <c:pt idx="8">
                  <c:v>133433</c:v>
                </c:pt>
                <c:pt idx="9">
                  <c:v>101903</c:v>
                </c:pt>
                <c:pt idx="10">
                  <c:v>59004</c:v>
                </c:pt>
                <c:pt idx="11">
                  <c:v>74452.000000000015</c:v>
                </c:pt>
              </c:numCache>
            </c:numRef>
          </c:val>
          <c:smooth val="0"/>
          <c:extLst>
            <c:ext xmlns:c16="http://schemas.microsoft.com/office/drawing/2014/chart" uri="{C3380CC4-5D6E-409C-BE32-E72D297353CC}">
              <c16:uniqueId val="{00000003-9624-476D-84C9-6655A86B8261}"/>
            </c:ext>
          </c:extLst>
        </c:ser>
        <c:ser>
          <c:idx val="10"/>
          <c:order val="10"/>
          <c:tx>
            <c:strRef>
              <c:f>'Delivery Comparisons'!$B$9</c:f>
              <c:strCache>
                <c:ptCount val="1"/>
                <c:pt idx="0">
                  <c:v>2,011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Comparisons'!$C$9:$N$9</c:f>
              <c:numCache>
                <c:formatCode>#,##0_);\(#,##0\)</c:formatCode>
                <c:ptCount val="12"/>
                <c:pt idx="0">
                  <c:v>66498</c:v>
                </c:pt>
                <c:pt idx="1">
                  <c:v>78366</c:v>
                </c:pt>
                <c:pt idx="2">
                  <c:v>135796</c:v>
                </c:pt>
                <c:pt idx="3">
                  <c:v>151715</c:v>
                </c:pt>
                <c:pt idx="4">
                  <c:v>177404</c:v>
                </c:pt>
                <c:pt idx="5">
                  <c:v>223913</c:v>
                </c:pt>
                <c:pt idx="6">
                  <c:v>229857</c:v>
                </c:pt>
                <c:pt idx="7">
                  <c:v>215585</c:v>
                </c:pt>
                <c:pt idx="8">
                  <c:v>138247</c:v>
                </c:pt>
                <c:pt idx="9">
                  <c:v>90308</c:v>
                </c:pt>
                <c:pt idx="10">
                  <c:v>48560</c:v>
                </c:pt>
                <c:pt idx="11">
                  <c:v>60098</c:v>
                </c:pt>
              </c:numCache>
            </c:numRef>
          </c:val>
          <c:smooth val="0"/>
          <c:extLst>
            <c:ext xmlns:c16="http://schemas.microsoft.com/office/drawing/2014/chart" uri="{C3380CC4-5D6E-409C-BE32-E72D297353CC}">
              <c16:uniqueId val="{00000004-9624-476D-84C9-6655A86B8261}"/>
            </c:ext>
          </c:extLst>
        </c:ser>
        <c:ser>
          <c:idx val="11"/>
          <c:order val="11"/>
          <c:tx>
            <c:strRef>
              <c:f>'Delivery Comparisons'!$B$10</c:f>
              <c:strCache>
                <c:ptCount val="1"/>
                <c:pt idx="0">
                  <c:v>2,010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Comparisons'!$C$10:$N$10</c:f>
              <c:numCache>
                <c:formatCode>#,##0_);\(#,##0\)</c:formatCode>
                <c:ptCount val="12"/>
                <c:pt idx="0">
                  <c:v>56674</c:v>
                </c:pt>
                <c:pt idx="1">
                  <c:v>56869</c:v>
                </c:pt>
                <c:pt idx="2">
                  <c:v>103819</c:v>
                </c:pt>
                <c:pt idx="3">
                  <c:v>153932</c:v>
                </c:pt>
                <c:pt idx="4">
                  <c:v>165117</c:v>
                </c:pt>
                <c:pt idx="5">
                  <c:v>206179</c:v>
                </c:pt>
                <c:pt idx="6">
                  <c:v>216826</c:v>
                </c:pt>
                <c:pt idx="7">
                  <c:v>191448</c:v>
                </c:pt>
                <c:pt idx="8">
                  <c:v>167554</c:v>
                </c:pt>
                <c:pt idx="9">
                  <c:v>106439</c:v>
                </c:pt>
                <c:pt idx="10">
                  <c:v>82263</c:v>
                </c:pt>
                <c:pt idx="11">
                  <c:v>83779</c:v>
                </c:pt>
              </c:numCache>
            </c:numRef>
          </c:val>
          <c:smooth val="0"/>
          <c:extLst>
            <c:ext xmlns:c16="http://schemas.microsoft.com/office/drawing/2014/chart" uri="{C3380CC4-5D6E-409C-BE32-E72D297353CC}">
              <c16:uniqueId val="{00000005-9624-476D-84C9-6655A86B8261}"/>
            </c:ext>
          </c:extLst>
        </c:ser>
        <c:ser>
          <c:idx val="0"/>
          <c:order val="0"/>
          <c:tx>
            <c:strRef>
              <c:f>'Delivery Comparisons'!$B$5</c:f>
              <c:strCache>
                <c:ptCount val="1"/>
                <c:pt idx="0">
                  <c:v>2,015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Comparisons'!$C$5:$N$5</c:f>
              <c:numCache>
                <c:formatCode>#,##0_);\(#,##0\)</c:formatCode>
                <c:ptCount val="12"/>
                <c:pt idx="0">
                  <c:v>58728</c:v>
                </c:pt>
                <c:pt idx="1">
                  <c:v>77475</c:v>
                </c:pt>
                <c:pt idx="2">
                  <c:v>134316</c:v>
                </c:pt>
                <c:pt idx="3">
                  <c:v>183305</c:v>
                </c:pt>
                <c:pt idx="4">
                  <c:v>146795</c:v>
                </c:pt>
                <c:pt idx="5">
                  <c:v>166051</c:v>
                </c:pt>
                <c:pt idx="6">
                  <c:v>156931</c:v>
                </c:pt>
                <c:pt idx="7">
                  <c:v>165338</c:v>
                </c:pt>
                <c:pt idx="8">
                  <c:v>121912</c:v>
                </c:pt>
                <c:pt idx="9">
                  <c:v>96557</c:v>
                </c:pt>
                <c:pt idx="10">
                  <c:v>63748</c:v>
                </c:pt>
                <c:pt idx="11">
                  <c:v>78053</c:v>
                </c:pt>
              </c:numCache>
            </c:numRef>
          </c:val>
          <c:smooth val="0"/>
          <c:extLst>
            <c:ext xmlns:c16="http://schemas.microsoft.com/office/drawing/2014/chart" uri="{C3380CC4-5D6E-409C-BE32-E72D297353CC}">
              <c16:uniqueId val="{00000006-9624-476D-84C9-6655A86B8261}"/>
            </c:ext>
          </c:extLst>
        </c:ser>
        <c:ser>
          <c:idx val="1"/>
          <c:order val="1"/>
          <c:tx>
            <c:strRef>
              <c:f>'Delivery Comparisons'!$B$6</c:f>
              <c:strCache>
                <c:ptCount val="1"/>
                <c:pt idx="0">
                  <c:v>2,014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Comparisons'!$C$6:$N$6</c:f>
              <c:numCache>
                <c:formatCode>#,##0_);\(#,##0\)</c:formatCode>
                <c:ptCount val="12"/>
                <c:pt idx="0">
                  <c:v>54644</c:v>
                </c:pt>
                <c:pt idx="1">
                  <c:v>73683</c:v>
                </c:pt>
                <c:pt idx="2">
                  <c:v>123825</c:v>
                </c:pt>
                <c:pt idx="3">
                  <c:v>164245</c:v>
                </c:pt>
                <c:pt idx="4">
                  <c:v>187340</c:v>
                </c:pt>
                <c:pt idx="5">
                  <c:v>194295</c:v>
                </c:pt>
                <c:pt idx="6">
                  <c:v>183511</c:v>
                </c:pt>
                <c:pt idx="7">
                  <c:v>165587</c:v>
                </c:pt>
                <c:pt idx="8">
                  <c:v>114740</c:v>
                </c:pt>
                <c:pt idx="9">
                  <c:v>110496</c:v>
                </c:pt>
                <c:pt idx="10">
                  <c:v>82300</c:v>
                </c:pt>
                <c:pt idx="11">
                  <c:v>71294</c:v>
                </c:pt>
              </c:numCache>
            </c:numRef>
          </c:val>
          <c:smooth val="0"/>
          <c:extLst>
            <c:ext xmlns:c16="http://schemas.microsoft.com/office/drawing/2014/chart" uri="{C3380CC4-5D6E-409C-BE32-E72D297353CC}">
              <c16:uniqueId val="{00000007-9624-476D-84C9-6655A86B8261}"/>
            </c:ext>
          </c:extLst>
        </c:ser>
        <c:ser>
          <c:idx val="2"/>
          <c:order val="2"/>
          <c:tx>
            <c:strRef>
              <c:f>'Delivery Comparisons'!$B$7</c:f>
              <c:strCache>
                <c:ptCount val="1"/>
                <c:pt idx="0">
                  <c:v>2,013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Comparisons'!$C$7:$N$7</c:f>
              <c:numCache>
                <c:formatCode>#,##0_);\(#,##0\)</c:formatCode>
                <c:ptCount val="12"/>
                <c:pt idx="0">
                  <c:v>50994</c:v>
                </c:pt>
                <c:pt idx="1">
                  <c:v>53487</c:v>
                </c:pt>
                <c:pt idx="2">
                  <c:v>105997</c:v>
                </c:pt>
                <c:pt idx="3">
                  <c:v>176631</c:v>
                </c:pt>
                <c:pt idx="4">
                  <c:v>187821</c:v>
                </c:pt>
                <c:pt idx="5">
                  <c:v>210914</c:v>
                </c:pt>
                <c:pt idx="6">
                  <c:v>179001</c:v>
                </c:pt>
                <c:pt idx="7">
                  <c:v>179261</c:v>
                </c:pt>
                <c:pt idx="8">
                  <c:v>118144</c:v>
                </c:pt>
                <c:pt idx="9">
                  <c:v>105253</c:v>
                </c:pt>
                <c:pt idx="10">
                  <c:v>59424</c:v>
                </c:pt>
                <c:pt idx="11">
                  <c:v>93077</c:v>
                </c:pt>
              </c:numCache>
            </c:numRef>
          </c:val>
          <c:smooth val="0"/>
          <c:extLst>
            <c:ext xmlns:c16="http://schemas.microsoft.com/office/drawing/2014/chart" uri="{C3380CC4-5D6E-409C-BE32-E72D297353CC}">
              <c16:uniqueId val="{00000008-9624-476D-84C9-6655A86B8261}"/>
            </c:ext>
          </c:extLst>
        </c:ser>
        <c:ser>
          <c:idx val="3"/>
          <c:order val="3"/>
          <c:tx>
            <c:strRef>
              <c:f>'Delivery Comparisons'!$B$8</c:f>
              <c:strCache>
                <c:ptCount val="1"/>
                <c:pt idx="0">
                  <c:v>2,012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Comparisons'!$C$8:$N$8</c:f>
              <c:numCache>
                <c:formatCode>#,##0_);\(#,##0\)</c:formatCode>
                <c:ptCount val="12"/>
                <c:pt idx="0">
                  <c:v>71862</c:v>
                </c:pt>
                <c:pt idx="1">
                  <c:v>97013</c:v>
                </c:pt>
                <c:pt idx="2">
                  <c:v>138394</c:v>
                </c:pt>
                <c:pt idx="3">
                  <c:v>173973</c:v>
                </c:pt>
                <c:pt idx="4">
                  <c:v>190845</c:v>
                </c:pt>
                <c:pt idx="5">
                  <c:v>207776</c:v>
                </c:pt>
                <c:pt idx="6">
                  <c:v>174557</c:v>
                </c:pt>
                <c:pt idx="7">
                  <c:v>175287</c:v>
                </c:pt>
                <c:pt idx="8">
                  <c:v>133433</c:v>
                </c:pt>
                <c:pt idx="9">
                  <c:v>101903</c:v>
                </c:pt>
                <c:pt idx="10">
                  <c:v>59004</c:v>
                </c:pt>
                <c:pt idx="11">
                  <c:v>74452.000000000015</c:v>
                </c:pt>
              </c:numCache>
            </c:numRef>
          </c:val>
          <c:smooth val="0"/>
          <c:extLst>
            <c:ext xmlns:c16="http://schemas.microsoft.com/office/drawing/2014/chart" uri="{C3380CC4-5D6E-409C-BE32-E72D297353CC}">
              <c16:uniqueId val="{00000009-9624-476D-84C9-6655A86B8261}"/>
            </c:ext>
          </c:extLst>
        </c:ser>
        <c:ser>
          <c:idx val="4"/>
          <c:order val="4"/>
          <c:tx>
            <c:strRef>
              <c:f>'Delivery Comparisons'!$B$9</c:f>
              <c:strCache>
                <c:ptCount val="1"/>
                <c:pt idx="0">
                  <c:v>2,011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Comparisons'!$C$9:$N$9</c:f>
              <c:numCache>
                <c:formatCode>#,##0_);\(#,##0\)</c:formatCode>
                <c:ptCount val="12"/>
                <c:pt idx="0">
                  <c:v>66498</c:v>
                </c:pt>
                <c:pt idx="1">
                  <c:v>78366</c:v>
                </c:pt>
                <c:pt idx="2">
                  <c:v>135796</c:v>
                </c:pt>
                <c:pt idx="3">
                  <c:v>151715</c:v>
                </c:pt>
                <c:pt idx="4">
                  <c:v>177404</c:v>
                </c:pt>
                <c:pt idx="5">
                  <c:v>223913</c:v>
                </c:pt>
                <c:pt idx="6">
                  <c:v>229857</c:v>
                </c:pt>
                <c:pt idx="7">
                  <c:v>215585</c:v>
                </c:pt>
                <c:pt idx="8">
                  <c:v>138247</c:v>
                </c:pt>
                <c:pt idx="9">
                  <c:v>90308</c:v>
                </c:pt>
                <c:pt idx="10">
                  <c:v>48560</c:v>
                </c:pt>
                <c:pt idx="11">
                  <c:v>60098</c:v>
                </c:pt>
              </c:numCache>
            </c:numRef>
          </c:val>
          <c:smooth val="0"/>
          <c:extLst>
            <c:ext xmlns:c16="http://schemas.microsoft.com/office/drawing/2014/chart" uri="{C3380CC4-5D6E-409C-BE32-E72D297353CC}">
              <c16:uniqueId val="{0000000A-9624-476D-84C9-6655A86B8261}"/>
            </c:ext>
          </c:extLst>
        </c:ser>
        <c:ser>
          <c:idx val="5"/>
          <c:order val="5"/>
          <c:tx>
            <c:strRef>
              <c:f>'Delivery Comparisons'!$B$10</c:f>
              <c:strCache>
                <c:ptCount val="1"/>
                <c:pt idx="0">
                  <c:v>2,010 </c:v>
                </c:pt>
              </c:strCache>
            </c:strRef>
          </c:tx>
          <c:marker>
            <c:symbol val="none"/>
          </c:marker>
          <c:cat>
            <c:strRef>
              <c:f>'Delivery Comparisons'!$C$4:$N$4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Comparisons'!$C$10:$N$10</c:f>
              <c:numCache>
                <c:formatCode>#,##0_);\(#,##0\)</c:formatCode>
                <c:ptCount val="12"/>
                <c:pt idx="0">
                  <c:v>56674</c:v>
                </c:pt>
                <c:pt idx="1">
                  <c:v>56869</c:v>
                </c:pt>
                <c:pt idx="2">
                  <c:v>103819</c:v>
                </c:pt>
                <c:pt idx="3">
                  <c:v>153932</c:v>
                </c:pt>
                <c:pt idx="4">
                  <c:v>165117</c:v>
                </c:pt>
                <c:pt idx="5">
                  <c:v>206179</c:v>
                </c:pt>
                <c:pt idx="6">
                  <c:v>216826</c:v>
                </c:pt>
                <c:pt idx="7">
                  <c:v>191448</c:v>
                </c:pt>
                <c:pt idx="8">
                  <c:v>167554</c:v>
                </c:pt>
                <c:pt idx="9">
                  <c:v>106439</c:v>
                </c:pt>
                <c:pt idx="10">
                  <c:v>82263</c:v>
                </c:pt>
                <c:pt idx="11">
                  <c:v>83779</c:v>
                </c:pt>
              </c:numCache>
            </c:numRef>
          </c:val>
          <c:smooth val="0"/>
          <c:extLst>
            <c:ext xmlns:c16="http://schemas.microsoft.com/office/drawing/2014/chart" uri="{C3380CC4-5D6E-409C-BE32-E72D297353CC}">
              <c16:uniqueId val="{0000000B-9624-476D-84C9-6655A86B8261}"/>
            </c:ext>
          </c:extLst>
        </c:ser>
        <c:dLbls>
          <c:showLegendKey val="0"/>
          <c:showVal val="0"/>
          <c:showCatName val="0"/>
          <c:showSerName val="0"/>
          <c:showPercent val="0"/>
          <c:showBubbleSize val="0"/>
        </c:dLbls>
        <c:smooth val="0"/>
        <c:axId val="427958864"/>
        <c:axId val="427959256"/>
      </c:lineChart>
      <c:catAx>
        <c:axId val="427958864"/>
        <c:scaling>
          <c:orientation val="minMax"/>
        </c:scaling>
        <c:delete val="0"/>
        <c:axPos val="b"/>
        <c:numFmt formatCode="General" sourceLinked="0"/>
        <c:majorTickMark val="out"/>
        <c:minorTickMark val="none"/>
        <c:tickLblPos val="nextTo"/>
        <c:crossAx val="427959256"/>
        <c:crosses val="autoZero"/>
        <c:auto val="1"/>
        <c:lblAlgn val="ctr"/>
        <c:lblOffset val="100"/>
        <c:noMultiLvlLbl val="0"/>
      </c:catAx>
      <c:valAx>
        <c:axId val="427959256"/>
        <c:scaling>
          <c:orientation val="minMax"/>
        </c:scaling>
        <c:delete val="0"/>
        <c:axPos val="l"/>
        <c:majorGridlines/>
        <c:numFmt formatCode="#,##0_);\(#,##0\)" sourceLinked="1"/>
        <c:majorTickMark val="out"/>
        <c:minorTickMark val="none"/>
        <c:tickLblPos val="nextTo"/>
        <c:crossAx val="4279588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a:t>
            </a:r>
            <a:r>
              <a:rPr lang="en-US" baseline="0"/>
              <a:t> System Energy 5 year Comparison to Current Plan</a:t>
            </a:r>
            <a:endParaRPr lang="en-US"/>
          </a:p>
        </c:rich>
      </c:tx>
      <c:overlay val="0"/>
    </c:title>
    <c:autoTitleDeleted val="0"/>
    <c:plotArea>
      <c:layout/>
      <c:lineChart>
        <c:grouping val="standard"/>
        <c:varyColors val="0"/>
        <c:ser>
          <c:idx val="0"/>
          <c:order val="0"/>
          <c:tx>
            <c:strRef>
              <c:f>'Delivery Comparisons'!$C$23</c:f>
              <c:strCache>
                <c:ptCount val="1"/>
                <c:pt idx="0">
                  <c:v>2,015 </c:v>
                </c:pt>
              </c:strCache>
            </c:strRef>
          </c:tx>
          <c:cat>
            <c:strRef>
              <c:f>'Delivery Comparisons'!$B$24:$B$35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Comparisons'!$C$24:$C$35</c:f>
              <c:numCache>
                <c:formatCode>#,##0_);\(#,##0\)</c:formatCode>
                <c:ptCount val="12"/>
                <c:pt idx="0">
                  <c:v>296836.11983900284</c:v>
                </c:pt>
                <c:pt idx="1">
                  <c:v>192461.29368098831</c:v>
                </c:pt>
                <c:pt idx="2">
                  <c:v>248636.94645644751</c:v>
                </c:pt>
                <c:pt idx="3">
                  <c:v>264171.79460941162</c:v>
                </c:pt>
                <c:pt idx="4">
                  <c:v>298253.94239660201</c:v>
                </c:pt>
                <c:pt idx="5">
                  <c:v>144195.10662849783</c:v>
                </c:pt>
                <c:pt idx="6">
                  <c:v>133892.97814619442</c:v>
                </c:pt>
                <c:pt idx="7">
                  <c:v>129960.37659163588</c:v>
                </c:pt>
                <c:pt idx="8">
                  <c:v>272348.91551461577</c:v>
                </c:pt>
                <c:pt idx="9">
                  <c:v>195452.11631869662</c:v>
                </c:pt>
                <c:pt idx="10">
                  <c:v>188096.24684497534</c:v>
                </c:pt>
                <c:pt idx="11">
                  <c:v>214713.14801035754</c:v>
                </c:pt>
              </c:numCache>
            </c:numRef>
          </c:val>
          <c:smooth val="0"/>
          <c:extLst>
            <c:ext xmlns:c16="http://schemas.microsoft.com/office/drawing/2014/chart" uri="{C3380CC4-5D6E-409C-BE32-E72D297353CC}">
              <c16:uniqueId val="{00000000-2345-4807-8595-ECA57031AC11}"/>
            </c:ext>
          </c:extLst>
        </c:ser>
        <c:ser>
          <c:idx val="1"/>
          <c:order val="1"/>
          <c:tx>
            <c:strRef>
              <c:f>'Delivery Comparisons'!$D$23</c:f>
              <c:strCache>
                <c:ptCount val="1"/>
                <c:pt idx="0">
                  <c:v>2,014 </c:v>
                </c:pt>
              </c:strCache>
            </c:strRef>
          </c:tx>
          <c:cat>
            <c:strRef>
              <c:f>'Delivery Comparisons'!$B$24:$B$35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Comparisons'!$D$24:$D$35</c:f>
              <c:numCache>
                <c:formatCode>#,##0_);\(#,##0\)</c:formatCode>
                <c:ptCount val="12"/>
                <c:pt idx="0">
                  <c:v>146778.61057709786</c:v>
                </c:pt>
                <c:pt idx="1">
                  <c:v>216420.78369254738</c:v>
                </c:pt>
                <c:pt idx="2">
                  <c:v>298410.7883757152</c:v>
                </c:pt>
                <c:pt idx="3">
                  <c:v>301604.23579961911</c:v>
                </c:pt>
                <c:pt idx="4">
                  <c:v>307919.19409657829</c:v>
                </c:pt>
                <c:pt idx="5">
                  <c:v>229026.37477015826</c:v>
                </c:pt>
                <c:pt idx="6">
                  <c:v>169619.97401657875</c:v>
                </c:pt>
                <c:pt idx="7">
                  <c:v>184565.79492408366</c:v>
                </c:pt>
                <c:pt idx="8">
                  <c:v>237302.77022927982</c:v>
                </c:pt>
                <c:pt idx="9">
                  <c:v>195798.84367696702</c:v>
                </c:pt>
                <c:pt idx="10">
                  <c:v>219002.64606595688</c:v>
                </c:pt>
                <c:pt idx="11">
                  <c:v>196515.20800335158</c:v>
                </c:pt>
              </c:numCache>
            </c:numRef>
          </c:val>
          <c:smooth val="0"/>
          <c:extLst>
            <c:ext xmlns:c16="http://schemas.microsoft.com/office/drawing/2014/chart" uri="{C3380CC4-5D6E-409C-BE32-E72D297353CC}">
              <c16:uniqueId val="{00000001-2345-4807-8595-ECA57031AC11}"/>
            </c:ext>
          </c:extLst>
        </c:ser>
        <c:ser>
          <c:idx val="2"/>
          <c:order val="2"/>
          <c:tx>
            <c:strRef>
              <c:f>'Delivery Comparisons'!$E$23</c:f>
              <c:strCache>
                <c:ptCount val="1"/>
                <c:pt idx="0">
                  <c:v>2,013 </c:v>
                </c:pt>
              </c:strCache>
            </c:strRef>
          </c:tx>
          <c:cat>
            <c:strRef>
              <c:f>'Delivery Comparisons'!$B$24:$B$35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Comparisons'!$E$24:$E$35</c:f>
              <c:numCache>
                <c:formatCode>#,##0_);\(#,##0\)</c:formatCode>
                <c:ptCount val="12"/>
                <c:pt idx="0">
                  <c:v>145334.48662190331</c:v>
                </c:pt>
                <c:pt idx="1">
                  <c:v>252115.50013788618</c:v>
                </c:pt>
                <c:pt idx="2">
                  <c:v>303607.52568908682</c:v>
                </c:pt>
                <c:pt idx="3">
                  <c:v>257688.1356342175</c:v>
                </c:pt>
                <c:pt idx="4">
                  <c:v>291421.53907611157</c:v>
                </c:pt>
                <c:pt idx="5">
                  <c:v>221597.62263149963</c:v>
                </c:pt>
                <c:pt idx="6">
                  <c:v>151621.30811605128</c:v>
                </c:pt>
                <c:pt idx="7">
                  <c:v>175243.57406665085</c:v>
                </c:pt>
                <c:pt idx="8">
                  <c:v>254201.54105225328</c:v>
                </c:pt>
                <c:pt idx="9">
                  <c:v>306130.21432147489</c:v>
                </c:pt>
                <c:pt idx="10">
                  <c:v>235908.68936587902</c:v>
                </c:pt>
                <c:pt idx="11">
                  <c:v>228976.21500020576</c:v>
                </c:pt>
              </c:numCache>
            </c:numRef>
          </c:val>
          <c:smooth val="0"/>
          <c:extLst>
            <c:ext xmlns:c16="http://schemas.microsoft.com/office/drawing/2014/chart" uri="{C3380CC4-5D6E-409C-BE32-E72D297353CC}">
              <c16:uniqueId val="{00000002-2345-4807-8595-ECA57031AC11}"/>
            </c:ext>
          </c:extLst>
        </c:ser>
        <c:ser>
          <c:idx val="3"/>
          <c:order val="3"/>
          <c:tx>
            <c:strRef>
              <c:f>'Delivery Comparisons'!$F$23</c:f>
              <c:strCache>
                <c:ptCount val="1"/>
                <c:pt idx="0">
                  <c:v>2,012 </c:v>
                </c:pt>
              </c:strCache>
            </c:strRef>
          </c:tx>
          <c:cat>
            <c:strRef>
              <c:f>'Delivery Comparisons'!$B$24:$B$35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Comparisons'!$F$24:$F$35</c:f>
              <c:numCache>
                <c:formatCode>#,##0_);\(#,##0\)</c:formatCode>
                <c:ptCount val="12"/>
                <c:pt idx="0">
                  <c:v>311164.85499350808</c:v>
                </c:pt>
                <c:pt idx="1">
                  <c:v>286644.85995118145</c:v>
                </c:pt>
                <c:pt idx="2">
                  <c:v>314340.83522456477</c:v>
                </c:pt>
                <c:pt idx="3">
                  <c:v>304749.88388431072</c:v>
                </c:pt>
                <c:pt idx="4">
                  <c:v>303228.64717780368</c:v>
                </c:pt>
                <c:pt idx="5">
                  <c:v>221568.88281914091</c:v>
                </c:pt>
                <c:pt idx="6">
                  <c:v>81875.187181612651</c:v>
                </c:pt>
                <c:pt idx="7">
                  <c:v>156099.08917726928</c:v>
                </c:pt>
                <c:pt idx="8">
                  <c:v>234542.13488102047</c:v>
                </c:pt>
                <c:pt idx="9">
                  <c:v>64601.965940727088</c:v>
                </c:pt>
                <c:pt idx="10">
                  <c:v>283610.06928460149</c:v>
                </c:pt>
                <c:pt idx="11">
                  <c:v>230370.25383172449</c:v>
                </c:pt>
              </c:numCache>
            </c:numRef>
          </c:val>
          <c:smooth val="0"/>
          <c:extLst>
            <c:ext xmlns:c16="http://schemas.microsoft.com/office/drawing/2014/chart" uri="{C3380CC4-5D6E-409C-BE32-E72D297353CC}">
              <c16:uniqueId val="{00000003-2345-4807-8595-ECA57031AC11}"/>
            </c:ext>
          </c:extLst>
        </c:ser>
        <c:ser>
          <c:idx val="4"/>
          <c:order val="4"/>
          <c:tx>
            <c:strRef>
              <c:f>'Delivery Comparisons'!$G$23</c:f>
              <c:strCache>
                <c:ptCount val="1"/>
                <c:pt idx="0">
                  <c:v>2,011 </c:v>
                </c:pt>
              </c:strCache>
            </c:strRef>
          </c:tx>
          <c:cat>
            <c:strRef>
              <c:f>'Delivery Comparisons'!$B$24:$B$35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Comparisons'!$G$24:$G$35</c:f>
              <c:numCache>
                <c:formatCode>#,##0_);\(#,##0\)</c:formatCode>
                <c:ptCount val="12"/>
                <c:pt idx="0">
                  <c:v>159072.28000000003</c:v>
                </c:pt>
                <c:pt idx="1">
                  <c:v>227205.46599999999</c:v>
                </c:pt>
                <c:pt idx="2">
                  <c:v>299395.908</c:v>
                </c:pt>
                <c:pt idx="3">
                  <c:v>297089.96399999998</c:v>
                </c:pt>
                <c:pt idx="4">
                  <c:v>272898.19300000003</c:v>
                </c:pt>
                <c:pt idx="5">
                  <c:v>242833.79700000002</c:v>
                </c:pt>
                <c:pt idx="6">
                  <c:v>129299.561</c:v>
                </c:pt>
                <c:pt idx="7">
                  <c:v>110880.53899999999</c:v>
                </c:pt>
                <c:pt idx="8">
                  <c:v>182982.77999999994</c:v>
                </c:pt>
                <c:pt idx="9">
                  <c:v>244743.44600000003</c:v>
                </c:pt>
                <c:pt idx="10">
                  <c:v>283284.11999999988</c:v>
                </c:pt>
                <c:pt idx="11">
                  <c:v>248543.777</c:v>
                </c:pt>
              </c:numCache>
            </c:numRef>
          </c:val>
          <c:smooth val="0"/>
          <c:extLst>
            <c:ext xmlns:c16="http://schemas.microsoft.com/office/drawing/2014/chart" uri="{C3380CC4-5D6E-409C-BE32-E72D297353CC}">
              <c16:uniqueId val="{00000004-2345-4807-8595-ECA57031AC11}"/>
            </c:ext>
          </c:extLst>
        </c:ser>
        <c:ser>
          <c:idx val="5"/>
          <c:order val="5"/>
          <c:tx>
            <c:strRef>
              <c:f>'Delivery Comparisons'!$H$23</c:f>
              <c:strCache>
                <c:ptCount val="1"/>
                <c:pt idx="0">
                  <c:v>2,010 </c:v>
                </c:pt>
              </c:strCache>
            </c:strRef>
          </c:tx>
          <c:cat>
            <c:strRef>
              <c:f>'Delivery Comparisons'!$B$24:$B$35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'Delivery Comparisons'!$H$24:$H$35</c:f>
              <c:numCache>
                <c:formatCode>#,##0_);\(#,##0\)</c:formatCode>
                <c:ptCount val="12"/>
                <c:pt idx="0">
                  <c:v>213218.90200000003</c:v>
                </c:pt>
                <c:pt idx="1">
                  <c:v>154183.166</c:v>
                </c:pt>
                <c:pt idx="2">
                  <c:v>221118.65299999999</c:v>
                </c:pt>
                <c:pt idx="3">
                  <c:v>263080.35599999997</c:v>
                </c:pt>
                <c:pt idx="4">
                  <c:v>279810.28799999994</c:v>
                </c:pt>
                <c:pt idx="5">
                  <c:v>279826.97499999998</c:v>
                </c:pt>
                <c:pt idx="6">
                  <c:v>95209.630000000019</c:v>
                </c:pt>
                <c:pt idx="7">
                  <c:v>148970.40599999996</c:v>
                </c:pt>
                <c:pt idx="8">
                  <c:v>269985.6970000001</c:v>
                </c:pt>
                <c:pt idx="9">
                  <c:v>252770.60800000004</c:v>
                </c:pt>
                <c:pt idx="10">
                  <c:v>244360.71299999999</c:v>
                </c:pt>
                <c:pt idx="11">
                  <c:v>294896.97499999992</c:v>
                </c:pt>
              </c:numCache>
            </c:numRef>
          </c:val>
          <c:smooth val="0"/>
          <c:extLst>
            <c:ext xmlns:c16="http://schemas.microsoft.com/office/drawing/2014/chart" uri="{C3380CC4-5D6E-409C-BE32-E72D297353CC}">
              <c16:uniqueId val="{00000005-2345-4807-8595-ECA57031AC11}"/>
            </c:ext>
          </c:extLst>
        </c:ser>
        <c:dLbls>
          <c:showLegendKey val="0"/>
          <c:showVal val="0"/>
          <c:showCatName val="0"/>
          <c:showSerName val="0"/>
          <c:showPercent val="0"/>
          <c:showBubbleSize val="0"/>
        </c:dLbls>
        <c:marker val="1"/>
        <c:smooth val="0"/>
        <c:axId val="435179608"/>
        <c:axId val="435180000"/>
      </c:lineChart>
      <c:catAx>
        <c:axId val="435179608"/>
        <c:scaling>
          <c:orientation val="minMax"/>
        </c:scaling>
        <c:delete val="0"/>
        <c:axPos val="b"/>
        <c:numFmt formatCode="General" sourceLinked="0"/>
        <c:majorTickMark val="none"/>
        <c:minorTickMark val="none"/>
        <c:tickLblPos val="nextTo"/>
        <c:crossAx val="435180000"/>
        <c:crosses val="autoZero"/>
        <c:auto val="1"/>
        <c:lblAlgn val="ctr"/>
        <c:lblOffset val="100"/>
        <c:noMultiLvlLbl val="0"/>
      </c:catAx>
      <c:valAx>
        <c:axId val="435180000"/>
        <c:scaling>
          <c:orientation val="minMax"/>
        </c:scaling>
        <c:delete val="0"/>
        <c:axPos val="l"/>
        <c:majorGridlines/>
        <c:title>
          <c:tx>
            <c:rich>
              <a:bodyPr/>
              <a:lstStyle/>
              <a:p>
                <a:pPr>
                  <a:defRPr/>
                </a:pPr>
                <a:r>
                  <a:rPr lang="en-US"/>
                  <a:t>Mega</a:t>
                </a:r>
                <a:r>
                  <a:rPr lang="en-US" baseline="0"/>
                  <a:t> Watt Hours</a:t>
                </a:r>
              </a:p>
            </c:rich>
          </c:tx>
          <c:overlay val="0"/>
        </c:title>
        <c:numFmt formatCode="#,##0_);\(#,##0\)" sourceLinked="1"/>
        <c:majorTickMark val="none"/>
        <c:minorTickMark val="none"/>
        <c:tickLblPos val="nextTo"/>
        <c:crossAx val="435179608"/>
        <c:crosses val="autoZero"/>
        <c:crossBetween val="between"/>
      </c:valAx>
      <c:dTable>
        <c:showHorzBorder val="1"/>
        <c:showVertBorder val="1"/>
        <c:showOutline val="1"/>
        <c:showKeys val="1"/>
      </c:dTable>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36</xdr:col>
      <xdr:colOff>606199</xdr:colOff>
      <xdr:row>1030</xdr:row>
      <xdr:rowOff>46603</xdr:rowOff>
    </xdr:from>
    <xdr:to>
      <xdr:col>51</xdr:col>
      <xdr:colOff>449035</xdr:colOff>
      <xdr:row>1064</xdr:row>
      <xdr:rowOff>51026</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36</xdr:col>
      <xdr:colOff>606199</xdr:colOff>
      <xdr:row>1056</xdr:row>
      <xdr:rowOff>46603</xdr:rowOff>
    </xdr:from>
    <xdr:to>
      <xdr:col>51</xdr:col>
      <xdr:colOff>449035</xdr:colOff>
      <xdr:row>1090</xdr:row>
      <xdr:rowOff>51026</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36</xdr:col>
      <xdr:colOff>606199</xdr:colOff>
      <xdr:row>1068</xdr:row>
      <xdr:rowOff>46603</xdr:rowOff>
    </xdr:from>
    <xdr:to>
      <xdr:col>51</xdr:col>
      <xdr:colOff>449035</xdr:colOff>
      <xdr:row>1102</xdr:row>
      <xdr:rowOff>51026</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36</xdr:col>
      <xdr:colOff>606199</xdr:colOff>
      <xdr:row>1110</xdr:row>
      <xdr:rowOff>46603</xdr:rowOff>
    </xdr:from>
    <xdr:to>
      <xdr:col>51</xdr:col>
      <xdr:colOff>449035</xdr:colOff>
      <xdr:row>1144</xdr:row>
      <xdr:rowOff>51026</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606199</xdr:colOff>
      <xdr:row>1097</xdr:row>
      <xdr:rowOff>46603</xdr:rowOff>
    </xdr:from>
    <xdr:to>
      <xdr:col>51</xdr:col>
      <xdr:colOff>449035</xdr:colOff>
      <xdr:row>1131</xdr:row>
      <xdr:rowOff>51026</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36</xdr:col>
      <xdr:colOff>606199</xdr:colOff>
      <xdr:row>1105</xdr:row>
      <xdr:rowOff>46603</xdr:rowOff>
    </xdr:from>
    <xdr:to>
      <xdr:col>51</xdr:col>
      <xdr:colOff>449035</xdr:colOff>
      <xdr:row>1139</xdr:row>
      <xdr:rowOff>51026</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606199</xdr:colOff>
      <xdr:row>1092</xdr:row>
      <xdr:rowOff>46603</xdr:rowOff>
    </xdr:from>
    <xdr:to>
      <xdr:col>51</xdr:col>
      <xdr:colOff>449035</xdr:colOff>
      <xdr:row>1126</xdr:row>
      <xdr:rowOff>51026</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27</xdr:col>
      <xdr:colOff>11906</xdr:colOff>
      <xdr:row>35</xdr:row>
      <xdr:rowOff>9525</xdr:rowOff>
    </xdr:from>
    <xdr:to>
      <xdr:col>40</xdr:col>
      <xdr:colOff>714376</xdr:colOff>
      <xdr:row>71</xdr:row>
      <xdr:rowOff>107156</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601133</xdr:colOff>
      <xdr:row>57</xdr:row>
      <xdr:rowOff>145257</xdr:rowOff>
    </xdr:from>
    <xdr:to>
      <xdr:col>19</xdr:col>
      <xdr:colOff>229658</xdr:colOff>
      <xdr:row>98</xdr:row>
      <xdr:rowOff>185738</xdr:rowOff>
    </xdr:to>
    <xdr:graphicFrame macro="">
      <xdr:nvGraphicFramePr>
        <xdr:cNvPr id="43390" name="Chart 3073">
          <a:extLst>
            <a:ext uri="{FF2B5EF4-FFF2-40B4-BE49-F238E27FC236}">
              <a16:creationId xmlns:a16="http://schemas.microsoft.com/office/drawing/2014/main" id="{00000000-0008-0000-0600-00007E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495300</xdr:colOff>
          <xdr:row>1</xdr:row>
          <xdr:rowOff>190500</xdr:rowOff>
        </xdr:from>
        <xdr:to>
          <xdr:col>6</xdr:col>
          <xdr:colOff>754380</xdr:colOff>
          <xdr:row>4</xdr:row>
          <xdr:rowOff>60960</xdr:rowOff>
        </xdr:to>
        <xdr:sp macro="" textlink="">
          <xdr:nvSpPr>
            <xdr:cNvPr id="43010" name="CommandButton1" hidden="1">
              <a:extLst>
                <a:ext uri="{63B3BB69-23CF-44E3-9099-C40C66FF867C}">
                  <a14:compatExt spid="_x0000_s43010"/>
                </a:ext>
                <a:ext uri="{FF2B5EF4-FFF2-40B4-BE49-F238E27FC236}">
                  <a16:creationId xmlns:a16="http://schemas.microsoft.com/office/drawing/2014/main" id="{00000000-0008-0000-06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595313</xdr:colOff>
      <xdr:row>100</xdr:row>
      <xdr:rowOff>23813</xdr:rowOff>
    </xdr:from>
    <xdr:to>
      <xdr:col>19</xdr:col>
      <xdr:colOff>223838</xdr:colOff>
      <xdr:row>141</xdr:row>
      <xdr:rowOff>64293</xdr:rowOff>
    </xdr:to>
    <xdr:graphicFrame macro="">
      <xdr:nvGraphicFramePr>
        <xdr:cNvPr id="4" name="Chart 307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0.26923</cdr:x>
      <cdr:y>0.00981</cdr:y>
    </cdr:from>
    <cdr:to>
      <cdr:x>0.26923</cdr:x>
      <cdr:y>0.00981</cdr:y>
    </cdr:to>
    <cdr:sp macro="" textlink="">
      <cdr:nvSpPr>
        <cdr:cNvPr id="44033" name="Text Box 2049"/>
        <cdr:cNvSpPr txBox="1">
          <a:spLocks xmlns:a="http://schemas.openxmlformats.org/drawingml/2006/main" noChangeArrowheads="1"/>
        </cdr:cNvSpPr>
      </cdr:nvSpPr>
      <cdr:spPr bwMode="auto">
        <a:xfrm xmlns:a="http://schemas.openxmlformats.org/drawingml/2006/main">
          <a:off x="3761885" y="8604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54864" tIns="41148" rIns="0" bIns="41148" anchor="ctr" upright="1"/>
        <a:lstStyle xmlns:a="http://schemas.openxmlformats.org/drawingml/2006/main"/>
        <a:p xmlns:a="http://schemas.openxmlformats.org/drawingml/2006/main">
          <a:pPr algn="l" rtl="0">
            <a:defRPr sz="1000"/>
          </a:pPr>
          <a:r>
            <a:rPr lang="en-US" sz="1650" b="0" i="0" u="none" strike="noStrike" baseline="0">
              <a:solidFill>
                <a:srgbClr val="000000"/>
              </a:solidFill>
              <a:latin typeface="Arial"/>
              <a:cs typeface="Arial"/>
            </a:rPr>
            <a:t>Operating Forecast Update  -  October 2, 2000</a:t>
          </a:r>
        </a:p>
        <a:p xmlns:a="http://schemas.openxmlformats.org/drawingml/2006/main">
          <a:pPr algn="l" rtl="0">
            <a:defRPr sz="1000"/>
          </a:pPr>
          <a:endParaRPr lang="en-US" sz="1650" b="0" i="0" u="none" strike="noStrike" baseline="0">
            <a:solidFill>
              <a:srgbClr val="000000"/>
            </a:solidFill>
            <a:latin typeface="Arial"/>
            <a:cs typeface="Arial"/>
          </a:endParaRPr>
        </a:p>
      </cdr:txBody>
    </cdr:sp>
  </cdr:relSizeAnchor>
  <cdr:relSizeAnchor xmlns:cdr="http://schemas.openxmlformats.org/drawingml/2006/chartDrawing">
    <cdr:from>
      <cdr:x>0.04918</cdr:x>
      <cdr:y>0.71791</cdr:y>
    </cdr:from>
    <cdr:to>
      <cdr:x>0.04918</cdr:x>
      <cdr:y>0.71791</cdr:y>
    </cdr:to>
    <cdr:sp macro="" textlink="">
      <cdr:nvSpPr>
        <cdr:cNvPr id="44034" name="Text Box 2050"/>
        <cdr:cNvSpPr txBox="1">
          <a:spLocks xmlns:a="http://schemas.openxmlformats.org/drawingml/2006/main" noChangeArrowheads="1"/>
        </cdr:cNvSpPr>
      </cdr:nvSpPr>
      <cdr:spPr bwMode="auto">
        <a:xfrm xmlns:a="http://schemas.openxmlformats.org/drawingml/2006/main">
          <a:off x="963948"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2  0  0  0</a:t>
          </a:r>
        </a:p>
      </cdr:txBody>
    </cdr:sp>
  </cdr:relSizeAnchor>
  <cdr:relSizeAnchor xmlns:cdr="http://schemas.openxmlformats.org/drawingml/2006/chartDrawing">
    <cdr:from>
      <cdr:x>0.36947</cdr:x>
      <cdr:y>0.71791</cdr:y>
    </cdr:from>
    <cdr:to>
      <cdr:x>0.36947</cdr:x>
      <cdr:y>0.71791</cdr:y>
    </cdr:to>
    <cdr:sp macro="" textlink="">
      <cdr:nvSpPr>
        <cdr:cNvPr id="44035" name="Text Box 2051"/>
        <cdr:cNvSpPr txBox="1">
          <a:spLocks xmlns:a="http://schemas.openxmlformats.org/drawingml/2006/main" noChangeArrowheads="1"/>
        </cdr:cNvSpPr>
      </cdr:nvSpPr>
      <cdr:spPr bwMode="auto">
        <a:xfrm xmlns:a="http://schemas.openxmlformats.org/drawingml/2006/main">
          <a:off x="5055241"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2  0  0  1</a:t>
          </a:r>
        </a:p>
      </cdr:txBody>
    </cdr:sp>
  </cdr:relSizeAnchor>
  <cdr:relSizeAnchor xmlns:cdr="http://schemas.openxmlformats.org/drawingml/2006/chartDrawing">
    <cdr:from>
      <cdr:x>0.73447</cdr:x>
      <cdr:y>0.71865</cdr:y>
    </cdr:from>
    <cdr:to>
      <cdr:x>0.73447</cdr:x>
      <cdr:y>0.71865</cdr:y>
    </cdr:to>
    <cdr:sp macro="" textlink="">
      <cdr:nvSpPr>
        <cdr:cNvPr id="44036" name="Text Box 2052"/>
        <cdr:cNvSpPr txBox="1">
          <a:spLocks xmlns:a="http://schemas.openxmlformats.org/drawingml/2006/main" noChangeArrowheads="1"/>
        </cdr:cNvSpPr>
      </cdr:nvSpPr>
      <cdr:spPr bwMode="auto">
        <a:xfrm xmlns:a="http://schemas.openxmlformats.org/drawingml/2006/main">
          <a:off x="9614482"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2  0  0  2</a:t>
          </a:r>
        </a:p>
      </cdr:txBody>
    </cdr:sp>
  </cdr:relSizeAnchor>
  <cdr:relSizeAnchor xmlns:cdr="http://schemas.openxmlformats.org/drawingml/2006/chartDrawing">
    <cdr:from>
      <cdr:x>0.23596</cdr:x>
      <cdr:y>0.30247</cdr:y>
    </cdr:from>
    <cdr:to>
      <cdr:x>0.23596</cdr:x>
      <cdr:y>0.30247</cdr:y>
    </cdr:to>
    <cdr:sp macro="" textlink="">
      <cdr:nvSpPr>
        <cdr:cNvPr id="44037" name="Text Box 2053"/>
        <cdr:cNvSpPr txBox="1">
          <a:spLocks xmlns:a="http://schemas.openxmlformats.org/drawingml/2006/main" noChangeArrowheads="1"/>
        </cdr:cNvSpPr>
      </cdr:nvSpPr>
      <cdr:spPr bwMode="auto">
        <a:xfrm xmlns:a="http://schemas.openxmlformats.org/drawingml/2006/main">
          <a:off x="3329684" y="23645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800" b="0" i="0" u="none" strike="noStrike" baseline="0">
              <a:solidFill>
                <a:srgbClr val="000000"/>
              </a:solidFill>
              <a:latin typeface="Arial"/>
              <a:cs typeface="Arial"/>
            </a:rPr>
            <a:t>Top of Old Dam and Marina Operations Impacts</a:t>
          </a:r>
        </a:p>
      </cdr:txBody>
    </cdr:sp>
  </cdr:relSizeAnchor>
  <cdr:relSizeAnchor xmlns:cdr="http://schemas.openxmlformats.org/drawingml/2006/chartDrawing">
    <cdr:from>
      <cdr:x>0.02112</cdr:x>
      <cdr:y>0.96608</cdr:y>
    </cdr:from>
    <cdr:to>
      <cdr:x>0.1802</cdr:x>
      <cdr:y>0.98903</cdr:y>
    </cdr:to>
    <cdr:sp macro="" textlink="">
      <cdr:nvSpPr>
        <cdr:cNvPr id="44038" name="Text Box 2054"/>
        <cdr:cNvSpPr txBox="1">
          <a:spLocks xmlns:a="http://schemas.openxmlformats.org/drawingml/2006/main" noChangeArrowheads="1"/>
        </cdr:cNvSpPr>
      </cdr:nvSpPr>
      <cdr:spPr bwMode="auto">
        <a:xfrm xmlns:a="http://schemas.openxmlformats.org/drawingml/2006/main">
          <a:off x="392012" y="7970524"/>
          <a:ext cx="2258498" cy="30269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200" b="0" i="0" u="none" strike="noStrike" baseline="0">
              <a:solidFill>
                <a:srgbClr val="000000"/>
              </a:solidFill>
              <a:latin typeface="Arial"/>
              <a:cs typeface="Arial"/>
            </a:rPr>
            <a:t>Note:   End of month values</a:t>
          </a:r>
        </a:p>
      </cdr:txBody>
    </cdr:sp>
  </cdr:relSizeAnchor>
  <cdr:relSizeAnchor xmlns:cdr="http://schemas.openxmlformats.org/drawingml/2006/chartDrawing">
    <cdr:from>
      <cdr:x>0.26923</cdr:x>
      <cdr:y>0.00981</cdr:y>
    </cdr:from>
    <cdr:to>
      <cdr:x>0.26923</cdr:x>
      <cdr:y>0.00981</cdr:y>
    </cdr:to>
    <cdr:sp macro="" textlink="">
      <cdr:nvSpPr>
        <cdr:cNvPr id="2" name="Text Box 2049"/>
        <cdr:cNvSpPr txBox="1">
          <a:spLocks xmlns:a="http://schemas.openxmlformats.org/drawingml/2006/main" noChangeArrowheads="1"/>
        </cdr:cNvSpPr>
      </cdr:nvSpPr>
      <cdr:spPr bwMode="auto">
        <a:xfrm xmlns:a="http://schemas.openxmlformats.org/drawingml/2006/main">
          <a:off x="3761885" y="8604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54864" tIns="41148" rIns="0" bIns="41148" anchor="ctr" upright="1"/>
        <a:lstStyle xmlns:a="http://schemas.openxmlformats.org/drawingml/2006/main"/>
        <a:p xmlns:a="http://schemas.openxmlformats.org/drawingml/2006/main">
          <a:pPr algn="l" rtl="0">
            <a:defRPr sz="1000"/>
          </a:pPr>
          <a:r>
            <a:rPr lang="en-US" sz="1650" b="0" i="0" u="none" strike="noStrike" baseline="0">
              <a:solidFill>
                <a:srgbClr val="000000"/>
              </a:solidFill>
              <a:latin typeface="Arial"/>
              <a:cs typeface="Arial"/>
            </a:rPr>
            <a:t>Operating Forecast Update  -  October 2, 2000</a:t>
          </a:r>
        </a:p>
        <a:p xmlns:a="http://schemas.openxmlformats.org/drawingml/2006/main">
          <a:pPr algn="l" rtl="0">
            <a:defRPr sz="1000"/>
          </a:pPr>
          <a:endParaRPr lang="en-US" sz="1650" b="0" i="0" u="none" strike="noStrike" baseline="0">
            <a:solidFill>
              <a:srgbClr val="000000"/>
            </a:solidFill>
            <a:latin typeface="Arial"/>
            <a:cs typeface="Arial"/>
          </a:endParaRPr>
        </a:p>
      </cdr:txBody>
    </cdr:sp>
  </cdr:relSizeAnchor>
  <cdr:relSizeAnchor xmlns:cdr="http://schemas.openxmlformats.org/drawingml/2006/chartDrawing">
    <cdr:from>
      <cdr:x>0.04918</cdr:x>
      <cdr:y>0.71791</cdr:y>
    </cdr:from>
    <cdr:to>
      <cdr:x>0.04918</cdr:x>
      <cdr:y>0.71791</cdr:y>
    </cdr:to>
    <cdr:sp macro="" textlink="">
      <cdr:nvSpPr>
        <cdr:cNvPr id="3" name="Text Box 2050"/>
        <cdr:cNvSpPr txBox="1">
          <a:spLocks xmlns:a="http://schemas.openxmlformats.org/drawingml/2006/main" noChangeArrowheads="1"/>
        </cdr:cNvSpPr>
      </cdr:nvSpPr>
      <cdr:spPr bwMode="auto">
        <a:xfrm xmlns:a="http://schemas.openxmlformats.org/drawingml/2006/main">
          <a:off x="963948"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2  0  0  0</a:t>
          </a:r>
        </a:p>
      </cdr:txBody>
    </cdr:sp>
  </cdr:relSizeAnchor>
  <cdr:relSizeAnchor xmlns:cdr="http://schemas.openxmlformats.org/drawingml/2006/chartDrawing">
    <cdr:from>
      <cdr:x>0.36947</cdr:x>
      <cdr:y>0.71791</cdr:y>
    </cdr:from>
    <cdr:to>
      <cdr:x>0.36947</cdr:x>
      <cdr:y>0.71791</cdr:y>
    </cdr:to>
    <cdr:sp macro="" textlink="">
      <cdr:nvSpPr>
        <cdr:cNvPr id="4" name="Text Box 2051"/>
        <cdr:cNvSpPr txBox="1">
          <a:spLocks xmlns:a="http://schemas.openxmlformats.org/drawingml/2006/main" noChangeArrowheads="1"/>
        </cdr:cNvSpPr>
      </cdr:nvSpPr>
      <cdr:spPr bwMode="auto">
        <a:xfrm xmlns:a="http://schemas.openxmlformats.org/drawingml/2006/main">
          <a:off x="5055241"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2  0  0  1</a:t>
          </a:r>
        </a:p>
      </cdr:txBody>
    </cdr:sp>
  </cdr:relSizeAnchor>
  <cdr:relSizeAnchor xmlns:cdr="http://schemas.openxmlformats.org/drawingml/2006/chartDrawing">
    <cdr:from>
      <cdr:x>0.73447</cdr:x>
      <cdr:y>0.71865</cdr:y>
    </cdr:from>
    <cdr:to>
      <cdr:x>0.73447</cdr:x>
      <cdr:y>0.71865</cdr:y>
    </cdr:to>
    <cdr:sp macro="" textlink="">
      <cdr:nvSpPr>
        <cdr:cNvPr id="5" name="Text Box 2052"/>
        <cdr:cNvSpPr txBox="1">
          <a:spLocks xmlns:a="http://schemas.openxmlformats.org/drawingml/2006/main" noChangeArrowheads="1"/>
        </cdr:cNvSpPr>
      </cdr:nvSpPr>
      <cdr:spPr bwMode="auto">
        <a:xfrm xmlns:a="http://schemas.openxmlformats.org/drawingml/2006/main">
          <a:off x="9614482"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2  0  0  2</a:t>
          </a:r>
        </a:p>
      </cdr:txBody>
    </cdr:sp>
  </cdr:relSizeAnchor>
  <cdr:relSizeAnchor xmlns:cdr="http://schemas.openxmlformats.org/drawingml/2006/chartDrawing">
    <cdr:from>
      <cdr:x>0.23596</cdr:x>
      <cdr:y>0.30247</cdr:y>
    </cdr:from>
    <cdr:to>
      <cdr:x>0.23596</cdr:x>
      <cdr:y>0.30247</cdr:y>
    </cdr:to>
    <cdr:sp macro="" textlink="">
      <cdr:nvSpPr>
        <cdr:cNvPr id="6" name="Text Box 2053"/>
        <cdr:cNvSpPr txBox="1">
          <a:spLocks xmlns:a="http://schemas.openxmlformats.org/drawingml/2006/main" noChangeArrowheads="1"/>
        </cdr:cNvSpPr>
      </cdr:nvSpPr>
      <cdr:spPr bwMode="auto">
        <a:xfrm xmlns:a="http://schemas.openxmlformats.org/drawingml/2006/main">
          <a:off x="3329684" y="23645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800" b="0" i="0" u="none" strike="noStrike" baseline="0">
              <a:solidFill>
                <a:srgbClr val="000000"/>
              </a:solidFill>
              <a:latin typeface="Arial"/>
              <a:cs typeface="Arial"/>
            </a:rPr>
            <a:t>Top of Old Dam and Marina Operations Impacts</a:t>
          </a:r>
        </a:p>
      </cdr:txBody>
    </cdr:sp>
  </cdr:relSizeAnchor>
</c:userShapes>
</file>

<file path=xl/drawings/drawing9.xml><?xml version="1.0" encoding="utf-8"?>
<c:userShapes xmlns:c="http://schemas.openxmlformats.org/drawingml/2006/chart">
  <cdr:relSizeAnchor xmlns:cdr="http://schemas.openxmlformats.org/drawingml/2006/chartDrawing">
    <cdr:from>
      <cdr:x>0.26923</cdr:x>
      <cdr:y>0.00981</cdr:y>
    </cdr:from>
    <cdr:to>
      <cdr:x>0.26923</cdr:x>
      <cdr:y>0.00981</cdr:y>
    </cdr:to>
    <cdr:sp macro="" textlink="">
      <cdr:nvSpPr>
        <cdr:cNvPr id="44033" name="Text Box 2049"/>
        <cdr:cNvSpPr txBox="1">
          <a:spLocks xmlns:a="http://schemas.openxmlformats.org/drawingml/2006/main" noChangeArrowheads="1"/>
        </cdr:cNvSpPr>
      </cdr:nvSpPr>
      <cdr:spPr bwMode="auto">
        <a:xfrm xmlns:a="http://schemas.openxmlformats.org/drawingml/2006/main">
          <a:off x="3761885" y="8604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54864" tIns="41148" rIns="0" bIns="41148" anchor="ctr" upright="1"/>
        <a:lstStyle xmlns:a="http://schemas.openxmlformats.org/drawingml/2006/main"/>
        <a:p xmlns:a="http://schemas.openxmlformats.org/drawingml/2006/main">
          <a:pPr algn="l" rtl="0">
            <a:defRPr sz="1000"/>
          </a:pPr>
          <a:r>
            <a:rPr lang="en-US" sz="1650" b="0" i="0" u="none" strike="noStrike" baseline="0">
              <a:solidFill>
                <a:srgbClr val="000000"/>
              </a:solidFill>
              <a:latin typeface="Arial"/>
              <a:cs typeface="Arial"/>
            </a:rPr>
            <a:t>Operating Forecast Update  -  October 2, 2000</a:t>
          </a:r>
        </a:p>
        <a:p xmlns:a="http://schemas.openxmlformats.org/drawingml/2006/main">
          <a:pPr algn="l" rtl="0">
            <a:defRPr sz="1000"/>
          </a:pPr>
          <a:endParaRPr lang="en-US" sz="1650" b="0" i="0" u="none" strike="noStrike" baseline="0">
            <a:solidFill>
              <a:srgbClr val="000000"/>
            </a:solidFill>
            <a:latin typeface="Arial"/>
            <a:cs typeface="Arial"/>
          </a:endParaRPr>
        </a:p>
      </cdr:txBody>
    </cdr:sp>
  </cdr:relSizeAnchor>
  <cdr:relSizeAnchor xmlns:cdr="http://schemas.openxmlformats.org/drawingml/2006/chartDrawing">
    <cdr:from>
      <cdr:x>0.04918</cdr:x>
      <cdr:y>0.71791</cdr:y>
    </cdr:from>
    <cdr:to>
      <cdr:x>0.04918</cdr:x>
      <cdr:y>0.71791</cdr:y>
    </cdr:to>
    <cdr:sp macro="" textlink="">
      <cdr:nvSpPr>
        <cdr:cNvPr id="44034" name="Text Box 2050"/>
        <cdr:cNvSpPr txBox="1">
          <a:spLocks xmlns:a="http://schemas.openxmlformats.org/drawingml/2006/main" noChangeArrowheads="1"/>
        </cdr:cNvSpPr>
      </cdr:nvSpPr>
      <cdr:spPr bwMode="auto">
        <a:xfrm xmlns:a="http://schemas.openxmlformats.org/drawingml/2006/main">
          <a:off x="963948"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2  0  0  0</a:t>
          </a:r>
        </a:p>
      </cdr:txBody>
    </cdr:sp>
  </cdr:relSizeAnchor>
  <cdr:relSizeAnchor xmlns:cdr="http://schemas.openxmlformats.org/drawingml/2006/chartDrawing">
    <cdr:from>
      <cdr:x>0.36947</cdr:x>
      <cdr:y>0.71791</cdr:y>
    </cdr:from>
    <cdr:to>
      <cdr:x>0.36947</cdr:x>
      <cdr:y>0.71791</cdr:y>
    </cdr:to>
    <cdr:sp macro="" textlink="">
      <cdr:nvSpPr>
        <cdr:cNvPr id="44035" name="Text Box 2051"/>
        <cdr:cNvSpPr txBox="1">
          <a:spLocks xmlns:a="http://schemas.openxmlformats.org/drawingml/2006/main" noChangeArrowheads="1"/>
        </cdr:cNvSpPr>
      </cdr:nvSpPr>
      <cdr:spPr bwMode="auto">
        <a:xfrm xmlns:a="http://schemas.openxmlformats.org/drawingml/2006/main">
          <a:off x="5055241"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2  0  0  1</a:t>
          </a:r>
        </a:p>
      </cdr:txBody>
    </cdr:sp>
  </cdr:relSizeAnchor>
  <cdr:relSizeAnchor xmlns:cdr="http://schemas.openxmlformats.org/drawingml/2006/chartDrawing">
    <cdr:from>
      <cdr:x>0.73447</cdr:x>
      <cdr:y>0.71865</cdr:y>
    </cdr:from>
    <cdr:to>
      <cdr:x>0.73447</cdr:x>
      <cdr:y>0.71865</cdr:y>
    </cdr:to>
    <cdr:sp macro="" textlink="">
      <cdr:nvSpPr>
        <cdr:cNvPr id="44036" name="Text Box 2052"/>
        <cdr:cNvSpPr txBox="1">
          <a:spLocks xmlns:a="http://schemas.openxmlformats.org/drawingml/2006/main" noChangeArrowheads="1"/>
        </cdr:cNvSpPr>
      </cdr:nvSpPr>
      <cdr:spPr bwMode="auto">
        <a:xfrm xmlns:a="http://schemas.openxmlformats.org/drawingml/2006/main">
          <a:off x="9614482"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2  0  0  2</a:t>
          </a:r>
        </a:p>
      </cdr:txBody>
    </cdr:sp>
  </cdr:relSizeAnchor>
  <cdr:relSizeAnchor xmlns:cdr="http://schemas.openxmlformats.org/drawingml/2006/chartDrawing">
    <cdr:from>
      <cdr:x>0.23596</cdr:x>
      <cdr:y>0.30247</cdr:y>
    </cdr:from>
    <cdr:to>
      <cdr:x>0.23596</cdr:x>
      <cdr:y>0.30247</cdr:y>
    </cdr:to>
    <cdr:sp macro="" textlink="">
      <cdr:nvSpPr>
        <cdr:cNvPr id="44037" name="Text Box 2053"/>
        <cdr:cNvSpPr txBox="1">
          <a:spLocks xmlns:a="http://schemas.openxmlformats.org/drawingml/2006/main" noChangeArrowheads="1"/>
        </cdr:cNvSpPr>
      </cdr:nvSpPr>
      <cdr:spPr bwMode="auto">
        <a:xfrm xmlns:a="http://schemas.openxmlformats.org/drawingml/2006/main">
          <a:off x="3329684" y="23645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800" b="0" i="0" u="none" strike="noStrike" baseline="0">
              <a:solidFill>
                <a:srgbClr val="000000"/>
              </a:solidFill>
              <a:latin typeface="Arial"/>
              <a:cs typeface="Arial"/>
            </a:rPr>
            <a:t>Top of Old Dam and Marina Operations Impacts</a:t>
          </a:r>
        </a:p>
      </cdr:txBody>
    </cdr:sp>
  </cdr:relSizeAnchor>
  <cdr:relSizeAnchor xmlns:cdr="http://schemas.openxmlformats.org/drawingml/2006/chartDrawing">
    <cdr:from>
      <cdr:x>0.02112</cdr:x>
      <cdr:y>0.96608</cdr:y>
    </cdr:from>
    <cdr:to>
      <cdr:x>0.1802</cdr:x>
      <cdr:y>0.98903</cdr:y>
    </cdr:to>
    <cdr:sp macro="" textlink="">
      <cdr:nvSpPr>
        <cdr:cNvPr id="44038" name="Text Box 2054"/>
        <cdr:cNvSpPr txBox="1">
          <a:spLocks xmlns:a="http://schemas.openxmlformats.org/drawingml/2006/main" noChangeArrowheads="1"/>
        </cdr:cNvSpPr>
      </cdr:nvSpPr>
      <cdr:spPr bwMode="auto">
        <a:xfrm xmlns:a="http://schemas.openxmlformats.org/drawingml/2006/main">
          <a:off x="392012" y="7970524"/>
          <a:ext cx="2258498" cy="30269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36576" tIns="27432" rIns="0" bIns="0" anchor="t" upright="1"/>
        <a:lstStyle xmlns:a="http://schemas.openxmlformats.org/drawingml/2006/main"/>
        <a:p xmlns:a="http://schemas.openxmlformats.org/drawingml/2006/main">
          <a:pPr algn="l" rtl="0">
            <a:defRPr sz="1000"/>
          </a:pPr>
          <a:r>
            <a:rPr lang="en-US" sz="1200" b="0" i="0" u="none" strike="noStrike" baseline="0">
              <a:solidFill>
                <a:srgbClr val="000000"/>
              </a:solidFill>
              <a:latin typeface="Arial"/>
              <a:cs typeface="Arial"/>
            </a:rPr>
            <a:t>Note:   End of month values</a:t>
          </a:r>
        </a:p>
      </cdr:txBody>
    </cdr:sp>
  </cdr:relSizeAnchor>
  <cdr:relSizeAnchor xmlns:cdr="http://schemas.openxmlformats.org/drawingml/2006/chartDrawing">
    <cdr:from>
      <cdr:x>0.26923</cdr:x>
      <cdr:y>0.00981</cdr:y>
    </cdr:from>
    <cdr:to>
      <cdr:x>0.26923</cdr:x>
      <cdr:y>0.00981</cdr:y>
    </cdr:to>
    <cdr:sp macro="" textlink="">
      <cdr:nvSpPr>
        <cdr:cNvPr id="2" name="Text Box 2049"/>
        <cdr:cNvSpPr txBox="1">
          <a:spLocks xmlns:a="http://schemas.openxmlformats.org/drawingml/2006/main" noChangeArrowheads="1"/>
        </cdr:cNvSpPr>
      </cdr:nvSpPr>
      <cdr:spPr bwMode="auto">
        <a:xfrm xmlns:a="http://schemas.openxmlformats.org/drawingml/2006/main">
          <a:off x="3761885" y="86045"/>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54864" tIns="41148" rIns="0" bIns="41148" anchor="ctr" upright="1"/>
        <a:lstStyle xmlns:a="http://schemas.openxmlformats.org/drawingml/2006/main"/>
        <a:p xmlns:a="http://schemas.openxmlformats.org/drawingml/2006/main">
          <a:pPr algn="l" rtl="0">
            <a:defRPr sz="1000"/>
          </a:pPr>
          <a:r>
            <a:rPr lang="en-US" sz="1650" b="0" i="0" u="none" strike="noStrike" baseline="0">
              <a:solidFill>
                <a:srgbClr val="000000"/>
              </a:solidFill>
              <a:latin typeface="Arial"/>
              <a:cs typeface="Arial"/>
            </a:rPr>
            <a:t>Operating Forecast Update  -  October 2, 2000</a:t>
          </a:r>
        </a:p>
        <a:p xmlns:a="http://schemas.openxmlformats.org/drawingml/2006/main">
          <a:pPr algn="l" rtl="0">
            <a:defRPr sz="1000"/>
          </a:pPr>
          <a:endParaRPr lang="en-US" sz="1650" b="0" i="0" u="none" strike="noStrike" baseline="0">
            <a:solidFill>
              <a:srgbClr val="000000"/>
            </a:solidFill>
            <a:latin typeface="Arial"/>
            <a:cs typeface="Arial"/>
          </a:endParaRPr>
        </a:p>
      </cdr:txBody>
    </cdr:sp>
  </cdr:relSizeAnchor>
  <cdr:relSizeAnchor xmlns:cdr="http://schemas.openxmlformats.org/drawingml/2006/chartDrawing">
    <cdr:from>
      <cdr:x>0.04918</cdr:x>
      <cdr:y>0.71791</cdr:y>
    </cdr:from>
    <cdr:to>
      <cdr:x>0.04918</cdr:x>
      <cdr:y>0.71791</cdr:y>
    </cdr:to>
    <cdr:sp macro="" textlink="">
      <cdr:nvSpPr>
        <cdr:cNvPr id="3" name="Text Box 2050"/>
        <cdr:cNvSpPr txBox="1">
          <a:spLocks xmlns:a="http://schemas.openxmlformats.org/drawingml/2006/main" noChangeArrowheads="1"/>
        </cdr:cNvSpPr>
      </cdr:nvSpPr>
      <cdr:spPr bwMode="auto">
        <a:xfrm xmlns:a="http://schemas.openxmlformats.org/drawingml/2006/main">
          <a:off x="963948"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2  0  0  0</a:t>
          </a:r>
        </a:p>
      </cdr:txBody>
    </cdr:sp>
  </cdr:relSizeAnchor>
  <cdr:relSizeAnchor xmlns:cdr="http://schemas.openxmlformats.org/drawingml/2006/chartDrawing">
    <cdr:from>
      <cdr:x>0.36947</cdr:x>
      <cdr:y>0.71791</cdr:y>
    </cdr:from>
    <cdr:to>
      <cdr:x>0.36947</cdr:x>
      <cdr:y>0.71791</cdr:y>
    </cdr:to>
    <cdr:sp macro="" textlink="">
      <cdr:nvSpPr>
        <cdr:cNvPr id="4" name="Text Box 2051"/>
        <cdr:cNvSpPr txBox="1">
          <a:spLocks xmlns:a="http://schemas.openxmlformats.org/drawingml/2006/main" noChangeArrowheads="1"/>
        </cdr:cNvSpPr>
      </cdr:nvSpPr>
      <cdr:spPr bwMode="auto">
        <a:xfrm xmlns:a="http://schemas.openxmlformats.org/drawingml/2006/main">
          <a:off x="5055241"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2  0  0  1</a:t>
          </a:r>
        </a:p>
      </cdr:txBody>
    </cdr:sp>
  </cdr:relSizeAnchor>
  <cdr:relSizeAnchor xmlns:cdr="http://schemas.openxmlformats.org/drawingml/2006/chartDrawing">
    <cdr:from>
      <cdr:x>0.73447</cdr:x>
      <cdr:y>0.71865</cdr:y>
    </cdr:from>
    <cdr:to>
      <cdr:x>0.73447</cdr:x>
      <cdr:y>0.71865</cdr:y>
    </cdr:to>
    <cdr:sp macro="" textlink="">
      <cdr:nvSpPr>
        <cdr:cNvPr id="5" name="Text Box 2052"/>
        <cdr:cNvSpPr txBox="1">
          <a:spLocks xmlns:a="http://schemas.openxmlformats.org/drawingml/2006/main" noChangeArrowheads="1"/>
        </cdr:cNvSpPr>
      </cdr:nvSpPr>
      <cdr:spPr bwMode="auto">
        <a:xfrm xmlns:a="http://schemas.openxmlformats.org/drawingml/2006/main">
          <a:off x="9614482" y="56091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6576" rIns="0" bIns="0" anchor="t" upright="1"/>
        <a:lstStyle xmlns:a="http://schemas.openxmlformats.org/drawingml/2006/main"/>
        <a:p xmlns:a="http://schemas.openxmlformats.org/drawingml/2006/main">
          <a:pPr algn="l" rtl="0">
            <a:defRPr sz="1000"/>
          </a:pPr>
          <a:r>
            <a:rPr lang="en-US" sz="1450" b="0" i="0" u="none" strike="noStrike" baseline="0">
              <a:solidFill>
                <a:srgbClr val="000000"/>
              </a:solidFill>
              <a:latin typeface="Arial"/>
              <a:cs typeface="Arial"/>
            </a:rPr>
            <a:t>  2  0  0  2</a:t>
          </a:r>
        </a:p>
      </cdr:txBody>
    </cdr:sp>
  </cdr:relSizeAnchor>
  <cdr:relSizeAnchor xmlns:cdr="http://schemas.openxmlformats.org/drawingml/2006/chartDrawing">
    <cdr:from>
      <cdr:x>0.23596</cdr:x>
      <cdr:y>0.30247</cdr:y>
    </cdr:from>
    <cdr:to>
      <cdr:x>0.23596</cdr:x>
      <cdr:y>0.30247</cdr:y>
    </cdr:to>
    <cdr:sp macro="" textlink="">
      <cdr:nvSpPr>
        <cdr:cNvPr id="6" name="Text Box 2053"/>
        <cdr:cNvSpPr txBox="1">
          <a:spLocks xmlns:a="http://schemas.openxmlformats.org/drawingml/2006/main" noChangeArrowheads="1"/>
        </cdr:cNvSpPr>
      </cdr:nvSpPr>
      <cdr:spPr bwMode="auto">
        <a:xfrm xmlns:a="http://schemas.openxmlformats.org/drawingml/2006/main">
          <a:off x="3329684" y="2364520"/>
          <a:ext cx="0" cy="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US" sz="800" b="0" i="0" u="none" strike="noStrike" baseline="0">
              <a:solidFill>
                <a:srgbClr val="000000"/>
              </a:solidFill>
              <a:latin typeface="Arial"/>
              <a:cs typeface="Arial"/>
            </a:rPr>
            <a:t>Top of Old Dam and Marina Operations Impacts</a:t>
          </a:r>
        </a:p>
      </cdr:txBody>
    </cdr:sp>
  </cdr:relSizeAnchor>
  <cdr:relSizeAnchor xmlns:cdr="http://schemas.openxmlformats.org/drawingml/2006/chartDrawing">
    <cdr:from>
      <cdr:x>0.71218</cdr:x>
      <cdr:y>0.47297</cdr:y>
    </cdr:from>
    <cdr:to>
      <cdr:x>0.96565</cdr:x>
      <cdr:y>0.84666</cdr:y>
    </cdr:to>
    <cdr:sp macro="" textlink="">
      <cdr:nvSpPr>
        <cdr:cNvPr id="14" name="TextBox 1"/>
        <cdr:cNvSpPr txBox="1"/>
      </cdr:nvSpPr>
      <cdr:spPr>
        <a:xfrm xmlns:a="http://schemas.openxmlformats.org/drawingml/2006/main">
          <a:off x="9266237" y="3944144"/>
          <a:ext cx="3298031" cy="311626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400"/>
            <a:t>1679.4</a:t>
          </a:r>
          <a:r>
            <a:rPr lang="en-US" sz="1400" baseline="0"/>
            <a:t> ft is maximum 2017 end of year elevation allowed assumming Lake Pleasant fill according to minimum Navajo generation requirement of 1,800 cfs less anticipated customer demands</a:t>
          </a:r>
        </a:p>
        <a:p xmlns:a="http://schemas.openxmlformats.org/drawingml/2006/main">
          <a:endParaRPr lang="en-US" sz="1400" baseline="0"/>
        </a:p>
        <a:p xmlns:a="http://schemas.openxmlformats.org/drawingml/2006/main">
          <a:r>
            <a:rPr lang="en-US" sz="1400" baseline="0"/>
            <a:t>Currently projecting 2017 end of year elevation of 1680.4</a:t>
          </a:r>
        </a:p>
        <a:p xmlns:a="http://schemas.openxmlformats.org/drawingml/2006/main">
          <a:r>
            <a:rPr lang="en-US" sz="1400" baseline="0"/>
            <a:t>+8,300 ac-ft above target for Lake Pleasant operations</a:t>
          </a:r>
        </a:p>
        <a:p xmlns:a="http://schemas.openxmlformats.org/drawingml/2006/main">
          <a:r>
            <a:rPr lang="en-US" sz="1400" baseline="0"/>
            <a:t>+40,000 ac-ft of additional Colorado River availability</a:t>
          </a:r>
        </a:p>
        <a:p xmlns:a="http://schemas.openxmlformats.org/drawingml/2006/main">
          <a:r>
            <a:rPr lang="en-US" sz="1400" baseline="0"/>
            <a:t>0 turnback or unused scheduled deliveries</a:t>
          </a:r>
        </a:p>
        <a:p xmlns:a="http://schemas.openxmlformats.org/drawingml/2006/main">
          <a:endParaRPr lang="en-US" sz="1100" baseline="0"/>
        </a:p>
        <a:p xmlns:a="http://schemas.openxmlformats.org/drawingml/2006/main">
          <a:endParaRPr lang="en-US" sz="1100"/>
        </a:p>
      </cdr:txBody>
    </cdr:sp>
  </cdr:relSizeAnchor>
</c:userShapes>
</file>

<file path=xl/drawings/drawing10.xml><?xml version="1.0" encoding="utf-8"?>
<xdr:wsDr xmlns:xdr="http://schemas.openxmlformats.org/drawingml/2006/spreadsheetDrawing" xmlns:a="http://schemas.openxmlformats.org/drawingml/2006/main">
  <xdr:twoCellAnchor>
    <xdr:from>
      <xdr:col>36</xdr:col>
      <xdr:colOff>606199</xdr:colOff>
      <xdr:row>1103</xdr:row>
      <xdr:rowOff>46603</xdr:rowOff>
    </xdr:from>
    <xdr:to>
      <xdr:col>51</xdr:col>
      <xdr:colOff>449035</xdr:colOff>
      <xdr:row>1137</xdr:row>
      <xdr:rowOff>51026</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606199</xdr:colOff>
      <xdr:row>1090</xdr:row>
      <xdr:rowOff>46603</xdr:rowOff>
    </xdr:from>
    <xdr:to>
      <xdr:col>51</xdr:col>
      <xdr:colOff>449035</xdr:colOff>
      <xdr:row>1124</xdr:row>
      <xdr:rowOff>51026</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36</xdr:col>
      <xdr:colOff>606199</xdr:colOff>
      <xdr:row>1097</xdr:row>
      <xdr:rowOff>46603</xdr:rowOff>
    </xdr:from>
    <xdr:to>
      <xdr:col>51</xdr:col>
      <xdr:colOff>449035</xdr:colOff>
      <xdr:row>1131</xdr:row>
      <xdr:rowOff>51026</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606199</xdr:colOff>
      <xdr:row>1084</xdr:row>
      <xdr:rowOff>46603</xdr:rowOff>
    </xdr:from>
    <xdr:to>
      <xdr:col>51</xdr:col>
      <xdr:colOff>449035</xdr:colOff>
      <xdr:row>1118</xdr:row>
      <xdr:rowOff>51026</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28</xdr:col>
      <xdr:colOff>517072</xdr:colOff>
      <xdr:row>14</xdr:row>
      <xdr:rowOff>125184</xdr:rowOff>
    </xdr:from>
    <xdr:to>
      <xdr:col>41</xdr:col>
      <xdr:colOff>612322</xdr:colOff>
      <xdr:row>33</xdr:row>
      <xdr:rowOff>204106</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838200</xdr:colOff>
      <xdr:row>888</xdr:row>
      <xdr:rowOff>9525</xdr:rowOff>
    </xdr:from>
    <xdr:to>
      <xdr:col>13</xdr:col>
      <xdr:colOff>390525</xdr:colOff>
      <xdr:row>890</xdr:row>
      <xdr:rowOff>190500</xdr:rowOff>
    </xdr:to>
    <xdr:sp macro="" textlink="">
      <xdr:nvSpPr>
        <xdr:cNvPr id="122613" name="Line 1">
          <a:extLst>
            <a:ext uri="{FF2B5EF4-FFF2-40B4-BE49-F238E27FC236}">
              <a16:creationId xmlns:a16="http://schemas.microsoft.com/office/drawing/2014/main" id="{00000000-0008-0000-1100-0000F5DE0100}"/>
            </a:ext>
          </a:extLst>
        </xdr:cNvPr>
        <xdr:cNvSpPr>
          <a:spLocks noChangeShapeType="1"/>
        </xdr:cNvSpPr>
      </xdr:nvSpPr>
      <xdr:spPr bwMode="auto">
        <a:xfrm flipV="1">
          <a:off x="12753975" y="177431700"/>
          <a:ext cx="561975" cy="581025"/>
        </a:xfrm>
        <a:prstGeom prst="line">
          <a:avLst/>
        </a:prstGeom>
        <a:noFill/>
        <a:ln w="9525">
          <a:solidFill>
            <a:srgbClr val="000000"/>
          </a:solidFill>
          <a:round/>
          <a:headEnd/>
          <a:tailEnd type="triangle" w="med" len="med"/>
        </a:ln>
      </xdr:spPr>
    </xdr:sp>
    <xdr:clientData/>
  </xdr:twoCellAnchor>
  <xdr:twoCellAnchor>
    <xdr:from>
      <xdr:col>8</xdr:col>
      <xdr:colOff>123825</xdr:colOff>
      <xdr:row>891</xdr:row>
      <xdr:rowOff>104775</xdr:rowOff>
    </xdr:from>
    <xdr:to>
      <xdr:col>12</xdr:col>
      <xdr:colOff>0</xdr:colOff>
      <xdr:row>893</xdr:row>
      <xdr:rowOff>123825</xdr:rowOff>
    </xdr:to>
    <xdr:sp macro="" textlink="">
      <xdr:nvSpPr>
        <xdr:cNvPr id="122614" name="Line 2">
          <a:extLst>
            <a:ext uri="{FF2B5EF4-FFF2-40B4-BE49-F238E27FC236}">
              <a16:creationId xmlns:a16="http://schemas.microsoft.com/office/drawing/2014/main" id="{00000000-0008-0000-1100-0000F6DE0100}"/>
            </a:ext>
          </a:extLst>
        </xdr:cNvPr>
        <xdr:cNvSpPr>
          <a:spLocks noChangeShapeType="1"/>
        </xdr:cNvSpPr>
      </xdr:nvSpPr>
      <xdr:spPr bwMode="auto">
        <a:xfrm flipV="1">
          <a:off x="8534400" y="178127025"/>
          <a:ext cx="3381375" cy="419100"/>
        </a:xfrm>
        <a:prstGeom prst="line">
          <a:avLst/>
        </a:prstGeom>
        <a:noFill/>
        <a:ln w="9525">
          <a:solidFill>
            <a:srgbClr val="000000"/>
          </a:solidFill>
          <a:round/>
          <a:headEnd/>
          <a:tailEnd type="triangle" w="med" len="med"/>
        </a:ln>
      </xdr:spPr>
    </xdr: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305856</xdr:colOff>
      <xdr:row>1</xdr:row>
      <xdr:rowOff>59796</xdr:rowOff>
    </xdr:from>
    <xdr:to>
      <xdr:col>28</xdr:col>
      <xdr:colOff>162981</xdr:colOff>
      <xdr:row>26</xdr:row>
      <xdr:rowOff>102658</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23070</xdr:colOff>
      <xdr:row>6</xdr:row>
      <xdr:rowOff>139487</xdr:rowOff>
    </xdr:from>
    <xdr:to>
      <xdr:col>22</xdr:col>
      <xdr:colOff>555624</xdr:colOff>
      <xdr:row>37</xdr:row>
      <xdr:rowOff>158750</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1.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X1112"/>
  <sheetViews>
    <sheetView topLeftCell="A2" zoomScale="80" zoomScaleNormal="80" workbookViewId="0">
      <pane ySplit="30" topLeftCell="A32" activePane="bottomLeft" state="frozen"/>
      <selection activeCell="A2" sqref="A2"/>
      <selection pane="bottomLeft" activeCell="Q835" sqref="Q835"/>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0" width="10" bestFit="1" customWidth="1"/>
    <col min="11"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2.81640625" customWidth="1"/>
    <col min="20" max="20" width="9.453125" bestFit="1" customWidth="1"/>
    <col min="22" max="22" width="9.90625" customWidth="1"/>
    <col min="23" max="23" width="11.54296875" customWidth="1"/>
    <col min="24" max="24" width="10.54296875" customWidth="1"/>
    <col min="25" max="25" width="11.1796875" customWidth="1"/>
    <col min="26" max="26" width="10.453125" bestFit="1" customWidth="1"/>
    <col min="29" max="29" width="11.54296875" customWidth="1"/>
    <col min="35" max="35" width="9.9062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44881.729634027775</v>
      </c>
    </row>
    <row r="2" spans="1:36" ht="19.5" customHeight="1" x14ac:dyDescent="0.35">
      <c r="A2" s="779"/>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2017</v>
      </c>
      <c r="B5" s="781"/>
      <c r="C5" s="781"/>
      <c r="D5" s="781"/>
      <c r="E5" s="781"/>
      <c r="F5" s="781"/>
      <c r="G5" s="781"/>
      <c r="H5" s="781"/>
      <c r="I5" s="781"/>
      <c r="J5" s="781"/>
      <c r="K5" s="781"/>
      <c r="L5" s="781"/>
      <c r="M5" s="781"/>
      <c r="N5" s="781"/>
      <c r="O5" s="781"/>
      <c r="P5" s="781"/>
      <c r="Q5" s="781"/>
      <c r="R5" s="781"/>
    </row>
    <row r="6" spans="1:36" ht="19.5" customHeight="1" x14ac:dyDescent="0.35">
      <c r="A6" s="780" t="s">
        <v>3195</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3308</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5.75" hidden="1"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231"/>
      <c r="B12" s="232"/>
      <c r="C12" s="232"/>
      <c r="D12" s="232"/>
      <c r="E12" s="233"/>
      <c r="F12" s="232"/>
      <c r="G12" s="232"/>
      <c r="H12" s="232"/>
      <c r="I12" s="233"/>
      <c r="J12" s="232"/>
      <c r="K12" s="232"/>
      <c r="L12" s="232"/>
      <c r="M12" s="233"/>
      <c r="N12" s="232"/>
      <c r="O12" s="232"/>
      <c r="P12" s="232"/>
      <c r="Q12" s="233"/>
      <c r="R12" s="233"/>
    </row>
    <row r="13" spans="1:36" ht="15.75" customHeight="1" x14ac:dyDescent="0.3">
      <c r="A13" s="234" t="s">
        <v>1277</v>
      </c>
      <c r="B13" s="172">
        <f>+B872</f>
        <v>44141</v>
      </c>
      <c r="C13" s="172">
        <f>+C872</f>
        <v>49345</v>
      </c>
      <c r="D13" s="172">
        <f>+D872</f>
        <v>109644</v>
      </c>
      <c r="E13" s="15">
        <f>SUM(B13:D13)</f>
        <v>203130</v>
      </c>
      <c r="F13" s="172">
        <f>+F872</f>
        <v>147631</v>
      </c>
      <c r="G13" s="172">
        <f>+G872</f>
        <v>147226</v>
      </c>
      <c r="H13" s="172">
        <f>+H872</f>
        <v>193124</v>
      </c>
      <c r="I13" s="15">
        <f t="shared" ref="I13:I19" si="0">SUM(F13:H13)</f>
        <v>487981</v>
      </c>
      <c r="J13" s="172">
        <f>+J872</f>
        <v>170239</v>
      </c>
      <c r="K13" s="172">
        <f>+K872</f>
        <v>162968</v>
      </c>
      <c r="L13" s="172">
        <f>+L872</f>
        <v>131170</v>
      </c>
      <c r="M13" s="15">
        <f t="shared" ref="M13:M20" si="1">SUM(J13:L13)</f>
        <v>464377</v>
      </c>
      <c r="N13" s="172">
        <f>+N872</f>
        <v>79636</v>
      </c>
      <c r="O13" s="172">
        <f>+O872</f>
        <v>54330</v>
      </c>
      <c r="P13" s="172">
        <f>+P872</f>
        <v>67861</v>
      </c>
      <c r="Q13" s="29">
        <f t="shared" ref="Q13:Q19" si="2">SUM(N13:P13)</f>
        <v>201827</v>
      </c>
      <c r="R13" s="15">
        <f t="shared" ref="R13:R20" si="3">+E13+I13+M13+Q13</f>
        <v>1357315</v>
      </c>
      <c r="S13">
        <f>1495413+25265</f>
        <v>1520678</v>
      </c>
      <c r="T13">
        <f>+R13-S13</f>
        <v>-163363</v>
      </c>
      <c r="U13">
        <f>+R13-1478209</f>
        <v>-120894</v>
      </c>
      <c r="V13" s="617"/>
      <c r="W13" s="617"/>
      <c r="X13" s="617"/>
      <c r="Z13" s="617"/>
      <c r="AA13" s="617"/>
      <c r="AB13" s="617"/>
      <c r="AD13" s="617"/>
      <c r="AE13" s="617"/>
      <c r="AF13" s="617"/>
      <c r="AH13" s="617"/>
      <c r="AI13" s="617"/>
      <c r="AJ13" s="617"/>
    </row>
    <row r="14" spans="1:36" ht="15.75" customHeight="1" x14ac:dyDescent="0.3">
      <c r="A14" s="234" t="s">
        <v>1278</v>
      </c>
      <c r="B14" s="172">
        <f>B25+B60+B127+B305+B467+B515+B559+B617+B627+B663+B711+B721+B755+B804</f>
        <v>739</v>
      </c>
      <c r="C14" s="172">
        <f>C25+C60+C127+C305+C467+C515+C559+C617+C627+C663+C711+C721+C755+C804</f>
        <v>1283</v>
      </c>
      <c r="D14" s="172">
        <f>D25+D60+D127+D305+D467+D515+D559+D617+D627+D663+D711+D721+D755+D804</f>
        <v>2185</v>
      </c>
      <c r="E14" s="15">
        <f t="shared" ref="E14:E19" si="4">SUM(B14:D14)</f>
        <v>4207</v>
      </c>
      <c r="F14" s="172">
        <f>F25+F60+F127+F305+F467+F515+F559+F617+F627+F663+F711+F721+F755+F804</f>
        <v>2959</v>
      </c>
      <c r="G14" s="172">
        <f>G25+G60+G127+G305+G467+G515+G559+G617+G627+G663+G711+G721+G755+G804</f>
        <v>3425</v>
      </c>
      <c r="H14" s="172">
        <f>H25+H60+H127+H305+H467+H515+H559+H617+H627+H663+H711+H721+H755+H804</f>
        <v>3464</v>
      </c>
      <c r="I14" s="15">
        <f t="shared" si="0"/>
        <v>9848</v>
      </c>
      <c r="J14" s="172">
        <f>J25+J60+J127+J305+J467+J515+J559+J617+J627+J663+J711+J721+J755+J804</f>
        <v>3382</v>
      </c>
      <c r="K14" s="172">
        <f>K25+K60+K127+K305+K467+K515+K559+K617+K627+K663+K711+K721+K755+K804</f>
        <v>2663</v>
      </c>
      <c r="L14" s="172">
        <f>L25+L60+L127+L305+L467+L515+L559+L617+L627+L663+L711+L721+L755+L804</f>
        <v>2559</v>
      </c>
      <c r="M14" s="15">
        <f t="shared" si="1"/>
        <v>8604</v>
      </c>
      <c r="N14" s="172">
        <f>N25+N60+N127+N305+N467+N515+N559+N617+N627+N663+N711+N721+N755+N804</f>
        <v>2343</v>
      </c>
      <c r="O14" s="172">
        <f>O25+O60+O127+O305+O467+O515+O559+O617+O627+O663+O711+O721+O755+O804</f>
        <v>1892</v>
      </c>
      <c r="P14" s="172">
        <f>P25+P60+P127+P305+P467+P515+P559+P617+P627+P663+P711+P721+P755+P804</f>
        <v>1423</v>
      </c>
      <c r="Q14" s="29">
        <f t="shared" si="2"/>
        <v>5658</v>
      </c>
      <c r="R14" s="15">
        <f t="shared" si="3"/>
        <v>28317</v>
      </c>
    </row>
    <row r="15" spans="1:36" ht="15.75" customHeight="1" x14ac:dyDescent="0.3">
      <c r="A15" s="234" t="s">
        <v>397</v>
      </c>
      <c r="B15" s="172">
        <f>B300</f>
        <v>0</v>
      </c>
      <c r="C15" s="172">
        <f>C300</f>
        <v>960</v>
      </c>
      <c r="D15" s="172">
        <f>D300</f>
        <v>3970</v>
      </c>
      <c r="E15" s="15">
        <f t="shared" si="4"/>
        <v>4930</v>
      </c>
      <c r="F15" s="172">
        <f>F300</f>
        <v>71</v>
      </c>
      <c r="G15" s="172">
        <f>G300</f>
        <v>2230</v>
      </c>
      <c r="H15" s="172">
        <f>H300</f>
        <v>3740</v>
      </c>
      <c r="I15" s="15">
        <f t="shared" si="0"/>
        <v>6041</v>
      </c>
      <c r="J15" s="172">
        <f>J300</f>
        <v>2096</v>
      </c>
      <c r="K15" s="172">
        <f>K300</f>
        <v>985</v>
      </c>
      <c r="L15" s="172">
        <f>L300</f>
        <v>3198</v>
      </c>
      <c r="M15" s="15">
        <f t="shared" si="1"/>
        <v>6279</v>
      </c>
      <c r="N15" s="172">
        <f>N300</f>
        <v>3450</v>
      </c>
      <c r="O15" s="172">
        <f>O300</f>
        <v>5218</v>
      </c>
      <c r="P15" s="172">
        <f>P300</f>
        <v>1302</v>
      </c>
      <c r="Q15" s="29">
        <f t="shared" si="2"/>
        <v>9970</v>
      </c>
      <c r="R15" s="15">
        <f t="shared" si="3"/>
        <v>27220</v>
      </c>
    </row>
    <row r="16" spans="1:36" ht="15.75" customHeight="1" x14ac:dyDescent="0.3">
      <c r="A16" s="235" t="s">
        <v>967</v>
      </c>
      <c r="B16" s="172">
        <f>+B301</f>
        <v>0</v>
      </c>
      <c r="C16" s="172">
        <f>+C301</f>
        <v>0</v>
      </c>
      <c r="D16" s="172">
        <f>+D301</f>
        <v>0</v>
      </c>
      <c r="E16" s="15">
        <f t="shared" si="4"/>
        <v>0</v>
      </c>
      <c r="F16" s="172">
        <f>+F301</f>
        <v>0</v>
      </c>
      <c r="G16" s="172">
        <f>+G301</f>
        <v>0</v>
      </c>
      <c r="H16" s="172">
        <f>+H301</f>
        <v>0</v>
      </c>
      <c r="I16" s="15">
        <f t="shared" si="0"/>
        <v>0</v>
      </c>
      <c r="J16" s="172">
        <f>+J301</f>
        <v>0</v>
      </c>
      <c r="K16" s="172">
        <f>+K301</f>
        <v>0</v>
      </c>
      <c r="L16" s="172">
        <f>+L301</f>
        <v>0</v>
      </c>
      <c r="M16" s="15">
        <f t="shared" si="1"/>
        <v>0</v>
      </c>
      <c r="N16" s="172">
        <f>+N301</f>
        <v>0</v>
      </c>
      <c r="O16" s="172">
        <f>+O301</f>
        <v>0</v>
      </c>
      <c r="P16" s="172">
        <f>+P301</f>
        <v>0</v>
      </c>
      <c r="Q16" s="29">
        <f t="shared" si="2"/>
        <v>0</v>
      </c>
      <c r="R16" s="15">
        <f t="shared" si="3"/>
        <v>0</v>
      </c>
    </row>
    <row r="17" spans="1:20" ht="15.75" customHeight="1" x14ac:dyDescent="0.3">
      <c r="A17" s="236" t="s">
        <v>1176</v>
      </c>
      <c r="B17" s="172">
        <f>B304</f>
        <v>83310</v>
      </c>
      <c r="C17" s="172">
        <f>C304</f>
        <v>16480</v>
      </c>
      <c r="D17" s="172">
        <f>D304</f>
        <v>20055</v>
      </c>
      <c r="E17" s="15">
        <f t="shared" si="4"/>
        <v>119845</v>
      </c>
      <c r="F17" s="172">
        <f>F304</f>
        <v>9498</v>
      </c>
      <c r="G17" s="172">
        <f>G304</f>
        <v>24625</v>
      </c>
      <c r="H17" s="172">
        <f>H304</f>
        <v>0</v>
      </c>
      <c r="I17" s="15">
        <f t="shared" si="0"/>
        <v>34123</v>
      </c>
      <c r="J17" s="172">
        <f>J304</f>
        <v>0</v>
      </c>
      <c r="K17" s="172">
        <f>K304</f>
        <v>0</v>
      </c>
      <c r="L17" s="172">
        <f>L304</f>
        <v>9609</v>
      </c>
      <c r="M17" s="15">
        <f t="shared" si="1"/>
        <v>9609</v>
      </c>
      <c r="N17" s="172">
        <f>N304</f>
        <v>44152</v>
      </c>
      <c r="O17" s="172">
        <f>O304</f>
        <v>65541</v>
      </c>
      <c r="P17" s="172">
        <f>P304</f>
        <v>70977</v>
      </c>
      <c r="Q17" s="29">
        <f t="shared" si="2"/>
        <v>180670</v>
      </c>
      <c r="R17" s="15">
        <f t="shared" si="3"/>
        <v>344247</v>
      </c>
    </row>
    <row r="18" spans="1:20" ht="15.75" customHeight="1" x14ac:dyDescent="0.3">
      <c r="A18" s="236" t="s">
        <v>662</v>
      </c>
      <c r="B18" s="172">
        <f>B316</f>
        <v>-3647</v>
      </c>
      <c r="C18" s="172">
        <f>C316</f>
        <v>-7866</v>
      </c>
      <c r="D18" s="172">
        <f>D316</f>
        <v>-207</v>
      </c>
      <c r="E18" s="15">
        <f t="shared" si="4"/>
        <v>-11720</v>
      </c>
      <c r="F18" s="172">
        <f>F316</f>
        <v>-6</v>
      </c>
      <c r="G18" s="172">
        <f>G316</f>
        <v>-1492</v>
      </c>
      <c r="H18" s="172">
        <f>H316</f>
        <v>-117578</v>
      </c>
      <c r="I18" s="15">
        <f t="shared" si="0"/>
        <v>-119076</v>
      </c>
      <c r="J18" s="172">
        <f>J316</f>
        <v>-100321</v>
      </c>
      <c r="K18" s="172">
        <f>K316</f>
        <v>-94421</v>
      </c>
      <c r="L18" s="172">
        <f>L316</f>
        <v>-13817</v>
      </c>
      <c r="M18" s="15">
        <f t="shared" si="1"/>
        <v>-208559</v>
      </c>
      <c r="N18" s="172">
        <f>N316</f>
        <v>0</v>
      </c>
      <c r="O18" s="172">
        <f>O316</f>
        <v>0</v>
      </c>
      <c r="P18" s="172">
        <f>P316</f>
        <v>-76</v>
      </c>
      <c r="Q18" s="29">
        <f t="shared" si="2"/>
        <v>-76</v>
      </c>
      <c r="R18" s="15">
        <f t="shared" si="3"/>
        <v>-339431</v>
      </c>
    </row>
    <row r="19" spans="1:20" ht="16.5" customHeight="1" thickBot="1" x14ac:dyDescent="0.35">
      <c r="A19" s="237" t="s">
        <v>851</v>
      </c>
      <c r="B19" s="238">
        <f>(B29)</f>
        <v>124543</v>
      </c>
      <c r="C19" s="238">
        <f>(C29)</f>
        <v>60202</v>
      </c>
      <c r="D19" s="238">
        <f>(D29)</f>
        <v>135647</v>
      </c>
      <c r="E19" s="16">
        <f t="shared" si="4"/>
        <v>320392</v>
      </c>
      <c r="F19" s="238">
        <f>(F29)</f>
        <v>160153</v>
      </c>
      <c r="G19" s="238">
        <f>(G29)</f>
        <v>176014</v>
      </c>
      <c r="H19" s="238">
        <f>(H29)</f>
        <v>82750</v>
      </c>
      <c r="I19" s="16">
        <f t="shared" si="0"/>
        <v>418917</v>
      </c>
      <c r="J19" s="238">
        <f>(J29)</f>
        <v>75396</v>
      </c>
      <c r="K19" s="238">
        <f>(K29)</f>
        <v>72195</v>
      </c>
      <c r="L19" s="238">
        <f>(L29)</f>
        <v>132719</v>
      </c>
      <c r="M19" s="16">
        <f t="shared" si="1"/>
        <v>280310</v>
      </c>
      <c r="N19" s="238">
        <f>(N29)</f>
        <v>129581</v>
      </c>
      <c r="O19" s="238">
        <f>(O29)</f>
        <v>126981</v>
      </c>
      <c r="P19" s="238">
        <f>(P29)</f>
        <v>141369</v>
      </c>
      <c r="Q19" s="30">
        <f t="shared" si="2"/>
        <v>397931</v>
      </c>
      <c r="R19" s="16">
        <f t="shared" si="3"/>
        <v>1417550</v>
      </c>
      <c r="S19">
        <v>1472000</v>
      </c>
      <c r="T19" t="s">
        <v>3098</v>
      </c>
    </row>
    <row r="20" spans="1:20" ht="16.5" customHeight="1" thickBot="1" x14ac:dyDescent="0.35">
      <c r="A20" s="237" t="s">
        <v>496</v>
      </c>
      <c r="B20" s="238">
        <v>126924</v>
      </c>
      <c r="C20" s="238">
        <v>62359</v>
      </c>
      <c r="D20" s="238">
        <v>136275</v>
      </c>
      <c r="E20" s="16">
        <f>SUM(B20:D20)</f>
        <v>325558</v>
      </c>
      <c r="F20" s="238">
        <v>159848</v>
      </c>
      <c r="G20" s="238">
        <v>174612</v>
      </c>
      <c r="H20" s="238">
        <v>79014</v>
      </c>
      <c r="I20" s="16">
        <f>SUM(F20:H20)</f>
        <v>413474</v>
      </c>
      <c r="J20" s="238">
        <v>71258</v>
      </c>
      <c r="K20" s="238">
        <v>70184</v>
      </c>
      <c r="L20" s="238">
        <v>134073</v>
      </c>
      <c r="M20" s="16">
        <f t="shared" si="1"/>
        <v>275515</v>
      </c>
      <c r="N20" s="238">
        <v>130498</v>
      </c>
      <c r="O20" s="238">
        <v>126715</v>
      </c>
      <c r="P20" s="238">
        <v>143853</v>
      </c>
      <c r="Q20" s="30">
        <f>SUM(N20:P20)</f>
        <v>401066</v>
      </c>
      <c r="R20" s="16">
        <f t="shared" si="3"/>
        <v>1415613</v>
      </c>
    </row>
    <row r="21" spans="1:20" ht="15.75" customHeight="1" x14ac:dyDescent="0.3">
      <c r="A21" s="172"/>
      <c r="B21" s="172"/>
      <c r="C21" s="172"/>
      <c r="D21" s="172"/>
      <c r="E21" s="172"/>
      <c r="F21" s="172"/>
      <c r="G21" s="172"/>
      <c r="H21" s="172"/>
      <c r="I21" s="172"/>
      <c r="J21" s="172"/>
      <c r="K21" s="172"/>
      <c r="L21" s="172"/>
      <c r="M21" s="172"/>
      <c r="N21" s="172"/>
      <c r="O21" s="172"/>
      <c r="P21" s="172"/>
      <c r="Q21" s="172"/>
      <c r="R21" s="17"/>
    </row>
    <row r="22" spans="1:20" ht="15.75" customHeight="1" thickBot="1" x14ac:dyDescent="0.35">
      <c r="A22" s="172"/>
      <c r="B22" s="172"/>
      <c r="C22" s="172"/>
      <c r="D22" s="172"/>
      <c r="E22" s="172"/>
      <c r="F22" s="239" t="s">
        <v>852</v>
      </c>
      <c r="G22" s="239" t="s">
        <v>852</v>
      </c>
      <c r="H22" s="172"/>
      <c r="I22" s="172"/>
      <c r="J22" s="172"/>
      <c r="K22" s="172"/>
      <c r="L22" s="172"/>
      <c r="M22" s="172"/>
      <c r="N22" s="239" t="s">
        <v>852</v>
      </c>
      <c r="O22" s="239" t="s">
        <v>852</v>
      </c>
      <c r="P22" s="239" t="s">
        <v>852</v>
      </c>
      <c r="Q22" s="239"/>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41"/>
      <c r="B24" s="242"/>
      <c r="C24" s="242"/>
      <c r="D24" s="242"/>
      <c r="E24" s="243"/>
      <c r="F24" s="242"/>
      <c r="G24" s="242"/>
      <c r="H24" s="242"/>
      <c r="I24" s="243"/>
      <c r="J24" s="242"/>
      <c r="K24" s="242"/>
      <c r="L24" s="242"/>
      <c r="M24" s="243"/>
      <c r="N24" s="242"/>
      <c r="O24" s="242"/>
      <c r="P24" s="242"/>
      <c r="Q24" s="243"/>
      <c r="R24" s="19"/>
    </row>
    <row r="25" spans="1:20" ht="16.5" customHeight="1" thickBot="1" x14ac:dyDescent="0.35">
      <c r="A25" s="244" t="s">
        <v>853</v>
      </c>
      <c r="B25" s="238">
        <v>97</v>
      </c>
      <c r="C25" s="238">
        <v>148</v>
      </c>
      <c r="D25" s="238">
        <v>274</v>
      </c>
      <c r="E25" s="14">
        <f>SUM(B25:D25)</f>
        <v>519</v>
      </c>
      <c r="F25" s="238">
        <v>367</v>
      </c>
      <c r="G25" s="238">
        <v>425</v>
      </c>
      <c r="H25" s="238">
        <v>417</v>
      </c>
      <c r="I25" s="14">
        <f>SUM(F25:H25)</f>
        <v>1209</v>
      </c>
      <c r="J25" s="238">
        <v>416</v>
      </c>
      <c r="K25" s="238">
        <v>334</v>
      </c>
      <c r="L25" s="238">
        <v>316</v>
      </c>
      <c r="M25" s="14">
        <f>SUM(J25:L25)</f>
        <v>1066</v>
      </c>
      <c r="N25" s="238">
        <v>285</v>
      </c>
      <c r="O25" s="238">
        <v>235</v>
      </c>
      <c r="P25" s="238">
        <v>186</v>
      </c>
      <c r="Q25" s="14">
        <f>SUM(N25:P25)</f>
        <v>706</v>
      </c>
      <c r="R25" s="16">
        <f>+E25+I25+M25+Q25</f>
        <v>3500</v>
      </c>
    </row>
    <row r="26" spans="1:20" ht="17.25" customHeight="1" thickBot="1" x14ac:dyDescent="0.35">
      <c r="A26" s="22"/>
      <c r="B26" s="242"/>
      <c r="C26" s="242"/>
      <c r="D26" s="242"/>
      <c r="E26" s="21"/>
      <c r="F26" s="242"/>
      <c r="G26" s="242"/>
      <c r="H26" s="242"/>
      <c r="I26" s="21"/>
      <c r="J26" s="242"/>
      <c r="K26" s="242"/>
      <c r="L26" s="242"/>
      <c r="M26" s="21"/>
      <c r="N26" s="242"/>
      <c r="O26" s="242"/>
      <c r="P26" s="242"/>
      <c r="Q26" s="21"/>
      <c r="R26" s="13"/>
    </row>
    <row r="27" spans="1:20" ht="15.75" customHeight="1" x14ac:dyDescent="0.3">
      <c r="A27" s="234" t="s">
        <v>2011</v>
      </c>
      <c r="B27" s="172">
        <f>B25</f>
        <v>97</v>
      </c>
      <c r="C27" s="172">
        <f>C25</f>
        <v>148</v>
      </c>
      <c r="D27" s="172">
        <f>D25</f>
        <v>274</v>
      </c>
      <c r="E27" s="14">
        <f>SUM(B27:D27)</f>
        <v>519</v>
      </c>
      <c r="F27" s="172">
        <f>F25</f>
        <v>367</v>
      </c>
      <c r="G27" s="172">
        <f>G25</f>
        <v>425</v>
      </c>
      <c r="H27" s="172">
        <f>H25</f>
        <v>417</v>
      </c>
      <c r="I27" s="14">
        <f>SUM(F27:H27)</f>
        <v>1209</v>
      </c>
      <c r="J27" s="172">
        <f>J25</f>
        <v>416</v>
      </c>
      <c r="K27" s="172">
        <f>K25</f>
        <v>334</v>
      </c>
      <c r="L27" s="172">
        <f>L25</f>
        <v>316</v>
      </c>
      <c r="M27" s="14">
        <f>SUM(J27:L27)</f>
        <v>1066</v>
      </c>
      <c r="N27" s="172">
        <f>N25</f>
        <v>285</v>
      </c>
      <c r="O27" s="172">
        <f>O25</f>
        <v>235</v>
      </c>
      <c r="P27" s="172">
        <f>P25</f>
        <v>186</v>
      </c>
      <c r="Q27" s="28">
        <f>SUM(N27:P27)</f>
        <v>706</v>
      </c>
      <c r="R27" s="14">
        <f>+E27+I27+M27+Q27</f>
        <v>3500</v>
      </c>
    </row>
    <row r="28" spans="1:20" ht="15.75" customHeight="1" x14ac:dyDescent="0.3">
      <c r="A28" s="234" t="s">
        <v>1897</v>
      </c>
      <c r="B28" s="172">
        <f>(B27/B10)/1.983</f>
        <v>1.5779285214647079</v>
      </c>
      <c r="C28" s="172">
        <f>(C27/C10)/1.983</f>
        <v>2.6655140119587926</v>
      </c>
      <c r="D28" s="172">
        <f>(D27/D10)/1.983</f>
        <v>4.457241390529175</v>
      </c>
      <c r="E28" s="15"/>
      <c r="F28" s="172">
        <f>(F27/F10)/1.983</f>
        <v>6.1691040511010247</v>
      </c>
      <c r="G28" s="172">
        <f>(G27/G10)/1.983</f>
        <v>6.9136043466237203</v>
      </c>
      <c r="H28" s="172">
        <f>(H27/H10)/1.983</f>
        <v>7.0095814422592033</v>
      </c>
      <c r="I28" s="15"/>
      <c r="J28" s="172">
        <f>(J27/J10)/1.983</f>
        <v>6.7671986075187478</v>
      </c>
      <c r="K28" s="172">
        <f>(K27/K10)/1.983</f>
        <v>5.433279651228994</v>
      </c>
      <c r="L28" s="172">
        <f>(L27/L10)/1.983</f>
        <v>5.3118171121196838</v>
      </c>
      <c r="M28" s="15"/>
      <c r="N28" s="172">
        <f>(N27/N10)/1.983</f>
        <v>4.6361817383241419</v>
      </c>
      <c r="O28" s="172">
        <f>(O27/O10)/1.983</f>
        <v>3.9502437384434357</v>
      </c>
      <c r="P28" s="172">
        <f>(P27/P10)/1.983</f>
        <v>3.02571860816944</v>
      </c>
      <c r="Q28" s="29"/>
      <c r="R28" s="15"/>
    </row>
    <row r="29" spans="1:20" ht="15.75" customHeight="1" x14ac:dyDescent="0.3">
      <c r="A29" s="234" t="s">
        <v>1119</v>
      </c>
      <c r="B29" s="172">
        <f>B27+B64</f>
        <v>124543</v>
      </c>
      <c r="C29" s="172">
        <f>C27+C64</f>
        <v>60202</v>
      </c>
      <c r="D29" s="172">
        <f>D27+D64</f>
        <v>135647</v>
      </c>
      <c r="E29" s="15">
        <f>SUM(B29:D29)</f>
        <v>320392</v>
      </c>
      <c r="F29" s="172">
        <f>F27+F64</f>
        <v>160153</v>
      </c>
      <c r="G29" s="172">
        <f>G27+G64</f>
        <v>176014</v>
      </c>
      <c r="H29" s="172">
        <f>H27+H64</f>
        <v>82750</v>
      </c>
      <c r="I29" s="15">
        <f>SUM(F29:H29)</f>
        <v>418917</v>
      </c>
      <c r="J29" s="172">
        <f>J27+J64</f>
        <v>75396</v>
      </c>
      <c r="K29" s="172">
        <f>K27+K64</f>
        <v>72195</v>
      </c>
      <c r="L29" s="172">
        <f>L27+L64</f>
        <v>132719</v>
      </c>
      <c r="M29" s="15">
        <f>SUM(J29:L29)</f>
        <v>280310</v>
      </c>
      <c r="N29" s="172">
        <f>N27+N64</f>
        <v>129581</v>
      </c>
      <c r="O29" s="172">
        <f>O27+O64</f>
        <v>126981</v>
      </c>
      <c r="P29" s="172">
        <f>P27+P64</f>
        <v>141369</v>
      </c>
      <c r="Q29" s="29">
        <f>SUM(N29:P29)</f>
        <v>397931</v>
      </c>
      <c r="R29" s="15">
        <f>+E29+I29+M29+Q29</f>
        <v>1417550</v>
      </c>
    </row>
    <row r="30" spans="1:20" s="574" customFormat="1" ht="16.5" customHeight="1" thickBot="1" x14ac:dyDescent="0.35">
      <c r="A30" s="570" t="s">
        <v>1968</v>
      </c>
      <c r="B30" s="571">
        <f>(B29/B10)/1.983</f>
        <v>2025.97888503896</v>
      </c>
      <c r="C30" s="571">
        <f>(C29/C10)/1.983</f>
        <v>1084.2518550536704</v>
      </c>
      <c r="D30" s="571">
        <f>(D29/D10)/1.983</f>
        <v>2206.6110324858068</v>
      </c>
      <c r="E30" s="572"/>
      <c r="F30" s="571">
        <f>(F29/F10)/1.983</f>
        <v>2692.0995125231129</v>
      </c>
      <c r="G30" s="571">
        <f>(G29/G10)/1.983</f>
        <v>2863.2733069803003</v>
      </c>
      <c r="H30" s="571">
        <f>(H29/H10)/1.983</f>
        <v>1390.9900823667842</v>
      </c>
      <c r="I30" s="572"/>
      <c r="J30" s="571">
        <f>(J29/J10)/1.983</f>
        <v>1226.489678395393</v>
      </c>
      <c r="K30" s="571">
        <f>(K29/K10)/1.983</f>
        <v>1174.4180371870577</v>
      </c>
      <c r="L30" s="571">
        <f>(L29/L10)/1.983</f>
        <v>2230.9463775424438</v>
      </c>
      <c r="M30" s="572"/>
      <c r="N30" s="571">
        <f>(N29/N10)/1.983</f>
        <v>2107.9335643290551</v>
      </c>
      <c r="O30" s="571">
        <f>(O29/O10)/1.983</f>
        <v>2134.4931921331313</v>
      </c>
      <c r="P30" s="571">
        <f>(P29/P10)/1.983</f>
        <v>2299.6925479478791</v>
      </c>
      <c r="Q30" s="573"/>
      <c r="R30" s="572"/>
      <c r="T30" s="575" t="s">
        <v>2172</v>
      </c>
    </row>
    <row r="31" spans="1:20" ht="15.75" customHeight="1" x14ac:dyDescent="0.3">
      <c r="A31" s="17"/>
      <c r="B31" s="172"/>
      <c r="C31" s="172"/>
      <c r="D31" s="172"/>
      <c r="E31" s="172"/>
      <c r="F31" s="172"/>
      <c r="G31" s="172"/>
      <c r="H31" s="172"/>
      <c r="I31" s="172"/>
      <c r="J31" s="172"/>
      <c r="K31" s="172"/>
      <c r="L31" s="172"/>
      <c r="M31" s="172"/>
      <c r="N31" s="172"/>
      <c r="O31" s="172"/>
      <c r="P31" s="172"/>
      <c r="Q31" s="172"/>
      <c r="R31" s="17"/>
      <c r="T31" s="350" t="s">
        <v>2173</v>
      </c>
    </row>
    <row r="32" spans="1:20" ht="15.75" customHeight="1" thickBot="1" x14ac:dyDescent="0.35">
      <c r="A32" s="17"/>
      <c r="B32" s="172"/>
      <c r="C32" s="172"/>
      <c r="D32" s="172"/>
      <c r="E32" s="172"/>
      <c r="F32" s="172"/>
      <c r="G32" s="172"/>
      <c r="H32" s="172"/>
      <c r="I32" s="172"/>
      <c r="J32" s="172"/>
      <c r="K32" s="172"/>
      <c r="L32" s="172"/>
      <c r="M32" s="172"/>
      <c r="N32" s="172"/>
      <c r="O32" s="172"/>
      <c r="P32" s="172"/>
      <c r="Q32" s="172"/>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246"/>
      <c r="C34" s="232"/>
      <c r="D34" s="232"/>
      <c r="E34" s="233"/>
      <c r="F34" s="232"/>
      <c r="G34" s="232"/>
      <c r="H34" s="232"/>
      <c r="I34" s="233"/>
      <c r="J34" s="232"/>
      <c r="K34" s="232"/>
      <c r="L34" s="232"/>
      <c r="M34" s="233"/>
      <c r="N34" s="232"/>
      <c r="O34" s="232"/>
      <c r="P34" s="232"/>
      <c r="Q34" s="233"/>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72"/>
      <c r="C38" s="172"/>
      <c r="D38" s="172"/>
      <c r="E38" s="38">
        <f>SUM(B38:D38)</f>
        <v>0</v>
      </c>
      <c r="F38" s="172"/>
      <c r="G38" s="172"/>
      <c r="H38" s="172"/>
      <c r="I38" s="38">
        <f>SUM(F38:H38)</f>
        <v>0</v>
      </c>
      <c r="J38" s="172"/>
      <c r="K38" s="172"/>
      <c r="L38" s="172"/>
      <c r="M38" s="38">
        <f>SUM(J38:L38)</f>
        <v>0</v>
      </c>
      <c r="N38" s="172"/>
      <c r="O38" s="172"/>
      <c r="P38" s="172"/>
      <c r="Q38" s="38">
        <f>SUM(N38:P38)</f>
        <v>0</v>
      </c>
      <c r="R38" s="38">
        <f>+E38+I38+M38+Q38</f>
        <v>0</v>
      </c>
    </row>
    <row r="39" spans="1:18" ht="15.75" customHeight="1" x14ac:dyDescent="0.3">
      <c r="A39" s="235" t="s">
        <v>3245</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72"/>
      <c r="C54" s="172"/>
      <c r="D54" s="172"/>
      <c r="E54" s="38">
        <f>SUM(B54:D54)</f>
        <v>0</v>
      </c>
      <c r="F54" s="172"/>
      <c r="G54" s="172"/>
      <c r="H54" s="172"/>
      <c r="I54" s="38">
        <f>SUM(F54:H54)</f>
        <v>0</v>
      </c>
      <c r="J54" s="172"/>
      <c r="K54" s="172"/>
      <c r="L54" s="172"/>
      <c r="M54" s="38">
        <f>SUM(J54:L54)</f>
        <v>0</v>
      </c>
      <c r="N54" s="172"/>
      <c r="O54" s="172"/>
      <c r="P54" s="172"/>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customHeight="1" thickBot="1" x14ac:dyDescent="0.35">
      <c r="A60" s="250" t="s">
        <v>853</v>
      </c>
      <c r="B60" s="251">
        <v>96</v>
      </c>
      <c r="C60" s="251">
        <v>145</v>
      </c>
      <c r="D60" s="251">
        <v>261</v>
      </c>
      <c r="E60" s="21">
        <f>SUM(B60:D60)</f>
        <v>502</v>
      </c>
      <c r="F60" s="251">
        <v>350</v>
      </c>
      <c r="G60" s="251">
        <v>402</v>
      </c>
      <c r="H60" s="251">
        <v>396</v>
      </c>
      <c r="I60" s="21">
        <f>SUM(F60:H60)</f>
        <v>1148</v>
      </c>
      <c r="J60" s="251">
        <v>394</v>
      </c>
      <c r="K60" s="251">
        <v>318</v>
      </c>
      <c r="L60" s="251">
        <v>301</v>
      </c>
      <c r="M60" s="21">
        <f>SUM(J60:L60)</f>
        <v>1013</v>
      </c>
      <c r="N60" s="251">
        <v>272</v>
      </c>
      <c r="O60" s="251">
        <v>226</v>
      </c>
      <c r="P60" s="251">
        <v>179</v>
      </c>
      <c r="Q60" s="21">
        <f>SUM(N60:P60)</f>
        <v>677</v>
      </c>
      <c r="R60" s="21">
        <f>+E60+I60+M60+Q60</f>
        <v>3340</v>
      </c>
    </row>
    <row r="61" spans="1:18" ht="16.5" customHeight="1" thickBot="1" x14ac:dyDescent="0.35">
      <c r="A61" s="22"/>
      <c r="B61" s="242"/>
      <c r="C61" s="242"/>
      <c r="D61" s="242"/>
      <c r="E61" s="16"/>
      <c r="F61" s="242"/>
      <c r="G61" s="242"/>
      <c r="H61" s="242"/>
      <c r="I61" s="16"/>
      <c r="J61" s="242"/>
      <c r="K61" s="242"/>
      <c r="L61" s="242"/>
      <c r="M61" s="16"/>
      <c r="N61" s="242"/>
      <c r="O61" s="242"/>
      <c r="P61" s="242"/>
      <c r="Q61" s="16"/>
      <c r="R61" s="22"/>
    </row>
    <row r="62" spans="1:18" ht="15.75" customHeight="1" x14ac:dyDescent="0.3">
      <c r="A62" s="234" t="s">
        <v>2011</v>
      </c>
      <c r="B62" s="172">
        <f>+B59+B60</f>
        <v>96</v>
      </c>
      <c r="C62" s="172">
        <f>+C59+C60</f>
        <v>145</v>
      </c>
      <c r="D62" s="172">
        <f>+D59+D60</f>
        <v>261</v>
      </c>
      <c r="E62" s="14">
        <f>SUM(B62:D62)</f>
        <v>502</v>
      </c>
      <c r="F62" s="172">
        <f>+F59+F60</f>
        <v>350</v>
      </c>
      <c r="G62" s="172">
        <f>+G59+G60</f>
        <v>402</v>
      </c>
      <c r="H62" s="172">
        <f>+H59+H60</f>
        <v>396</v>
      </c>
      <c r="I62" s="14">
        <f>SUM(F62:H62)</f>
        <v>1148</v>
      </c>
      <c r="J62" s="172">
        <f>+J59+J60</f>
        <v>394</v>
      </c>
      <c r="K62" s="172">
        <f>+K59+K60</f>
        <v>318</v>
      </c>
      <c r="L62" s="172">
        <f>+L59+L60</f>
        <v>301</v>
      </c>
      <c r="M62" s="14">
        <f>SUM(J62:L62)</f>
        <v>1013</v>
      </c>
      <c r="N62" s="172">
        <f>+N59+N60</f>
        <v>272</v>
      </c>
      <c r="O62" s="172">
        <f>+O59+O60</f>
        <v>226</v>
      </c>
      <c r="P62" s="172">
        <f>+P59+P60</f>
        <v>179</v>
      </c>
      <c r="Q62" s="28">
        <f>SUM(N62:P62)</f>
        <v>677</v>
      </c>
      <c r="R62" s="15">
        <f>+E62+I62+M62+Q62</f>
        <v>3340</v>
      </c>
    </row>
    <row r="63" spans="1:18" ht="15.75" customHeight="1" x14ac:dyDescent="0.3">
      <c r="A63" s="234" t="s">
        <v>1897</v>
      </c>
      <c r="B63" s="172">
        <f>(B62/B10)/1.983</f>
        <v>1.5616612171197111</v>
      </c>
      <c r="C63" s="172">
        <f>(C62/C10)/1.983</f>
        <v>2.6114833225271954</v>
      </c>
      <c r="D63" s="172">
        <f>(D62/D10)/1.983</f>
        <v>4.2457664340442145</v>
      </c>
      <c r="E63" s="15"/>
      <c r="F63" s="172">
        <f>(F62/F10)/1.983</f>
        <v>5.8833417381072444</v>
      </c>
      <c r="G63" s="172">
        <f>(G62/G10)/1.983</f>
        <v>6.5394563466887892</v>
      </c>
      <c r="H63" s="172">
        <f>(H62/H10)/1.983</f>
        <v>6.6565809379727678</v>
      </c>
      <c r="I63" s="15"/>
      <c r="J63" s="172">
        <f>(J62/J10)/1.983</f>
        <v>6.4093179119288139</v>
      </c>
      <c r="K63" s="172">
        <f>(K62/K10)/1.983</f>
        <v>5.1730027817090427</v>
      </c>
      <c r="L63" s="172">
        <f>(L62/L10)/1.983</f>
        <v>5.0596738947722306</v>
      </c>
      <c r="M63" s="15"/>
      <c r="N63" s="172">
        <f>(N62/N10)/1.983</f>
        <v>4.4247067818391805</v>
      </c>
      <c r="O63" s="172">
        <f>(O62/O10)/1.983</f>
        <v>3.7989578080349635</v>
      </c>
      <c r="P63" s="172">
        <f>(P62/P10)/1.983</f>
        <v>2.9118474777544612</v>
      </c>
      <c r="Q63" s="29"/>
      <c r="R63" s="20"/>
    </row>
    <row r="64" spans="1:18" ht="15.75" customHeight="1" x14ac:dyDescent="0.3">
      <c r="A64" s="234" t="s">
        <v>1969</v>
      </c>
      <c r="B64" s="172">
        <f>B62+B131</f>
        <v>124446</v>
      </c>
      <c r="C64" s="172">
        <f>C62+C131</f>
        <v>60054</v>
      </c>
      <c r="D64" s="172">
        <f>D62+D131</f>
        <v>135373</v>
      </c>
      <c r="E64" s="15">
        <f>SUM(B64:D64)</f>
        <v>319873</v>
      </c>
      <c r="F64" s="172">
        <f>F62+F131</f>
        <v>159786</v>
      </c>
      <c r="G64" s="172">
        <f>G62+G131</f>
        <v>175589</v>
      </c>
      <c r="H64" s="172">
        <f>H62+H131</f>
        <v>82333</v>
      </c>
      <c r="I64" s="15">
        <f>SUM(F64:H64)</f>
        <v>417708</v>
      </c>
      <c r="J64" s="172">
        <f>J62+J131</f>
        <v>74980</v>
      </c>
      <c r="K64" s="172">
        <f>K62+K131</f>
        <v>71861</v>
      </c>
      <c r="L64" s="172">
        <f>L62+L131</f>
        <v>132403</v>
      </c>
      <c r="M64" s="15">
        <f>SUM(J64:L64)</f>
        <v>279244</v>
      </c>
      <c r="N64" s="172">
        <f>N62+N131</f>
        <v>129296</v>
      </c>
      <c r="O64" s="172">
        <f>O62+O131</f>
        <v>126746</v>
      </c>
      <c r="P64" s="172">
        <f>P62+P131</f>
        <v>141183</v>
      </c>
      <c r="Q64" s="29">
        <f>SUM(N64:P64)</f>
        <v>397225</v>
      </c>
      <c r="R64" s="15">
        <f>+E64+I64+M64+Q64</f>
        <v>1414050</v>
      </c>
    </row>
    <row r="65" spans="1:20" ht="16.5" customHeight="1" thickBot="1" x14ac:dyDescent="0.35">
      <c r="A65" s="237" t="s">
        <v>1970</v>
      </c>
      <c r="B65" s="238">
        <f>(B64/B10)/1.983</f>
        <v>2024.4009565174954</v>
      </c>
      <c r="C65" s="238">
        <f>(C64/C10)/1.983</f>
        <v>1081.5863410417116</v>
      </c>
      <c r="D65" s="238">
        <f>(D64/D10)/1.983</f>
        <v>2202.1537910952775</v>
      </c>
      <c r="E65" s="16"/>
      <c r="F65" s="238">
        <f>(F64/F10)/1.983</f>
        <v>2685.930408472012</v>
      </c>
      <c r="G65" s="238">
        <f>(G64/G10)/1.983</f>
        <v>2856.3597026336765</v>
      </c>
      <c r="H65" s="238">
        <f>(H64/H10)/1.983</f>
        <v>1383.9805009245251</v>
      </c>
      <c r="I65" s="16"/>
      <c r="J65" s="238">
        <f>(J64/J10)/1.983</f>
        <v>1219.7224797878741</v>
      </c>
      <c r="K65" s="238">
        <f>(K64/K10)/1.983</f>
        <v>1168.9847575358287</v>
      </c>
      <c r="L65" s="238">
        <f>(L64/L10)/1.983</f>
        <v>2225.6345604303242</v>
      </c>
      <c r="M65" s="16"/>
      <c r="N65" s="238">
        <f>(N64/N10)/1.983</f>
        <v>2103.2973825907306</v>
      </c>
      <c r="O65" s="238">
        <f>(O64/O10)/1.983</f>
        <v>2130.5429483946882</v>
      </c>
      <c r="P65" s="238">
        <f>(P64/P10)/1.983</f>
        <v>2296.6668293397097</v>
      </c>
      <c r="Q65" s="30"/>
      <c r="R65" s="23" t="s">
        <v>852</v>
      </c>
    </row>
    <row r="66" spans="1:20" ht="15.75" customHeight="1" x14ac:dyDescent="0.3">
      <c r="A66" s="17"/>
      <c r="B66" s="172"/>
      <c r="C66" s="172"/>
      <c r="D66" s="172"/>
      <c r="E66" s="172"/>
      <c r="F66" s="172"/>
      <c r="G66" s="172"/>
      <c r="H66" s="172"/>
      <c r="I66" s="172"/>
      <c r="J66" s="172"/>
      <c r="K66" s="172"/>
      <c r="L66" s="172"/>
      <c r="M66" s="172"/>
      <c r="N66" s="172"/>
      <c r="O66" s="172"/>
      <c r="P66" s="172"/>
      <c r="Q66" s="172"/>
      <c r="R66" s="17"/>
    </row>
    <row r="67" spans="1:20" ht="15.75" customHeight="1" thickBot="1" x14ac:dyDescent="0.35">
      <c r="A67" s="17"/>
      <c r="B67" s="172"/>
      <c r="C67" s="172"/>
      <c r="D67" s="172"/>
      <c r="E67" s="172"/>
      <c r="F67" s="172"/>
      <c r="G67" s="172"/>
      <c r="H67" s="172"/>
      <c r="I67" s="172"/>
      <c r="J67" s="172"/>
      <c r="K67" s="172"/>
      <c r="L67" s="172"/>
      <c r="M67" s="172"/>
      <c r="N67" s="172"/>
      <c r="O67" s="172"/>
      <c r="P67" s="172"/>
      <c r="Q67" s="172"/>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231"/>
      <c r="C69" s="253"/>
      <c r="D69" s="253"/>
      <c r="E69" s="254"/>
      <c r="F69" s="253"/>
      <c r="G69" s="253"/>
      <c r="H69" s="253"/>
      <c r="I69" s="254"/>
      <c r="J69" s="253"/>
      <c r="K69" s="253"/>
      <c r="L69" s="253"/>
      <c r="M69" s="254"/>
      <c r="N69" s="253"/>
      <c r="O69" s="253"/>
      <c r="P69" s="255"/>
      <c r="Q69" s="254"/>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72"/>
      <c r="C72" s="172"/>
      <c r="D72" s="172"/>
      <c r="E72" s="38">
        <f t="shared" ref="E72:E82" si="5">SUM(B72:D72)</f>
        <v>0</v>
      </c>
      <c r="F72" s="172"/>
      <c r="G72" s="172"/>
      <c r="H72" s="172"/>
      <c r="I72" s="38">
        <f t="shared" ref="I72:I82" si="6">SUM(F72:H72)</f>
        <v>0</v>
      </c>
      <c r="J72" s="172"/>
      <c r="K72" s="172"/>
      <c r="L72" s="172"/>
      <c r="M72" s="38">
        <f t="shared" ref="M72:M82" si="7">SUM(J72:L72)</f>
        <v>0</v>
      </c>
      <c r="N72" s="172"/>
      <c r="O72" s="172"/>
      <c r="P72" s="172"/>
      <c r="Q72" s="38">
        <f t="shared" ref="Q72:Q82" si="8">SUM(N72:P72)</f>
        <v>0</v>
      </c>
      <c r="R72" s="38">
        <f t="shared" ref="R72:R82" si="9">+E72+I72+M72+Q72</f>
        <v>0</v>
      </c>
    </row>
    <row r="73" spans="1:20" ht="15.75" customHeight="1" x14ac:dyDescent="0.3">
      <c r="A73" s="539" t="s">
        <v>2732</v>
      </c>
      <c r="B73" s="172"/>
      <c r="C73" s="172"/>
      <c r="D73" s="172"/>
      <c r="E73" s="38">
        <f>SUM(B73:D73)</f>
        <v>0</v>
      </c>
      <c r="F73" s="172"/>
      <c r="G73" s="172"/>
      <c r="H73" s="172"/>
      <c r="I73" s="38">
        <f>SUM(F73:H73)</f>
        <v>0</v>
      </c>
      <c r="J73" s="172"/>
      <c r="K73" s="172"/>
      <c r="L73" s="172"/>
      <c r="M73" s="38">
        <f>SUM(J73:L73)</f>
        <v>0</v>
      </c>
      <c r="N73" s="172"/>
      <c r="O73" s="172"/>
      <c r="P73" s="172"/>
      <c r="Q73" s="38">
        <f>SUM(N73:P73)</f>
        <v>0</v>
      </c>
      <c r="R73" s="38">
        <f>+E73+I73+M73+Q73</f>
        <v>0</v>
      </c>
    </row>
    <row r="74" spans="1:20" ht="15.75" customHeight="1" x14ac:dyDescent="0.3">
      <c r="A74" s="539" t="s">
        <v>2060</v>
      </c>
      <c r="B74" s="172"/>
      <c r="C74" s="172"/>
      <c r="D74" s="172"/>
      <c r="E74" s="38">
        <f t="shared" si="5"/>
        <v>0</v>
      </c>
      <c r="F74" s="172"/>
      <c r="G74" s="172"/>
      <c r="H74" s="172"/>
      <c r="I74" s="38">
        <f t="shared" si="6"/>
        <v>0</v>
      </c>
      <c r="J74" s="172"/>
      <c r="K74" s="172"/>
      <c r="L74" s="172"/>
      <c r="M74" s="38">
        <f t="shared" si="7"/>
        <v>0</v>
      </c>
      <c r="N74" s="172"/>
      <c r="O74" s="172"/>
      <c r="P74" s="172"/>
      <c r="Q74" s="38">
        <f t="shared" si="8"/>
        <v>0</v>
      </c>
      <c r="R74" s="38">
        <f t="shared" si="9"/>
        <v>0</v>
      </c>
    </row>
    <row r="75" spans="1:20" ht="15.75" customHeight="1" x14ac:dyDescent="0.3">
      <c r="A75" s="539" t="s">
        <v>2773</v>
      </c>
      <c r="B75" s="10"/>
      <c r="C75" s="10"/>
      <c r="D75" s="10"/>
      <c r="E75" s="38">
        <f t="shared" si="5"/>
        <v>0</v>
      </c>
      <c r="F75" s="10"/>
      <c r="G75" s="10"/>
      <c r="H75" s="10"/>
      <c r="I75" s="38">
        <f t="shared" si="6"/>
        <v>0</v>
      </c>
      <c r="K75" s="10"/>
      <c r="L75" s="10"/>
      <c r="M75" s="38">
        <f t="shared" si="7"/>
        <v>0</v>
      </c>
      <c r="N75" s="10"/>
      <c r="O75" s="10"/>
      <c r="P75" s="10"/>
      <c r="Q75" s="38">
        <f t="shared" si="8"/>
        <v>0</v>
      </c>
      <c r="R75" s="38">
        <f t="shared" si="9"/>
        <v>0</v>
      </c>
      <c r="T75" t="s">
        <v>2774</v>
      </c>
    </row>
    <row r="76" spans="1:20" ht="15.75" customHeight="1" x14ac:dyDescent="0.3">
      <c r="A76" s="539" t="s">
        <v>2794</v>
      </c>
      <c r="B76" s="172">
        <v>22</v>
      </c>
      <c r="C76" s="172">
        <v>360</v>
      </c>
      <c r="D76" s="172">
        <v>1237</v>
      </c>
      <c r="E76" s="38">
        <f t="shared" si="5"/>
        <v>1619</v>
      </c>
      <c r="F76" s="172">
        <v>515</v>
      </c>
      <c r="G76" s="172"/>
      <c r="H76" s="172"/>
      <c r="I76" s="38">
        <f t="shared" si="6"/>
        <v>515</v>
      </c>
      <c r="J76" s="172"/>
      <c r="K76" s="172"/>
      <c r="L76" s="172"/>
      <c r="M76" s="38">
        <f t="shared" si="7"/>
        <v>0</v>
      </c>
      <c r="N76" s="172"/>
      <c r="O76" s="172"/>
      <c r="P76" s="172"/>
      <c r="Q76" s="38">
        <f t="shared" si="8"/>
        <v>0</v>
      </c>
      <c r="R76" s="38">
        <f t="shared" si="9"/>
        <v>2134</v>
      </c>
      <c r="T76" t="s">
        <v>2774</v>
      </c>
    </row>
    <row r="77" spans="1:20" ht="15.75" customHeight="1" x14ac:dyDescent="0.3">
      <c r="A77" s="539" t="s">
        <v>2262</v>
      </c>
      <c r="B77" s="172"/>
      <c r="C77" s="172"/>
      <c r="D77" s="172"/>
      <c r="E77" s="38">
        <f t="shared" si="5"/>
        <v>0</v>
      </c>
      <c r="F77" s="172"/>
      <c r="G77" s="172"/>
      <c r="H77" s="172"/>
      <c r="I77" s="38">
        <f t="shared" si="6"/>
        <v>0</v>
      </c>
      <c r="J77" s="172"/>
      <c r="K77" s="172"/>
      <c r="L77" s="172"/>
      <c r="M77" s="38">
        <f t="shared" si="7"/>
        <v>0</v>
      </c>
      <c r="N77" s="172"/>
      <c r="O77" s="172"/>
      <c r="P77" s="172"/>
      <c r="Q77" s="38">
        <f t="shared" si="8"/>
        <v>0</v>
      </c>
      <c r="R77" s="38">
        <f t="shared" si="9"/>
        <v>0</v>
      </c>
    </row>
    <row r="78" spans="1:20" ht="15.75" customHeight="1" x14ac:dyDescent="0.3">
      <c r="A78" s="539" t="s">
        <v>789</v>
      </c>
      <c r="B78" s="172"/>
      <c r="C78" s="172"/>
      <c r="D78" s="172"/>
      <c r="E78" s="38">
        <f t="shared" si="5"/>
        <v>0</v>
      </c>
      <c r="F78" s="172"/>
      <c r="G78" s="172"/>
      <c r="H78" s="172"/>
      <c r="I78" s="38">
        <f t="shared" si="6"/>
        <v>0</v>
      </c>
      <c r="J78" s="172"/>
      <c r="K78" s="172"/>
      <c r="L78" s="172"/>
      <c r="M78" s="38">
        <f t="shared" si="7"/>
        <v>0</v>
      </c>
      <c r="N78" s="172"/>
      <c r="O78" s="172"/>
      <c r="P78" s="172"/>
      <c r="Q78" s="38">
        <f t="shared" si="8"/>
        <v>0</v>
      </c>
      <c r="R78" s="38">
        <f t="shared" si="9"/>
        <v>0</v>
      </c>
      <c r="T78" t="s">
        <v>2799</v>
      </c>
    </row>
    <row r="79" spans="1:20" ht="15.75" customHeight="1" x14ac:dyDescent="0.3">
      <c r="A79" s="410" t="s">
        <v>3130</v>
      </c>
      <c r="B79" s="10"/>
      <c r="C79" s="10"/>
      <c r="D79" s="10"/>
      <c r="E79" s="38">
        <f t="shared" si="5"/>
        <v>0</v>
      </c>
      <c r="F79" s="10"/>
      <c r="G79" s="10"/>
      <c r="H79" s="10"/>
      <c r="I79" s="38">
        <f t="shared" si="6"/>
        <v>0</v>
      </c>
      <c r="J79" s="10">
        <v>512</v>
      </c>
      <c r="K79" s="10">
        <v>512</v>
      </c>
      <c r="L79" s="10">
        <v>512</v>
      </c>
      <c r="M79" s="38">
        <f t="shared" si="7"/>
        <v>1536</v>
      </c>
      <c r="N79" s="10">
        <v>512</v>
      </c>
      <c r="O79" s="10"/>
      <c r="P79" s="10"/>
      <c r="Q79" s="38">
        <f t="shared" si="8"/>
        <v>512</v>
      </c>
      <c r="R79" s="38">
        <f t="shared" si="9"/>
        <v>2048</v>
      </c>
    </row>
    <row r="80" spans="1:20" ht="15.75" customHeight="1" x14ac:dyDescent="0.3">
      <c r="A80" s="410" t="s">
        <v>2183</v>
      </c>
      <c r="B80" s="172"/>
      <c r="C80" s="172"/>
      <c r="D80" s="172"/>
      <c r="E80" s="38">
        <f t="shared" si="5"/>
        <v>0</v>
      </c>
      <c r="F80" s="172"/>
      <c r="G80" s="172"/>
      <c r="H80" s="172"/>
      <c r="I80" s="38">
        <f t="shared" si="6"/>
        <v>0</v>
      </c>
      <c r="J80" s="172"/>
      <c r="K80" s="172"/>
      <c r="L80" s="172"/>
      <c r="M80" s="38">
        <f t="shared" si="7"/>
        <v>0</v>
      </c>
      <c r="N80" s="172"/>
      <c r="O80" s="172"/>
      <c r="P80" s="172"/>
      <c r="Q80" s="38">
        <f t="shared" si="8"/>
        <v>0</v>
      </c>
      <c r="R80" s="38">
        <f t="shared" si="9"/>
        <v>0</v>
      </c>
    </row>
    <row r="81" spans="1:20" ht="15.75" customHeight="1" x14ac:dyDescent="0.3">
      <c r="A81" s="410" t="s">
        <v>2947</v>
      </c>
      <c r="B81" s="172"/>
      <c r="C81" s="172"/>
      <c r="D81" s="172"/>
      <c r="E81" s="38">
        <f>SUM(B81:D81)</f>
        <v>0</v>
      </c>
      <c r="F81" s="172"/>
      <c r="G81" s="172"/>
      <c r="H81" s="172"/>
      <c r="I81" s="38">
        <f>SUM(F81:H81)</f>
        <v>0</v>
      </c>
      <c r="J81" s="172"/>
      <c r="K81" s="172"/>
      <c r="L81" s="172"/>
      <c r="M81" s="38">
        <f>SUM(J81:L81)</f>
        <v>0</v>
      </c>
      <c r="N81" s="172"/>
      <c r="O81" s="172"/>
      <c r="P81" s="172"/>
      <c r="Q81" s="38">
        <f>SUM(N81:P81)</f>
        <v>0</v>
      </c>
      <c r="R81" s="38">
        <f t="shared" si="9"/>
        <v>0</v>
      </c>
    </row>
    <row r="82" spans="1:20" ht="15.75" customHeight="1" x14ac:dyDescent="0.3">
      <c r="A82" s="410" t="s">
        <v>86</v>
      </c>
      <c r="B82" s="172"/>
      <c r="C82" s="172"/>
      <c r="D82" s="172"/>
      <c r="E82" s="38">
        <f t="shared" si="5"/>
        <v>0</v>
      </c>
      <c r="F82" s="172"/>
      <c r="G82" s="172"/>
      <c r="H82" s="172"/>
      <c r="I82" s="38">
        <f t="shared" si="6"/>
        <v>0</v>
      </c>
      <c r="J82" s="172"/>
      <c r="K82" s="172"/>
      <c r="L82" s="172"/>
      <c r="M82" s="38">
        <f t="shared" si="7"/>
        <v>0</v>
      </c>
      <c r="N82" s="172"/>
      <c r="O82" s="172"/>
      <c r="P82" s="172"/>
      <c r="Q82" s="38">
        <f t="shared" si="8"/>
        <v>0</v>
      </c>
      <c r="R82" s="38">
        <f t="shared" si="9"/>
        <v>0</v>
      </c>
      <c r="S82">
        <f>SUM(R72:R82)</f>
        <v>4182</v>
      </c>
    </row>
    <row r="83" spans="1:20" ht="15.75" customHeight="1" x14ac:dyDescent="0.3">
      <c r="A83" s="235" t="s">
        <v>2161</v>
      </c>
      <c r="B83" s="18"/>
      <c r="C83" s="18"/>
      <c r="D83" s="18"/>
      <c r="E83" s="38" t="s">
        <v>852</v>
      </c>
      <c r="F83" s="18"/>
      <c r="G83" s="18"/>
      <c r="H83" s="18"/>
      <c r="I83" s="38" t="s">
        <v>852</v>
      </c>
      <c r="J83" s="18"/>
      <c r="K83" s="18"/>
      <c r="L83" s="18"/>
      <c r="M83" s="38" t="s">
        <v>852</v>
      </c>
      <c r="N83" s="18"/>
      <c r="O83" s="18"/>
      <c r="P83" s="18"/>
      <c r="Q83" s="38" t="s">
        <v>852</v>
      </c>
      <c r="R83" s="38" t="s">
        <v>852</v>
      </c>
    </row>
    <row r="84" spans="1:20" ht="15.75" customHeight="1" x14ac:dyDescent="0.3">
      <c r="A84" s="410" t="s">
        <v>2419</v>
      </c>
      <c r="B84" s="172"/>
      <c r="C84" s="172"/>
      <c r="D84" s="172"/>
      <c r="E84" s="38">
        <f>SUM(B84:D84)</f>
        <v>0</v>
      </c>
      <c r="F84" s="172"/>
      <c r="G84" s="172"/>
      <c r="H84" s="172"/>
      <c r="I84" s="38">
        <f>SUM(F84:H84)</f>
        <v>0</v>
      </c>
      <c r="J84" s="172"/>
      <c r="K84" s="172"/>
      <c r="L84" s="172"/>
      <c r="M84" s="38">
        <f>SUM(J84:L84)</f>
        <v>0</v>
      </c>
      <c r="N84" s="172"/>
      <c r="O84" s="172"/>
      <c r="P84" s="172"/>
      <c r="Q84" s="38">
        <f>SUM(N84:P84)</f>
        <v>0</v>
      </c>
      <c r="R84" s="38">
        <f>+E84+I84+M84+Q84</f>
        <v>0</v>
      </c>
    </row>
    <row r="85" spans="1:20" ht="15.75" customHeight="1" x14ac:dyDescent="0.3">
      <c r="A85" s="235" t="s">
        <v>3245</v>
      </c>
      <c r="B85" s="18"/>
      <c r="C85" s="18"/>
      <c r="D85" s="18"/>
      <c r="E85" s="38" t="s">
        <v>1598</v>
      </c>
      <c r="F85" s="18"/>
      <c r="G85" s="18"/>
      <c r="H85" s="18"/>
      <c r="I85" s="38" t="s">
        <v>1598</v>
      </c>
      <c r="J85" s="18"/>
      <c r="K85" s="18"/>
      <c r="L85" s="18"/>
      <c r="M85" s="38" t="s">
        <v>1598</v>
      </c>
      <c r="N85" s="18"/>
      <c r="O85" s="18"/>
      <c r="P85" s="18"/>
      <c r="Q85" s="38" t="s">
        <v>1598</v>
      </c>
      <c r="R85" s="38" t="s">
        <v>1598</v>
      </c>
    </row>
    <row r="86" spans="1:20" ht="15.75" customHeight="1" x14ac:dyDescent="0.3">
      <c r="A86" s="422" t="s">
        <v>2546</v>
      </c>
      <c r="B86" s="172"/>
      <c r="C86" s="172"/>
      <c r="D86" s="172"/>
      <c r="E86" s="38">
        <f>SUM(B86:D86)</f>
        <v>0</v>
      </c>
      <c r="F86" s="172"/>
      <c r="G86" s="172"/>
      <c r="H86" s="172"/>
      <c r="I86" s="38">
        <f>SUM(F86:H86)</f>
        <v>0</v>
      </c>
      <c r="J86" s="172"/>
      <c r="K86" s="172"/>
      <c r="L86" s="172"/>
      <c r="M86" s="38">
        <f>SUM(J86:L86)</f>
        <v>0</v>
      </c>
      <c r="N86" s="172"/>
      <c r="O86" s="172"/>
      <c r="P86" s="172"/>
      <c r="Q86" s="38">
        <f>SUM(N86:P86)</f>
        <v>0</v>
      </c>
      <c r="R86" s="38">
        <f>+E86+I86+M86+Q86</f>
        <v>0</v>
      </c>
    </row>
    <row r="87" spans="1:20" ht="15.75" customHeight="1" x14ac:dyDescent="0.3">
      <c r="A87" s="422" t="s">
        <v>2547</v>
      </c>
      <c r="B87" s="10"/>
      <c r="C87" s="10"/>
      <c r="D87" s="10"/>
      <c r="E87" s="38">
        <f>SUM(B87:D87)</f>
        <v>0</v>
      </c>
      <c r="F87" s="10">
        <v>1201</v>
      </c>
      <c r="G87" s="10">
        <v>1927</v>
      </c>
      <c r="H87" s="10">
        <v>1839</v>
      </c>
      <c r="I87" s="38">
        <f>SUM(F87:H87)</f>
        <v>4967</v>
      </c>
      <c r="J87" s="10">
        <v>321</v>
      </c>
      <c r="K87" s="10">
        <v>914</v>
      </c>
      <c r="L87" s="10">
        <v>715</v>
      </c>
      <c r="M87" s="38">
        <f>SUM(J87:L87)</f>
        <v>1950</v>
      </c>
      <c r="N87" s="10">
        <v>38</v>
      </c>
      <c r="O87" s="10">
        <v>480</v>
      </c>
      <c r="P87" s="10">
        <v>721</v>
      </c>
      <c r="Q87" s="38">
        <f>SUM(N87:P87)</f>
        <v>1239</v>
      </c>
      <c r="R87" s="38">
        <f>+E87+I87+M87+Q87</f>
        <v>8156</v>
      </c>
      <c r="T87" t="s">
        <v>2774</v>
      </c>
    </row>
    <row r="88" spans="1:20" ht="15.75"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20" ht="16.5" customHeight="1" thickBot="1" x14ac:dyDescent="0.35">
      <c r="A89" s="43" t="s">
        <v>1218</v>
      </c>
      <c r="B89" s="42">
        <f>SUM(B70:B88)</f>
        <v>22</v>
      </c>
      <c r="C89" s="42">
        <f>SUM(C70:C88)</f>
        <v>360</v>
      </c>
      <c r="D89" s="42">
        <f>SUM(D70:D88)</f>
        <v>1237</v>
      </c>
      <c r="E89" s="37">
        <f>SUM(B89:D89)</f>
        <v>1619</v>
      </c>
      <c r="F89" s="42">
        <f>SUM(F70:F88)</f>
        <v>1716</v>
      </c>
      <c r="G89" s="42">
        <f>SUM(G70:G88)</f>
        <v>1927</v>
      </c>
      <c r="H89" s="42">
        <f>SUM(H70:H88)</f>
        <v>1839</v>
      </c>
      <c r="I89" s="37">
        <f>SUM(F89:H89)</f>
        <v>5482</v>
      </c>
      <c r="J89" s="42">
        <f>SUM(J70:J88)</f>
        <v>833</v>
      </c>
      <c r="K89" s="42">
        <f>SUM(K70:K88)</f>
        <v>1426</v>
      </c>
      <c r="L89" s="42">
        <f>SUM(L70:L88)</f>
        <v>1227</v>
      </c>
      <c r="M89" s="37">
        <f>SUM(J89:L89)</f>
        <v>3486</v>
      </c>
      <c r="N89" s="42">
        <f>SUM(N70:N88)</f>
        <v>550</v>
      </c>
      <c r="O89" s="42">
        <f>SUM(O70:O88)</f>
        <v>480</v>
      </c>
      <c r="P89" s="42">
        <f>SUM(P70:P88)</f>
        <v>721</v>
      </c>
      <c r="Q89" s="37">
        <f>SUM(N89:P89)</f>
        <v>1751</v>
      </c>
      <c r="R89" s="37">
        <f>+E89+I89+M89+Q89</f>
        <v>12338</v>
      </c>
    </row>
    <row r="90" spans="1:20" ht="15.75"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20" ht="15.75"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20" ht="15.75" customHeight="1" x14ac:dyDescent="0.3">
      <c r="A93" s="410" t="s">
        <v>701</v>
      </c>
      <c r="B93" s="10">
        <v>4</v>
      </c>
      <c r="C93" s="10">
        <v>626</v>
      </c>
      <c r="D93" s="10">
        <v>1310</v>
      </c>
      <c r="E93" s="38">
        <f>SUM(B93:D93)</f>
        <v>1940</v>
      </c>
      <c r="F93" s="10">
        <v>2942</v>
      </c>
      <c r="G93" s="10">
        <v>3707</v>
      </c>
      <c r="H93" s="10">
        <v>3592</v>
      </c>
      <c r="I93" s="38">
        <f>SUM(F93:H93)</f>
        <v>10241</v>
      </c>
      <c r="J93" s="10">
        <v>3949</v>
      </c>
      <c r="K93" s="10">
        <v>3386</v>
      </c>
      <c r="L93" s="10">
        <v>2155</v>
      </c>
      <c r="M93" s="38">
        <f>SUM(J93:L93)</f>
        <v>9490</v>
      </c>
      <c r="N93" s="10">
        <v>1632</v>
      </c>
      <c r="O93" s="10">
        <v>909</v>
      </c>
      <c r="P93" s="10">
        <v>1710</v>
      </c>
      <c r="Q93" s="38">
        <f>SUM(N93:P93)</f>
        <v>4251</v>
      </c>
      <c r="R93" s="38">
        <f>+E93+I93+M93+Q93</f>
        <v>25922</v>
      </c>
      <c r="T93" t="s">
        <v>2810</v>
      </c>
    </row>
    <row r="94" spans="1:20" ht="15.75" customHeight="1" x14ac:dyDescent="0.3">
      <c r="A94" s="410" t="s">
        <v>702</v>
      </c>
      <c r="B94" s="10"/>
      <c r="C94" s="10"/>
      <c r="D94" s="10"/>
      <c r="E94" s="38">
        <f>SUM(B94:D94)</f>
        <v>0</v>
      </c>
      <c r="F94" s="10"/>
      <c r="G94" s="10"/>
      <c r="H94" s="10"/>
      <c r="I94" s="38">
        <f>SUM(F94:H94)</f>
        <v>0</v>
      </c>
      <c r="J94" s="10">
        <v>435</v>
      </c>
      <c r="K94" s="10">
        <v>235</v>
      </c>
      <c r="L94" s="10">
        <v>715</v>
      </c>
      <c r="M94" s="38">
        <f>SUM(J94:L94)</f>
        <v>1385</v>
      </c>
      <c r="N94" s="10">
        <v>715</v>
      </c>
      <c r="O94" s="10">
        <v>200</v>
      </c>
      <c r="P94" s="10"/>
      <c r="Q94" s="38">
        <f>SUM(N94:P94)</f>
        <v>915</v>
      </c>
      <c r="R94" s="38">
        <f>+E94+I94+M94+Q94</f>
        <v>2300</v>
      </c>
      <c r="T94" t="s">
        <v>2774</v>
      </c>
    </row>
    <row r="95" spans="1:20" ht="15.75"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20" ht="16.5" customHeight="1" thickBot="1" x14ac:dyDescent="0.35">
      <c r="A96" s="43" t="s">
        <v>1219</v>
      </c>
      <c r="B96" s="42">
        <f>SUM(B90:B95)</f>
        <v>4</v>
      </c>
      <c r="C96" s="42">
        <f>SUM(C90:C95)</f>
        <v>626</v>
      </c>
      <c r="D96" s="42">
        <f>SUM(D90:D95)</f>
        <v>1310</v>
      </c>
      <c r="E96" s="37">
        <f>SUM(B96:D96)</f>
        <v>1940</v>
      </c>
      <c r="F96" s="42">
        <f>SUM(F90:F95)</f>
        <v>2942</v>
      </c>
      <c r="G96" s="42">
        <f>SUM(G90:G95)</f>
        <v>3707</v>
      </c>
      <c r="H96" s="42">
        <f>SUM(H90:H95)</f>
        <v>3592</v>
      </c>
      <c r="I96" s="37">
        <f>SUM(F96:H96)</f>
        <v>10241</v>
      </c>
      <c r="J96" s="42">
        <f>SUM(J90:J95)</f>
        <v>4384</v>
      </c>
      <c r="K96" s="42">
        <f>SUM(K90:K95)</f>
        <v>3621</v>
      </c>
      <c r="L96" s="42">
        <f>SUM(L90:L95)</f>
        <v>2870</v>
      </c>
      <c r="M96" s="37">
        <f>SUM(J96:L96)</f>
        <v>10875</v>
      </c>
      <c r="N96" s="42">
        <f>SUM(N90:N95)</f>
        <v>2347</v>
      </c>
      <c r="O96" s="42">
        <f>SUM(O90:O95)</f>
        <v>1109</v>
      </c>
      <c r="P96" s="42">
        <f>SUM(P90:P95)</f>
        <v>1710</v>
      </c>
      <c r="Q96" s="37">
        <f>SUM(N96:P96)</f>
        <v>5166</v>
      </c>
      <c r="R96" s="37">
        <f>+E96+I96+M96+Q96</f>
        <v>28222</v>
      </c>
    </row>
    <row r="97" spans="1:20" ht="15.75"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20" ht="15.75" customHeight="1" x14ac:dyDescent="0.3">
      <c r="A99" s="235" t="s">
        <v>1711</v>
      </c>
      <c r="B99" s="248"/>
      <c r="C99" s="248"/>
      <c r="D99" s="248"/>
      <c r="E99" s="38"/>
      <c r="F99" s="248"/>
      <c r="G99" s="248"/>
      <c r="H99" s="248"/>
      <c r="I99" s="38"/>
      <c r="J99" s="248"/>
      <c r="K99" s="248"/>
      <c r="L99" s="248"/>
      <c r="M99" s="38"/>
      <c r="N99" s="248"/>
      <c r="O99" s="248"/>
      <c r="P99" s="248"/>
      <c r="Q99" s="38"/>
      <c r="R99" s="38"/>
    </row>
    <row r="100" spans="1:20" ht="15.75" customHeight="1" x14ac:dyDescent="0.3">
      <c r="A100" s="410" t="s">
        <v>1584</v>
      </c>
      <c r="B100" s="172"/>
      <c r="C100" s="172"/>
      <c r="D100" s="172"/>
      <c r="E100" s="38">
        <f t="shared" ref="E100:E107" si="10">SUM(B100:D100)</f>
        <v>0</v>
      </c>
      <c r="F100" s="172"/>
      <c r="G100" s="172"/>
      <c r="H100" s="172"/>
      <c r="I100" s="38">
        <f t="shared" ref="I100:I107" si="11">SUM(F100:H100)</f>
        <v>0</v>
      </c>
      <c r="J100" s="172"/>
      <c r="K100" s="172"/>
      <c r="L100" s="172"/>
      <c r="M100" s="38">
        <f t="shared" ref="M100:M107" si="12">SUM(J100:L100)</f>
        <v>0</v>
      </c>
      <c r="N100" s="172"/>
      <c r="O100" s="172"/>
      <c r="P100" s="172"/>
      <c r="Q100" s="38">
        <f t="shared" ref="Q100:Q107" si="13">SUM(N100:P100)</f>
        <v>0</v>
      </c>
      <c r="R100" s="38">
        <f t="shared" ref="R100:R107" si="14">+E100+I100+M100+Q100</f>
        <v>0</v>
      </c>
    </row>
    <row r="101" spans="1:20" ht="15.75" customHeight="1" x14ac:dyDescent="0.3">
      <c r="A101" s="410" t="s">
        <v>1977</v>
      </c>
      <c r="B101" s="172"/>
      <c r="C101" s="172"/>
      <c r="D101" s="172"/>
      <c r="E101" s="38">
        <f t="shared" si="10"/>
        <v>0</v>
      </c>
      <c r="F101" s="172"/>
      <c r="G101" s="172"/>
      <c r="H101" s="172"/>
      <c r="I101" s="38">
        <f t="shared" si="11"/>
        <v>0</v>
      </c>
      <c r="J101" s="172"/>
      <c r="K101" s="172"/>
      <c r="L101" s="172"/>
      <c r="M101" s="38">
        <f t="shared" si="12"/>
        <v>0</v>
      </c>
      <c r="N101" s="172"/>
      <c r="O101" s="172"/>
      <c r="P101" s="172"/>
      <c r="Q101" s="38">
        <f t="shared" si="13"/>
        <v>0</v>
      </c>
      <c r="R101" s="38">
        <f t="shared" si="14"/>
        <v>0</v>
      </c>
    </row>
    <row r="102" spans="1:20" ht="15.75" customHeight="1" x14ac:dyDescent="0.3">
      <c r="A102" s="410" t="s">
        <v>1571</v>
      </c>
      <c r="B102" s="172"/>
      <c r="C102" s="172"/>
      <c r="D102" s="172"/>
      <c r="E102" s="38">
        <f>SUM(B102:D102)</f>
        <v>0</v>
      </c>
      <c r="F102" s="172"/>
      <c r="G102" s="172"/>
      <c r="H102" s="172"/>
      <c r="I102" s="38">
        <f>SUM(F102:H102)</f>
        <v>0</v>
      </c>
      <c r="J102" s="172"/>
      <c r="K102" s="172"/>
      <c r="L102" s="172"/>
      <c r="M102" s="38">
        <f>SUM(J102:L102)</f>
        <v>0</v>
      </c>
      <c r="N102" s="172"/>
      <c r="O102" s="172"/>
      <c r="P102" s="172"/>
      <c r="Q102" s="38">
        <f>SUM(N102:P102)</f>
        <v>0</v>
      </c>
      <c r="R102" s="38">
        <f>+E102+I102+M102+Q102</f>
        <v>0</v>
      </c>
    </row>
    <row r="103" spans="1:20" ht="15.75" customHeight="1" x14ac:dyDescent="0.3">
      <c r="A103" s="410" t="s">
        <v>3155</v>
      </c>
      <c r="B103" s="172"/>
      <c r="C103" s="172"/>
      <c r="D103" s="172"/>
      <c r="E103" s="38">
        <f>SUM(B103:D103)</f>
        <v>0</v>
      </c>
      <c r="F103" s="172"/>
      <c r="G103" s="172"/>
      <c r="H103" s="172"/>
      <c r="I103" s="38">
        <f>SUM(F103:H103)</f>
        <v>0</v>
      </c>
      <c r="J103" s="172"/>
      <c r="K103" s="172"/>
      <c r="L103" s="172"/>
      <c r="M103" s="38">
        <f>SUM(J103:L103)</f>
        <v>0</v>
      </c>
      <c r="N103" s="172"/>
      <c r="O103" s="172"/>
      <c r="P103" s="172"/>
      <c r="Q103" s="38">
        <f>SUM(N103:P103)</f>
        <v>0</v>
      </c>
      <c r="R103" s="38">
        <f>+E103+I103+M103+Q103</f>
        <v>0</v>
      </c>
      <c r="T103" t="s">
        <v>2799</v>
      </c>
    </row>
    <row r="104" spans="1:20" ht="15.75" customHeight="1" x14ac:dyDescent="0.3">
      <c r="A104" s="410" t="s">
        <v>436</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customHeight="1" x14ac:dyDescent="0.3">
      <c r="A105" s="410" t="s">
        <v>2182</v>
      </c>
      <c r="B105" s="172"/>
      <c r="C105" s="172"/>
      <c r="D105" s="172"/>
      <c r="E105" s="38">
        <f t="shared" si="10"/>
        <v>0</v>
      </c>
      <c r="F105" s="172"/>
      <c r="G105" s="172"/>
      <c r="H105" s="172"/>
      <c r="I105" s="38">
        <f t="shared" si="11"/>
        <v>0</v>
      </c>
      <c r="J105" s="172"/>
      <c r="K105" s="172"/>
      <c r="L105" s="172"/>
      <c r="M105" s="38">
        <f t="shared" si="12"/>
        <v>0</v>
      </c>
      <c r="N105" s="172"/>
      <c r="O105" s="172"/>
      <c r="P105" s="172"/>
      <c r="Q105" s="38">
        <f t="shared" si="13"/>
        <v>0</v>
      </c>
      <c r="R105" s="38">
        <f t="shared" si="14"/>
        <v>0</v>
      </c>
    </row>
    <row r="106" spans="1:20" ht="15.75" customHeight="1" thickBot="1" x14ac:dyDescent="0.35">
      <c r="A106" s="410" t="s">
        <v>2261</v>
      </c>
      <c r="B106" s="172"/>
      <c r="C106" s="172"/>
      <c r="D106" s="172"/>
      <c r="E106" s="38">
        <f t="shared" si="10"/>
        <v>0</v>
      </c>
      <c r="F106" s="172"/>
      <c r="G106" s="172"/>
      <c r="H106" s="172"/>
      <c r="I106" s="38">
        <f t="shared" si="11"/>
        <v>0</v>
      </c>
      <c r="J106" s="172"/>
      <c r="K106" s="172"/>
      <c r="L106" s="172"/>
      <c r="M106" s="38">
        <f t="shared" si="12"/>
        <v>0</v>
      </c>
      <c r="N106" s="172"/>
      <c r="O106" s="172"/>
      <c r="P106" s="172"/>
      <c r="Q106" s="38">
        <f t="shared" si="13"/>
        <v>0</v>
      </c>
      <c r="R106" s="38">
        <f t="shared" si="14"/>
        <v>0</v>
      </c>
    </row>
    <row r="107" spans="1:20" ht="16.5" customHeight="1" thickBot="1" x14ac:dyDescent="0.35">
      <c r="A107" s="43" t="s">
        <v>1220</v>
      </c>
      <c r="B107" s="42">
        <f>SUM(B97:B106)</f>
        <v>0</v>
      </c>
      <c r="C107" s="42">
        <f>SUM(C97:C106)</f>
        <v>0</v>
      </c>
      <c r="D107" s="42">
        <f>SUM(D97:D106)</f>
        <v>0</v>
      </c>
      <c r="E107" s="37">
        <f t="shared" si="10"/>
        <v>0</v>
      </c>
      <c r="F107" s="42">
        <f>SUM(F97:F106)</f>
        <v>0</v>
      </c>
      <c r="G107" s="42">
        <f>SUM(G97:G106)</f>
        <v>0</v>
      </c>
      <c r="H107" s="42">
        <f>SUM(H97:H106)</f>
        <v>0</v>
      </c>
      <c r="I107" s="37">
        <f t="shared" si="11"/>
        <v>0</v>
      </c>
      <c r="J107" s="42">
        <f>SUM(J97:J106)</f>
        <v>0</v>
      </c>
      <c r="K107" s="42">
        <f>SUM(K97:K106)</f>
        <v>0</v>
      </c>
      <c r="L107" s="42">
        <f>SUM(L97:L106)</f>
        <v>0</v>
      </c>
      <c r="M107" s="37">
        <f t="shared" si="12"/>
        <v>0</v>
      </c>
      <c r="N107" s="42">
        <f>SUM(N97:N106)</f>
        <v>0</v>
      </c>
      <c r="O107" s="42">
        <f>SUM(O97:O106)</f>
        <v>0</v>
      </c>
      <c r="P107" s="42">
        <f>SUM(P97:P106)</f>
        <v>0</v>
      </c>
      <c r="Q107" s="37">
        <f t="shared" si="13"/>
        <v>0</v>
      </c>
      <c r="R107" s="37">
        <f t="shared" si="14"/>
        <v>0</v>
      </c>
    </row>
    <row r="108" spans="1:20" ht="15.75" customHeight="1" x14ac:dyDescent="0.3">
      <c r="A108" s="235" t="s">
        <v>1712</v>
      </c>
      <c r="B108" s="248"/>
      <c r="C108" s="248"/>
      <c r="D108" s="248"/>
      <c r="E108" s="38" t="s">
        <v>852</v>
      </c>
      <c r="F108" s="248"/>
      <c r="G108" s="248"/>
      <c r="H108" s="248"/>
      <c r="I108" s="38" t="s">
        <v>852</v>
      </c>
      <c r="J108" s="248"/>
      <c r="K108" s="248"/>
      <c r="L108" s="248"/>
      <c r="M108" s="38" t="s">
        <v>852</v>
      </c>
      <c r="N108" s="248"/>
      <c r="O108" s="248"/>
      <c r="P108" s="248"/>
      <c r="Q108" s="38" t="s">
        <v>852</v>
      </c>
      <c r="R108" s="38" t="s">
        <v>852</v>
      </c>
    </row>
    <row r="109" spans="1:20" ht="15.75" customHeight="1" x14ac:dyDescent="0.3">
      <c r="A109" s="235" t="s">
        <v>1021</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20" ht="15.75" customHeight="1" x14ac:dyDescent="0.3">
      <c r="A110" s="422" t="s">
        <v>2751</v>
      </c>
      <c r="B110" s="172"/>
      <c r="C110" s="172"/>
      <c r="D110" s="172"/>
      <c r="E110" s="38">
        <f t="shared" ref="E110:E115" si="15">SUM(B110:D110)</f>
        <v>0</v>
      </c>
      <c r="F110" s="172"/>
      <c r="G110" s="172"/>
      <c r="H110" s="172"/>
      <c r="I110" s="38">
        <f t="shared" ref="I110:I115" si="16">SUM(F110:H110)</f>
        <v>0</v>
      </c>
      <c r="J110" s="172"/>
      <c r="K110" s="172"/>
      <c r="L110" s="172"/>
      <c r="M110" s="38">
        <f t="shared" ref="M110:M115" si="17">SUM(J110:L110)</f>
        <v>0</v>
      </c>
      <c r="N110" s="172"/>
      <c r="O110" s="172"/>
      <c r="P110" s="172"/>
      <c r="Q110" s="38">
        <f t="shared" ref="Q110:Q115" si="18">SUM(N110:P110)</f>
        <v>0</v>
      </c>
      <c r="R110" s="38">
        <f t="shared" ref="R110:R115" si="19">+E110+I110+M110+Q110</f>
        <v>0</v>
      </c>
    </row>
    <row r="111" spans="1:20" ht="15.75" customHeight="1" x14ac:dyDescent="0.3">
      <c r="A111" s="422" t="s">
        <v>656</v>
      </c>
      <c r="B111" s="172"/>
      <c r="C111" s="172"/>
      <c r="D111" s="172"/>
      <c r="E111" s="38">
        <f t="shared" si="15"/>
        <v>0</v>
      </c>
      <c r="F111" s="172"/>
      <c r="G111" s="172"/>
      <c r="H111" s="172"/>
      <c r="I111" s="38">
        <f t="shared" si="16"/>
        <v>0</v>
      </c>
      <c r="J111" s="172"/>
      <c r="K111" s="172"/>
      <c r="L111" s="172"/>
      <c r="M111" s="38">
        <f t="shared" si="17"/>
        <v>0</v>
      </c>
      <c r="N111" s="172"/>
      <c r="O111" s="172"/>
      <c r="P111" s="172"/>
      <c r="Q111" s="38">
        <f t="shared" si="18"/>
        <v>0</v>
      </c>
      <c r="R111" s="38">
        <f t="shared" si="19"/>
        <v>0</v>
      </c>
    </row>
    <row r="112" spans="1:20" ht="15.75" customHeight="1" x14ac:dyDescent="0.3">
      <c r="A112" s="422" t="s">
        <v>320</v>
      </c>
      <c r="B112" s="172"/>
      <c r="C112" s="172"/>
      <c r="D112" s="172"/>
      <c r="E112" s="38">
        <f t="shared" si="15"/>
        <v>0</v>
      </c>
      <c r="F112" s="172"/>
      <c r="G112" s="172"/>
      <c r="H112" s="172"/>
      <c r="I112" s="38">
        <f t="shared" si="16"/>
        <v>0</v>
      </c>
      <c r="J112" s="172"/>
      <c r="K112" s="172"/>
      <c r="L112" s="172"/>
      <c r="M112" s="38">
        <f t="shared" si="17"/>
        <v>0</v>
      </c>
      <c r="N112" s="172"/>
      <c r="O112" s="172"/>
      <c r="P112" s="172"/>
      <c r="Q112" s="38">
        <f t="shared" si="18"/>
        <v>0</v>
      </c>
      <c r="R112" s="38">
        <f t="shared" si="19"/>
        <v>0</v>
      </c>
    </row>
    <row r="113" spans="1:20" ht="15.75" customHeight="1" x14ac:dyDescent="0.3">
      <c r="A113" s="422" t="s">
        <v>563</v>
      </c>
      <c r="B113" s="172"/>
      <c r="C113" s="172"/>
      <c r="D113" s="172"/>
      <c r="E113" s="38">
        <f t="shared" si="15"/>
        <v>0</v>
      </c>
      <c r="F113" s="172"/>
      <c r="G113" s="172"/>
      <c r="H113" s="172"/>
      <c r="I113" s="38">
        <f t="shared" si="16"/>
        <v>0</v>
      </c>
      <c r="J113" s="172"/>
      <c r="K113" s="172"/>
      <c r="L113" s="172"/>
      <c r="M113" s="38">
        <f t="shared" si="17"/>
        <v>0</v>
      </c>
      <c r="N113" s="172"/>
      <c r="O113" s="172"/>
      <c r="P113" s="172"/>
      <c r="Q113" s="38">
        <f t="shared" si="18"/>
        <v>0</v>
      </c>
      <c r="R113" s="38">
        <f t="shared" si="19"/>
        <v>0</v>
      </c>
    </row>
    <row r="114" spans="1:20" ht="15.75" customHeight="1" x14ac:dyDescent="0.3">
      <c r="A114" s="422" t="s">
        <v>2123</v>
      </c>
      <c r="B114" s="172"/>
      <c r="C114" s="172"/>
      <c r="D114" s="172"/>
      <c r="E114" s="38">
        <f t="shared" si="15"/>
        <v>0</v>
      </c>
      <c r="F114" s="172"/>
      <c r="G114" s="172"/>
      <c r="H114" s="172"/>
      <c r="I114" s="38">
        <f t="shared" si="16"/>
        <v>0</v>
      </c>
      <c r="J114" s="172"/>
      <c r="K114" s="172"/>
      <c r="L114" s="172"/>
      <c r="M114" s="38">
        <f t="shared" si="17"/>
        <v>0</v>
      </c>
      <c r="N114" s="172"/>
      <c r="O114" s="172"/>
      <c r="P114" s="172"/>
      <c r="Q114" s="38">
        <f t="shared" si="18"/>
        <v>0</v>
      </c>
      <c r="R114" s="38">
        <f t="shared" si="19"/>
        <v>0</v>
      </c>
    </row>
    <row r="115" spans="1:20" ht="15.75" customHeight="1" x14ac:dyDescent="0.3">
      <c r="A115" s="422" t="s">
        <v>2752</v>
      </c>
      <c r="B115" s="172"/>
      <c r="C115" s="172"/>
      <c r="D115" s="172"/>
      <c r="E115" s="38">
        <f t="shared" si="15"/>
        <v>0</v>
      </c>
      <c r="F115" s="172"/>
      <c r="G115" s="172"/>
      <c r="H115" s="172"/>
      <c r="I115" s="38">
        <f t="shared" si="16"/>
        <v>0</v>
      </c>
      <c r="J115" s="172"/>
      <c r="K115" s="172"/>
      <c r="L115" s="172"/>
      <c r="M115" s="38">
        <f t="shared" si="17"/>
        <v>0</v>
      </c>
      <c r="N115" s="172"/>
      <c r="O115" s="172"/>
      <c r="P115" s="172"/>
      <c r="Q115" s="38">
        <f t="shared" si="18"/>
        <v>0</v>
      </c>
      <c r="R115" s="38">
        <f t="shared" si="19"/>
        <v>0</v>
      </c>
    </row>
    <row r="116" spans="1:20" ht="15.75" customHeight="1" x14ac:dyDescent="0.3">
      <c r="A116" s="422" t="s">
        <v>2690</v>
      </c>
      <c r="B116" s="172"/>
      <c r="C116" s="172"/>
      <c r="D116" s="172"/>
      <c r="E116" s="38">
        <f>SUM(B116:D116)</f>
        <v>0</v>
      </c>
      <c r="F116" s="172"/>
      <c r="G116" s="172"/>
      <c r="H116" s="172"/>
      <c r="I116" s="38">
        <f>SUM(F116:H116)</f>
        <v>0</v>
      </c>
      <c r="J116" s="172"/>
      <c r="K116" s="172"/>
      <c r="L116" s="172"/>
      <c r="M116" s="38">
        <f>SUM(J116:L116)</f>
        <v>0</v>
      </c>
      <c r="N116" s="172"/>
      <c r="O116" s="172"/>
      <c r="P116" s="172"/>
      <c r="Q116" s="38">
        <f>SUM(N116:P116)</f>
        <v>0</v>
      </c>
      <c r="R116" s="38">
        <f>+E116+I116+M116+Q116</f>
        <v>0</v>
      </c>
    </row>
    <row r="117" spans="1:20" ht="15.75" customHeight="1" x14ac:dyDescent="0.3">
      <c r="A117" s="618" t="s">
        <v>2503</v>
      </c>
      <c r="B117" s="172"/>
      <c r="C117" s="172"/>
      <c r="D117" s="172"/>
      <c r="E117" s="38">
        <f>SUM(B117:D117)</f>
        <v>0</v>
      </c>
      <c r="F117" s="172"/>
      <c r="G117" s="172"/>
      <c r="H117" s="172"/>
      <c r="I117" s="38">
        <f>SUM(F117:H117)</f>
        <v>0</v>
      </c>
      <c r="J117" s="172"/>
      <c r="K117" s="172"/>
      <c r="L117" s="172"/>
      <c r="M117" s="38">
        <f>SUM(J117:L117)</f>
        <v>0</v>
      </c>
      <c r="N117" s="172"/>
      <c r="O117" s="172"/>
      <c r="P117" s="172"/>
      <c r="Q117" s="38">
        <f>SUM(N117:P117)</f>
        <v>0</v>
      </c>
      <c r="R117" s="38">
        <f>+E117+I117+M117+Q117</f>
        <v>0</v>
      </c>
      <c r="T117" t="s">
        <v>2811</v>
      </c>
    </row>
    <row r="118" spans="1:20" ht="15.75" customHeight="1" x14ac:dyDescent="0.3">
      <c r="A118" s="235" t="s">
        <v>557</v>
      </c>
      <c r="B118" s="248"/>
      <c r="C118" s="248"/>
      <c r="D118" s="248"/>
      <c r="E118" s="38" t="s">
        <v>852</v>
      </c>
      <c r="F118" s="248"/>
      <c r="G118" s="248"/>
      <c r="H118" s="248"/>
      <c r="I118" s="38" t="s">
        <v>852</v>
      </c>
      <c r="J118" s="248"/>
      <c r="K118" s="248"/>
      <c r="L118" s="248"/>
      <c r="M118" s="38" t="s">
        <v>852</v>
      </c>
      <c r="N118" s="248"/>
      <c r="O118" s="248"/>
      <c r="P118" s="248"/>
      <c r="Q118" s="38" t="s">
        <v>852</v>
      </c>
      <c r="R118" s="38" t="s">
        <v>852</v>
      </c>
    </row>
    <row r="119" spans="1:20" ht="15.75" customHeight="1" x14ac:dyDescent="0.3">
      <c r="A119" s="422" t="s">
        <v>2606</v>
      </c>
      <c r="B119" s="172"/>
      <c r="C119" s="172"/>
      <c r="D119" s="172"/>
      <c r="E119" s="38">
        <f>SUM(B119:D119)</f>
        <v>0</v>
      </c>
      <c r="F119" s="172"/>
      <c r="G119" s="172"/>
      <c r="H119" s="172"/>
      <c r="I119" s="38">
        <f>SUM(F119:H119)</f>
        <v>0</v>
      </c>
      <c r="J119" s="172"/>
      <c r="K119" s="172"/>
      <c r="L119" s="172"/>
      <c r="M119" s="38">
        <f>SUM(J119:L119)</f>
        <v>0</v>
      </c>
      <c r="N119" s="172"/>
      <c r="O119" s="172"/>
      <c r="P119" s="172"/>
      <c r="Q119" s="38">
        <f>SUM(N119:P119)</f>
        <v>0</v>
      </c>
      <c r="R119" s="38">
        <f>+E119+I119+M119+Q119</f>
        <v>0</v>
      </c>
    </row>
    <row r="120" spans="1:20" ht="15.75" customHeight="1" x14ac:dyDescent="0.3">
      <c r="A120" s="422" t="s">
        <v>2548</v>
      </c>
      <c r="B120" s="172"/>
      <c r="C120" s="172"/>
      <c r="D120" s="172"/>
      <c r="E120" s="38">
        <f>SUM(B120:D120)</f>
        <v>0</v>
      </c>
      <c r="F120" s="172"/>
      <c r="G120" s="172"/>
      <c r="H120" s="172"/>
      <c r="I120" s="38">
        <f>SUM(F120:H120)</f>
        <v>0</v>
      </c>
      <c r="J120" s="172"/>
      <c r="K120" s="172"/>
      <c r="L120" s="172"/>
      <c r="M120" s="38">
        <f>SUM(J120:L120)</f>
        <v>0</v>
      </c>
      <c r="N120" s="172"/>
      <c r="O120" s="172"/>
      <c r="P120" s="172"/>
      <c r="Q120" s="38">
        <f>SUM(N120:P120)</f>
        <v>0</v>
      </c>
      <c r="R120" s="38">
        <f>+E120+I120+M120+Q120</f>
        <v>0</v>
      </c>
    </row>
    <row r="121" spans="1:20" ht="15.75" customHeight="1" x14ac:dyDescent="0.3">
      <c r="A121" s="235" t="s">
        <v>1022</v>
      </c>
      <c r="B121" s="248"/>
      <c r="C121" s="248"/>
      <c r="D121" s="248"/>
      <c r="E121" s="38" t="s">
        <v>852</v>
      </c>
      <c r="F121" s="248"/>
      <c r="G121" s="248"/>
      <c r="H121" s="248"/>
      <c r="I121" s="38" t="s">
        <v>852</v>
      </c>
      <c r="J121" s="248"/>
      <c r="K121" s="248"/>
      <c r="L121" s="248"/>
      <c r="M121" s="38" t="s">
        <v>852</v>
      </c>
      <c r="N121" s="248"/>
      <c r="O121" s="248"/>
      <c r="P121" s="248"/>
      <c r="Q121" s="38" t="s">
        <v>852</v>
      </c>
      <c r="R121" s="38" t="s">
        <v>852</v>
      </c>
    </row>
    <row r="122" spans="1:20" ht="15.75" customHeight="1" x14ac:dyDescent="0.3">
      <c r="A122" s="422" t="s">
        <v>239</v>
      </c>
      <c r="B122" s="10"/>
      <c r="C122" s="10"/>
      <c r="D122" s="10"/>
      <c r="E122" s="38">
        <f>SUM(B122:D122)</f>
        <v>0</v>
      </c>
      <c r="F122" s="10"/>
      <c r="G122" s="10"/>
      <c r="H122" s="10"/>
      <c r="I122" s="38">
        <f>SUM(F122:H122)</f>
        <v>0</v>
      </c>
      <c r="J122" s="10"/>
      <c r="K122" s="10"/>
      <c r="L122" s="10"/>
      <c r="M122" s="38">
        <f>SUM(J122:L122)</f>
        <v>0</v>
      </c>
      <c r="N122" s="10"/>
      <c r="O122" s="10"/>
      <c r="P122" s="10"/>
      <c r="Q122" s="38">
        <f>SUM(N122:P122)</f>
        <v>0</v>
      </c>
      <c r="R122" s="38">
        <f>+E122+I122+M122+Q122</f>
        <v>0</v>
      </c>
      <c r="T122" t="s">
        <v>2774</v>
      </c>
    </row>
    <row r="123" spans="1:20" ht="15.75" customHeight="1" thickBot="1" x14ac:dyDescent="0.35">
      <c r="A123" s="235" t="s">
        <v>559</v>
      </c>
      <c r="B123" s="248"/>
      <c r="C123" s="248"/>
      <c r="D123" s="248"/>
      <c r="E123" s="38" t="s">
        <v>852</v>
      </c>
      <c r="F123" s="248"/>
      <c r="G123" s="248"/>
      <c r="H123" s="248"/>
      <c r="I123" s="38" t="s">
        <v>852</v>
      </c>
      <c r="J123" s="248"/>
      <c r="K123" s="248"/>
      <c r="L123" s="248"/>
      <c r="M123" s="38" t="s">
        <v>852</v>
      </c>
      <c r="N123" s="248"/>
      <c r="O123" s="248"/>
      <c r="P123" s="248"/>
      <c r="Q123" s="38" t="s">
        <v>852</v>
      </c>
      <c r="R123" s="38" t="s">
        <v>852</v>
      </c>
    </row>
    <row r="124" spans="1:20" ht="16.5" customHeight="1" thickBot="1" x14ac:dyDescent="0.35">
      <c r="A124" s="43" t="s">
        <v>1019</v>
      </c>
      <c r="B124" s="42">
        <f>SUM(B121:B123)</f>
        <v>0</v>
      </c>
      <c r="C124" s="42">
        <f>SUM(C121:C123)</f>
        <v>0</v>
      </c>
      <c r="D124" s="42">
        <f>SUM(D121:D123)</f>
        <v>0</v>
      </c>
      <c r="E124" s="39">
        <f>SUM(B124:D124)</f>
        <v>0</v>
      </c>
      <c r="F124" s="42">
        <f>SUM(F121:F123)</f>
        <v>0</v>
      </c>
      <c r="G124" s="42">
        <f>SUM(G121:G123)</f>
        <v>0</v>
      </c>
      <c r="H124" s="42">
        <f>SUM(H121:H123)</f>
        <v>0</v>
      </c>
      <c r="I124" s="39">
        <f>SUM(F124:H124)</f>
        <v>0</v>
      </c>
      <c r="J124" s="42">
        <f>SUM(J121:J123)</f>
        <v>0</v>
      </c>
      <c r="K124" s="42">
        <f>SUM(K121:K123)</f>
        <v>0</v>
      </c>
      <c r="L124" s="42">
        <f>SUM(L121:L123)</f>
        <v>0</v>
      </c>
      <c r="M124" s="39">
        <f>SUM(J124:L124)</f>
        <v>0</v>
      </c>
      <c r="N124" s="42">
        <f>SUM(N121:N123)</f>
        <v>0</v>
      </c>
      <c r="O124" s="42">
        <f>SUM(O121:O123)</f>
        <v>0</v>
      </c>
      <c r="P124" s="42">
        <f>SUM(P121:P123)</f>
        <v>0</v>
      </c>
      <c r="Q124" s="39">
        <f>SUM(N124:P124)</f>
        <v>0</v>
      </c>
      <c r="R124" s="37">
        <f>+E124+I124+M124+Q124</f>
        <v>0</v>
      </c>
    </row>
    <row r="125" spans="1:20" ht="16.5" customHeight="1" thickBot="1" x14ac:dyDescent="0.35">
      <c r="A125" s="43" t="s">
        <v>1221</v>
      </c>
      <c r="B125" s="42">
        <f>SUM(B108:B123)</f>
        <v>0</v>
      </c>
      <c r="C125" s="42">
        <f>SUM(C108:C123)</f>
        <v>0</v>
      </c>
      <c r="D125" s="42">
        <f>SUM(D108:D123)</f>
        <v>0</v>
      </c>
      <c r="E125" s="39">
        <f>SUM(B125:D125)</f>
        <v>0</v>
      </c>
      <c r="F125" s="42">
        <f>SUM(F108:F123)</f>
        <v>0</v>
      </c>
      <c r="G125" s="42">
        <f>SUM(G108:G123)</f>
        <v>0</v>
      </c>
      <c r="H125" s="42">
        <f>SUM(H108:H123)</f>
        <v>0</v>
      </c>
      <c r="I125" s="39">
        <f>SUM(F125:H125)</f>
        <v>0</v>
      </c>
      <c r="J125" s="42">
        <f>SUM(J108:J123)</f>
        <v>0</v>
      </c>
      <c r="K125" s="42">
        <f>SUM(K108:K123)</f>
        <v>0</v>
      </c>
      <c r="L125" s="42">
        <f>SUM(L108:L123)</f>
        <v>0</v>
      </c>
      <c r="M125" s="39">
        <f>SUM(J125:L125)</f>
        <v>0</v>
      </c>
      <c r="N125" s="42">
        <f>SUM(N108:N123)</f>
        <v>0</v>
      </c>
      <c r="O125" s="42">
        <f>SUM(O108:O123)</f>
        <v>0</v>
      </c>
      <c r="P125" s="42">
        <f>SUM(P108:P123)</f>
        <v>0</v>
      </c>
      <c r="Q125" s="39">
        <f>SUM(N125:P125)</f>
        <v>0</v>
      </c>
      <c r="R125" s="37">
        <f>+E125+I125+M125+Q125</f>
        <v>0</v>
      </c>
    </row>
    <row r="126" spans="1:20" ht="16.5" customHeight="1" thickBot="1" x14ac:dyDescent="0.35">
      <c r="A126" s="43" t="s">
        <v>1222</v>
      </c>
      <c r="B126" s="42">
        <f>+B89+B96+B107+B125</f>
        <v>26</v>
      </c>
      <c r="C126" s="42">
        <f>+C89+C96+C107+C125</f>
        <v>986</v>
      </c>
      <c r="D126" s="42">
        <f>+D89+D96+D107+D125</f>
        <v>2547</v>
      </c>
      <c r="E126" s="37">
        <f>SUM(B126:D126)</f>
        <v>3559</v>
      </c>
      <c r="F126" s="42">
        <f>+F89+F96+F107+F125</f>
        <v>4658</v>
      </c>
      <c r="G126" s="42">
        <f>+G89+G96+G107+G125</f>
        <v>5634</v>
      </c>
      <c r="H126" s="42">
        <f>+H89+H96+H107+H125</f>
        <v>5431</v>
      </c>
      <c r="I126" s="37">
        <f>SUM(F126:H126)</f>
        <v>15723</v>
      </c>
      <c r="J126" s="42">
        <f>+J89+J96+J107+J125</f>
        <v>5217</v>
      </c>
      <c r="K126" s="42">
        <f>+K89+K96+K107+K125</f>
        <v>5047</v>
      </c>
      <c r="L126" s="42">
        <f>+L89+L96+L107+L125</f>
        <v>4097</v>
      </c>
      <c r="M126" s="37">
        <f>SUM(J126:L126)</f>
        <v>14361</v>
      </c>
      <c r="N126" s="42">
        <f>+N89+N96+N107+N125</f>
        <v>2897</v>
      </c>
      <c r="O126" s="42">
        <f>+O89+O96+O107+O125</f>
        <v>1589</v>
      </c>
      <c r="P126" s="42">
        <f>+P89+P96+P107+P125</f>
        <v>2431</v>
      </c>
      <c r="Q126" s="37">
        <f>SUM(N126:P126)</f>
        <v>6917</v>
      </c>
      <c r="R126" s="37">
        <f>+E126+I126+M126+Q126</f>
        <v>40560</v>
      </c>
    </row>
    <row r="127" spans="1:20" ht="16.5" customHeight="1" thickBot="1" x14ac:dyDescent="0.35">
      <c r="A127" s="257" t="s">
        <v>853</v>
      </c>
      <c r="B127" s="238">
        <v>173</v>
      </c>
      <c r="C127" s="238">
        <v>260</v>
      </c>
      <c r="D127" s="238">
        <v>471</v>
      </c>
      <c r="E127" s="38">
        <f>SUM(B127:D127)</f>
        <v>904</v>
      </c>
      <c r="F127" s="238">
        <v>629</v>
      </c>
      <c r="G127" s="238">
        <v>725</v>
      </c>
      <c r="H127" s="238">
        <v>712</v>
      </c>
      <c r="I127" s="38">
        <f>SUM(F127:H127)</f>
        <v>2066</v>
      </c>
      <c r="J127" s="238">
        <v>711</v>
      </c>
      <c r="K127" s="238">
        <v>573</v>
      </c>
      <c r="L127" s="238">
        <v>542</v>
      </c>
      <c r="M127" s="38">
        <f>SUM(J127:L127)</f>
        <v>1826</v>
      </c>
      <c r="N127" s="238">
        <v>490</v>
      </c>
      <c r="O127" s="238">
        <v>407</v>
      </c>
      <c r="P127" s="238">
        <v>323</v>
      </c>
      <c r="Q127" s="38">
        <f>SUM(N127:P127)</f>
        <v>1220</v>
      </c>
      <c r="R127" s="38">
        <f>+E127+I127+M127+Q127</f>
        <v>6016</v>
      </c>
    </row>
    <row r="128" spans="1:20" ht="16.5" customHeight="1" thickBot="1" x14ac:dyDescent="0.35">
      <c r="A128" s="44"/>
      <c r="B128" s="258"/>
      <c r="C128" s="258"/>
      <c r="D128" s="258"/>
      <c r="E128" s="37" t="s">
        <v>852</v>
      </c>
      <c r="F128" s="258"/>
      <c r="G128" s="258"/>
      <c r="H128" s="258"/>
      <c r="I128" s="37" t="s">
        <v>852</v>
      </c>
      <c r="J128" s="258"/>
      <c r="K128" s="258"/>
      <c r="L128" s="258"/>
      <c r="M128" s="37" t="s">
        <v>852</v>
      </c>
      <c r="N128" s="258"/>
      <c r="O128" s="258"/>
      <c r="P128" s="258"/>
      <c r="Q128" s="37" t="s">
        <v>852</v>
      </c>
      <c r="R128" s="37" t="s">
        <v>852</v>
      </c>
    </row>
    <row r="129" spans="1:20" ht="15.75" customHeight="1" x14ac:dyDescent="0.3">
      <c r="A129" s="259" t="s">
        <v>2011</v>
      </c>
      <c r="B129" s="260">
        <f>+B126+B127</f>
        <v>199</v>
      </c>
      <c r="C129" s="260">
        <f>+C126+C127</f>
        <v>1246</v>
      </c>
      <c r="D129" s="260">
        <f>+D126+D127</f>
        <v>3018</v>
      </c>
      <c r="E129" s="38">
        <f>SUM(B129:D129)</f>
        <v>4463</v>
      </c>
      <c r="F129" s="260">
        <f>+F126+F127</f>
        <v>5287</v>
      </c>
      <c r="G129" s="260">
        <f>+G126+G127</f>
        <v>6359</v>
      </c>
      <c r="H129" s="260">
        <f>+H126+H127</f>
        <v>6143</v>
      </c>
      <c r="I129" s="38">
        <f>SUM(F129:H129)</f>
        <v>17789</v>
      </c>
      <c r="J129" s="260">
        <f>+J126+J127</f>
        <v>5928</v>
      </c>
      <c r="K129" s="260">
        <f>+K126+K127</f>
        <v>5620</v>
      </c>
      <c r="L129" s="260">
        <f>+L126+L127</f>
        <v>4639</v>
      </c>
      <c r="M129" s="38">
        <f>SUM(J129:L129)</f>
        <v>16187</v>
      </c>
      <c r="N129" s="260">
        <f>+N126+N127</f>
        <v>3387</v>
      </c>
      <c r="O129" s="260">
        <f>+O126+O127</f>
        <v>1996</v>
      </c>
      <c r="P129" s="260">
        <f>+P126+P127</f>
        <v>2754</v>
      </c>
      <c r="Q129" s="38">
        <f>SUM(N129:P129)</f>
        <v>8137</v>
      </c>
      <c r="R129" s="38">
        <f>+E129+I129+M129+Q129</f>
        <v>46576</v>
      </c>
    </row>
    <row r="130" spans="1:20" ht="15.75" customHeight="1" x14ac:dyDescent="0.3">
      <c r="A130" s="261" t="s">
        <v>1897</v>
      </c>
      <c r="B130" s="172">
        <f>(B129/B10)/1.983</f>
        <v>3.2371935646544006</v>
      </c>
      <c r="C130" s="172">
        <f>(C129/C10)/1.983</f>
        <v>22.440746343923347</v>
      </c>
      <c r="D130" s="172">
        <f>(D129/D10)/1.983</f>
        <v>49.094724513200916</v>
      </c>
      <c r="E130" s="38" t="s">
        <v>852</v>
      </c>
      <c r="F130" s="172">
        <f>(F129/F10)/1.983</f>
        <v>88.872079341065714</v>
      </c>
      <c r="G130" s="172">
        <f>(G129/G10)/1.983</f>
        <v>103.44378832983585</v>
      </c>
      <c r="H130" s="172">
        <f>(H129/H10)/1.983</f>
        <v>103.26105227769374</v>
      </c>
      <c r="I130" s="38" t="s">
        <v>852</v>
      </c>
      <c r="J130" s="172">
        <f>(J129/J10)/1.983</f>
        <v>96.432580157142155</v>
      </c>
      <c r="K130" s="172">
        <f>(K129/K10)/1.983</f>
        <v>91.422250418883081</v>
      </c>
      <c r="L130" s="172">
        <f>(L129/L10)/1.983</f>
        <v>77.979492351655736</v>
      </c>
      <c r="M130" s="38" t="s">
        <v>852</v>
      </c>
      <c r="N130" s="172">
        <f>(N129/N10)/1.983</f>
        <v>55.097359816504806</v>
      </c>
      <c r="O130" s="172">
        <f>(O129/O10)/1.983</f>
        <v>33.551857455034458</v>
      </c>
      <c r="P130" s="172">
        <f>(P129/P10)/1.983</f>
        <v>44.80015616612171</v>
      </c>
      <c r="Q130" s="38" t="s">
        <v>852</v>
      </c>
      <c r="R130" s="38" t="s">
        <v>852</v>
      </c>
    </row>
    <row r="131" spans="1:20" ht="15.75" customHeight="1" x14ac:dyDescent="0.3">
      <c r="A131" s="262" t="s">
        <v>1679</v>
      </c>
      <c r="B131" s="172">
        <f>B129+B309</f>
        <v>124350</v>
      </c>
      <c r="C131" s="172">
        <f>C129+C309</f>
        <v>59909</v>
      </c>
      <c r="D131" s="172">
        <f>D129+D309</f>
        <v>135112</v>
      </c>
      <c r="E131" s="38">
        <f>SUM(B131:D131)</f>
        <v>319371</v>
      </c>
      <c r="F131" s="172">
        <f>F129+F309</f>
        <v>159436</v>
      </c>
      <c r="G131" s="172">
        <f>G129+G309</f>
        <v>175187</v>
      </c>
      <c r="H131" s="172">
        <f>H129+H309</f>
        <v>81937</v>
      </c>
      <c r="I131" s="38">
        <f>SUM(F131:H131)</f>
        <v>416560</v>
      </c>
      <c r="J131" s="172">
        <f>J129+J309</f>
        <v>74586</v>
      </c>
      <c r="K131" s="172">
        <f>K129+K309</f>
        <v>71543</v>
      </c>
      <c r="L131" s="172">
        <f>L129+L309</f>
        <v>132102</v>
      </c>
      <c r="M131" s="38">
        <f>SUM(J131:L131)</f>
        <v>278231</v>
      </c>
      <c r="N131" s="172">
        <f>N129+N309</f>
        <v>129024</v>
      </c>
      <c r="O131" s="172">
        <f>O129+O309</f>
        <v>126520</v>
      </c>
      <c r="P131" s="172">
        <f>P129+P309</f>
        <v>141004</v>
      </c>
      <c r="Q131" s="38">
        <f>SUM(N131:P131)</f>
        <v>396548</v>
      </c>
      <c r="R131" s="38">
        <f>+E131+I131+M131+Q131</f>
        <v>1410710</v>
      </c>
    </row>
    <row r="132" spans="1:20" ht="16.5" customHeight="1" thickBot="1" x14ac:dyDescent="0.35">
      <c r="A132" s="263" t="s">
        <v>6</v>
      </c>
      <c r="B132" s="264">
        <f>(B131/B10)/1.983</f>
        <v>2022.8392953003759</v>
      </c>
      <c r="C132" s="264">
        <f>(C131/C10)/1.983</f>
        <v>1078.9748577191845</v>
      </c>
      <c r="D132" s="264">
        <f>(D131/D10)/1.983</f>
        <v>2197.908024661233</v>
      </c>
      <c r="E132" s="40" t="s">
        <v>852</v>
      </c>
      <c r="F132" s="264">
        <f>(F131/F10)/1.983</f>
        <v>2680.047066733905</v>
      </c>
      <c r="G132" s="264">
        <f>(G131/G10)/1.983</f>
        <v>2849.8202462869876</v>
      </c>
      <c r="H132" s="264">
        <f>(H131/H10)/1.983</f>
        <v>1377.3239199865523</v>
      </c>
      <c r="I132" s="40" t="s">
        <v>852</v>
      </c>
      <c r="J132" s="264">
        <f>(J131/J10)/1.983</f>
        <v>1213.3131618759455</v>
      </c>
      <c r="K132" s="264">
        <f>(K131/K10)/1.983</f>
        <v>1163.8117547541196</v>
      </c>
      <c r="L132" s="264">
        <f>(L131/L10)/1.983</f>
        <v>2220.5748865355517</v>
      </c>
      <c r="M132" s="40" t="s">
        <v>852</v>
      </c>
      <c r="N132" s="264">
        <f>(N131/N10)/1.983</f>
        <v>2098.8726758088915</v>
      </c>
      <c r="O132" s="264">
        <f>(O131/O10)/1.983</f>
        <v>2126.7439905866531</v>
      </c>
      <c r="P132" s="264">
        <f>(P131/P10)/1.983</f>
        <v>2293.7549818619559</v>
      </c>
      <c r="Q132" s="40" t="s">
        <v>852</v>
      </c>
      <c r="R132" s="40" t="s">
        <v>852</v>
      </c>
    </row>
    <row r="133" spans="1:20" ht="15.75" customHeight="1" x14ac:dyDescent="0.3">
      <c r="A133" s="18"/>
      <c r="B133" s="172"/>
      <c r="C133" s="172"/>
      <c r="D133" s="172"/>
      <c r="E133" s="172"/>
      <c r="F133" s="172"/>
      <c r="G133" s="172"/>
      <c r="H133" s="172"/>
      <c r="I133" s="172"/>
      <c r="J133" s="172"/>
      <c r="K133" s="172"/>
      <c r="L133" s="172"/>
      <c r="M133" s="172"/>
      <c r="N133" s="172"/>
      <c r="O133" s="172"/>
      <c r="P133" s="172"/>
      <c r="Q133" s="172"/>
      <c r="R133" s="17"/>
    </row>
    <row r="134" spans="1:20" ht="15.75" customHeight="1" thickBot="1" x14ac:dyDescent="0.35">
      <c r="A134" s="18" t="s">
        <v>852</v>
      </c>
      <c r="B134" s="172"/>
      <c r="C134" s="172"/>
      <c r="D134" s="172"/>
      <c r="E134" s="172"/>
      <c r="F134" s="172"/>
      <c r="G134" s="172"/>
      <c r="H134" s="172"/>
      <c r="I134" s="172"/>
      <c r="J134" s="172"/>
      <c r="K134" s="172"/>
      <c r="L134" s="172"/>
      <c r="M134" s="172"/>
      <c r="N134" s="172"/>
      <c r="O134" s="172"/>
      <c r="P134" s="172"/>
      <c r="Q134" s="172"/>
      <c r="R134" s="17"/>
    </row>
    <row r="135" spans="1:20" ht="16.5" customHeight="1" thickBot="1" x14ac:dyDescent="0.35">
      <c r="A135" s="240" t="s">
        <v>1446</v>
      </c>
      <c r="B135" s="4" t="s">
        <v>2090</v>
      </c>
      <c r="C135" s="5" t="s">
        <v>2091</v>
      </c>
      <c r="D135" s="5" t="s">
        <v>2234</v>
      </c>
      <c r="E135" s="33" t="s">
        <v>1594</v>
      </c>
      <c r="F135" s="5" t="s">
        <v>2235</v>
      </c>
      <c r="G135" s="5" t="s">
        <v>2236</v>
      </c>
      <c r="H135" s="5" t="s">
        <v>2237</v>
      </c>
      <c r="I135" s="35" t="s">
        <v>1595</v>
      </c>
      <c r="J135" s="5" t="s">
        <v>1504</v>
      </c>
      <c r="K135" s="5" t="s">
        <v>1505</v>
      </c>
      <c r="L135" s="5" t="s">
        <v>1506</v>
      </c>
      <c r="M135" s="35" t="s">
        <v>1596</v>
      </c>
      <c r="N135" s="5" t="s">
        <v>1507</v>
      </c>
      <c r="O135" s="5" t="s">
        <v>1508</v>
      </c>
      <c r="P135" s="5" t="s">
        <v>1509</v>
      </c>
      <c r="Q135" s="35" t="s">
        <v>1597</v>
      </c>
      <c r="R135" s="36" t="s">
        <v>1510</v>
      </c>
    </row>
    <row r="136" spans="1:20" ht="16.5" customHeight="1" thickBot="1" x14ac:dyDescent="0.35">
      <c r="A136" s="44"/>
      <c r="B136" s="258"/>
      <c r="C136" s="258"/>
      <c r="D136" s="258"/>
      <c r="E136" s="265"/>
      <c r="F136" s="258"/>
      <c r="G136" s="258"/>
      <c r="H136" s="258"/>
      <c r="I136" s="265"/>
      <c r="J136" s="258"/>
      <c r="K136" s="258"/>
      <c r="L136" s="258"/>
      <c r="M136" s="265"/>
      <c r="N136" s="258"/>
      <c r="O136" s="258"/>
      <c r="P136" s="258"/>
      <c r="Q136" s="265"/>
      <c r="R136" s="44"/>
    </row>
    <row r="137" spans="1:20" ht="15.75" customHeight="1" x14ac:dyDescent="0.3">
      <c r="A137" s="234" t="s">
        <v>2417</v>
      </c>
      <c r="B137" s="10" t="s">
        <v>852</v>
      </c>
      <c r="C137" s="10" t="s">
        <v>852</v>
      </c>
      <c r="D137" s="10" t="s">
        <v>852</v>
      </c>
      <c r="E137" s="38" t="s">
        <v>852</v>
      </c>
      <c r="F137" s="10" t="s">
        <v>852</v>
      </c>
      <c r="G137" s="10" t="s">
        <v>852</v>
      </c>
      <c r="H137" s="10" t="s">
        <v>852</v>
      </c>
      <c r="I137" s="38" t="s">
        <v>852</v>
      </c>
      <c r="J137" s="10" t="s">
        <v>852</v>
      </c>
      <c r="K137" s="10" t="s">
        <v>852</v>
      </c>
      <c r="L137" s="10" t="s">
        <v>852</v>
      </c>
      <c r="M137" s="38" t="s">
        <v>852</v>
      </c>
      <c r="N137" s="10" t="s">
        <v>852</v>
      </c>
      <c r="O137" s="10" t="s">
        <v>852</v>
      </c>
      <c r="P137" s="10" t="s">
        <v>852</v>
      </c>
      <c r="Q137" s="38" t="s">
        <v>852</v>
      </c>
      <c r="R137" s="48" t="s">
        <v>852</v>
      </c>
    </row>
    <row r="138" spans="1:20" ht="15.75" customHeight="1" x14ac:dyDescent="0.3">
      <c r="A138" s="234" t="s">
        <v>2160</v>
      </c>
      <c r="B138" s="10"/>
      <c r="C138" s="10"/>
      <c r="D138" s="10"/>
      <c r="E138" s="38" t="s">
        <v>852</v>
      </c>
      <c r="F138" s="10"/>
      <c r="G138" s="10"/>
      <c r="H138" s="10"/>
      <c r="I138" s="38" t="s">
        <v>852</v>
      </c>
      <c r="J138" s="10"/>
      <c r="K138" s="10"/>
      <c r="L138" s="10"/>
      <c r="M138" s="38" t="s">
        <v>852</v>
      </c>
      <c r="N138" s="10"/>
      <c r="O138" s="10"/>
      <c r="P138" s="10"/>
      <c r="Q138" s="38" t="s">
        <v>852</v>
      </c>
      <c r="R138" s="48"/>
    </row>
    <row r="139" spans="1:20" ht="15.75" customHeight="1" x14ac:dyDescent="0.3">
      <c r="A139" s="569" t="s">
        <v>2730</v>
      </c>
      <c r="B139" s="10"/>
      <c r="C139" s="10"/>
      <c r="D139" s="10"/>
      <c r="E139" s="38">
        <f t="shared" ref="E139:E144" si="20">SUM(B139:D139)</f>
        <v>0</v>
      </c>
      <c r="F139" s="10">
        <v>562</v>
      </c>
      <c r="G139" s="10">
        <v>645</v>
      </c>
      <c r="H139" s="10">
        <v>617</v>
      </c>
      <c r="I139" s="38">
        <f t="shared" ref="I139:I144" si="21">SUM(F139:H139)</f>
        <v>1824</v>
      </c>
      <c r="J139" s="10">
        <v>693</v>
      </c>
      <c r="K139" s="10">
        <v>525</v>
      </c>
      <c r="L139" s="10">
        <v>742</v>
      </c>
      <c r="M139" s="38">
        <f t="shared" ref="M139:M144" si="22">SUM(J139:L139)</f>
        <v>1960</v>
      </c>
      <c r="N139" s="10">
        <v>405</v>
      </c>
      <c r="O139" s="10"/>
      <c r="P139" s="10"/>
      <c r="Q139" s="38">
        <f t="shared" ref="Q139:Q144" si="23">SUM(N139:P139)</f>
        <v>405</v>
      </c>
      <c r="R139" s="38">
        <f>+E139+I139+M139+Q139</f>
        <v>4189</v>
      </c>
      <c r="T139" t="s">
        <v>2764</v>
      </c>
    </row>
    <row r="140" spans="1:20" ht="15.75" customHeight="1" x14ac:dyDescent="0.3">
      <c r="A140" s="569" t="s">
        <v>2733</v>
      </c>
      <c r="B140" s="10"/>
      <c r="C140" s="10">
        <v>368</v>
      </c>
      <c r="D140" s="10">
        <v>912</v>
      </c>
      <c r="E140" s="38">
        <f t="shared" si="20"/>
        <v>1280</v>
      </c>
      <c r="F140" s="10">
        <v>1232</v>
      </c>
      <c r="G140" s="10">
        <v>1237</v>
      </c>
      <c r="H140" s="10">
        <v>1457</v>
      </c>
      <c r="I140" s="38">
        <f t="shared" si="21"/>
        <v>3926</v>
      </c>
      <c r="J140" s="10">
        <v>1650</v>
      </c>
      <c r="K140" s="10">
        <v>1528</v>
      </c>
      <c r="L140" s="10">
        <v>1731</v>
      </c>
      <c r="M140" s="38">
        <f t="shared" si="22"/>
        <v>4909</v>
      </c>
      <c r="N140" s="10">
        <v>978</v>
      </c>
      <c r="O140" s="10"/>
      <c r="P140" s="10"/>
      <c r="Q140" s="38">
        <f t="shared" si="23"/>
        <v>978</v>
      </c>
      <c r="R140" s="38">
        <f t="shared" ref="R140:R184" si="24">+E140+I140+M140+Q140</f>
        <v>11093</v>
      </c>
      <c r="T140" t="s">
        <v>2764</v>
      </c>
    </row>
    <row r="141" spans="1:20" ht="15.75" customHeight="1" x14ac:dyDescent="0.3">
      <c r="A141" s="569" t="s">
        <v>2734</v>
      </c>
      <c r="B141" s="10"/>
      <c r="C141" s="10"/>
      <c r="D141" s="10"/>
      <c r="E141" s="38">
        <f t="shared" si="20"/>
        <v>0</v>
      </c>
      <c r="F141" s="10">
        <v>317</v>
      </c>
      <c r="G141" s="10">
        <v>365</v>
      </c>
      <c r="H141" s="10">
        <v>350</v>
      </c>
      <c r="I141" s="38">
        <f t="shared" si="21"/>
        <v>1032</v>
      </c>
      <c r="J141" s="10">
        <v>392</v>
      </c>
      <c r="K141" s="10">
        <v>320</v>
      </c>
      <c r="L141" s="10">
        <v>420</v>
      </c>
      <c r="M141" s="38">
        <f t="shared" si="22"/>
        <v>1132</v>
      </c>
      <c r="N141" s="10">
        <v>208</v>
      </c>
      <c r="O141" s="10"/>
      <c r="P141" s="10"/>
      <c r="Q141" s="38">
        <f t="shared" si="23"/>
        <v>208</v>
      </c>
      <c r="R141" s="38">
        <f t="shared" si="24"/>
        <v>2372</v>
      </c>
      <c r="T141" t="s">
        <v>2764</v>
      </c>
    </row>
    <row r="142" spans="1:20" ht="15.75" customHeight="1" x14ac:dyDescent="0.3">
      <c r="A142" s="569" t="s">
        <v>2735</v>
      </c>
      <c r="B142" s="10"/>
      <c r="C142" s="10"/>
      <c r="D142" s="10"/>
      <c r="E142" s="38">
        <f t="shared" si="20"/>
        <v>0</v>
      </c>
      <c r="F142" s="10">
        <v>433</v>
      </c>
      <c r="G142" s="10">
        <v>498</v>
      </c>
      <c r="H142" s="10">
        <v>476</v>
      </c>
      <c r="I142" s="38">
        <f t="shared" si="21"/>
        <v>1407</v>
      </c>
      <c r="J142" s="10">
        <v>534</v>
      </c>
      <c r="K142" s="10">
        <v>416</v>
      </c>
      <c r="L142" s="10">
        <v>573</v>
      </c>
      <c r="M142" s="38">
        <f t="shared" si="22"/>
        <v>1523</v>
      </c>
      <c r="N142" s="10">
        <v>301</v>
      </c>
      <c r="O142" s="10"/>
      <c r="P142" s="10"/>
      <c r="Q142" s="38">
        <f t="shared" si="23"/>
        <v>301</v>
      </c>
      <c r="R142" s="38">
        <f t="shared" si="24"/>
        <v>3231</v>
      </c>
      <c r="T142" t="s">
        <v>2764</v>
      </c>
    </row>
    <row r="143" spans="1:20" ht="15.75" customHeight="1" x14ac:dyDescent="0.3">
      <c r="A143" s="539" t="s">
        <v>2238</v>
      </c>
      <c r="B143" s="10"/>
      <c r="C143" s="10">
        <v>2</v>
      </c>
      <c r="D143" s="10">
        <v>21</v>
      </c>
      <c r="E143" s="38">
        <f t="shared" si="20"/>
        <v>23</v>
      </c>
      <c r="F143" s="10">
        <v>10</v>
      </c>
      <c r="G143" s="10">
        <v>28</v>
      </c>
      <c r="H143" s="10">
        <v>11</v>
      </c>
      <c r="I143" s="38">
        <f t="shared" si="21"/>
        <v>49</v>
      </c>
      <c r="J143" s="10">
        <v>7</v>
      </c>
      <c r="K143" s="10">
        <v>2</v>
      </c>
      <c r="L143" s="10">
        <v>6</v>
      </c>
      <c r="M143" s="38">
        <f t="shared" si="22"/>
        <v>15</v>
      </c>
      <c r="N143" s="10">
        <v>5</v>
      </c>
      <c r="O143" s="10">
        <v>3</v>
      </c>
      <c r="P143" s="10">
        <v>15</v>
      </c>
      <c r="Q143" s="38">
        <f t="shared" si="23"/>
        <v>23</v>
      </c>
      <c r="R143" s="38">
        <f t="shared" si="24"/>
        <v>110</v>
      </c>
      <c r="T143" t="s">
        <v>1193</v>
      </c>
    </row>
    <row r="144" spans="1:20" ht="15.75" customHeight="1" x14ac:dyDescent="0.3">
      <c r="A144" s="569" t="s">
        <v>3046</v>
      </c>
      <c r="B144" s="10"/>
      <c r="C144" s="10"/>
      <c r="D144" s="10"/>
      <c r="E144" s="38">
        <f t="shared" si="20"/>
        <v>0</v>
      </c>
      <c r="F144" s="10">
        <v>500</v>
      </c>
      <c r="G144" s="10"/>
      <c r="H144" s="10"/>
      <c r="I144" s="38">
        <f t="shared" si="21"/>
        <v>500</v>
      </c>
      <c r="J144" s="10"/>
      <c r="K144" s="10"/>
      <c r="L144" s="10"/>
      <c r="M144" s="38">
        <f t="shared" si="22"/>
        <v>0</v>
      </c>
      <c r="N144" s="10"/>
      <c r="O144" s="10"/>
      <c r="P144" s="10"/>
      <c r="Q144" s="38">
        <f t="shared" si="23"/>
        <v>0</v>
      </c>
      <c r="R144" s="38">
        <f t="shared" si="24"/>
        <v>500</v>
      </c>
      <c r="T144" t="s">
        <v>2764</v>
      </c>
    </row>
    <row r="145" spans="1:20" ht="15.75" customHeight="1" x14ac:dyDescent="0.3">
      <c r="A145" s="569" t="s">
        <v>2736</v>
      </c>
      <c r="B145" s="10"/>
      <c r="C145" s="10"/>
      <c r="D145" s="10"/>
      <c r="E145" s="38">
        <f t="shared" ref="E145:E158" si="25">SUM(B145:D145)</f>
        <v>0</v>
      </c>
      <c r="F145" s="10"/>
      <c r="G145" s="10"/>
      <c r="H145" s="10"/>
      <c r="I145" s="38">
        <f t="shared" ref="I145:I181" si="26">SUM(F145:H145)</f>
        <v>0</v>
      </c>
      <c r="J145" s="10"/>
      <c r="K145" s="10"/>
      <c r="L145" s="10"/>
      <c r="M145" s="38">
        <f t="shared" ref="M145:M181" si="27">SUM(J145:L145)</f>
        <v>0</v>
      </c>
      <c r="N145" s="10"/>
      <c r="O145" s="10"/>
      <c r="P145" s="10"/>
      <c r="Q145" s="38">
        <f t="shared" ref="Q145:Q187" si="28">SUM(N145:P145)</f>
        <v>0</v>
      </c>
      <c r="R145" s="38">
        <f t="shared" si="24"/>
        <v>0</v>
      </c>
      <c r="T145" t="s">
        <v>2769</v>
      </c>
    </row>
    <row r="146" spans="1:20" ht="15.75" customHeight="1" x14ac:dyDescent="0.3">
      <c r="A146" s="569" t="s">
        <v>917</v>
      </c>
      <c r="B146" s="10"/>
      <c r="C146" s="10">
        <v>238</v>
      </c>
      <c r="D146" s="10">
        <v>2032</v>
      </c>
      <c r="E146" s="38">
        <f t="shared" si="25"/>
        <v>2270</v>
      </c>
      <c r="F146" s="10">
        <v>1704</v>
      </c>
      <c r="G146" s="10"/>
      <c r="H146" s="10"/>
      <c r="I146" s="38">
        <f t="shared" si="26"/>
        <v>1704</v>
      </c>
      <c r="J146" s="10"/>
      <c r="K146" s="10"/>
      <c r="L146" s="10"/>
      <c r="M146" s="38">
        <f t="shared" si="27"/>
        <v>0</v>
      </c>
      <c r="N146" s="10"/>
      <c r="O146" s="10"/>
      <c r="P146" s="10"/>
      <c r="Q146" s="38">
        <f t="shared" si="28"/>
        <v>0</v>
      </c>
      <c r="R146" s="38">
        <f t="shared" si="24"/>
        <v>3974</v>
      </c>
      <c r="T146" t="s">
        <v>2770</v>
      </c>
    </row>
    <row r="147" spans="1:20" ht="15.75" customHeight="1" x14ac:dyDescent="0.3">
      <c r="A147" s="539" t="s">
        <v>3001</v>
      </c>
      <c r="B147" s="10"/>
      <c r="C147" s="10"/>
      <c r="D147" s="10"/>
      <c r="E147" s="38">
        <f t="shared" si="25"/>
        <v>0</v>
      </c>
      <c r="F147" s="10"/>
      <c r="G147" s="10"/>
      <c r="H147" s="10">
        <v>1442</v>
      </c>
      <c r="I147" s="38">
        <f t="shared" si="26"/>
        <v>1442</v>
      </c>
      <c r="J147" s="10"/>
      <c r="K147" s="10"/>
      <c r="L147" s="10"/>
      <c r="M147" s="38">
        <f t="shared" si="27"/>
        <v>0</v>
      </c>
      <c r="N147" s="10"/>
      <c r="O147" s="10"/>
      <c r="P147" s="10"/>
      <c r="Q147" s="38">
        <f t="shared" si="28"/>
        <v>0</v>
      </c>
      <c r="R147" s="38">
        <f t="shared" si="24"/>
        <v>1442</v>
      </c>
      <c r="S147" t="s">
        <v>3020</v>
      </c>
      <c r="T147" t="s">
        <v>2760</v>
      </c>
    </row>
    <row r="148" spans="1:20" ht="15.75" customHeight="1" x14ac:dyDescent="0.3">
      <c r="A148" s="569" t="s">
        <v>1323</v>
      </c>
      <c r="B148" s="10"/>
      <c r="C148" s="10">
        <v>546</v>
      </c>
      <c r="D148" s="10">
        <v>1385</v>
      </c>
      <c r="E148" s="38">
        <f t="shared" si="25"/>
        <v>1931</v>
      </c>
      <c r="F148" s="10">
        <v>774</v>
      </c>
      <c r="G148" s="10"/>
      <c r="H148" s="10"/>
      <c r="I148" s="38">
        <f t="shared" si="26"/>
        <v>774</v>
      </c>
      <c r="J148" s="10"/>
      <c r="K148" s="10"/>
      <c r="L148" s="10"/>
      <c r="M148" s="38">
        <f t="shared" si="27"/>
        <v>0</v>
      </c>
      <c r="N148" s="10"/>
      <c r="O148" s="10"/>
      <c r="P148" s="10"/>
      <c r="Q148" s="38">
        <f t="shared" si="28"/>
        <v>0</v>
      </c>
      <c r="R148" s="38">
        <f t="shared" si="24"/>
        <v>2705</v>
      </c>
      <c r="T148" t="s">
        <v>2769</v>
      </c>
    </row>
    <row r="149" spans="1:20" ht="15.75" customHeight="1" x14ac:dyDescent="0.3">
      <c r="A149" s="569" t="s">
        <v>2317</v>
      </c>
      <c r="B149" s="10"/>
      <c r="C149" s="10"/>
      <c r="D149" s="10"/>
      <c r="E149" s="38">
        <f t="shared" si="25"/>
        <v>0</v>
      </c>
      <c r="F149" s="10"/>
      <c r="G149" s="10"/>
      <c r="H149" s="10"/>
      <c r="I149" s="38">
        <f t="shared" si="26"/>
        <v>0</v>
      </c>
      <c r="J149" s="10">
        <v>157</v>
      </c>
      <c r="K149" s="10"/>
      <c r="L149" s="10"/>
      <c r="M149" s="38">
        <f t="shared" si="27"/>
        <v>157</v>
      </c>
      <c r="N149" s="10"/>
      <c r="O149" s="10"/>
      <c r="P149" s="10"/>
      <c r="Q149" s="38">
        <f t="shared" si="28"/>
        <v>0</v>
      </c>
      <c r="R149" s="38">
        <f t="shared" si="24"/>
        <v>157</v>
      </c>
      <c r="T149" t="s">
        <v>2770</v>
      </c>
    </row>
    <row r="150" spans="1:20" ht="15.75" customHeight="1" x14ac:dyDescent="0.3">
      <c r="A150" s="569" t="s">
        <v>2988</v>
      </c>
      <c r="B150" s="10"/>
      <c r="C150" s="10"/>
      <c r="D150" s="10"/>
      <c r="E150" s="38">
        <f t="shared" si="25"/>
        <v>0</v>
      </c>
      <c r="F150" s="10">
        <v>1000</v>
      </c>
      <c r="G150" s="10">
        <v>1000</v>
      </c>
      <c r="H150" s="10">
        <v>1000</v>
      </c>
      <c r="I150" s="38">
        <f t="shared" si="26"/>
        <v>3000</v>
      </c>
      <c r="J150" s="10"/>
      <c r="K150" s="10"/>
      <c r="L150" s="10"/>
      <c r="M150" s="38">
        <f t="shared" si="27"/>
        <v>0</v>
      </c>
      <c r="N150" s="10"/>
      <c r="O150" s="10"/>
      <c r="P150" s="10"/>
      <c r="Q150" s="38">
        <f t="shared" si="28"/>
        <v>0</v>
      </c>
      <c r="R150" s="38">
        <f t="shared" si="24"/>
        <v>3000</v>
      </c>
      <c r="T150" t="s">
        <v>2764</v>
      </c>
    </row>
    <row r="151" spans="1:20" ht="15.75" customHeight="1" x14ac:dyDescent="0.3">
      <c r="A151" s="539" t="s">
        <v>1880</v>
      </c>
      <c r="B151" s="10">
        <v>45</v>
      </c>
      <c r="C151" s="10">
        <v>36</v>
      </c>
      <c r="D151" s="10">
        <v>42</v>
      </c>
      <c r="E151" s="38">
        <f t="shared" si="25"/>
        <v>123</v>
      </c>
      <c r="F151" s="10">
        <v>47</v>
      </c>
      <c r="G151" s="10">
        <v>50</v>
      </c>
      <c r="H151" s="10">
        <v>60</v>
      </c>
      <c r="I151" s="38">
        <f t="shared" si="26"/>
        <v>157</v>
      </c>
      <c r="J151" s="10">
        <v>68</v>
      </c>
      <c r="K151" s="10">
        <v>67</v>
      </c>
      <c r="L151" s="10">
        <v>56</v>
      </c>
      <c r="M151" s="38">
        <f t="shared" si="27"/>
        <v>191</v>
      </c>
      <c r="N151" s="10">
        <v>56</v>
      </c>
      <c r="O151" s="10">
        <v>53</v>
      </c>
      <c r="P151" s="10">
        <v>60</v>
      </c>
      <c r="Q151" s="38">
        <f t="shared" si="28"/>
        <v>169</v>
      </c>
      <c r="R151" s="38">
        <f t="shared" si="24"/>
        <v>640</v>
      </c>
      <c r="T151" t="s">
        <v>2761</v>
      </c>
    </row>
    <row r="152" spans="1:20" ht="15.75" customHeight="1" x14ac:dyDescent="0.3">
      <c r="A152" s="539" t="s">
        <v>703</v>
      </c>
      <c r="B152" s="10">
        <v>96</v>
      </c>
      <c r="C152" s="10">
        <v>116</v>
      </c>
      <c r="D152" s="10">
        <v>122</v>
      </c>
      <c r="E152" s="38">
        <f t="shared" si="25"/>
        <v>334</v>
      </c>
      <c r="F152" s="10">
        <v>147</v>
      </c>
      <c r="G152" s="10">
        <v>175</v>
      </c>
      <c r="H152" s="10">
        <v>245</v>
      </c>
      <c r="I152" s="38">
        <f t="shared" si="26"/>
        <v>567</v>
      </c>
      <c r="J152" s="10">
        <v>256</v>
      </c>
      <c r="K152" s="10">
        <v>217</v>
      </c>
      <c r="L152" s="10">
        <v>183</v>
      </c>
      <c r="M152" s="38">
        <f t="shared" si="27"/>
        <v>656</v>
      </c>
      <c r="N152" s="10">
        <v>207</v>
      </c>
      <c r="O152" s="10">
        <v>140</v>
      </c>
      <c r="P152" s="10">
        <v>139</v>
      </c>
      <c r="Q152" s="38">
        <f t="shared" si="28"/>
        <v>486</v>
      </c>
      <c r="R152" s="38">
        <f t="shared" si="24"/>
        <v>2043</v>
      </c>
      <c r="T152" t="s">
        <v>2874</v>
      </c>
    </row>
    <row r="153" spans="1:20" ht="15.75" customHeight="1" x14ac:dyDescent="0.3">
      <c r="A153" s="569" t="s">
        <v>3271</v>
      </c>
      <c r="B153" s="10"/>
      <c r="C153" s="10"/>
      <c r="D153" s="10"/>
      <c r="E153" s="38">
        <f t="shared" si="25"/>
        <v>0</v>
      </c>
      <c r="F153" s="10"/>
      <c r="G153" s="10"/>
      <c r="H153" s="10"/>
      <c r="I153" s="38">
        <f t="shared" si="26"/>
        <v>0</v>
      </c>
      <c r="J153" s="10"/>
      <c r="K153" s="10"/>
      <c r="L153" s="10"/>
      <c r="M153" s="38">
        <f t="shared" si="27"/>
        <v>0</v>
      </c>
      <c r="N153" s="10">
        <v>697</v>
      </c>
      <c r="O153" s="10">
        <v>703</v>
      </c>
      <c r="P153" s="10"/>
      <c r="Q153" s="38">
        <f t="shared" si="28"/>
        <v>1400</v>
      </c>
      <c r="R153" s="38">
        <f t="shared" si="24"/>
        <v>1400</v>
      </c>
    </row>
    <row r="154" spans="1:20" ht="15.75" customHeight="1" x14ac:dyDescent="0.3">
      <c r="A154" s="539" t="s">
        <v>2967</v>
      </c>
      <c r="B154" s="10"/>
      <c r="C154" s="10"/>
      <c r="D154" s="10"/>
      <c r="E154" s="38">
        <f t="shared" si="25"/>
        <v>0</v>
      </c>
      <c r="F154" s="10"/>
      <c r="G154" s="10">
        <v>451</v>
      </c>
      <c r="H154" s="10"/>
      <c r="I154" s="38">
        <f t="shared" si="26"/>
        <v>451</v>
      </c>
      <c r="J154" s="10"/>
      <c r="K154" s="10">
        <v>381</v>
      </c>
      <c r="L154" s="10">
        <f>600+663+850</f>
        <v>2113</v>
      </c>
      <c r="M154" s="38">
        <f t="shared" si="27"/>
        <v>2494</v>
      </c>
      <c r="N154" s="10">
        <v>800</v>
      </c>
      <c r="O154" s="10">
        <v>500</v>
      </c>
      <c r="P154" s="10"/>
      <c r="Q154" s="38">
        <f t="shared" si="28"/>
        <v>1300</v>
      </c>
      <c r="R154" s="38">
        <f t="shared" si="24"/>
        <v>4245</v>
      </c>
      <c r="S154" t="s">
        <v>3020</v>
      </c>
    </row>
    <row r="155" spans="1:20" ht="15.75" customHeight="1" x14ac:dyDescent="0.3">
      <c r="A155" s="569" t="s">
        <v>2829</v>
      </c>
      <c r="B155" s="10"/>
      <c r="C155" s="10"/>
      <c r="D155" s="10"/>
      <c r="E155" s="38">
        <f t="shared" si="25"/>
        <v>0</v>
      </c>
      <c r="F155" s="10">
        <v>121</v>
      </c>
      <c r="G155" s="10">
        <v>139</v>
      </c>
      <c r="H155" s="10">
        <v>133</v>
      </c>
      <c r="I155" s="38">
        <f t="shared" si="26"/>
        <v>393</v>
      </c>
      <c r="J155" s="10">
        <v>149</v>
      </c>
      <c r="K155" s="10">
        <v>801</v>
      </c>
      <c r="L155" s="10">
        <v>160</v>
      </c>
      <c r="M155" s="38">
        <f t="shared" si="27"/>
        <v>1110</v>
      </c>
      <c r="N155" s="10">
        <v>97</v>
      </c>
      <c r="O155" s="10"/>
      <c r="P155" s="10"/>
      <c r="Q155" s="38">
        <f t="shared" si="28"/>
        <v>97</v>
      </c>
      <c r="R155" s="38">
        <f t="shared" si="24"/>
        <v>1600</v>
      </c>
      <c r="T155" t="s">
        <v>2764</v>
      </c>
    </row>
    <row r="156" spans="1:20" ht="15.75" customHeight="1" x14ac:dyDescent="0.3">
      <c r="A156" s="539" t="s">
        <v>2830</v>
      </c>
      <c r="B156" s="10">
        <v>74</v>
      </c>
      <c r="C156" s="10">
        <v>96</v>
      </c>
      <c r="D156" s="10">
        <v>359</v>
      </c>
      <c r="E156" s="38">
        <f t="shared" si="25"/>
        <v>529</v>
      </c>
      <c r="F156" s="10">
        <v>412</v>
      </c>
      <c r="G156" s="10">
        <v>611</v>
      </c>
      <c r="H156" s="10">
        <v>418</v>
      </c>
      <c r="I156" s="38">
        <f t="shared" si="26"/>
        <v>1441</v>
      </c>
      <c r="J156" s="10">
        <v>398</v>
      </c>
      <c r="K156" s="10">
        <v>435</v>
      </c>
      <c r="L156" s="10">
        <v>541</v>
      </c>
      <c r="M156" s="38">
        <f t="shared" si="27"/>
        <v>1374</v>
      </c>
      <c r="N156" s="10">
        <v>542</v>
      </c>
      <c r="O156" s="10">
        <v>466</v>
      </c>
      <c r="P156" s="10">
        <v>414</v>
      </c>
      <c r="Q156" s="38">
        <f t="shared" si="28"/>
        <v>1422</v>
      </c>
      <c r="R156" s="38">
        <f t="shared" si="24"/>
        <v>4766</v>
      </c>
      <c r="T156" t="s">
        <v>2762</v>
      </c>
    </row>
    <row r="157" spans="1:20" ht="15.75" customHeight="1" x14ac:dyDescent="0.3">
      <c r="A157" s="569" t="s">
        <v>2845</v>
      </c>
      <c r="B157" s="10"/>
      <c r="C157" s="10"/>
      <c r="D157" s="10"/>
      <c r="E157" s="38">
        <f t="shared" si="25"/>
        <v>0</v>
      </c>
      <c r="F157" s="10"/>
      <c r="G157" s="10"/>
      <c r="H157" s="10"/>
      <c r="I157" s="38">
        <f t="shared" si="26"/>
        <v>0</v>
      </c>
      <c r="J157" s="10">
        <v>508</v>
      </c>
      <c r="K157" s="10"/>
      <c r="L157" s="10"/>
      <c r="M157" s="38">
        <f t="shared" si="27"/>
        <v>508</v>
      </c>
      <c r="N157" s="10"/>
      <c r="O157" s="10"/>
      <c r="P157" s="10"/>
      <c r="Q157" s="38">
        <f t="shared" si="28"/>
        <v>0</v>
      </c>
      <c r="R157" s="38">
        <f t="shared" si="24"/>
        <v>508</v>
      </c>
      <c r="T157" t="s">
        <v>2770</v>
      </c>
    </row>
    <row r="158" spans="1:20" ht="15.75" customHeight="1" x14ac:dyDescent="0.3">
      <c r="A158" s="410" t="s">
        <v>3132</v>
      </c>
      <c r="B158" s="10"/>
      <c r="C158" s="10"/>
      <c r="D158" s="10"/>
      <c r="E158" s="38">
        <f t="shared" si="25"/>
        <v>0</v>
      </c>
      <c r="F158" s="10"/>
      <c r="G158" s="10"/>
      <c r="H158" s="10"/>
      <c r="I158" s="38">
        <f t="shared" si="26"/>
        <v>0</v>
      </c>
      <c r="J158" s="10"/>
      <c r="K158" s="10"/>
      <c r="L158" s="10">
        <v>55</v>
      </c>
      <c r="M158" s="38">
        <f t="shared" si="27"/>
        <v>55</v>
      </c>
      <c r="N158" s="10"/>
      <c r="O158" s="10"/>
      <c r="P158" s="10"/>
      <c r="Q158" s="38">
        <f t="shared" si="28"/>
        <v>0</v>
      </c>
      <c r="R158" s="38">
        <f t="shared" si="24"/>
        <v>55</v>
      </c>
    </row>
    <row r="159" spans="1:20" ht="15.75" customHeight="1" x14ac:dyDescent="0.3">
      <c r="A159" s="539" t="s">
        <v>2809</v>
      </c>
      <c r="B159" s="10"/>
      <c r="C159" s="10"/>
      <c r="D159" s="10"/>
      <c r="E159" s="38">
        <f t="shared" ref="E159:E180" si="29">SUM(B159:D159)</f>
        <v>0</v>
      </c>
      <c r="F159" s="10"/>
      <c r="G159" s="10"/>
      <c r="H159" s="10"/>
      <c r="I159" s="38">
        <f t="shared" si="26"/>
        <v>0</v>
      </c>
      <c r="J159" s="10"/>
      <c r="K159" s="10">
        <v>800</v>
      </c>
      <c r="L159" s="10">
        <v>700</v>
      </c>
      <c r="M159" s="38">
        <f t="shared" si="27"/>
        <v>1500</v>
      </c>
      <c r="N159" s="10">
        <v>600</v>
      </c>
      <c r="O159" s="10">
        <v>300</v>
      </c>
      <c r="P159" s="10"/>
      <c r="Q159" s="38">
        <f t="shared" si="28"/>
        <v>900</v>
      </c>
      <c r="R159" s="38">
        <f t="shared" si="24"/>
        <v>2400</v>
      </c>
      <c r="S159" t="s">
        <v>3020</v>
      </c>
      <c r="T159" t="s">
        <v>2760</v>
      </c>
    </row>
    <row r="160" spans="1:20" s="353" customFormat="1" ht="15.75" customHeight="1" x14ac:dyDescent="0.3">
      <c r="A160" s="535" t="s">
        <v>1242</v>
      </c>
      <c r="B160" s="10"/>
      <c r="C160" s="10"/>
      <c r="D160" s="10"/>
      <c r="E160" s="331">
        <f t="shared" si="29"/>
        <v>0</v>
      </c>
      <c r="F160" s="10"/>
      <c r="G160" s="10"/>
      <c r="H160" s="10"/>
      <c r="I160" s="331">
        <f t="shared" si="26"/>
        <v>0</v>
      </c>
      <c r="J160" s="10"/>
      <c r="K160" s="10"/>
      <c r="L160" s="10"/>
      <c r="M160" s="331">
        <f t="shared" si="27"/>
        <v>0</v>
      </c>
      <c r="N160" s="10"/>
      <c r="O160" s="10"/>
      <c r="P160" s="10"/>
      <c r="Q160" s="331">
        <f t="shared" si="28"/>
        <v>0</v>
      </c>
      <c r="R160" s="331">
        <f t="shared" si="24"/>
        <v>0</v>
      </c>
    </row>
    <row r="161" spans="1:20" ht="15.75" customHeight="1" x14ac:dyDescent="0.3">
      <c r="A161" s="539" t="s">
        <v>1379</v>
      </c>
      <c r="B161" s="10"/>
      <c r="C161" s="10"/>
      <c r="D161" s="10"/>
      <c r="E161" s="38">
        <f t="shared" si="29"/>
        <v>0</v>
      </c>
      <c r="F161" s="10">
        <v>1276</v>
      </c>
      <c r="G161" s="10">
        <v>1353</v>
      </c>
      <c r="H161" s="10">
        <v>1554</v>
      </c>
      <c r="I161" s="38">
        <f t="shared" si="26"/>
        <v>4183</v>
      </c>
      <c r="J161" s="10">
        <v>1400</v>
      </c>
      <c r="K161" s="10">
        <v>1361</v>
      </c>
      <c r="L161" s="10">
        <v>1252</v>
      </c>
      <c r="M161" s="38">
        <f t="shared" si="27"/>
        <v>4013</v>
      </c>
      <c r="N161" s="10">
        <v>1256</v>
      </c>
      <c r="O161" s="10">
        <v>1133</v>
      </c>
      <c r="P161" s="10">
        <v>1125</v>
      </c>
      <c r="Q161" s="38">
        <f t="shared" si="28"/>
        <v>3514</v>
      </c>
      <c r="R161" s="38">
        <f>+E161+I161+M161+Q161</f>
        <v>11710</v>
      </c>
      <c r="T161" t="s">
        <v>2775</v>
      </c>
    </row>
    <row r="162" spans="1:20" ht="15.75" customHeight="1" x14ac:dyDescent="0.3">
      <c r="A162" s="569" t="s">
        <v>2984</v>
      </c>
      <c r="B162" s="10"/>
      <c r="C162" s="10"/>
      <c r="D162" s="10"/>
      <c r="E162" s="38">
        <f t="shared" si="29"/>
        <v>0</v>
      </c>
      <c r="F162" s="10"/>
      <c r="G162" s="10">
        <v>300</v>
      </c>
      <c r="H162" s="10">
        <v>500</v>
      </c>
      <c r="I162" s="38">
        <f t="shared" si="26"/>
        <v>800</v>
      </c>
      <c r="J162" s="10">
        <v>500</v>
      </c>
      <c r="K162" s="10">
        <v>500</v>
      </c>
      <c r="L162" s="10"/>
      <c r="M162" s="38">
        <f t="shared" si="27"/>
        <v>1000</v>
      </c>
      <c r="N162" s="10"/>
      <c r="O162" s="10"/>
      <c r="P162" s="10"/>
      <c r="Q162" s="38">
        <f t="shared" si="28"/>
        <v>0</v>
      </c>
      <c r="R162" s="38">
        <f t="shared" ref="R162:R168" si="30">+E162+I162+M162+Q162</f>
        <v>1800</v>
      </c>
      <c r="T162" t="s">
        <v>2764</v>
      </c>
    </row>
    <row r="163" spans="1:20" ht="15.75" customHeight="1" x14ac:dyDescent="0.3">
      <c r="A163" s="569" t="s">
        <v>2987</v>
      </c>
      <c r="B163" s="10"/>
      <c r="C163" s="10"/>
      <c r="D163" s="10"/>
      <c r="E163" s="38">
        <f t="shared" si="29"/>
        <v>0</v>
      </c>
      <c r="F163" s="10"/>
      <c r="G163" s="10"/>
      <c r="H163" s="10">
        <v>694</v>
      </c>
      <c r="I163" s="38">
        <f t="shared" si="26"/>
        <v>694</v>
      </c>
      <c r="J163" s="10">
        <v>1251</v>
      </c>
      <c r="K163" s="10">
        <v>294</v>
      </c>
      <c r="L163" s="10"/>
      <c r="M163" s="38">
        <f t="shared" si="27"/>
        <v>1545</v>
      </c>
      <c r="N163" s="10">
        <v>206</v>
      </c>
      <c r="O163" s="10"/>
      <c r="P163" s="10"/>
      <c r="Q163" s="38">
        <f t="shared" si="28"/>
        <v>206</v>
      </c>
      <c r="R163" s="38">
        <f t="shared" si="30"/>
        <v>2445</v>
      </c>
      <c r="T163" t="s">
        <v>2770</v>
      </c>
    </row>
    <row r="164" spans="1:20" ht="15.75" customHeight="1" x14ac:dyDescent="0.3">
      <c r="A164" s="569" t="s">
        <v>3285</v>
      </c>
      <c r="B164" s="10"/>
      <c r="C164" s="10"/>
      <c r="D164" s="10"/>
      <c r="E164" s="38">
        <f t="shared" si="29"/>
        <v>0</v>
      </c>
      <c r="F164" s="10"/>
      <c r="G164" s="10"/>
      <c r="H164" s="10"/>
      <c r="I164" s="38">
        <f t="shared" si="26"/>
        <v>0</v>
      </c>
      <c r="J164" s="10"/>
      <c r="K164" s="10"/>
      <c r="L164" s="10"/>
      <c r="M164" s="38">
        <f t="shared" si="27"/>
        <v>0</v>
      </c>
      <c r="N164" s="10"/>
      <c r="O164" s="10">
        <v>300</v>
      </c>
      <c r="P164" s="10"/>
      <c r="Q164" s="38">
        <f t="shared" ref="Q164" si="31">SUM(N164:P164)</f>
        <v>300</v>
      </c>
      <c r="R164" s="38">
        <f t="shared" ref="R164" si="32">+E164+I164+M164+Q164</f>
        <v>300</v>
      </c>
    </row>
    <row r="165" spans="1:20" ht="15.75" customHeight="1" x14ac:dyDescent="0.3">
      <c r="A165" s="539" t="s">
        <v>2985</v>
      </c>
      <c r="B165" s="10"/>
      <c r="C165" s="10"/>
      <c r="D165" s="10"/>
      <c r="E165" s="38">
        <f t="shared" si="29"/>
        <v>0</v>
      </c>
      <c r="F165" s="10"/>
      <c r="G165" s="10"/>
      <c r="H165" s="10"/>
      <c r="I165" s="38">
        <f t="shared" si="26"/>
        <v>0</v>
      </c>
      <c r="J165" s="10"/>
      <c r="K165" s="10"/>
      <c r="L165" s="10">
        <v>531</v>
      </c>
      <c r="M165" s="38">
        <f t="shared" si="27"/>
        <v>531</v>
      </c>
      <c r="N165" s="10"/>
      <c r="O165" s="10"/>
      <c r="P165" s="10"/>
      <c r="Q165" s="38">
        <f t="shared" si="28"/>
        <v>0</v>
      </c>
      <c r="R165" s="38">
        <f t="shared" si="30"/>
        <v>531</v>
      </c>
      <c r="S165" s="709" t="s">
        <v>3020</v>
      </c>
      <c r="T165" t="s">
        <v>2986</v>
      </c>
    </row>
    <row r="166" spans="1:20" ht="15.75" customHeight="1" x14ac:dyDescent="0.3">
      <c r="A166" s="569" t="s">
        <v>2767</v>
      </c>
      <c r="B166" s="10"/>
      <c r="C166" s="10"/>
      <c r="D166" s="10"/>
      <c r="E166" s="38">
        <f t="shared" si="29"/>
        <v>0</v>
      </c>
      <c r="F166" s="10"/>
      <c r="G166" s="10"/>
      <c r="H166" s="10"/>
      <c r="I166" s="38">
        <f t="shared" si="26"/>
        <v>0</v>
      </c>
      <c r="J166" s="10"/>
      <c r="K166" s="10"/>
      <c r="L166" s="10"/>
      <c r="M166" s="38">
        <f t="shared" si="27"/>
        <v>0</v>
      </c>
      <c r="N166" s="10"/>
      <c r="O166" s="10"/>
      <c r="P166" s="10"/>
      <c r="Q166" s="38">
        <f t="shared" si="28"/>
        <v>0</v>
      </c>
      <c r="R166" s="38">
        <f t="shared" si="30"/>
        <v>0</v>
      </c>
      <c r="T166" t="s">
        <v>2769</v>
      </c>
    </row>
    <row r="167" spans="1:20" ht="15.75" customHeight="1" x14ac:dyDescent="0.3">
      <c r="A167" s="569" t="s">
        <v>2768</v>
      </c>
      <c r="B167" s="10"/>
      <c r="C167" s="10"/>
      <c r="D167" s="10"/>
      <c r="E167" s="38">
        <f t="shared" si="29"/>
        <v>0</v>
      </c>
      <c r="F167" s="10"/>
      <c r="G167" s="10">
        <v>1744</v>
      </c>
      <c r="H167" s="10"/>
      <c r="I167" s="38">
        <f t="shared" si="26"/>
        <v>1744</v>
      </c>
      <c r="J167" s="10"/>
      <c r="K167" s="10"/>
      <c r="L167" s="10"/>
      <c r="M167" s="38">
        <f t="shared" si="27"/>
        <v>0</v>
      </c>
      <c r="N167" s="10"/>
      <c r="O167" s="10"/>
      <c r="P167" s="10"/>
      <c r="Q167" s="38">
        <f t="shared" si="28"/>
        <v>0</v>
      </c>
      <c r="R167" s="38">
        <f t="shared" si="30"/>
        <v>1744</v>
      </c>
      <c r="T167" t="s">
        <v>2770</v>
      </c>
    </row>
    <row r="168" spans="1:20" ht="15.75" customHeight="1" x14ac:dyDescent="0.3">
      <c r="A168" s="539" t="s">
        <v>1879</v>
      </c>
      <c r="B168" s="10">
        <v>6</v>
      </c>
      <c r="C168" s="10">
        <v>16</v>
      </c>
      <c r="D168" s="10">
        <v>31</v>
      </c>
      <c r="E168" s="38">
        <f t="shared" si="29"/>
        <v>53</v>
      </c>
      <c r="F168" s="10">
        <v>61</v>
      </c>
      <c r="G168" s="10">
        <v>45</v>
      </c>
      <c r="H168" s="10">
        <v>54</v>
      </c>
      <c r="I168" s="38">
        <f t="shared" si="26"/>
        <v>160</v>
      </c>
      <c r="J168" s="10">
        <v>12</v>
      </c>
      <c r="K168" s="10"/>
      <c r="L168" s="10">
        <v>8</v>
      </c>
      <c r="M168" s="38">
        <f t="shared" si="27"/>
        <v>20</v>
      </c>
      <c r="N168" s="10">
        <v>55</v>
      </c>
      <c r="O168" s="10">
        <v>55</v>
      </c>
      <c r="P168" s="10">
        <v>23</v>
      </c>
      <c r="Q168" s="38">
        <f t="shared" si="28"/>
        <v>133</v>
      </c>
      <c r="R168" s="38">
        <f t="shared" si="30"/>
        <v>366</v>
      </c>
      <c r="T168" t="s">
        <v>1193</v>
      </c>
    </row>
    <row r="169" spans="1:20" ht="15.75" customHeight="1" x14ac:dyDescent="0.3">
      <c r="A169" s="569" t="s">
        <v>2737</v>
      </c>
      <c r="B169" s="10"/>
      <c r="C169" s="10"/>
      <c r="D169" s="10"/>
      <c r="E169" s="38">
        <f t="shared" si="29"/>
        <v>0</v>
      </c>
      <c r="F169" s="10"/>
      <c r="G169" s="10"/>
      <c r="H169" s="10">
        <v>2163</v>
      </c>
      <c r="I169" s="38">
        <f t="shared" si="26"/>
        <v>2163</v>
      </c>
      <c r="J169" s="10">
        <v>1102</v>
      </c>
      <c r="K169" s="10"/>
      <c r="L169" s="10">
        <v>923</v>
      </c>
      <c r="M169" s="38">
        <f t="shared" si="27"/>
        <v>2025</v>
      </c>
      <c r="N169" s="10">
        <v>954</v>
      </c>
      <c r="O169" s="10"/>
      <c r="P169" s="10"/>
      <c r="Q169" s="38">
        <f t="shared" si="28"/>
        <v>954</v>
      </c>
      <c r="R169" s="38">
        <f t="shared" si="24"/>
        <v>5142</v>
      </c>
      <c r="T169" t="s">
        <v>2769</v>
      </c>
    </row>
    <row r="170" spans="1:20" ht="15.75" customHeight="1" x14ac:dyDescent="0.3">
      <c r="A170" s="569" t="s">
        <v>2738</v>
      </c>
      <c r="B170" s="10"/>
      <c r="C170" s="10"/>
      <c r="D170" s="10"/>
      <c r="E170" s="38">
        <f t="shared" si="29"/>
        <v>0</v>
      </c>
      <c r="F170" s="10"/>
      <c r="G170" s="10"/>
      <c r="H170" s="10">
        <v>562</v>
      </c>
      <c r="I170" s="38">
        <f t="shared" si="26"/>
        <v>562</v>
      </c>
      <c r="J170" s="10"/>
      <c r="K170" s="10"/>
      <c r="L170" s="10"/>
      <c r="M170" s="38">
        <f t="shared" si="27"/>
        <v>0</v>
      </c>
      <c r="N170" s="10"/>
      <c r="O170" s="10"/>
      <c r="P170" s="10"/>
      <c r="Q170" s="38">
        <f t="shared" si="28"/>
        <v>0</v>
      </c>
      <c r="R170" s="38">
        <f t="shared" si="24"/>
        <v>562</v>
      </c>
      <c r="T170" t="s">
        <v>2770</v>
      </c>
    </row>
    <row r="171" spans="1:20" ht="15.75" customHeight="1" x14ac:dyDescent="0.3">
      <c r="A171" s="569" t="s">
        <v>2816</v>
      </c>
      <c r="B171" s="10"/>
      <c r="C171" s="10"/>
      <c r="D171" s="10"/>
      <c r="E171" s="38">
        <f t="shared" si="29"/>
        <v>0</v>
      </c>
      <c r="F171" s="10"/>
      <c r="G171" s="10"/>
      <c r="H171" s="10">
        <v>84</v>
      </c>
      <c r="I171" s="38">
        <f>SUM(F171:H171)</f>
        <v>84</v>
      </c>
      <c r="J171" s="10">
        <v>73</v>
      </c>
      <c r="K171" s="10">
        <v>64</v>
      </c>
      <c r="L171" s="10">
        <v>64</v>
      </c>
      <c r="M171" s="38">
        <f t="shared" si="27"/>
        <v>201</v>
      </c>
      <c r="N171" s="10">
        <v>105</v>
      </c>
      <c r="O171" s="10">
        <v>49</v>
      </c>
      <c r="P171" s="10">
        <v>36</v>
      </c>
      <c r="Q171" s="38">
        <f t="shared" si="28"/>
        <v>190</v>
      </c>
      <c r="R171" s="38">
        <f t="shared" si="24"/>
        <v>475</v>
      </c>
      <c r="T171" t="s">
        <v>2819</v>
      </c>
    </row>
    <row r="172" spans="1:20" ht="15.75" customHeight="1" x14ac:dyDescent="0.3">
      <c r="A172" s="569" t="s">
        <v>2817</v>
      </c>
      <c r="B172" s="10"/>
      <c r="C172" s="10"/>
      <c r="D172" s="10"/>
      <c r="E172" s="38">
        <f t="shared" si="29"/>
        <v>0</v>
      </c>
      <c r="F172" s="10"/>
      <c r="G172" s="10">
        <v>54</v>
      </c>
      <c r="H172" s="10">
        <v>101</v>
      </c>
      <c r="I172" s="38">
        <f t="shared" si="26"/>
        <v>155</v>
      </c>
      <c r="J172" s="10">
        <v>119</v>
      </c>
      <c r="K172" s="10">
        <v>69</v>
      </c>
      <c r="L172" s="10">
        <v>45</v>
      </c>
      <c r="M172" s="38">
        <f t="shared" si="27"/>
        <v>233</v>
      </c>
      <c r="N172" s="10">
        <v>56</v>
      </c>
      <c r="O172" s="10">
        <v>17</v>
      </c>
      <c r="P172" s="10">
        <v>1</v>
      </c>
      <c r="Q172" s="38">
        <f t="shared" si="28"/>
        <v>74</v>
      </c>
      <c r="R172" s="38">
        <f t="shared" si="24"/>
        <v>462</v>
      </c>
      <c r="T172" t="s">
        <v>1193</v>
      </c>
    </row>
    <row r="173" spans="1:20" ht="15.75" customHeight="1" x14ac:dyDescent="0.3">
      <c r="A173" s="569" t="s">
        <v>2818</v>
      </c>
      <c r="B173" s="10"/>
      <c r="C173" s="10"/>
      <c r="D173" s="10"/>
      <c r="E173" s="38">
        <f t="shared" si="29"/>
        <v>0</v>
      </c>
      <c r="F173" s="10"/>
      <c r="G173" s="10">
        <v>12</v>
      </c>
      <c r="H173" s="10">
        <v>20</v>
      </c>
      <c r="I173" s="38">
        <f t="shared" si="26"/>
        <v>32</v>
      </c>
      <c r="J173" s="10">
        <v>19</v>
      </c>
      <c r="K173" s="10">
        <v>29</v>
      </c>
      <c r="L173" s="10">
        <v>73</v>
      </c>
      <c r="M173" s="38">
        <f t="shared" si="27"/>
        <v>121</v>
      </c>
      <c r="N173" s="10">
        <v>47</v>
      </c>
      <c r="O173" s="10">
        <v>3</v>
      </c>
      <c r="P173" s="10">
        <v>2</v>
      </c>
      <c r="Q173" s="38">
        <f t="shared" si="28"/>
        <v>52</v>
      </c>
      <c r="R173" s="38">
        <f t="shared" si="24"/>
        <v>205</v>
      </c>
      <c r="T173" t="s">
        <v>2764</v>
      </c>
    </row>
    <row r="174" spans="1:20" ht="15.75" customHeight="1" x14ac:dyDescent="0.3">
      <c r="A174" s="539" t="s">
        <v>2758</v>
      </c>
      <c r="B174" s="10"/>
      <c r="C174" s="10"/>
      <c r="D174" s="10"/>
      <c r="E174" s="38">
        <f t="shared" si="29"/>
        <v>0</v>
      </c>
      <c r="F174" s="10"/>
      <c r="G174" s="10">
        <v>937</v>
      </c>
      <c r="H174" s="10">
        <v>959</v>
      </c>
      <c r="I174" s="38">
        <f t="shared" si="26"/>
        <v>1896</v>
      </c>
      <c r="J174" s="10">
        <v>968</v>
      </c>
      <c r="K174" s="10">
        <v>960</v>
      </c>
      <c r="L174" s="10">
        <v>897</v>
      </c>
      <c r="M174" s="38">
        <f t="shared" si="27"/>
        <v>2825</v>
      </c>
      <c r="N174" s="10">
        <v>865</v>
      </c>
      <c r="O174" s="10">
        <v>845</v>
      </c>
      <c r="P174" s="10">
        <v>727</v>
      </c>
      <c r="Q174" s="38">
        <f t="shared" si="28"/>
        <v>2437</v>
      </c>
      <c r="R174" s="38">
        <f t="shared" si="24"/>
        <v>7158</v>
      </c>
      <c r="T174" t="s">
        <v>2775</v>
      </c>
    </row>
    <row r="175" spans="1:20" ht="15.75" customHeight="1" x14ac:dyDescent="0.3">
      <c r="A175" s="539" t="s">
        <v>2813</v>
      </c>
      <c r="B175" s="10"/>
      <c r="C175" s="10"/>
      <c r="D175" s="10"/>
      <c r="E175" s="38">
        <f t="shared" si="29"/>
        <v>0</v>
      </c>
      <c r="F175" s="10"/>
      <c r="G175" s="10"/>
      <c r="H175" s="10"/>
      <c r="I175" s="38">
        <f t="shared" si="26"/>
        <v>0</v>
      </c>
      <c r="J175" s="10">
        <v>1996</v>
      </c>
      <c r="K175" s="10"/>
      <c r="L175" s="10"/>
      <c r="M175" s="38">
        <f t="shared" si="27"/>
        <v>1996</v>
      </c>
      <c r="N175" s="10"/>
      <c r="O175" s="10"/>
      <c r="P175" s="10"/>
      <c r="Q175" s="38">
        <f t="shared" si="28"/>
        <v>0</v>
      </c>
      <c r="R175" s="38">
        <f t="shared" si="24"/>
        <v>1996</v>
      </c>
      <c r="S175" s="709" t="s">
        <v>3020</v>
      </c>
      <c r="T175" t="s">
        <v>2760</v>
      </c>
    </row>
    <row r="176" spans="1:20" ht="15.75" customHeight="1" x14ac:dyDescent="0.3">
      <c r="A176" s="539" t="s">
        <v>2820</v>
      </c>
      <c r="B176" s="10"/>
      <c r="C176" s="10"/>
      <c r="D176" s="10"/>
      <c r="E176" s="38">
        <f t="shared" si="29"/>
        <v>0</v>
      </c>
      <c r="F176" s="10"/>
      <c r="G176" s="10"/>
      <c r="H176" s="10"/>
      <c r="I176" s="38">
        <f t="shared" si="26"/>
        <v>0</v>
      </c>
      <c r="J176" s="10"/>
      <c r="K176" s="10"/>
      <c r="L176" s="10"/>
      <c r="M176" s="38">
        <f t="shared" si="27"/>
        <v>0</v>
      </c>
      <c r="N176" s="10"/>
      <c r="O176" s="10"/>
      <c r="P176" s="10"/>
      <c r="Q176" s="38">
        <f t="shared" si="28"/>
        <v>0</v>
      </c>
      <c r="R176" s="38">
        <f t="shared" si="24"/>
        <v>0</v>
      </c>
      <c r="T176" t="s">
        <v>2760</v>
      </c>
    </row>
    <row r="177" spans="1:20" ht="15.75" customHeight="1" x14ac:dyDescent="0.3">
      <c r="A177" s="539" t="s">
        <v>2426</v>
      </c>
      <c r="B177" s="10">
        <v>7102</v>
      </c>
      <c r="C177" s="10">
        <v>5944</v>
      </c>
      <c r="D177" s="10">
        <v>3856</v>
      </c>
      <c r="E177" s="38">
        <f t="shared" si="29"/>
        <v>16902</v>
      </c>
      <c r="F177" s="10">
        <v>1351</v>
      </c>
      <c r="G177" s="10"/>
      <c r="H177" s="10">
        <v>11904</v>
      </c>
      <c r="I177" s="38">
        <f t="shared" si="26"/>
        <v>13255</v>
      </c>
      <c r="J177" s="10">
        <v>12255</v>
      </c>
      <c r="K177" s="10">
        <v>11593</v>
      </c>
      <c r="L177" s="10">
        <v>12467</v>
      </c>
      <c r="M177" s="38">
        <f t="shared" si="27"/>
        <v>36315</v>
      </c>
      <c r="N177" s="10">
        <f>11498+1+2551+2+82</f>
        <v>14134</v>
      </c>
      <c r="O177" s="10">
        <f>8207+1+2908+2+82</f>
        <v>11200</v>
      </c>
      <c r="P177" s="10">
        <f>8949+1+2443+2+23</f>
        <v>11418</v>
      </c>
      <c r="Q177" s="38">
        <f t="shared" si="28"/>
        <v>36752</v>
      </c>
      <c r="R177" s="38">
        <f t="shared" si="24"/>
        <v>103224</v>
      </c>
      <c r="S177" t="s">
        <v>3020</v>
      </c>
    </row>
    <row r="178" spans="1:20" ht="15.75" customHeight="1" x14ac:dyDescent="0.3">
      <c r="A178" s="539" t="s">
        <v>3059</v>
      </c>
      <c r="B178" s="10">
        <v>1611</v>
      </c>
      <c r="C178" s="10"/>
      <c r="D178" s="10"/>
      <c r="E178" s="38">
        <f t="shared" si="29"/>
        <v>1611</v>
      </c>
      <c r="F178" s="10"/>
      <c r="G178" s="10"/>
      <c r="H178" s="10">
        <v>3075</v>
      </c>
      <c r="I178" s="38">
        <f t="shared" si="26"/>
        <v>3075</v>
      </c>
      <c r="J178" s="10">
        <v>3041</v>
      </c>
      <c r="K178" s="10">
        <f>4392+1434</f>
        <v>5826</v>
      </c>
      <c r="L178" s="10">
        <f>1581</f>
        <v>1581</v>
      </c>
      <c r="M178" s="38">
        <f t="shared" si="27"/>
        <v>10448</v>
      </c>
      <c r="N178" s="10">
        <v>239</v>
      </c>
      <c r="O178" s="10">
        <v>296</v>
      </c>
      <c r="P178" s="10">
        <f>852+611</f>
        <v>1463</v>
      </c>
      <c r="Q178" s="38">
        <f t="shared" si="28"/>
        <v>1998</v>
      </c>
      <c r="R178" s="38">
        <f>+E178+I178+M178+Q178</f>
        <v>17132</v>
      </c>
      <c r="S178" s="709"/>
      <c r="T178" t="s">
        <v>2760</v>
      </c>
    </row>
    <row r="179" spans="1:20" ht="15.75" customHeight="1" x14ac:dyDescent="0.3">
      <c r="A179" s="539" t="s">
        <v>2864</v>
      </c>
      <c r="B179" s="10">
        <v>25</v>
      </c>
      <c r="C179" s="10">
        <v>17</v>
      </c>
      <c r="D179" s="10"/>
      <c r="E179" s="38">
        <f t="shared" si="29"/>
        <v>42</v>
      </c>
      <c r="F179" s="10">
        <v>35</v>
      </c>
      <c r="G179" s="10">
        <v>35</v>
      </c>
      <c r="H179" s="10">
        <v>35</v>
      </c>
      <c r="I179" s="38">
        <f t="shared" si="26"/>
        <v>105</v>
      </c>
      <c r="J179" s="10">
        <v>35</v>
      </c>
      <c r="K179" s="10">
        <v>35</v>
      </c>
      <c r="L179" s="10">
        <v>35</v>
      </c>
      <c r="M179" s="38">
        <f t="shared" si="27"/>
        <v>105</v>
      </c>
      <c r="N179" s="10">
        <v>51</v>
      </c>
      <c r="O179" s="10">
        <v>35</v>
      </c>
      <c r="P179" s="10">
        <v>19</v>
      </c>
      <c r="Q179" s="38">
        <f t="shared" si="28"/>
        <v>105</v>
      </c>
      <c r="R179" s="38">
        <f t="shared" si="24"/>
        <v>357</v>
      </c>
      <c r="S179" t="s">
        <v>3020</v>
      </c>
      <c r="T179" t="s">
        <v>2760</v>
      </c>
    </row>
    <row r="180" spans="1:20" ht="15.75" customHeight="1" x14ac:dyDescent="0.3">
      <c r="A180" s="539" t="s">
        <v>1520</v>
      </c>
      <c r="B180" s="10">
        <v>3283</v>
      </c>
      <c r="C180" s="10"/>
      <c r="D180" s="10"/>
      <c r="E180" s="38">
        <f t="shared" si="29"/>
        <v>3283</v>
      </c>
      <c r="F180" s="10"/>
      <c r="G180" s="10">
        <f>119+5994+50</f>
        <v>6163</v>
      </c>
      <c r="H180" s="10">
        <f>136+852+5835+62</f>
        <v>6885</v>
      </c>
      <c r="I180" s="38">
        <f t="shared" si="26"/>
        <v>13048</v>
      </c>
      <c r="J180" s="10">
        <f>134+605+5761+37</f>
        <v>6537</v>
      </c>
      <c r="K180" s="10">
        <f>137+516+4927+29</f>
        <v>5609</v>
      </c>
      <c r="L180" s="10">
        <f>108+460+4440+50</f>
        <v>5058</v>
      </c>
      <c r="M180" s="38">
        <f t="shared" si="27"/>
        <v>17204</v>
      </c>
      <c r="N180" s="10">
        <f>73+511+4979+70</f>
        <v>5633</v>
      </c>
      <c r="O180" s="10">
        <f>23+36+4136+22</f>
        <v>4217</v>
      </c>
      <c r="P180" s="10">
        <f>20+120+3727+19</f>
        <v>3886</v>
      </c>
      <c r="Q180" s="38">
        <f t="shared" si="28"/>
        <v>13736</v>
      </c>
      <c r="R180" s="38">
        <f>+E180+I180+M180+Q180</f>
        <v>47271</v>
      </c>
    </row>
    <row r="181" spans="1:20" ht="15.75" customHeight="1" x14ac:dyDescent="0.3">
      <c r="A181" s="539" t="s">
        <v>3062</v>
      </c>
      <c r="B181" s="10"/>
      <c r="C181" s="10"/>
      <c r="D181" s="10"/>
      <c r="E181" s="38">
        <f t="shared" ref="E181:E187" si="33">SUM(B181:D181)</f>
        <v>0</v>
      </c>
      <c r="F181" s="10"/>
      <c r="G181" s="10">
        <v>56</v>
      </c>
      <c r="H181" s="10">
        <v>288</v>
      </c>
      <c r="I181" s="38">
        <f t="shared" si="26"/>
        <v>344</v>
      </c>
      <c r="J181" s="10">
        <f>289+2661</f>
        <v>2950</v>
      </c>
      <c r="K181" s="10">
        <v>183</v>
      </c>
      <c r="L181" s="10">
        <v>202</v>
      </c>
      <c r="M181" s="38">
        <f t="shared" si="27"/>
        <v>3335</v>
      </c>
      <c r="N181" s="10"/>
      <c r="O181" s="10"/>
      <c r="P181" s="10"/>
      <c r="Q181" s="38">
        <f t="shared" si="28"/>
        <v>0</v>
      </c>
      <c r="R181" s="38">
        <f t="shared" si="24"/>
        <v>3679</v>
      </c>
      <c r="S181" t="s">
        <v>3020</v>
      </c>
    </row>
    <row r="182" spans="1:20" ht="15.75" customHeight="1" x14ac:dyDescent="0.3">
      <c r="A182" s="569" t="s">
        <v>2739</v>
      </c>
      <c r="B182" s="10"/>
      <c r="C182" s="10"/>
      <c r="D182" s="10"/>
      <c r="E182" s="38">
        <f t="shared" si="33"/>
        <v>0</v>
      </c>
      <c r="F182" s="10"/>
      <c r="G182" s="10"/>
      <c r="H182" s="10"/>
      <c r="I182" s="38">
        <f t="shared" ref="I182:I187" si="34">SUM(F182:H182)</f>
        <v>0</v>
      </c>
      <c r="J182" s="10"/>
      <c r="K182" s="10"/>
      <c r="L182" s="10"/>
      <c r="M182" s="38">
        <f t="shared" ref="M182:M187" si="35">SUM(J182:L182)</f>
        <v>0</v>
      </c>
      <c r="N182" s="10"/>
      <c r="O182" s="10"/>
      <c r="P182" s="10"/>
      <c r="Q182" s="38">
        <f t="shared" si="28"/>
        <v>0</v>
      </c>
      <c r="R182" s="38">
        <f t="shared" si="24"/>
        <v>0</v>
      </c>
      <c r="T182" t="s">
        <v>2769</v>
      </c>
    </row>
    <row r="183" spans="1:20" ht="15.75" customHeight="1" x14ac:dyDescent="0.3">
      <c r="A183" s="569" t="s">
        <v>2740</v>
      </c>
      <c r="B183" s="10"/>
      <c r="C183" s="10"/>
      <c r="D183" s="10"/>
      <c r="E183" s="38">
        <f t="shared" si="33"/>
        <v>0</v>
      </c>
      <c r="F183" s="10"/>
      <c r="G183" s="10"/>
      <c r="H183" s="10"/>
      <c r="I183" s="38">
        <f t="shared" si="34"/>
        <v>0</v>
      </c>
      <c r="J183" s="10"/>
      <c r="K183" s="10"/>
      <c r="L183" s="10"/>
      <c r="M183" s="38">
        <f t="shared" si="35"/>
        <v>0</v>
      </c>
      <c r="N183" s="10"/>
      <c r="O183" s="10"/>
      <c r="P183" s="10"/>
      <c r="Q183" s="38">
        <f t="shared" si="28"/>
        <v>0</v>
      </c>
      <c r="R183" s="38">
        <f>+E183+I183+M183+Q183</f>
        <v>0</v>
      </c>
    </row>
    <row r="184" spans="1:20" ht="15.75" customHeight="1" x14ac:dyDescent="0.3">
      <c r="A184" s="569" t="s">
        <v>3055</v>
      </c>
      <c r="B184" s="10"/>
      <c r="C184" s="10"/>
      <c r="D184" s="10"/>
      <c r="E184" s="38">
        <f t="shared" si="33"/>
        <v>0</v>
      </c>
      <c r="F184" s="10">
        <v>1500</v>
      </c>
      <c r="G184" s="10">
        <v>1500</v>
      </c>
      <c r="H184" s="10">
        <v>1000</v>
      </c>
      <c r="I184" s="38">
        <f t="shared" si="34"/>
        <v>4000</v>
      </c>
      <c r="J184" s="10">
        <v>725</v>
      </c>
      <c r="K184" s="10">
        <v>500</v>
      </c>
      <c r="L184" s="10"/>
      <c r="M184" s="38">
        <f t="shared" si="35"/>
        <v>1225</v>
      </c>
      <c r="N184" s="10">
        <v>500</v>
      </c>
      <c r="O184" s="10"/>
      <c r="P184" s="10"/>
      <c r="Q184" s="38">
        <f t="shared" si="28"/>
        <v>500</v>
      </c>
      <c r="R184" s="38">
        <f t="shared" si="24"/>
        <v>5725</v>
      </c>
    </row>
    <row r="185" spans="1:20" ht="15.75" customHeight="1" x14ac:dyDescent="0.3">
      <c r="A185" s="539" t="s">
        <v>2821</v>
      </c>
      <c r="B185" s="10">
        <v>74</v>
      </c>
      <c r="C185" s="10">
        <v>117</v>
      </c>
      <c r="D185" s="10"/>
      <c r="E185" s="38">
        <f t="shared" si="33"/>
        <v>191</v>
      </c>
      <c r="F185" s="10">
        <v>200</v>
      </c>
      <c r="G185" s="10">
        <v>450</v>
      </c>
      <c r="H185" s="10">
        <v>450</v>
      </c>
      <c r="I185" s="38">
        <f t="shared" si="34"/>
        <v>1100</v>
      </c>
      <c r="J185" s="10">
        <v>580</v>
      </c>
      <c r="K185" s="10">
        <v>481</v>
      </c>
      <c r="L185" s="10">
        <v>469</v>
      </c>
      <c r="M185" s="38">
        <f t="shared" si="35"/>
        <v>1530</v>
      </c>
      <c r="N185" s="10">
        <v>347</v>
      </c>
      <c r="O185" s="10">
        <v>300</v>
      </c>
      <c r="P185" s="10">
        <v>237</v>
      </c>
      <c r="Q185" s="38">
        <f t="shared" si="28"/>
        <v>884</v>
      </c>
      <c r="R185" s="38">
        <f>+E185+I185+M185+Q185</f>
        <v>3705</v>
      </c>
      <c r="S185" t="s">
        <v>3020</v>
      </c>
      <c r="T185" t="s">
        <v>2760</v>
      </c>
    </row>
    <row r="186" spans="1:20" ht="15.75" customHeight="1" x14ac:dyDescent="0.3">
      <c r="A186" s="539" t="s">
        <v>1574</v>
      </c>
      <c r="B186" s="10">
        <v>2</v>
      </c>
      <c r="C186" s="10">
        <v>2</v>
      </c>
      <c r="D186" s="10">
        <v>3</v>
      </c>
      <c r="E186" s="38">
        <f t="shared" si="33"/>
        <v>7</v>
      </c>
      <c r="F186" s="10">
        <v>3</v>
      </c>
      <c r="G186" s="10">
        <v>3</v>
      </c>
      <c r="H186" s="10">
        <v>4</v>
      </c>
      <c r="I186" s="38">
        <f t="shared" si="34"/>
        <v>10</v>
      </c>
      <c r="J186" s="10">
        <v>3</v>
      </c>
      <c r="K186" s="10">
        <v>4</v>
      </c>
      <c r="L186" s="10">
        <v>4</v>
      </c>
      <c r="M186" s="38">
        <f t="shared" si="35"/>
        <v>11</v>
      </c>
      <c r="N186" s="10">
        <v>3</v>
      </c>
      <c r="O186" s="10">
        <v>3</v>
      </c>
      <c r="P186" s="10"/>
      <c r="Q186" s="38">
        <f t="shared" si="28"/>
        <v>6</v>
      </c>
      <c r="R186" s="38">
        <f>+E186+I186+M186+Q186</f>
        <v>34</v>
      </c>
      <c r="S186">
        <f>SUM(R139:R186)</f>
        <v>266453</v>
      </c>
    </row>
    <row r="187" spans="1:20" ht="15.75" customHeight="1" x14ac:dyDescent="0.3">
      <c r="A187" s="539" t="s">
        <v>3008</v>
      </c>
      <c r="B187" s="10"/>
      <c r="C187" s="10"/>
      <c r="D187" s="10"/>
      <c r="E187" s="38">
        <f t="shared" si="33"/>
        <v>0</v>
      </c>
      <c r="F187" s="10"/>
      <c r="G187" s="10"/>
      <c r="H187" s="10"/>
      <c r="I187" s="38">
        <f t="shared" si="34"/>
        <v>0</v>
      </c>
      <c r="J187" s="10">
        <v>107</v>
      </c>
      <c r="K187" s="10"/>
      <c r="L187" s="10"/>
      <c r="M187" s="38">
        <f t="shared" si="35"/>
        <v>107</v>
      </c>
      <c r="N187" s="10"/>
      <c r="O187" s="10"/>
      <c r="P187" s="10"/>
      <c r="Q187" s="38">
        <f t="shared" si="28"/>
        <v>0</v>
      </c>
      <c r="R187" s="38">
        <f>+E187+I187+M187+Q187</f>
        <v>107</v>
      </c>
      <c r="S187" s="709" t="s">
        <v>3020</v>
      </c>
      <c r="T187" t="s">
        <v>2760</v>
      </c>
    </row>
    <row r="188" spans="1:20" ht="15.75" customHeight="1" x14ac:dyDescent="0.3">
      <c r="A188" s="234" t="s">
        <v>2161</v>
      </c>
      <c r="B188" s="10"/>
      <c r="C188" s="10"/>
      <c r="D188" s="10"/>
      <c r="E188" s="38" t="s">
        <v>852</v>
      </c>
      <c r="F188" s="10"/>
      <c r="G188" s="10"/>
      <c r="H188" s="10"/>
      <c r="I188" s="38" t="s">
        <v>852</v>
      </c>
      <c r="J188" s="10"/>
      <c r="K188" s="10"/>
      <c r="L188" s="10"/>
      <c r="M188" s="38" t="s">
        <v>852</v>
      </c>
      <c r="N188" s="10"/>
      <c r="O188" s="10"/>
      <c r="P188" s="10"/>
      <c r="Q188" s="38" t="s">
        <v>852</v>
      </c>
      <c r="R188" s="38" t="s">
        <v>852</v>
      </c>
    </row>
    <row r="189" spans="1:20" ht="15.75" customHeight="1" x14ac:dyDescent="0.3">
      <c r="A189" s="539" t="s">
        <v>2515</v>
      </c>
      <c r="B189" s="10"/>
      <c r="C189" s="10"/>
      <c r="D189" s="10"/>
      <c r="E189" s="38">
        <f t="shared" ref="E189:E200" si="36">SUM(B189:D189)</f>
        <v>0</v>
      </c>
      <c r="F189" s="10"/>
      <c r="G189" s="10"/>
      <c r="H189" s="10"/>
      <c r="I189" s="38">
        <f t="shared" ref="I189:I200" si="37">SUM(F189:H189)</f>
        <v>0</v>
      </c>
      <c r="J189" s="10"/>
      <c r="K189" s="10"/>
      <c r="L189" s="10"/>
      <c r="M189" s="38">
        <f t="shared" ref="M189:M200" si="38">SUM(J189:L189)</f>
        <v>0</v>
      </c>
      <c r="N189" s="10"/>
      <c r="O189" s="10"/>
      <c r="P189" s="10"/>
      <c r="Q189" s="38">
        <f t="shared" ref="Q189:Q200" si="39">SUM(N189:P189)</f>
        <v>0</v>
      </c>
      <c r="R189" s="38">
        <f t="shared" ref="R189:R200" si="40">+E189+I189+M189+Q189</f>
        <v>0</v>
      </c>
    </row>
    <row r="190" spans="1:20" ht="15.75" customHeight="1" x14ac:dyDescent="0.3">
      <c r="A190" s="266" t="s">
        <v>2368</v>
      </c>
      <c r="B190" s="10"/>
      <c r="C190" s="10"/>
      <c r="D190" s="10"/>
      <c r="E190" s="38">
        <f>SUM(B190:D190)</f>
        <v>0</v>
      </c>
      <c r="F190" s="10"/>
      <c r="G190" s="10"/>
      <c r="H190" s="10"/>
      <c r="I190" s="38">
        <f>SUM(F190:H190)</f>
        <v>0</v>
      </c>
      <c r="J190" s="10"/>
      <c r="K190" s="10"/>
      <c r="L190" s="10"/>
      <c r="M190" s="38">
        <f>SUM(J190:L190)</f>
        <v>0</v>
      </c>
      <c r="N190" s="10"/>
      <c r="O190" s="10"/>
      <c r="P190" s="10"/>
      <c r="Q190" s="38">
        <f>SUM(N190:P190)</f>
        <v>0</v>
      </c>
      <c r="R190" s="38">
        <f>+E190+I190+M190+Q190</f>
        <v>0</v>
      </c>
      <c r="T190" t="s">
        <v>1193</v>
      </c>
    </row>
    <row r="191" spans="1:20" ht="15.75" customHeight="1" x14ac:dyDescent="0.3">
      <c r="A191" s="266" t="s">
        <v>1747</v>
      </c>
      <c r="B191" s="10"/>
      <c r="C191" s="10"/>
      <c r="D191" s="10"/>
      <c r="E191" s="38">
        <f t="shared" si="36"/>
        <v>0</v>
      </c>
      <c r="F191" s="10"/>
      <c r="G191" s="10"/>
      <c r="H191" s="10"/>
      <c r="I191" s="38">
        <f t="shared" si="37"/>
        <v>0</v>
      </c>
      <c r="J191" s="10"/>
      <c r="K191" s="10"/>
      <c r="L191" s="10"/>
      <c r="M191" s="38">
        <f t="shared" si="38"/>
        <v>0</v>
      </c>
      <c r="N191" s="10"/>
      <c r="O191" s="10"/>
      <c r="P191" s="10"/>
      <c r="Q191" s="38">
        <f t="shared" si="39"/>
        <v>0</v>
      </c>
      <c r="R191" s="38">
        <f t="shared" si="40"/>
        <v>0</v>
      </c>
    </row>
    <row r="192" spans="1:20" ht="15.75" customHeight="1" x14ac:dyDescent="0.3">
      <c r="A192" s="539" t="s">
        <v>2822</v>
      </c>
      <c r="B192" s="10"/>
      <c r="C192" s="10"/>
      <c r="D192" s="10"/>
      <c r="E192" s="38">
        <f t="shared" si="36"/>
        <v>0</v>
      </c>
      <c r="F192" s="10"/>
      <c r="G192" s="10"/>
      <c r="H192" s="10"/>
      <c r="I192" s="38">
        <f t="shared" si="37"/>
        <v>0</v>
      </c>
      <c r="J192" s="10"/>
      <c r="K192" s="10"/>
      <c r="L192" s="10"/>
      <c r="M192" s="38">
        <f t="shared" si="38"/>
        <v>0</v>
      </c>
      <c r="N192" s="10"/>
      <c r="O192" s="10"/>
      <c r="P192" s="10"/>
      <c r="Q192" s="38">
        <f t="shared" si="39"/>
        <v>0</v>
      </c>
      <c r="R192" s="38">
        <f t="shared" si="40"/>
        <v>0</v>
      </c>
      <c r="T192" t="s">
        <v>2760</v>
      </c>
    </row>
    <row r="193" spans="1:20" ht="15.75" customHeight="1" x14ac:dyDescent="0.3">
      <c r="A193" s="266" t="s">
        <v>1824</v>
      </c>
      <c r="B193" s="10"/>
      <c r="C193" s="10"/>
      <c r="D193" s="10"/>
      <c r="E193" s="38">
        <f t="shared" si="36"/>
        <v>0</v>
      </c>
      <c r="F193" s="10"/>
      <c r="G193" s="10"/>
      <c r="H193" s="10"/>
      <c r="I193" s="38">
        <f t="shared" si="37"/>
        <v>0</v>
      </c>
      <c r="J193" s="10"/>
      <c r="K193" s="10"/>
      <c r="L193" s="10"/>
      <c r="M193" s="38">
        <f t="shared" si="38"/>
        <v>0</v>
      </c>
      <c r="N193" s="10"/>
      <c r="O193" s="10"/>
      <c r="P193" s="10"/>
      <c r="Q193" s="38">
        <f t="shared" si="39"/>
        <v>0</v>
      </c>
      <c r="R193" s="38">
        <f t="shared" si="40"/>
        <v>0</v>
      </c>
    </row>
    <row r="194" spans="1:20" ht="15.75" customHeight="1" x14ac:dyDescent="0.3">
      <c r="A194" s="266" t="s">
        <v>1746</v>
      </c>
      <c r="B194" s="10"/>
      <c r="C194" s="10"/>
      <c r="D194" s="10"/>
      <c r="E194" s="38">
        <f t="shared" si="36"/>
        <v>0</v>
      </c>
      <c r="F194" s="10"/>
      <c r="G194" s="10"/>
      <c r="H194" s="10"/>
      <c r="I194" s="38">
        <f t="shared" si="37"/>
        <v>0</v>
      </c>
      <c r="J194" s="10"/>
      <c r="K194" s="10"/>
      <c r="L194" s="10"/>
      <c r="M194" s="38">
        <f t="shared" si="38"/>
        <v>0</v>
      </c>
      <c r="N194" s="10"/>
      <c r="O194" s="10"/>
      <c r="P194" s="10"/>
      <c r="Q194" s="38">
        <f t="shared" si="39"/>
        <v>0</v>
      </c>
      <c r="R194" s="38">
        <f t="shared" si="40"/>
        <v>0</v>
      </c>
    </row>
    <row r="195" spans="1:20" ht="15.75" customHeight="1" x14ac:dyDescent="0.3">
      <c r="A195" s="569" t="s">
        <v>1546</v>
      </c>
      <c r="B195" s="10"/>
      <c r="C195" s="10"/>
      <c r="D195" s="10"/>
      <c r="E195" s="38">
        <f t="shared" si="36"/>
        <v>0</v>
      </c>
      <c r="F195" s="10"/>
      <c r="G195" s="10"/>
      <c r="H195" s="10"/>
      <c r="I195" s="38">
        <f t="shared" si="37"/>
        <v>0</v>
      </c>
      <c r="J195" s="10"/>
      <c r="K195" s="10"/>
      <c r="L195" s="10"/>
      <c r="M195" s="38">
        <f t="shared" si="38"/>
        <v>0</v>
      </c>
      <c r="N195" s="10"/>
      <c r="O195" s="10"/>
      <c r="P195" s="10"/>
      <c r="Q195" s="38">
        <f t="shared" si="39"/>
        <v>0</v>
      </c>
      <c r="R195" s="38">
        <f t="shared" si="40"/>
        <v>0</v>
      </c>
      <c r="T195" t="s">
        <v>2764</v>
      </c>
    </row>
    <row r="196" spans="1:20" ht="15.75" customHeight="1" x14ac:dyDescent="0.3">
      <c r="A196" s="539" t="s">
        <v>3306</v>
      </c>
      <c r="B196" s="10"/>
      <c r="C196" s="10"/>
      <c r="D196" s="10"/>
      <c r="E196" s="38">
        <f t="shared" si="36"/>
        <v>0</v>
      </c>
      <c r="F196" s="10"/>
      <c r="G196" s="10"/>
      <c r="H196" s="10"/>
      <c r="I196" s="38">
        <f t="shared" si="37"/>
        <v>0</v>
      </c>
      <c r="J196" s="10"/>
      <c r="K196" s="10"/>
      <c r="L196" s="10"/>
      <c r="M196" s="38">
        <f t="shared" si="38"/>
        <v>0</v>
      </c>
      <c r="N196" s="10"/>
      <c r="O196" s="10"/>
      <c r="P196" s="10">
        <v>59</v>
      </c>
      <c r="Q196" s="38">
        <f t="shared" si="39"/>
        <v>59</v>
      </c>
      <c r="R196" s="38">
        <f t="shared" si="40"/>
        <v>59</v>
      </c>
    </row>
    <row r="197" spans="1:20" ht="15.75" customHeight="1" x14ac:dyDescent="0.3">
      <c r="A197" s="539" t="s">
        <v>2823</v>
      </c>
      <c r="B197" s="10"/>
      <c r="C197" s="10"/>
      <c r="D197" s="10"/>
      <c r="E197" s="38">
        <f t="shared" si="36"/>
        <v>0</v>
      </c>
      <c r="F197" s="10"/>
      <c r="G197" s="10"/>
      <c r="H197" s="10"/>
      <c r="I197" s="38">
        <f t="shared" si="37"/>
        <v>0</v>
      </c>
      <c r="J197" s="10"/>
      <c r="K197" s="10"/>
      <c r="L197" s="10"/>
      <c r="M197" s="38">
        <f t="shared" si="38"/>
        <v>0</v>
      </c>
      <c r="N197" s="10"/>
      <c r="O197" s="10"/>
      <c r="P197" s="10"/>
      <c r="Q197" s="38">
        <f t="shared" si="39"/>
        <v>0</v>
      </c>
      <c r="R197" s="38">
        <f t="shared" si="40"/>
        <v>0</v>
      </c>
      <c r="T197" t="s">
        <v>2760</v>
      </c>
    </row>
    <row r="198" spans="1:20" ht="15.75" customHeight="1" x14ac:dyDescent="0.3">
      <c r="A198" s="539" t="s">
        <v>2815</v>
      </c>
      <c r="B198" s="10"/>
      <c r="C198" s="10"/>
      <c r="D198" s="10"/>
      <c r="E198" s="38">
        <f t="shared" si="36"/>
        <v>0</v>
      </c>
      <c r="F198" s="10"/>
      <c r="G198" s="10"/>
      <c r="H198" s="10"/>
      <c r="I198" s="38">
        <f t="shared" si="37"/>
        <v>0</v>
      </c>
      <c r="J198" s="10"/>
      <c r="K198" s="10"/>
      <c r="L198" s="10"/>
      <c r="M198" s="38">
        <f t="shared" si="38"/>
        <v>0</v>
      </c>
      <c r="N198" s="10"/>
      <c r="O198" s="10"/>
      <c r="P198" s="10"/>
      <c r="Q198" s="38">
        <f t="shared" si="39"/>
        <v>0</v>
      </c>
      <c r="R198" s="38">
        <f t="shared" si="40"/>
        <v>0</v>
      </c>
      <c r="T198" t="s">
        <v>2631</v>
      </c>
    </row>
    <row r="199" spans="1:20" ht="15.75" customHeight="1" x14ac:dyDescent="0.3">
      <c r="A199" s="267" t="s">
        <v>5</v>
      </c>
      <c r="B199" s="10"/>
      <c r="C199" s="10"/>
      <c r="D199" s="10"/>
      <c r="E199" s="38">
        <f>SUM(B199:D199)</f>
        <v>0</v>
      </c>
      <c r="F199" s="10"/>
      <c r="G199" s="10"/>
      <c r="H199" s="10"/>
      <c r="I199" s="38">
        <f>SUM(F199:H199)</f>
        <v>0</v>
      </c>
      <c r="J199" s="10"/>
      <c r="K199" s="10"/>
      <c r="L199" s="10"/>
      <c r="M199" s="38">
        <f>SUM(J199:L199)</f>
        <v>0</v>
      </c>
      <c r="N199" s="10"/>
      <c r="O199" s="10"/>
      <c r="P199" s="10"/>
      <c r="Q199" s="38">
        <f>SUM(N199:P199)</f>
        <v>0</v>
      </c>
      <c r="R199" s="38">
        <f>+E199+I199+M199+Q199</f>
        <v>0</v>
      </c>
    </row>
    <row r="200" spans="1:20" ht="15.75" customHeight="1" x14ac:dyDescent="0.3">
      <c r="A200" s="539" t="s">
        <v>3307</v>
      </c>
      <c r="B200" s="10"/>
      <c r="C200" s="10"/>
      <c r="D200" s="10"/>
      <c r="E200" s="38">
        <f t="shared" si="36"/>
        <v>0</v>
      </c>
      <c r="F200" s="10"/>
      <c r="G200" s="10"/>
      <c r="H200" s="10"/>
      <c r="I200" s="38">
        <f t="shared" si="37"/>
        <v>0</v>
      </c>
      <c r="J200" s="10"/>
      <c r="K200" s="10"/>
      <c r="L200" s="10"/>
      <c r="M200" s="38">
        <f t="shared" si="38"/>
        <v>0</v>
      </c>
      <c r="N200" s="10"/>
      <c r="O200" s="10"/>
      <c r="P200" s="10">
        <v>3</v>
      </c>
      <c r="Q200" s="38">
        <f t="shared" si="39"/>
        <v>3</v>
      </c>
      <c r="R200" s="38">
        <f t="shared" si="40"/>
        <v>3</v>
      </c>
    </row>
    <row r="201" spans="1:20" ht="15.75" customHeight="1" x14ac:dyDescent="0.3">
      <c r="A201" s="234" t="s">
        <v>3245</v>
      </c>
      <c r="B201" s="10"/>
      <c r="C201" s="10"/>
      <c r="D201" s="10"/>
      <c r="E201" s="38" t="s">
        <v>852</v>
      </c>
      <c r="F201" s="10"/>
      <c r="G201" s="10"/>
      <c r="H201" s="10"/>
      <c r="I201" s="38" t="s">
        <v>852</v>
      </c>
      <c r="J201" s="10"/>
      <c r="K201" s="10"/>
      <c r="L201" s="10"/>
      <c r="M201" s="38" t="s">
        <v>852</v>
      </c>
      <c r="N201" s="10"/>
      <c r="O201" s="10"/>
      <c r="P201" s="10"/>
      <c r="Q201" s="38" t="s">
        <v>852</v>
      </c>
      <c r="R201" s="38" t="s">
        <v>852</v>
      </c>
    </row>
    <row r="202" spans="1:20" ht="15.75" customHeight="1" x14ac:dyDescent="0.3">
      <c r="A202" s="568" t="s">
        <v>2846</v>
      </c>
      <c r="B202" s="10"/>
      <c r="C202" s="10"/>
      <c r="D202" s="10"/>
      <c r="E202" s="38">
        <f>SUM(B202:D202)</f>
        <v>0</v>
      </c>
      <c r="F202" s="10"/>
      <c r="G202" s="10"/>
      <c r="H202" s="10"/>
      <c r="I202" s="38">
        <f>SUM(F202:H202)</f>
        <v>0</v>
      </c>
      <c r="J202" s="10"/>
      <c r="K202" s="10"/>
      <c r="L202" s="10"/>
      <c r="M202" s="38">
        <f>SUM(J202:L202)</f>
        <v>0</v>
      </c>
      <c r="N202" s="10"/>
      <c r="O202" s="10">
        <v>1789</v>
      </c>
      <c r="P202" s="10">
        <v>1154</v>
      </c>
      <c r="Q202" s="38">
        <f>SUM(N202:P202)</f>
        <v>2943</v>
      </c>
      <c r="R202" s="38">
        <f>+E202+I202+M202+Q202</f>
        <v>2943</v>
      </c>
      <c r="T202" t="s">
        <v>2769</v>
      </c>
    </row>
    <row r="203" spans="1:20" ht="15.75" customHeight="1" x14ac:dyDescent="0.3">
      <c r="A203" s="568" t="s">
        <v>2847</v>
      </c>
      <c r="B203" s="10"/>
      <c r="C203" s="10"/>
      <c r="D203" s="10"/>
      <c r="E203" s="38">
        <f>SUM(B203:D203)</f>
        <v>0</v>
      </c>
      <c r="F203" s="10"/>
      <c r="G203" s="10"/>
      <c r="H203" s="10"/>
      <c r="I203" s="38">
        <f>SUM(F203:H203)</f>
        <v>0</v>
      </c>
      <c r="J203" s="10"/>
      <c r="K203" s="10"/>
      <c r="L203" s="10"/>
      <c r="M203" s="38">
        <f>SUM(J203:L203)</f>
        <v>0</v>
      </c>
      <c r="N203" s="10">
        <v>43</v>
      </c>
      <c r="O203" s="10">
        <v>535</v>
      </c>
      <c r="P203" s="10">
        <v>523</v>
      </c>
      <c r="Q203" s="38">
        <f>SUM(N203:P203)</f>
        <v>1101</v>
      </c>
      <c r="R203" s="38">
        <f>+E203+I203+M203+Q203</f>
        <v>1101</v>
      </c>
      <c r="T203" t="s">
        <v>2770</v>
      </c>
    </row>
    <row r="204" spans="1:20" ht="15.75" customHeight="1" x14ac:dyDescent="0.3">
      <c r="A204" s="422" t="s">
        <v>2551</v>
      </c>
      <c r="B204" s="10"/>
      <c r="C204" s="10">
        <v>13</v>
      </c>
      <c r="D204" s="10">
        <v>63</v>
      </c>
      <c r="E204" s="38">
        <f>SUM(B204:D204)</f>
        <v>76</v>
      </c>
      <c r="F204" s="10">
        <v>113</v>
      </c>
      <c r="G204" s="10">
        <v>143</v>
      </c>
      <c r="H204" s="10">
        <v>175</v>
      </c>
      <c r="I204" s="38">
        <f>SUM(F204:H204)</f>
        <v>431</v>
      </c>
      <c r="J204" s="10">
        <v>146</v>
      </c>
      <c r="K204" s="10">
        <v>146</v>
      </c>
      <c r="L204" s="10">
        <v>151</v>
      </c>
      <c r="M204" s="38">
        <f>SUM(J204:L204)</f>
        <v>443</v>
      </c>
      <c r="N204" s="10">
        <v>115</v>
      </c>
      <c r="O204" s="10">
        <v>35</v>
      </c>
      <c r="P204" s="10"/>
      <c r="Q204" s="38">
        <f>SUM(N204:P204)</f>
        <v>150</v>
      </c>
      <c r="R204" s="38">
        <f>+E204+I204+M204+Q204</f>
        <v>1100</v>
      </c>
      <c r="T204" t="s">
        <v>2793</v>
      </c>
    </row>
    <row r="205" spans="1:20" ht="15.75" customHeight="1" thickBot="1" x14ac:dyDescent="0.35">
      <c r="A205" s="234" t="s">
        <v>2164</v>
      </c>
      <c r="B205" s="10"/>
      <c r="C205" s="10"/>
      <c r="D205" s="10"/>
      <c r="E205" s="38" t="s">
        <v>852</v>
      </c>
      <c r="F205" s="10"/>
      <c r="G205" s="10"/>
      <c r="H205" s="10"/>
      <c r="I205" s="38" t="s">
        <v>852</v>
      </c>
      <c r="J205" s="10"/>
      <c r="K205" s="10"/>
      <c r="L205" s="10"/>
      <c r="M205" s="38" t="s">
        <v>852</v>
      </c>
      <c r="N205" s="10"/>
      <c r="O205" s="10"/>
      <c r="P205" s="10"/>
      <c r="Q205" s="38" t="s">
        <v>852</v>
      </c>
      <c r="R205" s="38" t="s">
        <v>852</v>
      </c>
    </row>
    <row r="206" spans="1:20" ht="16.5" customHeight="1" thickBot="1" x14ac:dyDescent="0.35">
      <c r="A206" s="43" t="s">
        <v>1218</v>
      </c>
      <c r="B206" s="45">
        <f>SUM(B137:B205)</f>
        <v>12318</v>
      </c>
      <c r="C206" s="46">
        <f>SUM(C137:C205)</f>
        <v>7511</v>
      </c>
      <c r="D206" s="46">
        <f>SUM(D137:D205)</f>
        <v>8826</v>
      </c>
      <c r="E206" s="37">
        <f>SUM(B206:D206)</f>
        <v>28655</v>
      </c>
      <c r="F206" s="46">
        <f>SUM(F137:F205)</f>
        <v>11798</v>
      </c>
      <c r="G206" s="46">
        <f t="shared" ref="G206:H206" si="41">SUM(G137:G205)</f>
        <v>17994</v>
      </c>
      <c r="H206" s="46">
        <f t="shared" si="41"/>
        <v>36716</v>
      </c>
      <c r="I206" s="37">
        <f>SUM(F206:H206)</f>
        <v>66508</v>
      </c>
      <c r="J206" s="46">
        <f>SUM(J137:J205)</f>
        <v>38631</v>
      </c>
      <c r="K206" s="46">
        <f>SUM(K137:K205)</f>
        <v>33146</v>
      </c>
      <c r="L206" s="46">
        <f>SUM(L137:L205)</f>
        <v>31040</v>
      </c>
      <c r="M206" s="37">
        <f>SUM(J206:L206)</f>
        <v>102817</v>
      </c>
      <c r="N206" s="46">
        <f>SUM(N137:N205)</f>
        <v>29505</v>
      </c>
      <c r="O206" s="46">
        <f>SUM(O137:O205)</f>
        <v>22977</v>
      </c>
      <c r="P206" s="46">
        <f>SUM(P137:P205)</f>
        <v>21304</v>
      </c>
      <c r="Q206" s="37">
        <f>SUM(N206:P206)</f>
        <v>73786</v>
      </c>
      <c r="R206" s="37">
        <f>+E206+I206+M206+Q206</f>
        <v>271766</v>
      </c>
    </row>
    <row r="207" spans="1:20" ht="15.75" customHeight="1" x14ac:dyDescent="0.3">
      <c r="A207" s="234" t="s">
        <v>1172</v>
      </c>
      <c r="B207" s="172"/>
      <c r="C207" s="172"/>
      <c r="D207" s="172"/>
      <c r="E207" s="38" t="s">
        <v>852</v>
      </c>
      <c r="F207" s="172"/>
      <c r="G207" s="172"/>
      <c r="H207" s="172"/>
      <c r="I207" s="38" t="s">
        <v>852</v>
      </c>
      <c r="J207" s="172"/>
      <c r="K207" s="172"/>
      <c r="L207" s="172"/>
      <c r="M207" s="38" t="s">
        <v>852</v>
      </c>
      <c r="N207" s="172"/>
      <c r="O207" s="172"/>
      <c r="P207" s="172"/>
      <c r="Q207" s="38" t="s">
        <v>852</v>
      </c>
      <c r="R207" s="38" t="s">
        <v>852</v>
      </c>
    </row>
    <row r="208" spans="1:20" ht="15.75" customHeight="1" x14ac:dyDescent="0.3">
      <c r="A208" s="234" t="s">
        <v>1658</v>
      </c>
      <c r="B208" s="172"/>
      <c r="C208" s="172"/>
      <c r="D208" s="172"/>
      <c r="E208" s="38" t="s">
        <v>852</v>
      </c>
      <c r="F208" s="172"/>
      <c r="G208" s="172"/>
      <c r="H208" s="172"/>
      <c r="I208" s="38" t="s">
        <v>852</v>
      </c>
      <c r="J208" s="172"/>
      <c r="K208" s="172"/>
      <c r="L208" s="172"/>
      <c r="M208" s="38" t="s">
        <v>852</v>
      </c>
      <c r="N208" s="172"/>
      <c r="O208" s="172"/>
      <c r="P208" s="172"/>
      <c r="Q208" s="38" t="s">
        <v>852</v>
      </c>
      <c r="R208" s="38" t="s">
        <v>852</v>
      </c>
    </row>
    <row r="209" spans="1:20" ht="15.75" customHeight="1" x14ac:dyDescent="0.3">
      <c r="A209" s="234" t="s">
        <v>2409</v>
      </c>
      <c r="B209" s="172"/>
      <c r="C209" s="172"/>
      <c r="D209" s="172"/>
      <c r="E209" s="38" t="s">
        <v>852</v>
      </c>
      <c r="F209" s="172"/>
      <c r="G209" s="172"/>
      <c r="H209" s="172"/>
      <c r="I209" s="38" t="s">
        <v>852</v>
      </c>
      <c r="J209" s="172"/>
      <c r="K209" s="172"/>
      <c r="L209" s="172"/>
      <c r="M209" s="38" t="s">
        <v>852</v>
      </c>
      <c r="N209" s="172"/>
      <c r="O209" s="172"/>
      <c r="P209" s="172"/>
      <c r="Q209" s="38" t="s">
        <v>852</v>
      </c>
      <c r="R209" s="38" t="s">
        <v>852</v>
      </c>
    </row>
    <row r="210" spans="1:20" ht="15.75" customHeight="1" x14ac:dyDescent="0.3">
      <c r="A210" s="568" t="s">
        <v>1645</v>
      </c>
      <c r="B210" s="172"/>
      <c r="C210" s="172"/>
      <c r="D210" s="172"/>
      <c r="E210" s="38">
        <f>SUM(B210:D210)</f>
        <v>0</v>
      </c>
      <c r="F210" s="172"/>
      <c r="G210" s="172"/>
      <c r="H210" s="172"/>
      <c r="I210" s="38">
        <f>SUM(F210:H210)</f>
        <v>0</v>
      </c>
      <c r="J210" s="172"/>
      <c r="K210" s="172"/>
      <c r="L210" s="172"/>
      <c r="M210" s="38">
        <f>SUM(J210:L210)</f>
        <v>0</v>
      </c>
      <c r="N210" s="172"/>
      <c r="O210" s="172"/>
      <c r="P210" s="172"/>
      <c r="Q210" s="38">
        <f>SUM(N210:P210)</f>
        <v>0</v>
      </c>
      <c r="R210" s="38">
        <f>+E210+I210+M210+Q210</f>
        <v>0</v>
      </c>
      <c r="T210" t="s">
        <v>2764</v>
      </c>
    </row>
    <row r="211" spans="1:20" ht="15.75" customHeight="1" x14ac:dyDescent="0.3">
      <c r="A211" s="410" t="s">
        <v>2824</v>
      </c>
      <c r="B211" s="172"/>
      <c r="C211" s="172"/>
      <c r="D211" s="172"/>
      <c r="E211" s="38">
        <f>SUM(B211:D211)</f>
        <v>0</v>
      </c>
      <c r="F211" s="172"/>
      <c r="G211" s="172"/>
      <c r="H211" s="172"/>
      <c r="I211" s="38">
        <f>SUM(F211:H211)</f>
        <v>0</v>
      </c>
      <c r="J211" s="172"/>
      <c r="K211" s="172"/>
      <c r="L211" s="172"/>
      <c r="M211" s="38">
        <f>SUM(J211:L211)</f>
        <v>0</v>
      </c>
      <c r="N211" s="172"/>
      <c r="O211" s="172"/>
      <c r="P211" s="172"/>
      <c r="Q211" s="38">
        <f>SUM(N211:P211)</f>
        <v>0</v>
      </c>
      <c r="R211" s="38">
        <f>+E211+I211+M211+Q211</f>
        <v>0</v>
      </c>
      <c r="S211" t="s">
        <v>3020</v>
      </c>
      <c r="T211" t="s">
        <v>2760</v>
      </c>
    </row>
    <row r="212" spans="1:20" ht="15.75" customHeight="1" thickBot="1" x14ac:dyDescent="0.35">
      <c r="A212" s="234" t="s">
        <v>2165</v>
      </c>
      <c r="B212" s="172"/>
      <c r="C212" s="172"/>
      <c r="D212" s="172"/>
      <c r="E212" s="38" t="s">
        <v>852</v>
      </c>
      <c r="F212" s="172"/>
      <c r="G212" s="172"/>
      <c r="H212" s="172"/>
      <c r="I212" s="38" t="s">
        <v>852</v>
      </c>
      <c r="J212" s="172"/>
      <c r="K212" s="172"/>
      <c r="L212" s="172"/>
      <c r="M212" s="38" t="s">
        <v>852</v>
      </c>
      <c r="N212" s="172"/>
      <c r="O212" s="172"/>
      <c r="P212" s="172"/>
      <c r="Q212" s="38" t="s">
        <v>852</v>
      </c>
      <c r="R212" s="38" t="s">
        <v>852</v>
      </c>
    </row>
    <row r="213" spans="1:20" ht="16.5" customHeight="1" thickBot="1" x14ac:dyDescent="0.35">
      <c r="A213" s="43" t="s">
        <v>1219</v>
      </c>
      <c r="B213" s="45">
        <f>SUM(B207:B212)</f>
        <v>0</v>
      </c>
      <c r="C213" s="46">
        <f>SUM(C207:C212)</f>
        <v>0</v>
      </c>
      <c r="D213" s="46">
        <f>SUM(D207:D212)</f>
        <v>0</v>
      </c>
      <c r="E213" s="37">
        <f>SUM(B213:D213)</f>
        <v>0</v>
      </c>
      <c r="F213" s="46"/>
      <c r="G213" s="46"/>
      <c r="H213" s="46"/>
      <c r="I213" s="37">
        <f>SUM(F213:H213)</f>
        <v>0</v>
      </c>
      <c r="J213" s="46">
        <f>SUM(J207:J212)</f>
        <v>0</v>
      </c>
      <c r="K213" s="46">
        <f>SUM(K207:K212)</f>
        <v>0</v>
      </c>
      <c r="L213" s="46">
        <f>SUM(L207:L212)</f>
        <v>0</v>
      </c>
      <c r="M213" s="37">
        <f>SUM(J213:L213)</f>
        <v>0</v>
      </c>
      <c r="N213" s="46">
        <f>SUM(N207:N212)</f>
        <v>0</v>
      </c>
      <c r="O213" s="46">
        <f>SUM(O207:O212)</f>
        <v>0</v>
      </c>
      <c r="P213" s="46">
        <f>SUM(P207:P212)</f>
        <v>0</v>
      </c>
      <c r="Q213" s="37">
        <f>SUM(N213:P213)</f>
        <v>0</v>
      </c>
      <c r="R213" s="37">
        <f>+E213+I213+M213+Q213</f>
        <v>0</v>
      </c>
    </row>
    <row r="214" spans="1:20" ht="15.75" customHeight="1" x14ac:dyDescent="0.3">
      <c r="A214" s="234" t="s">
        <v>2166</v>
      </c>
      <c r="B214" s="10"/>
      <c r="C214" s="10"/>
      <c r="D214" s="10"/>
      <c r="E214" s="38" t="s">
        <v>852</v>
      </c>
      <c r="F214" s="10"/>
      <c r="G214" s="10"/>
      <c r="H214" s="10"/>
      <c r="I214" s="38" t="s">
        <v>852</v>
      </c>
      <c r="J214" s="10"/>
      <c r="K214" s="10"/>
      <c r="L214" s="10"/>
      <c r="M214" s="38" t="s">
        <v>852</v>
      </c>
      <c r="N214" s="10"/>
      <c r="O214" s="10"/>
      <c r="P214" s="10"/>
      <c r="Q214" s="38" t="s">
        <v>852</v>
      </c>
      <c r="R214" s="38" t="s">
        <v>852</v>
      </c>
    </row>
    <row r="215" spans="1:20" ht="15.75" customHeight="1" x14ac:dyDescent="0.3">
      <c r="A215" s="234" t="s">
        <v>1245</v>
      </c>
      <c r="B215" s="10"/>
      <c r="C215" s="10"/>
      <c r="D215" s="10"/>
      <c r="E215" s="38" t="s">
        <v>852</v>
      </c>
      <c r="F215" s="10"/>
      <c r="G215" s="10"/>
      <c r="H215" s="10"/>
      <c r="I215" s="38" t="s">
        <v>852</v>
      </c>
      <c r="J215" s="10"/>
      <c r="K215" s="10"/>
      <c r="L215" s="10"/>
      <c r="M215" s="38" t="s">
        <v>852</v>
      </c>
      <c r="N215" s="10"/>
      <c r="O215" s="10"/>
      <c r="P215" s="10"/>
      <c r="Q215" s="38" t="s">
        <v>852</v>
      </c>
      <c r="R215" s="38" t="s">
        <v>852</v>
      </c>
    </row>
    <row r="216" spans="1:20" ht="15.75" customHeight="1" x14ac:dyDescent="0.3">
      <c r="A216" s="234" t="s">
        <v>1711</v>
      </c>
      <c r="B216" s="10"/>
      <c r="C216" s="10"/>
      <c r="D216" s="10"/>
      <c r="E216" s="38" t="s">
        <v>852</v>
      </c>
      <c r="F216" s="10"/>
      <c r="G216" s="10"/>
      <c r="H216" s="10"/>
      <c r="I216" s="38" t="s">
        <v>852</v>
      </c>
      <c r="J216" s="10"/>
      <c r="K216" s="10"/>
      <c r="L216" s="10"/>
      <c r="M216" s="38" t="s">
        <v>852</v>
      </c>
      <c r="N216" s="10"/>
      <c r="O216" s="10"/>
      <c r="P216" s="10"/>
      <c r="Q216" s="38" t="s">
        <v>852</v>
      </c>
      <c r="R216" s="38" t="s">
        <v>852</v>
      </c>
    </row>
    <row r="217" spans="1:20" ht="15.75" customHeight="1" x14ac:dyDescent="0.3">
      <c r="A217" s="540" t="s">
        <v>1364</v>
      </c>
      <c r="B217" s="10">
        <v>315</v>
      </c>
      <c r="C217" s="10">
        <v>297</v>
      </c>
      <c r="D217" s="10">
        <v>382</v>
      </c>
      <c r="E217" s="38">
        <f t="shared" ref="E217:E222" si="42">SUM(B217:D217)</f>
        <v>994</v>
      </c>
      <c r="F217" s="10">
        <v>453</v>
      </c>
      <c r="G217" s="10">
        <v>507</v>
      </c>
      <c r="H217" s="10">
        <v>479</v>
      </c>
      <c r="I217" s="38">
        <f t="shared" ref="I217:I222" si="43">SUM(F217:H217)</f>
        <v>1439</v>
      </c>
      <c r="J217" s="10">
        <v>495</v>
      </c>
      <c r="K217" s="10">
        <v>495</v>
      </c>
      <c r="L217" s="10">
        <v>479</v>
      </c>
      <c r="M217" s="38">
        <f t="shared" ref="M217:M222" si="44">SUM(J217:L217)</f>
        <v>1469</v>
      </c>
      <c r="N217" s="10">
        <v>558</v>
      </c>
      <c r="O217" s="10">
        <v>392</v>
      </c>
      <c r="P217" s="10">
        <v>312</v>
      </c>
      <c r="Q217" s="38">
        <f t="shared" ref="Q217:Q222" si="45">SUM(N217:P217)</f>
        <v>1262</v>
      </c>
      <c r="R217" s="38">
        <f t="shared" ref="R217:R277" si="46">+E217+I217+M217+Q217</f>
        <v>5164</v>
      </c>
      <c r="T217" t="s">
        <v>2800</v>
      </c>
    </row>
    <row r="218" spans="1:20" ht="15.75" customHeight="1" x14ac:dyDescent="0.3">
      <c r="A218" s="540" t="s">
        <v>1388</v>
      </c>
      <c r="B218" s="10"/>
      <c r="C218" s="10"/>
      <c r="D218" s="10"/>
      <c r="E218" s="38">
        <f t="shared" si="42"/>
        <v>0</v>
      </c>
      <c r="F218" s="10">
        <v>1283</v>
      </c>
      <c r="G218" s="10"/>
      <c r="H218" s="10"/>
      <c r="I218" s="38">
        <f t="shared" si="43"/>
        <v>1283</v>
      </c>
      <c r="J218" s="10"/>
      <c r="K218" s="10"/>
      <c r="L218" s="10"/>
      <c r="M218" s="38">
        <f t="shared" si="44"/>
        <v>0</v>
      </c>
      <c r="N218" s="10"/>
      <c r="O218" s="10"/>
      <c r="P218" s="10"/>
      <c r="Q218" s="38">
        <f t="shared" si="45"/>
        <v>0</v>
      </c>
      <c r="R218" s="38">
        <f t="shared" si="46"/>
        <v>1283</v>
      </c>
      <c r="T218" t="s">
        <v>2764</v>
      </c>
    </row>
    <row r="219" spans="1:20" ht="15.75" customHeight="1" x14ac:dyDescent="0.3">
      <c r="A219" s="410" t="s">
        <v>3133</v>
      </c>
      <c r="B219" s="10"/>
      <c r="C219" s="10"/>
      <c r="D219" s="10"/>
      <c r="E219" s="38">
        <f t="shared" si="42"/>
        <v>0</v>
      </c>
      <c r="F219" s="10">
        <v>37</v>
      </c>
      <c r="G219" s="10">
        <v>78</v>
      </c>
      <c r="H219" s="10">
        <v>96</v>
      </c>
      <c r="I219" s="38">
        <f t="shared" si="43"/>
        <v>211</v>
      </c>
      <c r="J219" s="10">
        <v>90</v>
      </c>
      <c r="K219" s="10">
        <v>38</v>
      </c>
      <c r="L219" s="10">
        <v>21</v>
      </c>
      <c r="M219" s="38">
        <f t="shared" si="44"/>
        <v>149</v>
      </c>
      <c r="N219" s="10">
        <v>15</v>
      </c>
      <c r="O219" s="10">
        <v>15</v>
      </c>
      <c r="P219" s="10">
        <v>11</v>
      </c>
      <c r="Q219" s="38">
        <f t="shared" si="45"/>
        <v>41</v>
      </c>
      <c r="R219" s="38">
        <f t="shared" si="46"/>
        <v>401</v>
      </c>
    </row>
    <row r="220" spans="1:20" ht="15.75" customHeight="1" x14ac:dyDescent="0.3">
      <c r="A220" s="540" t="s">
        <v>693</v>
      </c>
      <c r="B220" s="10">
        <v>4</v>
      </c>
      <c r="C220" s="10">
        <v>14</v>
      </c>
      <c r="D220" s="10">
        <v>37</v>
      </c>
      <c r="E220" s="38">
        <f t="shared" si="42"/>
        <v>55</v>
      </c>
      <c r="F220" s="10">
        <v>65</v>
      </c>
      <c r="G220" s="10">
        <v>85</v>
      </c>
      <c r="H220" s="10">
        <v>211</v>
      </c>
      <c r="I220" s="38">
        <f t="shared" si="43"/>
        <v>361</v>
      </c>
      <c r="J220" s="10">
        <v>193</v>
      </c>
      <c r="K220" s="10">
        <v>128</v>
      </c>
      <c r="L220" s="10">
        <v>79</v>
      </c>
      <c r="M220" s="38">
        <f t="shared" si="44"/>
        <v>400</v>
      </c>
      <c r="N220" s="10">
        <v>63</v>
      </c>
      <c r="O220" s="10">
        <v>44</v>
      </c>
      <c r="P220" s="10">
        <v>38</v>
      </c>
      <c r="Q220" s="38">
        <f t="shared" si="45"/>
        <v>145</v>
      </c>
      <c r="R220" s="38">
        <f t="shared" si="46"/>
        <v>961</v>
      </c>
      <c r="T220" t="s">
        <v>1193</v>
      </c>
    </row>
    <row r="221" spans="1:20" ht="15.75" customHeight="1" x14ac:dyDescent="0.3">
      <c r="A221" s="540" t="s">
        <v>3072</v>
      </c>
      <c r="B221" s="10"/>
      <c r="C221" s="10"/>
      <c r="D221" s="10"/>
      <c r="E221" s="38">
        <f t="shared" si="42"/>
        <v>0</v>
      </c>
      <c r="F221" s="10"/>
      <c r="G221" s="10"/>
      <c r="H221" s="10"/>
      <c r="I221" s="38">
        <f t="shared" si="43"/>
        <v>0</v>
      </c>
      <c r="J221" s="10">
        <v>786</v>
      </c>
      <c r="K221" s="10"/>
      <c r="L221" s="10"/>
      <c r="M221" s="38">
        <f t="shared" si="44"/>
        <v>786</v>
      </c>
      <c r="N221" s="10">
        <v>400</v>
      </c>
      <c r="O221" s="10"/>
      <c r="P221" s="10"/>
      <c r="Q221" s="38">
        <f t="shared" si="45"/>
        <v>400</v>
      </c>
      <c r="R221" s="38">
        <f>+E221+I221+M221+Q221</f>
        <v>1186</v>
      </c>
      <c r="T221" t="s">
        <v>2770</v>
      </c>
    </row>
    <row r="222" spans="1:20" ht="15.75" customHeight="1" x14ac:dyDescent="0.3">
      <c r="A222" s="410" t="s">
        <v>3063</v>
      </c>
      <c r="B222" s="10"/>
      <c r="C222" s="10"/>
      <c r="D222" s="10"/>
      <c r="E222" s="38">
        <f t="shared" si="42"/>
        <v>0</v>
      </c>
      <c r="F222" s="10"/>
      <c r="G222" s="10"/>
      <c r="H222" s="10">
        <v>621</v>
      </c>
      <c r="I222" s="38">
        <f t="shared" si="43"/>
        <v>621</v>
      </c>
      <c r="J222" s="10"/>
      <c r="K222" s="10"/>
      <c r="L222" s="10"/>
      <c r="M222" s="38">
        <f t="shared" si="44"/>
        <v>0</v>
      </c>
      <c r="N222" s="10"/>
      <c r="O222" s="10"/>
      <c r="P222" s="10"/>
      <c r="Q222" s="38">
        <f t="shared" si="45"/>
        <v>0</v>
      </c>
      <c r="R222" s="38">
        <f>+E222+I222+M222+Q222</f>
        <v>621</v>
      </c>
      <c r="S222" s="709"/>
      <c r="T222" t="s">
        <v>2760</v>
      </c>
    </row>
    <row r="223" spans="1:20" ht="15.75" customHeight="1" x14ac:dyDescent="0.3">
      <c r="A223" s="410" t="s">
        <v>2965</v>
      </c>
      <c r="B223" s="10">
        <v>248</v>
      </c>
      <c r="C223" s="10">
        <v>454</v>
      </c>
      <c r="D223" s="10"/>
      <c r="E223" s="38">
        <f t="shared" ref="E223:E276" si="47">SUM(B223:D223)</f>
        <v>702</v>
      </c>
      <c r="F223" s="10"/>
      <c r="G223" s="10"/>
      <c r="H223" s="10"/>
      <c r="I223" s="38">
        <f t="shared" ref="I223:I276" si="48">SUM(F223:H223)</f>
        <v>0</v>
      </c>
      <c r="J223" s="10"/>
      <c r="K223" s="10"/>
      <c r="L223" s="10"/>
      <c r="M223" s="38">
        <f t="shared" ref="M223:M276" si="49">SUM(J223:L223)</f>
        <v>0</v>
      </c>
      <c r="N223" s="10"/>
      <c r="O223" s="10"/>
      <c r="P223" s="10"/>
      <c r="Q223" s="38">
        <f t="shared" ref="Q223:Q276" si="50">SUM(N223:P223)</f>
        <v>0</v>
      </c>
      <c r="R223" s="38">
        <f t="shared" si="46"/>
        <v>702</v>
      </c>
      <c r="S223" t="s">
        <v>3020</v>
      </c>
    </row>
    <row r="224" spans="1:20" ht="15.75" customHeight="1" x14ac:dyDescent="0.3">
      <c r="A224" s="689" t="s">
        <v>2940</v>
      </c>
      <c r="B224" s="10">
        <v>495</v>
      </c>
      <c r="C224" s="10">
        <v>340</v>
      </c>
      <c r="D224" s="10"/>
      <c r="E224" s="38">
        <f t="shared" ref="E224" si="51">SUM(B224:D224)</f>
        <v>835</v>
      </c>
      <c r="F224" s="10"/>
      <c r="G224" s="10"/>
      <c r="H224" s="10"/>
      <c r="I224" s="38">
        <f t="shared" ref="I224" si="52">SUM(F224:H224)</f>
        <v>0</v>
      </c>
      <c r="J224" s="10"/>
      <c r="K224" s="10"/>
      <c r="L224" s="10"/>
      <c r="M224" s="38">
        <f t="shared" ref="M224" si="53">SUM(J224:L224)</f>
        <v>0</v>
      </c>
      <c r="N224" s="10"/>
      <c r="O224" s="10"/>
      <c r="P224" s="10"/>
      <c r="Q224" s="38">
        <f t="shared" ref="Q224" si="54">SUM(N224:P224)</f>
        <v>0</v>
      </c>
      <c r="R224" s="38">
        <f>+E224+I224+M224+Q224</f>
        <v>835</v>
      </c>
      <c r="T224" t="s">
        <v>2780</v>
      </c>
    </row>
    <row r="225" spans="1:20" ht="15.75" customHeight="1" x14ac:dyDescent="0.3">
      <c r="A225" s="410" t="s">
        <v>568</v>
      </c>
      <c r="B225" s="10">
        <v>682</v>
      </c>
      <c r="C225" s="10"/>
      <c r="D225" s="10"/>
      <c r="E225" s="38">
        <f>SUM(B225:D225)</f>
        <v>682</v>
      </c>
      <c r="F225" s="10"/>
      <c r="G225" s="10"/>
      <c r="H225" s="10"/>
      <c r="I225" s="38">
        <f>SUM(F225:H225)</f>
        <v>0</v>
      </c>
      <c r="J225" s="10"/>
      <c r="K225" s="10"/>
      <c r="L225" s="10"/>
      <c r="M225" s="38">
        <f>SUM(J225:L225)</f>
        <v>0</v>
      </c>
      <c r="N225" s="10"/>
      <c r="O225" s="10"/>
      <c r="P225" s="10"/>
      <c r="Q225" s="38">
        <f>SUM(N225:P225)</f>
        <v>0</v>
      </c>
      <c r="R225" s="38">
        <f t="shared" si="46"/>
        <v>682</v>
      </c>
      <c r="T225" t="s">
        <v>2775</v>
      </c>
    </row>
    <row r="226" spans="1:20" ht="15.75" customHeight="1" x14ac:dyDescent="0.3">
      <c r="A226" s="410" t="s">
        <v>1150</v>
      </c>
      <c r="B226" s="10"/>
      <c r="C226" s="10"/>
      <c r="D226" s="10"/>
      <c r="E226" s="38">
        <f t="shared" si="47"/>
        <v>0</v>
      </c>
      <c r="F226" s="10"/>
      <c r="G226" s="10"/>
      <c r="H226" s="10"/>
      <c r="I226" s="38">
        <f t="shared" si="48"/>
        <v>0</v>
      </c>
      <c r="J226" s="10"/>
      <c r="K226" s="10"/>
      <c r="L226" s="10"/>
      <c r="M226" s="38">
        <f t="shared" si="49"/>
        <v>0</v>
      </c>
      <c r="N226" s="10"/>
      <c r="O226" s="10"/>
      <c r="P226" s="10"/>
      <c r="Q226" s="38">
        <f t="shared" si="50"/>
        <v>0</v>
      </c>
      <c r="R226" s="38">
        <f t="shared" si="46"/>
        <v>0</v>
      </c>
    </row>
    <row r="227" spans="1:20" ht="15.75" customHeight="1" x14ac:dyDescent="0.3">
      <c r="A227" s="410" t="s">
        <v>1973</v>
      </c>
      <c r="B227" s="10">
        <v>1136</v>
      </c>
      <c r="C227" s="10"/>
      <c r="D227" s="10"/>
      <c r="E227" s="38">
        <f t="shared" si="47"/>
        <v>1136</v>
      </c>
      <c r="F227" s="10"/>
      <c r="G227" s="10"/>
      <c r="H227" s="10"/>
      <c r="I227" s="38">
        <f t="shared" si="48"/>
        <v>0</v>
      </c>
      <c r="J227" s="10"/>
      <c r="K227" s="10"/>
      <c r="L227" s="10"/>
      <c r="M227" s="38">
        <f t="shared" si="49"/>
        <v>0</v>
      </c>
      <c r="N227" s="10"/>
      <c r="O227" s="10"/>
      <c r="P227" s="10"/>
      <c r="Q227" s="38">
        <f t="shared" si="50"/>
        <v>0</v>
      </c>
      <c r="R227" s="38">
        <f t="shared" si="46"/>
        <v>1136</v>
      </c>
    </row>
    <row r="228" spans="1:20" ht="15.75" customHeight="1" x14ac:dyDescent="0.3">
      <c r="A228" s="410" t="s">
        <v>1974</v>
      </c>
      <c r="B228" s="10">
        <v>23</v>
      </c>
      <c r="C228" s="10"/>
      <c r="D228" s="10"/>
      <c r="E228" s="38">
        <f t="shared" si="47"/>
        <v>23</v>
      </c>
      <c r="F228" s="10"/>
      <c r="G228" s="10"/>
      <c r="H228" s="10"/>
      <c r="I228" s="38">
        <f t="shared" si="48"/>
        <v>0</v>
      </c>
      <c r="J228" s="10"/>
      <c r="K228" s="10"/>
      <c r="L228" s="10"/>
      <c r="M228" s="38">
        <f t="shared" si="49"/>
        <v>0</v>
      </c>
      <c r="N228" s="10"/>
      <c r="O228" s="10"/>
      <c r="P228" s="10"/>
      <c r="Q228" s="38">
        <f t="shared" si="50"/>
        <v>0</v>
      </c>
      <c r="R228" s="38">
        <f t="shared" si="46"/>
        <v>23</v>
      </c>
    </row>
    <row r="229" spans="1:20" ht="15.75" customHeight="1" x14ac:dyDescent="0.3">
      <c r="A229" s="410" t="s">
        <v>2848</v>
      </c>
      <c r="B229" s="10">
        <v>23</v>
      </c>
      <c r="C229" s="10"/>
      <c r="D229" s="10"/>
      <c r="E229" s="38">
        <f t="shared" si="47"/>
        <v>23</v>
      </c>
      <c r="F229" s="10"/>
      <c r="G229" s="10"/>
      <c r="H229" s="10"/>
      <c r="I229" s="38">
        <f t="shared" si="48"/>
        <v>0</v>
      </c>
      <c r="J229" s="10"/>
      <c r="K229" s="10"/>
      <c r="L229" s="10"/>
      <c r="M229" s="38">
        <f t="shared" si="49"/>
        <v>0</v>
      </c>
      <c r="N229" s="10"/>
      <c r="O229" s="10"/>
      <c r="P229" s="10"/>
      <c r="Q229" s="38">
        <f t="shared" si="50"/>
        <v>0</v>
      </c>
      <c r="R229" s="38">
        <f t="shared" si="46"/>
        <v>23</v>
      </c>
      <c r="S229" t="s">
        <v>3020</v>
      </c>
      <c r="T229" t="s">
        <v>2760</v>
      </c>
    </row>
    <row r="230" spans="1:20" ht="15.75" customHeight="1" x14ac:dyDescent="0.3">
      <c r="A230" s="410" t="s">
        <v>3156</v>
      </c>
      <c r="B230" s="10"/>
      <c r="C230" s="10"/>
      <c r="D230" s="10"/>
      <c r="E230" s="38">
        <f t="shared" si="47"/>
        <v>0</v>
      </c>
      <c r="F230" s="10"/>
      <c r="G230" s="10"/>
      <c r="H230" s="10"/>
      <c r="I230" s="38">
        <f t="shared" si="48"/>
        <v>0</v>
      </c>
      <c r="J230" s="10"/>
      <c r="K230" s="10"/>
      <c r="L230" s="10"/>
      <c r="M230" s="38">
        <f t="shared" si="49"/>
        <v>0</v>
      </c>
      <c r="N230" s="10"/>
      <c r="O230" s="10"/>
      <c r="P230" s="10"/>
      <c r="Q230" s="38">
        <f t="shared" si="50"/>
        <v>0</v>
      </c>
      <c r="R230" s="38">
        <f t="shared" si="46"/>
        <v>0</v>
      </c>
      <c r="S230" t="s">
        <v>3020</v>
      </c>
      <c r="T230" t="s">
        <v>2760</v>
      </c>
    </row>
    <row r="231" spans="1:20" ht="15.75" customHeight="1" x14ac:dyDescent="0.3">
      <c r="A231" s="410" t="s">
        <v>3157</v>
      </c>
      <c r="B231" s="10"/>
      <c r="C231" s="10"/>
      <c r="D231" s="10"/>
      <c r="E231" s="38">
        <f t="shared" ref="E231" si="55">SUM(B231:D231)</f>
        <v>0</v>
      </c>
      <c r="F231" s="10">
        <v>855</v>
      </c>
      <c r="G231" s="10">
        <v>2190</v>
      </c>
      <c r="H231" s="10"/>
      <c r="I231" s="38">
        <f t="shared" si="48"/>
        <v>3045</v>
      </c>
      <c r="J231" s="10"/>
      <c r="K231" s="10"/>
      <c r="L231" s="10"/>
      <c r="M231" s="38">
        <f t="shared" si="49"/>
        <v>0</v>
      </c>
      <c r="N231" s="10"/>
      <c r="O231" s="10"/>
      <c r="P231" s="10"/>
      <c r="Q231" s="38">
        <f t="shared" si="50"/>
        <v>0</v>
      </c>
      <c r="R231" s="38">
        <f t="shared" si="46"/>
        <v>3045</v>
      </c>
    </row>
    <row r="232" spans="1:20" ht="15.75" customHeight="1" x14ac:dyDescent="0.3">
      <c r="A232" s="410" t="s">
        <v>3161</v>
      </c>
      <c r="B232" s="10"/>
      <c r="C232" s="10"/>
      <c r="D232" s="10"/>
      <c r="E232" s="38">
        <f t="shared" si="47"/>
        <v>0</v>
      </c>
      <c r="F232" s="10">
        <v>255</v>
      </c>
      <c r="G232" s="10">
        <v>1000</v>
      </c>
      <c r="H232" s="10"/>
      <c r="I232" s="38">
        <f t="shared" si="48"/>
        <v>1255</v>
      </c>
      <c r="J232" s="10"/>
      <c r="K232" s="10"/>
      <c r="L232" s="10"/>
      <c r="M232" s="38">
        <f t="shared" si="49"/>
        <v>0</v>
      </c>
      <c r="N232" s="10"/>
      <c r="O232" s="10"/>
      <c r="P232" s="10"/>
      <c r="Q232" s="38">
        <f t="shared" si="50"/>
        <v>0</v>
      </c>
      <c r="R232" s="38">
        <f t="shared" si="46"/>
        <v>1255</v>
      </c>
    </row>
    <row r="233" spans="1:20" ht="15.75" customHeight="1" x14ac:dyDescent="0.3">
      <c r="A233" s="540" t="s">
        <v>2938</v>
      </c>
      <c r="B233" s="10"/>
      <c r="C233" s="10"/>
      <c r="D233" s="10"/>
      <c r="E233" s="38">
        <f t="shared" si="47"/>
        <v>0</v>
      </c>
      <c r="F233" s="10"/>
      <c r="G233" s="10"/>
      <c r="H233" s="10"/>
      <c r="I233" s="38">
        <f t="shared" si="48"/>
        <v>0</v>
      </c>
      <c r="J233" s="10"/>
      <c r="K233" s="10"/>
      <c r="L233" s="10"/>
      <c r="M233" s="38">
        <f t="shared" si="49"/>
        <v>0</v>
      </c>
      <c r="N233" s="10"/>
      <c r="O233" s="10"/>
      <c r="P233" s="10"/>
      <c r="Q233" s="38">
        <f t="shared" si="50"/>
        <v>0</v>
      </c>
      <c r="R233" s="38">
        <f t="shared" si="46"/>
        <v>0</v>
      </c>
      <c r="T233" t="s">
        <v>2764</v>
      </c>
    </row>
    <row r="234" spans="1:20" ht="15.75" customHeight="1" x14ac:dyDescent="0.3">
      <c r="A234" s="410" t="s">
        <v>3051</v>
      </c>
      <c r="B234" s="10"/>
      <c r="C234" s="10"/>
      <c r="D234" s="10"/>
      <c r="E234" s="38">
        <f t="shared" si="47"/>
        <v>0</v>
      </c>
      <c r="F234" s="10"/>
      <c r="G234" s="10"/>
      <c r="H234" s="10"/>
      <c r="I234" s="38">
        <f t="shared" si="48"/>
        <v>0</v>
      </c>
      <c r="J234" s="10"/>
      <c r="K234" s="10"/>
      <c r="L234" s="10"/>
      <c r="M234" s="38">
        <f t="shared" si="49"/>
        <v>0</v>
      </c>
      <c r="N234" s="10"/>
      <c r="O234" s="10"/>
      <c r="P234" s="10"/>
      <c r="Q234" s="38">
        <f>SUM(N234:P234)</f>
        <v>0</v>
      </c>
      <c r="R234" s="38">
        <f>+E234+I234+M234+Q234</f>
        <v>0</v>
      </c>
      <c r="S234" s="709"/>
      <c r="T234" t="s">
        <v>2760</v>
      </c>
    </row>
    <row r="235" spans="1:20" ht="15.75" customHeight="1" x14ac:dyDescent="0.3">
      <c r="A235" s="540" t="s">
        <v>3049</v>
      </c>
      <c r="B235" s="10"/>
      <c r="C235" s="10">
        <v>238</v>
      </c>
      <c r="D235" s="10">
        <v>2032</v>
      </c>
      <c r="E235" s="38">
        <f t="shared" si="47"/>
        <v>2270</v>
      </c>
      <c r="F235" s="10">
        <v>3731</v>
      </c>
      <c r="G235" s="10">
        <v>999</v>
      </c>
      <c r="H235" s="10"/>
      <c r="I235" s="38">
        <f t="shared" si="48"/>
        <v>4730</v>
      </c>
      <c r="J235" s="10"/>
      <c r="K235" s="10"/>
      <c r="L235" s="10"/>
      <c r="M235" s="38">
        <f t="shared" si="49"/>
        <v>0</v>
      </c>
      <c r="N235" s="10"/>
      <c r="O235" s="10"/>
      <c r="P235" s="10"/>
      <c r="Q235" s="38">
        <f t="shared" si="50"/>
        <v>0</v>
      </c>
      <c r="R235" s="38">
        <f t="shared" si="46"/>
        <v>7000</v>
      </c>
    </row>
    <row r="236" spans="1:20" ht="15.75" customHeight="1" x14ac:dyDescent="0.3">
      <c r="A236" s="540" t="s">
        <v>3050</v>
      </c>
      <c r="B236" s="10"/>
      <c r="C236" s="10"/>
      <c r="D236" s="10"/>
      <c r="E236" s="38">
        <f t="shared" si="47"/>
        <v>0</v>
      </c>
      <c r="F236" s="10"/>
      <c r="G236" s="10"/>
      <c r="H236" s="10"/>
      <c r="I236" s="38">
        <f t="shared" si="48"/>
        <v>0</v>
      </c>
      <c r="J236" s="10"/>
      <c r="K236" s="10"/>
      <c r="L236" s="10"/>
      <c r="M236" s="38">
        <f t="shared" si="49"/>
        <v>0</v>
      </c>
      <c r="N236" s="10"/>
      <c r="O236" s="10"/>
      <c r="P236" s="10"/>
      <c r="Q236" s="38">
        <f t="shared" si="50"/>
        <v>0</v>
      </c>
      <c r="R236" s="38">
        <f t="shared" si="46"/>
        <v>0</v>
      </c>
    </row>
    <row r="237" spans="1:20" ht="15.75" customHeight="1" x14ac:dyDescent="0.3">
      <c r="A237" s="540" t="s">
        <v>2753</v>
      </c>
      <c r="B237" s="10"/>
      <c r="C237" s="10">
        <v>546</v>
      </c>
      <c r="D237" s="10">
        <v>1385</v>
      </c>
      <c r="E237" s="38">
        <f t="shared" si="47"/>
        <v>1931</v>
      </c>
      <c r="F237" s="10">
        <v>513</v>
      </c>
      <c r="G237" s="10">
        <v>524</v>
      </c>
      <c r="H237" s="10"/>
      <c r="I237" s="38">
        <f t="shared" si="48"/>
        <v>1037</v>
      </c>
      <c r="J237" s="10"/>
      <c r="K237" s="10"/>
      <c r="L237" s="10"/>
      <c r="M237" s="38">
        <f t="shared" si="49"/>
        <v>0</v>
      </c>
      <c r="N237" s="10"/>
      <c r="O237" s="10"/>
      <c r="P237" s="10"/>
      <c r="Q237" s="38">
        <f t="shared" si="50"/>
        <v>0</v>
      </c>
      <c r="R237" s="38">
        <f t="shared" si="46"/>
        <v>2968</v>
      </c>
    </row>
    <row r="238" spans="1:20" ht="15.75" customHeight="1" x14ac:dyDescent="0.3">
      <c r="A238" s="540" t="s">
        <v>2754</v>
      </c>
      <c r="B238" s="10"/>
      <c r="C238" s="10">
        <v>280</v>
      </c>
      <c r="D238" s="10"/>
      <c r="E238" s="38">
        <f t="shared" si="47"/>
        <v>280</v>
      </c>
      <c r="F238" s="10"/>
      <c r="G238" s="10">
        <v>415</v>
      </c>
      <c r="H238" s="10"/>
      <c r="I238" s="38">
        <f t="shared" si="48"/>
        <v>415</v>
      </c>
      <c r="J238" s="10"/>
      <c r="K238" s="10"/>
      <c r="L238" s="10"/>
      <c r="M238" s="38">
        <f t="shared" si="49"/>
        <v>0</v>
      </c>
      <c r="N238" s="10"/>
      <c r="O238" s="10"/>
      <c r="P238" s="10"/>
      <c r="Q238" s="38">
        <f t="shared" si="50"/>
        <v>0</v>
      </c>
      <c r="R238" s="38">
        <f t="shared" si="46"/>
        <v>695</v>
      </c>
    </row>
    <row r="239" spans="1:20" ht="15.75" customHeight="1" x14ac:dyDescent="0.3">
      <c r="A239" s="410" t="s">
        <v>2755</v>
      </c>
      <c r="B239" s="10">
        <v>694</v>
      </c>
      <c r="C239" s="10">
        <v>642</v>
      </c>
      <c r="D239" s="10">
        <v>768</v>
      </c>
      <c r="E239" s="38">
        <f t="shared" si="47"/>
        <v>2104</v>
      </c>
      <c r="F239" s="10">
        <v>863</v>
      </c>
      <c r="G239" s="10">
        <v>17</v>
      </c>
      <c r="H239" s="10"/>
      <c r="I239" s="38">
        <f t="shared" si="48"/>
        <v>880</v>
      </c>
      <c r="J239" s="10"/>
      <c r="K239" s="10"/>
      <c r="L239" s="10"/>
      <c r="M239" s="38">
        <f t="shared" si="49"/>
        <v>0</v>
      </c>
      <c r="N239" s="10"/>
      <c r="O239" s="10"/>
      <c r="P239" s="10"/>
      <c r="Q239" s="38">
        <f t="shared" si="50"/>
        <v>0</v>
      </c>
      <c r="R239" s="38">
        <f t="shared" si="46"/>
        <v>2984</v>
      </c>
    </row>
    <row r="240" spans="1:20" ht="15.75" customHeight="1" x14ac:dyDescent="0.3">
      <c r="A240" s="569" t="s">
        <v>2989</v>
      </c>
      <c r="B240" s="10">
        <v>15</v>
      </c>
      <c r="C240" s="10">
        <v>20</v>
      </c>
      <c r="D240" s="10">
        <v>36</v>
      </c>
      <c r="E240" s="38">
        <f>SUM(B240:D240)</f>
        <v>71</v>
      </c>
      <c r="F240" s="10">
        <v>63</v>
      </c>
      <c r="G240" s="10">
        <v>68</v>
      </c>
      <c r="H240" s="10"/>
      <c r="I240" s="38">
        <f t="shared" si="48"/>
        <v>131</v>
      </c>
      <c r="J240" s="10"/>
      <c r="K240" s="10"/>
      <c r="L240" s="10"/>
      <c r="M240" s="38">
        <f t="shared" si="49"/>
        <v>0</v>
      </c>
      <c r="N240" s="10"/>
      <c r="O240" s="10"/>
      <c r="P240" s="10"/>
      <c r="Q240" s="38">
        <f t="shared" si="50"/>
        <v>0</v>
      </c>
      <c r="R240" s="38">
        <f t="shared" si="46"/>
        <v>202</v>
      </c>
    </row>
    <row r="241" spans="1:21" ht="15.75" customHeight="1" x14ac:dyDescent="0.3">
      <c r="A241" s="569" t="s">
        <v>2990</v>
      </c>
      <c r="B241" s="10"/>
      <c r="C241" s="10"/>
      <c r="D241" s="10">
        <v>9</v>
      </c>
      <c r="E241" s="38">
        <f>SUM(B241:D241)</f>
        <v>9</v>
      </c>
      <c r="F241" s="10">
        <v>65</v>
      </c>
      <c r="G241" s="10">
        <v>65</v>
      </c>
      <c r="H241" s="10"/>
      <c r="I241" s="38">
        <f t="shared" si="48"/>
        <v>130</v>
      </c>
      <c r="J241" s="10"/>
      <c r="K241" s="10"/>
      <c r="L241" s="10"/>
      <c r="M241" s="38">
        <f t="shared" si="49"/>
        <v>0</v>
      </c>
      <c r="N241" s="10"/>
      <c r="O241" s="10"/>
      <c r="P241" s="10"/>
      <c r="Q241" s="38">
        <f t="shared" si="50"/>
        <v>0</v>
      </c>
      <c r="R241" s="38">
        <f t="shared" si="46"/>
        <v>139</v>
      </c>
    </row>
    <row r="242" spans="1:21" ht="15.75" customHeight="1" x14ac:dyDescent="0.3">
      <c r="A242" s="569" t="s">
        <v>2991</v>
      </c>
      <c r="B242" s="10"/>
      <c r="C242" s="10"/>
      <c r="D242" s="10">
        <v>3</v>
      </c>
      <c r="E242" s="38">
        <f>SUM(B242:D242)</f>
        <v>3</v>
      </c>
      <c r="F242" s="10">
        <v>9</v>
      </c>
      <c r="G242" s="10"/>
      <c r="H242" s="10"/>
      <c r="I242" s="38">
        <f t="shared" si="48"/>
        <v>9</v>
      </c>
      <c r="J242" s="10"/>
      <c r="K242" s="10"/>
      <c r="L242" s="10"/>
      <c r="M242" s="38">
        <f t="shared" si="49"/>
        <v>0</v>
      </c>
      <c r="N242" s="10"/>
      <c r="O242" s="10"/>
      <c r="P242" s="10"/>
      <c r="Q242" s="38">
        <f t="shared" si="50"/>
        <v>0</v>
      </c>
      <c r="R242" s="38">
        <f t="shared" si="46"/>
        <v>12</v>
      </c>
      <c r="T242" t="s">
        <v>2764</v>
      </c>
    </row>
    <row r="243" spans="1:21" ht="15.75" customHeight="1" x14ac:dyDescent="0.3">
      <c r="A243" s="410" t="s">
        <v>3134</v>
      </c>
      <c r="B243" s="10"/>
      <c r="C243" s="10"/>
      <c r="D243" s="10"/>
      <c r="E243" s="38">
        <f t="shared" ref="E243" si="56">SUM(B243:D243)</f>
        <v>0</v>
      </c>
      <c r="F243" s="10"/>
      <c r="G243" s="10"/>
      <c r="H243" s="10"/>
      <c r="I243" s="38">
        <f t="shared" ref="I243" si="57">SUM(F243:H243)</f>
        <v>0</v>
      </c>
      <c r="J243" s="10"/>
      <c r="K243" s="10"/>
      <c r="L243" s="10"/>
      <c r="M243" s="38">
        <f t="shared" ref="M243" si="58">SUM(J243:L243)</f>
        <v>0</v>
      </c>
      <c r="N243" s="10"/>
      <c r="O243" s="10"/>
      <c r="P243" s="10"/>
      <c r="Q243" s="38">
        <f t="shared" ref="Q243" si="59">SUM(N243:P243)</f>
        <v>0</v>
      </c>
      <c r="R243" s="38">
        <f t="shared" si="46"/>
        <v>0</v>
      </c>
      <c r="S243" s="717" t="s">
        <v>3020</v>
      </c>
    </row>
    <row r="244" spans="1:21" ht="15.75" customHeight="1" x14ac:dyDescent="0.3">
      <c r="A244" s="410" t="s">
        <v>1851</v>
      </c>
      <c r="B244" s="10"/>
      <c r="C244" s="10"/>
      <c r="D244" s="10"/>
      <c r="E244" s="38">
        <f t="shared" si="47"/>
        <v>0</v>
      </c>
      <c r="F244" s="10"/>
      <c r="G244" s="10">
        <v>10342</v>
      </c>
      <c r="H244" s="10"/>
      <c r="I244" s="38">
        <f t="shared" si="48"/>
        <v>10342</v>
      </c>
      <c r="J244" s="10"/>
      <c r="K244" s="10"/>
      <c r="L244" s="10"/>
      <c r="M244" s="38">
        <f t="shared" si="49"/>
        <v>0</v>
      </c>
      <c r="N244" s="10"/>
      <c r="O244" s="10"/>
      <c r="P244" s="10"/>
      <c r="Q244" s="38">
        <f t="shared" si="50"/>
        <v>0</v>
      </c>
      <c r="R244" s="38">
        <f t="shared" si="46"/>
        <v>10342</v>
      </c>
      <c r="S244" t="s">
        <v>3020</v>
      </c>
    </row>
    <row r="245" spans="1:21" ht="15.75" customHeight="1" x14ac:dyDescent="0.3">
      <c r="A245" s="410" t="s">
        <v>1850</v>
      </c>
      <c r="B245" s="10"/>
      <c r="C245" s="10"/>
      <c r="D245" s="10"/>
      <c r="E245" s="38">
        <f t="shared" si="47"/>
        <v>0</v>
      </c>
      <c r="F245" s="10">
        <f>4205+359+112</f>
        <v>4676</v>
      </c>
      <c r="G245" s="10">
        <v>621</v>
      </c>
      <c r="H245" s="10"/>
      <c r="I245" s="38">
        <f t="shared" si="48"/>
        <v>5297</v>
      </c>
      <c r="J245" s="10"/>
      <c r="K245" s="10"/>
      <c r="L245" s="10"/>
      <c r="M245" s="38">
        <f t="shared" si="49"/>
        <v>0</v>
      </c>
      <c r="N245" s="10"/>
      <c r="O245" s="10"/>
      <c r="P245" s="10"/>
      <c r="Q245" s="38">
        <f t="shared" si="50"/>
        <v>0</v>
      </c>
      <c r="R245" s="38">
        <f t="shared" si="46"/>
        <v>5297</v>
      </c>
      <c r="S245" t="s">
        <v>3020</v>
      </c>
    </row>
    <row r="246" spans="1:21" ht="15.75" customHeight="1" x14ac:dyDescent="0.3">
      <c r="A246" s="410" t="s">
        <v>3081</v>
      </c>
      <c r="B246" s="10"/>
      <c r="C246" s="10"/>
      <c r="D246" s="10"/>
      <c r="E246" s="38">
        <f t="shared" si="47"/>
        <v>0</v>
      </c>
      <c r="F246" s="10"/>
      <c r="G246" s="10">
        <v>233</v>
      </c>
      <c r="H246" s="10"/>
      <c r="I246" s="38">
        <f t="shared" si="48"/>
        <v>233</v>
      </c>
      <c r="J246" s="10"/>
      <c r="K246" s="10"/>
      <c r="L246" s="10"/>
      <c r="M246" s="38">
        <f t="shared" si="49"/>
        <v>0</v>
      </c>
      <c r="N246" s="10"/>
      <c r="O246" s="10"/>
      <c r="P246" s="10"/>
      <c r="Q246" s="38">
        <f>SUM(N246:P246)</f>
        <v>0</v>
      </c>
      <c r="R246" s="38">
        <f t="shared" si="46"/>
        <v>233</v>
      </c>
    </row>
    <row r="247" spans="1:21" ht="15.75" customHeight="1" x14ac:dyDescent="0.3">
      <c r="A247" s="410" t="s">
        <v>2979</v>
      </c>
      <c r="B247" s="10"/>
      <c r="C247" s="10"/>
      <c r="D247" s="10"/>
      <c r="E247" s="38">
        <f t="shared" si="47"/>
        <v>0</v>
      </c>
      <c r="F247" s="10">
        <v>600</v>
      </c>
      <c r="G247" s="10">
        <f>500+149</f>
        <v>649</v>
      </c>
      <c r="H247" s="10"/>
      <c r="I247" s="38">
        <f t="shared" si="48"/>
        <v>1249</v>
      </c>
      <c r="J247" s="10"/>
      <c r="K247" s="10"/>
      <c r="L247" s="10"/>
      <c r="M247" s="38">
        <f t="shared" si="49"/>
        <v>0</v>
      </c>
      <c r="N247" s="10"/>
      <c r="O247" s="10"/>
      <c r="P247" s="10"/>
      <c r="Q247" s="38">
        <f t="shared" si="50"/>
        <v>0</v>
      </c>
      <c r="R247" s="38">
        <f t="shared" si="46"/>
        <v>1249</v>
      </c>
      <c r="S247" t="s">
        <v>3020</v>
      </c>
      <c r="T247" t="s">
        <v>2760</v>
      </c>
    </row>
    <row r="248" spans="1:21" ht="15.75" customHeight="1" x14ac:dyDescent="0.3">
      <c r="A248" s="410" t="s">
        <v>2807</v>
      </c>
      <c r="B248" s="10"/>
      <c r="C248" s="10"/>
      <c r="D248" s="10"/>
      <c r="E248" s="38">
        <f t="shared" si="47"/>
        <v>0</v>
      </c>
      <c r="F248" s="10"/>
      <c r="G248" s="10"/>
      <c r="H248" s="10">
        <v>636</v>
      </c>
      <c r="I248" s="38">
        <f t="shared" si="48"/>
        <v>636</v>
      </c>
      <c r="J248" s="10">
        <v>800</v>
      </c>
      <c r="K248" s="10"/>
      <c r="L248" s="10"/>
      <c r="M248" s="38">
        <f t="shared" si="49"/>
        <v>800</v>
      </c>
      <c r="N248" s="10"/>
      <c r="O248" s="10"/>
      <c r="P248" s="10"/>
      <c r="Q248" s="38">
        <f t="shared" si="50"/>
        <v>0</v>
      </c>
      <c r="R248" s="38">
        <f t="shared" si="46"/>
        <v>1436</v>
      </c>
      <c r="S248" s="230" t="s">
        <v>3020</v>
      </c>
      <c r="T248" s="230" t="s">
        <v>2760</v>
      </c>
      <c r="U248" s="230"/>
    </row>
    <row r="249" spans="1:21" ht="15.75" customHeight="1" x14ac:dyDescent="0.3">
      <c r="A249" s="410" t="s">
        <v>1163</v>
      </c>
      <c r="B249" s="10"/>
      <c r="C249" s="10"/>
      <c r="D249" s="10">
        <v>1641</v>
      </c>
      <c r="E249" s="38">
        <f>SUM(B249:D249)</f>
        <v>1641</v>
      </c>
      <c r="F249" s="10">
        <v>173</v>
      </c>
      <c r="G249" s="10"/>
      <c r="H249" s="10"/>
      <c r="I249" s="38">
        <f>SUM(F249:H249)</f>
        <v>173</v>
      </c>
      <c r="J249" s="10"/>
      <c r="K249" s="10"/>
      <c r="L249" s="10"/>
      <c r="M249" s="38">
        <f t="shared" si="49"/>
        <v>0</v>
      </c>
      <c r="N249" s="10"/>
      <c r="O249" s="10"/>
      <c r="P249" s="10"/>
      <c r="Q249" s="38">
        <f t="shared" si="50"/>
        <v>0</v>
      </c>
      <c r="R249" s="38">
        <f t="shared" si="46"/>
        <v>1814</v>
      </c>
      <c r="T249" t="s">
        <v>3030</v>
      </c>
    </row>
    <row r="250" spans="1:21" ht="15.75" customHeight="1" x14ac:dyDescent="0.3">
      <c r="A250" s="569" t="s">
        <v>3054</v>
      </c>
      <c r="B250" s="10"/>
      <c r="C250" s="10"/>
      <c r="D250" s="10"/>
      <c r="E250" s="38">
        <f>SUM(B250:D250)</f>
        <v>0</v>
      </c>
      <c r="F250" s="10"/>
      <c r="G250" s="10"/>
      <c r="H250" s="10"/>
      <c r="I250" s="38">
        <f>SUM(F250:H250)</f>
        <v>0</v>
      </c>
      <c r="J250" s="10"/>
      <c r="K250" s="10"/>
      <c r="L250" s="10"/>
      <c r="M250" s="38">
        <f t="shared" si="49"/>
        <v>0</v>
      </c>
      <c r="N250" s="10"/>
      <c r="O250" s="10"/>
      <c r="P250" s="10"/>
      <c r="Q250" s="38">
        <f>SUM(N250:P250)</f>
        <v>0</v>
      </c>
      <c r="R250" s="38">
        <f>+E250+I250+M250+Q250</f>
        <v>0</v>
      </c>
      <c r="T250" t="s">
        <v>2770</v>
      </c>
    </row>
    <row r="251" spans="1:21" ht="15.75" customHeight="1" x14ac:dyDescent="0.3">
      <c r="A251" s="410" t="s">
        <v>1097</v>
      </c>
      <c r="B251" s="10"/>
      <c r="C251" s="10"/>
      <c r="D251" s="10"/>
      <c r="E251" s="38">
        <f t="shared" si="47"/>
        <v>0</v>
      </c>
      <c r="F251" s="10"/>
      <c r="G251" s="10"/>
      <c r="H251" s="10"/>
      <c r="I251" s="38">
        <f t="shared" si="48"/>
        <v>0</v>
      </c>
      <c r="J251" s="10"/>
      <c r="K251" s="10"/>
      <c r="L251" s="10"/>
      <c r="M251" s="38">
        <f t="shared" si="49"/>
        <v>0</v>
      </c>
      <c r="N251" s="10"/>
      <c r="O251" s="10"/>
      <c r="P251" s="10"/>
      <c r="Q251" s="38">
        <f t="shared" si="50"/>
        <v>0</v>
      </c>
      <c r="R251" s="38">
        <f t="shared" si="46"/>
        <v>0</v>
      </c>
    </row>
    <row r="252" spans="1:21" ht="15.75" customHeight="1" x14ac:dyDescent="0.3">
      <c r="A252" s="410" t="s">
        <v>14</v>
      </c>
      <c r="B252" s="10"/>
      <c r="C252" s="10"/>
      <c r="D252" s="10"/>
      <c r="E252" s="38">
        <f t="shared" si="47"/>
        <v>0</v>
      </c>
      <c r="F252" s="10">
        <v>3023</v>
      </c>
      <c r="G252" s="10"/>
      <c r="H252" s="10"/>
      <c r="I252" s="38">
        <f t="shared" si="48"/>
        <v>3023</v>
      </c>
      <c r="J252" s="10"/>
      <c r="K252" s="10"/>
      <c r="L252" s="10"/>
      <c r="M252" s="38">
        <f t="shared" si="49"/>
        <v>0</v>
      </c>
      <c r="N252" s="10"/>
      <c r="O252" s="10"/>
      <c r="P252" s="10"/>
      <c r="Q252" s="38">
        <f t="shared" si="50"/>
        <v>0</v>
      </c>
      <c r="R252" s="38">
        <f t="shared" si="46"/>
        <v>3023</v>
      </c>
    </row>
    <row r="253" spans="1:21" ht="15.75" customHeight="1" x14ac:dyDescent="0.3">
      <c r="A253" s="410" t="s">
        <v>3204</v>
      </c>
      <c r="B253" s="10"/>
      <c r="C253" s="10"/>
      <c r="D253" s="10"/>
      <c r="E253" s="38">
        <f t="shared" si="47"/>
        <v>0</v>
      </c>
      <c r="F253" s="10"/>
      <c r="G253" s="10"/>
      <c r="H253" s="10"/>
      <c r="I253" s="38">
        <f t="shared" si="48"/>
        <v>0</v>
      </c>
      <c r="J253" s="10"/>
      <c r="K253" s="10"/>
      <c r="L253" s="10"/>
      <c r="M253" s="38">
        <f t="shared" si="49"/>
        <v>0</v>
      </c>
      <c r="N253" s="10"/>
      <c r="O253" s="10"/>
      <c r="P253" s="10"/>
      <c r="Q253" s="38">
        <f t="shared" si="50"/>
        <v>0</v>
      </c>
      <c r="R253" s="38">
        <f t="shared" si="46"/>
        <v>0</v>
      </c>
    </row>
    <row r="254" spans="1:21" ht="15.75" customHeight="1" x14ac:dyDescent="0.3">
      <c r="A254" s="410" t="s">
        <v>2410</v>
      </c>
      <c r="B254" s="10">
        <v>60</v>
      </c>
      <c r="C254" s="10"/>
      <c r="D254" s="10"/>
      <c r="E254" s="38">
        <f t="shared" si="47"/>
        <v>60</v>
      </c>
      <c r="F254" s="10"/>
      <c r="G254" s="10"/>
      <c r="H254" s="10"/>
      <c r="I254" s="38">
        <f t="shared" si="48"/>
        <v>0</v>
      </c>
      <c r="J254" s="10"/>
      <c r="K254" s="10"/>
      <c r="L254" s="10"/>
      <c r="M254" s="38">
        <f t="shared" si="49"/>
        <v>0</v>
      </c>
      <c r="N254" s="10"/>
      <c r="O254" s="10"/>
      <c r="P254" s="10"/>
      <c r="Q254" s="38">
        <f t="shared" si="50"/>
        <v>0</v>
      </c>
      <c r="R254" s="38">
        <f t="shared" si="46"/>
        <v>60</v>
      </c>
    </row>
    <row r="255" spans="1:21" ht="15.75" customHeight="1" x14ac:dyDescent="0.3">
      <c r="A255" s="410" t="s">
        <v>2849</v>
      </c>
      <c r="B255" s="10">
        <v>60</v>
      </c>
      <c r="C255" s="10"/>
      <c r="D255" s="10"/>
      <c r="E255" s="38">
        <f t="shared" si="47"/>
        <v>60</v>
      </c>
      <c r="F255" s="10"/>
      <c r="G255" s="10"/>
      <c r="H255" s="10"/>
      <c r="I255" s="38">
        <f t="shared" si="48"/>
        <v>0</v>
      </c>
      <c r="J255" s="10"/>
      <c r="K255" s="10"/>
      <c r="L255" s="10"/>
      <c r="M255" s="38">
        <f t="shared" si="49"/>
        <v>0</v>
      </c>
      <c r="N255" s="10"/>
      <c r="O255" s="10"/>
      <c r="P255" s="10"/>
      <c r="Q255" s="38">
        <f t="shared" si="50"/>
        <v>0</v>
      </c>
      <c r="R255" s="38">
        <f t="shared" si="46"/>
        <v>60</v>
      </c>
      <c r="S255" t="s">
        <v>3020</v>
      </c>
      <c r="T255" t="s">
        <v>2760</v>
      </c>
    </row>
    <row r="256" spans="1:21" ht="15.75" customHeight="1" x14ac:dyDescent="0.3">
      <c r="A256" s="410" t="s">
        <v>3158</v>
      </c>
      <c r="B256" s="10"/>
      <c r="C256" s="10"/>
      <c r="D256" s="10"/>
      <c r="E256" s="38">
        <f t="shared" si="47"/>
        <v>0</v>
      </c>
      <c r="F256" s="10"/>
      <c r="G256" s="10"/>
      <c r="H256" s="10"/>
      <c r="I256" s="38">
        <f t="shared" si="48"/>
        <v>0</v>
      </c>
      <c r="J256" s="10"/>
      <c r="K256" s="10"/>
      <c r="L256" s="10"/>
      <c r="M256" s="38">
        <f t="shared" si="49"/>
        <v>0</v>
      </c>
      <c r="N256" s="10"/>
      <c r="O256" s="10"/>
      <c r="P256" s="10"/>
      <c r="Q256" s="38">
        <f t="shared" si="50"/>
        <v>0</v>
      </c>
      <c r="R256" s="38">
        <f t="shared" si="46"/>
        <v>0</v>
      </c>
      <c r="T256" t="s">
        <v>2760</v>
      </c>
    </row>
    <row r="257" spans="1:20" ht="15.75" customHeight="1" x14ac:dyDescent="0.3">
      <c r="A257" s="718" t="s">
        <v>3135</v>
      </c>
      <c r="B257" s="10"/>
      <c r="C257" s="10"/>
      <c r="D257" s="10"/>
      <c r="E257" s="38">
        <f t="shared" ref="E257" si="60">SUM(B257:D257)</f>
        <v>0</v>
      </c>
      <c r="F257" s="10"/>
      <c r="G257" s="10"/>
      <c r="H257" s="10">
        <v>2926</v>
      </c>
      <c r="I257" s="38">
        <f t="shared" ref="I257" si="61">SUM(F257:H257)</f>
        <v>2926</v>
      </c>
      <c r="J257" s="10">
        <v>1462</v>
      </c>
      <c r="K257" s="10">
        <v>962</v>
      </c>
      <c r="L257" s="10">
        <v>962</v>
      </c>
      <c r="M257" s="38">
        <f t="shared" ref="M257" si="62">SUM(J257:L257)</f>
        <v>3386</v>
      </c>
      <c r="N257" s="10"/>
      <c r="O257" s="10"/>
      <c r="P257" s="10"/>
      <c r="Q257" s="38">
        <f t="shared" ref="Q257" si="63">SUM(N257:P257)</f>
        <v>0</v>
      </c>
      <c r="R257" s="38">
        <f t="shared" si="46"/>
        <v>6312</v>
      </c>
      <c r="S257" t="s">
        <v>3020</v>
      </c>
      <c r="T257" t="s">
        <v>2760</v>
      </c>
    </row>
    <row r="258" spans="1:20" ht="15.75" customHeight="1" x14ac:dyDescent="0.3">
      <c r="A258" s="620" t="s">
        <v>2939</v>
      </c>
      <c r="B258" s="10"/>
      <c r="C258" s="10"/>
      <c r="D258" s="10"/>
      <c r="E258" s="38">
        <f t="shared" si="47"/>
        <v>0</v>
      </c>
      <c r="F258" s="10"/>
      <c r="G258" s="10"/>
      <c r="H258" s="10">
        <v>3000</v>
      </c>
      <c r="I258" s="38">
        <f t="shared" si="48"/>
        <v>3000</v>
      </c>
      <c r="J258" s="10">
        <v>5000</v>
      </c>
      <c r="K258" s="10">
        <v>6951</v>
      </c>
      <c r="L258" s="10">
        <v>5000</v>
      </c>
      <c r="M258" s="38">
        <f t="shared" si="49"/>
        <v>16951</v>
      </c>
      <c r="N258" s="10"/>
      <c r="O258" s="10">
        <v>2324</v>
      </c>
      <c r="P258" s="10">
        <v>4600</v>
      </c>
      <c r="Q258" s="38">
        <f t="shared" si="50"/>
        <v>6924</v>
      </c>
      <c r="R258" s="38">
        <f>+E258+I258+M258+Q258</f>
        <v>26875</v>
      </c>
      <c r="S258" s="709" t="s">
        <v>3020</v>
      </c>
      <c r="T258" t="s">
        <v>2760</v>
      </c>
    </row>
    <row r="259" spans="1:20" ht="15.75" customHeight="1" x14ac:dyDescent="0.3">
      <c r="A259" s="540" t="s">
        <v>2741</v>
      </c>
      <c r="B259" s="10"/>
      <c r="C259" s="10"/>
      <c r="D259" s="10"/>
      <c r="E259" s="38">
        <f t="shared" si="47"/>
        <v>0</v>
      </c>
      <c r="F259" s="10"/>
      <c r="G259" s="10"/>
      <c r="H259" s="10"/>
      <c r="I259" s="38">
        <f t="shared" si="48"/>
        <v>0</v>
      </c>
      <c r="J259" s="10"/>
      <c r="K259" s="10"/>
      <c r="L259" s="10"/>
      <c r="M259" s="38">
        <f t="shared" si="49"/>
        <v>0</v>
      </c>
      <c r="N259" s="10"/>
      <c r="O259" s="10"/>
      <c r="P259" s="10"/>
      <c r="Q259" s="38">
        <f t="shared" si="50"/>
        <v>0</v>
      </c>
      <c r="R259" s="38">
        <f t="shared" si="46"/>
        <v>0</v>
      </c>
      <c r="T259" t="s">
        <v>2769</v>
      </c>
    </row>
    <row r="260" spans="1:20" ht="15.75" customHeight="1" x14ac:dyDescent="0.3">
      <c r="A260" s="540" t="s">
        <v>2742</v>
      </c>
      <c r="B260" s="10"/>
      <c r="C260" s="10"/>
      <c r="D260" s="10"/>
      <c r="E260" s="38">
        <f t="shared" si="47"/>
        <v>0</v>
      </c>
      <c r="F260" s="10"/>
      <c r="G260" s="10"/>
      <c r="H260" s="10"/>
      <c r="I260" s="38">
        <f t="shared" ref="I260" si="64">SUM(F260:H260)</f>
        <v>0</v>
      </c>
      <c r="J260" s="10">
        <v>565</v>
      </c>
      <c r="K260" s="10"/>
      <c r="L260" s="10"/>
      <c r="M260" s="38">
        <f t="shared" ref="M260" si="65">SUM(J260:L260)</f>
        <v>565</v>
      </c>
      <c r="N260" s="10">
        <v>400</v>
      </c>
      <c r="O260" s="10">
        <v>480</v>
      </c>
      <c r="P260" s="10"/>
      <c r="Q260" s="38">
        <f t="shared" si="50"/>
        <v>880</v>
      </c>
      <c r="R260" s="38">
        <f t="shared" si="46"/>
        <v>1445</v>
      </c>
      <c r="T260" t="s">
        <v>2770</v>
      </c>
    </row>
    <row r="261" spans="1:20" ht="15.75" customHeight="1" x14ac:dyDescent="0.3">
      <c r="A261" s="410" t="s">
        <v>2798</v>
      </c>
      <c r="B261" s="10"/>
      <c r="C261" s="10"/>
      <c r="D261" s="10"/>
      <c r="E261" s="38">
        <f t="shared" si="47"/>
        <v>0</v>
      </c>
      <c r="F261" s="10"/>
      <c r="G261" s="10"/>
      <c r="H261" s="10">
        <f>500+800</f>
        <v>1300</v>
      </c>
      <c r="I261" s="38">
        <f t="shared" si="48"/>
        <v>1300</v>
      </c>
      <c r="J261" s="10">
        <f>750+550</f>
        <v>1300</v>
      </c>
      <c r="K261" s="10">
        <f>469+500</f>
        <v>969</v>
      </c>
      <c r="L261" s="10"/>
      <c r="M261" s="38">
        <f>SUM(J261:L261)</f>
        <v>2269</v>
      </c>
      <c r="N261" s="10"/>
      <c r="O261" s="10"/>
      <c r="P261" s="10"/>
      <c r="Q261" s="38">
        <f t="shared" si="50"/>
        <v>0</v>
      </c>
      <c r="R261" s="38">
        <f t="shared" si="46"/>
        <v>3569</v>
      </c>
      <c r="S261" t="s">
        <v>3020</v>
      </c>
      <c r="T261" t="s">
        <v>2760</v>
      </c>
    </row>
    <row r="262" spans="1:20" ht="15.75" customHeight="1" x14ac:dyDescent="0.3">
      <c r="A262" s="540" t="s">
        <v>3221</v>
      </c>
      <c r="B262" s="10"/>
      <c r="C262" s="10"/>
      <c r="D262" s="10"/>
      <c r="E262" s="38">
        <f t="shared" si="47"/>
        <v>0</v>
      </c>
      <c r="F262" s="10"/>
      <c r="G262" s="10"/>
      <c r="H262" s="10">
        <v>1105</v>
      </c>
      <c r="I262" s="38">
        <f t="shared" si="48"/>
        <v>1105</v>
      </c>
      <c r="J262" s="10"/>
      <c r="K262" s="10"/>
      <c r="L262" s="10"/>
      <c r="M262" s="38">
        <f>SUM(J262:L262)</f>
        <v>0</v>
      </c>
      <c r="N262" s="10"/>
      <c r="O262" s="10"/>
      <c r="P262" s="10"/>
      <c r="Q262" s="38">
        <f t="shared" si="50"/>
        <v>0</v>
      </c>
      <c r="R262" s="38">
        <f t="shared" si="46"/>
        <v>1105</v>
      </c>
    </row>
    <row r="263" spans="1:20" ht="15.75" customHeight="1" x14ac:dyDescent="0.3">
      <c r="A263" s="410" t="s">
        <v>2808</v>
      </c>
      <c r="B263" s="10"/>
      <c r="C263" s="10"/>
      <c r="D263" s="10"/>
      <c r="E263" s="38">
        <f t="shared" si="47"/>
        <v>0</v>
      </c>
      <c r="F263" s="10">
        <v>700</v>
      </c>
      <c r="G263" s="10">
        <v>700</v>
      </c>
      <c r="H263" s="10">
        <v>164</v>
      </c>
      <c r="I263" s="38">
        <f t="shared" si="48"/>
        <v>1564</v>
      </c>
      <c r="J263" s="10"/>
      <c r="K263" s="10"/>
      <c r="L263" s="10"/>
      <c r="M263" s="38">
        <f t="shared" si="49"/>
        <v>0</v>
      </c>
      <c r="N263" s="10"/>
      <c r="O263" s="10"/>
      <c r="P263" s="10"/>
      <c r="Q263" s="38">
        <f t="shared" si="50"/>
        <v>0</v>
      </c>
      <c r="R263" s="38">
        <f t="shared" si="46"/>
        <v>1564</v>
      </c>
      <c r="T263" t="s">
        <v>2760</v>
      </c>
    </row>
    <row r="264" spans="1:20" ht="15.75" customHeight="1" x14ac:dyDescent="0.3">
      <c r="A264" s="410" t="s">
        <v>100</v>
      </c>
      <c r="B264" s="10">
        <v>1062</v>
      </c>
      <c r="C264" s="10">
        <v>1730</v>
      </c>
      <c r="D264" s="10">
        <v>58</v>
      </c>
      <c r="E264" s="38">
        <f t="shared" si="47"/>
        <v>2850</v>
      </c>
      <c r="F264" s="10"/>
      <c r="G264" s="10"/>
      <c r="H264" s="10"/>
      <c r="I264" s="38">
        <f t="shared" si="48"/>
        <v>0</v>
      </c>
      <c r="J264" s="10"/>
      <c r="K264" s="10"/>
      <c r="L264" s="10"/>
      <c r="M264" s="38">
        <f t="shared" si="49"/>
        <v>0</v>
      </c>
      <c r="N264" s="10"/>
      <c r="O264" s="10"/>
      <c r="P264" s="10"/>
      <c r="Q264" s="38">
        <f t="shared" si="50"/>
        <v>0</v>
      </c>
      <c r="R264" s="38">
        <f t="shared" si="46"/>
        <v>2850</v>
      </c>
      <c r="T264" t="s">
        <v>2775</v>
      </c>
    </row>
    <row r="265" spans="1:20" ht="15.75" customHeight="1" x14ac:dyDescent="0.3">
      <c r="A265" s="410" t="s">
        <v>101</v>
      </c>
      <c r="B265" s="10"/>
      <c r="C265" s="10"/>
      <c r="D265" s="10"/>
      <c r="E265" s="38">
        <f t="shared" si="47"/>
        <v>0</v>
      </c>
      <c r="F265" s="10"/>
      <c r="G265" s="10"/>
      <c r="H265" s="10"/>
      <c r="I265" s="38">
        <f t="shared" si="48"/>
        <v>0</v>
      </c>
      <c r="J265" s="10"/>
      <c r="K265" s="10"/>
      <c r="L265" s="10"/>
      <c r="M265" s="38">
        <f t="shared" si="49"/>
        <v>0</v>
      </c>
      <c r="N265" s="10"/>
      <c r="O265" s="10"/>
      <c r="P265" s="10"/>
      <c r="Q265" s="38">
        <f t="shared" si="50"/>
        <v>0</v>
      </c>
      <c r="R265" s="38">
        <f t="shared" si="46"/>
        <v>0</v>
      </c>
    </row>
    <row r="266" spans="1:20" ht="15.75" customHeight="1" x14ac:dyDescent="0.3">
      <c r="A266" s="410" t="s">
        <v>2446</v>
      </c>
      <c r="B266" s="10"/>
      <c r="C266" s="10"/>
      <c r="D266" s="10"/>
      <c r="E266" s="38">
        <f t="shared" si="47"/>
        <v>0</v>
      </c>
      <c r="F266" s="10">
        <v>4750</v>
      </c>
      <c r="G266" s="10"/>
      <c r="H266" s="10"/>
      <c r="I266" s="38">
        <f>SUM(F266:H266)</f>
        <v>4750</v>
      </c>
      <c r="J266" s="10"/>
      <c r="K266" s="10"/>
      <c r="L266" s="10"/>
      <c r="M266" s="38">
        <f t="shared" si="49"/>
        <v>0</v>
      </c>
      <c r="N266" s="10"/>
      <c r="O266" s="10"/>
      <c r="P266" s="10"/>
      <c r="Q266" s="38">
        <f t="shared" si="50"/>
        <v>0</v>
      </c>
      <c r="R266" s="38">
        <f t="shared" si="46"/>
        <v>4750</v>
      </c>
      <c r="S266" t="s">
        <v>3020</v>
      </c>
    </row>
    <row r="267" spans="1:20" ht="15.75" customHeight="1" x14ac:dyDescent="0.3">
      <c r="A267" s="410" t="s">
        <v>829</v>
      </c>
      <c r="B267" s="10">
        <v>95</v>
      </c>
      <c r="C267" s="10"/>
      <c r="D267" s="10"/>
      <c r="E267" s="38">
        <f t="shared" si="47"/>
        <v>95</v>
      </c>
      <c r="F267" s="10"/>
      <c r="G267" s="10"/>
      <c r="H267" s="10"/>
      <c r="I267" s="38">
        <f t="shared" si="48"/>
        <v>0</v>
      </c>
      <c r="J267" s="10"/>
      <c r="K267" s="10"/>
      <c r="L267" s="10"/>
      <c r="M267" s="38">
        <f t="shared" si="49"/>
        <v>0</v>
      </c>
      <c r="N267" s="10"/>
      <c r="O267" s="10"/>
      <c r="P267" s="10"/>
      <c r="Q267" s="38">
        <f t="shared" si="50"/>
        <v>0</v>
      </c>
      <c r="R267" s="38">
        <f t="shared" si="46"/>
        <v>95</v>
      </c>
    </row>
    <row r="268" spans="1:20" ht="15.75" customHeight="1" x14ac:dyDescent="0.3">
      <c r="A268" s="410" t="s">
        <v>2850</v>
      </c>
      <c r="B268" s="10">
        <v>95</v>
      </c>
      <c r="C268" s="10"/>
      <c r="D268" s="10"/>
      <c r="E268" s="38">
        <f t="shared" si="47"/>
        <v>95</v>
      </c>
      <c r="F268" s="10"/>
      <c r="G268" s="10"/>
      <c r="H268" s="10"/>
      <c r="I268" s="38">
        <f t="shared" si="48"/>
        <v>0</v>
      </c>
      <c r="J268" s="10"/>
      <c r="K268" s="10"/>
      <c r="L268" s="10"/>
      <c r="M268" s="38">
        <f t="shared" si="49"/>
        <v>0</v>
      </c>
      <c r="N268" s="10"/>
      <c r="O268" s="10"/>
      <c r="P268" s="10"/>
      <c r="Q268" s="38">
        <f t="shared" si="50"/>
        <v>0</v>
      </c>
      <c r="R268" s="38">
        <f t="shared" si="46"/>
        <v>95</v>
      </c>
      <c r="S268" t="s">
        <v>3020</v>
      </c>
      <c r="T268" t="s">
        <v>2760</v>
      </c>
    </row>
    <row r="269" spans="1:20" ht="15.75" customHeight="1" x14ac:dyDescent="0.3">
      <c r="A269" s="410" t="s">
        <v>3053</v>
      </c>
      <c r="B269" s="10">
        <v>1073</v>
      </c>
      <c r="C269" s="10"/>
      <c r="D269" s="10"/>
      <c r="E269" s="38">
        <f>SUM(B269:D269)</f>
        <v>1073</v>
      </c>
      <c r="F269" s="10">
        <v>1310</v>
      </c>
      <c r="G269" s="10">
        <v>2356</v>
      </c>
      <c r="H269" s="10">
        <v>301</v>
      </c>
      <c r="I269" s="38">
        <f>SUM(F269:H269)</f>
        <v>3967</v>
      </c>
      <c r="J269" s="10">
        <v>1000</v>
      </c>
      <c r="K269" s="10">
        <v>1835</v>
      </c>
      <c r="L269" s="10">
        <f>583+2200</f>
        <v>2783</v>
      </c>
      <c r="M269" s="38">
        <f>SUM(J269:L269)</f>
        <v>5618</v>
      </c>
      <c r="N269" s="10">
        <v>869</v>
      </c>
      <c r="O269" s="10">
        <v>1699</v>
      </c>
      <c r="P269" s="10">
        <v>737</v>
      </c>
      <c r="Q269" s="38">
        <f>SUM(N269:P269)</f>
        <v>3305</v>
      </c>
      <c r="R269" s="38">
        <f>+E269+I269+M269+Q269</f>
        <v>13963</v>
      </c>
      <c r="S269" t="s">
        <v>3020</v>
      </c>
      <c r="T269" t="s">
        <v>2760</v>
      </c>
    </row>
    <row r="270" spans="1:20" ht="15.75" customHeight="1" x14ac:dyDescent="0.3">
      <c r="A270" s="410" t="s">
        <v>3152</v>
      </c>
      <c r="B270" s="10"/>
      <c r="C270" s="10"/>
      <c r="D270" s="10"/>
      <c r="E270" s="38">
        <f>SUM(B270:D270)</f>
        <v>0</v>
      </c>
      <c r="F270" s="10"/>
      <c r="G270" s="10"/>
      <c r="H270" s="10"/>
      <c r="I270" s="38">
        <f>SUM(F270:H270)</f>
        <v>0</v>
      </c>
      <c r="J270" s="10"/>
      <c r="K270" s="10"/>
      <c r="L270" s="10"/>
      <c r="M270" s="38">
        <f>SUM(J270:L270)</f>
        <v>0</v>
      </c>
      <c r="N270" s="10"/>
      <c r="O270" s="10"/>
      <c r="P270" s="10"/>
      <c r="Q270" s="38">
        <f>SUM(N270:P270)</f>
        <v>0</v>
      </c>
      <c r="R270" s="38">
        <f>+E270+I270+M270+Q270</f>
        <v>0</v>
      </c>
      <c r="T270" t="s">
        <v>2760</v>
      </c>
    </row>
    <row r="271" spans="1:20" ht="15.75" customHeight="1" x14ac:dyDescent="0.3">
      <c r="A271" s="540" t="s">
        <v>3283</v>
      </c>
      <c r="B271" s="10"/>
      <c r="C271" s="10"/>
      <c r="D271" s="10"/>
      <c r="E271" s="38">
        <f t="shared" ref="E271" si="66">SUM(B271:D271)</f>
        <v>0</v>
      </c>
      <c r="F271" s="10"/>
      <c r="G271" s="10"/>
      <c r="H271" s="10"/>
      <c r="I271" s="38">
        <f t="shared" ref="I271" si="67">SUM(F271:H271)</f>
        <v>0</v>
      </c>
      <c r="J271" s="10"/>
      <c r="K271" s="10"/>
      <c r="L271" s="10"/>
      <c r="M271" s="38">
        <f t="shared" ref="M271" si="68">SUM(J271:L271)</f>
        <v>0</v>
      </c>
      <c r="N271" s="10"/>
      <c r="O271" s="10"/>
      <c r="P271" s="10">
        <v>203</v>
      </c>
      <c r="Q271" s="38">
        <f t="shared" ref="Q271" si="69">SUM(N271:P271)</f>
        <v>203</v>
      </c>
      <c r="R271" s="38">
        <f>+E271+I271+M271+Q271</f>
        <v>203</v>
      </c>
      <c r="T271" t="s">
        <v>2760</v>
      </c>
    </row>
    <row r="272" spans="1:20" ht="15.75" customHeight="1" x14ac:dyDescent="0.3">
      <c r="A272" s="410" t="s">
        <v>2942</v>
      </c>
      <c r="B272" s="10"/>
      <c r="C272" s="10"/>
      <c r="D272" s="10"/>
      <c r="E272" s="38">
        <f t="shared" si="47"/>
        <v>0</v>
      </c>
      <c r="F272" s="10"/>
      <c r="G272" s="10"/>
      <c r="H272" s="10"/>
      <c r="I272" s="38">
        <f t="shared" si="48"/>
        <v>0</v>
      </c>
      <c r="J272" s="10">
        <v>2825</v>
      </c>
      <c r="K272" s="10">
        <v>2500</v>
      </c>
      <c r="L272" s="10"/>
      <c r="M272" s="38">
        <f t="shared" si="49"/>
        <v>5325</v>
      </c>
      <c r="N272" s="10"/>
      <c r="O272" s="10"/>
      <c r="P272" s="10"/>
      <c r="Q272" s="38">
        <f t="shared" si="50"/>
        <v>0</v>
      </c>
      <c r="R272" s="38">
        <f t="shared" si="46"/>
        <v>5325</v>
      </c>
      <c r="S272" t="s">
        <v>3020</v>
      </c>
    </row>
    <row r="273" spans="1:20" ht="15.75" customHeight="1" x14ac:dyDescent="0.3">
      <c r="A273" s="410" t="s">
        <v>1453</v>
      </c>
      <c r="B273" s="10">
        <v>4</v>
      </c>
      <c r="C273" s="10">
        <v>3719</v>
      </c>
      <c r="D273" s="10">
        <v>5141</v>
      </c>
      <c r="E273" s="38">
        <f>SUM(B273:D273)</f>
        <v>8864</v>
      </c>
      <c r="F273" s="10">
        <v>1567</v>
      </c>
      <c r="G273" s="10"/>
      <c r="H273" s="10"/>
      <c r="I273" s="38">
        <f>SUM(F273:H273)</f>
        <v>1567</v>
      </c>
      <c r="J273" s="10"/>
      <c r="K273" s="10"/>
      <c r="L273" s="10"/>
      <c r="M273" s="38">
        <f>SUM(J273:L273)</f>
        <v>0</v>
      </c>
      <c r="N273" s="10"/>
      <c r="O273" s="10"/>
      <c r="P273" s="10"/>
      <c r="Q273" s="38">
        <f>SUM(N273:P273)</f>
        <v>0</v>
      </c>
      <c r="R273" s="38">
        <f>+E273+I273+M273+Q273</f>
        <v>10431</v>
      </c>
      <c r="S273" t="s">
        <v>3020</v>
      </c>
    </row>
    <row r="274" spans="1:20" ht="15.75" customHeight="1" x14ac:dyDescent="0.3">
      <c r="A274" s="410" t="s">
        <v>3080</v>
      </c>
      <c r="B274" s="10">
        <v>115</v>
      </c>
      <c r="C274" s="10"/>
      <c r="D274" s="10"/>
      <c r="E274" s="38">
        <f>SUM(B274:D274)</f>
        <v>115</v>
      </c>
      <c r="F274" s="10"/>
      <c r="G274" s="10"/>
      <c r="H274" s="10"/>
      <c r="I274" s="38">
        <f>SUM(F274:H274)</f>
        <v>0</v>
      </c>
      <c r="J274" s="10"/>
      <c r="K274" s="10"/>
      <c r="L274" s="10"/>
      <c r="M274" s="38">
        <f>SUM(J274:L274)</f>
        <v>0</v>
      </c>
      <c r="N274" s="10"/>
      <c r="O274" s="10"/>
      <c r="P274" s="10"/>
      <c r="Q274" s="38">
        <f>SUM(N274:P274)</f>
        <v>0</v>
      </c>
      <c r="R274" s="38">
        <f>+E274+I274+M274+Q274</f>
        <v>115</v>
      </c>
    </row>
    <row r="275" spans="1:20" ht="15.75" customHeight="1" x14ac:dyDescent="0.3">
      <c r="A275" s="410" t="s">
        <v>3136</v>
      </c>
      <c r="B275" s="10"/>
      <c r="C275" s="10"/>
      <c r="D275" s="10"/>
      <c r="E275" s="38">
        <f t="shared" ref="E275" si="70">SUM(B275:D275)</f>
        <v>0</v>
      </c>
      <c r="F275" s="10"/>
      <c r="G275" s="10"/>
      <c r="H275" s="10"/>
      <c r="I275" s="38">
        <f t="shared" ref="I275" si="71">SUM(F275:H275)</f>
        <v>0</v>
      </c>
      <c r="J275" s="10"/>
      <c r="K275" s="10"/>
      <c r="L275" s="10"/>
      <c r="M275" s="38">
        <f t="shared" ref="M275" si="72">SUM(J275:L275)</f>
        <v>0</v>
      </c>
      <c r="N275" s="10"/>
      <c r="O275" s="10"/>
      <c r="P275" s="10"/>
      <c r="Q275" s="38">
        <f t="shared" ref="Q275" si="73">SUM(N275:P275)</f>
        <v>0</v>
      </c>
      <c r="R275" s="38">
        <f t="shared" ref="R275" si="74">+E275+I275+M275+Q275</f>
        <v>0</v>
      </c>
    </row>
    <row r="276" spans="1:20" ht="15.75" customHeight="1" x14ac:dyDescent="0.3">
      <c r="A276" s="410" t="s">
        <v>1410</v>
      </c>
      <c r="B276" s="10">
        <v>500</v>
      </c>
      <c r="C276" s="10"/>
      <c r="D276" s="10"/>
      <c r="E276" s="38">
        <f t="shared" si="47"/>
        <v>500</v>
      </c>
      <c r="F276" s="10"/>
      <c r="G276" s="10"/>
      <c r="H276" s="10"/>
      <c r="I276" s="38">
        <f t="shared" si="48"/>
        <v>0</v>
      </c>
      <c r="J276" s="10"/>
      <c r="K276" s="10"/>
      <c r="L276" s="10"/>
      <c r="M276" s="38">
        <f t="shared" si="49"/>
        <v>0</v>
      </c>
      <c r="N276" s="10"/>
      <c r="O276" s="10"/>
      <c r="P276" s="10"/>
      <c r="Q276" s="38">
        <f t="shared" si="50"/>
        <v>0</v>
      </c>
      <c r="R276" s="38">
        <f t="shared" si="46"/>
        <v>500</v>
      </c>
    </row>
    <row r="277" spans="1:20" ht="15.75" customHeight="1" thickBot="1" x14ac:dyDescent="0.35">
      <c r="A277" s="410" t="s">
        <v>3025</v>
      </c>
      <c r="B277" s="10"/>
      <c r="C277" s="10"/>
      <c r="D277" s="10"/>
      <c r="E277" s="38">
        <f>SUM(B277:D277)</f>
        <v>0</v>
      </c>
      <c r="F277" s="10"/>
      <c r="G277" s="10"/>
      <c r="H277" s="10"/>
      <c r="I277" s="38">
        <f>SUM(F277:H277)</f>
        <v>0</v>
      </c>
      <c r="J277" s="10"/>
      <c r="K277" s="10"/>
      <c r="L277" s="10"/>
      <c r="M277" s="38">
        <f>SUM(J277:L277)</f>
        <v>0</v>
      </c>
      <c r="N277" s="10"/>
      <c r="O277" s="10"/>
      <c r="P277" s="10"/>
      <c r="Q277" s="38">
        <f>SUM(N277:P277)</f>
        <v>0</v>
      </c>
      <c r="R277" s="38">
        <f t="shared" si="46"/>
        <v>0</v>
      </c>
      <c r="S277" s="709" t="s">
        <v>3020</v>
      </c>
    </row>
    <row r="278" spans="1:20" ht="16.5" customHeight="1" thickBot="1" x14ac:dyDescent="0.35">
      <c r="A278" s="43" t="s">
        <v>1220</v>
      </c>
      <c r="B278" s="45">
        <f>SUM(B214:B277)</f>
        <v>6699</v>
      </c>
      <c r="C278" s="46">
        <f>SUM(C214:C277)</f>
        <v>8280</v>
      </c>
      <c r="D278" s="46">
        <f>SUM(D214:D277)</f>
        <v>11492</v>
      </c>
      <c r="E278" s="37">
        <f t="shared" ref="E278" si="75">SUM(B278:D278)</f>
        <v>26471</v>
      </c>
      <c r="F278" s="46">
        <f>SUM(F214:F277)</f>
        <v>24991</v>
      </c>
      <c r="G278" s="46">
        <f>SUM(G214:G277)</f>
        <v>20849</v>
      </c>
      <c r="H278" s="46">
        <f>SUM(H214:H277)</f>
        <v>10839</v>
      </c>
      <c r="I278" s="37">
        <f t="shared" ref="I278" si="76">SUM(F278:H278)</f>
        <v>56679</v>
      </c>
      <c r="J278" s="46">
        <f>SUM(J214:J277)</f>
        <v>14516</v>
      </c>
      <c r="K278" s="46">
        <f>SUM(K214:K277)</f>
        <v>13878</v>
      </c>
      <c r="L278" s="46">
        <f>SUM(L214:L277)</f>
        <v>9324</v>
      </c>
      <c r="M278" s="37">
        <f t="shared" ref="M278" si="77">SUM(J278:L278)</f>
        <v>37718</v>
      </c>
      <c r="N278" s="46">
        <f>SUM(N214:N277)</f>
        <v>2305</v>
      </c>
      <c r="O278" s="46">
        <f>SUM(O214:O277)</f>
        <v>4954</v>
      </c>
      <c r="P278" s="46">
        <f>SUM(P214:P277)</f>
        <v>5901</v>
      </c>
      <c r="Q278" s="37">
        <f t="shared" ref="Q278" si="78">SUM(N278:P278)</f>
        <v>13160</v>
      </c>
      <c r="R278" s="37">
        <f t="shared" ref="R278" si="79">+E278+I278+M278+Q278</f>
        <v>134028</v>
      </c>
    </row>
    <row r="279" spans="1:20" ht="15.75" customHeight="1" x14ac:dyDescent="0.3">
      <c r="A279" s="234" t="s">
        <v>1712</v>
      </c>
      <c r="B279" s="172"/>
      <c r="C279" s="172"/>
      <c r="D279" s="172"/>
      <c r="E279" s="38" t="s">
        <v>852</v>
      </c>
      <c r="F279" s="172"/>
      <c r="G279" s="172"/>
      <c r="H279" s="172"/>
      <c r="I279" s="38" t="s">
        <v>852</v>
      </c>
      <c r="J279" s="172"/>
      <c r="K279" s="172"/>
      <c r="L279" s="172"/>
      <c r="M279" s="38" t="s">
        <v>852</v>
      </c>
      <c r="N279" s="172"/>
      <c r="O279" s="172"/>
      <c r="P279" s="172"/>
      <c r="Q279" s="38" t="s">
        <v>852</v>
      </c>
      <c r="R279" s="38" t="s">
        <v>852</v>
      </c>
    </row>
    <row r="280" spans="1:20" ht="15.75" customHeight="1" x14ac:dyDescent="0.3">
      <c r="A280" s="234" t="s">
        <v>1021</v>
      </c>
      <c r="B280" s="172"/>
      <c r="C280" s="172"/>
      <c r="D280" s="172"/>
      <c r="E280" s="38" t="s">
        <v>852</v>
      </c>
      <c r="F280" s="172"/>
      <c r="G280" s="172"/>
      <c r="H280" s="172"/>
      <c r="I280" s="38" t="s">
        <v>852</v>
      </c>
      <c r="J280" s="172"/>
      <c r="K280" s="172"/>
      <c r="L280" s="172"/>
      <c r="M280" s="38" t="s">
        <v>852</v>
      </c>
      <c r="N280" s="172"/>
      <c r="O280" s="172"/>
      <c r="P280" s="172"/>
      <c r="Q280" s="38" t="s">
        <v>852</v>
      </c>
      <c r="R280" s="38" t="s">
        <v>852</v>
      </c>
    </row>
    <row r="281" spans="1:20" ht="15.75" customHeight="1" x14ac:dyDescent="0.3">
      <c r="A281" s="618" t="s">
        <v>2796</v>
      </c>
      <c r="B281" s="10"/>
      <c r="C281" s="10"/>
      <c r="D281" s="10"/>
      <c r="E281" s="38">
        <f>SUM(B281:D281)</f>
        <v>0</v>
      </c>
      <c r="F281" s="10"/>
      <c r="G281" s="10"/>
      <c r="H281" s="10"/>
      <c r="I281" s="38">
        <f>SUM(F281:H281)</f>
        <v>0</v>
      </c>
      <c r="J281" s="10"/>
      <c r="K281" s="10"/>
      <c r="L281" s="10"/>
      <c r="M281" s="38">
        <f>SUM(J281:L281)</f>
        <v>0</v>
      </c>
      <c r="N281" s="10"/>
      <c r="O281" s="10"/>
      <c r="P281" s="10"/>
      <c r="Q281" s="38">
        <f>SUM(N281:P281)</f>
        <v>0</v>
      </c>
      <c r="R281" s="38">
        <f>+E281+I281+M281+Q281</f>
        <v>0</v>
      </c>
      <c r="T281" t="s">
        <v>2760</v>
      </c>
    </row>
    <row r="282" spans="1:20" ht="15.75" customHeight="1" x14ac:dyDescent="0.3">
      <c r="A282" s="568" t="s">
        <v>1323</v>
      </c>
      <c r="B282" s="10"/>
      <c r="C282" s="10"/>
      <c r="D282" s="10"/>
      <c r="E282" s="38">
        <f>SUM(B282:D282)</f>
        <v>0</v>
      </c>
      <c r="F282" s="10"/>
      <c r="G282" s="10"/>
      <c r="H282" s="10"/>
      <c r="I282" s="38">
        <f>SUM(F282:H282)</f>
        <v>0</v>
      </c>
      <c r="J282" s="10"/>
      <c r="K282" s="10"/>
      <c r="L282" s="10"/>
      <c r="M282" s="38">
        <f>SUM(J282:L282)</f>
        <v>0</v>
      </c>
      <c r="N282" s="10"/>
      <c r="O282" s="10"/>
      <c r="P282" s="10"/>
      <c r="Q282" s="38">
        <f>SUM(N282:P282)</f>
        <v>0</v>
      </c>
      <c r="R282" s="38">
        <f>+E282+I282+M282+Q282</f>
        <v>0</v>
      </c>
      <c r="T282" t="s">
        <v>2769</v>
      </c>
    </row>
    <row r="283" spans="1:20" ht="15.75" customHeight="1" x14ac:dyDescent="0.3">
      <c r="A283" s="568" t="s">
        <v>2317</v>
      </c>
      <c r="B283" s="10"/>
      <c r="C283" s="10"/>
      <c r="D283" s="10"/>
      <c r="E283" s="38">
        <f>SUM(B283:D283)</f>
        <v>0</v>
      </c>
      <c r="F283" s="10"/>
      <c r="G283" s="10"/>
      <c r="H283" s="10"/>
      <c r="I283" s="38">
        <f>SUM(F283:H283)</f>
        <v>0</v>
      </c>
      <c r="J283" s="10"/>
      <c r="K283" s="10"/>
      <c r="L283" s="10"/>
      <c r="M283" s="38">
        <f>SUM(J283:L283)</f>
        <v>0</v>
      </c>
      <c r="N283" s="10"/>
      <c r="O283" s="10"/>
      <c r="P283" s="10"/>
      <c r="Q283" s="38">
        <f>SUM(N283:P283)</f>
        <v>0</v>
      </c>
      <c r="R283" s="38">
        <f>+E283+I283+M283+Q283</f>
        <v>0</v>
      </c>
      <c r="T283" t="s">
        <v>2770</v>
      </c>
    </row>
    <row r="284" spans="1:20" ht="15.75" customHeight="1" x14ac:dyDescent="0.3">
      <c r="A284" s="234" t="s">
        <v>557</v>
      </c>
      <c r="B284" s="172"/>
      <c r="C284" s="172"/>
      <c r="D284" s="172"/>
      <c r="E284" s="38" t="s">
        <v>852</v>
      </c>
      <c r="F284" s="172"/>
      <c r="G284" s="172"/>
      <c r="H284" s="172"/>
      <c r="I284" s="38" t="s">
        <v>852</v>
      </c>
      <c r="J284" s="172"/>
      <c r="K284" s="172"/>
      <c r="L284" s="172"/>
      <c r="M284" s="38" t="s">
        <v>852</v>
      </c>
      <c r="N284" s="172"/>
      <c r="O284" s="172"/>
      <c r="P284" s="172"/>
      <c r="Q284" s="38" t="s">
        <v>852</v>
      </c>
      <c r="R284" s="38" t="s">
        <v>852</v>
      </c>
    </row>
    <row r="285" spans="1:20" ht="15.75" customHeight="1" x14ac:dyDescent="0.3">
      <c r="A285" s="568" t="s">
        <v>3006</v>
      </c>
      <c r="B285" s="10"/>
      <c r="C285" s="10"/>
      <c r="D285" s="10"/>
      <c r="E285" s="38">
        <f>SUM(B285:D285)</f>
        <v>0</v>
      </c>
      <c r="F285" s="10"/>
      <c r="G285" s="10"/>
      <c r="H285" s="10"/>
      <c r="I285" s="38">
        <f>SUM(F285:H285)</f>
        <v>0</v>
      </c>
      <c r="J285" s="10"/>
      <c r="K285" s="10"/>
      <c r="L285" s="10"/>
      <c r="M285" s="38">
        <f>SUM(J285:L285)</f>
        <v>0</v>
      </c>
      <c r="N285" s="10"/>
      <c r="O285" s="10"/>
      <c r="P285" s="10"/>
      <c r="Q285" s="38">
        <f>SUM(N285:P285)</f>
        <v>0</v>
      </c>
      <c r="R285" s="38">
        <f>+E285+I285+M285+Q285</f>
        <v>0</v>
      </c>
    </row>
    <row r="286" spans="1:20" ht="15.75" customHeight="1" x14ac:dyDescent="0.3">
      <c r="A286" s="568" t="s">
        <v>3010</v>
      </c>
      <c r="B286" s="10"/>
      <c r="C286" s="10"/>
      <c r="D286" s="10"/>
      <c r="E286" s="38">
        <f>SUM(B286:D286)</f>
        <v>0</v>
      </c>
      <c r="F286" s="10"/>
      <c r="G286" s="10"/>
      <c r="H286" s="10"/>
      <c r="I286" s="38">
        <f>SUM(F286:H286)</f>
        <v>0</v>
      </c>
      <c r="J286" s="10"/>
      <c r="K286" s="10"/>
      <c r="L286" s="10"/>
      <c r="M286" s="38">
        <f>SUM(J286:L286)</f>
        <v>0</v>
      </c>
      <c r="N286" s="10"/>
      <c r="O286" s="10"/>
      <c r="P286" s="10"/>
      <c r="Q286" s="38">
        <f>SUM(N286:P286)</f>
        <v>0</v>
      </c>
      <c r="R286" s="38">
        <f>+E286+I286+M286+Q286</f>
        <v>0</v>
      </c>
      <c r="T286">
        <f>24000-SUM(R145,R148,R166,R169,R182,R202,R236,R237,R259,R282,R285,R286)</f>
        <v>10242</v>
      </c>
    </row>
    <row r="287" spans="1:20" ht="15.75" customHeight="1" x14ac:dyDescent="0.3">
      <c r="A287" s="539" t="s">
        <v>3021</v>
      </c>
      <c r="B287" s="10"/>
      <c r="C287" s="10"/>
      <c r="D287" s="10"/>
      <c r="E287" s="38">
        <f t="shared" ref="E287:E292" si="80">SUM(B287:D287)</f>
        <v>0</v>
      </c>
      <c r="F287" s="10"/>
      <c r="G287" s="10"/>
      <c r="H287" s="10"/>
      <c r="I287" s="38">
        <f t="shared" ref="I287:I292" si="81">SUM(F287:H287)</f>
        <v>0</v>
      </c>
      <c r="J287" s="10"/>
      <c r="K287" s="10"/>
      <c r="L287" s="10"/>
      <c r="M287" s="38">
        <f t="shared" ref="M287:M292" si="82">SUM(J287:L287)</f>
        <v>0</v>
      </c>
      <c r="N287" s="10"/>
      <c r="O287" s="10"/>
      <c r="P287" s="10"/>
      <c r="Q287" s="38">
        <f t="shared" ref="Q287:Q292" si="83">SUM(N287:P287)</f>
        <v>0</v>
      </c>
      <c r="R287" s="38">
        <f t="shared" ref="R287:R292" si="84">+E287+I287+M287+Q287</f>
        <v>0</v>
      </c>
      <c r="S287" t="s">
        <v>3020</v>
      </c>
    </row>
    <row r="288" spans="1:20" ht="15.75" customHeight="1" x14ac:dyDescent="0.3">
      <c r="A288" s="539" t="s">
        <v>2561</v>
      </c>
      <c r="B288" s="10"/>
      <c r="C288" s="10"/>
      <c r="D288" s="10"/>
      <c r="E288" s="38">
        <f t="shared" si="80"/>
        <v>0</v>
      </c>
      <c r="F288" s="10"/>
      <c r="G288" s="10"/>
      <c r="H288" s="10"/>
      <c r="I288" s="38">
        <f t="shared" si="81"/>
        <v>0</v>
      </c>
      <c r="J288" s="10"/>
      <c r="K288" s="10"/>
      <c r="L288" s="10"/>
      <c r="M288" s="38">
        <f t="shared" si="82"/>
        <v>0</v>
      </c>
      <c r="N288" s="10"/>
      <c r="O288" s="10"/>
      <c r="P288" s="10"/>
      <c r="Q288" s="38">
        <f t="shared" si="83"/>
        <v>0</v>
      </c>
      <c r="R288" s="38">
        <f t="shared" si="84"/>
        <v>0</v>
      </c>
    </row>
    <row r="289" spans="1:20" ht="15.75" customHeight="1" x14ac:dyDescent="0.3">
      <c r="A289" s="569" t="s">
        <v>2828</v>
      </c>
      <c r="B289" s="10"/>
      <c r="C289" s="10"/>
      <c r="D289" s="10"/>
      <c r="E289" s="38">
        <f t="shared" si="80"/>
        <v>0</v>
      </c>
      <c r="F289" s="10"/>
      <c r="G289" s="10"/>
      <c r="H289" s="10"/>
      <c r="I289" s="38">
        <f t="shared" si="81"/>
        <v>0</v>
      </c>
      <c r="J289" s="10"/>
      <c r="K289" s="10"/>
      <c r="L289" s="10">
        <v>850</v>
      </c>
      <c r="M289" s="38">
        <f t="shared" si="82"/>
        <v>850</v>
      </c>
      <c r="N289" s="10">
        <v>1050</v>
      </c>
      <c r="O289" s="10"/>
      <c r="P289" s="10"/>
      <c r="Q289" s="38">
        <f t="shared" si="83"/>
        <v>1050</v>
      </c>
      <c r="R289" s="38">
        <f t="shared" si="84"/>
        <v>1900</v>
      </c>
    </row>
    <row r="290" spans="1:20" ht="15.75" customHeight="1" x14ac:dyDescent="0.3">
      <c r="A290" s="569" t="s">
        <v>2563</v>
      </c>
      <c r="B290" s="10"/>
      <c r="C290" s="10"/>
      <c r="D290" s="10"/>
      <c r="E290" s="38">
        <f t="shared" si="80"/>
        <v>0</v>
      </c>
      <c r="F290" s="10"/>
      <c r="G290" s="10"/>
      <c r="H290" s="10"/>
      <c r="I290" s="38">
        <f t="shared" si="81"/>
        <v>0</v>
      </c>
      <c r="J290" s="10"/>
      <c r="K290" s="10"/>
      <c r="L290" s="10"/>
      <c r="M290" s="38">
        <f t="shared" si="82"/>
        <v>0</v>
      </c>
      <c r="N290" s="10"/>
      <c r="O290" s="10"/>
      <c r="P290" s="10"/>
      <c r="Q290" s="38">
        <f t="shared" si="83"/>
        <v>0</v>
      </c>
      <c r="R290" s="38">
        <f t="shared" si="84"/>
        <v>0</v>
      </c>
    </row>
    <row r="291" spans="1:20" ht="15.75" customHeight="1" x14ac:dyDescent="0.3">
      <c r="A291" s="422" t="s">
        <v>2564</v>
      </c>
      <c r="B291" s="10"/>
      <c r="C291" s="10"/>
      <c r="D291" s="10"/>
      <c r="E291" s="38">
        <f t="shared" si="80"/>
        <v>0</v>
      </c>
      <c r="F291" s="10"/>
      <c r="G291" s="10"/>
      <c r="H291" s="10"/>
      <c r="I291" s="38">
        <f t="shared" si="81"/>
        <v>0</v>
      </c>
      <c r="J291" s="10"/>
      <c r="K291" s="10"/>
      <c r="L291" s="10"/>
      <c r="M291" s="38">
        <f t="shared" si="82"/>
        <v>0</v>
      </c>
      <c r="N291" s="10"/>
      <c r="O291" s="10"/>
      <c r="P291" s="10"/>
      <c r="Q291" s="38">
        <f t="shared" si="83"/>
        <v>0</v>
      </c>
      <c r="R291" s="38">
        <f t="shared" si="84"/>
        <v>0</v>
      </c>
    </row>
    <row r="292" spans="1:20" ht="15.75" customHeight="1" x14ac:dyDescent="0.3">
      <c r="A292" s="422" t="s">
        <v>2565</v>
      </c>
      <c r="B292" s="10"/>
      <c r="C292" s="10"/>
      <c r="D292" s="10"/>
      <c r="E292" s="38">
        <f t="shared" si="80"/>
        <v>0</v>
      </c>
      <c r="F292" s="10"/>
      <c r="G292" s="10"/>
      <c r="H292" s="10"/>
      <c r="I292" s="38">
        <f t="shared" si="81"/>
        <v>0</v>
      </c>
      <c r="J292" s="10"/>
      <c r="K292" s="10"/>
      <c r="L292" s="10"/>
      <c r="M292" s="38">
        <f t="shared" si="82"/>
        <v>0</v>
      </c>
      <c r="N292" s="10"/>
      <c r="O292" s="10"/>
      <c r="P292" s="10"/>
      <c r="Q292" s="38">
        <f t="shared" si="83"/>
        <v>0</v>
      </c>
      <c r="R292" s="38">
        <f t="shared" si="84"/>
        <v>0</v>
      </c>
    </row>
    <row r="293" spans="1:20" ht="15.75" customHeight="1" x14ac:dyDescent="0.3">
      <c r="A293" s="234" t="s">
        <v>1022</v>
      </c>
      <c r="B293" s="172"/>
      <c r="C293" s="172"/>
      <c r="D293" s="172"/>
      <c r="E293" s="38" t="s">
        <v>852</v>
      </c>
      <c r="F293" s="172"/>
      <c r="G293" s="172"/>
      <c r="H293" s="172"/>
      <c r="I293" s="38" t="s">
        <v>852</v>
      </c>
      <c r="J293" s="172"/>
      <c r="K293" s="172"/>
      <c r="L293" s="172"/>
      <c r="M293" s="38" t="s">
        <v>852</v>
      </c>
      <c r="N293" s="172"/>
      <c r="O293" s="172"/>
      <c r="P293" s="172"/>
      <c r="Q293" s="38" t="s">
        <v>852</v>
      </c>
      <c r="R293" s="38" t="s">
        <v>852</v>
      </c>
    </row>
    <row r="294" spans="1:20" ht="15.75" customHeight="1" x14ac:dyDescent="0.3">
      <c r="A294" s="568" t="s">
        <v>3096</v>
      </c>
      <c r="B294" s="172"/>
      <c r="C294" s="172"/>
      <c r="D294" s="172"/>
      <c r="E294" s="38">
        <f t="shared" ref="E294" si="85">SUM(B294:D294)</f>
        <v>0</v>
      </c>
      <c r="F294" s="172"/>
      <c r="G294" s="172"/>
      <c r="H294" s="172"/>
      <c r="I294" s="38">
        <f t="shared" ref="I294" si="86">SUM(F294:H294)</f>
        <v>0</v>
      </c>
      <c r="J294" s="172"/>
      <c r="K294" s="172"/>
      <c r="L294" s="172"/>
      <c r="M294" s="38">
        <f t="shared" ref="M294" si="87">SUM(J294:L294)</f>
        <v>0</v>
      </c>
      <c r="N294" s="172"/>
      <c r="O294" s="172"/>
      <c r="P294" s="172"/>
      <c r="Q294" s="38">
        <f t="shared" ref="Q294" si="88">SUM(N294:P294)</f>
        <v>0</v>
      </c>
      <c r="R294" s="38">
        <f t="shared" ref="R294" si="89">+E294+I294+M294+Q294</f>
        <v>0</v>
      </c>
    </row>
    <row r="295" spans="1:20" ht="15.75" customHeight="1" x14ac:dyDescent="0.3">
      <c r="A295" s="234" t="s">
        <v>559</v>
      </c>
      <c r="B295" s="172"/>
      <c r="C295" s="172"/>
      <c r="D295" s="172"/>
      <c r="E295" s="38" t="s">
        <v>852</v>
      </c>
      <c r="F295" s="172"/>
      <c r="G295" s="172"/>
      <c r="H295" s="172"/>
      <c r="I295" s="38" t="s">
        <v>852</v>
      </c>
      <c r="J295" s="172"/>
      <c r="K295" s="172"/>
      <c r="L295" s="172"/>
      <c r="M295" s="38" t="s">
        <v>852</v>
      </c>
      <c r="N295" s="172"/>
      <c r="O295" s="172"/>
      <c r="P295" s="172"/>
      <c r="Q295" s="38" t="s">
        <v>852</v>
      </c>
      <c r="R295" s="38" t="s">
        <v>852</v>
      </c>
    </row>
    <row r="296" spans="1:20" ht="15.75" customHeight="1" thickBot="1" x14ac:dyDescent="0.35">
      <c r="A296" s="539" t="s">
        <v>3074</v>
      </c>
      <c r="B296" s="10"/>
      <c r="C296" s="10"/>
      <c r="D296" s="10"/>
      <c r="E296" s="38">
        <f t="shared" ref="E296" si="90">SUM(B296:D296)</f>
        <v>0</v>
      </c>
      <c r="F296" s="10"/>
      <c r="G296" s="10"/>
      <c r="H296" s="10"/>
      <c r="I296" s="38">
        <f t="shared" ref="I296" si="91">SUM(F296:H296)</f>
        <v>0</v>
      </c>
      <c r="J296" s="10"/>
      <c r="K296" s="10"/>
      <c r="L296" s="10"/>
      <c r="M296" s="38">
        <f t="shared" ref="M296" si="92">SUM(J296:L296)</f>
        <v>0</v>
      </c>
      <c r="N296" s="10"/>
      <c r="O296" s="10"/>
      <c r="P296" s="10"/>
      <c r="Q296" s="38">
        <f t="shared" ref="Q296" si="93">SUM(N296:P296)</f>
        <v>0</v>
      </c>
      <c r="R296" s="38">
        <f t="shared" ref="R296" si="94">+E296+I296+M296+Q296</f>
        <v>0</v>
      </c>
      <c r="S296" t="s">
        <v>3020</v>
      </c>
    </row>
    <row r="297" spans="1:20" ht="16.5" customHeight="1" thickBot="1" x14ac:dyDescent="0.35">
      <c r="A297" s="43" t="s">
        <v>1019</v>
      </c>
      <c r="B297" s="42">
        <f>SUM(B293:B296)</f>
        <v>0</v>
      </c>
      <c r="C297" s="42">
        <f>SUM(C293:C296)</f>
        <v>0</v>
      </c>
      <c r="D297" s="42">
        <f>SUM(D293:D296)</f>
        <v>0</v>
      </c>
      <c r="E297" s="39">
        <f t="shared" ref="E297:E304" si="95">SUM(B297:D297)</f>
        <v>0</v>
      </c>
      <c r="F297" s="42">
        <f>SUM(F293:F296)</f>
        <v>0</v>
      </c>
      <c r="G297" s="42">
        <f>SUM(G293:G296)</f>
        <v>0</v>
      </c>
      <c r="H297" s="42">
        <f>SUM(H293:H296)</f>
        <v>0</v>
      </c>
      <c r="I297" s="39">
        <f t="shared" ref="I297:I305" si="96">SUM(F297:H297)</f>
        <v>0</v>
      </c>
      <c r="J297" s="42">
        <f>SUM(J293:J296)</f>
        <v>0</v>
      </c>
      <c r="K297" s="42">
        <f>SUM(K293:K296)</f>
        <v>0</v>
      </c>
      <c r="L297" s="42">
        <f>SUM(L293:L296)</f>
        <v>0</v>
      </c>
      <c r="M297" s="39">
        <f t="shared" ref="M297:M305" si="97">SUM(J297:L297)</f>
        <v>0</v>
      </c>
      <c r="N297" s="42">
        <f>SUM(N293:N296)</f>
        <v>0</v>
      </c>
      <c r="O297" s="42">
        <f>SUM(O293:O296)</f>
        <v>0</v>
      </c>
      <c r="P297" s="42">
        <f>SUM(P293:P296)</f>
        <v>0</v>
      </c>
      <c r="Q297" s="39">
        <f t="shared" ref="Q297:Q305" si="98">SUM(N297:P297)</f>
        <v>0</v>
      </c>
      <c r="R297" s="37">
        <f t="shared" ref="R297:R305" si="99">+E297+I297+M297+Q297</f>
        <v>0</v>
      </c>
    </row>
    <row r="298" spans="1:20" ht="16.5" customHeight="1" thickBot="1" x14ac:dyDescent="0.35">
      <c r="A298" s="43" t="s">
        <v>1221</v>
      </c>
      <c r="B298" s="45">
        <f>SUM(B279:B296)</f>
        <v>0</v>
      </c>
      <c r="C298" s="46">
        <f>SUM(C279:C296)</f>
        <v>0</v>
      </c>
      <c r="D298" s="46">
        <f>SUM(D279:D296)</f>
        <v>0</v>
      </c>
      <c r="E298" s="37">
        <f t="shared" si="95"/>
        <v>0</v>
      </c>
      <c r="F298" s="46">
        <f>SUM(F279:F296)</f>
        <v>0</v>
      </c>
      <c r="G298" s="46">
        <f>SUM(G279:G296)</f>
        <v>0</v>
      </c>
      <c r="H298" s="46">
        <f>SUM(H279:H296)</f>
        <v>0</v>
      </c>
      <c r="I298" s="37">
        <f t="shared" si="96"/>
        <v>0</v>
      </c>
      <c r="J298" s="46">
        <f>SUM(J279:J296)</f>
        <v>0</v>
      </c>
      <c r="K298" s="46">
        <f>SUM(K279:K296)</f>
        <v>0</v>
      </c>
      <c r="L298" s="46">
        <f>SUM(L279:L296)</f>
        <v>850</v>
      </c>
      <c r="M298" s="37">
        <f t="shared" si="97"/>
        <v>850</v>
      </c>
      <c r="N298" s="46">
        <f>SUM(N279:N296)</f>
        <v>1050</v>
      </c>
      <c r="O298" s="46">
        <f>SUM(O279:O296)</f>
        <v>0</v>
      </c>
      <c r="P298" s="46">
        <f>SUM(P279:P296)</f>
        <v>0</v>
      </c>
      <c r="Q298" s="37">
        <f t="shared" si="98"/>
        <v>1050</v>
      </c>
      <c r="R298" s="37">
        <f t="shared" si="99"/>
        <v>1900</v>
      </c>
    </row>
    <row r="299" spans="1:20" ht="16.5" customHeight="1" thickBot="1" x14ac:dyDescent="0.35">
      <c r="A299" s="43" t="s">
        <v>1222</v>
      </c>
      <c r="B299" s="47">
        <f>+B206+B213+B278+B298</f>
        <v>19017</v>
      </c>
      <c r="C299" s="42">
        <f>+C206+C213+C278+C298</f>
        <v>15791</v>
      </c>
      <c r="D299" s="42">
        <f>+D206+D213+D278+D298</f>
        <v>20318</v>
      </c>
      <c r="E299" s="40">
        <f t="shared" si="95"/>
        <v>55126</v>
      </c>
      <c r="F299" s="42">
        <f>+F206+F213+F278+F298</f>
        <v>36789</v>
      </c>
      <c r="G299" s="42">
        <f>+G206+G213+G278+G298</f>
        <v>38843</v>
      </c>
      <c r="H299" s="42">
        <f>+H206+H213+H278+H298</f>
        <v>47555</v>
      </c>
      <c r="I299" s="40">
        <f t="shared" si="96"/>
        <v>123187</v>
      </c>
      <c r="J299" s="42">
        <f>+J206+J213+J278+J298</f>
        <v>53147</v>
      </c>
      <c r="K299" s="42">
        <f>+K206+K213+K278+K298</f>
        <v>47024</v>
      </c>
      <c r="L299" s="42">
        <f>+L206+L213+L278+L298</f>
        <v>41214</v>
      </c>
      <c r="M299" s="40">
        <f t="shared" si="97"/>
        <v>141385</v>
      </c>
      <c r="N299" s="42">
        <f>+N206+N213+N278+N298</f>
        <v>32860</v>
      </c>
      <c r="O299" s="42">
        <f>+O206+O213+O278+O298</f>
        <v>27931</v>
      </c>
      <c r="P299" s="42">
        <f>+P206+P213+P278+P298</f>
        <v>27205</v>
      </c>
      <c r="Q299" s="40">
        <f t="shared" si="98"/>
        <v>87996</v>
      </c>
      <c r="R299" s="40">
        <f t="shared" si="99"/>
        <v>407694</v>
      </c>
    </row>
    <row r="300" spans="1:20" ht="15.75" customHeight="1" x14ac:dyDescent="0.3">
      <c r="A300" s="540" t="s">
        <v>2827</v>
      </c>
      <c r="B300" s="10"/>
      <c r="C300" s="10">
        <v>960</v>
      </c>
      <c r="D300" s="10">
        <v>3970</v>
      </c>
      <c r="E300" s="38">
        <f t="shared" si="95"/>
        <v>4930</v>
      </c>
      <c r="F300" s="10">
        <v>71</v>
      </c>
      <c r="G300" s="10">
        <v>2230</v>
      </c>
      <c r="H300" s="10">
        <v>3740</v>
      </c>
      <c r="I300" s="38">
        <f t="shared" si="96"/>
        <v>6041</v>
      </c>
      <c r="J300" s="10">
        <v>2096</v>
      </c>
      <c r="K300" s="10">
        <v>985</v>
      </c>
      <c r="L300" s="10">
        <v>3198</v>
      </c>
      <c r="M300" s="38">
        <f t="shared" si="97"/>
        <v>6279</v>
      </c>
      <c r="N300" s="10">
        <v>3450</v>
      </c>
      <c r="O300" s="10">
        <v>5218</v>
      </c>
      <c r="P300" s="10">
        <v>1302</v>
      </c>
      <c r="Q300" s="38">
        <f t="shared" si="98"/>
        <v>9970</v>
      </c>
      <c r="R300" s="38">
        <f t="shared" si="99"/>
        <v>27220</v>
      </c>
      <c r="T300" t="s">
        <v>2764</v>
      </c>
    </row>
    <row r="301" spans="1:20" ht="15.75" customHeight="1" x14ac:dyDescent="0.3">
      <c r="A301" s="270" t="s">
        <v>899</v>
      </c>
      <c r="B301" s="172"/>
      <c r="C301" s="172"/>
      <c r="D301" s="172"/>
      <c r="E301" s="38">
        <f t="shared" si="95"/>
        <v>0</v>
      </c>
      <c r="F301" s="172"/>
      <c r="G301" s="172"/>
      <c r="H301" s="172"/>
      <c r="I301" s="38">
        <f t="shared" si="96"/>
        <v>0</v>
      </c>
      <c r="J301" s="172"/>
      <c r="K301" s="172"/>
      <c r="L301" s="172"/>
      <c r="M301" s="38">
        <f t="shared" si="97"/>
        <v>0</v>
      </c>
      <c r="N301" s="172"/>
      <c r="O301" s="172"/>
      <c r="P301" s="172"/>
      <c r="Q301" s="38">
        <f t="shared" si="98"/>
        <v>0</v>
      </c>
      <c r="R301" s="38">
        <f t="shared" si="99"/>
        <v>0</v>
      </c>
    </row>
    <row r="302" spans="1:20" ht="15.75" customHeight="1" x14ac:dyDescent="0.3">
      <c r="A302" s="539" t="s">
        <v>2271</v>
      </c>
      <c r="B302" s="10"/>
      <c r="C302" s="10"/>
      <c r="D302" s="10"/>
      <c r="E302" s="38">
        <f t="shared" si="95"/>
        <v>0</v>
      </c>
      <c r="F302" s="10"/>
      <c r="G302" s="10"/>
      <c r="H302" s="10"/>
      <c r="I302" s="38">
        <f t="shared" si="96"/>
        <v>0</v>
      </c>
      <c r="J302" s="10"/>
      <c r="K302" s="10"/>
      <c r="L302" s="10"/>
      <c r="M302" s="38">
        <f t="shared" si="97"/>
        <v>0</v>
      </c>
      <c r="N302" s="10"/>
      <c r="O302" s="10"/>
      <c r="P302" s="10"/>
      <c r="Q302" s="38">
        <f t="shared" si="98"/>
        <v>0</v>
      </c>
      <c r="R302" s="38">
        <f t="shared" si="99"/>
        <v>0</v>
      </c>
    </row>
    <row r="303" spans="1:20" ht="15.75" customHeight="1" x14ac:dyDescent="0.3">
      <c r="A303" s="270" t="s">
        <v>2475</v>
      </c>
      <c r="B303" s="10">
        <v>9</v>
      </c>
      <c r="C303" s="10">
        <v>214</v>
      </c>
      <c r="D303" s="10">
        <v>37</v>
      </c>
      <c r="E303" s="38">
        <f>SUM(B303:D303)</f>
        <v>260</v>
      </c>
      <c r="F303" s="10">
        <v>57</v>
      </c>
      <c r="G303" s="10">
        <v>45</v>
      </c>
      <c r="H303" s="10">
        <v>30</v>
      </c>
      <c r="I303" s="38">
        <f>SUM(F303:H303)</f>
        <v>132</v>
      </c>
      <c r="J303" s="10">
        <v>57</v>
      </c>
      <c r="K303" s="10">
        <v>62</v>
      </c>
      <c r="L303" s="10">
        <v>65</v>
      </c>
      <c r="M303" s="38">
        <f>SUM(J303:L303)</f>
        <v>184</v>
      </c>
      <c r="N303" s="10">
        <v>76</v>
      </c>
      <c r="O303" s="10">
        <v>56</v>
      </c>
      <c r="P303" s="10"/>
      <c r="Q303" s="38">
        <f>SUM(N303:P303)</f>
        <v>132</v>
      </c>
      <c r="R303" s="38">
        <f t="shared" si="99"/>
        <v>708</v>
      </c>
    </row>
    <row r="304" spans="1:20" ht="15.75" customHeight="1" x14ac:dyDescent="0.3">
      <c r="A304" s="267" t="s">
        <v>2096</v>
      </c>
      <c r="B304" s="172">
        <v>83310</v>
      </c>
      <c r="C304" s="172">
        <v>16480</v>
      </c>
      <c r="D304" s="172">
        <v>20055</v>
      </c>
      <c r="E304" s="38">
        <f t="shared" si="95"/>
        <v>119845</v>
      </c>
      <c r="F304" s="172">
        <v>9498</v>
      </c>
      <c r="G304" s="172">
        <v>24625</v>
      </c>
      <c r="H304" s="172"/>
      <c r="I304" s="38">
        <f t="shared" si="96"/>
        <v>34123</v>
      </c>
      <c r="J304" s="172"/>
      <c r="K304" s="172"/>
      <c r="L304" s="172">
        <v>9609</v>
      </c>
      <c r="M304" s="38">
        <f t="shared" si="97"/>
        <v>9609</v>
      </c>
      <c r="N304" s="172">
        <v>44152</v>
      </c>
      <c r="O304" s="172">
        <v>65541</v>
      </c>
      <c r="P304" s="172">
        <v>70977</v>
      </c>
      <c r="Q304" s="38">
        <f t="shared" si="98"/>
        <v>180670</v>
      </c>
      <c r="R304" s="38">
        <f t="shared" si="99"/>
        <v>344247</v>
      </c>
    </row>
    <row r="305" spans="1:18" ht="16.5" customHeight="1" thickBot="1" x14ac:dyDescent="0.35">
      <c r="A305" s="244" t="s">
        <v>853</v>
      </c>
      <c r="B305" s="238">
        <v>104</v>
      </c>
      <c r="C305" s="238">
        <v>268</v>
      </c>
      <c r="D305" s="238">
        <v>474</v>
      </c>
      <c r="E305" s="38">
        <f>SUM(B305:D305)</f>
        <v>846</v>
      </c>
      <c r="F305" s="238">
        <v>647</v>
      </c>
      <c r="G305" s="238">
        <v>742</v>
      </c>
      <c r="H305" s="238">
        <v>781</v>
      </c>
      <c r="I305" s="38">
        <f t="shared" si="96"/>
        <v>2170</v>
      </c>
      <c r="J305" s="238">
        <v>774</v>
      </c>
      <c r="K305" s="238">
        <v>596</v>
      </c>
      <c r="L305" s="238">
        <v>546</v>
      </c>
      <c r="M305" s="38">
        <f t="shared" si="97"/>
        <v>1916</v>
      </c>
      <c r="N305" s="238">
        <v>517</v>
      </c>
      <c r="O305" s="238">
        <v>413</v>
      </c>
      <c r="P305" s="238">
        <v>302</v>
      </c>
      <c r="Q305" s="38">
        <f t="shared" si="98"/>
        <v>1232</v>
      </c>
      <c r="R305" s="38">
        <f t="shared" si="99"/>
        <v>6164</v>
      </c>
    </row>
    <row r="306" spans="1:18" ht="16.5" customHeight="1" thickBot="1" x14ac:dyDescent="0.35">
      <c r="A306" s="44"/>
      <c r="B306" s="258"/>
      <c r="C306" s="258"/>
      <c r="D306" s="258"/>
      <c r="E306" s="39"/>
      <c r="F306" s="258"/>
      <c r="G306" s="258"/>
      <c r="H306" s="258"/>
      <c r="I306" s="37"/>
      <c r="J306" s="258"/>
      <c r="K306" s="258"/>
      <c r="L306" s="258"/>
      <c r="M306" s="37"/>
      <c r="N306" s="258"/>
      <c r="O306" s="258"/>
      <c r="P306" s="258"/>
      <c r="Q306" s="37"/>
      <c r="R306" s="37" t="s">
        <v>852</v>
      </c>
    </row>
    <row r="307" spans="1:18" ht="15.75" customHeight="1" x14ac:dyDescent="0.3">
      <c r="A307" s="259" t="s">
        <v>2011</v>
      </c>
      <c r="B307" s="260">
        <f>SUM(B299:B305)</f>
        <v>102440</v>
      </c>
      <c r="C307" s="260">
        <f>SUM(C299:C305)</f>
        <v>33713</v>
      </c>
      <c r="D307" s="260">
        <f>SUM(D299:D305)</f>
        <v>44854</v>
      </c>
      <c r="E307" s="39">
        <f>SUM(B307:D307)</f>
        <v>181007</v>
      </c>
      <c r="F307" s="260">
        <f>SUM(F299:F305)</f>
        <v>47062</v>
      </c>
      <c r="G307" s="260">
        <f>SUM(G299:G305)</f>
        <v>66485</v>
      </c>
      <c r="H307" s="260">
        <f>SUM(H299:H305)</f>
        <v>52106</v>
      </c>
      <c r="I307" s="39">
        <f>SUM(F307:H307)</f>
        <v>165653</v>
      </c>
      <c r="J307" s="260">
        <f>SUM(J299:J305)</f>
        <v>56074</v>
      </c>
      <c r="K307" s="260">
        <f>SUM(K299:K305)</f>
        <v>48667</v>
      </c>
      <c r="L307" s="260">
        <f>SUM(L299:L305)</f>
        <v>54632</v>
      </c>
      <c r="M307" s="39">
        <f>SUM(J307:L307)</f>
        <v>159373</v>
      </c>
      <c r="N307" s="260">
        <f>SUM(N299:N305)</f>
        <v>81055</v>
      </c>
      <c r="O307" s="260">
        <f>SUM(O299:O305)</f>
        <v>99159</v>
      </c>
      <c r="P307" s="260">
        <f>SUM(P299:P305)</f>
        <v>99786</v>
      </c>
      <c r="Q307" s="49">
        <f>SUM(N307:P307)</f>
        <v>280000</v>
      </c>
      <c r="R307" s="39">
        <f>+E307+I307+M307+Q307</f>
        <v>786033</v>
      </c>
    </row>
    <row r="308" spans="1:18" ht="15.75" customHeight="1" x14ac:dyDescent="0.3">
      <c r="A308" s="262" t="s">
        <v>1897</v>
      </c>
      <c r="B308" s="172">
        <f>(B307/B10)/1.983</f>
        <v>1666.4226571014917</v>
      </c>
      <c r="C308" s="172">
        <f>(C307/C10)/1.983</f>
        <v>607.17887760247811</v>
      </c>
      <c r="D308" s="172">
        <f>(D307/D10)/1.983</f>
        <v>729.65366909049499</v>
      </c>
      <c r="E308" s="38" t="s">
        <v>852</v>
      </c>
      <c r="F308" s="172">
        <f>(F307/F10)/1.983</f>
        <v>791.09093965372324</v>
      </c>
      <c r="G308" s="172">
        <f>(G307/G10)/1.983</f>
        <v>1081.5317293771247</v>
      </c>
      <c r="H308" s="172">
        <f>(H307/H10)/1.983</f>
        <v>875.87829887376017</v>
      </c>
      <c r="I308" s="38" t="s">
        <v>852</v>
      </c>
      <c r="J308" s="172">
        <f>(J307/J10)/1.983</f>
        <v>912.17282384136115</v>
      </c>
      <c r="K308" s="172">
        <f>(K307/K10)/1.983</f>
        <v>791.68090055796858</v>
      </c>
      <c r="L308" s="172">
        <f>(L307/L10)/1.983</f>
        <v>918.33921667507138</v>
      </c>
      <c r="M308" s="38" t="s">
        <v>852</v>
      </c>
      <c r="N308" s="172">
        <f>(N307/N10)/1.983</f>
        <v>1318.546353683731</v>
      </c>
      <c r="O308" s="172">
        <f>(O307/O10)/1.983</f>
        <v>1666.8179525970752</v>
      </c>
      <c r="P308" s="172">
        <f>(P307/P10)/1.983</f>
        <v>1623.2492313698697</v>
      </c>
      <c r="Q308" s="50" t="s">
        <v>852</v>
      </c>
      <c r="R308" s="38" t="s">
        <v>852</v>
      </c>
    </row>
    <row r="309" spans="1:18" ht="15.75" customHeight="1" x14ac:dyDescent="0.3">
      <c r="A309" s="262" t="s">
        <v>154</v>
      </c>
      <c r="B309" s="172">
        <f>(+B307+B471)+B316</f>
        <v>124151</v>
      </c>
      <c r="C309" s="172">
        <f>(+C307+C471)+C316</f>
        <v>58663</v>
      </c>
      <c r="D309" s="172">
        <f>(+D307+D471)+D316</f>
        <v>132094</v>
      </c>
      <c r="E309" s="38">
        <f>SUM(B309:D309)</f>
        <v>314908</v>
      </c>
      <c r="F309" s="172">
        <f>(+F307+F471)+F316</f>
        <v>154149</v>
      </c>
      <c r="G309" s="172">
        <f>(+G307+G471)+G316</f>
        <v>168828</v>
      </c>
      <c r="H309" s="172">
        <f>(+H307+H471)+H316</f>
        <v>75794</v>
      </c>
      <c r="I309" s="38">
        <f>SUM(F309:H309)</f>
        <v>398771</v>
      </c>
      <c r="J309" s="172">
        <f>(+J307+J471)+J316</f>
        <v>68658</v>
      </c>
      <c r="K309" s="172">
        <f>(+K307+K471)+K316</f>
        <v>65923</v>
      </c>
      <c r="L309" s="172">
        <f>(+L307+L471)+L316</f>
        <v>127463</v>
      </c>
      <c r="M309" s="38">
        <f>SUM(J309:L309)</f>
        <v>262044</v>
      </c>
      <c r="N309" s="172">
        <f>(+N307+N471)+N316</f>
        <v>125637</v>
      </c>
      <c r="O309" s="172">
        <f>(+O307+O471)+O316</f>
        <v>124524</v>
      </c>
      <c r="P309" s="172">
        <f>(+P307+P471)+P316</f>
        <v>138250</v>
      </c>
      <c r="Q309" s="50">
        <f>SUM(N309:P309)</f>
        <v>388411</v>
      </c>
      <c r="R309" s="38">
        <f>+E309+I309+M309+Q309</f>
        <v>1364134</v>
      </c>
    </row>
    <row r="310" spans="1:18" ht="16.5" customHeight="1" thickBot="1" x14ac:dyDescent="0.35">
      <c r="A310" s="263" t="s">
        <v>2110</v>
      </c>
      <c r="B310" s="264">
        <f>(B309/B10)/1.983</f>
        <v>2019.6021017357214</v>
      </c>
      <c r="C310" s="264">
        <f>(C309/C10)/1.983</f>
        <v>1056.5341113752611</v>
      </c>
      <c r="D310" s="264">
        <f>(D309/D10)/1.983</f>
        <v>2148.8133001480323</v>
      </c>
      <c r="E310" s="40" t="s">
        <v>852</v>
      </c>
      <c r="F310" s="264">
        <f>(F309/F10)/1.983</f>
        <v>2591.1749873928393</v>
      </c>
      <c r="G310" s="264">
        <f>(G309/G10)/1.983</f>
        <v>2746.3764579571516</v>
      </c>
      <c r="H310" s="264">
        <f>(H309/H10)/1.983</f>
        <v>1274.0628677088587</v>
      </c>
      <c r="I310" s="40" t="s">
        <v>852</v>
      </c>
      <c r="J310" s="264">
        <f>(J309/J10)/1.983</f>
        <v>1116.8805817188033</v>
      </c>
      <c r="K310" s="264">
        <f>(K309/K10)/1.983</f>
        <v>1072.3895043352366</v>
      </c>
      <c r="L310" s="264">
        <f>(L309/L10)/1.983</f>
        <v>2142.5953941838961</v>
      </c>
      <c r="M310" s="40" t="s">
        <v>852</v>
      </c>
      <c r="N310" s="264">
        <f>(N309/N10)/1.983</f>
        <v>2043.7753159923868</v>
      </c>
      <c r="O310" s="264">
        <f>(O309/O10)/1.983</f>
        <v>2093.1921331316189</v>
      </c>
      <c r="P310" s="264">
        <f>(P309/P10)/1.983</f>
        <v>2248.9548256958342</v>
      </c>
      <c r="Q310" s="51" t="s">
        <v>852</v>
      </c>
      <c r="R310" s="40" t="s">
        <v>852</v>
      </c>
    </row>
    <row r="311" spans="1:18" ht="16.5" customHeight="1" thickBot="1" x14ac:dyDescent="0.35">
      <c r="A311" s="271" t="s">
        <v>1700</v>
      </c>
      <c r="B311" s="229">
        <f>+(B309-(B139+B140+B141+B142+B144+B145+B146+B148+B149+B150+B153+B155+B157++B162+B163+B164+B166+B167+B169+B170+B171+B172+B173+B182+B183+B184+B195+B199+B202+B203+B210+B217+B218+B220+B221+B233+B235+B236+B237+B238+B240+B241+B242+B250+B259+B260+B262+B271+B282+B283+B285+B286+B289+B290+B294+B300+B304+B312)-B316)/(B10*1.983)</f>
        <v>679.06235257755429</v>
      </c>
      <c r="C311" s="229">
        <f>+(C309-(C139+C140+C141+C142+C144+C145+C146+C148+C149+C150+C153+C155+C157++C162+C163+C164+C166+C167+C169+C170+C171+C172+C173+C182+C183+C184+C195+C199+C202+C203+C210+C217+C218+C220+C221+C233+C235+C236+C237+C238+C240+C241+C242+C250+C259+C260+C262+C271+C282+C283+C285+C286+C289+C290+C294+C300+C304+C312)-C316)/(C10*1.983)</f>
        <v>799.13190692313231</v>
      </c>
      <c r="D311" s="229">
        <f>+(D309-(D139+D140+D141+D142+D144+D145+D146+D148+D149+D150+D153+D155+D157++D162+D163+D164+D166+D167+D169+D170+D171+D172+D173+D182+D183+D184+D195+D199+D202+D203+D210+D217+D218+D220+D221+D233+D235+D236+D237+D238+D240+D241+D242+D250+D259+D260+D262+D271+D282+D283+D285+D286+D289+D290+D294+D300+D304+D312)-D316)/(D10*1.983)</f>
        <v>1588.404665462886</v>
      </c>
      <c r="E311" s="227"/>
      <c r="F311" s="229">
        <f>+(F309-(F139+F140+F141+F142+F144+F145+F146+F148+F149+F150+F153+F155+F157++F162+F163+F164+F166+F167+F169+F170+F171+F172+F173+F182+F183+F184+F195+F199+F202+F203+F210+F217+F218+F220+F221+F233+F235+F236+F237+F238+F240+F241+F242+F250+F259+F260+F262+F271+F282+F283+F285+F286+F289+F290+F294+F300+F304+F312)-F316)/(F10*1.983)</f>
        <v>2150.7816439737771</v>
      </c>
      <c r="G311" s="229">
        <f>+(G309-(G139+G140+G141+G142+G144+G145+G146+G148+G149+G150+G153+G155+G157++G162+G163+G164+G166+G167+G169+G170+G171+G172+G173+G182+G183+G184+G195+G199+G202+G203+G210+G217+G218+G220+G221+G233+G235+G236+G237+G238+G240+G241+G242+G250+G259+G260+G262+G271+G282+G283+G285+G286+G289+G290+G294+G300+G304+G312)-G316)/(G10*1.983)</f>
        <v>2127.8447448473312</v>
      </c>
      <c r="H311" s="229">
        <f>+(H309-(H139+H140+H141+H142+H144+H145+H146+H148+H149+H150+H153+H155+H157++H162+H163+H164+H166+H167+H169+H170+H171+H172+H173+H182+H183+H184+H195+H199+H202+H203+H210+H217+H218+H220+H221+H233+H235+H236+H237+H238+H240+H241+H242+H250+H259+H260+H262+H271+H282+H283+H285+H286+H289+H290+H294+H300+H304+H312)-H316)/(H10*1.983)</f>
        <v>2966.5826189275508</v>
      </c>
      <c r="I311" s="227"/>
      <c r="J311" s="229">
        <f>+(J309-(J139+J140+J141+J142+J144+J145+J146+J148+J149+J150+J153+J155+J157++J162+J163+J164+J166+J167+J169+J170+J171+J172+J173+J182+J183+J184+J195+J199+J202+J203+J210+J217+J218+J220+J221+J233+J235+J236+J237+J238+J240+J241+J242+J250+J259+J260+J262+J271+J282+J283+J285+J286+J289+J290+J294+J300+J304+J312)-J316)/(J10*1.983)</f>
        <v>2514.3721633888044</v>
      </c>
      <c r="K311" s="229">
        <f>+(K309-(K139+K140+K141+K142+K144+K145+K146+K148+K149+K150+K153+K155+K157++K162+K163+K164+K166+K167+K169+K170+K171+K172+K173+K182+K183+K184+K195+K199+K202+K203+K210+K217+K218+K220+K221+K233+K235+K236+K237+K238+K240+K241+K242+K250+K259+K260+K262+K271+K282+K283+K285+K286+K289+K290+K294+K300+K304+K312)-K316)/(K10*1.983)</f>
        <v>2461.1130089632843</v>
      </c>
      <c r="L311" s="229">
        <f>+(L309-(L139+L140+L141+L142+L144+L145+L146+L148+L149+L150+L153+L155+L157++L162+L163+L164+L166+L167+L169+L170+L171+L172+L173+L182+L183+L184+L195+L199+L202+L203+L210+L217+L218+L220+L221+L233+L235+L236+L237+L238+L240+L241+L242+L250+L259+L260+L262+L271+L282+L283+L285+L286+L289+L290+L294+L300+L304+L312)-L316)/(L10*1.983)</f>
        <v>2017.9189779794922</v>
      </c>
      <c r="M311" s="227"/>
      <c r="N311" s="229">
        <f>+(N309-(N139+N140+N141+N142+N144+N145+N146+N148+N149+N150+N153+N155+N157++N162+N163+N164+N166+N167+N169+N170+N171+N172+N173+N182+N183+N184+N195+N199+N202+N203+N210+N217+N218+N220+N221+N233+N235+N236+N237+N238+N240+N241+N242+N250+N259+N260+N262+N271+N282+N283+N285+N286+N289+N290+N294+N300+N304+N312)-N316)/(N10*1.983)</f>
        <v>1112.943894067314</v>
      </c>
      <c r="O311" s="229">
        <f>+(O309-(O139+O140+O141+O142+O144+O145+O146+O148+O149+O150+O153+O155+O157++O162+O163+O164+O166+O167+O169+O170+O171+O172+O173+O182+O183+O184+O195+O199+O202+O203+O210+O217+O218+O220+O221+O233+O235+O236+O237+O238+O240+O241+O242+O250+O259+O260+O262+O271+O282+O283+O285+O286+O289+O290+O294+O300+O304+O312)-O316)/(O10*1.983)</f>
        <v>782.40040342914779</v>
      </c>
      <c r="P311" s="229">
        <f>+(P309-(P139+P140+P141+P142+P144+P145+P146+P148+P149+P150+P153+P155+P157++P162+P163+P164+P166+P167+P169+P170+P171+P172+P173+P182+P183+P184+P195+P199+P202+P203+P210+P217+P218+P220+P221+P233+P235+P236+P237+P238+P240+P241+P242+P250+P259+P260+P262+P271+P282+P283+P285+P286+P289+P290+P294+P300+P304+P312)-P316)/(P10*1.983)</f>
        <v>997.75511200039034</v>
      </c>
      <c r="Q311" s="228"/>
      <c r="R311" s="227"/>
    </row>
    <row r="312" spans="1:18" ht="15.75" customHeight="1" x14ac:dyDescent="0.3">
      <c r="A312" s="541" t="s">
        <v>2272</v>
      </c>
      <c r="B312" s="172">
        <v>2410</v>
      </c>
      <c r="C312" s="172">
        <v>2171</v>
      </c>
      <c r="D312" s="172">
        <v>2419</v>
      </c>
      <c r="E312" s="172"/>
      <c r="F312" s="172">
        <v>2311</v>
      </c>
      <c r="G312" s="172">
        <v>2503</v>
      </c>
      <c r="H312" s="172">
        <v>2198</v>
      </c>
      <c r="I312" s="172"/>
      <c r="J312" s="172">
        <v>2406</v>
      </c>
      <c r="K312" s="172">
        <v>2398</v>
      </c>
      <c r="L312" s="172">
        <v>2288</v>
      </c>
      <c r="M312" s="172"/>
      <c r="N312" s="172">
        <v>2551</v>
      </c>
      <c r="O312" s="172">
        <v>2908</v>
      </c>
      <c r="P312" s="172">
        <v>2443</v>
      </c>
      <c r="Q312" s="172"/>
      <c r="R312" s="17"/>
    </row>
    <row r="313" spans="1:18" ht="15.75" customHeight="1" thickBot="1" x14ac:dyDescent="0.35">
      <c r="A313" s="18"/>
      <c r="B313" s="172"/>
      <c r="C313" s="172"/>
      <c r="D313" s="172"/>
      <c r="E313" s="172"/>
      <c r="F313" s="172"/>
      <c r="G313" s="172"/>
      <c r="H313" s="172"/>
      <c r="I313" s="172"/>
      <c r="J313" s="172"/>
      <c r="K313" s="172"/>
      <c r="L313" s="172"/>
      <c r="M313" s="172"/>
      <c r="N313" s="172"/>
      <c r="O313" s="172"/>
      <c r="P313" s="172"/>
      <c r="Q313" s="172"/>
      <c r="R313" s="17"/>
    </row>
    <row r="314" spans="1:18" ht="16.5" customHeight="1" thickBot="1" x14ac:dyDescent="0.35">
      <c r="A314" s="240" t="s">
        <v>1754</v>
      </c>
      <c r="B314" s="4" t="s">
        <v>2090</v>
      </c>
      <c r="C314" s="5" t="s">
        <v>2091</v>
      </c>
      <c r="D314" s="5" t="s">
        <v>2234</v>
      </c>
      <c r="E314" s="33" t="s">
        <v>1594</v>
      </c>
      <c r="F314" s="5" t="s">
        <v>2235</v>
      </c>
      <c r="G314" s="5" t="s">
        <v>2236</v>
      </c>
      <c r="H314" s="5" t="s">
        <v>2237</v>
      </c>
      <c r="I314" s="35" t="s">
        <v>1595</v>
      </c>
      <c r="J314" s="5" t="s">
        <v>1504</v>
      </c>
      <c r="K314" s="5" t="s">
        <v>1505</v>
      </c>
      <c r="L314" s="5" t="s">
        <v>1506</v>
      </c>
      <c r="M314" s="35" t="s">
        <v>1596</v>
      </c>
      <c r="N314" s="5" t="s">
        <v>1507</v>
      </c>
      <c r="O314" s="5" t="s">
        <v>1508</v>
      </c>
      <c r="P314" s="5" t="s">
        <v>1509</v>
      </c>
      <c r="Q314" s="35" t="s">
        <v>1597</v>
      </c>
      <c r="R314" s="36" t="s">
        <v>1510</v>
      </c>
    </row>
    <row r="315" spans="1:18" ht="16.5" customHeight="1" thickBot="1" x14ac:dyDescent="0.35">
      <c r="A315" s="44"/>
      <c r="B315" s="258"/>
      <c r="C315" s="258"/>
      <c r="D315" s="258"/>
      <c r="E315" s="265"/>
      <c r="F315" s="258"/>
      <c r="G315" s="258"/>
      <c r="H315" s="258"/>
      <c r="I315" s="265"/>
      <c r="J315" s="258"/>
      <c r="K315" s="258"/>
      <c r="L315" s="258"/>
      <c r="M315" s="265"/>
      <c r="N315" s="258"/>
      <c r="O315" s="258"/>
      <c r="P315" s="258"/>
      <c r="Q315" s="265"/>
      <c r="R315" s="52"/>
    </row>
    <row r="316" spans="1:18" ht="15.75" customHeight="1" thickBot="1" x14ac:dyDescent="0.35">
      <c r="A316" s="266" t="s">
        <v>1000</v>
      </c>
      <c r="B316" s="172">
        <v>-3647</v>
      </c>
      <c r="C316" s="172">
        <v>-7866</v>
      </c>
      <c r="D316" s="172">
        <v>-207</v>
      </c>
      <c r="E316" s="38">
        <f>SUM(B316:D316)</f>
        <v>-11720</v>
      </c>
      <c r="F316" s="172">
        <v>-6</v>
      </c>
      <c r="G316" s="172">
        <v>-1492</v>
      </c>
      <c r="H316" s="172">
        <v>-117578</v>
      </c>
      <c r="I316" s="38">
        <f>SUM(F316:H316)</f>
        <v>-119076</v>
      </c>
      <c r="J316" s="356">
        <v>-100321</v>
      </c>
      <c r="K316" s="172">
        <v>-94421</v>
      </c>
      <c r="L316" s="356">
        <v>-13817</v>
      </c>
      <c r="M316" s="38">
        <f>SUM(J316:L316)</f>
        <v>-208559</v>
      </c>
      <c r="N316" s="172"/>
      <c r="O316" s="172"/>
      <c r="P316" s="172">
        <v>-76</v>
      </c>
      <c r="Q316" s="38">
        <f>SUM(N316:P316)</f>
        <v>-76</v>
      </c>
      <c r="R316" s="38">
        <f>+E316+I316+M316+Q316</f>
        <v>-339431</v>
      </c>
    </row>
    <row r="317" spans="1:18" ht="16.5" customHeight="1" thickBot="1" x14ac:dyDescent="0.35">
      <c r="A317" s="272"/>
      <c r="B317" s="273"/>
      <c r="C317" s="273"/>
      <c r="D317" s="273"/>
      <c r="E317" s="53"/>
      <c r="F317" s="273"/>
      <c r="G317" s="273"/>
      <c r="H317" s="273"/>
      <c r="I317" s="53"/>
      <c r="J317" s="273"/>
      <c r="K317" s="273"/>
      <c r="L317" s="273"/>
      <c r="M317" s="53"/>
      <c r="N317" s="273"/>
      <c r="O317" s="273"/>
      <c r="P317" s="273"/>
      <c r="Q317" s="53"/>
      <c r="R317" s="54"/>
    </row>
    <row r="318" spans="1:18" ht="15.75" customHeight="1" x14ac:dyDescent="0.3">
      <c r="A318" s="234" t="s">
        <v>662</v>
      </c>
      <c r="B318" s="172">
        <f>B316</f>
        <v>-3647</v>
      </c>
      <c r="C318" s="172">
        <f>C316</f>
        <v>-7866</v>
      </c>
      <c r="D318" s="172">
        <f>D316</f>
        <v>-207</v>
      </c>
      <c r="E318" s="38">
        <f>SUM(B318:D318)</f>
        <v>-11720</v>
      </c>
      <c r="F318" s="172">
        <f>F316</f>
        <v>-6</v>
      </c>
      <c r="G318" s="172">
        <f>G316</f>
        <v>-1492</v>
      </c>
      <c r="H318" s="172">
        <f>H316</f>
        <v>-117578</v>
      </c>
      <c r="I318" s="38">
        <f>SUM(F318:H318)</f>
        <v>-119076</v>
      </c>
      <c r="J318" s="172">
        <f>J316</f>
        <v>-100321</v>
      </c>
      <c r="K318" s="172">
        <f>K316</f>
        <v>-94421</v>
      </c>
      <c r="L318" s="172">
        <f>L316</f>
        <v>-13817</v>
      </c>
      <c r="M318" s="38">
        <f>SUM(J318:L318)</f>
        <v>-208559</v>
      </c>
      <c r="N318" s="172">
        <f>N316</f>
        <v>0</v>
      </c>
      <c r="O318" s="172">
        <f>O316</f>
        <v>0</v>
      </c>
      <c r="P318" s="172">
        <f>P316</f>
        <v>-76</v>
      </c>
      <c r="Q318" s="38">
        <f>SUM(N318:P318)</f>
        <v>-76</v>
      </c>
      <c r="R318" s="55">
        <f>R316</f>
        <v>-339431</v>
      </c>
    </row>
    <row r="319" spans="1:18" ht="16.5" customHeight="1" thickBot="1" x14ac:dyDescent="0.35">
      <c r="A319" s="237" t="s">
        <v>1897</v>
      </c>
      <c r="B319" s="238">
        <f>(B318/B10)/1.983</f>
        <v>-59.32685894620402</v>
      </c>
      <c r="C319" s="238">
        <f>(C318/C10)/1.983</f>
        <v>-141.66846768964771</v>
      </c>
      <c r="D319" s="238">
        <f>(D318/D10)/1.983</f>
        <v>-3.3673319994143771</v>
      </c>
      <c r="E319" s="40"/>
      <c r="F319" s="238">
        <f>(F318/F10)/1.983</f>
        <v>-0.10085728693898134</v>
      </c>
      <c r="G319" s="238">
        <f>(G318/G10)/1.983</f>
        <v>-24.270818082735509</v>
      </c>
      <c r="H319" s="238">
        <f>(H318/H10)/1.983</f>
        <v>-1976.4330139519247</v>
      </c>
      <c r="I319" s="40"/>
      <c r="J319" s="238">
        <f>(J318/J10)/1.983</f>
        <v>-1631.9522391944429</v>
      </c>
      <c r="K319" s="238">
        <f>(K318/K10)/1.983</f>
        <v>-1535.9751435589608</v>
      </c>
      <c r="L319" s="238">
        <f>(L318/L10)/1.983</f>
        <v>-232.25752227265085</v>
      </c>
      <c r="M319" s="40"/>
      <c r="N319" s="238">
        <f>(N318/N10)/1.983</f>
        <v>0</v>
      </c>
      <c r="O319" s="238">
        <f>(O318/O10)/1.983</f>
        <v>0</v>
      </c>
      <c r="P319" s="238">
        <f>(P318/P10)/1.983</f>
        <v>-1.2363151302197712</v>
      </c>
      <c r="Q319" s="40"/>
      <c r="R319" s="52" t="s">
        <v>852</v>
      </c>
    </row>
    <row r="320" spans="1:18" ht="15.75" customHeight="1" x14ac:dyDescent="0.3">
      <c r="A320" s="17"/>
      <c r="B320" s="172"/>
      <c r="C320" s="172"/>
      <c r="D320" s="172"/>
      <c r="E320" s="172"/>
      <c r="F320" s="172"/>
      <c r="G320" s="172"/>
      <c r="H320" s="172"/>
      <c r="I320" s="172"/>
      <c r="J320" s="172"/>
      <c r="K320" s="172"/>
      <c r="L320" s="172"/>
      <c r="M320" s="172"/>
      <c r="N320" s="172"/>
      <c r="O320" s="172"/>
      <c r="P320" s="172"/>
      <c r="Q320" s="172"/>
      <c r="R320" s="17"/>
    </row>
    <row r="321" spans="1:20" ht="16.5" customHeight="1" thickBot="1" x14ac:dyDescent="0.35">
      <c r="A321" s="24"/>
      <c r="B321" s="238"/>
      <c r="C321" s="238"/>
      <c r="D321" s="238"/>
      <c r="E321" s="238"/>
      <c r="F321" s="238"/>
      <c r="G321" s="238"/>
      <c r="H321" s="238"/>
      <c r="I321" s="238"/>
      <c r="J321" s="238"/>
      <c r="K321" s="238"/>
      <c r="L321" s="238"/>
      <c r="M321" s="238"/>
      <c r="N321" s="238"/>
      <c r="O321" s="238"/>
      <c r="P321" s="238"/>
      <c r="Q321" s="238"/>
      <c r="R321" s="24"/>
    </row>
    <row r="322" spans="1:20" ht="16.5" customHeight="1" thickBot="1" x14ac:dyDescent="0.35">
      <c r="A322" s="274" t="s">
        <v>89</v>
      </c>
      <c r="B322" s="4" t="s">
        <v>2090</v>
      </c>
      <c r="C322" s="5" t="s">
        <v>2091</v>
      </c>
      <c r="D322" s="5" t="s">
        <v>2234</v>
      </c>
      <c r="E322" s="33" t="s">
        <v>1594</v>
      </c>
      <c r="F322" s="5" t="s">
        <v>2235</v>
      </c>
      <c r="G322" s="5" t="s">
        <v>2236</v>
      </c>
      <c r="H322" s="5" t="s">
        <v>2237</v>
      </c>
      <c r="I322" s="35" t="s">
        <v>1595</v>
      </c>
      <c r="J322" s="5" t="s">
        <v>1504</v>
      </c>
      <c r="K322" s="5" t="s">
        <v>1505</v>
      </c>
      <c r="L322" s="5" t="s">
        <v>1506</v>
      </c>
      <c r="M322" s="35" t="s">
        <v>1596</v>
      </c>
      <c r="N322" s="5" t="s">
        <v>1507</v>
      </c>
      <c r="O322" s="5" t="s">
        <v>1508</v>
      </c>
      <c r="P322" s="5" t="s">
        <v>1509</v>
      </c>
      <c r="Q322" s="35" t="s">
        <v>1597</v>
      </c>
      <c r="R322" s="36" t="s">
        <v>1510</v>
      </c>
    </row>
    <row r="323" spans="1:20" ht="16.5" customHeight="1" thickBot="1" x14ac:dyDescent="0.35">
      <c r="A323" s="37"/>
      <c r="B323" s="258"/>
      <c r="C323" s="258"/>
      <c r="D323" s="258"/>
      <c r="E323" s="254"/>
      <c r="F323" s="258"/>
      <c r="G323" s="258"/>
      <c r="H323" s="258"/>
      <c r="I323" s="265"/>
      <c r="J323" s="258"/>
      <c r="K323" s="258"/>
      <c r="L323" s="258"/>
      <c r="M323" s="265"/>
      <c r="N323" s="258"/>
      <c r="O323" s="258"/>
      <c r="P323" s="258"/>
      <c r="Q323" s="265"/>
      <c r="R323" s="55"/>
    </row>
    <row r="324" spans="1:20" ht="15.75" customHeight="1" x14ac:dyDescent="0.3">
      <c r="A324" s="234" t="s">
        <v>2417</v>
      </c>
      <c r="B324" s="10"/>
      <c r="C324" s="10"/>
      <c r="D324" s="10"/>
      <c r="E324" s="38" t="s">
        <v>852</v>
      </c>
      <c r="F324" s="10" t="s">
        <v>852</v>
      </c>
      <c r="G324" s="10" t="s">
        <v>852</v>
      </c>
      <c r="H324" s="10" t="s">
        <v>852</v>
      </c>
      <c r="I324" s="38" t="s">
        <v>852</v>
      </c>
      <c r="J324" s="10" t="s">
        <v>852</v>
      </c>
      <c r="K324" s="10" t="s">
        <v>852</v>
      </c>
      <c r="L324" s="10" t="s">
        <v>852</v>
      </c>
      <c r="M324" s="38" t="s">
        <v>852</v>
      </c>
      <c r="N324" s="10" t="s">
        <v>852</v>
      </c>
      <c r="O324" s="10" t="s">
        <v>852</v>
      </c>
      <c r="P324" s="10" t="s">
        <v>852</v>
      </c>
      <c r="Q324" s="38" t="s">
        <v>852</v>
      </c>
      <c r="R324" s="39" t="s">
        <v>852</v>
      </c>
    </row>
    <row r="325" spans="1:20" ht="15.75" customHeight="1" x14ac:dyDescent="0.3">
      <c r="A325" s="234" t="s">
        <v>2160</v>
      </c>
      <c r="B325" s="10"/>
      <c r="C325" s="10"/>
      <c r="D325" s="10"/>
      <c r="E325" s="38" t="s">
        <v>852</v>
      </c>
      <c r="F325" s="10"/>
      <c r="G325" s="10"/>
      <c r="H325" s="10"/>
      <c r="I325" s="38" t="s">
        <v>852</v>
      </c>
      <c r="J325" s="10"/>
      <c r="K325" s="10"/>
      <c r="L325" s="10"/>
      <c r="M325" s="38" t="s">
        <v>852</v>
      </c>
      <c r="N325" s="10"/>
      <c r="O325" s="10"/>
      <c r="P325" s="10"/>
      <c r="Q325" s="38" t="s">
        <v>852</v>
      </c>
      <c r="R325" s="38" t="s">
        <v>852</v>
      </c>
    </row>
    <row r="326" spans="1:20" ht="15.75" customHeight="1" x14ac:dyDescent="0.3">
      <c r="A326" s="410" t="s">
        <v>2869</v>
      </c>
      <c r="B326" s="10"/>
      <c r="C326" s="10"/>
      <c r="D326" s="10"/>
      <c r="E326" s="38">
        <f t="shared" ref="E326:E355" si="100">SUM(B326:D326)</f>
        <v>0</v>
      </c>
      <c r="F326" s="10"/>
      <c r="G326" s="10"/>
      <c r="H326" s="10"/>
      <c r="I326" s="38">
        <f t="shared" ref="I326:I355" si="101">SUM(F326:H326)</f>
        <v>0</v>
      </c>
      <c r="J326" s="10"/>
      <c r="K326" s="10"/>
      <c r="L326" s="10"/>
      <c r="M326" s="38">
        <f t="shared" ref="M326:M355" si="102">SUM(J326:L326)</f>
        <v>0</v>
      </c>
      <c r="N326" s="10"/>
      <c r="O326" s="10">
        <v>32</v>
      </c>
      <c r="P326" s="10">
        <v>107</v>
      </c>
      <c r="Q326" s="38">
        <f t="shared" ref="Q326:Q355" si="103">SUM(N326:P326)</f>
        <v>139</v>
      </c>
      <c r="R326" s="38">
        <f t="shared" ref="R326:R355" si="104">+E326+I326+M326+Q326</f>
        <v>139</v>
      </c>
      <c r="T326" t="s">
        <v>2870</v>
      </c>
    </row>
    <row r="327" spans="1:20" ht="15.75" customHeight="1" x14ac:dyDescent="0.3">
      <c r="A327" s="410" t="s">
        <v>2993</v>
      </c>
      <c r="B327" s="10"/>
      <c r="C327" s="10"/>
      <c r="D327" s="10"/>
      <c r="E327" s="38">
        <f t="shared" si="100"/>
        <v>0</v>
      </c>
      <c r="F327" s="10"/>
      <c r="G327" s="10"/>
      <c r="H327" s="10"/>
      <c r="I327" s="38">
        <f t="shared" si="101"/>
        <v>0</v>
      </c>
      <c r="J327" s="10">
        <v>534</v>
      </c>
      <c r="K327" s="10"/>
      <c r="L327" s="10"/>
      <c r="M327" s="38">
        <f t="shared" si="102"/>
        <v>534</v>
      </c>
      <c r="N327" s="10"/>
      <c r="O327" s="10">
        <v>100</v>
      </c>
      <c r="P327" s="10"/>
      <c r="Q327" s="38">
        <f t="shared" si="103"/>
        <v>100</v>
      </c>
      <c r="R327" s="38">
        <f>+E327+I327+M327+Q327</f>
        <v>634</v>
      </c>
    </row>
    <row r="328" spans="1:20" ht="15.75" customHeight="1" x14ac:dyDescent="0.3">
      <c r="A328" s="410" t="s">
        <v>349</v>
      </c>
      <c r="B328" s="10">
        <v>45</v>
      </c>
      <c r="C328" s="10">
        <v>38</v>
      </c>
      <c r="D328" s="10">
        <v>92</v>
      </c>
      <c r="E328" s="38">
        <f t="shared" si="100"/>
        <v>175</v>
      </c>
      <c r="F328" s="10">
        <v>78</v>
      </c>
      <c r="G328" s="10">
        <v>110</v>
      </c>
      <c r="H328" s="10">
        <v>364</v>
      </c>
      <c r="I328" s="38">
        <f t="shared" si="101"/>
        <v>552</v>
      </c>
      <c r="J328" s="10">
        <v>283</v>
      </c>
      <c r="K328" s="10">
        <v>286</v>
      </c>
      <c r="L328" s="10">
        <v>199</v>
      </c>
      <c r="M328" s="38">
        <f t="shared" si="102"/>
        <v>768</v>
      </c>
      <c r="N328" s="10">
        <v>141</v>
      </c>
      <c r="O328" s="10">
        <v>74</v>
      </c>
      <c r="P328" s="10">
        <v>127</v>
      </c>
      <c r="Q328" s="38">
        <f t="shared" si="103"/>
        <v>342</v>
      </c>
      <c r="R328" s="38">
        <f t="shared" si="104"/>
        <v>1837</v>
      </c>
      <c r="T328" t="s">
        <v>2174</v>
      </c>
    </row>
    <row r="329" spans="1:20" ht="15.75" customHeight="1" x14ac:dyDescent="0.3">
      <c r="A329" s="410" t="s">
        <v>3065</v>
      </c>
      <c r="B329" s="10"/>
      <c r="C329" s="10"/>
      <c r="D329" s="10"/>
      <c r="E329" s="38">
        <f t="shared" si="100"/>
        <v>0</v>
      </c>
      <c r="F329" s="10"/>
      <c r="G329" s="10"/>
      <c r="H329" s="10"/>
      <c r="I329" s="38">
        <f t="shared" si="101"/>
        <v>0</v>
      </c>
      <c r="J329" s="10">
        <v>1700</v>
      </c>
      <c r="K329" s="10"/>
      <c r="L329" s="10"/>
      <c r="M329" s="38">
        <f t="shared" si="102"/>
        <v>1700</v>
      </c>
      <c r="N329" s="10"/>
      <c r="O329" s="10"/>
      <c r="P329" s="10"/>
      <c r="Q329" s="38">
        <f t="shared" si="103"/>
        <v>0</v>
      </c>
      <c r="R329" s="38">
        <f t="shared" si="104"/>
        <v>1700</v>
      </c>
      <c r="T329" t="s">
        <v>2776</v>
      </c>
    </row>
    <row r="330" spans="1:20" ht="15.75" customHeight="1" x14ac:dyDescent="0.3">
      <c r="A330" s="410" t="s">
        <v>2983</v>
      </c>
      <c r="B330" s="10"/>
      <c r="C330" s="10"/>
      <c r="D330" s="10"/>
      <c r="E330" s="38">
        <f t="shared" ref="E330:E335" si="105">SUM(B330:D330)</f>
        <v>0</v>
      </c>
      <c r="F330" s="10">
        <v>2300</v>
      </c>
      <c r="G330" s="10"/>
      <c r="H330" s="10"/>
      <c r="I330" s="38">
        <f t="shared" ref="I330:I335" si="106">SUM(F330:H330)</f>
        <v>2300</v>
      </c>
      <c r="J330" s="10"/>
      <c r="K330" s="10"/>
      <c r="L330" s="10"/>
      <c r="M330" s="38">
        <f t="shared" ref="M330:M335" si="107">SUM(J330:L330)</f>
        <v>0</v>
      </c>
      <c r="N330" s="10"/>
      <c r="O330" s="10"/>
      <c r="P330" s="10"/>
      <c r="Q330" s="38">
        <f>SUM(N330:P330)</f>
        <v>0</v>
      </c>
      <c r="R330" s="38">
        <f t="shared" si="104"/>
        <v>2300</v>
      </c>
      <c r="T330" t="s">
        <v>2174</v>
      </c>
    </row>
    <row r="331" spans="1:20" ht="15.75" customHeight="1" x14ac:dyDescent="0.3">
      <c r="A331" s="410" t="s">
        <v>3066</v>
      </c>
      <c r="B331" s="10"/>
      <c r="C331" s="10"/>
      <c r="D331" s="10"/>
      <c r="E331" s="38">
        <f t="shared" si="105"/>
        <v>0</v>
      </c>
      <c r="F331" s="10"/>
      <c r="G331" s="10"/>
      <c r="H331" s="10"/>
      <c r="I331" s="38">
        <f t="shared" si="106"/>
        <v>0</v>
      </c>
      <c r="J331" s="10">
        <v>600</v>
      </c>
      <c r="K331" s="10"/>
      <c r="L331" s="10"/>
      <c r="M331" s="38">
        <f t="shared" si="107"/>
        <v>600</v>
      </c>
      <c r="N331" s="10"/>
      <c r="O331" s="10"/>
      <c r="P331" s="10"/>
      <c r="Q331" s="38">
        <f>SUM(N331:P331)</f>
        <v>0</v>
      </c>
      <c r="R331" s="38">
        <f t="shared" si="104"/>
        <v>600</v>
      </c>
      <c r="T331" t="s">
        <v>2776</v>
      </c>
    </row>
    <row r="332" spans="1:20" ht="15.75" customHeight="1" x14ac:dyDescent="0.3">
      <c r="A332" s="410" t="s">
        <v>2873</v>
      </c>
      <c r="B332" s="10">
        <f>10+22</f>
        <v>32</v>
      </c>
      <c r="C332" s="10">
        <f>15+86</f>
        <v>101</v>
      </c>
      <c r="D332" s="10">
        <v>225</v>
      </c>
      <c r="E332" s="38">
        <f t="shared" si="105"/>
        <v>358</v>
      </c>
      <c r="F332" s="10">
        <v>376</v>
      </c>
      <c r="G332" s="10">
        <v>382</v>
      </c>
      <c r="H332" s="10">
        <v>399</v>
      </c>
      <c r="I332" s="38">
        <f t="shared" si="106"/>
        <v>1157</v>
      </c>
      <c r="J332" s="10">
        <v>377</v>
      </c>
      <c r="K332" s="10">
        <v>322</v>
      </c>
      <c r="L332" s="10">
        <v>250</v>
      </c>
      <c r="M332" s="38">
        <f t="shared" si="107"/>
        <v>949</v>
      </c>
      <c r="N332" s="10">
        <v>274</v>
      </c>
      <c r="O332" s="10">
        <v>284</v>
      </c>
      <c r="P332" s="10">
        <v>135</v>
      </c>
      <c r="Q332" s="38">
        <f>SUM(N332:P332)</f>
        <v>693</v>
      </c>
      <c r="R332" s="38">
        <f>+E332+I332+M332+Q332</f>
        <v>3157</v>
      </c>
      <c r="T332" t="s">
        <v>2871</v>
      </c>
    </row>
    <row r="333" spans="1:20" ht="15.75" customHeight="1" x14ac:dyDescent="0.3">
      <c r="A333" s="410" t="s">
        <v>3045</v>
      </c>
      <c r="B333" s="10"/>
      <c r="C333" s="10"/>
      <c r="D333" s="10"/>
      <c r="E333" s="38">
        <f t="shared" si="105"/>
        <v>0</v>
      </c>
      <c r="F333" s="10">
        <v>2400</v>
      </c>
      <c r="G333" s="10"/>
      <c r="H333" s="10"/>
      <c r="I333" s="38">
        <f t="shared" si="106"/>
        <v>2400</v>
      </c>
      <c r="J333" s="10"/>
      <c r="K333" s="10"/>
      <c r="L333" s="10"/>
      <c r="M333" s="38">
        <f t="shared" si="107"/>
        <v>0</v>
      </c>
      <c r="N333" s="10"/>
      <c r="O333" s="10"/>
      <c r="P333" s="10"/>
      <c r="Q333" s="38">
        <f>SUM(N333:P333)</f>
        <v>0</v>
      </c>
      <c r="R333" s="38">
        <f>+E333+I333+M333+Q333</f>
        <v>2400</v>
      </c>
      <c r="T333" t="s">
        <v>2178</v>
      </c>
    </row>
    <row r="334" spans="1:20" ht="15.75" customHeight="1" x14ac:dyDescent="0.3">
      <c r="A334" s="410" t="s">
        <v>3137</v>
      </c>
      <c r="B334" s="10"/>
      <c r="C334" s="10"/>
      <c r="D334" s="10"/>
      <c r="E334" s="38">
        <f t="shared" si="105"/>
        <v>0</v>
      </c>
      <c r="F334" s="10"/>
      <c r="G334" s="10">
        <v>1457</v>
      </c>
      <c r="H334" s="10">
        <v>5998</v>
      </c>
      <c r="I334" s="38">
        <f t="shared" si="106"/>
        <v>7455</v>
      </c>
      <c r="J334" s="10">
        <v>3196</v>
      </c>
      <c r="K334" s="10">
        <v>4330</v>
      </c>
      <c r="L334" s="10">
        <v>6019</v>
      </c>
      <c r="M334" s="38">
        <f t="shared" si="107"/>
        <v>13545</v>
      </c>
      <c r="N334" s="10"/>
      <c r="O334" s="10"/>
      <c r="P334" s="10"/>
      <c r="Q334" s="38">
        <f t="shared" ref="Q334" si="108">SUM(N334:P334)</f>
        <v>0</v>
      </c>
      <c r="R334" s="38">
        <f>+E334+I334+M334+Q334</f>
        <v>21000</v>
      </c>
    </row>
    <row r="335" spans="1:20" ht="15.75" customHeight="1" x14ac:dyDescent="0.3">
      <c r="A335" s="410" t="s">
        <v>3037</v>
      </c>
      <c r="B335" s="10"/>
      <c r="C335" s="10"/>
      <c r="D335" s="10">
        <v>315</v>
      </c>
      <c r="E335" s="38">
        <f t="shared" si="105"/>
        <v>315</v>
      </c>
      <c r="F335" s="10"/>
      <c r="G335" s="10"/>
      <c r="H335" s="10"/>
      <c r="I335" s="38">
        <f t="shared" si="106"/>
        <v>0</v>
      </c>
      <c r="J335" s="10"/>
      <c r="K335" s="10"/>
      <c r="L335" s="10"/>
      <c r="M335" s="38">
        <f t="shared" si="107"/>
        <v>0</v>
      </c>
      <c r="N335" s="10"/>
      <c r="O335" s="10"/>
      <c r="P335" s="10"/>
      <c r="Q335" s="38">
        <f>SUM(N335:P335)</f>
        <v>0</v>
      </c>
      <c r="R335" s="38">
        <f>+E335+I335+M335+Q335</f>
        <v>315</v>
      </c>
    </row>
    <row r="336" spans="1:20" ht="15.75" customHeight="1" x14ac:dyDescent="0.3">
      <c r="A336" s="410" t="s">
        <v>3147</v>
      </c>
      <c r="B336" s="10"/>
      <c r="C336" s="10"/>
      <c r="D336" s="10"/>
      <c r="E336" s="38">
        <f t="shared" ref="E336" si="109">SUM(B336:D336)</f>
        <v>0</v>
      </c>
      <c r="F336" s="10">
        <v>800</v>
      </c>
      <c r="G336" s="10"/>
      <c r="H336" s="10">
        <v>871</v>
      </c>
      <c r="I336" s="38">
        <f t="shared" ref="I336:I337" si="110">SUM(F336:H336)</f>
        <v>1671</v>
      </c>
      <c r="J336" s="10"/>
      <c r="K336" s="10"/>
      <c r="L336" s="10"/>
      <c r="M336" s="38">
        <f t="shared" ref="M336:M337" si="111">SUM(J336:L336)</f>
        <v>0</v>
      </c>
      <c r="N336" s="10"/>
      <c r="O336" s="10"/>
      <c r="P336" s="10"/>
      <c r="Q336" s="38">
        <f t="shared" ref="Q336:Q337" si="112">SUM(N336:P336)</f>
        <v>0</v>
      </c>
      <c r="R336" s="38">
        <f t="shared" ref="R336:R337" si="113">+E336+I336+M336+Q336</f>
        <v>1671</v>
      </c>
    </row>
    <row r="337" spans="1:20" ht="15.75" customHeight="1" x14ac:dyDescent="0.3">
      <c r="A337" s="410" t="s">
        <v>2743</v>
      </c>
      <c r="B337" s="10"/>
      <c r="C337" s="10">
        <v>500</v>
      </c>
      <c r="D337" s="10">
        <v>330</v>
      </c>
      <c r="E337" s="38">
        <f>SUM(B337:D337)</f>
        <v>830</v>
      </c>
      <c r="F337" s="10"/>
      <c r="G337" s="10"/>
      <c r="H337" s="10"/>
      <c r="I337" s="38">
        <f t="shared" si="110"/>
        <v>0</v>
      </c>
      <c r="J337" s="10"/>
      <c r="K337" s="10"/>
      <c r="L337" s="10"/>
      <c r="M337" s="38">
        <f t="shared" si="111"/>
        <v>0</v>
      </c>
      <c r="N337" s="10"/>
      <c r="O337" s="10"/>
      <c r="P337" s="10"/>
      <c r="Q337" s="38">
        <f t="shared" si="112"/>
        <v>0</v>
      </c>
      <c r="R337" s="38">
        <f t="shared" si="113"/>
        <v>830</v>
      </c>
      <c r="T337" t="s">
        <v>1358</v>
      </c>
    </row>
    <row r="338" spans="1:20" ht="15.75" customHeight="1" x14ac:dyDescent="0.3">
      <c r="A338" s="410" t="s">
        <v>2744</v>
      </c>
      <c r="B338" s="10"/>
      <c r="C338" s="10"/>
      <c r="D338" s="10"/>
      <c r="E338" s="38">
        <f t="shared" si="100"/>
        <v>0</v>
      </c>
      <c r="F338" s="10"/>
      <c r="G338" s="10"/>
      <c r="H338" s="10"/>
      <c r="I338" s="38">
        <f t="shared" si="101"/>
        <v>0</v>
      </c>
      <c r="J338" s="10"/>
      <c r="K338" s="10"/>
      <c r="L338" s="10">
        <v>1128</v>
      </c>
      <c r="M338" s="38">
        <f t="shared" si="102"/>
        <v>1128</v>
      </c>
      <c r="N338" s="10">
        <v>686</v>
      </c>
      <c r="O338" s="10">
        <v>528</v>
      </c>
      <c r="P338" s="10">
        <v>1118</v>
      </c>
      <c r="Q338" s="38">
        <f t="shared" si="103"/>
        <v>2332</v>
      </c>
      <c r="R338" s="38">
        <f t="shared" si="104"/>
        <v>3460</v>
      </c>
      <c r="T338" t="s">
        <v>2780</v>
      </c>
    </row>
    <row r="339" spans="1:20" ht="15.75" customHeight="1" x14ac:dyDescent="0.3">
      <c r="A339" s="410" t="s">
        <v>2608</v>
      </c>
      <c r="B339" s="10"/>
      <c r="C339" s="10"/>
      <c r="D339" s="10"/>
      <c r="E339" s="38">
        <f t="shared" si="100"/>
        <v>0</v>
      </c>
      <c r="F339" s="10"/>
      <c r="G339" s="10"/>
      <c r="H339" s="10"/>
      <c r="I339" s="38">
        <f t="shared" si="101"/>
        <v>0</v>
      </c>
      <c r="J339" s="10"/>
      <c r="K339" s="10"/>
      <c r="L339" s="10"/>
      <c r="M339" s="38">
        <f t="shared" si="102"/>
        <v>0</v>
      </c>
      <c r="N339" s="10"/>
      <c r="O339" s="10"/>
      <c r="P339" s="10"/>
      <c r="Q339" s="38">
        <f t="shared" si="103"/>
        <v>0</v>
      </c>
      <c r="R339" s="38">
        <f t="shared" si="104"/>
        <v>0</v>
      </c>
      <c r="T339" t="s">
        <v>2174</v>
      </c>
    </row>
    <row r="340" spans="1:20" ht="15.75" customHeight="1" x14ac:dyDescent="0.3">
      <c r="A340" s="410" t="s">
        <v>2607</v>
      </c>
      <c r="B340" s="10"/>
      <c r="C340" s="10"/>
      <c r="D340" s="10"/>
      <c r="E340" s="38">
        <f t="shared" si="100"/>
        <v>0</v>
      </c>
      <c r="F340" s="10"/>
      <c r="G340" s="10"/>
      <c r="H340" s="10"/>
      <c r="I340" s="38">
        <f t="shared" si="101"/>
        <v>0</v>
      </c>
      <c r="J340" s="10"/>
      <c r="K340" s="10"/>
      <c r="L340" s="10"/>
      <c r="M340" s="38">
        <f t="shared" si="102"/>
        <v>0</v>
      </c>
      <c r="N340" s="10"/>
      <c r="O340" s="10"/>
      <c r="P340" s="10"/>
      <c r="Q340" s="38">
        <f t="shared" si="103"/>
        <v>0</v>
      </c>
      <c r="R340" s="38">
        <f t="shared" si="104"/>
        <v>0</v>
      </c>
      <c r="T340" t="s">
        <v>2174</v>
      </c>
    </row>
    <row r="341" spans="1:20" ht="15.75" customHeight="1" x14ac:dyDescent="0.3">
      <c r="A341" s="410" t="s">
        <v>3205</v>
      </c>
      <c r="B341" s="10"/>
      <c r="C341" s="10"/>
      <c r="D341" s="10"/>
      <c r="E341" s="38">
        <f t="shared" si="100"/>
        <v>0</v>
      </c>
      <c r="F341" s="10"/>
      <c r="G341" s="10"/>
      <c r="H341" s="10"/>
      <c r="I341" s="38">
        <f t="shared" si="101"/>
        <v>0</v>
      </c>
      <c r="J341" s="10"/>
      <c r="K341" s="10"/>
      <c r="L341" s="10"/>
      <c r="M341" s="38">
        <f t="shared" si="102"/>
        <v>0</v>
      </c>
      <c r="N341" s="10">
        <v>2023</v>
      </c>
      <c r="O341" s="10">
        <v>828</v>
      </c>
      <c r="P341" s="10"/>
      <c r="Q341" s="38">
        <f t="shared" si="103"/>
        <v>2851</v>
      </c>
      <c r="R341" s="38">
        <f t="shared" si="104"/>
        <v>2851</v>
      </c>
    </row>
    <row r="342" spans="1:20" ht="15.75" customHeight="1" x14ac:dyDescent="0.3">
      <c r="A342" s="410" t="s">
        <v>2692</v>
      </c>
      <c r="B342" s="10"/>
      <c r="C342" s="10"/>
      <c r="D342" s="10"/>
      <c r="E342" s="38">
        <f>SUM(B342:D342)</f>
        <v>0</v>
      </c>
      <c r="F342" s="10"/>
      <c r="G342" s="10"/>
      <c r="H342" s="10"/>
      <c r="I342" s="38">
        <f>SUM(F342:H342)</f>
        <v>0</v>
      </c>
      <c r="J342" s="10"/>
      <c r="K342" s="10"/>
      <c r="L342" s="10">
        <v>172</v>
      </c>
      <c r="M342" s="38">
        <f t="shared" si="102"/>
        <v>172</v>
      </c>
      <c r="N342" s="10"/>
      <c r="O342" s="10"/>
      <c r="P342" s="10"/>
      <c r="Q342" s="38">
        <f>SUM(N342:P342)</f>
        <v>0</v>
      </c>
      <c r="R342" s="38">
        <f t="shared" si="104"/>
        <v>172</v>
      </c>
      <c r="T342" t="s">
        <v>1358</v>
      </c>
    </row>
    <row r="343" spans="1:20" ht="15.75" customHeight="1" x14ac:dyDescent="0.3">
      <c r="A343" s="410" t="s">
        <v>347</v>
      </c>
      <c r="B343" s="10"/>
      <c r="C343" s="10"/>
      <c r="D343" s="10"/>
      <c r="E343" s="38">
        <f t="shared" si="100"/>
        <v>0</v>
      </c>
      <c r="F343" s="10"/>
      <c r="G343" s="10"/>
      <c r="H343" s="10"/>
      <c r="I343" s="38">
        <f t="shared" si="101"/>
        <v>0</v>
      </c>
      <c r="J343" s="10"/>
      <c r="K343" s="10">
        <v>685</v>
      </c>
      <c r="L343" s="10">
        <v>1081</v>
      </c>
      <c r="M343" s="38">
        <f t="shared" si="102"/>
        <v>1766</v>
      </c>
      <c r="N343" s="10">
        <v>804</v>
      </c>
      <c r="O343" s="10">
        <v>723</v>
      </c>
      <c r="P343" s="10">
        <v>1115</v>
      </c>
      <c r="Q343" s="38">
        <f t="shared" si="103"/>
        <v>2642</v>
      </c>
      <c r="R343" s="38">
        <f t="shared" si="104"/>
        <v>4408</v>
      </c>
      <c r="T343" t="s">
        <v>2780</v>
      </c>
    </row>
    <row r="344" spans="1:20" ht="15.75" customHeight="1" x14ac:dyDescent="0.3">
      <c r="A344" s="410" t="s">
        <v>3284</v>
      </c>
      <c r="B344" s="10"/>
      <c r="C344" s="10"/>
      <c r="D344" s="10"/>
      <c r="E344" s="38">
        <f t="shared" si="100"/>
        <v>0</v>
      </c>
      <c r="F344" s="10"/>
      <c r="G344" s="10"/>
      <c r="H344" s="10"/>
      <c r="I344" s="38">
        <f t="shared" si="101"/>
        <v>0</v>
      </c>
      <c r="J344" s="10"/>
      <c r="K344" s="10"/>
      <c r="L344" s="10"/>
      <c r="M344" s="38">
        <f t="shared" si="102"/>
        <v>0</v>
      </c>
      <c r="N344" s="10"/>
      <c r="O344" s="10"/>
      <c r="P344" s="10">
        <v>255</v>
      </c>
      <c r="Q344" s="38">
        <f t="shared" si="103"/>
        <v>255</v>
      </c>
      <c r="R344" s="38">
        <f t="shared" si="104"/>
        <v>255</v>
      </c>
    </row>
    <row r="345" spans="1:20" ht="15.75" customHeight="1" x14ac:dyDescent="0.3">
      <c r="A345" s="410" t="s">
        <v>2954</v>
      </c>
      <c r="B345" s="10"/>
      <c r="C345" s="10"/>
      <c r="D345" s="10"/>
      <c r="E345" s="38">
        <f>SUM(B345:D345)</f>
        <v>0</v>
      </c>
      <c r="F345" s="10"/>
      <c r="G345" s="10"/>
      <c r="H345" s="10"/>
      <c r="I345" s="38">
        <f>SUM(F345:H345)</f>
        <v>0</v>
      </c>
      <c r="J345" s="10"/>
      <c r="K345" s="10"/>
      <c r="L345" s="10"/>
      <c r="M345" s="38">
        <f>SUM(J345:L345)</f>
        <v>0</v>
      </c>
      <c r="N345" s="10"/>
      <c r="O345" s="10"/>
      <c r="P345" s="10"/>
      <c r="Q345" s="38">
        <f>SUM(N345:P345)</f>
        <v>0</v>
      </c>
      <c r="R345" s="38">
        <f t="shared" si="104"/>
        <v>0</v>
      </c>
      <c r="T345" t="s">
        <v>1358</v>
      </c>
    </row>
    <row r="346" spans="1:20" ht="15.75" customHeight="1" x14ac:dyDescent="0.3">
      <c r="A346" s="410" t="s">
        <v>2593</v>
      </c>
      <c r="B346" s="10"/>
      <c r="C346" s="10"/>
      <c r="D346" s="10"/>
      <c r="E346" s="38">
        <f t="shared" si="100"/>
        <v>0</v>
      </c>
      <c r="F346" s="10"/>
      <c r="G346" s="10"/>
      <c r="H346" s="10"/>
      <c r="I346" s="38">
        <f t="shared" si="101"/>
        <v>0</v>
      </c>
      <c r="J346" s="10"/>
      <c r="K346" s="10"/>
      <c r="L346" s="10"/>
      <c r="M346" s="38">
        <f t="shared" si="102"/>
        <v>0</v>
      </c>
      <c r="N346" s="10"/>
      <c r="O346" s="10"/>
      <c r="P346" s="10"/>
      <c r="Q346" s="38">
        <f t="shared" si="103"/>
        <v>0</v>
      </c>
      <c r="R346" s="38">
        <f t="shared" si="104"/>
        <v>0</v>
      </c>
      <c r="S346" s="538"/>
      <c r="T346" t="s">
        <v>2175</v>
      </c>
    </row>
    <row r="347" spans="1:20" ht="15.75" customHeight="1" x14ac:dyDescent="0.3">
      <c r="A347" s="410" t="s">
        <v>3056</v>
      </c>
      <c r="B347" s="10">
        <v>7</v>
      </c>
      <c r="C347" s="10">
        <v>15</v>
      </c>
      <c r="D347" s="10">
        <v>37</v>
      </c>
      <c r="E347" s="38">
        <f>SUM(B347:D347)</f>
        <v>59</v>
      </c>
      <c r="F347" s="10">
        <v>66</v>
      </c>
      <c r="G347" s="10">
        <v>73</v>
      </c>
      <c r="H347" s="10">
        <v>66</v>
      </c>
      <c r="I347" s="38">
        <f>SUM(F347:H347)</f>
        <v>205</v>
      </c>
      <c r="J347" s="10">
        <v>39</v>
      </c>
      <c r="K347" s="10">
        <v>21</v>
      </c>
      <c r="L347" s="10">
        <v>2</v>
      </c>
      <c r="M347" s="38">
        <f>SUM(J347:L347)</f>
        <v>62</v>
      </c>
      <c r="N347" s="10">
        <v>4</v>
      </c>
      <c r="O347" s="10">
        <v>25</v>
      </c>
      <c r="P347" s="10">
        <v>24</v>
      </c>
      <c r="Q347" s="38">
        <f>SUM(N347:P347)</f>
        <v>53</v>
      </c>
      <c r="R347" s="38">
        <f>+E347+I347+M347+Q347</f>
        <v>379</v>
      </c>
      <c r="T347" t="s">
        <v>1193</v>
      </c>
    </row>
    <row r="348" spans="1:20" ht="15.75" customHeight="1" x14ac:dyDescent="0.3">
      <c r="A348" s="256" t="s">
        <v>92</v>
      </c>
      <c r="B348" s="10">
        <v>1183</v>
      </c>
      <c r="C348" s="10">
        <v>1185</v>
      </c>
      <c r="D348" s="10">
        <v>2063</v>
      </c>
      <c r="E348" s="38">
        <f t="shared" si="100"/>
        <v>4431</v>
      </c>
      <c r="F348" s="10">
        <v>123</v>
      </c>
      <c r="G348" s="10">
        <v>1673</v>
      </c>
      <c r="H348" s="10">
        <v>5495</v>
      </c>
      <c r="I348" s="38">
        <f t="shared" si="101"/>
        <v>7291</v>
      </c>
      <c r="J348" s="10">
        <v>5229</v>
      </c>
      <c r="K348" s="10">
        <v>4808</v>
      </c>
      <c r="L348" s="10">
        <v>4788</v>
      </c>
      <c r="M348" s="38">
        <f t="shared" si="102"/>
        <v>14825</v>
      </c>
      <c r="N348" s="10">
        <v>4495</v>
      </c>
      <c r="O348" s="10">
        <v>4482</v>
      </c>
      <c r="P348" s="10">
        <v>4569</v>
      </c>
      <c r="Q348" s="38">
        <f t="shared" si="103"/>
        <v>13546</v>
      </c>
      <c r="R348" s="38">
        <f t="shared" si="104"/>
        <v>40093</v>
      </c>
      <c r="T348" t="s">
        <v>2177</v>
      </c>
    </row>
    <row r="349" spans="1:20" ht="15.75" customHeight="1" x14ac:dyDescent="0.3">
      <c r="A349" s="410" t="s">
        <v>3164</v>
      </c>
      <c r="B349" s="10"/>
      <c r="C349" s="10"/>
      <c r="D349" s="10"/>
      <c r="E349" s="38">
        <f t="shared" si="100"/>
        <v>0</v>
      </c>
      <c r="F349" s="10"/>
      <c r="G349" s="10"/>
      <c r="H349" s="10"/>
      <c r="I349" s="38">
        <f t="shared" si="101"/>
        <v>0</v>
      </c>
      <c r="J349" s="10"/>
      <c r="K349" s="10"/>
      <c r="L349" s="10"/>
      <c r="M349" s="38">
        <f t="shared" si="102"/>
        <v>0</v>
      </c>
      <c r="N349" s="10"/>
      <c r="O349" s="10"/>
      <c r="P349" s="10"/>
      <c r="Q349" s="38">
        <f t="shared" si="103"/>
        <v>0</v>
      </c>
      <c r="R349" s="38">
        <f t="shared" si="104"/>
        <v>0</v>
      </c>
      <c r="T349" t="s">
        <v>2176</v>
      </c>
    </row>
    <row r="350" spans="1:20" ht="15.75" customHeight="1" x14ac:dyDescent="0.3">
      <c r="A350" s="410" t="s">
        <v>3138</v>
      </c>
      <c r="B350" s="10"/>
      <c r="C350" s="10">
        <v>754</v>
      </c>
      <c r="D350" s="10">
        <v>300</v>
      </c>
      <c r="E350" s="38">
        <f t="shared" si="100"/>
        <v>1054</v>
      </c>
      <c r="F350" s="10">
        <v>454</v>
      </c>
      <c r="G350" s="10">
        <v>377</v>
      </c>
      <c r="H350" s="10"/>
      <c r="I350" s="38">
        <f t="shared" si="101"/>
        <v>831</v>
      </c>
      <c r="J350" s="10">
        <v>754</v>
      </c>
      <c r="K350" s="10">
        <v>1885</v>
      </c>
      <c r="L350" s="10"/>
      <c r="M350" s="38">
        <f t="shared" si="102"/>
        <v>2639</v>
      </c>
      <c r="N350" s="10"/>
      <c r="O350" s="10"/>
      <c r="P350" s="10"/>
      <c r="Q350" s="38">
        <f t="shared" si="103"/>
        <v>0</v>
      </c>
      <c r="R350" s="38">
        <f t="shared" si="104"/>
        <v>4524</v>
      </c>
    </row>
    <row r="351" spans="1:20" ht="15.75" customHeight="1" x14ac:dyDescent="0.3">
      <c r="A351" s="410" t="s">
        <v>2543</v>
      </c>
      <c r="B351" s="10"/>
      <c r="C351" s="10"/>
      <c r="D351" s="10"/>
      <c r="E351" s="38">
        <f t="shared" si="100"/>
        <v>0</v>
      </c>
      <c r="F351" s="10"/>
      <c r="G351" s="10"/>
      <c r="H351" s="10"/>
      <c r="I351" s="38">
        <f t="shared" si="101"/>
        <v>0</v>
      </c>
      <c r="J351" s="10"/>
      <c r="K351" s="10"/>
      <c r="L351" s="10"/>
      <c r="M351" s="38">
        <f t="shared" si="102"/>
        <v>0</v>
      </c>
      <c r="N351" s="10"/>
      <c r="O351" s="10"/>
      <c r="P351" s="10"/>
      <c r="Q351" s="38">
        <f t="shared" si="103"/>
        <v>0</v>
      </c>
      <c r="R351" s="38">
        <f t="shared" si="104"/>
        <v>0</v>
      </c>
    </row>
    <row r="352" spans="1:20" ht="15.75" customHeight="1" x14ac:dyDescent="0.3">
      <c r="A352" s="410" t="s">
        <v>3060</v>
      </c>
      <c r="B352" s="10"/>
      <c r="C352" s="10"/>
      <c r="D352" s="10"/>
      <c r="E352" s="38">
        <f t="shared" si="100"/>
        <v>0</v>
      </c>
      <c r="F352" s="10"/>
      <c r="G352" s="10"/>
      <c r="H352" s="10">
        <v>4927</v>
      </c>
      <c r="I352" s="38">
        <f t="shared" si="101"/>
        <v>4927</v>
      </c>
      <c r="J352" s="10">
        <v>13</v>
      </c>
      <c r="K352" s="10"/>
      <c r="L352" s="10"/>
      <c r="M352" s="38">
        <f t="shared" si="102"/>
        <v>13</v>
      </c>
      <c r="N352" s="10"/>
      <c r="O352" s="10"/>
      <c r="P352" s="10"/>
      <c r="Q352" s="38">
        <f>SUM(N352:P352)</f>
        <v>0</v>
      </c>
      <c r="R352" s="38">
        <f>+E352+I352+M352+Q352</f>
        <v>4940</v>
      </c>
      <c r="T352" t="s">
        <v>1358</v>
      </c>
    </row>
    <row r="353" spans="1:20" ht="15.75" customHeight="1" x14ac:dyDescent="0.3">
      <c r="A353" s="410" t="s">
        <v>3057</v>
      </c>
      <c r="B353" s="10">
        <v>20</v>
      </c>
      <c r="C353" s="10">
        <v>30</v>
      </c>
      <c r="D353" s="10">
        <v>35</v>
      </c>
      <c r="E353" s="38">
        <f>SUM(B353:D353)</f>
        <v>85</v>
      </c>
      <c r="F353" s="10">
        <v>59</v>
      </c>
      <c r="G353" s="10">
        <v>62</v>
      </c>
      <c r="H353" s="10">
        <v>60</v>
      </c>
      <c r="I353" s="38">
        <f>SUM(F353:H353)</f>
        <v>181</v>
      </c>
      <c r="J353" s="10">
        <v>76</v>
      </c>
      <c r="K353" s="10">
        <v>56</v>
      </c>
      <c r="L353" s="10">
        <v>45</v>
      </c>
      <c r="M353" s="38">
        <f>SUM(J353:L353)</f>
        <v>177</v>
      </c>
      <c r="N353" s="10">
        <v>64</v>
      </c>
      <c r="O353" s="10">
        <v>79</v>
      </c>
      <c r="P353" s="10">
        <v>38</v>
      </c>
      <c r="Q353" s="38">
        <f>SUM(N353:P353)</f>
        <v>181</v>
      </c>
      <c r="R353" s="38">
        <f>+E353+I353+M353+Q353</f>
        <v>624</v>
      </c>
      <c r="T353" t="s">
        <v>1193</v>
      </c>
    </row>
    <row r="354" spans="1:20" ht="15.75" customHeight="1" x14ac:dyDescent="0.3">
      <c r="A354" s="539" t="s">
        <v>2944</v>
      </c>
      <c r="B354" s="10"/>
      <c r="C354" s="10"/>
      <c r="D354" s="10"/>
      <c r="E354" s="38">
        <f>SUM(B354:D354)</f>
        <v>0</v>
      </c>
      <c r="F354" s="10">
        <v>37</v>
      </c>
      <c r="G354" s="10"/>
      <c r="H354" s="10"/>
      <c r="I354" s="38">
        <f>SUM(F354:H354)</f>
        <v>37</v>
      </c>
      <c r="J354" s="10"/>
      <c r="K354" s="10"/>
      <c r="L354" s="10"/>
      <c r="M354" s="38">
        <f>SUM(J354:L354)</f>
        <v>0</v>
      </c>
      <c r="N354" s="10"/>
      <c r="O354" s="10"/>
      <c r="P354" s="10"/>
      <c r="Q354" s="38">
        <f>SUM(N354:P354)</f>
        <v>0</v>
      </c>
      <c r="R354" s="38">
        <f t="shared" si="104"/>
        <v>37</v>
      </c>
    </row>
    <row r="355" spans="1:20" ht="15.75" customHeight="1" x14ac:dyDescent="0.3">
      <c r="A355" s="410" t="s">
        <v>2609</v>
      </c>
      <c r="B355" s="10"/>
      <c r="C355" s="10"/>
      <c r="D355" s="10"/>
      <c r="E355" s="38">
        <f t="shared" si="100"/>
        <v>0</v>
      </c>
      <c r="F355" s="10"/>
      <c r="G355" s="10"/>
      <c r="H355" s="10"/>
      <c r="I355" s="38">
        <f t="shared" si="101"/>
        <v>0</v>
      </c>
      <c r="J355" s="10">
        <v>122</v>
      </c>
      <c r="K355" s="10">
        <v>128</v>
      </c>
      <c r="L355" s="10">
        <v>122</v>
      </c>
      <c r="M355" s="38">
        <f t="shared" si="102"/>
        <v>372</v>
      </c>
      <c r="N355" s="10">
        <v>123</v>
      </c>
      <c r="O355" s="10"/>
      <c r="P355" s="10"/>
      <c r="Q355" s="38">
        <f t="shared" si="103"/>
        <v>123</v>
      </c>
      <c r="R355" s="38">
        <f t="shared" si="104"/>
        <v>495</v>
      </c>
      <c r="S355">
        <f>SUM(R326:R355)</f>
        <v>98821</v>
      </c>
      <c r="T355" t="s">
        <v>2175</v>
      </c>
    </row>
    <row r="356" spans="1:20" ht="15.75" customHeight="1" x14ac:dyDescent="0.3">
      <c r="A356" s="410" t="s">
        <v>3058</v>
      </c>
      <c r="B356" s="10">
        <v>6</v>
      </c>
      <c r="C356" s="10">
        <v>9</v>
      </c>
      <c r="D356" s="10">
        <v>27</v>
      </c>
      <c r="E356" s="38">
        <f>SUM(B356:D356)</f>
        <v>42</v>
      </c>
      <c r="F356" s="10">
        <v>59</v>
      </c>
      <c r="G356" s="10">
        <v>74</v>
      </c>
      <c r="H356" s="10">
        <v>61</v>
      </c>
      <c r="I356" s="38">
        <f>SUM(F356:H356)</f>
        <v>194</v>
      </c>
      <c r="J356" s="10">
        <v>76</v>
      </c>
      <c r="K356" s="10">
        <v>60</v>
      </c>
      <c r="L356" s="10">
        <v>50</v>
      </c>
      <c r="M356" s="38">
        <f>SUM(J356:L356)</f>
        <v>186</v>
      </c>
      <c r="N356" s="10">
        <v>65</v>
      </c>
      <c r="O356" s="10">
        <v>48</v>
      </c>
      <c r="P356" s="10">
        <v>27</v>
      </c>
      <c r="Q356" s="38">
        <f>SUM(N356:P356)</f>
        <v>140</v>
      </c>
      <c r="R356" s="38">
        <f>+E356+I356+M356+Q356</f>
        <v>562</v>
      </c>
      <c r="T356" t="s">
        <v>1193</v>
      </c>
    </row>
    <row r="357" spans="1:20" ht="15.75" customHeight="1" x14ac:dyDescent="0.3">
      <c r="A357" s="234" t="s">
        <v>2161</v>
      </c>
      <c r="B357" s="10"/>
      <c r="C357" s="10"/>
      <c r="D357" s="10"/>
      <c r="E357" s="38" t="s">
        <v>852</v>
      </c>
      <c r="F357" s="10"/>
      <c r="G357" s="10"/>
      <c r="H357" s="10"/>
      <c r="I357" s="38" t="s">
        <v>852</v>
      </c>
      <c r="J357" s="10"/>
      <c r="K357" s="10"/>
      <c r="L357" s="10"/>
      <c r="M357" s="38" t="s">
        <v>852</v>
      </c>
      <c r="N357" s="10"/>
      <c r="O357" s="10"/>
      <c r="P357" s="10"/>
      <c r="Q357" s="38" t="s">
        <v>852</v>
      </c>
      <c r="R357" s="38" t="s">
        <v>852</v>
      </c>
    </row>
    <row r="358" spans="1:20" ht="15.75" customHeight="1" x14ac:dyDescent="0.3">
      <c r="A358" s="256" t="s">
        <v>754</v>
      </c>
      <c r="B358" s="10"/>
      <c r="C358" s="10"/>
      <c r="D358" s="10"/>
      <c r="E358" s="38">
        <f t="shared" ref="E358:E370" si="114">SUM(B358:D358)</f>
        <v>0</v>
      </c>
      <c r="F358" s="10"/>
      <c r="G358" s="10"/>
      <c r="H358" s="10"/>
      <c r="I358" s="38">
        <f t="shared" ref="I358:I370" si="115">SUM(F358:H358)</f>
        <v>0</v>
      </c>
      <c r="J358" s="10"/>
      <c r="K358" s="10"/>
      <c r="L358" s="10"/>
      <c r="M358" s="38">
        <f t="shared" ref="M358:M370" si="116">SUM(J358:L358)</f>
        <v>0</v>
      </c>
      <c r="N358" s="10"/>
      <c r="O358" s="10"/>
      <c r="P358" s="10"/>
      <c r="Q358" s="38">
        <f t="shared" ref="Q358:Q370" si="117">SUM(N358:P358)</f>
        <v>0</v>
      </c>
      <c r="R358" s="38">
        <f t="shared" ref="R358:R370" si="118">+E358+I358+M358+Q358</f>
        <v>0</v>
      </c>
    </row>
    <row r="359" spans="1:20" ht="15.75" customHeight="1" x14ac:dyDescent="0.3">
      <c r="A359" s="410" t="s">
        <v>2759</v>
      </c>
      <c r="B359" s="10"/>
      <c r="C359" s="10"/>
      <c r="D359" s="10"/>
      <c r="E359" s="38">
        <f>SUM(B359:D359)</f>
        <v>0</v>
      </c>
      <c r="F359" s="10"/>
      <c r="G359" s="10"/>
      <c r="H359" s="10"/>
      <c r="I359" s="38">
        <f>SUM(F359:H359)</f>
        <v>0</v>
      </c>
      <c r="J359" s="10"/>
      <c r="K359" s="10"/>
      <c r="L359" s="10"/>
      <c r="M359" s="38">
        <f>SUM(J359:L359)</f>
        <v>0</v>
      </c>
      <c r="N359" s="10"/>
      <c r="O359" s="10"/>
      <c r="P359" s="10"/>
      <c r="Q359" s="38">
        <f>SUM(N359:P359)</f>
        <v>0</v>
      </c>
      <c r="R359" s="38">
        <f t="shared" ref="R359:R364" si="119">+E359+I359+M359+Q359</f>
        <v>0</v>
      </c>
      <c r="T359" t="s">
        <v>131</v>
      </c>
    </row>
    <row r="360" spans="1:20" ht="15.75" customHeight="1" x14ac:dyDescent="0.3">
      <c r="A360" s="410" t="s">
        <v>3304</v>
      </c>
      <c r="B360" s="10"/>
      <c r="C360" s="10"/>
      <c r="D360" s="10"/>
      <c r="E360" s="38">
        <f>SUM(B360:D360)</f>
        <v>0</v>
      </c>
      <c r="F360" s="10"/>
      <c r="G360" s="10"/>
      <c r="H360" s="10"/>
      <c r="I360" s="38">
        <f>SUM(F360:H360)</f>
        <v>0</v>
      </c>
      <c r="J360" s="10"/>
      <c r="K360" s="10"/>
      <c r="L360" s="10"/>
      <c r="M360" s="38">
        <f>SUM(J360:L360)</f>
        <v>0</v>
      </c>
      <c r="N360" s="10"/>
      <c r="O360" s="10"/>
      <c r="P360" s="10">
        <v>15</v>
      </c>
      <c r="Q360" s="38">
        <f>SUM(N360:P360)</f>
        <v>15</v>
      </c>
      <c r="R360" s="38">
        <f t="shared" si="119"/>
        <v>15</v>
      </c>
    </row>
    <row r="361" spans="1:20" ht="15.75" customHeight="1" x14ac:dyDescent="0.3">
      <c r="A361" s="410" t="s">
        <v>3305</v>
      </c>
      <c r="B361" s="10"/>
      <c r="C361" s="10"/>
      <c r="D361" s="10"/>
      <c r="E361" s="38">
        <f>SUM(B361:D361)</f>
        <v>0</v>
      </c>
      <c r="F361" s="10"/>
      <c r="G361" s="10"/>
      <c r="H361" s="10"/>
      <c r="I361" s="38">
        <f>SUM(F361:H361)</f>
        <v>0</v>
      </c>
      <c r="J361" s="10"/>
      <c r="K361" s="10"/>
      <c r="L361" s="10"/>
      <c r="M361" s="38">
        <f>SUM(J361:L361)</f>
        <v>0</v>
      </c>
      <c r="N361" s="10"/>
      <c r="O361" s="10"/>
      <c r="P361" s="10">
        <v>19</v>
      </c>
      <c r="Q361" s="38">
        <f>SUM(N361:P361)</f>
        <v>19</v>
      </c>
      <c r="R361" s="38">
        <f t="shared" si="119"/>
        <v>19</v>
      </c>
    </row>
    <row r="362" spans="1:20" ht="15.75" customHeight="1" x14ac:dyDescent="0.3">
      <c r="A362" s="311" t="s">
        <v>970</v>
      </c>
      <c r="B362" s="10"/>
      <c r="C362" s="10"/>
      <c r="D362" s="10"/>
      <c r="E362" s="38">
        <f>SUM(B362:D362)</f>
        <v>0</v>
      </c>
      <c r="F362" s="10"/>
      <c r="G362" s="10"/>
      <c r="H362" s="10"/>
      <c r="I362" s="38">
        <f>SUM(F362:H362)</f>
        <v>0</v>
      </c>
      <c r="J362" s="10"/>
      <c r="K362" s="10"/>
      <c r="L362" s="10"/>
      <c r="M362" s="38">
        <f>SUM(J362:L362)</f>
        <v>0</v>
      </c>
      <c r="N362" s="10"/>
      <c r="O362" s="10"/>
      <c r="P362" s="10"/>
      <c r="Q362" s="38">
        <f>SUM(N362:P362)</f>
        <v>0</v>
      </c>
      <c r="R362" s="38">
        <f t="shared" si="119"/>
        <v>0</v>
      </c>
      <c r="T362" t="s">
        <v>2176</v>
      </c>
    </row>
    <row r="363" spans="1:20" ht="15.75" customHeight="1" x14ac:dyDescent="0.3">
      <c r="A363" s="410" t="s">
        <v>2593</v>
      </c>
      <c r="B363" s="10"/>
      <c r="C363" s="10"/>
      <c r="D363" s="10"/>
      <c r="E363" s="38">
        <f t="shared" si="114"/>
        <v>0</v>
      </c>
      <c r="F363" s="10"/>
      <c r="G363" s="10"/>
      <c r="H363" s="10"/>
      <c r="I363" s="38">
        <f t="shared" si="115"/>
        <v>0</v>
      </c>
      <c r="J363" s="10"/>
      <c r="K363" s="10"/>
      <c r="L363" s="10"/>
      <c r="M363" s="38">
        <f t="shared" si="116"/>
        <v>0</v>
      </c>
      <c r="N363" s="10"/>
      <c r="O363" s="10"/>
      <c r="P363" s="10"/>
      <c r="Q363" s="38">
        <f t="shared" si="117"/>
        <v>0</v>
      </c>
      <c r="R363" s="38">
        <f t="shared" si="119"/>
        <v>0</v>
      </c>
      <c r="T363" t="s">
        <v>2175</v>
      </c>
    </row>
    <row r="364" spans="1:20" ht="15.75" customHeight="1" x14ac:dyDescent="0.3">
      <c r="A364" s="410" t="s">
        <v>2517</v>
      </c>
      <c r="B364" s="10"/>
      <c r="C364" s="10"/>
      <c r="D364" s="10"/>
      <c r="E364" s="38">
        <f>SUM(B364:D364)</f>
        <v>0</v>
      </c>
      <c r="F364" s="10"/>
      <c r="G364" s="10"/>
      <c r="H364" s="10"/>
      <c r="I364" s="38">
        <f>SUM(F364:H364)</f>
        <v>0</v>
      </c>
      <c r="J364" s="10"/>
      <c r="K364" s="10"/>
      <c r="L364" s="10"/>
      <c r="M364" s="38">
        <f>SUM(J364:L364)</f>
        <v>0</v>
      </c>
      <c r="N364" s="10"/>
      <c r="O364" s="10"/>
      <c r="P364" s="10"/>
      <c r="Q364" s="38">
        <f>SUM(N364:P364)</f>
        <v>0</v>
      </c>
      <c r="R364" s="38">
        <f t="shared" si="119"/>
        <v>0</v>
      </c>
      <c r="T364" t="s">
        <v>2229</v>
      </c>
    </row>
    <row r="365" spans="1:20" ht="15.75" customHeight="1" x14ac:dyDescent="0.3">
      <c r="A365" s="256" t="s">
        <v>1732</v>
      </c>
      <c r="B365" s="10"/>
      <c r="C365" s="10"/>
      <c r="D365" s="10"/>
      <c r="E365" s="38">
        <f t="shared" si="114"/>
        <v>0</v>
      </c>
      <c r="F365" s="10"/>
      <c r="G365" s="10"/>
      <c r="H365" s="10"/>
      <c r="I365" s="38">
        <f t="shared" si="115"/>
        <v>0</v>
      </c>
      <c r="J365" s="10"/>
      <c r="K365" s="10"/>
      <c r="L365" s="10"/>
      <c r="M365" s="38">
        <f t="shared" si="116"/>
        <v>0</v>
      </c>
      <c r="N365" s="10"/>
      <c r="O365" s="10"/>
      <c r="P365" s="10"/>
      <c r="Q365" s="38">
        <f t="shared" si="117"/>
        <v>0</v>
      </c>
      <c r="R365" s="38">
        <f t="shared" si="118"/>
        <v>0</v>
      </c>
    </row>
    <row r="366" spans="1:20" ht="15.75" customHeight="1" x14ac:dyDescent="0.3">
      <c r="A366" s="410" t="s">
        <v>2771</v>
      </c>
      <c r="B366" s="10"/>
      <c r="C366" s="10"/>
      <c r="D366" s="10"/>
      <c r="E366" s="38">
        <f t="shared" si="114"/>
        <v>0</v>
      </c>
      <c r="F366" s="10"/>
      <c r="G366" s="10"/>
      <c r="H366" s="10"/>
      <c r="I366" s="38">
        <f t="shared" si="115"/>
        <v>0</v>
      </c>
      <c r="J366" s="10"/>
      <c r="K366" s="10"/>
      <c r="L366" s="10"/>
      <c r="M366" s="38">
        <f t="shared" si="116"/>
        <v>0</v>
      </c>
      <c r="N366" s="10"/>
      <c r="O366" s="10"/>
      <c r="P366" s="10"/>
      <c r="Q366" s="38">
        <f t="shared" si="117"/>
        <v>0</v>
      </c>
      <c r="R366" s="38">
        <f t="shared" si="118"/>
        <v>0</v>
      </c>
      <c r="T366" t="s">
        <v>2230</v>
      </c>
    </row>
    <row r="367" spans="1:20" ht="15.75" customHeight="1" x14ac:dyDescent="0.3">
      <c r="A367" s="256" t="s">
        <v>1138</v>
      </c>
      <c r="B367" s="10"/>
      <c r="C367" s="10"/>
      <c r="D367" s="10"/>
      <c r="E367" s="38">
        <f t="shared" si="114"/>
        <v>0</v>
      </c>
      <c r="F367" s="10"/>
      <c r="G367" s="10"/>
      <c r="H367" s="10"/>
      <c r="I367" s="38">
        <f t="shared" si="115"/>
        <v>0</v>
      </c>
      <c r="J367" s="10"/>
      <c r="K367" s="10"/>
      <c r="L367" s="10"/>
      <c r="M367" s="38">
        <f t="shared" si="116"/>
        <v>0</v>
      </c>
      <c r="N367" s="10"/>
      <c r="O367" s="10"/>
      <c r="P367" s="10"/>
      <c r="Q367" s="38">
        <f t="shared" si="117"/>
        <v>0</v>
      </c>
      <c r="R367" s="38">
        <f t="shared" si="118"/>
        <v>0</v>
      </c>
      <c r="T367" t="s">
        <v>2230</v>
      </c>
    </row>
    <row r="368" spans="1:20" ht="15.75" customHeight="1" x14ac:dyDescent="0.3">
      <c r="A368" s="410" t="s">
        <v>2951</v>
      </c>
      <c r="B368" s="10"/>
      <c r="C368" s="10"/>
      <c r="D368" s="10"/>
      <c r="E368" s="38">
        <f t="shared" si="114"/>
        <v>0</v>
      </c>
      <c r="F368" s="10"/>
      <c r="G368" s="10"/>
      <c r="H368" s="10"/>
      <c r="I368" s="38">
        <f t="shared" si="115"/>
        <v>0</v>
      </c>
      <c r="J368" s="10"/>
      <c r="K368" s="10"/>
      <c r="L368" s="10"/>
      <c r="M368" s="38">
        <f t="shared" si="116"/>
        <v>0</v>
      </c>
      <c r="N368" s="10"/>
      <c r="O368" s="10"/>
      <c r="P368" s="10"/>
      <c r="Q368" s="38">
        <f t="shared" si="117"/>
        <v>0</v>
      </c>
      <c r="R368" s="38">
        <f t="shared" si="118"/>
        <v>0</v>
      </c>
      <c r="T368" t="s">
        <v>1193</v>
      </c>
    </row>
    <row r="369" spans="1:39" ht="15.75" customHeight="1" x14ac:dyDescent="0.3">
      <c r="A369" s="311" t="s">
        <v>644</v>
      </c>
      <c r="B369" s="10"/>
      <c r="C369" s="10"/>
      <c r="D369" s="10"/>
      <c r="E369" s="38">
        <f>SUM(B369:D369)</f>
        <v>0</v>
      </c>
      <c r="F369" s="10"/>
      <c r="G369" s="10"/>
      <c r="H369" s="10"/>
      <c r="I369" s="38">
        <f>SUM(F369:H369)</f>
        <v>0</v>
      </c>
      <c r="J369" s="10"/>
      <c r="K369" s="10"/>
      <c r="L369" s="10"/>
      <c r="M369" s="38">
        <f>SUM(J369:L369)</f>
        <v>0</v>
      </c>
      <c r="N369" s="10"/>
      <c r="O369" s="10"/>
      <c r="P369" s="10"/>
      <c r="Q369" s="38">
        <f>SUM(N369:P369)</f>
        <v>0</v>
      </c>
      <c r="R369" s="38">
        <f>+E369+I369+M369+Q369</f>
        <v>0</v>
      </c>
      <c r="T369" t="s">
        <v>1193</v>
      </c>
    </row>
    <row r="370" spans="1:39" ht="15.75" customHeight="1" x14ac:dyDescent="0.3">
      <c r="A370" s="256" t="s">
        <v>231</v>
      </c>
      <c r="B370" s="10"/>
      <c r="C370" s="10"/>
      <c r="D370" s="10"/>
      <c r="E370" s="38">
        <f t="shared" si="114"/>
        <v>0</v>
      </c>
      <c r="F370" s="10"/>
      <c r="G370" s="10"/>
      <c r="H370" s="10"/>
      <c r="I370" s="38">
        <f t="shared" si="115"/>
        <v>0</v>
      </c>
      <c r="J370" s="10"/>
      <c r="K370" s="10"/>
      <c r="L370" s="10"/>
      <c r="M370" s="38">
        <f t="shared" si="116"/>
        <v>0</v>
      </c>
      <c r="N370" s="10"/>
      <c r="O370" s="10"/>
      <c r="P370" s="10"/>
      <c r="Q370" s="38">
        <f t="shared" si="117"/>
        <v>0</v>
      </c>
      <c r="R370" s="38">
        <f t="shared" si="118"/>
        <v>0</v>
      </c>
      <c r="T370" t="s">
        <v>2179</v>
      </c>
    </row>
    <row r="371" spans="1:39" ht="15.75" customHeight="1" x14ac:dyDescent="0.3">
      <c r="A371" s="234" t="s">
        <v>3245</v>
      </c>
      <c r="B371" s="10"/>
      <c r="C371" s="10"/>
      <c r="D371" s="10"/>
      <c r="E371" s="38" t="s">
        <v>852</v>
      </c>
      <c r="F371" s="10"/>
      <c r="G371" s="10"/>
      <c r="H371" s="10"/>
      <c r="I371" s="38" t="s">
        <v>852</v>
      </c>
      <c r="J371" s="10"/>
      <c r="K371" s="10"/>
      <c r="L371" s="10"/>
      <c r="M371" s="38" t="s">
        <v>852</v>
      </c>
      <c r="N371" s="10"/>
      <c r="O371" s="10"/>
      <c r="P371" s="10"/>
      <c r="Q371" s="38" t="s">
        <v>852</v>
      </c>
      <c r="R371" s="38" t="s">
        <v>852</v>
      </c>
    </row>
    <row r="372" spans="1:39" ht="15.75" customHeight="1" x14ac:dyDescent="0.3">
      <c r="A372" s="410" t="s">
        <v>2552</v>
      </c>
      <c r="B372" s="10"/>
      <c r="C372" s="10"/>
      <c r="D372" s="10"/>
      <c r="E372" s="38">
        <f>SUM(B372:D372)</f>
        <v>0</v>
      </c>
      <c r="F372" s="10"/>
      <c r="G372" s="10"/>
      <c r="H372" s="10"/>
      <c r="I372" s="38">
        <f>SUM(F372:H372)</f>
        <v>0</v>
      </c>
      <c r="J372" s="10"/>
      <c r="K372" s="10"/>
      <c r="L372" s="10"/>
      <c r="M372" s="38">
        <f>SUM(J372:L372)</f>
        <v>0</v>
      </c>
      <c r="N372" s="10"/>
      <c r="O372" s="10"/>
      <c r="P372" s="10"/>
      <c r="Q372" s="38">
        <f>SUM(N372:P372)</f>
        <v>0</v>
      </c>
      <c r="R372" s="38">
        <f>+E372+I372+M372+Q372</f>
        <v>0</v>
      </c>
      <c r="T372" t="s">
        <v>2174</v>
      </c>
    </row>
    <row r="373" spans="1:39" ht="15.75" customHeight="1" x14ac:dyDescent="0.3">
      <c r="A373" s="410" t="s">
        <v>2553</v>
      </c>
      <c r="B373" s="10"/>
      <c r="C373" s="10"/>
      <c r="D373" s="10"/>
      <c r="E373" s="38">
        <f>SUM(B373:D373)</f>
        <v>0</v>
      </c>
      <c r="F373" s="10"/>
      <c r="G373" s="10">
        <v>3000</v>
      </c>
      <c r="H373" s="10">
        <v>3000</v>
      </c>
      <c r="I373" s="38">
        <f>SUM(F373:H373)</f>
        <v>6000</v>
      </c>
      <c r="J373" s="10">
        <v>3000</v>
      </c>
      <c r="K373" s="10"/>
      <c r="L373" s="10"/>
      <c r="M373" s="38">
        <f>SUM(J373:L373)</f>
        <v>3000</v>
      </c>
      <c r="N373" s="10"/>
      <c r="O373" s="10"/>
      <c r="P373" s="10"/>
      <c r="Q373" s="38">
        <f>SUM(N373:P373)</f>
        <v>0</v>
      </c>
      <c r="R373" s="38">
        <f>+E373+I373+M373+Q373</f>
        <v>9000</v>
      </c>
    </row>
    <row r="374" spans="1:39" ht="15.75" customHeight="1" x14ac:dyDescent="0.3">
      <c r="A374" s="410" t="s">
        <v>2554</v>
      </c>
      <c r="B374" s="10"/>
      <c r="C374" s="10"/>
      <c r="D374" s="10"/>
      <c r="E374" s="38">
        <f>SUM(B374:D374)</f>
        <v>0</v>
      </c>
      <c r="F374" s="10"/>
      <c r="G374" s="10">
        <v>2685</v>
      </c>
      <c r="H374" s="10"/>
      <c r="I374" s="38">
        <f>SUM(F374:H374)</f>
        <v>2685</v>
      </c>
      <c r="J374" s="10"/>
      <c r="K374" s="10"/>
      <c r="L374" s="10"/>
      <c r="M374" s="38">
        <f>SUM(J374:L374)</f>
        <v>0</v>
      </c>
      <c r="N374" s="10"/>
      <c r="O374" s="10"/>
      <c r="P374" s="10"/>
      <c r="Q374" s="38">
        <f>SUM(N374:P374)</f>
        <v>0</v>
      </c>
      <c r="R374" s="38">
        <f>+E374+I374+M374+Q374</f>
        <v>2685</v>
      </c>
      <c r="T374" t="s">
        <v>2175</v>
      </c>
    </row>
    <row r="375" spans="1:39" ht="15.75" customHeight="1" x14ac:dyDescent="0.3">
      <c r="A375" s="410" t="s">
        <v>2727</v>
      </c>
      <c r="B375" s="10"/>
      <c r="C375" s="10"/>
      <c r="D375" s="10"/>
      <c r="E375" s="38">
        <f>SUM(B375:D375)</f>
        <v>0</v>
      </c>
      <c r="F375" s="10"/>
      <c r="G375" s="10"/>
      <c r="H375" s="10"/>
      <c r="I375" s="38">
        <f>SUM(F375:H375)</f>
        <v>0</v>
      </c>
      <c r="J375" s="10"/>
      <c r="K375" s="10"/>
      <c r="L375" s="10"/>
      <c r="M375" s="38">
        <f>SUM(J375:L375)</f>
        <v>0</v>
      </c>
      <c r="N375" s="10"/>
      <c r="O375" s="10"/>
      <c r="P375" s="10"/>
      <c r="Q375" s="38">
        <f>SUM(N375:P375)</f>
        <v>0</v>
      </c>
      <c r="R375" s="38">
        <f>+E375+I375+M375+Q375</f>
        <v>0</v>
      </c>
      <c r="T375" t="s">
        <v>1358</v>
      </c>
    </row>
    <row r="376" spans="1:39" ht="16.5" customHeight="1" thickBot="1" x14ac:dyDescent="0.35">
      <c r="A376" s="234" t="s">
        <v>2164</v>
      </c>
      <c r="B376" s="10"/>
      <c r="C376" s="10"/>
      <c r="D376" s="10"/>
      <c r="E376" s="38" t="s">
        <v>852</v>
      </c>
      <c r="F376" s="10"/>
      <c r="G376" s="10"/>
      <c r="H376" s="10"/>
      <c r="I376" s="38" t="s">
        <v>852</v>
      </c>
      <c r="J376" s="10"/>
      <c r="K376" s="10"/>
      <c r="L376" s="10"/>
      <c r="M376" s="38" t="s">
        <v>852</v>
      </c>
      <c r="N376" s="10"/>
      <c r="O376" s="10"/>
      <c r="P376" s="10"/>
      <c r="Q376" s="38" t="s">
        <v>852</v>
      </c>
      <c r="R376" s="40" t="s">
        <v>852</v>
      </c>
      <c r="V376" t="s">
        <v>3012</v>
      </c>
      <c r="W376" t="s">
        <v>3013</v>
      </c>
    </row>
    <row r="377" spans="1:39" ht="16.5" customHeight="1" thickBot="1" x14ac:dyDescent="0.35">
      <c r="A377" s="276" t="s">
        <v>1218</v>
      </c>
      <c r="B377" s="45">
        <f>SUM(B324:B376)</f>
        <v>1293</v>
      </c>
      <c r="C377" s="46">
        <f>SUM(C324:C376)</f>
        <v>2632</v>
      </c>
      <c r="D377" s="46">
        <f>SUM(D324:D376)</f>
        <v>3424</v>
      </c>
      <c r="E377" s="37">
        <f>SUM(B377:D377)</f>
        <v>7349</v>
      </c>
      <c r="F377" s="46">
        <f>SUM(F324:F376)</f>
        <v>6752</v>
      </c>
      <c r="G377" s="46">
        <f>SUM(G324:G376)</f>
        <v>9893</v>
      </c>
      <c r="H377" s="46">
        <f>SUM(H324:H376)</f>
        <v>21241</v>
      </c>
      <c r="I377" s="37">
        <f>SUM(F377:H377)</f>
        <v>37886</v>
      </c>
      <c r="J377" s="46">
        <f>SUM(J324:J376)</f>
        <v>15999</v>
      </c>
      <c r="K377" s="46">
        <f>SUM(K324:K376)</f>
        <v>12581</v>
      </c>
      <c r="L377" s="46">
        <f>SUM(L324:L376)</f>
        <v>13856</v>
      </c>
      <c r="M377" s="37">
        <f>SUM(J377:L377)</f>
        <v>42436</v>
      </c>
      <c r="N377" s="46">
        <f>SUM(N324:N376)</f>
        <v>8679</v>
      </c>
      <c r="O377" s="46">
        <f>SUM(O324:O376)</f>
        <v>7203</v>
      </c>
      <c r="P377" s="46">
        <f>SUM(P324:P376)</f>
        <v>7549</v>
      </c>
      <c r="Q377" s="37">
        <f>SUM(N377:P377)</f>
        <v>23431</v>
      </c>
      <c r="R377" s="37">
        <f>+E377+I377+M377+Q377</f>
        <v>111102</v>
      </c>
      <c r="T377" s="230"/>
      <c r="V377" t="s">
        <v>2174</v>
      </c>
      <c r="W377" s="695">
        <v>0.18</v>
      </c>
    </row>
    <row r="378" spans="1:39" ht="15.75" customHeight="1" x14ac:dyDescent="0.3">
      <c r="A378" s="234" t="s">
        <v>1172</v>
      </c>
      <c r="B378" s="172"/>
      <c r="C378" s="172"/>
      <c r="D378" s="172"/>
      <c r="E378" s="38" t="s">
        <v>852</v>
      </c>
      <c r="F378" s="172"/>
      <c r="G378" s="172"/>
      <c r="H378" s="172"/>
      <c r="I378" s="38" t="s">
        <v>852</v>
      </c>
      <c r="J378" s="172"/>
      <c r="K378" s="172"/>
      <c r="L378" s="172"/>
      <c r="M378" s="38" t="s">
        <v>852</v>
      </c>
      <c r="N378" s="172"/>
      <c r="O378" s="172"/>
      <c r="P378" s="172"/>
      <c r="Q378" s="38" t="s">
        <v>852</v>
      </c>
      <c r="R378" s="38" t="s">
        <v>852</v>
      </c>
      <c r="V378" t="s">
        <v>500</v>
      </c>
      <c r="W378" s="695">
        <v>0.52</v>
      </c>
    </row>
    <row r="379" spans="1:39" ht="15.75" customHeight="1" x14ac:dyDescent="0.3">
      <c r="A379" s="234" t="s">
        <v>1025</v>
      </c>
      <c r="B379" s="172"/>
      <c r="C379" s="172"/>
      <c r="D379" s="172"/>
      <c r="E379" s="38"/>
      <c r="F379" s="172"/>
      <c r="G379" s="172"/>
      <c r="H379" s="172"/>
      <c r="I379" s="38"/>
      <c r="J379" s="172"/>
      <c r="K379" s="172"/>
      <c r="L379" s="172"/>
      <c r="M379" s="38"/>
      <c r="N379" s="172"/>
      <c r="O379" s="172"/>
      <c r="P379" s="172"/>
      <c r="Q379" s="38"/>
      <c r="R379" s="38"/>
      <c r="V379" t="s">
        <v>505</v>
      </c>
      <c r="W379" s="695">
        <v>0.3</v>
      </c>
    </row>
    <row r="380" spans="1:39" ht="15.75" customHeight="1" x14ac:dyDescent="0.3">
      <c r="A380" s="234" t="s">
        <v>2409</v>
      </c>
      <c r="B380" s="172"/>
      <c r="C380" s="172"/>
      <c r="D380" s="172"/>
      <c r="E380" s="38" t="s">
        <v>852</v>
      </c>
      <c r="F380" s="172"/>
      <c r="G380" s="172"/>
      <c r="H380" s="172"/>
      <c r="I380" s="38" t="s">
        <v>852</v>
      </c>
      <c r="J380" s="172"/>
      <c r="K380" s="172"/>
      <c r="L380" s="172"/>
      <c r="M380" s="38" t="s">
        <v>852</v>
      </c>
      <c r="N380" s="172"/>
      <c r="O380" s="172"/>
      <c r="P380" s="172"/>
      <c r="Q380" s="38" t="s">
        <v>852</v>
      </c>
      <c r="R380" s="38" t="s">
        <v>852</v>
      </c>
      <c r="W380" s="691">
        <f>+SUM(W377:W379)</f>
        <v>1</v>
      </c>
    </row>
    <row r="381" spans="1:39" ht="15.75" customHeight="1" x14ac:dyDescent="0.3">
      <c r="A381" s="256" t="s">
        <v>2099</v>
      </c>
      <c r="B381" s="10">
        <v>9</v>
      </c>
      <c r="C381" s="10">
        <v>11</v>
      </c>
      <c r="D381" s="10">
        <v>1694</v>
      </c>
      <c r="E381" s="38">
        <f>SUM(B381:D381)</f>
        <v>1714</v>
      </c>
      <c r="F381" s="10">
        <v>1366</v>
      </c>
      <c r="G381" s="10">
        <v>1522</v>
      </c>
      <c r="H381" s="10">
        <v>4705</v>
      </c>
      <c r="I381" s="38">
        <f>SUM(F381:H381)</f>
        <v>7593</v>
      </c>
      <c r="J381" s="10">
        <v>3489</v>
      </c>
      <c r="K381" s="10">
        <v>1225</v>
      </c>
      <c r="L381" s="10">
        <v>194</v>
      </c>
      <c r="M381" s="38">
        <f>SUM(J381:L381)</f>
        <v>4908</v>
      </c>
      <c r="N381" s="10"/>
      <c r="O381" s="10"/>
      <c r="P381" s="10">
        <v>204</v>
      </c>
      <c r="Q381" s="38">
        <f>SUM(N381:P381)</f>
        <v>204</v>
      </c>
      <c r="R381" s="38">
        <f t="shared" ref="R381:R389" si="120">+E381+I381+M381+Q381</f>
        <v>14419</v>
      </c>
      <c r="T381" t="s">
        <v>2174</v>
      </c>
      <c r="V381" s="693" t="s">
        <v>2610</v>
      </c>
      <c r="W381" s="18" t="s">
        <v>2090</v>
      </c>
      <c r="X381" s="680" t="s">
        <v>2091</v>
      </c>
      <c r="Y381" s="680" t="s">
        <v>2234</v>
      </c>
      <c r="Z381" s="692" t="s">
        <v>1594</v>
      </c>
      <c r="AA381" s="680" t="s">
        <v>2235</v>
      </c>
      <c r="AB381" s="680" t="s">
        <v>2236</v>
      </c>
      <c r="AC381" s="680" t="s">
        <v>2237</v>
      </c>
      <c r="AD381" s="692" t="s">
        <v>1595</v>
      </c>
      <c r="AE381" s="680" t="s">
        <v>1504</v>
      </c>
      <c r="AF381" s="680" t="s">
        <v>1505</v>
      </c>
      <c r="AG381" s="680" t="s">
        <v>1506</v>
      </c>
      <c r="AH381" s="692" t="s">
        <v>1596</v>
      </c>
      <c r="AI381" s="680" t="s">
        <v>1507</v>
      </c>
      <c r="AJ381" s="680" t="s">
        <v>1508</v>
      </c>
      <c r="AK381" s="680" t="s">
        <v>1509</v>
      </c>
      <c r="AL381" s="692" t="s">
        <v>1597</v>
      </c>
      <c r="AM381" s="694" t="s">
        <v>1510</v>
      </c>
    </row>
    <row r="382" spans="1:39" ht="15.75" customHeight="1" x14ac:dyDescent="0.3">
      <c r="A382" s="256" t="s">
        <v>357</v>
      </c>
      <c r="B382" s="10"/>
      <c r="C382" s="10"/>
      <c r="D382" s="10"/>
      <c r="E382" s="38">
        <f>SUM(B382:D382)</f>
        <v>0</v>
      </c>
      <c r="F382" s="10"/>
      <c r="G382" s="10"/>
      <c r="H382" s="10"/>
      <c r="I382" s="38">
        <f>SUM(F382:H382)</f>
        <v>0</v>
      </c>
      <c r="J382" s="10"/>
      <c r="K382" s="10"/>
      <c r="L382" s="10"/>
      <c r="M382" s="38">
        <f>SUM(J382:L382)</f>
        <v>0</v>
      </c>
      <c r="N382" s="10"/>
      <c r="O382" s="10"/>
      <c r="P382" s="10"/>
      <c r="Q382" s="38">
        <f>SUM(N382:P382)</f>
        <v>0</v>
      </c>
      <c r="R382" s="38">
        <f t="shared" si="120"/>
        <v>0</v>
      </c>
      <c r="T382" t="s">
        <v>2175</v>
      </c>
      <c r="V382" s="579" t="s">
        <v>3014</v>
      </c>
      <c r="W382" s="696">
        <v>1500</v>
      </c>
      <c r="X382" s="696">
        <v>1500</v>
      </c>
      <c r="Y382" s="696">
        <v>6800</v>
      </c>
      <c r="Z382">
        <f>+SUM(W382:Y382)</f>
        <v>9800</v>
      </c>
      <c r="AA382" s="696">
        <f>8000+1500</f>
        <v>9500</v>
      </c>
      <c r="AB382" s="696">
        <f>10000+2000</f>
        <v>12000</v>
      </c>
      <c r="AC382" s="696">
        <f>12000+1500</f>
        <v>13500</v>
      </c>
      <c r="AD382">
        <f>+SUM(AA382:AC382)</f>
        <v>35000</v>
      </c>
      <c r="AE382" s="696">
        <v>25500</v>
      </c>
      <c r="AF382" s="696">
        <v>19000</v>
      </c>
      <c r="AG382" s="696">
        <v>4000</v>
      </c>
      <c r="AH382">
        <f>+SUM(AE382:AG382)</f>
        <v>48500</v>
      </c>
      <c r="AI382" s="696">
        <v>1500</v>
      </c>
      <c r="AJ382" s="696">
        <v>1000</v>
      </c>
      <c r="AK382" s="696">
        <v>1069</v>
      </c>
      <c r="AL382">
        <f>+SUM(AI382:AK382)</f>
        <v>3569</v>
      </c>
      <c r="AM382" s="561">
        <f>+Z382+AD382+AH382+AL382</f>
        <v>96869</v>
      </c>
    </row>
    <row r="383" spans="1:39" ht="15.75" customHeight="1" x14ac:dyDescent="0.3">
      <c r="A383" s="311" t="s">
        <v>909</v>
      </c>
      <c r="B383" s="10">
        <v>78</v>
      </c>
      <c r="C383" s="10">
        <v>817</v>
      </c>
      <c r="D383" s="10">
        <v>3994</v>
      </c>
      <c r="E383" s="38">
        <f t="shared" ref="E383:E389" si="121">SUM(B383:D383)</f>
        <v>4889</v>
      </c>
      <c r="F383" s="10">
        <v>6970</v>
      </c>
      <c r="G383" s="10">
        <v>6499</v>
      </c>
      <c r="H383" s="10">
        <v>10352</v>
      </c>
      <c r="I383" s="38">
        <f t="shared" ref="I383:I389" si="122">SUM(F383:H383)</f>
        <v>23821</v>
      </c>
      <c r="J383" s="10">
        <v>1364</v>
      </c>
      <c r="K383" s="10">
        <v>1154</v>
      </c>
      <c r="L383" s="10"/>
      <c r="M383" s="38">
        <f t="shared" ref="M383:M389" si="123">SUM(J383:L383)</f>
        <v>2518</v>
      </c>
      <c r="N383" s="10"/>
      <c r="O383" s="10"/>
      <c r="P383" s="10"/>
      <c r="Q383" s="38">
        <f t="shared" ref="Q383:Q389" si="124">SUM(N383:P383)</f>
        <v>0</v>
      </c>
      <c r="R383" s="38">
        <f t="shared" si="120"/>
        <v>31228</v>
      </c>
      <c r="T383" t="s">
        <v>2776</v>
      </c>
      <c r="V383" s="579" t="s">
        <v>2174</v>
      </c>
      <c r="W383">
        <f>+$W$377*W382</f>
        <v>270</v>
      </c>
      <c r="X383">
        <f>+$W$377*X382</f>
        <v>270</v>
      </c>
      <c r="Y383">
        <f>+$W$377*Y382</f>
        <v>1224</v>
      </c>
      <c r="Z383">
        <f>+SUM(W383:Y383)</f>
        <v>1764</v>
      </c>
      <c r="AA383">
        <f>+$W$377*AA382</f>
        <v>1710</v>
      </c>
      <c r="AB383">
        <f>+$W$377*AB382</f>
        <v>2160</v>
      </c>
      <c r="AC383">
        <f>+$W$377*AC382</f>
        <v>2430</v>
      </c>
      <c r="AD383">
        <f>+SUM(AA383:AC383)</f>
        <v>6300</v>
      </c>
      <c r="AE383">
        <f>+$W$377*AE382</f>
        <v>4590</v>
      </c>
      <c r="AF383">
        <f>+$W$377*AF382</f>
        <v>3420</v>
      </c>
      <c r="AG383">
        <f>+$W$377*AG382</f>
        <v>720</v>
      </c>
      <c r="AH383">
        <f>+SUM(AE383:AG383)</f>
        <v>8730</v>
      </c>
      <c r="AI383">
        <f>+$W$377*AI382</f>
        <v>270</v>
      </c>
      <c r="AJ383">
        <f>+$W$377*AJ382</f>
        <v>180</v>
      </c>
      <c r="AK383">
        <f>+$W$377*AK382</f>
        <v>192.42</v>
      </c>
      <c r="AL383">
        <f>+SUM(AI383:AK383)</f>
        <v>642.41999999999996</v>
      </c>
      <c r="AM383" s="561">
        <f>+Z383+AD383+AH383+AL383</f>
        <v>17436.419999999998</v>
      </c>
    </row>
    <row r="384" spans="1:39" ht="15.75" customHeight="1" x14ac:dyDescent="0.3">
      <c r="A384" s="410" t="s">
        <v>2539</v>
      </c>
      <c r="B384" s="10">
        <v>2174</v>
      </c>
      <c r="C384" s="10">
        <v>2974</v>
      </c>
      <c r="D384" s="10">
        <v>12789</v>
      </c>
      <c r="E384" s="38">
        <f t="shared" si="121"/>
        <v>17937</v>
      </c>
      <c r="F384" s="10">
        <v>12017</v>
      </c>
      <c r="G384" s="10">
        <v>11421</v>
      </c>
      <c r="H384" s="10">
        <v>18989</v>
      </c>
      <c r="I384" s="38">
        <f t="shared" si="122"/>
        <v>42427</v>
      </c>
      <c r="J384" s="10">
        <v>9024</v>
      </c>
      <c r="K384" s="10">
        <v>11429</v>
      </c>
      <c r="L384" s="10">
        <v>8341</v>
      </c>
      <c r="M384" s="38">
        <f t="shared" si="123"/>
        <v>28794</v>
      </c>
      <c r="N384" s="10">
        <v>1657</v>
      </c>
      <c r="O384" s="10">
        <v>1447</v>
      </c>
      <c r="P384" s="10">
        <v>3364</v>
      </c>
      <c r="Q384" s="38">
        <f t="shared" si="124"/>
        <v>6468</v>
      </c>
      <c r="R384" s="38">
        <f t="shared" si="120"/>
        <v>95626</v>
      </c>
      <c r="T384" t="s">
        <v>2174</v>
      </c>
      <c r="V384" s="579" t="s">
        <v>500</v>
      </c>
      <c r="W384">
        <f>+$W$378*W382</f>
        <v>780</v>
      </c>
      <c r="X384">
        <f>+$W$378*X382</f>
        <v>780</v>
      </c>
      <c r="Y384">
        <f>+$W$378*Y382</f>
        <v>3536</v>
      </c>
      <c r="Z384">
        <f>+SUM(W384:Y384)</f>
        <v>5096</v>
      </c>
      <c r="AA384">
        <f>+$W$378*AA382</f>
        <v>4940</v>
      </c>
      <c r="AB384">
        <f>+$W$378*AB382</f>
        <v>6240</v>
      </c>
      <c r="AC384">
        <f>+$W$378*AC382</f>
        <v>7020</v>
      </c>
      <c r="AD384">
        <f>+SUM(AA384:AC384)</f>
        <v>18200</v>
      </c>
      <c r="AE384">
        <f>+$W$378*AE382</f>
        <v>13260</v>
      </c>
      <c r="AF384">
        <f>+$W$378*AF382</f>
        <v>9880</v>
      </c>
      <c r="AG384">
        <f>+$W$378*AG382</f>
        <v>2080</v>
      </c>
      <c r="AH384">
        <f>+SUM(AE384:AG384)</f>
        <v>25220</v>
      </c>
      <c r="AI384">
        <f>+$W$378*AI382</f>
        <v>780</v>
      </c>
      <c r="AJ384">
        <f>+$W$378*AJ382</f>
        <v>520</v>
      </c>
      <c r="AK384">
        <f>+$W$378*AK382</f>
        <v>555.88</v>
      </c>
      <c r="AL384">
        <f>+SUM(AI384:AK384)</f>
        <v>1855.88</v>
      </c>
      <c r="AM384" s="561">
        <f>+Z384+AD384+AH384+AL384</f>
        <v>50371.88</v>
      </c>
    </row>
    <row r="385" spans="1:39" ht="15.75" customHeight="1" x14ac:dyDescent="0.3">
      <c r="A385" s="410" t="s">
        <v>2728</v>
      </c>
      <c r="B385" s="10"/>
      <c r="C385" s="10"/>
      <c r="D385" s="10"/>
      <c r="E385" s="38">
        <f t="shared" si="121"/>
        <v>0</v>
      </c>
      <c r="F385" s="10"/>
      <c r="G385" s="10"/>
      <c r="H385" s="10"/>
      <c r="I385" s="38">
        <f t="shared" si="122"/>
        <v>0</v>
      </c>
      <c r="J385" s="10"/>
      <c r="K385" s="10"/>
      <c r="L385" s="10"/>
      <c r="M385" s="38">
        <f t="shared" si="123"/>
        <v>0</v>
      </c>
      <c r="N385" s="10"/>
      <c r="O385" s="10"/>
      <c r="P385" s="10"/>
      <c r="Q385" s="38">
        <f t="shared" si="124"/>
        <v>0</v>
      </c>
      <c r="R385" s="38">
        <f t="shared" si="120"/>
        <v>0</v>
      </c>
      <c r="T385" t="s">
        <v>2777</v>
      </c>
      <c r="V385" s="579" t="s">
        <v>505</v>
      </c>
      <c r="W385">
        <f>+$W$379*W382</f>
        <v>450</v>
      </c>
      <c r="X385">
        <f>+$W$379*X382</f>
        <v>450</v>
      </c>
      <c r="Y385">
        <f>+$W$379*Y382</f>
        <v>2040</v>
      </c>
      <c r="Z385">
        <f>+SUM(W385:Y385)</f>
        <v>2940</v>
      </c>
      <c r="AA385">
        <f>+$W$379*AA382</f>
        <v>2850</v>
      </c>
      <c r="AB385">
        <f>+$W$379*AB382</f>
        <v>3600</v>
      </c>
      <c r="AC385">
        <f>+$W$379*AC382</f>
        <v>4050</v>
      </c>
      <c r="AD385">
        <f>+SUM(AA385:AC385)</f>
        <v>10500</v>
      </c>
      <c r="AE385">
        <f>+$W$379*AE382</f>
        <v>7650</v>
      </c>
      <c r="AF385">
        <f>+$W$379*AF382</f>
        <v>5700</v>
      </c>
      <c r="AG385">
        <f>+$W$379*AG382</f>
        <v>1200</v>
      </c>
      <c r="AH385">
        <f>+SUM(AE385:AG385)</f>
        <v>14550</v>
      </c>
      <c r="AI385">
        <f>+$W$379*AI382</f>
        <v>450</v>
      </c>
      <c r="AJ385">
        <f>+$W$379*AJ382</f>
        <v>300</v>
      </c>
      <c r="AK385">
        <f>+$W$379*AK382</f>
        <v>320.7</v>
      </c>
      <c r="AL385">
        <f>+$W$379*AL382</f>
        <v>1070.7</v>
      </c>
      <c r="AM385" s="561">
        <f>+Z385+AD385+AH385+AL385</f>
        <v>29060.7</v>
      </c>
    </row>
    <row r="386" spans="1:39" ht="15.75" customHeight="1" thickBot="1" x14ac:dyDescent="0.35">
      <c r="A386" s="410" t="s">
        <v>2814</v>
      </c>
      <c r="B386" s="10">
        <v>261</v>
      </c>
      <c r="C386" s="10">
        <v>984</v>
      </c>
      <c r="D386" s="10">
        <v>2255</v>
      </c>
      <c r="E386" s="38">
        <f t="shared" si="121"/>
        <v>3500</v>
      </c>
      <c r="F386" s="10"/>
      <c r="G386" s="10"/>
      <c r="H386" s="10"/>
      <c r="I386" s="38">
        <f t="shared" si="122"/>
        <v>0</v>
      </c>
      <c r="J386" s="10"/>
      <c r="K386" s="10"/>
      <c r="L386" s="10"/>
      <c r="M386" s="38">
        <f t="shared" si="123"/>
        <v>0</v>
      </c>
      <c r="N386" s="10"/>
      <c r="O386" s="10"/>
      <c r="P386" s="10"/>
      <c r="Q386" s="38">
        <f t="shared" si="124"/>
        <v>0</v>
      </c>
      <c r="R386" s="38">
        <f t="shared" si="120"/>
        <v>3500</v>
      </c>
      <c r="T386" t="s">
        <v>2175</v>
      </c>
      <c r="V386" s="580"/>
      <c r="W386" s="581"/>
      <c r="X386" s="581"/>
      <c r="Y386" s="581"/>
      <c r="Z386" s="581"/>
      <c r="AA386" s="581"/>
      <c r="AB386" s="581"/>
      <c r="AC386" s="581"/>
      <c r="AD386" s="581"/>
      <c r="AE386" s="581"/>
      <c r="AF386" s="581"/>
      <c r="AG386" s="581"/>
      <c r="AH386" s="581"/>
      <c r="AI386" s="581"/>
      <c r="AJ386" s="581"/>
      <c r="AK386" s="581"/>
      <c r="AL386" s="581"/>
      <c r="AM386" s="565"/>
    </row>
    <row r="387" spans="1:39" s="707" customFormat="1" ht="15.75" customHeight="1" x14ac:dyDescent="0.3">
      <c r="A387" s="728" t="s">
        <v>3206</v>
      </c>
      <c r="B387" s="542"/>
      <c r="C387" s="542"/>
      <c r="D387" s="542"/>
      <c r="E387" s="543">
        <f t="shared" si="121"/>
        <v>0</v>
      </c>
      <c r="F387" s="542"/>
      <c r="G387" s="542"/>
      <c r="H387" s="542"/>
      <c r="I387" s="543">
        <f t="shared" si="122"/>
        <v>0</v>
      </c>
      <c r="J387" s="542"/>
      <c r="K387" s="542"/>
      <c r="L387" s="542"/>
      <c r="M387" s="543">
        <f t="shared" si="123"/>
        <v>0</v>
      </c>
      <c r="N387" s="542"/>
      <c r="O387" s="542"/>
      <c r="P387" s="542"/>
      <c r="Q387" s="543">
        <f t="shared" ref="Q387" si="125">SUM(N387:P387)</f>
        <v>0</v>
      </c>
      <c r="R387" s="543">
        <f t="shared" ref="R387" si="126">+E387+I387+M387+Q387</f>
        <v>0</v>
      </c>
    </row>
    <row r="388" spans="1:39" ht="15.75" customHeight="1" x14ac:dyDescent="0.3">
      <c r="A388" s="410" t="s">
        <v>2779</v>
      </c>
      <c r="B388" s="10"/>
      <c r="C388" s="10"/>
      <c r="D388" s="10"/>
      <c r="E388" s="38">
        <f t="shared" si="121"/>
        <v>0</v>
      </c>
      <c r="F388" s="10"/>
      <c r="G388" s="10"/>
      <c r="H388" s="10"/>
      <c r="I388" s="38">
        <f t="shared" si="122"/>
        <v>0</v>
      </c>
      <c r="J388" s="10"/>
      <c r="K388" s="10"/>
      <c r="L388" s="10"/>
      <c r="M388" s="38">
        <f t="shared" si="123"/>
        <v>0</v>
      </c>
      <c r="N388" s="10"/>
      <c r="O388" s="10"/>
      <c r="P388" s="10"/>
      <c r="Q388" s="38">
        <f t="shared" si="124"/>
        <v>0</v>
      </c>
      <c r="R388" s="38">
        <f t="shared" si="120"/>
        <v>0</v>
      </c>
      <c r="T388" t="s">
        <v>2178</v>
      </c>
    </row>
    <row r="389" spans="1:39" ht="15.75" customHeight="1" x14ac:dyDescent="0.3">
      <c r="A389" s="256" t="s">
        <v>1513</v>
      </c>
      <c r="B389" s="10"/>
      <c r="C389" s="10"/>
      <c r="D389" s="10"/>
      <c r="E389" s="38">
        <f t="shared" si="121"/>
        <v>0</v>
      </c>
      <c r="F389" s="10"/>
      <c r="G389" s="10"/>
      <c r="H389" s="10">
        <v>1386</v>
      </c>
      <c r="I389" s="38">
        <f t="shared" si="122"/>
        <v>1386</v>
      </c>
      <c r="J389" s="10"/>
      <c r="K389" s="10"/>
      <c r="L389" s="10"/>
      <c r="M389" s="38">
        <f t="shared" si="123"/>
        <v>0</v>
      </c>
      <c r="N389" s="10"/>
      <c r="O389" s="10"/>
      <c r="P389" s="10"/>
      <c r="Q389" s="38">
        <f t="shared" si="124"/>
        <v>0</v>
      </c>
      <c r="R389" s="38">
        <f t="shared" si="120"/>
        <v>1386</v>
      </c>
    </row>
    <row r="390" spans="1:39" ht="15.75" customHeight="1" thickBot="1" x14ac:dyDescent="0.35">
      <c r="A390" s="234" t="s">
        <v>2165</v>
      </c>
      <c r="B390" s="10"/>
      <c r="C390" s="10"/>
      <c r="D390" s="10"/>
      <c r="E390" s="38" t="s">
        <v>852</v>
      </c>
      <c r="F390" s="10"/>
      <c r="G390" s="10"/>
      <c r="H390" s="10"/>
      <c r="I390" s="38" t="s">
        <v>852</v>
      </c>
      <c r="J390" s="10"/>
      <c r="K390" s="10"/>
      <c r="L390" s="10"/>
      <c r="M390" s="38" t="s">
        <v>852</v>
      </c>
      <c r="N390" s="10"/>
      <c r="O390" s="10"/>
      <c r="P390" s="10"/>
      <c r="Q390" s="38" t="s">
        <v>852</v>
      </c>
      <c r="R390" s="38" t="s">
        <v>852</v>
      </c>
    </row>
    <row r="391" spans="1:39" ht="16.5" customHeight="1" thickBot="1" x14ac:dyDescent="0.35">
      <c r="A391" s="43" t="s">
        <v>1219</v>
      </c>
      <c r="B391" s="45">
        <f>SUM(B378:B390)</f>
        <v>2522</v>
      </c>
      <c r="C391" s="46">
        <f>SUM(C378:C390)</f>
        <v>4786</v>
      </c>
      <c r="D391" s="46">
        <f>SUM(D378:D390)</f>
        <v>20732</v>
      </c>
      <c r="E391" s="37">
        <f>SUM(B391:D391)</f>
        <v>28040</v>
      </c>
      <c r="F391" s="46">
        <f>SUM(F378:F390)</f>
        <v>20353</v>
      </c>
      <c r="G391" s="46">
        <f>SUM(G378:G390)</f>
        <v>19442</v>
      </c>
      <c r="H391" s="46">
        <f>SUM(H378:H390)</f>
        <v>35432</v>
      </c>
      <c r="I391" s="37">
        <f>SUM(F391:H391)</f>
        <v>75227</v>
      </c>
      <c r="J391" s="46">
        <f>SUM(J378:J390)</f>
        <v>13877</v>
      </c>
      <c r="K391" s="46">
        <f>SUM(K378:K390)</f>
        <v>13808</v>
      </c>
      <c r="L391" s="46">
        <f>SUM(L378:L390)</f>
        <v>8535</v>
      </c>
      <c r="M391" s="37">
        <f>SUM(J391:L391)</f>
        <v>36220</v>
      </c>
      <c r="N391" s="46">
        <f>SUM(N378:N390)</f>
        <v>1657</v>
      </c>
      <c r="O391" s="46">
        <f>SUM(O378:O390)</f>
        <v>1447</v>
      </c>
      <c r="P391" s="46">
        <f>SUM(P378:P390)</f>
        <v>3568</v>
      </c>
      <c r="Q391" s="37">
        <f>SUM(N391:P391)</f>
        <v>6672</v>
      </c>
      <c r="R391" s="37">
        <f>+E391+I391+M391+Q391</f>
        <v>146159</v>
      </c>
    </row>
    <row r="392" spans="1:39" ht="15.75" customHeight="1" x14ac:dyDescent="0.3">
      <c r="A392" s="234" t="s">
        <v>2166</v>
      </c>
      <c r="B392" s="10"/>
      <c r="C392" s="10"/>
      <c r="D392" s="10"/>
      <c r="E392" s="38" t="s">
        <v>852</v>
      </c>
      <c r="F392" s="10"/>
      <c r="G392" s="10"/>
      <c r="H392" s="10"/>
      <c r="I392" s="38" t="s">
        <v>852</v>
      </c>
      <c r="J392" s="10"/>
      <c r="K392" s="10"/>
      <c r="L392" s="10"/>
      <c r="M392" s="38" t="s">
        <v>852</v>
      </c>
      <c r="N392" s="10"/>
      <c r="O392" s="10"/>
      <c r="P392" s="10"/>
      <c r="Q392" s="38" t="s">
        <v>852</v>
      </c>
      <c r="R392" s="38" t="s">
        <v>852</v>
      </c>
    </row>
    <row r="393" spans="1:39" ht="15.75" customHeight="1" x14ac:dyDescent="0.3">
      <c r="A393" s="234" t="s">
        <v>1245</v>
      </c>
      <c r="B393" s="10"/>
      <c r="C393" s="10"/>
      <c r="D393" s="10"/>
      <c r="E393" s="38" t="s">
        <v>852</v>
      </c>
      <c r="F393" s="10"/>
      <c r="G393" s="10"/>
      <c r="H393" s="10"/>
      <c r="I393" s="38" t="s">
        <v>852</v>
      </c>
      <c r="J393" s="10"/>
      <c r="K393" s="10"/>
      <c r="L393" s="10"/>
      <c r="M393" s="38" t="s">
        <v>852</v>
      </c>
      <c r="N393" s="10"/>
      <c r="O393" s="10"/>
      <c r="P393" s="10"/>
      <c r="Q393" s="38" t="s">
        <v>852</v>
      </c>
      <c r="R393" s="38" t="s">
        <v>852</v>
      </c>
    </row>
    <row r="394" spans="1:39" ht="15.75" customHeight="1" x14ac:dyDescent="0.3">
      <c r="A394" s="256" t="s">
        <v>727</v>
      </c>
      <c r="B394" s="10">
        <v>1834</v>
      </c>
      <c r="C394" s="10">
        <v>3709</v>
      </c>
      <c r="D394" s="10">
        <v>9218</v>
      </c>
      <c r="E394" s="38">
        <f>SUM(B394:D394)</f>
        <v>14761</v>
      </c>
      <c r="F394" s="10">
        <v>8500</v>
      </c>
      <c r="G394" s="10">
        <v>11938</v>
      </c>
      <c r="H394" s="10">
        <v>12889</v>
      </c>
      <c r="I394" s="38">
        <f>SUM(F394:H394)</f>
        <v>33327</v>
      </c>
      <c r="J394" s="10">
        <v>7766</v>
      </c>
      <c r="K394" s="10">
        <v>8029</v>
      </c>
      <c r="L394" s="10">
        <v>4856</v>
      </c>
      <c r="M394" s="38">
        <f>SUM(J394:L394)</f>
        <v>20651</v>
      </c>
      <c r="N394" s="10">
        <v>1985</v>
      </c>
      <c r="O394" s="10">
        <v>828</v>
      </c>
      <c r="P394" s="10">
        <v>1273</v>
      </c>
      <c r="Q394" s="38">
        <f>SUM(N394:P394)</f>
        <v>4086</v>
      </c>
      <c r="R394" s="38">
        <f>+E394+I394+M394+Q394</f>
        <v>72825</v>
      </c>
      <c r="T394" t="s">
        <v>2174</v>
      </c>
    </row>
    <row r="395" spans="1:39" ht="15.75" customHeight="1" x14ac:dyDescent="0.3">
      <c r="A395" s="410" t="s">
        <v>2618</v>
      </c>
      <c r="B395" s="10">
        <f>106+164</f>
        <v>270</v>
      </c>
      <c r="C395" s="10">
        <f>726+120</f>
        <v>846</v>
      </c>
      <c r="D395" s="10">
        <f>1356+134</f>
        <v>1490</v>
      </c>
      <c r="E395" s="38">
        <f>SUM(B395:D395)</f>
        <v>2606</v>
      </c>
      <c r="F395" s="10">
        <f>1783+29</f>
        <v>1812</v>
      </c>
      <c r="G395" s="10">
        <f>1859+15</f>
        <v>1874</v>
      </c>
      <c r="H395" s="10">
        <f>817+1560</f>
        <v>2377</v>
      </c>
      <c r="I395" s="38">
        <f>SUM(F395:H395)</f>
        <v>6063</v>
      </c>
      <c r="J395" s="10">
        <f>1022+511</f>
        <v>1533</v>
      </c>
      <c r="K395" s="10">
        <f>703+197</f>
        <v>900</v>
      </c>
      <c r="L395" s="10">
        <v>958</v>
      </c>
      <c r="M395" s="38">
        <f>SUM(J395:L395)</f>
        <v>3391</v>
      </c>
      <c r="N395" s="10">
        <v>331</v>
      </c>
      <c r="O395" s="10">
        <f>250+170</f>
        <v>420</v>
      </c>
      <c r="P395" s="10">
        <f>448+1701</f>
        <v>2149</v>
      </c>
      <c r="Q395" s="38">
        <f>SUM(N395:P395)</f>
        <v>2900</v>
      </c>
      <c r="R395" s="38">
        <f>+E395+I395+M395+Q395</f>
        <v>14960</v>
      </c>
      <c r="T395" t="s">
        <v>2176</v>
      </c>
    </row>
    <row r="396" spans="1:39" ht="15.75" customHeight="1" x14ac:dyDescent="0.3">
      <c r="A396" s="234" t="s">
        <v>1711</v>
      </c>
      <c r="B396" s="10"/>
      <c r="C396" s="10"/>
      <c r="D396" s="10"/>
      <c r="E396" s="38" t="s">
        <v>852</v>
      </c>
      <c r="F396" s="10"/>
      <c r="G396" s="10"/>
      <c r="H396" s="10"/>
      <c r="I396" s="38" t="s">
        <v>852</v>
      </c>
      <c r="J396" s="10"/>
      <c r="K396" s="10"/>
      <c r="L396" s="10"/>
      <c r="M396" s="38" t="s">
        <v>852</v>
      </c>
      <c r="N396" s="10"/>
      <c r="O396" s="10"/>
      <c r="P396" s="10"/>
      <c r="Q396" s="38" t="s">
        <v>852</v>
      </c>
      <c r="R396" s="38" t="s">
        <v>852</v>
      </c>
    </row>
    <row r="397" spans="1:39" ht="15.75" customHeight="1" x14ac:dyDescent="0.3">
      <c r="A397" s="410" t="s">
        <v>3151</v>
      </c>
      <c r="B397" s="10"/>
      <c r="C397" s="10"/>
      <c r="D397" s="10"/>
      <c r="E397" s="38">
        <f>SUM(B397:D397)</f>
        <v>0</v>
      </c>
      <c r="F397" s="10"/>
      <c r="G397" s="10"/>
      <c r="H397" s="10"/>
      <c r="I397" s="38">
        <f>SUM(F397:H397)</f>
        <v>0</v>
      </c>
      <c r="J397" s="10">
        <v>1000</v>
      </c>
      <c r="K397" s="10">
        <v>1000</v>
      </c>
      <c r="L397" s="10"/>
      <c r="M397" s="38">
        <f>SUM(J397:L397)</f>
        <v>2000</v>
      </c>
      <c r="N397" s="10"/>
      <c r="O397" s="10">
        <v>249</v>
      </c>
      <c r="P397" s="10">
        <v>557</v>
      </c>
      <c r="Q397" s="38">
        <f>SUM(N397:P397)</f>
        <v>806</v>
      </c>
      <c r="R397" s="38">
        <f t="shared" ref="R397:R401" si="127">+E397+I397+M397+Q397</f>
        <v>2806</v>
      </c>
    </row>
    <row r="398" spans="1:39" ht="15.75" customHeight="1" x14ac:dyDescent="0.3">
      <c r="A398" s="410" t="s">
        <v>3148</v>
      </c>
      <c r="B398" s="10"/>
      <c r="C398" s="10"/>
      <c r="D398" s="10"/>
      <c r="E398" s="38">
        <f t="shared" ref="E398:E401" si="128">SUM(B398:D398)</f>
        <v>0</v>
      </c>
      <c r="F398" s="10"/>
      <c r="G398" s="10"/>
      <c r="H398" s="10"/>
      <c r="I398" s="38">
        <f t="shared" ref="I398:I401" si="129">SUM(F398:H398)</f>
        <v>0</v>
      </c>
      <c r="J398" s="10"/>
      <c r="K398" s="10"/>
      <c r="L398" s="10"/>
      <c r="M398" s="38">
        <f t="shared" ref="M398:M401" si="130">SUM(J398:L398)</f>
        <v>0</v>
      </c>
      <c r="N398" s="10"/>
      <c r="O398" s="10"/>
      <c r="P398" s="10"/>
      <c r="Q398" s="38">
        <f t="shared" ref="Q398:Q401" si="131">SUM(N398:P398)</f>
        <v>0</v>
      </c>
      <c r="R398" s="38">
        <f t="shared" si="127"/>
        <v>0</v>
      </c>
    </row>
    <row r="399" spans="1:39" ht="15.75" customHeight="1" x14ac:dyDescent="0.3">
      <c r="A399" s="410" t="s">
        <v>3048</v>
      </c>
      <c r="B399" s="10"/>
      <c r="C399" s="10"/>
      <c r="D399" s="10">
        <v>270</v>
      </c>
      <c r="E399" s="38">
        <f t="shared" si="128"/>
        <v>270</v>
      </c>
      <c r="F399" s="10"/>
      <c r="G399" s="10"/>
      <c r="H399" s="10"/>
      <c r="I399" s="38">
        <f t="shared" si="129"/>
        <v>0</v>
      </c>
      <c r="J399" s="10"/>
      <c r="K399" s="10"/>
      <c r="L399" s="10"/>
      <c r="M399" s="38">
        <f t="shared" si="130"/>
        <v>0</v>
      </c>
      <c r="N399" s="10"/>
      <c r="O399" s="10"/>
      <c r="P399" s="10"/>
      <c r="Q399" s="38">
        <f t="shared" si="131"/>
        <v>0</v>
      </c>
      <c r="R399" s="38">
        <f t="shared" si="127"/>
        <v>270</v>
      </c>
      <c r="T399" t="s">
        <v>1358</v>
      </c>
    </row>
    <row r="400" spans="1:39" ht="15.75" customHeight="1" x14ac:dyDescent="0.3">
      <c r="A400" s="410" t="s">
        <v>2781</v>
      </c>
      <c r="B400" s="10">
        <v>416</v>
      </c>
      <c r="C400" s="10"/>
      <c r="D400" s="10"/>
      <c r="E400" s="38">
        <f t="shared" si="128"/>
        <v>416</v>
      </c>
      <c r="F400" s="10"/>
      <c r="G400" s="10"/>
      <c r="H400" s="10"/>
      <c r="I400" s="38">
        <f t="shared" si="129"/>
        <v>0</v>
      </c>
      <c r="J400" s="10"/>
      <c r="K400" s="10"/>
      <c r="L400" s="10"/>
      <c r="M400" s="38">
        <f t="shared" si="130"/>
        <v>0</v>
      </c>
      <c r="N400" s="10"/>
      <c r="O400" s="10"/>
      <c r="P400" s="10"/>
      <c r="Q400" s="38">
        <f t="shared" si="131"/>
        <v>0</v>
      </c>
      <c r="R400" s="38">
        <f t="shared" si="127"/>
        <v>416</v>
      </c>
      <c r="T400" t="s">
        <v>2780</v>
      </c>
    </row>
    <row r="401" spans="1:20" ht="15.75" customHeight="1" x14ac:dyDescent="0.3">
      <c r="A401" s="410" t="s">
        <v>2782</v>
      </c>
      <c r="B401" s="10"/>
      <c r="C401" s="10"/>
      <c r="D401" s="10">
        <v>286</v>
      </c>
      <c r="E401" s="38">
        <f t="shared" si="128"/>
        <v>286</v>
      </c>
      <c r="F401" s="10"/>
      <c r="G401" s="10"/>
      <c r="H401" s="10"/>
      <c r="I401" s="38">
        <f t="shared" si="129"/>
        <v>0</v>
      </c>
      <c r="J401" s="10"/>
      <c r="K401" s="10"/>
      <c r="L401" s="10"/>
      <c r="M401" s="38">
        <f t="shared" si="130"/>
        <v>0</v>
      </c>
      <c r="N401" s="10"/>
      <c r="O401" s="10"/>
      <c r="P401" s="10"/>
      <c r="Q401" s="38">
        <f t="shared" si="131"/>
        <v>0</v>
      </c>
      <c r="R401" s="38">
        <f t="shared" si="127"/>
        <v>286</v>
      </c>
      <c r="T401" t="s">
        <v>1358</v>
      </c>
    </row>
    <row r="402" spans="1:20" ht="15.75" customHeight="1" x14ac:dyDescent="0.3">
      <c r="A402" s="256" t="s">
        <v>1150</v>
      </c>
      <c r="B402" s="10"/>
      <c r="C402" s="10"/>
      <c r="D402" s="10"/>
      <c r="E402" s="38">
        <f t="shared" ref="E402:E438" si="132">SUM(B402:D402)</f>
        <v>0</v>
      </c>
      <c r="F402" s="10">
        <v>627</v>
      </c>
      <c r="G402" s="10"/>
      <c r="H402" s="10"/>
      <c r="I402" s="38">
        <f t="shared" ref="I402:I438" si="133">SUM(F402:H402)</f>
        <v>627</v>
      </c>
      <c r="J402" s="10"/>
      <c r="K402" s="10"/>
      <c r="L402" s="10"/>
      <c r="M402" s="38">
        <f t="shared" ref="M402:M438" si="134">SUM(J402:L402)</f>
        <v>0</v>
      </c>
      <c r="N402" s="10"/>
      <c r="O402" s="10"/>
      <c r="P402" s="10"/>
      <c r="Q402" s="38">
        <f t="shared" ref="Q402:Q439" si="135">SUM(N402:P402)</f>
        <v>0</v>
      </c>
      <c r="R402" s="38">
        <f t="shared" ref="R402:R438" si="136">+E402+I402+M402+Q402</f>
        <v>627</v>
      </c>
    </row>
    <row r="403" spans="1:20" ht="15.75" customHeight="1" x14ac:dyDescent="0.3">
      <c r="A403" s="410" t="s">
        <v>2598</v>
      </c>
      <c r="B403" s="10"/>
      <c r="C403" s="10"/>
      <c r="D403" s="10"/>
      <c r="E403" s="38">
        <f t="shared" si="132"/>
        <v>0</v>
      </c>
      <c r="F403" s="10"/>
      <c r="G403" s="10"/>
      <c r="H403" s="10"/>
      <c r="I403" s="38">
        <f t="shared" si="133"/>
        <v>0</v>
      </c>
      <c r="J403" s="10"/>
      <c r="K403" s="10"/>
      <c r="L403" s="10"/>
      <c r="M403" s="38">
        <f t="shared" si="134"/>
        <v>0</v>
      </c>
      <c r="N403" s="10"/>
      <c r="O403" s="10"/>
      <c r="P403" s="10"/>
      <c r="Q403" s="38">
        <f t="shared" si="135"/>
        <v>0</v>
      </c>
      <c r="R403" s="38">
        <f>+E403+I403+M403+Q403</f>
        <v>0</v>
      </c>
      <c r="T403" t="s">
        <v>2178</v>
      </c>
    </row>
    <row r="404" spans="1:20" ht="15.75" customHeight="1" x14ac:dyDescent="0.3">
      <c r="A404" s="410" t="s">
        <v>2978</v>
      </c>
      <c r="B404" s="10"/>
      <c r="C404" s="10"/>
      <c r="D404" s="10"/>
      <c r="E404" s="38">
        <f t="shared" si="132"/>
        <v>0</v>
      </c>
      <c r="F404" s="10"/>
      <c r="G404" s="10"/>
      <c r="H404" s="10"/>
      <c r="I404" s="38">
        <f t="shared" si="133"/>
        <v>0</v>
      </c>
      <c r="J404" s="10"/>
      <c r="K404" s="10"/>
      <c r="L404" s="10">
        <v>1950</v>
      </c>
      <c r="M404" s="38">
        <f t="shared" si="134"/>
        <v>1950</v>
      </c>
      <c r="N404" s="10">
        <v>1865</v>
      </c>
      <c r="O404" s="10">
        <v>100</v>
      </c>
      <c r="P404" s="10"/>
      <c r="Q404" s="38">
        <f t="shared" si="135"/>
        <v>1965</v>
      </c>
      <c r="R404" s="38">
        <f t="shared" si="136"/>
        <v>3915</v>
      </c>
      <c r="T404" t="s">
        <v>2174</v>
      </c>
    </row>
    <row r="405" spans="1:20" ht="15.75" customHeight="1" x14ac:dyDescent="0.3">
      <c r="A405" s="410" t="s">
        <v>2729</v>
      </c>
      <c r="B405" s="10"/>
      <c r="C405" s="10"/>
      <c r="D405" s="10">
        <v>2200</v>
      </c>
      <c r="E405" s="38">
        <f t="shared" si="132"/>
        <v>2200</v>
      </c>
      <c r="F405" s="10">
        <v>1500</v>
      </c>
      <c r="G405" s="10">
        <v>1430</v>
      </c>
      <c r="H405" s="10">
        <v>2380</v>
      </c>
      <c r="I405" s="38">
        <f t="shared" si="133"/>
        <v>5310</v>
      </c>
      <c r="J405" s="10">
        <v>1000</v>
      </c>
      <c r="K405" s="10">
        <v>2000</v>
      </c>
      <c r="L405" s="10">
        <v>3867</v>
      </c>
      <c r="M405" s="38">
        <f t="shared" si="134"/>
        <v>6867</v>
      </c>
      <c r="N405" s="10">
        <v>2662</v>
      </c>
      <c r="O405" s="10">
        <v>1634</v>
      </c>
      <c r="P405" s="10">
        <v>3298</v>
      </c>
      <c r="Q405" s="38">
        <f t="shared" si="135"/>
        <v>7594</v>
      </c>
      <c r="R405" s="38">
        <f t="shared" si="136"/>
        <v>21971</v>
      </c>
    </row>
    <row r="406" spans="1:20" ht="15.75" customHeight="1" x14ac:dyDescent="0.3">
      <c r="A406" s="311" t="s">
        <v>464</v>
      </c>
      <c r="B406" s="10">
        <v>200</v>
      </c>
      <c r="C406" s="10">
        <v>1670</v>
      </c>
      <c r="D406" s="10">
        <v>3000</v>
      </c>
      <c r="E406" s="38">
        <f t="shared" si="132"/>
        <v>4870</v>
      </c>
      <c r="F406" s="10">
        <v>4000</v>
      </c>
      <c r="G406" s="10">
        <v>5290</v>
      </c>
      <c r="H406" s="10">
        <v>5590</v>
      </c>
      <c r="I406" s="38">
        <f t="shared" si="133"/>
        <v>14880</v>
      </c>
      <c r="J406" s="10">
        <v>4900</v>
      </c>
      <c r="K406" s="10">
        <v>2450</v>
      </c>
      <c r="L406" s="10">
        <v>3400</v>
      </c>
      <c r="M406" s="38">
        <f t="shared" si="134"/>
        <v>10750</v>
      </c>
      <c r="N406" s="10">
        <v>4400</v>
      </c>
      <c r="O406" s="10">
        <v>2100</v>
      </c>
      <c r="P406" s="10">
        <v>1000</v>
      </c>
      <c r="Q406" s="38">
        <f t="shared" si="135"/>
        <v>7500</v>
      </c>
      <c r="R406" s="38">
        <f t="shared" si="136"/>
        <v>38000</v>
      </c>
      <c r="T406" t="s">
        <v>2174</v>
      </c>
    </row>
    <row r="407" spans="1:20" ht="15.75" customHeight="1" x14ac:dyDescent="0.3">
      <c r="A407" s="410" t="s">
        <v>1381</v>
      </c>
      <c r="B407" s="10"/>
      <c r="C407" s="10"/>
      <c r="D407" s="10"/>
      <c r="E407" s="38">
        <f t="shared" si="132"/>
        <v>0</v>
      </c>
      <c r="F407" s="10"/>
      <c r="G407" s="10"/>
      <c r="H407" s="10"/>
      <c r="I407" s="38">
        <f t="shared" si="133"/>
        <v>0</v>
      </c>
      <c r="J407" s="10">
        <v>667</v>
      </c>
      <c r="K407" s="10">
        <v>7377</v>
      </c>
      <c r="L407" s="10">
        <v>7610</v>
      </c>
      <c r="M407" s="38">
        <f t="shared" si="134"/>
        <v>15654</v>
      </c>
      <c r="N407" s="10">
        <v>4211</v>
      </c>
      <c r="O407" s="10">
        <v>2928</v>
      </c>
      <c r="P407" s="10">
        <v>4114</v>
      </c>
      <c r="Q407" s="38">
        <f t="shared" si="135"/>
        <v>11253</v>
      </c>
      <c r="R407" s="38">
        <f t="shared" si="136"/>
        <v>26907</v>
      </c>
    </row>
    <row r="408" spans="1:20" ht="15.75" customHeight="1" x14ac:dyDescent="0.3">
      <c r="A408" s="410" t="s">
        <v>3052</v>
      </c>
      <c r="B408" s="10">
        <v>232</v>
      </c>
      <c r="C408" s="10">
        <v>1930</v>
      </c>
      <c r="D408" s="10">
        <v>3557</v>
      </c>
      <c r="E408" s="38">
        <f t="shared" si="132"/>
        <v>5719</v>
      </c>
      <c r="F408" s="10">
        <v>3467</v>
      </c>
      <c r="G408" s="10">
        <v>2814</v>
      </c>
      <c r="H408" s="10"/>
      <c r="I408" s="38">
        <f t="shared" si="133"/>
        <v>6281</v>
      </c>
      <c r="J408" s="10"/>
      <c r="K408" s="10"/>
      <c r="L408" s="10"/>
      <c r="M408" s="38">
        <f t="shared" si="134"/>
        <v>0</v>
      </c>
      <c r="N408" s="10"/>
      <c r="O408" s="10"/>
      <c r="P408" s="10"/>
      <c r="Q408" s="38">
        <f t="shared" si="135"/>
        <v>0</v>
      </c>
      <c r="R408" s="38">
        <f t="shared" si="136"/>
        <v>12000</v>
      </c>
    </row>
    <row r="409" spans="1:20" ht="15.75" customHeight="1" x14ac:dyDescent="0.3">
      <c r="A409" s="410" t="s">
        <v>3153</v>
      </c>
      <c r="B409" s="10"/>
      <c r="C409" s="10"/>
      <c r="D409" s="10"/>
      <c r="E409" s="38">
        <f t="shared" si="132"/>
        <v>0</v>
      </c>
      <c r="F409" s="10"/>
      <c r="G409" s="10"/>
      <c r="H409" s="10"/>
      <c r="I409" s="38">
        <f t="shared" si="133"/>
        <v>0</v>
      </c>
      <c r="J409" s="10"/>
      <c r="K409" s="10"/>
      <c r="L409" s="10"/>
      <c r="M409" s="38">
        <f t="shared" si="134"/>
        <v>0</v>
      </c>
      <c r="N409" s="10"/>
      <c r="O409" s="10"/>
      <c r="P409" s="10"/>
      <c r="Q409" s="38">
        <f t="shared" ref="Q409" si="137">SUM(N409:P409)</f>
        <v>0</v>
      </c>
      <c r="R409" s="38">
        <f t="shared" ref="R409" si="138">+E409+I409+M409+Q409</f>
        <v>0</v>
      </c>
    </row>
    <row r="410" spans="1:20" ht="15.75" customHeight="1" x14ac:dyDescent="0.3">
      <c r="A410" s="410" t="s">
        <v>3036</v>
      </c>
      <c r="B410" s="10">
        <v>99</v>
      </c>
      <c r="C410" s="10">
        <v>85</v>
      </c>
      <c r="D410" s="10">
        <v>95</v>
      </c>
      <c r="E410" s="38">
        <f t="shared" si="132"/>
        <v>279</v>
      </c>
      <c r="F410" s="10">
        <v>100</v>
      </c>
      <c r="G410" s="10">
        <v>107</v>
      </c>
      <c r="H410" s="10">
        <v>99</v>
      </c>
      <c r="I410" s="38">
        <f t="shared" si="133"/>
        <v>306</v>
      </c>
      <c r="J410" s="10">
        <v>76</v>
      </c>
      <c r="K410" s="10">
        <v>85</v>
      </c>
      <c r="L410" s="10">
        <v>86</v>
      </c>
      <c r="M410" s="38">
        <f t="shared" si="134"/>
        <v>247</v>
      </c>
      <c r="N410" s="10">
        <v>96</v>
      </c>
      <c r="O410" s="10">
        <v>72</v>
      </c>
      <c r="P410" s="10"/>
      <c r="Q410" s="38">
        <f t="shared" si="135"/>
        <v>168</v>
      </c>
      <c r="R410" s="38">
        <f t="shared" si="136"/>
        <v>1000</v>
      </c>
    </row>
    <row r="411" spans="1:20" ht="15.75" customHeight="1" x14ac:dyDescent="0.3">
      <c r="A411" s="410" t="s">
        <v>2953</v>
      </c>
      <c r="B411" s="10"/>
      <c r="C411" s="10"/>
      <c r="D411" s="10"/>
      <c r="E411" s="38">
        <f t="shared" si="132"/>
        <v>0</v>
      </c>
      <c r="F411" s="10"/>
      <c r="G411" s="10"/>
      <c r="H411" s="10"/>
      <c r="I411" s="38">
        <f t="shared" si="133"/>
        <v>0</v>
      </c>
      <c r="J411" s="10"/>
      <c r="K411" s="10"/>
      <c r="L411" s="10"/>
      <c r="M411" s="38">
        <f t="shared" si="134"/>
        <v>0</v>
      </c>
      <c r="N411" s="10"/>
      <c r="O411" s="10"/>
      <c r="P411" s="10"/>
      <c r="Q411" s="38">
        <f t="shared" si="135"/>
        <v>0</v>
      </c>
      <c r="R411" s="38">
        <f t="shared" si="136"/>
        <v>0</v>
      </c>
      <c r="T411" t="s">
        <v>1358</v>
      </c>
    </row>
    <row r="412" spans="1:20" ht="15.75" customHeight="1" x14ac:dyDescent="0.3">
      <c r="A412" s="410" t="s">
        <v>3031</v>
      </c>
      <c r="B412" s="10">
        <v>8</v>
      </c>
      <c r="C412" s="10">
        <v>17</v>
      </c>
      <c r="D412" s="10">
        <v>24</v>
      </c>
      <c r="E412" s="38">
        <f t="shared" si="132"/>
        <v>49</v>
      </c>
      <c r="F412" s="10">
        <v>18</v>
      </c>
      <c r="G412" s="10"/>
      <c r="H412" s="10">
        <v>12</v>
      </c>
      <c r="I412" s="38">
        <f t="shared" si="133"/>
        <v>30</v>
      </c>
      <c r="J412" s="10">
        <v>36</v>
      </c>
      <c r="K412" s="10">
        <v>18</v>
      </c>
      <c r="L412" s="10">
        <v>36</v>
      </c>
      <c r="M412" s="38">
        <f t="shared" si="134"/>
        <v>90</v>
      </c>
      <c r="N412" s="10">
        <v>18</v>
      </c>
      <c r="O412" s="10">
        <v>18</v>
      </c>
      <c r="P412" s="10">
        <v>36</v>
      </c>
      <c r="Q412" s="38">
        <f t="shared" si="135"/>
        <v>72</v>
      </c>
      <c r="R412" s="38">
        <f t="shared" si="136"/>
        <v>241</v>
      </c>
      <c r="T412" t="s">
        <v>131</v>
      </c>
    </row>
    <row r="413" spans="1:20" ht="15.75" customHeight="1" x14ac:dyDescent="0.3">
      <c r="A413" s="410" t="s">
        <v>2959</v>
      </c>
      <c r="B413" s="10">
        <v>418</v>
      </c>
      <c r="C413" s="10"/>
      <c r="D413" s="10">
        <v>11</v>
      </c>
      <c r="E413" s="38">
        <f t="shared" si="132"/>
        <v>429</v>
      </c>
      <c r="F413" s="10">
        <v>1009</v>
      </c>
      <c r="G413" s="10">
        <v>1091</v>
      </c>
      <c r="H413" s="10">
        <v>1097</v>
      </c>
      <c r="I413" s="38">
        <f t="shared" si="133"/>
        <v>3197</v>
      </c>
      <c r="J413" s="10">
        <v>1152</v>
      </c>
      <c r="K413" s="10">
        <v>790</v>
      </c>
      <c r="L413" s="10"/>
      <c r="M413" s="38">
        <f t="shared" si="134"/>
        <v>1942</v>
      </c>
      <c r="N413" s="10"/>
      <c r="O413" s="10"/>
      <c r="P413" s="10"/>
      <c r="Q413" s="38">
        <f t="shared" si="135"/>
        <v>0</v>
      </c>
      <c r="R413" s="38">
        <f t="shared" si="136"/>
        <v>5568</v>
      </c>
      <c r="T413" t="s">
        <v>2780</v>
      </c>
    </row>
    <row r="414" spans="1:20" ht="15.75" customHeight="1" x14ac:dyDescent="0.3">
      <c r="A414" s="256" t="s">
        <v>2362</v>
      </c>
      <c r="B414" s="10">
        <v>1970</v>
      </c>
      <c r="C414" s="10">
        <v>1970</v>
      </c>
      <c r="D414" s="10">
        <v>1970</v>
      </c>
      <c r="E414" s="38">
        <f t="shared" si="132"/>
        <v>5910</v>
      </c>
      <c r="F414" s="10">
        <v>1970</v>
      </c>
      <c r="G414" s="10"/>
      <c r="H414" s="10"/>
      <c r="I414" s="38">
        <f t="shared" si="133"/>
        <v>1970</v>
      </c>
      <c r="J414" s="10"/>
      <c r="K414" s="10"/>
      <c r="L414" s="10"/>
      <c r="M414" s="38">
        <f t="shared" si="134"/>
        <v>0</v>
      </c>
      <c r="N414" s="10"/>
      <c r="O414" s="10"/>
      <c r="P414" s="10"/>
      <c r="Q414" s="38">
        <f t="shared" si="135"/>
        <v>0</v>
      </c>
      <c r="R414" s="38">
        <f>+E414+I414+M414+Q414</f>
        <v>7880</v>
      </c>
    </row>
    <row r="415" spans="1:20" ht="15.75" customHeight="1" x14ac:dyDescent="0.3">
      <c r="A415" s="256" t="s">
        <v>2263</v>
      </c>
      <c r="B415" s="10"/>
      <c r="C415" s="10"/>
      <c r="D415" s="10"/>
      <c r="E415" s="38">
        <f t="shared" si="132"/>
        <v>0</v>
      </c>
      <c r="F415" s="10"/>
      <c r="G415" s="10"/>
      <c r="H415" s="10"/>
      <c r="I415" s="38">
        <f t="shared" si="133"/>
        <v>0</v>
      </c>
      <c r="J415" s="10"/>
      <c r="K415" s="10"/>
      <c r="L415" s="10"/>
      <c r="M415" s="38">
        <f t="shared" si="134"/>
        <v>0</v>
      </c>
      <c r="N415" s="10"/>
      <c r="O415" s="10"/>
      <c r="P415" s="10"/>
      <c r="Q415" s="38">
        <f t="shared" si="135"/>
        <v>0</v>
      </c>
      <c r="R415" s="38">
        <f>+E415+I415+M415+Q415</f>
        <v>0</v>
      </c>
    </row>
    <row r="416" spans="1:20" ht="15.75" customHeight="1" x14ac:dyDescent="0.3">
      <c r="A416" s="410" t="s">
        <v>3159</v>
      </c>
      <c r="B416" s="10"/>
      <c r="C416" s="10"/>
      <c r="D416" s="10"/>
      <c r="E416" s="38">
        <f t="shared" si="132"/>
        <v>0</v>
      </c>
      <c r="F416" s="10"/>
      <c r="G416" s="10"/>
      <c r="H416" s="10"/>
      <c r="I416" s="38">
        <f t="shared" si="133"/>
        <v>0</v>
      </c>
      <c r="J416" s="10"/>
      <c r="K416" s="10"/>
      <c r="L416" s="10"/>
      <c r="M416" s="38">
        <f t="shared" si="134"/>
        <v>0</v>
      </c>
      <c r="N416" s="10"/>
      <c r="O416" s="10"/>
      <c r="P416" s="10"/>
      <c r="Q416" s="38">
        <f t="shared" si="135"/>
        <v>0</v>
      </c>
      <c r="R416" s="38">
        <f>+E416+I416+M416+Q416</f>
        <v>0</v>
      </c>
    </row>
    <row r="417" spans="1:20" ht="15.75" customHeight="1" x14ac:dyDescent="0.3">
      <c r="A417" s="410" t="s">
        <v>3160</v>
      </c>
      <c r="B417" s="10"/>
      <c r="C417" s="10"/>
      <c r="D417" s="10"/>
      <c r="E417" s="38">
        <f t="shared" si="132"/>
        <v>0</v>
      </c>
      <c r="F417" s="10"/>
      <c r="G417" s="10"/>
      <c r="H417" s="10"/>
      <c r="I417" s="38">
        <f t="shared" si="133"/>
        <v>0</v>
      </c>
      <c r="J417" s="10"/>
      <c r="K417" s="10"/>
      <c r="L417" s="10"/>
      <c r="M417" s="38">
        <f t="shared" si="134"/>
        <v>0</v>
      </c>
      <c r="N417" s="10"/>
      <c r="O417" s="10"/>
      <c r="P417" s="10"/>
      <c r="Q417" s="38">
        <f t="shared" si="135"/>
        <v>0</v>
      </c>
      <c r="R417" s="38">
        <f>+E417+I417+M417+Q417</f>
        <v>0</v>
      </c>
      <c r="T417" t="s">
        <v>1358</v>
      </c>
    </row>
    <row r="418" spans="1:20" ht="15.75" customHeight="1" x14ac:dyDescent="0.3">
      <c r="A418" s="410" t="s">
        <v>3139</v>
      </c>
      <c r="B418" s="10"/>
      <c r="C418" s="10"/>
      <c r="D418" s="10"/>
      <c r="E418" s="38">
        <f t="shared" ref="E418" si="139">SUM(B418:D418)</f>
        <v>0</v>
      </c>
      <c r="F418" s="10"/>
      <c r="G418" s="10"/>
      <c r="H418" s="10"/>
      <c r="I418" s="38">
        <f t="shared" ref="I418" si="140">SUM(F418:H418)</f>
        <v>0</v>
      </c>
      <c r="J418" s="10"/>
      <c r="K418" s="10"/>
      <c r="L418" s="10">
        <v>496</v>
      </c>
      <c r="M418" s="38">
        <f t="shared" ref="M418" si="141">SUM(J418:L418)</f>
        <v>496</v>
      </c>
      <c r="N418" s="10">
        <v>1504</v>
      </c>
      <c r="O418" s="10"/>
      <c r="P418" s="10"/>
      <c r="Q418" s="38">
        <f t="shared" ref="Q418" si="142">SUM(N418:P418)</f>
        <v>1504</v>
      </c>
      <c r="R418" s="38">
        <f t="shared" ref="R418:R419" si="143">+E418+I418+M418+Q418</f>
        <v>2000</v>
      </c>
      <c r="T418" t="s">
        <v>2760</v>
      </c>
    </row>
    <row r="419" spans="1:20" ht="16.5" customHeight="1" x14ac:dyDescent="0.3">
      <c r="A419" s="410" t="s">
        <v>2786</v>
      </c>
      <c r="B419" s="10"/>
      <c r="C419" s="10"/>
      <c r="D419" s="10"/>
      <c r="E419" s="38">
        <f t="shared" si="132"/>
        <v>0</v>
      </c>
      <c r="F419" s="10"/>
      <c r="G419" s="10"/>
      <c r="H419" s="10"/>
      <c r="I419" s="38">
        <f t="shared" si="133"/>
        <v>0</v>
      </c>
      <c r="J419" s="10"/>
      <c r="K419" s="10"/>
      <c r="L419" s="10"/>
      <c r="M419" s="38">
        <f t="shared" si="134"/>
        <v>0</v>
      </c>
      <c r="N419" s="10"/>
      <c r="O419" s="10"/>
      <c r="P419" s="10"/>
      <c r="Q419" s="38">
        <f t="shared" ref="Q419" si="144">SUM(N419:P419)</f>
        <v>0</v>
      </c>
      <c r="R419" s="38">
        <f t="shared" si="143"/>
        <v>0</v>
      </c>
      <c r="T419" t="s">
        <v>2777</v>
      </c>
    </row>
    <row r="420" spans="1:20" ht="15.75" customHeight="1" x14ac:dyDescent="0.3">
      <c r="A420" s="410" t="s">
        <v>3140</v>
      </c>
      <c r="B420" s="10"/>
      <c r="C420" s="10"/>
      <c r="D420" s="10">
        <v>320</v>
      </c>
      <c r="E420" s="38">
        <f t="shared" ref="E420" si="145">SUM(B420:D420)</f>
        <v>320</v>
      </c>
      <c r="F420" s="10">
        <v>2533</v>
      </c>
      <c r="G420" s="10">
        <v>525</v>
      </c>
      <c r="H420" s="10">
        <v>3746</v>
      </c>
      <c r="I420" s="38">
        <f t="shared" ref="I420" si="146">SUM(F420:H420)</f>
        <v>6804</v>
      </c>
      <c r="J420" s="10">
        <v>2607</v>
      </c>
      <c r="K420" s="10">
        <v>1957</v>
      </c>
      <c r="L420" s="10">
        <v>1681</v>
      </c>
      <c r="M420" s="38">
        <f t="shared" ref="M420" si="147">SUM(J420:L420)</f>
        <v>6245</v>
      </c>
      <c r="N420" s="10">
        <v>564</v>
      </c>
      <c r="O420" s="10"/>
      <c r="P420" s="10"/>
      <c r="Q420" s="38">
        <f t="shared" ref="Q420" si="148">SUM(N420:P420)</f>
        <v>564</v>
      </c>
      <c r="R420" s="38">
        <f t="shared" si="136"/>
        <v>13933</v>
      </c>
      <c r="T420" t="s">
        <v>2175</v>
      </c>
    </row>
    <row r="421" spans="1:20" ht="15.75" customHeight="1" x14ac:dyDescent="0.3">
      <c r="A421" s="410" t="s">
        <v>2787</v>
      </c>
      <c r="B421" s="10"/>
      <c r="C421" s="10"/>
      <c r="D421" s="10"/>
      <c r="E421" s="38">
        <f t="shared" si="132"/>
        <v>0</v>
      </c>
      <c r="F421" s="10"/>
      <c r="G421" s="10"/>
      <c r="H421" s="10"/>
      <c r="I421" s="38">
        <f t="shared" si="133"/>
        <v>0</v>
      </c>
      <c r="J421" s="10"/>
      <c r="K421" s="10"/>
      <c r="L421" s="10"/>
      <c r="M421" s="38">
        <f t="shared" si="134"/>
        <v>0</v>
      </c>
      <c r="N421" s="10"/>
      <c r="O421" s="10"/>
      <c r="P421" s="10"/>
      <c r="Q421" s="38">
        <f t="shared" si="135"/>
        <v>0</v>
      </c>
      <c r="R421" s="38">
        <f t="shared" si="136"/>
        <v>0</v>
      </c>
      <c r="T421" t="s">
        <v>2175</v>
      </c>
    </row>
    <row r="422" spans="1:20" ht="15.75" customHeight="1" x14ac:dyDescent="0.3">
      <c r="A422" s="410" t="s">
        <v>2788</v>
      </c>
      <c r="B422" s="10"/>
      <c r="C422" s="10"/>
      <c r="D422" s="10"/>
      <c r="E422" s="38">
        <f t="shared" si="132"/>
        <v>0</v>
      </c>
      <c r="F422" s="10"/>
      <c r="G422" s="10"/>
      <c r="H422" s="10"/>
      <c r="I422" s="38">
        <f t="shared" si="133"/>
        <v>0</v>
      </c>
      <c r="J422" s="10"/>
      <c r="K422" s="10"/>
      <c r="L422" s="10"/>
      <c r="M422" s="38">
        <f t="shared" si="134"/>
        <v>0</v>
      </c>
      <c r="N422" s="10"/>
      <c r="O422" s="10"/>
      <c r="P422" s="10"/>
      <c r="Q422" s="38">
        <f t="shared" si="135"/>
        <v>0</v>
      </c>
      <c r="R422" s="38">
        <f t="shared" ref="R422:R427" si="149">+E422+I422+M422+Q422</f>
        <v>0</v>
      </c>
      <c r="T422" t="s">
        <v>2780</v>
      </c>
    </row>
    <row r="423" spans="1:20" ht="15.75" customHeight="1" x14ac:dyDescent="0.3">
      <c r="A423" s="410" t="s">
        <v>3149</v>
      </c>
      <c r="B423" s="10"/>
      <c r="C423" s="10"/>
      <c r="D423" s="10">
        <v>2000</v>
      </c>
      <c r="E423" s="38">
        <f t="shared" si="132"/>
        <v>2000</v>
      </c>
      <c r="F423" s="10">
        <v>2000</v>
      </c>
      <c r="G423" s="10">
        <v>2500</v>
      </c>
      <c r="H423" s="10">
        <v>2500</v>
      </c>
      <c r="I423" s="38">
        <f t="shared" si="133"/>
        <v>7000</v>
      </c>
      <c r="J423" s="10">
        <v>2000</v>
      </c>
      <c r="K423" s="10">
        <v>3184</v>
      </c>
      <c r="L423" s="10">
        <v>316</v>
      </c>
      <c r="M423" s="38">
        <f t="shared" si="134"/>
        <v>5500</v>
      </c>
      <c r="N423" s="10"/>
      <c r="O423" s="10"/>
      <c r="P423" s="10"/>
      <c r="Q423" s="38">
        <f t="shared" si="135"/>
        <v>0</v>
      </c>
      <c r="R423" s="38">
        <f t="shared" si="149"/>
        <v>14500</v>
      </c>
    </row>
    <row r="424" spans="1:20" ht="15.75" customHeight="1" x14ac:dyDescent="0.3">
      <c r="A424" s="410" t="s">
        <v>2789</v>
      </c>
      <c r="B424" s="10"/>
      <c r="C424" s="10"/>
      <c r="D424" s="10"/>
      <c r="E424" s="38">
        <f t="shared" si="132"/>
        <v>0</v>
      </c>
      <c r="F424" s="10"/>
      <c r="G424" s="10"/>
      <c r="H424" s="10"/>
      <c r="I424" s="38">
        <f t="shared" si="133"/>
        <v>0</v>
      </c>
      <c r="J424" s="10">
        <v>648</v>
      </c>
      <c r="K424" s="10">
        <v>5875</v>
      </c>
      <c r="L424" s="10">
        <v>790</v>
      </c>
      <c r="M424" s="38">
        <f t="shared" si="134"/>
        <v>7313</v>
      </c>
      <c r="N424" s="10"/>
      <c r="O424" s="10"/>
      <c r="P424" s="10"/>
      <c r="Q424" s="38">
        <f t="shared" si="135"/>
        <v>0</v>
      </c>
      <c r="R424" s="38">
        <f t="shared" si="149"/>
        <v>7313</v>
      </c>
      <c r="T424" t="s">
        <v>1358</v>
      </c>
    </row>
    <row r="425" spans="1:20" ht="15.75" customHeight="1" x14ac:dyDescent="0.3">
      <c r="A425" s="410" t="s">
        <v>3073</v>
      </c>
      <c r="B425" s="10"/>
      <c r="C425" s="10"/>
      <c r="D425" s="10"/>
      <c r="E425" s="38">
        <f t="shared" si="132"/>
        <v>0</v>
      </c>
      <c r="F425" s="10">
        <v>2695</v>
      </c>
      <c r="G425" s="10">
        <v>3775</v>
      </c>
      <c r="H425" s="10"/>
      <c r="I425" s="38">
        <f t="shared" si="133"/>
        <v>6470</v>
      </c>
      <c r="J425" s="10"/>
      <c r="K425" s="10"/>
      <c r="L425" s="10"/>
      <c r="M425" s="38">
        <f t="shared" si="134"/>
        <v>0</v>
      </c>
      <c r="N425" s="10"/>
      <c r="O425" s="10"/>
      <c r="P425" s="10"/>
      <c r="Q425" s="38">
        <f>SUM(N425:P425)</f>
        <v>0</v>
      </c>
      <c r="R425" s="38">
        <f t="shared" si="149"/>
        <v>6470</v>
      </c>
    </row>
    <row r="426" spans="1:20" ht="15.75" customHeight="1" x14ac:dyDescent="0.3">
      <c r="A426" s="410" t="s">
        <v>3061</v>
      </c>
      <c r="B426" s="10"/>
      <c r="C426" s="10">
        <v>39</v>
      </c>
      <c r="D426" s="10">
        <v>1915</v>
      </c>
      <c r="E426" s="38">
        <f t="shared" si="132"/>
        <v>1954</v>
      </c>
      <c r="F426" s="10"/>
      <c r="G426" s="10"/>
      <c r="H426" s="10"/>
      <c r="I426" s="38">
        <f t="shared" si="133"/>
        <v>0</v>
      </c>
      <c r="J426" s="10"/>
      <c r="K426" s="10"/>
      <c r="L426" s="10"/>
      <c r="M426" s="38">
        <f t="shared" si="134"/>
        <v>0</v>
      </c>
      <c r="N426" s="10"/>
      <c r="O426" s="10"/>
      <c r="P426" s="10"/>
      <c r="Q426" s="38">
        <f t="shared" si="135"/>
        <v>0</v>
      </c>
      <c r="R426" s="38">
        <f t="shared" si="149"/>
        <v>1954</v>
      </c>
    </row>
    <row r="427" spans="1:20" ht="15.75" customHeight="1" x14ac:dyDescent="0.3">
      <c r="A427" s="410" t="s">
        <v>3042</v>
      </c>
      <c r="B427" s="10"/>
      <c r="C427" s="10"/>
      <c r="D427" s="10"/>
      <c r="E427" s="38">
        <f t="shared" si="132"/>
        <v>0</v>
      </c>
      <c r="F427" s="10"/>
      <c r="G427" s="10"/>
      <c r="H427" s="10"/>
      <c r="I427" s="38">
        <f t="shared" si="133"/>
        <v>0</v>
      </c>
      <c r="J427" s="10"/>
      <c r="K427" s="10"/>
      <c r="L427" s="10"/>
      <c r="M427" s="38">
        <f t="shared" si="134"/>
        <v>0</v>
      </c>
      <c r="N427" s="10"/>
      <c r="O427" s="10"/>
      <c r="P427" s="10"/>
      <c r="Q427" s="38">
        <f t="shared" si="135"/>
        <v>0</v>
      </c>
      <c r="R427" s="38">
        <f t="shared" si="149"/>
        <v>0</v>
      </c>
      <c r="T427" t="s">
        <v>2780</v>
      </c>
    </row>
    <row r="428" spans="1:20" ht="15.75" customHeight="1" x14ac:dyDescent="0.3">
      <c r="A428" s="410" t="s">
        <v>2941</v>
      </c>
      <c r="B428" s="10"/>
      <c r="C428" s="10"/>
      <c r="D428" s="10"/>
      <c r="E428" s="38">
        <f t="shared" si="132"/>
        <v>0</v>
      </c>
      <c r="F428" s="10"/>
      <c r="G428" s="10"/>
      <c r="H428" s="10">
        <v>1108</v>
      </c>
      <c r="I428" s="38">
        <f t="shared" si="133"/>
        <v>1108</v>
      </c>
      <c r="J428" s="10">
        <v>1113</v>
      </c>
      <c r="K428" s="10">
        <v>431</v>
      </c>
      <c r="L428" s="10"/>
      <c r="M428" s="38">
        <f t="shared" si="134"/>
        <v>1544</v>
      </c>
      <c r="N428" s="10"/>
      <c r="O428" s="10"/>
      <c r="P428" s="10"/>
      <c r="Q428" s="38">
        <f t="shared" si="135"/>
        <v>0</v>
      </c>
      <c r="R428" s="38">
        <f t="shared" si="136"/>
        <v>2652</v>
      </c>
      <c r="T428" t="s">
        <v>2780</v>
      </c>
    </row>
    <row r="429" spans="1:20" ht="15.75" customHeight="1" x14ac:dyDescent="0.3">
      <c r="A429" s="410" t="s">
        <v>2711</v>
      </c>
      <c r="B429" s="10"/>
      <c r="C429" s="10"/>
      <c r="D429" s="10"/>
      <c r="E429" s="38">
        <f t="shared" si="132"/>
        <v>0</v>
      </c>
      <c r="F429" s="10"/>
      <c r="G429" s="10"/>
      <c r="H429" s="10"/>
      <c r="I429" s="38">
        <f t="shared" si="133"/>
        <v>0</v>
      </c>
      <c r="J429" s="10"/>
      <c r="K429" s="10"/>
      <c r="L429" s="10"/>
      <c r="M429" s="38">
        <f t="shared" si="134"/>
        <v>0</v>
      </c>
      <c r="N429" s="10"/>
      <c r="O429" s="10"/>
      <c r="P429" s="10"/>
      <c r="Q429" s="38">
        <f t="shared" si="135"/>
        <v>0</v>
      </c>
      <c r="R429" s="38">
        <f t="shared" si="136"/>
        <v>0</v>
      </c>
      <c r="T429" t="s">
        <v>1358</v>
      </c>
    </row>
    <row r="430" spans="1:20" ht="15.75" customHeight="1" x14ac:dyDescent="0.3">
      <c r="A430" s="256" t="s">
        <v>1097</v>
      </c>
      <c r="B430" s="10"/>
      <c r="C430" s="10"/>
      <c r="D430" s="10"/>
      <c r="E430" s="38">
        <f t="shared" si="132"/>
        <v>0</v>
      </c>
      <c r="F430" s="10">
        <v>1148</v>
      </c>
      <c r="G430" s="10">
        <v>521</v>
      </c>
      <c r="H430" s="10"/>
      <c r="I430" s="38">
        <f t="shared" si="133"/>
        <v>1669</v>
      </c>
      <c r="J430" s="10"/>
      <c r="K430" s="10"/>
      <c r="L430" s="10"/>
      <c r="M430" s="38">
        <f t="shared" si="134"/>
        <v>0</v>
      </c>
      <c r="N430" s="10"/>
      <c r="O430" s="10"/>
      <c r="P430" s="10"/>
      <c r="Q430" s="38">
        <f t="shared" si="135"/>
        <v>0</v>
      </c>
      <c r="R430" s="38">
        <f t="shared" si="136"/>
        <v>1669</v>
      </c>
    </row>
    <row r="431" spans="1:20" ht="15.75" customHeight="1" x14ac:dyDescent="0.3">
      <c r="A431" s="410" t="s">
        <v>3043</v>
      </c>
      <c r="B431" s="10"/>
      <c r="C431" s="10"/>
      <c r="D431" s="10"/>
      <c r="E431" s="38">
        <f t="shared" si="132"/>
        <v>0</v>
      </c>
      <c r="F431" s="10">
        <v>1337</v>
      </c>
      <c r="G431" s="10"/>
      <c r="H431" s="10"/>
      <c r="I431" s="38">
        <f t="shared" si="133"/>
        <v>1337</v>
      </c>
      <c r="J431" s="10"/>
      <c r="K431" s="10"/>
      <c r="L431" s="10"/>
      <c r="M431" s="38">
        <f t="shared" si="134"/>
        <v>0</v>
      </c>
      <c r="N431" s="10"/>
      <c r="O431" s="10"/>
      <c r="P431" s="10"/>
      <c r="Q431" s="38">
        <f t="shared" si="135"/>
        <v>0</v>
      </c>
      <c r="R431" s="38">
        <f t="shared" si="136"/>
        <v>1337</v>
      </c>
      <c r="T431" t="s">
        <v>1358</v>
      </c>
    </row>
    <row r="432" spans="1:20" ht="15.75" customHeight="1" x14ac:dyDescent="0.3">
      <c r="A432" s="410" t="s">
        <v>2745</v>
      </c>
      <c r="B432" s="10"/>
      <c r="C432" s="10"/>
      <c r="D432" s="10"/>
      <c r="E432" s="38">
        <f t="shared" si="132"/>
        <v>0</v>
      </c>
      <c r="F432" s="10"/>
      <c r="G432" s="10"/>
      <c r="H432" s="10"/>
      <c r="I432" s="38">
        <f t="shared" si="133"/>
        <v>0</v>
      </c>
      <c r="J432" s="10"/>
      <c r="K432" s="10">
        <v>376</v>
      </c>
      <c r="L432" s="10"/>
      <c r="M432" s="38">
        <f t="shared" si="134"/>
        <v>376</v>
      </c>
      <c r="N432" s="10"/>
      <c r="O432" s="10"/>
      <c r="P432" s="10"/>
      <c r="Q432" s="38">
        <f t="shared" si="135"/>
        <v>0</v>
      </c>
      <c r="R432" s="38">
        <f t="shared" si="136"/>
        <v>376</v>
      </c>
      <c r="T432" t="s">
        <v>2780</v>
      </c>
    </row>
    <row r="433" spans="1:21" ht="15.75" customHeight="1" x14ac:dyDescent="0.3">
      <c r="A433" s="410" t="s">
        <v>3150</v>
      </c>
      <c r="B433" s="10"/>
      <c r="C433" s="10"/>
      <c r="D433" s="10"/>
      <c r="E433" s="38">
        <f t="shared" si="132"/>
        <v>0</v>
      </c>
      <c r="F433" s="10"/>
      <c r="G433" s="10"/>
      <c r="H433" s="10">
        <v>119</v>
      </c>
      <c r="I433" s="38">
        <f t="shared" si="133"/>
        <v>119</v>
      </c>
      <c r="J433" s="10"/>
      <c r="K433" s="10"/>
      <c r="L433" s="10"/>
      <c r="M433" s="38">
        <f t="shared" si="134"/>
        <v>0</v>
      </c>
      <c r="N433" s="10"/>
      <c r="O433" s="10"/>
      <c r="P433" s="10"/>
      <c r="Q433" s="38">
        <f t="shared" si="135"/>
        <v>0</v>
      </c>
      <c r="R433" s="38">
        <f>+E433+I433+M433+Q433</f>
        <v>119</v>
      </c>
    </row>
    <row r="434" spans="1:21" ht="15.75" customHeight="1" x14ac:dyDescent="0.3">
      <c r="A434" s="410" t="s">
        <v>2268</v>
      </c>
      <c r="B434" s="10"/>
      <c r="C434" s="10"/>
      <c r="D434" s="10"/>
      <c r="E434" s="38">
        <f t="shared" si="132"/>
        <v>0</v>
      </c>
      <c r="F434" s="10"/>
      <c r="G434" s="10"/>
      <c r="H434" s="10"/>
      <c r="I434" s="38">
        <f t="shared" si="133"/>
        <v>0</v>
      </c>
      <c r="J434" s="10"/>
      <c r="K434" s="10"/>
      <c r="L434" s="10"/>
      <c r="M434" s="38">
        <f t="shared" si="134"/>
        <v>0</v>
      </c>
      <c r="N434" s="10"/>
      <c r="O434" s="10"/>
      <c r="P434" s="10"/>
      <c r="Q434" s="38">
        <f t="shared" si="135"/>
        <v>0</v>
      </c>
      <c r="R434" s="38">
        <f>+E434+I434+M434+Q434</f>
        <v>0</v>
      </c>
      <c r="T434" t="s">
        <v>1358</v>
      </c>
    </row>
    <row r="435" spans="1:21" ht="15.75" customHeight="1" x14ac:dyDescent="0.3">
      <c r="A435" s="410" t="s">
        <v>2783</v>
      </c>
      <c r="B435" s="10"/>
      <c r="C435" s="10"/>
      <c r="D435" s="10">
        <v>134</v>
      </c>
      <c r="E435" s="38">
        <f t="shared" si="132"/>
        <v>134</v>
      </c>
      <c r="F435" s="10">
        <v>1101</v>
      </c>
      <c r="G435" s="10">
        <v>1111</v>
      </c>
      <c r="H435" s="10"/>
      <c r="I435" s="38">
        <f t="shared" si="133"/>
        <v>2212</v>
      </c>
      <c r="J435" s="10"/>
      <c r="K435" s="10"/>
      <c r="L435" s="10"/>
      <c r="M435" s="38">
        <f t="shared" si="134"/>
        <v>0</v>
      </c>
      <c r="N435" s="10"/>
      <c r="O435" s="10"/>
      <c r="P435" s="10"/>
      <c r="Q435" s="38">
        <f t="shared" si="135"/>
        <v>0</v>
      </c>
      <c r="R435" s="38">
        <f t="shared" si="136"/>
        <v>2346</v>
      </c>
      <c r="T435" t="s">
        <v>2780</v>
      </c>
    </row>
    <row r="436" spans="1:21" ht="15.75" customHeight="1" x14ac:dyDescent="0.3">
      <c r="A436" s="410" t="s">
        <v>2784</v>
      </c>
      <c r="B436" s="10"/>
      <c r="C436" s="10"/>
      <c r="D436" s="10">
        <v>72</v>
      </c>
      <c r="E436" s="38">
        <f t="shared" si="132"/>
        <v>72</v>
      </c>
      <c r="F436" s="10">
        <v>1337</v>
      </c>
      <c r="G436" s="10"/>
      <c r="H436" s="10"/>
      <c r="I436" s="38">
        <f t="shared" si="133"/>
        <v>1337</v>
      </c>
      <c r="J436" s="10"/>
      <c r="K436" s="10"/>
      <c r="L436" s="10"/>
      <c r="M436" s="38">
        <f t="shared" si="134"/>
        <v>0</v>
      </c>
      <c r="N436" s="10"/>
      <c r="O436" s="10"/>
      <c r="P436" s="10"/>
      <c r="Q436" s="38">
        <f t="shared" si="135"/>
        <v>0</v>
      </c>
      <c r="R436" s="38">
        <f t="shared" si="136"/>
        <v>1409</v>
      </c>
      <c r="T436" t="s">
        <v>1358</v>
      </c>
    </row>
    <row r="437" spans="1:21" ht="15.75" customHeight="1" x14ac:dyDescent="0.3">
      <c r="A437" s="256" t="s">
        <v>101</v>
      </c>
      <c r="B437" s="10"/>
      <c r="C437" s="10"/>
      <c r="D437" s="10"/>
      <c r="E437" s="38">
        <f t="shared" si="132"/>
        <v>0</v>
      </c>
      <c r="F437" s="10"/>
      <c r="G437" s="10">
        <v>2622</v>
      </c>
      <c r="H437" s="10"/>
      <c r="I437" s="38">
        <f t="shared" si="133"/>
        <v>2622</v>
      </c>
      <c r="J437" s="10"/>
      <c r="K437" s="10"/>
      <c r="L437" s="10"/>
      <c r="M437" s="38">
        <f t="shared" si="134"/>
        <v>0</v>
      </c>
      <c r="N437" s="10"/>
      <c r="O437" s="10"/>
      <c r="P437" s="10"/>
      <c r="Q437" s="38">
        <f t="shared" si="135"/>
        <v>0</v>
      </c>
      <c r="R437" s="38">
        <f t="shared" si="136"/>
        <v>2622</v>
      </c>
    </row>
    <row r="438" spans="1:21" ht="15.75" customHeight="1" thickBot="1" x14ac:dyDescent="0.35">
      <c r="A438" s="256" t="s">
        <v>2717</v>
      </c>
      <c r="B438" s="10">
        <v>374</v>
      </c>
      <c r="C438" s="10">
        <v>1015</v>
      </c>
      <c r="D438" s="10">
        <v>2166</v>
      </c>
      <c r="E438" s="38">
        <f t="shared" si="132"/>
        <v>3555</v>
      </c>
      <c r="F438" s="10">
        <v>3571</v>
      </c>
      <c r="G438" s="10">
        <v>1375</v>
      </c>
      <c r="H438" s="10">
        <v>2000</v>
      </c>
      <c r="I438" s="38">
        <f t="shared" si="133"/>
        <v>6946</v>
      </c>
      <c r="J438" s="10">
        <v>1602</v>
      </c>
      <c r="K438" s="10">
        <v>3000</v>
      </c>
      <c r="L438" s="10">
        <v>3867</v>
      </c>
      <c r="M438" s="38">
        <f t="shared" si="134"/>
        <v>8469</v>
      </c>
      <c r="N438" s="10">
        <v>2663</v>
      </c>
      <c r="O438" s="10">
        <v>1635</v>
      </c>
      <c r="P438" s="10">
        <v>1732</v>
      </c>
      <c r="Q438" s="38">
        <f t="shared" si="135"/>
        <v>6030</v>
      </c>
      <c r="R438" s="38">
        <f t="shared" si="136"/>
        <v>25000</v>
      </c>
    </row>
    <row r="439" spans="1:21" ht="16.5" customHeight="1" thickBot="1" x14ac:dyDescent="0.35">
      <c r="A439" s="277" t="s">
        <v>1220</v>
      </c>
      <c r="B439" s="47">
        <f>SUM(B392:B438)</f>
        <v>5821</v>
      </c>
      <c r="C439" s="42">
        <f>SUM(C392:C438)</f>
        <v>11281</v>
      </c>
      <c r="D439" s="42">
        <f>SUM(D392:D438)</f>
        <v>28728</v>
      </c>
      <c r="E439" s="37">
        <f t="shared" ref="E439" si="150">SUM(B439:D439)</f>
        <v>45830</v>
      </c>
      <c r="F439" s="42">
        <f>SUM(F392:F438)</f>
        <v>38725</v>
      </c>
      <c r="G439" s="42">
        <f>SUM(G392:G438)</f>
        <v>36973</v>
      </c>
      <c r="H439" s="42">
        <f>SUM(H392:H438)</f>
        <v>33917</v>
      </c>
      <c r="I439" s="37">
        <f t="shared" ref="I439" si="151">SUM(F439:H439)</f>
        <v>109615</v>
      </c>
      <c r="J439" s="42">
        <f>SUM(J392:J438)</f>
        <v>26100</v>
      </c>
      <c r="K439" s="42">
        <f>SUM(K392:K438)</f>
        <v>37472</v>
      </c>
      <c r="L439" s="42">
        <f>SUM(L392:L438)</f>
        <v>29913</v>
      </c>
      <c r="M439" s="37">
        <f t="shared" ref="M439" si="152">SUM(J439:L439)</f>
        <v>93485</v>
      </c>
      <c r="N439" s="42">
        <f>SUM(N392:N438)</f>
        <v>20299</v>
      </c>
      <c r="O439" s="42">
        <f>SUM(O392:O438)</f>
        <v>9984</v>
      </c>
      <c r="P439" s="42">
        <f>SUM(P392:P438)</f>
        <v>14159</v>
      </c>
      <c r="Q439" s="37">
        <f t="shared" si="135"/>
        <v>44442</v>
      </c>
      <c r="R439" s="37">
        <f>+E439+I439+M439+Q439</f>
        <v>293372</v>
      </c>
      <c r="T439" s="230"/>
    </row>
    <row r="440" spans="1:21" ht="15.75" customHeight="1" x14ac:dyDescent="0.3">
      <c r="A440" s="234" t="s">
        <v>1712</v>
      </c>
      <c r="B440" s="10"/>
      <c r="C440" s="10"/>
      <c r="D440" s="10"/>
      <c r="E440" s="38" t="s">
        <v>852</v>
      </c>
      <c r="F440" s="10"/>
      <c r="G440" s="10"/>
      <c r="H440" s="10"/>
      <c r="I440" s="38" t="s">
        <v>852</v>
      </c>
      <c r="J440" s="10"/>
      <c r="K440" s="10"/>
      <c r="L440" s="10"/>
      <c r="M440" s="38" t="s">
        <v>852</v>
      </c>
      <c r="N440" s="10"/>
      <c r="O440" s="10"/>
      <c r="P440" s="10"/>
      <c r="Q440" s="38" t="s">
        <v>852</v>
      </c>
      <c r="R440" s="38" t="s">
        <v>852</v>
      </c>
    </row>
    <row r="441" spans="1:21" ht="15.75" customHeight="1" x14ac:dyDescent="0.3">
      <c r="A441" s="234" t="s">
        <v>1021</v>
      </c>
      <c r="B441" s="10"/>
      <c r="C441" s="10"/>
      <c r="D441" s="10"/>
      <c r="E441" s="38" t="s">
        <v>852</v>
      </c>
      <c r="F441" s="10"/>
      <c r="G441" s="10"/>
      <c r="H441" s="10"/>
      <c r="I441" s="38" t="s">
        <v>852</v>
      </c>
      <c r="J441" s="10"/>
      <c r="K441" s="10"/>
      <c r="L441" s="10"/>
      <c r="M441" s="38" t="s">
        <v>852</v>
      </c>
      <c r="N441" s="10"/>
      <c r="O441" s="10"/>
      <c r="P441" s="10"/>
      <c r="Q441" s="38" t="s">
        <v>852</v>
      </c>
      <c r="R441" s="38" t="s">
        <v>852</v>
      </c>
    </row>
    <row r="442" spans="1:21" ht="15.75" customHeight="1" x14ac:dyDescent="0.3">
      <c r="A442" s="410" t="s">
        <v>2746</v>
      </c>
      <c r="B442" s="10"/>
      <c r="C442" s="10"/>
      <c r="D442" s="10"/>
      <c r="E442" s="38">
        <f>SUM(B442:D442)</f>
        <v>0</v>
      </c>
      <c r="F442" s="10"/>
      <c r="G442" s="10"/>
      <c r="H442" s="10"/>
      <c r="I442" s="38">
        <f>SUM(F442:H442)</f>
        <v>0</v>
      </c>
      <c r="J442" s="10"/>
      <c r="K442" s="10"/>
      <c r="L442" s="10"/>
      <c r="M442" s="38">
        <f>SUM(J442:L442)</f>
        <v>0</v>
      </c>
      <c r="N442" s="10"/>
      <c r="O442" s="10"/>
      <c r="P442" s="10"/>
      <c r="Q442" s="38">
        <f>SUM(N442:P442)</f>
        <v>0</v>
      </c>
      <c r="R442" s="38">
        <f>+E442+I442+M442+Q442</f>
        <v>0</v>
      </c>
      <c r="U442" s="707"/>
    </row>
    <row r="443" spans="1:21" ht="15.75" customHeight="1" x14ac:dyDescent="0.3">
      <c r="A443" s="234" t="s">
        <v>557</v>
      </c>
      <c r="B443" s="10"/>
      <c r="C443" s="10"/>
      <c r="D443" s="10"/>
      <c r="E443" s="38" t="s">
        <v>852</v>
      </c>
      <c r="F443" s="10"/>
      <c r="G443" s="10"/>
      <c r="H443" s="10"/>
      <c r="I443" s="38" t="s">
        <v>852</v>
      </c>
      <c r="J443" s="10"/>
      <c r="K443" s="10"/>
      <c r="L443" s="10"/>
      <c r="M443" s="38" t="s">
        <v>852</v>
      </c>
      <c r="N443" s="10"/>
      <c r="O443" s="10"/>
      <c r="P443" s="10"/>
      <c r="Q443" s="38" t="s">
        <v>852</v>
      </c>
      <c r="R443" s="38" t="s">
        <v>852</v>
      </c>
    </row>
    <row r="444" spans="1:21" ht="15.75" customHeight="1" x14ac:dyDescent="0.3">
      <c r="A444" s="410" t="s">
        <v>2566</v>
      </c>
      <c r="B444" s="10"/>
      <c r="C444" s="10"/>
      <c r="D444" s="10"/>
      <c r="E444" s="38">
        <f>SUM(B444:D444)</f>
        <v>0</v>
      </c>
      <c r="F444" s="10"/>
      <c r="G444" s="10"/>
      <c r="H444" s="10"/>
      <c r="I444" s="38">
        <f>SUM(F444:H444)</f>
        <v>0</v>
      </c>
      <c r="J444" s="10"/>
      <c r="K444" s="10"/>
      <c r="L444" s="10"/>
      <c r="M444" s="38">
        <f>SUM(J444:L444)</f>
        <v>0</v>
      </c>
      <c r="N444" s="10"/>
      <c r="O444" s="10"/>
      <c r="P444" s="10"/>
      <c r="Q444" s="38">
        <f>SUM(N444:P444)</f>
        <v>0</v>
      </c>
      <c r="R444" s="38">
        <f>+E444+I444+M444+Q444</f>
        <v>0</v>
      </c>
    </row>
    <row r="445" spans="1:21" ht="15.75" customHeight="1" x14ac:dyDescent="0.3">
      <c r="A445" s="410" t="s">
        <v>2657</v>
      </c>
      <c r="B445" s="10"/>
      <c r="C445" s="10"/>
      <c r="D445" s="10"/>
      <c r="E445" s="38">
        <f>SUM(B445:D445)</f>
        <v>0</v>
      </c>
      <c r="F445" s="10"/>
      <c r="G445" s="10"/>
      <c r="H445" s="10"/>
      <c r="I445" s="38">
        <f>SUM(F445:H445)</f>
        <v>0</v>
      </c>
      <c r="J445" s="10"/>
      <c r="K445" s="10"/>
      <c r="L445" s="10"/>
      <c r="M445" s="38">
        <f>SUM(J445:L445)</f>
        <v>0</v>
      </c>
      <c r="N445" s="10"/>
      <c r="O445" s="10"/>
      <c r="P445" s="10"/>
      <c r="Q445" s="38">
        <f>SUM(N445:P445)</f>
        <v>0</v>
      </c>
      <c r="R445" s="38">
        <f>+E445+I445+M445+Q445</f>
        <v>0</v>
      </c>
    </row>
    <row r="446" spans="1:21" ht="15.75" customHeight="1" x14ac:dyDescent="0.3">
      <c r="A446" s="234" t="s">
        <v>1022</v>
      </c>
      <c r="B446" s="10"/>
      <c r="C446" s="10"/>
      <c r="D446" s="10"/>
      <c r="E446" s="38" t="s">
        <v>852</v>
      </c>
      <c r="F446" s="10"/>
      <c r="G446" s="10"/>
      <c r="H446" s="10"/>
      <c r="I446" s="38" t="s">
        <v>852</v>
      </c>
      <c r="J446" s="10"/>
      <c r="K446" s="10"/>
      <c r="L446" s="10"/>
      <c r="M446" s="38" t="s">
        <v>852</v>
      </c>
      <c r="N446" s="10"/>
      <c r="O446" s="10"/>
      <c r="P446" s="10"/>
      <c r="Q446" s="38" t="s">
        <v>852</v>
      </c>
      <c r="R446" s="38" t="s">
        <v>852</v>
      </c>
    </row>
    <row r="447" spans="1:21" ht="15.75" customHeight="1" x14ac:dyDescent="0.3">
      <c r="A447" s="256" t="s">
        <v>2486</v>
      </c>
      <c r="B447" s="10"/>
      <c r="C447" s="10"/>
      <c r="D447" s="10"/>
      <c r="E447" s="38">
        <f t="shared" ref="E447:E452" si="153">SUM(B447:D447)</f>
        <v>0</v>
      </c>
      <c r="F447" s="10"/>
      <c r="G447" s="10"/>
      <c r="H447" s="10"/>
      <c r="I447" s="38">
        <f t="shared" ref="I447:I452" si="154">SUM(F447:H447)</f>
        <v>0</v>
      </c>
      <c r="J447" s="10"/>
      <c r="K447" s="10"/>
      <c r="L447" s="10"/>
      <c r="M447" s="38">
        <f t="shared" ref="M447:M452" si="155">SUM(J447:L447)</f>
        <v>0</v>
      </c>
      <c r="N447" s="10"/>
      <c r="O447" s="10"/>
      <c r="P447" s="10"/>
      <c r="Q447" s="38">
        <f t="shared" ref="Q447:Q452" si="156">SUM(N447:P447)</f>
        <v>0</v>
      </c>
      <c r="R447" s="38">
        <f t="shared" ref="R447:R452" si="157">+E447+I447+M447+Q447</f>
        <v>0</v>
      </c>
      <c r="T447" t="s">
        <v>2178</v>
      </c>
    </row>
    <row r="448" spans="1:21" ht="15.75" customHeight="1" x14ac:dyDescent="0.3">
      <c r="A448" s="311" t="s">
        <v>1374</v>
      </c>
      <c r="B448" s="10"/>
      <c r="C448" s="10"/>
      <c r="D448" s="10"/>
      <c r="E448" s="38">
        <f t="shared" si="153"/>
        <v>0</v>
      </c>
      <c r="F448" s="10"/>
      <c r="G448" s="10">
        <v>1000</v>
      </c>
      <c r="H448" s="10"/>
      <c r="I448" s="38">
        <f t="shared" si="154"/>
        <v>1000</v>
      </c>
      <c r="J448" s="10"/>
      <c r="K448" s="10"/>
      <c r="L448" s="10"/>
      <c r="M448" s="38">
        <f t="shared" si="155"/>
        <v>0</v>
      </c>
      <c r="N448" s="10"/>
      <c r="O448" s="10"/>
      <c r="P448" s="10"/>
      <c r="Q448" s="38">
        <f t="shared" si="156"/>
        <v>0</v>
      </c>
      <c r="R448" s="38">
        <f t="shared" si="157"/>
        <v>1000</v>
      </c>
      <c r="T448" t="s">
        <v>2178</v>
      </c>
    </row>
    <row r="449" spans="1:21" ht="15.75" customHeight="1" x14ac:dyDescent="0.3">
      <c r="A449" s="256" t="s">
        <v>1866</v>
      </c>
      <c r="B449" s="10"/>
      <c r="C449" s="10"/>
      <c r="D449" s="10"/>
      <c r="E449" s="38">
        <f t="shared" si="153"/>
        <v>0</v>
      </c>
      <c r="F449" s="10"/>
      <c r="G449" s="10"/>
      <c r="H449" s="10"/>
      <c r="I449" s="38">
        <f t="shared" si="154"/>
        <v>0</v>
      </c>
      <c r="J449" s="10"/>
      <c r="K449" s="10"/>
      <c r="L449" s="10"/>
      <c r="M449" s="38">
        <f t="shared" si="155"/>
        <v>0</v>
      </c>
      <c r="N449" s="10"/>
      <c r="O449" s="10"/>
      <c r="P449" s="10"/>
      <c r="Q449" s="38">
        <f t="shared" si="156"/>
        <v>0</v>
      </c>
      <c r="R449" s="38">
        <f t="shared" si="157"/>
        <v>0</v>
      </c>
      <c r="T449" t="s">
        <v>2175</v>
      </c>
    </row>
    <row r="450" spans="1:21" ht="15.75" customHeight="1" x14ac:dyDescent="0.3">
      <c r="A450" s="256" t="s">
        <v>2340</v>
      </c>
      <c r="B450" s="10"/>
      <c r="C450" s="10"/>
      <c r="D450" s="10"/>
      <c r="E450" s="38">
        <f t="shared" si="153"/>
        <v>0</v>
      </c>
      <c r="F450" s="10"/>
      <c r="G450" s="10"/>
      <c r="H450" s="10"/>
      <c r="I450" s="38">
        <f t="shared" si="154"/>
        <v>0</v>
      </c>
      <c r="J450" s="10"/>
      <c r="K450" s="10"/>
      <c r="L450" s="10"/>
      <c r="M450" s="38">
        <f t="shared" si="155"/>
        <v>0</v>
      </c>
      <c r="N450" s="10"/>
      <c r="O450" s="10"/>
      <c r="P450" s="10"/>
      <c r="Q450" s="38">
        <f t="shared" si="156"/>
        <v>0</v>
      </c>
      <c r="R450" s="38">
        <f t="shared" si="157"/>
        <v>0</v>
      </c>
    </row>
    <row r="451" spans="1:21" ht="15.75" customHeight="1" x14ac:dyDescent="0.3">
      <c r="A451" s="311" t="s">
        <v>1376</v>
      </c>
      <c r="B451" s="10"/>
      <c r="C451" s="10"/>
      <c r="D451" s="10"/>
      <c r="E451" s="38">
        <f t="shared" si="153"/>
        <v>0</v>
      </c>
      <c r="F451" s="10"/>
      <c r="G451" s="10"/>
      <c r="H451" s="10"/>
      <c r="I451" s="38">
        <f t="shared" si="154"/>
        <v>0</v>
      </c>
      <c r="J451" s="10"/>
      <c r="K451" s="10"/>
      <c r="L451" s="10"/>
      <c r="M451" s="38">
        <f t="shared" si="155"/>
        <v>0</v>
      </c>
      <c r="N451" s="10"/>
      <c r="O451" s="10"/>
      <c r="P451" s="10"/>
      <c r="Q451" s="38">
        <f t="shared" si="156"/>
        <v>0</v>
      </c>
      <c r="R451" s="38">
        <f t="shared" si="157"/>
        <v>0</v>
      </c>
    </row>
    <row r="452" spans="1:21" ht="15.75" customHeight="1" x14ac:dyDescent="0.3">
      <c r="A452" s="311" t="s">
        <v>1227</v>
      </c>
      <c r="B452" s="10"/>
      <c r="C452" s="10"/>
      <c r="D452" s="10"/>
      <c r="E452" s="38">
        <f t="shared" si="153"/>
        <v>0</v>
      </c>
      <c r="F452" s="10"/>
      <c r="G452" s="10"/>
      <c r="H452" s="10"/>
      <c r="I452" s="38">
        <f t="shared" si="154"/>
        <v>0</v>
      </c>
      <c r="J452" s="10"/>
      <c r="K452" s="10"/>
      <c r="L452" s="10"/>
      <c r="M452" s="38">
        <f t="shared" si="155"/>
        <v>0</v>
      </c>
      <c r="N452" s="10"/>
      <c r="O452" s="10"/>
      <c r="P452" s="10"/>
      <c r="Q452" s="38">
        <f t="shared" si="156"/>
        <v>0</v>
      </c>
      <c r="R452" s="38">
        <f t="shared" si="157"/>
        <v>0</v>
      </c>
      <c r="T452" t="s">
        <v>2178</v>
      </c>
    </row>
    <row r="453" spans="1:21" ht="15.75" customHeight="1" x14ac:dyDescent="0.3">
      <c r="A453" s="234" t="s">
        <v>559</v>
      </c>
      <c r="B453" s="10"/>
      <c r="C453" s="10"/>
      <c r="D453" s="10"/>
      <c r="E453" s="38" t="s">
        <v>852</v>
      </c>
      <c r="F453" s="10"/>
      <c r="G453" s="10"/>
      <c r="H453" s="10"/>
      <c r="I453" s="38" t="s">
        <v>852</v>
      </c>
      <c r="J453" s="10"/>
      <c r="K453" s="10"/>
      <c r="L453" s="10"/>
      <c r="M453" s="38" t="s">
        <v>852</v>
      </c>
      <c r="N453" s="10"/>
      <c r="O453" s="10"/>
      <c r="P453" s="10"/>
      <c r="Q453" s="38" t="s">
        <v>852</v>
      </c>
      <c r="R453" s="38" t="s">
        <v>852</v>
      </c>
    </row>
    <row r="454" spans="1:21" ht="15.75" customHeight="1" x14ac:dyDescent="0.3">
      <c r="A454" s="410" t="s">
        <v>2936</v>
      </c>
      <c r="B454" s="10"/>
      <c r="C454" s="10"/>
      <c r="D454" s="10"/>
      <c r="E454" s="38">
        <f>SUM(B454:D454)</f>
        <v>0</v>
      </c>
      <c r="F454" s="10"/>
      <c r="G454" s="10"/>
      <c r="H454" s="10"/>
      <c r="I454" s="38">
        <f>SUM(F454:H454)</f>
        <v>0</v>
      </c>
      <c r="J454" s="10"/>
      <c r="K454" s="10"/>
      <c r="L454" s="10"/>
      <c r="M454" s="38">
        <f>SUM(J454:L454)</f>
        <v>0</v>
      </c>
      <c r="N454" s="10"/>
      <c r="O454" s="10">
        <v>1120</v>
      </c>
      <c r="P454" s="10"/>
      <c r="Q454" s="38">
        <f>SUM(N454:P454)</f>
        <v>1120</v>
      </c>
      <c r="R454" s="38">
        <f>+E454+I454+M454+Q454</f>
        <v>1120</v>
      </c>
      <c r="T454" t="s">
        <v>2174</v>
      </c>
    </row>
    <row r="455" spans="1:21" ht="15.75" customHeight="1" x14ac:dyDescent="0.3">
      <c r="A455" s="410" t="s">
        <v>2832</v>
      </c>
      <c r="B455" s="10"/>
      <c r="C455" s="10"/>
      <c r="D455" s="10"/>
      <c r="E455" s="38">
        <f>SUM(B455:D455)</f>
        <v>0</v>
      </c>
      <c r="F455" s="10"/>
      <c r="G455" s="10"/>
      <c r="H455" s="10"/>
      <c r="I455" s="38">
        <f>SUM(F455:H455)</f>
        <v>0</v>
      </c>
      <c r="J455" s="10"/>
      <c r="K455" s="10"/>
      <c r="L455" s="10"/>
      <c r="M455" s="38">
        <f>SUM(J455:L455)</f>
        <v>0</v>
      </c>
      <c r="N455" s="10"/>
      <c r="O455" s="10"/>
      <c r="P455" s="10"/>
      <c r="Q455" s="38">
        <f>SUM(N455:P455)</f>
        <v>0</v>
      </c>
      <c r="R455" s="38">
        <f>+E455+I455+M455+Q455</f>
        <v>0</v>
      </c>
      <c r="T455" t="s">
        <v>2174</v>
      </c>
    </row>
    <row r="456" spans="1:21" ht="15.75" customHeight="1" x14ac:dyDescent="0.3">
      <c r="A456" s="410" t="s">
        <v>2569</v>
      </c>
      <c r="B456" s="10"/>
      <c r="C456" s="10"/>
      <c r="D456" s="10"/>
      <c r="E456" s="38">
        <f>SUM(B456:D456)</f>
        <v>0</v>
      </c>
      <c r="F456" s="10"/>
      <c r="G456" s="10"/>
      <c r="H456" s="10"/>
      <c r="I456" s="38">
        <f>SUM(F456:H456)</f>
        <v>0</v>
      </c>
      <c r="J456" s="10"/>
      <c r="K456" s="10"/>
      <c r="L456" s="10"/>
      <c r="M456" s="38">
        <f>SUM(J456:L456)</f>
        <v>0</v>
      </c>
      <c r="N456" s="10"/>
      <c r="O456" s="10"/>
      <c r="P456" s="10"/>
      <c r="Q456" s="38">
        <f>SUM(N456:P456)</f>
        <v>0</v>
      </c>
      <c r="R456" s="38">
        <f>+E456+I456+M456+Q456</f>
        <v>0</v>
      </c>
    </row>
    <row r="457" spans="1:21" ht="15.75" customHeight="1" x14ac:dyDescent="0.3">
      <c r="A457" s="410" t="s">
        <v>2570</v>
      </c>
      <c r="B457" s="10"/>
      <c r="C457" s="10"/>
      <c r="D457" s="10"/>
      <c r="E457" s="38">
        <f t="shared" ref="E457" si="158">SUM(B457:D457)</f>
        <v>0</v>
      </c>
      <c r="F457" s="10"/>
      <c r="G457" s="10"/>
      <c r="H457" s="10"/>
      <c r="I457" s="38">
        <f t="shared" ref="I457" si="159">SUM(F457:H457)</f>
        <v>0</v>
      </c>
      <c r="J457" s="10">
        <v>3800</v>
      </c>
      <c r="K457" s="10"/>
      <c r="L457" s="10"/>
      <c r="M457" s="38">
        <f t="shared" ref="M457" si="160">SUM(J457:L457)</f>
        <v>3800</v>
      </c>
      <c r="N457" s="10"/>
      <c r="O457" s="10"/>
      <c r="P457" s="10"/>
      <c r="Q457" s="38">
        <f t="shared" ref="Q457:Q467" si="161">SUM(N457:P457)</f>
        <v>0</v>
      </c>
      <c r="R457" s="38">
        <f t="shared" ref="R457:R467" si="162">+E457+I457+M457+Q457</f>
        <v>3800</v>
      </c>
    </row>
    <row r="458" spans="1:21" ht="15.75" customHeight="1" x14ac:dyDescent="0.3">
      <c r="A458" s="410" t="s">
        <v>2571</v>
      </c>
      <c r="B458" s="10"/>
      <c r="C458" s="10"/>
      <c r="D458" s="10"/>
      <c r="E458" s="38">
        <f>SUM(B458:D458)</f>
        <v>0</v>
      </c>
      <c r="F458" s="10"/>
      <c r="G458" s="10"/>
      <c r="H458" s="10"/>
      <c r="I458" s="38">
        <f>SUM(F458:H458)</f>
        <v>0</v>
      </c>
      <c r="J458" s="10"/>
      <c r="K458" s="10"/>
      <c r="L458" s="10"/>
      <c r="M458" s="38">
        <f>SUM(J458:L458)</f>
        <v>0</v>
      </c>
      <c r="N458" s="10"/>
      <c r="O458" s="10"/>
      <c r="P458" s="10"/>
      <c r="Q458" s="38">
        <f>SUM(N458:P458)</f>
        <v>0</v>
      </c>
      <c r="R458" s="38">
        <f>+E458+I458+M458+Q458</f>
        <v>0</v>
      </c>
    </row>
    <row r="459" spans="1:21" ht="15.75" customHeight="1" x14ac:dyDescent="0.3">
      <c r="A459" s="410" t="s">
        <v>2572</v>
      </c>
      <c r="B459" s="10">
        <v>300</v>
      </c>
      <c r="C459" s="10">
        <v>410</v>
      </c>
      <c r="D459" s="10">
        <v>710</v>
      </c>
      <c r="E459" s="38">
        <f>SUM(B459:D459)</f>
        <v>1420</v>
      </c>
      <c r="F459" s="10">
        <v>610</v>
      </c>
      <c r="G459" s="10">
        <v>740</v>
      </c>
      <c r="H459" s="10">
        <v>410</v>
      </c>
      <c r="I459" s="38">
        <f>SUM(F459:H459)</f>
        <v>1760</v>
      </c>
      <c r="J459" s="10">
        <v>310</v>
      </c>
      <c r="K459" s="10">
        <v>310</v>
      </c>
      <c r="L459" s="10"/>
      <c r="M459" s="38">
        <f>SUM(J459:L459)</f>
        <v>620</v>
      </c>
      <c r="N459" s="10"/>
      <c r="O459" s="10"/>
      <c r="P459" s="10"/>
      <c r="Q459" s="38">
        <f>SUM(N459:P459)</f>
        <v>0</v>
      </c>
      <c r="R459" s="38">
        <f>+E459+I459+M459+Q459</f>
        <v>3800</v>
      </c>
      <c r="T459" t="s">
        <v>2174</v>
      </c>
      <c r="U459" s="707"/>
    </row>
    <row r="460" spans="1:21" ht="15.75" customHeight="1" x14ac:dyDescent="0.3">
      <c r="A460" s="410" t="s">
        <v>2573</v>
      </c>
      <c r="B460" s="10"/>
      <c r="C460" s="10"/>
      <c r="D460" s="10"/>
      <c r="E460" s="38">
        <f>SUM(B460:D460)</f>
        <v>0</v>
      </c>
      <c r="F460" s="10"/>
      <c r="G460" s="10"/>
      <c r="H460" s="10"/>
      <c r="I460" s="38">
        <f>SUM(F460:H460)</f>
        <v>0</v>
      </c>
      <c r="J460" s="10"/>
      <c r="K460" s="10"/>
      <c r="L460" s="10"/>
      <c r="M460" s="38">
        <f>SUM(J460:L460)</f>
        <v>0</v>
      </c>
      <c r="N460" s="10"/>
      <c r="O460" s="10"/>
      <c r="P460" s="10"/>
      <c r="Q460" s="38">
        <f>SUM(N460:P460)</f>
        <v>0</v>
      </c>
      <c r="R460" s="38">
        <f>+E460+I460+M460+Q460</f>
        <v>0</v>
      </c>
    </row>
    <row r="461" spans="1:21" ht="15.75" customHeight="1" thickBot="1" x14ac:dyDescent="0.35">
      <c r="A461" s="410" t="s">
        <v>2574</v>
      </c>
      <c r="B461" s="10"/>
      <c r="C461" s="10"/>
      <c r="D461" s="10"/>
      <c r="E461" s="38">
        <f>SUM(B461:D461)</f>
        <v>0</v>
      </c>
      <c r="F461" s="10"/>
      <c r="G461" s="10"/>
      <c r="H461" s="10"/>
      <c r="I461" s="38">
        <f>SUM(F461:H461)</f>
        <v>0</v>
      </c>
      <c r="J461" s="10"/>
      <c r="K461" s="10"/>
      <c r="L461" s="10"/>
      <c r="M461" s="38">
        <f>SUM(J461:L461)</f>
        <v>0</v>
      </c>
      <c r="N461" s="10">
        <v>715</v>
      </c>
      <c r="O461" s="10">
        <v>1209</v>
      </c>
      <c r="P461" s="10">
        <v>306</v>
      </c>
      <c r="Q461" s="38">
        <f>SUM(N461:P461)</f>
        <v>2230</v>
      </c>
      <c r="R461" s="38">
        <f>+E461+I461+M461+Q461</f>
        <v>2230</v>
      </c>
      <c r="T461" t="s">
        <v>2175</v>
      </c>
    </row>
    <row r="462" spans="1:21" ht="16.5" customHeight="1" thickBot="1" x14ac:dyDescent="0.35">
      <c r="A462" s="43" t="s">
        <v>1019</v>
      </c>
      <c r="B462" s="42">
        <f>SUM(B446:B461)</f>
        <v>300</v>
      </c>
      <c r="C462" s="42">
        <f>SUM(C446:C461)</f>
        <v>410</v>
      </c>
      <c r="D462" s="42">
        <f>SUM(D446:D461)</f>
        <v>710</v>
      </c>
      <c r="E462" s="39">
        <f t="shared" ref="E462:E467" si="163">SUM(B462:D462)</f>
        <v>1420</v>
      </c>
      <c r="F462" s="42">
        <f>SUM(F446:F461)</f>
        <v>610</v>
      </c>
      <c r="G462" s="42">
        <f>SUM(G446:G461)</f>
        <v>1740</v>
      </c>
      <c r="H462" s="42">
        <f>SUM(H446:H461)</f>
        <v>410</v>
      </c>
      <c r="I462" s="39">
        <f t="shared" ref="I462:I467" si="164">SUM(F462:H462)</f>
        <v>2760</v>
      </c>
      <c r="J462" s="42">
        <f>SUM(J446:J461)</f>
        <v>4110</v>
      </c>
      <c r="K462" s="42">
        <f>SUM(K446:K461)</f>
        <v>310</v>
      </c>
      <c r="L462" s="42">
        <f>SUM(L446:L461)</f>
        <v>0</v>
      </c>
      <c r="M462" s="39">
        <f t="shared" ref="M462:M467" si="165">SUM(J462:L462)</f>
        <v>4420</v>
      </c>
      <c r="N462" s="42">
        <f>SUM(N446:N461)</f>
        <v>715</v>
      </c>
      <c r="O462" s="42">
        <f>SUM(O446:O461)</f>
        <v>2329</v>
      </c>
      <c r="P462" s="42">
        <f>SUM(P446:P461)</f>
        <v>306</v>
      </c>
      <c r="Q462" s="39">
        <f t="shared" si="161"/>
        <v>3350</v>
      </c>
      <c r="R462" s="37">
        <f t="shared" si="162"/>
        <v>11950</v>
      </c>
    </row>
    <row r="463" spans="1:21" ht="16.5" customHeight="1" thickBot="1" x14ac:dyDescent="0.35">
      <c r="A463" s="277" t="s">
        <v>1221</v>
      </c>
      <c r="B463" s="45">
        <f>SUM(B440:B461)</f>
        <v>300</v>
      </c>
      <c r="C463" s="46">
        <f>SUM(C440:C461)</f>
        <v>410</v>
      </c>
      <c r="D463" s="58">
        <f>SUM(D440:D461)</f>
        <v>710</v>
      </c>
      <c r="E463" s="39">
        <f t="shared" si="163"/>
        <v>1420</v>
      </c>
      <c r="F463" s="46">
        <f>SUM(F440:F461)</f>
        <v>610</v>
      </c>
      <c r="G463" s="46">
        <f>SUM(G440:G461)</f>
        <v>1740</v>
      </c>
      <c r="H463" s="46">
        <f>SUM(H440:H461)</f>
        <v>410</v>
      </c>
      <c r="I463" s="39">
        <f t="shared" si="164"/>
        <v>2760</v>
      </c>
      <c r="J463" s="46">
        <f>SUM(J440:J461)</f>
        <v>4110</v>
      </c>
      <c r="K463" s="46">
        <f>SUM(K440:K461)</f>
        <v>310</v>
      </c>
      <c r="L463" s="46">
        <f>SUM(L440:L461)</f>
        <v>0</v>
      </c>
      <c r="M463" s="39">
        <f t="shared" si="165"/>
        <v>4420</v>
      </c>
      <c r="N463" s="46">
        <f>SUM(N440:N461)</f>
        <v>715</v>
      </c>
      <c r="O463" s="46">
        <f>SUM(O440:O461)</f>
        <v>2329</v>
      </c>
      <c r="P463" s="46">
        <f>SUM(P440:P461)</f>
        <v>306</v>
      </c>
      <c r="Q463" s="39">
        <f t="shared" si="161"/>
        <v>3350</v>
      </c>
      <c r="R463" s="37">
        <f t="shared" si="162"/>
        <v>11950</v>
      </c>
    </row>
    <row r="464" spans="1:21" ht="16.5" customHeight="1" thickBot="1" x14ac:dyDescent="0.35">
      <c r="A464" s="43" t="s">
        <v>1222</v>
      </c>
      <c r="B464" s="47">
        <f>+B377+B391+B439+B463</f>
        <v>9936</v>
      </c>
      <c r="C464" s="42">
        <f>+C377+C391+C439+C463</f>
        <v>19109</v>
      </c>
      <c r="D464" s="42">
        <f>+D377+D391+D439+D463</f>
        <v>53594</v>
      </c>
      <c r="E464" s="37">
        <f t="shared" si="163"/>
        <v>82639</v>
      </c>
      <c r="F464" s="42">
        <f>+F377+F391+F439+F463</f>
        <v>66440</v>
      </c>
      <c r="G464" s="42">
        <f>+G377+G391+G439+G463</f>
        <v>68048</v>
      </c>
      <c r="H464" s="42">
        <f>+H377+H391+H439+H463</f>
        <v>91000</v>
      </c>
      <c r="I464" s="37">
        <f t="shared" si="164"/>
        <v>225488</v>
      </c>
      <c r="J464" s="42">
        <f>+J377+J391+J439+J463</f>
        <v>60086</v>
      </c>
      <c r="K464" s="42">
        <f>+K377+K391+K439+K463</f>
        <v>64171</v>
      </c>
      <c r="L464" s="42">
        <f>+L377+L391+L439+L463</f>
        <v>52304</v>
      </c>
      <c r="M464" s="37">
        <f t="shared" si="165"/>
        <v>176561</v>
      </c>
      <c r="N464" s="42">
        <f>+N377+N391+N439+N463</f>
        <v>31350</v>
      </c>
      <c r="O464" s="42">
        <f>+O377+O391+O439+O463</f>
        <v>20963</v>
      </c>
      <c r="P464" s="42">
        <f>+P377+P391+P439+P463</f>
        <v>25582</v>
      </c>
      <c r="Q464" s="37">
        <f t="shared" si="161"/>
        <v>77895</v>
      </c>
      <c r="R464" s="40">
        <f t="shared" si="162"/>
        <v>562583</v>
      </c>
    </row>
    <row r="465" spans="1:18" ht="15.75" customHeight="1" x14ac:dyDescent="0.3">
      <c r="A465" s="539" t="s">
        <v>2273</v>
      </c>
      <c r="B465" s="172"/>
      <c r="C465" s="172"/>
      <c r="D465" s="172"/>
      <c r="E465" s="38">
        <f t="shared" si="163"/>
        <v>0</v>
      </c>
      <c r="F465" s="172"/>
      <c r="G465" s="172"/>
      <c r="H465" s="172"/>
      <c r="I465" s="38">
        <f t="shared" si="164"/>
        <v>0</v>
      </c>
      <c r="J465" s="172"/>
      <c r="K465" s="172"/>
      <c r="L465" s="172"/>
      <c r="M465" s="38">
        <f t="shared" si="165"/>
        <v>0</v>
      </c>
      <c r="N465" s="172"/>
      <c r="O465" s="172"/>
      <c r="P465" s="172"/>
      <c r="Q465" s="38">
        <f t="shared" si="161"/>
        <v>0</v>
      </c>
      <c r="R465" s="38">
        <f t="shared" si="162"/>
        <v>0</v>
      </c>
    </row>
    <row r="466" spans="1:18" ht="15.75" customHeight="1" x14ac:dyDescent="0.3">
      <c r="A466" s="539" t="s">
        <v>2274</v>
      </c>
      <c r="B466" s="172"/>
      <c r="C466" s="172"/>
      <c r="D466" s="172"/>
      <c r="E466" s="38">
        <f t="shared" si="163"/>
        <v>0</v>
      </c>
      <c r="F466" s="172"/>
      <c r="G466" s="172"/>
      <c r="H466" s="172"/>
      <c r="I466" s="38">
        <f t="shared" si="164"/>
        <v>0</v>
      </c>
      <c r="J466" s="172"/>
      <c r="K466" s="172"/>
      <c r="L466" s="172"/>
      <c r="M466" s="38">
        <f t="shared" si="165"/>
        <v>0</v>
      </c>
      <c r="N466" s="172"/>
      <c r="O466" s="172"/>
      <c r="P466" s="172"/>
      <c r="Q466" s="38">
        <f t="shared" si="161"/>
        <v>0</v>
      </c>
      <c r="R466" s="38">
        <f t="shared" si="162"/>
        <v>0</v>
      </c>
    </row>
    <row r="467" spans="1:18" ht="16.5" customHeight="1" thickBot="1" x14ac:dyDescent="0.35">
      <c r="A467" s="257" t="s">
        <v>853</v>
      </c>
      <c r="B467" s="238">
        <v>155</v>
      </c>
      <c r="C467" s="238">
        <v>283</v>
      </c>
      <c r="D467" s="238">
        <v>435</v>
      </c>
      <c r="E467" s="40">
        <f t="shared" si="163"/>
        <v>873</v>
      </c>
      <c r="F467" s="238">
        <v>602</v>
      </c>
      <c r="G467" s="238">
        <v>711</v>
      </c>
      <c r="H467" s="238">
        <v>722</v>
      </c>
      <c r="I467" s="40">
        <f t="shared" si="164"/>
        <v>2035</v>
      </c>
      <c r="J467" s="238">
        <v>686</v>
      </c>
      <c r="K467" s="238">
        <v>519</v>
      </c>
      <c r="L467" s="238">
        <v>531</v>
      </c>
      <c r="M467" s="40">
        <f t="shared" si="165"/>
        <v>1736</v>
      </c>
      <c r="N467" s="238">
        <v>489</v>
      </c>
      <c r="O467" s="238">
        <v>389</v>
      </c>
      <c r="P467" s="238">
        <v>275</v>
      </c>
      <c r="Q467" s="40">
        <f t="shared" si="161"/>
        <v>1153</v>
      </c>
      <c r="R467" s="38">
        <f t="shared" si="162"/>
        <v>5797</v>
      </c>
    </row>
    <row r="468" spans="1:18" ht="16.5" customHeight="1" thickBot="1" x14ac:dyDescent="0.35">
      <c r="A468" s="44"/>
      <c r="B468" s="258"/>
      <c r="C468" s="258"/>
      <c r="D468" s="258"/>
      <c r="E468" s="37"/>
      <c r="F468" s="258"/>
      <c r="G468" s="258"/>
      <c r="H468" s="258"/>
      <c r="I468" s="37"/>
      <c r="J468" s="258"/>
      <c r="K468" s="258"/>
      <c r="L468" s="258"/>
      <c r="M468" s="37"/>
      <c r="N468" s="258"/>
      <c r="O468" s="258"/>
      <c r="P468" s="258"/>
      <c r="Q468" s="37"/>
      <c r="R468" s="37" t="s">
        <v>852</v>
      </c>
    </row>
    <row r="469" spans="1:18" ht="15.75" customHeight="1" x14ac:dyDescent="0.3">
      <c r="A469" s="259" t="s">
        <v>2011</v>
      </c>
      <c r="B469" s="260">
        <f>SUM(B464:B467)</f>
        <v>10091</v>
      </c>
      <c r="C469" s="260">
        <f>SUM(C464:C467)</f>
        <v>19392</v>
      </c>
      <c r="D469" s="260">
        <f>SUM(D464:D467)</f>
        <v>54029</v>
      </c>
      <c r="E469" s="39">
        <f>SUM(B469:D469)</f>
        <v>83512</v>
      </c>
      <c r="F469" s="260">
        <f>SUM(F464:F467)</f>
        <v>67042</v>
      </c>
      <c r="G469" s="260">
        <f>SUM(G464:G467)</f>
        <v>68759</v>
      </c>
      <c r="H469" s="260">
        <f>SUM(H464:H467)</f>
        <v>91722</v>
      </c>
      <c r="I469" s="39">
        <f>SUM(F469:H469)</f>
        <v>227523</v>
      </c>
      <c r="J469" s="260">
        <f>SUM(J464:J467)</f>
        <v>60772</v>
      </c>
      <c r="K469" s="260">
        <f>SUM(K464:K467)</f>
        <v>64690</v>
      </c>
      <c r="L469" s="260">
        <f>SUM(L464:L467)</f>
        <v>52835</v>
      </c>
      <c r="M469" s="39">
        <f>SUM(J469:L469)</f>
        <v>178297</v>
      </c>
      <c r="N469" s="260">
        <f>SUM(N464:N467)</f>
        <v>31839</v>
      </c>
      <c r="O469" s="260">
        <f>SUM(O464:O467)</f>
        <v>21352</v>
      </c>
      <c r="P469" s="260">
        <f>SUM(P464:P467)</f>
        <v>25857</v>
      </c>
      <c r="Q469" s="39">
        <f>SUM(N469:P469)</f>
        <v>79048</v>
      </c>
      <c r="R469" s="39">
        <f>+E469+I469+M469+Q469</f>
        <v>568380</v>
      </c>
    </row>
    <row r="470" spans="1:18" ht="15.75" customHeight="1" x14ac:dyDescent="0.3">
      <c r="A470" s="262" t="s">
        <v>1897</v>
      </c>
      <c r="B470" s="172">
        <f>(B469/B10)/1.983</f>
        <v>164.15336814536462</v>
      </c>
      <c r="C470" s="172">
        <f>(C469/C10)/1.983</f>
        <v>349.25437648584392</v>
      </c>
      <c r="D470" s="172">
        <f>(D469/D10)/1.983</f>
        <v>878.90618645584232</v>
      </c>
      <c r="E470" s="38" t="s">
        <v>852</v>
      </c>
      <c r="F470" s="172">
        <f>(F469/F10)/1.983</f>
        <v>1126.9457051605311</v>
      </c>
      <c r="G470" s="172">
        <f>(G469/G10)/1.983</f>
        <v>1118.5235794576481</v>
      </c>
      <c r="H470" s="172">
        <f>(H469/H10)/1.983</f>
        <v>1541.8053454362077</v>
      </c>
      <c r="I470" s="38" t="s">
        <v>852</v>
      </c>
      <c r="J470" s="172">
        <f>(J469/J10)/1.983</f>
        <v>988.59661965415717</v>
      </c>
      <c r="K470" s="172">
        <f>(K469/K10)/1.983</f>
        <v>1052.3319180778553</v>
      </c>
      <c r="L470" s="172">
        <f>(L469/L10)/1.983</f>
        <v>888.13245923684656</v>
      </c>
      <c r="M470" s="38" t="s">
        <v>852</v>
      </c>
      <c r="N470" s="172">
        <f>(N469/N10)/1.983</f>
        <v>517.93470304035918</v>
      </c>
      <c r="O470" s="172">
        <f>(O469/O10)/1.983</f>
        <v>358.91746512018824</v>
      </c>
      <c r="P470" s="172">
        <f>(P469/P10)/1.983</f>
        <v>420.62368844858719</v>
      </c>
      <c r="Q470" s="38" t="s">
        <v>852</v>
      </c>
      <c r="R470" s="38" t="s">
        <v>852</v>
      </c>
    </row>
    <row r="471" spans="1:18" ht="15.75" customHeight="1" x14ac:dyDescent="0.3">
      <c r="A471" s="262" t="s">
        <v>2432</v>
      </c>
      <c r="B471" s="172">
        <f>B469+B519</f>
        <v>25358</v>
      </c>
      <c r="C471" s="172">
        <f>C469+C519</f>
        <v>32816</v>
      </c>
      <c r="D471" s="172">
        <f>D469+D519</f>
        <v>87447</v>
      </c>
      <c r="E471" s="38">
        <f>SUM(B471:D471)</f>
        <v>145621</v>
      </c>
      <c r="F471" s="172">
        <f>F469+F519</f>
        <v>107093</v>
      </c>
      <c r="G471" s="172">
        <f>G469+G519</f>
        <v>103835</v>
      </c>
      <c r="H471" s="172">
        <f>H469+H519</f>
        <v>141266</v>
      </c>
      <c r="I471" s="38">
        <f>SUM(F471:H471)</f>
        <v>352194</v>
      </c>
      <c r="J471" s="172">
        <f>J469+J519</f>
        <v>112905</v>
      </c>
      <c r="K471" s="172">
        <f>K469+K519</f>
        <v>111677</v>
      </c>
      <c r="L471" s="172">
        <f>L469+L519</f>
        <v>86648</v>
      </c>
      <c r="M471" s="38">
        <f>SUM(J471:L471)</f>
        <v>311230</v>
      </c>
      <c r="N471" s="172">
        <f>N469+N519</f>
        <v>44582</v>
      </c>
      <c r="O471" s="172">
        <f>O469+O519</f>
        <v>25365</v>
      </c>
      <c r="P471" s="172">
        <f>P469+P519</f>
        <v>38540</v>
      </c>
      <c r="Q471" s="38">
        <f>SUM(N471:P471)</f>
        <v>108487</v>
      </c>
      <c r="R471" s="38">
        <f>+E471+I471+M471+Q471</f>
        <v>917532</v>
      </c>
    </row>
    <row r="472" spans="1:18" s="574" customFormat="1" ht="16.5" customHeight="1" thickBot="1" x14ac:dyDescent="0.35">
      <c r="A472" s="576" t="s">
        <v>104</v>
      </c>
      <c r="B472" s="577">
        <f>(B471/B10)/1.983</f>
        <v>412.50630358043367</v>
      </c>
      <c r="C472" s="577">
        <f>(C471/C10)/1.983</f>
        <v>591.02370146243061</v>
      </c>
      <c r="D472" s="577">
        <f>(D471/D10)/1.983</f>
        <v>1422.5269630569519</v>
      </c>
      <c r="E472" s="578" t="s">
        <v>852</v>
      </c>
      <c r="F472" s="577">
        <f>(F471/F10)/1.983</f>
        <v>1800.1849050260548</v>
      </c>
      <c r="G472" s="577">
        <f>(G471/G10)/1.983</f>
        <v>1689.1155466627624</v>
      </c>
      <c r="H472" s="577">
        <f>(H471/H10)/1.983</f>
        <v>2374.6175827870229</v>
      </c>
      <c r="I472" s="578" t="s">
        <v>852</v>
      </c>
      <c r="J472" s="577">
        <f>(J471/J10)/1.983</f>
        <v>1836.6599970718851</v>
      </c>
      <c r="K472" s="577">
        <f>(K471/K10)/1.983</f>
        <v>1816.6837473362289</v>
      </c>
      <c r="L472" s="577">
        <f>(L471/L10)/1.983</f>
        <v>1456.5136997814759</v>
      </c>
      <c r="M472" s="578" t="s">
        <v>852</v>
      </c>
      <c r="N472" s="577">
        <f>(N471/N10)/1.983</f>
        <v>725.22896230865581</v>
      </c>
      <c r="O472" s="577">
        <f>(O471/O10)/1.983</f>
        <v>426.3741805345436</v>
      </c>
      <c r="P472" s="577">
        <f>(P471/P10)/1.983</f>
        <v>626.94190945618402</v>
      </c>
      <c r="Q472" s="578" t="s">
        <v>852</v>
      </c>
      <c r="R472" s="578" t="s">
        <v>852</v>
      </c>
    </row>
    <row r="473" spans="1:18" ht="15.75" customHeight="1" x14ac:dyDescent="0.3">
      <c r="A473" s="351" t="s">
        <v>1011</v>
      </c>
      <c r="B473" s="352">
        <f>B$474+(SUMIF($T$317:$T$450,"FLG",B$324:B$466)/B10/1.98)+(SUMIF($T$317:$T$450,"FCA",B$324:B$466)/B10/1.98)+(SUMIF($T$317:$T$450,"NSC",B$324:B$466)/B10/1.98)</f>
        <v>296.46306902907361</v>
      </c>
      <c r="C473" s="352">
        <f>C$474+(SUMIF($T$317:$T$450,"FLG",C$324:C$466)/C10/1.98)+(SUMIF($T$317:$T$450,"FCA",C$324:C$466)/C10/1.98)+(SUMIF($T$317:$T$450,"NSC",C$324:C$466)/C10/1.98)</f>
        <v>337.54854575580748</v>
      </c>
      <c r="D473" s="352">
        <f>D$474+(SUMIF($T$317:$T$450,"FLG",D$324:D$466)/D10/1.98)+(SUMIF($T$317:$T$450,"FCA",D$324:D$466)/D10/1.98)+(SUMIF($T$317:$T$450,"NSC",D$324:D$466)/D10/1.98)</f>
        <v>897.77522430394424</v>
      </c>
      <c r="E473" s="329"/>
      <c r="F473" s="352">
        <f>F$474+(SUMIF($T$317:$T$450,"FLG",F$324:F$466)/F10/1.98)+(SUMIF($T$317:$T$450,"FCA",F$324:F$466)/F10/1.98)+(SUMIF($T$317:$T$450,"NSC",F$324:F$466)/F10/1.98)</f>
        <v>1045.5287621550858</v>
      </c>
      <c r="G473" s="352">
        <f>G$474+(SUMIF($T$317:$T$450,"FLG",G$324:G$466)/G10/1.98)+(SUMIF($T$317:$T$450,"FCA",G$324:G$466)/G10/1.98)+(SUMIF($T$317:$T$450,"NSC",G$324:G$466)/G10/1.98)</f>
        <v>907.5095299291288</v>
      </c>
      <c r="H473" s="352">
        <f>H$474+(SUMIF($T$317:$T$450,"FLG",H$324:H$466)/H10/1.98)+(SUMIF($T$317:$T$450,"FCA",H$324:H$466)/H10/1.98)+(SUMIF($T$317:$T$450,"NSC",H$324:H$466)/H10/1.98)</f>
        <v>1449.9166144551923</v>
      </c>
      <c r="I473" s="350"/>
      <c r="J473" s="352">
        <f>J$474+(SUMIF($T$317:$T$450,"FLG",J$324:J$466)/J10/1.98)+(SUMIF($T$317:$T$450,"FCA",J$324:J$466)/J10/1.98)+(SUMIF($T$317:$T$450,"NSC",J$324:J$466)/J10/1.98)</f>
        <v>1094.7886951107878</v>
      </c>
      <c r="K473" s="352">
        <f>K$474+(SUMIF($T$317:$T$450,"FLG",K$324:K$466)/K10/1.98)+(SUMIF($T$317:$T$450,"FCA",K$324:K$466)/K10/1.98)+(SUMIF($T$317:$T$450,"NSC",K$324:K$466)/K10/1.98)</f>
        <v>1003.5013893756756</v>
      </c>
      <c r="L473" s="352">
        <f>L$474+(SUMIF($T$317:$T$450,"FLG",L$324:L$466)/L10/1.98)+(SUMIF($T$317:$T$450,"FCA",L$324:L$466)/L10/1.98)+(SUMIF($T$317:$T$450,"NSC",L$324:L$466)/L10/1.98)</f>
        <v>712.94353010691873</v>
      </c>
      <c r="M473" s="350"/>
      <c r="N473" s="352">
        <f>N$474+(SUMIF($T$317:$T$450,"FLG",N$324:N$466)/N10/1.98)+(SUMIF($T$317:$T$450,"FCA",N$324:N$466)/N10/1.98)+(SUMIF($T$317:$T$450,"NSC",N$324:N$466)/N10/1.98)</f>
        <v>235.41416803336671</v>
      </c>
      <c r="O473" s="352">
        <f>O$474+(SUMIF($T$317:$T$450,"FLG",O$324:O$466)/O10/1.98)+(SUMIF($T$317:$T$450,"FCA",O$324:O$466)/O10/1.98)+(SUMIF($T$317:$T$450,"NSC",O$324:O$466)/O10/1.98)</f>
        <v>93.045941003580936</v>
      </c>
      <c r="P473" s="352">
        <f>P$474+(SUMIF($T$317:$T$450,"FLG",P$324:P$466)/P10/1.98)+(SUMIF($T$317:$T$450,"FCA",P$324:P$466)/P10/1.98)+(SUMIF($T$317:$T$450,"NSC",P$324:P$466)/P10/1.98)</f>
        <v>265.27879448429934</v>
      </c>
      <c r="Q473" s="350"/>
      <c r="R473" s="350"/>
    </row>
    <row r="474" spans="1:18" ht="15.75" customHeight="1" x14ac:dyDescent="0.3">
      <c r="A474" s="351" t="s">
        <v>1012</v>
      </c>
      <c r="B474" s="352">
        <f>B$475+(SUMIF($T$317:$T$450,"FCI",B$324:B$466)/B10/1.98)+(SUMIF($T$317:$T$450,"FCC",B$324:B$466)/B10/1.98)</f>
        <v>296.46306902907361</v>
      </c>
      <c r="C474" s="352">
        <f>C$475+(SUMIF($T$317:$T$450,"FCI",C$324:C$466)/C10/1.98)+(SUMIF($T$317:$T$450,"FCC",C$324:C$466)/C10/1.98)</f>
        <v>337.54854575580748</v>
      </c>
      <c r="D474" s="352">
        <f>D$475+(SUMIF($T$317:$T$450,"FCI",D$324:D$466)/D10/1.98)+(SUMIF($T$317:$T$450,"FCC",D$324:D$466)/D10/1.98)</f>
        <v>897.77522430394424</v>
      </c>
      <c r="E474" s="329"/>
      <c r="F474" s="352">
        <f>F$475+(SUMIF($T$317:$T$450,"FCI",F$324:F$466)/F10/1.98)+(SUMIF($T$317:$T$450,"FCC",F$324:F$466)/F10/1.98)</f>
        <v>1045.5287621550858</v>
      </c>
      <c r="G474" s="352">
        <f>G$475+(SUMIF($T$317:$T$450,"FCI",G$324:G$466)/G10/1.98)+(SUMIF($T$317:$T$450,"FCC",G$324:G$466)/G10/1.98)</f>
        <v>907.5095299291288</v>
      </c>
      <c r="H474" s="352">
        <f>H$475+(SUMIF($T$317:$T$450,"FCI",H$324:H$466)/H10/1.98)+(SUMIF($T$317:$T$450,"FCC",H$324:H$466)/H10/1.98)</f>
        <v>1449.9166144551923</v>
      </c>
      <c r="I474" s="350"/>
      <c r="J474" s="352">
        <f>J$475+(SUMIF($T$317:$T$450,"FCI",J$324:J$466)/J10/1.98)+(SUMIF($T$317:$T$450,"FCC",J$324:J$466)/J10/1.98)</f>
        <v>1094.7886951107878</v>
      </c>
      <c r="K474" s="352">
        <f>K$475+(SUMIF($T$317:$T$450,"FCI",K$324:K$466)/K10/1.98)+(SUMIF($T$317:$T$450,"FCC",K$324:K$466)/K10/1.98)</f>
        <v>1003.5013893756756</v>
      </c>
      <c r="L474" s="352">
        <f>L$475+(SUMIF($T$317:$T$450,"FCI",L$324:L$466)/L10/1.98)+(SUMIF($T$317:$T$450,"FCC",L$324:L$466)/L10/1.98)</f>
        <v>712.94353010691873</v>
      </c>
      <c r="M474" s="350"/>
      <c r="N474" s="352">
        <f>N$475+(SUMIF($T$317:$T$450,"FCI",N$324:N$466)/N10/1.98)+(SUMIF($T$317:$T$450,"FCC",N$324:N$466)/N10/1.98)</f>
        <v>235.41416803336671</v>
      </c>
      <c r="O474" s="352">
        <f>O$475+(SUMIF($T$317:$T$450,"FCI",O$324:O$466)/O10/1.98)+(SUMIF($T$317:$T$450,"FCC",O$324:O$466)/O10/1.98)</f>
        <v>93.045941003580936</v>
      </c>
      <c r="P474" s="352">
        <f>P$475+(SUMIF($T$317:$T$450,"FCI",P$324:P$466)/P10/1.98)+(SUMIF($T$317:$T$450,"FCC",P$324:P$466)/P10/1.98)</f>
        <v>265.27879448429934</v>
      </c>
      <c r="Q474" s="350"/>
      <c r="R474" s="350"/>
    </row>
    <row r="475" spans="1:18" ht="15.75" customHeight="1" x14ac:dyDescent="0.3">
      <c r="A475" s="351" t="s">
        <v>1013</v>
      </c>
      <c r="B475" s="352">
        <f>B$476+(SUMIF($T$317:$T$450,"PIL",B$324:B$466)/B10/1.98)+(SUMIF($T$317:$T$450,"KLK",B$324:B$466)/B10/1.98)</f>
        <v>296.46306902907361</v>
      </c>
      <c r="C475" s="352">
        <f>C$476+(SUMIF($T$317:$T$450,"PIL",C$324:C$466)/C10/1.98)+(SUMIF($T$317:$T$450,"KLK",C$324:C$466)/C10/1.98)</f>
        <v>337.54854575580748</v>
      </c>
      <c r="D475" s="352">
        <f>D$476+(SUMIF($T$317:$T$450,"PIL",D$324:D$466)/D10/1.98)+(SUMIF($T$317:$T$450,"KLK",D$324:D$466)/D10/1.98)</f>
        <v>897.77522430394424</v>
      </c>
      <c r="E475" s="329"/>
      <c r="F475" s="352">
        <f>F$476+(SUMIF($T$317:$T$450,"PIL",F$324:F$466)/F10/1.98)+(SUMIF($T$317:$T$450,"KLK",F$324:F$466)/F10/1.98)</f>
        <v>1045.5287621550858</v>
      </c>
      <c r="G475" s="352">
        <f>G$476+(SUMIF($T$317:$T$450,"PIL",G$324:G$466)/G10/1.98)+(SUMIF($T$317:$T$450,"KLK",G$324:G$466)/G10/1.98)</f>
        <v>907.5095299291288</v>
      </c>
      <c r="H475" s="352">
        <f>H$476+(SUMIF($T$317:$T$450,"PIL",H$324:H$466)/H10/1.98)+(SUMIF($T$317:$T$450,"KLK",H$324:H$466)/H10/1.98)</f>
        <v>1449.9166144551923</v>
      </c>
      <c r="I475" s="350"/>
      <c r="J475" s="352">
        <f>J$476+(SUMIF($T$317:$T$450,"PIL",J$324:J$466)/J10/1.98)+(SUMIF($T$317:$T$450,"KLK",J$324:J$466)/J10/1.98)</f>
        <v>1094.7886951107878</v>
      </c>
      <c r="K475" s="352">
        <f>K$476+(SUMIF($T$317:$T$450,"PIL",K$324:K$466)/K10/1.98)+(SUMIF($T$317:$T$450,"KLK",K$324:K$466)/K10/1.98)</f>
        <v>1003.5013893756756</v>
      </c>
      <c r="L475" s="352">
        <f>L$476+(SUMIF($T$317:$T$450,"PIL",L$324:L$466)/L10/1.98)+(SUMIF($T$317:$T$450,"KLK",L$324:L$466)/L10/1.98)</f>
        <v>712.94353010691873</v>
      </c>
      <c r="M475" s="350"/>
      <c r="N475" s="352">
        <f>N$476+(SUMIF($T$317:$T$450,"PIL",N$324:N$466)/N10/1.98)+(SUMIF($T$317:$T$450,"KLK",N$324:N$466)/N10/1.98)</f>
        <v>235.41416803336671</v>
      </c>
      <c r="O475" s="352">
        <f>O$476+(SUMIF($T$317:$T$450,"PIL",O$324:O$466)/O10/1.98)+(SUMIF($T$317:$T$450,"KLK",O$324:O$466)/O10/1.98)</f>
        <v>93.045941003580936</v>
      </c>
      <c r="P475" s="352">
        <f>P$476+(SUMIF($T$317:$T$450,"PIL",P$324:P$466)/P10/1.98)+(SUMIF($T$317:$T$450,"KLK",P$324:P$466)/P10/1.98)</f>
        <v>265.27879448429934</v>
      </c>
      <c r="Q475" s="350"/>
      <c r="R475" s="350"/>
    </row>
    <row r="476" spans="1:18" ht="15.75" customHeight="1" x14ac:dyDescent="0.3">
      <c r="A476" s="351" t="s">
        <v>1014</v>
      </c>
      <c r="B476" s="352">
        <f>B$477+(SUMIF($T$317:$T$450,"CGE",B$324:B$466)/B10/1.98)</f>
        <v>296.36531731841865</v>
      </c>
      <c r="C476" s="352">
        <f>C$477+(SUMIF($T$317:$T$450,"CGE",C$324:C$466)/C10/1.98)</f>
        <v>337.3862080934698</v>
      </c>
      <c r="D476" s="352">
        <f>D$477+(SUMIF($T$317:$T$450,"CGE",D$324:D$466)/D10/1.98)</f>
        <v>897.33534160599697</v>
      </c>
      <c r="E476" s="329"/>
      <c r="F476" s="352">
        <f>F$477+(SUMIF($T$317:$T$450,"CGE",F$324:F$466)/F10/1.98)</f>
        <v>1033.9799406062643</v>
      </c>
      <c r="G476" s="352">
        <f>G$477+(SUMIF($T$317:$T$450,"CGE",G$324:G$466)/G10/1.98)</f>
        <v>906.30392549771796</v>
      </c>
      <c r="H476" s="352">
        <f>H$477+(SUMIF($T$317:$T$450,"CGE",H$324:H$466)/H10/1.98)</f>
        <v>1448.8896784282563</v>
      </c>
      <c r="I476" s="350"/>
      <c r="J476" s="352">
        <f>J$477+(SUMIF($T$317:$T$450,"CGE",J$324:J$466)/J10/1.98)</f>
        <v>1093.5505067758252</v>
      </c>
      <c r="K476" s="352">
        <f>K$477+(SUMIF($T$317:$T$450,"CGE",K$324:K$466)/K10/1.98)</f>
        <v>1002.5238722691262</v>
      </c>
      <c r="L476" s="352">
        <f>L$477+(SUMIF($T$317:$T$450,"CGE",L$324:L$466)/L10/1.98)</f>
        <v>712.10177926516792</v>
      </c>
      <c r="M476" s="350"/>
      <c r="N476" s="352">
        <f>N$477+(SUMIF($T$317:$T$450,"CGE",N$324:N$466)/N10/1.98)</f>
        <v>234.35519116793822</v>
      </c>
      <c r="O476" s="352">
        <f>O$477+(SUMIF($T$317:$T$450,"CGE",O$324:O$466)/O10/1.98)</f>
        <v>92.237860195500133</v>
      </c>
      <c r="P476" s="352">
        <f>P$477+(SUMIF($T$317:$T$450,"CGE",P$324:P$466)/P10/1.98)</f>
        <v>264.83891178635213</v>
      </c>
      <c r="Q476" s="350"/>
      <c r="R476" s="350"/>
    </row>
    <row r="477" spans="1:18" ht="15.75" customHeight="1" x14ac:dyDescent="0.3">
      <c r="A477" s="351" t="s">
        <v>1015</v>
      </c>
      <c r="B477" s="352">
        <f>B$478+(SUMIF($T$317:$T$450,"SRO",B$324:B$466)/B10/1.98)</f>
        <v>296.36531731841865</v>
      </c>
      <c r="C477" s="352">
        <f>C$478+(SUMIF($T$317:$T$450,"SRO",C$324:C$466)/C10/1.98)</f>
        <v>337.3862080934698</v>
      </c>
      <c r="D477" s="352">
        <f>D$478+(SUMIF($T$317:$T$450,"SRO",D$324:D$466)/D10/1.98)</f>
        <v>897.33534160599697</v>
      </c>
      <c r="E477" s="329"/>
      <c r="F477" s="352">
        <f>F$478+(SUMIF($T$317:$T$450,"SRO",F$324:F$466)/F10/1.98)</f>
        <v>1033.9799406062643</v>
      </c>
      <c r="G477" s="352">
        <f>G$478+(SUMIF($T$317:$T$450,"SRO",G$324:G$466)/G10/1.98)</f>
        <v>906.30392549771796</v>
      </c>
      <c r="H477" s="352">
        <f>H$478+(SUMIF($T$317:$T$450,"SRO",H$324:H$466)/H10/1.98)</f>
        <v>1448.8896784282563</v>
      </c>
      <c r="I477" s="350"/>
      <c r="J477" s="352">
        <f>J$478+(SUMIF($T$317:$T$450,"SRO",J$324:J$466)/J10/1.98)</f>
        <v>1093.5505067758252</v>
      </c>
      <c r="K477" s="352">
        <f>K$478+(SUMIF($T$317:$T$450,"SRO",K$324:K$466)/K10/1.98)</f>
        <v>1002.5238722691262</v>
      </c>
      <c r="L477" s="352">
        <f>L$478+(SUMIF($T$317:$T$450,"SRO",L$324:L$466)/L10/1.98)</f>
        <v>712.10177926516792</v>
      </c>
      <c r="M477" s="350"/>
      <c r="N477" s="352">
        <f>N$478+(SUMIF($T$317:$T$450,"SRO",N$324:N$466)/N10/1.98)</f>
        <v>234.35519116793822</v>
      </c>
      <c r="O477" s="352">
        <f>O$478+(SUMIF($T$317:$T$450,"SRO",O$324:O$466)/O10/1.98)</f>
        <v>92.237860195500133</v>
      </c>
      <c r="P477" s="352">
        <f>P$478+(SUMIF($T$317:$T$450,"SRO",P$324:P$466)/P10/1.98)</f>
        <v>264.83891178635213</v>
      </c>
      <c r="Q477" s="350"/>
      <c r="R477" s="350"/>
    </row>
    <row r="478" spans="1:18" ht="15.75" customHeight="1" x14ac:dyDescent="0.3">
      <c r="A478" s="351" t="s">
        <v>130</v>
      </c>
      <c r="B478" s="352">
        <f>B$519/B10/1.983</f>
        <v>248.35293543506904</v>
      </c>
      <c r="C478" s="352">
        <f>C$519/C10/1.983</f>
        <v>241.76932497658669</v>
      </c>
      <c r="D478" s="352">
        <f>D$519/D10/1.983</f>
        <v>543.62077660110936</v>
      </c>
      <c r="E478" s="353"/>
      <c r="F478" s="352">
        <f>F$519/F10/1.983</f>
        <v>673.23919986552357</v>
      </c>
      <c r="G478" s="352">
        <f>G$519/G10/1.983</f>
        <v>570.59196720511443</v>
      </c>
      <c r="H478" s="352">
        <f>H$519/H10/1.983</f>
        <v>832.81223735081528</v>
      </c>
      <c r="I478" s="450"/>
      <c r="J478" s="352">
        <f>J$519/J10/1.983</f>
        <v>848.06337741772813</v>
      </c>
      <c r="K478" s="352">
        <f>K$519/K10/1.983</f>
        <v>764.35182925837353</v>
      </c>
      <c r="L478" s="352">
        <f>L$519/L10/1.983</f>
        <v>568.38124054462924</v>
      </c>
      <c r="M478" s="451"/>
      <c r="N478" s="352">
        <f>N$519/N10/1.983</f>
        <v>207.29425926829663</v>
      </c>
      <c r="O478" s="352">
        <f>O$519/O10/1.983</f>
        <v>67.456715414355358</v>
      </c>
      <c r="P478" s="352">
        <f>P$519/P10/1.983</f>
        <v>206.31822100759683</v>
      </c>
      <c r="Q478" s="451"/>
      <c r="R478" s="350"/>
    </row>
    <row r="479" spans="1:18" ht="15.75" customHeight="1" x14ac:dyDescent="0.3">
      <c r="A479" s="351"/>
      <c r="B479" s="352"/>
      <c r="C479" s="352"/>
      <c r="D479" s="352"/>
      <c r="E479" s="353"/>
      <c r="F479" s="352"/>
      <c r="G479" s="352"/>
      <c r="H479" s="352"/>
      <c r="I479" s="450"/>
      <c r="J479" s="352"/>
      <c r="K479" s="352"/>
      <c r="L479" s="352"/>
      <c r="M479" s="451"/>
      <c r="N479" s="352"/>
      <c r="O479" s="352"/>
      <c r="P479" s="352"/>
      <c r="Q479" s="451"/>
      <c r="R479" s="350"/>
    </row>
    <row r="480" spans="1:18" ht="15.75" customHeight="1" thickBot="1" x14ac:dyDescent="0.35">
      <c r="A480" s="18"/>
      <c r="B480" s="172"/>
      <c r="C480" s="172"/>
      <c r="D480" s="172"/>
      <c r="E480" s="172"/>
      <c r="F480" s="172"/>
      <c r="G480" s="172"/>
      <c r="H480" s="172"/>
      <c r="I480" s="172"/>
      <c r="J480" s="172"/>
      <c r="K480" s="172"/>
      <c r="L480" s="172"/>
      <c r="M480" s="172"/>
      <c r="N480" s="172"/>
      <c r="O480" s="172"/>
      <c r="P480" s="172"/>
      <c r="Q480" s="172"/>
      <c r="R480" s="17"/>
    </row>
    <row r="481" spans="1:20" ht="16.5" customHeight="1" thickBot="1" x14ac:dyDescent="0.35">
      <c r="A481" s="240" t="s">
        <v>813</v>
      </c>
      <c r="B481" s="4" t="s">
        <v>2090</v>
      </c>
      <c r="C481" s="5" t="s">
        <v>2091</v>
      </c>
      <c r="D481" s="5" t="s">
        <v>2234</v>
      </c>
      <c r="E481" s="33" t="s">
        <v>1594</v>
      </c>
      <c r="F481" s="5" t="s">
        <v>2235</v>
      </c>
      <c r="G481" s="5" t="s">
        <v>2236</v>
      </c>
      <c r="H481" s="5" t="s">
        <v>2237</v>
      </c>
      <c r="I481" s="35" t="s">
        <v>1595</v>
      </c>
      <c r="J481" s="5" t="s">
        <v>1504</v>
      </c>
      <c r="K481" s="5" t="s">
        <v>1505</v>
      </c>
      <c r="L481" s="5" t="s">
        <v>1506</v>
      </c>
      <c r="M481" s="35" t="s">
        <v>1596</v>
      </c>
      <c r="N481" s="5" t="s">
        <v>1507</v>
      </c>
      <c r="O481" s="5" t="s">
        <v>1508</v>
      </c>
      <c r="P481" s="5" t="s">
        <v>1509</v>
      </c>
      <c r="Q481" s="35" t="s">
        <v>1597</v>
      </c>
      <c r="R481" s="36" t="s">
        <v>1510</v>
      </c>
    </row>
    <row r="482" spans="1:20" ht="16.5" customHeight="1" thickBot="1" x14ac:dyDescent="0.35">
      <c r="A482" s="37"/>
      <c r="B482" s="258"/>
      <c r="C482" s="258"/>
      <c r="D482" s="258"/>
      <c r="E482" s="254"/>
      <c r="F482" s="258"/>
      <c r="G482" s="258"/>
      <c r="H482" s="258"/>
      <c r="I482" s="265"/>
      <c r="J482" s="258"/>
      <c r="K482" s="258"/>
      <c r="L482" s="258"/>
      <c r="M482" s="265"/>
      <c r="N482" s="258"/>
      <c r="O482" s="258"/>
      <c r="P482" s="258"/>
      <c r="Q482" s="265"/>
      <c r="R482" s="52"/>
    </row>
    <row r="483" spans="1:20" ht="15.75" customHeight="1" x14ac:dyDescent="0.3">
      <c r="A483" s="234" t="s">
        <v>2417</v>
      </c>
      <c r="B483" s="10" t="s">
        <v>852</v>
      </c>
      <c r="C483" s="10" t="s">
        <v>852</v>
      </c>
      <c r="D483" s="10" t="s">
        <v>852</v>
      </c>
      <c r="E483" s="38" t="s">
        <v>852</v>
      </c>
      <c r="F483" s="10" t="s">
        <v>852</v>
      </c>
      <c r="G483" s="10" t="s">
        <v>852</v>
      </c>
      <c r="H483" s="10" t="s">
        <v>852</v>
      </c>
      <c r="I483" s="38" t="s">
        <v>852</v>
      </c>
      <c r="J483" s="10" t="s">
        <v>852</v>
      </c>
      <c r="K483" s="10" t="s">
        <v>852</v>
      </c>
      <c r="L483" s="10" t="s">
        <v>852</v>
      </c>
      <c r="M483" s="38" t="s">
        <v>852</v>
      </c>
      <c r="N483" s="10" t="s">
        <v>852</v>
      </c>
      <c r="O483" s="10" t="s">
        <v>852</v>
      </c>
      <c r="P483" s="10" t="s">
        <v>852</v>
      </c>
      <c r="Q483" s="38" t="s">
        <v>852</v>
      </c>
      <c r="R483" s="38" t="s">
        <v>852</v>
      </c>
    </row>
    <row r="484" spans="1:20" ht="15.75" customHeight="1" x14ac:dyDescent="0.3">
      <c r="A484" s="234" t="s">
        <v>2160</v>
      </c>
      <c r="B484" s="10"/>
      <c r="C484" s="10"/>
      <c r="D484" s="10"/>
      <c r="E484" s="38" t="s">
        <v>852</v>
      </c>
      <c r="F484" s="10"/>
      <c r="G484" s="10"/>
      <c r="H484" s="10"/>
      <c r="I484" s="38" t="s">
        <v>852</v>
      </c>
      <c r="J484" s="10"/>
      <c r="K484" s="10"/>
      <c r="L484" s="10"/>
      <c r="M484" s="38" t="s">
        <v>852</v>
      </c>
      <c r="N484" s="10"/>
      <c r="O484" s="10"/>
      <c r="P484" s="10"/>
      <c r="Q484" s="38" t="s">
        <v>852</v>
      </c>
      <c r="R484" s="38" t="s">
        <v>852</v>
      </c>
    </row>
    <row r="485" spans="1:20" ht="15.75" customHeight="1" x14ac:dyDescent="0.3">
      <c r="A485" s="539" t="s">
        <v>3145</v>
      </c>
      <c r="B485" s="10"/>
      <c r="C485" s="10"/>
      <c r="D485" s="10"/>
      <c r="E485" s="38">
        <f>SUM(B485:D485)</f>
        <v>0</v>
      </c>
      <c r="F485" s="10">
        <v>12</v>
      </c>
      <c r="G485" s="10">
        <v>14</v>
      </c>
      <c r="H485" s="10">
        <v>12</v>
      </c>
      <c r="I485" s="38">
        <f>SUM(F485:H485)</f>
        <v>38</v>
      </c>
      <c r="J485" s="10">
        <v>10</v>
      </c>
      <c r="K485" s="10">
        <v>5</v>
      </c>
      <c r="L485" s="10">
        <v>7</v>
      </c>
      <c r="M485" s="38">
        <f>SUM(J485:L485)</f>
        <v>22</v>
      </c>
      <c r="N485" s="10"/>
      <c r="O485" s="10">
        <v>1</v>
      </c>
      <c r="P485" s="10">
        <v>1</v>
      </c>
      <c r="Q485" s="38">
        <f>SUM(N485:P485)</f>
        <v>2</v>
      </c>
      <c r="R485" s="38">
        <f>+E485+I485+M485+Q485</f>
        <v>62</v>
      </c>
      <c r="T485" t="s">
        <v>500</v>
      </c>
    </row>
    <row r="486" spans="1:20" ht="15.75" customHeight="1" x14ac:dyDescent="0.3">
      <c r="A486" s="539" t="s">
        <v>3141</v>
      </c>
      <c r="B486" s="10"/>
      <c r="C486" s="10"/>
      <c r="D486" s="10"/>
      <c r="E486" s="38">
        <f>SUM(B486:D486)</f>
        <v>0</v>
      </c>
      <c r="F486" s="10"/>
      <c r="G486" s="10"/>
      <c r="H486" s="10">
        <v>1600</v>
      </c>
      <c r="I486" s="38">
        <f>SUM(F486:H486)</f>
        <v>1600</v>
      </c>
      <c r="J486" s="10"/>
      <c r="K486" s="10"/>
      <c r="L486" s="10"/>
      <c r="M486" s="38">
        <f>SUM(J486:L486)</f>
        <v>0</v>
      </c>
      <c r="N486" s="10"/>
      <c r="O486" s="10"/>
      <c r="P486" s="10"/>
      <c r="Q486" s="38">
        <f>SUM(N486:P486)</f>
        <v>0</v>
      </c>
      <c r="R486" s="38">
        <f>+E486+I486+M486+Q486</f>
        <v>1600</v>
      </c>
      <c r="T486" t="s">
        <v>500</v>
      </c>
    </row>
    <row r="487" spans="1:20" ht="15.75" customHeight="1" x14ac:dyDescent="0.3">
      <c r="A487" s="539" t="s">
        <v>2977</v>
      </c>
      <c r="B487" s="10"/>
      <c r="C487" s="10"/>
      <c r="D487" s="10"/>
      <c r="E487" s="38">
        <f>SUM(B487:D487)</f>
        <v>0</v>
      </c>
      <c r="F487" s="10"/>
      <c r="G487" s="10">
        <v>1000</v>
      </c>
      <c r="H487" s="10"/>
      <c r="I487" s="38">
        <f>SUM(F487:H487)</f>
        <v>1000</v>
      </c>
      <c r="J487" s="10"/>
      <c r="K487" s="10"/>
      <c r="L487" s="10"/>
      <c r="M487" s="38">
        <f>SUM(J487:L487)</f>
        <v>0</v>
      </c>
      <c r="N487" s="10"/>
      <c r="O487" s="10"/>
      <c r="P487" s="10"/>
      <c r="Q487" s="38">
        <f>SUM(N487:P487)</f>
        <v>0</v>
      </c>
      <c r="R487" s="38">
        <f>+E487+I487+M487+Q487</f>
        <v>1000</v>
      </c>
      <c r="T487" t="s">
        <v>500</v>
      </c>
    </row>
    <row r="488" spans="1:20" ht="15.75" customHeight="1" x14ac:dyDescent="0.3">
      <c r="A488" s="410" t="s">
        <v>2795</v>
      </c>
      <c r="B488" s="10"/>
      <c r="C488" s="10"/>
      <c r="D488" s="10"/>
      <c r="E488" s="38">
        <f>SUM(B488:D488)</f>
        <v>0</v>
      </c>
      <c r="F488" s="10"/>
      <c r="G488" s="10"/>
      <c r="H488" s="10"/>
      <c r="I488" s="38">
        <f>SUM(F488:H488)</f>
        <v>0</v>
      </c>
      <c r="J488" s="10"/>
      <c r="K488" s="10"/>
      <c r="L488" s="10"/>
      <c r="M488" s="38">
        <f>SUM(J488:L488)</f>
        <v>0</v>
      </c>
      <c r="N488" s="10"/>
      <c r="O488" s="10"/>
      <c r="P488" s="10"/>
      <c r="Q488" s="38">
        <f>SUM(N488:P488)</f>
        <v>0</v>
      </c>
      <c r="R488" s="38">
        <f>+E488+I488+M488+Q488</f>
        <v>0</v>
      </c>
      <c r="T488" t="s">
        <v>500</v>
      </c>
    </row>
    <row r="489" spans="1:20" ht="15.75" customHeight="1" x14ac:dyDescent="0.3">
      <c r="A489" s="234" t="s">
        <v>2161</v>
      </c>
      <c r="B489" s="10"/>
      <c r="C489" s="10"/>
      <c r="D489" s="10"/>
      <c r="E489" s="38" t="s">
        <v>852</v>
      </c>
      <c r="F489" s="10"/>
      <c r="G489" s="10"/>
      <c r="H489" s="10"/>
      <c r="I489" s="38" t="s">
        <v>852</v>
      </c>
      <c r="J489" s="10"/>
      <c r="K489" s="10"/>
      <c r="L489" s="10"/>
      <c r="M489" s="38" t="s">
        <v>852</v>
      </c>
      <c r="N489" s="10"/>
      <c r="O489" s="10"/>
      <c r="P489" s="10"/>
      <c r="Q489" s="38" t="s">
        <v>852</v>
      </c>
      <c r="R489" s="38" t="s">
        <v>852</v>
      </c>
    </row>
    <row r="490" spans="1:20" ht="15.75" customHeight="1" x14ac:dyDescent="0.3">
      <c r="A490" s="310" t="s">
        <v>1065</v>
      </c>
      <c r="B490" s="10"/>
      <c r="C490" s="10"/>
      <c r="D490" s="10"/>
      <c r="E490" s="38">
        <f>SUM(B490:D490)</f>
        <v>0</v>
      </c>
      <c r="F490" s="10"/>
      <c r="G490" s="10"/>
      <c r="H490" s="10"/>
      <c r="I490" s="38">
        <f>SUM(F490:H490)</f>
        <v>0</v>
      </c>
      <c r="J490" s="10"/>
      <c r="K490" s="10"/>
      <c r="L490" s="10"/>
      <c r="M490" s="38">
        <f>SUM(J490:L490)</f>
        <v>0</v>
      </c>
      <c r="N490" s="10"/>
      <c r="O490" s="10"/>
      <c r="P490" s="10"/>
      <c r="Q490" s="38">
        <f>SUM(N490:P490)</f>
        <v>0</v>
      </c>
      <c r="R490" s="38">
        <f>+E490+I490+M490+Q490</f>
        <v>0</v>
      </c>
    </row>
    <row r="491" spans="1:20" ht="15.75" customHeight="1" x14ac:dyDescent="0.3">
      <c r="A491" s="266" t="s">
        <v>355</v>
      </c>
      <c r="B491" s="10"/>
      <c r="C491" s="10"/>
      <c r="D491" s="10"/>
      <c r="E491" s="38">
        <f>SUM(B491:D491)</f>
        <v>0</v>
      </c>
      <c r="F491" s="10"/>
      <c r="G491" s="10"/>
      <c r="H491" s="10"/>
      <c r="I491" s="38">
        <f>SUM(F491:H491)</f>
        <v>0</v>
      </c>
      <c r="J491" s="10"/>
      <c r="K491" s="10"/>
      <c r="L491" s="10"/>
      <c r="M491" s="38">
        <f>SUM(J491:L491)</f>
        <v>0</v>
      </c>
      <c r="N491" s="10"/>
      <c r="O491" s="10"/>
      <c r="P491" s="10"/>
      <c r="Q491" s="38">
        <f>SUM(N491:P491)</f>
        <v>0</v>
      </c>
      <c r="R491" s="38">
        <f>+E491+I491+M491+Q491</f>
        <v>0</v>
      </c>
    </row>
    <row r="492" spans="1:20" ht="15.75" customHeight="1" x14ac:dyDescent="0.3">
      <c r="A492" s="234" t="s">
        <v>3245</v>
      </c>
      <c r="B492" s="10"/>
      <c r="C492" s="10"/>
      <c r="D492" s="10"/>
      <c r="E492" s="38" t="s">
        <v>852</v>
      </c>
      <c r="F492" s="10"/>
      <c r="G492" s="10"/>
      <c r="H492" s="10"/>
      <c r="I492" s="38" t="s">
        <v>852</v>
      </c>
      <c r="J492" s="10"/>
      <c r="K492" s="10"/>
      <c r="L492" s="10"/>
      <c r="M492" s="38" t="s">
        <v>852</v>
      </c>
      <c r="N492" s="10"/>
      <c r="O492" s="10"/>
      <c r="P492" s="10"/>
      <c r="Q492" s="38" t="s">
        <v>852</v>
      </c>
      <c r="R492" s="38" t="s">
        <v>852</v>
      </c>
    </row>
    <row r="493" spans="1:20" ht="15.75" customHeight="1" thickBot="1" x14ac:dyDescent="0.35">
      <c r="A493" s="234" t="s">
        <v>2164</v>
      </c>
      <c r="B493" s="10"/>
      <c r="C493" s="10"/>
      <c r="D493" s="10"/>
      <c r="E493" s="38" t="s">
        <v>852</v>
      </c>
      <c r="F493" s="10"/>
      <c r="G493" s="10"/>
      <c r="H493" s="10"/>
      <c r="I493" s="38" t="s">
        <v>852</v>
      </c>
      <c r="J493" s="10"/>
      <c r="K493" s="10"/>
      <c r="L493" s="10"/>
      <c r="M493" s="38" t="s">
        <v>852</v>
      </c>
      <c r="N493" s="10"/>
      <c r="O493" s="10"/>
      <c r="P493" s="10"/>
      <c r="Q493" s="38" t="s">
        <v>852</v>
      </c>
      <c r="R493" s="38" t="s">
        <v>852</v>
      </c>
    </row>
    <row r="494" spans="1:20" ht="16.5" customHeight="1" thickBot="1" x14ac:dyDescent="0.35">
      <c r="A494" s="276" t="s">
        <v>1218</v>
      </c>
      <c r="B494" s="45">
        <f>SUM(B483:B493)</f>
        <v>0</v>
      </c>
      <c r="C494" s="46">
        <f>SUM(C483:C493)</f>
        <v>0</v>
      </c>
      <c r="D494" s="46">
        <f>SUM(D483:D493)</f>
        <v>0</v>
      </c>
      <c r="E494" s="37">
        <f>SUM(B494:D494)</f>
        <v>0</v>
      </c>
      <c r="F494" s="46">
        <f>SUM(F483:F493)</f>
        <v>12</v>
      </c>
      <c r="G494" s="46">
        <f>SUM(G483:G493)</f>
        <v>1014</v>
      </c>
      <c r="H494" s="46">
        <f>SUM(H483:H493)</f>
        <v>1612</v>
      </c>
      <c r="I494" s="37">
        <f>SUM(F494:H494)</f>
        <v>2638</v>
      </c>
      <c r="J494" s="46">
        <f>SUM(J483:J493)</f>
        <v>10</v>
      </c>
      <c r="K494" s="46">
        <f>SUM(K483:K493)</f>
        <v>5</v>
      </c>
      <c r="L494" s="46">
        <f>SUM(L483:L493)</f>
        <v>7</v>
      </c>
      <c r="M494" s="37">
        <f>SUM(J494:L494)</f>
        <v>22</v>
      </c>
      <c r="N494" s="46">
        <f>SUM(N483:N493)</f>
        <v>0</v>
      </c>
      <c r="O494" s="46">
        <f>SUM(O483:O493)</f>
        <v>1</v>
      </c>
      <c r="P494" s="46">
        <f>SUM(P483:P493)</f>
        <v>1</v>
      </c>
      <c r="Q494" s="37">
        <f>SUM(N494:P494)</f>
        <v>2</v>
      </c>
      <c r="R494" s="37">
        <f>+E494+I494+M494+Q494</f>
        <v>2662</v>
      </c>
    </row>
    <row r="495" spans="1:20" ht="15.75" customHeight="1" x14ac:dyDescent="0.3">
      <c r="A495" s="234" t="s">
        <v>1172</v>
      </c>
      <c r="B495" s="172"/>
      <c r="C495" s="172"/>
      <c r="D495" s="172"/>
      <c r="E495" s="38" t="s">
        <v>852</v>
      </c>
      <c r="F495" s="172"/>
      <c r="G495" s="172"/>
      <c r="H495" s="172"/>
      <c r="I495" s="38" t="s">
        <v>852</v>
      </c>
      <c r="J495" s="172"/>
      <c r="K495" s="172"/>
      <c r="L495" s="172"/>
      <c r="M495" s="38" t="s">
        <v>852</v>
      </c>
      <c r="N495" s="172" t="s">
        <v>852</v>
      </c>
      <c r="O495" s="172"/>
      <c r="P495" s="172"/>
      <c r="Q495" s="38" t="s">
        <v>852</v>
      </c>
      <c r="R495" s="38" t="s">
        <v>852</v>
      </c>
    </row>
    <row r="496" spans="1:20" ht="15.75" customHeight="1" x14ac:dyDescent="0.3">
      <c r="A496" s="234" t="s">
        <v>2409</v>
      </c>
      <c r="B496" s="172"/>
      <c r="C496" s="172"/>
      <c r="D496" s="172"/>
      <c r="E496" s="38" t="s">
        <v>852</v>
      </c>
      <c r="F496" s="172"/>
      <c r="G496" s="172"/>
      <c r="H496" s="172"/>
      <c r="I496" s="38" t="s">
        <v>852</v>
      </c>
      <c r="J496" s="172"/>
      <c r="K496" s="172"/>
      <c r="L496" s="172"/>
      <c r="M496" s="38" t="s">
        <v>852</v>
      </c>
      <c r="N496" s="172"/>
      <c r="O496" s="172"/>
      <c r="P496" s="172"/>
      <c r="Q496" s="38" t="s">
        <v>852</v>
      </c>
      <c r="R496" s="38" t="s">
        <v>852</v>
      </c>
    </row>
    <row r="497" spans="1:20" ht="15.75" customHeight="1" x14ac:dyDescent="0.3">
      <c r="A497" s="310" t="s">
        <v>473</v>
      </c>
      <c r="B497" s="10"/>
      <c r="C497" s="10">
        <v>64</v>
      </c>
      <c r="D497" s="10">
        <v>4247</v>
      </c>
      <c r="E497" s="38">
        <f>SUM(B497:D497)</f>
        <v>4311</v>
      </c>
      <c r="F497" s="10">
        <v>10259</v>
      </c>
      <c r="G497" s="10">
        <v>269</v>
      </c>
      <c r="H497" s="10">
        <v>14951</v>
      </c>
      <c r="I497" s="38">
        <f>SUM(F497:H497)</f>
        <v>25479</v>
      </c>
      <c r="J497" s="10">
        <v>15701</v>
      </c>
      <c r="K497" s="10">
        <v>14370</v>
      </c>
      <c r="L497" s="10">
        <v>6330</v>
      </c>
      <c r="M497" s="38">
        <f>SUM(J497:L497)</f>
        <v>36401</v>
      </c>
      <c r="N497" s="10"/>
      <c r="O497" s="10"/>
      <c r="P497" s="10">
        <v>50</v>
      </c>
      <c r="Q497" s="38">
        <f>SUM(N497:P497)</f>
        <v>50</v>
      </c>
      <c r="R497" s="38">
        <f>+E497+I497+M497+Q497</f>
        <v>66241</v>
      </c>
    </row>
    <row r="498" spans="1:20" ht="15.75" customHeight="1" thickBot="1" x14ac:dyDescent="0.35">
      <c r="A498" s="234" t="s">
        <v>2165</v>
      </c>
      <c r="B498" s="172"/>
      <c r="C498" s="172"/>
      <c r="D498" s="172"/>
      <c r="E498" s="38" t="s">
        <v>852</v>
      </c>
      <c r="F498" s="172"/>
      <c r="G498" s="172"/>
      <c r="H498" s="172"/>
      <c r="I498" s="38" t="s">
        <v>852</v>
      </c>
      <c r="J498" s="172"/>
      <c r="K498" s="172"/>
      <c r="L498" s="172"/>
      <c r="M498" s="38" t="s">
        <v>852</v>
      </c>
      <c r="N498" s="172"/>
      <c r="O498" s="172"/>
      <c r="P498" s="172"/>
      <c r="Q498" s="38" t="s">
        <v>852</v>
      </c>
      <c r="R498" s="38" t="s">
        <v>852</v>
      </c>
    </row>
    <row r="499" spans="1:20" ht="16.5" customHeight="1" thickBot="1" x14ac:dyDescent="0.35">
      <c r="A499" s="43" t="s">
        <v>1219</v>
      </c>
      <c r="B499" s="45">
        <f>SUM(B495:B498)</f>
        <v>0</v>
      </c>
      <c r="C499" s="46">
        <f>SUM(C495:C498)</f>
        <v>64</v>
      </c>
      <c r="D499" s="46">
        <f>SUM(D495:D498)</f>
        <v>4247</v>
      </c>
      <c r="E499" s="37">
        <f>SUM(B499:D499)</f>
        <v>4311</v>
      </c>
      <c r="F499" s="46">
        <f>SUM(F495:F498)</f>
        <v>10259</v>
      </c>
      <c r="G499" s="46">
        <f>SUM(G495:G498)</f>
        <v>269</v>
      </c>
      <c r="H499" s="46">
        <f>SUM(H495:H498)</f>
        <v>14951</v>
      </c>
      <c r="I499" s="37">
        <f>SUM(F499:H499)</f>
        <v>25479</v>
      </c>
      <c r="J499" s="46">
        <f>SUM(J495:J498)</f>
        <v>15701</v>
      </c>
      <c r="K499" s="46">
        <f>SUM(K495:K498)</f>
        <v>14370</v>
      </c>
      <c r="L499" s="46">
        <f>SUM(L495:L498)</f>
        <v>6330</v>
      </c>
      <c r="M499" s="37">
        <f>SUM(J499:L499)</f>
        <v>36401</v>
      </c>
      <c r="N499" s="46">
        <f>SUM(N495:N498)</f>
        <v>0</v>
      </c>
      <c r="O499" s="46">
        <f>SUM(O495:O498)</f>
        <v>0</v>
      </c>
      <c r="P499" s="46">
        <f>SUM(P495:P498)</f>
        <v>50</v>
      </c>
      <c r="Q499" s="37">
        <f>SUM(N499:P499)</f>
        <v>50</v>
      </c>
      <c r="R499" s="37">
        <f>+E499+I499+M499+Q499</f>
        <v>66241</v>
      </c>
    </row>
    <row r="500" spans="1:20" ht="15.75" customHeight="1" x14ac:dyDescent="0.3">
      <c r="A500" s="234" t="s">
        <v>2166</v>
      </c>
      <c r="B500" s="172"/>
      <c r="C500" s="172"/>
      <c r="D500" s="172"/>
      <c r="E500" s="38" t="s">
        <v>852</v>
      </c>
      <c r="F500" s="172"/>
      <c r="G500" s="172"/>
      <c r="H500" s="172"/>
      <c r="I500" s="38" t="s">
        <v>852</v>
      </c>
      <c r="J500" s="172"/>
      <c r="K500" s="172"/>
      <c r="L500" s="172"/>
      <c r="M500" s="38" t="s">
        <v>852</v>
      </c>
      <c r="N500" s="172"/>
      <c r="O500" s="172"/>
      <c r="P500" s="172"/>
      <c r="Q500" s="38" t="s">
        <v>852</v>
      </c>
      <c r="R500" s="38" t="s">
        <v>852</v>
      </c>
    </row>
    <row r="501" spans="1:20" ht="15.75" customHeight="1" x14ac:dyDescent="0.3">
      <c r="A501" s="234" t="s">
        <v>1245</v>
      </c>
      <c r="B501" s="172"/>
      <c r="C501" s="172"/>
      <c r="D501" s="172"/>
      <c r="E501" s="38" t="s">
        <v>852</v>
      </c>
      <c r="F501" s="172"/>
      <c r="G501" s="172"/>
      <c r="H501" s="172"/>
      <c r="I501" s="38" t="s">
        <v>852</v>
      </c>
      <c r="J501" s="172"/>
      <c r="K501" s="172"/>
      <c r="L501" s="172"/>
      <c r="M501" s="38" t="s">
        <v>852</v>
      </c>
      <c r="N501" s="172"/>
      <c r="O501" s="172"/>
      <c r="P501" s="172"/>
      <c r="Q501" s="38" t="s">
        <v>852</v>
      </c>
      <c r="R501" s="38" t="s">
        <v>852</v>
      </c>
    </row>
    <row r="502" spans="1:20" ht="15.75" customHeight="1" x14ac:dyDescent="0.3">
      <c r="A502" s="234" t="s">
        <v>1711</v>
      </c>
      <c r="B502" s="172"/>
      <c r="C502" s="172"/>
      <c r="D502" s="172"/>
      <c r="E502" s="38" t="s">
        <v>852</v>
      </c>
      <c r="F502" s="172"/>
      <c r="G502" s="172"/>
      <c r="H502" s="172"/>
      <c r="I502" s="38" t="s">
        <v>852</v>
      </c>
      <c r="J502" s="172"/>
      <c r="K502" s="172"/>
      <c r="L502" s="172"/>
      <c r="M502" s="38" t="s">
        <v>852</v>
      </c>
      <c r="N502" s="172"/>
      <c r="O502" s="172"/>
      <c r="P502" s="172"/>
      <c r="Q502" s="38" t="s">
        <v>852</v>
      </c>
      <c r="R502" s="38" t="s">
        <v>852</v>
      </c>
    </row>
    <row r="503" spans="1:20" ht="15.75" customHeight="1" thickBot="1" x14ac:dyDescent="0.35">
      <c r="A503" s="689" t="s">
        <v>2937</v>
      </c>
      <c r="B503" s="10"/>
      <c r="C503" s="10"/>
      <c r="D503" s="700">
        <v>2000</v>
      </c>
      <c r="E503" s="38">
        <f>SUM(B503:D503)</f>
        <v>2000</v>
      </c>
      <c r="F503" s="10"/>
      <c r="G503" s="10">
        <v>4000</v>
      </c>
      <c r="H503" s="10">
        <v>2000</v>
      </c>
      <c r="I503" s="38">
        <f>SUM(F503:H503)</f>
        <v>6000</v>
      </c>
      <c r="J503" s="10">
        <v>4500</v>
      </c>
      <c r="K503" s="10"/>
      <c r="L503" s="10"/>
      <c r="M503" s="38">
        <f>SUM(J503:L503)</f>
        <v>4500</v>
      </c>
      <c r="N503" s="10">
        <v>1233</v>
      </c>
      <c r="O503" s="10">
        <v>431</v>
      </c>
      <c r="P503" s="10"/>
      <c r="Q503" s="38">
        <f>SUM(N503:P503)</f>
        <v>1664</v>
      </c>
      <c r="R503" s="38">
        <f>+E503+I503+M503+Q503</f>
        <v>14164</v>
      </c>
      <c r="T503" t="s">
        <v>500</v>
      </c>
    </row>
    <row r="504" spans="1:20" ht="16.5" customHeight="1" thickBot="1" x14ac:dyDescent="0.35">
      <c r="A504" s="277" t="s">
        <v>1220</v>
      </c>
      <c r="B504" s="45">
        <f>SUM(B500:B503)</f>
        <v>0</v>
      </c>
      <c r="C504" s="46">
        <f>SUM(C500:C503)</f>
        <v>0</v>
      </c>
      <c r="D504" s="46">
        <f>SUM(D500:D503)</f>
        <v>2000</v>
      </c>
      <c r="E504" s="37">
        <f>SUM(B504:D504)</f>
        <v>2000</v>
      </c>
      <c r="F504" s="46">
        <f>SUM(F500:F503)</f>
        <v>0</v>
      </c>
      <c r="G504" s="46">
        <f>SUM(G500:G503)</f>
        <v>4000</v>
      </c>
      <c r="H504" s="46">
        <f>SUM(H500:H503)</f>
        <v>2000</v>
      </c>
      <c r="I504" s="37">
        <f>SUM(F504:H504)</f>
        <v>6000</v>
      </c>
      <c r="J504" s="46">
        <f>SUM(J500:J503)</f>
        <v>4500</v>
      </c>
      <c r="K504" s="46">
        <f>SUM(K500:K503)</f>
        <v>0</v>
      </c>
      <c r="L504" s="46">
        <f>SUM(L500:L503)</f>
        <v>0</v>
      </c>
      <c r="M504" s="37">
        <f>SUM(J504:L504)</f>
        <v>4500</v>
      </c>
      <c r="N504" s="46">
        <f>SUM(N500:N503)</f>
        <v>1233</v>
      </c>
      <c r="O504" s="46">
        <f>SUM(O500:O503)</f>
        <v>431</v>
      </c>
      <c r="P504" s="46">
        <f>SUM(P500:P503)</f>
        <v>0</v>
      </c>
      <c r="Q504" s="37">
        <f>SUM(N504:P504)</f>
        <v>1664</v>
      </c>
      <c r="R504" s="37">
        <f>+E504+I504+M504+Q504</f>
        <v>14164</v>
      </c>
    </row>
    <row r="505" spans="1:20" ht="15.75" customHeight="1" x14ac:dyDescent="0.3">
      <c r="A505" s="234" t="s">
        <v>1712</v>
      </c>
      <c r="B505" s="172"/>
      <c r="C505" s="172"/>
      <c r="D505" s="172"/>
      <c r="E505" s="38" t="s">
        <v>852</v>
      </c>
      <c r="F505" s="172"/>
      <c r="G505" s="172"/>
      <c r="H505" s="172"/>
      <c r="I505" s="38" t="s">
        <v>852</v>
      </c>
      <c r="J505" s="172"/>
      <c r="K505" s="172"/>
      <c r="L505" s="172"/>
      <c r="M505" s="38" t="s">
        <v>852</v>
      </c>
      <c r="N505" s="172"/>
      <c r="O505" s="172"/>
      <c r="P505" s="172"/>
      <c r="Q505" s="38" t="s">
        <v>852</v>
      </c>
      <c r="R505" s="38" t="s">
        <v>852</v>
      </c>
    </row>
    <row r="506" spans="1:20" ht="15.75" customHeight="1" x14ac:dyDescent="0.3">
      <c r="A506" s="234" t="s">
        <v>1021</v>
      </c>
      <c r="B506" s="172"/>
      <c r="C506" s="172"/>
      <c r="D506" s="172"/>
      <c r="E506" s="38" t="s">
        <v>852</v>
      </c>
      <c r="F506" s="172"/>
      <c r="G506" s="172"/>
      <c r="H506" s="172"/>
      <c r="I506" s="38" t="s">
        <v>852</v>
      </c>
      <c r="J506" s="172"/>
      <c r="K506" s="172"/>
      <c r="L506" s="172"/>
      <c r="M506" s="38" t="s">
        <v>852</v>
      </c>
      <c r="N506" s="172"/>
      <c r="O506" s="172"/>
      <c r="P506" s="172"/>
      <c r="Q506" s="38" t="s">
        <v>852</v>
      </c>
      <c r="R506" s="38" t="s">
        <v>852</v>
      </c>
    </row>
    <row r="507" spans="1:20" ht="15.75" customHeight="1" x14ac:dyDescent="0.3">
      <c r="A507" s="234" t="s">
        <v>557</v>
      </c>
      <c r="B507" s="172"/>
      <c r="C507" s="172"/>
      <c r="D507" s="172"/>
      <c r="E507" s="38" t="s">
        <v>852</v>
      </c>
      <c r="F507" s="172"/>
      <c r="G507" s="172"/>
      <c r="H507" s="172"/>
      <c r="I507" s="38" t="s">
        <v>852</v>
      </c>
      <c r="J507" s="172"/>
      <c r="K507" s="172"/>
      <c r="L507" s="172"/>
      <c r="M507" s="38" t="s">
        <v>852</v>
      </c>
      <c r="N507" s="172"/>
      <c r="O507" s="172"/>
      <c r="P507" s="172"/>
      <c r="Q507" s="38" t="s">
        <v>852</v>
      </c>
      <c r="R507" s="38" t="s">
        <v>852</v>
      </c>
    </row>
    <row r="508" spans="1:20" ht="15.75" customHeight="1" x14ac:dyDescent="0.3">
      <c r="A508" s="234" t="s">
        <v>1022</v>
      </c>
      <c r="B508" s="172"/>
      <c r="C508" s="172"/>
      <c r="D508" s="172"/>
      <c r="E508" s="38" t="s">
        <v>852</v>
      </c>
      <c r="F508" s="172"/>
      <c r="G508" s="172"/>
      <c r="H508" s="172"/>
      <c r="I508" s="38" t="s">
        <v>852</v>
      </c>
      <c r="J508" s="172"/>
      <c r="K508" s="172"/>
      <c r="L508" s="172"/>
      <c r="M508" s="38" t="s">
        <v>852</v>
      </c>
      <c r="N508" s="172"/>
      <c r="O508" s="172"/>
      <c r="P508" s="172"/>
      <c r="Q508" s="38" t="s">
        <v>852</v>
      </c>
      <c r="R508" s="38" t="s">
        <v>852</v>
      </c>
    </row>
    <row r="509" spans="1:20" ht="15.75" customHeight="1" x14ac:dyDescent="0.3">
      <c r="A509" s="234" t="s">
        <v>559</v>
      </c>
      <c r="B509" s="172"/>
      <c r="C509" s="172"/>
      <c r="D509" s="172"/>
      <c r="E509" s="38" t="s">
        <v>852</v>
      </c>
      <c r="F509" s="172"/>
      <c r="G509" s="172"/>
      <c r="H509" s="172"/>
      <c r="I509" s="38" t="s">
        <v>852</v>
      </c>
      <c r="J509" s="172"/>
      <c r="K509" s="172"/>
      <c r="L509" s="172"/>
      <c r="M509" s="38" t="s">
        <v>852</v>
      </c>
      <c r="N509" s="172"/>
      <c r="O509" s="172"/>
      <c r="P509" s="172"/>
      <c r="Q509" s="38" t="s">
        <v>852</v>
      </c>
      <c r="R509" s="38" t="s">
        <v>852</v>
      </c>
    </row>
    <row r="510" spans="1:20" ht="15.75" customHeight="1" x14ac:dyDescent="0.3">
      <c r="A510" s="539" t="s">
        <v>2936</v>
      </c>
      <c r="B510" s="10"/>
      <c r="C510" s="10"/>
      <c r="D510" s="10"/>
      <c r="E510" s="38">
        <f t="shared" ref="E510:E511" si="166">SUM(B510:D510)</f>
        <v>0</v>
      </c>
      <c r="F510" s="10"/>
      <c r="G510" s="10"/>
      <c r="H510" s="10"/>
      <c r="I510" s="38">
        <f t="shared" ref="I510:I511" si="167">SUM(F510:H510)</f>
        <v>0</v>
      </c>
      <c r="J510" s="10"/>
      <c r="K510" s="10"/>
      <c r="L510" s="10"/>
      <c r="M510" s="38">
        <f t="shared" ref="M510:M511" si="168">SUM(J510:L510)</f>
        <v>0</v>
      </c>
      <c r="N510" s="10">
        <v>614</v>
      </c>
      <c r="O510" s="10"/>
      <c r="P510" s="10">
        <v>1133</v>
      </c>
      <c r="Q510" s="38">
        <f t="shared" ref="Q510:Q511" si="169">SUM(N510:P510)</f>
        <v>1747</v>
      </c>
      <c r="R510" s="38">
        <f t="shared" ref="R510:R511" si="170">+E510+I510+M510+Q510</f>
        <v>1747</v>
      </c>
      <c r="T510" t="s">
        <v>500</v>
      </c>
    </row>
    <row r="511" spans="1:20" ht="15.75" customHeight="1" thickBot="1" x14ac:dyDescent="0.35">
      <c r="A511" s="539" t="s">
        <v>2834</v>
      </c>
      <c r="B511" s="10"/>
      <c r="C511" s="10"/>
      <c r="D511" s="10"/>
      <c r="E511" s="38">
        <f t="shared" si="166"/>
        <v>0</v>
      </c>
      <c r="F511" s="10"/>
      <c r="G511" s="10"/>
      <c r="H511" s="10"/>
      <c r="I511" s="38">
        <f t="shared" si="167"/>
        <v>0</v>
      </c>
      <c r="J511" s="10"/>
      <c r="K511" s="10"/>
      <c r="L511" s="10"/>
      <c r="M511" s="38">
        <f t="shared" si="168"/>
        <v>0</v>
      </c>
      <c r="N511" s="10"/>
      <c r="O511" s="10"/>
      <c r="P511" s="10"/>
      <c r="Q511" s="38">
        <f t="shared" si="169"/>
        <v>0</v>
      </c>
      <c r="R511" s="38">
        <f t="shared" si="170"/>
        <v>0</v>
      </c>
      <c r="T511" t="s">
        <v>500</v>
      </c>
    </row>
    <row r="512" spans="1:20" ht="16.5" customHeight="1" thickBot="1" x14ac:dyDescent="0.35">
      <c r="A512" s="43" t="s">
        <v>1019</v>
      </c>
      <c r="B512" s="42">
        <f>SUM(B508:B511)</f>
        <v>0</v>
      </c>
      <c r="C512" s="42">
        <f>SUM(C508:C511)</f>
        <v>0</v>
      </c>
      <c r="D512" s="42">
        <f>SUM(D508:D511)</f>
        <v>0</v>
      </c>
      <c r="E512" s="39">
        <f t="shared" ref="E512:E515" si="171">SUM(B512:D512)</f>
        <v>0</v>
      </c>
      <c r="F512" s="42">
        <f>SUM(F508:F511)</f>
        <v>0</v>
      </c>
      <c r="G512" s="42">
        <f>SUM(G508:G511)</f>
        <v>0</v>
      </c>
      <c r="H512" s="42">
        <f>SUM(H508:H511)</f>
        <v>0</v>
      </c>
      <c r="I512" s="39">
        <f t="shared" ref="I512:I515" si="172">SUM(F512:H512)</f>
        <v>0</v>
      </c>
      <c r="J512" s="42">
        <f>SUM(J508:J511)</f>
        <v>0</v>
      </c>
      <c r="K512" s="42">
        <f>SUM(K508:K511)</f>
        <v>0</v>
      </c>
      <c r="L512" s="42">
        <f>SUM(L508:L511)</f>
        <v>0</v>
      </c>
      <c r="M512" s="39">
        <f t="shared" ref="M512:M515" si="173">SUM(J512:L512)</f>
        <v>0</v>
      </c>
      <c r="N512" s="42">
        <f>SUM(N508:N511)</f>
        <v>614</v>
      </c>
      <c r="O512" s="42">
        <f>SUM(O508:O511)</f>
        <v>0</v>
      </c>
      <c r="P512" s="42">
        <f>SUM(P508:P511)</f>
        <v>1133</v>
      </c>
      <c r="Q512" s="39">
        <f t="shared" ref="Q512:Q515" si="174">SUM(N512:P512)</f>
        <v>1747</v>
      </c>
      <c r="R512" s="37">
        <f t="shared" ref="R512:R515" si="175">+E512+I512+M512+Q512</f>
        <v>1747</v>
      </c>
    </row>
    <row r="513" spans="1:20" ht="16.5" customHeight="1" thickBot="1" x14ac:dyDescent="0.35">
      <c r="A513" s="277" t="s">
        <v>1221</v>
      </c>
      <c r="B513" s="45">
        <f>SUM(B505:B511)</f>
        <v>0</v>
      </c>
      <c r="C513" s="46">
        <f>SUM(C505:C511)</f>
        <v>0</v>
      </c>
      <c r="D513" s="58">
        <f>SUM(D505:D511)</f>
        <v>0</v>
      </c>
      <c r="E513" s="39">
        <f t="shared" si="171"/>
        <v>0</v>
      </c>
      <c r="F513" s="46">
        <f>SUM(F505:F511)</f>
        <v>0</v>
      </c>
      <c r="G513" s="46">
        <f>SUM(G505:G511)</f>
        <v>0</v>
      </c>
      <c r="H513" s="46">
        <f>SUM(H505:H511)</f>
        <v>0</v>
      </c>
      <c r="I513" s="39">
        <f t="shared" si="172"/>
        <v>0</v>
      </c>
      <c r="J513" s="46">
        <f>SUM(J505:J511)</f>
        <v>0</v>
      </c>
      <c r="K513" s="46">
        <f>SUM(K505:K511)</f>
        <v>0</v>
      </c>
      <c r="L513" s="46">
        <f>SUM(L505:L511)</f>
        <v>0</v>
      </c>
      <c r="M513" s="39">
        <f t="shared" si="173"/>
        <v>0</v>
      </c>
      <c r="N513" s="46">
        <f>SUM(N505:N511)</f>
        <v>614</v>
      </c>
      <c r="O513" s="46">
        <f>SUM(O505:O511)</f>
        <v>0</v>
      </c>
      <c r="P513" s="46">
        <f>SUM(P505:P511)</f>
        <v>1133</v>
      </c>
      <c r="Q513" s="39">
        <f t="shared" si="174"/>
        <v>1747</v>
      </c>
      <c r="R513" s="37">
        <f t="shared" si="175"/>
        <v>1747</v>
      </c>
    </row>
    <row r="514" spans="1:20" ht="16.5" customHeight="1" thickBot="1" x14ac:dyDescent="0.35">
      <c r="A514" s="43" t="s">
        <v>1222</v>
      </c>
      <c r="B514" s="47">
        <f>+B494+B499+B504+B513</f>
        <v>0</v>
      </c>
      <c r="C514" s="42">
        <f>+C494+C499+C504+C513</f>
        <v>64</v>
      </c>
      <c r="D514" s="42">
        <f>+D494+D499+D504+D513</f>
        <v>6247</v>
      </c>
      <c r="E514" s="37">
        <f t="shared" si="171"/>
        <v>6311</v>
      </c>
      <c r="F514" s="42">
        <f>+F494+F499+F504+F513</f>
        <v>10271</v>
      </c>
      <c r="G514" s="42">
        <f>+G494+G499+G504+G513</f>
        <v>5283</v>
      </c>
      <c r="H514" s="42">
        <f>+H494+H499+H504+H513</f>
        <v>18563</v>
      </c>
      <c r="I514" s="37">
        <f t="shared" si="172"/>
        <v>34117</v>
      </c>
      <c r="J514" s="42">
        <f>+J494+J499+J504+J513</f>
        <v>20211</v>
      </c>
      <c r="K514" s="42">
        <f>+K494+K499+K504+K513</f>
        <v>14375</v>
      </c>
      <c r="L514" s="42">
        <f>+L494+L499+L504+L513</f>
        <v>6337</v>
      </c>
      <c r="M514" s="37">
        <f t="shared" si="173"/>
        <v>40923</v>
      </c>
      <c r="N514" s="42">
        <f>+N494+N499+N504+N513</f>
        <v>1847</v>
      </c>
      <c r="O514" s="42">
        <f>+O494+O499+O504+O513</f>
        <v>432</v>
      </c>
      <c r="P514" s="42">
        <f>+P494+P499+P504+P513</f>
        <v>1184</v>
      </c>
      <c r="Q514" s="37">
        <f t="shared" si="174"/>
        <v>3463</v>
      </c>
      <c r="R514" s="40">
        <f t="shared" si="175"/>
        <v>84814</v>
      </c>
    </row>
    <row r="515" spans="1:20" ht="16.5" customHeight="1" thickBot="1" x14ac:dyDescent="0.35">
      <c r="A515" s="244" t="s">
        <v>853</v>
      </c>
      <c r="B515" s="238">
        <v>9</v>
      </c>
      <c r="C515" s="238">
        <v>16</v>
      </c>
      <c r="D515" s="238">
        <v>25</v>
      </c>
      <c r="E515" s="38">
        <f t="shared" si="171"/>
        <v>50</v>
      </c>
      <c r="F515" s="238">
        <v>34</v>
      </c>
      <c r="G515" s="238">
        <v>41</v>
      </c>
      <c r="H515" s="238">
        <v>41</v>
      </c>
      <c r="I515" s="38">
        <f t="shared" si="172"/>
        <v>116</v>
      </c>
      <c r="J515" s="238">
        <v>39</v>
      </c>
      <c r="K515" s="238">
        <v>30</v>
      </c>
      <c r="L515" s="238">
        <v>30</v>
      </c>
      <c r="M515" s="38">
        <f t="shared" si="173"/>
        <v>99</v>
      </c>
      <c r="N515" s="238">
        <v>28</v>
      </c>
      <c r="O515" s="238">
        <v>22</v>
      </c>
      <c r="P515" s="238">
        <v>16</v>
      </c>
      <c r="Q515" s="38">
        <f t="shared" si="174"/>
        <v>66</v>
      </c>
      <c r="R515" s="38">
        <f t="shared" si="175"/>
        <v>331</v>
      </c>
    </row>
    <row r="516" spans="1:20" ht="16.5" customHeight="1" thickBot="1" x14ac:dyDescent="0.35">
      <c r="A516" s="44"/>
      <c r="B516" s="258"/>
      <c r="C516" s="258"/>
      <c r="D516" s="258"/>
      <c r="E516" s="37"/>
      <c r="F516" s="258"/>
      <c r="G516" s="258"/>
      <c r="H516" s="258"/>
      <c r="I516" s="37"/>
      <c r="J516" s="258"/>
      <c r="K516" s="258"/>
      <c r="L516" s="258"/>
      <c r="M516" s="37"/>
      <c r="N516" s="258"/>
      <c r="O516" s="258"/>
      <c r="P516" s="258"/>
      <c r="Q516" s="37"/>
      <c r="R516" s="37" t="s">
        <v>852</v>
      </c>
    </row>
    <row r="517" spans="1:20" ht="15.75" customHeight="1" x14ac:dyDescent="0.3">
      <c r="A517" s="259" t="s">
        <v>2011</v>
      </c>
      <c r="B517" s="260">
        <f>SUM(B514:B515)</f>
        <v>9</v>
      </c>
      <c r="C517" s="260">
        <f>SUM(C514:C515)</f>
        <v>80</v>
      </c>
      <c r="D517" s="260">
        <f>SUM(D514:D515)</f>
        <v>6272</v>
      </c>
      <c r="E517" s="39">
        <f>SUM(B517:D517)</f>
        <v>6361</v>
      </c>
      <c r="F517" s="260">
        <f>SUM(F514:F515)</f>
        <v>10305</v>
      </c>
      <c r="G517" s="260">
        <f>SUM(G514:G515)</f>
        <v>5324</v>
      </c>
      <c r="H517" s="260">
        <f>SUM(H514:H515)</f>
        <v>18604</v>
      </c>
      <c r="I517" s="39">
        <f>SUM(F517:H517)</f>
        <v>34233</v>
      </c>
      <c r="J517" s="260">
        <f>SUM(J514:J515)</f>
        <v>20250</v>
      </c>
      <c r="K517" s="260">
        <f>SUM(K514:K515)</f>
        <v>14405</v>
      </c>
      <c r="L517" s="260">
        <f>SUM(L514:L515)</f>
        <v>6367</v>
      </c>
      <c r="M517" s="39">
        <f>SUM(J517:L517)</f>
        <v>41022</v>
      </c>
      <c r="N517" s="260">
        <f>SUM(N514:N515)</f>
        <v>1875</v>
      </c>
      <c r="O517" s="260">
        <f>SUM(O514:O515)</f>
        <v>454</v>
      </c>
      <c r="P517" s="260">
        <f>SUM(P514:P515)</f>
        <v>1200</v>
      </c>
      <c r="Q517" s="39">
        <f>SUM(N517:P517)</f>
        <v>3529</v>
      </c>
      <c r="R517" s="39">
        <f>+E517+I517+M517+Q517</f>
        <v>85145</v>
      </c>
    </row>
    <row r="518" spans="1:20" ht="15.75" customHeight="1" x14ac:dyDescent="0.3">
      <c r="A518" s="262" t="s">
        <v>1897</v>
      </c>
      <c r="B518" s="172">
        <f>(B517/B10)/1.983</f>
        <v>0.14640573910497293</v>
      </c>
      <c r="C518" s="172">
        <f>(C517/C10)/1.983</f>
        <v>1.4408183848425906</v>
      </c>
      <c r="D518" s="172">
        <f>(D517/D10)/1.983</f>
        <v>102.02853285182111</v>
      </c>
      <c r="E518" s="38" t="s">
        <v>852</v>
      </c>
      <c r="F518" s="172">
        <f>(F517/F10)/1.983</f>
        <v>173.22239031770044</v>
      </c>
      <c r="G518" s="172">
        <f>(G517/G10)/1.983</f>
        <v>86.607128332763978</v>
      </c>
      <c r="H518" s="172">
        <f>(H517/H10)/1.983</f>
        <v>312.7248277021348</v>
      </c>
      <c r="I518" s="38" t="s">
        <v>852</v>
      </c>
      <c r="J518" s="172">
        <f>(J517/J10)/1.983</f>
        <v>329.41291298618904</v>
      </c>
      <c r="K518" s="172">
        <f>(K517/K10)/1.983</f>
        <v>234.33051908968164</v>
      </c>
      <c r="L518" s="172">
        <f>(L517/L10)/1.983</f>
        <v>107.02639099008236</v>
      </c>
      <c r="M518" s="38" t="s">
        <v>852</v>
      </c>
      <c r="N518" s="172">
        <f>(N517/N10)/1.983</f>
        <v>30.501195646869355</v>
      </c>
      <c r="O518" s="172">
        <f>(O517/O10)/1.983</f>
        <v>7.6315347117162542</v>
      </c>
      <c r="P518" s="172">
        <f>(P517/P10)/1.983</f>
        <v>19.520765213996388</v>
      </c>
      <c r="Q518" s="38" t="s">
        <v>852</v>
      </c>
      <c r="R518" s="38" t="s">
        <v>852</v>
      </c>
    </row>
    <row r="519" spans="1:20" ht="15.75" customHeight="1" x14ac:dyDescent="0.3">
      <c r="A519" s="262" t="s">
        <v>575</v>
      </c>
      <c r="B519" s="172">
        <f>B517+B563</f>
        <v>15267</v>
      </c>
      <c r="C519" s="172">
        <f>C517+C563</f>
        <v>13424</v>
      </c>
      <c r="D519" s="172">
        <f>D517+D563</f>
        <v>33418</v>
      </c>
      <c r="E519" s="38">
        <f>SUM(B519:D519)</f>
        <v>62109</v>
      </c>
      <c r="F519" s="172">
        <f>F517+F563</f>
        <v>40051</v>
      </c>
      <c r="G519" s="172">
        <f>G517+G563</f>
        <v>35076</v>
      </c>
      <c r="H519" s="172">
        <f>H517+H563</f>
        <v>49544</v>
      </c>
      <c r="I519" s="38">
        <f>SUM(F519:H519)</f>
        <v>124671</v>
      </c>
      <c r="J519" s="172">
        <f>J517+J563</f>
        <v>52133</v>
      </c>
      <c r="K519" s="172">
        <f>K517+K563</f>
        <v>46987</v>
      </c>
      <c r="L519" s="172">
        <f>L517+L563</f>
        <v>33813</v>
      </c>
      <c r="M519" s="38">
        <f>SUM(J519:L519)</f>
        <v>132933</v>
      </c>
      <c r="N519" s="172">
        <f>N517+N563</f>
        <v>12743</v>
      </c>
      <c r="O519" s="172">
        <f>O517+O563</f>
        <v>4013</v>
      </c>
      <c r="P519" s="172">
        <f>P517+P563</f>
        <v>12683</v>
      </c>
      <c r="Q519" s="38">
        <f>SUM(N519:P519)</f>
        <v>29439</v>
      </c>
      <c r="R519" s="38">
        <f>+E519+I519+M519+Q519</f>
        <v>349152</v>
      </c>
    </row>
    <row r="520" spans="1:20" ht="16.5" customHeight="1" thickBot="1" x14ac:dyDescent="0.35">
      <c r="A520" s="263" t="s">
        <v>576</v>
      </c>
      <c r="B520" s="264">
        <f>(B519/B10)/1.983</f>
        <v>248.35293543506904</v>
      </c>
      <c r="C520" s="264">
        <f>(C519/C10)/1.983</f>
        <v>241.76932497658669</v>
      </c>
      <c r="D520" s="264">
        <f>(D519/D10)/1.983</f>
        <v>543.62077660110936</v>
      </c>
      <c r="E520" s="40" t="s">
        <v>852</v>
      </c>
      <c r="F520" s="264">
        <f>(F519/F10)/1.983</f>
        <v>673.23919986552357</v>
      </c>
      <c r="G520" s="264">
        <f>(G519/G10)/1.983</f>
        <v>570.59196720511443</v>
      </c>
      <c r="H520" s="264">
        <f>(H519/H10)/1.983</f>
        <v>832.81223735081528</v>
      </c>
      <c r="I520" s="40" t="s">
        <v>852</v>
      </c>
      <c r="J520" s="264">
        <f>(J519/J10)/1.983</f>
        <v>848.06337741772813</v>
      </c>
      <c r="K520" s="264">
        <f>(K519/K10)/1.983</f>
        <v>764.35182925837353</v>
      </c>
      <c r="L520" s="264">
        <f>(L519/L10)/1.983</f>
        <v>568.38124054462924</v>
      </c>
      <c r="M520" s="40" t="s">
        <v>852</v>
      </c>
      <c r="N520" s="264">
        <f>(N519/N10)/1.983</f>
        <v>207.29425926829663</v>
      </c>
      <c r="O520" s="264">
        <f>(O519/O10)/1.983</f>
        <v>67.456715414355358</v>
      </c>
      <c r="P520" s="264">
        <f>(P519/P10)/1.983</f>
        <v>206.31822100759683</v>
      </c>
      <c r="Q520" s="40" t="s">
        <v>852</v>
      </c>
      <c r="R520" s="40" t="s">
        <v>852</v>
      </c>
    </row>
    <row r="521" spans="1:20" ht="15.75" customHeight="1" x14ac:dyDescent="0.3">
      <c r="A521" s="17"/>
      <c r="B521" s="172"/>
      <c r="C521" s="172"/>
      <c r="D521" s="172"/>
      <c r="E521" s="172"/>
      <c r="F521" s="172"/>
      <c r="G521" s="172"/>
      <c r="H521" s="172"/>
      <c r="I521" s="172"/>
      <c r="J521" s="172"/>
      <c r="K521" s="172"/>
      <c r="L521" s="172"/>
      <c r="M521" s="172"/>
      <c r="N521" s="172"/>
      <c r="O521" s="172"/>
      <c r="P521" s="172"/>
      <c r="Q521" s="172"/>
      <c r="R521" s="17"/>
    </row>
    <row r="522" spans="1:20" ht="15.75" customHeight="1" thickBot="1" x14ac:dyDescent="0.35">
      <c r="A522" s="17"/>
      <c r="B522" s="172"/>
      <c r="C522" s="172"/>
      <c r="D522" s="172"/>
      <c r="E522" s="172"/>
      <c r="F522" s="172"/>
      <c r="G522" s="172"/>
      <c r="H522" s="172"/>
      <c r="I522" s="172"/>
      <c r="J522" s="172"/>
      <c r="K522" s="172"/>
      <c r="L522" s="172"/>
      <c r="M522" s="172"/>
      <c r="N522" s="172"/>
      <c r="O522" s="172"/>
      <c r="P522" s="172"/>
      <c r="Q522" s="172"/>
      <c r="R522" s="17"/>
    </row>
    <row r="523" spans="1:20" ht="16.5" customHeight="1" thickBot="1" x14ac:dyDescent="0.35">
      <c r="A523" s="278" t="s">
        <v>689</v>
      </c>
      <c r="B523" s="4" t="s">
        <v>2090</v>
      </c>
      <c r="C523" s="5" t="s">
        <v>2091</v>
      </c>
      <c r="D523" s="5" t="s">
        <v>2234</v>
      </c>
      <c r="E523" s="33" t="s">
        <v>1594</v>
      </c>
      <c r="F523" s="5" t="s">
        <v>2235</v>
      </c>
      <c r="G523" s="5" t="s">
        <v>2236</v>
      </c>
      <c r="H523" s="5" t="s">
        <v>2237</v>
      </c>
      <c r="I523" s="35" t="s">
        <v>1595</v>
      </c>
      <c r="J523" s="5" t="s">
        <v>1504</v>
      </c>
      <c r="K523" s="5" t="s">
        <v>1505</v>
      </c>
      <c r="L523" s="5" t="s">
        <v>1506</v>
      </c>
      <c r="M523" s="35" t="s">
        <v>1596</v>
      </c>
      <c r="N523" s="5" t="s">
        <v>1507</v>
      </c>
      <c r="O523" s="5" t="s">
        <v>1508</v>
      </c>
      <c r="P523" s="5" t="s">
        <v>1509</v>
      </c>
      <c r="Q523" s="35" t="s">
        <v>1597</v>
      </c>
      <c r="R523" s="36" t="s">
        <v>1510</v>
      </c>
    </row>
    <row r="524" spans="1:20" ht="16.5" customHeight="1" thickBot="1" x14ac:dyDescent="0.35">
      <c r="A524" s="37"/>
      <c r="B524" s="258"/>
      <c r="C524" s="258"/>
      <c r="D524" s="258"/>
      <c r="E524" s="254"/>
      <c r="F524" s="258"/>
      <c r="G524" s="258"/>
      <c r="H524" s="258"/>
      <c r="I524" s="265"/>
      <c r="J524" s="258"/>
      <c r="K524" s="258"/>
      <c r="L524" s="258"/>
      <c r="M524" s="265"/>
      <c r="N524" s="258"/>
      <c r="O524" s="258"/>
      <c r="P524" s="258"/>
      <c r="Q524" s="265"/>
      <c r="R524" s="52"/>
    </row>
    <row r="525" spans="1:20" ht="15.75" customHeight="1" x14ac:dyDescent="0.3">
      <c r="A525" s="234" t="s">
        <v>2417</v>
      </c>
      <c r="B525" s="172" t="s">
        <v>852</v>
      </c>
      <c r="C525" s="172" t="s">
        <v>852</v>
      </c>
      <c r="D525" s="172" t="s">
        <v>852</v>
      </c>
      <c r="E525" s="38" t="s">
        <v>852</v>
      </c>
      <c r="F525" s="172"/>
      <c r="G525" s="172"/>
      <c r="H525" s="172"/>
      <c r="I525" s="38" t="s">
        <v>852</v>
      </c>
      <c r="J525" s="172" t="s">
        <v>852</v>
      </c>
      <c r="K525" s="172" t="s">
        <v>852</v>
      </c>
      <c r="L525" s="172" t="s">
        <v>852</v>
      </c>
      <c r="M525" s="38" t="s">
        <v>852</v>
      </c>
      <c r="N525" s="172" t="s">
        <v>852</v>
      </c>
      <c r="O525" s="172" t="s">
        <v>852</v>
      </c>
      <c r="P525" s="172" t="s">
        <v>852</v>
      </c>
      <c r="Q525" s="38" t="s">
        <v>852</v>
      </c>
      <c r="R525" s="38" t="s">
        <v>852</v>
      </c>
    </row>
    <row r="526" spans="1:20" ht="15.75" customHeight="1" x14ac:dyDescent="0.3">
      <c r="A526" s="234" t="s">
        <v>2160</v>
      </c>
      <c r="B526" s="172"/>
      <c r="C526" s="172"/>
      <c r="D526" s="172"/>
      <c r="E526" s="38" t="s">
        <v>852</v>
      </c>
      <c r="F526" s="172"/>
      <c r="G526" s="172"/>
      <c r="H526" s="172"/>
      <c r="I526" s="38" t="s">
        <v>852</v>
      </c>
      <c r="J526" s="172"/>
      <c r="K526" s="172"/>
      <c r="L526" s="172"/>
      <c r="M526" s="38" t="s">
        <v>852</v>
      </c>
      <c r="N526" s="172"/>
      <c r="O526" s="172"/>
      <c r="P526" s="172"/>
      <c r="Q526" s="38" t="s">
        <v>852</v>
      </c>
      <c r="R526" s="38" t="s">
        <v>852</v>
      </c>
    </row>
    <row r="527" spans="1:20" ht="15.75" customHeight="1" x14ac:dyDescent="0.3">
      <c r="A527" s="234" t="s">
        <v>2976</v>
      </c>
      <c r="B527" s="10"/>
      <c r="C527" s="10"/>
      <c r="D527" s="10"/>
      <c r="E527" s="38">
        <f>SUM(B527:D527)</f>
        <v>0</v>
      </c>
      <c r="F527" s="10"/>
      <c r="G527" s="10">
        <v>1400</v>
      </c>
      <c r="H527" s="10"/>
      <c r="I527" s="38">
        <f>SUM(F527:H527)</f>
        <v>1400</v>
      </c>
      <c r="J527" s="10"/>
      <c r="K527" s="10"/>
      <c r="L527" s="10"/>
      <c r="M527" s="38">
        <f>SUM(J527:L527)</f>
        <v>0</v>
      </c>
      <c r="N527" s="10"/>
      <c r="O527" s="10"/>
      <c r="P527" s="10"/>
      <c r="Q527" s="38">
        <f>SUM(N527:P527)</f>
        <v>0</v>
      </c>
      <c r="R527" s="38">
        <f>+E527+I527+M527+Q527</f>
        <v>1400</v>
      </c>
      <c r="T527" t="s">
        <v>505</v>
      </c>
    </row>
    <row r="528" spans="1:20" ht="15.75" customHeight="1" x14ac:dyDescent="0.3">
      <c r="A528" s="310" t="s">
        <v>1478</v>
      </c>
      <c r="B528" s="10"/>
      <c r="C528" s="10"/>
      <c r="D528" s="10">
        <v>350</v>
      </c>
      <c r="E528" s="38">
        <f>SUM(B528:D528)</f>
        <v>350</v>
      </c>
      <c r="F528" s="10">
        <v>585</v>
      </c>
      <c r="G528" s="10">
        <v>265</v>
      </c>
      <c r="H528" s="10"/>
      <c r="I528" s="38">
        <f>SUM(F528:H528)</f>
        <v>850</v>
      </c>
      <c r="J528" s="10"/>
      <c r="K528" s="10"/>
      <c r="L528" s="10"/>
      <c r="M528" s="38">
        <f>SUM(J528:L528)</f>
        <v>0</v>
      </c>
      <c r="N528" s="10"/>
      <c r="O528" s="10"/>
      <c r="P528" s="10"/>
      <c r="Q528" s="38">
        <f>SUM(N528:P528)</f>
        <v>0</v>
      </c>
      <c r="R528" s="38">
        <f>+E528+I528+M528+Q528</f>
        <v>1200</v>
      </c>
    </row>
    <row r="529" spans="1:20" ht="15.75" customHeight="1" x14ac:dyDescent="0.3">
      <c r="A529" s="310" t="s">
        <v>485</v>
      </c>
      <c r="B529" s="10"/>
      <c r="C529" s="10"/>
      <c r="D529" s="10">
        <v>69</v>
      </c>
      <c r="E529" s="38">
        <f>SUM(B529:D529)</f>
        <v>69</v>
      </c>
      <c r="F529" s="10"/>
      <c r="G529" s="10">
        <v>763</v>
      </c>
      <c r="H529" s="10">
        <v>1250</v>
      </c>
      <c r="I529" s="38">
        <f>SUM(F529:H529)</f>
        <v>2013</v>
      </c>
      <c r="J529" s="10">
        <v>1000</v>
      </c>
      <c r="K529" s="10">
        <v>918</v>
      </c>
      <c r="L529" s="10"/>
      <c r="M529" s="38">
        <f>SUM(J529:L529)</f>
        <v>1918</v>
      </c>
      <c r="N529" s="10"/>
      <c r="O529" s="10"/>
      <c r="P529" s="10"/>
      <c r="Q529" s="38">
        <f>SUM(N529:P529)</f>
        <v>0</v>
      </c>
      <c r="R529" s="38">
        <f>+E529+I529+M529+Q529</f>
        <v>4000</v>
      </c>
    </row>
    <row r="530" spans="1:20" ht="15.75" customHeight="1" x14ac:dyDescent="0.3">
      <c r="A530" s="539" t="s">
        <v>3142</v>
      </c>
      <c r="B530" s="10"/>
      <c r="C530" s="10"/>
      <c r="D530" s="10"/>
      <c r="E530" s="38">
        <f>SUM(B530:D530)</f>
        <v>0</v>
      </c>
      <c r="F530" s="10"/>
      <c r="G530" s="10">
        <v>150</v>
      </c>
      <c r="H530" s="10">
        <v>53</v>
      </c>
      <c r="I530" s="38">
        <f>SUM(F530:H530)</f>
        <v>203</v>
      </c>
      <c r="J530" s="10">
        <v>287</v>
      </c>
      <c r="K530" s="10"/>
      <c r="L530" s="10">
        <v>911</v>
      </c>
      <c r="M530" s="38">
        <f>SUM(J530:L530)</f>
        <v>1198</v>
      </c>
      <c r="N530" s="10">
        <v>266</v>
      </c>
      <c r="O530" s="10"/>
      <c r="P530" s="10">
        <v>10</v>
      </c>
      <c r="Q530" s="38">
        <f>SUM(N530:P530)</f>
        <v>276</v>
      </c>
      <c r="R530" s="38">
        <f>+E530+I530+M530+Q530</f>
        <v>1677</v>
      </c>
    </row>
    <row r="531" spans="1:20" ht="15.75" customHeight="1" x14ac:dyDescent="0.3">
      <c r="A531" s="310" t="s">
        <v>1938</v>
      </c>
      <c r="B531" s="10"/>
      <c r="C531" s="10"/>
      <c r="D531" s="10"/>
      <c r="E531" s="38">
        <f>SUM(B531:D531)</f>
        <v>0</v>
      </c>
      <c r="F531" s="10"/>
      <c r="G531" s="10"/>
      <c r="H531" s="10"/>
      <c r="I531" s="38">
        <f>SUM(F531:H531)</f>
        <v>0</v>
      </c>
      <c r="J531" s="10"/>
      <c r="K531" s="10">
        <v>423</v>
      </c>
      <c r="L531" s="10">
        <v>334</v>
      </c>
      <c r="M531" s="38">
        <f>SUM(J531:L531)</f>
        <v>757</v>
      </c>
      <c r="N531" s="10"/>
      <c r="O531" s="10"/>
      <c r="P531" s="10"/>
      <c r="Q531" s="38">
        <f>SUM(N531:P531)</f>
        <v>0</v>
      </c>
      <c r="R531" s="38">
        <f>+E531+I531+M531+Q531</f>
        <v>757</v>
      </c>
    </row>
    <row r="532" spans="1:20" ht="15.75" customHeight="1" x14ac:dyDescent="0.3">
      <c r="A532" s="234" t="s">
        <v>2161</v>
      </c>
      <c r="B532" s="172"/>
      <c r="C532" s="172"/>
      <c r="D532" s="172"/>
      <c r="E532" s="38" t="s">
        <v>852</v>
      </c>
      <c r="F532" s="172"/>
      <c r="G532" s="172"/>
      <c r="H532" s="172"/>
      <c r="I532" s="38" t="s">
        <v>852</v>
      </c>
      <c r="J532" s="172"/>
      <c r="K532" s="172"/>
      <c r="L532" s="172"/>
      <c r="M532" s="38" t="s">
        <v>852</v>
      </c>
      <c r="N532" s="172"/>
      <c r="O532" s="172"/>
      <c r="P532" s="172"/>
      <c r="Q532" s="38" t="s">
        <v>852</v>
      </c>
      <c r="R532" s="38" t="s">
        <v>852</v>
      </c>
    </row>
    <row r="533" spans="1:20" ht="15.75" customHeight="1" x14ac:dyDescent="0.3">
      <c r="A533" s="234" t="s">
        <v>3245</v>
      </c>
      <c r="B533" s="172"/>
      <c r="C533" s="172"/>
      <c r="D533" s="172"/>
      <c r="E533" s="38" t="s">
        <v>852</v>
      </c>
      <c r="F533" s="172"/>
      <c r="G533" s="172"/>
      <c r="H533" s="172"/>
      <c r="I533" s="38" t="s">
        <v>852</v>
      </c>
      <c r="J533" s="172"/>
      <c r="K533" s="172"/>
      <c r="L533" s="172"/>
      <c r="M533" s="38" t="s">
        <v>852</v>
      </c>
      <c r="N533" s="172"/>
      <c r="O533" s="172"/>
      <c r="P533" s="172"/>
      <c r="Q533" s="38" t="s">
        <v>852</v>
      </c>
      <c r="R533" s="38" t="s">
        <v>852</v>
      </c>
    </row>
    <row r="534" spans="1:20" ht="15.75" customHeight="1" thickBot="1" x14ac:dyDescent="0.35">
      <c r="A534" s="234" t="s">
        <v>2164</v>
      </c>
      <c r="B534" s="172"/>
      <c r="C534" s="172"/>
      <c r="D534" s="172"/>
      <c r="E534" s="38" t="s">
        <v>852</v>
      </c>
      <c r="F534" s="172"/>
      <c r="G534" s="172"/>
      <c r="H534" s="172"/>
      <c r="I534" s="38" t="s">
        <v>852</v>
      </c>
      <c r="J534" s="172"/>
      <c r="K534" s="172"/>
      <c r="L534" s="172"/>
      <c r="M534" s="38" t="s">
        <v>852</v>
      </c>
      <c r="N534" s="172"/>
      <c r="O534" s="172"/>
      <c r="P534" s="172"/>
      <c r="Q534" s="38" t="s">
        <v>852</v>
      </c>
      <c r="R534" s="38" t="s">
        <v>852</v>
      </c>
    </row>
    <row r="535" spans="1:20" ht="16.5" customHeight="1" thickBot="1" x14ac:dyDescent="0.35">
      <c r="A535" s="276" t="s">
        <v>1218</v>
      </c>
      <c r="B535" s="45">
        <f>SUM(B525:B534)</f>
        <v>0</v>
      </c>
      <c r="C535" s="46">
        <f>SUM(C525:C534)</f>
        <v>0</v>
      </c>
      <c r="D535" s="46">
        <f>SUM(D525:D534)</f>
        <v>419</v>
      </c>
      <c r="E535" s="37">
        <f>SUM(B535:D535)</f>
        <v>419</v>
      </c>
      <c r="F535" s="46">
        <f>SUM(F525:F534)</f>
        <v>585</v>
      </c>
      <c r="G535" s="46">
        <f>SUM(G525:G534)</f>
        <v>2578</v>
      </c>
      <c r="H535" s="46">
        <f>SUM(H525:H534)</f>
        <v>1303</v>
      </c>
      <c r="I535" s="37">
        <f>SUM(F535:H535)</f>
        <v>4466</v>
      </c>
      <c r="J535" s="46">
        <f>SUM(J525:J534)</f>
        <v>1287</v>
      </c>
      <c r="K535" s="46">
        <f>SUM(K525:K534)</f>
        <v>1341</v>
      </c>
      <c r="L535" s="46">
        <f>SUM(L525:L534)</f>
        <v>1245</v>
      </c>
      <c r="M535" s="37">
        <f>SUM(J535:L535)</f>
        <v>3873</v>
      </c>
      <c r="N535" s="46">
        <f>SUM(N525:N534)</f>
        <v>266</v>
      </c>
      <c r="O535" s="46">
        <f>SUM(O525:O534)</f>
        <v>0</v>
      </c>
      <c r="P535" s="46">
        <f>SUM(P525:P534)</f>
        <v>10</v>
      </c>
      <c r="Q535" s="37">
        <f>SUM(N535:P535)</f>
        <v>276</v>
      </c>
      <c r="R535" s="37">
        <f>+E535+I535+M535+Q535</f>
        <v>9034</v>
      </c>
    </row>
    <row r="536" spans="1:20" ht="15.75" customHeight="1" x14ac:dyDescent="0.3">
      <c r="A536" s="234" t="s">
        <v>1172</v>
      </c>
      <c r="B536" s="172"/>
      <c r="C536" s="172"/>
      <c r="D536" s="172"/>
      <c r="E536" s="39" t="s">
        <v>852</v>
      </c>
      <c r="F536" s="172"/>
      <c r="G536" s="172"/>
      <c r="H536" s="172"/>
      <c r="I536" s="39" t="s">
        <v>852</v>
      </c>
      <c r="J536" s="172"/>
      <c r="K536" s="172"/>
      <c r="L536" s="172"/>
      <c r="M536" s="39" t="s">
        <v>852</v>
      </c>
      <c r="N536" s="172"/>
      <c r="O536" s="172"/>
      <c r="P536" s="172"/>
      <c r="Q536" s="39" t="s">
        <v>852</v>
      </c>
      <c r="R536" s="63" t="s">
        <v>852</v>
      </c>
    </row>
    <row r="537" spans="1:20" ht="15.75" customHeight="1" x14ac:dyDescent="0.3">
      <c r="A537" s="234" t="s">
        <v>2409</v>
      </c>
      <c r="B537" s="172"/>
      <c r="C537" s="172"/>
      <c r="D537" s="172"/>
      <c r="E537" s="38" t="s">
        <v>852</v>
      </c>
      <c r="F537" s="172"/>
      <c r="G537" s="172"/>
      <c r="H537" s="172"/>
      <c r="I537" s="38" t="s">
        <v>852</v>
      </c>
      <c r="J537" s="172"/>
      <c r="K537" s="172"/>
      <c r="L537" s="172"/>
      <c r="M537" s="38" t="s">
        <v>852</v>
      </c>
      <c r="N537" s="172"/>
      <c r="O537" s="172"/>
      <c r="P537" s="172"/>
      <c r="Q537" s="38" t="s">
        <v>852</v>
      </c>
      <c r="R537" s="63" t="s">
        <v>852</v>
      </c>
    </row>
    <row r="538" spans="1:20" ht="15.75" customHeight="1" x14ac:dyDescent="0.3">
      <c r="A538" s="310" t="s">
        <v>791</v>
      </c>
      <c r="B538" s="10">
        <v>108</v>
      </c>
      <c r="C538" s="10">
        <v>136</v>
      </c>
      <c r="D538" s="10">
        <v>2055</v>
      </c>
      <c r="E538" s="38">
        <f>SUM(B538:D538)</f>
        <v>2299</v>
      </c>
      <c r="F538" s="10">
        <v>80</v>
      </c>
      <c r="G538" s="10">
        <v>3154</v>
      </c>
      <c r="H538" s="10">
        <v>4508</v>
      </c>
      <c r="I538" s="38">
        <f>SUM(F538:H538)</f>
        <v>7742</v>
      </c>
      <c r="J538" s="10">
        <v>5734</v>
      </c>
      <c r="K538" s="10">
        <v>1104</v>
      </c>
      <c r="L538" s="10">
        <v>346</v>
      </c>
      <c r="M538" s="38">
        <f>SUM(J538:L538)</f>
        <v>7184</v>
      </c>
      <c r="N538" s="10"/>
      <c r="O538" s="10"/>
      <c r="P538" s="10"/>
      <c r="Q538" s="38">
        <f>SUM(N538:P538)</f>
        <v>0</v>
      </c>
      <c r="R538" s="38">
        <f>+E538+I538+M538+Q538</f>
        <v>17225</v>
      </c>
      <c r="S538">
        <f>+SUM(R538,R497,R381)</f>
        <v>97885</v>
      </c>
      <c r="T538" t="s">
        <v>2704</v>
      </c>
    </row>
    <row r="539" spans="1:20" ht="15.75" customHeight="1" x14ac:dyDescent="0.3">
      <c r="A539" s="266" t="s">
        <v>2300</v>
      </c>
      <c r="B539" s="172"/>
      <c r="C539" s="172"/>
      <c r="D539" s="172"/>
      <c r="E539" s="38">
        <f>SUM(B539:D539)</f>
        <v>0</v>
      </c>
      <c r="F539" s="172"/>
      <c r="G539" s="172"/>
      <c r="H539" s="172"/>
      <c r="I539" s="38">
        <f>SUM(F539:H539)</f>
        <v>0</v>
      </c>
      <c r="J539" s="172"/>
      <c r="K539" s="172"/>
      <c r="L539" s="172"/>
      <c r="M539" s="38">
        <f>SUM(J539:L539)</f>
        <v>0</v>
      </c>
      <c r="N539" s="172"/>
      <c r="O539" s="172"/>
      <c r="P539" s="172"/>
      <c r="Q539" s="38">
        <f>SUM(N539:P539)</f>
        <v>0</v>
      </c>
      <c r="R539" s="38">
        <f>+E539+I539+M539+Q539</f>
        <v>0</v>
      </c>
    </row>
    <row r="540" spans="1:20" ht="15.75" customHeight="1" thickBot="1" x14ac:dyDescent="0.35">
      <c r="A540" s="234" t="s">
        <v>2165</v>
      </c>
      <c r="B540" s="172"/>
      <c r="C540" s="172"/>
      <c r="D540" s="172"/>
      <c r="E540" s="38" t="s">
        <v>852</v>
      </c>
      <c r="F540" s="172"/>
      <c r="G540" s="172"/>
      <c r="H540" s="172"/>
      <c r="I540" s="38" t="s">
        <v>852</v>
      </c>
      <c r="J540" s="172"/>
      <c r="K540" s="172"/>
      <c r="L540" s="172"/>
      <c r="M540" s="38" t="s">
        <v>852</v>
      </c>
      <c r="N540" s="172"/>
      <c r="O540" s="172"/>
      <c r="P540" s="172"/>
      <c r="Q540" s="38" t="s">
        <v>852</v>
      </c>
      <c r="R540" s="63" t="s">
        <v>852</v>
      </c>
    </row>
    <row r="541" spans="1:20" ht="16.5" customHeight="1" thickBot="1" x14ac:dyDescent="0.35">
      <c r="A541" s="43" t="s">
        <v>1219</v>
      </c>
      <c r="B541" s="45">
        <f>SUM(B536:B540)</f>
        <v>108</v>
      </c>
      <c r="C541" s="46">
        <f>SUM(C536:C540)</f>
        <v>136</v>
      </c>
      <c r="D541" s="46">
        <f>SUM(D536:D540)</f>
        <v>2055</v>
      </c>
      <c r="E541" s="37">
        <f>SUM(B541:D541)</f>
        <v>2299</v>
      </c>
      <c r="F541" s="46">
        <f>SUM(F536:F540)</f>
        <v>80</v>
      </c>
      <c r="G541" s="46">
        <f>SUM(G536:G540)</f>
        <v>3154</v>
      </c>
      <c r="H541" s="46">
        <f>SUM(H536:H540)</f>
        <v>4508</v>
      </c>
      <c r="I541" s="37">
        <f>SUM(F541:H541)</f>
        <v>7742</v>
      </c>
      <c r="J541" s="46">
        <f>SUM(J536:J540)</f>
        <v>5734</v>
      </c>
      <c r="K541" s="46">
        <f>SUM(K536:K540)</f>
        <v>1104</v>
      </c>
      <c r="L541" s="46">
        <f>SUM(L536:L540)</f>
        <v>346</v>
      </c>
      <c r="M541" s="37">
        <f>SUM(J541:L541)</f>
        <v>7184</v>
      </c>
      <c r="N541" s="46">
        <f>SUM(N536:N540)</f>
        <v>0</v>
      </c>
      <c r="O541" s="46">
        <f>SUM(O536:O540)</f>
        <v>0</v>
      </c>
      <c r="P541" s="46">
        <f>SUM(P536:P540)</f>
        <v>0</v>
      </c>
      <c r="Q541" s="37">
        <f>SUM(N541:P541)</f>
        <v>0</v>
      </c>
      <c r="R541" s="37">
        <f>+E541+I541+M541+Q541</f>
        <v>17225</v>
      </c>
    </row>
    <row r="542" spans="1:20" ht="15.75" customHeight="1" x14ac:dyDescent="0.3">
      <c r="A542" s="234" t="s">
        <v>2166</v>
      </c>
      <c r="B542" s="172"/>
      <c r="C542" s="172"/>
      <c r="D542" s="172"/>
      <c r="E542" s="38" t="s">
        <v>852</v>
      </c>
      <c r="F542" s="172"/>
      <c r="G542" s="172"/>
      <c r="H542" s="172"/>
      <c r="I542" s="38" t="s">
        <v>852</v>
      </c>
      <c r="J542" s="172"/>
      <c r="K542" s="172"/>
      <c r="L542" s="172"/>
      <c r="M542" s="38" t="s">
        <v>852</v>
      </c>
      <c r="N542" s="172"/>
      <c r="O542" s="172"/>
      <c r="P542" s="172"/>
      <c r="Q542" s="38" t="s">
        <v>852</v>
      </c>
      <c r="R542" s="38" t="s">
        <v>852</v>
      </c>
    </row>
    <row r="543" spans="1:20" ht="15.75" customHeight="1" x14ac:dyDescent="0.3">
      <c r="A543" s="234" t="s">
        <v>1245</v>
      </c>
      <c r="B543" s="172"/>
      <c r="C543" s="172"/>
      <c r="D543" s="172"/>
      <c r="E543" s="38" t="s">
        <v>852</v>
      </c>
      <c r="F543" s="172"/>
      <c r="G543" s="172"/>
      <c r="H543" s="172"/>
      <c r="I543" s="38" t="s">
        <v>852</v>
      </c>
      <c r="J543" s="172"/>
      <c r="K543" s="172"/>
      <c r="L543" s="172"/>
      <c r="M543" s="38" t="s">
        <v>852</v>
      </c>
      <c r="N543" s="172"/>
      <c r="O543" s="172"/>
      <c r="P543" s="172"/>
      <c r="Q543" s="38" t="s">
        <v>852</v>
      </c>
      <c r="R543" s="38" t="s">
        <v>852</v>
      </c>
    </row>
    <row r="544" spans="1:20" ht="15.75" customHeight="1" x14ac:dyDescent="0.3">
      <c r="A544" s="234" t="s">
        <v>1711</v>
      </c>
      <c r="B544" s="172"/>
      <c r="C544" s="172"/>
      <c r="D544" s="172"/>
      <c r="E544" s="38" t="s">
        <v>852</v>
      </c>
      <c r="F544" s="172"/>
      <c r="G544" s="172"/>
      <c r="H544" s="172"/>
      <c r="I544" s="38" t="s">
        <v>852</v>
      </c>
      <c r="J544" s="172"/>
      <c r="K544" s="172"/>
      <c r="L544" s="172"/>
      <c r="M544" s="38" t="s">
        <v>852</v>
      </c>
      <c r="N544" s="172"/>
      <c r="O544" s="172"/>
      <c r="P544" s="172"/>
      <c r="Q544" s="38" t="s">
        <v>852</v>
      </c>
      <c r="R544" s="38" t="s">
        <v>852</v>
      </c>
    </row>
    <row r="545" spans="1:20" ht="15.75" customHeight="1" thickBot="1" x14ac:dyDescent="0.35">
      <c r="A545" s="689" t="s">
        <v>2937</v>
      </c>
      <c r="B545" s="172"/>
      <c r="C545" s="172"/>
      <c r="D545" s="172"/>
      <c r="E545" s="38">
        <f>SUM(B545:D545)</f>
        <v>0</v>
      </c>
      <c r="F545" s="172">
        <v>4000</v>
      </c>
      <c r="G545" s="172"/>
      <c r="H545" s="172"/>
      <c r="I545" s="38">
        <f>SUM(F545:H545)</f>
        <v>4000</v>
      </c>
      <c r="J545" s="172"/>
      <c r="K545" s="172">
        <v>4000</v>
      </c>
      <c r="L545" s="172">
        <v>2200</v>
      </c>
      <c r="M545" s="38">
        <f>SUM(J545:L545)</f>
        <v>6200</v>
      </c>
      <c r="N545" s="172"/>
      <c r="O545" s="172">
        <v>421</v>
      </c>
      <c r="P545" s="172"/>
      <c r="Q545" s="38">
        <f>SUM(N545:P545)</f>
        <v>421</v>
      </c>
      <c r="R545" s="38">
        <f>+E545+I545+M545+Q545</f>
        <v>10621</v>
      </c>
      <c r="T545" t="s">
        <v>505</v>
      </c>
    </row>
    <row r="546" spans="1:20" ht="16.5" customHeight="1" thickBot="1" x14ac:dyDescent="0.35">
      <c r="A546" s="277" t="s">
        <v>1220</v>
      </c>
      <c r="B546" s="45">
        <f>SUM(B542:B545)</f>
        <v>0</v>
      </c>
      <c r="C546" s="46">
        <f>SUM(C542:C545)</f>
        <v>0</v>
      </c>
      <c r="D546" s="46">
        <f>SUM(D542:D545)</f>
        <v>0</v>
      </c>
      <c r="E546" s="37">
        <f>SUM(B546:D546)</f>
        <v>0</v>
      </c>
      <c r="F546" s="46">
        <f>SUM(F542:F545)</f>
        <v>4000</v>
      </c>
      <c r="G546" s="46">
        <f>SUM(G542:G545)</f>
        <v>0</v>
      </c>
      <c r="H546" s="46">
        <f>SUM(H542:H545)</f>
        <v>0</v>
      </c>
      <c r="I546" s="37">
        <f>SUM(F546:H546)</f>
        <v>4000</v>
      </c>
      <c r="J546" s="46">
        <f>SUM(J542:J545)</f>
        <v>0</v>
      </c>
      <c r="K546" s="46">
        <f>SUM(K542:K545)</f>
        <v>4000</v>
      </c>
      <c r="L546" s="46">
        <f>SUM(L542:L545)</f>
        <v>2200</v>
      </c>
      <c r="M546" s="37">
        <f>SUM(J546:L546)</f>
        <v>6200</v>
      </c>
      <c r="N546" s="46">
        <f>SUM(N542:N545)</f>
        <v>0</v>
      </c>
      <c r="O546" s="46">
        <f>SUM(O542:O545)</f>
        <v>421</v>
      </c>
      <c r="P546" s="46">
        <f>SUM(P542:P545)</f>
        <v>0</v>
      </c>
      <c r="Q546" s="37">
        <f>SUM(N546:P546)</f>
        <v>421</v>
      </c>
      <c r="R546" s="37">
        <f>+E546+I546+M546+Q546</f>
        <v>10621</v>
      </c>
    </row>
    <row r="547" spans="1:20" ht="15.75" customHeight="1" x14ac:dyDescent="0.3">
      <c r="A547" s="234" t="s">
        <v>1712</v>
      </c>
      <c r="B547" s="172"/>
      <c r="C547" s="172"/>
      <c r="D547" s="172"/>
      <c r="E547" s="38" t="s">
        <v>852</v>
      </c>
      <c r="F547" s="172"/>
      <c r="G547" s="172"/>
      <c r="H547" s="172"/>
      <c r="I547" s="38" t="s">
        <v>852</v>
      </c>
      <c r="J547" s="172"/>
      <c r="K547" s="172"/>
      <c r="L547" s="172"/>
      <c r="M547" s="38" t="s">
        <v>852</v>
      </c>
      <c r="N547" s="172"/>
      <c r="O547" s="172"/>
      <c r="P547" s="172"/>
      <c r="Q547" s="38" t="s">
        <v>852</v>
      </c>
      <c r="R547" s="38" t="s">
        <v>852</v>
      </c>
    </row>
    <row r="548" spans="1:20" ht="15.75" customHeight="1" x14ac:dyDescent="0.3">
      <c r="A548" s="234" t="s">
        <v>1021</v>
      </c>
      <c r="B548" s="172"/>
      <c r="C548" s="172"/>
      <c r="D548" s="172"/>
      <c r="E548" s="38" t="s">
        <v>852</v>
      </c>
      <c r="F548" s="172"/>
      <c r="G548" s="172"/>
      <c r="H548" s="172"/>
      <c r="I548" s="38" t="s">
        <v>852</v>
      </c>
      <c r="J548" s="172"/>
      <c r="K548" s="172"/>
      <c r="L548" s="172"/>
      <c r="M548" s="38" t="s">
        <v>852</v>
      </c>
      <c r="N548" s="172"/>
      <c r="O548" s="172"/>
      <c r="P548" s="172"/>
      <c r="Q548" s="38" t="s">
        <v>852</v>
      </c>
      <c r="R548" s="38" t="s">
        <v>852</v>
      </c>
    </row>
    <row r="549" spans="1:20" ht="15.75" customHeight="1" x14ac:dyDescent="0.3">
      <c r="A549" s="234" t="s">
        <v>557</v>
      </c>
      <c r="B549" s="172"/>
      <c r="C549" s="172"/>
      <c r="D549" s="172"/>
      <c r="E549" s="38" t="s">
        <v>852</v>
      </c>
      <c r="F549" s="172"/>
      <c r="G549" s="172"/>
      <c r="H549" s="172"/>
      <c r="I549" s="38" t="s">
        <v>852</v>
      </c>
      <c r="J549" s="172"/>
      <c r="K549" s="172"/>
      <c r="L549" s="172"/>
      <c r="M549" s="38" t="s">
        <v>852</v>
      </c>
      <c r="N549" s="172"/>
      <c r="O549" s="172"/>
      <c r="P549" s="172"/>
      <c r="Q549" s="38" t="s">
        <v>852</v>
      </c>
      <c r="R549" s="38" t="s">
        <v>852</v>
      </c>
    </row>
    <row r="550" spans="1:20" ht="15.75" customHeight="1" x14ac:dyDescent="0.3">
      <c r="A550" s="234" t="s">
        <v>1022</v>
      </c>
      <c r="B550" s="172"/>
      <c r="C550" s="172"/>
      <c r="D550" s="172"/>
      <c r="E550" s="38" t="s">
        <v>852</v>
      </c>
      <c r="F550" s="172"/>
      <c r="G550" s="172"/>
      <c r="H550" s="172"/>
      <c r="I550" s="38" t="s">
        <v>852</v>
      </c>
      <c r="J550" s="172"/>
      <c r="K550" s="172"/>
      <c r="L550" s="172"/>
      <c r="M550" s="38" t="s">
        <v>852</v>
      </c>
      <c r="N550" s="172"/>
      <c r="O550" s="172"/>
      <c r="P550" s="172"/>
      <c r="Q550" s="38" t="s">
        <v>852</v>
      </c>
      <c r="R550" s="38" t="s">
        <v>852</v>
      </c>
    </row>
    <row r="551" spans="1:20" ht="15.75" customHeight="1" x14ac:dyDescent="0.3">
      <c r="A551" s="310" t="s">
        <v>2102</v>
      </c>
      <c r="B551" s="10"/>
      <c r="C551" s="10"/>
      <c r="D551" s="10"/>
      <c r="E551" s="38">
        <f>SUM(B551:D551)</f>
        <v>0</v>
      </c>
      <c r="F551" s="10"/>
      <c r="G551" s="10"/>
      <c r="H551" s="10"/>
      <c r="I551" s="38">
        <f>SUM(F551:H551)</f>
        <v>0</v>
      </c>
      <c r="J551" s="10"/>
      <c r="K551" s="10"/>
      <c r="L551" s="10"/>
      <c r="M551" s="38">
        <f>SUM(J551:L551)</f>
        <v>0</v>
      </c>
      <c r="N551" s="10"/>
      <c r="O551" s="10"/>
      <c r="P551" s="10"/>
      <c r="Q551" s="38">
        <f>SUM(N551:P551)</f>
        <v>0</v>
      </c>
      <c r="R551" s="38">
        <f>+E551+I551+M551+Q551</f>
        <v>0</v>
      </c>
    </row>
    <row r="552" spans="1:20" ht="15.75" customHeight="1" x14ac:dyDescent="0.3">
      <c r="A552" s="234" t="s">
        <v>559</v>
      </c>
      <c r="B552" s="172"/>
      <c r="C552" s="172"/>
      <c r="D552" s="172"/>
      <c r="E552" s="38"/>
      <c r="F552" s="172"/>
      <c r="G552" s="172"/>
      <c r="H552" s="172"/>
      <c r="I552" s="38"/>
      <c r="J552" s="172"/>
      <c r="K552" s="172"/>
      <c r="L552" s="172"/>
      <c r="M552" s="38"/>
      <c r="N552" s="172"/>
      <c r="O552" s="172"/>
      <c r="P552" s="172"/>
      <c r="Q552" s="38"/>
      <c r="R552" s="38" t="s">
        <v>852</v>
      </c>
    </row>
    <row r="553" spans="1:20" ht="15.75" customHeight="1" x14ac:dyDescent="0.3">
      <c r="A553" s="539" t="s">
        <v>2936</v>
      </c>
      <c r="B553" s="10"/>
      <c r="C553" s="10"/>
      <c r="D553" s="10"/>
      <c r="E553" s="38">
        <f t="shared" ref="E553:E559" si="176">SUM(B553:D553)</f>
        <v>0</v>
      </c>
      <c r="F553" s="10"/>
      <c r="G553" s="10"/>
      <c r="H553" s="10"/>
      <c r="I553" s="38">
        <f t="shared" ref="I553:I559" si="177">SUM(F553:H553)</f>
        <v>0</v>
      </c>
      <c r="J553" s="10"/>
      <c r="K553" s="10"/>
      <c r="L553" s="10"/>
      <c r="M553" s="38">
        <f t="shared" ref="M553:M559" si="178">SUM(J553:L553)</f>
        <v>0</v>
      </c>
      <c r="N553" s="10">
        <v>808</v>
      </c>
      <c r="O553" s="10"/>
      <c r="P553" s="10">
        <v>125</v>
      </c>
      <c r="Q553" s="38">
        <f t="shared" ref="Q553:Q559" si="179">SUM(N553:P553)</f>
        <v>933</v>
      </c>
      <c r="R553" s="38">
        <f t="shared" ref="R553:R559" si="180">+E553+I553+M553+Q553</f>
        <v>933</v>
      </c>
      <c r="T553" t="s">
        <v>505</v>
      </c>
    </row>
    <row r="554" spans="1:20" ht="15.75" customHeight="1" x14ac:dyDescent="0.3">
      <c r="A554" s="539" t="s">
        <v>2836</v>
      </c>
      <c r="B554" s="172"/>
      <c r="C554" s="172"/>
      <c r="D554" s="172"/>
      <c r="E554" s="38">
        <f>SUM(B554:D554)</f>
        <v>0</v>
      </c>
      <c r="F554" s="172"/>
      <c r="G554" s="172"/>
      <c r="H554" s="172"/>
      <c r="I554" s="38">
        <f>SUM(F554:H554)</f>
        <v>0</v>
      </c>
      <c r="J554" s="172"/>
      <c r="K554" s="172"/>
      <c r="L554" s="172"/>
      <c r="M554" s="38">
        <f>SUM(J554:L554)</f>
        <v>0</v>
      </c>
      <c r="N554" s="172"/>
      <c r="O554" s="172"/>
      <c r="P554" s="172"/>
      <c r="Q554" s="38">
        <f>SUM(N554:P554)</f>
        <v>0</v>
      </c>
      <c r="R554" s="38">
        <f>+E554+I554+M554+Q554</f>
        <v>0</v>
      </c>
      <c r="T554" t="s">
        <v>505</v>
      </c>
    </row>
    <row r="555" spans="1:20" ht="15.75" customHeight="1" thickBot="1" x14ac:dyDescent="0.35">
      <c r="A555" s="539" t="s">
        <v>2577</v>
      </c>
      <c r="B555" s="172"/>
      <c r="C555" s="172"/>
      <c r="D555" s="172"/>
      <c r="E555" s="38">
        <f t="shared" si="176"/>
        <v>0</v>
      </c>
      <c r="F555" s="172"/>
      <c r="G555" s="172"/>
      <c r="H555" s="172"/>
      <c r="I555" s="38">
        <f t="shared" si="177"/>
        <v>0</v>
      </c>
      <c r="J555" s="172"/>
      <c r="K555" s="172"/>
      <c r="L555" s="172"/>
      <c r="M555" s="38">
        <f t="shared" si="178"/>
        <v>0</v>
      </c>
      <c r="N555" s="172"/>
      <c r="O555" s="172"/>
      <c r="P555" s="172"/>
      <c r="Q555" s="38">
        <f t="shared" si="179"/>
        <v>0</v>
      </c>
      <c r="R555" s="38">
        <f t="shared" si="180"/>
        <v>0</v>
      </c>
    </row>
    <row r="556" spans="1:20" ht="16.5" customHeight="1" thickBot="1" x14ac:dyDescent="0.35">
      <c r="A556" s="43" t="s">
        <v>1019</v>
      </c>
      <c r="B556" s="42">
        <f>SUM(B550:B555)</f>
        <v>0</v>
      </c>
      <c r="C556" s="42">
        <f>SUM(C550:C555)</f>
        <v>0</v>
      </c>
      <c r="D556" s="42">
        <f>SUM(D550:D555)</f>
        <v>0</v>
      </c>
      <c r="E556" s="39">
        <f t="shared" si="176"/>
        <v>0</v>
      </c>
      <c r="F556" s="42">
        <f>SUM(F550:F555)</f>
        <v>0</v>
      </c>
      <c r="G556" s="42">
        <f>SUM(G550:G555)</f>
        <v>0</v>
      </c>
      <c r="H556" s="42">
        <f>SUM(H550:H555)</f>
        <v>0</v>
      </c>
      <c r="I556" s="39">
        <f t="shared" si="177"/>
        <v>0</v>
      </c>
      <c r="J556" s="42">
        <f>SUM(J550:J555)</f>
        <v>0</v>
      </c>
      <c r="K556" s="42">
        <f>SUM(K550:K555)</f>
        <v>0</v>
      </c>
      <c r="L556" s="42">
        <f>SUM(L550:L555)</f>
        <v>0</v>
      </c>
      <c r="M556" s="39">
        <f t="shared" si="178"/>
        <v>0</v>
      </c>
      <c r="N556" s="42">
        <f>SUM(N550:N555)</f>
        <v>808</v>
      </c>
      <c r="O556" s="42">
        <f>SUM(O550:O555)</f>
        <v>0</v>
      </c>
      <c r="P556" s="42">
        <f>SUM(P550:P555)</f>
        <v>125</v>
      </c>
      <c r="Q556" s="39">
        <f t="shared" si="179"/>
        <v>933</v>
      </c>
      <c r="R556" s="37">
        <f t="shared" si="180"/>
        <v>933</v>
      </c>
    </row>
    <row r="557" spans="1:20" ht="16.5" customHeight="1" thickBot="1" x14ac:dyDescent="0.35">
      <c r="A557" s="277" t="s">
        <v>1221</v>
      </c>
      <c r="B557" s="45">
        <f>SUM(B547:B555)</f>
        <v>0</v>
      </c>
      <c r="C557" s="46">
        <f>SUM(C547:C555)</f>
        <v>0</v>
      </c>
      <c r="D557" s="58">
        <f>SUM(D547:D555)</f>
        <v>0</v>
      </c>
      <c r="E557" s="39">
        <f t="shared" si="176"/>
        <v>0</v>
      </c>
      <c r="F557" s="46">
        <f>SUM(F547:F555)</f>
        <v>0</v>
      </c>
      <c r="G557" s="46">
        <f>SUM(G547:G555)</f>
        <v>0</v>
      </c>
      <c r="H557" s="46">
        <f>SUM(H547:H555)</f>
        <v>0</v>
      </c>
      <c r="I557" s="39">
        <f t="shared" si="177"/>
        <v>0</v>
      </c>
      <c r="J557" s="46">
        <f>SUM(J547:J555)</f>
        <v>0</v>
      </c>
      <c r="K557" s="46">
        <f>SUM(K547:K555)</f>
        <v>0</v>
      </c>
      <c r="L557" s="46">
        <f>SUM(L547:L555)</f>
        <v>0</v>
      </c>
      <c r="M557" s="39">
        <f t="shared" si="178"/>
        <v>0</v>
      </c>
      <c r="N557" s="46">
        <f>SUM(N547:N555)</f>
        <v>808</v>
      </c>
      <c r="O557" s="46">
        <f>SUM(O547:O555)</f>
        <v>0</v>
      </c>
      <c r="P557" s="46">
        <f>SUM(P547:P555)</f>
        <v>125</v>
      </c>
      <c r="Q557" s="39">
        <f t="shared" si="179"/>
        <v>933</v>
      </c>
      <c r="R557" s="37">
        <f t="shared" si="180"/>
        <v>933</v>
      </c>
    </row>
    <row r="558" spans="1:20" ht="16.5" customHeight="1" thickBot="1" x14ac:dyDescent="0.35">
      <c r="A558" s="43" t="s">
        <v>1222</v>
      </c>
      <c r="B558" s="47">
        <f>+B535+B541+B546+B557</f>
        <v>108</v>
      </c>
      <c r="C558" s="42">
        <f>+C535+C541+C546+C557</f>
        <v>136</v>
      </c>
      <c r="D558" s="42">
        <f>+D535+D541+D546+D557</f>
        <v>2474</v>
      </c>
      <c r="E558" s="37">
        <f t="shared" si="176"/>
        <v>2718</v>
      </c>
      <c r="F558" s="42">
        <f>+F535+F541+F546+F557</f>
        <v>4665</v>
      </c>
      <c r="G558" s="42">
        <f>+G535+G541+G546+G557</f>
        <v>5732</v>
      </c>
      <c r="H558" s="42">
        <f>+H535+H541+H546+H557</f>
        <v>5811</v>
      </c>
      <c r="I558" s="37">
        <f t="shared" si="177"/>
        <v>16208</v>
      </c>
      <c r="J558" s="42">
        <f>+J535+J541+J546+J557</f>
        <v>7021</v>
      </c>
      <c r="K558" s="42">
        <f>+K535+K541+K546+K557</f>
        <v>6445</v>
      </c>
      <c r="L558" s="42">
        <f>+L535+L541+L546+L557</f>
        <v>3791</v>
      </c>
      <c r="M558" s="37">
        <f t="shared" si="178"/>
        <v>17257</v>
      </c>
      <c r="N558" s="42">
        <f>+N535+N541+N546+N557</f>
        <v>1074</v>
      </c>
      <c r="O558" s="42">
        <f>+O535+O541+O546+O557</f>
        <v>421</v>
      </c>
      <c r="P558" s="42">
        <f>+P535+P541+P546+P557</f>
        <v>135</v>
      </c>
      <c r="Q558" s="37">
        <f t="shared" si="179"/>
        <v>1630</v>
      </c>
      <c r="R558" s="40">
        <f t="shared" si="180"/>
        <v>37813</v>
      </c>
    </row>
    <row r="559" spans="1:20" ht="16.5" customHeight="1" thickBot="1" x14ac:dyDescent="0.35">
      <c r="A559" s="244" t="s">
        <v>853</v>
      </c>
      <c r="B559" s="238">
        <v>23</v>
      </c>
      <c r="C559" s="238">
        <v>43</v>
      </c>
      <c r="D559" s="238">
        <v>66</v>
      </c>
      <c r="E559" s="40">
        <f t="shared" si="176"/>
        <v>132</v>
      </c>
      <c r="F559" s="238">
        <v>91</v>
      </c>
      <c r="G559" s="238">
        <v>108</v>
      </c>
      <c r="H559" s="238">
        <v>109</v>
      </c>
      <c r="I559" s="40">
        <f t="shared" si="177"/>
        <v>308</v>
      </c>
      <c r="J559" s="238">
        <v>104</v>
      </c>
      <c r="K559" s="238">
        <v>79</v>
      </c>
      <c r="L559" s="238">
        <v>80</v>
      </c>
      <c r="M559" s="40">
        <f t="shared" si="178"/>
        <v>263</v>
      </c>
      <c r="N559" s="238">
        <v>74</v>
      </c>
      <c r="O559" s="238">
        <v>58</v>
      </c>
      <c r="P559" s="238">
        <v>42</v>
      </c>
      <c r="Q559" s="40">
        <f t="shared" si="179"/>
        <v>174</v>
      </c>
      <c r="R559" s="38">
        <f t="shared" si="180"/>
        <v>877</v>
      </c>
    </row>
    <row r="560" spans="1:20" ht="16.5" customHeight="1" thickBot="1" x14ac:dyDescent="0.35">
      <c r="A560" s="22"/>
      <c r="B560" s="242"/>
      <c r="C560" s="242"/>
      <c r="D560" s="242"/>
      <c r="E560" s="21"/>
      <c r="F560" s="242"/>
      <c r="G560" s="242"/>
      <c r="H560" s="242"/>
      <c r="I560" s="31"/>
      <c r="J560" s="242"/>
      <c r="K560" s="242"/>
      <c r="L560" s="242"/>
      <c r="M560" s="31"/>
      <c r="N560" s="242"/>
      <c r="O560" s="242"/>
      <c r="P560" s="242"/>
      <c r="Q560" s="31"/>
      <c r="R560" s="21"/>
    </row>
    <row r="561" spans="1:20" ht="15.75" customHeight="1" x14ac:dyDescent="0.3">
      <c r="A561" s="234" t="s">
        <v>120</v>
      </c>
      <c r="B561" s="260">
        <f>SUM(B558:B559)</f>
        <v>131</v>
      </c>
      <c r="C561" s="260">
        <f>SUM(C558:C559)</f>
        <v>179</v>
      </c>
      <c r="D561" s="260">
        <f>SUM(D558:D559)</f>
        <v>2540</v>
      </c>
      <c r="E561" s="39">
        <f>SUM(B561:D561)</f>
        <v>2850</v>
      </c>
      <c r="F561" s="260">
        <f>SUM(F558:F559)</f>
        <v>4756</v>
      </c>
      <c r="G561" s="260">
        <f>SUM(G558:G559)</f>
        <v>5840</v>
      </c>
      <c r="H561" s="260">
        <f>SUM(H558:H559)</f>
        <v>5920</v>
      </c>
      <c r="I561" s="39">
        <f>SUM(F561:H561)</f>
        <v>16516</v>
      </c>
      <c r="J561" s="260">
        <f>SUM(J558:J559)</f>
        <v>7125</v>
      </c>
      <c r="K561" s="260">
        <f>SUM(K558:K559)</f>
        <v>6524</v>
      </c>
      <c r="L561" s="260">
        <f>SUM(L558:L559)</f>
        <v>3871</v>
      </c>
      <c r="M561" s="39">
        <f>SUM(J561:L561)</f>
        <v>17520</v>
      </c>
      <c r="N561" s="260">
        <f>SUM(N558:N559)</f>
        <v>1148</v>
      </c>
      <c r="O561" s="260">
        <f>SUM(O558:O559)</f>
        <v>479</v>
      </c>
      <c r="P561" s="260">
        <f>SUM(P558:P559)</f>
        <v>177</v>
      </c>
      <c r="Q561" s="39">
        <f>SUM(N561:P561)</f>
        <v>1804</v>
      </c>
      <c r="R561" s="39">
        <f>+E561+I561+M561+Q561</f>
        <v>38690</v>
      </c>
    </row>
    <row r="562" spans="1:20" ht="15.75" customHeight="1" x14ac:dyDescent="0.3">
      <c r="A562" s="234" t="s">
        <v>1897</v>
      </c>
      <c r="B562" s="172">
        <f>(B561/B10)/1.983</f>
        <v>2.1310168691946054</v>
      </c>
      <c r="C562" s="172">
        <f>(C561/C10)/1.983</f>
        <v>3.2238311360852965</v>
      </c>
      <c r="D562" s="172">
        <f>(D561/D10)/1.983</f>
        <v>41.318953036292356</v>
      </c>
      <c r="E562" s="38" t="s">
        <v>852</v>
      </c>
      <c r="F562" s="172">
        <f>(F561/F10)/1.983</f>
        <v>79.946209446965867</v>
      </c>
      <c r="G562" s="172">
        <f>(G561/G10)/1.983</f>
        <v>95.00105737478242</v>
      </c>
      <c r="H562" s="172">
        <f>(H561/H10)/1.983</f>
        <v>99.512523113128253</v>
      </c>
      <c r="I562" s="38" t="s">
        <v>852</v>
      </c>
      <c r="J562" s="172">
        <f>(J561/J10)/1.983</f>
        <v>115.90454345810356</v>
      </c>
      <c r="K562" s="172">
        <f>(K561/K10)/1.983</f>
        <v>106.12789354676036</v>
      </c>
      <c r="L562" s="172">
        <f>(L561/L10)/1.983</f>
        <v>65.069759623466126</v>
      </c>
      <c r="M562" s="38" t="s">
        <v>852</v>
      </c>
      <c r="N562" s="172">
        <f>(N561/N10)/1.983</f>
        <v>18.674865388056542</v>
      </c>
      <c r="O562" s="172">
        <f>(O561/O10)/1.983</f>
        <v>8.0517734072953431</v>
      </c>
      <c r="P562" s="172">
        <f>(P561/P10)/1.983</f>
        <v>2.8793128690644672</v>
      </c>
      <c r="Q562" s="38" t="s">
        <v>852</v>
      </c>
      <c r="R562" s="38" t="s">
        <v>852</v>
      </c>
    </row>
    <row r="563" spans="1:20" ht="15.75" customHeight="1" x14ac:dyDescent="0.3">
      <c r="A563" s="234" t="s">
        <v>1433</v>
      </c>
      <c r="B563" s="172">
        <f>B561+B621</f>
        <v>15258</v>
      </c>
      <c r="C563" s="172">
        <f>C561+C621</f>
        <v>13344</v>
      </c>
      <c r="D563" s="172">
        <f>D561+D621</f>
        <v>27146</v>
      </c>
      <c r="E563" s="38">
        <f>SUM(B563:D563)</f>
        <v>55748</v>
      </c>
      <c r="F563" s="172">
        <f>F561+F621</f>
        <v>29746</v>
      </c>
      <c r="G563" s="172">
        <f>G561+G621</f>
        <v>29752</v>
      </c>
      <c r="H563" s="172">
        <f>H561+H621</f>
        <v>30940</v>
      </c>
      <c r="I563" s="38">
        <f>SUM(F563:H563)</f>
        <v>90438</v>
      </c>
      <c r="J563" s="172">
        <f>J561+J621</f>
        <v>31883</v>
      </c>
      <c r="K563" s="172">
        <f>K561+K621</f>
        <v>32582</v>
      </c>
      <c r="L563" s="172">
        <f>L561+L621</f>
        <v>27446</v>
      </c>
      <c r="M563" s="38">
        <f>SUM(J563:L563)</f>
        <v>91911</v>
      </c>
      <c r="N563" s="172">
        <f>N561+N621</f>
        <v>10868</v>
      </c>
      <c r="O563" s="172">
        <f>O561+O621</f>
        <v>3559</v>
      </c>
      <c r="P563" s="172">
        <f>P561+P621</f>
        <v>11483</v>
      </c>
      <c r="Q563" s="38">
        <f>SUM(N563:P563)</f>
        <v>25910</v>
      </c>
      <c r="R563" s="38">
        <f>+E563+I563+M563+Q563</f>
        <v>264007</v>
      </c>
    </row>
    <row r="564" spans="1:20" ht="16.5" customHeight="1" thickBot="1" x14ac:dyDescent="0.35">
      <c r="A564" s="237" t="s">
        <v>426</v>
      </c>
      <c r="B564" s="264">
        <f>(B563/B10)/1.983</f>
        <v>248.20652969596406</v>
      </c>
      <c r="C564" s="264">
        <f>(C563/C10)/1.983</f>
        <v>240.32850659174409</v>
      </c>
      <c r="D564" s="264">
        <f>(D563/D10)/1.983</f>
        <v>441.59224374928829</v>
      </c>
      <c r="E564" s="40" t="s">
        <v>852</v>
      </c>
      <c r="F564" s="264">
        <f>(F563/F10)/1.983</f>
        <v>500.01680954782313</v>
      </c>
      <c r="G564" s="264">
        <f>(G563/G10)/1.983</f>
        <v>483.98483887235045</v>
      </c>
      <c r="H564" s="264">
        <f>(H563/H10)/1.983</f>
        <v>520.08740964868036</v>
      </c>
      <c r="I564" s="40" t="s">
        <v>852</v>
      </c>
      <c r="J564" s="264">
        <f>(J563/J10)/1.983</f>
        <v>518.65046443153904</v>
      </c>
      <c r="K564" s="264">
        <f>(K563/K10)/1.983</f>
        <v>530.02131016869191</v>
      </c>
      <c r="L564" s="264">
        <f>(L563/L10)/1.983</f>
        <v>461.35484955454695</v>
      </c>
      <c r="M564" s="40" t="s">
        <v>852</v>
      </c>
      <c r="N564" s="264">
        <f>(N563/N10)/1.983</f>
        <v>176.79306362142728</v>
      </c>
      <c r="O564" s="264">
        <f>(O563/O10)/1.983</f>
        <v>59.825180702639102</v>
      </c>
      <c r="P564" s="264">
        <f>(P563/P10)/1.983</f>
        <v>186.79745579360045</v>
      </c>
      <c r="Q564" s="40" t="s">
        <v>852</v>
      </c>
      <c r="R564" s="40" t="s">
        <v>852</v>
      </c>
    </row>
    <row r="565" spans="1:20" ht="15.75" customHeight="1" x14ac:dyDescent="0.3">
      <c r="A565" s="17"/>
      <c r="B565" s="172"/>
      <c r="C565" s="172"/>
      <c r="D565" s="172"/>
      <c r="E565" s="172"/>
      <c r="F565" s="172"/>
      <c r="G565" s="172"/>
      <c r="H565" s="172"/>
      <c r="I565" s="172"/>
      <c r="J565" s="172"/>
      <c r="K565" s="172"/>
      <c r="L565" s="172"/>
      <c r="M565" s="172"/>
      <c r="N565" s="172"/>
      <c r="O565" s="172"/>
      <c r="P565" s="172"/>
      <c r="Q565" s="172"/>
      <c r="R565" s="17"/>
    </row>
    <row r="566" spans="1:20" ht="15.75" customHeight="1" thickBot="1" x14ac:dyDescent="0.35">
      <c r="A566" s="17"/>
      <c r="B566" s="172"/>
      <c r="C566" s="172"/>
      <c r="D566" s="172"/>
      <c r="E566" s="172"/>
      <c r="F566" s="172"/>
      <c r="G566" s="172"/>
      <c r="H566" s="172"/>
      <c r="I566" s="172"/>
      <c r="J566" s="172"/>
      <c r="K566" s="172"/>
      <c r="L566" s="172"/>
      <c r="M566" s="172"/>
      <c r="N566" s="172"/>
      <c r="O566" s="172"/>
      <c r="P566" s="172"/>
      <c r="Q566" s="172"/>
      <c r="R566" s="17"/>
    </row>
    <row r="567" spans="1:20" ht="16.5" customHeight="1" thickBot="1" x14ac:dyDescent="0.35">
      <c r="A567" s="278" t="s">
        <v>1069</v>
      </c>
      <c r="B567" s="4" t="s">
        <v>2090</v>
      </c>
      <c r="C567" s="5" t="s">
        <v>2091</v>
      </c>
      <c r="D567" s="5" t="s">
        <v>2234</v>
      </c>
      <c r="E567" s="33" t="s">
        <v>1594</v>
      </c>
      <c r="F567" s="5" t="s">
        <v>2235</v>
      </c>
      <c r="G567" s="5" t="s">
        <v>2236</v>
      </c>
      <c r="H567" s="5" t="s">
        <v>2237</v>
      </c>
      <c r="I567" s="35" t="s">
        <v>1595</v>
      </c>
      <c r="J567" s="5" t="s">
        <v>1504</v>
      </c>
      <c r="K567" s="5" t="s">
        <v>1505</v>
      </c>
      <c r="L567" s="5" t="s">
        <v>1506</v>
      </c>
      <c r="M567" s="35" t="s">
        <v>1596</v>
      </c>
      <c r="N567" s="5" t="s">
        <v>1507</v>
      </c>
      <c r="O567" s="5" t="s">
        <v>1508</v>
      </c>
      <c r="P567" s="5" t="s">
        <v>1509</v>
      </c>
      <c r="Q567" s="35" t="s">
        <v>1597</v>
      </c>
      <c r="R567" s="36" t="s">
        <v>1510</v>
      </c>
    </row>
    <row r="568" spans="1:20" ht="16.5" customHeight="1" thickBot="1" x14ac:dyDescent="0.35">
      <c r="A568" s="37"/>
      <c r="B568" s="258"/>
      <c r="C568" s="258"/>
      <c r="D568" s="258"/>
      <c r="E568" s="254"/>
      <c r="F568" s="258"/>
      <c r="G568" s="258"/>
      <c r="H568" s="258"/>
      <c r="I568" s="265"/>
      <c r="J568" s="258"/>
      <c r="K568" s="258"/>
      <c r="L568" s="258"/>
      <c r="M568" s="265"/>
      <c r="N568" s="258"/>
      <c r="O568" s="258"/>
      <c r="P568" s="258"/>
      <c r="Q568" s="265"/>
      <c r="R568" s="52"/>
    </row>
    <row r="569" spans="1:20" ht="15.75" customHeight="1" x14ac:dyDescent="0.3">
      <c r="A569" s="234" t="s">
        <v>2417</v>
      </c>
      <c r="B569" s="10"/>
      <c r="C569" s="10"/>
      <c r="D569" s="10"/>
      <c r="E569" s="38" t="s">
        <v>852</v>
      </c>
      <c r="F569" s="10" t="s">
        <v>852</v>
      </c>
      <c r="G569" s="10" t="s">
        <v>852</v>
      </c>
      <c r="H569" s="10" t="s">
        <v>852</v>
      </c>
      <c r="I569" s="38" t="s">
        <v>852</v>
      </c>
      <c r="J569" s="10" t="s">
        <v>852</v>
      </c>
      <c r="K569" s="10" t="s">
        <v>852</v>
      </c>
      <c r="L569" s="10" t="s">
        <v>852</v>
      </c>
      <c r="M569" s="38" t="s">
        <v>852</v>
      </c>
      <c r="N569" s="10" t="s">
        <v>852</v>
      </c>
      <c r="O569" s="10" t="s">
        <v>852</v>
      </c>
      <c r="P569" s="10" t="s">
        <v>852</v>
      </c>
      <c r="Q569" s="38" t="s">
        <v>852</v>
      </c>
      <c r="R569" s="38" t="s">
        <v>852</v>
      </c>
    </row>
    <row r="570" spans="1:20" ht="15.75" customHeight="1" x14ac:dyDescent="0.3">
      <c r="A570" s="234" t="s">
        <v>2160</v>
      </c>
      <c r="B570" s="10"/>
      <c r="C570" s="10"/>
      <c r="D570" s="10"/>
      <c r="E570" s="38" t="s">
        <v>852</v>
      </c>
      <c r="F570" s="10"/>
      <c r="G570" s="10"/>
      <c r="H570" s="10"/>
      <c r="I570" s="38" t="s">
        <v>852</v>
      </c>
      <c r="J570" s="10"/>
      <c r="K570" s="10"/>
      <c r="L570" s="10"/>
      <c r="M570" s="38" t="s">
        <v>852</v>
      </c>
      <c r="N570" s="10"/>
      <c r="O570" s="10"/>
      <c r="P570" s="10"/>
      <c r="Q570" s="38" t="s">
        <v>852</v>
      </c>
      <c r="R570" s="38" t="s">
        <v>852</v>
      </c>
    </row>
    <row r="571" spans="1:20" ht="15.75" customHeight="1" x14ac:dyDescent="0.3">
      <c r="A571" s="310" t="s">
        <v>746</v>
      </c>
      <c r="B571" s="10">
        <v>317</v>
      </c>
      <c r="C571" s="10">
        <v>454</v>
      </c>
      <c r="D571" s="10">
        <v>373</v>
      </c>
      <c r="E571" s="38">
        <f t="shared" ref="E571:E580" si="181">SUM(B571:D571)</f>
        <v>1144</v>
      </c>
      <c r="F571" s="10">
        <v>373</v>
      </c>
      <c r="G571" s="10">
        <v>505</v>
      </c>
      <c r="H571" s="10"/>
      <c r="I571" s="38">
        <f t="shared" ref="I571:I580" si="182">SUM(F571:H571)</f>
        <v>878</v>
      </c>
      <c r="J571" s="10">
        <v>310</v>
      </c>
      <c r="K571" s="10"/>
      <c r="L571" s="10"/>
      <c r="M571" s="38">
        <f t="shared" ref="M571:M580" si="183">SUM(J571:L571)</f>
        <v>310</v>
      </c>
      <c r="N571" s="10">
        <v>324</v>
      </c>
      <c r="O571" s="10"/>
      <c r="P571" s="10">
        <v>295</v>
      </c>
      <c r="Q571" s="38">
        <f t="shared" ref="Q571:Q580" si="184">SUM(N571:P571)</f>
        <v>619</v>
      </c>
      <c r="R571" s="38">
        <f t="shared" ref="R571:R580" si="185">+E571+I571+M571+Q571</f>
        <v>2951</v>
      </c>
    </row>
    <row r="572" spans="1:20" ht="15.75" customHeight="1" x14ac:dyDescent="0.3">
      <c r="A572" s="310" t="s">
        <v>639</v>
      </c>
      <c r="B572" s="10"/>
      <c r="C572" s="10">
        <v>500</v>
      </c>
      <c r="D572" s="10">
        <v>500</v>
      </c>
      <c r="E572" s="38">
        <f>SUM(B572:D572)</f>
        <v>1000</v>
      </c>
      <c r="F572" s="10">
        <v>200</v>
      </c>
      <c r="G572" s="10">
        <v>200</v>
      </c>
      <c r="H572" s="10">
        <v>200</v>
      </c>
      <c r="I572" s="38">
        <f>SUM(F572:H572)</f>
        <v>600</v>
      </c>
      <c r="J572" s="10">
        <v>200</v>
      </c>
      <c r="K572" s="10">
        <v>200</v>
      </c>
      <c r="L572" s="10"/>
      <c r="M572" s="38">
        <f>SUM(J572:L572)</f>
        <v>400</v>
      </c>
      <c r="N572" s="10"/>
      <c r="O572" s="10">
        <v>199</v>
      </c>
      <c r="P572" s="10"/>
      <c r="Q572" s="38">
        <f>SUM(N572:P572)</f>
        <v>199</v>
      </c>
      <c r="R572" s="38">
        <f>+E572+I572+M572+Q572</f>
        <v>2199</v>
      </c>
    </row>
    <row r="573" spans="1:20" ht="15.75" customHeight="1" x14ac:dyDescent="0.3">
      <c r="A573" s="310" t="s">
        <v>1185</v>
      </c>
      <c r="B573" s="10"/>
      <c r="C573" s="10"/>
      <c r="D573" s="10">
        <v>704</v>
      </c>
      <c r="E573" s="38">
        <f t="shared" si="181"/>
        <v>704</v>
      </c>
      <c r="F573" s="10">
        <v>1672</v>
      </c>
      <c r="G573" s="10">
        <v>2055</v>
      </c>
      <c r="H573" s="10">
        <v>1370</v>
      </c>
      <c r="I573" s="38">
        <f t="shared" si="182"/>
        <v>5097</v>
      </c>
      <c r="J573" s="10"/>
      <c r="K573" s="10"/>
      <c r="L573" s="10"/>
      <c r="M573" s="38">
        <f t="shared" si="183"/>
        <v>0</v>
      </c>
      <c r="N573" s="10"/>
      <c r="O573" s="10"/>
      <c r="P573" s="10"/>
      <c r="Q573" s="38">
        <f t="shared" si="184"/>
        <v>0</v>
      </c>
      <c r="R573" s="38">
        <f t="shared" si="185"/>
        <v>5801</v>
      </c>
      <c r="T573" t="s">
        <v>2763</v>
      </c>
    </row>
    <row r="574" spans="1:20" ht="15.75" customHeight="1" x14ac:dyDescent="0.3">
      <c r="A574" s="310" t="s">
        <v>745</v>
      </c>
      <c r="B574" s="10"/>
      <c r="C574" s="10"/>
      <c r="D574" s="10">
        <v>500</v>
      </c>
      <c r="E574" s="38">
        <f>SUM(B574:D574)</f>
        <v>500</v>
      </c>
      <c r="F574" s="10"/>
      <c r="G574" s="10"/>
      <c r="H574" s="10">
        <v>500</v>
      </c>
      <c r="I574" s="38">
        <f>SUM(F574:H574)</f>
        <v>500</v>
      </c>
      <c r="J574" s="10"/>
      <c r="K574" s="10"/>
      <c r="L574" s="10"/>
      <c r="M574" s="38">
        <f>SUM(J574:L574)</f>
        <v>0</v>
      </c>
      <c r="N574" s="10"/>
      <c r="O574" s="10"/>
      <c r="P574" s="10"/>
      <c r="Q574" s="38">
        <f>SUM(N574:P574)</f>
        <v>0</v>
      </c>
      <c r="R574" s="38">
        <f>+E574+I574+M574+Q574</f>
        <v>1000</v>
      </c>
      <c r="T574" t="s">
        <v>2766</v>
      </c>
    </row>
    <row r="575" spans="1:20" ht="15.75" customHeight="1" x14ac:dyDescent="0.3">
      <c r="A575" s="310" t="s">
        <v>484</v>
      </c>
      <c r="B575" s="10">
        <v>9</v>
      </c>
      <c r="C575" s="10"/>
      <c r="D575" s="10">
        <v>686</v>
      </c>
      <c r="E575" s="38">
        <f t="shared" si="181"/>
        <v>695</v>
      </c>
      <c r="F575" s="10"/>
      <c r="G575" s="10"/>
      <c r="H575" s="10">
        <v>310</v>
      </c>
      <c r="I575" s="38">
        <f t="shared" si="182"/>
        <v>310</v>
      </c>
      <c r="J575" s="10">
        <v>350</v>
      </c>
      <c r="K575" s="10">
        <v>1141</v>
      </c>
      <c r="L575" s="10">
        <v>1509</v>
      </c>
      <c r="M575" s="38">
        <f t="shared" si="183"/>
        <v>3000</v>
      </c>
      <c r="N575" s="10"/>
      <c r="O575" s="10"/>
      <c r="P575" s="10"/>
      <c r="Q575" s="38">
        <f t="shared" si="184"/>
        <v>0</v>
      </c>
      <c r="R575" s="38">
        <f t="shared" si="185"/>
        <v>4005</v>
      </c>
      <c r="T575" t="s">
        <v>2766</v>
      </c>
    </row>
    <row r="576" spans="1:20" ht="15.75" customHeight="1" x14ac:dyDescent="0.3">
      <c r="A576" s="539" t="s">
        <v>2982</v>
      </c>
      <c r="B576" s="10">
        <v>320</v>
      </c>
      <c r="C576" s="10">
        <v>320</v>
      </c>
      <c r="D576" s="10">
        <v>320</v>
      </c>
      <c r="E576" s="38">
        <f>SUM(B576:D576)</f>
        <v>960</v>
      </c>
      <c r="F576" s="10">
        <v>320</v>
      </c>
      <c r="G576" s="10"/>
      <c r="H576" s="10">
        <v>89</v>
      </c>
      <c r="I576" s="38">
        <f>SUM(F576:H576)</f>
        <v>409</v>
      </c>
      <c r="J576" s="10">
        <v>348</v>
      </c>
      <c r="K576" s="10">
        <v>676</v>
      </c>
      <c r="L576" s="10">
        <v>682</v>
      </c>
      <c r="M576" s="38">
        <f>SUM(J576:L576)</f>
        <v>1706</v>
      </c>
      <c r="N576" s="10">
        <v>105</v>
      </c>
      <c r="O576" s="10"/>
      <c r="P576" s="10"/>
      <c r="Q576" s="38">
        <f>SUM(N576:P576)</f>
        <v>105</v>
      </c>
      <c r="R576" s="38">
        <f t="shared" si="185"/>
        <v>3180</v>
      </c>
    </row>
    <row r="577" spans="1:20" ht="15.75" customHeight="1" x14ac:dyDescent="0.3">
      <c r="A577" s="266" t="s">
        <v>1836</v>
      </c>
      <c r="B577" s="10"/>
      <c r="C577" s="10"/>
      <c r="D577" s="10"/>
      <c r="E577" s="38">
        <f t="shared" si="181"/>
        <v>0</v>
      </c>
      <c r="F577" s="10"/>
      <c r="G577" s="10"/>
      <c r="H577" s="10"/>
      <c r="I577" s="38">
        <f t="shared" si="182"/>
        <v>0</v>
      </c>
      <c r="J577" s="10">
        <v>350</v>
      </c>
      <c r="K577" s="10">
        <v>1140</v>
      </c>
      <c r="L577" s="10">
        <v>1310</v>
      </c>
      <c r="M577" s="38">
        <f t="shared" si="183"/>
        <v>2800</v>
      </c>
      <c r="N577" s="10"/>
      <c r="O577" s="10"/>
      <c r="P577" s="10"/>
      <c r="Q577" s="38">
        <f t="shared" si="184"/>
        <v>0</v>
      </c>
      <c r="R577" s="38">
        <f t="shared" si="185"/>
        <v>2800</v>
      </c>
      <c r="T577" t="s">
        <v>2766</v>
      </c>
    </row>
    <row r="578" spans="1:20" ht="15.75" customHeight="1" x14ac:dyDescent="0.3">
      <c r="A578" s="539" t="s">
        <v>3047</v>
      </c>
      <c r="B578" s="10"/>
      <c r="C578" s="10"/>
      <c r="D578" s="10">
        <v>405</v>
      </c>
      <c r="E578" s="38">
        <f t="shared" si="181"/>
        <v>405</v>
      </c>
      <c r="F578" s="10">
        <v>654</v>
      </c>
      <c r="G578" s="10">
        <v>400</v>
      </c>
      <c r="H578" s="10">
        <v>400</v>
      </c>
      <c r="I578" s="38">
        <f t="shared" si="182"/>
        <v>1454</v>
      </c>
      <c r="J578" s="10">
        <v>400</v>
      </c>
      <c r="K578" s="10">
        <v>77</v>
      </c>
      <c r="L578" s="10"/>
      <c r="M578" s="38">
        <f t="shared" si="183"/>
        <v>477</v>
      </c>
      <c r="N578" s="10"/>
      <c r="O578" s="10"/>
      <c r="P578" s="10"/>
      <c r="Q578" s="38">
        <f>SUM(N578:P578)</f>
        <v>0</v>
      </c>
      <c r="R578" s="38">
        <f>+E578+I578+M578+Q578</f>
        <v>2336</v>
      </c>
    </row>
    <row r="579" spans="1:20" ht="15.75" customHeight="1" x14ac:dyDescent="0.3">
      <c r="A579" s="539" t="s">
        <v>1295</v>
      </c>
      <c r="B579" s="10"/>
      <c r="C579" s="10"/>
      <c r="D579" s="10"/>
      <c r="E579" s="38">
        <f t="shared" si="181"/>
        <v>0</v>
      </c>
      <c r="F579" s="10"/>
      <c r="G579" s="10"/>
      <c r="H579" s="10"/>
      <c r="I579" s="38">
        <f t="shared" si="182"/>
        <v>0</v>
      </c>
      <c r="J579" s="10"/>
      <c r="K579" s="10"/>
      <c r="L579" s="10"/>
      <c r="M579" s="38">
        <f t="shared" si="183"/>
        <v>0</v>
      </c>
      <c r="N579" s="10"/>
      <c r="O579" s="10"/>
      <c r="P579" s="10"/>
      <c r="Q579" s="38">
        <f t="shared" si="184"/>
        <v>0</v>
      </c>
      <c r="R579" s="38">
        <f t="shared" si="185"/>
        <v>0</v>
      </c>
      <c r="T579" t="s">
        <v>2766</v>
      </c>
    </row>
    <row r="580" spans="1:20" ht="15.75" customHeight="1" x14ac:dyDescent="0.3">
      <c r="A580" s="539" t="s">
        <v>3222</v>
      </c>
      <c r="B580" s="10"/>
      <c r="C580" s="10"/>
      <c r="D580" s="10"/>
      <c r="E580" s="38">
        <f t="shared" si="181"/>
        <v>0</v>
      </c>
      <c r="F580" s="10">
        <v>544</v>
      </c>
      <c r="G580" s="10">
        <v>458</v>
      </c>
      <c r="H580" s="10">
        <v>249</v>
      </c>
      <c r="I580" s="38">
        <f t="shared" si="182"/>
        <v>1251</v>
      </c>
      <c r="J580" s="10">
        <v>323</v>
      </c>
      <c r="K580" s="10">
        <v>139</v>
      </c>
      <c r="L580" s="10">
        <v>78</v>
      </c>
      <c r="M580" s="38">
        <f t="shared" si="183"/>
        <v>540</v>
      </c>
      <c r="N580" s="10">
        <v>37</v>
      </c>
      <c r="O580" s="10"/>
      <c r="P580" s="10"/>
      <c r="Q580" s="38">
        <f t="shared" si="184"/>
        <v>37</v>
      </c>
      <c r="R580" s="38">
        <f t="shared" si="185"/>
        <v>1828</v>
      </c>
      <c r="T580" t="s">
        <v>2766</v>
      </c>
    </row>
    <row r="581" spans="1:20" ht="15.75" customHeight="1" x14ac:dyDescent="0.3">
      <c r="A581" s="310" t="s">
        <v>2448</v>
      </c>
      <c r="B581" s="10"/>
      <c r="C581" s="10">
        <v>440</v>
      </c>
      <c r="D581" s="10">
        <v>900</v>
      </c>
      <c r="E581" s="38">
        <f>SUM(B581:D581)</f>
        <v>1340</v>
      </c>
      <c r="F581" s="10">
        <v>1597</v>
      </c>
      <c r="G581" s="10"/>
      <c r="H581" s="10"/>
      <c r="I581" s="38">
        <f>SUM(F581:H581)</f>
        <v>1597</v>
      </c>
      <c r="J581" s="10"/>
      <c r="K581" s="10"/>
      <c r="L581" s="10"/>
      <c r="M581" s="38">
        <f>SUM(J581:L581)</f>
        <v>0</v>
      </c>
      <c r="N581" s="10"/>
      <c r="O581" s="10"/>
      <c r="P581" s="10"/>
      <c r="Q581" s="38">
        <f>SUM(N581:P581)</f>
        <v>0</v>
      </c>
      <c r="R581" s="38">
        <f>+E581+I581+M581+Q581</f>
        <v>2937</v>
      </c>
      <c r="T581" t="s">
        <v>2763</v>
      </c>
    </row>
    <row r="582" spans="1:20" ht="15.75" customHeight="1" x14ac:dyDescent="0.3">
      <c r="A582" s="234" t="s">
        <v>2161</v>
      </c>
      <c r="B582" s="10"/>
      <c r="C582" s="10"/>
      <c r="D582" s="10"/>
      <c r="E582" s="38" t="s">
        <v>852</v>
      </c>
      <c r="F582" s="10"/>
      <c r="G582" s="10"/>
      <c r="H582" s="10"/>
      <c r="I582" s="38" t="s">
        <v>852</v>
      </c>
      <c r="J582" s="10"/>
      <c r="K582" s="10"/>
      <c r="L582" s="10"/>
      <c r="M582" s="38" t="s">
        <v>852</v>
      </c>
      <c r="N582" s="10"/>
      <c r="O582" s="10"/>
      <c r="P582" s="10"/>
      <c r="Q582" s="38" t="s">
        <v>852</v>
      </c>
      <c r="R582" s="38" t="s">
        <v>852</v>
      </c>
    </row>
    <row r="583" spans="1:20" ht="15.75" customHeight="1" x14ac:dyDescent="0.3">
      <c r="A583" s="266" t="s">
        <v>1295</v>
      </c>
      <c r="B583" s="10"/>
      <c r="C583" s="10"/>
      <c r="D583" s="10"/>
      <c r="E583" s="38">
        <f>SUM(B583:D583)</f>
        <v>0</v>
      </c>
      <c r="F583" s="10"/>
      <c r="G583" s="10"/>
      <c r="H583" s="10"/>
      <c r="I583" s="38">
        <f>SUM(F583:H583)</f>
        <v>0</v>
      </c>
      <c r="J583" s="10"/>
      <c r="K583" s="10"/>
      <c r="L583" s="10"/>
      <c r="M583" s="38">
        <f>SUM(J583:L583)</f>
        <v>0</v>
      </c>
      <c r="N583" s="10"/>
      <c r="O583" s="10"/>
      <c r="P583" s="10"/>
      <c r="Q583" s="38">
        <f>SUM(N583:P583)</f>
        <v>0</v>
      </c>
      <c r="R583" s="38">
        <f>+E583+I583+M583+Q583</f>
        <v>0</v>
      </c>
      <c r="T583" t="s">
        <v>2766</v>
      </c>
    </row>
    <row r="584" spans="1:20" ht="15.75" customHeight="1" x14ac:dyDescent="0.3">
      <c r="A584" s="234" t="s">
        <v>3245</v>
      </c>
      <c r="B584" s="10"/>
      <c r="C584" s="10"/>
      <c r="D584" s="10"/>
      <c r="E584" s="38" t="s">
        <v>852</v>
      </c>
      <c r="F584" s="10"/>
      <c r="G584" s="10"/>
      <c r="H584" s="10"/>
      <c r="I584" s="38" t="s">
        <v>852</v>
      </c>
      <c r="J584" s="10"/>
      <c r="K584" s="10"/>
      <c r="L584" s="10"/>
      <c r="M584" s="38" t="s">
        <v>852</v>
      </c>
      <c r="N584" s="10"/>
      <c r="O584" s="10"/>
      <c r="P584" s="10"/>
      <c r="Q584" s="38" t="s">
        <v>852</v>
      </c>
      <c r="R584" s="38" t="s">
        <v>852</v>
      </c>
    </row>
    <row r="585" spans="1:20" ht="15.75" customHeight="1" x14ac:dyDescent="0.3">
      <c r="A585" s="266" t="s">
        <v>624</v>
      </c>
      <c r="B585" s="10"/>
      <c r="C585" s="10"/>
      <c r="D585" s="10"/>
      <c r="E585" s="38">
        <f>SUM(B585:D585)</f>
        <v>0</v>
      </c>
      <c r="F585" s="10"/>
      <c r="G585" s="10"/>
      <c r="H585" s="10"/>
      <c r="I585" s="38">
        <f>SUM(F585:H585)</f>
        <v>0</v>
      </c>
      <c r="J585" s="10"/>
      <c r="K585" s="10"/>
      <c r="L585" s="10"/>
      <c r="M585" s="38">
        <f>SUM(J585:L585)</f>
        <v>0</v>
      </c>
      <c r="N585" s="10">
        <v>608</v>
      </c>
      <c r="O585" s="10">
        <v>966</v>
      </c>
      <c r="P585" s="10">
        <v>334</v>
      </c>
      <c r="Q585" s="38">
        <f>SUM(N585:P585)</f>
        <v>1908</v>
      </c>
      <c r="R585" s="38">
        <f>+E585+I585+M585+Q585</f>
        <v>1908</v>
      </c>
      <c r="T585" t="s">
        <v>2766</v>
      </c>
    </row>
    <row r="586" spans="1:20" ht="15.75" customHeight="1" thickBot="1" x14ac:dyDescent="0.35">
      <c r="A586" s="234" t="s">
        <v>2164</v>
      </c>
      <c r="B586" s="10"/>
      <c r="C586" s="10"/>
      <c r="D586" s="10"/>
      <c r="E586" s="38" t="s">
        <v>852</v>
      </c>
      <c r="F586" s="10"/>
      <c r="G586" s="10"/>
      <c r="H586" s="10"/>
      <c r="I586" s="38" t="s">
        <v>852</v>
      </c>
      <c r="J586" s="10"/>
      <c r="K586" s="10"/>
      <c r="L586" s="10"/>
      <c r="M586" s="38" t="s">
        <v>852</v>
      </c>
      <c r="N586" s="10"/>
      <c r="O586" s="10"/>
      <c r="P586" s="10"/>
      <c r="Q586" s="38" t="s">
        <v>852</v>
      </c>
      <c r="R586" s="38" t="s">
        <v>852</v>
      </c>
    </row>
    <row r="587" spans="1:20" ht="16.5" customHeight="1" thickBot="1" x14ac:dyDescent="0.35">
      <c r="A587" s="276" t="s">
        <v>1218</v>
      </c>
      <c r="B587" s="45">
        <f>SUM(B569:B586)</f>
        <v>646</v>
      </c>
      <c r="C587" s="46">
        <f>SUM(C569:C586)</f>
        <v>1714</v>
      </c>
      <c r="D587" s="46">
        <f>SUM(D569:D586)</f>
        <v>4388</v>
      </c>
      <c r="E587" s="37">
        <f>SUM(B587:D587)</f>
        <v>6748</v>
      </c>
      <c r="F587" s="46">
        <f>SUM(F569:F586)</f>
        <v>5360</v>
      </c>
      <c r="G587" s="46">
        <f>SUM(G569:G586)</f>
        <v>3618</v>
      </c>
      <c r="H587" s="46">
        <f>SUM(H569:H586)</f>
        <v>3118</v>
      </c>
      <c r="I587" s="37">
        <f>SUM(F587:H587)</f>
        <v>12096</v>
      </c>
      <c r="J587" s="46">
        <f>SUM(J569:J586)</f>
        <v>2281</v>
      </c>
      <c r="K587" s="46">
        <f>SUM(K569:K586)</f>
        <v>3373</v>
      </c>
      <c r="L587" s="46">
        <f>SUM(L569:L586)</f>
        <v>3579</v>
      </c>
      <c r="M587" s="37">
        <f>SUM(J587:L587)</f>
        <v>9233</v>
      </c>
      <c r="N587" s="46">
        <f>SUM(N569:N586)</f>
        <v>1074</v>
      </c>
      <c r="O587" s="46">
        <f>SUM(O569:O586)</f>
        <v>1165</v>
      </c>
      <c r="P587" s="46">
        <f>SUM(P569:P586)</f>
        <v>629</v>
      </c>
      <c r="Q587" s="37">
        <f>SUM(N587:P587)</f>
        <v>2868</v>
      </c>
      <c r="R587" s="37">
        <f>+E587+I587+M587+Q587</f>
        <v>30945</v>
      </c>
    </row>
    <row r="588" spans="1:20" ht="15.75" customHeight="1" x14ac:dyDescent="0.3">
      <c r="A588" s="234" t="s">
        <v>1172</v>
      </c>
      <c r="B588" s="172"/>
      <c r="C588" s="172"/>
      <c r="D588" s="172"/>
      <c r="E588" s="38" t="s">
        <v>852</v>
      </c>
      <c r="F588" s="172"/>
      <c r="G588" s="172"/>
      <c r="H588" s="172"/>
      <c r="I588" s="38" t="s">
        <v>852</v>
      </c>
      <c r="J588" s="172"/>
      <c r="K588" s="172"/>
      <c r="L588" s="172"/>
      <c r="M588" s="38" t="s">
        <v>852</v>
      </c>
      <c r="N588" s="172"/>
      <c r="O588" s="172"/>
      <c r="P588" s="172"/>
      <c r="Q588" s="38" t="s">
        <v>852</v>
      </c>
      <c r="R588" s="38" t="s">
        <v>852</v>
      </c>
    </row>
    <row r="589" spans="1:20" ht="15.75" customHeight="1" x14ac:dyDescent="0.3">
      <c r="A589" s="234" t="s">
        <v>2409</v>
      </c>
      <c r="B589" s="172"/>
      <c r="C589" s="172"/>
      <c r="D589" s="172"/>
      <c r="E589" s="38" t="s">
        <v>852</v>
      </c>
      <c r="F589" s="172"/>
      <c r="G589" s="172"/>
      <c r="H589" s="172"/>
      <c r="I589" s="38" t="s">
        <v>852</v>
      </c>
      <c r="J589" s="172"/>
      <c r="K589" s="172"/>
      <c r="L589" s="172"/>
      <c r="M589" s="38" t="s">
        <v>852</v>
      </c>
      <c r="N589" s="172"/>
      <c r="O589" s="172"/>
      <c r="P589" s="172"/>
      <c r="Q589" s="38" t="s">
        <v>852</v>
      </c>
      <c r="R589" s="38" t="s">
        <v>852</v>
      </c>
    </row>
    <row r="590" spans="1:20" ht="15.75" customHeight="1" x14ac:dyDescent="0.3">
      <c r="A590" s="266" t="s">
        <v>2478</v>
      </c>
      <c r="B590" s="172"/>
      <c r="C590" s="172"/>
      <c r="D590" s="172"/>
      <c r="E590" s="38">
        <f>SUM(B590:D590)</f>
        <v>0</v>
      </c>
      <c r="F590" s="172"/>
      <c r="G590" s="172"/>
      <c r="H590" s="172"/>
      <c r="I590" s="38">
        <f>SUM(F590:H590)</f>
        <v>0</v>
      </c>
      <c r="J590" s="172"/>
      <c r="K590" s="172"/>
      <c r="L590" s="172"/>
      <c r="M590" s="38">
        <f>SUM(J590:L590)</f>
        <v>0</v>
      </c>
      <c r="N590" s="172"/>
      <c r="O590" s="172"/>
      <c r="P590" s="172">
        <v>4</v>
      </c>
      <c r="Q590" s="38">
        <f>SUM(N590:P590)</f>
        <v>4</v>
      </c>
      <c r="R590" s="38">
        <f>+E590+I590+M590+Q590</f>
        <v>4</v>
      </c>
    </row>
    <row r="591" spans="1:20" ht="15.75" customHeight="1" x14ac:dyDescent="0.3">
      <c r="A591" s="266" t="s">
        <v>1958</v>
      </c>
      <c r="B591" s="172"/>
      <c r="C591" s="172"/>
      <c r="D591" s="172"/>
      <c r="E591" s="38">
        <f>SUM(B591:D591)</f>
        <v>0</v>
      </c>
      <c r="F591" s="172"/>
      <c r="G591" s="172"/>
      <c r="H591" s="172"/>
      <c r="I591" s="38">
        <f>SUM(F591:H591)</f>
        <v>0</v>
      </c>
      <c r="J591" s="172"/>
      <c r="K591" s="172"/>
      <c r="L591" s="172"/>
      <c r="M591" s="38">
        <f>SUM(J591:L591)</f>
        <v>0</v>
      </c>
      <c r="N591" s="172"/>
      <c r="O591" s="172"/>
      <c r="P591" s="172"/>
      <c r="Q591" s="38">
        <f>SUM(N591:P591)</f>
        <v>0</v>
      </c>
      <c r="R591" s="38">
        <f>+E591+I591+M591+Q591</f>
        <v>0</v>
      </c>
    </row>
    <row r="592" spans="1:20" ht="15.75" customHeight="1" thickBot="1" x14ac:dyDescent="0.35">
      <c r="A592" s="234" t="s">
        <v>2165</v>
      </c>
      <c r="B592" s="172"/>
      <c r="C592" s="172"/>
      <c r="D592" s="172"/>
      <c r="E592" s="38" t="s">
        <v>852</v>
      </c>
      <c r="F592" s="172"/>
      <c r="G592" s="172"/>
      <c r="H592" s="172"/>
      <c r="I592" s="38" t="s">
        <v>852</v>
      </c>
      <c r="J592" s="172"/>
      <c r="K592" s="172"/>
      <c r="L592" s="172"/>
      <c r="M592" s="38" t="s">
        <v>852</v>
      </c>
      <c r="N592" s="172"/>
      <c r="O592" s="172"/>
      <c r="P592" s="172"/>
      <c r="Q592" s="38" t="s">
        <v>852</v>
      </c>
      <c r="R592" s="38" t="s">
        <v>852</v>
      </c>
    </row>
    <row r="593" spans="1:20" ht="16.5" customHeight="1" thickBot="1" x14ac:dyDescent="0.35">
      <c r="A593" s="43" t="s">
        <v>1219</v>
      </c>
      <c r="B593" s="45">
        <f>SUM(B588:B592)</f>
        <v>0</v>
      </c>
      <c r="C593" s="46">
        <f>SUM(C588:C592)</f>
        <v>0</v>
      </c>
      <c r="D593" s="46">
        <f>SUM(D588:D592)</f>
        <v>0</v>
      </c>
      <c r="E593" s="37">
        <f>SUM(B593:D593)</f>
        <v>0</v>
      </c>
      <c r="F593" s="46">
        <f>SUM(F588:F592)</f>
        <v>0</v>
      </c>
      <c r="G593" s="46">
        <f>SUM(G588:G592)</f>
        <v>0</v>
      </c>
      <c r="H593" s="46">
        <f>SUM(H588:H592)</f>
        <v>0</v>
      </c>
      <c r="I593" s="37">
        <f>SUM(F593:H593)</f>
        <v>0</v>
      </c>
      <c r="J593" s="46">
        <f>SUM(J588:J592)</f>
        <v>0</v>
      </c>
      <c r="K593" s="46">
        <f>SUM(K588:K592)</f>
        <v>0</v>
      </c>
      <c r="L593" s="46">
        <f>SUM(L588:L592)</f>
        <v>0</v>
      </c>
      <c r="M593" s="37">
        <f>SUM(J593:L593)</f>
        <v>0</v>
      </c>
      <c r="N593" s="46">
        <f>SUM(N588:N592)</f>
        <v>0</v>
      </c>
      <c r="O593" s="46">
        <f>SUM(O588:O592)</f>
        <v>0</v>
      </c>
      <c r="P593" s="46">
        <f>SUM(P588:P592)</f>
        <v>4</v>
      </c>
      <c r="Q593" s="37">
        <f>SUM(N593:P593)</f>
        <v>4</v>
      </c>
      <c r="R593" s="37">
        <f>+E593+I593+M593+Q593</f>
        <v>4</v>
      </c>
    </row>
    <row r="594" spans="1:20" ht="15.75" customHeight="1" x14ac:dyDescent="0.3">
      <c r="A594" s="234" t="s">
        <v>2166</v>
      </c>
      <c r="B594" s="172"/>
      <c r="C594" s="172"/>
      <c r="D594" s="172"/>
      <c r="E594" s="38" t="s">
        <v>852</v>
      </c>
      <c r="F594" s="172"/>
      <c r="G594" s="172"/>
      <c r="H594" s="172"/>
      <c r="I594" s="38" t="s">
        <v>852</v>
      </c>
      <c r="J594" s="172"/>
      <c r="K594" s="172"/>
      <c r="L594" s="172"/>
      <c r="M594" s="38" t="s">
        <v>852</v>
      </c>
      <c r="N594" s="172"/>
      <c r="O594" s="172"/>
      <c r="P594" s="172"/>
      <c r="Q594" s="38" t="s">
        <v>852</v>
      </c>
      <c r="R594" s="38" t="s">
        <v>852</v>
      </c>
    </row>
    <row r="595" spans="1:20" ht="15.75" customHeight="1" x14ac:dyDescent="0.3">
      <c r="A595" s="234" t="s">
        <v>1245</v>
      </c>
      <c r="B595" s="172"/>
      <c r="C595" s="172"/>
      <c r="D595" s="172"/>
      <c r="E595" s="38" t="s">
        <v>852</v>
      </c>
      <c r="F595" s="172"/>
      <c r="G595" s="172"/>
      <c r="H595" s="172"/>
      <c r="I595" s="38" t="s">
        <v>852</v>
      </c>
      <c r="J595" s="172"/>
      <c r="K595" s="172"/>
      <c r="L595" s="172"/>
      <c r="M595" s="38" t="s">
        <v>852</v>
      </c>
      <c r="N595" s="172"/>
      <c r="O595" s="172"/>
      <c r="P595" s="172"/>
      <c r="Q595" s="38" t="s">
        <v>852</v>
      </c>
      <c r="R595" s="38" t="s">
        <v>852</v>
      </c>
    </row>
    <row r="596" spans="1:20" ht="15.75" customHeight="1" x14ac:dyDescent="0.3">
      <c r="A596" s="234" t="s">
        <v>1711</v>
      </c>
      <c r="B596" s="172"/>
      <c r="C596" s="172"/>
      <c r="D596" s="172"/>
      <c r="E596" s="38" t="s">
        <v>852</v>
      </c>
      <c r="F596" s="172"/>
      <c r="G596" s="172"/>
      <c r="H596" s="172"/>
      <c r="I596" s="38" t="s">
        <v>852</v>
      </c>
      <c r="J596" s="172"/>
      <c r="K596" s="172"/>
      <c r="L596" s="172"/>
      <c r="M596" s="38" t="s">
        <v>852</v>
      </c>
      <c r="N596" s="172"/>
      <c r="O596" s="172"/>
      <c r="P596" s="172"/>
      <c r="Q596" s="38" t="s">
        <v>852</v>
      </c>
      <c r="R596" s="38" t="s">
        <v>852</v>
      </c>
    </row>
    <row r="597" spans="1:20" ht="15.75" customHeight="1" x14ac:dyDescent="0.3">
      <c r="A597" s="539" t="s">
        <v>3202</v>
      </c>
      <c r="B597" s="172"/>
      <c r="C597" s="172"/>
      <c r="D597" s="172"/>
      <c r="E597" s="38">
        <f>SUM(B597:D597)</f>
        <v>0</v>
      </c>
      <c r="F597" s="172"/>
      <c r="G597" s="172"/>
      <c r="H597" s="172"/>
      <c r="I597" s="38">
        <f>SUM(F597:H597)</f>
        <v>0</v>
      </c>
      <c r="J597" s="172"/>
      <c r="K597" s="172"/>
      <c r="L597" s="172">
        <v>604</v>
      </c>
      <c r="M597" s="38">
        <f>SUM(J597:L597)</f>
        <v>604</v>
      </c>
      <c r="N597" s="172">
        <v>1477</v>
      </c>
      <c r="O597" s="172">
        <v>454</v>
      </c>
      <c r="P597" s="172"/>
      <c r="Q597" s="38">
        <f>SUM(N597:P597)</f>
        <v>1931</v>
      </c>
      <c r="R597" s="38">
        <f>+E597+I597+M597+Q597</f>
        <v>2535</v>
      </c>
      <c r="T597" t="s">
        <v>2766</v>
      </c>
    </row>
    <row r="598" spans="1:20" ht="15.75" customHeight="1" x14ac:dyDescent="0.3">
      <c r="A598" s="539" t="s">
        <v>3219</v>
      </c>
      <c r="B598" s="172"/>
      <c r="C598" s="172"/>
      <c r="D598" s="172"/>
      <c r="E598" s="38">
        <f>SUM(B598:D598)</f>
        <v>0</v>
      </c>
      <c r="F598" s="172"/>
      <c r="G598" s="172">
        <v>320</v>
      </c>
      <c r="H598" s="172"/>
      <c r="I598" s="38">
        <f>SUM(F598:H598)</f>
        <v>320</v>
      </c>
      <c r="J598" s="172"/>
      <c r="K598" s="172"/>
      <c r="L598" s="172"/>
      <c r="M598" s="38">
        <f>SUM(J598:L598)</f>
        <v>0</v>
      </c>
      <c r="N598" s="172"/>
      <c r="O598" s="172"/>
      <c r="P598" s="172"/>
      <c r="Q598" s="38">
        <f>SUM(N598:P598)</f>
        <v>0</v>
      </c>
      <c r="R598" s="38">
        <f>+E598+I598+M598+Q598</f>
        <v>320</v>
      </c>
    </row>
    <row r="599" spans="1:20" ht="15.75" customHeight="1" thickBot="1" x14ac:dyDescent="0.35">
      <c r="A599" s="539" t="s">
        <v>2079</v>
      </c>
      <c r="B599" s="172"/>
      <c r="C599" s="172"/>
      <c r="D599" s="172"/>
      <c r="E599" s="38">
        <f>SUM(B599:D599)</f>
        <v>0</v>
      </c>
      <c r="F599" s="172"/>
      <c r="G599" s="172"/>
      <c r="H599" s="172"/>
      <c r="I599" s="38">
        <f>SUM(F599:H599)</f>
        <v>0</v>
      </c>
      <c r="J599" s="172"/>
      <c r="K599" s="172"/>
      <c r="L599" s="172"/>
      <c r="M599" s="38">
        <f>SUM(J599:L599)</f>
        <v>0</v>
      </c>
      <c r="N599" s="172"/>
      <c r="O599" s="172"/>
      <c r="P599" s="172">
        <v>3500</v>
      </c>
      <c r="Q599" s="38">
        <f>SUM(N599:P599)</f>
        <v>3500</v>
      </c>
      <c r="R599" s="38">
        <f>+E599+I599+M599+Q599</f>
        <v>3500</v>
      </c>
      <c r="T599" t="s">
        <v>2766</v>
      </c>
    </row>
    <row r="600" spans="1:20" ht="16.5" customHeight="1" thickBot="1" x14ac:dyDescent="0.35">
      <c r="A600" s="277" t="s">
        <v>1220</v>
      </c>
      <c r="B600" s="45">
        <f>SUM(B594:B599)</f>
        <v>0</v>
      </c>
      <c r="C600" s="46">
        <f>SUM(C594:C599)</f>
        <v>0</v>
      </c>
      <c r="D600" s="46">
        <f>SUM(D594:D599)</f>
        <v>0</v>
      </c>
      <c r="E600" s="37">
        <f>SUM(B600:D600)</f>
        <v>0</v>
      </c>
      <c r="F600" s="46">
        <f>SUM(F594:F599)</f>
        <v>0</v>
      </c>
      <c r="G600" s="46">
        <f>SUM(G594:G599)</f>
        <v>320</v>
      </c>
      <c r="H600" s="46">
        <f>SUM(H594:H599)</f>
        <v>0</v>
      </c>
      <c r="I600" s="37">
        <f>SUM(F600:H600)</f>
        <v>320</v>
      </c>
      <c r="J600" s="46">
        <f>SUM(J594:J599)</f>
        <v>0</v>
      </c>
      <c r="K600" s="46">
        <f>SUM(K594:K599)</f>
        <v>0</v>
      </c>
      <c r="L600" s="46">
        <f>SUM(L594:L599)</f>
        <v>604</v>
      </c>
      <c r="M600" s="37">
        <f>SUM(J600:L600)</f>
        <v>604</v>
      </c>
      <c r="N600" s="46">
        <f>SUM(N594:N599)</f>
        <v>1477</v>
      </c>
      <c r="O600" s="46">
        <f>SUM(O594:O599)</f>
        <v>454</v>
      </c>
      <c r="P600" s="46">
        <f>SUM(P594:P599)</f>
        <v>3500</v>
      </c>
      <c r="Q600" s="37">
        <f>SUM(N600:P600)</f>
        <v>5431</v>
      </c>
      <c r="R600" s="37">
        <f>+E600+I600+M600+Q600</f>
        <v>6355</v>
      </c>
    </row>
    <row r="601" spans="1:20" ht="15.75" customHeight="1" x14ac:dyDescent="0.3">
      <c r="A601" s="234" t="s">
        <v>1712</v>
      </c>
      <c r="B601" s="10"/>
      <c r="C601" s="10"/>
      <c r="D601" s="10"/>
      <c r="E601" s="38" t="s">
        <v>852</v>
      </c>
      <c r="F601" s="10"/>
      <c r="G601" s="10"/>
      <c r="H601" s="10"/>
      <c r="I601" s="38" t="s">
        <v>852</v>
      </c>
      <c r="J601" s="10"/>
      <c r="K601" s="10"/>
      <c r="L601" s="10"/>
      <c r="M601" s="38" t="s">
        <v>852</v>
      </c>
      <c r="N601" s="10"/>
      <c r="O601" s="10"/>
      <c r="P601" s="10"/>
      <c r="Q601" s="38" t="s">
        <v>852</v>
      </c>
      <c r="R601" s="38" t="s">
        <v>852</v>
      </c>
    </row>
    <row r="602" spans="1:20" ht="15.75" customHeight="1" x14ac:dyDescent="0.3">
      <c r="A602" s="234" t="s">
        <v>1021</v>
      </c>
      <c r="B602" s="10"/>
      <c r="C602" s="10"/>
      <c r="D602" s="10"/>
      <c r="E602" s="38" t="s">
        <v>852</v>
      </c>
      <c r="F602" s="10"/>
      <c r="G602" s="10"/>
      <c r="H602" s="10"/>
      <c r="I602" s="38" t="s">
        <v>852</v>
      </c>
      <c r="J602" s="10"/>
      <c r="K602" s="10"/>
      <c r="L602" s="10"/>
      <c r="M602" s="38" t="s">
        <v>852</v>
      </c>
      <c r="N602" s="10"/>
      <c r="O602" s="10"/>
      <c r="P602" s="10"/>
      <c r="Q602" s="38" t="s">
        <v>852</v>
      </c>
      <c r="R602" s="38" t="s">
        <v>852</v>
      </c>
    </row>
    <row r="603" spans="1:20" ht="15.75" customHeight="1" x14ac:dyDescent="0.3">
      <c r="A603" s="266" t="s">
        <v>624</v>
      </c>
      <c r="B603" s="10"/>
      <c r="C603" s="10"/>
      <c r="D603" s="10"/>
      <c r="E603" s="38">
        <f>SUM(B603:D603)</f>
        <v>0</v>
      </c>
      <c r="F603" s="10"/>
      <c r="G603" s="10"/>
      <c r="H603" s="10"/>
      <c r="I603" s="38">
        <f>SUM(F603:H603)</f>
        <v>0</v>
      </c>
      <c r="J603" s="10"/>
      <c r="K603" s="10"/>
      <c r="L603" s="10"/>
      <c r="M603" s="38">
        <f>SUM(J603:L603)</f>
        <v>0</v>
      </c>
      <c r="N603" s="10"/>
      <c r="O603" s="10"/>
      <c r="P603" s="10"/>
      <c r="Q603" s="38">
        <f>SUM(N603:P603)</f>
        <v>0</v>
      </c>
      <c r="R603" s="38">
        <f>+E603+I603+M603+Q603</f>
        <v>0</v>
      </c>
      <c r="T603" t="s">
        <v>2766</v>
      </c>
    </row>
    <row r="604" spans="1:20" ht="15.75" customHeight="1" x14ac:dyDescent="0.3">
      <c r="A604" s="266" t="s">
        <v>1787</v>
      </c>
      <c r="B604" s="10"/>
      <c r="C604" s="10"/>
      <c r="D604" s="10"/>
      <c r="E604" s="38">
        <f>SUM(B604:D604)</f>
        <v>0</v>
      </c>
      <c r="F604" s="10"/>
      <c r="G604" s="10"/>
      <c r="H604" s="10"/>
      <c r="I604" s="38">
        <f>SUM(F604:H604)</f>
        <v>0</v>
      </c>
      <c r="J604" s="10"/>
      <c r="K604" s="10"/>
      <c r="L604" s="10"/>
      <c r="M604" s="38">
        <f>SUM(J604:L604)</f>
        <v>0</v>
      </c>
      <c r="N604" s="10"/>
      <c r="O604" s="10"/>
      <c r="P604" s="10"/>
      <c r="Q604" s="38">
        <f>SUM(N604:P604)</f>
        <v>0</v>
      </c>
      <c r="R604" s="38">
        <f>+E604+I604+M604+Q604</f>
        <v>0</v>
      </c>
      <c r="T604" t="s">
        <v>2766</v>
      </c>
    </row>
    <row r="605" spans="1:20" ht="15.75" customHeight="1" x14ac:dyDescent="0.3">
      <c r="A605" s="234" t="s">
        <v>557</v>
      </c>
      <c r="B605" s="10"/>
      <c r="C605" s="10"/>
      <c r="D605" s="10"/>
      <c r="E605" s="38" t="s">
        <v>852</v>
      </c>
      <c r="F605" s="10"/>
      <c r="G605" s="10"/>
      <c r="H605" s="10"/>
      <c r="I605" s="38" t="s">
        <v>852</v>
      </c>
      <c r="J605" s="10"/>
      <c r="K605" s="10"/>
      <c r="L605" s="10"/>
      <c r="M605" s="38" t="s">
        <v>852</v>
      </c>
      <c r="N605" s="10"/>
      <c r="O605" s="10"/>
      <c r="P605" s="10"/>
      <c r="Q605" s="38" t="s">
        <v>852</v>
      </c>
      <c r="R605" s="38" t="s">
        <v>852</v>
      </c>
    </row>
    <row r="606" spans="1:20" ht="15.75" customHeight="1" x14ac:dyDescent="0.3">
      <c r="A606" s="539" t="s">
        <v>2812</v>
      </c>
      <c r="B606" s="10"/>
      <c r="C606" s="10"/>
      <c r="D606" s="10"/>
      <c r="E606" s="38">
        <f>SUM(B606:D606)</f>
        <v>0</v>
      </c>
      <c r="F606" s="10"/>
      <c r="G606" s="10"/>
      <c r="H606" s="10"/>
      <c r="I606" s="38">
        <f>SUM(F606:H606)</f>
        <v>0</v>
      </c>
      <c r="J606" s="10"/>
      <c r="K606" s="10"/>
      <c r="L606" s="10"/>
      <c r="M606" s="38">
        <f>SUM(J606:L606)</f>
        <v>0</v>
      </c>
      <c r="N606" s="10"/>
      <c r="O606" s="10"/>
      <c r="P606" s="10"/>
      <c r="Q606" s="38">
        <f>SUM(N606:P606)</f>
        <v>0</v>
      </c>
      <c r="R606" s="38">
        <f>+E606+I606+M606+Q606</f>
        <v>0</v>
      </c>
    </row>
    <row r="607" spans="1:20" ht="15.75" customHeight="1" x14ac:dyDescent="0.3">
      <c r="A607" s="539" t="s">
        <v>2579</v>
      </c>
      <c r="B607" s="10"/>
      <c r="C607" s="10"/>
      <c r="D607" s="10"/>
      <c r="E607" s="38">
        <f>SUM(B607:D607)</f>
        <v>0</v>
      </c>
      <c r="F607" s="10"/>
      <c r="G607" s="10"/>
      <c r="H607" s="10"/>
      <c r="I607" s="38">
        <f>SUM(F607:H607)</f>
        <v>0</v>
      </c>
      <c r="J607" s="10"/>
      <c r="K607" s="10"/>
      <c r="L607" s="10"/>
      <c r="M607" s="38">
        <f>SUM(J607:L607)</f>
        <v>0</v>
      </c>
      <c r="N607" s="10"/>
      <c r="O607" s="10"/>
      <c r="P607" s="10"/>
      <c r="Q607" s="38">
        <f>SUM(N607:P607)</f>
        <v>0</v>
      </c>
      <c r="R607" s="38">
        <f>+E607+I607+M607+Q607</f>
        <v>0</v>
      </c>
    </row>
    <row r="608" spans="1:20" ht="15.75" customHeight="1" x14ac:dyDescent="0.3">
      <c r="A608" s="539" t="s">
        <v>2581</v>
      </c>
      <c r="B608" s="10"/>
      <c r="C608" s="10"/>
      <c r="D608" s="10"/>
      <c r="E608" s="38">
        <f>SUM(B608:D608)</f>
        <v>0</v>
      </c>
      <c r="F608" s="10"/>
      <c r="G608" s="10"/>
      <c r="H608" s="10"/>
      <c r="I608" s="38">
        <f>SUM(F608:H608)</f>
        <v>0</v>
      </c>
      <c r="J608" s="10"/>
      <c r="K608" s="10"/>
      <c r="L608" s="10"/>
      <c r="M608" s="38">
        <f>SUM(J608:L608)</f>
        <v>0</v>
      </c>
      <c r="N608" s="10"/>
      <c r="O608" s="10"/>
      <c r="P608" s="10">
        <v>1</v>
      </c>
      <c r="Q608" s="38">
        <f>SUM(N608:P608)</f>
        <v>1</v>
      </c>
      <c r="R608" s="38">
        <f>+E608+I608+M608+Q608</f>
        <v>1</v>
      </c>
      <c r="T608" t="s">
        <v>2766</v>
      </c>
    </row>
    <row r="609" spans="1:20" ht="15.75" customHeight="1" x14ac:dyDescent="0.3">
      <c r="A609" s="539" t="s">
        <v>2582</v>
      </c>
      <c r="B609" s="10"/>
      <c r="C609" s="10"/>
      <c r="D609" s="10"/>
      <c r="E609" s="38">
        <f>SUM(B609:D609)</f>
        <v>0</v>
      </c>
      <c r="F609" s="10"/>
      <c r="G609" s="10"/>
      <c r="H609" s="10"/>
      <c r="I609" s="38">
        <f>SUM(F609:H609)</f>
        <v>0</v>
      </c>
      <c r="J609" s="10"/>
      <c r="K609" s="10"/>
      <c r="L609" s="10"/>
      <c r="M609" s="38">
        <f>SUM(J609:L609)</f>
        <v>0</v>
      </c>
      <c r="N609" s="10"/>
      <c r="O609" s="10"/>
      <c r="P609" s="10"/>
      <c r="Q609" s="38">
        <f>SUM(N609:P609)</f>
        <v>0</v>
      </c>
      <c r="R609" s="38">
        <f>+E609+I609+M609+Q609</f>
        <v>0</v>
      </c>
      <c r="T609" t="s">
        <v>2766</v>
      </c>
    </row>
    <row r="610" spans="1:20" ht="15.75" customHeight="1" x14ac:dyDescent="0.3">
      <c r="A610" s="234" t="s">
        <v>1022</v>
      </c>
      <c r="B610" s="10"/>
      <c r="C610" s="10"/>
      <c r="D610" s="10"/>
      <c r="E610" s="38" t="s">
        <v>852</v>
      </c>
      <c r="F610" s="10"/>
      <c r="G610" s="10"/>
      <c r="H610" s="10"/>
      <c r="I610" s="38" t="s">
        <v>852</v>
      </c>
      <c r="J610" s="10"/>
      <c r="K610" s="10"/>
      <c r="L610" s="10"/>
      <c r="M610" s="38" t="s">
        <v>852</v>
      </c>
      <c r="N610" s="10"/>
      <c r="O610" s="10"/>
      <c r="P610" s="10"/>
      <c r="Q610" s="38" t="s">
        <v>852</v>
      </c>
      <c r="R610" s="38" t="s">
        <v>852</v>
      </c>
    </row>
    <row r="611" spans="1:20" ht="15.75" customHeight="1" x14ac:dyDescent="0.3">
      <c r="A611" s="234" t="s">
        <v>559</v>
      </c>
      <c r="B611" s="10"/>
      <c r="C611" s="10"/>
      <c r="D611" s="10"/>
      <c r="E611" s="38" t="s">
        <v>852</v>
      </c>
      <c r="F611" s="10"/>
      <c r="G611" s="10"/>
      <c r="H611" s="10"/>
      <c r="I611" s="38" t="s">
        <v>852</v>
      </c>
      <c r="J611" s="10"/>
      <c r="K611" s="10"/>
      <c r="L611" s="10"/>
      <c r="M611" s="38" t="s">
        <v>852</v>
      </c>
      <c r="N611" s="10"/>
      <c r="O611" s="10"/>
      <c r="P611" s="10"/>
      <c r="Q611" s="38" t="s">
        <v>852</v>
      </c>
      <c r="R611" s="38" t="s">
        <v>852</v>
      </c>
    </row>
    <row r="612" spans="1:20" ht="15.75" customHeight="1" x14ac:dyDescent="0.3">
      <c r="A612" s="539" t="s">
        <v>2597</v>
      </c>
      <c r="B612" s="10"/>
      <c r="C612" s="10"/>
      <c r="D612" s="10"/>
      <c r="E612" s="38">
        <f t="shared" ref="E612:E613" si="186">SUM(B612:D612)</f>
        <v>0</v>
      </c>
      <c r="F612" s="10"/>
      <c r="G612" s="10"/>
      <c r="H612" s="10"/>
      <c r="I612" s="38">
        <f t="shared" ref="I612:I613" si="187">SUM(F612:H612)</f>
        <v>0</v>
      </c>
      <c r="J612" s="10"/>
      <c r="K612" s="10"/>
      <c r="L612" s="10"/>
      <c r="M612" s="38">
        <f t="shared" ref="M612:M613" si="188">SUM(J612:L612)</f>
        <v>0</v>
      </c>
      <c r="N612" s="10"/>
      <c r="O612" s="10"/>
      <c r="P612" s="10"/>
      <c r="Q612" s="38">
        <f t="shared" ref="Q612:Q617" si="189">SUM(N612:P612)</f>
        <v>0</v>
      </c>
      <c r="R612" s="38">
        <f t="shared" ref="R612:R617" si="190">+E612+I612+M612+Q612</f>
        <v>0</v>
      </c>
    </row>
    <row r="613" spans="1:20" ht="15.75" customHeight="1" thickBot="1" x14ac:dyDescent="0.35">
      <c r="A613" s="539" t="s">
        <v>2583</v>
      </c>
      <c r="B613" s="10"/>
      <c r="C613" s="10"/>
      <c r="D613" s="10"/>
      <c r="E613" s="38">
        <f t="shared" si="186"/>
        <v>0</v>
      </c>
      <c r="F613" s="10"/>
      <c r="G613" s="10"/>
      <c r="H613" s="10">
        <v>356</v>
      </c>
      <c r="I613" s="38">
        <f t="shared" si="187"/>
        <v>356</v>
      </c>
      <c r="J613" s="10">
        <v>634</v>
      </c>
      <c r="K613" s="10">
        <v>909</v>
      </c>
      <c r="L613" s="10">
        <v>200</v>
      </c>
      <c r="M613" s="38">
        <f t="shared" si="188"/>
        <v>1743</v>
      </c>
      <c r="N613" s="10"/>
      <c r="O613" s="10"/>
      <c r="P613" s="10"/>
      <c r="Q613" s="38">
        <f t="shared" si="189"/>
        <v>0</v>
      </c>
      <c r="R613" s="38">
        <f t="shared" si="190"/>
        <v>2099</v>
      </c>
    </row>
    <row r="614" spans="1:20" ht="16.5" customHeight="1" thickBot="1" x14ac:dyDescent="0.35">
      <c r="A614" s="43" t="s">
        <v>1019</v>
      </c>
      <c r="B614" s="335">
        <f>SUM(B610:B613)</f>
        <v>0</v>
      </c>
      <c r="C614" s="335">
        <f>SUM(C610:C613)</f>
        <v>0</v>
      </c>
      <c r="D614" s="335">
        <f>SUM(D610:D613)</f>
        <v>0</v>
      </c>
      <c r="E614" s="39">
        <f t="shared" ref="E614:E617" si="191">SUM(B614:D614)</f>
        <v>0</v>
      </c>
      <c r="F614" s="335">
        <f>SUM(F610:F613)</f>
        <v>0</v>
      </c>
      <c r="G614" s="335">
        <f>SUM(G610:G613)</f>
        <v>0</v>
      </c>
      <c r="H614" s="335">
        <f>SUM(H610:H613)</f>
        <v>356</v>
      </c>
      <c r="I614" s="39">
        <f t="shared" ref="I614:I617" si="192">SUM(F614:H614)</f>
        <v>356</v>
      </c>
      <c r="J614" s="335">
        <f>SUM(J610:J613)</f>
        <v>634</v>
      </c>
      <c r="K614" s="335">
        <f>SUM(K610:K613)</f>
        <v>909</v>
      </c>
      <c r="L614" s="335">
        <f>SUM(L610:L613)</f>
        <v>200</v>
      </c>
      <c r="M614" s="39">
        <f t="shared" ref="M614:M617" si="193">SUM(J614:L614)</f>
        <v>1743</v>
      </c>
      <c r="N614" s="335">
        <f>SUM(N610:N613)</f>
        <v>0</v>
      </c>
      <c r="O614" s="335">
        <f>SUM(O610:O613)</f>
        <v>0</v>
      </c>
      <c r="P614" s="335">
        <f>SUM(P610:P613)</f>
        <v>0</v>
      </c>
      <c r="Q614" s="39">
        <f t="shared" si="189"/>
        <v>0</v>
      </c>
      <c r="R614" s="37">
        <f t="shared" si="190"/>
        <v>2099</v>
      </c>
    </row>
    <row r="615" spans="1:20" ht="16.5" customHeight="1" thickBot="1" x14ac:dyDescent="0.35">
      <c r="A615" s="277" t="s">
        <v>1221</v>
      </c>
      <c r="B615" s="45">
        <f>SUM(B601:B613)</f>
        <v>0</v>
      </c>
      <c r="C615" s="46">
        <f>SUM(C601:C613)</f>
        <v>0</v>
      </c>
      <c r="D615" s="58">
        <f>SUM(D601:D613)</f>
        <v>0</v>
      </c>
      <c r="E615" s="39">
        <f t="shared" si="191"/>
        <v>0</v>
      </c>
      <c r="F615" s="45">
        <f>SUM(F601:F613)</f>
        <v>0</v>
      </c>
      <c r="G615" s="46">
        <f>SUM(G601:G613)</f>
        <v>0</v>
      </c>
      <c r="H615" s="58">
        <f>SUM(H601:H613)</f>
        <v>356</v>
      </c>
      <c r="I615" s="39">
        <f t="shared" si="192"/>
        <v>356</v>
      </c>
      <c r="J615" s="45">
        <f>SUM(J601:J613)</f>
        <v>634</v>
      </c>
      <c r="K615" s="46">
        <f>SUM(K601:K613)</f>
        <v>909</v>
      </c>
      <c r="L615" s="58">
        <f>SUM(L601:L613)</f>
        <v>200</v>
      </c>
      <c r="M615" s="39">
        <f t="shared" si="193"/>
        <v>1743</v>
      </c>
      <c r="N615" s="45">
        <f>SUM(N601:N613)</f>
        <v>0</v>
      </c>
      <c r="O615" s="46">
        <f>SUM(O601:O613)</f>
        <v>0</v>
      </c>
      <c r="P615" s="58">
        <f>SUM(P601:P613)</f>
        <v>1</v>
      </c>
      <c r="Q615" s="39">
        <f t="shared" si="189"/>
        <v>1</v>
      </c>
      <c r="R615" s="37">
        <f t="shared" si="190"/>
        <v>2100</v>
      </c>
    </row>
    <row r="616" spans="1:20" ht="16.5" customHeight="1" thickBot="1" x14ac:dyDescent="0.35">
      <c r="A616" s="43" t="s">
        <v>1222</v>
      </c>
      <c r="B616" s="337">
        <f>+B587+B593+B600+B615</f>
        <v>646</v>
      </c>
      <c r="C616" s="338">
        <f>+C587+C593+C600+C615</f>
        <v>1714</v>
      </c>
      <c r="D616" s="338">
        <f>+D587+D593+D600+D615</f>
        <v>4388</v>
      </c>
      <c r="E616" s="37">
        <f t="shared" si="191"/>
        <v>6748</v>
      </c>
      <c r="F616" s="42">
        <f>+F587+F593+F600+F615</f>
        <v>5360</v>
      </c>
      <c r="G616" s="42">
        <f>+G587+G593+G600+G615</f>
        <v>3938</v>
      </c>
      <c r="H616" s="42">
        <f>+H587+H593+H600+H615</f>
        <v>3474</v>
      </c>
      <c r="I616" s="37">
        <f t="shared" si="192"/>
        <v>12772</v>
      </c>
      <c r="J616" s="42">
        <f>+J587+J593+J600+J615</f>
        <v>2915</v>
      </c>
      <c r="K616" s="42">
        <f>+K587+K593+K600+K615</f>
        <v>4282</v>
      </c>
      <c r="L616" s="42">
        <f>+L587+L593+L600+L615</f>
        <v>4383</v>
      </c>
      <c r="M616" s="37">
        <f t="shared" si="193"/>
        <v>11580</v>
      </c>
      <c r="N616" s="42">
        <f>+N587+N593+N600+N615</f>
        <v>2551</v>
      </c>
      <c r="O616" s="42">
        <f>+O587+O593+O600+O615</f>
        <v>1619</v>
      </c>
      <c r="P616" s="42">
        <f>+P587+P593+P600+P615</f>
        <v>4134</v>
      </c>
      <c r="Q616" s="37">
        <f t="shared" si="189"/>
        <v>8304</v>
      </c>
      <c r="R616" s="40">
        <f t="shared" si="190"/>
        <v>39404</v>
      </c>
    </row>
    <row r="617" spans="1:20" ht="16.5" customHeight="1" thickBot="1" x14ac:dyDescent="0.35">
      <c r="A617" s="244" t="s">
        <v>853</v>
      </c>
      <c r="B617" s="238">
        <v>17</v>
      </c>
      <c r="C617" s="238">
        <v>47</v>
      </c>
      <c r="D617" s="238">
        <v>84</v>
      </c>
      <c r="E617" s="38">
        <f t="shared" si="191"/>
        <v>148</v>
      </c>
      <c r="F617" s="238">
        <v>116</v>
      </c>
      <c r="G617" s="238">
        <v>132</v>
      </c>
      <c r="H617" s="238">
        <v>138</v>
      </c>
      <c r="I617" s="38">
        <f t="shared" si="192"/>
        <v>386</v>
      </c>
      <c r="J617" s="238">
        <v>126</v>
      </c>
      <c r="K617" s="238">
        <v>95</v>
      </c>
      <c r="L617" s="238">
        <v>99</v>
      </c>
      <c r="M617" s="38">
        <f t="shared" si="193"/>
        <v>320</v>
      </c>
      <c r="N617" s="238">
        <v>91</v>
      </c>
      <c r="O617" s="238">
        <v>67</v>
      </c>
      <c r="P617" s="238">
        <v>38</v>
      </c>
      <c r="Q617" s="38">
        <f t="shared" si="189"/>
        <v>196</v>
      </c>
      <c r="R617" s="38">
        <f t="shared" si="190"/>
        <v>1050</v>
      </c>
    </row>
    <row r="618" spans="1:20" ht="16.5" customHeight="1" thickBot="1" x14ac:dyDescent="0.35">
      <c r="A618" s="22"/>
      <c r="B618" s="242"/>
      <c r="C618" s="242"/>
      <c r="D618" s="242"/>
      <c r="E618" s="21"/>
      <c r="F618" s="242"/>
      <c r="G618" s="242"/>
      <c r="H618" s="242"/>
      <c r="I618" s="21"/>
      <c r="J618" s="242"/>
      <c r="K618" s="242"/>
      <c r="L618" s="242"/>
      <c r="M618" s="21"/>
      <c r="N618" s="242"/>
      <c r="O618" s="242"/>
      <c r="P618" s="242"/>
      <c r="Q618" s="21"/>
      <c r="R618" s="21"/>
    </row>
    <row r="619" spans="1:20" ht="15.75" customHeight="1" x14ac:dyDescent="0.3">
      <c r="A619" s="259" t="s">
        <v>120</v>
      </c>
      <c r="B619" s="260">
        <f>SUM(B616:B617)</f>
        <v>663</v>
      </c>
      <c r="C619" s="260">
        <f>SUM(C616:C617)</f>
        <v>1761</v>
      </c>
      <c r="D619" s="260">
        <f>SUM(D616:D617)</f>
        <v>4472</v>
      </c>
      <c r="E619" s="39">
        <f>SUM(B619:D619)</f>
        <v>6896</v>
      </c>
      <c r="F619" s="260">
        <f>SUM(F616:F617)</f>
        <v>5476</v>
      </c>
      <c r="G619" s="260">
        <f>SUM(G616:G617)</f>
        <v>4070</v>
      </c>
      <c r="H619" s="260">
        <f>SUM(H616:H617)</f>
        <v>3612</v>
      </c>
      <c r="I619" s="39">
        <f>SUM(F619:H619)</f>
        <v>13158</v>
      </c>
      <c r="J619" s="260">
        <f>SUM(J616:J617)</f>
        <v>3041</v>
      </c>
      <c r="K619" s="260">
        <f>SUM(K616:K617)</f>
        <v>4377</v>
      </c>
      <c r="L619" s="260">
        <f>SUM(L616:L617)</f>
        <v>4482</v>
      </c>
      <c r="M619" s="39">
        <f>SUM(J619:L619)</f>
        <v>11900</v>
      </c>
      <c r="N619" s="260">
        <f>SUM(N616:N617)</f>
        <v>2642</v>
      </c>
      <c r="O619" s="260">
        <f>SUM(O616:O617)</f>
        <v>1686</v>
      </c>
      <c r="P619" s="260">
        <f>SUM(P616:P617)</f>
        <v>4172</v>
      </c>
      <c r="Q619" s="39">
        <f>SUM(N619:P619)</f>
        <v>8500</v>
      </c>
      <c r="R619" s="39">
        <f>+E619+I619+M619+Q619</f>
        <v>40454</v>
      </c>
    </row>
    <row r="620" spans="1:20" ht="15.75" customHeight="1" x14ac:dyDescent="0.3">
      <c r="A620" s="262" t="s">
        <v>1897</v>
      </c>
      <c r="B620" s="172">
        <f>(B619/B10)/1.983</f>
        <v>10.785222780733005</v>
      </c>
      <c r="C620" s="172">
        <f>(C619/C10)/1.983</f>
        <v>31.716014696347525</v>
      </c>
      <c r="D620" s="172">
        <f>(D619/D10)/1.983</f>
        <v>72.747385030826536</v>
      </c>
      <c r="E620" s="38" t="s">
        <v>852</v>
      </c>
      <c r="F620" s="172">
        <f>(F619/F10)/1.983</f>
        <v>92.049083879643632</v>
      </c>
      <c r="G620" s="172">
        <f>(G619/G10)/1.983</f>
        <v>66.207928684137741</v>
      </c>
      <c r="H620" s="172">
        <f>(H619/H10)/1.983</f>
        <v>60.716086737266771</v>
      </c>
      <c r="I620" s="38" t="s">
        <v>852</v>
      </c>
      <c r="J620" s="172">
        <f>(J619/J10)/1.983</f>
        <v>49.468872513135842</v>
      </c>
      <c r="K620" s="172">
        <f>(K619/K10)/1.983</f>
        <v>71.201991118051822</v>
      </c>
      <c r="L620" s="172">
        <f>(L619/L10)/1.983</f>
        <v>75.340393343419066</v>
      </c>
      <c r="M620" s="38" t="s">
        <v>852</v>
      </c>
      <c r="N620" s="172">
        <f>(N619/N10)/1.983</f>
        <v>42.978218079482041</v>
      </c>
      <c r="O620" s="172">
        <f>(O619/O10)/1.983</f>
        <v>28.340897629853757</v>
      </c>
      <c r="P620" s="172">
        <f>(P619/P10)/1.983</f>
        <v>67.867193727327447</v>
      </c>
      <c r="Q620" s="38" t="s">
        <v>852</v>
      </c>
      <c r="R620" s="38" t="s">
        <v>852</v>
      </c>
    </row>
    <row r="621" spans="1:20" ht="15.75" customHeight="1" x14ac:dyDescent="0.3">
      <c r="A621" s="262" t="s">
        <v>1535</v>
      </c>
      <c r="B621" s="172">
        <f>B619+B631</f>
        <v>15127</v>
      </c>
      <c r="C621" s="172">
        <f>C619+C631</f>
        <v>13165</v>
      </c>
      <c r="D621" s="172">
        <f>D619+D631</f>
        <v>24606</v>
      </c>
      <c r="E621" s="38">
        <f>SUM(B621:D621)</f>
        <v>52898</v>
      </c>
      <c r="F621" s="172">
        <f>F619+F631</f>
        <v>24990</v>
      </c>
      <c r="G621" s="172">
        <f>G619+G631</f>
        <v>23912</v>
      </c>
      <c r="H621" s="172">
        <f>H619+H631</f>
        <v>25020</v>
      </c>
      <c r="I621" s="38">
        <f>SUM(F621:H621)</f>
        <v>73922</v>
      </c>
      <c r="J621" s="172">
        <f>J619+J631</f>
        <v>24758</v>
      </c>
      <c r="K621" s="172">
        <f>K619+K631</f>
        <v>26058</v>
      </c>
      <c r="L621" s="172">
        <f>L619+L631</f>
        <v>23575</v>
      </c>
      <c r="M621" s="38">
        <f>SUM(J621:L621)</f>
        <v>74391</v>
      </c>
      <c r="N621" s="172">
        <f>N619+N631</f>
        <v>9720</v>
      </c>
      <c r="O621" s="172">
        <f>O619+O631</f>
        <v>3080</v>
      </c>
      <c r="P621" s="172">
        <f>P619+P631</f>
        <v>11306</v>
      </c>
      <c r="Q621" s="38">
        <f>SUM(N621:P621)</f>
        <v>24106</v>
      </c>
      <c r="R621" s="38">
        <f>+E621+I621+M621+Q621</f>
        <v>225317</v>
      </c>
    </row>
    <row r="622" spans="1:20" ht="16.5" customHeight="1" thickBot="1" x14ac:dyDescent="0.35">
      <c r="A622" s="263" t="s">
        <v>1536</v>
      </c>
      <c r="B622" s="264">
        <f>(B621/B10)/1.983</f>
        <v>246.07551282676945</v>
      </c>
      <c r="C622" s="264">
        <f>(C621/C10)/1.983</f>
        <v>237.10467545565882</v>
      </c>
      <c r="D622" s="264">
        <f>(D621/D10)/1.983</f>
        <v>400.27329071299596</v>
      </c>
      <c r="E622" s="40" t="s">
        <v>852</v>
      </c>
      <c r="F622" s="264">
        <f>(F621/F10)/1.983</f>
        <v>420.07060010085729</v>
      </c>
      <c r="G622" s="264">
        <f>(G621/G10)/1.983</f>
        <v>388.98378149756803</v>
      </c>
      <c r="H622" s="264">
        <f>(H621/H10)/1.983</f>
        <v>420.5748865355522</v>
      </c>
      <c r="I622" s="40" t="s">
        <v>852</v>
      </c>
      <c r="J622" s="264">
        <f>(J621/J10)/1.983</f>
        <v>402.74592097343549</v>
      </c>
      <c r="K622" s="264">
        <f>(K621/K10)/1.983</f>
        <v>423.89341662193158</v>
      </c>
      <c r="L622" s="264">
        <f>(L621/L10)/1.983</f>
        <v>396.28508993108085</v>
      </c>
      <c r="M622" s="40" t="s">
        <v>852</v>
      </c>
      <c r="N622" s="264">
        <f>(N621/N10)/1.983</f>
        <v>158.11819823337075</v>
      </c>
      <c r="O622" s="264">
        <f>(O621/O10)/1.983</f>
        <v>51.773407295343752</v>
      </c>
      <c r="P622" s="264">
        <f>(P621/P10)/1.983</f>
        <v>183.91814292453594</v>
      </c>
      <c r="Q622" s="40" t="s">
        <v>852</v>
      </c>
      <c r="R622" s="40" t="s">
        <v>852</v>
      </c>
    </row>
    <row r="623" spans="1:20" ht="15.75" customHeight="1" x14ac:dyDescent="0.3">
      <c r="A623" s="17"/>
      <c r="B623" s="172"/>
      <c r="C623" s="172"/>
      <c r="D623" s="172"/>
      <c r="E623" s="172"/>
      <c r="F623" s="172"/>
      <c r="G623" s="172"/>
      <c r="H623" s="172"/>
      <c r="I623" s="172"/>
      <c r="J623" s="172"/>
      <c r="K623" s="172"/>
      <c r="L623" s="172"/>
      <c r="M623" s="172"/>
      <c r="N623" s="172"/>
      <c r="O623" s="172"/>
      <c r="P623" s="172"/>
      <c r="Q623" s="172"/>
      <c r="R623" s="17"/>
    </row>
    <row r="624" spans="1:20" ht="16.5" customHeight="1" thickBot="1" x14ac:dyDescent="0.35">
      <c r="A624" s="24"/>
      <c r="B624" s="238"/>
      <c r="C624" s="238"/>
      <c r="D624" s="238"/>
      <c r="E624" s="238"/>
      <c r="F624" s="238"/>
      <c r="G624" s="238"/>
      <c r="H624" s="238"/>
      <c r="I624" s="238"/>
      <c r="J624" s="238"/>
      <c r="K624" s="238"/>
      <c r="L624" s="238"/>
      <c r="M624" s="238"/>
      <c r="N624" s="238"/>
      <c r="O624" s="238"/>
      <c r="P624" s="238"/>
      <c r="Q624" s="238"/>
      <c r="R624" s="24"/>
    </row>
    <row r="625" spans="1:18" ht="16.5" customHeight="1" thickBot="1" x14ac:dyDescent="0.35">
      <c r="A625" s="278" t="s">
        <v>1537</v>
      </c>
      <c r="B625" s="4" t="s">
        <v>2090</v>
      </c>
      <c r="C625" s="5" t="s">
        <v>2091</v>
      </c>
      <c r="D625" s="5" t="s">
        <v>2234</v>
      </c>
      <c r="E625" s="33" t="s">
        <v>1594</v>
      </c>
      <c r="F625" s="5" t="s">
        <v>2235</v>
      </c>
      <c r="G625" s="5" t="s">
        <v>2236</v>
      </c>
      <c r="H625" s="5" t="s">
        <v>2237</v>
      </c>
      <c r="I625" s="35" t="s">
        <v>1595</v>
      </c>
      <c r="J625" s="5" t="s">
        <v>1504</v>
      </c>
      <c r="K625" s="5" t="s">
        <v>1505</v>
      </c>
      <c r="L625" s="5" t="s">
        <v>1506</v>
      </c>
      <c r="M625" s="35" t="s">
        <v>1596</v>
      </c>
      <c r="N625" s="5" t="s">
        <v>1507</v>
      </c>
      <c r="O625" s="5" t="s">
        <v>1508</v>
      </c>
      <c r="P625" s="5" t="s">
        <v>1509</v>
      </c>
      <c r="Q625" s="33" t="s">
        <v>1597</v>
      </c>
      <c r="R625" s="34" t="s">
        <v>1510</v>
      </c>
    </row>
    <row r="626" spans="1:18" ht="16.5" customHeight="1" thickBot="1" x14ac:dyDescent="0.35">
      <c r="A626" s="22"/>
      <c r="B626" s="242"/>
      <c r="C626" s="242"/>
      <c r="D626" s="242"/>
      <c r="E626" s="243"/>
      <c r="F626" s="242"/>
      <c r="G626" s="242"/>
      <c r="H626" s="242"/>
      <c r="I626" s="243"/>
      <c r="J626" s="242"/>
      <c r="K626" s="242"/>
      <c r="L626" s="242"/>
      <c r="M626" s="243"/>
      <c r="N626" s="242"/>
      <c r="O626" s="242"/>
      <c r="P626" s="242"/>
      <c r="Q626" s="279"/>
      <c r="R626" s="32"/>
    </row>
    <row r="627" spans="1:18" ht="16.5" customHeight="1" thickBot="1" x14ac:dyDescent="0.35">
      <c r="A627" s="244" t="s">
        <v>853</v>
      </c>
      <c r="B627" s="238">
        <v>20</v>
      </c>
      <c r="C627" s="238">
        <v>22</v>
      </c>
      <c r="D627" s="238">
        <v>28</v>
      </c>
      <c r="E627" s="38">
        <f>SUM(B627:D627)</f>
        <v>70</v>
      </c>
      <c r="F627" s="238">
        <v>37</v>
      </c>
      <c r="G627" s="238">
        <v>42</v>
      </c>
      <c r="H627" s="238">
        <v>44</v>
      </c>
      <c r="I627" s="38">
        <f>SUM(F627:H627)</f>
        <v>123</v>
      </c>
      <c r="J627" s="238">
        <v>39</v>
      </c>
      <c r="K627" s="238">
        <v>36</v>
      </c>
      <c r="L627" s="238">
        <v>34</v>
      </c>
      <c r="M627" s="38">
        <f>SUM(J627:L627)</f>
        <v>109</v>
      </c>
      <c r="N627" s="238">
        <v>29</v>
      </c>
      <c r="O627" s="238">
        <v>23</v>
      </c>
      <c r="P627" s="238">
        <v>19</v>
      </c>
      <c r="Q627" s="38">
        <f>SUM(N627:P627)</f>
        <v>71</v>
      </c>
      <c r="R627" s="38">
        <f>+E627+I627+M627+Q627</f>
        <v>373</v>
      </c>
    </row>
    <row r="628" spans="1:18" ht="16.5" customHeight="1" thickBot="1" x14ac:dyDescent="0.35">
      <c r="A628" s="22"/>
      <c r="B628" s="242"/>
      <c r="C628" s="242"/>
      <c r="D628" s="242"/>
      <c r="E628" s="233"/>
      <c r="F628" s="242"/>
      <c r="G628" s="242"/>
      <c r="H628" s="242"/>
      <c r="I628" s="233"/>
      <c r="J628" s="242"/>
      <c r="K628" s="242"/>
      <c r="L628" s="242"/>
      <c r="M628" s="233"/>
      <c r="N628" s="242"/>
      <c r="O628" s="242"/>
      <c r="P628" s="242"/>
      <c r="Q628" s="233"/>
      <c r="R628" s="21"/>
    </row>
    <row r="629" spans="1:18" ht="15.75" customHeight="1" x14ac:dyDescent="0.3">
      <c r="A629" s="259" t="s">
        <v>120</v>
      </c>
      <c r="B629" s="260">
        <f>B627</f>
        <v>20</v>
      </c>
      <c r="C629" s="260">
        <f>C627</f>
        <v>22</v>
      </c>
      <c r="D629" s="260">
        <f>D627</f>
        <v>28</v>
      </c>
      <c r="E629" s="39">
        <f>SUM(B629:D629)</f>
        <v>70</v>
      </c>
      <c r="F629" s="260">
        <f>F627</f>
        <v>37</v>
      </c>
      <c r="G629" s="260">
        <f>G627</f>
        <v>42</v>
      </c>
      <c r="H629" s="260">
        <f>H627</f>
        <v>44</v>
      </c>
      <c r="I629" s="39">
        <f>SUM(F629:H629)</f>
        <v>123</v>
      </c>
      <c r="J629" s="260">
        <f>J627</f>
        <v>39</v>
      </c>
      <c r="K629" s="260">
        <f>K627</f>
        <v>36</v>
      </c>
      <c r="L629" s="260">
        <f>L627</f>
        <v>34</v>
      </c>
      <c r="M629" s="39">
        <f>SUM(J629:L629)</f>
        <v>109</v>
      </c>
      <c r="N629" s="260">
        <f>N627</f>
        <v>29</v>
      </c>
      <c r="O629" s="260">
        <f>O627</f>
        <v>23</v>
      </c>
      <c r="P629" s="260">
        <f>P627</f>
        <v>19</v>
      </c>
      <c r="Q629" s="39">
        <f>SUM(N629:P629)</f>
        <v>71</v>
      </c>
      <c r="R629" s="39">
        <f>+E629+I629+M629+Q629</f>
        <v>373</v>
      </c>
    </row>
    <row r="630" spans="1:18" ht="15.75" customHeight="1" x14ac:dyDescent="0.3">
      <c r="A630" s="262" t="s">
        <v>1897</v>
      </c>
      <c r="B630" s="172">
        <f>(B629/B10)/1.983</f>
        <v>0.32534608689993977</v>
      </c>
      <c r="C630" s="172">
        <f>(C629/C10)/1.983</f>
        <v>0.39622505583171236</v>
      </c>
      <c r="D630" s="172">
        <f>(D629/D10)/1.983</f>
        <v>0.45548452165991571</v>
      </c>
      <c r="E630" s="38" t="s">
        <v>852</v>
      </c>
      <c r="F630" s="172">
        <f>(F629/F10)/1.983</f>
        <v>0.62195326945705165</v>
      </c>
      <c r="G630" s="172">
        <f>(G629/G10)/1.983</f>
        <v>0.68322678248987356</v>
      </c>
      <c r="H630" s="172">
        <f>(H629/H10)/1.983</f>
        <v>0.73962010421919644</v>
      </c>
      <c r="I630" s="38" t="s">
        <v>852</v>
      </c>
      <c r="J630" s="172">
        <f>(J629/J10)/1.983</f>
        <v>0.63442486945488263</v>
      </c>
      <c r="K630" s="172">
        <f>(K629/K10)/1.983</f>
        <v>0.5856229564198917</v>
      </c>
      <c r="L630" s="172">
        <f>(L629/L10)/1.983</f>
        <v>0.57152462598756093</v>
      </c>
      <c r="M630" s="38" t="s">
        <v>852</v>
      </c>
      <c r="N630" s="172">
        <f>(N629/N10)/1.983</f>
        <v>0.47175182600491267</v>
      </c>
      <c r="O630" s="172">
        <f>(O629/O10)/1.983</f>
        <v>0.38661959993276179</v>
      </c>
      <c r="P630" s="172">
        <f>(P629/P10)/1.983</f>
        <v>0.30907878255494281</v>
      </c>
      <c r="Q630" s="38" t="s">
        <v>852</v>
      </c>
      <c r="R630" s="38" t="s">
        <v>852</v>
      </c>
    </row>
    <row r="631" spans="1:18" ht="15.75" customHeight="1" x14ac:dyDescent="0.3">
      <c r="A631" s="262" t="s">
        <v>2019</v>
      </c>
      <c r="B631" s="172">
        <f>B629+B667</f>
        <v>14464</v>
      </c>
      <c r="C631" s="172">
        <f>C629+C667</f>
        <v>11404</v>
      </c>
      <c r="D631" s="172">
        <f>D629+D667</f>
        <v>20134</v>
      </c>
      <c r="E631" s="38">
        <f>SUM(B631:D631)</f>
        <v>46002</v>
      </c>
      <c r="F631" s="172">
        <f>F629+F667</f>
        <v>19514</v>
      </c>
      <c r="G631" s="172">
        <f>G629+G667</f>
        <v>19842</v>
      </c>
      <c r="H631" s="172">
        <f>H629+H667</f>
        <v>21408</v>
      </c>
      <c r="I631" s="38">
        <f>SUM(F631:H631)</f>
        <v>60764</v>
      </c>
      <c r="J631" s="172">
        <f>J629+J667</f>
        <v>21717</v>
      </c>
      <c r="K631" s="172">
        <f>K629+K667</f>
        <v>21681</v>
      </c>
      <c r="L631" s="172">
        <f>L629+L667</f>
        <v>19093</v>
      </c>
      <c r="M631" s="38">
        <f>SUM(J631:L631)</f>
        <v>62491</v>
      </c>
      <c r="N631" s="172">
        <f>N629+N667</f>
        <v>7078</v>
      </c>
      <c r="O631" s="172">
        <f>O629+O667</f>
        <v>1394</v>
      </c>
      <c r="P631" s="172">
        <f>P629+P667</f>
        <v>7134</v>
      </c>
      <c r="Q631" s="38">
        <f>SUM(N631:P631)</f>
        <v>15606</v>
      </c>
      <c r="R631" s="38">
        <f>+E631+I631+M631+Q631</f>
        <v>184863</v>
      </c>
    </row>
    <row r="632" spans="1:18" ht="16.5" customHeight="1" thickBot="1" x14ac:dyDescent="0.35">
      <c r="A632" s="263" t="s">
        <v>1332</v>
      </c>
      <c r="B632" s="264">
        <f>(B631/B10)/1.983</f>
        <v>235.29029004603646</v>
      </c>
      <c r="C632" s="264">
        <f>(C631/C10)/1.983</f>
        <v>205.38866075931128</v>
      </c>
      <c r="D632" s="264">
        <f>(D631/D10)/1.983</f>
        <v>327.52590568216942</v>
      </c>
      <c r="E632" s="40" t="s">
        <v>852</v>
      </c>
      <c r="F632" s="264">
        <f>(F631/F10)/1.983</f>
        <v>328.02151622121363</v>
      </c>
      <c r="G632" s="264">
        <f>(G631/G10)/1.983</f>
        <v>322.77585281343028</v>
      </c>
      <c r="H632" s="264">
        <f>(H631/H10)/1.983</f>
        <v>359.85879979828542</v>
      </c>
      <c r="I632" s="40" t="s">
        <v>852</v>
      </c>
      <c r="J632" s="264">
        <f>(J631/J10)/1.983</f>
        <v>353.27704846029962</v>
      </c>
      <c r="K632" s="264">
        <f>(K631/K10)/1.983</f>
        <v>352.69142550387971</v>
      </c>
      <c r="L632" s="264">
        <f>(L631/L10)/1.983</f>
        <v>320.94469658766172</v>
      </c>
      <c r="M632" s="40" t="s">
        <v>852</v>
      </c>
      <c r="N632" s="264">
        <f>(N631/N10)/1.983</f>
        <v>115.13998015388869</v>
      </c>
      <c r="O632" s="264">
        <f>(O631/O10)/1.983</f>
        <v>23.432509665489999</v>
      </c>
      <c r="P632" s="264">
        <f>(P631/P10)/1.983</f>
        <v>116.05094919720852</v>
      </c>
      <c r="Q632" s="40" t="s">
        <v>852</v>
      </c>
      <c r="R632" s="40" t="s">
        <v>852</v>
      </c>
    </row>
    <row r="633" spans="1:18" ht="15.75" customHeight="1" x14ac:dyDescent="0.3">
      <c r="A633" s="18"/>
      <c r="B633" s="172"/>
      <c r="C633" s="172"/>
      <c r="D633" s="172"/>
      <c r="E633" s="172"/>
      <c r="F633" s="172"/>
      <c r="G633" s="172"/>
      <c r="H633" s="172"/>
      <c r="I633" s="172"/>
      <c r="J633" s="172"/>
      <c r="K633" s="172"/>
      <c r="L633" s="172"/>
      <c r="M633" s="172"/>
      <c r="N633" s="172"/>
      <c r="O633" s="172"/>
      <c r="P633" s="172"/>
      <c r="Q633" s="172"/>
      <c r="R633" s="17"/>
    </row>
    <row r="634" spans="1:18" ht="15.75" customHeight="1" thickBot="1" x14ac:dyDescent="0.35">
      <c r="A634" s="18"/>
      <c r="B634" s="172"/>
      <c r="C634" s="172"/>
      <c r="D634" s="172"/>
      <c r="E634" s="172"/>
      <c r="F634" s="172"/>
      <c r="G634" s="172"/>
      <c r="H634" s="172"/>
      <c r="I634" s="172"/>
      <c r="J634" s="172"/>
      <c r="K634" s="172"/>
      <c r="L634" s="172"/>
      <c r="M634" s="172"/>
      <c r="N634" s="172"/>
      <c r="O634" s="172"/>
      <c r="P634" s="172"/>
      <c r="Q634" s="172"/>
      <c r="R634" s="17"/>
    </row>
    <row r="635" spans="1:18" ht="16.5" customHeight="1" thickBot="1" x14ac:dyDescent="0.35">
      <c r="A635" s="240" t="s">
        <v>1333</v>
      </c>
      <c r="B635" s="4" t="s">
        <v>2090</v>
      </c>
      <c r="C635" s="5" t="s">
        <v>2091</v>
      </c>
      <c r="D635" s="5" t="s">
        <v>2234</v>
      </c>
      <c r="E635" s="33" t="s">
        <v>1594</v>
      </c>
      <c r="F635" s="5" t="s">
        <v>2235</v>
      </c>
      <c r="G635" s="5" t="s">
        <v>2236</v>
      </c>
      <c r="H635" s="5" t="s">
        <v>2237</v>
      </c>
      <c r="I635" s="35" t="s">
        <v>1595</v>
      </c>
      <c r="J635" s="5" t="s">
        <v>1504</v>
      </c>
      <c r="K635" s="5" t="s">
        <v>1505</v>
      </c>
      <c r="L635" s="5" t="s">
        <v>1506</v>
      </c>
      <c r="M635" s="35" t="s">
        <v>1596</v>
      </c>
      <c r="N635" s="5" t="s">
        <v>1507</v>
      </c>
      <c r="O635" s="5" t="s">
        <v>1508</v>
      </c>
      <c r="P635" s="5" t="s">
        <v>1509</v>
      </c>
      <c r="Q635" s="35" t="s">
        <v>1597</v>
      </c>
      <c r="R635" s="36" t="s">
        <v>1510</v>
      </c>
    </row>
    <row r="636" spans="1:18" ht="16.5" customHeight="1" thickBot="1" x14ac:dyDescent="0.35">
      <c r="A636" s="22"/>
      <c r="B636" s="242"/>
      <c r="C636" s="242"/>
      <c r="D636" s="242"/>
      <c r="E636" s="233"/>
      <c r="F636" s="242"/>
      <c r="G636" s="242"/>
      <c r="H636" s="242"/>
      <c r="I636" s="233"/>
      <c r="J636" s="242"/>
      <c r="K636" s="242"/>
      <c r="L636" s="242"/>
      <c r="M636" s="233"/>
      <c r="N636" s="242"/>
      <c r="O636" s="242"/>
      <c r="P636" s="242"/>
      <c r="Q636" s="233"/>
      <c r="R636" s="19"/>
    </row>
    <row r="637" spans="1:18" ht="15.75" customHeight="1" x14ac:dyDescent="0.3">
      <c r="A637" s="234" t="s">
        <v>2417</v>
      </c>
      <c r="B637" s="172" t="s">
        <v>852</v>
      </c>
      <c r="C637" s="172" t="s">
        <v>852</v>
      </c>
      <c r="D637" s="172" t="s">
        <v>852</v>
      </c>
      <c r="E637" s="38" t="s">
        <v>852</v>
      </c>
      <c r="F637" s="172" t="s">
        <v>852</v>
      </c>
      <c r="G637" s="172" t="s">
        <v>852</v>
      </c>
      <c r="H637" s="172" t="s">
        <v>852</v>
      </c>
      <c r="I637" s="38" t="s">
        <v>852</v>
      </c>
      <c r="J637" s="172" t="s">
        <v>852</v>
      </c>
      <c r="K637" s="172" t="s">
        <v>852</v>
      </c>
      <c r="L637" s="172" t="s">
        <v>852</v>
      </c>
      <c r="M637" s="38" t="s">
        <v>852</v>
      </c>
      <c r="N637" s="172" t="s">
        <v>852</v>
      </c>
      <c r="O637" s="172" t="s">
        <v>852</v>
      </c>
      <c r="P637" s="172" t="s">
        <v>852</v>
      </c>
      <c r="Q637" s="38" t="s">
        <v>852</v>
      </c>
      <c r="R637" s="38" t="s">
        <v>852</v>
      </c>
    </row>
    <row r="638" spans="1:18" ht="15.75" customHeight="1" x14ac:dyDescent="0.3">
      <c r="A638" s="234" t="s">
        <v>2160</v>
      </c>
      <c r="B638" s="172"/>
      <c r="C638" s="172"/>
      <c r="D638" s="172"/>
      <c r="E638" s="38" t="s">
        <v>852</v>
      </c>
      <c r="F638" s="172"/>
      <c r="G638" s="172"/>
      <c r="H638" s="172"/>
      <c r="I638" s="38" t="s">
        <v>852</v>
      </c>
      <c r="J638" s="172"/>
      <c r="K638" s="172"/>
      <c r="L638" s="172"/>
      <c r="M638" s="38" t="s">
        <v>852</v>
      </c>
      <c r="N638" s="172"/>
      <c r="O638" s="172"/>
      <c r="P638" s="172"/>
      <c r="Q638" s="38" t="s">
        <v>852</v>
      </c>
      <c r="R638" s="38" t="s">
        <v>852</v>
      </c>
    </row>
    <row r="639" spans="1:18" ht="15.75" customHeight="1" x14ac:dyDescent="0.3">
      <c r="A639" s="539" t="s">
        <v>2747</v>
      </c>
      <c r="B639" s="10"/>
      <c r="C639" s="10">
        <v>495</v>
      </c>
      <c r="D639" s="10">
        <v>590</v>
      </c>
      <c r="E639" s="38">
        <f>SUM(B639:D639)</f>
        <v>1085</v>
      </c>
      <c r="F639" s="10">
        <v>500</v>
      </c>
      <c r="G639" s="10">
        <v>1232</v>
      </c>
      <c r="H639" s="10">
        <v>490</v>
      </c>
      <c r="I639" s="38">
        <f>SUM(F639:H639)</f>
        <v>2222</v>
      </c>
      <c r="J639" s="10">
        <v>1501</v>
      </c>
      <c r="K639" s="10">
        <v>850</v>
      </c>
      <c r="L639" s="10">
        <v>1217</v>
      </c>
      <c r="M639" s="38">
        <f>SUM(J639:L639)</f>
        <v>3568</v>
      </c>
      <c r="N639" s="10">
        <v>896</v>
      </c>
      <c r="O639" s="10">
        <v>99</v>
      </c>
      <c r="P639" s="10"/>
      <c r="Q639" s="38">
        <f>SUM(N639:P639)</f>
        <v>995</v>
      </c>
      <c r="R639" s="38">
        <f>+E639+I639+M639+Q639</f>
        <v>7870</v>
      </c>
    </row>
    <row r="640" spans="1:18" ht="15.75" customHeight="1" x14ac:dyDescent="0.3">
      <c r="A640" s="539" t="s">
        <v>2748</v>
      </c>
      <c r="B640" s="356">
        <v>303</v>
      </c>
      <c r="C640" s="356"/>
      <c r="D640" s="356">
        <v>312</v>
      </c>
      <c r="E640" s="38">
        <f>SUM(B640:D640)</f>
        <v>615</v>
      </c>
      <c r="F640" s="356">
        <v>516</v>
      </c>
      <c r="G640" s="356">
        <v>765</v>
      </c>
      <c r="H640" s="356">
        <v>118</v>
      </c>
      <c r="I640" s="38">
        <f>SUM(F640:H640)</f>
        <v>1399</v>
      </c>
      <c r="J640" s="356"/>
      <c r="K640" s="356"/>
      <c r="L640" s="10"/>
      <c r="M640" s="38">
        <f>SUM(J640:L640)</f>
        <v>0</v>
      </c>
      <c r="N640" s="10"/>
      <c r="O640" s="10"/>
      <c r="P640" s="10"/>
      <c r="Q640" s="38">
        <f>SUM(N640:P640)</f>
        <v>0</v>
      </c>
      <c r="R640" s="38">
        <f>+E640+I640+M640+Q640</f>
        <v>2014</v>
      </c>
    </row>
    <row r="641" spans="1:18" ht="15.75" customHeight="1" x14ac:dyDescent="0.3">
      <c r="A641" s="310" t="s">
        <v>537</v>
      </c>
      <c r="B641" s="10"/>
      <c r="C641" s="10"/>
      <c r="D641" s="10"/>
      <c r="E641" s="38">
        <f>SUM(B641:D641)</f>
        <v>0</v>
      </c>
      <c r="F641" s="10"/>
      <c r="G641" s="10"/>
      <c r="H641" s="10"/>
      <c r="I641" s="38">
        <f>SUM(F641:H641)</f>
        <v>0</v>
      </c>
      <c r="J641" s="10"/>
      <c r="K641" s="10"/>
      <c r="L641" s="10"/>
      <c r="M641" s="38">
        <f>SUM(J641:L641)</f>
        <v>0</v>
      </c>
      <c r="N641" s="10"/>
      <c r="O641" s="10"/>
      <c r="P641" s="10"/>
      <c r="Q641" s="38">
        <f>SUM(N641:P641)</f>
        <v>0</v>
      </c>
      <c r="R641" s="38">
        <f>+E641+I641+M641+Q641</f>
        <v>0</v>
      </c>
    </row>
    <row r="642" spans="1:18" ht="15.75" customHeight="1" x14ac:dyDescent="0.3">
      <c r="A642" s="234" t="s">
        <v>2161</v>
      </c>
      <c r="B642" s="172"/>
      <c r="C642" s="172"/>
      <c r="D642" s="172"/>
      <c r="E642" s="38" t="s">
        <v>852</v>
      </c>
      <c r="F642" s="172"/>
      <c r="G642" s="172"/>
      <c r="H642" s="172"/>
      <c r="I642" s="38" t="s">
        <v>852</v>
      </c>
      <c r="J642" s="172"/>
      <c r="K642" s="172"/>
      <c r="L642" s="172"/>
      <c r="M642" s="38" t="s">
        <v>852</v>
      </c>
      <c r="N642" s="172"/>
      <c r="O642" s="172"/>
      <c r="P642" s="172"/>
      <c r="Q642" s="38" t="s">
        <v>852</v>
      </c>
      <c r="R642" s="38" t="s">
        <v>852</v>
      </c>
    </row>
    <row r="643" spans="1:18" ht="15.75" customHeight="1" x14ac:dyDescent="0.3">
      <c r="A643" s="234" t="s">
        <v>3245</v>
      </c>
      <c r="B643" s="172"/>
      <c r="C643" s="172"/>
      <c r="D643" s="172"/>
      <c r="E643" s="38" t="s">
        <v>852</v>
      </c>
      <c r="F643" s="172"/>
      <c r="G643" s="172"/>
      <c r="H643" s="172"/>
      <c r="I643" s="38" t="s">
        <v>852</v>
      </c>
      <c r="J643" s="172"/>
      <c r="K643" s="172"/>
      <c r="L643" s="172"/>
      <c r="M643" s="38" t="s">
        <v>852</v>
      </c>
      <c r="N643" s="172"/>
      <c r="O643" s="172"/>
      <c r="P643" s="172"/>
      <c r="Q643" s="38" t="s">
        <v>852</v>
      </c>
      <c r="R643" s="38" t="s">
        <v>852</v>
      </c>
    </row>
    <row r="644" spans="1:18" ht="15.75" customHeight="1" thickBot="1" x14ac:dyDescent="0.35">
      <c r="A644" s="234" t="s">
        <v>2164</v>
      </c>
      <c r="B644" s="172"/>
      <c r="C644" s="172"/>
      <c r="D644" s="172"/>
      <c r="E644" s="38" t="s">
        <v>852</v>
      </c>
      <c r="F644" s="172"/>
      <c r="G644" s="172"/>
      <c r="H644" s="172"/>
      <c r="I644" s="38" t="s">
        <v>852</v>
      </c>
      <c r="J644" s="172"/>
      <c r="K644" s="172"/>
      <c r="L644" s="172"/>
      <c r="M644" s="38" t="s">
        <v>852</v>
      </c>
      <c r="N644" s="172"/>
      <c r="O644" s="172"/>
      <c r="P644" s="172"/>
      <c r="Q644" s="38" t="s">
        <v>852</v>
      </c>
      <c r="R644" s="38" t="s">
        <v>852</v>
      </c>
    </row>
    <row r="645" spans="1:18" ht="16.5" customHeight="1" thickBot="1" x14ac:dyDescent="0.35">
      <c r="A645" s="276" t="s">
        <v>1218</v>
      </c>
      <c r="B645" s="45">
        <f>SUM(B637:B644)</f>
        <v>303</v>
      </c>
      <c r="C645" s="46">
        <f>SUM(C637:C644)</f>
        <v>495</v>
      </c>
      <c r="D645" s="46">
        <f>SUM(D637:D644)</f>
        <v>902</v>
      </c>
      <c r="E645" s="37">
        <f>SUM(B645:D645)</f>
        <v>1700</v>
      </c>
      <c r="F645" s="46">
        <f>SUM(F637:F644)</f>
        <v>1016</v>
      </c>
      <c r="G645" s="46">
        <f>SUM(G637:G644)</f>
        <v>1997</v>
      </c>
      <c r="H645" s="46">
        <f>SUM(H637:H644)</f>
        <v>608</v>
      </c>
      <c r="I645" s="37">
        <f>SUM(F645:H645)</f>
        <v>3621</v>
      </c>
      <c r="J645" s="46">
        <f>SUM(J637:J644)</f>
        <v>1501</v>
      </c>
      <c r="K645" s="46">
        <f>SUM(K637:K644)</f>
        <v>850</v>
      </c>
      <c r="L645" s="46">
        <f>SUM(L637:L644)</f>
        <v>1217</v>
      </c>
      <c r="M645" s="37">
        <f>SUM(J645:L645)</f>
        <v>3568</v>
      </c>
      <c r="N645" s="46">
        <f>SUM(N637:N644)</f>
        <v>896</v>
      </c>
      <c r="O645" s="46">
        <f>SUM(O637:O644)</f>
        <v>99</v>
      </c>
      <c r="P645" s="46">
        <f>SUM(P637:P644)</f>
        <v>0</v>
      </c>
      <c r="Q645" s="37">
        <f>SUM(N645:P645)</f>
        <v>995</v>
      </c>
      <c r="R645" s="37">
        <f>+E645+I645+M645+Q645</f>
        <v>9884</v>
      </c>
    </row>
    <row r="646" spans="1:18" ht="15.75" customHeight="1" x14ac:dyDescent="0.3">
      <c r="A646" s="234" t="s">
        <v>1172</v>
      </c>
      <c r="B646" s="172"/>
      <c r="C646" s="172"/>
      <c r="D646" s="172"/>
      <c r="E646" s="38" t="s">
        <v>852</v>
      </c>
      <c r="F646" s="172"/>
      <c r="G646" s="172"/>
      <c r="H646" s="172"/>
      <c r="I646" s="38" t="s">
        <v>852</v>
      </c>
      <c r="J646" s="172"/>
      <c r="K646" s="172"/>
      <c r="L646" s="172"/>
      <c r="M646" s="38" t="s">
        <v>852</v>
      </c>
      <c r="N646" s="172"/>
      <c r="O646" s="172"/>
      <c r="P646" s="172"/>
      <c r="Q646" s="38" t="s">
        <v>852</v>
      </c>
      <c r="R646" s="38" t="s">
        <v>852</v>
      </c>
    </row>
    <row r="647" spans="1:18" ht="15.75" customHeight="1" x14ac:dyDescent="0.3">
      <c r="A647" s="234" t="s">
        <v>2409</v>
      </c>
      <c r="B647" s="172"/>
      <c r="C647" s="172"/>
      <c r="D647" s="172"/>
      <c r="E647" s="38" t="s">
        <v>852</v>
      </c>
      <c r="F647" s="172"/>
      <c r="G647" s="172"/>
      <c r="H647" s="172"/>
      <c r="I647" s="38" t="s">
        <v>852</v>
      </c>
      <c r="J647" s="172"/>
      <c r="K647" s="172"/>
      <c r="L647" s="172"/>
      <c r="M647" s="38" t="s">
        <v>852</v>
      </c>
      <c r="N647" s="172"/>
      <c r="O647" s="172"/>
      <c r="P647" s="172"/>
      <c r="Q647" s="38" t="s">
        <v>852</v>
      </c>
      <c r="R647" s="38" t="s">
        <v>852</v>
      </c>
    </row>
    <row r="648" spans="1:18" ht="15.75" customHeight="1" thickBot="1" x14ac:dyDescent="0.35">
      <c r="A648" s="234" t="s">
        <v>2165</v>
      </c>
      <c r="B648" s="172"/>
      <c r="C648" s="172"/>
      <c r="D648" s="172"/>
      <c r="E648" s="38" t="s">
        <v>852</v>
      </c>
      <c r="F648" s="172"/>
      <c r="G648" s="172"/>
      <c r="H648" s="172"/>
      <c r="I648" s="38" t="s">
        <v>852</v>
      </c>
      <c r="J648" s="172"/>
      <c r="K648" s="172"/>
      <c r="L648" s="172"/>
      <c r="M648" s="38" t="s">
        <v>852</v>
      </c>
      <c r="N648" s="172"/>
      <c r="O648" s="172"/>
      <c r="P648" s="172"/>
      <c r="Q648" s="38" t="s">
        <v>852</v>
      </c>
      <c r="R648" s="38" t="s">
        <v>852</v>
      </c>
    </row>
    <row r="649" spans="1:18" ht="16.5" customHeight="1" thickBot="1" x14ac:dyDescent="0.35">
      <c r="A649" s="43" t="s">
        <v>1219</v>
      </c>
      <c r="B649" s="45">
        <f>SUM(B646:B648)</f>
        <v>0</v>
      </c>
      <c r="C649" s="46">
        <f>SUM(C646:C648)</f>
        <v>0</v>
      </c>
      <c r="D649" s="46">
        <f>SUM(D646:D648)</f>
        <v>0</v>
      </c>
      <c r="E649" s="37">
        <f>SUM(B649:D649)</f>
        <v>0</v>
      </c>
      <c r="F649" s="46">
        <f>SUM(F646:F648)</f>
        <v>0</v>
      </c>
      <c r="G649" s="46">
        <f>SUM(G646:G648)</f>
        <v>0</v>
      </c>
      <c r="H649" s="46">
        <f>SUM(H646:H648)</f>
        <v>0</v>
      </c>
      <c r="I649" s="37">
        <f>SUM(F649:H649)</f>
        <v>0</v>
      </c>
      <c r="J649" s="46">
        <f>SUM(J646:J648)</f>
        <v>0</v>
      </c>
      <c r="K649" s="46">
        <f>SUM(K646:K648)</f>
        <v>0</v>
      </c>
      <c r="L649" s="46">
        <f>SUM(L646:L648)</f>
        <v>0</v>
      </c>
      <c r="M649" s="37">
        <f>SUM(J649:L649)</f>
        <v>0</v>
      </c>
      <c r="N649" s="46">
        <f>SUM(N646:N648)</f>
        <v>0</v>
      </c>
      <c r="O649" s="46">
        <f>SUM(O646:O648)</f>
        <v>0</v>
      </c>
      <c r="P649" s="46">
        <f>SUM(P646:P648)</f>
        <v>0</v>
      </c>
      <c r="Q649" s="37">
        <f>SUM(N649:P649)</f>
        <v>0</v>
      </c>
      <c r="R649" s="37">
        <f>+E649+I649+M649+Q649</f>
        <v>0</v>
      </c>
    </row>
    <row r="650" spans="1:18" ht="15.75" customHeight="1" x14ac:dyDescent="0.3">
      <c r="A650" s="234" t="s">
        <v>2166</v>
      </c>
      <c r="B650" s="172"/>
      <c r="C650" s="172"/>
      <c r="D650" s="172"/>
      <c r="E650" s="38" t="s">
        <v>852</v>
      </c>
      <c r="F650" s="172"/>
      <c r="G650" s="172"/>
      <c r="H650" s="172"/>
      <c r="I650" s="38" t="s">
        <v>852</v>
      </c>
      <c r="J650" s="172"/>
      <c r="K650" s="172"/>
      <c r="L650" s="172"/>
      <c r="M650" s="38" t="s">
        <v>852</v>
      </c>
      <c r="N650" s="172"/>
      <c r="O650" s="172"/>
      <c r="P650" s="172"/>
      <c r="Q650" s="38" t="s">
        <v>852</v>
      </c>
      <c r="R650" s="38" t="s">
        <v>852</v>
      </c>
    </row>
    <row r="651" spans="1:18" ht="15.75" customHeight="1" x14ac:dyDescent="0.3">
      <c r="A651" s="234" t="s">
        <v>1245</v>
      </c>
      <c r="B651" s="172"/>
      <c r="C651" s="172"/>
      <c r="D651" s="172"/>
      <c r="E651" s="38" t="s">
        <v>852</v>
      </c>
      <c r="F651" s="172"/>
      <c r="G651" s="172"/>
      <c r="H651" s="172"/>
      <c r="I651" s="38" t="s">
        <v>852</v>
      </c>
      <c r="J651" s="172"/>
      <c r="K651" s="172"/>
      <c r="L651" s="172"/>
      <c r="M651" s="38" t="s">
        <v>852</v>
      </c>
      <c r="N651" s="172"/>
      <c r="O651" s="172"/>
      <c r="P651" s="172"/>
      <c r="Q651" s="38" t="s">
        <v>852</v>
      </c>
      <c r="R651" s="38" t="s">
        <v>852</v>
      </c>
    </row>
    <row r="652" spans="1:18" ht="15.75" customHeight="1" thickBot="1" x14ac:dyDescent="0.35">
      <c r="A652" s="234" t="s">
        <v>1711</v>
      </c>
      <c r="B652" s="172"/>
      <c r="C652" s="172"/>
      <c r="D652" s="172"/>
      <c r="E652" s="38" t="s">
        <v>852</v>
      </c>
      <c r="F652" s="172"/>
      <c r="G652" s="172"/>
      <c r="H652" s="172"/>
      <c r="I652" s="38" t="s">
        <v>852</v>
      </c>
      <c r="J652" s="172"/>
      <c r="K652" s="172"/>
      <c r="L652" s="172"/>
      <c r="M652" s="38" t="s">
        <v>852</v>
      </c>
      <c r="N652" s="172"/>
      <c r="O652" s="172"/>
      <c r="P652" s="172"/>
      <c r="Q652" s="38" t="s">
        <v>852</v>
      </c>
      <c r="R652" s="38" t="s">
        <v>852</v>
      </c>
    </row>
    <row r="653" spans="1:18" ht="16.5" customHeight="1" thickBot="1" x14ac:dyDescent="0.35">
      <c r="A653" s="277" t="s">
        <v>1220</v>
      </c>
      <c r="B653" s="45">
        <f>SUM(B650:B652)</f>
        <v>0</v>
      </c>
      <c r="C653" s="46">
        <f>SUM(C650:C652)</f>
        <v>0</v>
      </c>
      <c r="D653" s="46">
        <f>SUM(D650:D652)</f>
        <v>0</v>
      </c>
      <c r="E653" s="37">
        <f>SUM(B653:D653)</f>
        <v>0</v>
      </c>
      <c r="F653" s="46">
        <f>SUM(F650:F652)</f>
        <v>0</v>
      </c>
      <c r="G653" s="46">
        <f>SUM(G650:G652)</f>
        <v>0</v>
      </c>
      <c r="H653" s="46">
        <f>SUM(H650:H652)</f>
        <v>0</v>
      </c>
      <c r="I653" s="37">
        <f>SUM(F653:H653)</f>
        <v>0</v>
      </c>
      <c r="J653" s="46">
        <f>SUM(J650:J652)</f>
        <v>0</v>
      </c>
      <c r="K653" s="46">
        <f>SUM(K650:K652)</f>
        <v>0</v>
      </c>
      <c r="L653" s="46">
        <f>SUM(L650:L652)</f>
        <v>0</v>
      </c>
      <c r="M653" s="37">
        <f>SUM(J653:L653)</f>
        <v>0</v>
      </c>
      <c r="N653" s="46">
        <f>SUM(N650:N652)</f>
        <v>0</v>
      </c>
      <c r="O653" s="46">
        <f>SUM(O650:O652)</f>
        <v>0</v>
      </c>
      <c r="P653" s="46">
        <f>SUM(P650:P652)</f>
        <v>0</v>
      </c>
      <c r="Q653" s="37">
        <f>SUM(N653:P653)</f>
        <v>0</v>
      </c>
      <c r="R653" s="37">
        <f>+E653+I653+M653+Q653</f>
        <v>0</v>
      </c>
    </row>
    <row r="654" spans="1:18" ht="15.75" customHeight="1" x14ac:dyDescent="0.3">
      <c r="A654" s="234" t="s">
        <v>1712</v>
      </c>
      <c r="B654" s="172"/>
      <c r="C654" s="172"/>
      <c r="D654" s="172"/>
      <c r="E654" s="38" t="s">
        <v>852</v>
      </c>
      <c r="F654" s="172"/>
      <c r="G654" s="172"/>
      <c r="H654" s="172"/>
      <c r="I654" s="38" t="s">
        <v>852</v>
      </c>
      <c r="J654" s="172"/>
      <c r="K654" s="172"/>
      <c r="L654" s="172"/>
      <c r="M654" s="38" t="s">
        <v>852</v>
      </c>
      <c r="N654" s="172"/>
      <c r="O654" s="172"/>
      <c r="P654" s="172"/>
      <c r="Q654" s="38" t="s">
        <v>852</v>
      </c>
      <c r="R654" s="38" t="s">
        <v>852</v>
      </c>
    </row>
    <row r="655" spans="1:18" ht="15.75" customHeight="1" x14ac:dyDescent="0.3">
      <c r="A655" s="234" t="s">
        <v>1021</v>
      </c>
      <c r="B655" s="172"/>
      <c r="C655" s="172"/>
      <c r="D655" s="172"/>
      <c r="E655" s="38" t="s">
        <v>852</v>
      </c>
      <c r="F655" s="172"/>
      <c r="G655" s="172"/>
      <c r="H655" s="172"/>
      <c r="I655" s="38" t="s">
        <v>852</v>
      </c>
      <c r="J655" s="172"/>
      <c r="K655" s="172"/>
      <c r="L655" s="172"/>
      <c r="M655" s="38" t="s">
        <v>852</v>
      </c>
      <c r="N655" s="172"/>
      <c r="O655" s="172"/>
      <c r="P655" s="172"/>
      <c r="Q655" s="38" t="s">
        <v>852</v>
      </c>
      <c r="R655" s="38" t="s">
        <v>852</v>
      </c>
    </row>
    <row r="656" spans="1:18" ht="15.75" customHeight="1" x14ac:dyDescent="0.3">
      <c r="A656" s="234" t="s">
        <v>557</v>
      </c>
      <c r="B656" s="172"/>
      <c r="C656" s="172"/>
      <c r="D656" s="172"/>
      <c r="E656" s="38" t="s">
        <v>852</v>
      </c>
      <c r="F656" s="172"/>
      <c r="G656" s="172"/>
      <c r="H656" s="172"/>
      <c r="I656" s="38" t="s">
        <v>852</v>
      </c>
      <c r="J656" s="172"/>
      <c r="K656" s="172"/>
      <c r="L656" s="172"/>
      <c r="M656" s="38" t="s">
        <v>852</v>
      </c>
      <c r="N656" s="172"/>
      <c r="O656" s="172"/>
      <c r="P656" s="172"/>
      <c r="Q656" s="38" t="s">
        <v>852</v>
      </c>
      <c r="R656" s="38" t="s">
        <v>852</v>
      </c>
    </row>
    <row r="657" spans="1:18" ht="15.75" customHeight="1" x14ac:dyDescent="0.3">
      <c r="A657" s="539" t="s">
        <v>2584</v>
      </c>
      <c r="B657" s="172"/>
      <c r="C657" s="172"/>
      <c r="D657" s="172"/>
      <c r="E657" s="38">
        <f>SUM(B657:D657)</f>
        <v>0</v>
      </c>
      <c r="F657" s="172"/>
      <c r="G657" s="172"/>
      <c r="H657" s="172"/>
      <c r="I657" s="38">
        <f>SUM(F657:H657)</f>
        <v>0</v>
      </c>
      <c r="J657" s="172"/>
      <c r="K657" s="172"/>
      <c r="L657" s="172"/>
      <c r="M657" s="38">
        <f>SUM(J657:L657)</f>
        <v>0</v>
      </c>
      <c r="N657" s="172"/>
      <c r="O657" s="172"/>
      <c r="P657" s="172"/>
      <c r="Q657" s="38">
        <f>SUM(N657:P657)</f>
        <v>0</v>
      </c>
      <c r="R657" s="38">
        <f>+E657+I657+M657+Q657</f>
        <v>0</v>
      </c>
    </row>
    <row r="658" spans="1:18" ht="15.75" customHeight="1" x14ac:dyDescent="0.3">
      <c r="A658" s="234" t="s">
        <v>1022</v>
      </c>
      <c r="B658" s="172"/>
      <c r="C658" s="172"/>
      <c r="D658" s="172"/>
      <c r="E658" s="38" t="s">
        <v>852</v>
      </c>
      <c r="F658" s="172"/>
      <c r="G658" s="172"/>
      <c r="H658" s="172"/>
      <c r="I658" s="38" t="s">
        <v>852</v>
      </c>
      <c r="J658" s="172"/>
      <c r="K658" s="172"/>
      <c r="L658" s="172"/>
      <c r="M658" s="38" t="s">
        <v>852</v>
      </c>
      <c r="N658" s="172"/>
      <c r="O658" s="172"/>
      <c r="P658" s="172"/>
      <c r="Q658" s="38" t="s">
        <v>852</v>
      </c>
      <c r="R658" s="38" t="s">
        <v>852</v>
      </c>
    </row>
    <row r="659" spans="1:18" ht="15.75" customHeight="1" thickBot="1" x14ac:dyDescent="0.35">
      <c r="A659" s="234" t="s">
        <v>559</v>
      </c>
      <c r="B659" s="172"/>
      <c r="C659" s="172"/>
      <c r="D659" s="172"/>
      <c r="E659" s="38" t="s">
        <v>852</v>
      </c>
      <c r="F659" s="172"/>
      <c r="G659" s="172"/>
      <c r="H659" s="172"/>
      <c r="I659" s="38" t="s">
        <v>852</v>
      </c>
      <c r="J659" s="172"/>
      <c r="K659" s="172"/>
      <c r="L659" s="172"/>
      <c r="M659" s="38" t="s">
        <v>852</v>
      </c>
      <c r="N659" s="172"/>
      <c r="O659" s="172"/>
      <c r="P659" s="172"/>
      <c r="Q659" s="38" t="s">
        <v>852</v>
      </c>
      <c r="R659" s="38" t="s">
        <v>852</v>
      </c>
    </row>
    <row r="660" spans="1:18" ht="16.5" customHeight="1" thickBot="1" x14ac:dyDescent="0.35">
      <c r="A660" s="43" t="s">
        <v>1019</v>
      </c>
      <c r="B660" s="42">
        <f>SUM(B658:B659)</f>
        <v>0</v>
      </c>
      <c r="C660" s="42">
        <f>SUM(C658:C659)</f>
        <v>0</v>
      </c>
      <c r="D660" s="42">
        <f>SUM(D658:D659)</f>
        <v>0</v>
      </c>
      <c r="E660" s="39">
        <f>SUM(B660:D660)</f>
        <v>0</v>
      </c>
      <c r="F660" s="42">
        <f>SUM(F658:F659)</f>
        <v>0</v>
      </c>
      <c r="G660" s="42">
        <f>SUM(G658:G659)</f>
        <v>0</v>
      </c>
      <c r="H660" s="42">
        <f>SUM(H658:H659)</f>
        <v>0</v>
      </c>
      <c r="I660" s="39">
        <f>SUM(F660:H660)</f>
        <v>0</v>
      </c>
      <c r="J660" s="42">
        <f>SUM(J658:J659)</f>
        <v>0</v>
      </c>
      <c r="K660" s="42">
        <f>SUM(K658:K659)</f>
        <v>0</v>
      </c>
      <c r="L660" s="42">
        <f>SUM(L658:L659)</f>
        <v>0</v>
      </c>
      <c r="M660" s="39">
        <f>SUM(J660:L660)</f>
        <v>0</v>
      </c>
      <c r="N660" s="42">
        <f>SUM(N658:N659)</f>
        <v>0</v>
      </c>
      <c r="O660" s="42">
        <f>SUM(O658:O659)</f>
        <v>0</v>
      </c>
      <c r="P660" s="42">
        <f>SUM(P658:P659)</f>
        <v>0</v>
      </c>
      <c r="Q660" s="39">
        <f>SUM(N660:P660)</f>
        <v>0</v>
      </c>
      <c r="R660" s="37">
        <f>+E660+I660+M660+Q660</f>
        <v>0</v>
      </c>
    </row>
    <row r="661" spans="1:18" ht="16.5" customHeight="1" thickBot="1" x14ac:dyDescent="0.35">
      <c r="A661" s="277" t="s">
        <v>1221</v>
      </c>
      <c r="B661" s="45">
        <f>SUM(B654:B659)</f>
        <v>0</v>
      </c>
      <c r="C661" s="46">
        <f>SUM(C654:C659)</f>
        <v>0</v>
      </c>
      <c r="D661" s="58">
        <f>SUM(D654:D659)</f>
        <v>0</v>
      </c>
      <c r="E661" s="39">
        <f>SUM(B661:D661)</f>
        <v>0</v>
      </c>
      <c r="F661" s="46">
        <f>SUM(F654:F659)</f>
        <v>0</v>
      </c>
      <c r="G661" s="46">
        <f>SUM(G654:G659)</f>
        <v>0</v>
      </c>
      <c r="H661" s="46">
        <f>SUM(H654:H659)</f>
        <v>0</v>
      </c>
      <c r="I661" s="39">
        <f>SUM(F661:H661)</f>
        <v>0</v>
      </c>
      <c r="J661" s="46">
        <f>SUM(J654:J659)</f>
        <v>0</v>
      </c>
      <c r="K661" s="46">
        <f>SUM(K654:K659)</f>
        <v>0</v>
      </c>
      <c r="L661" s="46">
        <f>SUM(L654:L659)</f>
        <v>0</v>
      </c>
      <c r="M661" s="39">
        <f>SUM(J661:L661)</f>
        <v>0</v>
      </c>
      <c r="N661" s="46">
        <f>SUM(N654:N659)</f>
        <v>0</v>
      </c>
      <c r="O661" s="46">
        <f>SUM(O654:O659)</f>
        <v>0</v>
      </c>
      <c r="P661" s="46">
        <f>SUM(P654:P659)</f>
        <v>0</v>
      </c>
      <c r="Q661" s="39">
        <f>SUM(N661:P661)</f>
        <v>0</v>
      </c>
      <c r="R661" s="37">
        <f>+E661+I661+M661+Q661</f>
        <v>0</v>
      </c>
    </row>
    <row r="662" spans="1:18" ht="16.5" customHeight="1" thickBot="1" x14ac:dyDescent="0.35">
      <c r="A662" s="43" t="s">
        <v>1222</v>
      </c>
      <c r="B662" s="47">
        <f>+B645+B649+B653+B661</f>
        <v>303</v>
      </c>
      <c r="C662" s="42">
        <f>+C645+C649+C653+C661</f>
        <v>495</v>
      </c>
      <c r="D662" s="42">
        <f>+D645+D649+D653+D661</f>
        <v>902</v>
      </c>
      <c r="E662" s="37">
        <f>SUM(B662:D662)</f>
        <v>1700</v>
      </c>
      <c r="F662" s="42">
        <f>+F645+F649+F653+F661</f>
        <v>1016</v>
      </c>
      <c r="G662" s="42">
        <f>+G645+G649+G653+G661</f>
        <v>1997</v>
      </c>
      <c r="H662" s="42">
        <f>+H645+H649+H653+H661</f>
        <v>608</v>
      </c>
      <c r="I662" s="37">
        <f>SUM(F662:H662)</f>
        <v>3621</v>
      </c>
      <c r="J662" s="42">
        <f>+J645+J649+J653+J661</f>
        <v>1501</v>
      </c>
      <c r="K662" s="42">
        <f>+K645+K649+K653+K661</f>
        <v>850</v>
      </c>
      <c r="L662" s="42">
        <f>+L645+L649+L653+L661</f>
        <v>1217</v>
      </c>
      <c r="M662" s="37">
        <f>SUM(J662:L662)</f>
        <v>3568</v>
      </c>
      <c r="N662" s="42">
        <f>+N645+N649+N653+N661</f>
        <v>896</v>
      </c>
      <c r="O662" s="42">
        <f>+O645+O649+O653+O661</f>
        <v>99</v>
      </c>
      <c r="P662" s="42">
        <f>+P645+P649+P653+P661</f>
        <v>0</v>
      </c>
      <c r="Q662" s="37">
        <f>SUM(N662:P662)</f>
        <v>995</v>
      </c>
      <c r="R662" s="40">
        <f>+E662+I662+M662+Q662</f>
        <v>9884</v>
      </c>
    </row>
    <row r="663" spans="1:18" ht="16.5" customHeight="1" thickBot="1" x14ac:dyDescent="0.35">
      <c r="A663" s="244" t="s">
        <v>853</v>
      </c>
      <c r="B663" s="238">
        <v>10</v>
      </c>
      <c r="C663" s="238">
        <v>11</v>
      </c>
      <c r="D663" s="238">
        <v>14</v>
      </c>
      <c r="E663" s="38">
        <f>SUM(B663:D663)</f>
        <v>35</v>
      </c>
      <c r="F663" s="238">
        <v>18</v>
      </c>
      <c r="G663" s="238">
        <v>21</v>
      </c>
      <c r="H663" s="238">
        <v>22</v>
      </c>
      <c r="I663" s="38">
        <f>SUM(F663:H663)</f>
        <v>61</v>
      </c>
      <c r="J663" s="238">
        <v>19</v>
      </c>
      <c r="K663" s="238">
        <v>17</v>
      </c>
      <c r="L663" s="238">
        <v>17</v>
      </c>
      <c r="M663" s="38">
        <f>SUM(J663:L663)</f>
        <v>53</v>
      </c>
      <c r="N663" s="238">
        <v>14</v>
      </c>
      <c r="O663" s="238">
        <v>11</v>
      </c>
      <c r="P663" s="238">
        <v>9</v>
      </c>
      <c r="Q663" s="38">
        <f>SUM(N663:P663)</f>
        <v>34</v>
      </c>
      <c r="R663" s="38">
        <f>+E663+I663+M663+Q663</f>
        <v>183</v>
      </c>
    </row>
    <row r="664" spans="1:18" ht="16.5" customHeight="1" thickBot="1" x14ac:dyDescent="0.35">
      <c r="A664" s="22"/>
      <c r="B664" s="242"/>
      <c r="C664" s="242"/>
      <c r="D664" s="242"/>
      <c r="E664" s="233"/>
      <c r="F664" s="242"/>
      <c r="G664" s="242"/>
      <c r="H664" s="242"/>
      <c r="I664" s="233"/>
      <c r="J664" s="242"/>
      <c r="K664" s="242"/>
      <c r="L664" s="242"/>
      <c r="M664" s="280"/>
      <c r="N664" s="242"/>
      <c r="O664" s="242"/>
      <c r="P664" s="242"/>
      <c r="Q664" s="280"/>
      <c r="R664" s="14"/>
    </row>
    <row r="665" spans="1:18" ht="15.75" customHeight="1" x14ac:dyDescent="0.3">
      <c r="A665" s="234" t="s">
        <v>120</v>
      </c>
      <c r="B665" s="172">
        <f>SUM(B662:B663)</f>
        <v>313</v>
      </c>
      <c r="C665" s="172">
        <f>SUM(C662:C663)</f>
        <v>506</v>
      </c>
      <c r="D665" s="172">
        <f>SUM(D662:D663)</f>
        <v>916</v>
      </c>
      <c r="E665" s="38">
        <f>SUM(B665:D665)</f>
        <v>1735</v>
      </c>
      <c r="F665" s="172">
        <f>SUM(F662:F663)</f>
        <v>1034</v>
      </c>
      <c r="G665" s="172">
        <f>SUM(G662:G663)</f>
        <v>2018</v>
      </c>
      <c r="H665" s="172">
        <f>SUM(H662:H663)</f>
        <v>630</v>
      </c>
      <c r="I665" s="39">
        <f>SUM(F665:H665)</f>
        <v>3682</v>
      </c>
      <c r="J665" s="172">
        <f>SUM(J662:J663)</f>
        <v>1520</v>
      </c>
      <c r="K665" s="172">
        <f>SUM(K662:K663)</f>
        <v>867</v>
      </c>
      <c r="L665" s="172">
        <f>SUM(L662:L663)</f>
        <v>1234</v>
      </c>
      <c r="M665" s="39">
        <f>SUM(J665:L665)</f>
        <v>3621</v>
      </c>
      <c r="N665" s="172">
        <f>SUM(N662:N663)</f>
        <v>910</v>
      </c>
      <c r="O665" s="172">
        <f>SUM(O662:O663)</f>
        <v>110</v>
      </c>
      <c r="P665" s="172">
        <f>SUM(P662:P663)</f>
        <v>9</v>
      </c>
      <c r="Q665" s="39">
        <f>SUM(N665:P665)</f>
        <v>1029</v>
      </c>
      <c r="R665" s="39">
        <f>+E665+I665+M665+Q665</f>
        <v>10067</v>
      </c>
    </row>
    <row r="666" spans="1:18" ht="15.75" customHeight="1" x14ac:dyDescent="0.3">
      <c r="A666" s="234" t="s">
        <v>1897</v>
      </c>
      <c r="B666" s="172">
        <f>(B665/B10)/1.983</f>
        <v>5.0916662599840583</v>
      </c>
      <c r="C666" s="172">
        <f>(C665/C10)/1.983</f>
        <v>9.113176284129386</v>
      </c>
      <c r="D666" s="172">
        <f>(D665/D10)/1.983</f>
        <v>14.900850780017242</v>
      </c>
      <c r="E666" s="38" t="s">
        <v>852</v>
      </c>
      <c r="F666" s="172">
        <f>(F665/F10)/1.983</f>
        <v>17.381072449151119</v>
      </c>
      <c r="G666" s="172">
        <f>(G665/G10)/1.983</f>
        <v>32.827420168203922</v>
      </c>
      <c r="H666" s="172">
        <f>(H665/H10)/1.983</f>
        <v>10.59001512859304</v>
      </c>
      <c r="I666" s="38" t="s">
        <v>852</v>
      </c>
      <c r="J666" s="172">
        <f>(J665/J10)/1.983</f>
        <v>24.726302604395425</v>
      </c>
      <c r="K666" s="172">
        <f>(K665/K10)/1.983</f>
        <v>14.103752867112391</v>
      </c>
      <c r="L666" s="172">
        <f>(L665/L10)/1.983</f>
        <v>20.742982013783827</v>
      </c>
      <c r="M666" s="38" t="s">
        <v>852</v>
      </c>
      <c r="N666" s="172">
        <f>(N665/N10)/1.983</f>
        <v>14.80324695394726</v>
      </c>
      <c r="O666" s="172">
        <f>(O665/O10)/1.983</f>
        <v>1.849050260547991</v>
      </c>
      <c r="P666" s="172">
        <f>(P665/P10)/1.983</f>
        <v>0.14640573910497293</v>
      </c>
      <c r="Q666" s="38" t="s">
        <v>852</v>
      </c>
      <c r="R666" s="38" t="s">
        <v>852</v>
      </c>
    </row>
    <row r="667" spans="1:18" ht="15.75" customHeight="1" x14ac:dyDescent="0.3">
      <c r="A667" s="234" t="s">
        <v>1334</v>
      </c>
      <c r="B667" s="172">
        <f>B665+B715</f>
        <v>14444</v>
      </c>
      <c r="C667" s="172">
        <f>C665+C715</f>
        <v>11382</v>
      </c>
      <c r="D667" s="172">
        <f>D665+D715</f>
        <v>20106</v>
      </c>
      <c r="E667" s="38">
        <f>SUM(B667:D667)</f>
        <v>45932</v>
      </c>
      <c r="F667" s="172">
        <f>F665+F715</f>
        <v>19477</v>
      </c>
      <c r="G667" s="172">
        <f>G665+G715</f>
        <v>19800</v>
      </c>
      <c r="H667" s="172">
        <f>H665+H715</f>
        <v>21364</v>
      </c>
      <c r="I667" s="38">
        <f>SUM(F667:H667)</f>
        <v>60641</v>
      </c>
      <c r="J667" s="172">
        <f>J665+J715</f>
        <v>21678</v>
      </c>
      <c r="K667" s="172">
        <f>K665+K715</f>
        <v>21645</v>
      </c>
      <c r="L667" s="172">
        <f>L665+L715</f>
        <v>19059</v>
      </c>
      <c r="M667" s="38">
        <f>SUM(J667:L667)</f>
        <v>62382</v>
      </c>
      <c r="N667" s="172">
        <f>N665+N715</f>
        <v>7049</v>
      </c>
      <c r="O667" s="172">
        <f>O665+O715</f>
        <v>1371</v>
      </c>
      <c r="P667" s="172">
        <f>P665+P715</f>
        <v>7115</v>
      </c>
      <c r="Q667" s="38">
        <f>SUM(N667:P667)</f>
        <v>15535</v>
      </c>
      <c r="R667" s="38">
        <f>+E667+I667+M667+Q667</f>
        <v>184490</v>
      </c>
    </row>
    <row r="668" spans="1:18" ht="16.5" customHeight="1" thickBot="1" x14ac:dyDescent="0.35">
      <c r="A668" s="237" t="s">
        <v>1335</v>
      </c>
      <c r="B668" s="238">
        <f>(B667/B10)/1.983</f>
        <v>234.96494395913652</v>
      </c>
      <c r="C668" s="238">
        <f>(C667/C10)/1.983</f>
        <v>204.99243570347957</v>
      </c>
      <c r="D668" s="238">
        <f>(D667/D10)/1.983</f>
        <v>327.07042116050951</v>
      </c>
      <c r="E668" s="40" t="s">
        <v>852</v>
      </c>
      <c r="F668" s="238">
        <f>(F667/F10)/1.983</f>
        <v>327.39956295175659</v>
      </c>
      <c r="G668" s="238">
        <f>(G667/G10)/1.983</f>
        <v>322.09262603094044</v>
      </c>
      <c r="H668" s="238">
        <f>(H667/H10)/1.983</f>
        <v>359.11917969406619</v>
      </c>
      <c r="I668" s="40" t="s">
        <v>852</v>
      </c>
      <c r="J668" s="238">
        <f>(J667/J10)/1.983</f>
        <v>352.64262359084472</v>
      </c>
      <c r="K668" s="238">
        <f>(K667/K10)/1.983</f>
        <v>352.10580254745986</v>
      </c>
      <c r="L668" s="238">
        <f>(L667/L10)/1.983</f>
        <v>320.37317196167419</v>
      </c>
      <c r="M668" s="40" t="s">
        <v>852</v>
      </c>
      <c r="N668" s="238">
        <f>(N667/N10)/1.983</f>
        <v>114.66822832788378</v>
      </c>
      <c r="O668" s="238">
        <f>(O667/O10)/1.983</f>
        <v>23.045890065557238</v>
      </c>
      <c r="P668" s="238">
        <f>(P667/P10)/1.983</f>
        <v>115.74187041465359</v>
      </c>
      <c r="Q668" s="40" t="s">
        <v>852</v>
      </c>
      <c r="R668" s="40" t="s">
        <v>852</v>
      </c>
    </row>
    <row r="669" spans="1:18" ht="15.75" customHeight="1" x14ac:dyDescent="0.3">
      <c r="A669" s="17"/>
      <c r="B669" s="172"/>
      <c r="C669" s="172"/>
      <c r="D669" s="172"/>
      <c r="E669" s="172"/>
      <c r="F669" s="172"/>
      <c r="G669" s="172"/>
      <c r="H669" s="172"/>
      <c r="I669" s="172"/>
      <c r="J669" s="172"/>
      <c r="K669" s="172"/>
      <c r="L669" s="172"/>
      <c r="M669" s="172"/>
      <c r="N669" s="172"/>
      <c r="O669" s="172"/>
      <c r="P669" s="172"/>
      <c r="Q669" s="172"/>
      <c r="R669" s="17"/>
    </row>
    <row r="670" spans="1:18" ht="16.5" customHeight="1" thickBot="1" x14ac:dyDescent="0.35">
      <c r="A670" s="24"/>
      <c r="B670" s="238"/>
      <c r="C670" s="238"/>
      <c r="D670" s="238"/>
      <c r="E670" s="238"/>
      <c r="F670" s="238"/>
      <c r="G670" s="238"/>
      <c r="H670" s="238"/>
      <c r="I670" s="238"/>
      <c r="J670" s="238"/>
      <c r="K670" s="238"/>
      <c r="L670" s="238"/>
      <c r="M670" s="238"/>
      <c r="N670" s="238"/>
      <c r="O670" s="238"/>
      <c r="P670" s="238"/>
      <c r="Q670" s="238"/>
      <c r="R670" s="24"/>
    </row>
    <row r="671" spans="1:18" ht="15.75" customHeight="1" thickBot="1" x14ac:dyDescent="0.35">
      <c r="A671" s="274" t="s">
        <v>1772</v>
      </c>
      <c r="B671" s="25" t="s">
        <v>2090</v>
      </c>
      <c r="C671" s="26" t="s">
        <v>2091</v>
      </c>
      <c r="D671" s="26" t="s">
        <v>2234</v>
      </c>
      <c r="E671" s="33" t="s">
        <v>1594</v>
      </c>
      <c r="F671" s="26" t="s">
        <v>2235</v>
      </c>
      <c r="G671" s="26" t="s">
        <v>2236</v>
      </c>
      <c r="H671" s="26" t="s">
        <v>2237</v>
      </c>
      <c r="I671" s="33" t="s">
        <v>1595</v>
      </c>
      <c r="J671" s="26" t="s">
        <v>1504</v>
      </c>
      <c r="K671" s="26" t="s">
        <v>1505</v>
      </c>
      <c r="L671" s="26" t="s">
        <v>1506</v>
      </c>
      <c r="M671" s="33" t="s">
        <v>1596</v>
      </c>
      <c r="N671" s="26" t="s">
        <v>1507</v>
      </c>
      <c r="O671" s="26" t="s">
        <v>1508</v>
      </c>
      <c r="P671" s="26" t="s">
        <v>1509</v>
      </c>
      <c r="Q671" s="33" t="s">
        <v>1597</v>
      </c>
      <c r="R671" s="34" t="s">
        <v>1510</v>
      </c>
    </row>
    <row r="672" spans="1:18" ht="16.5" customHeight="1" thickBot="1" x14ac:dyDescent="0.35">
      <c r="A672" s="281"/>
      <c r="B672" s="232"/>
      <c r="C672" s="232"/>
      <c r="D672" s="232"/>
      <c r="E672" s="233"/>
      <c r="F672" s="232"/>
      <c r="G672" s="232"/>
      <c r="H672" s="232"/>
      <c r="I672" s="233"/>
      <c r="J672" s="232"/>
      <c r="K672" s="232"/>
      <c r="L672" s="232"/>
      <c r="M672" s="233"/>
      <c r="N672" s="232"/>
      <c r="O672" s="232"/>
      <c r="P672" s="232"/>
      <c r="Q672" s="233"/>
      <c r="R672" s="75"/>
    </row>
    <row r="673" spans="1:19" ht="15.75" customHeight="1" x14ac:dyDescent="0.3">
      <c r="A673" s="234" t="s">
        <v>2417</v>
      </c>
      <c r="B673" s="10" t="s">
        <v>852</v>
      </c>
      <c r="C673" s="10" t="s">
        <v>852</v>
      </c>
      <c r="D673" s="10" t="s">
        <v>852</v>
      </c>
      <c r="E673" s="38" t="s">
        <v>852</v>
      </c>
      <c r="F673" s="10" t="s">
        <v>852</v>
      </c>
      <c r="G673" s="10" t="s">
        <v>852</v>
      </c>
      <c r="H673" s="10" t="s">
        <v>852</v>
      </c>
      <c r="I673" s="38" t="s">
        <v>852</v>
      </c>
      <c r="J673" s="10" t="s">
        <v>852</v>
      </c>
      <c r="K673" s="10" t="s">
        <v>852</v>
      </c>
      <c r="L673" s="10" t="s">
        <v>852</v>
      </c>
      <c r="M673" s="38" t="s">
        <v>852</v>
      </c>
      <c r="N673" s="10" t="s">
        <v>852</v>
      </c>
      <c r="O673" s="10" t="s">
        <v>852</v>
      </c>
      <c r="P673" s="10" t="s">
        <v>852</v>
      </c>
      <c r="Q673" s="38" t="s">
        <v>852</v>
      </c>
      <c r="R673" s="38" t="s">
        <v>852</v>
      </c>
    </row>
    <row r="674" spans="1:19" ht="15.75" customHeight="1" x14ac:dyDescent="0.3">
      <c r="A674" s="234" t="s">
        <v>2160</v>
      </c>
      <c r="B674" s="10"/>
      <c r="C674" s="10"/>
      <c r="D674" s="10"/>
      <c r="E674" s="38" t="s">
        <v>852</v>
      </c>
      <c r="F674" s="10"/>
      <c r="G674" s="10"/>
      <c r="H674" s="10"/>
      <c r="I674" s="38" t="s">
        <v>852</v>
      </c>
      <c r="J674" s="10"/>
      <c r="K674" s="10"/>
      <c r="L674" s="10"/>
      <c r="M674" s="38" t="s">
        <v>852</v>
      </c>
      <c r="N674" s="10"/>
      <c r="O674" s="10"/>
      <c r="P674" s="10"/>
      <c r="Q674" s="38" t="s">
        <v>852</v>
      </c>
      <c r="R674" s="38" t="s">
        <v>852</v>
      </c>
    </row>
    <row r="675" spans="1:19" ht="15.75" customHeight="1" x14ac:dyDescent="0.3">
      <c r="A675" s="266" t="s">
        <v>2171</v>
      </c>
      <c r="B675" s="10">
        <v>5515</v>
      </c>
      <c r="C675" s="10">
        <v>4169</v>
      </c>
      <c r="D675" s="10">
        <v>7680</v>
      </c>
      <c r="E675" s="38">
        <f t="shared" ref="E675:E680" si="194">SUM(B675:D675)</f>
        <v>17364</v>
      </c>
      <c r="F675" s="10">
        <v>6052</v>
      </c>
      <c r="G675" s="10">
        <v>6048</v>
      </c>
      <c r="H675" s="10">
        <v>7364</v>
      </c>
      <c r="I675" s="38">
        <f t="shared" ref="I675:I680" si="195">SUM(F675:H675)</f>
        <v>19464</v>
      </c>
      <c r="J675" s="10">
        <v>7715</v>
      </c>
      <c r="K675" s="10">
        <v>7803</v>
      </c>
      <c r="L675" s="10">
        <v>6184</v>
      </c>
      <c r="M675" s="38">
        <f t="shared" ref="M675:M680" si="196">SUM(J675:L675)</f>
        <v>21702</v>
      </c>
      <c r="N675" s="10">
        <v>1059</v>
      </c>
      <c r="O675" s="10"/>
      <c r="P675" s="10"/>
      <c r="Q675" s="38">
        <f t="shared" ref="Q675:Q680" si="197">SUM(N675:P675)</f>
        <v>1059</v>
      </c>
      <c r="R675" s="38">
        <f t="shared" ref="R675:R680" si="198">+E675+I675+M675+Q675</f>
        <v>59589</v>
      </c>
    </row>
    <row r="676" spans="1:19" ht="15.75" customHeight="1" x14ac:dyDescent="0.3">
      <c r="A676" s="266" t="s">
        <v>2146</v>
      </c>
      <c r="B676" s="10">
        <v>709</v>
      </c>
      <c r="C676" s="10">
        <v>37</v>
      </c>
      <c r="D676" s="10">
        <v>1325</v>
      </c>
      <c r="E676" s="38">
        <f t="shared" si="194"/>
        <v>2071</v>
      </c>
      <c r="F676" s="10">
        <v>2547</v>
      </c>
      <c r="G676" s="10">
        <v>3240</v>
      </c>
      <c r="H676" s="10">
        <v>2975</v>
      </c>
      <c r="I676" s="38">
        <f t="shared" si="195"/>
        <v>8762</v>
      </c>
      <c r="J676" s="10">
        <v>3289</v>
      </c>
      <c r="K676" s="10">
        <v>3344</v>
      </c>
      <c r="L676" s="10">
        <v>1814</v>
      </c>
      <c r="M676" s="38">
        <f t="shared" si="196"/>
        <v>8447</v>
      </c>
      <c r="N676" s="10">
        <v>1379</v>
      </c>
      <c r="O676" s="10"/>
      <c r="P676" s="10">
        <v>12</v>
      </c>
      <c r="Q676" s="38">
        <f t="shared" si="197"/>
        <v>1391</v>
      </c>
      <c r="R676" s="38">
        <f t="shared" si="198"/>
        <v>20671</v>
      </c>
    </row>
    <row r="677" spans="1:19" ht="15.75" customHeight="1" x14ac:dyDescent="0.3">
      <c r="A677" s="539" t="s">
        <v>3064</v>
      </c>
      <c r="B677" s="10">
        <v>9</v>
      </c>
      <c r="C677" s="10"/>
      <c r="D677" s="10"/>
      <c r="E677" s="38">
        <f t="shared" si="194"/>
        <v>9</v>
      </c>
      <c r="F677" s="10"/>
      <c r="G677" s="10"/>
      <c r="H677" s="10"/>
      <c r="I677" s="38">
        <f t="shared" si="195"/>
        <v>0</v>
      </c>
      <c r="J677" s="10"/>
      <c r="K677" s="10"/>
      <c r="L677" s="10"/>
      <c r="M677" s="38">
        <f t="shared" si="196"/>
        <v>0</v>
      </c>
      <c r="N677" s="10"/>
      <c r="O677" s="10"/>
      <c r="P677" s="10">
        <v>300</v>
      </c>
      <c r="Q677" s="38">
        <f t="shared" si="197"/>
        <v>300</v>
      </c>
      <c r="R677" s="38">
        <f t="shared" si="198"/>
        <v>309</v>
      </c>
    </row>
    <row r="678" spans="1:19" ht="15.75" customHeight="1" x14ac:dyDescent="0.3">
      <c r="A678" s="539" t="s">
        <v>2992</v>
      </c>
      <c r="B678" s="10">
        <v>3500</v>
      </c>
      <c r="C678" s="10">
        <v>3500</v>
      </c>
      <c r="D678" s="10">
        <v>4500</v>
      </c>
      <c r="E678" s="38">
        <f t="shared" si="194"/>
        <v>11500</v>
      </c>
      <c r="F678" s="10">
        <v>3500</v>
      </c>
      <c r="G678" s="10"/>
      <c r="H678" s="10">
        <v>2662</v>
      </c>
      <c r="I678" s="38">
        <f t="shared" si="195"/>
        <v>6162</v>
      </c>
      <c r="J678" s="10">
        <v>3500</v>
      </c>
      <c r="K678" s="10">
        <v>3500</v>
      </c>
      <c r="L678" s="10">
        <v>4500</v>
      </c>
      <c r="M678" s="38">
        <f t="shared" si="196"/>
        <v>11500</v>
      </c>
      <c r="N678" s="10"/>
      <c r="O678" s="10"/>
      <c r="P678" s="10">
        <v>3000</v>
      </c>
      <c r="Q678" s="38">
        <f t="shared" si="197"/>
        <v>3000</v>
      </c>
      <c r="R678" s="38">
        <f t="shared" si="198"/>
        <v>32162</v>
      </c>
      <c r="S678" s="356"/>
    </row>
    <row r="679" spans="1:19" ht="15.75" customHeight="1" x14ac:dyDescent="0.3">
      <c r="A679" s="539" t="s">
        <v>2596</v>
      </c>
      <c r="B679" s="10">
        <v>250</v>
      </c>
      <c r="C679" s="10">
        <v>250</v>
      </c>
      <c r="D679" s="10">
        <v>250</v>
      </c>
      <c r="E679" s="38">
        <f t="shared" si="194"/>
        <v>750</v>
      </c>
      <c r="F679" s="10">
        <v>250</v>
      </c>
      <c r="G679" s="10">
        <v>250</v>
      </c>
      <c r="H679" s="10">
        <v>250</v>
      </c>
      <c r="I679" s="38">
        <f t="shared" si="195"/>
        <v>750</v>
      </c>
      <c r="J679" s="10">
        <v>250</v>
      </c>
      <c r="K679" s="10">
        <v>250</v>
      </c>
      <c r="L679" s="10">
        <v>300</v>
      </c>
      <c r="M679" s="38">
        <f t="shared" si="196"/>
        <v>800</v>
      </c>
      <c r="N679" s="10"/>
      <c r="O679" s="10"/>
      <c r="P679" s="10"/>
      <c r="Q679" s="38">
        <f t="shared" si="197"/>
        <v>0</v>
      </c>
      <c r="R679" s="38">
        <f t="shared" si="198"/>
        <v>2300</v>
      </c>
    </row>
    <row r="680" spans="1:19" ht="15.75" customHeight="1" x14ac:dyDescent="0.3">
      <c r="A680" s="539" t="s">
        <v>3015</v>
      </c>
      <c r="B680" s="10">
        <v>100</v>
      </c>
      <c r="C680" s="10">
        <v>100</v>
      </c>
      <c r="D680" s="10">
        <v>100</v>
      </c>
      <c r="E680" s="38">
        <f t="shared" si="194"/>
        <v>300</v>
      </c>
      <c r="F680" s="10">
        <v>100</v>
      </c>
      <c r="G680" s="10">
        <v>100</v>
      </c>
      <c r="H680" s="10">
        <v>200</v>
      </c>
      <c r="I680" s="38">
        <f t="shared" si="195"/>
        <v>400</v>
      </c>
      <c r="J680" s="10">
        <v>100</v>
      </c>
      <c r="K680" s="10">
        <v>100</v>
      </c>
      <c r="L680" s="10">
        <v>100</v>
      </c>
      <c r="M680" s="38">
        <f t="shared" si="196"/>
        <v>300</v>
      </c>
      <c r="N680" s="10"/>
      <c r="O680" s="10"/>
      <c r="P680" s="10">
        <v>100</v>
      </c>
      <c r="Q680" s="38">
        <f t="shared" si="197"/>
        <v>100</v>
      </c>
      <c r="R680" s="38">
        <f t="shared" si="198"/>
        <v>1100</v>
      </c>
    </row>
    <row r="681" spans="1:19" ht="15.75" customHeight="1" x14ac:dyDescent="0.3">
      <c r="A681" s="234" t="s">
        <v>2161</v>
      </c>
      <c r="B681" s="10"/>
      <c r="C681" s="10"/>
      <c r="D681" s="10"/>
      <c r="E681" s="38" t="s">
        <v>852</v>
      </c>
      <c r="F681" s="10"/>
      <c r="G681" s="10"/>
      <c r="H681" s="10"/>
      <c r="I681" s="38" t="s">
        <v>852</v>
      </c>
      <c r="J681" s="10"/>
      <c r="K681" s="10"/>
      <c r="L681" s="10"/>
      <c r="M681" s="38" t="s">
        <v>852</v>
      </c>
      <c r="N681" s="10"/>
      <c r="O681" s="10"/>
      <c r="P681" s="10"/>
      <c r="Q681" s="38" t="s">
        <v>852</v>
      </c>
      <c r="R681" s="38" t="s">
        <v>852</v>
      </c>
    </row>
    <row r="682" spans="1:19" ht="15.75" customHeight="1" x14ac:dyDescent="0.3">
      <c r="A682" s="234" t="s">
        <v>3245</v>
      </c>
      <c r="B682" s="10"/>
      <c r="C682" s="10"/>
      <c r="D682" s="10"/>
      <c r="E682" s="38" t="s">
        <v>852</v>
      </c>
      <c r="F682" s="10"/>
      <c r="G682" s="10"/>
      <c r="H682" s="10"/>
      <c r="I682" s="38" t="s">
        <v>852</v>
      </c>
      <c r="J682" s="10"/>
      <c r="K682" s="10"/>
      <c r="L682" s="10"/>
      <c r="M682" s="38" t="s">
        <v>852</v>
      </c>
      <c r="N682" s="10"/>
      <c r="O682" s="10"/>
      <c r="P682" s="10"/>
      <c r="Q682" s="38" t="s">
        <v>852</v>
      </c>
      <c r="R682" s="38" t="s">
        <v>852</v>
      </c>
    </row>
    <row r="683" spans="1:19" ht="15.75" customHeight="1" thickBot="1" x14ac:dyDescent="0.35">
      <c r="A683" s="234" t="s">
        <v>2164</v>
      </c>
      <c r="B683" s="10"/>
      <c r="C683" s="10"/>
      <c r="D683" s="10"/>
      <c r="E683" s="38" t="s">
        <v>852</v>
      </c>
      <c r="F683" s="10"/>
      <c r="G683" s="10"/>
      <c r="H683" s="10"/>
      <c r="I683" s="38" t="s">
        <v>852</v>
      </c>
      <c r="J683" s="10"/>
      <c r="K683" s="10"/>
      <c r="L683" s="10"/>
      <c r="M683" s="38" t="s">
        <v>852</v>
      </c>
      <c r="N683" s="10"/>
      <c r="O683" s="10"/>
      <c r="P683" s="10"/>
      <c r="Q683" s="38" t="s">
        <v>852</v>
      </c>
      <c r="R683" s="38" t="s">
        <v>852</v>
      </c>
    </row>
    <row r="684" spans="1:19" ht="16.5" customHeight="1" thickBot="1" x14ac:dyDescent="0.35">
      <c r="A684" s="276" t="s">
        <v>1218</v>
      </c>
      <c r="B684" s="45">
        <f>SUM(B673:B683)</f>
        <v>10083</v>
      </c>
      <c r="C684" s="46">
        <f>SUM(C673:C683)</f>
        <v>8056</v>
      </c>
      <c r="D684" s="46">
        <f>SUM(D673:D683)</f>
        <v>13855</v>
      </c>
      <c r="E684" s="37">
        <f>SUM(B684:D684)</f>
        <v>31994</v>
      </c>
      <c r="F684" s="46">
        <f>SUM(F673:F683)</f>
        <v>12449</v>
      </c>
      <c r="G684" s="46">
        <f>SUM(G673:G683)</f>
        <v>9638</v>
      </c>
      <c r="H684" s="46">
        <f>SUM(H673:H683)</f>
        <v>13451</v>
      </c>
      <c r="I684" s="37">
        <f>SUM(F684:H684)</f>
        <v>35538</v>
      </c>
      <c r="J684" s="46">
        <f>SUM(J673:J683)</f>
        <v>14854</v>
      </c>
      <c r="K684" s="46">
        <f>SUM(K673:K683)</f>
        <v>14997</v>
      </c>
      <c r="L684" s="46">
        <f>SUM(L673:L683)</f>
        <v>12898</v>
      </c>
      <c r="M684" s="37">
        <f>SUM(J684:L684)</f>
        <v>42749</v>
      </c>
      <c r="N684" s="46">
        <f>SUM(N673:N683)</f>
        <v>2438</v>
      </c>
      <c r="O684" s="46">
        <f>SUM(O673:O683)</f>
        <v>0</v>
      </c>
      <c r="P684" s="46">
        <f>SUM(P673:P683)</f>
        <v>3412</v>
      </c>
      <c r="Q684" s="37">
        <f>SUM(N684:P684)</f>
        <v>5850</v>
      </c>
      <c r="R684" s="37">
        <f>+E684+I684+M684+Q684</f>
        <v>116131</v>
      </c>
    </row>
    <row r="685" spans="1:19" ht="15.75" customHeight="1" x14ac:dyDescent="0.3">
      <c r="A685" s="234" t="s">
        <v>1172</v>
      </c>
      <c r="B685" s="172"/>
      <c r="C685" s="172"/>
      <c r="D685" s="172"/>
      <c r="E685" s="38" t="s">
        <v>852</v>
      </c>
      <c r="F685" s="172"/>
      <c r="G685" s="172"/>
      <c r="H685" s="172"/>
      <c r="I685" s="38" t="s">
        <v>852</v>
      </c>
      <c r="J685" s="172"/>
      <c r="K685" s="172"/>
      <c r="L685" s="172"/>
      <c r="M685" s="38" t="s">
        <v>852</v>
      </c>
      <c r="N685" s="172"/>
      <c r="O685" s="172"/>
      <c r="P685" s="172"/>
      <c r="Q685" s="38" t="s">
        <v>852</v>
      </c>
      <c r="R685" s="38" t="s">
        <v>852</v>
      </c>
    </row>
    <row r="686" spans="1:19" ht="15.75" customHeight="1" x14ac:dyDescent="0.3">
      <c r="A686" s="234" t="s">
        <v>2409</v>
      </c>
      <c r="B686" s="172"/>
      <c r="C686" s="172"/>
      <c r="D686" s="172"/>
      <c r="E686" s="38" t="s">
        <v>852</v>
      </c>
      <c r="F686" s="172"/>
      <c r="G686" s="172"/>
      <c r="H686" s="172"/>
      <c r="I686" s="38" t="s">
        <v>852</v>
      </c>
      <c r="J686" s="172"/>
      <c r="K686" s="172"/>
      <c r="L686" s="172"/>
      <c r="M686" s="38" t="s">
        <v>852</v>
      </c>
      <c r="N686" s="172"/>
      <c r="O686" s="172"/>
      <c r="P686" s="172"/>
      <c r="Q686" s="38" t="s">
        <v>852</v>
      </c>
      <c r="R686" s="38" t="s">
        <v>852</v>
      </c>
    </row>
    <row r="687" spans="1:19" ht="15.75" customHeight="1" thickBot="1" x14ac:dyDescent="0.35">
      <c r="A687" s="234" t="s">
        <v>2165</v>
      </c>
      <c r="B687" s="172"/>
      <c r="C687" s="172"/>
      <c r="D687" s="172"/>
      <c r="E687" s="38" t="s">
        <v>852</v>
      </c>
      <c r="F687" s="172"/>
      <c r="G687" s="172"/>
      <c r="H687" s="172"/>
      <c r="I687" s="38" t="s">
        <v>852</v>
      </c>
      <c r="J687" s="172"/>
      <c r="K687" s="172"/>
      <c r="L687" s="172"/>
      <c r="M687" s="38" t="s">
        <v>852</v>
      </c>
      <c r="N687" s="172"/>
      <c r="O687" s="172"/>
      <c r="P687" s="172"/>
      <c r="Q687" s="38" t="s">
        <v>852</v>
      </c>
      <c r="R687" s="38" t="s">
        <v>852</v>
      </c>
    </row>
    <row r="688" spans="1:19" ht="16.5" customHeight="1" thickBot="1" x14ac:dyDescent="0.35">
      <c r="A688" s="43" t="s">
        <v>1219</v>
      </c>
      <c r="B688" s="45">
        <f>SUM(B685:B687)</f>
        <v>0</v>
      </c>
      <c r="C688" s="46">
        <f>SUM(C685:C687)</f>
        <v>0</v>
      </c>
      <c r="D688" s="46">
        <f>SUM(D685:D687)</f>
        <v>0</v>
      </c>
      <c r="E688" s="37">
        <f>SUM(B688:D688)</f>
        <v>0</v>
      </c>
      <c r="F688" s="46">
        <f>SUM(F685:F687)</f>
        <v>0</v>
      </c>
      <c r="G688" s="46">
        <f>SUM(G685:G687)</f>
        <v>0</v>
      </c>
      <c r="H688" s="46">
        <f>SUM(H685:H687)</f>
        <v>0</v>
      </c>
      <c r="I688" s="37">
        <f>SUM(F688:H688)</f>
        <v>0</v>
      </c>
      <c r="J688" s="46">
        <f>SUM(J685:J687)</f>
        <v>0</v>
      </c>
      <c r="K688" s="46">
        <f>SUM(K685:K687)</f>
        <v>0</v>
      </c>
      <c r="L688" s="46">
        <f>SUM(L685:L687)</f>
        <v>0</v>
      </c>
      <c r="M688" s="37">
        <f>SUM(J688:L688)</f>
        <v>0</v>
      </c>
      <c r="N688" s="46">
        <f>SUM(N685:N687)</f>
        <v>0</v>
      </c>
      <c r="O688" s="46">
        <f>SUM(O685:O687)</f>
        <v>0</v>
      </c>
      <c r="P688" s="46">
        <f>SUM(P685:P687)</f>
        <v>0</v>
      </c>
      <c r="Q688" s="37">
        <f>SUM(N688:P688)</f>
        <v>0</v>
      </c>
      <c r="R688" s="37">
        <f>+E688+I688+M688+Q688</f>
        <v>0</v>
      </c>
    </row>
    <row r="689" spans="1:20" ht="15.75" customHeight="1" x14ac:dyDescent="0.3">
      <c r="A689" s="234" t="s">
        <v>2166</v>
      </c>
      <c r="B689" s="10"/>
      <c r="C689" s="10"/>
      <c r="D689" s="10"/>
      <c r="E689" s="38" t="s">
        <v>852</v>
      </c>
      <c r="F689" s="10"/>
      <c r="G689" s="10"/>
      <c r="H689" s="10"/>
      <c r="I689" s="38" t="s">
        <v>852</v>
      </c>
      <c r="J689" s="10"/>
      <c r="K689" s="10"/>
      <c r="L689" s="10"/>
      <c r="M689" s="38" t="s">
        <v>852</v>
      </c>
      <c r="N689" s="10"/>
      <c r="O689" s="10"/>
      <c r="P689" s="10"/>
      <c r="Q689" s="38" t="s">
        <v>852</v>
      </c>
      <c r="R689" s="38" t="s">
        <v>852</v>
      </c>
    </row>
    <row r="690" spans="1:20" ht="15.75" customHeight="1" x14ac:dyDescent="0.3">
      <c r="A690" s="234" t="s">
        <v>1245</v>
      </c>
      <c r="B690" s="10"/>
      <c r="C690" s="10"/>
      <c r="D690" s="10"/>
      <c r="E690" s="38" t="s">
        <v>852</v>
      </c>
      <c r="F690" s="10"/>
      <c r="G690" s="10"/>
      <c r="H690" s="10"/>
      <c r="I690" s="38" t="s">
        <v>852</v>
      </c>
      <c r="J690" s="10"/>
      <c r="K690" s="10"/>
      <c r="L690" s="10"/>
      <c r="M690" s="38" t="s">
        <v>852</v>
      </c>
      <c r="N690" s="10"/>
      <c r="O690" s="10"/>
      <c r="P690" s="10"/>
      <c r="Q690" s="38" t="s">
        <v>852</v>
      </c>
      <c r="R690" s="38" t="s">
        <v>852</v>
      </c>
    </row>
    <row r="691" spans="1:20" ht="15.75" customHeight="1" x14ac:dyDescent="0.3">
      <c r="A691" s="266" t="s">
        <v>641</v>
      </c>
      <c r="B691" s="10">
        <v>270</v>
      </c>
      <c r="C691" s="10">
        <v>400</v>
      </c>
      <c r="D691" s="10">
        <v>726</v>
      </c>
      <c r="E691" s="38">
        <f>SUM(B691:D691)</f>
        <v>1396</v>
      </c>
      <c r="F691" s="10">
        <v>1672</v>
      </c>
      <c r="G691" s="10">
        <v>1187</v>
      </c>
      <c r="H691" s="10">
        <v>1318</v>
      </c>
      <c r="I691" s="38">
        <f>SUM(F691:H691)</f>
        <v>4177</v>
      </c>
      <c r="J691" s="10">
        <v>956</v>
      </c>
      <c r="K691" s="10">
        <v>1699</v>
      </c>
      <c r="L691" s="10">
        <v>1054</v>
      </c>
      <c r="M691" s="38">
        <f>SUM(J691:L691)</f>
        <v>3709</v>
      </c>
      <c r="N691" s="10">
        <v>295</v>
      </c>
      <c r="O691" s="10">
        <v>193</v>
      </c>
      <c r="P691" s="10">
        <v>454</v>
      </c>
      <c r="Q691" s="38">
        <f>SUM(N691:P691)</f>
        <v>942</v>
      </c>
      <c r="R691" s="38">
        <f>+E691+I691+M691+Q691</f>
        <v>10224</v>
      </c>
      <c r="T691" t="s">
        <v>2804</v>
      </c>
    </row>
    <row r="692" spans="1:20" ht="15.75" customHeight="1" x14ac:dyDescent="0.3">
      <c r="A692" s="234" t="s">
        <v>1711</v>
      </c>
      <c r="B692" s="10"/>
      <c r="C692" s="10"/>
      <c r="D692" s="10"/>
      <c r="E692" s="38" t="s">
        <v>852</v>
      </c>
      <c r="F692" s="10"/>
      <c r="G692" s="10"/>
      <c r="H692" s="10"/>
      <c r="I692" s="38" t="s">
        <v>852</v>
      </c>
      <c r="J692" s="10"/>
      <c r="K692" s="10"/>
      <c r="L692" s="10"/>
      <c r="M692" s="38" t="s">
        <v>852</v>
      </c>
      <c r="N692" s="10"/>
      <c r="O692" s="10"/>
      <c r="P692" s="10"/>
      <c r="Q692" s="38" t="s">
        <v>852</v>
      </c>
      <c r="R692" s="38" t="s">
        <v>852</v>
      </c>
    </row>
    <row r="693" spans="1:20" ht="15.75" customHeight="1" x14ac:dyDescent="0.3">
      <c r="A693" s="539" t="s">
        <v>3220</v>
      </c>
      <c r="B693" s="10"/>
      <c r="C693" s="10"/>
      <c r="D693" s="10"/>
      <c r="E693" s="38">
        <f t="shared" ref="E693:E698" si="199">SUM(B693:D693)</f>
        <v>0</v>
      </c>
      <c r="F693" s="10"/>
      <c r="G693" s="10">
        <v>3500</v>
      </c>
      <c r="H693" s="10">
        <v>838</v>
      </c>
      <c r="I693" s="38">
        <f t="shared" ref="I693:I698" si="200">SUM(F693:H693)</f>
        <v>4338</v>
      </c>
      <c r="J693" s="10"/>
      <c r="K693" s="10"/>
      <c r="L693" s="10"/>
      <c r="M693" s="38">
        <f t="shared" ref="M693:M698" si="201">SUM(J693:L693)</f>
        <v>0</v>
      </c>
      <c r="N693" s="10"/>
      <c r="O693" s="10"/>
      <c r="P693" s="10"/>
      <c r="Q693" s="38">
        <f t="shared" ref="Q693:Q698" si="202">SUM(N693:P693)</f>
        <v>0</v>
      </c>
      <c r="R693" s="38">
        <f t="shared" ref="R693:R698" si="203">+E693+I693+M693+Q693</f>
        <v>4338</v>
      </c>
      <c r="T693" t="s">
        <v>2801</v>
      </c>
    </row>
    <row r="694" spans="1:20" ht="15.75" customHeight="1" x14ac:dyDescent="0.3">
      <c r="A694" s="539" t="s">
        <v>2699</v>
      </c>
      <c r="B694" s="10"/>
      <c r="C694" s="10"/>
      <c r="D694" s="10"/>
      <c r="E694" s="38">
        <f t="shared" si="199"/>
        <v>0</v>
      </c>
      <c r="F694" s="10"/>
      <c r="G694" s="10"/>
      <c r="H694" s="10"/>
      <c r="I694" s="38">
        <f t="shared" si="200"/>
        <v>0</v>
      </c>
      <c r="J694" s="10"/>
      <c r="K694" s="10"/>
      <c r="L694" s="10"/>
      <c r="M694" s="38">
        <f t="shared" si="201"/>
        <v>0</v>
      </c>
      <c r="N694" s="10"/>
      <c r="O694" s="10"/>
      <c r="P694" s="10"/>
      <c r="Q694" s="38">
        <f t="shared" si="202"/>
        <v>0</v>
      </c>
      <c r="R694" s="38">
        <f t="shared" si="203"/>
        <v>0</v>
      </c>
    </row>
    <row r="695" spans="1:20" ht="15.75" customHeight="1" x14ac:dyDescent="0.3">
      <c r="A695" s="539" t="s">
        <v>2790</v>
      </c>
      <c r="B695" s="10">
        <v>300</v>
      </c>
      <c r="C695" s="10">
        <v>300</v>
      </c>
      <c r="D695" s="10">
        <v>170</v>
      </c>
      <c r="E695" s="38">
        <f t="shared" si="199"/>
        <v>770</v>
      </c>
      <c r="F695" s="10"/>
      <c r="G695" s="10"/>
      <c r="H695" s="10"/>
      <c r="I695" s="38">
        <f t="shared" si="200"/>
        <v>0</v>
      </c>
      <c r="J695" s="10"/>
      <c r="K695" s="10"/>
      <c r="L695" s="10"/>
      <c r="M695" s="38">
        <f t="shared" si="201"/>
        <v>0</v>
      </c>
      <c r="N695" s="10"/>
      <c r="O695" s="10"/>
      <c r="P695" s="10"/>
      <c r="Q695" s="38">
        <f t="shared" si="202"/>
        <v>0</v>
      </c>
      <c r="R695" s="38">
        <f t="shared" si="203"/>
        <v>770</v>
      </c>
      <c r="T695" t="s">
        <v>2801</v>
      </c>
    </row>
    <row r="696" spans="1:20" ht="15.75" customHeight="1" x14ac:dyDescent="0.3">
      <c r="A696" s="539" t="s">
        <v>2701</v>
      </c>
      <c r="B696" s="10"/>
      <c r="C696" s="10"/>
      <c r="D696" s="10">
        <v>130</v>
      </c>
      <c r="E696" s="38">
        <f t="shared" si="199"/>
        <v>130</v>
      </c>
      <c r="F696" s="10">
        <v>300</v>
      </c>
      <c r="G696" s="10">
        <v>300</v>
      </c>
      <c r="H696" s="10">
        <v>300</v>
      </c>
      <c r="I696" s="38">
        <f t="shared" si="200"/>
        <v>900</v>
      </c>
      <c r="J696" s="10">
        <v>300</v>
      </c>
      <c r="K696" s="10">
        <v>300</v>
      </c>
      <c r="L696" s="10">
        <v>300</v>
      </c>
      <c r="M696" s="38">
        <f t="shared" si="201"/>
        <v>900</v>
      </c>
      <c r="N696" s="10"/>
      <c r="O696" s="10"/>
      <c r="P696" s="10">
        <v>300</v>
      </c>
      <c r="Q696" s="38">
        <f t="shared" si="202"/>
        <v>300</v>
      </c>
      <c r="R696" s="38">
        <f t="shared" si="203"/>
        <v>2230</v>
      </c>
      <c r="T696" t="s">
        <v>2801</v>
      </c>
    </row>
    <row r="697" spans="1:20" ht="15.75" customHeight="1" thickBot="1" x14ac:dyDescent="0.35">
      <c r="A697" s="266" t="s">
        <v>40</v>
      </c>
      <c r="B697" s="10"/>
      <c r="C697" s="10"/>
      <c r="D697" s="10"/>
      <c r="E697" s="38">
        <f t="shared" si="199"/>
        <v>0</v>
      </c>
      <c r="F697" s="10"/>
      <c r="G697" s="10"/>
      <c r="H697" s="10"/>
      <c r="I697" s="38">
        <f t="shared" si="200"/>
        <v>0</v>
      </c>
      <c r="J697" s="10"/>
      <c r="K697" s="10"/>
      <c r="L697" s="10"/>
      <c r="M697" s="38">
        <f t="shared" si="201"/>
        <v>0</v>
      </c>
      <c r="N697" s="10"/>
      <c r="O697" s="10"/>
      <c r="P697" s="10"/>
      <c r="Q697" s="38">
        <f t="shared" si="202"/>
        <v>0</v>
      </c>
      <c r="R697" s="38">
        <f t="shared" si="203"/>
        <v>0</v>
      </c>
      <c r="T697" t="s">
        <v>2801</v>
      </c>
    </row>
    <row r="698" spans="1:20" ht="16.5" customHeight="1" thickBot="1" x14ac:dyDescent="0.35">
      <c r="A698" s="43" t="s">
        <v>1220</v>
      </c>
      <c r="B698" s="45">
        <f>SUM(B689:B697)</f>
        <v>570</v>
      </c>
      <c r="C698" s="46">
        <f>SUM(C689:C697)</f>
        <v>700</v>
      </c>
      <c r="D698" s="46">
        <f>SUM(D689:D697)</f>
        <v>1026</v>
      </c>
      <c r="E698" s="37">
        <f t="shared" si="199"/>
        <v>2296</v>
      </c>
      <c r="F698" s="46">
        <f>SUM(F689:F697)</f>
        <v>1972</v>
      </c>
      <c r="G698" s="46">
        <f>SUM(G689:G697)</f>
        <v>4987</v>
      </c>
      <c r="H698" s="46">
        <f>SUM(H689:H697)</f>
        <v>2456</v>
      </c>
      <c r="I698" s="37">
        <f t="shared" si="200"/>
        <v>9415</v>
      </c>
      <c r="J698" s="46">
        <f>SUM(J689:J697)</f>
        <v>1256</v>
      </c>
      <c r="K698" s="46">
        <f>SUM(K689:K697)</f>
        <v>1999</v>
      </c>
      <c r="L698" s="46">
        <f>SUM(L689:L697)</f>
        <v>1354</v>
      </c>
      <c r="M698" s="37">
        <f t="shared" si="201"/>
        <v>4609</v>
      </c>
      <c r="N698" s="46">
        <f>SUM(N689:N697)</f>
        <v>295</v>
      </c>
      <c r="O698" s="46">
        <f>SUM(O689:O697)</f>
        <v>193</v>
      </c>
      <c r="P698" s="46">
        <f>SUM(P689:P697)</f>
        <v>754</v>
      </c>
      <c r="Q698" s="37">
        <f t="shared" si="202"/>
        <v>1242</v>
      </c>
      <c r="R698" s="58">
        <f t="shared" si="203"/>
        <v>17562</v>
      </c>
    </row>
    <row r="699" spans="1:20" ht="15.75" customHeight="1" x14ac:dyDescent="0.3">
      <c r="A699" s="234" t="s">
        <v>1712</v>
      </c>
      <c r="B699" s="172"/>
      <c r="C699" s="172"/>
      <c r="D699" s="172"/>
      <c r="E699" s="38" t="s">
        <v>852</v>
      </c>
      <c r="F699" s="172"/>
      <c r="G699" s="172"/>
      <c r="H699" s="172"/>
      <c r="I699" s="38" t="s">
        <v>852</v>
      </c>
      <c r="J699" s="172"/>
      <c r="K699" s="172"/>
      <c r="L699" s="172"/>
      <c r="M699" s="38" t="s">
        <v>852</v>
      </c>
      <c r="N699" s="172"/>
      <c r="O699" s="172"/>
      <c r="P699" s="172"/>
      <c r="Q699" s="38" t="s">
        <v>852</v>
      </c>
      <c r="R699" s="38" t="s">
        <v>852</v>
      </c>
    </row>
    <row r="700" spans="1:20" ht="15.75" customHeight="1" x14ac:dyDescent="0.3">
      <c r="A700" s="234" t="s">
        <v>1021</v>
      </c>
      <c r="B700" s="172"/>
      <c r="C700" s="172"/>
      <c r="D700" s="172"/>
      <c r="E700" s="38" t="s">
        <v>852</v>
      </c>
      <c r="F700" s="172"/>
      <c r="G700" s="172"/>
      <c r="H700" s="172"/>
      <c r="I700" s="38" t="s">
        <v>852</v>
      </c>
      <c r="J700" s="172"/>
      <c r="K700" s="172"/>
      <c r="L700" s="172"/>
      <c r="M700" s="38" t="s">
        <v>852</v>
      </c>
      <c r="N700" s="172"/>
      <c r="O700" s="172"/>
      <c r="P700" s="172"/>
      <c r="Q700" s="38" t="s">
        <v>852</v>
      </c>
      <c r="R700" s="38" t="s">
        <v>852</v>
      </c>
    </row>
    <row r="701" spans="1:20" ht="15.75" customHeight="1" x14ac:dyDescent="0.3">
      <c r="A701" s="234" t="s">
        <v>557</v>
      </c>
      <c r="B701" s="172"/>
      <c r="C701" s="172"/>
      <c r="D701" s="172"/>
      <c r="E701" s="38" t="s">
        <v>852</v>
      </c>
      <c r="F701" s="172"/>
      <c r="G701" s="172"/>
      <c r="H701" s="172"/>
      <c r="I701" s="38" t="s">
        <v>852</v>
      </c>
      <c r="J701" s="172"/>
      <c r="K701" s="172"/>
      <c r="L701" s="172"/>
      <c r="M701" s="38" t="s">
        <v>852</v>
      </c>
      <c r="N701" s="172"/>
      <c r="O701" s="172"/>
      <c r="P701" s="172"/>
      <c r="Q701" s="38" t="s">
        <v>852</v>
      </c>
      <c r="R701" s="38" t="s">
        <v>852</v>
      </c>
    </row>
    <row r="702" spans="1:20" ht="15.75" customHeight="1" x14ac:dyDescent="0.3">
      <c r="A702" s="539" t="s">
        <v>2585</v>
      </c>
      <c r="B702" s="172"/>
      <c r="C702" s="172"/>
      <c r="D702" s="172"/>
      <c r="E702" s="38">
        <f>SUM(B702:D702)</f>
        <v>0</v>
      </c>
      <c r="F702" s="172"/>
      <c r="G702" s="172"/>
      <c r="H702" s="172"/>
      <c r="I702" s="38">
        <f>SUM(F702:H702)</f>
        <v>0</v>
      </c>
      <c r="J702" s="172"/>
      <c r="K702" s="172"/>
      <c r="L702" s="172"/>
      <c r="M702" s="38">
        <f>SUM(J702:L702)</f>
        <v>0</v>
      </c>
      <c r="N702" s="172"/>
      <c r="O702" s="172"/>
      <c r="P702" s="172"/>
      <c r="Q702" s="38">
        <f>SUM(N702:P702)</f>
        <v>0</v>
      </c>
      <c r="R702" s="38">
        <f>+E702+I702+M702+Q702</f>
        <v>0</v>
      </c>
    </row>
    <row r="703" spans="1:20" ht="15.75" customHeight="1" x14ac:dyDescent="0.3">
      <c r="A703" s="539" t="s">
        <v>2586</v>
      </c>
      <c r="B703" s="172"/>
      <c r="C703" s="172"/>
      <c r="D703" s="172"/>
      <c r="E703" s="38">
        <f>SUM(B703:D703)</f>
        <v>0</v>
      </c>
      <c r="F703" s="172"/>
      <c r="G703" s="172"/>
      <c r="H703" s="172"/>
      <c r="I703" s="38">
        <f>SUM(F703:H703)</f>
        <v>0</v>
      </c>
      <c r="J703" s="172"/>
      <c r="K703" s="172"/>
      <c r="L703" s="172"/>
      <c r="M703" s="38">
        <f>SUM(J703:L703)</f>
        <v>0</v>
      </c>
      <c r="N703" s="172"/>
      <c r="O703" s="172"/>
      <c r="P703" s="172"/>
      <c r="Q703" s="38">
        <f>SUM(N703:P703)</f>
        <v>0</v>
      </c>
      <c r="R703" s="38">
        <f>+E703+I703+M703+Q703</f>
        <v>0</v>
      </c>
    </row>
    <row r="704" spans="1:20" ht="15.75" customHeight="1" x14ac:dyDescent="0.3">
      <c r="A704" s="539" t="s">
        <v>2587</v>
      </c>
      <c r="B704" s="172"/>
      <c r="C704" s="172"/>
      <c r="D704" s="172"/>
      <c r="E704" s="38">
        <f>SUM(B704:D704)</f>
        <v>0</v>
      </c>
      <c r="F704" s="172"/>
      <c r="G704" s="172"/>
      <c r="H704" s="172"/>
      <c r="I704" s="38">
        <f>SUM(F704:H704)</f>
        <v>0</v>
      </c>
      <c r="J704" s="172"/>
      <c r="K704" s="172"/>
      <c r="L704" s="172"/>
      <c r="M704" s="38">
        <f>SUM(J704:L704)</f>
        <v>0</v>
      </c>
      <c r="N704" s="172"/>
      <c r="O704" s="172"/>
      <c r="P704" s="172"/>
      <c r="Q704" s="38">
        <f>SUM(N704:P704)</f>
        <v>0</v>
      </c>
      <c r="R704" s="38">
        <f>+E704+I704+M704+Q704</f>
        <v>0</v>
      </c>
    </row>
    <row r="705" spans="1:18" ht="15.75" customHeight="1" x14ac:dyDescent="0.3">
      <c r="A705" s="539" t="s">
        <v>2588</v>
      </c>
      <c r="B705" s="172"/>
      <c r="C705" s="172"/>
      <c r="D705" s="172"/>
      <c r="E705" s="38">
        <f>SUM(B705:D705)</f>
        <v>0</v>
      </c>
      <c r="F705" s="172"/>
      <c r="G705" s="172"/>
      <c r="H705" s="172"/>
      <c r="I705" s="38">
        <f>SUM(F705:H705)</f>
        <v>0</v>
      </c>
      <c r="J705" s="172"/>
      <c r="K705" s="172"/>
      <c r="L705" s="172"/>
      <c r="M705" s="38">
        <f>SUM(J705:L705)</f>
        <v>0</v>
      </c>
      <c r="N705" s="172"/>
      <c r="O705" s="172"/>
      <c r="P705" s="172"/>
      <c r="Q705" s="38">
        <f>SUM(N705:P705)</f>
        <v>0</v>
      </c>
      <c r="R705" s="38">
        <f>+E705+I705+M705+Q705</f>
        <v>0</v>
      </c>
    </row>
    <row r="706" spans="1:18" ht="15.75" customHeight="1" x14ac:dyDescent="0.3">
      <c r="A706" s="234" t="s">
        <v>1022</v>
      </c>
      <c r="B706" s="172"/>
      <c r="C706" s="172"/>
      <c r="D706" s="172"/>
      <c r="E706" s="38" t="s">
        <v>852</v>
      </c>
      <c r="F706" s="172"/>
      <c r="G706" s="172"/>
      <c r="H706" s="172"/>
      <c r="I706" s="38" t="s">
        <v>852</v>
      </c>
      <c r="J706" s="172"/>
      <c r="K706" s="172"/>
      <c r="L706" s="172"/>
      <c r="M706" s="38" t="s">
        <v>852</v>
      </c>
      <c r="N706" s="172"/>
      <c r="O706" s="172"/>
      <c r="P706" s="172"/>
      <c r="Q706" s="38" t="s">
        <v>852</v>
      </c>
      <c r="R706" s="38" t="s">
        <v>852</v>
      </c>
    </row>
    <row r="707" spans="1:18" ht="15.75" customHeight="1" thickBot="1" x14ac:dyDescent="0.35">
      <c r="A707" s="234" t="s">
        <v>559</v>
      </c>
      <c r="B707" s="172"/>
      <c r="C707" s="172"/>
      <c r="D707" s="172"/>
      <c r="E707" s="38" t="s">
        <v>852</v>
      </c>
      <c r="F707" s="172"/>
      <c r="G707" s="172"/>
      <c r="H707" s="172"/>
      <c r="I707" s="38" t="s">
        <v>852</v>
      </c>
      <c r="J707" s="172"/>
      <c r="K707" s="172"/>
      <c r="L707" s="172"/>
      <c r="M707" s="38" t="s">
        <v>852</v>
      </c>
      <c r="N707" s="172"/>
      <c r="O707" s="172"/>
      <c r="P707" s="172"/>
      <c r="Q707" s="38" t="s">
        <v>852</v>
      </c>
      <c r="R707" s="38" t="s">
        <v>852</v>
      </c>
    </row>
    <row r="708" spans="1:18" ht="16.5" customHeight="1" thickBot="1" x14ac:dyDescent="0.35">
      <c r="A708" s="43" t="s">
        <v>1019</v>
      </c>
      <c r="B708" s="42">
        <f>SUM(B706:B707)</f>
        <v>0</v>
      </c>
      <c r="C708" s="42">
        <f>SUM(C706:C707)</f>
        <v>0</v>
      </c>
      <c r="D708" s="42">
        <f>SUM(D706:D707)</f>
        <v>0</v>
      </c>
      <c r="E708" s="39">
        <f>SUM(B708:D708)</f>
        <v>0</v>
      </c>
      <c r="F708" s="42">
        <f>SUM(F706:F707)</f>
        <v>0</v>
      </c>
      <c r="G708" s="42">
        <f>SUM(G706:G707)</f>
        <v>0</v>
      </c>
      <c r="H708" s="42">
        <f>SUM(H706:H707)</f>
        <v>0</v>
      </c>
      <c r="I708" s="39">
        <f>SUM(F708:H708)</f>
        <v>0</v>
      </c>
      <c r="J708" s="42">
        <f>SUM(J706:J707)</f>
        <v>0</v>
      </c>
      <c r="K708" s="42">
        <f>SUM(K706:K707)</f>
        <v>0</v>
      </c>
      <c r="L708" s="42">
        <f>SUM(L706:L707)</f>
        <v>0</v>
      </c>
      <c r="M708" s="39">
        <f>SUM(J708:L708)</f>
        <v>0</v>
      </c>
      <c r="N708" s="42">
        <f>SUM(N706:N707)</f>
        <v>0</v>
      </c>
      <c r="O708" s="42">
        <f>SUM(O706:O707)</f>
        <v>0</v>
      </c>
      <c r="P708" s="42">
        <f>SUM(P706:P707)</f>
        <v>0</v>
      </c>
      <c r="Q708" s="39">
        <f>SUM(N708:P708)</f>
        <v>0</v>
      </c>
      <c r="R708" s="37">
        <f>+E708+I708+M708+Q708</f>
        <v>0</v>
      </c>
    </row>
    <row r="709" spans="1:18" ht="16.5" customHeight="1" thickBot="1" x14ac:dyDescent="0.35">
      <c r="A709" s="277" t="s">
        <v>1221</v>
      </c>
      <c r="B709" s="45">
        <f>SUM(B699:B707)</f>
        <v>0</v>
      </c>
      <c r="C709" s="46">
        <f>SUM(C699:C707)</f>
        <v>0</v>
      </c>
      <c r="D709" s="58">
        <f>SUM(D699:D707)</f>
        <v>0</v>
      </c>
      <c r="E709" s="39">
        <f>SUM(B709:D709)</f>
        <v>0</v>
      </c>
      <c r="F709" s="46">
        <f>SUM(F699:F707)</f>
        <v>0</v>
      </c>
      <c r="G709" s="46">
        <f>SUM(G699:G707)</f>
        <v>0</v>
      </c>
      <c r="H709" s="46">
        <f>SUM(H699:H707)</f>
        <v>0</v>
      </c>
      <c r="I709" s="39">
        <f>SUM(F709:H709)</f>
        <v>0</v>
      </c>
      <c r="J709" s="46">
        <f>SUM(J699:J707)</f>
        <v>0</v>
      </c>
      <c r="K709" s="46">
        <f>SUM(K699:K707)</f>
        <v>0</v>
      </c>
      <c r="L709" s="46">
        <f>SUM(L699:L707)</f>
        <v>0</v>
      </c>
      <c r="M709" s="39">
        <f>SUM(J709:L709)</f>
        <v>0</v>
      </c>
      <c r="N709" s="46">
        <f>SUM(N699:N707)</f>
        <v>0</v>
      </c>
      <c r="O709" s="46">
        <f>SUM(O699:O707)</f>
        <v>0</v>
      </c>
      <c r="P709" s="46">
        <f>SUM(P699:P707)</f>
        <v>0</v>
      </c>
      <c r="Q709" s="39">
        <f>SUM(N709:P709)</f>
        <v>0</v>
      </c>
      <c r="R709" s="37">
        <f>+E709+I709+M709+Q709</f>
        <v>0</v>
      </c>
    </row>
    <row r="710" spans="1:18" ht="16.5" customHeight="1" thickBot="1" x14ac:dyDescent="0.35">
      <c r="A710" s="43" t="s">
        <v>1222</v>
      </c>
      <c r="B710" s="47">
        <f>+B684+B688+B698+B709</f>
        <v>10653</v>
      </c>
      <c r="C710" s="42">
        <f>+C684+C688+C698+C709</f>
        <v>8756</v>
      </c>
      <c r="D710" s="42">
        <f>+D684+D688+D698+D709</f>
        <v>14881</v>
      </c>
      <c r="E710" s="37">
        <f>SUM(B710:D710)</f>
        <v>34290</v>
      </c>
      <c r="F710" s="42">
        <f>+F684+F688+F698+F709</f>
        <v>14421</v>
      </c>
      <c r="G710" s="42">
        <f>+G684+G688+G698+G709</f>
        <v>14625</v>
      </c>
      <c r="H710" s="42">
        <f>+H684+H688+H698+H709</f>
        <v>15907</v>
      </c>
      <c r="I710" s="37">
        <f>SUM(F710:H710)</f>
        <v>44953</v>
      </c>
      <c r="J710" s="42">
        <f>+J684+J688+J698+J709</f>
        <v>16110</v>
      </c>
      <c r="K710" s="42">
        <f>+K684+K688+K698+K709</f>
        <v>16996</v>
      </c>
      <c r="L710" s="42">
        <f>+L684+L688+L698+L709</f>
        <v>14252</v>
      </c>
      <c r="M710" s="37">
        <f>SUM(J710:L710)</f>
        <v>47358</v>
      </c>
      <c r="N710" s="42">
        <f>+N684+N688+N698+N709</f>
        <v>2733</v>
      </c>
      <c r="O710" s="42">
        <f>+O684+O688+O698+O709</f>
        <v>193</v>
      </c>
      <c r="P710" s="42">
        <f>+P684+P688+P698+P709</f>
        <v>4166</v>
      </c>
      <c r="Q710" s="37">
        <f>SUM(N710:P710)</f>
        <v>7092</v>
      </c>
      <c r="R710" s="40">
        <f>+E710+I710+M710+Q710</f>
        <v>133693</v>
      </c>
    </row>
    <row r="711" spans="1:18" ht="16.5" customHeight="1" thickBot="1" x14ac:dyDescent="0.35">
      <c r="A711" s="250" t="s">
        <v>853</v>
      </c>
      <c r="B711" s="238">
        <v>22</v>
      </c>
      <c r="C711" s="238">
        <v>24</v>
      </c>
      <c r="D711" s="238">
        <v>31</v>
      </c>
      <c r="E711" s="37">
        <f>SUM(B711:D711)</f>
        <v>77</v>
      </c>
      <c r="F711" s="238">
        <v>40</v>
      </c>
      <c r="G711" s="238">
        <v>45</v>
      </c>
      <c r="H711" s="238">
        <v>48</v>
      </c>
      <c r="I711" s="37">
        <f>SUM(F711:H711)</f>
        <v>133</v>
      </c>
      <c r="J711" s="238">
        <v>42</v>
      </c>
      <c r="K711" s="238">
        <v>39</v>
      </c>
      <c r="L711" s="238">
        <v>38</v>
      </c>
      <c r="M711" s="37">
        <f>SUM(J711:L711)</f>
        <v>119</v>
      </c>
      <c r="N711" s="238">
        <v>32</v>
      </c>
      <c r="O711" s="238">
        <v>25</v>
      </c>
      <c r="P711" s="238">
        <v>21</v>
      </c>
      <c r="Q711" s="37">
        <f>SUM(N711:P711)</f>
        <v>78</v>
      </c>
      <c r="R711" s="39">
        <f>+E711+I711+M711+Q711</f>
        <v>407</v>
      </c>
    </row>
    <row r="712" spans="1:18" ht="16.5" customHeight="1" thickBot="1" x14ac:dyDescent="0.35">
      <c r="A712" s="22"/>
      <c r="B712" s="242"/>
      <c r="C712" s="242"/>
      <c r="D712" s="242"/>
      <c r="E712" s="233"/>
      <c r="F712" s="242"/>
      <c r="G712" s="242"/>
      <c r="H712" s="242"/>
      <c r="I712" s="233"/>
      <c r="J712" s="242"/>
      <c r="K712" s="242"/>
      <c r="L712" s="242"/>
      <c r="M712" s="233"/>
      <c r="N712" s="242"/>
      <c r="O712" s="242"/>
      <c r="P712" s="242"/>
      <c r="Q712" s="233"/>
      <c r="R712" s="21"/>
    </row>
    <row r="713" spans="1:18" ht="15.75" customHeight="1" x14ac:dyDescent="0.3">
      <c r="A713" s="234" t="s">
        <v>120</v>
      </c>
      <c r="B713" s="172">
        <f>+SUM(B710:B711)</f>
        <v>10675</v>
      </c>
      <c r="C713" s="172">
        <f>+SUM(C710:C711)</f>
        <v>8780</v>
      </c>
      <c r="D713" s="172">
        <f>+SUM(D710:D711)</f>
        <v>14912</v>
      </c>
      <c r="E713" s="39">
        <f>SUM(B713:D713)</f>
        <v>34367</v>
      </c>
      <c r="F713" s="172">
        <f>+SUM(F710:F711)</f>
        <v>14461</v>
      </c>
      <c r="G713" s="172">
        <f>+SUM(G710:G711)</f>
        <v>14670</v>
      </c>
      <c r="H713" s="172">
        <f>+SUM(H710:H711)</f>
        <v>15955</v>
      </c>
      <c r="I713" s="39">
        <f>SUM(F713:H713)</f>
        <v>45086</v>
      </c>
      <c r="J713" s="172">
        <f>+SUM(J710:J711)</f>
        <v>16152</v>
      </c>
      <c r="K713" s="172">
        <f>+SUM(K710:K711)</f>
        <v>17035</v>
      </c>
      <c r="L713" s="172">
        <f>+SUM(L710:L711)</f>
        <v>14290</v>
      </c>
      <c r="M713" s="39">
        <f>SUM(J713:L713)</f>
        <v>47477</v>
      </c>
      <c r="N713" s="172">
        <f>+SUM(N710:N711)</f>
        <v>2765</v>
      </c>
      <c r="O713" s="172">
        <f>+SUM(O710:O711)</f>
        <v>218</v>
      </c>
      <c r="P713" s="172">
        <f>+SUM(P710:P711)</f>
        <v>4187</v>
      </c>
      <c r="Q713" s="39">
        <f>SUM(N713:P713)</f>
        <v>7170</v>
      </c>
      <c r="R713" s="39">
        <f>+E713+I713+M713+Q713</f>
        <v>134100</v>
      </c>
    </row>
    <row r="714" spans="1:18" ht="15.75" customHeight="1" x14ac:dyDescent="0.3">
      <c r="A714" s="234" t="s">
        <v>1897</v>
      </c>
      <c r="B714" s="172">
        <f>(B713/B10)/1.983</f>
        <v>173.65347388284289</v>
      </c>
      <c r="C714" s="172">
        <f>(C713/C10)/1.983</f>
        <v>158.12981773647431</v>
      </c>
      <c r="D714" s="172">
        <f>(D713/D10)/1.983</f>
        <v>242.57804239259514</v>
      </c>
      <c r="E714" s="38" t="s">
        <v>852</v>
      </c>
      <c r="F714" s="172">
        <f>(F713/F10)/1.983</f>
        <v>243.08287107076819</v>
      </c>
      <c r="G714" s="172">
        <f>(G713/G10)/1.983</f>
        <v>238.64135474110586</v>
      </c>
      <c r="H714" s="172">
        <f>(H713/H10)/1.983</f>
        <v>268.19633551857453</v>
      </c>
      <c r="I714" s="38" t="s">
        <v>852</v>
      </c>
      <c r="J714" s="172">
        <f>(J713/J10)/1.983</f>
        <v>262.74949978039137</v>
      </c>
      <c r="K714" s="172">
        <f>(K713/K10)/1.983</f>
        <v>277.11352951702372</v>
      </c>
      <c r="L714" s="172">
        <f>(L713/L10)/1.983</f>
        <v>240.20843839300721</v>
      </c>
      <c r="M714" s="38" t="s">
        <v>852</v>
      </c>
      <c r="N714" s="172">
        <f>(N713/N10)/1.983</f>
        <v>44.979096513916673</v>
      </c>
      <c r="O714" s="172">
        <f>(O713/O10)/1.983</f>
        <v>3.6644814254496554</v>
      </c>
      <c r="P714" s="172">
        <f>(P713/P10)/1.983</f>
        <v>68.111203292502395</v>
      </c>
      <c r="Q714" s="38" t="s">
        <v>852</v>
      </c>
      <c r="R714" s="38" t="s">
        <v>852</v>
      </c>
    </row>
    <row r="715" spans="1:18" ht="15.75" customHeight="1" x14ac:dyDescent="0.3">
      <c r="A715" s="234" t="s">
        <v>2390</v>
      </c>
      <c r="B715" s="172">
        <f>B713+B725</f>
        <v>14131</v>
      </c>
      <c r="C715" s="172">
        <f>C713+C725</f>
        <v>10876</v>
      </c>
      <c r="D715" s="172">
        <f>D713+D725</f>
        <v>19190</v>
      </c>
      <c r="E715" s="38">
        <f>SUM(B715:D715)</f>
        <v>44197</v>
      </c>
      <c r="F715" s="172">
        <f>F713+F725</f>
        <v>18443</v>
      </c>
      <c r="G715" s="172">
        <f>G713+G725</f>
        <v>17782</v>
      </c>
      <c r="H715" s="172">
        <f>H713+H725</f>
        <v>20734</v>
      </c>
      <c r="I715" s="38">
        <f>SUM(F715:H715)</f>
        <v>56959</v>
      </c>
      <c r="J715" s="172">
        <f>J713+J725</f>
        <v>20158</v>
      </c>
      <c r="K715" s="172">
        <f>K713+K725</f>
        <v>20778</v>
      </c>
      <c r="L715" s="172">
        <f>L713+L725</f>
        <v>17825</v>
      </c>
      <c r="M715" s="38">
        <f>SUM(J715:L715)</f>
        <v>58761</v>
      </c>
      <c r="N715" s="172">
        <f>N713+N725</f>
        <v>6139</v>
      </c>
      <c r="O715" s="172">
        <f>O713+O725</f>
        <v>1261</v>
      </c>
      <c r="P715" s="172">
        <f>P713+P725</f>
        <v>7106</v>
      </c>
      <c r="Q715" s="38">
        <f>SUM(N715:P715)</f>
        <v>14506</v>
      </c>
      <c r="R715" s="38">
        <f>+E715+I715+M715+Q715</f>
        <v>174423</v>
      </c>
    </row>
    <row r="716" spans="1:18" ht="16.5" customHeight="1" thickBot="1" x14ac:dyDescent="0.35">
      <c r="A716" s="237" t="s">
        <v>1716</v>
      </c>
      <c r="B716" s="238">
        <f>(B715/B10)/1.983</f>
        <v>229.87327769915245</v>
      </c>
      <c r="C716" s="238">
        <f>(C715/C10)/1.983</f>
        <v>195.87925941935018</v>
      </c>
      <c r="D716" s="238">
        <f>(D715/D10)/1.983</f>
        <v>312.16957038049225</v>
      </c>
      <c r="E716" s="40" t="s">
        <v>852</v>
      </c>
      <c r="F716" s="238">
        <f>(F715/F10)/1.983</f>
        <v>310.01849050260546</v>
      </c>
      <c r="G716" s="238">
        <f>(G715/G10)/1.983</f>
        <v>289.26520586273648</v>
      </c>
      <c r="H716" s="238">
        <f>(H715/H10)/1.983</f>
        <v>348.5291645654732</v>
      </c>
      <c r="I716" s="40" t="s">
        <v>852</v>
      </c>
      <c r="J716" s="238">
        <f>(J715/J10)/1.983</f>
        <v>327.91632098644931</v>
      </c>
      <c r="K716" s="238">
        <f>(K715/K10)/1.983</f>
        <v>338.00204968034745</v>
      </c>
      <c r="L716" s="238">
        <f>(L715/L10)/1.983</f>
        <v>299.63018994789036</v>
      </c>
      <c r="M716" s="40" t="s">
        <v>852</v>
      </c>
      <c r="N716" s="238">
        <f>(N715/N10)/1.983</f>
        <v>99.864981373936516</v>
      </c>
      <c r="O716" s="238">
        <f>(O715/O10)/1.983</f>
        <v>21.196839805009244</v>
      </c>
      <c r="P716" s="238">
        <f>(P715/P10)/1.983</f>
        <v>115.59546467554861</v>
      </c>
      <c r="Q716" s="40" t="s">
        <v>852</v>
      </c>
      <c r="R716" s="40" t="s">
        <v>852</v>
      </c>
    </row>
    <row r="717" spans="1:18" ht="15.75" customHeight="1" x14ac:dyDescent="0.3">
      <c r="A717" s="17"/>
      <c r="B717" s="172"/>
      <c r="C717" s="172"/>
      <c r="D717" s="172"/>
      <c r="E717" s="172"/>
      <c r="F717" s="172"/>
      <c r="G717" s="172"/>
      <c r="H717" s="172"/>
      <c r="I717" s="172"/>
      <c r="J717" s="172"/>
      <c r="K717" s="172"/>
      <c r="L717" s="172"/>
      <c r="M717" s="172"/>
      <c r="N717" s="172"/>
      <c r="O717" s="172"/>
      <c r="P717" s="172"/>
      <c r="Q717" s="172"/>
      <c r="R717" s="17"/>
    </row>
    <row r="718" spans="1:18" ht="15.75" customHeight="1" thickBot="1" x14ac:dyDescent="0.35">
      <c r="A718" s="17"/>
      <c r="B718" s="172"/>
      <c r="C718" s="172"/>
      <c r="D718" s="172"/>
      <c r="E718" s="172"/>
      <c r="F718" s="172"/>
      <c r="G718" s="172"/>
      <c r="H718" s="172"/>
      <c r="I718" s="172"/>
      <c r="J718" s="172"/>
      <c r="K718" s="172"/>
      <c r="L718" s="172"/>
      <c r="M718" s="172"/>
      <c r="N718" s="172"/>
      <c r="O718" s="172"/>
      <c r="P718" s="172"/>
      <c r="Q718" s="172"/>
      <c r="R718" s="17"/>
    </row>
    <row r="719" spans="1:18" ht="16.5" customHeight="1" thickBot="1" x14ac:dyDescent="0.35">
      <c r="A719" s="278" t="s">
        <v>374</v>
      </c>
      <c r="B719" s="4" t="s">
        <v>2090</v>
      </c>
      <c r="C719" s="5" t="s">
        <v>2091</v>
      </c>
      <c r="D719" s="5" t="s">
        <v>2234</v>
      </c>
      <c r="E719" s="33" t="s">
        <v>1594</v>
      </c>
      <c r="F719" s="5" t="s">
        <v>2235</v>
      </c>
      <c r="G719" s="5" t="s">
        <v>2236</v>
      </c>
      <c r="H719" s="5" t="s">
        <v>2237</v>
      </c>
      <c r="I719" s="35" t="s">
        <v>1595</v>
      </c>
      <c r="J719" s="5" t="s">
        <v>1504</v>
      </c>
      <c r="K719" s="5" t="s">
        <v>1505</v>
      </c>
      <c r="L719" s="5" t="s">
        <v>1506</v>
      </c>
      <c r="M719" s="35" t="s">
        <v>1596</v>
      </c>
      <c r="N719" s="5" t="s">
        <v>1507</v>
      </c>
      <c r="O719" s="5" t="s">
        <v>1508</v>
      </c>
      <c r="P719" s="5" t="s">
        <v>1509</v>
      </c>
      <c r="Q719" s="35" t="s">
        <v>1597</v>
      </c>
      <c r="R719" s="36" t="s">
        <v>1510</v>
      </c>
    </row>
    <row r="720" spans="1:18" ht="16.5" customHeight="1" thickBot="1" x14ac:dyDescent="0.35">
      <c r="A720" s="22"/>
      <c r="B720" s="242"/>
      <c r="C720" s="242"/>
      <c r="D720" s="242"/>
      <c r="E720" s="243"/>
      <c r="F720" s="242"/>
      <c r="G720" s="242"/>
      <c r="H720" s="242"/>
      <c r="I720" s="243"/>
      <c r="J720" s="242"/>
      <c r="K720" s="242"/>
      <c r="L720" s="242"/>
      <c r="M720" s="243"/>
      <c r="N720" s="242"/>
      <c r="O720" s="242"/>
      <c r="P720" s="242"/>
      <c r="Q720" s="243"/>
      <c r="R720" s="22"/>
    </row>
    <row r="721" spans="1:18" ht="16.5" customHeight="1" thickBot="1" x14ac:dyDescent="0.35">
      <c r="A721" s="244" t="s">
        <v>853</v>
      </c>
      <c r="B721" s="238">
        <v>2</v>
      </c>
      <c r="C721" s="238">
        <v>3</v>
      </c>
      <c r="D721" s="238">
        <v>5</v>
      </c>
      <c r="E721" s="38">
        <f>SUM(B721:D721)</f>
        <v>10</v>
      </c>
      <c r="F721" s="238">
        <v>7</v>
      </c>
      <c r="G721" s="238">
        <v>8</v>
      </c>
      <c r="H721" s="238">
        <v>9</v>
      </c>
      <c r="I721" s="38">
        <f>SUM(F721:H721)</f>
        <v>24</v>
      </c>
      <c r="J721" s="238">
        <v>7</v>
      </c>
      <c r="K721" s="238">
        <v>6</v>
      </c>
      <c r="L721" s="238">
        <v>6</v>
      </c>
      <c r="M721" s="38">
        <f>SUM(J721:L721)</f>
        <v>19</v>
      </c>
      <c r="N721" s="238">
        <v>5</v>
      </c>
      <c r="O721" s="238">
        <v>3</v>
      </c>
      <c r="P721" s="238">
        <v>2</v>
      </c>
      <c r="Q721" s="38">
        <f>SUM(N721:P721)</f>
        <v>10</v>
      </c>
      <c r="R721" s="39">
        <f>+E721+I721+M721+Q721</f>
        <v>63</v>
      </c>
    </row>
    <row r="722" spans="1:18" ht="16.5" customHeight="1" thickBot="1" x14ac:dyDescent="0.35">
      <c r="A722" s="22"/>
      <c r="B722" s="242"/>
      <c r="C722" s="242"/>
      <c r="D722" s="242"/>
      <c r="E722" s="233"/>
      <c r="F722" s="242"/>
      <c r="G722" s="242"/>
      <c r="H722" s="242"/>
      <c r="I722" s="233"/>
      <c r="J722" s="242"/>
      <c r="K722" s="242"/>
      <c r="L722" s="242"/>
      <c r="M722" s="233"/>
      <c r="N722" s="242"/>
      <c r="O722" s="242"/>
      <c r="P722" s="242"/>
      <c r="Q722" s="233"/>
      <c r="R722" s="21"/>
    </row>
    <row r="723" spans="1:18" ht="15.75" customHeight="1" x14ac:dyDescent="0.3">
      <c r="A723" s="234" t="s">
        <v>120</v>
      </c>
      <c r="B723" s="172">
        <f>B721</f>
        <v>2</v>
      </c>
      <c r="C723" s="172">
        <f>C721</f>
        <v>3</v>
      </c>
      <c r="D723" s="172">
        <f>D721</f>
        <v>5</v>
      </c>
      <c r="E723" s="39">
        <f>SUM(B723:D723)</f>
        <v>10</v>
      </c>
      <c r="F723" s="172">
        <f>F721</f>
        <v>7</v>
      </c>
      <c r="G723" s="172">
        <f>G721</f>
        <v>8</v>
      </c>
      <c r="H723" s="172">
        <f>H721</f>
        <v>9</v>
      </c>
      <c r="I723" s="39">
        <f>SUM(F723:H723)</f>
        <v>24</v>
      </c>
      <c r="J723" s="172">
        <f>J721</f>
        <v>7</v>
      </c>
      <c r="K723" s="172">
        <f>K721</f>
        <v>6</v>
      </c>
      <c r="L723" s="172">
        <f>L721</f>
        <v>6</v>
      </c>
      <c r="M723" s="39">
        <f>SUM(J723:L723)</f>
        <v>19</v>
      </c>
      <c r="N723" s="172">
        <f>N721</f>
        <v>5</v>
      </c>
      <c r="O723" s="172">
        <f>O721</f>
        <v>3</v>
      </c>
      <c r="P723" s="172">
        <f>P721</f>
        <v>2</v>
      </c>
      <c r="Q723" s="39">
        <f>SUM(N723:P723)</f>
        <v>10</v>
      </c>
      <c r="R723" s="39">
        <f>+E723+I723+M723+Q723</f>
        <v>63</v>
      </c>
    </row>
    <row r="724" spans="1:18" ht="15.75" customHeight="1" x14ac:dyDescent="0.3">
      <c r="A724" s="234" t="s">
        <v>1897</v>
      </c>
      <c r="B724" s="172">
        <f>(B723/B10)/1.983</f>
        <v>3.2534608689993978E-2</v>
      </c>
      <c r="C724" s="172">
        <f>(C723/C10)/1.983</f>
        <v>5.403068943159714E-2</v>
      </c>
      <c r="D724" s="172">
        <f>(D723/D10)/1.983</f>
        <v>8.1336521724984942E-2</v>
      </c>
      <c r="E724" s="38" t="s">
        <v>852</v>
      </c>
      <c r="F724" s="172">
        <f>(F723/F10)/1.983</f>
        <v>0.1176668347621449</v>
      </c>
      <c r="G724" s="172">
        <f>(G723/G10)/1.983</f>
        <v>0.13013843475997591</v>
      </c>
      <c r="H724" s="172">
        <f>(H723/H10)/1.983</f>
        <v>0.15128593040847199</v>
      </c>
      <c r="I724" s="38" t="s">
        <v>852</v>
      </c>
      <c r="J724" s="172">
        <f>(J723/J10)/1.983</f>
        <v>0.11387113041497893</v>
      </c>
      <c r="K724" s="172">
        <f>(K723/K10)/1.983</f>
        <v>9.7603826069981942E-2</v>
      </c>
      <c r="L724" s="172">
        <f>(L723/L10)/1.983</f>
        <v>0.10085728693898134</v>
      </c>
      <c r="M724" s="38" t="s">
        <v>852</v>
      </c>
      <c r="N724" s="172">
        <f>(N723/N10)/1.983</f>
        <v>8.1336521724984942E-2</v>
      </c>
      <c r="O724" s="172">
        <f>(O723/O10)/1.983</f>
        <v>5.0428643469490671E-2</v>
      </c>
      <c r="P724" s="172">
        <f>(P723/P10)/1.983</f>
        <v>3.2534608689993978E-2</v>
      </c>
      <c r="Q724" s="38" t="s">
        <v>852</v>
      </c>
      <c r="R724" s="38" t="s">
        <v>852</v>
      </c>
    </row>
    <row r="725" spans="1:18" ht="15.75" customHeight="1" x14ac:dyDescent="0.3">
      <c r="A725" s="234" t="s">
        <v>585</v>
      </c>
      <c r="B725" s="172">
        <f>B723+B759+B808-B754</f>
        <v>3456</v>
      </c>
      <c r="C725" s="172">
        <f>C723+C759+C808-C754</f>
        <v>2096</v>
      </c>
      <c r="D725" s="172">
        <f>D723+D759+D808-D754</f>
        <v>4278</v>
      </c>
      <c r="E725" s="38">
        <f>SUM(B725:D725)</f>
        <v>9830</v>
      </c>
      <c r="F725" s="172">
        <f>F723+F759+F808-F754</f>
        <v>3982</v>
      </c>
      <c r="G725" s="172">
        <f>G723+G759+G808-G754</f>
        <v>3112</v>
      </c>
      <c r="H725" s="172">
        <f>H723+H759+H808-H754</f>
        <v>4779</v>
      </c>
      <c r="I725" s="38">
        <f>SUM(F725:H725)</f>
        <v>11873</v>
      </c>
      <c r="J725" s="172">
        <f>J723+J759+J808-J754</f>
        <v>4006</v>
      </c>
      <c r="K725" s="172">
        <f>K723+K759+K808-K754</f>
        <v>3743</v>
      </c>
      <c r="L725" s="172">
        <f>L723+L759+L808-L754</f>
        <v>3535</v>
      </c>
      <c r="M725" s="38">
        <f>SUM(J725:L725)</f>
        <v>11284</v>
      </c>
      <c r="N725" s="172">
        <f>N723+N759+N808-N754</f>
        <v>3374</v>
      </c>
      <c r="O725" s="172">
        <f>O723+O759+O808-O754</f>
        <v>1043</v>
      </c>
      <c r="P725" s="172">
        <f>P723+P759+P808-P754</f>
        <v>2919</v>
      </c>
      <c r="Q725" s="38">
        <f>SUM(N725:P725)</f>
        <v>7336</v>
      </c>
      <c r="R725" s="38">
        <f>+E725+I725+M725+Q725</f>
        <v>40323</v>
      </c>
    </row>
    <row r="726" spans="1:18" ht="16.5" customHeight="1" thickBot="1" x14ac:dyDescent="0.35">
      <c r="A726" s="237" t="s">
        <v>57</v>
      </c>
      <c r="B726" s="238">
        <f>(B725/B10)/1.983</f>
        <v>56.2198038163096</v>
      </c>
      <c r="C726" s="238">
        <f>(C725/C10)/1.983</f>
        <v>37.749441682875876</v>
      </c>
      <c r="D726" s="238">
        <f>(D725/D10)/1.983</f>
        <v>69.591527987897123</v>
      </c>
      <c r="E726" s="40" t="s">
        <v>852</v>
      </c>
      <c r="F726" s="238">
        <f>(F725/F10)/1.983</f>
        <v>66.935619431837267</v>
      </c>
      <c r="G726" s="238">
        <f>(G725/G10)/1.983</f>
        <v>50.623851121630636</v>
      </c>
      <c r="H726" s="238">
        <f>(H725/H10)/1.983</f>
        <v>80.332829046898638</v>
      </c>
      <c r="I726" s="40" t="s">
        <v>852</v>
      </c>
      <c r="J726" s="238">
        <f>(J725/J10)/1.983</f>
        <v>65.166821206057932</v>
      </c>
      <c r="K726" s="238">
        <f>(K725/K10)/1.983</f>
        <v>60.888520163323726</v>
      </c>
      <c r="L726" s="238">
        <f>(L725/L10)/1.983</f>
        <v>59.421751554883166</v>
      </c>
      <c r="M726" s="40" t="s">
        <v>852</v>
      </c>
      <c r="N726" s="238">
        <f>(N725/N10)/1.983</f>
        <v>54.885884860019843</v>
      </c>
      <c r="O726" s="238">
        <f>(O725/O10)/1.983</f>
        <v>17.532358379559589</v>
      </c>
      <c r="P726" s="238">
        <f>(P725/P10)/1.983</f>
        <v>47.48426138304621</v>
      </c>
      <c r="Q726" s="40" t="s">
        <v>852</v>
      </c>
      <c r="R726" s="40" t="s">
        <v>852</v>
      </c>
    </row>
    <row r="727" spans="1:18" ht="15.75" customHeight="1" x14ac:dyDescent="0.3">
      <c r="A727" s="17"/>
      <c r="B727" s="172"/>
      <c r="C727" s="172"/>
      <c r="D727" s="172"/>
      <c r="E727" s="172"/>
      <c r="F727" s="172"/>
      <c r="G727" s="172"/>
      <c r="H727" s="172"/>
      <c r="I727" s="172"/>
      <c r="J727" s="172"/>
      <c r="K727" s="172"/>
      <c r="L727" s="172"/>
      <c r="M727" s="172"/>
      <c r="N727" s="172"/>
      <c r="O727" s="172"/>
      <c r="P727" s="172"/>
      <c r="Q727" s="172"/>
      <c r="R727" s="17"/>
    </row>
    <row r="728" spans="1:18" ht="15.75" customHeight="1" thickBot="1" x14ac:dyDescent="0.35">
      <c r="A728" s="17"/>
      <c r="B728" s="172"/>
      <c r="C728" s="172"/>
      <c r="D728" s="172"/>
      <c r="E728" s="172"/>
      <c r="F728" s="172"/>
      <c r="G728" s="172"/>
      <c r="H728" s="172"/>
      <c r="I728" s="172"/>
      <c r="J728" s="172"/>
      <c r="K728" s="172"/>
      <c r="L728" s="172"/>
      <c r="M728" s="172"/>
      <c r="N728" s="172"/>
      <c r="O728" s="172"/>
      <c r="P728" s="172"/>
      <c r="Q728" s="172"/>
      <c r="R728" s="17"/>
    </row>
    <row r="729" spans="1:18" ht="16.5" customHeight="1" thickBot="1" x14ac:dyDescent="0.35">
      <c r="A729" s="278" t="s">
        <v>1709</v>
      </c>
      <c r="B729" s="4" t="s">
        <v>2090</v>
      </c>
      <c r="C729" s="5" t="s">
        <v>2091</v>
      </c>
      <c r="D729" s="5" t="s">
        <v>2234</v>
      </c>
      <c r="E729" s="35" t="s">
        <v>1594</v>
      </c>
      <c r="F729" s="5" t="s">
        <v>2235</v>
      </c>
      <c r="G729" s="5" t="s">
        <v>2236</v>
      </c>
      <c r="H729" s="5" t="s">
        <v>2237</v>
      </c>
      <c r="I729" s="35" t="s">
        <v>1595</v>
      </c>
      <c r="J729" s="5" t="s">
        <v>1504</v>
      </c>
      <c r="K729" s="5" t="s">
        <v>1505</v>
      </c>
      <c r="L729" s="5" t="s">
        <v>1506</v>
      </c>
      <c r="M729" s="35" t="s">
        <v>1596</v>
      </c>
      <c r="N729" s="5" t="s">
        <v>1507</v>
      </c>
      <c r="O729" s="5" t="s">
        <v>1508</v>
      </c>
      <c r="P729" s="5" t="s">
        <v>1509</v>
      </c>
      <c r="Q729" s="35" t="s">
        <v>1597</v>
      </c>
      <c r="R729" s="59" t="s">
        <v>1510</v>
      </c>
    </row>
    <row r="730" spans="1:18" ht="16.5" customHeight="1" thickBot="1" x14ac:dyDescent="0.35">
      <c r="A730" s="22"/>
      <c r="B730" s="242"/>
      <c r="C730" s="242"/>
      <c r="D730" s="242"/>
      <c r="E730" s="282"/>
      <c r="F730" s="242"/>
      <c r="G730" s="242"/>
      <c r="H730" s="242"/>
      <c r="I730" s="282"/>
      <c r="J730" s="242"/>
      <c r="K730" s="242"/>
      <c r="L730" s="242"/>
      <c r="M730" s="282"/>
      <c r="N730" s="242"/>
      <c r="O730" s="242"/>
      <c r="P730" s="242"/>
      <c r="Q730" s="282"/>
      <c r="R730" s="19"/>
    </row>
    <row r="731" spans="1:18" ht="15.75" customHeight="1" x14ac:dyDescent="0.3">
      <c r="A731" s="234" t="s">
        <v>2417</v>
      </c>
      <c r="B731" s="172" t="s">
        <v>852</v>
      </c>
      <c r="C731" s="172" t="s">
        <v>852</v>
      </c>
      <c r="D731" s="172" t="s">
        <v>852</v>
      </c>
      <c r="E731" s="38" t="s">
        <v>852</v>
      </c>
      <c r="F731" s="172" t="s">
        <v>852</v>
      </c>
      <c r="G731" s="172" t="s">
        <v>852</v>
      </c>
      <c r="H731" s="172" t="s">
        <v>852</v>
      </c>
      <c r="I731" s="38" t="s">
        <v>852</v>
      </c>
      <c r="J731" s="172" t="s">
        <v>852</v>
      </c>
      <c r="K731" s="172" t="s">
        <v>852</v>
      </c>
      <c r="L731" s="172" t="s">
        <v>852</v>
      </c>
      <c r="M731" s="38" t="s">
        <v>852</v>
      </c>
      <c r="N731" s="172" t="s">
        <v>852</v>
      </c>
      <c r="O731" s="172" t="s">
        <v>852</v>
      </c>
      <c r="P731" s="172" t="s">
        <v>852</v>
      </c>
      <c r="Q731" s="38" t="s">
        <v>852</v>
      </c>
      <c r="R731" s="38" t="s">
        <v>852</v>
      </c>
    </row>
    <row r="732" spans="1:18" ht="15.75" customHeight="1" x14ac:dyDescent="0.3">
      <c r="A732" s="234" t="s">
        <v>2160</v>
      </c>
      <c r="B732" s="172"/>
      <c r="C732" s="172"/>
      <c r="D732" s="172"/>
      <c r="E732" s="38" t="s">
        <v>852</v>
      </c>
      <c r="F732" s="172"/>
      <c r="G732" s="172"/>
      <c r="H732" s="172"/>
      <c r="I732" s="38" t="s">
        <v>852</v>
      </c>
      <c r="J732" s="172"/>
      <c r="K732" s="172"/>
      <c r="L732" s="172"/>
      <c r="M732" s="38" t="s">
        <v>852</v>
      </c>
      <c r="N732" s="172"/>
      <c r="O732" s="172"/>
      <c r="P732" s="172"/>
      <c r="Q732" s="38" t="s">
        <v>852</v>
      </c>
      <c r="R732" s="38" t="s">
        <v>852</v>
      </c>
    </row>
    <row r="733" spans="1:18" ht="15.75" customHeight="1" x14ac:dyDescent="0.3">
      <c r="A733" s="266" t="s">
        <v>573</v>
      </c>
      <c r="B733" s="172"/>
      <c r="C733" s="172"/>
      <c r="D733" s="172"/>
      <c r="E733" s="38">
        <f>SUM(B733:D733)</f>
        <v>0</v>
      </c>
      <c r="F733" s="172"/>
      <c r="G733" s="172"/>
      <c r="H733" s="172"/>
      <c r="I733" s="38">
        <f>SUM(F733:H733)</f>
        <v>0</v>
      </c>
      <c r="J733" s="172"/>
      <c r="K733" s="172"/>
      <c r="L733" s="172">
        <v>47</v>
      </c>
      <c r="M733" s="38">
        <f>SUM(J733:L733)</f>
        <v>47</v>
      </c>
      <c r="N733" s="172"/>
      <c r="O733" s="172"/>
      <c r="P733" s="172"/>
      <c r="Q733" s="38">
        <f>SUM(N733:P733)</f>
        <v>0</v>
      </c>
      <c r="R733" s="38">
        <f>+E733+I733+M733+Q733</f>
        <v>47</v>
      </c>
    </row>
    <row r="734" spans="1:18" ht="15.75" customHeight="1" x14ac:dyDescent="0.3">
      <c r="A734" s="234" t="s">
        <v>2161</v>
      </c>
      <c r="B734" s="172"/>
      <c r="C734" s="172"/>
      <c r="D734" s="172"/>
      <c r="E734" s="38" t="s">
        <v>852</v>
      </c>
      <c r="F734" s="172"/>
      <c r="G734" s="172"/>
      <c r="H734" s="172"/>
      <c r="I734" s="38" t="s">
        <v>852</v>
      </c>
      <c r="J734" s="172"/>
      <c r="K734" s="172"/>
      <c r="L734" s="172"/>
      <c r="M734" s="38" t="s">
        <v>852</v>
      </c>
      <c r="N734" s="172"/>
      <c r="O734" s="172"/>
      <c r="P734" s="172"/>
      <c r="Q734" s="38" t="s">
        <v>852</v>
      </c>
      <c r="R734" s="38" t="s">
        <v>852</v>
      </c>
    </row>
    <row r="735" spans="1:18" ht="15.75" customHeight="1" x14ac:dyDescent="0.3">
      <c r="A735" s="234" t="s">
        <v>3245</v>
      </c>
      <c r="B735" s="172"/>
      <c r="C735" s="172"/>
      <c r="D735" s="172"/>
      <c r="E735" s="38" t="s">
        <v>852</v>
      </c>
      <c r="F735" s="172"/>
      <c r="G735" s="172"/>
      <c r="H735" s="172"/>
      <c r="I735" s="38" t="s">
        <v>852</v>
      </c>
      <c r="J735" s="172"/>
      <c r="K735" s="172"/>
      <c r="L735" s="172"/>
      <c r="M735" s="38" t="s">
        <v>852</v>
      </c>
      <c r="N735" s="172"/>
      <c r="O735" s="172"/>
      <c r="P735" s="172"/>
      <c r="Q735" s="38" t="s">
        <v>852</v>
      </c>
      <c r="R735" s="38" t="s">
        <v>852</v>
      </c>
    </row>
    <row r="736" spans="1:18" ht="15.75" customHeight="1" thickBot="1" x14ac:dyDescent="0.35">
      <c r="A736" s="234" t="s">
        <v>2164</v>
      </c>
      <c r="B736" s="172"/>
      <c r="C736" s="172"/>
      <c r="D736" s="172"/>
      <c r="E736" s="38" t="s">
        <v>852</v>
      </c>
      <c r="F736" s="172"/>
      <c r="G736" s="172"/>
      <c r="H736" s="172"/>
      <c r="I736" s="38" t="s">
        <v>852</v>
      </c>
      <c r="J736" s="172"/>
      <c r="K736" s="172"/>
      <c r="L736" s="172"/>
      <c r="M736" s="38" t="s">
        <v>852</v>
      </c>
      <c r="N736" s="172"/>
      <c r="O736" s="172"/>
      <c r="P736" s="172"/>
      <c r="Q736" s="38" t="s">
        <v>852</v>
      </c>
      <c r="R736" s="38" t="s">
        <v>852</v>
      </c>
    </row>
    <row r="737" spans="1:18" ht="16.5" customHeight="1" thickBot="1" x14ac:dyDescent="0.35">
      <c r="A737" s="43" t="s">
        <v>1218</v>
      </c>
      <c r="B737" s="45">
        <f>SUM(B731:B736)</f>
        <v>0</v>
      </c>
      <c r="C737" s="46">
        <f>SUM(C731:C736)</f>
        <v>0</v>
      </c>
      <c r="D737" s="46">
        <f>SUM(D731:D736)</f>
        <v>0</v>
      </c>
      <c r="E737" s="37">
        <f>SUM(B737:D737)</f>
        <v>0</v>
      </c>
      <c r="F737" s="46">
        <f>SUM(F731:F736)</f>
        <v>0</v>
      </c>
      <c r="G737" s="46">
        <f>SUM(G731:G736)</f>
        <v>0</v>
      </c>
      <c r="H737" s="46">
        <f>SUM(H731:H736)</f>
        <v>0</v>
      </c>
      <c r="I737" s="37">
        <f>SUM(F737:H737)</f>
        <v>0</v>
      </c>
      <c r="J737" s="46">
        <f>SUM(J731:J736)</f>
        <v>0</v>
      </c>
      <c r="K737" s="46">
        <f>SUM(K731:K736)</f>
        <v>0</v>
      </c>
      <c r="L737" s="46">
        <f>SUM(L731:L736)</f>
        <v>47</v>
      </c>
      <c r="M737" s="37">
        <f>SUM(J737:L737)</f>
        <v>47</v>
      </c>
      <c r="N737" s="46">
        <f>SUM(N731:N736)</f>
        <v>0</v>
      </c>
      <c r="O737" s="46">
        <f>SUM(O731:O736)</f>
        <v>0</v>
      </c>
      <c r="P737" s="46">
        <f>SUM(P731:P736)</f>
        <v>0</v>
      </c>
      <c r="Q737" s="37">
        <f>SUM(N737:P737)</f>
        <v>0</v>
      </c>
      <c r="R737" s="37">
        <f>+E737+I737+M737+Q737</f>
        <v>47</v>
      </c>
    </row>
    <row r="738" spans="1:18" ht="15.75" customHeight="1" x14ac:dyDescent="0.3">
      <c r="A738" s="234" t="s">
        <v>1172</v>
      </c>
      <c r="B738" s="172"/>
      <c r="C738" s="172"/>
      <c r="D738" s="172"/>
      <c r="E738" s="38" t="s">
        <v>852</v>
      </c>
      <c r="F738" s="172"/>
      <c r="G738" s="172"/>
      <c r="H738" s="172"/>
      <c r="I738" s="38" t="s">
        <v>852</v>
      </c>
      <c r="J738" s="172"/>
      <c r="K738" s="172"/>
      <c r="L738" s="172"/>
      <c r="M738" s="38" t="s">
        <v>852</v>
      </c>
      <c r="N738" s="172"/>
      <c r="O738" s="172"/>
      <c r="P738" s="172"/>
      <c r="Q738" s="38" t="s">
        <v>852</v>
      </c>
      <c r="R738" s="38" t="s">
        <v>852</v>
      </c>
    </row>
    <row r="739" spans="1:18" ht="15.75" customHeight="1" x14ac:dyDescent="0.3">
      <c r="A739" s="234" t="s">
        <v>2409</v>
      </c>
      <c r="B739" s="172"/>
      <c r="C739" s="172"/>
      <c r="D739" s="172"/>
      <c r="E739" s="38" t="s">
        <v>852</v>
      </c>
      <c r="F739" s="172"/>
      <c r="G739" s="172"/>
      <c r="H739" s="172"/>
      <c r="I739" s="38" t="s">
        <v>852</v>
      </c>
      <c r="J739" s="172"/>
      <c r="K739" s="172"/>
      <c r="L739" s="172"/>
      <c r="M739" s="38" t="s">
        <v>852</v>
      </c>
      <c r="N739" s="172"/>
      <c r="O739" s="172"/>
      <c r="P739" s="172"/>
      <c r="Q739" s="38" t="s">
        <v>852</v>
      </c>
      <c r="R739" s="38" t="s">
        <v>852</v>
      </c>
    </row>
    <row r="740" spans="1:18" ht="15.75" customHeight="1" thickBot="1" x14ac:dyDescent="0.35">
      <c r="A740" s="234" t="s">
        <v>2165</v>
      </c>
      <c r="B740" s="172"/>
      <c r="C740" s="172"/>
      <c r="D740" s="172"/>
      <c r="E740" s="38" t="s">
        <v>852</v>
      </c>
      <c r="F740" s="172"/>
      <c r="G740" s="172"/>
      <c r="H740" s="172"/>
      <c r="I740" s="38" t="s">
        <v>852</v>
      </c>
      <c r="J740" s="172"/>
      <c r="K740" s="172"/>
      <c r="L740" s="172"/>
      <c r="M740" s="38" t="s">
        <v>852</v>
      </c>
      <c r="N740" s="172"/>
      <c r="O740" s="172"/>
      <c r="P740" s="172"/>
      <c r="Q740" s="38" t="s">
        <v>852</v>
      </c>
      <c r="R740" s="38" t="s">
        <v>852</v>
      </c>
    </row>
    <row r="741" spans="1:18" ht="16.5" customHeight="1" thickBot="1" x14ac:dyDescent="0.35">
      <c r="A741" s="43" t="s">
        <v>1219</v>
      </c>
      <c r="B741" s="45">
        <f>SUM(B738:B740)</f>
        <v>0</v>
      </c>
      <c r="C741" s="46">
        <f>SUM(C738:C740)</f>
        <v>0</v>
      </c>
      <c r="D741" s="46">
        <f>SUM(D738:D740)</f>
        <v>0</v>
      </c>
      <c r="E741" s="37">
        <f>SUM(B741:D741)</f>
        <v>0</v>
      </c>
      <c r="F741" s="46">
        <f>SUM(F738:F740)</f>
        <v>0</v>
      </c>
      <c r="G741" s="46">
        <f>SUM(G738:G740)</f>
        <v>0</v>
      </c>
      <c r="H741" s="46">
        <f>SUM(H738:H740)</f>
        <v>0</v>
      </c>
      <c r="I741" s="37">
        <f>SUM(F741:H741)</f>
        <v>0</v>
      </c>
      <c r="J741" s="46">
        <f>SUM(J738:J740)</f>
        <v>0</v>
      </c>
      <c r="K741" s="46">
        <f>SUM(K738:K740)</f>
        <v>0</v>
      </c>
      <c r="L741" s="46">
        <f>SUM(L738:L740)</f>
        <v>0</v>
      </c>
      <c r="M741" s="37">
        <f>SUM(J741:L741)</f>
        <v>0</v>
      </c>
      <c r="N741" s="46">
        <f>SUM(N738:N740)</f>
        <v>0</v>
      </c>
      <c r="O741" s="46">
        <f>SUM(O738:O740)</f>
        <v>0</v>
      </c>
      <c r="P741" s="46">
        <f>SUM(P738:P740)</f>
        <v>0</v>
      </c>
      <c r="Q741" s="37">
        <f>SUM(N741:P741)</f>
        <v>0</v>
      </c>
      <c r="R741" s="37">
        <f>+E741+I741+M741+Q741</f>
        <v>0</v>
      </c>
    </row>
    <row r="742" spans="1:18" ht="15.75" customHeight="1" x14ac:dyDescent="0.3">
      <c r="A742" s="234" t="s">
        <v>2166</v>
      </c>
      <c r="B742" s="172"/>
      <c r="C742" s="172"/>
      <c r="D742" s="172"/>
      <c r="E742" s="38" t="s">
        <v>852</v>
      </c>
      <c r="F742" s="172"/>
      <c r="G742" s="172"/>
      <c r="H742" s="172"/>
      <c r="I742" s="38" t="s">
        <v>852</v>
      </c>
      <c r="J742" s="172"/>
      <c r="K742" s="172"/>
      <c r="L742" s="172"/>
      <c r="M742" s="38" t="s">
        <v>852</v>
      </c>
      <c r="N742" s="172"/>
      <c r="O742" s="172"/>
      <c r="P742" s="172"/>
      <c r="Q742" s="38" t="s">
        <v>852</v>
      </c>
      <c r="R742" s="38" t="s">
        <v>852</v>
      </c>
    </row>
    <row r="743" spans="1:18" ht="15.75" customHeight="1" x14ac:dyDescent="0.3">
      <c r="A743" s="234" t="s">
        <v>1245</v>
      </c>
      <c r="B743" s="172"/>
      <c r="C743" s="172"/>
      <c r="D743" s="172"/>
      <c r="E743" s="38" t="s">
        <v>852</v>
      </c>
      <c r="F743" s="172"/>
      <c r="G743" s="172"/>
      <c r="H743" s="172"/>
      <c r="I743" s="38" t="s">
        <v>852</v>
      </c>
      <c r="J743" s="172"/>
      <c r="K743" s="172"/>
      <c r="L743" s="172"/>
      <c r="M743" s="38" t="s">
        <v>852</v>
      </c>
      <c r="N743" s="172"/>
      <c r="O743" s="172"/>
      <c r="P743" s="172"/>
      <c r="Q743" s="38" t="s">
        <v>852</v>
      </c>
      <c r="R743" s="38" t="s">
        <v>852</v>
      </c>
    </row>
    <row r="744" spans="1:18" ht="15.75" customHeight="1" thickBot="1" x14ac:dyDescent="0.35">
      <c r="A744" s="234" t="s">
        <v>1711</v>
      </c>
      <c r="B744" s="172"/>
      <c r="C744" s="172"/>
      <c r="D744" s="172"/>
      <c r="E744" s="38" t="s">
        <v>852</v>
      </c>
      <c r="F744" s="172"/>
      <c r="G744" s="172"/>
      <c r="H744" s="172"/>
      <c r="I744" s="38" t="s">
        <v>852</v>
      </c>
      <c r="J744" s="172"/>
      <c r="K744" s="172"/>
      <c r="L744" s="172"/>
      <c r="M744" s="38" t="s">
        <v>852</v>
      </c>
      <c r="N744" s="172"/>
      <c r="O744" s="172"/>
      <c r="P744" s="172"/>
      <c r="Q744" s="38" t="s">
        <v>852</v>
      </c>
      <c r="R744" s="38" t="s">
        <v>852</v>
      </c>
    </row>
    <row r="745" spans="1:18" ht="16.5" customHeight="1" thickBot="1" x14ac:dyDescent="0.35">
      <c r="A745" s="43" t="s">
        <v>1220</v>
      </c>
      <c r="B745" s="45">
        <f>SUM(B742:B744)</f>
        <v>0</v>
      </c>
      <c r="C745" s="46">
        <f>SUM(C742:C744)</f>
        <v>0</v>
      </c>
      <c r="D745" s="46">
        <f>SUM(D742:D744)</f>
        <v>0</v>
      </c>
      <c r="E745" s="37">
        <f>SUM(B745:D745)</f>
        <v>0</v>
      </c>
      <c r="F745" s="46">
        <f>SUM(F742:F744)</f>
        <v>0</v>
      </c>
      <c r="G745" s="46">
        <f>SUM(G742:G744)</f>
        <v>0</v>
      </c>
      <c r="H745" s="46">
        <f>SUM(H742:H744)</f>
        <v>0</v>
      </c>
      <c r="I745" s="37">
        <f>SUM(F745:H745)</f>
        <v>0</v>
      </c>
      <c r="J745" s="46">
        <f>SUM(J742:J744)</f>
        <v>0</v>
      </c>
      <c r="K745" s="46">
        <f>SUM(K742:K744)</f>
        <v>0</v>
      </c>
      <c r="L745" s="46">
        <f>SUM(L742:L744)</f>
        <v>0</v>
      </c>
      <c r="M745" s="37">
        <f>SUM(J745:L745)</f>
        <v>0</v>
      </c>
      <c r="N745" s="46">
        <f>SUM(N742:N744)</f>
        <v>0</v>
      </c>
      <c r="O745" s="46">
        <f>SUM(O742:O744)</f>
        <v>0</v>
      </c>
      <c r="P745" s="46">
        <f>SUM(P742:P744)</f>
        <v>0</v>
      </c>
      <c r="Q745" s="37">
        <f>SUM(N745:P745)</f>
        <v>0</v>
      </c>
      <c r="R745" s="37">
        <f>+E745+I745+M745+Q745</f>
        <v>0</v>
      </c>
    </row>
    <row r="746" spans="1:18" ht="15.75" customHeight="1" x14ac:dyDescent="0.3">
      <c r="A746" s="234" t="s">
        <v>1712</v>
      </c>
      <c r="B746" s="172"/>
      <c r="C746" s="172"/>
      <c r="D746" s="172"/>
      <c r="E746" s="38" t="s">
        <v>852</v>
      </c>
      <c r="F746" s="172"/>
      <c r="G746" s="172"/>
      <c r="H746" s="172"/>
      <c r="I746" s="38" t="s">
        <v>852</v>
      </c>
      <c r="J746" s="172"/>
      <c r="K746" s="172"/>
      <c r="L746" s="172"/>
      <c r="M746" s="38" t="s">
        <v>852</v>
      </c>
      <c r="N746" s="172"/>
      <c r="O746" s="172"/>
      <c r="P746" s="172"/>
      <c r="Q746" s="38" t="s">
        <v>852</v>
      </c>
      <c r="R746" s="38" t="s">
        <v>852</v>
      </c>
    </row>
    <row r="747" spans="1:18" ht="15.75" customHeight="1" x14ac:dyDescent="0.3">
      <c r="A747" s="234" t="s">
        <v>1021</v>
      </c>
      <c r="B747" s="172"/>
      <c r="C747" s="172"/>
      <c r="D747" s="172"/>
      <c r="E747" s="38" t="s">
        <v>852</v>
      </c>
      <c r="F747" s="172"/>
      <c r="G747" s="172"/>
      <c r="H747" s="172"/>
      <c r="I747" s="38" t="s">
        <v>852</v>
      </c>
      <c r="J747" s="172"/>
      <c r="K747" s="172"/>
      <c r="L747" s="172"/>
      <c r="M747" s="38" t="s">
        <v>852</v>
      </c>
      <c r="N747" s="172"/>
      <c r="O747" s="172"/>
      <c r="P747" s="172"/>
      <c r="Q747" s="38" t="s">
        <v>852</v>
      </c>
      <c r="R747" s="38" t="s">
        <v>852</v>
      </c>
    </row>
    <row r="748" spans="1:18" ht="15.75" customHeight="1" x14ac:dyDescent="0.3">
      <c r="A748" s="234" t="s">
        <v>557</v>
      </c>
      <c r="B748" s="172"/>
      <c r="C748" s="172"/>
      <c r="D748" s="172"/>
      <c r="E748" s="38" t="s">
        <v>852</v>
      </c>
      <c r="F748" s="172"/>
      <c r="G748" s="172"/>
      <c r="H748" s="172"/>
      <c r="I748" s="38" t="s">
        <v>852</v>
      </c>
      <c r="J748" s="172"/>
      <c r="K748" s="172"/>
      <c r="L748" s="172"/>
      <c r="M748" s="38" t="s">
        <v>852</v>
      </c>
      <c r="N748" s="172"/>
      <c r="O748" s="172"/>
      <c r="P748" s="172"/>
      <c r="Q748" s="38" t="s">
        <v>852</v>
      </c>
      <c r="R748" s="38" t="s">
        <v>852</v>
      </c>
    </row>
    <row r="749" spans="1:18" ht="15.75" customHeight="1" x14ac:dyDescent="0.3">
      <c r="A749" s="234" t="s">
        <v>1022</v>
      </c>
      <c r="B749" s="172"/>
      <c r="C749" s="172"/>
      <c r="D749" s="172"/>
      <c r="E749" s="38" t="s">
        <v>852</v>
      </c>
      <c r="F749" s="172"/>
      <c r="G749" s="172"/>
      <c r="H749" s="172"/>
      <c r="I749" s="38" t="s">
        <v>852</v>
      </c>
      <c r="J749" s="172"/>
      <c r="K749" s="172"/>
      <c r="L749" s="172"/>
      <c r="M749" s="38" t="s">
        <v>852</v>
      </c>
      <c r="N749" s="172"/>
      <c r="O749" s="172"/>
      <c r="P749" s="172"/>
      <c r="Q749" s="38" t="s">
        <v>852</v>
      </c>
      <c r="R749" s="38" t="s">
        <v>852</v>
      </c>
    </row>
    <row r="750" spans="1:18" ht="15.75" customHeight="1" thickBot="1" x14ac:dyDescent="0.35">
      <c r="A750" s="234" t="s">
        <v>559</v>
      </c>
      <c r="B750" s="172"/>
      <c r="C750" s="172"/>
      <c r="D750" s="172"/>
      <c r="E750" s="38" t="s">
        <v>852</v>
      </c>
      <c r="F750" s="172"/>
      <c r="G750" s="172"/>
      <c r="H750" s="172"/>
      <c r="I750" s="38" t="s">
        <v>852</v>
      </c>
      <c r="J750" s="172"/>
      <c r="K750" s="172"/>
      <c r="L750" s="172"/>
      <c r="M750" s="38" t="s">
        <v>852</v>
      </c>
      <c r="N750" s="172"/>
      <c r="O750" s="172"/>
      <c r="P750" s="172"/>
      <c r="Q750" s="38" t="s">
        <v>852</v>
      </c>
      <c r="R750" s="38" t="s">
        <v>852</v>
      </c>
    </row>
    <row r="751" spans="1:18" ht="16.5" customHeight="1" thickBot="1" x14ac:dyDescent="0.35">
      <c r="A751" s="43" t="s">
        <v>1019</v>
      </c>
      <c r="B751" s="42">
        <f>SUM(B749:B750)</f>
        <v>0</v>
      </c>
      <c r="C751" s="42">
        <f>SUM(C749:C750)</f>
        <v>0</v>
      </c>
      <c r="D751" s="42">
        <f>SUM(D749:D750)</f>
        <v>0</v>
      </c>
      <c r="E751" s="39">
        <f>SUM(B751:D751)</f>
        <v>0</v>
      </c>
      <c r="F751" s="42">
        <f>SUM(F749:F750)</f>
        <v>0</v>
      </c>
      <c r="G751" s="42">
        <f>SUM(G749:G750)</f>
        <v>0</v>
      </c>
      <c r="H751" s="42">
        <f>SUM(H749:H750)</f>
        <v>0</v>
      </c>
      <c r="I751" s="39">
        <f>SUM(F751:H751)</f>
        <v>0</v>
      </c>
      <c r="J751" s="42">
        <f>SUM(J749:J750)</f>
        <v>0</v>
      </c>
      <c r="K751" s="42">
        <f>SUM(K749:K750)</f>
        <v>0</v>
      </c>
      <c r="L751" s="42">
        <f>SUM(L749:L750)</f>
        <v>0</v>
      </c>
      <c r="M751" s="39">
        <f>SUM(J751:L751)</f>
        <v>0</v>
      </c>
      <c r="N751" s="42">
        <f>SUM(N749:N750)</f>
        <v>0</v>
      </c>
      <c r="O751" s="42">
        <f>SUM(O749:O750)</f>
        <v>0</v>
      </c>
      <c r="P751" s="42">
        <f>SUM(P749:P750)</f>
        <v>0</v>
      </c>
      <c r="Q751" s="39">
        <f>SUM(N751:P751)</f>
        <v>0</v>
      </c>
      <c r="R751" s="37">
        <f>+E751+I751+M751+Q751</f>
        <v>0</v>
      </c>
    </row>
    <row r="752" spans="1:18" ht="16.5" customHeight="1" thickBot="1" x14ac:dyDescent="0.35">
      <c r="A752" s="43" t="s">
        <v>1221</v>
      </c>
      <c r="B752" s="45">
        <f>SUM(B746:B750)</f>
        <v>0</v>
      </c>
      <c r="C752" s="46">
        <f>SUM(C746:C750)</f>
        <v>0</v>
      </c>
      <c r="D752" s="58">
        <f>SUM(D746:D750)</f>
        <v>0</v>
      </c>
      <c r="E752" s="39">
        <f>SUM(B752:D752)</f>
        <v>0</v>
      </c>
      <c r="F752" s="46">
        <f>SUM(F746:F750)</f>
        <v>0</v>
      </c>
      <c r="G752" s="46">
        <f>SUM(G746:G750)</f>
        <v>0</v>
      </c>
      <c r="H752" s="46">
        <f>SUM(H746:H750)</f>
        <v>0</v>
      </c>
      <c r="I752" s="39">
        <f>SUM(F752:H752)</f>
        <v>0</v>
      </c>
      <c r="J752" s="46">
        <f>SUM(J746:J750)</f>
        <v>0</v>
      </c>
      <c r="K752" s="46">
        <f>SUM(K746:K750)</f>
        <v>0</v>
      </c>
      <c r="L752" s="46">
        <f>SUM(L746:L750)</f>
        <v>0</v>
      </c>
      <c r="M752" s="39">
        <f>SUM(J752:L752)</f>
        <v>0</v>
      </c>
      <c r="N752" s="46">
        <f>SUM(N746:N750)</f>
        <v>0</v>
      </c>
      <c r="O752" s="46">
        <f>SUM(O746:O750)</f>
        <v>0</v>
      </c>
      <c r="P752" s="46">
        <f>SUM(P746:P750)</f>
        <v>0</v>
      </c>
      <c r="Q752" s="39">
        <f>SUM(N752:P752)</f>
        <v>0</v>
      </c>
      <c r="R752" s="37">
        <f>+E752+I752+M752+Q752</f>
        <v>0</v>
      </c>
    </row>
    <row r="753" spans="1:20" ht="16.5" customHeight="1" thickBot="1" x14ac:dyDescent="0.35">
      <c r="A753" s="43" t="s">
        <v>1222</v>
      </c>
      <c r="B753" s="47">
        <f>+B737+B741+B745+B752</f>
        <v>0</v>
      </c>
      <c r="C753" s="42">
        <f>+C737+C741+C745+C752</f>
        <v>0</v>
      </c>
      <c r="D753" s="42">
        <f>+D737+D741+D745+D752</f>
        <v>0</v>
      </c>
      <c r="E753" s="37">
        <f>SUM(B753:D753)</f>
        <v>0</v>
      </c>
      <c r="F753" s="42">
        <f>+F737+F741+F745+F752</f>
        <v>0</v>
      </c>
      <c r="G753" s="42">
        <f>+G737+G741+G745+G752</f>
        <v>0</v>
      </c>
      <c r="H753" s="42">
        <f>+H737+H741+H745+H752</f>
        <v>0</v>
      </c>
      <c r="I753" s="37">
        <f>SUM(F753:H753)</f>
        <v>0</v>
      </c>
      <c r="J753" s="42">
        <f>+J737+J741+J745+J752</f>
        <v>0</v>
      </c>
      <c r="K753" s="42">
        <f>+K737+K741+K745+K752</f>
        <v>0</v>
      </c>
      <c r="L753" s="42">
        <f>+L737+L741+L745+L752</f>
        <v>47</v>
      </c>
      <c r="M753" s="37">
        <f>SUM(J753:L753)</f>
        <v>47</v>
      </c>
      <c r="N753" s="42">
        <f>+N737+N741+N745+N752</f>
        <v>0</v>
      </c>
      <c r="O753" s="42">
        <f>+O737+O741+O745+O752</f>
        <v>0</v>
      </c>
      <c r="P753" s="42">
        <f>+P737+P741+P745+P752</f>
        <v>0</v>
      </c>
      <c r="Q753" s="37">
        <f>SUM(N753:P753)</f>
        <v>0</v>
      </c>
      <c r="R753" s="40">
        <f>+E753+I753+M753+Q753</f>
        <v>47</v>
      </c>
    </row>
    <row r="754" spans="1:20" ht="15.75" customHeight="1" x14ac:dyDescent="0.3">
      <c r="A754" s="266" t="s">
        <v>2117</v>
      </c>
      <c r="B754" s="172">
        <v>243</v>
      </c>
      <c r="C754" s="172">
        <v>1092</v>
      </c>
      <c r="D754" s="172">
        <v>1211</v>
      </c>
      <c r="E754" s="38">
        <f>SUM(B754:D754)</f>
        <v>2546</v>
      </c>
      <c r="F754" s="172">
        <v>3139</v>
      </c>
      <c r="G754" s="172">
        <v>5336</v>
      </c>
      <c r="H754" s="172">
        <v>6668</v>
      </c>
      <c r="I754" s="38">
        <f>SUM(F754:H754)</f>
        <v>15143</v>
      </c>
      <c r="J754" s="172">
        <v>5553</v>
      </c>
      <c r="K754" s="172">
        <v>5238</v>
      </c>
      <c r="L754" s="172">
        <v>4980</v>
      </c>
      <c r="M754" s="38">
        <f>SUM(J754:L754)</f>
        <v>15771</v>
      </c>
      <c r="N754" s="172">
        <v>4749</v>
      </c>
      <c r="O754" s="172">
        <v>2363</v>
      </c>
      <c r="P754" s="172">
        <v>3355</v>
      </c>
      <c r="Q754" s="38">
        <f>SUM(N754:P754)</f>
        <v>10467</v>
      </c>
      <c r="R754" s="38">
        <f>+E754+I754+M754+Q754</f>
        <v>43927</v>
      </c>
    </row>
    <row r="755" spans="1:20" ht="15.75" customHeight="1" thickBot="1" x14ac:dyDescent="0.35">
      <c r="A755" s="266" t="s">
        <v>853</v>
      </c>
      <c r="B755" s="172">
        <v>0</v>
      </c>
      <c r="C755" s="172">
        <v>0</v>
      </c>
      <c r="D755" s="172">
        <v>0</v>
      </c>
      <c r="E755" s="38">
        <f>SUM(B755:D755)</f>
        <v>0</v>
      </c>
      <c r="F755" s="172">
        <v>0</v>
      </c>
      <c r="G755" s="172">
        <v>0</v>
      </c>
      <c r="H755" s="172">
        <v>0</v>
      </c>
      <c r="I755" s="38">
        <f>SUM(F755:H755)</f>
        <v>0</v>
      </c>
      <c r="J755" s="172">
        <v>0</v>
      </c>
      <c r="K755" s="172">
        <v>0</v>
      </c>
      <c r="L755" s="172">
        <v>0</v>
      </c>
      <c r="M755" s="38">
        <f>SUM(J755:L755)</f>
        <v>0</v>
      </c>
      <c r="N755" s="172">
        <v>0</v>
      </c>
      <c r="O755" s="172">
        <v>0</v>
      </c>
      <c r="P755" s="172">
        <v>0</v>
      </c>
      <c r="Q755" s="38">
        <f>SUM(N755:P755)</f>
        <v>0</v>
      </c>
      <c r="R755" s="38">
        <f>+E755+I755+M755+Q755</f>
        <v>0</v>
      </c>
    </row>
    <row r="756" spans="1:20" ht="16.5" customHeight="1" thickBot="1" x14ac:dyDescent="0.35">
      <c r="A756" s="281"/>
      <c r="B756" s="232"/>
      <c r="C756" s="232"/>
      <c r="D756" s="232"/>
      <c r="E756" s="37" t="s">
        <v>852</v>
      </c>
      <c r="F756" s="232"/>
      <c r="G756" s="232"/>
      <c r="H756" s="232"/>
      <c r="I756" s="37" t="s">
        <v>852</v>
      </c>
      <c r="J756" s="232"/>
      <c r="K756" s="232"/>
      <c r="L756" s="232"/>
      <c r="M756" s="37" t="s">
        <v>852</v>
      </c>
      <c r="N756" s="232"/>
      <c r="O756" s="232"/>
      <c r="P756" s="232"/>
      <c r="Q756" s="37"/>
      <c r="R756" s="37"/>
    </row>
    <row r="757" spans="1:20" ht="15.75" customHeight="1" x14ac:dyDescent="0.3">
      <c r="A757" s="234" t="s">
        <v>2011</v>
      </c>
      <c r="B757" s="172">
        <f>SUM(B753:B755)</f>
        <v>243</v>
      </c>
      <c r="C757" s="172">
        <f>SUM(C753:C755)</f>
        <v>1092</v>
      </c>
      <c r="D757" s="172">
        <f>SUM(D753:D755)</f>
        <v>1211</v>
      </c>
      <c r="E757" s="39">
        <f>SUM(B757:D757)</f>
        <v>2546</v>
      </c>
      <c r="F757" s="172">
        <f>SUM(F753:F755)</f>
        <v>3139</v>
      </c>
      <c r="G757" s="172">
        <f>SUM(G753:G755)</f>
        <v>5336</v>
      </c>
      <c r="H757" s="172">
        <f>SUM(H753:H755)</f>
        <v>6668</v>
      </c>
      <c r="I757" s="39">
        <f>SUM(F757:H757)</f>
        <v>15143</v>
      </c>
      <c r="J757" s="172">
        <f>SUM(J753:J755)</f>
        <v>5553</v>
      </c>
      <c r="K757" s="172">
        <f>SUM(K753:K755)</f>
        <v>5238</v>
      </c>
      <c r="L757" s="172">
        <f>SUM(L753:L755)</f>
        <v>5027</v>
      </c>
      <c r="M757" s="39">
        <f>SUM(J757:L757)</f>
        <v>15818</v>
      </c>
      <c r="N757" s="172">
        <f>SUM(N753:N755)</f>
        <v>4749</v>
      </c>
      <c r="O757" s="172">
        <f>SUM(O753:O755)</f>
        <v>2363</v>
      </c>
      <c r="P757" s="172">
        <f>SUM(P753:P755)</f>
        <v>3355</v>
      </c>
      <c r="Q757" s="39">
        <f>SUM(N757:P757)</f>
        <v>10467</v>
      </c>
      <c r="R757" s="39">
        <f>+E757+I757+M757+Q757</f>
        <v>43974</v>
      </c>
    </row>
    <row r="758" spans="1:20" ht="15.75" customHeight="1" x14ac:dyDescent="0.3">
      <c r="A758" s="234" t="s">
        <v>1897</v>
      </c>
      <c r="B758" s="172">
        <f>(B757/B10)/1.983</f>
        <v>3.9529549558342687</v>
      </c>
      <c r="C758" s="172">
        <f>(C757/C10)/1.983</f>
        <v>19.667170953101362</v>
      </c>
      <c r="D758" s="172">
        <f>(D757/D10)/1.983</f>
        <v>19.699705561791355</v>
      </c>
      <c r="E758" s="38" t="s">
        <v>852</v>
      </c>
      <c r="F758" s="172">
        <f>(F757/F10)/1.983</f>
        <v>52.765170616910403</v>
      </c>
      <c r="G758" s="172">
        <f>(G757/G10)/1.983</f>
        <v>86.802335984903934</v>
      </c>
      <c r="H758" s="172">
        <f>(H757/H10)/1.983</f>
        <v>112.08606488485459</v>
      </c>
      <c r="I758" s="38" t="s">
        <v>852</v>
      </c>
      <c r="J758" s="172">
        <f>(J757/J10)/1.983</f>
        <v>90.33234102776828</v>
      </c>
      <c r="K758" s="172">
        <f>(K757/K10)/1.983</f>
        <v>85.208140159094228</v>
      </c>
      <c r="L758" s="172">
        <f>(L757/L10)/1.983</f>
        <v>84.501596907043194</v>
      </c>
      <c r="M758" s="38" t="s">
        <v>852</v>
      </c>
      <c r="N758" s="172">
        <f>(N757/N10)/1.983</f>
        <v>77.253428334390705</v>
      </c>
      <c r="O758" s="172">
        <f>(O757/O10)/1.983</f>
        <v>39.720961506135481</v>
      </c>
      <c r="P758" s="172">
        <f>(P757/P10)/1.983</f>
        <v>54.576806077464894</v>
      </c>
      <c r="Q758" s="38" t="s">
        <v>852</v>
      </c>
      <c r="R758" s="38" t="s">
        <v>852</v>
      </c>
    </row>
    <row r="759" spans="1:20" ht="15.75" customHeight="1" x14ac:dyDescent="0.3">
      <c r="A759" s="234" t="s">
        <v>647</v>
      </c>
      <c r="B759" s="172">
        <f>B757</f>
        <v>243</v>
      </c>
      <c r="C759" s="172">
        <f>C757</f>
        <v>1092</v>
      </c>
      <c r="D759" s="172">
        <f>D757</f>
        <v>1211</v>
      </c>
      <c r="E759" s="38">
        <f>SUM(B759:D759)</f>
        <v>2546</v>
      </c>
      <c r="F759" s="172">
        <f>F757</f>
        <v>3139</v>
      </c>
      <c r="G759" s="172">
        <f>G757</f>
        <v>5336</v>
      </c>
      <c r="H759" s="172">
        <f>H757</f>
        <v>6668</v>
      </c>
      <c r="I759" s="38">
        <f>SUM(F759:H759)</f>
        <v>15143</v>
      </c>
      <c r="J759" s="172">
        <f>J757</f>
        <v>5553</v>
      </c>
      <c r="K759" s="172">
        <f>K757</f>
        <v>5238</v>
      </c>
      <c r="L759" s="172">
        <f>L757</f>
        <v>5027</v>
      </c>
      <c r="M759" s="38">
        <f>SUM(J759:L759)</f>
        <v>15818</v>
      </c>
      <c r="N759" s="172">
        <f>N757</f>
        <v>4749</v>
      </c>
      <c r="O759" s="172">
        <f>O757</f>
        <v>2363</v>
      </c>
      <c r="P759" s="172">
        <f>P757</f>
        <v>3355</v>
      </c>
      <c r="Q759" s="38">
        <f>SUM(N759:P759)</f>
        <v>10467</v>
      </c>
      <c r="R759" s="38">
        <f>+E759+I759+M759+Q759</f>
        <v>43974</v>
      </c>
    </row>
    <row r="760" spans="1:20" ht="16.5" customHeight="1" thickBot="1" x14ac:dyDescent="0.35">
      <c r="A760" s="237" t="s">
        <v>2191</v>
      </c>
      <c r="B760" s="238">
        <f>(B759/B10)/1.983</f>
        <v>3.9529549558342687</v>
      </c>
      <c r="C760" s="238">
        <f>(C759/C10)/1.983</f>
        <v>19.667170953101362</v>
      </c>
      <c r="D760" s="238">
        <f>(D759/D10)/1.983</f>
        <v>19.699705561791355</v>
      </c>
      <c r="E760" s="40" t="s">
        <v>852</v>
      </c>
      <c r="F760" s="238">
        <f>(F759/F10)/1.983</f>
        <v>52.765170616910403</v>
      </c>
      <c r="G760" s="238">
        <f>(G759/G10)/1.983</f>
        <v>86.802335984903934</v>
      </c>
      <c r="H760" s="238">
        <f>(H759/H10)/1.983</f>
        <v>112.08606488485459</v>
      </c>
      <c r="I760" s="40" t="s">
        <v>852</v>
      </c>
      <c r="J760" s="238">
        <f>(J759/J10)/1.983</f>
        <v>90.33234102776828</v>
      </c>
      <c r="K760" s="238">
        <f>(K759/K10)/1.983</f>
        <v>85.208140159094228</v>
      </c>
      <c r="L760" s="238">
        <f>(L759/L10)/1.983</f>
        <v>84.501596907043194</v>
      </c>
      <c r="M760" s="40" t="s">
        <v>852</v>
      </c>
      <c r="N760" s="238">
        <f>(N759/N10)/1.983</f>
        <v>77.253428334390705</v>
      </c>
      <c r="O760" s="238">
        <f>(O759/O10)/1.983</f>
        <v>39.720961506135481</v>
      </c>
      <c r="P760" s="238">
        <f>(P759/P10)/1.983</f>
        <v>54.576806077464894</v>
      </c>
      <c r="Q760" s="40" t="s">
        <v>852</v>
      </c>
      <c r="R760" s="40" t="s">
        <v>852</v>
      </c>
    </row>
    <row r="761" spans="1:20" ht="15.75" customHeight="1" x14ac:dyDescent="0.3">
      <c r="A761" s="17"/>
      <c r="B761" s="172"/>
      <c r="C761" s="172"/>
      <c r="D761" s="172"/>
      <c r="E761" s="172"/>
      <c r="F761" s="172"/>
      <c r="G761" s="172"/>
      <c r="H761" s="172"/>
      <c r="I761" s="172"/>
      <c r="J761" s="172"/>
      <c r="K761" s="172"/>
      <c r="L761" s="172"/>
      <c r="M761" s="172"/>
      <c r="N761" s="172"/>
      <c r="O761" s="172"/>
      <c r="P761" s="172"/>
      <c r="Q761" s="172"/>
      <c r="R761" s="17"/>
    </row>
    <row r="762" spans="1:20" ht="15.75" customHeight="1" thickBot="1" x14ac:dyDescent="0.35">
      <c r="A762" s="17"/>
      <c r="B762" s="172"/>
      <c r="C762" s="172"/>
      <c r="D762" s="172"/>
      <c r="E762" s="172"/>
      <c r="F762" s="172"/>
      <c r="G762" s="172"/>
      <c r="H762" s="172"/>
      <c r="I762" s="172"/>
      <c r="J762" s="172"/>
      <c r="K762" s="172"/>
      <c r="L762" s="172"/>
      <c r="M762" s="172"/>
      <c r="N762" s="172"/>
      <c r="O762" s="172"/>
      <c r="P762" s="172"/>
      <c r="Q762" s="172"/>
      <c r="R762" s="17"/>
    </row>
    <row r="763" spans="1:20" ht="16.5" customHeight="1" thickBot="1" x14ac:dyDescent="0.35">
      <c r="A763" s="278" t="s">
        <v>2192</v>
      </c>
      <c r="B763" s="4" t="s">
        <v>2090</v>
      </c>
      <c r="C763" s="5" t="s">
        <v>2091</v>
      </c>
      <c r="D763" s="5" t="s">
        <v>2234</v>
      </c>
      <c r="E763" s="33" t="s">
        <v>1594</v>
      </c>
      <c r="F763" s="5" t="s">
        <v>2235</v>
      </c>
      <c r="G763" s="5" t="s">
        <v>2236</v>
      </c>
      <c r="H763" s="5" t="s">
        <v>2237</v>
      </c>
      <c r="I763" s="35" t="s">
        <v>1595</v>
      </c>
      <c r="J763" s="5" t="s">
        <v>1504</v>
      </c>
      <c r="K763" s="5" t="s">
        <v>1505</v>
      </c>
      <c r="L763" s="5" t="s">
        <v>1506</v>
      </c>
      <c r="M763" s="35" t="s">
        <v>1596</v>
      </c>
      <c r="N763" s="5" t="s">
        <v>1507</v>
      </c>
      <c r="O763" s="5" t="s">
        <v>1508</v>
      </c>
      <c r="P763" s="5" t="s">
        <v>1509</v>
      </c>
      <c r="Q763" s="35" t="s">
        <v>1597</v>
      </c>
      <c r="R763" s="60" t="s">
        <v>1510</v>
      </c>
    </row>
    <row r="764" spans="1:20" ht="16.5" customHeight="1" thickBot="1" x14ac:dyDescent="0.35">
      <c r="A764" s="22"/>
      <c r="B764" s="242"/>
      <c r="C764" s="242"/>
      <c r="D764" s="242"/>
      <c r="E764" s="233"/>
      <c r="F764" s="242"/>
      <c r="G764" s="242"/>
      <c r="H764" s="242"/>
      <c r="I764" s="282"/>
      <c r="J764" s="242"/>
      <c r="K764" s="242"/>
      <c r="L764" s="242"/>
      <c r="M764" s="282"/>
      <c r="N764" s="242"/>
      <c r="O764" s="242"/>
      <c r="P764" s="242"/>
      <c r="Q764" s="283"/>
      <c r="R764" s="61"/>
    </row>
    <row r="765" spans="1:20" ht="15.75" customHeight="1" x14ac:dyDescent="0.3">
      <c r="A765" s="234" t="s">
        <v>2417</v>
      </c>
      <c r="B765" s="10" t="s">
        <v>852</v>
      </c>
      <c r="C765" s="10" t="s">
        <v>852</v>
      </c>
      <c r="D765" s="10" t="s">
        <v>852</v>
      </c>
      <c r="E765" s="327"/>
      <c r="F765" s="10" t="s">
        <v>852</v>
      </c>
      <c r="G765" s="10" t="s">
        <v>852</v>
      </c>
      <c r="H765" s="10" t="s">
        <v>852</v>
      </c>
      <c r="I765" s="327"/>
      <c r="J765" s="10" t="s">
        <v>852</v>
      </c>
      <c r="K765" s="10" t="s">
        <v>852</v>
      </c>
      <c r="L765" s="10" t="s">
        <v>852</v>
      </c>
      <c r="M765" s="327"/>
      <c r="N765" s="10" t="s">
        <v>852</v>
      </c>
      <c r="O765" s="10" t="s">
        <v>852</v>
      </c>
      <c r="P765" s="10" t="s">
        <v>852</v>
      </c>
      <c r="Q765" s="285"/>
      <c r="R765" s="62" t="s">
        <v>852</v>
      </c>
    </row>
    <row r="766" spans="1:20" ht="15.75" customHeight="1" x14ac:dyDescent="0.3">
      <c r="A766" s="234" t="s">
        <v>2160</v>
      </c>
      <c r="B766" s="10"/>
      <c r="C766" s="10"/>
      <c r="D766" s="10"/>
      <c r="E766" s="38" t="s">
        <v>852</v>
      </c>
      <c r="F766" s="10"/>
      <c r="G766" s="10"/>
      <c r="H766" s="10"/>
      <c r="I766" s="38" t="s">
        <v>852</v>
      </c>
      <c r="J766" s="10"/>
      <c r="K766" s="10"/>
      <c r="L766" s="10"/>
      <c r="M766" s="38" t="s">
        <v>852</v>
      </c>
      <c r="N766" s="10"/>
      <c r="O766" s="10"/>
      <c r="P766" s="10"/>
      <c r="Q766" s="38" t="s">
        <v>852</v>
      </c>
      <c r="R766" s="38" t="s">
        <v>852</v>
      </c>
    </row>
    <row r="767" spans="1:20" ht="15.75" customHeight="1" x14ac:dyDescent="0.3">
      <c r="A767" s="539" t="s">
        <v>3095</v>
      </c>
      <c r="B767" s="10"/>
      <c r="C767" s="10"/>
      <c r="D767" s="10"/>
      <c r="E767" s="38">
        <f>SUM(B767:D767)</f>
        <v>0</v>
      </c>
      <c r="F767" s="10"/>
      <c r="G767" s="10"/>
      <c r="H767" s="10"/>
      <c r="I767" s="38">
        <f>SUM(F767:H767)</f>
        <v>0</v>
      </c>
      <c r="J767" s="10"/>
      <c r="K767" s="10"/>
      <c r="L767" s="10"/>
      <c r="M767" s="38">
        <f>SUM(J767:L767)</f>
        <v>0</v>
      </c>
      <c r="N767" s="10"/>
      <c r="O767" s="10"/>
      <c r="P767" s="10"/>
      <c r="Q767" s="38">
        <f>SUM(N767:P767)</f>
        <v>0</v>
      </c>
      <c r="R767" s="38">
        <f>+E767+I767+M767+Q767</f>
        <v>0</v>
      </c>
      <c r="T767" t="s">
        <v>2765</v>
      </c>
    </row>
    <row r="768" spans="1:20" ht="15.75" customHeight="1" x14ac:dyDescent="0.3">
      <c r="A768" s="266" t="s">
        <v>1910</v>
      </c>
      <c r="B768" s="10"/>
      <c r="C768" s="10"/>
      <c r="D768" s="10"/>
      <c r="E768" s="38">
        <f>SUM(B768:D768)</f>
        <v>0</v>
      </c>
      <c r="F768" s="10"/>
      <c r="G768" s="10"/>
      <c r="H768" s="10"/>
      <c r="I768" s="38">
        <f>SUM(F768:H768)</f>
        <v>0</v>
      </c>
      <c r="J768" s="10"/>
      <c r="K768" s="10"/>
      <c r="L768" s="10"/>
      <c r="M768" s="38">
        <f>SUM(J768:L768)</f>
        <v>0</v>
      </c>
      <c r="N768" s="10"/>
      <c r="O768" s="10"/>
      <c r="P768" s="10"/>
      <c r="Q768" s="38">
        <f>SUM(N768:P768)</f>
        <v>0</v>
      </c>
      <c r="R768" s="38">
        <f>+E768+I768+M768+Q768</f>
        <v>0</v>
      </c>
    </row>
    <row r="769" spans="1:20" ht="15.75" customHeight="1" x14ac:dyDescent="0.3">
      <c r="A769" s="539" t="s">
        <v>604</v>
      </c>
      <c r="B769" s="10"/>
      <c r="C769" s="10"/>
      <c r="D769" s="10"/>
      <c r="E769" s="38">
        <f>SUM(B769:D769)</f>
        <v>0</v>
      </c>
      <c r="F769" s="10"/>
      <c r="G769" s="10"/>
      <c r="H769" s="10"/>
      <c r="I769" s="38">
        <f>SUM(F769:H769)</f>
        <v>0</v>
      </c>
      <c r="J769" s="10"/>
      <c r="K769" s="10"/>
      <c r="L769" s="10"/>
      <c r="M769" s="38">
        <f>SUM(J769:L769)</f>
        <v>0</v>
      </c>
      <c r="N769" s="10"/>
      <c r="O769" s="10"/>
      <c r="P769" s="10"/>
      <c r="Q769" s="38">
        <f>SUM(N769:P769)</f>
        <v>0</v>
      </c>
      <c r="R769" s="38">
        <f>+E769+I769+M769+Q769</f>
        <v>0</v>
      </c>
    </row>
    <row r="770" spans="1:20" ht="15.75" customHeight="1" x14ac:dyDescent="0.3">
      <c r="A770" s="539" t="s">
        <v>2996</v>
      </c>
      <c r="B770" s="10">
        <v>100</v>
      </c>
      <c r="C770" s="10"/>
      <c r="D770" s="10"/>
      <c r="E770" s="38">
        <f>SUM(B770:D770)</f>
        <v>100</v>
      </c>
      <c r="F770" s="10"/>
      <c r="G770" s="10"/>
      <c r="H770" s="10"/>
      <c r="I770" s="38">
        <f>SUM(F770:H770)</f>
        <v>0</v>
      </c>
      <c r="J770" s="10"/>
      <c r="K770" s="10"/>
      <c r="L770" s="10"/>
      <c r="M770" s="38">
        <f>SUM(J770:L770)</f>
        <v>0</v>
      </c>
      <c r="N770" s="10"/>
      <c r="O770" s="10"/>
      <c r="P770" s="10"/>
      <c r="Q770" s="38">
        <f>SUM(N770:P770)</f>
        <v>0</v>
      </c>
      <c r="R770" s="38">
        <f>+E770+I770+M770+Q770</f>
        <v>100</v>
      </c>
    </row>
    <row r="771" spans="1:20" ht="15.75" customHeight="1" x14ac:dyDescent="0.3">
      <c r="A771" s="310" t="s">
        <v>715</v>
      </c>
      <c r="B771" s="10">
        <v>2553</v>
      </c>
      <c r="C771" s="10">
        <v>1307</v>
      </c>
      <c r="D771" s="10">
        <v>2773</v>
      </c>
      <c r="E771" s="38">
        <f>SUM(B771:D771)</f>
        <v>6633</v>
      </c>
      <c r="F771" s="10">
        <v>2497</v>
      </c>
      <c r="G771" s="10">
        <v>1477</v>
      </c>
      <c r="H771" s="10">
        <v>2886</v>
      </c>
      <c r="I771" s="38">
        <f>SUM(F771:H771)</f>
        <v>6860</v>
      </c>
      <c r="J771" s="10">
        <v>2775</v>
      </c>
      <c r="K771" s="10">
        <v>2617</v>
      </c>
      <c r="L771" s="10">
        <v>2064</v>
      </c>
      <c r="M771" s="38">
        <f>SUM(J771:L771)</f>
        <v>7456</v>
      </c>
      <c r="N771" s="10">
        <v>2194</v>
      </c>
      <c r="O771" s="10">
        <v>516</v>
      </c>
      <c r="P771" s="10">
        <v>325</v>
      </c>
      <c r="Q771" s="38">
        <f>SUM(N771:P771)</f>
        <v>3035</v>
      </c>
      <c r="R771" s="38">
        <f>+E771+I771+M771+Q771</f>
        <v>23984</v>
      </c>
    </row>
    <row r="772" spans="1:20" ht="15.75" customHeight="1" x14ac:dyDescent="0.3">
      <c r="A772" s="234" t="s">
        <v>2161</v>
      </c>
      <c r="B772" s="10"/>
      <c r="C772" s="10"/>
      <c r="D772" s="10"/>
      <c r="E772" s="38" t="s">
        <v>852</v>
      </c>
      <c r="F772" s="10"/>
      <c r="G772" s="10"/>
      <c r="H772" s="10"/>
      <c r="I772" s="38" t="s">
        <v>852</v>
      </c>
      <c r="J772" s="10"/>
      <c r="K772" s="10"/>
      <c r="L772" s="10"/>
      <c r="M772" s="38" t="s">
        <v>852</v>
      </c>
      <c r="N772" s="10"/>
      <c r="O772" s="10"/>
      <c r="P772" s="10"/>
      <c r="Q772" s="38" t="s">
        <v>852</v>
      </c>
      <c r="R772" s="38" t="s">
        <v>852</v>
      </c>
    </row>
    <row r="773" spans="1:20" ht="15.75" customHeight="1" x14ac:dyDescent="0.3">
      <c r="A773" s="234" t="s">
        <v>3245</v>
      </c>
      <c r="B773" s="10"/>
      <c r="C773" s="10"/>
      <c r="D773" s="10"/>
      <c r="E773" s="38" t="s">
        <v>852</v>
      </c>
      <c r="F773" s="10"/>
      <c r="G773" s="10"/>
      <c r="H773" s="10"/>
      <c r="I773" s="38" t="s">
        <v>852</v>
      </c>
      <c r="J773" s="10"/>
      <c r="K773" s="10"/>
      <c r="L773" s="10"/>
      <c r="M773" s="38" t="s">
        <v>852</v>
      </c>
      <c r="N773" s="10"/>
      <c r="O773" s="10"/>
      <c r="P773" s="10"/>
      <c r="Q773" s="38" t="s">
        <v>852</v>
      </c>
      <c r="R773" s="38" t="s">
        <v>852</v>
      </c>
    </row>
    <row r="774" spans="1:20" ht="15.75" customHeight="1" x14ac:dyDescent="0.3">
      <c r="A774" s="266" t="s">
        <v>447</v>
      </c>
      <c r="B774" s="10"/>
      <c r="C774" s="10"/>
      <c r="D774" s="10"/>
      <c r="E774" s="38">
        <f>SUM(B774:D774)</f>
        <v>0</v>
      </c>
      <c r="F774" s="10"/>
      <c r="G774" s="10"/>
      <c r="H774" s="10"/>
      <c r="I774" s="38">
        <f>SUM(F774:H774)</f>
        <v>0</v>
      </c>
      <c r="J774" s="10"/>
      <c r="K774" s="10"/>
      <c r="L774" s="10"/>
      <c r="M774" s="38">
        <f>SUM(J774:L774)</f>
        <v>0</v>
      </c>
      <c r="N774" s="10"/>
      <c r="O774" s="10"/>
      <c r="P774" s="10">
        <v>1490</v>
      </c>
      <c r="Q774" s="38">
        <f>SUM(N774:P774)</f>
        <v>1490</v>
      </c>
      <c r="R774" s="38">
        <f>+E774+I774+M774+Q774</f>
        <v>1490</v>
      </c>
    </row>
    <row r="775" spans="1:20" ht="15.75" customHeight="1" thickBot="1" x14ac:dyDescent="0.35">
      <c r="A775" s="234" t="s">
        <v>2164</v>
      </c>
      <c r="B775" s="10"/>
      <c r="C775" s="10"/>
      <c r="D775" s="10"/>
      <c r="E775" s="38" t="s">
        <v>852</v>
      </c>
      <c r="F775" s="10"/>
      <c r="G775" s="10"/>
      <c r="H775" s="10"/>
      <c r="I775" s="38" t="s">
        <v>852</v>
      </c>
      <c r="J775" s="10"/>
      <c r="K775" s="10"/>
      <c r="L775" s="10"/>
      <c r="M775" s="38" t="s">
        <v>852</v>
      </c>
      <c r="N775" s="10"/>
      <c r="O775" s="10"/>
      <c r="P775" s="10"/>
      <c r="Q775" s="38" t="s">
        <v>852</v>
      </c>
      <c r="R775" s="38" t="s">
        <v>852</v>
      </c>
    </row>
    <row r="776" spans="1:20" ht="16.5" customHeight="1" thickBot="1" x14ac:dyDescent="0.35">
      <c r="A776" s="43" t="s">
        <v>1218</v>
      </c>
      <c r="B776" s="45">
        <f>SUM(B765:B775)</f>
        <v>2653</v>
      </c>
      <c r="C776" s="46">
        <f>SUM(C765:C775)</f>
        <v>1307</v>
      </c>
      <c r="D776" s="46">
        <f>SUM(D765:D775)</f>
        <v>2773</v>
      </c>
      <c r="E776" s="37">
        <f>SUM(B776:D776)</f>
        <v>6733</v>
      </c>
      <c r="F776" s="46">
        <f>SUM(F765:F775)</f>
        <v>2497</v>
      </c>
      <c r="G776" s="46">
        <f>SUM(G765:G775)</f>
        <v>1477</v>
      </c>
      <c r="H776" s="46">
        <f>SUM(H765:H775)</f>
        <v>2886</v>
      </c>
      <c r="I776" s="37">
        <f>SUM(F776:H776)</f>
        <v>6860</v>
      </c>
      <c r="J776" s="46">
        <f>SUM(J765:J775)</f>
        <v>2775</v>
      </c>
      <c r="K776" s="46">
        <f>SUM(K765:K775)</f>
        <v>2617</v>
      </c>
      <c r="L776" s="46">
        <f>SUM(L765:L775)</f>
        <v>2064</v>
      </c>
      <c r="M776" s="37">
        <f>SUM(J776:L776)</f>
        <v>7456</v>
      </c>
      <c r="N776" s="46">
        <f>SUM(N765:N775)</f>
        <v>2194</v>
      </c>
      <c r="O776" s="46">
        <f>SUM(O765:O775)</f>
        <v>516</v>
      </c>
      <c r="P776" s="46">
        <f>SUM(P765:P775)</f>
        <v>1815</v>
      </c>
      <c r="Q776" s="37">
        <f>SUM(N776:P776)</f>
        <v>4525</v>
      </c>
      <c r="R776" s="37">
        <f>+E776+I776+M776+Q776</f>
        <v>25574</v>
      </c>
    </row>
    <row r="777" spans="1:20" ht="15.75" customHeight="1" x14ac:dyDescent="0.3">
      <c r="A777" s="234" t="s">
        <v>1172</v>
      </c>
      <c r="B777" s="172"/>
      <c r="C777" s="172"/>
      <c r="D777" s="172"/>
      <c r="E777" s="38" t="s">
        <v>852</v>
      </c>
      <c r="F777" s="172"/>
      <c r="G777" s="172"/>
      <c r="H777" s="172"/>
      <c r="I777" s="38" t="s">
        <v>852</v>
      </c>
      <c r="J777" s="172"/>
      <c r="K777" s="172"/>
      <c r="L777" s="172"/>
      <c r="M777" s="38" t="s">
        <v>852</v>
      </c>
      <c r="N777" s="172"/>
      <c r="O777" s="172"/>
      <c r="P777" s="172"/>
      <c r="Q777" s="38" t="s">
        <v>852</v>
      </c>
      <c r="R777" s="38" t="s">
        <v>852</v>
      </c>
    </row>
    <row r="778" spans="1:20" ht="15.75" customHeight="1" x14ac:dyDescent="0.3">
      <c r="A778" s="234" t="s">
        <v>2409</v>
      </c>
      <c r="B778" s="172"/>
      <c r="C778" s="172"/>
      <c r="D778" s="172"/>
      <c r="E778" s="38" t="s">
        <v>852</v>
      </c>
      <c r="F778" s="172"/>
      <c r="G778" s="172"/>
      <c r="H778" s="172"/>
      <c r="I778" s="38" t="s">
        <v>852</v>
      </c>
      <c r="J778" s="172"/>
      <c r="K778" s="172"/>
      <c r="L778" s="172"/>
      <c r="M778" s="38" t="s">
        <v>852</v>
      </c>
      <c r="N778" s="172"/>
      <c r="O778" s="172"/>
      <c r="P778" s="172"/>
      <c r="Q778" s="38" t="s">
        <v>852</v>
      </c>
      <c r="R778" s="38" t="s">
        <v>852</v>
      </c>
    </row>
    <row r="779" spans="1:20" ht="15.75" customHeight="1" x14ac:dyDescent="0.3">
      <c r="A779" s="539" t="s">
        <v>1648</v>
      </c>
      <c r="B779" s="172"/>
      <c r="C779" s="172"/>
      <c r="D779" s="172"/>
      <c r="E779" s="38">
        <f>SUM(B779:D779)</f>
        <v>0</v>
      </c>
      <c r="F779" s="172"/>
      <c r="G779" s="172"/>
      <c r="H779" s="172"/>
      <c r="I779" s="38">
        <f>SUM(F779:H779)</f>
        <v>0</v>
      </c>
      <c r="J779" s="172"/>
      <c r="K779" s="172"/>
      <c r="L779" s="172"/>
      <c r="M779" s="38">
        <f>SUM(J779:L779)</f>
        <v>0</v>
      </c>
      <c r="N779" s="172"/>
      <c r="O779" s="172"/>
      <c r="P779" s="172"/>
      <c r="Q779" s="38">
        <f>SUM(N779:P779)</f>
        <v>0</v>
      </c>
      <c r="R779" s="38">
        <f>+E779+I779+M779+Q779</f>
        <v>0</v>
      </c>
    </row>
    <row r="780" spans="1:20" ht="15.75" customHeight="1" thickBot="1" x14ac:dyDescent="0.35">
      <c r="A780" s="234" t="s">
        <v>2165</v>
      </c>
      <c r="B780" s="172"/>
      <c r="C780" s="172"/>
      <c r="D780" s="172"/>
      <c r="E780" s="38" t="s">
        <v>852</v>
      </c>
      <c r="F780" s="172"/>
      <c r="G780" s="172"/>
      <c r="H780" s="172"/>
      <c r="I780" s="38" t="s">
        <v>852</v>
      </c>
      <c r="J780" s="172"/>
      <c r="K780" s="172"/>
      <c r="L780" s="172"/>
      <c r="M780" s="38" t="s">
        <v>852</v>
      </c>
      <c r="N780" s="172"/>
      <c r="O780" s="172"/>
      <c r="P780" s="172"/>
      <c r="Q780" s="38" t="s">
        <v>852</v>
      </c>
      <c r="R780" s="38" t="s">
        <v>852</v>
      </c>
    </row>
    <row r="781" spans="1:20" ht="16.5" customHeight="1" thickBot="1" x14ac:dyDescent="0.35">
      <c r="A781" s="43" t="s">
        <v>1219</v>
      </c>
      <c r="B781" s="45">
        <f>SUM(B777:B780)</f>
        <v>0</v>
      </c>
      <c r="C781" s="46">
        <f>SUM(C777:C780)</f>
        <v>0</v>
      </c>
      <c r="D781" s="46">
        <f>SUM(D777:D780)</f>
        <v>0</v>
      </c>
      <c r="E781" s="37">
        <f>SUM(B781:D781)</f>
        <v>0</v>
      </c>
      <c r="F781" s="46">
        <f>SUM(F777:F780)</f>
        <v>0</v>
      </c>
      <c r="G781" s="46">
        <f>SUM(G777:G780)</f>
        <v>0</v>
      </c>
      <c r="H781" s="46">
        <f>SUM(H777:H780)</f>
        <v>0</v>
      </c>
      <c r="I781" s="37">
        <f>SUM(F781:H781)</f>
        <v>0</v>
      </c>
      <c r="J781" s="46">
        <f>SUM(J777:J780)</f>
        <v>0</v>
      </c>
      <c r="K781" s="46">
        <f>SUM(K777:K780)</f>
        <v>0</v>
      </c>
      <c r="L781" s="46">
        <f>SUM(L777:L780)</f>
        <v>0</v>
      </c>
      <c r="M781" s="37">
        <f>SUM(J781:L781)</f>
        <v>0</v>
      </c>
      <c r="N781" s="46">
        <f>SUM(N777:N780)</f>
        <v>0</v>
      </c>
      <c r="O781" s="46">
        <f>SUM(O777:O780)</f>
        <v>0</v>
      </c>
      <c r="P781" s="46">
        <f>SUM(P777:P780)</f>
        <v>0</v>
      </c>
      <c r="Q781" s="37">
        <f>SUM(N781:P781)</f>
        <v>0</v>
      </c>
      <c r="R781" s="37">
        <f>+E781+I781+M781+Q781</f>
        <v>0</v>
      </c>
    </row>
    <row r="782" spans="1:20" ht="15.75" customHeight="1" x14ac:dyDescent="0.3">
      <c r="A782" s="234" t="s">
        <v>2166</v>
      </c>
      <c r="B782" s="10"/>
      <c r="C782" s="10"/>
      <c r="D782" s="10"/>
      <c r="E782" s="38" t="s">
        <v>852</v>
      </c>
      <c r="F782" s="10"/>
      <c r="G782" s="10"/>
      <c r="H782" s="10"/>
      <c r="I782" s="38" t="s">
        <v>852</v>
      </c>
      <c r="J782" s="10" t="s">
        <v>852</v>
      </c>
      <c r="K782" s="10"/>
      <c r="L782" s="10"/>
      <c r="M782" s="38" t="s">
        <v>852</v>
      </c>
      <c r="N782" s="10"/>
      <c r="O782" s="10"/>
      <c r="P782" s="10"/>
      <c r="Q782" s="38" t="s">
        <v>852</v>
      </c>
      <c r="R782" s="38" t="s">
        <v>852</v>
      </c>
    </row>
    <row r="783" spans="1:20" ht="18" customHeight="1" x14ac:dyDescent="0.3">
      <c r="A783" s="234" t="s">
        <v>1245</v>
      </c>
      <c r="B783" s="10"/>
      <c r="C783" s="10"/>
      <c r="D783" s="10"/>
      <c r="E783" s="38" t="s">
        <v>852</v>
      </c>
      <c r="F783" s="10"/>
      <c r="G783" s="10"/>
      <c r="H783" s="10"/>
      <c r="I783" s="38" t="s">
        <v>852</v>
      </c>
      <c r="J783" s="10"/>
      <c r="K783" s="10"/>
      <c r="L783" s="10"/>
      <c r="M783" s="38" t="s">
        <v>852</v>
      </c>
      <c r="N783" s="10"/>
      <c r="O783" s="10"/>
      <c r="P783" s="10"/>
      <c r="Q783" s="38" t="s">
        <v>852</v>
      </c>
      <c r="R783" s="38" t="s">
        <v>852</v>
      </c>
    </row>
    <row r="784" spans="1:20" ht="15.75" customHeight="1" x14ac:dyDescent="0.3">
      <c r="A784" s="539" t="s">
        <v>2750</v>
      </c>
      <c r="B784" s="10">
        <v>4</v>
      </c>
      <c r="C784" s="10">
        <v>4</v>
      </c>
      <c r="D784" s="10">
        <v>662</v>
      </c>
      <c r="E784" s="38">
        <f>SUM(B784:D784)</f>
        <v>670</v>
      </c>
      <c r="F784" s="10">
        <v>614</v>
      </c>
      <c r="G784" s="10">
        <v>774</v>
      </c>
      <c r="H784" s="10">
        <v>948</v>
      </c>
      <c r="I784" s="38">
        <f>SUM(F784:H784)</f>
        <v>2336</v>
      </c>
      <c r="J784" s="10">
        <v>348</v>
      </c>
      <c r="K784" s="10">
        <v>314</v>
      </c>
      <c r="L784" s="10">
        <v>540</v>
      </c>
      <c r="M784" s="38">
        <f>SUM(J784:L784)</f>
        <v>1202</v>
      </c>
      <c r="N784" s="10">
        <v>601</v>
      </c>
      <c r="O784" s="10">
        <v>223</v>
      </c>
      <c r="P784" s="10">
        <v>375</v>
      </c>
      <c r="Q784" s="38">
        <f>SUM(N784:P784)</f>
        <v>1199</v>
      </c>
      <c r="R784" s="38">
        <f>+E784+I784+M784+Q784</f>
        <v>5407</v>
      </c>
      <c r="T784" t="s">
        <v>2805</v>
      </c>
    </row>
    <row r="785" spans="1:20" ht="15.75" customHeight="1" x14ac:dyDescent="0.3">
      <c r="A785" s="539" t="s">
        <v>2702</v>
      </c>
      <c r="B785" s="10">
        <v>9</v>
      </c>
      <c r="C785" s="10">
        <v>30</v>
      </c>
      <c r="D785" s="10">
        <v>65</v>
      </c>
      <c r="E785" s="38">
        <f>SUM(B785:D785)</f>
        <v>104</v>
      </c>
      <c r="F785" s="10">
        <v>86</v>
      </c>
      <c r="G785" s="10">
        <v>88</v>
      </c>
      <c r="H785" s="10">
        <v>120</v>
      </c>
      <c r="I785" s="38">
        <f>SUM(F785:H785)</f>
        <v>294</v>
      </c>
      <c r="J785" s="10">
        <v>36</v>
      </c>
      <c r="K785" s="10">
        <v>66</v>
      </c>
      <c r="L785" s="10"/>
      <c r="M785" s="38">
        <f>SUM(J785:L785)</f>
        <v>102</v>
      </c>
      <c r="N785" s="10"/>
      <c r="O785" s="10"/>
      <c r="P785" s="10"/>
      <c r="Q785" s="38">
        <f>SUM(N785:P785)</f>
        <v>0</v>
      </c>
      <c r="R785" s="38">
        <f>+E785+I785+M785+Q785</f>
        <v>500</v>
      </c>
      <c r="T785" t="s">
        <v>2785</v>
      </c>
    </row>
    <row r="786" spans="1:20" ht="15.75" customHeight="1" x14ac:dyDescent="0.3">
      <c r="A786" s="234" t="s">
        <v>1711</v>
      </c>
      <c r="B786" s="10"/>
      <c r="C786" s="10"/>
      <c r="D786" s="10"/>
      <c r="E786" s="38" t="s">
        <v>852</v>
      </c>
      <c r="F786" s="10"/>
      <c r="G786" s="10"/>
      <c r="H786" s="10"/>
      <c r="I786" s="38" t="s">
        <v>852</v>
      </c>
      <c r="J786" s="10"/>
      <c r="K786" s="10"/>
      <c r="L786" s="10"/>
      <c r="M786" s="38" t="s">
        <v>852</v>
      </c>
      <c r="N786" s="10"/>
      <c r="O786" s="10"/>
      <c r="P786" s="10"/>
      <c r="Q786" s="38" t="s">
        <v>852</v>
      </c>
      <c r="R786" s="38" t="s">
        <v>852</v>
      </c>
    </row>
    <row r="787" spans="1:20" ht="15.75" customHeight="1" x14ac:dyDescent="0.3">
      <c r="A787" s="539" t="s">
        <v>2935</v>
      </c>
      <c r="B787" s="10"/>
      <c r="C787" s="10"/>
      <c r="D787" s="10"/>
      <c r="E787" s="38">
        <f>SUM(B787:D787)</f>
        <v>0</v>
      </c>
      <c r="F787" s="10"/>
      <c r="G787" s="10"/>
      <c r="H787" s="10"/>
      <c r="I787" s="38">
        <f>SUM(F787:H787)</f>
        <v>0</v>
      </c>
      <c r="J787" s="10"/>
      <c r="K787" s="10">
        <v>6</v>
      </c>
      <c r="L787" s="10">
        <v>80</v>
      </c>
      <c r="M787" s="38">
        <f>SUM(J787:L787)</f>
        <v>86</v>
      </c>
      <c r="N787" s="10">
        <v>81</v>
      </c>
      <c r="O787" s="10">
        <v>25</v>
      </c>
      <c r="P787" s="10">
        <v>23</v>
      </c>
      <c r="Q787" s="38">
        <f>SUM(N787:P787)</f>
        <v>129</v>
      </c>
      <c r="R787" s="38">
        <f>+E787+I787+M787+Q787</f>
        <v>215</v>
      </c>
      <c r="T787" t="s">
        <v>2785</v>
      </c>
    </row>
    <row r="788" spans="1:20" ht="15.75" customHeight="1" x14ac:dyDescent="0.3">
      <c r="A788" s="539" t="s">
        <v>2749</v>
      </c>
      <c r="B788" s="10"/>
      <c r="C788" s="10"/>
      <c r="D788" s="10"/>
      <c r="E788" s="38">
        <f>SUM(B788:D788)</f>
        <v>0</v>
      </c>
      <c r="F788" s="10"/>
      <c r="G788" s="10"/>
      <c r="H788" s="10"/>
      <c r="I788" s="38">
        <f>SUM(F788:H788)</f>
        <v>0</v>
      </c>
      <c r="J788" s="10"/>
      <c r="K788" s="10"/>
      <c r="L788" s="10"/>
      <c r="M788" s="38">
        <f>SUM(J788:L788)</f>
        <v>0</v>
      </c>
      <c r="N788" s="10"/>
      <c r="O788" s="10"/>
      <c r="P788" s="10"/>
      <c r="Q788" s="38">
        <f>SUM(N788:P788)</f>
        <v>0</v>
      </c>
      <c r="R788" s="38">
        <f>+E788+I788+M788+Q788</f>
        <v>0</v>
      </c>
    </row>
    <row r="789" spans="1:20" ht="15.75" customHeight="1" x14ac:dyDescent="0.3">
      <c r="A789" s="310" t="s">
        <v>783</v>
      </c>
      <c r="B789" s="10"/>
      <c r="C789" s="10"/>
      <c r="D789" s="10"/>
      <c r="E789" s="38">
        <f>SUM(B789:D789)</f>
        <v>0</v>
      </c>
      <c r="F789" s="10"/>
      <c r="G789" s="10"/>
      <c r="H789" s="10"/>
      <c r="I789" s="38">
        <f>SUM(F789:H789)</f>
        <v>0</v>
      </c>
      <c r="J789" s="10"/>
      <c r="K789" s="10"/>
      <c r="L789" s="10"/>
      <c r="M789" s="38">
        <f>SUM(J789:L789)</f>
        <v>0</v>
      </c>
      <c r="N789" s="10"/>
      <c r="O789" s="10"/>
      <c r="P789" s="10"/>
      <c r="Q789" s="38">
        <f>SUM(N789:P789)</f>
        <v>0</v>
      </c>
      <c r="R789" s="38">
        <f>+E789+I789+M789+Q789</f>
        <v>0</v>
      </c>
      <c r="T789" t="s">
        <v>2765</v>
      </c>
    </row>
    <row r="790" spans="1:20" ht="15.75" customHeight="1" thickBot="1" x14ac:dyDescent="0.35">
      <c r="A790" s="539" t="s">
        <v>2540</v>
      </c>
      <c r="B790" s="10">
        <v>777</v>
      </c>
      <c r="C790" s="10">
        <v>739</v>
      </c>
      <c r="D790" s="10">
        <v>756</v>
      </c>
      <c r="E790" s="38">
        <f>SUM(B790:D790)</f>
        <v>2272</v>
      </c>
      <c r="F790" s="10">
        <v>757</v>
      </c>
      <c r="G790" s="10">
        <v>742</v>
      </c>
      <c r="H790" s="10">
        <v>791</v>
      </c>
      <c r="I790" s="38">
        <f>SUM(F790:H790)</f>
        <v>2290</v>
      </c>
      <c r="J790" s="10">
        <v>815</v>
      </c>
      <c r="K790" s="10">
        <v>713</v>
      </c>
      <c r="L790" s="10">
        <v>779</v>
      </c>
      <c r="M790" s="38">
        <f>SUM(J790:L790)</f>
        <v>2307</v>
      </c>
      <c r="N790" s="10">
        <v>476</v>
      </c>
      <c r="O790" s="10">
        <v>263</v>
      </c>
      <c r="P790" s="10">
        <v>693</v>
      </c>
      <c r="Q790" s="38">
        <f>SUM(N790:P790)</f>
        <v>1432</v>
      </c>
      <c r="R790" s="38">
        <f>+E790+I790+M790+Q790</f>
        <v>8301</v>
      </c>
      <c r="T790" t="s">
        <v>2806</v>
      </c>
    </row>
    <row r="791" spans="1:20" ht="16.5" customHeight="1" thickBot="1" x14ac:dyDescent="0.35">
      <c r="A791" s="43" t="s">
        <v>1220</v>
      </c>
      <c r="B791" s="45">
        <f>SUM(B782:B790)</f>
        <v>790</v>
      </c>
      <c r="C791" s="46">
        <f>SUM(C782:C790)</f>
        <v>773</v>
      </c>
      <c r="D791" s="46">
        <f>SUM(D782:D790)</f>
        <v>1483</v>
      </c>
      <c r="E791" s="37">
        <f>SUM(B791:D791)</f>
        <v>3046</v>
      </c>
      <c r="F791" s="46">
        <f>SUM(F782:F790)</f>
        <v>1457</v>
      </c>
      <c r="G791" s="46">
        <f>SUM(G782:G790)</f>
        <v>1604</v>
      </c>
      <c r="H791" s="46">
        <f>SUM(H782:H790)</f>
        <v>1859</v>
      </c>
      <c r="I791" s="37">
        <f>SUM(F791:H791)</f>
        <v>4920</v>
      </c>
      <c r="J791" s="46">
        <f>SUM(J782:J790)</f>
        <v>1199</v>
      </c>
      <c r="K791" s="46">
        <f>SUM(K782:K790)</f>
        <v>1099</v>
      </c>
      <c r="L791" s="46">
        <f>SUM(L782:L790)</f>
        <v>1399</v>
      </c>
      <c r="M791" s="37">
        <f>SUM(J791:L791)</f>
        <v>3697</v>
      </c>
      <c r="N791" s="46">
        <f>SUM(N782:N790)</f>
        <v>1158</v>
      </c>
      <c r="O791" s="46">
        <f>SUM(O782:O790)</f>
        <v>511</v>
      </c>
      <c r="P791" s="46">
        <f>SUM(P782:P790)</f>
        <v>1091</v>
      </c>
      <c r="Q791" s="37">
        <f>SUM(N791:P791)</f>
        <v>2760</v>
      </c>
      <c r="R791" s="37">
        <f>+E791+I791+M791+Q791</f>
        <v>14423</v>
      </c>
    </row>
    <row r="792" spans="1:20" ht="15.75" customHeight="1" x14ac:dyDescent="0.3">
      <c r="A792" s="234" t="s">
        <v>1712</v>
      </c>
      <c r="B792" s="172"/>
      <c r="C792" s="172"/>
      <c r="D792" s="172"/>
      <c r="E792" s="38" t="s">
        <v>852</v>
      </c>
      <c r="F792" s="172"/>
      <c r="G792" s="172"/>
      <c r="H792" s="172"/>
      <c r="I792" s="38" t="s">
        <v>852</v>
      </c>
      <c r="J792" s="172"/>
      <c r="K792" s="172"/>
      <c r="L792" s="172"/>
      <c r="M792" s="38" t="s">
        <v>852</v>
      </c>
      <c r="N792" s="172"/>
      <c r="O792" s="172"/>
      <c r="P792" s="172"/>
      <c r="Q792" s="38" t="s">
        <v>852</v>
      </c>
      <c r="R792" s="38" t="s">
        <v>852</v>
      </c>
    </row>
    <row r="793" spans="1:20" ht="15.75" customHeight="1" x14ac:dyDescent="0.3">
      <c r="A793" s="234" t="s">
        <v>1021</v>
      </c>
      <c r="B793" s="172"/>
      <c r="C793" s="172"/>
      <c r="D793" s="172"/>
      <c r="E793" s="38" t="s">
        <v>852</v>
      </c>
      <c r="F793" s="172"/>
      <c r="G793" s="172"/>
      <c r="H793" s="172"/>
      <c r="I793" s="38" t="s">
        <v>852</v>
      </c>
      <c r="J793" s="172"/>
      <c r="K793" s="172"/>
      <c r="L793" s="172"/>
      <c r="M793" s="38" t="s">
        <v>852</v>
      </c>
      <c r="N793" s="172"/>
      <c r="O793" s="172"/>
      <c r="P793" s="172"/>
      <c r="Q793" s="38" t="s">
        <v>852</v>
      </c>
      <c r="R793" s="38" t="s">
        <v>852</v>
      </c>
    </row>
    <row r="794" spans="1:20" ht="15.75" customHeight="1" x14ac:dyDescent="0.3">
      <c r="A794" s="266" t="s">
        <v>447</v>
      </c>
      <c r="B794" s="172"/>
      <c r="C794" s="172"/>
      <c r="D794" s="172"/>
      <c r="E794" s="38">
        <f>SUM(B794:D794)</f>
        <v>0</v>
      </c>
      <c r="F794" s="172"/>
      <c r="G794" s="172"/>
      <c r="H794" s="172"/>
      <c r="I794" s="38">
        <f>SUM(F794:H794)</f>
        <v>0</v>
      </c>
      <c r="J794" s="172"/>
      <c r="K794" s="172"/>
      <c r="L794" s="172"/>
      <c r="M794" s="38">
        <f>SUM(J794:L794)</f>
        <v>0</v>
      </c>
      <c r="N794" s="172"/>
      <c r="O794" s="172"/>
      <c r="P794" s="172"/>
      <c r="Q794" s="38">
        <f>SUM(N794:P794)</f>
        <v>0</v>
      </c>
      <c r="R794" s="38">
        <f>+E794+I794+M794+Q794</f>
        <v>0</v>
      </c>
    </row>
    <row r="795" spans="1:20" ht="15.75" customHeight="1" x14ac:dyDescent="0.3">
      <c r="A795" s="266" t="s">
        <v>2392</v>
      </c>
      <c r="B795" s="172"/>
      <c r="C795" s="172"/>
      <c r="D795" s="172"/>
      <c r="E795" s="38">
        <f>SUM(B795:D795)</f>
        <v>0</v>
      </c>
      <c r="F795" s="172"/>
      <c r="G795" s="172"/>
      <c r="H795" s="172"/>
      <c r="I795" s="38">
        <f>SUM(F795:H795)</f>
        <v>0</v>
      </c>
      <c r="J795" s="172"/>
      <c r="K795" s="172"/>
      <c r="L795" s="172"/>
      <c r="M795" s="38">
        <f>SUM(J795:L795)</f>
        <v>0</v>
      </c>
      <c r="N795" s="172"/>
      <c r="O795" s="172"/>
      <c r="P795" s="172"/>
      <c r="Q795" s="38">
        <f>SUM(N795:P795)</f>
        <v>0</v>
      </c>
      <c r="R795" s="38">
        <f>+E795+I795+M795+Q795</f>
        <v>0</v>
      </c>
    </row>
    <row r="796" spans="1:20" ht="15.75" customHeight="1" x14ac:dyDescent="0.3">
      <c r="A796" s="234" t="s">
        <v>557</v>
      </c>
      <c r="B796" s="172"/>
      <c r="C796" s="172"/>
      <c r="D796" s="172"/>
      <c r="E796" s="38" t="s">
        <v>852</v>
      </c>
      <c r="F796" s="172"/>
      <c r="G796" s="172"/>
      <c r="H796" s="172"/>
      <c r="I796" s="38" t="s">
        <v>852</v>
      </c>
      <c r="J796" s="172"/>
      <c r="K796" s="172"/>
      <c r="L796" s="172"/>
      <c r="M796" s="38" t="s">
        <v>852</v>
      </c>
      <c r="N796" s="172"/>
      <c r="O796" s="172"/>
      <c r="P796" s="172"/>
      <c r="Q796" s="38" t="s">
        <v>852</v>
      </c>
      <c r="R796" s="38" t="s">
        <v>852</v>
      </c>
    </row>
    <row r="797" spans="1:20" ht="15.75" customHeight="1" x14ac:dyDescent="0.3">
      <c r="A797" s="539" t="s">
        <v>2589</v>
      </c>
      <c r="B797" s="10"/>
      <c r="C797" s="10"/>
      <c r="D797" s="10"/>
      <c r="E797" s="38">
        <f>SUM(B797:D797)</f>
        <v>0</v>
      </c>
      <c r="F797" s="10"/>
      <c r="G797" s="10"/>
      <c r="H797" s="10"/>
      <c r="I797" s="38">
        <f>SUM(F797:H797)</f>
        <v>0</v>
      </c>
      <c r="J797" s="10"/>
      <c r="K797" s="10"/>
      <c r="L797" s="10"/>
      <c r="M797" s="38">
        <f>SUM(J797:L797)</f>
        <v>0</v>
      </c>
      <c r="N797" s="10"/>
      <c r="O797" s="10"/>
      <c r="P797" s="10"/>
      <c r="Q797" s="38">
        <f>SUM(N797:P797)</f>
        <v>0</v>
      </c>
      <c r="R797" s="38">
        <f>+E797+I797+M797+Q797</f>
        <v>0</v>
      </c>
    </row>
    <row r="798" spans="1:20" ht="15.75" customHeight="1" x14ac:dyDescent="0.3">
      <c r="A798" s="539" t="s">
        <v>2590</v>
      </c>
      <c r="B798" s="172"/>
      <c r="C798" s="172"/>
      <c r="D798" s="172"/>
      <c r="E798" s="38">
        <f>SUM(B798:D798)</f>
        <v>0</v>
      </c>
      <c r="F798" s="172"/>
      <c r="G798" s="172"/>
      <c r="H798" s="172"/>
      <c r="I798" s="38">
        <f>SUM(F798:H798)</f>
        <v>0</v>
      </c>
      <c r="J798" s="172"/>
      <c r="K798" s="172"/>
      <c r="L798" s="172"/>
      <c r="M798" s="38">
        <f>SUM(J798:L798)</f>
        <v>0</v>
      </c>
      <c r="N798" s="172"/>
      <c r="O798" s="172"/>
      <c r="P798" s="172"/>
      <c r="Q798" s="38">
        <f>SUM(N798:P798)</f>
        <v>0</v>
      </c>
      <c r="R798" s="38">
        <f>+E798+I798+M798+Q798</f>
        <v>0</v>
      </c>
    </row>
    <row r="799" spans="1:20" ht="15.75" customHeight="1" x14ac:dyDescent="0.3">
      <c r="A799" s="234" t="s">
        <v>1022</v>
      </c>
      <c r="B799" s="172"/>
      <c r="C799" s="172"/>
      <c r="D799" s="172"/>
      <c r="E799" s="38" t="s">
        <v>852</v>
      </c>
      <c r="F799" s="172"/>
      <c r="G799" s="172"/>
      <c r="H799" s="172"/>
      <c r="I799" s="38" t="s">
        <v>852</v>
      </c>
      <c r="J799" s="172"/>
      <c r="K799" s="172"/>
      <c r="L799" s="172"/>
      <c r="M799" s="38" t="s">
        <v>852</v>
      </c>
      <c r="N799" s="172"/>
      <c r="O799" s="172"/>
      <c r="P799" s="172"/>
      <c r="Q799" s="38" t="s">
        <v>852</v>
      </c>
      <c r="R799" s="38" t="s">
        <v>852</v>
      </c>
    </row>
    <row r="800" spans="1:20" ht="15.75" customHeight="1" thickBot="1" x14ac:dyDescent="0.35">
      <c r="A800" s="234" t="s">
        <v>559</v>
      </c>
      <c r="B800" s="172"/>
      <c r="C800" s="172"/>
      <c r="D800" s="172"/>
      <c r="E800" s="38" t="s">
        <v>852</v>
      </c>
      <c r="F800" s="172"/>
      <c r="G800" s="172"/>
      <c r="H800" s="172"/>
      <c r="I800" s="38" t="s">
        <v>852</v>
      </c>
      <c r="J800" s="172"/>
      <c r="K800" s="172"/>
      <c r="L800" s="172"/>
      <c r="M800" s="38" t="s">
        <v>852</v>
      </c>
      <c r="N800" s="172"/>
      <c r="O800" s="172"/>
      <c r="P800" s="172"/>
      <c r="Q800" s="38" t="s">
        <v>852</v>
      </c>
      <c r="R800" s="38" t="s">
        <v>852</v>
      </c>
    </row>
    <row r="801" spans="1:18" ht="16.5" customHeight="1" thickBot="1" x14ac:dyDescent="0.35">
      <c r="A801" s="43" t="s">
        <v>1019</v>
      </c>
      <c r="B801" s="42">
        <f>SUM(B799:B800)</f>
        <v>0</v>
      </c>
      <c r="C801" s="42">
        <f>SUM(C799:C800)</f>
        <v>0</v>
      </c>
      <c r="D801" s="42">
        <f>SUM(D799:D800)</f>
        <v>0</v>
      </c>
      <c r="E801" s="39">
        <f>SUM(B801:D801)</f>
        <v>0</v>
      </c>
      <c r="F801" s="42">
        <f>SUM(F799:F800)</f>
        <v>0</v>
      </c>
      <c r="G801" s="42">
        <f>SUM(G799:G800)</f>
        <v>0</v>
      </c>
      <c r="H801" s="42">
        <f>SUM(H799:H800)</f>
        <v>0</v>
      </c>
      <c r="I801" s="39">
        <f>SUM(F801:H801)</f>
        <v>0</v>
      </c>
      <c r="J801" s="42">
        <f>SUM(J799:J800)</f>
        <v>0</v>
      </c>
      <c r="K801" s="42">
        <f>SUM(K799:K800)</f>
        <v>0</v>
      </c>
      <c r="L801" s="42">
        <f>SUM(L799:L800)</f>
        <v>0</v>
      </c>
      <c r="M801" s="39">
        <f>SUM(J801:L801)</f>
        <v>0</v>
      </c>
      <c r="N801" s="42">
        <f>SUM(N799:N800)</f>
        <v>0</v>
      </c>
      <c r="O801" s="42">
        <f>SUM(O799:O800)</f>
        <v>0</v>
      </c>
      <c r="P801" s="42">
        <f>SUM(P799:P800)</f>
        <v>0</v>
      </c>
      <c r="Q801" s="39">
        <f>SUM(N801:P801)</f>
        <v>0</v>
      </c>
      <c r="R801" s="37">
        <f>+E801+I801+M801+Q801</f>
        <v>0</v>
      </c>
    </row>
    <row r="802" spans="1:18" ht="16.5" customHeight="1" thickBot="1" x14ac:dyDescent="0.35">
      <c r="A802" s="43" t="s">
        <v>1221</v>
      </c>
      <c r="B802" s="45">
        <f>SUM(B792:B800)</f>
        <v>0</v>
      </c>
      <c r="C802" s="46">
        <f>SUM(C792:C800)</f>
        <v>0</v>
      </c>
      <c r="D802" s="58">
        <f>SUM(D792:D800)</f>
        <v>0</v>
      </c>
      <c r="E802" s="39">
        <f>SUM(B802:D802)</f>
        <v>0</v>
      </c>
      <c r="F802" s="46">
        <f>SUM(F792:F800)</f>
        <v>0</v>
      </c>
      <c r="G802" s="46">
        <f>SUM(G792:G800)</f>
        <v>0</v>
      </c>
      <c r="H802" s="46">
        <f>SUM(H792:H800)</f>
        <v>0</v>
      </c>
      <c r="I802" s="39">
        <f>SUM(F802:H802)</f>
        <v>0</v>
      </c>
      <c r="J802" s="46">
        <f>SUM(J792:J800)</f>
        <v>0</v>
      </c>
      <c r="K802" s="46">
        <f>SUM(K792:K800)</f>
        <v>0</v>
      </c>
      <c r="L802" s="46">
        <f>SUM(L792:L800)</f>
        <v>0</v>
      </c>
      <c r="M802" s="39">
        <f>SUM(J802:L802)</f>
        <v>0</v>
      </c>
      <c r="N802" s="46">
        <f>SUM(N792:N800)</f>
        <v>0</v>
      </c>
      <c r="O802" s="46">
        <f>SUM(O792:O800)</f>
        <v>0</v>
      </c>
      <c r="P802" s="46">
        <f>SUM(P792:P800)</f>
        <v>0</v>
      </c>
      <c r="Q802" s="39">
        <f>SUM(N802:P802)</f>
        <v>0</v>
      </c>
      <c r="R802" s="37">
        <f>+E802+I802+M802+Q802</f>
        <v>0</v>
      </c>
    </row>
    <row r="803" spans="1:18" ht="16.5" customHeight="1" thickBot="1" x14ac:dyDescent="0.35">
      <c r="A803" s="43" t="s">
        <v>1222</v>
      </c>
      <c r="B803" s="47">
        <f>+B776+B781+B791+B802</f>
        <v>3443</v>
      </c>
      <c r="C803" s="42">
        <f>+C776+C781+C791+C802</f>
        <v>2080</v>
      </c>
      <c r="D803" s="42">
        <f>+D776+D781+D791+D802</f>
        <v>4256</v>
      </c>
      <c r="E803" s="37">
        <f>SUM(B803:D803)</f>
        <v>9779</v>
      </c>
      <c r="F803" s="42">
        <f>+F776+F781+F791+F802</f>
        <v>3954</v>
      </c>
      <c r="G803" s="42">
        <f>+G776+G781+G791+G802</f>
        <v>3081</v>
      </c>
      <c r="H803" s="42">
        <f>+H776+H781+H791+H802</f>
        <v>4745</v>
      </c>
      <c r="I803" s="37">
        <f>SUM(F803:H803)</f>
        <v>11780</v>
      </c>
      <c r="J803" s="42">
        <f>+J776+J781+J791+J802</f>
        <v>3974</v>
      </c>
      <c r="K803" s="42">
        <f>+K776+K781+K791+K802</f>
        <v>3716</v>
      </c>
      <c r="L803" s="42">
        <f>+L776+L781+L791+L802</f>
        <v>3463</v>
      </c>
      <c r="M803" s="37">
        <f>SUM(J803:L803)</f>
        <v>11153</v>
      </c>
      <c r="N803" s="42">
        <f>+N776+N781+N791+N802</f>
        <v>3352</v>
      </c>
      <c r="O803" s="42">
        <f>+O776+O781+O791+O802</f>
        <v>1027</v>
      </c>
      <c r="P803" s="42">
        <f>+P776+P781+P791+P802</f>
        <v>2906</v>
      </c>
      <c r="Q803" s="37">
        <f>SUM(N803:P803)</f>
        <v>7285</v>
      </c>
      <c r="R803" s="40">
        <f>+E803+I803+M803+Q803</f>
        <v>39997</v>
      </c>
    </row>
    <row r="804" spans="1:18" ht="16.5" customHeight="1" thickBot="1" x14ac:dyDescent="0.35">
      <c r="A804" s="244" t="s">
        <v>853</v>
      </c>
      <c r="B804" s="238">
        <v>11</v>
      </c>
      <c r="C804" s="238">
        <v>13</v>
      </c>
      <c r="D804" s="238">
        <v>17</v>
      </c>
      <c r="E804" s="38">
        <f>SUM(B804:D804)</f>
        <v>41</v>
      </c>
      <c r="F804" s="238">
        <v>21</v>
      </c>
      <c r="G804" s="238">
        <v>23</v>
      </c>
      <c r="H804" s="238">
        <v>25</v>
      </c>
      <c r="I804" s="38">
        <f>SUM(F804:H804)</f>
        <v>69</v>
      </c>
      <c r="J804" s="238">
        <v>25</v>
      </c>
      <c r="K804" s="238">
        <v>21</v>
      </c>
      <c r="L804" s="238">
        <v>19</v>
      </c>
      <c r="M804" s="38">
        <f>SUM(J804:L804)</f>
        <v>65</v>
      </c>
      <c r="N804" s="238">
        <v>17</v>
      </c>
      <c r="O804" s="238">
        <v>13</v>
      </c>
      <c r="P804" s="238">
        <v>11</v>
      </c>
      <c r="Q804" s="38">
        <f>SUM(N804:P804)</f>
        <v>41</v>
      </c>
      <c r="R804" s="38">
        <f>+E804+I804+M804+Q804</f>
        <v>216</v>
      </c>
    </row>
    <row r="805" spans="1:18" ht="16.5" customHeight="1" thickBot="1" x14ac:dyDescent="0.35">
      <c r="A805" s="22"/>
      <c r="B805" s="242"/>
      <c r="C805" s="242"/>
      <c r="D805" s="242"/>
      <c r="E805" s="37" t="s">
        <v>852</v>
      </c>
      <c r="F805" s="242"/>
      <c r="G805" s="242"/>
      <c r="H805" s="242"/>
      <c r="I805" s="37" t="s">
        <v>852</v>
      </c>
      <c r="J805" s="242"/>
      <c r="K805" s="242"/>
      <c r="L805" s="242"/>
      <c r="M805" s="37" t="s">
        <v>852</v>
      </c>
      <c r="N805" s="242"/>
      <c r="O805" s="242"/>
      <c r="P805" s="242"/>
      <c r="Q805" s="37" t="s">
        <v>852</v>
      </c>
      <c r="R805" s="37" t="s">
        <v>852</v>
      </c>
    </row>
    <row r="806" spans="1:18" ht="15.75" customHeight="1" x14ac:dyDescent="0.3">
      <c r="A806" s="234" t="s">
        <v>2011</v>
      </c>
      <c r="B806" s="172">
        <f>SUM(B803:B804)</f>
        <v>3454</v>
      </c>
      <c r="C806" s="172">
        <f>SUM(C803:C804)</f>
        <v>2093</v>
      </c>
      <c r="D806" s="172">
        <f>SUM(D803:D804)</f>
        <v>4273</v>
      </c>
      <c r="E806" s="39">
        <f>SUM(B806:D806)</f>
        <v>9820</v>
      </c>
      <c r="F806" s="172">
        <f>SUM(F803:F804)</f>
        <v>3975</v>
      </c>
      <c r="G806" s="172">
        <f>SUM(G803:G804)</f>
        <v>3104</v>
      </c>
      <c r="H806" s="172">
        <f>SUM(H803:H804)</f>
        <v>4770</v>
      </c>
      <c r="I806" s="39">
        <f>SUM(F806:H806)</f>
        <v>11849</v>
      </c>
      <c r="J806" s="172">
        <f>SUM(J803:J804)</f>
        <v>3999</v>
      </c>
      <c r="K806" s="172">
        <f>SUM(K803:K804)</f>
        <v>3737</v>
      </c>
      <c r="L806" s="172">
        <f>SUM(L803:L804)</f>
        <v>3482</v>
      </c>
      <c r="M806" s="39">
        <f>SUM(J806:L806)</f>
        <v>11218</v>
      </c>
      <c r="N806" s="172">
        <f>SUM(N803:N804)</f>
        <v>3369</v>
      </c>
      <c r="O806" s="172">
        <f>SUM(O803:O804)</f>
        <v>1040</v>
      </c>
      <c r="P806" s="172">
        <f>SUM(P803:P804)</f>
        <v>2917</v>
      </c>
      <c r="Q806" s="39">
        <f>SUM(N806:P806)</f>
        <v>7326</v>
      </c>
      <c r="R806" s="39">
        <f>+E806+I806+M806+Q806</f>
        <v>40213</v>
      </c>
    </row>
    <row r="807" spans="1:18" ht="15.75" customHeight="1" x14ac:dyDescent="0.3">
      <c r="A807" s="234" t="s">
        <v>1897</v>
      </c>
      <c r="B807" s="172">
        <f>(B806/B10)/1.983</f>
        <v>56.1872692076196</v>
      </c>
      <c r="C807" s="172">
        <f>(C806/C10)/1.983</f>
        <v>37.695410993444277</v>
      </c>
      <c r="D807" s="172">
        <f>(D806/D10)/1.983</f>
        <v>69.510191466172145</v>
      </c>
      <c r="E807" s="38" t="s">
        <v>852</v>
      </c>
      <c r="F807" s="172">
        <f>(F806/F10)/1.983</f>
        <v>66.817952597075134</v>
      </c>
      <c r="G807" s="172">
        <f>(G806/G10)/1.983</f>
        <v>50.493712686870651</v>
      </c>
      <c r="H807" s="172">
        <f>(H806/H10)/1.983</f>
        <v>80.181543116490161</v>
      </c>
      <c r="I807" s="38" t="s">
        <v>852</v>
      </c>
      <c r="J807" s="172">
        <f>(J806/J10)/1.983</f>
        <v>65.052950075642968</v>
      </c>
      <c r="K807" s="172">
        <f>(K806/K10)/1.983</f>
        <v>60.790916337253748</v>
      </c>
      <c r="L807" s="172">
        <f>(L806/L10)/1.983</f>
        <v>58.530845520255504</v>
      </c>
      <c r="M807" s="38" t="s">
        <v>852</v>
      </c>
      <c r="N807" s="172">
        <f>(N806/N10)/1.983</f>
        <v>54.804548338294858</v>
      </c>
      <c r="O807" s="172">
        <f>(O806/O10)/1.983</f>
        <v>17.481929736090098</v>
      </c>
      <c r="P807" s="172">
        <f>(P806/P10)/1.983</f>
        <v>47.451726774356217</v>
      </c>
      <c r="Q807" s="38" t="s">
        <v>852</v>
      </c>
      <c r="R807" s="38" t="s">
        <v>852</v>
      </c>
    </row>
    <row r="808" spans="1:18" ht="15.75" customHeight="1" x14ac:dyDescent="0.3">
      <c r="A808" s="234" t="s">
        <v>2050</v>
      </c>
      <c r="B808" s="172">
        <f>B806</f>
        <v>3454</v>
      </c>
      <c r="C808" s="172">
        <f>C806</f>
        <v>2093</v>
      </c>
      <c r="D808" s="172">
        <f>D806</f>
        <v>4273</v>
      </c>
      <c r="E808" s="38">
        <f>SUM(B808:D808)</f>
        <v>9820</v>
      </c>
      <c r="F808" s="172">
        <f>F806</f>
        <v>3975</v>
      </c>
      <c r="G808" s="172">
        <f>G806</f>
        <v>3104</v>
      </c>
      <c r="H808" s="172">
        <f>H806</f>
        <v>4770</v>
      </c>
      <c r="I808" s="38">
        <f>SUM(F808:H808)</f>
        <v>11849</v>
      </c>
      <c r="J808" s="172">
        <f>J806</f>
        <v>3999</v>
      </c>
      <c r="K808" s="172">
        <f>K806</f>
        <v>3737</v>
      </c>
      <c r="L808" s="172">
        <f>L806</f>
        <v>3482</v>
      </c>
      <c r="M808" s="38">
        <f>SUM(J808:L808)</f>
        <v>11218</v>
      </c>
      <c r="N808" s="172">
        <f>N806</f>
        <v>3369</v>
      </c>
      <c r="O808" s="172">
        <f>O806</f>
        <v>1040</v>
      </c>
      <c r="P808" s="172">
        <f>P806</f>
        <v>2917</v>
      </c>
      <c r="Q808" s="38">
        <f>SUM(N808:P808)</f>
        <v>7326</v>
      </c>
      <c r="R808" s="38">
        <f>+E808+I808+M808+Q808</f>
        <v>40213</v>
      </c>
    </row>
    <row r="809" spans="1:18" ht="16.5" customHeight="1" thickBot="1" x14ac:dyDescent="0.35">
      <c r="A809" s="237" t="s">
        <v>2051</v>
      </c>
      <c r="B809" s="238">
        <f>(B808/B10)/1.983</f>
        <v>56.1872692076196</v>
      </c>
      <c r="C809" s="238">
        <f>(C808/C10)/1.983</f>
        <v>37.695410993444277</v>
      </c>
      <c r="D809" s="238">
        <f>(D808/D10)/1.983</f>
        <v>69.510191466172145</v>
      </c>
      <c r="E809" s="40" t="s">
        <v>852</v>
      </c>
      <c r="F809" s="238">
        <f>(F808/F10)/1.983</f>
        <v>66.817952597075134</v>
      </c>
      <c r="G809" s="238">
        <f>(G808/G10)/1.983</f>
        <v>50.493712686870651</v>
      </c>
      <c r="H809" s="238">
        <f>(H808/H10)/1.983</f>
        <v>80.181543116490161</v>
      </c>
      <c r="I809" s="40" t="s">
        <v>852</v>
      </c>
      <c r="J809" s="238">
        <f>(J808/J10)/1.983</f>
        <v>65.052950075642968</v>
      </c>
      <c r="K809" s="238">
        <f>(K808/K10)/1.983</f>
        <v>60.790916337253748</v>
      </c>
      <c r="L809" s="238">
        <f>(L808/L10)/1.983</f>
        <v>58.530845520255504</v>
      </c>
      <c r="M809" s="40" t="s">
        <v>852</v>
      </c>
      <c r="N809" s="238">
        <f>(N808/N10)/1.983</f>
        <v>54.804548338294858</v>
      </c>
      <c r="O809" s="238">
        <f>(O808/O10)/1.983</f>
        <v>17.481929736090098</v>
      </c>
      <c r="P809" s="238">
        <f>(P808/P10)/1.983</f>
        <v>47.451726774356217</v>
      </c>
      <c r="Q809" s="40" t="s">
        <v>852</v>
      </c>
      <c r="R809" s="40" t="s">
        <v>852</v>
      </c>
    </row>
    <row r="810" spans="1:18" ht="15.75" customHeight="1" x14ac:dyDescent="0.3">
      <c r="A810" s="18"/>
      <c r="B810" s="172"/>
      <c r="C810" s="172"/>
      <c r="D810" s="172"/>
      <c r="E810" s="17"/>
      <c r="F810" s="172"/>
      <c r="G810" s="172"/>
      <c r="H810" s="172"/>
      <c r="I810" s="17"/>
      <c r="J810" s="172"/>
      <c r="K810" s="172"/>
      <c r="L810" s="172"/>
      <c r="M810" s="17"/>
      <c r="N810" s="172"/>
      <c r="O810" s="172"/>
      <c r="P810" s="172"/>
      <c r="Q810" s="17"/>
      <c r="R810" s="17"/>
    </row>
    <row r="811" spans="1:18" ht="15.75" customHeight="1" x14ac:dyDescent="0.3">
      <c r="A811" s="18"/>
      <c r="B811" s="172"/>
      <c r="C811" s="172"/>
      <c r="D811" s="172"/>
      <c r="E811" s="172"/>
      <c r="F811" s="172"/>
      <c r="G811" s="172"/>
      <c r="H811" s="172"/>
      <c r="I811" s="172"/>
      <c r="J811" s="172"/>
      <c r="K811" s="172"/>
      <c r="L811" s="172"/>
      <c r="M811" s="172"/>
      <c r="N811" s="172"/>
      <c r="O811" s="172"/>
      <c r="P811" s="172"/>
      <c r="Q811" s="680" t="str">
        <f>+Q1</f>
        <v xml:space="preserve">PRINTED:  </v>
      </c>
      <c r="R811" s="681">
        <f ca="1">+R1</f>
        <v>44881.729634027775</v>
      </c>
    </row>
    <row r="812" spans="1:18" ht="15.75" customHeight="1" x14ac:dyDescent="0.3">
      <c r="A812" s="778" t="s">
        <v>43</v>
      </c>
      <c r="B812" s="778"/>
      <c r="C812" s="778"/>
      <c r="D812" s="778"/>
      <c r="E812" s="778"/>
      <c r="F812" s="778"/>
      <c r="G812" s="778"/>
      <c r="H812" s="778"/>
      <c r="I812" s="778"/>
      <c r="J812" s="778"/>
      <c r="K812" s="778"/>
      <c r="L812" s="778"/>
      <c r="M812" s="778"/>
      <c r="N812" s="778"/>
      <c r="O812" s="778"/>
      <c r="P812" s="778"/>
      <c r="Q812" s="778"/>
      <c r="R812" s="778"/>
    </row>
    <row r="813" spans="1:18" ht="15.75" customHeight="1" x14ac:dyDescent="0.3">
      <c r="A813" s="778" t="s">
        <v>1988</v>
      </c>
      <c r="B813" s="778"/>
      <c r="C813" s="778"/>
      <c r="D813" s="778"/>
      <c r="E813" s="778"/>
      <c r="F813" s="778"/>
      <c r="G813" s="778"/>
      <c r="H813" s="778"/>
      <c r="I813" s="778"/>
      <c r="J813" s="778"/>
      <c r="K813" s="778"/>
      <c r="L813" s="778"/>
      <c r="M813" s="778"/>
      <c r="N813" s="778"/>
      <c r="O813" s="778"/>
      <c r="P813" s="778"/>
      <c r="Q813" s="778"/>
      <c r="R813" s="778"/>
    </row>
    <row r="814" spans="1:18" ht="15.75" customHeight="1" x14ac:dyDescent="0.3">
      <c r="A814" s="778" t="s">
        <v>544</v>
      </c>
      <c r="B814" s="778"/>
      <c r="C814" s="778"/>
      <c r="D814" s="778"/>
      <c r="E814" s="778"/>
      <c r="F814" s="778"/>
      <c r="G814" s="778"/>
      <c r="H814" s="778"/>
      <c r="I814" s="778"/>
      <c r="J814" s="778"/>
      <c r="K814" s="778"/>
      <c r="L814" s="778"/>
      <c r="M814" s="778"/>
      <c r="N814" s="778"/>
      <c r="O814" s="778"/>
      <c r="P814" s="778"/>
      <c r="Q814" s="778"/>
      <c r="R814" s="778"/>
    </row>
    <row r="815" spans="1:18" ht="15.75" customHeight="1" x14ac:dyDescent="0.3">
      <c r="A815" s="783">
        <f>+A5</f>
        <v>2017</v>
      </c>
      <c r="B815" s="783"/>
      <c r="C815" s="783"/>
      <c r="D815" s="783"/>
      <c r="E815" s="783"/>
      <c r="F815" s="783"/>
      <c r="G815" s="783"/>
      <c r="H815" s="783"/>
      <c r="I815" s="783"/>
      <c r="J815" s="783"/>
      <c r="K815" s="783"/>
      <c r="L815" s="783"/>
      <c r="M815" s="783"/>
      <c r="N815" s="783"/>
      <c r="O815" s="783"/>
      <c r="P815" s="783"/>
      <c r="Q815" s="783"/>
      <c r="R815" s="783"/>
    </row>
    <row r="816" spans="1:18" ht="15.75" customHeight="1" x14ac:dyDescent="0.3">
      <c r="A816" s="172"/>
      <c r="B816" s="172"/>
      <c r="C816" s="172"/>
      <c r="D816" s="1"/>
      <c r="E816" s="1"/>
      <c r="F816" s="1"/>
      <c r="G816" s="452"/>
      <c r="H816" s="1"/>
      <c r="I816" s="1"/>
      <c r="J816" s="452"/>
      <c r="K816" s="452"/>
      <c r="L816" s="452"/>
      <c r="M816" s="452"/>
      <c r="N816" s="172"/>
      <c r="O816" s="452"/>
      <c r="P816" s="452"/>
      <c r="Q816" s="452"/>
      <c r="R816" s="452"/>
    </row>
    <row r="817" spans="1:20" ht="15.75" customHeight="1" x14ac:dyDescent="0.3">
      <c r="A817" s="778" t="str">
        <f>+A8</f>
        <v>Revised:  1/18/2018</v>
      </c>
      <c r="B817" s="778"/>
      <c r="C817" s="778"/>
      <c r="D817" s="778"/>
      <c r="E817" s="778"/>
      <c r="F817" s="778"/>
      <c r="G817" s="778"/>
      <c r="H817" s="778"/>
      <c r="I817" s="778"/>
      <c r="J817" s="778"/>
      <c r="K817" s="778"/>
      <c r="L817" s="778"/>
      <c r="M817" s="778"/>
      <c r="N817" s="778"/>
      <c r="O817" s="778"/>
      <c r="P817" s="778"/>
      <c r="Q817" s="778"/>
      <c r="R817" s="778"/>
    </row>
    <row r="818" spans="1:20" ht="15.75" customHeight="1" x14ac:dyDescent="0.3">
      <c r="A818" s="448"/>
      <c r="B818" s="448"/>
      <c r="C818" s="448"/>
      <c r="D818" s="448"/>
      <c r="E818" s="448"/>
      <c r="F818" s="448"/>
      <c r="G818" s="448"/>
      <c r="H818" s="448"/>
      <c r="I818" s="448"/>
      <c r="J818" s="448"/>
      <c r="K818" s="448"/>
      <c r="L818" s="448"/>
      <c r="M818" s="448"/>
      <c r="N818" s="448"/>
      <c r="O818" s="448"/>
      <c r="P818" s="448"/>
      <c r="Q818" s="448"/>
      <c r="R818" s="448"/>
    </row>
    <row r="819" spans="1:20" ht="15.75" customHeight="1" x14ac:dyDescent="0.3">
      <c r="A819" s="448"/>
      <c r="B819" s="448"/>
      <c r="C819" s="448"/>
      <c r="D819" s="448"/>
      <c r="E819" s="448"/>
      <c r="F819" s="448"/>
      <c r="G819" s="448"/>
      <c r="H819" s="448"/>
      <c r="I819" s="448"/>
      <c r="J819" s="448"/>
      <c r="K819" s="448"/>
      <c r="L819" s="448"/>
      <c r="M819" s="448"/>
      <c r="N819" s="448"/>
      <c r="O819" s="448"/>
      <c r="P819" s="448"/>
      <c r="Q819" s="448"/>
      <c r="R819" s="448"/>
    </row>
    <row r="820" spans="1:20" ht="15.75" customHeight="1" thickBot="1" x14ac:dyDescent="0.35">
      <c r="A820" s="18"/>
      <c r="B820" s="172"/>
      <c r="C820" s="172"/>
      <c r="D820" s="172"/>
      <c r="E820" s="172"/>
      <c r="F820" s="172"/>
      <c r="G820" s="172"/>
      <c r="H820" s="172"/>
      <c r="I820" s="172"/>
      <c r="J820" s="172"/>
      <c r="K820" s="172"/>
      <c r="L820" s="172"/>
      <c r="M820" s="172"/>
      <c r="N820" s="172"/>
      <c r="O820" s="172"/>
      <c r="P820" s="172"/>
      <c r="Q820" s="172"/>
      <c r="R820" s="17"/>
    </row>
    <row r="821" spans="1:20" ht="16.5" customHeight="1" thickBot="1" x14ac:dyDescent="0.35">
      <c r="A821" s="278" t="s">
        <v>1661</v>
      </c>
      <c r="B821" s="4" t="s">
        <v>2090</v>
      </c>
      <c r="C821" s="5" t="s">
        <v>2091</v>
      </c>
      <c r="D821" s="5" t="s">
        <v>2234</v>
      </c>
      <c r="E821" s="33" t="s">
        <v>1594</v>
      </c>
      <c r="F821" s="5" t="s">
        <v>2235</v>
      </c>
      <c r="G821" s="5" t="s">
        <v>2236</v>
      </c>
      <c r="H821" s="5" t="s">
        <v>2237</v>
      </c>
      <c r="I821" s="35" t="s">
        <v>1595</v>
      </c>
      <c r="J821" s="5" t="s">
        <v>1504</v>
      </c>
      <c r="K821" s="5" t="s">
        <v>1505</v>
      </c>
      <c r="L821" s="5" t="s">
        <v>1506</v>
      </c>
      <c r="M821" s="35" t="s">
        <v>1596</v>
      </c>
      <c r="N821" s="5" t="s">
        <v>1507</v>
      </c>
      <c r="O821" s="5" t="s">
        <v>1508</v>
      </c>
      <c r="P821" s="5" t="s">
        <v>1509</v>
      </c>
      <c r="Q821" s="35" t="s">
        <v>1597</v>
      </c>
      <c r="R821" s="60" t="s">
        <v>1510</v>
      </c>
    </row>
    <row r="822" spans="1:20" ht="16.5" customHeight="1" thickBot="1" x14ac:dyDescent="0.35">
      <c r="A822" s="22"/>
      <c r="B822" s="242"/>
      <c r="C822" s="242"/>
      <c r="D822" s="242"/>
      <c r="E822" s="233"/>
      <c r="F822" s="242"/>
      <c r="G822" s="242"/>
      <c r="H822" s="242"/>
      <c r="I822" s="282"/>
      <c r="J822" s="242"/>
      <c r="K822" s="242"/>
      <c r="L822" s="242"/>
      <c r="M822" s="282"/>
      <c r="N822" s="242"/>
      <c r="O822" s="242"/>
      <c r="P822" s="242"/>
      <c r="Q822" s="283"/>
      <c r="R822" s="61"/>
    </row>
    <row r="823" spans="1:20" ht="15.75" customHeight="1" x14ac:dyDescent="0.3">
      <c r="A823" s="234" t="s">
        <v>2417</v>
      </c>
      <c r="B823" s="172" t="s">
        <v>852</v>
      </c>
      <c r="C823" s="172" t="s">
        <v>852</v>
      </c>
      <c r="D823" s="172" t="s">
        <v>852</v>
      </c>
      <c r="E823" s="284"/>
      <c r="F823" s="172" t="s">
        <v>852</v>
      </c>
      <c r="G823" s="172" t="s">
        <v>852</v>
      </c>
      <c r="H823" s="172" t="s">
        <v>852</v>
      </c>
      <c r="I823" s="284"/>
      <c r="J823" s="172" t="s">
        <v>852</v>
      </c>
      <c r="K823" s="172" t="s">
        <v>852</v>
      </c>
      <c r="L823" s="172" t="s">
        <v>852</v>
      </c>
      <c r="M823" s="284"/>
      <c r="N823" s="172" t="s">
        <v>852</v>
      </c>
      <c r="O823" s="172" t="s">
        <v>852</v>
      </c>
      <c r="P823" s="172" t="s">
        <v>852</v>
      </c>
      <c r="Q823" s="285"/>
      <c r="R823" s="62" t="s">
        <v>852</v>
      </c>
    </row>
    <row r="824" spans="1:20" ht="15.75" customHeight="1" x14ac:dyDescent="0.3">
      <c r="A824" s="545" t="s">
        <v>2160</v>
      </c>
      <c r="B824" s="172">
        <f>+SUM(B71:B82)+SUM(B138:B187)+SUM(B325:B356)+SUM(B484:B488)+SUM(B526:B531)+SUM(B570:B581)+SUM(B638:B641)+SUM(B674:B680)+SUM(B732:B733)+SUM(B766:B771)</f>
        <v>27318</v>
      </c>
      <c r="C824" s="172">
        <f>+SUM(C71:C82)+SUM(C138:C187)+SUM(C325:C356)+SUM(C484:C488)+SUM(C526:C531)+SUM(C570:C581)+SUM(C638:C641)+SUM(C674:C680)+SUM(C732:C733)+SUM(C766:C771)</f>
        <v>22062</v>
      </c>
      <c r="D824" s="172">
        <f>+SUM(D71:D82)+SUM(D138:D187)+SUM(D325:D356)+SUM(D484:D488)+SUM(D526:D531)+SUM(D570:D581)+SUM(D638:D641)+SUM(D674:D680)+SUM(D732:D733)+SUM(D766:D771)</f>
        <v>35761</v>
      </c>
      <c r="E824" s="38">
        <f t="shared" ref="E824:E830" si="204">SUM(B824:D824)</f>
        <v>85141</v>
      </c>
      <c r="F824" s="172">
        <f>+SUM(F71:F82)+SUM(F138:F187)+SUM(F325:F356)+SUM(F484:F488)+SUM(F526:F531)+SUM(F570:F581)+SUM(F638:F641)+SUM(F674:F680)+SUM(F732:F733)+SUM(F766:F771)</f>
        <v>40871</v>
      </c>
      <c r="G824" s="172">
        <f>+SUM(G71:G82)+SUM(G138:G187)+SUM(G325:G356)+SUM(G484:G488)+SUM(G526:G531)+SUM(G570:G581)+SUM(G638:G641)+SUM(G674:G680)+SUM(G732:G733)+SUM(G766:G771)</f>
        <v>42381</v>
      </c>
      <c r="H824" s="172">
        <f>+SUM(H71:H82)+SUM(H138:H187)+SUM(H325:H356)+SUM(H484:H488)+SUM(H526:H531)+SUM(H570:H581)+SUM(H638:H641)+SUM(H674:H680)+SUM(H732:H733)+SUM(H766:H771)</f>
        <v>77760</v>
      </c>
      <c r="I824" s="38">
        <f t="shared" ref="I824:I830" si="205">SUM(F824:H824)</f>
        <v>161012</v>
      </c>
      <c r="J824" s="172">
        <f>+SUM(J71:J82)+SUM(J138:J187)+SUM(J325:J356)+SUM(J484:J488)+SUM(J526:J531)+SUM(J570:J581)+SUM(J638:J641)+SUM(J674:J680)+SUM(J732:J733)+SUM(J766:J771)</f>
        <v>74704</v>
      </c>
      <c r="K824" s="172">
        <f>+SUM(K71:K82)+SUM(K138:K187)+SUM(K325:K356)+SUM(K484:K488)+SUM(K526:K531)+SUM(K570:K581)+SUM(K638:K641)+SUM(K674:K680)+SUM(K732:K733)+SUM(K766:K771)</f>
        <v>69276</v>
      </c>
      <c r="L824" s="172">
        <f>+SUM(L71:L82)+SUM(L138:L187)+SUM(L325:L356)+SUM(L484:L488)+SUM(L526:L531)+SUM(L570:L581)+SUM(L638:L641)+SUM(L674:L680)+SUM(L732:L733)+SUM(L766:L771)</f>
        <v>66314</v>
      </c>
      <c r="M824" s="38">
        <f t="shared" ref="M824:M830" si="206">SUM(J824:L824)</f>
        <v>210294</v>
      </c>
      <c r="N824" s="172">
        <f>+SUM(N71:N82)+SUM(N138:N187)+SUM(N325:N356)+SUM(N484:N488)+SUM(N526:N531)+SUM(N570:N581)+SUM(N638:N641)+SUM(N674:N680)+SUM(N732:N733)+SUM(N766:N771)</f>
        <v>44798</v>
      </c>
      <c r="O824" s="172">
        <f>+SUM(O71:O82)+SUM(O138:O187)+SUM(O325:O356)+SUM(O484:O488)+SUM(O526:O531)+SUM(O570:O581)+SUM(O638:O641)+SUM(O674:O680)+SUM(O732:O733)+SUM(O766:O771)</f>
        <v>28636</v>
      </c>
      <c r="P824" s="172">
        <f>+SUM(P71:P82)+SUM(P138:P187)+SUM(P325:P356)+SUM(P484:P488)+SUM(P526:P531)+SUM(P570:P581)+SUM(P638:P641)+SUM(P674:P680)+SUM(P732:P733)+SUM(P766:P771)</f>
        <v>31123</v>
      </c>
      <c r="Q824" s="38">
        <f t="shared" ref="Q824:Q830" si="207">SUM(N824:P824)</f>
        <v>104557</v>
      </c>
      <c r="R824" s="38">
        <f t="shared" ref="R824:R830" si="208">+E824+I824+M824+Q824</f>
        <v>561004</v>
      </c>
    </row>
    <row r="825" spans="1:20" ht="15.75" customHeight="1" x14ac:dyDescent="0.3">
      <c r="A825" s="234" t="s">
        <v>2642</v>
      </c>
      <c r="B825" s="172">
        <f>+B38+SUM(B83:B84)+SUM(B189:B200)+SUM(B358:B370)+SUM(B490:B491)+B532+SUM(B582:B583)+B642+B681+B734+SUM(B772:B772)</f>
        <v>0</v>
      </c>
      <c r="C825" s="172">
        <f>+C38+SUM(C83:C84)+SUM(C189:C200)+SUM(C358:C370)+SUM(C490:C491)+C532+SUM(C582:C583)+C642+C681+C734+SUM(C772:C772)</f>
        <v>0</v>
      </c>
      <c r="D825" s="172">
        <f>+D38+SUM(D83:D84)+SUM(D189:D200)+SUM(D358:D370)+SUM(D490:D491)+D532+SUM(D582:D583)+D642+D681+D734+SUM(D772:D772)</f>
        <v>0</v>
      </c>
      <c r="E825" s="38">
        <f t="shared" si="204"/>
        <v>0</v>
      </c>
      <c r="F825" s="172">
        <f>+F38+SUM(F83:F84)+SUM(F189:F200)+SUM(F358:F370)+SUM(F490:F491)+F532+SUM(F582:F583)+F642+F681+F734+SUM(F772:F772)</f>
        <v>0</v>
      </c>
      <c r="G825" s="172">
        <f>+G38+SUM(G83:G84)+SUM(G189:G200)+SUM(G358:G370)+SUM(G490:G491)+G532+SUM(G582:G583)+G642+G681+G734+SUM(G772:G772)</f>
        <v>0</v>
      </c>
      <c r="H825" s="172">
        <f>+H38+SUM(H83:H84)+SUM(H189:H200)+SUM(H358:H370)+SUM(H490:H491)+H532+SUM(H582:H583)+H642+H681+H734+SUM(H772:H772)</f>
        <v>0</v>
      </c>
      <c r="I825" s="38">
        <f t="shared" si="205"/>
        <v>0</v>
      </c>
      <c r="J825" s="172">
        <f>+J38+SUM(J83:J84)+SUM(J189:J200)+SUM(J358:J370)+SUM(J490:J491)+J532+SUM(J582:J583)+J642+J681+J734+SUM(J772:J772)</f>
        <v>0</v>
      </c>
      <c r="K825" s="172">
        <f>+K38+SUM(K83:K84)+SUM(K189:K200)+SUM(K358:K370)+SUM(K490:K491)+K532+SUM(K582:K583)+K642+K681+K734+SUM(K772:K772)</f>
        <v>0</v>
      </c>
      <c r="L825" s="172">
        <f>+L38+SUM(L83:L84)+SUM(L189:L200)+SUM(L358:L370)+SUM(L490:L491)+L532+SUM(L582:L583)+L642+L681+L734+SUM(L772:L772)</f>
        <v>0</v>
      </c>
      <c r="M825" s="38">
        <f t="shared" si="206"/>
        <v>0</v>
      </c>
      <c r="N825" s="172">
        <f>+N38+SUM(N83:N84)+SUM(N189:N200)+SUM(N358:N370)+SUM(N490:N491)+N532+SUM(N582:N583)+N642+N681+N734+SUM(N772:N772)</f>
        <v>0</v>
      </c>
      <c r="O825" s="172">
        <f>+O38+SUM(O83:O84)+SUM(O189:O200)+SUM(O358:O370)+SUM(O490:O491)+O532+SUM(O582:O583)+O642+O681+O734+SUM(O772:O772)</f>
        <v>0</v>
      </c>
      <c r="P825" s="172">
        <f>+P38+SUM(P83:P84)+SUM(P189:P200)+SUM(P358:P370)+SUM(P490:P491)+P532+SUM(P582:P583)+P642+P681+P734+SUM(P772:P772)</f>
        <v>96</v>
      </c>
      <c r="Q825" s="38">
        <f t="shared" si="207"/>
        <v>96</v>
      </c>
      <c r="R825" s="38">
        <f t="shared" si="208"/>
        <v>96</v>
      </c>
    </row>
    <row r="826" spans="1:20" ht="15.75" customHeight="1" x14ac:dyDescent="0.3">
      <c r="A826" s="545" t="s">
        <v>2647</v>
      </c>
      <c r="B826" s="172">
        <f>+SUM(B85:B87)+SUM(B201:B204)+SUM(B371:B375)+B492+B533+SUM(B584:B585)+B643+B682+B735+SUM(B773:B774)</f>
        <v>0</v>
      </c>
      <c r="C826" s="172">
        <f>+SUM(C85:C87)+SUM(C201:C204)+SUM(C371:C375)+C492+C533+SUM(C584:C585)+C643+C682+C735+SUM(C773:C774)</f>
        <v>13</v>
      </c>
      <c r="D826" s="172">
        <f>+SUM(D85:D87)+SUM(D201:D204)+SUM(D371:D375)+D492+D533+SUM(D584:D585)+D643+D682+D735+SUM(D773:D774)</f>
        <v>63</v>
      </c>
      <c r="E826" s="38">
        <f t="shared" si="204"/>
        <v>76</v>
      </c>
      <c r="F826" s="172">
        <f>+SUM(F85:F87)+SUM(F201:F204)+SUM(F371:F375)+F492+F533+SUM(F584:F585)+F643+F682+F735+SUM(F773:F774)</f>
        <v>1314</v>
      </c>
      <c r="G826" s="172">
        <f>+SUM(G85:G87)+SUM(G201:G204)+SUM(G371:G375)+G492+G533+SUM(G584:G585)+G643+G682+G735+SUM(G773:G774)</f>
        <v>7755</v>
      </c>
      <c r="H826" s="172">
        <f>+SUM(H85:H87)+SUM(H201:H204)+SUM(H371:H375)+H492+H533+SUM(H584:H585)+H643+H682+H735+SUM(H773:H774)</f>
        <v>5014</v>
      </c>
      <c r="I826" s="38">
        <f t="shared" si="205"/>
        <v>14083</v>
      </c>
      <c r="J826" s="172">
        <f>+SUM(J85:J87)+SUM(J201:J204)+SUM(J371:J375)+J492+J533+SUM(J584:J585)+J643+J682+J735+SUM(J773:J774)</f>
        <v>3467</v>
      </c>
      <c r="K826" s="172">
        <f>+SUM(K85:K87)+SUM(K201:K204)+SUM(K371:K375)+K492+K533+SUM(K584:K585)+K643+K682+K735+SUM(K773:K774)</f>
        <v>1060</v>
      </c>
      <c r="L826" s="172">
        <f>+SUM(L85:L87)+SUM(L201:L204)+SUM(L371:L375)+L492+L533+SUM(L584:L585)+L643+L682+L735+SUM(L773:L774)</f>
        <v>866</v>
      </c>
      <c r="M826" s="38">
        <f t="shared" si="206"/>
        <v>5393</v>
      </c>
      <c r="N826" s="172">
        <f>+SUM(N85:N87)+SUM(N201:N204)+SUM(N371:N375)+N492+N533+SUM(N584:N585)+N643+N682+N735+SUM(N773:N774)</f>
        <v>804</v>
      </c>
      <c r="O826" s="172">
        <f>+SUM(O85:O87)+SUM(O201:O204)+SUM(O371:O375)+O492+O533+SUM(O584:O585)+O643+O682+O735+SUM(O773:O774)</f>
        <v>3805</v>
      </c>
      <c r="P826" s="172">
        <f>+SUM(P85:P87)+SUM(P201:P204)+SUM(P371:P375)+P492+P533+SUM(P584:P585)+P643+P682+P735+SUM(P773:P774)</f>
        <v>4222</v>
      </c>
      <c r="Q826" s="38">
        <f t="shared" si="207"/>
        <v>8831</v>
      </c>
      <c r="R826" s="38">
        <f>+E826+I826+M826+Q826</f>
        <v>28383</v>
      </c>
    </row>
    <row r="827" spans="1:20" ht="15.75" customHeight="1" x14ac:dyDescent="0.3">
      <c r="A827" s="234" t="s">
        <v>2958</v>
      </c>
      <c r="B827" s="172">
        <f>+B302+B465+B466</f>
        <v>0</v>
      </c>
      <c r="C827" s="172">
        <f>+C302+C465+C466</f>
        <v>0</v>
      </c>
      <c r="D827" s="172">
        <f>+D302+D465+D466</f>
        <v>0</v>
      </c>
      <c r="E827" s="38">
        <f t="shared" si="204"/>
        <v>0</v>
      </c>
      <c r="F827" s="172">
        <f>+F302+F465+F466</f>
        <v>0</v>
      </c>
      <c r="G827" s="172">
        <f>+G302+G465+G466</f>
        <v>0</v>
      </c>
      <c r="H827" s="172">
        <f>+H302+H465+H466</f>
        <v>0</v>
      </c>
      <c r="I827" s="38">
        <f t="shared" si="205"/>
        <v>0</v>
      </c>
      <c r="J827" s="172">
        <f>+J302+J465+J466</f>
        <v>0</v>
      </c>
      <c r="K827" s="172">
        <f>+K302+K465+K466</f>
        <v>0</v>
      </c>
      <c r="L827" s="172">
        <f>+L302+L465+L466</f>
        <v>0</v>
      </c>
      <c r="M827" s="38">
        <f t="shared" si="206"/>
        <v>0</v>
      </c>
      <c r="N827" s="172">
        <f>+N302+N465+N466</f>
        <v>0</v>
      </c>
      <c r="O827" s="172">
        <f>+O302+O465+O466</f>
        <v>0</v>
      </c>
      <c r="P827" s="172">
        <f>+P302+P465+P466</f>
        <v>0</v>
      </c>
      <c r="Q827" s="38">
        <f t="shared" si="207"/>
        <v>0</v>
      </c>
      <c r="R827" s="38">
        <f t="shared" si="208"/>
        <v>0</v>
      </c>
    </row>
    <row r="828" spans="1:20" ht="15.75" customHeight="1" x14ac:dyDescent="0.3">
      <c r="A828" s="545" t="s">
        <v>2163</v>
      </c>
      <c r="B828" s="172">
        <f>+B303</f>
        <v>9</v>
      </c>
      <c r="C828" s="172">
        <f>+C303</f>
        <v>214</v>
      </c>
      <c r="D828" s="172">
        <f>+D303</f>
        <v>37</v>
      </c>
      <c r="E828" s="38">
        <f>SUM(B828:D828)</f>
        <v>260</v>
      </c>
      <c r="F828" s="172">
        <f>+F303</f>
        <v>57</v>
      </c>
      <c r="G828" s="172">
        <f>+G303</f>
        <v>45</v>
      </c>
      <c r="H828" s="172">
        <f>+H303</f>
        <v>30</v>
      </c>
      <c r="I828" s="38">
        <f>SUM(F828:H828)</f>
        <v>132</v>
      </c>
      <c r="J828" s="172">
        <f>+J303</f>
        <v>57</v>
      </c>
      <c r="K828" s="172">
        <f>+K303</f>
        <v>62</v>
      </c>
      <c r="L828" s="172">
        <f>+L303</f>
        <v>65</v>
      </c>
      <c r="M828" s="38">
        <f>SUM(J828:L828)</f>
        <v>184</v>
      </c>
      <c r="N828" s="172">
        <f>+N303</f>
        <v>76</v>
      </c>
      <c r="O828" s="172">
        <f>+O303</f>
        <v>56</v>
      </c>
      <c r="P828" s="172">
        <v>118</v>
      </c>
      <c r="Q828" s="38">
        <f t="shared" si="207"/>
        <v>250</v>
      </c>
      <c r="R828" s="38">
        <f>+E828+I828+M828+Q828</f>
        <v>826</v>
      </c>
    </row>
    <row r="829" spans="1:20" ht="15.75" customHeight="1" thickBot="1" x14ac:dyDescent="0.35">
      <c r="A829" s="234" t="s">
        <v>2164</v>
      </c>
      <c r="B829" s="172">
        <f>+B88+B493+B534+B586+B644+B683+B736+B775</f>
        <v>0</v>
      </c>
      <c r="C829" s="172">
        <f>+C88+C493+C534+C586+C644+C683+C736+C775</f>
        <v>0</v>
      </c>
      <c r="D829" s="172">
        <f>+D88+D493+D534+D586+D644+D683+D736+D775</f>
        <v>0</v>
      </c>
      <c r="E829" s="38">
        <f t="shared" si="204"/>
        <v>0</v>
      </c>
      <c r="F829" s="172">
        <f>+F88+F493+F534+F586+F644+F683+F736+F775</f>
        <v>0</v>
      </c>
      <c r="G829" s="172">
        <f>+G88+G493+G534+G586+G644+G683+G736+G775</f>
        <v>0</v>
      </c>
      <c r="H829" s="172">
        <f>+H88+H493+H534+H586+H644+H683+H736+H775</f>
        <v>0</v>
      </c>
      <c r="I829" s="38">
        <f t="shared" si="205"/>
        <v>0</v>
      </c>
      <c r="J829" s="172">
        <f>+J88+J493+J534+J586+J644+J683+J736+J775</f>
        <v>0</v>
      </c>
      <c r="K829" s="172">
        <f>+K88+K493+K534+K586+K644+K683+K736+K775</f>
        <v>0</v>
      </c>
      <c r="L829" s="172">
        <f>+L88+L493+L534+L586+L644+L683+L736+L775</f>
        <v>0</v>
      </c>
      <c r="M829" s="38">
        <f t="shared" si="206"/>
        <v>0</v>
      </c>
      <c r="N829" s="172">
        <f>+N88+N493+N534+N586+N644+N683+N736+N775</f>
        <v>0</v>
      </c>
      <c r="O829" s="172">
        <f>+O88+O493+O534+O586+O644+O683+O736+O775</f>
        <v>0</v>
      </c>
      <c r="P829" s="172">
        <f>+P88+P493+P534+P586+P644+P683+P736+P775</f>
        <v>0</v>
      </c>
      <c r="Q829" s="38">
        <f t="shared" si="207"/>
        <v>0</v>
      </c>
      <c r="R829" s="38">
        <f t="shared" si="208"/>
        <v>0</v>
      </c>
    </row>
    <row r="830" spans="1:20" ht="16.5" customHeight="1" thickBot="1" x14ac:dyDescent="0.35">
      <c r="A830" s="43" t="s">
        <v>1218</v>
      </c>
      <c r="B830" s="45">
        <f>SUM(B823:B829)</f>
        <v>27327</v>
      </c>
      <c r="C830" s="46">
        <f>SUM(C823:C829)</f>
        <v>22289</v>
      </c>
      <c r="D830" s="46">
        <f>SUM(D823:D829)</f>
        <v>35861</v>
      </c>
      <c r="E830" s="37">
        <f t="shared" si="204"/>
        <v>85477</v>
      </c>
      <c r="F830" s="46">
        <f>SUM(F823:F829)</f>
        <v>42242</v>
      </c>
      <c r="G830" s="46">
        <f>SUM(G823:G829)</f>
        <v>50181</v>
      </c>
      <c r="H830" s="46">
        <f>SUM(H823:H829)</f>
        <v>82804</v>
      </c>
      <c r="I830" s="37">
        <f t="shared" si="205"/>
        <v>175227</v>
      </c>
      <c r="J830" s="46">
        <f>SUM(J823:J829)</f>
        <v>78228</v>
      </c>
      <c r="K830" s="46">
        <f>SUM(K823:K829)</f>
        <v>70398</v>
      </c>
      <c r="L830" s="46">
        <f>SUM(L823:L829)</f>
        <v>67245</v>
      </c>
      <c r="M830" s="37">
        <f t="shared" si="206"/>
        <v>215871</v>
      </c>
      <c r="N830" s="46">
        <f>SUM(N823:N829)</f>
        <v>45678</v>
      </c>
      <c r="O830" s="46">
        <f>SUM(O823:O829)</f>
        <v>32497</v>
      </c>
      <c r="P830" s="46">
        <f>SUM(P823:P829)</f>
        <v>35559</v>
      </c>
      <c r="Q830" s="37">
        <f t="shared" si="207"/>
        <v>113734</v>
      </c>
      <c r="R830" s="37">
        <f t="shared" si="208"/>
        <v>590309</v>
      </c>
      <c r="T830">
        <f>+R830-R827-R826</f>
        <v>561926</v>
      </c>
    </row>
    <row r="831" spans="1:20" ht="15.75" customHeight="1" x14ac:dyDescent="0.3">
      <c r="A831" s="234" t="s">
        <v>1172</v>
      </c>
      <c r="B831" s="172"/>
      <c r="C831" s="172"/>
      <c r="D831" s="172"/>
      <c r="E831" s="38" t="s">
        <v>852</v>
      </c>
      <c r="F831" s="172"/>
      <c r="G831" s="172"/>
      <c r="H831" s="172"/>
      <c r="I831" s="38" t="s">
        <v>852</v>
      </c>
      <c r="J831" s="172"/>
      <c r="K831" s="172"/>
      <c r="L831" s="172"/>
      <c r="M831" s="38" t="s">
        <v>852</v>
      </c>
      <c r="N831" s="172"/>
      <c r="O831" s="172"/>
      <c r="P831" s="172"/>
      <c r="Q831" s="38" t="s">
        <v>852</v>
      </c>
      <c r="R831" s="38" t="s">
        <v>852</v>
      </c>
    </row>
    <row r="832" spans="1:20" ht="15.75" customHeight="1" x14ac:dyDescent="0.3">
      <c r="A832" s="234" t="s">
        <v>1658</v>
      </c>
      <c r="B832" s="172">
        <f>SUM(B43:B43)+SUM(B208:B208)+SUM(B91:B91)+SUM(B379:B379)</f>
        <v>0</v>
      </c>
      <c r="C832" s="172">
        <f>SUM(C43:C43)+SUM(C208:C208)+SUM(C91:C91)+SUM(C379:C379)</f>
        <v>0</v>
      </c>
      <c r="D832" s="172">
        <f>SUM(D43:D43)+SUM(D208:D208)+SUM(D91:D91)+SUM(D379:D379)</f>
        <v>0</v>
      </c>
      <c r="E832" s="38">
        <f>SUM(B832:D832)</f>
        <v>0</v>
      </c>
      <c r="F832" s="172">
        <f>SUM(F43:F43)+SUM(F208:F208)+SUM(F91:F91)+SUM(F379:F379)</f>
        <v>0</v>
      </c>
      <c r="G832" s="172">
        <f>SUM(G43:G43)+SUM(G208:G208)+SUM(G91:G91)+SUM(G379:G379)</f>
        <v>0</v>
      </c>
      <c r="H832" s="172">
        <f>SUM(H43:H43)+SUM(H208:H208)+SUM(H91:H91)+SUM(H379:H379)</f>
        <v>0</v>
      </c>
      <c r="I832" s="38">
        <f>SUM(F832:H832)</f>
        <v>0</v>
      </c>
      <c r="J832" s="172">
        <f>SUM(J43:J43)+SUM(J208:J208)+SUM(J91:J91)+SUM(J379:J379)</f>
        <v>0</v>
      </c>
      <c r="K832" s="172">
        <f>SUM(K43:K43)+SUM(K208:K208)+SUM(K91:K91)+SUM(K379:K379)</f>
        <v>0</v>
      </c>
      <c r="L832" s="172">
        <f>SUM(L43:L43)+SUM(L208:L208)+SUM(L91:L91)+SUM(L379:L379)</f>
        <v>0</v>
      </c>
      <c r="M832" s="38">
        <f>SUM(J832:L832)</f>
        <v>0</v>
      </c>
      <c r="N832" s="172">
        <f>SUM(N43:N43)+SUM(N208:N208)+SUM(N91:N91)+SUM(N379:N379)</f>
        <v>0</v>
      </c>
      <c r="O832" s="172">
        <f>SUM(O43:O43)+SUM(O208:O208)+SUM(O91:O91)+SUM(O379:O379)</f>
        <v>0</v>
      </c>
      <c r="P832" s="172">
        <f>SUM(P43:P43)+SUM(P208:P208)+SUM(P91:P91)+SUM(P379:P379)</f>
        <v>0</v>
      </c>
      <c r="Q832" s="38">
        <f>SUM(N832:P832)</f>
        <v>0</v>
      </c>
      <c r="R832" s="38">
        <f>+E832+I832+M832+Q832</f>
        <v>0</v>
      </c>
    </row>
    <row r="833" spans="1:20" ht="15.75" customHeight="1" x14ac:dyDescent="0.3">
      <c r="A833" s="545" t="s">
        <v>2409</v>
      </c>
      <c r="B833" s="172">
        <f>+SUM(B93:B94)+SUM(B209:B211)+SUM(B380:B389)+B497+SUM(B537:B539)+SUM(B589:B591)+SUM(B647:B647)+B686+B739+SUM(B778:B779)</f>
        <v>2634</v>
      </c>
      <c r="C833" s="172">
        <f>+SUM(C93:C94)+SUM(C209:C211)+SUM(C380:C389)+C497+SUM(C537:C539)+SUM(C589:C591)+SUM(C647:C647)+C686+C739+SUM(C778:C779)</f>
        <v>5612</v>
      </c>
      <c r="D833" s="172">
        <f>+SUM(D93:D94)+SUM(D209:D211)+SUM(D380:D389)+D497+SUM(D537:D539)+SUM(D589:D591)+SUM(D647:D647)+D686+D739+SUM(D778:D779)</f>
        <v>28344</v>
      </c>
      <c r="E833" s="38">
        <f>SUM(B833:D833)</f>
        <v>36590</v>
      </c>
      <c r="F833" s="172">
        <f>+SUM(F93:F94)+SUM(F209:F211)+SUM(F380:F389)+F497+SUM(F537:F539)+SUM(F589:F591)+SUM(F647:F647)+F686+F739+SUM(F778:F779)</f>
        <v>33634</v>
      </c>
      <c r="G833" s="172">
        <f>+SUM(G93:G94)+SUM(G209:G211)+SUM(G380:G389)+G497+SUM(G537:G539)+SUM(G589:G591)+SUM(G647:G647)+G686+G739+SUM(G778:G779)</f>
        <v>26572</v>
      </c>
      <c r="H833" s="172">
        <f>+SUM(H93:H94)+SUM(H209:H211)+SUM(H380:H389)+H497+SUM(H537:H539)+SUM(H589:H591)+SUM(H647:H647)+H686+H739+SUM(H778:H779)</f>
        <v>58483</v>
      </c>
      <c r="I833" s="38">
        <f>SUM(F833:H833)</f>
        <v>118689</v>
      </c>
      <c r="J833" s="172">
        <f>+SUM(J93:J94)+SUM(J209:J211)+SUM(J380:J389)+J497+SUM(J537:J539)+SUM(J589:J591)+SUM(J647:J647)+J686+J739+SUM(J778:J779)</f>
        <v>39696</v>
      </c>
      <c r="K833" s="172">
        <f>+SUM(K93:K94)+SUM(K209:K211)+SUM(K380:K389)+K497+SUM(K537:K539)+SUM(K589:K591)+SUM(K647:K647)+K686+K739+SUM(K778:K779)</f>
        <v>32903</v>
      </c>
      <c r="L833" s="172">
        <f>+SUM(L93:L94)+SUM(L209:L211)+SUM(L380:L389)+L497+SUM(L537:L539)+SUM(L589:L591)+SUM(L647:L647)+L686+L739+SUM(L778:L779)</f>
        <v>18081</v>
      </c>
      <c r="M833" s="38">
        <f>SUM(J833:L833)</f>
        <v>90680</v>
      </c>
      <c r="N833" s="172">
        <f>+SUM(N93:N94)+SUM(N209:N211)+SUM(N380:N389)+N497+SUM(N537:N539)+SUM(N589:N591)+SUM(N647:N647)+N686+N739+SUM(N778:N779)</f>
        <v>4004</v>
      </c>
      <c r="O833" s="172">
        <f>+SUM(O93:O94)+SUM(O209:O211)+SUM(O380:O389)+O497+SUM(O537:O539)+SUM(O589:O591)+SUM(O647:O647)+O686+O739+SUM(O778:O779)</f>
        <v>2556</v>
      </c>
      <c r="P833" s="172">
        <f>+SUM(P93:P94)+SUM(P209:P211)+SUM(P380:P389)+P497+SUM(P537:P539)+SUM(P589:P591)+SUM(P647:P647)+P686+P739+SUM(P778:P779)</f>
        <v>5332</v>
      </c>
      <c r="Q833" s="38">
        <f>SUM(N833:P833)</f>
        <v>11892</v>
      </c>
      <c r="R833" s="38">
        <f>+E833+I833+M833+Q833</f>
        <v>257851</v>
      </c>
    </row>
    <row r="834" spans="1:20" ht="15.75" customHeight="1" thickBot="1" x14ac:dyDescent="0.35">
      <c r="A834" s="234" t="s">
        <v>2165</v>
      </c>
      <c r="B834" s="172">
        <f>+B95+B498+B540+B592+B648+B687+B740+B780</f>
        <v>0</v>
      </c>
      <c r="C834" s="172">
        <f>+C95+C498+C540+C592+C648+C687+C740+C780</f>
        <v>0</v>
      </c>
      <c r="D834" s="172">
        <f>+D95+D498+D540+D592+D648+D687+D740+D780</f>
        <v>0</v>
      </c>
      <c r="E834" s="38">
        <f>SUM(B834:D834)</f>
        <v>0</v>
      </c>
      <c r="F834" s="172">
        <f>+F95+F498+F540+F592+F648+F687+F740+F780</f>
        <v>0</v>
      </c>
      <c r="G834" s="172">
        <f>+G95+G498+G540+G592+G648+G687+G740+G780</f>
        <v>0</v>
      </c>
      <c r="H834" s="172">
        <f>+H95+H498+H540+H592+H648+H687+H740+H780</f>
        <v>0</v>
      </c>
      <c r="I834" s="38">
        <f>SUM(F834:H834)</f>
        <v>0</v>
      </c>
      <c r="J834" s="172">
        <f>+J95+J498+J540+J592+J648+J687+J740+J780</f>
        <v>0</v>
      </c>
      <c r="K834" s="172">
        <f>+K95+K498+K540+K592+K648+K687+K740+K780</f>
        <v>0</v>
      </c>
      <c r="L834" s="172">
        <f>+L95+L498+L540+L592+L648+L687+L740+L780</f>
        <v>0</v>
      </c>
      <c r="M834" s="38">
        <f>SUM(J834:L834)</f>
        <v>0</v>
      </c>
      <c r="N834" s="172">
        <f>+N95+N498+N540+N592+N648+N687+N740+N780</f>
        <v>0</v>
      </c>
      <c r="O834" s="172">
        <f>+O95+O498+O540+O592+O648+O687+O740+O780</f>
        <v>0</v>
      </c>
      <c r="P834" s="172">
        <f>+P95+P498+P540+P592+P648+P687+P740+P780</f>
        <v>0</v>
      </c>
      <c r="Q834" s="38">
        <f>SUM(N834:P834)</f>
        <v>0</v>
      </c>
      <c r="R834" s="38">
        <f>+E834+I834+M834+Q834</f>
        <v>0</v>
      </c>
    </row>
    <row r="835" spans="1:20" ht="16.5" customHeight="1" thickBot="1" x14ac:dyDescent="0.35">
      <c r="A835" s="43" t="s">
        <v>1219</v>
      </c>
      <c r="B835" s="45">
        <f>SUM(B831:B834)</f>
        <v>2634</v>
      </c>
      <c r="C835" s="46">
        <f>SUM(C831:C834)</f>
        <v>5612</v>
      </c>
      <c r="D835" s="46">
        <f>SUM(D831:D834)</f>
        <v>28344</v>
      </c>
      <c r="E835" s="37">
        <f>SUM(B835:D835)</f>
        <v>36590</v>
      </c>
      <c r="F835" s="46">
        <f>SUM(F831:F834)</f>
        <v>33634</v>
      </c>
      <c r="G835" s="46">
        <f>SUM(G831:G834)</f>
        <v>26572</v>
      </c>
      <c r="H835" s="46">
        <f>SUM(H831:H834)</f>
        <v>58483</v>
      </c>
      <c r="I835" s="37">
        <f>SUM(F835:H835)</f>
        <v>118689</v>
      </c>
      <c r="J835" s="46">
        <f>SUM(J831:J834)</f>
        <v>39696</v>
      </c>
      <c r="K835" s="46">
        <f>SUM(K831:K834)</f>
        <v>32903</v>
      </c>
      <c r="L835" s="46">
        <f>SUM(L831:L834)</f>
        <v>18081</v>
      </c>
      <c r="M835" s="37">
        <f>SUM(J835:L835)</f>
        <v>90680</v>
      </c>
      <c r="N835" s="46">
        <f>SUM(N831:N834)</f>
        <v>4004</v>
      </c>
      <c r="O835" s="46">
        <f>SUM(O831:O834)</f>
        <v>2556</v>
      </c>
      <c r="P835" s="46">
        <f>SUM(P831:P834)</f>
        <v>5332</v>
      </c>
      <c r="Q835" s="37">
        <f>SUM(N835:P835)</f>
        <v>11892</v>
      </c>
      <c r="R835" s="37">
        <f>+E835+I835+M835+Q835</f>
        <v>257851</v>
      </c>
    </row>
    <row r="836" spans="1:20" ht="15.75" customHeight="1" x14ac:dyDescent="0.3">
      <c r="A836" s="234" t="s">
        <v>2166</v>
      </c>
      <c r="B836" s="172"/>
      <c r="C836" s="172"/>
      <c r="D836" s="172"/>
      <c r="E836" s="38" t="s">
        <v>852</v>
      </c>
      <c r="F836" s="172"/>
      <c r="G836" s="172"/>
      <c r="H836" s="172"/>
      <c r="I836" s="38" t="s">
        <v>852</v>
      </c>
      <c r="J836" s="172"/>
      <c r="K836" s="172"/>
      <c r="L836" s="172"/>
      <c r="M836" s="38" t="s">
        <v>852</v>
      </c>
      <c r="N836" s="172"/>
      <c r="O836" s="172"/>
      <c r="P836" s="172"/>
      <c r="Q836" s="38" t="s">
        <v>852</v>
      </c>
      <c r="R836" s="38" t="s">
        <v>852</v>
      </c>
    </row>
    <row r="837" spans="1:20" ht="15.75" customHeight="1" x14ac:dyDescent="0.3">
      <c r="A837" s="545" t="s">
        <v>1245</v>
      </c>
      <c r="B837" s="172">
        <f>+B48+B98+B215+SUM(B393:B395)+B501+B543+B595+B651+SUM(B690:B691)+B743+SUM(B783:B785)</f>
        <v>2387</v>
      </c>
      <c r="C837" s="172">
        <f>+C48+C98+C215+SUM(C393:C395)+C501+C543+C595+C651+SUM(C690:C691)+C743+SUM(C783:C785)</f>
        <v>4989</v>
      </c>
      <c r="D837" s="172">
        <f>+D48+D98+D215+SUM(D393:D395)+D501+D543+D595+D651+SUM(D690:D691)+D743+SUM(D783:D785)</f>
        <v>12161</v>
      </c>
      <c r="E837" s="38">
        <f>SUM(B837:D837)</f>
        <v>19537</v>
      </c>
      <c r="F837" s="172">
        <f>+F48+F98+F215+SUM(F393:F395)+F501+F543+F595+F651+SUM(F690:F691)+F743+SUM(F783:F785)</f>
        <v>12684</v>
      </c>
      <c r="G837" s="172">
        <f>+G48+G98+G215+SUM(G393:G395)+G501+G543+G595+G651+SUM(G690:G691)+G743+SUM(G783:G785)</f>
        <v>15861</v>
      </c>
      <c r="H837" s="172">
        <f>+H48+H98+H215+SUM(H393:H395)+H501+H543+H595+H651+SUM(H690:H691)+H743+SUM(H783:H785)</f>
        <v>17652</v>
      </c>
      <c r="I837" s="38">
        <f>SUM(F837:H837)</f>
        <v>46197</v>
      </c>
      <c r="J837" s="172">
        <f>+J48+J98+J215+SUM(J393:J395)+J501+J543+J595+J651+SUM(J690:J691)+J743+SUM(J783:J785)</f>
        <v>10639</v>
      </c>
      <c r="K837" s="172">
        <f>+K48+K98+K215+SUM(K393:K395)+K501+K543+K595+K651+SUM(K690:K691)+K743+SUM(K783:K785)</f>
        <v>11008</v>
      </c>
      <c r="L837" s="172">
        <f>+L48+L98+L215+SUM(L393:L395)+L501+L543+L595+L651+SUM(L690:L691)+L743+SUM(L783:L785)</f>
        <v>7408</v>
      </c>
      <c r="M837" s="38">
        <f>SUM(J837:L837)</f>
        <v>29055</v>
      </c>
      <c r="N837" s="172">
        <f>+N48+N98+N215+SUM(N393:N395)+N501+N543+N595+N651+SUM(N690:N691)+N743+SUM(N783:N785)</f>
        <v>3212</v>
      </c>
      <c r="O837" s="172">
        <f>+O48+O98+O215+SUM(O393:O395)+O501+O543+O595+O651+SUM(O690:O691)+O743+SUM(O783:O785)</f>
        <v>1664</v>
      </c>
      <c r="P837" s="172">
        <f>+P48+P98+P215+SUM(P393:P395)+P501+P543+P595+P651+SUM(P690:P691)+P743+SUM(P783:P785)</f>
        <v>4251</v>
      </c>
      <c r="Q837" s="38">
        <f>SUM(N837:P837)</f>
        <v>9127</v>
      </c>
      <c r="R837" s="38">
        <f>+E837+I837+M837+Q837</f>
        <v>103916</v>
      </c>
    </row>
    <row r="838" spans="1:20" ht="15.75" customHeight="1" thickBot="1" x14ac:dyDescent="0.35">
      <c r="A838" s="545" t="s">
        <v>1711</v>
      </c>
      <c r="B838" s="172">
        <f>+B49+SUM(B99:B106)+SUM(B216:B277)+SUM(B396:B438)+SUM(B502:B503)+SUM(B544:B545)+SUM(B596:B599)+B652+SUM(B692:B697)+B744+SUM(B786:B790)</f>
        <v>11493</v>
      </c>
      <c r="C838" s="172">
        <f>+C49+SUM(C99:C106)+SUM(C216:C277)+SUM(C396:C438)+SUM(C502:C503)+SUM(C544:C545)+SUM(C596:C599)+C652+SUM(C692:C697)+C744+SUM(C786:C790)</f>
        <v>16045</v>
      </c>
      <c r="D838" s="172">
        <f>+D49+SUM(D99:D106)+SUM(D216:D277)+SUM(D396:D438)+SUM(D502:D503)+SUM(D544:D545)+SUM(D596:D599)+D652+SUM(D692:D697)+D744+SUM(D786:D790)</f>
        <v>32568</v>
      </c>
      <c r="E838" s="38">
        <f>SUM(B838:D838)</f>
        <v>60106</v>
      </c>
      <c r="F838" s="172">
        <f>+F49+SUM(F99:F106)+SUM(F216:F277)+SUM(F396:F438)+SUM(F502:F503)+SUM(F544:F545)+SUM(F596:F599)+F652+SUM(F692:F697)+F744+SUM(F786:F790)</f>
        <v>58461</v>
      </c>
      <c r="G838" s="172">
        <f>+G49+SUM(G99:G106)+SUM(G216:G277)+SUM(G396:G438)+SUM(G502:G503)+SUM(G544:G545)+SUM(G596:G599)+G652+SUM(G692:G697)+G744+SUM(G786:G790)</f>
        <v>52872</v>
      </c>
      <c r="H838" s="172">
        <f>+H49+SUM(H99:H106)+SUM(H216:H277)+SUM(H396:H438)+SUM(H502:H503)+SUM(H544:H545)+SUM(H596:H599)+H652+SUM(H692:H697)+H744+SUM(H786:H790)</f>
        <v>33419</v>
      </c>
      <c r="I838" s="38">
        <f>SUM(F838:H838)</f>
        <v>144752</v>
      </c>
      <c r="J838" s="172">
        <f>+J49+SUM(J99:J106)+SUM(J216:J277)+SUM(J396:J438)+SUM(J502:J503)+SUM(J544:J545)+SUM(J596:J599)+J652+SUM(J692:J697)+J744+SUM(J786:J790)</f>
        <v>36932</v>
      </c>
      <c r="K838" s="172">
        <f>+K49+SUM(K99:K106)+SUM(K216:K277)+SUM(K396:K438)+SUM(K502:K503)+SUM(K544:K545)+SUM(K596:K599)+K652+SUM(K692:K697)+K744+SUM(K786:K790)</f>
        <v>47440</v>
      </c>
      <c r="L838" s="172">
        <f>+L49+SUM(L99:L106)+SUM(L216:L277)+SUM(L396:L438)+SUM(L502:L503)+SUM(L544:L545)+SUM(L596:L599)+L652+SUM(L692:L697)+L744+SUM(L786:L790)</f>
        <v>37386</v>
      </c>
      <c r="M838" s="38">
        <f>SUM(J838:L838)</f>
        <v>121758</v>
      </c>
      <c r="N838" s="172">
        <f>+N49+SUM(N99:N106)+SUM(N216:N277)+SUM(N396:N438)+SUM(N502:N503)+SUM(N544:N545)+SUM(N596:N599)+N652+SUM(N692:N697)+N744+SUM(N786:N790)</f>
        <v>23555</v>
      </c>
      <c r="O838" s="172">
        <f>+O49+SUM(O99:O106)+SUM(O216:O277)+SUM(O396:O438)+SUM(O502:O503)+SUM(O544:O545)+SUM(O596:O599)+O652+SUM(O692:O697)+O744+SUM(O786:O790)</f>
        <v>15284</v>
      </c>
      <c r="P838" s="172">
        <f>+P49+SUM(P99:P106)+SUM(P216:P277)+SUM(P396:P438)+SUM(P502:P503)+SUM(P544:P545)+SUM(P596:P599)+P652+SUM(P692:P697)+P744+SUM(P786:P790)</f>
        <v>21154</v>
      </c>
      <c r="Q838" s="38">
        <f>SUM(N838:P838)</f>
        <v>59993</v>
      </c>
      <c r="R838" s="38">
        <f>+E838+I838+M838+Q838</f>
        <v>386609</v>
      </c>
    </row>
    <row r="839" spans="1:20" ht="16.5" customHeight="1" thickBot="1" x14ac:dyDescent="0.35">
      <c r="A839" s="43" t="s">
        <v>1220</v>
      </c>
      <c r="B839" s="45">
        <f>SUM(B836:B838)</f>
        <v>13880</v>
      </c>
      <c r="C839" s="46">
        <f>SUM(C836:C838)</f>
        <v>21034</v>
      </c>
      <c r="D839" s="58">
        <f>SUM(D836:D838)</f>
        <v>44729</v>
      </c>
      <c r="E839" s="37">
        <f>SUM(B839:D839)</f>
        <v>79643</v>
      </c>
      <c r="F839" s="46">
        <f>SUM(F836:F838)</f>
        <v>71145</v>
      </c>
      <c r="G839" s="46">
        <f>SUM(G836:G838)</f>
        <v>68733</v>
      </c>
      <c r="H839" s="46">
        <f>SUM(H836:H838)</f>
        <v>51071</v>
      </c>
      <c r="I839" s="37">
        <f>SUM(F839:H839)</f>
        <v>190949</v>
      </c>
      <c r="J839" s="46">
        <f>SUM(J836:J838)</f>
        <v>47571</v>
      </c>
      <c r="K839" s="46">
        <f>SUM(K836:K838)</f>
        <v>58448</v>
      </c>
      <c r="L839" s="46">
        <f>SUM(L836:L838)</f>
        <v>44794</v>
      </c>
      <c r="M839" s="37">
        <f>SUM(J839:L839)</f>
        <v>150813</v>
      </c>
      <c r="N839" s="46">
        <f>SUM(N836:N838)</f>
        <v>26767</v>
      </c>
      <c r="O839" s="46">
        <f>SUM(O836:O838)</f>
        <v>16948</v>
      </c>
      <c r="P839" s="46">
        <f>SUM(P836:P838)</f>
        <v>25405</v>
      </c>
      <c r="Q839" s="37">
        <f>SUM(N839:P839)</f>
        <v>69120</v>
      </c>
      <c r="R839" s="37">
        <f>+E839+I839+M839+Q839</f>
        <v>490525</v>
      </c>
      <c r="T839">
        <v>1600000</v>
      </c>
    </row>
    <row r="840" spans="1:20" ht="20.25" customHeight="1" x14ac:dyDescent="0.3">
      <c r="A840" s="234" t="s">
        <v>2645</v>
      </c>
      <c r="B840" s="172"/>
      <c r="C840" s="172"/>
      <c r="D840" s="172"/>
      <c r="E840" s="38" t="s">
        <v>852</v>
      </c>
      <c r="F840" s="172"/>
      <c r="G840" s="172"/>
      <c r="H840" s="172"/>
      <c r="I840" s="38" t="s">
        <v>852</v>
      </c>
      <c r="J840" s="172"/>
      <c r="K840" s="172"/>
      <c r="L840" s="172"/>
      <c r="M840" s="38" t="s">
        <v>852</v>
      </c>
      <c r="N840" s="172"/>
      <c r="O840" s="172"/>
      <c r="P840" s="172"/>
      <c r="Q840" s="38" t="s">
        <v>852</v>
      </c>
      <c r="R840" s="38" t="s">
        <v>852</v>
      </c>
      <c r="T840">
        <f>+T839-28000-R824-R825-400000-R837-R838+12000</f>
        <v>132375</v>
      </c>
    </row>
    <row r="841" spans="1:20" ht="15.75" customHeight="1" x14ac:dyDescent="0.3">
      <c r="A841" s="234" t="s">
        <v>2643</v>
      </c>
      <c r="B841" s="172">
        <f>SUM(B52:B52)+SUM(B109:B117)+SUM(B280:B283)+SUM(B441:B442)+SUM(B506:B506)+B548+SUM(B602:B604)+B655+B700+B747+SUM(B793:B795)</f>
        <v>0</v>
      </c>
      <c r="C841" s="172">
        <f>SUM(C52:C52)+SUM(C109:C117)+SUM(C280:C283)+SUM(C441:C442)+SUM(C506:C506)+C548+SUM(C602:C604)+C655+C700+C747+SUM(C793:C795)</f>
        <v>0</v>
      </c>
      <c r="D841" s="172">
        <f>SUM(D52:D52)+SUM(D109:D117)+SUM(D280:D283)+SUM(D441:D442)+SUM(D506:D506)+D548+SUM(D602:D604)+D655+D700+D747+SUM(D793:D795)</f>
        <v>0</v>
      </c>
      <c r="E841" s="38">
        <f t="shared" ref="E841:E849" si="209">SUM(B841:D841)</f>
        <v>0</v>
      </c>
      <c r="F841" s="172">
        <f>SUM(F52:F52)+SUM(F109:F117)+SUM(F280:F283)+SUM(F441:F442)+SUM(F506:F506)+F548+SUM(F602:F604)+F655+F700+F747+SUM(F793:F795)</f>
        <v>0</v>
      </c>
      <c r="G841" s="172">
        <f>SUM(G52:G52)+SUM(G109:G117)+SUM(G280:G283)+SUM(G441:G442)+SUM(G506:G506)+G548+SUM(G602:G604)+G655+G700+G747+SUM(G793:G795)</f>
        <v>0</v>
      </c>
      <c r="H841" s="172">
        <f>SUM(H52:H52)+SUM(H109:H117)+SUM(H280:H283)+SUM(H441:H442)+SUM(H506:H506)+H548+SUM(H602:H604)+H655+H700+H747+SUM(H793:H795)</f>
        <v>0</v>
      </c>
      <c r="I841" s="38">
        <f t="shared" ref="I841:I849" si="210">SUM(F841:H841)</f>
        <v>0</v>
      </c>
      <c r="J841" s="172">
        <f>SUM(J52:J52)+SUM(J109:J117)+SUM(J280:J283)+SUM(J441:J442)+SUM(J506:J506)+J548+SUM(J602:J604)+J655+J700+J747+SUM(J793:J795)</f>
        <v>0</v>
      </c>
      <c r="K841" s="172">
        <f>SUM(K52:K52)+SUM(K109:K117)+SUM(K280:K283)+SUM(K441:K442)+SUM(K506:K506)+K548+SUM(K602:K604)+K655+K700+K747+SUM(K793:K795)</f>
        <v>0</v>
      </c>
      <c r="L841" s="172">
        <f>SUM(L52:L52)+SUM(L109:L117)+SUM(L280:L283)+SUM(L441:L442)+SUM(L506:L506)+L548+SUM(L602:L604)+L655+L700+L747+SUM(L793:L795)</f>
        <v>0</v>
      </c>
      <c r="M841" s="38">
        <f t="shared" ref="M841:M849" si="211">SUM(J841:L841)</f>
        <v>0</v>
      </c>
      <c r="N841" s="172">
        <f>SUM(N52:N52)+SUM(N109:N117)+SUM(N280:N283)+SUM(N441:N442)+SUM(N506:N506)+N548+SUM(N602:N604)+N655+N700+N747+SUM(N793:N795)</f>
        <v>0</v>
      </c>
      <c r="O841" s="172">
        <f>SUM(O52:O52)+SUM(O109:O117)+SUM(O280:O283)+SUM(O441:O442)+SUM(O506:O506)+O548+SUM(O602:O604)+O655+O700+O747+SUM(O793:O795)</f>
        <v>0</v>
      </c>
      <c r="P841" s="172">
        <f>SUM(P52:P52)+SUM(P109:P117)+SUM(P280:P283)+SUM(P441:P442)+SUM(P506:P506)+P548+SUM(P602:P604)+P655+P700+P747+SUM(P793:P795)</f>
        <v>0</v>
      </c>
      <c r="Q841" s="38">
        <f t="shared" ref="Q841:Q849" si="212">SUM(N841:P841)</f>
        <v>0</v>
      </c>
      <c r="R841" s="38">
        <f>+E841+I841+M841+Q841</f>
        <v>0</v>
      </c>
    </row>
    <row r="842" spans="1:20" ht="15.75" customHeight="1" x14ac:dyDescent="0.3">
      <c r="A842" s="234" t="s">
        <v>557</v>
      </c>
      <c r="B842" s="172">
        <f>SUM(B53:B54)+SUM(B118:B119)+SUM(B284:B285)+B287+B289+B291+B292+SUM(B443:B445)+B507+B549+SUM(B605:B606)+B608+SUM(B656:B657)+B702+B704+B748+SUM(B796:B797)</f>
        <v>0</v>
      </c>
      <c r="C842" s="172">
        <f>SUM(C53:C54)+SUM(C118:C119)+SUM(C284:C285)+C287+C289+C291+C292+SUM(C443:C445)+C507+C549+SUM(C605:C606)+C608+SUM(C656:C657)+C702+C704+C748+SUM(C796:C797)</f>
        <v>0</v>
      </c>
      <c r="D842" s="172">
        <f>SUM(D53:D54)+SUM(D118:D119)+SUM(D284:D285)+D287+D289+D291+D292+SUM(D443:D445)+D507+D549+SUM(D605:D606)+D608+SUM(D656:D657)+D702+D704+D748+SUM(D796:D797)</f>
        <v>0</v>
      </c>
      <c r="E842" s="38">
        <f t="shared" si="209"/>
        <v>0</v>
      </c>
      <c r="F842" s="172">
        <f>SUM(F53:F54)+SUM(F118:F119)+SUM(F284:F285)+F287+F289+F291+F292+SUM(F443:F445)+F507+F549+SUM(F605:F606)+F608+SUM(F656:F657)+F702+F704+F748+SUM(F796:F797)</f>
        <v>0</v>
      </c>
      <c r="G842" s="172">
        <f>SUM(G53:G54)+SUM(G118:G119)+SUM(G284:G285)+G287+G289+G291+G292+SUM(G443:G445)+G507+G549+SUM(G605:G606)+G608+SUM(G656:G657)+G702+G704+G748+SUM(G796:G797)</f>
        <v>0</v>
      </c>
      <c r="H842" s="172">
        <f>SUM(H53:H54)+SUM(H118:H119)+SUM(H284:H285)+H287+H289+H291+H292+SUM(H443:H445)+H507+H549+SUM(H605:H606)+H608+SUM(H656:H657)+H702+H704+H748+SUM(H796:H797)</f>
        <v>0</v>
      </c>
      <c r="I842" s="38">
        <f t="shared" si="210"/>
        <v>0</v>
      </c>
      <c r="J842" s="172">
        <f>SUM(J53:J54)+SUM(J118:J119)+SUM(J284:J285)+J287+J289+J291+J292+SUM(J443:J445)+J507+J549+SUM(J605:J606)+J608+SUM(J656:J657)+J702+J704+J748+SUM(J796:J797)</f>
        <v>0</v>
      </c>
      <c r="K842" s="172">
        <f>SUM(K53:K54)+SUM(K118:K119)+SUM(K284:K285)+K287+K289+K291+K292+SUM(K443:K445)+K507+K549+SUM(K605:K606)+K608+SUM(K656:K657)+K702+K704+K748+SUM(K796:K797)</f>
        <v>0</v>
      </c>
      <c r="L842" s="172">
        <f>SUM(L53:L54)+SUM(L118:L119)+SUM(L284:L285)+L287+L289+L291+L292+SUM(L443:L445)+L507+L549+SUM(L605:L606)+L608+SUM(L656:L657)+L702+L704+L748+SUM(L796:L797)</f>
        <v>850</v>
      </c>
      <c r="M842" s="38">
        <f t="shared" si="211"/>
        <v>850</v>
      </c>
      <c r="N842" s="172">
        <f>SUM(N53:N54)+SUM(N118:N119)+SUM(N284:N285)+N287+N289+N291+N292+SUM(N443:N445)+N507+N549+SUM(N605:N606)+N608+SUM(N656:N657)+N702+N704+N748+SUM(N796:N797)</f>
        <v>1050</v>
      </c>
      <c r="O842" s="172">
        <f>SUM(O53:O54)+SUM(O118:O119)+SUM(O284:O285)+O287+O289+O291+O292+SUM(O443:O445)+O507+O549+SUM(O605:O606)+O608+SUM(O656:O657)+O702+O704+O748+SUM(O796:O797)</f>
        <v>0</v>
      </c>
      <c r="P842" s="172">
        <f>SUM(P53:P54)+SUM(P118:P119)+SUM(P284:P285)+P287+P289+P291+P292+SUM(P443:P445)+P507+P549+SUM(P605:P606)+P608+SUM(P656:P657)+P702+P704+P748+SUM(P796:P797)</f>
        <v>1</v>
      </c>
      <c r="Q842" s="38">
        <f t="shared" si="212"/>
        <v>1051</v>
      </c>
      <c r="R842" s="38">
        <f t="shared" ref="R842:R849" si="213">+E842+I842+M842+Q842</f>
        <v>1901</v>
      </c>
    </row>
    <row r="843" spans="1:20" ht="15.75" customHeight="1" x14ac:dyDescent="0.3">
      <c r="A843" s="266" t="s">
        <v>614</v>
      </c>
      <c r="B843" s="172">
        <f>B120+B286+B288+B290+B607+B609+B703+B705+B798</f>
        <v>0</v>
      </c>
      <c r="C843" s="172">
        <f>C120+C286+C288+C290+C607+C609+C703+C705+C798</f>
        <v>0</v>
      </c>
      <c r="D843" s="172">
        <f>D120+D286+D288+D290+D607+D609+D703+D705+D798</f>
        <v>0</v>
      </c>
      <c r="E843" s="38">
        <f t="shared" si="209"/>
        <v>0</v>
      </c>
      <c r="F843" s="172">
        <f>F120+F286+F288+F290+F607+F609+F703+F705+F798</f>
        <v>0</v>
      </c>
      <c r="G843" s="172">
        <f>G120+G286+G288+G290+G607+G609+G703+G705+G798</f>
        <v>0</v>
      </c>
      <c r="H843" s="172">
        <f>H120+H286+H288+H290+H607+H609+H703+H705+H798</f>
        <v>0</v>
      </c>
      <c r="I843" s="38">
        <f t="shared" si="210"/>
        <v>0</v>
      </c>
      <c r="J843" s="172">
        <f>J120+J286+J288+J290+J607+J609+J703+J705+J798</f>
        <v>0</v>
      </c>
      <c r="K843" s="172">
        <f>K120+K286+K288+K290+K607+K609+K703+K705+K798</f>
        <v>0</v>
      </c>
      <c r="L843" s="172">
        <f>L120+L286+L288+L290+L607+L609+L703+L705+L798</f>
        <v>0</v>
      </c>
      <c r="M843" s="38">
        <f t="shared" si="211"/>
        <v>0</v>
      </c>
      <c r="N843" s="172">
        <f>N120+N286+N288+N290+N607+N609+N703+N705+N798</f>
        <v>0</v>
      </c>
      <c r="O843" s="172">
        <f>O120+O286+O288+O290+O607+O609+O703+O705+O798</f>
        <v>0</v>
      </c>
      <c r="P843" s="172">
        <f>P120+P286+P288+P290+P607+P609+P703+P705+P798</f>
        <v>0</v>
      </c>
      <c r="Q843" s="38">
        <f t="shared" si="212"/>
        <v>0</v>
      </c>
      <c r="R843" s="38">
        <f t="shared" si="213"/>
        <v>0</v>
      </c>
    </row>
    <row r="844" spans="1:20" ht="15.75" customHeight="1" x14ac:dyDescent="0.3">
      <c r="A844" s="234" t="s">
        <v>2644</v>
      </c>
      <c r="B844" s="172">
        <f>+B55+SUM(B121:B122)+SUM(B293:B294)+SUM(B446:B452)+SUM(B508:B508)+SUM(B550:B551)+B610+B658+B706+B799+B799</f>
        <v>0</v>
      </c>
      <c r="C844" s="172">
        <f>+C55+SUM(C121:C122)+SUM(C293:C294)+SUM(C446:C452)+SUM(C508:C508)+SUM(C550:C551)+C610+C658+C706+C799+C799</f>
        <v>0</v>
      </c>
      <c r="D844" s="172">
        <f>+D55+SUM(D121:D122)+SUM(D293:D294)+SUM(D446:D452)+SUM(D508:D508)+SUM(D550:D551)+D610+D658+D706+D799+D799</f>
        <v>0</v>
      </c>
      <c r="E844" s="38">
        <f t="shared" si="209"/>
        <v>0</v>
      </c>
      <c r="F844" s="172">
        <f>+F55+SUM(F121:F122)+SUM(F293:F294)+SUM(F446:F452)+SUM(F508:F508)+SUM(F550:F551)+F610+F658+F706+F799+F799</f>
        <v>0</v>
      </c>
      <c r="G844" s="172">
        <f>+G55+SUM(G121:G122)+SUM(G293:G294)+SUM(G446:G452)+SUM(G508:G508)+SUM(G550:G551)+G610+G658+G706+G799+G799</f>
        <v>1000</v>
      </c>
      <c r="H844" s="172">
        <f>+H55+SUM(H121:H122)+SUM(H293:H294)+SUM(H446:H452)+SUM(H508:H508)+SUM(H550:H551)+H610+H658+H706+H799+H799</f>
        <v>0</v>
      </c>
      <c r="I844" s="38">
        <f t="shared" si="210"/>
        <v>1000</v>
      </c>
      <c r="J844" s="172">
        <f>+J55+SUM(J121:J122)+SUM(J293:J294)+SUM(J446:J452)+SUM(J508:J508)+SUM(J550:J551)+J610+J658+J706+J799+J799</f>
        <v>0</v>
      </c>
      <c r="K844" s="172">
        <f>+K55+SUM(K121:K122)+SUM(K293:K294)+SUM(K446:K452)+SUM(K508:K508)+SUM(K550:K551)+K610+K658+K706+K799+K799</f>
        <v>0</v>
      </c>
      <c r="L844" s="172">
        <f>+L55+SUM(L121:L122)+SUM(L293:L294)+SUM(L446:L452)+SUM(L508:L508)+SUM(L550:L551)+L610+L658+L706+L799+L799</f>
        <v>0</v>
      </c>
      <c r="M844" s="38">
        <f t="shared" si="211"/>
        <v>0</v>
      </c>
      <c r="N844" s="172">
        <f>+N55+SUM(N121:N122)+SUM(N293:N294)+SUM(N446:N452)+SUM(N508:N508)+SUM(N550:N551)+N610+N658+N706+N799+N799</f>
        <v>0</v>
      </c>
      <c r="O844" s="172">
        <f>+O55+SUM(O121:O122)+SUM(O293:O294)+SUM(O446:O452)+SUM(O508:O508)+SUM(O550:O551)+O610+O658+O706+O799+O799</f>
        <v>0</v>
      </c>
      <c r="P844" s="172">
        <f>+P55+SUM(P121:P122)+SUM(P293:P294)+SUM(P446:P452)+SUM(P508:P508)+SUM(P550:P551)+P610+P658+P706+P799+P799</f>
        <v>0</v>
      </c>
      <c r="Q844" s="38">
        <f t="shared" si="212"/>
        <v>0</v>
      </c>
      <c r="R844" s="38">
        <f>+E844+I844+M844+Q844</f>
        <v>1000</v>
      </c>
    </row>
    <row r="845" spans="1:20" ht="22.5" customHeight="1" x14ac:dyDescent="0.3">
      <c r="A845" s="234" t="s">
        <v>2905</v>
      </c>
      <c r="B845" s="172">
        <f>SUM(B123:B123)+SUM(B295:B296)+B454+B456+B457+B459+B461+SUM(B509:B510)+B553+B555+B611+SUM(B612:B613)+B659+B707+B750+B800</f>
        <v>300</v>
      </c>
      <c r="C845" s="172">
        <f>SUM(C123:C123)+SUM(C295:C296)+C454+C456+C457+C459+C461+SUM(C509:C510)+C553+C555+C611+SUM(C612:C613)+C659+C707+C750+C800</f>
        <v>410</v>
      </c>
      <c r="D845" s="172">
        <f>SUM(D123:D123)+SUM(D295:D296)+D454+D456+D457+D459+D461+SUM(D509:D510)+D553+D555+D611+SUM(D612:D613)+D659+D707+D750+D800</f>
        <v>710</v>
      </c>
      <c r="E845" s="38">
        <f t="shared" si="209"/>
        <v>1420</v>
      </c>
      <c r="F845" s="172">
        <f>SUM(F123:F123)+SUM(F295:F296)+F454+F456+F457+F459+F461+SUM(F509:F510)+F553+F555+F611+SUM(F612:F613)+F659+F707+F750+F800</f>
        <v>610</v>
      </c>
      <c r="G845" s="172">
        <f>SUM(G123:G123)+SUM(G295:G296)+G454+G456+G457+G459+G461+SUM(G509:G510)+G553+G555+G611+SUM(G612:G613)+G659+G707+G750+G800</f>
        <v>740</v>
      </c>
      <c r="H845" s="172">
        <f>SUM(H123:H123)+SUM(H295:H296)+H454+H456+H457+H459+H461+SUM(H509:H510)+H553+H555+H611+SUM(H612:H613)+H659+H707+H750+H800</f>
        <v>766</v>
      </c>
      <c r="I845" s="38">
        <f t="shared" si="210"/>
        <v>2116</v>
      </c>
      <c r="J845" s="172">
        <f>SUM(J123:J123)+SUM(J295:J296)+J454+J456+J457+J459+J461+SUM(J509:J510)+J553+J555+J611+SUM(J612:J613)+J659+J707+J750+J800</f>
        <v>4744</v>
      </c>
      <c r="K845" s="172">
        <f>SUM(K123:K123)+SUM(K295:K296)+K454+K456+K457+K459+K461+SUM(K509:K510)+K553+K555+K611+SUM(K612:K613)+K659+K707+K750+K800</f>
        <v>1219</v>
      </c>
      <c r="L845" s="172">
        <f>SUM(L123:L123)+SUM(L295:L296)+L454+L456+L457+L459+L461+SUM(L509:L510)+L553+L555+L611+SUM(L612:L613)+L659+L707+L750+L800</f>
        <v>200</v>
      </c>
      <c r="M845" s="38">
        <f t="shared" si="211"/>
        <v>6163</v>
      </c>
      <c r="N845" s="172">
        <f>SUM(N123:N123)+SUM(N295:N296)+N454+N456+N457+N459+N461+SUM(N509:N510)+N553+N555+N611+SUM(N612:N613)+N659+N707+N750+N800</f>
        <v>2137</v>
      </c>
      <c r="O845" s="172">
        <f>SUM(O123:O123)+SUM(O295:O296)+O454+O456+O457+O459+O461+SUM(O509:O510)+O553+O555+O611+SUM(O612:O613)+O659+O707+O750+O800</f>
        <v>2329</v>
      </c>
      <c r="P845" s="172">
        <f>SUM(P123:P123)+SUM(P295:P296)+P454+P456+P457+P459+P461+SUM(P509:P510)+P553+P555+P611+SUM(P612:P613)+P659+P707+P750+P800</f>
        <v>1564</v>
      </c>
      <c r="Q845" s="38">
        <f t="shared" si="212"/>
        <v>6030</v>
      </c>
      <c r="R845" s="38">
        <f t="shared" si="213"/>
        <v>15729</v>
      </c>
    </row>
    <row r="846" spans="1:20" ht="15.75" customHeight="1" thickBot="1" x14ac:dyDescent="0.35">
      <c r="A846" s="266" t="s">
        <v>1862</v>
      </c>
      <c r="B846" s="172">
        <f>+B455+B458+B460+B511</f>
        <v>0</v>
      </c>
      <c r="C846" s="172">
        <f>+C455+C458+C460+C511</f>
        <v>0</v>
      </c>
      <c r="D846" s="172">
        <f>+D455+D458+D460+D511</f>
        <v>0</v>
      </c>
      <c r="E846" s="38">
        <f>SUM(B846:D846)</f>
        <v>0</v>
      </c>
      <c r="F846" s="172">
        <f>+F455+F458+F460+F511</f>
        <v>0</v>
      </c>
      <c r="G846" s="172">
        <f>+G455+G458+G460+G511</f>
        <v>0</v>
      </c>
      <c r="H846" s="172">
        <f>+H455+H458+H460+H511</f>
        <v>0</v>
      </c>
      <c r="I846" s="38">
        <f>SUM(F846:H846)</f>
        <v>0</v>
      </c>
      <c r="J846" s="172">
        <f>+J455+J458+J460+J511</f>
        <v>0</v>
      </c>
      <c r="K846" s="172">
        <f>+K455+K458+K460+K511</f>
        <v>0</v>
      </c>
      <c r="L846" s="172">
        <f>+L455+L458+L460+L511</f>
        <v>0</v>
      </c>
      <c r="M846" s="38">
        <f>SUM(J846:L846)</f>
        <v>0</v>
      </c>
      <c r="N846" s="172">
        <f>+N455+N458+N460+N511</f>
        <v>0</v>
      </c>
      <c r="O846" s="172">
        <f>+O455+O458+O460+O511</f>
        <v>0</v>
      </c>
      <c r="P846" s="172">
        <f>+P455+P458+P460+P511</f>
        <v>0</v>
      </c>
      <c r="Q846" s="38">
        <f>SUM(N846:P846)</f>
        <v>0</v>
      </c>
      <c r="R846" s="38">
        <f>+E846+I846+M846+Q846</f>
        <v>0</v>
      </c>
    </row>
    <row r="847" spans="1:20" ht="16.5" customHeight="1" thickBot="1" x14ac:dyDescent="0.35">
      <c r="A847" s="43" t="s">
        <v>1019</v>
      </c>
      <c r="B847" s="335">
        <f>SUM(B844:B846)</f>
        <v>300</v>
      </c>
      <c r="C847" s="335">
        <f>SUM(C844:C846)</f>
        <v>410</v>
      </c>
      <c r="D847" s="335">
        <f>SUM(D844:D846)</f>
        <v>710</v>
      </c>
      <c r="E847" s="39">
        <f t="shared" si="209"/>
        <v>1420</v>
      </c>
      <c r="F847" s="335">
        <f>SUM(F844:F846)</f>
        <v>610</v>
      </c>
      <c r="G847" s="335">
        <f>SUM(G844:G846)</f>
        <v>1740</v>
      </c>
      <c r="H847" s="335">
        <f>SUM(H844:H846)</f>
        <v>766</v>
      </c>
      <c r="I847" s="39">
        <f t="shared" si="210"/>
        <v>3116</v>
      </c>
      <c r="J847" s="335">
        <f>SUM(J844:J846)</f>
        <v>4744</v>
      </c>
      <c r="K847" s="335">
        <f>SUM(K844:K846)</f>
        <v>1219</v>
      </c>
      <c r="L847" s="335">
        <f>SUM(L844:L846)</f>
        <v>200</v>
      </c>
      <c r="M847" s="39">
        <f t="shared" si="211"/>
        <v>6163</v>
      </c>
      <c r="N847" s="335">
        <f>SUM(N844:N846)</f>
        <v>2137</v>
      </c>
      <c r="O847" s="335">
        <f>SUM(O844:O846)</f>
        <v>2329</v>
      </c>
      <c r="P847" s="335">
        <f>SUM(P844:P846)</f>
        <v>1564</v>
      </c>
      <c r="Q847" s="39">
        <f t="shared" si="212"/>
        <v>6030</v>
      </c>
      <c r="R847" s="37">
        <f t="shared" si="213"/>
        <v>16729</v>
      </c>
    </row>
    <row r="848" spans="1:20" ht="16.5" customHeight="1" thickBot="1" x14ac:dyDescent="0.35">
      <c r="A848" s="277" t="s">
        <v>1221</v>
      </c>
      <c r="B848" s="45">
        <f>SUM(B840:B846)</f>
        <v>300</v>
      </c>
      <c r="C848" s="46">
        <f>SUM(C840:C846)</f>
        <v>410</v>
      </c>
      <c r="D848" s="58">
        <f>SUM(D840:D846)</f>
        <v>710</v>
      </c>
      <c r="E848" s="336">
        <f t="shared" si="209"/>
        <v>1420</v>
      </c>
      <c r="F848" s="45">
        <f>SUM(F840:F846)</f>
        <v>610</v>
      </c>
      <c r="G848" s="46">
        <f>SUM(G840:G846)</f>
        <v>1740</v>
      </c>
      <c r="H848" s="58">
        <f>SUM(H840:H846)</f>
        <v>766</v>
      </c>
      <c r="I848" s="39">
        <f t="shared" si="210"/>
        <v>3116</v>
      </c>
      <c r="J848" s="45">
        <f>SUM(J840:J846)</f>
        <v>4744</v>
      </c>
      <c r="K848" s="46">
        <f>SUM(K840:K846)</f>
        <v>1219</v>
      </c>
      <c r="L848" s="58">
        <f>SUM(L840:L846)</f>
        <v>1050</v>
      </c>
      <c r="M848" s="39">
        <f t="shared" si="211"/>
        <v>7013</v>
      </c>
      <c r="N848" s="45">
        <f>SUM(N840:N846)</f>
        <v>3187</v>
      </c>
      <c r="O848" s="46">
        <f>SUM(O840:O846)</f>
        <v>2329</v>
      </c>
      <c r="P848" s="58">
        <f>SUM(P840:P846)</f>
        <v>1565</v>
      </c>
      <c r="Q848" s="39">
        <f t="shared" si="212"/>
        <v>7081</v>
      </c>
      <c r="R848" s="37">
        <f t="shared" si="213"/>
        <v>18630</v>
      </c>
    </row>
    <row r="849" spans="1:18" ht="16.5" customHeight="1" thickBot="1" x14ac:dyDescent="0.35">
      <c r="A849" s="43" t="s">
        <v>1222</v>
      </c>
      <c r="B849" s="337">
        <f>+B830+B835+B839+B848</f>
        <v>44141</v>
      </c>
      <c r="C849" s="338">
        <f>+C830+C835+C839+C848</f>
        <v>49345</v>
      </c>
      <c r="D849" s="338">
        <f>+D830+D835+D839+D848</f>
        <v>109644</v>
      </c>
      <c r="E849" s="37">
        <f t="shared" si="209"/>
        <v>203130</v>
      </c>
      <c r="F849" s="42">
        <f>+F830+F835+F839+F848</f>
        <v>147631</v>
      </c>
      <c r="G849" s="42">
        <f>+G830+G835+G839+G848</f>
        <v>147226</v>
      </c>
      <c r="H849" s="42">
        <f>+H830+H835+H839+H848</f>
        <v>193124</v>
      </c>
      <c r="I849" s="37">
        <f t="shared" si="210"/>
        <v>487981</v>
      </c>
      <c r="J849" s="42">
        <f>+J830+J835+J839+J848</f>
        <v>170239</v>
      </c>
      <c r="K849" s="42">
        <f>+K830+K835+K839+K848</f>
        <v>162968</v>
      </c>
      <c r="L849" s="42">
        <f>+L830+L835+L839+L848</f>
        <v>131170</v>
      </c>
      <c r="M849" s="37">
        <f t="shared" si="211"/>
        <v>464377</v>
      </c>
      <c r="N849" s="42">
        <f>+N830+N835+N839+N848</f>
        <v>79636</v>
      </c>
      <c r="O849" s="42">
        <f>+O830+O835+O839+O848</f>
        <v>54330</v>
      </c>
      <c r="P849" s="42">
        <f>+P830+P835+P839+P848</f>
        <v>67861</v>
      </c>
      <c r="Q849" s="37">
        <f t="shared" si="212"/>
        <v>201827</v>
      </c>
      <c r="R849" s="40">
        <f t="shared" si="213"/>
        <v>1357315</v>
      </c>
    </row>
    <row r="850" spans="1:18" ht="15.75" customHeight="1" x14ac:dyDescent="0.3">
      <c r="A850" s="356" t="s">
        <v>2646</v>
      </c>
      <c r="B850" s="172"/>
      <c r="C850" s="172"/>
      <c r="D850" s="172"/>
      <c r="E850" s="172"/>
      <c r="F850" s="172"/>
      <c r="G850" s="172"/>
      <c r="H850" s="172"/>
      <c r="I850" s="172"/>
      <c r="J850" s="172"/>
      <c r="K850" s="172"/>
      <c r="L850" s="172"/>
      <c r="M850" s="172"/>
      <c r="N850" s="172"/>
      <c r="O850" s="453"/>
      <c r="P850" s="172"/>
      <c r="Q850" s="172"/>
      <c r="R850" s="17"/>
    </row>
    <row r="851" spans="1:18" ht="15.75" customHeight="1" x14ac:dyDescent="0.3">
      <c r="A851" s="356" t="s">
        <v>3009</v>
      </c>
      <c r="B851" s="172"/>
      <c r="C851" s="172"/>
      <c r="D851" s="172"/>
      <c r="E851" s="172"/>
      <c r="F851" s="172"/>
      <c r="G851" s="172"/>
      <c r="H851" s="172"/>
      <c r="I851" s="172"/>
      <c r="J851" s="172"/>
      <c r="K851" s="172"/>
      <c r="L851" s="172"/>
      <c r="M851" s="172"/>
      <c r="N851" s="172"/>
      <c r="O851" s="453"/>
      <c r="P851" s="172"/>
      <c r="Q851" s="172"/>
      <c r="R851" s="17"/>
    </row>
    <row r="852" spans="1:18" ht="15.75" customHeight="1" x14ac:dyDescent="0.3">
      <c r="A852" s="172"/>
      <c r="B852" s="172"/>
      <c r="C852" s="172"/>
      <c r="D852" s="172"/>
      <c r="E852" s="172"/>
      <c r="F852" s="172"/>
      <c r="G852" s="172"/>
      <c r="H852" s="172"/>
      <c r="I852" s="172"/>
      <c r="J852" s="172"/>
      <c r="K852" s="172"/>
      <c r="L852" s="172"/>
      <c r="M852" s="172"/>
      <c r="N852" s="172"/>
      <c r="O852" s="453"/>
      <c r="P852" s="172"/>
      <c r="Q852" s="680" t="str">
        <f>+Q1</f>
        <v xml:space="preserve">PRINTED:  </v>
      </c>
      <c r="R852" s="681">
        <f ca="1">+R1</f>
        <v>44881.729634027775</v>
      </c>
    </row>
    <row r="853" spans="1:18" ht="15.75" customHeight="1" x14ac:dyDescent="0.3">
      <c r="A853" s="778" t="s">
        <v>43</v>
      </c>
      <c r="B853" s="778"/>
      <c r="C853" s="778"/>
      <c r="D853" s="778"/>
      <c r="E853" s="778"/>
      <c r="F853" s="778"/>
      <c r="G853" s="778"/>
      <c r="H853" s="778"/>
      <c r="I853" s="778"/>
      <c r="J853" s="778"/>
      <c r="K853" s="778"/>
      <c r="L853" s="778"/>
      <c r="M853" s="778"/>
      <c r="N853" s="778"/>
      <c r="O853" s="778"/>
      <c r="P853" s="778"/>
      <c r="Q853" s="778"/>
      <c r="R853" s="778"/>
    </row>
    <row r="854" spans="1:18" ht="15.75" customHeight="1" x14ac:dyDescent="0.3">
      <c r="A854" s="778" t="s">
        <v>1988</v>
      </c>
      <c r="B854" s="778"/>
      <c r="C854" s="778"/>
      <c r="D854" s="778"/>
      <c r="E854" s="778"/>
      <c r="F854" s="778"/>
      <c r="G854" s="778"/>
      <c r="H854" s="778"/>
      <c r="I854" s="778"/>
      <c r="J854" s="778"/>
      <c r="K854" s="778"/>
      <c r="L854" s="778"/>
      <c r="M854" s="778"/>
      <c r="N854" s="778"/>
      <c r="O854" s="778"/>
      <c r="P854" s="778"/>
      <c r="Q854" s="778"/>
      <c r="R854" s="778"/>
    </row>
    <row r="855" spans="1:18" ht="15.75" customHeight="1" x14ac:dyDescent="0.3">
      <c r="A855" s="778" t="s">
        <v>544</v>
      </c>
      <c r="B855" s="778"/>
      <c r="C855" s="778"/>
      <c r="D855" s="778"/>
      <c r="E855" s="778"/>
      <c r="F855" s="778"/>
      <c r="G855" s="778"/>
      <c r="H855" s="778"/>
      <c r="I855" s="778"/>
      <c r="J855" s="778"/>
      <c r="K855" s="778"/>
      <c r="L855" s="778"/>
      <c r="M855" s="778"/>
      <c r="N855" s="778"/>
      <c r="O855" s="778"/>
      <c r="P855" s="778"/>
      <c r="Q855" s="778"/>
      <c r="R855" s="778"/>
    </row>
    <row r="856" spans="1:18" ht="15.75" customHeight="1" x14ac:dyDescent="0.3">
      <c r="A856" s="784">
        <f>+A5</f>
        <v>2017</v>
      </c>
      <c r="B856" s="784"/>
      <c r="C856" s="784"/>
      <c r="D856" s="784"/>
      <c r="E856" s="784"/>
      <c r="F856" s="784"/>
      <c r="G856" s="784"/>
      <c r="H856" s="784"/>
      <c r="I856" s="784"/>
      <c r="J856" s="784"/>
      <c r="K856" s="784"/>
      <c r="L856" s="784"/>
      <c r="M856" s="784"/>
      <c r="N856" s="784"/>
      <c r="O856" s="784"/>
      <c r="P856" s="784"/>
      <c r="Q856" s="784"/>
      <c r="R856" s="784"/>
    </row>
    <row r="857" spans="1:18" ht="15.75" customHeight="1" x14ac:dyDescent="0.3">
      <c r="A857" s="172"/>
      <c r="B857" s="172"/>
      <c r="C857" s="172"/>
      <c r="D857" s="1"/>
      <c r="E857" s="1"/>
      <c r="F857" s="1"/>
      <c r="G857" s="452"/>
      <c r="H857" s="1"/>
      <c r="I857" s="1"/>
      <c r="J857" s="452"/>
      <c r="K857" s="452"/>
      <c r="L857" s="452"/>
      <c r="M857" s="452"/>
      <c r="N857" s="172"/>
      <c r="O857" s="452"/>
      <c r="P857" s="452"/>
      <c r="Q857" s="452"/>
      <c r="R857" s="452"/>
    </row>
    <row r="858" spans="1:18" ht="15.75" customHeight="1" x14ac:dyDescent="0.3">
      <c r="A858" s="778" t="str">
        <f>+A8</f>
        <v>Revised:  1/18/2018</v>
      </c>
      <c r="B858" s="778"/>
      <c r="C858" s="778"/>
      <c r="D858" s="778"/>
      <c r="E858" s="778"/>
      <c r="F858" s="778"/>
      <c r="G858" s="778"/>
      <c r="H858" s="778"/>
      <c r="I858" s="778"/>
      <c r="J858" s="778"/>
      <c r="K858" s="778"/>
      <c r="L858" s="778"/>
      <c r="M858" s="778"/>
      <c r="N858" s="778"/>
      <c r="O858" s="778"/>
      <c r="P858" s="778"/>
      <c r="Q858" s="778"/>
      <c r="R858" s="778"/>
    </row>
    <row r="859" spans="1:18" ht="15.75" customHeight="1" x14ac:dyDescent="0.3">
      <c r="A859" s="448"/>
      <c r="B859" s="448"/>
      <c r="C859" s="448"/>
      <c r="D859" s="448"/>
      <c r="E859" s="448"/>
      <c r="F859" s="448"/>
      <c r="G859" s="448"/>
      <c r="H859" s="448"/>
      <c r="I859" s="448"/>
      <c r="J859" s="448"/>
      <c r="K859" s="448"/>
      <c r="L859" s="448"/>
      <c r="M859" s="448"/>
      <c r="N859" s="448"/>
      <c r="O859" s="448"/>
      <c r="P859" s="448"/>
      <c r="Q859" s="448"/>
      <c r="R859" s="448"/>
    </row>
    <row r="860" spans="1:18" ht="15.75" customHeight="1" x14ac:dyDescent="0.3">
      <c r="A860" s="18"/>
      <c r="B860" s="172"/>
      <c r="C860" s="172"/>
      <c r="D860" s="172"/>
      <c r="E860" s="172"/>
      <c r="F860" s="172"/>
      <c r="G860" s="172"/>
      <c r="H860" s="172"/>
      <c r="I860" s="172"/>
      <c r="J860" s="172"/>
      <c r="K860" s="172"/>
      <c r="L860" s="172"/>
      <c r="M860" s="172"/>
      <c r="N860" s="172"/>
      <c r="O860" s="172"/>
      <c r="P860" s="172"/>
      <c r="Q860" s="172"/>
      <c r="R860" s="17"/>
    </row>
    <row r="861" spans="1:18" ht="15.75" customHeight="1" thickBot="1" x14ac:dyDescent="0.35">
      <c r="A861" s="172"/>
      <c r="B861" s="172"/>
      <c r="C861" s="172"/>
      <c r="D861" s="172"/>
      <c r="E861" s="172"/>
      <c r="F861" s="172"/>
      <c r="G861" s="172"/>
      <c r="H861" s="172"/>
      <c r="I861" s="172"/>
      <c r="J861" s="172"/>
      <c r="K861" s="172"/>
      <c r="L861" s="172"/>
      <c r="M861" s="172"/>
      <c r="N861" s="172"/>
      <c r="O861" s="453"/>
      <c r="P861" s="172"/>
      <c r="Q861" s="172"/>
      <c r="R861" s="17"/>
    </row>
    <row r="862" spans="1:18" ht="15.75" customHeight="1" thickBot="1" x14ac:dyDescent="0.35">
      <c r="A862" s="274" t="s">
        <v>1088</v>
      </c>
      <c r="B862" s="25" t="s">
        <v>2090</v>
      </c>
      <c r="C862" s="26" t="s">
        <v>2091</v>
      </c>
      <c r="D862" s="26" t="s">
        <v>2234</v>
      </c>
      <c r="E862" s="33" t="s">
        <v>1594</v>
      </c>
      <c r="F862" s="26" t="s">
        <v>2235</v>
      </c>
      <c r="G862" s="26" t="s">
        <v>2236</v>
      </c>
      <c r="H862" s="26" t="s">
        <v>2237</v>
      </c>
      <c r="I862" s="33" t="s">
        <v>1595</v>
      </c>
      <c r="J862" s="26" t="s">
        <v>1504</v>
      </c>
      <c r="K862" s="26" t="s">
        <v>1505</v>
      </c>
      <c r="L862" s="26" t="s">
        <v>1506</v>
      </c>
      <c r="M862" s="33" t="s">
        <v>1596</v>
      </c>
      <c r="N862" s="26" t="s">
        <v>1507</v>
      </c>
      <c r="O862" s="26" t="s">
        <v>1508</v>
      </c>
      <c r="P862" s="26" t="s">
        <v>1509</v>
      </c>
      <c r="Q862" s="33" t="s">
        <v>1597</v>
      </c>
      <c r="R862" s="339" t="s">
        <v>1510</v>
      </c>
    </row>
    <row r="863" spans="1:18" ht="16.5" customHeight="1" thickBot="1" x14ac:dyDescent="0.35">
      <c r="A863" s="340"/>
      <c r="B863" s="341"/>
      <c r="C863" s="341"/>
      <c r="D863" s="341"/>
      <c r="E863" s="233"/>
      <c r="F863" s="341"/>
      <c r="G863" s="341"/>
      <c r="H863" s="341"/>
      <c r="I863" s="243"/>
      <c r="J863" s="341"/>
      <c r="K863" s="341"/>
      <c r="L863" s="341"/>
      <c r="M863" s="243"/>
      <c r="N863" s="341"/>
      <c r="O863" s="341"/>
      <c r="P863" s="341"/>
      <c r="Q863" s="279"/>
      <c r="R863" s="342"/>
    </row>
    <row r="864" spans="1:18" ht="16.5" customHeight="1" thickBot="1" x14ac:dyDescent="0.35">
      <c r="A864" s="343" t="s">
        <v>673</v>
      </c>
      <c r="B864" s="344">
        <f>+B830</f>
        <v>27327</v>
      </c>
      <c r="C864" s="344">
        <f>+C830</f>
        <v>22289</v>
      </c>
      <c r="D864" s="344">
        <f>+D830</f>
        <v>35861</v>
      </c>
      <c r="E864" s="45">
        <f>+SUM(B864:D864)</f>
        <v>85477</v>
      </c>
      <c r="F864" s="344">
        <f>+F830</f>
        <v>42242</v>
      </c>
      <c r="G864" s="344">
        <f>+G830</f>
        <v>50181</v>
      </c>
      <c r="H864" s="344">
        <f>+H830</f>
        <v>82804</v>
      </c>
      <c r="I864" s="45">
        <f>+SUM(F864:H864)</f>
        <v>175227</v>
      </c>
      <c r="J864" s="344">
        <f>+J830</f>
        <v>78228</v>
      </c>
      <c r="K864" s="344">
        <f>+K830</f>
        <v>70398</v>
      </c>
      <c r="L864" s="344">
        <f>+L830</f>
        <v>67245</v>
      </c>
      <c r="M864" s="45">
        <f>+SUM(J864:L864)</f>
        <v>215871</v>
      </c>
      <c r="N864" s="344">
        <f>+N830</f>
        <v>45678</v>
      </c>
      <c r="O864" s="344">
        <f>+O830</f>
        <v>32497</v>
      </c>
      <c r="P864" s="344">
        <f>+P830</f>
        <v>35559</v>
      </c>
      <c r="Q864" s="45">
        <f>+SUM(N864:P864)</f>
        <v>113734</v>
      </c>
      <c r="R864" s="37">
        <f>+E864+I864+M864+Q864</f>
        <v>590309</v>
      </c>
    </row>
    <row r="865" spans="1:46" ht="16.5" customHeight="1" thickBot="1" x14ac:dyDescent="0.35">
      <c r="A865" s="35"/>
      <c r="B865" s="45"/>
      <c r="C865" s="45"/>
      <c r="D865" s="45"/>
      <c r="E865" s="45"/>
      <c r="F865" s="45"/>
      <c r="G865" s="45"/>
      <c r="H865" s="45"/>
      <c r="I865" s="45"/>
      <c r="J865" s="45"/>
      <c r="K865" s="45"/>
      <c r="L865" s="45"/>
      <c r="M865" s="45"/>
      <c r="N865" s="45"/>
      <c r="O865" s="45"/>
      <c r="P865" s="45"/>
      <c r="Q865" s="45"/>
      <c r="R865" s="37"/>
    </row>
    <row r="866" spans="1:46" ht="16.5" customHeight="1" thickBot="1" x14ac:dyDescent="0.35">
      <c r="A866" s="343" t="s">
        <v>672</v>
      </c>
      <c r="B866" s="344">
        <f>+B835</f>
        <v>2634</v>
      </c>
      <c r="C866" s="344">
        <f>+C835</f>
        <v>5612</v>
      </c>
      <c r="D866" s="344">
        <f>+D835</f>
        <v>28344</v>
      </c>
      <c r="E866" s="45">
        <f>+SUM(B866:D866)</f>
        <v>36590</v>
      </c>
      <c r="F866" s="344">
        <f>+F835</f>
        <v>33634</v>
      </c>
      <c r="G866" s="344">
        <f>+G835</f>
        <v>26572</v>
      </c>
      <c r="H866" s="344">
        <f>+H835</f>
        <v>58483</v>
      </c>
      <c r="I866" s="45">
        <f>+SUM(F866:H866)</f>
        <v>118689</v>
      </c>
      <c r="J866" s="344">
        <f>+J835</f>
        <v>39696</v>
      </c>
      <c r="K866" s="344">
        <f>+K835</f>
        <v>32903</v>
      </c>
      <c r="L866" s="344">
        <f>+L835</f>
        <v>18081</v>
      </c>
      <c r="M866" s="45">
        <f>+SUM(J866:L866)</f>
        <v>90680</v>
      </c>
      <c r="N866" s="344">
        <f>+N835</f>
        <v>4004</v>
      </c>
      <c r="O866" s="344">
        <f>+O835</f>
        <v>2556</v>
      </c>
      <c r="P866" s="344">
        <f>+P835</f>
        <v>5332</v>
      </c>
      <c r="Q866" s="45">
        <f>+SUM(N866:P866)</f>
        <v>11892</v>
      </c>
      <c r="R866" s="37">
        <f>+E866+I866+M866+Q866</f>
        <v>257851</v>
      </c>
    </row>
    <row r="867" spans="1:46" ht="16.5" customHeight="1" thickBot="1" x14ac:dyDescent="0.35">
      <c r="A867" s="35"/>
      <c r="B867" s="45"/>
      <c r="C867" s="45"/>
      <c r="D867" s="45"/>
      <c r="E867" s="45"/>
      <c r="F867" s="45"/>
      <c r="G867" s="45"/>
      <c r="H867" s="45"/>
      <c r="I867" s="45"/>
      <c r="J867" s="45"/>
      <c r="K867" s="45"/>
      <c r="L867" s="45"/>
      <c r="M867" s="45"/>
      <c r="N867" s="45"/>
      <c r="O867" s="45"/>
      <c r="P867" s="45"/>
      <c r="Q867" s="45"/>
      <c r="R867" s="37"/>
      <c r="AC867" s="546"/>
      <c r="AD867" s="547"/>
      <c r="AE867" s="549" t="s">
        <v>2434</v>
      </c>
      <c r="AF867" s="547"/>
      <c r="AG867" s="547"/>
      <c r="AH867" s="547"/>
      <c r="AI867" s="547"/>
      <c r="AJ867" s="547"/>
      <c r="AK867" s="547" t="s">
        <v>2435</v>
      </c>
      <c r="AL867" s="547"/>
      <c r="AM867" s="547" t="s">
        <v>852</v>
      </c>
      <c r="AN867" s="557" t="str">
        <f>+A8</f>
        <v>Revised:  1/18/2018</v>
      </c>
      <c r="AO867" s="547"/>
      <c r="AP867" s="547"/>
      <c r="AQ867" s="547"/>
      <c r="AR867" s="547"/>
      <c r="AS867" s="678" t="str">
        <f>+Q1</f>
        <v xml:space="preserve">PRINTED:  </v>
      </c>
      <c r="AT867" s="679">
        <f ca="1">+R1</f>
        <v>44881.729634027775</v>
      </c>
    </row>
    <row r="868" spans="1:46" ht="16.5" customHeight="1" thickBot="1" x14ac:dyDescent="0.35">
      <c r="A868" s="343" t="s">
        <v>1089</v>
      </c>
      <c r="B868" s="344">
        <f>+B839</f>
        <v>13880</v>
      </c>
      <c r="C868" s="344">
        <f>+C839</f>
        <v>21034</v>
      </c>
      <c r="D868" s="344">
        <f>+D839</f>
        <v>44729</v>
      </c>
      <c r="E868" s="45">
        <f>+SUM(B868:D868)</f>
        <v>79643</v>
      </c>
      <c r="F868" s="344">
        <f>+F839</f>
        <v>71145</v>
      </c>
      <c r="G868" s="344">
        <f>+G839</f>
        <v>68733</v>
      </c>
      <c r="H868" s="344">
        <f>+H839</f>
        <v>51071</v>
      </c>
      <c r="I868" s="45">
        <f>+SUM(F868:H868)</f>
        <v>190949</v>
      </c>
      <c r="J868" s="344">
        <f>+J839</f>
        <v>47571</v>
      </c>
      <c r="K868" s="344">
        <f>+K839</f>
        <v>58448</v>
      </c>
      <c r="L868" s="344">
        <f>+L839</f>
        <v>44794</v>
      </c>
      <c r="M868" s="45">
        <f>+SUM(J868:L868)</f>
        <v>150813</v>
      </c>
      <c r="N868" s="344">
        <f>+N839</f>
        <v>26767</v>
      </c>
      <c r="O868" s="344">
        <f>+O839</f>
        <v>16948</v>
      </c>
      <c r="P868" s="344">
        <f>+P839</f>
        <v>25405</v>
      </c>
      <c r="Q868" s="45">
        <f>+SUM(N868:P868)</f>
        <v>69120</v>
      </c>
      <c r="R868" s="37">
        <f>+E868+I868+M868+Q868</f>
        <v>490525</v>
      </c>
      <c r="AC868" s="551"/>
      <c r="AD868" s="67"/>
      <c r="AE868" s="67"/>
      <c r="AF868" s="67">
        <f>++A5</f>
        <v>2017</v>
      </c>
      <c r="AG868" s="67"/>
      <c r="AH868" s="67"/>
      <c r="AI868" s="67"/>
      <c r="AJ868" s="67"/>
      <c r="AK868" s="67"/>
      <c r="AL868" s="67"/>
      <c r="AM868" s="67"/>
      <c r="AN868" s="67"/>
      <c r="AO868" s="67"/>
      <c r="AP868" s="67"/>
      <c r="AQ868" s="67"/>
      <c r="AR868" s="67"/>
      <c r="AS868" s="67"/>
      <c r="AT868" s="552"/>
    </row>
    <row r="869" spans="1:46" ht="16.5" customHeight="1" thickBot="1" x14ac:dyDescent="0.35">
      <c r="A869" s="35"/>
      <c r="B869" s="45"/>
      <c r="C869" s="45"/>
      <c r="D869" s="45"/>
      <c r="E869" s="45"/>
      <c r="F869" s="45"/>
      <c r="G869" s="45"/>
      <c r="H869" s="45"/>
      <c r="I869" s="45"/>
      <c r="J869" s="45"/>
      <c r="K869" s="45"/>
      <c r="L869" s="45"/>
      <c r="M869" s="45"/>
      <c r="N869" s="45"/>
      <c r="O869" s="45"/>
      <c r="P869" s="45"/>
      <c r="Q869" s="45"/>
      <c r="R869" s="37"/>
      <c r="AC869" s="551"/>
      <c r="AD869" s="67"/>
      <c r="AE869" s="67"/>
      <c r="AF869" s="67"/>
      <c r="AG869" s="67"/>
      <c r="AH869" s="67"/>
      <c r="AI869" s="67"/>
      <c r="AJ869" s="67"/>
      <c r="AK869" s="67"/>
      <c r="AL869" s="67"/>
      <c r="AM869" s="67"/>
      <c r="AN869" s="67"/>
      <c r="AO869" s="67"/>
      <c r="AP869" s="67"/>
      <c r="AQ869" s="67"/>
      <c r="AR869" s="67"/>
      <c r="AS869" s="67"/>
      <c r="AT869" s="552"/>
    </row>
    <row r="870" spans="1:46" ht="16.5" customHeight="1" thickBot="1" x14ac:dyDescent="0.35">
      <c r="A870" s="343" t="s">
        <v>1090</v>
      </c>
      <c r="B870" s="344">
        <f>+B848</f>
        <v>300</v>
      </c>
      <c r="C870" s="344">
        <f>+C848</f>
        <v>410</v>
      </c>
      <c r="D870" s="344">
        <f>+D848</f>
        <v>710</v>
      </c>
      <c r="E870" s="45">
        <f>+SUM(B870:D870)</f>
        <v>1420</v>
      </c>
      <c r="F870" s="344">
        <f>+F848</f>
        <v>610</v>
      </c>
      <c r="G870" s="344">
        <f>+G848</f>
        <v>1740</v>
      </c>
      <c r="H870" s="344">
        <f>+H848</f>
        <v>766</v>
      </c>
      <c r="I870" s="45">
        <f>+SUM(F870:H870)</f>
        <v>3116</v>
      </c>
      <c r="J870" s="344">
        <f>+J848</f>
        <v>4744</v>
      </c>
      <c r="K870" s="344">
        <f>+K848</f>
        <v>1219</v>
      </c>
      <c r="L870" s="344">
        <f>+L848</f>
        <v>1050</v>
      </c>
      <c r="M870" s="45">
        <f>+SUM(J870:L870)</f>
        <v>7013</v>
      </c>
      <c r="N870" s="344">
        <f>+N848</f>
        <v>3187</v>
      </c>
      <c r="O870" s="344">
        <f>+O848</f>
        <v>2329</v>
      </c>
      <c r="P870" s="344">
        <f>+P848</f>
        <v>1565</v>
      </c>
      <c r="Q870" s="45">
        <f>+SUM(N870:P870)</f>
        <v>7081</v>
      </c>
      <c r="R870" s="37">
        <f>+E870+I870+M870+Q870</f>
        <v>18630</v>
      </c>
      <c r="AC870" s="551"/>
      <c r="AD870" s="67"/>
      <c r="AE870" s="67"/>
      <c r="AF870" s="67"/>
      <c r="AG870" s="67"/>
      <c r="AH870" s="67"/>
      <c r="AI870" s="70" t="s">
        <v>2438</v>
      </c>
      <c r="AJ870" s="67"/>
      <c r="AK870" s="67"/>
      <c r="AL870" s="67"/>
      <c r="AM870" s="67"/>
      <c r="AN870" s="67"/>
      <c r="AO870" s="67"/>
      <c r="AP870" s="67"/>
      <c r="AQ870" s="67"/>
      <c r="AR870" s="67"/>
      <c r="AS870" s="67"/>
      <c r="AT870" s="552"/>
    </row>
    <row r="871" spans="1:46" ht="16.5" customHeight="1" thickBot="1" x14ac:dyDescent="0.35">
      <c r="A871" s="35"/>
      <c r="B871" s="45"/>
      <c r="C871" s="45"/>
      <c r="D871" s="45"/>
      <c r="E871" s="45"/>
      <c r="F871" s="45"/>
      <c r="G871" s="45"/>
      <c r="H871" s="45"/>
      <c r="I871" s="45"/>
      <c r="J871" s="45"/>
      <c r="K871" s="45"/>
      <c r="L871" s="45"/>
      <c r="M871" s="45"/>
      <c r="N871" s="45"/>
      <c r="O871" s="45"/>
      <c r="P871" s="45"/>
      <c r="Q871" s="45"/>
      <c r="R871" s="37"/>
      <c r="AC871" s="551"/>
      <c r="AD871" s="67" t="s">
        <v>2435</v>
      </c>
      <c r="AE871" s="67"/>
      <c r="AF871" s="70" t="s">
        <v>2436</v>
      </c>
      <c r="AG871" s="70" t="s">
        <v>2436</v>
      </c>
      <c r="AH871" s="70" t="s">
        <v>2437</v>
      </c>
      <c r="AI871" s="70" t="s">
        <v>525</v>
      </c>
      <c r="AJ871" s="70" t="s">
        <v>2439</v>
      </c>
      <c r="AK871" s="70" t="s">
        <v>2463</v>
      </c>
      <c r="AL871" s="70" t="s">
        <v>2356</v>
      </c>
      <c r="AM871" s="67" t="s">
        <v>2435</v>
      </c>
      <c r="AN871" s="70" t="s">
        <v>2464</v>
      </c>
      <c r="AO871" s="70" t="s">
        <v>2464</v>
      </c>
      <c r="AP871" s="70" t="s">
        <v>2464</v>
      </c>
      <c r="AQ871" s="67"/>
      <c r="AR871" s="67"/>
      <c r="AS871" s="67"/>
      <c r="AT871" s="552"/>
    </row>
    <row r="872" spans="1:46" ht="16.5" customHeight="1" thickBot="1" x14ac:dyDescent="0.4">
      <c r="A872" s="35" t="s">
        <v>574</v>
      </c>
      <c r="B872" s="47">
        <f t="shared" ref="B872:R872" si="214">+SUM(B864:B870)</f>
        <v>44141</v>
      </c>
      <c r="C872" s="47">
        <f t="shared" si="214"/>
        <v>49345</v>
      </c>
      <c r="D872" s="47">
        <f t="shared" si="214"/>
        <v>109644</v>
      </c>
      <c r="E872" s="47">
        <f t="shared" si="214"/>
        <v>203130</v>
      </c>
      <c r="F872" s="47">
        <f t="shared" si="214"/>
        <v>147631</v>
      </c>
      <c r="G872" s="47">
        <f t="shared" si="214"/>
        <v>147226</v>
      </c>
      <c r="H872" s="47">
        <f t="shared" si="214"/>
        <v>193124</v>
      </c>
      <c r="I872" s="47">
        <f t="shared" si="214"/>
        <v>487981</v>
      </c>
      <c r="J872" s="47">
        <f t="shared" si="214"/>
        <v>170239</v>
      </c>
      <c r="K872" s="47">
        <f t="shared" si="214"/>
        <v>162968</v>
      </c>
      <c r="L872" s="47">
        <f t="shared" si="214"/>
        <v>131170</v>
      </c>
      <c r="M872" s="47">
        <f t="shared" si="214"/>
        <v>464377</v>
      </c>
      <c r="N872" s="47">
        <f t="shared" si="214"/>
        <v>79636</v>
      </c>
      <c r="O872" s="47">
        <f t="shared" si="214"/>
        <v>54330</v>
      </c>
      <c r="P872" s="47">
        <f t="shared" si="214"/>
        <v>67861</v>
      </c>
      <c r="Q872" s="47">
        <f t="shared" si="214"/>
        <v>201827</v>
      </c>
      <c r="R872" s="345">
        <f t="shared" si="214"/>
        <v>1357315</v>
      </c>
      <c r="AC872" s="551"/>
      <c r="AD872" s="70" t="s">
        <v>284</v>
      </c>
      <c r="AE872" s="70" t="s">
        <v>2379</v>
      </c>
      <c r="AF872" s="70" t="s">
        <v>844</v>
      </c>
      <c r="AG872" s="70" t="s">
        <v>844</v>
      </c>
      <c r="AH872" s="70" t="s">
        <v>845</v>
      </c>
      <c r="AI872" s="214" t="s">
        <v>955</v>
      </c>
      <c r="AJ872" s="70" t="s">
        <v>275</v>
      </c>
      <c r="AK872" s="70" t="s">
        <v>276</v>
      </c>
      <c r="AL872" s="70" t="s">
        <v>1554</v>
      </c>
      <c r="AM872" s="67" t="s">
        <v>2435</v>
      </c>
      <c r="AN872" s="70" t="s">
        <v>1555</v>
      </c>
      <c r="AO872" s="70" t="s">
        <v>955</v>
      </c>
      <c r="AP872" s="70" t="s">
        <v>1194</v>
      </c>
      <c r="AQ872" s="67"/>
      <c r="AR872" s="67"/>
      <c r="AS872" s="67"/>
      <c r="AT872" s="552"/>
    </row>
    <row r="873" spans="1:46" ht="15.75" customHeight="1" x14ac:dyDescent="0.35">
      <c r="A873" s="201"/>
      <c r="B873" s="286"/>
      <c r="C873" s="286"/>
      <c r="D873" s="286"/>
      <c r="E873" s="286"/>
      <c r="F873" s="286"/>
      <c r="G873" s="286"/>
      <c r="H873" s="544" t="s">
        <v>2538</v>
      </c>
      <c r="I873" s="286"/>
      <c r="J873" s="286"/>
      <c r="K873" s="286"/>
      <c r="L873" s="286"/>
      <c r="M873" s="286"/>
      <c r="N873" s="286"/>
      <c r="O873" s="286"/>
      <c r="P873" s="286"/>
      <c r="Q873" s="286"/>
      <c r="R873" s="286"/>
      <c r="AC873" s="551"/>
      <c r="AD873" s="70" t="s">
        <v>1193</v>
      </c>
      <c r="AE873" s="70" t="s">
        <v>956</v>
      </c>
      <c r="AF873" s="70" t="s">
        <v>333</v>
      </c>
      <c r="AG873" s="70" t="s">
        <v>334</v>
      </c>
      <c r="AH873" s="70" t="s">
        <v>335</v>
      </c>
      <c r="AI873" s="70" t="s">
        <v>335</v>
      </c>
      <c r="AJ873" s="70" t="s">
        <v>335</v>
      </c>
      <c r="AK873" s="70" t="s">
        <v>335</v>
      </c>
      <c r="AL873" s="70" t="s">
        <v>1486</v>
      </c>
      <c r="AM873" s="67" t="s">
        <v>2435</v>
      </c>
      <c r="AN873" s="70" t="s">
        <v>1487</v>
      </c>
      <c r="AO873" s="70" t="s">
        <v>929</v>
      </c>
      <c r="AP873" s="70" t="s">
        <v>929</v>
      </c>
      <c r="AQ873" s="67"/>
      <c r="AR873" s="67"/>
      <c r="AS873" s="67"/>
      <c r="AT873" s="552"/>
    </row>
    <row r="874" spans="1:46" ht="15.75" customHeight="1" x14ac:dyDescent="0.35">
      <c r="A874" s="201"/>
      <c r="B874" s="286"/>
      <c r="C874" s="286"/>
      <c r="D874" s="286"/>
      <c r="E874" s="286"/>
      <c r="F874" s="286"/>
      <c r="G874" s="10"/>
      <c r="H874" s="544"/>
      <c r="I874" s="286"/>
      <c r="J874" s="286"/>
      <c r="K874" s="286"/>
      <c r="L874" s="286"/>
      <c r="M874" s="286"/>
      <c r="N874" s="286"/>
      <c r="O874" s="286"/>
      <c r="P874" s="286"/>
      <c r="Q874" s="286"/>
      <c r="R874" s="286"/>
      <c r="AC874" s="551"/>
      <c r="AD874" s="70" t="s">
        <v>930</v>
      </c>
      <c r="AE874" s="70" t="s">
        <v>931</v>
      </c>
      <c r="AF874" s="70" t="s">
        <v>932</v>
      </c>
      <c r="AG874" s="70" t="s">
        <v>932</v>
      </c>
      <c r="AH874" s="70" t="s">
        <v>932</v>
      </c>
      <c r="AI874" s="70" t="s">
        <v>932</v>
      </c>
      <c r="AJ874" s="70" t="s">
        <v>932</v>
      </c>
      <c r="AK874" s="70" t="s">
        <v>932</v>
      </c>
      <c r="AL874" s="70" t="s">
        <v>932</v>
      </c>
      <c r="AM874" s="67" t="s">
        <v>2435</v>
      </c>
      <c r="AN874" s="70" t="s">
        <v>946</v>
      </c>
      <c r="AO874" s="70" t="s">
        <v>946</v>
      </c>
      <c r="AP874" s="70" t="s">
        <v>946</v>
      </c>
      <c r="AQ874" s="67"/>
      <c r="AR874" s="67"/>
      <c r="AS874" s="67"/>
      <c r="AT874" s="552"/>
    </row>
    <row r="875" spans="1:46" ht="15.75" customHeight="1" thickBot="1" x14ac:dyDescent="0.4">
      <c r="A875" s="201"/>
      <c r="B875" s="286"/>
      <c r="C875" s="286"/>
      <c r="D875" s="286"/>
      <c r="E875" s="286"/>
      <c r="F875" s="286"/>
      <c r="G875" s="286"/>
      <c r="H875" s="544"/>
      <c r="I875" s="286"/>
      <c r="J875" s="286"/>
      <c r="K875" s="286"/>
      <c r="L875" s="286"/>
      <c r="M875" s="286"/>
      <c r="N875" s="286"/>
      <c r="O875" s="286"/>
      <c r="P875" s="286"/>
      <c r="Q875" s="286"/>
      <c r="R875" s="286"/>
      <c r="AC875" s="551"/>
      <c r="AD875" s="67" t="s">
        <v>1353</v>
      </c>
      <c r="AE875" s="67" t="s">
        <v>1353</v>
      </c>
      <c r="AF875" s="67" t="s">
        <v>1353</v>
      </c>
      <c r="AG875" s="67" t="s">
        <v>1353</v>
      </c>
      <c r="AH875" s="67" t="s">
        <v>1353</v>
      </c>
      <c r="AI875" s="67" t="s">
        <v>1353</v>
      </c>
      <c r="AJ875" s="67" t="s">
        <v>1353</v>
      </c>
      <c r="AK875" s="67" t="s">
        <v>1353</v>
      </c>
      <c r="AL875" s="67" t="s">
        <v>1353</v>
      </c>
      <c r="AM875" s="67" t="s">
        <v>2435</v>
      </c>
      <c r="AN875" s="67" t="s">
        <v>1353</v>
      </c>
      <c r="AO875" s="67" t="s">
        <v>1353</v>
      </c>
      <c r="AP875" s="67" t="s">
        <v>1353</v>
      </c>
      <c r="AQ875" s="67"/>
      <c r="AR875" s="67"/>
      <c r="AS875" s="67"/>
      <c r="AT875" s="552"/>
    </row>
    <row r="876" spans="1:46" ht="15.75" customHeight="1" x14ac:dyDescent="0.3">
      <c r="A876" s="651"/>
      <c r="B876" s="782" t="s">
        <v>864</v>
      </c>
      <c r="C876" s="782"/>
      <c r="D876" s="782"/>
      <c r="E876" s="782"/>
      <c r="F876" s="782"/>
      <c r="G876" s="782"/>
      <c r="H876" s="782"/>
      <c r="I876" s="782"/>
      <c r="J876" s="782"/>
      <c r="K876" s="782"/>
      <c r="L876" s="782"/>
      <c r="M876" s="782"/>
      <c r="N876" s="782"/>
      <c r="O876" s="782"/>
      <c r="P876" s="782"/>
      <c r="Q876" s="678" t="str">
        <f>+Q1</f>
        <v xml:space="preserve">PRINTED:  </v>
      </c>
      <c r="R876" s="679">
        <f ca="1">+R1</f>
        <v>44881.729634027775</v>
      </c>
      <c r="AC876" s="553" t="s">
        <v>1354</v>
      </c>
      <c r="AD876" s="67">
        <f t="shared" ref="AD876:AD887" si="215">(F885)</f>
        <v>83310</v>
      </c>
      <c r="AE876" s="67">
        <f t="shared" ref="AE876:AE887" si="216">SUM($B$940:$E$940)+(T885-1526.8)/0.7702</f>
        <v>1640.619579330044</v>
      </c>
      <c r="AF876" s="67">
        <f>(AD876*AE876/1000)</f>
        <v>136680.01715398597</v>
      </c>
      <c r="AG876" s="67">
        <f t="shared" ref="AG876:AG887" si="217">(((B885-F885)*B$940)+((C885-F885)*C$940)+((D885-F885)*D$940)+((E885-F885)*E$940))/1000</f>
        <v>58675.872000000003</v>
      </c>
      <c r="AH876" s="67">
        <f>(AF876+AG876)</f>
        <v>195355.88915398598</v>
      </c>
      <c r="AI876" s="67">
        <f t="shared" ref="AI876:AI887" si="218">SUM(H942:Q942)</f>
        <v>21628</v>
      </c>
      <c r="AJ876" s="67">
        <f>+AH876+AI876</f>
        <v>216983.88915398598</v>
      </c>
      <c r="AK876" s="67">
        <f t="shared" ref="AK876:AK883" si="219">(G970)</f>
        <v>553.50851544837883</v>
      </c>
      <c r="AL876" s="67">
        <f t="shared" ref="AL876:AL887" si="220">(AJ876-AK876)</f>
        <v>216430.38063853761</v>
      </c>
      <c r="AM876" s="67" t="s">
        <v>2435</v>
      </c>
      <c r="AN876" s="67">
        <f>+B885/31/1.98</f>
        <v>2029.048550016292</v>
      </c>
      <c r="AO876" s="67">
        <f>(AD876*43560/31/24/3600)</f>
        <v>1354.9072580645161</v>
      </c>
      <c r="AP876" s="67">
        <f>+B319</f>
        <v>-59.32685894620402</v>
      </c>
      <c r="AQ876" s="67"/>
      <c r="AR876" s="67"/>
      <c r="AS876" s="67"/>
      <c r="AT876" s="552"/>
    </row>
    <row r="877" spans="1:46" ht="15.75" customHeight="1" x14ac:dyDescent="0.3">
      <c r="A877" s="553"/>
      <c r="B877" s="786" t="str">
        <f>+A8</f>
        <v>Revised:  1/18/2018</v>
      </c>
      <c r="C877" s="786"/>
      <c r="D877" s="786"/>
      <c r="E877" s="786"/>
      <c r="F877" s="786"/>
      <c r="G877" s="786"/>
      <c r="H877" s="786"/>
      <c r="I877" s="786"/>
      <c r="J877" s="786"/>
      <c r="K877" s="786"/>
      <c r="L877" s="786"/>
      <c r="M877" s="786"/>
      <c r="N877" s="786"/>
      <c r="O877" s="786"/>
      <c r="P877" s="786"/>
      <c r="Q877" s="67"/>
      <c r="R877" s="552"/>
      <c r="AC877" s="553" t="s">
        <v>706</v>
      </c>
      <c r="AD877" s="67">
        <f t="shared" si="215"/>
        <v>16480</v>
      </c>
      <c r="AE877" s="67">
        <f t="shared" si="216"/>
        <v>1641.3206959231368</v>
      </c>
      <c r="AF877" s="67">
        <f>(AD877*AE877/1000)</f>
        <v>27048.965068813293</v>
      </c>
      <c r="AG877" s="67">
        <f t="shared" si="217"/>
        <v>61954.970999999998</v>
      </c>
      <c r="AH877" s="67">
        <f t="shared" ref="AH877:AH887" si="221">(AF877+AG877)</f>
        <v>89003.936068813287</v>
      </c>
      <c r="AI877" s="67">
        <f t="shared" si="218"/>
        <v>19003</v>
      </c>
      <c r="AJ877" s="67">
        <f t="shared" ref="AJ877:AJ887" si="222">+AH877+AI877</f>
        <v>108006.93606881329</v>
      </c>
      <c r="AK877" s="67">
        <f t="shared" si="219"/>
        <v>1200.231861341369</v>
      </c>
      <c r="AL877" s="67">
        <f t="shared" si="220"/>
        <v>106806.70420747192</v>
      </c>
      <c r="AM877" s="67" t="s">
        <v>2435</v>
      </c>
      <c r="AN877" s="67">
        <f>+B886/28/1.98</f>
        <v>1085.8946608946608</v>
      </c>
      <c r="AO877" s="67">
        <f>(AD877*43560/29/24/3600)</f>
        <v>286.5057471264368</v>
      </c>
      <c r="AP877" s="67">
        <f>+C319</f>
        <v>-141.66846768964771</v>
      </c>
      <c r="AQ877" s="67"/>
      <c r="AR877" s="67"/>
      <c r="AS877" s="67"/>
      <c r="AT877" s="552"/>
    </row>
    <row r="878" spans="1:46" ht="15.75" customHeight="1" x14ac:dyDescent="0.3">
      <c r="A878" s="553"/>
      <c r="B878" s="786" t="s">
        <v>2878</v>
      </c>
      <c r="C878" s="786"/>
      <c r="D878" s="786"/>
      <c r="E878" s="786"/>
      <c r="F878" s="786"/>
      <c r="G878" s="786"/>
      <c r="H878" s="786"/>
      <c r="I878" s="786"/>
      <c r="J878" s="786"/>
      <c r="K878" s="786"/>
      <c r="L878" s="786"/>
      <c r="M878" s="786"/>
      <c r="N878" s="786"/>
      <c r="O878" s="786"/>
      <c r="P878" s="786"/>
      <c r="Q878" s="67"/>
      <c r="R878" s="552"/>
      <c r="AC878" s="553" t="s">
        <v>707</v>
      </c>
      <c r="AD878" s="67">
        <f t="shared" si="215"/>
        <v>20055</v>
      </c>
      <c r="AE878" s="67">
        <f t="shared" si="216"/>
        <v>1648.5525874397988</v>
      </c>
      <c r="AF878" s="67">
        <f t="shared" ref="AF878:AF887" si="223">(AD878*AE878/1000)</f>
        <v>33061.722141105165</v>
      </c>
      <c r="AG878" s="67">
        <f t="shared" si="217"/>
        <v>163954.177</v>
      </c>
      <c r="AH878" s="67">
        <f t="shared" si="221"/>
        <v>197015.89914110515</v>
      </c>
      <c r="AI878" s="67">
        <f t="shared" si="218"/>
        <v>39346</v>
      </c>
      <c r="AJ878" s="67">
        <f t="shared" si="222"/>
        <v>236361.89914110515</v>
      </c>
      <c r="AK878" s="67">
        <f t="shared" si="219"/>
        <v>33.32278913210174</v>
      </c>
      <c r="AL878" s="67">
        <f t="shared" si="220"/>
        <v>236328.57635197305</v>
      </c>
      <c r="AM878" s="67" t="s">
        <v>2435</v>
      </c>
      <c r="AN878" s="67">
        <f>+B887/31/1.98</f>
        <v>2209.9543825350279</v>
      </c>
      <c r="AO878" s="67">
        <f>(AD878*43560/31/24/3600)</f>
        <v>326.16330645161287</v>
      </c>
      <c r="AP878" s="67">
        <f>+D319</f>
        <v>-3.3673319994143771</v>
      </c>
      <c r="AQ878" s="67"/>
      <c r="AR878" s="67"/>
      <c r="AS878" s="67"/>
      <c r="AT878" s="552"/>
    </row>
    <row r="879" spans="1:46" ht="15.75" customHeight="1" x14ac:dyDescent="0.3">
      <c r="A879" s="553"/>
      <c r="B879" s="786"/>
      <c r="C879" s="786"/>
      <c r="D879" s="786"/>
      <c r="E879" s="786"/>
      <c r="F879" s="786"/>
      <c r="G879" s="786"/>
      <c r="H879" s="786"/>
      <c r="I879" s="786"/>
      <c r="J879" s="786"/>
      <c r="K879" s="786"/>
      <c r="L879" s="786"/>
      <c r="M879" s="786"/>
      <c r="N879" s="786"/>
      <c r="O879" s="786"/>
      <c r="P879" s="786"/>
      <c r="Q879" s="67"/>
      <c r="R879" s="552"/>
      <c r="AC879" s="553" t="s">
        <v>1321</v>
      </c>
      <c r="AD879" s="67">
        <f t="shared" si="215"/>
        <v>9498</v>
      </c>
      <c r="AE879" s="67">
        <f t="shared" si="216"/>
        <v>1648.6824201506106</v>
      </c>
      <c r="AF879" s="67">
        <f t="shared" si="223"/>
        <v>15659.185626590499</v>
      </c>
      <c r="AG879" s="67">
        <f t="shared" si="217"/>
        <v>213382.60399999999</v>
      </c>
      <c r="AH879" s="67">
        <f t="shared" si="221"/>
        <v>229041.7896265905</v>
      </c>
      <c r="AI879" s="67">
        <f t="shared" si="218"/>
        <v>43203</v>
      </c>
      <c r="AJ879" s="67">
        <f t="shared" si="222"/>
        <v>272244.7896265905</v>
      </c>
      <c r="AK879" s="67">
        <f t="shared" si="219"/>
        <v>0.96678221552373855</v>
      </c>
      <c r="AL879" s="67">
        <f t="shared" si="220"/>
        <v>272243.82284437498</v>
      </c>
      <c r="AM879" s="67" t="s">
        <v>2435</v>
      </c>
      <c r="AN879" s="67">
        <f>+B888/30/1.98</f>
        <v>2696.1784511784513</v>
      </c>
      <c r="AO879" s="67">
        <f>(AD879*43560/30/24/3600)</f>
        <v>159.61916666666667</v>
      </c>
      <c r="AP879" s="67">
        <f>+F319</f>
        <v>-0.10085728693898134</v>
      </c>
      <c r="AQ879" s="67"/>
      <c r="AR879" s="67"/>
      <c r="AS879" s="67"/>
      <c r="AT879" s="552"/>
    </row>
    <row r="880" spans="1:46" ht="15.75" customHeight="1" x14ac:dyDescent="0.3">
      <c r="A880" s="553"/>
      <c r="B880" s="787">
        <f>+A5</f>
        <v>2017</v>
      </c>
      <c r="C880" s="787"/>
      <c r="D880" s="787"/>
      <c r="E880" s="787"/>
      <c r="F880" s="787"/>
      <c r="G880" s="787"/>
      <c r="H880" s="787"/>
      <c r="I880" s="787"/>
      <c r="J880" s="787"/>
      <c r="K880" s="787"/>
      <c r="L880" s="787"/>
      <c r="M880" s="787"/>
      <c r="N880" s="787"/>
      <c r="O880" s="787"/>
      <c r="P880" s="787"/>
      <c r="Q880" s="67"/>
      <c r="R880" s="552"/>
      <c r="AC880" s="553" t="s">
        <v>1905</v>
      </c>
      <c r="AD880" s="67">
        <f t="shared" si="215"/>
        <v>24625</v>
      </c>
      <c r="AE880" s="67">
        <f t="shared" si="216"/>
        <v>1646.1506102311087</v>
      </c>
      <c r="AF880" s="67">
        <f t="shared" si="223"/>
        <v>40536.45877694105</v>
      </c>
      <c r="AG880" s="67">
        <f t="shared" si="217"/>
        <v>214149.274</v>
      </c>
      <c r="AH880" s="67">
        <f t="shared" si="221"/>
        <v>254685.73277694106</v>
      </c>
      <c r="AI880" s="67">
        <f t="shared" si="218"/>
        <v>41907</v>
      </c>
      <c r="AJ880" s="67">
        <f t="shared" si="222"/>
        <v>296592.73277694103</v>
      </c>
      <c r="AK880" s="67">
        <f t="shared" si="219"/>
        <v>236.02158251695511</v>
      </c>
      <c r="AL880" s="67">
        <f t="shared" si="220"/>
        <v>296356.71119442408</v>
      </c>
      <c r="AM880" s="67" t="s">
        <v>2435</v>
      </c>
      <c r="AN880" s="67">
        <f>+B889/31/1.98</f>
        <v>2867.6115998696646</v>
      </c>
      <c r="AO880" s="67">
        <f>(AD880*43560/31/24/3600)</f>
        <v>400.48723118279571</v>
      </c>
      <c r="AP880" s="67">
        <f>+G319</f>
        <v>-24.270818082735509</v>
      </c>
      <c r="AQ880" s="67"/>
      <c r="AR880" s="67"/>
      <c r="AS880" s="67"/>
      <c r="AT880" s="552"/>
    </row>
    <row r="881" spans="1:46" ht="15.75" customHeight="1" x14ac:dyDescent="0.3">
      <c r="A881" s="553"/>
      <c r="B881" s="786" t="s">
        <v>2918</v>
      </c>
      <c r="C881" s="786"/>
      <c r="D881" s="786"/>
      <c r="E881" s="786"/>
      <c r="F881" s="786"/>
      <c r="G881" s="786"/>
      <c r="H881" s="786"/>
      <c r="I881" s="786"/>
      <c r="J881" s="786"/>
      <c r="K881" s="786"/>
      <c r="L881" s="786"/>
      <c r="M881" s="786"/>
      <c r="N881" s="786"/>
      <c r="O881" s="786"/>
      <c r="P881" s="786"/>
      <c r="Q881" s="67"/>
      <c r="R881" s="552"/>
      <c r="AC881" s="553" t="s">
        <v>1906</v>
      </c>
      <c r="AD881" s="67">
        <f t="shared" si="215"/>
        <v>0</v>
      </c>
      <c r="AE881" s="67">
        <f t="shared" si="216"/>
        <v>1632.5437548688653</v>
      </c>
      <c r="AF881" s="67">
        <f t="shared" si="223"/>
        <v>0</v>
      </c>
      <c r="AG881" s="67">
        <f t="shared" si="217"/>
        <v>116323.198</v>
      </c>
      <c r="AH881" s="67">
        <f t="shared" si="221"/>
        <v>116323.198</v>
      </c>
      <c r="AI881" s="67">
        <f t="shared" si="218"/>
        <v>51038</v>
      </c>
      <c r="AJ881" s="67">
        <f t="shared" si="222"/>
        <v>167361.198</v>
      </c>
      <c r="AK881" s="67">
        <f t="shared" si="219"/>
        <v>16742.68189902035</v>
      </c>
      <c r="AL881" s="67">
        <f t="shared" si="220"/>
        <v>150618.51610097964</v>
      </c>
      <c r="AM881" s="67" t="s">
        <v>2435</v>
      </c>
      <c r="AN881" s="67">
        <f>+B890/30/1.98</f>
        <v>1393.0976430976432</v>
      </c>
      <c r="AO881" s="67">
        <f t="shared" ref="AO881:AO886" si="224">(AD881*43560/30/24/3600)</f>
        <v>0</v>
      </c>
      <c r="AP881" s="67">
        <f>+H319</f>
        <v>-1976.4330139519247</v>
      </c>
      <c r="AQ881" s="67"/>
      <c r="AR881" s="67"/>
      <c r="AS881" s="67"/>
      <c r="AT881" s="552"/>
    </row>
    <row r="882" spans="1:46" ht="15.75" customHeight="1" x14ac:dyDescent="0.3">
      <c r="A882" s="553"/>
      <c r="B882" s="67"/>
      <c r="C882" s="67"/>
      <c r="D882" s="67"/>
      <c r="E882" s="67"/>
      <c r="F882" s="67"/>
      <c r="G882" s="67"/>
      <c r="H882" s="67"/>
      <c r="I882" s="67"/>
      <c r="J882" s="67"/>
      <c r="K882" s="67"/>
      <c r="L882" s="67"/>
      <c r="M882" s="67"/>
      <c r="N882" s="67"/>
      <c r="O882" s="67"/>
      <c r="P882" s="67"/>
      <c r="Q882" s="67"/>
      <c r="R882" s="552"/>
      <c r="AC882" s="553" t="s">
        <v>1907</v>
      </c>
      <c r="AD882" s="67">
        <f t="shared" si="215"/>
        <v>0</v>
      </c>
      <c r="AE882" s="67">
        <f t="shared" si="216"/>
        <v>1613.7694105427163</v>
      </c>
      <c r="AF882" s="67">
        <f t="shared" si="223"/>
        <v>0</v>
      </c>
      <c r="AG882" s="67">
        <f t="shared" si="217"/>
        <v>105884.64200000001</v>
      </c>
      <c r="AH882" s="67">
        <f t="shared" si="221"/>
        <v>105884.64200000001</v>
      </c>
      <c r="AI882" s="67">
        <f t="shared" si="218"/>
        <v>47920</v>
      </c>
      <c r="AJ882" s="67">
        <f t="shared" si="222"/>
        <v>153804.64199999999</v>
      </c>
      <c r="AK882" s="67">
        <f t="shared" si="219"/>
        <v>12098.999879427278</v>
      </c>
      <c r="AL882" s="67">
        <f t="shared" si="220"/>
        <v>141705.64212057271</v>
      </c>
      <c r="AM882" s="67" t="s">
        <v>2435</v>
      </c>
      <c r="AN882" s="67">
        <f>+B891/31/1.98</f>
        <v>1228.3479960899315</v>
      </c>
      <c r="AO882" s="67">
        <f t="shared" si="224"/>
        <v>0</v>
      </c>
      <c r="AP882" s="67">
        <f>+J319</f>
        <v>-1631.9522391944429</v>
      </c>
      <c r="AQ882" s="67"/>
      <c r="AR882" s="67"/>
      <c r="AS882" s="67"/>
      <c r="AT882" s="552"/>
    </row>
    <row r="883" spans="1:46" ht="15.75" customHeight="1" thickBot="1" x14ac:dyDescent="0.35">
      <c r="A883" s="553" t="s">
        <v>845</v>
      </c>
      <c r="B883" s="634" t="s">
        <v>1308</v>
      </c>
      <c r="C883" s="634" t="s">
        <v>1309</v>
      </c>
      <c r="D883" s="634" t="s">
        <v>1029</v>
      </c>
      <c r="E883" s="634" t="s">
        <v>1030</v>
      </c>
      <c r="F883" s="634" t="s">
        <v>284</v>
      </c>
      <c r="G883" s="634" t="s">
        <v>284</v>
      </c>
      <c r="H883" s="634" t="s">
        <v>285</v>
      </c>
      <c r="I883" s="634" t="s">
        <v>286</v>
      </c>
      <c r="J883" s="634" t="s">
        <v>287</v>
      </c>
      <c r="K883" s="634" t="s">
        <v>288</v>
      </c>
      <c r="L883" s="634" t="s">
        <v>289</v>
      </c>
      <c r="M883" s="634" t="s">
        <v>633</v>
      </c>
      <c r="N883" s="634" t="s">
        <v>634</v>
      </c>
      <c r="O883" s="634" t="s">
        <v>1192</v>
      </c>
      <c r="P883" s="634" t="s">
        <v>524</v>
      </c>
      <c r="Q883" s="634" t="s">
        <v>525</v>
      </c>
      <c r="R883" s="552"/>
      <c r="T883" s="350" t="s">
        <v>2756</v>
      </c>
      <c r="AC883" s="553" t="s">
        <v>1908</v>
      </c>
      <c r="AD883" s="67">
        <f t="shared" si="215"/>
        <v>0</v>
      </c>
      <c r="AE883" s="67">
        <f t="shared" si="216"/>
        <v>1591.281686719662</v>
      </c>
      <c r="AF883" s="67">
        <f t="shared" si="223"/>
        <v>0</v>
      </c>
      <c r="AG883" s="67">
        <f t="shared" si="217"/>
        <v>101452.298</v>
      </c>
      <c r="AH883" s="67">
        <f t="shared" si="221"/>
        <v>101452.298</v>
      </c>
      <c r="AI883" s="67">
        <f t="shared" si="218"/>
        <v>47363</v>
      </c>
      <c r="AJ883" s="67">
        <f t="shared" si="222"/>
        <v>148815.29800000001</v>
      </c>
      <c r="AK883" s="67">
        <f t="shared" si="219"/>
        <v>8922.6713814339055</v>
      </c>
      <c r="AL883" s="67">
        <f t="shared" si="220"/>
        <v>139892.62661856611</v>
      </c>
      <c r="AM883" s="67" t="s">
        <v>2435</v>
      </c>
      <c r="AN883" s="67">
        <f>+B892/31/1.98</f>
        <v>1176.197458455523</v>
      </c>
      <c r="AO883" s="67">
        <f t="shared" si="224"/>
        <v>0</v>
      </c>
      <c r="AP883" s="67">
        <f>+K319</f>
        <v>-1535.9751435589608</v>
      </c>
      <c r="AQ883" s="67"/>
      <c r="AR883" s="67"/>
      <c r="AS883" s="67"/>
      <c r="AT883" s="552"/>
    </row>
    <row r="884" spans="1:46" ht="15.75" customHeight="1" x14ac:dyDescent="0.3">
      <c r="A884" s="553"/>
      <c r="B884" s="67"/>
      <c r="C884" s="67"/>
      <c r="D884" s="67"/>
      <c r="E884" s="67"/>
      <c r="F884" s="70" t="s">
        <v>1193</v>
      </c>
      <c r="G884" s="70" t="s">
        <v>1194</v>
      </c>
      <c r="H884" s="67"/>
      <c r="I884" s="67"/>
      <c r="J884" s="67"/>
      <c r="K884" s="67"/>
      <c r="L884" s="67"/>
      <c r="M884" s="67"/>
      <c r="N884" s="67"/>
      <c r="O884" s="67"/>
      <c r="P884" s="67"/>
      <c r="Q884" s="67"/>
      <c r="R884" s="552"/>
      <c r="AC884" s="553" t="s">
        <v>2352</v>
      </c>
      <c r="AD884" s="67">
        <f t="shared" si="215"/>
        <v>9609</v>
      </c>
      <c r="AE884" s="67">
        <f t="shared" si="216"/>
        <v>1596.3323736446584</v>
      </c>
      <c r="AF884" s="67">
        <f t="shared" si="223"/>
        <v>15339.157778351522</v>
      </c>
      <c r="AG884" s="67">
        <f t="shared" si="217"/>
        <v>174286.26800000001</v>
      </c>
      <c r="AH884" s="67">
        <f t="shared" si="221"/>
        <v>189625.42577835152</v>
      </c>
      <c r="AI884" s="67">
        <f t="shared" si="218"/>
        <v>39369</v>
      </c>
      <c r="AJ884" s="67">
        <f t="shared" si="222"/>
        <v>228994.42577835152</v>
      </c>
      <c r="AK884" s="67">
        <v>0</v>
      </c>
      <c r="AL884" s="67">
        <f t="shared" si="220"/>
        <v>228994.42577835152</v>
      </c>
      <c r="AM884" s="67" t="s">
        <v>2435</v>
      </c>
      <c r="AN884" s="67">
        <f>+B893/30/1.98</f>
        <v>2234.3265993265991</v>
      </c>
      <c r="AO884" s="67">
        <f t="shared" si="224"/>
        <v>161.48458333333335</v>
      </c>
      <c r="AP884" s="67">
        <f>+L319</f>
        <v>-232.25752227265085</v>
      </c>
      <c r="AQ884" s="67"/>
      <c r="AR884" s="67"/>
      <c r="AS884" s="67"/>
      <c r="AT884" s="552"/>
    </row>
    <row r="885" spans="1:46" ht="15.75" customHeight="1" x14ac:dyDescent="0.3">
      <c r="A885" s="139" t="s">
        <v>2843</v>
      </c>
      <c r="B885" s="67">
        <f>+B29</f>
        <v>124543</v>
      </c>
      <c r="C885" s="67">
        <f>+B64</f>
        <v>124446</v>
      </c>
      <c r="D885" s="67">
        <f>+B131</f>
        <v>124350</v>
      </c>
      <c r="E885" s="67">
        <f>+B309</f>
        <v>124151</v>
      </c>
      <c r="F885" s="67">
        <f>+B304</f>
        <v>83310</v>
      </c>
      <c r="G885" s="67">
        <f>+B316</f>
        <v>-3647</v>
      </c>
      <c r="H885" s="67">
        <f>+B471</f>
        <v>25358</v>
      </c>
      <c r="I885" s="67">
        <f>+B519</f>
        <v>15267</v>
      </c>
      <c r="J885" s="67">
        <f>+B563</f>
        <v>15258</v>
      </c>
      <c r="K885" s="67">
        <f>+B621</f>
        <v>15127</v>
      </c>
      <c r="L885" s="67">
        <f>+B631</f>
        <v>14464</v>
      </c>
      <c r="M885" s="67">
        <f>+B667</f>
        <v>14444</v>
      </c>
      <c r="N885" s="67">
        <f>+B715</f>
        <v>14131</v>
      </c>
      <c r="O885" s="67">
        <f>+B725</f>
        <v>3456</v>
      </c>
      <c r="P885" s="67">
        <f>+B759</f>
        <v>243</v>
      </c>
      <c r="Q885" s="67">
        <f>+B808</f>
        <v>3454</v>
      </c>
      <c r="R885" s="552"/>
      <c r="T885" s="619">
        <f>'Lake Pleasant Forecast'!B35</f>
        <v>1692.1</v>
      </c>
      <c r="AC885" s="553" t="s">
        <v>2353</v>
      </c>
      <c r="AD885" s="67">
        <f t="shared" si="215"/>
        <v>44152</v>
      </c>
      <c r="AE885" s="67">
        <f t="shared" si="216"/>
        <v>1606.3687353934044</v>
      </c>
      <c r="AF885" s="67">
        <f t="shared" si="223"/>
        <v>70924.392405089588</v>
      </c>
      <c r="AG885" s="67">
        <f t="shared" si="217"/>
        <v>120851.952</v>
      </c>
      <c r="AH885" s="67">
        <f t="shared" si="221"/>
        <v>191776.34440508959</v>
      </c>
      <c r="AI885" s="67">
        <f t="shared" si="218"/>
        <v>18454</v>
      </c>
      <c r="AJ885" s="67">
        <f t="shared" si="222"/>
        <v>210230.34440508959</v>
      </c>
      <c r="AK885" s="67">
        <v>0</v>
      </c>
      <c r="AL885" s="67">
        <f t="shared" si="220"/>
        <v>210230.34440508959</v>
      </c>
      <c r="AM885" s="67" t="s">
        <v>2435</v>
      </c>
      <c r="AN885" s="67">
        <f>+B894/31/1.98</f>
        <v>2111.127403062887</v>
      </c>
      <c r="AO885" s="67">
        <f t="shared" si="224"/>
        <v>741.99888888888893</v>
      </c>
      <c r="AP885" s="67">
        <f>+N319</f>
        <v>0</v>
      </c>
      <c r="AQ885" s="67"/>
      <c r="AR885" s="67"/>
      <c r="AS885" s="67"/>
      <c r="AT885" s="552"/>
    </row>
    <row r="886" spans="1:46" ht="15.75" customHeight="1" x14ac:dyDescent="0.3">
      <c r="A886" s="139" t="s">
        <v>2091</v>
      </c>
      <c r="B886" s="67">
        <f>+C29</f>
        <v>60202</v>
      </c>
      <c r="C886" s="67">
        <f>+C64</f>
        <v>60054</v>
      </c>
      <c r="D886" s="67">
        <f>+C131</f>
        <v>59909</v>
      </c>
      <c r="E886" s="67">
        <f>+C309</f>
        <v>58663</v>
      </c>
      <c r="F886" s="67">
        <f>+C304</f>
        <v>16480</v>
      </c>
      <c r="G886" s="67">
        <f>+C316</f>
        <v>-7866</v>
      </c>
      <c r="H886" s="67">
        <f>+C471</f>
        <v>32816</v>
      </c>
      <c r="I886" s="67">
        <f>+C519</f>
        <v>13424</v>
      </c>
      <c r="J886" s="67">
        <f>+C563</f>
        <v>13344</v>
      </c>
      <c r="K886" s="67">
        <f>+C621</f>
        <v>13165</v>
      </c>
      <c r="L886" s="67">
        <f>+C631</f>
        <v>11404</v>
      </c>
      <c r="M886" s="67">
        <f>+C667</f>
        <v>11382</v>
      </c>
      <c r="N886" s="67">
        <f>+C715</f>
        <v>10876</v>
      </c>
      <c r="O886" s="67">
        <f>+C725</f>
        <v>2096</v>
      </c>
      <c r="P886" s="67">
        <f>+C759</f>
        <v>1092</v>
      </c>
      <c r="Q886" s="67">
        <f>+C808</f>
        <v>2093</v>
      </c>
      <c r="R886" s="552"/>
      <c r="T886" s="619">
        <f>'Lake Pleasant Forecast'!B37</f>
        <v>1692.6399999999999</v>
      </c>
      <c r="AC886" s="553" t="s">
        <v>2354</v>
      </c>
      <c r="AD886" s="67">
        <f t="shared" si="215"/>
        <v>65541</v>
      </c>
      <c r="AE886" s="67">
        <f t="shared" si="216"/>
        <v>1615.8467930407687</v>
      </c>
      <c r="AF886" s="67">
        <f t="shared" si="223"/>
        <v>105904.21466268502</v>
      </c>
      <c r="AG886" s="67">
        <f t="shared" si="217"/>
        <v>86987.679000000004</v>
      </c>
      <c r="AH886" s="67">
        <f t="shared" si="221"/>
        <v>192891.893662685</v>
      </c>
      <c r="AI886" s="67">
        <f t="shared" si="218"/>
        <v>6878</v>
      </c>
      <c r="AJ886" s="67">
        <f t="shared" si="222"/>
        <v>199769.893662685</v>
      </c>
      <c r="AK886" s="67">
        <f>(G980)</f>
        <v>0</v>
      </c>
      <c r="AL886" s="67">
        <f t="shared" si="220"/>
        <v>199769.893662685</v>
      </c>
      <c r="AM886" s="67" t="s">
        <v>2435</v>
      </c>
      <c r="AN886" s="67">
        <f>+B895/30/1.98</f>
        <v>2137.7272727272725</v>
      </c>
      <c r="AO886" s="67">
        <f t="shared" si="224"/>
        <v>1101.4529166666666</v>
      </c>
      <c r="AP886" s="67">
        <f>+O319</f>
        <v>0</v>
      </c>
      <c r="AQ886" s="67"/>
      <c r="AR886" s="67"/>
      <c r="AS886" s="67"/>
      <c r="AT886" s="552"/>
    </row>
    <row r="887" spans="1:46" ht="15.75" customHeight="1" x14ac:dyDescent="0.3">
      <c r="A887" s="139" t="s">
        <v>2234</v>
      </c>
      <c r="B887" s="67">
        <f>+D29</f>
        <v>135647</v>
      </c>
      <c r="C887" s="67">
        <f>+D64</f>
        <v>135373</v>
      </c>
      <c r="D887" s="67">
        <f>+D131</f>
        <v>135112</v>
      </c>
      <c r="E887" s="67">
        <f>+D309</f>
        <v>132094</v>
      </c>
      <c r="F887" s="67">
        <f>+D304</f>
        <v>20055</v>
      </c>
      <c r="G887" s="67">
        <f>+D316</f>
        <v>-207</v>
      </c>
      <c r="H887" s="67">
        <f>+D471</f>
        <v>87447</v>
      </c>
      <c r="I887" s="67">
        <f>+D519</f>
        <v>33418</v>
      </c>
      <c r="J887" s="67">
        <f>+D563</f>
        <v>27146</v>
      </c>
      <c r="K887" s="67">
        <f>+D621</f>
        <v>24606</v>
      </c>
      <c r="L887" s="67">
        <f>+D631</f>
        <v>20134</v>
      </c>
      <c r="M887" s="67">
        <f>+D667</f>
        <v>20106</v>
      </c>
      <c r="N887" s="67">
        <f>+D715</f>
        <v>19190</v>
      </c>
      <c r="O887" s="67">
        <f>+D725</f>
        <v>4278</v>
      </c>
      <c r="P887" s="67">
        <f>+D759</f>
        <v>1211</v>
      </c>
      <c r="Q887" s="67">
        <f>+D808</f>
        <v>4273</v>
      </c>
      <c r="R887" s="552"/>
      <c r="T887" s="619">
        <f>'Lake Pleasant Forecast'!B39</f>
        <v>1698.210002846133</v>
      </c>
      <c r="AC887" s="553" t="s">
        <v>2355</v>
      </c>
      <c r="AD887" s="67">
        <f t="shared" si="215"/>
        <v>70977</v>
      </c>
      <c r="AE887" s="67">
        <f t="shared" si="216"/>
        <v>1624.8302000837896</v>
      </c>
      <c r="AF887" s="67">
        <f t="shared" si="223"/>
        <v>115325.57311134714</v>
      </c>
      <c r="AG887" s="67">
        <f t="shared" si="217"/>
        <v>99626.519</v>
      </c>
      <c r="AH887" s="67">
        <f t="shared" si="221"/>
        <v>214952.09211134713</v>
      </c>
      <c r="AI887" s="67">
        <f t="shared" si="218"/>
        <v>17917</v>
      </c>
      <c r="AJ887" s="67">
        <f t="shared" si="222"/>
        <v>232869.09211134713</v>
      </c>
      <c r="AK887" s="67">
        <f>(G981)</f>
        <v>10.141620991627168</v>
      </c>
      <c r="AL887" s="67">
        <f t="shared" si="220"/>
        <v>232858.95049035549</v>
      </c>
      <c r="AM887" s="67" t="s">
        <v>2435</v>
      </c>
      <c r="AN887" s="67">
        <f>+B896/31/1.98</f>
        <v>2303.1769305962853</v>
      </c>
      <c r="AO887" s="67">
        <f>(AD887*43560/31/24/3600)</f>
        <v>1154.3302419354839</v>
      </c>
      <c r="AP887" s="67">
        <f>+P319</f>
        <v>-1.2363151302197712</v>
      </c>
      <c r="AQ887" s="67"/>
      <c r="AR887" s="67"/>
      <c r="AS887" s="67"/>
      <c r="AT887" s="552"/>
    </row>
    <row r="888" spans="1:46" ht="15.75" customHeight="1" x14ac:dyDescent="0.3">
      <c r="A888" s="139" t="s">
        <v>2235</v>
      </c>
      <c r="B888" s="67">
        <f>+F29</f>
        <v>160153</v>
      </c>
      <c r="C888" s="67">
        <f>+F64</f>
        <v>159786</v>
      </c>
      <c r="D888" s="67">
        <f>+F131</f>
        <v>159436</v>
      </c>
      <c r="E888" s="67">
        <f>+F309</f>
        <v>154149</v>
      </c>
      <c r="F888" s="67">
        <f>+F304</f>
        <v>9498</v>
      </c>
      <c r="G888" s="67">
        <f>+F316</f>
        <v>-6</v>
      </c>
      <c r="H888" s="67">
        <f>+F471</f>
        <v>107093</v>
      </c>
      <c r="I888" s="67">
        <f>+F519</f>
        <v>40051</v>
      </c>
      <c r="J888" s="67">
        <f>+F563</f>
        <v>29746</v>
      </c>
      <c r="K888" s="67">
        <f>+F621</f>
        <v>24990</v>
      </c>
      <c r="L888" s="67">
        <f>+F631</f>
        <v>19514</v>
      </c>
      <c r="M888" s="67">
        <f>+F667</f>
        <v>19477</v>
      </c>
      <c r="N888" s="67">
        <f>+F715</f>
        <v>18443</v>
      </c>
      <c r="O888" s="67">
        <f>+F725</f>
        <v>3982</v>
      </c>
      <c r="P888" s="67">
        <f>+F759</f>
        <v>3139</v>
      </c>
      <c r="Q888" s="67">
        <f>+F808</f>
        <v>3975</v>
      </c>
      <c r="R888" s="552"/>
      <c r="T888" s="619">
        <f>'Lake Pleasant Forecast'!B41</f>
        <v>1698.3100000000002</v>
      </c>
      <c r="AC888" s="551"/>
      <c r="AD888" s="67"/>
      <c r="AE888" s="67"/>
      <c r="AF888" s="67"/>
      <c r="AG888" s="67"/>
      <c r="AH888" s="67"/>
      <c r="AI888" s="67"/>
      <c r="AJ888" s="67"/>
      <c r="AK888" s="67"/>
      <c r="AL888" s="67"/>
      <c r="AM888" s="67" t="s">
        <v>2435</v>
      </c>
      <c r="AN888" s="67"/>
      <c r="AO888" s="67"/>
      <c r="AP888" s="67"/>
      <c r="AQ888" s="67"/>
      <c r="AR888" s="67"/>
      <c r="AS888" s="67"/>
      <c r="AT888" s="552"/>
    </row>
    <row r="889" spans="1:46" ht="15.75" customHeight="1" x14ac:dyDescent="0.3">
      <c r="A889" s="139" t="s">
        <v>2236</v>
      </c>
      <c r="B889" s="67">
        <f>+G29</f>
        <v>176014</v>
      </c>
      <c r="C889" s="67">
        <f>+G64</f>
        <v>175589</v>
      </c>
      <c r="D889" s="67">
        <f>+G131</f>
        <v>175187</v>
      </c>
      <c r="E889" s="67">
        <f>+G309</f>
        <v>168828</v>
      </c>
      <c r="F889" s="67">
        <f>+G304</f>
        <v>24625</v>
      </c>
      <c r="G889" s="67">
        <f>+G316</f>
        <v>-1492</v>
      </c>
      <c r="H889" s="67">
        <f>+G471</f>
        <v>103835</v>
      </c>
      <c r="I889" s="67">
        <f>+G519</f>
        <v>35076</v>
      </c>
      <c r="J889" s="67">
        <f>+G563</f>
        <v>29752</v>
      </c>
      <c r="K889" s="67">
        <f>+G621</f>
        <v>23912</v>
      </c>
      <c r="L889" s="67">
        <f>+G631</f>
        <v>19842</v>
      </c>
      <c r="M889" s="67">
        <f>+G667</f>
        <v>19800</v>
      </c>
      <c r="N889" s="67">
        <f>+G715</f>
        <v>17782</v>
      </c>
      <c r="O889" s="67">
        <f>+G725</f>
        <v>3112</v>
      </c>
      <c r="P889" s="67">
        <f>+G759</f>
        <v>5336</v>
      </c>
      <c r="Q889" s="67">
        <f>+G808</f>
        <v>3104</v>
      </c>
      <c r="R889" s="552"/>
      <c r="T889" s="619">
        <f>'Lake Pleasant Forecast'!B43</f>
        <v>1696.36</v>
      </c>
      <c r="AC889" s="551" t="s">
        <v>2356</v>
      </c>
      <c r="AD889" s="67">
        <f>SUM(AD876:AD887)</f>
        <v>344247</v>
      </c>
      <c r="AE889" s="67"/>
      <c r="AF889" s="67">
        <f t="shared" ref="AF889:AL889" si="225">SUM(AF876:AF887)</f>
        <v>560479.68672490923</v>
      </c>
      <c r="AG889" s="67">
        <f t="shared" si="225"/>
        <v>1517529.4540000001</v>
      </c>
      <c r="AH889" s="67">
        <f t="shared" si="225"/>
        <v>2078009.140724909</v>
      </c>
      <c r="AI889" s="67">
        <f t="shared" si="225"/>
        <v>394026</v>
      </c>
      <c r="AJ889" s="67">
        <f t="shared" si="225"/>
        <v>2472035.140724909</v>
      </c>
      <c r="AK889" s="67">
        <f t="shared" si="225"/>
        <v>39798.546311527483</v>
      </c>
      <c r="AL889" s="67">
        <f t="shared" si="225"/>
        <v>2432236.5944133815</v>
      </c>
      <c r="AM889" s="67"/>
      <c r="AN889" s="67"/>
      <c r="AO889" s="67"/>
      <c r="AP889" s="67"/>
      <c r="AQ889" s="67"/>
      <c r="AR889" s="67"/>
      <c r="AS889" s="67"/>
      <c r="AT889" s="552"/>
    </row>
    <row r="890" spans="1:46" ht="15.75" customHeight="1" x14ac:dyDescent="0.3">
      <c r="A890" s="139" t="s">
        <v>2237</v>
      </c>
      <c r="B890" s="67">
        <f>+H29</f>
        <v>82750</v>
      </c>
      <c r="C890" s="67">
        <f>+H64</f>
        <v>82333</v>
      </c>
      <c r="D890" s="67">
        <f>+H131</f>
        <v>81937</v>
      </c>
      <c r="E890" s="67">
        <f>+H309</f>
        <v>75794</v>
      </c>
      <c r="F890" s="67">
        <f>+H304</f>
        <v>0</v>
      </c>
      <c r="G890" s="67">
        <f>+H316</f>
        <v>-117578</v>
      </c>
      <c r="H890" s="67">
        <f>+H471</f>
        <v>141266</v>
      </c>
      <c r="I890" s="67">
        <f>+H519</f>
        <v>49544</v>
      </c>
      <c r="J890" s="67">
        <f>+H563</f>
        <v>30940</v>
      </c>
      <c r="K890" s="67">
        <f>+H621</f>
        <v>25020</v>
      </c>
      <c r="L890" s="67">
        <f>+H631</f>
        <v>21408</v>
      </c>
      <c r="M890" s="67">
        <f>+H667</f>
        <v>21364</v>
      </c>
      <c r="N890" s="67">
        <f>+H715</f>
        <v>20734</v>
      </c>
      <c r="O890" s="67">
        <f>+H725</f>
        <v>4779</v>
      </c>
      <c r="P890" s="67">
        <f>+H759</f>
        <v>6668</v>
      </c>
      <c r="Q890" s="67">
        <f>+H808</f>
        <v>4770</v>
      </c>
      <c r="R890" s="552"/>
      <c r="T890" s="619">
        <f>'Lake Pleasant Forecast'!B45</f>
        <v>1685.88</v>
      </c>
      <c r="AC890" s="551"/>
      <c r="AD890" s="67"/>
      <c r="AE890" s="67"/>
      <c r="AF890" s="67"/>
      <c r="AG890" s="67"/>
      <c r="AH890" s="67"/>
      <c r="AI890" s="67"/>
      <c r="AJ890" s="67"/>
      <c r="AK890" s="67"/>
      <c r="AL890" s="67"/>
      <c r="AM890" s="67"/>
      <c r="AN890" s="67"/>
      <c r="AO890" s="67"/>
      <c r="AP890" s="67"/>
      <c r="AQ890" s="67"/>
      <c r="AR890" s="67"/>
      <c r="AS890" s="67"/>
      <c r="AT890" s="552"/>
    </row>
    <row r="891" spans="1:46" ht="15.75" customHeight="1" x14ac:dyDescent="0.3">
      <c r="A891" s="139" t="s">
        <v>1504</v>
      </c>
      <c r="B891" s="67">
        <f>+J29</f>
        <v>75396</v>
      </c>
      <c r="C891" s="67">
        <f>+J64</f>
        <v>74980</v>
      </c>
      <c r="D891" s="67">
        <f>+J131</f>
        <v>74586</v>
      </c>
      <c r="E891" s="67">
        <f>+J309</f>
        <v>68658</v>
      </c>
      <c r="F891" s="67">
        <f>+J304</f>
        <v>0</v>
      </c>
      <c r="G891" s="67">
        <f>+J316</f>
        <v>-100321</v>
      </c>
      <c r="H891" s="67">
        <f>+J471</f>
        <v>112905</v>
      </c>
      <c r="I891" s="67">
        <f>+J519</f>
        <v>52133</v>
      </c>
      <c r="J891" s="67">
        <f>+J563</f>
        <v>31883</v>
      </c>
      <c r="K891" s="67">
        <f>+J621</f>
        <v>24758</v>
      </c>
      <c r="L891" s="67">
        <f>+J631</f>
        <v>21717</v>
      </c>
      <c r="M891" s="67">
        <f>+J667</f>
        <v>21678</v>
      </c>
      <c r="N891" s="67">
        <f>+J715</f>
        <v>20158</v>
      </c>
      <c r="O891" s="67">
        <f>+J725</f>
        <v>4006</v>
      </c>
      <c r="P891" s="67">
        <f>+J759</f>
        <v>5553</v>
      </c>
      <c r="Q891" s="67">
        <f>+J808</f>
        <v>3999</v>
      </c>
      <c r="R891" s="552"/>
      <c r="T891" s="619">
        <f>'Lake Pleasant Forecast'!B47</f>
        <v>1671.42</v>
      </c>
      <c r="AC891" s="551" t="s">
        <v>1696</v>
      </c>
      <c r="AD891" s="67"/>
      <c r="AE891" s="67"/>
      <c r="AF891" s="67"/>
      <c r="AG891" s="67"/>
      <c r="AH891" s="67"/>
      <c r="AI891" s="67"/>
      <c r="AJ891" s="67"/>
      <c r="AK891" s="67"/>
      <c r="AL891" s="67"/>
      <c r="AM891" s="67"/>
      <c r="AN891" s="67"/>
      <c r="AO891" s="67"/>
      <c r="AP891" s="67"/>
      <c r="AQ891" s="67"/>
      <c r="AR891" s="67"/>
      <c r="AS891" s="67"/>
      <c r="AT891" s="552"/>
    </row>
    <row r="892" spans="1:46" ht="15.75" customHeight="1" x14ac:dyDescent="0.3">
      <c r="A892" s="139" t="s">
        <v>1505</v>
      </c>
      <c r="B892" s="67">
        <f>+K29</f>
        <v>72195</v>
      </c>
      <c r="C892" s="67">
        <f>+K64</f>
        <v>71861</v>
      </c>
      <c r="D892" s="67">
        <f>+K131</f>
        <v>71543</v>
      </c>
      <c r="E892" s="67">
        <f>+K309</f>
        <v>65923</v>
      </c>
      <c r="F892" s="67">
        <f>+K304</f>
        <v>0</v>
      </c>
      <c r="G892" s="67">
        <f>+K316</f>
        <v>-94421</v>
      </c>
      <c r="H892" s="67">
        <f>+K471</f>
        <v>111677</v>
      </c>
      <c r="I892" s="67">
        <f>+K519</f>
        <v>46987</v>
      </c>
      <c r="J892" s="67">
        <f>+K563</f>
        <v>32582</v>
      </c>
      <c r="K892" s="67">
        <f>+K621</f>
        <v>26058</v>
      </c>
      <c r="L892" s="67">
        <f>+K631</f>
        <v>21681</v>
      </c>
      <c r="M892" s="67">
        <f>+K667</f>
        <v>21645</v>
      </c>
      <c r="N892" s="67">
        <f>+K715</f>
        <v>20778</v>
      </c>
      <c r="O892" s="67">
        <f>+K725</f>
        <v>3743</v>
      </c>
      <c r="P892" s="67">
        <f>+K759</f>
        <v>5238</v>
      </c>
      <c r="Q892" s="67">
        <f>+K808</f>
        <v>3737</v>
      </c>
      <c r="R892" s="552"/>
      <c r="T892" s="619">
        <f>'Lake Pleasant Forecast'!B49</f>
        <v>1654.0999551114837</v>
      </c>
      <c r="AC892" s="551" t="s">
        <v>785</v>
      </c>
      <c r="AD892" s="67"/>
      <c r="AE892" s="67"/>
      <c r="AF892" s="67"/>
      <c r="AG892" s="67"/>
      <c r="AH892" s="67"/>
      <c r="AI892" s="67"/>
      <c r="AJ892" s="67"/>
      <c r="AK892" s="67"/>
      <c r="AL892" s="67"/>
      <c r="AM892" s="67"/>
      <c r="AN892" s="67"/>
      <c r="AO892" s="67"/>
      <c r="AP892" s="67"/>
      <c r="AQ892" s="67"/>
      <c r="AR892" s="67"/>
      <c r="AS892" s="67"/>
      <c r="AT892" s="552"/>
    </row>
    <row r="893" spans="1:46" ht="15.75" customHeight="1" x14ac:dyDescent="0.3">
      <c r="A893" s="139" t="s">
        <v>1506</v>
      </c>
      <c r="B893" s="67">
        <f>+L29</f>
        <v>132719</v>
      </c>
      <c r="C893" s="67">
        <f>+L64</f>
        <v>132403</v>
      </c>
      <c r="D893" s="67">
        <f>+L131</f>
        <v>132102</v>
      </c>
      <c r="E893" s="67">
        <f>+L309</f>
        <v>127463</v>
      </c>
      <c r="F893" s="67">
        <f>+L304</f>
        <v>9609</v>
      </c>
      <c r="G893" s="67">
        <f>+L316</f>
        <v>-13817</v>
      </c>
      <c r="H893" s="67">
        <f>+L471</f>
        <v>86648</v>
      </c>
      <c r="I893" s="67">
        <f>+L519</f>
        <v>33813</v>
      </c>
      <c r="J893" s="67">
        <f>+L563</f>
        <v>27446</v>
      </c>
      <c r="K893" s="67">
        <f>+L621</f>
        <v>23575</v>
      </c>
      <c r="L893" s="67">
        <f>+L631</f>
        <v>19093</v>
      </c>
      <c r="M893" s="67">
        <f>+L667</f>
        <v>19059</v>
      </c>
      <c r="N893" s="67">
        <f>+L715</f>
        <v>17825</v>
      </c>
      <c r="O893" s="67">
        <f>+L725</f>
        <v>3535</v>
      </c>
      <c r="P893" s="67">
        <f>+L759</f>
        <v>5027</v>
      </c>
      <c r="Q893" s="67">
        <f>+L808</f>
        <v>3482</v>
      </c>
      <c r="R893" s="552"/>
      <c r="T893" s="619">
        <f>'Lake Pleasant Forecast'!B51</f>
        <v>1657.9899941811159</v>
      </c>
      <c r="AC893" s="551"/>
      <c r="AD893" s="67"/>
      <c r="AE893" s="67"/>
      <c r="AF893" s="67"/>
      <c r="AG893" s="67"/>
      <c r="AH893" s="67"/>
      <c r="AI893" s="67"/>
      <c r="AJ893" s="67"/>
      <c r="AK893" s="67"/>
      <c r="AL893" s="67"/>
      <c r="AM893" s="67"/>
      <c r="AN893" s="67"/>
      <c r="AO893" s="67"/>
      <c r="AP893" s="67"/>
      <c r="AQ893" s="67"/>
      <c r="AR893" s="67"/>
      <c r="AS893" s="67"/>
      <c r="AT893" s="552"/>
    </row>
    <row r="894" spans="1:46" ht="15.75" customHeight="1" x14ac:dyDescent="0.3">
      <c r="A894" s="139" t="s">
        <v>1507</v>
      </c>
      <c r="B894" s="67">
        <f>+N29</f>
        <v>129581</v>
      </c>
      <c r="C894" s="67">
        <f>+N64</f>
        <v>129296</v>
      </c>
      <c r="D894" s="67">
        <f>+N131</f>
        <v>129024</v>
      </c>
      <c r="E894" s="67">
        <f>+N309</f>
        <v>125637</v>
      </c>
      <c r="F894" s="67">
        <f>+N304</f>
        <v>44152</v>
      </c>
      <c r="G894" s="67">
        <f>+N316</f>
        <v>0</v>
      </c>
      <c r="H894" s="67">
        <f>+N471</f>
        <v>44582</v>
      </c>
      <c r="I894" s="67">
        <f>+N519</f>
        <v>12743</v>
      </c>
      <c r="J894" s="67">
        <f>+N563</f>
        <v>10868</v>
      </c>
      <c r="K894" s="67">
        <f>+N621</f>
        <v>9720</v>
      </c>
      <c r="L894" s="67">
        <f>+N631</f>
        <v>7078</v>
      </c>
      <c r="M894" s="67">
        <f>+N667</f>
        <v>7049</v>
      </c>
      <c r="N894" s="67">
        <f>+N715</f>
        <v>6139</v>
      </c>
      <c r="O894" s="67">
        <f>+N725</f>
        <v>3374</v>
      </c>
      <c r="P894" s="67">
        <f>+N759</f>
        <v>4749</v>
      </c>
      <c r="Q894" s="67">
        <f>+N808</f>
        <v>3369</v>
      </c>
      <c r="R894" s="552"/>
      <c r="T894" s="619">
        <f>'Lake Pleasant Forecast'!B53</f>
        <v>1665.72</v>
      </c>
      <c r="AC894" s="551" t="s">
        <v>440</v>
      </c>
      <c r="AD894" s="67"/>
      <c r="AE894" s="67"/>
      <c r="AF894" s="67"/>
      <c r="AG894" s="67"/>
      <c r="AH894" s="67"/>
      <c r="AI894" s="67"/>
      <c r="AJ894" s="67"/>
      <c r="AK894" s="67"/>
      <c r="AL894" s="67"/>
      <c r="AM894" s="67"/>
      <c r="AN894" s="67"/>
      <c r="AO894" s="67"/>
      <c r="AP894" s="67"/>
      <c r="AQ894" s="67"/>
      <c r="AR894" s="67"/>
      <c r="AS894" s="67"/>
      <c r="AT894" s="552"/>
    </row>
    <row r="895" spans="1:46" ht="15.75" customHeight="1" x14ac:dyDescent="0.3">
      <c r="A895" s="139" t="s">
        <v>1508</v>
      </c>
      <c r="B895" s="67">
        <f>+O29</f>
        <v>126981</v>
      </c>
      <c r="C895" s="67">
        <f>+O64</f>
        <v>126746</v>
      </c>
      <c r="D895" s="67">
        <f>+O131</f>
        <v>126520</v>
      </c>
      <c r="E895" s="67">
        <f>+O309</f>
        <v>124524</v>
      </c>
      <c r="F895" s="67">
        <f>+O304</f>
        <v>65541</v>
      </c>
      <c r="G895" s="67">
        <f>+O316</f>
        <v>0</v>
      </c>
      <c r="H895" s="67">
        <f>+O471</f>
        <v>25365</v>
      </c>
      <c r="I895" s="67">
        <f>+O519</f>
        <v>4013</v>
      </c>
      <c r="J895" s="67">
        <f>+O563</f>
        <v>3559</v>
      </c>
      <c r="K895" s="67">
        <f>+O621</f>
        <v>3080</v>
      </c>
      <c r="L895" s="67">
        <f>+O631</f>
        <v>1394</v>
      </c>
      <c r="M895" s="67">
        <f>+O667</f>
        <v>1371</v>
      </c>
      <c r="N895" s="67">
        <f>+O715</f>
        <v>1261</v>
      </c>
      <c r="O895" s="67">
        <f>+O725</f>
        <v>1043</v>
      </c>
      <c r="P895" s="67">
        <f>+O759</f>
        <v>2363</v>
      </c>
      <c r="Q895" s="67">
        <f>+O808</f>
        <v>1040</v>
      </c>
      <c r="R895" s="552"/>
      <c r="T895" s="619">
        <f>'Lake Pleasant Forecast'!B55</f>
        <v>1673.02</v>
      </c>
      <c r="AC895" s="551"/>
      <c r="AD895" s="67"/>
      <c r="AE895" s="67"/>
      <c r="AF895" s="67"/>
      <c r="AG895" s="67"/>
      <c r="AH895" s="67"/>
      <c r="AI895" s="67"/>
      <c r="AJ895" s="67"/>
      <c r="AK895" s="67"/>
      <c r="AL895" s="67"/>
      <c r="AM895" s="67"/>
      <c r="AN895" s="67"/>
      <c r="AO895" s="67"/>
      <c r="AP895" s="67"/>
      <c r="AQ895" s="67"/>
      <c r="AR895" s="67"/>
      <c r="AS895" s="67"/>
      <c r="AT895" s="552"/>
    </row>
    <row r="896" spans="1:46" ht="15.75" customHeight="1" thickBot="1" x14ac:dyDescent="0.35">
      <c r="A896" s="139" t="s">
        <v>1509</v>
      </c>
      <c r="B896" s="67">
        <f>+P29</f>
        <v>141369</v>
      </c>
      <c r="C896" s="67">
        <f>+P64</f>
        <v>141183</v>
      </c>
      <c r="D896" s="67">
        <f>+P131</f>
        <v>141004</v>
      </c>
      <c r="E896" s="67">
        <f>+P309</f>
        <v>138250</v>
      </c>
      <c r="F896" s="67">
        <f>+P304</f>
        <v>70977</v>
      </c>
      <c r="G896" s="67">
        <f>+P316</f>
        <v>-76</v>
      </c>
      <c r="H896" s="67">
        <f>+P471</f>
        <v>38540</v>
      </c>
      <c r="I896" s="67">
        <f>+P519</f>
        <v>12683</v>
      </c>
      <c r="J896" s="67">
        <f>+P563</f>
        <v>11483</v>
      </c>
      <c r="K896" s="67">
        <f>+P621</f>
        <v>11306</v>
      </c>
      <c r="L896" s="67">
        <f>+P631</f>
        <v>7134</v>
      </c>
      <c r="M896" s="67">
        <f>+P667</f>
        <v>7115</v>
      </c>
      <c r="N896" s="67">
        <f>+P715</f>
        <v>7106</v>
      </c>
      <c r="O896" s="67">
        <f>+P725</f>
        <v>2919</v>
      </c>
      <c r="P896" s="67">
        <f>+P759</f>
        <v>3355</v>
      </c>
      <c r="Q896" s="67">
        <f>+P808</f>
        <v>2917</v>
      </c>
      <c r="R896" s="552"/>
      <c r="T896" s="619">
        <f>'Lake Pleasant Forecast'!B57</f>
        <v>1679.9390201045346</v>
      </c>
      <c r="AC896" s="554" t="s">
        <v>1480</v>
      </c>
      <c r="AD896" s="555"/>
      <c r="AE896" s="555"/>
      <c r="AF896" s="555"/>
      <c r="AG896" s="555"/>
      <c r="AH896" s="555"/>
      <c r="AI896" s="555"/>
      <c r="AJ896" s="555"/>
      <c r="AK896" s="555"/>
      <c r="AL896" s="555"/>
      <c r="AM896" s="555"/>
      <c r="AN896" s="555"/>
      <c r="AO896" s="555"/>
      <c r="AP896" s="555"/>
      <c r="AQ896" s="555"/>
      <c r="AR896" s="555"/>
      <c r="AS896" s="555"/>
      <c r="AT896" s="556"/>
    </row>
    <row r="897" spans="1:50" ht="15.75" customHeight="1" x14ac:dyDescent="0.3">
      <c r="A897" s="553"/>
      <c r="B897" s="67"/>
      <c r="C897" s="67"/>
      <c r="D897" s="67"/>
      <c r="E897" s="67"/>
      <c r="F897" s="67"/>
      <c r="G897" s="67"/>
      <c r="H897" s="67"/>
      <c r="I897" s="67"/>
      <c r="J897" s="67"/>
      <c r="K897" s="67"/>
      <c r="L897" s="67"/>
      <c r="M897" s="67"/>
      <c r="N897" s="67"/>
      <c r="O897" s="67"/>
      <c r="P897" s="67"/>
      <c r="Q897" s="67"/>
      <c r="R897" s="552"/>
    </row>
    <row r="898" spans="1:50" ht="15.75" customHeight="1" thickBot="1" x14ac:dyDescent="0.35">
      <c r="A898" s="553" t="s">
        <v>2356</v>
      </c>
      <c r="B898" s="67">
        <f t="shared" ref="B898:Q898" si="226">SUM(B885:B896)</f>
        <v>1417550</v>
      </c>
      <c r="C898" s="67">
        <f t="shared" si="226"/>
        <v>1414050</v>
      </c>
      <c r="D898" s="67">
        <f t="shared" si="226"/>
        <v>1410710</v>
      </c>
      <c r="E898" s="67">
        <f t="shared" si="226"/>
        <v>1364134</v>
      </c>
      <c r="F898" s="67">
        <f t="shared" si="226"/>
        <v>344247</v>
      </c>
      <c r="G898" s="67">
        <f t="shared" si="226"/>
        <v>-339431</v>
      </c>
      <c r="H898" s="67">
        <f t="shared" si="226"/>
        <v>917532</v>
      </c>
      <c r="I898" s="67">
        <f t="shared" si="226"/>
        <v>349152</v>
      </c>
      <c r="J898" s="67">
        <f t="shared" si="226"/>
        <v>264007</v>
      </c>
      <c r="K898" s="67">
        <f t="shared" si="226"/>
        <v>225317</v>
      </c>
      <c r="L898" s="67">
        <f t="shared" si="226"/>
        <v>184863</v>
      </c>
      <c r="M898" s="67">
        <f t="shared" si="226"/>
        <v>184490</v>
      </c>
      <c r="N898" s="67">
        <f t="shared" si="226"/>
        <v>174423</v>
      </c>
      <c r="O898" s="67">
        <f t="shared" si="226"/>
        <v>40323</v>
      </c>
      <c r="P898" s="67">
        <f t="shared" si="226"/>
        <v>43974</v>
      </c>
      <c r="Q898" s="67">
        <f t="shared" si="226"/>
        <v>40213</v>
      </c>
      <c r="R898" s="552"/>
    </row>
    <row r="899" spans="1:50" ht="15.75" customHeight="1" thickBot="1" x14ac:dyDescent="0.35">
      <c r="A899" s="581"/>
      <c r="B899" s="581"/>
      <c r="C899" s="581"/>
      <c r="D899" s="581"/>
      <c r="E899" s="581"/>
      <c r="F899" s="581"/>
      <c r="G899" s="581"/>
      <c r="H899" s="581"/>
      <c r="I899" s="581"/>
      <c r="J899" s="581"/>
      <c r="K899" s="581"/>
      <c r="L899" s="581"/>
      <c r="M899" s="581"/>
      <c r="N899" s="581"/>
      <c r="O899" s="581"/>
      <c r="P899" s="581"/>
      <c r="Q899" s="581"/>
      <c r="R899" s="556"/>
      <c r="AC899" s="546"/>
      <c r="AD899" s="547"/>
      <c r="AE899" s="547"/>
      <c r="AF899" s="547"/>
      <c r="AG899" s="547"/>
      <c r="AH899" s="547"/>
      <c r="AI899" s="547"/>
      <c r="AJ899" s="547"/>
      <c r="AK899" s="547"/>
      <c r="AL899" s="547"/>
      <c r="AM899" s="547"/>
      <c r="AN899" s="547"/>
      <c r="AO899" s="547"/>
      <c r="AP899" s="547"/>
      <c r="AQ899" s="547"/>
      <c r="AR899" s="547"/>
      <c r="AS899" s="678" t="str">
        <f>+Q1</f>
        <v xml:space="preserve">PRINTED:  </v>
      </c>
      <c r="AT899" s="682">
        <f ca="1">+R1</f>
        <v>44881.729634027775</v>
      </c>
      <c r="AU899" s="560"/>
      <c r="AW899" s="71" t="s">
        <v>253</v>
      </c>
      <c r="AX899" s="67"/>
    </row>
    <row r="900" spans="1:50" ht="15.75" customHeight="1" x14ac:dyDescent="0.35">
      <c r="A900" s="683"/>
      <c r="B900" s="683"/>
      <c r="C900" s="683"/>
      <c r="D900" s="683"/>
      <c r="E900" s="683"/>
      <c r="F900" s="683"/>
      <c r="G900" s="683"/>
      <c r="H900" s="683"/>
      <c r="I900" s="683"/>
      <c r="J900" s="683"/>
      <c r="K900" s="683"/>
      <c r="L900" s="683"/>
      <c r="M900" s="683"/>
      <c r="N900" s="683"/>
      <c r="O900" s="683"/>
      <c r="P900" s="683"/>
      <c r="Q900" s="683"/>
      <c r="R900" s="547"/>
      <c r="AC900" s="551"/>
      <c r="AD900" s="67"/>
      <c r="AE900" s="71" t="s">
        <v>2125</v>
      </c>
      <c r="AF900" s="67"/>
      <c r="AG900" s="67"/>
      <c r="AH900" s="67"/>
      <c r="AI900" s="67"/>
      <c r="AJ900" s="67"/>
      <c r="AK900" s="67"/>
      <c r="AL900" s="67"/>
      <c r="AM900" s="67"/>
      <c r="AN900" s="215"/>
      <c r="AO900" s="71" t="s">
        <v>1456</v>
      </c>
      <c r="AP900" s="67"/>
      <c r="AQ900" s="67"/>
      <c r="AR900" s="67"/>
      <c r="AS900" s="67"/>
      <c r="AT900" s="67"/>
      <c r="AU900" s="561"/>
      <c r="AW900" s="67" t="s">
        <v>254</v>
      </c>
      <c r="AX900" s="67"/>
    </row>
    <row r="901" spans="1:50" ht="16.5" customHeight="1" x14ac:dyDescent="0.3">
      <c r="A901" s="553" t="s">
        <v>852</v>
      </c>
      <c r="B901" s="67"/>
      <c r="C901" s="67"/>
      <c r="D901" s="67"/>
      <c r="E901" s="67"/>
      <c r="F901" s="67"/>
      <c r="G901" s="67"/>
      <c r="H901" s="67"/>
      <c r="I901" s="67"/>
      <c r="J901" s="67"/>
      <c r="K901" s="67"/>
      <c r="L901" s="67"/>
      <c r="M901" s="67"/>
      <c r="N901" s="67"/>
      <c r="O901" s="67"/>
      <c r="P901" s="67"/>
      <c r="Q901" s="67"/>
      <c r="R901" s="67"/>
      <c r="AC901" s="551"/>
      <c r="AD901" s="67"/>
      <c r="AE901" s="67"/>
      <c r="AF901" s="67"/>
      <c r="AG901" s="67" t="s">
        <v>852</v>
      </c>
      <c r="AH901" s="69" t="str">
        <f>+A8</f>
        <v>Revised:  1/18/2018</v>
      </c>
      <c r="AI901" s="67"/>
      <c r="AJ901" s="67"/>
      <c r="AK901" s="67"/>
      <c r="AL901" s="67"/>
      <c r="AM901" s="67"/>
      <c r="AN901" s="67"/>
      <c r="AO901" s="67"/>
      <c r="AP901" s="67"/>
      <c r="AQ901" s="67"/>
      <c r="AR901" s="67" t="s">
        <v>852</v>
      </c>
      <c r="AS901" s="69" t="str">
        <f>+A8</f>
        <v>Revised:  1/18/2018</v>
      </c>
      <c r="AT901" s="67"/>
      <c r="AU901" s="561"/>
      <c r="AW901" s="67"/>
      <c r="AX901" s="67"/>
    </row>
    <row r="902" spans="1:50" ht="15.75" customHeight="1" x14ac:dyDescent="0.3">
      <c r="A902" s="70"/>
      <c r="B902" s="67"/>
      <c r="C902" s="67"/>
      <c r="D902" s="67"/>
      <c r="E902" s="67"/>
      <c r="F902" s="67"/>
      <c r="G902" s="67"/>
      <c r="H902" s="67"/>
      <c r="I902" s="67"/>
      <c r="J902" s="67"/>
      <c r="K902" s="67"/>
      <c r="L902" s="67"/>
      <c r="M902" s="67"/>
      <c r="N902" s="67"/>
      <c r="O902" s="67"/>
      <c r="P902" s="67"/>
      <c r="Q902" s="67"/>
      <c r="R902" s="67"/>
      <c r="AC902" s="551"/>
      <c r="AD902" s="67"/>
      <c r="AE902" s="67"/>
      <c r="AF902" s="67" t="s">
        <v>2545</v>
      </c>
      <c r="AG902" s="67"/>
      <c r="AH902" s="67"/>
      <c r="AI902" s="67"/>
      <c r="AJ902" s="67"/>
      <c r="AK902" s="67"/>
      <c r="AL902" s="67"/>
      <c r="AM902" s="67"/>
      <c r="AN902" s="67"/>
      <c r="AO902" s="67"/>
      <c r="AP902" s="67" t="s">
        <v>2545</v>
      </c>
      <c r="AQ902" s="67"/>
      <c r="AR902" s="67"/>
      <c r="AS902" s="67"/>
      <c r="AT902" s="67"/>
      <c r="AU902" s="561"/>
      <c r="AW902" s="67" t="s">
        <v>2435</v>
      </c>
      <c r="AX902" s="70" t="s">
        <v>335</v>
      </c>
    </row>
    <row r="903" spans="1:50" ht="15.75" customHeight="1" x14ac:dyDescent="0.3">
      <c r="A903" s="139"/>
      <c r="AC903" s="551"/>
      <c r="AD903" s="67"/>
      <c r="AE903" s="67"/>
      <c r="AF903" s="67"/>
      <c r="AG903" s="67"/>
      <c r="AH903" s="67"/>
      <c r="AI903" s="67"/>
      <c r="AJ903" s="67"/>
      <c r="AK903" s="67"/>
      <c r="AL903" s="67"/>
      <c r="AM903" s="67"/>
      <c r="AN903" s="67"/>
      <c r="AO903" s="67"/>
      <c r="AP903" s="67"/>
      <c r="AQ903" s="67"/>
      <c r="AR903" s="67"/>
      <c r="AS903" s="67"/>
      <c r="AT903" s="67"/>
      <c r="AU903" s="561"/>
      <c r="AW903" s="70" t="s">
        <v>335</v>
      </c>
      <c r="AX903" s="70" t="s">
        <v>956</v>
      </c>
    </row>
    <row r="904" spans="1:50" ht="15.75" customHeight="1" thickBot="1" x14ac:dyDescent="0.35">
      <c r="A904" s="139"/>
      <c r="AC904" s="551"/>
      <c r="AD904" s="67"/>
      <c r="AE904" s="67"/>
      <c r="AF904" s="67"/>
      <c r="AG904" s="67">
        <f>+A5</f>
        <v>2017</v>
      </c>
      <c r="AH904" s="67"/>
      <c r="AI904" s="67"/>
      <c r="AJ904" s="67"/>
      <c r="AK904" s="67"/>
      <c r="AL904" s="67"/>
      <c r="AM904" s="67"/>
      <c r="AN904" s="67"/>
      <c r="AO904" s="67"/>
      <c r="AP904" s="67"/>
      <c r="AQ904" s="67"/>
      <c r="AR904" s="67">
        <f>+A5</f>
        <v>2017</v>
      </c>
      <c r="AS904" s="67"/>
      <c r="AT904" s="67"/>
      <c r="AU904" s="561"/>
      <c r="AW904" s="70" t="s">
        <v>998</v>
      </c>
      <c r="AX904" s="70" t="s">
        <v>2201</v>
      </c>
    </row>
    <row r="905" spans="1:50" ht="15.75" customHeight="1" x14ac:dyDescent="0.3">
      <c r="A905" s="651"/>
      <c r="B905" s="782" t="s">
        <v>1898</v>
      </c>
      <c r="C905" s="782"/>
      <c r="D905" s="782"/>
      <c r="E905" s="782"/>
      <c r="F905" s="782"/>
      <c r="G905" s="782"/>
      <c r="H905" s="782"/>
      <c r="I905" s="782"/>
      <c r="J905" s="782"/>
      <c r="K905" s="782"/>
      <c r="L905" s="782"/>
      <c r="M905" s="782"/>
      <c r="N905" s="782"/>
      <c r="O905" s="782"/>
      <c r="P905" s="782"/>
      <c r="Q905" s="678" t="str">
        <f>+Q1</f>
        <v xml:space="preserve">PRINTED:  </v>
      </c>
      <c r="R905" s="679">
        <f ca="1">+R1</f>
        <v>44881.729634027775</v>
      </c>
      <c r="AC905" s="551"/>
      <c r="AD905" s="67"/>
      <c r="AE905" s="67"/>
      <c r="AF905" s="67"/>
      <c r="AG905" s="67" t="s">
        <v>1199</v>
      </c>
      <c r="AH905" s="67"/>
      <c r="AI905" s="67"/>
      <c r="AJ905" s="67"/>
      <c r="AK905" s="67"/>
      <c r="AL905" s="67"/>
      <c r="AM905" s="67"/>
      <c r="AN905" s="67"/>
      <c r="AO905" s="67"/>
      <c r="AP905" s="67"/>
      <c r="AQ905" s="67"/>
      <c r="AR905" s="67" t="s">
        <v>1199</v>
      </c>
      <c r="AS905" s="67"/>
      <c r="AT905" s="67"/>
      <c r="AU905" s="561"/>
      <c r="AW905" s="70" t="s">
        <v>1353</v>
      </c>
      <c r="AX905" s="70" t="s">
        <v>1353</v>
      </c>
    </row>
    <row r="906" spans="1:50" ht="15.75" customHeight="1" x14ac:dyDescent="0.3">
      <c r="A906" s="553"/>
      <c r="B906" s="786" t="str">
        <f>+A8</f>
        <v>Revised:  1/18/2018</v>
      </c>
      <c r="C906" s="786"/>
      <c r="D906" s="786"/>
      <c r="E906" s="786"/>
      <c r="F906" s="786"/>
      <c r="G906" s="786"/>
      <c r="H906" s="786"/>
      <c r="I906" s="786"/>
      <c r="J906" s="786"/>
      <c r="K906" s="786"/>
      <c r="L906" s="786"/>
      <c r="M906" s="786"/>
      <c r="N906" s="786"/>
      <c r="O906" s="786"/>
      <c r="P906" s="786"/>
      <c r="Q906" s="67"/>
      <c r="R906" s="552"/>
      <c r="AC906" s="551"/>
      <c r="AD906" s="67"/>
      <c r="AE906" s="67"/>
      <c r="AF906" s="67"/>
      <c r="AG906" s="67"/>
      <c r="AH906" s="67"/>
      <c r="AI906" s="67"/>
      <c r="AJ906" s="67"/>
      <c r="AK906" s="67"/>
      <c r="AL906" s="67"/>
      <c r="AM906" s="67"/>
      <c r="AN906" s="67"/>
      <c r="AO906" s="67"/>
      <c r="AP906" s="67"/>
      <c r="AQ906" s="67"/>
      <c r="AR906" s="67"/>
      <c r="AS906" s="67"/>
      <c r="AT906" s="67"/>
      <c r="AU906" s="561"/>
      <c r="AW906" s="67">
        <f t="shared" ref="AW906:AW917" si="227">SUM(L942:Q942)</f>
        <v>8977</v>
      </c>
      <c r="AX906" s="72">
        <v>2.4700000000000002</v>
      </c>
    </row>
    <row r="907" spans="1:50" ht="15.75" customHeight="1" x14ac:dyDescent="0.3">
      <c r="A907" s="553"/>
      <c r="B907" s="786" t="s">
        <v>2878</v>
      </c>
      <c r="C907" s="786"/>
      <c r="D907" s="786"/>
      <c r="E907" s="786"/>
      <c r="F907" s="786"/>
      <c r="G907" s="786"/>
      <c r="H907" s="786"/>
      <c r="I907" s="786"/>
      <c r="J907" s="786"/>
      <c r="K907" s="786"/>
      <c r="L907" s="786"/>
      <c r="M907" s="786"/>
      <c r="N907" s="786"/>
      <c r="O907" s="786"/>
      <c r="P907" s="786"/>
      <c r="Q907" s="67"/>
      <c r="R907" s="552"/>
      <c r="AC907" s="551" t="s">
        <v>1307</v>
      </c>
      <c r="AD907" s="70" t="s">
        <v>1308</v>
      </c>
      <c r="AE907" s="70" t="s">
        <v>1309</v>
      </c>
      <c r="AF907" s="70" t="s">
        <v>1029</v>
      </c>
      <c r="AG907" s="70" t="s">
        <v>1030</v>
      </c>
      <c r="AH907" s="70" t="s">
        <v>284</v>
      </c>
      <c r="AI907" s="67"/>
      <c r="AJ907" s="70" t="s">
        <v>2356</v>
      </c>
      <c r="AK907" s="67"/>
      <c r="AL907" s="67"/>
      <c r="AM907" s="67"/>
      <c r="AN907" s="67" t="s">
        <v>1307</v>
      </c>
      <c r="AO907" s="70" t="s">
        <v>1308</v>
      </c>
      <c r="AP907" s="70" t="s">
        <v>1309</v>
      </c>
      <c r="AQ907" s="70" t="s">
        <v>1029</v>
      </c>
      <c r="AR907" s="70" t="s">
        <v>1030</v>
      </c>
      <c r="AS907" s="70" t="s">
        <v>284</v>
      </c>
      <c r="AT907" s="70" t="s">
        <v>2356</v>
      </c>
      <c r="AU907" s="561"/>
      <c r="AW907" s="67">
        <f t="shared" si="227"/>
        <v>6913</v>
      </c>
      <c r="AX907" s="72">
        <v>2.4700000000000002</v>
      </c>
    </row>
    <row r="908" spans="1:50" ht="15.75" customHeight="1" x14ac:dyDescent="0.3">
      <c r="A908" s="553"/>
      <c r="B908" s="786"/>
      <c r="C908" s="786"/>
      <c r="D908" s="786"/>
      <c r="E908" s="786"/>
      <c r="F908" s="786"/>
      <c r="G908" s="786"/>
      <c r="H908" s="786"/>
      <c r="I908" s="786"/>
      <c r="J908" s="786"/>
      <c r="K908" s="786"/>
      <c r="L908" s="786"/>
      <c r="M908" s="786"/>
      <c r="N908" s="786"/>
      <c r="O908" s="786"/>
      <c r="P908" s="786"/>
      <c r="Q908" s="67"/>
      <c r="R908" s="552"/>
      <c r="AC908" s="551" t="s">
        <v>526</v>
      </c>
      <c r="AD908" s="67"/>
      <c r="AE908" s="67"/>
      <c r="AF908" s="67"/>
      <c r="AG908" s="67"/>
      <c r="AH908" s="70" t="s">
        <v>1193</v>
      </c>
      <c r="AI908" s="67"/>
      <c r="AJ908" s="70" t="s">
        <v>252</v>
      </c>
      <c r="AK908" s="67"/>
      <c r="AL908" s="67"/>
      <c r="AM908" s="67"/>
      <c r="AN908" s="67" t="s">
        <v>526</v>
      </c>
      <c r="AO908" s="67"/>
      <c r="AP908" s="67"/>
      <c r="AQ908" s="67"/>
      <c r="AR908" s="67"/>
      <c r="AS908" s="70" t="s">
        <v>1193</v>
      </c>
      <c r="AT908" s="70" t="s">
        <v>252</v>
      </c>
      <c r="AU908" s="561"/>
      <c r="AW908" s="67">
        <f t="shared" si="227"/>
        <v>12332</v>
      </c>
      <c r="AX908" s="72">
        <v>2.4700000000000002</v>
      </c>
    </row>
    <row r="909" spans="1:50" ht="15.75" customHeight="1" x14ac:dyDescent="0.3">
      <c r="A909" s="553"/>
      <c r="B909" s="787">
        <f>+A5</f>
        <v>2017</v>
      </c>
      <c r="C909" s="787"/>
      <c r="D909" s="787"/>
      <c r="E909" s="787"/>
      <c r="F909" s="787"/>
      <c r="G909" s="787"/>
      <c r="H909" s="787"/>
      <c r="I909" s="787"/>
      <c r="J909" s="787"/>
      <c r="K909" s="787"/>
      <c r="L909" s="787"/>
      <c r="M909" s="787"/>
      <c r="N909" s="787"/>
      <c r="O909" s="787"/>
      <c r="P909" s="787"/>
      <c r="Q909" s="67"/>
      <c r="R909" s="552"/>
      <c r="AC909" s="551" t="s">
        <v>1195</v>
      </c>
      <c r="AD909" s="67">
        <f>+$B$940</f>
        <v>957</v>
      </c>
      <c r="AE909" s="67">
        <f>+C$940</f>
        <v>122</v>
      </c>
      <c r="AF909" s="67">
        <f>+D$940</f>
        <v>128</v>
      </c>
      <c r="AG909" s="67">
        <f>+E$940</f>
        <v>219</v>
      </c>
      <c r="AH909" s="67"/>
      <c r="AI909" s="67"/>
      <c r="AJ909" s="70" t="s">
        <v>335</v>
      </c>
      <c r="AK909" s="67"/>
      <c r="AL909" s="67"/>
      <c r="AM909" s="67"/>
      <c r="AN909" s="67" t="s">
        <v>1195</v>
      </c>
      <c r="AO909" s="67">
        <f>+$B$940</f>
        <v>957</v>
      </c>
      <c r="AP909" s="67">
        <f>+C$940</f>
        <v>122</v>
      </c>
      <c r="AQ909" s="67">
        <f>+D$940</f>
        <v>128</v>
      </c>
      <c r="AR909" s="67">
        <f>+E$940</f>
        <v>219</v>
      </c>
      <c r="AS909" s="67"/>
      <c r="AT909" s="70" t="s">
        <v>335</v>
      </c>
      <c r="AU909" s="561"/>
      <c r="AW909" s="67">
        <f t="shared" si="227"/>
        <v>12473</v>
      </c>
      <c r="AX909" s="72">
        <v>2.4700000000000002</v>
      </c>
    </row>
    <row r="910" spans="1:50" ht="15.75" customHeight="1" x14ac:dyDescent="0.3">
      <c r="A910" s="553"/>
      <c r="B910" s="786" t="s">
        <v>2879</v>
      </c>
      <c r="C910" s="786"/>
      <c r="D910" s="786"/>
      <c r="E910" s="786"/>
      <c r="F910" s="786"/>
      <c r="G910" s="786"/>
      <c r="H910" s="786"/>
      <c r="I910" s="786"/>
      <c r="J910" s="786"/>
      <c r="K910" s="786"/>
      <c r="L910" s="786"/>
      <c r="M910" s="786"/>
      <c r="N910" s="786"/>
      <c r="O910" s="786"/>
      <c r="P910" s="786"/>
      <c r="Q910" s="67"/>
      <c r="R910" s="552"/>
      <c r="AC910" s="551"/>
      <c r="AD910" s="67" t="s">
        <v>1353</v>
      </c>
      <c r="AE910" s="67" t="s">
        <v>1353</v>
      </c>
      <c r="AF910" s="67" t="s">
        <v>1353</v>
      </c>
      <c r="AG910" s="67" t="s">
        <v>1353</v>
      </c>
      <c r="AH910" s="67" t="s">
        <v>1353</v>
      </c>
      <c r="AI910" s="67"/>
      <c r="AJ910" s="67" t="s">
        <v>251</v>
      </c>
      <c r="AK910" s="67"/>
      <c r="AL910" s="67"/>
      <c r="AM910" s="67"/>
      <c r="AN910" s="67"/>
      <c r="AO910" s="67" t="s">
        <v>1353</v>
      </c>
      <c r="AP910" s="67" t="s">
        <v>1353</v>
      </c>
      <c r="AQ910" s="67" t="s">
        <v>1353</v>
      </c>
      <c r="AR910" s="67" t="s">
        <v>1353</v>
      </c>
      <c r="AS910" s="67" t="s">
        <v>1353</v>
      </c>
      <c r="AT910" s="67" t="s">
        <v>251</v>
      </c>
      <c r="AU910" s="561"/>
      <c r="AW910" s="67">
        <f t="shared" si="227"/>
        <v>12568</v>
      </c>
      <c r="AX910" s="72">
        <v>2.4700000000000002</v>
      </c>
    </row>
    <row r="911" spans="1:50" ht="15.75" customHeight="1" x14ac:dyDescent="0.3">
      <c r="A911" s="553"/>
      <c r="B911" s="67"/>
      <c r="C911" s="67"/>
      <c r="D911" s="67"/>
      <c r="E911" s="67"/>
      <c r="F911" s="67"/>
      <c r="G911" s="67"/>
      <c r="H911" s="67"/>
      <c r="I911" s="67"/>
      <c r="J911" s="67"/>
      <c r="K911" s="67"/>
      <c r="L911" s="67"/>
      <c r="M911" s="67"/>
      <c r="N911" s="67"/>
      <c r="O911" s="67"/>
      <c r="P911" s="67"/>
      <c r="Q911" s="67"/>
      <c r="R911" s="552"/>
      <c r="AC911" s="553" t="s">
        <v>1354</v>
      </c>
      <c r="AD911" s="67">
        <f t="shared" ref="AD911:AD922" si="228">ROUND($F885*$AD$909/1000,0)</f>
        <v>79728</v>
      </c>
      <c r="AE911" s="67">
        <f t="shared" ref="AE911:AE922" si="229">ROUND($F885*$AE$909/1000,0)</f>
        <v>10164</v>
      </c>
      <c r="AF911" s="67">
        <f t="shared" ref="AF911:AF922" si="230">ROUND($F885*$AF$909/1000,0)</f>
        <v>10664</v>
      </c>
      <c r="AG911" s="67">
        <f t="shared" ref="AG911:AG922" si="231">ROUND($F885*$AG$909/1000,0)</f>
        <v>18245</v>
      </c>
      <c r="AH911" s="67">
        <f t="shared" ref="AH911:AH922" si="232">(F885*((T885-1526.8)/0.7702))/1000</f>
        <v>17879.957153985972</v>
      </c>
      <c r="AI911" s="67"/>
      <c r="AJ911" s="67">
        <f t="shared" ref="AJ911:AJ922" si="233">SUM(AD911:AH911)</f>
        <v>136680.95715398598</v>
      </c>
      <c r="AK911" s="67"/>
      <c r="AL911" s="67"/>
      <c r="AM911" s="67"/>
      <c r="AN911" s="70" t="s">
        <v>1354</v>
      </c>
      <c r="AO911" s="67">
        <f t="shared" ref="AO911:AO922" si="234">ROUND((B885-$F885)*$AO$909/1000,0)</f>
        <v>39460</v>
      </c>
      <c r="AP911" s="67">
        <f t="shared" ref="AP911:AP922" si="235">ROUND((C885-$F885)*$AP$909/1000,0)</f>
        <v>5019</v>
      </c>
      <c r="AQ911" s="67">
        <f t="shared" ref="AQ911:AQ922" si="236">ROUND((D885-$F885)*$AQ$909/1000,0)</f>
        <v>5253</v>
      </c>
      <c r="AR911" s="67">
        <f t="shared" ref="AR911:AR922" si="237">ROUND((E885-$F885)*$AR$909/1000,0)</f>
        <v>8944</v>
      </c>
      <c r="AS911" s="67">
        <f>((F885-$F885)*(('Lake Pleasant Forecast'!B35-1526.8)/0.7702))/1000</f>
        <v>0</v>
      </c>
      <c r="AT911" s="67">
        <f t="shared" ref="AT911:AT922" si="238">SUM(AN911:AR911)</f>
        <v>58676</v>
      </c>
      <c r="AU911" s="561"/>
      <c r="AW911" s="67">
        <f t="shared" si="227"/>
        <v>15168</v>
      </c>
      <c r="AX911" s="72">
        <v>2.4700000000000002</v>
      </c>
    </row>
    <row r="912" spans="1:50" ht="15.75" customHeight="1" thickBot="1" x14ac:dyDescent="0.35">
      <c r="A912" s="553" t="s">
        <v>845</v>
      </c>
      <c r="B912" s="634" t="s">
        <v>1308</v>
      </c>
      <c r="C912" s="634" t="s">
        <v>1309</v>
      </c>
      <c r="D912" s="634" t="s">
        <v>1029</v>
      </c>
      <c r="E912" s="634" t="s">
        <v>1030</v>
      </c>
      <c r="F912" s="634" t="s">
        <v>284</v>
      </c>
      <c r="G912" s="634" t="s">
        <v>284</v>
      </c>
      <c r="H912" s="634" t="s">
        <v>285</v>
      </c>
      <c r="I912" s="634" t="s">
        <v>286</v>
      </c>
      <c r="J912" s="634" t="s">
        <v>287</v>
      </c>
      <c r="K912" s="634" t="s">
        <v>288</v>
      </c>
      <c r="L912" s="634" t="s">
        <v>289</v>
      </c>
      <c r="M912" s="634" t="s">
        <v>633</v>
      </c>
      <c r="N912" s="634" t="s">
        <v>634</v>
      </c>
      <c r="O912" s="634" t="s">
        <v>1192</v>
      </c>
      <c r="P912" s="634" t="s">
        <v>524</v>
      </c>
      <c r="Q912" s="634" t="s">
        <v>525</v>
      </c>
      <c r="R912" s="552"/>
      <c r="AC912" s="553" t="s">
        <v>706</v>
      </c>
      <c r="AD912" s="67">
        <f t="shared" si="228"/>
        <v>15771</v>
      </c>
      <c r="AE912" s="67">
        <f t="shared" si="229"/>
        <v>2011</v>
      </c>
      <c r="AF912" s="67">
        <f t="shared" si="230"/>
        <v>2109</v>
      </c>
      <c r="AG912" s="67">
        <f t="shared" si="231"/>
        <v>3609</v>
      </c>
      <c r="AH912" s="67">
        <f t="shared" si="232"/>
        <v>3548.4850688132938</v>
      </c>
      <c r="AI912" s="67"/>
      <c r="AJ912" s="67">
        <f t="shared" si="233"/>
        <v>27048.485068813294</v>
      </c>
      <c r="AK912" s="67"/>
      <c r="AL912" s="67"/>
      <c r="AM912" s="67"/>
      <c r="AN912" s="70" t="s">
        <v>706</v>
      </c>
      <c r="AO912" s="67">
        <f t="shared" si="234"/>
        <v>41842</v>
      </c>
      <c r="AP912" s="67">
        <f t="shared" si="235"/>
        <v>5316</v>
      </c>
      <c r="AQ912" s="67">
        <f t="shared" si="236"/>
        <v>5559</v>
      </c>
      <c r="AR912" s="67">
        <f t="shared" si="237"/>
        <v>9238</v>
      </c>
      <c r="AS912" s="67">
        <f>((F886-$F886)*(('Lake Pleasant Forecast'!B37-1526.8)/0.7702))/1000</f>
        <v>0</v>
      </c>
      <c r="AT912" s="67">
        <f t="shared" si="238"/>
        <v>61955</v>
      </c>
      <c r="AU912" s="561"/>
      <c r="AW912" s="67">
        <f t="shared" si="227"/>
        <v>14219</v>
      </c>
      <c r="AX912" s="72">
        <v>2.4700000000000002</v>
      </c>
    </row>
    <row r="913" spans="1:50" ht="15.75" customHeight="1" x14ac:dyDescent="0.3">
      <c r="A913" s="553"/>
      <c r="B913" s="67"/>
      <c r="C913" s="67"/>
      <c r="D913" s="67"/>
      <c r="E913" s="67"/>
      <c r="F913" s="70" t="s">
        <v>1193</v>
      </c>
      <c r="G913" s="70" t="s">
        <v>1194</v>
      </c>
      <c r="H913" s="67"/>
      <c r="I913" s="67"/>
      <c r="J913" s="67"/>
      <c r="K913" s="67"/>
      <c r="L913" s="67"/>
      <c r="M913" s="67"/>
      <c r="N913" s="67"/>
      <c r="O913" s="67"/>
      <c r="P913" s="67"/>
      <c r="Q913" s="67"/>
      <c r="R913" s="552"/>
      <c r="AC913" s="553" t="s">
        <v>707</v>
      </c>
      <c r="AD913" s="67">
        <f t="shared" si="228"/>
        <v>19193</v>
      </c>
      <c r="AE913" s="67">
        <f t="shared" si="229"/>
        <v>2447</v>
      </c>
      <c r="AF913" s="67">
        <f t="shared" si="230"/>
        <v>2567</v>
      </c>
      <c r="AG913" s="67">
        <f t="shared" si="231"/>
        <v>4392</v>
      </c>
      <c r="AH913" s="67">
        <f t="shared" si="232"/>
        <v>4463.2921411051648</v>
      </c>
      <c r="AI913" s="67"/>
      <c r="AJ913" s="67">
        <f t="shared" si="233"/>
        <v>33062.292141105165</v>
      </c>
      <c r="AK913" s="67"/>
      <c r="AL913" s="67"/>
      <c r="AM913" s="67"/>
      <c r="AN913" s="70" t="s">
        <v>707</v>
      </c>
      <c r="AO913" s="67">
        <f t="shared" si="234"/>
        <v>110622</v>
      </c>
      <c r="AP913" s="67">
        <f t="shared" si="235"/>
        <v>14069</v>
      </c>
      <c r="AQ913" s="67">
        <f t="shared" si="236"/>
        <v>14727</v>
      </c>
      <c r="AR913" s="67">
        <f t="shared" si="237"/>
        <v>24537</v>
      </c>
      <c r="AS913" s="67">
        <f>((F887-$F887)*(('Lake Pleasant Forecast'!B39-1526.8)/0.7702))/1000</f>
        <v>0</v>
      </c>
      <c r="AT913" s="67">
        <f t="shared" si="238"/>
        <v>163955</v>
      </c>
      <c r="AU913" s="561"/>
      <c r="AW913" s="67">
        <f t="shared" si="227"/>
        <v>14091</v>
      </c>
      <c r="AX913" s="72">
        <v>2.4700000000000002</v>
      </c>
    </row>
    <row r="914" spans="1:50" ht="15.75" customHeight="1" x14ac:dyDescent="0.3">
      <c r="A914" s="139" t="s">
        <v>2843</v>
      </c>
      <c r="B914" s="67">
        <f t="shared" ref="B914:Q914" si="239">(B885/$B$10/1.983)</f>
        <v>2025.97888503896</v>
      </c>
      <c r="C914" s="67">
        <f t="shared" si="239"/>
        <v>2024.4009565174954</v>
      </c>
      <c r="D914" s="67">
        <f t="shared" si="239"/>
        <v>2022.8392953003759</v>
      </c>
      <c r="E914" s="67">
        <f t="shared" si="239"/>
        <v>2019.6021017357214</v>
      </c>
      <c r="F914" s="67">
        <f t="shared" si="239"/>
        <v>1355.2291249816992</v>
      </c>
      <c r="G914" s="67">
        <f t="shared" si="239"/>
        <v>-59.32685894620402</v>
      </c>
      <c r="H914" s="67">
        <f t="shared" si="239"/>
        <v>412.50630358043367</v>
      </c>
      <c r="I914" s="67">
        <f t="shared" si="239"/>
        <v>248.35293543506904</v>
      </c>
      <c r="J914" s="67">
        <f t="shared" si="239"/>
        <v>248.20652969596406</v>
      </c>
      <c r="K914" s="67">
        <f t="shared" si="239"/>
        <v>246.07551282676945</v>
      </c>
      <c r="L914" s="67">
        <f t="shared" si="239"/>
        <v>235.29029004603646</v>
      </c>
      <c r="M914" s="67">
        <f t="shared" si="239"/>
        <v>234.96494395913652</v>
      </c>
      <c r="N914" s="67">
        <f t="shared" si="239"/>
        <v>229.87327769915245</v>
      </c>
      <c r="O914" s="67">
        <f t="shared" si="239"/>
        <v>56.2198038163096</v>
      </c>
      <c r="P914" s="67">
        <f t="shared" si="239"/>
        <v>3.9529549558342687</v>
      </c>
      <c r="Q914" s="67">
        <f t="shared" si="239"/>
        <v>56.1872692076196</v>
      </c>
      <c r="R914" s="552"/>
      <c r="AC914" s="553" t="s">
        <v>1321</v>
      </c>
      <c r="AD914" s="67">
        <f t="shared" si="228"/>
        <v>9090</v>
      </c>
      <c r="AE914" s="67">
        <f t="shared" si="229"/>
        <v>1159</v>
      </c>
      <c r="AF914" s="67">
        <f t="shared" si="230"/>
        <v>1216</v>
      </c>
      <c r="AG914" s="67">
        <f t="shared" si="231"/>
        <v>2080</v>
      </c>
      <c r="AH914" s="67">
        <f t="shared" si="232"/>
        <v>2115.0376265904988</v>
      </c>
      <c r="AI914" s="67"/>
      <c r="AJ914" s="67">
        <f t="shared" si="233"/>
        <v>15660.0376265905</v>
      </c>
      <c r="AK914" s="67"/>
      <c r="AL914" s="67"/>
      <c r="AM914" s="67"/>
      <c r="AN914" s="70" t="s">
        <v>1321</v>
      </c>
      <c r="AO914" s="67">
        <f t="shared" si="234"/>
        <v>144177</v>
      </c>
      <c r="AP914" s="67">
        <f t="shared" si="235"/>
        <v>18335</v>
      </c>
      <c r="AQ914" s="67">
        <f t="shared" si="236"/>
        <v>19192</v>
      </c>
      <c r="AR914" s="67">
        <f t="shared" si="237"/>
        <v>31679</v>
      </c>
      <c r="AS914" s="67">
        <f>((F888-$F888)*(('Lake Pleasant Forecast'!B41-1526.8)/0.7702))/1000</f>
        <v>0</v>
      </c>
      <c r="AT914" s="67">
        <f t="shared" si="238"/>
        <v>213383</v>
      </c>
      <c r="AU914" s="561"/>
      <c r="AW914" s="67">
        <f t="shared" si="227"/>
        <v>12562</v>
      </c>
      <c r="AX914" s="72">
        <v>2.4700000000000002</v>
      </c>
    </row>
    <row r="915" spans="1:50" ht="15.75" customHeight="1" x14ac:dyDescent="0.3">
      <c r="A915" s="139" t="s">
        <v>2091</v>
      </c>
      <c r="B915" s="67">
        <f t="shared" ref="B915:Q915" si="240">(B886/$C$10/1.983)</f>
        <v>1084.2518550536704</v>
      </c>
      <c r="C915" s="67">
        <f t="shared" si="240"/>
        <v>1081.5863410417116</v>
      </c>
      <c r="D915" s="67">
        <f t="shared" si="240"/>
        <v>1078.9748577191845</v>
      </c>
      <c r="E915" s="67">
        <f t="shared" si="240"/>
        <v>1056.5341113752611</v>
      </c>
      <c r="F915" s="67">
        <f t="shared" si="240"/>
        <v>296.80858727757362</v>
      </c>
      <c r="G915" s="67">
        <f t="shared" si="240"/>
        <v>-141.66846768964771</v>
      </c>
      <c r="H915" s="67">
        <f t="shared" si="240"/>
        <v>591.02370146243061</v>
      </c>
      <c r="I915" s="67">
        <f t="shared" si="240"/>
        <v>241.76932497658669</v>
      </c>
      <c r="J915" s="67">
        <f t="shared" si="240"/>
        <v>240.32850659174409</v>
      </c>
      <c r="K915" s="67">
        <f t="shared" si="240"/>
        <v>237.10467545565882</v>
      </c>
      <c r="L915" s="67">
        <f t="shared" si="240"/>
        <v>205.38866075931128</v>
      </c>
      <c r="M915" s="67">
        <f t="shared" si="240"/>
        <v>204.99243570347957</v>
      </c>
      <c r="N915" s="67">
        <f t="shared" si="240"/>
        <v>195.87925941935018</v>
      </c>
      <c r="O915" s="67">
        <f t="shared" si="240"/>
        <v>37.749441682875876</v>
      </c>
      <c r="P915" s="67">
        <f t="shared" si="240"/>
        <v>19.667170953101362</v>
      </c>
      <c r="Q915" s="67">
        <f t="shared" si="240"/>
        <v>37.695410993444277</v>
      </c>
      <c r="R915" s="552"/>
      <c r="AC915" s="553" t="s">
        <v>1905</v>
      </c>
      <c r="AD915" s="67">
        <f t="shared" si="228"/>
        <v>23566</v>
      </c>
      <c r="AE915" s="67">
        <f t="shared" si="229"/>
        <v>3004</v>
      </c>
      <c r="AF915" s="67">
        <f t="shared" si="230"/>
        <v>3152</v>
      </c>
      <c r="AG915" s="67">
        <f t="shared" si="231"/>
        <v>5393</v>
      </c>
      <c r="AH915" s="67">
        <f t="shared" si="232"/>
        <v>5421.2087769410527</v>
      </c>
      <c r="AI915" s="67"/>
      <c r="AJ915" s="67">
        <f t="shared" si="233"/>
        <v>40536.20877694105</v>
      </c>
      <c r="AK915" s="67"/>
      <c r="AL915" s="67"/>
      <c r="AM915" s="67"/>
      <c r="AN915" s="70" t="s">
        <v>1905</v>
      </c>
      <c r="AO915" s="67">
        <f t="shared" si="234"/>
        <v>144879</v>
      </c>
      <c r="AP915" s="67">
        <f t="shared" si="235"/>
        <v>18418</v>
      </c>
      <c r="AQ915" s="67">
        <f t="shared" si="236"/>
        <v>19272</v>
      </c>
      <c r="AR915" s="67">
        <f t="shared" si="237"/>
        <v>31580</v>
      </c>
      <c r="AS915" s="67">
        <f>((F889-$F889)*(('Lake Pleasant Forecast'!B43-1526.8)/0.7702))/1000</f>
        <v>0</v>
      </c>
      <c r="AT915" s="67">
        <f t="shared" si="238"/>
        <v>214149</v>
      </c>
      <c r="AU915" s="561"/>
      <c r="AW915" s="67">
        <f t="shared" si="227"/>
        <v>6847</v>
      </c>
      <c r="AX915" s="72">
        <v>2.4700000000000002</v>
      </c>
    </row>
    <row r="916" spans="1:50" ht="15.75" customHeight="1" x14ac:dyDescent="0.3">
      <c r="A916" s="139" t="s">
        <v>2234</v>
      </c>
      <c r="B916" s="67">
        <f t="shared" ref="B916:Q916" si="241">(B887/$D$10/1.983)</f>
        <v>2206.6110324858068</v>
      </c>
      <c r="C916" s="67">
        <f t="shared" si="241"/>
        <v>2202.1537910952775</v>
      </c>
      <c r="D916" s="67">
        <f t="shared" si="241"/>
        <v>2197.908024661233</v>
      </c>
      <c r="E916" s="67">
        <f t="shared" si="241"/>
        <v>2148.8133001480323</v>
      </c>
      <c r="F916" s="67">
        <f t="shared" si="241"/>
        <v>326.24078863891458</v>
      </c>
      <c r="G916" s="67">
        <f t="shared" si="241"/>
        <v>-3.3673319994143771</v>
      </c>
      <c r="H916" s="67">
        <f t="shared" si="241"/>
        <v>1422.5269630569519</v>
      </c>
      <c r="I916" s="67">
        <f t="shared" si="241"/>
        <v>543.62077660110936</v>
      </c>
      <c r="J916" s="67">
        <f t="shared" si="241"/>
        <v>441.59224374928829</v>
      </c>
      <c r="K916" s="67">
        <f t="shared" si="241"/>
        <v>400.27329071299596</v>
      </c>
      <c r="L916" s="67">
        <f t="shared" si="241"/>
        <v>327.52590568216942</v>
      </c>
      <c r="M916" s="67">
        <f t="shared" si="241"/>
        <v>327.07042116050951</v>
      </c>
      <c r="N916" s="67">
        <f t="shared" si="241"/>
        <v>312.16957038049225</v>
      </c>
      <c r="O916" s="67">
        <f t="shared" si="241"/>
        <v>69.591527987897123</v>
      </c>
      <c r="P916" s="67">
        <f t="shared" si="241"/>
        <v>19.699705561791355</v>
      </c>
      <c r="Q916" s="67">
        <f t="shared" si="241"/>
        <v>69.510191466172145</v>
      </c>
      <c r="R916" s="552"/>
      <c r="AC916" s="553" t="s">
        <v>1906</v>
      </c>
      <c r="AD916" s="67">
        <f t="shared" si="228"/>
        <v>0</v>
      </c>
      <c r="AE916" s="67">
        <f t="shared" si="229"/>
        <v>0</v>
      </c>
      <c r="AF916" s="67">
        <f t="shared" si="230"/>
        <v>0</v>
      </c>
      <c r="AG916" s="67">
        <f t="shared" si="231"/>
        <v>0</v>
      </c>
      <c r="AH916" s="67">
        <f t="shared" si="232"/>
        <v>0</v>
      </c>
      <c r="AI916" s="67"/>
      <c r="AJ916" s="67">
        <f t="shared" si="233"/>
        <v>0</v>
      </c>
      <c r="AK916" s="67"/>
      <c r="AL916" s="67"/>
      <c r="AM916" s="67"/>
      <c r="AN916" s="70" t="s">
        <v>1906</v>
      </c>
      <c r="AO916" s="67">
        <f t="shared" si="234"/>
        <v>79192</v>
      </c>
      <c r="AP916" s="67">
        <f t="shared" si="235"/>
        <v>10045</v>
      </c>
      <c r="AQ916" s="67">
        <f t="shared" si="236"/>
        <v>10488</v>
      </c>
      <c r="AR916" s="67">
        <f t="shared" si="237"/>
        <v>16599</v>
      </c>
      <c r="AS916" s="67">
        <f>((F890-$F890)*(('Lake Pleasant Forecast'!B45-1526.8)/0.7702))/1000</f>
        <v>0</v>
      </c>
      <c r="AT916" s="67">
        <f t="shared" si="238"/>
        <v>116324</v>
      </c>
      <c r="AU916" s="561"/>
      <c r="AW916" s="67">
        <f t="shared" si="227"/>
        <v>2085</v>
      </c>
      <c r="AX916" s="72">
        <v>2.4700000000000002</v>
      </c>
    </row>
    <row r="917" spans="1:50" ht="15.75" customHeight="1" x14ac:dyDescent="0.3">
      <c r="A917" s="139" t="s">
        <v>2235</v>
      </c>
      <c r="B917" s="67">
        <f t="shared" ref="B917:Q917" si="242">(B888/$F$10/1.983)</f>
        <v>2692.0995125231129</v>
      </c>
      <c r="C917" s="67">
        <f t="shared" si="242"/>
        <v>2685.930408472012</v>
      </c>
      <c r="D917" s="67">
        <f t="shared" si="242"/>
        <v>2680.047066733905</v>
      </c>
      <c r="E917" s="67">
        <f t="shared" si="242"/>
        <v>2591.1749873928393</v>
      </c>
      <c r="F917" s="67">
        <f t="shared" si="242"/>
        <v>159.65708522440747</v>
      </c>
      <c r="G917" s="67">
        <f t="shared" si="242"/>
        <v>-0.10085728693898134</v>
      </c>
      <c r="H917" s="67">
        <f t="shared" si="242"/>
        <v>1800.1849050260548</v>
      </c>
      <c r="I917" s="67">
        <f t="shared" si="242"/>
        <v>673.23919986552357</v>
      </c>
      <c r="J917" s="67">
        <f t="shared" si="242"/>
        <v>500.01680954782313</v>
      </c>
      <c r="K917" s="67">
        <f t="shared" si="242"/>
        <v>420.07060010085729</v>
      </c>
      <c r="L917" s="67">
        <f t="shared" si="242"/>
        <v>328.02151622121363</v>
      </c>
      <c r="M917" s="67">
        <f t="shared" si="242"/>
        <v>327.39956295175659</v>
      </c>
      <c r="N917" s="67">
        <f t="shared" si="242"/>
        <v>310.01849050260546</v>
      </c>
      <c r="O917" s="67">
        <f t="shared" si="242"/>
        <v>66.935619431837267</v>
      </c>
      <c r="P917" s="67">
        <f t="shared" si="242"/>
        <v>52.765170616910403</v>
      </c>
      <c r="Q917" s="67">
        <f t="shared" si="242"/>
        <v>66.817952597075134</v>
      </c>
      <c r="R917" s="552"/>
      <c r="AC917" s="553" t="s">
        <v>1907</v>
      </c>
      <c r="AD917" s="67">
        <f t="shared" si="228"/>
        <v>0</v>
      </c>
      <c r="AE917" s="67">
        <f t="shared" si="229"/>
        <v>0</v>
      </c>
      <c r="AF917" s="67">
        <f t="shared" si="230"/>
        <v>0</v>
      </c>
      <c r="AG917" s="67">
        <f t="shared" si="231"/>
        <v>0</v>
      </c>
      <c r="AH917" s="67">
        <f t="shared" si="232"/>
        <v>0</v>
      </c>
      <c r="AI917" s="67"/>
      <c r="AJ917" s="67">
        <f t="shared" si="233"/>
        <v>0</v>
      </c>
      <c r="AK917" s="67"/>
      <c r="AL917" s="67"/>
      <c r="AM917" s="67"/>
      <c r="AN917" s="70" t="s">
        <v>1907</v>
      </c>
      <c r="AO917" s="67">
        <f t="shared" si="234"/>
        <v>72154</v>
      </c>
      <c r="AP917" s="67">
        <f t="shared" si="235"/>
        <v>9148</v>
      </c>
      <c r="AQ917" s="67">
        <f t="shared" si="236"/>
        <v>9547</v>
      </c>
      <c r="AR917" s="67">
        <f t="shared" si="237"/>
        <v>15036</v>
      </c>
      <c r="AS917" s="67">
        <f>((F891-$F891)*(('Lake Pleasant Forecast'!B47-1526.8)/0.7702))/1000</f>
        <v>0</v>
      </c>
      <c r="AT917" s="67">
        <f t="shared" si="238"/>
        <v>105885</v>
      </c>
      <c r="AU917" s="561"/>
      <c r="AW917" s="67">
        <f t="shared" si="227"/>
        <v>6339</v>
      </c>
      <c r="AX917" s="72">
        <v>2.4700000000000002</v>
      </c>
    </row>
    <row r="918" spans="1:50" ht="15.75" customHeight="1" x14ac:dyDescent="0.3">
      <c r="A918" s="139" t="s">
        <v>2236</v>
      </c>
      <c r="B918" s="67">
        <f t="shared" ref="B918:Q918" si="243">(B889/$G$10/1.983)</f>
        <v>2863.2733069803003</v>
      </c>
      <c r="C918" s="67">
        <f t="shared" si="243"/>
        <v>2856.3597026336765</v>
      </c>
      <c r="D918" s="67">
        <f t="shared" si="243"/>
        <v>2849.8202462869876</v>
      </c>
      <c r="E918" s="67">
        <f t="shared" si="243"/>
        <v>2746.3764579571516</v>
      </c>
      <c r="F918" s="67">
        <f t="shared" si="243"/>
        <v>400.58236949555089</v>
      </c>
      <c r="G918" s="67">
        <f>(G889/$G$10/1.983)</f>
        <v>-24.270818082735509</v>
      </c>
      <c r="H918" s="67">
        <f t="shared" si="243"/>
        <v>1689.1155466627624</v>
      </c>
      <c r="I918" s="67">
        <f t="shared" si="243"/>
        <v>570.59196720511443</v>
      </c>
      <c r="J918" s="67">
        <f t="shared" si="243"/>
        <v>483.98483887235045</v>
      </c>
      <c r="K918" s="67">
        <f t="shared" si="243"/>
        <v>388.98378149756803</v>
      </c>
      <c r="L918" s="67">
        <f t="shared" si="243"/>
        <v>322.77585281343028</v>
      </c>
      <c r="M918" s="67">
        <f t="shared" si="243"/>
        <v>322.09262603094044</v>
      </c>
      <c r="N918" s="67">
        <f t="shared" si="243"/>
        <v>289.26520586273648</v>
      </c>
      <c r="O918" s="67">
        <f t="shared" si="243"/>
        <v>50.623851121630636</v>
      </c>
      <c r="P918" s="67">
        <f t="shared" si="243"/>
        <v>86.802335984903934</v>
      </c>
      <c r="Q918" s="67">
        <f t="shared" si="243"/>
        <v>50.493712686870651</v>
      </c>
      <c r="R918" s="552"/>
      <c r="AC918" s="553" t="s">
        <v>1908</v>
      </c>
      <c r="AD918" s="67">
        <f t="shared" si="228"/>
        <v>0</v>
      </c>
      <c r="AE918" s="67">
        <f t="shared" si="229"/>
        <v>0</v>
      </c>
      <c r="AF918" s="67">
        <f t="shared" si="230"/>
        <v>0</v>
      </c>
      <c r="AG918" s="67">
        <f t="shared" si="231"/>
        <v>0</v>
      </c>
      <c r="AH918" s="67">
        <f t="shared" si="232"/>
        <v>0</v>
      </c>
      <c r="AI918" s="67"/>
      <c r="AJ918" s="67">
        <f t="shared" si="233"/>
        <v>0</v>
      </c>
      <c r="AK918" s="67"/>
      <c r="AL918" s="67"/>
      <c r="AM918" s="67"/>
      <c r="AN918" s="70" t="s">
        <v>1908</v>
      </c>
      <c r="AO918" s="67">
        <f t="shared" si="234"/>
        <v>69091</v>
      </c>
      <c r="AP918" s="67">
        <f t="shared" si="235"/>
        <v>8767</v>
      </c>
      <c r="AQ918" s="67">
        <f t="shared" si="236"/>
        <v>9158</v>
      </c>
      <c r="AR918" s="67">
        <f t="shared" si="237"/>
        <v>14437</v>
      </c>
      <c r="AS918" s="67">
        <f>((F892-$F892)*(('Lake Pleasant Forecast'!B49-1526.8)/0.7702))/1000</f>
        <v>0</v>
      </c>
      <c r="AT918" s="67">
        <f t="shared" si="238"/>
        <v>101453</v>
      </c>
      <c r="AU918" s="561"/>
      <c r="AW918" s="67"/>
      <c r="AX918" s="72"/>
    </row>
    <row r="919" spans="1:50" ht="15.75" customHeight="1" x14ac:dyDescent="0.3">
      <c r="A919" s="139" t="s">
        <v>2237</v>
      </c>
      <c r="B919" s="67">
        <f t="shared" ref="B919:Q919" si="244">(B890/$H$10/1.983)</f>
        <v>1390.9900823667842</v>
      </c>
      <c r="C919" s="67">
        <f t="shared" si="244"/>
        <v>1383.9805009245251</v>
      </c>
      <c r="D919" s="67">
        <f t="shared" si="244"/>
        <v>1377.3239199865523</v>
      </c>
      <c r="E919" s="67">
        <f t="shared" si="244"/>
        <v>1274.0628677088587</v>
      </c>
      <c r="F919" s="67">
        <f t="shared" si="244"/>
        <v>0</v>
      </c>
      <c r="G919" s="67">
        <f t="shared" si="244"/>
        <v>-1976.4330139519247</v>
      </c>
      <c r="H919" s="67">
        <f t="shared" si="244"/>
        <v>2374.6175827870229</v>
      </c>
      <c r="I919" s="67">
        <f t="shared" si="244"/>
        <v>832.81223735081528</v>
      </c>
      <c r="J919" s="67">
        <f t="shared" si="244"/>
        <v>520.08740964868036</v>
      </c>
      <c r="K919" s="67">
        <f t="shared" si="244"/>
        <v>420.5748865355522</v>
      </c>
      <c r="L919" s="67">
        <f t="shared" si="244"/>
        <v>359.85879979828542</v>
      </c>
      <c r="M919" s="67">
        <f t="shared" si="244"/>
        <v>359.11917969406619</v>
      </c>
      <c r="N919" s="67">
        <f t="shared" si="244"/>
        <v>348.5291645654732</v>
      </c>
      <c r="O919" s="67">
        <f t="shared" si="244"/>
        <v>80.332829046898638</v>
      </c>
      <c r="P919" s="67">
        <f t="shared" si="244"/>
        <v>112.08606488485459</v>
      </c>
      <c r="Q919" s="67">
        <f t="shared" si="244"/>
        <v>80.181543116490161</v>
      </c>
      <c r="R919" s="552"/>
      <c r="AC919" s="553" t="s">
        <v>2352</v>
      </c>
      <c r="AD919" s="67">
        <f t="shared" si="228"/>
        <v>9196</v>
      </c>
      <c r="AE919" s="67">
        <f t="shared" si="229"/>
        <v>1172</v>
      </c>
      <c r="AF919" s="67">
        <f t="shared" si="230"/>
        <v>1230</v>
      </c>
      <c r="AG919" s="67">
        <f t="shared" si="231"/>
        <v>2104</v>
      </c>
      <c r="AH919" s="67">
        <f t="shared" si="232"/>
        <v>1636.7237783515229</v>
      </c>
      <c r="AI919" s="67"/>
      <c r="AJ919" s="67">
        <f t="shared" si="233"/>
        <v>15338.723778351523</v>
      </c>
      <c r="AK919" s="67"/>
      <c r="AL919" s="67"/>
      <c r="AM919" s="67"/>
      <c r="AN919" s="70" t="s">
        <v>2352</v>
      </c>
      <c r="AO919" s="67">
        <f t="shared" si="234"/>
        <v>117816</v>
      </c>
      <c r="AP919" s="67">
        <f t="shared" si="235"/>
        <v>14981</v>
      </c>
      <c r="AQ919" s="67">
        <f t="shared" si="236"/>
        <v>15679</v>
      </c>
      <c r="AR919" s="67">
        <f t="shared" si="237"/>
        <v>25810</v>
      </c>
      <c r="AS919" s="67">
        <f>((F893-$F893)*(('Lake Pleasant Forecast'!B51-1526.8)/0.7702))/1000</f>
        <v>0</v>
      </c>
      <c r="AT919" s="67">
        <f t="shared" si="238"/>
        <v>174286</v>
      </c>
      <c r="AU919" s="561"/>
      <c r="AW919" s="67">
        <f>(SUM(AW906:AW917))</f>
        <v>124574</v>
      </c>
      <c r="AX919" s="72"/>
    </row>
    <row r="920" spans="1:50" ht="15.75" customHeight="1" x14ac:dyDescent="0.3">
      <c r="A920" s="139" t="s">
        <v>1504</v>
      </c>
      <c r="B920" s="67">
        <f t="shared" ref="B920:Q920" si="245">(B891/$J$10/1.983)</f>
        <v>1226.489678395393</v>
      </c>
      <c r="C920" s="67">
        <f t="shared" si="245"/>
        <v>1219.7224797878741</v>
      </c>
      <c r="D920" s="67">
        <f t="shared" si="245"/>
        <v>1213.3131618759455</v>
      </c>
      <c r="E920" s="67">
        <f t="shared" si="245"/>
        <v>1116.8805817188033</v>
      </c>
      <c r="F920" s="67">
        <f t="shared" si="245"/>
        <v>0</v>
      </c>
      <c r="G920" s="67">
        <f t="shared" si="245"/>
        <v>-1631.9522391944429</v>
      </c>
      <c r="H920" s="67">
        <f t="shared" si="245"/>
        <v>1836.6599970718851</v>
      </c>
      <c r="I920" s="67">
        <f t="shared" si="245"/>
        <v>848.06337741772813</v>
      </c>
      <c r="J920" s="67">
        <f t="shared" si="245"/>
        <v>518.65046443153904</v>
      </c>
      <c r="K920" s="67">
        <f t="shared" si="245"/>
        <v>402.74592097343549</v>
      </c>
      <c r="L920" s="67">
        <f t="shared" si="245"/>
        <v>353.27704846029962</v>
      </c>
      <c r="M920" s="67">
        <f t="shared" si="245"/>
        <v>352.64262359084472</v>
      </c>
      <c r="N920" s="67">
        <f t="shared" si="245"/>
        <v>327.91632098644931</v>
      </c>
      <c r="O920" s="67">
        <f t="shared" si="245"/>
        <v>65.166821206057932</v>
      </c>
      <c r="P920" s="67">
        <f t="shared" si="245"/>
        <v>90.33234102776828</v>
      </c>
      <c r="Q920" s="67">
        <f t="shared" si="245"/>
        <v>65.052950075642968</v>
      </c>
      <c r="R920" s="552"/>
      <c r="AC920" s="553" t="s">
        <v>2353</v>
      </c>
      <c r="AD920" s="67">
        <f t="shared" si="228"/>
        <v>42253</v>
      </c>
      <c r="AE920" s="67">
        <f t="shared" si="229"/>
        <v>5387</v>
      </c>
      <c r="AF920" s="67">
        <f t="shared" si="230"/>
        <v>5651</v>
      </c>
      <c r="AG920" s="67">
        <f t="shared" si="231"/>
        <v>9669</v>
      </c>
      <c r="AH920" s="67">
        <f t="shared" si="232"/>
        <v>7963.6404050895908</v>
      </c>
      <c r="AI920" s="67"/>
      <c r="AJ920" s="67">
        <f t="shared" si="233"/>
        <v>70923.640405089594</v>
      </c>
      <c r="AK920" s="67"/>
      <c r="AL920" s="67"/>
      <c r="AM920" s="67"/>
      <c r="AN920" s="70" t="s">
        <v>2353</v>
      </c>
      <c r="AO920" s="67">
        <f t="shared" si="234"/>
        <v>81756</v>
      </c>
      <c r="AP920" s="67">
        <f t="shared" si="235"/>
        <v>10388</v>
      </c>
      <c r="AQ920" s="67">
        <f t="shared" si="236"/>
        <v>10864</v>
      </c>
      <c r="AR920" s="67">
        <f t="shared" si="237"/>
        <v>17845</v>
      </c>
      <c r="AS920" s="67">
        <f>((F894-$F894)*(('Lake Pleasant Forecast'!B53-1526.8)/0.7702))/1000</f>
        <v>0</v>
      </c>
      <c r="AT920" s="67">
        <f t="shared" si="238"/>
        <v>120853</v>
      </c>
      <c r="AU920" s="561"/>
    </row>
    <row r="921" spans="1:50" ht="15.75" customHeight="1" x14ac:dyDescent="0.3">
      <c r="A921" s="139" t="s">
        <v>1505</v>
      </c>
      <c r="B921" s="67">
        <f t="shared" ref="B921:Q921" si="246">(B892/$K$10/1.983)</f>
        <v>1174.4180371870577</v>
      </c>
      <c r="C921" s="67">
        <f t="shared" si="246"/>
        <v>1168.9847575358287</v>
      </c>
      <c r="D921" s="67">
        <f t="shared" si="246"/>
        <v>1163.8117547541196</v>
      </c>
      <c r="E921" s="67">
        <f t="shared" si="246"/>
        <v>1072.3895043352366</v>
      </c>
      <c r="F921" s="67">
        <f t="shared" si="246"/>
        <v>0</v>
      </c>
      <c r="G921" s="67">
        <f t="shared" si="246"/>
        <v>-1535.9751435589608</v>
      </c>
      <c r="H921" s="67">
        <f t="shared" si="246"/>
        <v>1816.6837473362289</v>
      </c>
      <c r="I921" s="67">
        <f t="shared" si="246"/>
        <v>764.35182925837353</v>
      </c>
      <c r="J921" s="67">
        <f t="shared" si="246"/>
        <v>530.02131016869191</v>
      </c>
      <c r="K921" s="67">
        <f t="shared" si="246"/>
        <v>423.89341662193158</v>
      </c>
      <c r="L921" s="67">
        <f t="shared" si="246"/>
        <v>352.69142550387971</v>
      </c>
      <c r="M921" s="67">
        <f t="shared" si="246"/>
        <v>352.10580254745986</v>
      </c>
      <c r="N921" s="67">
        <f t="shared" si="246"/>
        <v>338.00204968034745</v>
      </c>
      <c r="O921" s="67">
        <f t="shared" si="246"/>
        <v>60.888520163323726</v>
      </c>
      <c r="P921" s="67">
        <f t="shared" si="246"/>
        <v>85.208140159094228</v>
      </c>
      <c r="Q921" s="67">
        <f t="shared" si="246"/>
        <v>60.790916337253748</v>
      </c>
      <c r="R921" s="552"/>
      <c r="AC921" s="553" t="s">
        <v>2354</v>
      </c>
      <c r="AD921" s="67">
        <f t="shared" si="228"/>
        <v>62723</v>
      </c>
      <c r="AE921" s="67">
        <f t="shared" si="229"/>
        <v>7996</v>
      </c>
      <c r="AF921" s="67">
        <f t="shared" si="230"/>
        <v>8389</v>
      </c>
      <c r="AG921" s="67">
        <f t="shared" si="231"/>
        <v>14353</v>
      </c>
      <c r="AH921" s="67">
        <f t="shared" si="232"/>
        <v>12442.748662685019</v>
      </c>
      <c r="AI921" s="67"/>
      <c r="AJ921" s="67">
        <f t="shared" si="233"/>
        <v>105903.74866268502</v>
      </c>
      <c r="AK921" s="67"/>
      <c r="AL921" s="67"/>
      <c r="AM921" s="67"/>
      <c r="AN921" s="70" t="s">
        <v>2354</v>
      </c>
      <c r="AO921" s="67">
        <f t="shared" si="234"/>
        <v>58798</v>
      </c>
      <c r="AP921" s="67">
        <f t="shared" si="235"/>
        <v>7467</v>
      </c>
      <c r="AQ921" s="67">
        <f t="shared" si="236"/>
        <v>7805</v>
      </c>
      <c r="AR921" s="67">
        <f t="shared" si="237"/>
        <v>12917</v>
      </c>
      <c r="AS921" s="67">
        <f>((F895-$F895)*(('Lake Pleasant Forecast'!B55-1526.8)/0.7702))/1000</f>
        <v>0</v>
      </c>
      <c r="AT921" s="67">
        <f t="shared" si="238"/>
        <v>86987</v>
      </c>
      <c r="AU921" s="561"/>
    </row>
    <row r="922" spans="1:50" ht="15.75" customHeight="1" x14ac:dyDescent="0.3">
      <c r="A922" s="139" t="s">
        <v>1506</v>
      </c>
      <c r="B922" s="67">
        <f t="shared" ref="B922:Q922" si="247">(B893/$L$10/1.983)</f>
        <v>2230.9463775424438</v>
      </c>
      <c r="C922" s="67">
        <f t="shared" si="247"/>
        <v>2225.6345604303242</v>
      </c>
      <c r="D922" s="67">
        <f t="shared" si="247"/>
        <v>2220.5748865355517</v>
      </c>
      <c r="E922" s="67">
        <f t="shared" si="247"/>
        <v>2142.5953941838961</v>
      </c>
      <c r="F922" s="67">
        <f t="shared" si="247"/>
        <v>161.52294503277861</v>
      </c>
      <c r="G922" s="67">
        <f t="shared" si="247"/>
        <v>-232.25752227265085</v>
      </c>
      <c r="H922" s="67">
        <f t="shared" si="247"/>
        <v>1456.5136997814759</v>
      </c>
      <c r="I922" s="67">
        <f t="shared" si="247"/>
        <v>568.38124054462924</v>
      </c>
      <c r="J922" s="67">
        <f t="shared" si="247"/>
        <v>461.35484955454695</v>
      </c>
      <c r="K922" s="67">
        <f t="shared" si="247"/>
        <v>396.28508993108085</v>
      </c>
      <c r="L922" s="67">
        <f t="shared" si="247"/>
        <v>320.94469658766172</v>
      </c>
      <c r="M922" s="67">
        <f t="shared" si="247"/>
        <v>320.37317196167419</v>
      </c>
      <c r="N922" s="67">
        <f t="shared" si="247"/>
        <v>299.63018994789036</v>
      </c>
      <c r="O922" s="67">
        <f t="shared" si="247"/>
        <v>59.421751554883166</v>
      </c>
      <c r="P922" s="67">
        <f t="shared" si="247"/>
        <v>84.501596907043194</v>
      </c>
      <c r="Q922" s="67">
        <f t="shared" si="247"/>
        <v>58.530845520255504</v>
      </c>
      <c r="R922" s="552"/>
      <c r="AC922" s="553" t="s">
        <v>2355</v>
      </c>
      <c r="AD922" s="67">
        <f t="shared" si="228"/>
        <v>67925</v>
      </c>
      <c r="AE922" s="67">
        <f t="shared" si="229"/>
        <v>8659</v>
      </c>
      <c r="AF922" s="67">
        <f t="shared" si="230"/>
        <v>9085</v>
      </c>
      <c r="AG922" s="67">
        <f t="shared" si="231"/>
        <v>15544</v>
      </c>
      <c r="AH922" s="67">
        <f t="shared" si="232"/>
        <v>14112.371111347127</v>
      </c>
      <c r="AI922" s="67"/>
      <c r="AJ922" s="67">
        <f t="shared" si="233"/>
        <v>115325.37111134712</v>
      </c>
      <c r="AK922" s="67"/>
      <c r="AL922" s="67"/>
      <c r="AM922" s="67"/>
      <c r="AN922" s="70" t="s">
        <v>2355</v>
      </c>
      <c r="AO922" s="67">
        <f t="shared" si="234"/>
        <v>67365</v>
      </c>
      <c r="AP922" s="67">
        <f t="shared" si="235"/>
        <v>8565</v>
      </c>
      <c r="AQ922" s="67">
        <f t="shared" si="236"/>
        <v>8963</v>
      </c>
      <c r="AR922" s="67">
        <f t="shared" si="237"/>
        <v>14733</v>
      </c>
      <c r="AS922" s="67">
        <f>((F896-$F896)*(('Lake Pleasant Forecast'!B57-1526.8)/0.7702))/1000</f>
        <v>0</v>
      </c>
      <c r="AT922" s="67">
        <f t="shared" si="238"/>
        <v>99626</v>
      </c>
      <c r="AU922" s="561"/>
    </row>
    <row r="923" spans="1:50" ht="15.75" customHeight="1" x14ac:dyDescent="0.3">
      <c r="A923" s="139" t="s">
        <v>1507</v>
      </c>
      <c r="B923" s="67">
        <f t="shared" ref="B923:Q923" si="248">(B894/$N$10/1.983)</f>
        <v>2107.9335643290551</v>
      </c>
      <c r="C923" s="67">
        <f t="shared" si="248"/>
        <v>2103.2973825907306</v>
      </c>
      <c r="D923" s="67">
        <f t="shared" si="248"/>
        <v>2098.8726758088915</v>
      </c>
      <c r="E923" s="67">
        <f t="shared" si="248"/>
        <v>2043.7753159923868</v>
      </c>
      <c r="F923" s="67">
        <f t="shared" si="248"/>
        <v>718.23402144030706</v>
      </c>
      <c r="G923" s="67">
        <f t="shared" si="248"/>
        <v>0</v>
      </c>
      <c r="H923" s="67">
        <f t="shared" si="248"/>
        <v>725.22896230865581</v>
      </c>
      <c r="I923" s="67">
        <f t="shared" si="248"/>
        <v>207.29425926829663</v>
      </c>
      <c r="J923" s="67">
        <f t="shared" si="248"/>
        <v>176.79306362142728</v>
      </c>
      <c r="K923" s="67">
        <f t="shared" si="248"/>
        <v>158.11819823337075</v>
      </c>
      <c r="L923" s="67">
        <f t="shared" si="248"/>
        <v>115.13998015388869</v>
      </c>
      <c r="M923" s="67">
        <f t="shared" si="248"/>
        <v>114.66822832788378</v>
      </c>
      <c r="N923" s="67">
        <f t="shared" si="248"/>
        <v>99.864981373936516</v>
      </c>
      <c r="O923" s="67">
        <f t="shared" si="248"/>
        <v>54.885884860019843</v>
      </c>
      <c r="P923" s="67">
        <f t="shared" si="248"/>
        <v>77.253428334390705</v>
      </c>
      <c r="Q923" s="67">
        <f t="shared" si="248"/>
        <v>54.804548338294858</v>
      </c>
      <c r="R923" s="552"/>
      <c r="AC923" s="551"/>
      <c r="AD923" s="67"/>
      <c r="AE923" s="67"/>
      <c r="AF923" s="67"/>
      <c r="AG923" s="67"/>
      <c r="AH923" s="67"/>
      <c r="AI923" s="67"/>
      <c r="AJ923" s="67"/>
      <c r="AK923" s="67"/>
      <c r="AL923" s="67"/>
      <c r="AM923" s="67"/>
      <c r="AN923" s="67"/>
      <c r="AO923" s="67"/>
      <c r="AP923" s="67"/>
      <c r="AQ923" s="67"/>
      <c r="AR923" s="67"/>
      <c r="AS923" s="67"/>
      <c r="AT923" s="67"/>
      <c r="AU923" s="561"/>
    </row>
    <row r="924" spans="1:50" ht="15.75" customHeight="1" thickBot="1" x14ac:dyDescent="0.35">
      <c r="A924" s="139" t="s">
        <v>1508</v>
      </c>
      <c r="B924" s="67">
        <f t="shared" ref="B924:Q924" si="249">(B895/$O$10/1.983)</f>
        <v>2134.4931921331313</v>
      </c>
      <c r="C924" s="67">
        <f t="shared" si="249"/>
        <v>2130.5429483946882</v>
      </c>
      <c r="D924" s="67">
        <f t="shared" si="249"/>
        <v>2126.7439905866531</v>
      </c>
      <c r="E924" s="67">
        <f t="shared" si="249"/>
        <v>2093.1921331316189</v>
      </c>
      <c r="F924" s="67">
        <f t="shared" si="249"/>
        <v>1101.7145738779625</v>
      </c>
      <c r="G924" s="67">
        <f t="shared" si="249"/>
        <v>0</v>
      </c>
      <c r="H924" s="67">
        <f t="shared" si="249"/>
        <v>426.3741805345436</v>
      </c>
      <c r="I924" s="67">
        <f t="shared" si="249"/>
        <v>67.456715414355358</v>
      </c>
      <c r="J924" s="67">
        <f t="shared" si="249"/>
        <v>59.825180702639102</v>
      </c>
      <c r="K924" s="67">
        <f t="shared" si="249"/>
        <v>51.773407295343752</v>
      </c>
      <c r="L924" s="67">
        <f t="shared" si="249"/>
        <v>23.432509665489999</v>
      </c>
      <c r="M924" s="67">
        <f t="shared" si="249"/>
        <v>23.045890065557238</v>
      </c>
      <c r="N924" s="67">
        <f t="shared" si="249"/>
        <v>21.196839805009244</v>
      </c>
      <c r="O924" s="67">
        <f t="shared" si="249"/>
        <v>17.532358379559589</v>
      </c>
      <c r="P924" s="67">
        <f t="shared" si="249"/>
        <v>39.720961506135481</v>
      </c>
      <c r="Q924" s="67">
        <f t="shared" si="249"/>
        <v>17.481929736090098</v>
      </c>
      <c r="R924" s="552"/>
      <c r="AC924" s="558" t="s">
        <v>2356</v>
      </c>
      <c r="AD924" s="555">
        <f>SUM(AD911:AD922)</f>
        <v>329445</v>
      </c>
      <c r="AE924" s="555">
        <f>SUM(AE911:AE922)</f>
        <v>41999</v>
      </c>
      <c r="AF924" s="555">
        <f>SUM(AF911:AF922)</f>
        <v>44063</v>
      </c>
      <c r="AG924" s="555">
        <f>SUM(AG911:AG922)</f>
        <v>75389</v>
      </c>
      <c r="AH924" s="555">
        <f>SUM(AH911:AH922)</f>
        <v>69583.464724909238</v>
      </c>
      <c r="AI924" s="555"/>
      <c r="AJ924" s="555">
        <f>SUM(AJ911:AJ922)</f>
        <v>560479.46472490916</v>
      </c>
      <c r="AK924" s="555"/>
      <c r="AL924" s="555"/>
      <c r="AM924" s="555"/>
      <c r="AN924" s="564" t="s">
        <v>2356</v>
      </c>
      <c r="AO924" s="555">
        <f t="shared" ref="AO924:AT924" si="250">SUM(AO911:AO922)</f>
        <v>1027152</v>
      </c>
      <c r="AP924" s="555">
        <f t="shared" si="250"/>
        <v>130518</v>
      </c>
      <c r="AQ924" s="555">
        <f t="shared" si="250"/>
        <v>136507</v>
      </c>
      <c r="AR924" s="555">
        <f t="shared" si="250"/>
        <v>223355</v>
      </c>
      <c r="AS924" s="555">
        <f t="shared" si="250"/>
        <v>0</v>
      </c>
      <c r="AT924" s="555">
        <f t="shared" si="250"/>
        <v>1517532</v>
      </c>
      <c r="AU924" s="565"/>
    </row>
    <row r="925" spans="1:50" ht="15.75" customHeight="1" thickBot="1" x14ac:dyDescent="0.35">
      <c r="A925" s="645" t="s">
        <v>1509</v>
      </c>
      <c r="B925" s="555">
        <f t="shared" ref="B925:Q925" si="251">(B896/$P$10/1.983)</f>
        <v>2299.6925479478791</v>
      </c>
      <c r="C925" s="555">
        <f t="shared" si="251"/>
        <v>2296.6668293397097</v>
      </c>
      <c r="D925" s="555">
        <f t="shared" si="251"/>
        <v>2293.7549818619559</v>
      </c>
      <c r="E925" s="555">
        <f t="shared" si="251"/>
        <v>2248.9548256958342</v>
      </c>
      <c r="F925" s="555">
        <f t="shared" si="251"/>
        <v>1154.6044604948513</v>
      </c>
      <c r="G925" s="555">
        <f t="shared" si="251"/>
        <v>-1.2363151302197712</v>
      </c>
      <c r="H925" s="555">
        <f t="shared" si="251"/>
        <v>626.94190945618402</v>
      </c>
      <c r="I925" s="555">
        <f t="shared" si="251"/>
        <v>206.31822100759683</v>
      </c>
      <c r="J925" s="555">
        <f t="shared" si="251"/>
        <v>186.79745579360045</v>
      </c>
      <c r="K925" s="555">
        <f t="shared" si="251"/>
        <v>183.91814292453594</v>
      </c>
      <c r="L925" s="555">
        <f t="shared" si="251"/>
        <v>116.05094919720852</v>
      </c>
      <c r="M925" s="555">
        <f t="shared" si="251"/>
        <v>115.74187041465359</v>
      </c>
      <c r="N925" s="555">
        <f t="shared" si="251"/>
        <v>115.59546467554861</v>
      </c>
      <c r="O925" s="555">
        <f t="shared" si="251"/>
        <v>47.48426138304621</v>
      </c>
      <c r="P925" s="555">
        <f t="shared" si="251"/>
        <v>54.576806077464894</v>
      </c>
      <c r="Q925" s="555">
        <f t="shared" si="251"/>
        <v>47.451726774356217</v>
      </c>
      <c r="R925" s="556"/>
    </row>
    <row r="926" spans="1:50" ht="15.75" customHeight="1" x14ac:dyDescent="0.3">
      <c r="R926" s="547"/>
      <c r="AC926" s="685"/>
      <c r="AD926" s="782" t="s">
        <v>2922</v>
      </c>
      <c r="AE926" s="785"/>
      <c r="AF926" s="785"/>
      <c r="AG926" s="785"/>
      <c r="AH926" s="785"/>
      <c r="AI926" s="785"/>
      <c r="AJ926" s="785"/>
      <c r="AK926" s="785"/>
      <c r="AL926" s="785"/>
      <c r="AM926" s="785"/>
      <c r="AN926" s="785"/>
      <c r="AO926" s="785"/>
      <c r="AP926" s="785"/>
      <c r="AQ926" s="785"/>
      <c r="AR926" s="678" t="str">
        <f>$Q$1</f>
        <v xml:space="preserve">PRINTED:  </v>
      </c>
      <c r="AS926" s="686">
        <f ca="1">$R$1</f>
        <v>44881.729634027775</v>
      </c>
    </row>
    <row r="927" spans="1:50" ht="15.75" customHeight="1" x14ac:dyDescent="0.3">
      <c r="R927" s="67"/>
      <c r="AC927" s="579"/>
      <c r="AD927" s="786" t="str">
        <f>+$A$8</f>
        <v>Revised:  1/18/2018</v>
      </c>
      <c r="AE927" s="788"/>
      <c r="AF927" s="788"/>
      <c r="AG927" s="788"/>
      <c r="AH927" s="788"/>
      <c r="AI927" s="788"/>
      <c r="AJ927" s="788"/>
      <c r="AK927" s="788"/>
      <c r="AL927" s="788"/>
      <c r="AM927" s="788"/>
      <c r="AN927" s="788"/>
      <c r="AO927" s="788"/>
      <c r="AP927" s="788"/>
      <c r="AQ927" s="788"/>
      <c r="AR927" s="139"/>
      <c r="AS927" s="561"/>
    </row>
    <row r="928" spans="1:50" ht="15.75" customHeight="1" x14ac:dyDescent="0.3">
      <c r="A928" s="139"/>
      <c r="AC928" s="579"/>
      <c r="AD928" s="786" t="s">
        <v>2878</v>
      </c>
      <c r="AE928" s="789"/>
      <c r="AF928" s="789"/>
      <c r="AG928" s="789"/>
      <c r="AH928" s="789"/>
      <c r="AI928" s="789"/>
      <c r="AJ928" s="789"/>
      <c r="AK928" s="789"/>
      <c r="AL928" s="789"/>
      <c r="AM928" s="789"/>
      <c r="AN928" s="789"/>
      <c r="AO928" s="789"/>
      <c r="AP928" s="789"/>
      <c r="AQ928" s="789"/>
      <c r="AS928" s="561"/>
    </row>
    <row r="929" spans="1:48" ht="15.75" customHeight="1" x14ac:dyDescent="0.3">
      <c r="A929" s="139"/>
      <c r="AC929" s="579"/>
      <c r="AS929" s="561"/>
    </row>
    <row r="930" spans="1:48" ht="15.75" customHeight="1" thickBot="1" x14ac:dyDescent="0.35">
      <c r="A930" s="139"/>
      <c r="AC930" s="579"/>
      <c r="AD930" s="787">
        <f>$A$5</f>
        <v>2017</v>
      </c>
      <c r="AE930" s="789"/>
      <c r="AF930" s="789"/>
      <c r="AG930" s="789"/>
      <c r="AH930" s="789"/>
      <c r="AI930" s="789"/>
      <c r="AJ930" s="789"/>
      <c r="AK930" s="789"/>
      <c r="AL930" s="789"/>
      <c r="AM930" s="789"/>
      <c r="AN930" s="789"/>
      <c r="AO930" s="789"/>
      <c r="AP930" s="789"/>
      <c r="AQ930" s="789"/>
      <c r="AS930" s="561"/>
    </row>
    <row r="931" spans="1:48" ht="15.75" customHeight="1" x14ac:dyDescent="0.3">
      <c r="A931" s="651"/>
      <c r="B931" s="782" t="s">
        <v>1198</v>
      </c>
      <c r="C931" s="782"/>
      <c r="D931" s="782"/>
      <c r="E931" s="782"/>
      <c r="F931" s="782"/>
      <c r="G931" s="782"/>
      <c r="H931" s="782"/>
      <c r="I931" s="782"/>
      <c r="J931" s="782"/>
      <c r="K931" s="782"/>
      <c r="L931" s="782"/>
      <c r="M931" s="782"/>
      <c r="N931" s="782"/>
      <c r="O931" s="782"/>
      <c r="P931" s="782"/>
      <c r="Q931" s="678" t="str">
        <f>+Q1</f>
        <v xml:space="preserve">PRINTED:  </v>
      </c>
      <c r="R931" s="679">
        <f ca="1">+R1</f>
        <v>44881.729634027775</v>
      </c>
      <c r="AC931" s="579"/>
      <c r="AD931" s="786" t="s">
        <v>2919</v>
      </c>
      <c r="AE931" s="788"/>
      <c r="AF931" s="788"/>
      <c r="AG931" s="788"/>
      <c r="AH931" s="788"/>
      <c r="AI931" s="788"/>
      <c r="AJ931" s="788"/>
      <c r="AK931" s="788"/>
      <c r="AL931" s="788"/>
      <c r="AM931" s="788"/>
      <c r="AN931" s="788"/>
      <c r="AO931" s="788"/>
      <c r="AP931" s="788"/>
      <c r="AQ931" s="788"/>
      <c r="AR931" s="70"/>
      <c r="AS931" s="561"/>
    </row>
    <row r="932" spans="1:48" ht="16.5" customHeight="1" x14ac:dyDescent="0.3">
      <c r="A932" s="553"/>
      <c r="B932" s="786" t="str">
        <f>+A8</f>
        <v>Revised:  1/18/2018</v>
      </c>
      <c r="C932" s="786"/>
      <c r="D932" s="786"/>
      <c r="E932" s="786"/>
      <c r="F932" s="786"/>
      <c r="G932" s="786"/>
      <c r="H932" s="786"/>
      <c r="I932" s="786"/>
      <c r="J932" s="786"/>
      <c r="K932" s="786"/>
      <c r="L932" s="786"/>
      <c r="M932" s="786"/>
      <c r="N932" s="786"/>
      <c r="O932" s="786"/>
      <c r="P932" s="786"/>
      <c r="Q932" s="67"/>
      <c r="R932" s="552"/>
      <c r="AC932" s="579"/>
      <c r="AK932" s="670"/>
      <c r="AS932" s="561"/>
    </row>
    <row r="933" spans="1:48" ht="15.75" customHeight="1" thickBot="1" x14ac:dyDescent="0.35">
      <c r="A933" s="553"/>
      <c r="B933" s="786" t="s">
        <v>2878</v>
      </c>
      <c r="C933" s="786"/>
      <c r="D933" s="786"/>
      <c r="E933" s="786"/>
      <c r="F933" s="786"/>
      <c r="G933" s="786"/>
      <c r="H933" s="786"/>
      <c r="I933" s="786"/>
      <c r="J933" s="786"/>
      <c r="K933" s="786"/>
      <c r="L933" s="786"/>
      <c r="M933" s="786"/>
      <c r="N933" s="786"/>
      <c r="O933" s="786"/>
      <c r="P933" s="786"/>
      <c r="Q933" s="67"/>
      <c r="R933" s="552"/>
      <c r="AC933" s="579"/>
      <c r="AD933" s="634" t="s">
        <v>1308</v>
      </c>
      <c r="AE933" s="634" t="s">
        <v>1309</v>
      </c>
      <c r="AF933" s="634" t="s">
        <v>1029</v>
      </c>
      <c r="AG933" s="634" t="s">
        <v>1030</v>
      </c>
      <c r="AH933" s="634" t="s">
        <v>284</v>
      </c>
      <c r="AI933" s="634" t="s">
        <v>285</v>
      </c>
      <c r="AJ933" s="634" t="s">
        <v>286</v>
      </c>
      <c r="AK933" s="634" t="s">
        <v>287</v>
      </c>
      <c r="AL933" s="634" t="s">
        <v>288</v>
      </c>
      <c r="AM933" s="634" t="s">
        <v>289</v>
      </c>
      <c r="AN933" s="634" t="s">
        <v>633</v>
      </c>
      <c r="AO933" s="634" t="s">
        <v>634</v>
      </c>
      <c r="AP933" s="634" t="s">
        <v>1192</v>
      </c>
      <c r="AQ933" s="634" t="s">
        <v>524</v>
      </c>
      <c r="AR933" s="634" t="s">
        <v>525</v>
      </c>
      <c r="AS933" s="684" t="s">
        <v>2356</v>
      </c>
    </row>
    <row r="934" spans="1:48" ht="15.75" customHeight="1" x14ac:dyDescent="0.3">
      <c r="A934" s="553"/>
      <c r="B934" s="67"/>
      <c r="C934" s="67"/>
      <c r="D934" s="67"/>
      <c r="E934" s="67"/>
      <c r="F934" s="67"/>
      <c r="G934" s="67"/>
      <c r="H934" s="67"/>
      <c r="I934" s="67"/>
      <c r="J934" s="67"/>
      <c r="K934" s="67"/>
      <c r="L934" s="67"/>
      <c r="M934" s="67"/>
      <c r="N934" s="67"/>
      <c r="O934" s="67"/>
      <c r="P934" s="67"/>
      <c r="Q934" s="67"/>
      <c r="R934" s="552"/>
      <c r="AC934" s="579"/>
      <c r="AD934" s="67"/>
      <c r="AE934" s="67"/>
      <c r="AF934" s="67"/>
      <c r="AG934" s="67"/>
      <c r="AH934" s="70" t="s">
        <v>2910</v>
      </c>
      <c r="AI934" s="67"/>
      <c r="AJ934" s="67"/>
      <c r="AK934" s="67"/>
      <c r="AL934" s="67"/>
      <c r="AM934" s="67"/>
      <c r="AN934" s="67"/>
      <c r="AO934" s="67"/>
      <c r="AP934" s="67"/>
      <c r="AQ934" s="67"/>
      <c r="AR934" s="67"/>
      <c r="AS934" s="636"/>
    </row>
    <row r="935" spans="1:48" ht="15.75" customHeight="1" x14ac:dyDescent="0.3">
      <c r="A935" s="553"/>
      <c r="B935" s="787">
        <f>A5</f>
        <v>2017</v>
      </c>
      <c r="C935" s="787"/>
      <c r="D935" s="787"/>
      <c r="E935" s="787"/>
      <c r="F935" s="787"/>
      <c r="G935" s="787"/>
      <c r="H935" s="787"/>
      <c r="I935" s="787"/>
      <c r="J935" s="787"/>
      <c r="K935" s="787"/>
      <c r="L935" s="787"/>
      <c r="M935" s="787"/>
      <c r="N935" s="787"/>
      <c r="O935" s="787"/>
      <c r="P935" s="787"/>
      <c r="Q935" s="67"/>
      <c r="R935" s="552"/>
      <c r="S935" s="67"/>
      <c r="AC935" s="642" t="s">
        <v>3040</v>
      </c>
      <c r="AD935" s="687">
        <v>1.7000000000000001E-2</v>
      </c>
      <c r="AE935" s="687">
        <v>1.7000000000000001E-2</v>
      </c>
      <c r="AF935" s="687">
        <v>1.7000000000000001E-2</v>
      </c>
      <c r="AG935" s="687">
        <v>1.7000000000000001E-2</v>
      </c>
      <c r="AH935" s="687"/>
      <c r="AI935" s="687"/>
      <c r="AJ935" s="687"/>
      <c r="AK935" s="687"/>
      <c r="AL935" s="687"/>
      <c r="AM935" s="687"/>
      <c r="AN935" s="687"/>
      <c r="AO935" s="687"/>
      <c r="AP935" s="687"/>
      <c r="AQ935" s="687"/>
      <c r="AR935" s="687"/>
      <c r="AS935" s="592"/>
    </row>
    <row r="936" spans="1:48" ht="15.75" customHeight="1" x14ac:dyDescent="0.3">
      <c r="A936" s="553"/>
      <c r="B936" s="786" t="s">
        <v>2919</v>
      </c>
      <c r="C936" s="786"/>
      <c r="D936" s="786"/>
      <c r="E936" s="786"/>
      <c r="F936" s="786"/>
      <c r="G936" s="786"/>
      <c r="H936" s="786"/>
      <c r="I936" s="786"/>
      <c r="J936" s="786"/>
      <c r="K936" s="786"/>
      <c r="L936" s="786"/>
      <c r="M936" s="786"/>
      <c r="N936" s="786"/>
      <c r="O936" s="786"/>
      <c r="P936" s="786"/>
      <c r="Q936" s="67"/>
      <c r="R936" s="552"/>
      <c r="S936" s="67"/>
      <c r="AC936" s="642" t="s">
        <v>2908</v>
      </c>
      <c r="AD936" s="687"/>
      <c r="AE936" s="687">
        <v>0.03</v>
      </c>
      <c r="AF936" s="687"/>
      <c r="AG936" s="687"/>
      <c r="AH936" s="687"/>
      <c r="AI936" s="687"/>
      <c r="AJ936" s="687"/>
      <c r="AK936" s="687"/>
      <c r="AL936" s="687"/>
      <c r="AM936" s="687">
        <v>0.03</v>
      </c>
      <c r="AN936" s="687">
        <v>0.03</v>
      </c>
      <c r="AO936" s="687">
        <v>0.03</v>
      </c>
      <c r="AP936" s="687">
        <v>0.03</v>
      </c>
      <c r="AQ936" s="687">
        <v>0.03</v>
      </c>
      <c r="AR936" s="687">
        <v>0.03</v>
      </c>
      <c r="AS936" s="592"/>
    </row>
    <row r="937" spans="1:48" ht="15.75" customHeight="1" x14ac:dyDescent="0.3">
      <c r="A937" s="553"/>
      <c r="B937" s="67"/>
      <c r="C937" s="67"/>
      <c r="D937" s="67"/>
      <c r="E937" s="67"/>
      <c r="F937" s="67"/>
      <c r="G937" s="67"/>
      <c r="H937" s="67"/>
      <c r="I937" s="67"/>
      <c r="J937" s="67"/>
      <c r="K937" s="67"/>
      <c r="L937" s="67"/>
      <c r="M937" s="67"/>
      <c r="N937" s="67"/>
      <c r="O937" s="67"/>
      <c r="P937" s="67"/>
      <c r="Q937" s="67"/>
      <c r="R937" s="552"/>
      <c r="S937" s="67"/>
      <c r="AC937" s="642" t="s">
        <v>2909</v>
      </c>
      <c r="AD937" s="687"/>
      <c r="AE937" s="687"/>
      <c r="AF937" s="687">
        <v>0.03</v>
      </c>
      <c r="AG937" s="687">
        <v>0.03</v>
      </c>
      <c r="AH937" s="687"/>
      <c r="AI937" s="687"/>
      <c r="AJ937" s="687"/>
      <c r="AK937" s="687"/>
      <c r="AL937" s="687"/>
      <c r="AM937" s="687"/>
      <c r="AN937" s="687"/>
      <c r="AO937" s="687"/>
      <c r="AP937" s="687"/>
      <c r="AQ937" s="687"/>
      <c r="AR937" s="687"/>
      <c r="AS937" s="592"/>
    </row>
    <row r="938" spans="1:48" ht="15.75" customHeight="1" thickBot="1" x14ac:dyDescent="0.35">
      <c r="A938" s="553" t="s">
        <v>845</v>
      </c>
      <c r="B938" s="634" t="s">
        <v>1308</v>
      </c>
      <c r="C938" s="634" t="s">
        <v>1309</v>
      </c>
      <c r="D938" s="634" t="s">
        <v>1029</v>
      </c>
      <c r="E938" s="634" t="s">
        <v>1030</v>
      </c>
      <c r="F938" s="634" t="s">
        <v>284</v>
      </c>
      <c r="G938" s="634" t="s">
        <v>284</v>
      </c>
      <c r="H938" s="634" t="s">
        <v>285</v>
      </c>
      <c r="I938" s="634" t="s">
        <v>286</v>
      </c>
      <c r="J938" s="634" t="s">
        <v>287</v>
      </c>
      <c r="K938" s="634" t="s">
        <v>288</v>
      </c>
      <c r="L938" s="634" t="s">
        <v>289</v>
      </c>
      <c r="M938" s="634" t="s">
        <v>633</v>
      </c>
      <c r="N938" s="634" t="s">
        <v>634</v>
      </c>
      <c r="O938" s="634" t="s">
        <v>1192</v>
      </c>
      <c r="P938" s="634" t="s">
        <v>524</v>
      </c>
      <c r="Q938" s="634" t="s">
        <v>525</v>
      </c>
      <c r="R938" s="684" t="s">
        <v>2356</v>
      </c>
      <c r="S938" s="70"/>
      <c r="AC938" s="642" t="s">
        <v>2760</v>
      </c>
      <c r="AD938" s="687"/>
      <c r="AE938" s="687"/>
      <c r="AF938" s="687"/>
      <c r="AG938" s="687"/>
      <c r="AH938" s="687"/>
      <c r="AI938" s="687">
        <v>0.03</v>
      </c>
      <c r="AJ938" s="687"/>
      <c r="AK938" s="687"/>
      <c r="AL938" s="687"/>
      <c r="AM938" s="687"/>
      <c r="AN938" s="687"/>
      <c r="AO938" s="687"/>
      <c r="AP938" s="687"/>
      <c r="AQ938" s="687"/>
      <c r="AR938" s="687"/>
      <c r="AS938" s="592"/>
    </row>
    <row r="939" spans="1:48" ht="15.75" customHeight="1" x14ac:dyDescent="0.3">
      <c r="A939" s="553"/>
      <c r="B939" s="67"/>
      <c r="C939" s="67"/>
      <c r="D939" s="67"/>
      <c r="E939" s="67"/>
      <c r="F939" s="70" t="s">
        <v>1193</v>
      </c>
      <c r="G939" s="70" t="s">
        <v>1194</v>
      </c>
      <c r="H939" s="67"/>
      <c r="I939" s="67"/>
      <c r="J939" s="67"/>
      <c r="K939" s="67"/>
      <c r="L939" s="67"/>
      <c r="M939" s="67"/>
      <c r="N939" s="67"/>
      <c r="O939" s="67"/>
      <c r="P939" s="67"/>
      <c r="Q939" s="67"/>
      <c r="R939" s="592" t="s">
        <v>1236</v>
      </c>
      <c r="S939" s="70"/>
      <c r="AC939" s="642" t="s">
        <v>2634</v>
      </c>
      <c r="AD939" s="687">
        <v>0.03</v>
      </c>
      <c r="AE939" s="687"/>
      <c r="AF939" s="687"/>
      <c r="AG939" s="687"/>
      <c r="AH939" s="687"/>
      <c r="AI939" s="687"/>
      <c r="AJ939" s="687">
        <v>0.03</v>
      </c>
      <c r="AK939" s="687">
        <v>0.03</v>
      </c>
      <c r="AL939" s="687">
        <v>0.03</v>
      </c>
      <c r="AM939" s="687"/>
      <c r="AN939" s="687"/>
      <c r="AO939" s="687"/>
      <c r="AP939" s="687"/>
      <c r="AQ939" s="687"/>
      <c r="AR939" s="687"/>
      <c r="AS939" s="592"/>
    </row>
    <row r="940" spans="1:48" ht="15.75" customHeight="1" x14ac:dyDescent="0.3">
      <c r="A940" s="553" t="s">
        <v>2917</v>
      </c>
      <c r="B940" s="677">
        <v>957</v>
      </c>
      <c r="C940" s="677">
        <v>122</v>
      </c>
      <c r="D940" s="677">
        <v>128</v>
      </c>
      <c r="E940" s="677">
        <v>219</v>
      </c>
      <c r="F940" s="677"/>
      <c r="G940" s="677"/>
      <c r="H940" s="677">
        <v>97</v>
      </c>
      <c r="I940" s="677">
        <v>160</v>
      </c>
      <c r="J940" s="677">
        <v>250</v>
      </c>
      <c r="K940" s="677">
        <v>260</v>
      </c>
      <c r="L940" s="677">
        <v>100</v>
      </c>
      <c r="M940" s="677">
        <v>118</v>
      </c>
      <c r="N940" s="677">
        <v>250</v>
      </c>
      <c r="O940" s="677">
        <v>190</v>
      </c>
      <c r="P940" s="677">
        <v>340</v>
      </c>
      <c r="Q940" s="677">
        <v>450</v>
      </c>
      <c r="R940" s="592" t="s">
        <v>335</v>
      </c>
      <c r="S940" s="70"/>
      <c r="AC940" s="642" t="s">
        <v>2356</v>
      </c>
      <c r="AD940" s="217">
        <f>SUM(AD935:AD939)</f>
        <v>4.7E-2</v>
      </c>
      <c r="AE940" s="217">
        <f t="shared" ref="AE940:AR940" si="252">SUM(AE935:AE939)</f>
        <v>4.7E-2</v>
      </c>
      <c r="AF940" s="217">
        <f t="shared" si="252"/>
        <v>4.7E-2</v>
      </c>
      <c r="AG940" s="217">
        <f t="shared" si="252"/>
        <v>4.7E-2</v>
      </c>
      <c r="AH940" s="217">
        <f t="shared" si="252"/>
        <v>0</v>
      </c>
      <c r="AI940" s="217">
        <f t="shared" si="252"/>
        <v>0.03</v>
      </c>
      <c r="AJ940" s="217">
        <f t="shared" si="252"/>
        <v>0.03</v>
      </c>
      <c r="AK940" s="217">
        <f t="shared" si="252"/>
        <v>0.03</v>
      </c>
      <c r="AL940" s="217">
        <f t="shared" si="252"/>
        <v>0.03</v>
      </c>
      <c r="AM940" s="217">
        <f t="shared" si="252"/>
        <v>0.03</v>
      </c>
      <c r="AN940" s="217">
        <f t="shared" si="252"/>
        <v>0.03</v>
      </c>
      <c r="AO940" s="217">
        <f t="shared" si="252"/>
        <v>0.03</v>
      </c>
      <c r="AP940" s="217">
        <f t="shared" si="252"/>
        <v>0.03</v>
      </c>
      <c r="AQ940" s="217">
        <f t="shared" si="252"/>
        <v>0.03</v>
      </c>
      <c r="AR940" s="217">
        <f t="shared" si="252"/>
        <v>0.03</v>
      </c>
      <c r="AS940" s="592"/>
      <c r="AU940" s="139" t="s">
        <v>3084</v>
      </c>
      <c r="AV940" t="s">
        <v>3085</v>
      </c>
    </row>
    <row r="941" spans="1:48" ht="15.75" customHeight="1" x14ac:dyDescent="0.3">
      <c r="A941" s="553"/>
      <c r="B941" s="70" t="s">
        <v>1353</v>
      </c>
      <c r="C941" s="70" t="s">
        <v>1353</v>
      </c>
      <c r="D941" s="70" t="s">
        <v>1353</v>
      </c>
      <c r="E941" s="70" t="s">
        <v>1353</v>
      </c>
      <c r="F941" s="70" t="s">
        <v>1353</v>
      </c>
      <c r="G941" s="70" t="s">
        <v>1353</v>
      </c>
      <c r="H941" s="70" t="s">
        <v>1353</v>
      </c>
      <c r="I941" s="70" t="s">
        <v>1353</v>
      </c>
      <c r="J941" s="70" t="s">
        <v>1353</v>
      </c>
      <c r="K941" s="70" t="s">
        <v>1353</v>
      </c>
      <c r="L941" s="70" t="s">
        <v>1353</v>
      </c>
      <c r="M941" s="70" t="s">
        <v>1353</v>
      </c>
      <c r="N941" s="70" t="s">
        <v>1353</v>
      </c>
      <c r="O941" s="70" t="s">
        <v>1353</v>
      </c>
      <c r="P941" s="70" t="s">
        <v>1353</v>
      </c>
      <c r="Q941" s="70" t="s">
        <v>1353</v>
      </c>
      <c r="R941" s="592" t="s">
        <v>251</v>
      </c>
      <c r="S941" s="70"/>
      <c r="T941" s="70"/>
      <c r="AC941" s="553" t="s">
        <v>1353</v>
      </c>
      <c r="AD941" s="70" t="s">
        <v>1353</v>
      </c>
      <c r="AE941" s="70" t="s">
        <v>1353</v>
      </c>
      <c r="AF941" s="70" t="s">
        <v>1353</v>
      </c>
      <c r="AG941" s="70" t="s">
        <v>1353</v>
      </c>
      <c r="AH941" s="70" t="s">
        <v>1353</v>
      </c>
      <c r="AI941" s="70" t="s">
        <v>1353</v>
      </c>
      <c r="AJ941" s="70" t="s">
        <v>1353</v>
      </c>
      <c r="AK941" s="70" t="s">
        <v>1353</v>
      </c>
      <c r="AL941" s="70" t="s">
        <v>1353</v>
      </c>
      <c r="AM941" s="70" t="s">
        <v>1353</v>
      </c>
      <c r="AN941" s="70" t="s">
        <v>1353</v>
      </c>
      <c r="AO941" s="70" t="s">
        <v>1353</v>
      </c>
      <c r="AP941" s="70" t="s">
        <v>1353</v>
      </c>
      <c r="AQ941" s="70" t="s">
        <v>1353</v>
      </c>
      <c r="AR941" s="70" t="s">
        <v>1353</v>
      </c>
      <c r="AS941" s="592" t="s">
        <v>1353</v>
      </c>
    </row>
    <row r="942" spans="1:48" ht="15.75" customHeight="1" x14ac:dyDescent="0.3">
      <c r="A942" s="139" t="s">
        <v>2843</v>
      </c>
      <c r="B942" s="67">
        <f>ROUND((B885*$B$940)/1000,0)</f>
        <v>119188</v>
      </c>
      <c r="C942" s="67">
        <f t="shared" ref="C942:C953" si="253">ROUND((C885*$C$940)/1000,0)</f>
        <v>15182</v>
      </c>
      <c r="D942" s="67">
        <f t="shared" ref="D942:D953" si="254">ROUND((D885*$D$940)/1000,0)</f>
        <v>15917</v>
      </c>
      <c r="E942" s="67">
        <f t="shared" ref="E942:E953" si="255">ROUND((E885*$E$940)/1000,0)</f>
        <v>27189</v>
      </c>
      <c r="F942" s="67">
        <f>(F885*((T885-1526.8)/0.7702))/1000</f>
        <v>17879.957153985972</v>
      </c>
      <c r="G942" s="67">
        <f t="shared" ref="G942:G953" si="256">(G885*((T885-1591.4)/0.6635))/1000</f>
        <v>-553.50851544837883</v>
      </c>
      <c r="H942" s="67">
        <f t="shared" ref="H942:H953" si="257">ROUND((H885*$H$940)/1000,0)</f>
        <v>2460</v>
      </c>
      <c r="I942" s="67">
        <f t="shared" ref="I942:I953" si="258">ROUND((I885*$I$940)/1000,0)</f>
        <v>2443</v>
      </c>
      <c r="J942" s="67">
        <f t="shared" ref="J942:J953" si="259">ROUND((J885*$J$940)/1000,0)</f>
        <v>3815</v>
      </c>
      <c r="K942" s="67">
        <f t="shared" ref="K942:K953" si="260">ROUND((K885*$K$940)/1000,0)</f>
        <v>3933</v>
      </c>
      <c r="L942" s="67">
        <f t="shared" ref="L942:L953" si="261">ROUND((L885*$L$940)/1000,0)</f>
        <v>1446</v>
      </c>
      <c r="M942" s="67">
        <f t="shared" ref="M942:M953" si="262">ROUND((M885*$M$940)/1000,0)</f>
        <v>1704</v>
      </c>
      <c r="N942" s="67">
        <f t="shared" ref="N942:N953" si="263">ROUND((N885*$N$940)/1000,0)</f>
        <v>3533</v>
      </c>
      <c r="O942" s="67">
        <f t="shared" ref="O942:O953" si="264">ROUND((O885*$O$940)/1000,0)</f>
        <v>657</v>
      </c>
      <c r="P942" s="67">
        <f t="shared" ref="P942:P953" si="265">ROUND((P885*$P$940)/1000,0)</f>
        <v>83</v>
      </c>
      <c r="Q942" s="67">
        <f t="shared" ref="Q942:Q953" si="266">ROUND((Q885*$Q$940)/1000,0)</f>
        <v>1554</v>
      </c>
      <c r="R942" s="638">
        <f>(SUM(B942:Q942))</f>
        <v>216430.44863853761</v>
      </c>
      <c r="S942" s="73"/>
      <c r="AC942" s="642" t="s">
        <v>2843</v>
      </c>
      <c r="AD942" s="67">
        <f>ROUND(B942*$AD$940, 0)</f>
        <v>5602</v>
      </c>
      <c r="AE942" s="67">
        <f>ROUND(C942*$AE$940,0)</f>
        <v>714</v>
      </c>
      <c r="AF942" s="67">
        <f>ROUND(D942*$AF$940,0)</f>
        <v>748</v>
      </c>
      <c r="AG942" s="67">
        <f>ROUND(E942*$AG$940,0)</f>
        <v>1278</v>
      </c>
      <c r="AH942" s="67">
        <f>ROUND(F942*$AH$940,0)</f>
        <v>0</v>
      </c>
      <c r="AI942" s="67">
        <f>ROUND(H942*$AI$940,0)</f>
        <v>74</v>
      </c>
      <c r="AJ942" s="67">
        <f>ROUND(I942*$AJ$940,0)</f>
        <v>73</v>
      </c>
      <c r="AK942" s="67">
        <f>ROUND(J942*$AK$940,0)</f>
        <v>114</v>
      </c>
      <c r="AL942" s="67">
        <f>ROUND(K942*$AL$940,0)</f>
        <v>118</v>
      </c>
      <c r="AM942" s="67">
        <f>ROUND(L942*$AM$940,0)</f>
        <v>43</v>
      </c>
      <c r="AN942" s="67">
        <f>ROUND(M942*$AN$940,0)</f>
        <v>51</v>
      </c>
      <c r="AO942" s="67">
        <f>ROUND(N942*$AO$940,0)</f>
        <v>106</v>
      </c>
      <c r="AP942" s="67">
        <f>ROUND(O942*$AP$940,0)</f>
        <v>20</v>
      </c>
      <c r="AQ942" s="67">
        <f>ROUND(P942*$AQ$940,0)</f>
        <v>2</v>
      </c>
      <c r="AR942" s="67">
        <f>ROUND(Q942*$AR$940,0)</f>
        <v>47</v>
      </c>
      <c r="AS942" s="636">
        <f>SUM(AD942:AR942)</f>
        <v>8990</v>
      </c>
      <c r="AU942" s="708">
        <f>AS942/R942</f>
        <v>4.1537593515847106E-2</v>
      </c>
    </row>
    <row r="943" spans="1:48" ht="15.75" customHeight="1" x14ac:dyDescent="0.3">
      <c r="A943" s="139" t="s">
        <v>2091</v>
      </c>
      <c r="B943" s="67">
        <f t="shared" ref="B943:B953" si="267">ROUND((B886*$B$940)/1000,0)</f>
        <v>57613</v>
      </c>
      <c r="C943" s="67">
        <f t="shared" si="253"/>
        <v>7327</v>
      </c>
      <c r="D943" s="67">
        <f t="shared" si="254"/>
        <v>7668</v>
      </c>
      <c r="E943" s="67">
        <f t="shared" si="255"/>
        <v>12847</v>
      </c>
      <c r="F943" s="67">
        <f t="shared" ref="F943:F953" si="268">(F886*((T886-1526.8)/0.7702))/1000</f>
        <v>3548.4850688132938</v>
      </c>
      <c r="G943" s="67">
        <f>(G886*((T886-1591.4)/0.6635))/1000</f>
        <v>-1200.231861341369</v>
      </c>
      <c r="H943" s="67">
        <f t="shared" si="257"/>
        <v>3183</v>
      </c>
      <c r="I943" s="67">
        <f t="shared" si="258"/>
        <v>2148</v>
      </c>
      <c r="J943" s="67">
        <f t="shared" si="259"/>
        <v>3336</v>
      </c>
      <c r="K943" s="67">
        <f t="shared" si="260"/>
        <v>3423</v>
      </c>
      <c r="L943" s="67">
        <f t="shared" si="261"/>
        <v>1140</v>
      </c>
      <c r="M943" s="67">
        <f t="shared" si="262"/>
        <v>1343</v>
      </c>
      <c r="N943" s="67">
        <f t="shared" si="263"/>
        <v>2719</v>
      </c>
      <c r="O943" s="67">
        <f t="shared" si="264"/>
        <v>398</v>
      </c>
      <c r="P943" s="67">
        <f t="shared" si="265"/>
        <v>371</v>
      </c>
      <c r="Q943" s="67">
        <f t="shared" si="266"/>
        <v>942</v>
      </c>
      <c r="R943" s="638">
        <f>(SUM(B943:Q943))</f>
        <v>106806.25320747192</v>
      </c>
      <c r="S943" s="73"/>
      <c r="AC943" s="642" t="s">
        <v>2091</v>
      </c>
      <c r="AD943" s="67">
        <f t="shared" ref="AD943:AD953" si="269">ROUND(B943*$AD$940, 0)</f>
        <v>2708</v>
      </c>
      <c r="AE943" s="67">
        <f t="shared" ref="AE943:AE953" si="270">ROUND(C943*$AE$940,0)</f>
        <v>344</v>
      </c>
      <c r="AF943" s="67">
        <f t="shared" ref="AF943:AF953" si="271">ROUND(D943*$AF$940,0)</f>
        <v>360</v>
      </c>
      <c r="AG943" s="67">
        <f t="shared" ref="AG943:AG953" si="272">ROUND(E943*$AG$940,0)</f>
        <v>604</v>
      </c>
      <c r="AH943" s="67">
        <f t="shared" ref="AH943:AH953" si="273">ROUND(F943*$AH$940,0)</f>
        <v>0</v>
      </c>
      <c r="AI943" s="67">
        <f t="shared" ref="AI943:AI953" si="274">ROUND(H943*$AI$940,0)</f>
        <v>95</v>
      </c>
      <c r="AJ943" s="67">
        <f t="shared" ref="AJ943:AJ953" si="275">ROUND(I943*$AJ$940,0)</f>
        <v>64</v>
      </c>
      <c r="AK943" s="67">
        <f t="shared" ref="AK943:AK953" si="276">ROUND(J943*$AK$940,0)</f>
        <v>100</v>
      </c>
      <c r="AL943" s="67">
        <f t="shared" ref="AL943:AL953" si="277">ROUND(K943*$AL$940,0)</f>
        <v>103</v>
      </c>
      <c r="AM943" s="67">
        <f t="shared" ref="AM943:AM953" si="278">ROUND(L943*$AM$940,0)</f>
        <v>34</v>
      </c>
      <c r="AN943" s="67">
        <f t="shared" ref="AN943:AN953" si="279">ROUND(M943*$AN$940,0)</f>
        <v>40</v>
      </c>
      <c r="AO943" s="67">
        <f t="shared" ref="AO943:AO953" si="280">ROUND(N943*$AO$940,0)</f>
        <v>82</v>
      </c>
      <c r="AP943" s="67">
        <f t="shared" ref="AP943:AP953" si="281">ROUND(O943*$AP$940,0)</f>
        <v>12</v>
      </c>
      <c r="AQ943" s="67">
        <f t="shared" ref="AQ943:AQ953" si="282">ROUND(P943*$AQ$940,0)</f>
        <v>11</v>
      </c>
      <c r="AR943" s="67">
        <f t="shared" ref="AR943:AR953" si="283">ROUND(Q943*$AR$940,0)</f>
        <v>28</v>
      </c>
      <c r="AS943" s="636">
        <f t="shared" ref="AS943:AS953" si="284">SUM(AD943:AR943)</f>
        <v>4585</v>
      </c>
      <c r="AU943" s="708">
        <f t="shared" ref="AU943:AU955" si="285">AS943/R943</f>
        <v>4.2928198137365647E-2</v>
      </c>
    </row>
    <row r="944" spans="1:48" ht="15.75" customHeight="1" x14ac:dyDescent="0.3">
      <c r="A944" s="139" t="s">
        <v>2234</v>
      </c>
      <c r="B944" s="67">
        <f t="shared" si="267"/>
        <v>129814</v>
      </c>
      <c r="C944" s="67">
        <f t="shared" si="253"/>
        <v>16516</v>
      </c>
      <c r="D944" s="67">
        <f t="shared" si="254"/>
        <v>17294</v>
      </c>
      <c r="E944" s="67">
        <f t="shared" si="255"/>
        <v>28929</v>
      </c>
      <c r="F944" s="67">
        <f t="shared" si="268"/>
        <v>4463.2921411051648</v>
      </c>
      <c r="G944" s="67">
        <f t="shared" si="256"/>
        <v>-33.32278913210174</v>
      </c>
      <c r="H944" s="67">
        <f t="shared" si="257"/>
        <v>8482</v>
      </c>
      <c r="I944" s="67">
        <f t="shared" si="258"/>
        <v>5347</v>
      </c>
      <c r="J944" s="67">
        <f t="shared" si="259"/>
        <v>6787</v>
      </c>
      <c r="K944" s="67">
        <f t="shared" si="260"/>
        <v>6398</v>
      </c>
      <c r="L944" s="67">
        <f t="shared" si="261"/>
        <v>2013</v>
      </c>
      <c r="M944" s="67">
        <f t="shared" si="262"/>
        <v>2373</v>
      </c>
      <c r="N944" s="67">
        <f t="shared" si="263"/>
        <v>4798</v>
      </c>
      <c r="O944" s="67">
        <f t="shared" si="264"/>
        <v>813</v>
      </c>
      <c r="P944" s="67">
        <f t="shared" si="265"/>
        <v>412</v>
      </c>
      <c r="Q944" s="67">
        <f t="shared" si="266"/>
        <v>1923</v>
      </c>
      <c r="R944" s="638">
        <f t="shared" ref="R944:R953" si="286">(SUM(B944:Q944))</f>
        <v>236328.96935197306</v>
      </c>
      <c r="S944" s="73"/>
      <c r="AC944" s="642" t="s">
        <v>2234</v>
      </c>
      <c r="AD944" s="67">
        <f t="shared" si="269"/>
        <v>6101</v>
      </c>
      <c r="AE944" s="67">
        <f t="shared" si="270"/>
        <v>776</v>
      </c>
      <c r="AF944" s="67">
        <f t="shared" si="271"/>
        <v>813</v>
      </c>
      <c r="AG944" s="67">
        <f t="shared" si="272"/>
        <v>1360</v>
      </c>
      <c r="AH944" s="67">
        <f t="shared" si="273"/>
        <v>0</v>
      </c>
      <c r="AI944" s="67">
        <f t="shared" si="274"/>
        <v>254</v>
      </c>
      <c r="AJ944" s="67">
        <f t="shared" si="275"/>
        <v>160</v>
      </c>
      <c r="AK944" s="67">
        <f t="shared" si="276"/>
        <v>204</v>
      </c>
      <c r="AL944" s="67">
        <f t="shared" si="277"/>
        <v>192</v>
      </c>
      <c r="AM944" s="67">
        <f t="shared" si="278"/>
        <v>60</v>
      </c>
      <c r="AN944" s="67">
        <f t="shared" si="279"/>
        <v>71</v>
      </c>
      <c r="AO944" s="67">
        <f t="shared" si="280"/>
        <v>144</v>
      </c>
      <c r="AP944" s="67">
        <f t="shared" si="281"/>
        <v>24</v>
      </c>
      <c r="AQ944" s="67">
        <f t="shared" si="282"/>
        <v>12</v>
      </c>
      <c r="AR944" s="67">
        <f t="shared" si="283"/>
        <v>58</v>
      </c>
      <c r="AS944" s="636">
        <f t="shared" si="284"/>
        <v>10229</v>
      </c>
      <c r="AU944" s="708">
        <f t="shared" si="285"/>
        <v>4.328288668142749E-2</v>
      </c>
    </row>
    <row r="945" spans="1:47" ht="15.75" customHeight="1" x14ac:dyDescent="0.3">
      <c r="A945" s="139" t="s">
        <v>2235</v>
      </c>
      <c r="B945" s="67">
        <f t="shared" si="267"/>
        <v>153266</v>
      </c>
      <c r="C945" s="67">
        <f t="shared" si="253"/>
        <v>19494</v>
      </c>
      <c r="D945" s="67">
        <f t="shared" si="254"/>
        <v>20408</v>
      </c>
      <c r="E945" s="67">
        <f t="shared" si="255"/>
        <v>33759</v>
      </c>
      <c r="F945" s="67">
        <f t="shared" si="268"/>
        <v>2115.0376265904988</v>
      </c>
      <c r="G945" s="67">
        <f t="shared" si="256"/>
        <v>-0.96678221552373855</v>
      </c>
      <c r="H945" s="67">
        <f t="shared" si="257"/>
        <v>10388</v>
      </c>
      <c r="I945" s="67">
        <f t="shared" si="258"/>
        <v>6408</v>
      </c>
      <c r="J945" s="67">
        <f t="shared" si="259"/>
        <v>7437</v>
      </c>
      <c r="K945" s="67">
        <f t="shared" si="260"/>
        <v>6497</v>
      </c>
      <c r="L945" s="67">
        <f t="shared" si="261"/>
        <v>1951</v>
      </c>
      <c r="M945" s="67">
        <f t="shared" si="262"/>
        <v>2298</v>
      </c>
      <c r="N945" s="67">
        <f t="shared" si="263"/>
        <v>4611</v>
      </c>
      <c r="O945" s="67">
        <f t="shared" si="264"/>
        <v>757</v>
      </c>
      <c r="P945" s="67">
        <f t="shared" si="265"/>
        <v>1067</v>
      </c>
      <c r="Q945" s="67">
        <f t="shared" si="266"/>
        <v>1789</v>
      </c>
      <c r="R945" s="638">
        <f t="shared" si="286"/>
        <v>272244.07084437495</v>
      </c>
      <c r="S945" s="73"/>
      <c r="AC945" s="642" t="s">
        <v>2235</v>
      </c>
      <c r="AD945" s="67">
        <f t="shared" si="269"/>
        <v>7204</v>
      </c>
      <c r="AE945" s="67">
        <f t="shared" si="270"/>
        <v>916</v>
      </c>
      <c r="AF945" s="67">
        <f t="shared" si="271"/>
        <v>959</v>
      </c>
      <c r="AG945" s="67">
        <f t="shared" si="272"/>
        <v>1587</v>
      </c>
      <c r="AH945" s="67">
        <f t="shared" si="273"/>
        <v>0</v>
      </c>
      <c r="AI945" s="67">
        <f t="shared" si="274"/>
        <v>312</v>
      </c>
      <c r="AJ945" s="67">
        <f t="shared" si="275"/>
        <v>192</v>
      </c>
      <c r="AK945" s="67">
        <f t="shared" si="276"/>
        <v>223</v>
      </c>
      <c r="AL945" s="67">
        <f t="shared" si="277"/>
        <v>195</v>
      </c>
      <c r="AM945" s="67">
        <f t="shared" si="278"/>
        <v>59</v>
      </c>
      <c r="AN945" s="67">
        <f t="shared" si="279"/>
        <v>69</v>
      </c>
      <c r="AO945" s="67">
        <f t="shared" si="280"/>
        <v>138</v>
      </c>
      <c r="AP945" s="67">
        <f t="shared" si="281"/>
        <v>23</v>
      </c>
      <c r="AQ945" s="67">
        <f t="shared" si="282"/>
        <v>32</v>
      </c>
      <c r="AR945" s="67">
        <f t="shared" si="283"/>
        <v>54</v>
      </c>
      <c r="AS945" s="636">
        <f t="shared" si="284"/>
        <v>11963</v>
      </c>
      <c r="AU945" s="708">
        <f t="shared" si="285"/>
        <v>4.394218747499741E-2</v>
      </c>
    </row>
    <row r="946" spans="1:47" ht="15.75" customHeight="1" x14ac:dyDescent="0.3">
      <c r="A946" s="139" t="s">
        <v>2236</v>
      </c>
      <c r="B946" s="67">
        <f t="shared" si="267"/>
        <v>168445</v>
      </c>
      <c r="C946" s="67">
        <f t="shared" si="253"/>
        <v>21422</v>
      </c>
      <c r="D946" s="67">
        <f t="shared" si="254"/>
        <v>22424</v>
      </c>
      <c r="E946" s="67">
        <f t="shared" si="255"/>
        <v>36973</v>
      </c>
      <c r="F946" s="67">
        <f t="shared" si="268"/>
        <v>5421.2087769410527</v>
      </c>
      <c r="G946" s="67">
        <f t="shared" si="256"/>
        <v>-236.02158251695511</v>
      </c>
      <c r="H946" s="67">
        <f t="shared" si="257"/>
        <v>10072</v>
      </c>
      <c r="I946" s="67">
        <f t="shared" si="258"/>
        <v>5612</v>
      </c>
      <c r="J946" s="67">
        <f t="shared" si="259"/>
        <v>7438</v>
      </c>
      <c r="K946" s="67">
        <f t="shared" si="260"/>
        <v>6217</v>
      </c>
      <c r="L946" s="67">
        <f t="shared" si="261"/>
        <v>1984</v>
      </c>
      <c r="M946" s="67">
        <f t="shared" si="262"/>
        <v>2336</v>
      </c>
      <c r="N946" s="67">
        <f t="shared" si="263"/>
        <v>4446</v>
      </c>
      <c r="O946" s="67">
        <f t="shared" si="264"/>
        <v>591</v>
      </c>
      <c r="P946" s="67">
        <f t="shared" si="265"/>
        <v>1814</v>
      </c>
      <c r="Q946" s="67">
        <f t="shared" si="266"/>
        <v>1397</v>
      </c>
      <c r="R946" s="638">
        <f t="shared" si="286"/>
        <v>296356.1871944241</v>
      </c>
      <c r="S946" s="73"/>
      <c r="AC946" s="642" t="s">
        <v>2236</v>
      </c>
      <c r="AD946" s="67">
        <f t="shared" si="269"/>
        <v>7917</v>
      </c>
      <c r="AE946" s="67">
        <f t="shared" si="270"/>
        <v>1007</v>
      </c>
      <c r="AF946" s="67">
        <f t="shared" si="271"/>
        <v>1054</v>
      </c>
      <c r="AG946" s="67">
        <f t="shared" si="272"/>
        <v>1738</v>
      </c>
      <c r="AH946" s="67">
        <f t="shared" si="273"/>
        <v>0</v>
      </c>
      <c r="AI946" s="67">
        <f t="shared" si="274"/>
        <v>302</v>
      </c>
      <c r="AJ946" s="67">
        <f t="shared" si="275"/>
        <v>168</v>
      </c>
      <c r="AK946" s="67">
        <f t="shared" si="276"/>
        <v>223</v>
      </c>
      <c r="AL946" s="67">
        <f t="shared" si="277"/>
        <v>187</v>
      </c>
      <c r="AM946" s="67">
        <f t="shared" si="278"/>
        <v>60</v>
      </c>
      <c r="AN946" s="67">
        <f t="shared" si="279"/>
        <v>70</v>
      </c>
      <c r="AO946" s="67">
        <f t="shared" si="280"/>
        <v>133</v>
      </c>
      <c r="AP946" s="67">
        <f t="shared" si="281"/>
        <v>18</v>
      </c>
      <c r="AQ946" s="67">
        <f t="shared" si="282"/>
        <v>54</v>
      </c>
      <c r="AR946" s="67">
        <f t="shared" si="283"/>
        <v>42</v>
      </c>
      <c r="AS946" s="636">
        <f t="shared" si="284"/>
        <v>12973</v>
      </c>
      <c r="AU946" s="708">
        <f t="shared" si="285"/>
        <v>4.3775026675886744E-2</v>
      </c>
    </row>
    <row r="947" spans="1:47" ht="15.75" customHeight="1" x14ac:dyDescent="0.3">
      <c r="A947" s="139" t="s">
        <v>2237</v>
      </c>
      <c r="B947" s="67">
        <f t="shared" si="267"/>
        <v>79192</v>
      </c>
      <c r="C947" s="67">
        <f t="shared" si="253"/>
        <v>10045</v>
      </c>
      <c r="D947" s="67">
        <f t="shared" si="254"/>
        <v>10488</v>
      </c>
      <c r="E947" s="67">
        <f t="shared" si="255"/>
        <v>16599</v>
      </c>
      <c r="F947" s="67">
        <f t="shared" si="268"/>
        <v>0</v>
      </c>
      <c r="G947" s="67">
        <f t="shared" si="256"/>
        <v>-16742.68189902035</v>
      </c>
      <c r="H947" s="67">
        <f t="shared" si="257"/>
        <v>13703</v>
      </c>
      <c r="I947" s="67">
        <f t="shared" si="258"/>
        <v>7927</v>
      </c>
      <c r="J947" s="67">
        <f t="shared" si="259"/>
        <v>7735</v>
      </c>
      <c r="K947" s="67">
        <f t="shared" si="260"/>
        <v>6505</v>
      </c>
      <c r="L947" s="67">
        <f t="shared" si="261"/>
        <v>2141</v>
      </c>
      <c r="M947" s="67">
        <f t="shared" si="262"/>
        <v>2521</v>
      </c>
      <c r="N947" s="67">
        <f t="shared" si="263"/>
        <v>5184</v>
      </c>
      <c r="O947" s="67">
        <f t="shared" si="264"/>
        <v>908</v>
      </c>
      <c r="P947" s="67">
        <f t="shared" si="265"/>
        <v>2267</v>
      </c>
      <c r="Q947" s="67">
        <f t="shared" si="266"/>
        <v>2147</v>
      </c>
      <c r="R947" s="638">
        <f>(SUM(B947:Q947))</f>
        <v>150619.31810097967</v>
      </c>
      <c r="S947" s="73"/>
      <c r="AC947" s="642" t="s">
        <v>2237</v>
      </c>
      <c r="AD947" s="67">
        <f t="shared" si="269"/>
        <v>3722</v>
      </c>
      <c r="AE947" s="67">
        <f t="shared" si="270"/>
        <v>472</v>
      </c>
      <c r="AF947" s="67">
        <f t="shared" si="271"/>
        <v>493</v>
      </c>
      <c r="AG947" s="67">
        <f t="shared" si="272"/>
        <v>780</v>
      </c>
      <c r="AH947" s="67">
        <f t="shared" si="273"/>
        <v>0</v>
      </c>
      <c r="AI947" s="67">
        <f t="shared" si="274"/>
        <v>411</v>
      </c>
      <c r="AJ947" s="67">
        <f t="shared" si="275"/>
        <v>238</v>
      </c>
      <c r="AK947" s="67">
        <f t="shared" si="276"/>
        <v>232</v>
      </c>
      <c r="AL947" s="67">
        <f t="shared" si="277"/>
        <v>195</v>
      </c>
      <c r="AM947" s="67">
        <f t="shared" si="278"/>
        <v>64</v>
      </c>
      <c r="AN947" s="67">
        <f t="shared" si="279"/>
        <v>76</v>
      </c>
      <c r="AO947" s="67">
        <f t="shared" si="280"/>
        <v>156</v>
      </c>
      <c r="AP947" s="67">
        <f t="shared" si="281"/>
        <v>27</v>
      </c>
      <c r="AQ947" s="67">
        <f t="shared" si="282"/>
        <v>68</v>
      </c>
      <c r="AR947" s="67">
        <f t="shared" si="283"/>
        <v>64</v>
      </c>
      <c r="AS947" s="636">
        <f t="shared" si="284"/>
        <v>6998</v>
      </c>
      <c r="AU947" s="708">
        <f t="shared" si="285"/>
        <v>4.6461503665209354E-2</v>
      </c>
    </row>
    <row r="948" spans="1:47" ht="15.75" customHeight="1" x14ac:dyDescent="0.3">
      <c r="A948" s="139" t="s">
        <v>1504</v>
      </c>
      <c r="B948" s="67">
        <f t="shared" si="267"/>
        <v>72154</v>
      </c>
      <c r="C948" s="67">
        <f t="shared" si="253"/>
        <v>9148</v>
      </c>
      <c r="D948" s="67">
        <f t="shared" si="254"/>
        <v>9547</v>
      </c>
      <c r="E948" s="67">
        <f t="shared" si="255"/>
        <v>15036</v>
      </c>
      <c r="F948" s="67">
        <f t="shared" si="268"/>
        <v>0</v>
      </c>
      <c r="G948" s="67">
        <f t="shared" si="256"/>
        <v>-12098.999879427278</v>
      </c>
      <c r="H948" s="67">
        <f t="shared" si="257"/>
        <v>10952</v>
      </c>
      <c r="I948" s="67">
        <f t="shared" si="258"/>
        <v>8341</v>
      </c>
      <c r="J948" s="67">
        <f t="shared" si="259"/>
        <v>7971</v>
      </c>
      <c r="K948" s="67">
        <f t="shared" si="260"/>
        <v>6437</v>
      </c>
      <c r="L948" s="67">
        <f t="shared" si="261"/>
        <v>2172</v>
      </c>
      <c r="M948" s="67">
        <f t="shared" si="262"/>
        <v>2558</v>
      </c>
      <c r="N948" s="67">
        <f t="shared" si="263"/>
        <v>5040</v>
      </c>
      <c r="O948" s="67">
        <f t="shared" si="264"/>
        <v>761</v>
      </c>
      <c r="P948" s="67">
        <f t="shared" si="265"/>
        <v>1888</v>
      </c>
      <c r="Q948" s="67">
        <f t="shared" si="266"/>
        <v>1800</v>
      </c>
      <c r="R948" s="638">
        <f t="shared" si="286"/>
        <v>141706.00012057272</v>
      </c>
      <c r="S948" s="73"/>
      <c r="AC948" s="642" t="s">
        <v>1504</v>
      </c>
      <c r="AD948" s="67">
        <f t="shared" si="269"/>
        <v>3391</v>
      </c>
      <c r="AE948" s="67">
        <f t="shared" si="270"/>
        <v>430</v>
      </c>
      <c r="AF948" s="67">
        <f t="shared" si="271"/>
        <v>449</v>
      </c>
      <c r="AG948" s="67">
        <f t="shared" si="272"/>
        <v>707</v>
      </c>
      <c r="AH948" s="67">
        <f t="shared" si="273"/>
        <v>0</v>
      </c>
      <c r="AI948" s="67">
        <f t="shared" si="274"/>
        <v>329</v>
      </c>
      <c r="AJ948" s="67">
        <f t="shared" si="275"/>
        <v>250</v>
      </c>
      <c r="AK948" s="67">
        <f t="shared" si="276"/>
        <v>239</v>
      </c>
      <c r="AL948" s="67">
        <f t="shared" si="277"/>
        <v>193</v>
      </c>
      <c r="AM948" s="67">
        <f t="shared" si="278"/>
        <v>65</v>
      </c>
      <c r="AN948" s="67">
        <f t="shared" si="279"/>
        <v>77</v>
      </c>
      <c r="AO948" s="67">
        <f t="shared" si="280"/>
        <v>151</v>
      </c>
      <c r="AP948" s="67">
        <f t="shared" si="281"/>
        <v>23</v>
      </c>
      <c r="AQ948" s="67">
        <f t="shared" si="282"/>
        <v>57</v>
      </c>
      <c r="AR948" s="67">
        <f t="shared" si="283"/>
        <v>54</v>
      </c>
      <c r="AS948" s="636">
        <f t="shared" si="284"/>
        <v>6415</v>
      </c>
      <c r="AU948" s="708">
        <f t="shared" si="285"/>
        <v>4.5269783880299348E-2</v>
      </c>
    </row>
    <row r="949" spans="1:47" ht="15.75" customHeight="1" x14ac:dyDescent="0.3">
      <c r="A949" s="139" t="s">
        <v>1505</v>
      </c>
      <c r="B949" s="67">
        <f t="shared" si="267"/>
        <v>69091</v>
      </c>
      <c r="C949" s="67">
        <f t="shared" si="253"/>
        <v>8767</v>
      </c>
      <c r="D949" s="67">
        <f t="shared" si="254"/>
        <v>9158</v>
      </c>
      <c r="E949" s="67">
        <f t="shared" si="255"/>
        <v>14437</v>
      </c>
      <c r="F949" s="67">
        <f t="shared" si="268"/>
        <v>0</v>
      </c>
      <c r="G949" s="67">
        <f t="shared" si="256"/>
        <v>-8922.6713814339055</v>
      </c>
      <c r="H949" s="67">
        <f t="shared" si="257"/>
        <v>10833</v>
      </c>
      <c r="I949" s="67">
        <f t="shared" si="258"/>
        <v>7518</v>
      </c>
      <c r="J949" s="67">
        <f t="shared" si="259"/>
        <v>8146</v>
      </c>
      <c r="K949" s="67">
        <f t="shared" si="260"/>
        <v>6775</v>
      </c>
      <c r="L949" s="67">
        <f t="shared" si="261"/>
        <v>2168</v>
      </c>
      <c r="M949" s="67">
        <f t="shared" si="262"/>
        <v>2554</v>
      </c>
      <c r="N949" s="67">
        <f t="shared" si="263"/>
        <v>5195</v>
      </c>
      <c r="O949" s="67">
        <f t="shared" si="264"/>
        <v>711</v>
      </c>
      <c r="P949" s="67">
        <f t="shared" si="265"/>
        <v>1781</v>
      </c>
      <c r="Q949" s="67">
        <f t="shared" si="266"/>
        <v>1682</v>
      </c>
      <c r="R949" s="638">
        <f t="shared" si="286"/>
        <v>139893.3286185661</v>
      </c>
      <c r="S949" s="73"/>
      <c r="AC949" s="642" t="s">
        <v>1505</v>
      </c>
      <c r="AD949" s="67">
        <f t="shared" si="269"/>
        <v>3247</v>
      </c>
      <c r="AE949" s="67">
        <f t="shared" si="270"/>
        <v>412</v>
      </c>
      <c r="AF949" s="67">
        <f t="shared" si="271"/>
        <v>430</v>
      </c>
      <c r="AG949" s="67">
        <f t="shared" si="272"/>
        <v>679</v>
      </c>
      <c r="AH949" s="67">
        <f t="shared" si="273"/>
        <v>0</v>
      </c>
      <c r="AI949" s="67">
        <f t="shared" si="274"/>
        <v>325</v>
      </c>
      <c r="AJ949" s="67">
        <f t="shared" si="275"/>
        <v>226</v>
      </c>
      <c r="AK949" s="67">
        <f t="shared" si="276"/>
        <v>244</v>
      </c>
      <c r="AL949" s="67">
        <f t="shared" si="277"/>
        <v>203</v>
      </c>
      <c r="AM949" s="67">
        <f t="shared" si="278"/>
        <v>65</v>
      </c>
      <c r="AN949" s="67">
        <f t="shared" si="279"/>
        <v>77</v>
      </c>
      <c r="AO949" s="67">
        <f t="shared" si="280"/>
        <v>156</v>
      </c>
      <c r="AP949" s="67">
        <f t="shared" si="281"/>
        <v>21</v>
      </c>
      <c r="AQ949" s="67">
        <f t="shared" si="282"/>
        <v>53</v>
      </c>
      <c r="AR949" s="67">
        <f t="shared" si="283"/>
        <v>50</v>
      </c>
      <c r="AS949" s="636">
        <f t="shared" si="284"/>
        <v>6188</v>
      </c>
      <c r="AU949" s="708">
        <f t="shared" si="285"/>
        <v>4.4233703358880209E-2</v>
      </c>
    </row>
    <row r="950" spans="1:47" ht="15.75" customHeight="1" x14ac:dyDescent="0.3">
      <c r="A950" s="139" t="s">
        <v>1506</v>
      </c>
      <c r="B950" s="67">
        <f t="shared" si="267"/>
        <v>127012</v>
      </c>
      <c r="C950" s="67">
        <f t="shared" si="253"/>
        <v>16153</v>
      </c>
      <c r="D950" s="67">
        <f t="shared" si="254"/>
        <v>16909</v>
      </c>
      <c r="E950" s="67">
        <f t="shared" si="255"/>
        <v>27914</v>
      </c>
      <c r="F950" s="67">
        <f t="shared" si="268"/>
        <v>1636.7237783515229</v>
      </c>
      <c r="G950" s="67">
        <f t="shared" si="256"/>
        <v>-1386.6977386593474</v>
      </c>
      <c r="H950" s="67">
        <f t="shared" si="257"/>
        <v>8405</v>
      </c>
      <c r="I950" s="67">
        <f t="shared" si="258"/>
        <v>5410</v>
      </c>
      <c r="J950" s="67">
        <f t="shared" si="259"/>
        <v>6862</v>
      </c>
      <c r="K950" s="67">
        <f t="shared" si="260"/>
        <v>6130</v>
      </c>
      <c r="L950" s="67">
        <f t="shared" si="261"/>
        <v>1909</v>
      </c>
      <c r="M950" s="67">
        <f t="shared" si="262"/>
        <v>2249</v>
      </c>
      <c r="N950" s="67">
        <f t="shared" si="263"/>
        <v>4456</v>
      </c>
      <c r="O950" s="67">
        <f t="shared" si="264"/>
        <v>672</v>
      </c>
      <c r="P950" s="67">
        <f t="shared" si="265"/>
        <v>1709</v>
      </c>
      <c r="Q950" s="67">
        <f t="shared" si="266"/>
        <v>1567</v>
      </c>
      <c r="R950" s="638">
        <f t="shared" si="286"/>
        <v>227607.02603969219</v>
      </c>
      <c r="S950" s="73"/>
      <c r="AC950" s="642" t="s">
        <v>1506</v>
      </c>
      <c r="AD950" s="67">
        <f t="shared" si="269"/>
        <v>5970</v>
      </c>
      <c r="AE950" s="67">
        <f t="shared" si="270"/>
        <v>759</v>
      </c>
      <c r="AF950" s="67">
        <f t="shared" si="271"/>
        <v>795</v>
      </c>
      <c r="AG950" s="67">
        <f t="shared" si="272"/>
        <v>1312</v>
      </c>
      <c r="AH950" s="67">
        <f t="shared" si="273"/>
        <v>0</v>
      </c>
      <c r="AI950" s="67">
        <f t="shared" si="274"/>
        <v>252</v>
      </c>
      <c r="AJ950" s="67">
        <f t="shared" si="275"/>
        <v>162</v>
      </c>
      <c r="AK950" s="67">
        <f t="shared" si="276"/>
        <v>206</v>
      </c>
      <c r="AL950" s="67">
        <f t="shared" si="277"/>
        <v>184</v>
      </c>
      <c r="AM950" s="67">
        <f t="shared" si="278"/>
        <v>57</v>
      </c>
      <c r="AN950" s="67">
        <f t="shared" si="279"/>
        <v>67</v>
      </c>
      <c r="AO950" s="67">
        <f t="shared" si="280"/>
        <v>134</v>
      </c>
      <c r="AP950" s="67">
        <f t="shared" si="281"/>
        <v>20</v>
      </c>
      <c r="AQ950" s="67">
        <f t="shared" si="282"/>
        <v>51</v>
      </c>
      <c r="AR950" s="67">
        <f t="shared" si="283"/>
        <v>47</v>
      </c>
      <c r="AS950" s="636">
        <f t="shared" si="284"/>
        <v>10016</v>
      </c>
      <c r="AU950" s="708">
        <f t="shared" si="285"/>
        <v>4.4005671416546335E-2</v>
      </c>
    </row>
    <row r="951" spans="1:47" ht="15.75" customHeight="1" x14ac:dyDescent="0.3">
      <c r="A951" s="139" t="s">
        <v>1507</v>
      </c>
      <c r="B951" s="67">
        <f t="shared" si="267"/>
        <v>124009</v>
      </c>
      <c r="C951" s="67">
        <f t="shared" si="253"/>
        <v>15774</v>
      </c>
      <c r="D951" s="67">
        <f t="shared" si="254"/>
        <v>16515</v>
      </c>
      <c r="E951" s="67">
        <f t="shared" si="255"/>
        <v>27515</v>
      </c>
      <c r="F951" s="67">
        <f t="shared" si="268"/>
        <v>7963.6404050895908</v>
      </c>
      <c r="G951" s="67">
        <f t="shared" si="256"/>
        <v>0</v>
      </c>
      <c r="H951" s="67">
        <f t="shared" si="257"/>
        <v>4324</v>
      </c>
      <c r="I951" s="67">
        <f t="shared" si="258"/>
        <v>2039</v>
      </c>
      <c r="J951" s="67">
        <f t="shared" si="259"/>
        <v>2717</v>
      </c>
      <c r="K951" s="67">
        <f t="shared" si="260"/>
        <v>2527</v>
      </c>
      <c r="L951" s="67">
        <f t="shared" si="261"/>
        <v>708</v>
      </c>
      <c r="M951" s="67">
        <f t="shared" si="262"/>
        <v>832</v>
      </c>
      <c r="N951" s="67">
        <f t="shared" si="263"/>
        <v>1535</v>
      </c>
      <c r="O951" s="67">
        <f t="shared" si="264"/>
        <v>641</v>
      </c>
      <c r="P951" s="67">
        <f t="shared" si="265"/>
        <v>1615</v>
      </c>
      <c r="Q951" s="67">
        <f t="shared" si="266"/>
        <v>1516</v>
      </c>
      <c r="R951" s="638">
        <f t="shared" si="286"/>
        <v>210230.64040508959</v>
      </c>
      <c r="S951" s="73"/>
      <c r="AC951" s="642" t="s">
        <v>1507</v>
      </c>
      <c r="AD951" s="67">
        <f t="shared" si="269"/>
        <v>5828</v>
      </c>
      <c r="AE951" s="67">
        <f t="shared" si="270"/>
        <v>741</v>
      </c>
      <c r="AF951" s="67">
        <f t="shared" si="271"/>
        <v>776</v>
      </c>
      <c r="AG951" s="67">
        <f t="shared" si="272"/>
        <v>1293</v>
      </c>
      <c r="AH951" s="67">
        <f t="shared" si="273"/>
        <v>0</v>
      </c>
      <c r="AI951" s="67">
        <f t="shared" si="274"/>
        <v>130</v>
      </c>
      <c r="AJ951" s="67">
        <f t="shared" si="275"/>
        <v>61</v>
      </c>
      <c r="AK951" s="67">
        <f t="shared" si="276"/>
        <v>82</v>
      </c>
      <c r="AL951" s="67">
        <f t="shared" si="277"/>
        <v>76</v>
      </c>
      <c r="AM951" s="67">
        <f t="shared" si="278"/>
        <v>21</v>
      </c>
      <c r="AN951" s="67">
        <f t="shared" si="279"/>
        <v>25</v>
      </c>
      <c r="AO951" s="67">
        <f t="shared" si="280"/>
        <v>46</v>
      </c>
      <c r="AP951" s="67">
        <f t="shared" si="281"/>
        <v>19</v>
      </c>
      <c r="AQ951" s="67">
        <f t="shared" si="282"/>
        <v>48</v>
      </c>
      <c r="AR951" s="67">
        <f t="shared" si="283"/>
        <v>45</v>
      </c>
      <c r="AS951" s="636">
        <f t="shared" si="284"/>
        <v>9191</v>
      </c>
      <c r="AU951" s="708">
        <f t="shared" si="285"/>
        <v>4.3718651012478627E-2</v>
      </c>
    </row>
    <row r="952" spans="1:47" ht="15.75" customHeight="1" x14ac:dyDescent="0.3">
      <c r="A952" s="139" t="s">
        <v>1508</v>
      </c>
      <c r="B952" s="67">
        <f t="shared" si="267"/>
        <v>121521</v>
      </c>
      <c r="C952" s="67">
        <f t="shared" si="253"/>
        <v>15463</v>
      </c>
      <c r="D952" s="67">
        <f t="shared" si="254"/>
        <v>16195</v>
      </c>
      <c r="E952" s="67">
        <f t="shared" si="255"/>
        <v>27271</v>
      </c>
      <c r="F952" s="67">
        <f t="shared" si="268"/>
        <v>12442.748662685019</v>
      </c>
      <c r="G952" s="67">
        <f t="shared" si="256"/>
        <v>0</v>
      </c>
      <c r="H952" s="67">
        <f t="shared" si="257"/>
        <v>2460</v>
      </c>
      <c r="I952" s="67">
        <f t="shared" si="258"/>
        <v>642</v>
      </c>
      <c r="J952" s="67">
        <f t="shared" si="259"/>
        <v>890</v>
      </c>
      <c r="K952" s="67">
        <f t="shared" si="260"/>
        <v>801</v>
      </c>
      <c r="L952" s="67">
        <f t="shared" si="261"/>
        <v>139</v>
      </c>
      <c r="M952" s="67">
        <f t="shared" si="262"/>
        <v>162</v>
      </c>
      <c r="N952" s="67">
        <f t="shared" si="263"/>
        <v>315</v>
      </c>
      <c r="O952" s="67">
        <f t="shared" si="264"/>
        <v>198</v>
      </c>
      <c r="P952" s="67">
        <f t="shared" si="265"/>
        <v>803</v>
      </c>
      <c r="Q952" s="67">
        <f t="shared" si="266"/>
        <v>468</v>
      </c>
      <c r="R952" s="638">
        <f t="shared" si="286"/>
        <v>199770.74866268502</v>
      </c>
      <c r="S952" s="73"/>
      <c r="AC952" s="642" t="s">
        <v>1508</v>
      </c>
      <c r="AD952" s="67">
        <f t="shared" si="269"/>
        <v>5711</v>
      </c>
      <c r="AE952" s="67">
        <f t="shared" si="270"/>
        <v>727</v>
      </c>
      <c r="AF952" s="67">
        <f t="shared" si="271"/>
        <v>761</v>
      </c>
      <c r="AG952" s="67">
        <f t="shared" si="272"/>
        <v>1282</v>
      </c>
      <c r="AH952" s="67">
        <f t="shared" si="273"/>
        <v>0</v>
      </c>
      <c r="AI952" s="67">
        <f t="shared" si="274"/>
        <v>74</v>
      </c>
      <c r="AJ952" s="67">
        <f t="shared" si="275"/>
        <v>19</v>
      </c>
      <c r="AK952" s="67">
        <f t="shared" si="276"/>
        <v>27</v>
      </c>
      <c r="AL952" s="67">
        <f t="shared" si="277"/>
        <v>24</v>
      </c>
      <c r="AM952" s="67">
        <f t="shared" si="278"/>
        <v>4</v>
      </c>
      <c r="AN952" s="67">
        <f t="shared" si="279"/>
        <v>5</v>
      </c>
      <c r="AO952" s="67">
        <f t="shared" si="280"/>
        <v>9</v>
      </c>
      <c r="AP952" s="67">
        <f t="shared" si="281"/>
        <v>6</v>
      </c>
      <c r="AQ952" s="67">
        <f t="shared" si="282"/>
        <v>24</v>
      </c>
      <c r="AR952" s="67">
        <f t="shared" si="283"/>
        <v>14</v>
      </c>
      <c r="AS952" s="636">
        <f t="shared" si="284"/>
        <v>8687</v>
      </c>
      <c r="AU952" s="708">
        <f t="shared" si="285"/>
        <v>4.3484844794109918E-2</v>
      </c>
    </row>
    <row r="953" spans="1:47" ht="15.75" customHeight="1" x14ac:dyDescent="0.3">
      <c r="A953" s="139" t="s">
        <v>1509</v>
      </c>
      <c r="B953" s="67">
        <f t="shared" si="267"/>
        <v>135290</v>
      </c>
      <c r="C953" s="67">
        <f t="shared" si="253"/>
        <v>17224</v>
      </c>
      <c r="D953" s="67">
        <f t="shared" si="254"/>
        <v>18049</v>
      </c>
      <c r="E953" s="67">
        <f t="shared" si="255"/>
        <v>30277</v>
      </c>
      <c r="F953" s="67">
        <f t="shared" si="268"/>
        <v>14112.371111347127</v>
      </c>
      <c r="G953" s="67">
        <f t="shared" si="256"/>
        <v>-10.141620991627168</v>
      </c>
      <c r="H953" s="67">
        <f t="shared" si="257"/>
        <v>3738</v>
      </c>
      <c r="I953" s="67">
        <f t="shared" si="258"/>
        <v>2029</v>
      </c>
      <c r="J953" s="67">
        <f t="shared" si="259"/>
        <v>2871</v>
      </c>
      <c r="K953" s="67">
        <f t="shared" si="260"/>
        <v>2940</v>
      </c>
      <c r="L953" s="67">
        <f t="shared" si="261"/>
        <v>713</v>
      </c>
      <c r="M953" s="67">
        <f t="shared" si="262"/>
        <v>840</v>
      </c>
      <c r="N953" s="67">
        <f t="shared" si="263"/>
        <v>1777</v>
      </c>
      <c r="O953" s="67">
        <f t="shared" si="264"/>
        <v>555</v>
      </c>
      <c r="P953" s="67">
        <f t="shared" si="265"/>
        <v>1141</v>
      </c>
      <c r="Q953" s="67">
        <f t="shared" si="266"/>
        <v>1313</v>
      </c>
      <c r="R953" s="638">
        <f t="shared" si="286"/>
        <v>232859.2294903555</v>
      </c>
      <c r="S953" s="73"/>
      <c r="AC953" s="642" t="s">
        <v>1509</v>
      </c>
      <c r="AD953" s="67">
        <f t="shared" si="269"/>
        <v>6359</v>
      </c>
      <c r="AE953" s="67">
        <f t="shared" si="270"/>
        <v>810</v>
      </c>
      <c r="AF953" s="67">
        <f t="shared" si="271"/>
        <v>848</v>
      </c>
      <c r="AG953" s="67">
        <f t="shared" si="272"/>
        <v>1423</v>
      </c>
      <c r="AH953" s="67">
        <f t="shared" si="273"/>
        <v>0</v>
      </c>
      <c r="AI953" s="67">
        <f t="shared" si="274"/>
        <v>112</v>
      </c>
      <c r="AJ953" s="67">
        <f t="shared" si="275"/>
        <v>61</v>
      </c>
      <c r="AK953" s="67">
        <f t="shared" si="276"/>
        <v>86</v>
      </c>
      <c r="AL953" s="67">
        <f t="shared" si="277"/>
        <v>88</v>
      </c>
      <c r="AM953" s="67">
        <f t="shared" si="278"/>
        <v>21</v>
      </c>
      <c r="AN953" s="67">
        <f t="shared" si="279"/>
        <v>25</v>
      </c>
      <c r="AO953" s="67">
        <f t="shared" si="280"/>
        <v>53</v>
      </c>
      <c r="AP953" s="67">
        <f t="shared" si="281"/>
        <v>17</v>
      </c>
      <c r="AQ953" s="67">
        <f t="shared" si="282"/>
        <v>34</v>
      </c>
      <c r="AR953" s="67">
        <f t="shared" si="283"/>
        <v>39</v>
      </c>
      <c r="AS953" s="636">
        <f t="shared" si="284"/>
        <v>9976</v>
      </c>
      <c r="AU953" s="708">
        <f t="shared" si="285"/>
        <v>4.2841333890152648E-2</v>
      </c>
    </row>
    <row r="954" spans="1:47" ht="15.75" customHeight="1" x14ac:dyDescent="0.3">
      <c r="A954" s="553"/>
      <c r="B954" s="67"/>
      <c r="C954" s="67"/>
      <c r="D954" s="67"/>
      <c r="E954" s="67"/>
      <c r="F954" s="67"/>
      <c r="G954" s="67"/>
      <c r="H954" s="67"/>
      <c r="I954" s="67"/>
      <c r="J954" s="67"/>
      <c r="K954" s="67"/>
      <c r="L954" s="67"/>
      <c r="M954" s="67"/>
      <c r="N954" s="67"/>
      <c r="O954" s="67"/>
      <c r="P954" s="67"/>
      <c r="Q954" s="67"/>
      <c r="R954" s="636"/>
      <c r="S954" s="73"/>
      <c r="AC954" s="579"/>
      <c r="AD954" s="67"/>
      <c r="AE954" s="67"/>
      <c r="AF954" s="67"/>
      <c r="AG954" s="67"/>
      <c r="AH954" s="67"/>
      <c r="AI954" s="67"/>
      <c r="AJ954" s="67"/>
      <c r="AK954" s="67"/>
      <c r="AL954" s="67"/>
      <c r="AM954" s="67"/>
      <c r="AN954" s="67"/>
      <c r="AO954" s="67"/>
      <c r="AP954" s="67"/>
      <c r="AQ954" s="67"/>
      <c r="AR954" s="67"/>
      <c r="AS954" s="636"/>
    </row>
    <row r="955" spans="1:47" ht="15.75" customHeight="1" thickBot="1" x14ac:dyDescent="0.35">
      <c r="A955" s="553" t="s">
        <v>2356</v>
      </c>
      <c r="B955" s="67">
        <f>SUM(B942:B953)</f>
        <v>1356595</v>
      </c>
      <c r="C955" s="67">
        <f t="shared" ref="C955:Q955" si="287">SUM(C942:C953)</f>
        <v>172515</v>
      </c>
      <c r="D955" s="67">
        <f t="shared" si="287"/>
        <v>180572</v>
      </c>
      <c r="E955" s="67">
        <f t="shared" si="287"/>
        <v>298746</v>
      </c>
      <c r="F955" s="67">
        <f t="shared" si="287"/>
        <v>69583.464724909238</v>
      </c>
      <c r="G955" s="67">
        <f t="shared" si="287"/>
        <v>-41185.244050186833</v>
      </c>
      <c r="H955" s="67">
        <f t="shared" si="287"/>
        <v>89000</v>
      </c>
      <c r="I955" s="67">
        <f t="shared" si="287"/>
        <v>55864</v>
      </c>
      <c r="J955" s="67">
        <f t="shared" si="287"/>
        <v>66005</v>
      </c>
      <c r="K955" s="67">
        <f t="shared" si="287"/>
        <v>58583</v>
      </c>
      <c r="L955" s="67">
        <f t="shared" si="287"/>
        <v>18484</v>
      </c>
      <c r="M955" s="67">
        <f t="shared" si="287"/>
        <v>21770</v>
      </c>
      <c r="N955" s="67">
        <f t="shared" si="287"/>
        <v>43609</v>
      </c>
      <c r="O955" s="67">
        <f t="shared" si="287"/>
        <v>7662</v>
      </c>
      <c r="P955" s="67">
        <f t="shared" si="287"/>
        <v>14951</v>
      </c>
      <c r="Q955" s="67">
        <f t="shared" si="287"/>
        <v>18098</v>
      </c>
      <c r="R955" s="639">
        <f>SUM(R942:R953)</f>
        <v>2430852.2206747225</v>
      </c>
      <c r="S955" s="73"/>
      <c r="AC955" s="644" t="s">
        <v>2356</v>
      </c>
      <c r="AD955" s="555">
        <f>SUM(AD942:AD953)</f>
        <v>63760</v>
      </c>
      <c r="AE955" s="555">
        <f t="shared" ref="AE955:AS955" si="288">SUM(AE942:AE953)</f>
        <v>8108</v>
      </c>
      <c r="AF955" s="555">
        <f t="shared" si="288"/>
        <v>8486</v>
      </c>
      <c r="AG955" s="555">
        <f t="shared" si="288"/>
        <v>14043</v>
      </c>
      <c r="AH955" s="555">
        <f t="shared" si="288"/>
        <v>0</v>
      </c>
      <c r="AI955" s="555">
        <f t="shared" si="288"/>
        <v>2670</v>
      </c>
      <c r="AJ955" s="555">
        <f t="shared" si="288"/>
        <v>1674</v>
      </c>
      <c r="AK955" s="555">
        <f t="shared" si="288"/>
        <v>1980</v>
      </c>
      <c r="AL955" s="555">
        <f t="shared" si="288"/>
        <v>1758</v>
      </c>
      <c r="AM955" s="555">
        <f t="shared" si="288"/>
        <v>553</v>
      </c>
      <c r="AN955" s="555">
        <f t="shared" si="288"/>
        <v>653</v>
      </c>
      <c r="AO955" s="555">
        <f t="shared" si="288"/>
        <v>1308</v>
      </c>
      <c r="AP955" s="555">
        <f t="shared" si="288"/>
        <v>230</v>
      </c>
      <c r="AQ955" s="555">
        <f t="shared" si="288"/>
        <v>446</v>
      </c>
      <c r="AR955" s="555">
        <f t="shared" si="288"/>
        <v>542</v>
      </c>
      <c r="AS955" s="637">
        <f t="shared" si="288"/>
        <v>106211</v>
      </c>
      <c r="AU955" s="708">
        <f t="shared" si="285"/>
        <v>4.3692906996427541E-2</v>
      </c>
    </row>
    <row r="956" spans="1:47" ht="16.5" customHeight="1" thickBot="1" x14ac:dyDescent="0.35">
      <c r="A956" s="558" t="s">
        <v>852</v>
      </c>
      <c r="B956" s="555"/>
      <c r="C956" s="555"/>
      <c r="D956" s="555"/>
      <c r="E956" s="555"/>
      <c r="F956" s="555"/>
      <c r="G956" s="555"/>
      <c r="H956" s="555"/>
      <c r="I956" s="555"/>
      <c r="J956" s="555"/>
      <c r="K956" s="555"/>
      <c r="L956" s="555"/>
      <c r="M956" s="555"/>
      <c r="N956" s="555"/>
      <c r="O956" s="555"/>
      <c r="P956" s="555"/>
      <c r="Q956" s="555"/>
      <c r="R956" s="637"/>
      <c r="S956" s="67"/>
    </row>
    <row r="957" spans="1:47" ht="15.75" customHeight="1" x14ac:dyDescent="0.3">
      <c r="A957" s="67"/>
      <c r="B957" s="67"/>
      <c r="C957" s="67"/>
      <c r="D957" s="67"/>
      <c r="E957" s="67"/>
      <c r="F957" s="67"/>
      <c r="G957" s="67"/>
      <c r="H957" s="67"/>
      <c r="I957" s="67"/>
      <c r="J957" s="67"/>
      <c r="K957" s="67"/>
      <c r="L957" s="67"/>
      <c r="M957" s="67"/>
      <c r="N957" s="67"/>
      <c r="O957" s="67"/>
      <c r="P957" s="67"/>
      <c r="Q957" s="67"/>
      <c r="R957" s="67"/>
    </row>
    <row r="958" spans="1:47" ht="15.75" customHeight="1" x14ac:dyDescent="0.3"/>
    <row r="959" spans="1:47" ht="15.75" customHeight="1" thickBot="1" x14ac:dyDescent="0.35"/>
    <row r="960" spans="1:47" ht="15.75" customHeight="1" thickBot="1" x14ac:dyDescent="0.35">
      <c r="B960" s="790" t="s">
        <v>2921</v>
      </c>
      <c r="C960" s="782"/>
      <c r="D960" s="782"/>
      <c r="E960" s="782"/>
      <c r="F960" s="782"/>
      <c r="G960" s="782"/>
      <c r="H960" s="782"/>
      <c r="I960" s="782"/>
      <c r="J960" s="782"/>
      <c r="K960" s="782"/>
      <c r="L960" s="782"/>
      <c r="M960" s="782"/>
      <c r="N960" s="782"/>
      <c r="O960" s="782"/>
      <c r="P960" s="782"/>
      <c r="Q960" s="678" t="str">
        <f>+Q1</f>
        <v xml:space="preserve">PRINTED:  </v>
      </c>
      <c r="R960" s="682">
        <f ca="1">+R1</f>
        <v>44881.729634027775</v>
      </c>
      <c r="S960" s="701"/>
      <c r="T960" s="703"/>
      <c r="U960" s="703"/>
      <c r="V960" s="702"/>
    </row>
    <row r="961" spans="1:45" ht="15.75" customHeight="1" x14ac:dyDescent="0.3">
      <c r="B961" s="791">
        <f>+A5</f>
        <v>2017</v>
      </c>
      <c r="C961" s="787"/>
      <c r="D961" s="787"/>
      <c r="E961" s="787"/>
      <c r="F961" s="787"/>
      <c r="G961" s="787"/>
      <c r="H961" s="787"/>
      <c r="I961" s="787"/>
      <c r="J961" s="787"/>
      <c r="K961" s="787"/>
      <c r="L961" s="787"/>
      <c r="M961" s="787"/>
      <c r="N961" s="787"/>
      <c r="O961" s="787"/>
      <c r="P961" s="787"/>
      <c r="Q961" s="67"/>
      <c r="R961" s="67"/>
      <c r="S961" s="67"/>
      <c r="V961" s="727"/>
      <c r="AC961" s="685"/>
      <c r="AD961" s="782" t="s">
        <v>2923</v>
      </c>
      <c r="AE961" s="785"/>
      <c r="AF961" s="785"/>
      <c r="AG961" s="785"/>
      <c r="AH961" s="785"/>
      <c r="AI961" s="785"/>
      <c r="AJ961" s="785"/>
      <c r="AK961" s="785"/>
      <c r="AL961" s="785"/>
      <c r="AM961" s="785"/>
      <c r="AN961" s="785"/>
      <c r="AO961" s="785"/>
      <c r="AP961" s="785"/>
      <c r="AQ961" s="785"/>
      <c r="AR961" s="678" t="str">
        <f>$Q$1</f>
        <v xml:space="preserve">PRINTED:  </v>
      </c>
      <c r="AS961" s="686">
        <f ca="1">$R$1</f>
        <v>44881.729634027775</v>
      </c>
    </row>
    <row r="962" spans="1:45" ht="15.75" customHeight="1" x14ac:dyDescent="0.3">
      <c r="B962" s="792" t="str">
        <f>+A8</f>
        <v>Revised:  1/18/2018</v>
      </c>
      <c r="C962" s="786"/>
      <c r="D962" s="786"/>
      <c r="E962" s="786"/>
      <c r="F962" s="786"/>
      <c r="G962" s="786"/>
      <c r="H962" s="786"/>
      <c r="I962" s="786"/>
      <c r="J962" s="786"/>
      <c r="K962" s="786"/>
      <c r="L962" s="786"/>
      <c r="M962" s="786"/>
      <c r="N962" s="786"/>
      <c r="O962" s="786"/>
      <c r="P962" s="786"/>
      <c r="Q962" s="67"/>
      <c r="R962" s="67"/>
      <c r="S962" s="67"/>
      <c r="V962" s="727"/>
      <c r="AC962" s="579"/>
      <c r="AD962" s="786" t="str">
        <f>+$A$8</f>
        <v>Revised:  1/18/2018</v>
      </c>
      <c r="AE962" s="788"/>
      <c r="AF962" s="788"/>
      <c r="AG962" s="788"/>
      <c r="AH962" s="788"/>
      <c r="AI962" s="788"/>
      <c r="AJ962" s="788"/>
      <c r="AK962" s="788"/>
      <c r="AL962" s="788"/>
      <c r="AM962" s="788"/>
      <c r="AN962" s="788"/>
      <c r="AO962" s="788"/>
      <c r="AP962" s="788"/>
      <c r="AQ962" s="788"/>
      <c r="AR962" s="139"/>
      <c r="AS962" s="561"/>
    </row>
    <row r="963" spans="1:45" ht="15.75" customHeight="1" thickBot="1" x14ac:dyDescent="0.35">
      <c r="B963" s="793" t="s">
        <v>2676</v>
      </c>
      <c r="C963" s="794"/>
      <c r="D963" s="794"/>
      <c r="E963" s="794"/>
      <c r="F963" s="794"/>
      <c r="G963" s="794"/>
      <c r="H963" s="794"/>
      <c r="I963" s="794"/>
      <c r="J963" s="794"/>
      <c r="K963" s="794"/>
      <c r="L963" s="794"/>
      <c r="M963" s="794"/>
      <c r="N963" s="794"/>
      <c r="O963" s="794"/>
      <c r="P963" s="794"/>
      <c r="Q963" s="67"/>
      <c r="R963" s="67"/>
      <c r="S963" s="555"/>
      <c r="V963" s="727"/>
      <c r="AC963" s="579"/>
      <c r="AD963" s="786" t="s">
        <v>2878</v>
      </c>
      <c r="AE963" s="789"/>
      <c r="AF963" s="789"/>
      <c r="AG963" s="789"/>
      <c r="AH963" s="789"/>
      <c r="AI963" s="789"/>
      <c r="AJ963" s="789"/>
      <c r="AK963" s="789"/>
      <c r="AL963" s="789"/>
      <c r="AM963" s="789"/>
      <c r="AN963" s="789"/>
      <c r="AO963" s="789"/>
      <c r="AP963" s="789"/>
      <c r="AQ963" s="789"/>
      <c r="AS963" s="561"/>
    </row>
    <row r="964" spans="1:45" ht="15.75" customHeight="1" thickBot="1" x14ac:dyDescent="0.35">
      <c r="A964" s="649"/>
      <c r="B964" s="795" t="s">
        <v>2633</v>
      </c>
      <c r="C964" s="796"/>
      <c r="D964" s="796"/>
      <c r="E964" s="796"/>
      <c r="F964" s="797"/>
      <c r="G964" s="795" t="s">
        <v>2674</v>
      </c>
      <c r="H964" s="796"/>
      <c r="I964" s="796"/>
      <c r="J964" s="796"/>
      <c r="K964" s="796"/>
      <c r="L964" s="796"/>
      <c r="M964" s="798" t="s">
        <v>2677</v>
      </c>
      <c r="N964" s="799"/>
      <c r="O964" s="799"/>
      <c r="P964" s="799"/>
      <c r="Q964" s="799"/>
      <c r="R964" s="800"/>
      <c r="S964" s="795" t="s">
        <v>2682</v>
      </c>
      <c r="T964" s="801"/>
      <c r="U964" s="802"/>
      <c r="V964" s="712"/>
      <c r="AC964" s="579"/>
      <c r="AS964" s="561"/>
    </row>
    <row r="965" spans="1:45" ht="15.75" customHeight="1" x14ac:dyDescent="0.3">
      <c r="A965" s="649"/>
      <c r="B965" s="553" t="s">
        <v>2439</v>
      </c>
      <c r="C965" s="70"/>
      <c r="D965" s="70" t="s">
        <v>336</v>
      </c>
      <c r="E965" s="70" t="s">
        <v>596</v>
      </c>
      <c r="F965" s="562" t="s">
        <v>2652</v>
      </c>
      <c r="G965" s="553" t="s">
        <v>228</v>
      </c>
      <c r="H965" s="70"/>
      <c r="I965" s="70"/>
      <c r="J965" s="70" t="s">
        <v>229</v>
      </c>
      <c r="K965" s="70" t="s">
        <v>2638</v>
      </c>
      <c r="L965" s="70" t="s">
        <v>2639</v>
      </c>
      <c r="M965" s="803" t="s">
        <v>3116</v>
      </c>
      <c r="N965" s="804"/>
      <c r="O965" s="805"/>
      <c r="P965" s="604"/>
      <c r="Q965" s="599"/>
      <c r="R965" s="713"/>
      <c r="S965" s="70" t="s">
        <v>2683</v>
      </c>
      <c r="T965" s="610" t="s">
        <v>134</v>
      </c>
      <c r="U965" s="611" t="s">
        <v>2685</v>
      </c>
      <c r="V965" s="712"/>
      <c r="AC965" s="579"/>
      <c r="AD965" s="787">
        <f>$A$5</f>
        <v>2017</v>
      </c>
      <c r="AE965" s="789"/>
      <c r="AF965" s="789"/>
      <c r="AG965" s="789"/>
      <c r="AH965" s="789"/>
      <c r="AI965" s="789"/>
      <c r="AJ965" s="789"/>
      <c r="AK965" s="789"/>
      <c r="AL965" s="789"/>
      <c r="AM965" s="789"/>
      <c r="AN965" s="789"/>
      <c r="AO965" s="789"/>
      <c r="AP965" s="789"/>
      <c r="AQ965" s="789"/>
      <c r="AS965" s="561"/>
    </row>
    <row r="966" spans="1:45" ht="15.75" customHeight="1" x14ac:dyDescent="0.3">
      <c r="A966" s="649"/>
      <c r="B966" s="593" t="s">
        <v>2648</v>
      </c>
      <c r="C966" s="588" t="s">
        <v>2656</v>
      </c>
      <c r="D966" s="588" t="s">
        <v>2651</v>
      </c>
      <c r="E966" s="70" t="s">
        <v>335</v>
      </c>
      <c r="F966" s="591" t="s">
        <v>2653</v>
      </c>
      <c r="G966" s="553" t="s">
        <v>2463</v>
      </c>
      <c r="H966" s="70" t="s">
        <v>1416</v>
      </c>
      <c r="I966" s="70" t="s">
        <v>1417</v>
      </c>
      <c r="J966" s="588" t="s">
        <v>2632</v>
      </c>
      <c r="K966" s="70" t="s">
        <v>2634</v>
      </c>
      <c r="L966" s="588" t="s">
        <v>2637</v>
      </c>
      <c r="M966" s="603" t="s">
        <v>2679</v>
      </c>
      <c r="N966" s="604" t="s">
        <v>2680</v>
      </c>
      <c r="O966" s="630" t="s">
        <v>2356</v>
      </c>
      <c r="P966" s="604" t="s">
        <v>3112</v>
      </c>
      <c r="Q966" s="604" t="s">
        <v>3112</v>
      </c>
      <c r="R966" s="630" t="s">
        <v>3117</v>
      </c>
      <c r="S966" s="70" t="s">
        <v>2684</v>
      </c>
      <c r="T966" s="70" t="s">
        <v>2686</v>
      </c>
      <c r="U966" s="562" t="s">
        <v>2687</v>
      </c>
      <c r="V966" s="712"/>
      <c r="AC966" s="579"/>
      <c r="AD966" s="786" t="s">
        <v>2919</v>
      </c>
      <c r="AE966" s="788"/>
      <c r="AF966" s="788"/>
      <c r="AG966" s="788"/>
      <c r="AH966" s="788"/>
      <c r="AI966" s="788"/>
      <c r="AJ966" s="788"/>
      <c r="AK966" s="788"/>
      <c r="AL966" s="788"/>
      <c r="AM966" s="788"/>
      <c r="AN966" s="788"/>
      <c r="AO966" s="788"/>
      <c r="AP966" s="788"/>
      <c r="AQ966" s="788"/>
      <c r="AR966" s="70"/>
      <c r="AS966" s="561"/>
    </row>
    <row r="967" spans="1:45" ht="15.75" customHeight="1" x14ac:dyDescent="0.3">
      <c r="A967" s="649"/>
      <c r="B967" s="594" t="s">
        <v>2654</v>
      </c>
      <c r="C967" s="217">
        <v>0</v>
      </c>
      <c r="D967" s="217"/>
      <c r="E967" s="70" t="s">
        <v>133</v>
      </c>
      <c r="F967" s="595" t="s">
        <v>2649</v>
      </c>
      <c r="G967" s="553" t="s">
        <v>2650</v>
      </c>
      <c r="H967" s="70" t="s">
        <v>335</v>
      </c>
      <c r="I967" s="70" t="s">
        <v>335</v>
      </c>
      <c r="J967" s="70" t="s">
        <v>335</v>
      </c>
      <c r="K967" s="70" t="s">
        <v>134</v>
      </c>
      <c r="L967" s="70" t="s">
        <v>2636</v>
      </c>
      <c r="M967" s="605" t="s">
        <v>955</v>
      </c>
      <c r="N967" s="599" t="s">
        <v>2681</v>
      </c>
      <c r="O967" s="630" t="s">
        <v>2688</v>
      </c>
      <c r="P967" s="599" t="s">
        <v>3113</v>
      </c>
      <c r="Q967" s="604" t="s">
        <v>3113</v>
      </c>
      <c r="R967" s="630" t="s">
        <v>2688</v>
      </c>
      <c r="S967" s="70" t="s">
        <v>335</v>
      </c>
      <c r="T967" s="70" t="s">
        <v>335</v>
      </c>
      <c r="U967" s="562" t="s">
        <v>335</v>
      </c>
      <c r="V967" s="712"/>
      <c r="AC967" s="579"/>
      <c r="AK967" s="670"/>
      <c r="AS967" s="561"/>
    </row>
    <row r="968" spans="1:45" ht="15.75" customHeight="1" thickBot="1" x14ac:dyDescent="0.35">
      <c r="A968" s="592" t="s">
        <v>249</v>
      </c>
      <c r="B968" s="553" t="s">
        <v>998</v>
      </c>
      <c r="C968" s="70" t="s">
        <v>998</v>
      </c>
      <c r="D968" s="70" t="s">
        <v>998</v>
      </c>
      <c r="E968" s="70" t="s">
        <v>998</v>
      </c>
      <c r="F968" s="562" t="s">
        <v>998</v>
      </c>
      <c r="G968" s="553" t="s">
        <v>998</v>
      </c>
      <c r="H968" s="70" t="s">
        <v>998</v>
      </c>
      <c r="I968" s="70" t="s">
        <v>998</v>
      </c>
      <c r="J968" s="70" t="s">
        <v>998</v>
      </c>
      <c r="K968" s="70" t="s">
        <v>998</v>
      </c>
      <c r="L968" s="70" t="s">
        <v>998</v>
      </c>
      <c r="M968" s="605" t="s">
        <v>998</v>
      </c>
      <c r="N968" s="599" t="s">
        <v>998</v>
      </c>
      <c r="O968" s="630" t="s">
        <v>998</v>
      </c>
      <c r="P968" s="599" t="s">
        <v>3013</v>
      </c>
      <c r="Q968" s="604" t="s">
        <v>998</v>
      </c>
      <c r="R968" s="630" t="s">
        <v>998</v>
      </c>
      <c r="S968" s="70" t="s">
        <v>998</v>
      </c>
      <c r="T968" s="70" t="s">
        <v>998</v>
      </c>
      <c r="U968" s="562" t="s">
        <v>998</v>
      </c>
      <c r="V968" s="712"/>
      <c r="AC968" s="579"/>
      <c r="AD968" s="634" t="s">
        <v>1308</v>
      </c>
      <c r="AE968" s="634" t="s">
        <v>1309</v>
      </c>
      <c r="AF968" s="634" t="s">
        <v>1029</v>
      </c>
      <c r="AG968" s="634" t="s">
        <v>1030</v>
      </c>
      <c r="AH968" s="634" t="s">
        <v>284</v>
      </c>
      <c r="AI968" s="634" t="s">
        <v>285</v>
      </c>
      <c r="AJ968" s="634" t="s">
        <v>286</v>
      </c>
      <c r="AK968" s="634" t="s">
        <v>287</v>
      </c>
      <c r="AL968" s="634" t="s">
        <v>288</v>
      </c>
      <c r="AM968" s="634" t="s">
        <v>289</v>
      </c>
      <c r="AN968" s="634" t="s">
        <v>633</v>
      </c>
      <c r="AO968" s="634" t="s">
        <v>634</v>
      </c>
      <c r="AP968" s="634" t="s">
        <v>1192</v>
      </c>
      <c r="AQ968" s="634" t="s">
        <v>524</v>
      </c>
      <c r="AR968" s="634" t="s">
        <v>525</v>
      </c>
      <c r="AS968" s="684" t="s">
        <v>2356</v>
      </c>
    </row>
    <row r="969" spans="1:45" ht="15.75" customHeight="1" x14ac:dyDescent="0.3">
      <c r="A969" s="592" t="s">
        <v>1353</v>
      </c>
      <c r="B969" s="553" t="s">
        <v>1353</v>
      </c>
      <c r="C969" s="70" t="s">
        <v>1353</v>
      </c>
      <c r="D969" s="70" t="s">
        <v>1353</v>
      </c>
      <c r="E969" s="70" t="s">
        <v>2202</v>
      </c>
      <c r="F969" s="562" t="s">
        <v>1353</v>
      </c>
      <c r="G969" s="553" t="s">
        <v>1353</v>
      </c>
      <c r="H969" s="70" t="s">
        <v>2119</v>
      </c>
      <c r="I969" s="70" t="s">
        <v>2119</v>
      </c>
      <c r="J969" s="70" t="s">
        <v>1353</v>
      </c>
      <c r="K969" s="70" t="s">
        <v>1353</v>
      </c>
      <c r="L969" s="70" t="s">
        <v>1353</v>
      </c>
      <c r="M969" s="605" t="s">
        <v>1353</v>
      </c>
      <c r="N969" s="599" t="s">
        <v>1353</v>
      </c>
      <c r="O969" s="630" t="s">
        <v>1353</v>
      </c>
      <c r="P969" s="605" t="s">
        <v>1353</v>
      </c>
      <c r="Q969" s="599" t="s">
        <v>1353</v>
      </c>
      <c r="R969" s="630" t="s">
        <v>1353</v>
      </c>
      <c r="S969" s="70" t="s">
        <v>1353</v>
      </c>
      <c r="T969" s="70" t="s">
        <v>1353</v>
      </c>
      <c r="U969" s="562" t="s">
        <v>1353</v>
      </c>
      <c r="V969" s="712"/>
      <c r="AC969" s="579"/>
      <c r="AD969" s="67"/>
      <c r="AE969" s="67"/>
      <c r="AF969" s="67"/>
      <c r="AG969" s="67"/>
      <c r="AH969" s="70" t="s">
        <v>2910</v>
      </c>
      <c r="AI969" s="67"/>
      <c r="AJ969" s="67"/>
      <c r="AK969" s="67"/>
      <c r="AL969" s="67"/>
      <c r="AM969" s="67"/>
      <c r="AN969" s="67"/>
      <c r="AO969" s="67"/>
      <c r="AP969" s="67"/>
      <c r="AQ969" s="67"/>
      <c r="AR969" s="67"/>
      <c r="AS969" s="636"/>
    </row>
    <row r="970" spans="1:45" ht="15.75" customHeight="1" x14ac:dyDescent="0.3">
      <c r="A970" s="139" t="s">
        <v>2843</v>
      </c>
      <c r="B970" s="553">
        <f>ROUND(R942-G942,0)</f>
        <v>216984</v>
      </c>
      <c r="C970" s="70">
        <f>+ROUND(B970*$C$967,0)</f>
        <v>0</v>
      </c>
      <c r="D970" s="70">
        <f>AS942</f>
        <v>8990</v>
      </c>
      <c r="E970" s="70">
        <f>+B970+C970</f>
        <v>216984</v>
      </c>
      <c r="F970" s="562">
        <f>(D970+E970)</f>
        <v>225974</v>
      </c>
      <c r="G970" s="553">
        <f>ABS(G942)</f>
        <v>553.50851544837883</v>
      </c>
      <c r="H970" s="600">
        <v>7492</v>
      </c>
      <c r="I970" s="600">
        <v>0</v>
      </c>
      <c r="J970" s="70">
        <f>(H970+I970)</f>
        <v>7492</v>
      </c>
      <c r="K970" s="600">
        <v>0</v>
      </c>
      <c r="L970" s="600">
        <v>0</v>
      </c>
      <c r="M970" s="606">
        <f>D970+E970-G970-J970-K970-L970</f>
        <v>217928.49148455163</v>
      </c>
      <c r="N970" s="607">
        <v>0</v>
      </c>
      <c r="O970" s="630">
        <f>+M970+N970</f>
        <v>217928.49148455163</v>
      </c>
      <c r="P970" s="710">
        <v>0</v>
      </c>
      <c r="Q970" s="599">
        <f>-O970*P970</f>
        <v>0</v>
      </c>
      <c r="R970" s="630">
        <v>256208</v>
      </c>
      <c r="S970" s="628">
        <f>(F970-G970-J970-K970-L970-R970)</f>
        <v>-38279.508515448368</v>
      </c>
      <c r="T970" s="70" t="str">
        <f>+IF(S970&gt;=0,ABS(S970),"")</f>
        <v/>
      </c>
      <c r="U970" s="562">
        <f>+IF(S970&lt;=0,ABS(S970),"")</f>
        <v>38279.508515448368</v>
      </c>
      <c r="V970" s="712"/>
      <c r="AC970" s="642" t="s">
        <v>3041</v>
      </c>
      <c r="AD970" s="687"/>
      <c r="AE970" s="687"/>
      <c r="AF970" s="687"/>
      <c r="AG970" s="687"/>
      <c r="AH970" s="687">
        <v>1.6E-2</v>
      </c>
      <c r="AI970" s="687">
        <v>1.6E-2</v>
      </c>
      <c r="AJ970" s="687">
        <v>1.6E-2</v>
      </c>
      <c r="AK970" s="687">
        <v>1.6E-2</v>
      </c>
      <c r="AL970" s="687">
        <v>1.6E-2</v>
      </c>
      <c r="AM970" s="687">
        <v>1.6E-2</v>
      </c>
      <c r="AN970" s="687">
        <v>1.6E-2</v>
      </c>
      <c r="AO970" s="687">
        <v>1.6E-2</v>
      </c>
      <c r="AP970" s="687">
        <v>1.6E-2</v>
      </c>
      <c r="AQ970" s="687">
        <v>1.6E-2</v>
      </c>
      <c r="AR970" s="687">
        <v>1.6E-2</v>
      </c>
      <c r="AS970" s="592"/>
    </row>
    <row r="971" spans="1:45" ht="15.75" customHeight="1" x14ac:dyDescent="0.3">
      <c r="A971" s="139" t="s">
        <v>2091</v>
      </c>
      <c r="B971" s="553">
        <f>ROUND(R943-G943,0)</f>
        <v>108006</v>
      </c>
      <c r="C971" s="70">
        <f t="shared" ref="C971:C981" si="289">+ROUND(B971*$C$967,0)</f>
        <v>0</v>
      </c>
      <c r="D971" s="70">
        <f t="shared" ref="D971:D981" si="290">AS943</f>
        <v>4585</v>
      </c>
      <c r="E971" s="70">
        <f t="shared" ref="E971:E983" si="291">+B971+C971</f>
        <v>108006</v>
      </c>
      <c r="F971" s="562">
        <f t="shared" ref="F971:F981" si="292">(D971+E971)</f>
        <v>112591</v>
      </c>
      <c r="G971" s="553">
        <f t="shared" ref="G971:G981" si="293">ABS(G943)</f>
        <v>1200.231861341369</v>
      </c>
      <c r="H971" s="600">
        <v>7912</v>
      </c>
      <c r="I971" s="600">
        <v>0</v>
      </c>
      <c r="J971" s="70">
        <f t="shared" ref="J971:J980" si="294">(H971+I971)</f>
        <v>7912</v>
      </c>
      <c r="K971" s="600">
        <v>0</v>
      </c>
      <c r="L971" s="600">
        <v>0</v>
      </c>
      <c r="M971" s="606">
        <f t="shared" ref="M971:M981" si="295">D971+E971-G971-J971-K971-L971</f>
        <v>103478.76813865863</v>
      </c>
      <c r="N971" s="607">
        <v>0</v>
      </c>
      <c r="O971" s="630">
        <f t="shared" ref="O971:O983" si="296">+M971+N971</f>
        <v>103478.76813865863</v>
      </c>
      <c r="P971" s="710">
        <v>0.35</v>
      </c>
      <c r="Q971" s="599">
        <f t="shared" ref="Q971:Q981" si="297">-O971*P971</f>
        <v>-36217.568848530522</v>
      </c>
      <c r="R971" s="630">
        <v>158822</v>
      </c>
      <c r="S971" s="628">
        <f t="shared" ref="S971:S981" si="298">(F971-G971-J971-K971-L971-R971)</f>
        <v>-55343.231861341366</v>
      </c>
      <c r="T971" s="70" t="str">
        <f>+IF(S971&gt;=0,ABS(S971),"")</f>
        <v/>
      </c>
      <c r="U971" s="562">
        <f t="shared" ref="U971:U981" si="299">+IF(S971&lt;=0,ABS(S971),"")</f>
        <v>55343.231861341366</v>
      </c>
      <c r="V971" s="712"/>
      <c r="AC971" s="642" t="s">
        <v>2908</v>
      </c>
      <c r="AD971" s="687"/>
      <c r="AE971" s="687"/>
      <c r="AF971" s="687"/>
      <c r="AG971" s="687"/>
      <c r="AH971" s="687"/>
      <c r="AI971" s="687"/>
      <c r="AJ971" s="687"/>
      <c r="AK971" s="687"/>
      <c r="AL971" s="687"/>
      <c r="AM971" s="687"/>
      <c r="AN971" s="687"/>
      <c r="AO971" s="687"/>
      <c r="AP971" s="687"/>
      <c r="AQ971" s="687"/>
      <c r="AR971" s="687"/>
      <c r="AS971" s="592"/>
    </row>
    <row r="972" spans="1:45" ht="15.75" customHeight="1" x14ac:dyDescent="0.3">
      <c r="A972" s="139" t="s">
        <v>2234</v>
      </c>
      <c r="B972" s="553">
        <f t="shared" ref="B972:B981" si="300">ROUND(R944-G944,0)</f>
        <v>236362</v>
      </c>
      <c r="C972" s="70">
        <f t="shared" si="289"/>
        <v>0</v>
      </c>
      <c r="D972" s="70">
        <f t="shared" si="290"/>
        <v>10229</v>
      </c>
      <c r="E972" s="70">
        <f t="shared" si="291"/>
        <v>236362</v>
      </c>
      <c r="F972" s="562">
        <f t="shared" si="292"/>
        <v>246591</v>
      </c>
      <c r="G972" s="553">
        <f t="shared" si="293"/>
        <v>33.32278913210174</v>
      </c>
      <c r="H972" s="600">
        <v>15566</v>
      </c>
      <c r="I972" s="600">
        <v>0</v>
      </c>
      <c r="J972" s="70">
        <f t="shared" si="294"/>
        <v>15566</v>
      </c>
      <c r="K972" s="600">
        <v>0</v>
      </c>
      <c r="L972" s="600">
        <v>0</v>
      </c>
      <c r="M972" s="606">
        <f t="shared" si="295"/>
        <v>230991.6772108679</v>
      </c>
      <c r="N972" s="607">
        <v>0</v>
      </c>
      <c r="O972" s="630">
        <f t="shared" si="296"/>
        <v>230991.6772108679</v>
      </c>
      <c r="P972" s="710">
        <v>0.33</v>
      </c>
      <c r="Q972" s="599">
        <f t="shared" si="297"/>
        <v>-76227.253479586405</v>
      </c>
      <c r="R972" s="630">
        <v>321751</v>
      </c>
      <c r="S972" s="628">
        <f t="shared" si="298"/>
        <v>-90759.3227891321</v>
      </c>
      <c r="T972" s="70" t="str">
        <f t="shared" ref="T972:T981" si="301">+IF(S972&gt;=0,ABS(S972),"")</f>
        <v/>
      </c>
      <c r="U972" s="562">
        <f t="shared" si="299"/>
        <v>90759.3227891321</v>
      </c>
      <c r="V972" s="712"/>
      <c r="AC972" s="642" t="s">
        <v>2909</v>
      </c>
      <c r="AD972" s="687"/>
      <c r="AE972" s="687"/>
      <c r="AF972" s="687"/>
      <c r="AG972" s="687"/>
      <c r="AH972" s="687"/>
      <c r="AI972" s="687"/>
      <c r="AJ972" s="687"/>
      <c r="AK972" s="687"/>
      <c r="AL972" s="687"/>
      <c r="AM972" s="687"/>
      <c r="AN972" s="687"/>
      <c r="AO972" s="687"/>
      <c r="AP972" s="687"/>
      <c r="AQ972" s="687"/>
      <c r="AR972" s="687"/>
      <c r="AS972" s="592"/>
    </row>
    <row r="973" spans="1:45" ht="15.75" customHeight="1" x14ac:dyDescent="0.3">
      <c r="A973" s="139" t="s">
        <v>2235</v>
      </c>
      <c r="B973" s="553">
        <f t="shared" si="300"/>
        <v>272245</v>
      </c>
      <c r="C973" s="70">
        <f t="shared" si="289"/>
        <v>0</v>
      </c>
      <c r="D973" s="70">
        <f t="shared" si="290"/>
        <v>11963</v>
      </c>
      <c r="E973" s="70">
        <f t="shared" si="291"/>
        <v>272245</v>
      </c>
      <c r="F973" s="562">
        <f t="shared" si="292"/>
        <v>284208</v>
      </c>
      <c r="G973" s="553">
        <f t="shared" si="293"/>
        <v>0.96678221552373855</v>
      </c>
      <c r="H973" s="600">
        <v>15533</v>
      </c>
      <c r="I973" s="600">
        <v>0</v>
      </c>
      <c r="J973" s="70">
        <f t="shared" si="294"/>
        <v>15533</v>
      </c>
      <c r="K973" s="600">
        <v>0</v>
      </c>
      <c r="L973" s="600">
        <v>0</v>
      </c>
      <c r="M973" s="606">
        <f t="shared" si="295"/>
        <v>268674.03321778448</v>
      </c>
      <c r="N973" s="607">
        <v>0</v>
      </c>
      <c r="O973" s="630">
        <f t="shared" si="296"/>
        <v>268674.03321778448</v>
      </c>
      <c r="P973" s="710">
        <v>0.3</v>
      </c>
      <c r="Q973" s="599">
        <f t="shared" si="297"/>
        <v>-80602.209965335336</v>
      </c>
      <c r="R973" s="630">
        <v>309288</v>
      </c>
      <c r="S973" s="628">
        <f t="shared" si="298"/>
        <v>-40613.966782215517</v>
      </c>
      <c r="T973" s="70" t="str">
        <f t="shared" si="301"/>
        <v/>
      </c>
      <c r="U973" s="562">
        <f t="shared" si="299"/>
        <v>40613.966782215517</v>
      </c>
      <c r="V973" s="712"/>
      <c r="AC973" s="642" t="s">
        <v>2760</v>
      </c>
      <c r="AD973" s="687"/>
      <c r="AE973" s="687"/>
      <c r="AF973" s="687"/>
      <c r="AG973" s="687"/>
      <c r="AH973" s="687"/>
      <c r="AI973" s="687"/>
      <c r="AJ973" s="687"/>
      <c r="AK973" s="687"/>
      <c r="AL973" s="687"/>
      <c r="AM973" s="687"/>
      <c r="AN973" s="687"/>
      <c r="AO973" s="687"/>
      <c r="AP973" s="687"/>
      <c r="AQ973" s="687"/>
      <c r="AR973" s="687"/>
      <c r="AS973" s="592"/>
    </row>
    <row r="974" spans="1:45" ht="15.75" customHeight="1" x14ac:dyDescent="0.3">
      <c r="A974" s="139" t="s">
        <v>2236</v>
      </c>
      <c r="B974" s="553">
        <f t="shared" si="300"/>
        <v>296592</v>
      </c>
      <c r="C974" s="70">
        <f t="shared" si="289"/>
        <v>0</v>
      </c>
      <c r="D974" s="70">
        <f t="shared" si="290"/>
        <v>12973</v>
      </c>
      <c r="E974" s="70">
        <f t="shared" si="291"/>
        <v>296592</v>
      </c>
      <c r="F974" s="562">
        <f t="shared" si="292"/>
        <v>309565</v>
      </c>
      <c r="G974" s="553">
        <f t="shared" si="293"/>
        <v>236.02158251695511</v>
      </c>
      <c r="H974" s="600">
        <v>14182</v>
      </c>
      <c r="I974" s="600">
        <v>0</v>
      </c>
      <c r="J974" s="70">
        <f t="shared" si="294"/>
        <v>14182</v>
      </c>
      <c r="K974" s="600">
        <v>0</v>
      </c>
      <c r="L974" s="600">
        <v>0</v>
      </c>
      <c r="M974" s="606">
        <f t="shared" si="295"/>
        <v>295146.97841748304</v>
      </c>
      <c r="N974" s="607">
        <v>0</v>
      </c>
      <c r="O974" s="630">
        <f t="shared" si="296"/>
        <v>295146.97841748304</v>
      </c>
      <c r="P974" s="710">
        <v>0.09</v>
      </c>
      <c r="Q974" s="599">
        <f t="shared" si="297"/>
        <v>-26563.228057573473</v>
      </c>
      <c r="R974" s="630">
        <v>318497</v>
      </c>
      <c r="S974" s="628">
        <f t="shared" si="298"/>
        <v>-23350.021582516958</v>
      </c>
      <c r="T974" s="70" t="str">
        <f t="shared" si="301"/>
        <v/>
      </c>
      <c r="U974" s="562">
        <f t="shared" si="299"/>
        <v>23350.021582516958</v>
      </c>
      <c r="V974" s="712"/>
      <c r="AC974" s="642" t="s">
        <v>1114</v>
      </c>
      <c r="AD974" s="687"/>
      <c r="AE974" s="687"/>
      <c r="AF974" s="687"/>
      <c r="AG974" s="687"/>
      <c r="AH974" s="687"/>
      <c r="AI974" s="687"/>
      <c r="AJ974" s="687">
        <v>2.5000000000000001E-2</v>
      </c>
      <c r="AK974" s="687">
        <v>2.5000000000000001E-2</v>
      </c>
      <c r="AL974" s="687">
        <v>2.5000000000000001E-2</v>
      </c>
      <c r="AM974" s="687">
        <v>2.5000000000000001E-2</v>
      </c>
      <c r="AN974" s="687">
        <v>2.5000000000000001E-2</v>
      </c>
      <c r="AO974" s="687">
        <v>2.5000000000000001E-2</v>
      </c>
      <c r="AP974" s="687">
        <v>2.5000000000000001E-2</v>
      </c>
      <c r="AQ974" s="687">
        <v>2.5000000000000001E-2</v>
      </c>
      <c r="AR974" s="687">
        <v>2.5000000000000001E-2</v>
      </c>
      <c r="AS974" s="592"/>
    </row>
    <row r="975" spans="1:45" ht="15.75" customHeight="1" x14ac:dyDescent="0.3">
      <c r="A975" s="139" t="s">
        <v>2237</v>
      </c>
      <c r="B975" s="553">
        <f t="shared" si="300"/>
        <v>167362</v>
      </c>
      <c r="C975" s="70">
        <f t="shared" si="289"/>
        <v>0</v>
      </c>
      <c r="D975" s="70">
        <f t="shared" si="290"/>
        <v>6998</v>
      </c>
      <c r="E975" s="70">
        <f t="shared" si="291"/>
        <v>167362</v>
      </c>
      <c r="F975" s="562">
        <f t="shared" si="292"/>
        <v>174360</v>
      </c>
      <c r="G975" s="553">
        <f t="shared" si="293"/>
        <v>16742.68189902035</v>
      </c>
      <c r="H975" s="600">
        <v>13104</v>
      </c>
      <c r="I975" s="600">
        <v>0</v>
      </c>
      <c r="J975" s="70">
        <f t="shared" si="294"/>
        <v>13104</v>
      </c>
      <c r="K975" s="600">
        <v>0</v>
      </c>
      <c r="L975" s="600">
        <v>0</v>
      </c>
      <c r="M975" s="606">
        <f t="shared" si="295"/>
        <v>144513.31810097964</v>
      </c>
      <c r="N975" s="607">
        <v>23760</v>
      </c>
      <c r="O975" s="630">
        <f t="shared" si="296"/>
        <v>168273.31810097964</v>
      </c>
      <c r="P975" s="710">
        <v>7.0000000000000007E-2</v>
      </c>
      <c r="Q975" s="599">
        <f t="shared" si="297"/>
        <v>-11779.132267068575</v>
      </c>
      <c r="R975" s="630">
        <v>195101</v>
      </c>
      <c r="S975" s="628">
        <f t="shared" si="298"/>
        <v>-50587.681899020361</v>
      </c>
      <c r="T975" s="70" t="str">
        <f t="shared" si="301"/>
        <v/>
      </c>
      <c r="U975" s="562">
        <f t="shared" si="299"/>
        <v>50587.681899020361</v>
      </c>
      <c r="V975" s="712"/>
      <c r="AC975" s="642" t="s">
        <v>2356</v>
      </c>
      <c r="AD975" s="217">
        <f>SUM(AD970:AD974)</f>
        <v>0</v>
      </c>
      <c r="AE975" s="217">
        <f t="shared" ref="AE975:AR975" si="302">SUM(AE970:AE974)</f>
        <v>0</v>
      </c>
      <c r="AF975" s="217">
        <f t="shared" si="302"/>
        <v>0</v>
      </c>
      <c r="AG975" s="217">
        <f t="shared" si="302"/>
        <v>0</v>
      </c>
      <c r="AH975" s="217">
        <f t="shared" si="302"/>
        <v>1.6E-2</v>
      </c>
      <c r="AI975" s="217">
        <f t="shared" si="302"/>
        <v>1.6E-2</v>
      </c>
      <c r="AJ975" s="217">
        <f t="shared" si="302"/>
        <v>4.1000000000000002E-2</v>
      </c>
      <c r="AK975" s="217">
        <f t="shared" si="302"/>
        <v>4.1000000000000002E-2</v>
      </c>
      <c r="AL975" s="217">
        <f t="shared" si="302"/>
        <v>4.1000000000000002E-2</v>
      </c>
      <c r="AM975" s="217">
        <f t="shared" si="302"/>
        <v>4.1000000000000002E-2</v>
      </c>
      <c r="AN975" s="217">
        <f t="shared" si="302"/>
        <v>4.1000000000000002E-2</v>
      </c>
      <c r="AO975" s="217">
        <f t="shared" si="302"/>
        <v>4.1000000000000002E-2</v>
      </c>
      <c r="AP975" s="217">
        <f t="shared" si="302"/>
        <v>4.1000000000000002E-2</v>
      </c>
      <c r="AQ975" s="217">
        <f t="shared" si="302"/>
        <v>4.1000000000000002E-2</v>
      </c>
      <c r="AR975" s="217">
        <f t="shared" si="302"/>
        <v>4.1000000000000002E-2</v>
      </c>
      <c r="AS975" s="592"/>
    </row>
    <row r="976" spans="1:45" ht="15.75" customHeight="1" x14ac:dyDescent="0.3">
      <c r="A976" s="139" t="s">
        <v>1504</v>
      </c>
      <c r="B976" s="553">
        <f t="shared" si="300"/>
        <v>153805</v>
      </c>
      <c r="C976" s="70">
        <f t="shared" si="289"/>
        <v>0</v>
      </c>
      <c r="D976" s="70">
        <f t="shared" si="290"/>
        <v>6415</v>
      </c>
      <c r="E976" s="70">
        <f t="shared" si="291"/>
        <v>153805</v>
      </c>
      <c r="F976" s="562">
        <f t="shared" si="292"/>
        <v>160220</v>
      </c>
      <c r="G976" s="553">
        <f t="shared" si="293"/>
        <v>12098.999879427278</v>
      </c>
      <c r="H976" s="600">
        <v>13181</v>
      </c>
      <c r="I976" s="600">
        <v>0</v>
      </c>
      <c r="J976" s="70">
        <f t="shared" si="294"/>
        <v>13181</v>
      </c>
      <c r="K976" s="600">
        <v>0</v>
      </c>
      <c r="L976" s="600">
        <v>0</v>
      </c>
      <c r="M976" s="606">
        <f t="shared" si="295"/>
        <v>134940.00012057272</v>
      </c>
      <c r="N976" s="607">
        <v>48856</v>
      </c>
      <c r="O976" s="630">
        <f t="shared" si="296"/>
        <v>183796.00012057272</v>
      </c>
      <c r="P976" s="710">
        <v>7.4999999999999997E-2</v>
      </c>
      <c r="Q976" s="599">
        <f t="shared" si="297"/>
        <v>-13784.700009042954</v>
      </c>
      <c r="R976" s="630">
        <v>205864</v>
      </c>
      <c r="S976" s="628">
        <f t="shared" si="298"/>
        <v>-70923.999879427283</v>
      </c>
      <c r="T976" s="70" t="str">
        <f t="shared" si="301"/>
        <v/>
      </c>
      <c r="U976" s="562">
        <f t="shared" si="299"/>
        <v>70923.999879427283</v>
      </c>
      <c r="V976" s="712"/>
      <c r="AC976" s="553" t="s">
        <v>1353</v>
      </c>
      <c r="AD976" s="70" t="s">
        <v>1353</v>
      </c>
      <c r="AE976" s="70" t="s">
        <v>1353</v>
      </c>
      <c r="AF976" s="70" t="s">
        <v>1353</v>
      </c>
      <c r="AG976" s="70" t="s">
        <v>1353</v>
      </c>
      <c r="AH976" s="70" t="s">
        <v>1353</v>
      </c>
      <c r="AI976" s="70" t="s">
        <v>1353</v>
      </c>
      <c r="AJ976" s="70" t="s">
        <v>1353</v>
      </c>
      <c r="AK976" s="70" t="s">
        <v>1353</v>
      </c>
      <c r="AL976" s="70" t="s">
        <v>1353</v>
      </c>
      <c r="AM976" s="70" t="s">
        <v>1353</v>
      </c>
      <c r="AN976" s="70" t="s">
        <v>1353</v>
      </c>
      <c r="AO976" s="70" t="s">
        <v>1353</v>
      </c>
      <c r="AP976" s="70" t="s">
        <v>1353</v>
      </c>
      <c r="AQ976" s="70" t="s">
        <v>1353</v>
      </c>
      <c r="AR976" s="70" t="s">
        <v>1353</v>
      </c>
      <c r="AS976" s="592" t="s">
        <v>1353</v>
      </c>
    </row>
    <row r="977" spans="1:45" ht="15.75" customHeight="1" x14ac:dyDescent="0.3">
      <c r="A977" s="139" t="s">
        <v>1505</v>
      </c>
      <c r="B977" s="553">
        <f t="shared" si="300"/>
        <v>148816</v>
      </c>
      <c r="C977" s="70">
        <f t="shared" si="289"/>
        <v>0</v>
      </c>
      <c r="D977" s="70">
        <f t="shared" si="290"/>
        <v>6188</v>
      </c>
      <c r="E977" s="70">
        <f t="shared" si="291"/>
        <v>148816</v>
      </c>
      <c r="F977" s="562">
        <f t="shared" si="292"/>
        <v>155004</v>
      </c>
      <c r="G977" s="553">
        <f t="shared" si="293"/>
        <v>8922.6713814339055</v>
      </c>
      <c r="H977" s="600">
        <v>10304</v>
      </c>
      <c r="I977" s="600">
        <v>0</v>
      </c>
      <c r="J977" s="70">
        <f t="shared" si="294"/>
        <v>10304</v>
      </c>
      <c r="K977" s="600">
        <v>0</v>
      </c>
      <c r="L977" s="600">
        <v>0</v>
      </c>
      <c r="M977" s="606">
        <f t="shared" si="295"/>
        <v>135777.3286185661</v>
      </c>
      <c r="N977" s="607">
        <v>49600</v>
      </c>
      <c r="O977" s="630">
        <f t="shared" si="296"/>
        <v>185377.3286185661</v>
      </c>
      <c r="P977" s="710">
        <v>7.4999999999999997E-2</v>
      </c>
      <c r="Q977" s="599">
        <f t="shared" si="297"/>
        <v>-13903.299646392457</v>
      </c>
      <c r="R977" s="630">
        <v>201059</v>
      </c>
      <c r="S977" s="628">
        <f t="shared" si="298"/>
        <v>-65281.671381433902</v>
      </c>
      <c r="T977" s="70" t="str">
        <f t="shared" si="301"/>
        <v/>
      </c>
      <c r="U977" s="562">
        <f t="shared" si="299"/>
        <v>65281.671381433902</v>
      </c>
      <c r="V977" s="712"/>
      <c r="AC977" s="642" t="s">
        <v>2843</v>
      </c>
      <c r="AD977" s="67">
        <f>ROUND(B942*$AD$975, 0)</f>
        <v>0</v>
      </c>
      <c r="AE977" s="67">
        <f>ROUND(C942*$AE$975,0)</f>
        <v>0</v>
      </c>
      <c r="AF977" s="67">
        <f>ROUND(D942*$AF$975,0)</f>
        <v>0</v>
      </c>
      <c r="AG977" s="67">
        <f>ROUND(E942*$AG$975,0)</f>
        <v>0</v>
      </c>
      <c r="AH977" s="67">
        <f>ROUND(F942*$AH$975,0)</f>
        <v>286</v>
      </c>
      <c r="AI977" s="67">
        <f>ROUND(H942*$AI$975,0)</f>
        <v>39</v>
      </c>
      <c r="AJ977" s="67">
        <f>ROUND(I942*$AJ$975,0)</f>
        <v>100</v>
      </c>
      <c r="AK977" s="67">
        <f>ROUND(J942*$AK$975,0)</f>
        <v>156</v>
      </c>
      <c r="AL977" s="67">
        <f>ROUND(K942*$AL$975,0)</f>
        <v>161</v>
      </c>
      <c r="AM977" s="67">
        <f>ROUND(L942*$AM$975,0)</f>
        <v>59</v>
      </c>
      <c r="AN977" s="67">
        <f>ROUND(M942*$AN$975,0)</f>
        <v>70</v>
      </c>
      <c r="AO977" s="67">
        <f>ROUND(N942*$AO$975,0)</f>
        <v>145</v>
      </c>
      <c r="AP977" s="67">
        <f>ROUND(O942*$AP$975,0)</f>
        <v>27</v>
      </c>
      <c r="AQ977" s="67">
        <f>ROUND(P942*$AQ$975,0)</f>
        <v>3</v>
      </c>
      <c r="AR977" s="67">
        <f>ROUND(Q942*$AR$975,0)</f>
        <v>64</v>
      </c>
      <c r="AS977" s="636">
        <f>SUM(AD977:AR977)</f>
        <v>1110</v>
      </c>
    </row>
    <row r="978" spans="1:45" ht="15.75" customHeight="1" x14ac:dyDescent="0.3">
      <c r="A978" s="139" t="s">
        <v>1506</v>
      </c>
      <c r="B978" s="553">
        <f t="shared" si="300"/>
        <v>228994</v>
      </c>
      <c r="C978" s="70">
        <f t="shared" si="289"/>
        <v>0</v>
      </c>
      <c r="D978" s="70">
        <f t="shared" si="290"/>
        <v>10016</v>
      </c>
      <c r="E978" s="70">
        <f t="shared" si="291"/>
        <v>228994</v>
      </c>
      <c r="F978" s="562">
        <f t="shared" si="292"/>
        <v>239010</v>
      </c>
      <c r="G978" s="553">
        <f t="shared" si="293"/>
        <v>1386.6977386593474</v>
      </c>
      <c r="H978" s="600">
        <v>8964</v>
      </c>
      <c r="I978" s="600">
        <v>0</v>
      </c>
      <c r="J978" s="70">
        <f t="shared" si="294"/>
        <v>8964</v>
      </c>
      <c r="K978" s="600">
        <v>0</v>
      </c>
      <c r="L978" s="600">
        <v>0</v>
      </c>
      <c r="M978" s="606">
        <f t="shared" si="295"/>
        <v>228659.30226134066</v>
      </c>
      <c r="N978" s="607">
        <v>0</v>
      </c>
      <c r="O978" s="630">
        <f t="shared" si="296"/>
        <v>228659.30226134066</v>
      </c>
      <c r="P978" s="710">
        <v>7.4999999999999997E-2</v>
      </c>
      <c r="Q978" s="599">
        <f t="shared" si="297"/>
        <v>-17149.447669600548</v>
      </c>
      <c r="R978" s="630">
        <v>244687</v>
      </c>
      <c r="S978" s="628">
        <f t="shared" si="298"/>
        <v>-16027.697738659335</v>
      </c>
      <c r="T978" s="70" t="str">
        <f t="shared" si="301"/>
        <v/>
      </c>
      <c r="U978" s="562">
        <f t="shared" si="299"/>
        <v>16027.697738659335</v>
      </c>
      <c r="V978" s="712"/>
      <c r="AC978" s="642" t="s">
        <v>2091</v>
      </c>
      <c r="AD978" s="67">
        <f t="shared" ref="AD978:AD988" si="303">ROUND(B943*$AD$975, 0)</f>
        <v>0</v>
      </c>
      <c r="AE978" s="67">
        <f t="shared" ref="AE978:AE988" si="304">ROUND(C943*$AE$975,0)</f>
        <v>0</v>
      </c>
      <c r="AF978" s="67">
        <f t="shared" ref="AF978:AF988" si="305">ROUND(D943*$AF$975,0)</f>
        <v>0</v>
      </c>
      <c r="AG978" s="67">
        <f t="shared" ref="AG978:AG988" si="306">ROUND(E943*$AG$975,0)</f>
        <v>0</v>
      </c>
      <c r="AH978" s="67">
        <f t="shared" ref="AH978:AH988" si="307">ROUND(F943*$AH$975,0)</f>
        <v>57</v>
      </c>
      <c r="AI978" s="67">
        <f t="shared" ref="AI978:AI988" si="308">ROUND(H943*$AI$975,0)</f>
        <v>51</v>
      </c>
      <c r="AJ978" s="67">
        <f t="shared" ref="AJ978:AJ988" si="309">ROUND(I943*$AJ$975,0)</f>
        <v>88</v>
      </c>
      <c r="AK978" s="67">
        <f t="shared" ref="AK978:AK988" si="310">ROUND(J943*$AK$975,0)</f>
        <v>137</v>
      </c>
      <c r="AL978" s="67">
        <f t="shared" ref="AL978:AL988" si="311">ROUND(K943*$AL$975,0)</f>
        <v>140</v>
      </c>
      <c r="AM978" s="67">
        <f t="shared" ref="AM978:AM988" si="312">ROUND(L943*$AM$975,0)</f>
        <v>47</v>
      </c>
      <c r="AN978" s="67">
        <f t="shared" ref="AN978:AN988" si="313">ROUND(M943*$AN$975,0)</f>
        <v>55</v>
      </c>
      <c r="AO978" s="67">
        <f t="shared" ref="AO978:AO988" si="314">ROUND(N943*$AO$975,0)</f>
        <v>111</v>
      </c>
      <c r="AP978" s="67">
        <f t="shared" ref="AP978:AP988" si="315">ROUND(O943*$AP$975,0)</f>
        <v>16</v>
      </c>
      <c r="AQ978" s="67">
        <f t="shared" ref="AQ978:AQ988" si="316">ROUND(P943*$AQ$975,0)</f>
        <v>15</v>
      </c>
      <c r="AR978" s="67">
        <f t="shared" ref="AR978:AR988" si="317">ROUND(Q943*$AR$975,0)</f>
        <v>39</v>
      </c>
      <c r="AS978" s="636">
        <f t="shared" ref="AS978:AS988" si="318">SUM(AD978:AR978)</f>
        <v>756</v>
      </c>
    </row>
    <row r="979" spans="1:45" ht="15.75" customHeight="1" x14ac:dyDescent="0.3">
      <c r="A979" s="139" t="s">
        <v>1507</v>
      </c>
      <c r="B979" s="553">
        <f t="shared" si="300"/>
        <v>210231</v>
      </c>
      <c r="C979" s="70">
        <f t="shared" si="289"/>
        <v>0</v>
      </c>
      <c r="D979" s="70">
        <f t="shared" si="290"/>
        <v>9191</v>
      </c>
      <c r="E979" s="70">
        <f t="shared" si="291"/>
        <v>210231</v>
      </c>
      <c r="F979" s="562">
        <f t="shared" si="292"/>
        <v>219422</v>
      </c>
      <c r="G979" s="553">
        <f t="shared" si="293"/>
        <v>0</v>
      </c>
      <c r="H979" s="600">
        <v>7861</v>
      </c>
      <c r="I979" s="600">
        <v>0</v>
      </c>
      <c r="J979" s="70">
        <f t="shared" si="294"/>
        <v>7861</v>
      </c>
      <c r="K979" s="600">
        <v>0</v>
      </c>
      <c r="L979" s="600">
        <v>0</v>
      </c>
      <c r="M979" s="606">
        <f t="shared" si="295"/>
        <v>211561</v>
      </c>
      <c r="N979" s="607">
        <v>0</v>
      </c>
      <c r="O979" s="630">
        <f t="shared" si="296"/>
        <v>211561</v>
      </c>
      <c r="P979" s="710">
        <v>0.3</v>
      </c>
      <c r="Q979" s="599">
        <f t="shared" si="297"/>
        <v>-63468.299999999996</v>
      </c>
      <c r="R979" s="630">
        <v>207005</v>
      </c>
      <c r="S979" s="628">
        <f t="shared" si="298"/>
        <v>4556</v>
      </c>
      <c r="T979" s="70">
        <f t="shared" si="301"/>
        <v>4556</v>
      </c>
      <c r="U979" s="562" t="str">
        <f t="shared" si="299"/>
        <v/>
      </c>
      <c r="V979" s="712"/>
      <c r="AC979" s="642" t="s">
        <v>2234</v>
      </c>
      <c r="AD979" s="67">
        <f t="shared" si="303"/>
        <v>0</v>
      </c>
      <c r="AE979" s="67">
        <f t="shared" si="304"/>
        <v>0</v>
      </c>
      <c r="AF979" s="67">
        <f t="shared" si="305"/>
        <v>0</v>
      </c>
      <c r="AG979" s="67">
        <f t="shared" si="306"/>
        <v>0</v>
      </c>
      <c r="AH979" s="67">
        <f t="shared" si="307"/>
        <v>71</v>
      </c>
      <c r="AI979" s="67">
        <f t="shared" si="308"/>
        <v>136</v>
      </c>
      <c r="AJ979" s="67">
        <f t="shared" si="309"/>
        <v>219</v>
      </c>
      <c r="AK979" s="67">
        <f t="shared" si="310"/>
        <v>278</v>
      </c>
      <c r="AL979" s="67">
        <f t="shared" si="311"/>
        <v>262</v>
      </c>
      <c r="AM979" s="67">
        <f t="shared" si="312"/>
        <v>83</v>
      </c>
      <c r="AN979" s="67">
        <f t="shared" si="313"/>
        <v>97</v>
      </c>
      <c r="AO979" s="67">
        <f t="shared" si="314"/>
        <v>197</v>
      </c>
      <c r="AP979" s="67">
        <f t="shared" si="315"/>
        <v>33</v>
      </c>
      <c r="AQ979" s="67">
        <f t="shared" si="316"/>
        <v>17</v>
      </c>
      <c r="AR979" s="67">
        <f t="shared" si="317"/>
        <v>79</v>
      </c>
      <c r="AS979" s="636">
        <f t="shared" si="318"/>
        <v>1472</v>
      </c>
    </row>
    <row r="980" spans="1:45" ht="15.75" customHeight="1" x14ac:dyDescent="0.3">
      <c r="A980" s="139" t="s">
        <v>1508</v>
      </c>
      <c r="B980" s="553">
        <f t="shared" si="300"/>
        <v>199771</v>
      </c>
      <c r="C980" s="70">
        <f t="shared" si="289"/>
        <v>0</v>
      </c>
      <c r="D980" s="70">
        <f t="shared" si="290"/>
        <v>8687</v>
      </c>
      <c r="E980" s="70">
        <f t="shared" si="291"/>
        <v>199771</v>
      </c>
      <c r="F980" s="562">
        <f t="shared" si="292"/>
        <v>208458</v>
      </c>
      <c r="G980" s="553">
        <f t="shared" si="293"/>
        <v>0</v>
      </c>
      <c r="H980" s="600">
        <v>11207</v>
      </c>
      <c r="I980" s="600">
        <v>0</v>
      </c>
      <c r="J980" s="70">
        <f t="shared" si="294"/>
        <v>11207</v>
      </c>
      <c r="K980" s="600">
        <v>0</v>
      </c>
      <c r="L980" s="600">
        <v>0</v>
      </c>
      <c r="M980" s="606">
        <f t="shared" si="295"/>
        <v>197251</v>
      </c>
      <c r="N980" s="607">
        <v>0</v>
      </c>
      <c r="O980" s="630">
        <f t="shared" si="296"/>
        <v>197251</v>
      </c>
      <c r="P980" s="710">
        <v>0.3</v>
      </c>
      <c r="Q980" s="599">
        <f t="shared" si="297"/>
        <v>-59175.299999999996</v>
      </c>
      <c r="R980" s="630">
        <v>203927</v>
      </c>
      <c r="S980" s="628">
        <f t="shared" si="298"/>
        <v>-6676</v>
      </c>
      <c r="T980" s="70" t="str">
        <f t="shared" si="301"/>
        <v/>
      </c>
      <c r="U980" s="562">
        <f t="shared" si="299"/>
        <v>6676</v>
      </c>
      <c r="V980" s="712"/>
      <c r="AC980" s="642" t="s">
        <v>2235</v>
      </c>
      <c r="AD980" s="67">
        <f t="shared" si="303"/>
        <v>0</v>
      </c>
      <c r="AE980" s="67">
        <f t="shared" si="304"/>
        <v>0</v>
      </c>
      <c r="AF980" s="67">
        <f t="shared" si="305"/>
        <v>0</v>
      </c>
      <c r="AG980" s="67">
        <f t="shared" si="306"/>
        <v>0</v>
      </c>
      <c r="AH980" s="67">
        <f t="shared" si="307"/>
        <v>34</v>
      </c>
      <c r="AI980" s="67">
        <f t="shared" si="308"/>
        <v>166</v>
      </c>
      <c r="AJ980" s="67">
        <f t="shared" si="309"/>
        <v>263</v>
      </c>
      <c r="AK980" s="67">
        <f t="shared" si="310"/>
        <v>305</v>
      </c>
      <c r="AL980" s="67">
        <f t="shared" si="311"/>
        <v>266</v>
      </c>
      <c r="AM980" s="67">
        <f t="shared" si="312"/>
        <v>80</v>
      </c>
      <c r="AN980" s="67">
        <f t="shared" si="313"/>
        <v>94</v>
      </c>
      <c r="AO980" s="67">
        <f t="shared" si="314"/>
        <v>189</v>
      </c>
      <c r="AP980" s="67">
        <f t="shared" si="315"/>
        <v>31</v>
      </c>
      <c r="AQ980" s="67">
        <f t="shared" si="316"/>
        <v>44</v>
      </c>
      <c r="AR980" s="67">
        <f t="shared" si="317"/>
        <v>73</v>
      </c>
      <c r="AS980" s="636">
        <f t="shared" si="318"/>
        <v>1545</v>
      </c>
    </row>
    <row r="981" spans="1:45" ht="15.75" customHeight="1" x14ac:dyDescent="0.3">
      <c r="A981" s="139" t="s">
        <v>1509</v>
      </c>
      <c r="B981" s="553">
        <f t="shared" si="300"/>
        <v>232869</v>
      </c>
      <c r="C981" s="70">
        <f t="shared" si="289"/>
        <v>0</v>
      </c>
      <c r="D981" s="70">
        <f t="shared" si="290"/>
        <v>9976</v>
      </c>
      <c r="E981" s="70">
        <f t="shared" si="291"/>
        <v>232869</v>
      </c>
      <c r="F981" s="562">
        <f t="shared" si="292"/>
        <v>242845</v>
      </c>
      <c r="G981" s="553">
        <f t="shared" si="293"/>
        <v>10.141620991627168</v>
      </c>
      <c r="H981" s="600">
        <v>7321</v>
      </c>
      <c r="I981" s="600">
        <v>0</v>
      </c>
      <c r="J981" s="70">
        <f>(H981+I981)</f>
        <v>7321</v>
      </c>
      <c r="K981" s="600">
        <v>0</v>
      </c>
      <c r="L981" s="600">
        <v>0</v>
      </c>
      <c r="M981" s="606">
        <f t="shared" si="295"/>
        <v>235513.85837900836</v>
      </c>
      <c r="N981" s="607">
        <v>0</v>
      </c>
      <c r="O981" s="630">
        <f t="shared" si="296"/>
        <v>235513.85837900836</v>
      </c>
      <c r="P981" s="710">
        <v>0.3</v>
      </c>
      <c r="Q981" s="599">
        <f t="shared" si="297"/>
        <v>-70654.157513702507</v>
      </c>
      <c r="R981" s="630">
        <v>210929</v>
      </c>
      <c r="S981" s="628">
        <f t="shared" si="298"/>
        <v>24584.858379008365</v>
      </c>
      <c r="T981" s="70">
        <f t="shared" si="301"/>
        <v>24584.858379008365</v>
      </c>
      <c r="U981" s="562" t="str">
        <f t="shared" si="299"/>
        <v/>
      </c>
      <c r="V981" s="712"/>
      <c r="AC981" s="642" t="s">
        <v>2236</v>
      </c>
      <c r="AD981" s="67">
        <f t="shared" si="303"/>
        <v>0</v>
      </c>
      <c r="AE981" s="67">
        <f t="shared" si="304"/>
        <v>0</v>
      </c>
      <c r="AF981" s="67">
        <f t="shared" si="305"/>
        <v>0</v>
      </c>
      <c r="AG981" s="67">
        <f t="shared" si="306"/>
        <v>0</v>
      </c>
      <c r="AH981" s="67">
        <f t="shared" si="307"/>
        <v>87</v>
      </c>
      <c r="AI981" s="67">
        <f t="shared" si="308"/>
        <v>161</v>
      </c>
      <c r="AJ981" s="67">
        <f t="shared" si="309"/>
        <v>230</v>
      </c>
      <c r="AK981" s="67">
        <f t="shared" si="310"/>
        <v>305</v>
      </c>
      <c r="AL981" s="67">
        <f t="shared" si="311"/>
        <v>255</v>
      </c>
      <c r="AM981" s="67">
        <f t="shared" si="312"/>
        <v>81</v>
      </c>
      <c r="AN981" s="67">
        <f t="shared" si="313"/>
        <v>96</v>
      </c>
      <c r="AO981" s="67">
        <f t="shared" si="314"/>
        <v>182</v>
      </c>
      <c r="AP981" s="67">
        <f t="shared" si="315"/>
        <v>24</v>
      </c>
      <c r="AQ981" s="67">
        <f t="shared" si="316"/>
        <v>74</v>
      </c>
      <c r="AR981" s="67">
        <f t="shared" si="317"/>
        <v>57</v>
      </c>
      <c r="AS981" s="636">
        <f t="shared" si="318"/>
        <v>1552</v>
      </c>
    </row>
    <row r="982" spans="1:45" ht="15.75" customHeight="1" x14ac:dyDescent="0.3">
      <c r="A982" s="592" t="s">
        <v>2435</v>
      </c>
      <c r="B982" s="553" t="s">
        <v>2435</v>
      </c>
      <c r="C982" s="70"/>
      <c r="D982" s="70"/>
      <c r="E982" s="70" t="s">
        <v>852</v>
      </c>
      <c r="F982" s="562"/>
      <c r="G982" s="553"/>
      <c r="H982" s="70"/>
      <c r="I982" s="70" t="s">
        <v>852</v>
      </c>
      <c r="J982" s="70" t="s">
        <v>852</v>
      </c>
      <c r="K982" s="601"/>
      <c r="L982" s="70"/>
      <c r="M982" s="606"/>
      <c r="N982" s="607"/>
      <c r="O982" s="630"/>
      <c r="P982" s="710"/>
      <c r="Q982" s="607"/>
      <c r="R982" s="630"/>
      <c r="S982" s="628"/>
      <c r="T982" s="70"/>
      <c r="U982" s="562"/>
      <c r="V982" s="712"/>
      <c r="AC982" s="642" t="s">
        <v>2237</v>
      </c>
      <c r="AD982" s="67">
        <f t="shared" si="303"/>
        <v>0</v>
      </c>
      <c r="AE982" s="67">
        <f t="shared" si="304"/>
        <v>0</v>
      </c>
      <c r="AF982" s="67">
        <f t="shared" si="305"/>
        <v>0</v>
      </c>
      <c r="AG982" s="67">
        <f t="shared" si="306"/>
        <v>0</v>
      </c>
      <c r="AH982" s="67">
        <f t="shared" si="307"/>
        <v>0</v>
      </c>
      <c r="AI982" s="67">
        <f t="shared" si="308"/>
        <v>219</v>
      </c>
      <c r="AJ982" s="67">
        <f t="shared" si="309"/>
        <v>325</v>
      </c>
      <c r="AK982" s="67">
        <f t="shared" si="310"/>
        <v>317</v>
      </c>
      <c r="AL982" s="67">
        <f t="shared" si="311"/>
        <v>267</v>
      </c>
      <c r="AM982" s="67">
        <f t="shared" si="312"/>
        <v>88</v>
      </c>
      <c r="AN982" s="67">
        <f t="shared" si="313"/>
        <v>103</v>
      </c>
      <c r="AO982" s="67">
        <f t="shared" si="314"/>
        <v>213</v>
      </c>
      <c r="AP982" s="67">
        <f t="shared" si="315"/>
        <v>37</v>
      </c>
      <c r="AQ982" s="67">
        <f t="shared" si="316"/>
        <v>93</v>
      </c>
      <c r="AR982" s="67">
        <f t="shared" si="317"/>
        <v>88</v>
      </c>
      <c r="AS982" s="636">
        <f t="shared" si="318"/>
        <v>1750</v>
      </c>
    </row>
    <row r="983" spans="1:45" ht="16.5" customHeight="1" thickBot="1" x14ac:dyDescent="0.35">
      <c r="A983" s="596" t="s">
        <v>2356</v>
      </c>
      <c r="B983" s="558">
        <f>SUM(B970:B981)</f>
        <v>2472037</v>
      </c>
      <c r="C983" s="564">
        <f>+SUM(C970:C981)</f>
        <v>0</v>
      </c>
      <c r="D983" s="564">
        <f>SUM(D970:D981)</f>
        <v>106211</v>
      </c>
      <c r="E983" s="564">
        <f t="shared" si="291"/>
        <v>2472037</v>
      </c>
      <c r="F983" s="602">
        <f>SUM(F970:F981)</f>
        <v>2578248</v>
      </c>
      <c r="G983" s="558">
        <f>SUM(G970:G981)</f>
        <v>41185.244050186833</v>
      </c>
      <c r="H983" s="564">
        <f>SUM(H970:H981)</f>
        <v>132627</v>
      </c>
      <c r="I983" s="564">
        <f>SUM(I970:I981)</f>
        <v>0</v>
      </c>
      <c r="J983" s="564">
        <f>(H983+I983)</f>
        <v>132627</v>
      </c>
      <c r="K983" s="564">
        <f>SUM(K970:K981)</f>
        <v>0</v>
      </c>
      <c r="L983" s="564">
        <f>SUM(L970:L981)</f>
        <v>0</v>
      </c>
      <c r="M983" s="608">
        <f>SUM(M970:M981)</f>
        <v>2404435.7559498129</v>
      </c>
      <c r="N983" s="609">
        <f>SUM(N970:N981)</f>
        <v>122216</v>
      </c>
      <c r="O983" s="631">
        <f t="shared" si="296"/>
        <v>2526651.7559498129</v>
      </c>
      <c r="P983" s="711">
        <f>Q983/O983</f>
        <v>-0.1858287737323461</v>
      </c>
      <c r="Q983" s="616">
        <f>SUM(Q970:Q981)</f>
        <v>-469524.59745683277</v>
      </c>
      <c r="R983" s="631">
        <f>SUM(R970:R981)</f>
        <v>2833138</v>
      </c>
      <c r="S983" s="629">
        <f>(F983-G983-J983-K983-L983-R983)</f>
        <v>-428702.24405018706</v>
      </c>
      <c r="T983" s="564">
        <f>+SUM(T970:T981)</f>
        <v>29140.858379008365</v>
      </c>
      <c r="U983" s="602">
        <f>+SUM(U970:U981)</f>
        <v>457843.10242919513</v>
      </c>
      <c r="V983" s="712"/>
      <c r="AC983" s="642" t="s">
        <v>1504</v>
      </c>
      <c r="AD983" s="67">
        <f t="shared" si="303"/>
        <v>0</v>
      </c>
      <c r="AE983" s="67">
        <f t="shared" si="304"/>
        <v>0</v>
      </c>
      <c r="AF983" s="67">
        <f t="shared" si="305"/>
        <v>0</v>
      </c>
      <c r="AG983" s="67">
        <f t="shared" si="306"/>
        <v>0</v>
      </c>
      <c r="AH983" s="67">
        <f t="shared" si="307"/>
        <v>0</v>
      </c>
      <c r="AI983" s="67">
        <f t="shared" si="308"/>
        <v>175</v>
      </c>
      <c r="AJ983" s="67">
        <f t="shared" si="309"/>
        <v>342</v>
      </c>
      <c r="AK983" s="67">
        <f t="shared" si="310"/>
        <v>327</v>
      </c>
      <c r="AL983" s="67">
        <f t="shared" si="311"/>
        <v>264</v>
      </c>
      <c r="AM983" s="67">
        <f t="shared" si="312"/>
        <v>89</v>
      </c>
      <c r="AN983" s="67">
        <f t="shared" si="313"/>
        <v>105</v>
      </c>
      <c r="AO983" s="67">
        <f t="shared" si="314"/>
        <v>207</v>
      </c>
      <c r="AP983" s="67">
        <f t="shared" si="315"/>
        <v>31</v>
      </c>
      <c r="AQ983" s="67">
        <f t="shared" si="316"/>
        <v>77</v>
      </c>
      <c r="AR983" s="67">
        <f t="shared" si="317"/>
        <v>74</v>
      </c>
      <c r="AS983" s="636">
        <f t="shared" si="318"/>
        <v>1691</v>
      </c>
    </row>
    <row r="984" spans="1:45" ht="15.75" customHeight="1" x14ac:dyDescent="0.3">
      <c r="A984" s="579"/>
      <c r="B984" s="67"/>
      <c r="C984" s="67"/>
      <c r="D984" s="67"/>
      <c r="E984" s="67"/>
      <c r="F984" s="67" t="s">
        <v>2435</v>
      </c>
      <c r="G984" s="67"/>
      <c r="H984" s="67"/>
      <c r="I984" s="67"/>
      <c r="K984" s="67"/>
      <c r="L984" s="67"/>
      <c r="M984" s="219"/>
      <c r="O984" s="703"/>
      <c r="P984" s="701"/>
      <c r="V984" s="712"/>
      <c r="AC984" s="642" t="s">
        <v>1505</v>
      </c>
      <c r="AD984" s="67">
        <f t="shared" si="303"/>
        <v>0</v>
      </c>
      <c r="AE984" s="67">
        <f t="shared" si="304"/>
        <v>0</v>
      </c>
      <c r="AF984" s="67">
        <f t="shared" si="305"/>
        <v>0</v>
      </c>
      <c r="AG984" s="67">
        <f t="shared" si="306"/>
        <v>0</v>
      </c>
      <c r="AH984" s="67">
        <f t="shared" si="307"/>
        <v>0</v>
      </c>
      <c r="AI984" s="67">
        <f t="shared" si="308"/>
        <v>173</v>
      </c>
      <c r="AJ984" s="67">
        <f t="shared" si="309"/>
        <v>308</v>
      </c>
      <c r="AK984" s="67">
        <f t="shared" si="310"/>
        <v>334</v>
      </c>
      <c r="AL984" s="67">
        <f t="shared" si="311"/>
        <v>278</v>
      </c>
      <c r="AM984" s="67">
        <f t="shared" si="312"/>
        <v>89</v>
      </c>
      <c r="AN984" s="67">
        <f t="shared" si="313"/>
        <v>105</v>
      </c>
      <c r="AO984" s="67">
        <f t="shared" si="314"/>
        <v>213</v>
      </c>
      <c r="AP984" s="67">
        <f t="shared" si="315"/>
        <v>29</v>
      </c>
      <c r="AQ984" s="67">
        <f t="shared" si="316"/>
        <v>73</v>
      </c>
      <c r="AR984" s="67">
        <f t="shared" si="317"/>
        <v>69</v>
      </c>
      <c r="AS984" s="636">
        <f t="shared" si="318"/>
        <v>1671</v>
      </c>
    </row>
    <row r="985" spans="1:45" ht="15.75" customHeight="1" x14ac:dyDescent="0.3">
      <c r="A985" s="551" t="s">
        <v>2640</v>
      </c>
      <c r="P985" s="67"/>
      <c r="Q985" s="67"/>
      <c r="R985" s="67"/>
      <c r="V985" s="712"/>
      <c r="AC985" s="642" t="s">
        <v>1506</v>
      </c>
      <c r="AD985" s="67">
        <f t="shared" si="303"/>
        <v>0</v>
      </c>
      <c r="AE985" s="67">
        <f t="shared" si="304"/>
        <v>0</v>
      </c>
      <c r="AF985" s="67">
        <f t="shared" si="305"/>
        <v>0</v>
      </c>
      <c r="AG985" s="67">
        <f t="shared" si="306"/>
        <v>0</v>
      </c>
      <c r="AH985" s="67">
        <f t="shared" si="307"/>
        <v>26</v>
      </c>
      <c r="AI985" s="67">
        <f t="shared" si="308"/>
        <v>134</v>
      </c>
      <c r="AJ985" s="67">
        <f t="shared" si="309"/>
        <v>222</v>
      </c>
      <c r="AK985" s="67">
        <f t="shared" si="310"/>
        <v>281</v>
      </c>
      <c r="AL985" s="67">
        <f t="shared" si="311"/>
        <v>251</v>
      </c>
      <c r="AM985" s="67">
        <f t="shared" si="312"/>
        <v>78</v>
      </c>
      <c r="AN985" s="67">
        <f t="shared" si="313"/>
        <v>92</v>
      </c>
      <c r="AO985" s="67">
        <f t="shared" si="314"/>
        <v>183</v>
      </c>
      <c r="AP985" s="67">
        <f t="shared" si="315"/>
        <v>28</v>
      </c>
      <c r="AQ985" s="67">
        <f t="shared" si="316"/>
        <v>70</v>
      </c>
      <c r="AR985" s="67">
        <f t="shared" si="317"/>
        <v>64</v>
      </c>
      <c r="AS985" s="636">
        <f t="shared" si="318"/>
        <v>1429</v>
      </c>
    </row>
    <row r="986" spans="1:45" ht="15.75" customHeight="1" x14ac:dyDescent="0.3">
      <c r="A986" s="551" t="s">
        <v>1660</v>
      </c>
      <c r="D986" s="67"/>
      <c r="E986" s="67"/>
      <c r="F986" s="67"/>
      <c r="G986" s="67"/>
      <c r="H986" s="67"/>
      <c r="I986" s="67"/>
      <c r="J986" s="67"/>
      <c r="K986" s="67"/>
      <c r="L986" s="67"/>
      <c r="M986" s="67"/>
      <c r="N986" s="67"/>
      <c r="O986" s="67"/>
      <c r="P986" s="67"/>
      <c r="Q986" s="67"/>
      <c r="R986" s="67"/>
      <c r="V986" s="712"/>
      <c r="AC986" s="642" t="s">
        <v>1507</v>
      </c>
      <c r="AD986" s="67">
        <f t="shared" si="303"/>
        <v>0</v>
      </c>
      <c r="AE986" s="67">
        <f t="shared" si="304"/>
        <v>0</v>
      </c>
      <c r="AF986" s="67">
        <f t="shared" si="305"/>
        <v>0</v>
      </c>
      <c r="AG986" s="67">
        <f t="shared" si="306"/>
        <v>0</v>
      </c>
      <c r="AH986" s="67">
        <f t="shared" si="307"/>
        <v>127</v>
      </c>
      <c r="AI986" s="67">
        <f t="shared" si="308"/>
        <v>69</v>
      </c>
      <c r="AJ986" s="67">
        <f t="shared" si="309"/>
        <v>84</v>
      </c>
      <c r="AK986" s="67">
        <f t="shared" si="310"/>
        <v>111</v>
      </c>
      <c r="AL986" s="67">
        <f t="shared" si="311"/>
        <v>104</v>
      </c>
      <c r="AM986" s="67">
        <f t="shared" si="312"/>
        <v>29</v>
      </c>
      <c r="AN986" s="67">
        <f t="shared" si="313"/>
        <v>34</v>
      </c>
      <c r="AO986" s="67">
        <f t="shared" si="314"/>
        <v>63</v>
      </c>
      <c r="AP986" s="67">
        <f t="shared" si="315"/>
        <v>26</v>
      </c>
      <c r="AQ986" s="67">
        <f t="shared" si="316"/>
        <v>66</v>
      </c>
      <c r="AR986" s="67">
        <f t="shared" si="317"/>
        <v>62</v>
      </c>
      <c r="AS986" s="636">
        <f t="shared" si="318"/>
        <v>775</v>
      </c>
    </row>
    <row r="987" spans="1:45" ht="15.75" customHeight="1" x14ac:dyDescent="0.3">
      <c r="A987" s="551" t="s">
        <v>2853</v>
      </c>
      <c r="D987" s="67"/>
      <c r="E987" s="67"/>
      <c r="F987" s="67"/>
      <c r="G987" s="67"/>
      <c r="H987" s="67"/>
      <c r="I987" s="67"/>
      <c r="J987" s="67"/>
      <c r="K987" s="67"/>
      <c r="L987" s="67"/>
      <c r="M987" s="67"/>
      <c r="N987" s="67"/>
      <c r="O987" s="67"/>
      <c r="P987" s="67"/>
      <c r="Q987" s="67"/>
      <c r="R987" s="67"/>
      <c r="V987" s="712"/>
      <c r="AC987" s="642" t="s">
        <v>1508</v>
      </c>
      <c r="AD987" s="67">
        <f t="shared" si="303"/>
        <v>0</v>
      </c>
      <c r="AE987" s="67">
        <f t="shared" si="304"/>
        <v>0</v>
      </c>
      <c r="AF987" s="67">
        <f t="shared" si="305"/>
        <v>0</v>
      </c>
      <c r="AG987" s="67">
        <f t="shared" si="306"/>
        <v>0</v>
      </c>
      <c r="AH987" s="67">
        <f t="shared" si="307"/>
        <v>199</v>
      </c>
      <c r="AI987" s="67">
        <f t="shared" si="308"/>
        <v>39</v>
      </c>
      <c r="AJ987" s="67">
        <f t="shared" si="309"/>
        <v>26</v>
      </c>
      <c r="AK987" s="67">
        <f t="shared" si="310"/>
        <v>36</v>
      </c>
      <c r="AL987" s="67">
        <f t="shared" si="311"/>
        <v>33</v>
      </c>
      <c r="AM987" s="67">
        <f t="shared" si="312"/>
        <v>6</v>
      </c>
      <c r="AN987" s="67">
        <f t="shared" si="313"/>
        <v>7</v>
      </c>
      <c r="AO987" s="67">
        <f t="shared" si="314"/>
        <v>13</v>
      </c>
      <c r="AP987" s="67">
        <f t="shared" si="315"/>
        <v>8</v>
      </c>
      <c r="AQ987" s="67">
        <f t="shared" si="316"/>
        <v>33</v>
      </c>
      <c r="AR987" s="67">
        <f t="shared" si="317"/>
        <v>19</v>
      </c>
      <c r="AS987" s="636">
        <f t="shared" si="318"/>
        <v>419</v>
      </c>
    </row>
    <row r="988" spans="1:45" ht="15.75" customHeight="1" thickBot="1" x14ac:dyDescent="0.35">
      <c r="A988" s="554" t="s">
        <v>2626</v>
      </c>
      <c r="B988" s="581"/>
      <c r="C988" s="581"/>
      <c r="D988" s="555"/>
      <c r="E988" s="555"/>
      <c r="F988" s="555"/>
      <c r="G988" s="555"/>
      <c r="H988" s="555"/>
      <c r="I988" s="555"/>
      <c r="J988" s="555"/>
      <c r="K988" s="555"/>
      <c r="L988" s="555"/>
      <c r="M988" s="555"/>
      <c r="N988" s="555"/>
      <c r="O988" s="555"/>
      <c r="P988" s="555"/>
      <c r="Q988" s="555"/>
      <c r="R988" s="555"/>
      <c r="S988" s="581"/>
      <c r="T988" s="581"/>
      <c r="U988" s="581"/>
      <c r="V988" s="565"/>
      <c r="AC988" s="642" t="s">
        <v>1509</v>
      </c>
      <c r="AD988" s="67">
        <f t="shared" si="303"/>
        <v>0</v>
      </c>
      <c r="AE988" s="67">
        <f t="shared" si="304"/>
        <v>0</v>
      </c>
      <c r="AF988" s="67">
        <f t="shared" si="305"/>
        <v>0</v>
      </c>
      <c r="AG988" s="67">
        <f t="shared" si="306"/>
        <v>0</v>
      </c>
      <c r="AH988" s="67">
        <f t="shared" si="307"/>
        <v>226</v>
      </c>
      <c r="AI988" s="67">
        <f t="shared" si="308"/>
        <v>60</v>
      </c>
      <c r="AJ988" s="67">
        <f t="shared" si="309"/>
        <v>83</v>
      </c>
      <c r="AK988" s="67">
        <f t="shared" si="310"/>
        <v>118</v>
      </c>
      <c r="AL988" s="67">
        <f t="shared" si="311"/>
        <v>121</v>
      </c>
      <c r="AM988" s="67">
        <f t="shared" si="312"/>
        <v>29</v>
      </c>
      <c r="AN988" s="67">
        <f t="shared" si="313"/>
        <v>34</v>
      </c>
      <c r="AO988" s="67">
        <f t="shared" si="314"/>
        <v>73</v>
      </c>
      <c r="AP988" s="67">
        <f t="shared" si="315"/>
        <v>23</v>
      </c>
      <c r="AQ988" s="67">
        <f t="shared" si="316"/>
        <v>47</v>
      </c>
      <c r="AR988" s="67">
        <f t="shared" si="317"/>
        <v>54</v>
      </c>
      <c r="AS988" s="636">
        <f t="shared" si="318"/>
        <v>868</v>
      </c>
    </row>
    <row r="989" spans="1:45" ht="15.75" customHeight="1" thickBot="1" x14ac:dyDescent="0.35">
      <c r="A989" s="551"/>
      <c r="D989" s="67"/>
      <c r="E989" s="67"/>
      <c r="F989" s="67"/>
      <c r="G989" s="67"/>
      <c r="H989" s="67"/>
      <c r="I989" s="67"/>
      <c r="J989" s="67"/>
      <c r="K989" s="67"/>
      <c r="L989" s="67"/>
      <c r="M989" s="67"/>
      <c r="N989" s="67"/>
      <c r="O989" s="67"/>
      <c r="P989" s="67"/>
      <c r="Q989" s="67"/>
      <c r="R989" s="67"/>
      <c r="S989" s="703"/>
      <c r="V989" s="705"/>
      <c r="AC989" s="579"/>
      <c r="AD989" s="67"/>
      <c r="AE989" s="67"/>
      <c r="AF989" s="67"/>
      <c r="AG989" s="67"/>
      <c r="AH989" s="67"/>
      <c r="AI989" s="67"/>
      <c r="AJ989" s="67"/>
      <c r="AK989" s="67"/>
      <c r="AL989" s="67"/>
      <c r="AM989" s="67"/>
      <c r="AN989" s="67"/>
      <c r="AO989" s="67"/>
      <c r="AP989" s="67"/>
      <c r="AQ989" s="67"/>
      <c r="AR989" s="67"/>
      <c r="AS989" s="636"/>
    </row>
    <row r="990" spans="1:45" ht="15.75" customHeight="1" thickBot="1" x14ac:dyDescent="0.35">
      <c r="A990" s="139"/>
      <c r="B990" s="806" t="s">
        <v>2689</v>
      </c>
      <c r="C990" s="807"/>
      <c r="D990" s="807"/>
      <c r="E990" s="807"/>
      <c r="F990" s="807"/>
      <c r="G990" s="807"/>
      <c r="H990" s="807"/>
      <c r="I990" s="807"/>
      <c r="J990" s="807"/>
      <c r="K990" s="807"/>
      <c r="L990" s="807"/>
      <c r="M990" s="807"/>
      <c r="N990" s="807"/>
      <c r="O990" s="807"/>
      <c r="P990" s="807"/>
      <c r="Q990" s="701"/>
      <c r="R990" s="701"/>
      <c r="S990" s="705"/>
      <c r="T990" s="703"/>
      <c r="U990" s="703"/>
      <c r="V990" s="702"/>
      <c r="AC990" s="644" t="s">
        <v>2356</v>
      </c>
      <c r="AD990" s="555">
        <f>SUM(AD977:AD988)</f>
        <v>0</v>
      </c>
      <c r="AE990" s="555">
        <f t="shared" ref="AE990:AS990" si="319">SUM(AE977:AE988)</f>
        <v>0</v>
      </c>
      <c r="AF990" s="555">
        <f t="shared" si="319"/>
        <v>0</v>
      </c>
      <c r="AG990" s="555">
        <f t="shared" si="319"/>
        <v>0</v>
      </c>
      <c r="AH990" s="555">
        <f t="shared" si="319"/>
        <v>1113</v>
      </c>
      <c r="AI990" s="555">
        <f t="shared" si="319"/>
        <v>1422</v>
      </c>
      <c r="AJ990" s="555">
        <f t="shared" si="319"/>
        <v>2290</v>
      </c>
      <c r="AK990" s="555">
        <f t="shared" si="319"/>
        <v>2705</v>
      </c>
      <c r="AL990" s="555">
        <f t="shared" si="319"/>
        <v>2402</v>
      </c>
      <c r="AM990" s="555">
        <f t="shared" si="319"/>
        <v>758</v>
      </c>
      <c r="AN990" s="555">
        <f t="shared" si="319"/>
        <v>892</v>
      </c>
      <c r="AO990" s="555">
        <f t="shared" si="319"/>
        <v>1789</v>
      </c>
      <c r="AP990" s="555">
        <f t="shared" si="319"/>
        <v>313</v>
      </c>
      <c r="AQ990" s="555">
        <f t="shared" si="319"/>
        <v>612</v>
      </c>
      <c r="AR990" s="555">
        <f t="shared" si="319"/>
        <v>742</v>
      </c>
      <c r="AS990" s="637">
        <f t="shared" si="319"/>
        <v>15038</v>
      </c>
    </row>
    <row r="991" spans="1:45" ht="15.75" customHeight="1" thickBot="1" x14ac:dyDescent="0.35">
      <c r="A991" s="139"/>
      <c r="B991" s="795" t="s">
        <v>2633</v>
      </c>
      <c r="C991" s="796"/>
      <c r="D991" s="796"/>
      <c r="E991" s="796"/>
      <c r="F991" s="797"/>
      <c r="G991" s="795" t="s">
        <v>2674</v>
      </c>
      <c r="H991" s="796"/>
      <c r="I991" s="796"/>
      <c r="J991" s="796"/>
      <c r="K991" s="796"/>
      <c r="L991" s="796"/>
      <c r="M991" s="798" t="s">
        <v>2677</v>
      </c>
      <c r="N991" s="811"/>
      <c r="O991" s="811"/>
      <c r="P991" s="799"/>
      <c r="Q991" s="799"/>
      <c r="R991" s="800"/>
      <c r="S991" s="795" t="s">
        <v>2682</v>
      </c>
      <c r="T991" s="801"/>
      <c r="U991" s="802"/>
      <c r="V991" s="727"/>
    </row>
    <row r="992" spans="1:45" ht="15.75" customHeight="1" x14ac:dyDescent="0.3">
      <c r="A992" s="592"/>
      <c r="B992" s="553" t="s">
        <v>2439</v>
      </c>
      <c r="C992" s="70"/>
      <c r="D992" s="70" t="s">
        <v>336</v>
      </c>
      <c r="E992" s="70" t="s">
        <v>596</v>
      </c>
      <c r="F992" s="562" t="s">
        <v>2652</v>
      </c>
      <c r="G992" s="553" t="s">
        <v>228</v>
      </c>
      <c r="H992" s="70"/>
      <c r="I992" s="70"/>
      <c r="J992" s="70" t="s">
        <v>229</v>
      </c>
      <c r="K992" s="70" t="s">
        <v>2638</v>
      </c>
      <c r="L992" s="70" t="s">
        <v>2639</v>
      </c>
      <c r="M992" s="808" t="str">
        <f>+M965</f>
        <v>(NE)* per WAPA</v>
      </c>
      <c r="N992" s="809"/>
      <c r="O992" s="809"/>
      <c r="P992" s="715"/>
      <c r="Q992" s="599"/>
      <c r="R992" s="714"/>
      <c r="S992" s="553" t="s">
        <v>2683</v>
      </c>
      <c r="T992" s="610" t="s">
        <v>134</v>
      </c>
      <c r="U992" s="611" t="s">
        <v>2685</v>
      </c>
      <c r="V992" s="727"/>
    </row>
    <row r="993" spans="1:22" ht="15.75" customHeight="1" x14ac:dyDescent="0.3">
      <c r="A993" s="592"/>
      <c r="B993" s="593" t="s">
        <v>2648</v>
      </c>
      <c r="C993" s="588" t="s">
        <v>2656</v>
      </c>
      <c r="D993" s="588" t="s">
        <v>2651</v>
      </c>
      <c r="E993" s="70" t="s">
        <v>335</v>
      </c>
      <c r="F993" s="591" t="s">
        <v>2653</v>
      </c>
      <c r="G993" s="553" t="s">
        <v>2463</v>
      </c>
      <c r="H993" s="70" t="s">
        <v>1416</v>
      </c>
      <c r="I993" s="70" t="s">
        <v>1417</v>
      </c>
      <c r="J993" s="588" t="s">
        <v>2632</v>
      </c>
      <c r="K993" s="70" t="s">
        <v>2634</v>
      </c>
      <c r="L993" s="588" t="s">
        <v>2637</v>
      </c>
      <c r="M993" s="603" t="s">
        <v>2679</v>
      </c>
      <c r="N993" s="604" t="s">
        <v>2680</v>
      </c>
      <c r="O993" s="599" t="s">
        <v>2356</v>
      </c>
      <c r="P993" s="603" t="s">
        <v>3112</v>
      </c>
      <c r="Q993" s="604" t="s">
        <v>3112</v>
      </c>
      <c r="R993" s="630" t="s">
        <v>3117</v>
      </c>
      <c r="S993" s="553" t="s">
        <v>2684</v>
      </c>
      <c r="T993" s="70" t="s">
        <v>2686</v>
      </c>
      <c r="U993" s="562" t="s">
        <v>2687</v>
      </c>
      <c r="V993" s="727"/>
    </row>
    <row r="994" spans="1:22" ht="15.75" customHeight="1" x14ac:dyDescent="0.3">
      <c r="A994" s="592"/>
      <c r="B994" s="594" t="s">
        <v>2654</v>
      </c>
      <c r="C994" s="217">
        <v>5.0000000000000001E-3</v>
      </c>
      <c r="D994" s="217">
        <v>4.2999999999999997E-2</v>
      </c>
      <c r="E994" s="70" t="s">
        <v>133</v>
      </c>
      <c r="F994" s="595" t="s">
        <v>2649</v>
      </c>
      <c r="G994" s="553" t="s">
        <v>2650</v>
      </c>
      <c r="H994" s="70" t="s">
        <v>335</v>
      </c>
      <c r="I994" s="70" t="s">
        <v>335</v>
      </c>
      <c r="J994" s="70" t="s">
        <v>335</v>
      </c>
      <c r="K994" s="70" t="s">
        <v>134</v>
      </c>
      <c r="L994" s="70" t="s">
        <v>2636</v>
      </c>
      <c r="M994" s="605" t="s">
        <v>955</v>
      </c>
      <c r="N994" s="599" t="s">
        <v>2681</v>
      </c>
      <c r="O994" s="599" t="s">
        <v>2688</v>
      </c>
      <c r="P994" s="605" t="s">
        <v>3113</v>
      </c>
      <c r="Q994" s="604" t="s">
        <v>3113</v>
      </c>
      <c r="R994" s="630" t="s">
        <v>2688</v>
      </c>
      <c r="S994" s="553" t="s">
        <v>335</v>
      </c>
      <c r="T994" s="70" t="s">
        <v>335</v>
      </c>
      <c r="U994" s="562" t="s">
        <v>335</v>
      </c>
      <c r="V994" s="727"/>
    </row>
    <row r="995" spans="1:22" ht="15.75" customHeight="1" x14ac:dyDescent="0.3">
      <c r="A995" s="592" t="s">
        <v>249</v>
      </c>
      <c r="B995" s="553" t="s">
        <v>2695</v>
      </c>
      <c r="C995" s="70" t="s">
        <v>2695</v>
      </c>
      <c r="D995" s="70" t="s">
        <v>2695</v>
      </c>
      <c r="E995" s="70" t="s">
        <v>2695</v>
      </c>
      <c r="F995" s="70" t="s">
        <v>2695</v>
      </c>
      <c r="G995" s="553" t="s">
        <v>2695</v>
      </c>
      <c r="H995" s="70" t="s">
        <v>2695</v>
      </c>
      <c r="I995" s="70" t="s">
        <v>2695</v>
      </c>
      <c r="J995" s="70" t="s">
        <v>2695</v>
      </c>
      <c r="K995" s="70" t="s">
        <v>2695</v>
      </c>
      <c r="L995" s="70" t="s">
        <v>2695</v>
      </c>
      <c r="M995" s="605" t="s">
        <v>2695</v>
      </c>
      <c r="N995" s="599" t="s">
        <v>2696</v>
      </c>
      <c r="O995" s="599" t="s">
        <v>2695</v>
      </c>
      <c r="P995" s="605" t="s">
        <v>3013</v>
      </c>
      <c r="Q995" s="604" t="s">
        <v>998</v>
      </c>
      <c r="R995" s="630" t="s">
        <v>998</v>
      </c>
      <c r="S995" s="553" t="s">
        <v>2695</v>
      </c>
      <c r="T995" s="70" t="s">
        <v>2695</v>
      </c>
      <c r="U995" s="562" t="s">
        <v>2695</v>
      </c>
      <c r="V995" s="727"/>
    </row>
    <row r="996" spans="1:22" ht="15.75" customHeight="1" x14ac:dyDescent="0.3">
      <c r="A996" s="592" t="s">
        <v>1353</v>
      </c>
      <c r="B996" s="553" t="s">
        <v>1353</v>
      </c>
      <c r="C996" s="70" t="s">
        <v>1353</v>
      </c>
      <c r="D996" s="70" t="s">
        <v>1353</v>
      </c>
      <c r="E996" s="70" t="s">
        <v>2202</v>
      </c>
      <c r="F996" s="562" t="s">
        <v>1353</v>
      </c>
      <c r="G996" s="553" t="s">
        <v>1353</v>
      </c>
      <c r="H996" s="70" t="s">
        <v>2119</v>
      </c>
      <c r="I996" s="70" t="s">
        <v>2119</v>
      </c>
      <c r="J996" s="70" t="s">
        <v>1353</v>
      </c>
      <c r="K996" s="70" t="s">
        <v>1353</v>
      </c>
      <c r="L996" s="70" t="s">
        <v>1353</v>
      </c>
      <c r="M996" s="605" t="s">
        <v>1353</v>
      </c>
      <c r="N996" s="599" t="s">
        <v>1353</v>
      </c>
      <c r="O996" s="599" t="s">
        <v>1353</v>
      </c>
      <c r="P996" s="605" t="s">
        <v>1353</v>
      </c>
      <c r="Q996" s="599" t="s">
        <v>1353</v>
      </c>
      <c r="R996" s="630" t="s">
        <v>1353</v>
      </c>
      <c r="S996" s="553" t="s">
        <v>1353</v>
      </c>
      <c r="T996" s="70" t="s">
        <v>1353</v>
      </c>
      <c r="U996" s="562" t="s">
        <v>1353</v>
      </c>
      <c r="V996" s="727"/>
    </row>
    <row r="997" spans="1:22" ht="15.75" customHeight="1" x14ac:dyDescent="0.3">
      <c r="A997" s="139" t="s">
        <v>2843</v>
      </c>
      <c r="B997" s="553">
        <f>+B970/($B$10*24)</f>
        <v>291.64516129032256</v>
      </c>
      <c r="C997" s="70">
        <f t="shared" ref="C997:L997" si="320">+C970/($B$10*24)</f>
        <v>0</v>
      </c>
      <c r="D997" s="70">
        <f t="shared" si="320"/>
        <v>12.083333333333334</v>
      </c>
      <c r="E997" s="70">
        <f t="shared" si="320"/>
        <v>291.64516129032256</v>
      </c>
      <c r="F997" s="562">
        <f t="shared" si="320"/>
        <v>303.72849462365593</v>
      </c>
      <c r="G997" s="70">
        <f t="shared" si="320"/>
        <v>0.74396305839835863</v>
      </c>
      <c r="H997" s="70">
        <f t="shared" si="320"/>
        <v>10.06989247311828</v>
      </c>
      <c r="I997" s="70">
        <f t="shared" si="320"/>
        <v>0</v>
      </c>
      <c r="J997" s="70">
        <f t="shared" si="320"/>
        <v>10.06989247311828</v>
      </c>
      <c r="K997" s="70">
        <f t="shared" si="320"/>
        <v>0</v>
      </c>
      <c r="L997" s="70">
        <f t="shared" si="320"/>
        <v>0</v>
      </c>
      <c r="M997" s="605">
        <f>+M970/($B$10*24)</f>
        <v>292.91463909213928</v>
      </c>
      <c r="N997" s="599">
        <f t="shared" ref="N997" si="321">+N970/($B$10*24)</f>
        <v>0</v>
      </c>
      <c r="O997" s="599">
        <f>+O970/($B$10*24)</f>
        <v>292.91463909213928</v>
      </c>
      <c r="P997" s="716">
        <f>P970</f>
        <v>0</v>
      </c>
      <c r="Q997" s="599">
        <f>-O997*P997</f>
        <v>0</v>
      </c>
      <c r="R997" s="630">
        <f>O997+Q997</f>
        <v>292.91463909213928</v>
      </c>
      <c r="S997" s="612">
        <f>+S970/($B$10*24)</f>
        <v>-51.450952305710175</v>
      </c>
      <c r="T997" s="70" t="str">
        <f>+IF(S997&gt;=0,ABS(S997),"")</f>
        <v/>
      </c>
      <c r="U997" s="562">
        <f>+IF(S997&lt;=0,ABS(S997),"")</f>
        <v>51.450952305710175</v>
      </c>
      <c r="V997" s="727"/>
    </row>
    <row r="998" spans="1:22" ht="15.75" customHeight="1" x14ac:dyDescent="0.3">
      <c r="A998" s="139" t="s">
        <v>2091</v>
      </c>
      <c r="B998" s="553">
        <f>+B971/($C$10*24)</f>
        <v>160.72321428571428</v>
      </c>
      <c r="C998" s="70">
        <f t="shared" ref="C998:N998" si="322">+C971/($C$10*24)</f>
        <v>0</v>
      </c>
      <c r="D998" s="70">
        <f t="shared" si="322"/>
        <v>6.822916666666667</v>
      </c>
      <c r="E998" s="70">
        <f t="shared" si="322"/>
        <v>160.72321428571428</v>
      </c>
      <c r="F998" s="562">
        <f t="shared" si="322"/>
        <v>167.54613095238096</v>
      </c>
      <c r="G998" s="70">
        <f t="shared" si="322"/>
        <v>1.7860593174722754</v>
      </c>
      <c r="H998" s="70">
        <f t="shared" si="322"/>
        <v>11.773809523809524</v>
      </c>
      <c r="I998" s="70">
        <f t="shared" si="322"/>
        <v>0</v>
      </c>
      <c r="J998" s="70">
        <f t="shared" si="322"/>
        <v>11.773809523809524</v>
      </c>
      <c r="K998" s="70">
        <f t="shared" si="322"/>
        <v>0</v>
      </c>
      <c r="L998" s="70">
        <f t="shared" si="322"/>
        <v>0</v>
      </c>
      <c r="M998" s="605">
        <f t="shared" si="322"/>
        <v>153.98626211109917</v>
      </c>
      <c r="N998" s="599">
        <f t="shared" si="322"/>
        <v>0</v>
      </c>
      <c r="O998" s="599">
        <f t="shared" ref="O998:O1008" si="323">+O971/($B$10*24)</f>
        <v>139.08436577776698</v>
      </c>
      <c r="P998" s="716">
        <f t="shared" ref="P998:P1008" si="324">P971</f>
        <v>0.35</v>
      </c>
      <c r="Q998" s="599">
        <f t="shared" ref="Q998:Q1008" si="325">-O998*P998</f>
        <v>-48.679528022218442</v>
      </c>
      <c r="R998" s="630">
        <f t="shared" ref="R998:R1008" si="326">O998+Q998</f>
        <v>90.404837755548527</v>
      </c>
      <c r="S998" s="612">
        <f>+S971/($C$10*24)</f>
        <v>-82.355999793662747</v>
      </c>
      <c r="T998" s="70" t="str">
        <f t="shared" ref="T998:T1008" si="327">+IF(S998&gt;=0,ABS(S998),"")</f>
        <v/>
      </c>
      <c r="U998" s="562">
        <f t="shared" ref="U998:U1008" si="328">+IF(S998&lt;=0,ABS(S998),"")</f>
        <v>82.355999793662747</v>
      </c>
      <c r="V998" s="727"/>
    </row>
    <row r="999" spans="1:22" ht="15.75" customHeight="1" x14ac:dyDescent="0.3">
      <c r="A999" s="139" t="s">
        <v>2234</v>
      </c>
      <c r="B999" s="553">
        <f>+B972/($D$10*24)</f>
        <v>317.69086021505376</v>
      </c>
      <c r="C999" s="70">
        <f t="shared" ref="C999:N999" si="329">+C972/($D$10*24)</f>
        <v>0</v>
      </c>
      <c r="D999" s="70">
        <f t="shared" si="329"/>
        <v>13.748655913978494</v>
      </c>
      <c r="E999" s="70">
        <f t="shared" si="329"/>
        <v>317.69086021505376</v>
      </c>
      <c r="F999" s="562">
        <f t="shared" si="329"/>
        <v>331.43951612903226</v>
      </c>
      <c r="G999" s="70">
        <f t="shared" si="329"/>
        <v>4.4788695070029222E-2</v>
      </c>
      <c r="H999" s="70">
        <f t="shared" si="329"/>
        <v>20.922043010752688</v>
      </c>
      <c r="I999" s="70">
        <f t="shared" si="329"/>
        <v>0</v>
      </c>
      <c r="J999" s="70">
        <f t="shared" si="329"/>
        <v>20.922043010752688</v>
      </c>
      <c r="K999" s="70">
        <f t="shared" si="329"/>
        <v>0</v>
      </c>
      <c r="L999" s="70">
        <f t="shared" si="329"/>
        <v>0</v>
      </c>
      <c r="M999" s="605">
        <f t="shared" si="329"/>
        <v>310.47268442320956</v>
      </c>
      <c r="N999" s="599">
        <f t="shared" si="329"/>
        <v>0</v>
      </c>
      <c r="O999" s="599">
        <f t="shared" si="323"/>
        <v>310.47268442320956</v>
      </c>
      <c r="P999" s="716">
        <f t="shared" si="324"/>
        <v>0.33</v>
      </c>
      <c r="Q999" s="599">
        <f t="shared" si="325"/>
        <v>-102.45598585965917</v>
      </c>
      <c r="R999" s="630">
        <f t="shared" si="326"/>
        <v>208.01669856355039</v>
      </c>
      <c r="S999" s="612">
        <f>+S972/($D$10*24)</f>
        <v>-121.98833708216681</v>
      </c>
      <c r="T999" s="70" t="str">
        <f t="shared" si="327"/>
        <v/>
      </c>
      <c r="U999" s="562">
        <f t="shared" si="328"/>
        <v>121.98833708216681</v>
      </c>
      <c r="V999" s="727"/>
    </row>
    <row r="1000" spans="1:22" ht="15.75" customHeight="1" x14ac:dyDescent="0.3">
      <c r="A1000" s="139" t="s">
        <v>2235</v>
      </c>
      <c r="B1000" s="553">
        <f>+B973/($F$10*24)</f>
        <v>378.11805555555554</v>
      </c>
      <c r="C1000" s="70">
        <f t="shared" ref="C1000:N1000" si="330">+C973/($F$10*24)</f>
        <v>0</v>
      </c>
      <c r="D1000" s="70">
        <f t="shared" si="330"/>
        <v>16.615277777777777</v>
      </c>
      <c r="E1000" s="70">
        <f t="shared" si="330"/>
        <v>378.11805555555554</v>
      </c>
      <c r="F1000" s="562">
        <f t="shared" si="330"/>
        <v>394.73333333333335</v>
      </c>
      <c r="G1000" s="70">
        <f t="shared" si="330"/>
        <v>1.3427530771163035E-3</v>
      </c>
      <c r="H1000" s="70">
        <f t="shared" si="330"/>
        <v>21.573611111111113</v>
      </c>
      <c r="I1000" s="70">
        <f t="shared" si="330"/>
        <v>0</v>
      </c>
      <c r="J1000" s="70">
        <f t="shared" si="330"/>
        <v>21.573611111111113</v>
      </c>
      <c r="K1000" s="70">
        <f t="shared" si="330"/>
        <v>0</v>
      </c>
      <c r="L1000" s="70">
        <f t="shared" si="330"/>
        <v>0</v>
      </c>
      <c r="M1000" s="605">
        <f t="shared" si="330"/>
        <v>373.15837946914513</v>
      </c>
      <c r="N1000" s="599">
        <f t="shared" si="330"/>
        <v>0</v>
      </c>
      <c r="O1000" s="599">
        <f t="shared" si="323"/>
        <v>361.12101238949526</v>
      </c>
      <c r="P1000" s="716">
        <f t="shared" si="324"/>
        <v>0.3</v>
      </c>
      <c r="Q1000" s="599">
        <f t="shared" si="325"/>
        <v>-108.33630371684858</v>
      </c>
      <c r="R1000" s="630">
        <f t="shared" si="326"/>
        <v>252.78470867264667</v>
      </c>
      <c r="S1000" s="612">
        <f>+S973/($F$10*24)</f>
        <v>-56.408287197521553</v>
      </c>
      <c r="T1000" s="70" t="str">
        <f t="shared" si="327"/>
        <v/>
      </c>
      <c r="U1000" s="562">
        <f t="shared" si="328"/>
        <v>56.408287197521553</v>
      </c>
      <c r="V1000" s="727"/>
    </row>
    <row r="1001" spans="1:22" ht="15.75" customHeight="1" x14ac:dyDescent="0.3">
      <c r="A1001" s="139" t="s">
        <v>2236</v>
      </c>
      <c r="B1001" s="553">
        <f>+B974/($G$10*24)</f>
        <v>398.64516129032256</v>
      </c>
      <c r="C1001" s="70">
        <f t="shared" ref="C1001:N1001" si="331">+C974/($G$10*24)</f>
        <v>0</v>
      </c>
      <c r="D1001" s="70">
        <f t="shared" si="331"/>
        <v>17.436827956989248</v>
      </c>
      <c r="E1001" s="70">
        <f t="shared" si="331"/>
        <v>398.64516129032256</v>
      </c>
      <c r="F1001" s="562">
        <f t="shared" si="331"/>
        <v>416.08198924731181</v>
      </c>
      <c r="G1001" s="70">
        <f t="shared" si="331"/>
        <v>0.31723330983461706</v>
      </c>
      <c r="H1001" s="70">
        <f t="shared" si="331"/>
        <v>19.061827956989248</v>
      </c>
      <c r="I1001" s="70">
        <f t="shared" si="331"/>
        <v>0</v>
      </c>
      <c r="J1001" s="70">
        <f t="shared" si="331"/>
        <v>19.061827956989248</v>
      </c>
      <c r="K1001" s="70">
        <f t="shared" si="331"/>
        <v>0</v>
      </c>
      <c r="L1001" s="70">
        <f t="shared" si="331"/>
        <v>0</v>
      </c>
      <c r="M1001" s="605">
        <f t="shared" si="331"/>
        <v>396.70292798048797</v>
      </c>
      <c r="N1001" s="599">
        <f t="shared" si="331"/>
        <v>0</v>
      </c>
      <c r="O1001" s="599">
        <f t="shared" si="323"/>
        <v>396.70292798048797</v>
      </c>
      <c r="P1001" s="716">
        <f t="shared" si="324"/>
        <v>0.09</v>
      </c>
      <c r="Q1001" s="599">
        <f t="shared" si="325"/>
        <v>-35.703263518243915</v>
      </c>
      <c r="R1001" s="630">
        <f t="shared" si="326"/>
        <v>360.99966446224403</v>
      </c>
      <c r="S1001" s="612">
        <f>+S974/($G$10*24)</f>
        <v>-31.384437610909888</v>
      </c>
      <c r="T1001" s="70" t="str">
        <f t="shared" si="327"/>
        <v/>
      </c>
      <c r="U1001" s="562">
        <f t="shared" si="328"/>
        <v>31.384437610909888</v>
      </c>
      <c r="V1001" s="727"/>
    </row>
    <row r="1002" spans="1:22" ht="15.75" customHeight="1" x14ac:dyDescent="0.3">
      <c r="A1002" s="139" t="s">
        <v>2237</v>
      </c>
      <c r="B1002" s="553">
        <f>+B975/($H$10*24)</f>
        <v>232.44722222222222</v>
      </c>
      <c r="C1002" s="70">
        <f t="shared" ref="C1002:N1002" si="332">+C975/($H$10*24)</f>
        <v>0</v>
      </c>
      <c r="D1002" s="70">
        <f t="shared" si="332"/>
        <v>9.719444444444445</v>
      </c>
      <c r="E1002" s="70">
        <f t="shared" si="332"/>
        <v>232.44722222222222</v>
      </c>
      <c r="F1002" s="562">
        <f t="shared" si="332"/>
        <v>242.16666666666666</v>
      </c>
      <c r="G1002" s="70">
        <f t="shared" si="332"/>
        <v>23.253724859750488</v>
      </c>
      <c r="H1002" s="70">
        <f t="shared" si="332"/>
        <v>18.2</v>
      </c>
      <c r="I1002" s="70">
        <f t="shared" si="332"/>
        <v>0</v>
      </c>
      <c r="J1002" s="70">
        <f t="shared" si="332"/>
        <v>18.2</v>
      </c>
      <c r="K1002" s="70">
        <f t="shared" si="332"/>
        <v>0</v>
      </c>
      <c r="L1002" s="70">
        <f t="shared" si="332"/>
        <v>0</v>
      </c>
      <c r="M1002" s="605">
        <f t="shared" si="332"/>
        <v>200.71294180691618</v>
      </c>
      <c r="N1002" s="599">
        <f t="shared" si="332"/>
        <v>33</v>
      </c>
      <c r="O1002" s="599">
        <f t="shared" si="323"/>
        <v>226.17381465185434</v>
      </c>
      <c r="P1002" s="716">
        <f t="shared" si="324"/>
        <v>7.0000000000000007E-2</v>
      </c>
      <c r="Q1002" s="599">
        <f t="shared" si="325"/>
        <v>-15.832167025629806</v>
      </c>
      <c r="R1002" s="630">
        <f t="shared" si="326"/>
        <v>210.34164762622453</v>
      </c>
      <c r="S1002" s="612">
        <f>+S975/($H$10*24)</f>
        <v>-70.260669304194948</v>
      </c>
      <c r="T1002" s="70" t="str">
        <f t="shared" si="327"/>
        <v/>
      </c>
      <c r="U1002" s="562">
        <f t="shared" si="328"/>
        <v>70.260669304194948</v>
      </c>
      <c r="V1002" s="727"/>
    </row>
    <row r="1003" spans="1:22" ht="15.75" customHeight="1" x14ac:dyDescent="0.3">
      <c r="A1003" s="139" t="s">
        <v>1504</v>
      </c>
      <c r="B1003" s="553">
        <f>+B976/($J$10*24)</f>
        <v>206.7271505376344</v>
      </c>
      <c r="C1003" s="70">
        <f t="shared" ref="C1003:N1003" si="333">+C976/($J$10*24)</f>
        <v>0</v>
      </c>
      <c r="D1003" s="70">
        <f t="shared" si="333"/>
        <v>8.6223118279569899</v>
      </c>
      <c r="E1003" s="70">
        <f t="shared" si="333"/>
        <v>206.7271505376344</v>
      </c>
      <c r="F1003" s="562">
        <f t="shared" si="333"/>
        <v>215.34946236559139</v>
      </c>
      <c r="G1003" s="70">
        <f t="shared" si="333"/>
        <v>16.262096612133437</v>
      </c>
      <c r="H1003" s="70">
        <f t="shared" si="333"/>
        <v>17.716397849462364</v>
      </c>
      <c r="I1003" s="70">
        <f t="shared" si="333"/>
        <v>0</v>
      </c>
      <c r="J1003" s="70">
        <f t="shared" si="333"/>
        <v>17.716397849462364</v>
      </c>
      <c r="K1003" s="70">
        <f t="shared" si="333"/>
        <v>0</v>
      </c>
      <c r="L1003" s="70">
        <f t="shared" si="333"/>
        <v>0</v>
      </c>
      <c r="M1003" s="605">
        <f t="shared" si="333"/>
        <v>181.37096790399559</v>
      </c>
      <c r="N1003" s="599">
        <f t="shared" si="333"/>
        <v>65.666666666666671</v>
      </c>
      <c r="O1003" s="599">
        <f t="shared" si="323"/>
        <v>247.03763457066225</v>
      </c>
      <c r="P1003" s="716">
        <f t="shared" si="324"/>
        <v>7.4999999999999997E-2</v>
      </c>
      <c r="Q1003" s="599">
        <f t="shared" si="325"/>
        <v>-18.527822592799669</v>
      </c>
      <c r="R1003" s="630">
        <f t="shared" si="326"/>
        <v>228.50981197786257</v>
      </c>
      <c r="S1003" s="612">
        <f>+S976/($J$10*24)</f>
        <v>-95.327956827187208</v>
      </c>
      <c r="T1003" s="70" t="str">
        <f t="shared" si="327"/>
        <v/>
      </c>
      <c r="U1003" s="562">
        <f t="shared" si="328"/>
        <v>95.327956827187208</v>
      </c>
      <c r="V1003" s="727"/>
    </row>
    <row r="1004" spans="1:22" ht="15.75" customHeight="1" x14ac:dyDescent="0.3">
      <c r="A1004" s="139" t="s">
        <v>1505</v>
      </c>
      <c r="B1004" s="553">
        <f>+B977/($K$10*24)</f>
        <v>200.02150537634409</v>
      </c>
      <c r="C1004" s="70">
        <f t="shared" ref="C1004:N1004" si="334">+C977/($K$10*24)</f>
        <v>0</v>
      </c>
      <c r="D1004" s="70">
        <f t="shared" si="334"/>
        <v>8.3172043010752681</v>
      </c>
      <c r="E1004" s="70">
        <f t="shared" si="334"/>
        <v>200.02150537634409</v>
      </c>
      <c r="F1004" s="562">
        <f t="shared" si="334"/>
        <v>208.33870967741936</v>
      </c>
      <c r="G1004" s="70">
        <f t="shared" si="334"/>
        <v>11.992837878271379</v>
      </c>
      <c r="H1004" s="70">
        <f t="shared" si="334"/>
        <v>13.849462365591398</v>
      </c>
      <c r="I1004" s="70">
        <f t="shared" si="334"/>
        <v>0</v>
      </c>
      <c r="J1004" s="70">
        <f t="shared" si="334"/>
        <v>13.849462365591398</v>
      </c>
      <c r="K1004" s="70">
        <f t="shared" si="334"/>
        <v>0</v>
      </c>
      <c r="L1004" s="70">
        <f t="shared" si="334"/>
        <v>0</v>
      </c>
      <c r="M1004" s="605">
        <f t="shared" si="334"/>
        <v>182.49640943355658</v>
      </c>
      <c r="N1004" s="599">
        <f t="shared" si="334"/>
        <v>66.666666666666671</v>
      </c>
      <c r="O1004" s="599">
        <f t="shared" si="323"/>
        <v>249.16307610022324</v>
      </c>
      <c r="P1004" s="716">
        <f t="shared" si="324"/>
        <v>7.4999999999999997E-2</v>
      </c>
      <c r="Q1004" s="599">
        <f t="shared" si="325"/>
        <v>-18.687230707516743</v>
      </c>
      <c r="R1004" s="630">
        <f t="shared" si="326"/>
        <v>230.4758453927065</v>
      </c>
      <c r="S1004" s="612">
        <f>+S977/($K$10*24)</f>
        <v>-87.744181964292878</v>
      </c>
      <c r="T1004" s="70" t="str">
        <f t="shared" si="327"/>
        <v/>
      </c>
      <c r="U1004" s="562">
        <f t="shared" si="328"/>
        <v>87.744181964292878</v>
      </c>
      <c r="V1004" s="727"/>
    </row>
    <row r="1005" spans="1:22" ht="15.75" customHeight="1" x14ac:dyDescent="0.3">
      <c r="A1005" s="139" t="s">
        <v>1506</v>
      </c>
      <c r="B1005" s="553">
        <f>+B978/($L$10*24)</f>
        <v>318.04722222222222</v>
      </c>
      <c r="C1005" s="70">
        <f t="shared" ref="C1005:N1005" si="335">+C978/($L$10*24)</f>
        <v>0</v>
      </c>
      <c r="D1005" s="70">
        <f t="shared" si="335"/>
        <v>13.911111111111111</v>
      </c>
      <c r="E1005" s="70">
        <f t="shared" si="335"/>
        <v>318.04722222222222</v>
      </c>
      <c r="F1005" s="562">
        <f t="shared" si="335"/>
        <v>331.95833333333331</v>
      </c>
      <c r="G1005" s="70">
        <f t="shared" si="335"/>
        <v>1.9259690814713157</v>
      </c>
      <c r="H1005" s="70">
        <f t="shared" si="335"/>
        <v>12.45</v>
      </c>
      <c r="I1005" s="70">
        <f t="shared" si="335"/>
        <v>0</v>
      </c>
      <c r="J1005" s="70">
        <f t="shared" si="335"/>
        <v>12.45</v>
      </c>
      <c r="K1005" s="70">
        <f t="shared" si="335"/>
        <v>0</v>
      </c>
      <c r="L1005" s="70">
        <f t="shared" si="335"/>
        <v>0</v>
      </c>
      <c r="M1005" s="605">
        <f t="shared" si="335"/>
        <v>317.58236425186203</v>
      </c>
      <c r="N1005" s="599">
        <f t="shared" si="335"/>
        <v>0</v>
      </c>
      <c r="O1005" s="599">
        <f t="shared" si="323"/>
        <v>307.3377718566407</v>
      </c>
      <c r="P1005" s="716">
        <f t="shared" si="324"/>
        <v>7.4999999999999997E-2</v>
      </c>
      <c r="Q1005" s="599">
        <f t="shared" si="325"/>
        <v>-23.05033288924805</v>
      </c>
      <c r="R1005" s="630">
        <f t="shared" si="326"/>
        <v>284.28743896739263</v>
      </c>
      <c r="S1005" s="612">
        <f>+S978/($L$10*24)</f>
        <v>-22.26069130369352</v>
      </c>
      <c r="T1005" s="70" t="str">
        <f t="shared" si="327"/>
        <v/>
      </c>
      <c r="U1005" s="562">
        <f t="shared" si="328"/>
        <v>22.26069130369352</v>
      </c>
      <c r="V1005" s="727"/>
    </row>
    <row r="1006" spans="1:22" ht="15.75" customHeight="1" x14ac:dyDescent="0.3">
      <c r="A1006" s="139" t="s">
        <v>1507</v>
      </c>
      <c r="B1006" s="553">
        <f>+B979/($N$10*24)</f>
        <v>282.56854838709677</v>
      </c>
      <c r="C1006" s="70">
        <f t="shared" ref="C1006:N1006" si="336">+C979/($N$10*24)</f>
        <v>0</v>
      </c>
      <c r="D1006" s="70">
        <f t="shared" si="336"/>
        <v>12.353494623655914</v>
      </c>
      <c r="E1006" s="70">
        <f t="shared" si="336"/>
        <v>282.56854838709677</v>
      </c>
      <c r="F1006" s="562">
        <f t="shared" si="336"/>
        <v>294.9220430107527</v>
      </c>
      <c r="G1006" s="70">
        <f t="shared" si="336"/>
        <v>0</v>
      </c>
      <c r="H1006" s="70">
        <f t="shared" si="336"/>
        <v>10.565860215053764</v>
      </c>
      <c r="I1006" s="70">
        <f t="shared" si="336"/>
        <v>0</v>
      </c>
      <c r="J1006" s="70">
        <f t="shared" si="336"/>
        <v>10.565860215053764</v>
      </c>
      <c r="K1006" s="70">
        <f t="shared" si="336"/>
        <v>0</v>
      </c>
      <c r="L1006" s="70">
        <f t="shared" si="336"/>
        <v>0</v>
      </c>
      <c r="M1006" s="605">
        <f t="shared" si="336"/>
        <v>284.35618279569894</v>
      </c>
      <c r="N1006" s="599">
        <f t="shared" si="336"/>
        <v>0</v>
      </c>
      <c r="O1006" s="599">
        <f t="shared" si="323"/>
        <v>284.35618279569894</v>
      </c>
      <c r="P1006" s="716">
        <f t="shared" si="324"/>
        <v>0.3</v>
      </c>
      <c r="Q1006" s="599">
        <f t="shared" si="325"/>
        <v>-85.306854838709683</v>
      </c>
      <c r="R1006" s="630">
        <f t="shared" si="326"/>
        <v>199.04932795698926</v>
      </c>
      <c r="S1006" s="612">
        <f>+S979/($N$10*24)</f>
        <v>6.123655913978495</v>
      </c>
      <c r="T1006" s="70">
        <f t="shared" si="327"/>
        <v>6.123655913978495</v>
      </c>
      <c r="U1006" s="562" t="str">
        <f t="shared" si="328"/>
        <v/>
      </c>
      <c r="V1006" s="727"/>
    </row>
    <row r="1007" spans="1:22" ht="15.75" customHeight="1" x14ac:dyDescent="0.3">
      <c r="A1007" s="139" t="s">
        <v>1508</v>
      </c>
      <c r="B1007" s="553">
        <f>+B980/($O$10*24)</f>
        <v>277.45972222222224</v>
      </c>
      <c r="C1007" s="70">
        <f t="shared" ref="C1007:N1007" si="337">+C980/($O$10*24)</f>
        <v>0</v>
      </c>
      <c r="D1007" s="70">
        <f t="shared" si="337"/>
        <v>12.065277777777778</v>
      </c>
      <c r="E1007" s="70">
        <f t="shared" si="337"/>
        <v>277.45972222222224</v>
      </c>
      <c r="F1007" s="562">
        <f t="shared" si="337"/>
        <v>289.52499999999998</v>
      </c>
      <c r="G1007" s="70">
        <f t="shared" si="337"/>
        <v>0</v>
      </c>
      <c r="H1007" s="70">
        <f t="shared" si="337"/>
        <v>15.565277777777778</v>
      </c>
      <c r="I1007" s="70">
        <f t="shared" si="337"/>
        <v>0</v>
      </c>
      <c r="J1007" s="70">
        <f t="shared" si="337"/>
        <v>15.565277777777778</v>
      </c>
      <c r="K1007" s="70">
        <f t="shared" si="337"/>
        <v>0</v>
      </c>
      <c r="L1007" s="70">
        <f t="shared" si="337"/>
        <v>0</v>
      </c>
      <c r="M1007" s="605">
        <f t="shared" si="337"/>
        <v>273.95972222222224</v>
      </c>
      <c r="N1007" s="599">
        <f t="shared" si="337"/>
        <v>0</v>
      </c>
      <c r="O1007" s="599">
        <f t="shared" si="323"/>
        <v>265.12231182795699</v>
      </c>
      <c r="P1007" s="716">
        <f t="shared" si="324"/>
        <v>0.3</v>
      </c>
      <c r="Q1007" s="599">
        <f t="shared" si="325"/>
        <v>-79.536693548387092</v>
      </c>
      <c r="R1007" s="630">
        <f t="shared" si="326"/>
        <v>185.5856182795699</v>
      </c>
      <c r="S1007" s="612">
        <f>+S980/($O$10*24)</f>
        <v>-9.2722222222222221</v>
      </c>
      <c r="T1007" s="70" t="str">
        <f t="shared" si="327"/>
        <v/>
      </c>
      <c r="U1007" s="562">
        <f t="shared" si="328"/>
        <v>9.2722222222222221</v>
      </c>
      <c r="V1007" s="727"/>
    </row>
    <row r="1008" spans="1:22" ht="15.75" customHeight="1" thickBot="1" x14ac:dyDescent="0.35">
      <c r="A1008" s="139" t="s">
        <v>1509</v>
      </c>
      <c r="B1008" s="558">
        <f>+B981/($P$10*24)</f>
        <v>312.99596774193549</v>
      </c>
      <c r="C1008" s="564">
        <f t="shared" ref="C1008:N1008" si="338">+C981/($P$10*24)</f>
        <v>0</v>
      </c>
      <c r="D1008" s="564">
        <f t="shared" si="338"/>
        <v>13.408602150537634</v>
      </c>
      <c r="E1008" s="564">
        <f t="shared" si="338"/>
        <v>312.99596774193549</v>
      </c>
      <c r="F1008" s="602">
        <f t="shared" si="338"/>
        <v>326.40456989247309</v>
      </c>
      <c r="G1008" s="564">
        <f t="shared" si="338"/>
        <v>1.3631211010251569E-2</v>
      </c>
      <c r="H1008" s="564">
        <f t="shared" si="338"/>
        <v>9.84005376344086</v>
      </c>
      <c r="I1008" s="564">
        <f t="shared" si="338"/>
        <v>0</v>
      </c>
      <c r="J1008" s="564">
        <f t="shared" si="338"/>
        <v>9.84005376344086</v>
      </c>
      <c r="K1008" s="564">
        <f t="shared" si="338"/>
        <v>0</v>
      </c>
      <c r="L1008" s="564">
        <f t="shared" si="338"/>
        <v>0</v>
      </c>
      <c r="M1008" s="608">
        <f t="shared" si="338"/>
        <v>316.55088491802201</v>
      </c>
      <c r="N1008" s="609">
        <f t="shared" si="338"/>
        <v>0</v>
      </c>
      <c r="O1008" s="631">
        <f t="shared" si="323"/>
        <v>316.55088491802201</v>
      </c>
      <c r="P1008" s="711">
        <f t="shared" si="324"/>
        <v>0.3</v>
      </c>
      <c r="Q1008" s="609">
        <f t="shared" si="325"/>
        <v>-94.965265475406596</v>
      </c>
      <c r="R1008" s="631">
        <f t="shared" si="326"/>
        <v>221.58561944261541</v>
      </c>
      <c r="S1008" s="613">
        <f>+S981/($P$10*24)</f>
        <v>33.044164487914472</v>
      </c>
      <c r="T1008" s="564">
        <f t="shared" si="327"/>
        <v>33.044164487914472</v>
      </c>
      <c r="U1008" s="602" t="str">
        <f t="shared" si="328"/>
        <v/>
      </c>
      <c r="V1008" s="727"/>
    </row>
    <row r="1009" spans="1:50" ht="15.75" customHeight="1" x14ac:dyDescent="0.3">
      <c r="A1009" s="647"/>
      <c r="V1009" s="727"/>
    </row>
    <row r="1010" spans="1:50" ht="16.5" customHeight="1" thickBot="1" x14ac:dyDescent="0.35">
      <c r="A1010" s="648"/>
      <c r="B1010" s="581"/>
      <c r="C1010" s="581"/>
      <c r="D1010" s="581"/>
      <c r="E1010" s="581"/>
      <c r="F1010" s="581"/>
      <c r="G1010" s="581"/>
      <c r="H1010" s="581"/>
      <c r="I1010" s="581"/>
      <c r="J1010" s="581"/>
      <c r="K1010" s="581"/>
      <c r="L1010" s="581"/>
      <c r="M1010" s="581"/>
      <c r="N1010" s="581"/>
      <c r="O1010" s="581"/>
      <c r="P1010" s="581"/>
      <c r="Q1010" s="581"/>
      <c r="R1010" s="581"/>
      <c r="S1010" s="581"/>
      <c r="T1010" s="581"/>
      <c r="U1010" s="581"/>
      <c r="V1010" s="565"/>
    </row>
    <row r="1011" spans="1:50" ht="15.75" customHeight="1" x14ac:dyDescent="0.3">
      <c r="A1011" s="74"/>
      <c r="B1011" s="67"/>
      <c r="C1011" s="67"/>
      <c r="D1011" s="67"/>
      <c r="E1011" s="67"/>
      <c r="F1011" s="67"/>
      <c r="G1011" s="67"/>
      <c r="H1011" s="67"/>
      <c r="I1011" s="67"/>
      <c r="J1011" s="67"/>
      <c r="K1011" s="67"/>
      <c r="L1011" s="67"/>
      <c r="M1011" s="67"/>
      <c r="N1011" s="67"/>
      <c r="O1011" s="67"/>
      <c r="P1011" s="67"/>
      <c r="Q1011" s="67"/>
      <c r="R1011" s="67"/>
    </row>
    <row r="1012" spans="1:50" ht="15.75" customHeight="1" x14ac:dyDescent="0.3">
      <c r="A1012" s="641"/>
    </row>
    <row r="1013" spans="1:50" ht="15.75" customHeight="1" thickBot="1" x14ac:dyDescent="0.35">
      <c r="A1013" s="641"/>
    </row>
    <row r="1014" spans="1:50" ht="15.75" customHeight="1" x14ac:dyDescent="0.3">
      <c r="A1014" s="650"/>
      <c r="B1014" s="782" t="s">
        <v>2880</v>
      </c>
      <c r="C1014" s="782"/>
      <c r="D1014" s="782"/>
      <c r="E1014" s="782"/>
      <c r="F1014" s="782"/>
      <c r="G1014" s="782"/>
      <c r="H1014" s="782"/>
      <c r="I1014" s="782"/>
      <c r="J1014" s="782"/>
      <c r="K1014" s="782"/>
      <c r="L1014" s="782"/>
      <c r="M1014" s="782"/>
      <c r="N1014" s="782"/>
      <c r="O1014" s="782"/>
      <c r="P1014" s="782"/>
      <c r="Q1014" s="678" t="str">
        <f>+Q1</f>
        <v xml:space="preserve">PRINTED:  </v>
      </c>
      <c r="R1014" s="682">
        <f ca="1">+R1</f>
        <v>44881.729634027775</v>
      </c>
      <c r="S1014" s="560"/>
    </row>
    <row r="1015" spans="1:50" ht="15.75" customHeight="1" x14ac:dyDescent="0.3">
      <c r="A1015" s="640"/>
      <c r="B1015" s="786" t="str">
        <f>+A8</f>
        <v>Revised:  1/18/2018</v>
      </c>
      <c r="C1015" s="786"/>
      <c r="D1015" s="786"/>
      <c r="E1015" s="786"/>
      <c r="F1015" s="786"/>
      <c r="G1015" s="786"/>
      <c r="H1015" s="786"/>
      <c r="I1015" s="786"/>
      <c r="J1015" s="786"/>
      <c r="K1015" s="786"/>
      <c r="L1015" s="786"/>
      <c r="M1015" s="786"/>
      <c r="N1015" s="786"/>
      <c r="O1015" s="786"/>
      <c r="P1015" s="786"/>
      <c r="Q1015" s="67"/>
      <c r="R1015" s="67"/>
      <c r="S1015" s="561"/>
    </row>
    <row r="1016" spans="1:50" ht="16.5" customHeight="1" x14ac:dyDescent="0.3">
      <c r="A1016" s="640"/>
      <c r="B1016" s="786" t="s">
        <v>2878</v>
      </c>
      <c r="C1016" s="786"/>
      <c r="D1016" s="786"/>
      <c r="E1016" s="786"/>
      <c r="F1016" s="786"/>
      <c r="G1016" s="786"/>
      <c r="H1016" s="786"/>
      <c r="I1016" s="786"/>
      <c r="J1016" s="786"/>
      <c r="K1016" s="786"/>
      <c r="L1016" s="786"/>
      <c r="M1016" s="786"/>
      <c r="N1016" s="786"/>
      <c r="O1016" s="786"/>
      <c r="P1016" s="786"/>
      <c r="Q1016" s="67"/>
      <c r="R1016" s="67"/>
      <c r="S1016" s="561"/>
    </row>
    <row r="1017" spans="1:50" ht="15.75" customHeight="1" x14ac:dyDescent="0.3">
      <c r="A1017" s="640"/>
      <c r="B1017" s="67"/>
      <c r="C1017" s="67"/>
      <c r="D1017" s="67"/>
      <c r="E1017" s="67"/>
      <c r="F1017" s="67"/>
      <c r="G1017" s="67"/>
      <c r="H1017" s="67"/>
      <c r="I1017" s="67"/>
      <c r="J1017" s="67"/>
      <c r="K1017" s="67"/>
      <c r="L1017" s="67"/>
      <c r="M1017" s="67"/>
      <c r="N1017" s="67"/>
      <c r="O1017" s="67"/>
      <c r="P1017" s="67"/>
      <c r="Q1017" s="67"/>
      <c r="R1017" s="67"/>
      <c r="S1017" s="561"/>
      <c r="AG1017" s="139"/>
    </row>
    <row r="1018" spans="1:50" ht="15.75" customHeight="1" x14ac:dyDescent="0.3">
      <c r="A1018" s="640"/>
      <c r="B1018" s="810">
        <f>+A5</f>
        <v>2017</v>
      </c>
      <c r="C1018" s="787"/>
      <c r="D1018" s="787"/>
      <c r="E1018" s="787"/>
      <c r="F1018" s="787"/>
      <c r="G1018" s="787"/>
      <c r="H1018" s="787"/>
      <c r="I1018" s="787"/>
      <c r="J1018" s="787"/>
      <c r="K1018" s="787"/>
      <c r="L1018" s="787"/>
      <c r="M1018" s="787"/>
      <c r="N1018" s="787"/>
      <c r="O1018" s="787"/>
      <c r="P1018" s="787"/>
      <c r="Q1018" s="67"/>
      <c r="R1018" s="67"/>
      <c r="S1018" s="561"/>
      <c r="AE1018" t="s">
        <v>2912</v>
      </c>
      <c r="AF1018" t="s">
        <v>2913</v>
      </c>
    </row>
    <row r="1019" spans="1:50" ht="15.75" customHeight="1" thickBot="1" x14ac:dyDescent="0.35">
      <c r="A1019" s="640"/>
      <c r="B1019" s="786" t="s">
        <v>1199</v>
      </c>
      <c r="C1019" s="786"/>
      <c r="D1019" s="786"/>
      <c r="E1019" s="786"/>
      <c r="F1019" s="786"/>
      <c r="G1019" s="786"/>
      <c r="H1019" s="786"/>
      <c r="I1019" s="786"/>
      <c r="J1019" s="786"/>
      <c r="K1019" s="786"/>
      <c r="L1019" s="786"/>
      <c r="M1019" s="786"/>
      <c r="N1019" s="786"/>
      <c r="O1019" s="786"/>
      <c r="P1019" s="786"/>
      <c r="Q1019" s="67"/>
      <c r="R1019" s="67"/>
      <c r="S1019" s="561"/>
      <c r="V1019" t="s">
        <v>3174</v>
      </c>
      <c r="AC1019" t="s">
        <v>2911</v>
      </c>
      <c r="AD1019" s="671" t="s">
        <v>3179</v>
      </c>
      <c r="AE1019">
        <f>DAY(DATE($A$5,MONTH(CONCATENATE(1,"-",AD1019,"-",$A$5))+1,1)-1)</f>
        <v>28</v>
      </c>
      <c r="AI1019" s="134"/>
      <c r="AJ1019" s="134"/>
    </row>
    <row r="1020" spans="1:50" ht="15.75" customHeight="1" x14ac:dyDescent="0.3">
      <c r="A1020" s="640"/>
      <c r="B1020" s="818" t="s">
        <v>2888</v>
      </c>
      <c r="C1020" s="819"/>
      <c r="D1020" s="820"/>
      <c r="E1020" s="70"/>
      <c r="F1020" s="70"/>
      <c r="G1020" s="70"/>
      <c r="H1020" s="70"/>
      <c r="I1020" s="70"/>
      <c r="J1020" s="70"/>
      <c r="K1020" s="70"/>
      <c r="L1020" s="70"/>
      <c r="M1020" s="70"/>
      <c r="N1020" s="70"/>
      <c r="O1020" s="70"/>
      <c r="P1020" s="70"/>
      <c r="Q1020" s="67"/>
      <c r="R1020" s="67"/>
      <c r="S1020" s="675"/>
      <c r="T1020" s="812" t="s">
        <v>3169</v>
      </c>
      <c r="U1020" s="813"/>
      <c r="V1020" s="813" t="s">
        <v>3171</v>
      </c>
      <c r="W1020" s="813"/>
      <c r="X1020" s="719" t="s">
        <v>2463</v>
      </c>
      <c r="Y1020" s="719" t="s">
        <v>3180</v>
      </c>
      <c r="Z1020" s="719" t="s">
        <v>3172</v>
      </c>
    </row>
    <row r="1021" spans="1:50" ht="15.75" customHeight="1" thickBot="1" x14ac:dyDescent="0.35">
      <c r="A1021" s="634" t="s">
        <v>249</v>
      </c>
      <c r="B1021" s="653" t="s">
        <v>2886</v>
      </c>
      <c r="C1021" s="654" t="s">
        <v>2885</v>
      </c>
      <c r="D1021" s="655" t="s">
        <v>2915</v>
      </c>
      <c r="E1021" s="654" t="s">
        <v>1309</v>
      </c>
      <c r="F1021" s="654" t="s">
        <v>1029</v>
      </c>
      <c r="G1021" s="654" t="s">
        <v>1030</v>
      </c>
      <c r="H1021" s="654" t="s">
        <v>2881</v>
      </c>
      <c r="I1021" s="654" t="s">
        <v>2882</v>
      </c>
      <c r="J1021" s="654" t="s">
        <v>285</v>
      </c>
      <c r="K1021" s="654" t="s">
        <v>286</v>
      </c>
      <c r="L1021" s="654" t="s">
        <v>287</v>
      </c>
      <c r="M1021" s="654" t="s">
        <v>288</v>
      </c>
      <c r="N1021" s="654" t="s">
        <v>289</v>
      </c>
      <c r="O1021" s="654" t="s">
        <v>633</v>
      </c>
      <c r="P1021" s="654" t="s">
        <v>634</v>
      </c>
      <c r="Q1021" s="654" t="s">
        <v>1192</v>
      </c>
      <c r="R1021" s="654" t="s">
        <v>524</v>
      </c>
      <c r="S1021" s="655" t="s">
        <v>525</v>
      </c>
      <c r="T1021" s="654" t="s">
        <v>3170</v>
      </c>
      <c r="U1021" s="654" t="s">
        <v>2885</v>
      </c>
      <c r="V1021" s="654" t="s">
        <v>3173</v>
      </c>
      <c r="W1021" s="654" t="s">
        <v>2885</v>
      </c>
      <c r="X1021" s="654" t="s">
        <v>1193</v>
      </c>
      <c r="Y1021" s="654" t="s">
        <v>3181</v>
      </c>
      <c r="Z1021" s="654" t="s">
        <v>3182</v>
      </c>
      <c r="AD1021" s="634" t="s">
        <v>1308</v>
      </c>
      <c r="AE1021" s="634" t="s">
        <v>1309</v>
      </c>
      <c r="AF1021" s="634" t="s">
        <v>1029</v>
      </c>
      <c r="AG1021" s="634" t="s">
        <v>1030</v>
      </c>
      <c r="AH1021" s="634" t="s">
        <v>284</v>
      </c>
      <c r="AI1021" s="634" t="s">
        <v>285</v>
      </c>
      <c r="AJ1021" s="634" t="s">
        <v>286</v>
      </c>
      <c r="AK1021" s="634" t="s">
        <v>287</v>
      </c>
      <c r="AL1021" s="634" t="s">
        <v>288</v>
      </c>
      <c r="AM1021" s="634" t="s">
        <v>289</v>
      </c>
      <c r="AN1021" s="634" t="s">
        <v>633</v>
      </c>
      <c r="AO1021" s="634" t="s">
        <v>634</v>
      </c>
      <c r="AP1021" s="634" t="s">
        <v>1192</v>
      </c>
      <c r="AQ1021" s="634" t="s">
        <v>524</v>
      </c>
      <c r="AR1021" s="634" t="s">
        <v>525</v>
      </c>
      <c r="AS1021" s="634" t="s">
        <v>2356</v>
      </c>
      <c r="AT1021" s="634" t="s">
        <v>1415</v>
      </c>
      <c r="AU1021" s="634" t="s">
        <v>2356</v>
      </c>
      <c r="AW1021" s="669" t="s">
        <v>2925</v>
      </c>
      <c r="AX1021" s="669" t="s">
        <v>2926</v>
      </c>
    </row>
    <row r="1022" spans="1:50" ht="15.75" customHeight="1" x14ac:dyDescent="0.3">
      <c r="A1022" s="642" t="s">
        <v>2843</v>
      </c>
      <c r="B1022" s="642">
        <f>+F1049</f>
        <v>196</v>
      </c>
      <c r="C1022" s="139">
        <f t="shared" ref="B1022:C1033" si="339">+G1049</f>
        <v>0</v>
      </c>
      <c r="D1022" s="643" t="s">
        <v>2916</v>
      </c>
      <c r="E1022" s="139">
        <f>+C942/$B$10/24</f>
        <v>20.405913978494624</v>
      </c>
      <c r="F1022" s="139">
        <f t="shared" ref="F1022:S1022" si="340">+D942/$B$10/24</f>
        <v>21.393817204301076</v>
      </c>
      <c r="G1022" s="139">
        <f t="shared" si="340"/>
        <v>36.54435483870968</v>
      </c>
      <c r="H1022" s="139">
        <f t="shared" si="340"/>
        <v>24.032200475787594</v>
      </c>
      <c r="I1022" s="139">
        <f t="shared" si="340"/>
        <v>-0.74396305839835863</v>
      </c>
      <c r="J1022" s="139">
        <f t="shared" si="340"/>
        <v>3.306451612903226</v>
      </c>
      <c r="K1022" s="139">
        <f t="shared" si="340"/>
        <v>3.2836021505376345</v>
      </c>
      <c r="L1022" s="139">
        <f t="shared" si="340"/>
        <v>5.127688172043011</v>
      </c>
      <c r="M1022" s="139">
        <f t="shared" si="340"/>
        <v>5.286290322580645</v>
      </c>
      <c r="N1022" s="139">
        <f t="shared" si="340"/>
        <v>1.9435483870967742</v>
      </c>
      <c r="O1022" s="139">
        <f t="shared" si="340"/>
        <v>2.2903225806451615</v>
      </c>
      <c r="P1022" s="139">
        <f t="shared" si="340"/>
        <v>4.748655913978495</v>
      </c>
      <c r="Q1022" s="139">
        <f t="shared" si="340"/>
        <v>0.88306451612903236</v>
      </c>
      <c r="R1022" s="139">
        <f t="shared" si="340"/>
        <v>0.11155913978494623</v>
      </c>
      <c r="S1022" s="643">
        <f t="shared" si="340"/>
        <v>2.088709677419355</v>
      </c>
      <c r="T1022" s="139">
        <f>+B1022+SUM(E1022:S1022)</f>
        <v>326.70221591201289</v>
      </c>
      <c r="U1022" s="139">
        <f t="shared" ref="U1022:U1033" si="341">+C1022+SUM(E1022:S1022)</f>
        <v>130.70221591201289</v>
      </c>
      <c r="V1022" s="139">
        <f>+B1022+SUM(E1022:G1022)</f>
        <v>274.3440860215054</v>
      </c>
      <c r="W1022" s="139">
        <f>+C1022+SUM(E1022:G1022)</f>
        <v>78.344086021505376</v>
      </c>
      <c r="X1022" s="139">
        <f>+H1022</f>
        <v>24.032200475787594</v>
      </c>
      <c r="Y1022" s="139">
        <f>+I1022</f>
        <v>-0.74396305839835863</v>
      </c>
      <c r="Z1022" s="139">
        <f>+SUM(J1022:S1022)</f>
        <v>29.069892473118284</v>
      </c>
      <c r="AC1022">
        <v>1</v>
      </c>
      <c r="AD1022" s="139">
        <f>IF($AF$1019=1,VLOOKUP($AD$1019,$A$1049:$P$1060,12,FALSE),VLOOKUP($AD$1019,$A$1022:$S$1033,2,FALSE))</f>
        <v>98</v>
      </c>
      <c r="AE1022" s="139">
        <f>VLOOKUP($AD$1019,$A$1022:$S$1033,5,FALSE)</f>
        <v>10.90327380952381</v>
      </c>
      <c r="AF1022" s="139">
        <f>VLOOKUP($AD$1019,$A$1022:$S$1033,6,FALSE)</f>
        <v>11.410714285714285</v>
      </c>
      <c r="AG1022" s="139">
        <f>VLOOKUP($AD$1019,$A$1022:$S$1033,7,FALSE)</f>
        <v>19.117559523809522</v>
      </c>
      <c r="AH1022" s="139">
        <f>VLOOKUP($AD$1019,$A$1022:$S$1033,8,FALSE)</f>
        <v>5.2804837333531163</v>
      </c>
      <c r="AI1022" s="139">
        <f>VLOOKUP($AD$1019,$A$1022:$S$1033,10,FALSE)</f>
        <v>4.7366071428571432</v>
      </c>
      <c r="AJ1022" s="139">
        <f>VLOOKUP($AD$1019,$A$1022:$S$1033,11,FALSE)</f>
        <v>3.1964285714285712</v>
      </c>
      <c r="AK1022" s="139">
        <f>VLOOKUP($AD$1019,$A$1022:$S$1033,12,FALSE)</f>
        <v>4.9642857142857144</v>
      </c>
      <c r="AL1022" s="139">
        <f>VLOOKUP($AD$1019,$A$1022:$S$1033,13,FALSE)</f>
        <v>5.09375</v>
      </c>
      <c r="AM1022" s="139">
        <f>VLOOKUP($AD$1019,$A$1022:$S$1033,14,FALSE)</f>
        <v>1.6964285714285714</v>
      </c>
      <c r="AN1022" s="139">
        <f>VLOOKUP($AD$1019,$A$1022:$S$1033,15,FALSE)</f>
        <v>1.9985119047619049</v>
      </c>
      <c r="AO1022" s="139">
        <f>VLOOKUP($AD$1019,$A$1022:$S$1033,16,FALSE)</f>
        <v>4.0461309523809526</v>
      </c>
      <c r="AP1022" s="139">
        <f>VLOOKUP($AD$1019,$A$1022:$S$1033,17,FALSE)</f>
        <v>0.59226190476190477</v>
      </c>
      <c r="AQ1022" s="139">
        <f>VLOOKUP($AD$1019,$A$1022:$S$1033,18,FALSE)</f>
        <v>0.55208333333333337</v>
      </c>
      <c r="AR1022" s="139">
        <f>VLOOKUP($AD$1019,$A$1022:$S$1033,19,FALSE)</f>
        <v>1.4017857142857144</v>
      </c>
      <c r="AS1022" s="139">
        <f>SUM(AD1022:AR1022)</f>
        <v>172.9903051619246</v>
      </c>
      <c r="AT1022" s="139">
        <f>VLOOKUP($AD$1019,$AC$942:$AS$953,17,FALSE)/$AE$1019*(AS1022/$AS$1046)</f>
        <v>10.963511384476714</v>
      </c>
      <c r="AU1022" s="139">
        <f>AS1022+AT1022</f>
        <v>183.9538165464013</v>
      </c>
      <c r="AW1022" s="139">
        <f>VLOOKUP($AD$1019,$A$970:$O$983,15,FALSE)/$AE$1019/24</f>
        <v>153.98626211109917</v>
      </c>
      <c r="AX1022" s="139">
        <f>AU1022-AW1022</f>
        <v>29.967554435302134</v>
      </c>
    </row>
    <row r="1023" spans="1:50" ht="15.75" customHeight="1" x14ac:dyDescent="0.3">
      <c r="A1023" s="642" t="s">
        <v>2091</v>
      </c>
      <c r="B1023" s="642">
        <f t="shared" si="339"/>
        <v>98</v>
      </c>
      <c r="C1023" s="139">
        <f t="shared" si="339"/>
        <v>0</v>
      </c>
      <c r="D1023" s="643" t="s">
        <v>2916</v>
      </c>
      <c r="E1023" s="139">
        <f t="shared" ref="E1023:S1023" si="342">+C943/$C$10/24</f>
        <v>10.90327380952381</v>
      </c>
      <c r="F1023" s="139">
        <f t="shared" si="342"/>
        <v>11.410714285714285</v>
      </c>
      <c r="G1023" s="139">
        <f t="shared" si="342"/>
        <v>19.117559523809522</v>
      </c>
      <c r="H1023" s="139">
        <f t="shared" si="342"/>
        <v>5.2804837333531163</v>
      </c>
      <c r="I1023" s="139">
        <f t="shared" si="342"/>
        <v>-1.7860593174722752</v>
      </c>
      <c r="J1023" s="139">
        <f t="shared" si="342"/>
        <v>4.7366071428571432</v>
      </c>
      <c r="K1023" s="139">
        <f t="shared" si="342"/>
        <v>3.1964285714285712</v>
      </c>
      <c r="L1023" s="139">
        <f t="shared" si="342"/>
        <v>4.9642857142857144</v>
      </c>
      <c r="M1023" s="139">
        <f t="shared" si="342"/>
        <v>5.09375</v>
      </c>
      <c r="N1023" s="139">
        <f t="shared" si="342"/>
        <v>1.6964285714285714</v>
      </c>
      <c r="O1023" s="139">
        <f t="shared" si="342"/>
        <v>1.9985119047619049</v>
      </c>
      <c r="P1023" s="139">
        <f t="shared" si="342"/>
        <v>4.0461309523809526</v>
      </c>
      <c r="Q1023" s="139">
        <f t="shared" si="342"/>
        <v>0.59226190476190477</v>
      </c>
      <c r="R1023" s="139">
        <f t="shared" si="342"/>
        <v>0.55208333333333337</v>
      </c>
      <c r="S1023" s="643">
        <f t="shared" si="342"/>
        <v>1.4017857142857144</v>
      </c>
      <c r="T1023" s="139">
        <f t="shared" ref="T1023:T1033" si="343">+B1023+SUM(E1023:S1023)</f>
        <v>171.20424584445226</v>
      </c>
      <c r="U1023" s="139">
        <f t="shared" si="341"/>
        <v>73.204245844452245</v>
      </c>
      <c r="V1023" s="139">
        <f t="shared" ref="V1023:V1033" si="344">+B1023+SUM(E1023:G1023)</f>
        <v>139.43154761904762</v>
      </c>
      <c r="W1023" s="139">
        <f t="shared" ref="W1023:W1033" si="345">+C1023+SUM(E1023:G1023)</f>
        <v>41.43154761904762</v>
      </c>
      <c r="X1023" s="139">
        <f t="shared" ref="X1023:X1033" si="346">+H1023</f>
        <v>5.2804837333531163</v>
      </c>
      <c r="Y1023" s="139">
        <f t="shared" ref="Y1023:Y1033" si="347">+I1023</f>
        <v>-1.7860593174722752</v>
      </c>
      <c r="Z1023" s="139">
        <f t="shared" ref="Z1023:Z1033" si="348">+SUM(J1023:S1023)</f>
        <v>28.278273809523814</v>
      </c>
      <c r="AC1023">
        <v>2</v>
      </c>
      <c r="AD1023" s="139">
        <f t="shared" ref="AD1023:AD1027" si="349">IF($AF$1019=1,VLOOKUP($AD$1019,$A$1049:$P$1060,12,FALSE),VLOOKUP($AD$1019,$A$1022:$S$1033,2,FALSE))</f>
        <v>98</v>
      </c>
      <c r="AE1023" s="139">
        <f t="shared" ref="AE1023:AE1045" si="350">VLOOKUP($AD$1019,$A$1022:$S$1033,5,FALSE)</f>
        <v>10.90327380952381</v>
      </c>
      <c r="AF1023" s="139">
        <f t="shared" ref="AF1023:AF1045" si="351">VLOOKUP($AD$1019,$A$1022:$S$1033,6,FALSE)</f>
        <v>11.410714285714285</v>
      </c>
      <c r="AG1023" s="139">
        <f t="shared" ref="AG1023:AG1045" si="352">VLOOKUP($AD$1019,$A$1022:$S$1033,7,FALSE)</f>
        <v>19.117559523809522</v>
      </c>
      <c r="AH1023" s="139">
        <f t="shared" ref="AH1023:AH1045" si="353">VLOOKUP($AD$1019,$A$1022:$S$1033,8,FALSE)</f>
        <v>5.2804837333531163</v>
      </c>
      <c r="AI1023" s="139">
        <f t="shared" ref="AI1023:AI1045" si="354">VLOOKUP($AD$1019,$A$1022:$S$1033,10,FALSE)</f>
        <v>4.7366071428571432</v>
      </c>
      <c r="AJ1023" s="139">
        <f t="shared" ref="AJ1023:AJ1045" si="355">VLOOKUP($AD$1019,$A$1022:$S$1033,11,FALSE)</f>
        <v>3.1964285714285712</v>
      </c>
      <c r="AK1023" s="139">
        <f t="shared" ref="AK1023:AK1045" si="356">VLOOKUP($AD$1019,$A$1022:$S$1033,12,FALSE)</f>
        <v>4.9642857142857144</v>
      </c>
      <c r="AL1023" s="139">
        <f t="shared" ref="AL1023:AL1045" si="357">VLOOKUP($AD$1019,$A$1022:$S$1033,13,FALSE)</f>
        <v>5.09375</v>
      </c>
      <c r="AM1023" s="139">
        <f t="shared" ref="AM1023:AM1045" si="358">VLOOKUP($AD$1019,$A$1022:$S$1033,14,FALSE)</f>
        <v>1.6964285714285714</v>
      </c>
      <c r="AN1023" s="139">
        <f t="shared" ref="AN1023:AN1045" si="359">VLOOKUP($AD$1019,$A$1022:$S$1033,15,FALSE)</f>
        <v>1.9985119047619049</v>
      </c>
      <c r="AO1023" s="139">
        <f t="shared" ref="AO1023:AO1045" si="360">VLOOKUP($AD$1019,$A$1022:$S$1033,16,FALSE)</f>
        <v>4.0461309523809526</v>
      </c>
      <c r="AP1023" s="139">
        <f t="shared" ref="AP1023:AP1045" si="361">VLOOKUP($AD$1019,$A$1022:$S$1033,17,FALSE)</f>
        <v>0.59226190476190477</v>
      </c>
      <c r="AQ1023" s="139">
        <f t="shared" ref="AQ1023:AQ1045" si="362">VLOOKUP($AD$1019,$A$1022:$S$1033,18,FALSE)</f>
        <v>0.55208333333333337</v>
      </c>
      <c r="AR1023" s="139">
        <f t="shared" ref="AR1023:AR1045" si="363">VLOOKUP($AD$1019,$A$1022:$S$1033,19,FALSE)</f>
        <v>1.4017857142857144</v>
      </c>
      <c r="AS1023" s="139">
        <f t="shared" ref="AS1023:AS1045" si="364">SUM(AD1023:AR1023)</f>
        <v>172.9903051619246</v>
      </c>
      <c r="AT1023" s="139">
        <f t="shared" ref="AT1023:AT1045" si="365">VLOOKUP($AD$1019,$AC$942:$AS$953,17,FALSE)/$AE$1019*(AS1023/$AS$1046)</f>
        <v>10.963511384476714</v>
      </c>
      <c r="AU1023" s="139">
        <f t="shared" ref="AU1023:AU1045" si="366">AS1023+AT1023</f>
        <v>183.9538165464013</v>
      </c>
      <c r="AW1023" s="139">
        <f t="shared" ref="AW1023:AW1045" si="367">VLOOKUP($AD$1019,$A$970:$O$983,15,FALSE)/$AE$1019/24</f>
        <v>153.98626211109917</v>
      </c>
      <c r="AX1023" s="139">
        <f t="shared" ref="AX1023:AX1045" si="368">AU1023-AW1023</f>
        <v>29.967554435302134</v>
      </c>
    </row>
    <row r="1024" spans="1:50" ht="15.75" customHeight="1" x14ac:dyDescent="0.3">
      <c r="A1024" s="642" t="s">
        <v>2234</v>
      </c>
      <c r="B1024" s="642">
        <f t="shared" si="339"/>
        <v>294</v>
      </c>
      <c r="C1024" s="139">
        <f t="shared" si="339"/>
        <v>0</v>
      </c>
      <c r="D1024" s="643" t="s">
        <v>2916</v>
      </c>
      <c r="E1024" s="139">
        <f t="shared" ref="E1024:S1024" si="369">+C944/$D$10/24</f>
        <v>22.198924731182796</v>
      </c>
      <c r="F1024" s="139">
        <f t="shared" si="369"/>
        <v>23.24462365591398</v>
      </c>
      <c r="G1024" s="139">
        <f t="shared" si="369"/>
        <v>38.883064516129032</v>
      </c>
      <c r="H1024" s="139">
        <f t="shared" si="369"/>
        <v>5.9990485767542543</v>
      </c>
      <c r="I1024" s="139">
        <f t="shared" si="369"/>
        <v>-4.4788695070029222E-2</v>
      </c>
      <c r="J1024" s="139">
        <f t="shared" si="369"/>
        <v>11.400537634408602</v>
      </c>
      <c r="K1024" s="139">
        <f t="shared" si="369"/>
        <v>7.186827956989247</v>
      </c>
      <c r="L1024" s="139">
        <f t="shared" si="369"/>
        <v>9.1223118279569899</v>
      </c>
      <c r="M1024" s="139">
        <f t="shared" si="369"/>
        <v>8.599462365591398</v>
      </c>
      <c r="N1024" s="139">
        <f t="shared" si="369"/>
        <v>2.7056451612903225</v>
      </c>
      <c r="O1024" s="139">
        <f t="shared" si="369"/>
        <v>3.189516129032258</v>
      </c>
      <c r="P1024" s="139">
        <f t="shared" si="369"/>
        <v>6.448924731182796</v>
      </c>
      <c r="Q1024" s="139">
        <f t="shared" si="369"/>
        <v>1.092741935483871</v>
      </c>
      <c r="R1024" s="139">
        <f t="shared" si="369"/>
        <v>0.55376344086021512</v>
      </c>
      <c r="S1024" s="643">
        <f t="shared" si="369"/>
        <v>2.5846774193548385</v>
      </c>
      <c r="T1024" s="139">
        <f t="shared" si="343"/>
        <v>437.16528138706059</v>
      </c>
      <c r="U1024" s="139">
        <f t="shared" si="341"/>
        <v>143.16528138706059</v>
      </c>
      <c r="V1024" s="139">
        <f t="shared" si="344"/>
        <v>378.32661290322579</v>
      </c>
      <c r="W1024" s="139">
        <f t="shared" si="345"/>
        <v>84.326612903225808</v>
      </c>
      <c r="X1024" s="139">
        <f t="shared" si="346"/>
        <v>5.9990485767542543</v>
      </c>
      <c r="Y1024" s="139">
        <f t="shared" si="347"/>
        <v>-4.4788695070029222E-2</v>
      </c>
      <c r="Z1024" s="139">
        <f t="shared" si="348"/>
        <v>52.884408602150543</v>
      </c>
      <c r="AC1024">
        <v>3</v>
      </c>
      <c r="AD1024" s="139">
        <f t="shared" si="349"/>
        <v>98</v>
      </c>
      <c r="AE1024" s="139">
        <f t="shared" si="350"/>
        <v>10.90327380952381</v>
      </c>
      <c r="AF1024" s="139">
        <f t="shared" si="351"/>
        <v>11.410714285714285</v>
      </c>
      <c r="AG1024" s="139">
        <f t="shared" si="352"/>
        <v>19.117559523809522</v>
      </c>
      <c r="AH1024" s="139">
        <f t="shared" si="353"/>
        <v>5.2804837333531163</v>
      </c>
      <c r="AI1024" s="139">
        <f t="shared" si="354"/>
        <v>4.7366071428571432</v>
      </c>
      <c r="AJ1024" s="139">
        <f t="shared" si="355"/>
        <v>3.1964285714285712</v>
      </c>
      <c r="AK1024" s="139">
        <f t="shared" si="356"/>
        <v>4.9642857142857144</v>
      </c>
      <c r="AL1024" s="139">
        <f t="shared" si="357"/>
        <v>5.09375</v>
      </c>
      <c r="AM1024" s="139">
        <f t="shared" si="358"/>
        <v>1.6964285714285714</v>
      </c>
      <c r="AN1024" s="139">
        <f t="shared" si="359"/>
        <v>1.9985119047619049</v>
      </c>
      <c r="AO1024" s="139">
        <f t="shared" si="360"/>
        <v>4.0461309523809526</v>
      </c>
      <c r="AP1024" s="139">
        <f t="shared" si="361"/>
        <v>0.59226190476190477</v>
      </c>
      <c r="AQ1024" s="139">
        <f t="shared" si="362"/>
        <v>0.55208333333333337</v>
      </c>
      <c r="AR1024" s="139">
        <f t="shared" si="363"/>
        <v>1.4017857142857144</v>
      </c>
      <c r="AS1024" s="139">
        <f t="shared" si="364"/>
        <v>172.9903051619246</v>
      </c>
      <c r="AT1024" s="139">
        <f t="shared" si="365"/>
        <v>10.963511384476714</v>
      </c>
      <c r="AU1024" s="139">
        <f t="shared" si="366"/>
        <v>183.9538165464013</v>
      </c>
      <c r="AW1024" s="139">
        <f t="shared" si="367"/>
        <v>153.98626211109917</v>
      </c>
      <c r="AX1024" s="139">
        <f t="shared" si="368"/>
        <v>29.967554435302134</v>
      </c>
    </row>
    <row r="1025" spans="1:50" ht="15.75" customHeight="1" x14ac:dyDescent="0.3">
      <c r="A1025" s="642" t="s">
        <v>2235</v>
      </c>
      <c r="B1025" s="642">
        <f t="shared" si="339"/>
        <v>294</v>
      </c>
      <c r="C1025" s="139">
        <f t="shared" si="339"/>
        <v>0</v>
      </c>
      <c r="D1025" s="643" t="s">
        <v>2916</v>
      </c>
      <c r="E1025" s="139">
        <f t="shared" ref="E1025:S1025" si="370">+C945/$F$10/24</f>
        <v>27.074999999999999</v>
      </c>
      <c r="F1025" s="139">
        <f t="shared" si="370"/>
        <v>28.344444444444445</v>
      </c>
      <c r="G1025" s="139">
        <f t="shared" si="370"/>
        <v>46.887499999999996</v>
      </c>
      <c r="H1025" s="139">
        <f t="shared" si="370"/>
        <v>2.9375522591534704</v>
      </c>
      <c r="I1025" s="139">
        <f t="shared" si="370"/>
        <v>-1.3427530771163035E-3</v>
      </c>
      <c r="J1025" s="139">
        <f t="shared" si="370"/>
        <v>14.427777777777777</v>
      </c>
      <c r="K1025" s="139">
        <f t="shared" si="370"/>
        <v>8.9</v>
      </c>
      <c r="L1025" s="139">
        <f t="shared" si="370"/>
        <v>10.329166666666667</v>
      </c>
      <c r="M1025" s="139">
        <f t="shared" si="370"/>
        <v>9.0236111111111104</v>
      </c>
      <c r="N1025" s="139">
        <f t="shared" si="370"/>
        <v>2.7097222222222221</v>
      </c>
      <c r="O1025" s="139">
        <f t="shared" si="370"/>
        <v>3.1916666666666664</v>
      </c>
      <c r="P1025" s="139">
        <f t="shared" si="370"/>
        <v>6.4041666666666659</v>
      </c>
      <c r="Q1025" s="139">
        <f t="shared" si="370"/>
        <v>1.0513888888888889</v>
      </c>
      <c r="R1025" s="139">
        <f t="shared" si="370"/>
        <v>1.4819444444444445</v>
      </c>
      <c r="S1025" s="643">
        <f t="shared" si="370"/>
        <v>2.4847222222222221</v>
      </c>
      <c r="T1025" s="139">
        <f t="shared" si="343"/>
        <v>459.24732061718748</v>
      </c>
      <c r="U1025" s="139">
        <f t="shared" si="341"/>
        <v>165.24732061718746</v>
      </c>
      <c r="V1025" s="139">
        <f t="shared" si="344"/>
        <v>396.30694444444441</v>
      </c>
      <c r="W1025" s="139">
        <f t="shared" si="345"/>
        <v>102.30694444444444</v>
      </c>
      <c r="X1025" s="139">
        <f t="shared" si="346"/>
        <v>2.9375522591534704</v>
      </c>
      <c r="Y1025" s="139">
        <f t="shared" si="347"/>
        <v>-1.3427530771163035E-3</v>
      </c>
      <c r="Z1025" s="139">
        <f t="shared" si="348"/>
        <v>60.004166666666656</v>
      </c>
      <c r="AC1025">
        <v>4</v>
      </c>
      <c r="AD1025" s="139">
        <f t="shared" si="349"/>
        <v>98</v>
      </c>
      <c r="AE1025" s="139">
        <f t="shared" si="350"/>
        <v>10.90327380952381</v>
      </c>
      <c r="AF1025" s="139">
        <f t="shared" si="351"/>
        <v>11.410714285714285</v>
      </c>
      <c r="AG1025" s="139">
        <f t="shared" si="352"/>
        <v>19.117559523809522</v>
      </c>
      <c r="AH1025" s="139">
        <f t="shared" si="353"/>
        <v>5.2804837333531163</v>
      </c>
      <c r="AI1025" s="139">
        <f t="shared" si="354"/>
        <v>4.7366071428571432</v>
      </c>
      <c r="AJ1025" s="139">
        <f t="shared" si="355"/>
        <v>3.1964285714285712</v>
      </c>
      <c r="AK1025" s="139">
        <f t="shared" si="356"/>
        <v>4.9642857142857144</v>
      </c>
      <c r="AL1025" s="139">
        <f t="shared" si="357"/>
        <v>5.09375</v>
      </c>
      <c r="AM1025" s="139">
        <f t="shared" si="358"/>
        <v>1.6964285714285714</v>
      </c>
      <c r="AN1025" s="139">
        <f t="shared" si="359"/>
        <v>1.9985119047619049</v>
      </c>
      <c r="AO1025" s="139">
        <f t="shared" si="360"/>
        <v>4.0461309523809526</v>
      </c>
      <c r="AP1025" s="139">
        <f t="shared" si="361"/>
        <v>0.59226190476190477</v>
      </c>
      <c r="AQ1025" s="139">
        <f t="shared" si="362"/>
        <v>0.55208333333333337</v>
      </c>
      <c r="AR1025" s="139">
        <f t="shared" si="363"/>
        <v>1.4017857142857144</v>
      </c>
      <c r="AS1025" s="139">
        <f t="shared" si="364"/>
        <v>172.9903051619246</v>
      </c>
      <c r="AT1025" s="139">
        <f t="shared" si="365"/>
        <v>10.963511384476714</v>
      </c>
      <c r="AU1025" s="139">
        <f t="shared" si="366"/>
        <v>183.9538165464013</v>
      </c>
      <c r="AW1025" s="139">
        <f t="shared" si="367"/>
        <v>153.98626211109917</v>
      </c>
      <c r="AX1025" s="139">
        <f t="shared" si="368"/>
        <v>29.967554435302134</v>
      </c>
    </row>
    <row r="1026" spans="1:50" ht="15.75" customHeight="1" x14ac:dyDescent="0.3">
      <c r="A1026" s="642" t="s">
        <v>2236</v>
      </c>
      <c r="B1026" s="642">
        <f t="shared" si="339"/>
        <v>294</v>
      </c>
      <c r="C1026" s="139">
        <f t="shared" si="339"/>
        <v>0</v>
      </c>
      <c r="D1026" s="643" t="s">
        <v>2916</v>
      </c>
      <c r="E1026" s="139">
        <f t="shared" ref="E1026:S1026" si="371">+C946/$G$10/24</f>
        <v>28.793010752688172</v>
      </c>
      <c r="F1026" s="139">
        <f t="shared" si="371"/>
        <v>30.13978494623656</v>
      </c>
      <c r="G1026" s="139">
        <f t="shared" si="371"/>
        <v>49.69489247311828</v>
      </c>
      <c r="H1026" s="139">
        <f t="shared" si="371"/>
        <v>7.2865709367487268</v>
      </c>
      <c r="I1026" s="139">
        <f t="shared" si="371"/>
        <v>-0.31723330983461706</v>
      </c>
      <c r="J1026" s="139">
        <f t="shared" si="371"/>
        <v>13.53763440860215</v>
      </c>
      <c r="K1026" s="139">
        <f t="shared" si="371"/>
        <v>7.543010752688172</v>
      </c>
      <c r="L1026" s="139">
        <f t="shared" si="371"/>
        <v>9.9973118279569899</v>
      </c>
      <c r="M1026" s="139">
        <f t="shared" si="371"/>
        <v>8.3561827956989259</v>
      </c>
      <c r="N1026" s="139">
        <f t="shared" si="371"/>
        <v>2.6666666666666665</v>
      </c>
      <c r="O1026" s="139">
        <f t="shared" si="371"/>
        <v>3.1397849462365595</v>
      </c>
      <c r="P1026" s="139">
        <f t="shared" si="371"/>
        <v>5.975806451612903</v>
      </c>
      <c r="Q1026" s="139">
        <f t="shared" si="371"/>
        <v>0.79435483870967749</v>
      </c>
      <c r="R1026" s="139">
        <f t="shared" si="371"/>
        <v>2.4381720430107525</v>
      </c>
      <c r="S1026" s="643">
        <f t="shared" si="371"/>
        <v>1.8776881720430108</v>
      </c>
      <c r="T1026" s="139">
        <f t="shared" si="343"/>
        <v>465.92363870218287</v>
      </c>
      <c r="U1026" s="139">
        <f t="shared" si="341"/>
        <v>171.92363870218287</v>
      </c>
      <c r="V1026" s="139">
        <f t="shared" si="344"/>
        <v>402.62768817204301</v>
      </c>
      <c r="W1026" s="139">
        <f t="shared" si="345"/>
        <v>108.62768817204301</v>
      </c>
      <c r="X1026" s="139">
        <f t="shared" si="346"/>
        <v>7.2865709367487268</v>
      </c>
      <c r="Y1026" s="139">
        <f t="shared" si="347"/>
        <v>-0.31723330983461706</v>
      </c>
      <c r="Z1026" s="139">
        <f t="shared" si="348"/>
        <v>56.326612903225808</v>
      </c>
      <c r="AC1026">
        <v>5</v>
      </c>
      <c r="AD1026" s="139">
        <f t="shared" si="349"/>
        <v>98</v>
      </c>
      <c r="AE1026" s="139">
        <f t="shared" si="350"/>
        <v>10.90327380952381</v>
      </c>
      <c r="AF1026" s="139">
        <f t="shared" si="351"/>
        <v>11.410714285714285</v>
      </c>
      <c r="AG1026" s="139">
        <f t="shared" si="352"/>
        <v>19.117559523809522</v>
      </c>
      <c r="AH1026" s="139">
        <f t="shared" si="353"/>
        <v>5.2804837333531163</v>
      </c>
      <c r="AI1026" s="139">
        <f t="shared" si="354"/>
        <v>4.7366071428571432</v>
      </c>
      <c r="AJ1026" s="139">
        <f t="shared" si="355"/>
        <v>3.1964285714285712</v>
      </c>
      <c r="AK1026" s="139">
        <f t="shared" si="356"/>
        <v>4.9642857142857144</v>
      </c>
      <c r="AL1026" s="139">
        <f t="shared" si="357"/>
        <v>5.09375</v>
      </c>
      <c r="AM1026" s="139">
        <f t="shared" si="358"/>
        <v>1.6964285714285714</v>
      </c>
      <c r="AN1026" s="139">
        <f t="shared" si="359"/>
        <v>1.9985119047619049</v>
      </c>
      <c r="AO1026" s="139">
        <f t="shared" si="360"/>
        <v>4.0461309523809526</v>
      </c>
      <c r="AP1026" s="139">
        <f t="shared" si="361"/>
        <v>0.59226190476190477</v>
      </c>
      <c r="AQ1026" s="139">
        <f t="shared" si="362"/>
        <v>0.55208333333333337</v>
      </c>
      <c r="AR1026" s="139">
        <f t="shared" si="363"/>
        <v>1.4017857142857144</v>
      </c>
      <c r="AS1026" s="139">
        <f t="shared" si="364"/>
        <v>172.9903051619246</v>
      </c>
      <c r="AT1026" s="139">
        <f t="shared" si="365"/>
        <v>10.963511384476714</v>
      </c>
      <c r="AU1026" s="139">
        <f t="shared" si="366"/>
        <v>183.9538165464013</v>
      </c>
      <c r="AW1026" s="139">
        <f t="shared" si="367"/>
        <v>153.98626211109917</v>
      </c>
      <c r="AX1026" s="139">
        <f t="shared" si="368"/>
        <v>29.967554435302134</v>
      </c>
    </row>
    <row r="1027" spans="1:50" ht="15.75" customHeight="1" x14ac:dyDescent="0.3">
      <c r="A1027" s="642" t="s">
        <v>2237</v>
      </c>
      <c r="B1027" s="642">
        <f t="shared" si="339"/>
        <v>147</v>
      </c>
      <c r="C1027" s="139">
        <f t="shared" si="339"/>
        <v>0</v>
      </c>
      <c r="D1027" s="643" t="str">
        <f>H1054</f>
        <v>n/a</v>
      </c>
      <c r="E1027" s="139">
        <f t="shared" ref="E1027:S1027" si="372">+C947/$H$10/24</f>
        <v>13.951388888888888</v>
      </c>
      <c r="F1027" s="139">
        <f t="shared" si="372"/>
        <v>14.566666666666668</v>
      </c>
      <c r="G1027" s="139">
        <f t="shared" si="372"/>
        <v>23.054166666666664</v>
      </c>
      <c r="H1027" s="139">
        <f t="shared" si="372"/>
        <v>0</v>
      </c>
      <c r="I1027" s="139">
        <f t="shared" si="372"/>
        <v>-23.253724859750488</v>
      </c>
      <c r="J1027" s="139">
        <f t="shared" si="372"/>
        <v>19.031944444444445</v>
      </c>
      <c r="K1027" s="139">
        <f t="shared" si="372"/>
        <v>11.009722222222223</v>
      </c>
      <c r="L1027" s="139">
        <f t="shared" si="372"/>
        <v>10.743055555555555</v>
      </c>
      <c r="M1027" s="139">
        <f t="shared" si="372"/>
        <v>9.0347222222222232</v>
      </c>
      <c r="N1027" s="139">
        <f t="shared" si="372"/>
        <v>2.973611111111111</v>
      </c>
      <c r="O1027" s="139">
        <f t="shared" si="372"/>
        <v>3.5013888888888887</v>
      </c>
      <c r="P1027" s="139">
        <f t="shared" si="372"/>
        <v>7.2</v>
      </c>
      <c r="Q1027" s="139">
        <f t="shared" si="372"/>
        <v>1.2611111111111111</v>
      </c>
      <c r="R1027" s="139">
        <f t="shared" si="372"/>
        <v>3.1486111111111108</v>
      </c>
      <c r="S1027" s="643">
        <f t="shared" si="372"/>
        <v>2.9819444444444443</v>
      </c>
      <c r="T1027" s="139">
        <f t="shared" si="343"/>
        <v>246.20460847358285</v>
      </c>
      <c r="U1027" s="139">
        <f t="shared" si="341"/>
        <v>99.204608473582852</v>
      </c>
      <c r="V1027" s="139">
        <f t="shared" si="344"/>
        <v>198.57222222222222</v>
      </c>
      <c r="W1027" s="139">
        <f t="shared" si="345"/>
        <v>51.572222222222223</v>
      </c>
      <c r="X1027" s="139">
        <f t="shared" si="346"/>
        <v>0</v>
      </c>
      <c r="Y1027" s="139">
        <f t="shared" si="347"/>
        <v>-23.253724859750488</v>
      </c>
      <c r="Z1027" s="139">
        <f t="shared" si="348"/>
        <v>70.88611111111112</v>
      </c>
      <c r="AC1027">
        <v>6</v>
      </c>
      <c r="AD1027" s="139">
        <f t="shared" si="349"/>
        <v>98</v>
      </c>
      <c r="AE1027" s="139">
        <f t="shared" si="350"/>
        <v>10.90327380952381</v>
      </c>
      <c r="AF1027" s="139">
        <f t="shared" si="351"/>
        <v>11.410714285714285</v>
      </c>
      <c r="AG1027" s="139">
        <f t="shared" si="352"/>
        <v>19.117559523809522</v>
      </c>
      <c r="AH1027" s="139">
        <f t="shared" si="353"/>
        <v>5.2804837333531163</v>
      </c>
      <c r="AI1027" s="139">
        <f t="shared" si="354"/>
        <v>4.7366071428571432</v>
      </c>
      <c r="AJ1027" s="139">
        <f t="shared" si="355"/>
        <v>3.1964285714285712</v>
      </c>
      <c r="AK1027" s="139">
        <f t="shared" si="356"/>
        <v>4.9642857142857144</v>
      </c>
      <c r="AL1027" s="139">
        <f t="shared" si="357"/>
        <v>5.09375</v>
      </c>
      <c r="AM1027" s="139">
        <f t="shared" si="358"/>
        <v>1.6964285714285714</v>
      </c>
      <c r="AN1027" s="139">
        <f t="shared" si="359"/>
        <v>1.9985119047619049</v>
      </c>
      <c r="AO1027" s="139">
        <f t="shared" si="360"/>
        <v>4.0461309523809526</v>
      </c>
      <c r="AP1027" s="139">
        <f t="shared" si="361"/>
        <v>0.59226190476190477</v>
      </c>
      <c r="AQ1027" s="139">
        <f t="shared" si="362"/>
        <v>0.55208333333333337</v>
      </c>
      <c r="AR1027" s="139">
        <f t="shared" si="363"/>
        <v>1.4017857142857144</v>
      </c>
      <c r="AS1027" s="139">
        <f t="shared" si="364"/>
        <v>172.9903051619246</v>
      </c>
      <c r="AT1027" s="139">
        <f t="shared" si="365"/>
        <v>10.963511384476714</v>
      </c>
      <c r="AU1027" s="139">
        <f t="shared" si="366"/>
        <v>183.9538165464013</v>
      </c>
      <c r="AW1027" s="139">
        <f t="shared" si="367"/>
        <v>153.98626211109917</v>
      </c>
      <c r="AX1027" s="139">
        <f t="shared" si="368"/>
        <v>29.967554435302134</v>
      </c>
    </row>
    <row r="1028" spans="1:50" ht="15.75" customHeight="1" x14ac:dyDescent="0.3">
      <c r="A1028" s="642" t="s">
        <v>1504</v>
      </c>
      <c r="B1028" s="642">
        <f t="shared" si="339"/>
        <v>147</v>
      </c>
      <c r="C1028" s="139">
        <f t="shared" si="339"/>
        <v>0</v>
      </c>
      <c r="D1028" s="643" t="str">
        <f>H1055</f>
        <v>n/a</v>
      </c>
      <c r="E1028" s="139">
        <f t="shared" ref="E1028:S1028" si="373">+C948/$J$10/24</f>
        <v>12.295698924731184</v>
      </c>
      <c r="F1028" s="139">
        <f t="shared" si="373"/>
        <v>12.831989247311826</v>
      </c>
      <c r="G1028" s="139">
        <f t="shared" si="373"/>
        <v>20.20967741935484</v>
      </c>
      <c r="H1028" s="139">
        <f t="shared" si="373"/>
        <v>0</v>
      </c>
      <c r="I1028" s="139">
        <f t="shared" si="373"/>
        <v>-16.262096612133437</v>
      </c>
      <c r="J1028" s="139">
        <f t="shared" si="373"/>
        <v>14.720430107526882</v>
      </c>
      <c r="K1028" s="139">
        <f t="shared" si="373"/>
        <v>11.211021505376344</v>
      </c>
      <c r="L1028" s="139">
        <f t="shared" si="373"/>
        <v>10.713709677419354</v>
      </c>
      <c r="M1028" s="139">
        <f t="shared" si="373"/>
        <v>8.6518817204301079</v>
      </c>
      <c r="N1028" s="139">
        <f t="shared" si="373"/>
        <v>2.9193548387096775</v>
      </c>
      <c r="O1028" s="139">
        <f t="shared" si="373"/>
        <v>3.4381720430107525</v>
      </c>
      <c r="P1028" s="139">
        <f t="shared" si="373"/>
        <v>6.774193548387097</v>
      </c>
      <c r="Q1028" s="139">
        <f t="shared" si="373"/>
        <v>1.0228494623655913</v>
      </c>
      <c r="R1028" s="139">
        <f t="shared" si="373"/>
        <v>2.5376344086021505</v>
      </c>
      <c r="S1028" s="643">
        <f t="shared" si="373"/>
        <v>2.4193548387096775</v>
      </c>
      <c r="T1028" s="139">
        <f t="shared" si="343"/>
        <v>240.48387112980205</v>
      </c>
      <c r="U1028" s="139">
        <f t="shared" si="341"/>
        <v>93.483871129802054</v>
      </c>
      <c r="V1028" s="139">
        <f t="shared" si="344"/>
        <v>192.33736559139786</v>
      </c>
      <c r="W1028" s="139">
        <f t="shared" si="345"/>
        <v>45.337365591397848</v>
      </c>
      <c r="X1028" s="139">
        <f t="shared" si="346"/>
        <v>0</v>
      </c>
      <c r="Y1028" s="139">
        <f t="shared" si="347"/>
        <v>-16.262096612133437</v>
      </c>
      <c r="Z1028" s="139">
        <f t="shared" si="348"/>
        <v>64.408602150537632</v>
      </c>
      <c r="AC1028">
        <v>7</v>
      </c>
      <c r="AD1028" s="139">
        <f>IF($AF$1019=1,VLOOKUP($AD$1019,$A$1049:$P$1060,12,FALSE),IF(OR($AD$1019="JAN",$AD$1019="FEB",$AD$1019="NOV",$AD$1019="DEC"),VLOOKUP($AD$1019,$A$1022:$S$1033,2,FALSE),VLOOKUP($AD$1019,$A$1022:$S$1033,3,FALSE)))</f>
        <v>98</v>
      </c>
      <c r="AE1028" s="139">
        <f t="shared" si="350"/>
        <v>10.90327380952381</v>
      </c>
      <c r="AF1028" s="139">
        <f t="shared" si="351"/>
        <v>11.410714285714285</v>
      </c>
      <c r="AG1028" s="139">
        <f t="shared" si="352"/>
        <v>19.117559523809522</v>
      </c>
      <c r="AH1028" s="139">
        <f t="shared" si="353"/>
        <v>5.2804837333531163</v>
      </c>
      <c r="AI1028" s="139">
        <f t="shared" si="354"/>
        <v>4.7366071428571432</v>
      </c>
      <c r="AJ1028" s="139">
        <f t="shared" si="355"/>
        <v>3.1964285714285712</v>
      </c>
      <c r="AK1028" s="139">
        <f t="shared" si="356"/>
        <v>4.9642857142857144</v>
      </c>
      <c r="AL1028" s="139">
        <f t="shared" si="357"/>
        <v>5.09375</v>
      </c>
      <c r="AM1028" s="139">
        <f t="shared" si="358"/>
        <v>1.6964285714285714</v>
      </c>
      <c r="AN1028" s="139">
        <f t="shared" si="359"/>
        <v>1.9985119047619049</v>
      </c>
      <c r="AO1028" s="139">
        <f t="shared" si="360"/>
        <v>4.0461309523809526</v>
      </c>
      <c r="AP1028" s="139">
        <f t="shared" si="361"/>
        <v>0.59226190476190477</v>
      </c>
      <c r="AQ1028" s="139">
        <f t="shared" si="362"/>
        <v>0.55208333333333337</v>
      </c>
      <c r="AR1028" s="139">
        <f t="shared" si="363"/>
        <v>1.4017857142857144</v>
      </c>
      <c r="AS1028" s="139">
        <f t="shared" si="364"/>
        <v>172.9903051619246</v>
      </c>
      <c r="AT1028" s="139">
        <f t="shared" si="365"/>
        <v>10.963511384476714</v>
      </c>
      <c r="AU1028" s="139">
        <f t="shared" si="366"/>
        <v>183.9538165464013</v>
      </c>
      <c r="AW1028" s="139">
        <f t="shared" si="367"/>
        <v>153.98626211109917</v>
      </c>
      <c r="AX1028" s="139">
        <f t="shared" si="368"/>
        <v>29.967554435302134</v>
      </c>
    </row>
    <row r="1029" spans="1:50" ht="15.75" customHeight="1" x14ac:dyDescent="0.3">
      <c r="A1029" s="642" t="s">
        <v>1505</v>
      </c>
      <c r="B1029" s="642">
        <f t="shared" si="339"/>
        <v>147</v>
      </c>
      <c r="C1029" s="139">
        <f t="shared" si="339"/>
        <v>0</v>
      </c>
      <c r="D1029" s="643" t="str">
        <f>H1056</f>
        <v>n/a</v>
      </c>
      <c r="E1029" s="139">
        <f t="shared" ref="E1029:S1029" si="374">+C949/$K$10/24</f>
        <v>11.783602150537634</v>
      </c>
      <c r="F1029" s="139">
        <f t="shared" si="374"/>
        <v>12.309139784946238</v>
      </c>
      <c r="G1029" s="139">
        <f t="shared" si="374"/>
        <v>19.404569892473116</v>
      </c>
      <c r="H1029" s="139">
        <f t="shared" si="374"/>
        <v>0</v>
      </c>
      <c r="I1029" s="139">
        <f t="shared" si="374"/>
        <v>-11.992837878271379</v>
      </c>
      <c r="J1029" s="139">
        <f t="shared" si="374"/>
        <v>14.560483870967742</v>
      </c>
      <c r="K1029" s="139">
        <f t="shared" si="374"/>
        <v>10.10483870967742</v>
      </c>
      <c r="L1029" s="139">
        <f t="shared" si="374"/>
        <v>10.948924731182794</v>
      </c>
      <c r="M1029" s="139">
        <f t="shared" si="374"/>
        <v>9.1061827956989259</v>
      </c>
      <c r="N1029" s="139">
        <f t="shared" si="374"/>
        <v>2.913978494623656</v>
      </c>
      <c r="O1029" s="139">
        <f t="shared" si="374"/>
        <v>3.4327956989247315</v>
      </c>
      <c r="P1029" s="139">
        <f t="shared" si="374"/>
        <v>6.9825268817204309</v>
      </c>
      <c r="Q1029" s="139">
        <f t="shared" si="374"/>
        <v>0.95564516129032251</v>
      </c>
      <c r="R1029" s="139">
        <f t="shared" si="374"/>
        <v>2.3938172043010755</v>
      </c>
      <c r="S1029" s="643">
        <f t="shared" si="374"/>
        <v>2.260752688172043</v>
      </c>
      <c r="T1029" s="139">
        <f t="shared" si="343"/>
        <v>242.16442018624477</v>
      </c>
      <c r="U1029" s="139">
        <f t="shared" si="341"/>
        <v>95.164420186244769</v>
      </c>
      <c r="V1029" s="139">
        <f t="shared" si="344"/>
        <v>190.49731182795699</v>
      </c>
      <c r="W1029" s="139">
        <f t="shared" si="345"/>
        <v>43.497311827956992</v>
      </c>
      <c r="X1029" s="139">
        <f t="shared" si="346"/>
        <v>0</v>
      </c>
      <c r="Y1029" s="139">
        <f t="shared" si="347"/>
        <v>-11.992837878271379</v>
      </c>
      <c r="Z1029" s="139">
        <f t="shared" si="348"/>
        <v>63.659946236559129</v>
      </c>
      <c r="AC1029">
        <v>8</v>
      </c>
      <c r="AD1029" s="139">
        <f>IF($AF$1019=1,VLOOKUP($AD$1019,$A$1049:$P$1060,12,FALSE),VLOOKUP($AD$1019,$A$1022:$S$1033,3,FALSE))</f>
        <v>0</v>
      </c>
      <c r="AE1029" s="139">
        <f t="shared" si="350"/>
        <v>10.90327380952381</v>
      </c>
      <c r="AF1029" s="139">
        <f t="shared" si="351"/>
        <v>11.410714285714285</v>
      </c>
      <c r="AG1029" s="139">
        <f t="shared" si="352"/>
        <v>19.117559523809522</v>
      </c>
      <c r="AH1029" s="139">
        <f t="shared" si="353"/>
        <v>5.2804837333531163</v>
      </c>
      <c r="AI1029" s="139">
        <f t="shared" si="354"/>
        <v>4.7366071428571432</v>
      </c>
      <c r="AJ1029" s="139">
        <f t="shared" si="355"/>
        <v>3.1964285714285712</v>
      </c>
      <c r="AK1029" s="139">
        <f t="shared" si="356"/>
        <v>4.9642857142857144</v>
      </c>
      <c r="AL1029" s="139">
        <f t="shared" si="357"/>
        <v>5.09375</v>
      </c>
      <c r="AM1029" s="139">
        <f t="shared" si="358"/>
        <v>1.6964285714285714</v>
      </c>
      <c r="AN1029" s="139">
        <f t="shared" si="359"/>
        <v>1.9985119047619049</v>
      </c>
      <c r="AO1029" s="139">
        <f t="shared" si="360"/>
        <v>4.0461309523809526</v>
      </c>
      <c r="AP1029" s="139">
        <f t="shared" si="361"/>
        <v>0.59226190476190477</v>
      </c>
      <c r="AQ1029" s="139">
        <f t="shared" si="362"/>
        <v>0.55208333333333337</v>
      </c>
      <c r="AR1029" s="139">
        <f t="shared" si="363"/>
        <v>1.4017857142857144</v>
      </c>
      <c r="AS1029" s="139">
        <f t="shared" si="364"/>
        <v>74.99030516192451</v>
      </c>
      <c r="AT1029" s="139">
        <f t="shared" si="365"/>
        <v>4.7526193077616483</v>
      </c>
      <c r="AU1029" s="139">
        <f t="shared" si="366"/>
        <v>79.742924469686159</v>
      </c>
      <c r="AW1029" s="139">
        <f t="shared" si="367"/>
        <v>153.98626211109917</v>
      </c>
      <c r="AX1029" s="139">
        <f t="shared" si="368"/>
        <v>-74.243337641413007</v>
      </c>
    </row>
    <row r="1030" spans="1:50" ht="15.75" customHeight="1" x14ac:dyDescent="0.3">
      <c r="A1030" s="642" t="s">
        <v>1506</v>
      </c>
      <c r="B1030" s="642">
        <f t="shared" si="339"/>
        <v>245</v>
      </c>
      <c r="C1030" s="139">
        <f t="shared" si="339"/>
        <v>0</v>
      </c>
      <c r="D1030" s="643" t="s">
        <v>2916</v>
      </c>
      <c r="E1030" s="139">
        <f t="shared" ref="E1030:S1030" si="375">+C950/$L$10/24</f>
        <v>22.43472222222222</v>
      </c>
      <c r="F1030" s="139">
        <f t="shared" si="375"/>
        <v>23.484722222222221</v>
      </c>
      <c r="G1030" s="139">
        <f t="shared" si="375"/>
        <v>38.769444444444446</v>
      </c>
      <c r="H1030" s="139">
        <f t="shared" si="375"/>
        <v>2.2732274699326704</v>
      </c>
      <c r="I1030" s="139">
        <f t="shared" si="375"/>
        <v>-1.925969081471316</v>
      </c>
      <c r="J1030" s="139">
        <f t="shared" si="375"/>
        <v>11.673611111111112</v>
      </c>
      <c r="K1030" s="139">
        <f t="shared" si="375"/>
        <v>7.5138888888888893</v>
      </c>
      <c r="L1030" s="139">
        <f t="shared" si="375"/>
        <v>9.530555555555555</v>
      </c>
      <c r="M1030" s="139">
        <f t="shared" si="375"/>
        <v>8.5138888888888893</v>
      </c>
      <c r="N1030" s="139">
        <f t="shared" si="375"/>
        <v>2.651388888888889</v>
      </c>
      <c r="O1030" s="139">
        <f t="shared" si="375"/>
        <v>3.1236111111111113</v>
      </c>
      <c r="P1030" s="139">
        <f t="shared" si="375"/>
        <v>6.1888888888888891</v>
      </c>
      <c r="Q1030" s="139">
        <f t="shared" si="375"/>
        <v>0.93333333333333324</v>
      </c>
      <c r="R1030" s="139">
        <f t="shared" si="375"/>
        <v>2.3736111111111113</v>
      </c>
      <c r="S1030" s="643">
        <f t="shared" si="375"/>
        <v>2.1763888888888889</v>
      </c>
      <c r="T1030" s="139">
        <f t="shared" si="343"/>
        <v>384.71531394401688</v>
      </c>
      <c r="U1030" s="139">
        <f t="shared" si="341"/>
        <v>139.71531394401688</v>
      </c>
      <c r="V1030" s="139">
        <f t="shared" si="344"/>
        <v>329.68888888888887</v>
      </c>
      <c r="W1030" s="139">
        <f t="shared" si="345"/>
        <v>84.688888888888883</v>
      </c>
      <c r="X1030" s="139">
        <f t="shared" si="346"/>
        <v>2.2732274699326704</v>
      </c>
      <c r="Y1030" s="139">
        <f t="shared" si="347"/>
        <v>-1.925969081471316</v>
      </c>
      <c r="Z1030" s="139">
        <f t="shared" si="348"/>
        <v>54.67916666666666</v>
      </c>
      <c r="AC1030">
        <v>9</v>
      </c>
      <c r="AD1030" s="139">
        <f>IF($AF$1019=1,VLOOKUP($AD$1019,$A$1049:$P$1060,12,FALSE),VLOOKUP($AD$1019,$A$1022:$S$1033,3,FALSE))</f>
        <v>0</v>
      </c>
      <c r="AE1030" s="139">
        <f t="shared" si="350"/>
        <v>10.90327380952381</v>
      </c>
      <c r="AF1030" s="139">
        <f t="shared" si="351"/>
        <v>11.410714285714285</v>
      </c>
      <c r="AG1030" s="139">
        <f t="shared" si="352"/>
        <v>19.117559523809522</v>
      </c>
      <c r="AH1030" s="139">
        <f t="shared" si="353"/>
        <v>5.2804837333531163</v>
      </c>
      <c r="AI1030" s="139">
        <f t="shared" si="354"/>
        <v>4.7366071428571432</v>
      </c>
      <c r="AJ1030" s="139">
        <f t="shared" si="355"/>
        <v>3.1964285714285712</v>
      </c>
      <c r="AK1030" s="139">
        <f t="shared" si="356"/>
        <v>4.9642857142857144</v>
      </c>
      <c r="AL1030" s="139">
        <f t="shared" si="357"/>
        <v>5.09375</v>
      </c>
      <c r="AM1030" s="139">
        <f t="shared" si="358"/>
        <v>1.6964285714285714</v>
      </c>
      <c r="AN1030" s="139">
        <f t="shared" si="359"/>
        <v>1.9985119047619049</v>
      </c>
      <c r="AO1030" s="139">
        <f t="shared" si="360"/>
        <v>4.0461309523809526</v>
      </c>
      <c r="AP1030" s="139">
        <f t="shared" si="361"/>
        <v>0.59226190476190477</v>
      </c>
      <c r="AQ1030" s="139">
        <f t="shared" si="362"/>
        <v>0.55208333333333337</v>
      </c>
      <c r="AR1030" s="139">
        <f t="shared" si="363"/>
        <v>1.4017857142857144</v>
      </c>
      <c r="AS1030" s="139">
        <f t="shared" si="364"/>
        <v>74.99030516192451</v>
      </c>
      <c r="AT1030" s="139">
        <f t="shared" si="365"/>
        <v>4.7526193077616483</v>
      </c>
      <c r="AU1030" s="139">
        <f t="shared" si="366"/>
        <v>79.742924469686159</v>
      </c>
      <c r="AW1030" s="139">
        <f t="shared" si="367"/>
        <v>153.98626211109917</v>
      </c>
      <c r="AX1030" s="139">
        <f t="shared" si="368"/>
        <v>-74.243337641413007</v>
      </c>
    </row>
    <row r="1031" spans="1:50" ht="15.75" customHeight="1" x14ac:dyDescent="0.3">
      <c r="A1031" s="642" t="s">
        <v>1507</v>
      </c>
      <c r="B1031" s="642">
        <f t="shared" si="339"/>
        <v>245</v>
      </c>
      <c r="C1031" s="139">
        <f t="shared" si="339"/>
        <v>0</v>
      </c>
      <c r="D1031" s="643" t="s">
        <v>2916</v>
      </c>
      <c r="E1031" s="139">
        <f t="shared" ref="E1031:S1031" si="376">+C951/$N$10/24</f>
        <v>21.201612903225804</v>
      </c>
      <c r="F1031" s="139">
        <f t="shared" si="376"/>
        <v>22.197580645161292</v>
      </c>
      <c r="G1031" s="139">
        <f t="shared" si="376"/>
        <v>36.982526881720432</v>
      </c>
      <c r="H1031" s="139">
        <f t="shared" si="376"/>
        <v>10.703817748776331</v>
      </c>
      <c r="I1031" s="139">
        <f t="shared" si="376"/>
        <v>0</v>
      </c>
      <c r="J1031" s="139">
        <f t="shared" si="376"/>
        <v>5.811827956989247</v>
      </c>
      <c r="K1031" s="139">
        <f t="shared" si="376"/>
        <v>2.7405913978494625</v>
      </c>
      <c r="L1031" s="139">
        <f t="shared" si="376"/>
        <v>3.6518817204301075</v>
      </c>
      <c r="M1031" s="139">
        <f t="shared" si="376"/>
        <v>3.396505376344086</v>
      </c>
      <c r="N1031" s="139">
        <f t="shared" si="376"/>
        <v>0.95161290322580649</v>
      </c>
      <c r="O1031" s="139">
        <f t="shared" si="376"/>
        <v>1.1182795698924732</v>
      </c>
      <c r="P1031" s="139">
        <f t="shared" si="376"/>
        <v>2.0631720430107525</v>
      </c>
      <c r="Q1031" s="139">
        <f t="shared" si="376"/>
        <v>0.86155913978494614</v>
      </c>
      <c r="R1031" s="139">
        <f t="shared" si="376"/>
        <v>2.1706989247311825</v>
      </c>
      <c r="S1031" s="643">
        <f t="shared" si="376"/>
        <v>2.0376344086021505</v>
      </c>
      <c r="T1031" s="139">
        <f t="shared" si="343"/>
        <v>360.88930161974406</v>
      </c>
      <c r="U1031" s="139">
        <f t="shared" si="341"/>
        <v>115.88930161974406</v>
      </c>
      <c r="V1031" s="139">
        <f t="shared" si="344"/>
        <v>325.38172043010752</v>
      </c>
      <c r="W1031" s="139">
        <f t="shared" si="345"/>
        <v>80.381720430107521</v>
      </c>
      <c r="X1031" s="139">
        <f t="shared" si="346"/>
        <v>10.703817748776331</v>
      </c>
      <c r="Y1031" s="139">
        <f t="shared" si="347"/>
        <v>0</v>
      </c>
      <c r="Z1031" s="139">
        <f t="shared" si="348"/>
        <v>24.803763440860219</v>
      </c>
      <c r="AC1031">
        <v>10</v>
      </c>
      <c r="AD1031" s="139">
        <f>IF($AF$1019=1,VLOOKUP($AD$1019,$A$1049:$P$1060,12,FALSE),VLOOKUP($AD$1019,$A$1022:$S$1033,3,FALSE))</f>
        <v>0</v>
      </c>
      <c r="AE1031" s="139">
        <f t="shared" si="350"/>
        <v>10.90327380952381</v>
      </c>
      <c r="AF1031" s="139">
        <f t="shared" si="351"/>
        <v>11.410714285714285</v>
      </c>
      <c r="AG1031" s="139">
        <f t="shared" si="352"/>
        <v>19.117559523809522</v>
      </c>
      <c r="AH1031" s="139">
        <f t="shared" si="353"/>
        <v>5.2804837333531163</v>
      </c>
      <c r="AI1031" s="139">
        <f t="shared" si="354"/>
        <v>4.7366071428571432</v>
      </c>
      <c r="AJ1031" s="139">
        <f t="shared" si="355"/>
        <v>3.1964285714285712</v>
      </c>
      <c r="AK1031" s="139">
        <f t="shared" si="356"/>
        <v>4.9642857142857144</v>
      </c>
      <c r="AL1031" s="139">
        <f t="shared" si="357"/>
        <v>5.09375</v>
      </c>
      <c r="AM1031" s="139">
        <f t="shared" si="358"/>
        <v>1.6964285714285714</v>
      </c>
      <c r="AN1031" s="139">
        <f t="shared" si="359"/>
        <v>1.9985119047619049</v>
      </c>
      <c r="AO1031" s="139">
        <f t="shared" si="360"/>
        <v>4.0461309523809526</v>
      </c>
      <c r="AP1031" s="139">
        <f t="shared" si="361"/>
        <v>0.59226190476190477</v>
      </c>
      <c r="AQ1031" s="139">
        <f t="shared" si="362"/>
        <v>0.55208333333333337</v>
      </c>
      <c r="AR1031" s="139">
        <f t="shared" si="363"/>
        <v>1.4017857142857144</v>
      </c>
      <c r="AS1031" s="139">
        <f t="shared" si="364"/>
        <v>74.99030516192451</v>
      </c>
      <c r="AT1031" s="139">
        <f t="shared" si="365"/>
        <v>4.7526193077616483</v>
      </c>
      <c r="AU1031" s="139">
        <f t="shared" si="366"/>
        <v>79.742924469686159</v>
      </c>
      <c r="AW1031" s="139">
        <f t="shared" si="367"/>
        <v>153.98626211109917</v>
      </c>
      <c r="AX1031" s="139">
        <f t="shared" si="368"/>
        <v>-74.243337641413007</v>
      </c>
    </row>
    <row r="1032" spans="1:50" ht="15.75" customHeight="1" x14ac:dyDescent="0.3">
      <c r="A1032" s="642" t="s">
        <v>1508</v>
      </c>
      <c r="B1032" s="642">
        <f t="shared" si="339"/>
        <v>245</v>
      </c>
      <c r="C1032" s="139">
        <f t="shared" si="339"/>
        <v>0</v>
      </c>
      <c r="D1032" s="643" t="s">
        <v>2916</v>
      </c>
      <c r="E1032" s="139">
        <f t="shared" ref="E1032:S1032" si="377">+C952/$O$10/24</f>
        <v>21.476388888888888</v>
      </c>
      <c r="F1032" s="139">
        <f t="shared" si="377"/>
        <v>22.493055555555557</v>
      </c>
      <c r="G1032" s="139">
        <f t="shared" si="377"/>
        <v>37.87638888888889</v>
      </c>
      <c r="H1032" s="139">
        <f t="shared" si="377"/>
        <v>17.281595364840303</v>
      </c>
      <c r="I1032" s="139">
        <f t="shared" si="377"/>
        <v>0</v>
      </c>
      <c r="J1032" s="139">
        <f t="shared" si="377"/>
        <v>3.4166666666666665</v>
      </c>
      <c r="K1032" s="139">
        <f t="shared" si="377"/>
        <v>0.89166666666666661</v>
      </c>
      <c r="L1032" s="139">
        <f t="shared" si="377"/>
        <v>1.2361111111111112</v>
      </c>
      <c r="M1032" s="139">
        <f t="shared" si="377"/>
        <v>1.1125</v>
      </c>
      <c r="N1032" s="139">
        <f t="shared" si="377"/>
        <v>0.19305555555555556</v>
      </c>
      <c r="O1032" s="139">
        <f t="shared" si="377"/>
        <v>0.22500000000000001</v>
      </c>
      <c r="P1032" s="139">
        <f t="shared" si="377"/>
        <v>0.4375</v>
      </c>
      <c r="Q1032" s="139">
        <f t="shared" si="377"/>
        <v>0.27499999999999997</v>
      </c>
      <c r="R1032" s="139">
        <f t="shared" si="377"/>
        <v>1.1152777777777778</v>
      </c>
      <c r="S1032" s="643">
        <f t="shared" si="377"/>
        <v>0.65</v>
      </c>
      <c r="T1032" s="139">
        <f t="shared" si="343"/>
        <v>353.68020647595142</v>
      </c>
      <c r="U1032" s="139">
        <f t="shared" si="341"/>
        <v>108.68020647595142</v>
      </c>
      <c r="V1032" s="139">
        <f t="shared" si="344"/>
        <v>326.8458333333333</v>
      </c>
      <c r="W1032" s="139">
        <f t="shared" si="345"/>
        <v>81.845833333333331</v>
      </c>
      <c r="X1032" s="139">
        <f t="shared" si="346"/>
        <v>17.281595364840303</v>
      </c>
      <c r="Y1032" s="139">
        <f t="shared" si="347"/>
        <v>0</v>
      </c>
      <c r="Z1032" s="139">
        <f t="shared" si="348"/>
        <v>9.5527777777777771</v>
      </c>
      <c r="AC1032">
        <v>11</v>
      </c>
      <c r="AD1032" s="139">
        <f>IF($AF$1019=1,VLOOKUP($AD$1019,$A$1049:$P$1060,12,FALSE),VLOOKUP($AD$1019,$A$1022:$S$1033,3,FALSE))</f>
        <v>0</v>
      </c>
      <c r="AE1032" s="139">
        <f t="shared" si="350"/>
        <v>10.90327380952381</v>
      </c>
      <c r="AF1032" s="139">
        <f t="shared" si="351"/>
        <v>11.410714285714285</v>
      </c>
      <c r="AG1032" s="139">
        <f t="shared" si="352"/>
        <v>19.117559523809522</v>
      </c>
      <c r="AH1032" s="139">
        <f t="shared" si="353"/>
        <v>5.2804837333531163</v>
      </c>
      <c r="AI1032" s="139">
        <f t="shared" si="354"/>
        <v>4.7366071428571432</v>
      </c>
      <c r="AJ1032" s="139">
        <f t="shared" si="355"/>
        <v>3.1964285714285712</v>
      </c>
      <c r="AK1032" s="139">
        <f t="shared" si="356"/>
        <v>4.9642857142857144</v>
      </c>
      <c r="AL1032" s="139">
        <f t="shared" si="357"/>
        <v>5.09375</v>
      </c>
      <c r="AM1032" s="139">
        <f t="shared" si="358"/>
        <v>1.6964285714285714</v>
      </c>
      <c r="AN1032" s="139">
        <f t="shared" si="359"/>
        <v>1.9985119047619049</v>
      </c>
      <c r="AO1032" s="139">
        <f t="shared" si="360"/>
        <v>4.0461309523809526</v>
      </c>
      <c r="AP1032" s="139">
        <f t="shared" si="361"/>
        <v>0.59226190476190477</v>
      </c>
      <c r="AQ1032" s="139">
        <f t="shared" si="362"/>
        <v>0.55208333333333337</v>
      </c>
      <c r="AR1032" s="139">
        <f t="shared" si="363"/>
        <v>1.4017857142857144</v>
      </c>
      <c r="AS1032" s="139">
        <f t="shared" si="364"/>
        <v>74.99030516192451</v>
      </c>
      <c r="AT1032" s="139">
        <f t="shared" si="365"/>
        <v>4.7526193077616483</v>
      </c>
      <c r="AU1032" s="139">
        <f t="shared" si="366"/>
        <v>79.742924469686159</v>
      </c>
      <c r="AW1032" s="139">
        <f t="shared" si="367"/>
        <v>153.98626211109917</v>
      </c>
      <c r="AX1032" s="139">
        <f t="shared" si="368"/>
        <v>-74.243337641413007</v>
      </c>
    </row>
    <row r="1033" spans="1:50" ht="15.75" customHeight="1" thickBot="1" x14ac:dyDescent="0.35">
      <c r="A1033" s="644" t="s">
        <v>1509</v>
      </c>
      <c r="B1033" s="644">
        <f t="shared" si="339"/>
        <v>245</v>
      </c>
      <c r="C1033" s="645">
        <f t="shared" si="339"/>
        <v>0</v>
      </c>
      <c r="D1033" s="646" t="s">
        <v>2916</v>
      </c>
      <c r="E1033" s="645">
        <f t="shared" ref="E1033:S1033" si="378">+C953/$P$10/24</f>
        <v>23.150537634408604</v>
      </c>
      <c r="F1033" s="645">
        <f t="shared" si="378"/>
        <v>24.25940860215054</v>
      </c>
      <c r="G1033" s="645">
        <f t="shared" si="378"/>
        <v>40.69489247311828</v>
      </c>
      <c r="H1033" s="645">
        <f t="shared" si="378"/>
        <v>18.968240741057965</v>
      </c>
      <c r="I1033" s="645">
        <f t="shared" si="378"/>
        <v>-1.3631211010251569E-2</v>
      </c>
      <c r="J1033" s="645">
        <f t="shared" si="378"/>
        <v>5.024193548387097</v>
      </c>
      <c r="K1033" s="645">
        <f t="shared" si="378"/>
        <v>2.7271505376344085</v>
      </c>
      <c r="L1033" s="645">
        <f t="shared" si="378"/>
        <v>3.8588709677419355</v>
      </c>
      <c r="M1033" s="645">
        <f t="shared" si="378"/>
        <v>3.9516129032258065</v>
      </c>
      <c r="N1033" s="645">
        <f t="shared" si="378"/>
        <v>0.95833333333333337</v>
      </c>
      <c r="O1033" s="645">
        <f t="shared" si="378"/>
        <v>1.1290322580645162</v>
      </c>
      <c r="P1033" s="645">
        <f t="shared" si="378"/>
        <v>2.3884408602150535</v>
      </c>
      <c r="Q1033" s="645">
        <f t="shared" si="378"/>
        <v>0.74596774193548387</v>
      </c>
      <c r="R1033" s="645">
        <f t="shared" si="378"/>
        <v>1.5336021505376343</v>
      </c>
      <c r="S1033" s="646">
        <f t="shared" si="378"/>
        <v>1.764784946236559</v>
      </c>
      <c r="T1033" s="139">
        <f t="shared" si="343"/>
        <v>376.14143748703697</v>
      </c>
      <c r="U1033" s="139">
        <f t="shared" si="341"/>
        <v>131.14143748703697</v>
      </c>
      <c r="V1033" s="139">
        <f t="shared" si="344"/>
        <v>333.10483870967744</v>
      </c>
      <c r="W1033" s="139">
        <f t="shared" si="345"/>
        <v>88.104838709677423</v>
      </c>
      <c r="X1033" s="139">
        <f t="shared" si="346"/>
        <v>18.968240741057965</v>
      </c>
      <c r="Y1033" s="139">
        <f t="shared" si="347"/>
        <v>-1.3631211010251569E-2</v>
      </c>
      <c r="Z1033" s="139">
        <f t="shared" si="348"/>
        <v>24.081989247311828</v>
      </c>
      <c r="AC1033">
        <v>12</v>
      </c>
      <c r="AD1033" s="139">
        <f>IF($AF$1019=1,VLOOKUP($AD$1019,$A$1049:$P$1060,12,FALSE),VLOOKUP($AD$1019,$A$1022:$S$1033,3,FALSE))</f>
        <v>0</v>
      </c>
      <c r="AE1033" s="139">
        <f t="shared" si="350"/>
        <v>10.90327380952381</v>
      </c>
      <c r="AF1033" s="139">
        <f t="shared" si="351"/>
        <v>11.410714285714285</v>
      </c>
      <c r="AG1033" s="139">
        <f t="shared" si="352"/>
        <v>19.117559523809522</v>
      </c>
      <c r="AH1033" s="139">
        <f t="shared" si="353"/>
        <v>5.2804837333531163</v>
      </c>
      <c r="AI1033" s="139">
        <f t="shared" si="354"/>
        <v>4.7366071428571432</v>
      </c>
      <c r="AJ1033" s="139">
        <f t="shared" si="355"/>
        <v>3.1964285714285712</v>
      </c>
      <c r="AK1033" s="139">
        <f t="shared" si="356"/>
        <v>4.9642857142857144</v>
      </c>
      <c r="AL1033" s="139">
        <f t="shared" si="357"/>
        <v>5.09375</v>
      </c>
      <c r="AM1033" s="139">
        <f t="shared" si="358"/>
        <v>1.6964285714285714</v>
      </c>
      <c r="AN1033" s="139">
        <f t="shared" si="359"/>
        <v>1.9985119047619049</v>
      </c>
      <c r="AO1033" s="139">
        <f t="shared" si="360"/>
        <v>4.0461309523809526</v>
      </c>
      <c r="AP1033" s="139">
        <f t="shared" si="361"/>
        <v>0.59226190476190477</v>
      </c>
      <c r="AQ1033" s="139">
        <f t="shared" si="362"/>
        <v>0.55208333333333337</v>
      </c>
      <c r="AR1033" s="139">
        <f t="shared" si="363"/>
        <v>1.4017857142857144</v>
      </c>
      <c r="AS1033" s="139">
        <f t="shared" si="364"/>
        <v>74.99030516192451</v>
      </c>
      <c r="AT1033" s="139">
        <f t="shared" si="365"/>
        <v>4.7526193077616483</v>
      </c>
      <c r="AU1033" s="139">
        <f t="shared" si="366"/>
        <v>79.742924469686159</v>
      </c>
      <c r="AW1033" s="139">
        <f t="shared" si="367"/>
        <v>153.98626211109917</v>
      </c>
      <c r="AX1033" s="139">
        <f t="shared" si="368"/>
        <v>-74.243337641413007</v>
      </c>
    </row>
    <row r="1034" spans="1:50" ht="15.75" customHeight="1" x14ac:dyDescent="0.3">
      <c r="A1034" s="641"/>
      <c r="AC1034">
        <v>13</v>
      </c>
      <c r="AD1034" s="139">
        <f>IF($AF$1019=1,VLOOKUP($AD$1019,$A$1049:$P$1060,12,FALSE),IF(OR($AD$1019="JUN",$AD$1019="JUL",$AD$1019="AUG"),VLOOKUP($AD$1019,$A$1022:$S$1033,4,FALSE),VLOOKUP($AD$1019,$A$1022:$S$1033,3,FALSE)))</f>
        <v>0</v>
      </c>
      <c r="AE1034" s="139">
        <f t="shared" si="350"/>
        <v>10.90327380952381</v>
      </c>
      <c r="AF1034" s="139">
        <f t="shared" si="351"/>
        <v>11.410714285714285</v>
      </c>
      <c r="AG1034" s="139">
        <f t="shared" si="352"/>
        <v>19.117559523809522</v>
      </c>
      <c r="AH1034" s="139">
        <f t="shared" si="353"/>
        <v>5.2804837333531163</v>
      </c>
      <c r="AI1034" s="139">
        <f t="shared" si="354"/>
        <v>4.7366071428571432</v>
      </c>
      <c r="AJ1034" s="139">
        <f t="shared" si="355"/>
        <v>3.1964285714285712</v>
      </c>
      <c r="AK1034" s="139">
        <f t="shared" si="356"/>
        <v>4.9642857142857144</v>
      </c>
      <c r="AL1034" s="139">
        <f t="shared" si="357"/>
        <v>5.09375</v>
      </c>
      <c r="AM1034" s="139">
        <f t="shared" si="358"/>
        <v>1.6964285714285714</v>
      </c>
      <c r="AN1034" s="139">
        <f t="shared" si="359"/>
        <v>1.9985119047619049</v>
      </c>
      <c r="AO1034" s="139">
        <f t="shared" si="360"/>
        <v>4.0461309523809526</v>
      </c>
      <c r="AP1034" s="139">
        <f t="shared" si="361"/>
        <v>0.59226190476190477</v>
      </c>
      <c r="AQ1034" s="139">
        <f t="shared" si="362"/>
        <v>0.55208333333333337</v>
      </c>
      <c r="AR1034" s="139">
        <f t="shared" si="363"/>
        <v>1.4017857142857144</v>
      </c>
      <c r="AS1034" s="139">
        <f t="shared" si="364"/>
        <v>74.99030516192451</v>
      </c>
      <c r="AT1034" s="139">
        <f t="shared" si="365"/>
        <v>4.7526193077616483</v>
      </c>
      <c r="AU1034" s="139">
        <f t="shared" si="366"/>
        <v>79.742924469686159</v>
      </c>
      <c r="AW1034" s="139">
        <f t="shared" si="367"/>
        <v>153.98626211109917</v>
      </c>
      <c r="AX1034" s="139">
        <f t="shared" si="368"/>
        <v>-74.243337641413007</v>
      </c>
    </row>
    <row r="1035" spans="1:50" ht="27.75" customHeight="1" x14ac:dyDescent="0.3">
      <c r="A1035" s="641" t="s">
        <v>2889</v>
      </c>
      <c r="AC1035">
        <v>14</v>
      </c>
      <c r="AD1035" s="139">
        <f t="shared" ref="AD1035:AD1041" si="379">IF($AF$1019=1,VLOOKUP($AD$1019,$A$1049:$P$1060,12,FALSE),IF(OR($AD$1019="JUN",$AD$1019="JUL",$AD$1019="AUG"),VLOOKUP($AD$1019,$A$1022:$S$1033,4,FALSE),VLOOKUP($AD$1019,$A$1022:$S$1033,3,FALSE)))</f>
        <v>0</v>
      </c>
      <c r="AE1035" s="139">
        <f t="shared" si="350"/>
        <v>10.90327380952381</v>
      </c>
      <c r="AF1035" s="139">
        <f t="shared" si="351"/>
        <v>11.410714285714285</v>
      </c>
      <c r="AG1035" s="139">
        <f t="shared" si="352"/>
        <v>19.117559523809522</v>
      </c>
      <c r="AH1035" s="139">
        <f t="shared" si="353"/>
        <v>5.2804837333531163</v>
      </c>
      <c r="AI1035" s="139">
        <f t="shared" si="354"/>
        <v>4.7366071428571432</v>
      </c>
      <c r="AJ1035" s="139">
        <f t="shared" si="355"/>
        <v>3.1964285714285712</v>
      </c>
      <c r="AK1035" s="139">
        <f t="shared" si="356"/>
        <v>4.9642857142857144</v>
      </c>
      <c r="AL1035" s="139">
        <f t="shared" si="357"/>
        <v>5.09375</v>
      </c>
      <c r="AM1035" s="139">
        <f t="shared" si="358"/>
        <v>1.6964285714285714</v>
      </c>
      <c r="AN1035" s="139">
        <f t="shared" si="359"/>
        <v>1.9985119047619049</v>
      </c>
      <c r="AO1035" s="139">
        <f t="shared" si="360"/>
        <v>4.0461309523809526</v>
      </c>
      <c r="AP1035" s="139">
        <f t="shared" si="361"/>
        <v>0.59226190476190477</v>
      </c>
      <c r="AQ1035" s="139">
        <f t="shared" si="362"/>
        <v>0.55208333333333337</v>
      </c>
      <c r="AR1035" s="139">
        <f t="shared" si="363"/>
        <v>1.4017857142857144</v>
      </c>
      <c r="AS1035" s="139">
        <f t="shared" si="364"/>
        <v>74.99030516192451</v>
      </c>
      <c r="AT1035" s="139">
        <f t="shared" si="365"/>
        <v>4.7526193077616483</v>
      </c>
      <c r="AU1035" s="139">
        <f t="shared" si="366"/>
        <v>79.742924469686159</v>
      </c>
      <c r="AW1035" s="139">
        <f t="shared" si="367"/>
        <v>153.98626211109917</v>
      </c>
      <c r="AX1035" s="139">
        <f t="shared" si="368"/>
        <v>-74.243337641413007</v>
      </c>
    </row>
    <row r="1036" spans="1:50" ht="15.75" customHeight="1" x14ac:dyDescent="0.3">
      <c r="A1036" s="641"/>
      <c r="AC1036">
        <v>15</v>
      </c>
      <c r="AD1036" s="139">
        <f t="shared" si="379"/>
        <v>0</v>
      </c>
      <c r="AE1036" s="139">
        <f t="shared" si="350"/>
        <v>10.90327380952381</v>
      </c>
      <c r="AF1036" s="139">
        <f t="shared" si="351"/>
        <v>11.410714285714285</v>
      </c>
      <c r="AG1036" s="139">
        <f t="shared" si="352"/>
        <v>19.117559523809522</v>
      </c>
      <c r="AH1036" s="139">
        <f t="shared" si="353"/>
        <v>5.2804837333531163</v>
      </c>
      <c r="AI1036" s="139">
        <f t="shared" si="354"/>
        <v>4.7366071428571432</v>
      </c>
      <c r="AJ1036" s="139">
        <f t="shared" si="355"/>
        <v>3.1964285714285712</v>
      </c>
      <c r="AK1036" s="139">
        <f t="shared" si="356"/>
        <v>4.9642857142857144</v>
      </c>
      <c r="AL1036" s="139">
        <f t="shared" si="357"/>
        <v>5.09375</v>
      </c>
      <c r="AM1036" s="139">
        <f t="shared" si="358"/>
        <v>1.6964285714285714</v>
      </c>
      <c r="AN1036" s="139">
        <f t="shared" si="359"/>
        <v>1.9985119047619049</v>
      </c>
      <c r="AO1036" s="139">
        <f t="shared" si="360"/>
        <v>4.0461309523809526</v>
      </c>
      <c r="AP1036" s="139">
        <f t="shared" si="361"/>
        <v>0.59226190476190477</v>
      </c>
      <c r="AQ1036" s="139">
        <f t="shared" si="362"/>
        <v>0.55208333333333337</v>
      </c>
      <c r="AR1036" s="139">
        <f t="shared" si="363"/>
        <v>1.4017857142857144</v>
      </c>
      <c r="AS1036" s="139">
        <f t="shared" si="364"/>
        <v>74.99030516192451</v>
      </c>
      <c r="AT1036" s="139">
        <f t="shared" si="365"/>
        <v>4.7526193077616483</v>
      </c>
      <c r="AU1036" s="139">
        <f t="shared" si="366"/>
        <v>79.742924469686159</v>
      </c>
      <c r="AW1036" s="139">
        <f t="shared" si="367"/>
        <v>153.98626211109917</v>
      </c>
      <c r="AX1036" s="139">
        <f t="shared" si="368"/>
        <v>-74.243337641413007</v>
      </c>
    </row>
    <row r="1037" spans="1:50" ht="15.75" customHeight="1" x14ac:dyDescent="0.3">
      <c r="A1037" s="641"/>
      <c r="AC1037">
        <v>16</v>
      </c>
      <c r="AD1037" s="139">
        <f t="shared" si="379"/>
        <v>0</v>
      </c>
      <c r="AE1037" s="139">
        <f t="shared" si="350"/>
        <v>10.90327380952381</v>
      </c>
      <c r="AF1037" s="139">
        <f t="shared" si="351"/>
        <v>11.410714285714285</v>
      </c>
      <c r="AG1037" s="139">
        <f t="shared" si="352"/>
        <v>19.117559523809522</v>
      </c>
      <c r="AH1037" s="139">
        <f t="shared" si="353"/>
        <v>5.2804837333531163</v>
      </c>
      <c r="AI1037" s="139">
        <f t="shared" si="354"/>
        <v>4.7366071428571432</v>
      </c>
      <c r="AJ1037" s="139">
        <f t="shared" si="355"/>
        <v>3.1964285714285712</v>
      </c>
      <c r="AK1037" s="139">
        <f t="shared" si="356"/>
        <v>4.9642857142857144</v>
      </c>
      <c r="AL1037" s="139">
        <f t="shared" si="357"/>
        <v>5.09375</v>
      </c>
      <c r="AM1037" s="139">
        <f t="shared" si="358"/>
        <v>1.6964285714285714</v>
      </c>
      <c r="AN1037" s="139">
        <f t="shared" si="359"/>
        <v>1.9985119047619049</v>
      </c>
      <c r="AO1037" s="139">
        <f t="shared" si="360"/>
        <v>4.0461309523809526</v>
      </c>
      <c r="AP1037" s="139">
        <f t="shared" si="361"/>
        <v>0.59226190476190477</v>
      </c>
      <c r="AQ1037" s="139">
        <f t="shared" si="362"/>
        <v>0.55208333333333337</v>
      </c>
      <c r="AR1037" s="139">
        <f t="shared" si="363"/>
        <v>1.4017857142857144</v>
      </c>
      <c r="AS1037" s="139">
        <f t="shared" si="364"/>
        <v>74.99030516192451</v>
      </c>
      <c r="AT1037" s="139">
        <f t="shared" si="365"/>
        <v>4.7526193077616483</v>
      </c>
      <c r="AU1037" s="139">
        <f t="shared" si="366"/>
        <v>79.742924469686159</v>
      </c>
      <c r="AW1037" s="139">
        <f t="shared" si="367"/>
        <v>153.98626211109917</v>
      </c>
      <c r="AX1037" s="139">
        <f t="shared" si="368"/>
        <v>-74.243337641413007</v>
      </c>
    </row>
    <row r="1038" spans="1:50" ht="15.75" customHeight="1" thickBot="1" x14ac:dyDescent="0.35">
      <c r="A1038" s="641"/>
      <c r="AC1038">
        <v>17</v>
      </c>
      <c r="AD1038" s="139">
        <f t="shared" si="379"/>
        <v>0</v>
      </c>
      <c r="AE1038" s="139">
        <f t="shared" si="350"/>
        <v>10.90327380952381</v>
      </c>
      <c r="AF1038" s="139">
        <f t="shared" si="351"/>
        <v>11.410714285714285</v>
      </c>
      <c r="AG1038" s="139">
        <f t="shared" si="352"/>
        <v>19.117559523809522</v>
      </c>
      <c r="AH1038" s="139">
        <f t="shared" si="353"/>
        <v>5.2804837333531163</v>
      </c>
      <c r="AI1038" s="139">
        <f t="shared" si="354"/>
        <v>4.7366071428571432</v>
      </c>
      <c r="AJ1038" s="139">
        <f t="shared" si="355"/>
        <v>3.1964285714285712</v>
      </c>
      <c r="AK1038" s="139">
        <f t="shared" si="356"/>
        <v>4.9642857142857144</v>
      </c>
      <c r="AL1038" s="139">
        <f t="shared" si="357"/>
        <v>5.09375</v>
      </c>
      <c r="AM1038" s="139">
        <f t="shared" si="358"/>
        <v>1.6964285714285714</v>
      </c>
      <c r="AN1038" s="139">
        <f t="shared" si="359"/>
        <v>1.9985119047619049</v>
      </c>
      <c r="AO1038" s="139">
        <f t="shared" si="360"/>
        <v>4.0461309523809526</v>
      </c>
      <c r="AP1038" s="139">
        <f t="shared" si="361"/>
        <v>0.59226190476190477</v>
      </c>
      <c r="AQ1038" s="139">
        <f t="shared" si="362"/>
        <v>0.55208333333333337</v>
      </c>
      <c r="AR1038" s="139">
        <f t="shared" si="363"/>
        <v>1.4017857142857144</v>
      </c>
      <c r="AS1038" s="139">
        <f t="shared" si="364"/>
        <v>74.99030516192451</v>
      </c>
      <c r="AT1038" s="139">
        <f t="shared" si="365"/>
        <v>4.7526193077616483</v>
      </c>
      <c r="AU1038" s="139">
        <f t="shared" si="366"/>
        <v>79.742924469686159</v>
      </c>
      <c r="AW1038" s="139">
        <f t="shared" si="367"/>
        <v>153.98626211109917</v>
      </c>
      <c r="AX1038" s="139">
        <f t="shared" si="368"/>
        <v>-74.243337641413007</v>
      </c>
    </row>
    <row r="1039" spans="1:50" ht="15.75" customHeight="1" x14ac:dyDescent="0.3">
      <c r="A1039" s="667"/>
      <c r="B1039" s="782" t="s">
        <v>2887</v>
      </c>
      <c r="C1039" s="782"/>
      <c r="D1039" s="782"/>
      <c r="E1039" s="782"/>
      <c r="F1039" s="782"/>
      <c r="G1039" s="782"/>
      <c r="H1039" s="782"/>
      <c r="I1039" s="782"/>
      <c r="J1039" s="782"/>
      <c r="K1039" s="782"/>
      <c r="L1039" s="782"/>
      <c r="M1039" s="782"/>
      <c r="N1039" s="782"/>
      <c r="O1039" s="782"/>
      <c r="P1039" s="782"/>
      <c r="Q1039" s="678" t="str">
        <f>+Q1</f>
        <v xml:space="preserve">PRINTED:  </v>
      </c>
      <c r="R1039" s="679">
        <f ca="1">+R1</f>
        <v>44881.729634027775</v>
      </c>
      <c r="AC1039">
        <v>18</v>
      </c>
      <c r="AD1039" s="139">
        <f t="shared" si="379"/>
        <v>0</v>
      </c>
      <c r="AE1039" s="139">
        <f t="shared" si="350"/>
        <v>10.90327380952381</v>
      </c>
      <c r="AF1039" s="139">
        <f t="shared" si="351"/>
        <v>11.410714285714285</v>
      </c>
      <c r="AG1039" s="139">
        <f t="shared" si="352"/>
        <v>19.117559523809522</v>
      </c>
      <c r="AH1039" s="139">
        <f t="shared" si="353"/>
        <v>5.2804837333531163</v>
      </c>
      <c r="AI1039" s="139">
        <f t="shared" si="354"/>
        <v>4.7366071428571432</v>
      </c>
      <c r="AJ1039" s="139">
        <f t="shared" si="355"/>
        <v>3.1964285714285712</v>
      </c>
      <c r="AK1039" s="139">
        <f t="shared" si="356"/>
        <v>4.9642857142857144</v>
      </c>
      <c r="AL1039" s="139">
        <f t="shared" si="357"/>
        <v>5.09375</v>
      </c>
      <c r="AM1039" s="139">
        <f t="shared" si="358"/>
        <v>1.6964285714285714</v>
      </c>
      <c r="AN1039" s="139">
        <f t="shared" si="359"/>
        <v>1.9985119047619049</v>
      </c>
      <c r="AO1039" s="139">
        <f t="shared" si="360"/>
        <v>4.0461309523809526</v>
      </c>
      <c r="AP1039" s="139">
        <f t="shared" si="361"/>
        <v>0.59226190476190477</v>
      </c>
      <c r="AQ1039" s="139">
        <f t="shared" si="362"/>
        <v>0.55208333333333337</v>
      </c>
      <c r="AR1039" s="139">
        <f t="shared" si="363"/>
        <v>1.4017857142857144</v>
      </c>
      <c r="AS1039" s="139">
        <f t="shared" si="364"/>
        <v>74.99030516192451</v>
      </c>
      <c r="AT1039" s="139">
        <f t="shared" si="365"/>
        <v>4.7526193077616483</v>
      </c>
      <c r="AU1039" s="139">
        <f t="shared" si="366"/>
        <v>79.742924469686159</v>
      </c>
      <c r="AW1039" s="139">
        <f t="shared" si="367"/>
        <v>153.98626211109917</v>
      </c>
      <c r="AX1039" s="139">
        <f t="shared" si="368"/>
        <v>-74.243337641413007</v>
      </c>
    </row>
    <row r="1040" spans="1:50" ht="16.5" customHeight="1" x14ac:dyDescent="0.3">
      <c r="A1040" s="647"/>
      <c r="B1040" s="786" t="str">
        <f>+A8</f>
        <v>Revised:  1/18/2018</v>
      </c>
      <c r="C1040" s="786"/>
      <c r="D1040" s="786"/>
      <c r="E1040" s="786"/>
      <c r="F1040" s="786"/>
      <c r="G1040" s="786"/>
      <c r="H1040" s="786"/>
      <c r="I1040" s="786"/>
      <c r="J1040" s="786"/>
      <c r="K1040" s="786"/>
      <c r="L1040" s="786"/>
      <c r="M1040" s="786"/>
      <c r="N1040" s="786"/>
      <c r="O1040" s="786"/>
      <c r="P1040" s="786"/>
      <c r="R1040" s="561"/>
      <c r="AC1040">
        <v>19</v>
      </c>
      <c r="AD1040" s="139">
        <f t="shared" si="379"/>
        <v>0</v>
      </c>
      <c r="AE1040" s="139">
        <f t="shared" si="350"/>
        <v>10.90327380952381</v>
      </c>
      <c r="AF1040" s="139">
        <f t="shared" si="351"/>
        <v>11.410714285714285</v>
      </c>
      <c r="AG1040" s="139">
        <f t="shared" si="352"/>
        <v>19.117559523809522</v>
      </c>
      <c r="AH1040" s="139">
        <f t="shared" si="353"/>
        <v>5.2804837333531163</v>
      </c>
      <c r="AI1040" s="139">
        <f t="shared" si="354"/>
        <v>4.7366071428571432</v>
      </c>
      <c r="AJ1040" s="139">
        <f t="shared" si="355"/>
        <v>3.1964285714285712</v>
      </c>
      <c r="AK1040" s="139">
        <f t="shared" si="356"/>
        <v>4.9642857142857144</v>
      </c>
      <c r="AL1040" s="139">
        <f t="shared" si="357"/>
        <v>5.09375</v>
      </c>
      <c r="AM1040" s="139">
        <f t="shared" si="358"/>
        <v>1.6964285714285714</v>
      </c>
      <c r="AN1040" s="139">
        <f t="shared" si="359"/>
        <v>1.9985119047619049</v>
      </c>
      <c r="AO1040" s="139">
        <f t="shared" si="360"/>
        <v>4.0461309523809526</v>
      </c>
      <c r="AP1040" s="139">
        <f t="shared" si="361"/>
        <v>0.59226190476190477</v>
      </c>
      <c r="AQ1040" s="139">
        <f t="shared" si="362"/>
        <v>0.55208333333333337</v>
      </c>
      <c r="AR1040" s="139">
        <f t="shared" si="363"/>
        <v>1.4017857142857144</v>
      </c>
      <c r="AS1040" s="139">
        <f t="shared" si="364"/>
        <v>74.99030516192451</v>
      </c>
      <c r="AT1040" s="139">
        <f t="shared" si="365"/>
        <v>4.7526193077616483</v>
      </c>
      <c r="AU1040" s="139">
        <f t="shared" si="366"/>
        <v>79.742924469686159</v>
      </c>
      <c r="AW1040" s="139">
        <f t="shared" si="367"/>
        <v>153.98626211109917</v>
      </c>
      <c r="AX1040" s="139">
        <f t="shared" si="368"/>
        <v>-74.243337641413007</v>
      </c>
    </row>
    <row r="1041" spans="1:50" ht="16.5" customHeight="1" x14ac:dyDescent="0.3">
      <c r="A1041" s="647"/>
      <c r="B1041" s="786" t="s">
        <v>2878</v>
      </c>
      <c r="C1041" s="786"/>
      <c r="D1041" s="786"/>
      <c r="E1041" s="786"/>
      <c r="F1041" s="786"/>
      <c r="G1041" s="786"/>
      <c r="H1041" s="786"/>
      <c r="I1041" s="786"/>
      <c r="J1041" s="786"/>
      <c r="K1041" s="786"/>
      <c r="L1041" s="786"/>
      <c r="M1041" s="786"/>
      <c r="N1041" s="786"/>
      <c r="O1041" s="786"/>
      <c r="P1041" s="786"/>
      <c r="R1041" s="561"/>
      <c r="AC1041">
        <v>20</v>
      </c>
      <c r="AD1041" s="139">
        <f t="shared" si="379"/>
        <v>0</v>
      </c>
      <c r="AE1041" s="139">
        <f t="shared" si="350"/>
        <v>10.90327380952381</v>
      </c>
      <c r="AF1041" s="139">
        <f t="shared" si="351"/>
        <v>11.410714285714285</v>
      </c>
      <c r="AG1041" s="139">
        <f t="shared" si="352"/>
        <v>19.117559523809522</v>
      </c>
      <c r="AH1041" s="139">
        <f t="shared" si="353"/>
        <v>5.2804837333531163</v>
      </c>
      <c r="AI1041" s="139">
        <f t="shared" si="354"/>
        <v>4.7366071428571432</v>
      </c>
      <c r="AJ1041" s="139">
        <f t="shared" si="355"/>
        <v>3.1964285714285712</v>
      </c>
      <c r="AK1041" s="139">
        <f t="shared" si="356"/>
        <v>4.9642857142857144</v>
      </c>
      <c r="AL1041" s="139">
        <f t="shared" si="357"/>
        <v>5.09375</v>
      </c>
      <c r="AM1041" s="139">
        <f t="shared" si="358"/>
        <v>1.6964285714285714</v>
      </c>
      <c r="AN1041" s="139">
        <f t="shared" si="359"/>
        <v>1.9985119047619049</v>
      </c>
      <c r="AO1041" s="139">
        <f t="shared" si="360"/>
        <v>4.0461309523809526</v>
      </c>
      <c r="AP1041" s="139">
        <f t="shared" si="361"/>
        <v>0.59226190476190477</v>
      </c>
      <c r="AQ1041" s="139">
        <f t="shared" si="362"/>
        <v>0.55208333333333337</v>
      </c>
      <c r="AR1041" s="139">
        <f t="shared" si="363"/>
        <v>1.4017857142857144</v>
      </c>
      <c r="AS1041" s="139">
        <f t="shared" si="364"/>
        <v>74.99030516192451</v>
      </c>
      <c r="AT1041" s="139">
        <f t="shared" si="365"/>
        <v>4.7526193077616483</v>
      </c>
      <c r="AU1041" s="139">
        <f t="shared" si="366"/>
        <v>79.742924469686159</v>
      </c>
      <c r="AW1041" s="139">
        <f t="shared" si="367"/>
        <v>153.98626211109917</v>
      </c>
      <c r="AX1041" s="139">
        <f t="shared" si="368"/>
        <v>-74.243337641413007</v>
      </c>
    </row>
    <row r="1042" spans="1:50" ht="16.5" customHeight="1" x14ac:dyDescent="0.3">
      <c r="A1042" s="647"/>
      <c r="B1042" s="67"/>
      <c r="C1042" s="67"/>
      <c r="D1042" s="67"/>
      <c r="E1042" s="67"/>
      <c r="F1042" s="67"/>
      <c r="G1042" s="67"/>
      <c r="H1042" s="67"/>
      <c r="I1042" s="67"/>
      <c r="J1042" s="67"/>
      <c r="K1042" s="67"/>
      <c r="L1042" s="67"/>
      <c r="M1042" s="67"/>
      <c r="N1042" s="67"/>
      <c r="O1042" s="67"/>
      <c r="P1042" s="67"/>
      <c r="R1042" s="561"/>
      <c r="AC1042">
        <v>21</v>
      </c>
      <c r="AD1042" s="139">
        <f>IF($AF$1019=1,VLOOKUP($AD$1019,$A$1049:$P$1060,12,FALSE),VLOOKUP($AD$1019,$A$1022:$S$1033,3,FALSE))</f>
        <v>0</v>
      </c>
      <c r="AE1042" s="139">
        <f t="shared" si="350"/>
        <v>10.90327380952381</v>
      </c>
      <c r="AF1042" s="139">
        <f t="shared" si="351"/>
        <v>11.410714285714285</v>
      </c>
      <c r="AG1042" s="139">
        <f t="shared" si="352"/>
        <v>19.117559523809522</v>
      </c>
      <c r="AH1042" s="139">
        <f t="shared" si="353"/>
        <v>5.2804837333531163</v>
      </c>
      <c r="AI1042" s="139">
        <f t="shared" si="354"/>
        <v>4.7366071428571432</v>
      </c>
      <c r="AJ1042" s="139">
        <f t="shared" si="355"/>
        <v>3.1964285714285712</v>
      </c>
      <c r="AK1042" s="139">
        <f t="shared" si="356"/>
        <v>4.9642857142857144</v>
      </c>
      <c r="AL1042" s="139">
        <f t="shared" si="357"/>
        <v>5.09375</v>
      </c>
      <c r="AM1042" s="139">
        <f t="shared" si="358"/>
        <v>1.6964285714285714</v>
      </c>
      <c r="AN1042" s="139">
        <f t="shared" si="359"/>
        <v>1.9985119047619049</v>
      </c>
      <c r="AO1042" s="139">
        <f t="shared" si="360"/>
        <v>4.0461309523809526</v>
      </c>
      <c r="AP1042" s="139">
        <f t="shared" si="361"/>
        <v>0.59226190476190477</v>
      </c>
      <c r="AQ1042" s="139">
        <f t="shared" si="362"/>
        <v>0.55208333333333337</v>
      </c>
      <c r="AR1042" s="139">
        <f t="shared" si="363"/>
        <v>1.4017857142857144</v>
      </c>
      <c r="AS1042" s="139">
        <f t="shared" si="364"/>
        <v>74.99030516192451</v>
      </c>
      <c r="AT1042" s="139">
        <f t="shared" si="365"/>
        <v>4.7526193077616483</v>
      </c>
      <c r="AU1042" s="139">
        <f t="shared" si="366"/>
        <v>79.742924469686159</v>
      </c>
      <c r="AW1042" s="139">
        <f t="shared" si="367"/>
        <v>153.98626211109917</v>
      </c>
      <c r="AX1042" s="139">
        <f t="shared" si="368"/>
        <v>-74.243337641413007</v>
      </c>
    </row>
    <row r="1043" spans="1:50" ht="16.5" customHeight="1" x14ac:dyDescent="0.3">
      <c r="A1043" s="647"/>
      <c r="B1043" s="810">
        <f>+A5</f>
        <v>2017</v>
      </c>
      <c r="C1043" s="787"/>
      <c r="D1043" s="787"/>
      <c r="E1043" s="787"/>
      <c r="F1043" s="787"/>
      <c r="G1043" s="787"/>
      <c r="H1043" s="787"/>
      <c r="I1043" s="787"/>
      <c r="J1043" s="787"/>
      <c r="K1043" s="787"/>
      <c r="L1043" s="787"/>
      <c r="M1043" s="787"/>
      <c r="N1043" s="787"/>
      <c r="O1043" s="787"/>
      <c r="P1043" s="787"/>
      <c r="R1043" s="561"/>
      <c r="AC1043">
        <v>22</v>
      </c>
      <c r="AD1043" s="139">
        <f>IF($AF$1019=1,VLOOKUP($AD$1019,$A$1049:$P$1060,12,FALSE),VLOOKUP($AD$1019,$A$1022:$S$1033,3,FALSE))</f>
        <v>0</v>
      </c>
      <c r="AE1043" s="139">
        <f t="shared" si="350"/>
        <v>10.90327380952381</v>
      </c>
      <c r="AF1043" s="139">
        <f t="shared" si="351"/>
        <v>11.410714285714285</v>
      </c>
      <c r="AG1043" s="139">
        <f t="shared" si="352"/>
        <v>19.117559523809522</v>
      </c>
      <c r="AH1043" s="139">
        <f t="shared" si="353"/>
        <v>5.2804837333531163</v>
      </c>
      <c r="AI1043" s="139">
        <f t="shared" si="354"/>
        <v>4.7366071428571432</v>
      </c>
      <c r="AJ1043" s="139">
        <f t="shared" si="355"/>
        <v>3.1964285714285712</v>
      </c>
      <c r="AK1043" s="139">
        <f t="shared" si="356"/>
        <v>4.9642857142857144</v>
      </c>
      <c r="AL1043" s="139">
        <f t="shared" si="357"/>
        <v>5.09375</v>
      </c>
      <c r="AM1043" s="139">
        <f t="shared" si="358"/>
        <v>1.6964285714285714</v>
      </c>
      <c r="AN1043" s="139">
        <f t="shared" si="359"/>
        <v>1.9985119047619049</v>
      </c>
      <c r="AO1043" s="139">
        <f t="shared" si="360"/>
        <v>4.0461309523809526</v>
      </c>
      <c r="AP1043" s="139">
        <f t="shared" si="361"/>
        <v>0.59226190476190477</v>
      </c>
      <c r="AQ1043" s="139">
        <f t="shared" si="362"/>
        <v>0.55208333333333337</v>
      </c>
      <c r="AR1043" s="139">
        <f t="shared" si="363"/>
        <v>1.4017857142857144</v>
      </c>
      <c r="AS1043" s="139">
        <f t="shared" si="364"/>
        <v>74.99030516192451</v>
      </c>
      <c r="AT1043" s="139">
        <f t="shared" si="365"/>
        <v>4.7526193077616483</v>
      </c>
      <c r="AU1043" s="139">
        <f t="shared" si="366"/>
        <v>79.742924469686159</v>
      </c>
      <c r="AW1043" s="139">
        <f t="shared" si="367"/>
        <v>153.98626211109917</v>
      </c>
      <c r="AX1043" s="139">
        <f t="shared" si="368"/>
        <v>-74.243337641413007</v>
      </c>
    </row>
    <row r="1044" spans="1:50" ht="15.75" customHeight="1" x14ac:dyDescent="0.3">
      <c r="A1044" s="647"/>
      <c r="B1044" s="786" t="s">
        <v>1199</v>
      </c>
      <c r="C1044" s="786"/>
      <c r="D1044" s="786"/>
      <c r="E1044" s="786"/>
      <c r="F1044" s="786"/>
      <c r="G1044" s="786"/>
      <c r="H1044" s="786"/>
      <c r="I1044" s="786"/>
      <c r="J1044" s="786"/>
      <c r="K1044" s="786"/>
      <c r="L1044" s="786"/>
      <c r="M1044" s="786"/>
      <c r="N1044" s="786"/>
      <c r="O1044" s="786"/>
      <c r="P1044" s="786"/>
      <c r="R1044" s="561"/>
      <c r="AC1044">
        <v>23</v>
      </c>
      <c r="AD1044" s="139">
        <f>IF($AF$1019=1,VLOOKUP($AD$1019,$A$1049:$P$1060,12,FALSE),IF(OR($AD$1019="JAN",$AD$1019="FEB",$AD$1019="NOV",$AD$1019="DEC"),VLOOKUP($AD$1019,$A$1022:$S$1033,3,FALSE),VLOOKUP($AD$1019,$A$1022:$S$1033,2,FALSE)))</f>
        <v>0</v>
      </c>
      <c r="AE1044" s="139">
        <f t="shared" si="350"/>
        <v>10.90327380952381</v>
      </c>
      <c r="AF1044" s="139">
        <f t="shared" si="351"/>
        <v>11.410714285714285</v>
      </c>
      <c r="AG1044" s="139">
        <f t="shared" si="352"/>
        <v>19.117559523809522</v>
      </c>
      <c r="AH1044" s="139">
        <f t="shared" si="353"/>
        <v>5.2804837333531163</v>
      </c>
      <c r="AI1044" s="139">
        <f t="shared" si="354"/>
        <v>4.7366071428571432</v>
      </c>
      <c r="AJ1044" s="139">
        <f t="shared" si="355"/>
        <v>3.1964285714285712</v>
      </c>
      <c r="AK1044" s="139">
        <f t="shared" si="356"/>
        <v>4.9642857142857144</v>
      </c>
      <c r="AL1044" s="139">
        <f t="shared" si="357"/>
        <v>5.09375</v>
      </c>
      <c r="AM1044" s="139">
        <f t="shared" si="358"/>
        <v>1.6964285714285714</v>
      </c>
      <c r="AN1044" s="139">
        <f t="shared" si="359"/>
        <v>1.9985119047619049</v>
      </c>
      <c r="AO1044" s="139">
        <f t="shared" si="360"/>
        <v>4.0461309523809526</v>
      </c>
      <c r="AP1044" s="139">
        <f t="shared" si="361"/>
        <v>0.59226190476190477</v>
      </c>
      <c r="AQ1044" s="139">
        <f t="shared" si="362"/>
        <v>0.55208333333333337</v>
      </c>
      <c r="AR1044" s="139">
        <f t="shared" si="363"/>
        <v>1.4017857142857144</v>
      </c>
      <c r="AS1044" s="139">
        <f t="shared" si="364"/>
        <v>74.99030516192451</v>
      </c>
      <c r="AT1044" s="139">
        <f t="shared" si="365"/>
        <v>4.7526193077616483</v>
      </c>
      <c r="AU1044" s="139">
        <f t="shared" si="366"/>
        <v>79.742924469686159</v>
      </c>
      <c r="AW1044" s="139">
        <f t="shared" si="367"/>
        <v>153.98626211109917</v>
      </c>
      <c r="AX1044" s="139">
        <f t="shared" si="368"/>
        <v>-74.243337641413007</v>
      </c>
    </row>
    <row r="1045" spans="1:50" ht="15.75" customHeight="1" thickBot="1" x14ac:dyDescent="0.35">
      <c r="A1045" s="647"/>
      <c r="R1045" s="561"/>
      <c r="AC1045">
        <v>24</v>
      </c>
      <c r="AD1045" s="139">
        <f>IF($AF$1019=1,VLOOKUP($AD$1019,$A$1049:$P$1060,12,FALSE),VLOOKUP($AD$1019,$A$1022:$S$1033,2,FALSE))</f>
        <v>98</v>
      </c>
      <c r="AE1045" s="139">
        <f t="shared" si="350"/>
        <v>10.90327380952381</v>
      </c>
      <c r="AF1045" s="139">
        <f t="shared" si="351"/>
        <v>11.410714285714285</v>
      </c>
      <c r="AG1045" s="139">
        <f t="shared" si="352"/>
        <v>19.117559523809522</v>
      </c>
      <c r="AH1045" s="139">
        <f t="shared" si="353"/>
        <v>5.2804837333531163</v>
      </c>
      <c r="AI1045" s="139">
        <f t="shared" si="354"/>
        <v>4.7366071428571432</v>
      </c>
      <c r="AJ1045" s="139">
        <f t="shared" si="355"/>
        <v>3.1964285714285712</v>
      </c>
      <c r="AK1045" s="139">
        <f t="shared" si="356"/>
        <v>4.9642857142857144</v>
      </c>
      <c r="AL1045" s="139">
        <f t="shared" si="357"/>
        <v>5.09375</v>
      </c>
      <c r="AM1045" s="139">
        <f t="shared" si="358"/>
        <v>1.6964285714285714</v>
      </c>
      <c r="AN1045" s="139">
        <f t="shared" si="359"/>
        <v>1.9985119047619049</v>
      </c>
      <c r="AO1045" s="139">
        <f t="shared" si="360"/>
        <v>4.0461309523809526</v>
      </c>
      <c r="AP1045" s="139">
        <f t="shared" si="361"/>
        <v>0.59226190476190477</v>
      </c>
      <c r="AQ1045" s="139">
        <f t="shared" si="362"/>
        <v>0.55208333333333337</v>
      </c>
      <c r="AR1045" s="139">
        <f t="shared" si="363"/>
        <v>1.4017857142857144</v>
      </c>
      <c r="AS1045" s="139">
        <f t="shared" si="364"/>
        <v>172.9903051619246</v>
      </c>
      <c r="AT1045" s="139">
        <f t="shared" si="365"/>
        <v>10.963511384476714</v>
      </c>
      <c r="AU1045" s="139">
        <f t="shared" si="366"/>
        <v>183.9538165464013</v>
      </c>
      <c r="AW1045" s="139">
        <f t="shared" si="367"/>
        <v>153.98626211109917</v>
      </c>
      <c r="AX1045" s="139">
        <f t="shared" si="368"/>
        <v>29.967554435302134</v>
      </c>
    </row>
    <row r="1046" spans="1:50" ht="15.75" customHeight="1" x14ac:dyDescent="0.3">
      <c r="A1046" s="647"/>
      <c r="B1046" s="814" t="s">
        <v>2883</v>
      </c>
      <c r="C1046" s="815"/>
      <c r="D1046" s="815"/>
      <c r="E1046" s="815"/>
      <c r="F1046" s="815"/>
      <c r="G1046" s="815"/>
      <c r="H1046" s="815"/>
      <c r="I1046" s="815"/>
      <c r="J1046" s="815"/>
      <c r="K1046" s="815"/>
      <c r="L1046" s="816"/>
      <c r="M1046" s="817" t="s">
        <v>2884</v>
      </c>
      <c r="N1046" s="815"/>
      <c r="O1046" s="815"/>
      <c r="P1046" s="815"/>
      <c r="Q1046" s="139" t="s">
        <v>2899</v>
      </c>
      <c r="R1046" s="643" t="s">
        <v>2898</v>
      </c>
      <c r="S1046" s="139" t="s">
        <v>3193</v>
      </c>
      <c r="T1046" s="139" t="s">
        <v>2913</v>
      </c>
      <c r="AC1046" t="s">
        <v>2356</v>
      </c>
      <c r="AD1046" s="139">
        <f>SUM(AD1022:AD1045)</f>
        <v>784</v>
      </c>
      <c r="AE1046" s="139">
        <f>SUM(AE1022:AE1045)</f>
        <v>261.67857142857127</v>
      </c>
      <c r="AF1046" s="139">
        <f t="shared" ref="AF1046:AW1046" si="380">SUM(AF1022:AF1045)</f>
        <v>273.85714285714272</v>
      </c>
      <c r="AG1046" s="139">
        <f t="shared" si="380"/>
        <v>458.8214285714285</v>
      </c>
      <c r="AH1046" s="139">
        <f t="shared" si="380"/>
        <v>126.73160960047485</v>
      </c>
      <c r="AI1046" s="139">
        <f t="shared" si="380"/>
        <v>113.6785714285714</v>
      </c>
      <c r="AJ1046" s="139">
        <f t="shared" si="380"/>
        <v>76.71428571428568</v>
      </c>
      <c r="AK1046" s="139">
        <f t="shared" si="380"/>
        <v>119.14285714285708</v>
      </c>
      <c r="AL1046" s="139">
        <f t="shared" si="380"/>
        <v>122.25</v>
      </c>
      <c r="AM1046" s="139">
        <f t="shared" si="380"/>
        <v>40.714285714285715</v>
      </c>
      <c r="AN1046" s="139">
        <f t="shared" si="380"/>
        <v>47.964285714285715</v>
      </c>
      <c r="AO1046" s="139">
        <f t="shared" si="380"/>
        <v>97.107142857142804</v>
      </c>
      <c r="AP1046" s="139">
        <f t="shared" si="380"/>
        <v>14.214285714285719</v>
      </c>
      <c r="AQ1046" s="139">
        <f t="shared" si="380"/>
        <v>13.250000000000004</v>
      </c>
      <c r="AR1046" s="139">
        <f t="shared" si="380"/>
        <v>33.64285714285716</v>
      </c>
      <c r="AS1046" s="139">
        <f t="shared" si="380"/>
        <v>2583.7673238861876</v>
      </c>
      <c r="AT1046" s="139">
        <f t="shared" si="380"/>
        <v>163.75000000000009</v>
      </c>
      <c r="AU1046" s="139">
        <f t="shared" si="380"/>
        <v>2747.5173238861876</v>
      </c>
      <c r="AW1046" s="139">
        <f t="shared" si="380"/>
        <v>3695.6702906663809</v>
      </c>
      <c r="AX1046" s="139">
        <f>SUMIF(AX1022:AX1045,"&gt;0")</f>
        <v>239.74043548241707</v>
      </c>
    </row>
    <row r="1047" spans="1:50" ht="15.75" customHeight="1" thickBot="1" x14ac:dyDescent="0.35">
      <c r="A1047" s="647" t="s">
        <v>249</v>
      </c>
      <c r="B1047" s="658" t="s">
        <v>2890</v>
      </c>
      <c r="C1047" s="659" t="s">
        <v>2886</v>
      </c>
      <c r="D1047" s="659" t="s">
        <v>2885</v>
      </c>
      <c r="E1047" s="659" t="s">
        <v>2914</v>
      </c>
      <c r="F1047" s="659" t="s">
        <v>2886</v>
      </c>
      <c r="G1047" s="659" t="s">
        <v>2885</v>
      </c>
      <c r="H1047" s="659" t="s">
        <v>2915</v>
      </c>
      <c r="I1047" s="659" t="s">
        <v>2886</v>
      </c>
      <c r="J1047" s="659" t="s">
        <v>2885</v>
      </c>
      <c r="K1047" s="659" t="s">
        <v>2915</v>
      </c>
      <c r="L1047" s="660" t="s">
        <v>2897</v>
      </c>
      <c r="M1047" s="658" t="s">
        <v>2893</v>
      </c>
      <c r="N1047" s="659" t="s">
        <v>2886</v>
      </c>
      <c r="O1047" s="659" t="s">
        <v>2886</v>
      </c>
      <c r="P1047" s="660" t="s">
        <v>2897</v>
      </c>
      <c r="Q1047" s="668" t="s">
        <v>2356</v>
      </c>
      <c r="R1047" s="672" t="s">
        <v>2900</v>
      </c>
      <c r="S1047" s="659" t="s">
        <v>3175</v>
      </c>
      <c r="T1047" s="659" t="s">
        <v>3175</v>
      </c>
      <c r="AU1047" s="139"/>
      <c r="AW1047" s="139"/>
      <c r="AX1047" s="139"/>
    </row>
    <row r="1048" spans="1:50" ht="15.75" customHeight="1" thickTop="1" thickBot="1" x14ac:dyDescent="0.35">
      <c r="A1048" s="647"/>
      <c r="B1048" s="661"/>
      <c r="C1048" s="664" t="s">
        <v>2895</v>
      </c>
      <c r="D1048" s="664" t="s">
        <v>2895</v>
      </c>
      <c r="E1048" s="664" t="s">
        <v>2895</v>
      </c>
      <c r="F1048" s="662" t="s">
        <v>2696</v>
      </c>
      <c r="G1048" s="662" t="s">
        <v>2696</v>
      </c>
      <c r="H1048" s="662" t="s">
        <v>2696</v>
      </c>
      <c r="I1048" s="662" t="s">
        <v>2896</v>
      </c>
      <c r="J1048" s="662" t="s">
        <v>2896</v>
      </c>
      <c r="K1048" s="662" t="s">
        <v>2896</v>
      </c>
      <c r="L1048" s="663" t="s">
        <v>2892</v>
      </c>
      <c r="M1048" s="665"/>
      <c r="N1048" s="664" t="s">
        <v>2895</v>
      </c>
      <c r="O1048" s="662" t="s">
        <v>2696</v>
      </c>
      <c r="P1048" s="663" t="s">
        <v>2896</v>
      </c>
      <c r="Q1048" s="668" t="s">
        <v>2896</v>
      </c>
      <c r="R1048" s="672" t="s">
        <v>2896</v>
      </c>
      <c r="S1048" s="662" t="s">
        <v>3192</v>
      </c>
      <c r="T1048" s="662" t="s">
        <v>3192</v>
      </c>
    </row>
    <row r="1049" spans="1:50" ht="15.75" customHeight="1" x14ac:dyDescent="0.3">
      <c r="A1049" s="647" t="s">
        <v>2843</v>
      </c>
      <c r="B1049" s="642">
        <f ca="1">+$B$10-M1049</f>
        <v>26</v>
      </c>
      <c r="C1049" s="656">
        <v>4</v>
      </c>
      <c r="D1049" s="656">
        <v>0</v>
      </c>
      <c r="E1049" s="656" t="s">
        <v>2916</v>
      </c>
      <c r="F1049" s="139">
        <f>+I1049/(24-S1049)</f>
        <v>196</v>
      </c>
      <c r="G1049" s="139">
        <f>+J1049/S1049</f>
        <v>0</v>
      </c>
      <c r="H1049" s="139" t="s">
        <v>2916</v>
      </c>
      <c r="I1049" s="139">
        <f>+C1049*49*(24-S1049)</f>
        <v>3724</v>
      </c>
      <c r="J1049" s="139">
        <f>+D1049*49*S1049</f>
        <v>0</v>
      </c>
      <c r="K1049" s="139" t="s">
        <v>2916</v>
      </c>
      <c r="L1049" s="643">
        <f>+J1049+I1049</f>
        <v>3724</v>
      </c>
      <c r="M1049" s="642">
        <f ca="1">SUMPRODUCT(--(WEEKDAY(ROW(INDIRECT(DATE($B$1043,MonthFromText(A1049),1)&amp;":"&amp;DATE($B$1043,MonthFromText(A1049),$B$10))),1)=1))</f>
        <v>5</v>
      </c>
      <c r="N1049" s="656">
        <v>4</v>
      </c>
      <c r="O1049">
        <f>+P1049/(24-T1049)</f>
        <v>196</v>
      </c>
      <c r="P1049" s="643">
        <f>+N1049*49*(24-T1049)</f>
        <v>3724</v>
      </c>
      <c r="Q1049" s="139">
        <f ca="1">+(L1049*B1049)+(M1049*P1049)</f>
        <v>115444</v>
      </c>
      <c r="R1049" s="643">
        <f ca="1">+Q1049-B942</f>
        <v>-3744</v>
      </c>
      <c r="S1049" s="726">
        <v>5</v>
      </c>
      <c r="T1049" s="726">
        <v>5</v>
      </c>
      <c r="AD1049" s="704"/>
      <c r="AE1049" s="703"/>
      <c r="AF1049" s="725" t="s">
        <v>3186</v>
      </c>
      <c r="AG1049" s="720" t="s">
        <v>3183</v>
      </c>
      <c r="AH1049" s="720" t="s">
        <v>3184</v>
      </c>
      <c r="AI1049" s="720" t="s">
        <v>3185</v>
      </c>
      <c r="AJ1049" s="702"/>
    </row>
    <row r="1050" spans="1:50" ht="15.75" customHeight="1" x14ac:dyDescent="0.3">
      <c r="A1050" s="647" t="s">
        <v>2091</v>
      </c>
      <c r="B1050" s="642">
        <f ca="1">+$C$10-M1050</f>
        <v>24</v>
      </c>
      <c r="C1050" s="656">
        <v>2</v>
      </c>
      <c r="D1050" s="656">
        <v>0</v>
      </c>
      <c r="E1050" s="656" t="s">
        <v>2916</v>
      </c>
      <c r="F1050" s="139">
        <f t="shared" ref="F1050:F1060" si="381">+I1050/(24-S1050)</f>
        <v>98</v>
      </c>
      <c r="G1050" s="139">
        <f t="shared" ref="G1050:G1060" si="382">+J1050/S1050</f>
        <v>0</v>
      </c>
      <c r="H1050" s="139" t="s">
        <v>2916</v>
      </c>
      <c r="I1050" s="139">
        <f t="shared" ref="I1050:I1060" si="383">+C1050*49*(24-S1050)</f>
        <v>1862</v>
      </c>
      <c r="J1050" s="139">
        <f t="shared" ref="J1050:J1060" si="384">+D1050*49*S1050</f>
        <v>0</v>
      </c>
      <c r="K1050" s="139" t="s">
        <v>2916</v>
      </c>
      <c r="L1050" s="643">
        <f t="shared" ref="L1050:L1060" si="385">+J1050+I1050</f>
        <v>1862</v>
      </c>
      <c r="M1050" s="642">
        <f ca="1">SUMPRODUCT(--(WEEKDAY(ROW(INDIRECT(DATE($B$1043,MonthFromText(A1050),1)&amp;":"&amp;DATE($B$1043,MonthFromText(A1050),$C$10))),1)=1))</f>
        <v>4</v>
      </c>
      <c r="N1050" s="656">
        <f t="shared" ref="N1050:N1058" si="386">+C1050</f>
        <v>2</v>
      </c>
      <c r="O1050">
        <f t="shared" ref="O1050:O1060" si="387">+P1050/24</f>
        <v>98</v>
      </c>
      <c r="P1050" s="643">
        <f t="shared" ref="P1050:P1060" si="388">+N1050*49*24</f>
        <v>2352</v>
      </c>
      <c r="Q1050" s="139">
        <f ca="1">+(L1050*B1050)+(M1050*P1050)</f>
        <v>54096</v>
      </c>
      <c r="R1050" s="643">
        <f t="shared" ref="R1050:R1060" ca="1" si="389">+Q1050-B943</f>
        <v>-3517</v>
      </c>
      <c r="S1050" s="726">
        <v>5</v>
      </c>
      <c r="T1050" s="726">
        <v>5</v>
      </c>
      <c r="AD1050" s="721" t="s">
        <v>1354</v>
      </c>
      <c r="AE1050" s="723" t="s">
        <v>3176</v>
      </c>
      <c r="AF1050">
        <f>V1022</f>
        <v>274.3440860215054</v>
      </c>
      <c r="AG1050">
        <f>X1022</f>
        <v>24.032200475787594</v>
      </c>
      <c r="AH1050">
        <f>Y1022</f>
        <v>-0.74396305839835863</v>
      </c>
      <c r="AI1050">
        <f>Z1022</f>
        <v>29.069892473118284</v>
      </c>
      <c r="AJ1050" s="712"/>
    </row>
    <row r="1051" spans="1:50" ht="16.5" customHeight="1" x14ac:dyDescent="0.3">
      <c r="A1051" s="647" t="s">
        <v>2234</v>
      </c>
      <c r="B1051" s="642">
        <f ca="1">+$D$10-M1051</f>
        <v>27</v>
      </c>
      <c r="C1051" s="656">
        <v>6</v>
      </c>
      <c r="D1051" s="656">
        <v>0</v>
      </c>
      <c r="E1051" s="656" t="s">
        <v>2916</v>
      </c>
      <c r="F1051" s="139">
        <f t="shared" si="381"/>
        <v>294</v>
      </c>
      <c r="G1051" s="139">
        <f t="shared" si="382"/>
        <v>0</v>
      </c>
      <c r="H1051" s="139" t="s">
        <v>2916</v>
      </c>
      <c r="I1051" s="139">
        <f t="shared" si="383"/>
        <v>5586</v>
      </c>
      <c r="J1051" s="139">
        <f t="shared" si="384"/>
        <v>0</v>
      </c>
      <c r="K1051" s="139" t="s">
        <v>2916</v>
      </c>
      <c r="L1051" s="643">
        <f t="shared" si="385"/>
        <v>5586</v>
      </c>
      <c r="M1051" s="642">
        <f ca="1">SUMPRODUCT(--(WEEKDAY(ROW(INDIRECT(DATE($B$1043,MonthFromText(A1051),1)&amp;":"&amp;DATE($B$1043,MonthFromText(A1051),$D$10))),1)=1))</f>
        <v>4</v>
      </c>
      <c r="N1051" s="656">
        <v>3</v>
      </c>
      <c r="O1051">
        <f t="shared" si="387"/>
        <v>147</v>
      </c>
      <c r="P1051" s="643">
        <f t="shared" si="388"/>
        <v>3528</v>
      </c>
      <c r="Q1051" s="139">
        <f t="shared" ref="Q1051:Q1060" ca="1" si="390">+(L1051*B1051)+(M1051*P1051)</f>
        <v>164934</v>
      </c>
      <c r="R1051" s="643">
        <f t="shared" ca="1" si="389"/>
        <v>35120</v>
      </c>
      <c r="S1051" s="726">
        <v>5</v>
      </c>
      <c r="T1051" s="726">
        <v>5</v>
      </c>
      <c r="AD1051" s="721"/>
      <c r="AE1051" s="723" t="s">
        <v>3175</v>
      </c>
      <c r="AF1051">
        <f>W1022</f>
        <v>78.344086021505376</v>
      </c>
      <c r="AG1051">
        <f>X1022</f>
        <v>24.032200475787594</v>
      </c>
      <c r="AH1051">
        <f>Y1022</f>
        <v>-0.74396305839835863</v>
      </c>
      <c r="AI1051">
        <f>Z1022</f>
        <v>29.069892473118284</v>
      </c>
      <c r="AJ1051" s="712"/>
    </row>
    <row r="1052" spans="1:50" ht="16.5" customHeight="1" x14ac:dyDescent="0.3">
      <c r="A1052" s="647" t="s">
        <v>2235</v>
      </c>
      <c r="B1052" s="642">
        <f ca="1">+$F$10-M1052</f>
        <v>25</v>
      </c>
      <c r="C1052" s="656">
        <v>6</v>
      </c>
      <c r="D1052" s="656">
        <v>0</v>
      </c>
      <c r="E1052" s="656" t="s">
        <v>2916</v>
      </c>
      <c r="F1052" s="139">
        <f t="shared" si="381"/>
        <v>294</v>
      </c>
      <c r="G1052" s="139">
        <f t="shared" si="382"/>
        <v>0</v>
      </c>
      <c r="H1052" s="139" t="s">
        <v>2916</v>
      </c>
      <c r="I1052" s="139">
        <f t="shared" si="383"/>
        <v>5586</v>
      </c>
      <c r="J1052" s="139">
        <f t="shared" si="384"/>
        <v>0</v>
      </c>
      <c r="K1052" s="139" t="s">
        <v>2916</v>
      </c>
      <c r="L1052" s="643">
        <f t="shared" si="385"/>
        <v>5586</v>
      </c>
      <c r="M1052" s="642">
        <f ca="1">SUMPRODUCT(--(WEEKDAY(ROW(INDIRECT(DATE($B$1043,MonthFromText(A1052),1)&amp;":"&amp;DATE($B$1043,MonthFromText(A1052),$F$10))),1)=1))</f>
        <v>5</v>
      </c>
      <c r="N1052" s="656">
        <v>5</v>
      </c>
      <c r="O1052">
        <f t="shared" si="387"/>
        <v>245</v>
      </c>
      <c r="P1052" s="643">
        <f t="shared" si="388"/>
        <v>5880</v>
      </c>
      <c r="Q1052" s="139">
        <f t="shared" ca="1" si="390"/>
        <v>169050</v>
      </c>
      <c r="R1052" s="643">
        <f t="shared" ca="1" si="389"/>
        <v>15784</v>
      </c>
      <c r="S1052" s="726">
        <v>5</v>
      </c>
      <c r="T1052" s="726">
        <v>5</v>
      </c>
      <c r="AD1052" s="721" t="s">
        <v>3178</v>
      </c>
      <c r="AE1052" s="723" t="s">
        <v>852</v>
      </c>
      <c r="AJ1052" s="712"/>
    </row>
    <row r="1053" spans="1:50" ht="15.75" customHeight="1" x14ac:dyDescent="0.3">
      <c r="A1053" s="647" t="s">
        <v>2236</v>
      </c>
      <c r="B1053" s="642">
        <f ca="1">+$G$10-M1053</f>
        <v>27</v>
      </c>
      <c r="C1053" s="656">
        <v>6</v>
      </c>
      <c r="D1053" s="656">
        <v>0</v>
      </c>
      <c r="E1053" s="656" t="s">
        <v>2916</v>
      </c>
      <c r="F1053" s="139">
        <f t="shared" si="381"/>
        <v>294</v>
      </c>
      <c r="G1053" s="139">
        <f t="shared" si="382"/>
        <v>0</v>
      </c>
      <c r="H1053" s="139" t="s">
        <v>2916</v>
      </c>
      <c r="I1053" s="139">
        <f t="shared" si="383"/>
        <v>5586</v>
      </c>
      <c r="J1053" s="139">
        <f t="shared" si="384"/>
        <v>0</v>
      </c>
      <c r="K1053" s="139" t="s">
        <v>2916</v>
      </c>
      <c r="L1053" s="643">
        <f t="shared" si="385"/>
        <v>5586</v>
      </c>
      <c r="M1053" s="642">
        <f ca="1">SUMPRODUCT(--(WEEKDAY(ROW(INDIRECT(DATE($B$1043,MonthFromText(A1053),1)&amp;":"&amp;DATE($B$1043,MonthFromText(A1053),$G$10))),1)=1))</f>
        <v>4</v>
      </c>
      <c r="N1053" s="656">
        <f t="shared" si="386"/>
        <v>6</v>
      </c>
      <c r="O1053">
        <f t="shared" si="387"/>
        <v>294</v>
      </c>
      <c r="P1053" s="643">
        <f t="shared" si="388"/>
        <v>7056</v>
      </c>
      <c r="Q1053" s="139">
        <f t="shared" ca="1" si="390"/>
        <v>179046</v>
      </c>
      <c r="R1053" s="643">
        <f t="shared" ca="1" si="389"/>
        <v>10601</v>
      </c>
      <c r="S1053" s="726">
        <v>5</v>
      </c>
      <c r="T1053" s="726">
        <v>5</v>
      </c>
      <c r="AD1053" s="721" t="s">
        <v>706</v>
      </c>
      <c r="AE1053" s="723" t="s">
        <v>3176</v>
      </c>
      <c r="AF1053">
        <f>V1023</f>
        <v>139.43154761904762</v>
      </c>
      <c r="AG1053">
        <f>X1023</f>
        <v>5.2804837333531163</v>
      </c>
      <c r="AH1053">
        <f>Y1023</f>
        <v>-1.7860593174722752</v>
      </c>
      <c r="AI1053">
        <f>Z1023</f>
        <v>28.278273809523814</v>
      </c>
      <c r="AJ1053" s="712"/>
    </row>
    <row r="1054" spans="1:50" ht="15.75" customHeight="1" x14ac:dyDescent="0.3">
      <c r="A1054" s="647" t="s">
        <v>2237</v>
      </c>
      <c r="B1054" s="642">
        <f ca="1">+$H$10-M1054</f>
        <v>26</v>
      </c>
      <c r="C1054" s="656">
        <v>3</v>
      </c>
      <c r="D1054" s="656">
        <v>0</v>
      </c>
      <c r="E1054" s="656">
        <v>0</v>
      </c>
      <c r="F1054" s="139">
        <f t="shared" si="381"/>
        <v>147</v>
      </c>
      <c r="G1054" s="139">
        <f t="shared" si="382"/>
        <v>0</v>
      </c>
      <c r="H1054" s="139" t="s">
        <v>2916</v>
      </c>
      <c r="I1054" s="139">
        <f t="shared" si="383"/>
        <v>2205</v>
      </c>
      <c r="J1054" s="139">
        <f t="shared" si="384"/>
        <v>0</v>
      </c>
      <c r="K1054" s="139" t="s">
        <v>2916</v>
      </c>
      <c r="L1054" s="643">
        <f t="shared" si="385"/>
        <v>2205</v>
      </c>
      <c r="M1054" s="642">
        <f ca="1">SUMPRODUCT(--(WEEKDAY(ROW(INDIRECT(DATE($B$1043,MonthFromText(A1054),1)&amp;":"&amp;DATE($B$1043,MonthFromText(A1054),$H$10))),1)=1))</f>
        <v>4</v>
      </c>
      <c r="N1054" s="656">
        <f t="shared" si="386"/>
        <v>3</v>
      </c>
      <c r="O1054">
        <f t="shared" si="387"/>
        <v>147</v>
      </c>
      <c r="P1054" s="643">
        <f t="shared" si="388"/>
        <v>3528</v>
      </c>
      <c r="Q1054" s="139">
        <f ca="1">+(L1054*B1054)+(M1054*P1054)</f>
        <v>71442</v>
      </c>
      <c r="R1054" s="643">
        <f t="shared" ca="1" si="389"/>
        <v>-7750</v>
      </c>
      <c r="S1054" s="726">
        <v>9</v>
      </c>
      <c r="T1054" s="726">
        <v>9</v>
      </c>
      <c r="AD1054" s="721"/>
      <c r="AE1054" s="723" t="s">
        <v>3175</v>
      </c>
      <c r="AF1054">
        <f>W1023</f>
        <v>41.43154761904762</v>
      </c>
      <c r="AG1054">
        <f>X1023</f>
        <v>5.2804837333531163</v>
      </c>
      <c r="AH1054">
        <f>Y1023</f>
        <v>-1.7860593174722752</v>
      </c>
      <c r="AI1054">
        <f>Z1023</f>
        <v>28.278273809523814</v>
      </c>
      <c r="AJ1054" s="712"/>
    </row>
    <row r="1055" spans="1:50" ht="15.75" customHeight="1" x14ac:dyDescent="0.3">
      <c r="A1055" s="647" t="s">
        <v>1504</v>
      </c>
      <c r="B1055" s="642">
        <f ca="1">+$J$10-M1055</f>
        <v>26</v>
      </c>
      <c r="C1055" s="656">
        <v>3</v>
      </c>
      <c r="D1055" s="656">
        <v>0</v>
      </c>
      <c r="E1055" s="656">
        <v>0</v>
      </c>
      <c r="F1055" s="139">
        <f t="shared" si="381"/>
        <v>147</v>
      </c>
      <c r="G1055" s="139">
        <f t="shared" si="382"/>
        <v>0</v>
      </c>
      <c r="H1055" s="139" t="s">
        <v>2916</v>
      </c>
      <c r="I1055" s="139">
        <f t="shared" si="383"/>
        <v>2205</v>
      </c>
      <c r="J1055" s="139">
        <f t="shared" si="384"/>
        <v>0</v>
      </c>
      <c r="K1055" s="139" t="s">
        <v>2916</v>
      </c>
      <c r="L1055" s="643">
        <f t="shared" si="385"/>
        <v>2205</v>
      </c>
      <c r="M1055" s="642">
        <f ca="1">SUMPRODUCT(--(WEEKDAY(ROW(INDIRECT(DATE($B$1043,MonthFromText(A1055),1)&amp;":"&amp;DATE($B$1043,MonthFromText(A1055),$J$10))),1)=1))</f>
        <v>5</v>
      </c>
      <c r="N1055" s="656">
        <f t="shared" si="386"/>
        <v>3</v>
      </c>
      <c r="O1055">
        <f t="shared" si="387"/>
        <v>147</v>
      </c>
      <c r="P1055" s="643">
        <f t="shared" si="388"/>
        <v>3528</v>
      </c>
      <c r="Q1055" s="139">
        <f t="shared" ca="1" si="390"/>
        <v>74970</v>
      </c>
      <c r="R1055" s="643">
        <f t="shared" ca="1" si="389"/>
        <v>2816</v>
      </c>
      <c r="S1055" s="726">
        <v>9</v>
      </c>
      <c r="T1055" s="726">
        <v>9</v>
      </c>
      <c r="AD1055" s="721" t="s">
        <v>3178</v>
      </c>
      <c r="AE1055" s="723" t="s">
        <v>852</v>
      </c>
      <c r="AJ1055" s="712"/>
    </row>
    <row r="1056" spans="1:50" ht="15.75" customHeight="1" x14ac:dyDescent="0.3">
      <c r="A1056" s="647" t="s">
        <v>1505</v>
      </c>
      <c r="B1056" s="642">
        <f ca="1">+$K$10-M1056</f>
        <v>27</v>
      </c>
      <c r="C1056" s="656">
        <v>3</v>
      </c>
      <c r="D1056" s="656">
        <v>0</v>
      </c>
      <c r="E1056" s="656">
        <v>0</v>
      </c>
      <c r="F1056" s="139">
        <f t="shared" si="381"/>
        <v>147</v>
      </c>
      <c r="G1056" s="139">
        <f t="shared" si="382"/>
        <v>0</v>
      </c>
      <c r="H1056" s="139" t="s">
        <v>2916</v>
      </c>
      <c r="I1056" s="139">
        <f t="shared" si="383"/>
        <v>2205</v>
      </c>
      <c r="J1056" s="139">
        <f t="shared" si="384"/>
        <v>0</v>
      </c>
      <c r="K1056" s="139" t="s">
        <v>2916</v>
      </c>
      <c r="L1056" s="643">
        <f t="shared" si="385"/>
        <v>2205</v>
      </c>
      <c r="M1056" s="642">
        <f ca="1">SUMPRODUCT(--(WEEKDAY(ROW(INDIRECT(DATE($B$1043,MonthFromText(A1056),1)&amp;":"&amp;DATE($B$1043,MonthFromText(A1056),$K$10))),1)=1))</f>
        <v>4</v>
      </c>
      <c r="N1056" s="656">
        <f t="shared" si="386"/>
        <v>3</v>
      </c>
      <c r="O1056">
        <f t="shared" si="387"/>
        <v>147</v>
      </c>
      <c r="P1056" s="643">
        <f t="shared" si="388"/>
        <v>3528</v>
      </c>
      <c r="Q1056" s="139">
        <f t="shared" ca="1" si="390"/>
        <v>73647</v>
      </c>
      <c r="R1056" s="643">
        <f t="shared" ca="1" si="389"/>
        <v>4556</v>
      </c>
      <c r="S1056" s="726">
        <v>9</v>
      </c>
      <c r="T1056" s="726">
        <v>9</v>
      </c>
      <c r="AD1056" s="721" t="s">
        <v>707</v>
      </c>
      <c r="AE1056" s="723" t="s">
        <v>3176</v>
      </c>
      <c r="AF1056">
        <f>V1024</f>
        <v>378.32661290322579</v>
      </c>
      <c r="AG1056">
        <f>X1024</f>
        <v>5.9990485767542543</v>
      </c>
      <c r="AH1056">
        <f>Y1024</f>
        <v>-4.4788695070029222E-2</v>
      </c>
      <c r="AI1056">
        <f>Z1024</f>
        <v>52.884408602150543</v>
      </c>
      <c r="AJ1056" s="712"/>
    </row>
    <row r="1057" spans="1:36" ht="15.75" customHeight="1" x14ac:dyDescent="0.3">
      <c r="A1057" s="647" t="s">
        <v>1506</v>
      </c>
      <c r="B1057" s="642">
        <f ca="1">+$L$10-M1057</f>
        <v>26</v>
      </c>
      <c r="C1057" s="656">
        <v>5</v>
      </c>
      <c r="D1057" s="656">
        <v>0</v>
      </c>
      <c r="E1057" s="656" t="s">
        <v>2916</v>
      </c>
      <c r="F1057" s="139">
        <f t="shared" si="381"/>
        <v>245</v>
      </c>
      <c r="G1057" s="139">
        <f t="shared" si="382"/>
        <v>0</v>
      </c>
      <c r="H1057" s="139" t="s">
        <v>2916</v>
      </c>
      <c r="I1057" s="139">
        <f t="shared" si="383"/>
        <v>4410</v>
      </c>
      <c r="J1057" s="139">
        <f t="shared" si="384"/>
        <v>0</v>
      </c>
      <c r="K1057" s="139" t="s">
        <v>2916</v>
      </c>
      <c r="L1057" s="643">
        <f t="shared" si="385"/>
        <v>4410</v>
      </c>
      <c r="M1057" s="642">
        <f ca="1">SUMPRODUCT(--(WEEKDAY(ROW(INDIRECT(DATE($B$1043,MonthFromText(A1057),1)&amp;":"&amp;DATE($B$1043,MonthFromText(A1057),$L$10))),1)=1))</f>
        <v>4</v>
      </c>
      <c r="N1057" s="656">
        <f t="shared" si="386"/>
        <v>5</v>
      </c>
      <c r="O1057">
        <f t="shared" si="387"/>
        <v>245</v>
      </c>
      <c r="P1057" s="643">
        <f t="shared" si="388"/>
        <v>5880</v>
      </c>
      <c r="Q1057" s="139">
        <f t="shared" ca="1" si="390"/>
        <v>138180</v>
      </c>
      <c r="R1057" s="643">
        <f t="shared" ca="1" si="389"/>
        <v>11168</v>
      </c>
      <c r="S1057" s="726">
        <v>6</v>
      </c>
      <c r="T1057" s="726">
        <v>4</v>
      </c>
      <c r="AD1057" s="721"/>
      <c r="AE1057" s="723" t="s">
        <v>3175</v>
      </c>
      <c r="AF1057">
        <f>W1024</f>
        <v>84.326612903225808</v>
      </c>
      <c r="AG1057">
        <f>X1024</f>
        <v>5.9990485767542543</v>
      </c>
      <c r="AH1057">
        <f>Y1024</f>
        <v>-4.4788695070029222E-2</v>
      </c>
      <c r="AI1057">
        <f>Z1024</f>
        <v>52.884408602150543</v>
      </c>
      <c r="AJ1057" s="712"/>
    </row>
    <row r="1058" spans="1:36" ht="15.75" customHeight="1" x14ac:dyDescent="0.3">
      <c r="A1058" s="647" t="s">
        <v>1507</v>
      </c>
      <c r="B1058" s="642">
        <f ca="1">+$N$10-M1058</f>
        <v>26</v>
      </c>
      <c r="C1058" s="656">
        <v>5</v>
      </c>
      <c r="D1058" s="656">
        <v>0</v>
      </c>
      <c r="E1058" s="656" t="s">
        <v>2916</v>
      </c>
      <c r="F1058" s="139">
        <f t="shared" si="381"/>
        <v>245</v>
      </c>
      <c r="G1058" s="139">
        <f t="shared" si="382"/>
        <v>0</v>
      </c>
      <c r="H1058" s="139" t="s">
        <v>2916</v>
      </c>
      <c r="I1058" s="139">
        <f t="shared" si="383"/>
        <v>4410</v>
      </c>
      <c r="J1058" s="139">
        <f t="shared" si="384"/>
        <v>0</v>
      </c>
      <c r="K1058" s="139" t="s">
        <v>2916</v>
      </c>
      <c r="L1058" s="643">
        <f t="shared" si="385"/>
        <v>4410</v>
      </c>
      <c r="M1058" s="642">
        <f ca="1">SUMPRODUCT(--(WEEKDAY(ROW(INDIRECT(DATE($B$1043,MonthFromText(A1058),1)&amp;":"&amp;DATE($B$1043,MonthFromText(A1058),$N$10))),1)=1))</f>
        <v>5</v>
      </c>
      <c r="N1058" s="656">
        <f t="shared" si="386"/>
        <v>5</v>
      </c>
      <c r="O1058">
        <f t="shared" si="387"/>
        <v>245</v>
      </c>
      <c r="P1058" s="643">
        <f t="shared" si="388"/>
        <v>5880</v>
      </c>
      <c r="Q1058" s="139">
        <f t="shared" ca="1" si="390"/>
        <v>144060</v>
      </c>
      <c r="R1058" s="643">
        <f t="shared" ca="1" si="389"/>
        <v>20051</v>
      </c>
      <c r="S1058" s="726">
        <v>6</v>
      </c>
      <c r="T1058" s="726">
        <v>4</v>
      </c>
      <c r="AD1058" s="721" t="s">
        <v>3178</v>
      </c>
      <c r="AE1058" s="723" t="s">
        <v>852</v>
      </c>
      <c r="AJ1058" s="712"/>
    </row>
    <row r="1059" spans="1:36" ht="15.75" customHeight="1" x14ac:dyDescent="0.3">
      <c r="A1059" s="647" t="s">
        <v>1508</v>
      </c>
      <c r="B1059" s="642">
        <f ca="1">+$O$10-M1059</f>
        <v>26</v>
      </c>
      <c r="C1059" s="656">
        <v>5</v>
      </c>
      <c r="D1059" s="656">
        <v>0</v>
      </c>
      <c r="E1059" s="656" t="s">
        <v>2916</v>
      </c>
      <c r="F1059" s="139">
        <f t="shared" si="381"/>
        <v>245</v>
      </c>
      <c r="G1059" s="139">
        <f t="shared" si="382"/>
        <v>0</v>
      </c>
      <c r="H1059" s="139" t="s">
        <v>2916</v>
      </c>
      <c r="I1059" s="139">
        <f t="shared" si="383"/>
        <v>4410</v>
      </c>
      <c r="J1059" s="139">
        <f t="shared" si="384"/>
        <v>0</v>
      </c>
      <c r="K1059" s="139" t="s">
        <v>2916</v>
      </c>
      <c r="L1059" s="643">
        <f t="shared" si="385"/>
        <v>4410</v>
      </c>
      <c r="M1059" s="642">
        <f ca="1">SUMPRODUCT(--(WEEKDAY(ROW(INDIRECT(DATE($B$1043,MonthFromText(A1059),1)&amp;":"&amp;DATE($B$1043,MonthFromText(A1059),$O$10))),1)=1))</f>
        <v>4</v>
      </c>
      <c r="N1059" s="656">
        <v>3</v>
      </c>
      <c r="O1059">
        <f t="shared" si="387"/>
        <v>147</v>
      </c>
      <c r="P1059" s="643">
        <f t="shared" si="388"/>
        <v>3528</v>
      </c>
      <c r="Q1059" s="139">
        <f t="shared" ca="1" si="390"/>
        <v>128772</v>
      </c>
      <c r="R1059" s="643">
        <f t="shared" ca="1" si="389"/>
        <v>7251</v>
      </c>
      <c r="S1059" s="726">
        <v>6</v>
      </c>
      <c r="T1059" s="726">
        <v>4</v>
      </c>
      <c r="AD1059" s="721" t="s">
        <v>1321</v>
      </c>
      <c r="AE1059" s="723" t="s">
        <v>3176</v>
      </c>
      <c r="AF1059">
        <f>V1025</f>
        <v>396.30694444444441</v>
      </c>
      <c r="AG1059">
        <f>X1025</f>
        <v>2.9375522591534704</v>
      </c>
      <c r="AH1059">
        <f>Y1025</f>
        <v>-1.3427530771163035E-3</v>
      </c>
      <c r="AI1059">
        <f>Z1025</f>
        <v>60.004166666666656</v>
      </c>
      <c r="AJ1059" s="712"/>
    </row>
    <row r="1060" spans="1:36" ht="15.75" customHeight="1" thickBot="1" x14ac:dyDescent="0.35">
      <c r="A1060" s="647" t="s">
        <v>1509</v>
      </c>
      <c r="B1060" s="644">
        <f ca="1">+$P$10-M1060</f>
        <v>26</v>
      </c>
      <c r="C1060" s="657">
        <v>5</v>
      </c>
      <c r="D1060" s="657">
        <v>0</v>
      </c>
      <c r="E1060" s="656" t="s">
        <v>2916</v>
      </c>
      <c r="F1060" s="139">
        <f t="shared" si="381"/>
        <v>245</v>
      </c>
      <c r="G1060" s="139">
        <f t="shared" si="382"/>
        <v>0</v>
      </c>
      <c r="H1060" s="139" t="s">
        <v>2916</v>
      </c>
      <c r="I1060" s="139">
        <f t="shared" si="383"/>
        <v>4410</v>
      </c>
      <c r="J1060" s="139">
        <f t="shared" si="384"/>
        <v>0</v>
      </c>
      <c r="K1060" s="139" t="s">
        <v>2916</v>
      </c>
      <c r="L1060" s="643">
        <f t="shared" si="385"/>
        <v>4410</v>
      </c>
      <c r="M1060" s="644">
        <f ca="1">SUMPRODUCT(--(WEEKDAY(ROW(INDIRECT(DATE($B$1043,MonthFromText(A1060),1)&amp;":"&amp;DATE($B$1043,MonthFromText(A1060),$P$10))),1)=1))</f>
        <v>5</v>
      </c>
      <c r="N1060" s="656">
        <v>3</v>
      </c>
      <c r="O1060" s="581">
        <f t="shared" si="387"/>
        <v>147</v>
      </c>
      <c r="P1060" s="646">
        <f t="shared" si="388"/>
        <v>3528</v>
      </c>
      <c r="Q1060" s="666">
        <f t="shared" ca="1" si="390"/>
        <v>132300</v>
      </c>
      <c r="R1060" s="673">
        <f t="shared" ca="1" si="389"/>
        <v>-2990</v>
      </c>
      <c r="S1060" s="726">
        <v>6</v>
      </c>
      <c r="T1060" s="726">
        <v>4</v>
      </c>
      <c r="AD1060" s="721"/>
      <c r="AE1060" s="723" t="s">
        <v>3175</v>
      </c>
      <c r="AF1060">
        <f>W1025</f>
        <v>102.30694444444444</v>
      </c>
      <c r="AG1060">
        <f>X1025</f>
        <v>2.9375522591534704</v>
      </c>
      <c r="AH1060">
        <f>Y1025</f>
        <v>-1.3427530771163035E-3</v>
      </c>
      <c r="AI1060">
        <f>Z1025</f>
        <v>60.004166666666656</v>
      </c>
      <c r="AJ1060" s="712"/>
    </row>
    <row r="1061" spans="1:36" ht="15.75" customHeight="1" thickBot="1" x14ac:dyDescent="0.35">
      <c r="A1061" s="580"/>
      <c r="B1061" s="581"/>
      <c r="C1061" s="581"/>
      <c r="D1061" s="581"/>
      <c r="E1061" s="674"/>
      <c r="F1061" s="674"/>
      <c r="G1061" s="674"/>
      <c r="H1061" s="674"/>
      <c r="I1061" s="674"/>
      <c r="J1061" s="674"/>
      <c r="K1061" s="674"/>
      <c r="L1061" s="674"/>
      <c r="M1061" s="581"/>
      <c r="N1061" s="581"/>
      <c r="O1061" s="581"/>
      <c r="P1061" s="581"/>
      <c r="Q1061" s="645">
        <f ca="1">+SUM(Q1049:Q1060)</f>
        <v>1445941</v>
      </c>
      <c r="R1061" s="646">
        <f ca="1">+Q1061-B955</f>
        <v>89346</v>
      </c>
      <c r="AD1061" s="721" t="s">
        <v>3178</v>
      </c>
      <c r="AE1061" s="723" t="s">
        <v>852</v>
      </c>
      <c r="AJ1061" s="712"/>
    </row>
    <row r="1062" spans="1:36" ht="15.75" customHeight="1" x14ac:dyDescent="0.3">
      <c r="A1062" s="641" t="s">
        <v>2891</v>
      </c>
      <c r="J1062" s="139"/>
      <c r="AD1062" s="721" t="s">
        <v>1905</v>
      </c>
      <c r="AE1062" s="723" t="s">
        <v>3176</v>
      </c>
      <c r="AF1062">
        <f>V1026</f>
        <v>402.62768817204301</v>
      </c>
      <c r="AG1062">
        <f>X1026</f>
        <v>7.2865709367487268</v>
      </c>
      <c r="AH1062">
        <f>Y1026</f>
        <v>-0.31723330983461706</v>
      </c>
      <c r="AI1062">
        <f>Z1026</f>
        <v>56.326612903225808</v>
      </c>
      <c r="AJ1062" s="712"/>
    </row>
    <row r="1063" spans="1:36" ht="15.75" customHeight="1" x14ac:dyDescent="0.3">
      <c r="A1063" s="641" t="s">
        <v>2894</v>
      </c>
      <c r="AD1063" s="721"/>
      <c r="AE1063" s="723" t="s">
        <v>3175</v>
      </c>
      <c r="AF1063">
        <f>W1026</f>
        <v>108.62768817204301</v>
      </c>
      <c r="AG1063">
        <f>X1026</f>
        <v>7.2865709367487268</v>
      </c>
      <c r="AH1063">
        <f>Y1026</f>
        <v>-0.31723330983461706</v>
      </c>
      <c r="AI1063">
        <f>Z1026</f>
        <v>56.326612903225808</v>
      </c>
      <c r="AJ1063" s="712"/>
    </row>
    <row r="1064" spans="1:36" ht="15.75" customHeight="1" x14ac:dyDescent="0.3">
      <c r="A1064" s="641" t="s">
        <v>2901</v>
      </c>
      <c r="AD1064" s="721" t="s">
        <v>3178</v>
      </c>
      <c r="AE1064" s="723" t="s">
        <v>852</v>
      </c>
      <c r="AJ1064" s="712"/>
    </row>
    <row r="1065" spans="1:36" ht="15.75" customHeight="1" x14ac:dyDescent="0.3">
      <c r="AD1065" s="721" t="s">
        <v>1906</v>
      </c>
      <c r="AE1065" s="723" t="s">
        <v>3176</v>
      </c>
      <c r="AF1065">
        <f>V1027</f>
        <v>198.57222222222222</v>
      </c>
      <c r="AG1065">
        <f>X1027</f>
        <v>0</v>
      </c>
      <c r="AH1065">
        <f>Y1027</f>
        <v>-23.253724859750488</v>
      </c>
      <c r="AI1065">
        <f>Z1027</f>
        <v>70.88611111111112</v>
      </c>
      <c r="AJ1065" s="712"/>
    </row>
    <row r="1066" spans="1:36" ht="15.75" customHeight="1" x14ac:dyDescent="0.3">
      <c r="A1066" t="s">
        <v>3191</v>
      </c>
      <c r="AD1066" s="721"/>
      <c r="AE1066" s="723" t="s">
        <v>3175</v>
      </c>
      <c r="AF1066">
        <f>W1027</f>
        <v>51.572222222222223</v>
      </c>
      <c r="AG1066">
        <f>X1027</f>
        <v>0</v>
      </c>
      <c r="AH1066">
        <f>Y1027</f>
        <v>-23.253724859750488</v>
      </c>
      <c r="AI1066">
        <f>Z1027</f>
        <v>70.88611111111112</v>
      </c>
      <c r="AJ1066" s="712"/>
    </row>
    <row r="1067" spans="1:36" ht="15.75" customHeight="1" x14ac:dyDescent="0.3">
      <c r="AD1067" s="721" t="s">
        <v>3178</v>
      </c>
      <c r="AE1067" s="723" t="s">
        <v>852</v>
      </c>
      <c r="AJ1067" s="712"/>
    </row>
    <row r="1068" spans="1:36" ht="15.75" customHeight="1" x14ac:dyDescent="0.3">
      <c r="AD1068" s="721" t="s">
        <v>1907</v>
      </c>
      <c r="AE1068" s="723" t="s">
        <v>3176</v>
      </c>
      <c r="AF1068">
        <f>V1028</f>
        <v>192.33736559139786</v>
      </c>
      <c r="AG1068">
        <f>X1028</f>
        <v>0</v>
      </c>
      <c r="AH1068">
        <f>Y1028</f>
        <v>-16.262096612133437</v>
      </c>
      <c r="AI1068">
        <f>Z1028</f>
        <v>64.408602150537632</v>
      </c>
      <c r="AJ1068" s="712"/>
    </row>
    <row r="1069" spans="1:36" ht="16.5" customHeight="1" x14ac:dyDescent="0.3">
      <c r="AD1069" s="721"/>
      <c r="AE1069" s="723" t="s">
        <v>3175</v>
      </c>
      <c r="AF1069">
        <f>W1028</f>
        <v>45.337365591397848</v>
      </c>
      <c r="AG1069">
        <f>X1028</f>
        <v>0</v>
      </c>
      <c r="AH1069">
        <f>Y1028</f>
        <v>-16.262096612133437</v>
      </c>
      <c r="AI1069">
        <f>Z1028</f>
        <v>64.408602150537632</v>
      </c>
      <c r="AJ1069" s="712"/>
    </row>
    <row r="1070" spans="1:36" ht="15.75" customHeight="1" x14ac:dyDescent="0.3">
      <c r="AD1070" s="721" t="s">
        <v>3178</v>
      </c>
      <c r="AE1070" s="723" t="s">
        <v>852</v>
      </c>
      <c r="AJ1070" s="712"/>
    </row>
    <row r="1071" spans="1:36" ht="16.5" customHeight="1" x14ac:dyDescent="0.3">
      <c r="AD1071" s="721" t="s">
        <v>1908</v>
      </c>
      <c r="AE1071" s="723" t="s">
        <v>3176</v>
      </c>
      <c r="AF1071">
        <f>V1029</f>
        <v>190.49731182795699</v>
      </c>
      <c r="AG1071">
        <f>X1029</f>
        <v>0</v>
      </c>
      <c r="AH1071">
        <f>Y1029</f>
        <v>-11.992837878271379</v>
      </c>
      <c r="AI1071">
        <f>Z1029</f>
        <v>63.659946236559129</v>
      </c>
      <c r="AJ1071" s="712"/>
    </row>
    <row r="1072" spans="1:36" ht="15.75" customHeight="1" x14ac:dyDescent="0.3">
      <c r="AD1072" s="721"/>
      <c r="AE1072" s="723" t="s">
        <v>3175</v>
      </c>
      <c r="AF1072">
        <f>W1029</f>
        <v>43.497311827956992</v>
      </c>
      <c r="AG1072">
        <f>X1029</f>
        <v>0</v>
      </c>
      <c r="AH1072">
        <f>Y1029</f>
        <v>-11.992837878271379</v>
      </c>
      <c r="AI1072">
        <f>Z1029</f>
        <v>63.659946236559129</v>
      </c>
      <c r="AJ1072" s="712"/>
    </row>
    <row r="1073" spans="1:36" ht="15.75" customHeight="1" x14ac:dyDescent="0.3">
      <c r="AD1073" s="721" t="s">
        <v>3178</v>
      </c>
      <c r="AE1073" s="723" t="s">
        <v>852</v>
      </c>
      <c r="AJ1073" s="712"/>
    </row>
    <row r="1074" spans="1:36" ht="15.75" customHeight="1" x14ac:dyDescent="0.3">
      <c r="AD1074" s="721" t="s">
        <v>3177</v>
      </c>
      <c r="AE1074" s="723" t="s">
        <v>3176</v>
      </c>
      <c r="AF1074">
        <f>V1030</f>
        <v>329.68888888888887</v>
      </c>
      <c r="AG1074">
        <f>X1030</f>
        <v>2.2732274699326704</v>
      </c>
      <c r="AH1074">
        <f>Y1030</f>
        <v>-1.925969081471316</v>
      </c>
      <c r="AI1074">
        <f>Z1030</f>
        <v>54.67916666666666</v>
      </c>
      <c r="AJ1074" s="712"/>
    </row>
    <row r="1075" spans="1:36" ht="15.75" customHeight="1" x14ac:dyDescent="0.3">
      <c r="AD1075" s="721"/>
      <c r="AE1075" s="723" t="s">
        <v>3175</v>
      </c>
      <c r="AF1075">
        <f>W1030</f>
        <v>84.688888888888883</v>
      </c>
      <c r="AG1075">
        <f>X1030</f>
        <v>2.2732274699326704</v>
      </c>
      <c r="AH1075">
        <f>Y1030</f>
        <v>-1.925969081471316</v>
      </c>
      <c r="AI1075">
        <f>Z1030</f>
        <v>54.67916666666666</v>
      </c>
      <c r="AJ1075" s="712"/>
    </row>
    <row r="1076" spans="1:36" ht="15.75" customHeight="1" x14ac:dyDescent="0.3">
      <c r="I1076" s="139"/>
      <c r="J1076" s="139"/>
      <c r="AD1076" s="721" t="s">
        <v>3178</v>
      </c>
      <c r="AE1076" s="723" t="s">
        <v>852</v>
      </c>
      <c r="AJ1076" s="712"/>
    </row>
    <row r="1077" spans="1:36" ht="15.75" customHeight="1" x14ac:dyDescent="0.3">
      <c r="AD1077" s="721" t="s">
        <v>2353</v>
      </c>
      <c r="AE1077" s="723" t="s">
        <v>3176</v>
      </c>
      <c r="AF1077">
        <f>V1031</f>
        <v>325.38172043010752</v>
      </c>
      <c r="AG1077">
        <f>X1031</f>
        <v>10.703817748776331</v>
      </c>
      <c r="AH1077">
        <f>Y1031</f>
        <v>0</v>
      </c>
      <c r="AI1077">
        <f>Z1031</f>
        <v>24.803763440860219</v>
      </c>
      <c r="AJ1077" s="712"/>
    </row>
    <row r="1078" spans="1:36" ht="15.75" customHeight="1" x14ac:dyDescent="0.3">
      <c r="AD1078" s="721"/>
      <c r="AE1078" s="723" t="s">
        <v>3175</v>
      </c>
      <c r="AF1078">
        <f>W1031</f>
        <v>80.381720430107521</v>
      </c>
      <c r="AG1078">
        <f>X1031</f>
        <v>10.703817748776331</v>
      </c>
      <c r="AH1078">
        <f>Y1031</f>
        <v>0</v>
      </c>
      <c r="AI1078">
        <f>Z1031</f>
        <v>24.803763440860219</v>
      </c>
      <c r="AJ1078" s="712"/>
    </row>
    <row r="1079" spans="1:36" ht="15.75" customHeight="1" x14ac:dyDescent="0.3">
      <c r="AD1079" s="721" t="s">
        <v>3178</v>
      </c>
      <c r="AE1079" s="723" t="s">
        <v>852</v>
      </c>
      <c r="AJ1079" s="712"/>
    </row>
    <row r="1080" spans="1:36" ht="15.75" customHeight="1" x14ac:dyDescent="0.3">
      <c r="AD1080" s="721" t="s">
        <v>2354</v>
      </c>
      <c r="AE1080" s="723" t="s">
        <v>3176</v>
      </c>
      <c r="AF1080">
        <f>V1032</f>
        <v>326.8458333333333</v>
      </c>
      <c r="AG1080">
        <f>X1032</f>
        <v>17.281595364840303</v>
      </c>
      <c r="AH1080">
        <f>Y1032</f>
        <v>0</v>
      </c>
      <c r="AI1080">
        <f>Z1032</f>
        <v>9.5527777777777771</v>
      </c>
      <c r="AJ1080" s="712"/>
    </row>
    <row r="1081" spans="1:36" ht="15.75" customHeight="1" x14ac:dyDescent="0.3">
      <c r="AD1081" s="721"/>
      <c r="AE1081" s="723" t="s">
        <v>3175</v>
      </c>
      <c r="AF1081">
        <f>W1032</f>
        <v>81.845833333333331</v>
      </c>
      <c r="AG1081">
        <f>X1032</f>
        <v>17.281595364840303</v>
      </c>
      <c r="AH1081">
        <f>Y1032</f>
        <v>0</v>
      </c>
      <c r="AI1081">
        <f>Z1032</f>
        <v>9.5527777777777771</v>
      </c>
      <c r="AJ1081" s="712"/>
    </row>
    <row r="1082" spans="1:36" ht="15.75" customHeight="1" x14ac:dyDescent="0.3">
      <c r="AD1082" s="721" t="s">
        <v>3178</v>
      </c>
      <c r="AE1082" s="723" t="s">
        <v>852</v>
      </c>
      <c r="AJ1082" s="712"/>
    </row>
    <row r="1083" spans="1:36" ht="15.75" customHeight="1" thickBot="1" x14ac:dyDescent="0.35">
      <c r="AD1083" s="721" t="s">
        <v>2355</v>
      </c>
      <c r="AE1083" s="723" t="s">
        <v>3176</v>
      </c>
      <c r="AF1083">
        <f>V1033</f>
        <v>333.10483870967744</v>
      </c>
      <c r="AG1083">
        <f>X1033</f>
        <v>18.968240741057965</v>
      </c>
      <c r="AH1083">
        <f>Y1033</f>
        <v>-1.3631211010251569E-2</v>
      </c>
      <c r="AI1083">
        <f>Z1033</f>
        <v>24.081989247311828</v>
      </c>
      <c r="AJ1083" s="712"/>
    </row>
    <row r="1084" spans="1:36" ht="15.75" customHeight="1" x14ac:dyDescent="0.35">
      <c r="A1084" s="546"/>
      <c r="B1084" s="547"/>
      <c r="C1084" s="566"/>
      <c r="D1084" s="566"/>
      <c r="E1084" s="566"/>
      <c r="F1084" s="566"/>
      <c r="G1084" s="566"/>
      <c r="H1084" s="549" t="s">
        <v>1623</v>
      </c>
      <c r="I1084" s="547"/>
      <c r="J1084" s="547"/>
      <c r="K1084" s="547"/>
      <c r="L1084" s="547"/>
      <c r="M1084" s="547"/>
      <c r="N1084" s="547"/>
      <c r="O1084" s="547"/>
      <c r="P1084" s="547"/>
      <c r="Q1084" s="678" t="str">
        <f>+Q1</f>
        <v xml:space="preserve">PRINTED:  </v>
      </c>
      <c r="R1084" s="682">
        <f ca="1">+R1</f>
        <v>44881.729634027775</v>
      </c>
      <c r="S1084" s="560"/>
      <c r="AD1084" s="721"/>
      <c r="AE1084" s="723" t="s">
        <v>3175</v>
      </c>
      <c r="AF1084">
        <f>W1033</f>
        <v>88.104838709677423</v>
      </c>
      <c r="AG1084">
        <f>X1033</f>
        <v>18.968240741057965</v>
      </c>
      <c r="AH1084">
        <f>Y1033</f>
        <v>-1.3631211010251569E-2</v>
      </c>
      <c r="AI1084">
        <f>Z1033</f>
        <v>24.081989247311828</v>
      </c>
      <c r="AJ1084" s="712"/>
    </row>
    <row r="1085" spans="1:36" ht="15.75" customHeight="1" thickBot="1" x14ac:dyDescent="0.4">
      <c r="A1085" s="551"/>
      <c r="B1085" s="67"/>
      <c r="C1085" s="215"/>
      <c r="D1085" s="215"/>
      <c r="E1085" s="215"/>
      <c r="F1085" s="215"/>
      <c r="G1085" s="215"/>
      <c r="H1085" s="67" t="s">
        <v>2435</v>
      </c>
      <c r="I1085" s="67" t="s">
        <v>852</v>
      </c>
      <c r="J1085" s="69" t="str">
        <f>+A8</f>
        <v>Revised:  1/18/2018</v>
      </c>
      <c r="K1085" s="67"/>
      <c r="L1085" s="67"/>
      <c r="M1085" s="67"/>
      <c r="N1085" s="67"/>
      <c r="O1085" s="67"/>
      <c r="P1085" s="67"/>
      <c r="Q1085" s="67"/>
      <c r="R1085" s="67"/>
      <c r="S1085" s="561"/>
      <c r="AD1085" s="722" t="s">
        <v>3178</v>
      </c>
      <c r="AE1085" s="724" t="s">
        <v>852</v>
      </c>
      <c r="AF1085" s="581"/>
      <c r="AG1085" s="581"/>
      <c r="AH1085" s="581"/>
      <c r="AI1085" s="581"/>
      <c r="AJ1085" s="565"/>
    </row>
    <row r="1086" spans="1:36" ht="15.75" customHeight="1" x14ac:dyDescent="0.35">
      <c r="A1086" s="551"/>
      <c r="B1086" s="67"/>
      <c r="C1086" s="215"/>
      <c r="D1086" s="215"/>
      <c r="E1086" s="215"/>
      <c r="F1086" s="215"/>
      <c r="G1086" s="215"/>
      <c r="H1086" s="67" t="s">
        <v>2126</v>
      </c>
      <c r="I1086" s="67"/>
      <c r="J1086" s="67"/>
      <c r="K1086" s="67"/>
      <c r="L1086" s="67"/>
      <c r="M1086" s="67"/>
      <c r="N1086" s="67"/>
      <c r="O1086" s="67"/>
      <c r="P1086" s="67"/>
      <c r="Q1086" s="67"/>
      <c r="R1086" s="67"/>
      <c r="S1086" s="561"/>
    </row>
    <row r="1087" spans="1:36" ht="15.75" customHeight="1" x14ac:dyDescent="0.35">
      <c r="A1087" s="551"/>
      <c r="B1087" s="67"/>
      <c r="C1087" s="215"/>
      <c r="D1087" s="215"/>
      <c r="E1087" s="215"/>
      <c r="F1087" s="215"/>
      <c r="G1087" s="215"/>
      <c r="H1087" s="67"/>
      <c r="I1087" s="67"/>
      <c r="J1087" s="67"/>
      <c r="K1087" s="67"/>
      <c r="L1087" s="67"/>
      <c r="M1087" s="67"/>
      <c r="N1087" s="67"/>
      <c r="O1087" s="67"/>
      <c r="P1087" s="67"/>
      <c r="Q1087" s="67"/>
      <c r="R1087" s="67"/>
      <c r="S1087" s="561"/>
    </row>
    <row r="1088" spans="1:36" ht="15.75" customHeight="1" x14ac:dyDescent="0.35">
      <c r="A1088" s="551"/>
      <c r="B1088" s="67"/>
      <c r="C1088" s="215"/>
      <c r="D1088" s="215"/>
      <c r="E1088" s="215"/>
      <c r="F1088" s="215"/>
      <c r="G1088" s="215"/>
      <c r="H1088" s="67" t="s">
        <v>2435</v>
      </c>
      <c r="I1088" s="676">
        <f>+A5</f>
        <v>2017</v>
      </c>
      <c r="J1088" s="67"/>
      <c r="K1088" s="67"/>
      <c r="L1088" s="67"/>
      <c r="M1088" s="67"/>
      <c r="N1088" s="67"/>
      <c r="O1088" s="67"/>
      <c r="P1088" s="67"/>
      <c r="Q1088" s="67"/>
      <c r="R1088" s="67"/>
      <c r="S1088" s="561"/>
    </row>
    <row r="1089" spans="1:19" ht="15.75" customHeight="1" x14ac:dyDescent="0.3">
      <c r="A1089" s="551"/>
      <c r="B1089" s="67"/>
      <c r="C1089" s="67"/>
      <c r="D1089" s="67"/>
      <c r="E1089" s="67"/>
      <c r="F1089" s="67"/>
      <c r="G1089" s="67"/>
      <c r="H1089" s="67"/>
      <c r="I1089" s="67"/>
      <c r="J1089" s="67"/>
      <c r="K1089" s="67"/>
      <c r="L1089" s="67"/>
      <c r="M1089" s="67"/>
      <c r="N1089" s="67"/>
      <c r="O1089" s="67"/>
      <c r="P1089" s="67"/>
      <c r="Q1089" s="67"/>
      <c r="R1089" s="67"/>
      <c r="S1089" s="561"/>
    </row>
    <row r="1090" spans="1:19" ht="15.75" customHeight="1" x14ac:dyDescent="0.3">
      <c r="A1090" s="551"/>
      <c r="B1090" s="67"/>
      <c r="C1090" s="71" t="s">
        <v>1442</v>
      </c>
      <c r="D1090" s="67"/>
      <c r="E1090" s="67"/>
      <c r="F1090" s="67"/>
      <c r="G1090" s="71" t="s">
        <v>1409</v>
      </c>
      <c r="H1090" s="67"/>
      <c r="I1090" s="67"/>
      <c r="J1090" s="67"/>
      <c r="K1090" s="68" t="s">
        <v>234</v>
      </c>
      <c r="L1090" s="67"/>
      <c r="M1090" s="67"/>
      <c r="N1090" s="67"/>
      <c r="O1090" s="68" t="s">
        <v>1701</v>
      </c>
      <c r="P1090" s="67"/>
      <c r="Q1090" s="67"/>
      <c r="R1090" s="67"/>
      <c r="S1090" s="561"/>
    </row>
    <row r="1091" spans="1:19" ht="15.75" customHeight="1" x14ac:dyDescent="0.3">
      <c r="A1091" s="551"/>
      <c r="B1091" s="67"/>
      <c r="C1091" s="67">
        <f>+A5</f>
        <v>2017</v>
      </c>
      <c r="D1091" s="67"/>
      <c r="E1091" s="67"/>
      <c r="F1091" s="67" t="s">
        <v>2415</v>
      </c>
      <c r="G1091" s="67"/>
      <c r="H1091" s="67"/>
      <c r="I1091" s="67"/>
      <c r="J1091" s="67"/>
      <c r="K1091" s="67">
        <f>+A5</f>
        <v>2017</v>
      </c>
      <c r="L1091" s="67"/>
      <c r="M1091" s="67"/>
      <c r="N1091" s="67"/>
      <c r="O1091" s="67">
        <f>+A5</f>
        <v>2017</v>
      </c>
      <c r="P1091" s="67"/>
      <c r="Q1091" s="67"/>
      <c r="R1091" s="67"/>
      <c r="S1091" s="561"/>
    </row>
    <row r="1092" spans="1:19" ht="15.75" customHeight="1" x14ac:dyDescent="0.3">
      <c r="A1092" s="551"/>
      <c r="B1092" s="67"/>
      <c r="C1092" s="67"/>
      <c r="D1092" s="67"/>
      <c r="E1092" s="67"/>
      <c r="F1092" s="67"/>
      <c r="G1092" s="67">
        <f>+A5</f>
        <v>2017</v>
      </c>
      <c r="H1092" s="67"/>
      <c r="I1092" s="67"/>
      <c r="J1092" s="67"/>
      <c r="K1092" s="67"/>
      <c r="L1092" s="67"/>
      <c r="M1092" s="67"/>
      <c r="N1092" s="67"/>
      <c r="O1092" s="67"/>
      <c r="P1092" s="67"/>
      <c r="Q1092" s="67"/>
      <c r="R1092" s="67"/>
      <c r="S1092" s="561"/>
    </row>
    <row r="1093" spans="1:19" ht="15.75" customHeight="1" x14ac:dyDescent="0.3">
      <c r="A1093" s="551"/>
      <c r="B1093" s="67"/>
      <c r="C1093" s="70" t="s">
        <v>1413</v>
      </c>
      <c r="D1093" s="70" t="s">
        <v>31</v>
      </c>
      <c r="E1093" s="70" t="s">
        <v>32</v>
      </c>
      <c r="F1093" s="67"/>
      <c r="G1093" s="70" t="s">
        <v>1412</v>
      </c>
      <c r="H1093" s="70" t="s">
        <v>31</v>
      </c>
      <c r="I1093" s="70" t="s">
        <v>1077</v>
      </c>
      <c r="J1093" s="67"/>
      <c r="K1093" s="70" t="s">
        <v>229</v>
      </c>
      <c r="L1093" s="70" t="s">
        <v>31</v>
      </c>
      <c r="M1093" s="70" t="s">
        <v>1078</v>
      </c>
      <c r="N1093" s="67"/>
      <c r="O1093" s="70" t="s">
        <v>229</v>
      </c>
      <c r="P1093" s="70" t="s">
        <v>31</v>
      </c>
      <c r="Q1093" s="70" t="s">
        <v>1078</v>
      </c>
      <c r="R1093" s="67"/>
      <c r="S1093" s="561"/>
    </row>
    <row r="1094" spans="1:19" ht="15.75" customHeight="1" x14ac:dyDescent="0.3">
      <c r="A1094" s="551"/>
      <c r="B1094" s="67"/>
      <c r="C1094" s="70" t="s">
        <v>429</v>
      </c>
      <c r="D1094" s="70" t="s">
        <v>335</v>
      </c>
      <c r="E1094" s="70" t="s">
        <v>2000</v>
      </c>
      <c r="F1094" s="67"/>
      <c r="G1094" s="70" t="s">
        <v>1318</v>
      </c>
      <c r="H1094" s="70" t="s">
        <v>335</v>
      </c>
      <c r="I1094" s="70" t="s">
        <v>2000</v>
      </c>
      <c r="J1094" s="67"/>
      <c r="K1094" s="70" t="s">
        <v>1180</v>
      </c>
      <c r="L1094" s="70" t="s">
        <v>335</v>
      </c>
      <c r="M1094" s="70" t="s">
        <v>2000</v>
      </c>
      <c r="N1094" s="67"/>
      <c r="O1094" s="70" t="s">
        <v>1180</v>
      </c>
      <c r="P1094" s="70" t="s">
        <v>335</v>
      </c>
      <c r="Q1094" s="70" t="s">
        <v>2000</v>
      </c>
      <c r="R1094" s="67"/>
      <c r="S1094" s="561"/>
    </row>
    <row r="1095" spans="1:19" ht="15.75" customHeight="1" x14ac:dyDescent="0.3">
      <c r="A1095" s="551"/>
      <c r="B1095" s="67"/>
      <c r="C1095" s="70" t="s">
        <v>335</v>
      </c>
      <c r="D1095" s="70" t="s">
        <v>956</v>
      </c>
      <c r="E1095" s="70" t="s">
        <v>242</v>
      </c>
      <c r="F1095" s="67"/>
      <c r="G1095" s="70" t="s">
        <v>134</v>
      </c>
      <c r="H1095" s="70" t="s">
        <v>956</v>
      </c>
      <c r="I1095" s="70" t="s">
        <v>242</v>
      </c>
      <c r="J1095" s="67"/>
      <c r="K1095" s="70" t="s">
        <v>335</v>
      </c>
      <c r="L1095" s="70" t="s">
        <v>956</v>
      </c>
      <c r="M1095" s="70" t="s">
        <v>242</v>
      </c>
      <c r="N1095" s="67"/>
      <c r="O1095" s="70" t="s">
        <v>335</v>
      </c>
      <c r="P1095" s="70" t="s">
        <v>956</v>
      </c>
      <c r="Q1095" s="70" t="s">
        <v>242</v>
      </c>
      <c r="R1095" s="67"/>
      <c r="S1095" s="561"/>
    </row>
    <row r="1096" spans="1:19" ht="15.75" customHeight="1" x14ac:dyDescent="0.3">
      <c r="A1096" s="551"/>
      <c r="B1096" s="67"/>
      <c r="C1096" s="70" t="s">
        <v>932</v>
      </c>
      <c r="D1096" s="70" t="s">
        <v>1917</v>
      </c>
      <c r="E1096" s="70" t="s">
        <v>1481</v>
      </c>
      <c r="F1096" s="67"/>
      <c r="G1096" s="70" t="s">
        <v>932</v>
      </c>
      <c r="H1096" s="70" t="s">
        <v>1917</v>
      </c>
      <c r="I1096" s="70" t="s">
        <v>1481</v>
      </c>
      <c r="J1096" s="67"/>
      <c r="K1096" s="70" t="s">
        <v>932</v>
      </c>
      <c r="L1096" s="70" t="s">
        <v>1917</v>
      </c>
      <c r="M1096" s="70" t="s">
        <v>1481</v>
      </c>
      <c r="N1096" s="67"/>
      <c r="O1096" s="70" t="s">
        <v>932</v>
      </c>
      <c r="P1096" s="70" t="s">
        <v>1917</v>
      </c>
      <c r="Q1096" s="70" t="s">
        <v>1481</v>
      </c>
      <c r="R1096" s="67"/>
      <c r="S1096" s="561"/>
    </row>
    <row r="1097" spans="1:19" ht="15.75" customHeight="1" x14ac:dyDescent="0.3">
      <c r="A1097" s="551"/>
      <c r="B1097" s="67"/>
      <c r="C1097" s="67" t="s">
        <v>1353</v>
      </c>
      <c r="D1097" s="67" t="s">
        <v>1353</v>
      </c>
      <c r="E1097" s="67" t="s">
        <v>1353</v>
      </c>
      <c r="F1097" s="67"/>
      <c r="G1097" s="70" t="s">
        <v>1353</v>
      </c>
      <c r="H1097" s="70" t="s">
        <v>1353</v>
      </c>
      <c r="I1097" s="70" t="s">
        <v>1353</v>
      </c>
      <c r="J1097" s="67"/>
      <c r="K1097" s="67" t="s">
        <v>1353</v>
      </c>
      <c r="L1097" s="67" t="s">
        <v>1353</v>
      </c>
      <c r="M1097" s="67" t="s">
        <v>1353</v>
      </c>
      <c r="N1097" s="67"/>
      <c r="O1097" s="67" t="s">
        <v>1353</v>
      </c>
      <c r="P1097" s="67" t="s">
        <v>1353</v>
      </c>
      <c r="Q1097" s="67" t="s">
        <v>1353</v>
      </c>
      <c r="R1097" s="67"/>
      <c r="S1097" s="561"/>
    </row>
    <row r="1098" spans="1:19" ht="15.75" customHeight="1" x14ac:dyDescent="0.3">
      <c r="A1098" s="553" t="s">
        <v>1354</v>
      </c>
      <c r="B1098" s="67"/>
      <c r="C1098" s="67">
        <f t="shared" ref="C1098:C1109" si="391">(P970)</f>
        <v>0</v>
      </c>
      <c r="D1098" s="72">
        <v>0</v>
      </c>
      <c r="E1098" s="73">
        <f t="shared" ref="E1098:E1109" si="392">(P970*D1098/1000)</f>
        <v>0</v>
      </c>
      <c r="F1098" s="67"/>
      <c r="G1098" s="67">
        <v>0</v>
      </c>
      <c r="H1098" s="72">
        <v>0</v>
      </c>
      <c r="I1098" s="73">
        <f t="shared" ref="I1098:I1109" si="393">(G1098*H1098/1000)</f>
        <v>0</v>
      </c>
      <c r="J1098" s="67"/>
      <c r="K1098" s="589">
        <v>11848</v>
      </c>
      <c r="L1098" s="590">
        <v>0</v>
      </c>
      <c r="M1098" s="73">
        <f t="shared" ref="M1098:M1109" si="394">(K1098*L1098/1000)</f>
        <v>0</v>
      </c>
      <c r="N1098" s="67"/>
      <c r="O1098" s="589">
        <v>0</v>
      </c>
      <c r="P1098" s="72">
        <v>0</v>
      </c>
      <c r="Q1098" s="73">
        <f t="shared" ref="Q1098:Q1109" si="395">(O1098*P1098/1000)</f>
        <v>0</v>
      </c>
      <c r="R1098" s="67"/>
      <c r="S1098" s="561"/>
    </row>
    <row r="1099" spans="1:19" ht="15.75" customHeight="1" x14ac:dyDescent="0.3">
      <c r="A1099" s="553" t="s">
        <v>706</v>
      </c>
      <c r="B1099" s="67"/>
      <c r="C1099" s="67">
        <f t="shared" si="391"/>
        <v>0.35</v>
      </c>
      <c r="D1099" s="72">
        <v>0</v>
      </c>
      <c r="E1099" s="73">
        <f t="shared" si="392"/>
        <v>0</v>
      </c>
      <c r="F1099" s="67"/>
      <c r="G1099" s="67" t="e">
        <f>#REF!</f>
        <v>#REF!</v>
      </c>
      <c r="H1099" s="72">
        <v>0</v>
      </c>
      <c r="I1099" s="73" t="e">
        <f t="shared" si="393"/>
        <v>#REF!</v>
      </c>
      <c r="J1099" s="67"/>
      <c r="K1099" s="589">
        <v>11489</v>
      </c>
      <c r="L1099" s="590">
        <v>0</v>
      </c>
      <c r="M1099" s="73">
        <f t="shared" si="394"/>
        <v>0</v>
      </c>
      <c r="N1099" s="67"/>
      <c r="O1099" s="589">
        <v>0</v>
      </c>
      <c r="P1099" s="72">
        <v>0</v>
      </c>
      <c r="Q1099" s="73">
        <f t="shared" si="395"/>
        <v>0</v>
      </c>
      <c r="R1099" s="67"/>
      <c r="S1099" s="561"/>
    </row>
    <row r="1100" spans="1:19" ht="15.75" customHeight="1" x14ac:dyDescent="0.3">
      <c r="A1100" s="553" t="s">
        <v>707</v>
      </c>
      <c r="B1100" s="67"/>
      <c r="C1100" s="67">
        <f t="shared" si="391"/>
        <v>0.33</v>
      </c>
      <c r="D1100" s="72">
        <v>0</v>
      </c>
      <c r="E1100" s="73">
        <f t="shared" si="392"/>
        <v>0</v>
      </c>
      <c r="F1100" s="67">
        <f>SUM(E1098:E1100)</f>
        <v>0</v>
      </c>
      <c r="G1100" s="67" t="e">
        <f>#REF!</f>
        <v>#REF!</v>
      </c>
      <c r="H1100" s="72">
        <v>0</v>
      </c>
      <c r="I1100" s="73" t="e">
        <f t="shared" si="393"/>
        <v>#REF!</v>
      </c>
      <c r="J1100" s="67" t="e">
        <f>SUM(I1098:I1100)</f>
        <v>#REF!</v>
      </c>
      <c r="K1100" s="589">
        <v>16247</v>
      </c>
      <c r="L1100" s="590">
        <v>0</v>
      </c>
      <c r="M1100" s="73">
        <f t="shared" si="394"/>
        <v>0</v>
      </c>
      <c r="N1100" s="67">
        <f>SUM(M1098:M1100)</f>
        <v>0</v>
      </c>
      <c r="O1100" s="589">
        <v>0</v>
      </c>
      <c r="P1100" s="72">
        <v>0</v>
      </c>
      <c r="Q1100" s="73">
        <f t="shared" si="395"/>
        <v>0</v>
      </c>
      <c r="R1100" s="67">
        <f>SUM(Q1098:Q1100)</f>
        <v>0</v>
      </c>
      <c r="S1100" s="561"/>
    </row>
    <row r="1101" spans="1:19" ht="15.75" customHeight="1" x14ac:dyDescent="0.3">
      <c r="A1101" s="553" t="s">
        <v>1321</v>
      </c>
      <c r="B1101" s="67"/>
      <c r="C1101" s="67">
        <f t="shared" si="391"/>
        <v>0.3</v>
      </c>
      <c r="D1101" s="72">
        <v>0</v>
      </c>
      <c r="E1101" s="73">
        <f t="shared" si="392"/>
        <v>0</v>
      </c>
      <c r="F1101" s="67"/>
      <c r="G1101" s="67" t="e">
        <f>#REF!</f>
        <v>#REF!</v>
      </c>
      <c r="H1101" s="72">
        <v>0</v>
      </c>
      <c r="I1101" s="73" t="e">
        <f t="shared" si="393"/>
        <v>#REF!</v>
      </c>
      <c r="J1101" s="67"/>
      <c r="K1101" s="589">
        <v>17740</v>
      </c>
      <c r="L1101" s="590">
        <v>0</v>
      </c>
      <c r="M1101" s="73">
        <f t="shared" si="394"/>
        <v>0</v>
      </c>
      <c r="N1101" s="67"/>
      <c r="O1101" s="589">
        <v>0</v>
      </c>
      <c r="P1101" s="72">
        <v>0</v>
      </c>
      <c r="Q1101" s="73">
        <f t="shared" si="395"/>
        <v>0</v>
      </c>
      <c r="R1101" s="67"/>
      <c r="S1101" s="561"/>
    </row>
    <row r="1102" spans="1:19" ht="15.75" customHeight="1" x14ac:dyDescent="0.3">
      <c r="A1102" s="553" t="s">
        <v>1905</v>
      </c>
      <c r="B1102" s="67"/>
      <c r="C1102" s="67">
        <f t="shared" si="391"/>
        <v>0.09</v>
      </c>
      <c r="D1102" s="72">
        <v>0</v>
      </c>
      <c r="E1102" s="73">
        <f t="shared" si="392"/>
        <v>0</v>
      </c>
      <c r="F1102" s="67"/>
      <c r="G1102" s="67" t="e">
        <f>#REF!</f>
        <v>#REF!</v>
      </c>
      <c r="H1102" s="72">
        <v>0</v>
      </c>
      <c r="I1102" s="73" t="e">
        <f t="shared" si="393"/>
        <v>#REF!</v>
      </c>
      <c r="J1102" s="67"/>
      <c r="K1102" s="589">
        <v>15434</v>
      </c>
      <c r="L1102" s="590">
        <v>0</v>
      </c>
      <c r="M1102" s="73">
        <f t="shared" si="394"/>
        <v>0</v>
      </c>
      <c r="N1102" s="67"/>
      <c r="O1102" s="589">
        <v>0</v>
      </c>
      <c r="P1102" s="72">
        <v>0</v>
      </c>
      <c r="Q1102" s="73">
        <f t="shared" si="395"/>
        <v>0</v>
      </c>
      <c r="R1102" s="67"/>
      <c r="S1102" s="561"/>
    </row>
    <row r="1103" spans="1:19" ht="15.75" customHeight="1" x14ac:dyDescent="0.3">
      <c r="A1103" s="553" t="s">
        <v>1906</v>
      </c>
      <c r="B1103" s="67"/>
      <c r="C1103" s="67">
        <f t="shared" si="391"/>
        <v>7.0000000000000007E-2</v>
      </c>
      <c r="D1103" s="72">
        <v>0</v>
      </c>
      <c r="E1103" s="73">
        <f t="shared" si="392"/>
        <v>0</v>
      </c>
      <c r="F1103" s="67">
        <f>SUM(E1101:E1103)</f>
        <v>0</v>
      </c>
      <c r="G1103" s="67" t="e">
        <f>#REF!</f>
        <v>#REF!</v>
      </c>
      <c r="H1103" s="72">
        <v>0</v>
      </c>
      <c r="I1103" s="73" t="e">
        <f t="shared" si="393"/>
        <v>#REF!</v>
      </c>
      <c r="J1103" s="67" t="e">
        <f>SUM(I1101:I1103)</f>
        <v>#REF!</v>
      </c>
      <c r="K1103" s="589">
        <v>14355</v>
      </c>
      <c r="L1103" s="590">
        <v>0</v>
      </c>
      <c r="M1103" s="73">
        <f t="shared" si="394"/>
        <v>0</v>
      </c>
      <c r="N1103" s="67">
        <f>SUM(M1101:M1103)</f>
        <v>0</v>
      </c>
      <c r="O1103" s="589">
        <v>0</v>
      </c>
      <c r="P1103" s="72">
        <v>0</v>
      </c>
      <c r="Q1103" s="73">
        <f t="shared" si="395"/>
        <v>0</v>
      </c>
      <c r="R1103" s="67">
        <f>SUM(Q1101:Q1103)</f>
        <v>0</v>
      </c>
      <c r="S1103" s="561"/>
    </row>
    <row r="1104" spans="1:19" ht="15.75" customHeight="1" x14ac:dyDescent="0.3">
      <c r="A1104" s="553" t="s">
        <v>1907</v>
      </c>
      <c r="B1104" s="67"/>
      <c r="C1104" s="67">
        <f t="shared" si="391"/>
        <v>7.4999999999999997E-2</v>
      </c>
      <c r="D1104" s="72">
        <v>0</v>
      </c>
      <c r="E1104" s="73">
        <f t="shared" si="392"/>
        <v>0</v>
      </c>
      <c r="F1104" s="67"/>
      <c r="G1104" s="67" t="e">
        <f>#REF!</f>
        <v>#REF!</v>
      </c>
      <c r="H1104" s="72">
        <v>0</v>
      </c>
      <c r="I1104" s="73" t="e">
        <f t="shared" si="393"/>
        <v>#REF!</v>
      </c>
      <c r="J1104" s="67"/>
      <c r="K1104" s="589">
        <v>13129</v>
      </c>
      <c r="L1104" s="590">
        <v>0</v>
      </c>
      <c r="M1104" s="73">
        <f t="shared" si="394"/>
        <v>0</v>
      </c>
      <c r="N1104" s="67"/>
      <c r="O1104" s="589">
        <v>0</v>
      </c>
      <c r="P1104" s="72">
        <v>0</v>
      </c>
      <c r="Q1104" s="73">
        <f t="shared" si="395"/>
        <v>0</v>
      </c>
      <c r="R1104" s="67"/>
      <c r="S1104" s="561"/>
    </row>
    <row r="1105" spans="1:19" ht="15.75" customHeight="1" x14ac:dyDescent="0.3">
      <c r="A1105" s="553" t="s">
        <v>1908</v>
      </c>
      <c r="B1105" s="67"/>
      <c r="C1105" s="67">
        <f t="shared" si="391"/>
        <v>7.4999999999999997E-2</v>
      </c>
      <c r="D1105" s="72">
        <v>0</v>
      </c>
      <c r="E1105" s="73">
        <f t="shared" si="392"/>
        <v>0</v>
      </c>
      <c r="F1105" s="67"/>
      <c r="G1105" s="67" t="e">
        <f>#REF!</f>
        <v>#REF!</v>
      </c>
      <c r="H1105" s="72">
        <v>0</v>
      </c>
      <c r="I1105" s="73" t="e">
        <f t="shared" si="393"/>
        <v>#REF!</v>
      </c>
      <c r="J1105" s="67"/>
      <c r="K1105" s="589">
        <v>12545</v>
      </c>
      <c r="L1105" s="590">
        <v>0</v>
      </c>
      <c r="M1105" s="73">
        <f t="shared" si="394"/>
        <v>0</v>
      </c>
      <c r="N1105" s="67"/>
      <c r="O1105" s="589">
        <v>0</v>
      </c>
      <c r="P1105" s="72">
        <v>0</v>
      </c>
      <c r="Q1105" s="73">
        <f t="shared" si="395"/>
        <v>0</v>
      </c>
      <c r="R1105" s="67"/>
      <c r="S1105" s="561"/>
    </row>
    <row r="1106" spans="1:19" ht="15.75" customHeight="1" x14ac:dyDescent="0.3">
      <c r="A1106" s="553" t="s">
        <v>2352</v>
      </c>
      <c r="B1106" s="67"/>
      <c r="C1106" s="67">
        <f t="shared" si="391"/>
        <v>7.4999999999999997E-2</v>
      </c>
      <c r="D1106" s="72">
        <v>0</v>
      </c>
      <c r="E1106" s="73">
        <f t="shared" si="392"/>
        <v>0</v>
      </c>
      <c r="F1106" s="67">
        <f>SUM(E1104:E1106)</f>
        <v>0</v>
      </c>
      <c r="G1106" s="67" t="e">
        <f>#REF!</f>
        <v>#REF!</v>
      </c>
      <c r="H1106" s="72">
        <v>0</v>
      </c>
      <c r="I1106" s="73" t="e">
        <f t="shared" si="393"/>
        <v>#REF!</v>
      </c>
      <c r="J1106" s="67" t="e">
        <f>SUM(I1104:I1106)</f>
        <v>#REF!</v>
      </c>
      <c r="K1106" s="589">
        <v>9350</v>
      </c>
      <c r="L1106" s="590">
        <v>0</v>
      </c>
      <c r="M1106" s="73">
        <f t="shared" si="394"/>
        <v>0</v>
      </c>
      <c r="N1106" s="67">
        <f>SUM(M1104:M1106)</f>
        <v>0</v>
      </c>
      <c r="O1106" s="589">
        <v>0</v>
      </c>
      <c r="P1106" s="72">
        <v>0</v>
      </c>
      <c r="Q1106" s="73">
        <f t="shared" si="395"/>
        <v>0</v>
      </c>
      <c r="R1106" s="67">
        <f>SUM(Q1104:Q1106)</f>
        <v>0</v>
      </c>
      <c r="S1106" s="561"/>
    </row>
    <row r="1107" spans="1:19" ht="15.75" customHeight="1" x14ac:dyDescent="0.3">
      <c r="A1107" s="553" t="s">
        <v>2353</v>
      </c>
      <c r="B1107" s="67"/>
      <c r="C1107" s="67">
        <f t="shared" si="391"/>
        <v>0.3</v>
      </c>
      <c r="D1107" s="72">
        <v>0</v>
      </c>
      <c r="E1107" s="73">
        <f t="shared" si="392"/>
        <v>0</v>
      </c>
      <c r="F1107" s="67"/>
      <c r="G1107" s="67" t="e">
        <f>#REF!</f>
        <v>#REF!</v>
      </c>
      <c r="H1107" s="72">
        <v>0</v>
      </c>
      <c r="I1107" s="73" t="e">
        <f t="shared" si="393"/>
        <v>#REF!</v>
      </c>
      <c r="J1107" s="67"/>
      <c r="K1107" s="589">
        <v>11649</v>
      </c>
      <c r="L1107" s="590">
        <v>0</v>
      </c>
      <c r="M1107" s="73">
        <f t="shared" si="394"/>
        <v>0</v>
      </c>
      <c r="N1107" s="67"/>
      <c r="O1107" s="589">
        <v>0</v>
      </c>
      <c r="P1107" s="72">
        <v>0</v>
      </c>
      <c r="Q1107" s="73">
        <f t="shared" si="395"/>
        <v>0</v>
      </c>
      <c r="R1107" s="67"/>
      <c r="S1107" s="561"/>
    </row>
    <row r="1108" spans="1:19" ht="15.75" customHeight="1" x14ac:dyDescent="0.3">
      <c r="A1108" s="553" t="s">
        <v>2354</v>
      </c>
      <c r="B1108" s="67"/>
      <c r="C1108" s="67">
        <f t="shared" si="391"/>
        <v>0.3</v>
      </c>
      <c r="D1108" s="72">
        <v>0</v>
      </c>
      <c r="E1108" s="73">
        <f t="shared" si="392"/>
        <v>0</v>
      </c>
      <c r="F1108" s="67"/>
      <c r="G1108" s="67" t="e">
        <f>#REF!</f>
        <v>#REF!</v>
      </c>
      <c r="H1108" s="72">
        <v>0</v>
      </c>
      <c r="I1108" s="73" t="e">
        <f t="shared" si="393"/>
        <v>#REF!</v>
      </c>
      <c r="J1108" s="67"/>
      <c r="K1108" s="589">
        <v>8035</v>
      </c>
      <c r="L1108" s="590">
        <v>0</v>
      </c>
      <c r="M1108" s="73">
        <f t="shared" si="394"/>
        <v>0</v>
      </c>
      <c r="N1108" s="67"/>
      <c r="O1108" s="589">
        <v>0</v>
      </c>
      <c r="P1108" s="72">
        <v>0</v>
      </c>
      <c r="Q1108" s="73">
        <f t="shared" si="395"/>
        <v>0</v>
      </c>
      <c r="R1108" s="67"/>
      <c r="S1108" s="561"/>
    </row>
    <row r="1109" spans="1:19" ht="15.75" customHeight="1" x14ac:dyDescent="0.3">
      <c r="A1109" s="553" t="s">
        <v>2355</v>
      </c>
      <c r="B1109" s="67"/>
      <c r="C1109" s="67">
        <f t="shared" si="391"/>
        <v>0.3</v>
      </c>
      <c r="D1109" s="72">
        <v>0</v>
      </c>
      <c r="E1109" s="73">
        <f t="shared" si="392"/>
        <v>0</v>
      </c>
      <c r="F1109" s="67">
        <f>SUM(E1107:E1109)</f>
        <v>0</v>
      </c>
      <c r="G1109" s="67" t="e">
        <f>#REF!</f>
        <v>#REF!</v>
      </c>
      <c r="H1109" s="72">
        <v>0</v>
      </c>
      <c r="I1109" s="73" t="e">
        <f t="shared" si="393"/>
        <v>#REF!</v>
      </c>
      <c r="J1109" s="67" t="e">
        <f>SUM(I1107:I1109)</f>
        <v>#REF!</v>
      </c>
      <c r="K1109" s="589">
        <v>8092</v>
      </c>
      <c r="L1109" s="590">
        <v>0</v>
      </c>
      <c r="M1109" s="73">
        <f t="shared" si="394"/>
        <v>0</v>
      </c>
      <c r="N1109" s="67">
        <f>SUM(M1107:M1109)</f>
        <v>0</v>
      </c>
      <c r="O1109" s="589">
        <v>0</v>
      </c>
      <c r="P1109" s="72">
        <v>0</v>
      </c>
      <c r="Q1109" s="73">
        <f t="shared" si="395"/>
        <v>0</v>
      </c>
      <c r="R1109" s="67">
        <f>SUM(Q1107:Q1109)</f>
        <v>0</v>
      </c>
      <c r="S1109" s="561"/>
    </row>
    <row r="1110" spans="1:19" ht="15.75" customHeight="1" x14ac:dyDescent="0.3">
      <c r="A1110" s="551"/>
      <c r="B1110" s="67"/>
      <c r="C1110" s="67"/>
      <c r="D1110" s="67"/>
      <c r="E1110" s="67"/>
      <c r="F1110" s="67"/>
      <c r="G1110" s="67"/>
      <c r="H1110" s="67"/>
      <c r="I1110" s="67"/>
      <c r="J1110" s="67"/>
      <c r="K1110" s="67"/>
      <c r="L1110" s="67"/>
      <c r="M1110" s="67"/>
      <c r="N1110" s="67"/>
      <c r="O1110" s="67"/>
      <c r="P1110" s="67"/>
      <c r="Q1110" s="67"/>
      <c r="R1110" s="67"/>
      <c r="S1110" s="561"/>
    </row>
    <row r="1111" spans="1:19" ht="15.75" customHeight="1" x14ac:dyDescent="0.3">
      <c r="A1111" s="551"/>
      <c r="B1111" s="67"/>
      <c r="C1111" s="67"/>
      <c r="D1111" s="67"/>
      <c r="E1111" s="67"/>
      <c r="F1111" s="67"/>
      <c r="G1111" s="67"/>
      <c r="H1111" s="67"/>
      <c r="I1111" s="67"/>
      <c r="J1111" s="67"/>
      <c r="K1111" s="67"/>
      <c r="L1111" s="67"/>
      <c r="M1111" s="67"/>
      <c r="N1111" s="67"/>
      <c r="O1111" s="67"/>
      <c r="P1111" s="67"/>
      <c r="Q1111" s="67"/>
      <c r="R1111" s="67"/>
      <c r="S1111" s="561"/>
    </row>
    <row r="1112" spans="1:19" ht="16.5" customHeight="1" thickBot="1" x14ac:dyDescent="0.35">
      <c r="A1112" s="554" t="s">
        <v>2356</v>
      </c>
      <c r="B1112" s="555"/>
      <c r="C1112" s="555">
        <f>SUM(C1098:C1109)</f>
        <v>2.2650000000000001</v>
      </c>
      <c r="D1112" s="555"/>
      <c r="E1112" s="567">
        <f>SUM(E1098:E1109)</f>
        <v>0</v>
      </c>
      <c r="F1112" s="555"/>
      <c r="G1112" s="555" t="e">
        <f>SUM(G1098:G1109)</f>
        <v>#REF!</v>
      </c>
      <c r="H1112" s="555" t="s">
        <v>2435</v>
      </c>
      <c r="I1112" s="567" t="e">
        <f>SUM(I1098:I1109)</f>
        <v>#REF!</v>
      </c>
      <c r="J1112" s="555"/>
      <c r="K1112" s="555">
        <f>SUM(K1098:K1109)</f>
        <v>149913</v>
      </c>
      <c r="L1112" s="555" t="s">
        <v>2435</v>
      </c>
      <c r="M1112" s="567">
        <f>SUM(M1098:M1109)</f>
        <v>0</v>
      </c>
      <c r="N1112" s="555"/>
      <c r="O1112" s="555">
        <f>(SUM(O1098:O1109))</f>
        <v>0</v>
      </c>
      <c r="P1112" s="555" t="s">
        <v>2435</v>
      </c>
      <c r="Q1112" s="567">
        <f>SUM(Q1098:Q1109)</f>
        <v>0</v>
      </c>
      <c r="R1112" s="555"/>
      <c r="S1112" s="565"/>
    </row>
  </sheetData>
  <scenarios current="0">
    <scenario name="Jan" count="1" user="Windows User" comment="Created by Windows User on 4/11/2013">
      <inputCells r="B304" val="57771.3688407242" numFmtId="37"/>
    </scenario>
  </scenarios>
  <autoFilter ref="A31:R873" xr:uid="{00000000-0009-0000-0000-000000000000}"/>
  <mergeCells count="73">
    <mergeCell ref="T1020:U1020"/>
    <mergeCell ref="V1020:W1020"/>
    <mergeCell ref="B1046:L1046"/>
    <mergeCell ref="M1046:P1046"/>
    <mergeCell ref="B1020:D1020"/>
    <mergeCell ref="B1039:P1039"/>
    <mergeCell ref="B1040:P1040"/>
    <mergeCell ref="B1041:P1041"/>
    <mergeCell ref="B1043:P1043"/>
    <mergeCell ref="B1044:P1044"/>
    <mergeCell ref="B1019:P1019"/>
    <mergeCell ref="M965:O965"/>
    <mergeCell ref="AD965:AQ965"/>
    <mergeCell ref="AD966:AQ966"/>
    <mergeCell ref="B990:P990"/>
    <mergeCell ref="B991:F991"/>
    <mergeCell ref="G991:L991"/>
    <mergeCell ref="M992:O992"/>
    <mergeCell ref="B1014:P1014"/>
    <mergeCell ref="B1015:P1015"/>
    <mergeCell ref="B1016:P1016"/>
    <mergeCell ref="B1018:P1018"/>
    <mergeCell ref="M991:R991"/>
    <mergeCell ref="S991:U991"/>
    <mergeCell ref="B962:P962"/>
    <mergeCell ref="AD962:AQ962"/>
    <mergeCell ref="B963:P963"/>
    <mergeCell ref="AD963:AQ963"/>
    <mergeCell ref="B964:F964"/>
    <mergeCell ref="G964:L964"/>
    <mergeCell ref="M964:R964"/>
    <mergeCell ref="S964:U964"/>
    <mergeCell ref="AD961:AQ961"/>
    <mergeCell ref="AD927:AQ927"/>
    <mergeCell ref="AD928:AQ928"/>
    <mergeCell ref="AD930:AQ930"/>
    <mergeCell ref="B931:P931"/>
    <mergeCell ref="AD931:AQ931"/>
    <mergeCell ref="B932:P932"/>
    <mergeCell ref="B933:P933"/>
    <mergeCell ref="B935:P935"/>
    <mergeCell ref="B936:P936"/>
    <mergeCell ref="B960:P960"/>
    <mergeCell ref="B961:P961"/>
    <mergeCell ref="AD926:AQ926"/>
    <mergeCell ref="B877:P877"/>
    <mergeCell ref="B878:P878"/>
    <mergeCell ref="B879:P879"/>
    <mergeCell ref="B880:P880"/>
    <mergeCell ref="B881:P881"/>
    <mergeCell ref="B905:P905"/>
    <mergeCell ref="B906:P906"/>
    <mergeCell ref="B907:P907"/>
    <mergeCell ref="B908:P908"/>
    <mergeCell ref="B909:P909"/>
    <mergeCell ref="B910:P910"/>
    <mergeCell ref="B876:P876"/>
    <mergeCell ref="A812:R812"/>
    <mergeCell ref="A813:R813"/>
    <mergeCell ref="A814:R814"/>
    <mergeCell ref="A815:R815"/>
    <mergeCell ref="A817:R817"/>
    <mergeCell ref="A853:R853"/>
    <mergeCell ref="A854:R854"/>
    <mergeCell ref="A855:R855"/>
    <mergeCell ref="A856:R856"/>
    <mergeCell ref="A858:R858"/>
    <mergeCell ref="A8:R8"/>
    <mergeCell ref="A2:R2"/>
    <mergeCell ref="A3:R3"/>
    <mergeCell ref="A4:R4"/>
    <mergeCell ref="A5:R5"/>
    <mergeCell ref="A6:R6"/>
  </mergeCells>
  <conditionalFormatting sqref="S970:S981 S983">
    <cfRule type="cellIs" dxfId="119" priority="3" operator="lessThan">
      <formula>0</formula>
    </cfRule>
    <cfRule type="cellIs" dxfId="118" priority="4" operator="greaterThan">
      <formula>0</formula>
    </cfRule>
  </conditionalFormatting>
  <conditionalFormatting sqref="S997:S1008">
    <cfRule type="cellIs" dxfId="117" priority="1" operator="lessThan">
      <formula>0</formula>
    </cfRule>
    <cfRule type="cellIs" dxfId="116" priority="2" operator="greaterThan">
      <formula>0</formula>
    </cfRule>
  </conditionalFormatting>
  <printOptions horizontalCentered="1"/>
  <pageMargins left="0.25" right="0.25" top="0.25" bottom="0.25" header="0" footer="0"/>
  <pageSetup paperSize="17" scale="10" orientation="landscape" r:id="rId1"/>
  <headerFooter alignWithMargins="0"/>
  <rowBreaks count="5" manualBreakCount="5">
    <brk id="809" max="17" man="1"/>
    <brk id="849" max="17" man="1"/>
    <brk id="902" max="18" man="1"/>
    <brk id="930" max="18" man="1"/>
    <brk id="898" min="28" max="46"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pageSetUpPr fitToPage="1"/>
  </sheetPr>
  <dimension ref="A1:AX1138"/>
  <sheetViews>
    <sheetView topLeftCell="A305" zoomScale="90" zoomScaleNormal="90" workbookViewId="0">
      <selection activeCell="Q861" sqref="Q861"/>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0" width="10" bestFit="1" customWidth="1"/>
    <col min="11"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2.81640625" customWidth="1"/>
    <col min="20" max="20" width="9.453125" bestFit="1" customWidth="1"/>
    <col min="22" max="22" width="9.90625" customWidth="1"/>
    <col min="23" max="23" width="11.54296875" customWidth="1"/>
    <col min="24" max="24" width="10.54296875" customWidth="1"/>
    <col min="25" max="25" width="11.1796875" customWidth="1"/>
    <col min="26" max="26" width="10.453125" bestFit="1" customWidth="1"/>
    <col min="29" max="29" width="11.54296875" customWidth="1"/>
    <col min="35" max="35" width="9.9062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44881.729634027775</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2018</v>
      </c>
      <c r="B5" s="781"/>
      <c r="C5" s="781"/>
      <c r="D5" s="781"/>
      <c r="E5" s="781"/>
      <c r="F5" s="781"/>
      <c r="G5" s="781"/>
      <c r="H5" s="781"/>
      <c r="I5" s="781"/>
      <c r="J5" s="781"/>
      <c r="K5" s="781"/>
      <c r="L5" s="781"/>
      <c r="M5" s="781"/>
      <c r="N5" s="781"/>
      <c r="O5" s="781"/>
      <c r="P5" s="781"/>
      <c r="Q5" s="781"/>
      <c r="R5" s="781"/>
    </row>
    <row r="6" spans="1:36" ht="19.5" customHeight="1" x14ac:dyDescent="0.35">
      <c r="A6" s="780" t="s">
        <v>3346</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3347</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5.75" hidden="1"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231"/>
      <c r="B12" s="232"/>
      <c r="C12" s="232"/>
      <c r="D12" s="232"/>
      <c r="E12" s="233"/>
      <c r="F12" s="232"/>
      <c r="G12" s="232"/>
      <c r="H12" s="232"/>
      <c r="I12" s="233"/>
      <c r="J12" s="232"/>
      <c r="K12" s="232"/>
      <c r="L12" s="232"/>
      <c r="M12" s="233"/>
      <c r="N12" s="232"/>
      <c r="O12" s="232"/>
      <c r="P12" s="232"/>
      <c r="Q12" s="233"/>
      <c r="R12" s="233"/>
    </row>
    <row r="13" spans="1:36" ht="15.75" customHeight="1" x14ac:dyDescent="0.3">
      <c r="A13" s="234" t="s">
        <v>1277</v>
      </c>
      <c r="B13" s="172">
        <f>+B898</f>
        <v>51650</v>
      </c>
      <c r="C13" s="172">
        <f>+C898</f>
        <v>68105</v>
      </c>
      <c r="D13" s="172">
        <f>+D898</f>
        <v>106974</v>
      </c>
      <c r="E13" s="15">
        <f>SUM(B13:D13)</f>
        <v>226729</v>
      </c>
      <c r="F13" s="172">
        <f>+F898</f>
        <v>159041</v>
      </c>
      <c r="G13" s="172">
        <f>+G898</f>
        <v>171968</v>
      </c>
      <c r="H13" s="172">
        <f>+H898</f>
        <v>194930</v>
      </c>
      <c r="I13" s="15">
        <f t="shared" ref="I13:I19" si="0">SUM(F13:H13)</f>
        <v>525939</v>
      </c>
      <c r="J13" s="172">
        <f>+J898</f>
        <v>198498</v>
      </c>
      <c r="K13" s="172">
        <f>+K898</f>
        <v>174238</v>
      </c>
      <c r="L13" s="172">
        <f>+L898</f>
        <v>144139</v>
      </c>
      <c r="M13" s="15">
        <f t="shared" ref="M13:M20" si="1">SUM(J13:L13)</f>
        <v>516875</v>
      </c>
      <c r="N13" s="172">
        <f>+N898</f>
        <v>75004</v>
      </c>
      <c r="O13" s="172">
        <f>+O898</f>
        <v>74106</v>
      </c>
      <c r="P13" s="172">
        <f>+P898</f>
        <v>60577</v>
      </c>
      <c r="Q13" s="29">
        <f t="shared" ref="Q13:Q19" si="2">SUM(N13:P13)</f>
        <v>209687</v>
      </c>
      <c r="R13" s="15">
        <f t="shared" ref="R13:R20" si="3">+E13+I13+M13+Q13</f>
        <v>1479230</v>
      </c>
      <c r="S13">
        <f>R13-13500</f>
        <v>1465730</v>
      </c>
      <c r="T13">
        <f>+R13-S13</f>
        <v>13500</v>
      </c>
      <c r="V13" s="617"/>
      <c r="W13" s="617"/>
      <c r="X13" s="617"/>
      <c r="Z13" s="617"/>
      <c r="AA13" s="617"/>
      <c r="AB13" s="617"/>
      <c r="AD13" s="617"/>
      <c r="AE13" s="617"/>
      <c r="AF13" s="617"/>
      <c r="AH13" s="617"/>
      <c r="AI13" s="617"/>
      <c r="AJ13" s="617"/>
    </row>
    <row r="14" spans="1:36" ht="15.75" customHeight="1" x14ac:dyDescent="0.3">
      <c r="A14" s="234" t="s">
        <v>1278</v>
      </c>
      <c r="B14" s="172">
        <f>B25+B60+B129+B311+B481+B531+B576+B640+B650+B686+B737+B747+B781+B830</f>
        <v>739</v>
      </c>
      <c r="C14" s="172">
        <f>C25+C60+C129+C311+C481+C531+C576+C640+C650+C686+C737+C747+C781+C830</f>
        <v>1283</v>
      </c>
      <c r="D14" s="172">
        <f>D25+D60+D129+D311+D481+D531+D576+D640+D650+D686+D737+D747+D781+D830</f>
        <v>2185</v>
      </c>
      <c r="E14" s="15">
        <f t="shared" ref="E14:E19" si="4">SUM(B14:D14)</f>
        <v>4207</v>
      </c>
      <c r="F14" s="172">
        <f>F25+F60+F129+F311+F481+F531+F576+F640+F650+F686+F737+F747+F781+F830</f>
        <v>2959</v>
      </c>
      <c r="G14" s="172">
        <f>G25+G60+G129+G311+G481+G531+G576+G640+G650+G686+G737+G747+G781+G830</f>
        <v>3425</v>
      </c>
      <c r="H14" s="172">
        <f>H25+H60+H129+H311+H481+H531+H576+H640+H650+H686+H737+H747+H781+H830</f>
        <v>3464</v>
      </c>
      <c r="I14" s="15">
        <f t="shared" si="0"/>
        <v>9848</v>
      </c>
      <c r="J14" s="172">
        <f>J25+J60+J129+J311+J481+J531+J576+J640+J650+J686+J737+J747+J781+J830</f>
        <v>3382</v>
      </c>
      <c r="K14" s="172">
        <f>K25+K60+K129+K311+K481+K531+K576+K640+K650+K686+K737+K747+K781+K830</f>
        <v>2663</v>
      </c>
      <c r="L14" s="172">
        <f>L25+L60+L129+L311+L481+L531+L576+L640+L650+L686+L737+L747+L781+L830</f>
        <v>2559</v>
      </c>
      <c r="M14" s="15">
        <f t="shared" si="1"/>
        <v>8604</v>
      </c>
      <c r="N14" s="172">
        <f>N25+N60+N129+N311+N481+N531+N576+N640+N650+N686+N737+N747+N781+N830</f>
        <v>2343</v>
      </c>
      <c r="O14" s="172">
        <f>O25+O60+O129+O311+O481+O531+O576+O640+O650+O686+O737+O747+O781+O830</f>
        <v>1892</v>
      </c>
      <c r="P14" s="172">
        <f>P25+P60+P129+P311+P481+P531+P576+P640+P650+P686+P737+P747+P781+P830</f>
        <v>1423</v>
      </c>
      <c r="Q14" s="29">
        <f t="shared" si="2"/>
        <v>5658</v>
      </c>
      <c r="R14" s="15">
        <f t="shared" si="3"/>
        <v>28317</v>
      </c>
    </row>
    <row r="15" spans="1:36" ht="15.75" customHeight="1" x14ac:dyDescent="0.3">
      <c r="A15" s="234" t="s">
        <v>397</v>
      </c>
      <c r="B15" s="172">
        <f>B306</f>
        <v>0</v>
      </c>
      <c r="C15" s="172">
        <f>C306</f>
        <v>1245</v>
      </c>
      <c r="D15" s="172">
        <f>D306</f>
        <v>1376</v>
      </c>
      <c r="E15" s="15">
        <f t="shared" si="4"/>
        <v>2621</v>
      </c>
      <c r="F15" s="172">
        <f>F306</f>
        <v>2992</v>
      </c>
      <c r="G15" s="172">
        <f>G306</f>
        <v>4839</v>
      </c>
      <c r="H15" s="172">
        <f>H306</f>
        <v>3560</v>
      </c>
      <c r="I15" s="15">
        <f t="shared" si="0"/>
        <v>11391</v>
      </c>
      <c r="J15" s="172">
        <f>J306</f>
        <v>3753</v>
      </c>
      <c r="K15" s="172">
        <f>K306</f>
        <v>2162</v>
      </c>
      <c r="L15" s="172">
        <f>L306</f>
        <v>3758</v>
      </c>
      <c r="M15" s="15">
        <f t="shared" si="1"/>
        <v>9673</v>
      </c>
      <c r="N15" s="172">
        <f>N306</f>
        <v>742</v>
      </c>
      <c r="O15" s="172">
        <f>O306</f>
        <v>4368</v>
      </c>
      <c r="P15" s="172">
        <f>P306</f>
        <v>1362</v>
      </c>
      <c r="Q15" s="29">
        <f t="shared" si="2"/>
        <v>6472</v>
      </c>
      <c r="R15" s="15">
        <f t="shared" si="3"/>
        <v>30157</v>
      </c>
    </row>
    <row r="16" spans="1:36" ht="15.75" customHeight="1" x14ac:dyDescent="0.3">
      <c r="A16" s="235" t="s">
        <v>967</v>
      </c>
      <c r="B16" s="172">
        <f>+B307</f>
        <v>0</v>
      </c>
      <c r="C16" s="172">
        <f>+C307</f>
        <v>0</v>
      </c>
      <c r="D16" s="172">
        <f>+D307</f>
        <v>0</v>
      </c>
      <c r="E16" s="15">
        <f t="shared" si="4"/>
        <v>0</v>
      </c>
      <c r="F16" s="172">
        <f>+F307</f>
        <v>0</v>
      </c>
      <c r="G16" s="172">
        <f>+G307</f>
        <v>0</v>
      </c>
      <c r="H16" s="172">
        <f>+H307</f>
        <v>-2984</v>
      </c>
      <c r="I16" s="15">
        <f t="shared" si="0"/>
        <v>-2984</v>
      </c>
      <c r="J16" s="172">
        <f>+J307</f>
        <v>-8893</v>
      </c>
      <c r="K16" s="172">
        <f>+K307</f>
        <v>6441</v>
      </c>
      <c r="L16" s="172">
        <f>+L307</f>
        <v>4836</v>
      </c>
      <c r="M16" s="15">
        <f t="shared" si="1"/>
        <v>2384</v>
      </c>
      <c r="N16" s="172">
        <f>+N307</f>
        <v>2905</v>
      </c>
      <c r="O16" s="172">
        <f>+O307</f>
        <v>10265</v>
      </c>
      <c r="P16" s="172">
        <f>+P307</f>
        <v>6</v>
      </c>
      <c r="Q16" s="29">
        <f t="shared" si="2"/>
        <v>13176</v>
      </c>
      <c r="R16" s="15">
        <f t="shared" si="3"/>
        <v>12576</v>
      </c>
    </row>
    <row r="17" spans="1:20" ht="15.75" customHeight="1" x14ac:dyDescent="0.3">
      <c r="A17" s="236" t="s">
        <v>1176</v>
      </c>
      <c r="B17" s="172">
        <f>B310</f>
        <v>42045</v>
      </c>
      <c r="C17" s="172">
        <f>C310</f>
        <v>51021</v>
      </c>
      <c r="D17" s="172">
        <f>D310</f>
        <v>46045</v>
      </c>
      <c r="E17" s="15">
        <f t="shared" si="4"/>
        <v>139111</v>
      </c>
      <c r="F17" s="172">
        <f>F310</f>
        <v>10279</v>
      </c>
      <c r="G17" s="172">
        <f>G310</f>
        <v>4059</v>
      </c>
      <c r="H17" s="172">
        <f>H310</f>
        <v>0</v>
      </c>
      <c r="I17" s="15">
        <f t="shared" si="0"/>
        <v>14338</v>
      </c>
      <c r="J17" s="172">
        <f>J310</f>
        <v>0</v>
      </c>
      <c r="K17" s="172">
        <f>K310</f>
        <v>0</v>
      </c>
      <c r="L17" s="172">
        <f>L310</f>
        <v>17967</v>
      </c>
      <c r="M17" s="15">
        <f t="shared" si="1"/>
        <v>17967</v>
      </c>
      <c r="N17" s="172">
        <f>N310</f>
        <v>94204</v>
      </c>
      <c r="O17" s="172">
        <f>O310</f>
        <v>80702</v>
      </c>
      <c r="P17" s="172">
        <f>P310</f>
        <v>79076</v>
      </c>
      <c r="Q17" s="29">
        <f t="shared" si="2"/>
        <v>253982</v>
      </c>
      <c r="R17" s="15">
        <f t="shared" si="3"/>
        <v>425398</v>
      </c>
    </row>
    <row r="18" spans="1:20" ht="15.75" customHeight="1" x14ac:dyDescent="0.3">
      <c r="A18" s="236" t="s">
        <v>662</v>
      </c>
      <c r="B18" s="172">
        <f>B322</f>
        <v>-4721</v>
      </c>
      <c r="C18" s="172">
        <f>C322</f>
        <v>-14510</v>
      </c>
      <c r="D18" s="172">
        <f>D322</f>
        <v>-18985</v>
      </c>
      <c r="E18" s="15">
        <f t="shared" si="4"/>
        <v>-38216</v>
      </c>
      <c r="F18" s="172">
        <f>F322</f>
        <v>-6618</v>
      </c>
      <c r="G18" s="172">
        <f>G322</f>
        <v>-4883</v>
      </c>
      <c r="H18" s="172">
        <f>H322</f>
        <v>-106895</v>
      </c>
      <c r="I18" s="15">
        <f t="shared" si="0"/>
        <v>-118396</v>
      </c>
      <c r="J18" s="172">
        <f>J322</f>
        <v>-118035</v>
      </c>
      <c r="K18" s="172">
        <f>K322</f>
        <v>-157144</v>
      </c>
      <c r="L18" s="172">
        <f>L322</f>
        <v>-7983</v>
      </c>
      <c r="M18" s="15">
        <f t="shared" si="1"/>
        <v>-283162</v>
      </c>
      <c r="N18" s="172">
        <f>N322</f>
        <v>0</v>
      </c>
      <c r="O18" s="172">
        <f>O322</f>
        <v>-109</v>
      </c>
      <c r="P18" s="172">
        <f>P322</f>
        <v>0</v>
      </c>
      <c r="Q18" s="29">
        <f t="shared" si="2"/>
        <v>-109</v>
      </c>
      <c r="R18" s="15">
        <f t="shared" si="3"/>
        <v>-439883</v>
      </c>
    </row>
    <row r="19" spans="1:20" ht="16.5" customHeight="1" thickBot="1" x14ac:dyDescent="0.35">
      <c r="A19" s="237" t="s">
        <v>851</v>
      </c>
      <c r="B19" s="238">
        <f>(B29)</f>
        <v>89713</v>
      </c>
      <c r="C19" s="238">
        <f>(C29)</f>
        <v>107144</v>
      </c>
      <c r="D19" s="238">
        <f>(D29)</f>
        <v>137595</v>
      </c>
      <c r="E19" s="16">
        <f t="shared" si="4"/>
        <v>334452</v>
      </c>
      <c r="F19" s="238">
        <f>(F29)</f>
        <v>168653</v>
      </c>
      <c r="G19" s="238">
        <f>(G29)</f>
        <v>179408</v>
      </c>
      <c r="H19" s="238">
        <f>(H29)</f>
        <v>92075</v>
      </c>
      <c r="I19" s="16">
        <f t="shared" si="0"/>
        <v>440136</v>
      </c>
      <c r="J19" s="238">
        <f>(J29)</f>
        <v>78705</v>
      </c>
      <c r="K19" s="238">
        <f>(K29)</f>
        <v>28360</v>
      </c>
      <c r="L19" s="238">
        <f>(L29)</f>
        <v>165276</v>
      </c>
      <c r="M19" s="16">
        <f t="shared" si="1"/>
        <v>272341</v>
      </c>
      <c r="N19" s="238">
        <f>(N29)</f>
        <v>175198</v>
      </c>
      <c r="O19" s="238">
        <f>(O29)</f>
        <v>171224</v>
      </c>
      <c r="P19" s="238">
        <f>(P29)</f>
        <v>142444</v>
      </c>
      <c r="Q19" s="30">
        <f t="shared" si="2"/>
        <v>488866</v>
      </c>
      <c r="R19" s="16">
        <f t="shared" si="3"/>
        <v>1535795</v>
      </c>
    </row>
    <row r="20" spans="1:20" ht="16.5" customHeight="1" thickBot="1" x14ac:dyDescent="0.35">
      <c r="A20" s="237" t="s">
        <v>496</v>
      </c>
      <c r="B20" s="238">
        <v>90163</v>
      </c>
      <c r="C20" s="238">
        <v>109197</v>
      </c>
      <c r="D20" s="238">
        <v>138939</v>
      </c>
      <c r="E20" s="16">
        <f>SUM(B20:D20)</f>
        <v>338299</v>
      </c>
      <c r="F20" s="238">
        <v>168400</v>
      </c>
      <c r="G20" s="238">
        <v>178154</v>
      </c>
      <c r="H20" s="238">
        <v>87984</v>
      </c>
      <c r="I20" s="16">
        <f>SUM(F20:H20)</f>
        <v>434538</v>
      </c>
      <c r="J20" s="238">
        <v>71609</v>
      </c>
      <c r="K20" s="238">
        <v>21609</v>
      </c>
      <c r="L20" s="238">
        <v>164209</v>
      </c>
      <c r="M20" s="16">
        <f t="shared" si="1"/>
        <v>257427</v>
      </c>
      <c r="N20" s="238">
        <v>175602</v>
      </c>
      <c r="O20" s="238">
        <v>173266</v>
      </c>
      <c r="P20" s="238">
        <v>143241</v>
      </c>
      <c r="Q20" s="30">
        <f>SUM(N20:P20)</f>
        <v>492109</v>
      </c>
      <c r="R20" s="16">
        <f t="shared" si="3"/>
        <v>1522373</v>
      </c>
    </row>
    <row r="21" spans="1:20" ht="15.75" customHeight="1" x14ac:dyDescent="0.3">
      <c r="A21" s="172"/>
      <c r="B21" s="172"/>
      <c r="C21" s="172"/>
      <c r="D21" s="172"/>
      <c r="E21" s="172"/>
      <c r="F21" s="172"/>
      <c r="G21" s="172"/>
      <c r="H21" s="172"/>
      <c r="I21" s="172"/>
      <c r="J21" s="172"/>
      <c r="K21" s="172"/>
      <c r="L21" s="172"/>
      <c r="M21" s="172"/>
      <c r="N21" s="172"/>
      <c r="O21" s="172"/>
      <c r="P21" s="172"/>
      <c r="Q21" s="172"/>
      <c r="R21" s="172"/>
    </row>
    <row r="22" spans="1:20" ht="15.75" customHeight="1" thickBot="1" x14ac:dyDescent="0.35">
      <c r="A22" s="172"/>
      <c r="B22" s="172"/>
      <c r="C22" s="172"/>
      <c r="D22" s="172"/>
      <c r="E22" s="172"/>
      <c r="F22" s="239" t="s">
        <v>852</v>
      </c>
      <c r="G22" s="239" t="s">
        <v>852</v>
      </c>
      <c r="H22" s="172"/>
      <c r="I22" s="172"/>
      <c r="J22" s="172"/>
      <c r="K22" s="172"/>
      <c r="L22" s="172"/>
      <c r="M22" s="172"/>
      <c r="N22" s="239" t="s">
        <v>852</v>
      </c>
      <c r="O22" s="239" t="s">
        <v>852</v>
      </c>
      <c r="P22" s="239" t="s">
        <v>852</v>
      </c>
      <c r="Q22" s="239"/>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41"/>
      <c r="B24" s="242"/>
      <c r="C24" s="242"/>
      <c r="D24" s="242"/>
      <c r="E24" s="243"/>
      <c r="F24" s="242"/>
      <c r="G24" s="242"/>
      <c r="H24" s="242"/>
      <c r="I24" s="243"/>
      <c r="J24" s="242"/>
      <c r="K24" s="242"/>
      <c r="L24" s="242"/>
      <c r="M24" s="243"/>
      <c r="N24" s="242"/>
      <c r="O24" s="242"/>
      <c r="P24" s="242"/>
      <c r="Q24" s="243"/>
      <c r="R24" s="19"/>
    </row>
    <row r="25" spans="1:20" ht="16.5" customHeight="1" thickBot="1" x14ac:dyDescent="0.35">
      <c r="A25" s="244" t="s">
        <v>853</v>
      </c>
      <c r="B25" s="238">
        <v>97</v>
      </c>
      <c r="C25" s="238">
        <v>148</v>
      </c>
      <c r="D25" s="238">
        <v>274</v>
      </c>
      <c r="E25" s="14">
        <f>SUM(B25:D25)</f>
        <v>519</v>
      </c>
      <c r="F25" s="238">
        <v>367</v>
      </c>
      <c r="G25" s="238">
        <v>425</v>
      </c>
      <c r="H25" s="238">
        <v>417</v>
      </c>
      <c r="I25" s="14">
        <f>SUM(F25:H25)</f>
        <v>1209</v>
      </c>
      <c r="J25" s="238">
        <v>416</v>
      </c>
      <c r="K25" s="238">
        <v>334</v>
      </c>
      <c r="L25" s="238">
        <v>316</v>
      </c>
      <c r="M25" s="14">
        <f>SUM(J25:L25)</f>
        <v>1066</v>
      </c>
      <c r="N25" s="238">
        <v>285</v>
      </c>
      <c r="O25" s="238">
        <v>235</v>
      </c>
      <c r="P25" s="238">
        <v>186</v>
      </c>
      <c r="Q25" s="14">
        <f>SUM(N25:P25)</f>
        <v>706</v>
      </c>
      <c r="R25" s="16">
        <f>+E25+I25+M25+Q25</f>
        <v>3500</v>
      </c>
    </row>
    <row r="26" spans="1:20" ht="17.25" customHeight="1" thickBot="1" x14ac:dyDescent="0.35">
      <c r="A26" s="22"/>
      <c r="B26" s="242"/>
      <c r="C26" s="242"/>
      <c r="D26" s="242"/>
      <c r="E26" s="21"/>
      <c r="F26" s="242"/>
      <c r="G26" s="242"/>
      <c r="H26" s="242"/>
      <c r="I26" s="21"/>
      <c r="J26" s="242"/>
      <c r="K26" s="242"/>
      <c r="L26" s="242"/>
      <c r="M26" s="21"/>
      <c r="N26" s="242"/>
      <c r="O26" s="242"/>
      <c r="P26" s="242"/>
      <c r="Q26" s="21"/>
      <c r="R26" s="13"/>
    </row>
    <row r="27" spans="1:20" ht="15.75" customHeight="1" x14ac:dyDescent="0.3">
      <c r="A27" s="234" t="s">
        <v>2011</v>
      </c>
      <c r="B27" s="172">
        <f>B25</f>
        <v>97</v>
      </c>
      <c r="C27" s="172">
        <f>C25</f>
        <v>148</v>
      </c>
      <c r="D27" s="172">
        <f>D25</f>
        <v>274</v>
      </c>
      <c r="E27" s="14">
        <f>SUM(B27:D27)</f>
        <v>519</v>
      </c>
      <c r="F27" s="172">
        <f>F25</f>
        <v>367</v>
      </c>
      <c r="G27" s="172">
        <f>G25</f>
        <v>425</v>
      </c>
      <c r="H27" s="172">
        <f>H25</f>
        <v>417</v>
      </c>
      <c r="I27" s="14">
        <f>SUM(F27:H27)</f>
        <v>1209</v>
      </c>
      <c r="J27" s="172">
        <f>J25</f>
        <v>416</v>
      </c>
      <c r="K27" s="172">
        <f>K25</f>
        <v>334</v>
      </c>
      <c r="L27" s="172">
        <f>L25</f>
        <v>316</v>
      </c>
      <c r="M27" s="14">
        <f>SUM(J27:L27)</f>
        <v>1066</v>
      </c>
      <c r="N27" s="172">
        <f>N25</f>
        <v>285</v>
      </c>
      <c r="O27" s="172">
        <f>O25</f>
        <v>235</v>
      </c>
      <c r="P27" s="172">
        <f>P25</f>
        <v>186</v>
      </c>
      <c r="Q27" s="28">
        <f>SUM(N27:P27)</f>
        <v>706</v>
      </c>
      <c r="R27" s="14">
        <f>+E27+I27+M27+Q27</f>
        <v>3500</v>
      </c>
    </row>
    <row r="28" spans="1:20" ht="15.75" customHeight="1" x14ac:dyDescent="0.3">
      <c r="A28" s="234" t="s">
        <v>1897</v>
      </c>
      <c r="B28" s="172">
        <f>(B27/B10)/1.983</f>
        <v>1.5779285214647079</v>
      </c>
      <c r="C28" s="172">
        <f>(C27/C10)/1.983</f>
        <v>2.6655140119587926</v>
      </c>
      <c r="D28" s="172">
        <f>(D27/D10)/1.983</f>
        <v>4.457241390529175</v>
      </c>
      <c r="E28" s="15"/>
      <c r="F28" s="172">
        <f>(F27/F10)/1.983</f>
        <v>6.1691040511010247</v>
      </c>
      <c r="G28" s="172">
        <f>(G27/G10)/1.983</f>
        <v>6.9136043466237203</v>
      </c>
      <c r="H28" s="172">
        <f>(H27/H10)/1.983</f>
        <v>7.0095814422592033</v>
      </c>
      <c r="I28" s="15"/>
      <c r="J28" s="172">
        <f>(J27/J10)/1.983</f>
        <v>6.7671986075187478</v>
      </c>
      <c r="K28" s="172">
        <f>(K27/K10)/1.983</f>
        <v>5.433279651228994</v>
      </c>
      <c r="L28" s="172">
        <f>(L27/L10)/1.983</f>
        <v>5.3118171121196838</v>
      </c>
      <c r="M28" s="15"/>
      <c r="N28" s="172">
        <f>(N27/N10)/1.983</f>
        <v>4.6361817383241419</v>
      </c>
      <c r="O28" s="172">
        <f>(O27/O10)/1.983</f>
        <v>3.9502437384434357</v>
      </c>
      <c r="P28" s="172">
        <f>(P27/P10)/1.983</f>
        <v>3.02571860816944</v>
      </c>
      <c r="Q28" s="29"/>
      <c r="R28" s="15"/>
    </row>
    <row r="29" spans="1:20" ht="15.75" customHeight="1" x14ac:dyDescent="0.3">
      <c r="A29" s="234" t="s">
        <v>1119</v>
      </c>
      <c r="B29" s="172">
        <f>B27+B64</f>
        <v>89713</v>
      </c>
      <c r="C29" s="172">
        <f>C27+C64</f>
        <v>107144</v>
      </c>
      <c r="D29" s="172">
        <f>D27+D64</f>
        <v>137595</v>
      </c>
      <c r="E29" s="15">
        <f>SUM(B29:D29)</f>
        <v>334452</v>
      </c>
      <c r="F29" s="172">
        <f>F27+F64</f>
        <v>168653</v>
      </c>
      <c r="G29" s="172">
        <f>G27+G64</f>
        <v>179408</v>
      </c>
      <c r="H29" s="172">
        <f>H27+H64</f>
        <v>92075</v>
      </c>
      <c r="I29" s="15">
        <f>SUM(F29:H29)</f>
        <v>440136</v>
      </c>
      <c r="J29" s="172">
        <f>J27+J64</f>
        <v>78705</v>
      </c>
      <c r="K29" s="172">
        <f>K27+K64</f>
        <v>28360</v>
      </c>
      <c r="L29" s="172">
        <f>L27+L64</f>
        <v>165276</v>
      </c>
      <c r="M29" s="15">
        <f>SUM(J29:L29)</f>
        <v>272341</v>
      </c>
      <c r="N29" s="172">
        <f>N27+N64</f>
        <v>175198</v>
      </c>
      <c r="O29" s="172">
        <f>O27+O64</f>
        <v>171224</v>
      </c>
      <c r="P29" s="172">
        <f>P27+P64</f>
        <v>142444</v>
      </c>
      <c r="Q29" s="29">
        <f>SUM(N29:P29)</f>
        <v>488866</v>
      </c>
      <c r="R29" s="15">
        <f>+E29+I29+M29+Q29</f>
        <v>1535795</v>
      </c>
    </row>
    <row r="30" spans="1:20" s="574" customFormat="1" ht="16.5" customHeight="1" thickBot="1" x14ac:dyDescent="0.35">
      <c r="A30" s="570" t="s">
        <v>1968</v>
      </c>
      <c r="B30" s="571">
        <f>(B29/B10)/1.983</f>
        <v>1459.388674702715</v>
      </c>
      <c r="C30" s="571">
        <f>(C29/C10)/1.983</f>
        <v>1929.6880628196814</v>
      </c>
      <c r="D30" s="571">
        <f>(D29/D10)/1.983</f>
        <v>2238.2997413498611</v>
      </c>
      <c r="E30" s="572"/>
      <c r="F30" s="571">
        <f>(F29/F10)/1.983</f>
        <v>2834.980669020003</v>
      </c>
      <c r="G30" s="571">
        <f>(G29/G10)/1.983</f>
        <v>2918.4845379272197</v>
      </c>
      <c r="H30" s="571">
        <f>(H29/H10)/1.983</f>
        <v>1547.7391158177843</v>
      </c>
      <c r="I30" s="572"/>
      <c r="J30" s="571">
        <f>(J29/J10)/1.983</f>
        <v>1280.3181884729881</v>
      </c>
      <c r="K30" s="571">
        <f>(K29/K10)/1.983</f>
        <v>461.34075122411463</v>
      </c>
      <c r="L30" s="571">
        <f>(L29/L10)/1.983</f>
        <v>2778.2148260211798</v>
      </c>
      <c r="M30" s="572"/>
      <c r="N30" s="571">
        <f>(N29/N10)/1.983</f>
        <v>2849.9991866347827</v>
      </c>
      <c r="O30" s="571">
        <f>(O29/O10)/1.983</f>
        <v>2878.1980164733563</v>
      </c>
      <c r="P30" s="571">
        <f>(P29/P10)/1.983</f>
        <v>2317.1799001187514</v>
      </c>
      <c r="Q30" s="573"/>
      <c r="R30" s="572"/>
      <c r="T30" s="575" t="s">
        <v>2172</v>
      </c>
    </row>
    <row r="31" spans="1:20" ht="15.75" customHeight="1" x14ac:dyDescent="0.3">
      <c r="A31" s="17"/>
      <c r="B31" s="172"/>
      <c r="C31" s="172"/>
      <c r="D31" s="172"/>
      <c r="E31" s="172"/>
      <c r="F31" s="172"/>
      <c r="G31" s="172"/>
      <c r="H31" s="172"/>
      <c r="I31" s="172"/>
      <c r="J31" s="172"/>
      <c r="K31" s="172"/>
      <c r="L31" s="172"/>
      <c r="M31" s="172"/>
      <c r="N31" s="172"/>
      <c r="O31" s="172"/>
      <c r="P31" s="172"/>
      <c r="Q31" s="172"/>
      <c r="R31" s="17"/>
      <c r="T31" s="350" t="s">
        <v>2173</v>
      </c>
    </row>
    <row r="32" spans="1:20" ht="15.75" customHeight="1" thickBot="1" x14ac:dyDescent="0.35">
      <c r="A32" s="17"/>
      <c r="B32" s="172"/>
      <c r="C32" s="172"/>
      <c r="D32" s="172"/>
      <c r="E32" s="172"/>
      <c r="F32" s="172"/>
      <c r="G32" s="172"/>
      <c r="H32" s="172"/>
      <c r="I32" s="172"/>
      <c r="J32" s="172"/>
      <c r="K32" s="172"/>
      <c r="L32" s="172"/>
      <c r="M32" s="172"/>
      <c r="N32" s="172"/>
      <c r="O32" s="172"/>
      <c r="P32" s="172"/>
      <c r="Q32" s="172"/>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246"/>
      <c r="C34" s="232"/>
      <c r="D34" s="232"/>
      <c r="E34" s="233"/>
      <c r="F34" s="232"/>
      <c r="G34" s="232"/>
      <c r="H34" s="232"/>
      <c r="I34" s="233"/>
      <c r="J34" s="232"/>
      <c r="K34" s="232"/>
      <c r="L34" s="232"/>
      <c r="M34" s="233"/>
      <c r="N34" s="232"/>
      <c r="O34" s="232"/>
      <c r="P34" s="232"/>
      <c r="Q34" s="233"/>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72"/>
      <c r="C38" s="172"/>
      <c r="D38" s="172"/>
      <c r="E38" s="38">
        <f>SUM(B38:D38)</f>
        <v>0</v>
      </c>
      <c r="F38" s="172"/>
      <c r="G38" s="172"/>
      <c r="H38" s="172"/>
      <c r="I38" s="38">
        <f>SUM(F38:H38)</f>
        <v>0</v>
      </c>
      <c r="J38" s="172"/>
      <c r="K38" s="172"/>
      <c r="L38" s="172"/>
      <c r="M38" s="38">
        <f>SUM(J38:L38)</f>
        <v>0</v>
      </c>
      <c r="N38" s="172"/>
      <c r="O38" s="172"/>
      <c r="P38" s="172"/>
      <c r="Q38" s="38">
        <f>SUM(N38:P38)</f>
        <v>0</v>
      </c>
      <c r="R38" s="38">
        <f>+E38+I38+M38+Q38</f>
        <v>0</v>
      </c>
    </row>
    <row r="39" spans="1:18" ht="15.75" customHeight="1" x14ac:dyDescent="0.3">
      <c r="A39" s="235" t="s">
        <v>3245</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72"/>
      <c r="C54" s="172"/>
      <c r="D54" s="172"/>
      <c r="E54" s="38">
        <f>SUM(B54:D54)</f>
        <v>0</v>
      </c>
      <c r="F54" s="172"/>
      <c r="G54" s="172"/>
      <c r="H54" s="172"/>
      <c r="I54" s="38">
        <f>SUM(F54:H54)</f>
        <v>0</v>
      </c>
      <c r="J54" s="172"/>
      <c r="K54" s="172"/>
      <c r="L54" s="172"/>
      <c r="M54" s="38">
        <f>SUM(J54:L54)</f>
        <v>0</v>
      </c>
      <c r="N54" s="172"/>
      <c r="O54" s="172"/>
      <c r="P54" s="172"/>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customHeight="1" thickBot="1" x14ac:dyDescent="0.35">
      <c r="A60" s="250" t="s">
        <v>853</v>
      </c>
      <c r="B60" s="251">
        <v>96</v>
      </c>
      <c r="C60" s="251">
        <v>145</v>
      </c>
      <c r="D60" s="251">
        <v>261</v>
      </c>
      <c r="E60" s="21">
        <f>SUM(B60:D60)</f>
        <v>502</v>
      </c>
      <c r="F60" s="251">
        <v>350</v>
      </c>
      <c r="G60" s="251">
        <v>402</v>
      </c>
      <c r="H60" s="251">
        <v>396</v>
      </c>
      <c r="I60" s="21">
        <f>SUM(F60:H60)</f>
        <v>1148</v>
      </c>
      <c r="J60" s="251">
        <v>394</v>
      </c>
      <c r="K60" s="251">
        <v>318</v>
      </c>
      <c r="L60" s="251">
        <v>301</v>
      </c>
      <c r="M60" s="21">
        <f>SUM(J60:L60)</f>
        <v>1013</v>
      </c>
      <c r="N60" s="251">
        <v>272</v>
      </c>
      <c r="O60" s="251">
        <v>226</v>
      </c>
      <c r="P60" s="251">
        <v>179</v>
      </c>
      <c r="Q60" s="21">
        <f>SUM(N60:P60)</f>
        <v>677</v>
      </c>
      <c r="R60" s="21">
        <f>+E60+I60+M60+Q60</f>
        <v>3340</v>
      </c>
    </row>
    <row r="61" spans="1:18" ht="16.5" customHeight="1" thickBot="1" x14ac:dyDescent="0.35">
      <c r="A61" s="22"/>
      <c r="B61" s="242"/>
      <c r="C61" s="242"/>
      <c r="D61" s="242"/>
      <c r="E61" s="16"/>
      <c r="F61" s="242"/>
      <c r="G61" s="242"/>
      <c r="H61" s="242"/>
      <c r="I61" s="16"/>
      <c r="J61" s="242"/>
      <c r="K61" s="242"/>
      <c r="L61" s="242"/>
      <c r="M61" s="16"/>
      <c r="N61" s="242"/>
      <c r="O61" s="242"/>
      <c r="P61" s="242"/>
      <c r="Q61" s="16"/>
      <c r="R61" s="22"/>
    </row>
    <row r="62" spans="1:18" ht="15.75" customHeight="1" x14ac:dyDescent="0.3">
      <c r="A62" s="234" t="s">
        <v>2011</v>
      </c>
      <c r="B62" s="172">
        <f>+B59+B60</f>
        <v>96</v>
      </c>
      <c r="C62" s="172">
        <f>+C59+C60</f>
        <v>145</v>
      </c>
      <c r="D62" s="172">
        <f>+D59+D60</f>
        <v>261</v>
      </c>
      <c r="E62" s="14">
        <f>SUM(B62:D62)</f>
        <v>502</v>
      </c>
      <c r="F62" s="172">
        <f>+F59+F60</f>
        <v>350</v>
      </c>
      <c r="G62" s="172">
        <f>+G59+G60</f>
        <v>402</v>
      </c>
      <c r="H62" s="172">
        <f>+H59+H60</f>
        <v>396</v>
      </c>
      <c r="I62" s="14">
        <f>SUM(F62:H62)</f>
        <v>1148</v>
      </c>
      <c r="J62" s="172">
        <f>+J59+J60</f>
        <v>394</v>
      </c>
      <c r="K62" s="172">
        <f>+K59+K60</f>
        <v>318</v>
      </c>
      <c r="L62" s="172">
        <f>+L59+L60</f>
        <v>301</v>
      </c>
      <c r="M62" s="14">
        <f>SUM(J62:L62)</f>
        <v>1013</v>
      </c>
      <c r="N62" s="172">
        <f>+N59+N60</f>
        <v>272</v>
      </c>
      <c r="O62" s="172">
        <f>+O59+O60</f>
        <v>226</v>
      </c>
      <c r="P62" s="172">
        <f>+P59+P60</f>
        <v>179</v>
      </c>
      <c r="Q62" s="28">
        <f>SUM(N62:P62)</f>
        <v>677</v>
      </c>
      <c r="R62" s="15">
        <f>+E62+I62+M62+Q62</f>
        <v>3340</v>
      </c>
    </row>
    <row r="63" spans="1:18" ht="15.75" customHeight="1" x14ac:dyDescent="0.3">
      <c r="A63" s="234" t="s">
        <v>1897</v>
      </c>
      <c r="B63" s="172">
        <f>(B62/B10)/1.983</f>
        <v>1.5616612171197111</v>
      </c>
      <c r="C63" s="172">
        <f>(C62/C10)/1.983</f>
        <v>2.6114833225271954</v>
      </c>
      <c r="D63" s="172">
        <f>(D62/D10)/1.983</f>
        <v>4.2457664340442145</v>
      </c>
      <c r="E63" s="15"/>
      <c r="F63" s="172">
        <f>(F62/F10)/1.983</f>
        <v>5.8833417381072444</v>
      </c>
      <c r="G63" s="172">
        <f>(G62/G10)/1.983</f>
        <v>6.5394563466887892</v>
      </c>
      <c r="H63" s="172">
        <f>(H62/H10)/1.983</f>
        <v>6.6565809379727678</v>
      </c>
      <c r="I63" s="15"/>
      <c r="J63" s="172">
        <f>(J62/J10)/1.983</f>
        <v>6.4093179119288139</v>
      </c>
      <c r="K63" s="172">
        <f>(K62/K10)/1.983</f>
        <v>5.1730027817090427</v>
      </c>
      <c r="L63" s="172">
        <f>(L62/L10)/1.983</f>
        <v>5.0596738947722306</v>
      </c>
      <c r="M63" s="15"/>
      <c r="N63" s="172">
        <f>(N62/N10)/1.983</f>
        <v>4.4247067818391805</v>
      </c>
      <c r="O63" s="172">
        <f>(O62/O10)/1.983</f>
        <v>3.7989578080349635</v>
      </c>
      <c r="P63" s="172">
        <f>(P62/P10)/1.983</f>
        <v>2.9118474777544612</v>
      </c>
      <c r="Q63" s="29"/>
      <c r="R63" s="20"/>
    </row>
    <row r="64" spans="1:18" ht="15.75" customHeight="1" x14ac:dyDescent="0.3">
      <c r="A64" s="234" t="s">
        <v>1969</v>
      </c>
      <c r="B64" s="172">
        <f>B62+B133</f>
        <v>89616</v>
      </c>
      <c r="C64" s="172">
        <f>C62+C133</f>
        <v>106996</v>
      </c>
      <c r="D64" s="172">
        <f>D62+D133</f>
        <v>137321</v>
      </c>
      <c r="E64" s="15">
        <f>SUM(B64:D64)</f>
        <v>333933</v>
      </c>
      <c r="F64" s="172">
        <f>F62+F133</f>
        <v>168286</v>
      </c>
      <c r="G64" s="172">
        <f>G62+G133</f>
        <v>178983</v>
      </c>
      <c r="H64" s="172">
        <f>H62+H133</f>
        <v>91658</v>
      </c>
      <c r="I64" s="15">
        <f>SUM(F64:H64)</f>
        <v>438927</v>
      </c>
      <c r="J64" s="172">
        <f>J62+J133</f>
        <v>78289</v>
      </c>
      <c r="K64" s="172">
        <f>K62+K133</f>
        <v>28026</v>
      </c>
      <c r="L64" s="172">
        <f>L62+L133</f>
        <v>164960</v>
      </c>
      <c r="M64" s="15">
        <f>SUM(J64:L64)</f>
        <v>271275</v>
      </c>
      <c r="N64" s="172">
        <f>N62+N133</f>
        <v>174913</v>
      </c>
      <c r="O64" s="172">
        <f>O62+O133</f>
        <v>170989</v>
      </c>
      <c r="P64" s="172">
        <f>P62+P133</f>
        <v>142258</v>
      </c>
      <c r="Q64" s="29">
        <f>SUM(N64:P64)</f>
        <v>488160</v>
      </c>
      <c r="R64" s="15">
        <f>+E64+I64+M64+Q64</f>
        <v>1532295</v>
      </c>
    </row>
    <row r="65" spans="1:20" ht="16.5" customHeight="1" thickBot="1" x14ac:dyDescent="0.35">
      <c r="A65" s="237" t="s">
        <v>1970</v>
      </c>
      <c r="B65" s="238">
        <f>(B64/B10)/1.983</f>
        <v>1457.8107461812504</v>
      </c>
      <c r="C65" s="238">
        <f>(C64/C10)/1.983</f>
        <v>1927.0225488077226</v>
      </c>
      <c r="D65" s="238">
        <f>(D64/D10)/1.983</f>
        <v>2233.8424999593317</v>
      </c>
      <c r="E65" s="16"/>
      <c r="F65" s="238">
        <f>(F64/F10)/1.983</f>
        <v>2828.8115649689025</v>
      </c>
      <c r="G65" s="238">
        <f>(G64/G10)/1.983</f>
        <v>2911.5709335805964</v>
      </c>
      <c r="H65" s="238">
        <f>(H64/H10)/1.983</f>
        <v>1540.7295343755254</v>
      </c>
      <c r="I65" s="16"/>
      <c r="J65" s="238">
        <f>(J64/J10)/1.983</f>
        <v>1273.5509898654693</v>
      </c>
      <c r="K65" s="238">
        <f>(K64/K10)/1.983</f>
        <v>455.90747157288564</v>
      </c>
      <c r="L65" s="238">
        <f>(L64/L10)/1.983</f>
        <v>2772.9030089090602</v>
      </c>
      <c r="M65" s="16"/>
      <c r="N65" s="238">
        <f>(N64/N10)/1.983</f>
        <v>2845.3630048964583</v>
      </c>
      <c r="O65" s="238">
        <f>(O64/O10)/1.983</f>
        <v>2874.2477727349133</v>
      </c>
      <c r="P65" s="238">
        <f>(P64/P10)/1.983</f>
        <v>2314.1541815105816</v>
      </c>
      <c r="Q65" s="30"/>
      <c r="R65" s="23" t="s">
        <v>852</v>
      </c>
    </row>
    <row r="66" spans="1:20" ht="15.75" customHeight="1" x14ac:dyDescent="0.3">
      <c r="A66" s="17"/>
      <c r="B66" s="172"/>
      <c r="C66" s="172"/>
      <c r="D66" s="172"/>
      <c r="E66" s="172"/>
      <c r="F66" s="172"/>
      <c r="G66" s="172"/>
      <c r="H66" s="172"/>
      <c r="I66" s="172"/>
      <c r="J66" s="172"/>
      <c r="K66" s="172"/>
      <c r="L66" s="172"/>
      <c r="M66" s="172"/>
      <c r="N66" s="172"/>
      <c r="O66" s="172"/>
      <c r="P66" s="172"/>
      <c r="Q66" s="172"/>
      <c r="R66" s="17"/>
    </row>
    <row r="67" spans="1:20" ht="15.75" customHeight="1" thickBot="1" x14ac:dyDescent="0.35">
      <c r="A67" s="17"/>
      <c r="B67" s="172"/>
      <c r="C67" s="172"/>
      <c r="D67" s="172"/>
      <c r="E67" s="172"/>
      <c r="F67" s="172"/>
      <c r="G67" s="172"/>
      <c r="H67" s="172"/>
      <c r="I67" s="172"/>
      <c r="J67" s="172"/>
      <c r="K67" s="172"/>
      <c r="L67" s="172"/>
      <c r="M67" s="172"/>
      <c r="N67" s="172"/>
      <c r="O67" s="172"/>
      <c r="P67" s="172"/>
      <c r="Q67" s="172"/>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231"/>
      <c r="C69" s="253"/>
      <c r="D69" s="253"/>
      <c r="E69" s="254"/>
      <c r="F69" s="253"/>
      <c r="G69" s="253"/>
      <c r="H69" s="253"/>
      <c r="I69" s="254"/>
      <c r="J69" s="253"/>
      <c r="K69" s="253"/>
      <c r="L69" s="253"/>
      <c r="M69" s="254"/>
      <c r="N69" s="253"/>
      <c r="O69" s="253"/>
      <c r="P69" s="255"/>
      <c r="Q69" s="254"/>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72"/>
      <c r="C72" s="172"/>
      <c r="D72" s="172"/>
      <c r="E72" s="38">
        <f t="shared" ref="E72:E82" si="5">SUM(B72:D72)</f>
        <v>0</v>
      </c>
      <c r="F72" s="172"/>
      <c r="G72" s="172"/>
      <c r="H72" s="172"/>
      <c r="I72" s="38">
        <f t="shared" ref="I72:I82" si="6">SUM(F72:H72)</f>
        <v>0</v>
      </c>
      <c r="J72" s="172"/>
      <c r="K72" s="172"/>
      <c r="L72" s="172"/>
      <c r="M72" s="38">
        <f t="shared" ref="M72:M82" si="7">SUM(J72:L72)</f>
        <v>0</v>
      </c>
      <c r="N72" s="172"/>
      <c r="O72" s="172"/>
      <c r="P72" s="172"/>
      <c r="Q72" s="38">
        <f t="shared" ref="Q72:Q82" si="8">SUM(N72:P72)</f>
        <v>0</v>
      </c>
      <c r="R72" s="38">
        <f t="shared" ref="R72:R82" si="9">+E72+I72+M72+Q72</f>
        <v>0</v>
      </c>
    </row>
    <row r="73" spans="1:20" ht="15.75" customHeight="1" x14ac:dyDescent="0.3">
      <c r="A73" s="539" t="s">
        <v>2732</v>
      </c>
      <c r="B73" s="172"/>
      <c r="C73" s="172"/>
      <c r="D73" s="172"/>
      <c r="E73" s="38">
        <f>SUM(B73:D73)</f>
        <v>0</v>
      </c>
      <c r="F73" s="172"/>
      <c r="G73" s="172"/>
      <c r="H73" s="172"/>
      <c r="I73" s="38">
        <f>SUM(F73:H73)</f>
        <v>0</v>
      </c>
      <c r="J73" s="172"/>
      <c r="K73" s="172"/>
      <c r="L73" s="172"/>
      <c r="M73" s="38">
        <f>SUM(J73:L73)</f>
        <v>0</v>
      </c>
      <c r="N73" s="172"/>
      <c r="O73" s="172"/>
      <c r="P73" s="172"/>
      <c r="Q73" s="38">
        <f>SUM(N73:P73)</f>
        <v>0</v>
      </c>
      <c r="R73" s="38">
        <f>+E73+I73+M73+Q73</f>
        <v>0</v>
      </c>
    </row>
    <row r="74" spans="1:20" ht="15.75" customHeight="1" x14ac:dyDescent="0.3">
      <c r="A74" s="539" t="s">
        <v>2060</v>
      </c>
      <c r="B74" s="172"/>
      <c r="C74" s="172"/>
      <c r="D74" s="172"/>
      <c r="E74" s="38">
        <f t="shared" si="5"/>
        <v>0</v>
      </c>
      <c r="F74" s="172"/>
      <c r="G74" s="172"/>
      <c r="H74" s="172"/>
      <c r="I74" s="38">
        <f t="shared" si="6"/>
        <v>0</v>
      </c>
      <c r="J74" s="172"/>
      <c r="K74" s="172"/>
      <c r="L74" s="172"/>
      <c r="M74" s="38">
        <f t="shared" si="7"/>
        <v>0</v>
      </c>
      <c r="N74" s="172"/>
      <c r="O74" s="172"/>
      <c r="P74" s="172"/>
      <c r="Q74" s="38">
        <f t="shared" si="8"/>
        <v>0</v>
      </c>
      <c r="R74" s="38">
        <f t="shared" si="9"/>
        <v>0</v>
      </c>
    </row>
    <row r="75" spans="1:20" ht="15.75" customHeight="1" x14ac:dyDescent="0.3">
      <c r="A75" s="539" t="s">
        <v>2773</v>
      </c>
      <c r="B75" s="10"/>
      <c r="C75" s="10"/>
      <c r="D75" s="10"/>
      <c r="E75" s="38">
        <f t="shared" si="5"/>
        <v>0</v>
      </c>
      <c r="F75" s="10"/>
      <c r="G75" s="10"/>
      <c r="H75" s="10"/>
      <c r="I75" s="38">
        <f t="shared" si="6"/>
        <v>0</v>
      </c>
      <c r="K75" s="10"/>
      <c r="L75" s="10"/>
      <c r="M75" s="38">
        <f t="shared" si="7"/>
        <v>0</v>
      </c>
      <c r="N75" s="10"/>
      <c r="O75" s="10"/>
      <c r="P75" s="10"/>
      <c r="Q75" s="38">
        <f t="shared" si="8"/>
        <v>0</v>
      </c>
      <c r="R75" s="38">
        <f t="shared" si="9"/>
        <v>0</v>
      </c>
      <c r="T75" t="s">
        <v>2774</v>
      </c>
    </row>
    <row r="76" spans="1:20" ht="15.75" customHeight="1" x14ac:dyDescent="0.3">
      <c r="A76" s="539" t="s">
        <v>3240</v>
      </c>
      <c r="B76" s="172"/>
      <c r="C76" s="172"/>
      <c r="D76" s="172"/>
      <c r="E76" s="38">
        <f t="shared" si="5"/>
        <v>0</v>
      </c>
      <c r="F76" s="172"/>
      <c r="G76" s="172"/>
      <c r="H76" s="172"/>
      <c r="I76" s="38">
        <f t="shared" si="6"/>
        <v>0</v>
      </c>
      <c r="J76" s="172"/>
      <c r="K76" s="172"/>
      <c r="L76" s="172"/>
      <c r="M76" s="38">
        <f t="shared" si="7"/>
        <v>0</v>
      </c>
      <c r="N76" s="172"/>
      <c r="O76" s="172"/>
      <c r="P76" s="172"/>
      <c r="Q76" s="38">
        <f t="shared" si="8"/>
        <v>0</v>
      </c>
      <c r="R76" s="38">
        <f t="shared" si="9"/>
        <v>0</v>
      </c>
      <c r="S76" s="736" t="s">
        <v>3213</v>
      </c>
      <c r="T76" t="s">
        <v>2774</v>
      </c>
    </row>
    <row r="77" spans="1:20" ht="15.75" customHeight="1" x14ac:dyDescent="0.3">
      <c r="A77" s="539" t="s">
        <v>2262</v>
      </c>
      <c r="B77" s="172"/>
      <c r="C77" s="172"/>
      <c r="D77" s="172"/>
      <c r="E77" s="38">
        <f t="shared" si="5"/>
        <v>0</v>
      </c>
      <c r="F77" s="172"/>
      <c r="G77" s="172"/>
      <c r="H77" s="172"/>
      <c r="I77" s="38">
        <f t="shared" si="6"/>
        <v>0</v>
      </c>
      <c r="J77" s="172"/>
      <c r="K77" s="172"/>
      <c r="L77" s="172"/>
      <c r="M77" s="38">
        <f t="shared" si="7"/>
        <v>0</v>
      </c>
      <c r="N77" s="172"/>
      <c r="O77" s="172"/>
      <c r="P77" s="172"/>
      <c r="Q77" s="38">
        <f t="shared" si="8"/>
        <v>0</v>
      </c>
      <c r="R77" s="38">
        <f t="shared" si="9"/>
        <v>0</v>
      </c>
    </row>
    <row r="78" spans="1:20" ht="15.75" customHeight="1" x14ac:dyDescent="0.3">
      <c r="A78" s="539" t="s">
        <v>789</v>
      </c>
      <c r="B78" s="172"/>
      <c r="C78" s="172"/>
      <c r="D78" s="172"/>
      <c r="E78" s="38">
        <f t="shared" si="5"/>
        <v>0</v>
      </c>
      <c r="F78" s="172"/>
      <c r="G78" s="172"/>
      <c r="H78" s="172"/>
      <c r="I78" s="38">
        <f t="shared" si="6"/>
        <v>0</v>
      </c>
      <c r="J78" s="172"/>
      <c r="K78" s="172"/>
      <c r="L78" s="172"/>
      <c r="M78" s="38">
        <f t="shared" si="7"/>
        <v>0</v>
      </c>
      <c r="N78" s="172"/>
      <c r="O78" s="172"/>
      <c r="P78" s="172"/>
      <c r="Q78" s="38">
        <f t="shared" si="8"/>
        <v>0</v>
      </c>
      <c r="R78" s="38">
        <f t="shared" si="9"/>
        <v>0</v>
      </c>
      <c r="T78" t="s">
        <v>2799</v>
      </c>
    </row>
    <row r="79" spans="1:20" ht="15.75" customHeight="1" x14ac:dyDescent="0.3">
      <c r="A79" s="410" t="s">
        <v>3130</v>
      </c>
      <c r="B79" s="10"/>
      <c r="C79" s="10"/>
      <c r="D79" s="10"/>
      <c r="E79" s="38">
        <f t="shared" si="5"/>
        <v>0</v>
      </c>
      <c r="F79" s="10"/>
      <c r="G79" s="10">
        <v>512</v>
      </c>
      <c r="H79" s="10">
        <v>512</v>
      </c>
      <c r="I79" s="38">
        <f t="shared" si="6"/>
        <v>1024</v>
      </c>
      <c r="J79" s="10">
        <v>512</v>
      </c>
      <c r="K79" s="10">
        <v>512</v>
      </c>
      <c r="L79" s="10"/>
      <c r="M79" s="38">
        <f t="shared" si="7"/>
        <v>1024</v>
      </c>
      <c r="N79" s="10"/>
      <c r="O79" s="10"/>
      <c r="P79" s="10"/>
      <c r="Q79" s="38">
        <f t="shared" si="8"/>
        <v>0</v>
      </c>
      <c r="R79" s="38">
        <f t="shared" si="9"/>
        <v>2048</v>
      </c>
    </row>
    <row r="80" spans="1:20" ht="15.75" customHeight="1" x14ac:dyDescent="0.3">
      <c r="A80" s="410" t="s">
        <v>2183</v>
      </c>
      <c r="B80" s="172"/>
      <c r="C80" s="172"/>
      <c r="D80" s="172"/>
      <c r="E80" s="38">
        <f t="shared" si="5"/>
        <v>0</v>
      </c>
      <c r="F80" s="172"/>
      <c r="G80" s="172"/>
      <c r="H80" s="172"/>
      <c r="I80" s="38">
        <f t="shared" si="6"/>
        <v>0</v>
      </c>
      <c r="J80" s="172"/>
      <c r="K80" s="172"/>
      <c r="L80" s="172"/>
      <c r="M80" s="38">
        <f t="shared" si="7"/>
        <v>0</v>
      </c>
      <c r="N80" s="172"/>
      <c r="O80" s="172"/>
      <c r="P80" s="172"/>
      <c r="Q80" s="38">
        <f t="shared" si="8"/>
        <v>0</v>
      </c>
      <c r="R80" s="38">
        <f t="shared" si="9"/>
        <v>0</v>
      </c>
    </row>
    <row r="81" spans="1:20" ht="15.75" customHeight="1" x14ac:dyDescent="0.3">
      <c r="A81" s="410" t="s">
        <v>2947</v>
      </c>
      <c r="B81" s="172"/>
      <c r="C81" s="172"/>
      <c r="D81" s="172"/>
      <c r="E81" s="38">
        <f>SUM(B81:D81)</f>
        <v>0</v>
      </c>
      <c r="F81" s="172"/>
      <c r="G81" s="172"/>
      <c r="H81" s="172"/>
      <c r="I81" s="38">
        <f>SUM(F81:H81)</f>
        <v>0</v>
      </c>
      <c r="J81" s="172"/>
      <c r="K81" s="172"/>
      <c r="L81" s="172"/>
      <c r="M81" s="38">
        <f>SUM(J81:L81)</f>
        <v>0</v>
      </c>
      <c r="N81" s="172"/>
      <c r="O81" s="172"/>
      <c r="P81" s="172"/>
      <c r="Q81" s="38">
        <f>SUM(N81:P81)</f>
        <v>0</v>
      </c>
      <c r="R81" s="38">
        <f t="shared" si="9"/>
        <v>0</v>
      </c>
    </row>
    <row r="82" spans="1:20" ht="15.75" customHeight="1" x14ac:dyDescent="0.3">
      <c r="A82" s="410" t="s">
        <v>86</v>
      </c>
      <c r="B82" s="172"/>
      <c r="C82" s="172"/>
      <c r="D82" s="172"/>
      <c r="E82" s="38">
        <f t="shared" si="5"/>
        <v>0</v>
      </c>
      <c r="F82" s="172"/>
      <c r="G82" s="172"/>
      <c r="H82" s="172"/>
      <c r="I82" s="38">
        <f t="shared" si="6"/>
        <v>0</v>
      </c>
      <c r="J82" s="172"/>
      <c r="K82" s="172"/>
      <c r="L82" s="172"/>
      <c r="M82" s="38">
        <f t="shared" si="7"/>
        <v>0</v>
      </c>
      <c r="N82" s="172"/>
      <c r="O82" s="172"/>
      <c r="P82" s="172"/>
      <c r="Q82" s="38">
        <f t="shared" si="8"/>
        <v>0</v>
      </c>
      <c r="R82" s="38">
        <f t="shared" si="9"/>
        <v>0</v>
      </c>
      <c r="S82">
        <f>SUM(R72:R82)</f>
        <v>2048</v>
      </c>
    </row>
    <row r="83" spans="1:20" ht="15.75" customHeight="1" x14ac:dyDescent="0.3">
      <c r="A83" s="235" t="s">
        <v>2161</v>
      </c>
      <c r="B83" s="18"/>
      <c r="C83" s="18"/>
      <c r="D83" s="18"/>
      <c r="E83" s="38" t="s">
        <v>852</v>
      </c>
      <c r="F83" s="18"/>
      <c r="G83" s="18"/>
      <c r="H83" s="18"/>
      <c r="I83" s="38" t="s">
        <v>852</v>
      </c>
      <c r="J83" s="18"/>
      <c r="K83" s="18"/>
      <c r="L83" s="18"/>
      <c r="M83" s="38" t="s">
        <v>852</v>
      </c>
      <c r="N83" s="18"/>
      <c r="O83" s="18"/>
      <c r="P83" s="18"/>
      <c r="Q83" s="38" t="s">
        <v>852</v>
      </c>
      <c r="R83" s="38" t="s">
        <v>852</v>
      </c>
    </row>
    <row r="84" spans="1:20" ht="15.75" customHeight="1" x14ac:dyDescent="0.3">
      <c r="A84" s="410" t="s">
        <v>2419</v>
      </c>
      <c r="B84" s="172"/>
      <c r="C84" s="172"/>
      <c r="D84" s="172"/>
      <c r="E84" s="38">
        <f>SUM(B84:D84)</f>
        <v>0</v>
      </c>
      <c r="F84" s="172"/>
      <c r="G84" s="172"/>
      <c r="H84" s="172"/>
      <c r="I84" s="38">
        <f>SUM(F84:H84)</f>
        <v>0</v>
      </c>
      <c r="J84" s="172"/>
      <c r="K84" s="172"/>
      <c r="L84" s="172"/>
      <c r="M84" s="38">
        <f>SUM(J84:L84)</f>
        <v>0</v>
      </c>
      <c r="N84" s="172"/>
      <c r="O84" s="172"/>
      <c r="P84" s="172"/>
      <c r="Q84" s="38">
        <f>SUM(N84:P84)</f>
        <v>0</v>
      </c>
      <c r="R84" s="38">
        <f>+E84+I84+M84+Q84</f>
        <v>0</v>
      </c>
    </row>
    <row r="85" spans="1:20" ht="15.75" customHeight="1" x14ac:dyDescent="0.3">
      <c r="A85" s="235" t="s">
        <v>3245</v>
      </c>
      <c r="B85" s="18"/>
      <c r="C85" s="18"/>
      <c r="D85" s="18"/>
      <c r="E85" s="38" t="s">
        <v>1598</v>
      </c>
      <c r="F85" s="18"/>
      <c r="G85" s="18"/>
      <c r="H85" s="18"/>
      <c r="I85" s="38" t="s">
        <v>1598</v>
      </c>
      <c r="J85" s="18"/>
      <c r="K85" s="18"/>
      <c r="L85" s="18"/>
      <c r="M85" s="38" t="s">
        <v>1598</v>
      </c>
      <c r="N85" s="18"/>
      <c r="O85" s="18"/>
      <c r="P85" s="18"/>
      <c r="Q85" s="38" t="s">
        <v>1598</v>
      </c>
      <c r="R85" s="38" t="s">
        <v>1598</v>
      </c>
    </row>
    <row r="86" spans="1:20" ht="15.75" customHeight="1" x14ac:dyDescent="0.3">
      <c r="A86" s="422" t="s">
        <v>3241</v>
      </c>
      <c r="B86" s="172"/>
      <c r="C86" s="172"/>
      <c r="D86" s="172"/>
      <c r="E86" s="38">
        <f>SUM(B86:D86)</f>
        <v>0</v>
      </c>
      <c r="F86" s="172"/>
      <c r="G86" s="172"/>
      <c r="H86" s="172"/>
      <c r="I86" s="38">
        <f>SUM(F86:H86)</f>
        <v>0</v>
      </c>
      <c r="J86" s="172"/>
      <c r="K86" s="172"/>
      <c r="L86" s="172"/>
      <c r="M86" s="38">
        <f>SUM(J86:L86)</f>
        <v>0</v>
      </c>
      <c r="N86" s="172"/>
      <c r="O86" s="172"/>
      <c r="P86" s="172"/>
      <c r="Q86" s="38">
        <f>SUM(N86:P86)</f>
        <v>0</v>
      </c>
      <c r="R86" s="38">
        <f>+E86+I86+M86+Q86</f>
        <v>0</v>
      </c>
      <c r="S86" s="735" t="s">
        <v>3214</v>
      </c>
    </row>
    <row r="87" spans="1:20" ht="15.75" customHeight="1" x14ac:dyDescent="0.3">
      <c r="A87" s="422" t="s">
        <v>3242</v>
      </c>
      <c r="B87" s="10">
        <v>280</v>
      </c>
      <c r="C87" s="10">
        <v>600</v>
      </c>
      <c r="D87" s="10">
        <v>1679</v>
      </c>
      <c r="E87" s="38">
        <f>SUM(B87:D87)</f>
        <v>2559</v>
      </c>
      <c r="F87" s="10">
        <v>1863</v>
      </c>
      <c r="G87" s="10">
        <v>1880</v>
      </c>
      <c r="H87" s="10">
        <v>1744</v>
      </c>
      <c r="I87" s="38">
        <f>SUM(F87:H87)</f>
        <v>5487</v>
      </c>
      <c r="J87" s="10">
        <v>1500</v>
      </c>
      <c r="K87" s="10">
        <v>1627</v>
      </c>
      <c r="L87" s="10">
        <v>1815</v>
      </c>
      <c r="M87" s="38">
        <f>SUM(J87:L87)</f>
        <v>4942</v>
      </c>
      <c r="N87" s="10">
        <v>12</v>
      </c>
      <c r="O87" s="10"/>
      <c r="P87" s="10"/>
      <c r="Q87" s="38">
        <f>SUM(N87:P87)</f>
        <v>12</v>
      </c>
      <c r="R87" s="38">
        <f>+E87+I87+M87+Q87</f>
        <v>13000</v>
      </c>
      <c r="S87" s="735" t="s">
        <v>3214</v>
      </c>
      <c r="T87" t="s">
        <v>2774</v>
      </c>
    </row>
    <row r="88" spans="1:20" ht="15.75"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20" ht="16.5" customHeight="1" thickBot="1" x14ac:dyDescent="0.35">
      <c r="A89" s="43" t="s">
        <v>1218</v>
      </c>
      <c r="B89" s="42">
        <f>SUM(B70:B88)</f>
        <v>280</v>
      </c>
      <c r="C89" s="42">
        <f>SUM(C70:C88)</f>
        <v>600</v>
      </c>
      <c r="D89" s="42">
        <f>SUM(D70:D88)</f>
        <v>1679</v>
      </c>
      <c r="E89" s="37">
        <f>SUM(B89:D89)</f>
        <v>2559</v>
      </c>
      <c r="F89" s="42">
        <f>SUM(F70:F88)</f>
        <v>1863</v>
      </c>
      <c r="G89" s="42">
        <f>SUM(G70:G88)</f>
        <v>2392</v>
      </c>
      <c r="H89" s="42">
        <f>SUM(H70:H88)</f>
        <v>2256</v>
      </c>
      <c r="I89" s="37">
        <f>SUM(F89:H89)</f>
        <v>6511</v>
      </c>
      <c r="J89" s="42">
        <f>SUM(J70:J88)</f>
        <v>2012</v>
      </c>
      <c r="K89" s="42">
        <f>SUM(K70:K88)</f>
        <v>2139</v>
      </c>
      <c r="L89" s="42">
        <f>SUM(L70:L88)</f>
        <v>1815</v>
      </c>
      <c r="M89" s="37">
        <f>SUM(J89:L89)</f>
        <v>5966</v>
      </c>
      <c r="N89" s="42">
        <f>SUM(N70:N88)</f>
        <v>12</v>
      </c>
      <c r="O89" s="42">
        <f>SUM(O70:O88)</f>
        <v>0</v>
      </c>
      <c r="P89" s="42">
        <f>SUM(P70:P88)</f>
        <v>0</v>
      </c>
      <c r="Q89" s="37">
        <f>SUM(N89:P89)</f>
        <v>12</v>
      </c>
      <c r="R89" s="37">
        <f>+E89+I89+M89+Q89</f>
        <v>15048</v>
      </c>
    </row>
    <row r="90" spans="1:20" ht="15.75"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20" ht="15.75"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20" ht="15.75" customHeight="1" x14ac:dyDescent="0.3">
      <c r="A93" s="410" t="s">
        <v>701</v>
      </c>
      <c r="B93" s="10">
        <v>400</v>
      </c>
      <c r="C93" s="10">
        <v>411</v>
      </c>
      <c r="D93" s="10">
        <v>1110</v>
      </c>
      <c r="E93" s="38">
        <f>SUM(B93:D93)</f>
        <v>1921</v>
      </c>
      <c r="F93" s="10">
        <v>3177</v>
      </c>
      <c r="G93" s="10">
        <v>3434</v>
      </c>
      <c r="H93" s="10">
        <v>3954</v>
      </c>
      <c r="I93" s="38">
        <f>SUM(F93:H93)</f>
        <v>10565</v>
      </c>
      <c r="J93" s="10">
        <v>4181</v>
      </c>
      <c r="K93" s="10">
        <v>4085</v>
      </c>
      <c r="L93" s="10">
        <v>2107</v>
      </c>
      <c r="M93" s="38">
        <f>SUM(J93:L93)</f>
        <v>10373</v>
      </c>
      <c r="N93" s="10">
        <v>411</v>
      </c>
      <c r="O93" s="10">
        <v>2141</v>
      </c>
      <c r="P93" s="10">
        <v>1828</v>
      </c>
      <c r="Q93" s="38">
        <f>SUM(N93:P93)</f>
        <v>4380</v>
      </c>
      <c r="R93" s="38">
        <f>+E93+I93+M93+Q93</f>
        <v>27239</v>
      </c>
      <c r="T93" t="s">
        <v>2810</v>
      </c>
    </row>
    <row r="94" spans="1:20" ht="15.75" customHeight="1" x14ac:dyDescent="0.3">
      <c r="A94" s="410" t="s">
        <v>702</v>
      </c>
      <c r="B94" s="10"/>
      <c r="C94" s="10"/>
      <c r="D94" s="10"/>
      <c r="E94" s="38">
        <f>SUM(B94:D94)</f>
        <v>0</v>
      </c>
      <c r="F94" s="10"/>
      <c r="G94" s="10"/>
      <c r="H94" s="10"/>
      <c r="I94" s="38">
        <f>SUM(F94:H94)</f>
        <v>0</v>
      </c>
      <c r="J94" s="10"/>
      <c r="K94" s="10"/>
      <c r="L94" s="10"/>
      <c r="M94" s="38">
        <f>SUM(J94:L94)</f>
        <v>0</v>
      </c>
      <c r="N94" s="10"/>
      <c r="O94" s="10"/>
      <c r="P94" s="10"/>
      <c r="Q94" s="38">
        <f>SUM(N94:P94)</f>
        <v>0</v>
      </c>
      <c r="R94" s="38">
        <f>+E94+I94+M94+Q94</f>
        <v>0</v>
      </c>
      <c r="T94" t="s">
        <v>2774</v>
      </c>
    </row>
    <row r="95" spans="1:20" ht="15.75"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20" ht="16.5" customHeight="1" thickBot="1" x14ac:dyDescent="0.35">
      <c r="A96" s="43" t="s">
        <v>1219</v>
      </c>
      <c r="B96" s="42">
        <f>SUM(B90:B95)</f>
        <v>400</v>
      </c>
      <c r="C96" s="42">
        <f>SUM(C90:C95)</f>
        <v>411</v>
      </c>
      <c r="D96" s="42">
        <f>SUM(D90:D95)</f>
        <v>1110</v>
      </c>
      <c r="E96" s="37">
        <f>SUM(B96:D96)</f>
        <v>1921</v>
      </c>
      <c r="F96" s="42">
        <f>SUM(F90:F95)</f>
        <v>3177</v>
      </c>
      <c r="G96" s="42">
        <f>SUM(G90:G95)</f>
        <v>3434</v>
      </c>
      <c r="H96" s="42">
        <f>SUM(H90:H95)</f>
        <v>3954</v>
      </c>
      <c r="I96" s="37">
        <f>SUM(F96:H96)</f>
        <v>10565</v>
      </c>
      <c r="J96" s="42">
        <f>SUM(J90:J95)</f>
        <v>4181</v>
      </c>
      <c r="K96" s="42">
        <f>SUM(K90:K95)</f>
        <v>4085</v>
      </c>
      <c r="L96" s="42">
        <f>SUM(L90:L95)</f>
        <v>2107</v>
      </c>
      <c r="M96" s="37">
        <f>SUM(J96:L96)</f>
        <v>10373</v>
      </c>
      <c r="N96" s="42">
        <f>SUM(N90:N95)</f>
        <v>411</v>
      </c>
      <c r="O96" s="42">
        <f>SUM(O90:O95)</f>
        <v>2141</v>
      </c>
      <c r="P96" s="42">
        <f>SUM(P90:P95)</f>
        <v>1828</v>
      </c>
      <c r="Q96" s="37">
        <f>SUM(N96:P96)</f>
        <v>4380</v>
      </c>
      <c r="R96" s="37">
        <f>+E96+I96+M96+Q96</f>
        <v>27239</v>
      </c>
    </row>
    <row r="97" spans="1:20" ht="15.75"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20" ht="15.75" customHeight="1" x14ac:dyDescent="0.3">
      <c r="A99" s="235" t="s">
        <v>1711</v>
      </c>
      <c r="B99" s="248"/>
      <c r="C99" s="248"/>
      <c r="D99" s="248"/>
      <c r="E99" s="38"/>
      <c r="F99" s="248"/>
      <c r="G99" s="248"/>
      <c r="H99" s="248"/>
      <c r="I99" s="38"/>
      <c r="J99" s="248"/>
      <c r="K99" s="248"/>
      <c r="L99" s="248"/>
      <c r="M99" s="38"/>
      <c r="N99" s="248"/>
      <c r="O99" s="248"/>
      <c r="P99" s="248"/>
      <c r="Q99" s="38"/>
      <c r="R99" s="38"/>
    </row>
    <row r="100" spans="1:20" ht="15.75" customHeight="1" x14ac:dyDescent="0.3">
      <c r="A100" s="410" t="s">
        <v>1584</v>
      </c>
      <c r="B100" s="172"/>
      <c r="C100" s="172"/>
      <c r="D100" s="172"/>
      <c r="E100" s="38">
        <f t="shared" ref="E100:E107" si="10">SUM(B100:D100)</f>
        <v>0</v>
      </c>
      <c r="F100" s="172"/>
      <c r="G100" s="172"/>
      <c r="H100" s="172"/>
      <c r="I100" s="38">
        <f t="shared" ref="I100:I107" si="11">SUM(F100:H100)</f>
        <v>0</v>
      </c>
      <c r="J100" s="172"/>
      <c r="K100" s="172"/>
      <c r="L100" s="172"/>
      <c r="M100" s="38">
        <f t="shared" ref="M100:M107" si="12">SUM(J100:L100)</f>
        <v>0</v>
      </c>
      <c r="N100" s="172"/>
      <c r="O100" s="172"/>
      <c r="P100" s="172"/>
      <c r="Q100" s="38">
        <f t="shared" ref="Q100:Q107" si="13">SUM(N100:P100)</f>
        <v>0</v>
      </c>
      <c r="R100" s="38">
        <f t="shared" ref="R100:R107" si="14">+E100+I100+M100+Q100</f>
        <v>0</v>
      </c>
    </row>
    <row r="101" spans="1:20" ht="15.75" customHeight="1" x14ac:dyDescent="0.3">
      <c r="A101" s="410" t="s">
        <v>1977</v>
      </c>
      <c r="B101" s="172"/>
      <c r="C101" s="172"/>
      <c r="D101" s="172"/>
      <c r="E101" s="38">
        <f t="shared" si="10"/>
        <v>0</v>
      </c>
      <c r="F101" s="172"/>
      <c r="G101" s="172"/>
      <c r="H101" s="172"/>
      <c r="I101" s="38">
        <f t="shared" si="11"/>
        <v>0</v>
      </c>
      <c r="J101" s="172"/>
      <c r="K101" s="172"/>
      <c r="L101" s="172"/>
      <c r="M101" s="38">
        <f t="shared" si="12"/>
        <v>0</v>
      </c>
      <c r="N101" s="172"/>
      <c r="O101" s="172"/>
      <c r="P101" s="172"/>
      <c r="Q101" s="38">
        <f t="shared" si="13"/>
        <v>0</v>
      </c>
      <c r="R101" s="38">
        <f t="shared" si="14"/>
        <v>0</v>
      </c>
    </row>
    <row r="102" spans="1:20" ht="15.75" customHeight="1" x14ac:dyDescent="0.3">
      <c r="A102" s="410" t="s">
        <v>3287</v>
      </c>
      <c r="B102" s="172"/>
      <c r="C102" s="172"/>
      <c r="D102" s="172"/>
      <c r="E102" s="38">
        <f>SUM(B102:D102)</f>
        <v>0</v>
      </c>
      <c r="F102" s="172"/>
      <c r="G102" s="172"/>
      <c r="H102" s="172"/>
      <c r="I102" s="38">
        <f>SUM(F102:H102)</f>
        <v>0</v>
      </c>
      <c r="J102" s="172"/>
      <c r="K102" s="172"/>
      <c r="L102" s="172"/>
      <c r="M102" s="38">
        <f>SUM(J102:L102)</f>
        <v>0</v>
      </c>
      <c r="N102" s="172"/>
      <c r="O102" s="172"/>
      <c r="P102" s="172"/>
      <c r="Q102" s="38">
        <f>SUM(N102:P102)</f>
        <v>0</v>
      </c>
      <c r="R102" s="38">
        <f>+E102+I102+M102+Q102</f>
        <v>0</v>
      </c>
    </row>
    <row r="103" spans="1:20" ht="15.75" customHeight="1" x14ac:dyDescent="0.3">
      <c r="A103" s="410" t="s">
        <v>3155</v>
      </c>
      <c r="B103" s="172"/>
      <c r="C103" s="172"/>
      <c r="D103" s="172"/>
      <c r="E103" s="38">
        <f>SUM(B103:D103)</f>
        <v>0</v>
      </c>
      <c r="F103" s="172"/>
      <c r="G103" s="172"/>
      <c r="H103" s="172"/>
      <c r="I103" s="38">
        <f>SUM(F103:H103)</f>
        <v>0</v>
      </c>
      <c r="J103" s="172"/>
      <c r="K103" s="172"/>
      <c r="L103" s="172"/>
      <c r="M103" s="38">
        <f>SUM(J103:L103)</f>
        <v>0</v>
      </c>
      <c r="N103" s="172"/>
      <c r="O103" s="172"/>
      <c r="P103" s="172"/>
      <c r="Q103" s="38">
        <f>SUM(N103:P103)</f>
        <v>0</v>
      </c>
      <c r="R103" s="38">
        <f>+E103+I103+M103+Q103</f>
        <v>0</v>
      </c>
      <c r="T103" t="s">
        <v>2799</v>
      </c>
    </row>
    <row r="104" spans="1:20" ht="15.75" customHeight="1" x14ac:dyDescent="0.3">
      <c r="A104" s="410" t="s">
        <v>436</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customHeight="1" x14ac:dyDescent="0.3">
      <c r="A105" s="410" t="s">
        <v>3288</v>
      </c>
      <c r="B105" s="172"/>
      <c r="C105" s="172"/>
      <c r="D105" s="172"/>
      <c r="E105" s="38">
        <f t="shared" si="10"/>
        <v>0</v>
      </c>
      <c r="F105" s="172"/>
      <c r="G105" s="172"/>
      <c r="H105" s="172"/>
      <c r="I105" s="38">
        <f t="shared" si="11"/>
        <v>0</v>
      </c>
      <c r="J105" s="172"/>
      <c r="K105" s="172"/>
      <c r="L105" s="172"/>
      <c r="M105" s="38">
        <f t="shared" si="12"/>
        <v>0</v>
      </c>
      <c r="N105" s="172"/>
      <c r="O105" s="172"/>
      <c r="P105" s="172"/>
      <c r="Q105" s="38">
        <f t="shared" si="13"/>
        <v>0</v>
      </c>
      <c r="R105" s="38">
        <f t="shared" si="14"/>
        <v>0</v>
      </c>
    </row>
    <row r="106" spans="1:20" ht="15.75" customHeight="1" thickBot="1" x14ac:dyDescent="0.35">
      <c r="A106" s="410" t="s">
        <v>2261</v>
      </c>
      <c r="B106" s="172"/>
      <c r="C106" s="172"/>
      <c r="D106" s="172"/>
      <c r="E106" s="38">
        <f t="shared" si="10"/>
        <v>0</v>
      </c>
      <c r="F106" s="172"/>
      <c r="G106" s="172"/>
      <c r="H106" s="172"/>
      <c r="I106" s="38">
        <f t="shared" si="11"/>
        <v>0</v>
      </c>
      <c r="J106" s="172"/>
      <c r="K106" s="172"/>
      <c r="L106" s="172"/>
      <c r="M106" s="38">
        <f t="shared" si="12"/>
        <v>0</v>
      </c>
      <c r="N106" s="172"/>
      <c r="O106" s="172"/>
      <c r="P106" s="172"/>
      <c r="Q106" s="38">
        <f t="shared" si="13"/>
        <v>0</v>
      </c>
      <c r="R106" s="38">
        <f t="shared" si="14"/>
        <v>0</v>
      </c>
    </row>
    <row r="107" spans="1:20" ht="16.5" customHeight="1" thickBot="1" x14ac:dyDescent="0.35">
      <c r="A107" s="43" t="s">
        <v>1220</v>
      </c>
      <c r="B107" s="42">
        <f>SUM(B97:B106)</f>
        <v>0</v>
      </c>
      <c r="C107" s="42">
        <f>SUM(C97:C106)</f>
        <v>0</v>
      </c>
      <c r="D107" s="42">
        <f>SUM(D97:D106)</f>
        <v>0</v>
      </c>
      <c r="E107" s="37">
        <f t="shared" si="10"/>
        <v>0</v>
      </c>
      <c r="F107" s="42">
        <f>SUM(F97:F106)</f>
        <v>0</v>
      </c>
      <c r="G107" s="42">
        <f>SUM(G97:G106)</f>
        <v>0</v>
      </c>
      <c r="H107" s="42">
        <f>SUM(H97:H106)</f>
        <v>0</v>
      </c>
      <c r="I107" s="37">
        <f t="shared" si="11"/>
        <v>0</v>
      </c>
      <c r="J107" s="42">
        <f>SUM(J97:J106)</f>
        <v>0</v>
      </c>
      <c r="K107" s="42">
        <f>SUM(K97:K106)</f>
        <v>0</v>
      </c>
      <c r="L107" s="42">
        <f>SUM(L97:L106)</f>
        <v>0</v>
      </c>
      <c r="M107" s="37">
        <f t="shared" si="12"/>
        <v>0</v>
      </c>
      <c r="N107" s="42">
        <f>SUM(N97:N106)</f>
        <v>0</v>
      </c>
      <c r="O107" s="42">
        <f>SUM(O97:O106)</f>
        <v>0</v>
      </c>
      <c r="P107" s="42">
        <f>SUM(P97:P106)</f>
        <v>0</v>
      </c>
      <c r="Q107" s="37">
        <f t="shared" si="13"/>
        <v>0</v>
      </c>
      <c r="R107" s="37">
        <f t="shared" si="14"/>
        <v>0</v>
      </c>
    </row>
    <row r="108" spans="1:20" ht="15.75" customHeight="1" x14ac:dyDescent="0.3">
      <c r="A108" s="235" t="s">
        <v>1712</v>
      </c>
      <c r="B108" s="248"/>
      <c r="C108" s="248"/>
      <c r="D108" s="248"/>
      <c r="E108" s="38" t="s">
        <v>852</v>
      </c>
      <c r="F108" s="248"/>
      <c r="G108" s="248"/>
      <c r="H108" s="248"/>
      <c r="I108" s="38" t="s">
        <v>852</v>
      </c>
      <c r="J108" s="248"/>
      <c r="K108" s="248"/>
      <c r="L108" s="248"/>
      <c r="M108" s="38" t="s">
        <v>852</v>
      </c>
      <c r="N108" s="248"/>
      <c r="O108" s="248"/>
      <c r="P108" s="248"/>
      <c r="Q108" s="38" t="s">
        <v>852</v>
      </c>
      <c r="R108" s="38" t="s">
        <v>852</v>
      </c>
    </row>
    <row r="109" spans="1:20" ht="15.75" customHeight="1" x14ac:dyDescent="0.3">
      <c r="A109" s="235" t="s">
        <v>1021</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20" ht="15.75" customHeight="1" x14ac:dyDescent="0.3">
      <c r="A110" s="422" t="s">
        <v>2751</v>
      </c>
      <c r="B110" s="172"/>
      <c r="C110" s="172"/>
      <c r="D110" s="172"/>
      <c r="E110" s="38">
        <f t="shared" ref="E110:E115" si="15">SUM(B110:D110)</f>
        <v>0</v>
      </c>
      <c r="F110" s="172"/>
      <c r="G110" s="172"/>
      <c r="H110" s="172"/>
      <c r="I110" s="38">
        <f t="shared" ref="I110:I115" si="16">SUM(F110:H110)</f>
        <v>0</v>
      </c>
      <c r="J110" s="172"/>
      <c r="K110" s="172"/>
      <c r="L110" s="172"/>
      <c r="M110" s="38">
        <f t="shared" ref="M110:M115" si="17">SUM(J110:L110)</f>
        <v>0</v>
      </c>
      <c r="N110" s="172"/>
      <c r="O110" s="172"/>
      <c r="P110" s="172"/>
      <c r="Q110" s="38">
        <f t="shared" ref="Q110:Q115" si="18">SUM(N110:P110)</f>
        <v>0</v>
      </c>
      <c r="R110" s="38">
        <f t="shared" ref="R110:R115" si="19">+E110+I110+M110+Q110</f>
        <v>0</v>
      </c>
    </row>
    <row r="111" spans="1:20" ht="15.75" customHeight="1" x14ac:dyDescent="0.3">
      <c r="A111" s="422" t="s">
        <v>3243</v>
      </c>
      <c r="B111" s="172"/>
      <c r="C111" s="172"/>
      <c r="D111" s="172"/>
      <c r="E111" s="38">
        <f t="shared" si="15"/>
        <v>0</v>
      </c>
      <c r="F111" s="172"/>
      <c r="G111" s="172"/>
      <c r="H111" s="172"/>
      <c r="I111" s="38">
        <f t="shared" si="16"/>
        <v>0</v>
      </c>
      <c r="J111" s="172"/>
      <c r="K111" s="172"/>
      <c r="L111" s="172"/>
      <c r="M111" s="38">
        <f t="shared" si="17"/>
        <v>0</v>
      </c>
      <c r="N111" s="172"/>
      <c r="O111" s="172"/>
      <c r="P111" s="172"/>
      <c r="Q111" s="38">
        <f t="shared" si="18"/>
        <v>0</v>
      </c>
      <c r="R111" s="38">
        <f t="shared" si="19"/>
        <v>0</v>
      </c>
    </row>
    <row r="112" spans="1:20" ht="15.75" customHeight="1" x14ac:dyDescent="0.3">
      <c r="A112" s="422" t="s">
        <v>320</v>
      </c>
      <c r="B112" s="172"/>
      <c r="C112" s="172"/>
      <c r="D112" s="172"/>
      <c r="E112" s="38">
        <f t="shared" si="15"/>
        <v>0</v>
      </c>
      <c r="F112" s="172"/>
      <c r="G112" s="172"/>
      <c r="H112" s="172"/>
      <c r="I112" s="38">
        <f t="shared" si="16"/>
        <v>0</v>
      </c>
      <c r="J112" s="172"/>
      <c r="K112" s="172"/>
      <c r="L112" s="172"/>
      <c r="M112" s="38">
        <f t="shared" si="17"/>
        <v>0</v>
      </c>
      <c r="N112" s="172"/>
      <c r="O112" s="172"/>
      <c r="P112" s="172"/>
      <c r="Q112" s="38">
        <f t="shared" si="18"/>
        <v>0</v>
      </c>
      <c r="R112" s="38">
        <f t="shared" si="19"/>
        <v>0</v>
      </c>
    </row>
    <row r="113" spans="1:20" ht="15.75" customHeight="1" x14ac:dyDescent="0.3">
      <c r="A113" s="422" t="s">
        <v>563</v>
      </c>
      <c r="B113" s="172"/>
      <c r="C113" s="172"/>
      <c r="D113" s="172"/>
      <c r="E113" s="38">
        <f t="shared" si="15"/>
        <v>0</v>
      </c>
      <c r="F113" s="172"/>
      <c r="G113" s="172"/>
      <c r="H113" s="172"/>
      <c r="I113" s="38">
        <f t="shared" si="16"/>
        <v>0</v>
      </c>
      <c r="J113" s="172"/>
      <c r="K113" s="172"/>
      <c r="L113" s="172"/>
      <c r="M113" s="38">
        <f t="shared" si="17"/>
        <v>0</v>
      </c>
      <c r="N113" s="172"/>
      <c r="O113" s="172"/>
      <c r="P113" s="172"/>
      <c r="Q113" s="38">
        <f t="shared" si="18"/>
        <v>0</v>
      </c>
      <c r="R113" s="38">
        <f t="shared" si="19"/>
        <v>0</v>
      </c>
    </row>
    <row r="114" spans="1:20" ht="15.75" customHeight="1" x14ac:dyDescent="0.3">
      <c r="A114" s="422" t="s">
        <v>2123</v>
      </c>
      <c r="B114" s="172"/>
      <c r="C114" s="172"/>
      <c r="D114" s="172"/>
      <c r="E114" s="38">
        <f t="shared" si="15"/>
        <v>0</v>
      </c>
      <c r="F114" s="172"/>
      <c r="G114" s="172"/>
      <c r="H114" s="172"/>
      <c r="I114" s="38">
        <f t="shared" si="16"/>
        <v>0</v>
      </c>
      <c r="J114" s="172"/>
      <c r="K114" s="172"/>
      <c r="L114" s="172"/>
      <c r="M114" s="38">
        <f t="shared" si="17"/>
        <v>0</v>
      </c>
      <c r="N114" s="172"/>
      <c r="O114" s="172"/>
      <c r="P114" s="172"/>
      <c r="Q114" s="38">
        <f t="shared" si="18"/>
        <v>0</v>
      </c>
      <c r="R114" s="38">
        <f t="shared" si="19"/>
        <v>0</v>
      </c>
    </row>
    <row r="115" spans="1:20" ht="15.75" customHeight="1" x14ac:dyDescent="0.3">
      <c r="A115" s="422" t="s">
        <v>2752</v>
      </c>
      <c r="B115" s="172"/>
      <c r="C115" s="172"/>
      <c r="D115" s="172"/>
      <c r="E115" s="38">
        <f t="shared" si="15"/>
        <v>0</v>
      </c>
      <c r="F115" s="172"/>
      <c r="G115" s="172"/>
      <c r="H115" s="172"/>
      <c r="I115" s="38">
        <f t="shared" si="16"/>
        <v>0</v>
      </c>
      <c r="J115" s="172"/>
      <c r="K115" s="172"/>
      <c r="L115" s="172"/>
      <c r="M115" s="38">
        <f t="shared" si="17"/>
        <v>0</v>
      </c>
      <c r="N115" s="172"/>
      <c r="O115" s="172"/>
      <c r="P115" s="172"/>
      <c r="Q115" s="38">
        <f t="shared" si="18"/>
        <v>0</v>
      </c>
      <c r="R115" s="38">
        <f t="shared" si="19"/>
        <v>0</v>
      </c>
    </row>
    <row r="116" spans="1:20" ht="15.75" customHeight="1" x14ac:dyDescent="0.3">
      <c r="A116" s="422" t="s">
        <v>2690</v>
      </c>
      <c r="B116" s="172"/>
      <c r="C116" s="172"/>
      <c r="D116" s="172"/>
      <c r="E116" s="38">
        <f>SUM(B116:D116)</f>
        <v>0</v>
      </c>
      <c r="F116" s="172"/>
      <c r="G116" s="172"/>
      <c r="H116" s="172"/>
      <c r="I116" s="38">
        <f>SUM(F116:H116)</f>
        <v>0</v>
      </c>
      <c r="J116" s="172"/>
      <c r="K116" s="172"/>
      <c r="L116" s="172"/>
      <c r="M116" s="38">
        <f>SUM(J116:L116)</f>
        <v>0</v>
      </c>
      <c r="N116" s="172"/>
      <c r="O116" s="172"/>
      <c r="P116" s="172"/>
      <c r="Q116" s="38">
        <f>SUM(N116:P116)</f>
        <v>0</v>
      </c>
      <c r="R116" s="38">
        <f>+E116+I116+M116+Q116</f>
        <v>0</v>
      </c>
    </row>
    <row r="117" spans="1:20" ht="15.75" customHeight="1" x14ac:dyDescent="0.3">
      <c r="A117" s="618" t="s">
        <v>2503</v>
      </c>
      <c r="B117" s="172"/>
      <c r="C117" s="172"/>
      <c r="D117" s="172"/>
      <c r="E117" s="38">
        <f>SUM(B117:D117)</f>
        <v>0</v>
      </c>
      <c r="F117" s="172"/>
      <c r="G117" s="172"/>
      <c r="H117" s="172"/>
      <c r="I117" s="38">
        <f>SUM(F117:H117)</f>
        <v>0</v>
      </c>
      <c r="J117" s="172"/>
      <c r="K117" s="172"/>
      <c r="L117" s="172"/>
      <c r="M117" s="38">
        <f>SUM(J117:L117)</f>
        <v>0</v>
      </c>
      <c r="N117" s="172"/>
      <c r="O117" s="172"/>
      <c r="P117" s="172"/>
      <c r="Q117" s="38">
        <f>SUM(N117:P117)</f>
        <v>0</v>
      </c>
      <c r="R117" s="38">
        <f>+E117+I117+M117+Q117</f>
        <v>0</v>
      </c>
      <c r="T117" t="s">
        <v>2811</v>
      </c>
    </row>
    <row r="118" spans="1:20" ht="15.75" customHeight="1" x14ac:dyDescent="0.3">
      <c r="A118" s="235" t="s">
        <v>557</v>
      </c>
      <c r="B118" s="248"/>
      <c r="C118" s="248"/>
      <c r="D118" s="248"/>
      <c r="E118" s="38" t="s">
        <v>852</v>
      </c>
      <c r="F118" s="248"/>
      <c r="G118" s="248"/>
      <c r="H118" s="248"/>
      <c r="I118" s="38" t="s">
        <v>852</v>
      </c>
      <c r="J118" s="248"/>
      <c r="K118" s="248"/>
      <c r="L118" s="248"/>
      <c r="M118" s="38" t="s">
        <v>852</v>
      </c>
      <c r="N118" s="248"/>
      <c r="O118" s="248"/>
      <c r="P118" s="248"/>
      <c r="Q118" s="38" t="s">
        <v>852</v>
      </c>
      <c r="R118" s="38" t="s">
        <v>852</v>
      </c>
    </row>
    <row r="119" spans="1:20" ht="15.75" customHeight="1" x14ac:dyDescent="0.3">
      <c r="A119" s="422" t="s">
        <v>2606</v>
      </c>
      <c r="B119" s="172"/>
      <c r="C119" s="172"/>
      <c r="D119" s="172"/>
      <c r="E119" s="38">
        <f>SUM(B119:D119)</f>
        <v>0</v>
      </c>
      <c r="F119" s="172"/>
      <c r="G119" s="172"/>
      <c r="H119" s="172"/>
      <c r="I119" s="38">
        <f>SUM(F119:H119)</f>
        <v>0</v>
      </c>
      <c r="J119" s="172"/>
      <c r="K119" s="172"/>
      <c r="L119" s="172"/>
      <c r="M119" s="38">
        <f>SUM(J119:L119)</f>
        <v>0</v>
      </c>
      <c r="N119" s="172"/>
      <c r="O119" s="172"/>
      <c r="P119" s="172"/>
      <c r="Q119" s="38">
        <f>SUM(N119:P119)</f>
        <v>0</v>
      </c>
      <c r="R119" s="38">
        <f>+E119+I119+M119+Q119</f>
        <v>0</v>
      </c>
    </row>
    <row r="120" spans="1:20" ht="15.75" customHeight="1" x14ac:dyDescent="0.3">
      <c r="A120" s="422" t="s">
        <v>2548</v>
      </c>
      <c r="B120" s="172"/>
      <c r="C120" s="172"/>
      <c r="D120" s="172"/>
      <c r="E120" s="38">
        <f>SUM(B120:D120)</f>
        <v>0</v>
      </c>
      <c r="F120" s="172"/>
      <c r="G120" s="172"/>
      <c r="H120" s="172"/>
      <c r="I120" s="38">
        <f>SUM(F120:H120)</f>
        <v>0</v>
      </c>
      <c r="J120" s="172"/>
      <c r="K120" s="172"/>
      <c r="L120" s="172"/>
      <c r="M120" s="38">
        <f>SUM(J120:L120)</f>
        <v>0</v>
      </c>
      <c r="N120" s="172"/>
      <c r="O120" s="172"/>
      <c r="P120" s="172"/>
      <c r="Q120" s="38">
        <f>SUM(N120:P120)</f>
        <v>0</v>
      </c>
      <c r="R120" s="38">
        <f>+E120+I120+M120+Q120</f>
        <v>0</v>
      </c>
      <c r="S120" t="s">
        <v>3332</v>
      </c>
    </row>
    <row r="121" spans="1:20" ht="15.75" customHeight="1" x14ac:dyDescent="0.3">
      <c r="A121" s="235" t="s">
        <v>1022</v>
      </c>
      <c r="B121" s="248"/>
      <c r="C121" s="248"/>
      <c r="D121" s="248"/>
      <c r="E121" s="38" t="s">
        <v>852</v>
      </c>
      <c r="F121" s="248"/>
      <c r="G121" s="248"/>
      <c r="H121" s="248"/>
      <c r="I121" s="38" t="s">
        <v>852</v>
      </c>
      <c r="J121" s="248"/>
      <c r="K121" s="248"/>
      <c r="L121" s="248"/>
      <c r="M121" s="38" t="s">
        <v>852</v>
      </c>
      <c r="N121" s="248"/>
      <c r="O121" s="248"/>
      <c r="P121" s="248"/>
      <c r="Q121" s="38" t="s">
        <v>852</v>
      </c>
      <c r="R121" s="38" t="s">
        <v>852</v>
      </c>
    </row>
    <row r="122" spans="1:20" ht="15.75" customHeight="1" x14ac:dyDescent="0.3">
      <c r="A122" s="422" t="s">
        <v>3244</v>
      </c>
      <c r="B122" s="10"/>
      <c r="C122" s="10"/>
      <c r="D122" s="10"/>
      <c r="E122" s="38">
        <f>SUM(B122:D122)</f>
        <v>0</v>
      </c>
      <c r="F122" s="10"/>
      <c r="G122" s="10"/>
      <c r="H122" s="10"/>
      <c r="I122" s="38">
        <f>SUM(F122:H122)</f>
        <v>0</v>
      </c>
      <c r="J122" s="10"/>
      <c r="K122" s="10"/>
      <c r="L122" s="10"/>
      <c r="M122" s="38">
        <f>SUM(J122:L122)</f>
        <v>0</v>
      </c>
      <c r="N122" s="10"/>
      <c r="O122" s="10"/>
      <c r="P122" s="10"/>
      <c r="Q122" s="38">
        <f>SUM(N122:P122)</f>
        <v>0</v>
      </c>
      <c r="R122" s="38">
        <f>+E122+I122+M122+Q122</f>
        <v>0</v>
      </c>
      <c r="T122" t="s">
        <v>2774</v>
      </c>
    </row>
    <row r="123" spans="1:20" ht="15.75" customHeight="1" x14ac:dyDescent="0.3">
      <c r="A123" s="235" t="s">
        <v>559</v>
      </c>
      <c r="B123" s="248"/>
      <c r="C123" s="248"/>
      <c r="D123" s="248"/>
      <c r="E123" s="38" t="s">
        <v>852</v>
      </c>
      <c r="F123" s="248"/>
      <c r="G123" s="248"/>
      <c r="H123" s="248"/>
      <c r="I123" s="38" t="s">
        <v>852</v>
      </c>
      <c r="J123" s="248"/>
      <c r="K123" s="248"/>
      <c r="L123" s="248"/>
      <c r="M123" s="38" t="s">
        <v>852</v>
      </c>
      <c r="N123" s="248"/>
      <c r="O123" s="248"/>
      <c r="P123" s="248"/>
      <c r="Q123" s="38" t="s">
        <v>852</v>
      </c>
      <c r="R123" s="38" t="s">
        <v>852</v>
      </c>
    </row>
    <row r="124" spans="1:20" ht="15.75" customHeight="1" x14ac:dyDescent="0.3">
      <c r="A124" s="422" t="s">
        <v>3236</v>
      </c>
      <c r="B124" s="172"/>
      <c r="C124" s="172"/>
      <c r="D124" s="172"/>
      <c r="E124" s="38">
        <f t="shared" ref="E124:E129" si="20">SUM(B124:D124)</f>
        <v>0</v>
      </c>
      <c r="F124" s="172"/>
      <c r="G124" s="172"/>
      <c r="H124" s="172"/>
      <c r="I124" s="38">
        <f t="shared" ref="I124:I129" si="21">SUM(F124:H124)</f>
        <v>0</v>
      </c>
      <c r="J124" s="172"/>
      <c r="K124" s="172">
        <v>100</v>
      </c>
      <c r="L124" s="172">
        <v>100</v>
      </c>
      <c r="M124" s="38">
        <f t="shared" ref="M124:M129" si="22">SUM(J124:L124)</f>
        <v>200</v>
      </c>
      <c r="N124" s="172">
        <v>25</v>
      </c>
      <c r="O124" s="172">
        <v>275</v>
      </c>
      <c r="P124" s="172"/>
      <c r="Q124" s="38">
        <f t="shared" ref="Q124:Q129" si="23">SUM(N124:P124)</f>
        <v>300</v>
      </c>
      <c r="R124" s="38">
        <f t="shared" ref="R124:R129" si="24">+E124+I124+M124+Q124</f>
        <v>500</v>
      </c>
      <c r="S124" t="s">
        <v>3332</v>
      </c>
    </row>
    <row r="125" spans="1:20" ht="15.75" customHeight="1" thickBot="1" x14ac:dyDescent="0.35">
      <c r="A125" s="422" t="s">
        <v>3237</v>
      </c>
      <c r="B125" s="172"/>
      <c r="C125" s="172"/>
      <c r="D125" s="172"/>
      <c r="E125" s="38">
        <f t="shared" si="20"/>
        <v>0</v>
      </c>
      <c r="F125" s="172"/>
      <c r="G125" s="172"/>
      <c r="H125" s="172"/>
      <c r="I125" s="38">
        <f t="shared" si="21"/>
        <v>0</v>
      </c>
      <c r="J125" s="172"/>
      <c r="K125" s="172">
        <v>302</v>
      </c>
      <c r="L125" s="172">
        <v>400</v>
      </c>
      <c r="M125" s="38">
        <f t="shared" si="22"/>
        <v>702</v>
      </c>
      <c r="N125" s="172">
        <v>76</v>
      </c>
      <c r="O125" s="172">
        <v>261</v>
      </c>
      <c r="P125" s="172">
        <v>96</v>
      </c>
      <c r="Q125" s="38">
        <f t="shared" si="23"/>
        <v>433</v>
      </c>
      <c r="R125" s="38">
        <f t="shared" si="24"/>
        <v>1135</v>
      </c>
    </row>
    <row r="126" spans="1:20" ht="16.5" customHeight="1" thickBot="1" x14ac:dyDescent="0.35">
      <c r="A126" s="43" t="s">
        <v>1019</v>
      </c>
      <c r="B126" s="42">
        <f>SUM(B121:B125)</f>
        <v>0</v>
      </c>
      <c r="C126" s="42">
        <f>SUM(C121:C125)</f>
        <v>0</v>
      </c>
      <c r="D126" s="42">
        <f>SUM(D121:D125)</f>
        <v>0</v>
      </c>
      <c r="E126" s="39">
        <f t="shared" si="20"/>
        <v>0</v>
      </c>
      <c r="F126" s="42">
        <f>SUM(F121:F125)</f>
        <v>0</v>
      </c>
      <c r="G126" s="42">
        <f>SUM(G121:G125)</f>
        <v>0</v>
      </c>
      <c r="H126" s="42">
        <f>SUM(H121:H125)</f>
        <v>0</v>
      </c>
      <c r="I126" s="39">
        <f t="shared" si="21"/>
        <v>0</v>
      </c>
      <c r="J126" s="42">
        <f>SUM(J121:J125)</f>
        <v>0</v>
      </c>
      <c r="K126" s="42">
        <f>SUM(K121:K125)</f>
        <v>402</v>
      </c>
      <c r="L126" s="42">
        <f>SUM(L121:L125)</f>
        <v>500</v>
      </c>
      <c r="M126" s="39">
        <f t="shared" si="22"/>
        <v>902</v>
      </c>
      <c r="N126" s="42">
        <f>SUM(N121:N125)</f>
        <v>101</v>
      </c>
      <c r="O126" s="42">
        <f>SUM(O121:O125)</f>
        <v>536</v>
      </c>
      <c r="P126" s="42">
        <f>SUM(P121:P125)</f>
        <v>96</v>
      </c>
      <c r="Q126" s="39">
        <f t="shared" si="23"/>
        <v>733</v>
      </c>
      <c r="R126" s="37">
        <f t="shared" si="24"/>
        <v>1635</v>
      </c>
    </row>
    <row r="127" spans="1:20" ht="16.5" customHeight="1" thickBot="1" x14ac:dyDescent="0.35">
      <c r="A127" s="43" t="s">
        <v>1221</v>
      </c>
      <c r="B127" s="42">
        <f>SUM(B108:B125)</f>
        <v>0</v>
      </c>
      <c r="C127" s="42">
        <f>SUM(C108:C125)</f>
        <v>0</v>
      </c>
      <c r="D127" s="42">
        <f>SUM(D108:D125)</f>
        <v>0</v>
      </c>
      <c r="E127" s="39">
        <f t="shared" si="20"/>
        <v>0</v>
      </c>
      <c r="F127" s="42">
        <f>SUM(F108:F125)</f>
        <v>0</v>
      </c>
      <c r="G127" s="42">
        <f>SUM(G108:G125)</f>
        <v>0</v>
      </c>
      <c r="H127" s="42">
        <f>SUM(H108:H125)</f>
        <v>0</v>
      </c>
      <c r="I127" s="39">
        <f t="shared" si="21"/>
        <v>0</v>
      </c>
      <c r="J127" s="42">
        <f>SUM(J108:J125)</f>
        <v>0</v>
      </c>
      <c r="K127" s="42">
        <f>SUM(K108:K125)</f>
        <v>402</v>
      </c>
      <c r="L127" s="42">
        <f>SUM(L108:L125)</f>
        <v>500</v>
      </c>
      <c r="M127" s="39">
        <f t="shared" si="22"/>
        <v>902</v>
      </c>
      <c r="N127" s="42">
        <f>SUM(N108:N125)</f>
        <v>101</v>
      </c>
      <c r="O127" s="42">
        <f>SUM(O108:O125)</f>
        <v>536</v>
      </c>
      <c r="P127" s="42">
        <f>SUM(P108:P125)</f>
        <v>96</v>
      </c>
      <c r="Q127" s="39">
        <f t="shared" si="23"/>
        <v>733</v>
      </c>
      <c r="R127" s="37">
        <f t="shared" si="24"/>
        <v>1635</v>
      </c>
    </row>
    <row r="128" spans="1:20" ht="16.5" customHeight="1" thickBot="1" x14ac:dyDescent="0.35">
      <c r="A128" s="43" t="s">
        <v>1222</v>
      </c>
      <c r="B128" s="42">
        <f>+B89+B96+B107+B127</f>
        <v>680</v>
      </c>
      <c r="C128" s="42">
        <f>+C89+C96+C107+C127</f>
        <v>1011</v>
      </c>
      <c r="D128" s="42">
        <f>+D89+D96+D107+D127</f>
        <v>2789</v>
      </c>
      <c r="E128" s="37">
        <f t="shared" si="20"/>
        <v>4480</v>
      </c>
      <c r="F128" s="42">
        <f>+F89+F96+F107+F127</f>
        <v>5040</v>
      </c>
      <c r="G128" s="42">
        <f>+G89+G96+G107+G127</f>
        <v>5826</v>
      </c>
      <c r="H128" s="42">
        <f>+H89+H96+H107+H127</f>
        <v>6210</v>
      </c>
      <c r="I128" s="37">
        <f t="shared" si="21"/>
        <v>17076</v>
      </c>
      <c r="J128" s="42">
        <f>+J89+J96+J107+J127</f>
        <v>6193</v>
      </c>
      <c r="K128" s="42">
        <f>+K89+K96+K107+K127</f>
        <v>6626</v>
      </c>
      <c r="L128" s="42">
        <f>+L89+L96+L107+L127</f>
        <v>4422</v>
      </c>
      <c r="M128" s="37">
        <f t="shared" si="22"/>
        <v>17241</v>
      </c>
      <c r="N128" s="42">
        <f>+N89+N96+N107+N127</f>
        <v>524</v>
      </c>
      <c r="O128" s="42">
        <f>+O89+O96+O107+O127</f>
        <v>2677</v>
      </c>
      <c r="P128" s="42">
        <f>+P89+P96+P107+P127</f>
        <v>1924</v>
      </c>
      <c r="Q128" s="37">
        <f t="shared" si="23"/>
        <v>5125</v>
      </c>
      <c r="R128" s="37">
        <f t="shared" si="24"/>
        <v>43922</v>
      </c>
    </row>
    <row r="129" spans="1:20" ht="16.5" customHeight="1" thickBot="1" x14ac:dyDescent="0.35">
      <c r="A129" s="257" t="s">
        <v>853</v>
      </c>
      <c r="B129" s="238">
        <v>173</v>
      </c>
      <c r="C129" s="238">
        <v>260</v>
      </c>
      <c r="D129" s="238">
        <v>471</v>
      </c>
      <c r="E129" s="38">
        <f t="shared" si="20"/>
        <v>904</v>
      </c>
      <c r="F129" s="238">
        <v>629</v>
      </c>
      <c r="G129" s="238">
        <v>725</v>
      </c>
      <c r="H129" s="238">
        <v>712</v>
      </c>
      <c r="I129" s="38">
        <f t="shared" si="21"/>
        <v>2066</v>
      </c>
      <c r="J129" s="238">
        <v>711</v>
      </c>
      <c r="K129" s="238">
        <v>573</v>
      </c>
      <c r="L129" s="238">
        <v>542</v>
      </c>
      <c r="M129" s="38">
        <f t="shared" si="22"/>
        <v>1826</v>
      </c>
      <c r="N129" s="238">
        <v>490</v>
      </c>
      <c r="O129" s="238">
        <v>407</v>
      </c>
      <c r="P129" s="238">
        <v>323</v>
      </c>
      <c r="Q129" s="38">
        <f t="shared" si="23"/>
        <v>1220</v>
      </c>
      <c r="R129" s="38">
        <f t="shared" si="24"/>
        <v>6016</v>
      </c>
    </row>
    <row r="130" spans="1:20" ht="16.5" customHeight="1" thickBot="1" x14ac:dyDescent="0.35">
      <c r="A130" s="44"/>
      <c r="B130" s="258"/>
      <c r="C130" s="258"/>
      <c r="D130" s="258"/>
      <c r="E130" s="37" t="s">
        <v>852</v>
      </c>
      <c r="F130" s="258"/>
      <c r="G130" s="258"/>
      <c r="H130" s="258"/>
      <c r="I130" s="37" t="s">
        <v>852</v>
      </c>
      <c r="J130" s="258"/>
      <c r="K130" s="258"/>
      <c r="L130" s="258"/>
      <c r="M130" s="37" t="s">
        <v>852</v>
      </c>
      <c r="N130" s="258"/>
      <c r="O130" s="258"/>
      <c r="P130" s="258"/>
      <c r="Q130" s="37" t="s">
        <v>852</v>
      </c>
      <c r="R130" s="37" t="s">
        <v>852</v>
      </c>
    </row>
    <row r="131" spans="1:20" ht="15.75" customHeight="1" x14ac:dyDescent="0.3">
      <c r="A131" s="259" t="s">
        <v>2011</v>
      </c>
      <c r="B131" s="260">
        <f>+B128+B129</f>
        <v>853</v>
      </c>
      <c r="C131" s="260">
        <f>+C128+C129</f>
        <v>1271</v>
      </c>
      <c r="D131" s="260">
        <f>+D128+D129</f>
        <v>3260</v>
      </c>
      <c r="E131" s="38">
        <f>SUM(B131:D131)</f>
        <v>5384</v>
      </c>
      <c r="F131" s="260">
        <f>+F128+F129</f>
        <v>5669</v>
      </c>
      <c r="G131" s="260">
        <f>+G128+G129</f>
        <v>6551</v>
      </c>
      <c r="H131" s="260">
        <f>+H128+H129</f>
        <v>6922</v>
      </c>
      <c r="I131" s="38">
        <f>SUM(F131:H131)</f>
        <v>19142</v>
      </c>
      <c r="J131" s="260">
        <f>+J128+J129</f>
        <v>6904</v>
      </c>
      <c r="K131" s="260">
        <f>+K128+K129</f>
        <v>7199</v>
      </c>
      <c r="L131" s="260">
        <f>+L128+L129</f>
        <v>4964</v>
      </c>
      <c r="M131" s="38">
        <f>SUM(J131:L131)</f>
        <v>19067</v>
      </c>
      <c r="N131" s="260">
        <f>+N128+N129</f>
        <v>1014</v>
      </c>
      <c r="O131" s="260">
        <f>+O128+O129</f>
        <v>3084</v>
      </c>
      <c r="P131" s="260">
        <f>+P128+P129</f>
        <v>2247</v>
      </c>
      <c r="Q131" s="38">
        <f>SUM(N131:P131)</f>
        <v>6345</v>
      </c>
      <c r="R131" s="38">
        <f>+E131+I131+M131+Q131</f>
        <v>49938</v>
      </c>
    </row>
    <row r="132" spans="1:20" ht="15.75" customHeight="1" x14ac:dyDescent="0.3">
      <c r="A132" s="261" t="s">
        <v>1897</v>
      </c>
      <c r="B132" s="172">
        <f>(B131/B10)/1.983</f>
        <v>13.876010606282431</v>
      </c>
      <c r="C132" s="172">
        <f>(C131/C10)/1.983</f>
        <v>22.89100208918666</v>
      </c>
      <c r="D132" s="172">
        <f>(D131/D10)/1.983</f>
        <v>53.031412164690181</v>
      </c>
      <c r="E132" s="38" t="s">
        <v>852</v>
      </c>
      <c r="F132" s="172">
        <f>(F131/F10)/1.983</f>
        <v>95.293326609514196</v>
      </c>
      <c r="G132" s="172">
        <f>(G131/G10)/1.983</f>
        <v>106.56711076407528</v>
      </c>
      <c r="H132" s="172">
        <f>(H131/H10)/1.983</f>
        <v>116.35569003193812</v>
      </c>
      <c r="I132" s="38" t="s">
        <v>852</v>
      </c>
      <c r="J132" s="172">
        <f>(J131/J10)/1.983</f>
        <v>112.30946919785922</v>
      </c>
      <c r="K132" s="172">
        <f>(K131/K10)/1.983</f>
        <v>117.10832397963333</v>
      </c>
      <c r="L132" s="172">
        <f>(L131/L10)/1.983</f>
        <v>83.442595394183897</v>
      </c>
      <c r="M132" s="38" t="s">
        <v>852</v>
      </c>
      <c r="N132" s="172">
        <f>(N131/N10)/1.983</f>
        <v>16.49504660582695</v>
      </c>
      <c r="O132" s="172">
        <f>(O131/O10)/1.983</f>
        <v>51.840645486636404</v>
      </c>
      <c r="P132" s="172">
        <f>(P131/P10)/1.983</f>
        <v>36.552632863208238</v>
      </c>
      <c r="Q132" s="38" t="s">
        <v>852</v>
      </c>
      <c r="R132" s="38" t="s">
        <v>852</v>
      </c>
    </row>
    <row r="133" spans="1:20" ht="15.75" customHeight="1" x14ac:dyDescent="0.3">
      <c r="A133" s="262" t="s">
        <v>1679</v>
      </c>
      <c r="B133" s="172">
        <f>B131+B315</f>
        <v>89520</v>
      </c>
      <c r="C133" s="172">
        <f>C131+C315</f>
        <v>106851</v>
      </c>
      <c r="D133" s="172">
        <f>D131+D315</f>
        <v>137060</v>
      </c>
      <c r="E133" s="38">
        <f>SUM(B133:D133)</f>
        <v>333431</v>
      </c>
      <c r="F133" s="172">
        <f>F131+F315</f>
        <v>167936</v>
      </c>
      <c r="G133" s="172">
        <f>G131+G315</f>
        <v>178581</v>
      </c>
      <c r="H133" s="172">
        <f>H131+H315</f>
        <v>91262</v>
      </c>
      <c r="I133" s="38">
        <f>SUM(F133:H133)</f>
        <v>437779</v>
      </c>
      <c r="J133" s="172">
        <f>J131+J315</f>
        <v>77895</v>
      </c>
      <c r="K133" s="172">
        <f>K131+K315</f>
        <v>27708</v>
      </c>
      <c r="L133" s="172">
        <f>L131+L315</f>
        <v>164659</v>
      </c>
      <c r="M133" s="38">
        <f>SUM(J133:L133)</f>
        <v>270262</v>
      </c>
      <c r="N133" s="172">
        <f>N131+N315</f>
        <v>174641</v>
      </c>
      <c r="O133" s="172">
        <f>O131+O315</f>
        <v>170763</v>
      </c>
      <c r="P133" s="172">
        <f>P131+P315</f>
        <v>142079</v>
      </c>
      <c r="Q133" s="38">
        <f>SUM(N133:P133)</f>
        <v>487483</v>
      </c>
      <c r="R133" s="38">
        <f>+E133+I133+M133+Q133</f>
        <v>1528955</v>
      </c>
    </row>
    <row r="134" spans="1:20" ht="16.5" customHeight="1" thickBot="1" x14ac:dyDescent="0.35">
      <c r="A134" s="263" t="s">
        <v>6</v>
      </c>
      <c r="B134" s="264">
        <f>(B133/B10)/1.983</f>
        <v>1456.2490849641304</v>
      </c>
      <c r="C134" s="264">
        <f>(C133/C10)/1.983</f>
        <v>1924.4110654851954</v>
      </c>
      <c r="D134" s="264">
        <f>(D133/D10)/1.983</f>
        <v>2229.5967335252872</v>
      </c>
      <c r="E134" s="40" t="s">
        <v>852</v>
      </c>
      <c r="F134" s="264">
        <f>(F133/F10)/1.983</f>
        <v>2822.9282232307951</v>
      </c>
      <c r="G134" s="264">
        <f>(G133/G10)/1.983</f>
        <v>2905.0314772339075</v>
      </c>
      <c r="H134" s="264">
        <f>(H133/H10)/1.983</f>
        <v>1534.0729534375523</v>
      </c>
      <c r="I134" s="40" t="s">
        <v>852</v>
      </c>
      <c r="J134" s="264">
        <f>(J133/J10)/1.983</f>
        <v>1267.1416719535405</v>
      </c>
      <c r="K134" s="264">
        <f>(K133/K10)/1.983</f>
        <v>450.73446879117654</v>
      </c>
      <c r="L134" s="264">
        <f>(L133/L10)/1.983</f>
        <v>2767.8433350142877</v>
      </c>
      <c r="M134" s="40" t="s">
        <v>852</v>
      </c>
      <c r="N134" s="264">
        <f>(N133/N10)/1.983</f>
        <v>2840.9382981146196</v>
      </c>
      <c r="O134" s="264">
        <f>(O133/O10)/1.983</f>
        <v>2870.4488149268786</v>
      </c>
      <c r="P134" s="264">
        <f>(P133/P10)/1.983</f>
        <v>2311.2423340328273</v>
      </c>
      <c r="Q134" s="40" t="s">
        <v>852</v>
      </c>
      <c r="R134" s="40" t="s">
        <v>852</v>
      </c>
    </row>
    <row r="135" spans="1:20" ht="15.75" customHeight="1" x14ac:dyDescent="0.3">
      <c r="A135" s="18"/>
      <c r="B135" s="172"/>
      <c r="C135" s="172"/>
      <c r="D135" s="172"/>
      <c r="E135" s="172"/>
      <c r="F135" s="172"/>
      <c r="G135" s="172"/>
      <c r="H135" s="172"/>
      <c r="I135" s="172"/>
      <c r="J135" s="172"/>
      <c r="K135" s="172"/>
      <c r="L135" s="172"/>
      <c r="M135" s="172"/>
      <c r="N135" s="172"/>
      <c r="O135" s="172"/>
      <c r="P135" s="172"/>
      <c r="Q135" s="172"/>
      <c r="R135" s="17"/>
    </row>
    <row r="136" spans="1:20" ht="15.75" customHeight="1" thickBot="1" x14ac:dyDescent="0.35">
      <c r="A136" s="18" t="s">
        <v>852</v>
      </c>
      <c r="B136" s="172"/>
      <c r="C136" s="172"/>
      <c r="D136" s="172"/>
      <c r="E136" s="172"/>
      <c r="F136" s="172"/>
      <c r="G136" s="172"/>
      <c r="H136" s="172"/>
      <c r="I136" s="172"/>
      <c r="J136" s="172"/>
      <c r="K136" s="172"/>
      <c r="L136" s="172"/>
      <c r="M136" s="172"/>
      <c r="N136" s="172"/>
      <c r="O136" s="172"/>
      <c r="P136" s="172"/>
      <c r="Q136" s="172"/>
      <c r="R136" s="17"/>
    </row>
    <row r="137" spans="1:20" ht="16.5" customHeight="1" thickBot="1" x14ac:dyDescent="0.35">
      <c r="A137" s="240" t="s">
        <v>1446</v>
      </c>
      <c r="B137" s="4" t="s">
        <v>2090</v>
      </c>
      <c r="C137" s="5" t="s">
        <v>2091</v>
      </c>
      <c r="D137" s="5" t="s">
        <v>2234</v>
      </c>
      <c r="E137" s="33" t="s">
        <v>1594</v>
      </c>
      <c r="F137" s="5" t="s">
        <v>2235</v>
      </c>
      <c r="G137" s="5" t="s">
        <v>2236</v>
      </c>
      <c r="H137" s="5" t="s">
        <v>2237</v>
      </c>
      <c r="I137" s="35" t="s">
        <v>1595</v>
      </c>
      <c r="J137" s="5" t="s">
        <v>1504</v>
      </c>
      <c r="K137" s="5" t="s">
        <v>1505</v>
      </c>
      <c r="L137" s="5" t="s">
        <v>1506</v>
      </c>
      <c r="M137" s="35" t="s">
        <v>1596</v>
      </c>
      <c r="N137" s="5" t="s">
        <v>1507</v>
      </c>
      <c r="O137" s="5" t="s">
        <v>1508</v>
      </c>
      <c r="P137" s="5" t="s">
        <v>1509</v>
      </c>
      <c r="Q137" s="35" t="s">
        <v>1597</v>
      </c>
      <c r="R137" s="36" t="s">
        <v>1510</v>
      </c>
    </row>
    <row r="138" spans="1:20" ht="16.5" customHeight="1" thickBot="1" x14ac:dyDescent="0.35">
      <c r="A138" s="44"/>
      <c r="B138" s="258"/>
      <c r="C138" s="258"/>
      <c r="D138" s="258"/>
      <c r="E138" s="265"/>
      <c r="F138" s="258"/>
      <c r="G138" s="258"/>
      <c r="H138" s="258"/>
      <c r="I138" s="265"/>
      <c r="J138" s="258"/>
      <c r="K138" s="258"/>
      <c r="L138" s="258"/>
      <c r="M138" s="265"/>
      <c r="N138" s="258"/>
      <c r="O138" s="258"/>
      <c r="P138" s="258"/>
      <c r="Q138" s="265"/>
      <c r="R138" s="44"/>
    </row>
    <row r="139" spans="1:20" ht="15.75" customHeight="1" x14ac:dyDescent="0.3">
      <c r="A139" s="234" t="s">
        <v>2417</v>
      </c>
      <c r="B139" s="10" t="s">
        <v>852</v>
      </c>
      <c r="C139" s="10" t="s">
        <v>852</v>
      </c>
      <c r="D139" s="10" t="s">
        <v>852</v>
      </c>
      <c r="E139" s="38" t="s">
        <v>852</v>
      </c>
      <c r="F139" s="10" t="s">
        <v>852</v>
      </c>
      <c r="G139" s="10" t="s">
        <v>852</v>
      </c>
      <c r="H139" s="10" t="s">
        <v>852</v>
      </c>
      <c r="I139" s="38" t="s">
        <v>852</v>
      </c>
      <c r="J139" s="10" t="s">
        <v>852</v>
      </c>
      <c r="K139" s="10" t="s">
        <v>852</v>
      </c>
      <c r="L139" s="10" t="s">
        <v>852</v>
      </c>
      <c r="M139" s="38" t="s">
        <v>852</v>
      </c>
      <c r="N139" s="10" t="s">
        <v>852</v>
      </c>
      <c r="O139" s="10" t="s">
        <v>852</v>
      </c>
      <c r="P139" s="10" t="s">
        <v>852</v>
      </c>
      <c r="Q139" s="38" t="s">
        <v>852</v>
      </c>
      <c r="R139" s="48" t="s">
        <v>852</v>
      </c>
    </row>
    <row r="140" spans="1:20" ht="15.75" customHeight="1" x14ac:dyDescent="0.3">
      <c r="A140" s="234" t="s">
        <v>2160</v>
      </c>
      <c r="B140" s="10"/>
      <c r="C140" s="10"/>
      <c r="D140" s="10"/>
      <c r="E140" s="38" t="s">
        <v>852</v>
      </c>
      <c r="F140" s="10"/>
      <c r="G140" s="10"/>
      <c r="H140" s="10"/>
      <c r="I140" s="38" t="s">
        <v>852</v>
      </c>
      <c r="J140" s="10"/>
      <c r="K140" s="10"/>
      <c r="L140" s="10"/>
      <c r="M140" s="38" t="s">
        <v>852</v>
      </c>
      <c r="N140" s="10"/>
      <c r="O140" s="10"/>
      <c r="P140" s="10"/>
      <c r="Q140" s="38" t="s">
        <v>852</v>
      </c>
      <c r="R140" s="48"/>
    </row>
    <row r="141" spans="1:20" ht="15.75" customHeight="1" x14ac:dyDescent="0.3">
      <c r="A141" s="569" t="s">
        <v>2730</v>
      </c>
      <c r="B141" s="10"/>
      <c r="C141" s="10"/>
      <c r="D141" s="10">
        <v>599</v>
      </c>
      <c r="E141" s="38">
        <f t="shared" ref="E141:E144" si="25">SUM(B141:D141)</f>
        <v>599</v>
      </c>
      <c r="F141" s="10">
        <v>599</v>
      </c>
      <c r="G141" s="10">
        <v>599</v>
      </c>
      <c r="H141" s="10">
        <v>598</v>
      </c>
      <c r="I141" s="38">
        <f t="shared" ref="I141:I144" si="26">SUM(F141:H141)</f>
        <v>1796</v>
      </c>
      <c r="J141" s="10">
        <v>598</v>
      </c>
      <c r="K141" s="10">
        <v>613</v>
      </c>
      <c r="L141" s="10">
        <v>558</v>
      </c>
      <c r="M141" s="38">
        <f t="shared" ref="M141:M144" si="27">SUM(J141:L141)</f>
        <v>1769</v>
      </c>
      <c r="N141" s="10">
        <v>25</v>
      </c>
      <c r="O141" s="10"/>
      <c r="P141" s="10"/>
      <c r="Q141" s="38">
        <f t="shared" ref="Q141:Q147" si="28">SUM(N141:P141)</f>
        <v>25</v>
      </c>
      <c r="R141" s="38">
        <f>+E141+I141+M141+Q141</f>
        <v>4189</v>
      </c>
      <c r="T141" t="s">
        <v>2764</v>
      </c>
    </row>
    <row r="142" spans="1:20" ht="15.75" customHeight="1" x14ac:dyDescent="0.3">
      <c r="A142" s="569" t="s">
        <v>2733</v>
      </c>
      <c r="B142" s="10"/>
      <c r="C142" s="10">
        <v>232</v>
      </c>
      <c r="D142" s="10">
        <v>877</v>
      </c>
      <c r="E142" s="38">
        <f t="shared" si="25"/>
        <v>1109</v>
      </c>
      <c r="F142" s="10">
        <v>1512</v>
      </c>
      <c r="G142" s="10">
        <v>1111</v>
      </c>
      <c r="H142" s="10">
        <v>1500</v>
      </c>
      <c r="I142" s="38">
        <f t="shared" si="26"/>
        <v>4123</v>
      </c>
      <c r="J142" s="10">
        <v>1639</v>
      </c>
      <c r="K142" s="10">
        <v>1515</v>
      </c>
      <c r="L142" s="10">
        <v>1227</v>
      </c>
      <c r="M142" s="38">
        <f>SUM(J142:L142)</f>
        <v>4381</v>
      </c>
      <c r="N142" s="10">
        <v>921</v>
      </c>
      <c r="O142" s="10">
        <v>100</v>
      </c>
      <c r="P142" s="10"/>
      <c r="Q142" s="38">
        <f t="shared" si="28"/>
        <v>1021</v>
      </c>
      <c r="R142" s="38">
        <f t="shared" ref="R142:R187" si="29">+E142+I142+M142+Q142</f>
        <v>10634</v>
      </c>
      <c r="T142" t="s">
        <v>2764</v>
      </c>
    </row>
    <row r="143" spans="1:20" ht="15.75" customHeight="1" x14ac:dyDescent="0.3">
      <c r="A143" s="569" t="s">
        <v>2734</v>
      </c>
      <c r="B143" s="10"/>
      <c r="C143" s="10"/>
      <c r="D143" s="10">
        <v>339</v>
      </c>
      <c r="E143" s="38">
        <f t="shared" si="25"/>
        <v>339</v>
      </c>
      <c r="F143" s="10">
        <v>339</v>
      </c>
      <c r="G143" s="10">
        <v>339</v>
      </c>
      <c r="H143" s="10">
        <v>339</v>
      </c>
      <c r="I143" s="38">
        <f t="shared" si="26"/>
        <v>1017</v>
      </c>
      <c r="J143" s="10">
        <v>339</v>
      </c>
      <c r="K143" s="10">
        <v>354</v>
      </c>
      <c r="L143" s="10">
        <v>298</v>
      </c>
      <c r="M143" s="38">
        <f t="shared" si="27"/>
        <v>991</v>
      </c>
      <c r="N143" s="10">
        <v>25</v>
      </c>
      <c r="O143" s="10"/>
      <c r="P143" s="10"/>
      <c r="Q143" s="38">
        <f t="shared" si="28"/>
        <v>25</v>
      </c>
      <c r="R143" s="38">
        <f t="shared" si="29"/>
        <v>2372</v>
      </c>
      <c r="T143" t="s">
        <v>2764</v>
      </c>
    </row>
    <row r="144" spans="1:20" ht="15.75" customHeight="1" x14ac:dyDescent="0.3">
      <c r="A144" s="569" t="s">
        <v>2735</v>
      </c>
      <c r="B144" s="10"/>
      <c r="C144" s="10"/>
      <c r="D144" s="10">
        <v>323</v>
      </c>
      <c r="E144" s="38">
        <f t="shared" si="25"/>
        <v>323</v>
      </c>
      <c r="F144" s="10">
        <v>323</v>
      </c>
      <c r="G144" s="10">
        <v>323</v>
      </c>
      <c r="H144" s="10">
        <v>323</v>
      </c>
      <c r="I144" s="38">
        <f t="shared" si="26"/>
        <v>969</v>
      </c>
      <c r="J144" s="10">
        <v>324</v>
      </c>
      <c r="K144" s="10">
        <v>338</v>
      </c>
      <c r="L144" s="10">
        <v>283</v>
      </c>
      <c r="M144" s="38">
        <f t="shared" si="27"/>
        <v>945</v>
      </c>
      <c r="N144" s="10">
        <v>994</v>
      </c>
      <c r="O144" s="10"/>
      <c r="P144" s="10"/>
      <c r="Q144" s="38">
        <f t="shared" si="28"/>
        <v>994</v>
      </c>
      <c r="R144" s="38">
        <f t="shared" si="29"/>
        <v>3231</v>
      </c>
      <c r="T144" t="s">
        <v>2764</v>
      </c>
    </row>
    <row r="145" spans="1:20" ht="15.75" customHeight="1" x14ac:dyDescent="0.3">
      <c r="A145" s="539" t="s">
        <v>2238</v>
      </c>
      <c r="B145" s="10">
        <v>5</v>
      </c>
      <c r="C145" s="10">
        <v>1</v>
      </c>
      <c r="D145" s="10"/>
      <c r="E145" s="38">
        <f t="shared" ref="E145:E146" si="30">SUM(B145:D145)</f>
        <v>6</v>
      </c>
      <c r="F145" s="10">
        <v>2</v>
      </c>
      <c r="G145" s="10">
        <v>2</v>
      </c>
      <c r="H145" s="10">
        <v>2</v>
      </c>
      <c r="I145" s="38">
        <f t="shared" ref="I145:I184" si="31">SUM(F145:H145)</f>
        <v>6</v>
      </c>
      <c r="J145" s="10">
        <v>1</v>
      </c>
      <c r="K145" s="10"/>
      <c r="L145" s="10"/>
      <c r="M145" s="38">
        <f t="shared" ref="M145:M184" si="32">SUM(J145:L145)</f>
        <v>1</v>
      </c>
      <c r="N145" s="10"/>
      <c r="O145" s="10"/>
      <c r="P145" s="10">
        <v>17</v>
      </c>
      <c r="Q145" s="38">
        <f t="shared" si="28"/>
        <v>17</v>
      </c>
      <c r="R145" s="38">
        <f t="shared" si="29"/>
        <v>30</v>
      </c>
      <c r="T145" t="s">
        <v>1193</v>
      </c>
    </row>
    <row r="146" spans="1:20" ht="15.75" customHeight="1" x14ac:dyDescent="0.3">
      <c r="A146" s="539" t="s">
        <v>3318</v>
      </c>
      <c r="B146" s="10"/>
      <c r="C146" s="10"/>
      <c r="D146" s="10"/>
      <c r="E146" s="38">
        <f t="shared" si="30"/>
        <v>0</v>
      </c>
      <c r="F146" s="10"/>
      <c r="G146" s="10"/>
      <c r="H146" s="10">
        <v>300</v>
      </c>
      <c r="I146" s="38">
        <f t="shared" si="31"/>
        <v>300</v>
      </c>
      <c r="J146" s="10"/>
      <c r="K146" s="10"/>
      <c r="L146" s="10"/>
      <c r="M146" s="38">
        <f t="shared" si="32"/>
        <v>0</v>
      </c>
      <c r="N146" s="10"/>
      <c r="O146" s="10"/>
      <c r="P146" s="10"/>
      <c r="Q146" s="38">
        <f t="shared" ref="Q146" si="33">SUM(N146:P146)</f>
        <v>0</v>
      </c>
      <c r="R146" s="38">
        <f t="shared" ref="R146" si="34">+E146+I146+M146+Q146</f>
        <v>300</v>
      </c>
    </row>
    <row r="147" spans="1:20" ht="15.75" customHeight="1" x14ac:dyDescent="0.3">
      <c r="A147" s="569" t="s">
        <v>3046</v>
      </c>
      <c r="C147" s="10"/>
      <c r="D147" s="10"/>
      <c r="E147" s="38">
        <f>SUM(C147:D147)</f>
        <v>0</v>
      </c>
      <c r="F147" s="10"/>
      <c r="G147" s="10"/>
      <c r="H147" s="10">
        <v>625</v>
      </c>
      <c r="I147" s="38">
        <f t="shared" si="31"/>
        <v>625</v>
      </c>
      <c r="J147" s="10"/>
      <c r="K147" s="10"/>
      <c r="L147" s="10"/>
      <c r="M147" s="38">
        <f t="shared" si="32"/>
        <v>0</v>
      </c>
      <c r="N147" s="10"/>
      <c r="O147" s="10"/>
      <c r="P147" s="10"/>
      <c r="Q147" s="38">
        <f t="shared" si="28"/>
        <v>0</v>
      </c>
      <c r="R147" s="38">
        <f t="shared" si="29"/>
        <v>625</v>
      </c>
      <c r="T147" t="s">
        <v>2764</v>
      </c>
    </row>
    <row r="148" spans="1:20" ht="15.75" customHeight="1" x14ac:dyDescent="0.3">
      <c r="A148" s="569" t="s">
        <v>2736</v>
      </c>
      <c r="B148" s="10"/>
      <c r="C148" s="10"/>
      <c r="D148" s="10"/>
      <c r="E148" s="38">
        <f t="shared" ref="E148:E163" si="35">SUM(B148:D148)</f>
        <v>0</v>
      </c>
      <c r="F148" s="10"/>
      <c r="G148" s="10"/>
      <c r="H148" s="10"/>
      <c r="I148" s="38">
        <f t="shared" si="31"/>
        <v>0</v>
      </c>
      <c r="J148" s="10"/>
      <c r="K148" s="10"/>
      <c r="L148" s="10"/>
      <c r="M148" s="38">
        <f t="shared" si="32"/>
        <v>0</v>
      </c>
      <c r="N148" s="10"/>
      <c r="O148" s="10"/>
      <c r="P148" s="10"/>
      <c r="Q148" s="38">
        <f t="shared" ref="Q148:Q190" si="36">SUM(N148:P148)</f>
        <v>0</v>
      </c>
      <c r="R148" s="38">
        <f t="shared" si="29"/>
        <v>0</v>
      </c>
      <c r="T148" t="s">
        <v>2769</v>
      </c>
    </row>
    <row r="149" spans="1:20" ht="15.75" customHeight="1" x14ac:dyDescent="0.3">
      <c r="A149" s="569" t="s">
        <v>917</v>
      </c>
      <c r="B149" s="10"/>
      <c r="C149" s="10"/>
      <c r="D149" s="10">
        <v>1632</v>
      </c>
      <c r="E149" s="38">
        <f t="shared" si="35"/>
        <v>1632</v>
      </c>
      <c r="F149" s="10">
        <v>1000</v>
      </c>
      <c r="G149" s="10"/>
      <c r="H149" s="10"/>
      <c r="I149" s="38">
        <f t="shared" si="31"/>
        <v>1000</v>
      </c>
      <c r="J149" s="10"/>
      <c r="K149" s="10"/>
      <c r="L149" s="10"/>
      <c r="M149" s="38">
        <f t="shared" si="32"/>
        <v>0</v>
      </c>
      <c r="N149" s="10"/>
      <c r="O149" s="10"/>
      <c r="P149" s="10"/>
      <c r="Q149" s="38">
        <f t="shared" si="36"/>
        <v>0</v>
      </c>
      <c r="R149" s="38">
        <f t="shared" si="29"/>
        <v>2632</v>
      </c>
      <c r="T149" t="s">
        <v>2770</v>
      </c>
    </row>
    <row r="150" spans="1:20" ht="15.75" customHeight="1" x14ac:dyDescent="0.3">
      <c r="A150" s="539" t="s">
        <v>3001</v>
      </c>
      <c r="B150" s="10"/>
      <c r="C150" s="10"/>
      <c r="D150" s="10"/>
      <c r="E150" s="38">
        <f t="shared" si="35"/>
        <v>0</v>
      </c>
      <c r="F150" s="10"/>
      <c r="G150" s="10"/>
      <c r="H150" s="10"/>
      <c r="I150" s="38">
        <f t="shared" si="31"/>
        <v>0</v>
      </c>
      <c r="J150" s="10">
        <v>2784</v>
      </c>
      <c r="K150" s="10"/>
      <c r="L150" s="10"/>
      <c r="M150" s="38">
        <f t="shared" si="32"/>
        <v>2784</v>
      </c>
      <c r="N150" s="10"/>
      <c r="O150" s="10"/>
      <c r="P150" s="10"/>
      <c r="Q150" s="38">
        <f t="shared" si="36"/>
        <v>0</v>
      </c>
      <c r="R150" s="38">
        <f t="shared" si="29"/>
        <v>2784</v>
      </c>
      <c r="S150" t="s">
        <v>3020</v>
      </c>
      <c r="T150" t="s">
        <v>2760</v>
      </c>
    </row>
    <row r="151" spans="1:20" ht="15.75" customHeight="1" x14ac:dyDescent="0.3">
      <c r="A151" s="410" t="s">
        <v>3212</v>
      </c>
      <c r="B151" s="10"/>
      <c r="C151" s="10"/>
      <c r="D151" s="10"/>
      <c r="E151" s="38">
        <f>SUM(B151:D151)</f>
        <v>0</v>
      </c>
      <c r="F151" s="10">
        <v>72</v>
      </c>
      <c r="G151" s="10">
        <v>97</v>
      </c>
      <c r="H151" s="10">
        <v>125</v>
      </c>
      <c r="I151" s="38">
        <f>SUM(F151:H151)</f>
        <v>294</v>
      </c>
      <c r="K151" s="10"/>
      <c r="L151" s="10"/>
      <c r="M151" s="38">
        <f>SUM(J151:L151)</f>
        <v>0</v>
      </c>
      <c r="N151" s="10"/>
      <c r="O151" s="10"/>
      <c r="P151" s="10"/>
      <c r="Q151" s="38">
        <f>SUM(N151:P151)</f>
        <v>0</v>
      </c>
      <c r="R151" s="38">
        <f>+E151+I151+M151+Q151</f>
        <v>294</v>
      </c>
      <c r="S151" s="709"/>
    </row>
    <row r="152" spans="1:20" ht="15.75" customHeight="1" x14ac:dyDescent="0.3">
      <c r="A152" s="569" t="s">
        <v>3246</v>
      </c>
      <c r="B152" s="10"/>
      <c r="C152" s="10">
        <v>973</v>
      </c>
      <c r="D152" s="10">
        <v>536</v>
      </c>
      <c r="E152" s="38">
        <f t="shared" si="35"/>
        <v>1509</v>
      </c>
      <c r="F152" s="10">
        <v>1837</v>
      </c>
      <c r="G152" s="10"/>
      <c r="H152" s="10"/>
      <c r="I152" s="38">
        <f t="shared" si="31"/>
        <v>1837</v>
      </c>
      <c r="J152" s="10"/>
      <c r="K152" s="10"/>
      <c r="L152" s="10">
        <v>652</v>
      </c>
      <c r="M152" s="38">
        <f t="shared" si="32"/>
        <v>652</v>
      </c>
      <c r="N152" s="10">
        <v>925</v>
      </c>
      <c r="O152" s="10">
        <f>222+542</f>
        <v>764</v>
      </c>
      <c r="P152" s="10">
        <f>76+76</f>
        <v>152</v>
      </c>
      <c r="Q152" s="38">
        <f t="shared" si="36"/>
        <v>1841</v>
      </c>
      <c r="R152" s="38">
        <f t="shared" si="29"/>
        <v>5839</v>
      </c>
      <c r="S152" s="736" t="s">
        <v>3213</v>
      </c>
      <c r="T152" t="s">
        <v>2769</v>
      </c>
    </row>
    <row r="153" spans="1:20" ht="15.75" customHeight="1" x14ac:dyDescent="0.3">
      <c r="A153" s="569" t="s">
        <v>3247</v>
      </c>
      <c r="B153" s="10"/>
      <c r="C153" s="10">
        <v>1157</v>
      </c>
      <c r="D153" s="700"/>
      <c r="E153" s="38">
        <f t="shared" si="35"/>
        <v>1157</v>
      </c>
      <c r="F153" s="10"/>
      <c r="G153" s="10"/>
      <c r="H153" s="10"/>
      <c r="I153" s="38">
        <f t="shared" si="31"/>
        <v>0</v>
      </c>
      <c r="J153" s="10"/>
      <c r="K153" s="10"/>
      <c r="L153" s="10"/>
      <c r="M153" s="38">
        <f t="shared" si="32"/>
        <v>0</v>
      </c>
      <c r="N153" s="10"/>
      <c r="O153" s="10"/>
      <c r="P153" s="10"/>
      <c r="Q153" s="38">
        <f t="shared" si="36"/>
        <v>0</v>
      </c>
      <c r="R153" s="38">
        <f t="shared" si="29"/>
        <v>1157</v>
      </c>
      <c r="S153" s="736" t="s">
        <v>3213</v>
      </c>
      <c r="T153" t="s">
        <v>2770</v>
      </c>
    </row>
    <row r="154" spans="1:20" ht="15.75" customHeight="1" x14ac:dyDescent="0.3">
      <c r="A154" s="569" t="s">
        <v>3248</v>
      </c>
      <c r="B154" s="10"/>
      <c r="C154" s="10"/>
      <c r="D154" s="10"/>
      <c r="E154" s="38">
        <f t="shared" si="35"/>
        <v>0</v>
      </c>
      <c r="F154" s="10">
        <v>330</v>
      </c>
      <c r="G154" s="10">
        <v>330</v>
      </c>
      <c r="H154" s="10">
        <v>340</v>
      </c>
      <c r="I154" s="38">
        <f t="shared" si="31"/>
        <v>1000</v>
      </c>
      <c r="J154" s="10"/>
      <c r="K154" s="10"/>
      <c r="L154" s="10"/>
      <c r="M154" s="38">
        <f t="shared" si="32"/>
        <v>0</v>
      </c>
      <c r="N154" s="10"/>
      <c r="O154" s="10"/>
      <c r="P154" s="10"/>
      <c r="Q154" s="38">
        <f t="shared" si="36"/>
        <v>0</v>
      </c>
      <c r="R154" s="38">
        <f t="shared" si="29"/>
        <v>1000</v>
      </c>
      <c r="S154" s="736" t="s">
        <v>3213</v>
      </c>
      <c r="T154" t="s">
        <v>2764</v>
      </c>
    </row>
    <row r="155" spans="1:20" ht="15.75" customHeight="1" x14ac:dyDescent="0.3">
      <c r="A155" s="539" t="s">
        <v>1880</v>
      </c>
      <c r="B155" s="10">
        <v>48</v>
      </c>
      <c r="C155" s="10">
        <v>34</v>
      </c>
      <c r="D155" s="10">
        <v>52</v>
      </c>
      <c r="E155" s="38">
        <f t="shared" si="35"/>
        <v>134</v>
      </c>
      <c r="F155" s="10">
        <v>56</v>
      </c>
      <c r="G155" s="10">
        <v>59</v>
      </c>
      <c r="H155" s="10">
        <v>65</v>
      </c>
      <c r="I155" s="38">
        <f t="shared" si="31"/>
        <v>180</v>
      </c>
      <c r="J155" s="10">
        <v>67</v>
      </c>
      <c r="K155" s="10">
        <v>66</v>
      </c>
      <c r="L155" s="10">
        <v>64</v>
      </c>
      <c r="M155" s="38">
        <f t="shared" si="32"/>
        <v>197</v>
      </c>
      <c r="N155" s="10">
        <v>61</v>
      </c>
      <c r="O155" s="10">
        <v>41</v>
      </c>
      <c r="P155" s="10">
        <v>37</v>
      </c>
      <c r="Q155" s="38">
        <f t="shared" si="36"/>
        <v>139</v>
      </c>
      <c r="R155" s="38">
        <f t="shared" si="29"/>
        <v>650</v>
      </c>
      <c r="T155" t="s">
        <v>2761</v>
      </c>
    </row>
    <row r="156" spans="1:20" ht="15.75" customHeight="1" x14ac:dyDescent="0.3">
      <c r="A156" s="539" t="s">
        <v>703</v>
      </c>
      <c r="B156" s="10">
        <v>109</v>
      </c>
      <c r="C156" s="10">
        <v>82</v>
      </c>
      <c r="D156" s="10">
        <v>102</v>
      </c>
      <c r="E156" s="38">
        <f t="shared" si="35"/>
        <v>293</v>
      </c>
      <c r="F156" s="10">
        <v>175</v>
      </c>
      <c r="G156" s="10">
        <v>208</v>
      </c>
      <c r="H156" s="10">
        <v>215</v>
      </c>
      <c r="I156" s="38">
        <f t="shared" si="31"/>
        <v>598</v>
      </c>
      <c r="J156" s="10">
        <v>197</v>
      </c>
      <c r="K156" s="10">
        <v>175</v>
      </c>
      <c r="L156" s="10">
        <v>180</v>
      </c>
      <c r="M156" s="38">
        <f t="shared" si="32"/>
        <v>552</v>
      </c>
      <c r="N156" s="10">
        <v>128</v>
      </c>
      <c r="O156" s="10">
        <v>140</v>
      </c>
      <c r="P156" s="10">
        <v>149</v>
      </c>
      <c r="Q156" s="38">
        <f t="shared" si="36"/>
        <v>417</v>
      </c>
      <c r="R156" s="38">
        <f t="shared" si="29"/>
        <v>1860</v>
      </c>
      <c r="T156" t="s">
        <v>2874</v>
      </c>
    </row>
    <row r="157" spans="1:20" ht="15.75" customHeight="1" x14ac:dyDescent="0.3">
      <c r="A157" s="539" t="s">
        <v>2967</v>
      </c>
      <c r="B157" s="10"/>
      <c r="C157" s="10"/>
      <c r="D157" s="10">
        <v>300</v>
      </c>
      <c r="E157" s="38">
        <f t="shared" si="35"/>
        <v>300</v>
      </c>
      <c r="F157" s="10">
        <f>200+300</f>
        <v>500</v>
      </c>
      <c r="G157" s="10">
        <f>124</f>
        <v>124</v>
      </c>
      <c r="H157" s="10"/>
      <c r="I157" s="38">
        <f t="shared" si="31"/>
        <v>624</v>
      </c>
      <c r="J157" s="10"/>
      <c r="K157" s="10"/>
      <c r="L157" s="10">
        <v>500</v>
      </c>
      <c r="M157" s="38">
        <f t="shared" si="32"/>
        <v>500</v>
      </c>
      <c r="N157" s="10">
        <v>600</v>
      </c>
      <c r="O157" s="10">
        <v>633</v>
      </c>
      <c r="P157" s="10">
        <v>332</v>
      </c>
      <c r="Q157" s="38">
        <f t="shared" si="36"/>
        <v>1565</v>
      </c>
      <c r="R157" s="38">
        <f t="shared" si="29"/>
        <v>2989</v>
      </c>
      <c r="S157" t="s">
        <v>3020</v>
      </c>
    </row>
    <row r="158" spans="1:20" ht="15.75" customHeight="1" x14ac:dyDescent="0.3">
      <c r="A158" s="569" t="s">
        <v>2829</v>
      </c>
      <c r="B158" s="10"/>
      <c r="C158" s="10">
        <v>100</v>
      </c>
      <c r="D158" s="10">
        <v>100</v>
      </c>
      <c r="E158" s="38">
        <f>SUM(B158:D158)</f>
        <v>200</v>
      </c>
      <c r="F158" s="10">
        <v>100</v>
      </c>
      <c r="G158" s="10">
        <v>175</v>
      </c>
      <c r="H158" s="10">
        <v>352</v>
      </c>
      <c r="I158" s="38">
        <f t="shared" si="31"/>
        <v>627</v>
      </c>
      <c r="J158" s="10">
        <v>250</v>
      </c>
      <c r="K158" s="10">
        <v>265</v>
      </c>
      <c r="L158" s="10">
        <v>133</v>
      </c>
      <c r="M158" s="38">
        <f t="shared" si="32"/>
        <v>648</v>
      </c>
      <c r="N158" s="10">
        <v>175</v>
      </c>
      <c r="O158" s="10"/>
      <c r="P158" s="10"/>
      <c r="Q158" s="38">
        <f t="shared" si="36"/>
        <v>175</v>
      </c>
      <c r="R158" s="38">
        <f t="shared" si="29"/>
        <v>1650</v>
      </c>
      <c r="T158" t="s">
        <v>2764</v>
      </c>
    </row>
    <row r="159" spans="1:20" ht="15.75" customHeight="1" x14ac:dyDescent="0.3">
      <c r="A159" s="539" t="s">
        <v>2830</v>
      </c>
      <c r="B159" s="10">
        <v>405</v>
      </c>
      <c r="C159" s="10">
        <v>379</v>
      </c>
      <c r="D159" s="10">
        <v>435</v>
      </c>
      <c r="E159" s="38">
        <f t="shared" si="35"/>
        <v>1219</v>
      </c>
      <c r="F159" s="10">
        <v>443</v>
      </c>
      <c r="G159" s="10">
        <v>379</v>
      </c>
      <c r="H159" s="10">
        <v>531</v>
      </c>
      <c r="I159" s="38">
        <f t="shared" si="31"/>
        <v>1353</v>
      </c>
      <c r="J159" s="10">
        <v>563</v>
      </c>
      <c r="K159" s="10">
        <v>445</v>
      </c>
      <c r="L159" s="10">
        <v>393</v>
      </c>
      <c r="M159" s="38">
        <f t="shared" si="32"/>
        <v>1401</v>
      </c>
      <c r="N159" s="10">
        <v>444</v>
      </c>
      <c r="O159" s="10">
        <v>443</v>
      </c>
      <c r="P159" s="10">
        <v>286</v>
      </c>
      <c r="Q159" s="38">
        <f t="shared" si="36"/>
        <v>1173</v>
      </c>
      <c r="R159" s="38">
        <f t="shared" si="29"/>
        <v>5146</v>
      </c>
      <c r="T159" t="s">
        <v>2762</v>
      </c>
    </row>
    <row r="160" spans="1:20" ht="15.75" customHeight="1" x14ac:dyDescent="0.3">
      <c r="A160" s="569" t="s">
        <v>2845</v>
      </c>
      <c r="B160" s="10"/>
      <c r="C160" s="10"/>
      <c r="D160" s="10"/>
      <c r="E160" s="38">
        <f t="shared" si="35"/>
        <v>0</v>
      </c>
      <c r="F160" s="10"/>
      <c r="G160" s="10"/>
      <c r="H160" s="10"/>
      <c r="I160" s="38">
        <f t="shared" si="31"/>
        <v>0</v>
      </c>
      <c r="J160" s="10"/>
      <c r="K160" s="10"/>
      <c r="L160" s="10">
        <v>508</v>
      </c>
      <c r="M160" s="38">
        <f t="shared" si="32"/>
        <v>508</v>
      </c>
      <c r="N160" s="10"/>
      <c r="O160" s="10"/>
      <c r="P160" s="10"/>
      <c r="Q160" s="38">
        <f t="shared" si="36"/>
        <v>0</v>
      </c>
      <c r="R160" s="38">
        <f t="shared" si="29"/>
        <v>508</v>
      </c>
      <c r="T160" t="s">
        <v>2770</v>
      </c>
    </row>
    <row r="161" spans="1:20" ht="15.75" customHeight="1" x14ac:dyDescent="0.3">
      <c r="A161" s="410" t="s">
        <v>3274</v>
      </c>
      <c r="B161" s="10"/>
      <c r="C161" s="10"/>
      <c r="D161" s="10"/>
      <c r="E161" s="38">
        <f t="shared" ref="E161" si="37">SUM(B161:D161)</f>
        <v>0</v>
      </c>
      <c r="F161" s="10"/>
      <c r="G161" s="10"/>
      <c r="H161" s="10">
        <v>355</v>
      </c>
      <c r="I161" s="38">
        <f t="shared" ref="I161" si="38">SUM(F161:H161)</f>
        <v>355</v>
      </c>
      <c r="J161" s="10"/>
      <c r="K161" s="10"/>
      <c r="L161" s="10"/>
      <c r="M161" s="38">
        <f t="shared" ref="M161" si="39">SUM(J161:L161)</f>
        <v>0</v>
      </c>
      <c r="N161" s="10"/>
      <c r="O161" s="10"/>
      <c r="P161" s="10"/>
      <c r="Q161" s="38">
        <f t="shared" ref="Q161" si="40">SUM(N161:P161)</f>
        <v>0</v>
      </c>
      <c r="R161" s="38">
        <f t="shared" ref="R161" si="41">+E161+I161+M161+Q161</f>
        <v>355</v>
      </c>
    </row>
    <row r="162" spans="1:20" ht="15.75" customHeight="1" x14ac:dyDescent="0.3">
      <c r="A162" s="410" t="s">
        <v>3132</v>
      </c>
      <c r="B162" s="10"/>
      <c r="C162" s="10"/>
      <c r="D162" s="10"/>
      <c r="E162" s="38">
        <f t="shared" si="35"/>
        <v>0</v>
      </c>
      <c r="F162" s="10"/>
      <c r="G162" s="10"/>
      <c r="H162" s="10">
        <v>50</v>
      </c>
      <c r="I162" s="38">
        <f t="shared" si="31"/>
        <v>50</v>
      </c>
      <c r="J162" s="10"/>
      <c r="K162" s="10"/>
      <c r="L162" s="10"/>
      <c r="M162" s="38">
        <f t="shared" si="32"/>
        <v>0</v>
      </c>
      <c r="N162" s="10"/>
      <c r="O162" s="10"/>
      <c r="P162" s="10"/>
      <c r="Q162" s="38">
        <f t="shared" si="36"/>
        <v>0</v>
      </c>
      <c r="R162" s="38">
        <f t="shared" si="29"/>
        <v>50</v>
      </c>
    </row>
    <row r="163" spans="1:20" ht="15.75" customHeight="1" x14ac:dyDescent="0.3">
      <c r="A163" s="539" t="s">
        <v>2809</v>
      </c>
      <c r="B163" s="10"/>
      <c r="C163" s="10"/>
      <c r="D163" s="10"/>
      <c r="E163" s="38">
        <f t="shared" si="35"/>
        <v>0</v>
      </c>
      <c r="F163" s="10"/>
      <c r="G163" s="10"/>
      <c r="H163" s="10"/>
      <c r="I163" s="38">
        <f t="shared" si="31"/>
        <v>0</v>
      </c>
      <c r="J163" s="10"/>
      <c r="K163" s="10"/>
      <c r="L163" s="10">
        <v>200</v>
      </c>
      <c r="M163" s="38">
        <f t="shared" si="32"/>
        <v>200</v>
      </c>
      <c r="N163" s="10">
        <v>200</v>
      </c>
      <c r="O163" s="10"/>
      <c r="P163" s="10"/>
      <c r="Q163" s="38">
        <f t="shared" si="36"/>
        <v>200</v>
      </c>
      <c r="R163" s="38">
        <f t="shared" si="29"/>
        <v>400</v>
      </c>
      <c r="S163" t="s">
        <v>3020</v>
      </c>
      <c r="T163" t="s">
        <v>2760</v>
      </c>
    </row>
    <row r="164" spans="1:20" s="353" customFormat="1" ht="15.75" customHeight="1" x14ac:dyDescent="0.3">
      <c r="A164" s="535" t="s">
        <v>1242</v>
      </c>
      <c r="B164" s="542"/>
      <c r="C164" s="542"/>
      <c r="D164" s="542"/>
      <c r="E164" s="331">
        <f t="shared" ref="E164:E183" si="42">SUM(B164:D164)</f>
        <v>0</v>
      </c>
      <c r="F164" s="542"/>
      <c r="G164" s="542"/>
      <c r="H164" s="542"/>
      <c r="I164" s="331">
        <f t="shared" si="31"/>
        <v>0</v>
      </c>
      <c r="J164" s="542"/>
      <c r="K164" s="542"/>
      <c r="L164" s="542"/>
      <c r="M164" s="331">
        <f t="shared" si="32"/>
        <v>0</v>
      </c>
      <c r="N164" s="542"/>
      <c r="O164" s="542"/>
      <c r="P164" s="542"/>
      <c r="Q164" s="331">
        <f t="shared" si="36"/>
        <v>0</v>
      </c>
      <c r="R164" s="331">
        <f t="shared" si="29"/>
        <v>0</v>
      </c>
    </row>
    <row r="165" spans="1:20" ht="15.75" customHeight="1" x14ac:dyDescent="0.3">
      <c r="A165" s="539" t="s">
        <v>1379</v>
      </c>
      <c r="B165" s="10"/>
      <c r="C165" s="10"/>
      <c r="D165" s="10">
        <v>296</v>
      </c>
      <c r="E165" s="38">
        <f t="shared" si="42"/>
        <v>296</v>
      </c>
      <c r="F165" s="10">
        <v>1679</v>
      </c>
      <c r="G165" s="10">
        <v>1765</v>
      </c>
      <c r="H165" s="10">
        <v>1819</v>
      </c>
      <c r="I165" s="38">
        <f t="shared" si="31"/>
        <v>5263</v>
      </c>
      <c r="J165" s="10">
        <v>1808</v>
      </c>
      <c r="K165" s="10">
        <v>1720</v>
      </c>
      <c r="L165" s="10">
        <v>1608</v>
      </c>
      <c r="M165" s="38">
        <f t="shared" si="32"/>
        <v>5136</v>
      </c>
      <c r="N165" s="10">
        <v>1564</v>
      </c>
      <c r="O165" s="10">
        <v>1670</v>
      </c>
      <c r="P165" s="10">
        <v>1576</v>
      </c>
      <c r="Q165" s="38">
        <f t="shared" si="36"/>
        <v>4810</v>
      </c>
      <c r="R165" s="38">
        <f>+E165+I165+M165+Q165</f>
        <v>15505</v>
      </c>
      <c r="T165" t="s">
        <v>2775</v>
      </c>
    </row>
    <row r="166" spans="1:20" ht="15.75" customHeight="1" x14ac:dyDescent="0.3">
      <c r="A166" s="569" t="s">
        <v>2984</v>
      </c>
      <c r="B166" s="10"/>
      <c r="C166" s="10"/>
      <c r="D166" s="10"/>
      <c r="E166" s="38">
        <f t="shared" si="42"/>
        <v>0</v>
      </c>
      <c r="F166" s="10"/>
      <c r="G166" s="10"/>
      <c r="H166" s="10"/>
      <c r="I166" s="38">
        <f t="shared" si="31"/>
        <v>0</v>
      </c>
      <c r="J166" s="10"/>
      <c r="K166" s="10">
        <v>477</v>
      </c>
      <c r="L166" s="10"/>
      <c r="M166" s="38">
        <f t="shared" si="32"/>
        <v>477</v>
      </c>
      <c r="N166" s="10"/>
      <c r="O166" s="10"/>
      <c r="P166" s="10"/>
      <c r="Q166" s="38">
        <f t="shared" si="36"/>
        <v>0</v>
      </c>
      <c r="R166" s="38">
        <f t="shared" ref="R166:R171" si="43">+E166+I166+M166+Q166</f>
        <v>477</v>
      </c>
      <c r="T166" t="s">
        <v>2764</v>
      </c>
    </row>
    <row r="167" spans="1:20" ht="15.75" customHeight="1" x14ac:dyDescent="0.3">
      <c r="A167" s="569" t="s">
        <v>2987</v>
      </c>
      <c r="B167" s="10"/>
      <c r="C167" s="10"/>
      <c r="D167" s="10"/>
      <c r="E167" s="38">
        <f t="shared" si="42"/>
        <v>0</v>
      </c>
      <c r="F167" s="10"/>
      <c r="G167" s="10"/>
      <c r="H167" s="10"/>
      <c r="I167" s="38">
        <f t="shared" si="31"/>
        <v>0</v>
      </c>
      <c r="J167" s="10"/>
      <c r="K167" s="10"/>
      <c r="L167" s="10">
        <v>400</v>
      </c>
      <c r="M167" s="38">
        <f t="shared" si="32"/>
        <v>400</v>
      </c>
      <c r="N167" s="10">
        <v>300</v>
      </c>
      <c r="O167" s="10"/>
      <c r="P167" s="10"/>
      <c r="Q167" s="38">
        <f t="shared" si="36"/>
        <v>300</v>
      </c>
      <c r="R167" s="38">
        <f t="shared" si="43"/>
        <v>700</v>
      </c>
      <c r="T167" t="s">
        <v>2770</v>
      </c>
    </row>
    <row r="168" spans="1:20" ht="15.75" customHeight="1" x14ac:dyDescent="0.3">
      <c r="A168" s="539" t="s">
        <v>2985</v>
      </c>
      <c r="B168" s="10"/>
      <c r="C168" s="10"/>
      <c r="D168" s="10"/>
      <c r="E168" s="38">
        <f t="shared" si="42"/>
        <v>0</v>
      </c>
      <c r="F168" s="10"/>
      <c r="G168" s="10"/>
      <c r="H168" s="10"/>
      <c r="I168" s="38">
        <f t="shared" si="31"/>
        <v>0</v>
      </c>
      <c r="J168" s="10">
        <v>255</v>
      </c>
      <c r="K168" s="10"/>
      <c r="L168" s="10"/>
      <c r="M168" s="38">
        <f t="shared" si="32"/>
        <v>255</v>
      </c>
      <c r="N168" s="10"/>
      <c r="O168" s="10"/>
      <c r="P168" s="10"/>
      <c r="Q168" s="38">
        <f t="shared" si="36"/>
        <v>0</v>
      </c>
      <c r="R168" s="38">
        <f t="shared" si="43"/>
        <v>255</v>
      </c>
      <c r="S168" s="709" t="s">
        <v>3020</v>
      </c>
      <c r="T168" t="s">
        <v>2986</v>
      </c>
    </row>
    <row r="169" spans="1:20" ht="15.75" customHeight="1" x14ac:dyDescent="0.3">
      <c r="A169" s="569" t="s">
        <v>2767</v>
      </c>
      <c r="B169" s="10"/>
      <c r="C169" s="10"/>
      <c r="D169" s="10"/>
      <c r="E169" s="38">
        <f t="shared" si="42"/>
        <v>0</v>
      </c>
      <c r="F169" s="10"/>
      <c r="G169" s="10"/>
      <c r="H169" s="10"/>
      <c r="I169" s="38">
        <f t="shared" si="31"/>
        <v>0</v>
      </c>
      <c r="J169" s="10"/>
      <c r="K169" s="10"/>
      <c r="L169" s="10"/>
      <c r="M169" s="38">
        <f t="shared" si="32"/>
        <v>0</v>
      </c>
      <c r="N169" s="10"/>
      <c r="O169" s="10"/>
      <c r="P169" s="10"/>
      <c r="Q169" s="38">
        <f t="shared" si="36"/>
        <v>0</v>
      </c>
      <c r="R169" s="38">
        <f t="shared" si="43"/>
        <v>0</v>
      </c>
      <c r="T169" t="s">
        <v>2769</v>
      </c>
    </row>
    <row r="170" spans="1:20" ht="15.75" customHeight="1" x14ac:dyDescent="0.3">
      <c r="A170" s="569" t="s">
        <v>2768</v>
      </c>
      <c r="B170" s="10"/>
      <c r="C170" s="10"/>
      <c r="D170" s="10"/>
      <c r="E170" s="38">
        <f t="shared" si="42"/>
        <v>0</v>
      </c>
      <c r="F170" s="10"/>
      <c r="G170" s="10"/>
      <c r="H170" s="10"/>
      <c r="I170" s="38">
        <f t="shared" si="31"/>
        <v>0</v>
      </c>
      <c r="J170" s="10"/>
      <c r="K170" s="10"/>
      <c r="L170" s="10"/>
      <c r="M170" s="38">
        <f t="shared" si="32"/>
        <v>0</v>
      </c>
      <c r="N170" s="10"/>
      <c r="O170" s="10"/>
      <c r="P170" s="10"/>
      <c r="Q170" s="38">
        <f t="shared" si="36"/>
        <v>0</v>
      </c>
      <c r="R170" s="38">
        <f t="shared" si="43"/>
        <v>0</v>
      </c>
      <c r="T170" t="s">
        <v>2770</v>
      </c>
    </row>
    <row r="171" spans="1:20" ht="15.75" customHeight="1" x14ac:dyDescent="0.3">
      <c r="A171" s="539" t="s">
        <v>1879</v>
      </c>
      <c r="B171" s="10">
        <v>21</v>
      </c>
      <c r="C171" s="10">
        <v>22</v>
      </c>
      <c r="D171" s="10">
        <v>31</v>
      </c>
      <c r="E171" s="38">
        <f t="shared" si="42"/>
        <v>74</v>
      </c>
      <c r="F171" s="10">
        <v>61</v>
      </c>
      <c r="G171" s="10">
        <v>67</v>
      </c>
      <c r="H171" s="10">
        <v>73</v>
      </c>
      <c r="I171" s="38">
        <f t="shared" si="31"/>
        <v>201</v>
      </c>
      <c r="J171" s="10">
        <v>79</v>
      </c>
      <c r="K171" s="10">
        <v>65</v>
      </c>
      <c r="L171" s="10">
        <v>66</v>
      </c>
      <c r="M171" s="38">
        <f t="shared" si="32"/>
        <v>210</v>
      </c>
      <c r="N171" s="10">
        <v>40</v>
      </c>
      <c r="O171" s="10">
        <v>27</v>
      </c>
      <c r="P171" s="10">
        <v>16</v>
      </c>
      <c r="Q171" s="38">
        <f t="shared" si="36"/>
        <v>83</v>
      </c>
      <c r="R171" s="38">
        <f t="shared" si="43"/>
        <v>568</v>
      </c>
      <c r="T171" t="s">
        <v>1193</v>
      </c>
    </row>
    <row r="172" spans="1:20" ht="15.75" customHeight="1" x14ac:dyDescent="0.3">
      <c r="A172" s="569" t="s">
        <v>2737</v>
      </c>
      <c r="B172" s="10">
        <v>1177</v>
      </c>
      <c r="C172" s="10">
        <v>1042</v>
      </c>
      <c r="D172" s="10">
        <v>816</v>
      </c>
      <c r="E172" s="38">
        <f t="shared" si="42"/>
        <v>3035</v>
      </c>
      <c r="F172" s="10">
        <v>1238</v>
      </c>
      <c r="G172" s="10">
        <v>2227</v>
      </c>
      <c r="H172" s="10">
        <v>3053</v>
      </c>
      <c r="I172" s="38">
        <f t="shared" si="31"/>
        <v>6518</v>
      </c>
      <c r="J172" s="10">
        <f>614+1153</f>
        <v>1767</v>
      </c>
      <c r="K172" s="10">
        <f>68</f>
        <v>68</v>
      </c>
      <c r="L172" s="10">
        <f>409</f>
        <v>409</v>
      </c>
      <c r="M172" s="38">
        <f t="shared" si="32"/>
        <v>2244</v>
      </c>
      <c r="N172" s="10"/>
      <c r="O172" s="10"/>
      <c r="P172" s="10">
        <v>425</v>
      </c>
      <c r="Q172" s="38">
        <f t="shared" si="36"/>
        <v>425</v>
      </c>
      <c r="R172" s="38">
        <f t="shared" si="29"/>
        <v>12222</v>
      </c>
      <c r="T172" t="s">
        <v>2769</v>
      </c>
    </row>
    <row r="173" spans="1:20" ht="15.75" customHeight="1" x14ac:dyDescent="0.3">
      <c r="A173" s="569" t="s">
        <v>2738</v>
      </c>
      <c r="B173" s="10">
        <v>1257</v>
      </c>
      <c r="C173" s="10"/>
      <c r="D173" s="10"/>
      <c r="E173" s="38">
        <f t="shared" si="42"/>
        <v>1257</v>
      </c>
      <c r="F173" s="10"/>
      <c r="G173" s="10"/>
      <c r="H173" s="10"/>
      <c r="I173" s="38">
        <f t="shared" si="31"/>
        <v>0</v>
      </c>
      <c r="J173" s="10"/>
      <c r="K173" s="10"/>
      <c r="L173" s="10"/>
      <c r="M173" s="38">
        <f t="shared" si="32"/>
        <v>0</v>
      </c>
      <c r="N173" s="10"/>
      <c r="O173" s="10"/>
      <c r="P173" s="10"/>
      <c r="Q173" s="38">
        <f t="shared" si="36"/>
        <v>0</v>
      </c>
      <c r="R173" s="38">
        <f t="shared" si="29"/>
        <v>1257</v>
      </c>
      <c r="T173" t="s">
        <v>2770</v>
      </c>
    </row>
    <row r="174" spans="1:20" ht="15.75" customHeight="1" x14ac:dyDescent="0.3">
      <c r="A174" s="569" t="s">
        <v>2816</v>
      </c>
      <c r="B174" s="10">
        <v>38</v>
      </c>
      <c r="C174" s="10">
        <v>32</v>
      </c>
      <c r="D174" s="10">
        <v>37</v>
      </c>
      <c r="E174" s="38">
        <f t="shared" si="42"/>
        <v>107</v>
      </c>
      <c r="F174" s="10">
        <v>63</v>
      </c>
      <c r="G174" s="10">
        <v>76</v>
      </c>
      <c r="H174" s="10">
        <v>80</v>
      </c>
      <c r="I174" s="38">
        <f>SUM(F174:H174)</f>
        <v>219</v>
      </c>
      <c r="J174" s="10">
        <v>80</v>
      </c>
      <c r="K174" s="10">
        <v>64</v>
      </c>
      <c r="L174" s="10">
        <v>70</v>
      </c>
      <c r="M174" s="38">
        <f t="shared" si="32"/>
        <v>214</v>
      </c>
      <c r="N174" s="10">
        <v>54</v>
      </c>
      <c r="O174" s="10">
        <v>34</v>
      </c>
      <c r="P174" s="10">
        <v>3</v>
      </c>
      <c r="Q174" s="38">
        <f t="shared" si="36"/>
        <v>91</v>
      </c>
      <c r="R174" s="38">
        <f t="shared" si="29"/>
        <v>631</v>
      </c>
      <c r="T174" t="s">
        <v>2819</v>
      </c>
    </row>
    <row r="175" spans="1:20" ht="15.75" customHeight="1" x14ac:dyDescent="0.3">
      <c r="A175" s="569" t="s">
        <v>2817</v>
      </c>
      <c r="B175" s="10">
        <v>5</v>
      </c>
      <c r="C175" s="10"/>
      <c r="D175" s="10">
        <v>1</v>
      </c>
      <c r="E175" s="38">
        <f t="shared" si="42"/>
        <v>6</v>
      </c>
      <c r="F175" s="10">
        <v>47</v>
      </c>
      <c r="G175" s="10">
        <v>97</v>
      </c>
      <c r="H175" s="10">
        <v>121</v>
      </c>
      <c r="I175" s="38">
        <f t="shared" si="31"/>
        <v>265</v>
      </c>
      <c r="J175" s="10">
        <v>97</v>
      </c>
      <c r="K175" s="10">
        <v>7</v>
      </c>
      <c r="L175" s="10">
        <v>68</v>
      </c>
      <c r="M175" s="38">
        <f t="shared" si="32"/>
        <v>172</v>
      </c>
      <c r="N175" s="10">
        <v>30</v>
      </c>
      <c r="O175" s="10">
        <v>11</v>
      </c>
      <c r="P175" s="10">
        <v>0</v>
      </c>
      <c r="Q175" s="38">
        <f t="shared" si="36"/>
        <v>41</v>
      </c>
      <c r="R175" s="38">
        <f t="shared" si="29"/>
        <v>484</v>
      </c>
      <c r="T175" t="s">
        <v>1193</v>
      </c>
    </row>
    <row r="176" spans="1:20" ht="15.75" customHeight="1" x14ac:dyDescent="0.3">
      <c r="A176" s="569" t="s">
        <v>2818</v>
      </c>
      <c r="B176" s="10"/>
      <c r="C176" s="10"/>
      <c r="D176" s="10">
        <v>1</v>
      </c>
      <c r="E176" s="38">
        <f t="shared" si="42"/>
        <v>1</v>
      </c>
      <c r="F176" s="10">
        <v>13</v>
      </c>
      <c r="G176" s="10">
        <v>21</v>
      </c>
      <c r="H176" s="10">
        <v>10</v>
      </c>
      <c r="I176" s="38">
        <f t="shared" si="31"/>
        <v>44</v>
      </c>
      <c r="J176" s="10">
        <v>10</v>
      </c>
      <c r="K176" s="10">
        <v>59</v>
      </c>
      <c r="L176" s="10">
        <v>51</v>
      </c>
      <c r="M176" s="38">
        <f t="shared" si="32"/>
        <v>120</v>
      </c>
      <c r="N176" s="10">
        <v>15</v>
      </c>
      <c r="O176" s="10">
        <v>2</v>
      </c>
      <c r="P176" s="10">
        <v>1</v>
      </c>
      <c r="Q176" s="38">
        <f t="shared" si="36"/>
        <v>18</v>
      </c>
      <c r="R176" s="38">
        <f t="shared" si="29"/>
        <v>183</v>
      </c>
      <c r="T176" t="s">
        <v>2764</v>
      </c>
    </row>
    <row r="177" spans="1:20" ht="15.75" customHeight="1" x14ac:dyDescent="0.3">
      <c r="A177" s="539" t="s">
        <v>2758</v>
      </c>
      <c r="B177" s="10"/>
      <c r="C177" s="10"/>
      <c r="D177" s="10"/>
      <c r="E177" s="38">
        <f t="shared" si="42"/>
        <v>0</v>
      </c>
      <c r="F177" s="10"/>
      <c r="G177" s="10">
        <v>36</v>
      </c>
      <c r="H177" s="10">
        <v>1004</v>
      </c>
      <c r="I177" s="38">
        <f t="shared" si="31"/>
        <v>1040</v>
      </c>
      <c r="J177" s="10">
        <v>1045</v>
      </c>
      <c r="K177" s="10">
        <v>1049</v>
      </c>
      <c r="L177" s="10">
        <v>1001</v>
      </c>
      <c r="M177" s="38">
        <f t="shared" si="32"/>
        <v>3095</v>
      </c>
      <c r="N177" s="10">
        <v>870</v>
      </c>
      <c r="O177" s="10">
        <v>794</v>
      </c>
      <c r="P177" s="10">
        <v>805</v>
      </c>
      <c r="Q177" s="38">
        <f t="shared" si="36"/>
        <v>2469</v>
      </c>
      <c r="R177" s="38">
        <f t="shared" si="29"/>
        <v>6604</v>
      </c>
      <c r="T177" t="s">
        <v>2775</v>
      </c>
    </row>
    <row r="178" spans="1:20" ht="15.75" customHeight="1" x14ac:dyDescent="0.3">
      <c r="A178" s="539" t="s">
        <v>2813</v>
      </c>
      <c r="B178" s="10"/>
      <c r="C178" s="10"/>
      <c r="D178" s="10"/>
      <c r="E178" s="38">
        <f t="shared" si="42"/>
        <v>0</v>
      </c>
      <c r="F178" s="10"/>
      <c r="G178" s="10"/>
      <c r="H178" s="10"/>
      <c r="I178" s="38">
        <f t="shared" si="31"/>
        <v>0</v>
      </c>
      <c r="J178" s="10"/>
      <c r="K178" s="10">
        <v>3855</v>
      </c>
      <c r="L178" s="10"/>
      <c r="M178" s="38">
        <f t="shared" si="32"/>
        <v>3855</v>
      </c>
      <c r="N178" s="10"/>
      <c r="O178" s="10"/>
      <c r="P178" s="10"/>
      <c r="Q178" s="38">
        <f t="shared" si="36"/>
        <v>0</v>
      </c>
      <c r="R178" s="38">
        <f t="shared" si="29"/>
        <v>3855</v>
      </c>
      <c r="S178" s="709" t="s">
        <v>3020</v>
      </c>
      <c r="T178" t="s">
        <v>2760</v>
      </c>
    </row>
    <row r="179" spans="1:20" ht="15.75" customHeight="1" x14ac:dyDescent="0.3">
      <c r="A179" s="539" t="s">
        <v>2820</v>
      </c>
      <c r="B179" s="10"/>
      <c r="C179" s="10"/>
      <c r="D179" s="10"/>
      <c r="E179" s="38">
        <f t="shared" si="42"/>
        <v>0</v>
      </c>
      <c r="F179" s="10"/>
      <c r="G179" s="10"/>
      <c r="H179" s="10"/>
      <c r="I179" s="38">
        <f t="shared" si="31"/>
        <v>0</v>
      </c>
      <c r="J179" s="10"/>
      <c r="K179" s="10"/>
      <c r="L179" s="10"/>
      <c r="M179" s="38">
        <f t="shared" si="32"/>
        <v>0</v>
      </c>
      <c r="N179" s="10"/>
      <c r="O179" s="10"/>
      <c r="P179" s="10"/>
      <c r="Q179" s="38">
        <f t="shared" si="36"/>
        <v>0</v>
      </c>
      <c r="R179" s="38">
        <f t="shared" si="29"/>
        <v>0</v>
      </c>
      <c r="T179" t="s">
        <v>2760</v>
      </c>
    </row>
    <row r="180" spans="1:20" ht="15.75" customHeight="1" x14ac:dyDescent="0.3">
      <c r="A180" s="539" t="s">
        <v>2426</v>
      </c>
      <c r="B180" s="10">
        <f>6710+1+2487+2+16</f>
        <v>9216</v>
      </c>
      <c r="C180" s="10">
        <f>6723+1+2213+1+30</f>
        <v>8968</v>
      </c>
      <c r="D180" s="10">
        <f>2173+1+2469+2+51</f>
        <v>4696</v>
      </c>
      <c r="E180" s="38">
        <f t="shared" si="42"/>
        <v>22880</v>
      </c>
      <c r="F180" s="10"/>
      <c r="G180" s="10">
        <f>5394+2+93</f>
        <v>5489</v>
      </c>
      <c r="H180" s="10">
        <v>13361</v>
      </c>
      <c r="I180" s="38">
        <f t="shared" si="31"/>
        <v>18850</v>
      </c>
      <c r="J180" s="10">
        <v>11767</v>
      </c>
      <c r="K180" s="10">
        <v>10322</v>
      </c>
      <c r="L180" s="10">
        <f>5784+2360+72+2+1</f>
        <v>8219</v>
      </c>
      <c r="M180" s="38">
        <f t="shared" si="32"/>
        <v>30308</v>
      </c>
      <c r="N180" s="10">
        <f>2842+2497+22+1+1</f>
        <v>5363</v>
      </c>
      <c r="O180" s="10">
        <f>1+2+38+2445+7977</f>
        <v>10463</v>
      </c>
      <c r="P180" s="10">
        <f>1+2+13+2178+8602</f>
        <v>10796</v>
      </c>
      <c r="Q180" s="38">
        <f t="shared" si="36"/>
        <v>26622</v>
      </c>
      <c r="R180" s="38">
        <f t="shared" si="29"/>
        <v>98660</v>
      </c>
      <c r="S180" t="s">
        <v>3020</v>
      </c>
    </row>
    <row r="181" spans="1:20" ht="15.75" customHeight="1" x14ac:dyDescent="0.3">
      <c r="A181" s="539" t="s">
        <v>3059</v>
      </c>
      <c r="B181" s="10"/>
      <c r="C181" s="10">
        <v>464</v>
      </c>
      <c r="D181" s="10"/>
      <c r="E181" s="38">
        <f t="shared" si="42"/>
        <v>464</v>
      </c>
      <c r="F181" s="10"/>
      <c r="G181" s="10">
        <f>1288+507</f>
        <v>1795</v>
      </c>
      <c r="H181" s="10">
        <f>1288+363+1000</f>
        <v>2651</v>
      </c>
      <c r="I181" s="38">
        <f t="shared" si="31"/>
        <v>4446</v>
      </c>
      <c r="J181" s="10">
        <f>446+1200+1288</f>
        <v>2934</v>
      </c>
      <c r="K181" s="10">
        <f>320+1740+1288</f>
        <v>3348</v>
      </c>
      <c r="L181" s="10">
        <f>363+1200+1288</f>
        <v>2851</v>
      </c>
      <c r="M181" s="38">
        <f t="shared" si="32"/>
        <v>9133</v>
      </c>
      <c r="N181" s="10">
        <f>1288+1000+555</f>
        <v>2843</v>
      </c>
      <c r="O181" s="10">
        <f>1288+486</f>
        <v>1774</v>
      </c>
      <c r="P181" s="356">
        <f>1288+3418+622</f>
        <v>5328</v>
      </c>
      <c r="Q181" s="38">
        <f t="shared" si="36"/>
        <v>9945</v>
      </c>
      <c r="R181" s="38">
        <f>+E181+I181+M181+Q181</f>
        <v>23988</v>
      </c>
      <c r="S181" s="709"/>
      <c r="T181" t="s">
        <v>2760</v>
      </c>
    </row>
    <row r="182" spans="1:20" ht="15.75" customHeight="1" x14ac:dyDescent="0.3">
      <c r="A182" s="539" t="s">
        <v>2864</v>
      </c>
      <c r="B182" s="10">
        <v>35</v>
      </c>
      <c r="C182" s="10">
        <v>35</v>
      </c>
      <c r="D182" s="10">
        <v>40</v>
      </c>
      <c r="E182" s="38">
        <f t="shared" si="42"/>
        <v>110</v>
      </c>
      <c r="F182" s="10">
        <v>40</v>
      </c>
      <c r="G182" s="10">
        <v>40</v>
      </c>
      <c r="H182" s="10">
        <v>40</v>
      </c>
      <c r="I182" s="38">
        <f t="shared" si="31"/>
        <v>120</v>
      </c>
      <c r="J182" s="10">
        <v>45</v>
      </c>
      <c r="K182" s="10">
        <v>45</v>
      </c>
      <c r="L182" s="10">
        <v>40</v>
      </c>
      <c r="M182" s="38">
        <f t="shared" si="32"/>
        <v>130</v>
      </c>
      <c r="N182" s="10">
        <v>40</v>
      </c>
      <c r="O182" s="10">
        <v>40</v>
      </c>
      <c r="P182" s="10">
        <v>40</v>
      </c>
      <c r="Q182" s="38">
        <f t="shared" si="36"/>
        <v>120</v>
      </c>
      <c r="R182" s="38">
        <f t="shared" si="29"/>
        <v>480</v>
      </c>
      <c r="S182" t="s">
        <v>3020</v>
      </c>
      <c r="T182" t="s">
        <v>2760</v>
      </c>
    </row>
    <row r="183" spans="1:20" ht="15.75" customHeight="1" x14ac:dyDescent="0.3">
      <c r="A183" s="539" t="s">
        <v>1520</v>
      </c>
      <c r="B183" s="10">
        <v>3283</v>
      </c>
      <c r="C183" s="10"/>
      <c r="D183" s="10"/>
      <c r="E183" s="38">
        <f t="shared" si="42"/>
        <v>3283</v>
      </c>
      <c r="F183" s="10">
        <f>133+406+42</f>
        <v>581</v>
      </c>
      <c r="G183" s="10">
        <f>150+551+5668+47</f>
        <v>6416</v>
      </c>
      <c r="H183" s="10">
        <f>153+731+5564+48</f>
        <v>6496</v>
      </c>
      <c r="I183" s="38">
        <f t="shared" si="31"/>
        <v>13493</v>
      </c>
      <c r="J183" s="10">
        <f>46+5378+676+152</f>
        <v>6252</v>
      </c>
      <c r="K183" s="10">
        <f>140+446+5455+34</f>
        <v>6075</v>
      </c>
      <c r="L183" s="10">
        <f>33+5613+323+133</f>
        <v>6102</v>
      </c>
      <c r="M183" s="38">
        <f t="shared" si="32"/>
        <v>18429</v>
      </c>
      <c r="N183" s="10">
        <f>5120+226+34+122</f>
        <v>5502</v>
      </c>
      <c r="O183" s="10">
        <f>22+4814+83+108</f>
        <v>5027</v>
      </c>
      <c r="P183" s="10">
        <f>14+3775+22+108</f>
        <v>3919</v>
      </c>
      <c r="Q183" s="38">
        <f t="shared" si="36"/>
        <v>14448</v>
      </c>
      <c r="R183" s="38">
        <f>+E183+I183+M183+Q183</f>
        <v>49653</v>
      </c>
    </row>
    <row r="184" spans="1:20" ht="15.75" customHeight="1" x14ac:dyDescent="0.3">
      <c r="A184" s="539" t="s">
        <v>3062</v>
      </c>
      <c r="B184" s="10"/>
      <c r="C184" s="10"/>
      <c r="D184" s="10"/>
      <c r="E184" s="38">
        <f t="shared" ref="E184" si="44">SUM(B184:D184)</f>
        <v>0</v>
      </c>
      <c r="F184" s="10"/>
      <c r="G184" s="10">
        <v>164</v>
      </c>
      <c r="H184" s="10">
        <v>164</v>
      </c>
      <c r="I184" s="38">
        <f t="shared" si="31"/>
        <v>328</v>
      </c>
      <c r="J184" s="10">
        <v>164</v>
      </c>
      <c r="K184" s="10">
        <v>164</v>
      </c>
      <c r="L184" s="10">
        <v>3248</v>
      </c>
      <c r="M184" s="38">
        <f t="shared" si="32"/>
        <v>3576</v>
      </c>
      <c r="N184" s="10">
        <v>164</v>
      </c>
      <c r="O184" s="10">
        <v>564</v>
      </c>
      <c r="P184" s="10">
        <v>586</v>
      </c>
      <c r="Q184" s="38">
        <f t="shared" si="36"/>
        <v>1314</v>
      </c>
      <c r="R184" s="38">
        <f t="shared" si="29"/>
        <v>5218</v>
      </c>
      <c r="S184" t="s">
        <v>3020</v>
      </c>
    </row>
    <row r="185" spans="1:20" ht="15.75" customHeight="1" x14ac:dyDescent="0.3">
      <c r="A185" s="569" t="s">
        <v>2739</v>
      </c>
      <c r="B185" s="10"/>
      <c r="C185" s="10"/>
      <c r="D185" s="10"/>
      <c r="E185" s="38">
        <f t="shared" ref="E185:E190" si="45">SUM(B185:D185)</f>
        <v>0</v>
      </c>
      <c r="F185" s="10"/>
      <c r="G185" s="10"/>
      <c r="H185" s="10"/>
      <c r="I185" s="38">
        <f t="shared" ref="I185:I190" si="46">SUM(F185:H185)</f>
        <v>0</v>
      </c>
      <c r="J185" s="10"/>
      <c r="K185" s="10"/>
      <c r="L185" s="10"/>
      <c r="M185" s="38">
        <f t="shared" ref="M185:M190" si="47">SUM(J185:L185)</f>
        <v>0</v>
      </c>
      <c r="N185" s="10"/>
      <c r="O185" s="10"/>
      <c r="P185" s="10"/>
      <c r="Q185" s="38">
        <f t="shared" si="36"/>
        <v>0</v>
      </c>
      <c r="R185" s="38">
        <f t="shared" si="29"/>
        <v>0</v>
      </c>
      <c r="T185" t="s">
        <v>2769</v>
      </c>
    </row>
    <row r="186" spans="1:20" ht="15.75" customHeight="1" x14ac:dyDescent="0.3">
      <c r="A186" s="569" t="s">
        <v>2740</v>
      </c>
      <c r="B186" s="10"/>
      <c r="C186" s="10">
        <v>1083</v>
      </c>
      <c r="D186" s="10">
        <v>2166</v>
      </c>
      <c r="E186" s="38">
        <f t="shared" si="45"/>
        <v>3249</v>
      </c>
      <c r="F186" s="10"/>
      <c r="G186" s="10"/>
      <c r="H186" s="10"/>
      <c r="I186" s="38">
        <f t="shared" si="46"/>
        <v>0</v>
      </c>
      <c r="J186" s="10"/>
      <c r="K186" s="10"/>
      <c r="L186" s="10"/>
      <c r="M186" s="38">
        <f t="shared" si="47"/>
        <v>0</v>
      </c>
      <c r="N186" s="10"/>
      <c r="O186" s="10"/>
      <c r="P186" s="10"/>
      <c r="Q186" s="38">
        <f t="shared" si="36"/>
        <v>0</v>
      </c>
      <c r="R186" s="38">
        <f>+E186+I186+M186+Q186</f>
        <v>3249</v>
      </c>
    </row>
    <row r="187" spans="1:20" ht="15.75" customHeight="1" x14ac:dyDescent="0.3">
      <c r="A187" s="569" t="s">
        <v>3055</v>
      </c>
      <c r="B187" s="10"/>
      <c r="C187" s="10"/>
      <c r="D187" s="10"/>
      <c r="E187" s="38">
        <f t="shared" si="45"/>
        <v>0</v>
      </c>
      <c r="F187" s="10">
        <v>700</v>
      </c>
      <c r="G187" s="10">
        <v>550</v>
      </c>
      <c r="H187" s="10">
        <v>750</v>
      </c>
      <c r="I187" s="38">
        <f t="shared" si="46"/>
        <v>2000</v>
      </c>
      <c r="J187" s="10"/>
      <c r="K187" s="10"/>
      <c r="L187" s="10"/>
      <c r="M187" s="38">
        <f t="shared" si="47"/>
        <v>0</v>
      </c>
      <c r="N187" s="10"/>
      <c r="O187" s="10"/>
      <c r="P187" s="10"/>
      <c r="Q187" s="38">
        <f t="shared" si="36"/>
        <v>0</v>
      </c>
      <c r="R187" s="38">
        <f t="shared" si="29"/>
        <v>2000</v>
      </c>
    </row>
    <row r="188" spans="1:20" ht="15.75" customHeight="1" x14ac:dyDescent="0.3">
      <c r="A188" s="539" t="s">
        <v>2821</v>
      </c>
      <c r="B188" s="10">
        <v>22</v>
      </c>
      <c r="C188" s="10">
        <v>243</v>
      </c>
      <c r="D188" s="10">
        <v>253</v>
      </c>
      <c r="E188" s="38">
        <f t="shared" si="45"/>
        <v>518</v>
      </c>
      <c r="F188" s="10">
        <f>333+117</f>
        <v>450</v>
      </c>
      <c r="G188" s="10">
        <f>383+117</f>
        <v>500</v>
      </c>
      <c r="H188" s="10">
        <f>333+117</f>
        <v>450</v>
      </c>
      <c r="I188" s="38">
        <f t="shared" si="46"/>
        <v>1400</v>
      </c>
      <c r="J188" s="10">
        <v>494</v>
      </c>
      <c r="K188" s="10">
        <v>501</v>
      </c>
      <c r="L188" s="10">
        <v>451</v>
      </c>
      <c r="M188" s="38">
        <f t="shared" si="47"/>
        <v>1446</v>
      </c>
      <c r="N188" s="10">
        <v>351</v>
      </c>
      <c r="O188" s="10">
        <v>350</v>
      </c>
      <c r="P188" s="10">
        <v>250</v>
      </c>
      <c r="Q188" s="38">
        <f t="shared" si="36"/>
        <v>951</v>
      </c>
      <c r="R188" s="38">
        <f>+E188+I188+M188+Q188</f>
        <v>4315</v>
      </c>
      <c r="S188" t="s">
        <v>3020</v>
      </c>
      <c r="T188" t="s">
        <v>2760</v>
      </c>
    </row>
    <row r="189" spans="1:20" ht="15.75" customHeight="1" x14ac:dyDescent="0.3">
      <c r="A189" s="539" t="s">
        <v>1574</v>
      </c>
      <c r="B189" s="10">
        <v>3</v>
      </c>
      <c r="C189" s="10">
        <v>2</v>
      </c>
      <c r="D189" s="10">
        <v>2</v>
      </c>
      <c r="E189" s="38">
        <f t="shared" si="45"/>
        <v>7</v>
      </c>
      <c r="F189" s="10">
        <v>3</v>
      </c>
      <c r="G189" s="10">
        <v>4</v>
      </c>
      <c r="H189" s="10">
        <v>3</v>
      </c>
      <c r="I189" s="38">
        <f t="shared" si="46"/>
        <v>10</v>
      </c>
      <c r="J189" s="10">
        <v>4</v>
      </c>
      <c r="K189" s="10">
        <v>2</v>
      </c>
      <c r="L189" s="10">
        <v>3</v>
      </c>
      <c r="M189" s="38">
        <f t="shared" si="47"/>
        <v>9</v>
      </c>
      <c r="N189" s="10">
        <v>2</v>
      </c>
      <c r="O189" s="10">
        <v>3</v>
      </c>
      <c r="P189" s="10">
        <v>3</v>
      </c>
      <c r="Q189" s="38">
        <f t="shared" si="36"/>
        <v>8</v>
      </c>
      <c r="R189" s="38">
        <f>+E189+I189+M189+Q189</f>
        <v>34</v>
      </c>
      <c r="S189">
        <f>SUM(R141:R189)</f>
        <v>279033</v>
      </c>
    </row>
    <row r="190" spans="1:20" ht="15.75" customHeight="1" x14ac:dyDescent="0.3">
      <c r="A190" s="539" t="s">
        <v>3008</v>
      </c>
      <c r="B190" s="10"/>
      <c r="C190" s="10"/>
      <c r="D190" s="10"/>
      <c r="E190" s="38">
        <f t="shared" si="45"/>
        <v>0</v>
      </c>
      <c r="F190" s="10"/>
      <c r="G190" s="10"/>
      <c r="H190" s="10"/>
      <c r="I190" s="38">
        <f t="shared" si="46"/>
        <v>0</v>
      </c>
      <c r="J190" s="10">
        <v>206</v>
      </c>
      <c r="K190" s="10"/>
      <c r="L190" s="10"/>
      <c r="M190" s="38">
        <f t="shared" si="47"/>
        <v>206</v>
      </c>
      <c r="N190" s="10"/>
      <c r="O190" s="10"/>
      <c r="P190" s="10"/>
      <c r="Q190" s="38">
        <f t="shared" si="36"/>
        <v>0</v>
      </c>
      <c r="R190" s="38">
        <f>+E190+I190+M190+Q190</f>
        <v>206</v>
      </c>
      <c r="S190" s="709" t="s">
        <v>3020</v>
      </c>
      <c r="T190" t="s">
        <v>2760</v>
      </c>
    </row>
    <row r="191" spans="1:20" ht="15.75" customHeight="1" x14ac:dyDescent="0.3">
      <c r="A191" s="234" t="s">
        <v>2161</v>
      </c>
      <c r="B191" s="10"/>
      <c r="C191" s="10"/>
      <c r="D191" s="10"/>
      <c r="E191" s="38" t="s">
        <v>852</v>
      </c>
      <c r="F191" s="10"/>
      <c r="G191" s="10"/>
      <c r="H191" s="10"/>
      <c r="I191" s="38" t="s">
        <v>852</v>
      </c>
      <c r="J191" s="10"/>
      <c r="K191" s="10"/>
      <c r="L191" s="10"/>
      <c r="M191" s="38" t="s">
        <v>852</v>
      </c>
      <c r="N191" s="10"/>
      <c r="O191" s="10"/>
      <c r="P191" s="10"/>
      <c r="Q191" s="38" t="s">
        <v>852</v>
      </c>
      <c r="R191" s="38" t="s">
        <v>852</v>
      </c>
    </row>
    <row r="192" spans="1:20" ht="15.75" customHeight="1" x14ac:dyDescent="0.3">
      <c r="A192" s="539" t="s">
        <v>2515</v>
      </c>
      <c r="B192" s="10"/>
      <c r="C192" s="10"/>
      <c r="D192" s="10"/>
      <c r="E192" s="38">
        <f t="shared" ref="E192:E203" si="48">SUM(B192:D192)</f>
        <v>0</v>
      </c>
      <c r="F192" s="10"/>
      <c r="G192" s="10"/>
      <c r="H192" s="10"/>
      <c r="I192" s="38">
        <f t="shared" ref="I192:I203" si="49">SUM(F192:H192)</f>
        <v>0</v>
      </c>
      <c r="J192" s="10"/>
      <c r="K192" s="10"/>
      <c r="L192" s="10"/>
      <c r="M192" s="38">
        <f t="shared" ref="M192:M203" si="50">SUM(J192:L192)</f>
        <v>0</v>
      </c>
      <c r="N192" s="10"/>
      <c r="O192" s="10"/>
      <c r="P192" s="10"/>
      <c r="Q192" s="38">
        <f t="shared" ref="Q192:Q203" si="51">SUM(N192:P192)</f>
        <v>0</v>
      </c>
      <c r="R192" s="38">
        <f t="shared" ref="R192:R203" si="52">+E192+I192+M192+Q192</f>
        <v>0</v>
      </c>
    </row>
    <row r="193" spans="1:20" ht="15.75" customHeight="1" x14ac:dyDescent="0.3">
      <c r="A193" s="266" t="s">
        <v>2368</v>
      </c>
      <c r="B193" s="10"/>
      <c r="C193" s="10"/>
      <c r="D193" s="10"/>
      <c r="E193" s="38">
        <f>SUM(B193:D193)</f>
        <v>0</v>
      </c>
      <c r="F193" s="10"/>
      <c r="G193" s="10"/>
      <c r="H193" s="10"/>
      <c r="I193" s="38">
        <f>SUM(F193:H193)</f>
        <v>0</v>
      </c>
      <c r="J193" s="10"/>
      <c r="K193" s="10"/>
      <c r="L193" s="10"/>
      <c r="M193" s="38">
        <f>SUM(J193:L193)</f>
        <v>0</v>
      </c>
      <c r="N193" s="10"/>
      <c r="O193" s="10"/>
      <c r="P193" s="10"/>
      <c r="Q193" s="38">
        <f>SUM(N193:P193)</f>
        <v>0</v>
      </c>
      <c r="R193" s="38">
        <f>+E193+I193+M193+Q193</f>
        <v>0</v>
      </c>
      <c r="T193" t="s">
        <v>1193</v>
      </c>
    </row>
    <row r="194" spans="1:20" ht="15.75" customHeight="1" x14ac:dyDescent="0.3">
      <c r="A194" s="266" t="s">
        <v>1747</v>
      </c>
      <c r="B194" s="10"/>
      <c r="C194" s="10"/>
      <c r="D194" s="10"/>
      <c r="E194" s="38">
        <f t="shared" si="48"/>
        <v>0</v>
      </c>
      <c r="F194" s="10"/>
      <c r="G194" s="10"/>
      <c r="H194" s="10"/>
      <c r="I194" s="38">
        <f t="shared" si="49"/>
        <v>0</v>
      </c>
      <c r="J194" s="10"/>
      <c r="K194" s="10"/>
      <c r="L194" s="10"/>
      <c r="M194" s="38">
        <f t="shared" si="50"/>
        <v>0</v>
      </c>
      <c r="N194" s="10"/>
      <c r="O194" s="10"/>
      <c r="P194" s="10"/>
      <c r="Q194" s="38">
        <f t="shared" si="51"/>
        <v>0</v>
      </c>
      <c r="R194" s="38">
        <f t="shared" si="52"/>
        <v>0</v>
      </c>
    </row>
    <row r="195" spans="1:20" ht="15.75" customHeight="1" x14ac:dyDescent="0.3">
      <c r="A195" s="539" t="s">
        <v>2822</v>
      </c>
      <c r="B195" s="10"/>
      <c r="C195" s="10"/>
      <c r="D195" s="10"/>
      <c r="E195" s="38">
        <f t="shared" si="48"/>
        <v>0</v>
      </c>
      <c r="F195" s="10"/>
      <c r="G195" s="10"/>
      <c r="H195" s="10"/>
      <c r="I195" s="38">
        <f t="shared" si="49"/>
        <v>0</v>
      </c>
      <c r="J195" s="10"/>
      <c r="K195" s="10"/>
      <c r="L195" s="10"/>
      <c r="M195" s="38">
        <f t="shared" si="50"/>
        <v>0</v>
      </c>
      <c r="N195" s="10"/>
      <c r="O195" s="10"/>
      <c r="P195" s="10"/>
      <c r="Q195" s="38">
        <f t="shared" si="51"/>
        <v>0</v>
      </c>
      <c r="R195" s="38">
        <f t="shared" si="52"/>
        <v>0</v>
      </c>
      <c r="T195" t="s">
        <v>2760</v>
      </c>
    </row>
    <row r="196" spans="1:20" ht="15.75" customHeight="1" x14ac:dyDescent="0.3">
      <c r="A196" s="266" t="s">
        <v>1824</v>
      </c>
      <c r="B196" s="10"/>
      <c r="C196" s="10"/>
      <c r="D196" s="10"/>
      <c r="E196" s="38">
        <f t="shared" si="48"/>
        <v>0</v>
      </c>
      <c r="F196" s="10"/>
      <c r="G196" s="10"/>
      <c r="H196" s="10"/>
      <c r="I196" s="38">
        <f t="shared" si="49"/>
        <v>0</v>
      </c>
      <c r="J196" s="10"/>
      <c r="K196" s="10"/>
      <c r="L196" s="10"/>
      <c r="M196" s="38">
        <f t="shared" si="50"/>
        <v>0</v>
      </c>
      <c r="N196" s="10"/>
      <c r="O196" s="10"/>
      <c r="P196" s="10"/>
      <c r="Q196" s="38">
        <f t="shared" si="51"/>
        <v>0</v>
      </c>
      <c r="R196" s="38">
        <f t="shared" si="52"/>
        <v>0</v>
      </c>
    </row>
    <row r="197" spans="1:20" ht="15.75" customHeight="1" x14ac:dyDescent="0.3">
      <c r="A197" s="266" t="s">
        <v>1746</v>
      </c>
      <c r="B197" s="10"/>
      <c r="C197" s="10"/>
      <c r="D197" s="10"/>
      <c r="E197" s="38">
        <f t="shared" si="48"/>
        <v>0</v>
      </c>
      <c r="F197" s="10"/>
      <c r="G197" s="10"/>
      <c r="H197" s="10"/>
      <c r="I197" s="38">
        <f t="shared" si="49"/>
        <v>0</v>
      </c>
      <c r="J197" s="10"/>
      <c r="K197" s="10"/>
      <c r="L197" s="10"/>
      <c r="M197" s="38">
        <f t="shared" si="50"/>
        <v>0</v>
      </c>
      <c r="N197" s="10"/>
      <c r="O197" s="10"/>
      <c r="P197" s="10"/>
      <c r="Q197" s="38">
        <f t="shared" si="51"/>
        <v>0</v>
      </c>
      <c r="R197" s="38">
        <f t="shared" si="52"/>
        <v>0</v>
      </c>
    </row>
    <row r="198" spans="1:20" ht="15.75" customHeight="1" x14ac:dyDescent="0.3">
      <c r="A198" s="267" t="s">
        <v>1546</v>
      </c>
      <c r="B198" s="10"/>
      <c r="C198" s="10"/>
      <c r="D198" s="10"/>
      <c r="E198" s="38">
        <f t="shared" si="48"/>
        <v>0</v>
      </c>
      <c r="F198" s="10"/>
      <c r="G198" s="10"/>
      <c r="H198" s="10"/>
      <c r="I198" s="38">
        <f t="shared" si="49"/>
        <v>0</v>
      </c>
      <c r="J198" s="10"/>
      <c r="K198" s="10"/>
      <c r="L198" s="10"/>
      <c r="M198" s="38">
        <f t="shared" si="50"/>
        <v>0</v>
      </c>
      <c r="N198" s="10"/>
      <c r="O198" s="10"/>
      <c r="P198" s="10"/>
      <c r="Q198" s="38">
        <f t="shared" si="51"/>
        <v>0</v>
      </c>
      <c r="R198" s="38">
        <f t="shared" si="52"/>
        <v>0</v>
      </c>
      <c r="T198" t="s">
        <v>2764</v>
      </c>
    </row>
    <row r="199" spans="1:20" ht="15.75" customHeight="1" x14ac:dyDescent="0.3">
      <c r="A199" s="539" t="s">
        <v>3343</v>
      </c>
      <c r="B199" s="10"/>
      <c r="C199" s="10"/>
      <c r="D199" s="10"/>
      <c r="E199" s="38">
        <f t="shared" si="48"/>
        <v>0</v>
      </c>
      <c r="F199" s="10"/>
      <c r="G199" s="10"/>
      <c r="H199" s="10"/>
      <c r="I199" s="38">
        <f t="shared" si="49"/>
        <v>0</v>
      </c>
      <c r="J199" s="10"/>
      <c r="K199" s="10"/>
      <c r="L199" s="10"/>
      <c r="M199" s="38">
        <f t="shared" si="50"/>
        <v>0</v>
      </c>
      <c r="N199" s="10"/>
      <c r="O199" s="10"/>
      <c r="P199" s="10">
        <v>367</v>
      </c>
      <c r="Q199" s="38">
        <f t="shared" ref="Q199" si="53">SUM(N199:P199)</f>
        <v>367</v>
      </c>
      <c r="R199" s="38">
        <f t="shared" ref="R199" si="54">+E199+I199+M199+Q199</f>
        <v>367</v>
      </c>
    </row>
    <row r="200" spans="1:20" ht="15.75" customHeight="1" x14ac:dyDescent="0.3">
      <c r="A200" s="539" t="s">
        <v>2823</v>
      </c>
      <c r="B200" s="10"/>
      <c r="C200" s="10"/>
      <c r="D200" s="10"/>
      <c r="E200" s="38">
        <f t="shared" si="48"/>
        <v>0</v>
      </c>
      <c r="F200" s="10"/>
      <c r="G200" s="10"/>
      <c r="H200" s="10"/>
      <c r="I200" s="38">
        <f t="shared" si="49"/>
        <v>0</v>
      </c>
      <c r="J200" s="10"/>
      <c r="K200" s="10"/>
      <c r="L200" s="10"/>
      <c r="M200" s="38">
        <f t="shared" si="50"/>
        <v>0</v>
      </c>
      <c r="N200" s="10"/>
      <c r="O200" s="10"/>
      <c r="P200" s="10"/>
      <c r="Q200" s="38">
        <f t="shared" si="51"/>
        <v>0</v>
      </c>
      <c r="R200" s="38">
        <f t="shared" si="52"/>
        <v>0</v>
      </c>
      <c r="T200" t="s">
        <v>2760</v>
      </c>
    </row>
    <row r="201" spans="1:20" ht="15.75" customHeight="1" x14ac:dyDescent="0.3">
      <c r="A201" s="539" t="s">
        <v>3344</v>
      </c>
      <c r="B201" s="10"/>
      <c r="C201" s="10"/>
      <c r="D201" s="10"/>
      <c r="E201" s="38">
        <f t="shared" si="48"/>
        <v>0</v>
      </c>
      <c r="F201" s="10"/>
      <c r="G201" s="10"/>
      <c r="H201" s="10"/>
      <c r="I201" s="38">
        <f t="shared" si="49"/>
        <v>0</v>
      </c>
      <c r="J201" s="10"/>
      <c r="K201" s="10"/>
      <c r="L201" s="10"/>
      <c r="M201" s="38">
        <f t="shared" si="50"/>
        <v>0</v>
      </c>
      <c r="N201" s="10"/>
      <c r="O201" s="10"/>
      <c r="P201" s="10">
        <v>65</v>
      </c>
      <c r="Q201" s="38">
        <f t="shared" ref="Q201" si="55">SUM(N201:P201)</f>
        <v>65</v>
      </c>
      <c r="R201" s="38">
        <f t="shared" ref="R201" si="56">+E201+I201+M201+Q201</f>
        <v>65</v>
      </c>
    </row>
    <row r="202" spans="1:20" ht="15.75" customHeight="1" x14ac:dyDescent="0.3">
      <c r="A202" s="539" t="s">
        <v>2815</v>
      </c>
      <c r="B202" s="10"/>
      <c r="C202" s="10"/>
      <c r="D202" s="10"/>
      <c r="E202" s="38">
        <f t="shared" si="48"/>
        <v>0</v>
      </c>
      <c r="F202" s="10"/>
      <c r="G202" s="10"/>
      <c r="H202" s="10"/>
      <c r="I202" s="38">
        <f t="shared" si="49"/>
        <v>0</v>
      </c>
      <c r="J202" s="10"/>
      <c r="K202" s="10"/>
      <c r="L202" s="10"/>
      <c r="M202" s="38">
        <f t="shared" si="50"/>
        <v>0</v>
      </c>
      <c r="N202" s="10"/>
      <c r="O202" s="10"/>
      <c r="P202" s="10"/>
      <c r="Q202" s="38">
        <f t="shared" si="51"/>
        <v>0</v>
      </c>
      <c r="R202" s="38">
        <f t="shared" si="52"/>
        <v>0</v>
      </c>
      <c r="T202" t="s">
        <v>2631</v>
      </c>
    </row>
    <row r="203" spans="1:20" ht="15.75" customHeight="1" x14ac:dyDescent="0.3">
      <c r="A203" s="267" t="s">
        <v>5</v>
      </c>
      <c r="B203" s="10"/>
      <c r="C203" s="10"/>
      <c r="D203" s="10"/>
      <c r="E203" s="38">
        <f t="shared" si="48"/>
        <v>0</v>
      </c>
      <c r="F203" s="10"/>
      <c r="G203" s="10"/>
      <c r="H203" s="10"/>
      <c r="I203" s="38">
        <f t="shared" si="49"/>
        <v>0</v>
      </c>
      <c r="J203" s="10"/>
      <c r="K203" s="10"/>
      <c r="L203" s="10"/>
      <c r="M203" s="38">
        <f t="shared" si="50"/>
        <v>0</v>
      </c>
      <c r="N203" s="10"/>
      <c r="O203" s="10"/>
      <c r="P203" s="10"/>
      <c r="Q203" s="38">
        <f t="shared" si="51"/>
        <v>0</v>
      </c>
      <c r="R203" s="38">
        <f t="shared" si="52"/>
        <v>0</v>
      </c>
    </row>
    <row r="204" spans="1:20" ht="15.75" customHeight="1" x14ac:dyDescent="0.3">
      <c r="A204" s="234" t="s">
        <v>3245</v>
      </c>
      <c r="B204" s="10"/>
      <c r="C204" s="10"/>
      <c r="D204" s="10"/>
      <c r="E204" s="38" t="s">
        <v>852</v>
      </c>
      <c r="F204" s="10"/>
      <c r="G204" s="10"/>
      <c r="H204" s="10"/>
      <c r="I204" s="38" t="s">
        <v>852</v>
      </c>
      <c r="J204" s="10"/>
      <c r="K204" s="10"/>
      <c r="L204" s="10"/>
      <c r="M204" s="38" t="s">
        <v>852</v>
      </c>
      <c r="N204" s="10"/>
      <c r="O204" s="10"/>
      <c r="P204" s="10"/>
      <c r="Q204" s="38" t="s">
        <v>852</v>
      </c>
      <c r="R204" s="38" t="s">
        <v>852</v>
      </c>
    </row>
    <row r="205" spans="1:20" ht="15.75" customHeight="1" x14ac:dyDescent="0.3">
      <c r="A205" s="568" t="s">
        <v>3249</v>
      </c>
      <c r="B205" s="10"/>
      <c r="C205" s="10"/>
      <c r="D205" s="10"/>
      <c r="E205" s="38">
        <f>SUM(B205:D205)</f>
        <v>0</v>
      </c>
      <c r="F205" s="10"/>
      <c r="G205" s="10"/>
      <c r="H205" s="10"/>
      <c r="I205" s="38">
        <f>SUM(F205:H205)</f>
        <v>0</v>
      </c>
      <c r="J205" s="10"/>
      <c r="K205" s="10"/>
      <c r="L205" s="10"/>
      <c r="M205" s="38">
        <f>SUM(J205:L205)</f>
        <v>0</v>
      </c>
      <c r="N205" s="10"/>
      <c r="O205" s="10"/>
      <c r="P205" s="10"/>
      <c r="Q205" s="38">
        <f>SUM(N205:P205)</f>
        <v>0</v>
      </c>
      <c r="R205" s="38">
        <f>+E205+I205+M205+Q205</f>
        <v>0</v>
      </c>
      <c r="S205" s="735" t="s">
        <v>3214</v>
      </c>
      <c r="T205" t="s">
        <v>2769</v>
      </c>
    </row>
    <row r="206" spans="1:20" ht="15.75" customHeight="1" x14ac:dyDescent="0.3">
      <c r="A206" s="568" t="s">
        <v>3250</v>
      </c>
      <c r="B206" s="10"/>
      <c r="C206" s="10"/>
      <c r="D206" s="10"/>
      <c r="E206" s="38">
        <f>SUM(B206:D206)</f>
        <v>0</v>
      </c>
      <c r="F206" s="10">
        <v>1500</v>
      </c>
      <c r="G206" s="10"/>
      <c r="H206" s="10"/>
      <c r="I206" s="38">
        <f>SUM(F206:H206)</f>
        <v>1500</v>
      </c>
      <c r="J206" s="10"/>
      <c r="K206" s="10"/>
      <c r="L206" s="10"/>
      <c r="M206" s="38">
        <f>SUM(J206:L206)</f>
        <v>0</v>
      </c>
      <c r="N206" s="10"/>
      <c r="O206" s="10"/>
      <c r="P206" s="10">
        <v>1</v>
      </c>
      <c r="Q206" s="38">
        <f>SUM(N206:P206)</f>
        <v>1</v>
      </c>
      <c r="R206" s="38">
        <f>+E206+I206+M206+Q206</f>
        <v>1501</v>
      </c>
      <c r="S206" s="735" t="s">
        <v>3214</v>
      </c>
      <c r="T206" t="s">
        <v>2770</v>
      </c>
    </row>
    <row r="207" spans="1:20" ht="15.75" customHeight="1" x14ac:dyDescent="0.3">
      <c r="A207" s="422" t="s">
        <v>3251</v>
      </c>
      <c r="B207" s="10">
        <v>35</v>
      </c>
      <c r="C207" s="10">
        <v>25</v>
      </c>
      <c r="D207" s="10">
        <v>69</v>
      </c>
      <c r="E207" s="38">
        <f>SUM(B207:D207)</f>
        <v>129</v>
      </c>
      <c r="F207" s="10">
        <v>121</v>
      </c>
      <c r="G207" s="10">
        <v>131</v>
      </c>
      <c r="H207" s="10">
        <v>132</v>
      </c>
      <c r="I207" s="38">
        <f>SUM(F207:H207)</f>
        <v>384</v>
      </c>
      <c r="J207" s="10">
        <v>161</v>
      </c>
      <c r="K207" s="10">
        <v>156</v>
      </c>
      <c r="L207" s="10">
        <v>154</v>
      </c>
      <c r="M207" s="38">
        <f>SUM(J207:L207)</f>
        <v>471</v>
      </c>
      <c r="N207" s="10">
        <v>16</v>
      </c>
      <c r="O207" s="10">
        <v>53</v>
      </c>
      <c r="P207" s="10">
        <v>13</v>
      </c>
      <c r="Q207" s="38">
        <f>SUM(N207:P207)</f>
        <v>82</v>
      </c>
      <c r="R207" s="38">
        <f>+E207+I207+M207+Q207</f>
        <v>1066</v>
      </c>
      <c r="S207" s="735" t="s">
        <v>3214</v>
      </c>
      <c r="T207" t="s">
        <v>2793</v>
      </c>
    </row>
    <row r="208" spans="1:20" ht="15.75" customHeight="1" thickBot="1" x14ac:dyDescent="0.35">
      <c r="A208" s="234" t="s">
        <v>2164</v>
      </c>
      <c r="B208" s="10"/>
      <c r="C208" s="10"/>
      <c r="D208" s="10"/>
      <c r="E208" s="38" t="s">
        <v>852</v>
      </c>
      <c r="F208" s="10"/>
      <c r="G208" s="10"/>
      <c r="H208" s="10"/>
      <c r="I208" s="38" t="s">
        <v>852</v>
      </c>
      <c r="J208" s="10"/>
      <c r="K208" s="10"/>
      <c r="L208" s="10"/>
      <c r="M208" s="38" t="s">
        <v>852</v>
      </c>
      <c r="N208" s="10"/>
      <c r="O208" s="10"/>
      <c r="P208" s="10"/>
      <c r="Q208" s="38" t="s">
        <v>852</v>
      </c>
      <c r="R208" s="38" t="s">
        <v>852</v>
      </c>
    </row>
    <row r="209" spans="1:20" ht="16.5" customHeight="1" thickBot="1" x14ac:dyDescent="0.35">
      <c r="A209" s="43" t="s">
        <v>1218</v>
      </c>
      <c r="B209" s="45">
        <f>SUM(B139:B208)</f>
        <v>15659</v>
      </c>
      <c r="C209" s="46">
        <f>SUM(C139:C208)</f>
        <v>14874</v>
      </c>
      <c r="D209" s="46">
        <f>SUM(D139:D208)</f>
        <v>13703</v>
      </c>
      <c r="E209" s="37">
        <f>SUM(B209:D209)</f>
        <v>44236</v>
      </c>
      <c r="F209" s="46">
        <f>SUM(F139:F208)</f>
        <v>13784</v>
      </c>
      <c r="G209" s="46">
        <f t="shared" ref="G209:H209" si="57">SUM(G139:G208)</f>
        <v>23124</v>
      </c>
      <c r="H209" s="46">
        <f t="shared" si="57"/>
        <v>35927</v>
      </c>
      <c r="I209" s="37">
        <f>SUM(F209:H209)</f>
        <v>72835</v>
      </c>
      <c r="J209" s="46">
        <f>SUM(J139:J208)</f>
        <v>33930</v>
      </c>
      <c r="K209" s="46">
        <f>SUM(K139:K208)</f>
        <v>31748</v>
      </c>
      <c r="L209" s="46">
        <f>SUM(L139:L208)</f>
        <v>29737</v>
      </c>
      <c r="M209" s="37">
        <f>SUM(J209:L209)</f>
        <v>95415</v>
      </c>
      <c r="N209" s="46">
        <f>SUM(N139:N208)</f>
        <v>21652</v>
      </c>
      <c r="O209" s="46">
        <f>SUM(O139:O208)</f>
        <v>22933</v>
      </c>
      <c r="P209" s="46">
        <f>SUM(P139:P208)</f>
        <v>25167</v>
      </c>
      <c r="Q209" s="37">
        <f>SUM(N209:P209)</f>
        <v>69752</v>
      </c>
      <c r="R209" s="37">
        <f>+E209+I209+M209+Q209</f>
        <v>282238</v>
      </c>
    </row>
    <row r="210" spans="1:20" ht="15.75" customHeight="1" x14ac:dyDescent="0.3">
      <c r="A210" s="234" t="s">
        <v>1172</v>
      </c>
      <c r="B210" s="172"/>
      <c r="C210" s="172"/>
      <c r="D210" s="172"/>
      <c r="E210" s="38" t="s">
        <v>852</v>
      </c>
      <c r="F210" s="172"/>
      <c r="G210" s="172"/>
      <c r="H210" s="172"/>
      <c r="I210" s="38" t="s">
        <v>852</v>
      </c>
      <c r="J210" s="172"/>
      <c r="K210" s="172"/>
      <c r="L210" s="172"/>
      <c r="M210" s="38" t="s">
        <v>852</v>
      </c>
      <c r="N210" s="172"/>
      <c r="O210" s="172"/>
      <c r="P210" s="172"/>
      <c r="Q210" s="38" t="s">
        <v>852</v>
      </c>
      <c r="R210" s="38" t="s">
        <v>852</v>
      </c>
    </row>
    <row r="211" spans="1:20" ht="15.75" customHeight="1" x14ac:dyDescent="0.3">
      <c r="A211" s="234" t="s">
        <v>1658</v>
      </c>
      <c r="B211" s="172"/>
      <c r="C211" s="172"/>
      <c r="D211" s="172"/>
      <c r="E211" s="38" t="s">
        <v>852</v>
      </c>
      <c r="F211" s="172"/>
      <c r="G211" s="172"/>
      <c r="H211" s="172"/>
      <c r="I211" s="38" t="s">
        <v>852</v>
      </c>
      <c r="J211" s="172"/>
      <c r="K211" s="172"/>
      <c r="L211" s="172"/>
      <c r="M211" s="38" t="s">
        <v>852</v>
      </c>
      <c r="N211" s="172"/>
      <c r="O211" s="172"/>
      <c r="P211" s="172"/>
      <c r="Q211" s="38" t="s">
        <v>852</v>
      </c>
      <c r="R211" s="38" t="s">
        <v>852</v>
      </c>
    </row>
    <row r="212" spans="1:20" ht="15.75" customHeight="1" x14ac:dyDescent="0.3">
      <c r="A212" s="234" t="s">
        <v>2409</v>
      </c>
      <c r="B212" s="172"/>
      <c r="C212" s="172"/>
      <c r="D212" s="172"/>
      <c r="E212" s="38" t="s">
        <v>852</v>
      </c>
      <c r="F212" s="172"/>
      <c r="G212" s="172"/>
      <c r="H212" s="172"/>
      <c r="I212" s="38" t="s">
        <v>852</v>
      </c>
      <c r="J212" s="172"/>
      <c r="K212" s="172"/>
      <c r="L212" s="172"/>
      <c r="M212" s="38" t="s">
        <v>852</v>
      </c>
      <c r="N212" s="172"/>
      <c r="O212" s="172"/>
      <c r="P212" s="172"/>
      <c r="Q212" s="38" t="s">
        <v>852</v>
      </c>
      <c r="R212" s="38" t="s">
        <v>852</v>
      </c>
    </row>
    <row r="213" spans="1:20" ht="15.75" customHeight="1" x14ac:dyDescent="0.3">
      <c r="A213" s="568" t="s">
        <v>1645</v>
      </c>
      <c r="B213" s="172"/>
      <c r="C213" s="172"/>
      <c r="D213" s="172"/>
      <c r="E213" s="38">
        <f>SUM(B213:D213)</f>
        <v>0</v>
      </c>
      <c r="F213" s="172"/>
      <c r="G213" s="172"/>
      <c r="H213" s="172"/>
      <c r="I213" s="38">
        <f>SUM(F213:H213)</f>
        <v>0</v>
      </c>
      <c r="J213" s="172"/>
      <c r="K213" s="172"/>
      <c r="L213" s="172"/>
      <c r="M213" s="38">
        <f>SUM(J213:L213)</f>
        <v>0</v>
      </c>
      <c r="N213" s="172"/>
      <c r="O213" s="172"/>
      <c r="P213" s="172"/>
      <c r="Q213" s="38">
        <f>SUM(N213:P213)</f>
        <v>0</v>
      </c>
      <c r="R213" s="38">
        <f>+E213+I213+M213+Q213</f>
        <v>0</v>
      </c>
      <c r="T213" t="s">
        <v>2764</v>
      </c>
    </row>
    <row r="214" spans="1:20" ht="15.75" customHeight="1" x14ac:dyDescent="0.3">
      <c r="A214" s="410" t="s">
        <v>2824</v>
      </c>
      <c r="B214" s="172"/>
      <c r="C214" s="172"/>
      <c r="D214" s="172"/>
      <c r="E214" s="38">
        <f>SUM(B214:D214)</f>
        <v>0</v>
      </c>
      <c r="F214" s="172"/>
      <c r="G214" s="172"/>
      <c r="H214" s="172"/>
      <c r="I214" s="38">
        <f>SUM(F214:H214)</f>
        <v>0</v>
      </c>
      <c r="J214" s="172"/>
      <c r="K214" s="172"/>
      <c r="L214" s="172"/>
      <c r="M214" s="38">
        <f>SUM(J214:L214)</f>
        <v>0</v>
      </c>
      <c r="N214" s="172"/>
      <c r="O214" s="172"/>
      <c r="P214" s="172"/>
      <c r="Q214" s="38">
        <f>SUM(N214:P214)</f>
        <v>0</v>
      </c>
      <c r="R214" s="38">
        <f>+E214+I214+M214+Q214</f>
        <v>0</v>
      </c>
      <c r="S214" t="s">
        <v>3020</v>
      </c>
      <c r="T214" t="s">
        <v>2760</v>
      </c>
    </row>
    <row r="215" spans="1:20" ht="15.75" customHeight="1" thickBot="1" x14ac:dyDescent="0.35">
      <c r="A215" s="234" t="s">
        <v>2165</v>
      </c>
      <c r="B215" s="172"/>
      <c r="C215" s="172"/>
      <c r="D215" s="172"/>
      <c r="E215" s="38" t="s">
        <v>852</v>
      </c>
      <c r="F215" s="172"/>
      <c r="G215" s="172"/>
      <c r="H215" s="172"/>
      <c r="I215" s="38" t="s">
        <v>852</v>
      </c>
      <c r="J215" s="172"/>
      <c r="K215" s="172"/>
      <c r="L215" s="172"/>
      <c r="M215" s="38" t="s">
        <v>852</v>
      </c>
      <c r="N215" s="172"/>
      <c r="O215" s="172"/>
      <c r="P215" s="172"/>
      <c r="Q215" s="38" t="s">
        <v>852</v>
      </c>
      <c r="R215" s="38" t="s">
        <v>852</v>
      </c>
    </row>
    <row r="216" spans="1:20" ht="16.5" customHeight="1" thickBot="1" x14ac:dyDescent="0.35">
      <c r="A216" s="43" t="s">
        <v>1219</v>
      </c>
      <c r="B216" s="45">
        <f>SUM(B210:B215)</f>
        <v>0</v>
      </c>
      <c r="C216" s="46">
        <f>SUM(C210:C215)</f>
        <v>0</v>
      </c>
      <c r="D216" s="46">
        <f>SUM(D210:D215)</f>
        <v>0</v>
      </c>
      <c r="E216" s="37">
        <f>SUM(B216:D216)</f>
        <v>0</v>
      </c>
      <c r="F216" s="46"/>
      <c r="G216" s="46"/>
      <c r="H216" s="46"/>
      <c r="I216" s="37">
        <f>SUM(F216:H216)</f>
        <v>0</v>
      </c>
      <c r="J216" s="46">
        <f>SUM(J210:J215)</f>
        <v>0</v>
      </c>
      <c r="K216" s="46">
        <f>SUM(K210:K215)</f>
        <v>0</v>
      </c>
      <c r="L216" s="46">
        <f>SUM(L210:L215)</f>
        <v>0</v>
      </c>
      <c r="M216" s="37">
        <f>SUM(J216:L216)</f>
        <v>0</v>
      </c>
      <c r="N216" s="46">
        <f>SUM(N210:N215)</f>
        <v>0</v>
      </c>
      <c r="O216" s="46">
        <f>SUM(O210:O215)</f>
        <v>0</v>
      </c>
      <c r="P216" s="46">
        <f>SUM(P210:P215)</f>
        <v>0</v>
      </c>
      <c r="Q216" s="37">
        <f>SUM(N216:P216)</f>
        <v>0</v>
      </c>
      <c r="R216" s="37">
        <f>+E216+I216+M216+Q216</f>
        <v>0</v>
      </c>
    </row>
    <row r="217" spans="1:20" ht="15.75" customHeight="1" x14ac:dyDescent="0.3">
      <c r="A217" s="234" t="s">
        <v>2166</v>
      </c>
      <c r="B217" s="10"/>
      <c r="C217" s="10"/>
      <c r="D217" s="10"/>
      <c r="E217" s="38" t="s">
        <v>852</v>
      </c>
      <c r="F217" s="10"/>
      <c r="G217" s="10"/>
      <c r="H217" s="10"/>
      <c r="I217" s="38" t="s">
        <v>852</v>
      </c>
      <c r="J217" s="10"/>
      <c r="K217" s="10"/>
      <c r="L217" s="10"/>
      <c r="M217" s="38" t="s">
        <v>852</v>
      </c>
      <c r="N217" s="10"/>
      <c r="O217" s="10"/>
      <c r="P217" s="10"/>
      <c r="Q217" s="38" t="s">
        <v>852</v>
      </c>
      <c r="R217" s="38" t="s">
        <v>852</v>
      </c>
    </row>
    <row r="218" spans="1:20" ht="15.75" customHeight="1" x14ac:dyDescent="0.3">
      <c r="A218" s="234" t="s">
        <v>1245</v>
      </c>
      <c r="B218" s="10"/>
      <c r="C218" s="10"/>
      <c r="D218" s="10"/>
      <c r="E218" s="38" t="s">
        <v>852</v>
      </c>
      <c r="F218" s="10"/>
      <c r="G218" s="10"/>
      <c r="H218" s="10"/>
      <c r="I218" s="38" t="s">
        <v>852</v>
      </c>
      <c r="J218" s="10"/>
      <c r="K218" s="10"/>
      <c r="L218" s="10"/>
      <c r="M218" s="38" t="s">
        <v>852</v>
      </c>
      <c r="N218" s="10"/>
      <c r="O218" s="10"/>
      <c r="P218" s="10"/>
      <c r="Q218" s="38" t="s">
        <v>852</v>
      </c>
      <c r="R218" s="38" t="s">
        <v>852</v>
      </c>
    </row>
    <row r="219" spans="1:20" ht="15.75" customHeight="1" x14ac:dyDescent="0.3">
      <c r="A219" s="234" t="s">
        <v>1711</v>
      </c>
      <c r="B219" s="10"/>
      <c r="C219" s="10"/>
      <c r="D219" s="10"/>
      <c r="E219" s="38" t="s">
        <v>852</v>
      </c>
      <c r="F219" s="10"/>
      <c r="G219" s="10"/>
      <c r="H219" s="10"/>
      <c r="I219" s="38" t="s">
        <v>852</v>
      </c>
      <c r="J219" s="10"/>
      <c r="K219" s="10"/>
      <c r="L219" s="10"/>
      <c r="M219" s="38" t="s">
        <v>852</v>
      </c>
      <c r="N219" s="10"/>
      <c r="O219" s="10"/>
      <c r="P219" s="10"/>
      <c r="Q219" s="38" t="s">
        <v>852</v>
      </c>
      <c r="R219" s="38" t="s">
        <v>852</v>
      </c>
    </row>
    <row r="220" spans="1:20" ht="15.75" customHeight="1" x14ac:dyDescent="0.3">
      <c r="A220" s="540" t="s">
        <v>1364</v>
      </c>
      <c r="B220" s="10">
        <v>271</v>
      </c>
      <c r="C220" s="10">
        <v>252</v>
      </c>
      <c r="D220" s="10">
        <v>288</v>
      </c>
      <c r="E220" s="38">
        <f t="shared" ref="E220:E226" si="58">SUM(B220:D220)</f>
        <v>811</v>
      </c>
      <c r="F220" s="10">
        <v>376</v>
      </c>
      <c r="G220" s="10">
        <v>454</v>
      </c>
      <c r="H220" s="10">
        <v>507</v>
      </c>
      <c r="I220" s="38">
        <f t="shared" ref="I220:I226" si="59">SUM(F220:H220)</f>
        <v>1337</v>
      </c>
      <c r="J220" s="10">
        <v>475</v>
      </c>
      <c r="K220" s="10">
        <v>427</v>
      </c>
      <c r="L220" s="10">
        <v>457</v>
      </c>
      <c r="M220" s="38">
        <f t="shared" ref="M220:M226" si="60">SUM(J220:L220)</f>
        <v>1359</v>
      </c>
      <c r="N220" s="10">
        <v>312</v>
      </c>
      <c r="O220" s="10">
        <v>282</v>
      </c>
      <c r="P220" s="10">
        <v>264</v>
      </c>
      <c r="Q220" s="38">
        <f t="shared" ref="Q220:Q226" si="61">SUM(N220:P220)</f>
        <v>858</v>
      </c>
      <c r="R220" s="38">
        <f t="shared" ref="R220:R284" si="62">+E220+I220+M220+Q220</f>
        <v>4365</v>
      </c>
      <c r="T220" t="s">
        <v>2800</v>
      </c>
    </row>
    <row r="221" spans="1:20" ht="15.75" customHeight="1" x14ac:dyDescent="0.3">
      <c r="A221" s="540" t="s">
        <v>1388</v>
      </c>
      <c r="B221" s="10"/>
      <c r="C221" s="10"/>
      <c r="D221" s="10">
        <v>357</v>
      </c>
      <c r="E221" s="38">
        <f t="shared" si="58"/>
        <v>357</v>
      </c>
      <c r="F221" s="10"/>
      <c r="G221" s="10"/>
      <c r="H221" s="10"/>
      <c r="I221" s="38">
        <f t="shared" si="59"/>
        <v>0</v>
      </c>
      <c r="J221" s="10"/>
      <c r="K221" s="10"/>
      <c r="L221" s="10"/>
      <c r="M221" s="38">
        <f t="shared" si="60"/>
        <v>0</v>
      </c>
      <c r="N221" s="10"/>
      <c r="O221" s="10"/>
      <c r="P221" s="10"/>
      <c r="Q221" s="38">
        <f t="shared" si="61"/>
        <v>0</v>
      </c>
      <c r="R221" s="38">
        <f t="shared" si="62"/>
        <v>357</v>
      </c>
      <c r="T221" t="s">
        <v>2764</v>
      </c>
    </row>
    <row r="222" spans="1:20" ht="15.75" customHeight="1" x14ac:dyDescent="0.3">
      <c r="A222" s="410" t="s">
        <v>3133</v>
      </c>
      <c r="B222" s="10">
        <v>8</v>
      </c>
      <c r="C222" s="10">
        <v>5</v>
      </c>
      <c r="D222" s="10">
        <v>6</v>
      </c>
      <c r="E222" s="38">
        <f t="shared" si="58"/>
        <v>19</v>
      </c>
      <c r="F222" s="10">
        <v>8</v>
      </c>
      <c r="G222" s="10">
        <v>9</v>
      </c>
      <c r="H222" s="10">
        <v>11</v>
      </c>
      <c r="I222" s="38">
        <f t="shared" si="59"/>
        <v>28</v>
      </c>
      <c r="J222" s="10">
        <v>6</v>
      </c>
      <c r="K222" s="10">
        <v>6</v>
      </c>
      <c r="L222" s="10">
        <v>33</v>
      </c>
      <c r="M222" s="38">
        <f t="shared" si="60"/>
        <v>45</v>
      </c>
      <c r="N222" s="10">
        <v>4</v>
      </c>
      <c r="O222" s="10">
        <v>4</v>
      </c>
      <c r="P222" s="10"/>
      <c r="Q222" s="38">
        <f t="shared" si="61"/>
        <v>8</v>
      </c>
      <c r="R222" s="38">
        <f t="shared" si="62"/>
        <v>100</v>
      </c>
    </row>
    <row r="223" spans="1:20" ht="15.75" customHeight="1" x14ac:dyDescent="0.3">
      <c r="A223" s="540" t="s">
        <v>3328</v>
      </c>
      <c r="B223" s="10">
        <f>15+19</f>
        <v>34</v>
      </c>
      <c r="C223" s="10">
        <f>11+23</f>
        <v>34</v>
      </c>
      <c r="D223" s="10">
        <f>13+10</f>
        <v>23</v>
      </c>
      <c r="E223" s="38">
        <f t="shared" si="58"/>
        <v>91</v>
      </c>
      <c r="F223" s="10"/>
      <c r="G223" s="10"/>
      <c r="H223" s="10">
        <v>45</v>
      </c>
      <c r="I223" s="38">
        <f t="shared" si="59"/>
        <v>45</v>
      </c>
      <c r="J223" s="10">
        <f>144+68</f>
        <v>212</v>
      </c>
      <c r="K223" s="10">
        <f>94+59</f>
        <v>153</v>
      </c>
      <c r="L223" s="10">
        <f>69+54</f>
        <v>123</v>
      </c>
      <c r="M223" s="38">
        <f t="shared" si="60"/>
        <v>488</v>
      </c>
      <c r="N223" s="10">
        <f>37+12</f>
        <v>49</v>
      </c>
      <c r="O223" s="10">
        <v>42</v>
      </c>
      <c r="P223" s="10">
        <f>21+5</f>
        <v>26</v>
      </c>
      <c r="Q223" s="38">
        <f t="shared" si="61"/>
        <v>117</v>
      </c>
      <c r="R223" s="38">
        <f t="shared" si="62"/>
        <v>741</v>
      </c>
      <c r="T223" t="s">
        <v>1193</v>
      </c>
    </row>
    <row r="224" spans="1:20" ht="15.75" customHeight="1" x14ac:dyDescent="0.3">
      <c r="A224" s="540" t="s">
        <v>3072</v>
      </c>
      <c r="B224" s="10">
        <v>198</v>
      </c>
      <c r="C224" s="10"/>
      <c r="D224" s="10"/>
      <c r="E224" s="38">
        <f t="shared" si="58"/>
        <v>198</v>
      </c>
      <c r="F224" s="10"/>
      <c r="G224" s="10"/>
      <c r="H224" s="10"/>
      <c r="I224" s="38">
        <f t="shared" si="59"/>
        <v>0</v>
      </c>
      <c r="J224" s="10"/>
      <c r="K224" s="10"/>
      <c r="L224" s="10"/>
      <c r="M224" s="38">
        <f t="shared" si="60"/>
        <v>0</v>
      </c>
      <c r="N224" s="10">
        <v>650</v>
      </c>
      <c r="O224" s="10"/>
      <c r="P224" s="10"/>
      <c r="Q224" s="38">
        <f t="shared" si="61"/>
        <v>650</v>
      </c>
      <c r="R224" s="38">
        <f>+E224+I224+M224+Q224</f>
        <v>848</v>
      </c>
      <c r="T224" t="s">
        <v>2770</v>
      </c>
    </row>
    <row r="225" spans="1:20" ht="15.75" customHeight="1" x14ac:dyDescent="0.3">
      <c r="A225" s="540" t="s">
        <v>3189</v>
      </c>
      <c r="B225" s="10"/>
      <c r="C225" s="10"/>
      <c r="D225" s="10">
        <v>999</v>
      </c>
      <c r="E225" s="38">
        <f t="shared" si="58"/>
        <v>999</v>
      </c>
      <c r="F225" s="10">
        <v>296</v>
      </c>
      <c r="G225" s="10"/>
      <c r="H225" s="10"/>
      <c r="I225" s="38">
        <f t="shared" si="59"/>
        <v>296</v>
      </c>
      <c r="J225" s="10"/>
      <c r="K225" s="10"/>
      <c r="L225" s="10"/>
      <c r="M225" s="38">
        <f t="shared" si="60"/>
        <v>0</v>
      </c>
      <c r="N225" s="10">
        <v>673</v>
      </c>
      <c r="O225" s="10">
        <v>3307</v>
      </c>
      <c r="P225" s="10"/>
      <c r="Q225" s="38">
        <f t="shared" si="61"/>
        <v>3980</v>
      </c>
      <c r="R225" s="38">
        <f>+E225+I225+M225+Q225</f>
        <v>5275</v>
      </c>
      <c r="T225" t="s">
        <v>2770</v>
      </c>
    </row>
    <row r="226" spans="1:20" ht="15.75" customHeight="1" x14ac:dyDescent="0.3">
      <c r="A226" s="410" t="s">
        <v>3063</v>
      </c>
      <c r="B226" s="10"/>
      <c r="C226" s="10"/>
      <c r="D226" s="10"/>
      <c r="E226" s="38">
        <f t="shared" si="58"/>
        <v>0</v>
      </c>
      <c r="F226" s="10"/>
      <c r="G226" s="10"/>
      <c r="H226" s="10">
        <v>245</v>
      </c>
      <c r="I226" s="38">
        <f t="shared" si="59"/>
        <v>245</v>
      </c>
      <c r="J226" s="10">
        <v>1605</v>
      </c>
      <c r="K226" s="10"/>
      <c r="L226" s="10"/>
      <c r="M226" s="38">
        <f t="shared" si="60"/>
        <v>1605</v>
      </c>
      <c r="N226" s="10"/>
      <c r="O226" s="10"/>
      <c r="P226" s="10"/>
      <c r="Q226" s="38">
        <f t="shared" si="61"/>
        <v>0</v>
      </c>
      <c r="R226" s="38">
        <f>+E226+I226+M226+Q226</f>
        <v>1850</v>
      </c>
      <c r="S226" s="709"/>
      <c r="T226" t="s">
        <v>2760</v>
      </c>
    </row>
    <row r="227" spans="1:20" ht="15.75" customHeight="1" x14ac:dyDescent="0.3">
      <c r="A227" s="410" t="s">
        <v>2965</v>
      </c>
      <c r="B227" s="10"/>
      <c r="C227" s="10"/>
      <c r="D227" s="10"/>
      <c r="E227" s="38">
        <f>SUM(B227:D227)</f>
        <v>0</v>
      </c>
      <c r="F227" s="10"/>
      <c r="G227" s="10"/>
      <c r="H227" s="10"/>
      <c r="I227" s="38">
        <f t="shared" ref="I227:I282" si="63">SUM(F227:H227)</f>
        <v>0</v>
      </c>
      <c r="J227" s="10"/>
      <c r="K227" s="10"/>
      <c r="L227" s="10"/>
      <c r="M227" s="38">
        <f t="shared" ref="M227:M282" si="64">SUM(J227:L227)</f>
        <v>0</v>
      </c>
      <c r="N227" s="10"/>
      <c r="O227" s="10"/>
      <c r="P227" s="10"/>
      <c r="Q227" s="38">
        <f t="shared" ref="Q227:Q282" si="65">SUM(N227:P227)</f>
        <v>0</v>
      </c>
      <c r="R227" s="38">
        <f t="shared" si="62"/>
        <v>0</v>
      </c>
      <c r="S227" t="s">
        <v>3020</v>
      </c>
    </row>
    <row r="228" spans="1:20" ht="15.75" customHeight="1" x14ac:dyDescent="0.3">
      <c r="A228" s="689" t="s">
        <v>2940</v>
      </c>
      <c r="B228" s="10">
        <v>476</v>
      </c>
      <c r="C228" s="10">
        <v>198</v>
      </c>
      <c r="D228" s="10"/>
      <c r="E228" s="38">
        <f t="shared" ref="E228" si="66">SUM(B228:D228)</f>
        <v>674</v>
      </c>
      <c r="F228" s="10"/>
      <c r="G228" s="10"/>
      <c r="H228" s="10"/>
      <c r="I228" s="38">
        <f t="shared" si="63"/>
        <v>0</v>
      </c>
      <c r="J228" s="10"/>
      <c r="K228" s="10"/>
      <c r="L228" s="10"/>
      <c r="M228" s="38">
        <f t="shared" si="64"/>
        <v>0</v>
      </c>
      <c r="N228" s="10"/>
      <c r="O228" s="10"/>
      <c r="P228" s="10"/>
      <c r="Q228" s="38">
        <f t="shared" si="65"/>
        <v>0</v>
      </c>
      <c r="R228" s="38">
        <f>+E228+I228+M228+Q228</f>
        <v>674</v>
      </c>
      <c r="T228" t="s">
        <v>2780</v>
      </c>
    </row>
    <row r="229" spans="1:20" ht="15.75" customHeight="1" x14ac:dyDescent="0.3">
      <c r="A229" s="410" t="s">
        <v>568</v>
      </c>
      <c r="B229" s="10">
        <v>654</v>
      </c>
      <c r="C229" s="10"/>
      <c r="D229" s="10"/>
      <c r="E229" s="38">
        <f>SUM(B229:D229)</f>
        <v>654</v>
      </c>
      <c r="F229" s="10"/>
      <c r="G229" s="10"/>
      <c r="H229" s="10"/>
      <c r="I229" s="38">
        <f>SUM(F229:H229)</f>
        <v>0</v>
      </c>
      <c r="J229" s="10"/>
      <c r="K229" s="10"/>
      <c r="L229" s="10"/>
      <c r="M229" s="38">
        <f>SUM(J229:L229)</f>
        <v>0</v>
      </c>
      <c r="N229" s="10"/>
      <c r="O229" s="10"/>
      <c r="P229" s="10"/>
      <c r="Q229" s="38">
        <f>SUM(N229:P229)</f>
        <v>0</v>
      </c>
      <c r="R229" s="38">
        <f t="shared" si="62"/>
        <v>654</v>
      </c>
      <c r="T229" t="s">
        <v>2775</v>
      </c>
    </row>
    <row r="230" spans="1:20" ht="15.75" customHeight="1" x14ac:dyDescent="0.3">
      <c r="A230" s="540" t="s">
        <v>3317</v>
      </c>
      <c r="B230" s="10">
        <v>28</v>
      </c>
      <c r="C230" s="10"/>
      <c r="D230" s="10"/>
      <c r="E230" s="38">
        <f>SUM(B230:D230)</f>
        <v>28</v>
      </c>
      <c r="F230" s="10"/>
      <c r="G230" s="10"/>
      <c r="H230" s="10"/>
      <c r="I230" s="38">
        <f>SUM(F230:H230)</f>
        <v>0</v>
      </c>
      <c r="J230" s="10"/>
      <c r="K230" s="10"/>
      <c r="L230" s="10"/>
      <c r="M230" s="38">
        <f>SUM(J230:L230)</f>
        <v>0</v>
      </c>
      <c r="N230" s="10"/>
      <c r="O230" s="10"/>
      <c r="P230" s="10"/>
      <c r="Q230" s="38">
        <f>SUM(N230:P230)</f>
        <v>0</v>
      </c>
      <c r="R230" s="38">
        <f t="shared" ref="R230" si="67">+E230+I230+M230+Q230</f>
        <v>28</v>
      </c>
    </row>
    <row r="231" spans="1:20" ht="15.75" customHeight="1" x14ac:dyDescent="0.3">
      <c r="A231" s="410" t="s">
        <v>1150</v>
      </c>
      <c r="B231" s="10"/>
      <c r="C231" s="10"/>
      <c r="D231" s="10"/>
      <c r="E231" s="38">
        <f t="shared" ref="E231:E274" si="68">SUM(B231:D231)</f>
        <v>0</v>
      </c>
      <c r="F231" s="10"/>
      <c r="G231" s="10"/>
      <c r="H231" s="10"/>
      <c r="I231" s="38">
        <f t="shared" si="63"/>
        <v>0</v>
      </c>
      <c r="J231" s="10"/>
      <c r="K231" s="10"/>
      <c r="L231" s="10"/>
      <c r="M231" s="38">
        <f t="shared" si="64"/>
        <v>0</v>
      </c>
      <c r="N231" s="10"/>
      <c r="O231" s="10"/>
      <c r="P231" s="10"/>
      <c r="Q231" s="38">
        <f t="shared" si="65"/>
        <v>0</v>
      </c>
      <c r="R231" s="38">
        <f t="shared" si="62"/>
        <v>0</v>
      </c>
    </row>
    <row r="232" spans="1:20" ht="15.75" customHeight="1" x14ac:dyDescent="0.3">
      <c r="A232" s="410" t="s">
        <v>1973</v>
      </c>
      <c r="B232" s="10">
        <v>1136</v>
      </c>
      <c r="C232" s="10"/>
      <c r="D232" s="10"/>
      <c r="E232" s="38">
        <f t="shared" si="68"/>
        <v>1136</v>
      </c>
      <c r="F232" s="10"/>
      <c r="G232" s="10"/>
      <c r="H232" s="10"/>
      <c r="I232" s="38">
        <f t="shared" si="63"/>
        <v>0</v>
      </c>
      <c r="J232" s="10"/>
      <c r="K232" s="10"/>
      <c r="L232" s="10"/>
      <c r="M232" s="38">
        <f t="shared" si="64"/>
        <v>0</v>
      </c>
      <c r="N232" s="10"/>
      <c r="O232" s="10"/>
      <c r="P232" s="10"/>
      <c r="Q232" s="38">
        <f t="shared" si="65"/>
        <v>0</v>
      </c>
      <c r="R232" s="38">
        <f t="shared" si="62"/>
        <v>1136</v>
      </c>
    </row>
    <row r="233" spans="1:20" ht="15.75" customHeight="1" x14ac:dyDescent="0.3">
      <c r="A233" s="410" t="s">
        <v>1974</v>
      </c>
      <c r="B233" s="10">
        <v>23</v>
      </c>
      <c r="C233" s="10"/>
      <c r="D233" s="10"/>
      <c r="E233" s="38">
        <f t="shared" si="68"/>
        <v>23</v>
      </c>
      <c r="F233" s="10"/>
      <c r="G233" s="10"/>
      <c r="H233" s="10"/>
      <c r="I233" s="38">
        <f t="shared" si="63"/>
        <v>0</v>
      </c>
      <c r="J233" s="10"/>
      <c r="K233" s="10"/>
      <c r="L233" s="10"/>
      <c r="M233" s="38">
        <f t="shared" si="64"/>
        <v>0</v>
      </c>
      <c r="N233" s="10"/>
      <c r="O233" s="10"/>
      <c r="P233" s="10"/>
      <c r="Q233" s="38">
        <f t="shared" si="65"/>
        <v>0</v>
      </c>
      <c r="R233" s="38">
        <f t="shared" si="62"/>
        <v>23</v>
      </c>
    </row>
    <row r="234" spans="1:20" ht="15.75" customHeight="1" x14ac:dyDescent="0.3">
      <c r="A234" s="410" t="s">
        <v>2848</v>
      </c>
      <c r="B234" s="10">
        <v>23</v>
      </c>
      <c r="C234" s="10"/>
      <c r="D234" s="10"/>
      <c r="E234" s="38">
        <f t="shared" si="68"/>
        <v>23</v>
      </c>
      <c r="F234" s="10"/>
      <c r="G234" s="10"/>
      <c r="H234" s="10"/>
      <c r="I234" s="38">
        <f t="shared" si="63"/>
        <v>0</v>
      </c>
      <c r="J234" s="10"/>
      <c r="K234" s="10"/>
      <c r="L234" s="10"/>
      <c r="M234" s="38">
        <f t="shared" si="64"/>
        <v>0</v>
      </c>
      <c r="N234" s="10"/>
      <c r="O234" s="10"/>
      <c r="P234" s="10"/>
      <c r="Q234" s="38">
        <f t="shared" si="65"/>
        <v>0</v>
      </c>
      <c r="R234" s="38">
        <f t="shared" si="62"/>
        <v>23</v>
      </c>
      <c r="S234" t="s">
        <v>3020</v>
      </c>
      <c r="T234" t="s">
        <v>2760</v>
      </c>
    </row>
    <row r="235" spans="1:20" ht="15.75" customHeight="1" x14ac:dyDescent="0.3">
      <c r="A235" s="410" t="s">
        <v>3156</v>
      </c>
      <c r="B235" s="10"/>
      <c r="C235" s="10"/>
      <c r="D235" s="10"/>
      <c r="E235" s="38">
        <f t="shared" si="68"/>
        <v>0</v>
      </c>
      <c r="F235" s="10"/>
      <c r="G235" s="10"/>
      <c r="H235" s="10"/>
      <c r="I235" s="38">
        <f t="shared" si="63"/>
        <v>0</v>
      </c>
      <c r="J235" s="10"/>
      <c r="K235" s="10"/>
      <c r="L235" s="10"/>
      <c r="M235" s="38">
        <f t="shared" si="64"/>
        <v>0</v>
      </c>
      <c r="N235" s="10"/>
      <c r="O235" s="10"/>
      <c r="P235" s="10"/>
      <c r="Q235" s="38">
        <f t="shared" si="65"/>
        <v>0</v>
      </c>
      <c r="R235" s="38">
        <f t="shared" si="62"/>
        <v>0</v>
      </c>
      <c r="S235" t="s">
        <v>3020</v>
      </c>
      <c r="T235" t="s">
        <v>2760</v>
      </c>
    </row>
    <row r="236" spans="1:20" ht="15.75" customHeight="1" x14ac:dyDescent="0.3">
      <c r="A236" s="410" t="s">
        <v>3157</v>
      </c>
      <c r="B236" s="10"/>
      <c r="C236" s="10"/>
      <c r="D236" s="10"/>
      <c r="E236" s="38">
        <f t="shared" si="68"/>
        <v>0</v>
      </c>
      <c r="G236" s="10"/>
      <c r="H236" s="10"/>
      <c r="I236" s="38">
        <f t="shared" si="63"/>
        <v>0</v>
      </c>
      <c r="J236" s="10"/>
      <c r="K236" s="10"/>
      <c r="L236" s="10"/>
      <c r="M236" s="38">
        <f t="shared" si="64"/>
        <v>0</v>
      </c>
      <c r="N236" s="10"/>
      <c r="O236" s="10"/>
      <c r="P236" s="10"/>
      <c r="Q236" s="38">
        <f t="shared" si="65"/>
        <v>0</v>
      </c>
      <c r="R236" s="38">
        <f t="shared" si="62"/>
        <v>0</v>
      </c>
    </row>
    <row r="237" spans="1:20" ht="15.75" customHeight="1" x14ac:dyDescent="0.3">
      <c r="A237" s="410" t="s">
        <v>3161</v>
      </c>
      <c r="B237" s="10"/>
      <c r="C237" s="10"/>
      <c r="D237" s="10"/>
      <c r="E237" s="38">
        <f t="shared" si="68"/>
        <v>0</v>
      </c>
      <c r="F237">
        <v>4300</v>
      </c>
      <c r="H237" s="10"/>
      <c r="I237" s="38">
        <f t="shared" si="63"/>
        <v>4300</v>
      </c>
      <c r="J237" s="10"/>
      <c r="K237" s="10"/>
      <c r="L237" s="10"/>
      <c r="M237" s="38">
        <f t="shared" si="64"/>
        <v>0</v>
      </c>
      <c r="N237" s="10"/>
      <c r="O237" s="10"/>
      <c r="P237" s="10"/>
      <c r="Q237" s="38">
        <f t="shared" si="65"/>
        <v>0</v>
      </c>
      <c r="R237" s="38">
        <f t="shared" si="62"/>
        <v>4300</v>
      </c>
    </row>
    <row r="238" spans="1:20" ht="15.75" customHeight="1" x14ac:dyDescent="0.3">
      <c r="A238" s="540" t="s">
        <v>2938</v>
      </c>
      <c r="B238" s="10"/>
      <c r="C238" s="10"/>
      <c r="D238" s="10"/>
      <c r="E238" s="38">
        <f t="shared" si="68"/>
        <v>0</v>
      </c>
      <c r="F238" s="10"/>
      <c r="G238" s="10"/>
      <c r="H238" s="10"/>
      <c r="I238" s="38">
        <f t="shared" si="63"/>
        <v>0</v>
      </c>
      <c r="J238" s="10"/>
      <c r="K238" s="10"/>
      <c r="L238" s="10"/>
      <c r="M238" s="38">
        <f t="shared" si="64"/>
        <v>0</v>
      </c>
      <c r="N238" s="10"/>
      <c r="O238" s="10"/>
      <c r="P238" s="10"/>
      <c r="Q238" s="38">
        <f t="shared" si="65"/>
        <v>0</v>
      </c>
      <c r="R238" s="38">
        <f t="shared" si="62"/>
        <v>0</v>
      </c>
      <c r="T238" t="s">
        <v>2764</v>
      </c>
    </row>
    <row r="239" spans="1:20" ht="15.75" customHeight="1" x14ac:dyDescent="0.3">
      <c r="A239" s="410" t="s">
        <v>3051</v>
      </c>
      <c r="B239" s="10"/>
      <c r="C239" s="10"/>
      <c r="D239" s="10"/>
      <c r="E239" s="38">
        <f t="shared" si="68"/>
        <v>0</v>
      </c>
      <c r="F239" s="10"/>
      <c r="G239" s="10"/>
      <c r="H239" s="10"/>
      <c r="I239" s="38">
        <f t="shared" si="63"/>
        <v>0</v>
      </c>
      <c r="J239" s="10"/>
      <c r="K239" s="10"/>
      <c r="L239" s="10"/>
      <c r="M239" s="38">
        <f t="shared" si="64"/>
        <v>0</v>
      </c>
      <c r="N239" s="10"/>
      <c r="O239" s="10"/>
      <c r="P239" s="10"/>
      <c r="Q239" s="38">
        <f>SUM(N239:P239)</f>
        <v>0</v>
      </c>
      <c r="R239" s="38">
        <f>+E239+I239+M239+Q239</f>
        <v>0</v>
      </c>
      <c r="S239" s="709"/>
      <c r="T239" t="s">
        <v>2760</v>
      </c>
    </row>
    <row r="240" spans="1:20" ht="15.75" customHeight="1" x14ac:dyDescent="0.3">
      <c r="A240" s="540" t="s">
        <v>3049</v>
      </c>
      <c r="B240" s="10"/>
      <c r="C240" s="10"/>
      <c r="D240" s="10"/>
      <c r="E240" s="38">
        <f>SUM(B240:D240)</f>
        <v>0</v>
      </c>
      <c r="F240" s="10"/>
      <c r="G240" s="10"/>
      <c r="H240" s="10"/>
      <c r="I240" s="38">
        <f t="shared" si="63"/>
        <v>0</v>
      </c>
      <c r="J240" s="10"/>
      <c r="K240" s="10"/>
      <c r="L240" s="10"/>
      <c r="M240" s="38">
        <f t="shared" si="64"/>
        <v>0</v>
      </c>
      <c r="N240" s="10"/>
      <c r="O240" s="10"/>
      <c r="P240" s="10"/>
      <c r="Q240" s="38">
        <f t="shared" si="65"/>
        <v>0</v>
      </c>
      <c r="R240" s="38">
        <f t="shared" si="62"/>
        <v>0</v>
      </c>
    </row>
    <row r="241" spans="1:21" ht="15.75" customHeight="1" x14ac:dyDescent="0.3">
      <c r="A241" s="540" t="s">
        <v>3050</v>
      </c>
      <c r="B241" s="10"/>
      <c r="C241" s="10"/>
      <c r="D241" s="10"/>
      <c r="E241" s="38">
        <f t="shared" si="68"/>
        <v>0</v>
      </c>
      <c r="F241" s="10"/>
      <c r="G241" s="10"/>
      <c r="H241" s="10"/>
      <c r="I241" s="38">
        <f t="shared" si="63"/>
        <v>0</v>
      </c>
      <c r="J241" s="10"/>
      <c r="K241" s="10"/>
      <c r="L241" s="10"/>
      <c r="M241" s="38">
        <f t="shared" si="64"/>
        <v>0</v>
      </c>
      <c r="N241" s="10"/>
      <c r="O241" s="10"/>
      <c r="P241" s="10"/>
      <c r="Q241" s="38">
        <f t="shared" si="65"/>
        <v>0</v>
      </c>
      <c r="R241" s="38">
        <f t="shared" si="62"/>
        <v>0</v>
      </c>
    </row>
    <row r="242" spans="1:21" ht="15.75" customHeight="1" x14ac:dyDescent="0.3">
      <c r="A242" s="540" t="s">
        <v>2753</v>
      </c>
      <c r="B242" s="10"/>
      <c r="C242" s="10"/>
      <c r="D242" s="10"/>
      <c r="E242" s="38">
        <f t="shared" ref="E242:E243" si="69">SUM(B242:D242)</f>
        <v>0</v>
      </c>
      <c r="F242" s="10"/>
      <c r="G242" s="10"/>
      <c r="H242" s="10"/>
      <c r="I242" s="38">
        <f t="shared" si="63"/>
        <v>0</v>
      </c>
      <c r="J242" s="10"/>
      <c r="K242" s="10"/>
      <c r="L242" s="10"/>
      <c r="M242" s="38">
        <f t="shared" si="64"/>
        <v>0</v>
      </c>
      <c r="N242" s="10"/>
      <c r="O242" s="10"/>
      <c r="P242" s="10"/>
      <c r="Q242" s="38">
        <f t="shared" si="65"/>
        <v>0</v>
      </c>
      <c r="R242" s="38">
        <f t="shared" si="62"/>
        <v>0</v>
      </c>
    </row>
    <row r="243" spans="1:21" ht="15.75" customHeight="1" x14ac:dyDescent="0.3">
      <c r="A243" s="540" t="s">
        <v>2754</v>
      </c>
      <c r="B243" s="10"/>
      <c r="C243" s="10"/>
      <c r="D243" s="10"/>
      <c r="E243" s="38">
        <f t="shared" si="69"/>
        <v>0</v>
      </c>
      <c r="F243" s="10"/>
      <c r="G243" s="10"/>
      <c r="H243" s="10"/>
      <c r="I243" s="38">
        <f t="shared" si="63"/>
        <v>0</v>
      </c>
      <c r="J243" s="10"/>
      <c r="K243" s="10"/>
      <c r="L243" s="10"/>
      <c r="M243" s="38">
        <f t="shared" si="64"/>
        <v>0</v>
      </c>
      <c r="N243" s="10"/>
      <c r="O243" s="10"/>
      <c r="P243" s="10"/>
      <c r="Q243" s="38">
        <f t="shared" si="65"/>
        <v>0</v>
      </c>
      <c r="R243" s="38">
        <f t="shared" si="62"/>
        <v>0</v>
      </c>
    </row>
    <row r="244" spans="1:21" ht="15.75" customHeight="1" x14ac:dyDescent="0.3">
      <c r="A244" s="410" t="s">
        <v>2755</v>
      </c>
      <c r="B244" s="10">
        <v>800</v>
      </c>
      <c r="C244" s="10">
        <v>728</v>
      </c>
      <c r="D244" s="10">
        <v>821</v>
      </c>
      <c r="E244" s="38">
        <f>SUM(B244:D244)</f>
        <v>2349</v>
      </c>
      <c r="F244" s="10">
        <v>909</v>
      </c>
      <c r="G244" s="10">
        <v>1006</v>
      </c>
      <c r="H244" s="10"/>
      <c r="I244" s="38">
        <f t="shared" ref="I244" si="70">SUM(F244:H244)</f>
        <v>1915</v>
      </c>
      <c r="J244" s="10"/>
      <c r="K244" s="10"/>
      <c r="L244" s="10"/>
      <c r="M244" s="38">
        <f t="shared" si="64"/>
        <v>0</v>
      </c>
      <c r="N244" s="10"/>
      <c r="O244" s="10"/>
      <c r="P244" s="10"/>
      <c r="Q244" s="38">
        <f t="shared" si="65"/>
        <v>0</v>
      </c>
      <c r="R244" s="38">
        <f t="shared" si="62"/>
        <v>4264</v>
      </c>
    </row>
    <row r="245" spans="1:21" ht="15.75" customHeight="1" x14ac:dyDescent="0.3">
      <c r="A245" s="569" t="s">
        <v>2989</v>
      </c>
      <c r="B245" s="10"/>
      <c r="C245" s="10"/>
      <c r="D245" s="10"/>
      <c r="E245" s="38">
        <f>SUM(B245:D245)</f>
        <v>0</v>
      </c>
      <c r="F245" s="10"/>
      <c r="G245" s="10"/>
      <c r="H245" s="10"/>
      <c r="I245" s="38">
        <f t="shared" si="63"/>
        <v>0</v>
      </c>
      <c r="J245" s="10"/>
      <c r="K245" s="10"/>
      <c r="L245" s="10"/>
      <c r="M245" s="38">
        <f t="shared" si="64"/>
        <v>0</v>
      </c>
      <c r="N245" s="10"/>
      <c r="O245" s="10"/>
      <c r="P245" s="10">
        <v>34</v>
      </c>
      <c r="Q245" s="38">
        <f t="shared" si="65"/>
        <v>34</v>
      </c>
      <c r="R245" s="38">
        <f t="shared" si="62"/>
        <v>34</v>
      </c>
    </row>
    <row r="246" spans="1:21" ht="15.75" customHeight="1" x14ac:dyDescent="0.3">
      <c r="A246" s="569" t="s">
        <v>2990</v>
      </c>
      <c r="B246" s="10"/>
      <c r="C246" s="10"/>
      <c r="D246" s="10"/>
      <c r="E246" s="38">
        <f>SUM(B246:D246)</f>
        <v>0</v>
      </c>
      <c r="F246" s="10"/>
      <c r="G246" s="10"/>
      <c r="H246" s="10"/>
      <c r="I246" s="38">
        <f t="shared" si="63"/>
        <v>0</v>
      </c>
      <c r="J246" s="10"/>
      <c r="K246" s="10"/>
      <c r="L246" s="10"/>
      <c r="M246" s="38">
        <f t="shared" si="64"/>
        <v>0</v>
      </c>
      <c r="N246" s="10"/>
      <c r="O246" s="10"/>
      <c r="P246" s="10"/>
      <c r="Q246" s="38">
        <f t="shared" si="65"/>
        <v>0</v>
      </c>
      <c r="R246" s="38">
        <f t="shared" si="62"/>
        <v>0</v>
      </c>
    </row>
    <row r="247" spans="1:21" ht="15.75" customHeight="1" x14ac:dyDescent="0.3">
      <c r="A247" s="569" t="s">
        <v>2991</v>
      </c>
      <c r="B247" s="10"/>
      <c r="C247" s="10"/>
      <c r="D247" s="10"/>
      <c r="E247" s="38">
        <f>SUM(B247:D247)</f>
        <v>0</v>
      </c>
      <c r="F247" s="10"/>
      <c r="G247" s="10"/>
      <c r="H247" s="10"/>
      <c r="I247" s="38">
        <f t="shared" si="63"/>
        <v>0</v>
      </c>
      <c r="J247" s="10"/>
      <c r="K247" s="10"/>
      <c r="L247" s="10"/>
      <c r="M247" s="38">
        <f t="shared" si="64"/>
        <v>0</v>
      </c>
      <c r="N247" s="10"/>
      <c r="O247" s="10"/>
      <c r="P247" s="10"/>
      <c r="Q247" s="38">
        <f t="shared" si="65"/>
        <v>0</v>
      </c>
      <c r="R247" s="38">
        <f t="shared" si="62"/>
        <v>0</v>
      </c>
      <c r="T247" t="s">
        <v>2764</v>
      </c>
    </row>
    <row r="248" spans="1:21" ht="15.75" customHeight="1" x14ac:dyDescent="0.3">
      <c r="A248" s="410" t="s">
        <v>3134</v>
      </c>
      <c r="B248" s="10"/>
      <c r="C248" s="10"/>
      <c r="D248" s="10"/>
      <c r="E248" s="38">
        <f t="shared" ref="E248:E251" si="71">SUM(B248:D248)</f>
        <v>0</v>
      </c>
      <c r="F248" s="10">
        <f>1286+595</f>
        <v>1881</v>
      </c>
      <c r="G248" s="10"/>
      <c r="H248" s="10"/>
      <c r="I248" s="38">
        <f>SUM(F248:H248)</f>
        <v>1881</v>
      </c>
      <c r="J248" s="10"/>
      <c r="K248" s="10"/>
      <c r="L248" s="10"/>
      <c r="M248" s="38">
        <f t="shared" ref="M248:M249" si="72">SUM(J248:L248)</f>
        <v>0</v>
      </c>
      <c r="N248" s="10"/>
      <c r="O248" s="10"/>
      <c r="P248" s="10"/>
      <c r="Q248" s="38">
        <f t="shared" ref="Q248:Q249" si="73">SUM(N248:P248)</f>
        <v>0</v>
      </c>
      <c r="R248" s="38">
        <f t="shared" si="62"/>
        <v>1881</v>
      </c>
      <c r="S248" s="717" t="s">
        <v>3020</v>
      </c>
    </row>
    <row r="249" spans="1:21" ht="15.75" customHeight="1" x14ac:dyDescent="0.3">
      <c r="A249" s="410" t="s">
        <v>1851</v>
      </c>
      <c r="B249" s="10"/>
      <c r="C249" s="10"/>
      <c r="D249" s="10"/>
      <c r="E249" s="38">
        <f t="shared" si="71"/>
        <v>0</v>
      </c>
      <c r="F249" s="10">
        <f>4806</f>
        <v>4806</v>
      </c>
      <c r="G249" s="10">
        <v>8089</v>
      </c>
      <c r="H249" s="10"/>
      <c r="I249" s="38">
        <f>SUM(F249:H249)</f>
        <v>12895</v>
      </c>
      <c r="J249" s="10"/>
      <c r="K249" s="10"/>
      <c r="L249" s="10"/>
      <c r="M249" s="38">
        <f t="shared" si="72"/>
        <v>0</v>
      </c>
      <c r="N249" s="10"/>
      <c r="O249" s="10"/>
      <c r="P249" s="10"/>
      <c r="Q249" s="38">
        <f t="shared" si="73"/>
        <v>0</v>
      </c>
      <c r="R249" s="38">
        <f t="shared" si="62"/>
        <v>12895</v>
      </c>
      <c r="S249" t="s">
        <v>3020</v>
      </c>
    </row>
    <row r="250" spans="1:21" ht="15.75" customHeight="1" x14ac:dyDescent="0.3">
      <c r="A250" s="410" t="s">
        <v>1850</v>
      </c>
      <c r="B250" s="10">
        <v>213</v>
      </c>
      <c r="C250" s="10">
        <v>3576</v>
      </c>
      <c r="D250" s="10">
        <v>3455</v>
      </c>
      <c r="E250" s="38">
        <f t="shared" si="71"/>
        <v>7244</v>
      </c>
      <c r="F250" s="356">
        <f>4218+374</f>
        <v>4592</v>
      </c>
      <c r="G250" s="10"/>
      <c r="H250" s="10"/>
      <c r="I250" s="38">
        <f t="shared" si="63"/>
        <v>4592</v>
      </c>
      <c r="J250" s="10"/>
      <c r="K250" s="10"/>
      <c r="L250" s="10"/>
      <c r="M250" s="38">
        <f t="shared" si="64"/>
        <v>0</v>
      </c>
      <c r="N250" s="10"/>
      <c r="O250" s="10"/>
      <c r="P250" s="10"/>
      <c r="Q250" s="38">
        <f t="shared" si="65"/>
        <v>0</v>
      </c>
      <c r="R250" s="38">
        <f t="shared" si="62"/>
        <v>11836</v>
      </c>
      <c r="S250" t="s">
        <v>3020</v>
      </c>
    </row>
    <row r="251" spans="1:21" ht="15.75" customHeight="1" x14ac:dyDescent="0.3">
      <c r="A251" s="410" t="s">
        <v>3081</v>
      </c>
      <c r="B251" s="10"/>
      <c r="C251" s="10"/>
      <c r="D251" s="10"/>
      <c r="E251" s="38">
        <f t="shared" si="71"/>
        <v>0</v>
      </c>
      <c r="F251" s="10">
        <v>164</v>
      </c>
      <c r="G251" s="10"/>
      <c r="H251" s="10"/>
      <c r="I251" s="38">
        <f t="shared" si="63"/>
        <v>164</v>
      </c>
      <c r="J251" s="10"/>
      <c r="K251" s="10"/>
      <c r="L251" s="10"/>
      <c r="M251" s="38">
        <f t="shared" si="64"/>
        <v>0</v>
      </c>
      <c r="N251" s="10"/>
      <c r="O251" s="10"/>
      <c r="P251" s="10"/>
      <c r="Q251" s="38">
        <f>SUM(N251:P251)</f>
        <v>0</v>
      </c>
      <c r="R251" s="38">
        <f t="shared" si="62"/>
        <v>164</v>
      </c>
    </row>
    <row r="252" spans="1:21" ht="15.75" customHeight="1" x14ac:dyDescent="0.3">
      <c r="A252" s="410" t="s">
        <v>2979</v>
      </c>
      <c r="B252" s="10"/>
      <c r="C252" s="10"/>
      <c r="D252" s="10"/>
      <c r="E252" s="38">
        <f>SUM(B252:D252)</f>
        <v>0</v>
      </c>
      <c r="F252" s="10"/>
      <c r="G252" s="10">
        <v>276</v>
      </c>
      <c r="H252" s="10">
        <v>500</v>
      </c>
      <c r="I252" s="38">
        <f t="shared" si="63"/>
        <v>776</v>
      </c>
      <c r="J252" s="10"/>
      <c r="K252" s="10"/>
      <c r="L252" s="10"/>
      <c r="M252" s="38">
        <f t="shared" si="64"/>
        <v>0</v>
      </c>
      <c r="N252" s="10"/>
      <c r="O252" s="10"/>
      <c r="P252" s="10"/>
      <c r="Q252" s="38">
        <f t="shared" si="65"/>
        <v>0</v>
      </c>
      <c r="R252" s="38">
        <f t="shared" si="62"/>
        <v>776</v>
      </c>
      <c r="S252" t="s">
        <v>3020</v>
      </c>
      <c r="T252" t="s">
        <v>2760</v>
      </c>
    </row>
    <row r="253" spans="1:21" ht="15.75" customHeight="1" x14ac:dyDescent="0.3">
      <c r="A253" s="410" t="s">
        <v>2807</v>
      </c>
      <c r="B253" s="10"/>
      <c r="C253" s="10"/>
      <c r="D253" s="10"/>
      <c r="E253" s="38">
        <f t="shared" ref="E253" si="74">SUM(B253:D253)</f>
        <v>0</v>
      </c>
      <c r="F253" s="10"/>
      <c r="G253" s="10"/>
      <c r="H253" s="10">
        <v>721</v>
      </c>
      <c r="I253" s="38">
        <f t="shared" si="63"/>
        <v>721</v>
      </c>
      <c r="J253" s="10"/>
      <c r="K253" s="10"/>
      <c r="L253" s="10"/>
      <c r="M253" s="38">
        <f t="shared" si="64"/>
        <v>0</v>
      </c>
      <c r="N253" s="10"/>
      <c r="O253" s="10"/>
      <c r="P253" s="10"/>
      <c r="Q253" s="38">
        <f t="shared" si="65"/>
        <v>0</v>
      </c>
      <c r="R253" s="38">
        <f t="shared" si="62"/>
        <v>721</v>
      </c>
      <c r="S253" s="230" t="s">
        <v>3020</v>
      </c>
      <c r="T253" s="230" t="s">
        <v>2760</v>
      </c>
      <c r="U253" s="230"/>
    </row>
    <row r="254" spans="1:21" ht="15.75" customHeight="1" x14ac:dyDescent="0.3">
      <c r="A254" s="410" t="s">
        <v>1163</v>
      </c>
      <c r="B254" s="10"/>
      <c r="C254" s="10">
        <v>555</v>
      </c>
      <c r="D254" s="10">
        <v>1259</v>
      </c>
      <c r="E254" s="38">
        <f>SUM(B254:D254)</f>
        <v>1814</v>
      </c>
      <c r="F254" s="10"/>
      <c r="G254" s="10"/>
      <c r="H254" s="10"/>
      <c r="I254" s="38">
        <f>SUM(F254:H254)</f>
        <v>0</v>
      </c>
      <c r="J254" s="10"/>
      <c r="K254" s="10"/>
      <c r="L254" s="10"/>
      <c r="M254" s="38">
        <f t="shared" si="64"/>
        <v>0</v>
      </c>
      <c r="N254" s="10"/>
      <c r="O254" s="10"/>
      <c r="P254" s="10"/>
      <c r="Q254" s="38">
        <f t="shared" si="65"/>
        <v>0</v>
      </c>
      <c r="R254" s="38">
        <f t="shared" si="62"/>
        <v>1814</v>
      </c>
      <c r="T254" t="s">
        <v>3030</v>
      </c>
    </row>
    <row r="255" spans="1:21" ht="15.75" customHeight="1" x14ac:dyDescent="0.3">
      <c r="A255" s="569" t="s">
        <v>3054</v>
      </c>
      <c r="B255" s="10"/>
      <c r="C255" s="10"/>
      <c r="D255" s="10"/>
      <c r="E255" s="38">
        <f>SUM(B255:D255)</f>
        <v>0</v>
      </c>
      <c r="F255" s="10"/>
      <c r="G255" s="10"/>
      <c r="H255" s="10"/>
      <c r="I255" s="38">
        <f>SUM(F255:H255)</f>
        <v>0</v>
      </c>
      <c r="J255" s="10"/>
      <c r="K255" s="10"/>
      <c r="L255" s="10"/>
      <c r="M255" s="38">
        <f t="shared" si="64"/>
        <v>0</v>
      </c>
      <c r="N255" s="10"/>
      <c r="O255" s="10"/>
      <c r="P255" s="10"/>
      <c r="Q255" s="38">
        <f>SUM(N255:P255)</f>
        <v>0</v>
      </c>
      <c r="R255" s="38">
        <f>+E255+I255+M255+Q255</f>
        <v>0</v>
      </c>
      <c r="T255" t="s">
        <v>2770</v>
      </c>
    </row>
    <row r="256" spans="1:21" ht="15.75" customHeight="1" x14ac:dyDescent="0.3">
      <c r="A256" s="410" t="s">
        <v>1097</v>
      </c>
      <c r="B256" s="10"/>
      <c r="C256" s="10"/>
      <c r="D256" s="10"/>
      <c r="E256" s="38">
        <f t="shared" si="68"/>
        <v>0</v>
      </c>
      <c r="F256" s="10"/>
      <c r="G256" s="10"/>
      <c r="H256" s="10"/>
      <c r="I256" s="38">
        <f t="shared" si="63"/>
        <v>0</v>
      </c>
      <c r="J256" s="10"/>
      <c r="K256" s="10"/>
      <c r="L256" s="10"/>
      <c r="M256" s="38">
        <f t="shared" si="64"/>
        <v>0</v>
      </c>
      <c r="N256" s="10"/>
      <c r="O256" s="10"/>
      <c r="P256" s="10"/>
      <c r="Q256" s="38">
        <f t="shared" si="65"/>
        <v>0</v>
      </c>
      <c r="R256" s="38">
        <f t="shared" si="62"/>
        <v>0</v>
      </c>
    </row>
    <row r="257" spans="1:20" ht="15.75" customHeight="1" x14ac:dyDescent="0.3">
      <c r="A257" s="410" t="s">
        <v>14</v>
      </c>
      <c r="B257" s="10"/>
      <c r="C257" s="10"/>
      <c r="D257" s="10"/>
      <c r="E257" s="38">
        <f t="shared" si="68"/>
        <v>0</v>
      </c>
      <c r="F257" s="10">
        <f>2378+75+1+2</f>
        <v>2456</v>
      </c>
      <c r="G257" s="10"/>
      <c r="H257" s="10"/>
      <c r="I257" s="38">
        <f t="shared" si="63"/>
        <v>2456</v>
      </c>
      <c r="J257" s="10"/>
      <c r="K257" s="10"/>
      <c r="L257" s="10"/>
      <c r="M257" s="38">
        <f t="shared" si="64"/>
        <v>0</v>
      </c>
      <c r="N257" s="10"/>
      <c r="O257" s="10"/>
      <c r="P257" s="10"/>
      <c r="Q257" s="38">
        <f t="shared" si="65"/>
        <v>0</v>
      </c>
      <c r="R257" s="38">
        <f t="shared" si="62"/>
        <v>2456</v>
      </c>
    </row>
    <row r="258" spans="1:20" ht="15.75" customHeight="1" x14ac:dyDescent="0.3">
      <c r="A258" s="410" t="s">
        <v>3204</v>
      </c>
      <c r="B258" s="10"/>
      <c r="C258" s="10"/>
      <c r="D258" s="10"/>
      <c r="E258" s="38">
        <f t="shared" si="68"/>
        <v>0</v>
      </c>
      <c r="F258" s="10"/>
      <c r="G258" s="10"/>
      <c r="H258" s="10"/>
      <c r="I258" s="38">
        <f t="shared" si="63"/>
        <v>0</v>
      </c>
      <c r="J258" s="10"/>
      <c r="K258" s="10"/>
      <c r="L258" s="10"/>
      <c r="M258" s="38">
        <f t="shared" si="64"/>
        <v>0</v>
      </c>
      <c r="N258" s="10"/>
      <c r="O258" s="10"/>
      <c r="P258" s="10"/>
      <c r="Q258" s="38">
        <f t="shared" si="65"/>
        <v>0</v>
      </c>
      <c r="R258" s="38">
        <f t="shared" si="62"/>
        <v>0</v>
      </c>
    </row>
    <row r="259" spans="1:20" ht="15.75" customHeight="1" x14ac:dyDescent="0.3">
      <c r="A259" s="410" t="s">
        <v>2410</v>
      </c>
      <c r="B259" s="10">
        <v>60</v>
      </c>
      <c r="C259" s="10"/>
      <c r="D259" s="10"/>
      <c r="E259" s="38">
        <f t="shared" si="68"/>
        <v>60</v>
      </c>
      <c r="F259" s="10"/>
      <c r="G259" s="10"/>
      <c r="H259" s="10"/>
      <c r="I259" s="38">
        <f t="shared" si="63"/>
        <v>0</v>
      </c>
      <c r="J259" s="10"/>
      <c r="K259" s="10"/>
      <c r="L259" s="10"/>
      <c r="M259" s="38">
        <f t="shared" si="64"/>
        <v>0</v>
      </c>
      <c r="N259" s="10"/>
      <c r="O259" s="10"/>
      <c r="P259" s="10"/>
      <c r="Q259" s="38">
        <f t="shared" si="65"/>
        <v>0</v>
      </c>
      <c r="R259" s="38">
        <f t="shared" si="62"/>
        <v>60</v>
      </c>
    </row>
    <row r="260" spans="1:20" ht="15.75" customHeight="1" x14ac:dyDescent="0.3">
      <c r="A260" s="410" t="s">
        <v>2849</v>
      </c>
      <c r="B260" s="10">
        <v>60</v>
      </c>
      <c r="C260" s="10"/>
      <c r="D260" s="10"/>
      <c r="E260" s="38">
        <f t="shared" si="68"/>
        <v>60</v>
      </c>
      <c r="F260" s="10"/>
      <c r="G260" s="10"/>
      <c r="H260" s="10"/>
      <c r="I260" s="38">
        <f t="shared" si="63"/>
        <v>0</v>
      </c>
      <c r="J260" s="10"/>
      <c r="K260" s="10"/>
      <c r="L260" s="10"/>
      <c r="M260" s="38">
        <f t="shared" si="64"/>
        <v>0</v>
      </c>
      <c r="N260" s="10"/>
      <c r="O260" s="10"/>
      <c r="P260" s="10"/>
      <c r="Q260" s="38">
        <f t="shared" si="65"/>
        <v>0</v>
      </c>
      <c r="R260" s="38">
        <f t="shared" si="62"/>
        <v>60</v>
      </c>
      <c r="S260" t="s">
        <v>3020</v>
      </c>
      <c r="T260" t="s">
        <v>2760</v>
      </c>
    </row>
    <row r="261" spans="1:20" ht="15.75" customHeight="1" x14ac:dyDescent="0.3">
      <c r="A261" s="410" t="s">
        <v>3158</v>
      </c>
      <c r="B261" s="10"/>
      <c r="C261" s="10"/>
      <c r="D261" s="10"/>
      <c r="E261" s="38">
        <f t="shared" si="68"/>
        <v>0</v>
      </c>
      <c r="F261" s="10"/>
      <c r="G261" s="10"/>
      <c r="H261" s="10"/>
      <c r="I261" s="38">
        <f t="shared" si="63"/>
        <v>0</v>
      </c>
      <c r="J261" s="10"/>
      <c r="K261" s="10"/>
      <c r="L261" s="10"/>
      <c r="M261" s="38">
        <f t="shared" si="64"/>
        <v>0</v>
      </c>
      <c r="N261" s="10"/>
      <c r="O261" s="10"/>
      <c r="P261" s="10"/>
      <c r="Q261" s="38">
        <f t="shared" si="65"/>
        <v>0</v>
      </c>
      <c r="R261" s="38">
        <f t="shared" si="62"/>
        <v>0</v>
      </c>
      <c r="T261" t="s">
        <v>2760</v>
      </c>
    </row>
    <row r="262" spans="1:20" ht="15.75" customHeight="1" x14ac:dyDescent="0.3">
      <c r="A262" s="410" t="s">
        <v>3276</v>
      </c>
      <c r="B262" s="10"/>
      <c r="C262" s="10"/>
      <c r="D262" s="10"/>
      <c r="E262" s="38">
        <f t="shared" ref="E262" si="75">SUM(B262:D262)</f>
        <v>0</v>
      </c>
      <c r="F262" s="10">
        <v>975</v>
      </c>
      <c r="G262" s="10">
        <v>765</v>
      </c>
      <c r="H262" s="10">
        <v>715</v>
      </c>
      <c r="I262" s="38">
        <f t="shared" ref="I262:I263" si="76">SUM(F262:H262)</f>
        <v>2455</v>
      </c>
      <c r="J262" s="10">
        <v>715</v>
      </c>
      <c r="K262" s="10">
        <v>726</v>
      </c>
      <c r="L262" s="10">
        <v>766</v>
      </c>
      <c r="M262" s="38">
        <f t="shared" ref="M262:M263" si="77">SUM(J262:L262)</f>
        <v>2207</v>
      </c>
      <c r="N262" s="10">
        <v>741</v>
      </c>
      <c r="O262" s="10">
        <v>866</v>
      </c>
      <c r="P262" s="10">
        <v>871</v>
      </c>
      <c r="Q262" s="38">
        <f t="shared" ref="Q262" si="78">SUM(N262:P262)</f>
        <v>2478</v>
      </c>
      <c r="R262" s="38">
        <f t="shared" si="62"/>
        <v>7140</v>
      </c>
      <c r="S262" t="s">
        <v>3020</v>
      </c>
      <c r="T262" t="s">
        <v>2760</v>
      </c>
    </row>
    <row r="263" spans="1:20" ht="15.75" customHeight="1" x14ac:dyDescent="0.3">
      <c r="A263" s="410" t="s">
        <v>2939</v>
      </c>
      <c r="B263" s="10"/>
      <c r="C263" s="10"/>
      <c r="D263" s="10"/>
      <c r="E263" s="38">
        <f t="shared" si="68"/>
        <v>0</v>
      </c>
      <c r="F263" s="10"/>
      <c r="G263" s="10"/>
      <c r="H263" s="10">
        <v>7000</v>
      </c>
      <c r="I263" s="38">
        <f t="shared" si="76"/>
        <v>7000</v>
      </c>
      <c r="J263" s="10">
        <v>7000</v>
      </c>
      <c r="K263" s="10">
        <v>9000</v>
      </c>
      <c r="L263" s="10">
        <v>8400</v>
      </c>
      <c r="M263" s="38">
        <f t="shared" si="77"/>
        <v>24400</v>
      </c>
      <c r="N263" s="10">
        <v>7000</v>
      </c>
      <c r="O263" s="10">
        <v>2151</v>
      </c>
      <c r="P263" s="10"/>
      <c r="Q263" s="38">
        <f t="shared" si="65"/>
        <v>9151</v>
      </c>
      <c r="R263" s="38">
        <f>+E263+I263+M263+Q263</f>
        <v>40551</v>
      </c>
      <c r="S263" s="709" t="s">
        <v>3020</v>
      </c>
      <c r="T263" t="s">
        <v>2760</v>
      </c>
    </row>
    <row r="264" spans="1:20" ht="15.75" customHeight="1" x14ac:dyDescent="0.3">
      <c r="A264" s="569" t="s">
        <v>2741</v>
      </c>
      <c r="B264" s="10"/>
      <c r="C264" s="10"/>
      <c r="D264" s="10"/>
      <c r="E264" s="38">
        <f t="shared" si="68"/>
        <v>0</v>
      </c>
      <c r="F264" s="10"/>
      <c r="G264" s="10"/>
      <c r="H264" s="10"/>
      <c r="I264" s="38">
        <f t="shared" si="63"/>
        <v>0</v>
      </c>
      <c r="J264" s="10"/>
      <c r="K264" s="10"/>
      <c r="L264" s="10"/>
      <c r="M264" s="38">
        <f t="shared" si="64"/>
        <v>0</v>
      </c>
      <c r="N264" s="10"/>
      <c r="O264" s="10"/>
      <c r="P264" s="10">
        <v>1000</v>
      </c>
      <c r="Q264" s="38">
        <f>SUM(N264:P264)</f>
        <v>1000</v>
      </c>
      <c r="R264" s="38">
        <f t="shared" si="62"/>
        <v>1000</v>
      </c>
      <c r="T264" t="s">
        <v>2769</v>
      </c>
    </row>
    <row r="265" spans="1:20" ht="15.75" customHeight="1" x14ac:dyDescent="0.3">
      <c r="A265" s="569" t="s">
        <v>2742</v>
      </c>
      <c r="B265" s="10"/>
      <c r="C265" s="10"/>
      <c r="D265" s="10"/>
      <c r="E265" s="38">
        <f>SUM(B265:D265)</f>
        <v>0</v>
      </c>
      <c r="F265" s="10"/>
      <c r="G265" s="10"/>
      <c r="H265" s="10"/>
      <c r="I265" s="38">
        <f t="shared" ref="I265" si="79">SUM(F265:H265)</f>
        <v>0</v>
      </c>
      <c r="J265" s="10"/>
      <c r="K265" s="10"/>
      <c r="L265" s="10"/>
      <c r="M265" s="38">
        <f t="shared" ref="M265" si="80">SUM(J265:L265)</f>
        <v>0</v>
      </c>
      <c r="N265" s="10"/>
      <c r="O265" s="10">
        <v>994</v>
      </c>
      <c r="P265" s="10">
        <f>301+152</f>
        <v>453</v>
      </c>
      <c r="Q265" s="38">
        <f>SUM(N265:P265)</f>
        <v>1447</v>
      </c>
      <c r="R265" s="38">
        <f t="shared" si="62"/>
        <v>1447</v>
      </c>
      <c r="T265" t="s">
        <v>2770</v>
      </c>
    </row>
    <row r="266" spans="1:20" ht="15.75" customHeight="1" x14ac:dyDescent="0.3">
      <c r="A266" s="410" t="s">
        <v>3289</v>
      </c>
      <c r="B266" s="10"/>
      <c r="C266" s="10"/>
      <c r="D266" s="10"/>
      <c r="E266" s="38">
        <f>SUM(B266:D266)</f>
        <v>0</v>
      </c>
      <c r="F266" s="10"/>
      <c r="G266" s="10"/>
      <c r="H266" s="10"/>
      <c r="I266" s="38">
        <f t="shared" ref="I266" si="81">SUM(F266:H266)</f>
        <v>0</v>
      </c>
      <c r="J266" s="10">
        <v>1171</v>
      </c>
      <c r="K266" s="10">
        <v>800</v>
      </c>
      <c r="L266" s="10"/>
      <c r="M266" s="38">
        <f>SUM(J266:L266)</f>
        <v>1971</v>
      </c>
      <c r="N266" s="10"/>
      <c r="O266" s="10"/>
      <c r="P266" s="10"/>
      <c r="Q266" s="38">
        <f t="shared" si="65"/>
        <v>0</v>
      </c>
      <c r="R266" s="38">
        <f t="shared" si="62"/>
        <v>1971</v>
      </c>
      <c r="S266" t="s">
        <v>3020</v>
      </c>
      <c r="T266" t="s">
        <v>2760</v>
      </c>
    </row>
    <row r="267" spans="1:20" ht="15.75" customHeight="1" x14ac:dyDescent="0.3">
      <c r="A267" s="410" t="s">
        <v>3290</v>
      </c>
      <c r="B267" s="10"/>
      <c r="C267" s="10"/>
      <c r="D267" s="10">
        <v>419</v>
      </c>
      <c r="E267" s="38">
        <f t="shared" ref="E267:E268" si="82">SUM(B267:D267)</f>
        <v>419</v>
      </c>
      <c r="F267" s="10">
        <v>368</v>
      </c>
      <c r="G267" s="10">
        <v>571</v>
      </c>
      <c r="H267" s="10"/>
      <c r="I267" s="38">
        <f t="shared" si="63"/>
        <v>939</v>
      </c>
      <c r="J267" s="10"/>
      <c r="K267" s="10"/>
      <c r="L267" s="10"/>
      <c r="M267" s="38">
        <f t="shared" si="64"/>
        <v>0</v>
      </c>
      <c r="N267" s="10"/>
      <c r="O267" s="10"/>
      <c r="P267" s="10"/>
      <c r="Q267" s="38">
        <f t="shared" si="65"/>
        <v>0</v>
      </c>
      <c r="R267" s="38">
        <f t="shared" si="62"/>
        <v>1358</v>
      </c>
      <c r="T267" t="s">
        <v>2760</v>
      </c>
    </row>
    <row r="268" spans="1:20" ht="15.75" customHeight="1" x14ac:dyDescent="0.3">
      <c r="A268" s="569" t="s">
        <v>3314</v>
      </c>
      <c r="B268" s="10"/>
      <c r="C268" s="10">
        <v>572</v>
      </c>
      <c r="D268" s="10"/>
      <c r="E268" s="38">
        <f t="shared" si="82"/>
        <v>572</v>
      </c>
      <c r="F268" s="10"/>
      <c r="G268" s="10"/>
      <c r="H268" s="10"/>
      <c r="I268" s="38">
        <f t="shared" si="63"/>
        <v>0</v>
      </c>
      <c r="J268" s="10"/>
      <c r="K268" s="10"/>
      <c r="L268" s="10"/>
      <c r="M268" s="38">
        <f t="shared" si="64"/>
        <v>0</v>
      </c>
      <c r="N268" s="10"/>
      <c r="O268" s="10"/>
      <c r="P268" s="10"/>
      <c r="Q268" s="38">
        <f t="shared" ref="Q268" si="83">SUM(N268:P268)</f>
        <v>0</v>
      </c>
      <c r="R268" s="38">
        <f t="shared" ref="R268" si="84">+E268+I268+M268+Q268</f>
        <v>572</v>
      </c>
    </row>
    <row r="269" spans="1:20" ht="15.75" customHeight="1" x14ac:dyDescent="0.3">
      <c r="A269" s="410" t="s">
        <v>3291</v>
      </c>
      <c r="B269" s="10">
        <v>1223</v>
      </c>
      <c r="C269" s="10">
        <v>1055</v>
      </c>
      <c r="D269" s="10"/>
      <c r="E269" s="38">
        <f t="shared" si="68"/>
        <v>2278</v>
      </c>
      <c r="F269" s="10"/>
      <c r="G269" s="10"/>
      <c r="H269" s="10"/>
      <c r="I269" s="38">
        <f t="shared" si="63"/>
        <v>0</v>
      </c>
      <c r="J269" s="10"/>
      <c r="K269" s="10"/>
      <c r="L269" s="10"/>
      <c r="M269" s="38">
        <f t="shared" si="64"/>
        <v>0</v>
      </c>
      <c r="N269" s="10"/>
      <c r="O269" s="10"/>
      <c r="P269" s="10"/>
      <c r="Q269" s="38">
        <f t="shared" si="65"/>
        <v>0</v>
      </c>
      <c r="R269" s="38">
        <f t="shared" si="62"/>
        <v>2278</v>
      </c>
      <c r="T269" t="s">
        <v>2775</v>
      </c>
    </row>
    <row r="270" spans="1:20" ht="15.75" customHeight="1" x14ac:dyDescent="0.3">
      <c r="A270" s="410" t="s">
        <v>3292</v>
      </c>
      <c r="B270" s="10"/>
      <c r="C270" s="10"/>
      <c r="D270" s="10"/>
      <c r="E270" s="38">
        <f t="shared" si="68"/>
        <v>0</v>
      </c>
      <c r="F270" s="10"/>
      <c r="G270" s="10"/>
      <c r="H270" s="10"/>
      <c r="I270" s="38">
        <f t="shared" si="63"/>
        <v>0</v>
      </c>
      <c r="J270" s="10"/>
      <c r="K270" s="10"/>
      <c r="L270" s="10"/>
      <c r="M270" s="38">
        <f t="shared" si="64"/>
        <v>0</v>
      </c>
      <c r="N270" s="10"/>
      <c r="O270" s="10"/>
      <c r="P270" s="10"/>
      <c r="Q270" s="38">
        <f t="shared" si="65"/>
        <v>0</v>
      </c>
      <c r="R270" s="38">
        <f t="shared" si="62"/>
        <v>0</v>
      </c>
    </row>
    <row r="271" spans="1:20" ht="15.75" customHeight="1" x14ac:dyDescent="0.3">
      <c r="A271" s="410" t="s">
        <v>3293</v>
      </c>
      <c r="B271" s="10"/>
      <c r="C271" s="10"/>
      <c r="D271" s="10">
        <v>636</v>
      </c>
      <c r="E271" s="38">
        <f t="shared" si="68"/>
        <v>636</v>
      </c>
      <c r="F271" s="10"/>
      <c r="G271" s="10"/>
      <c r="H271" s="10"/>
      <c r="I271" s="38">
        <f>SUM(F271:H271)</f>
        <v>0</v>
      </c>
      <c r="J271" s="10"/>
      <c r="K271" s="10"/>
      <c r="L271" s="10"/>
      <c r="M271" s="38">
        <f t="shared" si="64"/>
        <v>0</v>
      </c>
      <c r="N271" s="10"/>
      <c r="O271" s="10"/>
      <c r="P271" s="10"/>
      <c r="Q271" s="38">
        <f t="shared" si="65"/>
        <v>0</v>
      </c>
      <c r="R271" s="38">
        <f t="shared" si="62"/>
        <v>636</v>
      </c>
      <c r="S271" t="s">
        <v>3020</v>
      </c>
    </row>
    <row r="272" spans="1:20" ht="15.75" customHeight="1" x14ac:dyDescent="0.3">
      <c r="A272" s="410" t="s">
        <v>3313</v>
      </c>
      <c r="B272" s="10"/>
      <c r="C272" s="10"/>
      <c r="D272" s="10">
        <v>605</v>
      </c>
      <c r="E272" s="38">
        <f t="shared" si="68"/>
        <v>605</v>
      </c>
      <c r="F272" s="10"/>
      <c r="G272" s="10"/>
      <c r="H272" s="10"/>
      <c r="I272" s="38">
        <f>SUM(F272:H272)</f>
        <v>0</v>
      </c>
      <c r="J272" s="10"/>
      <c r="K272" s="10"/>
      <c r="L272" s="10"/>
      <c r="M272" s="38">
        <f t="shared" si="64"/>
        <v>0</v>
      </c>
      <c r="N272" s="10"/>
      <c r="O272" s="10"/>
      <c r="P272" s="10"/>
      <c r="Q272" s="38">
        <f t="shared" ref="Q272" si="85">SUM(N272:P272)</f>
        <v>0</v>
      </c>
      <c r="R272" s="38">
        <f t="shared" ref="R272" si="86">+E272+I272+M272+Q272</f>
        <v>605</v>
      </c>
    </row>
    <row r="273" spans="1:20" ht="15.75" customHeight="1" x14ac:dyDescent="0.3">
      <c r="A273" s="410" t="s">
        <v>3294</v>
      </c>
      <c r="B273" s="10">
        <v>95</v>
      </c>
      <c r="C273" s="10"/>
      <c r="D273" s="10"/>
      <c r="E273" s="38">
        <f t="shared" si="68"/>
        <v>95</v>
      </c>
      <c r="F273" s="10"/>
      <c r="G273" s="10"/>
      <c r="H273" s="10"/>
      <c r="I273" s="38">
        <f t="shared" si="63"/>
        <v>0</v>
      </c>
      <c r="J273" s="10"/>
      <c r="K273" s="10"/>
      <c r="L273" s="10"/>
      <c r="M273" s="38">
        <f t="shared" si="64"/>
        <v>0</v>
      </c>
      <c r="N273" s="10"/>
      <c r="O273" s="10"/>
      <c r="P273" s="10"/>
      <c r="Q273" s="38">
        <f t="shared" si="65"/>
        <v>0</v>
      </c>
      <c r="R273" s="38">
        <f t="shared" si="62"/>
        <v>95</v>
      </c>
    </row>
    <row r="274" spans="1:20" ht="15.75" customHeight="1" x14ac:dyDescent="0.3">
      <c r="A274" s="410" t="s">
        <v>3295</v>
      </c>
      <c r="B274" s="10">
        <v>95</v>
      </c>
      <c r="C274" s="10"/>
      <c r="D274" s="10"/>
      <c r="E274" s="38">
        <f t="shared" si="68"/>
        <v>95</v>
      </c>
      <c r="F274" s="10"/>
      <c r="G274" s="10"/>
      <c r="H274" s="10"/>
      <c r="I274" s="38">
        <f t="shared" si="63"/>
        <v>0</v>
      </c>
      <c r="J274" s="10"/>
      <c r="K274" s="10"/>
      <c r="L274" s="10"/>
      <c r="M274" s="38">
        <f t="shared" si="64"/>
        <v>0</v>
      </c>
      <c r="N274" s="10"/>
      <c r="O274" s="10"/>
      <c r="P274" s="10"/>
      <c r="Q274" s="38">
        <f t="shared" si="65"/>
        <v>0</v>
      </c>
      <c r="R274" s="38">
        <f t="shared" si="62"/>
        <v>95</v>
      </c>
      <c r="S274" t="s">
        <v>3020</v>
      </c>
      <c r="T274" t="s">
        <v>2760</v>
      </c>
    </row>
    <row r="275" spans="1:20" ht="15.75" customHeight="1" x14ac:dyDescent="0.3">
      <c r="A275" s="410" t="s">
        <v>3053</v>
      </c>
      <c r="B275" s="10">
        <v>678</v>
      </c>
      <c r="C275" s="10">
        <v>1915</v>
      </c>
      <c r="D275" s="10">
        <v>1450</v>
      </c>
      <c r="E275" s="38">
        <f>SUM(B275:D275)</f>
        <v>4043</v>
      </c>
      <c r="F275" s="10">
        <v>1387</v>
      </c>
      <c r="G275" s="10">
        <v>996</v>
      </c>
      <c r="H275" s="10">
        <v>400</v>
      </c>
      <c r="I275" s="38">
        <f>SUM(F275:H275)</f>
        <v>2783</v>
      </c>
      <c r="J275" s="10">
        <v>1600</v>
      </c>
      <c r="K275" s="10">
        <v>1000</v>
      </c>
      <c r="L275" s="10">
        <v>1100</v>
      </c>
      <c r="M275" s="38">
        <f>SUM(J275:L275)</f>
        <v>3700</v>
      </c>
      <c r="N275" s="10">
        <v>1200</v>
      </c>
      <c r="O275" s="10">
        <v>1100</v>
      </c>
      <c r="P275" s="10">
        <v>1174</v>
      </c>
      <c r="Q275" s="38">
        <f>SUM(N275:P275)</f>
        <v>3474</v>
      </c>
      <c r="R275" s="38">
        <f>+E275+I275+M275+Q275</f>
        <v>14000</v>
      </c>
      <c r="S275" t="s">
        <v>3020</v>
      </c>
      <c r="T275" t="s">
        <v>2760</v>
      </c>
    </row>
    <row r="276" spans="1:20" ht="15.75" customHeight="1" x14ac:dyDescent="0.3">
      <c r="A276" s="410" t="s">
        <v>3275</v>
      </c>
      <c r="B276" s="10"/>
      <c r="C276" s="10"/>
      <c r="D276" s="10"/>
      <c r="E276" s="38">
        <f>SUM(B276:D276)</f>
        <v>0</v>
      </c>
      <c r="F276" s="10"/>
      <c r="G276" s="10"/>
      <c r="H276" s="10"/>
      <c r="I276" s="38">
        <f>SUM(F276:H276)</f>
        <v>0</v>
      </c>
      <c r="J276" s="10"/>
      <c r="K276" s="10"/>
      <c r="L276" s="10"/>
      <c r="M276" s="38">
        <f>SUM(J276:L276)</f>
        <v>0</v>
      </c>
      <c r="N276" s="10"/>
      <c r="O276" s="10"/>
      <c r="P276" s="10"/>
      <c r="Q276" s="38">
        <f t="shared" ref="Q276" si="87">SUM(N276:P276)</f>
        <v>0</v>
      </c>
      <c r="R276" s="38">
        <f>+E276+I276+M276+Q276</f>
        <v>0</v>
      </c>
      <c r="T276" t="s">
        <v>2760</v>
      </c>
    </row>
    <row r="277" spans="1:20" ht="15.75" customHeight="1" x14ac:dyDescent="0.3">
      <c r="A277" s="410" t="s">
        <v>3154</v>
      </c>
      <c r="B277" s="10"/>
      <c r="C277" s="10"/>
      <c r="D277" s="10"/>
      <c r="E277" s="38">
        <f t="shared" ref="E277" si="88">SUM(B277:D277)</f>
        <v>0</v>
      </c>
      <c r="F277" s="10"/>
      <c r="G277" s="10"/>
      <c r="H277" s="10"/>
      <c r="I277" s="38">
        <f t="shared" ref="I277" si="89">SUM(F277:H277)</f>
        <v>0</v>
      </c>
      <c r="J277" s="10"/>
      <c r="K277" s="10"/>
      <c r="L277" s="10"/>
      <c r="M277" s="38">
        <f t="shared" ref="M277" si="90">SUM(J277:L277)</f>
        <v>0</v>
      </c>
      <c r="N277" s="10"/>
      <c r="O277" s="10"/>
      <c r="P277" s="10"/>
      <c r="Q277" s="38">
        <f t="shared" ref="Q277" si="91">SUM(N277:P277)</f>
        <v>0</v>
      </c>
      <c r="R277" s="38">
        <f>+E277+I277+M277+Q277</f>
        <v>0</v>
      </c>
      <c r="T277" t="s">
        <v>2760</v>
      </c>
    </row>
    <row r="278" spans="1:20" ht="15.75" customHeight="1" x14ac:dyDescent="0.3">
      <c r="A278" s="410" t="s">
        <v>2942</v>
      </c>
      <c r="B278" s="10"/>
      <c r="C278" s="10"/>
      <c r="D278" s="10"/>
      <c r="E278" s="38">
        <f t="shared" ref="E278" si="92">SUM(B278:D278)</f>
        <v>0</v>
      </c>
      <c r="F278" s="10"/>
      <c r="G278" s="10"/>
      <c r="H278" s="10">
        <v>200</v>
      </c>
      <c r="I278" s="38">
        <f t="shared" ref="I278" si="93">SUM(F278:H278)</f>
        <v>200</v>
      </c>
      <c r="J278" s="10">
        <v>951</v>
      </c>
      <c r="K278" s="10">
        <v>737</v>
      </c>
      <c r="L278" s="10">
        <v>761</v>
      </c>
      <c r="M278" s="38">
        <f t="shared" ref="M278" si="94">SUM(J278:L278)</f>
        <v>2449</v>
      </c>
      <c r="N278" s="10">
        <v>761</v>
      </c>
      <c r="O278" s="10">
        <v>322</v>
      </c>
      <c r="P278" s="10"/>
      <c r="Q278" s="38">
        <f t="shared" si="65"/>
        <v>1083</v>
      </c>
      <c r="R278" s="38">
        <f t="shared" si="62"/>
        <v>3732</v>
      </c>
      <c r="S278" t="s">
        <v>3020</v>
      </c>
    </row>
    <row r="279" spans="1:20" ht="15.75" customHeight="1" x14ac:dyDescent="0.3">
      <c r="A279" s="410" t="s">
        <v>1453</v>
      </c>
      <c r="B279" s="10"/>
      <c r="C279" s="10"/>
      <c r="D279" s="10"/>
      <c r="E279" s="38">
        <f>SUM(B279:D279)</f>
        <v>0</v>
      </c>
      <c r="F279" s="10"/>
      <c r="G279" s="10">
        <v>225</v>
      </c>
      <c r="H279" s="10"/>
      <c r="I279" s="38">
        <f>SUM(F279:H279)</f>
        <v>225</v>
      </c>
      <c r="J279" s="10"/>
      <c r="K279" s="10"/>
      <c r="L279" s="10"/>
      <c r="M279" s="38">
        <f>SUM(J279:L279)</f>
        <v>0</v>
      </c>
      <c r="N279" s="10"/>
      <c r="O279" s="10"/>
      <c r="P279" s="10"/>
      <c r="Q279" s="38">
        <f>SUM(N279:P279)</f>
        <v>0</v>
      </c>
      <c r="R279" s="38">
        <f>+E279+I279+M279+Q279</f>
        <v>225</v>
      </c>
      <c r="S279" t="s">
        <v>3020</v>
      </c>
    </row>
    <row r="280" spans="1:20" ht="15.75" customHeight="1" x14ac:dyDescent="0.3">
      <c r="A280" s="410" t="s">
        <v>3080</v>
      </c>
      <c r="B280" s="10"/>
      <c r="C280" s="10"/>
      <c r="D280" s="10"/>
      <c r="E280" s="38">
        <f>SUM(B280:D280)</f>
        <v>0</v>
      </c>
      <c r="F280" s="10"/>
      <c r="G280" s="10"/>
      <c r="H280" s="10"/>
      <c r="I280" s="38">
        <f>SUM(F280:H280)</f>
        <v>0</v>
      </c>
      <c r="J280" s="10"/>
      <c r="K280" s="10"/>
      <c r="L280" s="10"/>
      <c r="M280" s="38">
        <f>SUM(J280:L280)</f>
        <v>0</v>
      </c>
      <c r="N280" s="10"/>
      <c r="O280" s="10"/>
      <c r="P280" s="10"/>
      <c r="Q280" s="38">
        <f>SUM(N280:P280)</f>
        <v>0</v>
      </c>
      <c r="R280" s="38">
        <f>+E280+I280+M280+Q280</f>
        <v>0</v>
      </c>
    </row>
    <row r="281" spans="1:20" ht="15.75" customHeight="1" x14ac:dyDescent="0.3">
      <c r="A281" s="410" t="s">
        <v>3136</v>
      </c>
      <c r="B281" s="10"/>
      <c r="C281" s="10"/>
      <c r="D281" s="10"/>
      <c r="E281" s="38">
        <f t="shared" ref="E281" si="95">SUM(B281:D281)</f>
        <v>0</v>
      </c>
      <c r="F281" s="10"/>
      <c r="G281" s="10"/>
      <c r="H281" s="10"/>
      <c r="I281" s="38">
        <f t="shared" ref="I281" si="96">SUM(F281:H281)</f>
        <v>0</v>
      </c>
      <c r="J281" s="10"/>
      <c r="K281" s="10"/>
      <c r="L281" s="10"/>
      <c r="M281" s="38">
        <f t="shared" ref="M281" si="97">SUM(J281:L281)</f>
        <v>0</v>
      </c>
      <c r="N281" s="10"/>
      <c r="O281" s="10"/>
      <c r="P281" s="10"/>
      <c r="Q281" s="38">
        <f t="shared" ref="Q281" si="98">SUM(N281:P281)</f>
        <v>0</v>
      </c>
      <c r="R281" s="38">
        <f t="shared" ref="R281" si="99">+E281+I281+M281+Q281</f>
        <v>0</v>
      </c>
    </row>
    <row r="282" spans="1:20" ht="15.75" customHeight="1" x14ac:dyDescent="0.3">
      <c r="A282" s="410" t="s">
        <v>1410</v>
      </c>
      <c r="B282" s="10">
        <v>500</v>
      </c>
      <c r="C282" s="10"/>
      <c r="D282" s="10"/>
      <c r="E282" s="38">
        <f t="shared" ref="E282" si="100">SUM(B282:D282)</f>
        <v>500</v>
      </c>
      <c r="F282" s="10"/>
      <c r="G282" s="10"/>
      <c r="H282" s="10"/>
      <c r="I282" s="38">
        <f t="shared" si="63"/>
        <v>0</v>
      </c>
      <c r="J282" s="10"/>
      <c r="K282" s="10"/>
      <c r="L282" s="10"/>
      <c r="M282" s="38">
        <f t="shared" si="64"/>
        <v>0</v>
      </c>
      <c r="N282" s="10"/>
      <c r="O282" s="10"/>
      <c r="P282" s="10"/>
      <c r="Q282" s="38">
        <f t="shared" si="65"/>
        <v>0</v>
      </c>
      <c r="R282" s="38">
        <f t="shared" si="62"/>
        <v>500</v>
      </c>
    </row>
    <row r="283" spans="1:20" ht="15.75" customHeight="1" thickBot="1" x14ac:dyDescent="0.35">
      <c r="A283" s="410" t="s">
        <v>3025</v>
      </c>
      <c r="B283" s="10"/>
      <c r="C283" s="10"/>
      <c r="D283" s="10"/>
      <c r="E283" s="38">
        <f>SUM(B283:D283)</f>
        <v>0</v>
      </c>
      <c r="F283" s="10"/>
      <c r="G283" s="10"/>
      <c r="H283" s="10"/>
      <c r="I283" s="38">
        <f>SUM(F283:H283)</f>
        <v>0</v>
      </c>
      <c r="J283" s="10"/>
      <c r="K283" s="10"/>
      <c r="L283" s="10"/>
      <c r="M283" s="38">
        <f>SUM(J283:L283)</f>
        <v>0</v>
      </c>
      <c r="N283" s="10"/>
      <c r="O283" s="10"/>
      <c r="P283" s="10"/>
      <c r="Q283" s="38">
        <f>SUM(N283:P283)</f>
        <v>0</v>
      </c>
      <c r="R283" s="38">
        <f t="shared" si="62"/>
        <v>0</v>
      </c>
      <c r="S283" s="709" t="s">
        <v>3020</v>
      </c>
    </row>
    <row r="284" spans="1:20" ht="16.5" customHeight="1" thickBot="1" x14ac:dyDescent="0.35">
      <c r="A284" s="43" t="s">
        <v>1220</v>
      </c>
      <c r="B284" s="45">
        <f>SUM(B217:B283)</f>
        <v>6575</v>
      </c>
      <c r="C284" s="46">
        <f>SUM(C217:C283)</f>
        <v>8890</v>
      </c>
      <c r="D284" s="46">
        <f>SUM(D217:D283)</f>
        <v>10318</v>
      </c>
      <c r="E284" s="37">
        <f t="shared" ref="E284" si="101">SUM(B284:D284)</f>
        <v>25783</v>
      </c>
      <c r="F284" s="46">
        <f>SUM(F217:F283)</f>
        <v>22518</v>
      </c>
      <c r="G284" s="46">
        <f>SUM(G217:G283)</f>
        <v>12391</v>
      </c>
      <c r="H284" s="46">
        <f>SUM(H217:H283)</f>
        <v>10344</v>
      </c>
      <c r="I284" s="37">
        <f t="shared" ref="I284" si="102">SUM(F284:H284)</f>
        <v>45253</v>
      </c>
      <c r="J284" s="46">
        <f>SUM(J217:J283)</f>
        <v>13735</v>
      </c>
      <c r="K284" s="46">
        <f>SUM(K217:K283)</f>
        <v>12849</v>
      </c>
      <c r="L284" s="46">
        <f>SUM(L217:L283)</f>
        <v>11640</v>
      </c>
      <c r="M284" s="37">
        <f t="shared" ref="M284" si="103">SUM(J284:L284)</f>
        <v>38224</v>
      </c>
      <c r="N284" s="46">
        <f>SUM(N217:N283)</f>
        <v>11390</v>
      </c>
      <c r="O284" s="46">
        <f>SUM(O217:O283)</f>
        <v>9068</v>
      </c>
      <c r="P284" s="46">
        <f>SUM(P217:P283)</f>
        <v>3822</v>
      </c>
      <c r="Q284" s="37">
        <f t="shared" ref="Q284" si="104">SUM(N284:P284)</f>
        <v>24280</v>
      </c>
      <c r="R284" s="37">
        <f t="shared" si="62"/>
        <v>133540</v>
      </c>
    </row>
    <row r="285" spans="1:20" ht="15.75" customHeight="1" x14ac:dyDescent="0.3">
      <c r="A285" s="234" t="s">
        <v>1712</v>
      </c>
      <c r="B285" s="172"/>
      <c r="C285" s="172"/>
      <c r="D285" s="172"/>
      <c r="E285" s="38" t="s">
        <v>852</v>
      </c>
      <c r="F285" s="172"/>
      <c r="G285" s="172"/>
      <c r="H285" s="172"/>
      <c r="I285" s="38" t="s">
        <v>852</v>
      </c>
      <c r="J285" s="172"/>
      <c r="K285" s="172"/>
      <c r="L285" s="172"/>
      <c r="M285" s="38" t="s">
        <v>852</v>
      </c>
      <c r="N285" s="172"/>
      <c r="O285" s="172"/>
      <c r="P285" s="172"/>
      <c r="Q285" s="38" t="s">
        <v>852</v>
      </c>
      <c r="R285" s="38" t="s">
        <v>852</v>
      </c>
    </row>
    <row r="286" spans="1:20" ht="15.75" customHeight="1" x14ac:dyDescent="0.3">
      <c r="A286" s="234" t="s">
        <v>1021</v>
      </c>
      <c r="B286" s="172"/>
      <c r="C286" s="172"/>
      <c r="D286" s="172"/>
      <c r="E286" s="38" t="s">
        <v>852</v>
      </c>
      <c r="F286" s="172"/>
      <c r="G286" s="172"/>
      <c r="H286" s="172"/>
      <c r="I286" s="38" t="s">
        <v>852</v>
      </c>
      <c r="J286" s="172"/>
      <c r="K286" s="172"/>
      <c r="L286" s="172"/>
      <c r="M286" s="38" t="s">
        <v>852</v>
      </c>
      <c r="N286" s="172"/>
      <c r="O286" s="172"/>
      <c r="P286" s="172"/>
      <c r="Q286" s="38" t="s">
        <v>852</v>
      </c>
      <c r="R286" s="38" t="s">
        <v>852</v>
      </c>
    </row>
    <row r="287" spans="1:20" ht="15.75" customHeight="1" x14ac:dyDescent="0.3">
      <c r="A287" s="618" t="s">
        <v>2796</v>
      </c>
      <c r="B287" s="10"/>
      <c r="C287" s="10"/>
      <c r="D287" s="10"/>
      <c r="E287" s="38">
        <f>SUM(B287:D287)</f>
        <v>0</v>
      </c>
      <c r="F287" s="10"/>
      <c r="G287" s="10"/>
      <c r="H287" s="10"/>
      <c r="I287" s="38">
        <f>SUM(F287:H287)</f>
        <v>0</v>
      </c>
      <c r="J287" s="10"/>
      <c r="K287" s="10"/>
      <c r="L287" s="10"/>
      <c r="M287" s="38">
        <f>SUM(J287:L287)</f>
        <v>0</v>
      </c>
      <c r="N287" s="10"/>
      <c r="O287" s="10"/>
      <c r="P287" s="10"/>
      <c r="Q287" s="38">
        <f>SUM(N287:P287)</f>
        <v>0</v>
      </c>
      <c r="R287" s="38">
        <f>+E287+I287+M287+Q287</f>
        <v>0</v>
      </c>
      <c r="T287" t="s">
        <v>2760</v>
      </c>
    </row>
    <row r="288" spans="1:20" ht="15.75" customHeight="1" x14ac:dyDescent="0.3">
      <c r="A288" s="568" t="s">
        <v>3252</v>
      </c>
      <c r="B288" s="10"/>
      <c r="C288" s="10"/>
      <c r="D288" s="10"/>
      <c r="E288" s="38">
        <f>SUM(B288:D288)</f>
        <v>0</v>
      </c>
      <c r="F288" s="10"/>
      <c r="G288" s="10"/>
      <c r="H288" s="10"/>
      <c r="I288" s="38">
        <f>SUM(F288:H288)</f>
        <v>0</v>
      </c>
      <c r="J288" s="10"/>
      <c r="K288" s="10"/>
      <c r="L288" s="10"/>
      <c r="M288" s="38">
        <f>SUM(J288:L288)</f>
        <v>0</v>
      </c>
      <c r="N288" s="10"/>
      <c r="O288" s="10"/>
      <c r="P288" s="10"/>
      <c r="Q288" s="38">
        <f>SUM(N288:P288)</f>
        <v>0</v>
      </c>
      <c r="R288" s="38">
        <f>+E288+I288+M288+Q288</f>
        <v>0</v>
      </c>
      <c r="T288" t="s">
        <v>2769</v>
      </c>
    </row>
    <row r="289" spans="1:20" ht="15.75" customHeight="1" x14ac:dyDescent="0.3">
      <c r="A289" s="568" t="s">
        <v>3253</v>
      </c>
      <c r="B289" s="10"/>
      <c r="C289" s="10"/>
      <c r="D289" s="10"/>
      <c r="E289" s="38">
        <f>SUM(B289:D289)</f>
        <v>0</v>
      </c>
      <c r="F289" s="10"/>
      <c r="G289" s="10"/>
      <c r="H289" s="10"/>
      <c r="I289" s="38">
        <f>SUM(F289:H289)</f>
        <v>0</v>
      </c>
      <c r="J289" s="10"/>
      <c r="K289" s="10"/>
      <c r="L289" s="10"/>
      <c r="M289" s="38">
        <f>SUM(J289:L289)</f>
        <v>0</v>
      </c>
      <c r="N289" s="10"/>
      <c r="O289" s="10"/>
      <c r="P289" s="10"/>
      <c r="Q289" s="38">
        <f>SUM(N289:P289)</f>
        <v>0</v>
      </c>
      <c r="R289" s="38">
        <f>+E289+I289+M289+Q289</f>
        <v>0</v>
      </c>
      <c r="T289" t="s">
        <v>2770</v>
      </c>
    </row>
    <row r="290" spans="1:20" ht="15.75" customHeight="1" x14ac:dyDescent="0.3">
      <c r="A290" s="234" t="s">
        <v>557</v>
      </c>
      <c r="B290" s="172"/>
      <c r="C290" s="172"/>
      <c r="D290" s="172"/>
      <c r="E290" s="38" t="s">
        <v>852</v>
      </c>
      <c r="F290" s="172"/>
      <c r="G290" s="172"/>
      <c r="H290" s="172"/>
      <c r="I290" s="38" t="s">
        <v>852</v>
      </c>
      <c r="J290" s="172"/>
      <c r="K290" s="172"/>
      <c r="L290" s="172"/>
      <c r="M290" s="38" t="s">
        <v>852</v>
      </c>
      <c r="N290" s="172"/>
      <c r="O290" s="172"/>
      <c r="P290" s="172"/>
      <c r="Q290" s="38" t="s">
        <v>852</v>
      </c>
      <c r="R290" s="38" t="s">
        <v>852</v>
      </c>
    </row>
    <row r="291" spans="1:20" ht="15.75" customHeight="1" x14ac:dyDescent="0.3">
      <c r="A291" s="568" t="s">
        <v>3006</v>
      </c>
      <c r="B291" s="10">
        <v>1335</v>
      </c>
      <c r="C291" s="10">
        <v>444</v>
      </c>
      <c r="D291" s="10"/>
      <c r="E291" s="38">
        <f>SUM(B291:D291)</f>
        <v>1779</v>
      </c>
      <c r="F291" s="10"/>
      <c r="G291" s="10"/>
      <c r="H291" s="10"/>
      <c r="I291" s="38">
        <f>SUM(F291:H291)</f>
        <v>0</v>
      </c>
      <c r="J291" s="10"/>
      <c r="K291" s="10"/>
      <c r="L291" s="10">
        <v>221</v>
      </c>
      <c r="M291" s="38">
        <f>SUM(J291:L291)</f>
        <v>221</v>
      </c>
      <c r="N291" s="10"/>
      <c r="O291" s="10"/>
      <c r="P291" s="10">
        <f>251+16</f>
        <v>267</v>
      </c>
      <c r="Q291" s="38">
        <f>SUM(N291:P291)</f>
        <v>267</v>
      </c>
      <c r="R291" s="38">
        <f>+E291+I291+M291+Q291</f>
        <v>2267</v>
      </c>
    </row>
    <row r="292" spans="1:20" ht="15.75" customHeight="1" x14ac:dyDescent="0.3">
      <c r="A292" s="568" t="s">
        <v>3010</v>
      </c>
      <c r="B292" s="10"/>
      <c r="C292" s="10"/>
      <c r="D292" s="10"/>
      <c r="E292" s="38">
        <f>SUM(B292:D292)</f>
        <v>0</v>
      </c>
      <c r="F292" s="10"/>
      <c r="G292" s="10"/>
      <c r="H292" s="10"/>
      <c r="I292" s="38">
        <f>SUM(F292:H292)</f>
        <v>0</v>
      </c>
      <c r="J292" s="10"/>
      <c r="K292" s="10"/>
      <c r="L292" s="10">
        <v>652</v>
      </c>
      <c r="M292" s="38">
        <f>SUM(J292:L292)</f>
        <v>652</v>
      </c>
      <c r="N292" s="10">
        <v>924</v>
      </c>
      <c r="O292" s="10">
        <v>494</v>
      </c>
      <c r="P292" s="10">
        <v>300</v>
      </c>
      <c r="Q292" s="38">
        <f>SUM(N292:P292)</f>
        <v>1718</v>
      </c>
      <c r="R292" s="38">
        <f>+E292+I292+M292+Q292</f>
        <v>2370</v>
      </c>
      <c r="S292" t="s">
        <v>3332</v>
      </c>
      <c r="T292">
        <f>24000-SUM(R148,R152,R169,R172,R185,R205,R241,R242,R264,R288,R291,R292)</f>
        <v>302</v>
      </c>
    </row>
    <row r="293" spans="1:20" ht="15.75" customHeight="1" x14ac:dyDescent="0.3">
      <c r="A293" s="539" t="s">
        <v>3021</v>
      </c>
      <c r="B293" s="10"/>
      <c r="C293" s="10"/>
      <c r="D293" s="10"/>
      <c r="E293" s="38">
        <f t="shared" ref="E293:E298" si="105">SUM(B293:D293)</f>
        <v>0</v>
      </c>
      <c r="F293" s="10"/>
      <c r="G293" s="10"/>
      <c r="H293" s="10"/>
      <c r="I293" s="38">
        <f t="shared" ref="I293:I298" si="106">SUM(F293:H293)</f>
        <v>0</v>
      </c>
      <c r="J293" s="10"/>
      <c r="K293" s="10"/>
      <c r="L293" s="10"/>
      <c r="M293" s="38">
        <f t="shared" ref="M293:M298" si="107">SUM(J293:L293)</f>
        <v>0</v>
      </c>
      <c r="N293" s="10"/>
      <c r="O293" s="10"/>
      <c r="P293" s="10"/>
      <c r="Q293" s="38">
        <f t="shared" ref="Q293:Q298" si="108">SUM(N293:P293)</f>
        <v>0</v>
      </c>
      <c r="R293" s="38">
        <f t="shared" ref="R293:R298" si="109">+E293+I293+M293+Q293</f>
        <v>0</v>
      </c>
      <c r="S293" t="s">
        <v>3020</v>
      </c>
    </row>
    <row r="294" spans="1:20" ht="15.75" customHeight="1" x14ac:dyDescent="0.3">
      <c r="A294" s="539" t="s">
        <v>2561</v>
      </c>
      <c r="B294" s="10"/>
      <c r="C294" s="10"/>
      <c r="D294" s="10"/>
      <c r="E294" s="38">
        <f t="shared" si="105"/>
        <v>0</v>
      </c>
      <c r="F294" s="10"/>
      <c r="G294" s="10"/>
      <c r="H294" s="10"/>
      <c r="I294" s="38">
        <f t="shared" si="106"/>
        <v>0</v>
      </c>
      <c r="J294" s="10"/>
      <c r="K294" s="10"/>
      <c r="L294" s="10"/>
      <c r="M294" s="38">
        <f t="shared" si="107"/>
        <v>0</v>
      </c>
      <c r="N294" s="10"/>
      <c r="O294" s="10"/>
      <c r="P294" s="10"/>
      <c r="Q294" s="38">
        <f t="shared" si="108"/>
        <v>0</v>
      </c>
      <c r="R294" s="38">
        <f t="shared" si="109"/>
        <v>0</v>
      </c>
      <c r="S294" t="s">
        <v>3332</v>
      </c>
    </row>
    <row r="295" spans="1:20" ht="15.75" customHeight="1" x14ac:dyDescent="0.3">
      <c r="A295" s="569" t="s">
        <v>2828</v>
      </c>
      <c r="B295" s="10"/>
      <c r="C295" s="10">
        <v>1000</v>
      </c>
      <c r="D295" s="10"/>
      <c r="E295" s="38">
        <f t="shared" si="105"/>
        <v>1000</v>
      </c>
      <c r="F295" s="10">
        <v>1616</v>
      </c>
      <c r="G295" s="10">
        <v>1717</v>
      </c>
      <c r="H295" s="10"/>
      <c r="I295" s="38">
        <f t="shared" si="106"/>
        <v>3333</v>
      </c>
      <c r="J295" s="10"/>
      <c r="K295" s="10"/>
      <c r="L295" s="10">
        <v>980</v>
      </c>
      <c r="M295" s="38">
        <f t="shared" si="107"/>
        <v>980</v>
      </c>
      <c r="N295" s="10">
        <v>1698</v>
      </c>
      <c r="O295" s="10"/>
      <c r="P295" s="10"/>
      <c r="Q295" s="38">
        <f t="shared" si="108"/>
        <v>1698</v>
      </c>
      <c r="R295" s="38">
        <f t="shared" si="109"/>
        <v>7011</v>
      </c>
    </row>
    <row r="296" spans="1:20" ht="15.75" customHeight="1" x14ac:dyDescent="0.3">
      <c r="A296" s="569" t="s">
        <v>2563</v>
      </c>
      <c r="B296" s="10"/>
      <c r="C296" s="10"/>
      <c r="D296" s="10"/>
      <c r="E296" s="38">
        <f t="shared" si="105"/>
        <v>0</v>
      </c>
      <c r="F296" s="10"/>
      <c r="G296" s="10"/>
      <c r="H296" s="10"/>
      <c r="I296" s="38">
        <f t="shared" si="106"/>
        <v>0</v>
      </c>
      <c r="J296" s="10"/>
      <c r="K296" s="10"/>
      <c r="L296" s="10"/>
      <c r="M296" s="38">
        <f t="shared" si="107"/>
        <v>0</v>
      </c>
      <c r="N296" s="10"/>
      <c r="O296" s="10"/>
      <c r="P296" s="10"/>
      <c r="Q296" s="38">
        <f t="shared" si="108"/>
        <v>0</v>
      </c>
      <c r="R296" s="38">
        <f t="shared" si="109"/>
        <v>0</v>
      </c>
      <c r="S296" t="s">
        <v>3332</v>
      </c>
    </row>
    <row r="297" spans="1:20" ht="15.75" customHeight="1" x14ac:dyDescent="0.3">
      <c r="A297" s="422" t="s">
        <v>2564</v>
      </c>
      <c r="B297" s="10"/>
      <c r="C297" s="10"/>
      <c r="D297" s="10"/>
      <c r="E297" s="38">
        <f t="shared" si="105"/>
        <v>0</v>
      </c>
      <c r="F297" s="10"/>
      <c r="G297" s="10"/>
      <c r="H297" s="10"/>
      <c r="I297" s="38">
        <f t="shared" si="106"/>
        <v>0</v>
      </c>
      <c r="J297" s="10"/>
      <c r="K297" s="10"/>
      <c r="L297" s="10"/>
      <c r="M297" s="38">
        <f t="shared" si="107"/>
        <v>0</v>
      </c>
      <c r="N297" s="10"/>
      <c r="O297" s="10"/>
      <c r="P297" s="10"/>
      <c r="Q297" s="38">
        <f t="shared" si="108"/>
        <v>0</v>
      </c>
      <c r="R297" s="38">
        <f t="shared" si="109"/>
        <v>0</v>
      </c>
    </row>
    <row r="298" spans="1:20" ht="15.75" customHeight="1" x14ac:dyDescent="0.3">
      <c r="A298" s="422" t="s">
        <v>2565</v>
      </c>
      <c r="B298" s="10"/>
      <c r="C298" s="10"/>
      <c r="D298" s="10"/>
      <c r="E298" s="38">
        <f t="shared" si="105"/>
        <v>0</v>
      </c>
      <c r="F298" s="10"/>
      <c r="G298" s="10"/>
      <c r="H298" s="10"/>
      <c r="I298" s="38">
        <f t="shared" si="106"/>
        <v>0</v>
      </c>
      <c r="J298" s="10"/>
      <c r="K298" s="10"/>
      <c r="L298" s="10"/>
      <c r="M298" s="38">
        <f t="shared" si="107"/>
        <v>0</v>
      </c>
      <c r="N298" s="10"/>
      <c r="O298" s="10"/>
      <c r="P298" s="10"/>
      <c r="Q298" s="38">
        <f t="shared" si="108"/>
        <v>0</v>
      </c>
      <c r="R298" s="38">
        <f t="shared" si="109"/>
        <v>0</v>
      </c>
    </row>
    <row r="299" spans="1:20" ht="15.75" customHeight="1" x14ac:dyDescent="0.3">
      <c r="A299" s="234" t="s">
        <v>1022</v>
      </c>
      <c r="B299" s="172"/>
      <c r="C299" s="172"/>
      <c r="D299" s="172"/>
      <c r="E299" s="38" t="s">
        <v>852</v>
      </c>
      <c r="F299" s="172"/>
      <c r="G299" s="172"/>
      <c r="H299" s="172"/>
      <c r="I299" s="38" t="s">
        <v>852</v>
      </c>
      <c r="J299" s="172"/>
      <c r="K299" s="172"/>
      <c r="L299" s="172"/>
      <c r="M299" s="38" t="s">
        <v>852</v>
      </c>
      <c r="N299" s="172"/>
      <c r="O299" s="172"/>
      <c r="P299" s="172"/>
      <c r="Q299" s="38" t="s">
        <v>852</v>
      </c>
      <c r="R299" s="38" t="s">
        <v>852</v>
      </c>
    </row>
    <row r="300" spans="1:20" ht="15.75" customHeight="1" x14ac:dyDescent="0.3">
      <c r="A300" s="568" t="s">
        <v>3254</v>
      </c>
      <c r="B300" s="172"/>
      <c r="C300" s="172"/>
      <c r="D300" s="172"/>
      <c r="E300" s="38">
        <f t="shared" ref="E300" si="110">SUM(B300:D300)</f>
        <v>0</v>
      </c>
      <c r="F300" s="172"/>
      <c r="G300" s="172"/>
      <c r="H300" s="172"/>
      <c r="I300" s="38">
        <f t="shared" ref="I300" si="111">SUM(F300:H300)</f>
        <v>0</v>
      </c>
      <c r="J300" s="172"/>
      <c r="K300" s="172"/>
      <c r="L300" s="172"/>
      <c r="M300" s="38">
        <f t="shared" ref="M300" si="112">SUM(J300:L300)</f>
        <v>0</v>
      </c>
      <c r="N300" s="172"/>
      <c r="O300" s="172"/>
      <c r="P300" s="172"/>
      <c r="Q300" s="38">
        <f t="shared" ref="Q300" si="113">SUM(N300:P300)</f>
        <v>0</v>
      </c>
      <c r="R300" s="38">
        <f t="shared" ref="R300" si="114">+E300+I300+M300+Q300</f>
        <v>0</v>
      </c>
    </row>
    <row r="301" spans="1:20" ht="15.75" customHeight="1" x14ac:dyDescent="0.3">
      <c r="A301" s="234" t="s">
        <v>559</v>
      </c>
      <c r="B301" s="172"/>
      <c r="C301" s="172"/>
      <c r="D301" s="172"/>
      <c r="E301" s="38" t="s">
        <v>852</v>
      </c>
      <c r="F301" s="172"/>
      <c r="G301" s="172"/>
      <c r="H301" s="172"/>
      <c r="I301" s="38" t="s">
        <v>852</v>
      </c>
      <c r="J301" s="172"/>
      <c r="K301" s="172"/>
      <c r="L301" s="172"/>
      <c r="M301" s="38" t="s">
        <v>852</v>
      </c>
      <c r="N301" s="172"/>
      <c r="O301" s="172"/>
      <c r="P301" s="172"/>
      <c r="Q301" s="38" t="s">
        <v>852</v>
      </c>
      <c r="R301" s="38" t="s">
        <v>852</v>
      </c>
    </row>
    <row r="302" spans="1:20" ht="15.75" customHeight="1" thickBot="1" x14ac:dyDescent="0.35">
      <c r="A302" s="539" t="s">
        <v>3074</v>
      </c>
      <c r="B302" s="10"/>
      <c r="C302" s="10"/>
      <c r="D302" s="10"/>
      <c r="E302" s="38">
        <f t="shared" ref="E302" si="115">SUM(B302:D302)</f>
        <v>0</v>
      </c>
      <c r="F302" s="10"/>
      <c r="G302" s="10"/>
      <c r="H302" s="10"/>
      <c r="I302" s="38">
        <f t="shared" ref="I302:I311" si="116">SUM(F302:H302)</f>
        <v>0</v>
      </c>
      <c r="J302" s="10"/>
      <c r="K302" s="10"/>
      <c r="L302" s="10"/>
      <c r="M302" s="38">
        <f t="shared" ref="M302:M311" si="117">SUM(J302:L302)</f>
        <v>0</v>
      </c>
      <c r="N302" s="10"/>
      <c r="O302" s="10"/>
      <c r="P302" s="10"/>
      <c r="Q302" s="38">
        <f t="shared" ref="Q302:Q311" si="118">SUM(N302:P302)</f>
        <v>0</v>
      </c>
      <c r="R302" s="38">
        <f t="shared" ref="R302:R311" si="119">+E302+I302+M302+Q302</f>
        <v>0</v>
      </c>
      <c r="S302" t="s">
        <v>3020</v>
      </c>
    </row>
    <row r="303" spans="1:20" ht="16.5" customHeight="1" thickBot="1" x14ac:dyDescent="0.35">
      <c r="A303" s="43" t="s">
        <v>1019</v>
      </c>
      <c r="B303" s="42">
        <f>SUM(B299:B302)</f>
        <v>0</v>
      </c>
      <c r="C303" s="42">
        <f>SUM(C299:C302)</f>
        <v>0</v>
      </c>
      <c r="D303" s="42">
        <f>SUM(D299:D302)</f>
        <v>0</v>
      </c>
      <c r="E303" s="39">
        <f t="shared" ref="E303:E308" si="120">SUM(B303:D303)</f>
        <v>0</v>
      </c>
      <c r="F303" s="42">
        <f>SUM(F299:F302)</f>
        <v>0</v>
      </c>
      <c r="G303" s="42">
        <f>SUM(G299:G302)</f>
        <v>0</v>
      </c>
      <c r="H303" s="42">
        <f>SUM(H299:H302)</f>
        <v>0</v>
      </c>
      <c r="I303" s="39">
        <f t="shared" si="116"/>
        <v>0</v>
      </c>
      <c r="J303" s="42">
        <f>SUM(J299:J302)</f>
        <v>0</v>
      </c>
      <c r="K303" s="42">
        <f>SUM(K299:K302)</f>
        <v>0</v>
      </c>
      <c r="L303" s="42">
        <f>SUM(L299:L302)</f>
        <v>0</v>
      </c>
      <c r="M303" s="39">
        <f t="shared" si="117"/>
        <v>0</v>
      </c>
      <c r="N303" s="42">
        <f>SUM(N299:N302)</f>
        <v>0</v>
      </c>
      <c r="O303" s="42">
        <f>SUM(O299:O302)</f>
        <v>0</v>
      </c>
      <c r="P303" s="42">
        <f>SUM(P299:P302)</f>
        <v>0</v>
      </c>
      <c r="Q303" s="39">
        <f t="shared" si="118"/>
        <v>0</v>
      </c>
      <c r="R303" s="37">
        <f t="shared" si="119"/>
        <v>0</v>
      </c>
    </row>
    <row r="304" spans="1:20" ht="16.5" customHeight="1" thickBot="1" x14ac:dyDescent="0.35">
      <c r="A304" s="43" t="s">
        <v>1221</v>
      </c>
      <c r="B304" s="45">
        <f>SUM(B285:B302)</f>
        <v>1335</v>
      </c>
      <c r="C304" s="46">
        <f>SUM(C285:C302)</f>
        <v>1444</v>
      </c>
      <c r="D304" s="46">
        <f>SUM(D285:D302)</f>
        <v>0</v>
      </c>
      <c r="E304" s="37">
        <f t="shared" si="120"/>
        <v>2779</v>
      </c>
      <c r="F304" s="46">
        <f>SUM(F285:F302)</f>
        <v>1616</v>
      </c>
      <c r="G304" s="46">
        <f>SUM(G285:G302)</f>
        <v>1717</v>
      </c>
      <c r="H304" s="46">
        <f>SUM(H285:H302)</f>
        <v>0</v>
      </c>
      <c r="I304" s="37">
        <f t="shared" si="116"/>
        <v>3333</v>
      </c>
      <c r="J304" s="46">
        <f>SUM(J285:J302)</f>
        <v>0</v>
      </c>
      <c r="K304" s="46">
        <f>SUM(K285:K302)</f>
        <v>0</v>
      </c>
      <c r="L304" s="46">
        <f>SUM(L285:L302)</f>
        <v>1853</v>
      </c>
      <c r="M304" s="37">
        <f t="shared" si="117"/>
        <v>1853</v>
      </c>
      <c r="N304" s="46">
        <f>SUM(N285:N302)</f>
        <v>2622</v>
      </c>
      <c r="O304" s="46">
        <f>SUM(O285:O302)</f>
        <v>494</v>
      </c>
      <c r="P304" s="46">
        <f>SUM(P285:P302)</f>
        <v>567</v>
      </c>
      <c r="Q304" s="37">
        <f t="shared" si="118"/>
        <v>3683</v>
      </c>
      <c r="R304" s="37">
        <f t="shared" si="119"/>
        <v>11648</v>
      </c>
    </row>
    <row r="305" spans="1:20" ht="16.5" customHeight="1" thickBot="1" x14ac:dyDescent="0.35">
      <c r="A305" s="43" t="s">
        <v>1222</v>
      </c>
      <c r="B305" s="47">
        <f>+B209+B216+B284+B304</f>
        <v>23569</v>
      </c>
      <c r="C305" s="42">
        <f>+C209+C216+C284+C304</f>
        <v>25208</v>
      </c>
      <c r="D305" s="42">
        <f>+D209+D216+D284+D304</f>
        <v>24021</v>
      </c>
      <c r="E305" s="40">
        <f t="shared" si="120"/>
        <v>72798</v>
      </c>
      <c r="F305" s="42">
        <f>+F209+F216+F284+F304</f>
        <v>37918</v>
      </c>
      <c r="G305" s="42">
        <f>+G209+G216+G284+G304</f>
        <v>37232</v>
      </c>
      <c r="H305" s="42">
        <f>+H209+H216+H284+H304</f>
        <v>46271</v>
      </c>
      <c r="I305" s="40">
        <f t="shared" si="116"/>
        <v>121421</v>
      </c>
      <c r="J305" s="42">
        <f>+J209+J216+J284+J304</f>
        <v>47665</v>
      </c>
      <c r="K305" s="42">
        <f>+K209+K216+K284+K304</f>
        <v>44597</v>
      </c>
      <c r="L305" s="42">
        <f>+L209+L216+L284+L304</f>
        <v>43230</v>
      </c>
      <c r="M305" s="40">
        <f t="shared" si="117"/>
        <v>135492</v>
      </c>
      <c r="N305" s="42">
        <f>+N209+N216+N284+N304</f>
        <v>35664</v>
      </c>
      <c r="O305" s="42">
        <f>+O209+O216+O284+O304</f>
        <v>32495</v>
      </c>
      <c r="P305" s="42">
        <f>+P209+P216+P284+P304</f>
        <v>29556</v>
      </c>
      <c r="Q305" s="40">
        <f t="shared" si="118"/>
        <v>97715</v>
      </c>
      <c r="R305" s="40">
        <f t="shared" si="119"/>
        <v>427426</v>
      </c>
    </row>
    <row r="306" spans="1:20" ht="15.75" customHeight="1" x14ac:dyDescent="0.3">
      <c r="A306" s="540" t="s">
        <v>2827</v>
      </c>
      <c r="B306" s="10"/>
      <c r="C306" s="10">
        <v>1245</v>
      </c>
      <c r="D306" s="10">
        <v>1376</v>
      </c>
      <c r="E306" s="38">
        <f t="shared" si="120"/>
        <v>2621</v>
      </c>
      <c r="F306" s="10">
        <v>2992</v>
      </c>
      <c r="G306" s="10">
        <v>4839</v>
      </c>
      <c r="H306" s="10">
        <v>3560</v>
      </c>
      <c r="I306" s="38">
        <f t="shared" si="116"/>
        <v>11391</v>
      </c>
      <c r="J306" s="10">
        <v>3753</v>
      </c>
      <c r="K306" s="10">
        <v>2162</v>
      </c>
      <c r="L306" s="10">
        <v>3758</v>
      </c>
      <c r="M306" s="38">
        <f t="shared" si="117"/>
        <v>9673</v>
      </c>
      <c r="N306" s="10">
        <v>742</v>
      </c>
      <c r="O306" s="10">
        <v>4368</v>
      </c>
      <c r="P306" s="10">
        <v>1362</v>
      </c>
      <c r="Q306" s="38">
        <f t="shared" si="118"/>
        <v>6472</v>
      </c>
      <c r="R306" s="38">
        <f t="shared" si="119"/>
        <v>30157</v>
      </c>
      <c r="T306" t="s">
        <v>2764</v>
      </c>
    </row>
    <row r="307" spans="1:20" ht="15.75" customHeight="1" x14ac:dyDescent="0.3">
      <c r="A307" s="270" t="s">
        <v>899</v>
      </c>
      <c r="B307" s="172"/>
      <c r="C307" s="172"/>
      <c r="D307" s="172"/>
      <c r="E307" s="38">
        <f t="shared" si="120"/>
        <v>0</v>
      </c>
      <c r="F307" s="172"/>
      <c r="G307" s="172"/>
      <c r="H307" s="172">
        <v>-2984</v>
      </c>
      <c r="I307" s="38">
        <f t="shared" si="116"/>
        <v>-2984</v>
      </c>
      <c r="J307" s="172">
        <v>-8893</v>
      </c>
      <c r="K307" s="172">
        <v>6441</v>
      </c>
      <c r="L307" s="172">
        <v>4836</v>
      </c>
      <c r="M307" s="38">
        <f t="shared" si="117"/>
        <v>2384</v>
      </c>
      <c r="N307" s="172">
        <v>2905</v>
      </c>
      <c r="O307" s="172">
        <v>10265</v>
      </c>
      <c r="P307" s="172">
        <v>6</v>
      </c>
      <c r="Q307" s="38">
        <f t="shared" si="118"/>
        <v>13176</v>
      </c>
      <c r="R307" s="38">
        <f t="shared" si="119"/>
        <v>12576</v>
      </c>
    </row>
    <row r="308" spans="1:20" ht="15.75" customHeight="1" x14ac:dyDescent="0.3">
      <c r="A308" s="539" t="s">
        <v>2271</v>
      </c>
      <c r="B308" s="10"/>
      <c r="C308" s="10"/>
      <c r="D308" s="10"/>
      <c r="E308" s="38">
        <f t="shared" si="120"/>
        <v>0</v>
      </c>
      <c r="F308" s="10"/>
      <c r="G308" s="10"/>
      <c r="H308" s="10"/>
      <c r="I308" s="38">
        <f t="shared" si="116"/>
        <v>0</v>
      </c>
      <c r="J308" s="10"/>
      <c r="K308" s="10"/>
      <c r="L308" s="10"/>
      <c r="M308" s="38">
        <f t="shared" si="117"/>
        <v>0</v>
      </c>
      <c r="N308" s="10"/>
      <c r="O308" s="10"/>
      <c r="P308" s="10"/>
      <c r="Q308" s="38">
        <f t="shared" si="118"/>
        <v>0</v>
      </c>
      <c r="R308" s="38">
        <f t="shared" si="119"/>
        <v>0</v>
      </c>
    </row>
    <row r="309" spans="1:20" ht="15.75" customHeight="1" x14ac:dyDescent="0.3">
      <c r="A309" s="270" t="s">
        <v>2475</v>
      </c>
      <c r="B309" s="10">
        <v>36</v>
      </c>
      <c r="C309" s="10">
        <v>25</v>
      </c>
      <c r="D309" s="10">
        <v>24</v>
      </c>
      <c r="E309" s="38">
        <f>SUM(B309:D309)</f>
        <v>85</v>
      </c>
      <c r="F309" s="10">
        <v>69</v>
      </c>
      <c r="G309" s="10">
        <v>187</v>
      </c>
      <c r="H309" s="10">
        <v>137</v>
      </c>
      <c r="I309" s="38">
        <f>SUM(F309:H309)</f>
        <v>393</v>
      </c>
      <c r="J309" s="10">
        <v>67</v>
      </c>
      <c r="K309" s="10">
        <v>48</v>
      </c>
      <c r="L309" s="10">
        <v>86</v>
      </c>
      <c r="M309" s="38">
        <f>SUM(J309:L309)</f>
        <v>201</v>
      </c>
      <c r="N309" s="10">
        <v>28</v>
      </c>
      <c r="O309" s="10">
        <v>65</v>
      </c>
      <c r="P309" s="10">
        <v>34</v>
      </c>
      <c r="Q309" s="38">
        <f>SUM(N309:P309)</f>
        <v>127</v>
      </c>
      <c r="R309" s="38">
        <f t="shared" si="119"/>
        <v>806</v>
      </c>
    </row>
    <row r="310" spans="1:20" ht="15.75" customHeight="1" x14ac:dyDescent="0.3">
      <c r="A310" s="267" t="s">
        <v>2096</v>
      </c>
      <c r="B310" s="10">
        <v>42045</v>
      </c>
      <c r="C310" s="10">
        <v>51021</v>
      </c>
      <c r="D310" s="10">
        <v>46045</v>
      </c>
      <c r="E310" s="38">
        <f t="shared" ref="E310" si="121">SUM(B310:D310)</f>
        <v>139111</v>
      </c>
      <c r="F310" s="10">
        <v>10279</v>
      </c>
      <c r="G310" s="10">
        <v>4059</v>
      </c>
      <c r="H310" s="10"/>
      <c r="I310" s="38">
        <f t="shared" ref="I310" si="122">SUM(F310:H310)</f>
        <v>14338</v>
      </c>
      <c r="J310" s="10"/>
      <c r="K310" s="10"/>
      <c r="L310" s="10">
        <v>17967</v>
      </c>
      <c r="M310" s="38">
        <f t="shared" ref="M310" si="123">SUM(J310:L310)</f>
        <v>17967</v>
      </c>
      <c r="N310" s="10">
        <v>94204</v>
      </c>
      <c r="O310" s="10">
        <v>80702</v>
      </c>
      <c r="P310" s="10">
        <v>79076</v>
      </c>
      <c r="Q310" s="38">
        <f t="shared" si="118"/>
        <v>253982</v>
      </c>
      <c r="R310" s="38">
        <f t="shared" si="119"/>
        <v>425398</v>
      </c>
    </row>
    <row r="311" spans="1:20" ht="16.5" customHeight="1" thickBot="1" x14ac:dyDescent="0.35">
      <c r="A311" s="244" t="s">
        <v>853</v>
      </c>
      <c r="B311" s="238">
        <v>104</v>
      </c>
      <c r="C311" s="238">
        <v>268</v>
      </c>
      <c r="D311" s="238">
        <v>474</v>
      </c>
      <c r="E311" s="38">
        <f>SUM(B311:D311)</f>
        <v>846</v>
      </c>
      <c r="F311" s="238">
        <v>647</v>
      </c>
      <c r="G311" s="238">
        <v>742</v>
      </c>
      <c r="H311" s="238">
        <v>781</v>
      </c>
      <c r="I311" s="38">
        <f t="shared" si="116"/>
        <v>2170</v>
      </c>
      <c r="J311" s="238">
        <v>774</v>
      </c>
      <c r="K311" s="238">
        <v>596</v>
      </c>
      <c r="L311" s="238">
        <v>546</v>
      </c>
      <c r="M311" s="38">
        <f t="shared" si="117"/>
        <v>1916</v>
      </c>
      <c r="N311" s="238">
        <v>517</v>
      </c>
      <c r="O311" s="238">
        <v>413</v>
      </c>
      <c r="P311" s="238">
        <v>302</v>
      </c>
      <c r="Q311" s="38">
        <f t="shared" si="118"/>
        <v>1232</v>
      </c>
      <c r="R311" s="38">
        <f t="shared" si="119"/>
        <v>6164</v>
      </c>
    </row>
    <row r="312" spans="1:20" ht="16.5" customHeight="1" thickBot="1" x14ac:dyDescent="0.35">
      <c r="A312" s="44"/>
      <c r="B312" s="258"/>
      <c r="C312" s="258"/>
      <c r="D312" s="258"/>
      <c r="E312" s="39"/>
      <c r="F312" s="258"/>
      <c r="G312" s="258"/>
      <c r="H312" s="258"/>
      <c r="I312" s="37"/>
      <c r="J312" s="258"/>
      <c r="K312" s="258"/>
      <c r="L312" s="258"/>
      <c r="M312" s="37"/>
      <c r="N312" s="258"/>
      <c r="O312" s="258"/>
      <c r="P312" s="258"/>
      <c r="Q312" s="37"/>
      <c r="R312" s="37" t="s">
        <v>852</v>
      </c>
    </row>
    <row r="313" spans="1:20" ht="15.75" customHeight="1" x14ac:dyDescent="0.3">
      <c r="A313" s="259" t="s">
        <v>2011</v>
      </c>
      <c r="B313" s="260">
        <f>SUM(B305:B311)</f>
        <v>65754</v>
      </c>
      <c r="C313" s="260">
        <f>SUM(C305:C311)</f>
        <v>77767</v>
      </c>
      <c r="D313" s="260">
        <f>SUM(D305:D311)</f>
        <v>71940</v>
      </c>
      <c r="E313" s="39">
        <f>SUM(B313:D313)</f>
        <v>215461</v>
      </c>
      <c r="F313" s="260">
        <f>SUM(F305:F311)</f>
        <v>51905</v>
      </c>
      <c r="G313" s="260">
        <f>SUM(G305:G311)</f>
        <v>47059</v>
      </c>
      <c r="H313" s="260">
        <f>SUM(H305:H311)</f>
        <v>47765</v>
      </c>
      <c r="I313" s="39">
        <f>SUM(F313:H313)</f>
        <v>146729</v>
      </c>
      <c r="J313" s="260">
        <f>SUM(J305:J311)</f>
        <v>43366</v>
      </c>
      <c r="K313" s="260">
        <f>SUM(K305:K311)</f>
        <v>53844</v>
      </c>
      <c r="L313" s="260">
        <f>SUM(L305:L311)</f>
        <v>70423</v>
      </c>
      <c r="M313" s="39">
        <f>SUM(J313:L313)</f>
        <v>167633</v>
      </c>
      <c r="N313" s="260">
        <f>SUM(N305:N311)</f>
        <v>134060</v>
      </c>
      <c r="O313" s="260">
        <f>SUM(O305:O311)</f>
        <v>128308</v>
      </c>
      <c r="P313" s="260">
        <f>SUM(P305:P311)</f>
        <v>110336</v>
      </c>
      <c r="Q313" s="49">
        <f>SUM(N313:P313)</f>
        <v>372704</v>
      </c>
      <c r="R313" s="39">
        <f>+E313+I313+M313+Q313</f>
        <v>902527</v>
      </c>
    </row>
    <row r="314" spans="1:20" ht="15.75" customHeight="1" x14ac:dyDescent="0.3">
      <c r="A314" s="262" t="s">
        <v>1897</v>
      </c>
      <c r="B314" s="172">
        <f>(B313/B10)/1.983</f>
        <v>1069.6403299009321</v>
      </c>
      <c r="C314" s="172">
        <f>(C313/C10)/1.983</f>
        <v>1400.6015416756718</v>
      </c>
      <c r="D314" s="172">
        <f>(D313/D10)/1.983</f>
        <v>1170.2698745790833</v>
      </c>
      <c r="E314" s="38" t="s">
        <v>852</v>
      </c>
      <c r="F314" s="172">
        <f>(F313/F10)/1.983</f>
        <v>872.4995797613044</v>
      </c>
      <c r="G314" s="172">
        <f>(G313/G10)/1.983</f>
        <v>765.52307517121335</v>
      </c>
      <c r="H314" s="172">
        <f>(H313/H10)/1.983</f>
        <v>802.90805177340735</v>
      </c>
      <c r="I314" s="38" t="s">
        <v>852</v>
      </c>
      <c r="J314" s="172">
        <f>(J313/J10)/1.983</f>
        <v>705.44792022513946</v>
      </c>
      <c r="K314" s="172">
        <f>(K313/K10)/1.983</f>
        <v>875.89673515201798</v>
      </c>
      <c r="L314" s="172">
        <f>(L313/L10)/1.983</f>
        <v>1183.7787863506471</v>
      </c>
      <c r="M314" s="38" t="s">
        <v>852</v>
      </c>
      <c r="N314" s="172">
        <f>(N313/N10)/1.983</f>
        <v>2180.7948204902968</v>
      </c>
      <c r="O314" s="172">
        <f>(O313/O10)/1.983</f>
        <v>2156.7994620944696</v>
      </c>
      <c r="P314" s="172">
        <f>(P313/P10)/1.983</f>
        <v>1794.8692922095877</v>
      </c>
      <c r="Q314" s="50" t="s">
        <v>852</v>
      </c>
      <c r="R314" s="38" t="s">
        <v>852</v>
      </c>
    </row>
    <row r="315" spans="1:20" ht="15.75" customHeight="1" x14ac:dyDescent="0.3">
      <c r="A315" s="262" t="s">
        <v>154</v>
      </c>
      <c r="B315" s="172">
        <f>(+B313+B485)+B322</f>
        <v>88667</v>
      </c>
      <c r="C315" s="172">
        <f>(+C313+C485)+C322</f>
        <v>105580</v>
      </c>
      <c r="D315" s="172">
        <f>(+D313+D485)+D322</f>
        <v>133800</v>
      </c>
      <c r="E315" s="38">
        <f>SUM(B315:D315)</f>
        <v>328047</v>
      </c>
      <c r="F315" s="172">
        <f>(+F313+F485)+F322</f>
        <v>162267</v>
      </c>
      <c r="G315" s="172">
        <f>(+G313+G485)+G322</f>
        <v>172030</v>
      </c>
      <c r="H315" s="172">
        <f>(+H313+H485)+H322</f>
        <v>84340</v>
      </c>
      <c r="I315" s="38">
        <f>SUM(F315:H315)</f>
        <v>418637</v>
      </c>
      <c r="J315" s="172">
        <f>(+J313+J485)+J322</f>
        <v>70991</v>
      </c>
      <c r="K315" s="172">
        <f>(+K313+K485)+K322</f>
        <v>20509</v>
      </c>
      <c r="L315" s="172">
        <f>(+L313+L485)+L322</f>
        <v>159695</v>
      </c>
      <c r="M315" s="38">
        <f>SUM(J315:L315)</f>
        <v>251195</v>
      </c>
      <c r="N315" s="172">
        <f>(+N313+N485)+N322</f>
        <v>173627</v>
      </c>
      <c r="O315" s="172">
        <f>(+O313+O485)+O322</f>
        <v>167679</v>
      </c>
      <c r="P315" s="172">
        <f>(+P313+P485)+P322</f>
        <v>139832</v>
      </c>
      <c r="Q315" s="50">
        <f>SUM(N315:P315)</f>
        <v>481138</v>
      </c>
      <c r="R315" s="38">
        <f>+E315+I315+M315+Q315</f>
        <v>1479017</v>
      </c>
    </row>
    <row r="316" spans="1:20" ht="16.5" customHeight="1" thickBot="1" x14ac:dyDescent="0.35">
      <c r="A316" s="263" t="s">
        <v>2110</v>
      </c>
      <c r="B316" s="264">
        <f>(B315/B10)/1.983</f>
        <v>1442.3730743578481</v>
      </c>
      <c r="C316" s="264">
        <f>(C315/C10)/1.983</f>
        <v>1901.5200633960089</v>
      </c>
      <c r="D316" s="264">
        <f>(D315/D10)/1.983</f>
        <v>2176.565321360597</v>
      </c>
      <c r="E316" s="40" t="s">
        <v>852</v>
      </c>
      <c r="F316" s="264">
        <f>(F315/F10)/1.983</f>
        <v>2727.6348966212804</v>
      </c>
      <c r="G316" s="264">
        <f>(G315/G10)/1.983</f>
        <v>2798.4643664698319</v>
      </c>
      <c r="H316" s="264">
        <f>(H315/H10)/1.983</f>
        <v>1417.7172634056144</v>
      </c>
      <c r="I316" s="40" t="s">
        <v>852</v>
      </c>
      <c r="J316" s="264">
        <f>(J315/J10)/1.983</f>
        <v>1154.8322027556812</v>
      </c>
      <c r="K316" s="264">
        <f>(K315/K10)/1.983</f>
        <v>333.62614481154327</v>
      </c>
      <c r="L316" s="264">
        <f>(L315/L10)/1.983</f>
        <v>2684.4007396201041</v>
      </c>
      <c r="M316" s="40" t="s">
        <v>852</v>
      </c>
      <c r="N316" s="264">
        <f>(N315/N10)/1.983</f>
        <v>2824.4432515087924</v>
      </c>
      <c r="O316" s="264">
        <f>(O315/O10)/1.983</f>
        <v>2818.6081694402419</v>
      </c>
      <c r="P316" s="264">
        <f>(P315/P10)/1.983</f>
        <v>2274.6897011696192</v>
      </c>
      <c r="Q316" s="51" t="s">
        <v>852</v>
      </c>
      <c r="R316" s="40" t="s">
        <v>852</v>
      </c>
    </row>
    <row r="317" spans="1:20" ht="16.5" customHeight="1" thickBot="1" x14ac:dyDescent="0.35">
      <c r="A317" s="271" t="s">
        <v>1700</v>
      </c>
      <c r="B317" s="229">
        <f>+(B315-(B141+B142+B143+B144+B147+B148+B149+B152+B153+B154+B158+B160++B166+B167+B169+B170+B172+B173+B174+B175+B176+B185+B186+B187+B198+B203+B205+B206+B213+B220+B221+B223+B224+B225+B230+B238+B240+B241+B242+B243+B245+B246+B247+B255+B264+B265+B268+B288+B289+B291+B292+B295+B296+B300+B306+B310+B318)-B322)/(B10*1.983)</f>
        <v>764.56330421485848</v>
      </c>
      <c r="C317" s="229">
        <f>+(C315-(C141+C142+C143+C144+C147+C148+C149+C152+C153+C154+C158+C160++C166+C167+C169+C170+C172+C173+C174+C175+C176+C185+C186+C187+C198+C203+C205+C206+C213+C220+C221+C223+C224+C225+C230+C238+C240+C241+C242+C243+C245+C246+C247+C255+C264+C265+C268+C288+C289+C291+C292+C295+C296+C300+C306+C310+C318)-C322)/(C10*1.983)</f>
        <v>1096.8770261508537</v>
      </c>
      <c r="D317" s="229">
        <f>+(D315-(D141+D142+D143+D144+D147+D148+D149+D152+D153+D154+D158+D160++D166+D167+D169+D170+D172+D173+D174+D175+D176+D185+D186+D187+D198+D203+D205+D206+D213+D220+D221+D223+D224+D225+D230+D238+D240+D241+D242+D243+D245+D246+D247+D255+D264+D265+D268+D288+D289+D291+D292+D295+D296+D300+D306+D310+D318)-D322)/(D10*1.983)</f>
        <v>1566.0533892928602</v>
      </c>
      <c r="E317" s="227"/>
      <c r="F317" s="229">
        <f>+(F315-(F141+F142+F143+F144+F147+F148+F149+F152+F153+F154+F158+F160++F166+F167+F169+F170+F172+F173+F174+F175+F176+F185+F186+F187+F198+F203+F205+F206+F213+F220+F221+F223+F224+F225+F230+F238+F240+F241+F242+F243+F245+F246+F247+F255+F264+F265+F268+F288+F289+F291+F292+F295+F296+F300+F306+F310+F318)-F322)/(F10*1.983)</f>
        <v>2415.9522608841821</v>
      </c>
      <c r="G317" s="229">
        <f>+(G315-(G141+G142+G143+G144+G147+G148+G149+G152+G153+G154+G158+G160++G166+G167+G169+G170+G172+G173+G174+G175+G176+G185+G186+G187+G198+G203+G205+G206+G213+G220+G221+G223+G224+G225+G230+G238+G240+G241+G242+G243+G245+G246+G247+G255+G264+G265+G268+G288+G289+G291+G292+G295+G296+G300+G306+G310+G318)-G322)/(G10*1.983)</f>
        <v>2602.7036259821384</v>
      </c>
      <c r="H317" s="229">
        <f>+(H315-(H141+H142+H143+H144+H147+H148+H149+H152+H153+H154+H158+H160++H166+H167+H169+H170+H172+H173+H174+H175+H176+H185+H186+H187+H198+H203+H205+H206+H213+H220+H221+H223+H224+H225+H230+H238+H240+H241+H242+H243+H245+H246+H247+H255+H264+H265+H268+H288+H289+H291+H292+H295+H296+H300+H306+H310+H318)-H322)/(H10*1.983)</f>
        <v>3009.4469658766179</v>
      </c>
      <c r="I317" s="227"/>
      <c r="J317" s="229">
        <f>+(J315-(J141+J142+J143+J144+J147+J148+J149+J152+J153+J154+J158+J160++J166+J167+J169+J170+J172+J173+J174+J175+J176+J185+J186+J187+J198+J203+J205+J206+J213+J220+J221+J223+J224+J225+J230+J238+J240+J241+J242+J243+J245+J246+J247+J255+J264+J265+J268+J288+J289+J291+J292+J295+J296+J300+J306+J310+J318)-J322)/(J10*1.983)</f>
        <v>2919.6883184487497</v>
      </c>
      <c r="K317" s="229">
        <f>+(K315-(K141+K142+K143+K144+K147+K148+K149+K152+K153+K154+K158+K160++K166+K167+K169+K170+K172+K173+K174+K175+K176+K185+K186+K187+K198+K203+K205+K206+K213+K220+K221+K223+K224+K225+K230+K238+K240+K241+K242+K243+K245+K246+K247+K255+K264+K265+K268+K288+K289+K291+K292+K295+K296+K300+K306+K310+K318)-K322)/(K10*1.983)</f>
        <v>2784.1654059505795</v>
      </c>
      <c r="L317" s="229">
        <f>+(L315-(L141+L142+L143+L144+L147+L148+L149+L152+L153+L154+L158+L160++L166+L167+L169+L170+L172+L173+L174+L175+L176+L185+L186+L187+L198+L203+L205+L206+L213+L220+L221+L223+L224+L225+L230+L238+L240+L241+L242+L243+L245+L246+L247+L255+L264+L265+L268+L288+L289+L291+L292+L295+L296+L300+L306+L310+L318)-L322)/(L10*1.983)</f>
        <v>2334.2242393679608</v>
      </c>
      <c r="M317" s="227"/>
      <c r="N317" s="229">
        <f>+(N315-(N141+N142+N143+N144+N147+N148+N149+N152+N153+N154+N158+N160++N166+N167+N169+N170+N172+N173+N174+N175+N176+N185+N186+N187+N198+N203+N205+N206+N213+N220+N221+N223+N224+N225+N230+N238+N240+N241+N242+N243+N245+N246+N247+N255+N264+N265+N268+N288+N289+N291+N292+N295+N296+N300+N306+N310+N318)-N322)/(N10*1.983)</f>
        <v>1153.5308184080816</v>
      </c>
      <c r="O317" s="229">
        <f>+(O315-(O141+O142+O143+O144+O147+O148+O149+O152+O153+O154+O158+O160++O166+O167+O169+O170+O172+O173+O174+O175+O176+O185+O186+O187+O198+O203+O205+O206+O213+O220+O221+O223+O224+O225+O230+O238+O240+O241+O242+O243+O245+O246+O247+O255+O264+O265+O268+O288+O289+O291+O292+O295+O296+O300+O306+O310+O318)-O322)/(O10*1.983)</f>
        <v>1289.0906034627669</v>
      </c>
      <c r="P317" s="229">
        <f>+(P315-(P141+P142+P143+P144+P147+P148+P149+P152+P153+P154+P158+P160++P166+P167+P169+P170+P172+P173+P174+P175+P176+P185+P186+P187+P198+P203+P205+P206+P213+P220+P221+P223+P224+P225+P230+P238+P240+P241+P242+P243+P245+P246+P247+P255+P264+P265+P268+P288+P289+P291+P292+P295+P296+P300+P306+P310+P318)-P322)/(P10*1.983)</f>
        <v>918.58214175328999</v>
      </c>
      <c r="Q317" s="228"/>
      <c r="R317" s="227"/>
    </row>
    <row r="318" spans="1:20" ht="15.75" customHeight="1" x14ac:dyDescent="0.3">
      <c r="A318" s="541" t="s">
        <v>2272</v>
      </c>
      <c r="B318" s="172"/>
      <c r="C318" s="172"/>
      <c r="D318" s="172"/>
      <c r="E318" s="172"/>
      <c r="F318" s="172"/>
      <c r="G318" s="172"/>
      <c r="H318" s="172"/>
      <c r="I318" s="172"/>
      <c r="J318" s="172"/>
      <c r="K318" s="172"/>
      <c r="L318" s="172"/>
      <c r="M318" s="172"/>
      <c r="N318" s="172"/>
      <c r="O318" s="172"/>
      <c r="P318" s="172"/>
      <c r="Q318" s="172"/>
      <c r="R318" s="17"/>
    </row>
    <row r="319" spans="1:20" ht="15.75" customHeight="1" thickBot="1" x14ac:dyDescent="0.35">
      <c r="A319" s="18"/>
      <c r="B319" s="172"/>
      <c r="C319" s="172"/>
      <c r="D319" s="172"/>
      <c r="E319" s="172"/>
      <c r="F319" s="172"/>
      <c r="G319" s="172"/>
      <c r="H319" s="172"/>
      <c r="I319" s="172"/>
      <c r="J319" s="172"/>
      <c r="K319" s="172"/>
      <c r="L319" s="172"/>
      <c r="M319" s="172"/>
      <c r="N319" s="172"/>
      <c r="O319" s="172"/>
      <c r="P319" s="172"/>
      <c r="Q319" s="172"/>
      <c r="R319" s="17"/>
    </row>
    <row r="320" spans="1:20" ht="16.5" customHeight="1" thickBot="1" x14ac:dyDescent="0.35">
      <c r="A320" s="240" t="s">
        <v>1754</v>
      </c>
      <c r="B320" s="4" t="s">
        <v>2090</v>
      </c>
      <c r="C320" s="5" t="s">
        <v>2091</v>
      </c>
      <c r="D320" s="5" t="s">
        <v>2234</v>
      </c>
      <c r="E320" s="33" t="s">
        <v>1594</v>
      </c>
      <c r="F320" s="5" t="s">
        <v>2235</v>
      </c>
      <c r="G320" s="5" t="s">
        <v>2236</v>
      </c>
      <c r="H320" s="5" t="s">
        <v>2237</v>
      </c>
      <c r="I320" s="35" t="s">
        <v>1595</v>
      </c>
      <c r="J320" s="5" t="s">
        <v>1504</v>
      </c>
      <c r="K320" s="5" t="s">
        <v>1505</v>
      </c>
      <c r="L320" s="5" t="s">
        <v>1506</v>
      </c>
      <c r="M320" s="35" t="s">
        <v>1596</v>
      </c>
      <c r="N320" s="5" t="s">
        <v>1507</v>
      </c>
      <c r="O320" s="5" t="s">
        <v>1508</v>
      </c>
      <c r="P320" s="5" t="s">
        <v>1509</v>
      </c>
      <c r="Q320" s="35" t="s">
        <v>1597</v>
      </c>
      <c r="R320" s="36" t="s">
        <v>1510</v>
      </c>
    </row>
    <row r="321" spans="1:20" ht="16.5" customHeight="1" thickBot="1" x14ac:dyDescent="0.35">
      <c r="A321" s="44"/>
      <c r="B321" s="258"/>
      <c r="C321" s="258"/>
      <c r="D321" s="258"/>
      <c r="E321" s="265"/>
      <c r="F321" s="258"/>
      <c r="G321" s="258"/>
      <c r="H321" s="258"/>
      <c r="I321" s="265"/>
      <c r="J321" s="258"/>
      <c r="K321" s="258"/>
      <c r="L321" s="258"/>
      <c r="M321" s="265"/>
      <c r="N321" s="258"/>
      <c r="O321" s="258"/>
      <c r="P321" s="258"/>
      <c r="Q321" s="265"/>
      <c r="R321" s="52"/>
    </row>
    <row r="322" spans="1:20" ht="15.75" customHeight="1" thickBot="1" x14ac:dyDescent="0.35">
      <c r="A322" s="266" t="s">
        <v>1000</v>
      </c>
      <c r="B322" s="172">
        <v>-4721</v>
      </c>
      <c r="C322" s="172">
        <v>-14510</v>
      </c>
      <c r="D322" s="172">
        <v>-18985</v>
      </c>
      <c r="E322" s="38">
        <f>SUM(B322:D322)</f>
        <v>-38216</v>
      </c>
      <c r="F322" s="172">
        <v>-6618</v>
      </c>
      <c r="G322" s="172">
        <v>-4883</v>
      </c>
      <c r="H322" s="10">
        <v>-106895</v>
      </c>
      <c r="I322" s="38">
        <f>SUM(F322:H322)</f>
        <v>-118396</v>
      </c>
      <c r="J322" s="356">
        <v>-118035</v>
      </c>
      <c r="K322" s="10">
        <v>-157144</v>
      </c>
      <c r="L322" s="356">
        <v>-7983</v>
      </c>
      <c r="M322" s="38">
        <f>SUM(J322:L322)</f>
        <v>-283162</v>
      </c>
      <c r="N322" s="172"/>
      <c r="O322" s="172">
        <v>-109</v>
      </c>
      <c r="P322" s="172"/>
      <c r="Q322" s="38">
        <f>SUM(N322:P322)</f>
        <v>-109</v>
      </c>
      <c r="R322" s="38">
        <f>+E322+I322+M322+Q322</f>
        <v>-439883</v>
      </c>
    </row>
    <row r="323" spans="1:20" ht="16.5" customHeight="1" thickBot="1" x14ac:dyDescent="0.35">
      <c r="A323" s="272"/>
      <c r="B323" s="273"/>
      <c r="C323" s="273"/>
      <c r="D323" s="273"/>
      <c r="E323" s="53"/>
      <c r="F323" s="273"/>
      <c r="G323" s="273"/>
      <c r="H323" s="273"/>
      <c r="I323" s="53"/>
      <c r="J323" s="273"/>
      <c r="K323" s="273"/>
      <c r="L323" s="273"/>
      <c r="M323" s="53"/>
      <c r="N323" s="273"/>
      <c r="O323" s="273"/>
      <c r="P323" s="273"/>
      <c r="Q323" s="53"/>
      <c r="R323" s="54"/>
    </row>
    <row r="324" spans="1:20" ht="15.75" customHeight="1" x14ac:dyDescent="0.3">
      <c r="A324" s="234" t="s">
        <v>662</v>
      </c>
      <c r="B324" s="172">
        <f>B322</f>
        <v>-4721</v>
      </c>
      <c r="C324" s="172">
        <f>C322</f>
        <v>-14510</v>
      </c>
      <c r="D324" s="172">
        <f>D322</f>
        <v>-18985</v>
      </c>
      <c r="E324" s="38">
        <f>SUM(B324:D324)</f>
        <v>-38216</v>
      </c>
      <c r="F324" s="172">
        <f>F322</f>
        <v>-6618</v>
      </c>
      <c r="G324" s="172">
        <f>G322</f>
        <v>-4883</v>
      </c>
      <c r="H324" s="172">
        <f>H322</f>
        <v>-106895</v>
      </c>
      <c r="I324" s="38">
        <f>SUM(F324:H324)</f>
        <v>-118396</v>
      </c>
      <c r="J324" s="172">
        <f>J322</f>
        <v>-118035</v>
      </c>
      <c r="K324" s="172">
        <f>K322</f>
        <v>-157144</v>
      </c>
      <c r="L324" s="172">
        <f>L322</f>
        <v>-7983</v>
      </c>
      <c r="M324" s="38">
        <f>SUM(J324:L324)</f>
        <v>-283162</v>
      </c>
      <c r="N324" s="172">
        <f>N322</f>
        <v>0</v>
      </c>
      <c r="O324" s="172">
        <f>O322</f>
        <v>-109</v>
      </c>
      <c r="P324" s="172">
        <f>P322</f>
        <v>0</v>
      </c>
      <c r="Q324" s="38">
        <f>SUM(N324:P324)</f>
        <v>-109</v>
      </c>
      <c r="R324" s="55">
        <f>R322</f>
        <v>-439883</v>
      </c>
    </row>
    <row r="325" spans="1:20" ht="16.5" customHeight="1" thickBot="1" x14ac:dyDescent="0.35">
      <c r="A325" s="237" t="s">
        <v>1897</v>
      </c>
      <c r="B325" s="238">
        <f>(B324/B10)/1.983</f>
        <v>-76.797943812730779</v>
      </c>
      <c r="C325" s="238">
        <f>(C324/C10)/1.983</f>
        <v>-261.32843455082485</v>
      </c>
      <c r="D325" s="238">
        <f>(D324/D10)/1.983</f>
        <v>-308.83477298976783</v>
      </c>
      <c r="E325" s="40"/>
      <c r="F325" s="238">
        <f>(F324/F10)/1.983</f>
        <v>-111.24558749369641</v>
      </c>
      <c r="G325" s="238">
        <f>(G324/G10)/1.983</f>
        <v>-79.433247116620308</v>
      </c>
      <c r="H325" s="238">
        <f>(H324/H10)/1.983</f>
        <v>-1796.8566145570683</v>
      </c>
      <c r="I325" s="40"/>
      <c r="J325" s="238">
        <f>(J324/J10)/1.983</f>
        <v>-1920.1112683617196</v>
      </c>
      <c r="K325" s="238">
        <f>(K324/K10)/1.983</f>
        <v>-2556.3092739902067</v>
      </c>
      <c r="L325" s="238">
        <f>(L324/L10)/1.983</f>
        <v>-134.19062027231467</v>
      </c>
      <c r="M325" s="40"/>
      <c r="N325" s="238">
        <f>(N324/N10)/1.983</f>
        <v>0</v>
      </c>
      <c r="O325" s="238">
        <f>(O324/O10)/1.983</f>
        <v>-1.8322407127248277</v>
      </c>
      <c r="P325" s="238">
        <f>(P324/P10)/1.983</f>
        <v>0</v>
      </c>
      <c r="Q325" s="40"/>
      <c r="R325" s="52" t="s">
        <v>852</v>
      </c>
    </row>
    <row r="326" spans="1:20" ht="15.75" customHeight="1" x14ac:dyDescent="0.3">
      <c r="A326" s="17"/>
      <c r="B326" s="172"/>
      <c r="C326" s="172"/>
      <c r="D326" s="172"/>
      <c r="E326" s="172"/>
      <c r="F326" s="172"/>
      <c r="G326" s="172"/>
      <c r="H326" s="172"/>
      <c r="I326" s="172"/>
      <c r="J326" s="172"/>
      <c r="K326" s="172"/>
      <c r="L326" s="172"/>
      <c r="M326" s="172"/>
      <c r="N326" s="172"/>
      <c r="O326" s="172"/>
      <c r="P326" s="172"/>
      <c r="Q326" s="172"/>
      <c r="R326" s="17"/>
    </row>
    <row r="327" spans="1:20" ht="16.5" customHeight="1" thickBot="1" x14ac:dyDescent="0.35">
      <c r="A327" s="24"/>
      <c r="B327" s="238"/>
      <c r="C327" s="238"/>
      <c r="D327" s="238"/>
      <c r="E327" s="238"/>
      <c r="F327" s="238"/>
      <c r="G327" s="238"/>
      <c r="H327" s="238"/>
      <c r="I327" s="238"/>
      <c r="J327" s="238"/>
      <c r="K327" s="238"/>
      <c r="L327" s="238"/>
      <c r="M327" s="238"/>
      <c r="N327" s="238"/>
      <c r="O327" s="238"/>
      <c r="P327" s="238"/>
      <c r="Q327" s="238"/>
      <c r="R327" s="24"/>
    </row>
    <row r="328" spans="1:20" ht="16.5" customHeight="1" thickBot="1" x14ac:dyDescent="0.35">
      <c r="A328" s="274" t="s">
        <v>89</v>
      </c>
      <c r="B328" s="4" t="s">
        <v>2090</v>
      </c>
      <c r="C328" s="5" t="s">
        <v>2091</v>
      </c>
      <c r="D328" s="5" t="s">
        <v>2234</v>
      </c>
      <c r="E328" s="33" t="s">
        <v>1594</v>
      </c>
      <c r="F328" s="5" t="s">
        <v>2235</v>
      </c>
      <c r="G328" s="5" t="s">
        <v>2236</v>
      </c>
      <c r="H328" s="5" t="s">
        <v>2237</v>
      </c>
      <c r="I328" s="35" t="s">
        <v>1595</v>
      </c>
      <c r="J328" s="5" t="s">
        <v>1504</v>
      </c>
      <c r="K328" s="5" t="s">
        <v>1505</v>
      </c>
      <c r="L328" s="5" t="s">
        <v>1506</v>
      </c>
      <c r="M328" s="35" t="s">
        <v>1596</v>
      </c>
      <c r="N328" s="5" t="s">
        <v>1507</v>
      </c>
      <c r="O328" s="5" t="s">
        <v>1508</v>
      </c>
      <c r="P328" s="5" t="s">
        <v>1509</v>
      </c>
      <c r="Q328" s="35" t="s">
        <v>1597</v>
      </c>
      <c r="R328" s="36" t="s">
        <v>1510</v>
      </c>
    </row>
    <row r="329" spans="1:20" ht="16.5" customHeight="1" thickBot="1" x14ac:dyDescent="0.35">
      <c r="A329" s="37"/>
      <c r="B329" s="258"/>
      <c r="C329" s="258"/>
      <c r="D329" s="258"/>
      <c r="E329" s="254"/>
      <c r="F329" s="258"/>
      <c r="G329" s="258"/>
      <c r="H329" s="258"/>
      <c r="I329" s="265"/>
      <c r="J329" s="258"/>
      <c r="K329" s="258"/>
      <c r="L329" s="258"/>
      <c r="M329" s="265"/>
      <c r="N329" s="258"/>
      <c r="O329" s="258"/>
      <c r="P329" s="258"/>
      <c r="Q329" s="265"/>
      <c r="R329" s="55"/>
    </row>
    <row r="330" spans="1:20" ht="15.75" customHeight="1" x14ac:dyDescent="0.3">
      <c r="A330" s="234" t="s">
        <v>2417</v>
      </c>
      <c r="B330" s="10"/>
      <c r="C330" s="10"/>
      <c r="D330" s="10"/>
      <c r="E330" s="38" t="s">
        <v>852</v>
      </c>
      <c r="F330" s="10" t="s">
        <v>852</v>
      </c>
      <c r="G330" s="10" t="s">
        <v>852</v>
      </c>
      <c r="H330" s="10" t="s">
        <v>852</v>
      </c>
      <c r="I330" s="38" t="s">
        <v>852</v>
      </c>
      <c r="J330" s="10" t="s">
        <v>852</v>
      </c>
      <c r="K330" s="10" t="s">
        <v>852</v>
      </c>
      <c r="L330" s="10" t="s">
        <v>852</v>
      </c>
      <c r="M330" s="38" t="s">
        <v>852</v>
      </c>
      <c r="N330" s="10" t="s">
        <v>852</v>
      </c>
      <c r="O330" s="10" t="s">
        <v>852</v>
      </c>
      <c r="P330" s="10" t="s">
        <v>852</v>
      </c>
      <c r="Q330" s="38" t="s">
        <v>852</v>
      </c>
      <c r="R330" s="39" t="s">
        <v>852</v>
      </c>
    </row>
    <row r="331" spans="1:20" ht="15.75" customHeight="1" x14ac:dyDescent="0.3">
      <c r="A331" s="234" t="s">
        <v>2160</v>
      </c>
      <c r="B331" s="10"/>
      <c r="C331" s="10"/>
      <c r="D331" s="10"/>
      <c r="E331" s="38" t="s">
        <v>852</v>
      </c>
      <c r="F331" s="10"/>
      <c r="G331" s="10"/>
      <c r="H331" s="10"/>
      <c r="I331" s="38" t="s">
        <v>852</v>
      </c>
      <c r="J331" s="10"/>
      <c r="K331" s="10"/>
      <c r="L331" s="10"/>
      <c r="M331" s="38" t="s">
        <v>852</v>
      </c>
      <c r="N331" s="10"/>
      <c r="O331" s="10"/>
      <c r="P331" s="10"/>
      <c r="Q331" s="38" t="s">
        <v>852</v>
      </c>
      <c r="R331" s="38" t="s">
        <v>852</v>
      </c>
    </row>
    <row r="332" spans="1:20" ht="15.75" customHeight="1" x14ac:dyDescent="0.3">
      <c r="A332" s="410" t="s">
        <v>2869</v>
      </c>
      <c r="B332" s="10"/>
      <c r="C332" s="10"/>
      <c r="D332" s="10"/>
      <c r="E332" s="38">
        <f t="shared" ref="E332:E358" si="124">SUM(B332:D332)</f>
        <v>0</v>
      </c>
      <c r="F332" s="10"/>
      <c r="G332" s="10">
        <v>108</v>
      </c>
      <c r="H332" s="10">
        <v>122</v>
      </c>
      <c r="I332" s="38">
        <f t="shared" ref="I332:I358" si="125">SUM(F332:H332)</f>
        <v>230</v>
      </c>
      <c r="J332" s="10">
        <f>104+2+4</f>
        <v>110</v>
      </c>
      <c r="K332" s="10">
        <f>120+1</f>
        <v>121</v>
      </c>
      <c r="L332" s="10">
        <f>104+2</f>
        <v>106</v>
      </c>
      <c r="M332" s="38">
        <f t="shared" ref="M332:M358" si="126">SUM(J332:L332)</f>
        <v>337</v>
      </c>
      <c r="N332" s="10">
        <v>67</v>
      </c>
      <c r="O332" s="10">
        <f>82+1</f>
        <v>83</v>
      </c>
      <c r="P332" s="10">
        <f>108+1</f>
        <v>109</v>
      </c>
      <c r="Q332" s="38">
        <f t="shared" ref="Q332:Q361" si="127">SUM(N332:P332)</f>
        <v>259</v>
      </c>
      <c r="R332" s="38">
        <f t="shared" ref="R332:R361" si="128">+E332+I332+M332+Q332</f>
        <v>826</v>
      </c>
      <c r="T332" t="s">
        <v>2870</v>
      </c>
    </row>
    <row r="333" spans="1:20" ht="15.75" customHeight="1" x14ac:dyDescent="0.3">
      <c r="A333" s="410" t="s">
        <v>2993</v>
      </c>
      <c r="B333" s="10"/>
      <c r="C333" s="10"/>
      <c r="D333" s="10"/>
      <c r="E333" s="38">
        <f t="shared" si="124"/>
        <v>0</v>
      </c>
      <c r="F333" s="10"/>
      <c r="G333" s="10">
        <v>34</v>
      </c>
      <c r="H333" s="10"/>
      <c r="I333" s="38">
        <f t="shared" si="125"/>
        <v>34</v>
      </c>
      <c r="J333" s="10"/>
      <c r="K333" s="10"/>
      <c r="L333" s="10"/>
      <c r="M333" s="38">
        <f t="shared" si="126"/>
        <v>0</v>
      </c>
      <c r="N333" s="10"/>
      <c r="O333" s="10"/>
      <c r="P333" s="10"/>
      <c r="Q333" s="38">
        <f t="shared" si="127"/>
        <v>0</v>
      </c>
      <c r="R333" s="38">
        <f t="shared" si="128"/>
        <v>34</v>
      </c>
    </row>
    <row r="334" spans="1:20" ht="15.75" customHeight="1" x14ac:dyDescent="0.3">
      <c r="A334" s="410" t="s">
        <v>349</v>
      </c>
      <c r="B334" s="10">
        <v>38</v>
      </c>
      <c r="C334" s="10">
        <v>76</v>
      </c>
      <c r="D334" s="10">
        <v>96</v>
      </c>
      <c r="E334" s="38">
        <f t="shared" si="124"/>
        <v>210</v>
      </c>
      <c r="F334" s="10">
        <v>285</v>
      </c>
      <c r="G334" s="10">
        <v>307</v>
      </c>
      <c r="H334" s="10">
        <v>346</v>
      </c>
      <c r="I334" s="38">
        <f t="shared" si="125"/>
        <v>938</v>
      </c>
      <c r="J334" s="10">
        <v>334</v>
      </c>
      <c r="K334" s="10">
        <v>264</v>
      </c>
      <c r="L334" s="10">
        <v>286</v>
      </c>
      <c r="M334" s="38">
        <f t="shared" si="126"/>
        <v>884</v>
      </c>
      <c r="N334" s="10">
        <v>250</v>
      </c>
      <c r="O334" s="10">
        <v>177</v>
      </c>
      <c r="P334" s="10">
        <v>63</v>
      </c>
      <c r="Q334" s="38">
        <f t="shared" si="127"/>
        <v>490</v>
      </c>
      <c r="R334" s="38">
        <f t="shared" si="128"/>
        <v>2522</v>
      </c>
      <c r="T334" t="s">
        <v>2174</v>
      </c>
    </row>
    <row r="335" spans="1:20" ht="15.75" customHeight="1" x14ac:dyDescent="0.3">
      <c r="A335" s="410" t="s">
        <v>3238</v>
      </c>
      <c r="B335" s="10"/>
      <c r="C335" s="10"/>
      <c r="D335" s="10"/>
      <c r="E335" s="38">
        <f>SUM(B335:D335)</f>
        <v>0</v>
      </c>
      <c r="F335" s="10"/>
      <c r="G335" s="10"/>
      <c r="H335" s="10"/>
      <c r="I335" s="38">
        <f t="shared" ref="I335" si="129">SUM(F335:H335)</f>
        <v>0</v>
      </c>
      <c r="J335" s="10"/>
      <c r="K335" s="10"/>
      <c r="L335" s="10"/>
      <c r="M335" s="38">
        <f t="shared" ref="M335" si="130">SUM(J335:L335)</f>
        <v>0</v>
      </c>
      <c r="N335" s="10"/>
      <c r="O335" s="10"/>
      <c r="P335" s="10"/>
      <c r="Q335" s="38">
        <f t="shared" ref="Q335" si="131">SUM(N335:P335)</f>
        <v>0</v>
      </c>
      <c r="R335" s="38">
        <f t="shared" ref="R335" si="132">+E335+I335+M335+Q335</f>
        <v>0</v>
      </c>
      <c r="T335" t="s">
        <v>2776</v>
      </c>
    </row>
    <row r="336" spans="1:20" ht="15.75" customHeight="1" x14ac:dyDescent="0.3">
      <c r="A336" s="410" t="s">
        <v>3065</v>
      </c>
      <c r="B336" s="10"/>
      <c r="C336" s="10"/>
      <c r="D336" s="10"/>
      <c r="E336" s="38">
        <f t="shared" si="124"/>
        <v>0</v>
      </c>
      <c r="F336" s="10"/>
      <c r="G336" s="10"/>
      <c r="H336" s="10">
        <v>300</v>
      </c>
      <c r="I336" s="38">
        <f t="shared" si="125"/>
        <v>300</v>
      </c>
      <c r="J336" s="10"/>
      <c r="K336" s="10"/>
      <c r="L336" s="10"/>
      <c r="M336" s="38">
        <f t="shared" si="126"/>
        <v>0</v>
      </c>
      <c r="N336" s="10"/>
      <c r="O336" s="10"/>
      <c r="P336" s="10"/>
      <c r="Q336" s="38">
        <f t="shared" si="127"/>
        <v>0</v>
      </c>
      <c r="R336" s="38">
        <f t="shared" si="128"/>
        <v>300</v>
      </c>
      <c r="T336" t="s">
        <v>2776</v>
      </c>
    </row>
    <row r="337" spans="1:20" ht="15.75" customHeight="1" x14ac:dyDescent="0.3">
      <c r="A337" s="410" t="s">
        <v>2983</v>
      </c>
      <c r="C337" s="10"/>
      <c r="D337" s="10"/>
      <c r="E337" s="38">
        <f>SUM(B337:D337)</f>
        <v>0</v>
      </c>
      <c r="F337" s="10"/>
      <c r="G337" s="10"/>
      <c r="H337" s="10">
        <v>2250</v>
      </c>
      <c r="I337" s="38">
        <f>SUM(F337:H337)</f>
        <v>2250</v>
      </c>
      <c r="J337" s="10"/>
      <c r="K337" s="10"/>
      <c r="L337" s="10"/>
      <c r="M337" s="38">
        <f t="shared" ref="M337:M342" si="133">SUM(J337:L337)</f>
        <v>0</v>
      </c>
      <c r="N337" s="10"/>
      <c r="O337" s="10"/>
      <c r="P337" s="10">
        <v>134</v>
      </c>
      <c r="Q337" s="38">
        <f>SUM(N337:P337)</f>
        <v>134</v>
      </c>
      <c r="R337" s="38">
        <f t="shared" si="128"/>
        <v>2384</v>
      </c>
      <c r="T337" t="s">
        <v>2174</v>
      </c>
    </row>
    <row r="338" spans="1:20" ht="15.75" customHeight="1" x14ac:dyDescent="0.3">
      <c r="A338" s="410" t="s">
        <v>3066</v>
      </c>
      <c r="B338" s="10"/>
      <c r="C338" s="10"/>
      <c r="D338" s="10"/>
      <c r="E338" s="38">
        <f t="shared" ref="E338:E342" si="134">SUM(B338:D338)</f>
        <v>0</v>
      </c>
      <c r="F338" s="10"/>
      <c r="G338" s="10"/>
      <c r="H338" s="10">
        <v>2000</v>
      </c>
      <c r="I338" s="38">
        <f t="shared" ref="I338:I342" si="135">SUM(F338:H338)</f>
        <v>2000</v>
      </c>
      <c r="J338" s="10"/>
      <c r="K338" s="10"/>
      <c r="L338" s="10"/>
      <c r="M338" s="38">
        <f t="shared" si="133"/>
        <v>0</v>
      </c>
      <c r="N338" s="10"/>
      <c r="O338" s="10"/>
      <c r="P338" s="10"/>
      <c r="Q338" s="38">
        <f>SUM(N338:P338)</f>
        <v>0</v>
      </c>
      <c r="R338" s="38">
        <f t="shared" si="128"/>
        <v>2000</v>
      </c>
      <c r="T338" t="s">
        <v>2776</v>
      </c>
    </row>
    <row r="339" spans="1:20" ht="15.75" customHeight="1" x14ac:dyDescent="0.3">
      <c r="A339" s="410" t="s">
        <v>2873</v>
      </c>
      <c r="B339" s="10">
        <v>74</v>
      </c>
      <c r="C339" s="10">
        <v>122</v>
      </c>
      <c r="D339" s="10">
        <v>180</v>
      </c>
      <c r="E339" s="38">
        <f t="shared" si="134"/>
        <v>376</v>
      </c>
      <c r="F339" s="10">
        <v>327</v>
      </c>
      <c r="G339" s="10">
        <v>454</v>
      </c>
      <c r="H339" s="10">
        <v>380</v>
      </c>
      <c r="I339" s="38">
        <f t="shared" si="135"/>
        <v>1161</v>
      </c>
      <c r="J339" s="10">
        <f>66+354</f>
        <v>420</v>
      </c>
      <c r="K339" s="10">
        <f>46+274</f>
        <v>320</v>
      </c>
      <c r="L339" s="10">
        <f>47+287</f>
        <v>334</v>
      </c>
      <c r="M339" s="38">
        <f t="shared" si="133"/>
        <v>1074</v>
      </c>
      <c r="N339" s="10">
        <f>31+179</f>
        <v>210</v>
      </c>
      <c r="O339" s="10">
        <f>24+151</f>
        <v>175</v>
      </c>
      <c r="P339" s="10">
        <f>18+70</f>
        <v>88</v>
      </c>
      <c r="Q339" s="38">
        <f>SUM(N339:P339)</f>
        <v>473</v>
      </c>
      <c r="R339" s="38">
        <f>+E339+I339+M339+Q339</f>
        <v>3084</v>
      </c>
      <c r="T339" t="s">
        <v>2871</v>
      </c>
    </row>
    <row r="340" spans="1:20" ht="15.75" customHeight="1" x14ac:dyDescent="0.3">
      <c r="A340" s="410" t="s">
        <v>3045</v>
      </c>
      <c r="B340" s="10"/>
      <c r="C340" s="10"/>
      <c r="D340" s="10"/>
      <c r="E340" s="38">
        <f t="shared" si="134"/>
        <v>0</v>
      </c>
      <c r="F340" s="10"/>
      <c r="G340" s="10">
        <v>3200</v>
      </c>
      <c r="H340" s="10"/>
      <c r="I340" s="38">
        <f t="shared" si="135"/>
        <v>3200</v>
      </c>
      <c r="J340" s="10"/>
      <c r="K340" s="10"/>
      <c r="L340" s="10"/>
      <c r="M340" s="38">
        <f t="shared" si="133"/>
        <v>0</v>
      </c>
      <c r="N340" s="10"/>
      <c r="O340" s="10"/>
      <c r="P340" s="10"/>
      <c r="Q340" s="38">
        <f>SUM(N340:P340)</f>
        <v>0</v>
      </c>
      <c r="R340" s="38">
        <f>+E340+I340+M340+Q340</f>
        <v>3200</v>
      </c>
      <c r="T340" t="s">
        <v>2178</v>
      </c>
    </row>
    <row r="341" spans="1:20" ht="15.75" customHeight="1" x14ac:dyDescent="0.3">
      <c r="A341" s="410" t="s">
        <v>3137</v>
      </c>
      <c r="B341" s="10"/>
      <c r="C341" s="10"/>
      <c r="D341" s="10"/>
      <c r="E341" s="38">
        <f t="shared" si="134"/>
        <v>0</v>
      </c>
      <c r="F341" s="10"/>
      <c r="G341" s="10"/>
      <c r="H341" s="10">
        <v>1146</v>
      </c>
      <c r="I341" s="38">
        <f t="shared" si="135"/>
        <v>1146</v>
      </c>
      <c r="J341" s="10">
        <v>6306</v>
      </c>
      <c r="K341" s="10">
        <v>5574</v>
      </c>
      <c r="L341" s="10">
        <v>5555</v>
      </c>
      <c r="M341" s="38">
        <f t="shared" si="133"/>
        <v>17435</v>
      </c>
      <c r="N341" s="10">
        <v>1867</v>
      </c>
      <c r="O341" s="10">
        <v>552</v>
      </c>
      <c r="P341" s="10"/>
      <c r="Q341" s="38">
        <f t="shared" ref="Q341" si="136">SUM(N341:P341)</f>
        <v>2419</v>
      </c>
      <c r="R341" s="38">
        <f>+E341+I341+M341+Q341</f>
        <v>21000</v>
      </c>
    </row>
    <row r="342" spans="1:20" ht="15.75" customHeight="1" x14ac:dyDescent="0.3">
      <c r="A342" s="410" t="s">
        <v>3255</v>
      </c>
      <c r="B342" s="10"/>
      <c r="C342" s="10"/>
      <c r="D342" s="10">
        <v>315</v>
      </c>
      <c r="E342" s="38">
        <f t="shared" si="134"/>
        <v>315</v>
      </c>
      <c r="F342" s="10"/>
      <c r="G342" s="10"/>
      <c r="H342" s="10"/>
      <c r="I342" s="38">
        <f t="shared" si="135"/>
        <v>0</v>
      </c>
      <c r="J342" s="10"/>
      <c r="K342" s="10"/>
      <c r="L342" s="10"/>
      <c r="M342" s="38">
        <f t="shared" si="133"/>
        <v>0</v>
      </c>
      <c r="N342" s="10"/>
      <c r="O342" s="10"/>
      <c r="P342" s="10"/>
      <c r="Q342" s="38">
        <f>SUM(N342:P342)</f>
        <v>0</v>
      </c>
      <c r="R342" s="38">
        <f>+E342+I342+M342+Q342</f>
        <v>315</v>
      </c>
      <c r="S342" s="736" t="s">
        <v>3213</v>
      </c>
    </row>
    <row r="343" spans="1:20" ht="15.75" customHeight="1" x14ac:dyDescent="0.3">
      <c r="A343" s="410" t="s">
        <v>3147</v>
      </c>
      <c r="B343" s="10"/>
      <c r="C343" s="10"/>
      <c r="D343" s="10"/>
      <c r="E343" s="38">
        <f>SUM(B343:D343)</f>
        <v>0</v>
      </c>
      <c r="F343" s="10"/>
      <c r="G343" s="10"/>
      <c r="H343" s="10"/>
      <c r="I343" s="38">
        <f t="shared" ref="I343:I344" si="137">SUM(F343:H343)</f>
        <v>0</v>
      </c>
      <c r="J343" s="10"/>
      <c r="K343" s="10"/>
      <c r="L343" s="10"/>
      <c r="M343" s="38">
        <f t="shared" ref="M343:M344" si="138">SUM(J343:L343)</f>
        <v>0</v>
      </c>
      <c r="N343" s="10"/>
      <c r="O343" s="10"/>
      <c r="P343" s="10"/>
      <c r="Q343" s="38">
        <f t="shared" ref="Q343:Q344" si="139">SUM(N343:P343)</f>
        <v>0</v>
      </c>
      <c r="R343" s="38">
        <f t="shared" ref="R343:R344" si="140">+E343+I343+M343+Q343</f>
        <v>0</v>
      </c>
    </row>
    <row r="344" spans="1:20" ht="15.75" customHeight="1" x14ac:dyDescent="0.3">
      <c r="A344" s="410" t="s">
        <v>2743</v>
      </c>
      <c r="B344" s="10"/>
      <c r="C344" s="10"/>
      <c r="D344" s="10">
        <v>28</v>
      </c>
      <c r="E344" s="38">
        <f>SUM(B344:D344)</f>
        <v>28</v>
      </c>
      <c r="F344" s="10">
        <v>2000</v>
      </c>
      <c r="G344" s="10"/>
      <c r="H344" s="10"/>
      <c r="I344" s="38">
        <f t="shared" si="137"/>
        <v>2000</v>
      </c>
      <c r="J344" s="10"/>
      <c r="K344" s="10"/>
      <c r="L344" s="10">
        <v>600</v>
      </c>
      <c r="M344" s="38">
        <f t="shared" si="138"/>
        <v>600</v>
      </c>
      <c r="N344" s="10"/>
      <c r="O344" s="10"/>
      <c r="P344" s="10"/>
      <c r="Q344" s="38">
        <f t="shared" si="139"/>
        <v>0</v>
      </c>
      <c r="R344" s="38">
        <f t="shared" si="140"/>
        <v>2628</v>
      </c>
      <c r="T344" t="s">
        <v>1358</v>
      </c>
    </row>
    <row r="345" spans="1:20" ht="15.75" customHeight="1" x14ac:dyDescent="0.3">
      <c r="A345" s="410" t="s">
        <v>2744</v>
      </c>
      <c r="B345" s="10"/>
      <c r="C345" s="10"/>
      <c r="D345" s="10"/>
      <c r="E345" s="38">
        <f t="shared" ref="E345:E346" si="141">SUM(B345:D345)</f>
        <v>0</v>
      </c>
      <c r="F345" s="10"/>
      <c r="G345" s="10"/>
      <c r="H345" s="10"/>
      <c r="I345" s="38">
        <f t="shared" ref="I345:I346" si="142">SUM(F345:H345)</f>
        <v>0</v>
      </c>
      <c r="J345" s="10"/>
      <c r="K345" s="10">
        <v>187</v>
      </c>
      <c r="L345" s="10">
        <v>1617</v>
      </c>
      <c r="M345" s="38">
        <f t="shared" ref="M345:M346" si="143">SUM(J345:L345)</f>
        <v>1804</v>
      </c>
      <c r="N345" s="10">
        <v>1684</v>
      </c>
      <c r="O345" s="10">
        <v>1285</v>
      </c>
      <c r="P345" s="10">
        <v>1125</v>
      </c>
      <c r="Q345" s="38">
        <f t="shared" si="127"/>
        <v>4094</v>
      </c>
      <c r="R345" s="38">
        <f t="shared" si="128"/>
        <v>5898</v>
      </c>
      <c r="T345" t="s">
        <v>2780</v>
      </c>
    </row>
    <row r="346" spans="1:20" ht="15.75" customHeight="1" x14ac:dyDescent="0.3">
      <c r="A346" s="410" t="s">
        <v>2608</v>
      </c>
      <c r="B346" s="10"/>
      <c r="C346" s="10"/>
      <c r="D346" s="10"/>
      <c r="E346" s="38">
        <f t="shared" si="141"/>
        <v>0</v>
      </c>
      <c r="F346" s="10"/>
      <c r="G346" s="10"/>
      <c r="H346" s="10">
        <v>1600</v>
      </c>
      <c r="I346" s="38">
        <f t="shared" si="142"/>
        <v>1600</v>
      </c>
      <c r="J346" s="10"/>
      <c r="K346" s="10"/>
      <c r="L346" s="10"/>
      <c r="M346" s="38">
        <f t="shared" si="143"/>
        <v>0</v>
      </c>
      <c r="N346" s="10"/>
      <c r="O346" s="10"/>
      <c r="P346" s="10"/>
      <c r="Q346" s="38">
        <f t="shared" si="127"/>
        <v>0</v>
      </c>
      <c r="R346" s="38">
        <f t="shared" si="128"/>
        <v>1600</v>
      </c>
      <c r="T346" t="s">
        <v>2174</v>
      </c>
    </row>
    <row r="347" spans="1:20" ht="15.75" customHeight="1" x14ac:dyDescent="0.3">
      <c r="A347" s="410" t="s">
        <v>2607</v>
      </c>
      <c r="B347" s="10"/>
      <c r="C347" s="10"/>
      <c r="D347" s="10"/>
      <c r="E347" s="38">
        <f t="shared" si="124"/>
        <v>0</v>
      </c>
      <c r="F347" s="10"/>
      <c r="G347" s="10"/>
      <c r="H347" s="10"/>
      <c r="I347" s="38">
        <f t="shared" si="125"/>
        <v>0</v>
      </c>
      <c r="J347" s="10"/>
      <c r="K347" s="10"/>
      <c r="L347" s="10"/>
      <c r="M347" s="38">
        <f t="shared" si="126"/>
        <v>0</v>
      </c>
      <c r="N347" s="10"/>
      <c r="O347" s="10"/>
      <c r="P347" s="10"/>
      <c r="Q347" s="38">
        <f t="shared" si="127"/>
        <v>0</v>
      </c>
      <c r="R347" s="38">
        <f t="shared" si="128"/>
        <v>0</v>
      </c>
      <c r="T347" t="s">
        <v>2174</v>
      </c>
    </row>
    <row r="348" spans="1:20" ht="15.75" customHeight="1" x14ac:dyDescent="0.3">
      <c r="A348" s="410" t="s">
        <v>3205</v>
      </c>
      <c r="B348" s="10">
        <v>1163</v>
      </c>
      <c r="C348" s="10">
        <v>265</v>
      </c>
      <c r="D348" s="10"/>
      <c r="E348" s="38">
        <f t="shared" si="124"/>
        <v>1428</v>
      </c>
      <c r="F348" s="10"/>
      <c r="G348" s="10"/>
      <c r="H348" s="10"/>
      <c r="I348" s="38">
        <f t="shared" si="125"/>
        <v>0</v>
      </c>
      <c r="J348" s="10"/>
      <c r="K348" s="10"/>
      <c r="L348" s="10"/>
      <c r="M348" s="38">
        <f t="shared" si="126"/>
        <v>0</v>
      </c>
      <c r="N348" s="10"/>
      <c r="O348" s="10"/>
      <c r="P348" s="10"/>
      <c r="Q348" s="38">
        <f t="shared" si="127"/>
        <v>0</v>
      </c>
      <c r="R348" s="38">
        <f t="shared" si="128"/>
        <v>1428</v>
      </c>
    </row>
    <row r="349" spans="1:20" ht="15.75" customHeight="1" x14ac:dyDescent="0.3">
      <c r="A349" s="410" t="s">
        <v>2692</v>
      </c>
      <c r="B349" s="10"/>
      <c r="C349" s="10"/>
      <c r="D349" s="10"/>
      <c r="E349" s="38">
        <f>SUM(B349:D349)</f>
        <v>0</v>
      </c>
      <c r="F349" s="10"/>
      <c r="G349" s="10"/>
      <c r="H349" s="10"/>
      <c r="I349" s="38">
        <f>SUM(F349:H349)</f>
        <v>0</v>
      </c>
      <c r="J349" s="10"/>
      <c r="K349" s="10"/>
      <c r="L349" s="10"/>
      <c r="M349" s="38">
        <f t="shared" si="126"/>
        <v>0</v>
      </c>
      <c r="N349" s="10"/>
      <c r="O349" s="10"/>
      <c r="P349" s="10"/>
      <c r="Q349" s="38">
        <f>SUM(N349:P349)</f>
        <v>0</v>
      </c>
      <c r="R349" s="38">
        <f t="shared" si="128"/>
        <v>0</v>
      </c>
      <c r="T349" t="s">
        <v>1358</v>
      </c>
    </row>
    <row r="350" spans="1:20" ht="15.75" customHeight="1" x14ac:dyDescent="0.3">
      <c r="A350" s="410" t="s">
        <v>347</v>
      </c>
      <c r="B350" s="10"/>
      <c r="C350" s="10"/>
      <c r="D350" s="10"/>
      <c r="E350" s="38">
        <f t="shared" ref="E350" si="144">SUM(B350:D350)</f>
        <v>0</v>
      </c>
      <c r="F350" s="10"/>
      <c r="G350" s="10"/>
      <c r="H350" s="10"/>
      <c r="I350" s="38">
        <f t="shared" ref="I350" si="145">SUM(F350:H350)</f>
        <v>0</v>
      </c>
      <c r="J350" s="10"/>
      <c r="K350" s="10">
        <v>994</v>
      </c>
      <c r="L350" s="10">
        <v>1713</v>
      </c>
      <c r="M350" s="38">
        <f t="shared" si="126"/>
        <v>2707</v>
      </c>
      <c r="N350" s="10">
        <v>1735</v>
      </c>
      <c r="O350" s="10">
        <v>1377</v>
      </c>
      <c r="P350" s="10">
        <v>1016</v>
      </c>
      <c r="Q350" s="38">
        <f t="shared" si="127"/>
        <v>4128</v>
      </c>
      <c r="R350" s="38">
        <f t="shared" si="128"/>
        <v>6835</v>
      </c>
      <c r="T350" t="s">
        <v>2780</v>
      </c>
    </row>
    <row r="351" spans="1:20" ht="15.75" customHeight="1" x14ac:dyDescent="0.3">
      <c r="A351" s="410" t="s">
        <v>2954</v>
      </c>
      <c r="B351" s="10"/>
      <c r="C351" s="10"/>
      <c r="D351" s="10"/>
      <c r="E351" s="38">
        <f>SUM(B351:D351)</f>
        <v>0</v>
      </c>
      <c r="F351" s="10"/>
      <c r="G351" s="10"/>
      <c r="H351" s="10"/>
      <c r="I351" s="38">
        <f>SUM(F351:H351)</f>
        <v>0</v>
      </c>
      <c r="J351" s="10"/>
      <c r="K351" s="10"/>
      <c r="L351" s="10"/>
      <c r="M351" s="38">
        <f>SUM(J351:L351)</f>
        <v>0</v>
      </c>
      <c r="N351" s="10"/>
      <c r="O351" s="10"/>
      <c r="P351" s="10"/>
      <c r="Q351" s="38">
        <f>SUM(N351:P351)</f>
        <v>0</v>
      </c>
      <c r="R351" s="38">
        <f t="shared" si="128"/>
        <v>0</v>
      </c>
      <c r="T351" t="s">
        <v>1358</v>
      </c>
    </row>
    <row r="352" spans="1:20" ht="15.75" customHeight="1" x14ac:dyDescent="0.3">
      <c r="A352" s="410" t="s">
        <v>2593</v>
      </c>
      <c r="B352" s="10"/>
      <c r="C352" s="10"/>
      <c r="D352" s="10"/>
      <c r="E352" s="38">
        <f t="shared" si="124"/>
        <v>0</v>
      </c>
      <c r="F352" s="10"/>
      <c r="G352" s="10"/>
      <c r="H352" s="10"/>
      <c r="I352" s="38">
        <f t="shared" si="125"/>
        <v>0</v>
      </c>
      <c r="J352" s="10"/>
      <c r="K352" s="10"/>
      <c r="L352" s="10"/>
      <c r="M352" s="38">
        <f t="shared" si="126"/>
        <v>0</v>
      </c>
      <c r="N352" s="10"/>
      <c r="O352" s="10"/>
      <c r="P352" s="10"/>
      <c r="Q352" s="38">
        <f t="shared" si="127"/>
        <v>0</v>
      </c>
      <c r="R352" s="38">
        <f t="shared" si="128"/>
        <v>0</v>
      </c>
      <c r="S352" s="538"/>
      <c r="T352" t="s">
        <v>2175</v>
      </c>
    </row>
    <row r="353" spans="1:20" ht="15.75" customHeight="1" x14ac:dyDescent="0.3">
      <c r="A353" s="410" t="s">
        <v>3056</v>
      </c>
      <c r="B353" s="10">
        <v>28</v>
      </c>
      <c r="C353" s="10">
        <v>25</v>
      </c>
      <c r="D353" s="10">
        <v>49</v>
      </c>
      <c r="E353" s="38">
        <f t="shared" si="124"/>
        <v>102</v>
      </c>
      <c r="F353" s="10">
        <v>43</v>
      </c>
      <c r="G353" s="10">
        <v>78</v>
      </c>
      <c r="H353" s="10">
        <v>69</v>
      </c>
      <c r="I353" s="38">
        <f>SUM(F353:H353)</f>
        <v>190</v>
      </c>
      <c r="J353" s="10">
        <v>74</v>
      </c>
      <c r="K353" s="10">
        <v>56</v>
      </c>
      <c r="L353" s="10">
        <v>11</v>
      </c>
      <c r="M353" s="38">
        <f>SUM(J353:L353)</f>
        <v>141</v>
      </c>
      <c r="N353" s="10"/>
      <c r="O353" s="10"/>
      <c r="P353" s="10"/>
      <c r="Q353" s="38">
        <f>SUM(N353:P353)</f>
        <v>0</v>
      </c>
      <c r="R353" s="38">
        <f>+E353+I353+M353+Q353</f>
        <v>433</v>
      </c>
      <c r="T353" t="s">
        <v>1193</v>
      </c>
    </row>
    <row r="354" spans="1:20" ht="15.75" customHeight="1" x14ac:dyDescent="0.3">
      <c r="A354" s="256" t="s">
        <v>92</v>
      </c>
      <c r="B354" s="10">
        <v>2381</v>
      </c>
      <c r="C354" s="10"/>
      <c r="D354" s="10"/>
      <c r="E354" s="38">
        <f t="shared" ref="E354" si="146">SUM(B354:D354)</f>
        <v>2381</v>
      </c>
      <c r="F354" s="10">
        <v>2125</v>
      </c>
      <c r="G354" s="10">
        <v>267</v>
      </c>
      <c r="H354" s="10">
        <f>4619+1181</f>
        <v>5800</v>
      </c>
      <c r="I354" s="38">
        <f t="shared" ref="I354" si="147">SUM(F354:H354)</f>
        <v>8192</v>
      </c>
      <c r="J354" s="10">
        <f>1574+4118</f>
        <v>5692</v>
      </c>
      <c r="K354" s="10">
        <f>1898+3334</f>
        <v>5232</v>
      </c>
      <c r="L354" s="10">
        <f>1645+3079</f>
        <v>4724</v>
      </c>
      <c r="M354" s="38">
        <f t="shared" ref="M354" si="148">SUM(J354:L354)</f>
        <v>15648</v>
      </c>
      <c r="N354" s="10">
        <f>1558+2350</f>
        <v>3908</v>
      </c>
      <c r="O354" s="10">
        <f>1507+2796</f>
        <v>4303</v>
      </c>
      <c r="P354" s="10">
        <f>1461+3674</f>
        <v>5135</v>
      </c>
      <c r="Q354" s="38">
        <f t="shared" si="127"/>
        <v>13346</v>
      </c>
      <c r="R354" s="38">
        <f t="shared" si="128"/>
        <v>39567</v>
      </c>
      <c r="T354" t="s">
        <v>2177</v>
      </c>
    </row>
    <row r="355" spans="1:20" ht="15.75" customHeight="1" x14ac:dyDescent="0.3">
      <c r="A355" s="410" t="s">
        <v>3164</v>
      </c>
      <c r="B355" s="10"/>
      <c r="C355" s="10"/>
      <c r="D355" s="10"/>
      <c r="E355" s="38">
        <f t="shared" si="124"/>
        <v>0</v>
      </c>
      <c r="F355" s="10"/>
      <c r="G355" s="10"/>
      <c r="H355" s="10"/>
      <c r="I355" s="38">
        <f t="shared" si="125"/>
        <v>0</v>
      </c>
      <c r="J355" s="10"/>
      <c r="K355" s="10"/>
      <c r="L355" s="10"/>
      <c r="M355" s="38">
        <f t="shared" si="126"/>
        <v>0</v>
      </c>
      <c r="N355" s="10"/>
      <c r="O355" s="10"/>
      <c r="P355" s="10"/>
      <c r="Q355" s="38">
        <f t="shared" si="127"/>
        <v>0</v>
      </c>
      <c r="R355" s="38">
        <f t="shared" si="128"/>
        <v>0</v>
      </c>
      <c r="T355" t="s">
        <v>2176</v>
      </c>
    </row>
    <row r="356" spans="1:20" ht="15.75" customHeight="1" x14ac:dyDescent="0.3">
      <c r="A356" s="410" t="s">
        <v>3138</v>
      </c>
      <c r="B356" s="10">
        <v>417</v>
      </c>
      <c r="C356" s="10">
        <v>417</v>
      </c>
      <c r="D356" s="10">
        <v>417</v>
      </c>
      <c r="E356" s="38">
        <f t="shared" si="124"/>
        <v>1251</v>
      </c>
      <c r="F356" s="10">
        <v>417</v>
      </c>
      <c r="G356" s="10">
        <v>417</v>
      </c>
      <c r="H356" s="10">
        <v>417</v>
      </c>
      <c r="I356" s="38">
        <f t="shared" si="125"/>
        <v>1251</v>
      </c>
      <c r="J356" s="10">
        <v>417</v>
      </c>
      <c r="K356" s="10"/>
      <c r="L356" s="10">
        <f>657+1021+403</f>
        <v>2081</v>
      </c>
      <c r="M356" s="38">
        <f t="shared" si="126"/>
        <v>2498</v>
      </c>
      <c r="N356" s="10"/>
      <c r="O356" s="10"/>
      <c r="P356" s="10"/>
      <c r="Q356" s="38">
        <f t="shared" si="127"/>
        <v>0</v>
      </c>
      <c r="R356" s="38">
        <f t="shared" si="128"/>
        <v>5000</v>
      </c>
    </row>
    <row r="357" spans="1:20" ht="15.75" customHeight="1" x14ac:dyDescent="0.3">
      <c r="A357" s="410" t="s">
        <v>3268</v>
      </c>
      <c r="B357" s="10"/>
      <c r="C357" s="10"/>
      <c r="D357" s="10"/>
      <c r="E357" s="38">
        <f t="shared" si="124"/>
        <v>0</v>
      </c>
      <c r="F357" s="10"/>
      <c r="G357" s="10"/>
      <c r="H357" s="10"/>
      <c r="I357" s="38">
        <f t="shared" si="125"/>
        <v>0</v>
      </c>
      <c r="J357" s="10"/>
      <c r="K357" s="10"/>
      <c r="L357" s="10"/>
      <c r="M357" s="38">
        <f t="shared" si="126"/>
        <v>0</v>
      </c>
      <c r="N357" s="10"/>
      <c r="O357" s="10"/>
      <c r="P357" s="10"/>
      <c r="Q357" s="38">
        <f t="shared" si="127"/>
        <v>0</v>
      </c>
      <c r="R357" s="38">
        <f t="shared" si="128"/>
        <v>0</v>
      </c>
      <c r="S357" s="736" t="s">
        <v>3213</v>
      </c>
    </row>
    <row r="358" spans="1:20" ht="15.75" customHeight="1" x14ac:dyDescent="0.3">
      <c r="A358" s="410" t="s">
        <v>3060</v>
      </c>
      <c r="B358" s="10"/>
      <c r="C358" s="10"/>
      <c r="D358" s="10"/>
      <c r="E358" s="38">
        <f t="shared" si="124"/>
        <v>0</v>
      </c>
      <c r="F358" s="10"/>
      <c r="G358" s="10"/>
      <c r="H358" s="10"/>
      <c r="I358" s="38">
        <f t="shared" si="125"/>
        <v>0</v>
      </c>
      <c r="J358" s="10"/>
      <c r="K358" s="10"/>
      <c r="L358" s="10">
        <v>1222</v>
      </c>
      <c r="M358" s="38">
        <f t="shared" si="126"/>
        <v>1222</v>
      </c>
      <c r="N358" s="10"/>
      <c r="O358" s="10"/>
      <c r="P358" s="10"/>
      <c r="Q358" s="38">
        <f>SUM(N358:P358)</f>
        <v>0</v>
      </c>
      <c r="R358" s="38">
        <f>+E358+I358+M358+Q358</f>
        <v>1222</v>
      </c>
      <c r="T358" t="s">
        <v>1358</v>
      </c>
    </row>
    <row r="359" spans="1:20" ht="15.75" customHeight="1" x14ac:dyDescent="0.3">
      <c r="A359" s="410" t="s">
        <v>3057</v>
      </c>
      <c r="B359" s="10">
        <v>28</v>
      </c>
      <c r="C359" s="10">
        <v>42</v>
      </c>
      <c r="D359" s="10">
        <v>37</v>
      </c>
      <c r="E359" s="38">
        <f>SUM(B359:D359)</f>
        <v>107</v>
      </c>
      <c r="F359" s="10">
        <v>47</v>
      </c>
      <c r="G359" s="10">
        <v>72</v>
      </c>
      <c r="H359" s="10">
        <v>77</v>
      </c>
      <c r="I359" s="38">
        <f>SUM(F359:H359)</f>
        <v>196</v>
      </c>
      <c r="J359" s="10">
        <v>85</v>
      </c>
      <c r="K359" s="10">
        <v>61</v>
      </c>
      <c r="L359" s="10">
        <v>54</v>
      </c>
      <c r="M359" s="38">
        <f>SUM(J359:L359)</f>
        <v>200</v>
      </c>
      <c r="N359" s="10">
        <v>41</v>
      </c>
      <c r="O359" s="10">
        <v>47</v>
      </c>
      <c r="P359" s="10">
        <v>35</v>
      </c>
      <c r="Q359" s="38">
        <f>SUM(N359:P359)</f>
        <v>123</v>
      </c>
      <c r="R359" s="38">
        <f>+E359+I359+M359+Q359</f>
        <v>626</v>
      </c>
      <c r="T359" t="s">
        <v>1193</v>
      </c>
    </row>
    <row r="360" spans="1:20" ht="15.75" customHeight="1" x14ac:dyDescent="0.3">
      <c r="A360" s="539" t="s">
        <v>2944</v>
      </c>
      <c r="B360" s="10"/>
      <c r="C360" s="10"/>
      <c r="D360" s="10"/>
      <c r="E360" s="38">
        <f>SUM(B360:D360)</f>
        <v>0</v>
      </c>
      <c r="F360" s="10"/>
      <c r="G360" s="10">
        <v>34</v>
      </c>
      <c r="H360" s="10"/>
      <c r="I360" s="38">
        <f>SUM(F360:H360)</f>
        <v>34</v>
      </c>
      <c r="J360" s="10"/>
      <c r="K360" s="10"/>
      <c r="L360" s="10"/>
      <c r="M360" s="38">
        <f>SUM(J360:L360)</f>
        <v>0</v>
      </c>
      <c r="N360" s="10"/>
      <c r="O360" s="10"/>
      <c r="P360" s="10"/>
      <c r="Q360" s="38">
        <f>SUM(N360:P360)</f>
        <v>0</v>
      </c>
      <c r="R360" s="38">
        <f t="shared" si="128"/>
        <v>34</v>
      </c>
    </row>
    <row r="361" spans="1:20" ht="15.75" customHeight="1" x14ac:dyDescent="0.3">
      <c r="A361" s="410" t="s">
        <v>2609</v>
      </c>
      <c r="B361" s="10"/>
      <c r="C361" s="10"/>
      <c r="D361" s="10">
        <v>25</v>
      </c>
      <c r="E361" s="38">
        <f t="shared" ref="E361" si="149">SUM(B361:D361)</f>
        <v>25</v>
      </c>
      <c r="F361" s="10">
        <v>30</v>
      </c>
      <c r="G361" s="10">
        <v>55</v>
      </c>
      <c r="H361" s="10">
        <v>96</v>
      </c>
      <c r="I361" s="38">
        <f t="shared" ref="I361" si="150">SUM(F361:H361)</f>
        <v>181</v>
      </c>
      <c r="J361" s="10">
        <v>98</v>
      </c>
      <c r="K361" s="10">
        <v>111</v>
      </c>
      <c r="L361" s="10">
        <v>80</v>
      </c>
      <c r="M361" s="38">
        <f t="shared" ref="M361" si="151">SUM(J361:L361)</f>
        <v>289</v>
      </c>
      <c r="N361" s="10"/>
      <c r="O361" s="10"/>
      <c r="P361" s="10"/>
      <c r="Q361" s="38">
        <f t="shared" si="127"/>
        <v>0</v>
      </c>
      <c r="R361" s="38">
        <f t="shared" si="128"/>
        <v>495</v>
      </c>
      <c r="S361">
        <f>SUM(R332:R361)</f>
        <v>101431</v>
      </c>
      <c r="T361" t="s">
        <v>2175</v>
      </c>
    </row>
    <row r="362" spans="1:20" ht="15.75" customHeight="1" x14ac:dyDescent="0.3">
      <c r="A362" s="410" t="s">
        <v>3058</v>
      </c>
      <c r="B362" s="10">
        <v>15</v>
      </c>
      <c r="C362" s="10">
        <v>19</v>
      </c>
      <c r="D362" s="10">
        <v>40</v>
      </c>
      <c r="E362" s="38">
        <f>SUM(B362:D362)</f>
        <v>74</v>
      </c>
      <c r="F362" s="10">
        <v>45</v>
      </c>
      <c r="G362" s="10">
        <v>58</v>
      </c>
      <c r="H362" s="10">
        <v>57</v>
      </c>
      <c r="I362" s="38">
        <f>SUM(F362:H362)</f>
        <v>160</v>
      </c>
      <c r="J362" s="10">
        <v>69</v>
      </c>
      <c r="K362" s="10">
        <v>53</v>
      </c>
      <c r="L362" s="10">
        <v>63</v>
      </c>
      <c r="M362" s="38">
        <f>SUM(J362:L362)</f>
        <v>185</v>
      </c>
      <c r="N362" s="10">
        <v>47</v>
      </c>
      <c r="O362" s="10">
        <v>36</v>
      </c>
      <c r="P362" s="10">
        <v>16</v>
      </c>
      <c r="Q362" s="38">
        <f>SUM(N362:P362)</f>
        <v>99</v>
      </c>
      <c r="R362" s="38">
        <f>+E362+I362+M362+Q362</f>
        <v>518</v>
      </c>
      <c r="T362" t="s">
        <v>1193</v>
      </c>
    </row>
    <row r="363" spans="1:20" ht="15.75" customHeight="1" x14ac:dyDescent="0.3">
      <c r="A363" s="234" t="s">
        <v>2161</v>
      </c>
      <c r="B363" s="10"/>
      <c r="C363" s="10"/>
      <c r="D363" s="10"/>
      <c r="E363" s="38" t="s">
        <v>852</v>
      </c>
      <c r="F363" s="10"/>
      <c r="G363" s="10"/>
      <c r="H363" s="10"/>
      <c r="I363" s="38" t="s">
        <v>852</v>
      </c>
      <c r="J363" s="10"/>
      <c r="K363" s="10"/>
      <c r="L363" s="10"/>
      <c r="M363" s="38" t="s">
        <v>852</v>
      </c>
      <c r="N363" s="10"/>
      <c r="O363" s="10"/>
      <c r="P363" s="10"/>
      <c r="Q363" s="38" t="s">
        <v>852</v>
      </c>
      <c r="R363" s="38" t="s">
        <v>852</v>
      </c>
    </row>
    <row r="364" spans="1:20" ht="15.75" customHeight="1" x14ac:dyDescent="0.3">
      <c r="A364" s="256" t="s">
        <v>754</v>
      </c>
      <c r="B364" s="10"/>
      <c r="C364" s="10"/>
      <c r="D364" s="10"/>
      <c r="E364" s="38">
        <f t="shared" ref="E364:E375" si="152">SUM(B364:D364)</f>
        <v>0</v>
      </c>
      <c r="F364" s="10"/>
      <c r="G364" s="10"/>
      <c r="H364" s="10"/>
      <c r="I364" s="38">
        <f t="shared" ref="I364:I375" si="153">SUM(F364:H364)</f>
        <v>0</v>
      </c>
      <c r="J364" s="10"/>
      <c r="K364" s="10"/>
      <c r="L364" s="10"/>
      <c r="M364" s="38">
        <f t="shared" ref="M364:M375" si="154">SUM(J364:L364)</f>
        <v>0</v>
      </c>
      <c r="N364" s="10"/>
      <c r="O364" s="10"/>
      <c r="P364" s="10"/>
      <c r="Q364" s="38">
        <f t="shared" ref="Q364:Q375" si="155">SUM(N364:P364)</f>
        <v>0</v>
      </c>
      <c r="R364" s="38">
        <f t="shared" ref="R364:R375" si="156">+E364+I364+M364+Q364</f>
        <v>0</v>
      </c>
    </row>
    <row r="365" spans="1:20" ht="15.75" customHeight="1" x14ac:dyDescent="0.3">
      <c r="A365" s="410" t="s">
        <v>2759</v>
      </c>
      <c r="B365" s="10"/>
      <c r="C365" s="10"/>
      <c r="D365" s="10"/>
      <c r="E365" s="38">
        <f>SUM(B365:D365)</f>
        <v>0</v>
      </c>
      <c r="F365" s="10"/>
      <c r="G365" s="10"/>
      <c r="H365" s="10"/>
      <c r="I365" s="38">
        <f>SUM(F365:H365)</f>
        <v>0</v>
      </c>
      <c r="J365" s="10"/>
      <c r="K365" s="10"/>
      <c r="L365" s="10"/>
      <c r="M365" s="38">
        <f>SUM(J365:L365)</f>
        <v>0</v>
      </c>
      <c r="N365" s="10"/>
      <c r="O365" s="10"/>
      <c r="P365" s="10"/>
      <c r="Q365" s="38">
        <f>SUM(N365:P365)</f>
        <v>0</v>
      </c>
      <c r="R365" s="38">
        <f>+E365+I365+M365+Q365</f>
        <v>0</v>
      </c>
      <c r="T365" t="s">
        <v>131</v>
      </c>
    </row>
    <row r="366" spans="1:20" ht="15.75" customHeight="1" x14ac:dyDescent="0.3">
      <c r="A366" s="410" t="s">
        <v>2333</v>
      </c>
      <c r="B366" s="10"/>
      <c r="C366" s="10"/>
      <c r="D366" s="10"/>
      <c r="E366" s="38">
        <f>SUM(B366:D366)</f>
        <v>0</v>
      </c>
      <c r="F366" s="10"/>
      <c r="G366" s="10"/>
      <c r="H366" s="10"/>
      <c r="I366" s="38">
        <f>SUM(F366:H366)</f>
        <v>0</v>
      </c>
      <c r="J366" s="10"/>
      <c r="K366" s="10"/>
      <c r="L366" s="10"/>
      <c r="M366" s="38">
        <f>SUM(J366:L366)</f>
        <v>0</v>
      </c>
      <c r="N366" s="10"/>
      <c r="O366" s="10"/>
      <c r="P366" s="10">
        <v>147</v>
      </c>
      <c r="Q366" s="38">
        <f>SUM(N366:P366)</f>
        <v>147</v>
      </c>
      <c r="R366" s="38">
        <f>+E366+I366+M366+Q366</f>
        <v>147</v>
      </c>
      <c r="T366" t="s">
        <v>2780</v>
      </c>
    </row>
    <row r="367" spans="1:20" ht="15.75" customHeight="1" x14ac:dyDescent="0.3">
      <c r="A367" s="311" t="s">
        <v>970</v>
      </c>
      <c r="B367" s="10"/>
      <c r="C367" s="10"/>
      <c r="D367" s="10"/>
      <c r="E367" s="38">
        <f>SUM(B367:D367)</f>
        <v>0</v>
      </c>
      <c r="F367" s="10"/>
      <c r="G367" s="10"/>
      <c r="H367" s="10"/>
      <c r="I367" s="38">
        <f>SUM(F367:H367)</f>
        <v>0</v>
      </c>
      <c r="J367" s="10"/>
      <c r="K367" s="10"/>
      <c r="L367" s="10"/>
      <c r="M367" s="38">
        <f>SUM(J367:L367)</f>
        <v>0</v>
      </c>
      <c r="N367" s="10"/>
      <c r="O367" s="10"/>
      <c r="P367" s="10"/>
      <c r="Q367" s="38">
        <f>SUM(N367:P367)</f>
        <v>0</v>
      </c>
      <c r="R367" s="38">
        <f>+E367+I367+M367+Q367</f>
        <v>0</v>
      </c>
      <c r="T367" t="s">
        <v>2176</v>
      </c>
    </row>
    <row r="368" spans="1:20" ht="15.75" customHeight="1" x14ac:dyDescent="0.3">
      <c r="A368" s="410" t="s">
        <v>2593</v>
      </c>
      <c r="B368" s="10"/>
      <c r="C368" s="10"/>
      <c r="D368" s="10"/>
      <c r="E368" s="38">
        <f t="shared" si="152"/>
        <v>0</v>
      </c>
      <c r="F368" s="10"/>
      <c r="G368" s="10"/>
      <c r="H368" s="10"/>
      <c r="I368" s="38">
        <f t="shared" si="153"/>
        <v>0</v>
      </c>
      <c r="J368" s="10"/>
      <c r="K368" s="10"/>
      <c r="L368" s="10"/>
      <c r="M368" s="38">
        <f t="shared" si="154"/>
        <v>0</v>
      </c>
      <c r="N368" s="10"/>
      <c r="O368" s="10"/>
      <c r="P368" s="10"/>
      <c r="Q368" s="38">
        <f t="shared" si="155"/>
        <v>0</v>
      </c>
      <c r="R368" s="38">
        <f>+E368+I368+M368+Q368</f>
        <v>0</v>
      </c>
      <c r="T368" t="s">
        <v>2175</v>
      </c>
    </row>
    <row r="369" spans="1:23" ht="15.75" customHeight="1" x14ac:dyDescent="0.3">
      <c r="A369" s="410" t="s">
        <v>2517</v>
      </c>
      <c r="B369" s="10"/>
      <c r="C369" s="10"/>
      <c r="D369" s="10"/>
      <c r="E369" s="38">
        <f>SUM(B369:D369)</f>
        <v>0</v>
      </c>
      <c r="F369" s="10"/>
      <c r="G369" s="10"/>
      <c r="H369" s="10"/>
      <c r="I369" s="38">
        <f>SUM(F369:H369)</f>
        <v>0</v>
      </c>
      <c r="J369" s="10"/>
      <c r="K369" s="10"/>
      <c r="L369" s="10"/>
      <c r="M369" s="38">
        <f>SUM(J369:L369)</f>
        <v>0</v>
      </c>
      <c r="N369" s="10"/>
      <c r="O369" s="10"/>
      <c r="P369" s="10"/>
      <c r="Q369" s="38">
        <f>SUM(N369:P369)</f>
        <v>0</v>
      </c>
      <c r="R369" s="38">
        <f>+E369+I369+M369+Q369</f>
        <v>0</v>
      </c>
      <c r="T369" t="s">
        <v>2229</v>
      </c>
    </row>
    <row r="370" spans="1:23" ht="15.75" customHeight="1" x14ac:dyDescent="0.3">
      <c r="A370" s="256" t="s">
        <v>1732</v>
      </c>
      <c r="B370" s="10"/>
      <c r="C370" s="10"/>
      <c r="D370" s="10"/>
      <c r="E370" s="38">
        <f t="shared" si="152"/>
        <v>0</v>
      </c>
      <c r="F370" s="10"/>
      <c r="G370" s="10"/>
      <c r="H370" s="10"/>
      <c r="I370" s="38">
        <f t="shared" si="153"/>
        <v>0</v>
      </c>
      <c r="J370" s="10"/>
      <c r="K370" s="10"/>
      <c r="L370" s="10"/>
      <c r="M370" s="38">
        <f t="shared" si="154"/>
        <v>0</v>
      </c>
      <c r="N370" s="10"/>
      <c r="O370" s="10"/>
      <c r="P370" s="10"/>
      <c r="Q370" s="38">
        <f t="shared" si="155"/>
        <v>0</v>
      </c>
      <c r="R370" s="38">
        <f t="shared" si="156"/>
        <v>0</v>
      </c>
    </row>
    <row r="371" spans="1:23" ht="15.75" customHeight="1" x14ac:dyDescent="0.3">
      <c r="A371" s="410" t="s">
        <v>2771</v>
      </c>
      <c r="B371" s="10"/>
      <c r="C371" s="10"/>
      <c r="D371" s="10"/>
      <c r="E371" s="38">
        <f t="shared" si="152"/>
        <v>0</v>
      </c>
      <c r="F371" s="10"/>
      <c r="G371" s="10"/>
      <c r="H371" s="10"/>
      <c r="I371" s="38">
        <f t="shared" si="153"/>
        <v>0</v>
      </c>
      <c r="J371" s="10"/>
      <c r="K371" s="10"/>
      <c r="L371" s="10"/>
      <c r="M371" s="38">
        <f t="shared" si="154"/>
        <v>0</v>
      </c>
      <c r="N371" s="10"/>
      <c r="O371" s="10"/>
      <c r="P371" s="10"/>
      <c r="Q371" s="38">
        <f t="shared" si="155"/>
        <v>0</v>
      </c>
      <c r="R371" s="38">
        <f t="shared" si="156"/>
        <v>0</v>
      </c>
      <c r="T371" t="s">
        <v>2230</v>
      </c>
    </row>
    <row r="372" spans="1:23" ht="15.75" customHeight="1" x14ac:dyDescent="0.3">
      <c r="A372" s="256" t="s">
        <v>1138</v>
      </c>
      <c r="B372" s="10"/>
      <c r="C372" s="10"/>
      <c r="D372" s="10"/>
      <c r="E372" s="38">
        <f t="shared" si="152"/>
        <v>0</v>
      </c>
      <c r="F372" s="10"/>
      <c r="G372" s="10"/>
      <c r="H372" s="10"/>
      <c r="I372" s="38">
        <f t="shared" si="153"/>
        <v>0</v>
      </c>
      <c r="J372" s="10"/>
      <c r="K372" s="10"/>
      <c r="L372" s="10"/>
      <c r="M372" s="38">
        <f t="shared" si="154"/>
        <v>0</v>
      </c>
      <c r="N372" s="10"/>
      <c r="O372" s="10"/>
      <c r="P372" s="10"/>
      <c r="Q372" s="38">
        <f t="shared" si="155"/>
        <v>0</v>
      </c>
      <c r="R372" s="38">
        <f t="shared" si="156"/>
        <v>0</v>
      </c>
      <c r="T372" t="s">
        <v>2230</v>
      </c>
    </row>
    <row r="373" spans="1:23" ht="15.75" customHeight="1" x14ac:dyDescent="0.3">
      <c r="A373" s="410" t="s">
        <v>2951</v>
      </c>
      <c r="B373" s="10"/>
      <c r="C373" s="10"/>
      <c r="D373" s="10"/>
      <c r="E373" s="38">
        <f t="shared" si="152"/>
        <v>0</v>
      </c>
      <c r="F373" s="10"/>
      <c r="G373" s="10"/>
      <c r="H373" s="10"/>
      <c r="I373" s="38">
        <f t="shared" si="153"/>
        <v>0</v>
      </c>
      <c r="J373" s="10"/>
      <c r="K373" s="10"/>
      <c r="L373" s="10"/>
      <c r="M373" s="38">
        <f t="shared" si="154"/>
        <v>0</v>
      </c>
      <c r="N373" s="10"/>
      <c r="O373" s="10"/>
      <c r="P373" s="10"/>
      <c r="Q373" s="38">
        <f t="shared" si="155"/>
        <v>0</v>
      </c>
      <c r="R373" s="38">
        <f t="shared" si="156"/>
        <v>0</v>
      </c>
      <c r="T373" t="s">
        <v>1193</v>
      </c>
    </row>
    <row r="374" spans="1:23" ht="15.75" customHeight="1" x14ac:dyDescent="0.3">
      <c r="A374" s="311" t="s">
        <v>644</v>
      </c>
      <c r="B374" s="10"/>
      <c r="C374" s="10"/>
      <c r="D374" s="10"/>
      <c r="E374" s="38">
        <f>SUM(B374:D374)</f>
        <v>0</v>
      </c>
      <c r="F374" s="10"/>
      <c r="G374" s="10"/>
      <c r="H374" s="10"/>
      <c r="I374" s="38">
        <f>SUM(F374:H374)</f>
        <v>0</v>
      </c>
      <c r="J374" s="10"/>
      <c r="K374" s="10"/>
      <c r="L374" s="10"/>
      <c r="M374" s="38">
        <f>SUM(J374:L374)</f>
        <v>0</v>
      </c>
      <c r="N374" s="10"/>
      <c r="O374" s="10"/>
      <c r="P374" s="10"/>
      <c r="Q374" s="38">
        <f>SUM(N374:P374)</f>
        <v>0</v>
      </c>
      <c r="R374" s="38">
        <f>+E374+I374+M374+Q374</f>
        <v>0</v>
      </c>
      <c r="T374" t="s">
        <v>1193</v>
      </c>
    </row>
    <row r="375" spans="1:23" ht="15.75" customHeight="1" x14ac:dyDescent="0.3">
      <c r="A375" s="256" t="s">
        <v>231</v>
      </c>
      <c r="B375" s="10"/>
      <c r="C375" s="10"/>
      <c r="D375" s="10"/>
      <c r="E375" s="38">
        <f t="shared" si="152"/>
        <v>0</v>
      </c>
      <c r="F375" s="10"/>
      <c r="G375" s="10"/>
      <c r="H375" s="10"/>
      <c r="I375" s="38">
        <f t="shared" si="153"/>
        <v>0</v>
      </c>
      <c r="J375" s="10"/>
      <c r="K375" s="10"/>
      <c r="L375" s="10"/>
      <c r="M375" s="38">
        <f t="shared" si="154"/>
        <v>0</v>
      </c>
      <c r="N375" s="10"/>
      <c r="O375" s="10"/>
      <c r="P375" s="10"/>
      <c r="Q375" s="38">
        <f t="shared" si="155"/>
        <v>0</v>
      </c>
      <c r="R375" s="38">
        <f t="shared" si="156"/>
        <v>0</v>
      </c>
      <c r="T375" t="s">
        <v>2179</v>
      </c>
    </row>
    <row r="376" spans="1:23" ht="15.75" customHeight="1" x14ac:dyDescent="0.3">
      <c r="A376" s="234" t="s">
        <v>3245</v>
      </c>
      <c r="B376" s="10"/>
      <c r="C376" s="10"/>
      <c r="D376" s="10"/>
      <c r="E376" s="38" t="s">
        <v>852</v>
      </c>
      <c r="F376" s="10"/>
      <c r="G376" s="10"/>
      <c r="H376" s="10"/>
      <c r="I376" s="38" t="s">
        <v>852</v>
      </c>
      <c r="J376" s="10"/>
      <c r="K376" s="10"/>
      <c r="L376" s="10"/>
      <c r="M376" s="38" t="s">
        <v>852</v>
      </c>
      <c r="N376" s="10"/>
      <c r="O376" s="10"/>
      <c r="P376" s="10"/>
      <c r="Q376" s="38" t="s">
        <v>852</v>
      </c>
      <c r="R376" s="38" t="s">
        <v>852</v>
      </c>
    </row>
    <row r="377" spans="1:23" ht="15.75" customHeight="1" x14ac:dyDescent="0.3">
      <c r="A377" s="410" t="s">
        <v>3256</v>
      </c>
      <c r="B377" s="10"/>
      <c r="C377" s="10"/>
      <c r="D377" s="10"/>
      <c r="E377" s="38">
        <f>SUM(B377:D377)</f>
        <v>0</v>
      </c>
      <c r="F377" s="10"/>
      <c r="G377" s="10"/>
      <c r="H377" s="10"/>
      <c r="I377" s="38">
        <f>SUM(F377:H377)</f>
        <v>0</v>
      </c>
      <c r="J377" s="10"/>
      <c r="K377" s="10"/>
      <c r="L377" s="10"/>
      <c r="M377" s="38">
        <f>SUM(J377:L377)</f>
        <v>0</v>
      </c>
      <c r="N377" s="10"/>
      <c r="O377" s="10"/>
      <c r="P377" s="10"/>
      <c r="Q377" s="38">
        <f>SUM(N377:P377)</f>
        <v>0</v>
      </c>
      <c r="R377" s="38">
        <f>+E377+I377+M377+Q377</f>
        <v>0</v>
      </c>
      <c r="S377" s="735" t="s">
        <v>3214</v>
      </c>
      <c r="T377" t="s">
        <v>2174</v>
      </c>
    </row>
    <row r="378" spans="1:23" ht="15.75" customHeight="1" x14ac:dyDescent="0.3">
      <c r="A378" s="410" t="s">
        <v>3257</v>
      </c>
      <c r="B378" s="10"/>
      <c r="C378" s="10"/>
      <c r="D378" s="10"/>
      <c r="E378" s="38">
        <f>SUM(B378:D378)</f>
        <v>0</v>
      </c>
      <c r="F378" s="10"/>
      <c r="G378" s="10"/>
      <c r="H378" s="10"/>
      <c r="I378" s="38">
        <f>SUM(F378:H378)</f>
        <v>0</v>
      </c>
      <c r="J378" s="10"/>
      <c r="K378" s="10">
        <f>2151+1375+2257+2657</f>
        <v>8440</v>
      </c>
      <c r="L378" s="10">
        <v>560</v>
      </c>
      <c r="M378" s="38">
        <f>SUM(J378:L378)</f>
        <v>9000</v>
      </c>
      <c r="N378" s="10"/>
      <c r="O378" s="10"/>
      <c r="P378" s="10">
        <v>188</v>
      </c>
      <c r="Q378" s="38">
        <f>SUM(N378:P378)</f>
        <v>188</v>
      </c>
      <c r="R378" s="38">
        <f>+E378+I378+M378+Q378</f>
        <v>9188</v>
      </c>
      <c r="S378" s="735" t="s">
        <v>3214</v>
      </c>
    </row>
    <row r="379" spans="1:23" ht="15.75" customHeight="1" x14ac:dyDescent="0.3">
      <c r="A379" s="410" t="s">
        <v>3258</v>
      </c>
      <c r="B379" s="10"/>
      <c r="C379" s="10"/>
      <c r="D379" s="10"/>
      <c r="E379" s="38">
        <f>SUM(B379:D379)</f>
        <v>0</v>
      </c>
      <c r="F379" s="10"/>
      <c r="G379" s="10"/>
      <c r="H379" s="10"/>
      <c r="I379" s="38">
        <f>SUM(F379:H379)</f>
        <v>0</v>
      </c>
      <c r="J379" s="10">
        <f>131+266</f>
        <v>397</v>
      </c>
      <c r="K379" s="10">
        <f>52+1430</f>
        <v>1482</v>
      </c>
      <c r="L379" s="10">
        <f>21+172</f>
        <v>193</v>
      </c>
      <c r="M379" s="38">
        <f>SUM(J379:L379)</f>
        <v>2072</v>
      </c>
      <c r="N379" s="10">
        <v>665</v>
      </c>
      <c r="O379" s="10">
        <v>105</v>
      </c>
      <c r="P379" s="10">
        <v>543</v>
      </c>
      <c r="Q379" s="38">
        <f>SUM(N379:P379)</f>
        <v>1313</v>
      </c>
      <c r="R379" s="38">
        <f>+E379+I379+M379+Q379</f>
        <v>3385</v>
      </c>
      <c r="S379" s="735" t="s">
        <v>3214</v>
      </c>
      <c r="T379" t="s">
        <v>2175</v>
      </c>
    </row>
    <row r="380" spans="1:23" ht="15.75" customHeight="1" x14ac:dyDescent="0.3">
      <c r="A380" s="410" t="s">
        <v>3259</v>
      </c>
      <c r="B380" s="10"/>
      <c r="C380" s="10">
        <v>1338</v>
      </c>
      <c r="D380" s="10">
        <v>2000</v>
      </c>
      <c r="E380" s="38">
        <f>SUM(B380:D380)</f>
        <v>3338</v>
      </c>
      <c r="F380" s="10">
        <v>677</v>
      </c>
      <c r="G380" s="10"/>
      <c r="H380" s="10"/>
      <c r="I380" s="38">
        <f>SUM(F380:H380)</f>
        <v>677</v>
      </c>
      <c r="J380" s="10"/>
      <c r="K380" s="10"/>
      <c r="L380" s="10"/>
      <c r="M380" s="38">
        <f>SUM(J380:L380)</f>
        <v>0</v>
      </c>
      <c r="N380" s="10">
        <v>1</v>
      </c>
      <c r="O380" s="10"/>
      <c r="P380" s="10"/>
      <c r="Q380" s="38">
        <f>SUM(N380:P380)</f>
        <v>1</v>
      </c>
      <c r="R380" s="38">
        <f>+E380+I380+M380+Q380</f>
        <v>4016</v>
      </c>
      <c r="S380" s="735" t="s">
        <v>3214</v>
      </c>
      <c r="T380" t="s">
        <v>1358</v>
      </c>
    </row>
    <row r="381" spans="1:23" ht="16.5" customHeight="1" thickBot="1" x14ac:dyDescent="0.35">
      <c r="A381" s="234" t="s">
        <v>2164</v>
      </c>
      <c r="B381" s="10"/>
      <c r="C381" s="10"/>
      <c r="D381" s="10"/>
      <c r="E381" s="38" t="s">
        <v>852</v>
      </c>
      <c r="F381" s="10"/>
      <c r="G381" s="10"/>
      <c r="H381" s="10"/>
      <c r="I381" s="38" t="s">
        <v>852</v>
      </c>
      <c r="J381" s="10"/>
      <c r="K381" s="10"/>
      <c r="L381" s="10"/>
      <c r="M381" s="38" t="s">
        <v>852</v>
      </c>
      <c r="N381" s="10"/>
      <c r="O381" s="10"/>
      <c r="P381" s="10"/>
      <c r="Q381" s="38" t="s">
        <v>852</v>
      </c>
      <c r="R381" s="40" t="s">
        <v>852</v>
      </c>
      <c r="V381" t="s">
        <v>3012</v>
      </c>
      <c r="W381" t="s">
        <v>3013</v>
      </c>
    </row>
    <row r="382" spans="1:23" ht="16.5" customHeight="1" thickBot="1" x14ac:dyDescent="0.35">
      <c r="A382" s="276" t="s">
        <v>1218</v>
      </c>
      <c r="B382" s="45">
        <f>SUM(B330:B381)</f>
        <v>4144</v>
      </c>
      <c r="C382" s="46">
        <f>SUM(C330:C381)</f>
        <v>2304</v>
      </c>
      <c r="D382" s="46">
        <f>SUM(D330:D381)</f>
        <v>3187</v>
      </c>
      <c r="E382" s="37">
        <f>SUM(B382:D382)</f>
        <v>9635</v>
      </c>
      <c r="F382" s="46">
        <f>SUM(F330:F381)</f>
        <v>5996</v>
      </c>
      <c r="G382" s="46">
        <f>SUM(G330:G381)</f>
        <v>5084</v>
      </c>
      <c r="H382" s="46">
        <f>SUM(H330:H381)</f>
        <v>14660</v>
      </c>
      <c r="I382" s="37">
        <f>SUM(F382:H382)</f>
        <v>25740</v>
      </c>
      <c r="J382" s="46">
        <f>SUM(J330:J381)</f>
        <v>14002</v>
      </c>
      <c r="K382" s="46">
        <f>SUM(K330:K381)</f>
        <v>22895</v>
      </c>
      <c r="L382" s="46">
        <f>SUM(L330:L381)</f>
        <v>19199</v>
      </c>
      <c r="M382" s="37">
        <f>SUM(J382:L382)</f>
        <v>56096</v>
      </c>
      <c r="N382" s="46">
        <f>SUM(N330:N381)</f>
        <v>10475</v>
      </c>
      <c r="O382" s="46">
        <f>SUM(O330:O381)</f>
        <v>8140</v>
      </c>
      <c r="P382" s="46">
        <f>SUM(P330:P381)</f>
        <v>8599</v>
      </c>
      <c r="Q382" s="37">
        <f>SUM(N382:P382)</f>
        <v>27214</v>
      </c>
      <c r="R382" s="37">
        <f>+E382+I382+M382+Q382</f>
        <v>118685</v>
      </c>
      <c r="T382" s="230"/>
      <c r="V382" t="s">
        <v>2174</v>
      </c>
      <c r="W382" s="695">
        <v>0.18</v>
      </c>
    </row>
    <row r="383" spans="1:23" ht="15.75" customHeight="1" x14ac:dyDescent="0.3">
      <c r="A383" s="234" t="s">
        <v>1172</v>
      </c>
      <c r="B383" s="172"/>
      <c r="C383" s="172"/>
      <c r="D383" s="172"/>
      <c r="E383" s="38" t="s">
        <v>852</v>
      </c>
      <c r="F383" s="172"/>
      <c r="G383" s="172"/>
      <c r="H383" s="172"/>
      <c r="I383" s="38" t="s">
        <v>852</v>
      </c>
      <c r="J383" s="172"/>
      <c r="K383" s="172"/>
      <c r="L383" s="172"/>
      <c r="M383" s="38" t="s">
        <v>852</v>
      </c>
      <c r="N383" s="172"/>
      <c r="O383" s="172"/>
      <c r="P383" s="172"/>
      <c r="Q383" s="38" t="s">
        <v>852</v>
      </c>
      <c r="R383" s="38" t="s">
        <v>852</v>
      </c>
      <c r="V383" t="s">
        <v>500</v>
      </c>
      <c r="W383" s="695">
        <v>0.52</v>
      </c>
    </row>
    <row r="384" spans="1:23" ht="15.75" customHeight="1" x14ac:dyDescent="0.3">
      <c r="A384" s="234" t="s">
        <v>1025</v>
      </c>
      <c r="B384" s="172"/>
      <c r="C384" s="172"/>
      <c r="D384" s="172"/>
      <c r="E384" s="38"/>
      <c r="F384" s="172"/>
      <c r="G384" s="172"/>
      <c r="H384" s="172"/>
      <c r="I384" s="38"/>
      <c r="J384" s="172"/>
      <c r="K384" s="172"/>
      <c r="L384" s="172"/>
      <c r="M384" s="38"/>
      <c r="N384" s="172"/>
      <c r="O384" s="172"/>
      <c r="P384" s="172"/>
      <c r="Q384" s="38"/>
      <c r="R384" s="38"/>
      <c r="V384" t="s">
        <v>505</v>
      </c>
      <c r="W384" s="695">
        <v>0.3</v>
      </c>
    </row>
    <row r="385" spans="1:39" ht="15.75" customHeight="1" x14ac:dyDescent="0.3">
      <c r="A385" s="234" t="s">
        <v>2409</v>
      </c>
      <c r="B385" s="172"/>
      <c r="C385" s="172"/>
      <c r="D385" s="172"/>
      <c r="E385" s="38" t="s">
        <v>852</v>
      </c>
      <c r="F385" s="172"/>
      <c r="G385" s="172"/>
      <c r="H385" s="172"/>
      <c r="I385" s="38" t="s">
        <v>852</v>
      </c>
      <c r="J385" s="172"/>
      <c r="K385" s="172"/>
      <c r="L385" s="172"/>
      <c r="M385" s="38" t="s">
        <v>852</v>
      </c>
      <c r="N385" s="172"/>
      <c r="O385" s="172"/>
      <c r="P385" s="172"/>
      <c r="Q385" s="38" t="s">
        <v>852</v>
      </c>
      <c r="R385" s="38" t="s">
        <v>852</v>
      </c>
      <c r="W385" s="691">
        <f>+SUM(W382:W384)</f>
        <v>1</v>
      </c>
    </row>
    <row r="386" spans="1:39" ht="15.75" customHeight="1" x14ac:dyDescent="0.3">
      <c r="A386" s="256" t="s">
        <v>2099</v>
      </c>
      <c r="B386" s="10">
        <v>42</v>
      </c>
      <c r="C386" s="10">
        <v>24</v>
      </c>
      <c r="D386" s="10">
        <v>137</v>
      </c>
      <c r="E386" s="38">
        <f>SUM(B386:D386)</f>
        <v>203</v>
      </c>
      <c r="F386" s="10">
        <v>1559</v>
      </c>
      <c r="G386" s="10">
        <v>3028</v>
      </c>
      <c r="H386" s="10">
        <v>3048</v>
      </c>
      <c r="I386" s="38">
        <f>SUM(F386:H386)</f>
        <v>7635</v>
      </c>
      <c r="J386" s="10">
        <v>4207</v>
      </c>
      <c r="K386" s="10">
        <v>3863</v>
      </c>
      <c r="L386" s="10">
        <v>2992</v>
      </c>
      <c r="M386" s="38">
        <f>SUM(J386:L386)</f>
        <v>11062</v>
      </c>
      <c r="N386" s="10"/>
      <c r="O386" s="10">
        <v>1048</v>
      </c>
      <c r="P386" s="10">
        <v>27</v>
      </c>
      <c r="Q386" s="38">
        <f>SUM(N386:P386)</f>
        <v>1075</v>
      </c>
      <c r="R386" s="38">
        <f t="shared" ref="R386:R394" si="157">+E386+I386+M386+Q386</f>
        <v>19975</v>
      </c>
      <c r="T386" t="s">
        <v>2174</v>
      </c>
      <c r="V386" s="693" t="s">
        <v>2610</v>
      </c>
      <c r="W386" s="18" t="s">
        <v>2090</v>
      </c>
      <c r="X386" s="680" t="s">
        <v>2091</v>
      </c>
      <c r="Y386" s="680" t="s">
        <v>2234</v>
      </c>
      <c r="Z386" s="692" t="s">
        <v>1594</v>
      </c>
      <c r="AA386" s="680" t="s">
        <v>2235</v>
      </c>
      <c r="AB386" s="680" t="s">
        <v>2236</v>
      </c>
      <c r="AC386" s="680" t="s">
        <v>2237</v>
      </c>
      <c r="AD386" s="692" t="s">
        <v>1595</v>
      </c>
      <c r="AE386" s="680" t="s">
        <v>1504</v>
      </c>
      <c r="AF386" s="680" t="s">
        <v>1505</v>
      </c>
      <c r="AG386" s="680" t="s">
        <v>1506</v>
      </c>
      <c r="AH386" s="692" t="s">
        <v>1596</v>
      </c>
      <c r="AI386" s="680" t="s">
        <v>1507</v>
      </c>
      <c r="AJ386" s="680" t="s">
        <v>1508</v>
      </c>
      <c r="AK386" s="680" t="s">
        <v>1509</v>
      </c>
      <c r="AL386" s="692" t="s">
        <v>1597</v>
      </c>
      <c r="AM386" s="694" t="s">
        <v>1510</v>
      </c>
    </row>
    <row r="387" spans="1:39" ht="15.75" customHeight="1" x14ac:dyDescent="0.3">
      <c r="A387" s="256" t="s">
        <v>357</v>
      </c>
      <c r="B387" s="10"/>
      <c r="C387" s="10"/>
      <c r="D387" s="10"/>
      <c r="E387" s="38">
        <f>SUM(B387:D387)</f>
        <v>0</v>
      </c>
      <c r="F387" s="10"/>
      <c r="G387" s="10"/>
      <c r="H387" s="10"/>
      <c r="I387" s="38">
        <f>SUM(F387:H387)</f>
        <v>0</v>
      </c>
      <c r="J387" s="10"/>
      <c r="K387" s="10"/>
      <c r="L387" s="10"/>
      <c r="M387" s="38">
        <f>SUM(J387:L387)</f>
        <v>0</v>
      </c>
      <c r="N387" s="10"/>
      <c r="O387" s="10"/>
      <c r="P387" s="10"/>
      <c r="Q387" s="38">
        <f>SUM(N387:P387)</f>
        <v>0</v>
      </c>
      <c r="R387" s="38">
        <f t="shared" si="157"/>
        <v>0</v>
      </c>
      <c r="T387" t="s">
        <v>2175</v>
      </c>
      <c r="V387" s="579" t="s">
        <v>3014</v>
      </c>
      <c r="W387" s="696">
        <v>1500</v>
      </c>
      <c r="X387" s="696">
        <v>1500</v>
      </c>
      <c r="Y387" s="696">
        <v>6800</v>
      </c>
      <c r="Z387">
        <f>+SUM(W387:Y387)</f>
        <v>9800</v>
      </c>
      <c r="AA387" s="696">
        <f>8000+1500</f>
        <v>9500</v>
      </c>
      <c r="AB387" s="696">
        <f>10000+2000</f>
        <v>12000</v>
      </c>
      <c r="AC387" s="696">
        <f>12000+1500</f>
        <v>13500</v>
      </c>
      <c r="AD387">
        <f>+SUM(AA387:AC387)</f>
        <v>35000</v>
      </c>
      <c r="AE387" s="696">
        <v>25500</v>
      </c>
      <c r="AF387" s="696">
        <v>19000</v>
      </c>
      <c r="AG387" s="696">
        <v>4000</v>
      </c>
      <c r="AH387">
        <f>+SUM(AE387:AG387)</f>
        <v>48500</v>
      </c>
      <c r="AI387" s="696">
        <v>1500</v>
      </c>
      <c r="AJ387" s="696">
        <v>1000</v>
      </c>
      <c r="AK387" s="696">
        <v>1069</v>
      </c>
      <c r="AL387">
        <f>+SUM(AI387:AK387)</f>
        <v>3569</v>
      </c>
      <c r="AM387" s="561">
        <f>+Z387+AD387+AH387+AL387</f>
        <v>96869</v>
      </c>
    </row>
    <row r="388" spans="1:39" ht="15.75" customHeight="1" x14ac:dyDescent="0.3">
      <c r="A388" s="311" t="s">
        <v>909</v>
      </c>
      <c r="B388" s="10">
        <v>888</v>
      </c>
      <c r="C388" s="10">
        <v>1287</v>
      </c>
      <c r="D388" s="10">
        <v>4975</v>
      </c>
      <c r="E388" s="38">
        <f t="shared" ref="E388:E389" si="158">SUM(B388:D388)</f>
        <v>7150</v>
      </c>
      <c r="F388" s="10">
        <v>9027</v>
      </c>
      <c r="G388" s="10">
        <v>10074</v>
      </c>
      <c r="H388" s="10">
        <v>1645</v>
      </c>
      <c r="I388" s="38">
        <f t="shared" ref="I388:I393" si="159">SUM(F388:H388)</f>
        <v>20746</v>
      </c>
      <c r="J388" s="10">
        <v>1121</v>
      </c>
      <c r="K388" s="10"/>
      <c r="L388" s="10"/>
      <c r="M388" s="38">
        <f t="shared" ref="M388:M393" si="160">SUM(J388:L388)</f>
        <v>1121</v>
      </c>
      <c r="N388" s="10"/>
      <c r="O388" s="10"/>
      <c r="P388" s="10">
        <v>67</v>
      </c>
      <c r="Q388" s="38">
        <f t="shared" ref="Q388:Q394" si="161">SUM(N388:P388)</f>
        <v>67</v>
      </c>
      <c r="R388" s="38">
        <f t="shared" si="157"/>
        <v>29084</v>
      </c>
      <c r="T388" t="s">
        <v>2776</v>
      </c>
      <c r="V388" s="579" t="s">
        <v>2174</v>
      </c>
      <c r="W388">
        <f>+$W$382*W387</f>
        <v>270</v>
      </c>
      <c r="X388">
        <f>+$W$382*X387</f>
        <v>270</v>
      </c>
      <c r="Y388">
        <f>+$W$382*Y387</f>
        <v>1224</v>
      </c>
      <c r="Z388">
        <f>+SUM(W388:Y388)</f>
        <v>1764</v>
      </c>
      <c r="AA388">
        <f>+$W$382*AA387</f>
        <v>1710</v>
      </c>
      <c r="AB388">
        <f>+$W$382*AB387</f>
        <v>2160</v>
      </c>
      <c r="AC388">
        <f>+$W$382*AC387</f>
        <v>2430</v>
      </c>
      <c r="AD388">
        <f>+SUM(AA388:AC388)</f>
        <v>6300</v>
      </c>
      <c r="AE388">
        <f>+$W$382*AE387</f>
        <v>4590</v>
      </c>
      <c r="AF388">
        <f>+$W$382*AF387</f>
        <v>3420</v>
      </c>
      <c r="AG388">
        <f>+$W$382*AG387</f>
        <v>720</v>
      </c>
      <c r="AH388">
        <f>+SUM(AE388:AG388)</f>
        <v>8730</v>
      </c>
      <c r="AI388">
        <f>+$W$382*AI387</f>
        <v>270</v>
      </c>
      <c r="AJ388">
        <f>+$W$382*AJ387</f>
        <v>180</v>
      </c>
      <c r="AK388">
        <f>+$W$382*AK387</f>
        <v>192.42</v>
      </c>
      <c r="AL388">
        <f>+SUM(AI388:AK388)</f>
        <v>642.41999999999996</v>
      </c>
      <c r="AM388" s="561">
        <f>+Z388+AD388+AH388+AL388</f>
        <v>17436.419999999998</v>
      </c>
    </row>
    <row r="389" spans="1:39" ht="15.75" customHeight="1" x14ac:dyDescent="0.3">
      <c r="A389" s="410" t="s">
        <v>2539</v>
      </c>
      <c r="B389" s="10">
        <v>3020</v>
      </c>
      <c r="C389" s="10">
        <v>1804</v>
      </c>
      <c r="D389" s="10">
        <v>5323</v>
      </c>
      <c r="E389" s="38">
        <f t="shared" si="158"/>
        <v>10147</v>
      </c>
      <c r="F389" s="10">
        <v>14969</v>
      </c>
      <c r="G389" s="10">
        <v>20569</v>
      </c>
      <c r="H389" s="10">
        <v>20160</v>
      </c>
      <c r="I389" s="38">
        <f t="shared" ref="I389" si="162">SUM(F389:H389)</f>
        <v>55698</v>
      </c>
      <c r="J389" s="10">
        <v>15588</v>
      </c>
      <c r="K389" s="10">
        <v>8344</v>
      </c>
      <c r="L389" s="10">
        <v>178</v>
      </c>
      <c r="M389" s="38">
        <f t="shared" ref="M389" si="163">SUM(J389:L389)</f>
        <v>24110</v>
      </c>
      <c r="N389" s="10"/>
      <c r="O389" s="10">
        <v>571</v>
      </c>
      <c r="P389" s="10">
        <v>2160</v>
      </c>
      <c r="Q389" s="38">
        <f t="shared" si="161"/>
        <v>2731</v>
      </c>
      <c r="R389" s="38">
        <f t="shared" si="157"/>
        <v>92686</v>
      </c>
      <c r="T389" t="s">
        <v>2174</v>
      </c>
      <c r="V389" s="579" t="s">
        <v>500</v>
      </c>
      <c r="W389">
        <f>+$W$383*W387</f>
        <v>780</v>
      </c>
      <c r="X389">
        <f>+$W$383*X387</f>
        <v>780</v>
      </c>
      <c r="Y389">
        <f>+$W$383*Y387</f>
        <v>3536</v>
      </c>
      <c r="Z389">
        <f>+SUM(W389:Y389)</f>
        <v>5096</v>
      </c>
      <c r="AA389">
        <f>+$W$383*AA387</f>
        <v>4940</v>
      </c>
      <c r="AB389">
        <f>+$W$383*AB387</f>
        <v>6240</v>
      </c>
      <c r="AC389">
        <f>+$W$383*AC387</f>
        <v>7020</v>
      </c>
      <c r="AD389">
        <f>+SUM(AA389:AC389)</f>
        <v>18200</v>
      </c>
      <c r="AE389">
        <f>+$W$383*AE387</f>
        <v>13260</v>
      </c>
      <c r="AF389">
        <f>+$W$383*AF387</f>
        <v>9880</v>
      </c>
      <c r="AG389">
        <f>+$W$383*AG387</f>
        <v>2080</v>
      </c>
      <c r="AH389">
        <f>+SUM(AE389:AG389)</f>
        <v>25220</v>
      </c>
      <c r="AI389">
        <f>+$W$383*AI387</f>
        <v>780</v>
      </c>
      <c r="AJ389">
        <f>+$W$383*AJ387</f>
        <v>520</v>
      </c>
      <c r="AK389">
        <f>+$W$383*AK387</f>
        <v>555.88</v>
      </c>
      <c r="AL389">
        <f>+SUM(AI389:AK389)</f>
        <v>1855.88</v>
      </c>
      <c r="AM389" s="561">
        <f>+Z389+AD389+AH389+AL389</f>
        <v>50371.88</v>
      </c>
    </row>
    <row r="390" spans="1:39" ht="15.75" customHeight="1" x14ac:dyDescent="0.3">
      <c r="A390" s="410" t="s">
        <v>2728</v>
      </c>
      <c r="B390" s="10"/>
      <c r="C390" s="10"/>
      <c r="D390" s="10"/>
      <c r="E390" s="38">
        <f t="shared" ref="E390:E393" si="164">SUM(B390:D390)</f>
        <v>0</v>
      </c>
      <c r="F390" s="10"/>
      <c r="G390" s="10"/>
      <c r="H390" s="10"/>
      <c r="I390" s="38">
        <f t="shared" si="159"/>
        <v>0</v>
      </c>
      <c r="J390" s="10"/>
      <c r="K390" s="10"/>
      <c r="L390" s="10"/>
      <c r="M390" s="38">
        <f t="shared" si="160"/>
        <v>0</v>
      </c>
      <c r="N390" s="10"/>
      <c r="O390" s="10"/>
      <c r="P390" s="10"/>
      <c r="Q390" s="38">
        <f t="shared" si="161"/>
        <v>0</v>
      </c>
      <c r="R390" s="38">
        <f t="shared" si="157"/>
        <v>0</v>
      </c>
      <c r="T390" t="s">
        <v>2777</v>
      </c>
      <c r="V390" s="579" t="s">
        <v>505</v>
      </c>
      <c r="W390">
        <f>+$W$384*W387</f>
        <v>450</v>
      </c>
      <c r="X390">
        <f>+$W$384*X387</f>
        <v>450</v>
      </c>
      <c r="Y390">
        <f>+$W$384*Y387</f>
        <v>2040</v>
      </c>
      <c r="Z390">
        <f>+SUM(W390:Y390)</f>
        <v>2940</v>
      </c>
      <c r="AA390">
        <f>+$W$384*AA387</f>
        <v>2850</v>
      </c>
      <c r="AB390">
        <f>+$W$384*AB387</f>
        <v>3600</v>
      </c>
      <c r="AC390">
        <f>+$W$384*AC387</f>
        <v>4050</v>
      </c>
      <c r="AD390">
        <f>+SUM(AA390:AC390)</f>
        <v>10500</v>
      </c>
      <c r="AE390">
        <f>+$W$384*AE387</f>
        <v>7650</v>
      </c>
      <c r="AF390">
        <f>+$W$384*AF387</f>
        <v>5700</v>
      </c>
      <c r="AG390">
        <f>+$W$384*AG387</f>
        <v>1200</v>
      </c>
      <c r="AH390">
        <f>+SUM(AE390:AG390)</f>
        <v>14550</v>
      </c>
      <c r="AI390">
        <f>+$W$384*AI387</f>
        <v>450</v>
      </c>
      <c r="AJ390">
        <f>+$W$384*AJ387</f>
        <v>300</v>
      </c>
      <c r="AK390">
        <f>+$W$384*AK387</f>
        <v>320.7</v>
      </c>
      <c r="AL390">
        <f>+$W$384*AL387</f>
        <v>1070.7</v>
      </c>
      <c r="AM390" s="561">
        <f>+Z390+AD390+AH390+AL390</f>
        <v>29060.7</v>
      </c>
    </row>
    <row r="391" spans="1:39" ht="15.75" customHeight="1" thickBot="1" x14ac:dyDescent="0.35">
      <c r="A391" s="410" t="s">
        <v>2814</v>
      </c>
      <c r="B391" s="10">
        <v>630</v>
      </c>
      <c r="C391" s="10">
        <v>1157</v>
      </c>
      <c r="D391" s="10">
        <v>189</v>
      </c>
      <c r="E391" s="38">
        <f t="shared" ref="E391" si="165">SUM(B391:D391)</f>
        <v>1976</v>
      </c>
      <c r="F391" s="10">
        <v>924</v>
      </c>
      <c r="G391" s="10"/>
      <c r="H391" s="10"/>
      <c r="I391" s="38">
        <f t="shared" ref="I391" si="166">SUM(F391:H391)</f>
        <v>924</v>
      </c>
      <c r="J391" s="10"/>
      <c r="K391" s="10"/>
      <c r="L391" s="10"/>
      <c r="M391" s="38">
        <f t="shared" ref="M391" si="167">SUM(J391:L391)</f>
        <v>0</v>
      </c>
      <c r="N391" s="10"/>
      <c r="O391" s="10"/>
      <c r="P391" s="10"/>
      <c r="Q391" s="38">
        <f t="shared" si="161"/>
        <v>0</v>
      </c>
      <c r="R391" s="38">
        <f t="shared" si="157"/>
        <v>2900</v>
      </c>
      <c r="T391" t="s">
        <v>2175</v>
      </c>
      <c r="V391" s="580"/>
      <c r="W391" s="581"/>
      <c r="X391" s="581"/>
      <c r="Y391" s="581"/>
      <c r="Z391" s="581"/>
      <c r="AA391" s="581"/>
      <c r="AB391" s="581"/>
      <c r="AC391" s="581"/>
      <c r="AD391" s="581"/>
      <c r="AE391" s="581"/>
      <c r="AF391" s="581"/>
      <c r="AG391" s="581"/>
      <c r="AH391" s="581"/>
      <c r="AI391" s="581"/>
      <c r="AJ391" s="581"/>
      <c r="AK391" s="581"/>
      <c r="AL391" s="581"/>
      <c r="AM391" s="565"/>
    </row>
    <row r="392" spans="1:39" s="707" customFormat="1" ht="15.75" customHeight="1" x14ac:dyDescent="0.3">
      <c r="A392" s="728" t="s">
        <v>3206</v>
      </c>
      <c r="B392" s="542"/>
      <c r="C392" s="542"/>
      <c r="D392" s="542"/>
      <c r="E392" s="543">
        <f t="shared" si="164"/>
        <v>0</v>
      </c>
      <c r="F392" s="542"/>
      <c r="G392" s="542"/>
      <c r="H392" s="542"/>
      <c r="I392" s="543">
        <f t="shared" si="159"/>
        <v>0</v>
      </c>
      <c r="J392" s="542"/>
      <c r="K392" s="542"/>
      <c r="L392" s="542"/>
      <c r="M392" s="543">
        <f t="shared" si="160"/>
        <v>0</v>
      </c>
      <c r="N392" s="542"/>
      <c r="O392" s="542"/>
      <c r="P392" s="542"/>
      <c r="Q392" s="543">
        <f t="shared" ref="Q392" si="168">SUM(N392:P392)</f>
        <v>0</v>
      </c>
      <c r="R392" s="543">
        <f t="shared" si="157"/>
        <v>0</v>
      </c>
    </row>
    <row r="393" spans="1:39" ht="15.75" customHeight="1" x14ac:dyDescent="0.3">
      <c r="A393" s="410" t="s">
        <v>2779</v>
      </c>
      <c r="B393" s="10"/>
      <c r="C393" s="10"/>
      <c r="D393" s="10"/>
      <c r="E393" s="38">
        <f t="shared" si="164"/>
        <v>0</v>
      </c>
      <c r="F393" s="10"/>
      <c r="G393" s="10"/>
      <c r="H393" s="10"/>
      <c r="I393" s="38">
        <f t="shared" si="159"/>
        <v>0</v>
      </c>
      <c r="J393" s="10"/>
      <c r="K393" s="10"/>
      <c r="L393" s="10"/>
      <c r="M393" s="38">
        <f t="shared" si="160"/>
        <v>0</v>
      </c>
      <c r="N393" s="10"/>
      <c r="O393" s="10"/>
      <c r="P393" s="10">
        <v>6</v>
      </c>
      <c r="Q393" s="38">
        <f t="shared" si="161"/>
        <v>6</v>
      </c>
      <c r="R393" s="38">
        <f t="shared" si="157"/>
        <v>6</v>
      </c>
      <c r="T393" t="s">
        <v>2178</v>
      </c>
    </row>
    <row r="394" spans="1:39" ht="15.75" customHeight="1" x14ac:dyDescent="0.3">
      <c r="A394" s="256" t="s">
        <v>1513</v>
      </c>
      <c r="B394" s="10"/>
      <c r="C394" s="10"/>
      <c r="D394" s="10"/>
      <c r="E394" s="38">
        <f t="shared" ref="E394" si="169">SUM(B394:D394)</f>
        <v>0</v>
      </c>
      <c r="F394" s="10"/>
      <c r="G394" s="10"/>
      <c r="H394" s="10">
        <v>226</v>
      </c>
      <c r="I394" s="38">
        <f t="shared" ref="I394" si="170">SUM(F394:H394)</f>
        <v>226</v>
      </c>
      <c r="J394" s="10">
        <v>1928</v>
      </c>
      <c r="K394" s="10">
        <v>1328</v>
      </c>
      <c r="L394" s="10">
        <v>1182</v>
      </c>
      <c r="M394" s="38">
        <f t="shared" ref="M394" si="171">SUM(J394:L394)</f>
        <v>4438</v>
      </c>
      <c r="N394" s="10">
        <v>35</v>
      </c>
      <c r="O394" s="10">
        <v>410</v>
      </c>
      <c r="P394" s="10">
        <v>399</v>
      </c>
      <c r="Q394" s="38">
        <f t="shared" si="161"/>
        <v>844</v>
      </c>
      <c r="R394" s="38">
        <f t="shared" si="157"/>
        <v>5508</v>
      </c>
    </row>
    <row r="395" spans="1:39" ht="15.75" customHeight="1" thickBot="1" x14ac:dyDescent="0.35">
      <c r="A395" s="234" t="s">
        <v>2165</v>
      </c>
      <c r="B395" s="10"/>
      <c r="C395" s="10"/>
      <c r="D395" s="10"/>
      <c r="E395" s="38" t="s">
        <v>852</v>
      </c>
      <c r="F395" s="10"/>
      <c r="G395" s="10"/>
      <c r="H395" s="10"/>
      <c r="I395" s="38" t="s">
        <v>852</v>
      </c>
      <c r="J395" s="10"/>
      <c r="K395" s="10"/>
      <c r="L395" s="10"/>
      <c r="M395" s="38" t="s">
        <v>852</v>
      </c>
      <c r="N395" s="10"/>
      <c r="O395" s="10"/>
      <c r="P395" s="10"/>
      <c r="Q395" s="38" t="s">
        <v>852</v>
      </c>
      <c r="R395" s="38" t="s">
        <v>852</v>
      </c>
    </row>
    <row r="396" spans="1:39" ht="16.5" customHeight="1" thickBot="1" x14ac:dyDescent="0.35">
      <c r="A396" s="43" t="s">
        <v>1219</v>
      </c>
      <c r="B396" s="45">
        <f>SUM(B383:B395)</f>
        <v>4580</v>
      </c>
      <c r="C396" s="46">
        <f>SUM(C383:C395)</f>
        <v>4272</v>
      </c>
      <c r="D396" s="46">
        <f>SUM(D383:D395)</f>
        <v>10624</v>
      </c>
      <c r="E396" s="37">
        <f>SUM(B396:D396)</f>
        <v>19476</v>
      </c>
      <c r="F396" s="46">
        <f>SUM(F383:F395)</f>
        <v>26479</v>
      </c>
      <c r="G396" s="46">
        <f>SUM(G383:G395)</f>
        <v>33671</v>
      </c>
      <c r="H396" s="46">
        <f>SUM(H383:H395)</f>
        <v>25079</v>
      </c>
      <c r="I396" s="37">
        <f>SUM(F396:H396)</f>
        <v>85229</v>
      </c>
      <c r="J396" s="46">
        <f>SUM(J383:J395)</f>
        <v>22844</v>
      </c>
      <c r="K396" s="46">
        <f>SUM(K383:K395)</f>
        <v>13535</v>
      </c>
      <c r="L396" s="46">
        <f>SUM(L383:L395)</f>
        <v>4352</v>
      </c>
      <c r="M396" s="37">
        <f>SUM(J396:L396)</f>
        <v>40731</v>
      </c>
      <c r="N396" s="46">
        <f>SUM(N383:N395)</f>
        <v>35</v>
      </c>
      <c r="O396" s="46">
        <f>SUM(O383:O395)</f>
        <v>2029</v>
      </c>
      <c r="P396" s="46">
        <f>SUM(P383:P395)</f>
        <v>2659</v>
      </c>
      <c r="Q396" s="37">
        <f>SUM(N396:P396)</f>
        <v>4723</v>
      </c>
      <c r="R396" s="37">
        <f>+E396+I396+M396+Q396</f>
        <v>150159</v>
      </c>
    </row>
    <row r="397" spans="1:39" ht="15.75" customHeight="1" x14ac:dyDescent="0.3">
      <c r="A397" s="234" t="s">
        <v>2166</v>
      </c>
      <c r="B397" s="10"/>
      <c r="C397" s="10"/>
      <c r="D397" s="10"/>
      <c r="E397" s="38" t="s">
        <v>852</v>
      </c>
      <c r="F397" s="10"/>
      <c r="G397" s="10"/>
      <c r="H397" s="10"/>
      <c r="I397" s="38" t="s">
        <v>852</v>
      </c>
      <c r="J397" s="10"/>
      <c r="K397" s="10"/>
      <c r="L397" s="10"/>
      <c r="M397" s="38" t="s">
        <v>852</v>
      </c>
      <c r="N397" s="10"/>
      <c r="O397" s="10"/>
      <c r="P397" s="10"/>
      <c r="Q397" s="38" t="s">
        <v>852</v>
      </c>
      <c r="R397" s="38" t="s">
        <v>852</v>
      </c>
    </row>
    <row r="398" spans="1:39" ht="15.75" customHeight="1" x14ac:dyDescent="0.3">
      <c r="A398" s="234" t="s">
        <v>1245</v>
      </c>
      <c r="B398" s="10"/>
      <c r="C398" s="10"/>
      <c r="D398" s="10"/>
      <c r="E398" s="38" t="s">
        <v>852</v>
      </c>
      <c r="F398" s="10"/>
      <c r="G398" s="10"/>
      <c r="H398" s="10"/>
      <c r="I398" s="38" t="s">
        <v>852</v>
      </c>
      <c r="J398" s="10"/>
      <c r="K398" s="10"/>
      <c r="L398" s="10"/>
      <c r="M398" s="38" t="s">
        <v>852</v>
      </c>
      <c r="N398" s="10"/>
      <c r="O398" s="10"/>
      <c r="P398" s="10"/>
      <c r="Q398" s="38" t="s">
        <v>852</v>
      </c>
      <c r="R398" s="38" t="s">
        <v>852</v>
      </c>
    </row>
    <row r="399" spans="1:39" ht="15.75" customHeight="1" x14ac:dyDescent="0.3">
      <c r="A399" s="256" t="s">
        <v>727</v>
      </c>
      <c r="B399" s="10">
        <v>2695</v>
      </c>
      <c r="C399" s="10">
        <v>2762</v>
      </c>
      <c r="D399" s="10">
        <v>7469</v>
      </c>
      <c r="E399" s="38">
        <f>SUM(B399:D399)</f>
        <v>12926</v>
      </c>
      <c r="F399" s="10">
        <v>8692</v>
      </c>
      <c r="G399" s="10">
        <v>12002</v>
      </c>
      <c r="H399" s="10">
        <v>11518</v>
      </c>
      <c r="I399" s="38">
        <f>SUM(F399:H399)</f>
        <v>32212</v>
      </c>
      <c r="J399" s="10">
        <v>9679</v>
      </c>
      <c r="K399" s="10">
        <v>6421</v>
      </c>
      <c r="L399" s="10">
        <v>4956</v>
      </c>
      <c r="M399" s="38">
        <f>SUM(J399:L399)</f>
        <v>21056</v>
      </c>
      <c r="N399" s="10">
        <v>459</v>
      </c>
      <c r="O399" s="10">
        <v>1030</v>
      </c>
      <c r="P399" s="10">
        <v>996</v>
      </c>
      <c r="Q399" s="38">
        <f>SUM(N399:P399)</f>
        <v>2485</v>
      </c>
      <c r="R399" s="38">
        <f>+E399+I399+M399+Q399</f>
        <v>68679</v>
      </c>
      <c r="T399" t="s">
        <v>2174</v>
      </c>
    </row>
    <row r="400" spans="1:39" ht="15.75" customHeight="1" x14ac:dyDescent="0.3">
      <c r="A400" s="410" t="s">
        <v>2618</v>
      </c>
      <c r="B400" s="10"/>
      <c r="C400" s="10">
        <f>468+47</f>
        <v>515</v>
      </c>
      <c r="D400" s="10">
        <f>323+326</f>
        <v>649</v>
      </c>
      <c r="E400" s="38">
        <f>SUM(B400:D400)</f>
        <v>1164</v>
      </c>
      <c r="F400" s="10">
        <f>593+117</f>
        <v>710</v>
      </c>
      <c r="G400" s="10">
        <f>730+2717</f>
        <v>3447</v>
      </c>
      <c r="H400" s="10">
        <f>1762+4636</f>
        <v>6398</v>
      </c>
      <c r="I400" s="38">
        <f>SUM(F400:H400)</f>
        <v>10555</v>
      </c>
      <c r="J400" s="10">
        <v>12927</v>
      </c>
      <c r="K400" s="10">
        <v>11204</v>
      </c>
      <c r="L400" s="10">
        <v>9302</v>
      </c>
      <c r="M400" s="38">
        <f>SUM(J400:L400)</f>
        <v>33433</v>
      </c>
      <c r="N400" s="10">
        <v>1742</v>
      </c>
      <c r="O400" s="10">
        <v>4665</v>
      </c>
      <c r="P400" s="10">
        <v>3248</v>
      </c>
      <c r="Q400" s="38">
        <f>SUM(N400:P400)</f>
        <v>9655</v>
      </c>
      <c r="R400" s="38">
        <f>+E400+I400+M400+Q400</f>
        <v>54807</v>
      </c>
      <c r="T400" t="s">
        <v>2176</v>
      </c>
    </row>
    <row r="401" spans="1:20" ht="15.75" customHeight="1" x14ac:dyDescent="0.3">
      <c r="A401" s="234" t="s">
        <v>1711</v>
      </c>
      <c r="B401" s="10"/>
      <c r="C401" s="10"/>
      <c r="D401" s="10"/>
      <c r="E401" s="38" t="s">
        <v>852</v>
      </c>
      <c r="F401" s="10"/>
      <c r="G401" s="10"/>
      <c r="H401" s="10"/>
      <c r="I401" s="38" t="s">
        <v>852</v>
      </c>
      <c r="J401" s="10"/>
      <c r="K401" s="10"/>
      <c r="L401" s="10"/>
      <c r="M401" s="38" t="s">
        <v>852</v>
      </c>
      <c r="N401" s="10"/>
      <c r="O401" s="10"/>
      <c r="P401" s="10"/>
      <c r="Q401" s="38" t="s">
        <v>852</v>
      </c>
      <c r="R401" s="38" t="s">
        <v>852</v>
      </c>
    </row>
    <row r="402" spans="1:20" ht="15.75" customHeight="1" x14ac:dyDescent="0.3">
      <c r="A402" s="410" t="s">
        <v>3151</v>
      </c>
      <c r="B402" s="10"/>
      <c r="C402" s="10"/>
      <c r="D402" s="10"/>
      <c r="E402" s="38">
        <f>SUM(B402:D402)</f>
        <v>0</v>
      </c>
      <c r="F402" s="10"/>
      <c r="G402" s="10">
        <v>90</v>
      </c>
      <c r="H402" s="10">
        <v>4910</v>
      </c>
      <c r="I402" s="38">
        <f>SUM(F402:H402)</f>
        <v>5000</v>
      </c>
      <c r="J402" s="10"/>
      <c r="K402" s="10"/>
      <c r="L402" s="10"/>
      <c r="M402" s="38">
        <f>SUM(J402:L402)</f>
        <v>0</v>
      </c>
      <c r="N402" s="10"/>
      <c r="O402" s="10"/>
      <c r="P402" s="10"/>
      <c r="Q402" s="38">
        <f>SUM(N402:P402)</f>
        <v>0</v>
      </c>
      <c r="R402" s="38">
        <f t="shared" ref="R402:R450" si="172">+E402+I402+M402+Q402</f>
        <v>5000</v>
      </c>
    </row>
    <row r="403" spans="1:20" ht="15.75" customHeight="1" x14ac:dyDescent="0.3">
      <c r="A403" s="410" t="s">
        <v>3148</v>
      </c>
      <c r="B403" s="10"/>
      <c r="C403" s="10"/>
      <c r="D403" s="10"/>
      <c r="E403" s="38">
        <f t="shared" ref="E403:E406" si="173">SUM(B403:D403)</f>
        <v>0</v>
      </c>
      <c r="F403" s="10"/>
      <c r="G403" s="10"/>
      <c r="H403" s="10"/>
      <c r="I403" s="38">
        <f t="shared" ref="I403:I450" si="174">SUM(F403:H403)</f>
        <v>0</v>
      </c>
      <c r="J403" s="10"/>
      <c r="K403" s="10"/>
      <c r="L403" s="10"/>
      <c r="M403" s="38">
        <f t="shared" ref="M403:M450" si="175">SUM(J403:L403)</f>
        <v>0</v>
      </c>
      <c r="N403" s="10"/>
      <c r="O403" s="10"/>
      <c r="P403" s="10"/>
      <c r="Q403" s="38">
        <f t="shared" ref="Q403:Q451" si="176">SUM(N403:P403)</f>
        <v>0</v>
      </c>
      <c r="R403" s="38">
        <f t="shared" si="172"/>
        <v>0</v>
      </c>
    </row>
    <row r="404" spans="1:20" ht="15.75" customHeight="1" x14ac:dyDescent="0.3">
      <c r="A404" s="410" t="s">
        <v>3048</v>
      </c>
      <c r="B404" s="10"/>
      <c r="C404" s="10"/>
      <c r="D404" s="10">
        <v>972</v>
      </c>
      <c r="E404" s="38">
        <f t="shared" si="173"/>
        <v>972</v>
      </c>
      <c r="F404" s="10"/>
      <c r="G404" s="10"/>
      <c r="H404" s="10"/>
      <c r="I404" s="38">
        <f t="shared" si="174"/>
        <v>0</v>
      </c>
      <c r="J404" s="10"/>
      <c r="K404" s="10"/>
      <c r="L404" s="10"/>
      <c r="M404" s="38">
        <f t="shared" si="175"/>
        <v>0</v>
      </c>
      <c r="N404" s="10"/>
      <c r="O404" s="10"/>
      <c r="P404" s="10"/>
      <c r="Q404" s="38">
        <f t="shared" si="176"/>
        <v>0</v>
      </c>
      <c r="R404" s="38">
        <f t="shared" si="172"/>
        <v>972</v>
      </c>
      <c r="T404" t="s">
        <v>1358</v>
      </c>
    </row>
    <row r="405" spans="1:20" ht="15.75" customHeight="1" x14ac:dyDescent="0.3">
      <c r="A405" s="410" t="s">
        <v>2781</v>
      </c>
      <c r="B405" s="10">
        <v>786</v>
      </c>
      <c r="C405" s="10">
        <v>77</v>
      </c>
      <c r="D405" s="10"/>
      <c r="E405" s="38">
        <f t="shared" si="173"/>
        <v>863</v>
      </c>
      <c r="F405" s="10"/>
      <c r="G405" s="10"/>
      <c r="H405" s="10"/>
      <c r="I405" s="38">
        <f t="shared" si="174"/>
        <v>0</v>
      </c>
      <c r="J405" s="10"/>
      <c r="K405" s="10"/>
      <c r="L405" s="10"/>
      <c r="M405" s="38">
        <f t="shared" si="175"/>
        <v>0</v>
      </c>
      <c r="N405" s="10"/>
      <c r="O405" s="10"/>
      <c r="P405" s="10"/>
      <c r="Q405" s="38">
        <f t="shared" si="176"/>
        <v>0</v>
      </c>
      <c r="R405" s="38">
        <f t="shared" si="172"/>
        <v>863</v>
      </c>
      <c r="T405" t="s">
        <v>2780</v>
      </c>
    </row>
    <row r="406" spans="1:20" ht="15.75" customHeight="1" x14ac:dyDescent="0.3">
      <c r="A406" s="410" t="s">
        <v>2782</v>
      </c>
      <c r="B406" s="10"/>
      <c r="C406" s="10"/>
      <c r="D406" s="10"/>
      <c r="E406" s="38">
        <f t="shared" si="173"/>
        <v>0</v>
      </c>
      <c r="F406" s="10"/>
      <c r="G406" s="10"/>
      <c r="H406" s="10"/>
      <c r="I406" s="38">
        <f t="shared" si="174"/>
        <v>0</v>
      </c>
      <c r="J406" s="10"/>
      <c r="K406" s="10"/>
      <c r="L406" s="10"/>
      <c r="M406" s="38">
        <f t="shared" si="175"/>
        <v>0</v>
      </c>
      <c r="N406" s="10"/>
      <c r="O406" s="10"/>
      <c r="P406" s="10"/>
      <c r="Q406" s="38">
        <f t="shared" si="176"/>
        <v>0</v>
      </c>
      <c r="R406" s="38">
        <f t="shared" si="172"/>
        <v>0</v>
      </c>
      <c r="T406" t="s">
        <v>1358</v>
      </c>
    </row>
    <row r="407" spans="1:20" ht="15.75" customHeight="1" x14ac:dyDescent="0.3">
      <c r="A407" s="256" t="s">
        <v>1150</v>
      </c>
      <c r="B407" s="10"/>
      <c r="C407" s="10"/>
      <c r="D407" s="10"/>
      <c r="E407" s="38">
        <f t="shared" ref="E407:E450" si="177">SUM(B407:D407)</f>
        <v>0</v>
      </c>
      <c r="F407" s="10">
        <v>138</v>
      </c>
      <c r="G407" s="10">
        <v>489</v>
      </c>
      <c r="H407" s="10"/>
      <c r="I407" s="38">
        <f t="shared" si="174"/>
        <v>627</v>
      </c>
      <c r="J407" s="10"/>
      <c r="K407" s="10"/>
      <c r="L407" s="10"/>
      <c r="M407" s="38">
        <f t="shared" si="175"/>
        <v>0</v>
      </c>
      <c r="N407" s="10"/>
      <c r="O407" s="10"/>
      <c r="P407" s="10"/>
      <c r="Q407" s="38">
        <f t="shared" si="176"/>
        <v>0</v>
      </c>
      <c r="R407" s="38">
        <f t="shared" si="172"/>
        <v>627</v>
      </c>
    </row>
    <row r="408" spans="1:20" ht="15.75" customHeight="1" x14ac:dyDescent="0.3">
      <c r="A408" s="410" t="s">
        <v>3207</v>
      </c>
      <c r="B408" s="10"/>
      <c r="C408" s="10"/>
      <c r="D408" s="10"/>
      <c r="E408" s="38">
        <f t="shared" si="177"/>
        <v>0</v>
      </c>
      <c r="F408" s="10"/>
      <c r="G408" s="10"/>
      <c r="H408" s="10"/>
      <c r="I408" s="38">
        <f t="shared" si="174"/>
        <v>0</v>
      </c>
      <c r="J408" s="10"/>
      <c r="K408" s="10"/>
      <c r="L408" s="10"/>
      <c r="M408" s="38">
        <f t="shared" si="175"/>
        <v>0</v>
      </c>
      <c r="N408" s="10"/>
      <c r="O408" s="10"/>
      <c r="P408" s="10"/>
      <c r="Q408" s="38">
        <f t="shared" si="176"/>
        <v>0</v>
      </c>
      <c r="R408" s="38">
        <f t="shared" si="172"/>
        <v>0</v>
      </c>
    </row>
    <row r="409" spans="1:20" ht="15.75" customHeight="1" x14ac:dyDescent="0.3">
      <c r="A409" s="410" t="s">
        <v>2598</v>
      </c>
      <c r="B409" s="10"/>
      <c r="C409" s="10"/>
      <c r="D409" s="10"/>
      <c r="E409" s="38">
        <f t="shared" si="177"/>
        <v>0</v>
      </c>
      <c r="F409" s="10"/>
      <c r="G409" s="10"/>
      <c r="H409" s="10"/>
      <c r="I409" s="38">
        <f t="shared" si="174"/>
        <v>0</v>
      </c>
      <c r="J409" s="10"/>
      <c r="K409" s="10"/>
      <c r="L409" s="10"/>
      <c r="M409" s="38">
        <f t="shared" si="175"/>
        <v>0</v>
      </c>
      <c r="N409" s="10"/>
      <c r="O409" s="10"/>
      <c r="P409" s="10"/>
      <c r="Q409" s="38">
        <f t="shared" si="176"/>
        <v>0</v>
      </c>
      <c r="R409" s="38">
        <f>+E409+I409+M409+Q409</f>
        <v>0</v>
      </c>
      <c r="T409" t="s">
        <v>2178</v>
      </c>
    </row>
    <row r="410" spans="1:20" ht="15.75" customHeight="1" x14ac:dyDescent="0.3">
      <c r="A410" s="410" t="s">
        <v>2978</v>
      </c>
      <c r="B410" s="10"/>
      <c r="C410" s="10"/>
      <c r="D410" s="10"/>
      <c r="E410" s="38">
        <f t="shared" si="177"/>
        <v>0</v>
      </c>
      <c r="F410" s="10"/>
      <c r="G410" s="10"/>
      <c r="H410" s="10"/>
      <c r="I410" s="38">
        <f t="shared" si="174"/>
        <v>0</v>
      </c>
      <c r="J410" s="10"/>
      <c r="K410" s="10"/>
      <c r="L410" s="10"/>
      <c r="M410" s="38">
        <f t="shared" si="175"/>
        <v>0</v>
      </c>
      <c r="N410" s="10">
        <v>727</v>
      </c>
      <c r="O410" s="10"/>
      <c r="P410" s="10"/>
      <c r="Q410" s="38">
        <f t="shared" si="176"/>
        <v>727</v>
      </c>
      <c r="R410" s="38">
        <f t="shared" si="172"/>
        <v>727</v>
      </c>
      <c r="T410" t="s">
        <v>2174</v>
      </c>
    </row>
    <row r="411" spans="1:20" ht="15.75" customHeight="1" x14ac:dyDescent="0.3">
      <c r="A411" s="410" t="s">
        <v>2729</v>
      </c>
      <c r="B411" s="10">
        <v>317</v>
      </c>
      <c r="C411" s="10">
        <v>706</v>
      </c>
      <c r="D411" s="10">
        <v>1000</v>
      </c>
      <c r="E411" s="38">
        <f t="shared" si="177"/>
        <v>2023</v>
      </c>
      <c r="F411" s="10">
        <v>2927</v>
      </c>
      <c r="G411" s="10">
        <v>2769</v>
      </c>
      <c r="H411" s="10">
        <v>2000</v>
      </c>
      <c r="I411" s="38">
        <f t="shared" si="174"/>
        <v>7696</v>
      </c>
      <c r="J411" s="10">
        <f>2780+2475</f>
        <v>5255</v>
      </c>
      <c r="K411" s="10"/>
      <c r="L411" s="10">
        <v>26</v>
      </c>
      <c r="M411" s="38">
        <f t="shared" si="175"/>
        <v>5281</v>
      </c>
      <c r="N411" s="10"/>
      <c r="O411" s="10"/>
      <c r="P411" s="10"/>
      <c r="Q411" s="38">
        <f t="shared" si="176"/>
        <v>0</v>
      </c>
      <c r="R411" s="38">
        <f t="shared" si="172"/>
        <v>15000</v>
      </c>
    </row>
    <row r="412" spans="1:20" ht="15.75" customHeight="1" x14ac:dyDescent="0.3">
      <c r="A412" s="311" t="s">
        <v>464</v>
      </c>
      <c r="B412" s="10"/>
      <c r="C412" s="10">
        <v>1620</v>
      </c>
      <c r="D412" s="10">
        <v>3060</v>
      </c>
      <c r="E412" s="38">
        <f t="shared" si="177"/>
        <v>4680</v>
      </c>
      <c r="F412" s="10">
        <v>3580</v>
      </c>
      <c r="G412" s="10">
        <v>6080</v>
      </c>
      <c r="H412" s="10">
        <v>7630</v>
      </c>
      <c r="I412" s="38">
        <f t="shared" si="174"/>
        <v>17290</v>
      </c>
      <c r="J412" s="10">
        <v>4530</v>
      </c>
      <c r="K412" s="10">
        <v>3000</v>
      </c>
      <c r="L412" s="10">
        <v>5500</v>
      </c>
      <c r="M412" s="38">
        <f t="shared" si="175"/>
        <v>13030</v>
      </c>
      <c r="N412" s="10"/>
      <c r="O412" s="10">
        <v>6300</v>
      </c>
      <c r="P412" s="10">
        <v>1700</v>
      </c>
      <c r="Q412" s="38">
        <f t="shared" si="176"/>
        <v>8000</v>
      </c>
      <c r="R412" s="38">
        <f t="shared" si="172"/>
        <v>43000</v>
      </c>
      <c r="T412" t="s">
        <v>2174</v>
      </c>
    </row>
    <row r="413" spans="1:20" ht="15.75" customHeight="1" x14ac:dyDescent="0.3">
      <c r="A413" s="410" t="s">
        <v>1381</v>
      </c>
      <c r="B413" s="10"/>
      <c r="C413" s="10"/>
      <c r="D413" s="10"/>
      <c r="E413" s="38">
        <f t="shared" si="177"/>
        <v>0</v>
      </c>
      <c r="F413" s="10"/>
      <c r="G413" s="10"/>
      <c r="H413" s="10">
        <v>7282</v>
      </c>
      <c r="I413" s="38">
        <f t="shared" si="174"/>
        <v>7282</v>
      </c>
      <c r="J413" s="10">
        <f>12245+1506</f>
        <v>13751</v>
      </c>
      <c r="K413" s="10">
        <f>10823+1469</f>
        <v>12292</v>
      </c>
      <c r="L413" s="10">
        <f>6368+992</f>
        <v>7360</v>
      </c>
      <c r="M413" s="38">
        <f t="shared" si="175"/>
        <v>33403</v>
      </c>
      <c r="N413" s="10">
        <f>2809+21</f>
        <v>2830</v>
      </c>
      <c r="O413" s="10">
        <f>3339+105</f>
        <v>3444</v>
      </c>
      <c r="P413" s="10">
        <f>2714+327</f>
        <v>3041</v>
      </c>
      <c r="Q413" s="38">
        <f t="shared" si="176"/>
        <v>9315</v>
      </c>
      <c r="R413" s="38">
        <f t="shared" si="172"/>
        <v>50000</v>
      </c>
    </row>
    <row r="414" spans="1:20" ht="15.75" customHeight="1" x14ac:dyDescent="0.3">
      <c r="A414" s="410" t="s">
        <v>3052</v>
      </c>
      <c r="B414" s="10"/>
      <c r="C414" s="10">
        <v>1572</v>
      </c>
      <c r="D414" s="10">
        <v>3774</v>
      </c>
      <c r="E414" s="38">
        <f t="shared" si="177"/>
        <v>5346</v>
      </c>
      <c r="F414" s="10">
        <v>5715</v>
      </c>
      <c r="G414" s="10">
        <v>939</v>
      </c>
      <c r="H414" s="10"/>
      <c r="I414" s="38">
        <f t="shared" si="174"/>
        <v>6654</v>
      </c>
      <c r="J414" s="10"/>
      <c r="K414" s="10"/>
      <c r="L414" s="10"/>
      <c r="M414" s="38">
        <f t="shared" si="175"/>
        <v>0</v>
      </c>
      <c r="N414" s="10"/>
      <c r="O414" s="10"/>
      <c r="P414" s="10"/>
      <c r="Q414" s="38">
        <f t="shared" si="176"/>
        <v>0</v>
      </c>
      <c r="R414" s="38">
        <f t="shared" si="172"/>
        <v>12000</v>
      </c>
    </row>
    <row r="415" spans="1:20" ht="15.75" customHeight="1" x14ac:dyDescent="0.3">
      <c r="A415" s="410" t="s">
        <v>3153</v>
      </c>
      <c r="B415" s="10"/>
      <c r="C415" s="10"/>
      <c r="D415" s="10"/>
      <c r="E415" s="38">
        <f t="shared" si="177"/>
        <v>0</v>
      </c>
      <c r="F415" s="10"/>
      <c r="G415" s="10">
        <v>560</v>
      </c>
      <c r="H415" s="10"/>
      <c r="I415" s="38">
        <f t="shared" si="174"/>
        <v>560</v>
      </c>
      <c r="J415" s="10"/>
      <c r="K415" s="10"/>
      <c r="L415" s="10"/>
      <c r="M415" s="38">
        <f t="shared" si="175"/>
        <v>0</v>
      </c>
      <c r="N415" s="10"/>
      <c r="O415" s="10"/>
      <c r="P415" s="10"/>
      <c r="Q415" s="38">
        <f t="shared" ref="Q415" si="178">SUM(N415:P415)</f>
        <v>0</v>
      </c>
      <c r="R415" s="38">
        <f t="shared" si="172"/>
        <v>560</v>
      </c>
    </row>
    <row r="416" spans="1:20" ht="15.75" customHeight="1" x14ac:dyDescent="0.3">
      <c r="A416" s="410" t="s">
        <v>3036</v>
      </c>
      <c r="B416" s="10">
        <v>117</v>
      </c>
      <c r="C416" s="10">
        <v>108</v>
      </c>
      <c r="D416" s="10">
        <v>117</v>
      </c>
      <c r="E416" s="38">
        <f t="shared" si="177"/>
        <v>342</v>
      </c>
      <c r="F416" s="10">
        <v>98</v>
      </c>
      <c r="G416" s="10"/>
      <c r="H416" s="10"/>
      <c r="I416" s="38">
        <f t="shared" si="174"/>
        <v>98</v>
      </c>
      <c r="J416" s="10"/>
      <c r="K416" s="10"/>
      <c r="L416" s="10"/>
      <c r="M416" s="38">
        <f t="shared" si="175"/>
        <v>0</v>
      </c>
      <c r="N416" s="10"/>
      <c r="O416" s="10"/>
      <c r="P416" s="10"/>
      <c r="Q416" s="38">
        <f t="shared" si="176"/>
        <v>0</v>
      </c>
      <c r="R416" s="38">
        <f t="shared" si="172"/>
        <v>440</v>
      </c>
    </row>
    <row r="417" spans="1:20" ht="15.75" customHeight="1" x14ac:dyDescent="0.3">
      <c r="A417" s="410" t="s">
        <v>2953</v>
      </c>
      <c r="B417" s="10"/>
      <c r="C417" s="10"/>
      <c r="D417" s="10"/>
      <c r="E417" s="38">
        <f t="shared" si="177"/>
        <v>0</v>
      </c>
      <c r="F417" s="10"/>
      <c r="G417" s="10"/>
      <c r="H417" s="10"/>
      <c r="I417" s="38">
        <f t="shared" si="174"/>
        <v>0</v>
      </c>
      <c r="J417" s="10"/>
      <c r="K417" s="10"/>
      <c r="L417" s="10"/>
      <c r="M417" s="38">
        <f t="shared" si="175"/>
        <v>0</v>
      </c>
      <c r="N417" s="10"/>
      <c r="O417" s="10"/>
      <c r="P417" s="10"/>
      <c r="Q417" s="38">
        <f t="shared" si="176"/>
        <v>0</v>
      </c>
      <c r="R417" s="38">
        <f t="shared" si="172"/>
        <v>0</v>
      </c>
      <c r="T417" t="s">
        <v>1358</v>
      </c>
    </row>
    <row r="418" spans="1:20" ht="15.75" customHeight="1" x14ac:dyDescent="0.3">
      <c r="A418" s="410" t="s">
        <v>3031</v>
      </c>
      <c r="B418" s="10">
        <v>14</v>
      </c>
      <c r="C418" s="10">
        <v>17</v>
      </c>
      <c r="D418" s="10">
        <v>18</v>
      </c>
      <c r="E418" s="38">
        <f t="shared" si="177"/>
        <v>49</v>
      </c>
      <c r="F418" s="10">
        <v>22</v>
      </c>
      <c r="G418" s="10">
        <v>14</v>
      </c>
      <c r="H418" s="10">
        <v>36</v>
      </c>
      <c r="I418" s="38">
        <f t="shared" si="174"/>
        <v>72</v>
      </c>
      <c r="J418" s="10">
        <v>34</v>
      </c>
      <c r="K418" s="10">
        <v>36</v>
      </c>
      <c r="L418" s="10">
        <v>27</v>
      </c>
      <c r="M418" s="38">
        <f t="shared" si="175"/>
        <v>97</v>
      </c>
      <c r="N418" s="10">
        <v>18</v>
      </c>
      <c r="O418" s="10"/>
      <c r="P418" s="10">
        <v>18</v>
      </c>
      <c r="Q418" s="38">
        <f t="shared" si="176"/>
        <v>36</v>
      </c>
      <c r="R418" s="38">
        <f t="shared" si="172"/>
        <v>254</v>
      </c>
      <c r="T418" t="s">
        <v>131</v>
      </c>
    </row>
    <row r="419" spans="1:20" ht="15.75" customHeight="1" x14ac:dyDescent="0.3">
      <c r="A419" s="410" t="s">
        <v>2959</v>
      </c>
      <c r="B419" s="10">
        <v>791</v>
      </c>
      <c r="C419" s="10">
        <v>509</v>
      </c>
      <c r="D419" s="10">
        <v>1173</v>
      </c>
      <c r="E419" s="38">
        <f t="shared" si="177"/>
        <v>2473</v>
      </c>
      <c r="F419" s="10">
        <v>1322</v>
      </c>
      <c r="G419" s="10">
        <v>1509</v>
      </c>
      <c r="H419" s="10">
        <v>712</v>
      </c>
      <c r="I419" s="38">
        <f t="shared" si="174"/>
        <v>3543</v>
      </c>
      <c r="J419" s="10"/>
      <c r="K419" s="10"/>
      <c r="L419" s="10"/>
      <c r="M419" s="38">
        <f t="shared" si="175"/>
        <v>0</v>
      </c>
      <c r="N419" s="10"/>
      <c r="O419" s="10"/>
      <c r="P419" s="10"/>
      <c r="Q419" s="38">
        <f t="shared" si="176"/>
        <v>0</v>
      </c>
      <c r="R419" s="38">
        <f t="shared" si="172"/>
        <v>6016</v>
      </c>
      <c r="T419" t="s">
        <v>2780</v>
      </c>
    </row>
    <row r="420" spans="1:20" ht="15.75" customHeight="1" x14ac:dyDescent="0.3">
      <c r="A420" s="256" t="s">
        <v>2362</v>
      </c>
      <c r="B420" s="10"/>
      <c r="C420" s="10">
        <v>2071</v>
      </c>
      <c r="D420" s="10">
        <v>3347</v>
      </c>
      <c r="E420" s="38">
        <f t="shared" si="177"/>
        <v>5418</v>
      </c>
      <c r="F420" s="10">
        <v>2028</v>
      </c>
      <c r="G420" s="10"/>
      <c r="H420" s="10"/>
      <c r="I420" s="38">
        <f t="shared" si="174"/>
        <v>2028</v>
      </c>
      <c r="J420" s="10"/>
      <c r="K420" s="10"/>
      <c r="L420" s="10"/>
      <c r="M420" s="38">
        <f t="shared" si="175"/>
        <v>0</v>
      </c>
      <c r="N420" s="10"/>
      <c r="O420" s="10"/>
      <c r="P420" s="10"/>
      <c r="Q420" s="38">
        <f t="shared" si="176"/>
        <v>0</v>
      </c>
      <c r="R420" s="38">
        <f>+E420+I420+M420+Q420</f>
        <v>7446</v>
      </c>
    </row>
    <row r="421" spans="1:20" ht="15.75" customHeight="1" x14ac:dyDescent="0.3">
      <c r="A421" s="256" t="s">
        <v>2263</v>
      </c>
      <c r="B421" s="10"/>
      <c r="C421" s="10"/>
      <c r="D421" s="10"/>
      <c r="E421" s="38">
        <f t="shared" si="177"/>
        <v>0</v>
      </c>
      <c r="F421" s="10"/>
      <c r="G421" s="10"/>
      <c r="H421" s="10"/>
      <c r="I421" s="38">
        <f t="shared" si="174"/>
        <v>0</v>
      </c>
      <c r="J421" s="10"/>
      <c r="K421" s="10"/>
      <c r="L421" s="10"/>
      <c r="M421" s="38">
        <f t="shared" si="175"/>
        <v>0</v>
      </c>
      <c r="N421" s="10"/>
      <c r="O421" s="10"/>
      <c r="P421" s="10"/>
      <c r="Q421" s="38">
        <f t="shared" si="176"/>
        <v>0</v>
      </c>
      <c r="R421" s="38">
        <f>+E421+I421+M421+Q421</f>
        <v>0</v>
      </c>
    </row>
    <row r="422" spans="1:20" ht="15.75" customHeight="1" x14ac:dyDescent="0.3">
      <c r="A422" s="410" t="s">
        <v>3159</v>
      </c>
      <c r="B422" s="10"/>
      <c r="C422" s="10"/>
      <c r="D422" s="10"/>
      <c r="E422" s="38">
        <f t="shared" si="177"/>
        <v>0</v>
      </c>
      <c r="F422" s="10"/>
      <c r="G422" s="10"/>
      <c r="H422" s="10"/>
      <c r="I422" s="38">
        <f t="shared" si="174"/>
        <v>0</v>
      </c>
      <c r="J422" s="10"/>
      <c r="K422" s="10"/>
      <c r="L422" s="10"/>
      <c r="M422" s="38">
        <f t="shared" si="175"/>
        <v>0</v>
      </c>
      <c r="N422" s="10"/>
      <c r="O422" s="10"/>
      <c r="P422" s="10"/>
      <c r="Q422" s="38">
        <f t="shared" si="176"/>
        <v>0</v>
      </c>
      <c r="R422" s="38">
        <f>+E422+I422+M422+Q422</f>
        <v>0</v>
      </c>
    </row>
    <row r="423" spans="1:20" ht="15.75" customHeight="1" x14ac:dyDescent="0.3">
      <c r="A423" s="410" t="s">
        <v>3160</v>
      </c>
      <c r="B423" s="10"/>
      <c r="C423" s="10">
        <v>768</v>
      </c>
      <c r="D423" s="10">
        <v>165</v>
      </c>
      <c r="E423" s="38">
        <f t="shared" si="177"/>
        <v>933</v>
      </c>
      <c r="F423" s="10"/>
      <c r="G423" s="10"/>
      <c r="H423" s="10"/>
      <c r="I423" s="38">
        <f t="shared" si="174"/>
        <v>0</v>
      </c>
      <c r="J423" s="10"/>
      <c r="K423" s="10"/>
      <c r="L423" s="10"/>
      <c r="M423" s="38">
        <f t="shared" si="175"/>
        <v>0</v>
      </c>
      <c r="N423" s="10"/>
      <c r="O423" s="10"/>
      <c r="P423" s="10"/>
      <c r="Q423" s="38">
        <f t="shared" si="176"/>
        <v>0</v>
      </c>
      <c r="R423" s="38">
        <f>+E423+I423+M423+Q423</f>
        <v>933</v>
      </c>
      <c r="T423" t="s">
        <v>1358</v>
      </c>
    </row>
    <row r="424" spans="1:20" ht="15.75" customHeight="1" x14ac:dyDescent="0.3">
      <c r="A424" s="410" t="s">
        <v>3139</v>
      </c>
      <c r="B424" s="10"/>
      <c r="C424" s="10"/>
      <c r="D424" s="10"/>
      <c r="E424" s="38">
        <f t="shared" ref="E424" si="179">SUM(B424:D424)</f>
        <v>0</v>
      </c>
      <c r="F424" s="10"/>
      <c r="G424" s="10"/>
      <c r="H424" s="10"/>
      <c r="I424" s="38">
        <f t="shared" ref="I424" si="180">SUM(F424:H424)</f>
        <v>0</v>
      </c>
      <c r="J424" s="10"/>
      <c r="K424" s="10"/>
      <c r="L424" s="10"/>
      <c r="M424" s="38">
        <f t="shared" ref="M424" si="181">SUM(J424:L424)</f>
        <v>0</v>
      </c>
      <c r="N424" s="10"/>
      <c r="O424" s="10">
        <v>971</v>
      </c>
      <c r="P424" s="10">
        <v>29</v>
      </c>
      <c r="Q424" s="38">
        <f t="shared" ref="Q424" si="182">SUM(N424:P424)</f>
        <v>1000</v>
      </c>
      <c r="R424" s="38">
        <f t="shared" ref="R424:R425" si="183">+E424+I424+M424+Q424</f>
        <v>1000</v>
      </c>
      <c r="T424" t="s">
        <v>2760</v>
      </c>
    </row>
    <row r="425" spans="1:20" ht="16.5" customHeight="1" x14ac:dyDescent="0.3">
      <c r="A425" s="410" t="s">
        <v>2786</v>
      </c>
      <c r="B425" s="10"/>
      <c r="C425" s="10"/>
      <c r="D425" s="10">
        <v>2543</v>
      </c>
      <c r="E425" s="38">
        <f t="shared" si="177"/>
        <v>2543</v>
      </c>
      <c r="F425" s="10">
        <v>2000</v>
      </c>
      <c r="G425" s="10">
        <v>2500</v>
      </c>
      <c r="H425" s="10">
        <f>2470+1611+1600</f>
        <v>5681</v>
      </c>
      <c r="I425" s="38">
        <f t="shared" si="174"/>
        <v>10181</v>
      </c>
      <c r="J425" s="10">
        <v>1776</v>
      </c>
      <c r="K425" s="10"/>
      <c r="L425" s="10"/>
      <c r="M425" s="38">
        <f t="shared" si="175"/>
        <v>1776</v>
      </c>
      <c r="N425" s="10"/>
      <c r="O425" s="10"/>
      <c r="P425" s="10"/>
      <c r="Q425" s="38">
        <f t="shared" ref="Q425" si="184">SUM(N425:P425)</f>
        <v>0</v>
      </c>
      <c r="R425" s="38">
        <f t="shared" si="183"/>
        <v>14500</v>
      </c>
      <c r="T425" t="s">
        <v>2777</v>
      </c>
    </row>
    <row r="426" spans="1:20" ht="15.75" customHeight="1" x14ac:dyDescent="0.3">
      <c r="A426" s="410" t="s">
        <v>3140</v>
      </c>
      <c r="B426" s="10"/>
      <c r="C426" s="10"/>
      <c r="D426" s="10">
        <v>1960</v>
      </c>
      <c r="E426" s="38">
        <f t="shared" si="177"/>
        <v>1960</v>
      </c>
      <c r="F426" s="10">
        <v>2204</v>
      </c>
      <c r="G426" s="10">
        <f>2917+105</f>
        <v>3022</v>
      </c>
      <c r="H426" s="10">
        <f>2859+125</f>
        <v>2984</v>
      </c>
      <c r="I426" s="38">
        <f t="shared" si="174"/>
        <v>8210</v>
      </c>
      <c r="J426" s="10">
        <v>2830</v>
      </c>
      <c r="K426" s="10"/>
      <c r="L426" s="10"/>
      <c r="M426" s="38">
        <f t="shared" si="175"/>
        <v>2830</v>
      </c>
      <c r="N426" s="10"/>
      <c r="O426" s="10"/>
      <c r="P426" s="10"/>
      <c r="Q426" s="38">
        <f t="shared" ref="Q426" si="185">SUM(N426:P426)</f>
        <v>0</v>
      </c>
      <c r="R426" s="38">
        <f t="shared" si="172"/>
        <v>13000</v>
      </c>
      <c r="T426" t="s">
        <v>2175</v>
      </c>
    </row>
    <row r="427" spans="1:20" ht="15.75" customHeight="1" x14ac:dyDescent="0.3">
      <c r="A427" s="410" t="s">
        <v>2787</v>
      </c>
      <c r="B427" s="10"/>
      <c r="C427" s="10"/>
      <c r="D427" s="10"/>
      <c r="E427" s="38">
        <f t="shared" si="177"/>
        <v>0</v>
      </c>
      <c r="F427" s="10"/>
      <c r="G427" s="10"/>
      <c r="H427" s="10"/>
      <c r="I427" s="38">
        <f t="shared" si="174"/>
        <v>0</v>
      </c>
      <c r="J427" s="10"/>
      <c r="K427" s="10"/>
      <c r="L427" s="10"/>
      <c r="M427" s="38">
        <f t="shared" si="175"/>
        <v>0</v>
      </c>
      <c r="N427" s="10"/>
      <c r="O427" s="10"/>
      <c r="P427" s="10"/>
      <c r="Q427" s="38">
        <f t="shared" si="176"/>
        <v>0</v>
      </c>
      <c r="R427" s="38">
        <f t="shared" si="172"/>
        <v>0</v>
      </c>
      <c r="T427" t="s">
        <v>2175</v>
      </c>
    </row>
    <row r="428" spans="1:20" ht="15.75" customHeight="1" x14ac:dyDescent="0.3">
      <c r="A428" s="410" t="s">
        <v>2788</v>
      </c>
      <c r="B428" s="10"/>
      <c r="C428" s="10"/>
      <c r="D428" s="10"/>
      <c r="E428" s="38">
        <f t="shared" si="177"/>
        <v>0</v>
      </c>
      <c r="F428" s="10"/>
      <c r="G428" s="10"/>
      <c r="H428" s="10"/>
      <c r="I428" s="38">
        <f t="shared" si="174"/>
        <v>0</v>
      </c>
      <c r="J428" s="10"/>
      <c r="K428" s="10"/>
      <c r="L428" s="10"/>
      <c r="M428" s="38">
        <f t="shared" si="175"/>
        <v>0</v>
      </c>
      <c r="N428" s="10"/>
      <c r="O428" s="10"/>
      <c r="P428" s="10"/>
      <c r="Q428" s="38">
        <f t="shared" si="176"/>
        <v>0</v>
      </c>
      <c r="R428" s="38">
        <f t="shared" si="172"/>
        <v>0</v>
      </c>
      <c r="T428" t="s">
        <v>2780</v>
      </c>
    </row>
    <row r="429" spans="1:20" ht="15.75" customHeight="1" x14ac:dyDescent="0.3">
      <c r="A429" s="410" t="s">
        <v>3149</v>
      </c>
      <c r="B429" s="10"/>
      <c r="C429" s="10"/>
      <c r="D429" s="10"/>
      <c r="E429" s="38">
        <f t="shared" si="177"/>
        <v>0</v>
      </c>
      <c r="F429" s="10"/>
      <c r="G429" s="10"/>
      <c r="H429" s="10"/>
      <c r="I429" s="38">
        <f t="shared" si="174"/>
        <v>0</v>
      </c>
      <c r="J429" s="10"/>
      <c r="K429" s="10"/>
      <c r="L429" s="10"/>
      <c r="M429" s="38">
        <f t="shared" si="175"/>
        <v>0</v>
      </c>
      <c r="N429" s="10"/>
      <c r="O429" s="10"/>
      <c r="P429" s="10"/>
      <c r="Q429" s="38">
        <f t="shared" si="176"/>
        <v>0</v>
      </c>
      <c r="R429" s="38">
        <f t="shared" si="172"/>
        <v>0</v>
      </c>
    </row>
    <row r="430" spans="1:20" ht="15.75" customHeight="1" x14ac:dyDescent="0.3">
      <c r="A430" s="410" t="s">
        <v>2789</v>
      </c>
      <c r="B430" s="10"/>
      <c r="C430" s="10"/>
      <c r="D430" s="10">
        <v>768</v>
      </c>
      <c r="E430" s="38">
        <f t="shared" si="177"/>
        <v>768</v>
      </c>
      <c r="F430" s="10"/>
      <c r="G430" s="10"/>
      <c r="H430" s="10"/>
      <c r="I430" s="38">
        <f t="shared" si="174"/>
        <v>0</v>
      </c>
      <c r="J430" s="10"/>
      <c r="K430" s="10"/>
      <c r="L430" s="10"/>
      <c r="M430" s="38">
        <f t="shared" si="175"/>
        <v>0</v>
      </c>
      <c r="N430" s="10"/>
      <c r="O430" s="10"/>
      <c r="P430" s="10"/>
      <c r="Q430" s="38">
        <f t="shared" si="176"/>
        <v>0</v>
      </c>
      <c r="R430" s="38">
        <f t="shared" si="172"/>
        <v>768</v>
      </c>
      <c r="T430" t="s">
        <v>1358</v>
      </c>
    </row>
    <row r="431" spans="1:20" ht="15.75" customHeight="1" x14ac:dyDescent="0.3">
      <c r="A431" s="410" t="s">
        <v>3234</v>
      </c>
      <c r="B431" s="10"/>
      <c r="C431" s="10"/>
      <c r="D431" s="10">
        <v>1100</v>
      </c>
      <c r="E431" s="38">
        <f t="shared" si="177"/>
        <v>1100</v>
      </c>
      <c r="F431" s="10">
        <v>1100</v>
      </c>
      <c r="G431" s="10">
        <v>1100</v>
      </c>
      <c r="H431" s="10">
        <v>1300</v>
      </c>
      <c r="I431" s="38">
        <f t="shared" si="174"/>
        <v>3500</v>
      </c>
      <c r="J431" s="10">
        <v>1500</v>
      </c>
      <c r="K431" s="10">
        <v>1500</v>
      </c>
      <c r="L431" s="10">
        <v>905</v>
      </c>
      <c r="M431" s="38">
        <f t="shared" si="175"/>
        <v>3905</v>
      </c>
      <c r="N431" s="10"/>
      <c r="O431" s="10"/>
      <c r="P431" s="10"/>
      <c r="Q431" s="38">
        <f t="shared" si="176"/>
        <v>0</v>
      </c>
      <c r="R431" s="38">
        <f t="shared" si="172"/>
        <v>8505</v>
      </c>
    </row>
    <row r="432" spans="1:20" ht="15.75" customHeight="1" x14ac:dyDescent="0.3">
      <c r="A432" s="410" t="s">
        <v>3216</v>
      </c>
      <c r="B432" s="10"/>
      <c r="C432" s="10"/>
      <c r="D432" s="10"/>
      <c r="E432" s="38">
        <f>SUM(B432:D432)</f>
        <v>0</v>
      </c>
      <c r="F432" s="10"/>
      <c r="G432" s="10"/>
      <c r="H432" s="10"/>
      <c r="I432" s="38">
        <f>SUM(F432:H432)</f>
        <v>0</v>
      </c>
      <c r="J432" s="10"/>
      <c r="K432" s="10"/>
      <c r="L432" s="10"/>
      <c r="M432" s="38">
        <f>SUM(J432:L432)</f>
        <v>0</v>
      </c>
      <c r="N432" s="10"/>
      <c r="O432" s="10"/>
      <c r="P432" s="10"/>
      <c r="Q432" s="38">
        <f>SUM(N432:P432)</f>
        <v>0</v>
      </c>
      <c r="R432" s="38">
        <f>+E432+I432+M432+Q432</f>
        <v>0</v>
      </c>
    </row>
    <row r="433" spans="1:20" ht="15.75" customHeight="1" x14ac:dyDescent="0.3">
      <c r="A433" s="410" t="s">
        <v>3073</v>
      </c>
      <c r="B433" s="10"/>
      <c r="C433" s="10"/>
      <c r="D433" s="10"/>
      <c r="E433" s="38">
        <f t="shared" si="177"/>
        <v>0</v>
      </c>
      <c r="F433" s="10"/>
      <c r="G433" s="10"/>
      <c r="H433" s="10"/>
      <c r="I433" s="38">
        <f t="shared" si="174"/>
        <v>0</v>
      </c>
      <c r="J433" s="10"/>
      <c r="K433" s="10"/>
      <c r="L433" s="10"/>
      <c r="M433" s="38">
        <f t="shared" si="175"/>
        <v>0</v>
      </c>
      <c r="N433" s="10"/>
      <c r="O433" s="10"/>
      <c r="P433" s="10"/>
      <c r="Q433" s="38">
        <f>SUM(N433:P433)</f>
        <v>0</v>
      </c>
      <c r="R433" s="38">
        <f t="shared" si="172"/>
        <v>0</v>
      </c>
    </row>
    <row r="434" spans="1:20" ht="15.75" customHeight="1" x14ac:dyDescent="0.3">
      <c r="A434" s="410" t="s">
        <v>3061</v>
      </c>
      <c r="B434" s="10"/>
      <c r="C434" s="10">
        <v>1550</v>
      </c>
      <c r="D434" s="10">
        <v>1030</v>
      </c>
      <c r="E434" s="38">
        <f t="shared" si="177"/>
        <v>2580</v>
      </c>
      <c r="F434" s="10">
        <v>2327</v>
      </c>
      <c r="G434" s="10">
        <v>868</v>
      </c>
      <c r="H434" s="10"/>
      <c r="I434" s="38">
        <f t="shared" si="174"/>
        <v>3195</v>
      </c>
      <c r="J434" s="10"/>
      <c r="K434" s="10"/>
      <c r="L434" s="10"/>
      <c r="M434" s="38">
        <f t="shared" si="175"/>
        <v>0</v>
      </c>
      <c r="N434" s="10"/>
      <c r="O434" s="10"/>
      <c r="P434" s="10"/>
      <c r="Q434" s="38">
        <f t="shared" si="176"/>
        <v>0</v>
      </c>
      <c r="R434" s="38">
        <f t="shared" si="172"/>
        <v>5775</v>
      </c>
    </row>
    <row r="435" spans="1:20" ht="15.75" customHeight="1" x14ac:dyDescent="0.3">
      <c r="A435" s="410" t="s">
        <v>3229</v>
      </c>
      <c r="B435" s="10"/>
      <c r="C435" s="10"/>
      <c r="D435" s="10"/>
      <c r="E435" s="38">
        <f t="shared" ref="E435" si="186">SUM(B435:D435)</f>
        <v>0</v>
      </c>
      <c r="F435" s="10"/>
      <c r="G435" s="10"/>
      <c r="H435" s="10">
        <v>928</v>
      </c>
      <c r="I435" s="38">
        <f t="shared" ref="I435" si="187">SUM(F435:H435)</f>
        <v>928</v>
      </c>
      <c r="J435" s="10">
        <v>882</v>
      </c>
      <c r="K435" s="10"/>
      <c r="L435" s="10"/>
      <c r="M435" s="38">
        <f t="shared" ref="M435" si="188">SUM(J435:L435)</f>
        <v>882</v>
      </c>
      <c r="N435" s="10"/>
      <c r="O435" s="10"/>
      <c r="P435" s="10"/>
      <c r="Q435" s="38">
        <f t="shared" ref="Q435" si="189">SUM(N435:P435)</f>
        <v>0</v>
      </c>
      <c r="R435" s="38">
        <f t="shared" ref="R435" si="190">+E435+I435+M435+Q435</f>
        <v>1810</v>
      </c>
      <c r="T435" t="s">
        <v>2780</v>
      </c>
    </row>
    <row r="436" spans="1:20" ht="15.75" customHeight="1" x14ac:dyDescent="0.3">
      <c r="A436" s="410" t="s">
        <v>3042</v>
      </c>
      <c r="B436" s="10"/>
      <c r="C436" s="10"/>
      <c r="D436" s="10"/>
      <c r="E436" s="38">
        <f t="shared" si="177"/>
        <v>0</v>
      </c>
      <c r="F436" s="10"/>
      <c r="G436" s="10"/>
      <c r="H436" s="10"/>
      <c r="I436" s="38">
        <f t="shared" si="174"/>
        <v>0</v>
      </c>
      <c r="J436" s="10"/>
      <c r="K436" s="10"/>
      <c r="L436" s="10"/>
      <c r="M436" s="38">
        <f t="shared" si="175"/>
        <v>0</v>
      </c>
      <c r="N436" s="10"/>
      <c r="O436" s="10"/>
      <c r="P436" s="10"/>
      <c r="Q436" s="38">
        <f t="shared" si="176"/>
        <v>0</v>
      </c>
      <c r="R436" s="38">
        <f t="shared" si="172"/>
        <v>0</v>
      </c>
      <c r="T436" t="s">
        <v>2780</v>
      </c>
    </row>
    <row r="437" spans="1:20" ht="15.75" customHeight="1" x14ac:dyDescent="0.3">
      <c r="A437" s="410" t="s">
        <v>2941</v>
      </c>
      <c r="B437" s="10"/>
      <c r="C437" s="10"/>
      <c r="D437" s="10"/>
      <c r="E437" s="38">
        <f t="shared" si="177"/>
        <v>0</v>
      </c>
      <c r="F437" s="10"/>
      <c r="G437" s="10"/>
      <c r="H437" s="10">
        <v>927</v>
      </c>
      <c r="I437" s="38">
        <f t="shared" si="174"/>
        <v>927</v>
      </c>
      <c r="J437" s="10">
        <v>1664</v>
      </c>
      <c r="K437" s="10">
        <v>776</v>
      </c>
      <c r="L437" s="10"/>
      <c r="M437" s="38">
        <f t="shared" si="175"/>
        <v>2440</v>
      </c>
      <c r="N437" s="10"/>
      <c r="O437" s="10"/>
      <c r="P437" s="10"/>
      <c r="Q437" s="38">
        <f t="shared" si="176"/>
        <v>0</v>
      </c>
      <c r="R437" s="38">
        <f t="shared" si="172"/>
        <v>3367</v>
      </c>
      <c r="T437" t="s">
        <v>2780</v>
      </c>
    </row>
    <row r="438" spans="1:20" ht="15.75" customHeight="1" x14ac:dyDescent="0.3">
      <c r="A438" s="410" t="s">
        <v>2711</v>
      </c>
      <c r="B438" s="10"/>
      <c r="C438" s="10"/>
      <c r="D438" s="10"/>
      <c r="E438" s="38">
        <f t="shared" si="177"/>
        <v>0</v>
      </c>
      <c r="F438" s="10"/>
      <c r="G438" s="10"/>
      <c r="H438" s="10"/>
      <c r="I438" s="38">
        <f t="shared" si="174"/>
        <v>0</v>
      </c>
      <c r="J438" s="10"/>
      <c r="K438" s="10"/>
      <c r="L438" s="10"/>
      <c r="M438" s="38">
        <f t="shared" si="175"/>
        <v>0</v>
      </c>
      <c r="N438" s="10"/>
      <c r="O438" s="10"/>
      <c r="P438" s="10"/>
      <c r="Q438" s="38">
        <f t="shared" si="176"/>
        <v>0</v>
      </c>
      <c r="R438" s="38">
        <f t="shared" si="172"/>
        <v>0</v>
      </c>
      <c r="T438" t="s">
        <v>1358</v>
      </c>
    </row>
    <row r="439" spans="1:20" ht="15.75" customHeight="1" x14ac:dyDescent="0.3">
      <c r="A439" s="256" t="s">
        <v>1097</v>
      </c>
      <c r="B439" s="10"/>
      <c r="C439" s="10"/>
      <c r="D439" s="10"/>
      <c r="E439" s="38">
        <f t="shared" si="177"/>
        <v>0</v>
      </c>
      <c r="F439" s="10"/>
      <c r="G439" s="10">
        <v>1669</v>
      </c>
      <c r="H439" s="10"/>
      <c r="I439" s="38">
        <f t="shared" si="174"/>
        <v>1669</v>
      </c>
      <c r="J439" s="10"/>
      <c r="K439" s="10"/>
      <c r="L439" s="10"/>
      <c r="M439" s="38">
        <f t="shared" si="175"/>
        <v>0</v>
      </c>
      <c r="N439" s="10"/>
      <c r="O439" s="10"/>
      <c r="P439" s="10"/>
      <c r="Q439" s="38">
        <f t="shared" si="176"/>
        <v>0</v>
      </c>
      <c r="R439" s="38">
        <f t="shared" si="172"/>
        <v>1669</v>
      </c>
    </row>
    <row r="440" spans="1:20" ht="15.75" customHeight="1" x14ac:dyDescent="0.3">
      <c r="A440" s="410" t="s">
        <v>3043</v>
      </c>
      <c r="B440" s="10"/>
      <c r="C440" s="10"/>
      <c r="D440" s="10"/>
      <c r="E440" s="38">
        <f t="shared" si="177"/>
        <v>0</v>
      </c>
      <c r="F440" s="10"/>
      <c r="G440" s="10"/>
      <c r="H440" s="10"/>
      <c r="I440" s="38">
        <f t="shared" si="174"/>
        <v>0</v>
      </c>
      <c r="J440" s="10"/>
      <c r="K440" s="10"/>
      <c r="L440" s="10"/>
      <c r="M440" s="38">
        <f t="shared" si="175"/>
        <v>0</v>
      </c>
      <c r="N440" s="10"/>
      <c r="O440" s="10"/>
      <c r="P440" s="10"/>
      <c r="Q440" s="38">
        <f t="shared" si="176"/>
        <v>0</v>
      </c>
      <c r="R440" s="38">
        <f t="shared" si="172"/>
        <v>0</v>
      </c>
      <c r="T440" t="s">
        <v>1358</v>
      </c>
    </row>
    <row r="441" spans="1:20" ht="15.75" customHeight="1" x14ac:dyDescent="0.3">
      <c r="A441" s="410" t="s">
        <v>3296</v>
      </c>
      <c r="B441" s="10"/>
      <c r="C441" s="10"/>
      <c r="D441" s="10"/>
      <c r="E441" s="38">
        <f t="shared" si="177"/>
        <v>0</v>
      </c>
      <c r="F441" s="10"/>
      <c r="G441" s="10"/>
      <c r="H441" s="10"/>
      <c r="I441" s="38">
        <f t="shared" si="174"/>
        <v>0</v>
      </c>
      <c r="J441" s="10">
        <v>642</v>
      </c>
      <c r="K441" s="10">
        <v>1451</v>
      </c>
      <c r="L441" s="10"/>
      <c r="M441" s="38">
        <f t="shared" si="175"/>
        <v>2093</v>
      </c>
      <c r="N441" s="10"/>
      <c r="O441" s="10"/>
      <c r="P441" s="10"/>
      <c r="Q441" s="38">
        <f t="shared" si="176"/>
        <v>0</v>
      </c>
      <c r="R441" s="38">
        <f t="shared" si="172"/>
        <v>2093</v>
      </c>
      <c r="T441" t="s">
        <v>2780</v>
      </c>
    </row>
    <row r="442" spans="1:20" ht="15.75" customHeight="1" x14ac:dyDescent="0.3">
      <c r="A442" s="410" t="s">
        <v>3297</v>
      </c>
      <c r="B442" s="10"/>
      <c r="C442" s="10"/>
      <c r="D442" s="10"/>
      <c r="E442" s="38">
        <f t="shared" si="177"/>
        <v>0</v>
      </c>
      <c r="F442" s="10"/>
      <c r="G442" s="10"/>
      <c r="H442" s="10"/>
      <c r="I442" s="38">
        <f t="shared" si="174"/>
        <v>0</v>
      </c>
      <c r="J442" s="10"/>
      <c r="K442" s="10"/>
      <c r="L442" s="10"/>
      <c r="M442" s="38">
        <f t="shared" si="175"/>
        <v>0</v>
      </c>
      <c r="N442" s="10"/>
      <c r="O442" s="10"/>
      <c r="P442" s="10"/>
      <c r="Q442" s="38">
        <f t="shared" si="176"/>
        <v>0</v>
      </c>
      <c r="R442" s="38">
        <f>+E442+I442+M442+Q442</f>
        <v>0</v>
      </c>
    </row>
    <row r="443" spans="1:20" ht="15.75" customHeight="1" x14ac:dyDescent="0.3">
      <c r="A443" s="410" t="s">
        <v>3298</v>
      </c>
      <c r="B443" s="10"/>
      <c r="C443" s="10"/>
      <c r="D443" s="10"/>
      <c r="E443" s="38">
        <f t="shared" si="177"/>
        <v>0</v>
      </c>
      <c r="F443" s="10"/>
      <c r="G443" s="10"/>
      <c r="H443" s="10"/>
      <c r="I443" s="38">
        <f t="shared" si="174"/>
        <v>0</v>
      </c>
      <c r="J443" s="10"/>
      <c r="K443" s="10"/>
      <c r="L443" s="10"/>
      <c r="M443" s="38">
        <f t="shared" si="175"/>
        <v>0</v>
      </c>
      <c r="N443" s="10"/>
      <c r="O443" s="10"/>
      <c r="P443" s="10"/>
      <c r="Q443" s="38">
        <f t="shared" si="176"/>
        <v>0</v>
      </c>
      <c r="R443" s="38">
        <f>+E443+I443+M443+Q443</f>
        <v>0</v>
      </c>
      <c r="T443" t="s">
        <v>1358</v>
      </c>
    </row>
    <row r="444" spans="1:20" ht="15.75" customHeight="1" x14ac:dyDescent="0.3">
      <c r="A444" s="410" t="s">
        <v>3299</v>
      </c>
      <c r="B444" s="10"/>
      <c r="C444" s="10">
        <v>339</v>
      </c>
      <c r="D444" s="10">
        <v>1116</v>
      </c>
      <c r="E444" s="38">
        <f t="shared" si="177"/>
        <v>1455</v>
      </c>
      <c r="F444" s="10">
        <v>1316</v>
      </c>
      <c r="G444" s="10">
        <v>1546</v>
      </c>
      <c r="H444" s="10">
        <v>749</v>
      </c>
      <c r="I444" s="38">
        <f t="shared" si="174"/>
        <v>3611</v>
      </c>
      <c r="J444" s="10"/>
      <c r="K444" s="10"/>
      <c r="L444" s="10"/>
      <c r="M444" s="38">
        <f t="shared" si="175"/>
        <v>0</v>
      </c>
      <c r="N444" s="10"/>
      <c r="O444" s="10"/>
      <c r="P444" s="10"/>
      <c r="Q444" s="38">
        <f t="shared" si="176"/>
        <v>0</v>
      </c>
      <c r="R444" s="38">
        <f t="shared" si="172"/>
        <v>5066</v>
      </c>
      <c r="T444" t="s">
        <v>2780</v>
      </c>
    </row>
    <row r="445" spans="1:20" ht="15.75" customHeight="1" x14ac:dyDescent="0.3">
      <c r="A445" s="410" t="s">
        <v>3300</v>
      </c>
      <c r="B445" s="10"/>
      <c r="C445" s="10"/>
      <c r="D445" s="10"/>
      <c r="E445" s="38">
        <f t="shared" si="177"/>
        <v>0</v>
      </c>
      <c r="F445" s="10"/>
      <c r="G445" s="10"/>
      <c r="H445" s="10"/>
      <c r="I445" s="38">
        <f t="shared" si="174"/>
        <v>0</v>
      </c>
      <c r="J445" s="10"/>
      <c r="K445" s="10"/>
      <c r="L445" s="10"/>
      <c r="M445" s="38">
        <f t="shared" si="175"/>
        <v>0</v>
      </c>
      <c r="N445" s="10"/>
      <c r="O445" s="10"/>
      <c r="P445" s="10"/>
      <c r="Q445" s="38">
        <f t="shared" si="176"/>
        <v>0</v>
      </c>
      <c r="R445" s="38">
        <f t="shared" si="172"/>
        <v>0</v>
      </c>
      <c r="T445" t="s">
        <v>1358</v>
      </c>
    </row>
    <row r="446" spans="1:20" ht="15.75" customHeight="1" x14ac:dyDescent="0.3">
      <c r="A446" s="410" t="s">
        <v>3301</v>
      </c>
      <c r="B446" s="10"/>
      <c r="C446" s="10"/>
      <c r="D446" s="10"/>
      <c r="E446" s="38">
        <f t="shared" ref="E446:E447" si="191">SUM(B446:D446)</f>
        <v>0</v>
      </c>
      <c r="F446" s="10"/>
      <c r="G446" s="10"/>
      <c r="H446" s="10"/>
      <c r="I446" s="38">
        <f t="shared" ref="I446:I448" si="192">SUM(F446:H446)</f>
        <v>0</v>
      </c>
      <c r="J446" s="10"/>
      <c r="K446" s="10"/>
      <c r="L446" s="10"/>
      <c r="M446" s="38">
        <f t="shared" ref="M446:M448" si="193">SUM(J446:L446)</f>
        <v>0</v>
      </c>
      <c r="N446" s="10"/>
      <c r="O446" s="10"/>
      <c r="P446" s="10"/>
      <c r="Q446" s="38">
        <f t="shared" ref="Q446:Q448" si="194">SUM(N446:P446)</f>
        <v>0</v>
      </c>
      <c r="R446" s="38">
        <f t="shared" ref="R446:R448" si="195">+E446+I446+M446+Q446</f>
        <v>0</v>
      </c>
    </row>
    <row r="447" spans="1:20" ht="15.75" customHeight="1" x14ac:dyDescent="0.3">
      <c r="A447" s="410" t="s">
        <v>3302</v>
      </c>
      <c r="B447" s="10"/>
      <c r="C447" s="10"/>
      <c r="D447" s="10"/>
      <c r="E447" s="38">
        <f t="shared" si="191"/>
        <v>0</v>
      </c>
      <c r="F447" s="10"/>
      <c r="G447" s="10"/>
      <c r="H447" s="10"/>
      <c r="I447" s="38">
        <f t="shared" si="192"/>
        <v>0</v>
      </c>
      <c r="J447" s="10"/>
      <c r="K447" s="10"/>
      <c r="L447" s="10"/>
      <c r="M447" s="38">
        <f t="shared" si="193"/>
        <v>0</v>
      </c>
      <c r="N447" s="10"/>
      <c r="O447" s="10"/>
      <c r="P447" s="10"/>
      <c r="Q447" s="38">
        <f t="shared" si="194"/>
        <v>0</v>
      </c>
      <c r="R447" s="38">
        <f>+E447+I447+M447+Q447</f>
        <v>0</v>
      </c>
    </row>
    <row r="448" spans="1:20" ht="15.75" customHeight="1" x14ac:dyDescent="0.3">
      <c r="A448" s="410" t="s">
        <v>3303</v>
      </c>
      <c r="B448" s="10"/>
      <c r="C448" s="10"/>
      <c r="D448" s="10"/>
      <c r="E448" s="38">
        <f>SUM(B448:D448)</f>
        <v>0</v>
      </c>
      <c r="F448" s="10"/>
      <c r="G448" s="10"/>
      <c r="H448" s="10"/>
      <c r="I448" s="38">
        <f t="shared" si="192"/>
        <v>0</v>
      </c>
      <c r="J448" s="10"/>
      <c r="K448" s="10"/>
      <c r="L448" s="10"/>
      <c r="M448" s="38">
        <f t="shared" si="193"/>
        <v>0</v>
      </c>
      <c r="N448" s="10"/>
      <c r="O448" s="10"/>
      <c r="P448" s="10"/>
      <c r="Q448" s="38">
        <f t="shared" si="194"/>
        <v>0</v>
      </c>
      <c r="R448" s="38">
        <f t="shared" si="195"/>
        <v>0</v>
      </c>
    </row>
    <row r="449" spans="1:21" ht="15.75" customHeight="1" x14ac:dyDescent="0.3">
      <c r="A449" s="410" t="s">
        <v>3292</v>
      </c>
      <c r="B449" s="10"/>
      <c r="C449" s="10"/>
      <c r="D449" s="10"/>
      <c r="E449" s="38">
        <f t="shared" si="177"/>
        <v>0</v>
      </c>
      <c r="F449" s="10"/>
      <c r="G449" s="10">
        <v>2622</v>
      </c>
      <c r="H449" s="10"/>
      <c r="I449" s="38">
        <f t="shared" si="174"/>
        <v>2622</v>
      </c>
      <c r="J449" s="10"/>
      <c r="K449" s="10"/>
      <c r="L449" s="10"/>
      <c r="M449" s="38">
        <f t="shared" si="175"/>
        <v>0</v>
      </c>
      <c r="N449" s="10"/>
      <c r="O449" s="10"/>
      <c r="P449" s="10"/>
      <c r="Q449" s="38">
        <f t="shared" si="176"/>
        <v>0</v>
      </c>
      <c r="R449" s="38">
        <f t="shared" si="172"/>
        <v>2622</v>
      </c>
    </row>
    <row r="450" spans="1:21" ht="15.75" customHeight="1" thickBot="1" x14ac:dyDescent="0.35">
      <c r="A450" s="256" t="s">
        <v>2717</v>
      </c>
      <c r="B450" s="10">
        <v>317</v>
      </c>
      <c r="C450" s="10">
        <v>707</v>
      </c>
      <c r="D450" s="10">
        <v>1000</v>
      </c>
      <c r="E450" s="38">
        <f t="shared" si="177"/>
        <v>2024</v>
      </c>
      <c r="F450" s="10">
        <v>2000</v>
      </c>
      <c r="G450" s="10">
        <v>4000</v>
      </c>
      <c r="H450" s="10">
        <v>2000</v>
      </c>
      <c r="I450" s="38">
        <f t="shared" si="174"/>
        <v>8000</v>
      </c>
      <c r="J450" s="10">
        <v>3988</v>
      </c>
      <c r="K450" s="10"/>
      <c r="L450" s="10">
        <f>894+63</f>
        <v>957</v>
      </c>
      <c r="M450" s="38">
        <f t="shared" si="175"/>
        <v>4945</v>
      </c>
      <c r="N450" s="10">
        <f>826+295+764+708</f>
        <v>2593</v>
      </c>
      <c r="O450" s="10">
        <f>976+311+1423+1906</f>
        <v>4616</v>
      </c>
      <c r="P450" s="10">
        <f>187+724+411+1500</f>
        <v>2822</v>
      </c>
      <c r="Q450" s="38">
        <f t="shared" si="176"/>
        <v>10031</v>
      </c>
      <c r="R450" s="38">
        <f t="shared" si="172"/>
        <v>25000</v>
      </c>
    </row>
    <row r="451" spans="1:21" ht="16.5" customHeight="1" thickBot="1" x14ac:dyDescent="0.35">
      <c r="A451" s="277" t="s">
        <v>1220</v>
      </c>
      <c r="B451" s="47">
        <f>SUM(B397:B450)</f>
        <v>5037</v>
      </c>
      <c r="C451" s="42">
        <f>SUM(C397:C450)</f>
        <v>13321</v>
      </c>
      <c r="D451" s="42">
        <f>SUM(D397:D450)</f>
        <v>31261</v>
      </c>
      <c r="E451" s="37">
        <f t="shared" ref="E451" si="196">SUM(B451:D451)</f>
        <v>49619</v>
      </c>
      <c r="F451" s="42">
        <f>SUM(F397:F450)</f>
        <v>36179</v>
      </c>
      <c r="G451" s="42">
        <f>SUM(G397:G450)</f>
        <v>45226</v>
      </c>
      <c r="H451" s="42">
        <f>SUM(H397:H450)</f>
        <v>55055</v>
      </c>
      <c r="I451" s="37">
        <f t="shared" ref="I451" si="197">SUM(F451:H451)</f>
        <v>136460</v>
      </c>
      <c r="J451" s="42">
        <f>SUM(J397:J450)</f>
        <v>59458</v>
      </c>
      <c r="K451" s="42">
        <f>SUM(K397:K450)</f>
        <v>36680</v>
      </c>
      <c r="L451" s="42">
        <f>SUM(L397:L450)</f>
        <v>29033</v>
      </c>
      <c r="M451" s="37">
        <f t="shared" ref="M451" si="198">SUM(J451:L451)</f>
        <v>125171</v>
      </c>
      <c r="N451" s="42">
        <f>SUM(N397:N450)</f>
        <v>8369</v>
      </c>
      <c r="O451" s="42">
        <f>SUM(O397:O450)</f>
        <v>21026</v>
      </c>
      <c r="P451" s="42">
        <f>SUM(P397:P450)</f>
        <v>11854</v>
      </c>
      <c r="Q451" s="37">
        <f t="shared" si="176"/>
        <v>41249</v>
      </c>
      <c r="R451" s="37">
        <f>+E451+I451+M451+Q451</f>
        <v>352499</v>
      </c>
      <c r="T451" s="230"/>
    </row>
    <row r="452" spans="1:21" ht="15.75" customHeight="1" x14ac:dyDescent="0.3">
      <c r="A452" s="234" t="s">
        <v>1712</v>
      </c>
      <c r="B452" s="10"/>
      <c r="C452" s="10"/>
      <c r="D452" s="10"/>
      <c r="E452" s="38" t="s">
        <v>852</v>
      </c>
      <c r="F452" s="10"/>
      <c r="G452" s="10"/>
      <c r="H452" s="10"/>
      <c r="I452" s="38" t="s">
        <v>852</v>
      </c>
      <c r="J452" s="10"/>
      <c r="K452" s="10"/>
      <c r="L452" s="10"/>
      <c r="M452" s="38" t="s">
        <v>852</v>
      </c>
      <c r="N452" s="10"/>
      <c r="O452" s="10"/>
      <c r="P452" s="10"/>
      <c r="Q452" s="38" t="s">
        <v>852</v>
      </c>
      <c r="R452" s="38" t="s">
        <v>852</v>
      </c>
    </row>
    <row r="453" spans="1:21" ht="15.75" customHeight="1" x14ac:dyDescent="0.3">
      <c r="A453" s="234" t="s">
        <v>1021</v>
      </c>
      <c r="B453" s="10"/>
      <c r="C453" s="10"/>
      <c r="D453" s="10"/>
      <c r="E453" s="38" t="s">
        <v>852</v>
      </c>
      <c r="F453" s="10"/>
      <c r="G453" s="10"/>
      <c r="H453" s="10"/>
      <c r="I453" s="38" t="s">
        <v>852</v>
      </c>
      <c r="J453" s="10"/>
      <c r="K453" s="10"/>
      <c r="L453" s="10"/>
      <c r="M453" s="38" t="s">
        <v>852</v>
      </c>
      <c r="N453" s="10"/>
      <c r="O453" s="10"/>
      <c r="P453" s="10"/>
      <c r="Q453" s="38" t="s">
        <v>852</v>
      </c>
      <c r="R453" s="38" t="s">
        <v>852</v>
      </c>
    </row>
    <row r="454" spans="1:21" ht="15.75" customHeight="1" x14ac:dyDescent="0.3">
      <c r="A454" s="410" t="s">
        <v>3260</v>
      </c>
      <c r="B454" s="10"/>
      <c r="C454" s="10"/>
      <c r="D454" s="10"/>
      <c r="E454" s="38">
        <f>SUM(B454:D454)</f>
        <v>0</v>
      </c>
      <c r="F454" s="10"/>
      <c r="G454" s="10"/>
      <c r="H454" s="10"/>
      <c r="I454" s="38">
        <f>SUM(F454:H454)</f>
        <v>0</v>
      </c>
      <c r="J454" s="10"/>
      <c r="K454" s="10"/>
      <c r="L454" s="10"/>
      <c r="M454" s="38">
        <f>SUM(J454:L454)</f>
        <v>0</v>
      </c>
      <c r="N454" s="10"/>
      <c r="O454" s="10"/>
      <c r="P454" s="10"/>
      <c r="Q454" s="38">
        <f>SUM(N454:P454)</f>
        <v>0</v>
      </c>
      <c r="R454" s="38">
        <f>+E454+I454+M454+Q454</f>
        <v>0</v>
      </c>
      <c r="U454" s="707"/>
    </row>
    <row r="455" spans="1:21" ht="15.75" customHeight="1" x14ac:dyDescent="0.3">
      <c r="A455" s="234" t="s">
        <v>557</v>
      </c>
      <c r="B455" s="10"/>
      <c r="C455" s="10"/>
      <c r="D455" s="10"/>
      <c r="E455" s="38" t="s">
        <v>852</v>
      </c>
      <c r="F455" s="10"/>
      <c r="G455" s="10"/>
      <c r="H455" s="10"/>
      <c r="I455" s="38" t="s">
        <v>852</v>
      </c>
      <c r="J455" s="10"/>
      <c r="K455" s="10"/>
      <c r="L455" s="10"/>
      <c r="M455" s="38" t="s">
        <v>852</v>
      </c>
      <c r="N455" s="10"/>
      <c r="O455" s="10"/>
      <c r="P455" s="10"/>
      <c r="Q455" s="38" t="s">
        <v>852</v>
      </c>
      <c r="R455" s="38" t="s">
        <v>852</v>
      </c>
    </row>
    <row r="456" spans="1:21" ht="15.75" customHeight="1" x14ac:dyDescent="0.3">
      <c r="A456" s="410" t="s">
        <v>2566</v>
      </c>
      <c r="B456" s="10"/>
      <c r="C456" s="10"/>
      <c r="D456" s="10"/>
      <c r="E456" s="38">
        <f>SUM(B456:D456)</f>
        <v>0</v>
      </c>
      <c r="F456" s="10"/>
      <c r="G456" s="10"/>
      <c r="H456" s="10"/>
      <c r="I456" s="38">
        <f>SUM(F456:H456)</f>
        <v>0</v>
      </c>
      <c r="J456" s="10"/>
      <c r="K456" s="10"/>
      <c r="L456" s="10"/>
      <c r="M456" s="38">
        <f>SUM(J456:L456)</f>
        <v>0</v>
      </c>
      <c r="N456" s="10"/>
      <c r="O456" s="10"/>
      <c r="P456" s="10"/>
      <c r="Q456" s="38">
        <f>SUM(N456:P456)</f>
        <v>0</v>
      </c>
      <c r="R456" s="38">
        <f>+E456+I456+M456+Q456</f>
        <v>0</v>
      </c>
    </row>
    <row r="457" spans="1:21" ht="15.75" customHeight="1" x14ac:dyDescent="0.3">
      <c r="A457" s="410" t="s">
        <v>2657</v>
      </c>
      <c r="B457" s="10"/>
      <c r="C457" s="10"/>
      <c r="D457" s="10">
        <v>1000</v>
      </c>
      <c r="E457" s="38">
        <f>SUM(B457:D457)</f>
        <v>1000</v>
      </c>
      <c r="F457" s="10">
        <v>1000</v>
      </c>
      <c r="G457" s="10"/>
      <c r="H457" s="10"/>
      <c r="I457" s="38">
        <f>SUM(F457:H457)</f>
        <v>1000</v>
      </c>
      <c r="J457" s="10"/>
      <c r="K457" s="10"/>
      <c r="L457" s="10">
        <v>1490</v>
      </c>
      <c r="M457" s="38">
        <f>SUM(J457:L457)</f>
        <v>1490</v>
      </c>
      <c r="N457" s="10">
        <v>5197</v>
      </c>
      <c r="O457" s="10"/>
      <c r="P457" s="10"/>
      <c r="Q457" s="38">
        <f>SUM(N457:P457)</f>
        <v>5197</v>
      </c>
      <c r="R457" s="38">
        <f>+E457+I457+M457+Q457</f>
        <v>8687</v>
      </c>
    </row>
    <row r="458" spans="1:21" ht="15.75" customHeight="1" x14ac:dyDescent="0.3">
      <c r="A458" s="234" t="s">
        <v>1022</v>
      </c>
      <c r="B458" s="10"/>
      <c r="C458" s="10"/>
      <c r="D458" s="10"/>
      <c r="E458" s="38" t="s">
        <v>852</v>
      </c>
      <c r="F458" s="10"/>
      <c r="G458" s="10"/>
      <c r="H458" s="10"/>
      <c r="I458" s="38" t="s">
        <v>852</v>
      </c>
      <c r="J458" s="10"/>
      <c r="K458" s="10"/>
      <c r="L458" s="10"/>
      <c r="M458" s="38" t="s">
        <v>852</v>
      </c>
      <c r="N458" s="10"/>
      <c r="O458" s="10"/>
      <c r="P458" s="10"/>
      <c r="Q458" s="38" t="s">
        <v>852</v>
      </c>
      <c r="R458" s="38" t="s">
        <v>852</v>
      </c>
    </row>
    <row r="459" spans="1:21" ht="15.75" customHeight="1" x14ac:dyDescent="0.3">
      <c r="A459" s="256" t="s">
        <v>2486</v>
      </c>
      <c r="B459" s="10"/>
      <c r="C459" s="10"/>
      <c r="D459" s="10"/>
      <c r="E459" s="38">
        <f t="shared" ref="E459:E464" si="199">SUM(B459:D459)</f>
        <v>0</v>
      </c>
      <c r="F459" s="10"/>
      <c r="G459" s="10"/>
      <c r="H459" s="10"/>
      <c r="I459" s="38">
        <f t="shared" ref="I459:I464" si="200">SUM(F459:H459)</f>
        <v>0</v>
      </c>
      <c r="J459" s="10"/>
      <c r="K459" s="10"/>
      <c r="L459" s="10"/>
      <c r="M459" s="38">
        <f t="shared" ref="M459:M464" si="201">SUM(J459:L459)</f>
        <v>0</v>
      </c>
      <c r="N459" s="10"/>
      <c r="O459" s="10"/>
      <c r="P459" s="10"/>
      <c r="Q459" s="38">
        <f t="shared" ref="Q459:Q464" si="202">SUM(N459:P459)</f>
        <v>0</v>
      </c>
      <c r="R459" s="38">
        <f t="shared" ref="R459:R464" si="203">+E459+I459+M459+Q459</f>
        <v>0</v>
      </c>
      <c r="T459" t="s">
        <v>2178</v>
      </c>
    </row>
    <row r="460" spans="1:21" ht="15.75" customHeight="1" x14ac:dyDescent="0.3">
      <c r="A460" s="311" t="s">
        <v>1374</v>
      </c>
      <c r="B460" s="10"/>
      <c r="C460" s="10"/>
      <c r="D460" s="10"/>
      <c r="E460" s="38">
        <f t="shared" ref="E460" si="204">SUM(B460:D460)</f>
        <v>0</v>
      </c>
      <c r="F460" s="10"/>
      <c r="G460" s="10">
        <v>2000</v>
      </c>
      <c r="H460" s="10"/>
      <c r="I460" s="38">
        <f t="shared" si="200"/>
        <v>2000</v>
      </c>
      <c r="J460" s="10"/>
      <c r="K460" s="10"/>
      <c r="L460" s="10"/>
      <c r="M460" s="38">
        <f t="shared" si="201"/>
        <v>0</v>
      </c>
      <c r="N460" s="10"/>
      <c r="O460" s="10"/>
      <c r="P460" s="10"/>
      <c r="Q460" s="38">
        <f t="shared" si="202"/>
        <v>0</v>
      </c>
      <c r="R460" s="38">
        <f t="shared" si="203"/>
        <v>2000</v>
      </c>
      <c r="T460" t="s">
        <v>2178</v>
      </c>
    </row>
    <row r="461" spans="1:21" ht="15.75" customHeight="1" x14ac:dyDescent="0.3">
      <c r="A461" s="410" t="s">
        <v>3261</v>
      </c>
      <c r="B461" s="10"/>
      <c r="C461" s="10"/>
      <c r="D461" s="10"/>
      <c r="E461" s="38">
        <f t="shared" si="199"/>
        <v>0</v>
      </c>
      <c r="F461" s="10"/>
      <c r="G461" s="10"/>
      <c r="H461" s="10"/>
      <c r="I461" s="38">
        <f t="shared" si="200"/>
        <v>0</v>
      </c>
      <c r="J461" s="10"/>
      <c r="K461" s="10"/>
      <c r="L461" s="10"/>
      <c r="M461" s="38">
        <f t="shared" si="201"/>
        <v>0</v>
      </c>
      <c r="N461" s="10"/>
      <c r="O461" s="10"/>
      <c r="P461" s="10"/>
      <c r="Q461" s="38">
        <f t="shared" si="202"/>
        <v>0</v>
      </c>
      <c r="R461" s="38">
        <f t="shared" si="203"/>
        <v>0</v>
      </c>
      <c r="T461" t="s">
        <v>2175</v>
      </c>
    </row>
    <row r="462" spans="1:21" ht="15.75" customHeight="1" x14ac:dyDescent="0.3">
      <c r="A462" s="410" t="s">
        <v>3262</v>
      </c>
      <c r="B462" s="10"/>
      <c r="C462" s="10"/>
      <c r="D462" s="10"/>
      <c r="E462" s="38">
        <f t="shared" si="199"/>
        <v>0</v>
      </c>
      <c r="F462" s="10"/>
      <c r="G462" s="10"/>
      <c r="H462" s="10"/>
      <c r="I462" s="38">
        <f t="shared" si="200"/>
        <v>0</v>
      </c>
      <c r="J462" s="10"/>
      <c r="K462" s="10"/>
      <c r="L462" s="10"/>
      <c r="M462" s="38">
        <f t="shared" si="201"/>
        <v>0</v>
      </c>
      <c r="N462" s="10"/>
      <c r="O462" s="10"/>
      <c r="P462" s="10"/>
      <c r="Q462" s="38">
        <f t="shared" si="202"/>
        <v>0</v>
      </c>
      <c r="R462" s="38">
        <f t="shared" si="203"/>
        <v>0</v>
      </c>
    </row>
    <row r="463" spans="1:21" ht="15.75" customHeight="1" x14ac:dyDescent="0.3">
      <c r="A463" s="311" t="s">
        <v>1376</v>
      </c>
      <c r="B463" s="10"/>
      <c r="C463" s="10"/>
      <c r="D463" s="10"/>
      <c r="E463" s="38">
        <f t="shared" si="199"/>
        <v>0</v>
      </c>
      <c r="F463" s="10"/>
      <c r="G463" s="10"/>
      <c r="H463" s="10"/>
      <c r="I463" s="38">
        <f t="shared" si="200"/>
        <v>0</v>
      </c>
      <c r="J463" s="10"/>
      <c r="K463" s="10"/>
      <c r="L463" s="10"/>
      <c r="M463" s="38">
        <f t="shared" si="201"/>
        <v>0</v>
      </c>
      <c r="N463" s="10"/>
      <c r="O463" s="10"/>
      <c r="P463" s="10"/>
      <c r="Q463" s="38">
        <f t="shared" si="202"/>
        <v>0</v>
      </c>
      <c r="R463" s="38">
        <f t="shared" si="203"/>
        <v>0</v>
      </c>
    </row>
    <row r="464" spans="1:21" ht="15.75" customHeight="1" x14ac:dyDescent="0.3">
      <c r="A464" s="311" t="s">
        <v>1227</v>
      </c>
      <c r="B464" s="10"/>
      <c r="C464" s="10"/>
      <c r="D464" s="10"/>
      <c r="E464" s="38">
        <f t="shared" si="199"/>
        <v>0</v>
      </c>
      <c r="F464" s="10"/>
      <c r="G464" s="10"/>
      <c r="H464" s="10"/>
      <c r="I464" s="38">
        <f t="shared" si="200"/>
        <v>0</v>
      </c>
      <c r="J464" s="10"/>
      <c r="K464" s="10"/>
      <c r="L464" s="10"/>
      <c r="M464" s="38">
        <f t="shared" si="201"/>
        <v>0</v>
      </c>
      <c r="N464" s="10"/>
      <c r="O464" s="10"/>
      <c r="P464" s="10"/>
      <c r="Q464" s="38">
        <f t="shared" si="202"/>
        <v>0</v>
      </c>
      <c r="R464" s="38">
        <f t="shared" si="203"/>
        <v>0</v>
      </c>
      <c r="T464" t="s">
        <v>2178</v>
      </c>
    </row>
    <row r="465" spans="1:21" ht="15.75" customHeight="1" x14ac:dyDescent="0.3">
      <c r="A465" s="234" t="s">
        <v>559</v>
      </c>
      <c r="B465" s="10"/>
      <c r="C465" s="10"/>
      <c r="D465" s="10"/>
      <c r="E465" s="38" t="s">
        <v>852</v>
      </c>
      <c r="F465" s="10"/>
      <c r="G465" s="10"/>
      <c r="H465" s="10"/>
      <c r="I465" s="38" t="s">
        <v>852</v>
      </c>
      <c r="J465" s="10"/>
      <c r="K465" s="10"/>
      <c r="L465" s="10"/>
      <c r="M465" s="38" t="s">
        <v>852</v>
      </c>
      <c r="N465" s="10"/>
      <c r="O465" s="10"/>
      <c r="P465" s="10"/>
      <c r="Q465" s="38" t="s">
        <v>852</v>
      </c>
      <c r="R465" s="38" t="s">
        <v>852</v>
      </c>
    </row>
    <row r="466" spans="1:21" ht="15.75" customHeight="1" x14ac:dyDescent="0.3">
      <c r="A466" s="410" t="s">
        <v>2936</v>
      </c>
      <c r="B466" s="10"/>
      <c r="C466" s="10"/>
      <c r="D466" s="10"/>
      <c r="E466" s="38">
        <f>SUM(B466:D466)</f>
        <v>0</v>
      </c>
      <c r="F466" s="10"/>
      <c r="G466" s="10"/>
      <c r="H466" s="10"/>
      <c r="I466" s="38">
        <f>SUM(F466:H466)</f>
        <v>0</v>
      </c>
      <c r="J466" s="10"/>
      <c r="K466" s="10"/>
      <c r="L466" s="10"/>
      <c r="M466" s="38">
        <f>SUM(J466:L466)</f>
        <v>0</v>
      </c>
      <c r="N466" s="10"/>
      <c r="O466" s="10"/>
      <c r="P466" s="10"/>
      <c r="Q466" s="38">
        <f>SUM(N466:P466)</f>
        <v>0</v>
      </c>
      <c r="R466" s="38">
        <f>+E466+I466+M466+Q466</f>
        <v>0</v>
      </c>
      <c r="T466" t="s">
        <v>2174</v>
      </c>
    </row>
    <row r="467" spans="1:21" ht="15.75" customHeight="1" x14ac:dyDescent="0.3">
      <c r="A467" s="410" t="s">
        <v>2832</v>
      </c>
      <c r="B467" s="10"/>
      <c r="C467" s="10"/>
      <c r="D467" s="10"/>
      <c r="E467" s="38">
        <f>SUM(B467:D467)</f>
        <v>0</v>
      </c>
      <c r="F467" s="10"/>
      <c r="G467" s="10"/>
      <c r="H467" s="10"/>
      <c r="I467" s="38">
        <f>SUM(F467:H467)</f>
        <v>0</v>
      </c>
      <c r="J467" s="10"/>
      <c r="K467" s="10"/>
      <c r="L467" s="10"/>
      <c r="M467" s="38">
        <f>SUM(J467:L467)</f>
        <v>0</v>
      </c>
      <c r="N467" s="10"/>
      <c r="O467" s="10"/>
      <c r="P467" s="10"/>
      <c r="Q467" s="38">
        <f>SUM(N467:P467)</f>
        <v>0</v>
      </c>
      <c r="R467" s="38">
        <f>+E467+I467+M467+Q467</f>
        <v>0</v>
      </c>
      <c r="S467" t="s">
        <v>3332</v>
      </c>
      <c r="T467" t="s">
        <v>2174</v>
      </c>
    </row>
    <row r="468" spans="1:21" ht="15.75" customHeight="1" x14ac:dyDescent="0.3">
      <c r="A468" s="410" t="s">
        <v>3225</v>
      </c>
      <c r="B468" s="10"/>
      <c r="C468" s="10"/>
      <c r="D468" s="10"/>
      <c r="E468" s="38">
        <f>SUM(B468:D468)</f>
        <v>0</v>
      </c>
      <c r="F468" s="10"/>
      <c r="G468" s="10"/>
      <c r="H468" s="10"/>
      <c r="I468" s="38">
        <f>SUM(F468:H468)</f>
        <v>0</v>
      </c>
      <c r="J468" s="10"/>
      <c r="K468" s="10"/>
      <c r="L468" s="10">
        <v>3000</v>
      </c>
      <c r="M468" s="38">
        <f>SUM(J468:L468)</f>
        <v>3000</v>
      </c>
      <c r="N468" s="10"/>
      <c r="O468" s="10"/>
      <c r="P468" s="10"/>
      <c r="Q468" s="38">
        <f>SUM(N468:P468)</f>
        <v>0</v>
      </c>
      <c r="R468" s="38">
        <f>+E468+I468+M468+Q468</f>
        <v>3000</v>
      </c>
      <c r="S468" t="s">
        <v>3332</v>
      </c>
    </row>
    <row r="469" spans="1:21" ht="15.75" customHeight="1" x14ac:dyDescent="0.3">
      <c r="A469" s="410" t="s">
        <v>2569</v>
      </c>
      <c r="B469" s="10"/>
      <c r="C469" s="10"/>
      <c r="D469" s="10"/>
      <c r="E469" s="38">
        <f>SUM(B469:D469)</f>
        <v>0</v>
      </c>
      <c r="F469" s="10"/>
      <c r="G469" s="10"/>
      <c r="H469" s="10"/>
      <c r="I469" s="38">
        <f>SUM(F469:H469)</f>
        <v>0</v>
      </c>
      <c r="J469" s="10"/>
      <c r="K469" s="10"/>
      <c r="L469" s="10"/>
      <c r="M469" s="38">
        <f>SUM(J469:L469)</f>
        <v>0</v>
      </c>
      <c r="N469" s="10"/>
      <c r="O469" s="10"/>
      <c r="P469" s="10"/>
      <c r="Q469" s="38">
        <f>SUM(N469:P469)</f>
        <v>0</v>
      </c>
      <c r="R469" s="38">
        <f>+E469+I469+M469+Q469</f>
        <v>0</v>
      </c>
    </row>
    <row r="470" spans="1:21" ht="15.75" customHeight="1" x14ac:dyDescent="0.3">
      <c r="A470" s="410" t="s">
        <v>2570</v>
      </c>
      <c r="B470" s="10"/>
      <c r="C470" s="10"/>
      <c r="D470" s="10"/>
      <c r="E470" s="38">
        <f t="shared" ref="E470" si="205">SUM(B470:D470)</f>
        <v>0</v>
      </c>
      <c r="F470" s="10"/>
      <c r="G470" s="10">
        <v>536</v>
      </c>
      <c r="H470" s="10">
        <v>2164</v>
      </c>
      <c r="I470" s="38">
        <f t="shared" ref="I470" si="206">SUM(F470:H470)</f>
        <v>2700</v>
      </c>
      <c r="J470" s="10"/>
      <c r="K470" s="10"/>
      <c r="L470" s="10"/>
      <c r="M470" s="38">
        <f t="shared" ref="M470" si="207">SUM(J470:L470)</f>
        <v>0</v>
      </c>
      <c r="N470" s="10"/>
      <c r="O470" s="10"/>
      <c r="P470" s="10"/>
      <c r="Q470" s="38">
        <f t="shared" ref="Q470:Q481" si="208">SUM(N470:P470)</f>
        <v>0</v>
      </c>
      <c r="R470" s="38">
        <f t="shared" ref="R470:R481" si="209">+E470+I470+M470+Q470</f>
        <v>2700</v>
      </c>
    </row>
    <row r="471" spans="1:21" ht="15.75" customHeight="1" x14ac:dyDescent="0.3">
      <c r="A471" s="410" t="s">
        <v>2571</v>
      </c>
      <c r="B471" s="10"/>
      <c r="C471" s="10"/>
      <c r="D471" s="10"/>
      <c r="E471" s="38">
        <f>SUM(B471:D471)</f>
        <v>0</v>
      </c>
      <c r="F471" s="10"/>
      <c r="G471" s="10"/>
      <c r="H471" s="10"/>
      <c r="I471" s="38">
        <f>SUM(F471:H471)</f>
        <v>0</v>
      </c>
      <c r="J471" s="10"/>
      <c r="K471" s="10"/>
      <c r="L471" s="10"/>
      <c r="M471" s="38">
        <f>SUM(J471:L471)</f>
        <v>0</v>
      </c>
      <c r="N471" s="10"/>
      <c r="O471" s="10"/>
      <c r="P471" s="10"/>
      <c r="Q471" s="38">
        <f>SUM(N471:P471)</f>
        <v>0</v>
      </c>
      <c r="R471" s="38">
        <f>+E471+I471+M471+Q471</f>
        <v>0</v>
      </c>
      <c r="S471" t="s">
        <v>3332</v>
      </c>
    </row>
    <row r="472" spans="1:21" ht="15.75" customHeight="1" x14ac:dyDescent="0.3">
      <c r="A472" s="410" t="s">
        <v>2572</v>
      </c>
      <c r="B472" s="10"/>
      <c r="C472" s="10"/>
      <c r="D472" s="10">
        <v>510</v>
      </c>
      <c r="E472" s="38">
        <f>SUM(B472:D472)</f>
        <v>510</v>
      </c>
      <c r="F472" s="10">
        <v>610</v>
      </c>
      <c r="G472" s="10">
        <v>710</v>
      </c>
      <c r="H472" s="10">
        <v>870</v>
      </c>
      <c r="I472" s="38">
        <f>SUM(F472:H472)</f>
        <v>2190</v>
      </c>
      <c r="J472" s="10"/>
      <c r="K472" s="10"/>
      <c r="L472" s="10">
        <v>2300</v>
      </c>
      <c r="M472" s="38">
        <f>SUM(J472:L472)</f>
        <v>2300</v>
      </c>
      <c r="N472" s="10">
        <v>1504</v>
      </c>
      <c r="O472" s="10">
        <v>1396</v>
      </c>
      <c r="P472" s="10">
        <v>500</v>
      </c>
      <c r="Q472" s="38">
        <f>SUM(N472:P472)</f>
        <v>3400</v>
      </c>
      <c r="R472" s="38">
        <f>+E472+I472+M472+Q472</f>
        <v>8400</v>
      </c>
      <c r="T472" t="s">
        <v>2174</v>
      </c>
      <c r="U472" s="707"/>
    </row>
    <row r="473" spans="1:21" ht="15.75" customHeight="1" x14ac:dyDescent="0.3">
      <c r="A473" s="410" t="s">
        <v>2573</v>
      </c>
      <c r="B473" s="10"/>
      <c r="C473" s="10"/>
      <c r="D473" s="10"/>
      <c r="E473" s="38">
        <f>SUM(B473:D473)</f>
        <v>0</v>
      </c>
      <c r="F473" s="10"/>
      <c r="G473" s="10"/>
      <c r="H473" s="10"/>
      <c r="I473" s="38">
        <f>SUM(F473:H473)</f>
        <v>0</v>
      </c>
      <c r="J473" s="10"/>
      <c r="K473" s="10"/>
      <c r="L473" s="10"/>
      <c r="M473" s="38">
        <f>SUM(J473:L473)</f>
        <v>0</v>
      </c>
      <c r="N473" s="10"/>
      <c r="O473" s="10"/>
      <c r="P473" s="10"/>
      <c r="Q473" s="38">
        <f>SUM(N473:P473)</f>
        <v>0</v>
      </c>
      <c r="R473" s="38">
        <f>+E473+I473+M473+Q473</f>
        <v>0</v>
      </c>
      <c r="S473" t="s">
        <v>3332</v>
      </c>
    </row>
    <row r="474" spans="1:21" ht="15.75" customHeight="1" x14ac:dyDescent="0.3">
      <c r="A474" s="410" t="s">
        <v>3226</v>
      </c>
      <c r="B474" s="10"/>
      <c r="C474" s="10"/>
      <c r="D474" s="10"/>
      <c r="E474" s="38">
        <f>SUM(B474:D474)</f>
        <v>0</v>
      </c>
      <c r="F474" s="10"/>
      <c r="G474" s="10"/>
      <c r="H474" s="10"/>
      <c r="I474" s="38">
        <f>SUM(F474:H474)</f>
        <v>0</v>
      </c>
      <c r="J474" s="10"/>
      <c r="K474" s="10">
        <v>1230</v>
      </c>
      <c r="L474" s="10">
        <v>1500</v>
      </c>
      <c r="M474" s="38">
        <f>SUM(J474:L474)</f>
        <v>2730</v>
      </c>
      <c r="N474" s="10"/>
      <c r="O474" s="10">
        <v>900</v>
      </c>
      <c r="P474" s="10"/>
      <c r="Q474" s="38">
        <f>SUM(N474:P474)</f>
        <v>900</v>
      </c>
      <c r="R474" s="38">
        <f>+E474+I474+M474+Q474</f>
        <v>3630</v>
      </c>
      <c r="S474" t="s">
        <v>3332</v>
      </c>
      <c r="T474" t="s">
        <v>2175</v>
      </c>
    </row>
    <row r="475" spans="1:21" ht="15.75" customHeight="1" thickBot="1" x14ac:dyDescent="0.35">
      <c r="A475" s="410" t="s">
        <v>2574</v>
      </c>
      <c r="B475" s="10"/>
      <c r="C475" s="10"/>
      <c r="D475" s="10"/>
      <c r="E475" s="38">
        <f>SUM(B475:D475)</f>
        <v>0</v>
      </c>
      <c r="F475" s="10"/>
      <c r="G475" s="10"/>
      <c r="H475" s="10"/>
      <c r="I475" s="38">
        <f>SUM(F475:H475)</f>
        <v>0</v>
      </c>
      <c r="J475" s="10"/>
      <c r="K475" s="10"/>
      <c r="L475" s="10"/>
      <c r="M475" s="38">
        <f>SUM(J475:L475)</f>
        <v>0</v>
      </c>
      <c r="N475" s="10"/>
      <c r="O475" s="10"/>
      <c r="P475" s="10"/>
      <c r="Q475" s="38">
        <f>SUM(N475:P475)</f>
        <v>0</v>
      </c>
      <c r="R475" s="38">
        <f>+E475+I475+M475+Q475</f>
        <v>0</v>
      </c>
      <c r="T475" t="s">
        <v>2175</v>
      </c>
    </row>
    <row r="476" spans="1:21" ht="16.5" customHeight="1" thickBot="1" x14ac:dyDescent="0.35">
      <c r="A476" s="43" t="s">
        <v>1019</v>
      </c>
      <c r="B476" s="42">
        <f>SUM(B458:B475)</f>
        <v>0</v>
      </c>
      <c r="C476" s="42">
        <f>SUM(C458:C475)</f>
        <v>0</v>
      </c>
      <c r="D476" s="42">
        <f>SUM(D458:D475)</f>
        <v>510</v>
      </c>
      <c r="E476" s="39">
        <f t="shared" ref="E476:E481" si="210">SUM(B476:D476)</f>
        <v>510</v>
      </c>
      <c r="F476" s="42">
        <f>SUM(F458:F475)</f>
        <v>610</v>
      </c>
      <c r="G476" s="42">
        <f>SUM(G458:G475)</f>
        <v>3246</v>
      </c>
      <c r="H476" s="42">
        <f>SUM(H458:H475)</f>
        <v>3034</v>
      </c>
      <c r="I476" s="39">
        <f t="shared" ref="I476:I481" si="211">SUM(F476:H476)</f>
        <v>6890</v>
      </c>
      <c r="J476" s="42">
        <f>SUM(J458:J475)</f>
        <v>0</v>
      </c>
      <c r="K476" s="42">
        <f>SUM(K458:K475)</f>
        <v>1230</v>
      </c>
      <c r="L476" s="42">
        <f>SUM(L458:L475)</f>
        <v>6800</v>
      </c>
      <c r="M476" s="39">
        <f t="shared" ref="M476:M481" si="212">SUM(J476:L476)</f>
        <v>8030</v>
      </c>
      <c r="N476" s="42">
        <f>SUM(N458:N475)</f>
        <v>1504</v>
      </c>
      <c r="O476" s="42">
        <f>SUM(O458:O475)</f>
        <v>2296</v>
      </c>
      <c r="P476" s="42">
        <f>SUM(P458:P475)</f>
        <v>500</v>
      </c>
      <c r="Q476" s="39">
        <f t="shared" si="208"/>
        <v>4300</v>
      </c>
      <c r="R476" s="37">
        <f t="shared" si="209"/>
        <v>19730</v>
      </c>
    </row>
    <row r="477" spans="1:21" ht="16.5" customHeight="1" thickBot="1" x14ac:dyDescent="0.35">
      <c r="A477" s="277" t="s">
        <v>1221</v>
      </c>
      <c r="B477" s="45">
        <f>SUM(B452:B475)</f>
        <v>0</v>
      </c>
      <c r="C477" s="46">
        <f>SUM(C452:C475)</f>
        <v>0</v>
      </c>
      <c r="D477" s="58">
        <f>SUM(D452:D475)</f>
        <v>1510</v>
      </c>
      <c r="E477" s="39">
        <f t="shared" si="210"/>
        <v>1510</v>
      </c>
      <c r="F477" s="46">
        <f>SUM(F452:F475)</f>
        <v>1610</v>
      </c>
      <c r="G477" s="46">
        <f>SUM(G452:G475)</f>
        <v>3246</v>
      </c>
      <c r="H477" s="46">
        <f>SUM(H452:H475)</f>
        <v>3034</v>
      </c>
      <c r="I477" s="39">
        <f t="shared" si="211"/>
        <v>7890</v>
      </c>
      <c r="J477" s="46">
        <f>SUM(J452:J475)</f>
        <v>0</v>
      </c>
      <c r="K477" s="46">
        <f>SUM(K452:K475)</f>
        <v>1230</v>
      </c>
      <c r="L477" s="46">
        <f>SUM(L452:L475)</f>
        <v>8290</v>
      </c>
      <c r="M477" s="39">
        <f t="shared" si="212"/>
        <v>9520</v>
      </c>
      <c r="N477" s="46">
        <f>SUM(N452:N475)</f>
        <v>6701</v>
      </c>
      <c r="O477" s="46">
        <f>SUM(O452:O475)</f>
        <v>2296</v>
      </c>
      <c r="P477" s="46">
        <f>SUM(P452:P475)</f>
        <v>500</v>
      </c>
      <c r="Q477" s="39">
        <f t="shared" si="208"/>
        <v>9497</v>
      </c>
      <c r="R477" s="37">
        <f t="shared" si="209"/>
        <v>28417</v>
      </c>
    </row>
    <row r="478" spans="1:21" ht="16.5" customHeight="1" thickBot="1" x14ac:dyDescent="0.35">
      <c r="A478" s="43" t="s">
        <v>1222</v>
      </c>
      <c r="B478" s="47">
        <f>+B382+B396+B451+B477</f>
        <v>13761</v>
      </c>
      <c r="C478" s="42">
        <f>+C382+C396+C451+C477</f>
        <v>19897</v>
      </c>
      <c r="D478" s="42">
        <f>+D382+D396+D451+D477</f>
        <v>46582</v>
      </c>
      <c r="E478" s="37">
        <f t="shared" si="210"/>
        <v>80240</v>
      </c>
      <c r="F478" s="42">
        <f>+F382+F396+F451+F477</f>
        <v>70264</v>
      </c>
      <c r="G478" s="42">
        <f>+G382+G396+G451+G477</f>
        <v>87227</v>
      </c>
      <c r="H478" s="42">
        <f>+H382+H396+H451+H477</f>
        <v>97828</v>
      </c>
      <c r="I478" s="37">
        <f t="shared" si="211"/>
        <v>255319</v>
      </c>
      <c r="J478" s="42">
        <f>+J382+J396+J451+J477</f>
        <v>96304</v>
      </c>
      <c r="K478" s="42">
        <f>+K382+K396+K451+K477</f>
        <v>74340</v>
      </c>
      <c r="L478" s="42">
        <f>+L382+L396+L451+L477</f>
        <v>60874</v>
      </c>
      <c r="M478" s="37">
        <f t="shared" si="212"/>
        <v>231518</v>
      </c>
      <c r="N478" s="42">
        <f>+N382+N396+N451+N477</f>
        <v>25580</v>
      </c>
      <c r="O478" s="42">
        <f>+O382+O396+O451+O477</f>
        <v>33491</v>
      </c>
      <c r="P478" s="42">
        <f>+P382+P396+P451+P477</f>
        <v>23612</v>
      </c>
      <c r="Q478" s="37">
        <f t="shared" si="208"/>
        <v>82683</v>
      </c>
      <c r="R478" s="40">
        <f t="shared" si="209"/>
        <v>649760</v>
      </c>
    </row>
    <row r="479" spans="1:21" ht="15.75" customHeight="1" x14ac:dyDescent="0.3">
      <c r="A479" s="539" t="s">
        <v>2273</v>
      </c>
      <c r="B479" s="172"/>
      <c r="C479" s="172"/>
      <c r="D479" s="172"/>
      <c r="E479" s="38">
        <f t="shared" si="210"/>
        <v>0</v>
      </c>
      <c r="F479" s="172"/>
      <c r="G479" s="172"/>
      <c r="H479" s="172"/>
      <c r="I479" s="38">
        <f t="shared" si="211"/>
        <v>0</v>
      </c>
      <c r="J479" s="172"/>
      <c r="K479" s="172"/>
      <c r="L479" s="172"/>
      <c r="M479" s="38">
        <f t="shared" si="212"/>
        <v>0</v>
      </c>
      <c r="N479" s="172"/>
      <c r="O479" s="172"/>
      <c r="P479" s="172"/>
      <c r="Q479" s="38">
        <f t="shared" si="208"/>
        <v>0</v>
      </c>
      <c r="R479" s="38">
        <f t="shared" si="209"/>
        <v>0</v>
      </c>
    </row>
    <row r="480" spans="1:21" ht="15.75" customHeight="1" x14ac:dyDescent="0.3">
      <c r="A480" s="539" t="s">
        <v>2274</v>
      </c>
      <c r="B480" s="172"/>
      <c r="C480" s="172"/>
      <c r="D480" s="172"/>
      <c r="E480" s="38">
        <f t="shared" si="210"/>
        <v>0</v>
      </c>
      <c r="F480" s="172"/>
      <c r="G480" s="172"/>
      <c r="H480" s="172"/>
      <c r="I480" s="38">
        <f t="shared" si="211"/>
        <v>0</v>
      </c>
      <c r="J480" s="172"/>
      <c r="K480" s="172"/>
      <c r="L480" s="172"/>
      <c r="M480" s="38">
        <f t="shared" si="212"/>
        <v>0</v>
      </c>
      <c r="N480" s="172"/>
      <c r="O480" s="172"/>
      <c r="P480" s="172"/>
      <c r="Q480" s="38">
        <f t="shared" si="208"/>
        <v>0</v>
      </c>
      <c r="R480" s="38">
        <f t="shared" si="209"/>
        <v>0</v>
      </c>
    </row>
    <row r="481" spans="1:18" ht="16.5" customHeight="1" thickBot="1" x14ac:dyDescent="0.35">
      <c r="A481" s="257" t="s">
        <v>853</v>
      </c>
      <c r="B481" s="238">
        <v>155</v>
      </c>
      <c r="C481" s="238">
        <v>283</v>
      </c>
      <c r="D481" s="238">
        <v>435</v>
      </c>
      <c r="E481" s="40">
        <f t="shared" si="210"/>
        <v>873</v>
      </c>
      <c r="F481" s="238">
        <v>602</v>
      </c>
      <c r="G481" s="238">
        <v>711</v>
      </c>
      <c r="H481" s="238">
        <v>722</v>
      </c>
      <c r="I481" s="40">
        <f t="shared" si="211"/>
        <v>2035</v>
      </c>
      <c r="J481" s="238">
        <v>686</v>
      </c>
      <c r="K481" s="238">
        <v>519</v>
      </c>
      <c r="L481" s="238">
        <v>531</v>
      </c>
      <c r="M481" s="40">
        <f t="shared" si="212"/>
        <v>1736</v>
      </c>
      <c r="N481" s="238">
        <v>489</v>
      </c>
      <c r="O481" s="238">
        <v>389</v>
      </c>
      <c r="P481" s="238">
        <v>275</v>
      </c>
      <c r="Q481" s="40">
        <f t="shared" si="208"/>
        <v>1153</v>
      </c>
      <c r="R481" s="38">
        <f t="shared" si="209"/>
        <v>5797</v>
      </c>
    </row>
    <row r="482" spans="1:18" ht="16.5" customHeight="1" thickBot="1" x14ac:dyDescent="0.35">
      <c r="A482" s="44"/>
      <c r="B482" s="258"/>
      <c r="C482" s="258"/>
      <c r="D482" s="258"/>
      <c r="E482" s="37"/>
      <c r="F482" s="258"/>
      <c r="G482" s="258"/>
      <c r="H482" s="258"/>
      <c r="I482" s="37"/>
      <c r="J482" s="258"/>
      <c r="K482" s="258"/>
      <c r="L482" s="258"/>
      <c r="M482" s="37"/>
      <c r="N482" s="258"/>
      <c r="O482" s="258"/>
      <c r="P482" s="258"/>
      <c r="Q482" s="37"/>
      <c r="R482" s="37" t="s">
        <v>852</v>
      </c>
    </row>
    <row r="483" spans="1:18" ht="15.75" customHeight="1" x14ac:dyDescent="0.3">
      <c r="A483" s="259" t="s">
        <v>2011</v>
      </c>
      <c r="B483" s="260">
        <f>SUM(B478:B481)</f>
        <v>13916</v>
      </c>
      <c r="C483" s="260">
        <f>SUM(C478:C481)</f>
        <v>20180</v>
      </c>
      <c r="D483" s="260">
        <f>SUM(D478:D481)</f>
        <v>47017</v>
      </c>
      <c r="E483" s="39">
        <f>SUM(B483:D483)</f>
        <v>81113</v>
      </c>
      <c r="F483" s="260">
        <f>SUM(F478:F481)</f>
        <v>70866</v>
      </c>
      <c r="G483" s="260">
        <f>SUM(G478:G481)</f>
        <v>87938</v>
      </c>
      <c r="H483" s="260">
        <f>SUM(H478:H481)</f>
        <v>98550</v>
      </c>
      <c r="I483" s="39">
        <f>SUM(F483:H483)</f>
        <v>257354</v>
      </c>
      <c r="J483" s="260">
        <f>SUM(J478:J481)</f>
        <v>96990</v>
      </c>
      <c r="K483" s="260">
        <f>SUM(K478:K481)</f>
        <v>74859</v>
      </c>
      <c r="L483" s="260">
        <f>SUM(L478:L481)</f>
        <v>61405</v>
      </c>
      <c r="M483" s="39">
        <f>SUM(J483:L483)</f>
        <v>233254</v>
      </c>
      <c r="N483" s="260">
        <f>SUM(N478:N481)</f>
        <v>26069</v>
      </c>
      <c r="O483" s="260">
        <f>SUM(O478:O481)</f>
        <v>33880</v>
      </c>
      <c r="P483" s="260">
        <f>SUM(P478:P481)</f>
        <v>23887</v>
      </c>
      <c r="Q483" s="39">
        <f>SUM(N483:P483)</f>
        <v>83836</v>
      </c>
      <c r="R483" s="39">
        <f>+E483+I483+M483+Q483</f>
        <v>655557</v>
      </c>
    </row>
    <row r="484" spans="1:18" ht="15.75" customHeight="1" x14ac:dyDescent="0.3">
      <c r="A484" s="262" t="s">
        <v>1897</v>
      </c>
      <c r="B484" s="172">
        <f>(B483/B10)/1.983</f>
        <v>226.37580726497811</v>
      </c>
      <c r="C484" s="172">
        <f>(C483/C10)/1.983</f>
        <v>363.44643757654342</v>
      </c>
      <c r="D484" s="172">
        <f>(D483/D10)/1.983</f>
        <v>764.83984838872345</v>
      </c>
      <c r="E484" s="38" t="s">
        <v>852</v>
      </c>
      <c r="F484" s="172">
        <f>(F483/F10)/1.983</f>
        <v>1191.2254160363084</v>
      </c>
      <c r="G484" s="172">
        <f>(G483/G10)/1.983</f>
        <v>1430.5142094903451</v>
      </c>
      <c r="H484" s="172">
        <f>(H483/H10)/1.983</f>
        <v>1656.5809379727684</v>
      </c>
      <c r="I484" s="38" t="s">
        <v>852</v>
      </c>
      <c r="J484" s="172">
        <f>(J483/J10)/1.983</f>
        <v>1577.7658484212579</v>
      </c>
      <c r="K484" s="172">
        <f>(K483/K10)/1.983</f>
        <v>1217.7541359621298</v>
      </c>
      <c r="L484" s="172">
        <f>(L483/L10)/1.983</f>
        <v>1032.1902840813582</v>
      </c>
      <c r="M484" s="38" t="s">
        <v>852</v>
      </c>
      <c r="N484" s="172">
        <f>(N483/N10)/1.983</f>
        <v>424.07235696972651</v>
      </c>
      <c r="O484" s="172">
        <f>(O483/O10)/1.983</f>
        <v>569.50748024878123</v>
      </c>
      <c r="P484" s="172">
        <f>(P483/P10)/1.983</f>
        <v>388.57709888894306</v>
      </c>
      <c r="Q484" s="38" t="s">
        <v>852</v>
      </c>
      <c r="R484" s="38" t="s">
        <v>852</v>
      </c>
    </row>
    <row r="485" spans="1:18" ht="15.75" customHeight="1" x14ac:dyDescent="0.3">
      <c r="A485" s="262" t="s">
        <v>2432</v>
      </c>
      <c r="B485" s="172">
        <f>B483+B535</f>
        <v>27634</v>
      </c>
      <c r="C485" s="172">
        <f>C483+C535</f>
        <v>42323</v>
      </c>
      <c r="D485" s="172">
        <f>D483+D535</f>
        <v>80845</v>
      </c>
      <c r="E485" s="38">
        <f>SUM(B485:D485)</f>
        <v>150802</v>
      </c>
      <c r="F485" s="172">
        <f>F483+F535</f>
        <v>116980</v>
      </c>
      <c r="G485" s="172">
        <f>G483+G535</f>
        <v>129854</v>
      </c>
      <c r="H485" s="172">
        <f>H483+H535</f>
        <v>143470</v>
      </c>
      <c r="I485" s="38">
        <f>SUM(F485:H485)</f>
        <v>390304</v>
      </c>
      <c r="J485" s="172">
        <f>J483+J535</f>
        <v>145660</v>
      </c>
      <c r="K485" s="172">
        <f>K483+K535</f>
        <v>123809</v>
      </c>
      <c r="L485" s="172">
        <f>L483+L535</f>
        <v>97255</v>
      </c>
      <c r="M485" s="38">
        <f>SUM(J485:L485)</f>
        <v>366724</v>
      </c>
      <c r="N485" s="172">
        <f>N483+N535</f>
        <v>39567</v>
      </c>
      <c r="O485" s="172">
        <f>O483+O535</f>
        <v>39480</v>
      </c>
      <c r="P485" s="172">
        <f>P483+P535</f>
        <v>29496</v>
      </c>
      <c r="Q485" s="38">
        <f>SUM(N485:P485)</f>
        <v>108543</v>
      </c>
      <c r="R485" s="38">
        <f>+E485+I485+M485+Q485</f>
        <v>1016373</v>
      </c>
    </row>
    <row r="486" spans="1:18" s="574" customFormat="1" ht="16.5" customHeight="1" thickBot="1" x14ac:dyDescent="0.35">
      <c r="A486" s="576" t="s">
        <v>104</v>
      </c>
      <c r="B486" s="577">
        <f>(B485/B10)/1.983</f>
        <v>449.53068826964682</v>
      </c>
      <c r="C486" s="577">
        <f>(C485/C10)/1.983</f>
        <v>762.24695627116193</v>
      </c>
      <c r="D486" s="577">
        <f>(D485/D10)/1.983</f>
        <v>1315.1302197712816</v>
      </c>
      <c r="E486" s="578" t="s">
        <v>852</v>
      </c>
      <c r="F486" s="577">
        <f>(F485/F10)/1.983</f>
        <v>1966.3809043536728</v>
      </c>
      <c r="G486" s="577">
        <f>(G485/G10)/1.983</f>
        <v>2112.3745384152394</v>
      </c>
      <c r="H486" s="577">
        <f>(H485/H10)/1.983</f>
        <v>2411.6658261892753</v>
      </c>
      <c r="I486" s="578" t="s">
        <v>852</v>
      </c>
      <c r="J486" s="577">
        <f>(J485/J10)/1.983</f>
        <v>2369.4955508922617</v>
      </c>
      <c r="K486" s="577">
        <f>(K485/K10)/1.983</f>
        <v>2014.0386836497323</v>
      </c>
      <c r="L486" s="577">
        <f>(L485/L10)/1.983</f>
        <v>1634.8125735417718</v>
      </c>
      <c r="M486" s="578" t="s">
        <v>852</v>
      </c>
      <c r="N486" s="577">
        <f>(N485/N10)/1.983</f>
        <v>643.6484310184959</v>
      </c>
      <c r="O486" s="577">
        <f>(O485/O10)/1.983</f>
        <v>663.6409480584972</v>
      </c>
      <c r="P486" s="577">
        <f>(P485/P10)/1.983</f>
        <v>479.82040896003122</v>
      </c>
      <c r="Q486" s="578" t="s">
        <v>852</v>
      </c>
      <c r="R486" s="578" t="s">
        <v>852</v>
      </c>
    </row>
    <row r="487" spans="1:18" ht="15.75" customHeight="1" x14ac:dyDescent="0.3">
      <c r="A487" s="351" t="s">
        <v>1011</v>
      </c>
      <c r="B487" s="352">
        <f>B$488+(SUMIF($T$323:$T$462,"FLG",B$330:B$480)/B10/1.98)+(SUMIF($T$323:$T$462,"FCA",B$330:B$480)/B10/1.98)+(SUMIF($T$323:$T$462,"NSC",B$330:B$480)/B10/1.98)</f>
        <v>350.15064509720702</v>
      </c>
      <c r="C487" s="352">
        <f>C$488+(SUMIF($T$323:$T$462,"FLG",C$330:C$480)/C10/1.98)+(SUMIF($T$323:$T$462,"FCA",C$330:C$480)/C10/1.98)+(SUMIF($T$323:$T$462,"NSC",C$330:C$480)/C10/1.98)</f>
        <v>485.83154322564303</v>
      </c>
      <c r="D487" s="352">
        <f>D$488+(SUMIF($T$323:$T$462,"FLG",D$330:D$480)/D10/1.98)+(SUMIF($T$323:$T$462,"FCA",D$330:D$480)/D10/1.98)+(SUMIF($T$323:$T$462,"NSC",D$330:D$480)/D10/1.98)</f>
        <v>785.82311820562768</v>
      </c>
      <c r="E487" s="329"/>
      <c r="F487" s="352">
        <f>F$488+(SUMIF($T$323:$T$462,"FLG",F$330:F$480)/F10/1.98)+(SUMIF($T$323:$T$462,"FCA",F$330:F$480)/F10/1.98)+(SUMIF($T$323:$T$462,"NSC",F$330:F$480)/F10/1.98)</f>
        <v>1350.1049832668593</v>
      </c>
      <c r="G487" s="352">
        <f>G$488+(SUMIF($T$323:$T$462,"FLG",G$330:G$480)/G10/1.98)+(SUMIF($T$323:$T$462,"FCA",G$330:G$480)/G10/1.98)+(SUMIF($T$323:$T$462,"NSC",G$330:G$480)/G10/1.98)</f>
        <v>1310.2734928219288</v>
      </c>
      <c r="H487" s="352">
        <f>H$488+(SUMIF($T$323:$T$462,"FLG",H$330:H$480)/H10/1.98)+(SUMIF($T$323:$T$462,"FCA",H$330:H$480)/H10/1.98)+(SUMIF($T$323:$T$462,"NSC",H$330:H$480)/H10/1.98)</f>
        <v>1403.9737771053958</v>
      </c>
      <c r="I487" s="350"/>
      <c r="J487" s="352">
        <f>J$488+(SUMIF($T$323:$T$462,"FLG",J$330:J$480)/J10/1.98)+(SUMIF($T$323:$T$462,"FCA",J$330:J$480)/J10/1.98)+(SUMIF($T$323:$T$462,"NSC",J$330:J$480)/J10/1.98)</f>
        <v>1390.6381417020234</v>
      </c>
      <c r="K487" s="352">
        <f>K$488+(SUMIF($T$323:$T$462,"FLG",K$330:K$480)/K10/1.98)+(SUMIF($T$323:$T$462,"FCA",K$330:K$480)/K10/1.98)+(SUMIF($T$323:$T$462,"NSC",K$330:K$480)/K10/1.98)</f>
        <v>1194.6227686064688</v>
      </c>
      <c r="L487" s="352">
        <f>L$488+(SUMIF($T$323:$T$462,"FLG",L$330:L$480)/L10/1.98)+(SUMIF($T$323:$T$462,"FCA",L$330:L$480)/L10/1.98)+(SUMIF($T$323:$T$462,"NSC",L$330:L$480)/L10/1.98)</f>
        <v>860.2822221203462</v>
      </c>
      <c r="M487" s="350"/>
      <c r="N487" s="352">
        <f>N$488+(SUMIF($T$323:$T$462,"FLG",N$330:N$480)/N10/1.98)+(SUMIF($T$323:$T$462,"FCA",N$330:N$480)/N10/1.98)+(SUMIF($T$323:$T$462,"NSC",N$330:N$480)/N10/1.98)</f>
        <v>314.99803559976323</v>
      </c>
      <c r="O487" s="352">
        <f>O$488+(SUMIF($T$323:$T$462,"FLG",O$330:O$480)/O10/1.98)+(SUMIF($T$323:$T$462,"FCA",O$330:O$480)/O10/1.98)+(SUMIF($T$323:$T$462,"NSC",O$330:O$480)/O10/1.98)</f>
        <v>210.63178430803239</v>
      </c>
      <c r="P487" s="352">
        <f>P$488+(SUMIF($T$323:$T$462,"FLG",P$330:P$480)/P10/1.98)+(SUMIF($T$323:$T$462,"FCA",P$330:P$480)/P10/1.98)+(SUMIF($T$323:$T$462,"NSC",P$330:P$480)/P10/1.98)</f>
        <v>218.58120515091869</v>
      </c>
      <c r="Q487" s="350"/>
      <c r="R487" s="350"/>
    </row>
    <row r="488" spans="1:18" ht="15.75" customHeight="1" x14ac:dyDescent="0.3">
      <c r="A488" s="351" t="s">
        <v>1012</v>
      </c>
      <c r="B488" s="352">
        <f>B$489+(SUMIF($T$323:$T$462,"FCI",B$330:B$480)/B10/1.98)+(SUMIF($T$323:$T$462,"FCC",B$330:B$480)/B10/1.98)</f>
        <v>350.15064509720702</v>
      </c>
      <c r="C488" s="352">
        <f>C$489+(SUMIF($T$323:$T$462,"FCI",C$330:C$480)/C10/1.98)+(SUMIF($T$323:$T$462,"FCC",C$330:C$480)/C10/1.98)</f>
        <v>485.83154322564303</v>
      </c>
      <c r="D488" s="352">
        <f>D$489+(SUMIF($T$323:$T$462,"FCI",D$330:D$480)/D10/1.98)+(SUMIF($T$323:$T$462,"FCC",D$330:D$480)/D10/1.98)</f>
        <v>785.82311820562768</v>
      </c>
      <c r="E488" s="329"/>
      <c r="F488" s="352">
        <f>F$489+(SUMIF($T$323:$T$462,"FCI",F$330:F$480)/F10/1.98)+(SUMIF($T$323:$T$462,"FCC",F$330:F$480)/F10/1.98)</f>
        <v>1350.1049832668593</v>
      </c>
      <c r="G488" s="352">
        <f>G$489+(SUMIF($T$323:$T$462,"FCI",G$330:G$480)/G10/1.98)+(SUMIF($T$323:$T$462,"FCC",G$330:G$480)/G10/1.98)</f>
        <v>1310.2734928219288</v>
      </c>
      <c r="H488" s="352">
        <f>H$489+(SUMIF($T$323:$T$462,"FCI",H$330:H$480)/H10/1.98)+(SUMIF($T$323:$T$462,"FCC",H$330:H$480)/H10/1.98)</f>
        <v>1403.9737771053958</v>
      </c>
      <c r="I488" s="350"/>
      <c r="J488" s="352">
        <f>J$489+(SUMIF($T$323:$T$462,"FCI",J$330:J$480)/J10/1.98)+(SUMIF($T$323:$T$462,"FCC",J$330:J$480)/J10/1.98)</f>
        <v>1390.6381417020234</v>
      </c>
      <c r="K488" s="352">
        <f>K$489+(SUMIF($T$323:$T$462,"FCI",K$330:K$480)/K10/1.98)+(SUMIF($T$323:$T$462,"FCC",K$330:K$480)/K10/1.98)</f>
        <v>1194.6227686064688</v>
      </c>
      <c r="L488" s="352">
        <f>L$489+(SUMIF($T$323:$T$462,"FCI",L$330:L$480)/L10/1.98)+(SUMIF($T$323:$T$462,"FCC",L$330:L$480)/L10/1.98)</f>
        <v>860.2822221203462</v>
      </c>
      <c r="M488" s="350"/>
      <c r="N488" s="352">
        <f>N$489+(SUMIF($T$323:$T$462,"FCI",N$330:N$480)/N10/1.98)+(SUMIF($T$323:$T$462,"FCC",N$330:N$480)/N10/1.98)</f>
        <v>314.99803559976323</v>
      </c>
      <c r="O488" s="352">
        <f>O$489+(SUMIF($T$323:$T$462,"FCI",O$330:O$480)/O10/1.98)+(SUMIF($T$323:$T$462,"FCC",O$330:O$480)/O10/1.98)</f>
        <v>210.63178430803239</v>
      </c>
      <c r="P488" s="352">
        <f>P$489+(SUMIF($T$323:$T$462,"FCI",P$330:P$480)/P10/1.98)+(SUMIF($T$323:$T$462,"FCC",P$330:P$480)/P10/1.98)</f>
        <v>218.58120515091869</v>
      </c>
      <c r="Q488" s="350"/>
      <c r="R488" s="350"/>
    </row>
    <row r="489" spans="1:18" ht="15.75" customHeight="1" x14ac:dyDescent="0.3">
      <c r="A489" s="351" t="s">
        <v>1013</v>
      </c>
      <c r="B489" s="352">
        <f>B$490+(SUMIF($T$323:$T$462,"PIL",B$330:B$480)/B10/1.98)+(SUMIF($T$323:$T$462,"KLK",B$330:B$480)/B10/1.98)</f>
        <v>350.15064509720702</v>
      </c>
      <c r="C489" s="352">
        <f>C$490+(SUMIF($T$323:$T$462,"PIL",C$330:C$480)/C10/1.98)+(SUMIF($T$323:$T$462,"KLK",C$330:C$480)/C10/1.98)</f>
        <v>485.83154322564303</v>
      </c>
      <c r="D489" s="352">
        <f>D$490+(SUMIF($T$323:$T$462,"PIL",D$330:D$480)/D10/1.98)+(SUMIF($T$323:$T$462,"KLK",D$330:D$480)/D10/1.98)</f>
        <v>785.82311820562768</v>
      </c>
      <c r="E489" s="329"/>
      <c r="F489" s="352">
        <f>F$490+(SUMIF($T$323:$T$462,"PIL",F$330:F$480)/F10/1.98)+(SUMIF($T$323:$T$462,"KLK",F$330:F$480)/F10/1.98)</f>
        <v>1350.1049832668593</v>
      </c>
      <c r="G489" s="352">
        <f>G$490+(SUMIF($T$323:$T$462,"PIL",G$330:G$480)/G10/1.98)+(SUMIF($T$323:$T$462,"KLK",G$330:G$480)/G10/1.98)</f>
        <v>1310.2734928219288</v>
      </c>
      <c r="H489" s="352">
        <f>H$490+(SUMIF($T$323:$T$462,"PIL",H$330:H$480)/H10/1.98)+(SUMIF($T$323:$T$462,"KLK",H$330:H$480)/H10/1.98)</f>
        <v>1403.9737771053958</v>
      </c>
      <c r="I489" s="350"/>
      <c r="J489" s="352">
        <f>J$490+(SUMIF($T$323:$T$462,"PIL",J$330:J$480)/J10/1.98)+(SUMIF($T$323:$T$462,"KLK",J$330:J$480)/J10/1.98)</f>
        <v>1390.6381417020234</v>
      </c>
      <c r="K489" s="352">
        <f>K$490+(SUMIF($T$323:$T$462,"PIL",K$330:K$480)/K10/1.98)+(SUMIF($T$323:$T$462,"KLK",K$330:K$480)/K10/1.98)</f>
        <v>1194.6227686064688</v>
      </c>
      <c r="L489" s="352">
        <f>L$490+(SUMIF($T$323:$T$462,"PIL",L$330:L$480)/L10/1.98)+(SUMIF($T$323:$T$462,"KLK",L$330:L$480)/L10/1.98)</f>
        <v>860.2822221203462</v>
      </c>
      <c r="M489" s="350"/>
      <c r="N489" s="352">
        <f>N$490+(SUMIF($T$323:$T$462,"PIL",N$330:N$480)/N10/1.98)+(SUMIF($T$323:$T$462,"KLK",N$330:N$480)/N10/1.98)</f>
        <v>314.99803559976323</v>
      </c>
      <c r="O489" s="352">
        <f>O$490+(SUMIF($T$323:$T$462,"PIL",O$330:O$480)/O10/1.98)+(SUMIF($T$323:$T$462,"KLK",O$330:O$480)/O10/1.98)</f>
        <v>210.63178430803239</v>
      </c>
      <c r="P489" s="352">
        <f>P$490+(SUMIF($T$323:$T$462,"PIL",P$330:P$480)/P10/1.98)+(SUMIF($T$323:$T$462,"KLK",P$330:P$480)/P10/1.98)</f>
        <v>218.58120515091869</v>
      </c>
      <c r="Q489" s="350"/>
      <c r="R489" s="350"/>
    </row>
    <row r="490" spans="1:18" ht="15.75" customHeight="1" x14ac:dyDescent="0.3">
      <c r="A490" s="351" t="s">
        <v>1014</v>
      </c>
      <c r="B490" s="352">
        <f>B$491+(SUMIF($T$323:$T$462,"CGE",B$330:B$480)/B10/1.98)</f>
        <v>349.90626582056967</v>
      </c>
      <c r="C490" s="352">
        <f>C$491+(SUMIF($T$323:$T$462,"CGE",C$330:C$480)/C10/1.98)</f>
        <v>485.48883038293019</v>
      </c>
      <c r="D490" s="352">
        <f>D$491+(SUMIF($T$323:$T$462,"CGE",D$330:D$480)/D10/1.98)</f>
        <v>785.17144013459472</v>
      </c>
      <c r="E490" s="329"/>
      <c r="F490" s="352">
        <f>F$491+(SUMIF($T$323:$T$462,"CGE",F$330:F$480)/F10/1.98)</f>
        <v>1347.0241751860513</v>
      </c>
      <c r="G490" s="352">
        <f>G$491+(SUMIF($T$323:$T$462,"CGE",G$330:G$480)/G10/1.98)</f>
        <v>1301.3617952005538</v>
      </c>
      <c r="H490" s="352">
        <f>H$491+(SUMIF($T$323:$T$462,"CGE",H$330:H$480)/H10/1.98)</f>
        <v>1403.0141811457997</v>
      </c>
      <c r="I490" s="350"/>
      <c r="J490" s="352">
        <f>J$491+(SUMIF($T$323:$T$462,"CGE",J$330:J$480)/J10/1.98)</f>
        <v>1389.5139970294917</v>
      </c>
      <c r="K490" s="352">
        <f>K$491+(SUMIF($T$323:$T$462,"CGE",K$330:K$480)/K10/1.98)</f>
        <v>1193.7592951623501</v>
      </c>
      <c r="L490" s="352">
        <f>L$491+(SUMIF($T$323:$T$462,"CGE",L$330:L$480)/L10/1.98)</f>
        <v>859.2216160597402</v>
      </c>
      <c r="M490" s="350"/>
      <c r="N490" s="352">
        <f>N$491+(SUMIF($T$323:$T$462,"CGE",N$330:N$480)/N10/1.98)</f>
        <v>314.23231386629953</v>
      </c>
      <c r="O490" s="352">
        <f>O$491+(SUMIF($T$323:$T$462,"CGE",O$330:O$480)/O10/1.98)</f>
        <v>210.0257237019718</v>
      </c>
      <c r="P490" s="352">
        <f>P$491+(SUMIF($T$323:$T$462,"CGE",P$330:P$480)/P10/1.98)</f>
        <v>218.32053392250552</v>
      </c>
      <c r="Q490" s="350"/>
      <c r="R490" s="350"/>
    </row>
    <row r="491" spans="1:18" ht="15.75" customHeight="1" x14ac:dyDescent="0.3">
      <c r="A491" s="351" t="s">
        <v>1015</v>
      </c>
      <c r="B491" s="352">
        <f>B$492+(SUMIF($T$323:$T$462,"SRO",B$330:B$480)/B10/1.98)</f>
        <v>349.90626582056967</v>
      </c>
      <c r="C491" s="352">
        <f>C$492+(SUMIF($T$323:$T$462,"SRO",C$330:C$480)/C10/1.98)</f>
        <v>485.48883038293019</v>
      </c>
      <c r="D491" s="352">
        <f>D$492+(SUMIF($T$323:$T$462,"SRO",D$330:D$480)/D10/1.98)</f>
        <v>743.74100676867749</v>
      </c>
      <c r="E491" s="329"/>
      <c r="F491" s="352">
        <f>F$492+(SUMIF($T$323:$T$462,"SRO",F$330:F$480)/F10/1.98)</f>
        <v>1313.3541415160175</v>
      </c>
      <c r="G491" s="352">
        <f>G$492+(SUMIF($T$323:$T$462,"SRO",G$330:G$480)/G10/1.98)</f>
        <v>1260.6319157609969</v>
      </c>
      <c r="H491" s="352">
        <f>H$492+(SUMIF($T$323:$T$462,"SRO",H$330:H$480)/H10/1.98)</f>
        <v>1307.374450506069</v>
      </c>
      <c r="I491" s="350"/>
      <c r="J491" s="352">
        <f>J$492+(SUMIF($T$323:$T$462,"SRO",J$330:J$480)/J10/1.98)</f>
        <v>1360.5794906756305</v>
      </c>
      <c r="K491" s="352">
        <f>K$492+(SUMIF($T$323:$T$462,"SRO",K$330:K$480)/K10/1.98)</f>
        <v>1193.7592951623501</v>
      </c>
      <c r="L491" s="352">
        <f>L$492+(SUMIF($T$323:$T$462,"SRO",L$330:L$480)/L10/1.98)</f>
        <v>859.2216160597402</v>
      </c>
      <c r="M491" s="350"/>
      <c r="N491" s="352">
        <f>N$492+(SUMIF($T$323:$T$462,"SRO",N$330:N$480)/N10/1.98)</f>
        <v>314.23231386629953</v>
      </c>
      <c r="O491" s="352">
        <f>O$492+(SUMIF($T$323:$T$462,"SRO",O$330:O$480)/O10/1.98)</f>
        <v>210.0257237019718</v>
      </c>
      <c r="P491" s="352">
        <f>P$492+(SUMIF($T$323:$T$462,"SRO",P$330:P$480)/P10/1.98)</f>
        <v>218.32053392250552</v>
      </c>
      <c r="Q491" s="350"/>
      <c r="R491" s="350"/>
    </row>
    <row r="492" spans="1:18" ht="15.75" customHeight="1" x14ac:dyDescent="0.3">
      <c r="A492" s="351" t="s">
        <v>130</v>
      </c>
      <c r="B492" s="352">
        <f>B$535/B10/1.983</f>
        <v>223.15488100466871</v>
      </c>
      <c r="C492" s="352">
        <f>C$535/C10/1.983</f>
        <v>398.80051869461852</v>
      </c>
      <c r="D492" s="352">
        <f>D$535/D10/1.983</f>
        <v>550.29037138255819</v>
      </c>
      <c r="E492" s="353"/>
      <c r="F492" s="352">
        <f>F$535/F10/1.983</f>
        <v>775.1554883173643</v>
      </c>
      <c r="G492" s="352">
        <f>G$535/G10/1.983</f>
        <v>681.86032892489391</v>
      </c>
      <c r="H492" s="352">
        <f>H$535/H10/1.983</f>
        <v>755.0848882165069</v>
      </c>
      <c r="I492" s="450"/>
      <c r="J492" s="352">
        <f>J$535/J10/1.983</f>
        <v>791.72970247100352</v>
      </c>
      <c r="K492" s="352">
        <f>K$535/K10/1.983</f>
        <v>796.28454768760264</v>
      </c>
      <c r="L492" s="352">
        <f>L$535/L10/1.983</f>
        <v>602.62228946041353</v>
      </c>
      <c r="M492" s="451"/>
      <c r="N492" s="352">
        <f>N$535/N10/1.983</f>
        <v>219.57607404876939</v>
      </c>
      <c r="O492" s="352">
        <f>O$535/O10/1.983</f>
        <v>94.13346780971591</v>
      </c>
      <c r="P492" s="352">
        <f>P$535/P10/1.983</f>
        <v>91.243310071088118</v>
      </c>
      <c r="Q492" s="451"/>
      <c r="R492" s="350"/>
    </row>
    <row r="493" spans="1:18" ht="15.75" customHeight="1" x14ac:dyDescent="0.3">
      <c r="A493" s="351"/>
      <c r="B493" s="352"/>
      <c r="C493" s="352"/>
      <c r="D493" s="352"/>
      <c r="E493" s="353"/>
      <c r="F493" s="352"/>
      <c r="G493" s="352"/>
      <c r="H493" s="352"/>
      <c r="I493" s="450"/>
      <c r="J493" s="352"/>
      <c r="K493" s="352"/>
      <c r="L493" s="352"/>
      <c r="M493" s="451"/>
      <c r="N493" s="352"/>
      <c r="O493" s="352"/>
      <c r="P493" s="352"/>
      <c r="Q493" s="451"/>
      <c r="R493" s="350"/>
    </row>
    <row r="494" spans="1:18" ht="15.75" customHeight="1" thickBot="1" x14ac:dyDescent="0.35">
      <c r="A494" s="18"/>
      <c r="B494" s="172"/>
      <c r="C494" s="172"/>
      <c r="D494" s="172"/>
      <c r="E494" s="172"/>
      <c r="F494" s="172"/>
      <c r="G494" s="172"/>
      <c r="H494" s="172"/>
      <c r="I494" s="172"/>
      <c r="J494" s="172"/>
      <c r="K494" s="172"/>
      <c r="L494" s="172"/>
      <c r="M494" s="172"/>
      <c r="N494" s="172"/>
      <c r="O494" s="172"/>
      <c r="P494" s="172"/>
      <c r="Q494" s="172"/>
      <c r="R494" s="17"/>
    </row>
    <row r="495" spans="1:18" ht="16.5" customHeight="1" thickBot="1" x14ac:dyDescent="0.35">
      <c r="A495" s="240" t="s">
        <v>813</v>
      </c>
      <c r="B495" s="4" t="s">
        <v>2090</v>
      </c>
      <c r="C495" s="5" t="s">
        <v>2091</v>
      </c>
      <c r="D495" s="5" t="s">
        <v>2234</v>
      </c>
      <c r="E495" s="33" t="s">
        <v>1594</v>
      </c>
      <c r="F495" s="5" t="s">
        <v>2235</v>
      </c>
      <c r="G495" s="5" t="s">
        <v>2236</v>
      </c>
      <c r="H495" s="5" t="s">
        <v>2237</v>
      </c>
      <c r="I495" s="35" t="s">
        <v>1595</v>
      </c>
      <c r="J495" s="5" t="s">
        <v>1504</v>
      </c>
      <c r="K495" s="5" t="s">
        <v>1505</v>
      </c>
      <c r="L495" s="5" t="s">
        <v>1506</v>
      </c>
      <c r="M495" s="35" t="s">
        <v>1596</v>
      </c>
      <c r="N495" s="5" t="s">
        <v>1507</v>
      </c>
      <c r="O495" s="5" t="s">
        <v>1508</v>
      </c>
      <c r="P495" s="5" t="s">
        <v>1509</v>
      </c>
      <c r="Q495" s="35" t="s">
        <v>1597</v>
      </c>
      <c r="R495" s="36" t="s">
        <v>1510</v>
      </c>
    </row>
    <row r="496" spans="1:18" ht="16.5" customHeight="1" thickBot="1" x14ac:dyDescent="0.35">
      <c r="A496" s="37"/>
      <c r="B496" s="258"/>
      <c r="C496" s="258"/>
      <c r="D496" s="258"/>
      <c r="E496" s="254"/>
      <c r="F496" s="258"/>
      <c r="G496" s="258"/>
      <c r="H496" s="258"/>
      <c r="I496" s="265"/>
      <c r="J496" s="258"/>
      <c r="K496" s="258"/>
      <c r="L496" s="258"/>
      <c r="M496" s="265"/>
      <c r="N496" s="258"/>
      <c r="O496" s="258"/>
      <c r="P496" s="258"/>
      <c r="Q496" s="265"/>
      <c r="R496" s="52"/>
    </row>
    <row r="497" spans="1:20" ht="15.75" customHeight="1" x14ac:dyDescent="0.3">
      <c r="A497" s="234" t="s">
        <v>2417</v>
      </c>
      <c r="B497" s="10" t="s">
        <v>852</v>
      </c>
      <c r="C497" s="10" t="s">
        <v>852</v>
      </c>
      <c r="D497" s="10" t="s">
        <v>852</v>
      </c>
      <c r="E497" s="38" t="s">
        <v>852</v>
      </c>
      <c r="F497" s="10"/>
      <c r="G497" s="10"/>
      <c r="H497" s="10"/>
      <c r="I497" s="38" t="s">
        <v>852</v>
      </c>
      <c r="J497" s="10" t="s">
        <v>852</v>
      </c>
      <c r="K497" s="10" t="s">
        <v>852</v>
      </c>
      <c r="L497" s="10" t="s">
        <v>852</v>
      </c>
      <c r="M497" s="38" t="s">
        <v>852</v>
      </c>
      <c r="N497" s="10" t="s">
        <v>852</v>
      </c>
      <c r="O497" s="10" t="s">
        <v>852</v>
      </c>
      <c r="P497" s="10" t="s">
        <v>852</v>
      </c>
      <c r="Q497" s="38" t="s">
        <v>852</v>
      </c>
      <c r="R497" s="38" t="s">
        <v>852</v>
      </c>
    </row>
    <row r="498" spans="1:20" ht="15.75" customHeight="1" x14ac:dyDescent="0.3">
      <c r="A498" s="234" t="s">
        <v>2160</v>
      </c>
      <c r="B498" s="10"/>
      <c r="C498" s="10"/>
      <c r="D498" s="10"/>
      <c r="E498" s="38" t="s">
        <v>852</v>
      </c>
      <c r="F498" s="10"/>
      <c r="G498" s="10"/>
      <c r="H498" s="10"/>
      <c r="I498" s="38" t="s">
        <v>852</v>
      </c>
      <c r="J498" s="10"/>
      <c r="K498" s="10"/>
      <c r="L498" s="10"/>
      <c r="M498" s="38" t="s">
        <v>852</v>
      </c>
      <c r="N498" s="10"/>
      <c r="O498" s="10"/>
      <c r="P498" s="10"/>
      <c r="Q498" s="38" t="s">
        <v>852</v>
      </c>
      <c r="R498" s="38" t="s">
        <v>852</v>
      </c>
    </row>
    <row r="499" spans="1:20" ht="15.75" customHeight="1" x14ac:dyDescent="0.3">
      <c r="A499" s="539" t="s">
        <v>3145</v>
      </c>
      <c r="B499" s="10"/>
      <c r="C499" s="10"/>
      <c r="D499" s="10">
        <v>4</v>
      </c>
      <c r="E499" s="38">
        <f t="shared" ref="E499:E503" si="213">SUM(B499:D499)</f>
        <v>4</v>
      </c>
      <c r="F499" s="10">
        <v>17</v>
      </c>
      <c r="G499" s="10">
        <v>7</v>
      </c>
      <c r="H499" s="10">
        <v>17</v>
      </c>
      <c r="I499" s="38">
        <f t="shared" ref="I499:I503" si="214">SUM(F499:H499)</f>
        <v>41</v>
      </c>
      <c r="J499" s="10">
        <v>6</v>
      </c>
      <c r="K499" s="10">
        <v>9</v>
      </c>
      <c r="L499" s="10">
        <v>3</v>
      </c>
      <c r="M499" s="38">
        <f t="shared" ref="M499:M503" si="215">SUM(J499:L499)</f>
        <v>18</v>
      </c>
      <c r="N499" s="10"/>
      <c r="O499" s="10"/>
      <c r="P499" s="10"/>
      <c r="Q499" s="38">
        <f t="shared" ref="Q499:Q503" si="216">SUM(N499:P499)</f>
        <v>0</v>
      </c>
      <c r="R499" s="38">
        <f t="shared" ref="R499:R503" si="217">+E499+I499+M499+Q499</f>
        <v>63</v>
      </c>
      <c r="T499" t="s">
        <v>500</v>
      </c>
    </row>
    <row r="500" spans="1:20" ht="15.75" customHeight="1" x14ac:dyDescent="0.3">
      <c r="A500" s="539" t="s">
        <v>3141</v>
      </c>
      <c r="B500" s="10"/>
      <c r="C500" s="10"/>
      <c r="D500" s="10"/>
      <c r="E500" s="38">
        <f t="shared" si="213"/>
        <v>0</v>
      </c>
      <c r="F500" s="10"/>
      <c r="G500" s="10"/>
      <c r="H500" s="10"/>
      <c r="I500" s="38">
        <f t="shared" si="214"/>
        <v>0</v>
      </c>
      <c r="J500" s="10"/>
      <c r="K500" s="10"/>
      <c r="L500" s="10"/>
      <c r="M500" s="38">
        <f t="shared" si="215"/>
        <v>0</v>
      </c>
      <c r="N500" s="10"/>
      <c r="O500" s="10"/>
      <c r="P500" s="10"/>
      <c r="Q500" s="38">
        <f t="shared" si="216"/>
        <v>0</v>
      </c>
      <c r="R500" s="38">
        <f t="shared" si="217"/>
        <v>0</v>
      </c>
      <c r="T500" t="s">
        <v>500</v>
      </c>
    </row>
    <row r="501" spans="1:20" ht="15.75" customHeight="1" x14ac:dyDescent="0.3">
      <c r="A501" s="539" t="s">
        <v>3239</v>
      </c>
      <c r="B501" s="10"/>
      <c r="C501" s="10"/>
      <c r="D501" s="10"/>
      <c r="E501" s="38">
        <f t="shared" si="213"/>
        <v>0</v>
      </c>
      <c r="F501" s="10"/>
      <c r="G501" s="10"/>
      <c r="H501" s="10"/>
      <c r="I501" s="38">
        <f t="shared" si="214"/>
        <v>0</v>
      </c>
      <c r="J501" s="10"/>
      <c r="K501" s="10">
        <v>1073</v>
      </c>
      <c r="L501" s="10"/>
      <c r="M501" s="38">
        <f t="shared" si="215"/>
        <v>1073</v>
      </c>
      <c r="N501" s="10"/>
      <c r="O501" s="10"/>
      <c r="P501" s="10"/>
      <c r="Q501" s="38">
        <f t="shared" si="216"/>
        <v>0</v>
      </c>
      <c r="R501" s="38">
        <f t="shared" si="217"/>
        <v>1073</v>
      </c>
    </row>
    <row r="502" spans="1:20" ht="15.75" customHeight="1" x14ac:dyDescent="0.3">
      <c r="A502" s="539" t="s">
        <v>2977</v>
      </c>
      <c r="C502" s="10"/>
      <c r="D502" s="10"/>
      <c r="E502" s="38">
        <f t="shared" si="213"/>
        <v>0</v>
      </c>
      <c r="F502" s="10"/>
      <c r="G502" s="10">
        <v>2300</v>
      </c>
      <c r="H502" s="10"/>
      <c r="I502" s="38">
        <f t="shared" si="214"/>
        <v>2300</v>
      </c>
      <c r="J502" s="10"/>
      <c r="K502" s="10"/>
      <c r="L502" s="10">
        <v>1150</v>
      </c>
      <c r="M502" s="38">
        <f t="shared" si="215"/>
        <v>1150</v>
      </c>
      <c r="N502" s="10"/>
      <c r="O502" s="10"/>
      <c r="P502" s="10"/>
      <c r="Q502" s="38">
        <f t="shared" si="216"/>
        <v>0</v>
      </c>
      <c r="R502" s="38">
        <f t="shared" si="217"/>
        <v>3450</v>
      </c>
      <c r="T502" t="s">
        <v>500</v>
      </c>
    </row>
    <row r="503" spans="1:20" ht="15.75" customHeight="1" x14ac:dyDescent="0.3">
      <c r="A503" s="410" t="s">
        <v>2795</v>
      </c>
      <c r="B503" s="10"/>
      <c r="C503" s="10"/>
      <c r="D503" s="10"/>
      <c r="E503" s="38">
        <f t="shared" si="213"/>
        <v>0</v>
      </c>
      <c r="F503" s="10"/>
      <c r="G503" s="10"/>
      <c r="H503" s="10"/>
      <c r="I503" s="38">
        <f t="shared" si="214"/>
        <v>0</v>
      </c>
      <c r="J503" s="10"/>
      <c r="K503" s="10"/>
      <c r="L503" s="10"/>
      <c r="M503" s="38">
        <f t="shared" si="215"/>
        <v>0</v>
      </c>
      <c r="N503" s="10"/>
      <c r="O503" s="10"/>
      <c r="P503" s="10"/>
      <c r="Q503" s="38">
        <f t="shared" si="216"/>
        <v>0</v>
      </c>
      <c r="R503" s="38">
        <f t="shared" si="217"/>
        <v>0</v>
      </c>
      <c r="T503" t="s">
        <v>500</v>
      </c>
    </row>
    <row r="504" spans="1:20" ht="15.75" customHeight="1" x14ac:dyDescent="0.3">
      <c r="A504" s="234" t="s">
        <v>2161</v>
      </c>
      <c r="B504" s="10"/>
      <c r="C504" s="10"/>
      <c r="D504" s="10"/>
      <c r="E504" s="38" t="s">
        <v>852</v>
      </c>
      <c r="F504" s="10"/>
      <c r="G504" s="10"/>
      <c r="H504" s="10"/>
      <c r="I504" s="38" t="s">
        <v>852</v>
      </c>
      <c r="J504" s="10"/>
      <c r="K504" s="10"/>
      <c r="L504" s="10"/>
      <c r="M504" s="38" t="s">
        <v>852</v>
      </c>
      <c r="N504" s="10"/>
      <c r="O504" s="10"/>
      <c r="P504" s="10"/>
      <c r="Q504" s="38" t="s">
        <v>852</v>
      </c>
      <c r="R504" s="38" t="s">
        <v>852</v>
      </c>
    </row>
    <row r="505" spans="1:20" ht="15.75" customHeight="1" x14ac:dyDescent="0.3">
      <c r="A505" s="310" t="s">
        <v>1065</v>
      </c>
      <c r="B505" s="10"/>
      <c r="C505" s="10"/>
      <c r="D505" s="10"/>
      <c r="E505" s="38">
        <f>SUM(B505:D505)</f>
        <v>0</v>
      </c>
      <c r="F505" s="10"/>
      <c r="G505" s="10"/>
      <c r="H505" s="10"/>
      <c r="I505" s="38">
        <f>SUM(F505:H505)</f>
        <v>0</v>
      </c>
      <c r="J505" s="10"/>
      <c r="K505" s="10"/>
      <c r="L505" s="10"/>
      <c r="M505" s="38">
        <f>SUM(J505:L505)</f>
        <v>0</v>
      </c>
      <c r="N505" s="10"/>
      <c r="O505" s="10"/>
      <c r="P505" s="10"/>
      <c r="Q505" s="38">
        <f>SUM(N505:P505)</f>
        <v>0</v>
      </c>
      <c r="R505" s="38">
        <f>+E505+I505+M505+Q505</f>
        <v>0</v>
      </c>
    </row>
    <row r="506" spans="1:20" ht="15.75" customHeight="1" x14ac:dyDescent="0.3">
      <c r="A506" s="266" t="s">
        <v>355</v>
      </c>
      <c r="B506" s="10"/>
      <c r="C506" s="10"/>
      <c r="D506" s="10"/>
      <c r="E506" s="38">
        <f>SUM(B506:D506)</f>
        <v>0</v>
      </c>
      <c r="F506" s="10"/>
      <c r="G506" s="10"/>
      <c r="H506" s="10"/>
      <c r="I506" s="38">
        <f>SUM(F506:H506)</f>
        <v>0</v>
      </c>
      <c r="J506" s="10"/>
      <c r="K506" s="10"/>
      <c r="L506" s="10"/>
      <c r="M506" s="38">
        <f>SUM(J506:L506)</f>
        <v>0</v>
      </c>
      <c r="N506" s="10"/>
      <c r="O506" s="10"/>
      <c r="P506" s="10"/>
      <c r="Q506" s="38">
        <f>SUM(N506:P506)</f>
        <v>0</v>
      </c>
      <c r="R506" s="38">
        <f>+E506+I506+M506+Q506</f>
        <v>0</v>
      </c>
    </row>
    <row r="507" spans="1:20" ht="15.75" customHeight="1" x14ac:dyDescent="0.3">
      <c r="A507" s="234" t="s">
        <v>3245</v>
      </c>
      <c r="B507" s="10"/>
      <c r="C507" s="10"/>
      <c r="D507" s="10"/>
      <c r="E507" s="38" t="s">
        <v>852</v>
      </c>
      <c r="F507" s="10"/>
      <c r="G507" s="10"/>
      <c r="H507" s="10"/>
      <c r="I507" s="38" t="s">
        <v>852</v>
      </c>
      <c r="J507" s="10"/>
      <c r="K507" s="10"/>
      <c r="L507" s="10"/>
      <c r="M507" s="38" t="s">
        <v>852</v>
      </c>
      <c r="N507" s="10"/>
      <c r="O507" s="10"/>
      <c r="P507" s="10"/>
      <c r="Q507" s="38" t="s">
        <v>852</v>
      </c>
      <c r="R507" s="38" t="s">
        <v>852</v>
      </c>
    </row>
    <row r="508" spans="1:20" ht="15.75" customHeight="1" thickBot="1" x14ac:dyDescent="0.35">
      <c r="A508" s="234" t="s">
        <v>2164</v>
      </c>
      <c r="B508" s="10"/>
      <c r="C508" s="10"/>
      <c r="D508" s="10"/>
      <c r="E508" s="38" t="s">
        <v>852</v>
      </c>
      <c r="F508" s="10"/>
      <c r="G508" s="10"/>
      <c r="H508" s="10"/>
      <c r="I508" s="38" t="s">
        <v>852</v>
      </c>
      <c r="J508" s="10"/>
      <c r="K508" s="10"/>
      <c r="L508" s="10"/>
      <c r="M508" s="38" t="s">
        <v>852</v>
      </c>
      <c r="N508" s="10"/>
      <c r="O508" s="10"/>
      <c r="P508" s="10"/>
      <c r="Q508" s="38" t="s">
        <v>852</v>
      </c>
      <c r="R508" s="38" t="s">
        <v>852</v>
      </c>
    </row>
    <row r="509" spans="1:20" ht="16.5" customHeight="1" thickBot="1" x14ac:dyDescent="0.35">
      <c r="A509" s="276" t="s">
        <v>1218</v>
      </c>
      <c r="B509" s="45">
        <f>SUM(B497:B508)</f>
        <v>0</v>
      </c>
      <c r="C509" s="46">
        <f>SUM(C497:C508)</f>
        <v>0</v>
      </c>
      <c r="D509" s="46">
        <f>SUM(D497:D508)</f>
        <v>4</v>
      </c>
      <c r="E509" s="37">
        <f>SUM(B509:D509)</f>
        <v>4</v>
      </c>
      <c r="F509" s="46">
        <f>SUM(F497:F508)</f>
        <v>17</v>
      </c>
      <c r="G509" s="46">
        <f>SUM(G497:G508)</f>
        <v>2307</v>
      </c>
      <c r="H509" s="46">
        <f>SUM(H497:H508)</f>
        <v>17</v>
      </c>
      <c r="I509" s="37">
        <f>SUM(F509:H509)</f>
        <v>2341</v>
      </c>
      <c r="J509" s="46">
        <f>SUM(J497:J508)</f>
        <v>6</v>
      </c>
      <c r="K509" s="46">
        <f>SUM(K497:K508)</f>
        <v>1082</v>
      </c>
      <c r="L509" s="46">
        <f>SUM(L497:L508)</f>
        <v>1153</v>
      </c>
      <c r="M509" s="37">
        <f>SUM(J509:L509)</f>
        <v>2241</v>
      </c>
      <c r="N509" s="46">
        <f>SUM(N497:N508)</f>
        <v>0</v>
      </c>
      <c r="O509" s="46">
        <f>SUM(O497:O508)</f>
        <v>0</v>
      </c>
      <c r="P509" s="46">
        <f>SUM(P497:P508)</f>
        <v>0</v>
      </c>
      <c r="Q509" s="37">
        <f>SUM(N509:P509)</f>
        <v>0</v>
      </c>
      <c r="R509" s="37">
        <f>+E509+I509+M509+Q509</f>
        <v>4586</v>
      </c>
    </row>
    <row r="510" spans="1:20" ht="15.75" customHeight="1" x14ac:dyDescent="0.3">
      <c r="A510" s="234" t="s">
        <v>1172</v>
      </c>
      <c r="B510" s="172"/>
      <c r="C510" s="172"/>
      <c r="D510" s="172"/>
      <c r="E510" s="38" t="s">
        <v>852</v>
      </c>
      <c r="F510" s="172"/>
      <c r="G510" s="172"/>
      <c r="H510" s="172"/>
      <c r="I510" s="38" t="s">
        <v>852</v>
      </c>
      <c r="J510" s="172"/>
      <c r="K510" s="172"/>
      <c r="L510" s="172"/>
      <c r="M510" s="38" t="s">
        <v>852</v>
      </c>
      <c r="N510" s="172" t="s">
        <v>852</v>
      </c>
      <c r="O510" s="172"/>
      <c r="P510" s="172"/>
      <c r="Q510" s="38" t="s">
        <v>852</v>
      </c>
      <c r="R510" s="38" t="s">
        <v>852</v>
      </c>
    </row>
    <row r="511" spans="1:20" ht="15.75" customHeight="1" x14ac:dyDescent="0.3">
      <c r="A511" s="234" t="s">
        <v>2409</v>
      </c>
      <c r="B511" s="172"/>
      <c r="C511" s="172"/>
      <c r="D511" s="172"/>
      <c r="E511" s="38" t="s">
        <v>852</v>
      </c>
      <c r="F511" s="172"/>
      <c r="G511" s="172"/>
      <c r="H511" s="172"/>
      <c r="I511" s="38" t="s">
        <v>852</v>
      </c>
      <c r="J511" s="172"/>
      <c r="K511" s="172"/>
      <c r="L511" s="172"/>
      <c r="M511" s="38" t="s">
        <v>852</v>
      </c>
      <c r="N511" s="172"/>
      <c r="O511" s="172"/>
      <c r="P511" s="172"/>
      <c r="Q511" s="38" t="s">
        <v>852</v>
      </c>
      <c r="R511" s="38" t="s">
        <v>852</v>
      </c>
    </row>
    <row r="512" spans="1:20" ht="15.75" customHeight="1" x14ac:dyDescent="0.3">
      <c r="A512" s="310" t="s">
        <v>473</v>
      </c>
      <c r="B512" s="10">
        <v>35</v>
      </c>
      <c r="C512" s="10">
        <v>104</v>
      </c>
      <c r="D512" s="10">
        <v>5031</v>
      </c>
      <c r="E512" s="38">
        <f>SUM(B512:D512)</f>
        <v>5170</v>
      </c>
      <c r="F512" s="10">
        <v>7188</v>
      </c>
      <c r="G512" s="10">
        <v>3337</v>
      </c>
      <c r="H512" s="10">
        <v>5857</v>
      </c>
      <c r="I512" s="38">
        <f>SUM(F512:H512)</f>
        <v>16382</v>
      </c>
      <c r="J512" s="10">
        <v>4003</v>
      </c>
      <c r="K512" s="356">
        <f>6283+3047</f>
        <v>9330</v>
      </c>
      <c r="L512" s="10">
        <f>2969</f>
        <v>2969</v>
      </c>
      <c r="M512" s="38">
        <f>SUM(J512:L512)</f>
        <v>16302</v>
      </c>
      <c r="N512" s="10">
        <v>75</v>
      </c>
      <c r="O512" s="10"/>
      <c r="P512" s="10">
        <v>106</v>
      </c>
      <c r="Q512" s="38">
        <f>SUM(N512:P512)</f>
        <v>181</v>
      </c>
      <c r="R512" s="38">
        <f>+E512+I512+M512+Q512</f>
        <v>38035</v>
      </c>
    </row>
    <row r="513" spans="1:20" ht="15.75" customHeight="1" thickBot="1" x14ac:dyDescent="0.35">
      <c r="A513" s="234" t="s">
        <v>2165</v>
      </c>
      <c r="B513" s="172"/>
      <c r="C513" s="172"/>
      <c r="D513" s="172"/>
      <c r="E513" s="38" t="s">
        <v>852</v>
      </c>
      <c r="F513" s="172"/>
      <c r="G513" s="172"/>
      <c r="H513" s="172"/>
      <c r="I513" s="38" t="s">
        <v>852</v>
      </c>
      <c r="J513" s="172"/>
      <c r="K513" s="172"/>
      <c r="L513" s="172"/>
      <c r="M513" s="38" t="s">
        <v>852</v>
      </c>
      <c r="N513" s="172"/>
      <c r="O513" s="172"/>
      <c r="P513" s="172"/>
      <c r="Q513" s="38" t="s">
        <v>852</v>
      </c>
      <c r="R513" s="38" t="s">
        <v>852</v>
      </c>
    </row>
    <row r="514" spans="1:20" ht="16.5" customHeight="1" thickBot="1" x14ac:dyDescent="0.35">
      <c r="A514" s="43" t="s">
        <v>1219</v>
      </c>
      <c r="B514" s="45">
        <f>SUM(B510:B513)</f>
        <v>35</v>
      </c>
      <c r="C514" s="46">
        <f>SUM(C510:C513)</f>
        <v>104</v>
      </c>
      <c r="D514" s="46">
        <f>SUM(D510:D513)</f>
        <v>5031</v>
      </c>
      <c r="E514" s="37">
        <f>SUM(B514:D514)</f>
        <v>5170</v>
      </c>
      <c r="F514" s="46">
        <f>SUM(F510:F513)</f>
        <v>7188</v>
      </c>
      <c r="G514" s="46">
        <f>SUM(G510:G513)</f>
        <v>3337</v>
      </c>
      <c r="H514" s="46">
        <f>SUM(H510:H513)</f>
        <v>5857</v>
      </c>
      <c r="I514" s="37">
        <f>SUM(F514:H514)</f>
        <v>16382</v>
      </c>
      <c r="J514" s="46">
        <f>SUM(J510:J513)</f>
        <v>4003</v>
      </c>
      <c r="K514" s="46">
        <f>SUM(K510:K513)</f>
        <v>9330</v>
      </c>
      <c r="L514" s="46">
        <f>SUM(L510:L513)</f>
        <v>2969</v>
      </c>
      <c r="M514" s="37">
        <f>SUM(J514:L514)</f>
        <v>16302</v>
      </c>
      <c r="N514" s="46">
        <f>SUM(N510:N513)</f>
        <v>75</v>
      </c>
      <c r="O514" s="46">
        <f>SUM(O510:O513)</f>
        <v>0</v>
      </c>
      <c r="P514" s="46">
        <f>SUM(P510:P513)</f>
        <v>106</v>
      </c>
      <c r="Q514" s="37">
        <f>SUM(N514:P514)</f>
        <v>181</v>
      </c>
      <c r="R514" s="37">
        <f>+E514+I514+M514+Q514</f>
        <v>38035</v>
      </c>
    </row>
    <row r="515" spans="1:20" ht="15.75" customHeight="1" x14ac:dyDescent="0.3">
      <c r="A515" s="234" t="s">
        <v>2166</v>
      </c>
      <c r="B515" s="172"/>
      <c r="C515" s="172"/>
      <c r="D515" s="172"/>
      <c r="E515" s="38" t="s">
        <v>852</v>
      </c>
      <c r="F515" s="172"/>
      <c r="G515" s="172"/>
      <c r="H515" s="172"/>
      <c r="I515" s="38" t="s">
        <v>852</v>
      </c>
      <c r="J515" s="172"/>
      <c r="K515" s="172"/>
      <c r="L515" s="172"/>
      <c r="M515" s="38" t="s">
        <v>852</v>
      </c>
      <c r="N515" s="172"/>
      <c r="O515" s="172"/>
      <c r="P515" s="172"/>
      <c r="Q515" s="38" t="s">
        <v>852</v>
      </c>
      <c r="R515" s="38" t="s">
        <v>852</v>
      </c>
    </row>
    <row r="516" spans="1:20" ht="15.75" customHeight="1" x14ac:dyDescent="0.3">
      <c r="A516" s="234" t="s">
        <v>1245</v>
      </c>
      <c r="B516" s="172"/>
      <c r="C516" s="172"/>
      <c r="D516" s="172"/>
      <c r="E516" s="38" t="s">
        <v>852</v>
      </c>
      <c r="F516" s="172"/>
      <c r="G516" s="172"/>
      <c r="H516" s="172"/>
      <c r="I516" s="38" t="s">
        <v>852</v>
      </c>
      <c r="J516" s="172"/>
      <c r="K516" s="172"/>
      <c r="L516" s="172"/>
      <c r="M516" s="38" t="s">
        <v>852</v>
      </c>
      <c r="N516" s="172"/>
      <c r="O516" s="172"/>
      <c r="P516" s="172"/>
      <c r="Q516" s="38" t="s">
        <v>852</v>
      </c>
      <c r="R516" s="38" t="s">
        <v>852</v>
      </c>
    </row>
    <row r="517" spans="1:20" ht="15.75" customHeight="1" x14ac:dyDescent="0.3">
      <c r="A517" s="234" t="s">
        <v>1711</v>
      </c>
      <c r="B517" s="172"/>
      <c r="C517" s="172"/>
      <c r="D517" s="172"/>
      <c r="E517" s="38" t="s">
        <v>852</v>
      </c>
      <c r="F517" s="172"/>
      <c r="G517" s="172"/>
      <c r="H517" s="172"/>
      <c r="I517" s="38" t="s">
        <v>852</v>
      </c>
      <c r="J517" s="172"/>
      <c r="K517" s="172"/>
      <c r="L517" s="172"/>
      <c r="M517" s="38" t="s">
        <v>852</v>
      </c>
      <c r="N517" s="172"/>
      <c r="O517" s="172"/>
      <c r="P517" s="172"/>
      <c r="Q517" s="38" t="s">
        <v>852</v>
      </c>
      <c r="R517" s="38" t="s">
        <v>852</v>
      </c>
    </row>
    <row r="518" spans="1:20" ht="15.75" customHeight="1" x14ac:dyDescent="0.3">
      <c r="A518" s="539" t="s">
        <v>3333</v>
      </c>
      <c r="B518" s="10"/>
      <c r="C518" s="10"/>
      <c r="D518" s="10"/>
      <c r="E518" s="38">
        <f>SUM(B518:D518)</f>
        <v>0</v>
      </c>
      <c r="F518" s="10"/>
      <c r="G518" s="10"/>
      <c r="H518" s="10">
        <v>4000</v>
      </c>
      <c r="I518" s="38">
        <f>SUM(F518:H518)</f>
        <v>4000</v>
      </c>
      <c r="J518" s="10">
        <v>4505</v>
      </c>
      <c r="K518" s="10"/>
      <c r="L518" s="10"/>
      <c r="M518" s="38">
        <f>SUM(J518:L518)</f>
        <v>4505</v>
      </c>
      <c r="N518" s="10"/>
      <c r="O518" s="10"/>
      <c r="P518" s="10"/>
      <c r="Q518" s="38">
        <f>SUM(N518:P518)</f>
        <v>0</v>
      </c>
      <c r="R518" s="38">
        <f>+E518+I518+M518+Q518</f>
        <v>8505</v>
      </c>
      <c r="T518" t="s">
        <v>500</v>
      </c>
    </row>
    <row r="519" spans="1:20" ht="15.75" customHeight="1" thickBot="1" x14ac:dyDescent="0.35">
      <c r="A519" s="689" t="s">
        <v>2937</v>
      </c>
      <c r="B519" s="10"/>
      <c r="C519" s="10"/>
      <c r="D519" s="700"/>
      <c r="E519" s="38">
        <f>SUM(B519:D519)</f>
        <v>0</v>
      </c>
      <c r="F519" s="10">
        <v>4000</v>
      </c>
      <c r="G519" s="10">
        <v>4000</v>
      </c>
      <c r="H519" s="10">
        <v>6000</v>
      </c>
      <c r="I519" s="38">
        <f>SUM(F519:H519)</f>
        <v>14000</v>
      </c>
      <c r="J519" s="10">
        <v>10000</v>
      </c>
      <c r="K519" s="10">
        <v>6000</v>
      </c>
      <c r="L519" s="10">
        <v>4000</v>
      </c>
      <c r="M519" s="38">
        <f>SUM(J519:L519)</f>
        <v>20000</v>
      </c>
      <c r="N519" s="10">
        <v>773</v>
      </c>
      <c r="O519" s="10">
        <v>22</v>
      </c>
      <c r="P519" s="10">
        <v>171</v>
      </c>
      <c r="Q519" s="38">
        <f>SUM(N519:P519)</f>
        <v>966</v>
      </c>
      <c r="R519" s="38">
        <f>+E519+I519+M519+Q519</f>
        <v>34966</v>
      </c>
      <c r="T519" t="s">
        <v>500</v>
      </c>
    </row>
    <row r="520" spans="1:20" ht="16.5" customHeight="1" thickBot="1" x14ac:dyDescent="0.35">
      <c r="A520" s="277" t="s">
        <v>1220</v>
      </c>
      <c r="B520" s="45">
        <f>SUM(B515:B519)</f>
        <v>0</v>
      </c>
      <c r="C520" s="46">
        <f>SUM(C515:C519)</f>
        <v>0</v>
      </c>
      <c r="D520" s="46">
        <f>SUM(D515:D519)</f>
        <v>0</v>
      </c>
      <c r="E520" s="37">
        <f>SUM(B520:D520)</f>
        <v>0</v>
      </c>
      <c r="F520" s="46">
        <f>SUM(F515:F519)</f>
        <v>4000</v>
      </c>
      <c r="G520" s="46">
        <f>SUM(G515:G519)</f>
        <v>4000</v>
      </c>
      <c r="H520" s="46">
        <f>SUM(H515:H519)</f>
        <v>10000</v>
      </c>
      <c r="I520" s="37">
        <f>SUM(F520:H520)</f>
        <v>18000</v>
      </c>
      <c r="J520" s="46">
        <f>SUM(J515:J519)</f>
        <v>14505</v>
      </c>
      <c r="K520" s="46">
        <f>SUM(K515:K519)</f>
        <v>6000</v>
      </c>
      <c r="L520" s="46">
        <f>SUM(L515:L519)</f>
        <v>4000</v>
      </c>
      <c r="M520" s="37">
        <f>SUM(J520:L520)</f>
        <v>24505</v>
      </c>
      <c r="N520" s="46">
        <f>SUM(N515:N519)</f>
        <v>773</v>
      </c>
      <c r="O520" s="46">
        <f>SUM(O515:O519)</f>
        <v>22</v>
      </c>
      <c r="P520" s="46">
        <f>SUM(P515:P519)</f>
        <v>171</v>
      </c>
      <c r="Q520" s="37">
        <f>SUM(N520:P520)</f>
        <v>966</v>
      </c>
      <c r="R520" s="37">
        <f>+E520+I520+M520+Q520</f>
        <v>43471</v>
      </c>
    </row>
    <row r="521" spans="1:20" ht="15.75" customHeight="1" x14ac:dyDescent="0.3">
      <c r="A521" s="234" t="s">
        <v>1712</v>
      </c>
      <c r="B521" s="172"/>
      <c r="C521" s="172"/>
      <c r="D521" s="172"/>
      <c r="E521" s="38" t="s">
        <v>852</v>
      </c>
      <c r="F521" s="172"/>
      <c r="G521" s="172"/>
      <c r="H521" s="172"/>
      <c r="I521" s="38" t="s">
        <v>852</v>
      </c>
      <c r="J521" s="172"/>
      <c r="K521" s="172"/>
      <c r="L521" s="172"/>
      <c r="M521" s="38" t="s">
        <v>852</v>
      </c>
      <c r="N521" s="172"/>
      <c r="O521" s="172"/>
      <c r="P521" s="172"/>
      <c r="Q521" s="38" t="s">
        <v>852</v>
      </c>
      <c r="R521" s="38" t="s">
        <v>852</v>
      </c>
    </row>
    <row r="522" spans="1:20" ht="15.75" customHeight="1" x14ac:dyDescent="0.3">
      <c r="A522" s="234" t="s">
        <v>1021</v>
      </c>
      <c r="B522" s="172"/>
      <c r="C522" s="172"/>
      <c r="D522" s="172"/>
      <c r="E522" s="38" t="s">
        <v>852</v>
      </c>
      <c r="F522" s="172"/>
      <c r="G522" s="172"/>
      <c r="H522" s="172"/>
      <c r="I522" s="38" t="s">
        <v>852</v>
      </c>
      <c r="J522" s="172"/>
      <c r="K522" s="172"/>
      <c r="L522" s="172"/>
      <c r="M522" s="38" t="s">
        <v>852</v>
      </c>
      <c r="N522" s="172"/>
      <c r="O522" s="172"/>
      <c r="P522" s="172"/>
      <c r="Q522" s="38" t="s">
        <v>852</v>
      </c>
      <c r="R522" s="38" t="s">
        <v>852</v>
      </c>
    </row>
    <row r="523" spans="1:20" ht="15.75" customHeight="1" x14ac:dyDescent="0.3">
      <c r="A523" s="234" t="s">
        <v>557</v>
      </c>
      <c r="B523" s="172"/>
      <c r="C523" s="172"/>
      <c r="D523" s="172"/>
      <c r="E523" s="38" t="s">
        <v>852</v>
      </c>
      <c r="F523" s="172"/>
      <c r="G523" s="172"/>
      <c r="H523" s="172"/>
      <c r="I523" s="38" t="s">
        <v>852</v>
      </c>
      <c r="J523" s="172"/>
      <c r="K523" s="172"/>
      <c r="L523" s="172"/>
      <c r="M523" s="38" t="s">
        <v>852</v>
      </c>
      <c r="N523" s="172"/>
      <c r="O523" s="172"/>
      <c r="P523" s="172"/>
      <c r="Q523" s="38" t="s">
        <v>852</v>
      </c>
      <c r="R523" s="38" t="s">
        <v>852</v>
      </c>
    </row>
    <row r="524" spans="1:20" ht="15.75" customHeight="1" x14ac:dyDescent="0.3">
      <c r="A524" s="234" t="s">
        <v>1022</v>
      </c>
      <c r="B524" s="172"/>
      <c r="C524" s="172"/>
      <c r="D524" s="172"/>
      <c r="E524" s="38" t="s">
        <v>852</v>
      </c>
      <c r="F524" s="172"/>
      <c r="G524" s="172"/>
      <c r="H524" s="172"/>
      <c r="I524" s="38" t="s">
        <v>852</v>
      </c>
      <c r="J524" s="172"/>
      <c r="K524" s="172"/>
      <c r="L524" s="172"/>
      <c r="M524" s="38" t="s">
        <v>852</v>
      </c>
      <c r="N524" s="172"/>
      <c r="O524" s="172"/>
      <c r="P524" s="172"/>
      <c r="Q524" s="38" t="s">
        <v>852</v>
      </c>
      <c r="R524" s="38" t="s">
        <v>852</v>
      </c>
    </row>
    <row r="525" spans="1:20" ht="15.75" customHeight="1" x14ac:dyDescent="0.3">
      <c r="A525" s="234" t="s">
        <v>559</v>
      </c>
      <c r="B525" s="172"/>
      <c r="C525" s="172"/>
      <c r="D525" s="172"/>
      <c r="E525" s="38" t="s">
        <v>852</v>
      </c>
      <c r="F525" s="172"/>
      <c r="G525" s="172"/>
      <c r="H525" s="172"/>
      <c r="I525" s="38" t="s">
        <v>852</v>
      </c>
      <c r="J525" s="172"/>
      <c r="K525" s="172"/>
      <c r="L525" s="172"/>
      <c r="M525" s="38" t="s">
        <v>852</v>
      </c>
      <c r="N525" s="172"/>
      <c r="O525" s="172"/>
      <c r="P525" s="172"/>
      <c r="Q525" s="38" t="s">
        <v>852</v>
      </c>
      <c r="R525" s="38" t="s">
        <v>852</v>
      </c>
    </row>
    <row r="526" spans="1:20" ht="15.75" customHeight="1" x14ac:dyDescent="0.3">
      <c r="A526" s="539" t="s">
        <v>2936</v>
      </c>
      <c r="B526" s="10"/>
      <c r="C526" s="10"/>
      <c r="D526" s="10"/>
      <c r="E526" s="38">
        <f t="shared" ref="E526:E527" si="218">SUM(B526:D526)</f>
        <v>0</v>
      </c>
      <c r="F526" s="10"/>
      <c r="G526" s="10"/>
      <c r="H526" s="10"/>
      <c r="I526" s="38">
        <f t="shared" ref="I526:I527" si="219">SUM(F526:H526)</f>
        <v>0</v>
      </c>
      <c r="J526" s="10"/>
      <c r="K526" s="10"/>
      <c r="L526" s="10"/>
      <c r="M526" s="38">
        <f t="shared" ref="M526:M527" si="220">SUM(J526:L526)</f>
        <v>0</v>
      </c>
      <c r="N526" s="10"/>
      <c r="O526" s="10"/>
      <c r="P526" s="10"/>
      <c r="Q526" s="38">
        <f t="shared" ref="Q526:Q527" si="221">SUM(N526:P526)</f>
        <v>0</v>
      </c>
      <c r="R526" s="38">
        <f t="shared" ref="R526:R531" si="222">+E526+I526+M526+Q526</f>
        <v>0</v>
      </c>
      <c r="T526" t="s">
        <v>500</v>
      </c>
    </row>
    <row r="527" spans="1:20" ht="15.75" customHeight="1" thickBot="1" x14ac:dyDescent="0.35">
      <c r="A527" s="539" t="s">
        <v>2834</v>
      </c>
      <c r="B527" s="10"/>
      <c r="C527" s="10"/>
      <c r="D527" s="10"/>
      <c r="E527" s="38">
        <f t="shared" si="218"/>
        <v>0</v>
      </c>
      <c r="F527" s="10"/>
      <c r="G527" s="10"/>
      <c r="H527" s="10"/>
      <c r="I527" s="38">
        <f t="shared" si="219"/>
        <v>0</v>
      </c>
      <c r="J527" s="10"/>
      <c r="K527" s="10"/>
      <c r="L527" s="10"/>
      <c r="M527" s="38">
        <f t="shared" si="220"/>
        <v>0</v>
      </c>
      <c r="N527" s="10"/>
      <c r="O527" s="10"/>
      <c r="P527" s="10"/>
      <c r="Q527" s="38">
        <f t="shared" si="221"/>
        <v>0</v>
      </c>
      <c r="R527" s="38">
        <f t="shared" si="222"/>
        <v>0</v>
      </c>
      <c r="S527" t="s">
        <v>3332</v>
      </c>
      <c r="T527" t="s">
        <v>500</v>
      </c>
    </row>
    <row r="528" spans="1:20" ht="16.5" customHeight="1" thickBot="1" x14ac:dyDescent="0.35">
      <c r="A528" s="43" t="s">
        <v>1019</v>
      </c>
      <c r="B528" s="42">
        <f>SUM(B524:B527)</f>
        <v>0</v>
      </c>
      <c r="C528" s="42">
        <f>SUM(C524:C527)</f>
        <v>0</v>
      </c>
      <c r="D528" s="42">
        <f>SUM(D524:D527)</f>
        <v>0</v>
      </c>
      <c r="E528" s="39">
        <f t="shared" ref="E528:E531" si="223">SUM(B528:D528)</f>
        <v>0</v>
      </c>
      <c r="F528" s="42">
        <f>SUM(F524:F527)</f>
        <v>0</v>
      </c>
      <c r="G528" s="42">
        <f>SUM(G524:G527)</f>
        <v>0</v>
      </c>
      <c r="H528" s="42">
        <f>SUM(H524:H527)</f>
        <v>0</v>
      </c>
      <c r="I528" s="39">
        <f t="shared" ref="I528:I531" si="224">SUM(F528:H528)</f>
        <v>0</v>
      </c>
      <c r="J528" s="42">
        <f>SUM(J524:J527)</f>
        <v>0</v>
      </c>
      <c r="K528" s="42">
        <f>SUM(K524:K527)</f>
        <v>0</v>
      </c>
      <c r="L528" s="42">
        <f>SUM(L524:L527)</f>
        <v>0</v>
      </c>
      <c r="M528" s="39">
        <f t="shared" ref="M528:M531" si="225">SUM(J528:L528)</f>
        <v>0</v>
      </c>
      <c r="N528" s="42">
        <f>SUM(N524:N527)</f>
        <v>0</v>
      </c>
      <c r="O528" s="42">
        <f>SUM(O524:O527)</f>
        <v>0</v>
      </c>
      <c r="P528" s="42">
        <f>SUM(P524:P527)</f>
        <v>0</v>
      </c>
      <c r="Q528" s="39">
        <f t="shared" ref="Q528:Q531" si="226">SUM(N528:P528)</f>
        <v>0</v>
      </c>
      <c r="R528" s="37">
        <f t="shared" si="222"/>
        <v>0</v>
      </c>
    </row>
    <row r="529" spans="1:20" ht="16.5" customHeight="1" thickBot="1" x14ac:dyDescent="0.35">
      <c r="A529" s="277" t="s">
        <v>1221</v>
      </c>
      <c r="B529" s="45">
        <f>SUM(B521:B527)</f>
        <v>0</v>
      </c>
      <c r="C529" s="46">
        <f>SUM(C521:C527)</f>
        <v>0</v>
      </c>
      <c r="D529" s="58">
        <f>SUM(D521:D527)</f>
        <v>0</v>
      </c>
      <c r="E529" s="39">
        <f t="shared" si="223"/>
        <v>0</v>
      </c>
      <c r="F529" s="46">
        <f>SUM(F521:F527)</f>
        <v>0</v>
      </c>
      <c r="G529" s="46">
        <f>SUM(G521:G527)</f>
        <v>0</v>
      </c>
      <c r="H529" s="46">
        <f>SUM(H521:H527)</f>
        <v>0</v>
      </c>
      <c r="I529" s="39">
        <f t="shared" si="224"/>
        <v>0</v>
      </c>
      <c r="J529" s="46">
        <f>SUM(J521:J527)</f>
        <v>0</v>
      </c>
      <c r="K529" s="46">
        <f>SUM(K521:K527)</f>
        <v>0</v>
      </c>
      <c r="L529" s="46">
        <f>SUM(L521:L527)</f>
        <v>0</v>
      </c>
      <c r="M529" s="39">
        <f t="shared" si="225"/>
        <v>0</v>
      </c>
      <c r="N529" s="46">
        <f>SUM(N521:N527)</f>
        <v>0</v>
      </c>
      <c r="O529" s="46">
        <f>SUM(O521:O527)</f>
        <v>0</v>
      </c>
      <c r="P529" s="46">
        <f>SUM(P521:P527)</f>
        <v>0</v>
      </c>
      <c r="Q529" s="39">
        <f t="shared" si="226"/>
        <v>0</v>
      </c>
      <c r="R529" s="37">
        <f t="shared" si="222"/>
        <v>0</v>
      </c>
    </row>
    <row r="530" spans="1:20" ht="16.5" customHeight="1" thickBot="1" x14ac:dyDescent="0.35">
      <c r="A530" s="43" t="s">
        <v>1222</v>
      </c>
      <c r="B530" s="47">
        <f>+B509+B514+B520+B529</f>
        <v>35</v>
      </c>
      <c r="C530" s="42">
        <f>+C509+C514+C520+C529</f>
        <v>104</v>
      </c>
      <c r="D530" s="42">
        <f>+D509+D514+D520+D529</f>
        <v>5035</v>
      </c>
      <c r="E530" s="37">
        <f t="shared" si="223"/>
        <v>5174</v>
      </c>
      <c r="F530" s="42">
        <f>+F509+F514+F520+F529</f>
        <v>11205</v>
      </c>
      <c r="G530" s="42">
        <f>+G509+G514+G520+G529</f>
        <v>9644</v>
      </c>
      <c r="H530" s="42">
        <f>+H509+H514+H520+H529</f>
        <v>15874</v>
      </c>
      <c r="I530" s="37">
        <f t="shared" si="224"/>
        <v>36723</v>
      </c>
      <c r="J530" s="42">
        <f>+J509+J514+J520+J529</f>
        <v>18514</v>
      </c>
      <c r="K530" s="42">
        <f>+K509+K514+K520+K529</f>
        <v>16412</v>
      </c>
      <c r="L530" s="42">
        <f>+L509+L514+L520+L529</f>
        <v>8122</v>
      </c>
      <c r="M530" s="37">
        <f t="shared" si="225"/>
        <v>43048</v>
      </c>
      <c r="N530" s="42">
        <f>+N509+N514+N520+N529</f>
        <v>848</v>
      </c>
      <c r="O530" s="42">
        <f>+O509+O514+O520+O529</f>
        <v>22</v>
      </c>
      <c r="P530" s="42">
        <f>+P509+P514+P520+P529</f>
        <v>277</v>
      </c>
      <c r="Q530" s="37">
        <f t="shared" si="226"/>
        <v>1147</v>
      </c>
      <c r="R530" s="40">
        <f>+E530+I530+M530+Q530</f>
        <v>86092</v>
      </c>
    </row>
    <row r="531" spans="1:20" ht="16.5" customHeight="1" thickBot="1" x14ac:dyDescent="0.35">
      <c r="A531" s="244" t="s">
        <v>853</v>
      </c>
      <c r="B531" s="238">
        <v>9</v>
      </c>
      <c r="C531" s="238">
        <v>16</v>
      </c>
      <c r="D531" s="238">
        <v>25</v>
      </c>
      <c r="E531" s="38">
        <f t="shared" si="223"/>
        <v>50</v>
      </c>
      <c r="F531" s="238">
        <v>34</v>
      </c>
      <c r="G531" s="238">
        <v>41</v>
      </c>
      <c r="H531" s="238">
        <v>41</v>
      </c>
      <c r="I531" s="38">
        <f t="shared" si="224"/>
        <v>116</v>
      </c>
      <c r="J531" s="238">
        <v>39</v>
      </c>
      <c r="K531" s="238">
        <v>30</v>
      </c>
      <c r="L531" s="238">
        <v>30</v>
      </c>
      <c r="M531" s="38">
        <f t="shared" si="225"/>
        <v>99</v>
      </c>
      <c r="N531" s="238">
        <v>28</v>
      </c>
      <c r="O531" s="238">
        <v>22</v>
      </c>
      <c r="P531" s="238">
        <v>16</v>
      </c>
      <c r="Q531" s="38">
        <f t="shared" si="226"/>
        <v>66</v>
      </c>
      <c r="R531" s="38">
        <f t="shared" si="222"/>
        <v>331</v>
      </c>
    </row>
    <row r="532" spans="1:20" ht="16.5" customHeight="1" thickBot="1" x14ac:dyDescent="0.35">
      <c r="A532" s="44"/>
      <c r="B532" s="258"/>
      <c r="C532" s="258"/>
      <c r="D532" s="258"/>
      <c r="E532" s="37"/>
      <c r="F532" s="258"/>
      <c r="G532" s="258"/>
      <c r="H532" s="258"/>
      <c r="I532" s="37"/>
      <c r="J532" s="258"/>
      <c r="K532" s="258"/>
      <c r="L532" s="258"/>
      <c r="M532" s="37"/>
      <c r="N532" s="258"/>
      <c r="O532" s="258"/>
      <c r="P532" s="258"/>
      <c r="Q532" s="37"/>
      <c r="R532" s="37" t="s">
        <v>852</v>
      </c>
    </row>
    <row r="533" spans="1:20" ht="15.75" customHeight="1" x14ac:dyDescent="0.3">
      <c r="A533" s="259" t="s">
        <v>2011</v>
      </c>
      <c r="B533" s="260">
        <f>SUM(B530:B531)</f>
        <v>44</v>
      </c>
      <c r="C533" s="260">
        <f>SUM(C530:C531)</f>
        <v>120</v>
      </c>
      <c r="D533" s="260">
        <f>SUM(D530:D531)</f>
        <v>5060</v>
      </c>
      <c r="E533" s="39">
        <f>SUM(B533:D533)</f>
        <v>5224</v>
      </c>
      <c r="F533" s="260">
        <f>SUM(F530:F531)</f>
        <v>11239</v>
      </c>
      <c r="G533" s="260">
        <f>SUM(G530:G531)</f>
        <v>9685</v>
      </c>
      <c r="H533" s="260">
        <f>SUM(H530:H531)</f>
        <v>15915</v>
      </c>
      <c r="I533" s="39">
        <f>SUM(F533:H533)</f>
        <v>36839</v>
      </c>
      <c r="J533" s="260">
        <f>SUM(J530:J531)</f>
        <v>18553</v>
      </c>
      <c r="K533" s="260">
        <f>SUM(K530:K531)</f>
        <v>16442</v>
      </c>
      <c r="L533" s="260">
        <f>SUM(L530:L531)</f>
        <v>8152</v>
      </c>
      <c r="M533" s="39">
        <f>SUM(J533:L533)</f>
        <v>43147</v>
      </c>
      <c r="N533" s="260">
        <f>SUM(N530:N531)</f>
        <v>876</v>
      </c>
      <c r="O533" s="260">
        <f>SUM(O530:O531)</f>
        <v>44</v>
      </c>
      <c r="P533" s="260">
        <f>SUM(P530:P531)</f>
        <v>293</v>
      </c>
      <c r="Q533" s="39">
        <f>SUM(N533:P533)</f>
        <v>1213</v>
      </c>
      <c r="R533" s="39">
        <f>+E533+I533+M533+Q533</f>
        <v>86423</v>
      </c>
    </row>
    <row r="534" spans="1:20" ht="15.75" customHeight="1" x14ac:dyDescent="0.3">
      <c r="A534" s="262" t="s">
        <v>1897</v>
      </c>
      <c r="B534" s="172">
        <f>(B533/B10)/1.983</f>
        <v>0.71576139117986759</v>
      </c>
      <c r="C534" s="172">
        <f>(C533/C10)/1.983</f>
        <v>2.1612275772638858</v>
      </c>
      <c r="D534" s="172">
        <f>(D533/D10)/1.983</f>
        <v>82.312559985684771</v>
      </c>
      <c r="E534" s="38" t="s">
        <v>852</v>
      </c>
      <c r="F534" s="172">
        <f>(F533/F10)/1.983</f>
        <v>188.9225079845352</v>
      </c>
      <c r="G534" s="172">
        <f>(G533/G10)/1.983</f>
        <v>157.54884258129584</v>
      </c>
      <c r="H534" s="172">
        <f>(H533/H10)/1.983</f>
        <v>267.52395360564799</v>
      </c>
      <c r="I534" s="38" t="s">
        <v>852</v>
      </c>
      <c r="J534" s="172">
        <f>(J533/J10)/1.983</f>
        <v>301.80729751272918</v>
      </c>
      <c r="K534" s="172">
        <f>(K533/K10)/1.983</f>
        <v>267.46701804044051</v>
      </c>
      <c r="L534" s="172">
        <f>(L533/L10)/1.983</f>
        <v>137.03143385442931</v>
      </c>
      <c r="M534" s="38" t="s">
        <v>852</v>
      </c>
      <c r="N534" s="172">
        <f>(N533/N10)/1.983</f>
        <v>14.250158606217363</v>
      </c>
      <c r="O534" s="172">
        <f>(O533/O10)/1.983</f>
        <v>0.73962010421919644</v>
      </c>
      <c r="P534" s="172">
        <f>(P533/P10)/1.983</f>
        <v>4.766320173084118</v>
      </c>
      <c r="Q534" s="38" t="s">
        <v>852</v>
      </c>
      <c r="R534" s="38" t="s">
        <v>852</v>
      </c>
    </row>
    <row r="535" spans="1:20" ht="15.75" customHeight="1" x14ac:dyDescent="0.3">
      <c r="A535" s="262" t="s">
        <v>575</v>
      </c>
      <c r="B535" s="172">
        <f>B533+B580</f>
        <v>13718</v>
      </c>
      <c r="C535" s="172">
        <f>C533+C580</f>
        <v>22143</v>
      </c>
      <c r="D535" s="172">
        <f>D533+D580</f>
        <v>33828</v>
      </c>
      <c r="E535" s="38">
        <f>SUM(B535:D535)</f>
        <v>69689</v>
      </c>
      <c r="F535" s="172">
        <f>F533+F580</f>
        <v>46114</v>
      </c>
      <c r="G535" s="172">
        <f>G533+G580</f>
        <v>41916</v>
      </c>
      <c r="H535" s="172">
        <f>H533+H580</f>
        <v>44920</v>
      </c>
      <c r="I535" s="38">
        <f>SUM(F535:H535)</f>
        <v>132950</v>
      </c>
      <c r="J535" s="172">
        <f>J533+J580</f>
        <v>48670</v>
      </c>
      <c r="K535" s="172">
        <f>K533+K580</f>
        <v>48950</v>
      </c>
      <c r="L535" s="172">
        <f>L533+L580</f>
        <v>35850</v>
      </c>
      <c r="M535" s="38">
        <f>SUM(J535:L535)</f>
        <v>133470</v>
      </c>
      <c r="N535" s="172">
        <f>N533+N580</f>
        <v>13498</v>
      </c>
      <c r="O535" s="172">
        <f>O533+O580</f>
        <v>5600</v>
      </c>
      <c r="P535" s="172">
        <f>P533+P580</f>
        <v>5609</v>
      </c>
      <c r="Q535" s="38">
        <f>SUM(N535:P535)</f>
        <v>24707</v>
      </c>
      <c r="R535" s="38">
        <f>+E535+I535+M535+Q535</f>
        <v>360816</v>
      </c>
    </row>
    <row r="536" spans="1:20" ht="16.5" customHeight="1" thickBot="1" x14ac:dyDescent="0.35">
      <c r="A536" s="263" t="s">
        <v>576</v>
      </c>
      <c r="B536" s="264">
        <f>(B535/B10)/1.983</f>
        <v>223.15488100466871</v>
      </c>
      <c r="C536" s="264">
        <f>(C535/C10)/1.983</f>
        <v>398.80051869461852</v>
      </c>
      <c r="D536" s="264">
        <f>(D535/D10)/1.983</f>
        <v>550.29037138255819</v>
      </c>
      <c r="E536" s="40" t="s">
        <v>852</v>
      </c>
      <c r="F536" s="264">
        <f>(F535/F10)/1.983</f>
        <v>775.1554883173643</v>
      </c>
      <c r="G536" s="264">
        <f>(G535/G10)/1.983</f>
        <v>681.86032892489391</v>
      </c>
      <c r="H536" s="264">
        <f>(H535/H10)/1.983</f>
        <v>755.0848882165069</v>
      </c>
      <c r="I536" s="40" t="s">
        <v>852</v>
      </c>
      <c r="J536" s="264">
        <f>(J535/J10)/1.983</f>
        <v>791.72970247100352</v>
      </c>
      <c r="K536" s="264">
        <f>(K535/K10)/1.983</f>
        <v>796.28454768760264</v>
      </c>
      <c r="L536" s="264">
        <f>(L535/L10)/1.983</f>
        <v>602.62228946041353</v>
      </c>
      <c r="M536" s="40" t="s">
        <v>852</v>
      </c>
      <c r="N536" s="264">
        <f>(N535/N10)/1.983</f>
        <v>219.57607404876939</v>
      </c>
      <c r="O536" s="264">
        <f>(O535/O10)/1.983</f>
        <v>94.13346780971591</v>
      </c>
      <c r="P536" s="264">
        <f>(P535/P10)/1.983</f>
        <v>91.243310071088118</v>
      </c>
      <c r="Q536" s="40" t="s">
        <v>852</v>
      </c>
      <c r="R536" s="40" t="s">
        <v>852</v>
      </c>
    </row>
    <row r="537" spans="1:20" ht="15.75" customHeight="1" x14ac:dyDescent="0.3">
      <c r="A537" s="17"/>
      <c r="B537" s="172"/>
      <c r="C537" s="172"/>
      <c r="D537" s="172"/>
      <c r="E537" s="172"/>
      <c r="F537" s="172"/>
      <c r="G537" s="172"/>
      <c r="H537" s="172"/>
      <c r="I537" s="172"/>
      <c r="J537" s="172"/>
      <c r="K537" s="172"/>
      <c r="L537" s="172"/>
      <c r="M537" s="172"/>
      <c r="N537" s="172"/>
      <c r="O537" s="172"/>
      <c r="P537" s="172"/>
      <c r="Q537" s="172"/>
      <c r="R537" s="17"/>
    </row>
    <row r="538" spans="1:20" ht="15.75" customHeight="1" thickBot="1" x14ac:dyDescent="0.35">
      <c r="A538" s="17"/>
      <c r="B538" s="172"/>
      <c r="C538" s="172"/>
      <c r="D538" s="172"/>
      <c r="E538" s="172"/>
      <c r="F538" s="172"/>
      <c r="G538" s="172"/>
      <c r="H538" s="172"/>
      <c r="I538" s="172"/>
      <c r="J538" s="172"/>
      <c r="K538" s="172"/>
      <c r="L538" s="172"/>
      <c r="M538" s="172"/>
      <c r="N538" s="172"/>
      <c r="O538" s="172"/>
      <c r="P538" s="172"/>
      <c r="Q538" s="172"/>
      <c r="R538" s="17"/>
    </row>
    <row r="539" spans="1:20" ht="16.5" customHeight="1" thickBot="1" x14ac:dyDescent="0.35">
      <c r="A539" s="278" t="s">
        <v>689</v>
      </c>
      <c r="B539" s="4" t="s">
        <v>2090</v>
      </c>
      <c r="C539" s="5" t="s">
        <v>2091</v>
      </c>
      <c r="D539" s="5" t="s">
        <v>2234</v>
      </c>
      <c r="E539" s="33" t="s">
        <v>1594</v>
      </c>
      <c r="F539" s="5" t="s">
        <v>2235</v>
      </c>
      <c r="G539" s="5" t="s">
        <v>2236</v>
      </c>
      <c r="H539" s="5" t="s">
        <v>2237</v>
      </c>
      <c r="I539" s="35" t="s">
        <v>1595</v>
      </c>
      <c r="J539" s="5" t="s">
        <v>1504</v>
      </c>
      <c r="K539" s="5" t="s">
        <v>1505</v>
      </c>
      <c r="L539" s="5" t="s">
        <v>1506</v>
      </c>
      <c r="M539" s="35" t="s">
        <v>1596</v>
      </c>
      <c r="N539" s="5" t="s">
        <v>1507</v>
      </c>
      <c r="O539" s="5" t="s">
        <v>1508</v>
      </c>
      <c r="P539" s="5" t="s">
        <v>1509</v>
      </c>
      <c r="Q539" s="35" t="s">
        <v>1597</v>
      </c>
      <c r="R539" s="36" t="s">
        <v>1510</v>
      </c>
    </row>
    <row r="540" spans="1:20" ht="16.5" customHeight="1" thickBot="1" x14ac:dyDescent="0.35">
      <c r="A540" s="37"/>
      <c r="B540" s="258"/>
      <c r="C540" s="258"/>
      <c r="D540" s="258"/>
      <c r="E540" s="254"/>
      <c r="F540" s="258"/>
      <c r="G540" s="258"/>
      <c r="H540" s="258"/>
      <c r="I540" s="265"/>
      <c r="J540" s="258"/>
      <c r="K540" s="258"/>
      <c r="L540" s="258"/>
      <c r="M540" s="265"/>
      <c r="N540" s="258"/>
      <c r="O540" s="258"/>
      <c r="P540" s="258"/>
      <c r="Q540" s="265"/>
      <c r="R540" s="52"/>
    </row>
    <row r="541" spans="1:20" ht="15.75" customHeight="1" x14ac:dyDescent="0.3">
      <c r="A541" s="234" t="s">
        <v>2417</v>
      </c>
      <c r="B541" s="172" t="s">
        <v>852</v>
      </c>
      <c r="C541" s="172" t="s">
        <v>852</v>
      </c>
      <c r="D541" s="172" t="s">
        <v>852</v>
      </c>
      <c r="E541" s="38" t="s">
        <v>852</v>
      </c>
      <c r="F541" s="172"/>
      <c r="G541" s="172"/>
      <c r="H541" s="172"/>
      <c r="I541" s="38" t="s">
        <v>852</v>
      </c>
      <c r="J541" s="172" t="s">
        <v>852</v>
      </c>
      <c r="K541" s="172" t="s">
        <v>852</v>
      </c>
      <c r="L541" s="172" t="s">
        <v>852</v>
      </c>
      <c r="M541" s="38" t="s">
        <v>852</v>
      </c>
      <c r="N541" s="172" t="s">
        <v>852</v>
      </c>
      <c r="O541" s="172" t="s">
        <v>852</v>
      </c>
      <c r="P541" s="172" t="s">
        <v>852</v>
      </c>
      <c r="Q541" s="38" t="s">
        <v>852</v>
      </c>
      <c r="R541" s="38" t="s">
        <v>852</v>
      </c>
    </row>
    <row r="542" spans="1:20" ht="15.75" customHeight="1" x14ac:dyDescent="0.3">
      <c r="A542" s="234" t="s">
        <v>2160</v>
      </c>
      <c r="B542" s="172"/>
      <c r="C542" s="172"/>
      <c r="D542" s="172"/>
      <c r="E542" s="38" t="s">
        <v>852</v>
      </c>
      <c r="F542" s="172"/>
      <c r="G542" s="172"/>
      <c r="H542" s="172"/>
      <c r="I542" s="38" t="s">
        <v>852</v>
      </c>
      <c r="J542" s="172"/>
      <c r="K542" s="172"/>
      <c r="L542" s="172"/>
      <c r="M542" s="38" t="s">
        <v>852</v>
      </c>
      <c r="N542" s="172"/>
      <c r="O542" s="172"/>
      <c r="P542" s="172"/>
      <c r="Q542" s="38" t="s">
        <v>852</v>
      </c>
      <c r="R542" s="38" t="s">
        <v>852</v>
      </c>
    </row>
    <row r="543" spans="1:20" ht="15.75" customHeight="1" x14ac:dyDescent="0.3">
      <c r="A543" s="234" t="s">
        <v>2976</v>
      </c>
      <c r="C543" s="10"/>
      <c r="D543" s="10"/>
      <c r="E543" s="38">
        <f>SUM(B543:D543)</f>
        <v>0</v>
      </c>
      <c r="F543" s="10"/>
      <c r="G543" s="10"/>
      <c r="H543" s="10"/>
      <c r="I543" s="38">
        <f>SUM(F543:H543)</f>
        <v>0</v>
      </c>
      <c r="J543" s="10"/>
      <c r="K543" s="10"/>
      <c r="L543" s="10"/>
      <c r="M543" s="38">
        <f>SUM(J543:L543)</f>
        <v>0</v>
      </c>
      <c r="N543" s="10"/>
      <c r="O543" s="10"/>
      <c r="P543" s="10"/>
      <c r="Q543" s="38">
        <f>SUM(N543:P543)</f>
        <v>0</v>
      </c>
      <c r="R543" s="38">
        <f>+E543+I543+M543+Q543</f>
        <v>0</v>
      </c>
      <c r="T543" t="s">
        <v>505</v>
      </c>
    </row>
    <row r="544" spans="1:20" ht="15.75" customHeight="1" x14ac:dyDescent="0.3">
      <c r="A544" s="310" t="s">
        <v>1478</v>
      </c>
      <c r="B544" s="10"/>
      <c r="C544" s="10">
        <v>424</v>
      </c>
      <c r="D544" s="10"/>
      <c r="E544" s="38">
        <f>SUM(B544:D544)</f>
        <v>424</v>
      </c>
      <c r="F544" s="10"/>
      <c r="G544" s="10"/>
      <c r="H544" s="10"/>
      <c r="I544" s="38">
        <f>SUM(F544:H544)</f>
        <v>0</v>
      </c>
      <c r="J544" s="10">
        <v>440</v>
      </c>
      <c r="K544" s="10">
        <v>636</v>
      </c>
      <c r="L544" s="10"/>
      <c r="M544" s="38">
        <f>SUM(J544:L544)</f>
        <v>1076</v>
      </c>
      <c r="N544" s="10"/>
      <c r="O544" s="10"/>
      <c r="P544" s="10"/>
      <c r="Q544" s="38">
        <f>SUM(N544:P544)</f>
        <v>0</v>
      </c>
      <c r="R544" s="38">
        <f>+E544+I544+M544+Q544</f>
        <v>1500</v>
      </c>
    </row>
    <row r="545" spans="1:20" ht="15.75" customHeight="1" x14ac:dyDescent="0.3">
      <c r="A545" s="310" t="s">
        <v>485</v>
      </c>
      <c r="B545" s="10">
        <v>19</v>
      </c>
      <c r="C545" s="10"/>
      <c r="D545" s="10">
        <v>3</v>
      </c>
      <c r="E545" s="38">
        <f>SUM(B545:D545)</f>
        <v>22</v>
      </c>
      <c r="F545" s="10">
        <v>473</v>
      </c>
      <c r="G545" s="10">
        <v>1500</v>
      </c>
      <c r="H545" s="10">
        <v>857</v>
      </c>
      <c r="I545" s="38">
        <f>SUM(F545:H545)</f>
        <v>2830</v>
      </c>
      <c r="J545" s="10">
        <v>1148</v>
      </c>
      <c r="K545" s="10"/>
      <c r="L545" s="10"/>
      <c r="M545" s="38">
        <f>SUM(J545:L545)</f>
        <v>1148</v>
      </c>
      <c r="N545" s="10"/>
      <c r="O545" s="10"/>
      <c r="P545" s="10"/>
      <c r="Q545" s="38">
        <f>SUM(N545:P545)</f>
        <v>0</v>
      </c>
      <c r="R545" s="38">
        <f>+E545+I545+M545+Q545</f>
        <v>4000</v>
      </c>
    </row>
    <row r="546" spans="1:20" ht="15.75" customHeight="1" x14ac:dyDescent="0.3">
      <c r="A546" s="539" t="s">
        <v>3142</v>
      </c>
      <c r="B546" s="10"/>
      <c r="C546" s="10"/>
      <c r="D546" s="10"/>
      <c r="E546" s="38">
        <f>SUM(B546:D546)</f>
        <v>0</v>
      </c>
      <c r="F546" s="10"/>
      <c r="G546" s="10"/>
      <c r="H546" s="10"/>
      <c r="I546" s="38">
        <f>SUM(F546:H546)</f>
        <v>0</v>
      </c>
      <c r="J546" s="10"/>
      <c r="K546" s="10"/>
      <c r="L546" s="10"/>
      <c r="M546" s="38">
        <f>SUM(J546:L546)</f>
        <v>0</v>
      </c>
      <c r="N546" s="10"/>
      <c r="O546" s="10"/>
      <c r="P546" s="10"/>
      <c r="Q546" s="38">
        <f>SUM(N546:P546)</f>
        <v>0</v>
      </c>
      <c r="R546" s="38">
        <f>+E546+I546+M546+Q546</f>
        <v>0</v>
      </c>
    </row>
    <row r="547" spans="1:20" ht="15.75" customHeight="1" x14ac:dyDescent="0.3">
      <c r="A547" s="310" t="s">
        <v>1938</v>
      </c>
      <c r="B547" s="10"/>
      <c r="C547" s="10"/>
      <c r="D547" s="10"/>
      <c r="E547" s="38">
        <f>SUM(B547:D547)</f>
        <v>0</v>
      </c>
      <c r="F547" s="10"/>
      <c r="G547" s="10"/>
      <c r="H547" s="10"/>
      <c r="I547" s="38">
        <f>SUM(F547:H547)</f>
        <v>0</v>
      </c>
      <c r="J547" s="10"/>
      <c r="K547" s="10">
        <v>700</v>
      </c>
      <c r="L547" s="10"/>
      <c r="M547" s="38">
        <f>SUM(J547:L547)</f>
        <v>700</v>
      </c>
      <c r="N547" s="10"/>
      <c r="O547" s="10"/>
      <c r="P547" s="10"/>
      <c r="Q547" s="38">
        <f>SUM(N547:P547)</f>
        <v>0</v>
      </c>
      <c r="R547" s="38">
        <f>+E547+I547+M547+Q547</f>
        <v>700</v>
      </c>
    </row>
    <row r="548" spans="1:20" ht="15.75" customHeight="1" x14ac:dyDescent="0.3">
      <c r="A548" s="234" t="s">
        <v>2161</v>
      </c>
      <c r="B548" s="172"/>
      <c r="C548" s="172"/>
      <c r="D548" s="172"/>
      <c r="E548" s="38" t="s">
        <v>852</v>
      </c>
      <c r="F548" s="172"/>
      <c r="G548" s="172"/>
      <c r="H548" s="172"/>
      <c r="I548" s="38" t="s">
        <v>852</v>
      </c>
      <c r="J548" s="172"/>
      <c r="K548" s="172"/>
      <c r="L548" s="172"/>
      <c r="M548" s="38" t="s">
        <v>852</v>
      </c>
      <c r="N548" s="172"/>
      <c r="O548" s="172"/>
      <c r="P548" s="172"/>
      <c r="Q548" s="38" t="s">
        <v>852</v>
      </c>
      <c r="R548" s="38" t="s">
        <v>852</v>
      </c>
    </row>
    <row r="549" spans="1:20" ht="15.75" customHeight="1" x14ac:dyDescent="0.3">
      <c r="A549" s="234" t="s">
        <v>3245</v>
      </c>
      <c r="B549" s="172"/>
      <c r="C549" s="172"/>
      <c r="D549" s="172"/>
      <c r="E549" s="38" t="s">
        <v>852</v>
      </c>
      <c r="F549" s="172"/>
      <c r="G549" s="172"/>
      <c r="H549" s="172"/>
      <c r="I549" s="38" t="s">
        <v>852</v>
      </c>
      <c r="J549" s="172"/>
      <c r="K549" s="172"/>
      <c r="L549" s="172"/>
      <c r="M549" s="38" t="s">
        <v>852</v>
      </c>
      <c r="N549" s="172"/>
      <c r="O549" s="172"/>
      <c r="P549" s="172"/>
      <c r="Q549" s="38" t="s">
        <v>852</v>
      </c>
      <c r="R549" s="38" t="s">
        <v>852</v>
      </c>
    </row>
    <row r="550" spans="1:20" ht="15.75" customHeight="1" thickBot="1" x14ac:dyDescent="0.35">
      <c r="A550" s="234" t="s">
        <v>2164</v>
      </c>
      <c r="B550" s="172"/>
      <c r="C550" s="172"/>
      <c r="D550" s="172"/>
      <c r="E550" s="38" t="s">
        <v>852</v>
      </c>
      <c r="F550" s="172"/>
      <c r="G550" s="172"/>
      <c r="H550" s="172"/>
      <c r="I550" s="38" t="s">
        <v>852</v>
      </c>
      <c r="J550" s="172"/>
      <c r="K550" s="172"/>
      <c r="L550" s="172"/>
      <c r="M550" s="38" t="s">
        <v>852</v>
      </c>
      <c r="N550" s="172"/>
      <c r="O550" s="172"/>
      <c r="P550" s="172"/>
      <c r="Q550" s="38" t="s">
        <v>852</v>
      </c>
      <c r="R550" s="38" t="s">
        <v>852</v>
      </c>
    </row>
    <row r="551" spans="1:20" ht="16.5" customHeight="1" thickBot="1" x14ac:dyDescent="0.35">
      <c r="A551" s="276" t="s">
        <v>1218</v>
      </c>
      <c r="B551" s="45">
        <f>SUM(B541:B550)</f>
        <v>19</v>
      </c>
      <c r="C551" s="46">
        <f>SUM(C541:C550)</f>
        <v>424</v>
      </c>
      <c r="D551" s="46">
        <f>SUM(D541:D550)</f>
        <v>3</v>
      </c>
      <c r="E551" s="37">
        <f>SUM(B551:D551)</f>
        <v>446</v>
      </c>
      <c r="F551" s="46">
        <f>SUM(F541:F550)</f>
        <v>473</v>
      </c>
      <c r="G551" s="46">
        <f>SUM(G541:G550)</f>
        <v>1500</v>
      </c>
      <c r="H551" s="46">
        <f>SUM(H541:H550)</f>
        <v>857</v>
      </c>
      <c r="I551" s="37">
        <f>SUM(F551:H551)</f>
        <v>2830</v>
      </c>
      <c r="J551" s="46">
        <f>SUM(J541:J550)</f>
        <v>1588</v>
      </c>
      <c r="K551" s="46">
        <f>SUM(K541:K550)</f>
        <v>1336</v>
      </c>
      <c r="L551" s="46">
        <f>SUM(L541:L550)</f>
        <v>0</v>
      </c>
      <c r="M551" s="37">
        <f>SUM(J551:L551)</f>
        <v>2924</v>
      </c>
      <c r="N551" s="46">
        <f>SUM(N541:N550)</f>
        <v>0</v>
      </c>
      <c r="O551" s="46">
        <f>SUM(O541:O550)</f>
        <v>0</v>
      </c>
      <c r="P551" s="46">
        <f>SUM(P541:P550)</f>
        <v>0</v>
      </c>
      <c r="Q551" s="37">
        <f>SUM(N551:P551)</f>
        <v>0</v>
      </c>
      <c r="R551" s="37">
        <f>+E551+I551+M551+Q551</f>
        <v>6200</v>
      </c>
    </row>
    <row r="552" spans="1:20" ht="15.75" customHeight="1" x14ac:dyDescent="0.3">
      <c r="A552" s="234" t="s">
        <v>1172</v>
      </c>
      <c r="B552" s="172"/>
      <c r="C552" s="172"/>
      <c r="D552" s="172"/>
      <c r="E552" s="39" t="s">
        <v>852</v>
      </c>
      <c r="F552" s="172"/>
      <c r="G552" s="172"/>
      <c r="H552" s="172"/>
      <c r="I552" s="39" t="s">
        <v>852</v>
      </c>
      <c r="J552" s="172"/>
      <c r="K552" s="172"/>
      <c r="L552" s="172"/>
      <c r="M552" s="39" t="s">
        <v>852</v>
      </c>
      <c r="N552" s="172"/>
      <c r="O552" s="172"/>
      <c r="P552" s="172"/>
      <c r="Q552" s="39" t="s">
        <v>852</v>
      </c>
      <c r="R552" s="63" t="s">
        <v>852</v>
      </c>
    </row>
    <row r="553" spans="1:20" ht="15.75" customHeight="1" x14ac:dyDescent="0.3">
      <c r="A553" s="234" t="s">
        <v>2409</v>
      </c>
      <c r="B553" s="172"/>
      <c r="C553" s="172"/>
      <c r="D553" s="172"/>
      <c r="E553" s="38" t="s">
        <v>852</v>
      </c>
      <c r="F553" s="172"/>
      <c r="G553" s="172"/>
      <c r="H553" s="172"/>
      <c r="I553" s="38" t="s">
        <v>852</v>
      </c>
      <c r="J553" s="172"/>
      <c r="K553" s="172"/>
      <c r="L553" s="172"/>
      <c r="M553" s="38" t="s">
        <v>852</v>
      </c>
      <c r="N553" s="172"/>
      <c r="O553" s="172"/>
      <c r="P553" s="172"/>
      <c r="Q553" s="38" t="s">
        <v>852</v>
      </c>
      <c r="R553" s="63" t="s">
        <v>852</v>
      </c>
    </row>
    <row r="554" spans="1:20" ht="15.75" customHeight="1" x14ac:dyDescent="0.3">
      <c r="A554" s="310" t="s">
        <v>791</v>
      </c>
      <c r="B554" s="10">
        <v>7</v>
      </c>
      <c r="C554" s="10">
        <v>235</v>
      </c>
      <c r="D554" s="10">
        <v>1985</v>
      </c>
      <c r="E554" s="38">
        <f>SUM(B554:D554)</f>
        <v>2227</v>
      </c>
      <c r="F554" s="10">
        <v>5249</v>
      </c>
      <c r="G554" s="10">
        <v>3919</v>
      </c>
      <c r="H554" s="10">
        <v>5023</v>
      </c>
      <c r="I554" s="38">
        <f>SUM(F554:H554)</f>
        <v>14191</v>
      </c>
      <c r="J554" s="10">
        <v>5649</v>
      </c>
      <c r="K554" s="10">
        <v>2690</v>
      </c>
      <c r="L554" s="10">
        <v>2591</v>
      </c>
      <c r="M554" s="38">
        <f>SUM(J554:L554)</f>
        <v>10930</v>
      </c>
      <c r="N554" s="10">
        <v>68</v>
      </c>
      <c r="O554" s="10"/>
      <c r="P554" s="10"/>
      <c r="Q554" s="38">
        <f>SUM(N554:P554)</f>
        <v>68</v>
      </c>
      <c r="R554" s="38">
        <f>+E554+I554+M554+Q554</f>
        <v>27416</v>
      </c>
      <c r="S554">
        <f>+SUM(R554,R512,R386)</f>
        <v>85426</v>
      </c>
      <c r="T554" t="s">
        <v>2704</v>
      </c>
    </row>
    <row r="555" spans="1:20" ht="15.75" customHeight="1" x14ac:dyDescent="0.3">
      <c r="A555" s="266" t="s">
        <v>2300</v>
      </c>
      <c r="B555" s="172"/>
      <c r="C555" s="172"/>
      <c r="D555" s="172"/>
      <c r="E555" s="38">
        <f>SUM(B555:D555)</f>
        <v>0</v>
      </c>
      <c r="F555" s="172"/>
      <c r="G555" s="172"/>
      <c r="H555" s="172"/>
      <c r="I555" s="38">
        <f>SUM(F555:H555)</f>
        <v>0</v>
      </c>
      <c r="J555" s="172"/>
      <c r="K555" s="172"/>
      <c r="L555" s="172"/>
      <c r="M555" s="38">
        <f>SUM(J555:L555)</f>
        <v>0</v>
      </c>
      <c r="N555" s="172"/>
      <c r="O555" s="172"/>
      <c r="P555" s="172"/>
      <c r="Q555" s="38">
        <f>SUM(N555:P555)</f>
        <v>0</v>
      </c>
      <c r="R555" s="38">
        <f>+E555+I555+M555+Q555</f>
        <v>0</v>
      </c>
    </row>
    <row r="556" spans="1:20" ht="15.75" customHeight="1" thickBot="1" x14ac:dyDescent="0.35">
      <c r="A556" s="234" t="s">
        <v>2165</v>
      </c>
      <c r="B556" s="172"/>
      <c r="C556" s="172"/>
      <c r="D556" s="172"/>
      <c r="E556" s="38" t="s">
        <v>852</v>
      </c>
      <c r="F556" s="172"/>
      <c r="G556" s="172"/>
      <c r="H556" s="172"/>
      <c r="I556" s="38" t="s">
        <v>852</v>
      </c>
      <c r="J556" s="172"/>
      <c r="K556" s="172"/>
      <c r="L556" s="172"/>
      <c r="M556" s="38" t="s">
        <v>852</v>
      </c>
      <c r="N556" s="172"/>
      <c r="O556" s="172"/>
      <c r="P556" s="172"/>
      <c r="Q556" s="38" t="s">
        <v>852</v>
      </c>
      <c r="R556" s="63" t="s">
        <v>852</v>
      </c>
    </row>
    <row r="557" spans="1:20" ht="16.5" customHeight="1" thickBot="1" x14ac:dyDescent="0.35">
      <c r="A557" s="43" t="s">
        <v>1219</v>
      </c>
      <c r="B557" s="45">
        <f>SUM(B552:B556)</f>
        <v>7</v>
      </c>
      <c r="C557" s="46">
        <f>SUM(C552:C556)</f>
        <v>235</v>
      </c>
      <c r="D557" s="46">
        <f>SUM(D552:D556)</f>
        <v>1985</v>
      </c>
      <c r="E557" s="37">
        <f>SUM(B557:D557)</f>
        <v>2227</v>
      </c>
      <c r="F557" s="46">
        <f>SUM(F552:F556)</f>
        <v>5249</v>
      </c>
      <c r="G557" s="46">
        <f>SUM(G552:G556)</f>
        <v>3919</v>
      </c>
      <c r="H557" s="46">
        <f>SUM(H552:H556)</f>
        <v>5023</v>
      </c>
      <c r="I557" s="37">
        <f>SUM(F557:H557)</f>
        <v>14191</v>
      </c>
      <c r="J557" s="46">
        <f>SUM(J552:J556)</f>
        <v>5649</v>
      </c>
      <c r="K557" s="46">
        <f>SUM(K552:K556)</f>
        <v>2690</v>
      </c>
      <c r="L557" s="46">
        <f>SUM(L552:L556)</f>
        <v>2591</v>
      </c>
      <c r="M557" s="37">
        <f>SUM(J557:L557)</f>
        <v>10930</v>
      </c>
      <c r="N557" s="46">
        <f>SUM(N552:N556)</f>
        <v>68</v>
      </c>
      <c r="O557" s="46">
        <f>SUM(O552:O556)</f>
        <v>0</v>
      </c>
      <c r="P557" s="46">
        <f>SUM(P552:P556)</f>
        <v>0</v>
      </c>
      <c r="Q557" s="37">
        <f>SUM(N557:P557)</f>
        <v>68</v>
      </c>
      <c r="R557" s="37">
        <f>+E557+I557+M557+Q557</f>
        <v>27416</v>
      </c>
    </row>
    <row r="558" spans="1:20" ht="15.75" customHeight="1" x14ac:dyDescent="0.3">
      <c r="A558" s="234" t="s">
        <v>2166</v>
      </c>
      <c r="B558" s="172"/>
      <c r="C558" s="172"/>
      <c r="D558" s="172"/>
      <c r="E558" s="38" t="s">
        <v>852</v>
      </c>
      <c r="F558" s="172"/>
      <c r="G558" s="172"/>
      <c r="H558" s="172"/>
      <c r="I558" s="38" t="s">
        <v>852</v>
      </c>
      <c r="J558" s="172"/>
      <c r="K558" s="172"/>
      <c r="L558" s="172"/>
      <c r="M558" s="38" t="s">
        <v>852</v>
      </c>
      <c r="N558" s="172"/>
      <c r="O558" s="172"/>
      <c r="P558" s="172"/>
      <c r="Q558" s="38" t="s">
        <v>852</v>
      </c>
      <c r="R558" s="38" t="s">
        <v>852</v>
      </c>
    </row>
    <row r="559" spans="1:20" ht="15.75" customHeight="1" x14ac:dyDescent="0.3">
      <c r="A559" s="234" t="s">
        <v>1245</v>
      </c>
      <c r="B559" s="172"/>
      <c r="C559" s="172"/>
      <c r="D559" s="172"/>
      <c r="E559" s="38" t="s">
        <v>852</v>
      </c>
      <c r="F559" s="172"/>
      <c r="G559" s="172"/>
      <c r="H559" s="172"/>
      <c r="I559" s="38" t="s">
        <v>852</v>
      </c>
      <c r="J559" s="172"/>
      <c r="K559" s="172"/>
      <c r="L559" s="172"/>
      <c r="M559" s="38" t="s">
        <v>852</v>
      </c>
      <c r="N559" s="172"/>
      <c r="O559" s="172"/>
      <c r="P559" s="172"/>
      <c r="Q559" s="38" t="s">
        <v>852</v>
      </c>
      <c r="R559" s="38" t="s">
        <v>852</v>
      </c>
    </row>
    <row r="560" spans="1:20" ht="15.75" customHeight="1" x14ac:dyDescent="0.3">
      <c r="A560" s="234" t="s">
        <v>1711</v>
      </c>
      <c r="B560" s="172"/>
      <c r="C560" s="172"/>
      <c r="D560" s="172"/>
      <c r="E560" s="38" t="s">
        <v>852</v>
      </c>
      <c r="F560" s="172"/>
      <c r="G560" s="172"/>
      <c r="H560" s="172"/>
      <c r="I560" s="38" t="s">
        <v>852</v>
      </c>
      <c r="J560" s="172"/>
      <c r="K560" s="172"/>
      <c r="L560" s="172"/>
      <c r="M560" s="38" t="s">
        <v>852</v>
      </c>
      <c r="N560" s="172"/>
      <c r="O560" s="172"/>
      <c r="P560" s="172"/>
      <c r="Q560" s="38" t="s">
        <v>852</v>
      </c>
      <c r="R560" s="38" t="s">
        <v>852</v>
      </c>
    </row>
    <row r="561" spans="1:20" ht="15.75" customHeight="1" thickBot="1" x14ac:dyDescent="0.35">
      <c r="A561" s="689" t="s">
        <v>2937</v>
      </c>
      <c r="B561" s="172"/>
      <c r="C561" s="172"/>
      <c r="D561" s="172"/>
      <c r="E561" s="38">
        <f>SUM(B561:D561)</f>
        <v>0</v>
      </c>
      <c r="F561" s="172"/>
      <c r="G561" s="172"/>
      <c r="H561" s="172"/>
      <c r="I561" s="38">
        <f>SUM(F561:H561)</f>
        <v>0</v>
      </c>
      <c r="J561" s="172"/>
      <c r="K561" s="172"/>
      <c r="L561" s="172"/>
      <c r="M561" s="38">
        <f>SUM(J561:L561)</f>
        <v>0</v>
      </c>
      <c r="N561" s="172"/>
      <c r="O561" s="172">
        <v>307</v>
      </c>
      <c r="P561" s="172"/>
      <c r="Q561" s="38">
        <f>SUM(N561:P561)</f>
        <v>307</v>
      </c>
      <c r="R561" s="38">
        <f>+E561+I561+M561+Q561</f>
        <v>307</v>
      </c>
      <c r="T561" t="s">
        <v>505</v>
      </c>
    </row>
    <row r="562" spans="1:20" ht="16.5" customHeight="1" thickBot="1" x14ac:dyDescent="0.35">
      <c r="A562" s="277" t="s">
        <v>1220</v>
      </c>
      <c r="B562" s="45">
        <f>SUM(B558:B561)</f>
        <v>0</v>
      </c>
      <c r="C562" s="46">
        <f>SUM(C558:C561)</f>
        <v>0</v>
      </c>
      <c r="D562" s="46">
        <f>SUM(D558:D561)</f>
        <v>0</v>
      </c>
      <c r="E562" s="37">
        <f>SUM(B562:D562)</f>
        <v>0</v>
      </c>
      <c r="F562" s="46">
        <f>SUM(F558:F561)</f>
        <v>0</v>
      </c>
      <c r="G562" s="46">
        <f>SUM(G558:G561)</f>
        <v>0</v>
      </c>
      <c r="H562" s="46">
        <f>SUM(H558:H561)</f>
        <v>0</v>
      </c>
      <c r="I562" s="37">
        <f>SUM(F562:H562)</f>
        <v>0</v>
      </c>
      <c r="J562" s="46">
        <f>SUM(J558:J561)</f>
        <v>0</v>
      </c>
      <c r="K562" s="46">
        <f>SUM(K558:K561)</f>
        <v>0</v>
      </c>
      <c r="L562" s="46">
        <f>SUM(L558:L561)</f>
        <v>0</v>
      </c>
      <c r="M562" s="37">
        <f>SUM(J562:L562)</f>
        <v>0</v>
      </c>
      <c r="N562" s="46">
        <f>SUM(N558:N561)</f>
        <v>0</v>
      </c>
      <c r="O562" s="46">
        <f>SUM(O558:O561)</f>
        <v>307</v>
      </c>
      <c r="P562" s="46">
        <f>SUM(P558:P561)</f>
        <v>0</v>
      </c>
      <c r="Q562" s="37">
        <f>SUM(N562:P562)</f>
        <v>307</v>
      </c>
      <c r="R562" s="37">
        <f>+E562+I562+M562+Q562</f>
        <v>307</v>
      </c>
    </row>
    <row r="563" spans="1:20" ht="15.75" customHeight="1" x14ac:dyDescent="0.3">
      <c r="A563" s="234" t="s">
        <v>1712</v>
      </c>
      <c r="B563" s="172"/>
      <c r="C563" s="172"/>
      <c r="D563" s="172"/>
      <c r="E563" s="38" t="s">
        <v>852</v>
      </c>
      <c r="F563" s="172"/>
      <c r="G563" s="172"/>
      <c r="H563" s="172"/>
      <c r="I563" s="38" t="s">
        <v>852</v>
      </c>
      <c r="J563" s="172"/>
      <c r="K563" s="172"/>
      <c r="L563" s="172"/>
      <c r="M563" s="38" t="s">
        <v>852</v>
      </c>
      <c r="N563" s="172"/>
      <c r="O563" s="172"/>
      <c r="P563" s="172"/>
      <c r="Q563" s="38" t="s">
        <v>852</v>
      </c>
      <c r="R563" s="38" t="s">
        <v>852</v>
      </c>
    </row>
    <row r="564" spans="1:20" ht="15.75" customHeight="1" x14ac:dyDescent="0.3">
      <c r="A564" s="234" t="s">
        <v>1021</v>
      </c>
      <c r="B564" s="172"/>
      <c r="C564" s="172"/>
      <c r="D564" s="172"/>
      <c r="E564" s="38" t="s">
        <v>852</v>
      </c>
      <c r="F564" s="172"/>
      <c r="G564" s="172"/>
      <c r="H564" s="172"/>
      <c r="I564" s="38" t="s">
        <v>852</v>
      </c>
      <c r="J564" s="172"/>
      <c r="K564" s="172"/>
      <c r="L564" s="172"/>
      <c r="M564" s="38" t="s">
        <v>852</v>
      </c>
      <c r="N564" s="172"/>
      <c r="O564" s="172"/>
      <c r="P564" s="172"/>
      <c r="Q564" s="38" t="s">
        <v>852</v>
      </c>
      <c r="R564" s="38" t="s">
        <v>852</v>
      </c>
    </row>
    <row r="565" spans="1:20" ht="15.75" customHeight="1" x14ac:dyDescent="0.3">
      <c r="A565" s="234" t="s">
        <v>557</v>
      </c>
      <c r="B565" s="172"/>
      <c r="C565" s="172"/>
      <c r="D565" s="172"/>
      <c r="E565" s="38" t="s">
        <v>852</v>
      </c>
      <c r="F565" s="172"/>
      <c r="G565" s="172"/>
      <c r="H565" s="172"/>
      <c r="I565" s="38" t="s">
        <v>852</v>
      </c>
      <c r="J565" s="172"/>
      <c r="K565" s="172"/>
      <c r="L565" s="172"/>
      <c r="M565" s="38" t="s">
        <v>852</v>
      </c>
      <c r="N565" s="172"/>
      <c r="O565" s="172"/>
      <c r="P565" s="172"/>
      <c r="Q565" s="38" t="s">
        <v>852</v>
      </c>
      <c r="R565" s="38" t="s">
        <v>852</v>
      </c>
    </row>
    <row r="566" spans="1:20" ht="15.75" customHeight="1" x14ac:dyDescent="0.3">
      <c r="A566" s="234" t="s">
        <v>1022</v>
      </c>
      <c r="B566" s="172"/>
      <c r="C566" s="172"/>
      <c r="D566" s="172"/>
      <c r="E566" s="38" t="s">
        <v>852</v>
      </c>
      <c r="F566" s="172"/>
      <c r="G566" s="172"/>
      <c r="H566" s="172"/>
      <c r="I566" s="38" t="s">
        <v>852</v>
      </c>
      <c r="J566" s="172"/>
      <c r="K566" s="172"/>
      <c r="L566" s="172"/>
      <c r="M566" s="38" t="s">
        <v>852</v>
      </c>
      <c r="N566" s="172"/>
      <c r="O566" s="172"/>
      <c r="P566" s="172"/>
      <c r="Q566" s="38" t="s">
        <v>852</v>
      </c>
      <c r="R566" s="38" t="s">
        <v>852</v>
      </c>
    </row>
    <row r="567" spans="1:20" ht="15.75" customHeight="1" x14ac:dyDescent="0.3">
      <c r="A567" s="539" t="s">
        <v>3263</v>
      </c>
      <c r="B567" s="10"/>
      <c r="C567" s="10"/>
      <c r="D567" s="10"/>
      <c r="E567" s="38">
        <f>SUM(B567:D567)</f>
        <v>0</v>
      </c>
      <c r="F567" s="10"/>
      <c r="G567" s="10"/>
      <c r="H567" s="10"/>
      <c r="I567" s="38">
        <f>SUM(F567:H567)</f>
        <v>0</v>
      </c>
      <c r="J567" s="10"/>
      <c r="K567" s="10"/>
      <c r="L567" s="10"/>
      <c r="M567" s="38">
        <f>SUM(J567:L567)</f>
        <v>0</v>
      </c>
      <c r="N567" s="10"/>
      <c r="O567" s="10"/>
      <c r="P567" s="10"/>
      <c r="Q567" s="38">
        <f>SUM(N567:P567)</f>
        <v>0</v>
      </c>
      <c r="R567" s="38">
        <f>+E567+I567+M567+Q567</f>
        <v>0</v>
      </c>
    </row>
    <row r="568" spans="1:20" ht="15.75" customHeight="1" x14ac:dyDescent="0.3">
      <c r="A568" s="234" t="s">
        <v>559</v>
      </c>
      <c r="B568" s="172"/>
      <c r="C568" s="172"/>
      <c r="D568" s="172"/>
      <c r="E568" s="38"/>
      <c r="F568" s="172"/>
      <c r="G568" s="172"/>
      <c r="H568" s="172"/>
      <c r="I568" s="38"/>
      <c r="J568" s="172"/>
      <c r="K568" s="172"/>
      <c r="L568" s="172"/>
      <c r="M568" s="38"/>
      <c r="N568" s="172"/>
      <c r="O568" s="172"/>
      <c r="P568" s="172"/>
      <c r="Q568" s="38"/>
      <c r="R568" s="38" t="s">
        <v>852</v>
      </c>
    </row>
    <row r="569" spans="1:20" ht="15.75" customHeight="1" x14ac:dyDescent="0.3">
      <c r="A569" s="539" t="s">
        <v>2936</v>
      </c>
      <c r="B569" s="10"/>
      <c r="C569" s="10"/>
      <c r="D569" s="10"/>
      <c r="E569" s="38">
        <f t="shared" ref="E569:E576" si="227">SUM(B569:D569)</f>
        <v>0</v>
      </c>
      <c r="F569" s="10"/>
      <c r="G569" s="10"/>
      <c r="H569" s="10"/>
      <c r="I569" s="38">
        <f t="shared" ref="I569:I576" si="228">SUM(F569:H569)</f>
        <v>0</v>
      </c>
      <c r="J569" s="10"/>
      <c r="K569" s="10"/>
      <c r="L569" s="10"/>
      <c r="M569" s="38">
        <f t="shared" ref="M569:M576" si="229">SUM(J569:L569)</f>
        <v>0</v>
      </c>
      <c r="N569" s="10"/>
      <c r="O569" s="10"/>
      <c r="P569" s="10"/>
      <c r="Q569" s="38">
        <f t="shared" ref="Q569:Q576" si="230">SUM(N569:P569)</f>
        <v>0</v>
      </c>
      <c r="R569" s="38">
        <f t="shared" ref="R569:R576" si="231">+E569+I569+M569+Q569</f>
        <v>0</v>
      </c>
      <c r="T569" t="s">
        <v>505</v>
      </c>
    </row>
    <row r="570" spans="1:20" ht="15.75" customHeight="1" x14ac:dyDescent="0.3">
      <c r="A570" s="539" t="s">
        <v>2836</v>
      </c>
      <c r="B570" s="172"/>
      <c r="C570" s="172"/>
      <c r="D570" s="172"/>
      <c r="E570" s="38">
        <f>SUM(B570:D570)</f>
        <v>0</v>
      </c>
      <c r="F570" s="172"/>
      <c r="G570" s="172"/>
      <c r="H570" s="172"/>
      <c r="I570" s="38">
        <f>SUM(F570:H570)</f>
        <v>0</v>
      </c>
      <c r="J570" s="172"/>
      <c r="K570" s="172"/>
      <c r="L570" s="172"/>
      <c r="M570" s="38">
        <f>SUM(J570:L570)</f>
        <v>0</v>
      </c>
      <c r="N570" s="172"/>
      <c r="O570" s="172"/>
      <c r="P570" s="172"/>
      <c r="Q570" s="38">
        <f>SUM(N570:P570)</f>
        <v>0</v>
      </c>
      <c r="R570" s="38">
        <f>+E570+I570+M570+Q570</f>
        <v>0</v>
      </c>
      <c r="S570" t="s">
        <v>3332</v>
      </c>
      <c r="T570" t="s">
        <v>505</v>
      </c>
    </row>
    <row r="571" spans="1:20" ht="15.75" customHeight="1" x14ac:dyDescent="0.3">
      <c r="A571" s="539" t="s">
        <v>3228</v>
      </c>
      <c r="B571" s="172"/>
      <c r="C571" s="172"/>
      <c r="D571" s="172"/>
      <c r="E571" s="38">
        <f t="shared" ref="E571" si="232">SUM(B571:D571)</f>
        <v>0</v>
      </c>
      <c r="F571" s="172"/>
      <c r="G571" s="172"/>
      <c r="H571" s="172"/>
      <c r="I571" s="38">
        <f t="shared" ref="I571" si="233">SUM(F571:H571)</f>
        <v>0</v>
      </c>
      <c r="J571" s="172"/>
      <c r="K571" s="172">
        <v>256</v>
      </c>
      <c r="L571" s="172">
        <v>973</v>
      </c>
      <c r="M571" s="38">
        <f t="shared" ref="M571" si="234">SUM(J571:L571)</f>
        <v>1229</v>
      </c>
      <c r="N571" s="172"/>
      <c r="O571" s="172"/>
      <c r="P571" s="172"/>
      <c r="Q571" s="38">
        <f t="shared" ref="Q571" si="235">SUM(N571:P571)</f>
        <v>0</v>
      </c>
      <c r="R571" s="38">
        <f t="shared" ref="R571" si="236">+E571+I571+M571+Q571</f>
        <v>1229</v>
      </c>
      <c r="S571" t="s">
        <v>3332</v>
      </c>
    </row>
    <row r="572" spans="1:20" ht="15.75" customHeight="1" thickBot="1" x14ac:dyDescent="0.35">
      <c r="A572" s="539" t="s">
        <v>2577</v>
      </c>
      <c r="B572" s="172"/>
      <c r="C572" s="172"/>
      <c r="D572" s="172"/>
      <c r="E572" s="38">
        <f t="shared" si="227"/>
        <v>0</v>
      </c>
      <c r="F572" s="172"/>
      <c r="G572" s="172"/>
      <c r="H572" s="172"/>
      <c r="I572" s="38">
        <f t="shared" si="228"/>
        <v>0</v>
      </c>
      <c r="J572" s="172"/>
      <c r="K572" s="172"/>
      <c r="L572" s="172">
        <v>61</v>
      </c>
      <c r="M572" s="38">
        <f t="shared" si="229"/>
        <v>61</v>
      </c>
      <c r="N572" s="172">
        <v>44</v>
      </c>
      <c r="O572" s="172"/>
      <c r="P572" s="172"/>
      <c r="Q572" s="38">
        <f t="shared" si="230"/>
        <v>44</v>
      </c>
      <c r="R572" s="38">
        <f t="shared" si="231"/>
        <v>105</v>
      </c>
    </row>
    <row r="573" spans="1:20" ht="16.5" customHeight="1" thickBot="1" x14ac:dyDescent="0.35">
      <c r="A573" s="43" t="s">
        <v>1019</v>
      </c>
      <c r="B573" s="42">
        <f>SUM(B566:B572)</f>
        <v>0</v>
      </c>
      <c r="C573" s="42">
        <f>SUM(C566:C572)</f>
        <v>0</v>
      </c>
      <c r="D573" s="42">
        <f>SUM(D566:D572)</f>
        <v>0</v>
      </c>
      <c r="E573" s="39">
        <f t="shared" si="227"/>
        <v>0</v>
      </c>
      <c r="F573" s="42">
        <f>SUM(F566:F572)</f>
        <v>0</v>
      </c>
      <c r="G573" s="42">
        <f>SUM(G566:G572)</f>
        <v>0</v>
      </c>
      <c r="H573" s="42">
        <f>SUM(H566:H572)</f>
        <v>0</v>
      </c>
      <c r="I573" s="39">
        <f t="shared" si="228"/>
        <v>0</v>
      </c>
      <c r="J573" s="42">
        <f>SUM(J566:J572)</f>
        <v>0</v>
      </c>
      <c r="K573" s="42">
        <f>SUM(K566:K572)</f>
        <v>256</v>
      </c>
      <c r="L573" s="42">
        <f>SUM(L566:L572)</f>
        <v>1034</v>
      </c>
      <c r="M573" s="39">
        <f t="shared" si="229"/>
        <v>1290</v>
      </c>
      <c r="N573" s="42">
        <f>SUM(N566:N572)</f>
        <v>44</v>
      </c>
      <c r="O573" s="42">
        <f>SUM(O566:O572)</f>
        <v>0</v>
      </c>
      <c r="P573" s="42">
        <f>SUM(P566:P572)</f>
        <v>0</v>
      </c>
      <c r="Q573" s="39">
        <f t="shared" si="230"/>
        <v>44</v>
      </c>
      <c r="R573" s="37">
        <f t="shared" si="231"/>
        <v>1334</v>
      </c>
    </row>
    <row r="574" spans="1:20" ht="16.5" customHeight="1" thickBot="1" x14ac:dyDescent="0.35">
      <c r="A574" s="277" t="s">
        <v>1221</v>
      </c>
      <c r="B574" s="45">
        <f>SUM(B563:B572)</f>
        <v>0</v>
      </c>
      <c r="C574" s="46">
        <f>SUM(C563:C572)</f>
        <v>0</v>
      </c>
      <c r="D574" s="58">
        <f>SUM(D563:D572)</f>
        <v>0</v>
      </c>
      <c r="E574" s="39">
        <f t="shared" si="227"/>
        <v>0</v>
      </c>
      <c r="F574" s="46">
        <f>SUM(F563:F572)</f>
        <v>0</v>
      </c>
      <c r="G574" s="46">
        <f>SUM(G563:G572)</f>
        <v>0</v>
      </c>
      <c r="H574" s="46">
        <f>SUM(H563:H572)</f>
        <v>0</v>
      </c>
      <c r="I574" s="39">
        <f t="shared" si="228"/>
        <v>0</v>
      </c>
      <c r="J574" s="46">
        <f>SUM(J563:J572)</f>
        <v>0</v>
      </c>
      <c r="K574" s="46">
        <f>SUM(K563:K572)</f>
        <v>256</v>
      </c>
      <c r="L574" s="46">
        <f>SUM(L563:L572)</f>
        <v>1034</v>
      </c>
      <c r="M574" s="39">
        <f t="shared" si="229"/>
        <v>1290</v>
      </c>
      <c r="N574" s="46">
        <f>SUM(N563:N572)</f>
        <v>44</v>
      </c>
      <c r="O574" s="46">
        <f>SUM(O563:O572)</f>
        <v>0</v>
      </c>
      <c r="P574" s="46">
        <f>SUM(P563:P572)</f>
        <v>0</v>
      </c>
      <c r="Q574" s="39">
        <f t="shared" si="230"/>
        <v>44</v>
      </c>
      <c r="R574" s="37">
        <f t="shared" si="231"/>
        <v>1334</v>
      </c>
    </row>
    <row r="575" spans="1:20" ht="16.5" customHeight="1" thickBot="1" x14ac:dyDescent="0.35">
      <c r="A575" s="43" t="s">
        <v>1222</v>
      </c>
      <c r="B575" s="47">
        <f>+B551+B557+B562+B574</f>
        <v>26</v>
      </c>
      <c r="C575" s="42">
        <f>+C551+C557+C562+C574</f>
        <v>659</v>
      </c>
      <c r="D575" s="42">
        <f>+D551+D557+D562+D574</f>
        <v>1988</v>
      </c>
      <c r="E575" s="37">
        <f t="shared" si="227"/>
        <v>2673</v>
      </c>
      <c r="F575" s="42">
        <f>+F551+F557+F562+F574</f>
        <v>5722</v>
      </c>
      <c r="G575" s="42">
        <f>+G551+G557+G562+G574</f>
        <v>5419</v>
      </c>
      <c r="H575" s="42">
        <f>+H551+H557+H562+H574</f>
        <v>5880</v>
      </c>
      <c r="I575" s="37">
        <f t="shared" si="228"/>
        <v>17021</v>
      </c>
      <c r="J575" s="42">
        <f>+J551+J557+J562+J574</f>
        <v>7237</v>
      </c>
      <c r="K575" s="42">
        <f>+K551+K557+K562+K574</f>
        <v>4282</v>
      </c>
      <c r="L575" s="42">
        <f>+L551+L557+L562+L574</f>
        <v>3625</v>
      </c>
      <c r="M575" s="37">
        <f t="shared" si="229"/>
        <v>15144</v>
      </c>
      <c r="N575" s="42">
        <f>+N551+N557+N562+N574</f>
        <v>112</v>
      </c>
      <c r="O575" s="42">
        <f>+O551+O557+O562+O574</f>
        <v>307</v>
      </c>
      <c r="P575" s="42">
        <f>+P551+P557+P562+P574</f>
        <v>0</v>
      </c>
      <c r="Q575" s="37">
        <f t="shared" si="230"/>
        <v>419</v>
      </c>
      <c r="R575" s="40">
        <f t="shared" si="231"/>
        <v>35257</v>
      </c>
    </row>
    <row r="576" spans="1:20" ht="16.5" customHeight="1" thickBot="1" x14ac:dyDescent="0.35">
      <c r="A576" s="244" t="s">
        <v>853</v>
      </c>
      <c r="B576" s="238">
        <v>23</v>
      </c>
      <c r="C576" s="238">
        <v>43</v>
      </c>
      <c r="D576" s="238">
        <v>66</v>
      </c>
      <c r="E576" s="40">
        <f t="shared" si="227"/>
        <v>132</v>
      </c>
      <c r="F576" s="238">
        <v>91</v>
      </c>
      <c r="G576" s="238">
        <v>108</v>
      </c>
      <c r="H576" s="238">
        <v>109</v>
      </c>
      <c r="I576" s="40">
        <f t="shared" si="228"/>
        <v>308</v>
      </c>
      <c r="J576" s="238">
        <v>104</v>
      </c>
      <c r="K576" s="238">
        <v>79</v>
      </c>
      <c r="L576" s="238">
        <v>80</v>
      </c>
      <c r="M576" s="40">
        <f t="shared" si="229"/>
        <v>263</v>
      </c>
      <c r="N576" s="238">
        <v>74</v>
      </c>
      <c r="O576" s="238">
        <v>58</v>
      </c>
      <c r="P576" s="238">
        <v>42</v>
      </c>
      <c r="Q576" s="40">
        <f t="shared" si="230"/>
        <v>174</v>
      </c>
      <c r="R576" s="38">
        <f t="shared" si="231"/>
        <v>877</v>
      </c>
    </row>
    <row r="577" spans="1:20" ht="16.5" customHeight="1" thickBot="1" x14ac:dyDescent="0.35">
      <c r="A577" s="22"/>
      <c r="B577" s="242"/>
      <c r="C577" s="242"/>
      <c r="D577" s="242"/>
      <c r="E577" s="21"/>
      <c r="F577" s="242"/>
      <c r="G577" s="242"/>
      <c r="H577" s="242"/>
      <c r="I577" s="31"/>
      <c r="J577" s="242"/>
      <c r="K577" s="242"/>
      <c r="L577" s="242"/>
      <c r="M577" s="31"/>
      <c r="N577" s="242"/>
      <c r="O577" s="242"/>
      <c r="P577" s="242"/>
      <c r="Q577" s="31"/>
      <c r="R577" s="21"/>
    </row>
    <row r="578" spans="1:20" ht="15.75" customHeight="1" x14ac:dyDescent="0.3">
      <c r="A578" s="234" t="s">
        <v>120</v>
      </c>
      <c r="B578" s="260">
        <f>SUM(B575:B576)</f>
        <v>49</v>
      </c>
      <c r="C578" s="260">
        <f>SUM(C575:C576)</f>
        <v>702</v>
      </c>
      <c r="D578" s="260">
        <f>SUM(D575:D576)</f>
        <v>2054</v>
      </c>
      <c r="E578" s="39">
        <f>SUM(B578:D578)</f>
        <v>2805</v>
      </c>
      <c r="F578" s="260">
        <f>SUM(F575:F576)</f>
        <v>5813</v>
      </c>
      <c r="G578" s="260">
        <f>SUM(G575:G576)</f>
        <v>5527</v>
      </c>
      <c r="H578" s="260">
        <f>SUM(H575:H576)</f>
        <v>5989</v>
      </c>
      <c r="I578" s="39">
        <f>SUM(F578:H578)</f>
        <v>17329</v>
      </c>
      <c r="J578" s="260">
        <f>SUM(J575:J576)</f>
        <v>7341</v>
      </c>
      <c r="K578" s="260">
        <f>SUM(K575:K576)</f>
        <v>4361</v>
      </c>
      <c r="L578" s="260">
        <f>SUM(L575:L576)</f>
        <v>3705</v>
      </c>
      <c r="M578" s="39">
        <f>SUM(J578:L578)</f>
        <v>15407</v>
      </c>
      <c r="N578" s="260">
        <f>SUM(N575:N576)</f>
        <v>186</v>
      </c>
      <c r="O578" s="260">
        <f>SUM(O575:O576)</f>
        <v>365</v>
      </c>
      <c r="P578" s="260">
        <f>SUM(P575:P576)</f>
        <v>42</v>
      </c>
      <c r="Q578" s="39">
        <f>SUM(N578:P578)</f>
        <v>593</v>
      </c>
      <c r="R578" s="39">
        <f>+E578+I578+M578+Q578</f>
        <v>36134</v>
      </c>
    </row>
    <row r="579" spans="1:20" ht="15.75" customHeight="1" x14ac:dyDescent="0.3">
      <c r="A579" s="234" t="s">
        <v>1897</v>
      </c>
      <c r="B579" s="172">
        <f>(B578/B10)/1.983</f>
        <v>0.79709791290485243</v>
      </c>
      <c r="C579" s="172">
        <f>(C578/C10)/1.983</f>
        <v>12.643181326993732</v>
      </c>
      <c r="D579" s="172">
        <f>(D578/D10)/1.983</f>
        <v>33.413043124623819</v>
      </c>
      <c r="E579" s="38" t="s">
        <v>852</v>
      </c>
      <c r="F579" s="172">
        <f>(F578/F10)/1.983</f>
        <v>97.713901496049758</v>
      </c>
      <c r="G579" s="172">
        <f>(G578/G10)/1.983</f>
        <v>89.909391114798353</v>
      </c>
      <c r="H579" s="172">
        <f>(H578/H10)/1.983</f>
        <v>100.67238191292654</v>
      </c>
      <c r="I579" s="38" t="s">
        <v>852</v>
      </c>
      <c r="J579" s="172">
        <f>(J578/J10)/1.983</f>
        <v>119.4182811966229</v>
      </c>
      <c r="K579" s="172">
        <f>(K578/K10)/1.983</f>
        <v>70.941714248531881</v>
      </c>
      <c r="L579" s="172">
        <f>(L578/L10)/1.983</f>
        <v>62.279374684820972</v>
      </c>
      <c r="M579" s="38" t="s">
        <v>852</v>
      </c>
      <c r="N579" s="172">
        <f>(N578/N10)/1.983</f>
        <v>3.02571860816944</v>
      </c>
      <c r="O579" s="172">
        <f>(O578/O10)/1.983</f>
        <v>6.1354849554546975</v>
      </c>
      <c r="P579" s="172">
        <f>(P578/P10)/1.983</f>
        <v>0.68322678248987356</v>
      </c>
      <c r="Q579" s="38" t="s">
        <v>852</v>
      </c>
      <c r="R579" s="38" t="s">
        <v>852</v>
      </c>
    </row>
    <row r="580" spans="1:20" ht="15.75" customHeight="1" x14ac:dyDescent="0.3">
      <c r="A580" s="234" t="s">
        <v>1433</v>
      </c>
      <c r="B580" s="172">
        <f>B578+B644</f>
        <v>13674</v>
      </c>
      <c r="C580" s="172">
        <f>C578+C644</f>
        <v>22023</v>
      </c>
      <c r="D580" s="172">
        <f>D578+D644</f>
        <v>28768</v>
      </c>
      <c r="E580" s="38">
        <f>SUM(B580:D580)</f>
        <v>64465</v>
      </c>
      <c r="F580" s="172">
        <f>F578+F644</f>
        <v>34875</v>
      </c>
      <c r="G580" s="172">
        <f>G578+G644</f>
        <v>32231</v>
      </c>
      <c r="H580" s="172">
        <f>H578+H644</f>
        <v>29005</v>
      </c>
      <c r="I580" s="38">
        <f>SUM(F580:H580)</f>
        <v>96111</v>
      </c>
      <c r="J580" s="172">
        <f>J578+J644</f>
        <v>30117</v>
      </c>
      <c r="K580" s="172">
        <f>K578+K644</f>
        <v>32508</v>
      </c>
      <c r="L580" s="172">
        <f>L578+L644</f>
        <v>27698</v>
      </c>
      <c r="M580" s="38">
        <f>SUM(J580:L580)</f>
        <v>90323</v>
      </c>
      <c r="N580" s="172">
        <f>N578+N644</f>
        <v>12622</v>
      </c>
      <c r="O580" s="172">
        <f>O578+O644</f>
        <v>5556</v>
      </c>
      <c r="P580" s="172">
        <f>P578+P644</f>
        <v>5316</v>
      </c>
      <c r="Q580" s="38">
        <f>SUM(N580:P580)</f>
        <v>23494</v>
      </c>
      <c r="R580" s="38">
        <f>+E580+I580+M580+Q580</f>
        <v>274393</v>
      </c>
    </row>
    <row r="581" spans="1:20" ht="16.5" customHeight="1" thickBot="1" x14ac:dyDescent="0.35">
      <c r="A581" s="237" t="s">
        <v>426</v>
      </c>
      <c r="B581" s="264">
        <f>(B580/B10)/1.983</f>
        <v>222.43911961348886</v>
      </c>
      <c r="C581" s="264">
        <f>(C580/C10)/1.983</f>
        <v>396.63929111735467</v>
      </c>
      <c r="D581" s="264">
        <f>(D580/D10)/1.983</f>
        <v>467.97781139687339</v>
      </c>
      <c r="E581" s="40" t="s">
        <v>852</v>
      </c>
      <c r="F581" s="264">
        <f>(F580/F10)/1.983</f>
        <v>586.23298033282902</v>
      </c>
      <c r="G581" s="264">
        <f>(G580/G10)/1.983</f>
        <v>524.31148634359795</v>
      </c>
      <c r="H581" s="264">
        <f>(H580/H10)/1.983</f>
        <v>487.56093461085896</v>
      </c>
      <c r="I581" s="40" t="s">
        <v>852</v>
      </c>
      <c r="J581" s="264">
        <f>(J580/J10)/1.983</f>
        <v>489.92240495827434</v>
      </c>
      <c r="K581" s="264">
        <f>(K580/K10)/1.983</f>
        <v>528.81752964716225</v>
      </c>
      <c r="L581" s="264">
        <f>(L580/L10)/1.983</f>
        <v>465.59085560598419</v>
      </c>
      <c r="M581" s="40" t="s">
        <v>852</v>
      </c>
      <c r="N581" s="264">
        <f>(N580/N10)/1.983</f>
        <v>205.32591544255203</v>
      </c>
      <c r="O581" s="264">
        <f>(O580/O10)/1.983</f>
        <v>93.393847705496711</v>
      </c>
      <c r="P581" s="264">
        <f>(P580/P10)/1.983</f>
        <v>86.476989898003993</v>
      </c>
      <c r="Q581" s="40" t="s">
        <v>852</v>
      </c>
      <c r="R581" s="40" t="s">
        <v>852</v>
      </c>
    </row>
    <row r="582" spans="1:20" ht="15.75" customHeight="1" x14ac:dyDescent="0.3">
      <c r="A582" s="17"/>
      <c r="B582" s="172"/>
      <c r="C582" s="172"/>
      <c r="D582" s="172"/>
      <c r="E582" s="172"/>
      <c r="F582" s="172"/>
      <c r="G582" s="172"/>
      <c r="H582" s="172"/>
      <c r="I582" s="172"/>
      <c r="J582" s="172"/>
      <c r="K582" s="172"/>
      <c r="L582" s="172"/>
      <c r="M582" s="172"/>
      <c r="N582" s="172"/>
      <c r="O582" s="172"/>
      <c r="P582" s="172"/>
      <c r="Q582" s="172"/>
      <c r="R582" s="17"/>
    </row>
    <row r="583" spans="1:20" ht="15.75" customHeight="1" thickBot="1" x14ac:dyDescent="0.35">
      <c r="A583" s="17"/>
      <c r="B583" s="172"/>
      <c r="C583" s="172"/>
      <c r="D583" s="172"/>
      <c r="E583" s="172"/>
      <c r="F583" s="172"/>
      <c r="G583" s="172"/>
      <c r="H583" s="172"/>
      <c r="I583" s="172"/>
      <c r="J583" s="172"/>
      <c r="K583" s="172"/>
      <c r="L583" s="172"/>
      <c r="M583" s="172"/>
      <c r="N583" s="172"/>
      <c r="O583" s="172"/>
      <c r="P583" s="172"/>
      <c r="Q583" s="172"/>
      <c r="R583" s="17"/>
    </row>
    <row r="584" spans="1:20" ht="16.5" customHeight="1" thickBot="1" x14ac:dyDescent="0.35">
      <c r="A584" s="278" t="s">
        <v>1069</v>
      </c>
      <c r="B584" s="4" t="s">
        <v>2090</v>
      </c>
      <c r="C584" s="5" t="s">
        <v>2091</v>
      </c>
      <c r="D584" s="5" t="s">
        <v>2234</v>
      </c>
      <c r="E584" s="33" t="s">
        <v>1594</v>
      </c>
      <c r="F584" s="5" t="s">
        <v>2235</v>
      </c>
      <c r="G584" s="5" t="s">
        <v>2236</v>
      </c>
      <c r="H584" s="5" t="s">
        <v>2237</v>
      </c>
      <c r="I584" s="35" t="s">
        <v>1595</v>
      </c>
      <c r="J584" s="5" t="s">
        <v>1504</v>
      </c>
      <c r="K584" s="5" t="s">
        <v>1505</v>
      </c>
      <c r="L584" s="5" t="s">
        <v>1506</v>
      </c>
      <c r="M584" s="35" t="s">
        <v>1596</v>
      </c>
      <c r="N584" s="5" t="s">
        <v>1507</v>
      </c>
      <c r="O584" s="5" t="s">
        <v>1508</v>
      </c>
      <c r="P584" s="5" t="s">
        <v>1509</v>
      </c>
      <c r="Q584" s="35" t="s">
        <v>1597</v>
      </c>
      <c r="R584" s="36" t="s">
        <v>1510</v>
      </c>
    </row>
    <row r="585" spans="1:20" ht="16.5" customHeight="1" thickBot="1" x14ac:dyDescent="0.35">
      <c r="A585" s="37"/>
      <c r="B585" s="258"/>
      <c r="C585" s="258"/>
      <c r="D585" s="258"/>
      <c r="E585" s="254"/>
      <c r="F585" s="258"/>
      <c r="G585" s="258"/>
      <c r="H585" s="258"/>
      <c r="I585" s="265"/>
      <c r="J585" s="258"/>
      <c r="K585" s="258"/>
      <c r="L585" s="258"/>
      <c r="M585" s="265"/>
      <c r="N585" s="258"/>
      <c r="O585" s="258"/>
      <c r="P585" s="258"/>
      <c r="Q585" s="265"/>
      <c r="R585" s="52"/>
    </row>
    <row r="586" spans="1:20" ht="15.75" customHeight="1" x14ac:dyDescent="0.3">
      <c r="A586" s="234" t="s">
        <v>2417</v>
      </c>
      <c r="B586" s="10"/>
      <c r="C586" s="10"/>
      <c r="D586" s="10"/>
      <c r="E586" s="38" t="s">
        <v>852</v>
      </c>
      <c r="F586" s="10"/>
      <c r="G586" s="10"/>
      <c r="H586" s="10"/>
      <c r="I586" s="38" t="s">
        <v>852</v>
      </c>
      <c r="J586" s="10" t="s">
        <v>852</v>
      </c>
      <c r="K586" s="10" t="s">
        <v>852</v>
      </c>
      <c r="L586" s="10" t="s">
        <v>852</v>
      </c>
      <c r="M586" s="38" t="s">
        <v>852</v>
      </c>
      <c r="N586" s="10" t="s">
        <v>852</v>
      </c>
      <c r="O586" s="10" t="s">
        <v>852</v>
      </c>
      <c r="P586" s="10" t="s">
        <v>852</v>
      </c>
      <c r="Q586" s="38" t="s">
        <v>852</v>
      </c>
      <c r="R586" s="38" t="s">
        <v>852</v>
      </c>
    </row>
    <row r="587" spans="1:20" ht="15.75" customHeight="1" x14ac:dyDescent="0.3">
      <c r="A587" s="234" t="s">
        <v>2160</v>
      </c>
      <c r="B587" s="10"/>
      <c r="C587" s="10"/>
      <c r="D587" s="10"/>
      <c r="E587" s="38" t="s">
        <v>852</v>
      </c>
      <c r="F587" s="10"/>
      <c r="G587" s="10"/>
      <c r="H587" s="10"/>
      <c r="I587" s="38" t="s">
        <v>852</v>
      </c>
      <c r="J587" s="10"/>
      <c r="K587" s="10"/>
      <c r="L587" s="10"/>
      <c r="M587" s="38" t="s">
        <v>852</v>
      </c>
      <c r="N587" s="10"/>
      <c r="O587" s="10"/>
      <c r="P587" s="10"/>
      <c r="Q587" s="38" t="s">
        <v>852</v>
      </c>
      <c r="R587" s="38" t="s">
        <v>852</v>
      </c>
    </row>
    <row r="588" spans="1:20" ht="15.75" customHeight="1" x14ac:dyDescent="0.3">
      <c r="A588" s="310" t="s">
        <v>746</v>
      </c>
      <c r="B588" s="10">
        <v>108</v>
      </c>
      <c r="C588" s="10">
        <v>273</v>
      </c>
      <c r="D588" s="10">
        <v>378</v>
      </c>
      <c r="E588" s="38">
        <f t="shared" ref="E588" si="237">SUM(B588:D588)</f>
        <v>759</v>
      </c>
      <c r="F588" s="10">
        <v>281</v>
      </c>
      <c r="G588" s="10">
        <v>315</v>
      </c>
      <c r="H588" s="10"/>
      <c r="I588" s="38">
        <f t="shared" ref="I588" si="238">SUM(F588:H588)</f>
        <v>596</v>
      </c>
      <c r="J588" s="10">
        <v>433</v>
      </c>
      <c r="K588" s="10">
        <v>728</v>
      </c>
      <c r="L588" s="10">
        <v>584</v>
      </c>
      <c r="M588" s="38">
        <f t="shared" ref="M588" si="239">SUM(J588:L588)</f>
        <v>1745</v>
      </c>
      <c r="N588" s="10"/>
      <c r="O588" s="10"/>
      <c r="P588" s="10"/>
      <c r="Q588" s="38">
        <f t="shared" ref="Q588:Q596" si="240">SUM(N588:P588)</f>
        <v>0</v>
      </c>
      <c r="R588" s="38">
        <f t="shared" ref="R588:R596" si="241">+E588+I588+M588+Q588</f>
        <v>3100</v>
      </c>
    </row>
    <row r="589" spans="1:20" ht="15.75" customHeight="1" x14ac:dyDescent="0.3">
      <c r="A589" s="310" t="s">
        <v>639</v>
      </c>
      <c r="B589" s="10">
        <v>200</v>
      </c>
      <c r="C589" s="10">
        <v>213</v>
      </c>
      <c r="D589" s="10">
        <v>480</v>
      </c>
      <c r="E589" s="38">
        <f>SUM(B589:D589)</f>
        <v>893</v>
      </c>
      <c r="F589" s="10">
        <v>200</v>
      </c>
      <c r="G589" s="10">
        <v>200</v>
      </c>
      <c r="H589" s="10">
        <v>200</v>
      </c>
      <c r="I589" s="38">
        <f>SUM(F589:H589)</f>
        <v>600</v>
      </c>
      <c r="J589" s="10">
        <v>403</v>
      </c>
      <c r="K589" s="10">
        <v>104</v>
      </c>
      <c r="L589" s="10"/>
      <c r="M589" s="38">
        <f>SUM(J589:L589)</f>
        <v>507</v>
      </c>
      <c r="N589" s="10"/>
      <c r="O589" s="10"/>
      <c r="P589" s="10"/>
      <c r="Q589" s="38">
        <f>SUM(N589:P589)</f>
        <v>0</v>
      </c>
      <c r="R589" s="38">
        <f>+E589+I589+M589+Q589</f>
        <v>2000</v>
      </c>
    </row>
    <row r="590" spans="1:20" ht="15.75" customHeight="1" x14ac:dyDescent="0.3">
      <c r="A590" s="310" t="s">
        <v>1185</v>
      </c>
      <c r="B590" s="10">
        <v>200</v>
      </c>
      <c r="C590" s="10">
        <v>300</v>
      </c>
      <c r="D590" s="10">
        <v>650</v>
      </c>
      <c r="E590" s="38">
        <f t="shared" ref="E590" si="242">SUM(B590:D590)</f>
        <v>1150</v>
      </c>
      <c r="F590" s="10">
        <v>1613</v>
      </c>
      <c r="G590" s="10">
        <v>635</v>
      </c>
      <c r="H590" s="10">
        <v>1780</v>
      </c>
      <c r="I590" s="38">
        <f t="shared" ref="I590" si="243">SUM(F590:H590)</f>
        <v>4028</v>
      </c>
      <c r="J590" s="10">
        <v>949</v>
      </c>
      <c r="K590" s="10">
        <v>673</v>
      </c>
      <c r="L590" s="10"/>
      <c r="M590" s="38">
        <f t="shared" ref="M590" si="244">SUM(J590:L590)</f>
        <v>1622</v>
      </c>
      <c r="N590" s="10"/>
      <c r="O590" s="10"/>
      <c r="P590" s="10"/>
      <c r="Q590" s="38">
        <f t="shared" si="240"/>
        <v>0</v>
      </c>
      <c r="R590" s="38">
        <f t="shared" si="241"/>
        <v>6800</v>
      </c>
      <c r="T590" t="s">
        <v>2763</v>
      </c>
    </row>
    <row r="591" spans="1:20" ht="15.75" customHeight="1" x14ac:dyDescent="0.3">
      <c r="A591" s="310" t="s">
        <v>745</v>
      </c>
      <c r="B591" s="10"/>
      <c r="C591" s="10"/>
      <c r="D591" s="10"/>
      <c r="E591" s="38">
        <f>SUM(B591:D591)</f>
        <v>0</v>
      </c>
      <c r="F591" s="10"/>
      <c r="G591" s="10"/>
      <c r="H591" s="10"/>
      <c r="I591" s="38">
        <f>SUM(F591:H591)</f>
        <v>0</v>
      </c>
      <c r="J591" s="10"/>
      <c r="K591" s="10"/>
      <c r="L591" s="10"/>
      <c r="M591" s="38">
        <f>SUM(J591:L591)</f>
        <v>0</v>
      </c>
      <c r="N591" s="10"/>
      <c r="O591" s="10"/>
      <c r="P591" s="10"/>
      <c r="Q591" s="38">
        <f>SUM(N591:P591)</f>
        <v>0</v>
      </c>
      <c r="R591" s="38">
        <f>+E591+I591+M591+Q591</f>
        <v>0</v>
      </c>
      <c r="T591" t="s">
        <v>2766</v>
      </c>
    </row>
    <row r="592" spans="1:20" ht="15.75" customHeight="1" x14ac:dyDescent="0.3">
      <c r="A592" s="310" t="s">
        <v>484</v>
      </c>
      <c r="B592" s="10">
        <v>277</v>
      </c>
      <c r="C592" s="10">
        <v>400</v>
      </c>
      <c r="D592" s="10">
        <v>1500</v>
      </c>
      <c r="E592" s="38">
        <f t="shared" ref="E592" si="245">SUM(B592:D592)</f>
        <v>2177</v>
      </c>
      <c r="F592" s="10">
        <v>1737</v>
      </c>
      <c r="G592" s="10"/>
      <c r="H592" s="10"/>
      <c r="I592" s="38">
        <f t="shared" ref="I592" si="246">SUM(F592:H592)</f>
        <v>1737</v>
      </c>
      <c r="J592" s="10">
        <v>29</v>
      </c>
      <c r="K592" s="10">
        <v>62</v>
      </c>
      <c r="L592" s="10"/>
      <c r="M592" s="38">
        <f t="shared" ref="M592" si="247">SUM(J592:L592)</f>
        <v>91</v>
      </c>
      <c r="N592" s="10"/>
      <c r="O592" s="10"/>
      <c r="P592" s="10"/>
      <c r="Q592" s="38">
        <f t="shared" si="240"/>
        <v>0</v>
      </c>
      <c r="R592" s="38">
        <f t="shared" si="241"/>
        <v>4005</v>
      </c>
      <c r="T592" t="s">
        <v>2766</v>
      </c>
    </row>
    <row r="593" spans="1:20" ht="15.75" customHeight="1" x14ac:dyDescent="0.3">
      <c r="A593" s="539" t="s">
        <v>2982</v>
      </c>
      <c r="B593" s="10">
        <v>500</v>
      </c>
      <c r="C593" s="10">
        <v>500</v>
      </c>
      <c r="D593" s="10">
        <v>500</v>
      </c>
      <c r="E593" s="38">
        <f>SUM(B593:D593)</f>
        <v>1500</v>
      </c>
      <c r="G593" s="356">
        <v>500</v>
      </c>
      <c r="H593" s="10">
        <v>338</v>
      </c>
      <c r="I593" s="38">
        <f>SUM(F593:H593)</f>
        <v>838</v>
      </c>
      <c r="J593" s="10">
        <v>662</v>
      </c>
      <c r="K593" s="10"/>
      <c r="L593" s="10"/>
      <c r="M593" s="38">
        <f>SUM(J593:L593)</f>
        <v>662</v>
      </c>
      <c r="N593" s="10"/>
      <c r="O593" s="10"/>
      <c r="P593" s="10"/>
      <c r="Q593" s="38">
        <f>SUM(N593:P593)</f>
        <v>0</v>
      </c>
      <c r="R593" s="38">
        <f t="shared" si="241"/>
        <v>3000</v>
      </c>
    </row>
    <row r="594" spans="1:20" ht="15.75" customHeight="1" x14ac:dyDescent="0.3">
      <c r="A594" s="266" t="s">
        <v>1836</v>
      </c>
      <c r="B594" s="10"/>
      <c r="C594" s="10"/>
      <c r="D594" s="10"/>
      <c r="E594" s="38">
        <f t="shared" ref="E594:E599" si="248">SUM(B594:D594)</f>
        <v>0</v>
      </c>
      <c r="F594" s="10"/>
      <c r="G594" s="10"/>
      <c r="H594" s="10"/>
      <c r="I594" s="38">
        <f t="shared" ref="I594:I598" si="249">SUM(F594:H594)</f>
        <v>0</v>
      </c>
      <c r="J594" s="10"/>
      <c r="K594" s="10">
        <v>1000</v>
      </c>
      <c r="L594" s="10">
        <v>1800</v>
      </c>
      <c r="M594" s="38">
        <f t="shared" ref="M594:M598" si="250">SUM(J594:L594)</f>
        <v>2800</v>
      </c>
      <c r="N594" s="10"/>
      <c r="O594" s="10"/>
      <c r="P594" s="10"/>
      <c r="Q594" s="38">
        <f t="shared" si="240"/>
        <v>0</v>
      </c>
      <c r="R594" s="38">
        <f t="shared" si="241"/>
        <v>2800</v>
      </c>
      <c r="T594" t="s">
        <v>2766</v>
      </c>
    </row>
    <row r="595" spans="1:20" ht="15.75" customHeight="1" x14ac:dyDescent="0.3">
      <c r="A595" s="539" t="s">
        <v>3047</v>
      </c>
      <c r="B595" s="10"/>
      <c r="C595" s="10"/>
      <c r="D595" s="10"/>
      <c r="E595" s="38">
        <f t="shared" si="248"/>
        <v>0</v>
      </c>
      <c r="F595" s="10">
        <v>454</v>
      </c>
      <c r="G595" s="10">
        <v>709</v>
      </c>
      <c r="H595" s="10">
        <v>400</v>
      </c>
      <c r="I595" s="38">
        <f t="shared" si="249"/>
        <v>1563</v>
      </c>
      <c r="J595" s="10">
        <v>773</v>
      </c>
      <c r="K595" s="10"/>
      <c r="L595" s="10"/>
      <c r="M595" s="38">
        <f t="shared" si="250"/>
        <v>773</v>
      </c>
      <c r="N595" s="10"/>
      <c r="O595" s="10"/>
      <c r="P595" s="10"/>
      <c r="Q595" s="38">
        <f>SUM(N595:P595)</f>
        <v>0</v>
      </c>
      <c r="R595" s="38">
        <f>+E595+I595+M595+Q595</f>
        <v>2336</v>
      </c>
    </row>
    <row r="596" spans="1:20" ht="15.75" customHeight="1" x14ac:dyDescent="0.3">
      <c r="A596" s="539" t="s">
        <v>1295</v>
      </c>
      <c r="B596" s="10"/>
      <c r="C596" s="10"/>
      <c r="D596" s="10"/>
      <c r="E596" s="38">
        <f t="shared" si="248"/>
        <v>0</v>
      </c>
      <c r="F596" s="10"/>
      <c r="G596" s="10"/>
      <c r="H596" s="10"/>
      <c r="I596" s="38">
        <f t="shared" si="249"/>
        <v>0</v>
      </c>
      <c r="J596" s="10"/>
      <c r="K596" s="10"/>
      <c r="L596" s="10"/>
      <c r="M596" s="38">
        <f t="shared" si="250"/>
        <v>0</v>
      </c>
      <c r="N596" s="10"/>
      <c r="O596" s="10"/>
      <c r="P596" s="10"/>
      <c r="Q596" s="38">
        <f t="shared" si="240"/>
        <v>0</v>
      </c>
      <c r="R596" s="38">
        <f t="shared" si="241"/>
        <v>0</v>
      </c>
      <c r="T596" t="s">
        <v>2766</v>
      </c>
    </row>
    <row r="597" spans="1:20" ht="15.75" customHeight="1" x14ac:dyDescent="0.3">
      <c r="A597" s="539" t="s">
        <v>3338</v>
      </c>
      <c r="B597" s="10">
        <v>326</v>
      </c>
      <c r="C597" s="10">
        <v>232</v>
      </c>
      <c r="D597" s="10">
        <v>742</v>
      </c>
      <c r="E597" s="38">
        <f t="shared" si="248"/>
        <v>1300</v>
      </c>
      <c r="F597" s="10">
        <v>650</v>
      </c>
      <c r="G597" s="10">
        <v>937</v>
      </c>
      <c r="H597" s="10"/>
      <c r="I597" s="38">
        <f t="shared" si="249"/>
        <v>1587</v>
      </c>
      <c r="J597" s="10"/>
      <c r="K597" s="10"/>
      <c r="L597" s="10"/>
      <c r="M597" s="38">
        <f t="shared" si="250"/>
        <v>0</v>
      </c>
      <c r="N597" s="10"/>
      <c r="O597" s="10"/>
      <c r="P597" s="10"/>
      <c r="Q597" s="38">
        <f t="shared" ref="Q597" si="251">SUM(N597:P597)</f>
        <v>0</v>
      </c>
      <c r="R597" s="38">
        <f t="shared" ref="R597" si="252">+E597+I597+M597+Q597</f>
        <v>2887</v>
      </c>
    </row>
    <row r="598" spans="1:20" ht="15.75" customHeight="1" x14ac:dyDescent="0.3">
      <c r="A598" s="539" t="s">
        <v>3345</v>
      </c>
      <c r="B598" s="10"/>
      <c r="C598" s="10"/>
      <c r="D598" s="10"/>
      <c r="E598" s="38">
        <f t="shared" si="248"/>
        <v>0</v>
      </c>
      <c r="F598" s="10"/>
      <c r="G598" s="10"/>
      <c r="H598" s="10"/>
      <c r="I598" s="38">
        <f t="shared" si="249"/>
        <v>0</v>
      </c>
      <c r="J598" s="10"/>
      <c r="K598" s="10"/>
      <c r="L598" s="10">
        <v>163</v>
      </c>
      <c r="M598" s="38">
        <f t="shared" si="250"/>
        <v>163</v>
      </c>
      <c r="N598" s="10">
        <v>477</v>
      </c>
      <c r="O598" s="10"/>
      <c r="P598" s="10"/>
      <c r="Q598" s="38">
        <f t="shared" ref="Q598" si="253">SUM(N598:P598)</f>
        <v>477</v>
      </c>
      <c r="R598" s="38">
        <f t="shared" ref="R598" si="254">+E598+I598+M598+Q598</f>
        <v>640</v>
      </c>
    </row>
    <row r="599" spans="1:20" ht="15.75" customHeight="1" x14ac:dyDescent="0.3">
      <c r="A599" s="539" t="s">
        <v>3321</v>
      </c>
      <c r="B599" s="10"/>
      <c r="C599" s="10"/>
      <c r="D599" s="10"/>
      <c r="E599" s="38">
        <f t="shared" si="248"/>
        <v>0</v>
      </c>
      <c r="F599" s="10"/>
      <c r="G599" s="10"/>
      <c r="H599" s="10"/>
      <c r="I599" s="38">
        <f>SUM(F599:H599)</f>
        <v>0</v>
      </c>
      <c r="J599" s="10"/>
      <c r="K599" s="10">
        <v>1128</v>
      </c>
      <c r="L599" s="10">
        <v>1726</v>
      </c>
      <c r="M599" s="38">
        <f>SUM(J599:L599)</f>
        <v>2854</v>
      </c>
      <c r="N599" s="10">
        <v>646</v>
      </c>
      <c r="O599" s="10"/>
      <c r="P599" s="10"/>
      <c r="Q599" s="38">
        <f>SUM(N599:P599)</f>
        <v>646</v>
      </c>
      <c r="R599" s="38">
        <f>+E599+I599+M599+Q599</f>
        <v>3500</v>
      </c>
      <c r="T599" t="s">
        <v>2763</v>
      </c>
    </row>
    <row r="600" spans="1:20" ht="15.75" customHeight="1" x14ac:dyDescent="0.3">
      <c r="A600" s="234" t="s">
        <v>2161</v>
      </c>
      <c r="B600" s="10"/>
      <c r="C600" s="10"/>
      <c r="D600" s="10"/>
      <c r="E600" s="38" t="s">
        <v>852</v>
      </c>
      <c r="F600" s="10"/>
      <c r="G600" s="10"/>
      <c r="H600" s="10"/>
      <c r="I600" s="38" t="s">
        <v>852</v>
      </c>
      <c r="J600" s="10"/>
      <c r="K600" s="10"/>
      <c r="L600" s="10"/>
      <c r="M600" s="38" t="s">
        <v>852</v>
      </c>
      <c r="N600" s="10"/>
      <c r="O600" s="10"/>
      <c r="P600" s="10"/>
      <c r="Q600" s="38" t="s">
        <v>852</v>
      </c>
      <c r="R600" s="38" t="s">
        <v>852</v>
      </c>
    </row>
    <row r="601" spans="1:20" ht="15.75" customHeight="1" x14ac:dyDescent="0.3">
      <c r="A601" s="266" t="s">
        <v>1295</v>
      </c>
      <c r="B601" s="10"/>
      <c r="C601" s="10"/>
      <c r="D601" s="10"/>
      <c r="E601" s="38">
        <f>SUM(B601:D601)</f>
        <v>0</v>
      </c>
      <c r="F601" s="10"/>
      <c r="G601" s="10"/>
      <c r="H601" s="10"/>
      <c r="I601" s="38">
        <f>SUM(F601:H601)</f>
        <v>0</v>
      </c>
      <c r="J601" s="10"/>
      <c r="K601" s="10"/>
      <c r="L601" s="10"/>
      <c r="M601" s="38">
        <f>SUM(J601:L601)</f>
        <v>0</v>
      </c>
      <c r="N601" s="10"/>
      <c r="O601" s="10"/>
      <c r="P601" s="10"/>
      <c r="Q601" s="38">
        <f>SUM(N601:P601)</f>
        <v>0</v>
      </c>
      <c r="R601" s="38">
        <f>+E601+I601+M601+Q601</f>
        <v>0</v>
      </c>
      <c r="T601" t="s">
        <v>2766</v>
      </c>
    </row>
    <row r="602" spans="1:20" ht="15.75" customHeight="1" x14ac:dyDescent="0.3">
      <c r="A602" s="234" t="s">
        <v>3245</v>
      </c>
      <c r="B602" s="10"/>
      <c r="C602" s="10"/>
      <c r="D602" s="10"/>
      <c r="E602" s="38" t="s">
        <v>852</v>
      </c>
      <c r="F602" s="10"/>
      <c r="G602" s="10"/>
      <c r="H602" s="10"/>
      <c r="I602" s="38" t="s">
        <v>852</v>
      </c>
      <c r="J602" s="10"/>
      <c r="K602" s="10"/>
      <c r="L602" s="10"/>
      <c r="M602" s="38" t="s">
        <v>852</v>
      </c>
      <c r="N602" s="10"/>
      <c r="O602" s="10"/>
      <c r="P602" s="10"/>
      <c r="Q602" s="38" t="s">
        <v>852</v>
      </c>
      <c r="R602" s="38" t="s">
        <v>852</v>
      </c>
    </row>
    <row r="603" spans="1:20" ht="15.75" customHeight="1" x14ac:dyDescent="0.3">
      <c r="A603" s="539" t="s">
        <v>3264</v>
      </c>
      <c r="B603" s="10"/>
      <c r="C603" s="10"/>
      <c r="D603" s="10">
        <v>190</v>
      </c>
      <c r="E603" s="38">
        <f>SUM(B603:D603)</f>
        <v>190</v>
      </c>
      <c r="F603" s="10"/>
      <c r="G603" s="10"/>
      <c r="H603" s="10"/>
      <c r="I603" s="38">
        <f>SUM(F603:H603)</f>
        <v>0</v>
      </c>
      <c r="J603" s="10"/>
      <c r="K603" s="10"/>
      <c r="L603" s="10"/>
      <c r="M603" s="38">
        <f>SUM(J603:L603)</f>
        <v>0</v>
      </c>
      <c r="N603" s="10"/>
      <c r="O603" s="10"/>
      <c r="P603" s="10"/>
      <c r="Q603" s="38">
        <f>SUM(N603:P603)</f>
        <v>0</v>
      </c>
      <c r="R603" s="38">
        <f>+E603+I603+M603+Q603</f>
        <v>190</v>
      </c>
      <c r="S603" s="735" t="s">
        <v>3214</v>
      </c>
      <c r="T603" t="s">
        <v>2766</v>
      </c>
    </row>
    <row r="604" spans="1:20" ht="15.75" customHeight="1" thickBot="1" x14ac:dyDescent="0.35">
      <c r="A604" s="234" t="s">
        <v>2164</v>
      </c>
      <c r="B604" s="10"/>
      <c r="C604" s="10"/>
      <c r="D604" s="10"/>
      <c r="E604" s="38" t="s">
        <v>852</v>
      </c>
      <c r="F604" s="10"/>
      <c r="G604" s="10"/>
      <c r="H604" s="10"/>
      <c r="I604" s="38" t="s">
        <v>852</v>
      </c>
      <c r="J604" s="10"/>
      <c r="K604" s="10"/>
      <c r="L604" s="10"/>
      <c r="M604" s="38" t="s">
        <v>852</v>
      </c>
      <c r="N604" s="10"/>
      <c r="O604" s="10"/>
      <c r="P604" s="10"/>
      <c r="Q604" s="38" t="s">
        <v>852</v>
      </c>
      <c r="R604" s="38" t="s">
        <v>852</v>
      </c>
    </row>
    <row r="605" spans="1:20" ht="16.5" customHeight="1" thickBot="1" x14ac:dyDescent="0.35">
      <c r="A605" s="276" t="s">
        <v>1218</v>
      </c>
      <c r="B605" s="45">
        <f>SUM(B586:B604)</f>
        <v>1611</v>
      </c>
      <c r="C605" s="46">
        <f>SUM(C586:C604)</f>
        <v>1918</v>
      </c>
      <c r="D605" s="46">
        <f>SUM(D586:D604)</f>
        <v>4440</v>
      </c>
      <c r="E605" s="37">
        <f>SUM(B605:D605)</f>
        <v>7969</v>
      </c>
      <c r="F605" s="46">
        <f>SUM(F586:F604)</f>
        <v>4935</v>
      </c>
      <c r="G605" s="46">
        <f>SUM(G586:G604)</f>
        <v>3296</v>
      </c>
      <c r="H605" s="46">
        <f>SUM(H586:H604)</f>
        <v>2718</v>
      </c>
      <c r="I605" s="37">
        <f>SUM(F605:H605)</f>
        <v>10949</v>
      </c>
      <c r="J605" s="46">
        <f>SUM(J586:J604)</f>
        <v>3249</v>
      </c>
      <c r="K605" s="46">
        <f>SUM(K586:K604)</f>
        <v>3695</v>
      </c>
      <c r="L605" s="46">
        <f>SUM(L586:L604)</f>
        <v>4273</v>
      </c>
      <c r="M605" s="37">
        <f>SUM(J605:L605)</f>
        <v>11217</v>
      </c>
      <c r="N605" s="46">
        <f>SUM(N586:N604)</f>
        <v>1123</v>
      </c>
      <c r="O605" s="46">
        <f>SUM(O586:O604)</f>
        <v>0</v>
      </c>
      <c r="P605" s="46">
        <f>SUM(P586:P604)</f>
        <v>0</v>
      </c>
      <c r="Q605" s="37">
        <f>SUM(N605:P605)</f>
        <v>1123</v>
      </c>
      <c r="R605" s="37">
        <f>+E605+I605+M605+Q605</f>
        <v>31258</v>
      </c>
    </row>
    <row r="606" spans="1:20" ht="15.75" customHeight="1" x14ac:dyDescent="0.3">
      <c r="A606" s="234" t="s">
        <v>1172</v>
      </c>
      <c r="B606" s="172"/>
      <c r="C606" s="172"/>
      <c r="D606" s="172"/>
      <c r="E606" s="38" t="s">
        <v>852</v>
      </c>
      <c r="F606" s="172"/>
      <c r="G606" s="172"/>
      <c r="H606" s="172"/>
      <c r="I606" s="38" t="s">
        <v>852</v>
      </c>
      <c r="J606" s="172"/>
      <c r="K606" s="172"/>
      <c r="L606" s="172"/>
      <c r="M606" s="38" t="s">
        <v>852</v>
      </c>
      <c r="N606" s="172"/>
      <c r="O606" s="172"/>
      <c r="P606" s="172"/>
      <c r="Q606" s="38" t="s">
        <v>852</v>
      </c>
      <c r="R606" s="38" t="s">
        <v>852</v>
      </c>
    </row>
    <row r="607" spans="1:20" ht="15.75" customHeight="1" x14ac:dyDescent="0.3">
      <c r="A607" s="234" t="s">
        <v>2409</v>
      </c>
      <c r="B607" s="172"/>
      <c r="C607" s="172"/>
      <c r="D607" s="172"/>
      <c r="E607" s="38" t="s">
        <v>852</v>
      </c>
      <c r="F607" s="172"/>
      <c r="G607" s="172"/>
      <c r="H607" s="172"/>
      <c r="I607" s="38" t="s">
        <v>852</v>
      </c>
      <c r="J607" s="172"/>
      <c r="K607" s="172"/>
      <c r="L607" s="172"/>
      <c r="M607" s="38" t="s">
        <v>852</v>
      </c>
      <c r="N607" s="172"/>
      <c r="O607" s="172"/>
      <c r="P607" s="172"/>
      <c r="Q607" s="38" t="s">
        <v>852</v>
      </c>
      <c r="R607" s="38" t="s">
        <v>852</v>
      </c>
    </row>
    <row r="608" spans="1:20" ht="15.75" customHeight="1" x14ac:dyDescent="0.3">
      <c r="A608" s="266" t="s">
        <v>2478</v>
      </c>
      <c r="B608" s="172"/>
      <c r="C608" s="172"/>
      <c r="D608" s="172"/>
      <c r="E608" s="38">
        <f>SUM(B608:D608)</f>
        <v>0</v>
      </c>
      <c r="F608" s="172"/>
      <c r="G608" s="172"/>
      <c r="H608" s="172"/>
      <c r="I608" s="38">
        <f>SUM(F608:H608)</f>
        <v>0</v>
      </c>
      <c r="J608" s="172"/>
      <c r="K608" s="172"/>
      <c r="L608" s="172"/>
      <c r="M608" s="38">
        <f>SUM(J608:L608)</f>
        <v>0</v>
      </c>
      <c r="N608" s="172"/>
      <c r="O608" s="172"/>
      <c r="P608" s="172"/>
      <c r="Q608" s="38">
        <f>SUM(N608:P608)</f>
        <v>0</v>
      </c>
      <c r="R608" s="38">
        <f>+E608+I608+M608+Q608</f>
        <v>0</v>
      </c>
    </row>
    <row r="609" spans="1:20" ht="15.75" customHeight="1" x14ac:dyDescent="0.3">
      <c r="A609" s="266" t="s">
        <v>1958</v>
      </c>
      <c r="B609" s="172"/>
      <c r="C609" s="172"/>
      <c r="D609" s="172"/>
      <c r="E609" s="38">
        <f>SUM(B609:D609)</f>
        <v>0</v>
      </c>
      <c r="F609" s="172"/>
      <c r="G609" s="172"/>
      <c r="H609" s="172"/>
      <c r="I609" s="38">
        <f>SUM(F609:H609)</f>
        <v>0</v>
      </c>
      <c r="J609" s="172"/>
      <c r="K609" s="172"/>
      <c r="L609" s="172"/>
      <c r="M609" s="38">
        <f>SUM(J609:L609)</f>
        <v>0</v>
      </c>
      <c r="N609" s="172"/>
      <c r="O609" s="172"/>
      <c r="P609" s="172"/>
      <c r="Q609" s="38">
        <f>SUM(N609:P609)</f>
        <v>0</v>
      </c>
      <c r="R609" s="38">
        <f>+E609+I609+M609+Q609</f>
        <v>0</v>
      </c>
    </row>
    <row r="610" spans="1:20" ht="15.75" customHeight="1" thickBot="1" x14ac:dyDescent="0.35">
      <c r="A610" s="234" t="s">
        <v>2165</v>
      </c>
      <c r="B610" s="172"/>
      <c r="C610" s="172"/>
      <c r="D610" s="172"/>
      <c r="E610" s="38" t="s">
        <v>852</v>
      </c>
      <c r="F610" s="172"/>
      <c r="G610" s="172"/>
      <c r="H610" s="172"/>
      <c r="I610" s="38" t="s">
        <v>852</v>
      </c>
      <c r="J610" s="172"/>
      <c r="K610" s="172"/>
      <c r="L610" s="172"/>
      <c r="M610" s="38" t="s">
        <v>852</v>
      </c>
      <c r="N610" s="172"/>
      <c r="O610" s="172"/>
      <c r="P610" s="172"/>
      <c r="Q610" s="38" t="s">
        <v>852</v>
      </c>
      <c r="R610" s="38" t="s">
        <v>852</v>
      </c>
    </row>
    <row r="611" spans="1:20" ht="16.5" customHeight="1" thickBot="1" x14ac:dyDescent="0.35">
      <c r="A611" s="43" t="s">
        <v>1219</v>
      </c>
      <c r="B611" s="45">
        <f>SUM(B606:B610)</f>
        <v>0</v>
      </c>
      <c r="C611" s="46">
        <f>SUM(C606:C610)</f>
        <v>0</v>
      </c>
      <c r="D611" s="46">
        <f>SUM(D606:D610)</f>
        <v>0</v>
      </c>
      <c r="E611" s="37">
        <f>SUM(B611:D611)</f>
        <v>0</v>
      </c>
      <c r="F611" s="46">
        <f>SUM(F606:F610)</f>
        <v>0</v>
      </c>
      <c r="G611" s="46">
        <f>SUM(G606:G610)</f>
        <v>0</v>
      </c>
      <c r="H611" s="46">
        <f>SUM(H606:H610)</f>
        <v>0</v>
      </c>
      <c r="I611" s="37">
        <f>SUM(F611:H611)</f>
        <v>0</v>
      </c>
      <c r="J611" s="46">
        <f>SUM(J606:J610)</f>
        <v>0</v>
      </c>
      <c r="K611" s="46">
        <f>SUM(K606:K610)</f>
        <v>0</v>
      </c>
      <c r="L611" s="46">
        <f>SUM(L606:L610)</f>
        <v>0</v>
      </c>
      <c r="M611" s="37">
        <f>SUM(J611:L611)</f>
        <v>0</v>
      </c>
      <c r="N611" s="46">
        <f>SUM(N606:N610)</f>
        <v>0</v>
      </c>
      <c r="O611" s="46">
        <f>SUM(O606:O610)</f>
        <v>0</v>
      </c>
      <c r="P611" s="46">
        <f>SUM(P606:P610)</f>
        <v>0</v>
      </c>
      <c r="Q611" s="37">
        <f>SUM(N611:P611)</f>
        <v>0</v>
      </c>
      <c r="R611" s="37">
        <f>+E611+I611+M611+Q611</f>
        <v>0</v>
      </c>
    </row>
    <row r="612" spans="1:20" ht="15.75" customHeight="1" x14ac:dyDescent="0.3">
      <c r="A612" s="234" t="s">
        <v>2166</v>
      </c>
      <c r="B612" s="172"/>
      <c r="C612" s="172"/>
      <c r="D612" s="172"/>
      <c r="E612" s="38" t="s">
        <v>852</v>
      </c>
      <c r="F612" s="172"/>
      <c r="G612" s="172"/>
      <c r="H612" s="172"/>
      <c r="I612" s="38" t="s">
        <v>852</v>
      </c>
      <c r="J612" s="172"/>
      <c r="K612" s="172"/>
      <c r="L612" s="172"/>
      <c r="M612" s="38" t="s">
        <v>852</v>
      </c>
      <c r="N612" s="172"/>
      <c r="O612" s="172"/>
      <c r="P612" s="172"/>
      <c r="Q612" s="38" t="s">
        <v>852</v>
      </c>
      <c r="R612" s="38" t="s">
        <v>852</v>
      </c>
    </row>
    <row r="613" spans="1:20" ht="15.75" customHeight="1" x14ac:dyDescent="0.3">
      <c r="A613" s="234" t="s">
        <v>1245</v>
      </c>
      <c r="B613" s="172"/>
      <c r="C613" s="172"/>
      <c r="D613" s="172"/>
      <c r="E613" s="38" t="s">
        <v>852</v>
      </c>
      <c r="F613" s="172"/>
      <c r="G613" s="172"/>
      <c r="H613" s="172"/>
      <c r="I613" s="38" t="s">
        <v>852</v>
      </c>
      <c r="J613" s="172"/>
      <c r="K613" s="172"/>
      <c r="L613" s="172"/>
      <c r="M613" s="38" t="s">
        <v>852</v>
      </c>
      <c r="N613" s="172"/>
      <c r="O613" s="172"/>
      <c r="P613" s="172"/>
      <c r="Q613" s="38" t="s">
        <v>852</v>
      </c>
      <c r="R613" s="38" t="s">
        <v>852</v>
      </c>
    </row>
    <row r="614" spans="1:20" ht="15.75" customHeight="1" x14ac:dyDescent="0.3">
      <c r="A614" s="234" t="s">
        <v>1711</v>
      </c>
      <c r="B614" s="172"/>
      <c r="C614" s="172"/>
      <c r="D614" s="172"/>
      <c r="E614" s="38" t="s">
        <v>852</v>
      </c>
      <c r="F614" s="172"/>
      <c r="G614" s="172"/>
      <c r="H614" s="172"/>
      <c r="I614" s="38" t="s">
        <v>852</v>
      </c>
      <c r="J614" s="172"/>
      <c r="K614" s="172"/>
      <c r="L614" s="172"/>
      <c r="M614" s="38" t="s">
        <v>852</v>
      </c>
      <c r="N614" s="172"/>
      <c r="O614" s="172"/>
      <c r="P614" s="172"/>
      <c r="Q614" s="38" t="s">
        <v>852</v>
      </c>
      <c r="R614" s="38" t="s">
        <v>852</v>
      </c>
    </row>
    <row r="615" spans="1:20" ht="15.75" customHeight="1" x14ac:dyDescent="0.3">
      <c r="A615" s="539" t="s">
        <v>3202</v>
      </c>
      <c r="B615" s="172"/>
      <c r="C615" s="172"/>
      <c r="D615" s="172"/>
      <c r="E615" s="38">
        <f t="shared" ref="E615:E616" si="255">SUM(B615:D615)</f>
        <v>0</v>
      </c>
      <c r="F615" s="172"/>
      <c r="G615" s="172"/>
      <c r="H615" s="172"/>
      <c r="I615" s="38">
        <f t="shared" ref="I615:I616" si="256">SUM(F615:H615)</f>
        <v>0</v>
      </c>
      <c r="J615" s="172"/>
      <c r="K615" s="172"/>
      <c r="L615" s="172"/>
      <c r="M615" s="38">
        <f t="shared" ref="M615:M616" si="257">SUM(J615:L615)</f>
        <v>0</v>
      </c>
      <c r="N615" s="172"/>
      <c r="O615" s="172"/>
      <c r="P615" s="172"/>
      <c r="Q615" s="38">
        <f>SUM(N615:P615)</f>
        <v>0</v>
      </c>
      <c r="R615" s="38">
        <f>+E615+I615+M615+Q615</f>
        <v>0</v>
      </c>
      <c r="T615" t="s">
        <v>2766</v>
      </c>
    </row>
    <row r="616" spans="1:20" ht="15.75" customHeight="1" x14ac:dyDescent="0.3">
      <c r="A616" s="539" t="s">
        <v>3231</v>
      </c>
      <c r="B616" s="172"/>
      <c r="C616" s="172"/>
      <c r="D616" s="172">
        <v>328</v>
      </c>
      <c r="E616" s="38">
        <f t="shared" si="255"/>
        <v>328</v>
      </c>
      <c r="F616" s="172">
        <v>767</v>
      </c>
      <c r="G616" s="172"/>
      <c r="H616" s="172"/>
      <c r="I616" s="38">
        <f t="shared" si="256"/>
        <v>767</v>
      </c>
      <c r="J616" s="172"/>
      <c r="K616" s="172"/>
      <c r="L616" s="172"/>
      <c r="M616" s="38">
        <f t="shared" si="257"/>
        <v>0</v>
      </c>
      <c r="N616" s="172"/>
      <c r="O616" s="172"/>
      <c r="P616" s="172"/>
      <c r="Q616" s="38">
        <f t="shared" ref="Q616" si="258">SUM(N616:P616)</f>
        <v>0</v>
      </c>
      <c r="R616" s="38">
        <f t="shared" ref="R616:R617" si="259">+E616+I616+M616+Q616</f>
        <v>1095</v>
      </c>
    </row>
    <row r="617" spans="1:20" ht="15.75" customHeight="1" x14ac:dyDescent="0.3">
      <c r="A617" s="539" t="s">
        <v>3235</v>
      </c>
      <c r="B617" s="10"/>
      <c r="C617" s="10"/>
      <c r="D617" s="10"/>
      <c r="E617" s="38">
        <f>SUM(B617:D617)</f>
        <v>0</v>
      </c>
      <c r="F617" s="10">
        <v>276</v>
      </c>
      <c r="G617" s="10"/>
      <c r="H617" s="10"/>
      <c r="I617" s="38">
        <f>SUM(F617:H617)</f>
        <v>276</v>
      </c>
      <c r="J617" s="10"/>
      <c r="K617" s="10"/>
      <c r="L617" s="10"/>
      <c r="M617" s="38">
        <f>SUM(J617:L617)</f>
        <v>0</v>
      </c>
      <c r="N617" s="10"/>
      <c r="O617" s="10"/>
      <c r="P617" s="10"/>
      <c r="Q617" s="38">
        <f>SUM(N617:P617)</f>
        <v>0</v>
      </c>
      <c r="R617" s="38">
        <f t="shared" si="259"/>
        <v>276</v>
      </c>
    </row>
    <row r="618" spans="1:20" ht="15.75" customHeight="1" x14ac:dyDescent="0.3">
      <c r="A618" s="539" t="s">
        <v>3211</v>
      </c>
      <c r="B618" s="10"/>
      <c r="C618" s="10"/>
      <c r="D618" s="10"/>
      <c r="E618" s="38">
        <f>SUM(B618:D618)</f>
        <v>0</v>
      </c>
      <c r="F618" s="10">
        <v>224</v>
      </c>
      <c r="G618" s="10"/>
      <c r="H618" s="10"/>
      <c r="I618" s="38">
        <f>SUM(F618:H618)</f>
        <v>224</v>
      </c>
      <c r="J618" s="10"/>
      <c r="K618" s="10"/>
      <c r="L618" s="10"/>
      <c r="M618" s="38">
        <f>SUM(J618:L618)</f>
        <v>0</v>
      </c>
      <c r="N618" s="10"/>
      <c r="O618" s="10"/>
      <c r="P618" s="10"/>
      <c r="Q618" s="38">
        <f>SUM(N618:P618)</f>
        <v>0</v>
      </c>
      <c r="R618" s="38">
        <f t="shared" ref="R618" si="260">+E618+I618+M618+Q618</f>
        <v>224</v>
      </c>
    </row>
    <row r="619" spans="1:20" ht="15.75" customHeight="1" thickBot="1" x14ac:dyDescent="0.35">
      <c r="A619" s="539" t="s">
        <v>2079</v>
      </c>
      <c r="B619" s="172"/>
      <c r="C619" s="172"/>
      <c r="D619" s="172"/>
      <c r="E619" s="38">
        <f>SUM(B619:D619)</f>
        <v>0</v>
      </c>
      <c r="F619" s="172"/>
      <c r="G619" s="172"/>
      <c r="H619" s="172"/>
      <c r="I619" s="38">
        <f>SUM(F619:H619)</f>
        <v>0</v>
      </c>
      <c r="J619" s="172"/>
      <c r="K619" s="172"/>
      <c r="L619" s="172"/>
      <c r="M619" s="38">
        <f>SUM(J619:L619)</f>
        <v>0</v>
      </c>
      <c r="N619" s="172"/>
      <c r="O619" s="172"/>
      <c r="P619" s="172"/>
      <c r="Q619" s="38">
        <f>SUM(N619:P619)</f>
        <v>0</v>
      </c>
      <c r="R619" s="38">
        <f>+E619+I619+M619+Q619</f>
        <v>0</v>
      </c>
      <c r="T619" t="s">
        <v>2766</v>
      </c>
    </row>
    <row r="620" spans="1:20" ht="16.5" customHeight="1" thickBot="1" x14ac:dyDescent="0.35">
      <c r="A620" s="277" t="s">
        <v>1220</v>
      </c>
      <c r="B620" s="45">
        <f>SUM(B612:B619)</f>
        <v>0</v>
      </c>
      <c r="C620" s="46">
        <f>SUM(C612:C619)</f>
        <v>0</v>
      </c>
      <c r="D620" s="46">
        <f>SUM(D612:D619)</f>
        <v>328</v>
      </c>
      <c r="E620" s="37">
        <f>SUM(B620:D620)</f>
        <v>328</v>
      </c>
      <c r="F620" s="46">
        <f>SUM(F612:F619)</f>
        <v>1267</v>
      </c>
      <c r="G620" s="46">
        <f>SUM(G612:G619)</f>
        <v>0</v>
      </c>
      <c r="H620" s="46">
        <f>SUM(H612:H619)</f>
        <v>0</v>
      </c>
      <c r="I620" s="37">
        <f>SUM(F620:H620)</f>
        <v>1267</v>
      </c>
      <c r="J620" s="46">
        <f>SUM(J612:J619)</f>
        <v>0</v>
      </c>
      <c r="K620" s="46">
        <f>SUM(K612:K619)</f>
        <v>0</v>
      </c>
      <c r="L620" s="46">
        <f>SUM(L612:L619)</f>
        <v>0</v>
      </c>
      <c r="M620" s="37">
        <f>SUM(J620:L620)</f>
        <v>0</v>
      </c>
      <c r="N620" s="46">
        <f>SUM(N612:N619)</f>
        <v>0</v>
      </c>
      <c r="O620" s="46">
        <f>SUM(O612:O619)</f>
        <v>0</v>
      </c>
      <c r="P620" s="46">
        <f>SUM(P612:P619)</f>
        <v>0</v>
      </c>
      <c r="Q620" s="37">
        <f>SUM(N620:P620)</f>
        <v>0</v>
      </c>
      <c r="R620" s="37">
        <f>+E620+I620+M620+Q620</f>
        <v>1595</v>
      </c>
    </row>
    <row r="621" spans="1:20" ht="15.75" customHeight="1" x14ac:dyDescent="0.3">
      <c r="A621" s="234" t="s">
        <v>1712</v>
      </c>
      <c r="B621" s="10"/>
      <c r="C621" s="10"/>
      <c r="D621" s="10"/>
      <c r="E621" s="38" t="s">
        <v>852</v>
      </c>
      <c r="F621" s="10"/>
      <c r="G621" s="10"/>
      <c r="H621" s="10"/>
      <c r="I621" s="38" t="s">
        <v>852</v>
      </c>
      <c r="J621" s="10"/>
      <c r="K621" s="10"/>
      <c r="L621" s="10"/>
      <c r="M621" s="38" t="s">
        <v>852</v>
      </c>
      <c r="N621" s="10"/>
      <c r="O621" s="10"/>
      <c r="P621" s="10"/>
      <c r="Q621" s="38" t="s">
        <v>852</v>
      </c>
      <c r="R621" s="38" t="s">
        <v>852</v>
      </c>
    </row>
    <row r="622" spans="1:20" ht="15.75" customHeight="1" x14ac:dyDescent="0.3">
      <c r="A622" s="234" t="s">
        <v>1021</v>
      </c>
      <c r="B622" s="10"/>
      <c r="C622" s="10"/>
      <c r="D622" s="10"/>
      <c r="E622" s="38" t="s">
        <v>852</v>
      </c>
      <c r="F622" s="10"/>
      <c r="G622" s="10"/>
      <c r="H622" s="10"/>
      <c r="I622" s="38" t="s">
        <v>852</v>
      </c>
      <c r="J622" s="10"/>
      <c r="K622" s="10"/>
      <c r="L622" s="10"/>
      <c r="M622" s="38" t="s">
        <v>852</v>
      </c>
      <c r="N622" s="10"/>
      <c r="O622" s="10"/>
      <c r="P622" s="10"/>
      <c r="Q622" s="38" t="s">
        <v>852</v>
      </c>
      <c r="R622" s="38" t="s">
        <v>852</v>
      </c>
    </row>
    <row r="623" spans="1:20" ht="15.75" customHeight="1" x14ac:dyDescent="0.3">
      <c r="A623" s="539" t="s">
        <v>3265</v>
      </c>
      <c r="B623" s="10"/>
      <c r="C623" s="10"/>
      <c r="D623" s="10"/>
      <c r="E623" s="38">
        <f>SUM(B623:D623)</f>
        <v>0</v>
      </c>
      <c r="F623" s="10"/>
      <c r="G623" s="10"/>
      <c r="H623" s="10"/>
      <c r="I623" s="38">
        <f>SUM(F623:H623)</f>
        <v>0</v>
      </c>
      <c r="J623" s="10"/>
      <c r="K623" s="10"/>
      <c r="L623" s="10"/>
      <c r="M623" s="38">
        <f>SUM(J623:L623)</f>
        <v>0</v>
      </c>
      <c r="N623" s="10"/>
      <c r="O623" s="10"/>
      <c r="P623" s="10"/>
      <c r="Q623" s="38">
        <f>SUM(N623:P623)</f>
        <v>0</v>
      </c>
      <c r="R623" s="38">
        <f>+E623+I623+M623+Q623</f>
        <v>0</v>
      </c>
      <c r="T623" t="s">
        <v>2766</v>
      </c>
    </row>
    <row r="624" spans="1:20" ht="15.75" customHeight="1" x14ac:dyDescent="0.3">
      <c r="A624" s="266" t="s">
        <v>1787</v>
      </c>
      <c r="B624" s="10"/>
      <c r="C624" s="10"/>
      <c r="D624" s="10"/>
      <c r="E624" s="38">
        <f>SUM(B624:D624)</f>
        <v>0</v>
      </c>
      <c r="F624" s="10"/>
      <c r="G624" s="10"/>
      <c r="H624" s="10"/>
      <c r="I624" s="38">
        <f>SUM(F624:H624)</f>
        <v>0</v>
      </c>
      <c r="J624" s="10"/>
      <c r="K624" s="10"/>
      <c r="L624" s="10"/>
      <c r="M624" s="38">
        <f>SUM(J624:L624)</f>
        <v>0</v>
      </c>
      <c r="N624" s="10"/>
      <c r="O624" s="10"/>
      <c r="P624" s="10"/>
      <c r="Q624" s="38">
        <f>SUM(N624:P624)</f>
        <v>0</v>
      </c>
      <c r="R624" s="38">
        <f>+E624+I624+M624+Q624</f>
        <v>0</v>
      </c>
      <c r="T624" t="s">
        <v>2766</v>
      </c>
    </row>
    <row r="625" spans="1:20" ht="15.75" customHeight="1" x14ac:dyDescent="0.3">
      <c r="A625" s="234" t="s">
        <v>557</v>
      </c>
      <c r="B625" s="10"/>
      <c r="C625" s="10"/>
      <c r="D625" s="10"/>
      <c r="E625" s="38" t="s">
        <v>852</v>
      </c>
      <c r="F625" s="10"/>
      <c r="G625" s="10"/>
      <c r="H625" s="10"/>
      <c r="I625" s="38" t="s">
        <v>852</v>
      </c>
      <c r="J625" s="10"/>
      <c r="K625" s="10"/>
      <c r="L625" s="10"/>
      <c r="M625" s="38" t="s">
        <v>852</v>
      </c>
      <c r="N625" s="10"/>
      <c r="O625" s="10"/>
      <c r="P625" s="10"/>
      <c r="Q625" s="38" t="s">
        <v>852</v>
      </c>
      <c r="R625" s="38" t="s">
        <v>852</v>
      </c>
    </row>
    <row r="626" spans="1:20" ht="15.75" customHeight="1" x14ac:dyDescent="0.3">
      <c r="A626" s="539" t="s">
        <v>2812</v>
      </c>
      <c r="B626" s="10"/>
      <c r="C626" s="10"/>
      <c r="D626" s="10"/>
      <c r="E626" s="38">
        <f>SUM(B626:D626)</f>
        <v>0</v>
      </c>
      <c r="F626" s="10"/>
      <c r="G626" s="10"/>
      <c r="H626" s="10"/>
      <c r="I626" s="38">
        <f>SUM(F626:H626)</f>
        <v>0</v>
      </c>
      <c r="J626" s="10"/>
      <c r="K626" s="10"/>
      <c r="L626" s="10"/>
      <c r="M626" s="38">
        <f>SUM(J626:L626)</f>
        <v>0</v>
      </c>
      <c r="N626" s="10"/>
      <c r="O626" s="10"/>
      <c r="P626" s="10"/>
      <c r="Q626" s="38">
        <f>SUM(N626:P626)</f>
        <v>0</v>
      </c>
      <c r="R626" s="38">
        <f>+E626+I626+M626+Q626</f>
        <v>0</v>
      </c>
    </row>
    <row r="627" spans="1:20" ht="15.75" customHeight="1" x14ac:dyDescent="0.3">
      <c r="A627" s="539" t="s">
        <v>2579</v>
      </c>
      <c r="B627" s="10"/>
      <c r="C627" s="10"/>
      <c r="D627" s="10"/>
      <c r="E627" s="38">
        <f>SUM(B627:D627)</f>
        <v>0</v>
      </c>
      <c r="F627" s="10"/>
      <c r="G627" s="10"/>
      <c r="H627" s="10"/>
      <c r="I627" s="38">
        <f>SUM(F627:H627)</f>
        <v>0</v>
      </c>
      <c r="J627" s="10"/>
      <c r="K627" s="10"/>
      <c r="L627" s="10"/>
      <c r="M627" s="38">
        <f>SUM(J627:L627)</f>
        <v>0</v>
      </c>
      <c r="N627" s="10"/>
      <c r="O627" s="10"/>
      <c r="P627" s="10"/>
      <c r="Q627" s="38">
        <f>SUM(N627:P627)</f>
        <v>0</v>
      </c>
      <c r="R627" s="38">
        <f>+E627+I627+M627+Q627</f>
        <v>0</v>
      </c>
      <c r="S627" t="s">
        <v>3332</v>
      </c>
    </row>
    <row r="628" spans="1:20" ht="15.75" customHeight="1" x14ac:dyDescent="0.3">
      <c r="A628" s="539" t="s">
        <v>2581</v>
      </c>
      <c r="B628" s="10"/>
      <c r="C628" s="10">
        <v>2623</v>
      </c>
      <c r="D628" s="10">
        <v>2052</v>
      </c>
      <c r="E628" s="38">
        <f>SUM(B628:D628)</f>
        <v>4675</v>
      </c>
      <c r="F628" s="10"/>
      <c r="G628" s="10"/>
      <c r="H628" s="10"/>
      <c r="I628" s="38">
        <f>SUM(F628:H628)</f>
        <v>0</v>
      </c>
      <c r="J628" s="10"/>
      <c r="K628" s="10"/>
      <c r="L628" s="10"/>
      <c r="M628" s="38">
        <f>SUM(J628:L628)</f>
        <v>0</v>
      </c>
      <c r="N628" s="10">
        <v>1991</v>
      </c>
      <c r="O628" s="10"/>
      <c r="P628" s="10"/>
      <c r="Q628" s="38">
        <f>SUM(N628:P628)</f>
        <v>1991</v>
      </c>
      <c r="R628" s="38">
        <f>+E628+I628+M628+Q628</f>
        <v>6666</v>
      </c>
      <c r="T628" t="s">
        <v>2766</v>
      </c>
    </row>
    <row r="629" spans="1:20" ht="15.75" customHeight="1" x14ac:dyDescent="0.3">
      <c r="A629" s="539" t="s">
        <v>2582</v>
      </c>
      <c r="B629" s="10"/>
      <c r="C629" s="10"/>
      <c r="D629" s="10"/>
      <c r="E629" s="38">
        <f>SUM(B629:D629)</f>
        <v>0</v>
      </c>
      <c r="F629" s="10"/>
      <c r="G629" s="10"/>
      <c r="H629" s="10"/>
      <c r="I629" s="38">
        <f>SUM(F629:H629)</f>
        <v>0</v>
      </c>
      <c r="J629" s="10"/>
      <c r="K629" s="10"/>
      <c r="L629" s="10"/>
      <c r="M629" s="38">
        <f>SUM(J629:L629)</f>
        <v>0</v>
      </c>
      <c r="N629" s="10"/>
      <c r="O629" s="10"/>
      <c r="P629" s="10"/>
      <c r="Q629" s="38">
        <f>SUM(N629:P629)</f>
        <v>0</v>
      </c>
      <c r="R629" s="38">
        <f>+E629+I629+M629+Q629</f>
        <v>0</v>
      </c>
      <c r="S629" t="s">
        <v>3332</v>
      </c>
      <c r="T629" t="s">
        <v>2766</v>
      </c>
    </row>
    <row r="630" spans="1:20" ht="15.75" customHeight="1" x14ac:dyDescent="0.3">
      <c r="A630" s="234" t="s">
        <v>1022</v>
      </c>
      <c r="B630" s="10"/>
      <c r="C630" s="10"/>
      <c r="D630" s="10"/>
      <c r="E630" s="38" t="s">
        <v>852</v>
      </c>
      <c r="F630" s="10"/>
      <c r="G630" s="10"/>
      <c r="H630" s="10"/>
      <c r="I630" s="38" t="s">
        <v>852</v>
      </c>
      <c r="J630" s="10"/>
      <c r="K630" s="10"/>
      <c r="L630" s="10"/>
      <c r="M630" s="38" t="s">
        <v>852</v>
      </c>
      <c r="N630" s="10"/>
      <c r="O630" s="10"/>
      <c r="P630" s="10"/>
      <c r="Q630" s="38" t="s">
        <v>852</v>
      </c>
      <c r="R630" s="38" t="s">
        <v>852</v>
      </c>
    </row>
    <row r="631" spans="1:20" ht="15.75" customHeight="1" x14ac:dyDescent="0.3">
      <c r="A631" s="539" t="s">
        <v>3273</v>
      </c>
      <c r="B631" s="172"/>
      <c r="C631" s="172"/>
      <c r="D631" s="172"/>
      <c r="E631" s="38">
        <f>SUM(B631:D631)</f>
        <v>0</v>
      </c>
      <c r="F631" s="172"/>
      <c r="G631" s="172"/>
      <c r="H631" s="172"/>
      <c r="I631" s="38">
        <f>SUM(F631:H631)</f>
        <v>0</v>
      </c>
      <c r="J631" s="172"/>
      <c r="K631" s="172"/>
      <c r="L631" s="172"/>
      <c r="M631" s="38">
        <f>SUM(J631:L631)</f>
        <v>0</v>
      </c>
      <c r="N631" s="172">
        <v>227</v>
      </c>
      <c r="O631" s="172">
        <v>685</v>
      </c>
      <c r="P631" s="172">
        <v>88</v>
      </c>
      <c r="Q631" s="38">
        <f>SUM(N631:P631)</f>
        <v>1000</v>
      </c>
      <c r="R631" s="38">
        <f>+E631+I631+M631+Q631</f>
        <v>1000</v>
      </c>
    </row>
    <row r="632" spans="1:20" ht="15.75" customHeight="1" x14ac:dyDescent="0.3">
      <c r="A632" s="539" t="s">
        <v>3230</v>
      </c>
      <c r="B632" s="172"/>
      <c r="C632" s="172"/>
      <c r="D632" s="172"/>
      <c r="E632" s="38">
        <f>SUM(B632:D632)</f>
        <v>0</v>
      </c>
      <c r="F632" s="172"/>
      <c r="G632" s="172">
        <v>500</v>
      </c>
      <c r="H632" s="172">
        <v>500</v>
      </c>
      <c r="I632" s="38">
        <f>SUM(F632:H632)</f>
        <v>1000</v>
      </c>
      <c r="J632" s="172"/>
      <c r="K632" s="172">
        <v>1000</v>
      </c>
      <c r="L632" s="172"/>
      <c r="M632" s="38">
        <f>SUM(J632:L632)</f>
        <v>1000</v>
      </c>
      <c r="N632" s="172"/>
      <c r="O632" s="172"/>
      <c r="P632" s="172"/>
      <c r="Q632" s="38">
        <f>SUM(N632:P632)</f>
        <v>0</v>
      </c>
      <c r="R632" s="38">
        <f>+E632+I632+M632+Q632</f>
        <v>2000</v>
      </c>
    </row>
    <row r="633" spans="1:20" ht="15.75" customHeight="1" x14ac:dyDescent="0.3">
      <c r="A633" s="234" t="s">
        <v>559</v>
      </c>
      <c r="B633" s="10"/>
      <c r="C633" s="10"/>
      <c r="D633" s="10"/>
      <c r="E633" s="38" t="s">
        <v>852</v>
      </c>
      <c r="F633" s="10"/>
      <c r="G633" s="10"/>
      <c r="H633" s="10"/>
      <c r="I633" s="38" t="s">
        <v>852</v>
      </c>
      <c r="J633" s="10"/>
      <c r="K633" s="10"/>
      <c r="L633" s="10"/>
      <c r="M633" s="38" t="s">
        <v>852</v>
      </c>
      <c r="N633" s="10"/>
      <c r="O633" s="10"/>
      <c r="P633" s="10"/>
      <c r="Q633" s="38" t="s">
        <v>852</v>
      </c>
      <c r="R633" s="38" t="s">
        <v>852</v>
      </c>
    </row>
    <row r="634" spans="1:20" ht="15.75" customHeight="1" x14ac:dyDescent="0.3">
      <c r="A634" s="539" t="s">
        <v>2597</v>
      </c>
      <c r="B634" s="10"/>
      <c r="C634" s="10"/>
      <c r="D634" s="10"/>
      <c r="E634" s="38">
        <f t="shared" ref="E634:E636" si="261">SUM(B634:D634)</f>
        <v>0</v>
      </c>
      <c r="F634" s="10"/>
      <c r="G634" s="10"/>
      <c r="H634" s="10"/>
      <c r="I634" s="38">
        <f t="shared" ref="I634:I636" si="262">SUM(F634:H634)</f>
        <v>0</v>
      </c>
      <c r="J634" s="10"/>
      <c r="K634" s="10"/>
      <c r="L634" s="10"/>
      <c r="M634" s="38">
        <f t="shared" ref="M634:M636" si="263">SUM(J634:L634)</f>
        <v>0</v>
      </c>
      <c r="N634" s="10"/>
      <c r="O634" s="10"/>
      <c r="P634" s="10"/>
      <c r="Q634" s="38">
        <f t="shared" ref="Q634:Q640" si="264">SUM(N634:P634)</f>
        <v>0</v>
      </c>
      <c r="R634" s="38">
        <f t="shared" ref="R634:R640" si="265">+E634+I634+M634+Q634</f>
        <v>0</v>
      </c>
    </row>
    <row r="635" spans="1:20" ht="15.75" customHeight="1" x14ac:dyDescent="0.3">
      <c r="A635" s="539" t="s">
        <v>3227</v>
      </c>
      <c r="B635" s="10"/>
      <c r="C635" s="10"/>
      <c r="D635" s="10"/>
      <c r="E635" s="38">
        <f t="shared" ref="E635" si="266">SUM(B635:D635)</f>
        <v>0</v>
      </c>
      <c r="F635" s="10"/>
      <c r="G635" s="10"/>
      <c r="H635" s="10"/>
      <c r="I635" s="38">
        <f t="shared" ref="I635" si="267">SUM(F635:H635)</f>
        <v>0</v>
      </c>
      <c r="J635" s="10"/>
      <c r="K635" s="10">
        <v>733</v>
      </c>
      <c r="L635" s="10">
        <v>758</v>
      </c>
      <c r="M635" s="38">
        <f t="shared" ref="M635" si="268">SUM(J635:L635)</f>
        <v>1491</v>
      </c>
      <c r="N635" s="10"/>
      <c r="O635" s="10">
        <v>5</v>
      </c>
      <c r="P635" s="10">
        <v>4</v>
      </c>
      <c r="Q635" s="38">
        <f t="shared" ref="Q635" si="269">SUM(N635:P635)</f>
        <v>9</v>
      </c>
      <c r="R635" s="38">
        <f t="shared" ref="R635" si="270">+E635+I635+M635+Q635</f>
        <v>1500</v>
      </c>
      <c r="S635" t="s">
        <v>3332</v>
      </c>
    </row>
    <row r="636" spans="1:20" ht="15.75" customHeight="1" thickBot="1" x14ac:dyDescent="0.35">
      <c r="A636" s="539" t="s">
        <v>2583</v>
      </c>
      <c r="B636" s="10"/>
      <c r="C636" s="10"/>
      <c r="D636" s="10"/>
      <c r="E636" s="38">
        <f t="shared" si="261"/>
        <v>0</v>
      </c>
      <c r="F636" s="10"/>
      <c r="G636" s="10"/>
      <c r="H636" s="10"/>
      <c r="I636" s="38">
        <f t="shared" si="262"/>
        <v>0</v>
      </c>
      <c r="J636" s="10">
        <v>1000</v>
      </c>
      <c r="K636" s="10"/>
      <c r="L636" s="10"/>
      <c r="M636" s="38">
        <f t="shared" si="263"/>
        <v>1000</v>
      </c>
      <c r="N636" s="10"/>
      <c r="O636" s="10"/>
      <c r="P636" s="10"/>
      <c r="Q636" s="38">
        <f t="shared" si="264"/>
        <v>0</v>
      </c>
      <c r="R636" s="38">
        <f t="shared" si="265"/>
        <v>1000</v>
      </c>
    </row>
    <row r="637" spans="1:20" ht="16.5" customHeight="1" thickBot="1" x14ac:dyDescent="0.35">
      <c r="A637" s="43" t="s">
        <v>1019</v>
      </c>
      <c r="B637" s="335">
        <f>SUM(B630:B636)</f>
        <v>0</v>
      </c>
      <c r="C637" s="335">
        <f>SUM(C630:C636)</f>
        <v>0</v>
      </c>
      <c r="D637" s="335">
        <f>SUM(D630:D636)</f>
        <v>0</v>
      </c>
      <c r="E637" s="39">
        <f t="shared" ref="E637:E640" si="271">SUM(B637:D637)</f>
        <v>0</v>
      </c>
      <c r="F637" s="335">
        <f>SUM(F630:F636)</f>
        <v>0</v>
      </c>
      <c r="G637" s="335">
        <f>SUM(G630:G636)</f>
        <v>500</v>
      </c>
      <c r="H637" s="335">
        <f>SUM(H630:H636)</f>
        <v>500</v>
      </c>
      <c r="I637" s="39">
        <f t="shared" ref="I637:I640" si="272">SUM(F637:H637)</f>
        <v>1000</v>
      </c>
      <c r="J637" s="335">
        <f>SUM(J630:J636)</f>
        <v>1000</v>
      </c>
      <c r="K637" s="335">
        <f>SUM(K630:K636)</f>
        <v>1733</v>
      </c>
      <c r="L637" s="335">
        <f>SUM(L630:L636)</f>
        <v>758</v>
      </c>
      <c r="M637" s="39">
        <f t="shared" ref="M637:M640" si="273">SUM(J637:L637)</f>
        <v>3491</v>
      </c>
      <c r="N637" s="335">
        <f>SUM(N630:N636)</f>
        <v>227</v>
      </c>
      <c r="O637" s="335">
        <f>SUM(O630:O636)</f>
        <v>690</v>
      </c>
      <c r="P637" s="335">
        <f>SUM(P630:P636)</f>
        <v>92</v>
      </c>
      <c r="Q637" s="39">
        <f t="shared" si="264"/>
        <v>1009</v>
      </c>
      <c r="R637" s="37">
        <f t="shared" si="265"/>
        <v>5500</v>
      </c>
    </row>
    <row r="638" spans="1:20" ht="16.5" customHeight="1" thickBot="1" x14ac:dyDescent="0.35">
      <c r="A638" s="277" t="s">
        <v>1221</v>
      </c>
      <c r="B638" s="45">
        <f>SUM(B621:B636)</f>
        <v>0</v>
      </c>
      <c r="C638" s="46">
        <f>SUM(C621:C636)</f>
        <v>2623</v>
      </c>
      <c r="D638" s="58">
        <f>SUM(D621:D636)</f>
        <v>2052</v>
      </c>
      <c r="E638" s="39">
        <f t="shared" si="271"/>
        <v>4675</v>
      </c>
      <c r="F638" s="45">
        <f>SUM(F621:F636)</f>
        <v>0</v>
      </c>
      <c r="G638" s="46">
        <f>SUM(G621:G636)</f>
        <v>500</v>
      </c>
      <c r="H638" s="58">
        <f>SUM(H621:H636)</f>
        <v>500</v>
      </c>
      <c r="I638" s="39">
        <f t="shared" si="272"/>
        <v>1000</v>
      </c>
      <c r="J638" s="45">
        <f>SUM(J621:J636)</f>
        <v>1000</v>
      </c>
      <c r="K638" s="46">
        <f>SUM(K621:K636)</f>
        <v>1733</v>
      </c>
      <c r="L638" s="58">
        <f>SUM(L621:L636)</f>
        <v>758</v>
      </c>
      <c r="M638" s="39">
        <f t="shared" si="273"/>
        <v>3491</v>
      </c>
      <c r="N638" s="45">
        <f>SUM(N621:N636)</f>
        <v>2218</v>
      </c>
      <c r="O638" s="46">
        <f>SUM(O621:O636)</f>
        <v>690</v>
      </c>
      <c r="P638" s="58">
        <f>SUM(P621:P636)</f>
        <v>92</v>
      </c>
      <c r="Q638" s="39">
        <f t="shared" si="264"/>
        <v>3000</v>
      </c>
      <c r="R638" s="37">
        <f t="shared" si="265"/>
        <v>12166</v>
      </c>
    </row>
    <row r="639" spans="1:20" ht="16.5" customHeight="1" thickBot="1" x14ac:dyDescent="0.35">
      <c r="A639" s="43" t="s">
        <v>1222</v>
      </c>
      <c r="B639" s="337">
        <f>+B605+B611+B620+B638</f>
        <v>1611</v>
      </c>
      <c r="C639" s="338">
        <f>+C605+C611+C620+C638</f>
        <v>4541</v>
      </c>
      <c r="D639" s="338">
        <f>+D605+D611+D620+D638</f>
        <v>6820</v>
      </c>
      <c r="E639" s="37">
        <f t="shared" si="271"/>
        <v>12972</v>
      </c>
      <c r="F639" s="42">
        <f>+F605+F611+F620+F638</f>
        <v>6202</v>
      </c>
      <c r="G639" s="42">
        <f>+G605+G611+G620+G638</f>
        <v>3796</v>
      </c>
      <c r="H639" s="42">
        <f>+H605+H611+H620+H638</f>
        <v>3218</v>
      </c>
      <c r="I639" s="37">
        <f t="shared" si="272"/>
        <v>13216</v>
      </c>
      <c r="J639" s="42">
        <f>+J605+J611+J620+J638</f>
        <v>4249</v>
      </c>
      <c r="K639" s="42">
        <f>+K605+K611+K620+K638</f>
        <v>5428</v>
      </c>
      <c r="L639" s="42">
        <f>+L605+L611+L620+L638</f>
        <v>5031</v>
      </c>
      <c r="M639" s="37">
        <f t="shared" si="273"/>
        <v>14708</v>
      </c>
      <c r="N639" s="42">
        <f>+N605+N611+N620+N638</f>
        <v>3341</v>
      </c>
      <c r="O639" s="42">
        <f>+O605+O611+O620+O638</f>
        <v>690</v>
      </c>
      <c r="P639" s="42">
        <f>+P605+P611+P620+P638</f>
        <v>92</v>
      </c>
      <c r="Q639" s="37">
        <f t="shared" si="264"/>
        <v>4123</v>
      </c>
      <c r="R639" s="40">
        <f t="shared" si="265"/>
        <v>45019</v>
      </c>
    </row>
    <row r="640" spans="1:20" ht="16.5" customHeight="1" thickBot="1" x14ac:dyDescent="0.35">
      <c r="A640" s="244" t="s">
        <v>853</v>
      </c>
      <c r="B640" s="238">
        <v>17</v>
      </c>
      <c r="C640" s="238">
        <v>47</v>
      </c>
      <c r="D640" s="238">
        <v>84</v>
      </c>
      <c r="E640" s="38">
        <f t="shared" si="271"/>
        <v>148</v>
      </c>
      <c r="F640" s="238">
        <v>116</v>
      </c>
      <c r="G640" s="238">
        <v>132</v>
      </c>
      <c r="H640" s="238">
        <v>138</v>
      </c>
      <c r="I640" s="38">
        <f t="shared" si="272"/>
        <v>386</v>
      </c>
      <c r="J640" s="238">
        <v>126</v>
      </c>
      <c r="K640" s="238">
        <v>95</v>
      </c>
      <c r="L640" s="238">
        <v>99</v>
      </c>
      <c r="M640" s="38">
        <f t="shared" si="273"/>
        <v>320</v>
      </c>
      <c r="N640" s="238">
        <v>91</v>
      </c>
      <c r="O640" s="238">
        <v>67</v>
      </c>
      <c r="P640" s="238">
        <v>38</v>
      </c>
      <c r="Q640" s="38">
        <f t="shared" si="264"/>
        <v>196</v>
      </c>
      <c r="R640" s="38">
        <f t="shared" si="265"/>
        <v>1050</v>
      </c>
    </row>
    <row r="641" spans="1:18" ht="16.5" customHeight="1" thickBot="1" x14ac:dyDescent="0.35">
      <c r="A641" s="22"/>
      <c r="B641" s="242"/>
      <c r="C641" s="242"/>
      <c r="D641" s="242"/>
      <c r="E641" s="21"/>
      <c r="F641" s="242"/>
      <c r="G641" s="242"/>
      <c r="H641" s="242"/>
      <c r="I641" s="21"/>
      <c r="J641" s="242"/>
      <c r="K641" s="242"/>
      <c r="L641" s="242"/>
      <c r="M641" s="21"/>
      <c r="N641" s="242"/>
      <c r="O641" s="242"/>
      <c r="P641" s="242"/>
      <c r="Q641" s="21"/>
      <c r="R641" s="21"/>
    </row>
    <row r="642" spans="1:18" ht="15.75" customHeight="1" x14ac:dyDescent="0.3">
      <c r="A642" s="259" t="s">
        <v>120</v>
      </c>
      <c r="B642" s="260">
        <f>SUM(B639:B640)</f>
        <v>1628</v>
      </c>
      <c r="C642" s="260">
        <f>SUM(C639:C640)</f>
        <v>4588</v>
      </c>
      <c r="D642" s="260">
        <f>SUM(D639:D640)</f>
        <v>6904</v>
      </c>
      <c r="E642" s="39">
        <f>SUM(B642:D642)</f>
        <v>13120</v>
      </c>
      <c r="F642" s="260">
        <f>SUM(F639:F640)</f>
        <v>6318</v>
      </c>
      <c r="G642" s="260">
        <f>SUM(G639:G640)</f>
        <v>3928</v>
      </c>
      <c r="H642" s="260">
        <f>SUM(H639:H640)</f>
        <v>3356</v>
      </c>
      <c r="I642" s="39">
        <f>SUM(F642:H642)</f>
        <v>13602</v>
      </c>
      <c r="J642" s="260">
        <f>SUM(J639:J640)</f>
        <v>4375</v>
      </c>
      <c r="K642" s="260">
        <f>SUM(K639:K640)</f>
        <v>5523</v>
      </c>
      <c r="L642" s="260">
        <f>SUM(L639:L640)</f>
        <v>5130</v>
      </c>
      <c r="M642" s="39">
        <f>SUM(J642:L642)</f>
        <v>15028</v>
      </c>
      <c r="N642" s="260">
        <f>SUM(N639:N640)</f>
        <v>3432</v>
      </c>
      <c r="O642" s="260">
        <f>SUM(O639:O640)</f>
        <v>757</v>
      </c>
      <c r="P642" s="260">
        <f>SUM(P639:P640)</f>
        <v>130</v>
      </c>
      <c r="Q642" s="39">
        <f>SUM(N642:P642)</f>
        <v>4319</v>
      </c>
      <c r="R642" s="39">
        <f>+E642+I642+M642+Q642</f>
        <v>46069</v>
      </c>
    </row>
    <row r="643" spans="1:18" ht="15.75" customHeight="1" x14ac:dyDescent="0.3">
      <c r="A643" s="262" t="s">
        <v>1897</v>
      </c>
      <c r="B643" s="172">
        <f>(B642/B10)/1.983</f>
        <v>26.483171473655098</v>
      </c>
      <c r="C643" s="172">
        <f>(C642/C10)/1.983</f>
        <v>82.630934370722571</v>
      </c>
      <c r="D643" s="172">
        <f>(D642/D10)/1.983</f>
        <v>112.30946919785922</v>
      </c>
      <c r="E643" s="38" t="s">
        <v>852</v>
      </c>
      <c r="F643" s="172">
        <f>(F642/F10)/1.983</f>
        <v>106.20272314674735</v>
      </c>
      <c r="G643" s="172">
        <f>(G642/G10)/1.983</f>
        <v>63.897971467148174</v>
      </c>
      <c r="H643" s="172">
        <f>(H642/H10)/1.983</f>
        <v>56.412842494536889</v>
      </c>
      <c r="I643" s="38" t="s">
        <v>852</v>
      </c>
      <c r="J643" s="172">
        <f>(J642/J10)/1.983</f>
        <v>71.169456509361822</v>
      </c>
      <c r="K643" s="172">
        <f>(K642/K10)/1.983</f>
        <v>89.844321897418368</v>
      </c>
      <c r="L643" s="172">
        <f>(L642/L10)/1.983</f>
        <v>86.232980332829044</v>
      </c>
      <c r="M643" s="38" t="s">
        <v>852</v>
      </c>
      <c r="N643" s="172">
        <f>(N642/N10)/1.983</f>
        <v>55.829388512029666</v>
      </c>
      <c r="O643" s="172">
        <f>(O642/O10)/1.983</f>
        <v>12.724827702134812</v>
      </c>
      <c r="P643" s="172">
        <f>(P642/P10)/1.983</f>
        <v>2.1147495648496086</v>
      </c>
      <c r="Q643" s="38" t="s">
        <v>852</v>
      </c>
      <c r="R643" s="38" t="s">
        <v>852</v>
      </c>
    </row>
    <row r="644" spans="1:18" ht="15.75" customHeight="1" x14ac:dyDescent="0.3">
      <c r="A644" s="262" t="s">
        <v>1535</v>
      </c>
      <c r="B644" s="172">
        <f>B642+B654</f>
        <v>13625</v>
      </c>
      <c r="C644" s="172">
        <f>C642+C654</f>
        <v>21321</v>
      </c>
      <c r="D644" s="172">
        <f>D642+D654</f>
        <v>26714</v>
      </c>
      <c r="E644" s="38">
        <f>SUM(B644:D644)</f>
        <v>61660</v>
      </c>
      <c r="F644" s="172">
        <f>F642+F654</f>
        <v>29062</v>
      </c>
      <c r="G644" s="172">
        <f>G642+G654</f>
        <v>26704</v>
      </c>
      <c r="H644" s="172">
        <f>H642+H654</f>
        <v>23016</v>
      </c>
      <c r="I644" s="38">
        <f>SUM(F644:H644)</f>
        <v>78782</v>
      </c>
      <c r="J644" s="172">
        <f>J642+J654</f>
        <v>22776</v>
      </c>
      <c r="K644" s="172">
        <f>K642+K654</f>
        <v>28147</v>
      </c>
      <c r="L644" s="172">
        <f>L642+L654</f>
        <v>23993</v>
      </c>
      <c r="M644" s="38">
        <f>SUM(J644:L644)</f>
        <v>74916</v>
      </c>
      <c r="N644" s="172">
        <f>N642+N654</f>
        <v>12436</v>
      </c>
      <c r="O644" s="172">
        <f>O642+O654</f>
        <v>5191</v>
      </c>
      <c r="P644" s="172">
        <f>P642+P654</f>
        <v>5274</v>
      </c>
      <c r="Q644" s="38">
        <f>SUM(N644:P644)</f>
        <v>22901</v>
      </c>
      <c r="R644" s="38">
        <f>+E644+I644+M644+Q644</f>
        <v>238259</v>
      </c>
    </row>
    <row r="645" spans="1:18" ht="16.5" customHeight="1" thickBot="1" x14ac:dyDescent="0.35">
      <c r="A645" s="263" t="s">
        <v>1536</v>
      </c>
      <c r="B645" s="264">
        <f>(B644/B10)/1.983</f>
        <v>221.64202170058397</v>
      </c>
      <c r="C645" s="264">
        <f>(C644/C10)/1.983</f>
        <v>383.99610979036089</v>
      </c>
      <c r="D645" s="264">
        <f>(D644/D10)/1.983</f>
        <v>434.56476827224958</v>
      </c>
      <c r="E645" s="40" t="s">
        <v>852</v>
      </c>
      <c r="F645" s="264">
        <f>(F644/F10)/1.983</f>
        <v>488.51907883677927</v>
      </c>
      <c r="G645" s="264">
        <f>(G644/G10)/1.983</f>
        <v>434.40209522879957</v>
      </c>
      <c r="H645" s="264">
        <f>(H644/H10)/1.983</f>
        <v>386.88855269793243</v>
      </c>
      <c r="I645" s="40" t="s">
        <v>852</v>
      </c>
      <c r="J645" s="264">
        <f>(J644/J10)/1.983</f>
        <v>370.50412376165144</v>
      </c>
      <c r="K645" s="264">
        <f>(K644/K10)/1.983</f>
        <v>457.87581539863027</v>
      </c>
      <c r="L645" s="264">
        <f>(L644/L10)/1.983</f>
        <v>403.3114809211632</v>
      </c>
      <c r="M645" s="40" t="s">
        <v>852</v>
      </c>
      <c r="N645" s="264">
        <f>(N644/N10)/1.983</f>
        <v>202.30019683438258</v>
      </c>
      <c r="O645" s="264">
        <f>(O644/O10)/1.983</f>
        <v>87.258362750042025</v>
      </c>
      <c r="P645" s="264">
        <f>(P644/P10)/1.983</f>
        <v>85.793763115514125</v>
      </c>
      <c r="Q645" s="40" t="s">
        <v>852</v>
      </c>
      <c r="R645" s="40" t="s">
        <v>852</v>
      </c>
    </row>
    <row r="646" spans="1:18" ht="15.75" customHeight="1" x14ac:dyDescent="0.3">
      <c r="A646" s="17"/>
      <c r="B646" s="172"/>
      <c r="C646" s="172"/>
      <c r="D646" s="172"/>
      <c r="E646" s="172"/>
      <c r="F646" s="172"/>
      <c r="G646" s="172"/>
      <c r="H646" s="172"/>
      <c r="I646" s="172"/>
      <c r="J646" s="172"/>
      <c r="K646" s="172"/>
      <c r="L646" s="172"/>
      <c r="M646" s="172"/>
      <c r="N646" s="172"/>
      <c r="O646" s="172"/>
      <c r="P646" s="172"/>
      <c r="Q646" s="172"/>
      <c r="R646" s="17"/>
    </row>
    <row r="647" spans="1:18" ht="16.5" customHeight="1" thickBot="1" x14ac:dyDescent="0.35">
      <c r="A647" s="24"/>
      <c r="B647" s="238"/>
      <c r="C647" s="238"/>
      <c r="D647" s="238"/>
      <c r="E647" s="238"/>
      <c r="F647" s="238"/>
      <c r="G647" s="238"/>
      <c r="H647" s="238"/>
      <c r="I647" s="238"/>
      <c r="J647" s="238"/>
      <c r="K647" s="238"/>
      <c r="L647" s="238"/>
      <c r="M647" s="238"/>
      <c r="N647" s="238"/>
      <c r="O647" s="238"/>
      <c r="P647" s="238"/>
      <c r="Q647" s="238"/>
      <c r="R647" s="24"/>
    </row>
    <row r="648" spans="1:18" ht="16.5" customHeight="1" thickBot="1" x14ac:dyDescent="0.35">
      <c r="A648" s="278" t="s">
        <v>1537</v>
      </c>
      <c r="B648" s="4" t="s">
        <v>2090</v>
      </c>
      <c r="C648" s="5" t="s">
        <v>2091</v>
      </c>
      <c r="D648" s="5" t="s">
        <v>2234</v>
      </c>
      <c r="E648" s="33" t="s">
        <v>1594</v>
      </c>
      <c r="F648" s="5" t="s">
        <v>2235</v>
      </c>
      <c r="G648" s="5" t="s">
        <v>2236</v>
      </c>
      <c r="H648" s="5" t="s">
        <v>2237</v>
      </c>
      <c r="I648" s="35" t="s">
        <v>1595</v>
      </c>
      <c r="J648" s="5" t="s">
        <v>1504</v>
      </c>
      <c r="K648" s="5" t="s">
        <v>1505</v>
      </c>
      <c r="L648" s="5" t="s">
        <v>1506</v>
      </c>
      <c r="M648" s="35" t="s">
        <v>1596</v>
      </c>
      <c r="N648" s="5" t="s">
        <v>1507</v>
      </c>
      <c r="O648" s="5" t="s">
        <v>1508</v>
      </c>
      <c r="P648" s="5" t="s">
        <v>1509</v>
      </c>
      <c r="Q648" s="33" t="s">
        <v>1597</v>
      </c>
      <c r="R648" s="34" t="s">
        <v>1510</v>
      </c>
    </row>
    <row r="649" spans="1:18" ht="16.5" customHeight="1" thickBot="1" x14ac:dyDescent="0.35">
      <c r="A649" s="22"/>
      <c r="B649" s="242"/>
      <c r="C649" s="242"/>
      <c r="D649" s="242"/>
      <c r="E649" s="243"/>
      <c r="F649" s="242"/>
      <c r="G649" s="242"/>
      <c r="H649" s="242"/>
      <c r="I649" s="243"/>
      <c r="J649" s="242"/>
      <c r="K649" s="242"/>
      <c r="L649" s="242"/>
      <c r="M649" s="243"/>
      <c r="N649" s="242"/>
      <c r="O649" s="242"/>
      <c r="P649" s="242"/>
      <c r="Q649" s="279"/>
      <c r="R649" s="32"/>
    </row>
    <row r="650" spans="1:18" ht="16.5" customHeight="1" thickBot="1" x14ac:dyDescent="0.35">
      <c r="A650" s="244" t="s">
        <v>853</v>
      </c>
      <c r="B650" s="238">
        <v>20</v>
      </c>
      <c r="C650" s="238">
        <v>22</v>
      </c>
      <c r="D650" s="238">
        <v>28</v>
      </c>
      <c r="E650" s="38">
        <f>SUM(B650:D650)</f>
        <v>70</v>
      </c>
      <c r="F650" s="238">
        <v>37</v>
      </c>
      <c r="G650" s="238">
        <v>42</v>
      </c>
      <c r="H650" s="238">
        <v>44</v>
      </c>
      <c r="I650" s="38">
        <f>SUM(F650:H650)</f>
        <v>123</v>
      </c>
      <c r="J650" s="238">
        <v>39</v>
      </c>
      <c r="K650" s="238">
        <v>36</v>
      </c>
      <c r="L650" s="238">
        <v>34</v>
      </c>
      <c r="M650" s="38">
        <f>SUM(J650:L650)</f>
        <v>109</v>
      </c>
      <c r="N650" s="238">
        <v>29</v>
      </c>
      <c r="O650" s="238">
        <v>23</v>
      </c>
      <c r="P650" s="238">
        <v>19</v>
      </c>
      <c r="Q650" s="38">
        <f>SUM(N650:P650)</f>
        <v>71</v>
      </c>
      <c r="R650" s="38">
        <f>+E650+I650+M650+Q650</f>
        <v>373</v>
      </c>
    </row>
    <row r="651" spans="1:18" ht="16.5" customHeight="1" thickBot="1" x14ac:dyDescent="0.35">
      <c r="A651" s="22"/>
      <c r="B651" s="242"/>
      <c r="C651" s="242"/>
      <c r="D651" s="242"/>
      <c r="E651" s="233"/>
      <c r="F651" s="242"/>
      <c r="G651" s="242"/>
      <c r="H651" s="242"/>
      <c r="I651" s="233"/>
      <c r="J651" s="242"/>
      <c r="K651" s="242"/>
      <c r="L651" s="242"/>
      <c r="M651" s="233"/>
      <c r="N651" s="242"/>
      <c r="O651" s="242"/>
      <c r="P651" s="242"/>
      <c r="Q651" s="233"/>
      <c r="R651" s="21"/>
    </row>
    <row r="652" spans="1:18" ht="15.75" customHeight="1" x14ac:dyDescent="0.3">
      <c r="A652" s="259" t="s">
        <v>120</v>
      </c>
      <c r="B652" s="260">
        <f>B650</f>
        <v>20</v>
      </c>
      <c r="C652" s="260">
        <f>C650</f>
        <v>22</v>
      </c>
      <c r="D652" s="260">
        <f>D650</f>
        <v>28</v>
      </c>
      <c r="E652" s="39">
        <f>SUM(B652:D652)</f>
        <v>70</v>
      </c>
      <c r="F652" s="260">
        <f>F650</f>
        <v>37</v>
      </c>
      <c r="G652" s="260">
        <f>G650</f>
        <v>42</v>
      </c>
      <c r="H652" s="260">
        <f>H650</f>
        <v>44</v>
      </c>
      <c r="I652" s="39">
        <f>SUM(F652:H652)</f>
        <v>123</v>
      </c>
      <c r="J652" s="260">
        <f>J650</f>
        <v>39</v>
      </c>
      <c r="K652" s="260">
        <f>K650</f>
        <v>36</v>
      </c>
      <c r="L652" s="260">
        <f>L650</f>
        <v>34</v>
      </c>
      <c r="M652" s="39">
        <f>SUM(J652:L652)</f>
        <v>109</v>
      </c>
      <c r="N652" s="260">
        <f>N650</f>
        <v>29</v>
      </c>
      <c r="O652" s="260">
        <f>O650</f>
        <v>23</v>
      </c>
      <c r="P652" s="260">
        <f>P650</f>
        <v>19</v>
      </c>
      <c r="Q652" s="39">
        <f>SUM(N652:P652)</f>
        <v>71</v>
      </c>
      <c r="R652" s="39">
        <f>+E652+I652+M652+Q652</f>
        <v>373</v>
      </c>
    </row>
    <row r="653" spans="1:18" ht="15.75" customHeight="1" x14ac:dyDescent="0.3">
      <c r="A653" s="262" t="s">
        <v>1897</v>
      </c>
      <c r="B653" s="172">
        <f>(B652/B10)/1.983</f>
        <v>0.32534608689993977</v>
      </c>
      <c r="C653" s="172">
        <f>(C652/C10)/1.983</f>
        <v>0.39622505583171236</v>
      </c>
      <c r="D653" s="172">
        <f>(D652/D10)/1.983</f>
        <v>0.45548452165991571</v>
      </c>
      <c r="E653" s="38" t="s">
        <v>852</v>
      </c>
      <c r="F653" s="172">
        <f>(F652/F10)/1.983</f>
        <v>0.62195326945705165</v>
      </c>
      <c r="G653" s="172">
        <f>(G652/G10)/1.983</f>
        <v>0.68322678248987356</v>
      </c>
      <c r="H653" s="172">
        <f>(H652/H10)/1.983</f>
        <v>0.73962010421919644</v>
      </c>
      <c r="I653" s="38" t="s">
        <v>852</v>
      </c>
      <c r="J653" s="172">
        <f>(J652/J10)/1.983</f>
        <v>0.63442486945488263</v>
      </c>
      <c r="K653" s="172">
        <f>(K652/K10)/1.983</f>
        <v>0.5856229564198917</v>
      </c>
      <c r="L653" s="172">
        <f>(L652/L10)/1.983</f>
        <v>0.57152462598756093</v>
      </c>
      <c r="M653" s="38" t="s">
        <v>852</v>
      </c>
      <c r="N653" s="172">
        <f>(N652/N10)/1.983</f>
        <v>0.47175182600491267</v>
      </c>
      <c r="O653" s="172">
        <f>(O652/O10)/1.983</f>
        <v>0.38661959993276179</v>
      </c>
      <c r="P653" s="172">
        <f>(P652/P10)/1.983</f>
        <v>0.30907878255494281</v>
      </c>
      <c r="Q653" s="38" t="s">
        <v>852</v>
      </c>
      <c r="R653" s="38" t="s">
        <v>852</v>
      </c>
    </row>
    <row r="654" spans="1:18" ht="15.75" customHeight="1" x14ac:dyDescent="0.3">
      <c r="A654" s="262" t="s">
        <v>2019</v>
      </c>
      <c r="B654" s="172">
        <f>B652+B690</f>
        <v>11997</v>
      </c>
      <c r="C654" s="172">
        <f>C652+C690</f>
        <v>16733</v>
      </c>
      <c r="D654" s="172">
        <f>D652+D690</f>
        <v>19810</v>
      </c>
      <c r="E654" s="38">
        <f>SUM(B654:D654)</f>
        <v>48540</v>
      </c>
      <c r="F654" s="172">
        <f>F652+F690</f>
        <v>22744</v>
      </c>
      <c r="G654" s="172">
        <f>G652+G690</f>
        <v>22776</v>
      </c>
      <c r="H654" s="172">
        <f>H652+H690</f>
        <v>19660</v>
      </c>
      <c r="I654" s="38">
        <f>SUM(F654:H654)</f>
        <v>65180</v>
      </c>
      <c r="J654" s="172">
        <f>J652+J690</f>
        <v>18401</v>
      </c>
      <c r="K654" s="172">
        <f>K652+K690</f>
        <v>22624</v>
      </c>
      <c r="L654" s="172">
        <f>L652+L690</f>
        <v>18863</v>
      </c>
      <c r="M654" s="38">
        <f>SUM(J654:L654)</f>
        <v>59888</v>
      </c>
      <c r="N654" s="172">
        <f>N652+N690</f>
        <v>9004</v>
      </c>
      <c r="O654" s="172">
        <f>O652+O690</f>
        <v>4434</v>
      </c>
      <c r="P654" s="172">
        <f>P652+P690</f>
        <v>5144</v>
      </c>
      <c r="Q654" s="38">
        <f>SUM(N654:P654)</f>
        <v>18582</v>
      </c>
      <c r="R654" s="38">
        <f>+E654+I654+M654+Q654</f>
        <v>192190</v>
      </c>
    </row>
    <row r="655" spans="1:18" ht="16.5" customHeight="1" thickBot="1" x14ac:dyDescent="0.35">
      <c r="A655" s="263" t="s">
        <v>1332</v>
      </c>
      <c r="B655" s="264">
        <f>(B654/B10)/1.983</f>
        <v>195.15885022692888</v>
      </c>
      <c r="C655" s="264">
        <f>(C654/C10)/1.983</f>
        <v>301.36517541963838</v>
      </c>
      <c r="D655" s="264">
        <f>(D654/D10)/1.983</f>
        <v>322.25529907439034</v>
      </c>
      <c r="E655" s="40" t="s">
        <v>852</v>
      </c>
      <c r="F655" s="264">
        <f>(F654/F10)/1.983</f>
        <v>382.31635569003191</v>
      </c>
      <c r="G655" s="264">
        <f>(G654/G10)/1.983</f>
        <v>370.50412376165144</v>
      </c>
      <c r="H655" s="264">
        <f>(H654/H10)/1.983</f>
        <v>330.47571020339552</v>
      </c>
      <c r="I655" s="40" t="s">
        <v>852</v>
      </c>
      <c r="J655" s="264">
        <f>(J654/J10)/1.983</f>
        <v>299.33466725228965</v>
      </c>
      <c r="K655" s="264">
        <f>(K654/K10)/1.983</f>
        <v>368.03149350121186</v>
      </c>
      <c r="L655" s="264">
        <f>(L654/L10)/1.983</f>
        <v>317.07850058833412</v>
      </c>
      <c r="M655" s="40" t="s">
        <v>852</v>
      </c>
      <c r="N655" s="264">
        <f>(N654/N10)/1.983</f>
        <v>146.47080832235289</v>
      </c>
      <c r="O655" s="264">
        <f>(O654/O10)/1.983</f>
        <v>74.533535047907208</v>
      </c>
      <c r="P655" s="264">
        <f>(P654/P10)/1.983</f>
        <v>83.679013550664521</v>
      </c>
      <c r="Q655" s="40" t="s">
        <v>852</v>
      </c>
      <c r="R655" s="40" t="s">
        <v>852</v>
      </c>
    </row>
    <row r="656" spans="1:18" ht="15.75" customHeight="1" x14ac:dyDescent="0.3">
      <c r="A656" s="18"/>
      <c r="B656" s="172"/>
      <c r="C656" s="172"/>
      <c r="D656" s="172"/>
      <c r="E656" s="172"/>
      <c r="F656" s="172"/>
      <c r="G656" s="172"/>
      <c r="H656" s="172"/>
      <c r="I656" s="172"/>
      <c r="J656" s="172"/>
      <c r="K656" s="172"/>
      <c r="L656" s="172"/>
      <c r="M656" s="172"/>
      <c r="N656" s="172"/>
      <c r="O656" s="172"/>
      <c r="P656" s="172"/>
      <c r="Q656" s="172"/>
      <c r="R656" s="17"/>
    </row>
    <row r="657" spans="1:18" ht="15.75" customHeight="1" thickBot="1" x14ac:dyDescent="0.35">
      <c r="A657" s="18"/>
      <c r="B657" s="172"/>
      <c r="C657" s="172"/>
      <c r="D657" s="172"/>
      <c r="E657" s="172"/>
      <c r="F657" s="172"/>
      <c r="G657" s="172"/>
      <c r="H657" s="172"/>
      <c r="I657" s="172"/>
      <c r="J657" s="172"/>
      <c r="K657" s="172"/>
      <c r="L657" s="172"/>
      <c r="M657" s="172"/>
      <c r="N657" s="172"/>
      <c r="O657" s="172"/>
      <c r="P657" s="172"/>
      <c r="Q657" s="172"/>
      <c r="R657" s="17"/>
    </row>
    <row r="658" spans="1:18" ht="16.5" customHeight="1" thickBot="1" x14ac:dyDescent="0.35">
      <c r="A658" s="240" t="s">
        <v>1333</v>
      </c>
      <c r="B658" s="4" t="s">
        <v>2090</v>
      </c>
      <c r="C658" s="5" t="s">
        <v>2091</v>
      </c>
      <c r="D658" s="5" t="s">
        <v>2234</v>
      </c>
      <c r="E658" s="33" t="s">
        <v>1594</v>
      </c>
      <c r="F658" s="5" t="s">
        <v>2235</v>
      </c>
      <c r="G658" s="5" t="s">
        <v>2236</v>
      </c>
      <c r="H658" s="5" t="s">
        <v>2237</v>
      </c>
      <c r="I658" s="35" t="s">
        <v>1595</v>
      </c>
      <c r="J658" s="5" t="s">
        <v>1504</v>
      </c>
      <c r="K658" s="5" t="s">
        <v>1505</v>
      </c>
      <c r="L658" s="5" t="s">
        <v>1506</v>
      </c>
      <c r="M658" s="35" t="s">
        <v>1596</v>
      </c>
      <c r="N658" s="5" t="s">
        <v>1507</v>
      </c>
      <c r="O658" s="5" t="s">
        <v>1508</v>
      </c>
      <c r="P658" s="5" t="s">
        <v>1509</v>
      </c>
      <c r="Q658" s="35" t="s">
        <v>1597</v>
      </c>
      <c r="R658" s="36" t="s">
        <v>1510</v>
      </c>
    </row>
    <row r="659" spans="1:18" ht="16.5" customHeight="1" thickBot="1" x14ac:dyDescent="0.35">
      <c r="A659" s="22"/>
      <c r="B659" s="242"/>
      <c r="C659" s="242"/>
      <c r="D659" s="242"/>
      <c r="E659" s="233"/>
      <c r="F659" s="242"/>
      <c r="G659" s="242"/>
      <c r="H659" s="242"/>
      <c r="I659" s="233"/>
      <c r="J659" s="242"/>
      <c r="K659" s="242"/>
      <c r="L659" s="242"/>
      <c r="M659" s="233"/>
      <c r="N659" s="242"/>
      <c r="O659" s="242"/>
      <c r="P659" s="242"/>
      <c r="Q659" s="233"/>
      <c r="R659" s="19"/>
    </row>
    <row r="660" spans="1:18" ht="15.75" customHeight="1" x14ac:dyDescent="0.3">
      <c r="A660" s="234" t="s">
        <v>2417</v>
      </c>
      <c r="B660" s="172" t="s">
        <v>852</v>
      </c>
      <c r="C660" s="172" t="s">
        <v>852</v>
      </c>
      <c r="D660" s="172" t="s">
        <v>852</v>
      </c>
      <c r="E660" s="38" t="s">
        <v>852</v>
      </c>
      <c r="F660" s="172" t="s">
        <v>852</v>
      </c>
      <c r="G660" s="172" t="s">
        <v>852</v>
      </c>
      <c r="H660" s="172" t="s">
        <v>852</v>
      </c>
      <c r="I660" s="38" t="s">
        <v>852</v>
      </c>
      <c r="J660" s="172" t="s">
        <v>852</v>
      </c>
      <c r="K660" s="172" t="s">
        <v>852</v>
      </c>
      <c r="L660" s="172" t="s">
        <v>852</v>
      </c>
      <c r="M660" s="38" t="s">
        <v>852</v>
      </c>
      <c r="N660" s="172" t="s">
        <v>852</v>
      </c>
      <c r="O660" s="172" t="s">
        <v>852</v>
      </c>
      <c r="P660" s="172" t="s">
        <v>852</v>
      </c>
      <c r="Q660" s="38" t="s">
        <v>852</v>
      </c>
      <c r="R660" s="38" t="s">
        <v>852</v>
      </c>
    </row>
    <row r="661" spans="1:18" ht="15.75" customHeight="1" x14ac:dyDescent="0.3">
      <c r="A661" s="234" t="s">
        <v>2160</v>
      </c>
      <c r="B661" s="172"/>
      <c r="C661" s="172"/>
      <c r="D661" s="172"/>
      <c r="E661" s="38" t="s">
        <v>852</v>
      </c>
      <c r="F661" s="172"/>
      <c r="G661" s="172"/>
      <c r="H661" s="172"/>
      <c r="I661" s="38" t="s">
        <v>852</v>
      </c>
      <c r="J661" s="172"/>
      <c r="K661" s="172"/>
      <c r="L661" s="172"/>
      <c r="M661" s="38" t="s">
        <v>852</v>
      </c>
      <c r="N661" s="172"/>
      <c r="O661" s="172"/>
      <c r="P661" s="172"/>
      <c r="Q661" s="38" t="s">
        <v>852</v>
      </c>
      <c r="R661" s="38" t="s">
        <v>852</v>
      </c>
    </row>
    <row r="662" spans="1:18" ht="15.75" customHeight="1" x14ac:dyDescent="0.3">
      <c r="A662" s="539" t="s">
        <v>2747</v>
      </c>
      <c r="B662" s="10">
        <v>114</v>
      </c>
      <c r="C662" s="10">
        <v>348</v>
      </c>
      <c r="D662" s="10">
        <v>332</v>
      </c>
      <c r="E662" s="38">
        <f>SUM(B662:D662)</f>
        <v>794</v>
      </c>
      <c r="F662" s="10">
        <v>782</v>
      </c>
      <c r="G662" s="10">
        <v>366</v>
      </c>
      <c r="H662" s="10">
        <v>772</v>
      </c>
      <c r="I662" s="38">
        <f>SUM(F662:H662)</f>
        <v>1920</v>
      </c>
      <c r="J662" s="10">
        <v>667</v>
      </c>
      <c r="K662" s="10">
        <f>1316+601</f>
        <v>1917</v>
      </c>
      <c r="L662" s="10">
        <f>1662+220</f>
        <v>1882</v>
      </c>
      <c r="M662" s="38">
        <f>SUM(J662:L662)</f>
        <v>4466</v>
      </c>
      <c r="N662" s="10">
        <v>104</v>
      </c>
      <c r="O662" s="10">
        <v>641</v>
      </c>
      <c r="P662" s="10">
        <v>817</v>
      </c>
      <c r="Q662" s="38">
        <f>SUM(N662:P662)</f>
        <v>1562</v>
      </c>
      <c r="R662" s="38">
        <f>+E662+I662+M662+Q662</f>
        <v>8742</v>
      </c>
    </row>
    <row r="663" spans="1:18" ht="15.75" customHeight="1" x14ac:dyDescent="0.3">
      <c r="A663" s="539" t="s">
        <v>2748</v>
      </c>
      <c r="B663" s="356">
        <v>93</v>
      </c>
      <c r="C663" s="356">
        <v>490</v>
      </c>
      <c r="D663" s="356">
        <v>537</v>
      </c>
      <c r="E663" s="38">
        <f>SUM(B663:D663)</f>
        <v>1120</v>
      </c>
      <c r="F663" s="356">
        <v>444</v>
      </c>
      <c r="G663" s="356">
        <v>1079</v>
      </c>
      <c r="H663" s="356">
        <v>933</v>
      </c>
      <c r="I663" s="38">
        <f>SUM(F663:H663)</f>
        <v>2456</v>
      </c>
      <c r="J663" s="356">
        <v>874</v>
      </c>
      <c r="K663" s="356">
        <v>602</v>
      </c>
      <c r="L663" s="10">
        <v>170</v>
      </c>
      <c r="M663" s="38">
        <f>SUM(J663:L663)</f>
        <v>1646</v>
      </c>
      <c r="N663" s="10"/>
      <c r="O663" s="10"/>
      <c r="P663" s="10"/>
      <c r="Q663" s="38">
        <f>SUM(N663:P663)</f>
        <v>0</v>
      </c>
      <c r="R663" s="38">
        <f>+E663+I663+M663+Q663</f>
        <v>5222</v>
      </c>
    </row>
    <row r="664" spans="1:18" ht="15.75" customHeight="1" x14ac:dyDescent="0.3">
      <c r="A664" s="310" t="s">
        <v>537</v>
      </c>
      <c r="B664" s="10">
        <v>69</v>
      </c>
      <c r="C664" s="10">
        <v>37</v>
      </c>
      <c r="D664" s="10">
        <v>72</v>
      </c>
      <c r="E664" s="38">
        <f>SUM(B664:D664)</f>
        <v>178</v>
      </c>
      <c r="F664" s="10">
        <v>188</v>
      </c>
      <c r="G664" s="10">
        <v>69</v>
      </c>
      <c r="H664" s="10"/>
      <c r="I664" s="38">
        <f>SUM(F664:H664)</f>
        <v>257</v>
      </c>
      <c r="J664" s="10"/>
      <c r="K664" s="10"/>
      <c r="L664" s="10"/>
      <c r="M664" s="38">
        <f>SUM(J664:L664)</f>
        <v>0</v>
      </c>
      <c r="N664" s="10"/>
      <c r="O664" s="10"/>
      <c r="P664" s="10">
        <v>37</v>
      </c>
      <c r="Q664" s="38">
        <f>SUM(N664:P664)</f>
        <v>37</v>
      </c>
      <c r="R664" s="38">
        <f>+E664+I664+M664+Q664</f>
        <v>472</v>
      </c>
    </row>
    <row r="665" spans="1:18" ht="15.75" customHeight="1" x14ac:dyDescent="0.3">
      <c r="A665" s="234" t="s">
        <v>2161</v>
      </c>
      <c r="B665" s="172"/>
      <c r="C665" s="172"/>
      <c r="D665" s="172"/>
      <c r="E665" s="38" t="s">
        <v>852</v>
      </c>
      <c r="F665" s="172"/>
      <c r="G665" s="172"/>
      <c r="H665" s="172"/>
      <c r="I665" s="38" t="s">
        <v>852</v>
      </c>
      <c r="J665" s="172"/>
      <c r="K665" s="172"/>
      <c r="L665" s="172"/>
      <c r="M665" s="38" t="s">
        <v>852</v>
      </c>
      <c r="N665" s="172"/>
      <c r="O665" s="172"/>
      <c r="P665" s="172"/>
      <c r="Q665" s="38" t="s">
        <v>852</v>
      </c>
      <c r="R665" s="38" t="s">
        <v>852</v>
      </c>
    </row>
    <row r="666" spans="1:18" ht="15.75" customHeight="1" x14ac:dyDescent="0.3">
      <c r="A666" s="234" t="s">
        <v>3245</v>
      </c>
      <c r="B666" s="172"/>
      <c r="C666" s="172"/>
      <c r="D666" s="172"/>
      <c r="E666" s="38" t="s">
        <v>852</v>
      </c>
      <c r="F666" s="172"/>
      <c r="G666" s="172"/>
      <c r="H666" s="172"/>
      <c r="I666" s="38" t="s">
        <v>852</v>
      </c>
      <c r="J666" s="172"/>
      <c r="K666" s="172"/>
      <c r="L666" s="172"/>
      <c r="M666" s="38" t="s">
        <v>852</v>
      </c>
      <c r="N666" s="172"/>
      <c r="O666" s="172"/>
      <c r="P666" s="172"/>
      <c r="Q666" s="38" t="s">
        <v>852</v>
      </c>
      <c r="R666" s="38" t="s">
        <v>852</v>
      </c>
    </row>
    <row r="667" spans="1:18" ht="15.75" customHeight="1" thickBot="1" x14ac:dyDescent="0.35">
      <c r="A667" s="234" t="s">
        <v>2164</v>
      </c>
      <c r="B667" s="172"/>
      <c r="C667" s="172"/>
      <c r="D667" s="172"/>
      <c r="E667" s="38" t="s">
        <v>852</v>
      </c>
      <c r="F667" s="172"/>
      <c r="G667" s="172"/>
      <c r="H667" s="172"/>
      <c r="I667" s="38" t="s">
        <v>852</v>
      </c>
      <c r="J667" s="172"/>
      <c r="K667" s="172"/>
      <c r="L667" s="172"/>
      <c r="M667" s="38" t="s">
        <v>852</v>
      </c>
      <c r="N667" s="172"/>
      <c r="O667" s="172"/>
      <c r="P667" s="172"/>
      <c r="Q667" s="38" t="s">
        <v>852</v>
      </c>
      <c r="R667" s="38" t="s">
        <v>852</v>
      </c>
    </row>
    <row r="668" spans="1:18" ht="16.5" customHeight="1" thickBot="1" x14ac:dyDescent="0.35">
      <c r="A668" s="276" t="s">
        <v>1218</v>
      </c>
      <c r="B668" s="45">
        <f>SUM(B660:B667)</f>
        <v>276</v>
      </c>
      <c r="C668" s="46">
        <f>SUM(C660:C667)</f>
        <v>875</v>
      </c>
      <c r="D668" s="46">
        <f>SUM(D660:D667)</f>
        <v>941</v>
      </c>
      <c r="E668" s="37">
        <f>SUM(B668:D668)</f>
        <v>2092</v>
      </c>
      <c r="F668" s="46">
        <f>SUM(F660:F667)</f>
        <v>1414</v>
      </c>
      <c r="G668" s="46">
        <f>SUM(G660:G667)</f>
        <v>1514</v>
      </c>
      <c r="H668" s="46">
        <f>SUM(H660:H667)</f>
        <v>1705</v>
      </c>
      <c r="I668" s="37">
        <f>SUM(F668:H668)</f>
        <v>4633</v>
      </c>
      <c r="J668" s="46">
        <f>SUM(J660:J667)</f>
        <v>1541</v>
      </c>
      <c r="K668" s="46">
        <f>SUM(K660:K667)</f>
        <v>2519</v>
      </c>
      <c r="L668" s="46">
        <f>SUM(L660:L667)</f>
        <v>2052</v>
      </c>
      <c r="M668" s="37">
        <f>SUM(J668:L668)</f>
        <v>6112</v>
      </c>
      <c r="N668" s="46">
        <f>SUM(N660:N667)</f>
        <v>104</v>
      </c>
      <c r="O668" s="46">
        <f>SUM(O660:O667)</f>
        <v>641</v>
      </c>
      <c r="P668" s="46">
        <f>SUM(P660:P667)</f>
        <v>854</v>
      </c>
      <c r="Q668" s="37">
        <f>SUM(N668:P668)</f>
        <v>1599</v>
      </c>
      <c r="R668" s="37">
        <f>+E668+I668+M668+Q668</f>
        <v>14436</v>
      </c>
    </row>
    <row r="669" spans="1:18" ht="15.75" customHeight="1" x14ac:dyDescent="0.3">
      <c r="A669" s="234" t="s">
        <v>1172</v>
      </c>
      <c r="B669" s="172"/>
      <c r="C669" s="172"/>
      <c r="D669" s="172"/>
      <c r="E669" s="38" t="s">
        <v>852</v>
      </c>
      <c r="F669" s="172"/>
      <c r="G669" s="172"/>
      <c r="H669" s="172"/>
      <c r="I669" s="38" t="s">
        <v>852</v>
      </c>
      <c r="J669" s="172"/>
      <c r="K669" s="172"/>
      <c r="L669" s="172"/>
      <c r="M669" s="38" t="s">
        <v>852</v>
      </c>
      <c r="N669" s="172"/>
      <c r="O669" s="172"/>
      <c r="P669" s="172"/>
      <c r="Q669" s="38" t="s">
        <v>852</v>
      </c>
      <c r="R669" s="38" t="s">
        <v>852</v>
      </c>
    </row>
    <row r="670" spans="1:18" ht="15.75" customHeight="1" x14ac:dyDescent="0.3">
      <c r="A670" s="234" t="s">
        <v>2409</v>
      </c>
      <c r="B670" s="172"/>
      <c r="C670" s="172"/>
      <c r="D670" s="172"/>
      <c r="E670" s="38" t="s">
        <v>852</v>
      </c>
      <c r="F670" s="172"/>
      <c r="G670" s="172"/>
      <c r="H670" s="172"/>
      <c r="I670" s="38" t="s">
        <v>852</v>
      </c>
      <c r="J670" s="172"/>
      <c r="K670" s="172"/>
      <c r="L670" s="172"/>
      <c r="M670" s="38" t="s">
        <v>852</v>
      </c>
      <c r="N670" s="172"/>
      <c r="O670" s="172"/>
      <c r="P670" s="172"/>
      <c r="Q670" s="38" t="s">
        <v>852</v>
      </c>
      <c r="R670" s="38" t="s">
        <v>852</v>
      </c>
    </row>
    <row r="671" spans="1:18" ht="15.75" customHeight="1" thickBot="1" x14ac:dyDescent="0.35">
      <c r="A671" s="234" t="s">
        <v>2165</v>
      </c>
      <c r="B671" s="172"/>
      <c r="C671" s="172"/>
      <c r="D671" s="172"/>
      <c r="E671" s="38" t="s">
        <v>852</v>
      </c>
      <c r="F671" s="172"/>
      <c r="G671" s="172"/>
      <c r="H671" s="172"/>
      <c r="I671" s="38" t="s">
        <v>852</v>
      </c>
      <c r="J671" s="172"/>
      <c r="K671" s="172"/>
      <c r="L671" s="172"/>
      <c r="M671" s="38" t="s">
        <v>852</v>
      </c>
      <c r="N671" s="172"/>
      <c r="O671" s="172"/>
      <c r="P671" s="172"/>
      <c r="Q671" s="38" t="s">
        <v>852</v>
      </c>
      <c r="R671" s="38" t="s">
        <v>852</v>
      </c>
    </row>
    <row r="672" spans="1:18" ht="16.5" customHeight="1" thickBot="1" x14ac:dyDescent="0.35">
      <c r="A672" s="43" t="s">
        <v>1219</v>
      </c>
      <c r="B672" s="45">
        <f>SUM(B669:B671)</f>
        <v>0</v>
      </c>
      <c r="C672" s="46">
        <f>SUM(C669:C671)</f>
        <v>0</v>
      </c>
      <c r="D672" s="46">
        <f>SUM(D669:D671)</f>
        <v>0</v>
      </c>
      <c r="E672" s="37">
        <f>SUM(B672:D672)</f>
        <v>0</v>
      </c>
      <c r="F672" s="46">
        <f>SUM(F669:F671)</f>
        <v>0</v>
      </c>
      <c r="G672" s="46">
        <f>SUM(G669:G671)</f>
        <v>0</v>
      </c>
      <c r="H672" s="46">
        <f>SUM(H669:H671)</f>
        <v>0</v>
      </c>
      <c r="I672" s="37">
        <f>SUM(F672:H672)</f>
        <v>0</v>
      </c>
      <c r="J672" s="46">
        <f>SUM(J669:J671)</f>
        <v>0</v>
      </c>
      <c r="K672" s="46">
        <f>SUM(K669:K671)</f>
        <v>0</v>
      </c>
      <c r="L672" s="46">
        <f>SUM(L669:L671)</f>
        <v>0</v>
      </c>
      <c r="M672" s="37">
        <f>SUM(J672:L672)</f>
        <v>0</v>
      </c>
      <c r="N672" s="46">
        <f>SUM(N669:N671)</f>
        <v>0</v>
      </c>
      <c r="O672" s="46">
        <f>SUM(O669:O671)</f>
        <v>0</v>
      </c>
      <c r="P672" s="46">
        <f>SUM(P669:P671)</f>
        <v>0</v>
      </c>
      <c r="Q672" s="37">
        <f>SUM(N672:P672)</f>
        <v>0</v>
      </c>
      <c r="R672" s="37">
        <f>+E672+I672+M672+Q672</f>
        <v>0</v>
      </c>
    </row>
    <row r="673" spans="1:18" ht="15.75" customHeight="1" x14ac:dyDescent="0.3">
      <c r="A673" s="234" t="s">
        <v>2166</v>
      </c>
      <c r="B673" s="172"/>
      <c r="C673" s="172"/>
      <c r="D673" s="172"/>
      <c r="E673" s="38" t="s">
        <v>852</v>
      </c>
      <c r="F673" s="172"/>
      <c r="G673" s="172"/>
      <c r="H673" s="172"/>
      <c r="I673" s="38" t="s">
        <v>852</v>
      </c>
      <c r="J673" s="172"/>
      <c r="K673" s="172"/>
      <c r="L673" s="172"/>
      <c r="M673" s="38" t="s">
        <v>852</v>
      </c>
      <c r="N673" s="172"/>
      <c r="O673" s="172"/>
      <c r="P673" s="172"/>
      <c r="Q673" s="38" t="s">
        <v>852</v>
      </c>
      <c r="R673" s="38" t="s">
        <v>852</v>
      </c>
    </row>
    <row r="674" spans="1:18" ht="15.75" customHeight="1" x14ac:dyDescent="0.3">
      <c r="A674" s="234" t="s">
        <v>1245</v>
      </c>
      <c r="B674" s="172"/>
      <c r="C674" s="172"/>
      <c r="D674" s="172"/>
      <c r="E674" s="38" t="s">
        <v>852</v>
      </c>
      <c r="F674" s="172"/>
      <c r="G674" s="172"/>
      <c r="H674" s="172"/>
      <c r="I674" s="38" t="s">
        <v>852</v>
      </c>
      <c r="J674" s="172"/>
      <c r="K674" s="172"/>
      <c r="L674" s="172"/>
      <c r="M674" s="38" t="s">
        <v>852</v>
      </c>
      <c r="N674" s="172"/>
      <c r="O674" s="172"/>
      <c r="P674" s="172"/>
      <c r="Q674" s="38" t="s">
        <v>852</v>
      </c>
      <c r="R674" s="38" t="s">
        <v>852</v>
      </c>
    </row>
    <row r="675" spans="1:18" ht="15.75" customHeight="1" thickBot="1" x14ac:dyDescent="0.35">
      <c r="A675" s="234" t="s">
        <v>1711</v>
      </c>
      <c r="B675" s="172"/>
      <c r="C675" s="172"/>
      <c r="D675" s="172"/>
      <c r="E675" s="38" t="s">
        <v>852</v>
      </c>
      <c r="F675" s="172"/>
      <c r="G675" s="172"/>
      <c r="H675" s="172"/>
      <c r="I675" s="38" t="s">
        <v>852</v>
      </c>
      <c r="J675" s="172"/>
      <c r="K675" s="172"/>
      <c r="L675" s="172"/>
      <c r="M675" s="38" t="s">
        <v>852</v>
      </c>
      <c r="N675" s="172"/>
      <c r="O675" s="172"/>
      <c r="P675" s="172"/>
      <c r="Q675" s="38" t="s">
        <v>852</v>
      </c>
      <c r="R675" s="38" t="s">
        <v>852</v>
      </c>
    </row>
    <row r="676" spans="1:18" ht="16.5" customHeight="1" thickBot="1" x14ac:dyDescent="0.35">
      <c r="A676" s="277" t="s">
        <v>1220</v>
      </c>
      <c r="B676" s="45">
        <f>SUM(B673:B675)</f>
        <v>0</v>
      </c>
      <c r="C676" s="46">
        <f>SUM(C673:C675)</f>
        <v>0</v>
      </c>
      <c r="D676" s="46">
        <f>SUM(D673:D675)</f>
        <v>0</v>
      </c>
      <c r="E676" s="37">
        <f>SUM(B676:D676)</f>
        <v>0</v>
      </c>
      <c r="F676" s="46">
        <f>SUM(F673:F675)</f>
        <v>0</v>
      </c>
      <c r="G676" s="46">
        <f>SUM(G673:G675)</f>
        <v>0</v>
      </c>
      <c r="H676" s="46">
        <f>SUM(H673:H675)</f>
        <v>0</v>
      </c>
      <c r="I676" s="37">
        <f>SUM(F676:H676)</f>
        <v>0</v>
      </c>
      <c r="J676" s="46">
        <f>SUM(J673:J675)</f>
        <v>0</v>
      </c>
      <c r="K676" s="46">
        <f>SUM(K673:K675)</f>
        <v>0</v>
      </c>
      <c r="L676" s="46">
        <f>SUM(L673:L675)</f>
        <v>0</v>
      </c>
      <c r="M676" s="37">
        <f>SUM(J676:L676)</f>
        <v>0</v>
      </c>
      <c r="N676" s="46">
        <f>SUM(N673:N675)</f>
        <v>0</v>
      </c>
      <c r="O676" s="46">
        <f>SUM(O673:O675)</f>
        <v>0</v>
      </c>
      <c r="P676" s="46">
        <f>SUM(P673:P675)</f>
        <v>0</v>
      </c>
      <c r="Q676" s="37">
        <f>SUM(N676:P676)</f>
        <v>0</v>
      </c>
      <c r="R676" s="37">
        <f>+E676+I676+M676+Q676</f>
        <v>0</v>
      </c>
    </row>
    <row r="677" spans="1:18" ht="15.75" customHeight="1" x14ac:dyDescent="0.3">
      <c r="A677" s="234" t="s">
        <v>1712</v>
      </c>
      <c r="B677" s="172"/>
      <c r="C677" s="172"/>
      <c r="D677" s="172"/>
      <c r="E677" s="38" t="s">
        <v>852</v>
      </c>
      <c r="F677" s="172"/>
      <c r="G677" s="172"/>
      <c r="H677" s="172"/>
      <c r="I677" s="38" t="s">
        <v>852</v>
      </c>
      <c r="J677" s="172"/>
      <c r="K677" s="172"/>
      <c r="L677" s="172"/>
      <c r="M677" s="38" t="s">
        <v>852</v>
      </c>
      <c r="N677" s="172"/>
      <c r="O677" s="172"/>
      <c r="P677" s="172"/>
      <c r="Q677" s="38" t="s">
        <v>852</v>
      </c>
      <c r="R677" s="38" t="s">
        <v>852</v>
      </c>
    </row>
    <row r="678" spans="1:18" ht="15.75" customHeight="1" x14ac:dyDescent="0.3">
      <c r="A678" s="234" t="s">
        <v>1021</v>
      </c>
      <c r="B678" s="172"/>
      <c r="C678" s="172"/>
      <c r="D678" s="172"/>
      <c r="E678" s="38" t="s">
        <v>852</v>
      </c>
      <c r="F678" s="172"/>
      <c r="G678" s="172"/>
      <c r="H678" s="172"/>
      <c r="I678" s="38" t="s">
        <v>852</v>
      </c>
      <c r="J678" s="172"/>
      <c r="K678" s="172"/>
      <c r="L678" s="172"/>
      <c r="M678" s="38" t="s">
        <v>852</v>
      </c>
      <c r="N678" s="172"/>
      <c r="O678" s="172"/>
      <c r="P678" s="172"/>
      <c r="Q678" s="38" t="s">
        <v>852</v>
      </c>
      <c r="R678" s="38" t="s">
        <v>852</v>
      </c>
    </row>
    <row r="679" spans="1:18" ht="15.75" customHeight="1" x14ac:dyDescent="0.3">
      <c r="A679" s="234" t="s">
        <v>557</v>
      </c>
      <c r="B679" s="172"/>
      <c r="C679" s="172"/>
      <c r="D679" s="172"/>
      <c r="E679" s="38" t="s">
        <v>852</v>
      </c>
      <c r="F679" s="172"/>
      <c r="G679" s="172"/>
      <c r="H679" s="172"/>
      <c r="I679" s="38" t="s">
        <v>852</v>
      </c>
      <c r="J679" s="172"/>
      <c r="K679" s="172"/>
      <c r="L679" s="172"/>
      <c r="M679" s="38" t="s">
        <v>852</v>
      </c>
      <c r="N679" s="172"/>
      <c r="O679" s="172"/>
      <c r="P679" s="172"/>
      <c r="Q679" s="38" t="s">
        <v>852</v>
      </c>
      <c r="R679" s="38" t="s">
        <v>852</v>
      </c>
    </row>
    <row r="680" spans="1:18" ht="15.75" customHeight="1" x14ac:dyDescent="0.3">
      <c r="A680" s="539" t="s">
        <v>2584</v>
      </c>
      <c r="B680" s="172"/>
      <c r="C680" s="172"/>
      <c r="D680" s="172"/>
      <c r="E680" s="38">
        <f>SUM(B680:D680)</f>
        <v>0</v>
      </c>
      <c r="F680" s="172"/>
      <c r="G680" s="172"/>
      <c r="H680" s="172"/>
      <c r="I680" s="38">
        <f>SUM(F680:H680)</f>
        <v>0</v>
      </c>
      <c r="J680" s="172"/>
      <c r="K680" s="172"/>
      <c r="L680" s="172"/>
      <c r="M680" s="38">
        <f>SUM(J680:L680)</f>
        <v>0</v>
      </c>
      <c r="N680" s="172"/>
      <c r="O680" s="172"/>
      <c r="P680" s="172"/>
      <c r="Q680" s="38">
        <f>SUM(N680:P680)</f>
        <v>0</v>
      </c>
      <c r="R680" s="38">
        <f>+E680+I680+M680+Q680</f>
        <v>0</v>
      </c>
    </row>
    <row r="681" spans="1:18" ht="15.75" customHeight="1" x14ac:dyDescent="0.3">
      <c r="A681" s="234" t="s">
        <v>1022</v>
      </c>
      <c r="B681" s="172"/>
      <c r="C681" s="172"/>
      <c r="D681" s="172"/>
      <c r="E681" s="38" t="s">
        <v>852</v>
      </c>
      <c r="F681" s="172"/>
      <c r="G681" s="172"/>
      <c r="H681" s="172"/>
      <c r="I681" s="38" t="s">
        <v>852</v>
      </c>
      <c r="J681" s="172"/>
      <c r="K681" s="172"/>
      <c r="L681" s="172"/>
      <c r="M681" s="38" t="s">
        <v>852</v>
      </c>
      <c r="N681" s="172"/>
      <c r="O681" s="172"/>
      <c r="P681" s="172"/>
      <c r="Q681" s="38" t="s">
        <v>852</v>
      </c>
      <c r="R681" s="38" t="s">
        <v>852</v>
      </c>
    </row>
    <row r="682" spans="1:18" ht="15.75" customHeight="1" thickBot="1" x14ac:dyDescent="0.35">
      <c r="A682" s="234" t="s">
        <v>559</v>
      </c>
      <c r="B682" s="172"/>
      <c r="C682" s="172"/>
      <c r="D682" s="172"/>
      <c r="E682" s="38" t="s">
        <v>852</v>
      </c>
      <c r="F682" s="172"/>
      <c r="G682" s="172"/>
      <c r="H682" s="172"/>
      <c r="I682" s="38" t="s">
        <v>852</v>
      </c>
      <c r="J682" s="172"/>
      <c r="K682" s="172"/>
      <c r="L682" s="172"/>
      <c r="M682" s="38" t="s">
        <v>852</v>
      </c>
      <c r="N682" s="172"/>
      <c r="O682" s="172"/>
      <c r="P682" s="172"/>
      <c r="Q682" s="38" t="s">
        <v>852</v>
      </c>
      <c r="R682" s="38" t="s">
        <v>852</v>
      </c>
    </row>
    <row r="683" spans="1:18" ht="16.5" customHeight="1" thickBot="1" x14ac:dyDescent="0.35">
      <c r="A683" s="43" t="s">
        <v>1019</v>
      </c>
      <c r="B683" s="42">
        <f>SUM(B681:B682)</f>
        <v>0</v>
      </c>
      <c r="C683" s="42">
        <f>SUM(C681:C682)</f>
        <v>0</v>
      </c>
      <c r="D683" s="42">
        <f>SUM(D681:D682)</f>
        <v>0</v>
      </c>
      <c r="E683" s="39">
        <f>SUM(B683:D683)</f>
        <v>0</v>
      </c>
      <c r="F683" s="42">
        <f>SUM(F681:F682)</f>
        <v>0</v>
      </c>
      <c r="G683" s="42">
        <f>SUM(G681:G682)</f>
        <v>0</v>
      </c>
      <c r="H683" s="42">
        <f>SUM(H681:H682)</f>
        <v>0</v>
      </c>
      <c r="I683" s="39">
        <f>SUM(F683:H683)</f>
        <v>0</v>
      </c>
      <c r="J683" s="42">
        <f>SUM(J681:J682)</f>
        <v>0</v>
      </c>
      <c r="K683" s="42">
        <f>SUM(K681:K682)</f>
        <v>0</v>
      </c>
      <c r="L683" s="42">
        <f>SUM(L681:L682)</f>
        <v>0</v>
      </c>
      <c r="M683" s="39">
        <f>SUM(J683:L683)</f>
        <v>0</v>
      </c>
      <c r="N683" s="42">
        <f>SUM(N681:N682)</f>
        <v>0</v>
      </c>
      <c r="O683" s="42">
        <f>SUM(O681:O682)</f>
        <v>0</v>
      </c>
      <c r="P683" s="42">
        <f>SUM(P681:P682)</f>
        <v>0</v>
      </c>
      <c r="Q683" s="39">
        <f>SUM(N683:P683)</f>
        <v>0</v>
      </c>
      <c r="R683" s="37">
        <f>+E683+I683+M683+Q683</f>
        <v>0</v>
      </c>
    </row>
    <row r="684" spans="1:18" ht="16.5" customHeight="1" thickBot="1" x14ac:dyDescent="0.35">
      <c r="A684" s="277" t="s">
        <v>1221</v>
      </c>
      <c r="B684" s="45">
        <f>SUM(B677:B682)</f>
        <v>0</v>
      </c>
      <c r="C684" s="46">
        <f>SUM(C677:C682)</f>
        <v>0</v>
      </c>
      <c r="D684" s="58">
        <f>SUM(D677:D682)</f>
        <v>0</v>
      </c>
      <c r="E684" s="39">
        <f>SUM(B684:D684)</f>
        <v>0</v>
      </c>
      <c r="F684" s="46">
        <f>SUM(F677:F682)</f>
        <v>0</v>
      </c>
      <c r="G684" s="46">
        <f>SUM(G677:G682)</f>
        <v>0</v>
      </c>
      <c r="H684" s="46">
        <f>SUM(H677:H682)</f>
        <v>0</v>
      </c>
      <c r="I684" s="39">
        <f>SUM(F684:H684)</f>
        <v>0</v>
      </c>
      <c r="J684" s="46">
        <f>SUM(J677:J682)</f>
        <v>0</v>
      </c>
      <c r="K684" s="46">
        <f>SUM(K677:K682)</f>
        <v>0</v>
      </c>
      <c r="L684" s="46">
        <f>SUM(L677:L682)</f>
        <v>0</v>
      </c>
      <c r="M684" s="39">
        <f>SUM(J684:L684)</f>
        <v>0</v>
      </c>
      <c r="N684" s="46">
        <f>SUM(N677:N682)</f>
        <v>0</v>
      </c>
      <c r="O684" s="46">
        <f>SUM(O677:O682)</f>
        <v>0</v>
      </c>
      <c r="P684" s="46">
        <f>SUM(P677:P682)</f>
        <v>0</v>
      </c>
      <c r="Q684" s="39">
        <f>SUM(N684:P684)</f>
        <v>0</v>
      </c>
      <c r="R684" s="37">
        <f>+E684+I684+M684+Q684</f>
        <v>0</v>
      </c>
    </row>
    <row r="685" spans="1:18" ht="16.5" customHeight="1" thickBot="1" x14ac:dyDescent="0.35">
      <c r="A685" s="43" t="s">
        <v>1222</v>
      </c>
      <c r="B685" s="47">
        <f>+B668+B672+B676+B684</f>
        <v>276</v>
      </c>
      <c r="C685" s="42">
        <f>+C668+C672+C676+C684</f>
        <v>875</v>
      </c>
      <c r="D685" s="42">
        <f>+D668+D672+D676+D684</f>
        <v>941</v>
      </c>
      <c r="E685" s="37">
        <f>SUM(B685:D685)</f>
        <v>2092</v>
      </c>
      <c r="F685" s="42">
        <f>+F668+F672+F676+F684</f>
        <v>1414</v>
      </c>
      <c r="G685" s="42">
        <f>+G668+G672+G676+G684</f>
        <v>1514</v>
      </c>
      <c r="H685" s="42">
        <f>+H668+H672+H676+H684</f>
        <v>1705</v>
      </c>
      <c r="I685" s="37">
        <f>SUM(F685:H685)</f>
        <v>4633</v>
      </c>
      <c r="J685" s="42">
        <f>+J668+J672+J676+J684</f>
        <v>1541</v>
      </c>
      <c r="K685" s="42">
        <f>+K668+K672+K676+K684</f>
        <v>2519</v>
      </c>
      <c r="L685" s="42">
        <f>+L668+L672+L676+L684</f>
        <v>2052</v>
      </c>
      <c r="M685" s="37">
        <f>SUM(J685:L685)</f>
        <v>6112</v>
      </c>
      <c r="N685" s="42">
        <f>+N668+N672+N676+N684</f>
        <v>104</v>
      </c>
      <c r="O685" s="42">
        <f>+O668+O672+O676+O684</f>
        <v>641</v>
      </c>
      <c r="P685" s="42">
        <f>+P668+P672+P676+P684</f>
        <v>854</v>
      </c>
      <c r="Q685" s="37">
        <f>SUM(N685:P685)</f>
        <v>1599</v>
      </c>
      <c r="R685" s="40">
        <f>+E685+I685+M685+Q685</f>
        <v>14436</v>
      </c>
    </row>
    <row r="686" spans="1:18" ht="16.5" customHeight="1" thickBot="1" x14ac:dyDescent="0.35">
      <c r="A686" s="244" t="s">
        <v>853</v>
      </c>
      <c r="B686" s="238">
        <v>10</v>
      </c>
      <c r="C686" s="238">
        <v>11</v>
      </c>
      <c r="D686" s="238">
        <v>14</v>
      </c>
      <c r="E686" s="38">
        <f>SUM(B686:D686)</f>
        <v>35</v>
      </c>
      <c r="F686" s="238">
        <v>18</v>
      </c>
      <c r="G686" s="238">
        <v>21</v>
      </c>
      <c r="H686" s="238">
        <v>22</v>
      </c>
      <c r="I686" s="38">
        <f>SUM(F686:H686)</f>
        <v>61</v>
      </c>
      <c r="J686" s="238">
        <v>19</v>
      </c>
      <c r="K686" s="238">
        <v>17</v>
      </c>
      <c r="L686" s="238">
        <v>17</v>
      </c>
      <c r="M686" s="38">
        <f>SUM(J686:L686)</f>
        <v>53</v>
      </c>
      <c r="N686" s="238">
        <v>14</v>
      </c>
      <c r="O686" s="238">
        <v>11</v>
      </c>
      <c r="P686" s="238">
        <v>9</v>
      </c>
      <c r="Q686" s="38">
        <f>SUM(N686:P686)</f>
        <v>34</v>
      </c>
      <c r="R686" s="38">
        <f>+E686+I686+M686+Q686</f>
        <v>183</v>
      </c>
    </row>
    <row r="687" spans="1:18" ht="16.5" customHeight="1" thickBot="1" x14ac:dyDescent="0.35">
      <c r="A687" s="22"/>
      <c r="B687" s="242"/>
      <c r="C687" s="242"/>
      <c r="D687" s="242"/>
      <c r="E687" s="233"/>
      <c r="F687" s="242"/>
      <c r="G687" s="242"/>
      <c r="H687" s="242"/>
      <c r="I687" s="233"/>
      <c r="J687" s="242"/>
      <c r="K687" s="242"/>
      <c r="L687" s="242"/>
      <c r="M687" s="280"/>
      <c r="N687" s="242"/>
      <c r="O687" s="242"/>
      <c r="P687" s="242"/>
      <c r="Q687" s="280"/>
      <c r="R687" s="14"/>
    </row>
    <row r="688" spans="1:18" ht="15.75" customHeight="1" x14ac:dyDescent="0.3">
      <c r="A688" s="234" t="s">
        <v>120</v>
      </c>
      <c r="B688" s="172">
        <f>SUM(B685:B686)</f>
        <v>286</v>
      </c>
      <c r="C688" s="172">
        <f>SUM(C685:C686)</f>
        <v>886</v>
      </c>
      <c r="D688" s="172">
        <f>SUM(D685:D686)</f>
        <v>955</v>
      </c>
      <c r="E688" s="38">
        <f>SUM(B688:D688)</f>
        <v>2127</v>
      </c>
      <c r="F688" s="172">
        <f>SUM(F685:F686)</f>
        <v>1432</v>
      </c>
      <c r="G688" s="172">
        <f>SUM(G685:G686)</f>
        <v>1535</v>
      </c>
      <c r="H688" s="172">
        <f>SUM(H685:H686)</f>
        <v>1727</v>
      </c>
      <c r="I688" s="39">
        <f>SUM(F688:H688)</f>
        <v>4694</v>
      </c>
      <c r="J688" s="172">
        <f>SUM(J685:J686)</f>
        <v>1560</v>
      </c>
      <c r="K688" s="172">
        <f>SUM(K685:K686)</f>
        <v>2536</v>
      </c>
      <c r="L688" s="172">
        <f>SUM(L685:L686)</f>
        <v>2069</v>
      </c>
      <c r="M688" s="39">
        <f>SUM(J688:L688)</f>
        <v>6165</v>
      </c>
      <c r="N688" s="172">
        <f>SUM(N685:N686)</f>
        <v>118</v>
      </c>
      <c r="O688" s="172">
        <f>SUM(O685:O686)</f>
        <v>652</v>
      </c>
      <c r="P688" s="172">
        <f>SUM(P685:P686)</f>
        <v>863</v>
      </c>
      <c r="Q688" s="39">
        <f>SUM(N688:P688)</f>
        <v>1633</v>
      </c>
      <c r="R688" s="39">
        <f>+E688+I688+M688+Q688</f>
        <v>14619</v>
      </c>
    </row>
    <row r="689" spans="1:18" ht="15.75" customHeight="1" x14ac:dyDescent="0.3">
      <c r="A689" s="234" t="s">
        <v>1897</v>
      </c>
      <c r="B689" s="172">
        <f>(B688/B10)/1.983</f>
        <v>4.6524490426691392</v>
      </c>
      <c r="C689" s="172">
        <f>(C688/C10)/1.983</f>
        <v>15.957063612131689</v>
      </c>
      <c r="D689" s="172">
        <f>(D688/D10)/1.983</f>
        <v>15.535275649472124</v>
      </c>
      <c r="E689" s="38" t="s">
        <v>852</v>
      </c>
      <c r="F689" s="172">
        <f>(F688/F10)/1.983</f>
        <v>24.071272482770212</v>
      </c>
      <c r="G689" s="172">
        <f>(G688/G10)/1.983</f>
        <v>24.970312169570381</v>
      </c>
      <c r="H689" s="172">
        <f>(H688/H10)/1.983</f>
        <v>29.030089090603465</v>
      </c>
      <c r="I689" s="38" t="s">
        <v>852</v>
      </c>
      <c r="J689" s="172">
        <f>(J688/J10)/1.983</f>
        <v>25.376994778195304</v>
      </c>
      <c r="K689" s="172">
        <f>(K688/K10)/1.983</f>
        <v>41.253883818912371</v>
      </c>
      <c r="L689" s="172">
        <f>(L688/L10)/1.983</f>
        <v>34.778954446125397</v>
      </c>
      <c r="M689" s="38" t="s">
        <v>852</v>
      </c>
      <c r="N689" s="172">
        <f>(N688/N10)/1.983</f>
        <v>1.9195419127096449</v>
      </c>
      <c r="O689" s="172">
        <f>(O688/O10)/1.983</f>
        <v>10.959825180702639</v>
      </c>
      <c r="P689" s="172">
        <f>(P688/P10)/1.983</f>
        <v>14.038683649732402</v>
      </c>
      <c r="Q689" s="38" t="s">
        <v>852</v>
      </c>
      <c r="R689" s="38" t="s">
        <v>852</v>
      </c>
    </row>
    <row r="690" spans="1:18" ht="15.75" customHeight="1" x14ac:dyDescent="0.3">
      <c r="A690" s="234" t="s">
        <v>1334</v>
      </c>
      <c r="B690" s="172">
        <f>B688+B741</f>
        <v>11977</v>
      </c>
      <c r="C690" s="172">
        <f>C688+C741</f>
        <v>16711</v>
      </c>
      <c r="D690" s="172">
        <f>D688+D741</f>
        <v>19782</v>
      </c>
      <c r="E690" s="38">
        <f>SUM(B690:D690)</f>
        <v>48470</v>
      </c>
      <c r="F690" s="172">
        <f>F688+F741</f>
        <v>22707</v>
      </c>
      <c r="G690" s="172">
        <f>G688+G741</f>
        <v>22734</v>
      </c>
      <c r="H690" s="172">
        <f>H688+H741</f>
        <v>19616</v>
      </c>
      <c r="I690" s="38">
        <f>SUM(F690:H690)</f>
        <v>65057</v>
      </c>
      <c r="J690" s="172">
        <f>J688+J741</f>
        <v>18362</v>
      </c>
      <c r="K690" s="172">
        <f>K688+K741</f>
        <v>22588</v>
      </c>
      <c r="L690" s="172">
        <f>L688+L741</f>
        <v>18829</v>
      </c>
      <c r="M690" s="38">
        <f>SUM(J690:L690)</f>
        <v>59779</v>
      </c>
      <c r="N690" s="172">
        <f>N688+N741</f>
        <v>8975</v>
      </c>
      <c r="O690" s="172">
        <f>O688+O741</f>
        <v>4411</v>
      </c>
      <c r="P690" s="172">
        <f>P688+P741</f>
        <v>5125</v>
      </c>
      <c r="Q690" s="38">
        <f>SUM(N690:P690)</f>
        <v>18511</v>
      </c>
      <c r="R690" s="38">
        <f>+E690+I690+M690+Q690</f>
        <v>191817</v>
      </c>
    </row>
    <row r="691" spans="1:18" ht="16.5" customHeight="1" thickBot="1" x14ac:dyDescent="0.35">
      <c r="A691" s="237" t="s">
        <v>1335</v>
      </c>
      <c r="B691" s="238">
        <f>(B690/B10)/1.983</f>
        <v>194.83350414002896</v>
      </c>
      <c r="C691" s="238">
        <f>(C690/C10)/1.983</f>
        <v>300.96895036380664</v>
      </c>
      <c r="D691" s="238">
        <f>(D690/D10)/1.983</f>
        <v>321.79981455273042</v>
      </c>
      <c r="E691" s="40" t="s">
        <v>852</v>
      </c>
      <c r="F691" s="238">
        <f>(F690/F10)/1.983</f>
        <v>381.69440242057487</v>
      </c>
      <c r="G691" s="238">
        <f>(G690/G10)/1.983</f>
        <v>369.8208969791616</v>
      </c>
      <c r="H691" s="238">
        <f>(H690/H10)/1.983</f>
        <v>329.73609009917629</v>
      </c>
      <c r="I691" s="40" t="s">
        <v>852</v>
      </c>
      <c r="J691" s="238">
        <f>(J690/J10)/1.983</f>
        <v>298.70024238283474</v>
      </c>
      <c r="K691" s="238">
        <f>(K690/K10)/1.983</f>
        <v>367.445870544792</v>
      </c>
      <c r="L691" s="238">
        <f>(L690/L10)/1.983</f>
        <v>316.50697596234659</v>
      </c>
      <c r="M691" s="40" t="s">
        <v>852</v>
      </c>
      <c r="N691" s="238">
        <f>(N690/N10)/1.983</f>
        <v>145.99905649634798</v>
      </c>
      <c r="O691" s="238">
        <f>(O690/O10)/1.983</f>
        <v>74.14691544797445</v>
      </c>
      <c r="P691" s="238">
        <f>(P690/P10)/1.983</f>
        <v>83.369934768109573</v>
      </c>
      <c r="Q691" s="40" t="s">
        <v>852</v>
      </c>
      <c r="R691" s="40" t="s">
        <v>852</v>
      </c>
    </row>
    <row r="692" spans="1:18" ht="15.75" customHeight="1" x14ac:dyDescent="0.3">
      <c r="A692" s="17"/>
      <c r="B692" s="172"/>
      <c r="C692" s="172"/>
      <c r="D692" s="172"/>
      <c r="E692" s="172"/>
      <c r="F692" s="172"/>
      <c r="G692" s="172"/>
      <c r="H692" s="172"/>
      <c r="I692" s="172"/>
      <c r="J692" s="172"/>
      <c r="K692" s="172"/>
      <c r="L692" s="172"/>
      <c r="M692" s="172"/>
      <c r="N692" s="172"/>
      <c r="O692" s="172"/>
      <c r="P692" s="172"/>
      <c r="Q692" s="172"/>
      <c r="R692" s="17"/>
    </row>
    <row r="693" spans="1:18" ht="16.5" customHeight="1" thickBot="1" x14ac:dyDescent="0.35">
      <c r="A693" s="24"/>
      <c r="B693" s="238"/>
      <c r="C693" s="238"/>
      <c r="D693" s="238"/>
      <c r="E693" s="238"/>
      <c r="F693" s="238"/>
      <c r="G693" s="238"/>
      <c r="H693" s="238"/>
      <c r="I693" s="238"/>
      <c r="J693" s="238"/>
      <c r="K693" s="238"/>
      <c r="L693" s="238"/>
      <c r="M693" s="238"/>
      <c r="N693" s="238"/>
      <c r="O693" s="238"/>
      <c r="P693" s="238"/>
      <c r="Q693" s="238"/>
      <c r="R693" s="24"/>
    </row>
    <row r="694" spans="1:18" ht="15.75" customHeight="1" thickBot="1" x14ac:dyDescent="0.35">
      <c r="A694" s="274" t="s">
        <v>1772</v>
      </c>
      <c r="B694" s="25" t="s">
        <v>2090</v>
      </c>
      <c r="C694" s="26" t="s">
        <v>2091</v>
      </c>
      <c r="D694" s="26" t="s">
        <v>2234</v>
      </c>
      <c r="E694" s="33" t="s">
        <v>1594</v>
      </c>
      <c r="F694" s="26" t="s">
        <v>2235</v>
      </c>
      <c r="G694" s="26" t="s">
        <v>2236</v>
      </c>
      <c r="H694" s="26" t="s">
        <v>2237</v>
      </c>
      <c r="I694" s="33" t="s">
        <v>1595</v>
      </c>
      <c r="J694" s="26" t="s">
        <v>1504</v>
      </c>
      <c r="K694" s="26" t="s">
        <v>1505</v>
      </c>
      <c r="L694" s="26" t="s">
        <v>1506</v>
      </c>
      <c r="M694" s="33" t="s">
        <v>1596</v>
      </c>
      <c r="N694" s="26" t="s">
        <v>1507</v>
      </c>
      <c r="O694" s="26" t="s">
        <v>1508</v>
      </c>
      <c r="P694" s="26" t="s">
        <v>1509</v>
      </c>
      <c r="Q694" s="33" t="s">
        <v>1597</v>
      </c>
      <c r="R694" s="34" t="s">
        <v>1510</v>
      </c>
    </row>
    <row r="695" spans="1:18" ht="16.5" customHeight="1" thickBot="1" x14ac:dyDescent="0.35">
      <c r="A695" s="281"/>
      <c r="B695" s="232"/>
      <c r="C695" s="232"/>
      <c r="D695" s="232"/>
      <c r="E695" s="233"/>
      <c r="F695" s="232"/>
      <c r="G695" s="232"/>
      <c r="H695" s="232"/>
      <c r="I695" s="233"/>
      <c r="J695" s="232"/>
      <c r="K695" s="232"/>
      <c r="L695" s="232"/>
      <c r="M695" s="233"/>
      <c r="N695" s="232"/>
      <c r="O695" s="232"/>
      <c r="P695" s="232"/>
      <c r="Q695" s="233"/>
      <c r="R695" s="75"/>
    </row>
    <row r="696" spans="1:18" ht="15.75" customHeight="1" x14ac:dyDescent="0.3">
      <c r="A696" s="234" t="s">
        <v>2417</v>
      </c>
      <c r="B696" s="10" t="s">
        <v>852</v>
      </c>
      <c r="C696" s="10" t="s">
        <v>852</v>
      </c>
      <c r="D696" s="10" t="s">
        <v>852</v>
      </c>
      <c r="E696" s="38" t="s">
        <v>852</v>
      </c>
      <c r="F696" s="10" t="s">
        <v>852</v>
      </c>
      <c r="G696" s="10" t="s">
        <v>852</v>
      </c>
      <c r="H696" s="10" t="s">
        <v>852</v>
      </c>
      <c r="I696" s="38" t="s">
        <v>852</v>
      </c>
      <c r="J696" s="10" t="s">
        <v>852</v>
      </c>
      <c r="K696" s="10" t="s">
        <v>852</v>
      </c>
      <c r="L696" s="10" t="s">
        <v>852</v>
      </c>
      <c r="M696" s="38" t="s">
        <v>852</v>
      </c>
      <c r="N696" s="10" t="s">
        <v>852</v>
      </c>
      <c r="O696" s="10" t="s">
        <v>852</v>
      </c>
      <c r="P696" s="10" t="s">
        <v>852</v>
      </c>
      <c r="Q696" s="38" t="s">
        <v>852</v>
      </c>
      <c r="R696" s="38" t="s">
        <v>852</v>
      </c>
    </row>
    <row r="697" spans="1:18" ht="15.75" customHeight="1" x14ac:dyDescent="0.3">
      <c r="A697" s="234" t="s">
        <v>2160</v>
      </c>
      <c r="B697" s="10"/>
      <c r="C697" s="10"/>
      <c r="D697" s="10"/>
      <c r="E697" s="38" t="s">
        <v>852</v>
      </c>
      <c r="F697" s="10"/>
      <c r="G697" s="10"/>
      <c r="H697" s="10"/>
      <c r="I697" s="38" t="s">
        <v>852</v>
      </c>
      <c r="J697" s="10"/>
      <c r="K697" s="10"/>
      <c r="L697" s="10"/>
      <c r="M697" s="38" t="s">
        <v>852</v>
      </c>
      <c r="N697" s="10"/>
      <c r="O697" s="10"/>
      <c r="P697" s="10"/>
      <c r="Q697" s="38" t="s">
        <v>852</v>
      </c>
      <c r="R697" s="38" t="s">
        <v>852</v>
      </c>
    </row>
    <row r="698" spans="1:18" ht="15.75" customHeight="1" x14ac:dyDescent="0.3">
      <c r="A698" s="266" t="s">
        <v>2171</v>
      </c>
      <c r="B698" s="10">
        <v>3597</v>
      </c>
      <c r="C698" s="10">
        <v>4903</v>
      </c>
      <c r="D698" s="10">
        <v>7716</v>
      </c>
      <c r="E698" s="38">
        <f t="shared" ref="E698:E699" si="274">SUM(B698:D698)</f>
        <v>16216</v>
      </c>
      <c r="F698" s="10">
        <v>7493</v>
      </c>
      <c r="G698" s="10">
        <v>7706</v>
      </c>
      <c r="H698" s="10">
        <v>5408</v>
      </c>
      <c r="I698" s="38">
        <f t="shared" ref="I698:I699" si="275">SUM(F698:H698)</f>
        <v>20607</v>
      </c>
      <c r="J698" s="10">
        <v>4387</v>
      </c>
      <c r="K698" s="10">
        <v>5554</v>
      </c>
      <c r="L698" s="10">
        <v>3676</v>
      </c>
      <c r="M698" s="38">
        <f t="shared" ref="M698:M699" si="276">SUM(J698:L698)</f>
        <v>13617</v>
      </c>
      <c r="N698" s="10">
        <v>173</v>
      </c>
      <c r="O698" s="10">
        <v>276</v>
      </c>
      <c r="P698" s="10">
        <f>1026+636</f>
        <v>1662</v>
      </c>
      <c r="Q698" s="38">
        <f t="shared" ref="Q698:Q703" si="277">SUM(N698:P698)</f>
        <v>2111</v>
      </c>
      <c r="R698" s="38">
        <f>+E698+I698+M698+Q698</f>
        <v>52551</v>
      </c>
    </row>
    <row r="699" spans="1:18" ht="15.75" customHeight="1" x14ac:dyDescent="0.3">
      <c r="A699" s="266" t="s">
        <v>2146</v>
      </c>
      <c r="B699" s="10"/>
      <c r="C699" s="10">
        <v>2009</v>
      </c>
      <c r="D699" s="10">
        <v>3315</v>
      </c>
      <c r="E699" s="38">
        <f t="shared" si="274"/>
        <v>5324</v>
      </c>
      <c r="F699" s="10">
        <v>3023</v>
      </c>
      <c r="G699" s="10">
        <v>3264</v>
      </c>
      <c r="H699" s="10">
        <v>3048</v>
      </c>
      <c r="I699" s="38">
        <f t="shared" si="275"/>
        <v>9335</v>
      </c>
      <c r="J699" s="10">
        <v>3301</v>
      </c>
      <c r="K699" s="10">
        <v>4166</v>
      </c>
      <c r="L699" s="10">
        <v>3985</v>
      </c>
      <c r="M699" s="38">
        <f t="shared" si="276"/>
        <v>11452</v>
      </c>
      <c r="N699" s="10">
        <v>3976</v>
      </c>
      <c r="O699" s="10"/>
      <c r="P699" s="10">
        <v>66</v>
      </c>
      <c r="Q699" s="38">
        <f t="shared" si="277"/>
        <v>4042</v>
      </c>
      <c r="R699" s="38">
        <f t="shared" ref="R699:R703" si="278">+E699+I699+M699+Q699</f>
        <v>30153</v>
      </c>
    </row>
    <row r="700" spans="1:18" ht="15.75" customHeight="1" x14ac:dyDescent="0.3">
      <c r="A700" s="539" t="s">
        <v>3064</v>
      </c>
      <c r="B700" s="10">
        <v>60</v>
      </c>
      <c r="C700" s="10"/>
      <c r="D700" s="10"/>
      <c r="E700" s="38">
        <f t="shared" ref="E700:E703" si="279">SUM(B700:D700)</f>
        <v>60</v>
      </c>
      <c r="F700" s="10"/>
      <c r="G700" s="10"/>
      <c r="H700" s="10"/>
      <c r="I700" s="38">
        <f t="shared" ref="I700:I703" si="280">SUM(F700:H700)</f>
        <v>0</v>
      </c>
      <c r="J700" s="10"/>
      <c r="K700" s="10"/>
      <c r="L700" s="10"/>
      <c r="M700" s="38">
        <f t="shared" ref="M700:M703" si="281">SUM(J700:L700)</f>
        <v>0</v>
      </c>
      <c r="N700" s="10"/>
      <c r="O700" s="10"/>
      <c r="P700" s="10"/>
      <c r="Q700" s="38">
        <f t="shared" si="277"/>
        <v>0</v>
      </c>
      <c r="R700" s="38">
        <f t="shared" si="278"/>
        <v>60</v>
      </c>
    </row>
    <row r="701" spans="1:18" ht="15.75" customHeight="1" x14ac:dyDescent="0.3">
      <c r="A701" s="539" t="s">
        <v>2992</v>
      </c>
      <c r="B701" s="10">
        <v>3500</v>
      </c>
      <c r="C701" s="10">
        <v>4000</v>
      </c>
      <c r="D701" s="10">
        <v>3800</v>
      </c>
      <c r="E701" s="38">
        <f t="shared" si="279"/>
        <v>11300</v>
      </c>
      <c r="G701" s="356">
        <v>3800</v>
      </c>
      <c r="H701" s="10">
        <v>3800</v>
      </c>
      <c r="I701" s="38">
        <f t="shared" si="280"/>
        <v>7600</v>
      </c>
      <c r="J701" s="10">
        <v>3800</v>
      </c>
      <c r="K701" s="10">
        <v>3800</v>
      </c>
      <c r="L701" s="10">
        <v>3800</v>
      </c>
      <c r="M701" s="38">
        <f t="shared" si="281"/>
        <v>11400</v>
      </c>
      <c r="N701" s="10">
        <v>1400</v>
      </c>
      <c r="O701" s="10">
        <v>857</v>
      </c>
      <c r="P701" s="10">
        <v>143</v>
      </c>
      <c r="Q701" s="38">
        <f t="shared" si="277"/>
        <v>2400</v>
      </c>
      <c r="R701" s="38">
        <f t="shared" si="278"/>
        <v>32700</v>
      </c>
    </row>
    <row r="702" spans="1:18" ht="15.75" customHeight="1" x14ac:dyDescent="0.3">
      <c r="A702" s="539" t="s">
        <v>2596</v>
      </c>
      <c r="B702" s="10">
        <v>250</v>
      </c>
      <c r="C702" s="10">
        <v>250</v>
      </c>
      <c r="D702" s="10">
        <v>250</v>
      </c>
      <c r="E702" s="38">
        <f t="shared" si="279"/>
        <v>750</v>
      </c>
      <c r="F702" s="10">
        <v>250</v>
      </c>
      <c r="G702" s="10">
        <v>250</v>
      </c>
      <c r="H702" s="10">
        <v>250</v>
      </c>
      <c r="I702" s="38">
        <f t="shared" si="280"/>
        <v>750</v>
      </c>
      <c r="J702" s="10">
        <v>250</v>
      </c>
      <c r="K702" s="10">
        <v>250</v>
      </c>
      <c r="L702" s="10">
        <v>300</v>
      </c>
      <c r="M702" s="38">
        <f t="shared" si="281"/>
        <v>800</v>
      </c>
      <c r="N702" s="10"/>
      <c r="O702" s="10"/>
      <c r="P702" s="10"/>
      <c r="Q702" s="38">
        <f t="shared" si="277"/>
        <v>0</v>
      </c>
      <c r="R702" s="38">
        <f t="shared" si="278"/>
        <v>2300</v>
      </c>
    </row>
    <row r="703" spans="1:18" ht="15.75" customHeight="1" x14ac:dyDescent="0.3">
      <c r="A703" s="539" t="s">
        <v>3015</v>
      </c>
      <c r="B703" s="10">
        <v>100</v>
      </c>
      <c r="C703" s="10">
        <v>100</v>
      </c>
      <c r="D703" s="10">
        <v>100</v>
      </c>
      <c r="E703" s="38">
        <f t="shared" si="279"/>
        <v>300</v>
      </c>
      <c r="F703" s="10">
        <v>100</v>
      </c>
      <c r="G703" s="10">
        <v>100</v>
      </c>
      <c r="H703" s="10">
        <v>100</v>
      </c>
      <c r="I703" s="38">
        <f t="shared" si="280"/>
        <v>300</v>
      </c>
      <c r="J703" s="10">
        <v>100</v>
      </c>
      <c r="K703" s="10">
        <v>157</v>
      </c>
      <c r="L703" s="10"/>
      <c r="M703" s="38">
        <f t="shared" si="281"/>
        <v>257</v>
      </c>
      <c r="N703" s="10">
        <v>100</v>
      </c>
      <c r="O703" s="10">
        <v>100</v>
      </c>
      <c r="P703" s="10">
        <v>100</v>
      </c>
      <c r="Q703" s="38">
        <f t="shared" si="277"/>
        <v>300</v>
      </c>
      <c r="R703" s="38">
        <f t="shared" si="278"/>
        <v>1157</v>
      </c>
    </row>
    <row r="704" spans="1:18" ht="15.75" customHeight="1" x14ac:dyDescent="0.3">
      <c r="A704" s="234" t="s">
        <v>2161</v>
      </c>
      <c r="B704" s="10"/>
      <c r="C704" s="10"/>
      <c r="D704" s="10"/>
      <c r="E704" s="38" t="s">
        <v>852</v>
      </c>
      <c r="F704" s="10"/>
      <c r="G704" s="10"/>
      <c r="H704" s="10"/>
      <c r="I704" s="38" t="s">
        <v>852</v>
      </c>
      <c r="J704" s="10"/>
      <c r="K704" s="10"/>
      <c r="L704" s="10"/>
      <c r="M704" s="38" t="s">
        <v>852</v>
      </c>
      <c r="N704" s="10"/>
      <c r="O704" s="10"/>
      <c r="P704" s="10"/>
      <c r="Q704" s="38" t="s">
        <v>852</v>
      </c>
      <c r="R704" s="38" t="s">
        <v>852</v>
      </c>
    </row>
    <row r="705" spans="1:20" ht="15.75" customHeight="1" x14ac:dyDescent="0.3">
      <c r="A705" s="234" t="s">
        <v>3245</v>
      </c>
      <c r="B705" s="10"/>
      <c r="C705" s="10"/>
      <c r="D705" s="10"/>
      <c r="E705" s="38" t="s">
        <v>852</v>
      </c>
      <c r="F705" s="10"/>
      <c r="G705" s="10"/>
      <c r="H705" s="10"/>
      <c r="I705" s="38" t="s">
        <v>852</v>
      </c>
      <c r="J705" s="10"/>
      <c r="K705" s="10"/>
      <c r="L705" s="10"/>
      <c r="M705" s="38" t="s">
        <v>852</v>
      </c>
      <c r="N705" s="10"/>
      <c r="O705" s="10"/>
      <c r="P705" s="10"/>
      <c r="Q705" s="38" t="s">
        <v>852</v>
      </c>
      <c r="R705" s="38" t="s">
        <v>852</v>
      </c>
    </row>
    <row r="706" spans="1:20" ht="15.75" customHeight="1" thickBot="1" x14ac:dyDescent="0.35">
      <c r="A706" s="234" t="s">
        <v>2164</v>
      </c>
      <c r="B706" s="10"/>
      <c r="C706" s="10"/>
      <c r="D706" s="10"/>
      <c r="E706" s="38" t="s">
        <v>852</v>
      </c>
      <c r="F706" s="10"/>
      <c r="G706" s="10"/>
      <c r="H706" s="10"/>
      <c r="I706" s="38" t="s">
        <v>852</v>
      </c>
      <c r="J706" s="10"/>
      <c r="K706" s="10"/>
      <c r="L706" s="10"/>
      <c r="M706" s="38" t="s">
        <v>852</v>
      </c>
      <c r="N706" s="10"/>
      <c r="O706" s="10"/>
      <c r="P706" s="10"/>
      <c r="Q706" s="38" t="s">
        <v>852</v>
      </c>
      <c r="R706" s="38" t="s">
        <v>852</v>
      </c>
    </row>
    <row r="707" spans="1:20" ht="16.5" customHeight="1" thickBot="1" x14ac:dyDescent="0.35">
      <c r="A707" s="276" t="s">
        <v>1218</v>
      </c>
      <c r="B707" s="45">
        <f>SUM(B696:B706)</f>
        <v>7507</v>
      </c>
      <c r="C707" s="46">
        <f>SUM(C696:C706)</f>
        <v>11262</v>
      </c>
      <c r="D707" s="46">
        <f>SUM(D696:D706)</f>
        <v>15181</v>
      </c>
      <c r="E707" s="37">
        <f>SUM(B707:D707)</f>
        <v>33950</v>
      </c>
      <c r="F707" s="46">
        <f>SUM(F696:F706)</f>
        <v>10866</v>
      </c>
      <c r="G707" s="46">
        <f>SUM(G696:G706)</f>
        <v>15120</v>
      </c>
      <c r="H707" s="46">
        <f>SUM(H696:H706)</f>
        <v>12606</v>
      </c>
      <c r="I707" s="37">
        <f>SUM(F707:H707)</f>
        <v>38592</v>
      </c>
      <c r="J707" s="46">
        <f>SUM(J696:J706)</f>
        <v>11838</v>
      </c>
      <c r="K707" s="46">
        <f>SUM(K696:K706)</f>
        <v>13927</v>
      </c>
      <c r="L707" s="46">
        <f>SUM(L696:L706)</f>
        <v>11761</v>
      </c>
      <c r="M707" s="37">
        <f>SUM(J707:L707)</f>
        <v>37526</v>
      </c>
      <c r="N707" s="46">
        <f>SUM(N696:N706)</f>
        <v>5649</v>
      </c>
      <c r="O707" s="46">
        <f>SUM(O696:O706)</f>
        <v>1233</v>
      </c>
      <c r="P707" s="46">
        <f>SUM(P696:P706)</f>
        <v>1971</v>
      </c>
      <c r="Q707" s="37">
        <f>SUM(N707:P707)</f>
        <v>8853</v>
      </c>
      <c r="R707" s="37">
        <f>+E707+I707+M707+Q707</f>
        <v>118921</v>
      </c>
    </row>
    <row r="708" spans="1:20" ht="15.75" customHeight="1" x14ac:dyDescent="0.3">
      <c r="A708" s="234" t="s">
        <v>1172</v>
      </c>
      <c r="B708" s="172"/>
      <c r="C708" s="172"/>
      <c r="D708" s="172"/>
      <c r="E708" s="38" t="s">
        <v>852</v>
      </c>
      <c r="F708" s="172"/>
      <c r="G708" s="172"/>
      <c r="H708" s="172"/>
      <c r="I708" s="38" t="s">
        <v>852</v>
      </c>
      <c r="J708" s="172"/>
      <c r="K708" s="172"/>
      <c r="L708" s="172"/>
      <c r="M708" s="38" t="s">
        <v>852</v>
      </c>
      <c r="N708" s="172"/>
      <c r="O708" s="172"/>
      <c r="P708" s="172"/>
      <c r="Q708" s="38" t="s">
        <v>852</v>
      </c>
      <c r="R708" s="38" t="s">
        <v>852</v>
      </c>
    </row>
    <row r="709" spans="1:20" ht="15.75" customHeight="1" x14ac:dyDescent="0.3">
      <c r="A709" s="234" t="s">
        <v>2409</v>
      </c>
      <c r="B709" s="172"/>
      <c r="C709" s="172"/>
      <c r="D709" s="172"/>
      <c r="E709" s="38" t="s">
        <v>852</v>
      </c>
      <c r="F709" s="172"/>
      <c r="G709" s="172"/>
      <c r="H709" s="172"/>
      <c r="I709" s="38" t="s">
        <v>852</v>
      </c>
      <c r="J709" s="172"/>
      <c r="K709" s="172"/>
      <c r="L709" s="172"/>
      <c r="M709" s="38" t="s">
        <v>852</v>
      </c>
      <c r="N709" s="172"/>
      <c r="O709" s="172"/>
      <c r="P709" s="172"/>
      <c r="Q709" s="38" t="s">
        <v>852</v>
      </c>
      <c r="R709" s="38" t="s">
        <v>852</v>
      </c>
    </row>
    <row r="710" spans="1:20" ht="15.75" customHeight="1" thickBot="1" x14ac:dyDescent="0.35">
      <c r="A710" s="234" t="s">
        <v>2165</v>
      </c>
      <c r="B710" s="172"/>
      <c r="C710" s="172"/>
      <c r="D710" s="172"/>
      <c r="E710" s="38" t="s">
        <v>852</v>
      </c>
      <c r="F710" s="172"/>
      <c r="G710" s="172"/>
      <c r="H710" s="172"/>
      <c r="I710" s="38" t="s">
        <v>852</v>
      </c>
      <c r="J710" s="172"/>
      <c r="K710" s="172"/>
      <c r="L710" s="172"/>
      <c r="M710" s="38" t="s">
        <v>852</v>
      </c>
      <c r="N710" s="172"/>
      <c r="O710" s="172"/>
      <c r="P710" s="172"/>
      <c r="Q710" s="38" t="s">
        <v>852</v>
      </c>
      <c r="R710" s="38" t="s">
        <v>852</v>
      </c>
    </row>
    <row r="711" spans="1:20" ht="16.5" customHeight="1" thickBot="1" x14ac:dyDescent="0.35">
      <c r="A711" s="43" t="s">
        <v>1219</v>
      </c>
      <c r="B711" s="45">
        <f>SUM(B708:B710)</f>
        <v>0</v>
      </c>
      <c r="C711" s="46">
        <f>SUM(C708:C710)</f>
        <v>0</v>
      </c>
      <c r="D711" s="46">
        <f>SUM(D708:D710)</f>
        <v>0</v>
      </c>
      <c r="E711" s="37">
        <f>SUM(B711:D711)</f>
        <v>0</v>
      </c>
      <c r="F711" s="46">
        <f>SUM(F708:F710)</f>
        <v>0</v>
      </c>
      <c r="G711" s="46">
        <f>SUM(G708:G710)</f>
        <v>0</v>
      </c>
      <c r="H711" s="46">
        <f>SUM(H708:H710)</f>
        <v>0</v>
      </c>
      <c r="I711" s="37">
        <f>SUM(F711:H711)</f>
        <v>0</v>
      </c>
      <c r="J711" s="46">
        <f>SUM(J708:J710)</f>
        <v>0</v>
      </c>
      <c r="K711" s="46">
        <f>SUM(K708:K710)</f>
        <v>0</v>
      </c>
      <c r="L711" s="46">
        <f>SUM(L708:L710)</f>
        <v>0</v>
      </c>
      <c r="M711" s="37">
        <f>SUM(J711:L711)</f>
        <v>0</v>
      </c>
      <c r="N711" s="46">
        <f>SUM(N708:N710)</f>
        <v>0</v>
      </c>
      <c r="O711" s="46">
        <f>SUM(O708:O710)</f>
        <v>0</v>
      </c>
      <c r="P711" s="46">
        <f>SUM(P708:P710)</f>
        <v>0</v>
      </c>
      <c r="Q711" s="37">
        <f>SUM(N711:P711)</f>
        <v>0</v>
      </c>
      <c r="R711" s="37">
        <f>+E711+I711+M711+Q711</f>
        <v>0</v>
      </c>
    </row>
    <row r="712" spans="1:20" ht="15.75" customHeight="1" x14ac:dyDescent="0.3">
      <c r="A712" s="234" t="s">
        <v>2166</v>
      </c>
      <c r="B712" s="10"/>
      <c r="C712" s="10"/>
      <c r="D712" s="10"/>
      <c r="E712" s="38" t="s">
        <v>852</v>
      </c>
      <c r="F712" s="10"/>
      <c r="G712" s="10"/>
      <c r="H712" s="10"/>
      <c r="I712" s="38" t="s">
        <v>852</v>
      </c>
      <c r="J712" s="10"/>
      <c r="K712" s="10"/>
      <c r="L712" s="10"/>
      <c r="M712" s="38" t="s">
        <v>852</v>
      </c>
      <c r="N712" s="10"/>
      <c r="O712" s="10"/>
      <c r="P712" s="10"/>
      <c r="Q712" s="38" t="s">
        <v>852</v>
      </c>
      <c r="R712" s="38" t="s">
        <v>852</v>
      </c>
    </row>
    <row r="713" spans="1:20" ht="15.75" customHeight="1" x14ac:dyDescent="0.3">
      <c r="A713" s="234" t="s">
        <v>1245</v>
      </c>
      <c r="B713" s="10"/>
      <c r="C713" s="10"/>
      <c r="D713" s="10"/>
      <c r="E713" s="38" t="s">
        <v>852</v>
      </c>
      <c r="F713" s="10"/>
      <c r="G713" s="10"/>
      <c r="H713" s="10"/>
      <c r="I713" s="38" t="s">
        <v>852</v>
      </c>
      <c r="J713" s="10"/>
      <c r="K713" s="10"/>
      <c r="L713" s="10"/>
      <c r="M713" s="38" t="s">
        <v>852</v>
      </c>
      <c r="N713" s="10"/>
      <c r="O713" s="10"/>
      <c r="P713" s="10"/>
      <c r="Q713" s="38" t="s">
        <v>852</v>
      </c>
      <c r="R713" s="38" t="s">
        <v>852</v>
      </c>
    </row>
    <row r="714" spans="1:20" ht="15.75" customHeight="1" x14ac:dyDescent="0.3">
      <c r="A714" s="266" t="s">
        <v>641</v>
      </c>
      <c r="B714" s="10">
        <v>419</v>
      </c>
      <c r="C714" s="10">
        <v>436</v>
      </c>
      <c r="D714" s="10">
        <v>806</v>
      </c>
      <c r="E714" s="38">
        <f>SUM(B714:D714)</f>
        <v>1661</v>
      </c>
      <c r="F714" s="10">
        <v>2587</v>
      </c>
      <c r="G714" s="10">
        <v>1272</v>
      </c>
      <c r="H714" s="10">
        <v>1303</v>
      </c>
      <c r="I714" s="38">
        <f>SUM(F714:H714)</f>
        <v>5162</v>
      </c>
      <c r="J714" s="10">
        <v>1498</v>
      </c>
      <c r="K714" s="10">
        <v>1530</v>
      </c>
      <c r="L714" s="10">
        <v>854</v>
      </c>
      <c r="M714" s="38">
        <f>SUM(J714:L714)</f>
        <v>3882</v>
      </c>
      <c r="N714" s="10"/>
      <c r="O714" s="10">
        <v>359</v>
      </c>
      <c r="P714" s="10">
        <v>362</v>
      </c>
      <c r="Q714" s="38">
        <f>SUM(N714:P714)</f>
        <v>721</v>
      </c>
      <c r="R714" s="38">
        <f>+E714+I714+M714+Q714</f>
        <v>11426</v>
      </c>
      <c r="T714" t="s">
        <v>2804</v>
      </c>
    </row>
    <row r="715" spans="1:20" ht="15.75" customHeight="1" x14ac:dyDescent="0.3">
      <c r="A715" s="234" t="s">
        <v>1711</v>
      </c>
      <c r="B715" s="10"/>
      <c r="C715" s="10"/>
      <c r="D715" s="10"/>
      <c r="E715" s="38" t="s">
        <v>852</v>
      </c>
      <c r="F715" s="10"/>
      <c r="G715" s="10"/>
      <c r="H715" s="10"/>
      <c r="I715" s="38" t="s">
        <v>852</v>
      </c>
      <c r="J715" s="10"/>
      <c r="K715" s="10"/>
      <c r="L715" s="10"/>
      <c r="M715" s="38" t="s">
        <v>852</v>
      </c>
      <c r="N715" s="10"/>
      <c r="O715" s="10"/>
      <c r="P715" s="10"/>
      <c r="Q715" s="38" t="s">
        <v>852</v>
      </c>
      <c r="R715" s="38" t="s">
        <v>852</v>
      </c>
    </row>
    <row r="716" spans="1:20" ht="15.75" customHeight="1" x14ac:dyDescent="0.3">
      <c r="A716" s="539" t="s">
        <v>2699</v>
      </c>
      <c r="B716" s="10"/>
      <c r="C716" s="10"/>
      <c r="D716" s="10"/>
      <c r="E716" s="38">
        <f t="shared" ref="E716:E724" si="282">SUM(B716:D716)</f>
        <v>0</v>
      </c>
      <c r="F716" s="10"/>
      <c r="G716" s="10"/>
      <c r="H716" s="10"/>
      <c r="I716" s="38">
        <f t="shared" ref="I716:I724" si="283">SUM(F716:H716)</f>
        <v>0</v>
      </c>
      <c r="J716" s="10"/>
      <c r="K716" s="10"/>
      <c r="L716" s="10"/>
      <c r="M716" s="38">
        <f t="shared" ref="M716:M724" si="284">SUM(J716:L716)</f>
        <v>0</v>
      </c>
      <c r="N716" s="10"/>
      <c r="O716" s="10"/>
      <c r="P716" s="10"/>
      <c r="Q716" s="38">
        <f t="shared" ref="Q716:Q724" si="285">SUM(N716:P716)</f>
        <v>0</v>
      </c>
      <c r="R716" s="38">
        <f t="shared" ref="R716:R724" si="286">+E716+I716+M716+Q716</f>
        <v>0</v>
      </c>
      <c r="T716" t="s">
        <v>2801</v>
      </c>
    </row>
    <row r="717" spans="1:20" ht="15.75" customHeight="1" x14ac:dyDescent="0.3">
      <c r="A717" s="539" t="s">
        <v>2790</v>
      </c>
      <c r="B717" s="10"/>
      <c r="C717" s="10"/>
      <c r="D717" s="10"/>
      <c r="E717" s="38">
        <f t="shared" si="282"/>
        <v>0</v>
      </c>
      <c r="F717" s="10"/>
      <c r="G717" s="10"/>
      <c r="H717" s="10"/>
      <c r="I717" s="38">
        <f t="shared" si="283"/>
        <v>0</v>
      </c>
      <c r="J717" s="10"/>
      <c r="K717" s="10"/>
      <c r="L717" s="10"/>
      <c r="M717" s="38">
        <f t="shared" si="284"/>
        <v>0</v>
      </c>
      <c r="N717" s="10"/>
      <c r="O717" s="10"/>
      <c r="P717" s="10"/>
      <c r="Q717" s="38">
        <f t="shared" si="285"/>
        <v>0</v>
      </c>
      <c r="R717" s="38">
        <f t="shared" si="286"/>
        <v>0</v>
      </c>
      <c r="T717" t="s">
        <v>2801</v>
      </c>
    </row>
    <row r="718" spans="1:20" ht="15.75" customHeight="1" x14ac:dyDescent="0.3">
      <c r="A718" s="539" t="s">
        <v>2701</v>
      </c>
      <c r="B718" s="10">
        <v>26</v>
      </c>
      <c r="C718" s="10">
        <v>32</v>
      </c>
      <c r="D718" s="10">
        <v>32</v>
      </c>
      <c r="E718" s="38">
        <f t="shared" si="282"/>
        <v>90</v>
      </c>
      <c r="F718" s="10">
        <v>32</v>
      </c>
      <c r="G718" s="10">
        <v>32</v>
      </c>
      <c r="H718" s="10">
        <v>32</v>
      </c>
      <c r="I718" s="38">
        <f t="shared" si="283"/>
        <v>96</v>
      </c>
      <c r="J718" s="10">
        <v>32</v>
      </c>
      <c r="K718" s="10">
        <v>30</v>
      </c>
      <c r="L718" s="10">
        <v>22</v>
      </c>
      <c r="M718" s="38">
        <f t="shared" si="284"/>
        <v>84</v>
      </c>
      <c r="N718" s="10"/>
      <c r="O718" s="10"/>
      <c r="P718" s="10"/>
      <c r="Q718" s="38">
        <f t="shared" si="285"/>
        <v>0</v>
      </c>
      <c r="R718" s="38">
        <f t="shared" si="286"/>
        <v>270</v>
      </c>
      <c r="T718" t="s">
        <v>2801</v>
      </c>
    </row>
    <row r="719" spans="1:20" ht="15.75" customHeight="1" x14ac:dyDescent="0.3">
      <c r="A719" s="539" t="s">
        <v>3208</v>
      </c>
      <c r="B719" s="10"/>
      <c r="C719" s="10"/>
      <c r="D719" s="10"/>
      <c r="E719" s="38">
        <f t="shared" si="282"/>
        <v>0</v>
      </c>
      <c r="F719" s="10">
        <v>3509</v>
      </c>
      <c r="G719" s="10"/>
      <c r="H719" s="10"/>
      <c r="I719" s="38">
        <f t="shared" si="283"/>
        <v>3509</v>
      </c>
      <c r="J719" s="10"/>
      <c r="K719" s="10"/>
      <c r="L719" s="10"/>
      <c r="M719" s="38">
        <f t="shared" si="284"/>
        <v>0</v>
      </c>
      <c r="N719" s="10"/>
      <c r="O719" s="10"/>
      <c r="P719" s="10"/>
      <c r="Q719" s="38">
        <f t="shared" si="285"/>
        <v>0</v>
      </c>
      <c r="R719" s="38">
        <f t="shared" si="286"/>
        <v>3509</v>
      </c>
    </row>
    <row r="720" spans="1:20" ht="15.75" customHeight="1" x14ac:dyDescent="0.3">
      <c r="A720" s="539" t="s">
        <v>3209</v>
      </c>
      <c r="B720" s="10"/>
      <c r="C720" s="10"/>
      <c r="D720" s="10"/>
      <c r="E720" s="38">
        <f t="shared" si="282"/>
        <v>0</v>
      </c>
      <c r="F720" s="10"/>
      <c r="G720" s="10"/>
      <c r="H720" s="10"/>
      <c r="I720" s="38">
        <f t="shared" si="283"/>
        <v>0</v>
      </c>
      <c r="J720" s="10"/>
      <c r="K720" s="10"/>
      <c r="L720" s="10"/>
      <c r="M720" s="38">
        <f t="shared" si="284"/>
        <v>0</v>
      </c>
      <c r="N720" s="10"/>
      <c r="O720" s="10"/>
      <c r="P720" s="10"/>
      <c r="Q720" s="38">
        <f t="shared" si="285"/>
        <v>0</v>
      </c>
      <c r="R720" s="38">
        <f t="shared" si="286"/>
        <v>0</v>
      </c>
    </row>
    <row r="721" spans="1:20" ht="15.75" customHeight="1" x14ac:dyDescent="0.3">
      <c r="A721" s="539" t="s">
        <v>3210</v>
      </c>
      <c r="B721" s="10"/>
      <c r="C721" s="10"/>
      <c r="D721" s="10"/>
      <c r="E721" s="38">
        <f t="shared" si="282"/>
        <v>0</v>
      </c>
      <c r="F721" s="10"/>
      <c r="G721" s="10"/>
      <c r="H721" s="10"/>
      <c r="I721" s="38">
        <f t="shared" si="283"/>
        <v>0</v>
      </c>
      <c r="J721" s="10"/>
      <c r="K721" s="10"/>
      <c r="L721" s="10"/>
      <c r="M721" s="38">
        <f t="shared" si="284"/>
        <v>0</v>
      </c>
      <c r="N721" s="10"/>
      <c r="O721" s="10"/>
      <c r="P721" s="10"/>
      <c r="Q721" s="38">
        <f t="shared" si="285"/>
        <v>0</v>
      </c>
      <c r="R721" s="38">
        <f t="shared" si="286"/>
        <v>0</v>
      </c>
    </row>
    <row r="722" spans="1:20" ht="15.75" customHeight="1" x14ac:dyDescent="0.3">
      <c r="A722" s="539" t="s">
        <v>3316</v>
      </c>
      <c r="B722" s="10"/>
      <c r="C722" s="10"/>
      <c r="D722" s="10"/>
      <c r="E722" s="38">
        <f t="shared" si="282"/>
        <v>0</v>
      </c>
      <c r="F722" s="10">
        <v>291</v>
      </c>
      <c r="G722" s="10"/>
      <c r="H722" s="10"/>
      <c r="I722" s="38">
        <f t="shared" si="283"/>
        <v>291</v>
      </c>
      <c r="J722" s="10"/>
      <c r="K722" s="10"/>
      <c r="L722" s="10"/>
      <c r="M722" s="38">
        <f t="shared" si="284"/>
        <v>0</v>
      </c>
      <c r="N722" s="10"/>
      <c r="O722" s="10"/>
      <c r="P722" s="10"/>
      <c r="Q722" s="38">
        <f t="shared" ref="Q722" si="287">SUM(N722:P722)</f>
        <v>0</v>
      </c>
      <c r="R722" s="38">
        <f t="shared" ref="R722" si="288">+E722+I722+M722+Q722</f>
        <v>291</v>
      </c>
    </row>
    <row r="723" spans="1:20" ht="15.75" customHeight="1" thickBot="1" x14ac:dyDescent="0.35">
      <c r="A723" s="266" t="s">
        <v>40</v>
      </c>
      <c r="B723" s="10"/>
      <c r="C723" s="10"/>
      <c r="D723" s="10"/>
      <c r="E723" s="38">
        <f t="shared" si="282"/>
        <v>0</v>
      </c>
      <c r="F723" s="10"/>
      <c r="G723" s="10"/>
      <c r="H723" s="10"/>
      <c r="I723" s="38">
        <f t="shared" si="283"/>
        <v>0</v>
      </c>
      <c r="J723" s="10"/>
      <c r="K723" s="10"/>
      <c r="L723" s="10"/>
      <c r="M723" s="38">
        <f t="shared" si="284"/>
        <v>0</v>
      </c>
      <c r="N723" s="10"/>
      <c r="O723" s="10"/>
      <c r="P723" s="10"/>
      <c r="Q723" s="38">
        <f t="shared" si="285"/>
        <v>0</v>
      </c>
      <c r="R723" s="38">
        <f t="shared" si="286"/>
        <v>0</v>
      </c>
      <c r="T723" t="s">
        <v>2801</v>
      </c>
    </row>
    <row r="724" spans="1:20" ht="16.5" customHeight="1" thickBot="1" x14ac:dyDescent="0.35">
      <c r="A724" s="43" t="s">
        <v>1220</v>
      </c>
      <c r="B724" s="45">
        <f>SUM(B712:B723)</f>
        <v>445</v>
      </c>
      <c r="C724" s="46">
        <f>SUM(C712:C723)</f>
        <v>468</v>
      </c>
      <c r="D724" s="46">
        <f>SUM(D712:D723)</f>
        <v>838</v>
      </c>
      <c r="E724" s="37">
        <f t="shared" si="282"/>
        <v>1751</v>
      </c>
      <c r="F724" s="46">
        <f>SUM(F712:F723)</f>
        <v>6419</v>
      </c>
      <c r="G724" s="46">
        <f>SUM(G712:G723)</f>
        <v>1304</v>
      </c>
      <c r="H724" s="46">
        <f>SUM(H712:H723)</f>
        <v>1335</v>
      </c>
      <c r="I724" s="37">
        <f t="shared" si="283"/>
        <v>9058</v>
      </c>
      <c r="J724" s="46">
        <f>SUM(J712:J723)</f>
        <v>1530</v>
      </c>
      <c r="K724" s="46">
        <f>SUM(K712:K723)</f>
        <v>1560</v>
      </c>
      <c r="L724" s="46">
        <f>SUM(L712:L723)</f>
        <v>876</v>
      </c>
      <c r="M724" s="37">
        <f t="shared" si="284"/>
        <v>3966</v>
      </c>
      <c r="N724" s="46">
        <f>SUM(N712:N723)</f>
        <v>0</v>
      </c>
      <c r="O724" s="46">
        <f>SUM(O712:O723)</f>
        <v>359</v>
      </c>
      <c r="P724" s="46">
        <f>SUM(P712:P723)</f>
        <v>362</v>
      </c>
      <c r="Q724" s="37">
        <f t="shared" si="285"/>
        <v>721</v>
      </c>
      <c r="R724" s="58">
        <f t="shared" si="286"/>
        <v>15496</v>
      </c>
    </row>
    <row r="725" spans="1:20" ht="15.75" customHeight="1" x14ac:dyDescent="0.3">
      <c r="A725" s="234" t="s">
        <v>1712</v>
      </c>
      <c r="B725" s="172"/>
      <c r="C725" s="172"/>
      <c r="D725" s="172"/>
      <c r="E725" s="38" t="s">
        <v>852</v>
      </c>
      <c r="F725" s="172"/>
      <c r="G725" s="172"/>
      <c r="H725" s="172"/>
      <c r="I725" s="38" t="s">
        <v>852</v>
      </c>
      <c r="J725" s="172"/>
      <c r="K725" s="172"/>
      <c r="L725" s="172"/>
      <c r="M725" s="38" t="s">
        <v>852</v>
      </c>
      <c r="N725" s="172"/>
      <c r="O725" s="172"/>
      <c r="P725" s="172"/>
      <c r="Q725" s="38" t="s">
        <v>852</v>
      </c>
      <c r="R725" s="38" t="s">
        <v>852</v>
      </c>
    </row>
    <row r="726" spans="1:20" ht="15.75" customHeight="1" x14ac:dyDescent="0.3">
      <c r="A726" s="234" t="s">
        <v>1021</v>
      </c>
      <c r="B726" s="172"/>
      <c r="C726" s="172"/>
      <c r="D726" s="172"/>
      <c r="E726" s="38" t="s">
        <v>852</v>
      </c>
      <c r="F726" s="172"/>
      <c r="G726" s="172"/>
      <c r="H726" s="172"/>
      <c r="I726" s="38" t="s">
        <v>852</v>
      </c>
      <c r="J726" s="172"/>
      <c r="K726" s="172"/>
      <c r="L726" s="172"/>
      <c r="M726" s="38" t="s">
        <v>852</v>
      </c>
      <c r="N726" s="172"/>
      <c r="O726" s="172"/>
      <c r="P726" s="172"/>
      <c r="Q726" s="38" t="s">
        <v>852</v>
      </c>
      <c r="R726" s="38" t="s">
        <v>852</v>
      </c>
    </row>
    <row r="727" spans="1:20" ht="15.75" customHeight="1" x14ac:dyDescent="0.3">
      <c r="A727" s="234" t="s">
        <v>557</v>
      </c>
      <c r="B727" s="172"/>
      <c r="C727" s="172"/>
      <c r="D727" s="172"/>
      <c r="E727" s="38" t="s">
        <v>852</v>
      </c>
      <c r="F727" s="172"/>
      <c r="G727" s="172"/>
      <c r="H727" s="172"/>
      <c r="I727" s="38" t="s">
        <v>852</v>
      </c>
      <c r="J727" s="172"/>
      <c r="K727" s="172"/>
      <c r="L727" s="172"/>
      <c r="M727" s="38" t="s">
        <v>852</v>
      </c>
      <c r="N727" s="172"/>
      <c r="O727" s="172"/>
      <c r="P727" s="172"/>
      <c r="Q727" s="38" t="s">
        <v>852</v>
      </c>
      <c r="R727" s="38" t="s">
        <v>852</v>
      </c>
    </row>
    <row r="728" spans="1:20" ht="15.75" customHeight="1" x14ac:dyDescent="0.3">
      <c r="A728" s="539" t="s">
        <v>2585</v>
      </c>
      <c r="B728" s="172"/>
      <c r="C728" s="172"/>
      <c r="D728" s="172"/>
      <c r="E728" s="38">
        <f>SUM(B728:D728)</f>
        <v>0</v>
      </c>
      <c r="F728" s="172"/>
      <c r="G728" s="172"/>
      <c r="H728" s="172"/>
      <c r="I728" s="38">
        <f>SUM(F728:H728)</f>
        <v>0</v>
      </c>
      <c r="J728" s="172"/>
      <c r="K728" s="172"/>
      <c r="L728" s="172"/>
      <c r="M728" s="38">
        <f>SUM(J728:L728)</f>
        <v>0</v>
      </c>
      <c r="N728" s="172"/>
      <c r="O728" s="172"/>
      <c r="P728" s="172"/>
      <c r="Q728" s="38">
        <f>SUM(N728:P728)</f>
        <v>0</v>
      </c>
      <c r="R728" s="38">
        <f>+E728+I728+M728+Q728</f>
        <v>0</v>
      </c>
    </row>
    <row r="729" spans="1:20" ht="15.75" customHeight="1" x14ac:dyDescent="0.3">
      <c r="A729" s="539" t="s">
        <v>2586</v>
      </c>
      <c r="B729" s="172"/>
      <c r="C729" s="172"/>
      <c r="D729" s="172"/>
      <c r="E729" s="38">
        <f>SUM(B729:D729)</f>
        <v>0</v>
      </c>
      <c r="F729" s="172"/>
      <c r="G729" s="172"/>
      <c r="H729" s="172"/>
      <c r="I729" s="38">
        <f>SUM(F729:H729)</f>
        <v>0</v>
      </c>
      <c r="J729" s="172"/>
      <c r="K729" s="172"/>
      <c r="L729" s="172"/>
      <c r="M729" s="38">
        <f>SUM(J729:L729)</f>
        <v>0</v>
      </c>
      <c r="N729" s="172"/>
      <c r="O729" s="172"/>
      <c r="P729" s="172"/>
      <c r="Q729" s="38">
        <f>SUM(N729:P729)</f>
        <v>0</v>
      </c>
      <c r="R729" s="38">
        <f>+E729+I729+M729+Q729</f>
        <v>0</v>
      </c>
      <c r="S729" t="s">
        <v>3332</v>
      </c>
    </row>
    <row r="730" spans="1:20" ht="15.75" customHeight="1" x14ac:dyDescent="0.3">
      <c r="A730" s="539" t="s">
        <v>2587</v>
      </c>
      <c r="B730" s="172"/>
      <c r="C730" s="172"/>
      <c r="D730" s="172"/>
      <c r="E730" s="38">
        <f>SUM(B730:D730)</f>
        <v>0</v>
      </c>
      <c r="F730" s="172"/>
      <c r="G730" s="172"/>
      <c r="H730" s="172"/>
      <c r="I730" s="38">
        <f>SUM(F730:H730)</f>
        <v>0</v>
      </c>
      <c r="J730" s="172"/>
      <c r="K730" s="172"/>
      <c r="L730" s="172"/>
      <c r="M730" s="38">
        <f>SUM(J730:L730)</f>
        <v>0</v>
      </c>
      <c r="N730" s="172"/>
      <c r="O730" s="172"/>
      <c r="P730" s="172"/>
      <c r="Q730" s="38">
        <f>SUM(N730:P730)</f>
        <v>0</v>
      </c>
      <c r="R730" s="38">
        <f>+E730+I730+M730+Q730</f>
        <v>0</v>
      </c>
    </row>
    <row r="731" spans="1:20" ht="15.75" customHeight="1" x14ac:dyDescent="0.3">
      <c r="A731" s="539" t="s">
        <v>2588</v>
      </c>
      <c r="B731" s="172"/>
      <c r="C731" s="172"/>
      <c r="D731" s="172"/>
      <c r="E731" s="38">
        <f>SUM(B731:D731)</f>
        <v>0</v>
      </c>
      <c r="F731" s="172"/>
      <c r="G731" s="172"/>
      <c r="H731" s="172"/>
      <c r="I731" s="38">
        <f>SUM(F731:H731)</f>
        <v>0</v>
      </c>
      <c r="J731" s="172"/>
      <c r="K731" s="172"/>
      <c r="L731" s="172"/>
      <c r="M731" s="38">
        <f>SUM(J731:L731)</f>
        <v>0</v>
      </c>
      <c r="N731" s="172"/>
      <c r="O731" s="172"/>
      <c r="P731" s="172"/>
      <c r="Q731" s="38">
        <f>SUM(N731:P731)</f>
        <v>0</v>
      </c>
      <c r="R731" s="38">
        <f>+E731+I731+M731+Q731</f>
        <v>0</v>
      </c>
      <c r="S731" t="s">
        <v>3332</v>
      </c>
    </row>
    <row r="732" spans="1:20" ht="15.75" customHeight="1" x14ac:dyDescent="0.3">
      <c r="A732" s="234" t="s">
        <v>1022</v>
      </c>
      <c r="B732" s="172"/>
      <c r="C732" s="172"/>
      <c r="D732" s="172"/>
      <c r="E732" s="38" t="s">
        <v>852</v>
      </c>
      <c r="F732" s="172"/>
      <c r="G732" s="172"/>
      <c r="H732" s="172"/>
      <c r="I732" s="38" t="s">
        <v>852</v>
      </c>
      <c r="J732" s="172"/>
      <c r="K732" s="172"/>
      <c r="L732" s="172"/>
      <c r="M732" s="38" t="s">
        <v>852</v>
      </c>
      <c r="N732" s="172"/>
      <c r="O732" s="172"/>
      <c r="P732" s="172"/>
      <c r="Q732" s="38" t="s">
        <v>852</v>
      </c>
      <c r="R732" s="38" t="s">
        <v>852</v>
      </c>
    </row>
    <row r="733" spans="1:20" ht="15.75" customHeight="1" thickBot="1" x14ac:dyDescent="0.35">
      <c r="A733" s="234" t="s">
        <v>559</v>
      </c>
      <c r="B733" s="172"/>
      <c r="C733" s="172"/>
      <c r="D733" s="172"/>
      <c r="E733" s="38" t="s">
        <v>852</v>
      </c>
      <c r="F733" s="172"/>
      <c r="G733" s="172"/>
      <c r="H733" s="172"/>
      <c r="I733" s="38" t="s">
        <v>852</v>
      </c>
      <c r="J733" s="172"/>
      <c r="K733" s="172"/>
      <c r="L733" s="172"/>
      <c r="M733" s="38" t="s">
        <v>852</v>
      </c>
      <c r="N733" s="172"/>
      <c r="O733" s="172"/>
      <c r="P733" s="172"/>
      <c r="Q733" s="38" t="s">
        <v>852</v>
      </c>
      <c r="R733" s="38" t="s">
        <v>852</v>
      </c>
    </row>
    <row r="734" spans="1:20" ht="16.5" customHeight="1" thickBot="1" x14ac:dyDescent="0.35">
      <c r="A734" s="43" t="s">
        <v>1019</v>
      </c>
      <c r="B734" s="42">
        <f>SUM(B732:B733)</f>
        <v>0</v>
      </c>
      <c r="C734" s="42">
        <f>SUM(C732:C733)</f>
        <v>0</v>
      </c>
      <c r="D734" s="42">
        <f>SUM(D732:D733)</f>
        <v>0</v>
      </c>
      <c r="E734" s="39">
        <f>SUM(B734:D734)</f>
        <v>0</v>
      </c>
      <c r="F734" s="42">
        <f>SUM(F732:F733)</f>
        <v>0</v>
      </c>
      <c r="G734" s="42">
        <f>SUM(G732:G733)</f>
        <v>0</v>
      </c>
      <c r="H734" s="42">
        <f>SUM(H732:H733)</f>
        <v>0</v>
      </c>
      <c r="I734" s="39">
        <f>SUM(F734:H734)</f>
        <v>0</v>
      </c>
      <c r="J734" s="42">
        <f>SUM(J732:J733)</f>
        <v>0</v>
      </c>
      <c r="K734" s="42">
        <f>SUM(K732:K733)</f>
        <v>0</v>
      </c>
      <c r="L734" s="42">
        <f>SUM(L732:L733)</f>
        <v>0</v>
      </c>
      <c r="M734" s="39">
        <f>SUM(J734:L734)</f>
        <v>0</v>
      </c>
      <c r="N734" s="42">
        <f>SUM(N732:N733)</f>
        <v>0</v>
      </c>
      <c r="O734" s="42">
        <f>SUM(O732:O733)</f>
        <v>0</v>
      </c>
      <c r="P734" s="42">
        <f>SUM(P732:P733)</f>
        <v>0</v>
      </c>
      <c r="Q734" s="39">
        <f>SUM(N734:P734)</f>
        <v>0</v>
      </c>
      <c r="R734" s="37">
        <f>+E734+I734+M734+Q734</f>
        <v>0</v>
      </c>
    </row>
    <row r="735" spans="1:20" ht="16.5" customHeight="1" thickBot="1" x14ac:dyDescent="0.35">
      <c r="A735" s="277" t="s">
        <v>1221</v>
      </c>
      <c r="B735" s="45">
        <f>SUM(B725:B733)</f>
        <v>0</v>
      </c>
      <c r="C735" s="46">
        <f>SUM(C725:C733)</f>
        <v>0</v>
      </c>
      <c r="D735" s="58">
        <f>SUM(D725:D733)</f>
        <v>0</v>
      </c>
      <c r="E735" s="39">
        <f>SUM(B735:D735)</f>
        <v>0</v>
      </c>
      <c r="F735" s="46">
        <f>SUM(F725:F733)</f>
        <v>0</v>
      </c>
      <c r="G735" s="46">
        <f>SUM(G725:G733)</f>
        <v>0</v>
      </c>
      <c r="H735" s="46">
        <f>SUM(H725:H733)</f>
        <v>0</v>
      </c>
      <c r="I735" s="39">
        <f>SUM(F735:H735)</f>
        <v>0</v>
      </c>
      <c r="J735" s="46">
        <f>SUM(J725:J733)</f>
        <v>0</v>
      </c>
      <c r="K735" s="46">
        <f>SUM(K725:K733)</f>
        <v>0</v>
      </c>
      <c r="L735" s="46">
        <f>SUM(L725:L733)</f>
        <v>0</v>
      </c>
      <c r="M735" s="39">
        <f>SUM(J735:L735)</f>
        <v>0</v>
      </c>
      <c r="N735" s="46">
        <f>SUM(N725:N733)</f>
        <v>0</v>
      </c>
      <c r="O735" s="46">
        <f>SUM(O725:O733)</f>
        <v>0</v>
      </c>
      <c r="P735" s="46">
        <f>SUM(P725:P733)</f>
        <v>0</v>
      </c>
      <c r="Q735" s="39">
        <f>SUM(N735:P735)</f>
        <v>0</v>
      </c>
      <c r="R735" s="37">
        <f>+E735+I735+M735+Q735</f>
        <v>0</v>
      </c>
    </row>
    <row r="736" spans="1:20" ht="16.5" customHeight="1" thickBot="1" x14ac:dyDescent="0.35">
      <c r="A736" s="43" t="s">
        <v>1222</v>
      </c>
      <c r="B736" s="47">
        <f>+B707+B711+B724+B735</f>
        <v>7952</v>
      </c>
      <c r="C736" s="42">
        <f>+C707+C711+C724+C735</f>
        <v>11730</v>
      </c>
      <c r="D736" s="42">
        <f>+D707+D711+D724+D735</f>
        <v>16019</v>
      </c>
      <c r="E736" s="37">
        <f>SUM(B736:D736)</f>
        <v>35701</v>
      </c>
      <c r="F736" s="42">
        <f>+F707+F711+F724+F735</f>
        <v>17285</v>
      </c>
      <c r="G736" s="42">
        <f>+G707+G711+G724+G735</f>
        <v>16424</v>
      </c>
      <c r="H736" s="42">
        <f>+H707+H711+H724+H735</f>
        <v>13941</v>
      </c>
      <c r="I736" s="37">
        <f>SUM(F736:H736)</f>
        <v>47650</v>
      </c>
      <c r="J736" s="42">
        <f>+J707+J711+J724+J735</f>
        <v>13368</v>
      </c>
      <c r="K736" s="42">
        <f>+K707+K711+K724+K735</f>
        <v>15487</v>
      </c>
      <c r="L736" s="42">
        <f>+L707+L711+L724+L735</f>
        <v>12637</v>
      </c>
      <c r="M736" s="37">
        <f>SUM(J736:L736)</f>
        <v>41492</v>
      </c>
      <c r="N736" s="42">
        <f>+N707+N711+N724+N735</f>
        <v>5649</v>
      </c>
      <c r="O736" s="42">
        <f>+O707+O711+O724+O735</f>
        <v>1592</v>
      </c>
      <c r="P736" s="42">
        <f>+P707+P711+P724+P735</f>
        <v>2333</v>
      </c>
      <c r="Q736" s="37">
        <f>SUM(N736:P736)</f>
        <v>9574</v>
      </c>
      <c r="R736" s="40">
        <f>+E736+I736+M736+Q736</f>
        <v>134417</v>
      </c>
    </row>
    <row r="737" spans="1:18" ht="16.5" customHeight="1" thickBot="1" x14ac:dyDescent="0.35">
      <c r="A737" s="250" t="s">
        <v>853</v>
      </c>
      <c r="B737" s="238">
        <v>22</v>
      </c>
      <c r="C737" s="238">
        <v>24</v>
      </c>
      <c r="D737" s="238">
        <v>31</v>
      </c>
      <c r="E737" s="37">
        <f>SUM(B737:D737)</f>
        <v>77</v>
      </c>
      <c r="F737" s="238">
        <v>40</v>
      </c>
      <c r="G737" s="238">
        <v>45</v>
      </c>
      <c r="H737" s="238">
        <v>48</v>
      </c>
      <c r="I737" s="37">
        <f>SUM(F737:H737)</f>
        <v>133</v>
      </c>
      <c r="J737" s="238">
        <v>42</v>
      </c>
      <c r="K737" s="238">
        <v>39</v>
      </c>
      <c r="L737" s="238">
        <v>38</v>
      </c>
      <c r="M737" s="37">
        <f>SUM(J737:L737)</f>
        <v>119</v>
      </c>
      <c r="N737" s="238">
        <v>32</v>
      </c>
      <c r="O737" s="238">
        <v>25</v>
      </c>
      <c r="P737" s="238">
        <v>21</v>
      </c>
      <c r="Q737" s="37">
        <f>SUM(N737:P737)</f>
        <v>78</v>
      </c>
      <c r="R737" s="39">
        <f>+E737+I737+M737+Q737</f>
        <v>407</v>
      </c>
    </row>
    <row r="738" spans="1:18" ht="16.5" customHeight="1" thickBot="1" x14ac:dyDescent="0.35">
      <c r="A738" s="22"/>
      <c r="B738" s="242"/>
      <c r="C738" s="242"/>
      <c r="D738" s="242"/>
      <c r="E738" s="233"/>
      <c r="F738" s="242"/>
      <c r="G738" s="242"/>
      <c r="H738" s="242"/>
      <c r="I738" s="233"/>
      <c r="J738" s="242"/>
      <c r="K738" s="242"/>
      <c r="L738" s="242"/>
      <c r="M738" s="233"/>
      <c r="N738" s="242"/>
      <c r="O738" s="242"/>
      <c r="P738" s="242"/>
      <c r="Q738" s="233"/>
      <c r="R738" s="21"/>
    </row>
    <row r="739" spans="1:18" ht="15.75" customHeight="1" x14ac:dyDescent="0.3">
      <c r="A739" s="234" t="s">
        <v>120</v>
      </c>
      <c r="B739" s="172">
        <f>+SUM(B736:B737)</f>
        <v>7974</v>
      </c>
      <c r="C739" s="172">
        <f>+SUM(C736:C737)</f>
        <v>11754</v>
      </c>
      <c r="D739" s="172">
        <f>+SUM(D736:D737)</f>
        <v>16050</v>
      </c>
      <c r="E739" s="39">
        <f>SUM(B739:D739)</f>
        <v>35778</v>
      </c>
      <c r="F739" s="172">
        <f>+SUM(F736:F737)</f>
        <v>17325</v>
      </c>
      <c r="G739" s="172">
        <f>+SUM(G736:G737)</f>
        <v>16469</v>
      </c>
      <c r="H739" s="172">
        <f>+SUM(H736:H737)</f>
        <v>13989</v>
      </c>
      <c r="I739" s="39">
        <f>SUM(F739:H739)</f>
        <v>47783</v>
      </c>
      <c r="J739" s="172">
        <f>+SUM(J736:J737)</f>
        <v>13410</v>
      </c>
      <c r="K739" s="172">
        <f>+SUM(K736:K737)</f>
        <v>15526</v>
      </c>
      <c r="L739" s="172">
        <f>+SUM(L736:L737)</f>
        <v>12675</v>
      </c>
      <c r="M739" s="39">
        <f>SUM(J739:L739)</f>
        <v>41611</v>
      </c>
      <c r="N739" s="172">
        <f>+SUM(N736:N737)</f>
        <v>5681</v>
      </c>
      <c r="O739" s="172">
        <f>+SUM(O736:O737)</f>
        <v>1617</v>
      </c>
      <c r="P739" s="172">
        <f>+SUM(P736:P737)</f>
        <v>2354</v>
      </c>
      <c r="Q739" s="39">
        <f>SUM(N739:P739)</f>
        <v>9652</v>
      </c>
      <c r="R739" s="39">
        <f>+E739+I739+M739+Q739</f>
        <v>134824</v>
      </c>
    </row>
    <row r="740" spans="1:18" ht="15.75" customHeight="1" x14ac:dyDescent="0.3">
      <c r="A740" s="234" t="s">
        <v>1897</v>
      </c>
      <c r="B740" s="172">
        <f>(B739/B10)/1.983</f>
        <v>129.715484847006</v>
      </c>
      <c r="C740" s="172">
        <f>(C739/C10)/1.983</f>
        <v>211.69224119299761</v>
      </c>
      <c r="D740" s="172">
        <f>(D739/D10)/1.983</f>
        <v>261.09023473720168</v>
      </c>
      <c r="E740" s="38" t="s">
        <v>852</v>
      </c>
      <c r="F740" s="172">
        <f>(F739/F10)/1.983</f>
        <v>291.22541603630862</v>
      </c>
      <c r="G740" s="172">
        <f>(G739/G10)/1.983</f>
        <v>267.90623525775544</v>
      </c>
      <c r="H740" s="172">
        <f>(H739/H10)/1.983</f>
        <v>235.14876449823498</v>
      </c>
      <c r="I740" s="38" t="s">
        <v>852</v>
      </c>
      <c r="J740" s="172">
        <f>(J739/J10)/1.983</f>
        <v>218.14455126640962</v>
      </c>
      <c r="K740" s="172">
        <f>(K739/K10)/1.983</f>
        <v>252.56616726042324</v>
      </c>
      <c r="L740" s="172">
        <f>(L739/L10)/1.983</f>
        <v>213.06101865859807</v>
      </c>
      <c r="M740" s="38" t="s">
        <v>852</v>
      </c>
      <c r="N740" s="172">
        <f>(N739/N10)/1.983</f>
        <v>92.414555983927897</v>
      </c>
      <c r="O740" s="172">
        <f>(O739/O10)/1.983</f>
        <v>27.181038830055471</v>
      </c>
      <c r="P740" s="172">
        <f>(P739/P10)/1.983</f>
        <v>38.293234428122915</v>
      </c>
      <c r="Q740" s="38" t="s">
        <v>852</v>
      </c>
      <c r="R740" s="38" t="s">
        <v>852</v>
      </c>
    </row>
    <row r="741" spans="1:18" ht="15.75" customHeight="1" x14ac:dyDescent="0.3">
      <c r="A741" s="234" t="s">
        <v>2390</v>
      </c>
      <c r="B741" s="172">
        <f>B739+B751</f>
        <v>11691</v>
      </c>
      <c r="C741" s="172">
        <f>C739+C751</f>
        <v>15825</v>
      </c>
      <c r="D741" s="172">
        <f>D739+D751</f>
        <v>18827</v>
      </c>
      <c r="E741" s="38">
        <f>SUM(B741:D741)</f>
        <v>46343</v>
      </c>
      <c r="F741" s="172">
        <f>F739+F751</f>
        <v>21275</v>
      </c>
      <c r="G741" s="172">
        <f>G739+G751</f>
        <v>21199</v>
      </c>
      <c r="H741" s="172">
        <f>H739+H751</f>
        <v>17889</v>
      </c>
      <c r="I741" s="38">
        <f>SUM(F741:H741)</f>
        <v>60363</v>
      </c>
      <c r="J741" s="172">
        <f>J739+J751</f>
        <v>16802</v>
      </c>
      <c r="K741" s="172">
        <f>K739+K751</f>
        <v>20052</v>
      </c>
      <c r="L741" s="172">
        <f>L739+L751</f>
        <v>16760</v>
      </c>
      <c r="M741" s="38">
        <f>SUM(J741:L741)</f>
        <v>53614</v>
      </c>
      <c r="N741" s="172">
        <f>N739+N751</f>
        <v>8857</v>
      </c>
      <c r="O741" s="172">
        <f>O739+O751</f>
        <v>3759</v>
      </c>
      <c r="P741" s="172">
        <f>P739+P751</f>
        <v>4262</v>
      </c>
      <c r="Q741" s="38">
        <f>SUM(N741:P741)</f>
        <v>16878</v>
      </c>
      <c r="R741" s="38">
        <f>+E741+I741+M741+Q741</f>
        <v>177198</v>
      </c>
    </row>
    <row r="742" spans="1:18" ht="16.5" customHeight="1" thickBot="1" x14ac:dyDescent="0.35">
      <c r="A742" s="237" t="s">
        <v>1716</v>
      </c>
      <c r="B742" s="238">
        <f>(B741/B10)/1.983</f>
        <v>190.1810550973598</v>
      </c>
      <c r="C742" s="238">
        <f>(C741/C10)/1.983</f>
        <v>285.01188675167492</v>
      </c>
      <c r="D742" s="238">
        <f>(D741/D10)/1.983</f>
        <v>306.26453890325837</v>
      </c>
      <c r="E742" s="40" t="s">
        <v>852</v>
      </c>
      <c r="F742" s="238">
        <f>(F741/F10)/1.983</f>
        <v>357.62312993780466</v>
      </c>
      <c r="G742" s="238">
        <f>(G741/G10)/1.983</f>
        <v>344.85058480959123</v>
      </c>
      <c r="H742" s="238">
        <f>(H741/H10)/1.983</f>
        <v>300.70600100857285</v>
      </c>
      <c r="I742" s="40" t="s">
        <v>852</v>
      </c>
      <c r="J742" s="238">
        <f>(J741/J10)/1.983</f>
        <v>273.32324760463945</v>
      </c>
      <c r="K742" s="238">
        <f>(K741/K10)/1.983</f>
        <v>326.19198672587964</v>
      </c>
      <c r="L742" s="238">
        <f>(L741/L10)/1.983</f>
        <v>281.72802151622119</v>
      </c>
      <c r="M742" s="40" t="s">
        <v>852</v>
      </c>
      <c r="N742" s="238">
        <f>(N741/N10)/1.983</f>
        <v>144.07951458363831</v>
      </c>
      <c r="O742" s="238">
        <f>(O741/O10)/1.983</f>
        <v>63.187090267271806</v>
      </c>
      <c r="P742" s="238">
        <f>(P741/P10)/1.983</f>
        <v>69.331251118377168</v>
      </c>
      <c r="Q742" s="40" t="s">
        <v>852</v>
      </c>
      <c r="R742" s="40" t="s">
        <v>852</v>
      </c>
    </row>
    <row r="743" spans="1:18" ht="15.75" customHeight="1" x14ac:dyDescent="0.3">
      <c r="A743" s="17"/>
      <c r="B743" s="172"/>
      <c r="C743" s="172"/>
      <c r="D743" s="172"/>
      <c r="E743" s="172"/>
      <c r="F743" s="172"/>
      <c r="G743" s="172"/>
      <c r="H743" s="172"/>
      <c r="I743" s="172"/>
      <c r="J743" s="172"/>
      <c r="K743" s="172"/>
      <c r="L743" s="172"/>
      <c r="M743" s="172"/>
      <c r="N743" s="172"/>
      <c r="O743" s="172"/>
      <c r="P743" s="172"/>
      <c r="Q743" s="172"/>
      <c r="R743" s="17"/>
    </row>
    <row r="744" spans="1:18" ht="15.75" customHeight="1" thickBot="1" x14ac:dyDescent="0.35">
      <c r="A744" s="17"/>
      <c r="B744" s="172"/>
      <c r="C744" s="172"/>
      <c r="D744" s="172"/>
      <c r="E744" s="172"/>
      <c r="F744" s="172"/>
      <c r="G744" s="172"/>
      <c r="H744" s="172"/>
      <c r="I744" s="172"/>
      <c r="J744" s="172"/>
      <c r="K744" s="172"/>
      <c r="L744" s="172"/>
      <c r="M744" s="172"/>
      <c r="N744" s="172"/>
      <c r="O744" s="172"/>
      <c r="P744" s="172"/>
      <c r="Q744" s="172"/>
      <c r="R744" s="17"/>
    </row>
    <row r="745" spans="1:18" ht="16.5" customHeight="1" thickBot="1" x14ac:dyDescent="0.35">
      <c r="A745" s="278" t="s">
        <v>374</v>
      </c>
      <c r="B745" s="4" t="s">
        <v>2090</v>
      </c>
      <c r="C745" s="5" t="s">
        <v>2091</v>
      </c>
      <c r="D745" s="5" t="s">
        <v>2234</v>
      </c>
      <c r="E745" s="33" t="s">
        <v>1594</v>
      </c>
      <c r="F745" s="5" t="s">
        <v>2235</v>
      </c>
      <c r="G745" s="5" t="s">
        <v>2236</v>
      </c>
      <c r="H745" s="5" t="s">
        <v>2237</v>
      </c>
      <c r="I745" s="35" t="s">
        <v>1595</v>
      </c>
      <c r="J745" s="5" t="s">
        <v>1504</v>
      </c>
      <c r="K745" s="5" t="s">
        <v>1505</v>
      </c>
      <c r="L745" s="5" t="s">
        <v>1506</v>
      </c>
      <c r="M745" s="35" t="s">
        <v>1596</v>
      </c>
      <c r="N745" s="5" t="s">
        <v>1507</v>
      </c>
      <c r="O745" s="5" t="s">
        <v>1508</v>
      </c>
      <c r="P745" s="5" t="s">
        <v>1509</v>
      </c>
      <c r="Q745" s="35" t="s">
        <v>1597</v>
      </c>
      <c r="R745" s="36" t="s">
        <v>1510</v>
      </c>
    </row>
    <row r="746" spans="1:18" ht="16.5" customHeight="1" thickBot="1" x14ac:dyDescent="0.35">
      <c r="A746" s="22"/>
      <c r="B746" s="242"/>
      <c r="C746" s="242"/>
      <c r="D746" s="242"/>
      <c r="E746" s="243"/>
      <c r="F746" s="242"/>
      <c r="G746" s="242"/>
      <c r="H746" s="242"/>
      <c r="I746" s="243"/>
      <c r="J746" s="242"/>
      <c r="K746" s="242"/>
      <c r="L746" s="242"/>
      <c r="M746" s="243"/>
      <c r="N746" s="242"/>
      <c r="O746" s="242"/>
      <c r="P746" s="242"/>
      <c r="Q746" s="243"/>
      <c r="R746" s="22"/>
    </row>
    <row r="747" spans="1:18" ht="16.5" customHeight="1" thickBot="1" x14ac:dyDescent="0.35">
      <c r="A747" s="244" t="s">
        <v>853</v>
      </c>
      <c r="B747" s="238">
        <v>2</v>
      </c>
      <c r="C747" s="238">
        <v>3</v>
      </c>
      <c r="D747" s="238">
        <v>5</v>
      </c>
      <c r="E747" s="38">
        <f>SUM(B747:D747)</f>
        <v>10</v>
      </c>
      <c r="F747" s="238">
        <v>7</v>
      </c>
      <c r="G747" s="238">
        <v>8</v>
      </c>
      <c r="H747" s="238">
        <v>9</v>
      </c>
      <c r="I747" s="38">
        <f>SUM(F747:H747)</f>
        <v>24</v>
      </c>
      <c r="J747" s="238">
        <v>7</v>
      </c>
      <c r="K747" s="238">
        <v>6</v>
      </c>
      <c r="L747" s="238">
        <v>6</v>
      </c>
      <c r="M747" s="38">
        <f>SUM(J747:L747)</f>
        <v>19</v>
      </c>
      <c r="N747" s="238">
        <v>5</v>
      </c>
      <c r="O747" s="238">
        <v>3</v>
      </c>
      <c r="P747" s="238">
        <v>2</v>
      </c>
      <c r="Q747" s="38">
        <f>SUM(N747:P747)</f>
        <v>10</v>
      </c>
      <c r="R747" s="39">
        <f>+E747+I747+M747+Q747</f>
        <v>63</v>
      </c>
    </row>
    <row r="748" spans="1:18" ht="16.5" customHeight="1" thickBot="1" x14ac:dyDescent="0.35">
      <c r="A748" s="22"/>
      <c r="B748" s="242"/>
      <c r="C748" s="242"/>
      <c r="D748" s="242"/>
      <c r="E748" s="233"/>
      <c r="F748" s="242"/>
      <c r="G748" s="242"/>
      <c r="H748" s="242"/>
      <c r="I748" s="233"/>
      <c r="J748" s="242"/>
      <c r="K748" s="242"/>
      <c r="L748" s="242"/>
      <c r="M748" s="233"/>
      <c r="N748" s="242"/>
      <c r="O748" s="242"/>
      <c r="P748" s="242"/>
      <c r="Q748" s="233"/>
      <c r="R748" s="21"/>
    </row>
    <row r="749" spans="1:18" ht="15.75" customHeight="1" x14ac:dyDescent="0.3">
      <c r="A749" s="234" t="s">
        <v>120</v>
      </c>
      <c r="B749" s="172">
        <f>B747</f>
        <v>2</v>
      </c>
      <c r="C749" s="172">
        <f>C747</f>
        <v>3</v>
      </c>
      <c r="D749" s="172">
        <f>D747</f>
        <v>5</v>
      </c>
      <c r="E749" s="39">
        <f>SUM(B749:D749)</f>
        <v>10</v>
      </c>
      <c r="F749" s="172">
        <f>F747</f>
        <v>7</v>
      </c>
      <c r="G749" s="172">
        <f>G747</f>
        <v>8</v>
      </c>
      <c r="H749" s="172">
        <f>H747</f>
        <v>9</v>
      </c>
      <c r="I749" s="39">
        <f>SUM(F749:H749)</f>
        <v>24</v>
      </c>
      <c r="J749" s="172">
        <f>J747</f>
        <v>7</v>
      </c>
      <c r="K749" s="172">
        <f>K747</f>
        <v>6</v>
      </c>
      <c r="L749" s="172">
        <f>L747</f>
        <v>6</v>
      </c>
      <c r="M749" s="39">
        <f>SUM(J749:L749)</f>
        <v>19</v>
      </c>
      <c r="N749" s="172">
        <f>N747</f>
        <v>5</v>
      </c>
      <c r="O749" s="172">
        <f>O747</f>
        <v>3</v>
      </c>
      <c r="P749" s="172">
        <f>P747</f>
        <v>2</v>
      </c>
      <c r="Q749" s="39">
        <f>SUM(N749:P749)</f>
        <v>10</v>
      </c>
      <c r="R749" s="39">
        <f>+E749+I749+M749+Q749</f>
        <v>63</v>
      </c>
    </row>
    <row r="750" spans="1:18" ht="15.75" customHeight="1" x14ac:dyDescent="0.3">
      <c r="A750" s="234" t="s">
        <v>1897</v>
      </c>
      <c r="B750" s="172">
        <f>(B749/B10)/1.983</f>
        <v>3.2534608689993978E-2</v>
      </c>
      <c r="C750" s="172">
        <f>(C749/C10)/1.983</f>
        <v>5.403068943159714E-2</v>
      </c>
      <c r="D750" s="172">
        <f>(D749/D10)/1.983</f>
        <v>8.1336521724984942E-2</v>
      </c>
      <c r="E750" s="38" t="s">
        <v>852</v>
      </c>
      <c r="F750" s="172">
        <f>(F749/F10)/1.983</f>
        <v>0.1176668347621449</v>
      </c>
      <c r="G750" s="172">
        <f>(G749/G10)/1.983</f>
        <v>0.13013843475997591</v>
      </c>
      <c r="H750" s="172">
        <f>(H749/H10)/1.983</f>
        <v>0.15128593040847199</v>
      </c>
      <c r="I750" s="38" t="s">
        <v>852</v>
      </c>
      <c r="J750" s="172">
        <f>(J749/J10)/1.983</f>
        <v>0.11387113041497893</v>
      </c>
      <c r="K750" s="172">
        <f>(K749/K10)/1.983</f>
        <v>9.7603826069981942E-2</v>
      </c>
      <c r="L750" s="172">
        <f>(L749/L10)/1.983</f>
        <v>0.10085728693898134</v>
      </c>
      <c r="M750" s="38" t="s">
        <v>852</v>
      </c>
      <c r="N750" s="172">
        <f>(N749/N10)/1.983</f>
        <v>8.1336521724984942E-2</v>
      </c>
      <c r="O750" s="172">
        <f>(O749/O10)/1.983</f>
        <v>5.0428643469490671E-2</v>
      </c>
      <c r="P750" s="172">
        <f>(P749/P10)/1.983</f>
        <v>3.2534608689993978E-2</v>
      </c>
      <c r="Q750" s="38" t="s">
        <v>852</v>
      </c>
      <c r="R750" s="38" t="s">
        <v>852</v>
      </c>
    </row>
    <row r="751" spans="1:18" ht="15.75" customHeight="1" x14ac:dyDescent="0.3">
      <c r="A751" s="234" t="s">
        <v>585</v>
      </c>
      <c r="B751" s="172">
        <f>B749+B785+B834-B780</f>
        <v>3717</v>
      </c>
      <c r="C751" s="172">
        <f>C749+C785+C834-C780</f>
        <v>4071</v>
      </c>
      <c r="D751" s="172">
        <f>D749+D785+D834-D780</f>
        <v>2777</v>
      </c>
      <c r="E751" s="38">
        <f>SUM(B751:D751)</f>
        <v>10565</v>
      </c>
      <c r="F751" s="172">
        <f>F749+F785+F834-F780</f>
        <v>3950</v>
      </c>
      <c r="G751" s="172">
        <f>G749+G785+G834-G780</f>
        <v>4730</v>
      </c>
      <c r="H751" s="172">
        <f>H749+H785+H834-H780</f>
        <v>3900</v>
      </c>
      <c r="I751" s="38">
        <f>SUM(F751:H751)</f>
        <v>12580</v>
      </c>
      <c r="J751" s="172">
        <f>J749+J785+J834-J780</f>
        <v>3392</v>
      </c>
      <c r="K751" s="172">
        <f>K749+K785+K834-K780</f>
        <v>4526</v>
      </c>
      <c r="L751" s="172">
        <f>L749+L785+L834-L780</f>
        <v>4085</v>
      </c>
      <c r="M751" s="38">
        <f>SUM(J751:L751)</f>
        <v>12003</v>
      </c>
      <c r="N751" s="172">
        <f>N749+N785+N834-N780</f>
        <v>3175.9999999999995</v>
      </c>
      <c r="O751" s="172">
        <f>O749+O785+O834-O780</f>
        <v>2142</v>
      </c>
      <c r="P751" s="172">
        <f>P749+P785+P834-P780</f>
        <v>1908</v>
      </c>
      <c r="Q751" s="38">
        <f>SUM(N751:P751)</f>
        <v>7226</v>
      </c>
      <c r="R751" s="38">
        <f>+E751+I751+M751+Q751</f>
        <v>42374</v>
      </c>
    </row>
    <row r="752" spans="1:18" ht="16.5" customHeight="1" thickBot="1" x14ac:dyDescent="0.35">
      <c r="A752" s="237" t="s">
        <v>57</v>
      </c>
      <c r="B752" s="238">
        <f>(B751/B10)/1.983</f>
        <v>60.465570250353814</v>
      </c>
      <c r="C752" s="238">
        <f>(C751/C10)/1.983</f>
        <v>73.319645558677323</v>
      </c>
      <c r="D752" s="238">
        <f>(D751/D10)/1.983</f>
        <v>45.174304166056636</v>
      </c>
      <c r="E752" s="40" t="s">
        <v>852</v>
      </c>
      <c r="F752" s="238">
        <f>(F751/F10)/1.983</f>
        <v>66.397713901496047</v>
      </c>
      <c r="G752" s="238">
        <f>(G751/G10)/1.983</f>
        <v>76.944349551835771</v>
      </c>
      <c r="H752" s="238">
        <f>(H751/H10)/1.983</f>
        <v>65.557236510337873</v>
      </c>
      <c r="I752" s="40" t="s">
        <v>852</v>
      </c>
      <c r="J752" s="238">
        <f>(J751/J10)/1.983</f>
        <v>55.178696338229791</v>
      </c>
      <c r="K752" s="238">
        <f>(K751/K10)/1.983</f>
        <v>73.625819465456374</v>
      </c>
      <c r="L752" s="238">
        <f>(L751/L10)/1.983</f>
        <v>68.667002857623118</v>
      </c>
      <c r="M752" s="40" t="s">
        <v>852</v>
      </c>
      <c r="N752" s="238">
        <f>(N751/N10)/1.983</f>
        <v>51.664958599710431</v>
      </c>
      <c r="O752" s="238">
        <f>(O751/O10)/1.983</f>
        <v>36.006051437216342</v>
      </c>
      <c r="P752" s="238">
        <f>(P751/P10)/1.983</f>
        <v>31.038016690254256</v>
      </c>
      <c r="Q752" s="40" t="s">
        <v>852</v>
      </c>
      <c r="R752" s="40" t="s">
        <v>852</v>
      </c>
    </row>
    <row r="753" spans="1:18" ht="15.75" customHeight="1" x14ac:dyDescent="0.3">
      <c r="A753" s="17"/>
      <c r="B753" s="172"/>
      <c r="C753" s="172"/>
      <c r="D753" s="172"/>
      <c r="E753" s="172"/>
      <c r="F753" s="172"/>
      <c r="G753" s="172"/>
      <c r="H753" s="172"/>
      <c r="I753" s="172"/>
      <c r="J753" s="172"/>
      <c r="K753" s="172"/>
      <c r="L753" s="172"/>
      <c r="M753" s="172"/>
      <c r="N753" s="172"/>
      <c r="O753" s="172"/>
      <c r="P753" s="172"/>
      <c r="Q753" s="172"/>
      <c r="R753" s="17"/>
    </row>
    <row r="754" spans="1:18" ht="15.75" customHeight="1" thickBot="1" x14ac:dyDescent="0.35">
      <c r="A754" s="17"/>
      <c r="B754" s="172"/>
      <c r="C754" s="172"/>
      <c r="D754" s="172"/>
      <c r="E754" s="172"/>
      <c r="F754" s="172"/>
      <c r="G754" s="172"/>
      <c r="H754" s="172"/>
      <c r="I754" s="172"/>
      <c r="J754" s="172"/>
      <c r="K754" s="172"/>
      <c r="L754" s="172"/>
      <c r="M754" s="172"/>
      <c r="N754" s="172"/>
      <c r="O754" s="172"/>
      <c r="P754" s="172"/>
      <c r="Q754" s="172"/>
      <c r="R754" s="17"/>
    </row>
    <row r="755" spans="1:18" ht="16.5" customHeight="1" thickBot="1" x14ac:dyDescent="0.35">
      <c r="A755" s="278" t="s">
        <v>1709</v>
      </c>
      <c r="B755" s="4" t="s">
        <v>2090</v>
      </c>
      <c r="C755" s="5" t="s">
        <v>2091</v>
      </c>
      <c r="D755" s="5" t="s">
        <v>2234</v>
      </c>
      <c r="E755" s="35" t="s">
        <v>1594</v>
      </c>
      <c r="F755" s="5" t="s">
        <v>2235</v>
      </c>
      <c r="G755" s="5" t="s">
        <v>2236</v>
      </c>
      <c r="H755" s="5" t="s">
        <v>2237</v>
      </c>
      <c r="I755" s="35" t="s">
        <v>1595</v>
      </c>
      <c r="J755" s="5" t="s">
        <v>1504</v>
      </c>
      <c r="K755" s="5" t="s">
        <v>1505</v>
      </c>
      <c r="L755" s="5" t="s">
        <v>1506</v>
      </c>
      <c r="M755" s="35" t="s">
        <v>1596</v>
      </c>
      <c r="N755" s="5" t="s">
        <v>1507</v>
      </c>
      <c r="O755" s="5" t="s">
        <v>1508</v>
      </c>
      <c r="P755" s="5" t="s">
        <v>1509</v>
      </c>
      <c r="Q755" s="35" t="s">
        <v>1597</v>
      </c>
      <c r="R755" s="59" t="s">
        <v>1510</v>
      </c>
    </row>
    <row r="756" spans="1:18" ht="16.5" customHeight="1" thickBot="1" x14ac:dyDescent="0.35">
      <c r="A756" s="22"/>
      <c r="B756" s="242"/>
      <c r="C756" s="242"/>
      <c r="D756" s="242"/>
      <c r="E756" s="282"/>
      <c r="F756" s="242"/>
      <c r="G756" s="242"/>
      <c r="H756" s="242"/>
      <c r="I756" s="282"/>
      <c r="J756" s="242"/>
      <c r="K756" s="242"/>
      <c r="L756" s="242"/>
      <c r="M756" s="282"/>
      <c r="N756" s="242"/>
      <c r="O756" s="242"/>
      <c r="P756" s="242"/>
      <c r="Q756" s="282"/>
      <c r="R756" s="19"/>
    </row>
    <row r="757" spans="1:18" ht="15.75" customHeight="1" x14ac:dyDescent="0.3">
      <c r="A757" s="234" t="s">
        <v>2417</v>
      </c>
      <c r="B757" s="172" t="s">
        <v>852</v>
      </c>
      <c r="C757" s="172" t="s">
        <v>852</v>
      </c>
      <c r="D757" s="172" t="s">
        <v>852</v>
      </c>
      <c r="E757" s="38" t="s">
        <v>852</v>
      </c>
      <c r="F757" s="172" t="s">
        <v>852</v>
      </c>
      <c r="G757" s="172" t="s">
        <v>852</v>
      </c>
      <c r="H757" s="172" t="s">
        <v>852</v>
      </c>
      <c r="I757" s="38" t="s">
        <v>852</v>
      </c>
      <c r="J757" s="172" t="s">
        <v>852</v>
      </c>
      <c r="K757" s="172" t="s">
        <v>852</v>
      </c>
      <c r="L757" s="172" t="s">
        <v>852</v>
      </c>
      <c r="M757" s="38" t="s">
        <v>852</v>
      </c>
      <c r="N757" s="172" t="s">
        <v>852</v>
      </c>
      <c r="O757" s="172" t="s">
        <v>852</v>
      </c>
      <c r="P757" s="172" t="s">
        <v>852</v>
      </c>
      <c r="Q757" s="38" t="s">
        <v>852</v>
      </c>
      <c r="R757" s="38" t="s">
        <v>852</v>
      </c>
    </row>
    <row r="758" spans="1:18" ht="15.75" customHeight="1" x14ac:dyDescent="0.3">
      <c r="A758" s="234" t="s">
        <v>2160</v>
      </c>
      <c r="B758" s="172"/>
      <c r="C758" s="172"/>
      <c r="D758" s="172"/>
      <c r="E758" s="38" t="s">
        <v>852</v>
      </c>
      <c r="F758" s="172"/>
      <c r="G758" s="172"/>
      <c r="H758" s="172"/>
      <c r="I758" s="38" t="s">
        <v>852</v>
      </c>
      <c r="J758" s="172"/>
      <c r="K758" s="172"/>
      <c r="L758" s="172"/>
      <c r="M758" s="38" t="s">
        <v>852</v>
      </c>
      <c r="N758" s="172"/>
      <c r="O758" s="172"/>
      <c r="P758" s="172"/>
      <c r="Q758" s="38" t="s">
        <v>852</v>
      </c>
      <c r="R758" s="38" t="s">
        <v>852</v>
      </c>
    </row>
    <row r="759" spans="1:18" ht="15.75" customHeight="1" x14ac:dyDescent="0.3">
      <c r="A759" s="266" t="s">
        <v>573</v>
      </c>
      <c r="B759" s="172"/>
      <c r="C759" s="172"/>
      <c r="D759" s="172">
        <v>27</v>
      </c>
      <c r="E759" s="38">
        <f>SUM(B759:D759)</f>
        <v>27</v>
      </c>
      <c r="F759" s="172"/>
      <c r="G759" s="172"/>
      <c r="H759" s="172"/>
      <c r="I759" s="38">
        <f>SUM(F759:H759)</f>
        <v>0</v>
      </c>
      <c r="J759" s="172"/>
      <c r="K759" s="172"/>
      <c r="L759" s="172"/>
      <c r="M759" s="38">
        <f>SUM(J759:L759)</f>
        <v>0</v>
      </c>
      <c r="N759" s="172"/>
      <c r="O759" s="172"/>
      <c r="P759" s="172">
        <v>20</v>
      </c>
      <c r="Q759" s="38">
        <f>SUM(N759:P759)</f>
        <v>20</v>
      </c>
      <c r="R759" s="38">
        <f>+E759+I759+M759+Q759</f>
        <v>47</v>
      </c>
    </row>
    <row r="760" spans="1:18" ht="15.75" customHeight="1" x14ac:dyDescent="0.3">
      <c r="A760" s="234" t="s">
        <v>2161</v>
      </c>
      <c r="B760" s="172"/>
      <c r="C760" s="172"/>
      <c r="D760" s="172"/>
      <c r="E760" s="38" t="s">
        <v>852</v>
      </c>
      <c r="F760" s="172"/>
      <c r="G760" s="172"/>
      <c r="H760" s="172"/>
      <c r="I760" s="38" t="s">
        <v>852</v>
      </c>
      <c r="J760" s="172"/>
      <c r="K760" s="172"/>
      <c r="L760" s="172"/>
      <c r="M760" s="38" t="s">
        <v>852</v>
      </c>
      <c r="N760" s="172"/>
      <c r="O760" s="172"/>
      <c r="P760" s="172"/>
      <c r="Q760" s="38" t="s">
        <v>852</v>
      </c>
      <c r="R760" s="38" t="s">
        <v>852</v>
      </c>
    </row>
    <row r="761" spans="1:18" ht="15.75" customHeight="1" x14ac:dyDescent="0.3">
      <c r="A761" s="234" t="s">
        <v>3245</v>
      </c>
      <c r="B761" s="172"/>
      <c r="C761" s="172"/>
      <c r="D761" s="172"/>
      <c r="E761" s="38" t="s">
        <v>852</v>
      </c>
      <c r="F761" s="172"/>
      <c r="G761" s="172"/>
      <c r="H761" s="172"/>
      <c r="I761" s="38" t="s">
        <v>852</v>
      </c>
      <c r="J761" s="172"/>
      <c r="K761" s="172"/>
      <c r="L761" s="172"/>
      <c r="M761" s="38" t="s">
        <v>852</v>
      </c>
      <c r="N761" s="172"/>
      <c r="O761" s="172"/>
      <c r="P761" s="172"/>
      <c r="Q761" s="38" t="s">
        <v>852</v>
      </c>
      <c r="R761" s="38" t="s">
        <v>852</v>
      </c>
    </row>
    <row r="762" spans="1:18" ht="15.75" customHeight="1" thickBot="1" x14ac:dyDescent="0.35">
      <c r="A762" s="234" t="s">
        <v>2164</v>
      </c>
      <c r="B762" s="172"/>
      <c r="C762" s="172"/>
      <c r="D762" s="172"/>
      <c r="E762" s="38" t="s">
        <v>852</v>
      </c>
      <c r="F762" s="172"/>
      <c r="G762" s="172"/>
      <c r="H762" s="172"/>
      <c r="I762" s="38" t="s">
        <v>852</v>
      </c>
      <c r="J762" s="172"/>
      <c r="K762" s="172"/>
      <c r="L762" s="172"/>
      <c r="M762" s="38" t="s">
        <v>852</v>
      </c>
      <c r="N762" s="172"/>
      <c r="O762" s="172"/>
      <c r="P762" s="172"/>
      <c r="Q762" s="38" t="s">
        <v>852</v>
      </c>
      <c r="R762" s="38" t="s">
        <v>852</v>
      </c>
    </row>
    <row r="763" spans="1:18" ht="16.5" customHeight="1" thickBot="1" x14ac:dyDescent="0.35">
      <c r="A763" s="43" t="s">
        <v>1218</v>
      </c>
      <c r="B763" s="45">
        <f>SUM(B757:B762)</f>
        <v>0</v>
      </c>
      <c r="C763" s="46">
        <f>SUM(C757:C762)</f>
        <v>0</v>
      </c>
      <c r="D763" s="46">
        <f>SUM(D757:D762)</f>
        <v>27</v>
      </c>
      <c r="E763" s="37">
        <f>SUM(B763:D763)</f>
        <v>27</v>
      </c>
      <c r="F763" s="46">
        <f>SUM(F757:F762)</f>
        <v>0</v>
      </c>
      <c r="G763" s="46">
        <f>SUM(G757:G762)</f>
        <v>0</v>
      </c>
      <c r="H763" s="46">
        <f>SUM(H757:H762)</f>
        <v>0</v>
      </c>
      <c r="I763" s="37">
        <f>SUM(F763:H763)</f>
        <v>0</v>
      </c>
      <c r="J763" s="46">
        <f>SUM(J757:J762)</f>
        <v>0</v>
      </c>
      <c r="K763" s="46">
        <f>SUM(K757:K762)</f>
        <v>0</v>
      </c>
      <c r="L763" s="46">
        <f>SUM(L757:L762)</f>
        <v>0</v>
      </c>
      <c r="M763" s="37">
        <f>SUM(J763:L763)</f>
        <v>0</v>
      </c>
      <c r="N763" s="46">
        <f>SUM(N757:N762)</f>
        <v>0</v>
      </c>
      <c r="O763" s="46">
        <f>SUM(O757:O762)</f>
        <v>0</v>
      </c>
      <c r="P763" s="46">
        <f>SUM(P757:P762)</f>
        <v>20</v>
      </c>
      <c r="Q763" s="37">
        <f>SUM(N763:P763)</f>
        <v>20</v>
      </c>
      <c r="R763" s="37">
        <f>+E763+I763+M763+Q763</f>
        <v>47</v>
      </c>
    </row>
    <row r="764" spans="1:18" ht="15.75" customHeight="1" x14ac:dyDescent="0.3">
      <c r="A764" s="234" t="s">
        <v>1172</v>
      </c>
      <c r="B764" s="172"/>
      <c r="C764" s="172"/>
      <c r="D764" s="172"/>
      <c r="E764" s="38" t="s">
        <v>852</v>
      </c>
      <c r="F764" s="172"/>
      <c r="G764" s="172"/>
      <c r="H764" s="172"/>
      <c r="I764" s="38" t="s">
        <v>852</v>
      </c>
      <c r="J764" s="172"/>
      <c r="K764" s="172"/>
      <c r="L764" s="172"/>
      <c r="M764" s="38" t="s">
        <v>852</v>
      </c>
      <c r="N764" s="172"/>
      <c r="O764" s="172"/>
      <c r="P764" s="172"/>
      <c r="Q764" s="38" t="s">
        <v>852</v>
      </c>
      <c r="R764" s="38" t="s">
        <v>852</v>
      </c>
    </row>
    <row r="765" spans="1:18" ht="15.75" customHeight="1" x14ac:dyDescent="0.3">
      <c r="A765" s="234" t="s">
        <v>2409</v>
      </c>
      <c r="B765" s="172"/>
      <c r="C765" s="172"/>
      <c r="D765" s="172"/>
      <c r="E765" s="38" t="s">
        <v>852</v>
      </c>
      <c r="F765" s="172"/>
      <c r="G765" s="172"/>
      <c r="H765" s="172"/>
      <c r="I765" s="38" t="s">
        <v>852</v>
      </c>
      <c r="J765" s="172"/>
      <c r="K765" s="172"/>
      <c r="L765" s="172"/>
      <c r="M765" s="38" t="s">
        <v>852</v>
      </c>
      <c r="N765" s="172"/>
      <c r="O765" s="172"/>
      <c r="P765" s="172"/>
      <c r="Q765" s="38" t="s">
        <v>852</v>
      </c>
      <c r="R765" s="38" t="s">
        <v>852</v>
      </c>
    </row>
    <row r="766" spans="1:18" ht="15.75" customHeight="1" thickBot="1" x14ac:dyDescent="0.35">
      <c r="A766" s="234" t="s">
        <v>2165</v>
      </c>
      <c r="B766" s="172"/>
      <c r="C766" s="172"/>
      <c r="D766" s="172"/>
      <c r="E766" s="38" t="s">
        <v>852</v>
      </c>
      <c r="F766" s="172"/>
      <c r="G766" s="172"/>
      <c r="H766" s="172"/>
      <c r="I766" s="38" t="s">
        <v>852</v>
      </c>
      <c r="J766" s="172"/>
      <c r="K766" s="172"/>
      <c r="L766" s="172"/>
      <c r="M766" s="38" t="s">
        <v>852</v>
      </c>
      <c r="N766" s="172"/>
      <c r="O766" s="172"/>
      <c r="P766" s="172"/>
      <c r="Q766" s="38" t="s">
        <v>852</v>
      </c>
      <c r="R766" s="38" t="s">
        <v>852</v>
      </c>
    </row>
    <row r="767" spans="1:18" ht="16.5" customHeight="1" thickBot="1" x14ac:dyDescent="0.35">
      <c r="A767" s="43" t="s">
        <v>1219</v>
      </c>
      <c r="B767" s="45">
        <f>SUM(B764:B766)</f>
        <v>0</v>
      </c>
      <c r="C767" s="46">
        <f>SUM(C764:C766)</f>
        <v>0</v>
      </c>
      <c r="D767" s="46">
        <f>SUM(D764:D766)</f>
        <v>0</v>
      </c>
      <c r="E767" s="37">
        <f>SUM(B767:D767)</f>
        <v>0</v>
      </c>
      <c r="F767" s="46">
        <f>SUM(F764:F766)</f>
        <v>0</v>
      </c>
      <c r="G767" s="46">
        <f>SUM(G764:G766)</f>
        <v>0</v>
      </c>
      <c r="H767" s="46">
        <f>SUM(H764:H766)</f>
        <v>0</v>
      </c>
      <c r="I767" s="37">
        <f>SUM(F767:H767)</f>
        <v>0</v>
      </c>
      <c r="J767" s="46">
        <f>SUM(J764:J766)</f>
        <v>0</v>
      </c>
      <c r="K767" s="46">
        <f>SUM(K764:K766)</f>
        <v>0</v>
      </c>
      <c r="L767" s="46">
        <f>SUM(L764:L766)</f>
        <v>0</v>
      </c>
      <c r="M767" s="37">
        <f>SUM(J767:L767)</f>
        <v>0</v>
      </c>
      <c r="N767" s="46">
        <f>SUM(N764:N766)</f>
        <v>0</v>
      </c>
      <c r="O767" s="46">
        <f>SUM(O764:O766)</f>
        <v>0</v>
      </c>
      <c r="P767" s="46">
        <f>SUM(P764:P766)</f>
        <v>0</v>
      </c>
      <c r="Q767" s="37">
        <f>SUM(N767:P767)</f>
        <v>0</v>
      </c>
      <c r="R767" s="37">
        <f>+E767+I767+M767+Q767</f>
        <v>0</v>
      </c>
    </row>
    <row r="768" spans="1:18" ht="15.75" customHeight="1" x14ac:dyDescent="0.3">
      <c r="A768" s="234" t="s">
        <v>2166</v>
      </c>
      <c r="B768" s="172"/>
      <c r="C768" s="172"/>
      <c r="D768" s="172"/>
      <c r="E768" s="38" t="s">
        <v>852</v>
      </c>
      <c r="F768" s="172"/>
      <c r="G768" s="172"/>
      <c r="H768" s="172"/>
      <c r="I768" s="38" t="s">
        <v>852</v>
      </c>
      <c r="J768" s="172"/>
      <c r="K768" s="172"/>
      <c r="L768" s="172"/>
      <c r="M768" s="38" t="s">
        <v>852</v>
      </c>
      <c r="N768" s="172"/>
      <c r="O768" s="172"/>
      <c r="P768" s="172"/>
      <c r="Q768" s="38" t="s">
        <v>852</v>
      </c>
      <c r="R768" s="38" t="s">
        <v>852</v>
      </c>
    </row>
    <row r="769" spans="1:18" ht="15.75" customHeight="1" x14ac:dyDescent="0.3">
      <c r="A769" s="234" t="s">
        <v>1245</v>
      </c>
      <c r="B769" s="172"/>
      <c r="C769" s="172"/>
      <c r="D769" s="172"/>
      <c r="E769" s="38" t="s">
        <v>852</v>
      </c>
      <c r="F769" s="172"/>
      <c r="G769" s="172"/>
      <c r="H769" s="172"/>
      <c r="I769" s="38" t="s">
        <v>852</v>
      </c>
      <c r="J769" s="172"/>
      <c r="K769" s="172"/>
      <c r="L769" s="172"/>
      <c r="M769" s="38" t="s">
        <v>852</v>
      </c>
      <c r="N769" s="172"/>
      <c r="O769" s="172"/>
      <c r="P769" s="172"/>
      <c r="Q769" s="38" t="s">
        <v>852</v>
      </c>
      <c r="R769" s="38" t="s">
        <v>852</v>
      </c>
    </row>
    <row r="770" spans="1:18" ht="15.75" customHeight="1" thickBot="1" x14ac:dyDescent="0.35">
      <c r="A770" s="234" t="s">
        <v>1711</v>
      </c>
      <c r="B770" s="172"/>
      <c r="C770" s="172"/>
      <c r="D770" s="172"/>
      <c r="E770" s="38" t="s">
        <v>852</v>
      </c>
      <c r="F770" s="172"/>
      <c r="G770" s="172"/>
      <c r="H770" s="172"/>
      <c r="I770" s="38" t="s">
        <v>852</v>
      </c>
      <c r="J770" s="172"/>
      <c r="K770" s="172"/>
      <c r="L770" s="172"/>
      <c r="M770" s="38" t="s">
        <v>852</v>
      </c>
      <c r="N770" s="172"/>
      <c r="O770" s="172"/>
      <c r="P770" s="172"/>
      <c r="Q770" s="38" t="s">
        <v>852</v>
      </c>
      <c r="R770" s="38" t="s">
        <v>852</v>
      </c>
    </row>
    <row r="771" spans="1:18" ht="16.5" customHeight="1" thickBot="1" x14ac:dyDescent="0.35">
      <c r="A771" s="43" t="s">
        <v>1220</v>
      </c>
      <c r="B771" s="45">
        <f>SUM(B768:B770)</f>
        <v>0</v>
      </c>
      <c r="C771" s="46">
        <f>SUM(C768:C770)</f>
        <v>0</v>
      </c>
      <c r="D771" s="46">
        <f>SUM(D768:D770)</f>
        <v>0</v>
      </c>
      <c r="E771" s="37">
        <f>SUM(B771:D771)</f>
        <v>0</v>
      </c>
      <c r="F771" s="46">
        <f>SUM(F768:F770)</f>
        <v>0</v>
      </c>
      <c r="G771" s="46">
        <f>SUM(G768:G770)</f>
        <v>0</v>
      </c>
      <c r="H771" s="46">
        <f>SUM(H768:H770)</f>
        <v>0</v>
      </c>
      <c r="I771" s="37">
        <f>SUM(F771:H771)</f>
        <v>0</v>
      </c>
      <c r="J771" s="46">
        <f>SUM(J768:J770)</f>
        <v>0</v>
      </c>
      <c r="K771" s="46">
        <f>SUM(K768:K770)</f>
        <v>0</v>
      </c>
      <c r="L771" s="46">
        <f>SUM(L768:L770)</f>
        <v>0</v>
      </c>
      <c r="M771" s="37">
        <f>SUM(J771:L771)</f>
        <v>0</v>
      </c>
      <c r="N771" s="46">
        <f>SUM(N768:N770)</f>
        <v>0</v>
      </c>
      <c r="O771" s="46">
        <f>SUM(O768:O770)</f>
        <v>0</v>
      </c>
      <c r="P771" s="46">
        <f>SUM(P768:P770)</f>
        <v>0</v>
      </c>
      <c r="Q771" s="37">
        <f>SUM(N771:P771)</f>
        <v>0</v>
      </c>
      <c r="R771" s="37">
        <f>+E771+I771+M771+Q771</f>
        <v>0</v>
      </c>
    </row>
    <row r="772" spans="1:18" ht="15.75" customHeight="1" x14ac:dyDescent="0.3">
      <c r="A772" s="234" t="s">
        <v>1712</v>
      </c>
      <c r="B772" s="172"/>
      <c r="C772" s="172"/>
      <c r="D772" s="172"/>
      <c r="E772" s="38" t="s">
        <v>852</v>
      </c>
      <c r="F772" s="172"/>
      <c r="G772" s="172"/>
      <c r="H772" s="172"/>
      <c r="I772" s="38" t="s">
        <v>852</v>
      </c>
      <c r="J772" s="172"/>
      <c r="K772" s="172"/>
      <c r="L772" s="172"/>
      <c r="M772" s="38" t="s">
        <v>852</v>
      </c>
      <c r="N772" s="172"/>
      <c r="O772" s="172"/>
      <c r="P772" s="172"/>
      <c r="Q772" s="38" t="s">
        <v>852</v>
      </c>
      <c r="R772" s="38" t="s">
        <v>852</v>
      </c>
    </row>
    <row r="773" spans="1:18" ht="15.75" customHeight="1" x14ac:dyDescent="0.3">
      <c r="A773" s="234" t="s">
        <v>1021</v>
      </c>
      <c r="B773" s="172"/>
      <c r="C773" s="172"/>
      <c r="D773" s="172"/>
      <c r="E773" s="38" t="s">
        <v>852</v>
      </c>
      <c r="F773" s="172"/>
      <c r="G773" s="172"/>
      <c r="H773" s="172"/>
      <c r="I773" s="38" t="s">
        <v>852</v>
      </c>
      <c r="J773" s="172"/>
      <c r="K773" s="172"/>
      <c r="L773" s="172"/>
      <c r="M773" s="38" t="s">
        <v>852</v>
      </c>
      <c r="N773" s="172"/>
      <c r="O773" s="172"/>
      <c r="P773" s="172"/>
      <c r="Q773" s="38" t="s">
        <v>852</v>
      </c>
      <c r="R773" s="38" t="s">
        <v>852</v>
      </c>
    </row>
    <row r="774" spans="1:18" ht="15.75" customHeight="1" x14ac:dyDescent="0.3">
      <c r="A774" s="234" t="s">
        <v>557</v>
      </c>
      <c r="B774" s="172"/>
      <c r="C774" s="172"/>
      <c r="D774" s="172"/>
      <c r="E774" s="38" t="s">
        <v>852</v>
      </c>
      <c r="F774" s="172"/>
      <c r="G774" s="172"/>
      <c r="H774" s="172"/>
      <c r="I774" s="38" t="s">
        <v>852</v>
      </c>
      <c r="J774" s="172"/>
      <c r="K774" s="172"/>
      <c r="L774" s="172"/>
      <c r="M774" s="38" t="s">
        <v>852</v>
      </c>
      <c r="N774" s="172"/>
      <c r="O774" s="172"/>
      <c r="P774" s="172"/>
      <c r="Q774" s="38" t="s">
        <v>852</v>
      </c>
      <c r="R774" s="38" t="s">
        <v>852</v>
      </c>
    </row>
    <row r="775" spans="1:18" ht="15.75" customHeight="1" x14ac:dyDescent="0.3">
      <c r="A775" s="234" t="s">
        <v>1022</v>
      </c>
      <c r="B775" s="172"/>
      <c r="C775" s="172"/>
      <c r="D775" s="172"/>
      <c r="E775" s="38" t="s">
        <v>852</v>
      </c>
      <c r="F775" s="172"/>
      <c r="G775" s="172"/>
      <c r="H775" s="172"/>
      <c r="I775" s="38" t="s">
        <v>852</v>
      </c>
      <c r="J775" s="172"/>
      <c r="K775" s="172"/>
      <c r="L775" s="172"/>
      <c r="M775" s="38" t="s">
        <v>852</v>
      </c>
      <c r="N775" s="172"/>
      <c r="O775" s="172"/>
      <c r="P775" s="172"/>
      <c r="Q775" s="38" t="s">
        <v>852</v>
      </c>
      <c r="R775" s="38" t="s">
        <v>852</v>
      </c>
    </row>
    <row r="776" spans="1:18" ht="15.75" customHeight="1" thickBot="1" x14ac:dyDescent="0.35">
      <c r="A776" s="234" t="s">
        <v>559</v>
      </c>
      <c r="B776" s="172"/>
      <c r="C776" s="172"/>
      <c r="D776" s="172"/>
      <c r="E776" s="38" t="s">
        <v>852</v>
      </c>
      <c r="F776" s="172"/>
      <c r="G776" s="172"/>
      <c r="H776" s="172"/>
      <c r="I776" s="38" t="s">
        <v>852</v>
      </c>
      <c r="J776" s="172"/>
      <c r="K776" s="172"/>
      <c r="L776" s="172"/>
      <c r="M776" s="38" t="s">
        <v>852</v>
      </c>
      <c r="N776" s="172"/>
      <c r="O776" s="172"/>
      <c r="P776" s="172"/>
      <c r="Q776" s="38" t="s">
        <v>852</v>
      </c>
      <c r="R776" s="38" t="s">
        <v>852</v>
      </c>
    </row>
    <row r="777" spans="1:18" ht="16.5" customHeight="1" thickBot="1" x14ac:dyDescent="0.35">
      <c r="A777" s="43" t="s">
        <v>1019</v>
      </c>
      <c r="B777" s="42">
        <f>SUM(B775:B776)</f>
        <v>0</v>
      </c>
      <c r="C777" s="42">
        <f>SUM(C775:C776)</f>
        <v>0</v>
      </c>
      <c r="D777" s="42">
        <f>SUM(D775:D776)</f>
        <v>0</v>
      </c>
      <c r="E777" s="39">
        <f>SUM(B777:D777)</f>
        <v>0</v>
      </c>
      <c r="F777" s="42">
        <f>SUM(F775:F776)</f>
        <v>0</v>
      </c>
      <c r="G777" s="42">
        <f>SUM(G775:G776)</f>
        <v>0</v>
      </c>
      <c r="H777" s="42">
        <f>SUM(H775:H776)</f>
        <v>0</v>
      </c>
      <c r="I777" s="39">
        <f>SUM(F777:H777)</f>
        <v>0</v>
      </c>
      <c r="J777" s="42">
        <f>SUM(J775:J776)</f>
        <v>0</v>
      </c>
      <c r="K777" s="42">
        <f>SUM(K775:K776)</f>
        <v>0</v>
      </c>
      <c r="L777" s="42">
        <f>SUM(L775:L776)</f>
        <v>0</v>
      </c>
      <c r="M777" s="39">
        <f>SUM(J777:L777)</f>
        <v>0</v>
      </c>
      <c r="N777" s="42">
        <f>SUM(N775:N776)</f>
        <v>0</v>
      </c>
      <c r="O777" s="42">
        <f>SUM(O775:O776)</f>
        <v>0</v>
      </c>
      <c r="P777" s="42">
        <f>SUM(P775:P776)</f>
        <v>0</v>
      </c>
      <c r="Q777" s="39">
        <f>SUM(N777:P777)</f>
        <v>0</v>
      </c>
      <c r="R777" s="37">
        <f>+E777+I777+M777+Q777</f>
        <v>0</v>
      </c>
    </row>
    <row r="778" spans="1:18" ht="16.5" customHeight="1" thickBot="1" x14ac:dyDescent="0.35">
      <c r="A778" s="43" t="s">
        <v>1221</v>
      </c>
      <c r="B778" s="45">
        <f>SUM(B772:B776)</f>
        <v>0</v>
      </c>
      <c r="C778" s="46">
        <f>SUM(C772:C776)</f>
        <v>0</v>
      </c>
      <c r="D778" s="58">
        <f>SUM(D772:D776)</f>
        <v>0</v>
      </c>
      <c r="E778" s="39">
        <f>SUM(B778:D778)</f>
        <v>0</v>
      </c>
      <c r="F778" s="46">
        <f>SUM(F772:F776)</f>
        <v>0</v>
      </c>
      <c r="G778" s="46">
        <f>SUM(G772:G776)</f>
        <v>0</v>
      </c>
      <c r="H778" s="46">
        <f>SUM(H772:H776)</f>
        <v>0</v>
      </c>
      <c r="I778" s="39">
        <f>SUM(F778:H778)</f>
        <v>0</v>
      </c>
      <c r="J778" s="46">
        <f>SUM(J772:J776)</f>
        <v>0</v>
      </c>
      <c r="K778" s="46">
        <f>SUM(K772:K776)</f>
        <v>0</v>
      </c>
      <c r="L778" s="46">
        <f>SUM(L772:L776)</f>
        <v>0</v>
      </c>
      <c r="M778" s="39">
        <f>SUM(J778:L778)</f>
        <v>0</v>
      </c>
      <c r="N778" s="46">
        <f>SUM(N772:N776)</f>
        <v>0</v>
      </c>
      <c r="O778" s="46">
        <f>SUM(O772:O776)</f>
        <v>0</v>
      </c>
      <c r="P778" s="46">
        <f>SUM(P772:P776)</f>
        <v>0</v>
      </c>
      <c r="Q778" s="39">
        <f>SUM(N778:P778)</f>
        <v>0</v>
      </c>
      <c r="R778" s="37">
        <f>+E778+I778+M778+Q778</f>
        <v>0</v>
      </c>
    </row>
    <row r="779" spans="1:18" ht="16.5" customHeight="1" thickBot="1" x14ac:dyDescent="0.35">
      <c r="A779" s="43" t="s">
        <v>1222</v>
      </c>
      <c r="B779" s="47">
        <f>+B763+B767+B771+B778</f>
        <v>0</v>
      </c>
      <c r="C779" s="42">
        <f>+C763+C767+C771+C778</f>
        <v>0</v>
      </c>
      <c r="D779" s="42">
        <f>+D763+D767+D771+D778</f>
        <v>27</v>
      </c>
      <c r="E779" s="37">
        <f>SUM(B779:D779)</f>
        <v>27</v>
      </c>
      <c r="F779" s="42">
        <f>+F763+F767+F771+F778</f>
        <v>0</v>
      </c>
      <c r="G779" s="42">
        <f>+G763+G767+G771+G778</f>
        <v>0</v>
      </c>
      <c r="H779" s="42">
        <f>+H763+H767+H771+H778</f>
        <v>0</v>
      </c>
      <c r="I779" s="37">
        <f>SUM(F779:H779)</f>
        <v>0</v>
      </c>
      <c r="J779" s="42">
        <f>+J763+J767+J771+J778</f>
        <v>0</v>
      </c>
      <c r="K779" s="42">
        <f>+K763+K767+K771+K778</f>
        <v>0</v>
      </c>
      <c r="L779" s="42">
        <f>+L763+L767+L771+L778</f>
        <v>0</v>
      </c>
      <c r="M779" s="37">
        <f>SUM(J779:L779)</f>
        <v>0</v>
      </c>
      <c r="N779" s="42">
        <f>+N763+N767+N771+N778</f>
        <v>0</v>
      </c>
      <c r="O779" s="42">
        <f>+O763+O767+O771+O778</f>
        <v>0</v>
      </c>
      <c r="P779" s="42">
        <f>+P763+P767+P771+P778</f>
        <v>20</v>
      </c>
      <c r="Q779" s="37">
        <f>SUM(N779:P779)</f>
        <v>20</v>
      </c>
      <c r="R779" s="40">
        <f>+E779+I779+M779+Q779</f>
        <v>47</v>
      </c>
    </row>
    <row r="780" spans="1:18" ht="15.75" customHeight="1" x14ac:dyDescent="0.3">
      <c r="A780" s="266" t="s">
        <v>2117</v>
      </c>
      <c r="B780" s="10">
        <v>3753</v>
      </c>
      <c r="C780" s="10">
        <v>3023</v>
      </c>
      <c r="D780" s="10">
        <v>3753</v>
      </c>
      <c r="E780" s="38">
        <f>SUM(B780:D780)</f>
        <v>10529</v>
      </c>
      <c r="F780" s="10">
        <v>4566</v>
      </c>
      <c r="G780" s="10">
        <v>5871</v>
      </c>
      <c r="H780" s="10">
        <v>5822</v>
      </c>
      <c r="I780" s="38">
        <f>SUM(F780:H780)</f>
        <v>16259</v>
      </c>
      <c r="J780" s="10">
        <v>5226</v>
      </c>
      <c r="K780" s="10">
        <v>5706</v>
      </c>
      <c r="L780" s="10">
        <v>5582</v>
      </c>
      <c r="M780" s="38">
        <f>SUM(J780:L780)</f>
        <v>16514</v>
      </c>
      <c r="N780" s="10">
        <v>3589.6666666666665</v>
      </c>
      <c r="O780" s="10">
        <v>3783.8</v>
      </c>
      <c r="P780" s="10">
        <v>3294.2</v>
      </c>
      <c r="Q780" s="38">
        <f>SUM(N780:P780)</f>
        <v>10667.666666666668</v>
      </c>
      <c r="R780" s="38">
        <f>+E780+I780+M780+Q780</f>
        <v>53969.666666666672</v>
      </c>
    </row>
    <row r="781" spans="1:18" ht="15.75" customHeight="1" thickBot="1" x14ac:dyDescent="0.35">
      <c r="A781" s="266" t="s">
        <v>853</v>
      </c>
      <c r="B781" s="172">
        <v>0</v>
      </c>
      <c r="C781" s="172">
        <v>0</v>
      </c>
      <c r="D781" s="172">
        <v>0</v>
      </c>
      <c r="E781" s="38">
        <f>SUM(B781:D781)</f>
        <v>0</v>
      </c>
      <c r="F781" s="172">
        <v>0</v>
      </c>
      <c r="G781" s="172">
        <v>0</v>
      </c>
      <c r="H781" s="172">
        <v>0</v>
      </c>
      <c r="I781" s="38">
        <f>SUM(F781:H781)</f>
        <v>0</v>
      </c>
      <c r="J781" s="172">
        <v>0</v>
      </c>
      <c r="K781" s="172">
        <v>0</v>
      </c>
      <c r="L781" s="172">
        <v>0</v>
      </c>
      <c r="M781" s="38">
        <f>SUM(J781:L781)</f>
        <v>0</v>
      </c>
      <c r="N781" s="172">
        <v>0</v>
      </c>
      <c r="O781" s="172">
        <v>0</v>
      </c>
      <c r="P781" s="172">
        <v>0</v>
      </c>
      <c r="Q781" s="38">
        <f>SUM(N781:P781)</f>
        <v>0</v>
      </c>
      <c r="R781" s="38">
        <f>+E781+I781+M781+Q781</f>
        <v>0</v>
      </c>
    </row>
    <row r="782" spans="1:18" ht="16.5" customHeight="1" thickBot="1" x14ac:dyDescent="0.35">
      <c r="A782" s="281"/>
      <c r="B782" s="232"/>
      <c r="C782" s="232"/>
      <c r="D782" s="232"/>
      <c r="E782" s="37" t="s">
        <v>852</v>
      </c>
      <c r="F782" s="232"/>
      <c r="G782" s="232"/>
      <c r="H782" s="232"/>
      <c r="I782" s="37" t="s">
        <v>852</v>
      </c>
      <c r="J782" s="232"/>
      <c r="K782" s="232"/>
      <c r="L782" s="232"/>
      <c r="M782" s="37" t="s">
        <v>852</v>
      </c>
      <c r="N782" s="232"/>
      <c r="O782" s="232"/>
      <c r="P782" s="232"/>
      <c r="Q782" s="37"/>
      <c r="R782" s="37"/>
    </row>
    <row r="783" spans="1:18" ht="15.75" customHeight="1" x14ac:dyDescent="0.3">
      <c r="A783" s="234" t="s">
        <v>2011</v>
      </c>
      <c r="B783" s="172">
        <f>SUM(B779:B781)</f>
        <v>3753</v>
      </c>
      <c r="C783" s="172">
        <f>SUM(C779:C781)</f>
        <v>3023</v>
      </c>
      <c r="D783" s="172">
        <f>SUM(D779:D781)</f>
        <v>3780</v>
      </c>
      <c r="E783" s="39">
        <f>SUM(B783:D783)</f>
        <v>10556</v>
      </c>
      <c r="F783" s="172">
        <f>SUM(F779:F781)</f>
        <v>4566</v>
      </c>
      <c r="G783" s="172">
        <f>SUM(G779:G781)</f>
        <v>5871</v>
      </c>
      <c r="H783" s="172">
        <f>SUM(H779:H781)</f>
        <v>5822</v>
      </c>
      <c r="I783" s="39">
        <f>SUM(F783:H783)</f>
        <v>16259</v>
      </c>
      <c r="J783" s="172">
        <f>SUM(J779:J781)</f>
        <v>5226</v>
      </c>
      <c r="K783" s="172">
        <f>SUM(K779:K781)</f>
        <v>5706</v>
      </c>
      <c r="L783" s="172">
        <f>SUM(L779:L781)</f>
        <v>5582</v>
      </c>
      <c r="M783" s="39">
        <f>SUM(J783:L783)</f>
        <v>16514</v>
      </c>
      <c r="N783" s="172">
        <f>SUM(N779:N781)</f>
        <v>3589.6666666666665</v>
      </c>
      <c r="O783" s="172">
        <f>SUM(O779:O781)</f>
        <v>3783.8</v>
      </c>
      <c r="P783" s="172">
        <f>SUM(P779:P781)</f>
        <v>3314.2</v>
      </c>
      <c r="Q783" s="39">
        <f>SUM(N783:P783)</f>
        <v>10687.666666666668</v>
      </c>
      <c r="R783" s="39">
        <f>+E783+I783+M783+Q783</f>
        <v>54016.666666666672</v>
      </c>
    </row>
    <row r="784" spans="1:18" ht="15.75" customHeight="1" x14ac:dyDescent="0.3">
      <c r="A784" s="234" t="s">
        <v>1897</v>
      </c>
      <c r="B784" s="172">
        <f>(B783/B10)/1.983</f>
        <v>61.051193206773704</v>
      </c>
      <c r="C784" s="172">
        <f>(C783/C10)/1.983</f>
        <v>54.444924717239388</v>
      </c>
      <c r="D784" s="172">
        <f>(D783/D10)/1.983</f>
        <v>61.490410424088623</v>
      </c>
      <c r="E784" s="38" t="s">
        <v>852</v>
      </c>
      <c r="F784" s="172">
        <f>(F783/F10)/1.983</f>
        <v>76.75239536056479</v>
      </c>
      <c r="G784" s="172">
        <f>(G783/G10)/1.983</f>
        <v>95.505343809477324</v>
      </c>
      <c r="H784" s="172">
        <f>(H783/H10)/1.983</f>
        <v>97.86518742645822</v>
      </c>
      <c r="I784" s="38" t="s">
        <v>852</v>
      </c>
      <c r="J784" s="172">
        <f>(J783/J10)/1.983</f>
        <v>85.012932506954272</v>
      </c>
      <c r="K784" s="172">
        <f>(K783/K10)/1.983</f>
        <v>92.821238592552817</v>
      </c>
      <c r="L784" s="172">
        <f>(L783/L10)/1.983</f>
        <v>93.83089594889897</v>
      </c>
      <c r="M784" s="38" t="s">
        <v>852</v>
      </c>
      <c r="N784" s="172">
        <f>(N783/N10)/1.983</f>
        <v>58.394200163757532</v>
      </c>
      <c r="O784" s="172">
        <f>(O783/O10)/1.983</f>
        <v>63.603967053286269</v>
      </c>
      <c r="P784" s="172">
        <f>(P783/P10)/1.983</f>
        <v>53.913100060189024</v>
      </c>
      <c r="Q784" s="38" t="s">
        <v>852</v>
      </c>
      <c r="R784" s="38" t="s">
        <v>852</v>
      </c>
    </row>
    <row r="785" spans="1:20" ht="15.75" customHeight="1" x14ac:dyDescent="0.3">
      <c r="A785" s="234" t="s">
        <v>647</v>
      </c>
      <c r="B785" s="172">
        <f>B783</f>
        <v>3753</v>
      </c>
      <c r="C785" s="172">
        <f>C783</f>
        <v>3023</v>
      </c>
      <c r="D785" s="172">
        <f>D783</f>
        <v>3780</v>
      </c>
      <c r="E785" s="38">
        <f>SUM(B785:D785)</f>
        <v>10556</v>
      </c>
      <c r="F785" s="172">
        <f>F783</f>
        <v>4566</v>
      </c>
      <c r="G785" s="172">
        <f>G783</f>
        <v>5871</v>
      </c>
      <c r="H785" s="172">
        <f>H783</f>
        <v>5822</v>
      </c>
      <c r="I785" s="38">
        <f>SUM(F785:H785)</f>
        <v>16259</v>
      </c>
      <c r="J785" s="172">
        <f>J783</f>
        <v>5226</v>
      </c>
      <c r="K785" s="172">
        <f>K783</f>
        <v>5706</v>
      </c>
      <c r="L785" s="172">
        <f>L783</f>
        <v>5582</v>
      </c>
      <c r="M785" s="38">
        <f>SUM(J785:L785)</f>
        <v>16514</v>
      </c>
      <c r="N785" s="172">
        <f>N783</f>
        <v>3589.6666666666665</v>
      </c>
      <c r="O785" s="172">
        <f>O783</f>
        <v>3783.8</v>
      </c>
      <c r="P785" s="172">
        <f>P783</f>
        <v>3314.2</v>
      </c>
      <c r="Q785" s="38">
        <f>SUM(N785:P785)</f>
        <v>10687.666666666668</v>
      </c>
      <c r="R785" s="38">
        <f>+E785+I785+M785+Q785</f>
        <v>54016.666666666672</v>
      </c>
    </row>
    <row r="786" spans="1:20" ht="16.5" customHeight="1" thickBot="1" x14ac:dyDescent="0.35">
      <c r="A786" s="237" t="s">
        <v>2191</v>
      </c>
      <c r="B786" s="238">
        <f>(B785/B10)/1.983</f>
        <v>61.051193206773704</v>
      </c>
      <c r="C786" s="238">
        <f>(C785/C10)/1.983</f>
        <v>54.444924717239388</v>
      </c>
      <c r="D786" s="238">
        <f>(D785/D10)/1.983</f>
        <v>61.490410424088623</v>
      </c>
      <c r="E786" s="40" t="s">
        <v>852</v>
      </c>
      <c r="F786" s="238">
        <f>(F785/F10)/1.983</f>
        <v>76.75239536056479</v>
      </c>
      <c r="G786" s="238">
        <f>(G785/G10)/1.983</f>
        <v>95.505343809477324</v>
      </c>
      <c r="H786" s="238">
        <f>(H785/H10)/1.983</f>
        <v>97.86518742645822</v>
      </c>
      <c r="I786" s="40" t="s">
        <v>852</v>
      </c>
      <c r="J786" s="238">
        <f>(J785/J10)/1.983</f>
        <v>85.012932506954272</v>
      </c>
      <c r="K786" s="238">
        <f>(K785/K10)/1.983</f>
        <v>92.821238592552817</v>
      </c>
      <c r="L786" s="238">
        <f>(L785/L10)/1.983</f>
        <v>93.83089594889897</v>
      </c>
      <c r="M786" s="40" t="s">
        <v>852</v>
      </c>
      <c r="N786" s="238">
        <f>(N785/N10)/1.983</f>
        <v>58.394200163757532</v>
      </c>
      <c r="O786" s="238">
        <f>(O785/O10)/1.983</f>
        <v>63.603967053286269</v>
      </c>
      <c r="P786" s="238">
        <f>(P785/P10)/1.983</f>
        <v>53.913100060189024</v>
      </c>
      <c r="Q786" s="40" t="s">
        <v>852</v>
      </c>
      <c r="R786" s="40" t="s">
        <v>852</v>
      </c>
    </row>
    <row r="787" spans="1:20" ht="15.75" customHeight="1" x14ac:dyDescent="0.3">
      <c r="A787" s="17"/>
      <c r="B787" s="172"/>
      <c r="C787" s="172"/>
      <c r="D787" s="172"/>
      <c r="E787" s="172"/>
      <c r="F787" s="172"/>
      <c r="G787" s="172"/>
      <c r="H787" s="172"/>
      <c r="I787" s="172"/>
      <c r="J787" s="172"/>
      <c r="K787" s="172"/>
      <c r="L787" s="172"/>
      <c r="M787" s="172"/>
      <c r="N787" s="172"/>
      <c r="O787" s="172"/>
      <c r="P787" s="172"/>
      <c r="Q787" s="172"/>
      <c r="R787" s="17"/>
    </row>
    <row r="788" spans="1:20" ht="15.75" customHeight="1" thickBot="1" x14ac:dyDescent="0.35">
      <c r="A788" s="17"/>
      <c r="B788" s="172"/>
      <c r="C788" s="172"/>
      <c r="D788" s="172"/>
      <c r="E788" s="172"/>
      <c r="F788" s="172"/>
      <c r="G788" s="172"/>
      <c r="H788" s="172"/>
      <c r="I788" s="172"/>
      <c r="J788" s="172"/>
      <c r="K788" s="172"/>
      <c r="L788" s="172"/>
      <c r="M788" s="172"/>
      <c r="N788" s="172"/>
      <c r="O788" s="172"/>
      <c r="P788" s="172"/>
      <c r="Q788" s="172"/>
      <c r="R788" s="17"/>
    </row>
    <row r="789" spans="1:20" ht="16.5" customHeight="1" thickBot="1" x14ac:dyDescent="0.35">
      <c r="A789" s="278" t="s">
        <v>2192</v>
      </c>
      <c r="B789" s="4" t="s">
        <v>2090</v>
      </c>
      <c r="C789" s="5" t="s">
        <v>2091</v>
      </c>
      <c r="D789" s="5" t="s">
        <v>2234</v>
      </c>
      <c r="E789" s="33" t="s">
        <v>1594</v>
      </c>
      <c r="F789" s="5" t="s">
        <v>2235</v>
      </c>
      <c r="G789" s="5" t="s">
        <v>2236</v>
      </c>
      <c r="H789" s="5" t="s">
        <v>2237</v>
      </c>
      <c r="I789" s="35" t="s">
        <v>1595</v>
      </c>
      <c r="J789" s="5" t="s">
        <v>1504</v>
      </c>
      <c r="K789" s="5" t="s">
        <v>1505</v>
      </c>
      <c r="L789" s="5" t="s">
        <v>1506</v>
      </c>
      <c r="M789" s="35" t="s">
        <v>1596</v>
      </c>
      <c r="N789" s="5" t="s">
        <v>1507</v>
      </c>
      <c r="O789" s="5" t="s">
        <v>1508</v>
      </c>
      <c r="P789" s="5" t="s">
        <v>1509</v>
      </c>
      <c r="Q789" s="35" t="s">
        <v>1597</v>
      </c>
      <c r="R789" s="60" t="s">
        <v>1510</v>
      </c>
    </row>
    <row r="790" spans="1:20" ht="16.5" customHeight="1" thickBot="1" x14ac:dyDescent="0.35">
      <c r="A790" s="22"/>
      <c r="B790" s="242"/>
      <c r="C790" s="242"/>
      <c r="D790" s="242"/>
      <c r="E790" s="233"/>
      <c r="F790" s="242"/>
      <c r="G790" s="242"/>
      <c r="H790" s="242"/>
      <c r="I790" s="282"/>
      <c r="J790" s="242"/>
      <c r="K790" s="242"/>
      <c r="L790" s="242"/>
      <c r="M790" s="282"/>
      <c r="N790" s="242"/>
      <c r="O790" s="242"/>
      <c r="P790" s="242"/>
      <c r="Q790" s="283"/>
      <c r="R790" s="61"/>
    </row>
    <row r="791" spans="1:20" ht="15.75" customHeight="1" x14ac:dyDescent="0.3">
      <c r="A791" s="234" t="s">
        <v>2417</v>
      </c>
      <c r="B791" s="10" t="s">
        <v>852</v>
      </c>
      <c r="C791" s="10" t="s">
        <v>852</v>
      </c>
      <c r="D791" s="10" t="s">
        <v>852</v>
      </c>
      <c r="E791" s="327"/>
      <c r="F791" s="10" t="s">
        <v>852</v>
      </c>
      <c r="G791" s="10" t="s">
        <v>852</v>
      </c>
      <c r="H791" s="10" t="s">
        <v>852</v>
      </c>
      <c r="I791" s="327"/>
      <c r="J791" s="10" t="s">
        <v>852</v>
      </c>
      <c r="K791" s="10" t="s">
        <v>852</v>
      </c>
      <c r="L791" s="10" t="s">
        <v>852</v>
      </c>
      <c r="M791" s="327"/>
      <c r="N791" s="10" t="s">
        <v>852</v>
      </c>
      <c r="O791" s="10" t="s">
        <v>852</v>
      </c>
      <c r="P791" s="10" t="s">
        <v>852</v>
      </c>
      <c r="Q791" s="285"/>
      <c r="R791" s="62" t="s">
        <v>852</v>
      </c>
    </row>
    <row r="792" spans="1:20" ht="15.75" customHeight="1" x14ac:dyDescent="0.3">
      <c r="A792" s="234" t="s">
        <v>2160</v>
      </c>
      <c r="B792" s="10"/>
      <c r="C792" s="10"/>
      <c r="D792" s="10"/>
      <c r="E792" s="38" t="s">
        <v>852</v>
      </c>
      <c r="F792" s="10"/>
      <c r="G792" s="10"/>
      <c r="H792" s="10"/>
      <c r="I792" s="38" t="s">
        <v>852</v>
      </c>
      <c r="J792" s="10"/>
      <c r="K792" s="10"/>
      <c r="L792" s="10"/>
      <c r="M792" s="38" t="s">
        <v>852</v>
      </c>
      <c r="N792" s="10"/>
      <c r="O792" s="10"/>
      <c r="P792" s="10"/>
      <c r="Q792" s="38" t="s">
        <v>852</v>
      </c>
      <c r="R792" s="38" t="s">
        <v>852</v>
      </c>
    </row>
    <row r="793" spans="1:20" ht="15.75" customHeight="1" x14ac:dyDescent="0.3">
      <c r="A793" s="539" t="s">
        <v>3095</v>
      </c>
      <c r="B793" s="10"/>
      <c r="C793" s="10"/>
      <c r="D793" s="10"/>
      <c r="E793" s="38">
        <f>SUM(B793:D793)</f>
        <v>0</v>
      </c>
      <c r="F793" s="10"/>
      <c r="G793" s="10"/>
      <c r="H793" s="10"/>
      <c r="I793" s="38">
        <f>SUM(F793:H793)</f>
        <v>0</v>
      </c>
      <c r="J793" s="10"/>
      <c r="K793" s="10"/>
      <c r="L793" s="10"/>
      <c r="M793" s="38">
        <f>SUM(J793:L793)</f>
        <v>0</v>
      </c>
      <c r="N793" s="10"/>
      <c r="O793" s="10"/>
      <c r="P793" s="10"/>
      <c r="Q793" s="38">
        <f>SUM(N793:P793)</f>
        <v>0</v>
      </c>
      <c r="R793" s="38">
        <f>+E793+I793+M793+Q793</f>
        <v>0</v>
      </c>
      <c r="T793" t="s">
        <v>2765</v>
      </c>
    </row>
    <row r="794" spans="1:20" ht="15.75" customHeight="1" x14ac:dyDescent="0.3">
      <c r="A794" s="266" t="s">
        <v>1910</v>
      </c>
      <c r="B794" s="10"/>
      <c r="C794" s="10"/>
      <c r="D794" s="10"/>
      <c r="E794" s="38">
        <f>SUM(B794:D794)</f>
        <v>0</v>
      </c>
      <c r="F794" s="10"/>
      <c r="G794" s="10"/>
      <c r="H794" s="10"/>
      <c r="I794" s="38">
        <f>SUM(F794:H794)</f>
        <v>0</v>
      </c>
      <c r="J794" s="10"/>
      <c r="K794" s="10"/>
      <c r="L794" s="10"/>
      <c r="M794" s="38">
        <f>SUM(J794:L794)</f>
        <v>0</v>
      </c>
      <c r="N794" s="10"/>
      <c r="O794" s="10"/>
      <c r="P794" s="10"/>
      <c r="Q794" s="38">
        <f>SUM(N794:P794)</f>
        <v>0</v>
      </c>
      <c r="R794" s="38">
        <f>+E794+I794+M794+Q794</f>
        <v>0</v>
      </c>
    </row>
    <row r="795" spans="1:20" ht="15.75" customHeight="1" x14ac:dyDescent="0.3">
      <c r="A795" s="539" t="s">
        <v>604</v>
      </c>
      <c r="B795" s="10"/>
      <c r="C795" s="10"/>
      <c r="D795" s="10"/>
      <c r="E795" s="38">
        <f>SUM(B795:D795)</f>
        <v>0</v>
      </c>
      <c r="F795" s="10"/>
      <c r="G795" s="10"/>
      <c r="H795" s="10"/>
      <c r="I795" s="38">
        <f>SUM(F795:H795)</f>
        <v>0</v>
      </c>
      <c r="J795" s="10"/>
      <c r="K795" s="10"/>
      <c r="L795" s="10"/>
      <c r="M795" s="38">
        <f>SUM(J795:L795)</f>
        <v>0</v>
      </c>
      <c r="N795" s="10"/>
      <c r="O795" s="10"/>
      <c r="P795" s="10"/>
      <c r="Q795" s="38">
        <f>SUM(N795:P795)</f>
        <v>0</v>
      </c>
      <c r="R795" s="38">
        <f>+E795+I795+M795+Q795</f>
        <v>0</v>
      </c>
    </row>
    <row r="796" spans="1:20" ht="15.75" customHeight="1" x14ac:dyDescent="0.3">
      <c r="A796" s="539" t="s">
        <v>2996</v>
      </c>
      <c r="B796" s="10">
        <v>150</v>
      </c>
      <c r="C796" s="10"/>
      <c r="D796" s="10"/>
      <c r="E796" s="38">
        <f>SUM(B796:D796)</f>
        <v>150</v>
      </c>
      <c r="F796" s="10"/>
      <c r="G796" s="10"/>
      <c r="H796" s="10"/>
      <c r="I796" s="38">
        <f>SUM(F796:H796)</f>
        <v>0</v>
      </c>
      <c r="J796" s="10"/>
      <c r="K796" s="10"/>
      <c r="L796" s="10"/>
      <c r="M796" s="38">
        <f>SUM(J796:L796)</f>
        <v>0</v>
      </c>
      <c r="N796" s="10"/>
      <c r="O796" s="10"/>
      <c r="P796" s="10"/>
      <c r="Q796" s="38">
        <f>SUM(N796:P796)</f>
        <v>0</v>
      </c>
      <c r="R796" s="38">
        <f>+E796+I796+M796+Q796</f>
        <v>150</v>
      </c>
    </row>
    <row r="797" spans="1:20" ht="15.75" customHeight="1" x14ac:dyDescent="0.3">
      <c r="A797" s="310" t="s">
        <v>715</v>
      </c>
      <c r="B797" s="10">
        <v>2285</v>
      </c>
      <c r="C797" s="10">
        <v>3095</v>
      </c>
      <c r="D797" s="10">
        <v>1485</v>
      </c>
      <c r="E797" s="38">
        <f>SUM(B797:D797)</f>
        <v>6865</v>
      </c>
      <c r="F797" s="10">
        <v>2460</v>
      </c>
      <c r="G797" s="10">
        <v>2646</v>
      </c>
      <c r="H797" s="10">
        <v>1821</v>
      </c>
      <c r="I797" s="38">
        <f>SUM(F797:H797)</f>
        <v>6927</v>
      </c>
      <c r="J797" s="10">
        <v>500</v>
      </c>
      <c r="K797" s="10">
        <v>2505</v>
      </c>
      <c r="L797" s="10">
        <v>2777</v>
      </c>
      <c r="M797" s="38">
        <f>SUM(J797:L797)</f>
        <v>5782</v>
      </c>
      <c r="N797" s="10">
        <v>1137</v>
      </c>
      <c r="O797" s="10">
        <v>249</v>
      </c>
      <c r="P797" s="10">
        <v>1040</v>
      </c>
      <c r="Q797" s="38">
        <f>SUM(N797:P797)</f>
        <v>2426</v>
      </c>
      <c r="R797" s="38">
        <f>+E797+I797+M797+Q797</f>
        <v>22000</v>
      </c>
    </row>
    <row r="798" spans="1:20" ht="15.75" customHeight="1" x14ac:dyDescent="0.3">
      <c r="A798" s="234" t="s">
        <v>2161</v>
      </c>
      <c r="B798" s="10"/>
      <c r="C798" s="10"/>
      <c r="D798" s="10"/>
      <c r="E798" s="38" t="s">
        <v>852</v>
      </c>
      <c r="F798" s="10"/>
      <c r="G798" s="10"/>
      <c r="H798" s="10"/>
      <c r="I798" s="38" t="s">
        <v>852</v>
      </c>
      <c r="J798" s="10"/>
      <c r="K798" s="10"/>
      <c r="L798" s="10"/>
      <c r="M798" s="38" t="s">
        <v>852</v>
      </c>
      <c r="N798" s="10"/>
      <c r="O798" s="10"/>
      <c r="P798" s="10"/>
      <c r="Q798" s="38" t="s">
        <v>852</v>
      </c>
      <c r="R798" s="38" t="s">
        <v>852</v>
      </c>
    </row>
    <row r="799" spans="1:20" ht="15.75" customHeight="1" x14ac:dyDescent="0.3">
      <c r="A799" s="234" t="s">
        <v>3245</v>
      </c>
      <c r="B799" s="10"/>
      <c r="C799" s="10"/>
      <c r="D799" s="10"/>
      <c r="E799" s="38" t="s">
        <v>852</v>
      </c>
      <c r="F799" s="10"/>
      <c r="G799" s="10"/>
      <c r="H799" s="10"/>
      <c r="I799" s="38" t="s">
        <v>852</v>
      </c>
      <c r="J799" s="10"/>
      <c r="K799" s="10"/>
      <c r="L799" s="10"/>
      <c r="M799" s="38" t="s">
        <v>852</v>
      </c>
      <c r="N799" s="10"/>
      <c r="O799" s="10"/>
      <c r="P799" s="10"/>
      <c r="Q799" s="38" t="s">
        <v>852</v>
      </c>
      <c r="R799" s="38" t="s">
        <v>852</v>
      </c>
    </row>
    <row r="800" spans="1:20" ht="15.75" customHeight="1" x14ac:dyDescent="0.3">
      <c r="A800" s="539" t="s">
        <v>3266</v>
      </c>
      <c r="B800" s="172"/>
      <c r="C800" s="172"/>
      <c r="D800" s="172"/>
      <c r="E800" s="38">
        <f>SUM(B800:D800)</f>
        <v>0</v>
      </c>
      <c r="F800" s="172"/>
      <c r="G800" s="10"/>
      <c r="H800" s="10"/>
      <c r="I800" s="38">
        <f>SUM(F800:H800)</f>
        <v>0</v>
      </c>
      <c r="J800" s="10"/>
      <c r="K800" s="10"/>
      <c r="L800" s="10"/>
      <c r="M800" s="38">
        <f>SUM(J800:L800)</f>
        <v>0</v>
      </c>
      <c r="N800" s="10">
        <v>1136</v>
      </c>
      <c r="O800" s="10">
        <v>1214</v>
      </c>
      <c r="P800" s="10"/>
      <c r="Q800" s="38">
        <f>SUM(N800:P800)</f>
        <v>2350</v>
      </c>
      <c r="R800" s="38">
        <f>+E800+I800+M800+Q800</f>
        <v>2350</v>
      </c>
      <c r="S800" s="735" t="s">
        <v>3214</v>
      </c>
    </row>
    <row r="801" spans="1:20" ht="15.75" customHeight="1" thickBot="1" x14ac:dyDescent="0.35">
      <c r="A801" s="234" t="s">
        <v>2164</v>
      </c>
      <c r="B801" s="10"/>
      <c r="C801" s="10"/>
      <c r="D801" s="10"/>
      <c r="E801" s="38" t="s">
        <v>852</v>
      </c>
      <c r="F801" s="10"/>
      <c r="G801" s="10"/>
      <c r="H801" s="10"/>
      <c r="I801" s="38" t="s">
        <v>852</v>
      </c>
      <c r="J801" s="10"/>
      <c r="K801" s="10"/>
      <c r="L801" s="10"/>
      <c r="M801" s="38" t="s">
        <v>852</v>
      </c>
      <c r="N801" s="10"/>
      <c r="O801" s="10"/>
      <c r="P801" s="10"/>
      <c r="Q801" s="38" t="s">
        <v>852</v>
      </c>
      <c r="R801" s="38" t="s">
        <v>852</v>
      </c>
    </row>
    <row r="802" spans="1:20" ht="16.5" customHeight="1" thickBot="1" x14ac:dyDescent="0.35">
      <c r="A802" s="43" t="s">
        <v>1218</v>
      </c>
      <c r="B802" s="45">
        <f>SUM(B791:B801)</f>
        <v>2435</v>
      </c>
      <c r="C802" s="46">
        <f>SUM(C791:C801)</f>
        <v>3095</v>
      </c>
      <c r="D802" s="46">
        <f>SUM(D791:D801)</f>
        <v>1485</v>
      </c>
      <c r="E802" s="37">
        <f>SUM(B802:D802)</f>
        <v>7015</v>
      </c>
      <c r="F802" s="46">
        <f>SUM(F791:F801)</f>
        <v>2460</v>
      </c>
      <c r="G802" s="46">
        <f>SUM(G791:G801)</f>
        <v>2646</v>
      </c>
      <c r="H802" s="46">
        <f>SUM(H791:H801)</f>
        <v>1821</v>
      </c>
      <c r="I802" s="37">
        <f>SUM(F802:H802)</f>
        <v>6927</v>
      </c>
      <c r="J802" s="46">
        <f>SUM(J791:J801)</f>
        <v>500</v>
      </c>
      <c r="K802" s="46">
        <f>SUM(K791:K801)</f>
        <v>2505</v>
      </c>
      <c r="L802" s="46">
        <f>SUM(L791:L801)</f>
        <v>2777</v>
      </c>
      <c r="M802" s="37">
        <f>SUM(J802:L802)</f>
        <v>5782</v>
      </c>
      <c r="N802" s="46">
        <f>SUM(N791:N801)</f>
        <v>2273</v>
      </c>
      <c r="O802" s="46">
        <f>SUM(O791:O801)</f>
        <v>1463</v>
      </c>
      <c r="P802" s="46">
        <f>SUM(P791:P801)</f>
        <v>1040</v>
      </c>
      <c r="Q802" s="37">
        <f>SUM(N802:P802)</f>
        <v>4776</v>
      </c>
      <c r="R802" s="37">
        <f>+E802+I802+M802+Q802</f>
        <v>24500</v>
      </c>
    </row>
    <row r="803" spans="1:20" ht="15.75" customHeight="1" x14ac:dyDescent="0.3">
      <c r="A803" s="234" t="s">
        <v>1172</v>
      </c>
      <c r="B803" s="172"/>
      <c r="C803" s="172"/>
      <c r="D803" s="172"/>
      <c r="E803" s="38" t="s">
        <v>852</v>
      </c>
      <c r="F803" s="172"/>
      <c r="G803" s="172"/>
      <c r="H803" s="172"/>
      <c r="I803" s="38" t="s">
        <v>852</v>
      </c>
      <c r="J803" s="172"/>
      <c r="K803" s="172"/>
      <c r="L803" s="172"/>
      <c r="M803" s="38" t="s">
        <v>852</v>
      </c>
      <c r="N803" s="172"/>
      <c r="O803" s="172"/>
      <c r="P803" s="172"/>
      <c r="Q803" s="38" t="s">
        <v>852</v>
      </c>
      <c r="R803" s="38" t="s">
        <v>852</v>
      </c>
    </row>
    <row r="804" spans="1:20" ht="15.75" customHeight="1" x14ac:dyDescent="0.3">
      <c r="A804" s="234" t="s">
        <v>2409</v>
      </c>
      <c r="B804" s="172"/>
      <c r="C804" s="172"/>
      <c r="D804" s="172"/>
      <c r="E804" s="38" t="s">
        <v>852</v>
      </c>
      <c r="F804" s="172"/>
      <c r="G804" s="172"/>
      <c r="H804" s="172"/>
      <c r="I804" s="38" t="s">
        <v>852</v>
      </c>
      <c r="J804" s="172"/>
      <c r="K804" s="172"/>
      <c r="L804" s="172"/>
      <c r="M804" s="38" t="s">
        <v>852</v>
      </c>
      <c r="N804" s="172"/>
      <c r="O804" s="172"/>
      <c r="P804" s="172"/>
      <c r="Q804" s="38" t="s">
        <v>852</v>
      </c>
      <c r="R804" s="38" t="s">
        <v>852</v>
      </c>
    </row>
    <row r="805" spans="1:20" ht="15.75" customHeight="1" x14ac:dyDescent="0.3">
      <c r="A805" s="539" t="s">
        <v>1648</v>
      </c>
      <c r="B805" s="172"/>
      <c r="C805" s="172"/>
      <c r="D805" s="172"/>
      <c r="E805" s="38">
        <f>SUM(B805:D805)</f>
        <v>0</v>
      </c>
      <c r="F805" s="172"/>
      <c r="G805" s="172"/>
      <c r="H805" s="172"/>
      <c r="I805" s="38">
        <f>SUM(F805:H805)</f>
        <v>0</v>
      </c>
      <c r="J805" s="172"/>
      <c r="K805" s="172"/>
      <c r="L805" s="172"/>
      <c r="M805" s="38">
        <f>SUM(J805:L805)</f>
        <v>0</v>
      </c>
      <c r="N805" s="172"/>
      <c r="O805" s="172"/>
      <c r="P805" s="172"/>
      <c r="Q805" s="38">
        <f>SUM(N805:P805)</f>
        <v>0</v>
      </c>
      <c r="R805" s="38">
        <f>+E805+I805+M805+Q805</f>
        <v>0</v>
      </c>
    </row>
    <row r="806" spans="1:20" ht="15.75" customHeight="1" thickBot="1" x14ac:dyDescent="0.35">
      <c r="A806" s="234" t="s">
        <v>2165</v>
      </c>
      <c r="B806" s="172"/>
      <c r="C806" s="172"/>
      <c r="D806" s="172"/>
      <c r="E806" s="38" t="s">
        <v>852</v>
      </c>
      <c r="F806" s="172"/>
      <c r="G806" s="172"/>
      <c r="H806" s="172"/>
      <c r="I806" s="38" t="s">
        <v>852</v>
      </c>
      <c r="J806" s="172"/>
      <c r="K806" s="172"/>
      <c r="L806" s="172"/>
      <c r="M806" s="38" t="s">
        <v>852</v>
      </c>
      <c r="N806" s="172"/>
      <c r="O806" s="172"/>
      <c r="P806" s="172"/>
      <c r="Q806" s="38" t="s">
        <v>852</v>
      </c>
      <c r="R806" s="38" t="s">
        <v>852</v>
      </c>
    </row>
    <row r="807" spans="1:20" ht="16.5" customHeight="1" thickBot="1" x14ac:dyDescent="0.35">
      <c r="A807" s="43" t="s">
        <v>1219</v>
      </c>
      <c r="B807" s="45">
        <f>SUM(B803:B806)</f>
        <v>0</v>
      </c>
      <c r="C807" s="46">
        <f>SUM(C803:C806)</f>
        <v>0</v>
      </c>
      <c r="D807" s="46">
        <f>SUM(D803:D806)</f>
        <v>0</v>
      </c>
      <c r="E807" s="37">
        <f>SUM(B807:D807)</f>
        <v>0</v>
      </c>
      <c r="F807" s="46">
        <f>SUM(F803:F806)</f>
        <v>0</v>
      </c>
      <c r="G807" s="46">
        <f>SUM(G803:G806)</f>
        <v>0</v>
      </c>
      <c r="H807" s="46">
        <f>SUM(H803:H806)</f>
        <v>0</v>
      </c>
      <c r="I807" s="37">
        <f>SUM(F807:H807)</f>
        <v>0</v>
      </c>
      <c r="J807" s="46">
        <f>SUM(J803:J806)</f>
        <v>0</v>
      </c>
      <c r="K807" s="46">
        <f>SUM(K803:K806)</f>
        <v>0</v>
      </c>
      <c r="L807" s="46">
        <f>SUM(L803:L806)</f>
        <v>0</v>
      </c>
      <c r="M807" s="37">
        <f>SUM(J807:L807)</f>
        <v>0</v>
      </c>
      <c r="N807" s="46">
        <f>SUM(N803:N806)</f>
        <v>0</v>
      </c>
      <c r="O807" s="46">
        <f>SUM(O803:O806)</f>
        <v>0</v>
      </c>
      <c r="P807" s="46">
        <f>SUM(P803:P806)</f>
        <v>0</v>
      </c>
      <c r="Q807" s="37">
        <f>SUM(N807:P807)</f>
        <v>0</v>
      </c>
      <c r="R807" s="37">
        <f>+E807+I807+M807+Q807</f>
        <v>0</v>
      </c>
    </row>
    <row r="808" spans="1:20" ht="15.75" customHeight="1" x14ac:dyDescent="0.3">
      <c r="A808" s="234" t="s">
        <v>2166</v>
      </c>
      <c r="B808" s="10"/>
      <c r="C808" s="10"/>
      <c r="D808" s="10"/>
      <c r="E808" s="38" t="s">
        <v>852</v>
      </c>
      <c r="F808" s="10"/>
      <c r="G808" s="10"/>
      <c r="H808" s="10"/>
      <c r="I808" s="38" t="s">
        <v>852</v>
      </c>
      <c r="J808" s="10" t="s">
        <v>852</v>
      </c>
      <c r="K808" s="10"/>
      <c r="L808" s="10"/>
      <c r="M808" s="38" t="s">
        <v>852</v>
      </c>
      <c r="N808" s="10"/>
      <c r="O808" s="10"/>
      <c r="P808" s="10"/>
      <c r="Q808" s="38" t="s">
        <v>852</v>
      </c>
      <c r="R808" s="38" t="s">
        <v>852</v>
      </c>
    </row>
    <row r="809" spans="1:20" ht="18" customHeight="1" x14ac:dyDescent="0.3">
      <c r="A809" s="234" t="s">
        <v>1245</v>
      </c>
      <c r="B809" s="10"/>
      <c r="C809" s="10"/>
      <c r="D809" s="10"/>
      <c r="E809" s="38" t="s">
        <v>852</v>
      </c>
      <c r="F809" s="10"/>
      <c r="G809" s="10"/>
      <c r="H809" s="10"/>
      <c r="I809" s="38" t="s">
        <v>852</v>
      </c>
      <c r="J809" s="10"/>
      <c r="K809" s="10"/>
      <c r="L809" s="10"/>
      <c r="M809" s="38" t="s">
        <v>852</v>
      </c>
      <c r="N809" s="10"/>
      <c r="O809" s="10"/>
      <c r="P809" s="10"/>
      <c r="Q809" s="38" t="s">
        <v>852</v>
      </c>
      <c r="R809" s="38" t="s">
        <v>852</v>
      </c>
    </row>
    <row r="810" spans="1:20" ht="15.75" customHeight="1" x14ac:dyDescent="0.3">
      <c r="A810" s="539" t="s">
        <v>2750</v>
      </c>
      <c r="B810" s="10">
        <v>475</v>
      </c>
      <c r="C810" s="10">
        <v>267</v>
      </c>
      <c r="D810" s="10">
        <v>516</v>
      </c>
      <c r="E810" s="38">
        <f>SUM(B810:D810)</f>
        <v>1258</v>
      </c>
      <c r="F810" s="10">
        <v>756</v>
      </c>
      <c r="G810" s="10">
        <v>1248</v>
      </c>
      <c r="H810" s="10">
        <v>1198</v>
      </c>
      <c r="I810" s="38">
        <f>SUM(F810:H810)</f>
        <v>3202</v>
      </c>
      <c r="J810" s="10">
        <v>723</v>
      </c>
      <c r="K810" s="10">
        <v>1072</v>
      </c>
      <c r="L810" s="10">
        <v>478</v>
      </c>
      <c r="M810" s="38">
        <f>SUM(J810:L810)</f>
        <v>2273</v>
      </c>
      <c r="N810" s="10">
        <v>304</v>
      </c>
      <c r="O810" s="10">
        <v>426</v>
      </c>
      <c r="P810" s="10">
        <v>301</v>
      </c>
      <c r="Q810" s="38">
        <f>SUM(N810:P810)</f>
        <v>1031</v>
      </c>
      <c r="R810" s="38">
        <f>+E810+I810+M810+Q810</f>
        <v>7764</v>
      </c>
      <c r="T810" t="s">
        <v>2805</v>
      </c>
    </row>
    <row r="811" spans="1:20" ht="15.75" customHeight="1" x14ac:dyDescent="0.3">
      <c r="A811" s="539" t="s">
        <v>2702</v>
      </c>
      <c r="B811" s="10">
        <v>30</v>
      </c>
      <c r="C811" s="10">
        <v>22</v>
      </c>
      <c r="D811" s="10">
        <v>47</v>
      </c>
      <c r="E811" s="38">
        <f>SUM(B811:D811)</f>
        <v>99</v>
      </c>
      <c r="F811" s="10">
        <v>89</v>
      </c>
      <c r="G811" s="10">
        <v>88</v>
      </c>
      <c r="H811" s="10">
        <v>94</v>
      </c>
      <c r="I811" s="38">
        <f>SUM(F811:H811)</f>
        <v>271</v>
      </c>
      <c r="J811" s="10">
        <v>59</v>
      </c>
      <c r="K811" s="10">
        <v>71</v>
      </c>
      <c r="L811" s="10"/>
      <c r="M811" s="38">
        <f>SUM(J811:L811)</f>
        <v>130</v>
      </c>
      <c r="N811" s="10"/>
      <c r="O811" s="10"/>
      <c r="P811" s="10"/>
      <c r="Q811" s="38">
        <f>SUM(N811:P811)</f>
        <v>0</v>
      </c>
      <c r="R811" s="38">
        <f>+E811+I811+M811+Q811</f>
        <v>500</v>
      </c>
      <c r="T811" t="s">
        <v>2785</v>
      </c>
    </row>
    <row r="812" spans="1:20" ht="15.75" customHeight="1" x14ac:dyDescent="0.3">
      <c r="A812" s="234" t="s">
        <v>1711</v>
      </c>
      <c r="B812" s="10"/>
      <c r="C812" s="10"/>
      <c r="D812" s="10"/>
      <c r="E812" s="38" t="s">
        <v>852</v>
      </c>
      <c r="F812" s="10"/>
      <c r="G812" s="10"/>
      <c r="H812" s="10"/>
      <c r="I812" s="38" t="s">
        <v>852</v>
      </c>
      <c r="J812" s="10"/>
      <c r="K812" s="10"/>
      <c r="L812" s="10"/>
      <c r="M812" s="38" t="s">
        <v>852</v>
      </c>
      <c r="N812" s="10"/>
      <c r="O812" s="10"/>
      <c r="P812" s="10"/>
      <c r="Q812" s="38" t="s">
        <v>852</v>
      </c>
      <c r="R812" s="38" t="s">
        <v>852</v>
      </c>
    </row>
    <row r="813" spans="1:20" ht="15.75" customHeight="1" x14ac:dyDescent="0.3">
      <c r="A813" s="539" t="s">
        <v>2935</v>
      </c>
      <c r="B813" s="10"/>
      <c r="C813" s="10"/>
      <c r="D813" s="10"/>
      <c r="E813" s="38">
        <f>SUM(B813:D813)</f>
        <v>0</v>
      </c>
      <c r="F813" s="10"/>
      <c r="G813" s="10"/>
      <c r="H813" s="10"/>
      <c r="I813" s="38">
        <f>SUM(F813:H813)</f>
        <v>0</v>
      </c>
      <c r="J813" s="10"/>
      <c r="K813" s="10"/>
      <c r="L813" s="10"/>
      <c r="M813" s="38">
        <f>SUM(J813:L813)</f>
        <v>0</v>
      </c>
      <c r="N813" s="10"/>
      <c r="O813" s="10"/>
      <c r="P813" s="10"/>
      <c r="Q813" s="38">
        <f>SUM(N813:P813)</f>
        <v>0</v>
      </c>
      <c r="R813" s="38">
        <f>+E813+I813+M813+Q813</f>
        <v>0</v>
      </c>
      <c r="T813" t="s">
        <v>2785</v>
      </c>
    </row>
    <row r="814" spans="1:20" ht="15.75" customHeight="1" x14ac:dyDescent="0.3">
      <c r="A814" s="539" t="s">
        <v>2749</v>
      </c>
      <c r="B814" s="10"/>
      <c r="C814" s="10"/>
      <c r="D814" s="10"/>
      <c r="E814" s="38">
        <f>SUM(B814:D814)</f>
        <v>0</v>
      </c>
      <c r="F814" s="10"/>
      <c r="G814" s="10"/>
      <c r="H814" s="10"/>
      <c r="I814" s="38">
        <f>SUM(F814:H814)</f>
        <v>0</v>
      </c>
      <c r="J814" s="10"/>
      <c r="K814" s="10">
        <v>5</v>
      </c>
      <c r="L814" s="10">
        <v>51</v>
      </c>
      <c r="M814" s="38">
        <f>SUM(J814:L814)</f>
        <v>56</v>
      </c>
      <c r="N814" s="10">
        <v>69</v>
      </c>
      <c r="O814" s="10">
        <v>31</v>
      </c>
      <c r="P814" s="10">
        <v>21</v>
      </c>
      <c r="Q814" s="38">
        <f>SUM(N814:P814)</f>
        <v>121</v>
      </c>
      <c r="R814" s="38">
        <f>+E814+I814+M814+Q814</f>
        <v>177</v>
      </c>
    </row>
    <row r="815" spans="1:20" ht="15.75" customHeight="1" x14ac:dyDescent="0.3">
      <c r="A815" s="310" t="s">
        <v>783</v>
      </c>
      <c r="B815" s="10"/>
      <c r="C815" s="10"/>
      <c r="D815" s="10"/>
      <c r="E815" s="38">
        <f>SUM(B815:D815)</f>
        <v>0</v>
      </c>
      <c r="F815" s="10"/>
      <c r="G815" s="10"/>
      <c r="H815" s="10"/>
      <c r="I815" s="38">
        <f>SUM(F815:H815)</f>
        <v>0</v>
      </c>
      <c r="J815" s="10"/>
      <c r="K815" s="10"/>
      <c r="L815" s="10"/>
      <c r="M815" s="38">
        <f>SUM(J815:L815)</f>
        <v>0</v>
      </c>
      <c r="N815" s="10"/>
      <c r="O815" s="10"/>
      <c r="P815" s="10"/>
      <c r="Q815" s="38">
        <f>SUM(N815:P815)</f>
        <v>0</v>
      </c>
      <c r="R815" s="38">
        <f>+E815+I815+M815+Q815</f>
        <v>0</v>
      </c>
      <c r="T815" t="s">
        <v>2765</v>
      </c>
    </row>
    <row r="816" spans="1:20" ht="15.75" customHeight="1" thickBot="1" x14ac:dyDescent="0.35">
      <c r="A816" s="539" t="s">
        <v>2540</v>
      </c>
      <c r="B816" s="10">
        <v>764</v>
      </c>
      <c r="C816" s="10">
        <v>671</v>
      </c>
      <c r="D816" s="10">
        <v>680</v>
      </c>
      <c r="E816" s="38">
        <f>SUM(B816:D816)</f>
        <v>2115</v>
      </c>
      <c r="F816" s="10">
        <v>617</v>
      </c>
      <c r="G816" s="10">
        <v>717</v>
      </c>
      <c r="H816" s="10">
        <v>753</v>
      </c>
      <c r="I816" s="38">
        <f>SUM(F816:H816)</f>
        <v>2087</v>
      </c>
      <c r="J816" s="10">
        <f>44+763</f>
        <v>807</v>
      </c>
      <c r="K816" s="10">
        <f>42+804</f>
        <v>846</v>
      </c>
      <c r="L816" s="10">
        <f>22+732</f>
        <v>754</v>
      </c>
      <c r="M816" s="38">
        <f>SUM(J816:L816)</f>
        <v>2407</v>
      </c>
      <c r="N816" s="10">
        <f>11+468</f>
        <v>479</v>
      </c>
      <c r="O816" s="10">
        <f>1+205</f>
        <v>206</v>
      </c>
      <c r="P816" s="10">
        <f>4+509</f>
        <v>513</v>
      </c>
      <c r="Q816" s="38">
        <f>SUM(N816:P816)</f>
        <v>1198</v>
      </c>
      <c r="R816" s="38">
        <f>+E816+I816+M816+Q816</f>
        <v>7807</v>
      </c>
      <c r="T816" t="s">
        <v>2806</v>
      </c>
    </row>
    <row r="817" spans="1:19" ht="16.5" customHeight="1" thickBot="1" x14ac:dyDescent="0.35">
      <c r="A817" s="43" t="s">
        <v>1220</v>
      </c>
      <c r="B817" s="45">
        <f>SUM(B808:B816)</f>
        <v>1269</v>
      </c>
      <c r="C817" s="46">
        <f>SUM(C808:C816)</f>
        <v>960</v>
      </c>
      <c r="D817" s="46">
        <f>SUM(D808:D816)</f>
        <v>1243</v>
      </c>
      <c r="E817" s="37">
        <f>SUM(B817:D817)</f>
        <v>3472</v>
      </c>
      <c r="F817" s="46">
        <f>SUM(F808:F816)</f>
        <v>1462</v>
      </c>
      <c r="G817" s="46">
        <f>SUM(G808:G816)</f>
        <v>2053</v>
      </c>
      <c r="H817" s="46">
        <f>SUM(H808:H816)</f>
        <v>2045</v>
      </c>
      <c r="I817" s="37">
        <f>SUM(F817:H817)</f>
        <v>5560</v>
      </c>
      <c r="J817" s="46">
        <f>SUM(J808:J816)</f>
        <v>1589</v>
      </c>
      <c r="K817" s="46">
        <f>SUM(K808:K816)</f>
        <v>1994</v>
      </c>
      <c r="L817" s="46">
        <f>SUM(L808:L816)</f>
        <v>1283</v>
      </c>
      <c r="M817" s="37">
        <f>SUM(J817:L817)</f>
        <v>4866</v>
      </c>
      <c r="N817" s="46">
        <f>SUM(N808:N816)</f>
        <v>852</v>
      </c>
      <c r="O817" s="46">
        <f>SUM(O808:O816)</f>
        <v>663</v>
      </c>
      <c r="P817" s="46">
        <f>SUM(P808:P816)</f>
        <v>835</v>
      </c>
      <c r="Q817" s="37">
        <f>SUM(N817:P817)</f>
        <v>2350</v>
      </c>
      <c r="R817" s="37">
        <f>+E817+I817+M817+Q817</f>
        <v>16248</v>
      </c>
    </row>
    <row r="818" spans="1:19" ht="15.75" customHeight="1" x14ac:dyDescent="0.3">
      <c r="A818" s="234" t="s">
        <v>1712</v>
      </c>
      <c r="B818" s="172"/>
      <c r="C818" s="172"/>
      <c r="D818" s="172"/>
      <c r="E818" s="38" t="s">
        <v>852</v>
      </c>
      <c r="F818" s="172"/>
      <c r="G818" s="172"/>
      <c r="H818" s="172"/>
      <c r="I818" s="38" t="s">
        <v>852</v>
      </c>
      <c r="J818" s="172"/>
      <c r="K818" s="172"/>
      <c r="L818" s="172"/>
      <c r="M818" s="38" t="s">
        <v>852</v>
      </c>
      <c r="N818" s="172"/>
      <c r="O818" s="172"/>
      <c r="P818" s="172"/>
      <c r="Q818" s="38" t="s">
        <v>852</v>
      </c>
      <c r="R818" s="38" t="s">
        <v>852</v>
      </c>
    </row>
    <row r="819" spans="1:19" ht="15.75" customHeight="1" x14ac:dyDescent="0.3">
      <c r="A819" s="234" t="s">
        <v>1021</v>
      </c>
      <c r="B819" s="172"/>
      <c r="C819" s="172"/>
      <c r="D819" s="172"/>
      <c r="E819" s="38" t="s">
        <v>852</v>
      </c>
      <c r="F819" s="172"/>
      <c r="G819" s="172"/>
      <c r="H819" s="172"/>
      <c r="I819" s="38" t="s">
        <v>852</v>
      </c>
      <c r="J819" s="172"/>
      <c r="K819" s="172"/>
      <c r="L819" s="172"/>
      <c r="M819" s="38" t="s">
        <v>852</v>
      </c>
      <c r="N819" s="172"/>
      <c r="O819" s="172"/>
      <c r="P819" s="172"/>
      <c r="Q819" s="38" t="s">
        <v>852</v>
      </c>
      <c r="R819" s="38" t="s">
        <v>852</v>
      </c>
    </row>
    <row r="820" spans="1:19" ht="15.75" customHeight="1" x14ac:dyDescent="0.3">
      <c r="A820" s="539" t="s">
        <v>3267</v>
      </c>
      <c r="B820" s="172"/>
      <c r="C820" s="172"/>
      <c r="D820" s="172"/>
      <c r="E820" s="38">
        <f>SUM(B820:D820)</f>
        <v>0</v>
      </c>
      <c r="F820" s="172"/>
      <c r="G820" s="172"/>
      <c r="H820" s="172"/>
      <c r="I820" s="38">
        <f>SUM(F820:H820)</f>
        <v>0</v>
      </c>
      <c r="J820" s="172"/>
      <c r="K820" s="172"/>
      <c r="L820" s="172"/>
      <c r="M820" s="38">
        <f>SUM(J820:L820)</f>
        <v>0</v>
      </c>
      <c r="N820" s="172"/>
      <c r="O820" s="172"/>
      <c r="P820" s="172"/>
      <c r="Q820" s="38">
        <f>SUM(N820:P820)</f>
        <v>0</v>
      </c>
      <c r="R820" s="38">
        <f>+E820+I820+M820+Q820</f>
        <v>0</v>
      </c>
    </row>
    <row r="821" spans="1:19" ht="15.75" customHeight="1" x14ac:dyDescent="0.3">
      <c r="A821" s="266" t="s">
        <v>2392</v>
      </c>
      <c r="B821" s="172"/>
      <c r="C821" s="172"/>
      <c r="D821" s="172"/>
      <c r="E821" s="38">
        <f>SUM(B821:D821)</f>
        <v>0</v>
      </c>
      <c r="F821" s="172"/>
      <c r="G821" s="172"/>
      <c r="H821" s="172"/>
      <c r="I821" s="38">
        <f>SUM(F821:H821)</f>
        <v>0</v>
      </c>
      <c r="J821" s="172"/>
      <c r="K821" s="172"/>
      <c r="L821" s="172"/>
      <c r="M821" s="38">
        <f>SUM(J821:L821)</f>
        <v>0</v>
      </c>
      <c r="N821" s="172"/>
      <c r="O821" s="172"/>
      <c r="P821" s="172"/>
      <c r="Q821" s="38">
        <f>SUM(N821:P821)</f>
        <v>0</v>
      </c>
      <c r="R821" s="38">
        <f>+E821+I821+M821+Q821</f>
        <v>0</v>
      </c>
    </row>
    <row r="822" spans="1:19" ht="15.75" customHeight="1" x14ac:dyDescent="0.3">
      <c r="A822" s="234" t="s">
        <v>557</v>
      </c>
      <c r="B822" s="172"/>
      <c r="C822" s="172"/>
      <c r="D822" s="172"/>
      <c r="E822" s="38" t="s">
        <v>852</v>
      </c>
      <c r="F822" s="172"/>
      <c r="G822" s="172"/>
      <c r="H822" s="172"/>
      <c r="I822" s="38" t="s">
        <v>852</v>
      </c>
      <c r="J822" s="172"/>
      <c r="K822" s="172"/>
      <c r="L822" s="172"/>
      <c r="M822" s="38" t="s">
        <v>852</v>
      </c>
      <c r="N822" s="172"/>
      <c r="O822" s="172"/>
      <c r="P822" s="172"/>
      <c r="Q822" s="38" t="s">
        <v>852</v>
      </c>
      <c r="R822" s="38" t="s">
        <v>852</v>
      </c>
    </row>
    <row r="823" spans="1:19" ht="15.75" customHeight="1" x14ac:dyDescent="0.3">
      <c r="A823" s="539" t="s">
        <v>2589</v>
      </c>
      <c r="B823" s="10"/>
      <c r="C823" s="10"/>
      <c r="D823" s="10"/>
      <c r="E823" s="38">
        <f>SUM(B823:D823)</f>
        <v>0</v>
      </c>
      <c r="F823" s="10"/>
      <c r="G823" s="10"/>
      <c r="H823" s="10"/>
      <c r="I823" s="38">
        <f>SUM(F823:H823)</f>
        <v>0</v>
      </c>
      <c r="J823" s="10"/>
      <c r="K823" s="10"/>
      <c r="L823" s="10"/>
      <c r="M823" s="38">
        <f>SUM(J823:L823)</f>
        <v>0</v>
      </c>
      <c r="N823" s="10">
        <v>29</v>
      </c>
      <c r="O823" s="10"/>
      <c r="P823" s="10"/>
      <c r="Q823" s="38">
        <f>SUM(N823:P823)</f>
        <v>29</v>
      </c>
      <c r="R823" s="38">
        <f>+E823+I823+M823+Q823</f>
        <v>29</v>
      </c>
    </row>
    <row r="824" spans="1:19" ht="15.75" customHeight="1" x14ac:dyDescent="0.3">
      <c r="A824" s="539" t="s">
        <v>2590</v>
      </c>
      <c r="B824" s="172"/>
      <c r="C824" s="172"/>
      <c r="D824" s="172"/>
      <c r="E824" s="38">
        <f>SUM(B824:D824)</f>
        <v>0</v>
      </c>
      <c r="F824" s="172"/>
      <c r="G824" s="172"/>
      <c r="H824" s="172"/>
      <c r="I824" s="38">
        <f>SUM(F824:H824)</f>
        <v>0</v>
      </c>
      <c r="J824" s="172">
        <v>1271</v>
      </c>
      <c r="K824" s="172"/>
      <c r="L824" s="172"/>
      <c r="M824" s="38">
        <f>SUM(J824:L824)</f>
        <v>1271</v>
      </c>
      <c r="N824" s="172"/>
      <c r="O824" s="172"/>
      <c r="P824" s="172"/>
      <c r="Q824" s="38">
        <f>SUM(N824:P824)</f>
        <v>0</v>
      </c>
      <c r="R824" s="38">
        <f>+E824+I824+M824+Q824</f>
        <v>1271</v>
      </c>
      <c r="S824" t="s">
        <v>3332</v>
      </c>
    </row>
    <row r="825" spans="1:19" ht="15.75" customHeight="1" x14ac:dyDescent="0.3">
      <c r="A825" s="234" t="s">
        <v>1022</v>
      </c>
      <c r="B825" s="172"/>
      <c r="C825" s="172"/>
      <c r="D825" s="172"/>
      <c r="E825" s="38" t="s">
        <v>852</v>
      </c>
      <c r="F825" s="172"/>
      <c r="G825" s="172"/>
      <c r="H825" s="172"/>
      <c r="I825" s="38" t="s">
        <v>852</v>
      </c>
      <c r="J825" s="172"/>
      <c r="K825" s="172"/>
      <c r="L825" s="172"/>
      <c r="M825" s="38" t="s">
        <v>852</v>
      </c>
      <c r="N825" s="172"/>
      <c r="O825" s="172"/>
      <c r="P825" s="172"/>
      <c r="Q825" s="38" t="s">
        <v>852</v>
      </c>
      <c r="R825" s="38" t="s">
        <v>852</v>
      </c>
    </row>
    <row r="826" spans="1:19" ht="15.75" customHeight="1" thickBot="1" x14ac:dyDescent="0.35">
      <c r="A826" s="234" t="s">
        <v>559</v>
      </c>
      <c r="B826" s="172"/>
      <c r="C826" s="172"/>
      <c r="D826" s="172"/>
      <c r="E826" s="38" t="s">
        <v>852</v>
      </c>
      <c r="F826" s="172"/>
      <c r="G826" s="172"/>
      <c r="H826" s="172"/>
      <c r="I826" s="38" t="s">
        <v>852</v>
      </c>
      <c r="J826" s="172"/>
      <c r="K826" s="172"/>
      <c r="L826" s="172"/>
      <c r="M826" s="38" t="s">
        <v>852</v>
      </c>
      <c r="N826" s="172"/>
      <c r="O826" s="172"/>
      <c r="P826" s="172"/>
      <c r="Q826" s="38" t="s">
        <v>852</v>
      </c>
      <c r="R826" s="38" t="s">
        <v>852</v>
      </c>
    </row>
    <row r="827" spans="1:19" ht="16.5" customHeight="1" thickBot="1" x14ac:dyDescent="0.35">
      <c r="A827" s="43" t="s">
        <v>1019</v>
      </c>
      <c r="B827" s="42">
        <f>SUM(B825:B826)</f>
        <v>0</v>
      </c>
      <c r="C827" s="42">
        <f>SUM(C825:C826)</f>
        <v>0</v>
      </c>
      <c r="D827" s="42">
        <f>SUM(D825:D826)</f>
        <v>0</v>
      </c>
      <c r="E827" s="39">
        <f>SUM(B827:D827)</f>
        <v>0</v>
      </c>
      <c r="F827" s="42">
        <f>SUM(F825:F826)</f>
        <v>0</v>
      </c>
      <c r="G827" s="42">
        <f>SUM(G825:G826)</f>
        <v>0</v>
      </c>
      <c r="H827" s="42">
        <f>SUM(H825:H826)</f>
        <v>0</v>
      </c>
      <c r="I827" s="39">
        <f>SUM(F827:H827)</f>
        <v>0</v>
      </c>
      <c r="J827" s="42">
        <f>SUM(J825:J826)</f>
        <v>0</v>
      </c>
      <c r="K827" s="42">
        <f>SUM(K825:K826)</f>
        <v>0</v>
      </c>
      <c r="L827" s="42">
        <f>SUM(L825:L826)</f>
        <v>0</v>
      </c>
      <c r="M827" s="39">
        <f>SUM(J827:L827)</f>
        <v>0</v>
      </c>
      <c r="N827" s="42">
        <f>SUM(N825:N826)</f>
        <v>0</v>
      </c>
      <c r="O827" s="42">
        <f>SUM(O825:O826)</f>
        <v>0</v>
      </c>
      <c r="P827" s="42">
        <f>SUM(P825:P826)</f>
        <v>0</v>
      </c>
      <c r="Q827" s="39">
        <f>SUM(N827:P827)</f>
        <v>0</v>
      </c>
      <c r="R827" s="37">
        <f>+E827+I827+M827+Q827</f>
        <v>0</v>
      </c>
    </row>
    <row r="828" spans="1:19" ht="16.5" customHeight="1" thickBot="1" x14ac:dyDescent="0.35">
      <c r="A828" s="43" t="s">
        <v>1221</v>
      </c>
      <c r="B828" s="45">
        <f>SUM(B818:B826)</f>
        <v>0</v>
      </c>
      <c r="C828" s="46">
        <f>SUM(C818:C826)</f>
        <v>0</v>
      </c>
      <c r="D828" s="58">
        <f>SUM(D818:D826)</f>
        <v>0</v>
      </c>
      <c r="E828" s="39">
        <f>SUM(B828:D828)</f>
        <v>0</v>
      </c>
      <c r="F828" s="46">
        <f>SUM(F818:F826)</f>
        <v>0</v>
      </c>
      <c r="G828" s="46">
        <f>SUM(G818:G826)</f>
        <v>0</v>
      </c>
      <c r="H828" s="46">
        <f>SUM(H818:H826)</f>
        <v>0</v>
      </c>
      <c r="I828" s="39">
        <f>SUM(F828:H828)</f>
        <v>0</v>
      </c>
      <c r="J828" s="46">
        <f>SUM(J818:J826)</f>
        <v>1271</v>
      </c>
      <c r="K828" s="46">
        <f>SUM(K818:K826)</f>
        <v>0</v>
      </c>
      <c r="L828" s="46">
        <f>SUM(L818:L826)</f>
        <v>0</v>
      </c>
      <c r="M828" s="39">
        <f>SUM(J828:L828)</f>
        <v>1271</v>
      </c>
      <c r="N828" s="46">
        <f>SUM(N818:N826)</f>
        <v>29</v>
      </c>
      <c r="O828" s="46">
        <f>SUM(O818:O826)</f>
        <v>0</v>
      </c>
      <c r="P828" s="46">
        <f>SUM(P818:P826)</f>
        <v>0</v>
      </c>
      <c r="Q828" s="39">
        <f>SUM(N828:P828)</f>
        <v>29</v>
      </c>
      <c r="R828" s="37">
        <f>+E828+I828+M828+Q828</f>
        <v>1300</v>
      </c>
    </row>
    <row r="829" spans="1:19" ht="16.5" customHeight="1" thickBot="1" x14ac:dyDescent="0.35">
      <c r="A829" s="43" t="s">
        <v>1222</v>
      </c>
      <c r="B829" s="47">
        <f>+B802+B807+B817+B828</f>
        <v>3704</v>
      </c>
      <c r="C829" s="42">
        <f>+C802+C807+C817+C828</f>
        <v>4055</v>
      </c>
      <c r="D829" s="42">
        <f>+D802+D807+D817+D828</f>
        <v>2728</v>
      </c>
      <c r="E829" s="37">
        <f>SUM(B829:D829)</f>
        <v>10487</v>
      </c>
      <c r="F829" s="42">
        <f>+F802+F807+F817+F828</f>
        <v>3922</v>
      </c>
      <c r="G829" s="42">
        <f>+G802+G807+G817+G828</f>
        <v>4699</v>
      </c>
      <c r="H829" s="42">
        <f>+H802+H807+H817+H828</f>
        <v>3866</v>
      </c>
      <c r="I829" s="37">
        <f>SUM(F829:H829)</f>
        <v>12487</v>
      </c>
      <c r="J829" s="42">
        <f>+J802+J807+J817+J828</f>
        <v>3360</v>
      </c>
      <c r="K829" s="42">
        <f>+K802+K807+K817+K828</f>
        <v>4499</v>
      </c>
      <c r="L829" s="42">
        <f>+L802+L807+L817+L828</f>
        <v>4060</v>
      </c>
      <c r="M829" s="37">
        <f>SUM(J829:L829)</f>
        <v>11919</v>
      </c>
      <c r="N829" s="42">
        <f>+N802+N807+N817+N828</f>
        <v>3154</v>
      </c>
      <c r="O829" s="42">
        <f>+O802+O807+O817+O828</f>
        <v>2126</v>
      </c>
      <c r="P829" s="42">
        <f>+P802+P807+P817+P828</f>
        <v>1875</v>
      </c>
      <c r="Q829" s="37">
        <f>SUM(N829:P829)</f>
        <v>7155</v>
      </c>
      <c r="R829" s="40">
        <f>+E829+I829+M829+Q829</f>
        <v>42048</v>
      </c>
    </row>
    <row r="830" spans="1:19" ht="16.5" customHeight="1" thickBot="1" x14ac:dyDescent="0.35">
      <c r="A830" s="244" t="s">
        <v>853</v>
      </c>
      <c r="B830" s="238">
        <v>11</v>
      </c>
      <c r="C830" s="238">
        <v>13</v>
      </c>
      <c r="D830" s="238">
        <v>17</v>
      </c>
      <c r="E830" s="38">
        <f>SUM(B830:D830)</f>
        <v>41</v>
      </c>
      <c r="F830" s="238">
        <v>21</v>
      </c>
      <c r="G830" s="238">
        <v>23</v>
      </c>
      <c r="H830" s="238">
        <v>25</v>
      </c>
      <c r="I830" s="38">
        <f>SUM(F830:H830)</f>
        <v>69</v>
      </c>
      <c r="J830" s="238">
        <v>25</v>
      </c>
      <c r="K830" s="238">
        <v>21</v>
      </c>
      <c r="L830" s="238">
        <v>19</v>
      </c>
      <c r="M830" s="38">
        <f>SUM(J830:L830)</f>
        <v>65</v>
      </c>
      <c r="N830" s="238">
        <v>17</v>
      </c>
      <c r="O830" s="238">
        <v>13</v>
      </c>
      <c r="P830" s="238">
        <v>11</v>
      </c>
      <c r="Q830" s="38">
        <f>SUM(N830:P830)</f>
        <v>41</v>
      </c>
      <c r="R830" s="38">
        <f>+E830+I830+M830+Q830</f>
        <v>216</v>
      </c>
    </row>
    <row r="831" spans="1:19" ht="16.5" customHeight="1" thickBot="1" x14ac:dyDescent="0.35">
      <c r="A831" s="22"/>
      <c r="B831" s="242"/>
      <c r="C831" s="242"/>
      <c r="D831" s="242"/>
      <c r="E831" s="37" t="s">
        <v>852</v>
      </c>
      <c r="F831" s="242"/>
      <c r="G831" s="242"/>
      <c r="H831" s="242"/>
      <c r="I831" s="37" t="s">
        <v>852</v>
      </c>
      <c r="J831" s="242"/>
      <c r="K831" s="242"/>
      <c r="L831" s="242"/>
      <c r="M831" s="37" t="s">
        <v>852</v>
      </c>
      <c r="N831" s="242"/>
      <c r="O831" s="242"/>
      <c r="P831" s="242"/>
      <c r="Q831" s="37" t="s">
        <v>852</v>
      </c>
      <c r="R831" s="37" t="s">
        <v>852</v>
      </c>
    </row>
    <row r="832" spans="1:19" ht="15.75" customHeight="1" x14ac:dyDescent="0.3">
      <c r="A832" s="234" t="s">
        <v>2011</v>
      </c>
      <c r="B832" s="172">
        <f>SUM(B829:B830)</f>
        <v>3715</v>
      </c>
      <c r="C832" s="172">
        <f>SUM(C829:C830)</f>
        <v>4068</v>
      </c>
      <c r="D832" s="172">
        <f>SUM(D829:D830)</f>
        <v>2745</v>
      </c>
      <c r="E832" s="39">
        <f>SUM(B832:D832)</f>
        <v>10528</v>
      </c>
      <c r="F832" s="172">
        <f>SUM(F829:F830)</f>
        <v>3943</v>
      </c>
      <c r="G832" s="172">
        <f>SUM(G829:G830)</f>
        <v>4722</v>
      </c>
      <c r="H832" s="172">
        <f>SUM(H829:H830)</f>
        <v>3891</v>
      </c>
      <c r="I832" s="39">
        <f>SUM(F832:H832)</f>
        <v>12556</v>
      </c>
      <c r="J832" s="172">
        <f>SUM(J829:J830)</f>
        <v>3385</v>
      </c>
      <c r="K832" s="172">
        <f>SUM(K829:K830)</f>
        <v>4520</v>
      </c>
      <c r="L832" s="172">
        <f>SUM(L829:L830)</f>
        <v>4079</v>
      </c>
      <c r="M832" s="39">
        <f>SUM(J832:L832)</f>
        <v>11984</v>
      </c>
      <c r="N832" s="172">
        <f>SUM(N829:N830)</f>
        <v>3171</v>
      </c>
      <c r="O832" s="172">
        <f>SUM(O829:O830)</f>
        <v>2139</v>
      </c>
      <c r="P832" s="172">
        <f>SUM(P829:P830)</f>
        <v>1886</v>
      </c>
      <c r="Q832" s="39">
        <f>SUM(N832:P832)</f>
        <v>7196</v>
      </c>
      <c r="R832" s="39">
        <f>+E832+I832+M832+Q832</f>
        <v>42264</v>
      </c>
    </row>
    <row r="833" spans="1:18" ht="15.75" customHeight="1" x14ac:dyDescent="0.3">
      <c r="A833" s="234" t="s">
        <v>1897</v>
      </c>
      <c r="B833" s="172">
        <f>(B832/B10)/1.983</f>
        <v>60.433035641663821</v>
      </c>
      <c r="C833" s="172">
        <f>(C832/C10)/1.983</f>
        <v>73.265614869245724</v>
      </c>
      <c r="D833" s="172">
        <f>(D832/D10)/1.983</f>
        <v>44.653750427016739</v>
      </c>
      <c r="E833" s="38" t="s">
        <v>852</v>
      </c>
      <c r="F833" s="172">
        <f>(F832/F10)/1.983</f>
        <v>66.2800470667339</v>
      </c>
      <c r="G833" s="172">
        <f>(G832/G10)/1.983</f>
        <v>76.814211117075786</v>
      </c>
      <c r="H833" s="172">
        <f>(H832/H10)/1.983</f>
        <v>65.405950579929396</v>
      </c>
      <c r="I833" s="38" t="s">
        <v>852</v>
      </c>
      <c r="J833" s="172">
        <f>(J832/J10)/1.983</f>
        <v>55.064825207814806</v>
      </c>
      <c r="K833" s="172">
        <f>(K832/K10)/1.983</f>
        <v>73.528215639386403</v>
      </c>
      <c r="L833" s="172">
        <f>(L832/L10)/1.983</f>
        <v>68.566145570684142</v>
      </c>
      <c r="M833" s="38" t="s">
        <v>852</v>
      </c>
      <c r="N833" s="172">
        <f>(N832/N10)/1.983</f>
        <v>51.58362207798546</v>
      </c>
      <c r="O833" s="172">
        <f>(O832/O10)/1.983</f>
        <v>35.955622793746848</v>
      </c>
      <c r="P833" s="172">
        <f>(P832/P10)/1.983</f>
        <v>30.680135994664322</v>
      </c>
      <c r="Q833" s="38" t="s">
        <v>852</v>
      </c>
      <c r="R833" s="38" t="s">
        <v>852</v>
      </c>
    </row>
    <row r="834" spans="1:18" ht="15.75" customHeight="1" x14ac:dyDescent="0.3">
      <c r="A834" s="234" t="s">
        <v>2050</v>
      </c>
      <c r="B834" s="172">
        <f>B832</f>
        <v>3715</v>
      </c>
      <c r="C834" s="172">
        <f>C832</f>
        <v>4068</v>
      </c>
      <c r="D834" s="172">
        <f>D832</f>
        <v>2745</v>
      </c>
      <c r="E834" s="38">
        <f>SUM(B834:D834)</f>
        <v>10528</v>
      </c>
      <c r="F834" s="172">
        <f>F832</f>
        <v>3943</v>
      </c>
      <c r="G834" s="172">
        <f>G832</f>
        <v>4722</v>
      </c>
      <c r="H834" s="172">
        <f>H832</f>
        <v>3891</v>
      </c>
      <c r="I834" s="38">
        <f>SUM(F834:H834)</f>
        <v>12556</v>
      </c>
      <c r="J834" s="172">
        <f>J832</f>
        <v>3385</v>
      </c>
      <c r="K834" s="172">
        <f>K832</f>
        <v>4520</v>
      </c>
      <c r="L834" s="172">
        <f>L832</f>
        <v>4079</v>
      </c>
      <c r="M834" s="38">
        <f>SUM(J834:L834)</f>
        <v>11984</v>
      </c>
      <c r="N834" s="172">
        <f>N832</f>
        <v>3171</v>
      </c>
      <c r="O834" s="172">
        <f>O832</f>
        <v>2139</v>
      </c>
      <c r="P834" s="172">
        <f>P832</f>
        <v>1886</v>
      </c>
      <c r="Q834" s="38">
        <f>SUM(N834:P834)</f>
        <v>7196</v>
      </c>
      <c r="R834" s="38">
        <f>+E834+I834+M834+Q834</f>
        <v>42264</v>
      </c>
    </row>
    <row r="835" spans="1:18" ht="16.5" customHeight="1" thickBot="1" x14ac:dyDescent="0.35">
      <c r="A835" s="237" t="s">
        <v>2051</v>
      </c>
      <c r="B835" s="238">
        <f>(B834/B10)/1.983</f>
        <v>60.433035641663821</v>
      </c>
      <c r="C835" s="238">
        <f>(C834/C10)/1.983</f>
        <v>73.265614869245724</v>
      </c>
      <c r="D835" s="238">
        <f>(D834/D10)/1.983</f>
        <v>44.653750427016739</v>
      </c>
      <c r="E835" s="40" t="s">
        <v>852</v>
      </c>
      <c r="F835" s="238">
        <f>(F834/F10)/1.983</f>
        <v>66.2800470667339</v>
      </c>
      <c r="G835" s="238">
        <f>(G834/G10)/1.983</f>
        <v>76.814211117075786</v>
      </c>
      <c r="H835" s="238">
        <f>(H834/H10)/1.983</f>
        <v>65.405950579929396</v>
      </c>
      <c r="I835" s="40" t="s">
        <v>852</v>
      </c>
      <c r="J835" s="238">
        <f>(J834/J10)/1.983</f>
        <v>55.064825207814806</v>
      </c>
      <c r="K835" s="238">
        <f>(K834/K10)/1.983</f>
        <v>73.528215639386403</v>
      </c>
      <c r="L835" s="238">
        <f>(L834/L10)/1.983</f>
        <v>68.566145570684142</v>
      </c>
      <c r="M835" s="40" t="s">
        <v>852</v>
      </c>
      <c r="N835" s="238">
        <f>(N834/N10)/1.983</f>
        <v>51.58362207798546</v>
      </c>
      <c r="O835" s="238">
        <f>(O834/O10)/1.983</f>
        <v>35.955622793746848</v>
      </c>
      <c r="P835" s="238">
        <f>(P834/P10)/1.983</f>
        <v>30.680135994664322</v>
      </c>
      <c r="Q835" s="40" t="s">
        <v>852</v>
      </c>
      <c r="R835" s="40" t="s">
        <v>852</v>
      </c>
    </row>
    <row r="836" spans="1:18" ht="15.75" customHeight="1" x14ac:dyDescent="0.3">
      <c r="A836" s="18"/>
      <c r="B836" s="172"/>
      <c r="C836" s="172"/>
      <c r="D836" s="172"/>
      <c r="E836" s="17"/>
      <c r="F836" s="172"/>
      <c r="G836" s="172"/>
      <c r="H836" s="172"/>
      <c r="I836" s="17"/>
      <c r="J836" s="172"/>
      <c r="K836" s="172"/>
      <c r="L836" s="172"/>
      <c r="M836" s="17"/>
      <c r="N836" s="172"/>
      <c r="O836" s="172"/>
      <c r="P836" s="172"/>
      <c r="Q836" s="17"/>
      <c r="R836" s="17"/>
    </row>
    <row r="837" spans="1:18" ht="15.75" customHeight="1" x14ac:dyDescent="0.3">
      <c r="A837" s="18"/>
      <c r="B837" s="172"/>
      <c r="C837" s="172"/>
      <c r="D837" s="172"/>
      <c r="E837" s="172"/>
      <c r="F837" s="172"/>
      <c r="G837" s="172"/>
      <c r="H837" s="172"/>
      <c r="I837" s="172"/>
      <c r="J837" s="172"/>
      <c r="K837" s="172"/>
      <c r="L837" s="172"/>
      <c r="M837" s="172"/>
      <c r="N837" s="172"/>
      <c r="O837" s="172"/>
      <c r="P837" s="172"/>
      <c r="Q837" s="680" t="str">
        <f>+Q1</f>
        <v xml:space="preserve">PRINTED:  </v>
      </c>
      <c r="R837" s="681">
        <f ca="1">+R1</f>
        <v>44881.729634027775</v>
      </c>
    </row>
    <row r="838" spans="1:18" ht="15.75" customHeight="1" x14ac:dyDescent="0.3">
      <c r="A838" s="778" t="s">
        <v>43</v>
      </c>
      <c r="B838" s="778"/>
      <c r="C838" s="778"/>
      <c r="D838" s="778"/>
      <c r="E838" s="778"/>
      <c r="F838" s="778"/>
      <c r="G838" s="778"/>
      <c r="H838" s="778"/>
      <c r="I838" s="778"/>
      <c r="J838" s="778"/>
      <c r="K838" s="778"/>
      <c r="L838" s="778"/>
      <c r="M838" s="778"/>
      <c r="N838" s="778"/>
      <c r="O838" s="778"/>
      <c r="P838" s="778"/>
      <c r="Q838" s="778"/>
      <c r="R838" s="778"/>
    </row>
    <row r="839" spans="1:18" ht="15.75" customHeight="1" x14ac:dyDescent="0.3">
      <c r="A839" s="778" t="s">
        <v>1988</v>
      </c>
      <c r="B839" s="778"/>
      <c r="C839" s="778"/>
      <c r="D839" s="778"/>
      <c r="E839" s="778"/>
      <c r="F839" s="778"/>
      <c r="G839" s="778"/>
      <c r="H839" s="778"/>
      <c r="I839" s="778"/>
      <c r="J839" s="778"/>
      <c r="K839" s="778"/>
      <c r="L839" s="778"/>
      <c r="M839" s="778"/>
      <c r="N839" s="778"/>
      <c r="O839" s="778"/>
      <c r="P839" s="778"/>
      <c r="Q839" s="778"/>
      <c r="R839" s="778"/>
    </row>
    <row r="840" spans="1:18" ht="15.75" customHeight="1" x14ac:dyDescent="0.3">
      <c r="A840" s="778" t="s">
        <v>544</v>
      </c>
      <c r="B840" s="778"/>
      <c r="C840" s="778"/>
      <c r="D840" s="778"/>
      <c r="E840" s="778"/>
      <c r="F840" s="778"/>
      <c r="G840" s="778"/>
      <c r="H840" s="778"/>
      <c r="I840" s="778"/>
      <c r="J840" s="778"/>
      <c r="K840" s="778"/>
      <c r="L840" s="778"/>
      <c r="M840" s="778"/>
      <c r="N840" s="778"/>
      <c r="O840" s="778"/>
      <c r="P840" s="778"/>
      <c r="Q840" s="778"/>
      <c r="R840" s="778"/>
    </row>
    <row r="841" spans="1:18" ht="15.75" customHeight="1" x14ac:dyDescent="0.3">
      <c r="A841" s="783">
        <f>+A5</f>
        <v>2018</v>
      </c>
      <c r="B841" s="783"/>
      <c r="C841" s="783"/>
      <c r="D841" s="783"/>
      <c r="E841" s="783"/>
      <c r="F841" s="783"/>
      <c r="G841" s="783"/>
      <c r="H841" s="783"/>
      <c r="I841" s="783"/>
      <c r="J841" s="783"/>
      <c r="K841" s="783"/>
      <c r="L841" s="783"/>
      <c r="M841" s="783"/>
      <c r="N841" s="783"/>
      <c r="O841" s="783"/>
      <c r="P841" s="783"/>
      <c r="Q841" s="783"/>
      <c r="R841" s="783"/>
    </row>
    <row r="842" spans="1:18" ht="15.75" customHeight="1" x14ac:dyDescent="0.3">
      <c r="A842" s="172"/>
      <c r="B842" s="172"/>
      <c r="C842" s="172"/>
      <c r="D842" s="1"/>
      <c r="E842" s="1"/>
      <c r="F842" s="1"/>
      <c r="G842" s="452"/>
      <c r="H842" s="1"/>
      <c r="I842" s="1"/>
      <c r="J842" s="452"/>
      <c r="K842" s="452"/>
      <c r="L842" s="452"/>
      <c r="M842" s="452"/>
      <c r="N842" s="172"/>
      <c r="O842" s="452"/>
      <c r="P842" s="452"/>
      <c r="Q842" s="452"/>
      <c r="R842" s="452"/>
    </row>
    <row r="843" spans="1:18" ht="15.75" customHeight="1" x14ac:dyDescent="0.3">
      <c r="A843" s="778" t="str">
        <f>+A8</f>
        <v>Revised:  3/2/2019</v>
      </c>
      <c r="B843" s="778"/>
      <c r="C843" s="778"/>
      <c r="D843" s="778"/>
      <c r="E843" s="778"/>
      <c r="F843" s="778"/>
      <c r="G843" s="778"/>
      <c r="H843" s="778"/>
      <c r="I843" s="778"/>
      <c r="J843" s="778"/>
      <c r="K843" s="778"/>
      <c r="L843" s="778"/>
      <c r="M843" s="778"/>
      <c r="N843" s="778"/>
      <c r="O843" s="778"/>
      <c r="P843" s="778"/>
      <c r="Q843" s="778"/>
      <c r="R843" s="778"/>
    </row>
    <row r="844" spans="1:18" ht="15.75" customHeight="1" x14ac:dyDescent="0.3">
      <c r="A844" s="448"/>
      <c r="B844" s="448"/>
      <c r="C844" s="448"/>
      <c r="D844" s="448"/>
      <c r="E844" s="448"/>
      <c r="F844" s="448"/>
      <c r="G844" s="448"/>
      <c r="H844" s="448"/>
      <c r="I844" s="448"/>
      <c r="J844" s="448"/>
      <c r="K844" s="448"/>
      <c r="L844" s="448"/>
      <c r="M844" s="448"/>
      <c r="N844" s="448"/>
      <c r="O844" s="448"/>
      <c r="P844" s="448"/>
      <c r="Q844" s="448"/>
      <c r="R844" s="448"/>
    </row>
    <row r="845" spans="1:18" ht="15.75" customHeight="1" x14ac:dyDescent="0.3">
      <c r="A845" s="448"/>
      <c r="B845" s="448"/>
      <c r="C845" s="448"/>
      <c r="D845" s="448"/>
      <c r="E845" s="448"/>
      <c r="F845" s="448"/>
      <c r="G845" s="448"/>
      <c r="H845" s="448"/>
      <c r="I845" s="448"/>
      <c r="J845" s="448"/>
      <c r="K845" s="448"/>
      <c r="L845" s="448"/>
      <c r="M845" s="448"/>
      <c r="N845" s="448"/>
      <c r="O845" s="448"/>
      <c r="P845" s="448"/>
      <c r="Q845" s="448"/>
      <c r="R845" s="448"/>
    </row>
    <row r="846" spans="1:18" ht="15.75" customHeight="1" thickBot="1" x14ac:dyDescent="0.35">
      <c r="A846" s="18"/>
      <c r="B846" s="172"/>
      <c r="C846" s="172"/>
      <c r="D846" s="172"/>
      <c r="E846" s="172"/>
      <c r="F846" s="172"/>
      <c r="G846" s="172"/>
      <c r="H846" s="172"/>
      <c r="I846" s="172"/>
      <c r="J846" s="172"/>
      <c r="K846" s="172"/>
      <c r="L846" s="172"/>
      <c r="M846" s="172"/>
      <c r="N846" s="172"/>
      <c r="O846" s="172"/>
      <c r="P846" s="172"/>
      <c r="Q846" s="172"/>
      <c r="R846" s="17"/>
    </row>
    <row r="847" spans="1:18" ht="16.5" customHeight="1" thickBot="1" x14ac:dyDescent="0.35">
      <c r="A847" s="278" t="s">
        <v>1661</v>
      </c>
      <c r="B847" s="4" t="s">
        <v>2090</v>
      </c>
      <c r="C847" s="5" t="s">
        <v>2091</v>
      </c>
      <c r="D847" s="5" t="s">
        <v>2234</v>
      </c>
      <c r="E847" s="33" t="s">
        <v>1594</v>
      </c>
      <c r="F847" s="5" t="s">
        <v>2235</v>
      </c>
      <c r="G847" s="5" t="s">
        <v>2236</v>
      </c>
      <c r="H847" s="5" t="s">
        <v>2237</v>
      </c>
      <c r="I847" s="35" t="s">
        <v>1595</v>
      </c>
      <c r="J847" s="5" t="s">
        <v>1504</v>
      </c>
      <c r="K847" s="5" t="s">
        <v>1505</v>
      </c>
      <c r="L847" s="5" t="s">
        <v>1506</v>
      </c>
      <c r="M847" s="35" t="s">
        <v>1596</v>
      </c>
      <c r="N847" s="5" t="s">
        <v>1507</v>
      </c>
      <c r="O847" s="5" t="s">
        <v>1508</v>
      </c>
      <c r="P847" s="5" t="s">
        <v>1509</v>
      </c>
      <c r="Q847" s="35" t="s">
        <v>1597</v>
      </c>
      <c r="R847" s="60" t="s">
        <v>1510</v>
      </c>
    </row>
    <row r="848" spans="1:18" ht="16.5" customHeight="1" thickBot="1" x14ac:dyDescent="0.35">
      <c r="A848" s="22"/>
      <c r="B848" s="242"/>
      <c r="C848" s="242"/>
      <c r="D848" s="242"/>
      <c r="E848" s="233"/>
      <c r="F848" s="242"/>
      <c r="G848" s="242"/>
      <c r="H848" s="242"/>
      <c r="I848" s="282"/>
      <c r="J848" s="242"/>
      <c r="K848" s="242"/>
      <c r="L848" s="242"/>
      <c r="M848" s="282"/>
      <c r="N848" s="242"/>
      <c r="O848" s="242"/>
      <c r="P848" s="242"/>
      <c r="Q848" s="283"/>
      <c r="R848" s="61"/>
    </row>
    <row r="849" spans="1:20" ht="15.75" customHeight="1" x14ac:dyDescent="0.3">
      <c r="A849" s="234" t="s">
        <v>2417</v>
      </c>
      <c r="B849" s="172" t="s">
        <v>852</v>
      </c>
      <c r="C849" s="172" t="s">
        <v>852</v>
      </c>
      <c r="D849" s="172" t="s">
        <v>852</v>
      </c>
      <c r="E849" s="284"/>
      <c r="F849" s="172" t="s">
        <v>852</v>
      </c>
      <c r="G849" s="172" t="s">
        <v>852</v>
      </c>
      <c r="H849" s="172" t="s">
        <v>852</v>
      </c>
      <c r="I849" s="284"/>
      <c r="J849" s="172" t="s">
        <v>852</v>
      </c>
      <c r="K849" s="172" t="s">
        <v>852</v>
      </c>
      <c r="L849" s="172" t="s">
        <v>852</v>
      </c>
      <c r="M849" s="284"/>
      <c r="N849" s="172" t="s">
        <v>852</v>
      </c>
      <c r="O849" s="172" t="s">
        <v>852</v>
      </c>
      <c r="P849" s="172" t="s">
        <v>852</v>
      </c>
      <c r="Q849" s="285"/>
      <c r="R849" s="62" t="s">
        <v>852</v>
      </c>
    </row>
    <row r="850" spans="1:20" ht="15.75" customHeight="1" x14ac:dyDescent="0.3">
      <c r="A850" s="545" t="s">
        <v>2160</v>
      </c>
      <c r="B850" s="172">
        <f>+SUM(B71:B82)+SUM(B140:B190)+SUM(B331:B362)+SUM(B498:B503)+SUM(B542:B547)+SUM(B587:B599)+SUM(B661:B664)+SUM(B697:B703)+SUM(B758:B759)+SUM(B792:B797)</f>
        <v>31616</v>
      </c>
      <c r="C850" s="172">
        <f>+SUM(C71:C82)+SUM(C140:C190)+SUM(C331:C362)+SUM(C498:C503)+SUM(C542:C547)+SUM(C587:C599)+SUM(C661:C664)+SUM(C697:C703)+SUM(C758:C759)+SUM(C792:C797)</f>
        <v>33389</v>
      </c>
      <c r="D850" s="172">
        <f>+SUM(D71:D82)+SUM(D140:D190)+SUM(D331:D362)+SUM(D498:D503)+SUM(D542:D547)+SUM(D587:D599)+SUM(D661:D664)+SUM(D697:D703)+SUM(D758:D759)+SUM(D792:D797)</f>
        <v>36712</v>
      </c>
      <c r="E850" s="38">
        <f t="shared" ref="E850:E856" si="289">SUM(B850:D850)</f>
        <v>101717</v>
      </c>
      <c r="F850" s="172">
        <f>+SUM(F71:F82)+SUM(F140:F190)+SUM(F331:F362)+SUM(F498:F503)+SUM(F542:F547)+SUM(F587:F599)+SUM(F661:F664)+SUM(F697:F703)+SUM(F758:F759)+SUM(F792:F797)</f>
        <v>37647</v>
      </c>
      <c r="G850" s="172">
        <f>+SUM(G71:G82)+SUM(G140:G190)+SUM(G331:G362)+SUM(G498:G503)+SUM(G542:G547)+SUM(G587:G599)+SUM(G661:G664)+SUM(G697:G703)+SUM(G758:G759)+SUM(G792:G797)</f>
        <v>54972</v>
      </c>
      <c r="H850" s="172">
        <f>+SUM(H71:H82)+SUM(H140:H190)+SUM(H331:H362)+SUM(H498:H503)+SUM(H542:H547)+SUM(H587:H599)+SUM(H661:H664)+SUM(H697:H703)+SUM(H758:H759)+SUM(H792:H797)</f>
        <v>70691</v>
      </c>
      <c r="I850" s="38">
        <f t="shared" ref="I850:I856" si="290">SUM(F850:H850)</f>
        <v>163310</v>
      </c>
      <c r="J850" s="172">
        <f>+SUM(J71:J82)+SUM(J140:J190)+SUM(J331:J362)+SUM(J498:J503)+SUM(J542:J547)+SUM(J587:J599)+SUM(J661:J664)+SUM(J697:J703)+SUM(J758:J759)+SUM(J792:J797)</f>
        <v>66608</v>
      </c>
      <c r="K850" s="172">
        <f>+SUM(K71:K82)+SUM(K140:K190)+SUM(K331:K362)+SUM(K498:K503)+SUM(K542:K547)+SUM(K587:K599)+SUM(K661:K664)+SUM(K697:K703)+SUM(K758:K759)+SUM(K792:K797)</f>
        <v>70141</v>
      </c>
      <c r="L850" s="172">
        <f>+SUM(L71:L82)+SUM(L140:L190)+SUM(L331:L362)+SUM(L498:L503)+SUM(L542:L547)+SUM(L587:L599)+SUM(L661:L664)+SUM(L697:L703)+SUM(L758:L759)+SUM(L792:L797)</f>
        <v>70045</v>
      </c>
      <c r="M850" s="38">
        <f t="shared" ref="M850:M856" si="291">SUM(J850:L850)</f>
        <v>206794</v>
      </c>
      <c r="N850" s="172">
        <f>+SUM(N71:N82)+SUM(N140:N190)+SUM(N331:N362)+SUM(N498:N503)+SUM(N542:N547)+SUM(N587:N599)+SUM(N661:N664)+SUM(N697:N703)+SUM(N758:N759)+SUM(N792:N797)</f>
        <v>39458</v>
      </c>
      <c r="O850" s="172">
        <f>+SUM(O71:O82)+SUM(O140:O190)+SUM(O331:O362)+SUM(O498:O503)+SUM(O542:O547)+SUM(O587:O599)+SUM(O661:O664)+SUM(O697:O703)+SUM(O758:O759)+SUM(O792:O797)</f>
        <v>33038</v>
      </c>
      <c r="P850" s="172">
        <f>+SUM(P71:P82)+SUM(P140:P190)+SUM(P331:P362)+SUM(P498:P503)+SUM(P542:P547)+SUM(P587:P599)+SUM(P661:P664)+SUM(P697:P703)+SUM(P758:P759)+SUM(P792:P797)</f>
        <v>36327</v>
      </c>
      <c r="Q850" s="38">
        <f t="shared" ref="Q850:Q856" si="292">SUM(N850:P850)</f>
        <v>108823</v>
      </c>
      <c r="R850" s="38">
        <f t="shared" ref="R850:R856" si="293">+E850+I850+M850+Q850</f>
        <v>580644</v>
      </c>
    </row>
    <row r="851" spans="1:20" ht="15.75" customHeight="1" x14ac:dyDescent="0.3">
      <c r="A851" s="234" t="s">
        <v>2642</v>
      </c>
      <c r="B851" s="172">
        <f>+B38+SUM(B83:B84)+SUM(B192:B203)+SUM(B364:B375)+SUM(B505:B506)+B548+SUM(B600:B601)+B665+B704+B760+SUM(B798:B798)</f>
        <v>0</v>
      </c>
      <c r="C851" s="172">
        <f>+C38+SUM(C83:C84)+SUM(C192:C203)+SUM(C364:C375)+SUM(C505:C506)+C548+SUM(C600:C601)+C665+C704+C760+SUM(C798:C798)</f>
        <v>0</v>
      </c>
      <c r="D851" s="172">
        <f>+D38+SUM(D83:D84)+SUM(D192:D203)+SUM(D364:D375)+SUM(D505:D506)+D548+SUM(D600:D601)+D665+D704+D760+SUM(D798:D798)</f>
        <v>0</v>
      </c>
      <c r="E851" s="38">
        <f t="shared" si="289"/>
        <v>0</v>
      </c>
      <c r="F851" s="172">
        <f>+F38+SUM(F83:F84)+SUM(F192:F203)+SUM(F364:F375)+SUM(F505:F506)+F548+SUM(F600:F601)+F665+F704+F760+SUM(F798:F798)</f>
        <v>0</v>
      </c>
      <c r="G851" s="172">
        <f>+G38+SUM(G83:G84)+SUM(G192:G203)+SUM(G364:G375)+SUM(G505:G506)+G548+SUM(G600:G601)+G665+G704+G760+SUM(G798:G798)</f>
        <v>0</v>
      </c>
      <c r="H851" s="172">
        <f>+H38+SUM(H83:H84)+SUM(H192:H203)+SUM(H364:H375)+SUM(H505:H506)+H548+SUM(H600:H601)+H665+H704+H760+SUM(H798:H798)</f>
        <v>0</v>
      </c>
      <c r="I851" s="38">
        <f t="shared" si="290"/>
        <v>0</v>
      </c>
      <c r="J851" s="172">
        <f>+J38+SUM(J83:J84)+SUM(J192:J203)+SUM(J364:J375)+SUM(J505:J506)+J548+SUM(J600:J601)+J665+J704+J760+SUM(J798:J798)</f>
        <v>0</v>
      </c>
      <c r="K851" s="172">
        <f>+K38+SUM(K83:K84)+SUM(K192:K203)+SUM(K364:K375)+SUM(K505:K506)+K548+SUM(K600:K601)+K665+K704+K760+SUM(K798:K798)</f>
        <v>0</v>
      </c>
      <c r="L851" s="172">
        <f>+L38+SUM(L83:L84)+SUM(L192:L203)+SUM(L364:L375)+SUM(L505:L506)+L548+SUM(L600:L601)+L665+L704+L760+SUM(L798:L798)</f>
        <v>0</v>
      </c>
      <c r="M851" s="38">
        <f t="shared" si="291"/>
        <v>0</v>
      </c>
      <c r="N851" s="172">
        <f>+N38+SUM(N83:N84)+SUM(N192:N203)+SUM(N364:N375)+SUM(N505:N506)+N548+SUM(N600:N601)+N665+N704+N760+SUM(N798:N798)</f>
        <v>0</v>
      </c>
      <c r="O851" s="172">
        <f>+O38+SUM(O83:O84)+SUM(O192:O203)+SUM(O364:O375)+SUM(O505:O506)+O548+SUM(O600:O601)+O665+O704+O760+SUM(O798:O798)</f>
        <v>0</v>
      </c>
      <c r="P851" s="172">
        <f>+P38+SUM(P83:P84)+SUM(P192:P203)+SUM(P364:P375)+SUM(P505:P506)+P548+SUM(P600:P601)+P665+P704+P760+SUM(P798:P798)</f>
        <v>579</v>
      </c>
      <c r="Q851" s="38">
        <f t="shared" si="292"/>
        <v>579</v>
      </c>
      <c r="R851" s="38">
        <f t="shared" si="293"/>
        <v>579</v>
      </c>
    </row>
    <row r="852" spans="1:20" ht="15.75" customHeight="1" x14ac:dyDescent="0.3">
      <c r="A852" s="545" t="s">
        <v>2647</v>
      </c>
      <c r="B852" s="172">
        <f>+SUM(B85:B87)+SUM(B204:B207)+SUM(B376:B380)+B507+B549+SUM(B602:B603)+B666+B705+B761+SUM(B799:B800)</f>
        <v>315</v>
      </c>
      <c r="C852" s="172">
        <f>+SUM(C85:C87)+SUM(C204:C207)+SUM(C376:C380)+C507+C549+SUM(C602:C603)+C666+C705+C761+SUM(C799:C800)</f>
        <v>1963</v>
      </c>
      <c r="D852" s="172">
        <f>+SUM(D85:D87)+SUM(D204:D207)+SUM(D376:D380)+D507+D549+SUM(D602:D603)+D666+D705+D761+SUM(D799:D800)</f>
        <v>3938</v>
      </c>
      <c r="E852" s="38">
        <f t="shared" si="289"/>
        <v>6216</v>
      </c>
      <c r="F852" s="172">
        <f>+SUM(F85:F87)+SUM(F204:F207)+SUM(F376:F380)+F507+F549+SUM(F602:F603)+F666+F705+F761+SUM(F799:F800)</f>
        <v>4161</v>
      </c>
      <c r="G852" s="172">
        <f>+SUM(G85:G87)+SUM(G204:G207)+SUM(G376:G380)+G507+G549+SUM(G602:G603)+G666+G705+G761+SUM(G799:G800)</f>
        <v>2011</v>
      </c>
      <c r="H852" s="172">
        <f>+SUM(H85:H87)+SUM(H204:H207)+SUM(H376:H380)+H507+H549+SUM(H602:H603)+H666+H705+H761+SUM(H799:H800)</f>
        <v>1876</v>
      </c>
      <c r="I852" s="38">
        <f t="shared" si="290"/>
        <v>8048</v>
      </c>
      <c r="J852" s="172">
        <f>+SUM(J85:J87)+SUM(J204:J207)+SUM(J376:J380)+J507+J549+SUM(J602:J603)+J666+J705+J761+SUM(J799:J800)</f>
        <v>2058</v>
      </c>
      <c r="K852" s="172">
        <f>+SUM(K85:K87)+SUM(K204:K207)+SUM(K376:K380)+K507+K549+SUM(K602:K603)+K666+K705+K761+SUM(K799:K800)</f>
        <v>11705</v>
      </c>
      <c r="L852" s="172">
        <f>+SUM(L85:L87)+SUM(L204:L207)+SUM(L376:L380)+L507+L549+SUM(L602:L603)+L666+L705+L761+SUM(L799:L800)</f>
        <v>2722</v>
      </c>
      <c r="M852" s="38">
        <f t="shared" si="291"/>
        <v>16485</v>
      </c>
      <c r="N852" s="172">
        <f>+SUM(N85:N87)+SUM(N204:N207)+SUM(N376:N380)+N507+N549+SUM(N602:N603)+N666+N705+N761+SUM(N799:N800)</f>
        <v>1830</v>
      </c>
      <c r="O852" s="172">
        <f>+SUM(O85:O87)+SUM(O204:O207)+SUM(O376:O380)+O507+O549+SUM(O602:O603)+O666+O705+O761+SUM(O799:O800)</f>
        <v>1372</v>
      </c>
      <c r="P852" s="172">
        <f>+SUM(P85:P87)+SUM(P204:P207)+SUM(P376:P380)+P507+P549+SUM(P602:P603)+P666+P705+P761+SUM(P799:P800)</f>
        <v>745</v>
      </c>
      <c r="Q852" s="38">
        <f t="shared" si="292"/>
        <v>3947</v>
      </c>
      <c r="R852" s="38">
        <f>+E852+I852+M852+Q852</f>
        <v>34696</v>
      </c>
    </row>
    <row r="853" spans="1:20" ht="15.75" customHeight="1" x14ac:dyDescent="0.3">
      <c r="A853" s="234" t="s">
        <v>2958</v>
      </c>
      <c r="B853" s="172">
        <f>+B308+B479+B480</f>
        <v>0</v>
      </c>
      <c r="C853" s="172">
        <f>+C308+C479+C480</f>
        <v>0</v>
      </c>
      <c r="D853" s="172">
        <f>+D308+D479+D480</f>
        <v>0</v>
      </c>
      <c r="E853" s="38">
        <f t="shared" si="289"/>
        <v>0</v>
      </c>
      <c r="F853" s="172">
        <f>+F308+F479+F480</f>
        <v>0</v>
      </c>
      <c r="G853" s="172">
        <f>+G308+G479+G480</f>
        <v>0</v>
      </c>
      <c r="H853" s="172">
        <f>+H308+H479+H480</f>
        <v>0</v>
      </c>
      <c r="I853" s="38">
        <f t="shared" si="290"/>
        <v>0</v>
      </c>
      <c r="J853" s="172">
        <f>+J308+J479+J480</f>
        <v>0</v>
      </c>
      <c r="K853" s="172">
        <f>+K308+K479+K480</f>
        <v>0</v>
      </c>
      <c r="L853" s="172">
        <f>+L308+L479+L480</f>
        <v>0</v>
      </c>
      <c r="M853" s="38">
        <f t="shared" si="291"/>
        <v>0</v>
      </c>
      <c r="N853" s="172">
        <f>+N308+N479+N480</f>
        <v>0</v>
      </c>
      <c r="O853" s="172">
        <f>+O308+O479+O480</f>
        <v>0</v>
      </c>
      <c r="P853" s="172">
        <f>+P308+P479+P480</f>
        <v>0</v>
      </c>
      <c r="Q853" s="38">
        <f t="shared" si="292"/>
        <v>0</v>
      </c>
      <c r="R853" s="38">
        <f t="shared" si="293"/>
        <v>0</v>
      </c>
    </row>
    <row r="854" spans="1:20" ht="15.75" customHeight="1" x14ac:dyDescent="0.3">
      <c r="A854" s="545" t="s">
        <v>2163</v>
      </c>
      <c r="B854" s="172">
        <f>+B309</f>
        <v>36</v>
      </c>
      <c r="C854" s="172">
        <f>+C309</f>
        <v>25</v>
      </c>
      <c r="D854" s="172">
        <f>+D309</f>
        <v>24</v>
      </c>
      <c r="E854" s="38">
        <f>SUM(B854:D854)</f>
        <v>85</v>
      </c>
      <c r="F854" s="172">
        <f>+F309</f>
        <v>69</v>
      </c>
      <c r="G854" s="172">
        <f>+G309</f>
        <v>187</v>
      </c>
      <c r="H854" s="172">
        <f>+H309</f>
        <v>137</v>
      </c>
      <c r="I854" s="38">
        <f>SUM(F854:H854)</f>
        <v>393</v>
      </c>
      <c r="J854" s="172">
        <f>+J309</f>
        <v>67</v>
      </c>
      <c r="K854" s="172">
        <f>+K309</f>
        <v>48</v>
      </c>
      <c r="L854" s="172">
        <f>+L309</f>
        <v>86</v>
      </c>
      <c r="M854" s="38">
        <f>SUM(J854:L854)</f>
        <v>201</v>
      </c>
      <c r="N854" s="172">
        <f>+N309</f>
        <v>28</v>
      </c>
      <c r="O854" s="172">
        <f>+O309</f>
        <v>65</v>
      </c>
      <c r="P854" s="172">
        <f>+P309</f>
        <v>34</v>
      </c>
      <c r="Q854" s="38">
        <f t="shared" si="292"/>
        <v>127</v>
      </c>
      <c r="R854" s="38">
        <f>+E854+I854+M854+Q854</f>
        <v>806</v>
      </c>
    </row>
    <row r="855" spans="1:20" ht="15.75" customHeight="1" thickBot="1" x14ac:dyDescent="0.35">
      <c r="A855" s="234" t="s">
        <v>2164</v>
      </c>
      <c r="B855" s="172">
        <f>+B88+B508+B550+B604+B667+B706+B762+B801</f>
        <v>0</v>
      </c>
      <c r="C855" s="172">
        <f>+C88+C508+C550+C604+C667+C706+C762+C801</f>
        <v>0</v>
      </c>
      <c r="D855" s="172">
        <f>+D88+D508+D550+D604+D667+D706+D762+D801</f>
        <v>0</v>
      </c>
      <c r="E855" s="38">
        <f t="shared" si="289"/>
        <v>0</v>
      </c>
      <c r="F855" s="172">
        <f>+F88+F508+F550+F604+F667+F706+F762+F801</f>
        <v>0</v>
      </c>
      <c r="G855" s="172">
        <f>+G88+G508+G550+G604+G667+G706+G762+G801</f>
        <v>0</v>
      </c>
      <c r="H855" s="172">
        <f>+H88+H508+H550+H604+H667+H706+H762+H801</f>
        <v>0</v>
      </c>
      <c r="I855" s="38">
        <f t="shared" si="290"/>
        <v>0</v>
      </c>
      <c r="J855" s="172">
        <f>+J88+J508+J550+J604+J667+J706+J762+J801</f>
        <v>0</v>
      </c>
      <c r="K855" s="172">
        <f>+K88+K508+K550+K604+K667+K706+K762+K801</f>
        <v>0</v>
      </c>
      <c r="L855" s="172">
        <f>+L88+L508+L550+L604+L667+L706+L762+L801</f>
        <v>0</v>
      </c>
      <c r="M855" s="38">
        <f t="shared" si="291"/>
        <v>0</v>
      </c>
      <c r="N855" s="172">
        <f>+N88+N508+N550+N604+N667+N706+N762+N801</f>
        <v>0</v>
      </c>
      <c r="O855" s="172">
        <f>+O88+O508+O550+O604+O667+O706+O762+O801</f>
        <v>0</v>
      </c>
      <c r="P855" s="172">
        <f>+P88+P508+P550+P604+P667+P706+P762+P801</f>
        <v>0</v>
      </c>
      <c r="Q855" s="38">
        <f t="shared" si="292"/>
        <v>0</v>
      </c>
      <c r="R855" s="38">
        <f t="shared" si="293"/>
        <v>0</v>
      </c>
    </row>
    <row r="856" spans="1:20" ht="16.5" customHeight="1" thickBot="1" x14ac:dyDescent="0.35">
      <c r="A856" s="43" t="s">
        <v>1218</v>
      </c>
      <c r="B856" s="45">
        <f>SUM(B849:B855)</f>
        <v>31967</v>
      </c>
      <c r="C856" s="46">
        <f>SUM(C849:C855)</f>
        <v>35377</v>
      </c>
      <c r="D856" s="46">
        <f>SUM(D849:D855)</f>
        <v>40674</v>
      </c>
      <c r="E856" s="37">
        <f t="shared" si="289"/>
        <v>108018</v>
      </c>
      <c r="F856" s="46">
        <f>SUM(F849:F855)</f>
        <v>41877</v>
      </c>
      <c r="G856" s="46">
        <f>SUM(G849:G855)</f>
        <v>57170</v>
      </c>
      <c r="H856" s="46">
        <f>SUM(H849:H855)</f>
        <v>72704</v>
      </c>
      <c r="I856" s="37">
        <f t="shared" si="290"/>
        <v>171751</v>
      </c>
      <c r="J856" s="46">
        <f>SUM(J849:J855)</f>
        <v>68733</v>
      </c>
      <c r="K856" s="46">
        <f>SUM(K849:K855)</f>
        <v>81894</v>
      </c>
      <c r="L856" s="46">
        <f>SUM(L849:L855)</f>
        <v>72853</v>
      </c>
      <c r="M856" s="37">
        <f t="shared" si="291"/>
        <v>223480</v>
      </c>
      <c r="N856" s="46">
        <f>SUM(N849:N855)</f>
        <v>41316</v>
      </c>
      <c r="O856" s="46">
        <f>SUM(O849:O855)</f>
        <v>34475</v>
      </c>
      <c r="P856" s="46">
        <f>SUM(P849:P855)</f>
        <v>37685</v>
      </c>
      <c r="Q856" s="37">
        <f t="shared" si="292"/>
        <v>113476</v>
      </c>
      <c r="R856" s="37">
        <f t="shared" si="293"/>
        <v>616725</v>
      </c>
      <c r="T856">
        <f>+R856-R853-R852</f>
        <v>582029</v>
      </c>
    </row>
    <row r="857" spans="1:20" ht="15.75" customHeight="1" x14ac:dyDescent="0.3">
      <c r="A857" s="234" t="s">
        <v>1172</v>
      </c>
      <c r="B857" s="172"/>
      <c r="C857" s="172"/>
      <c r="D857" s="172"/>
      <c r="E857" s="38" t="s">
        <v>852</v>
      </c>
      <c r="F857" s="172"/>
      <c r="G857" s="172"/>
      <c r="H857" s="172"/>
      <c r="I857" s="38" t="s">
        <v>852</v>
      </c>
      <c r="J857" s="172"/>
      <c r="K857" s="172"/>
      <c r="L857" s="172"/>
      <c r="M857" s="38" t="s">
        <v>852</v>
      </c>
      <c r="N857" s="172"/>
      <c r="O857" s="172"/>
      <c r="P857" s="172"/>
      <c r="Q857" s="38" t="s">
        <v>852</v>
      </c>
      <c r="R857" s="38" t="s">
        <v>852</v>
      </c>
    </row>
    <row r="858" spans="1:20" ht="15.75" customHeight="1" x14ac:dyDescent="0.3">
      <c r="A858" s="234" t="s">
        <v>1658</v>
      </c>
      <c r="B858" s="172">
        <f>SUM(B43:B43)+SUM(B211:B211)+SUM(B91:B91)+SUM(B384:B384)</f>
        <v>0</v>
      </c>
      <c r="C858" s="172">
        <f>SUM(C43:C43)+SUM(C211:C211)+SUM(C91:C91)+SUM(C384:C384)</f>
        <v>0</v>
      </c>
      <c r="D858" s="172">
        <f>SUM(D43:D43)+SUM(D211:D211)+SUM(D91:D91)+SUM(D384:D384)</f>
        <v>0</v>
      </c>
      <c r="E858" s="38">
        <f>SUM(B858:D858)</f>
        <v>0</v>
      </c>
      <c r="F858" s="172">
        <f>SUM(F43:F43)+SUM(F211:F211)+SUM(F91:F91)+SUM(F384:F384)</f>
        <v>0</v>
      </c>
      <c r="G858" s="172">
        <f>SUM(G43:G43)+SUM(G211:G211)+SUM(G91:G91)+SUM(G384:G384)</f>
        <v>0</v>
      </c>
      <c r="H858" s="172">
        <f>SUM(H43:H43)+SUM(H211:H211)+SUM(H91:H91)+SUM(H384:H384)</f>
        <v>0</v>
      </c>
      <c r="I858" s="38">
        <f>SUM(F858:H858)</f>
        <v>0</v>
      </c>
      <c r="J858" s="172">
        <f>SUM(J43:J43)+SUM(J211:J211)+SUM(J91:J91)+SUM(J384:J384)</f>
        <v>0</v>
      </c>
      <c r="K858" s="172">
        <f>SUM(K43:K43)+SUM(K211:K211)+SUM(K91:K91)+SUM(K384:K384)</f>
        <v>0</v>
      </c>
      <c r="L858" s="172">
        <f>SUM(L43:L43)+SUM(L211:L211)+SUM(L91:L91)+SUM(L384:L384)</f>
        <v>0</v>
      </c>
      <c r="M858" s="38">
        <f>SUM(J858:L858)</f>
        <v>0</v>
      </c>
      <c r="N858" s="172">
        <f>SUM(N43:N43)+SUM(N211:N211)+SUM(N91:N91)+SUM(N384:N384)</f>
        <v>0</v>
      </c>
      <c r="O858" s="172">
        <f>SUM(O43:O43)+SUM(O211:O211)+SUM(O91:O91)+SUM(O384:O384)</f>
        <v>0</v>
      </c>
      <c r="P858" s="172">
        <f>SUM(P43:P43)+SUM(P211:P211)+SUM(P91:P91)+SUM(P384:P384)</f>
        <v>0</v>
      </c>
      <c r="Q858" s="38">
        <f>SUM(N858:P858)</f>
        <v>0</v>
      </c>
      <c r="R858" s="38">
        <f>+E858+I858+M858+Q858</f>
        <v>0</v>
      </c>
    </row>
    <row r="859" spans="1:20" ht="15.75" customHeight="1" x14ac:dyDescent="0.3">
      <c r="A859" s="545" t="s">
        <v>2409</v>
      </c>
      <c r="B859" s="172">
        <f>+SUM(B93:B94)+SUM(B212:B214)+SUM(B385:B394)+B512+SUM(B553:B555)+SUM(B607:B609)+SUM(B670:B670)+B709+B765+SUM(B804:B805)</f>
        <v>5022</v>
      </c>
      <c r="C859" s="172">
        <f>+SUM(C93:C94)+SUM(C212:C214)+SUM(C385:C394)+C512+SUM(C553:C555)+SUM(C607:C609)+SUM(C670:C670)+C709+C765+SUM(C804:C805)</f>
        <v>5022</v>
      </c>
      <c r="D859" s="172">
        <f>+SUM(D93:D94)+SUM(D212:D214)+SUM(D385:D394)+D512+SUM(D553:D555)+SUM(D607:D609)+SUM(D670:D670)+D709+D765+SUM(D804:D805)</f>
        <v>18750</v>
      </c>
      <c r="E859" s="38">
        <f>SUM(B859:D859)</f>
        <v>28794</v>
      </c>
      <c r="F859" s="172">
        <f>+SUM(F93:F94)+SUM(F212:F214)+SUM(F385:F394)+F512+SUM(F553:F555)+SUM(F607:F609)+SUM(F670:F670)+F709+F765+SUM(F804:F805)</f>
        <v>42093</v>
      </c>
      <c r="G859" s="172">
        <f>+SUM(G93:G94)+SUM(G212:G214)+SUM(G385:G394)+G512+SUM(G553:G555)+SUM(G607:G609)+SUM(G670:G670)+G709+G765+SUM(G804:G805)</f>
        <v>44361</v>
      </c>
      <c r="H859" s="172">
        <f>+SUM(H93:H94)+SUM(H212:H214)+SUM(H385:H394)+H512+SUM(H553:H555)+SUM(H607:H609)+SUM(H670:H670)+H709+H765+SUM(H804:H805)</f>
        <v>39913</v>
      </c>
      <c r="I859" s="38">
        <f>SUM(F859:H859)</f>
        <v>126367</v>
      </c>
      <c r="J859" s="172">
        <f>+SUM(J93:J94)+SUM(J212:J214)+SUM(J385:J394)+J512+SUM(J553:J555)+SUM(J607:J609)+SUM(J670:J670)+J709+J765+SUM(J804:J805)</f>
        <v>36677</v>
      </c>
      <c r="K859" s="172">
        <f>+SUM(K93:K94)+SUM(K212:K214)+SUM(K385:K394)+K512+SUM(K553:K555)+SUM(K607:K609)+SUM(K670:K670)+K709+K765+SUM(K804:K805)</f>
        <v>29640</v>
      </c>
      <c r="L859" s="172">
        <f>+SUM(L93:L94)+SUM(L212:L214)+SUM(L385:L394)+L512+SUM(L553:L555)+SUM(L607:L609)+SUM(L670:L670)+L709+L765+SUM(L804:L805)</f>
        <v>12019</v>
      </c>
      <c r="M859" s="38">
        <f>SUM(J859:L859)</f>
        <v>78336</v>
      </c>
      <c r="N859" s="172">
        <f>+SUM(N93:N94)+SUM(N212:N214)+SUM(N385:N394)+N512+SUM(N553:N555)+SUM(N607:N609)+SUM(N670:N670)+N709+N765+SUM(N804:N805)</f>
        <v>589</v>
      </c>
      <c r="O859" s="172">
        <f>+SUM(O93:O94)+SUM(O212:O214)+SUM(O385:O394)+O512+SUM(O553:O555)+SUM(O607:O609)+SUM(O670:O670)+O709+O765+SUM(O804:O805)</f>
        <v>4170</v>
      </c>
      <c r="P859" s="172">
        <f>+SUM(P93:P94)+SUM(P212:P214)+SUM(P385:P394)+P512+SUM(P553:P555)+SUM(P607:P609)+SUM(P670:P670)+P709+P765+SUM(P804:P805)</f>
        <v>4593</v>
      </c>
      <c r="Q859" s="38">
        <f>SUM(N859:P859)</f>
        <v>9352</v>
      </c>
      <c r="R859" s="38">
        <f>+E859+I859+M859+Q859</f>
        <v>242849</v>
      </c>
    </row>
    <row r="860" spans="1:20" ht="15.75" customHeight="1" thickBot="1" x14ac:dyDescent="0.35">
      <c r="A860" s="234" t="s">
        <v>2165</v>
      </c>
      <c r="B860" s="172">
        <f>+B95+B513+B556+B610+B671+B710+B766+B806+B395+B215+B45</f>
        <v>0</v>
      </c>
      <c r="C860" s="172">
        <f>+C95+C513+C556+C610+C671+C710+C766+C806+C395+C215+C45</f>
        <v>0</v>
      </c>
      <c r="D860" s="172">
        <f>+D95+D513+D556+D610+D671+D710+D766+D806+D395+D215+D45</f>
        <v>0</v>
      </c>
      <c r="E860" s="38">
        <f>SUM(B860:D860)</f>
        <v>0</v>
      </c>
      <c r="F860" s="172">
        <f>+F95+F513+F556+F610+F671+F710+F766+F806+F395+F215+F45</f>
        <v>0</v>
      </c>
      <c r="G860" s="172">
        <f>+G95+G513+G556+G610+G671+G710+G766+G806+G395+G215+G45</f>
        <v>0</v>
      </c>
      <c r="H860" s="172">
        <f>+H95+H513+H556+H610+H671+H710+H766+H806+H395+H215+H45</f>
        <v>0</v>
      </c>
      <c r="I860" s="38">
        <f>SUM(F860:H860)</f>
        <v>0</v>
      </c>
      <c r="J860" s="172">
        <f>+J95+J513+J556+J610+J671+J710+J766+J806+J395+J215+J45</f>
        <v>0</v>
      </c>
      <c r="K860" s="172">
        <f>+K95+K513+K556+K610+K671+K710+K766+K806+K395+K215+K45</f>
        <v>0</v>
      </c>
      <c r="L860" s="172">
        <f>+L95+L513+L556+L610+L671+L710+L766+L806+L395+L215+L45</f>
        <v>0</v>
      </c>
      <c r="M860" s="38">
        <f>SUM(J860:L860)</f>
        <v>0</v>
      </c>
      <c r="N860" s="172">
        <f>+N95+N513+N556+N610+N671+N710+N766+N806+N395+N215+N45</f>
        <v>0</v>
      </c>
      <c r="O860" s="172">
        <f>+O95+O513+O556+O610+O671+O710+O766+O806+O395+O215+O45</f>
        <v>0</v>
      </c>
      <c r="P860" s="172">
        <f>+P95+P513+P556+P610+P671+P710+P766+P806+P395+P215+P45</f>
        <v>0</v>
      </c>
      <c r="Q860" s="38">
        <f>SUM(N860:P860)</f>
        <v>0</v>
      </c>
      <c r="R860" s="38">
        <f>+E860+I860+M860+Q860</f>
        <v>0</v>
      </c>
    </row>
    <row r="861" spans="1:20" ht="16.5" customHeight="1" thickBot="1" x14ac:dyDescent="0.35">
      <c r="A861" s="43" t="s">
        <v>1219</v>
      </c>
      <c r="B861" s="45">
        <f>SUM(B857:B860)</f>
        <v>5022</v>
      </c>
      <c r="C861" s="46">
        <f>SUM(C857:C860)</f>
        <v>5022</v>
      </c>
      <c r="D861" s="46">
        <f>SUM(D857:D860)</f>
        <v>18750</v>
      </c>
      <c r="E861" s="37">
        <f>SUM(B861:D861)</f>
        <v>28794</v>
      </c>
      <c r="F861" s="46">
        <f>SUM(F857:F860)</f>
        <v>42093</v>
      </c>
      <c r="G861" s="46">
        <f>SUM(G857:G860)</f>
        <v>44361</v>
      </c>
      <c r="H861" s="46">
        <f>SUM(H857:H860)</f>
        <v>39913</v>
      </c>
      <c r="I861" s="37">
        <f>SUM(F861:H861)</f>
        <v>126367</v>
      </c>
      <c r="J861" s="46">
        <f>SUM(J857:J860)</f>
        <v>36677</v>
      </c>
      <c r="K861" s="46">
        <f>SUM(K857:K860)</f>
        <v>29640</v>
      </c>
      <c r="L861" s="46">
        <f>SUM(L857:L860)</f>
        <v>12019</v>
      </c>
      <c r="M861" s="37">
        <f>SUM(J861:L861)</f>
        <v>78336</v>
      </c>
      <c r="N861" s="46">
        <f>SUM(N857:N860)</f>
        <v>589</v>
      </c>
      <c r="O861" s="46">
        <f>SUM(O857:O860)</f>
        <v>4170</v>
      </c>
      <c r="P861" s="46">
        <f>SUM(P857:P860)</f>
        <v>4593</v>
      </c>
      <c r="Q861" s="37">
        <f>SUM(N861:P861)</f>
        <v>9352</v>
      </c>
      <c r="R861" s="37">
        <f>+E861+I861+M861+Q861</f>
        <v>242849</v>
      </c>
    </row>
    <row r="862" spans="1:20" ht="15.75" customHeight="1" x14ac:dyDescent="0.3">
      <c r="A862" s="234" t="s">
        <v>2166</v>
      </c>
      <c r="B862" s="172"/>
      <c r="C862" s="172"/>
      <c r="D862" s="172"/>
      <c r="E862" s="38" t="s">
        <v>852</v>
      </c>
      <c r="F862" s="172"/>
      <c r="G862" s="172"/>
      <c r="H862" s="172"/>
      <c r="I862" s="38" t="s">
        <v>852</v>
      </c>
      <c r="J862" s="172"/>
      <c r="K862" s="172"/>
      <c r="L862" s="172"/>
      <c r="M862" s="38" t="s">
        <v>852</v>
      </c>
      <c r="N862" s="172"/>
      <c r="O862" s="172"/>
      <c r="P862" s="172"/>
      <c r="Q862" s="38" t="s">
        <v>852</v>
      </c>
      <c r="R862" s="38" t="s">
        <v>852</v>
      </c>
    </row>
    <row r="863" spans="1:20" ht="15.75" customHeight="1" x14ac:dyDescent="0.3">
      <c r="A863" s="545" t="s">
        <v>1245</v>
      </c>
      <c r="B863" s="172">
        <f>+B48+B98+B218+SUM(B398:B400)+B516+B559+B613+B674+SUM(B713:B714)+B769+SUM(B809:B811)</f>
        <v>3619</v>
      </c>
      <c r="C863" s="172">
        <f>+C48+C98+C218+SUM(C398:C400)+C516+C559+C613+C674+SUM(C713:C714)+C769+SUM(C809:C811)</f>
        <v>4002</v>
      </c>
      <c r="D863" s="172">
        <f>+D48+D98+D218+SUM(D398:D400)+D516+D559+D613+D674+SUM(D713:D714)+D769+SUM(D809:D811)</f>
        <v>9487</v>
      </c>
      <c r="E863" s="38">
        <f>SUM(B863:D863)</f>
        <v>17108</v>
      </c>
      <c r="F863" s="172">
        <f>+F48+F98+F218+SUM(F398:F400)+F516+F559+F613+F674+SUM(F713:F714)+F769+SUM(F809:F811)</f>
        <v>12834</v>
      </c>
      <c r="G863" s="172">
        <f>+G48+G98+G218+SUM(G398:G400)+G516+G559+G613+G674+SUM(G713:G714)+G769+SUM(G809:G811)</f>
        <v>18057</v>
      </c>
      <c r="H863" s="172">
        <f>+H48+H98+H218+SUM(H398:H400)+H516+H559+H613+H674+SUM(H713:H714)+H769+SUM(H809:H811)</f>
        <v>20511</v>
      </c>
      <c r="I863" s="38">
        <f>SUM(F863:H863)</f>
        <v>51402</v>
      </c>
      <c r="J863" s="172">
        <f>+J48+J98+J218+SUM(J398:J400)+J516+J559+J613+J674+SUM(J713:J714)+J769+SUM(J809:J811)</f>
        <v>24886</v>
      </c>
      <c r="K863" s="172">
        <f>+K48+K98+K218+SUM(K398:K400)+K516+K559+K613+K674+SUM(K713:K714)+K769+SUM(K809:K811)</f>
        <v>20298</v>
      </c>
      <c r="L863" s="172">
        <f>+L48+L98+L218+SUM(L398:L400)+L516+L559+L613+L674+SUM(L713:L714)+L769+SUM(L809:L811)</f>
        <v>15590</v>
      </c>
      <c r="M863" s="38">
        <f>SUM(J863:L863)</f>
        <v>60774</v>
      </c>
      <c r="N863" s="172">
        <f>+N48+N98+N218+SUM(N398:N400)+N516+N559+N613+N674+SUM(N713:N714)+N769+SUM(N809:N811)</f>
        <v>2505</v>
      </c>
      <c r="O863" s="172">
        <f>+O48+O98+O218+SUM(O398:O400)+O516+O559+O613+O674+SUM(O713:O714)+O769+SUM(O809:O811)</f>
        <v>6480</v>
      </c>
      <c r="P863" s="172">
        <f>+P48+P98+P218+SUM(P398:P400)+P516+P559+P613+P674+SUM(P713:P714)+P769+SUM(P809:P811)</f>
        <v>4907</v>
      </c>
      <c r="Q863" s="38">
        <f>SUM(N863:P863)</f>
        <v>13892</v>
      </c>
      <c r="R863" s="38">
        <f>+E863+I863+M863+Q863</f>
        <v>143176</v>
      </c>
    </row>
    <row r="864" spans="1:20" ht="15.75" customHeight="1" thickBot="1" x14ac:dyDescent="0.35">
      <c r="A864" s="545" t="s">
        <v>1711</v>
      </c>
      <c r="B864" s="172">
        <f>+B49+SUM(B99:B106)+SUM(B219:B283)+SUM(B401:B450)+SUM(B517:B519)+SUM(B560:B561)+SUM(B614:B619)+B675+SUM(B715:B723)+B770+SUM(B812:B816)</f>
        <v>9707</v>
      </c>
      <c r="C864" s="172">
        <f>+C49+SUM(C99:C106)+SUM(C219:C283)+SUM(C401:C450)+SUM(C517:C519)+SUM(C560:C561)+SUM(C614:C619)+C675+SUM(C715:C723)+C770+SUM(C812:C816)</f>
        <v>19637</v>
      </c>
      <c r="D864" s="172">
        <f>+D49+SUM(D99:D106)+SUM(D219:D283)+SUM(D401:D450)+SUM(D517:D519)+SUM(D560:D561)+SUM(D614:D619)+D675+SUM(D715:D723)+D770+SUM(D812:D816)</f>
        <v>34501</v>
      </c>
      <c r="E864" s="38">
        <f>SUM(B864:D864)</f>
        <v>63845</v>
      </c>
      <c r="F864" s="172">
        <f>+F49+SUM(F99:F106)+SUM(F219:F283)+SUM(F401:F450)+SUM(F517:F519)+SUM(F560:F561)+SUM(F614:F619)+F675+SUM(F715:F723)+F770+SUM(F812:F816)</f>
        <v>59011</v>
      </c>
      <c r="G864" s="172">
        <f>+G49+SUM(G99:G106)+SUM(G219:G283)+SUM(G401:G450)+SUM(G517:G519)+SUM(G560:G561)+SUM(G614:G619)+G675+SUM(G715:G723)+G770+SUM(G812:G816)</f>
        <v>46917</v>
      </c>
      <c r="H864" s="172">
        <f>+H49+SUM(H99:H106)+SUM(H219:H283)+SUM(H401:H450)+SUM(H517:H519)+SUM(H560:H561)+SUM(H614:H619)+H675+SUM(H715:H723)+H770+SUM(H812:H816)</f>
        <v>58268</v>
      </c>
      <c r="I864" s="38">
        <f>SUM(F864:H864)</f>
        <v>164196</v>
      </c>
      <c r="J864" s="172">
        <f>+J49+SUM(J99:J106)+SUM(J219:J283)+SUM(J401:J450)+SUM(J517:J519)+SUM(J560:J561)+SUM(J614:J619)+J675+SUM(J715:J723)+J770+SUM(J812:J816)</f>
        <v>65931</v>
      </c>
      <c r="K864" s="172">
        <f>+K49+SUM(K99:K106)+SUM(K219:K283)+SUM(K401:K450)+SUM(K517:K519)+SUM(K560:K561)+SUM(K614:K619)+K675+SUM(K715:K723)+K770+SUM(K812:K816)</f>
        <v>38785</v>
      </c>
      <c r="L864" s="172">
        <f>+L49+SUM(L99:L106)+SUM(L219:L283)+SUM(L401:L450)+SUM(L517:L519)+SUM(L560:L561)+SUM(L614:L619)+L675+SUM(L715:L723)+L770+SUM(L812:L816)</f>
        <v>31242</v>
      </c>
      <c r="M864" s="38">
        <f>SUM(J864:L864)</f>
        <v>135958</v>
      </c>
      <c r="N864" s="172">
        <f>+N49+SUM(N99:N106)+SUM(N219:N283)+SUM(N401:N450)+SUM(N517:N519)+SUM(N560:N561)+SUM(N614:N619)+N675+SUM(N715:N723)+N770+SUM(N812:N816)</f>
        <v>18879</v>
      </c>
      <c r="O864" s="172">
        <f>+O49+SUM(O99:O106)+SUM(O219:O283)+SUM(O401:O450)+SUM(O517:O519)+SUM(O560:O561)+SUM(O614:O619)+O675+SUM(O715:O723)+O770+SUM(O812:O816)</f>
        <v>24965</v>
      </c>
      <c r="P864" s="172">
        <f>+P49+SUM(P99:P106)+SUM(P219:P283)+SUM(P401:P450)+SUM(P517:P519)+SUM(P560:P561)+SUM(P614:P619)+P675+SUM(P715:P723)+P770+SUM(P812:P816)</f>
        <v>12137</v>
      </c>
      <c r="Q864" s="38">
        <f>SUM(N864:P864)</f>
        <v>55981</v>
      </c>
      <c r="R864" s="38">
        <f>+E864+I864+M864+Q864</f>
        <v>419980</v>
      </c>
    </row>
    <row r="865" spans="1:20" ht="16.5" customHeight="1" thickBot="1" x14ac:dyDescent="0.35">
      <c r="A865" s="43" t="s">
        <v>1220</v>
      </c>
      <c r="B865" s="45">
        <f>SUM(B862:B864)</f>
        <v>13326</v>
      </c>
      <c r="C865" s="46">
        <f>SUM(C862:C864)</f>
        <v>23639</v>
      </c>
      <c r="D865" s="58">
        <f>SUM(D862:D864)</f>
        <v>43988</v>
      </c>
      <c r="E865" s="37">
        <f>SUM(B865:D865)</f>
        <v>80953</v>
      </c>
      <c r="F865" s="46">
        <f>SUM(F862:F864)</f>
        <v>71845</v>
      </c>
      <c r="G865" s="46">
        <f>SUM(G862:G864)</f>
        <v>64974</v>
      </c>
      <c r="H865" s="46">
        <f>SUM(H862:H864)</f>
        <v>78779</v>
      </c>
      <c r="I865" s="37">
        <f>SUM(F865:H865)</f>
        <v>215598</v>
      </c>
      <c r="J865" s="46">
        <f>SUM(J862:J864)</f>
        <v>90817</v>
      </c>
      <c r="K865" s="46">
        <f>SUM(K862:K864)</f>
        <v>59083</v>
      </c>
      <c r="L865" s="46">
        <f>SUM(L862:L864)</f>
        <v>46832</v>
      </c>
      <c r="M865" s="37">
        <f>SUM(J865:L865)</f>
        <v>196732</v>
      </c>
      <c r="N865" s="46">
        <f>SUM(N862:N864)</f>
        <v>21384</v>
      </c>
      <c r="O865" s="46">
        <f>SUM(O862:O864)</f>
        <v>31445</v>
      </c>
      <c r="P865" s="46">
        <f>SUM(P862:P864)</f>
        <v>17044</v>
      </c>
      <c r="Q865" s="37">
        <f>SUM(N865:P865)</f>
        <v>69873</v>
      </c>
      <c r="R865" s="37">
        <f>+E865+I865+M865+Q865</f>
        <v>563156</v>
      </c>
      <c r="T865">
        <v>1600000</v>
      </c>
    </row>
    <row r="866" spans="1:20" ht="20.25" customHeight="1" x14ac:dyDescent="0.3">
      <c r="A866" s="234" t="s">
        <v>2645</v>
      </c>
      <c r="B866" s="172"/>
      <c r="C866" s="172"/>
      <c r="D866" s="172"/>
      <c r="E866" s="38" t="s">
        <v>852</v>
      </c>
      <c r="F866" s="172"/>
      <c r="G866" s="172"/>
      <c r="H866" s="172"/>
      <c r="I866" s="38" t="s">
        <v>852</v>
      </c>
      <c r="J866" s="172"/>
      <c r="K866" s="172"/>
      <c r="L866" s="172"/>
      <c r="M866" s="38" t="s">
        <v>852</v>
      </c>
      <c r="N866" s="172"/>
      <c r="O866" s="172"/>
      <c r="P866" s="172"/>
      <c r="Q866" s="38" t="s">
        <v>852</v>
      </c>
      <c r="R866" s="38" t="s">
        <v>852</v>
      </c>
      <c r="T866">
        <f>+T865-28000-R850-R851-400000-R863-R864+12000</f>
        <v>39621</v>
      </c>
    </row>
    <row r="867" spans="1:20" ht="15.75" customHeight="1" x14ac:dyDescent="0.3">
      <c r="A867" s="234" t="s">
        <v>2643</v>
      </c>
      <c r="B867" s="172">
        <f>SUM(B52:B52)+SUM(B109:B117)+SUM(B286:B289)+SUM(B453:B454)+SUM(B522:B522)+B564+SUM(B622:B624)+B678+B726+B773+SUM(B819:B821)</f>
        <v>0</v>
      </c>
      <c r="C867" s="172">
        <f>SUM(C52:C52)+SUM(C109:C117)+SUM(C286:C289)+SUM(C453:C454)+SUM(C522:C522)+C564+SUM(C622:C624)+C678+C726+C773+SUM(C819:C821)</f>
        <v>0</v>
      </c>
      <c r="D867" s="172">
        <f>SUM(D52:D52)+SUM(D109:D117)+SUM(D286:D289)+SUM(D453:D454)+SUM(D522:D522)+D564+SUM(D622:D624)+D678+D726+D773+SUM(D819:D821)</f>
        <v>0</v>
      </c>
      <c r="E867" s="38">
        <f t="shared" ref="E867:E875" si="294">SUM(B867:D867)</f>
        <v>0</v>
      </c>
      <c r="F867" s="172">
        <f>SUM(F52:F52)+SUM(F109:F117)+SUM(F286:F289)+SUM(F453:F454)+SUM(F522:F522)+F564+SUM(F622:F624)+F678+F726+F773+SUM(F819:F821)</f>
        <v>0</v>
      </c>
      <c r="G867" s="172">
        <f>SUM(G52:G52)+SUM(G109:G117)+SUM(G286:G289)+SUM(G453:G454)+SUM(G522:G522)+G564+SUM(G622:G624)+G678+G726+G773+SUM(G819:G821)</f>
        <v>0</v>
      </c>
      <c r="H867" s="172">
        <f>SUM(H52:H52)+SUM(H109:H117)+SUM(H286:H289)+SUM(H453:H454)+SUM(H522:H522)+H564+SUM(H622:H624)+H678+H726+H773+SUM(H819:H821)</f>
        <v>0</v>
      </c>
      <c r="I867" s="38">
        <f t="shared" ref="I867:I875" si="295">SUM(F867:H867)</f>
        <v>0</v>
      </c>
      <c r="J867" s="172">
        <f>SUM(J52:J52)+SUM(J109:J117)+SUM(J286:J289)+SUM(J453:J454)+SUM(J522:J522)+J564+SUM(J622:J624)+J678+J726+J773+SUM(J819:J821)</f>
        <v>0</v>
      </c>
      <c r="K867" s="172">
        <f>SUM(K52:K52)+SUM(K109:K117)+SUM(K286:K289)+SUM(K453:K454)+SUM(K522:K522)+K564+SUM(K622:K624)+K678+K726+K773+SUM(K819:K821)</f>
        <v>0</v>
      </c>
      <c r="L867" s="172">
        <f>SUM(L52:L52)+SUM(L109:L117)+SUM(L286:L289)+SUM(L453:L454)+SUM(L522:L522)+L564+SUM(L622:L624)+L678+L726+L773+SUM(L819:L821)</f>
        <v>0</v>
      </c>
      <c r="M867" s="38">
        <f t="shared" ref="M867:M875" si="296">SUM(J867:L867)</f>
        <v>0</v>
      </c>
      <c r="N867" s="172">
        <f>SUM(N52:N52)+SUM(N109:N117)+SUM(N286:N289)+SUM(N453:N454)+SUM(N522:N522)+N564+SUM(N622:N624)+N678+N726+N773+SUM(N819:N821)</f>
        <v>0</v>
      </c>
      <c r="O867" s="172">
        <f>SUM(O52:O52)+SUM(O109:O117)+SUM(O286:O289)+SUM(O453:O454)+SUM(O522:O522)+O564+SUM(O622:O624)+O678+O726+O773+SUM(O819:O821)</f>
        <v>0</v>
      </c>
      <c r="P867" s="172">
        <f>SUM(P52:P52)+SUM(P109:P117)+SUM(P286:P289)+SUM(P453:P454)+SUM(P522:P522)+P564+SUM(P622:P624)+P678+P726+P773+SUM(P819:P821)</f>
        <v>0</v>
      </c>
      <c r="Q867" s="38">
        <f t="shared" ref="Q867:Q875" si="297">SUM(N867:P867)</f>
        <v>0</v>
      </c>
      <c r="R867" s="38">
        <f>+E867+I867+M867+Q867</f>
        <v>0</v>
      </c>
    </row>
    <row r="868" spans="1:20" ht="15.75" customHeight="1" x14ac:dyDescent="0.3">
      <c r="A868" s="234" t="s">
        <v>557</v>
      </c>
      <c r="B868" s="172">
        <f>SUM(B53:B54)+SUM(B118:B119)+SUM(B290:B291)+B293+B295+B297+B298+SUM(B455:B457)+B523+B565+SUM(B625:B626)+B628+SUM(B679:B680)+B728+B730+B774+SUM(B822:B823)</f>
        <v>1335</v>
      </c>
      <c r="C868" s="172">
        <f>SUM(C53:C54)+SUM(C118:C119)+SUM(C290:C291)+C293+C295+C297+C298+SUM(C455:C457)+C523+C565+SUM(C625:C626)+C628+SUM(C679:C680)+C728+C730+C774+SUM(C822:C823)</f>
        <v>4067</v>
      </c>
      <c r="D868" s="172">
        <f>SUM(D53:D54)+SUM(D118:D119)+SUM(D290:D291)+D293+D295+D297+D298+SUM(D455:D457)+D523+D565+SUM(D625:D626)+D628+SUM(D679:D680)+D728+D730+D774+SUM(D822:D823)</f>
        <v>3052</v>
      </c>
      <c r="E868" s="38">
        <f t="shared" si="294"/>
        <v>8454</v>
      </c>
      <c r="F868" s="172">
        <f>SUM(F53:F54)+SUM(F118:F119)+SUM(F290:F291)+F293+F295+F297+F298+SUM(F455:F457)+F523+F565+SUM(F625:F626)+F628+SUM(F679:F680)+F728+F730+F774+SUM(F822:F823)</f>
        <v>2616</v>
      </c>
      <c r="G868" s="172">
        <f>SUM(G53:G54)+SUM(G118:G119)+SUM(G290:G291)+G293+G295+G297+G298+SUM(G455:G457)+G523+G565+SUM(G625:G626)+G628+SUM(G679:G680)+G728+G730+G774+SUM(G822:G823)</f>
        <v>1717</v>
      </c>
      <c r="H868" s="172">
        <f>SUM(H53:H54)+SUM(H118:H119)+SUM(H290:H291)+H293+H295+H297+H298+SUM(H455:H457)+H523+H565+SUM(H625:H626)+H628+SUM(H679:H680)+H728+H730+H774+SUM(H822:H823)</f>
        <v>0</v>
      </c>
      <c r="I868" s="38">
        <f t="shared" si="295"/>
        <v>4333</v>
      </c>
      <c r="J868" s="172">
        <f>SUM(J53:J54)+SUM(J118:J119)+SUM(J290:J291)+J293+J295+J297+J298+SUM(J455:J457)+J523+J565+SUM(J625:J626)+J628+SUM(J679:J680)+J728+J730+J774+SUM(J822:J823)</f>
        <v>0</v>
      </c>
      <c r="K868" s="172">
        <f>SUM(K53:K54)+SUM(K118:K119)+SUM(K290:K291)+K293+K295+K297+K298+SUM(K455:K457)+K523+K565+SUM(K625:K626)+K628+SUM(K679:K680)+K728+K730+K774+SUM(K822:K823)</f>
        <v>0</v>
      </c>
      <c r="L868" s="172">
        <f>SUM(L53:L54)+SUM(L118:L119)+SUM(L290:L291)+L293+L295+L297+L298+SUM(L455:L457)+L523+L565+SUM(L625:L626)+L628+SUM(L679:L680)+L728+L730+L774+SUM(L822:L823)</f>
        <v>2691</v>
      </c>
      <c r="M868" s="38">
        <f t="shared" si="296"/>
        <v>2691</v>
      </c>
      <c r="N868" s="172">
        <f>SUM(N53:N54)+SUM(N118:N119)+SUM(N290:N291)+N293+N295+N297+N298+SUM(N455:N457)+N523+N565+SUM(N625:N626)+N628+SUM(N679:N680)+N728+N730+N774+SUM(N822:N823)</f>
        <v>8915</v>
      </c>
      <c r="O868" s="172">
        <f>SUM(O53:O54)+SUM(O118:O119)+SUM(O290:O291)+O293+O295+O297+O298+SUM(O455:O457)+O523+O565+SUM(O625:O626)+O628+SUM(O679:O680)+O728+O730+O774+SUM(O822:O823)</f>
        <v>0</v>
      </c>
      <c r="P868" s="172">
        <f>SUM(P53:P54)+SUM(P118:P119)+SUM(P290:P291)+P293+P295+P297+P298+SUM(P455:P457)+P523+P565+SUM(P625:P626)+P628+SUM(P679:P680)+P728+P730+P774+SUM(P822:P823)</f>
        <v>267</v>
      </c>
      <c r="Q868" s="38">
        <f t="shared" si="297"/>
        <v>9182</v>
      </c>
      <c r="R868" s="38">
        <f t="shared" ref="R868:R875" si="298">+E868+I868+M868+Q868</f>
        <v>24660</v>
      </c>
    </row>
    <row r="869" spans="1:20" ht="17.399999999999999" x14ac:dyDescent="0.3">
      <c r="A869" s="539" t="s">
        <v>3281</v>
      </c>
      <c r="B869" s="172">
        <f>B120+B292+B294+B296+B627+B629+B729+B731+B824</f>
        <v>0</v>
      </c>
      <c r="C869" s="172">
        <f>C120+C292+C294+C296+C627+C629+C729+C731+C824</f>
        <v>0</v>
      </c>
      <c r="D869" s="172">
        <f>D120+D292+D294+D296+D627+D629+D729+D731+D824</f>
        <v>0</v>
      </c>
      <c r="E869" s="38">
        <f t="shared" si="294"/>
        <v>0</v>
      </c>
      <c r="F869" s="172">
        <f>F120+F292+F294+F296+F627+F629+F729+F731+F824</f>
        <v>0</v>
      </c>
      <c r="G869" s="172">
        <f>G120+G292+G294+G296+G627+G629+G729+G731+G824</f>
        <v>0</v>
      </c>
      <c r="H869" s="172">
        <f>H120+H292+H294+H296+H627+H629+H729+H731+H824</f>
        <v>0</v>
      </c>
      <c r="I869" s="38">
        <f t="shared" si="295"/>
        <v>0</v>
      </c>
      <c r="J869" s="172">
        <f>J120+J292+J294+J296+J627+J629+J729+J731+J824</f>
        <v>1271</v>
      </c>
      <c r="K869" s="172">
        <f>K120+K292+K294+K296+K627+K629+K729+K731+K824</f>
        <v>0</v>
      </c>
      <c r="L869" s="172">
        <f>L120+L292+L294+L296+L627+L629+L729+L731+L824</f>
        <v>652</v>
      </c>
      <c r="M869" s="38">
        <f t="shared" si="296"/>
        <v>1923</v>
      </c>
      <c r="N869" s="172">
        <f>N120+N292+N294+N296+N627+N629+N729+N731+N824</f>
        <v>924</v>
      </c>
      <c r="O869" s="172">
        <f>O120+O292+O294+O296+O627+O629+O729+O731+O824</f>
        <v>494</v>
      </c>
      <c r="P869" s="172">
        <f>P120+P292+P294+P296+P627+P629+P729+P731+P824</f>
        <v>300</v>
      </c>
      <c r="Q869" s="38">
        <f t="shared" si="297"/>
        <v>1718</v>
      </c>
      <c r="R869" s="38">
        <f t="shared" si="298"/>
        <v>3641</v>
      </c>
    </row>
    <row r="870" spans="1:20" ht="15.75" customHeight="1" x14ac:dyDescent="0.3">
      <c r="A870" s="234" t="s">
        <v>2644</v>
      </c>
      <c r="B870" s="172">
        <f>+B55+SUM(B121:B122)+SUM(B299:B300)+SUM(B458:B464)+SUM(B524:B524)+SUM(B566:B567)+SUM(B630:B632)+B681+B732+B825+B825+B775</f>
        <v>0</v>
      </c>
      <c r="C870" s="172">
        <f>+C55+SUM(C121:C122)+SUM(C299:C300)+SUM(C458:C464)+SUM(C524:C524)+SUM(C566:C567)+SUM(C630:C632)+C681+C732+C825+C825+C775</f>
        <v>0</v>
      </c>
      <c r="D870" s="172">
        <f>+D55+SUM(D121:D122)+SUM(D299:D300)+SUM(D458:D464)+SUM(D524:D524)+SUM(D566:D567)+SUM(D630:D632)+D681+D732+D825+D825+D775</f>
        <v>0</v>
      </c>
      <c r="E870" s="38">
        <f t="shared" si="294"/>
        <v>0</v>
      </c>
      <c r="F870" s="172">
        <f>+F55+SUM(F121:F122)+SUM(F299:F300)+SUM(F458:F464)+SUM(F524:F524)+SUM(F566:F567)+SUM(F630:F632)+F681+F732+F825+F825+F775</f>
        <v>0</v>
      </c>
      <c r="G870" s="172">
        <f>+G55+SUM(G121:G122)+SUM(G299:G300)+SUM(G458:G464)+SUM(G524:G524)+SUM(G566:G567)+SUM(G630:G632)+G681+G732+G825+G825+G775</f>
        <v>2500</v>
      </c>
      <c r="H870" s="172">
        <f>+H55+SUM(H121:H122)+SUM(H299:H300)+SUM(H458:H464)+SUM(H524:H524)+SUM(H566:H567)+SUM(H630:H632)+H681+H732+H825+H825+H775</f>
        <v>500</v>
      </c>
      <c r="I870" s="38">
        <f t="shared" si="295"/>
        <v>3000</v>
      </c>
      <c r="J870" s="172">
        <f>+J55+SUM(J121:J122)+SUM(J299:J300)+SUM(J458:J464)+SUM(J524:J524)+SUM(J566:J567)+SUM(J630:J632)+J681+J732+J825+J825+J775</f>
        <v>0</v>
      </c>
      <c r="K870" s="172">
        <f>+K55+SUM(K121:K122)+SUM(K299:K300)+SUM(K458:K464)+SUM(K524:K524)+SUM(K566:K567)+SUM(K630:K632)+K681+K732+K825+K825+K775</f>
        <v>1000</v>
      </c>
      <c r="L870" s="172">
        <f>+L55+SUM(L121:L122)+SUM(L299:L300)+SUM(L458:L464)+SUM(L524:L524)+SUM(L566:L567)+SUM(L630:L632)+L681+L732+L825+L825+L775</f>
        <v>0</v>
      </c>
      <c r="M870" s="38">
        <f t="shared" si="296"/>
        <v>1000</v>
      </c>
      <c r="N870" s="172">
        <f>+N55+SUM(N121:N122)+SUM(N299:N300)+SUM(N458:N464)+SUM(N524:N524)+SUM(N566:N567)+SUM(N630:N632)+N681+N732+N825+N825+N775</f>
        <v>227</v>
      </c>
      <c r="O870" s="172">
        <f>+O55+SUM(O121:O122)+SUM(O299:O300)+SUM(O458:O464)+SUM(O524:O524)+SUM(O566:O567)+SUM(O630:O632)+O681+O732+O825+O825+O775</f>
        <v>685</v>
      </c>
      <c r="P870" s="172">
        <f>+P55+SUM(P121:P122)+SUM(P299:P300)+SUM(P458:P464)+SUM(P524:P524)+SUM(P566:P567)+SUM(P630:P632)+P681+P732+P825+P825+P775</f>
        <v>88</v>
      </c>
      <c r="Q870" s="38">
        <f t="shared" si="297"/>
        <v>1000</v>
      </c>
      <c r="R870" s="38">
        <f>+E870+I870+M870+Q870</f>
        <v>5000</v>
      </c>
    </row>
    <row r="871" spans="1:20" ht="22.5" customHeight="1" x14ac:dyDescent="0.3">
      <c r="A871" s="234" t="s">
        <v>559</v>
      </c>
      <c r="B871" s="172">
        <f>SUM(B125:B125)+SUM(B301:B302)+B466+B469+B470+B472+B475+SUM(B525:B526)+B569+B572+B633+B634+B636+B682+B733+B776+B826</f>
        <v>0</v>
      </c>
      <c r="C871" s="172">
        <f>SUM(C125:C125)+SUM(C301:C302)+C466+C469+C470+C472+C475+SUM(C525:C526)+C569+C572+C633+C634+C636+C682+C733+C776+C826</f>
        <v>0</v>
      </c>
      <c r="D871" s="172">
        <f>SUM(D125:D125)+SUM(D301:D302)+D466+D469+D470+D472+D475+SUM(D525:D526)+D569+D572+D633+D634+D636+D682+D733+D776+D826</f>
        <v>510</v>
      </c>
      <c r="E871" s="38">
        <f t="shared" si="294"/>
        <v>510</v>
      </c>
      <c r="F871" s="172">
        <f>SUM(F125:F125)+SUM(F301:F302)+F466+F469+F470+F472+F475+SUM(F525:F526)+F569+F572+F633+F634+F636+F682+F733+F776+F826</f>
        <v>610</v>
      </c>
      <c r="G871" s="172">
        <f>SUM(G125:G125)+SUM(G301:G302)+G466+G469+G470+G472+G475+SUM(G525:G526)+G569+G572+G633+G634+G636+G682+G733+G776+G826</f>
        <v>1246</v>
      </c>
      <c r="H871" s="172">
        <f>SUM(H125:H125)+SUM(H301:H302)+H466+H469+H470+H472+H475+SUM(H525:H526)+H569+H572+H633+H634+H636+H682+H733+H776+H826</f>
        <v>3034</v>
      </c>
      <c r="I871" s="38">
        <f t="shared" si="295"/>
        <v>4890</v>
      </c>
      <c r="J871" s="172">
        <f>SUM(J125:J125)+SUM(J301:J302)+J466+J469+J470+J472+J475+SUM(J525:J526)+J569+J572+J633+J634+J636+J682+J733+J776+J826</f>
        <v>1000</v>
      </c>
      <c r="K871" s="172">
        <f>SUM(K125:K125)+SUM(K301:K302)+K466+K469+K470+K472+K475+SUM(K525:K526)+K569+K572+K633+K634+K636+K682+K733+K776+K826</f>
        <v>302</v>
      </c>
      <c r="L871" s="172">
        <f>SUM(L125:L125)+SUM(L301:L302)+L466+L469+L470+L472+L475+SUM(L525:L526)+L569+L572+L633+L634+L636+L682+L733+L776+L826</f>
        <v>2761</v>
      </c>
      <c r="M871" s="38">
        <f t="shared" si="296"/>
        <v>4063</v>
      </c>
      <c r="N871" s="172">
        <f>SUM(N125:N125)+SUM(N301:N302)+N466+N469+N470+N472+N475+SUM(N525:N526)+N569+N572+N633+N634+N636+N682+N733+N776+N826</f>
        <v>1624</v>
      </c>
      <c r="O871" s="172">
        <f>SUM(O125:O125)+SUM(O301:O302)+O466+O469+O470+O472+O475+SUM(O525:O526)+O569+O572+O633+O634+O636+O682+O733+O776+O826</f>
        <v>1657</v>
      </c>
      <c r="P871" s="172">
        <f>SUM(P125:P125)+SUM(P301:P302)+P466+P469+P470+P472+P475+SUM(P525:P526)+P569+P572+P633+P634+P636+P682+P733+P776+P826</f>
        <v>596</v>
      </c>
      <c r="Q871" s="38">
        <f t="shared" si="297"/>
        <v>3877</v>
      </c>
      <c r="R871" s="38">
        <f>+E871+I871+M871+Q871</f>
        <v>13340</v>
      </c>
    </row>
    <row r="872" spans="1:20" ht="18" thickBot="1" x14ac:dyDescent="0.35">
      <c r="A872" s="539" t="s">
        <v>3280</v>
      </c>
      <c r="B872" s="172">
        <f>+B467+B471+B473+B527+B124+B468+B474+B570+B571+B635</f>
        <v>0</v>
      </c>
      <c r="C872" s="172">
        <f>+C467+C471+C473+C527+C124+C468+C474+C570+C571+C635</f>
        <v>0</v>
      </c>
      <c r="D872" s="172">
        <f>+D467+D471+D473+D527+D124+D468+D474+D570+D571+D635</f>
        <v>0</v>
      </c>
      <c r="E872" s="38">
        <f>SUM(B872:D872)</f>
        <v>0</v>
      </c>
      <c r="F872" s="172">
        <f>+F467+F471+F473+F527+F124+F468+F474+F570+F571+F635</f>
        <v>0</v>
      </c>
      <c r="G872" s="172">
        <f>+G467+G471+G473+G527+G124+G468+G474+G570+G571+G635</f>
        <v>0</v>
      </c>
      <c r="H872" s="172">
        <f>+H467+H471+H473+H527+H124+H468+H474+H570+H571+H635</f>
        <v>0</v>
      </c>
      <c r="I872" s="38">
        <f>SUM(F872:H872)</f>
        <v>0</v>
      </c>
      <c r="J872" s="172">
        <f>+J467+J471+J473+J527+J124+J468+J474+J570+J571+J635</f>
        <v>0</v>
      </c>
      <c r="K872" s="172">
        <f>+K467+K471+K473+K527+K124+K468+K474+K570+K571+K635</f>
        <v>2319</v>
      </c>
      <c r="L872" s="172">
        <f>+L467+L471+L473+L527+L124+L468+L474+L570+L571+L635</f>
        <v>6331</v>
      </c>
      <c r="M872" s="38">
        <f>SUM(J872:L872)</f>
        <v>8650</v>
      </c>
      <c r="N872" s="172">
        <f>+N467+N471+N473+N527+N124+N468+N474+N570+N571+N635</f>
        <v>25</v>
      </c>
      <c r="O872" s="172">
        <f>+O467+O471+O473+O527+O124+O468+O474+O570+O571+O635</f>
        <v>1180</v>
      </c>
      <c r="P872" s="172">
        <f>+P467+P471+P473+P527+P124+P468+P474+P570+P571+P635</f>
        <v>4</v>
      </c>
      <c r="Q872" s="38">
        <f>SUM(N872:P872)</f>
        <v>1209</v>
      </c>
      <c r="R872" s="38">
        <f>+E872+I872+M872+Q872</f>
        <v>9859</v>
      </c>
    </row>
    <row r="873" spans="1:20" ht="16.5" customHeight="1" thickBot="1" x14ac:dyDescent="0.35">
      <c r="A873" s="43" t="s">
        <v>1019</v>
      </c>
      <c r="B873" s="335">
        <f>SUM(B870:B872)</f>
        <v>0</v>
      </c>
      <c r="C873" s="335">
        <f>SUM(C870:C872)</f>
        <v>0</v>
      </c>
      <c r="D873" s="335">
        <f>SUM(D870:D872)</f>
        <v>510</v>
      </c>
      <c r="E873" s="39">
        <f t="shared" si="294"/>
        <v>510</v>
      </c>
      <c r="F873" s="335">
        <f>SUM(F870:F872)</f>
        <v>610</v>
      </c>
      <c r="G873" s="335">
        <f>SUM(G870:G872)</f>
        <v>3746</v>
      </c>
      <c r="H873" s="335">
        <f>SUM(H870:H872)</f>
        <v>3534</v>
      </c>
      <c r="I873" s="39">
        <f t="shared" si="295"/>
        <v>7890</v>
      </c>
      <c r="J873" s="335">
        <f>SUM(J870:J872)</f>
        <v>1000</v>
      </c>
      <c r="K873" s="335">
        <f>SUM(K870:K872)</f>
        <v>3621</v>
      </c>
      <c r="L873" s="335">
        <f>SUM(L870:L872)</f>
        <v>9092</v>
      </c>
      <c r="M873" s="39">
        <f t="shared" si="296"/>
        <v>13713</v>
      </c>
      <c r="N873" s="335">
        <f>SUM(N870:N872)</f>
        <v>1876</v>
      </c>
      <c r="O873" s="335">
        <f>SUM(O870:O872)</f>
        <v>3522</v>
      </c>
      <c r="P873" s="335">
        <f>SUM(P870:P872)</f>
        <v>688</v>
      </c>
      <c r="Q873" s="39">
        <f t="shared" si="297"/>
        <v>6086</v>
      </c>
      <c r="R873" s="37">
        <f t="shared" si="298"/>
        <v>28199</v>
      </c>
    </row>
    <row r="874" spans="1:20" ht="16.5" customHeight="1" thickBot="1" x14ac:dyDescent="0.35">
      <c r="A874" s="277" t="s">
        <v>1221</v>
      </c>
      <c r="B874" s="45">
        <f>SUM(B866:B872)</f>
        <v>1335</v>
      </c>
      <c r="C874" s="46">
        <f>SUM(C866:C872)</f>
        <v>4067</v>
      </c>
      <c r="D874" s="58">
        <f>SUM(D866:D872)</f>
        <v>3562</v>
      </c>
      <c r="E874" s="336">
        <f t="shared" si="294"/>
        <v>8964</v>
      </c>
      <c r="F874" s="45">
        <f>SUM(F866:F872)</f>
        <v>3226</v>
      </c>
      <c r="G874" s="46">
        <f>SUM(G866:G872)</f>
        <v>5463</v>
      </c>
      <c r="H874" s="58">
        <f>SUM(H866:H872)</f>
        <v>3534</v>
      </c>
      <c r="I874" s="39">
        <f t="shared" si="295"/>
        <v>12223</v>
      </c>
      <c r="J874" s="45">
        <f>SUM(J866:J872)</f>
        <v>2271</v>
      </c>
      <c r="K874" s="46">
        <f>SUM(K866:K872)</f>
        <v>3621</v>
      </c>
      <c r="L874" s="58">
        <f>SUM(L866:L872)</f>
        <v>12435</v>
      </c>
      <c r="M874" s="39">
        <f t="shared" si="296"/>
        <v>18327</v>
      </c>
      <c r="N874" s="45">
        <f>SUM(N866:N872)</f>
        <v>11715</v>
      </c>
      <c r="O874" s="46">
        <f>SUM(O866:O872)</f>
        <v>4016</v>
      </c>
      <c r="P874" s="58">
        <f>SUM(P866:P872)</f>
        <v>1255</v>
      </c>
      <c r="Q874" s="39">
        <f t="shared" si="297"/>
        <v>16986</v>
      </c>
      <c r="R874" s="37">
        <f t="shared" si="298"/>
        <v>56500</v>
      </c>
    </row>
    <row r="875" spans="1:20" ht="16.5" customHeight="1" thickBot="1" x14ac:dyDescent="0.35">
      <c r="A875" s="43" t="s">
        <v>1222</v>
      </c>
      <c r="B875" s="337">
        <f>+B856+B861+B865+B874</f>
        <v>51650</v>
      </c>
      <c r="C875" s="338">
        <f>+C856+C861+C865+C874</f>
        <v>68105</v>
      </c>
      <c r="D875" s="338">
        <f>+D856+D861+D865+D874</f>
        <v>106974</v>
      </c>
      <c r="E875" s="37">
        <f t="shared" si="294"/>
        <v>226729</v>
      </c>
      <c r="F875" s="42">
        <f>+F856+F861+F865+F874</f>
        <v>159041</v>
      </c>
      <c r="G875" s="42">
        <f>+G856+G861+G865+G874</f>
        <v>171968</v>
      </c>
      <c r="H875" s="42">
        <f>+H856+H861+H865+H874</f>
        <v>194930</v>
      </c>
      <c r="I875" s="37">
        <f t="shared" si="295"/>
        <v>525939</v>
      </c>
      <c r="J875" s="42">
        <f>+J856+J861+J865+J874</f>
        <v>198498</v>
      </c>
      <c r="K875" s="42">
        <f>+K856+K861+K865+K874</f>
        <v>174238</v>
      </c>
      <c r="L875" s="42">
        <f>+L856+L861+L865+L874</f>
        <v>144139</v>
      </c>
      <c r="M875" s="37">
        <f t="shared" si="296"/>
        <v>516875</v>
      </c>
      <c r="N875" s="42">
        <f>+N856+N861+N865+N874</f>
        <v>75004</v>
      </c>
      <c r="O875" s="42">
        <f>+O856+O861+O865+O874</f>
        <v>74106</v>
      </c>
      <c r="P875" s="42">
        <f>+P856+P861+P865+P874</f>
        <v>60577</v>
      </c>
      <c r="Q875" s="37">
        <f t="shared" si="297"/>
        <v>209687</v>
      </c>
      <c r="R875" s="40">
        <f t="shared" si="298"/>
        <v>1479230</v>
      </c>
    </row>
    <row r="876" spans="1:20" ht="15.75" customHeight="1" x14ac:dyDescent="0.3">
      <c r="A876" s="356" t="s">
        <v>3282</v>
      </c>
      <c r="B876" s="172"/>
      <c r="C876" s="172"/>
      <c r="D876" s="172"/>
      <c r="E876" s="172"/>
      <c r="F876" s="172"/>
      <c r="G876" s="172"/>
      <c r="H876" s="172"/>
      <c r="I876" s="172"/>
      <c r="J876" s="172"/>
      <c r="K876" s="172"/>
      <c r="L876" s="172"/>
      <c r="M876" s="172"/>
      <c r="N876" s="172"/>
      <c r="O876" s="453"/>
      <c r="P876" s="172"/>
      <c r="Q876" s="172"/>
      <c r="R876" s="17"/>
    </row>
    <row r="877" spans="1:20" ht="15.75" customHeight="1" x14ac:dyDescent="0.3">
      <c r="A877" s="356" t="s">
        <v>3279</v>
      </c>
      <c r="B877" s="172"/>
      <c r="C877" s="172"/>
      <c r="D877" s="172"/>
      <c r="E877" s="172"/>
      <c r="F877" s="172"/>
      <c r="G877" s="172"/>
      <c r="H877" s="172"/>
      <c r="I877" s="172"/>
      <c r="J877" s="172"/>
      <c r="K877" s="172"/>
      <c r="L877" s="172"/>
      <c r="M877" s="172"/>
      <c r="N877" s="172"/>
      <c r="O877" s="453"/>
      <c r="P877" s="172"/>
      <c r="Q877" s="172"/>
      <c r="R877" s="17"/>
    </row>
    <row r="878" spans="1:20" ht="15.75" customHeight="1" x14ac:dyDescent="0.3">
      <c r="A878" s="172"/>
      <c r="B878" s="172"/>
      <c r="C878" s="172"/>
      <c r="D878" s="172"/>
      <c r="E878" s="172"/>
      <c r="F878" s="172"/>
      <c r="G878" s="172"/>
      <c r="H878" s="172"/>
      <c r="I878" s="172"/>
      <c r="J878" s="172"/>
      <c r="K878" s="172"/>
      <c r="L878" s="172"/>
      <c r="M878" s="172"/>
      <c r="N878" s="172"/>
      <c r="O878" s="453"/>
      <c r="P878" s="172"/>
      <c r="Q878" s="680" t="str">
        <f>+Q1</f>
        <v xml:space="preserve">PRINTED:  </v>
      </c>
      <c r="R878" s="681">
        <f ca="1">+R1</f>
        <v>44881.729634027775</v>
      </c>
    </row>
    <row r="879" spans="1:20" ht="15.75" customHeight="1" x14ac:dyDescent="0.3">
      <c r="A879" s="778" t="s">
        <v>43</v>
      </c>
      <c r="B879" s="778"/>
      <c r="C879" s="778"/>
      <c r="D879" s="778"/>
      <c r="E879" s="778"/>
      <c r="F879" s="778"/>
      <c r="G879" s="778"/>
      <c r="H879" s="778"/>
      <c r="I879" s="778"/>
      <c r="J879" s="778"/>
      <c r="K879" s="778"/>
      <c r="L879" s="778"/>
      <c r="M879" s="778"/>
      <c r="N879" s="778"/>
      <c r="O879" s="778"/>
      <c r="P879" s="778"/>
      <c r="Q879" s="778"/>
      <c r="R879" s="778"/>
    </row>
    <row r="880" spans="1:20" ht="15.75" customHeight="1" x14ac:dyDescent="0.3">
      <c r="A880" s="778" t="s">
        <v>1988</v>
      </c>
      <c r="B880" s="778"/>
      <c r="C880" s="778"/>
      <c r="D880" s="778"/>
      <c r="E880" s="778"/>
      <c r="F880" s="778"/>
      <c r="G880" s="778"/>
      <c r="H880" s="778"/>
      <c r="I880" s="778"/>
      <c r="J880" s="778"/>
      <c r="K880" s="778"/>
      <c r="L880" s="778"/>
      <c r="M880" s="778"/>
      <c r="N880" s="778"/>
      <c r="O880" s="778"/>
      <c r="P880" s="778"/>
      <c r="Q880" s="778"/>
      <c r="R880" s="778"/>
    </row>
    <row r="881" spans="1:46" ht="15.75" customHeight="1" x14ac:dyDescent="0.3">
      <c r="A881" s="778" t="s">
        <v>544</v>
      </c>
      <c r="B881" s="778"/>
      <c r="C881" s="778"/>
      <c r="D881" s="778"/>
      <c r="E881" s="778"/>
      <c r="F881" s="778"/>
      <c r="G881" s="778"/>
      <c r="H881" s="778"/>
      <c r="I881" s="778"/>
      <c r="J881" s="778"/>
      <c r="K881" s="778"/>
      <c r="L881" s="778"/>
      <c r="M881" s="778"/>
      <c r="N881" s="778"/>
      <c r="O881" s="778"/>
      <c r="P881" s="778"/>
      <c r="Q881" s="778"/>
      <c r="R881" s="778"/>
    </row>
    <row r="882" spans="1:46" ht="15.75" customHeight="1" x14ac:dyDescent="0.3">
      <c r="A882" s="784">
        <f>+A5</f>
        <v>2018</v>
      </c>
      <c r="B882" s="784"/>
      <c r="C882" s="784"/>
      <c r="D882" s="784"/>
      <c r="E882" s="784"/>
      <c r="F882" s="784"/>
      <c r="G882" s="784"/>
      <c r="H882" s="784"/>
      <c r="I882" s="784"/>
      <c r="J882" s="784"/>
      <c r="K882" s="784"/>
      <c r="L882" s="784"/>
      <c r="M882" s="784"/>
      <c r="N882" s="784"/>
      <c r="O882" s="784"/>
      <c r="P882" s="784"/>
      <c r="Q882" s="784"/>
      <c r="R882" s="784"/>
    </row>
    <row r="883" spans="1:46" ht="15.75" customHeight="1" x14ac:dyDescent="0.3">
      <c r="A883" s="172"/>
      <c r="B883" s="172"/>
      <c r="C883" s="172"/>
      <c r="D883" s="1"/>
      <c r="E883" s="1"/>
      <c r="F883" s="1"/>
      <c r="G883" s="452"/>
      <c r="H883" s="1"/>
      <c r="I883" s="1"/>
      <c r="J883" s="452"/>
      <c r="K883" s="452"/>
      <c r="L883" s="452"/>
      <c r="M883" s="452"/>
      <c r="N883" s="172"/>
      <c r="O883" s="452"/>
      <c r="P883" s="452"/>
      <c r="Q883" s="452"/>
      <c r="R883" s="452"/>
    </row>
    <row r="884" spans="1:46" ht="15.75" customHeight="1" x14ac:dyDescent="0.3">
      <c r="A884" s="778" t="str">
        <f>+A8</f>
        <v>Revised:  3/2/2019</v>
      </c>
      <c r="B884" s="778"/>
      <c r="C884" s="778"/>
      <c r="D884" s="778"/>
      <c r="E884" s="778"/>
      <c r="F884" s="778"/>
      <c r="G884" s="778"/>
      <c r="H884" s="778"/>
      <c r="I884" s="778"/>
      <c r="J884" s="778"/>
      <c r="K884" s="778"/>
      <c r="L884" s="778"/>
      <c r="M884" s="778"/>
      <c r="N884" s="778"/>
      <c r="O884" s="778"/>
      <c r="P884" s="778"/>
      <c r="Q884" s="778"/>
      <c r="R884" s="778"/>
    </row>
    <row r="885" spans="1:46" ht="15.75" customHeight="1" x14ac:dyDescent="0.3">
      <c r="A885" s="448"/>
      <c r="B885" s="448"/>
      <c r="C885" s="448"/>
      <c r="D885" s="448"/>
      <c r="E885" s="448"/>
      <c r="F885" s="448"/>
      <c r="G885" s="448"/>
      <c r="H885" s="448"/>
      <c r="I885" s="448"/>
      <c r="J885" s="448"/>
      <c r="K885" s="448"/>
      <c r="L885" s="448"/>
      <c r="M885" s="448"/>
      <c r="N885" s="448"/>
      <c r="O885" s="448"/>
      <c r="P885" s="448"/>
      <c r="Q885" s="448"/>
      <c r="R885" s="448"/>
    </row>
    <row r="886" spans="1:46" ht="15.75" customHeight="1" x14ac:dyDescent="0.3">
      <c r="A886" s="18"/>
      <c r="B886" s="172"/>
      <c r="C886" s="172"/>
      <c r="D886" s="172"/>
      <c r="E886" s="172"/>
      <c r="F886" s="172"/>
      <c r="G886" s="172"/>
      <c r="H886" s="172"/>
      <c r="I886" s="172"/>
      <c r="J886" s="172"/>
      <c r="K886" s="172"/>
      <c r="L886" s="172"/>
      <c r="M886" s="172"/>
      <c r="N886" s="172"/>
      <c r="O886" s="172"/>
      <c r="P886" s="172"/>
      <c r="Q886" s="172"/>
      <c r="R886" s="17"/>
    </row>
    <row r="887" spans="1:46" ht="15.75" customHeight="1" thickBot="1" x14ac:dyDescent="0.35">
      <c r="A887" s="172"/>
      <c r="B887" s="172"/>
      <c r="C887" s="172"/>
      <c r="D887" s="172"/>
      <c r="E887" s="172"/>
      <c r="F887" s="172"/>
      <c r="G887" s="172"/>
      <c r="H887" s="172"/>
      <c r="I887" s="172"/>
      <c r="J887" s="172"/>
      <c r="K887" s="172"/>
      <c r="L887" s="172"/>
      <c r="M887" s="172"/>
      <c r="N887" s="172"/>
      <c r="O887" s="453"/>
      <c r="P887" s="172"/>
      <c r="Q887" s="172"/>
      <c r="R887" s="17"/>
    </row>
    <row r="888" spans="1:46" ht="15.75" customHeight="1" thickBot="1" x14ac:dyDescent="0.35">
      <c r="A888" s="274" t="s">
        <v>1088</v>
      </c>
      <c r="B888" s="25" t="s">
        <v>2090</v>
      </c>
      <c r="C888" s="26" t="s">
        <v>2091</v>
      </c>
      <c r="D888" s="26" t="s">
        <v>2234</v>
      </c>
      <c r="E888" s="33" t="s">
        <v>1594</v>
      </c>
      <c r="F888" s="26" t="s">
        <v>2235</v>
      </c>
      <c r="G888" s="26" t="s">
        <v>2236</v>
      </c>
      <c r="H888" s="26" t="s">
        <v>2237</v>
      </c>
      <c r="I888" s="33" t="s">
        <v>1595</v>
      </c>
      <c r="J888" s="26" t="s">
        <v>1504</v>
      </c>
      <c r="K888" s="26" t="s">
        <v>1505</v>
      </c>
      <c r="L888" s="26" t="s">
        <v>1506</v>
      </c>
      <c r="M888" s="33" t="s">
        <v>1596</v>
      </c>
      <c r="N888" s="26" t="s">
        <v>1507</v>
      </c>
      <c r="O888" s="26" t="s">
        <v>1508</v>
      </c>
      <c r="P888" s="26" t="s">
        <v>1509</v>
      </c>
      <c r="Q888" s="33" t="s">
        <v>1597</v>
      </c>
      <c r="R888" s="339" t="s">
        <v>1510</v>
      </c>
    </row>
    <row r="889" spans="1:46" ht="16.5" customHeight="1" thickBot="1" x14ac:dyDescent="0.35">
      <c r="A889" s="340"/>
      <c r="B889" s="341"/>
      <c r="C889" s="341"/>
      <c r="D889" s="341"/>
      <c r="E889" s="233"/>
      <c r="F889" s="341"/>
      <c r="G889" s="341"/>
      <c r="H889" s="341"/>
      <c r="I889" s="243"/>
      <c r="J889" s="341"/>
      <c r="K889" s="341"/>
      <c r="L889" s="341"/>
      <c r="M889" s="243"/>
      <c r="N889" s="341"/>
      <c r="O889" s="341"/>
      <c r="P889" s="341"/>
      <c r="Q889" s="279"/>
      <c r="R889" s="342"/>
    </row>
    <row r="890" spans="1:46" ht="16.5" customHeight="1" thickBot="1" x14ac:dyDescent="0.35">
      <c r="A890" s="343" t="s">
        <v>673</v>
      </c>
      <c r="B890" s="344">
        <f>+B856</f>
        <v>31967</v>
      </c>
      <c r="C890" s="344">
        <f>+C856</f>
        <v>35377</v>
      </c>
      <c r="D890" s="344">
        <f>+D856</f>
        <v>40674</v>
      </c>
      <c r="E890" s="45">
        <f>+SUM(B890:D890)</f>
        <v>108018</v>
      </c>
      <c r="F890" s="344">
        <f>+F856</f>
        <v>41877</v>
      </c>
      <c r="G890" s="344">
        <f>+G856</f>
        <v>57170</v>
      </c>
      <c r="H890" s="344">
        <f>+H856</f>
        <v>72704</v>
      </c>
      <c r="I890" s="45">
        <f>+SUM(F890:H890)</f>
        <v>171751</v>
      </c>
      <c r="J890" s="344">
        <f>+J856</f>
        <v>68733</v>
      </c>
      <c r="K890" s="344">
        <f>+K856</f>
        <v>81894</v>
      </c>
      <c r="L890" s="344">
        <f>+L856</f>
        <v>72853</v>
      </c>
      <c r="M890" s="45">
        <f>+SUM(J890:L890)</f>
        <v>223480</v>
      </c>
      <c r="N890" s="344">
        <f>+N856</f>
        <v>41316</v>
      </c>
      <c r="O890" s="344">
        <f>+O856</f>
        <v>34475</v>
      </c>
      <c r="P890" s="344">
        <f>+P856</f>
        <v>37685</v>
      </c>
      <c r="Q890" s="45">
        <f>+SUM(N890:P890)</f>
        <v>113476</v>
      </c>
      <c r="R890" s="37">
        <f>+E890+I890+M890+Q890</f>
        <v>616725</v>
      </c>
    </row>
    <row r="891" spans="1:46" ht="16.5" customHeight="1" thickBot="1" x14ac:dyDescent="0.35">
      <c r="A891" s="35"/>
      <c r="B891" s="45"/>
      <c r="C891" s="45"/>
      <c r="D891" s="45"/>
      <c r="E891" s="45"/>
      <c r="F891" s="45"/>
      <c r="G891" s="45"/>
      <c r="H891" s="45"/>
      <c r="I891" s="45"/>
      <c r="J891" s="45"/>
      <c r="K891" s="45"/>
      <c r="L891" s="45"/>
      <c r="M891" s="45"/>
      <c r="N891" s="45"/>
      <c r="O891" s="45"/>
      <c r="P891" s="45"/>
      <c r="Q891" s="45"/>
      <c r="R891" s="37"/>
    </row>
    <row r="892" spans="1:46" ht="16.5" customHeight="1" thickBot="1" x14ac:dyDescent="0.35">
      <c r="A892" s="343" t="s">
        <v>672</v>
      </c>
      <c r="B892" s="344">
        <f>+B861</f>
        <v>5022</v>
      </c>
      <c r="C892" s="344">
        <f>+C861</f>
        <v>5022</v>
      </c>
      <c r="D892" s="344">
        <f>+D861</f>
        <v>18750</v>
      </c>
      <c r="E892" s="45">
        <f>+SUM(B892:D892)</f>
        <v>28794</v>
      </c>
      <c r="F892" s="344">
        <f>+F861</f>
        <v>42093</v>
      </c>
      <c r="G892" s="344">
        <f>+G861</f>
        <v>44361</v>
      </c>
      <c r="H892" s="344">
        <f>+H861</f>
        <v>39913</v>
      </c>
      <c r="I892" s="45">
        <f>+SUM(F892:H892)</f>
        <v>126367</v>
      </c>
      <c r="J892" s="344">
        <f>+J861</f>
        <v>36677</v>
      </c>
      <c r="K892" s="344">
        <f>+K861</f>
        <v>29640</v>
      </c>
      <c r="L892" s="344">
        <f>+L861</f>
        <v>12019</v>
      </c>
      <c r="M892" s="45">
        <f>+SUM(J892:L892)</f>
        <v>78336</v>
      </c>
      <c r="N892" s="344">
        <f>+N861</f>
        <v>589</v>
      </c>
      <c r="O892" s="344">
        <f>+O861</f>
        <v>4170</v>
      </c>
      <c r="P892" s="344">
        <f>+P861</f>
        <v>4593</v>
      </c>
      <c r="Q892" s="45">
        <f>+SUM(N892:P892)</f>
        <v>9352</v>
      </c>
      <c r="R892" s="37">
        <f>+E892+I892+M892+Q892</f>
        <v>242849</v>
      </c>
    </row>
    <row r="893" spans="1:46" ht="16.5" customHeight="1" thickBot="1" x14ac:dyDescent="0.35">
      <c r="A893" s="35"/>
      <c r="B893" s="45"/>
      <c r="C893" s="45"/>
      <c r="D893" s="45"/>
      <c r="E893" s="45"/>
      <c r="F893" s="45"/>
      <c r="G893" s="45"/>
      <c r="H893" s="45"/>
      <c r="I893" s="45"/>
      <c r="J893" s="45"/>
      <c r="K893" s="45"/>
      <c r="L893" s="45"/>
      <c r="M893" s="45"/>
      <c r="N893" s="45"/>
      <c r="O893" s="45"/>
      <c r="P893" s="45"/>
      <c r="Q893" s="45"/>
      <c r="R893" s="37"/>
      <c r="AC893" s="546"/>
      <c r="AD893" s="547"/>
      <c r="AE893" s="549" t="s">
        <v>2434</v>
      </c>
      <c r="AF893" s="547"/>
      <c r="AG893" s="547"/>
      <c r="AH893" s="547"/>
      <c r="AI893" s="547"/>
      <c r="AJ893" s="547"/>
      <c r="AK893" s="547" t="s">
        <v>2435</v>
      </c>
      <c r="AL893" s="547"/>
      <c r="AM893" s="547" t="s">
        <v>852</v>
      </c>
      <c r="AN893" s="557" t="str">
        <f>+A8</f>
        <v>Revised:  3/2/2019</v>
      </c>
      <c r="AO893" s="547"/>
      <c r="AP893" s="547"/>
      <c r="AQ893" s="547"/>
      <c r="AR893" s="547"/>
      <c r="AS893" s="678" t="str">
        <f>+Q1</f>
        <v xml:space="preserve">PRINTED:  </v>
      </c>
      <c r="AT893" s="679">
        <f ca="1">+R1</f>
        <v>44881.729634027775</v>
      </c>
    </row>
    <row r="894" spans="1:46" ht="16.5" customHeight="1" thickBot="1" x14ac:dyDescent="0.35">
      <c r="A894" s="343" t="s">
        <v>1089</v>
      </c>
      <c r="B894" s="344">
        <f>+B865</f>
        <v>13326</v>
      </c>
      <c r="C894" s="344">
        <f>+C865</f>
        <v>23639</v>
      </c>
      <c r="D894" s="344">
        <f>+D865</f>
        <v>43988</v>
      </c>
      <c r="E894" s="45">
        <f>+SUM(B894:D894)</f>
        <v>80953</v>
      </c>
      <c r="F894" s="344">
        <f>+F865</f>
        <v>71845</v>
      </c>
      <c r="G894" s="344">
        <f>+G865</f>
        <v>64974</v>
      </c>
      <c r="H894" s="344">
        <f>+H865</f>
        <v>78779</v>
      </c>
      <c r="I894" s="45">
        <f>+SUM(F894:H894)</f>
        <v>215598</v>
      </c>
      <c r="J894" s="344">
        <f>+J865</f>
        <v>90817</v>
      </c>
      <c r="K894" s="344">
        <f>+K865</f>
        <v>59083</v>
      </c>
      <c r="L894" s="344">
        <f>+L865</f>
        <v>46832</v>
      </c>
      <c r="M894" s="45">
        <f>+SUM(J894:L894)</f>
        <v>196732</v>
      </c>
      <c r="N894" s="344">
        <f>+N865</f>
        <v>21384</v>
      </c>
      <c r="O894" s="344">
        <f>+O865</f>
        <v>31445</v>
      </c>
      <c r="P894" s="344">
        <f>+P865</f>
        <v>17044</v>
      </c>
      <c r="Q894" s="45">
        <f>+SUM(N894:P894)</f>
        <v>69873</v>
      </c>
      <c r="R894" s="37">
        <f>+E894+I894+M894+Q894</f>
        <v>563156</v>
      </c>
      <c r="AC894" s="551"/>
      <c r="AD894" s="67"/>
      <c r="AE894" s="67"/>
      <c r="AF894" s="67">
        <f>++A5</f>
        <v>2018</v>
      </c>
      <c r="AG894" s="67"/>
      <c r="AH894" s="67"/>
      <c r="AI894" s="67"/>
      <c r="AJ894" s="67"/>
      <c r="AK894" s="67"/>
      <c r="AL894" s="67"/>
      <c r="AM894" s="67"/>
      <c r="AN894" s="67"/>
      <c r="AO894" s="67"/>
      <c r="AP894" s="67"/>
      <c r="AQ894" s="67"/>
      <c r="AR894" s="67"/>
      <c r="AS894" s="67"/>
      <c r="AT894" s="552"/>
    </row>
    <row r="895" spans="1:46" ht="16.5" customHeight="1" thickBot="1" x14ac:dyDescent="0.35">
      <c r="A895" s="35"/>
      <c r="B895" s="45"/>
      <c r="C895" s="45"/>
      <c r="D895" s="45"/>
      <c r="E895" s="45"/>
      <c r="F895" s="45"/>
      <c r="G895" s="45"/>
      <c r="H895" s="45"/>
      <c r="I895" s="45"/>
      <c r="J895" s="45"/>
      <c r="K895" s="45"/>
      <c r="L895" s="45"/>
      <c r="M895" s="45"/>
      <c r="N895" s="45"/>
      <c r="O895" s="45"/>
      <c r="P895" s="45"/>
      <c r="Q895" s="45"/>
      <c r="R895" s="37"/>
      <c r="AC895" s="551"/>
      <c r="AD895" s="67"/>
      <c r="AE895" s="67"/>
      <c r="AF895" s="67"/>
      <c r="AG895" s="67"/>
      <c r="AH895" s="67"/>
      <c r="AI895" s="67"/>
      <c r="AJ895" s="67"/>
      <c r="AK895" s="67"/>
      <c r="AL895" s="67"/>
      <c r="AM895" s="67"/>
      <c r="AN895" s="67"/>
      <c r="AO895" s="67"/>
      <c r="AP895" s="67"/>
      <c r="AQ895" s="67"/>
      <c r="AR895" s="67"/>
      <c r="AS895" s="67"/>
      <c r="AT895" s="552"/>
    </row>
    <row r="896" spans="1:46" ht="16.5" customHeight="1" thickBot="1" x14ac:dyDescent="0.35">
      <c r="A896" s="343" t="s">
        <v>1090</v>
      </c>
      <c r="B896" s="344">
        <f>+B874</f>
        <v>1335</v>
      </c>
      <c r="C896" s="344">
        <f>+C874</f>
        <v>4067</v>
      </c>
      <c r="D896" s="344">
        <f>+D874</f>
        <v>3562</v>
      </c>
      <c r="E896" s="45">
        <f>+SUM(B896:D896)</f>
        <v>8964</v>
      </c>
      <c r="F896" s="344">
        <f>+F874</f>
        <v>3226</v>
      </c>
      <c r="G896" s="344">
        <f>+G874</f>
        <v>5463</v>
      </c>
      <c r="H896" s="344">
        <f>+H874</f>
        <v>3534</v>
      </c>
      <c r="I896" s="45">
        <f>+SUM(F896:H896)</f>
        <v>12223</v>
      </c>
      <c r="J896" s="344">
        <f>+J874</f>
        <v>2271</v>
      </c>
      <c r="K896" s="344">
        <f>+K874</f>
        <v>3621</v>
      </c>
      <c r="L896" s="344">
        <f>+L874</f>
        <v>12435</v>
      </c>
      <c r="M896" s="45">
        <f>+SUM(J896:L896)</f>
        <v>18327</v>
      </c>
      <c r="N896" s="344">
        <f>+N874</f>
        <v>11715</v>
      </c>
      <c r="O896" s="344">
        <f>+O874</f>
        <v>4016</v>
      </c>
      <c r="P896" s="344">
        <f>+P874</f>
        <v>1255</v>
      </c>
      <c r="Q896" s="45">
        <f>+SUM(N896:P896)</f>
        <v>16986</v>
      </c>
      <c r="R896" s="37">
        <f>+E896+I896+M896+Q896</f>
        <v>56500</v>
      </c>
      <c r="AC896" s="551"/>
      <c r="AD896" s="67"/>
      <c r="AE896" s="67"/>
      <c r="AF896" s="67"/>
      <c r="AG896" s="67"/>
      <c r="AH896" s="67"/>
      <c r="AI896" s="70" t="s">
        <v>2438</v>
      </c>
      <c r="AJ896" s="67"/>
      <c r="AK896" s="67"/>
      <c r="AL896" s="67"/>
      <c r="AM896" s="67"/>
      <c r="AN896" s="67"/>
      <c r="AO896" s="67"/>
      <c r="AP896" s="67"/>
      <c r="AQ896" s="67"/>
      <c r="AR896" s="67"/>
      <c r="AS896" s="67"/>
      <c r="AT896" s="552"/>
    </row>
    <row r="897" spans="1:46" ht="16.5" customHeight="1" thickBot="1" x14ac:dyDescent="0.35">
      <c r="A897" s="35"/>
      <c r="B897" s="45"/>
      <c r="C897" s="45"/>
      <c r="D897" s="45"/>
      <c r="E897" s="45"/>
      <c r="F897" s="45"/>
      <c r="G897" s="45"/>
      <c r="H897" s="45"/>
      <c r="I897" s="45"/>
      <c r="J897" s="45"/>
      <c r="K897" s="45"/>
      <c r="L897" s="45"/>
      <c r="M897" s="45"/>
      <c r="N897" s="45"/>
      <c r="O897" s="45"/>
      <c r="P897" s="45"/>
      <c r="Q897" s="45"/>
      <c r="R897" s="37"/>
      <c r="AC897" s="551"/>
      <c r="AD897" s="67" t="s">
        <v>2435</v>
      </c>
      <c r="AE897" s="67"/>
      <c r="AF897" s="70" t="s">
        <v>2436</v>
      </c>
      <c r="AG897" s="70" t="s">
        <v>2436</v>
      </c>
      <c r="AH897" s="70" t="s">
        <v>2437</v>
      </c>
      <c r="AI897" s="70" t="s">
        <v>525</v>
      </c>
      <c r="AJ897" s="70" t="s">
        <v>2439</v>
      </c>
      <c r="AK897" s="70" t="s">
        <v>2463</v>
      </c>
      <c r="AL897" s="70" t="s">
        <v>2356</v>
      </c>
      <c r="AM897" s="67" t="s">
        <v>2435</v>
      </c>
      <c r="AN897" s="70" t="s">
        <v>2464</v>
      </c>
      <c r="AO897" s="70" t="s">
        <v>2464</v>
      </c>
      <c r="AP897" s="70" t="s">
        <v>2464</v>
      </c>
      <c r="AQ897" s="67"/>
      <c r="AR897" s="67"/>
      <c r="AS897" s="67"/>
      <c r="AT897" s="552"/>
    </row>
    <row r="898" spans="1:46" ht="16.5" customHeight="1" thickBot="1" x14ac:dyDescent="0.4">
      <c r="A898" s="35" t="s">
        <v>574</v>
      </c>
      <c r="B898" s="47">
        <f t="shared" ref="B898:Q898" si="299">+SUM(B890:B896)</f>
        <v>51650</v>
      </c>
      <c r="C898" s="47">
        <f t="shared" si="299"/>
        <v>68105</v>
      </c>
      <c r="D898" s="47">
        <f t="shared" si="299"/>
        <v>106974</v>
      </c>
      <c r="E898" s="47">
        <f t="shared" si="299"/>
        <v>226729</v>
      </c>
      <c r="F898" s="47">
        <f t="shared" si="299"/>
        <v>159041</v>
      </c>
      <c r="G898" s="47">
        <f t="shared" si="299"/>
        <v>171968</v>
      </c>
      <c r="H898" s="47">
        <f t="shared" si="299"/>
        <v>194930</v>
      </c>
      <c r="I898" s="47">
        <f t="shared" si="299"/>
        <v>525939</v>
      </c>
      <c r="J898" s="47">
        <f t="shared" si="299"/>
        <v>198498</v>
      </c>
      <c r="K898" s="47">
        <f t="shared" si="299"/>
        <v>174238</v>
      </c>
      <c r="L898" s="47">
        <f t="shared" si="299"/>
        <v>144139</v>
      </c>
      <c r="M898" s="47">
        <f t="shared" si="299"/>
        <v>516875</v>
      </c>
      <c r="N898" s="47">
        <f t="shared" si="299"/>
        <v>75004</v>
      </c>
      <c r="O898" s="47">
        <f t="shared" si="299"/>
        <v>74106</v>
      </c>
      <c r="P898" s="47">
        <f t="shared" si="299"/>
        <v>60577</v>
      </c>
      <c r="Q898" s="47">
        <f t="shared" si="299"/>
        <v>209687</v>
      </c>
      <c r="R898" s="345">
        <f>+SUM(R890:R896)</f>
        <v>1479230</v>
      </c>
      <c r="AC898" s="551"/>
      <c r="AD898" s="70" t="s">
        <v>284</v>
      </c>
      <c r="AE898" s="70" t="s">
        <v>2379</v>
      </c>
      <c r="AF898" s="70" t="s">
        <v>844</v>
      </c>
      <c r="AG898" s="70" t="s">
        <v>844</v>
      </c>
      <c r="AH898" s="70" t="s">
        <v>845</v>
      </c>
      <c r="AI898" s="214" t="s">
        <v>955</v>
      </c>
      <c r="AJ898" s="70" t="s">
        <v>275</v>
      </c>
      <c r="AK898" s="70" t="s">
        <v>276</v>
      </c>
      <c r="AL898" s="70" t="s">
        <v>1554</v>
      </c>
      <c r="AM898" s="67" t="s">
        <v>2435</v>
      </c>
      <c r="AN898" s="70" t="s">
        <v>1555</v>
      </c>
      <c r="AO898" s="70" t="s">
        <v>955</v>
      </c>
      <c r="AP898" s="70" t="s">
        <v>1194</v>
      </c>
      <c r="AQ898" s="67"/>
      <c r="AR898" s="67"/>
      <c r="AS898" s="67"/>
      <c r="AT898" s="552"/>
    </row>
    <row r="899" spans="1:46" ht="15.75" customHeight="1" x14ac:dyDescent="0.35">
      <c r="A899" s="201"/>
      <c r="B899" s="286"/>
      <c r="C899" s="286"/>
      <c r="D899" s="286"/>
      <c r="E899" s="286"/>
      <c r="F899" s="286"/>
      <c r="G899" s="286"/>
      <c r="H899" s="544" t="s">
        <v>2538</v>
      </c>
      <c r="I899" s="286"/>
      <c r="J899" s="286"/>
      <c r="K899" s="286"/>
      <c r="L899" s="286"/>
      <c r="M899" s="286"/>
      <c r="N899" s="286"/>
      <c r="O899" s="286"/>
      <c r="P899" s="286"/>
      <c r="Q899" s="286"/>
      <c r="R899" s="286"/>
      <c r="AC899" s="551"/>
      <c r="AD899" s="70" t="s">
        <v>1193</v>
      </c>
      <c r="AE899" s="70" t="s">
        <v>956</v>
      </c>
      <c r="AF899" s="70" t="s">
        <v>333</v>
      </c>
      <c r="AG899" s="70" t="s">
        <v>334</v>
      </c>
      <c r="AH899" s="70" t="s">
        <v>335</v>
      </c>
      <c r="AI899" s="70" t="s">
        <v>335</v>
      </c>
      <c r="AJ899" s="70" t="s">
        <v>335</v>
      </c>
      <c r="AK899" s="70" t="s">
        <v>335</v>
      </c>
      <c r="AL899" s="70" t="s">
        <v>1486</v>
      </c>
      <c r="AM899" s="67" t="s">
        <v>2435</v>
      </c>
      <c r="AN899" s="70" t="s">
        <v>1487</v>
      </c>
      <c r="AO899" s="70" t="s">
        <v>929</v>
      </c>
      <c r="AP899" s="70" t="s">
        <v>929</v>
      </c>
      <c r="AQ899" s="67"/>
      <c r="AR899" s="67"/>
      <c r="AS899" s="67"/>
      <c r="AT899" s="552"/>
    </row>
    <row r="900" spans="1:46" ht="15.75" customHeight="1" x14ac:dyDescent="0.35">
      <c r="A900" s="201"/>
      <c r="B900" s="286"/>
      <c r="C900" s="286"/>
      <c r="D900" s="286"/>
      <c r="E900" s="286"/>
      <c r="F900" s="286"/>
      <c r="G900" s="286"/>
      <c r="H900" s="286"/>
      <c r="I900" s="286"/>
      <c r="J900" s="286"/>
      <c r="K900" s="286"/>
      <c r="L900" s="286"/>
      <c r="M900" s="286"/>
      <c r="N900" s="286"/>
      <c r="O900" s="286"/>
      <c r="P900" s="286"/>
      <c r="Q900" s="286"/>
      <c r="R900" s="286"/>
      <c r="AC900" s="551"/>
      <c r="AD900" s="70" t="s">
        <v>930</v>
      </c>
      <c r="AE900" s="70" t="s">
        <v>931</v>
      </c>
      <c r="AF900" s="70" t="s">
        <v>932</v>
      </c>
      <c r="AG900" s="70" t="s">
        <v>932</v>
      </c>
      <c r="AH900" s="70" t="s">
        <v>932</v>
      </c>
      <c r="AI900" s="70" t="s">
        <v>932</v>
      </c>
      <c r="AJ900" s="70" t="s">
        <v>932</v>
      </c>
      <c r="AK900" s="70" t="s">
        <v>932</v>
      </c>
      <c r="AL900" s="70" t="s">
        <v>932</v>
      </c>
      <c r="AM900" s="67" t="s">
        <v>2435</v>
      </c>
      <c r="AN900" s="70" t="s">
        <v>946</v>
      </c>
      <c r="AO900" s="70" t="s">
        <v>946</v>
      </c>
      <c r="AP900" s="70" t="s">
        <v>946</v>
      </c>
      <c r="AQ900" s="67"/>
      <c r="AR900" s="67"/>
      <c r="AS900" s="67"/>
      <c r="AT900" s="552"/>
    </row>
    <row r="901" spans="1:46" ht="15.75" customHeight="1" thickBot="1" x14ac:dyDescent="0.4">
      <c r="A901" s="201"/>
      <c r="B901" s="286"/>
      <c r="C901" s="286"/>
      <c r="D901" s="286"/>
      <c r="E901" s="286"/>
      <c r="F901" s="286"/>
      <c r="G901" s="286"/>
      <c r="H901" s="544"/>
      <c r="I901" s="286"/>
      <c r="J901" s="286"/>
      <c r="K901" s="286"/>
      <c r="L901" s="286"/>
      <c r="M901" s="286"/>
      <c r="N901" s="286"/>
      <c r="O901" s="286"/>
      <c r="P901" s="286"/>
      <c r="Q901" s="286"/>
      <c r="R901" s="286"/>
      <c r="AC901" s="551"/>
      <c r="AD901" s="67" t="s">
        <v>1353</v>
      </c>
      <c r="AE901" s="67" t="s">
        <v>1353</v>
      </c>
      <c r="AF901" s="67" t="s">
        <v>1353</v>
      </c>
      <c r="AG901" s="67" t="s">
        <v>1353</v>
      </c>
      <c r="AH901" s="67" t="s">
        <v>1353</v>
      </c>
      <c r="AI901" s="67" t="s">
        <v>1353</v>
      </c>
      <c r="AJ901" s="67" t="s">
        <v>1353</v>
      </c>
      <c r="AK901" s="67" t="s">
        <v>1353</v>
      </c>
      <c r="AL901" s="67" t="s">
        <v>1353</v>
      </c>
      <c r="AM901" s="67" t="s">
        <v>2435</v>
      </c>
      <c r="AN901" s="67" t="s">
        <v>1353</v>
      </c>
      <c r="AO901" s="67" t="s">
        <v>1353</v>
      </c>
      <c r="AP901" s="67" t="s">
        <v>1353</v>
      </c>
      <c r="AQ901" s="67"/>
      <c r="AR901" s="67"/>
      <c r="AS901" s="67"/>
      <c r="AT901" s="552"/>
    </row>
    <row r="902" spans="1:46" ht="15.75" customHeight="1" x14ac:dyDescent="0.3">
      <c r="A902" s="651"/>
      <c r="B902" s="782" t="s">
        <v>864</v>
      </c>
      <c r="C902" s="782"/>
      <c r="D902" s="782"/>
      <c r="E902" s="782"/>
      <c r="F902" s="782"/>
      <c r="G902" s="782"/>
      <c r="H902" s="782"/>
      <c r="I902" s="782"/>
      <c r="J902" s="782"/>
      <c r="K902" s="782"/>
      <c r="L902" s="782"/>
      <c r="M902" s="782"/>
      <c r="N902" s="782"/>
      <c r="O902" s="782"/>
      <c r="P902" s="782"/>
      <c r="Q902" s="678" t="str">
        <f>+Q1</f>
        <v xml:space="preserve">PRINTED:  </v>
      </c>
      <c r="R902" s="679">
        <f ca="1">+R1</f>
        <v>44881.729634027775</v>
      </c>
      <c r="AC902" s="553" t="s">
        <v>1354</v>
      </c>
      <c r="AD902" s="67">
        <f t="shared" ref="AD902:AD913" si="300">(F911)</f>
        <v>42045</v>
      </c>
      <c r="AE902" s="67">
        <f t="shared" ref="AE902:AE913" si="301">SUM($B$966:$E$966)+(T911-1526.8)/0.7702</f>
        <v>1640.619579330044</v>
      </c>
      <c r="AF902" s="67">
        <f>(AD902*AE902/1000)</f>
        <v>68979.850212931691</v>
      </c>
      <c r="AG902" s="67">
        <f t="shared" ref="AG902:AG913" si="302">(((B911-F911)*B$966)+((C911-F911)*C$966)+((D911-F911)*D$966)+((E911-F911)*E$966))/1000</f>
        <v>67708.956000000006</v>
      </c>
      <c r="AH902" s="67">
        <f>(AF902+AG902)</f>
        <v>136688.8062129317</v>
      </c>
      <c r="AI902" s="67">
        <f t="shared" ref="AI902:AI913" si="303">SUM(H968:Q968)</f>
        <v>21027</v>
      </c>
      <c r="AJ902" s="67">
        <f>+AH902+AI902</f>
        <v>157715.8062129317</v>
      </c>
      <c r="AK902" s="67">
        <f t="shared" ref="AK902:AK909" si="304">(G996)</f>
        <v>716.5104747550854</v>
      </c>
      <c r="AL902" s="67">
        <f t="shared" ref="AL902:AL913" si="305">(AJ902-AK902)</f>
        <v>156999.29573817662</v>
      </c>
      <c r="AM902" s="67" t="s">
        <v>2435</v>
      </c>
      <c r="AN902" s="67">
        <f>+B911/31/1.98</f>
        <v>1461.5998696643858</v>
      </c>
      <c r="AO902" s="67">
        <f>(AD902*43560/31/24/3600)</f>
        <v>683.79637096774195</v>
      </c>
      <c r="AP902" s="67">
        <f>+B325</f>
        <v>-76.797943812730779</v>
      </c>
      <c r="AQ902" s="67"/>
      <c r="AR902" s="67"/>
      <c r="AS902" s="67"/>
      <c r="AT902" s="552"/>
    </row>
    <row r="903" spans="1:46" ht="15.75" customHeight="1" x14ac:dyDescent="0.3">
      <c r="A903" s="553"/>
      <c r="B903" s="786" t="str">
        <f>+A8</f>
        <v>Revised:  3/2/2019</v>
      </c>
      <c r="C903" s="786"/>
      <c r="D903" s="786"/>
      <c r="E903" s="786"/>
      <c r="F903" s="786"/>
      <c r="G903" s="786"/>
      <c r="H903" s="786"/>
      <c r="I903" s="786"/>
      <c r="J903" s="786"/>
      <c r="K903" s="786"/>
      <c r="L903" s="786"/>
      <c r="M903" s="786"/>
      <c r="N903" s="786"/>
      <c r="O903" s="786"/>
      <c r="P903" s="786"/>
      <c r="Q903" s="67"/>
      <c r="R903" s="552"/>
      <c r="AC903" s="553" t="s">
        <v>706</v>
      </c>
      <c r="AD903" s="67">
        <f t="shared" si="300"/>
        <v>51021</v>
      </c>
      <c r="AE903" s="67">
        <f t="shared" si="301"/>
        <v>1641.3206959231368</v>
      </c>
      <c r="AF903" s="67">
        <f>(AD903*AE903/1000)</f>
        <v>83741.823226694367</v>
      </c>
      <c r="AG903" s="67">
        <f t="shared" si="302"/>
        <v>79633.322</v>
      </c>
      <c r="AH903" s="67">
        <f t="shared" ref="AH903:AH913" si="306">(AF903+AG903)</f>
        <v>163375.14522669435</v>
      </c>
      <c r="AI903" s="67">
        <f t="shared" si="303"/>
        <v>29930</v>
      </c>
      <c r="AJ903" s="67">
        <f t="shared" ref="AJ903:AJ913" si="307">+AH903+AI903</f>
        <v>193305.14522669435</v>
      </c>
      <c r="AK903" s="67">
        <f t="shared" si="304"/>
        <v>2214.0051243406133</v>
      </c>
      <c r="AL903" s="67">
        <f t="shared" si="305"/>
        <v>191091.14010235373</v>
      </c>
      <c r="AM903" s="67" t="s">
        <v>2435</v>
      </c>
      <c r="AN903" s="67">
        <f>+B912/28/1.98</f>
        <v>1932.6118326118326</v>
      </c>
      <c r="AO903" s="67">
        <f>(AD903*43560/29/24/3600)</f>
        <v>887.00301724137933</v>
      </c>
      <c r="AP903" s="67">
        <f>+C325</f>
        <v>-261.32843455082485</v>
      </c>
      <c r="AQ903" s="67"/>
      <c r="AR903" s="67"/>
      <c r="AS903" s="67"/>
      <c r="AT903" s="552"/>
    </row>
    <row r="904" spans="1:46" ht="15.75" customHeight="1" x14ac:dyDescent="0.3">
      <c r="A904" s="553"/>
      <c r="B904" s="786" t="s">
        <v>2878</v>
      </c>
      <c r="C904" s="786"/>
      <c r="D904" s="786"/>
      <c r="E904" s="786"/>
      <c r="F904" s="786"/>
      <c r="G904" s="786"/>
      <c r="H904" s="786"/>
      <c r="I904" s="786"/>
      <c r="J904" s="786"/>
      <c r="K904" s="786"/>
      <c r="L904" s="786"/>
      <c r="M904" s="786"/>
      <c r="N904" s="786"/>
      <c r="O904" s="786"/>
      <c r="P904" s="786"/>
      <c r="Q904" s="67"/>
      <c r="R904" s="552"/>
      <c r="AC904" s="553" t="s">
        <v>707</v>
      </c>
      <c r="AD904" s="67">
        <f t="shared" si="300"/>
        <v>46045</v>
      </c>
      <c r="AE904" s="67">
        <f t="shared" si="301"/>
        <v>1648.5525874397988</v>
      </c>
      <c r="AF904" s="67">
        <f t="shared" ref="AF904:AF913" si="308">(AD904*AE904/1000)</f>
        <v>75907.603888665544</v>
      </c>
      <c r="AG904" s="67">
        <f t="shared" si="302"/>
        <v>129617.287</v>
      </c>
      <c r="AH904" s="67">
        <f t="shared" si="306"/>
        <v>205524.89088866554</v>
      </c>
      <c r="AI904" s="67">
        <f t="shared" si="303"/>
        <v>39462</v>
      </c>
      <c r="AJ904" s="67">
        <f t="shared" si="307"/>
        <v>244986.89088866554</v>
      </c>
      <c r="AK904" s="67">
        <f t="shared" si="304"/>
        <v>3056.1988003524229</v>
      </c>
      <c r="AL904" s="67">
        <f t="shared" si="305"/>
        <v>241930.69208831311</v>
      </c>
      <c r="AM904" s="67" t="s">
        <v>2435</v>
      </c>
      <c r="AN904" s="67">
        <f>+B913/31/1.98</f>
        <v>2241.6911045943307</v>
      </c>
      <c r="AO904" s="67">
        <f>(AD904*43560/31/24/3600)</f>
        <v>748.85013440860212</v>
      </c>
      <c r="AP904" s="67">
        <f>+D325</f>
        <v>-308.83477298976783</v>
      </c>
      <c r="AQ904" s="67"/>
      <c r="AR904" s="67"/>
      <c r="AS904" s="67"/>
      <c r="AT904" s="552"/>
    </row>
    <row r="905" spans="1:46" ht="15.75" customHeight="1" x14ac:dyDescent="0.3">
      <c r="A905" s="553"/>
      <c r="B905" s="786"/>
      <c r="C905" s="786"/>
      <c r="D905" s="786"/>
      <c r="E905" s="786"/>
      <c r="F905" s="786"/>
      <c r="G905" s="786"/>
      <c r="H905" s="786"/>
      <c r="I905" s="786"/>
      <c r="J905" s="786"/>
      <c r="K905" s="786"/>
      <c r="L905" s="786"/>
      <c r="M905" s="786"/>
      <c r="N905" s="786"/>
      <c r="O905" s="786"/>
      <c r="P905" s="786"/>
      <c r="Q905" s="67"/>
      <c r="R905" s="552"/>
      <c r="AC905" s="553" t="s">
        <v>1321</v>
      </c>
      <c r="AD905" s="67">
        <f t="shared" si="300"/>
        <v>10279</v>
      </c>
      <c r="AE905" s="67">
        <f t="shared" si="301"/>
        <v>1648.6824201506106</v>
      </c>
      <c r="AF905" s="67">
        <f t="shared" si="308"/>
        <v>16946.806596728129</v>
      </c>
      <c r="AG905" s="67">
        <f t="shared" si="302"/>
        <v>224306.24</v>
      </c>
      <c r="AH905" s="67">
        <f t="shared" si="306"/>
        <v>241253.04659672812</v>
      </c>
      <c r="AI905" s="67">
        <f t="shared" si="303"/>
        <v>49349</v>
      </c>
      <c r="AJ905" s="67">
        <f t="shared" si="307"/>
        <v>290602.04659672815</v>
      </c>
      <c r="AK905" s="67">
        <f t="shared" si="304"/>
        <v>1066.3607837226837</v>
      </c>
      <c r="AL905" s="67">
        <f t="shared" si="305"/>
        <v>289535.68581300549</v>
      </c>
      <c r="AM905" s="67" t="s">
        <v>2435</v>
      </c>
      <c r="AN905" s="67">
        <f>+B914/30/1.98</f>
        <v>2839.2760942760942</v>
      </c>
      <c r="AO905" s="67">
        <f>(AD905*43560/30/24/3600)</f>
        <v>172.74430555555554</v>
      </c>
      <c r="AP905" s="67">
        <f>+F325</f>
        <v>-111.24558749369641</v>
      </c>
      <c r="AQ905" s="67"/>
      <c r="AR905" s="67"/>
      <c r="AS905" s="67"/>
      <c r="AT905" s="552"/>
    </row>
    <row r="906" spans="1:46" ht="15.75" customHeight="1" x14ac:dyDescent="0.3">
      <c r="A906" s="553"/>
      <c r="B906" s="787">
        <f>+A5</f>
        <v>2018</v>
      </c>
      <c r="C906" s="787"/>
      <c r="D906" s="787"/>
      <c r="E906" s="787"/>
      <c r="F906" s="787"/>
      <c r="G906" s="787"/>
      <c r="H906" s="787"/>
      <c r="I906" s="787"/>
      <c r="J906" s="787"/>
      <c r="K906" s="787"/>
      <c r="L906" s="787"/>
      <c r="M906" s="787"/>
      <c r="N906" s="787"/>
      <c r="O906" s="787"/>
      <c r="P906" s="787"/>
      <c r="Q906" s="67"/>
      <c r="R906" s="552"/>
      <c r="AC906" s="553" t="s">
        <v>1905</v>
      </c>
      <c r="AD906" s="67">
        <f t="shared" si="300"/>
        <v>4059</v>
      </c>
      <c r="AE906" s="67">
        <f t="shared" si="301"/>
        <v>1646.1506102311087</v>
      </c>
      <c r="AF906" s="67">
        <f t="shared" si="308"/>
        <v>6681.72532692807</v>
      </c>
      <c r="AG906" s="67">
        <f t="shared" si="302"/>
        <v>248274.18599999999</v>
      </c>
      <c r="AH906" s="67">
        <f t="shared" si="306"/>
        <v>254955.91132692806</v>
      </c>
      <c r="AI906" s="67">
        <f t="shared" si="303"/>
        <v>49585</v>
      </c>
      <c r="AJ906" s="67">
        <f t="shared" si="307"/>
        <v>304540.91132692806</v>
      </c>
      <c r="AK906" s="67">
        <f t="shared" si="304"/>
        <v>772.44865109268892</v>
      </c>
      <c r="AL906" s="67">
        <f t="shared" si="305"/>
        <v>303768.46267583536</v>
      </c>
      <c r="AM906" s="67" t="s">
        <v>2435</v>
      </c>
      <c r="AN906" s="67">
        <f>+B915/31/1.98</f>
        <v>2922.9064841968066</v>
      </c>
      <c r="AO906" s="67">
        <f>(AD906*43560/31/24/3600)</f>
        <v>66.013306451612905</v>
      </c>
      <c r="AP906" s="67">
        <f>+G325</f>
        <v>-79.433247116620308</v>
      </c>
      <c r="AQ906" s="67"/>
      <c r="AR906" s="67"/>
      <c r="AS906" s="67"/>
      <c r="AT906" s="552"/>
    </row>
    <row r="907" spans="1:46" ht="15.75" customHeight="1" x14ac:dyDescent="0.3">
      <c r="A907" s="553"/>
      <c r="B907" s="786" t="s">
        <v>2918</v>
      </c>
      <c r="C907" s="786"/>
      <c r="D907" s="786"/>
      <c r="E907" s="786"/>
      <c r="F907" s="786"/>
      <c r="G907" s="786"/>
      <c r="H907" s="786"/>
      <c r="I907" s="786"/>
      <c r="J907" s="786"/>
      <c r="K907" s="786"/>
      <c r="L907" s="786"/>
      <c r="M907" s="786"/>
      <c r="N907" s="786"/>
      <c r="O907" s="786"/>
      <c r="P907" s="786"/>
      <c r="Q907" s="67"/>
      <c r="R907" s="552"/>
      <c r="AC907" s="553" t="s">
        <v>1906</v>
      </c>
      <c r="AD907" s="67">
        <f t="shared" si="300"/>
        <v>0</v>
      </c>
      <c r="AE907" s="67">
        <f t="shared" si="301"/>
        <v>1632.5437548688653</v>
      </c>
      <c r="AF907" s="67">
        <f t="shared" si="308"/>
        <v>0</v>
      </c>
      <c r="AG907" s="67">
        <f t="shared" si="302"/>
        <v>129450.04700000001</v>
      </c>
      <c r="AH907" s="67">
        <f t="shared" si="306"/>
        <v>129450.04700000001</v>
      </c>
      <c r="AI907" s="67">
        <f t="shared" si="303"/>
        <v>47563</v>
      </c>
      <c r="AJ907" s="67">
        <f t="shared" si="307"/>
        <v>177013.04700000002</v>
      </c>
      <c r="AK907" s="67">
        <f t="shared" si="304"/>
        <v>15221.461341371518</v>
      </c>
      <c r="AL907" s="67">
        <f t="shared" si="305"/>
        <v>161791.58565862849</v>
      </c>
      <c r="AM907" s="67" t="s">
        <v>2435</v>
      </c>
      <c r="AN907" s="67">
        <f>+B916/30/1.98</f>
        <v>1550.0841750841751</v>
      </c>
      <c r="AO907" s="67">
        <f t="shared" ref="AO907:AO912" si="309">(AD907*43560/30/24/3600)</f>
        <v>0</v>
      </c>
      <c r="AP907" s="67">
        <f>+H325</f>
        <v>-1796.8566145570683</v>
      </c>
      <c r="AQ907" s="67"/>
      <c r="AR907" s="67"/>
      <c r="AS907" s="67"/>
      <c r="AT907" s="552"/>
    </row>
    <row r="908" spans="1:46" ht="15.75" customHeight="1" x14ac:dyDescent="0.3">
      <c r="A908" s="553"/>
      <c r="B908" s="67"/>
      <c r="C908" s="67"/>
      <c r="D908" s="67"/>
      <c r="E908" s="67"/>
      <c r="F908" s="67"/>
      <c r="G908" s="67"/>
      <c r="H908" s="67"/>
      <c r="I908" s="67"/>
      <c r="J908" s="67"/>
      <c r="K908" s="67"/>
      <c r="L908" s="67"/>
      <c r="M908" s="67"/>
      <c r="N908" s="67"/>
      <c r="O908" s="67"/>
      <c r="P908" s="67"/>
      <c r="Q908" s="67"/>
      <c r="R908" s="552"/>
      <c r="AC908" s="553" t="s">
        <v>1907</v>
      </c>
      <c r="AD908" s="67">
        <f t="shared" si="300"/>
        <v>0</v>
      </c>
      <c r="AE908" s="67">
        <f t="shared" si="301"/>
        <v>1613.7694105427163</v>
      </c>
      <c r="AF908" s="67">
        <f t="shared" si="308"/>
        <v>0</v>
      </c>
      <c r="AG908" s="67">
        <f t="shared" si="302"/>
        <v>110389.53200000001</v>
      </c>
      <c r="AH908" s="67">
        <f t="shared" si="306"/>
        <v>110389.53200000001</v>
      </c>
      <c r="AI908" s="67">
        <f t="shared" si="303"/>
        <v>47519</v>
      </c>
      <c r="AJ908" s="67">
        <f t="shared" si="307"/>
        <v>157908.53200000001</v>
      </c>
      <c r="AK908" s="67">
        <f t="shared" si="304"/>
        <v>14235.359005275053</v>
      </c>
      <c r="AL908" s="67">
        <f t="shared" si="305"/>
        <v>143673.17299472494</v>
      </c>
      <c r="AM908" s="67" t="s">
        <v>2435</v>
      </c>
      <c r="AN908" s="67">
        <f>+B917/31/1.98</f>
        <v>1282.258064516129</v>
      </c>
      <c r="AO908" s="67">
        <f t="shared" si="309"/>
        <v>0</v>
      </c>
      <c r="AP908" s="67">
        <f>+J325</f>
        <v>-1920.1112683617196</v>
      </c>
      <c r="AQ908" s="67"/>
      <c r="AR908" s="67"/>
      <c r="AS908" s="67"/>
      <c r="AT908" s="552"/>
    </row>
    <row r="909" spans="1:46" ht="15.75" customHeight="1" thickBot="1" x14ac:dyDescent="0.35">
      <c r="A909" s="553" t="s">
        <v>845</v>
      </c>
      <c r="B909" s="634" t="s">
        <v>1308</v>
      </c>
      <c r="C909" s="634" t="s">
        <v>1309</v>
      </c>
      <c r="D909" s="634" t="s">
        <v>1029</v>
      </c>
      <c r="E909" s="634" t="s">
        <v>1030</v>
      </c>
      <c r="F909" s="634" t="s">
        <v>284</v>
      </c>
      <c r="G909" s="634" t="s">
        <v>284</v>
      </c>
      <c r="H909" s="634" t="s">
        <v>285</v>
      </c>
      <c r="I909" s="634" t="s">
        <v>286</v>
      </c>
      <c r="J909" s="634" t="s">
        <v>287</v>
      </c>
      <c r="K909" s="634" t="s">
        <v>288</v>
      </c>
      <c r="L909" s="634" t="s">
        <v>289</v>
      </c>
      <c r="M909" s="634" t="s">
        <v>633</v>
      </c>
      <c r="N909" s="634" t="s">
        <v>634</v>
      </c>
      <c r="O909" s="634" t="s">
        <v>1192</v>
      </c>
      <c r="P909" s="634" t="s">
        <v>524</v>
      </c>
      <c r="Q909" s="634" t="s">
        <v>525</v>
      </c>
      <c r="R909" s="552"/>
      <c r="T909" s="350" t="s">
        <v>2756</v>
      </c>
      <c r="AC909" s="553" t="s">
        <v>1908</v>
      </c>
      <c r="AD909" s="67">
        <f t="shared" si="300"/>
        <v>0</v>
      </c>
      <c r="AE909" s="67">
        <f t="shared" si="301"/>
        <v>1591.281686719662</v>
      </c>
      <c r="AF909" s="67">
        <f t="shared" si="308"/>
        <v>0</v>
      </c>
      <c r="AG909" s="67">
        <f t="shared" si="302"/>
        <v>38597.786999999997</v>
      </c>
      <c r="AH909" s="67">
        <f t="shared" si="306"/>
        <v>38597.786999999997</v>
      </c>
      <c r="AI909" s="67">
        <f t="shared" si="303"/>
        <v>50060</v>
      </c>
      <c r="AJ909" s="67">
        <f t="shared" si="307"/>
        <v>88657.786999999997</v>
      </c>
      <c r="AK909" s="67">
        <f t="shared" si="304"/>
        <v>14849.919737813088</v>
      </c>
      <c r="AL909" s="67">
        <f t="shared" si="305"/>
        <v>73807.867262186905</v>
      </c>
      <c r="AM909" s="67" t="s">
        <v>2435</v>
      </c>
      <c r="AN909" s="67">
        <f>+B918/31/1.98</f>
        <v>462.03975236233305</v>
      </c>
      <c r="AO909" s="67">
        <f t="shared" si="309"/>
        <v>0</v>
      </c>
      <c r="AP909" s="67">
        <f>+K325</f>
        <v>-2556.3092739902067</v>
      </c>
      <c r="AQ909" s="67"/>
      <c r="AR909" s="67"/>
      <c r="AS909" s="67"/>
      <c r="AT909" s="552"/>
    </row>
    <row r="910" spans="1:46" ht="15.75" customHeight="1" x14ac:dyDescent="0.3">
      <c r="A910" s="553"/>
      <c r="B910" s="67"/>
      <c r="C910" s="67"/>
      <c r="D910" s="67"/>
      <c r="E910" s="67"/>
      <c r="F910" s="70" t="s">
        <v>1193</v>
      </c>
      <c r="G910" s="70" t="s">
        <v>1194</v>
      </c>
      <c r="H910" s="67"/>
      <c r="I910" s="67"/>
      <c r="J910" s="67"/>
      <c r="K910" s="67"/>
      <c r="L910" s="67"/>
      <c r="M910" s="67"/>
      <c r="N910" s="67"/>
      <c r="O910" s="67"/>
      <c r="P910" s="67"/>
      <c r="Q910" s="67"/>
      <c r="R910" s="552"/>
      <c r="AC910" s="553" t="s">
        <v>2352</v>
      </c>
      <c r="AD910" s="67">
        <f t="shared" si="300"/>
        <v>17967</v>
      </c>
      <c r="AE910" s="67">
        <f t="shared" si="301"/>
        <v>1596.3323736446584</v>
      </c>
      <c r="AF910" s="67">
        <f t="shared" si="308"/>
        <v>28681.303757273578</v>
      </c>
      <c r="AG910" s="67">
        <f t="shared" si="302"/>
        <v>208722.867</v>
      </c>
      <c r="AH910" s="67">
        <f t="shared" si="306"/>
        <v>237404.17075727356</v>
      </c>
      <c r="AI910" s="67">
        <f t="shared" si="303"/>
        <v>41141</v>
      </c>
      <c r="AJ910" s="67">
        <f t="shared" si="307"/>
        <v>278545.17075727356</v>
      </c>
      <c r="AK910" s="67">
        <v>0</v>
      </c>
      <c r="AL910" s="67">
        <f t="shared" si="305"/>
        <v>278545.17075727356</v>
      </c>
      <c r="AM910" s="67" t="s">
        <v>2435</v>
      </c>
      <c r="AN910" s="67">
        <f>+B919/30/1.98</f>
        <v>2782.4242424242425</v>
      </c>
      <c r="AO910" s="67">
        <f t="shared" si="309"/>
        <v>301.94541666666669</v>
      </c>
      <c r="AP910" s="67">
        <f>+L325</f>
        <v>-134.19062027231467</v>
      </c>
      <c r="AQ910" s="67"/>
      <c r="AR910" s="67"/>
      <c r="AS910" s="67"/>
      <c r="AT910" s="552"/>
    </row>
    <row r="911" spans="1:46" ht="15.75" customHeight="1" x14ac:dyDescent="0.3">
      <c r="A911" s="139" t="s">
        <v>2843</v>
      </c>
      <c r="B911" s="67">
        <f>+B29</f>
        <v>89713</v>
      </c>
      <c r="C911" s="67">
        <f>+B64</f>
        <v>89616</v>
      </c>
      <c r="D911" s="67">
        <f>+B133</f>
        <v>89520</v>
      </c>
      <c r="E911" s="67">
        <f>+B315</f>
        <v>88667</v>
      </c>
      <c r="F911" s="67">
        <f>+B310</f>
        <v>42045</v>
      </c>
      <c r="G911" s="67">
        <f>+B322</f>
        <v>-4721</v>
      </c>
      <c r="H911" s="67">
        <f>+B485</f>
        <v>27634</v>
      </c>
      <c r="I911" s="67">
        <f>+B535</f>
        <v>13718</v>
      </c>
      <c r="J911" s="67">
        <f>+B580</f>
        <v>13674</v>
      </c>
      <c r="K911" s="67">
        <f>+B644</f>
        <v>13625</v>
      </c>
      <c r="L911" s="67">
        <f>+B654</f>
        <v>11997</v>
      </c>
      <c r="M911" s="67">
        <f>+B690</f>
        <v>11977</v>
      </c>
      <c r="N911" s="67">
        <f>+B741</f>
        <v>11691</v>
      </c>
      <c r="O911" s="67">
        <f>+B751</f>
        <v>3717</v>
      </c>
      <c r="P911" s="67">
        <f>+B785</f>
        <v>3753</v>
      </c>
      <c r="Q911" s="67">
        <f>+B834</f>
        <v>3715</v>
      </c>
      <c r="R911" s="552"/>
      <c r="T911" s="619">
        <f>'Lake Pleasant Forecast'!B35</f>
        <v>1692.1</v>
      </c>
      <c r="AC911" s="553" t="s">
        <v>2353</v>
      </c>
      <c r="AD911" s="67">
        <f t="shared" si="300"/>
        <v>94204</v>
      </c>
      <c r="AE911" s="67">
        <f t="shared" si="301"/>
        <v>1606.3687353934044</v>
      </c>
      <c r="AF911" s="67">
        <f t="shared" si="308"/>
        <v>151326.36034900029</v>
      </c>
      <c r="AG911" s="67">
        <f t="shared" si="302"/>
        <v>115047.329</v>
      </c>
      <c r="AH911" s="67">
        <f t="shared" si="306"/>
        <v>266373.68934900028</v>
      </c>
      <c r="AI911" s="67">
        <f t="shared" si="303"/>
        <v>19810</v>
      </c>
      <c r="AJ911" s="67">
        <f t="shared" si="307"/>
        <v>286183.68934900028</v>
      </c>
      <c r="AK911" s="67">
        <v>0</v>
      </c>
      <c r="AL911" s="67">
        <f t="shared" si="305"/>
        <v>286183.68934900028</v>
      </c>
      <c r="AM911" s="67" t="s">
        <v>2435</v>
      </c>
      <c r="AN911" s="67">
        <f>+B920/31/1.98</f>
        <v>2854.317367220593</v>
      </c>
      <c r="AO911" s="67">
        <f t="shared" si="309"/>
        <v>1583.1505555555555</v>
      </c>
      <c r="AP911" s="67">
        <f>+N325</f>
        <v>0</v>
      </c>
      <c r="AQ911" s="67"/>
      <c r="AR911" s="67"/>
      <c r="AS911" s="67"/>
      <c r="AT911" s="552"/>
    </row>
    <row r="912" spans="1:46" ht="15.75" customHeight="1" x14ac:dyDescent="0.3">
      <c r="A912" s="139" t="s">
        <v>2091</v>
      </c>
      <c r="B912" s="67">
        <f>+C29</f>
        <v>107144</v>
      </c>
      <c r="C912" s="67">
        <f>+C64</f>
        <v>106996</v>
      </c>
      <c r="D912" s="67">
        <f>+C133</f>
        <v>106851</v>
      </c>
      <c r="E912" s="67">
        <f>+C315</f>
        <v>105580</v>
      </c>
      <c r="F912" s="67">
        <f>+C310</f>
        <v>51021</v>
      </c>
      <c r="G912" s="67">
        <f>+C322</f>
        <v>-14510</v>
      </c>
      <c r="H912" s="67">
        <f>+C485</f>
        <v>42323</v>
      </c>
      <c r="I912" s="67">
        <f>+C535</f>
        <v>22143</v>
      </c>
      <c r="J912" s="67">
        <f>+C580</f>
        <v>22023</v>
      </c>
      <c r="K912" s="67">
        <f>+C644</f>
        <v>21321</v>
      </c>
      <c r="L912" s="67">
        <f>+C654</f>
        <v>16733</v>
      </c>
      <c r="M912" s="67">
        <f>+C690</f>
        <v>16711</v>
      </c>
      <c r="N912" s="67">
        <f>+C741</f>
        <v>15825</v>
      </c>
      <c r="O912" s="67">
        <f>+C751</f>
        <v>4071</v>
      </c>
      <c r="P912" s="67">
        <f>+C785</f>
        <v>3023</v>
      </c>
      <c r="Q912" s="67">
        <f>+C834</f>
        <v>4068</v>
      </c>
      <c r="R912" s="552"/>
      <c r="T912" s="619">
        <f>'Lake Pleasant Forecast'!B37</f>
        <v>1692.6399999999999</v>
      </c>
      <c r="AC912" s="553" t="s">
        <v>2354</v>
      </c>
      <c r="AD912" s="67">
        <f t="shared" si="300"/>
        <v>80702</v>
      </c>
      <c r="AE912" s="67">
        <f t="shared" si="301"/>
        <v>1615.8467930407687</v>
      </c>
      <c r="AF912" s="67">
        <f t="shared" si="308"/>
        <v>130402.06789197611</v>
      </c>
      <c r="AG912" s="67">
        <f t="shared" si="302"/>
        <v>128220.33900000001</v>
      </c>
      <c r="AH912" s="67">
        <f t="shared" si="306"/>
        <v>258622.40689197613</v>
      </c>
      <c r="AI912" s="67">
        <f t="shared" si="303"/>
        <v>12024</v>
      </c>
      <c r="AJ912" s="67">
        <f t="shared" si="307"/>
        <v>270646.40689197613</v>
      </c>
      <c r="AK912" s="67">
        <f>(G1006)</f>
        <v>13.408560663149945</v>
      </c>
      <c r="AL912" s="67">
        <f t="shared" si="305"/>
        <v>270632.99833131296</v>
      </c>
      <c r="AM912" s="67" t="s">
        <v>2435</v>
      </c>
      <c r="AN912" s="67">
        <f>+B921/30/1.98</f>
        <v>2882.5589225589224</v>
      </c>
      <c r="AO912" s="67">
        <f t="shared" si="309"/>
        <v>1356.2419444444445</v>
      </c>
      <c r="AP912" s="67">
        <f>+O325</f>
        <v>-1.8322407127248277</v>
      </c>
      <c r="AQ912" s="67"/>
      <c r="AR912" s="67"/>
      <c r="AS912" s="67"/>
      <c r="AT912" s="552"/>
    </row>
    <row r="913" spans="1:50" ht="15.75" customHeight="1" x14ac:dyDescent="0.3">
      <c r="A913" s="139" t="s">
        <v>2234</v>
      </c>
      <c r="B913" s="67">
        <f>+D29</f>
        <v>137595</v>
      </c>
      <c r="C913" s="67">
        <f>+D64</f>
        <v>137321</v>
      </c>
      <c r="D913" s="67">
        <f>+D133</f>
        <v>137060</v>
      </c>
      <c r="E913" s="67">
        <f>+D315</f>
        <v>133800</v>
      </c>
      <c r="F913" s="67">
        <f>+D310</f>
        <v>46045</v>
      </c>
      <c r="G913" s="67">
        <f>+D322</f>
        <v>-18985</v>
      </c>
      <c r="H913" s="67">
        <f>+D485</f>
        <v>80845</v>
      </c>
      <c r="I913" s="67">
        <f>+D535</f>
        <v>33828</v>
      </c>
      <c r="J913" s="67">
        <f>+D580</f>
        <v>28768</v>
      </c>
      <c r="K913" s="67">
        <f>+D644</f>
        <v>26714</v>
      </c>
      <c r="L913" s="67">
        <f>+D654</f>
        <v>19810</v>
      </c>
      <c r="M913" s="67">
        <f>+D690</f>
        <v>19782</v>
      </c>
      <c r="N913" s="67">
        <f>+D741</f>
        <v>18827</v>
      </c>
      <c r="O913" s="67">
        <f>+D751</f>
        <v>2777</v>
      </c>
      <c r="P913" s="67">
        <f>+D785</f>
        <v>3780</v>
      </c>
      <c r="Q913" s="67">
        <f>+D834</f>
        <v>2745</v>
      </c>
      <c r="R913" s="552"/>
      <c r="T913" s="619">
        <f>'Lake Pleasant Forecast'!B39</f>
        <v>1698.210002846133</v>
      </c>
      <c r="AC913" s="553" t="s">
        <v>2355</v>
      </c>
      <c r="AD913" s="67">
        <f t="shared" si="300"/>
        <v>79076</v>
      </c>
      <c r="AE913" s="67">
        <f t="shared" si="301"/>
        <v>1624.8302000837896</v>
      </c>
      <c r="AF913" s="67">
        <f t="shared" si="308"/>
        <v>128485.07290182574</v>
      </c>
      <c r="AG913" s="67">
        <f t="shared" si="302"/>
        <v>89721.327999999994</v>
      </c>
      <c r="AH913" s="67">
        <f t="shared" si="306"/>
        <v>218206.40090182575</v>
      </c>
      <c r="AI913" s="67">
        <f t="shared" si="303"/>
        <v>10982</v>
      </c>
      <c r="AJ913" s="67">
        <f t="shared" si="307"/>
        <v>229188.40090182575</v>
      </c>
      <c r="AK913" s="67">
        <f>(G1007)</f>
        <v>0</v>
      </c>
      <c r="AL913" s="67">
        <f t="shared" si="305"/>
        <v>229188.40090182575</v>
      </c>
      <c r="AM913" s="67" t="s">
        <v>2435</v>
      </c>
      <c r="AN913" s="67">
        <f>+B922/31/1.98</f>
        <v>2320.690778755295</v>
      </c>
      <c r="AO913" s="67">
        <f>(AD913*43560/31/24/3600)</f>
        <v>1286.0478494623655</v>
      </c>
      <c r="AP913" s="67">
        <f>+P325</f>
        <v>0</v>
      </c>
      <c r="AQ913" s="67"/>
      <c r="AR913" s="67"/>
      <c r="AS913" s="67"/>
      <c r="AT913" s="552"/>
    </row>
    <row r="914" spans="1:50" ht="15.75" customHeight="1" x14ac:dyDescent="0.3">
      <c r="A914" s="139" t="s">
        <v>2235</v>
      </c>
      <c r="B914" s="67">
        <f>+F29</f>
        <v>168653</v>
      </c>
      <c r="C914" s="67">
        <f>+F64</f>
        <v>168286</v>
      </c>
      <c r="D914" s="67">
        <f>+F133</f>
        <v>167936</v>
      </c>
      <c r="E914" s="67">
        <f>+F315</f>
        <v>162267</v>
      </c>
      <c r="F914" s="67">
        <f>+F310</f>
        <v>10279</v>
      </c>
      <c r="G914" s="67">
        <f>+F322</f>
        <v>-6618</v>
      </c>
      <c r="H914" s="67">
        <f>+F485</f>
        <v>116980</v>
      </c>
      <c r="I914" s="67">
        <f>+F535</f>
        <v>46114</v>
      </c>
      <c r="J914" s="67">
        <f>+F580</f>
        <v>34875</v>
      </c>
      <c r="K914" s="67">
        <f>+F644</f>
        <v>29062</v>
      </c>
      <c r="L914" s="67">
        <f>+F654</f>
        <v>22744</v>
      </c>
      <c r="M914" s="67">
        <f>+F690</f>
        <v>22707</v>
      </c>
      <c r="N914" s="67">
        <f>+F741</f>
        <v>21275</v>
      </c>
      <c r="O914" s="67">
        <f>+F751</f>
        <v>3950</v>
      </c>
      <c r="P914" s="67">
        <f>+F785</f>
        <v>4566</v>
      </c>
      <c r="Q914" s="67">
        <f>+F834</f>
        <v>3943</v>
      </c>
      <c r="R914" s="552"/>
      <c r="T914" s="619">
        <f>'Lake Pleasant Forecast'!B41</f>
        <v>1698.3100000000002</v>
      </c>
      <c r="AC914" s="551"/>
      <c r="AD914" s="67"/>
      <c r="AE914" s="67"/>
      <c r="AF914" s="67"/>
      <c r="AG914" s="67"/>
      <c r="AH914" s="67"/>
      <c r="AI914" s="67"/>
      <c r="AJ914" s="67"/>
      <c r="AK914" s="67"/>
      <c r="AL914" s="67"/>
      <c r="AM914" s="67" t="s">
        <v>2435</v>
      </c>
      <c r="AN914" s="67"/>
      <c r="AO914" s="67"/>
      <c r="AP914" s="67"/>
      <c r="AQ914" s="67"/>
      <c r="AR914" s="67"/>
      <c r="AS914" s="67"/>
      <c r="AT914" s="552"/>
    </row>
    <row r="915" spans="1:50" ht="15.75" customHeight="1" x14ac:dyDescent="0.3">
      <c r="A915" s="139" t="s">
        <v>2236</v>
      </c>
      <c r="B915" s="67">
        <f>+G29</f>
        <v>179408</v>
      </c>
      <c r="C915" s="67">
        <f>+G64</f>
        <v>178983</v>
      </c>
      <c r="D915" s="67">
        <f>+G133</f>
        <v>178581</v>
      </c>
      <c r="E915" s="67">
        <f>+G315</f>
        <v>172030</v>
      </c>
      <c r="F915" s="67">
        <f>+G310</f>
        <v>4059</v>
      </c>
      <c r="G915" s="67">
        <f>+G322</f>
        <v>-4883</v>
      </c>
      <c r="H915" s="67">
        <f>+G485</f>
        <v>129854</v>
      </c>
      <c r="I915" s="67">
        <f>+G535</f>
        <v>41916</v>
      </c>
      <c r="J915" s="67">
        <f>+G580</f>
        <v>32231</v>
      </c>
      <c r="K915" s="67">
        <f>+G644</f>
        <v>26704</v>
      </c>
      <c r="L915" s="67">
        <f>+G654</f>
        <v>22776</v>
      </c>
      <c r="M915" s="67">
        <f>+G690</f>
        <v>22734</v>
      </c>
      <c r="N915" s="67">
        <f>+G741</f>
        <v>21199</v>
      </c>
      <c r="O915" s="67">
        <f>+G751</f>
        <v>4730</v>
      </c>
      <c r="P915" s="67">
        <f>+G785</f>
        <v>5871</v>
      </c>
      <c r="Q915" s="67">
        <f>+G834</f>
        <v>4722</v>
      </c>
      <c r="R915" s="552"/>
      <c r="T915" s="619">
        <f>'Lake Pleasant Forecast'!B43</f>
        <v>1696.36</v>
      </c>
      <c r="AC915" s="551" t="s">
        <v>2356</v>
      </c>
      <c r="AD915" s="67">
        <f>SUM(AD902:AD913)</f>
        <v>425398</v>
      </c>
      <c r="AE915" s="67"/>
      <c r="AF915" s="67">
        <f t="shared" ref="AF915:AL915" si="310">SUM(AF902:AF913)</f>
        <v>691152.61415202357</v>
      </c>
      <c r="AG915" s="67">
        <f t="shared" si="310"/>
        <v>1569689.2199999997</v>
      </c>
      <c r="AH915" s="67">
        <f t="shared" si="310"/>
        <v>2260841.8341520233</v>
      </c>
      <c r="AI915" s="67">
        <f t="shared" si="310"/>
        <v>418452</v>
      </c>
      <c r="AJ915" s="67">
        <f t="shared" si="310"/>
        <v>2679293.8341520233</v>
      </c>
      <c r="AK915" s="67">
        <f t="shared" si="310"/>
        <v>52145.672479386303</v>
      </c>
      <c r="AL915" s="67">
        <f t="shared" si="310"/>
        <v>2627148.1616726373</v>
      </c>
      <c r="AM915" s="67"/>
      <c r="AN915" s="67"/>
      <c r="AO915" s="67"/>
      <c r="AP915" s="67"/>
      <c r="AQ915" s="67"/>
      <c r="AR915" s="67"/>
      <c r="AS915" s="67"/>
      <c r="AT915" s="552"/>
    </row>
    <row r="916" spans="1:50" ht="15.75" customHeight="1" x14ac:dyDescent="0.3">
      <c r="A916" s="139" t="s">
        <v>2237</v>
      </c>
      <c r="B916" s="67">
        <f>+H29</f>
        <v>92075</v>
      </c>
      <c r="C916" s="67">
        <f>+H64</f>
        <v>91658</v>
      </c>
      <c r="D916" s="67">
        <f>+H133</f>
        <v>91262</v>
      </c>
      <c r="E916" s="67">
        <f>+H315</f>
        <v>84340</v>
      </c>
      <c r="F916" s="67">
        <f>+H310</f>
        <v>0</v>
      </c>
      <c r="G916" s="67">
        <f>+H322</f>
        <v>-106895</v>
      </c>
      <c r="H916" s="67">
        <f>+H485</f>
        <v>143470</v>
      </c>
      <c r="I916" s="67">
        <f>+H535</f>
        <v>44920</v>
      </c>
      <c r="J916" s="67">
        <f>+H580</f>
        <v>29005</v>
      </c>
      <c r="K916" s="67">
        <f>+H644</f>
        <v>23016</v>
      </c>
      <c r="L916" s="67">
        <f>+H654</f>
        <v>19660</v>
      </c>
      <c r="M916" s="67">
        <f>+H690</f>
        <v>19616</v>
      </c>
      <c r="N916" s="67">
        <f>+H741</f>
        <v>17889</v>
      </c>
      <c r="O916" s="67">
        <f>+H751</f>
        <v>3900</v>
      </c>
      <c r="P916" s="67">
        <f>+H785</f>
        <v>5822</v>
      </c>
      <c r="Q916" s="67">
        <f>+H834</f>
        <v>3891</v>
      </c>
      <c r="R916" s="552"/>
      <c r="T916" s="619">
        <f>'Lake Pleasant Forecast'!B45</f>
        <v>1685.88</v>
      </c>
      <c r="AC916" s="551"/>
      <c r="AD916" s="67"/>
      <c r="AE916" s="67"/>
      <c r="AF916" s="67"/>
      <c r="AG916" s="67"/>
      <c r="AH916" s="67"/>
      <c r="AI916" s="67"/>
      <c r="AJ916" s="67"/>
      <c r="AK916" s="67"/>
      <c r="AL916" s="67"/>
      <c r="AM916" s="67"/>
      <c r="AN916" s="67"/>
      <c r="AO916" s="67"/>
      <c r="AP916" s="67"/>
      <c r="AQ916" s="67"/>
      <c r="AR916" s="67"/>
      <c r="AS916" s="67"/>
      <c r="AT916" s="552"/>
    </row>
    <row r="917" spans="1:50" ht="15.75" customHeight="1" x14ac:dyDescent="0.3">
      <c r="A917" s="139" t="s">
        <v>1504</v>
      </c>
      <c r="B917" s="67">
        <f>+J29</f>
        <v>78705</v>
      </c>
      <c r="C917" s="67">
        <f>+J64</f>
        <v>78289</v>
      </c>
      <c r="D917" s="67">
        <f>+J133</f>
        <v>77895</v>
      </c>
      <c r="E917" s="67">
        <f>+J315</f>
        <v>70991</v>
      </c>
      <c r="F917" s="67">
        <f>+J310</f>
        <v>0</v>
      </c>
      <c r="G917" s="67">
        <f>+J322</f>
        <v>-118035</v>
      </c>
      <c r="H917" s="67">
        <f>+J485</f>
        <v>145660</v>
      </c>
      <c r="I917" s="67">
        <f>+J535</f>
        <v>48670</v>
      </c>
      <c r="J917" s="67">
        <f>+J580</f>
        <v>30117</v>
      </c>
      <c r="K917" s="67">
        <f>+J644</f>
        <v>22776</v>
      </c>
      <c r="L917" s="67">
        <f>+J654</f>
        <v>18401</v>
      </c>
      <c r="M917" s="67">
        <f>+J690</f>
        <v>18362</v>
      </c>
      <c r="N917" s="67">
        <f>+J741</f>
        <v>16802</v>
      </c>
      <c r="O917" s="67">
        <f>+J751</f>
        <v>3392</v>
      </c>
      <c r="P917" s="67">
        <f>+J785</f>
        <v>5226</v>
      </c>
      <c r="Q917" s="67">
        <f>+J834</f>
        <v>3385</v>
      </c>
      <c r="R917" s="552"/>
      <c r="T917" s="619">
        <f>'Lake Pleasant Forecast'!B47</f>
        <v>1671.42</v>
      </c>
      <c r="AC917" s="551" t="s">
        <v>1696</v>
      </c>
      <c r="AD917" s="67"/>
      <c r="AE917" s="67"/>
      <c r="AF917" s="67"/>
      <c r="AG917" s="67"/>
      <c r="AH917" s="67"/>
      <c r="AI917" s="67"/>
      <c r="AJ917" s="67"/>
      <c r="AK917" s="67"/>
      <c r="AL917" s="67"/>
      <c r="AM917" s="67"/>
      <c r="AN917" s="67"/>
      <c r="AO917" s="67"/>
      <c r="AP917" s="67"/>
      <c r="AQ917" s="67"/>
      <c r="AR917" s="67"/>
      <c r="AS917" s="67"/>
      <c r="AT917" s="552"/>
    </row>
    <row r="918" spans="1:50" ht="15.75" customHeight="1" x14ac:dyDescent="0.3">
      <c r="A918" s="139" t="s">
        <v>1505</v>
      </c>
      <c r="B918" s="67">
        <f>+K29</f>
        <v>28360</v>
      </c>
      <c r="C918" s="67">
        <f>+K64</f>
        <v>28026</v>
      </c>
      <c r="D918" s="67">
        <f>+K133</f>
        <v>27708</v>
      </c>
      <c r="E918" s="67">
        <f>+K315</f>
        <v>20509</v>
      </c>
      <c r="F918" s="67">
        <f>+K310</f>
        <v>0</v>
      </c>
      <c r="G918" s="67">
        <f>+K322</f>
        <v>-157144</v>
      </c>
      <c r="H918" s="67">
        <f>+K485</f>
        <v>123809</v>
      </c>
      <c r="I918" s="67">
        <f>+K535</f>
        <v>48950</v>
      </c>
      <c r="J918" s="67">
        <f>+K580</f>
        <v>32508</v>
      </c>
      <c r="K918" s="67">
        <f>+K644</f>
        <v>28147</v>
      </c>
      <c r="L918" s="67">
        <f>+K654</f>
        <v>22624</v>
      </c>
      <c r="M918" s="67">
        <f>+K690</f>
        <v>22588</v>
      </c>
      <c r="N918" s="67">
        <f>+K741</f>
        <v>20052</v>
      </c>
      <c r="O918" s="67">
        <f>+K751</f>
        <v>4526</v>
      </c>
      <c r="P918" s="67">
        <f>+K785</f>
        <v>5706</v>
      </c>
      <c r="Q918" s="67">
        <f>+K834</f>
        <v>4520</v>
      </c>
      <c r="R918" s="552"/>
      <c r="T918" s="619">
        <f>'Lake Pleasant Forecast'!B49</f>
        <v>1654.0999551114837</v>
      </c>
      <c r="AC918" s="551" t="s">
        <v>785</v>
      </c>
      <c r="AD918" s="67"/>
      <c r="AE918" s="67"/>
      <c r="AF918" s="67"/>
      <c r="AG918" s="67"/>
      <c r="AH918" s="67"/>
      <c r="AI918" s="67"/>
      <c r="AJ918" s="67"/>
      <c r="AK918" s="67"/>
      <c r="AL918" s="67"/>
      <c r="AM918" s="67"/>
      <c r="AN918" s="67"/>
      <c r="AO918" s="67"/>
      <c r="AP918" s="67"/>
      <c r="AQ918" s="67"/>
      <c r="AR918" s="67"/>
      <c r="AS918" s="67"/>
      <c r="AT918" s="552"/>
    </row>
    <row r="919" spans="1:50" ht="15.75" customHeight="1" x14ac:dyDescent="0.3">
      <c r="A919" s="139" t="s">
        <v>1506</v>
      </c>
      <c r="B919" s="67">
        <f>+L29</f>
        <v>165276</v>
      </c>
      <c r="C919" s="67">
        <f>+L64</f>
        <v>164960</v>
      </c>
      <c r="D919" s="67">
        <f>+L133</f>
        <v>164659</v>
      </c>
      <c r="E919" s="67">
        <f>+L315</f>
        <v>159695</v>
      </c>
      <c r="F919" s="67">
        <f>+L310</f>
        <v>17967</v>
      </c>
      <c r="G919" s="67">
        <f>+L322</f>
        <v>-7983</v>
      </c>
      <c r="H919" s="67">
        <f>+L485</f>
        <v>97255</v>
      </c>
      <c r="I919" s="67">
        <f>+L535</f>
        <v>35850</v>
      </c>
      <c r="J919" s="67">
        <f>+L580</f>
        <v>27698</v>
      </c>
      <c r="K919" s="67">
        <f>+L644</f>
        <v>23993</v>
      </c>
      <c r="L919" s="67">
        <f>+L654</f>
        <v>18863</v>
      </c>
      <c r="M919" s="67">
        <f>+L690</f>
        <v>18829</v>
      </c>
      <c r="N919" s="67">
        <f>+L741</f>
        <v>16760</v>
      </c>
      <c r="O919" s="67">
        <f>+L751</f>
        <v>4085</v>
      </c>
      <c r="P919" s="67">
        <f>+L785</f>
        <v>5582</v>
      </c>
      <c r="Q919" s="67">
        <f>+L834</f>
        <v>4079</v>
      </c>
      <c r="R919" s="552"/>
      <c r="T919" s="619">
        <f>'Lake Pleasant Forecast'!B51</f>
        <v>1657.9899941811159</v>
      </c>
      <c r="AC919" s="551"/>
      <c r="AD919" s="67"/>
      <c r="AE919" s="67"/>
      <c r="AF919" s="67"/>
      <c r="AG919" s="67"/>
      <c r="AH919" s="67"/>
      <c r="AI919" s="67"/>
      <c r="AJ919" s="67"/>
      <c r="AK919" s="67"/>
      <c r="AL919" s="67"/>
      <c r="AM919" s="67"/>
      <c r="AN919" s="67"/>
      <c r="AO919" s="67"/>
      <c r="AP919" s="67"/>
      <c r="AQ919" s="67"/>
      <c r="AR919" s="67"/>
      <c r="AS919" s="67"/>
      <c r="AT919" s="552"/>
    </row>
    <row r="920" spans="1:50" ht="15.75" customHeight="1" x14ac:dyDescent="0.3">
      <c r="A920" s="139" t="s">
        <v>1507</v>
      </c>
      <c r="B920" s="67">
        <f>+N29</f>
        <v>175198</v>
      </c>
      <c r="C920" s="67">
        <f>+N64</f>
        <v>174913</v>
      </c>
      <c r="D920" s="67">
        <f>+N133</f>
        <v>174641</v>
      </c>
      <c r="E920" s="67">
        <f>+N315</f>
        <v>173627</v>
      </c>
      <c r="F920" s="67">
        <f>+N310</f>
        <v>94204</v>
      </c>
      <c r="G920" s="67">
        <f>+N322</f>
        <v>0</v>
      </c>
      <c r="H920" s="67">
        <f>+N485</f>
        <v>39567</v>
      </c>
      <c r="I920" s="67">
        <f>+N535</f>
        <v>13498</v>
      </c>
      <c r="J920" s="67">
        <f>+N580</f>
        <v>12622</v>
      </c>
      <c r="K920" s="67">
        <f>+N644</f>
        <v>12436</v>
      </c>
      <c r="L920" s="67">
        <f>+N654</f>
        <v>9004</v>
      </c>
      <c r="M920" s="67">
        <f>+N690</f>
        <v>8975</v>
      </c>
      <c r="N920" s="67">
        <f>+N741</f>
        <v>8857</v>
      </c>
      <c r="O920" s="67">
        <f>+N751</f>
        <v>3175.9999999999995</v>
      </c>
      <c r="P920" s="67">
        <f>+N785</f>
        <v>3589.6666666666665</v>
      </c>
      <c r="Q920" s="67">
        <f>+N834</f>
        <v>3171</v>
      </c>
      <c r="R920" s="552"/>
      <c r="T920" s="619">
        <f>'Lake Pleasant Forecast'!B53</f>
        <v>1665.72</v>
      </c>
      <c r="AC920" s="551" t="s">
        <v>440</v>
      </c>
      <c r="AD920" s="67"/>
      <c r="AE920" s="67"/>
      <c r="AF920" s="67"/>
      <c r="AG920" s="67"/>
      <c r="AH920" s="67"/>
      <c r="AI920" s="67"/>
      <c r="AJ920" s="67"/>
      <c r="AK920" s="67"/>
      <c r="AL920" s="67"/>
      <c r="AM920" s="67"/>
      <c r="AN920" s="67"/>
      <c r="AO920" s="67"/>
      <c r="AP920" s="67"/>
      <c r="AQ920" s="67"/>
      <c r="AR920" s="67"/>
      <c r="AS920" s="67"/>
      <c r="AT920" s="552"/>
    </row>
    <row r="921" spans="1:50" ht="15.75" customHeight="1" x14ac:dyDescent="0.3">
      <c r="A921" s="139" t="s">
        <v>1508</v>
      </c>
      <c r="B921" s="67">
        <f>+O29</f>
        <v>171224</v>
      </c>
      <c r="C921" s="67">
        <f>+O64</f>
        <v>170989</v>
      </c>
      <c r="D921" s="67">
        <f>+O133</f>
        <v>170763</v>
      </c>
      <c r="E921" s="67">
        <f>+O315</f>
        <v>167679</v>
      </c>
      <c r="F921" s="67">
        <f>+O310</f>
        <v>80702</v>
      </c>
      <c r="G921" s="67">
        <f>+O322</f>
        <v>-109</v>
      </c>
      <c r="H921" s="67">
        <f>+O485</f>
        <v>39480</v>
      </c>
      <c r="I921" s="67">
        <f>+O535</f>
        <v>5600</v>
      </c>
      <c r="J921" s="67">
        <f>+O580</f>
        <v>5556</v>
      </c>
      <c r="K921" s="67">
        <f>+O644</f>
        <v>5191</v>
      </c>
      <c r="L921" s="67">
        <f>+O654</f>
        <v>4434</v>
      </c>
      <c r="M921" s="67">
        <f>+O690</f>
        <v>4411</v>
      </c>
      <c r="N921" s="67">
        <f>+O741</f>
        <v>3759</v>
      </c>
      <c r="O921" s="67">
        <f>+O751</f>
        <v>2142</v>
      </c>
      <c r="P921" s="67">
        <f>+O785</f>
        <v>3783.8</v>
      </c>
      <c r="Q921" s="67">
        <f>+O834</f>
        <v>2139</v>
      </c>
      <c r="R921" s="552"/>
      <c r="T921" s="619">
        <f>'Lake Pleasant Forecast'!B55</f>
        <v>1673.02</v>
      </c>
      <c r="AC921" s="551"/>
      <c r="AD921" s="67"/>
      <c r="AE921" s="67"/>
      <c r="AF921" s="67"/>
      <c r="AG921" s="67"/>
      <c r="AH921" s="67"/>
      <c r="AI921" s="67"/>
      <c r="AJ921" s="67"/>
      <c r="AK921" s="67"/>
      <c r="AL921" s="67"/>
      <c r="AM921" s="67"/>
      <c r="AN921" s="67"/>
      <c r="AO921" s="67"/>
      <c r="AP921" s="67"/>
      <c r="AQ921" s="67"/>
      <c r="AR921" s="67"/>
      <c r="AS921" s="67"/>
      <c r="AT921" s="552"/>
    </row>
    <row r="922" spans="1:50" ht="15.75" customHeight="1" thickBot="1" x14ac:dyDescent="0.35">
      <c r="A922" s="139" t="s">
        <v>1509</v>
      </c>
      <c r="B922" s="67">
        <f>+P29</f>
        <v>142444</v>
      </c>
      <c r="C922" s="67">
        <f>+P64</f>
        <v>142258</v>
      </c>
      <c r="D922" s="67">
        <f>+P133</f>
        <v>142079</v>
      </c>
      <c r="E922" s="67">
        <f>+P315</f>
        <v>139832</v>
      </c>
      <c r="F922" s="67">
        <f>+P310</f>
        <v>79076</v>
      </c>
      <c r="G922" s="67">
        <f>+P322</f>
        <v>0</v>
      </c>
      <c r="H922" s="67">
        <f>+P485</f>
        <v>29496</v>
      </c>
      <c r="I922" s="67">
        <f>+P535</f>
        <v>5609</v>
      </c>
      <c r="J922" s="67">
        <f>+P580</f>
        <v>5316</v>
      </c>
      <c r="K922" s="67">
        <f>+P644</f>
        <v>5274</v>
      </c>
      <c r="L922" s="67">
        <f>+P654</f>
        <v>5144</v>
      </c>
      <c r="M922" s="67">
        <f>+P690</f>
        <v>5125</v>
      </c>
      <c r="N922" s="67">
        <f>+P741</f>
        <v>4262</v>
      </c>
      <c r="O922" s="67">
        <f>+P751</f>
        <v>1908</v>
      </c>
      <c r="P922" s="67">
        <f>+P785</f>
        <v>3314.2</v>
      </c>
      <c r="Q922" s="67">
        <f>+P834</f>
        <v>1886</v>
      </c>
      <c r="R922" s="552"/>
      <c r="T922" s="619">
        <f>'Lake Pleasant Forecast'!B57</f>
        <v>1679.9390201045346</v>
      </c>
      <c r="AC922" s="554" t="s">
        <v>1480</v>
      </c>
      <c r="AD922" s="555"/>
      <c r="AE922" s="555"/>
      <c r="AF922" s="555"/>
      <c r="AG922" s="555"/>
      <c r="AH922" s="555"/>
      <c r="AI922" s="555"/>
      <c r="AJ922" s="555"/>
      <c r="AK922" s="555"/>
      <c r="AL922" s="555"/>
      <c r="AM922" s="555"/>
      <c r="AN922" s="555"/>
      <c r="AO922" s="555"/>
      <c r="AP922" s="555"/>
      <c r="AQ922" s="555"/>
      <c r="AR922" s="555"/>
      <c r="AS922" s="555"/>
      <c r="AT922" s="556"/>
    </row>
    <row r="923" spans="1:50" ht="15.75" customHeight="1" x14ac:dyDescent="0.3">
      <c r="A923" s="553"/>
      <c r="B923" s="67"/>
      <c r="C923" s="67"/>
      <c r="D923" s="67"/>
      <c r="E923" s="67"/>
      <c r="F923" s="67"/>
      <c r="G923" s="67"/>
      <c r="H923" s="67"/>
      <c r="I923" s="67"/>
      <c r="J923" s="67"/>
      <c r="K923" s="67"/>
      <c r="L923" s="67"/>
      <c r="M923" s="67"/>
      <c r="N923" s="67"/>
      <c r="O923" s="67"/>
      <c r="P923" s="67"/>
      <c r="Q923" s="67"/>
      <c r="R923" s="552"/>
    </row>
    <row r="924" spans="1:50" ht="15.75" customHeight="1" thickBot="1" x14ac:dyDescent="0.35">
      <c r="A924" s="553" t="s">
        <v>2356</v>
      </c>
      <c r="B924" s="67">
        <f t="shared" ref="B924:Q924" si="311">SUM(B911:B922)</f>
        <v>1535795</v>
      </c>
      <c r="C924" s="67">
        <f t="shared" si="311"/>
        <v>1532295</v>
      </c>
      <c r="D924" s="67">
        <f t="shared" si="311"/>
        <v>1528955</v>
      </c>
      <c r="E924" s="67">
        <f t="shared" si="311"/>
        <v>1479017</v>
      </c>
      <c r="F924" s="67">
        <f t="shared" si="311"/>
        <v>425398</v>
      </c>
      <c r="G924" s="67">
        <f t="shared" si="311"/>
        <v>-439883</v>
      </c>
      <c r="H924" s="67">
        <f t="shared" si="311"/>
        <v>1016373</v>
      </c>
      <c r="I924" s="67">
        <f t="shared" si="311"/>
        <v>360816</v>
      </c>
      <c r="J924" s="67">
        <f t="shared" si="311"/>
        <v>274393</v>
      </c>
      <c r="K924" s="67">
        <f t="shared" si="311"/>
        <v>238259</v>
      </c>
      <c r="L924" s="67">
        <f t="shared" si="311"/>
        <v>192190</v>
      </c>
      <c r="M924" s="67">
        <f t="shared" si="311"/>
        <v>191817</v>
      </c>
      <c r="N924" s="67">
        <f t="shared" si="311"/>
        <v>177198</v>
      </c>
      <c r="O924" s="67">
        <f t="shared" si="311"/>
        <v>42374</v>
      </c>
      <c r="P924" s="67">
        <f t="shared" si="311"/>
        <v>54016.666666666664</v>
      </c>
      <c r="Q924" s="67">
        <f t="shared" si="311"/>
        <v>42264</v>
      </c>
      <c r="R924" s="552"/>
    </row>
    <row r="925" spans="1:50" ht="15.75" customHeight="1" thickBot="1" x14ac:dyDescent="0.35">
      <c r="A925" s="581"/>
      <c r="B925" s="581"/>
      <c r="C925" s="581"/>
      <c r="D925" s="581"/>
      <c r="E925" s="581"/>
      <c r="F925" s="581"/>
      <c r="G925" s="581"/>
      <c r="H925" s="581"/>
      <c r="I925" s="581"/>
      <c r="J925" s="581"/>
      <c r="K925" s="581"/>
      <c r="L925" s="581"/>
      <c r="M925" s="581"/>
      <c r="N925" s="581"/>
      <c r="O925" s="581"/>
      <c r="P925" s="581"/>
      <c r="Q925" s="581"/>
      <c r="R925" s="556"/>
      <c r="AC925" s="546"/>
      <c r="AD925" s="547"/>
      <c r="AE925" s="547"/>
      <c r="AF925" s="547"/>
      <c r="AG925" s="547"/>
      <c r="AH925" s="547"/>
      <c r="AI925" s="547"/>
      <c r="AJ925" s="547"/>
      <c r="AK925" s="547"/>
      <c r="AL925" s="547"/>
      <c r="AM925" s="547"/>
      <c r="AN925" s="547"/>
      <c r="AO925" s="547"/>
      <c r="AP925" s="547"/>
      <c r="AQ925" s="547"/>
      <c r="AR925" s="547"/>
      <c r="AS925" s="678" t="str">
        <f>+Q1</f>
        <v xml:space="preserve">PRINTED:  </v>
      </c>
      <c r="AT925" s="682">
        <f ca="1">+R1</f>
        <v>44881.729634027775</v>
      </c>
      <c r="AU925" s="560"/>
      <c r="AW925" s="71" t="s">
        <v>253</v>
      </c>
      <c r="AX925" s="67"/>
    </row>
    <row r="926" spans="1:50" ht="15.75" customHeight="1" x14ac:dyDescent="0.35">
      <c r="A926" s="683"/>
      <c r="B926" s="683"/>
      <c r="C926" s="683"/>
      <c r="D926" s="683"/>
      <c r="E926" s="683"/>
      <c r="F926" s="683"/>
      <c r="G926" s="683"/>
      <c r="H926" s="683"/>
      <c r="I926" s="683"/>
      <c r="J926" s="683"/>
      <c r="K926" s="683"/>
      <c r="L926" s="683"/>
      <c r="M926" s="683"/>
      <c r="N926" s="683"/>
      <c r="O926" s="683"/>
      <c r="P926" s="683"/>
      <c r="Q926" s="683"/>
      <c r="R926" s="547"/>
      <c r="AC926" s="551"/>
      <c r="AD926" s="67"/>
      <c r="AE926" s="71" t="s">
        <v>2125</v>
      </c>
      <c r="AF926" s="67"/>
      <c r="AG926" s="67"/>
      <c r="AH926" s="67"/>
      <c r="AI926" s="67"/>
      <c r="AJ926" s="67"/>
      <c r="AK926" s="67"/>
      <c r="AL926" s="67"/>
      <c r="AM926" s="67"/>
      <c r="AN926" s="215"/>
      <c r="AO926" s="71" t="s">
        <v>1456</v>
      </c>
      <c r="AP926" s="67"/>
      <c r="AQ926" s="67"/>
      <c r="AR926" s="67"/>
      <c r="AS926" s="67"/>
      <c r="AT926" s="67"/>
      <c r="AU926" s="561"/>
      <c r="AW926" s="67" t="s">
        <v>254</v>
      </c>
      <c r="AX926" s="67"/>
    </row>
    <row r="927" spans="1:50" ht="16.5" customHeight="1" x14ac:dyDescent="0.3">
      <c r="A927" s="553" t="s">
        <v>852</v>
      </c>
      <c r="B927" s="67"/>
      <c r="C927" s="67"/>
      <c r="D927" s="67"/>
      <c r="E927" s="67"/>
      <c r="F927" s="67"/>
      <c r="G927" s="67"/>
      <c r="H927" s="67"/>
      <c r="I927" s="67"/>
      <c r="J927" s="67"/>
      <c r="K927" s="67"/>
      <c r="L927" s="67"/>
      <c r="M927" s="67"/>
      <c r="N927" s="67"/>
      <c r="O927" s="67"/>
      <c r="P927" s="67"/>
      <c r="Q927" s="67"/>
      <c r="R927" s="67"/>
      <c r="AC927" s="551"/>
      <c r="AD927" s="67"/>
      <c r="AE927" s="67"/>
      <c r="AF927" s="67"/>
      <c r="AG927" s="67" t="s">
        <v>852</v>
      </c>
      <c r="AH927" s="69" t="str">
        <f>+A8</f>
        <v>Revised:  3/2/2019</v>
      </c>
      <c r="AI927" s="67"/>
      <c r="AJ927" s="67"/>
      <c r="AK927" s="67"/>
      <c r="AL927" s="67"/>
      <c r="AM927" s="67"/>
      <c r="AN927" s="67"/>
      <c r="AO927" s="67"/>
      <c r="AP927" s="67"/>
      <c r="AQ927" s="67"/>
      <c r="AR927" s="67" t="s">
        <v>852</v>
      </c>
      <c r="AS927" s="69" t="str">
        <f>+A8</f>
        <v>Revised:  3/2/2019</v>
      </c>
      <c r="AT927" s="67"/>
      <c r="AU927" s="561"/>
      <c r="AW927" s="67"/>
      <c r="AX927" s="67"/>
    </row>
    <row r="928" spans="1:50" ht="15.75" customHeight="1" x14ac:dyDescent="0.3">
      <c r="A928" s="70"/>
      <c r="B928" s="67"/>
      <c r="C928" s="67"/>
      <c r="D928" s="67"/>
      <c r="E928" s="67"/>
      <c r="F928" s="67"/>
      <c r="G928" s="67"/>
      <c r="H928" s="67"/>
      <c r="I928" s="67"/>
      <c r="J928" s="67"/>
      <c r="K928" s="67"/>
      <c r="L928" s="67"/>
      <c r="M928" s="67"/>
      <c r="N928" s="67"/>
      <c r="O928" s="67"/>
      <c r="P928" s="67"/>
      <c r="Q928" s="67"/>
      <c r="R928" s="67"/>
      <c r="AC928" s="551"/>
      <c r="AD928" s="67"/>
      <c r="AE928" s="67"/>
      <c r="AF928" s="67" t="s">
        <v>2545</v>
      </c>
      <c r="AG928" s="67"/>
      <c r="AH928" s="67"/>
      <c r="AI928" s="67"/>
      <c r="AJ928" s="67"/>
      <c r="AK928" s="67"/>
      <c r="AL928" s="67"/>
      <c r="AM928" s="67"/>
      <c r="AN928" s="67"/>
      <c r="AO928" s="67"/>
      <c r="AP928" s="67" t="s">
        <v>2545</v>
      </c>
      <c r="AQ928" s="67"/>
      <c r="AR928" s="67"/>
      <c r="AS928" s="67"/>
      <c r="AT928" s="67"/>
      <c r="AU928" s="561"/>
      <c r="AW928" s="67" t="s">
        <v>2435</v>
      </c>
      <c r="AX928" s="70" t="s">
        <v>335</v>
      </c>
    </row>
    <row r="929" spans="1:50" ht="15.75" customHeight="1" x14ac:dyDescent="0.3">
      <c r="A929" s="139"/>
      <c r="AC929" s="551"/>
      <c r="AD929" s="67"/>
      <c r="AE929" s="67"/>
      <c r="AF929" s="67"/>
      <c r="AG929" s="67"/>
      <c r="AH929" s="67"/>
      <c r="AI929" s="67"/>
      <c r="AJ929" s="67"/>
      <c r="AK929" s="67"/>
      <c r="AL929" s="67"/>
      <c r="AM929" s="67"/>
      <c r="AN929" s="67"/>
      <c r="AO929" s="67"/>
      <c r="AP929" s="67"/>
      <c r="AQ929" s="67"/>
      <c r="AR929" s="67"/>
      <c r="AS929" s="67"/>
      <c r="AT929" s="67"/>
      <c r="AU929" s="561"/>
      <c r="AW929" s="70" t="s">
        <v>335</v>
      </c>
      <c r="AX929" s="70" t="s">
        <v>956</v>
      </c>
    </row>
    <row r="930" spans="1:50" ht="15.75" customHeight="1" thickBot="1" x14ac:dyDescent="0.35">
      <c r="A930" s="139"/>
      <c r="AC930" s="551"/>
      <c r="AD930" s="67"/>
      <c r="AE930" s="67"/>
      <c r="AF930" s="67"/>
      <c r="AG930" s="67">
        <f>+A5</f>
        <v>2018</v>
      </c>
      <c r="AH930" s="67"/>
      <c r="AI930" s="67"/>
      <c r="AJ930" s="67"/>
      <c r="AK930" s="67"/>
      <c r="AL930" s="67"/>
      <c r="AM930" s="67"/>
      <c r="AN930" s="67"/>
      <c r="AO930" s="67"/>
      <c r="AP930" s="67"/>
      <c r="AQ930" s="67"/>
      <c r="AR930" s="67">
        <f>+A5</f>
        <v>2018</v>
      </c>
      <c r="AS930" s="67"/>
      <c r="AT930" s="67"/>
      <c r="AU930" s="561"/>
      <c r="AW930" s="70" t="s">
        <v>998</v>
      </c>
      <c r="AX930" s="70" t="s">
        <v>2201</v>
      </c>
    </row>
    <row r="931" spans="1:50" ht="15.75" customHeight="1" x14ac:dyDescent="0.3">
      <c r="A931" s="651"/>
      <c r="B931" s="782" t="s">
        <v>1898</v>
      </c>
      <c r="C931" s="782"/>
      <c r="D931" s="782"/>
      <c r="E931" s="782"/>
      <c r="F931" s="782"/>
      <c r="G931" s="782"/>
      <c r="H931" s="782"/>
      <c r="I931" s="782"/>
      <c r="J931" s="782"/>
      <c r="K931" s="782"/>
      <c r="L931" s="782"/>
      <c r="M931" s="782"/>
      <c r="N931" s="782"/>
      <c r="O931" s="782"/>
      <c r="P931" s="782"/>
      <c r="Q931" s="678" t="str">
        <f>+Q1</f>
        <v xml:space="preserve">PRINTED:  </v>
      </c>
      <c r="R931" s="679">
        <f ca="1">+R1</f>
        <v>44881.729634027775</v>
      </c>
      <c r="AC931" s="551"/>
      <c r="AD931" s="67"/>
      <c r="AE931" s="67"/>
      <c r="AF931" s="67"/>
      <c r="AG931" s="67" t="s">
        <v>1199</v>
      </c>
      <c r="AH931" s="67"/>
      <c r="AI931" s="67"/>
      <c r="AJ931" s="67"/>
      <c r="AK931" s="67"/>
      <c r="AL931" s="67"/>
      <c r="AM931" s="67"/>
      <c r="AN931" s="67"/>
      <c r="AO931" s="67"/>
      <c r="AP931" s="67"/>
      <c r="AQ931" s="67"/>
      <c r="AR931" s="67" t="s">
        <v>1199</v>
      </c>
      <c r="AS931" s="67"/>
      <c r="AT931" s="67"/>
      <c r="AU931" s="561"/>
      <c r="AW931" s="70" t="s">
        <v>1353</v>
      </c>
      <c r="AX931" s="70" t="s">
        <v>1353</v>
      </c>
    </row>
    <row r="932" spans="1:50" ht="15.75" customHeight="1" x14ac:dyDescent="0.3">
      <c r="A932" s="553"/>
      <c r="B932" s="786" t="str">
        <f>+A8</f>
        <v>Revised:  3/2/2019</v>
      </c>
      <c r="C932" s="786"/>
      <c r="D932" s="786"/>
      <c r="E932" s="786"/>
      <c r="F932" s="786"/>
      <c r="G932" s="786"/>
      <c r="H932" s="786"/>
      <c r="I932" s="786"/>
      <c r="J932" s="786"/>
      <c r="K932" s="786"/>
      <c r="L932" s="786"/>
      <c r="M932" s="786"/>
      <c r="N932" s="786"/>
      <c r="O932" s="786"/>
      <c r="P932" s="786"/>
      <c r="Q932" s="67"/>
      <c r="R932" s="552"/>
      <c r="AC932" s="551"/>
      <c r="AD932" s="67"/>
      <c r="AE932" s="67"/>
      <c r="AF932" s="67"/>
      <c r="AG932" s="67"/>
      <c r="AH932" s="67"/>
      <c r="AI932" s="67"/>
      <c r="AJ932" s="67"/>
      <c r="AK932" s="67"/>
      <c r="AL932" s="67"/>
      <c r="AM932" s="67"/>
      <c r="AN932" s="67"/>
      <c r="AO932" s="67"/>
      <c r="AP932" s="67"/>
      <c r="AQ932" s="67"/>
      <c r="AR932" s="67"/>
      <c r="AS932" s="67"/>
      <c r="AT932" s="67"/>
      <c r="AU932" s="561"/>
      <c r="AW932" s="67">
        <f t="shared" ref="AW932:AW943" si="312">SUM(L968:Q968)</f>
        <v>9190</v>
      </c>
      <c r="AX932" s="72">
        <v>2.4700000000000002</v>
      </c>
    </row>
    <row r="933" spans="1:50" ht="15.75" customHeight="1" x14ac:dyDescent="0.3">
      <c r="A933" s="553"/>
      <c r="B933" s="786" t="s">
        <v>2878</v>
      </c>
      <c r="C933" s="786"/>
      <c r="D933" s="786"/>
      <c r="E933" s="786"/>
      <c r="F933" s="786"/>
      <c r="G933" s="786"/>
      <c r="H933" s="786"/>
      <c r="I933" s="786"/>
      <c r="J933" s="786"/>
      <c r="K933" s="786"/>
      <c r="L933" s="786"/>
      <c r="M933" s="786"/>
      <c r="N933" s="786"/>
      <c r="O933" s="786"/>
      <c r="P933" s="786"/>
      <c r="Q933" s="67"/>
      <c r="R933" s="552"/>
      <c r="AC933" s="551" t="s">
        <v>1307</v>
      </c>
      <c r="AD933" s="70" t="s">
        <v>1308</v>
      </c>
      <c r="AE933" s="70" t="s">
        <v>1309</v>
      </c>
      <c r="AF933" s="70" t="s">
        <v>1029</v>
      </c>
      <c r="AG933" s="70" t="s">
        <v>1030</v>
      </c>
      <c r="AH933" s="70" t="s">
        <v>284</v>
      </c>
      <c r="AI933" s="67"/>
      <c r="AJ933" s="70" t="s">
        <v>2356</v>
      </c>
      <c r="AK933" s="67"/>
      <c r="AL933" s="67"/>
      <c r="AM933" s="67"/>
      <c r="AN933" s="67" t="s">
        <v>1307</v>
      </c>
      <c r="AO933" s="70" t="s">
        <v>1308</v>
      </c>
      <c r="AP933" s="70" t="s">
        <v>1309</v>
      </c>
      <c r="AQ933" s="70" t="s">
        <v>1029</v>
      </c>
      <c r="AR933" s="70" t="s">
        <v>1030</v>
      </c>
      <c r="AS933" s="70" t="s">
        <v>284</v>
      </c>
      <c r="AT933" s="70" t="s">
        <v>2356</v>
      </c>
      <c r="AU933" s="561"/>
      <c r="AW933" s="67">
        <f t="shared" si="312"/>
        <v>11233</v>
      </c>
      <c r="AX933" s="72">
        <v>2.4700000000000002</v>
      </c>
    </row>
    <row r="934" spans="1:50" ht="15.75" customHeight="1" x14ac:dyDescent="0.3">
      <c r="A934" s="553"/>
      <c r="B934" s="786"/>
      <c r="C934" s="786"/>
      <c r="D934" s="786"/>
      <c r="E934" s="786"/>
      <c r="F934" s="786"/>
      <c r="G934" s="786"/>
      <c r="H934" s="786"/>
      <c r="I934" s="786"/>
      <c r="J934" s="786"/>
      <c r="K934" s="786"/>
      <c r="L934" s="786"/>
      <c r="M934" s="786"/>
      <c r="N934" s="786"/>
      <c r="O934" s="786"/>
      <c r="P934" s="786"/>
      <c r="Q934" s="67"/>
      <c r="R934" s="552"/>
      <c r="AC934" s="551" t="s">
        <v>526</v>
      </c>
      <c r="AD934" s="67"/>
      <c r="AE934" s="67"/>
      <c r="AF934" s="67"/>
      <c r="AG934" s="67"/>
      <c r="AH934" s="70" t="s">
        <v>1193</v>
      </c>
      <c r="AI934" s="67"/>
      <c r="AJ934" s="70" t="s">
        <v>252</v>
      </c>
      <c r="AK934" s="67"/>
      <c r="AL934" s="67"/>
      <c r="AM934" s="67"/>
      <c r="AN934" s="67" t="s">
        <v>526</v>
      </c>
      <c r="AO934" s="67"/>
      <c r="AP934" s="67"/>
      <c r="AQ934" s="67"/>
      <c r="AR934" s="67"/>
      <c r="AS934" s="70" t="s">
        <v>1193</v>
      </c>
      <c r="AT934" s="70" t="s">
        <v>252</v>
      </c>
      <c r="AU934" s="561"/>
      <c r="AW934" s="67">
        <f t="shared" si="312"/>
        <v>12070</v>
      </c>
      <c r="AX934" s="72">
        <v>2.4700000000000002</v>
      </c>
    </row>
    <row r="935" spans="1:50" ht="15.75" customHeight="1" x14ac:dyDescent="0.3">
      <c r="A935" s="553"/>
      <c r="B935" s="787">
        <f>+A5</f>
        <v>2018</v>
      </c>
      <c r="C935" s="787"/>
      <c r="D935" s="787"/>
      <c r="E935" s="787"/>
      <c r="F935" s="787"/>
      <c r="G935" s="787"/>
      <c r="H935" s="787"/>
      <c r="I935" s="787"/>
      <c r="J935" s="787"/>
      <c r="K935" s="787"/>
      <c r="L935" s="787"/>
      <c r="M935" s="787"/>
      <c r="N935" s="787"/>
      <c r="O935" s="787"/>
      <c r="P935" s="787"/>
      <c r="Q935" s="67"/>
      <c r="R935" s="552"/>
      <c r="AC935" s="551" t="s">
        <v>1195</v>
      </c>
      <c r="AD935" s="67">
        <f>+$B$966</f>
        <v>957</v>
      </c>
      <c r="AE935" s="67">
        <f>+C$966</f>
        <v>122</v>
      </c>
      <c r="AF935" s="67">
        <f>+D$966</f>
        <v>128</v>
      </c>
      <c r="AG935" s="67">
        <f>+E$966</f>
        <v>219</v>
      </c>
      <c r="AH935" s="67"/>
      <c r="AI935" s="67"/>
      <c r="AJ935" s="70" t="s">
        <v>335</v>
      </c>
      <c r="AK935" s="67"/>
      <c r="AL935" s="67"/>
      <c r="AM935" s="67"/>
      <c r="AN935" s="67" t="s">
        <v>1195</v>
      </c>
      <c r="AO935" s="67">
        <f>+$B$966</f>
        <v>957</v>
      </c>
      <c r="AP935" s="67">
        <f>+C$966</f>
        <v>122</v>
      </c>
      <c r="AQ935" s="67">
        <f>+D$966</f>
        <v>128</v>
      </c>
      <c r="AR935" s="67">
        <f>+E$966</f>
        <v>219</v>
      </c>
      <c r="AS935" s="67"/>
      <c r="AT935" s="70" t="s">
        <v>335</v>
      </c>
      <c r="AU935" s="561"/>
      <c r="AW935" s="67">
        <f t="shared" si="312"/>
        <v>14349</v>
      </c>
      <c r="AX935" s="72">
        <v>2.4700000000000002</v>
      </c>
    </row>
    <row r="936" spans="1:50" ht="15.75" customHeight="1" x14ac:dyDescent="0.3">
      <c r="A936" s="553"/>
      <c r="B936" s="786" t="s">
        <v>2879</v>
      </c>
      <c r="C936" s="786"/>
      <c r="D936" s="786"/>
      <c r="E936" s="786"/>
      <c r="F936" s="786"/>
      <c r="G936" s="786"/>
      <c r="H936" s="786"/>
      <c r="I936" s="786"/>
      <c r="J936" s="786"/>
      <c r="K936" s="786"/>
      <c r="L936" s="786"/>
      <c r="M936" s="786"/>
      <c r="N936" s="786"/>
      <c r="O936" s="786"/>
      <c r="P936" s="786"/>
      <c r="Q936" s="67"/>
      <c r="R936" s="552"/>
      <c r="AC936" s="551"/>
      <c r="AD936" s="67" t="s">
        <v>1353</v>
      </c>
      <c r="AE936" s="67" t="s">
        <v>1353</v>
      </c>
      <c r="AF936" s="67" t="s">
        <v>1353</v>
      </c>
      <c r="AG936" s="67" t="s">
        <v>1353</v>
      </c>
      <c r="AH936" s="67" t="s">
        <v>1353</v>
      </c>
      <c r="AI936" s="67"/>
      <c r="AJ936" s="67" t="s">
        <v>251</v>
      </c>
      <c r="AK936" s="67"/>
      <c r="AL936" s="67"/>
      <c r="AM936" s="67"/>
      <c r="AN936" s="67"/>
      <c r="AO936" s="67" t="s">
        <v>1353</v>
      </c>
      <c r="AP936" s="67" t="s">
        <v>1353</v>
      </c>
      <c r="AQ936" s="67" t="s">
        <v>1353</v>
      </c>
      <c r="AR936" s="67" t="s">
        <v>1353</v>
      </c>
      <c r="AS936" s="67" t="s">
        <v>1353</v>
      </c>
      <c r="AT936" s="67" t="s">
        <v>251</v>
      </c>
      <c r="AU936" s="561"/>
      <c r="AW936" s="67">
        <f t="shared" si="312"/>
        <v>15281</v>
      </c>
      <c r="AX936" s="72">
        <v>2.4700000000000002</v>
      </c>
    </row>
    <row r="937" spans="1:50" ht="15.75" customHeight="1" x14ac:dyDescent="0.3">
      <c r="A937" s="553"/>
      <c r="B937" s="67"/>
      <c r="C937" s="67"/>
      <c r="D937" s="67"/>
      <c r="E937" s="67"/>
      <c r="F937" s="67"/>
      <c r="G937" s="67"/>
      <c r="H937" s="67"/>
      <c r="I937" s="67"/>
      <c r="J937" s="67"/>
      <c r="K937" s="67"/>
      <c r="L937" s="67"/>
      <c r="M937" s="67"/>
      <c r="N937" s="67"/>
      <c r="O937" s="67"/>
      <c r="P937" s="67"/>
      <c r="Q937" s="67"/>
      <c r="R937" s="552"/>
      <c r="AC937" s="553" t="s">
        <v>1354</v>
      </c>
      <c r="AD937" s="67">
        <f t="shared" ref="AD937:AD948" si="313">ROUND($F911*$AD$935/1000,0)</f>
        <v>40237</v>
      </c>
      <c r="AE937" s="67">
        <f t="shared" ref="AE937:AE948" si="314">ROUND($F911*$AE$935/1000,0)</f>
        <v>5129</v>
      </c>
      <c r="AF937" s="67">
        <f t="shared" ref="AF937:AF948" si="315">ROUND($F911*$AF$935/1000,0)</f>
        <v>5382</v>
      </c>
      <c r="AG937" s="67">
        <f t="shared" ref="AG937:AG948" si="316">ROUND($F911*$AG$935/1000,0)</f>
        <v>9208</v>
      </c>
      <c r="AH937" s="67">
        <f t="shared" ref="AH937:AH948" si="317">(F911*((T911-1526.8)/0.7702))/1000</f>
        <v>9023.6802129317039</v>
      </c>
      <c r="AI937" s="67"/>
      <c r="AJ937" s="67">
        <f t="shared" ref="AJ937:AJ948" si="318">SUM(AD937:AH937)</f>
        <v>68979.680212931708</v>
      </c>
      <c r="AK937" s="67"/>
      <c r="AL937" s="67"/>
      <c r="AM937" s="67"/>
      <c r="AN937" s="70" t="s">
        <v>1354</v>
      </c>
      <c r="AO937" s="67">
        <f t="shared" ref="AO937:AO948" si="319">ROUND((B911-$F911)*$AO$935/1000,0)</f>
        <v>45618</v>
      </c>
      <c r="AP937" s="67">
        <f t="shared" ref="AP937:AP948" si="320">ROUND((C911-$F911)*$AP$935/1000,0)</f>
        <v>5804</v>
      </c>
      <c r="AQ937" s="67">
        <f t="shared" ref="AQ937:AQ948" si="321">ROUND((D911-$F911)*$AQ$935/1000,0)</f>
        <v>6077</v>
      </c>
      <c r="AR937" s="67">
        <f t="shared" ref="AR937:AR948" si="322">ROUND((E911-$F911)*$AR$935/1000,0)</f>
        <v>10210</v>
      </c>
      <c r="AS937" s="67">
        <f>((F911-$F911)*(('Lake Pleasant Forecast'!B35-1526.8)/0.7702))/1000</f>
        <v>0</v>
      </c>
      <c r="AT937" s="67">
        <f t="shared" ref="AT937:AT948" si="323">SUM(AN937:AR937)</f>
        <v>67709</v>
      </c>
      <c r="AU937" s="561"/>
      <c r="AW937" s="67">
        <f t="shared" si="312"/>
        <v>13224</v>
      </c>
      <c r="AX937" s="72">
        <v>2.4700000000000002</v>
      </c>
    </row>
    <row r="938" spans="1:50" ht="15.75" customHeight="1" thickBot="1" x14ac:dyDescent="0.35">
      <c r="A938" s="553" t="s">
        <v>845</v>
      </c>
      <c r="B938" s="634" t="s">
        <v>1308</v>
      </c>
      <c r="C938" s="634" t="s">
        <v>1309</v>
      </c>
      <c r="D938" s="634" t="s">
        <v>1029</v>
      </c>
      <c r="E938" s="634" t="s">
        <v>1030</v>
      </c>
      <c r="F938" s="634" t="s">
        <v>284</v>
      </c>
      <c r="G938" s="634" t="s">
        <v>284</v>
      </c>
      <c r="H938" s="634" t="s">
        <v>285</v>
      </c>
      <c r="I938" s="634" t="s">
        <v>286</v>
      </c>
      <c r="J938" s="634" t="s">
        <v>287</v>
      </c>
      <c r="K938" s="634" t="s">
        <v>288</v>
      </c>
      <c r="L938" s="634" t="s">
        <v>289</v>
      </c>
      <c r="M938" s="634" t="s">
        <v>633</v>
      </c>
      <c r="N938" s="634" t="s">
        <v>634</v>
      </c>
      <c r="O938" s="634" t="s">
        <v>1192</v>
      </c>
      <c r="P938" s="634" t="s">
        <v>524</v>
      </c>
      <c r="Q938" s="634" t="s">
        <v>525</v>
      </c>
      <c r="R938" s="552"/>
      <c r="AC938" s="553" t="s">
        <v>706</v>
      </c>
      <c r="AD938" s="67">
        <f t="shared" si="313"/>
        <v>48827</v>
      </c>
      <c r="AE938" s="67">
        <f t="shared" si="314"/>
        <v>6225</v>
      </c>
      <c r="AF938" s="67">
        <f t="shared" si="315"/>
        <v>6531</v>
      </c>
      <c r="AG938" s="67">
        <f t="shared" si="316"/>
        <v>11174</v>
      </c>
      <c r="AH938" s="67">
        <f t="shared" si="317"/>
        <v>10985.87722669436</v>
      </c>
      <c r="AI938" s="67"/>
      <c r="AJ938" s="67">
        <f t="shared" si="318"/>
        <v>83742.877226694356</v>
      </c>
      <c r="AK938" s="67"/>
      <c r="AL938" s="67"/>
      <c r="AM938" s="67"/>
      <c r="AN938" s="70" t="s">
        <v>706</v>
      </c>
      <c r="AO938" s="67">
        <f t="shared" si="319"/>
        <v>53710</v>
      </c>
      <c r="AP938" s="67">
        <f t="shared" si="320"/>
        <v>6829</v>
      </c>
      <c r="AQ938" s="67">
        <f t="shared" si="321"/>
        <v>7146</v>
      </c>
      <c r="AR938" s="67">
        <f t="shared" si="322"/>
        <v>11948</v>
      </c>
      <c r="AS938" s="67">
        <f>((F912-$F912)*(('Lake Pleasant Forecast'!B37-1526.8)/0.7702))/1000</f>
        <v>0</v>
      </c>
      <c r="AT938" s="67">
        <f t="shared" si="323"/>
        <v>79633</v>
      </c>
      <c r="AU938" s="561"/>
      <c r="AW938" s="67">
        <f t="shared" si="312"/>
        <v>12152</v>
      </c>
      <c r="AX938" s="72">
        <v>2.4700000000000002</v>
      </c>
    </row>
    <row r="939" spans="1:50" ht="15.75" customHeight="1" x14ac:dyDescent="0.3">
      <c r="A939" s="553"/>
      <c r="B939" s="67"/>
      <c r="C939" s="67"/>
      <c r="D939" s="67"/>
      <c r="E939" s="67"/>
      <c r="F939" s="70" t="s">
        <v>1193</v>
      </c>
      <c r="G939" s="70" t="s">
        <v>1194</v>
      </c>
      <c r="H939" s="67"/>
      <c r="I939" s="67"/>
      <c r="J939" s="67"/>
      <c r="K939" s="67"/>
      <c r="L939" s="67"/>
      <c r="M939" s="67"/>
      <c r="N939" s="67"/>
      <c r="O939" s="67"/>
      <c r="P939" s="67"/>
      <c r="Q939" s="67"/>
      <c r="R939" s="552"/>
      <c r="AC939" s="553" t="s">
        <v>707</v>
      </c>
      <c r="AD939" s="67">
        <f t="shared" si="313"/>
        <v>44065</v>
      </c>
      <c r="AE939" s="67">
        <f t="shared" si="314"/>
        <v>5617</v>
      </c>
      <c r="AF939" s="67">
        <f t="shared" si="315"/>
        <v>5894</v>
      </c>
      <c r="AG939" s="67">
        <f t="shared" si="316"/>
        <v>10084</v>
      </c>
      <c r="AH939" s="67">
        <f t="shared" si="317"/>
        <v>10247.433888665535</v>
      </c>
      <c r="AI939" s="67"/>
      <c r="AJ939" s="67">
        <f t="shared" si="318"/>
        <v>75907.433888665531</v>
      </c>
      <c r="AK939" s="67"/>
      <c r="AL939" s="67"/>
      <c r="AM939" s="67"/>
      <c r="AN939" s="70" t="s">
        <v>707</v>
      </c>
      <c r="AO939" s="67">
        <f t="shared" si="319"/>
        <v>87613</v>
      </c>
      <c r="AP939" s="67">
        <f t="shared" si="320"/>
        <v>11136</v>
      </c>
      <c r="AQ939" s="67">
        <f t="shared" si="321"/>
        <v>11650</v>
      </c>
      <c r="AR939" s="67">
        <f t="shared" si="322"/>
        <v>19218</v>
      </c>
      <c r="AS939" s="67">
        <f>((F913-$F913)*(('Lake Pleasant Forecast'!B39-1526.8)/0.7702))/1000</f>
        <v>0</v>
      </c>
      <c r="AT939" s="67">
        <f t="shared" si="323"/>
        <v>129617</v>
      </c>
      <c r="AU939" s="561"/>
      <c r="AW939" s="67">
        <f t="shared" si="312"/>
        <v>14774</v>
      </c>
      <c r="AX939" s="72">
        <v>2.4700000000000002</v>
      </c>
    </row>
    <row r="940" spans="1:50" ht="15.75" customHeight="1" x14ac:dyDescent="0.3">
      <c r="A940" s="139" t="s">
        <v>2843</v>
      </c>
      <c r="B940" s="67">
        <f t="shared" ref="B940:Q940" si="324">(B911/$B$10/1.983)</f>
        <v>1459.388674702715</v>
      </c>
      <c r="C940" s="67">
        <f t="shared" si="324"/>
        <v>1457.8107461812504</v>
      </c>
      <c r="D940" s="67">
        <f t="shared" si="324"/>
        <v>1456.2490849641304</v>
      </c>
      <c r="E940" s="67">
        <f t="shared" si="324"/>
        <v>1442.3730743578481</v>
      </c>
      <c r="F940" s="67">
        <f t="shared" si="324"/>
        <v>683.95881118539842</v>
      </c>
      <c r="G940" s="67">
        <f t="shared" si="324"/>
        <v>-76.797943812730779</v>
      </c>
      <c r="H940" s="67">
        <f t="shared" si="324"/>
        <v>449.53068826964682</v>
      </c>
      <c r="I940" s="67">
        <f t="shared" si="324"/>
        <v>223.15488100466871</v>
      </c>
      <c r="J940" s="67">
        <f t="shared" si="324"/>
        <v>222.43911961348886</v>
      </c>
      <c r="K940" s="67">
        <f t="shared" si="324"/>
        <v>221.64202170058397</v>
      </c>
      <c r="L940" s="67">
        <f t="shared" si="324"/>
        <v>195.15885022692888</v>
      </c>
      <c r="M940" s="67">
        <f t="shared" si="324"/>
        <v>194.83350414002896</v>
      </c>
      <c r="N940" s="67">
        <f t="shared" si="324"/>
        <v>190.1810550973598</v>
      </c>
      <c r="O940" s="67">
        <f t="shared" si="324"/>
        <v>60.465570250353814</v>
      </c>
      <c r="P940" s="67">
        <f t="shared" si="324"/>
        <v>61.051193206773704</v>
      </c>
      <c r="Q940" s="67">
        <f t="shared" si="324"/>
        <v>60.433035641663821</v>
      </c>
      <c r="R940" s="552"/>
      <c r="AC940" s="553" t="s">
        <v>1321</v>
      </c>
      <c r="AD940" s="67">
        <f t="shared" si="313"/>
        <v>9837</v>
      </c>
      <c r="AE940" s="67">
        <f t="shared" si="314"/>
        <v>1254</v>
      </c>
      <c r="AF940" s="67">
        <f t="shared" si="315"/>
        <v>1316</v>
      </c>
      <c r="AG940" s="67">
        <f t="shared" si="316"/>
        <v>2251</v>
      </c>
      <c r="AH940" s="67">
        <f t="shared" si="317"/>
        <v>2288.9525967281256</v>
      </c>
      <c r="AI940" s="67"/>
      <c r="AJ940" s="67">
        <f t="shared" si="318"/>
        <v>16946.952596728126</v>
      </c>
      <c r="AK940" s="67"/>
      <c r="AL940" s="67"/>
      <c r="AM940" s="67"/>
      <c r="AN940" s="70" t="s">
        <v>1321</v>
      </c>
      <c r="AO940" s="67">
        <f t="shared" si="319"/>
        <v>151564</v>
      </c>
      <c r="AP940" s="67">
        <f t="shared" si="320"/>
        <v>19277</v>
      </c>
      <c r="AQ940" s="67">
        <f t="shared" si="321"/>
        <v>20180</v>
      </c>
      <c r="AR940" s="67">
        <f t="shared" si="322"/>
        <v>33285</v>
      </c>
      <c r="AS940" s="67">
        <f>((F914-$F914)*(('Lake Pleasant Forecast'!B41-1526.8)/0.7702))/1000</f>
        <v>0</v>
      </c>
      <c r="AT940" s="67">
        <f t="shared" si="323"/>
        <v>224306</v>
      </c>
      <c r="AU940" s="561"/>
      <c r="AW940" s="67">
        <f t="shared" si="312"/>
        <v>12808</v>
      </c>
      <c r="AX940" s="72">
        <v>2.4700000000000002</v>
      </c>
    </row>
    <row r="941" spans="1:50" ht="15.75" customHeight="1" x14ac:dyDescent="0.3">
      <c r="A941" s="139" t="s">
        <v>2091</v>
      </c>
      <c r="B941" s="67">
        <f t="shared" ref="B941:Q941" si="325">(B912/$C$10/1.983)</f>
        <v>1929.6880628196814</v>
      </c>
      <c r="C941" s="67">
        <f t="shared" si="325"/>
        <v>1927.0225488077226</v>
      </c>
      <c r="D941" s="67">
        <f t="shared" si="325"/>
        <v>1924.4110654851954</v>
      </c>
      <c r="E941" s="67">
        <f t="shared" si="325"/>
        <v>1901.5200633960089</v>
      </c>
      <c r="F941" s="67">
        <f t="shared" si="325"/>
        <v>918.89993516317259</v>
      </c>
      <c r="G941" s="67">
        <f t="shared" si="325"/>
        <v>-261.32843455082485</v>
      </c>
      <c r="H941" s="67">
        <f t="shared" si="325"/>
        <v>762.24695627116193</v>
      </c>
      <c r="I941" s="67">
        <f t="shared" si="325"/>
        <v>398.80051869461852</v>
      </c>
      <c r="J941" s="67">
        <f t="shared" si="325"/>
        <v>396.63929111735467</v>
      </c>
      <c r="K941" s="67">
        <f t="shared" si="325"/>
        <v>383.99610979036089</v>
      </c>
      <c r="L941" s="67">
        <f t="shared" si="325"/>
        <v>301.36517541963838</v>
      </c>
      <c r="M941" s="67">
        <f t="shared" si="325"/>
        <v>300.96895036380664</v>
      </c>
      <c r="N941" s="67">
        <f t="shared" si="325"/>
        <v>285.01188675167492</v>
      </c>
      <c r="O941" s="67">
        <f t="shared" si="325"/>
        <v>73.319645558677323</v>
      </c>
      <c r="P941" s="67">
        <f t="shared" si="325"/>
        <v>54.444924717239388</v>
      </c>
      <c r="Q941" s="67">
        <f t="shared" si="325"/>
        <v>73.265614869245724</v>
      </c>
      <c r="R941" s="552"/>
      <c r="AC941" s="553" t="s">
        <v>1905</v>
      </c>
      <c r="AD941" s="67">
        <f t="shared" si="313"/>
        <v>3884</v>
      </c>
      <c r="AE941" s="67">
        <f t="shared" si="314"/>
        <v>495</v>
      </c>
      <c r="AF941" s="67">
        <f t="shared" si="315"/>
        <v>520</v>
      </c>
      <c r="AG941" s="67">
        <f t="shared" si="316"/>
        <v>889</v>
      </c>
      <c r="AH941" s="67">
        <f t="shared" si="317"/>
        <v>893.59132692807043</v>
      </c>
      <c r="AI941" s="67"/>
      <c r="AJ941" s="67">
        <f t="shared" si="318"/>
        <v>6681.59132692807</v>
      </c>
      <c r="AK941" s="67"/>
      <c r="AL941" s="67"/>
      <c r="AM941" s="67"/>
      <c r="AN941" s="70" t="s">
        <v>1905</v>
      </c>
      <c r="AO941" s="67">
        <f t="shared" si="319"/>
        <v>167809</v>
      </c>
      <c r="AP941" s="67">
        <f t="shared" si="320"/>
        <v>21341</v>
      </c>
      <c r="AQ941" s="67">
        <f t="shared" si="321"/>
        <v>22339</v>
      </c>
      <c r="AR941" s="67">
        <f t="shared" si="322"/>
        <v>36786</v>
      </c>
      <c r="AS941" s="67">
        <f>((F915-$F915)*(('Lake Pleasant Forecast'!B43-1526.8)/0.7702))/1000</f>
        <v>0</v>
      </c>
      <c r="AT941" s="67">
        <f t="shared" si="323"/>
        <v>248275</v>
      </c>
      <c r="AU941" s="561"/>
      <c r="AW941" s="67">
        <f t="shared" si="312"/>
        <v>7423</v>
      </c>
      <c r="AX941" s="72">
        <v>2.4700000000000002</v>
      </c>
    </row>
    <row r="942" spans="1:50" ht="15.75" customHeight="1" x14ac:dyDescent="0.3">
      <c r="A942" s="139" t="s">
        <v>2234</v>
      </c>
      <c r="B942" s="67">
        <f t="shared" ref="B942:Q942" si="326">(B913/$D$10/1.983)</f>
        <v>2238.2997413498611</v>
      </c>
      <c r="C942" s="67">
        <f t="shared" si="326"/>
        <v>2233.8424999593317</v>
      </c>
      <c r="D942" s="67">
        <f t="shared" si="326"/>
        <v>2229.5967335252872</v>
      </c>
      <c r="E942" s="67">
        <f t="shared" si="326"/>
        <v>2176.565321360597</v>
      </c>
      <c r="F942" s="67">
        <f t="shared" si="326"/>
        <v>749.02802856538631</v>
      </c>
      <c r="G942" s="67">
        <f t="shared" si="326"/>
        <v>-308.83477298976783</v>
      </c>
      <c r="H942" s="67">
        <f t="shared" si="326"/>
        <v>1315.1302197712816</v>
      </c>
      <c r="I942" s="67">
        <f t="shared" si="326"/>
        <v>550.29037138255819</v>
      </c>
      <c r="J942" s="67">
        <f t="shared" si="326"/>
        <v>467.97781139687339</v>
      </c>
      <c r="K942" s="67">
        <f t="shared" si="326"/>
        <v>434.56476827224958</v>
      </c>
      <c r="L942" s="67">
        <f t="shared" si="326"/>
        <v>322.25529907439034</v>
      </c>
      <c r="M942" s="67">
        <f t="shared" si="326"/>
        <v>321.79981455273042</v>
      </c>
      <c r="N942" s="67">
        <f t="shared" si="326"/>
        <v>306.26453890325837</v>
      </c>
      <c r="O942" s="67">
        <f t="shared" si="326"/>
        <v>45.174304166056636</v>
      </c>
      <c r="P942" s="67">
        <f t="shared" si="326"/>
        <v>61.490410424088623</v>
      </c>
      <c r="Q942" s="67">
        <f t="shared" si="326"/>
        <v>44.653750427016739</v>
      </c>
      <c r="R942" s="552"/>
      <c r="AC942" s="553" t="s">
        <v>1906</v>
      </c>
      <c r="AD942" s="67">
        <f t="shared" si="313"/>
        <v>0</v>
      </c>
      <c r="AE942" s="67">
        <f t="shared" si="314"/>
        <v>0</v>
      </c>
      <c r="AF942" s="67">
        <f t="shared" si="315"/>
        <v>0</v>
      </c>
      <c r="AG942" s="67">
        <f t="shared" si="316"/>
        <v>0</v>
      </c>
      <c r="AH942" s="67">
        <f t="shared" si="317"/>
        <v>0</v>
      </c>
      <c r="AI942" s="67"/>
      <c r="AJ942" s="67">
        <f t="shared" si="318"/>
        <v>0</v>
      </c>
      <c r="AK942" s="67"/>
      <c r="AL942" s="67"/>
      <c r="AM942" s="67"/>
      <c r="AN942" s="70" t="s">
        <v>1906</v>
      </c>
      <c r="AO942" s="67">
        <f t="shared" si="319"/>
        <v>88116</v>
      </c>
      <c r="AP942" s="67">
        <f t="shared" si="320"/>
        <v>11182</v>
      </c>
      <c r="AQ942" s="67">
        <f t="shared" si="321"/>
        <v>11682</v>
      </c>
      <c r="AR942" s="67">
        <f t="shared" si="322"/>
        <v>18470</v>
      </c>
      <c r="AS942" s="67">
        <f>((F916-$F916)*(('Lake Pleasant Forecast'!B45-1526.8)/0.7702))/1000</f>
        <v>0</v>
      </c>
      <c r="AT942" s="67">
        <f t="shared" si="323"/>
        <v>129450</v>
      </c>
      <c r="AU942" s="561"/>
      <c r="AW942" s="67">
        <f t="shared" si="312"/>
        <v>4559</v>
      </c>
      <c r="AX942" s="72">
        <v>2.4700000000000002</v>
      </c>
    </row>
    <row r="943" spans="1:50" ht="15.75" customHeight="1" x14ac:dyDescent="0.3">
      <c r="A943" s="139" t="s">
        <v>2235</v>
      </c>
      <c r="B943" s="67">
        <f t="shared" ref="B943:Q943" si="327">(B914/$F$10/1.983)</f>
        <v>2834.980669020003</v>
      </c>
      <c r="C943" s="67">
        <f t="shared" si="327"/>
        <v>2828.8115649689025</v>
      </c>
      <c r="D943" s="67">
        <f t="shared" si="327"/>
        <v>2822.9282232307951</v>
      </c>
      <c r="E943" s="67">
        <f t="shared" si="327"/>
        <v>2727.6348966212804</v>
      </c>
      <c r="F943" s="67">
        <f t="shared" si="327"/>
        <v>172.7853420742982</v>
      </c>
      <c r="G943" s="67">
        <f t="shared" si="327"/>
        <v>-111.24558749369641</v>
      </c>
      <c r="H943" s="67">
        <f t="shared" si="327"/>
        <v>1966.3809043536728</v>
      </c>
      <c r="I943" s="67">
        <f t="shared" si="327"/>
        <v>775.1554883173643</v>
      </c>
      <c r="J943" s="67">
        <f t="shared" si="327"/>
        <v>586.23298033282902</v>
      </c>
      <c r="K943" s="67">
        <f t="shared" si="327"/>
        <v>488.51907883677927</v>
      </c>
      <c r="L943" s="67">
        <f t="shared" si="327"/>
        <v>382.31635569003191</v>
      </c>
      <c r="M943" s="67">
        <f t="shared" si="327"/>
        <v>381.69440242057487</v>
      </c>
      <c r="N943" s="67">
        <f t="shared" si="327"/>
        <v>357.62312993780466</v>
      </c>
      <c r="O943" s="67">
        <f t="shared" si="327"/>
        <v>66.397713901496047</v>
      </c>
      <c r="P943" s="67">
        <f t="shared" si="327"/>
        <v>76.75239536056479</v>
      </c>
      <c r="Q943" s="67">
        <f t="shared" si="327"/>
        <v>66.2800470667339</v>
      </c>
      <c r="R943" s="552"/>
      <c r="AC943" s="553" t="s">
        <v>1907</v>
      </c>
      <c r="AD943" s="67">
        <f t="shared" si="313"/>
        <v>0</v>
      </c>
      <c r="AE943" s="67">
        <f t="shared" si="314"/>
        <v>0</v>
      </c>
      <c r="AF943" s="67">
        <f t="shared" si="315"/>
        <v>0</v>
      </c>
      <c r="AG943" s="67">
        <f t="shared" si="316"/>
        <v>0</v>
      </c>
      <c r="AH943" s="67">
        <f t="shared" si="317"/>
        <v>0</v>
      </c>
      <c r="AI943" s="67"/>
      <c r="AJ943" s="67">
        <f t="shared" si="318"/>
        <v>0</v>
      </c>
      <c r="AK943" s="67"/>
      <c r="AL943" s="67"/>
      <c r="AM943" s="67"/>
      <c r="AN943" s="70" t="s">
        <v>1907</v>
      </c>
      <c r="AO943" s="67">
        <f t="shared" si="319"/>
        <v>75321</v>
      </c>
      <c r="AP943" s="67">
        <f t="shared" si="320"/>
        <v>9551</v>
      </c>
      <c r="AQ943" s="67">
        <f t="shared" si="321"/>
        <v>9971</v>
      </c>
      <c r="AR943" s="67">
        <f t="shared" si="322"/>
        <v>15547</v>
      </c>
      <c r="AS943" s="67">
        <f>((F917-$F917)*(('Lake Pleasant Forecast'!B47-1526.8)/0.7702))/1000</f>
        <v>0</v>
      </c>
      <c r="AT943" s="67">
        <f t="shared" si="323"/>
        <v>110390</v>
      </c>
      <c r="AU943" s="561"/>
      <c r="AW943" s="67">
        <f t="shared" si="312"/>
        <v>4524</v>
      </c>
      <c r="AX943" s="72">
        <v>2.4700000000000002</v>
      </c>
    </row>
    <row r="944" spans="1:50" ht="15.75" customHeight="1" x14ac:dyDescent="0.3">
      <c r="A944" s="139" t="s">
        <v>2236</v>
      </c>
      <c r="B944" s="67">
        <f t="shared" ref="B944:Q944" si="328">(B915/$G$10/1.983)</f>
        <v>2918.4845379272197</v>
      </c>
      <c r="C944" s="67">
        <f t="shared" si="328"/>
        <v>2911.5709335805964</v>
      </c>
      <c r="D944" s="67">
        <f t="shared" si="328"/>
        <v>2905.0314772339075</v>
      </c>
      <c r="E944" s="67">
        <f t="shared" si="328"/>
        <v>2798.4643664698319</v>
      </c>
      <c r="F944" s="67">
        <f t="shared" si="328"/>
        <v>66.028988336342778</v>
      </c>
      <c r="G944" s="67">
        <f>(G915/$G$10/1.983)</f>
        <v>-79.433247116620308</v>
      </c>
      <c r="H944" s="67">
        <f t="shared" si="328"/>
        <v>2112.3745384152394</v>
      </c>
      <c r="I944" s="67">
        <f t="shared" si="328"/>
        <v>681.86032892489391</v>
      </c>
      <c r="J944" s="67">
        <f t="shared" si="328"/>
        <v>524.31148634359795</v>
      </c>
      <c r="K944" s="67">
        <f t="shared" si="328"/>
        <v>434.40209522879957</v>
      </c>
      <c r="L944" s="67">
        <f t="shared" si="328"/>
        <v>370.50412376165144</v>
      </c>
      <c r="M944" s="67">
        <f t="shared" si="328"/>
        <v>369.8208969791616</v>
      </c>
      <c r="N944" s="67">
        <f t="shared" si="328"/>
        <v>344.85058480959123</v>
      </c>
      <c r="O944" s="67">
        <f t="shared" si="328"/>
        <v>76.944349551835771</v>
      </c>
      <c r="P944" s="67">
        <f t="shared" si="328"/>
        <v>95.505343809477324</v>
      </c>
      <c r="Q944" s="67">
        <f t="shared" si="328"/>
        <v>76.814211117075786</v>
      </c>
      <c r="R944" s="552"/>
      <c r="AC944" s="553" t="s">
        <v>1908</v>
      </c>
      <c r="AD944" s="67">
        <f t="shared" si="313"/>
        <v>0</v>
      </c>
      <c r="AE944" s="67">
        <f t="shared" si="314"/>
        <v>0</v>
      </c>
      <c r="AF944" s="67">
        <f t="shared" si="315"/>
        <v>0</v>
      </c>
      <c r="AG944" s="67">
        <f t="shared" si="316"/>
        <v>0</v>
      </c>
      <c r="AH944" s="67">
        <f t="shared" si="317"/>
        <v>0</v>
      </c>
      <c r="AI944" s="67"/>
      <c r="AJ944" s="67">
        <f t="shared" si="318"/>
        <v>0</v>
      </c>
      <c r="AK944" s="67"/>
      <c r="AL944" s="67"/>
      <c r="AM944" s="67"/>
      <c r="AN944" s="70" t="s">
        <v>1908</v>
      </c>
      <c r="AO944" s="67">
        <f t="shared" si="319"/>
        <v>27141</v>
      </c>
      <c r="AP944" s="67">
        <f t="shared" si="320"/>
        <v>3419</v>
      </c>
      <c r="AQ944" s="67">
        <f t="shared" si="321"/>
        <v>3547</v>
      </c>
      <c r="AR944" s="67">
        <f t="shared" si="322"/>
        <v>4491</v>
      </c>
      <c r="AS944" s="67">
        <f>((F918-$F918)*(('Lake Pleasant Forecast'!B49-1526.8)/0.7702))/1000</f>
        <v>0</v>
      </c>
      <c r="AT944" s="67">
        <f t="shared" si="323"/>
        <v>38598</v>
      </c>
      <c r="AU944" s="561"/>
      <c r="AW944" s="67"/>
      <c r="AX944" s="72"/>
    </row>
    <row r="945" spans="1:50" ht="15.75" customHeight="1" x14ac:dyDescent="0.3">
      <c r="A945" s="139" t="s">
        <v>2237</v>
      </c>
      <c r="B945" s="67">
        <f t="shared" ref="B945:Q945" si="329">(B916/$H$10/1.983)</f>
        <v>1547.7391158177843</v>
      </c>
      <c r="C945" s="67">
        <f t="shared" si="329"/>
        <v>1540.7295343755254</v>
      </c>
      <c r="D945" s="67">
        <f t="shared" si="329"/>
        <v>1534.0729534375523</v>
      </c>
      <c r="E945" s="67">
        <f t="shared" si="329"/>
        <v>1417.7172634056144</v>
      </c>
      <c r="F945" s="67">
        <f t="shared" si="329"/>
        <v>0</v>
      </c>
      <c r="G945" s="67">
        <f t="shared" si="329"/>
        <v>-1796.8566145570683</v>
      </c>
      <c r="H945" s="67">
        <f t="shared" si="329"/>
        <v>2411.6658261892753</v>
      </c>
      <c r="I945" s="67">
        <f t="shared" si="329"/>
        <v>755.0848882165069</v>
      </c>
      <c r="J945" s="67">
        <f t="shared" si="329"/>
        <v>487.56093461085896</v>
      </c>
      <c r="K945" s="67">
        <f t="shared" si="329"/>
        <v>386.88855269793243</v>
      </c>
      <c r="L945" s="67">
        <f t="shared" si="329"/>
        <v>330.47571020339552</v>
      </c>
      <c r="M945" s="67">
        <f t="shared" si="329"/>
        <v>329.73609009917629</v>
      </c>
      <c r="N945" s="67">
        <f t="shared" si="329"/>
        <v>300.70600100857285</v>
      </c>
      <c r="O945" s="67">
        <f t="shared" si="329"/>
        <v>65.557236510337873</v>
      </c>
      <c r="P945" s="67">
        <f t="shared" si="329"/>
        <v>97.86518742645822</v>
      </c>
      <c r="Q945" s="67">
        <f t="shared" si="329"/>
        <v>65.405950579929396</v>
      </c>
      <c r="R945" s="552"/>
      <c r="AC945" s="553" t="s">
        <v>2352</v>
      </c>
      <c r="AD945" s="67">
        <f t="shared" si="313"/>
        <v>17194</v>
      </c>
      <c r="AE945" s="67">
        <f t="shared" si="314"/>
        <v>2192</v>
      </c>
      <c r="AF945" s="67">
        <f t="shared" si="315"/>
        <v>2300</v>
      </c>
      <c r="AG945" s="67">
        <f t="shared" si="316"/>
        <v>3935</v>
      </c>
      <c r="AH945" s="67">
        <f t="shared" si="317"/>
        <v>3060.361757273578</v>
      </c>
      <c r="AI945" s="67"/>
      <c r="AJ945" s="67">
        <f t="shared" si="318"/>
        <v>28681.361757273578</v>
      </c>
      <c r="AK945" s="67"/>
      <c r="AL945" s="67"/>
      <c r="AM945" s="67"/>
      <c r="AN945" s="70" t="s">
        <v>2352</v>
      </c>
      <c r="AO945" s="67">
        <f t="shared" si="319"/>
        <v>140975</v>
      </c>
      <c r="AP945" s="67">
        <f t="shared" si="320"/>
        <v>17933</v>
      </c>
      <c r="AQ945" s="67">
        <f t="shared" si="321"/>
        <v>18777</v>
      </c>
      <c r="AR945" s="67">
        <f t="shared" si="322"/>
        <v>31038</v>
      </c>
      <c r="AS945" s="67">
        <f>((F919-$F919)*(('Lake Pleasant Forecast'!B51-1526.8)/0.7702))/1000</f>
        <v>0</v>
      </c>
      <c r="AT945" s="67">
        <f t="shared" si="323"/>
        <v>208723</v>
      </c>
      <c r="AU945" s="561"/>
      <c r="AW945" s="67">
        <f>(SUM(AW932:AW943))</f>
        <v>131587</v>
      </c>
      <c r="AX945" s="72"/>
    </row>
    <row r="946" spans="1:50" ht="15.75" customHeight="1" x14ac:dyDescent="0.3">
      <c r="A946" s="139" t="s">
        <v>1504</v>
      </c>
      <c r="B946" s="67">
        <f t="shared" ref="B946:Q946" si="330">(B917/$J$10/1.983)</f>
        <v>1280.3181884729881</v>
      </c>
      <c r="C946" s="67">
        <f t="shared" si="330"/>
        <v>1273.5509898654693</v>
      </c>
      <c r="D946" s="67">
        <f t="shared" si="330"/>
        <v>1267.1416719535405</v>
      </c>
      <c r="E946" s="67">
        <f t="shared" si="330"/>
        <v>1154.8322027556812</v>
      </c>
      <c r="F946" s="67">
        <f t="shared" si="330"/>
        <v>0</v>
      </c>
      <c r="G946" s="67">
        <f t="shared" si="330"/>
        <v>-1920.1112683617196</v>
      </c>
      <c r="H946" s="67">
        <f t="shared" si="330"/>
        <v>2369.4955508922617</v>
      </c>
      <c r="I946" s="67">
        <f t="shared" si="330"/>
        <v>791.72970247100352</v>
      </c>
      <c r="J946" s="67">
        <f t="shared" si="330"/>
        <v>489.92240495827434</v>
      </c>
      <c r="K946" s="67">
        <f t="shared" si="330"/>
        <v>370.50412376165144</v>
      </c>
      <c r="L946" s="67">
        <f t="shared" si="330"/>
        <v>299.33466725228965</v>
      </c>
      <c r="M946" s="67">
        <f t="shared" si="330"/>
        <v>298.70024238283474</v>
      </c>
      <c r="N946" s="67">
        <f t="shared" si="330"/>
        <v>273.32324760463945</v>
      </c>
      <c r="O946" s="67">
        <f t="shared" si="330"/>
        <v>55.178696338229791</v>
      </c>
      <c r="P946" s="67">
        <f t="shared" si="330"/>
        <v>85.012932506954272</v>
      </c>
      <c r="Q946" s="67">
        <f t="shared" si="330"/>
        <v>55.064825207814806</v>
      </c>
      <c r="R946" s="552"/>
      <c r="AC946" s="553" t="s">
        <v>2353</v>
      </c>
      <c r="AD946" s="67">
        <f t="shared" si="313"/>
        <v>90153</v>
      </c>
      <c r="AE946" s="67">
        <f t="shared" si="314"/>
        <v>11493</v>
      </c>
      <c r="AF946" s="67">
        <f t="shared" si="315"/>
        <v>12058</v>
      </c>
      <c r="AG946" s="67">
        <f t="shared" si="316"/>
        <v>20631</v>
      </c>
      <c r="AH946" s="67">
        <f t="shared" si="317"/>
        <v>16991.456349000269</v>
      </c>
      <c r="AI946" s="67"/>
      <c r="AJ946" s="67">
        <f t="shared" si="318"/>
        <v>151326.45634900028</v>
      </c>
      <c r="AK946" s="67"/>
      <c r="AL946" s="67"/>
      <c r="AM946" s="67"/>
      <c r="AN946" s="70" t="s">
        <v>2353</v>
      </c>
      <c r="AO946" s="67">
        <f t="shared" si="319"/>
        <v>77511</v>
      </c>
      <c r="AP946" s="67">
        <f t="shared" si="320"/>
        <v>9846</v>
      </c>
      <c r="AQ946" s="67">
        <f t="shared" si="321"/>
        <v>10296</v>
      </c>
      <c r="AR946" s="67">
        <f t="shared" si="322"/>
        <v>17394</v>
      </c>
      <c r="AS946" s="67">
        <f>((F920-$F920)*(('Lake Pleasant Forecast'!B53-1526.8)/0.7702))/1000</f>
        <v>0</v>
      </c>
      <c r="AT946" s="67">
        <f t="shared" si="323"/>
        <v>115047</v>
      </c>
      <c r="AU946" s="561"/>
    </row>
    <row r="947" spans="1:50" ht="15.75" customHeight="1" x14ac:dyDescent="0.3">
      <c r="A947" s="139" t="s">
        <v>1505</v>
      </c>
      <c r="B947" s="67">
        <f t="shared" ref="B947:Q947" si="331">(B918/$K$10/1.983)</f>
        <v>461.34075122411463</v>
      </c>
      <c r="C947" s="67">
        <f t="shared" si="331"/>
        <v>455.90747157288564</v>
      </c>
      <c r="D947" s="67">
        <f t="shared" si="331"/>
        <v>450.73446879117654</v>
      </c>
      <c r="E947" s="67">
        <f t="shared" si="331"/>
        <v>333.62614481154327</v>
      </c>
      <c r="F947" s="67">
        <f t="shared" si="331"/>
        <v>0</v>
      </c>
      <c r="G947" s="67">
        <f t="shared" si="331"/>
        <v>-2556.3092739902067</v>
      </c>
      <c r="H947" s="67">
        <f t="shared" si="331"/>
        <v>2014.0386836497323</v>
      </c>
      <c r="I947" s="67">
        <f t="shared" si="331"/>
        <v>796.28454768760264</v>
      </c>
      <c r="J947" s="67">
        <f t="shared" si="331"/>
        <v>528.81752964716225</v>
      </c>
      <c r="K947" s="67">
        <f t="shared" si="331"/>
        <v>457.87581539863027</v>
      </c>
      <c r="L947" s="67">
        <f t="shared" si="331"/>
        <v>368.03149350121186</v>
      </c>
      <c r="M947" s="67">
        <f t="shared" si="331"/>
        <v>367.445870544792</v>
      </c>
      <c r="N947" s="67">
        <f t="shared" si="331"/>
        <v>326.19198672587964</v>
      </c>
      <c r="O947" s="67">
        <f t="shared" si="331"/>
        <v>73.625819465456374</v>
      </c>
      <c r="P947" s="67">
        <f t="shared" si="331"/>
        <v>92.821238592552817</v>
      </c>
      <c r="Q947" s="67">
        <f t="shared" si="331"/>
        <v>73.528215639386403</v>
      </c>
      <c r="R947" s="552"/>
      <c r="AC947" s="553" t="s">
        <v>2354</v>
      </c>
      <c r="AD947" s="67">
        <f t="shared" si="313"/>
        <v>77232</v>
      </c>
      <c r="AE947" s="67">
        <f t="shared" si="314"/>
        <v>9846</v>
      </c>
      <c r="AF947" s="67">
        <f t="shared" si="315"/>
        <v>10330</v>
      </c>
      <c r="AG947" s="67">
        <f t="shared" si="316"/>
        <v>17674</v>
      </c>
      <c r="AH947" s="67">
        <f t="shared" si="317"/>
        <v>15321.015891976112</v>
      </c>
      <c r="AI947" s="67"/>
      <c r="AJ947" s="67">
        <f t="shared" si="318"/>
        <v>130403.01589197612</v>
      </c>
      <c r="AK947" s="67"/>
      <c r="AL947" s="67"/>
      <c r="AM947" s="67"/>
      <c r="AN947" s="70" t="s">
        <v>2354</v>
      </c>
      <c r="AO947" s="67">
        <f t="shared" si="319"/>
        <v>86630</v>
      </c>
      <c r="AP947" s="67">
        <f t="shared" si="320"/>
        <v>11015</v>
      </c>
      <c r="AQ947" s="67">
        <f t="shared" si="321"/>
        <v>11528</v>
      </c>
      <c r="AR947" s="67">
        <f t="shared" si="322"/>
        <v>19048</v>
      </c>
      <c r="AS947" s="67">
        <f>((F921-$F921)*(('Lake Pleasant Forecast'!B55-1526.8)/0.7702))/1000</f>
        <v>0</v>
      </c>
      <c r="AT947" s="67">
        <f t="shared" si="323"/>
        <v>128221</v>
      </c>
      <c r="AU947" s="561"/>
    </row>
    <row r="948" spans="1:50" ht="15.75" customHeight="1" x14ac:dyDescent="0.3">
      <c r="A948" s="139" t="s">
        <v>1506</v>
      </c>
      <c r="B948" s="67">
        <f t="shared" ref="B948:Q948" si="332">(B919/$L$10/1.983)</f>
        <v>2778.2148260211798</v>
      </c>
      <c r="C948" s="67">
        <f t="shared" si="332"/>
        <v>2772.9030089090602</v>
      </c>
      <c r="D948" s="67">
        <f t="shared" si="332"/>
        <v>2767.8433350142877</v>
      </c>
      <c r="E948" s="67">
        <f t="shared" si="332"/>
        <v>2684.4007396201041</v>
      </c>
      <c r="F948" s="67">
        <f t="shared" si="332"/>
        <v>302.01714573877962</v>
      </c>
      <c r="G948" s="67">
        <f t="shared" si="332"/>
        <v>-134.19062027231467</v>
      </c>
      <c r="H948" s="67">
        <f t="shared" si="332"/>
        <v>1634.8125735417718</v>
      </c>
      <c r="I948" s="67">
        <f t="shared" si="332"/>
        <v>602.62228946041353</v>
      </c>
      <c r="J948" s="67">
        <f t="shared" si="332"/>
        <v>465.59085560598419</v>
      </c>
      <c r="K948" s="67">
        <f t="shared" si="332"/>
        <v>403.3114809211632</v>
      </c>
      <c r="L948" s="67">
        <f t="shared" si="332"/>
        <v>317.07850058833412</v>
      </c>
      <c r="M948" s="67">
        <f t="shared" si="332"/>
        <v>316.50697596234659</v>
      </c>
      <c r="N948" s="67">
        <f t="shared" si="332"/>
        <v>281.72802151622119</v>
      </c>
      <c r="O948" s="67">
        <f t="shared" si="332"/>
        <v>68.667002857623118</v>
      </c>
      <c r="P948" s="67">
        <f t="shared" si="332"/>
        <v>93.83089594889897</v>
      </c>
      <c r="Q948" s="67">
        <f t="shared" si="332"/>
        <v>68.566145570684142</v>
      </c>
      <c r="R948" s="552"/>
      <c r="AC948" s="553" t="s">
        <v>2355</v>
      </c>
      <c r="AD948" s="67">
        <f t="shared" si="313"/>
        <v>75676</v>
      </c>
      <c r="AE948" s="67">
        <f t="shared" si="314"/>
        <v>9647</v>
      </c>
      <c r="AF948" s="67">
        <f t="shared" si="315"/>
        <v>10122</v>
      </c>
      <c r="AG948" s="67">
        <f t="shared" si="316"/>
        <v>17318</v>
      </c>
      <c r="AH948" s="67">
        <f t="shared" si="317"/>
        <v>15722.696901825737</v>
      </c>
      <c r="AI948" s="67"/>
      <c r="AJ948" s="67">
        <f t="shared" si="318"/>
        <v>128485.69690182574</v>
      </c>
      <c r="AK948" s="67"/>
      <c r="AL948" s="67"/>
      <c r="AM948" s="67"/>
      <c r="AN948" s="70" t="s">
        <v>2355</v>
      </c>
      <c r="AO948" s="67">
        <f t="shared" si="319"/>
        <v>60643</v>
      </c>
      <c r="AP948" s="67">
        <f t="shared" si="320"/>
        <v>7708</v>
      </c>
      <c r="AQ948" s="67">
        <f t="shared" si="321"/>
        <v>8064</v>
      </c>
      <c r="AR948" s="67">
        <f t="shared" si="322"/>
        <v>13306</v>
      </c>
      <c r="AS948" s="67">
        <f>((F922-$F922)*(('Lake Pleasant Forecast'!B57-1526.8)/0.7702))/1000</f>
        <v>0</v>
      </c>
      <c r="AT948" s="67">
        <f t="shared" si="323"/>
        <v>89721</v>
      </c>
      <c r="AU948" s="561"/>
    </row>
    <row r="949" spans="1:50" ht="15.75" customHeight="1" x14ac:dyDescent="0.3">
      <c r="A949" s="139" t="s">
        <v>1507</v>
      </c>
      <c r="B949" s="67">
        <f t="shared" ref="B949:Q949" si="333">(B920/$N$10/1.983)</f>
        <v>2849.9991866347827</v>
      </c>
      <c r="C949" s="67">
        <f t="shared" si="333"/>
        <v>2845.3630048964583</v>
      </c>
      <c r="D949" s="67">
        <f t="shared" si="333"/>
        <v>2840.9382981146196</v>
      </c>
      <c r="E949" s="67">
        <f t="shared" si="333"/>
        <v>2824.4432515087924</v>
      </c>
      <c r="F949" s="67">
        <f t="shared" si="333"/>
        <v>1532.4451385160964</v>
      </c>
      <c r="G949" s="67">
        <f t="shared" si="333"/>
        <v>0</v>
      </c>
      <c r="H949" s="67">
        <f t="shared" si="333"/>
        <v>643.6484310184959</v>
      </c>
      <c r="I949" s="67">
        <f t="shared" si="333"/>
        <v>219.57607404876939</v>
      </c>
      <c r="J949" s="67">
        <f t="shared" si="333"/>
        <v>205.32591544255203</v>
      </c>
      <c r="K949" s="67">
        <f t="shared" si="333"/>
        <v>202.30019683438258</v>
      </c>
      <c r="L949" s="67">
        <f t="shared" si="333"/>
        <v>146.47080832235289</v>
      </c>
      <c r="M949" s="67">
        <f t="shared" si="333"/>
        <v>145.99905649634798</v>
      </c>
      <c r="N949" s="67">
        <f t="shared" si="333"/>
        <v>144.07951458363831</v>
      </c>
      <c r="O949" s="67">
        <f t="shared" si="333"/>
        <v>51.664958599710431</v>
      </c>
      <c r="P949" s="67">
        <f t="shared" si="333"/>
        <v>58.394200163757532</v>
      </c>
      <c r="Q949" s="67">
        <f t="shared" si="333"/>
        <v>51.58362207798546</v>
      </c>
      <c r="R949" s="552"/>
      <c r="AC949" s="551"/>
      <c r="AD949" s="67"/>
      <c r="AE949" s="67"/>
      <c r="AF949" s="67"/>
      <c r="AG949" s="67"/>
      <c r="AH949" s="67"/>
      <c r="AI949" s="67"/>
      <c r="AJ949" s="67"/>
      <c r="AK949" s="67"/>
      <c r="AL949" s="67"/>
      <c r="AM949" s="67"/>
      <c r="AN949" s="67"/>
      <c r="AO949" s="67"/>
      <c r="AP949" s="67"/>
      <c r="AQ949" s="67"/>
      <c r="AR949" s="67"/>
      <c r="AS949" s="67"/>
      <c r="AT949" s="67"/>
      <c r="AU949" s="561"/>
    </row>
    <row r="950" spans="1:50" ht="15.75" customHeight="1" thickBot="1" x14ac:dyDescent="0.35">
      <c r="A950" s="139" t="s">
        <v>1508</v>
      </c>
      <c r="B950" s="67">
        <f t="shared" ref="B950:Q950" si="334">(B921/$O$10/1.983)</f>
        <v>2878.1980164733563</v>
      </c>
      <c r="C950" s="67">
        <f t="shared" si="334"/>
        <v>2874.2477727349133</v>
      </c>
      <c r="D950" s="67">
        <f t="shared" si="334"/>
        <v>2870.4488149268786</v>
      </c>
      <c r="E950" s="67">
        <f t="shared" si="334"/>
        <v>2818.6081694402419</v>
      </c>
      <c r="F950" s="67">
        <f t="shared" si="334"/>
        <v>1356.5641284249452</v>
      </c>
      <c r="G950" s="67">
        <f t="shared" si="334"/>
        <v>-1.8322407127248277</v>
      </c>
      <c r="H950" s="67">
        <f t="shared" si="334"/>
        <v>663.6409480584972</v>
      </c>
      <c r="I950" s="67">
        <f t="shared" si="334"/>
        <v>94.13346780971591</v>
      </c>
      <c r="J950" s="67">
        <f t="shared" si="334"/>
        <v>93.393847705496711</v>
      </c>
      <c r="K950" s="67">
        <f t="shared" si="334"/>
        <v>87.258362750042025</v>
      </c>
      <c r="L950" s="67">
        <f t="shared" si="334"/>
        <v>74.533535047907208</v>
      </c>
      <c r="M950" s="67">
        <f t="shared" si="334"/>
        <v>74.14691544797445</v>
      </c>
      <c r="N950" s="67">
        <f t="shared" si="334"/>
        <v>63.187090267271806</v>
      </c>
      <c r="O950" s="67">
        <f t="shared" si="334"/>
        <v>36.006051437216342</v>
      </c>
      <c r="P950" s="67">
        <f t="shared" si="334"/>
        <v>63.603967053286269</v>
      </c>
      <c r="Q950" s="67">
        <f t="shared" si="334"/>
        <v>35.955622793746848</v>
      </c>
      <c r="R950" s="552"/>
      <c r="AC950" s="558" t="s">
        <v>2356</v>
      </c>
      <c r="AD950" s="555">
        <f>SUM(AD937:AD948)</f>
        <v>407105</v>
      </c>
      <c r="AE950" s="555">
        <f>SUM(AE937:AE948)</f>
        <v>51898</v>
      </c>
      <c r="AF950" s="555">
        <f>SUM(AF937:AF948)</f>
        <v>54453</v>
      </c>
      <c r="AG950" s="555">
        <f>SUM(AG937:AG948)</f>
        <v>93164</v>
      </c>
      <c r="AH950" s="555">
        <f>SUM(AH937:AH948)</f>
        <v>84535.066152023486</v>
      </c>
      <c r="AI950" s="555"/>
      <c r="AJ950" s="555">
        <f>SUM(AJ937:AJ948)</f>
        <v>691155.0661520235</v>
      </c>
      <c r="AK950" s="555"/>
      <c r="AL950" s="555"/>
      <c r="AM950" s="555"/>
      <c r="AN950" s="564" t="s">
        <v>2356</v>
      </c>
      <c r="AO950" s="555">
        <f t="shared" ref="AO950:AT950" si="335">SUM(AO937:AO948)</f>
        <v>1062651</v>
      </c>
      <c r="AP950" s="555">
        <f t="shared" si="335"/>
        <v>135041</v>
      </c>
      <c r="AQ950" s="555">
        <f t="shared" si="335"/>
        <v>141257</v>
      </c>
      <c r="AR950" s="555">
        <f t="shared" si="335"/>
        <v>230741</v>
      </c>
      <c r="AS950" s="555">
        <f t="shared" si="335"/>
        <v>0</v>
      </c>
      <c r="AT950" s="555">
        <f t="shared" si="335"/>
        <v>1569690</v>
      </c>
      <c r="AU950" s="565"/>
    </row>
    <row r="951" spans="1:50" ht="15.75" customHeight="1" thickBot="1" x14ac:dyDescent="0.35">
      <c r="A951" s="645" t="s">
        <v>1509</v>
      </c>
      <c r="B951" s="555">
        <f t="shared" ref="B951:Q951" si="336">(B922/$P$10/1.983)</f>
        <v>2317.1799001187514</v>
      </c>
      <c r="C951" s="555">
        <f t="shared" si="336"/>
        <v>2314.1541815105816</v>
      </c>
      <c r="D951" s="555">
        <f t="shared" si="336"/>
        <v>2311.2423340328273</v>
      </c>
      <c r="E951" s="555">
        <f t="shared" si="336"/>
        <v>2274.6897011696192</v>
      </c>
      <c r="F951" s="555">
        <f t="shared" si="336"/>
        <v>1286.3533583849821</v>
      </c>
      <c r="G951" s="555">
        <f t="shared" si="336"/>
        <v>0</v>
      </c>
      <c r="H951" s="555">
        <f t="shared" si="336"/>
        <v>479.82040896003122</v>
      </c>
      <c r="I951" s="555">
        <f t="shared" si="336"/>
        <v>91.243310071088118</v>
      </c>
      <c r="J951" s="555">
        <f t="shared" si="336"/>
        <v>86.476989898003993</v>
      </c>
      <c r="K951" s="555">
        <f t="shared" si="336"/>
        <v>85.793763115514125</v>
      </c>
      <c r="L951" s="555">
        <f t="shared" si="336"/>
        <v>83.679013550664521</v>
      </c>
      <c r="M951" s="555">
        <f t="shared" si="336"/>
        <v>83.369934768109573</v>
      </c>
      <c r="N951" s="555">
        <f t="shared" si="336"/>
        <v>69.331251118377168</v>
      </c>
      <c r="O951" s="555">
        <f t="shared" si="336"/>
        <v>31.038016690254256</v>
      </c>
      <c r="P951" s="555">
        <f t="shared" si="336"/>
        <v>53.913100060189024</v>
      </c>
      <c r="Q951" s="555">
        <f t="shared" si="336"/>
        <v>30.680135994664322</v>
      </c>
      <c r="R951" s="556"/>
    </row>
    <row r="952" spans="1:50" ht="15.75" customHeight="1" x14ac:dyDescent="0.3">
      <c r="R952" s="547"/>
      <c r="AC952" s="685"/>
      <c r="AD952" s="782" t="s">
        <v>2922</v>
      </c>
      <c r="AE952" s="785"/>
      <c r="AF952" s="785"/>
      <c r="AG952" s="785"/>
      <c r="AH952" s="785"/>
      <c r="AI952" s="785"/>
      <c r="AJ952" s="785"/>
      <c r="AK952" s="785"/>
      <c r="AL952" s="785"/>
      <c r="AM952" s="785"/>
      <c r="AN952" s="785"/>
      <c r="AO952" s="785"/>
      <c r="AP952" s="785"/>
      <c r="AQ952" s="785"/>
      <c r="AR952" s="678" t="str">
        <f>$Q$1</f>
        <v xml:space="preserve">PRINTED:  </v>
      </c>
      <c r="AS952" s="686">
        <f ca="1">$R$1</f>
        <v>44881.729634027775</v>
      </c>
    </row>
    <row r="953" spans="1:50" ht="15.75" customHeight="1" x14ac:dyDescent="0.3">
      <c r="R953" s="67"/>
      <c r="AC953" s="579"/>
      <c r="AD953" s="786" t="str">
        <f>+$A$8</f>
        <v>Revised:  3/2/2019</v>
      </c>
      <c r="AE953" s="788"/>
      <c r="AF953" s="788"/>
      <c r="AG953" s="788"/>
      <c r="AH953" s="788"/>
      <c r="AI953" s="788"/>
      <c r="AJ953" s="788"/>
      <c r="AK953" s="788"/>
      <c r="AL953" s="788"/>
      <c r="AM953" s="788"/>
      <c r="AN953" s="788"/>
      <c r="AO953" s="788"/>
      <c r="AP953" s="788"/>
      <c r="AQ953" s="788"/>
      <c r="AR953" s="139"/>
      <c r="AS953" s="561"/>
    </row>
    <row r="954" spans="1:50" ht="15.75" customHeight="1" x14ac:dyDescent="0.3">
      <c r="A954" s="139"/>
      <c r="AC954" s="579"/>
      <c r="AD954" s="786" t="s">
        <v>2878</v>
      </c>
      <c r="AE954" s="789"/>
      <c r="AF954" s="789"/>
      <c r="AG954" s="789"/>
      <c r="AH954" s="789"/>
      <c r="AI954" s="789"/>
      <c r="AJ954" s="789"/>
      <c r="AK954" s="789"/>
      <c r="AL954" s="789"/>
      <c r="AM954" s="789"/>
      <c r="AN954" s="789"/>
      <c r="AO954" s="789"/>
      <c r="AP954" s="789"/>
      <c r="AQ954" s="789"/>
      <c r="AS954" s="561"/>
    </row>
    <row r="955" spans="1:50" ht="15.75" customHeight="1" x14ac:dyDescent="0.3">
      <c r="A955" s="139"/>
      <c r="AC955" s="579"/>
      <c r="AS955" s="561"/>
    </row>
    <row r="956" spans="1:50" ht="15.75" customHeight="1" thickBot="1" x14ac:dyDescent="0.35">
      <c r="A956" s="139"/>
      <c r="AC956" s="579"/>
      <c r="AD956" s="787">
        <f>$A$5</f>
        <v>2018</v>
      </c>
      <c r="AE956" s="789"/>
      <c r="AF956" s="789"/>
      <c r="AG956" s="789"/>
      <c r="AH956" s="789"/>
      <c r="AI956" s="789"/>
      <c r="AJ956" s="789"/>
      <c r="AK956" s="789"/>
      <c r="AL956" s="789"/>
      <c r="AM956" s="789"/>
      <c r="AN956" s="789"/>
      <c r="AO956" s="789"/>
      <c r="AP956" s="789"/>
      <c r="AQ956" s="789"/>
      <c r="AS956" s="561"/>
    </row>
    <row r="957" spans="1:50" ht="15.75" customHeight="1" x14ac:dyDescent="0.3">
      <c r="A957" s="651"/>
      <c r="B957" s="782" t="s">
        <v>1198</v>
      </c>
      <c r="C957" s="782"/>
      <c r="D957" s="782"/>
      <c r="E957" s="782"/>
      <c r="F957" s="782"/>
      <c r="G957" s="782"/>
      <c r="H957" s="782"/>
      <c r="I957" s="782"/>
      <c r="J957" s="782"/>
      <c r="K957" s="782"/>
      <c r="L957" s="782"/>
      <c r="M957" s="782"/>
      <c r="N957" s="782"/>
      <c r="O957" s="782"/>
      <c r="P957" s="782"/>
      <c r="Q957" s="678" t="str">
        <f>+Q1</f>
        <v xml:space="preserve">PRINTED:  </v>
      </c>
      <c r="R957" s="679">
        <f ca="1">+R1</f>
        <v>44881.729634027775</v>
      </c>
      <c r="AC957" s="579"/>
      <c r="AD957" s="786" t="s">
        <v>2919</v>
      </c>
      <c r="AE957" s="788"/>
      <c r="AF957" s="788"/>
      <c r="AG957" s="788"/>
      <c r="AH957" s="788"/>
      <c r="AI957" s="788"/>
      <c r="AJ957" s="788"/>
      <c r="AK957" s="788"/>
      <c r="AL957" s="788"/>
      <c r="AM957" s="788"/>
      <c r="AN957" s="788"/>
      <c r="AO957" s="788"/>
      <c r="AP957" s="788"/>
      <c r="AQ957" s="788"/>
      <c r="AR957" s="70"/>
      <c r="AS957" s="561"/>
    </row>
    <row r="958" spans="1:50" ht="16.5" customHeight="1" x14ac:dyDescent="0.3">
      <c r="A958" s="553"/>
      <c r="B958" s="786" t="str">
        <f>+A8</f>
        <v>Revised:  3/2/2019</v>
      </c>
      <c r="C958" s="786"/>
      <c r="D958" s="786"/>
      <c r="E958" s="786"/>
      <c r="F958" s="786"/>
      <c r="G958" s="786"/>
      <c r="H958" s="786"/>
      <c r="I958" s="786"/>
      <c r="J958" s="786"/>
      <c r="K958" s="786"/>
      <c r="L958" s="786"/>
      <c r="M958" s="786"/>
      <c r="N958" s="786"/>
      <c r="O958" s="786"/>
      <c r="P958" s="786"/>
      <c r="Q958" s="67"/>
      <c r="R958" s="552"/>
      <c r="AC958" s="579"/>
      <c r="AK958" s="670"/>
      <c r="AS958" s="561"/>
    </row>
    <row r="959" spans="1:50" ht="15.75" customHeight="1" thickBot="1" x14ac:dyDescent="0.35">
      <c r="A959" s="553"/>
      <c r="B959" s="786" t="s">
        <v>2878</v>
      </c>
      <c r="C959" s="786"/>
      <c r="D959" s="786"/>
      <c r="E959" s="786"/>
      <c r="F959" s="786"/>
      <c r="G959" s="786"/>
      <c r="H959" s="786"/>
      <c r="I959" s="786"/>
      <c r="J959" s="786"/>
      <c r="K959" s="786"/>
      <c r="L959" s="786"/>
      <c r="M959" s="786"/>
      <c r="N959" s="786"/>
      <c r="O959" s="786"/>
      <c r="P959" s="786"/>
      <c r="Q959" s="67"/>
      <c r="R959" s="552"/>
      <c r="AC959" s="579"/>
      <c r="AD959" s="634" t="s">
        <v>1308</v>
      </c>
      <c r="AE959" s="634" t="s">
        <v>1309</v>
      </c>
      <c r="AF959" s="634" t="s">
        <v>1029</v>
      </c>
      <c r="AG959" s="634" t="s">
        <v>1030</v>
      </c>
      <c r="AH959" s="634" t="s">
        <v>284</v>
      </c>
      <c r="AI959" s="634" t="s">
        <v>285</v>
      </c>
      <c r="AJ959" s="634" t="s">
        <v>286</v>
      </c>
      <c r="AK959" s="634" t="s">
        <v>287</v>
      </c>
      <c r="AL959" s="634" t="s">
        <v>288</v>
      </c>
      <c r="AM959" s="634" t="s">
        <v>289</v>
      </c>
      <c r="AN959" s="634" t="s">
        <v>633</v>
      </c>
      <c r="AO959" s="634" t="s">
        <v>634</v>
      </c>
      <c r="AP959" s="634" t="s">
        <v>1192</v>
      </c>
      <c r="AQ959" s="634" t="s">
        <v>524</v>
      </c>
      <c r="AR959" s="634" t="s">
        <v>525</v>
      </c>
      <c r="AS959" s="684" t="s">
        <v>2356</v>
      </c>
    </row>
    <row r="960" spans="1:50" ht="15.75" customHeight="1" x14ac:dyDescent="0.3">
      <c r="A960" s="553"/>
      <c r="B960" s="67"/>
      <c r="C960" s="67"/>
      <c r="D960" s="67"/>
      <c r="E960" s="67"/>
      <c r="F960" s="67"/>
      <c r="G960" s="67"/>
      <c r="H960" s="67"/>
      <c r="I960" s="67"/>
      <c r="J960" s="67"/>
      <c r="K960" s="67"/>
      <c r="L960" s="67"/>
      <c r="M960" s="67"/>
      <c r="N960" s="67"/>
      <c r="O960" s="67"/>
      <c r="P960" s="67"/>
      <c r="Q960" s="67"/>
      <c r="R960" s="552"/>
      <c r="AC960" s="579"/>
      <c r="AD960" s="67"/>
      <c r="AE960" s="67"/>
      <c r="AF960" s="67"/>
      <c r="AG960" s="67"/>
      <c r="AH960" s="70" t="s">
        <v>2910</v>
      </c>
      <c r="AI960" s="67"/>
      <c r="AJ960" s="67"/>
      <c r="AK960" s="67"/>
      <c r="AL960" s="67"/>
      <c r="AM960" s="67"/>
      <c r="AN960" s="67"/>
      <c r="AO960" s="67"/>
      <c r="AP960" s="67"/>
      <c r="AQ960" s="67"/>
      <c r="AR960" s="67"/>
      <c r="AS960" s="636"/>
    </row>
    <row r="961" spans="1:48" ht="15.75" customHeight="1" x14ac:dyDescent="0.3">
      <c r="A961" s="553"/>
      <c r="B961" s="787">
        <f>A5</f>
        <v>2018</v>
      </c>
      <c r="C961" s="787"/>
      <c r="D961" s="787"/>
      <c r="E961" s="787"/>
      <c r="F961" s="787"/>
      <c r="G961" s="787"/>
      <c r="H961" s="787"/>
      <c r="I961" s="787"/>
      <c r="J961" s="787"/>
      <c r="K961" s="787"/>
      <c r="L961" s="787"/>
      <c r="M961" s="787"/>
      <c r="N961" s="787"/>
      <c r="O961" s="787"/>
      <c r="P961" s="787"/>
      <c r="Q961" s="67"/>
      <c r="R961" s="552"/>
      <c r="S961" s="67"/>
      <c r="AC961" s="642" t="s">
        <v>3040</v>
      </c>
      <c r="AD961" s="687">
        <v>1.7000000000000001E-2</v>
      </c>
      <c r="AE961" s="687">
        <v>1.7000000000000001E-2</v>
      </c>
      <c r="AF961" s="687">
        <v>1.7000000000000001E-2</v>
      </c>
      <c r="AG961" s="687">
        <v>1.7000000000000001E-2</v>
      </c>
      <c r="AH961" s="687"/>
      <c r="AI961" s="687"/>
      <c r="AJ961" s="687"/>
      <c r="AK961" s="687"/>
      <c r="AL961" s="687"/>
      <c r="AM961" s="687"/>
      <c r="AN961" s="687"/>
      <c r="AO961" s="687"/>
      <c r="AP961" s="687"/>
      <c r="AQ961" s="687"/>
      <c r="AR961" s="687"/>
      <c r="AS961" s="592"/>
    </row>
    <row r="962" spans="1:48" ht="15.75" customHeight="1" x14ac:dyDescent="0.3">
      <c r="A962" s="553"/>
      <c r="B962" s="786" t="s">
        <v>2919</v>
      </c>
      <c r="C962" s="786"/>
      <c r="D962" s="786"/>
      <c r="E962" s="786"/>
      <c r="F962" s="786"/>
      <c r="G962" s="786"/>
      <c r="H962" s="786"/>
      <c r="I962" s="786"/>
      <c r="J962" s="786"/>
      <c r="K962" s="786"/>
      <c r="L962" s="786"/>
      <c r="M962" s="786"/>
      <c r="N962" s="786"/>
      <c r="O962" s="786"/>
      <c r="P962" s="786"/>
      <c r="Q962" s="67"/>
      <c r="R962" s="552"/>
      <c r="S962" s="67"/>
      <c r="AC962" s="642" t="s">
        <v>2908</v>
      </c>
      <c r="AD962" s="687"/>
      <c r="AE962" s="687">
        <v>0.03</v>
      </c>
      <c r="AF962" s="687"/>
      <c r="AG962" s="687"/>
      <c r="AH962" s="687"/>
      <c r="AI962" s="687"/>
      <c r="AJ962" s="687"/>
      <c r="AK962" s="687"/>
      <c r="AL962" s="687"/>
      <c r="AM962" s="687">
        <v>0.03</v>
      </c>
      <c r="AN962" s="687">
        <v>0.03</v>
      </c>
      <c r="AO962" s="687">
        <v>0.03</v>
      </c>
      <c r="AP962" s="687">
        <v>0.03</v>
      </c>
      <c r="AQ962" s="687">
        <v>0.03</v>
      </c>
      <c r="AR962" s="687">
        <v>0.03</v>
      </c>
      <c r="AS962" s="592"/>
    </row>
    <row r="963" spans="1:48" ht="15.75" customHeight="1" x14ac:dyDescent="0.3">
      <c r="A963" s="553"/>
      <c r="B963" s="67"/>
      <c r="C963" s="67"/>
      <c r="D963" s="67"/>
      <c r="E963" s="67"/>
      <c r="F963" s="67"/>
      <c r="G963" s="67"/>
      <c r="H963" s="67"/>
      <c r="I963" s="67"/>
      <c r="J963" s="67"/>
      <c r="K963" s="67"/>
      <c r="L963" s="67"/>
      <c r="M963" s="67"/>
      <c r="N963" s="67"/>
      <c r="O963" s="67"/>
      <c r="P963" s="67"/>
      <c r="Q963" s="67"/>
      <c r="R963" s="552"/>
      <c r="S963" s="67"/>
      <c r="AC963" s="642" t="s">
        <v>2909</v>
      </c>
      <c r="AD963" s="687"/>
      <c r="AE963" s="687"/>
      <c r="AF963" s="687">
        <v>0.03</v>
      </c>
      <c r="AG963" s="687">
        <v>0.03</v>
      </c>
      <c r="AH963" s="687"/>
      <c r="AI963" s="687"/>
      <c r="AJ963" s="687"/>
      <c r="AK963" s="687"/>
      <c r="AL963" s="687"/>
      <c r="AM963" s="687"/>
      <c r="AN963" s="687"/>
      <c r="AO963" s="687"/>
      <c r="AP963" s="687"/>
      <c r="AQ963" s="687"/>
      <c r="AR963" s="687"/>
      <c r="AS963" s="592"/>
    </row>
    <row r="964" spans="1:48" ht="15.75" customHeight="1" thickBot="1" x14ac:dyDescent="0.35">
      <c r="A964" s="553" t="s">
        <v>845</v>
      </c>
      <c r="B964" s="634" t="s">
        <v>1308</v>
      </c>
      <c r="C964" s="634" t="s">
        <v>1309</v>
      </c>
      <c r="D964" s="634" t="s">
        <v>1029</v>
      </c>
      <c r="E964" s="634" t="s">
        <v>1030</v>
      </c>
      <c r="F964" s="634" t="s">
        <v>284</v>
      </c>
      <c r="G964" s="634" t="s">
        <v>284</v>
      </c>
      <c r="H964" s="634" t="s">
        <v>285</v>
      </c>
      <c r="I964" s="634" t="s">
        <v>286</v>
      </c>
      <c r="J964" s="634" t="s">
        <v>287</v>
      </c>
      <c r="K964" s="634" t="s">
        <v>288</v>
      </c>
      <c r="L964" s="634" t="s">
        <v>289</v>
      </c>
      <c r="M964" s="634" t="s">
        <v>633</v>
      </c>
      <c r="N964" s="634" t="s">
        <v>634</v>
      </c>
      <c r="O964" s="634" t="s">
        <v>1192</v>
      </c>
      <c r="P964" s="634" t="s">
        <v>524</v>
      </c>
      <c r="Q964" s="634" t="s">
        <v>525</v>
      </c>
      <c r="R964" s="684" t="s">
        <v>2356</v>
      </c>
      <c r="S964" s="70"/>
      <c r="AC964" s="642" t="s">
        <v>2760</v>
      </c>
      <c r="AD964" s="687"/>
      <c r="AE964" s="687"/>
      <c r="AF964" s="687"/>
      <c r="AG964" s="687"/>
      <c r="AH964" s="687"/>
      <c r="AI964" s="687">
        <v>0.03</v>
      </c>
      <c r="AJ964" s="687"/>
      <c r="AK964" s="687"/>
      <c r="AL964" s="687"/>
      <c r="AM964" s="687"/>
      <c r="AN964" s="687"/>
      <c r="AO964" s="687"/>
      <c r="AP964" s="687"/>
      <c r="AQ964" s="687"/>
      <c r="AR964" s="687"/>
      <c r="AS964" s="592"/>
    </row>
    <row r="965" spans="1:48" ht="15.75" customHeight="1" x14ac:dyDescent="0.3">
      <c r="A965" s="553"/>
      <c r="B965" s="67"/>
      <c r="C965" s="67"/>
      <c r="D965" s="67"/>
      <c r="E965" s="67"/>
      <c r="F965" s="70" t="s">
        <v>1193</v>
      </c>
      <c r="G965" s="70" t="s">
        <v>1194</v>
      </c>
      <c r="H965" s="67"/>
      <c r="I965" s="67"/>
      <c r="J965" s="67"/>
      <c r="K965" s="67"/>
      <c r="L965" s="67"/>
      <c r="M965" s="67"/>
      <c r="N965" s="67"/>
      <c r="O965" s="67"/>
      <c r="P965" s="67"/>
      <c r="Q965" s="67"/>
      <c r="R965" s="592" t="s">
        <v>1236</v>
      </c>
      <c r="S965" s="70"/>
      <c r="AC965" s="642" t="s">
        <v>2634</v>
      </c>
      <c r="AD965" s="687">
        <v>0.03</v>
      </c>
      <c r="AE965" s="687"/>
      <c r="AF965" s="687"/>
      <c r="AG965" s="687"/>
      <c r="AH965" s="687"/>
      <c r="AI965" s="687"/>
      <c r="AJ965" s="687">
        <v>0.03</v>
      </c>
      <c r="AK965" s="687">
        <v>0.03</v>
      </c>
      <c r="AL965" s="687">
        <v>0.03</v>
      </c>
      <c r="AM965" s="687"/>
      <c r="AN965" s="687"/>
      <c r="AO965" s="687"/>
      <c r="AP965" s="687"/>
      <c r="AQ965" s="687"/>
      <c r="AR965" s="687"/>
      <c r="AS965" s="592"/>
    </row>
    <row r="966" spans="1:48" ht="15.75" customHeight="1" x14ac:dyDescent="0.3">
      <c r="A966" s="553" t="s">
        <v>2917</v>
      </c>
      <c r="B966" s="677">
        <v>957</v>
      </c>
      <c r="C966" s="677">
        <v>122</v>
      </c>
      <c r="D966" s="677">
        <v>128</v>
      </c>
      <c r="E966" s="677">
        <v>219</v>
      </c>
      <c r="F966" s="677"/>
      <c r="G966" s="677"/>
      <c r="H966" s="677">
        <v>97</v>
      </c>
      <c r="I966" s="677">
        <v>160</v>
      </c>
      <c r="J966" s="677">
        <v>250</v>
      </c>
      <c r="K966" s="677">
        <v>260</v>
      </c>
      <c r="L966" s="677">
        <v>100</v>
      </c>
      <c r="M966" s="677">
        <v>118</v>
      </c>
      <c r="N966" s="677">
        <v>250</v>
      </c>
      <c r="O966" s="677">
        <v>190</v>
      </c>
      <c r="P966" s="677">
        <v>340</v>
      </c>
      <c r="Q966" s="677">
        <v>450</v>
      </c>
      <c r="R966" s="592" t="s">
        <v>335</v>
      </c>
      <c r="S966" s="70"/>
      <c r="AC966" s="642" t="s">
        <v>2356</v>
      </c>
      <c r="AD966" s="217">
        <f>SUM(AD961:AD965)</f>
        <v>4.7E-2</v>
      </c>
      <c r="AE966" s="217">
        <f t="shared" ref="AE966:AR966" si="337">SUM(AE961:AE965)</f>
        <v>4.7E-2</v>
      </c>
      <c r="AF966" s="217">
        <f t="shared" si="337"/>
        <v>4.7E-2</v>
      </c>
      <c r="AG966" s="217">
        <f t="shared" si="337"/>
        <v>4.7E-2</v>
      </c>
      <c r="AH966" s="217">
        <f t="shared" si="337"/>
        <v>0</v>
      </c>
      <c r="AI966" s="217">
        <f t="shared" si="337"/>
        <v>0.03</v>
      </c>
      <c r="AJ966" s="217">
        <f t="shared" si="337"/>
        <v>0.03</v>
      </c>
      <c r="AK966" s="217">
        <f t="shared" si="337"/>
        <v>0.03</v>
      </c>
      <c r="AL966" s="217">
        <f t="shared" si="337"/>
        <v>0.03</v>
      </c>
      <c r="AM966" s="217">
        <f t="shared" si="337"/>
        <v>0.03</v>
      </c>
      <c r="AN966" s="217">
        <f t="shared" si="337"/>
        <v>0.03</v>
      </c>
      <c r="AO966" s="217">
        <f t="shared" si="337"/>
        <v>0.03</v>
      </c>
      <c r="AP966" s="217">
        <f t="shared" si="337"/>
        <v>0.03</v>
      </c>
      <c r="AQ966" s="217">
        <f t="shared" si="337"/>
        <v>0.03</v>
      </c>
      <c r="AR966" s="217">
        <f t="shared" si="337"/>
        <v>0.03</v>
      </c>
      <c r="AS966" s="592"/>
      <c r="AU966" s="139" t="s">
        <v>3084</v>
      </c>
      <c r="AV966" t="s">
        <v>3085</v>
      </c>
    </row>
    <row r="967" spans="1:48" ht="15.75" customHeight="1" x14ac:dyDescent="0.3">
      <c r="A967" s="553"/>
      <c r="B967" s="70" t="s">
        <v>1353</v>
      </c>
      <c r="C967" s="70" t="s">
        <v>1353</v>
      </c>
      <c r="D967" s="70" t="s">
        <v>1353</v>
      </c>
      <c r="E967" s="70" t="s">
        <v>1353</v>
      </c>
      <c r="F967" s="70" t="s">
        <v>1353</v>
      </c>
      <c r="G967" s="70" t="s">
        <v>1353</v>
      </c>
      <c r="H967" s="70" t="s">
        <v>1353</v>
      </c>
      <c r="I967" s="70" t="s">
        <v>1353</v>
      </c>
      <c r="J967" s="70" t="s">
        <v>1353</v>
      </c>
      <c r="K967" s="70" t="s">
        <v>1353</v>
      </c>
      <c r="L967" s="70" t="s">
        <v>1353</v>
      </c>
      <c r="M967" s="70" t="s">
        <v>1353</v>
      </c>
      <c r="N967" s="70" t="s">
        <v>1353</v>
      </c>
      <c r="O967" s="70" t="s">
        <v>1353</v>
      </c>
      <c r="P967" s="70" t="s">
        <v>1353</v>
      </c>
      <c r="Q967" s="70" t="s">
        <v>1353</v>
      </c>
      <c r="R967" s="592" t="s">
        <v>251</v>
      </c>
      <c r="S967" s="70"/>
      <c r="T967" s="70"/>
      <c r="AC967" s="553" t="s">
        <v>1353</v>
      </c>
      <c r="AD967" s="70" t="s">
        <v>1353</v>
      </c>
      <c r="AE967" s="70" t="s">
        <v>1353</v>
      </c>
      <c r="AF967" s="70" t="s">
        <v>1353</v>
      </c>
      <c r="AG967" s="70" t="s">
        <v>1353</v>
      </c>
      <c r="AH967" s="70" t="s">
        <v>1353</v>
      </c>
      <c r="AI967" s="70" t="s">
        <v>1353</v>
      </c>
      <c r="AJ967" s="70" t="s">
        <v>1353</v>
      </c>
      <c r="AK967" s="70" t="s">
        <v>1353</v>
      </c>
      <c r="AL967" s="70" t="s">
        <v>1353</v>
      </c>
      <c r="AM967" s="70" t="s">
        <v>1353</v>
      </c>
      <c r="AN967" s="70" t="s">
        <v>1353</v>
      </c>
      <c r="AO967" s="70" t="s">
        <v>1353</v>
      </c>
      <c r="AP967" s="70" t="s">
        <v>1353</v>
      </c>
      <c r="AQ967" s="70" t="s">
        <v>1353</v>
      </c>
      <c r="AR967" s="70" t="s">
        <v>1353</v>
      </c>
      <c r="AS967" s="592" t="s">
        <v>1353</v>
      </c>
    </row>
    <row r="968" spans="1:48" ht="15.75" customHeight="1" x14ac:dyDescent="0.3">
      <c r="A968" s="139" t="s">
        <v>2843</v>
      </c>
      <c r="B968" s="67">
        <f>ROUND((B911*$B$966)/1000,0)</f>
        <v>85855</v>
      </c>
      <c r="C968" s="67">
        <f t="shared" ref="C968:C979" si="338">ROUND((C911*$C$966)/1000,0)</f>
        <v>10933</v>
      </c>
      <c r="D968" s="67">
        <f t="shared" ref="D968:D979" si="339">ROUND((D911*$D$966)/1000,0)</f>
        <v>11459</v>
      </c>
      <c r="E968" s="67">
        <f t="shared" ref="E968:E979" si="340">ROUND((E911*$E$966)/1000,0)</f>
        <v>19418</v>
      </c>
      <c r="F968" s="67">
        <f>(F911*((T911-1526.8)/0.7702))/1000</f>
        <v>9023.6802129317039</v>
      </c>
      <c r="G968" s="67">
        <f t="shared" ref="G968:G979" si="341">(G911*((T911-1591.4)/0.6635))/1000</f>
        <v>-716.5104747550854</v>
      </c>
      <c r="H968" s="67">
        <f t="shared" ref="H968:H979" si="342">ROUND((H911*$H$966)/1000,0)</f>
        <v>2680</v>
      </c>
      <c r="I968" s="67">
        <f t="shared" ref="I968:I979" si="343">ROUND((I911*$I$966)/1000,0)</f>
        <v>2195</v>
      </c>
      <c r="J968" s="67">
        <f t="shared" ref="J968:J979" si="344">ROUND((J911*$J$966)/1000,0)</f>
        <v>3419</v>
      </c>
      <c r="K968" s="67">
        <f t="shared" ref="K968:K979" si="345">ROUND((K911*$K$966)/1000,0)</f>
        <v>3543</v>
      </c>
      <c r="L968" s="67">
        <f t="shared" ref="L968:L979" si="346">ROUND((L911*$L$966)/1000,0)</f>
        <v>1200</v>
      </c>
      <c r="M968" s="67">
        <f t="shared" ref="M968:M979" si="347">ROUND((M911*$M$966)/1000,0)</f>
        <v>1413</v>
      </c>
      <c r="N968" s="67">
        <f t="shared" ref="N968:N979" si="348">ROUND((N911*$N$966)/1000,0)</f>
        <v>2923</v>
      </c>
      <c r="O968" s="67">
        <f t="shared" ref="O968:O979" si="349">ROUND((O911*$O$966)/1000,0)</f>
        <v>706</v>
      </c>
      <c r="P968" s="67">
        <f t="shared" ref="P968:P979" si="350">ROUND((P911*$P$966)/1000,0)</f>
        <v>1276</v>
      </c>
      <c r="Q968" s="67">
        <f t="shared" ref="Q968:Q979" si="351">ROUND((Q911*$Q$966)/1000,0)</f>
        <v>1672</v>
      </c>
      <c r="R968" s="638">
        <f>(SUM(B968:Q968))</f>
        <v>156999.16973817663</v>
      </c>
      <c r="S968" s="73"/>
      <c r="AC968" s="642" t="s">
        <v>2843</v>
      </c>
      <c r="AD968" s="67">
        <f>ROUND(B968*$AD$966, 0)</f>
        <v>4035</v>
      </c>
      <c r="AE968" s="67">
        <f>ROUND(C968*$AE$966,0)</f>
        <v>514</v>
      </c>
      <c r="AF968" s="67">
        <f>ROUND(D968*$AF$966,0)</f>
        <v>539</v>
      </c>
      <c r="AG968" s="67">
        <f>ROUND(E968*$AG$966,0)</f>
        <v>913</v>
      </c>
      <c r="AH968" s="67">
        <f>ROUND(F968*$AH$966,0)</f>
        <v>0</v>
      </c>
      <c r="AI968" s="67">
        <f>ROUND(H968*$AI$966,0)</f>
        <v>80</v>
      </c>
      <c r="AJ968" s="67">
        <f>ROUND(I968*$AJ$966,0)</f>
        <v>66</v>
      </c>
      <c r="AK968" s="67">
        <f>ROUND(J968*$AK$966,0)</f>
        <v>103</v>
      </c>
      <c r="AL968" s="67">
        <f>ROUND(K968*$AL$966,0)</f>
        <v>106</v>
      </c>
      <c r="AM968" s="67">
        <f>ROUND(L968*$AM$966,0)</f>
        <v>36</v>
      </c>
      <c r="AN968" s="67">
        <f>ROUND(M968*$AN$966,0)</f>
        <v>42</v>
      </c>
      <c r="AO968" s="67">
        <f>ROUND(N968*$AO$966,0)</f>
        <v>88</v>
      </c>
      <c r="AP968" s="67">
        <f>ROUND(O968*$AP$966,0)</f>
        <v>21</v>
      </c>
      <c r="AQ968" s="67">
        <f>ROUND(P968*$AQ$966,0)</f>
        <v>38</v>
      </c>
      <c r="AR968" s="67">
        <f>ROUND(Q968*$AR$966,0)</f>
        <v>50</v>
      </c>
      <c r="AS968" s="636">
        <f>SUM(AD968:AR968)</f>
        <v>6631</v>
      </c>
      <c r="AU968" s="708">
        <f>AS968/R968</f>
        <v>4.2235892145533915E-2</v>
      </c>
    </row>
    <row r="969" spans="1:48" ht="15.75" customHeight="1" x14ac:dyDescent="0.3">
      <c r="A969" s="139" t="s">
        <v>2091</v>
      </c>
      <c r="B969" s="67">
        <f t="shared" ref="B969:B979" si="352">ROUND((B912*$B$966)/1000,0)</f>
        <v>102537</v>
      </c>
      <c r="C969" s="67">
        <f t="shared" si="338"/>
        <v>13054</v>
      </c>
      <c r="D969" s="67">
        <f t="shared" si="339"/>
        <v>13677</v>
      </c>
      <c r="E969" s="67">
        <f t="shared" si="340"/>
        <v>23122</v>
      </c>
      <c r="F969" s="67">
        <f t="shared" ref="F969:F979" si="353">(F912*((T912-1526.8)/0.7702))/1000</f>
        <v>10985.87722669436</v>
      </c>
      <c r="G969" s="67">
        <f>(G912*((T912-1591.4)/0.6635))/1000</f>
        <v>-2214.0051243406133</v>
      </c>
      <c r="H969" s="67">
        <f t="shared" si="342"/>
        <v>4105</v>
      </c>
      <c r="I969" s="67">
        <f t="shared" si="343"/>
        <v>3543</v>
      </c>
      <c r="J969" s="67">
        <f t="shared" si="344"/>
        <v>5506</v>
      </c>
      <c r="K969" s="67">
        <f t="shared" si="345"/>
        <v>5543</v>
      </c>
      <c r="L969" s="67">
        <f t="shared" si="346"/>
        <v>1673</v>
      </c>
      <c r="M969" s="67">
        <f t="shared" si="347"/>
        <v>1972</v>
      </c>
      <c r="N969" s="67">
        <f t="shared" si="348"/>
        <v>3956</v>
      </c>
      <c r="O969" s="67">
        <f t="shared" si="349"/>
        <v>773</v>
      </c>
      <c r="P969" s="67">
        <f t="shared" si="350"/>
        <v>1028</v>
      </c>
      <c r="Q969" s="67">
        <f t="shared" si="351"/>
        <v>1831</v>
      </c>
      <c r="R969" s="638">
        <f>(SUM(B969:Q969))</f>
        <v>191091.87210235375</v>
      </c>
      <c r="S969" s="73"/>
      <c r="AC969" s="642" t="s">
        <v>2091</v>
      </c>
      <c r="AD969" s="67">
        <f t="shared" ref="AD969:AD979" si="354">ROUND(B969*$AD$966, 0)</f>
        <v>4819</v>
      </c>
      <c r="AE969" s="67">
        <f t="shared" ref="AE969:AE979" si="355">ROUND(C969*$AE$966,0)</f>
        <v>614</v>
      </c>
      <c r="AF969" s="67">
        <f t="shared" ref="AF969:AF979" si="356">ROUND(D969*$AF$966,0)</f>
        <v>643</v>
      </c>
      <c r="AG969" s="67">
        <f t="shared" ref="AG969:AG979" si="357">ROUND(E969*$AG$966,0)</f>
        <v>1087</v>
      </c>
      <c r="AH969" s="67">
        <f t="shared" ref="AH969:AH979" si="358">ROUND(F969*$AH$966,0)</f>
        <v>0</v>
      </c>
      <c r="AI969" s="67">
        <f t="shared" ref="AI969:AI979" si="359">ROUND(H969*$AI$966,0)</f>
        <v>123</v>
      </c>
      <c r="AJ969" s="67">
        <f t="shared" ref="AJ969:AJ979" si="360">ROUND(I969*$AJ$966,0)</f>
        <v>106</v>
      </c>
      <c r="AK969" s="67">
        <f t="shared" ref="AK969:AK979" si="361">ROUND(J969*$AK$966,0)</f>
        <v>165</v>
      </c>
      <c r="AL969" s="67">
        <f t="shared" ref="AL969:AL979" si="362">ROUND(K969*$AL$966,0)</f>
        <v>166</v>
      </c>
      <c r="AM969" s="67">
        <f t="shared" ref="AM969:AM979" si="363">ROUND(L969*$AM$966,0)</f>
        <v>50</v>
      </c>
      <c r="AN969" s="67">
        <f t="shared" ref="AN969:AN979" si="364">ROUND(M969*$AN$966,0)</f>
        <v>59</v>
      </c>
      <c r="AO969" s="67">
        <f t="shared" ref="AO969:AO979" si="365">ROUND(N969*$AO$966,0)</f>
        <v>119</v>
      </c>
      <c r="AP969" s="67">
        <f t="shared" ref="AP969:AP979" si="366">ROUND(O969*$AP$966,0)</f>
        <v>23</v>
      </c>
      <c r="AQ969" s="67">
        <f t="shared" ref="AQ969:AQ979" si="367">ROUND(P969*$AQ$966,0)</f>
        <v>31</v>
      </c>
      <c r="AR969" s="67">
        <f t="shared" ref="AR969:AR979" si="368">ROUND(Q969*$AR$966,0)</f>
        <v>55</v>
      </c>
      <c r="AS969" s="636">
        <f t="shared" ref="AS969:AS979" si="369">SUM(AD969:AR969)</f>
        <v>8060</v>
      </c>
      <c r="AU969" s="708">
        <f t="shared" ref="AU969:AU981" si="370">AS969/R969</f>
        <v>4.2178664698427654E-2</v>
      </c>
    </row>
    <row r="970" spans="1:48" ht="15.75" customHeight="1" x14ac:dyDescent="0.3">
      <c r="A970" s="139" t="s">
        <v>2234</v>
      </c>
      <c r="B970" s="67">
        <f t="shared" si="352"/>
        <v>131678</v>
      </c>
      <c r="C970" s="67">
        <f t="shared" si="338"/>
        <v>16753</v>
      </c>
      <c r="D970" s="67">
        <f t="shared" si="339"/>
        <v>17544</v>
      </c>
      <c r="E970" s="67">
        <f t="shared" si="340"/>
        <v>29302</v>
      </c>
      <c r="F970" s="67">
        <f t="shared" si="353"/>
        <v>10247.433888665535</v>
      </c>
      <c r="G970" s="67">
        <f t="shared" si="341"/>
        <v>-3056.1988003524229</v>
      </c>
      <c r="H970" s="67">
        <f t="shared" si="342"/>
        <v>7842</v>
      </c>
      <c r="I970" s="67">
        <f t="shared" si="343"/>
        <v>5412</v>
      </c>
      <c r="J970" s="67">
        <f t="shared" si="344"/>
        <v>7192</v>
      </c>
      <c r="K970" s="67">
        <f t="shared" si="345"/>
        <v>6946</v>
      </c>
      <c r="L970" s="67">
        <f t="shared" si="346"/>
        <v>1981</v>
      </c>
      <c r="M970" s="67">
        <f t="shared" si="347"/>
        <v>2334</v>
      </c>
      <c r="N970" s="67">
        <f t="shared" si="348"/>
        <v>4707</v>
      </c>
      <c r="O970" s="67">
        <f t="shared" si="349"/>
        <v>528</v>
      </c>
      <c r="P970" s="67">
        <f t="shared" si="350"/>
        <v>1285</v>
      </c>
      <c r="Q970" s="67">
        <f t="shared" si="351"/>
        <v>1235</v>
      </c>
      <c r="R970" s="638">
        <f t="shared" ref="R970:R979" si="371">(SUM(B970:Q970))</f>
        <v>241930.23508831311</v>
      </c>
      <c r="S970" s="73"/>
      <c r="AC970" s="642" t="s">
        <v>2234</v>
      </c>
      <c r="AD970" s="67">
        <f t="shared" si="354"/>
        <v>6189</v>
      </c>
      <c r="AE970" s="67">
        <f t="shared" si="355"/>
        <v>787</v>
      </c>
      <c r="AF970" s="67">
        <f t="shared" si="356"/>
        <v>825</v>
      </c>
      <c r="AG970" s="67">
        <f t="shared" si="357"/>
        <v>1377</v>
      </c>
      <c r="AH970" s="67">
        <f t="shared" si="358"/>
        <v>0</v>
      </c>
      <c r="AI970" s="67">
        <f t="shared" si="359"/>
        <v>235</v>
      </c>
      <c r="AJ970" s="67">
        <f t="shared" si="360"/>
        <v>162</v>
      </c>
      <c r="AK970" s="67">
        <f t="shared" si="361"/>
        <v>216</v>
      </c>
      <c r="AL970" s="67">
        <f t="shared" si="362"/>
        <v>208</v>
      </c>
      <c r="AM970" s="67">
        <f t="shared" si="363"/>
        <v>59</v>
      </c>
      <c r="AN970" s="67">
        <f t="shared" si="364"/>
        <v>70</v>
      </c>
      <c r="AO970" s="67">
        <f t="shared" si="365"/>
        <v>141</v>
      </c>
      <c r="AP970" s="67">
        <f t="shared" si="366"/>
        <v>16</v>
      </c>
      <c r="AQ970" s="67">
        <f t="shared" si="367"/>
        <v>39</v>
      </c>
      <c r="AR970" s="67">
        <f t="shared" si="368"/>
        <v>37</v>
      </c>
      <c r="AS970" s="636">
        <f t="shared" si="369"/>
        <v>10361</v>
      </c>
      <c r="AU970" s="708">
        <f t="shared" si="370"/>
        <v>4.2826395783965854E-2</v>
      </c>
    </row>
    <row r="971" spans="1:48" ht="15.75" customHeight="1" x14ac:dyDescent="0.3">
      <c r="A971" s="139" t="s">
        <v>2235</v>
      </c>
      <c r="B971" s="67">
        <f t="shared" si="352"/>
        <v>161401</v>
      </c>
      <c r="C971" s="67">
        <f t="shared" si="338"/>
        <v>20531</v>
      </c>
      <c r="D971" s="67">
        <f t="shared" si="339"/>
        <v>21496</v>
      </c>
      <c r="E971" s="67">
        <f t="shared" si="340"/>
        <v>35536</v>
      </c>
      <c r="F971" s="67">
        <f t="shared" si="353"/>
        <v>2288.9525967281256</v>
      </c>
      <c r="G971" s="67">
        <f t="shared" si="341"/>
        <v>-1066.3607837226837</v>
      </c>
      <c r="H971" s="67">
        <f t="shared" si="342"/>
        <v>11347</v>
      </c>
      <c r="I971" s="67">
        <f t="shared" si="343"/>
        <v>7378</v>
      </c>
      <c r="J971" s="67">
        <f t="shared" si="344"/>
        <v>8719</v>
      </c>
      <c r="K971" s="67">
        <f t="shared" si="345"/>
        <v>7556</v>
      </c>
      <c r="L971" s="67">
        <f t="shared" si="346"/>
        <v>2274</v>
      </c>
      <c r="M971" s="67">
        <f t="shared" si="347"/>
        <v>2679</v>
      </c>
      <c r="N971" s="67">
        <f t="shared" si="348"/>
        <v>5319</v>
      </c>
      <c r="O971" s="67">
        <f t="shared" si="349"/>
        <v>751</v>
      </c>
      <c r="P971" s="67">
        <f t="shared" si="350"/>
        <v>1552</v>
      </c>
      <c r="Q971" s="67">
        <f t="shared" si="351"/>
        <v>1774</v>
      </c>
      <c r="R971" s="638">
        <f t="shared" si="371"/>
        <v>289535.59181300545</v>
      </c>
      <c r="S971" s="73"/>
      <c r="AC971" s="642" t="s">
        <v>2235</v>
      </c>
      <c r="AD971" s="67">
        <f t="shared" si="354"/>
        <v>7586</v>
      </c>
      <c r="AE971" s="67">
        <f t="shared" si="355"/>
        <v>965</v>
      </c>
      <c r="AF971" s="67">
        <f t="shared" si="356"/>
        <v>1010</v>
      </c>
      <c r="AG971" s="67">
        <f t="shared" si="357"/>
        <v>1670</v>
      </c>
      <c r="AH971" s="67">
        <f t="shared" si="358"/>
        <v>0</v>
      </c>
      <c r="AI971" s="67">
        <f t="shared" si="359"/>
        <v>340</v>
      </c>
      <c r="AJ971" s="67">
        <f t="shared" si="360"/>
        <v>221</v>
      </c>
      <c r="AK971" s="67">
        <f t="shared" si="361"/>
        <v>262</v>
      </c>
      <c r="AL971" s="67">
        <f t="shared" si="362"/>
        <v>227</v>
      </c>
      <c r="AM971" s="67">
        <f t="shared" si="363"/>
        <v>68</v>
      </c>
      <c r="AN971" s="67">
        <f t="shared" si="364"/>
        <v>80</v>
      </c>
      <c r="AO971" s="67">
        <f t="shared" si="365"/>
        <v>160</v>
      </c>
      <c r="AP971" s="67">
        <f t="shared" si="366"/>
        <v>23</v>
      </c>
      <c r="AQ971" s="67">
        <f t="shared" si="367"/>
        <v>47</v>
      </c>
      <c r="AR971" s="67">
        <f t="shared" si="368"/>
        <v>53</v>
      </c>
      <c r="AS971" s="636">
        <f t="shared" si="369"/>
        <v>12712</v>
      </c>
      <c r="AU971" s="708">
        <f t="shared" si="370"/>
        <v>4.3904792223990054E-2</v>
      </c>
    </row>
    <row r="972" spans="1:48" ht="15.75" customHeight="1" x14ac:dyDescent="0.3">
      <c r="A972" s="139" t="s">
        <v>2236</v>
      </c>
      <c r="B972" s="67">
        <f t="shared" si="352"/>
        <v>171693</v>
      </c>
      <c r="C972" s="67">
        <f t="shared" si="338"/>
        <v>21836</v>
      </c>
      <c r="D972" s="67">
        <f t="shared" si="339"/>
        <v>22858</v>
      </c>
      <c r="E972" s="67">
        <f t="shared" si="340"/>
        <v>37675</v>
      </c>
      <c r="F972" s="67">
        <f t="shared" si="353"/>
        <v>893.59132692807043</v>
      </c>
      <c r="G972" s="67">
        <f t="shared" si="341"/>
        <v>-772.44865109268892</v>
      </c>
      <c r="H972" s="67">
        <f t="shared" si="342"/>
        <v>12596</v>
      </c>
      <c r="I972" s="67">
        <f t="shared" si="343"/>
        <v>6707</v>
      </c>
      <c r="J972" s="67">
        <f t="shared" si="344"/>
        <v>8058</v>
      </c>
      <c r="K972" s="67">
        <f t="shared" si="345"/>
        <v>6943</v>
      </c>
      <c r="L972" s="67">
        <f t="shared" si="346"/>
        <v>2278</v>
      </c>
      <c r="M972" s="67">
        <f t="shared" si="347"/>
        <v>2683</v>
      </c>
      <c r="N972" s="67">
        <f t="shared" si="348"/>
        <v>5300</v>
      </c>
      <c r="O972" s="67">
        <f t="shared" si="349"/>
        <v>899</v>
      </c>
      <c r="P972" s="67">
        <f t="shared" si="350"/>
        <v>1996</v>
      </c>
      <c r="Q972" s="67">
        <f t="shared" si="351"/>
        <v>2125</v>
      </c>
      <c r="R972" s="638">
        <f t="shared" si="371"/>
        <v>303768.14267583541</v>
      </c>
      <c r="S972" s="73"/>
      <c r="AC972" s="642" t="s">
        <v>2236</v>
      </c>
      <c r="AD972" s="67">
        <f t="shared" si="354"/>
        <v>8070</v>
      </c>
      <c r="AE972" s="67">
        <f t="shared" si="355"/>
        <v>1026</v>
      </c>
      <c r="AF972" s="67">
        <f t="shared" si="356"/>
        <v>1074</v>
      </c>
      <c r="AG972" s="67">
        <f t="shared" si="357"/>
        <v>1771</v>
      </c>
      <c r="AH972" s="67">
        <f t="shared" si="358"/>
        <v>0</v>
      </c>
      <c r="AI972" s="67">
        <f t="shared" si="359"/>
        <v>378</v>
      </c>
      <c r="AJ972" s="67">
        <f t="shared" si="360"/>
        <v>201</v>
      </c>
      <c r="AK972" s="67">
        <f t="shared" si="361"/>
        <v>242</v>
      </c>
      <c r="AL972" s="67">
        <f t="shared" si="362"/>
        <v>208</v>
      </c>
      <c r="AM972" s="67">
        <f t="shared" si="363"/>
        <v>68</v>
      </c>
      <c r="AN972" s="67">
        <f t="shared" si="364"/>
        <v>80</v>
      </c>
      <c r="AO972" s="67">
        <f t="shared" si="365"/>
        <v>159</v>
      </c>
      <c r="AP972" s="67">
        <f t="shared" si="366"/>
        <v>27</v>
      </c>
      <c r="AQ972" s="67">
        <f t="shared" si="367"/>
        <v>60</v>
      </c>
      <c r="AR972" s="67">
        <f t="shared" si="368"/>
        <v>64</v>
      </c>
      <c r="AS972" s="636">
        <f t="shared" si="369"/>
        <v>13428</v>
      </c>
      <c r="AU972" s="708">
        <f t="shared" si="370"/>
        <v>4.4204767102024985E-2</v>
      </c>
    </row>
    <row r="973" spans="1:48" ht="15.75" customHeight="1" x14ac:dyDescent="0.3">
      <c r="A973" s="139" t="s">
        <v>2237</v>
      </c>
      <c r="B973" s="67">
        <f t="shared" si="352"/>
        <v>88116</v>
      </c>
      <c r="C973" s="67">
        <f t="shared" si="338"/>
        <v>11182</v>
      </c>
      <c r="D973" s="67">
        <f t="shared" si="339"/>
        <v>11682</v>
      </c>
      <c r="E973" s="67">
        <f t="shared" si="340"/>
        <v>18470</v>
      </c>
      <c r="F973" s="67">
        <f t="shared" si="353"/>
        <v>0</v>
      </c>
      <c r="G973" s="67">
        <f t="shared" si="341"/>
        <v>-15221.461341371518</v>
      </c>
      <c r="H973" s="67">
        <f t="shared" si="342"/>
        <v>13917</v>
      </c>
      <c r="I973" s="67">
        <f t="shared" si="343"/>
        <v>7187</v>
      </c>
      <c r="J973" s="67">
        <f t="shared" si="344"/>
        <v>7251</v>
      </c>
      <c r="K973" s="67">
        <f t="shared" si="345"/>
        <v>5984</v>
      </c>
      <c r="L973" s="67">
        <f t="shared" si="346"/>
        <v>1966</v>
      </c>
      <c r="M973" s="67">
        <f t="shared" si="347"/>
        <v>2315</v>
      </c>
      <c r="N973" s="67">
        <f t="shared" si="348"/>
        <v>4472</v>
      </c>
      <c r="O973" s="67">
        <f t="shared" si="349"/>
        <v>741</v>
      </c>
      <c r="P973" s="67">
        <f t="shared" si="350"/>
        <v>1979</v>
      </c>
      <c r="Q973" s="67">
        <f t="shared" si="351"/>
        <v>1751</v>
      </c>
      <c r="R973" s="638">
        <f>(SUM(B973:Q973))</f>
        <v>161791.53865862847</v>
      </c>
      <c r="S973" s="73"/>
      <c r="AC973" s="642" t="s">
        <v>2237</v>
      </c>
      <c r="AD973" s="67">
        <f t="shared" si="354"/>
        <v>4141</v>
      </c>
      <c r="AE973" s="67">
        <f t="shared" si="355"/>
        <v>526</v>
      </c>
      <c r="AF973" s="67">
        <f t="shared" si="356"/>
        <v>549</v>
      </c>
      <c r="AG973" s="67">
        <f t="shared" si="357"/>
        <v>868</v>
      </c>
      <c r="AH973" s="67">
        <f t="shared" si="358"/>
        <v>0</v>
      </c>
      <c r="AI973" s="67">
        <f t="shared" si="359"/>
        <v>418</v>
      </c>
      <c r="AJ973" s="67">
        <f t="shared" si="360"/>
        <v>216</v>
      </c>
      <c r="AK973" s="67">
        <f t="shared" si="361"/>
        <v>218</v>
      </c>
      <c r="AL973" s="67">
        <f t="shared" si="362"/>
        <v>180</v>
      </c>
      <c r="AM973" s="67">
        <f t="shared" si="363"/>
        <v>59</v>
      </c>
      <c r="AN973" s="67">
        <f t="shared" si="364"/>
        <v>69</v>
      </c>
      <c r="AO973" s="67">
        <f t="shared" si="365"/>
        <v>134</v>
      </c>
      <c r="AP973" s="67">
        <f t="shared" si="366"/>
        <v>22</v>
      </c>
      <c r="AQ973" s="67">
        <f t="shared" si="367"/>
        <v>59</v>
      </c>
      <c r="AR973" s="67">
        <f t="shared" si="368"/>
        <v>53</v>
      </c>
      <c r="AS973" s="636">
        <f t="shared" si="369"/>
        <v>7512</v>
      </c>
      <c r="AU973" s="708">
        <f t="shared" si="370"/>
        <v>4.6430116570248585E-2</v>
      </c>
    </row>
    <row r="974" spans="1:48" ht="15.75" customHeight="1" x14ac:dyDescent="0.3">
      <c r="A974" s="139" t="s">
        <v>1504</v>
      </c>
      <c r="B974" s="67">
        <f t="shared" si="352"/>
        <v>75321</v>
      </c>
      <c r="C974" s="67">
        <f t="shared" si="338"/>
        <v>9551</v>
      </c>
      <c r="D974" s="67">
        <f t="shared" si="339"/>
        <v>9971</v>
      </c>
      <c r="E974" s="67">
        <f t="shared" si="340"/>
        <v>15547</v>
      </c>
      <c r="F974" s="67">
        <f t="shared" si="353"/>
        <v>0</v>
      </c>
      <c r="G974" s="67">
        <f t="shared" si="341"/>
        <v>-14235.359005275053</v>
      </c>
      <c r="H974" s="67">
        <f t="shared" si="342"/>
        <v>14129</v>
      </c>
      <c r="I974" s="67">
        <f t="shared" si="343"/>
        <v>7787</v>
      </c>
      <c r="J974" s="67">
        <f t="shared" si="344"/>
        <v>7529</v>
      </c>
      <c r="K974" s="67">
        <f t="shared" si="345"/>
        <v>5922</v>
      </c>
      <c r="L974" s="67">
        <f t="shared" si="346"/>
        <v>1840</v>
      </c>
      <c r="M974" s="67">
        <f t="shared" si="347"/>
        <v>2167</v>
      </c>
      <c r="N974" s="67">
        <f t="shared" si="348"/>
        <v>4201</v>
      </c>
      <c r="O974" s="67">
        <f t="shared" si="349"/>
        <v>644</v>
      </c>
      <c r="P974" s="67">
        <f t="shared" si="350"/>
        <v>1777</v>
      </c>
      <c r="Q974" s="67">
        <f t="shared" si="351"/>
        <v>1523</v>
      </c>
      <c r="R974" s="638">
        <f t="shared" si="371"/>
        <v>143673.64099472493</v>
      </c>
      <c r="S974" s="73"/>
      <c r="AC974" s="642" t="s">
        <v>1504</v>
      </c>
      <c r="AD974" s="67">
        <f t="shared" si="354"/>
        <v>3540</v>
      </c>
      <c r="AE974" s="67">
        <f t="shared" si="355"/>
        <v>449</v>
      </c>
      <c r="AF974" s="67">
        <f t="shared" si="356"/>
        <v>469</v>
      </c>
      <c r="AG974" s="67">
        <f t="shared" si="357"/>
        <v>731</v>
      </c>
      <c r="AH974" s="67">
        <f t="shared" si="358"/>
        <v>0</v>
      </c>
      <c r="AI974" s="67">
        <f t="shared" si="359"/>
        <v>424</v>
      </c>
      <c r="AJ974" s="67">
        <f t="shared" si="360"/>
        <v>234</v>
      </c>
      <c r="AK974" s="67">
        <f t="shared" si="361"/>
        <v>226</v>
      </c>
      <c r="AL974" s="67">
        <f t="shared" si="362"/>
        <v>178</v>
      </c>
      <c r="AM974" s="67">
        <f t="shared" si="363"/>
        <v>55</v>
      </c>
      <c r="AN974" s="67">
        <f t="shared" si="364"/>
        <v>65</v>
      </c>
      <c r="AO974" s="67">
        <f t="shared" si="365"/>
        <v>126</v>
      </c>
      <c r="AP974" s="67">
        <f t="shared" si="366"/>
        <v>19</v>
      </c>
      <c r="AQ974" s="67">
        <f t="shared" si="367"/>
        <v>53</v>
      </c>
      <c r="AR974" s="67">
        <f t="shared" si="368"/>
        <v>46</v>
      </c>
      <c r="AS974" s="636">
        <f t="shared" si="369"/>
        <v>6615</v>
      </c>
      <c r="AU974" s="708">
        <f t="shared" si="370"/>
        <v>4.6041848415624642E-2</v>
      </c>
    </row>
    <row r="975" spans="1:48" ht="15.75" customHeight="1" x14ac:dyDescent="0.3">
      <c r="A975" s="139" t="s">
        <v>1505</v>
      </c>
      <c r="B975" s="67">
        <f t="shared" si="352"/>
        <v>27141</v>
      </c>
      <c r="C975" s="67">
        <f t="shared" si="338"/>
        <v>3419</v>
      </c>
      <c r="D975" s="67">
        <f t="shared" si="339"/>
        <v>3547</v>
      </c>
      <c r="E975" s="67">
        <f t="shared" si="340"/>
        <v>4491</v>
      </c>
      <c r="F975" s="67">
        <f t="shared" si="353"/>
        <v>0</v>
      </c>
      <c r="G975" s="67">
        <f t="shared" si="341"/>
        <v>-14849.919737813088</v>
      </c>
      <c r="H975" s="67">
        <f t="shared" si="342"/>
        <v>12009</v>
      </c>
      <c r="I975" s="67">
        <f t="shared" si="343"/>
        <v>7832</v>
      </c>
      <c r="J975" s="67">
        <f t="shared" si="344"/>
        <v>8127</v>
      </c>
      <c r="K975" s="67">
        <f t="shared" si="345"/>
        <v>7318</v>
      </c>
      <c r="L975" s="67">
        <f t="shared" si="346"/>
        <v>2262</v>
      </c>
      <c r="M975" s="67">
        <f t="shared" si="347"/>
        <v>2665</v>
      </c>
      <c r="N975" s="67">
        <f t="shared" si="348"/>
        <v>5013</v>
      </c>
      <c r="O975" s="67">
        <f t="shared" si="349"/>
        <v>860</v>
      </c>
      <c r="P975" s="67">
        <f t="shared" si="350"/>
        <v>1940</v>
      </c>
      <c r="Q975" s="67">
        <f t="shared" si="351"/>
        <v>2034</v>
      </c>
      <c r="R975" s="638">
        <f t="shared" si="371"/>
        <v>73808.080262186908</v>
      </c>
      <c r="S975" s="73"/>
      <c r="AC975" s="642" t="s">
        <v>1505</v>
      </c>
      <c r="AD975" s="67">
        <f t="shared" si="354"/>
        <v>1276</v>
      </c>
      <c r="AE975" s="67">
        <f t="shared" si="355"/>
        <v>161</v>
      </c>
      <c r="AF975" s="67">
        <f t="shared" si="356"/>
        <v>167</v>
      </c>
      <c r="AG975" s="67">
        <f t="shared" si="357"/>
        <v>211</v>
      </c>
      <c r="AH975" s="67">
        <f t="shared" si="358"/>
        <v>0</v>
      </c>
      <c r="AI975" s="67">
        <f t="shared" si="359"/>
        <v>360</v>
      </c>
      <c r="AJ975" s="67">
        <f t="shared" si="360"/>
        <v>235</v>
      </c>
      <c r="AK975" s="67">
        <f t="shared" si="361"/>
        <v>244</v>
      </c>
      <c r="AL975" s="67">
        <f t="shared" si="362"/>
        <v>220</v>
      </c>
      <c r="AM975" s="67">
        <f t="shared" si="363"/>
        <v>68</v>
      </c>
      <c r="AN975" s="67">
        <f t="shared" si="364"/>
        <v>80</v>
      </c>
      <c r="AO975" s="67">
        <f t="shared" si="365"/>
        <v>150</v>
      </c>
      <c r="AP975" s="67">
        <f t="shared" si="366"/>
        <v>26</v>
      </c>
      <c r="AQ975" s="67">
        <f t="shared" si="367"/>
        <v>58</v>
      </c>
      <c r="AR975" s="67">
        <f t="shared" si="368"/>
        <v>61</v>
      </c>
      <c r="AS975" s="636">
        <f t="shared" si="369"/>
        <v>3317</v>
      </c>
      <c r="AU975" s="708">
        <f t="shared" si="370"/>
        <v>4.4940878941940911E-2</v>
      </c>
    </row>
    <row r="976" spans="1:48" ht="15.75" customHeight="1" x14ac:dyDescent="0.3">
      <c r="A976" s="139" t="s">
        <v>1506</v>
      </c>
      <c r="B976" s="67">
        <f t="shared" si="352"/>
        <v>158169</v>
      </c>
      <c r="C976" s="67">
        <f t="shared" si="338"/>
        <v>20125</v>
      </c>
      <c r="D976" s="67">
        <f t="shared" si="339"/>
        <v>21076</v>
      </c>
      <c r="E976" s="67">
        <f t="shared" si="340"/>
        <v>34973</v>
      </c>
      <c r="F976" s="67">
        <f t="shared" si="353"/>
        <v>3060.361757273578</v>
      </c>
      <c r="G976" s="67">
        <f t="shared" si="341"/>
        <v>-801.18752607060651</v>
      </c>
      <c r="H976" s="67">
        <f t="shared" si="342"/>
        <v>9434</v>
      </c>
      <c r="I976" s="67">
        <f t="shared" si="343"/>
        <v>5736</v>
      </c>
      <c r="J976" s="67">
        <f t="shared" si="344"/>
        <v>6925</v>
      </c>
      <c r="K976" s="67">
        <f t="shared" si="345"/>
        <v>6238</v>
      </c>
      <c r="L976" s="67">
        <f t="shared" si="346"/>
        <v>1886</v>
      </c>
      <c r="M976" s="67">
        <f t="shared" si="347"/>
        <v>2222</v>
      </c>
      <c r="N976" s="67">
        <f t="shared" si="348"/>
        <v>4190</v>
      </c>
      <c r="O976" s="67">
        <f t="shared" si="349"/>
        <v>776</v>
      </c>
      <c r="P976" s="67">
        <f t="shared" si="350"/>
        <v>1898</v>
      </c>
      <c r="Q976" s="67">
        <f t="shared" si="351"/>
        <v>1836</v>
      </c>
      <c r="R976" s="638">
        <f t="shared" si="371"/>
        <v>277743.17423120298</v>
      </c>
      <c r="S976" s="73"/>
      <c r="AC976" s="642" t="s">
        <v>1506</v>
      </c>
      <c r="AD976" s="67">
        <f t="shared" si="354"/>
        <v>7434</v>
      </c>
      <c r="AE976" s="67">
        <f t="shared" si="355"/>
        <v>946</v>
      </c>
      <c r="AF976" s="67">
        <f t="shared" si="356"/>
        <v>991</v>
      </c>
      <c r="AG976" s="67">
        <f t="shared" si="357"/>
        <v>1644</v>
      </c>
      <c r="AH976" s="67">
        <f t="shared" si="358"/>
        <v>0</v>
      </c>
      <c r="AI976" s="67">
        <f t="shared" si="359"/>
        <v>283</v>
      </c>
      <c r="AJ976" s="67">
        <f t="shared" si="360"/>
        <v>172</v>
      </c>
      <c r="AK976" s="67">
        <f t="shared" si="361"/>
        <v>208</v>
      </c>
      <c r="AL976" s="67">
        <f t="shared" si="362"/>
        <v>187</v>
      </c>
      <c r="AM976" s="67">
        <f t="shared" si="363"/>
        <v>57</v>
      </c>
      <c r="AN976" s="67">
        <f t="shared" si="364"/>
        <v>67</v>
      </c>
      <c r="AO976" s="67">
        <f t="shared" si="365"/>
        <v>126</v>
      </c>
      <c r="AP976" s="67">
        <f t="shared" si="366"/>
        <v>23</v>
      </c>
      <c r="AQ976" s="67">
        <f t="shared" si="367"/>
        <v>57</v>
      </c>
      <c r="AR976" s="67">
        <f t="shared" si="368"/>
        <v>55</v>
      </c>
      <c r="AS976" s="636">
        <f t="shared" si="369"/>
        <v>12250</v>
      </c>
      <c r="AU976" s="708">
        <f t="shared" si="370"/>
        <v>4.4105494343499793E-2</v>
      </c>
    </row>
    <row r="977" spans="1:47" ht="15.75" customHeight="1" x14ac:dyDescent="0.3">
      <c r="A977" s="139" t="s">
        <v>1507</v>
      </c>
      <c r="B977" s="67">
        <f t="shared" si="352"/>
        <v>167664</v>
      </c>
      <c r="C977" s="67">
        <f t="shared" si="338"/>
        <v>21339</v>
      </c>
      <c r="D977" s="67">
        <f t="shared" si="339"/>
        <v>22354</v>
      </c>
      <c r="E977" s="67">
        <f t="shared" si="340"/>
        <v>38024</v>
      </c>
      <c r="F977" s="67">
        <f t="shared" si="353"/>
        <v>16991.456349000269</v>
      </c>
      <c r="G977" s="67">
        <f t="shared" si="341"/>
        <v>0</v>
      </c>
      <c r="H977" s="67">
        <f t="shared" si="342"/>
        <v>3838</v>
      </c>
      <c r="I977" s="67">
        <f t="shared" si="343"/>
        <v>2160</v>
      </c>
      <c r="J977" s="67">
        <f t="shared" si="344"/>
        <v>3156</v>
      </c>
      <c r="K977" s="67">
        <f t="shared" si="345"/>
        <v>3233</v>
      </c>
      <c r="L977" s="67">
        <f t="shared" si="346"/>
        <v>900</v>
      </c>
      <c r="M977" s="67">
        <f t="shared" si="347"/>
        <v>1059</v>
      </c>
      <c r="N977" s="67">
        <f t="shared" si="348"/>
        <v>2214</v>
      </c>
      <c r="O977" s="67">
        <f t="shared" si="349"/>
        <v>603</v>
      </c>
      <c r="P977" s="67">
        <f t="shared" si="350"/>
        <v>1220</v>
      </c>
      <c r="Q977" s="67">
        <f t="shared" si="351"/>
        <v>1427</v>
      </c>
      <c r="R977" s="638">
        <f t="shared" si="371"/>
        <v>286182.45634900028</v>
      </c>
      <c r="S977" s="73"/>
      <c r="AC977" s="642" t="s">
        <v>1507</v>
      </c>
      <c r="AD977" s="67">
        <f t="shared" si="354"/>
        <v>7880</v>
      </c>
      <c r="AE977" s="67">
        <f t="shared" si="355"/>
        <v>1003</v>
      </c>
      <c r="AF977" s="67">
        <f t="shared" si="356"/>
        <v>1051</v>
      </c>
      <c r="AG977" s="67">
        <f t="shared" si="357"/>
        <v>1787</v>
      </c>
      <c r="AH977" s="67">
        <f t="shared" si="358"/>
        <v>0</v>
      </c>
      <c r="AI977" s="67">
        <f t="shared" si="359"/>
        <v>115</v>
      </c>
      <c r="AJ977" s="67">
        <f t="shared" si="360"/>
        <v>65</v>
      </c>
      <c r="AK977" s="67">
        <f t="shared" si="361"/>
        <v>95</v>
      </c>
      <c r="AL977" s="67">
        <f t="shared" si="362"/>
        <v>97</v>
      </c>
      <c r="AM977" s="67">
        <f t="shared" si="363"/>
        <v>27</v>
      </c>
      <c r="AN977" s="67">
        <f t="shared" si="364"/>
        <v>32</v>
      </c>
      <c r="AO977" s="67">
        <f t="shared" si="365"/>
        <v>66</v>
      </c>
      <c r="AP977" s="67">
        <f t="shared" si="366"/>
        <v>18</v>
      </c>
      <c r="AQ977" s="67">
        <f t="shared" si="367"/>
        <v>37</v>
      </c>
      <c r="AR977" s="67">
        <f t="shared" si="368"/>
        <v>43</v>
      </c>
      <c r="AS977" s="636">
        <f t="shared" si="369"/>
        <v>12316</v>
      </c>
      <c r="AU977" s="708">
        <f t="shared" si="370"/>
        <v>4.3035482178476393E-2</v>
      </c>
    </row>
    <row r="978" spans="1:47" ht="15.75" customHeight="1" x14ac:dyDescent="0.3">
      <c r="A978" s="139" t="s">
        <v>1508</v>
      </c>
      <c r="B978" s="67">
        <f t="shared" si="352"/>
        <v>163861</v>
      </c>
      <c r="C978" s="67">
        <f t="shared" si="338"/>
        <v>20861</v>
      </c>
      <c r="D978" s="67">
        <f t="shared" si="339"/>
        <v>21858</v>
      </c>
      <c r="E978" s="67">
        <f t="shared" si="340"/>
        <v>36722</v>
      </c>
      <c r="F978" s="67">
        <f t="shared" si="353"/>
        <v>15321.015891976112</v>
      </c>
      <c r="G978" s="67">
        <f t="shared" si="341"/>
        <v>-13.408560663149945</v>
      </c>
      <c r="H978" s="67">
        <f t="shared" si="342"/>
        <v>3830</v>
      </c>
      <c r="I978" s="67">
        <f t="shared" si="343"/>
        <v>896</v>
      </c>
      <c r="J978" s="67">
        <f t="shared" si="344"/>
        <v>1389</v>
      </c>
      <c r="K978" s="67">
        <f t="shared" si="345"/>
        <v>1350</v>
      </c>
      <c r="L978" s="67">
        <f t="shared" si="346"/>
        <v>443</v>
      </c>
      <c r="M978" s="67">
        <f t="shared" si="347"/>
        <v>520</v>
      </c>
      <c r="N978" s="67">
        <f t="shared" si="348"/>
        <v>940</v>
      </c>
      <c r="O978" s="67">
        <f t="shared" si="349"/>
        <v>407</v>
      </c>
      <c r="P978" s="67">
        <f t="shared" si="350"/>
        <v>1286</v>
      </c>
      <c r="Q978" s="67">
        <f t="shared" si="351"/>
        <v>963</v>
      </c>
      <c r="R978" s="638">
        <f t="shared" si="371"/>
        <v>270633.60733131296</v>
      </c>
      <c r="S978" s="73"/>
      <c r="AC978" s="642" t="s">
        <v>1508</v>
      </c>
      <c r="AD978" s="67">
        <f t="shared" si="354"/>
        <v>7701</v>
      </c>
      <c r="AE978" s="67">
        <f t="shared" si="355"/>
        <v>980</v>
      </c>
      <c r="AF978" s="67">
        <f t="shared" si="356"/>
        <v>1027</v>
      </c>
      <c r="AG978" s="67">
        <f t="shared" si="357"/>
        <v>1726</v>
      </c>
      <c r="AH978" s="67">
        <f t="shared" si="358"/>
        <v>0</v>
      </c>
      <c r="AI978" s="67">
        <f t="shared" si="359"/>
        <v>115</v>
      </c>
      <c r="AJ978" s="67">
        <f t="shared" si="360"/>
        <v>27</v>
      </c>
      <c r="AK978" s="67">
        <f t="shared" si="361"/>
        <v>42</v>
      </c>
      <c r="AL978" s="67">
        <f t="shared" si="362"/>
        <v>41</v>
      </c>
      <c r="AM978" s="67">
        <f t="shared" si="363"/>
        <v>13</v>
      </c>
      <c r="AN978" s="67">
        <f t="shared" si="364"/>
        <v>16</v>
      </c>
      <c r="AO978" s="67">
        <f t="shared" si="365"/>
        <v>28</v>
      </c>
      <c r="AP978" s="67">
        <f t="shared" si="366"/>
        <v>12</v>
      </c>
      <c r="AQ978" s="67">
        <f t="shared" si="367"/>
        <v>39</v>
      </c>
      <c r="AR978" s="67">
        <f t="shared" si="368"/>
        <v>29</v>
      </c>
      <c r="AS978" s="636">
        <f t="shared" si="369"/>
        <v>11796</v>
      </c>
      <c r="AU978" s="708">
        <f t="shared" si="370"/>
        <v>4.3586604473550075E-2</v>
      </c>
    </row>
    <row r="979" spans="1:47" ht="15.75" customHeight="1" x14ac:dyDescent="0.3">
      <c r="A979" s="139" t="s">
        <v>1509</v>
      </c>
      <c r="B979" s="67">
        <f t="shared" si="352"/>
        <v>136319</v>
      </c>
      <c r="C979" s="67">
        <f t="shared" si="338"/>
        <v>17355</v>
      </c>
      <c r="D979" s="67">
        <f t="shared" si="339"/>
        <v>18186</v>
      </c>
      <c r="E979" s="67">
        <f t="shared" si="340"/>
        <v>30623</v>
      </c>
      <c r="F979" s="67">
        <f t="shared" si="353"/>
        <v>15722.696901825737</v>
      </c>
      <c r="G979" s="67">
        <f t="shared" si="341"/>
        <v>0</v>
      </c>
      <c r="H979" s="67">
        <f t="shared" si="342"/>
        <v>2861</v>
      </c>
      <c r="I979" s="67">
        <f t="shared" si="343"/>
        <v>897</v>
      </c>
      <c r="J979" s="67">
        <f t="shared" si="344"/>
        <v>1329</v>
      </c>
      <c r="K979" s="67">
        <f t="shared" si="345"/>
        <v>1371</v>
      </c>
      <c r="L979" s="67">
        <f t="shared" si="346"/>
        <v>514</v>
      </c>
      <c r="M979" s="67">
        <f t="shared" si="347"/>
        <v>605</v>
      </c>
      <c r="N979" s="67">
        <f t="shared" si="348"/>
        <v>1066</v>
      </c>
      <c r="O979" s="67">
        <f t="shared" si="349"/>
        <v>363</v>
      </c>
      <c r="P979" s="67">
        <f t="shared" si="350"/>
        <v>1127</v>
      </c>
      <c r="Q979" s="67">
        <f t="shared" si="351"/>
        <v>849</v>
      </c>
      <c r="R979" s="638">
        <f t="shared" si="371"/>
        <v>229187.69690182572</v>
      </c>
      <c r="S979" s="73"/>
      <c r="AC979" s="642" t="s">
        <v>1509</v>
      </c>
      <c r="AD979" s="67">
        <f t="shared" si="354"/>
        <v>6407</v>
      </c>
      <c r="AE979" s="67">
        <f t="shared" si="355"/>
        <v>816</v>
      </c>
      <c r="AF979" s="67">
        <f t="shared" si="356"/>
        <v>855</v>
      </c>
      <c r="AG979" s="67">
        <f t="shared" si="357"/>
        <v>1439</v>
      </c>
      <c r="AH979" s="67">
        <f t="shared" si="358"/>
        <v>0</v>
      </c>
      <c r="AI979" s="67">
        <f t="shared" si="359"/>
        <v>86</v>
      </c>
      <c r="AJ979" s="67">
        <f t="shared" si="360"/>
        <v>27</v>
      </c>
      <c r="AK979" s="67">
        <f t="shared" si="361"/>
        <v>40</v>
      </c>
      <c r="AL979" s="67">
        <f t="shared" si="362"/>
        <v>41</v>
      </c>
      <c r="AM979" s="67">
        <f t="shared" si="363"/>
        <v>15</v>
      </c>
      <c r="AN979" s="67">
        <f t="shared" si="364"/>
        <v>18</v>
      </c>
      <c r="AO979" s="67">
        <f t="shared" si="365"/>
        <v>32</v>
      </c>
      <c r="AP979" s="67">
        <f t="shared" si="366"/>
        <v>11</v>
      </c>
      <c r="AQ979" s="67">
        <f t="shared" si="367"/>
        <v>34</v>
      </c>
      <c r="AR979" s="67">
        <f t="shared" si="368"/>
        <v>25</v>
      </c>
      <c r="AS979" s="636">
        <f t="shared" si="369"/>
        <v>9846</v>
      </c>
      <c r="AU979" s="708">
        <f t="shared" si="370"/>
        <v>4.2960421231588219E-2</v>
      </c>
    </row>
    <row r="980" spans="1:47" ht="15.75" customHeight="1" x14ac:dyDescent="0.3">
      <c r="A980" s="553"/>
      <c r="B980" s="67"/>
      <c r="C980" s="67"/>
      <c r="D980" s="67"/>
      <c r="E980" s="67"/>
      <c r="F980" s="67"/>
      <c r="G980" s="67"/>
      <c r="H980" s="67"/>
      <c r="I980" s="67"/>
      <c r="J980" s="67"/>
      <c r="K980" s="67"/>
      <c r="L980" s="67"/>
      <c r="M980" s="67"/>
      <c r="N980" s="67"/>
      <c r="O980" s="67"/>
      <c r="P980" s="67"/>
      <c r="Q980" s="67"/>
      <c r="R980" s="636"/>
      <c r="S980" s="73"/>
      <c r="AC980" s="579"/>
      <c r="AD980" s="67"/>
      <c r="AE980" s="67"/>
      <c r="AF980" s="67"/>
      <c r="AG980" s="67"/>
      <c r="AH980" s="67"/>
      <c r="AI980" s="67"/>
      <c r="AJ980" s="67"/>
      <c r="AK980" s="67"/>
      <c r="AL980" s="67"/>
      <c r="AM980" s="67"/>
      <c r="AN980" s="67"/>
      <c r="AO980" s="67"/>
      <c r="AP980" s="67"/>
      <c r="AQ980" s="67"/>
      <c r="AR980" s="67"/>
      <c r="AS980" s="636"/>
    </row>
    <row r="981" spans="1:47" ht="15.75" customHeight="1" thickBot="1" x14ac:dyDescent="0.35">
      <c r="A981" s="553" t="s">
        <v>2356</v>
      </c>
      <c r="B981" s="67">
        <f>SUM(B968:B979)</f>
        <v>1469755</v>
      </c>
      <c r="C981" s="67">
        <f t="shared" ref="C981:Q981" si="372">SUM(C968:C979)</f>
        <v>186939</v>
      </c>
      <c r="D981" s="67">
        <f t="shared" si="372"/>
        <v>195708</v>
      </c>
      <c r="E981" s="67">
        <f t="shared" si="372"/>
        <v>323903</v>
      </c>
      <c r="F981" s="67">
        <f t="shared" si="372"/>
        <v>84535.066152023486</v>
      </c>
      <c r="G981" s="67">
        <f t="shared" si="372"/>
        <v>-52946.860005456911</v>
      </c>
      <c r="H981" s="67">
        <f t="shared" si="372"/>
        <v>98588</v>
      </c>
      <c r="I981" s="67">
        <f t="shared" si="372"/>
        <v>57730</v>
      </c>
      <c r="J981" s="67">
        <f t="shared" si="372"/>
        <v>68600</v>
      </c>
      <c r="K981" s="67">
        <f t="shared" si="372"/>
        <v>61947</v>
      </c>
      <c r="L981" s="67">
        <f t="shared" si="372"/>
        <v>19217</v>
      </c>
      <c r="M981" s="67">
        <f t="shared" si="372"/>
        <v>22634</v>
      </c>
      <c r="N981" s="67">
        <f t="shared" si="372"/>
        <v>44301</v>
      </c>
      <c r="O981" s="67">
        <f t="shared" si="372"/>
        <v>8051</v>
      </c>
      <c r="P981" s="67">
        <f t="shared" si="372"/>
        <v>18364</v>
      </c>
      <c r="Q981" s="67">
        <f t="shared" si="372"/>
        <v>19020</v>
      </c>
      <c r="R981" s="639">
        <f>SUM(R968:R979)</f>
        <v>2626345.2061465667</v>
      </c>
      <c r="S981" s="73"/>
      <c r="AC981" s="644" t="s">
        <v>2356</v>
      </c>
      <c r="AD981" s="555">
        <f>SUM(AD968:AD979)</f>
        <v>69078</v>
      </c>
      <c r="AE981" s="555">
        <f t="shared" ref="AE981:AS981" si="373">SUM(AE968:AE979)</f>
        <v>8787</v>
      </c>
      <c r="AF981" s="555">
        <f t="shared" si="373"/>
        <v>9200</v>
      </c>
      <c r="AG981" s="555">
        <f t="shared" si="373"/>
        <v>15224</v>
      </c>
      <c r="AH981" s="555">
        <f t="shared" si="373"/>
        <v>0</v>
      </c>
      <c r="AI981" s="555">
        <f t="shared" si="373"/>
        <v>2957</v>
      </c>
      <c r="AJ981" s="555">
        <f t="shared" si="373"/>
        <v>1732</v>
      </c>
      <c r="AK981" s="555">
        <f t="shared" si="373"/>
        <v>2061</v>
      </c>
      <c r="AL981" s="555">
        <f t="shared" si="373"/>
        <v>1859</v>
      </c>
      <c r="AM981" s="555">
        <f t="shared" si="373"/>
        <v>575</v>
      </c>
      <c r="AN981" s="555">
        <f t="shared" si="373"/>
        <v>678</v>
      </c>
      <c r="AO981" s="555">
        <f t="shared" si="373"/>
        <v>1329</v>
      </c>
      <c r="AP981" s="555">
        <f t="shared" si="373"/>
        <v>241</v>
      </c>
      <c r="AQ981" s="555">
        <f t="shared" si="373"/>
        <v>552</v>
      </c>
      <c r="AR981" s="555">
        <f t="shared" si="373"/>
        <v>571</v>
      </c>
      <c r="AS981" s="637">
        <f t="shared" si="373"/>
        <v>114844</v>
      </c>
      <c r="AU981" s="708">
        <f t="shared" si="370"/>
        <v>4.3727686570381098E-2</v>
      </c>
    </row>
    <row r="982" spans="1:47" ht="16.5" customHeight="1" thickBot="1" x14ac:dyDescent="0.35">
      <c r="A982" s="558" t="s">
        <v>852</v>
      </c>
      <c r="B982" s="555"/>
      <c r="C982" s="555"/>
      <c r="D982" s="555"/>
      <c r="E982" s="555"/>
      <c r="F982" s="555"/>
      <c r="G982" s="555"/>
      <c r="H982" s="555"/>
      <c r="I982" s="555"/>
      <c r="J982" s="555"/>
      <c r="K982" s="555"/>
      <c r="L982" s="555"/>
      <c r="M982" s="555"/>
      <c r="N982" s="555"/>
      <c r="O982" s="555"/>
      <c r="P982" s="555"/>
      <c r="Q982" s="555"/>
      <c r="R982" s="637"/>
      <c r="S982" s="67"/>
    </row>
    <row r="983" spans="1:47" ht="15.75" customHeight="1" x14ac:dyDescent="0.3">
      <c r="A983" s="67"/>
      <c r="B983" s="67"/>
      <c r="C983" s="67"/>
      <c r="D983" s="67"/>
      <c r="E983" s="67"/>
      <c r="F983" s="67"/>
      <c r="G983" s="67"/>
      <c r="H983" s="67"/>
      <c r="I983" s="67"/>
      <c r="J983" s="67"/>
      <c r="K983" s="67"/>
      <c r="L983" s="67"/>
      <c r="M983" s="67"/>
      <c r="N983" s="67"/>
      <c r="O983" s="67"/>
      <c r="P983" s="67"/>
      <c r="Q983" s="67"/>
      <c r="R983" s="67"/>
    </row>
    <row r="984" spans="1:47" ht="15.75" customHeight="1" x14ac:dyDescent="0.3"/>
    <row r="985" spans="1:47" ht="15.75" customHeight="1" thickBot="1" x14ac:dyDescent="0.35"/>
    <row r="986" spans="1:47" ht="15.75" customHeight="1" thickBot="1" x14ac:dyDescent="0.35">
      <c r="B986" s="790" t="s">
        <v>2921</v>
      </c>
      <c r="C986" s="782"/>
      <c r="D986" s="782"/>
      <c r="E986" s="782"/>
      <c r="F986" s="782"/>
      <c r="G986" s="782"/>
      <c r="H986" s="782"/>
      <c r="I986" s="782"/>
      <c r="J986" s="782"/>
      <c r="K986" s="782"/>
      <c r="L986" s="782"/>
      <c r="M986" s="782"/>
      <c r="N986" s="782"/>
      <c r="O986" s="782"/>
      <c r="P986" s="782"/>
      <c r="Q986" s="678" t="str">
        <f>+Q1</f>
        <v xml:space="preserve">PRINTED:  </v>
      </c>
      <c r="R986" s="682">
        <f ca="1">+R1</f>
        <v>44881.729634027775</v>
      </c>
      <c r="S986" s="701"/>
      <c r="T986" s="703"/>
      <c r="U986" s="703"/>
      <c r="V986" s="702"/>
    </row>
    <row r="987" spans="1:47" ht="15.75" customHeight="1" x14ac:dyDescent="0.3">
      <c r="B987" s="791">
        <f>+A5</f>
        <v>2018</v>
      </c>
      <c r="C987" s="787"/>
      <c r="D987" s="787"/>
      <c r="E987" s="787"/>
      <c r="F987" s="787"/>
      <c r="G987" s="787"/>
      <c r="H987" s="787"/>
      <c r="I987" s="787"/>
      <c r="J987" s="787"/>
      <c r="K987" s="787"/>
      <c r="L987" s="787"/>
      <c r="M987" s="787"/>
      <c r="N987" s="787"/>
      <c r="O987" s="787"/>
      <c r="P987" s="787"/>
      <c r="Q987" s="67"/>
      <c r="R987" s="67"/>
      <c r="S987" s="67"/>
      <c r="V987" s="727"/>
      <c r="AC987" s="685"/>
      <c r="AD987" s="782" t="s">
        <v>2923</v>
      </c>
      <c r="AE987" s="785"/>
      <c r="AF987" s="785"/>
      <c r="AG987" s="785"/>
      <c r="AH987" s="785"/>
      <c r="AI987" s="785"/>
      <c r="AJ987" s="785"/>
      <c r="AK987" s="785"/>
      <c r="AL987" s="785"/>
      <c r="AM987" s="785"/>
      <c r="AN987" s="785"/>
      <c r="AO987" s="785"/>
      <c r="AP987" s="785"/>
      <c r="AQ987" s="785"/>
      <c r="AR987" s="678" t="str">
        <f>$Q$1</f>
        <v xml:space="preserve">PRINTED:  </v>
      </c>
      <c r="AS987" s="686">
        <f ca="1">$R$1</f>
        <v>44881.729634027775</v>
      </c>
    </row>
    <row r="988" spans="1:47" ht="15.75" customHeight="1" x14ac:dyDescent="0.3">
      <c r="B988" s="792" t="str">
        <f>+A8</f>
        <v>Revised:  3/2/2019</v>
      </c>
      <c r="C988" s="786"/>
      <c r="D988" s="786"/>
      <c r="E988" s="786"/>
      <c r="F988" s="786"/>
      <c r="G988" s="786"/>
      <c r="H988" s="786"/>
      <c r="I988" s="786"/>
      <c r="J988" s="786"/>
      <c r="K988" s="786"/>
      <c r="L988" s="786"/>
      <c r="M988" s="786"/>
      <c r="N988" s="786"/>
      <c r="O988" s="786"/>
      <c r="P988" s="786"/>
      <c r="Q988" s="67"/>
      <c r="R988" s="67"/>
      <c r="S988" s="67"/>
      <c r="V988" s="727"/>
      <c r="AC988" s="579"/>
      <c r="AD988" s="786" t="str">
        <f>+$A$8</f>
        <v>Revised:  3/2/2019</v>
      </c>
      <c r="AE988" s="788"/>
      <c r="AF988" s="788"/>
      <c r="AG988" s="788"/>
      <c r="AH988" s="788"/>
      <c r="AI988" s="788"/>
      <c r="AJ988" s="788"/>
      <c r="AK988" s="788"/>
      <c r="AL988" s="788"/>
      <c r="AM988" s="788"/>
      <c r="AN988" s="788"/>
      <c r="AO988" s="788"/>
      <c r="AP988" s="788"/>
      <c r="AQ988" s="788"/>
      <c r="AR988" s="139"/>
      <c r="AS988" s="561"/>
    </row>
    <row r="989" spans="1:47" ht="15.75" customHeight="1" thickBot="1" x14ac:dyDescent="0.35">
      <c r="B989" s="793" t="s">
        <v>2676</v>
      </c>
      <c r="C989" s="794"/>
      <c r="D989" s="794"/>
      <c r="E989" s="794"/>
      <c r="F989" s="794"/>
      <c r="G989" s="794"/>
      <c r="H989" s="794"/>
      <c r="I989" s="794"/>
      <c r="J989" s="794"/>
      <c r="K989" s="794"/>
      <c r="L989" s="794"/>
      <c r="M989" s="794"/>
      <c r="N989" s="794"/>
      <c r="O989" s="794"/>
      <c r="P989" s="794"/>
      <c r="Q989" s="67"/>
      <c r="R989" s="67"/>
      <c r="S989" s="555"/>
      <c r="V989" s="727"/>
      <c r="AC989" s="579"/>
      <c r="AD989" s="786" t="s">
        <v>2878</v>
      </c>
      <c r="AE989" s="789"/>
      <c r="AF989" s="789"/>
      <c r="AG989" s="789"/>
      <c r="AH989" s="789"/>
      <c r="AI989" s="789"/>
      <c r="AJ989" s="789"/>
      <c r="AK989" s="789"/>
      <c r="AL989" s="789"/>
      <c r="AM989" s="789"/>
      <c r="AN989" s="789"/>
      <c r="AO989" s="789"/>
      <c r="AP989" s="789"/>
      <c r="AQ989" s="789"/>
      <c r="AS989" s="561"/>
    </row>
    <row r="990" spans="1:47" ht="15.75" customHeight="1" thickBot="1" x14ac:dyDescent="0.35">
      <c r="A990" s="649"/>
      <c r="B990" s="795" t="s">
        <v>2633</v>
      </c>
      <c r="C990" s="796"/>
      <c r="D990" s="796"/>
      <c r="E990" s="796"/>
      <c r="F990" s="797"/>
      <c r="G990" s="795" t="s">
        <v>2674</v>
      </c>
      <c r="H990" s="796"/>
      <c r="I990" s="796"/>
      <c r="J990" s="796"/>
      <c r="K990" s="796"/>
      <c r="L990" s="796"/>
      <c r="M990" s="798" t="s">
        <v>2677</v>
      </c>
      <c r="N990" s="799"/>
      <c r="O990" s="799"/>
      <c r="P990" s="799"/>
      <c r="Q990" s="799"/>
      <c r="R990" s="800"/>
      <c r="S990" s="795" t="s">
        <v>2682</v>
      </c>
      <c r="T990" s="801"/>
      <c r="U990" s="802"/>
      <c r="V990" s="712"/>
      <c r="AC990" s="579"/>
      <c r="AS990" s="561"/>
    </row>
    <row r="991" spans="1:47" ht="15.75" customHeight="1" x14ac:dyDescent="0.3">
      <c r="A991" s="649"/>
      <c r="B991" s="553" t="s">
        <v>2439</v>
      </c>
      <c r="C991" s="70"/>
      <c r="D991" s="70" t="s">
        <v>336</v>
      </c>
      <c r="E991" s="70" t="s">
        <v>596</v>
      </c>
      <c r="F991" s="562" t="s">
        <v>2652</v>
      </c>
      <c r="G991" s="553" t="s">
        <v>228</v>
      </c>
      <c r="H991" s="70"/>
      <c r="I991" s="70"/>
      <c r="J991" s="70" t="s">
        <v>229</v>
      </c>
      <c r="K991" s="70" t="s">
        <v>2638</v>
      </c>
      <c r="L991" s="70" t="s">
        <v>2639</v>
      </c>
      <c r="M991" s="803" t="s">
        <v>3116</v>
      </c>
      <c r="N991" s="804"/>
      <c r="O991" s="805"/>
      <c r="P991" s="604"/>
      <c r="Q991" s="599"/>
      <c r="R991" s="713"/>
      <c r="S991" s="70" t="s">
        <v>2683</v>
      </c>
      <c r="T991" s="610" t="s">
        <v>134</v>
      </c>
      <c r="U991" s="611" t="s">
        <v>2685</v>
      </c>
      <c r="V991" s="712"/>
      <c r="AC991" s="579"/>
      <c r="AD991" s="787">
        <f>$A$5</f>
        <v>2018</v>
      </c>
      <c r="AE991" s="789"/>
      <c r="AF991" s="789"/>
      <c r="AG991" s="789"/>
      <c r="AH991" s="789"/>
      <c r="AI991" s="789"/>
      <c r="AJ991" s="789"/>
      <c r="AK991" s="789"/>
      <c r="AL991" s="789"/>
      <c r="AM991" s="789"/>
      <c r="AN991" s="789"/>
      <c r="AO991" s="789"/>
      <c r="AP991" s="789"/>
      <c r="AQ991" s="789"/>
      <c r="AS991" s="561"/>
    </row>
    <row r="992" spans="1:47" ht="15.75" customHeight="1" x14ac:dyDescent="0.3">
      <c r="A992" s="649"/>
      <c r="B992" s="593" t="s">
        <v>2648</v>
      </c>
      <c r="C992" s="588" t="s">
        <v>2656</v>
      </c>
      <c r="D992" s="588" t="s">
        <v>2651</v>
      </c>
      <c r="E992" s="70" t="s">
        <v>335</v>
      </c>
      <c r="F992" s="591" t="s">
        <v>2653</v>
      </c>
      <c r="G992" s="553" t="s">
        <v>2463</v>
      </c>
      <c r="H992" s="70" t="s">
        <v>1416</v>
      </c>
      <c r="I992" s="70" t="s">
        <v>1417</v>
      </c>
      <c r="J992" s="588" t="s">
        <v>2632</v>
      </c>
      <c r="K992" s="70" t="s">
        <v>2634</v>
      </c>
      <c r="L992" s="588" t="s">
        <v>2637</v>
      </c>
      <c r="M992" s="603" t="s">
        <v>2679</v>
      </c>
      <c r="N992" s="604" t="s">
        <v>2680</v>
      </c>
      <c r="O992" s="630" t="s">
        <v>2356</v>
      </c>
      <c r="P992" s="604" t="s">
        <v>3112</v>
      </c>
      <c r="Q992" s="604" t="s">
        <v>3112</v>
      </c>
      <c r="R992" s="630" t="s">
        <v>3117</v>
      </c>
      <c r="S992" s="70" t="s">
        <v>2684</v>
      </c>
      <c r="T992" s="70" t="s">
        <v>2686</v>
      </c>
      <c r="U992" s="562" t="s">
        <v>2687</v>
      </c>
      <c r="V992" s="712"/>
      <c r="AC992" s="579"/>
      <c r="AD992" s="786" t="s">
        <v>2919</v>
      </c>
      <c r="AE992" s="788"/>
      <c r="AF992" s="788"/>
      <c r="AG992" s="788"/>
      <c r="AH992" s="788"/>
      <c r="AI992" s="788"/>
      <c r="AJ992" s="788"/>
      <c r="AK992" s="788"/>
      <c r="AL992" s="788"/>
      <c r="AM992" s="788"/>
      <c r="AN992" s="788"/>
      <c r="AO992" s="788"/>
      <c r="AP992" s="788"/>
      <c r="AQ992" s="788"/>
      <c r="AR992" s="70"/>
      <c r="AS992" s="561"/>
    </row>
    <row r="993" spans="1:45" ht="15.75" customHeight="1" x14ac:dyDescent="0.3">
      <c r="A993" s="649"/>
      <c r="B993" s="594" t="s">
        <v>2654</v>
      </c>
      <c r="C993" s="217">
        <v>0</v>
      </c>
      <c r="D993" s="217"/>
      <c r="E993" s="70" t="s">
        <v>133</v>
      </c>
      <c r="F993" s="595" t="s">
        <v>2649</v>
      </c>
      <c r="G993" s="553" t="s">
        <v>2650</v>
      </c>
      <c r="H993" s="70" t="s">
        <v>335</v>
      </c>
      <c r="I993" s="70" t="s">
        <v>335</v>
      </c>
      <c r="J993" s="70" t="s">
        <v>335</v>
      </c>
      <c r="K993" s="70" t="s">
        <v>134</v>
      </c>
      <c r="L993" s="70" t="s">
        <v>2636</v>
      </c>
      <c r="M993" s="605" t="s">
        <v>955</v>
      </c>
      <c r="N993" s="599" t="s">
        <v>2681</v>
      </c>
      <c r="O993" s="630" t="s">
        <v>2688</v>
      </c>
      <c r="P993" s="599" t="s">
        <v>3113</v>
      </c>
      <c r="Q993" s="604" t="s">
        <v>3113</v>
      </c>
      <c r="R993" s="630" t="s">
        <v>2688</v>
      </c>
      <c r="S993" s="70" t="s">
        <v>335</v>
      </c>
      <c r="T993" s="70" t="s">
        <v>335</v>
      </c>
      <c r="U993" s="562" t="s">
        <v>335</v>
      </c>
      <c r="V993" s="712"/>
      <c r="AC993" s="579"/>
      <c r="AK993" s="670"/>
      <c r="AS993" s="561"/>
    </row>
    <row r="994" spans="1:45" ht="15.75" customHeight="1" thickBot="1" x14ac:dyDescent="0.35">
      <c r="A994" s="592" t="s">
        <v>249</v>
      </c>
      <c r="B994" s="553" t="s">
        <v>998</v>
      </c>
      <c r="C994" s="70" t="s">
        <v>998</v>
      </c>
      <c r="D994" s="70" t="s">
        <v>998</v>
      </c>
      <c r="E994" s="70" t="s">
        <v>998</v>
      </c>
      <c r="F994" s="562" t="s">
        <v>998</v>
      </c>
      <c r="G994" s="553" t="s">
        <v>998</v>
      </c>
      <c r="H994" s="70" t="s">
        <v>998</v>
      </c>
      <c r="I994" s="70" t="s">
        <v>998</v>
      </c>
      <c r="J994" s="70" t="s">
        <v>998</v>
      </c>
      <c r="K994" s="70" t="s">
        <v>998</v>
      </c>
      <c r="L994" s="70" t="s">
        <v>998</v>
      </c>
      <c r="M994" s="605" t="s">
        <v>998</v>
      </c>
      <c r="N994" s="599" t="s">
        <v>998</v>
      </c>
      <c r="O994" s="630" t="s">
        <v>998</v>
      </c>
      <c r="P994" s="599" t="s">
        <v>3013</v>
      </c>
      <c r="Q994" s="604" t="s">
        <v>998</v>
      </c>
      <c r="R994" s="630" t="s">
        <v>998</v>
      </c>
      <c r="S994" s="70" t="s">
        <v>998</v>
      </c>
      <c r="T994" s="70" t="s">
        <v>998</v>
      </c>
      <c r="U994" s="562" t="s">
        <v>998</v>
      </c>
      <c r="V994" s="712"/>
      <c r="AC994" s="579"/>
      <c r="AD994" s="634" t="s">
        <v>1308</v>
      </c>
      <c r="AE994" s="634" t="s">
        <v>1309</v>
      </c>
      <c r="AF994" s="634" t="s">
        <v>1029</v>
      </c>
      <c r="AG994" s="634" t="s">
        <v>1030</v>
      </c>
      <c r="AH994" s="634" t="s">
        <v>284</v>
      </c>
      <c r="AI994" s="634" t="s">
        <v>285</v>
      </c>
      <c r="AJ994" s="634" t="s">
        <v>286</v>
      </c>
      <c r="AK994" s="634" t="s">
        <v>287</v>
      </c>
      <c r="AL994" s="634" t="s">
        <v>288</v>
      </c>
      <c r="AM994" s="634" t="s">
        <v>289</v>
      </c>
      <c r="AN994" s="634" t="s">
        <v>633</v>
      </c>
      <c r="AO994" s="634" t="s">
        <v>634</v>
      </c>
      <c r="AP994" s="634" t="s">
        <v>1192</v>
      </c>
      <c r="AQ994" s="634" t="s">
        <v>524</v>
      </c>
      <c r="AR994" s="634" t="s">
        <v>525</v>
      </c>
      <c r="AS994" s="684" t="s">
        <v>2356</v>
      </c>
    </row>
    <row r="995" spans="1:45" ht="15.75" customHeight="1" x14ac:dyDescent="0.3">
      <c r="A995" s="592" t="s">
        <v>1353</v>
      </c>
      <c r="B995" s="553" t="s">
        <v>1353</v>
      </c>
      <c r="C995" s="70" t="s">
        <v>1353</v>
      </c>
      <c r="D995" s="70" t="s">
        <v>1353</v>
      </c>
      <c r="E995" s="70" t="s">
        <v>2202</v>
      </c>
      <c r="F995" s="562" t="s">
        <v>1353</v>
      </c>
      <c r="G995" s="553" t="s">
        <v>1353</v>
      </c>
      <c r="H995" s="70" t="s">
        <v>2119</v>
      </c>
      <c r="I995" s="70" t="s">
        <v>2119</v>
      </c>
      <c r="J995" s="70" t="s">
        <v>1353</v>
      </c>
      <c r="K995" s="70" t="s">
        <v>1353</v>
      </c>
      <c r="L995" s="70" t="s">
        <v>1353</v>
      </c>
      <c r="M995" s="605" t="s">
        <v>1353</v>
      </c>
      <c r="N995" s="599" t="s">
        <v>1353</v>
      </c>
      <c r="O995" s="630" t="s">
        <v>1353</v>
      </c>
      <c r="P995" s="605" t="s">
        <v>1353</v>
      </c>
      <c r="Q995" s="599" t="s">
        <v>1353</v>
      </c>
      <c r="R995" s="630" t="s">
        <v>1353</v>
      </c>
      <c r="S995" s="70" t="s">
        <v>1353</v>
      </c>
      <c r="T995" s="70" t="s">
        <v>1353</v>
      </c>
      <c r="U995" s="562" t="s">
        <v>1353</v>
      </c>
      <c r="V995" s="712"/>
      <c r="AC995" s="579"/>
      <c r="AD995" s="67"/>
      <c r="AE995" s="67"/>
      <c r="AF995" s="67"/>
      <c r="AG995" s="67"/>
      <c r="AH995" s="70" t="s">
        <v>2910</v>
      </c>
      <c r="AI995" s="67"/>
      <c r="AJ995" s="67"/>
      <c r="AK995" s="67"/>
      <c r="AL995" s="67"/>
      <c r="AM995" s="67"/>
      <c r="AN995" s="67"/>
      <c r="AO995" s="67"/>
      <c r="AP995" s="67"/>
      <c r="AQ995" s="67"/>
      <c r="AR995" s="67"/>
      <c r="AS995" s="636"/>
    </row>
    <row r="996" spans="1:45" ht="15.75" customHeight="1" x14ac:dyDescent="0.3">
      <c r="A996" s="139" t="s">
        <v>2843</v>
      </c>
      <c r="B996" s="553">
        <f>ROUND(R968-G968,0)</f>
        <v>157716</v>
      </c>
      <c r="C996" s="70">
        <f>+ROUND(B996*$C$993,0)</f>
        <v>0</v>
      </c>
      <c r="D996" s="70">
        <f>AS968</f>
        <v>6631</v>
      </c>
      <c r="E996" s="70">
        <f>+B996+C996</f>
        <v>157716</v>
      </c>
      <c r="F996" s="562">
        <f>(D996+E996)</f>
        <v>164347</v>
      </c>
      <c r="G996" s="553">
        <f>ABS(G968)</f>
        <v>716.5104747550854</v>
      </c>
      <c r="H996" s="600">
        <v>8917</v>
      </c>
      <c r="I996" s="600">
        <v>0</v>
      </c>
      <c r="J996" s="70">
        <f>(H996+I996)</f>
        <v>8917</v>
      </c>
      <c r="K996" s="600">
        <v>0</v>
      </c>
      <c r="L996" s="600">
        <v>0</v>
      </c>
      <c r="M996" s="606">
        <f>D996+E996-G996-J996-K996-L996</f>
        <v>154713.48952524492</v>
      </c>
      <c r="N996" s="607">
        <v>0</v>
      </c>
      <c r="O996" s="630">
        <f>M996+N996</f>
        <v>154713.48952524492</v>
      </c>
      <c r="P996" s="710">
        <v>0.2</v>
      </c>
      <c r="Q996" s="599">
        <f>-O996*P996</f>
        <v>-30942.697905048986</v>
      </c>
      <c r="R996" s="630">
        <f>O996+Q996</f>
        <v>123770.79162019593</v>
      </c>
      <c r="S996" s="628">
        <f t="shared" ref="S996:S1007" si="374">(F996-G996-J996-K996-L996-R996)</f>
        <v>30942.69790504899</v>
      </c>
      <c r="T996" s="70">
        <f>+IF(S996&gt;=0,ABS(S996),"")</f>
        <v>30942.69790504899</v>
      </c>
      <c r="U996" s="562" t="str">
        <f>+IF(S996&lt;=0,ABS(S996),"")</f>
        <v/>
      </c>
      <c r="V996" s="712"/>
      <c r="AC996" s="642" t="s">
        <v>3041</v>
      </c>
      <c r="AD996" s="687"/>
      <c r="AE996" s="687"/>
      <c r="AF996" s="687"/>
      <c r="AG996" s="687"/>
      <c r="AH996" s="687">
        <v>1.6E-2</v>
      </c>
      <c r="AI996" s="687">
        <v>1.6E-2</v>
      </c>
      <c r="AJ996" s="687">
        <v>1.6E-2</v>
      </c>
      <c r="AK996" s="687">
        <v>1.6E-2</v>
      </c>
      <c r="AL996" s="687">
        <v>1.6E-2</v>
      </c>
      <c r="AM996" s="687">
        <v>1.6E-2</v>
      </c>
      <c r="AN996" s="687">
        <v>1.6E-2</v>
      </c>
      <c r="AO996" s="687">
        <v>1.6E-2</v>
      </c>
      <c r="AP996" s="687">
        <v>1.6E-2</v>
      </c>
      <c r="AQ996" s="687">
        <v>1.6E-2</v>
      </c>
      <c r="AR996" s="687">
        <v>1.6E-2</v>
      </c>
      <c r="AS996" s="592"/>
    </row>
    <row r="997" spans="1:45" ht="15.75" customHeight="1" x14ac:dyDescent="0.3">
      <c r="A997" s="139" t="s">
        <v>2091</v>
      </c>
      <c r="B997" s="553">
        <f>ROUND(R969-G969,0)</f>
        <v>193306</v>
      </c>
      <c r="C997" s="70">
        <f t="shared" ref="C997:C1007" si="375">+ROUND(B997*$C$993,0)</f>
        <v>0</v>
      </c>
      <c r="D997" s="70">
        <f t="shared" ref="D997:D1007" si="376">AS969</f>
        <v>8060</v>
      </c>
      <c r="E997" s="70">
        <f t="shared" ref="E997:E1009" si="377">+B997+C997</f>
        <v>193306</v>
      </c>
      <c r="F997" s="562">
        <f t="shared" ref="F997:F1007" si="378">(D997+E997)</f>
        <v>201366</v>
      </c>
      <c r="G997" s="553">
        <f t="shared" ref="G997:G1007" si="379">ABS(G969)</f>
        <v>2214.0051243406133</v>
      </c>
      <c r="H997" s="600">
        <v>11170</v>
      </c>
      <c r="I997" s="600">
        <v>0</v>
      </c>
      <c r="J997" s="70">
        <f t="shared" ref="J997:J1006" si="380">(H997+I997)</f>
        <v>11170</v>
      </c>
      <c r="K997" s="600">
        <v>0</v>
      </c>
      <c r="L997" s="600">
        <v>0</v>
      </c>
      <c r="M997" s="606">
        <f t="shared" ref="M997:M1007" si="381">D997+E997-G997-J997-K997-L997</f>
        <v>187981.99487565938</v>
      </c>
      <c r="N997" s="607">
        <v>0</v>
      </c>
      <c r="O997" s="630">
        <f t="shared" ref="O997:O1007" si="382">M997+N997</f>
        <v>187981.99487565938</v>
      </c>
      <c r="P997" s="710">
        <v>0.25</v>
      </c>
      <c r="Q997" s="599">
        <f t="shared" ref="Q997:Q1007" si="383">-O997*P997</f>
        <v>-46995.498718914845</v>
      </c>
      <c r="R997" s="630">
        <f t="shared" ref="R997:R1007" si="384">O997+Q997</f>
        <v>140986.49615674454</v>
      </c>
      <c r="S997" s="628">
        <f t="shared" si="374"/>
        <v>46995.498718914838</v>
      </c>
      <c r="T997" s="70">
        <f t="shared" ref="T997:T1007" si="385">+IF(S997&gt;=0,ABS(S997),"")</f>
        <v>46995.498718914838</v>
      </c>
      <c r="U997" s="562" t="str">
        <f t="shared" ref="U997:U1007" si="386">+IF(S997&lt;=0,ABS(S997),"")</f>
        <v/>
      </c>
      <c r="V997" s="712"/>
      <c r="AC997" s="642" t="s">
        <v>2908</v>
      </c>
      <c r="AD997" s="687"/>
      <c r="AE997" s="687"/>
      <c r="AF997" s="687"/>
      <c r="AG997" s="687"/>
      <c r="AH997" s="687"/>
      <c r="AI997" s="687"/>
      <c r="AJ997" s="687"/>
      <c r="AK997" s="687"/>
      <c r="AL997" s="687"/>
      <c r="AM997" s="687"/>
      <c r="AN997" s="687"/>
      <c r="AO997" s="687"/>
      <c r="AP997" s="687"/>
      <c r="AQ997" s="687"/>
      <c r="AR997" s="687"/>
      <c r="AS997" s="592"/>
    </row>
    <row r="998" spans="1:45" ht="15.75" customHeight="1" x14ac:dyDescent="0.3">
      <c r="A998" s="139" t="s">
        <v>2234</v>
      </c>
      <c r="B998" s="553">
        <f t="shared" ref="B998:B1007" si="387">ROUND(R970-G970,0)</f>
        <v>244986</v>
      </c>
      <c r="C998" s="70">
        <f t="shared" si="375"/>
        <v>0</v>
      </c>
      <c r="D998" s="70">
        <f t="shared" si="376"/>
        <v>10361</v>
      </c>
      <c r="E998" s="70">
        <f t="shared" si="377"/>
        <v>244986</v>
      </c>
      <c r="F998" s="562">
        <f t="shared" si="378"/>
        <v>255347</v>
      </c>
      <c r="G998" s="553">
        <f t="shared" si="379"/>
        <v>3056.1988003524229</v>
      </c>
      <c r="H998" s="600">
        <v>7738</v>
      </c>
      <c r="I998" s="600">
        <v>0</v>
      </c>
      <c r="J998" s="70">
        <f t="shared" si="380"/>
        <v>7738</v>
      </c>
      <c r="K998" s="600">
        <v>0</v>
      </c>
      <c r="L998" s="600">
        <v>0</v>
      </c>
      <c r="M998" s="606">
        <f t="shared" si="381"/>
        <v>244552.80119964757</v>
      </c>
      <c r="N998" s="607">
        <v>0</v>
      </c>
      <c r="O998" s="630">
        <f t="shared" si="382"/>
        <v>244552.80119964757</v>
      </c>
      <c r="P998" s="710">
        <v>0.3</v>
      </c>
      <c r="Q998" s="599">
        <f t="shared" si="383"/>
        <v>-73365.840359894268</v>
      </c>
      <c r="R998" s="630">
        <f t="shared" si="384"/>
        <v>171186.9608397533</v>
      </c>
      <c r="S998" s="628">
        <f t="shared" si="374"/>
        <v>73365.840359894268</v>
      </c>
      <c r="T998" s="70">
        <f t="shared" si="385"/>
        <v>73365.840359894268</v>
      </c>
      <c r="U998" s="562" t="str">
        <f t="shared" si="386"/>
        <v/>
      </c>
      <c r="V998" s="712"/>
      <c r="AC998" s="642" t="s">
        <v>2909</v>
      </c>
      <c r="AD998" s="687"/>
      <c r="AE998" s="687"/>
      <c r="AF998" s="687"/>
      <c r="AG998" s="687"/>
      <c r="AH998" s="687"/>
      <c r="AI998" s="687"/>
      <c r="AJ998" s="687"/>
      <c r="AK998" s="687"/>
      <c r="AL998" s="687"/>
      <c r="AM998" s="687"/>
      <c r="AN998" s="687"/>
      <c r="AO998" s="687"/>
      <c r="AP998" s="687"/>
      <c r="AQ998" s="687"/>
      <c r="AR998" s="687"/>
      <c r="AS998" s="592"/>
    </row>
    <row r="999" spans="1:45" ht="15.75" customHeight="1" x14ac:dyDescent="0.3">
      <c r="A999" s="139" t="s">
        <v>2235</v>
      </c>
      <c r="B999" s="553">
        <f t="shared" si="387"/>
        <v>290602</v>
      </c>
      <c r="C999" s="70">
        <f t="shared" si="375"/>
        <v>0</v>
      </c>
      <c r="D999" s="70">
        <f t="shared" si="376"/>
        <v>12712</v>
      </c>
      <c r="E999" s="70">
        <f t="shared" si="377"/>
        <v>290602</v>
      </c>
      <c r="F999" s="562">
        <f t="shared" si="378"/>
        <v>303314</v>
      </c>
      <c r="G999" s="553">
        <f t="shared" si="379"/>
        <v>1066.3607837226837</v>
      </c>
      <c r="H999" s="600">
        <v>11080</v>
      </c>
      <c r="I999" s="600">
        <v>0</v>
      </c>
      <c r="J999" s="70">
        <f t="shared" si="380"/>
        <v>11080</v>
      </c>
      <c r="K999" s="600">
        <v>0</v>
      </c>
      <c r="L999" s="600">
        <v>0</v>
      </c>
      <c r="M999" s="606">
        <f t="shared" si="381"/>
        <v>291167.63921627734</v>
      </c>
      <c r="N999" s="607">
        <v>-22320</v>
      </c>
      <c r="O999" s="630">
        <f t="shared" si="382"/>
        <v>268847.63921627734</v>
      </c>
      <c r="P999" s="710">
        <v>0.35</v>
      </c>
      <c r="Q999" s="599">
        <f t="shared" si="383"/>
        <v>-94096.673725697066</v>
      </c>
      <c r="R999" s="630">
        <f t="shared" si="384"/>
        <v>174750.96549058027</v>
      </c>
      <c r="S999" s="628">
        <f t="shared" si="374"/>
        <v>116416.67372569707</v>
      </c>
      <c r="T999" s="70">
        <f t="shared" si="385"/>
        <v>116416.67372569707</v>
      </c>
      <c r="U999" s="562" t="str">
        <f t="shared" si="386"/>
        <v/>
      </c>
      <c r="V999" s="712"/>
      <c r="AC999" s="642" t="s">
        <v>2760</v>
      </c>
      <c r="AD999" s="687"/>
      <c r="AE999" s="687"/>
      <c r="AF999" s="687"/>
      <c r="AG999" s="687"/>
      <c r="AH999" s="687"/>
      <c r="AI999" s="687"/>
      <c r="AJ999" s="687"/>
      <c r="AK999" s="687"/>
      <c r="AL999" s="687"/>
      <c r="AM999" s="687"/>
      <c r="AN999" s="687"/>
      <c r="AO999" s="687"/>
      <c r="AP999" s="687"/>
      <c r="AQ999" s="687"/>
      <c r="AR999" s="687"/>
      <c r="AS999" s="592"/>
    </row>
    <row r="1000" spans="1:45" ht="15.75" customHeight="1" x14ac:dyDescent="0.3">
      <c r="A1000" s="139" t="s">
        <v>2236</v>
      </c>
      <c r="B1000" s="553">
        <f t="shared" si="387"/>
        <v>304541</v>
      </c>
      <c r="C1000" s="70">
        <f t="shared" si="375"/>
        <v>0</v>
      </c>
      <c r="D1000" s="70">
        <f t="shared" si="376"/>
        <v>13428</v>
      </c>
      <c r="E1000" s="70">
        <f t="shared" si="377"/>
        <v>304541</v>
      </c>
      <c r="F1000" s="562">
        <f t="shared" si="378"/>
        <v>317969</v>
      </c>
      <c r="G1000" s="553">
        <f t="shared" si="379"/>
        <v>772.44865109268892</v>
      </c>
      <c r="H1000" s="600">
        <v>9265</v>
      </c>
      <c r="I1000" s="600">
        <v>0</v>
      </c>
      <c r="J1000" s="70">
        <f t="shared" si="380"/>
        <v>9265</v>
      </c>
      <c r="K1000" s="600">
        <v>0</v>
      </c>
      <c r="L1000" s="600">
        <v>0</v>
      </c>
      <c r="M1000" s="606">
        <f t="shared" si="381"/>
        <v>307931.55134890729</v>
      </c>
      <c r="N1000" s="607">
        <v>0</v>
      </c>
      <c r="O1000" s="630">
        <f t="shared" si="382"/>
        <v>307931.55134890729</v>
      </c>
      <c r="P1000" s="710">
        <v>0.35</v>
      </c>
      <c r="Q1000" s="599">
        <f t="shared" si="383"/>
        <v>-107776.04297211755</v>
      </c>
      <c r="R1000" s="630">
        <f t="shared" si="384"/>
        <v>200155.50837678974</v>
      </c>
      <c r="S1000" s="628">
        <f t="shared" si="374"/>
        <v>107776.04297211755</v>
      </c>
      <c r="T1000" s="70">
        <f t="shared" si="385"/>
        <v>107776.04297211755</v>
      </c>
      <c r="U1000" s="562" t="str">
        <f t="shared" si="386"/>
        <v/>
      </c>
      <c r="V1000" s="712"/>
      <c r="AC1000" s="642" t="s">
        <v>1114</v>
      </c>
      <c r="AD1000" s="687"/>
      <c r="AE1000" s="687"/>
      <c r="AF1000" s="687"/>
      <c r="AG1000" s="687"/>
      <c r="AH1000" s="687"/>
      <c r="AI1000" s="687"/>
      <c r="AJ1000" s="687">
        <v>2.5000000000000001E-2</v>
      </c>
      <c r="AK1000" s="687">
        <v>2.5000000000000001E-2</v>
      </c>
      <c r="AL1000" s="687">
        <v>2.5000000000000001E-2</v>
      </c>
      <c r="AM1000" s="687">
        <v>2.5000000000000001E-2</v>
      </c>
      <c r="AN1000" s="687">
        <v>2.5000000000000001E-2</v>
      </c>
      <c r="AO1000" s="687">
        <v>2.5000000000000001E-2</v>
      </c>
      <c r="AP1000" s="687">
        <v>2.5000000000000001E-2</v>
      </c>
      <c r="AQ1000" s="687">
        <v>2.5000000000000001E-2</v>
      </c>
      <c r="AR1000" s="687">
        <v>2.5000000000000001E-2</v>
      </c>
      <c r="AS1000" s="592"/>
    </row>
    <row r="1001" spans="1:45" ht="15.75" customHeight="1" x14ac:dyDescent="0.3">
      <c r="A1001" s="139" t="s">
        <v>2237</v>
      </c>
      <c r="B1001" s="553">
        <f>ROUND(R973-G973,0)</f>
        <v>177013</v>
      </c>
      <c r="C1001" s="70">
        <f t="shared" si="375"/>
        <v>0</v>
      </c>
      <c r="D1001" s="70">
        <f t="shared" si="376"/>
        <v>7512</v>
      </c>
      <c r="E1001" s="70">
        <f t="shared" si="377"/>
        <v>177013</v>
      </c>
      <c r="F1001" s="562">
        <f t="shared" si="378"/>
        <v>184525</v>
      </c>
      <c r="G1001" s="553">
        <f t="shared" si="379"/>
        <v>15221.461341371518</v>
      </c>
      <c r="H1001" s="600">
        <v>15931</v>
      </c>
      <c r="I1001" s="600">
        <v>0</v>
      </c>
      <c r="J1001" s="70">
        <f t="shared" si="380"/>
        <v>15931</v>
      </c>
      <c r="K1001" s="600">
        <v>0</v>
      </c>
      <c r="L1001" s="600">
        <v>0</v>
      </c>
      <c r="M1001" s="606">
        <f t="shared" si="381"/>
        <v>153372.53865862847</v>
      </c>
      <c r="N1001" s="607">
        <v>47280</v>
      </c>
      <c r="O1001" s="630">
        <f t="shared" si="382"/>
        <v>200652.53865862847</v>
      </c>
      <c r="P1001" s="710">
        <v>7.4999999999999997E-2</v>
      </c>
      <c r="Q1001" s="599">
        <f t="shared" si="383"/>
        <v>-15048.940399397135</v>
      </c>
      <c r="R1001" s="630">
        <f t="shared" si="384"/>
        <v>185603.59825923134</v>
      </c>
      <c r="S1001" s="628">
        <f t="shared" si="374"/>
        <v>-32231.059600602865</v>
      </c>
      <c r="T1001" s="70" t="str">
        <f t="shared" si="385"/>
        <v/>
      </c>
      <c r="U1001" s="562">
        <f t="shared" si="386"/>
        <v>32231.059600602865</v>
      </c>
      <c r="V1001" s="712"/>
      <c r="AC1001" s="642" t="s">
        <v>2356</v>
      </c>
      <c r="AD1001" s="217">
        <f>SUM(AD996:AD1000)</f>
        <v>0</v>
      </c>
      <c r="AE1001" s="217">
        <f t="shared" ref="AE1001:AR1001" si="388">SUM(AE996:AE1000)</f>
        <v>0</v>
      </c>
      <c r="AF1001" s="217">
        <f t="shared" si="388"/>
        <v>0</v>
      </c>
      <c r="AG1001" s="217">
        <f t="shared" si="388"/>
        <v>0</v>
      </c>
      <c r="AH1001" s="217">
        <f t="shared" si="388"/>
        <v>1.6E-2</v>
      </c>
      <c r="AI1001" s="217">
        <f t="shared" si="388"/>
        <v>1.6E-2</v>
      </c>
      <c r="AJ1001" s="217">
        <f t="shared" si="388"/>
        <v>4.1000000000000002E-2</v>
      </c>
      <c r="AK1001" s="217">
        <f t="shared" si="388"/>
        <v>4.1000000000000002E-2</v>
      </c>
      <c r="AL1001" s="217">
        <f t="shared" si="388"/>
        <v>4.1000000000000002E-2</v>
      </c>
      <c r="AM1001" s="217">
        <f t="shared" si="388"/>
        <v>4.1000000000000002E-2</v>
      </c>
      <c r="AN1001" s="217">
        <f t="shared" si="388"/>
        <v>4.1000000000000002E-2</v>
      </c>
      <c r="AO1001" s="217">
        <f t="shared" si="388"/>
        <v>4.1000000000000002E-2</v>
      </c>
      <c r="AP1001" s="217">
        <f t="shared" si="388"/>
        <v>4.1000000000000002E-2</v>
      </c>
      <c r="AQ1001" s="217">
        <f t="shared" si="388"/>
        <v>4.1000000000000002E-2</v>
      </c>
      <c r="AR1001" s="217">
        <f t="shared" si="388"/>
        <v>4.1000000000000002E-2</v>
      </c>
      <c r="AS1001" s="592"/>
    </row>
    <row r="1002" spans="1:45" ht="15.75" customHeight="1" x14ac:dyDescent="0.3">
      <c r="A1002" s="139" t="s">
        <v>1504</v>
      </c>
      <c r="B1002" s="553">
        <f t="shared" si="387"/>
        <v>157909</v>
      </c>
      <c r="C1002" s="70">
        <f t="shared" si="375"/>
        <v>0</v>
      </c>
      <c r="D1002" s="70">
        <f t="shared" si="376"/>
        <v>6615</v>
      </c>
      <c r="E1002" s="70">
        <f t="shared" si="377"/>
        <v>157909</v>
      </c>
      <c r="F1002" s="562">
        <f t="shared" si="378"/>
        <v>164524</v>
      </c>
      <c r="G1002" s="553">
        <f t="shared" si="379"/>
        <v>14235.359005275053</v>
      </c>
      <c r="H1002" s="600">
        <v>16823</v>
      </c>
      <c r="I1002" s="600">
        <v>0</v>
      </c>
      <c r="J1002" s="70">
        <f t="shared" si="380"/>
        <v>16823</v>
      </c>
      <c r="K1002" s="600">
        <v>0</v>
      </c>
      <c r="L1002" s="600">
        <v>0</v>
      </c>
      <c r="M1002" s="606">
        <f t="shared" si="381"/>
        <v>133465.64099472493</v>
      </c>
      <c r="N1002" s="607">
        <v>47120</v>
      </c>
      <c r="O1002" s="630">
        <f t="shared" si="382"/>
        <v>180585.64099472493</v>
      </c>
      <c r="P1002" s="710">
        <v>0.05</v>
      </c>
      <c r="Q1002" s="599">
        <f t="shared" si="383"/>
        <v>-9029.2820497362463</v>
      </c>
      <c r="R1002" s="630">
        <f t="shared" si="384"/>
        <v>171556.35894498869</v>
      </c>
      <c r="S1002" s="628">
        <f t="shared" si="374"/>
        <v>-38090.717950263759</v>
      </c>
      <c r="T1002" s="70" t="str">
        <f t="shared" si="385"/>
        <v/>
      </c>
      <c r="U1002" s="562">
        <f t="shared" si="386"/>
        <v>38090.717950263759</v>
      </c>
      <c r="V1002" s="712"/>
      <c r="AC1002" s="553" t="s">
        <v>1353</v>
      </c>
      <c r="AD1002" s="70" t="s">
        <v>1353</v>
      </c>
      <c r="AE1002" s="70" t="s">
        <v>1353</v>
      </c>
      <c r="AF1002" s="70" t="s">
        <v>1353</v>
      </c>
      <c r="AG1002" s="70" t="s">
        <v>1353</v>
      </c>
      <c r="AH1002" s="70" t="s">
        <v>1353</v>
      </c>
      <c r="AI1002" s="70" t="s">
        <v>1353</v>
      </c>
      <c r="AJ1002" s="70" t="s">
        <v>1353</v>
      </c>
      <c r="AK1002" s="70" t="s">
        <v>1353</v>
      </c>
      <c r="AL1002" s="70" t="s">
        <v>1353</v>
      </c>
      <c r="AM1002" s="70" t="s">
        <v>1353</v>
      </c>
      <c r="AN1002" s="70" t="s">
        <v>1353</v>
      </c>
      <c r="AO1002" s="70" t="s">
        <v>1353</v>
      </c>
      <c r="AP1002" s="70" t="s">
        <v>1353</v>
      </c>
      <c r="AQ1002" s="70" t="s">
        <v>1353</v>
      </c>
      <c r="AR1002" s="70" t="s">
        <v>1353</v>
      </c>
      <c r="AS1002" s="592" t="s">
        <v>1353</v>
      </c>
    </row>
    <row r="1003" spans="1:45" ht="15.75" customHeight="1" x14ac:dyDescent="0.3">
      <c r="A1003" s="139" t="s">
        <v>1505</v>
      </c>
      <c r="B1003" s="553">
        <f t="shared" si="387"/>
        <v>88658</v>
      </c>
      <c r="C1003" s="70">
        <f t="shared" si="375"/>
        <v>0</v>
      </c>
      <c r="D1003" s="70">
        <f t="shared" si="376"/>
        <v>3317</v>
      </c>
      <c r="E1003" s="70">
        <f t="shared" si="377"/>
        <v>88658</v>
      </c>
      <c r="F1003" s="562">
        <f t="shared" si="378"/>
        <v>91975</v>
      </c>
      <c r="G1003" s="553">
        <f t="shared" si="379"/>
        <v>14849.919737813088</v>
      </c>
      <c r="H1003" s="600">
        <v>14521</v>
      </c>
      <c r="I1003" s="600">
        <v>0</v>
      </c>
      <c r="J1003" s="70">
        <f t="shared" si="380"/>
        <v>14521</v>
      </c>
      <c r="K1003" s="600">
        <v>0</v>
      </c>
      <c r="L1003" s="600">
        <v>0</v>
      </c>
      <c r="M1003" s="606">
        <f t="shared" si="381"/>
        <v>62604.080262186908</v>
      </c>
      <c r="N1003" s="607">
        <v>58776</v>
      </c>
      <c r="O1003" s="630">
        <f t="shared" si="382"/>
        <v>121380.08026218691</v>
      </c>
      <c r="P1003" s="710">
        <v>0</v>
      </c>
      <c r="Q1003" s="599">
        <f t="shared" si="383"/>
        <v>0</v>
      </c>
      <c r="R1003" s="630">
        <f t="shared" si="384"/>
        <v>121380.08026218691</v>
      </c>
      <c r="S1003" s="628">
        <f t="shared" si="374"/>
        <v>-58776</v>
      </c>
      <c r="T1003" s="70" t="str">
        <f t="shared" si="385"/>
        <v/>
      </c>
      <c r="U1003" s="562">
        <f t="shared" si="386"/>
        <v>58776</v>
      </c>
      <c r="V1003" s="712"/>
      <c r="AC1003" s="642" t="s">
        <v>2843</v>
      </c>
      <c r="AD1003" s="67">
        <f>ROUND(B968*$AD$1001, 0)</f>
        <v>0</v>
      </c>
      <c r="AE1003" s="67">
        <f>ROUND(C968*$AE$1001,0)</f>
        <v>0</v>
      </c>
      <c r="AF1003" s="67">
        <f>ROUND(D968*$AF$1001,0)</f>
        <v>0</v>
      </c>
      <c r="AG1003" s="67">
        <f>ROUND(E968*$AG$1001,0)</f>
        <v>0</v>
      </c>
      <c r="AH1003" s="67">
        <f>ROUND(F968*$AH$1001,0)</f>
        <v>144</v>
      </c>
      <c r="AI1003" s="67">
        <f>ROUND(H968*$AI$1001,0)</f>
        <v>43</v>
      </c>
      <c r="AJ1003" s="67">
        <f>ROUND(I968*$AJ$1001,0)</f>
        <v>90</v>
      </c>
      <c r="AK1003" s="67">
        <f>ROUND(J968*$AK$1001,0)</f>
        <v>140</v>
      </c>
      <c r="AL1003" s="67">
        <f>ROUND(K968*$AL$1001,0)</f>
        <v>145</v>
      </c>
      <c r="AM1003" s="67">
        <f>ROUND(L968*$AM$1001,0)</f>
        <v>49</v>
      </c>
      <c r="AN1003" s="67">
        <f>ROUND(M968*$AN$1001,0)</f>
        <v>58</v>
      </c>
      <c r="AO1003" s="67">
        <f>ROUND(N968*$AO$1001,0)</f>
        <v>120</v>
      </c>
      <c r="AP1003" s="67">
        <f>ROUND(O968*$AP$1001,0)</f>
        <v>29</v>
      </c>
      <c r="AQ1003" s="67">
        <f>ROUND(P968*$AQ$1001,0)</f>
        <v>52</v>
      </c>
      <c r="AR1003" s="67">
        <f>ROUND(Q968*$AR$1001,0)</f>
        <v>69</v>
      </c>
      <c r="AS1003" s="636">
        <f>SUM(AD1003:AR1003)</f>
        <v>939</v>
      </c>
    </row>
    <row r="1004" spans="1:45" ht="15.75" customHeight="1" x14ac:dyDescent="0.3">
      <c r="A1004" s="139" t="s">
        <v>1506</v>
      </c>
      <c r="B1004" s="553">
        <f t="shared" si="387"/>
        <v>278544</v>
      </c>
      <c r="C1004" s="70">
        <f t="shared" si="375"/>
        <v>0</v>
      </c>
      <c r="D1004" s="70">
        <f t="shared" si="376"/>
        <v>12250</v>
      </c>
      <c r="E1004" s="70">
        <f t="shared" si="377"/>
        <v>278544</v>
      </c>
      <c r="F1004" s="562">
        <f t="shared" si="378"/>
        <v>290794</v>
      </c>
      <c r="G1004" s="553">
        <f t="shared" si="379"/>
        <v>801.18752607060651</v>
      </c>
      <c r="H1004" s="600">
        <v>12767</v>
      </c>
      <c r="I1004" s="600">
        <v>0</v>
      </c>
      <c r="J1004" s="70">
        <f t="shared" si="380"/>
        <v>12767</v>
      </c>
      <c r="K1004" s="600">
        <v>0</v>
      </c>
      <c r="L1004" s="600">
        <v>0</v>
      </c>
      <c r="M1004" s="606">
        <f t="shared" si="381"/>
        <v>277225.81247392937</v>
      </c>
      <c r="N1004" s="607">
        <v>0</v>
      </c>
      <c r="O1004" s="630">
        <f t="shared" si="382"/>
        <v>277225.81247392937</v>
      </c>
      <c r="P1004" s="710">
        <v>0.05</v>
      </c>
      <c r="Q1004" s="599">
        <f t="shared" si="383"/>
        <v>-13861.29062369647</v>
      </c>
      <c r="R1004" s="630">
        <f t="shared" si="384"/>
        <v>263364.52185023291</v>
      </c>
      <c r="S1004" s="628">
        <f t="shared" si="374"/>
        <v>13861.290623696463</v>
      </c>
      <c r="T1004" s="70">
        <f t="shared" si="385"/>
        <v>13861.290623696463</v>
      </c>
      <c r="U1004" s="562" t="str">
        <f t="shared" si="386"/>
        <v/>
      </c>
      <c r="V1004" s="712"/>
      <c r="AC1004" s="642" t="s">
        <v>2091</v>
      </c>
      <c r="AD1004" s="67">
        <f t="shared" ref="AD1004:AD1014" si="389">ROUND(B969*$AD$1001, 0)</f>
        <v>0</v>
      </c>
      <c r="AE1004" s="67">
        <f t="shared" ref="AE1004:AE1014" si="390">ROUND(C969*$AE$1001,0)</f>
        <v>0</v>
      </c>
      <c r="AF1004" s="67">
        <f t="shared" ref="AF1004:AF1014" si="391">ROUND(D969*$AF$1001,0)</f>
        <v>0</v>
      </c>
      <c r="AG1004" s="67">
        <f t="shared" ref="AG1004:AG1014" si="392">ROUND(E969*$AG$1001,0)</f>
        <v>0</v>
      </c>
      <c r="AH1004" s="67">
        <f t="shared" ref="AH1004:AH1014" si="393">ROUND(F969*$AH$1001,0)</f>
        <v>176</v>
      </c>
      <c r="AI1004" s="67">
        <f t="shared" ref="AI1004:AI1014" si="394">ROUND(H969*$AI$1001,0)</f>
        <v>66</v>
      </c>
      <c r="AJ1004" s="67">
        <f t="shared" ref="AJ1004:AJ1014" si="395">ROUND(I969*$AJ$1001,0)</f>
        <v>145</v>
      </c>
      <c r="AK1004" s="67">
        <f t="shared" ref="AK1004:AK1014" si="396">ROUND(J969*$AK$1001,0)</f>
        <v>226</v>
      </c>
      <c r="AL1004" s="67">
        <f t="shared" ref="AL1004:AL1014" si="397">ROUND(K969*$AL$1001,0)</f>
        <v>227</v>
      </c>
      <c r="AM1004" s="67">
        <f t="shared" ref="AM1004:AM1014" si="398">ROUND(L969*$AM$1001,0)</f>
        <v>69</v>
      </c>
      <c r="AN1004" s="67">
        <f t="shared" ref="AN1004:AN1014" si="399">ROUND(M969*$AN$1001,0)</f>
        <v>81</v>
      </c>
      <c r="AO1004" s="67">
        <f t="shared" ref="AO1004:AO1014" si="400">ROUND(N969*$AO$1001,0)</f>
        <v>162</v>
      </c>
      <c r="AP1004" s="67">
        <f t="shared" ref="AP1004:AP1014" si="401">ROUND(O969*$AP$1001,0)</f>
        <v>32</v>
      </c>
      <c r="AQ1004" s="67">
        <f t="shared" ref="AQ1004:AQ1014" si="402">ROUND(P969*$AQ$1001,0)</f>
        <v>42</v>
      </c>
      <c r="AR1004" s="67">
        <f t="shared" ref="AR1004:AR1014" si="403">ROUND(Q969*$AR$1001,0)</f>
        <v>75</v>
      </c>
      <c r="AS1004" s="636">
        <f t="shared" ref="AS1004:AS1014" si="404">SUM(AD1004:AR1004)</f>
        <v>1301</v>
      </c>
    </row>
    <row r="1005" spans="1:45" ht="15.75" customHeight="1" x14ac:dyDescent="0.3">
      <c r="A1005" s="139" t="s">
        <v>1507</v>
      </c>
      <c r="B1005" s="553">
        <f t="shared" si="387"/>
        <v>286182</v>
      </c>
      <c r="C1005" s="70">
        <f t="shared" si="375"/>
        <v>0</v>
      </c>
      <c r="D1005" s="70">
        <f t="shared" si="376"/>
        <v>12316</v>
      </c>
      <c r="E1005" s="70">
        <f t="shared" si="377"/>
        <v>286182</v>
      </c>
      <c r="F1005" s="562">
        <f t="shared" si="378"/>
        <v>298498</v>
      </c>
      <c r="G1005" s="553">
        <f t="shared" si="379"/>
        <v>0</v>
      </c>
      <c r="H1005" s="600">
        <v>12362</v>
      </c>
      <c r="I1005" s="600">
        <v>0</v>
      </c>
      <c r="J1005" s="70">
        <f t="shared" si="380"/>
        <v>12362</v>
      </c>
      <c r="K1005" s="600">
        <v>0</v>
      </c>
      <c r="L1005" s="600">
        <v>0</v>
      </c>
      <c r="M1005" s="606">
        <f t="shared" si="381"/>
        <v>286136</v>
      </c>
      <c r="N1005" s="607">
        <v>0</v>
      </c>
      <c r="O1005" s="630">
        <f t="shared" si="382"/>
        <v>286136</v>
      </c>
      <c r="P1005" s="710">
        <v>0.2</v>
      </c>
      <c r="Q1005" s="599">
        <f t="shared" si="383"/>
        <v>-57227.200000000004</v>
      </c>
      <c r="R1005" s="630">
        <f t="shared" si="384"/>
        <v>228908.79999999999</v>
      </c>
      <c r="S1005" s="628">
        <f t="shared" si="374"/>
        <v>57227.200000000012</v>
      </c>
      <c r="T1005" s="70">
        <f t="shared" si="385"/>
        <v>57227.200000000012</v>
      </c>
      <c r="U1005" s="562" t="str">
        <f t="shared" si="386"/>
        <v/>
      </c>
      <c r="V1005" s="712"/>
      <c r="AC1005" s="642" t="s">
        <v>2234</v>
      </c>
      <c r="AD1005" s="67">
        <f t="shared" si="389"/>
        <v>0</v>
      </c>
      <c r="AE1005" s="67">
        <f t="shared" si="390"/>
        <v>0</v>
      </c>
      <c r="AF1005" s="67">
        <f t="shared" si="391"/>
        <v>0</v>
      </c>
      <c r="AG1005" s="67">
        <f t="shared" si="392"/>
        <v>0</v>
      </c>
      <c r="AH1005" s="67">
        <f t="shared" si="393"/>
        <v>164</v>
      </c>
      <c r="AI1005" s="67">
        <f t="shared" si="394"/>
        <v>125</v>
      </c>
      <c r="AJ1005" s="67">
        <f t="shared" si="395"/>
        <v>222</v>
      </c>
      <c r="AK1005" s="67">
        <f t="shared" si="396"/>
        <v>295</v>
      </c>
      <c r="AL1005" s="67">
        <f t="shared" si="397"/>
        <v>285</v>
      </c>
      <c r="AM1005" s="67">
        <f t="shared" si="398"/>
        <v>81</v>
      </c>
      <c r="AN1005" s="67">
        <f t="shared" si="399"/>
        <v>96</v>
      </c>
      <c r="AO1005" s="67">
        <f t="shared" si="400"/>
        <v>193</v>
      </c>
      <c r="AP1005" s="67">
        <f t="shared" si="401"/>
        <v>22</v>
      </c>
      <c r="AQ1005" s="67">
        <f t="shared" si="402"/>
        <v>53</v>
      </c>
      <c r="AR1005" s="67">
        <f t="shared" si="403"/>
        <v>51</v>
      </c>
      <c r="AS1005" s="636">
        <f t="shared" si="404"/>
        <v>1587</v>
      </c>
    </row>
    <row r="1006" spans="1:45" ht="15.75" customHeight="1" x14ac:dyDescent="0.3">
      <c r="A1006" s="139" t="s">
        <v>1508</v>
      </c>
      <c r="B1006" s="553">
        <f t="shared" si="387"/>
        <v>270647</v>
      </c>
      <c r="C1006" s="70">
        <f t="shared" si="375"/>
        <v>0</v>
      </c>
      <c r="D1006" s="70">
        <f t="shared" si="376"/>
        <v>11796</v>
      </c>
      <c r="E1006" s="70">
        <f t="shared" si="377"/>
        <v>270647</v>
      </c>
      <c r="F1006" s="562">
        <f t="shared" si="378"/>
        <v>282443</v>
      </c>
      <c r="G1006" s="553">
        <f t="shared" si="379"/>
        <v>13.408560663149945</v>
      </c>
      <c r="H1006" s="600">
        <v>11454</v>
      </c>
      <c r="I1006" s="600">
        <v>0</v>
      </c>
      <c r="J1006" s="70">
        <f t="shared" si="380"/>
        <v>11454</v>
      </c>
      <c r="K1006" s="600">
        <v>0</v>
      </c>
      <c r="L1006" s="600">
        <v>0</v>
      </c>
      <c r="M1006" s="606">
        <f t="shared" si="381"/>
        <v>270975.59143933683</v>
      </c>
      <c r="N1006" s="607">
        <v>0</v>
      </c>
      <c r="O1006" s="630">
        <f t="shared" si="382"/>
        <v>270975.59143933683</v>
      </c>
      <c r="P1006" s="710">
        <v>0.2</v>
      </c>
      <c r="Q1006" s="599">
        <f t="shared" si="383"/>
        <v>-54195.118287867372</v>
      </c>
      <c r="R1006" s="630">
        <f t="shared" si="384"/>
        <v>216780.47315146946</v>
      </c>
      <c r="S1006" s="628">
        <f t="shared" si="374"/>
        <v>54195.118287867372</v>
      </c>
      <c r="T1006" s="70">
        <f t="shared" si="385"/>
        <v>54195.118287867372</v>
      </c>
      <c r="U1006" s="562" t="str">
        <f t="shared" si="386"/>
        <v/>
      </c>
      <c r="V1006" s="712"/>
      <c r="AC1006" s="642" t="s">
        <v>2235</v>
      </c>
      <c r="AD1006" s="67">
        <f t="shared" si="389"/>
        <v>0</v>
      </c>
      <c r="AE1006" s="67">
        <f t="shared" si="390"/>
        <v>0</v>
      </c>
      <c r="AF1006" s="67">
        <f t="shared" si="391"/>
        <v>0</v>
      </c>
      <c r="AG1006" s="67">
        <f t="shared" si="392"/>
        <v>0</v>
      </c>
      <c r="AH1006" s="67">
        <f t="shared" si="393"/>
        <v>37</v>
      </c>
      <c r="AI1006" s="67">
        <f t="shared" si="394"/>
        <v>182</v>
      </c>
      <c r="AJ1006" s="67">
        <f t="shared" si="395"/>
        <v>302</v>
      </c>
      <c r="AK1006" s="67">
        <f t="shared" si="396"/>
        <v>357</v>
      </c>
      <c r="AL1006" s="67">
        <f t="shared" si="397"/>
        <v>310</v>
      </c>
      <c r="AM1006" s="67">
        <f t="shared" si="398"/>
        <v>93</v>
      </c>
      <c r="AN1006" s="67">
        <f t="shared" si="399"/>
        <v>110</v>
      </c>
      <c r="AO1006" s="67">
        <f t="shared" si="400"/>
        <v>218</v>
      </c>
      <c r="AP1006" s="67">
        <f t="shared" si="401"/>
        <v>31</v>
      </c>
      <c r="AQ1006" s="67">
        <f t="shared" si="402"/>
        <v>64</v>
      </c>
      <c r="AR1006" s="67">
        <f t="shared" si="403"/>
        <v>73</v>
      </c>
      <c r="AS1006" s="636">
        <f t="shared" si="404"/>
        <v>1777</v>
      </c>
    </row>
    <row r="1007" spans="1:45" ht="15.75" customHeight="1" x14ac:dyDescent="0.3">
      <c r="A1007" s="139" t="s">
        <v>1509</v>
      </c>
      <c r="B1007" s="553">
        <f t="shared" si="387"/>
        <v>229188</v>
      </c>
      <c r="C1007" s="70">
        <f t="shared" si="375"/>
        <v>0</v>
      </c>
      <c r="D1007" s="70">
        <f t="shared" si="376"/>
        <v>9846</v>
      </c>
      <c r="E1007" s="70">
        <f t="shared" si="377"/>
        <v>229188</v>
      </c>
      <c r="F1007" s="562">
        <f t="shared" si="378"/>
        <v>239034</v>
      </c>
      <c r="G1007" s="553">
        <f t="shared" si="379"/>
        <v>0</v>
      </c>
      <c r="H1007" s="600">
        <v>10317</v>
      </c>
      <c r="I1007" s="600">
        <v>0</v>
      </c>
      <c r="J1007" s="70">
        <f>(H1007+I1007)</f>
        <v>10317</v>
      </c>
      <c r="K1007" s="600">
        <v>0</v>
      </c>
      <c r="L1007" s="600">
        <v>0</v>
      </c>
      <c r="M1007" s="606">
        <f t="shared" si="381"/>
        <v>228717</v>
      </c>
      <c r="N1007" s="607">
        <v>0</v>
      </c>
      <c r="O1007" s="630">
        <f t="shared" si="382"/>
        <v>228717</v>
      </c>
      <c r="P1007" s="710">
        <v>0.2</v>
      </c>
      <c r="Q1007" s="599">
        <f t="shared" si="383"/>
        <v>-45743.4</v>
      </c>
      <c r="R1007" s="630">
        <f t="shared" si="384"/>
        <v>182973.6</v>
      </c>
      <c r="S1007" s="628">
        <f t="shared" si="374"/>
        <v>45743.399999999994</v>
      </c>
      <c r="T1007" s="70">
        <f t="shared" si="385"/>
        <v>45743.399999999994</v>
      </c>
      <c r="U1007" s="562" t="str">
        <f t="shared" si="386"/>
        <v/>
      </c>
      <c r="V1007" s="712"/>
      <c r="AC1007" s="642" t="s">
        <v>2236</v>
      </c>
      <c r="AD1007" s="67">
        <f t="shared" si="389"/>
        <v>0</v>
      </c>
      <c r="AE1007" s="67">
        <f t="shared" si="390"/>
        <v>0</v>
      </c>
      <c r="AF1007" s="67">
        <f t="shared" si="391"/>
        <v>0</v>
      </c>
      <c r="AG1007" s="67">
        <f t="shared" si="392"/>
        <v>0</v>
      </c>
      <c r="AH1007" s="67">
        <f t="shared" si="393"/>
        <v>14</v>
      </c>
      <c r="AI1007" s="67">
        <f t="shared" si="394"/>
        <v>202</v>
      </c>
      <c r="AJ1007" s="67">
        <f t="shared" si="395"/>
        <v>275</v>
      </c>
      <c r="AK1007" s="67">
        <f t="shared" si="396"/>
        <v>330</v>
      </c>
      <c r="AL1007" s="67">
        <f t="shared" si="397"/>
        <v>285</v>
      </c>
      <c r="AM1007" s="67">
        <f t="shared" si="398"/>
        <v>93</v>
      </c>
      <c r="AN1007" s="67">
        <f t="shared" si="399"/>
        <v>110</v>
      </c>
      <c r="AO1007" s="67">
        <f t="shared" si="400"/>
        <v>217</v>
      </c>
      <c r="AP1007" s="67">
        <f t="shared" si="401"/>
        <v>37</v>
      </c>
      <c r="AQ1007" s="67">
        <f t="shared" si="402"/>
        <v>82</v>
      </c>
      <c r="AR1007" s="67">
        <f t="shared" si="403"/>
        <v>87</v>
      </c>
      <c r="AS1007" s="636">
        <f t="shared" si="404"/>
        <v>1732</v>
      </c>
    </row>
    <row r="1008" spans="1:45" ht="15.75" customHeight="1" x14ac:dyDescent="0.3">
      <c r="A1008" s="592" t="s">
        <v>2435</v>
      </c>
      <c r="B1008" s="553" t="s">
        <v>2435</v>
      </c>
      <c r="C1008" s="70"/>
      <c r="D1008" s="70"/>
      <c r="E1008" s="70" t="s">
        <v>852</v>
      </c>
      <c r="F1008" s="562"/>
      <c r="G1008" s="553"/>
      <c r="H1008" s="70"/>
      <c r="I1008" s="70" t="s">
        <v>852</v>
      </c>
      <c r="J1008" s="70" t="s">
        <v>852</v>
      </c>
      <c r="K1008" s="601"/>
      <c r="L1008" s="70"/>
      <c r="M1008" s="606"/>
      <c r="N1008" s="607"/>
      <c r="O1008" s="630"/>
      <c r="P1008" s="710"/>
      <c r="Q1008" s="607"/>
      <c r="R1008" s="630"/>
      <c r="S1008" s="628"/>
      <c r="T1008" s="70"/>
      <c r="U1008" s="562"/>
      <c r="V1008" s="712"/>
      <c r="AC1008" s="642" t="s">
        <v>2237</v>
      </c>
      <c r="AD1008" s="67">
        <f t="shared" si="389"/>
        <v>0</v>
      </c>
      <c r="AE1008" s="67">
        <f t="shared" si="390"/>
        <v>0</v>
      </c>
      <c r="AF1008" s="67">
        <f t="shared" si="391"/>
        <v>0</v>
      </c>
      <c r="AG1008" s="67">
        <f t="shared" si="392"/>
        <v>0</v>
      </c>
      <c r="AH1008" s="67">
        <f t="shared" si="393"/>
        <v>0</v>
      </c>
      <c r="AI1008" s="67">
        <f t="shared" si="394"/>
        <v>223</v>
      </c>
      <c r="AJ1008" s="67">
        <f t="shared" si="395"/>
        <v>295</v>
      </c>
      <c r="AK1008" s="67">
        <f t="shared" si="396"/>
        <v>297</v>
      </c>
      <c r="AL1008" s="67">
        <f t="shared" si="397"/>
        <v>245</v>
      </c>
      <c r="AM1008" s="67">
        <f t="shared" si="398"/>
        <v>81</v>
      </c>
      <c r="AN1008" s="67">
        <f t="shared" si="399"/>
        <v>95</v>
      </c>
      <c r="AO1008" s="67">
        <f t="shared" si="400"/>
        <v>183</v>
      </c>
      <c r="AP1008" s="67">
        <f t="shared" si="401"/>
        <v>30</v>
      </c>
      <c r="AQ1008" s="67">
        <f t="shared" si="402"/>
        <v>81</v>
      </c>
      <c r="AR1008" s="67">
        <f t="shared" si="403"/>
        <v>72</v>
      </c>
      <c r="AS1008" s="636">
        <f t="shared" si="404"/>
        <v>1602</v>
      </c>
    </row>
    <row r="1009" spans="1:45" ht="16.5" customHeight="1" thickBot="1" x14ac:dyDescent="0.35">
      <c r="A1009" s="596" t="s">
        <v>2356</v>
      </c>
      <c r="B1009" s="558">
        <f>SUM(B996:B1007)</f>
        <v>2679292</v>
      </c>
      <c r="C1009" s="564">
        <f>+SUM(C996:C1007)</f>
        <v>0</v>
      </c>
      <c r="D1009" s="564">
        <f>SUM(D996:D1007)</f>
        <v>114844</v>
      </c>
      <c r="E1009" s="564">
        <f t="shared" si="377"/>
        <v>2679292</v>
      </c>
      <c r="F1009" s="602">
        <f>SUM(F996:F1007)</f>
        <v>2794136</v>
      </c>
      <c r="G1009" s="558">
        <f>SUM(G996:G1007)</f>
        <v>52946.860005456911</v>
      </c>
      <c r="H1009" s="564">
        <f>SUM(H996:H1007)</f>
        <v>142345</v>
      </c>
      <c r="I1009" s="564">
        <f>SUM(I996:I1007)</f>
        <v>0</v>
      </c>
      <c r="J1009" s="564">
        <f>(H1009+I1009)</f>
        <v>142345</v>
      </c>
      <c r="K1009" s="564">
        <f>SUM(K996:K1007)</f>
        <v>0</v>
      </c>
      <c r="L1009" s="564">
        <f>SUM(L996:L1007)</f>
        <v>0</v>
      </c>
      <c r="M1009" s="608">
        <f>SUM(M996:M1007)</f>
        <v>2598844.1399945435</v>
      </c>
      <c r="N1009" s="609">
        <f>SUM(N996:N1007)</f>
        <v>130856</v>
      </c>
      <c r="O1009" s="631">
        <f>+M1009+N1009</f>
        <v>2729700.1399945435</v>
      </c>
      <c r="P1009" s="711">
        <f>Q1009/O1009</f>
        <v>-0.20085795395953859</v>
      </c>
      <c r="Q1009" s="616">
        <f>SUM(Q996:Q1007)</f>
        <v>-548281.98504237004</v>
      </c>
      <c r="R1009" s="631">
        <f>SUM(R996:R1007)</f>
        <v>2181418.1549521731</v>
      </c>
      <c r="S1009" s="629">
        <f>(F1009-G1009-J1009-K1009-L1009-R1009)</f>
        <v>417425.98504236992</v>
      </c>
      <c r="T1009" s="564">
        <f>+SUM(T996:T1007)</f>
        <v>546523.76259323664</v>
      </c>
      <c r="U1009" s="602">
        <f>+SUM(U996:U1007)</f>
        <v>129097.77755086662</v>
      </c>
      <c r="V1009" s="712"/>
      <c r="AC1009" s="642" t="s">
        <v>1504</v>
      </c>
      <c r="AD1009" s="67">
        <f t="shared" si="389"/>
        <v>0</v>
      </c>
      <c r="AE1009" s="67">
        <f t="shared" si="390"/>
        <v>0</v>
      </c>
      <c r="AF1009" s="67">
        <f t="shared" si="391"/>
        <v>0</v>
      </c>
      <c r="AG1009" s="67">
        <f t="shared" si="392"/>
        <v>0</v>
      </c>
      <c r="AH1009" s="67">
        <f t="shared" si="393"/>
        <v>0</v>
      </c>
      <c r="AI1009" s="67">
        <f t="shared" si="394"/>
        <v>226</v>
      </c>
      <c r="AJ1009" s="67">
        <f t="shared" si="395"/>
        <v>319</v>
      </c>
      <c r="AK1009" s="67">
        <f t="shared" si="396"/>
        <v>309</v>
      </c>
      <c r="AL1009" s="67">
        <f t="shared" si="397"/>
        <v>243</v>
      </c>
      <c r="AM1009" s="67">
        <f t="shared" si="398"/>
        <v>75</v>
      </c>
      <c r="AN1009" s="67">
        <f t="shared" si="399"/>
        <v>89</v>
      </c>
      <c r="AO1009" s="67">
        <f t="shared" si="400"/>
        <v>172</v>
      </c>
      <c r="AP1009" s="67">
        <f t="shared" si="401"/>
        <v>26</v>
      </c>
      <c r="AQ1009" s="67">
        <f t="shared" si="402"/>
        <v>73</v>
      </c>
      <c r="AR1009" s="67">
        <f t="shared" si="403"/>
        <v>62</v>
      </c>
      <c r="AS1009" s="636">
        <f t="shared" si="404"/>
        <v>1594</v>
      </c>
    </row>
    <row r="1010" spans="1:45" ht="15.75" customHeight="1" x14ac:dyDescent="0.3">
      <c r="A1010" s="579"/>
      <c r="B1010" s="67"/>
      <c r="C1010" s="67"/>
      <c r="D1010" s="67"/>
      <c r="E1010" s="67"/>
      <c r="F1010" s="67" t="s">
        <v>2435</v>
      </c>
      <c r="G1010" s="67"/>
      <c r="H1010" s="67"/>
      <c r="I1010" s="67"/>
      <c r="K1010" s="67"/>
      <c r="L1010" s="67"/>
      <c r="M1010" s="219"/>
      <c r="O1010" s="703"/>
      <c r="P1010" s="701"/>
      <c r="V1010" s="712"/>
      <c r="AC1010" s="642" t="s">
        <v>1505</v>
      </c>
      <c r="AD1010" s="67">
        <f t="shared" si="389"/>
        <v>0</v>
      </c>
      <c r="AE1010" s="67">
        <f t="shared" si="390"/>
        <v>0</v>
      </c>
      <c r="AF1010" s="67">
        <f t="shared" si="391"/>
        <v>0</v>
      </c>
      <c r="AG1010" s="67">
        <f t="shared" si="392"/>
        <v>0</v>
      </c>
      <c r="AH1010" s="67">
        <f t="shared" si="393"/>
        <v>0</v>
      </c>
      <c r="AI1010" s="67">
        <f t="shared" si="394"/>
        <v>192</v>
      </c>
      <c r="AJ1010" s="67">
        <f t="shared" si="395"/>
        <v>321</v>
      </c>
      <c r="AK1010" s="67">
        <f t="shared" si="396"/>
        <v>333</v>
      </c>
      <c r="AL1010" s="67">
        <f t="shared" si="397"/>
        <v>300</v>
      </c>
      <c r="AM1010" s="67">
        <f t="shared" si="398"/>
        <v>93</v>
      </c>
      <c r="AN1010" s="67">
        <f t="shared" si="399"/>
        <v>109</v>
      </c>
      <c r="AO1010" s="67">
        <f t="shared" si="400"/>
        <v>206</v>
      </c>
      <c r="AP1010" s="67">
        <f t="shared" si="401"/>
        <v>35</v>
      </c>
      <c r="AQ1010" s="67">
        <f t="shared" si="402"/>
        <v>80</v>
      </c>
      <c r="AR1010" s="67">
        <f t="shared" si="403"/>
        <v>83</v>
      </c>
      <c r="AS1010" s="636">
        <f t="shared" si="404"/>
        <v>1752</v>
      </c>
    </row>
    <row r="1011" spans="1:45" ht="15.75" customHeight="1" x14ac:dyDescent="0.3">
      <c r="A1011" s="551" t="s">
        <v>2640</v>
      </c>
      <c r="P1011" s="67"/>
      <c r="Q1011" s="67"/>
      <c r="R1011" s="67"/>
      <c r="V1011" s="712"/>
      <c r="AC1011" s="642" t="s">
        <v>1506</v>
      </c>
      <c r="AD1011" s="67">
        <f t="shared" si="389"/>
        <v>0</v>
      </c>
      <c r="AE1011" s="67">
        <f t="shared" si="390"/>
        <v>0</v>
      </c>
      <c r="AF1011" s="67">
        <f t="shared" si="391"/>
        <v>0</v>
      </c>
      <c r="AG1011" s="67">
        <f t="shared" si="392"/>
        <v>0</v>
      </c>
      <c r="AH1011" s="67">
        <f t="shared" si="393"/>
        <v>49</v>
      </c>
      <c r="AI1011" s="67">
        <f t="shared" si="394"/>
        <v>151</v>
      </c>
      <c r="AJ1011" s="67">
        <f t="shared" si="395"/>
        <v>235</v>
      </c>
      <c r="AK1011" s="67">
        <f t="shared" si="396"/>
        <v>284</v>
      </c>
      <c r="AL1011" s="67">
        <f t="shared" si="397"/>
        <v>256</v>
      </c>
      <c r="AM1011" s="67">
        <f t="shared" si="398"/>
        <v>77</v>
      </c>
      <c r="AN1011" s="67">
        <f t="shared" si="399"/>
        <v>91</v>
      </c>
      <c r="AO1011" s="67">
        <f t="shared" si="400"/>
        <v>172</v>
      </c>
      <c r="AP1011" s="67">
        <f t="shared" si="401"/>
        <v>32</v>
      </c>
      <c r="AQ1011" s="67">
        <f t="shared" si="402"/>
        <v>78</v>
      </c>
      <c r="AR1011" s="67">
        <f t="shared" si="403"/>
        <v>75</v>
      </c>
      <c r="AS1011" s="636">
        <f t="shared" si="404"/>
        <v>1500</v>
      </c>
    </row>
    <row r="1012" spans="1:45" ht="15.75" customHeight="1" x14ac:dyDescent="0.3">
      <c r="A1012" s="551" t="s">
        <v>1660</v>
      </c>
      <c r="D1012" s="67"/>
      <c r="E1012" s="67"/>
      <c r="F1012" s="67"/>
      <c r="G1012" s="67"/>
      <c r="H1012" s="67"/>
      <c r="I1012" s="67"/>
      <c r="J1012" s="67"/>
      <c r="K1012" s="67"/>
      <c r="L1012" s="67"/>
      <c r="M1012" s="67"/>
      <c r="N1012" s="67"/>
      <c r="O1012" s="67"/>
      <c r="P1012" s="67"/>
      <c r="Q1012" s="67"/>
      <c r="R1012" s="67"/>
      <c r="V1012" s="712"/>
      <c r="AC1012" s="642" t="s">
        <v>1507</v>
      </c>
      <c r="AD1012" s="67">
        <f t="shared" si="389"/>
        <v>0</v>
      </c>
      <c r="AE1012" s="67">
        <f t="shared" si="390"/>
        <v>0</v>
      </c>
      <c r="AF1012" s="67">
        <f t="shared" si="391"/>
        <v>0</v>
      </c>
      <c r="AG1012" s="67">
        <f t="shared" si="392"/>
        <v>0</v>
      </c>
      <c r="AH1012" s="67">
        <f t="shared" si="393"/>
        <v>272</v>
      </c>
      <c r="AI1012" s="67">
        <f t="shared" si="394"/>
        <v>61</v>
      </c>
      <c r="AJ1012" s="67">
        <f t="shared" si="395"/>
        <v>89</v>
      </c>
      <c r="AK1012" s="67">
        <f t="shared" si="396"/>
        <v>129</v>
      </c>
      <c r="AL1012" s="67">
        <f t="shared" si="397"/>
        <v>133</v>
      </c>
      <c r="AM1012" s="67">
        <f t="shared" si="398"/>
        <v>37</v>
      </c>
      <c r="AN1012" s="67">
        <f t="shared" si="399"/>
        <v>43</v>
      </c>
      <c r="AO1012" s="67">
        <f t="shared" si="400"/>
        <v>91</v>
      </c>
      <c r="AP1012" s="67">
        <f t="shared" si="401"/>
        <v>25</v>
      </c>
      <c r="AQ1012" s="67">
        <f t="shared" si="402"/>
        <v>50</v>
      </c>
      <c r="AR1012" s="67">
        <f t="shared" si="403"/>
        <v>59</v>
      </c>
      <c r="AS1012" s="636">
        <f t="shared" si="404"/>
        <v>989</v>
      </c>
    </row>
    <row r="1013" spans="1:45" ht="15.75" customHeight="1" x14ac:dyDescent="0.3">
      <c r="A1013" s="551" t="s">
        <v>2853</v>
      </c>
      <c r="D1013" s="67"/>
      <c r="E1013" s="67"/>
      <c r="F1013" s="67"/>
      <c r="G1013" s="67"/>
      <c r="H1013" s="67"/>
      <c r="I1013" s="67"/>
      <c r="J1013" s="67"/>
      <c r="K1013" s="67"/>
      <c r="L1013" s="67"/>
      <c r="M1013" s="67"/>
      <c r="N1013" s="67"/>
      <c r="O1013" s="67"/>
      <c r="P1013" s="67"/>
      <c r="Q1013" s="67"/>
      <c r="R1013" s="67"/>
      <c r="V1013" s="712"/>
      <c r="AC1013" s="642" t="s">
        <v>1508</v>
      </c>
      <c r="AD1013" s="67">
        <f t="shared" si="389"/>
        <v>0</v>
      </c>
      <c r="AE1013" s="67">
        <f t="shared" si="390"/>
        <v>0</v>
      </c>
      <c r="AF1013" s="67">
        <f t="shared" si="391"/>
        <v>0</v>
      </c>
      <c r="AG1013" s="67">
        <f t="shared" si="392"/>
        <v>0</v>
      </c>
      <c r="AH1013" s="67">
        <f t="shared" si="393"/>
        <v>245</v>
      </c>
      <c r="AI1013" s="67">
        <f t="shared" si="394"/>
        <v>61</v>
      </c>
      <c r="AJ1013" s="67">
        <f t="shared" si="395"/>
        <v>37</v>
      </c>
      <c r="AK1013" s="67">
        <f t="shared" si="396"/>
        <v>57</v>
      </c>
      <c r="AL1013" s="67">
        <f t="shared" si="397"/>
        <v>55</v>
      </c>
      <c r="AM1013" s="67">
        <f t="shared" si="398"/>
        <v>18</v>
      </c>
      <c r="AN1013" s="67">
        <f t="shared" si="399"/>
        <v>21</v>
      </c>
      <c r="AO1013" s="67">
        <f t="shared" si="400"/>
        <v>39</v>
      </c>
      <c r="AP1013" s="67">
        <f t="shared" si="401"/>
        <v>17</v>
      </c>
      <c r="AQ1013" s="67">
        <f t="shared" si="402"/>
        <v>53</v>
      </c>
      <c r="AR1013" s="67">
        <f t="shared" si="403"/>
        <v>39</v>
      </c>
      <c r="AS1013" s="636">
        <f t="shared" si="404"/>
        <v>642</v>
      </c>
    </row>
    <row r="1014" spans="1:45" ht="15.75" customHeight="1" thickBot="1" x14ac:dyDescent="0.35">
      <c r="A1014" s="554" t="s">
        <v>2626</v>
      </c>
      <c r="B1014" s="581"/>
      <c r="C1014" s="581"/>
      <c r="D1014" s="555"/>
      <c r="E1014" s="555"/>
      <c r="F1014" s="555"/>
      <c r="G1014" s="555"/>
      <c r="H1014" s="555"/>
      <c r="I1014" s="555"/>
      <c r="J1014" s="555"/>
      <c r="K1014" s="555"/>
      <c r="L1014" s="555"/>
      <c r="M1014" s="555"/>
      <c r="N1014" s="555"/>
      <c r="O1014" s="555"/>
      <c r="P1014" s="555"/>
      <c r="Q1014" s="555"/>
      <c r="R1014" s="555"/>
      <c r="S1014" s="581"/>
      <c r="T1014" s="581"/>
      <c r="U1014" s="581"/>
      <c r="V1014" s="565"/>
      <c r="AC1014" s="642" t="s">
        <v>1509</v>
      </c>
      <c r="AD1014" s="67">
        <f t="shared" si="389"/>
        <v>0</v>
      </c>
      <c r="AE1014" s="67">
        <f t="shared" si="390"/>
        <v>0</v>
      </c>
      <c r="AF1014" s="67">
        <f t="shared" si="391"/>
        <v>0</v>
      </c>
      <c r="AG1014" s="67">
        <f t="shared" si="392"/>
        <v>0</v>
      </c>
      <c r="AH1014" s="67">
        <f t="shared" si="393"/>
        <v>252</v>
      </c>
      <c r="AI1014" s="67">
        <f t="shared" si="394"/>
        <v>46</v>
      </c>
      <c r="AJ1014" s="67">
        <f t="shared" si="395"/>
        <v>37</v>
      </c>
      <c r="AK1014" s="67">
        <f t="shared" si="396"/>
        <v>54</v>
      </c>
      <c r="AL1014" s="67">
        <f t="shared" si="397"/>
        <v>56</v>
      </c>
      <c r="AM1014" s="67">
        <f t="shared" si="398"/>
        <v>21</v>
      </c>
      <c r="AN1014" s="67">
        <f t="shared" si="399"/>
        <v>25</v>
      </c>
      <c r="AO1014" s="67">
        <f t="shared" si="400"/>
        <v>44</v>
      </c>
      <c r="AP1014" s="67">
        <f t="shared" si="401"/>
        <v>15</v>
      </c>
      <c r="AQ1014" s="67">
        <f t="shared" si="402"/>
        <v>46</v>
      </c>
      <c r="AR1014" s="67">
        <f t="shared" si="403"/>
        <v>35</v>
      </c>
      <c r="AS1014" s="636">
        <f t="shared" si="404"/>
        <v>631</v>
      </c>
    </row>
    <row r="1015" spans="1:45" ht="15.75" customHeight="1" thickBot="1" x14ac:dyDescent="0.35">
      <c r="A1015" s="551"/>
      <c r="D1015" s="67"/>
      <c r="E1015" s="67"/>
      <c r="F1015" s="67"/>
      <c r="G1015" s="67"/>
      <c r="H1015" s="67"/>
      <c r="I1015" s="67"/>
      <c r="J1015" s="67"/>
      <c r="K1015" s="67"/>
      <c r="L1015" s="67"/>
      <c r="M1015" s="67"/>
      <c r="N1015" s="67"/>
      <c r="O1015" s="67"/>
      <c r="P1015" s="67"/>
      <c r="Q1015" s="67"/>
      <c r="R1015" s="67"/>
      <c r="S1015" s="703"/>
      <c r="V1015" s="705"/>
      <c r="AC1015" s="579"/>
      <c r="AD1015" s="67"/>
      <c r="AE1015" s="67"/>
      <c r="AF1015" s="67"/>
      <c r="AG1015" s="67"/>
      <c r="AH1015" s="67"/>
      <c r="AI1015" s="67"/>
      <c r="AJ1015" s="67"/>
      <c r="AK1015" s="67"/>
      <c r="AL1015" s="67"/>
      <c r="AM1015" s="67"/>
      <c r="AN1015" s="67"/>
      <c r="AO1015" s="67"/>
      <c r="AP1015" s="67"/>
      <c r="AQ1015" s="67"/>
      <c r="AR1015" s="67"/>
      <c r="AS1015" s="636"/>
    </row>
    <row r="1016" spans="1:45" ht="15.75" customHeight="1" thickBot="1" x14ac:dyDescent="0.35">
      <c r="A1016" s="139"/>
      <c r="B1016" s="806" t="s">
        <v>2689</v>
      </c>
      <c r="C1016" s="807"/>
      <c r="D1016" s="807"/>
      <c r="E1016" s="807"/>
      <c r="F1016" s="807"/>
      <c r="G1016" s="807"/>
      <c r="H1016" s="807"/>
      <c r="I1016" s="807"/>
      <c r="J1016" s="807"/>
      <c r="K1016" s="807"/>
      <c r="L1016" s="807"/>
      <c r="M1016" s="807"/>
      <c r="N1016" s="807"/>
      <c r="O1016" s="807"/>
      <c r="P1016" s="807"/>
      <c r="Q1016" s="701"/>
      <c r="R1016" s="701"/>
      <c r="S1016" s="705"/>
      <c r="T1016" s="703"/>
      <c r="U1016" s="703"/>
      <c r="V1016" s="702"/>
      <c r="AC1016" s="644" t="s">
        <v>2356</v>
      </c>
      <c r="AD1016" s="555">
        <f>SUM(AD1003:AD1014)</f>
        <v>0</v>
      </c>
      <c r="AE1016" s="555">
        <f t="shared" ref="AE1016:AS1016" si="405">SUM(AE1003:AE1014)</f>
        <v>0</v>
      </c>
      <c r="AF1016" s="555">
        <f t="shared" si="405"/>
        <v>0</v>
      </c>
      <c r="AG1016" s="555">
        <f t="shared" si="405"/>
        <v>0</v>
      </c>
      <c r="AH1016" s="555">
        <f t="shared" si="405"/>
        <v>1353</v>
      </c>
      <c r="AI1016" s="555">
        <f t="shared" si="405"/>
        <v>1578</v>
      </c>
      <c r="AJ1016" s="555">
        <f t="shared" si="405"/>
        <v>2367</v>
      </c>
      <c r="AK1016" s="555">
        <f t="shared" si="405"/>
        <v>2811</v>
      </c>
      <c r="AL1016" s="555">
        <f t="shared" si="405"/>
        <v>2540</v>
      </c>
      <c r="AM1016" s="555">
        <f t="shared" si="405"/>
        <v>787</v>
      </c>
      <c r="AN1016" s="555">
        <f t="shared" si="405"/>
        <v>928</v>
      </c>
      <c r="AO1016" s="555">
        <f t="shared" si="405"/>
        <v>1817</v>
      </c>
      <c r="AP1016" s="555">
        <f t="shared" si="405"/>
        <v>331</v>
      </c>
      <c r="AQ1016" s="555">
        <f t="shared" si="405"/>
        <v>754</v>
      </c>
      <c r="AR1016" s="555">
        <f t="shared" si="405"/>
        <v>780</v>
      </c>
      <c r="AS1016" s="637">
        <f t="shared" si="405"/>
        <v>16046</v>
      </c>
    </row>
    <row r="1017" spans="1:45" ht="15.75" customHeight="1" thickBot="1" x14ac:dyDescent="0.35">
      <c r="A1017" s="139"/>
      <c r="B1017" s="795" t="s">
        <v>2633</v>
      </c>
      <c r="C1017" s="796"/>
      <c r="D1017" s="796"/>
      <c r="E1017" s="796"/>
      <c r="F1017" s="797"/>
      <c r="G1017" s="795" t="s">
        <v>2674</v>
      </c>
      <c r="H1017" s="796"/>
      <c r="I1017" s="796"/>
      <c r="J1017" s="796"/>
      <c r="K1017" s="796"/>
      <c r="L1017" s="796"/>
      <c r="M1017" s="798" t="s">
        <v>2677</v>
      </c>
      <c r="N1017" s="811"/>
      <c r="O1017" s="811"/>
      <c r="P1017" s="799"/>
      <c r="Q1017" s="799"/>
      <c r="R1017" s="800"/>
      <c r="S1017" s="795" t="s">
        <v>2682</v>
      </c>
      <c r="T1017" s="801"/>
      <c r="U1017" s="802"/>
      <c r="V1017" s="727"/>
    </row>
    <row r="1018" spans="1:45" ht="15.75" customHeight="1" x14ac:dyDescent="0.3">
      <c r="A1018" s="592"/>
      <c r="B1018" s="553" t="s">
        <v>2439</v>
      </c>
      <c r="C1018" s="70"/>
      <c r="D1018" s="70" t="s">
        <v>336</v>
      </c>
      <c r="E1018" s="70" t="s">
        <v>596</v>
      </c>
      <c r="F1018" s="562" t="s">
        <v>2652</v>
      </c>
      <c r="G1018" s="553" t="s">
        <v>228</v>
      </c>
      <c r="H1018" s="70"/>
      <c r="I1018" s="70"/>
      <c r="J1018" s="70" t="s">
        <v>229</v>
      </c>
      <c r="K1018" s="70" t="s">
        <v>2638</v>
      </c>
      <c r="L1018" s="70" t="s">
        <v>2639</v>
      </c>
      <c r="M1018" s="808" t="str">
        <f>+M991</f>
        <v>(NE)* per WAPA</v>
      </c>
      <c r="N1018" s="809"/>
      <c r="O1018" s="809"/>
      <c r="P1018" s="715"/>
      <c r="Q1018" s="599"/>
      <c r="R1018" s="714"/>
      <c r="S1018" s="553" t="s">
        <v>2683</v>
      </c>
      <c r="T1018" s="610" t="s">
        <v>134</v>
      </c>
      <c r="U1018" s="611" t="s">
        <v>2685</v>
      </c>
      <c r="V1018" s="727"/>
    </row>
    <row r="1019" spans="1:45" ht="15.75" customHeight="1" x14ac:dyDescent="0.3">
      <c r="A1019" s="592"/>
      <c r="B1019" s="593" t="s">
        <v>2648</v>
      </c>
      <c r="C1019" s="588" t="s">
        <v>2656</v>
      </c>
      <c r="D1019" s="588" t="s">
        <v>2651</v>
      </c>
      <c r="E1019" s="70" t="s">
        <v>335</v>
      </c>
      <c r="F1019" s="591" t="s">
        <v>2653</v>
      </c>
      <c r="G1019" s="553" t="s">
        <v>2463</v>
      </c>
      <c r="H1019" s="70" t="s">
        <v>1416</v>
      </c>
      <c r="I1019" s="70" t="s">
        <v>1417</v>
      </c>
      <c r="J1019" s="588" t="s">
        <v>2632</v>
      </c>
      <c r="K1019" s="70" t="s">
        <v>2634</v>
      </c>
      <c r="L1019" s="588" t="s">
        <v>2637</v>
      </c>
      <c r="M1019" s="603" t="s">
        <v>2679</v>
      </c>
      <c r="N1019" s="604" t="s">
        <v>2680</v>
      </c>
      <c r="O1019" s="599" t="s">
        <v>2356</v>
      </c>
      <c r="P1019" s="603" t="s">
        <v>3112</v>
      </c>
      <c r="Q1019" s="604" t="s">
        <v>3112</v>
      </c>
      <c r="R1019" s="630" t="s">
        <v>3117</v>
      </c>
      <c r="S1019" s="553" t="s">
        <v>2684</v>
      </c>
      <c r="T1019" s="70" t="s">
        <v>2686</v>
      </c>
      <c r="U1019" s="562" t="s">
        <v>2687</v>
      </c>
      <c r="V1019" s="727"/>
    </row>
    <row r="1020" spans="1:45" ht="15.75" customHeight="1" x14ac:dyDescent="0.3">
      <c r="A1020" s="592"/>
      <c r="B1020" s="594" t="s">
        <v>2654</v>
      </c>
      <c r="C1020" s="217">
        <v>5.0000000000000001E-3</v>
      </c>
      <c r="D1020" s="217">
        <v>4.2999999999999997E-2</v>
      </c>
      <c r="E1020" s="70" t="s">
        <v>133</v>
      </c>
      <c r="F1020" s="595" t="s">
        <v>2649</v>
      </c>
      <c r="G1020" s="553" t="s">
        <v>2650</v>
      </c>
      <c r="H1020" s="70" t="s">
        <v>335</v>
      </c>
      <c r="I1020" s="70" t="s">
        <v>335</v>
      </c>
      <c r="J1020" s="70" t="s">
        <v>335</v>
      </c>
      <c r="K1020" s="70" t="s">
        <v>134</v>
      </c>
      <c r="L1020" s="70" t="s">
        <v>2636</v>
      </c>
      <c r="M1020" s="605" t="s">
        <v>955</v>
      </c>
      <c r="N1020" s="599" t="s">
        <v>2681</v>
      </c>
      <c r="O1020" s="599" t="s">
        <v>2688</v>
      </c>
      <c r="P1020" s="605" t="s">
        <v>3113</v>
      </c>
      <c r="Q1020" s="604" t="s">
        <v>3113</v>
      </c>
      <c r="R1020" s="630" t="s">
        <v>2688</v>
      </c>
      <c r="S1020" s="553" t="s">
        <v>335</v>
      </c>
      <c r="T1020" s="70" t="s">
        <v>335</v>
      </c>
      <c r="U1020" s="562" t="s">
        <v>335</v>
      </c>
      <c r="V1020" s="727"/>
    </row>
    <row r="1021" spans="1:45" ht="15.75" customHeight="1" x14ac:dyDescent="0.3">
      <c r="A1021" s="592" t="s">
        <v>249</v>
      </c>
      <c r="B1021" s="553" t="s">
        <v>2695</v>
      </c>
      <c r="C1021" s="70" t="s">
        <v>2695</v>
      </c>
      <c r="D1021" s="70" t="s">
        <v>2695</v>
      </c>
      <c r="E1021" s="70" t="s">
        <v>2695</v>
      </c>
      <c r="F1021" s="70" t="s">
        <v>2695</v>
      </c>
      <c r="G1021" s="553" t="s">
        <v>2695</v>
      </c>
      <c r="H1021" s="70" t="s">
        <v>2695</v>
      </c>
      <c r="I1021" s="70" t="s">
        <v>2695</v>
      </c>
      <c r="J1021" s="70" t="s">
        <v>2695</v>
      </c>
      <c r="K1021" s="70" t="s">
        <v>2695</v>
      </c>
      <c r="L1021" s="70" t="s">
        <v>2695</v>
      </c>
      <c r="M1021" s="605" t="s">
        <v>2695</v>
      </c>
      <c r="N1021" s="599" t="s">
        <v>2696</v>
      </c>
      <c r="O1021" s="599" t="s">
        <v>2695</v>
      </c>
      <c r="P1021" s="605" t="s">
        <v>3013</v>
      </c>
      <c r="Q1021" s="604" t="s">
        <v>998</v>
      </c>
      <c r="R1021" s="630" t="s">
        <v>998</v>
      </c>
      <c r="S1021" s="553" t="s">
        <v>2695</v>
      </c>
      <c r="T1021" s="70" t="s">
        <v>2695</v>
      </c>
      <c r="U1021" s="562" t="s">
        <v>2695</v>
      </c>
      <c r="V1021" s="727"/>
    </row>
    <row r="1022" spans="1:45" ht="15.75" customHeight="1" x14ac:dyDescent="0.3">
      <c r="A1022" s="592" t="s">
        <v>1353</v>
      </c>
      <c r="B1022" s="553" t="s">
        <v>1353</v>
      </c>
      <c r="C1022" s="70" t="s">
        <v>1353</v>
      </c>
      <c r="D1022" s="70" t="s">
        <v>1353</v>
      </c>
      <c r="E1022" s="70" t="s">
        <v>2202</v>
      </c>
      <c r="F1022" s="562" t="s">
        <v>1353</v>
      </c>
      <c r="G1022" s="553" t="s">
        <v>1353</v>
      </c>
      <c r="H1022" s="70" t="s">
        <v>2119</v>
      </c>
      <c r="I1022" s="70" t="s">
        <v>2119</v>
      </c>
      <c r="J1022" s="70" t="s">
        <v>1353</v>
      </c>
      <c r="K1022" s="70" t="s">
        <v>1353</v>
      </c>
      <c r="L1022" s="70" t="s">
        <v>1353</v>
      </c>
      <c r="M1022" s="605" t="s">
        <v>1353</v>
      </c>
      <c r="N1022" s="599" t="s">
        <v>1353</v>
      </c>
      <c r="O1022" s="599" t="s">
        <v>1353</v>
      </c>
      <c r="P1022" s="605" t="s">
        <v>1353</v>
      </c>
      <c r="Q1022" s="599" t="s">
        <v>1353</v>
      </c>
      <c r="R1022" s="630" t="s">
        <v>1353</v>
      </c>
      <c r="S1022" s="553" t="s">
        <v>1353</v>
      </c>
      <c r="T1022" s="70" t="s">
        <v>1353</v>
      </c>
      <c r="U1022" s="562" t="s">
        <v>1353</v>
      </c>
      <c r="V1022" s="727"/>
    </row>
    <row r="1023" spans="1:45" ht="15.75" customHeight="1" x14ac:dyDescent="0.3">
      <c r="A1023" s="139" t="s">
        <v>2843</v>
      </c>
      <c r="B1023" s="553">
        <f>+B996/($B$10*24)</f>
        <v>211.98387096774192</v>
      </c>
      <c r="C1023" s="70">
        <f t="shared" ref="C1023:L1023" si="406">+C996/($B$10*24)</f>
        <v>0</v>
      </c>
      <c r="D1023" s="70">
        <f t="shared" si="406"/>
        <v>8.9126344086021501</v>
      </c>
      <c r="E1023" s="70">
        <f t="shared" si="406"/>
        <v>211.98387096774192</v>
      </c>
      <c r="F1023" s="562">
        <f t="shared" si="406"/>
        <v>220.89650537634409</v>
      </c>
      <c r="G1023" s="70">
        <f t="shared" si="406"/>
        <v>0.96305171338049111</v>
      </c>
      <c r="H1023" s="70">
        <f t="shared" si="406"/>
        <v>11.98521505376344</v>
      </c>
      <c r="I1023" s="70">
        <f t="shared" si="406"/>
        <v>0</v>
      </c>
      <c r="J1023" s="70">
        <f t="shared" si="406"/>
        <v>11.98521505376344</v>
      </c>
      <c r="K1023" s="70">
        <f t="shared" si="406"/>
        <v>0</v>
      </c>
      <c r="L1023" s="70">
        <f t="shared" si="406"/>
        <v>0</v>
      </c>
      <c r="M1023" s="605">
        <f>+M996/($B$10*24)</f>
        <v>207.94823860920016</v>
      </c>
      <c r="N1023" s="599">
        <f t="shared" ref="N1023" si="407">+N996/($B$10*24)</f>
        <v>0</v>
      </c>
      <c r="O1023" s="599">
        <f>+O996/($B$10*24)</f>
        <v>207.94823860920016</v>
      </c>
      <c r="P1023" s="716">
        <f>P996</f>
        <v>0.2</v>
      </c>
      <c r="Q1023" s="599">
        <f>-O1023*P1023</f>
        <v>-41.589647721840038</v>
      </c>
      <c r="R1023" s="630">
        <f>O1023+Q1023</f>
        <v>166.35859088736012</v>
      </c>
      <c r="S1023" s="612">
        <f>+S996/($B$10*24)</f>
        <v>41.589647721840038</v>
      </c>
      <c r="T1023" s="70">
        <f>+IF(S1023&gt;=0,ABS(S1023),"")</f>
        <v>41.589647721840038</v>
      </c>
      <c r="U1023" s="562" t="str">
        <f>+IF(S1023&lt;=0,ABS(S1023),"")</f>
        <v/>
      </c>
      <c r="V1023" s="727"/>
    </row>
    <row r="1024" spans="1:45" ht="15.75" customHeight="1" x14ac:dyDescent="0.3">
      <c r="A1024" s="139" t="s">
        <v>2091</v>
      </c>
      <c r="B1024" s="553">
        <f>+B997/($C$10*24)</f>
        <v>287.65773809523807</v>
      </c>
      <c r="C1024" s="70">
        <f t="shared" ref="C1024:N1024" si="408">+C997/($C$10*24)</f>
        <v>0</v>
      </c>
      <c r="D1024" s="70">
        <f t="shared" si="408"/>
        <v>11.994047619047619</v>
      </c>
      <c r="E1024" s="70">
        <f t="shared" si="408"/>
        <v>287.65773809523807</v>
      </c>
      <c r="F1024" s="562">
        <f t="shared" si="408"/>
        <v>299.65178571428572</v>
      </c>
      <c r="G1024" s="70">
        <f t="shared" si="408"/>
        <v>3.2946504826497223</v>
      </c>
      <c r="H1024" s="70">
        <f t="shared" si="408"/>
        <v>16.62202380952381</v>
      </c>
      <c r="I1024" s="70">
        <f t="shared" si="408"/>
        <v>0</v>
      </c>
      <c r="J1024" s="70">
        <f t="shared" si="408"/>
        <v>16.62202380952381</v>
      </c>
      <c r="K1024" s="70">
        <f t="shared" si="408"/>
        <v>0</v>
      </c>
      <c r="L1024" s="70">
        <f t="shared" si="408"/>
        <v>0</v>
      </c>
      <c r="M1024" s="605">
        <f t="shared" si="408"/>
        <v>279.7351114221122</v>
      </c>
      <c r="N1024" s="599">
        <f t="shared" si="408"/>
        <v>0</v>
      </c>
      <c r="O1024" s="599">
        <f t="shared" ref="O1024:O1034" si="409">+O997/($B$10*24)</f>
        <v>252.66397160706907</v>
      </c>
      <c r="P1024" s="716">
        <f t="shared" ref="P1024:P1034" si="410">P997</f>
        <v>0.25</v>
      </c>
      <c r="Q1024" s="599">
        <f t="shared" ref="Q1024:Q1034" si="411">-O1024*P1024</f>
        <v>-63.165992901767268</v>
      </c>
      <c r="R1024" s="630">
        <f t="shared" ref="R1024:R1034" si="412">O1024+Q1024</f>
        <v>189.49797870530182</v>
      </c>
      <c r="S1024" s="612">
        <f>+S997/($C$10*24)</f>
        <v>69.933777855528035</v>
      </c>
      <c r="T1024" s="70">
        <f t="shared" ref="T1024:T1034" si="413">+IF(S1024&gt;=0,ABS(S1024),"")</f>
        <v>69.933777855528035</v>
      </c>
      <c r="U1024" s="562" t="str">
        <f t="shared" ref="U1024:U1034" si="414">+IF(S1024&lt;=0,ABS(S1024),"")</f>
        <v/>
      </c>
      <c r="V1024" s="727"/>
    </row>
    <row r="1025" spans="1:22" ht="15.75" customHeight="1" x14ac:dyDescent="0.3">
      <c r="A1025" s="139" t="s">
        <v>2234</v>
      </c>
      <c r="B1025" s="553">
        <f>+B998/($D$10*24)</f>
        <v>329.28225806451616</v>
      </c>
      <c r="C1025" s="70">
        <f t="shared" ref="C1025:N1025" si="415">+C998/($D$10*24)</f>
        <v>0</v>
      </c>
      <c r="D1025" s="70">
        <f t="shared" si="415"/>
        <v>13.926075268817204</v>
      </c>
      <c r="E1025" s="70">
        <f t="shared" si="415"/>
        <v>329.28225806451616</v>
      </c>
      <c r="F1025" s="562">
        <f t="shared" si="415"/>
        <v>343.20833333333331</v>
      </c>
      <c r="G1025" s="70">
        <f t="shared" si="415"/>
        <v>4.1077940864951925</v>
      </c>
      <c r="H1025" s="70">
        <f>+H998/($D$10*24)</f>
        <v>10.400537634408602</v>
      </c>
      <c r="I1025" s="70">
        <f t="shared" si="415"/>
        <v>0</v>
      </c>
      <c r="J1025" s="70">
        <f t="shared" si="415"/>
        <v>10.400537634408602</v>
      </c>
      <c r="K1025" s="70">
        <f t="shared" si="415"/>
        <v>0</v>
      </c>
      <c r="L1025" s="70">
        <f t="shared" si="415"/>
        <v>0</v>
      </c>
      <c r="M1025" s="605">
        <f t="shared" si="415"/>
        <v>328.7000016124295</v>
      </c>
      <c r="N1025" s="599">
        <f t="shared" si="415"/>
        <v>0</v>
      </c>
      <c r="O1025" s="599">
        <f t="shared" si="409"/>
        <v>328.7000016124295</v>
      </c>
      <c r="P1025" s="716">
        <f t="shared" si="410"/>
        <v>0.3</v>
      </c>
      <c r="Q1025" s="599">
        <f t="shared" si="411"/>
        <v>-98.610000483728854</v>
      </c>
      <c r="R1025" s="630">
        <f t="shared" si="412"/>
        <v>230.09000112870064</v>
      </c>
      <c r="S1025" s="612">
        <f>+S998/($D$10*24)</f>
        <v>98.610000483728854</v>
      </c>
      <c r="T1025" s="70">
        <f t="shared" si="413"/>
        <v>98.610000483728854</v>
      </c>
      <c r="U1025" s="562" t="str">
        <f t="shared" si="414"/>
        <v/>
      </c>
      <c r="V1025" s="727"/>
    </row>
    <row r="1026" spans="1:22" ht="15.75" customHeight="1" x14ac:dyDescent="0.3">
      <c r="A1026" s="139" t="s">
        <v>2235</v>
      </c>
      <c r="B1026" s="553">
        <f>+B999/($F$10*24)</f>
        <v>403.61388888888888</v>
      </c>
      <c r="C1026" s="70">
        <f t="shared" ref="C1026:N1026" si="416">+C999/($F$10*24)</f>
        <v>0</v>
      </c>
      <c r="D1026" s="70">
        <f t="shared" si="416"/>
        <v>17.655555555555555</v>
      </c>
      <c r="E1026" s="70">
        <f t="shared" si="416"/>
        <v>403.61388888888888</v>
      </c>
      <c r="F1026" s="562">
        <f t="shared" si="416"/>
        <v>421.26944444444445</v>
      </c>
      <c r="G1026" s="70">
        <f t="shared" si="416"/>
        <v>1.4810566440592829</v>
      </c>
      <c r="H1026" s="70">
        <f t="shared" si="416"/>
        <v>15.388888888888889</v>
      </c>
      <c r="I1026" s="70">
        <f t="shared" si="416"/>
        <v>0</v>
      </c>
      <c r="J1026" s="70">
        <f t="shared" si="416"/>
        <v>15.388888888888889</v>
      </c>
      <c r="K1026" s="70">
        <f t="shared" si="416"/>
        <v>0</v>
      </c>
      <c r="L1026" s="70">
        <f t="shared" si="416"/>
        <v>0</v>
      </c>
      <c r="M1026" s="605">
        <f t="shared" si="416"/>
        <v>404.39949891149632</v>
      </c>
      <c r="N1026" s="599">
        <f t="shared" si="416"/>
        <v>-31</v>
      </c>
      <c r="O1026" s="599">
        <f t="shared" si="409"/>
        <v>361.35435378531901</v>
      </c>
      <c r="P1026" s="716">
        <f t="shared" si="410"/>
        <v>0.35</v>
      </c>
      <c r="Q1026" s="599">
        <f t="shared" si="411"/>
        <v>-126.47402382486165</v>
      </c>
      <c r="R1026" s="630">
        <f t="shared" si="412"/>
        <v>234.88032996045735</v>
      </c>
      <c r="S1026" s="612">
        <f>+S999/($F$10*24)</f>
        <v>161.68982461902371</v>
      </c>
      <c r="T1026" s="70">
        <f t="shared" si="413"/>
        <v>161.68982461902371</v>
      </c>
      <c r="U1026" s="562" t="str">
        <f t="shared" si="414"/>
        <v/>
      </c>
      <c r="V1026" s="727"/>
    </row>
    <row r="1027" spans="1:22" ht="15.75" customHeight="1" x14ac:dyDescent="0.3">
      <c r="A1027" s="139" t="s">
        <v>2236</v>
      </c>
      <c r="B1027" s="553">
        <f>+B1000/($G$10*24)</f>
        <v>409.3293010752688</v>
      </c>
      <c r="C1027" s="70">
        <f t="shared" ref="C1027:N1027" si="417">+C1000/($G$10*24)</f>
        <v>0</v>
      </c>
      <c r="D1027" s="70">
        <f t="shared" si="417"/>
        <v>18.048387096774192</v>
      </c>
      <c r="E1027" s="70">
        <f t="shared" si="417"/>
        <v>409.3293010752688</v>
      </c>
      <c r="F1027" s="562">
        <f t="shared" si="417"/>
        <v>427.37768817204301</v>
      </c>
      <c r="G1027" s="70">
        <f t="shared" si="417"/>
        <v>1.0382374342643668</v>
      </c>
      <c r="H1027" s="70">
        <f t="shared" si="417"/>
        <v>12.452956989247312</v>
      </c>
      <c r="I1027" s="70">
        <f t="shared" si="417"/>
        <v>0</v>
      </c>
      <c r="J1027" s="70">
        <f t="shared" si="417"/>
        <v>12.452956989247312</v>
      </c>
      <c r="K1027" s="70">
        <f t="shared" si="417"/>
        <v>0</v>
      </c>
      <c r="L1027" s="70">
        <f t="shared" si="417"/>
        <v>0</v>
      </c>
      <c r="M1027" s="605">
        <f t="shared" si="417"/>
        <v>413.88649374853128</v>
      </c>
      <c r="N1027" s="599">
        <f t="shared" si="417"/>
        <v>0</v>
      </c>
      <c r="O1027" s="599">
        <f t="shared" si="409"/>
        <v>413.88649374853128</v>
      </c>
      <c r="P1027" s="716">
        <f t="shared" si="410"/>
        <v>0.35</v>
      </c>
      <c r="Q1027" s="599">
        <f t="shared" si="411"/>
        <v>-144.86027281198594</v>
      </c>
      <c r="R1027" s="630">
        <f t="shared" si="412"/>
        <v>269.02622093654531</v>
      </c>
      <c r="S1027" s="612">
        <f>+S1000/($G$10*24)</f>
        <v>144.86027281198594</v>
      </c>
      <c r="T1027" s="70">
        <f t="shared" si="413"/>
        <v>144.86027281198594</v>
      </c>
      <c r="U1027" s="562" t="str">
        <f t="shared" si="414"/>
        <v/>
      </c>
      <c r="V1027" s="727"/>
    </row>
    <row r="1028" spans="1:22" ht="15.75" customHeight="1" x14ac:dyDescent="0.3">
      <c r="A1028" s="139" t="s">
        <v>2237</v>
      </c>
      <c r="B1028" s="553">
        <f>+B1001/($H$10*24)</f>
        <v>245.85138888888889</v>
      </c>
      <c r="C1028" s="70">
        <f t="shared" ref="C1028:N1028" si="418">+C1001/($H$10*24)</f>
        <v>0</v>
      </c>
      <c r="D1028" s="70">
        <f t="shared" si="418"/>
        <v>10.433333333333334</v>
      </c>
      <c r="E1028" s="70">
        <f t="shared" si="418"/>
        <v>245.85138888888889</v>
      </c>
      <c r="F1028" s="562">
        <f t="shared" si="418"/>
        <v>256.28472222222223</v>
      </c>
      <c r="G1028" s="70">
        <f t="shared" si="418"/>
        <v>21.140918529682665</v>
      </c>
      <c r="H1028" s="70">
        <f t="shared" si="418"/>
        <v>22.12638888888889</v>
      </c>
      <c r="I1028" s="70">
        <f t="shared" si="418"/>
        <v>0</v>
      </c>
      <c r="J1028" s="70">
        <f t="shared" si="418"/>
        <v>22.12638888888889</v>
      </c>
      <c r="K1028" s="70">
        <f t="shared" si="418"/>
        <v>0</v>
      </c>
      <c r="L1028" s="70">
        <f t="shared" si="418"/>
        <v>0</v>
      </c>
      <c r="M1028" s="605">
        <f t="shared" si="418"/>
        <v>213.01741480365067</v>
      </c>
      <c r="N1028" s="599">
        <f t="shared" si="418"/>
        <v>65.666666666666671</v>
      </c>
      <c r="O1028" s="599">
        <f t="shared" si="409"/>
        <v>269.69427239062969</v>
      </c>
      <c r="P1028" s="716">
        <f t="shared" si="410"/>
        <v>7.4999999999999997E-2</v>
      </c>
      <c r="Q1028" s="599">
        <f t="shared" si="411"/>
        <v>-20.227070429297225</v>
      </c>
      <c r="R1028" s="630">
        <f t="shared" si="412"/>
        <v>249.46720196133248</v>
      </c>
      <c r="S1028" s="612">
        <f>+S1001/($H$10*24)</f>
        <v>-44.765360556392871</v>
      </c>
      <c r="T1028" s="70" t="str">
        <f t="shared" si="413"/>
        <v/>
      </c>
      <c r="U1028" s="562">
        <f t="shared" si="414"/>
        <v>44.765360556392871</v>
      </c>
      <c r="V1028" s="727"/>
    </row>
    <row r="1029" spans="1:22" ht="15.75" customHeight="1" x14ac:dyDescent="0.3">
      <c r="A1029" s="139" t="s">
        <v>1504</v>
      </c>
      <c r="B1029" s="553">
        <f>+B1002/($J$10*24)</f>
        <v>212.24327956989248</v>
      </c>
      <c r="C1029" s="70">
        <f t="shared" ref="C1029:N1029" si="419">+C1002/($J$10*24)</f>
        <v>0</v>
      </c>
      <c r="D1029" s="70">
        <f t="shared" si="419"/>
        <v>8.8911290322580641</v>
      </c>
      <c r="E1029" s="70">
        <f t="shared" si="419"/>
        <v>212.24327956989248</v>
      </c>
      <c r="F1029" s="562">
        <f t="shared" si="419"/>
        <v>221.13440860215053</v>
      </c>
      <c r="G1029" s="70">
        <f t="shared" si="419"/>
        <v>19.133547050100876</v>
      </c>
      <c r="H1029" s="70">
        <f t="shared" si="419"/>
        <v>22.611559139784948</v>
      </c>
      <c r="I1029" s="70">
        <f t="shared" si="419"/>
        <v>0</v>
      </c>
      <c r="J1029" s="70">
        <f t="shared" si="419"/>
        <v>22.611559139784948</v>
      </c>
      <c r="K1029" s="70">
        <f t="shared" si="419"/>
        <v>0</v>
      </c>
      <c r="L1029" s="70">
        <f t="shared" si="419"/>
        <v>0</v>
      </c>
      <c r="M1029" s="605">
        <f t="shared" si="419"/>
        <v>179.3893024122647</v>
      </c>
      <c r="N1029" s="599">
        <f t="shared" si="419"/>
        <v>63.333333333333336</v>
      </c>
      <c r="O1029" s="599">
        <f t="shared" si="409"/>
        <v>242.72263574559804</v>
      </c>
      <c r="P1029" s="716">
        <f t="shared" si="410"/>
        <v>0.05</v>
      </c>
      <c r="Q1029" s="599">
        <f t="shared" si="411"/>
        <v>-12.136131787279902</v>
      </c>
      <c r="R1029" s="630">
        <f t="shared" si="412"/>
        <v>230.58650395831813</v>
      </c>
      <c r="S1029" s="612">
        <f>+S1002/($J$10*24)</f>
        <v>-51.197201546053442</v>
      </c>
      <c r="T1029" s="70" t="str">
        <f t="shared" si="413"/>
        <v/>
      </c>
      <c r="U1029" s="562">
        <f t="shared" si="414"/>
        <v>51.197201546053442</v>
      </c>
      <c r="V1029" s="727"/>
    </row>
    <row r="1030" spans="1:22" ht="15.75" customHeight="1" x14ac:dyDescent="0.3">
      <c r="A1030" s="139" t="s">
        <v>1505</v>
      </c>
      <c r="B1030" s="553">
        <f>+B1003/($K$10*24)</f>
        <v>119.16397849462365</v>
      </c>
      <c r="C1030" s="70">
        <f t="shared" ref="C1030:N1030" si="420">+C1003/($K$10*24)</f>
        <v>0</v>
      </c>
      <c r="D1030" s="70">
        <f t="shared" si="420"/>
        <v>4.458333333333333</v>
      </c>
      <c r="E1030" s="70">
        <f t="shared" si="420"/>
        <v>119.16397849462365</v>
      </c>
      <c r="F1030" s="562">
        <f t="shared" si="420"/>
        <v>123.62231182795699</v>
      </c>
      <c r="G1030" s="70">
        <f t="shared" si="420"/>
        <v>19.959569540071357</v>
      </c>
      <c r="H1030" s="70">
        <f t="shared" si="420"/>
        <v>19.517473118279568</v>
      </c>
      <c r="I1030" s="70">
        <f t="shared" si="420"/>
        <v>0</v>
      </c>
      <c r="J1030" s="70">
        <f t="shared" si="420"/>
        <v>19.517473118279568</v>
      </c>
      <c r="K1030" s="70">
        <f t="shared" si="420"/>
        <v>0</v>
      </c>
      <c r="L1030" s="70">
        <f t="shared" si="420"/>
        <v>0</v>
      </c>
      <c r="M1030" s="605">
        <f t="shared" si="420"/>
        <v>84.145269169606053</v>
      </c>
      <c r="N1030" s="599">
        <f t="shared" si="420"/>
        <v>79</v>
      </c>
      <c r="O1030" s="599">
        <f t="shared" si="409"/>
        <v>163.14526916960605</v>
      </c>
      <c r="P1030" s="716">
        <f t="shared" si="410"/>
        <v>0</v>
      </c>
      <c r="Q1030" s="599">
        <f t="shared" si="411"/>
        <v>0</v>
      </c>
      <c r="R1030" s="630">
        <f t="shared" si="412"/>
        <v>163.14526916960605</v>
      </c>
      <c r="S1030" s="612">
        <f>+S1003/($K$10*24)</f>
        <v>-79</v>
      </c>
      <c r="T1030" s="70" t="str">
        <f t="shared" si="413"/>
        <v/>
      </c>
      <c r="U1030" s="562">
        <f t="shared" si="414"/>
        <v>79</v>
      </c>
      <c r="V1030" s="727"/>
    </row>
    <row r="1031" spans="1:22" ht="15.75" customHeight="1" x14ac:dyDescent="0.3">
      <c r="A1031" s="139" t="s">
        <v>1506</v>
      </c>
      <c r="B1031" s="553">
        <f>+B1004/($L$10*24)</f>
        <v>386.86666666666667</v>
      </c>
      <c r="C1031" s="70">
        <f t="shared" ref="C1031:N1031" si="421">+C1004/($L$10*24)</f>
        <v>0</v>
      </c>
      <c r="D1031" s="70">
        <f t="shared" si="421"/>
        <v>17.013888888888889</v>
      </c>
      <c r="E1031" s="70">
        <f t="shared" si="421"/>
        <v>386.86666666666667</v>
      </c>
      <c r="F1031" s="562">
        <f t="shared" si="421"/>
        <v>403.88055555555553</v>
      </c>
      <c r="G1031" s="70">
        <f t="shared" si="421"/>
        <v>1.1127604528758424</v>
      </c>
      <c r="H1031" s="70">
        <f t="shared" si="421"/>
        <v>17.731944444444444</v>
      </c>
      <c r="I1031" s="70">
        <f t="shared" si="421"/>
        <v>0</v>
      </c>
      <c r="J1031" s="70">
        <f t="shared" si="421"/>
        <v>17.731944444444444</v>
      </c>
      <c r="K1031" s="70">
        <f t="shared" si="421"/>
        <v>0</v>
      </c>
      <c r="L1031" s="70">
        <f t="shared" si="421"/>
        <v>0</v>
      </c>
      <c r="M1031" s="605">
        <f t="shared" si="421"/>
        <v>385.03585065823523</v>
      </c>
      <c r="N1031" s="599">
        <f t="shared" si="421"/>
        <v>0</v>
      </c>
      <c r="O1031" s="599">
        <f t="shared" si="409"/>
        <v>372.61533934667926</v>
      </c>
      <c r="P1031" s="716">
        <f t="shared" si="410"/>
        <v>0.05</v>
      </c>
      <c r="Q1031" s="599">
        <f t="shared" si="411"/>
        <v>-18.630766967333965</v>
      </c>
      <c r="R1031" s="630">
        <f t="shared" si="412"/>
        <v>353.98457237934531</v>
      </c>
      <c r="S1031" s="612">
        <f>+S1004/($L$10*24)</f>
        <v>19.251792532911754</v>
      </c>
      <c r="T1031" s="70">
        <f t="shared" si="413"/>
        <v>19.251792532911754</v>
      </c>
      <c r="U1031" s="562" t="str">
        <f t="shared" si="414"/>
        <v/>
      </c>
      <c r="V1031" s="727"/>
    </row>
    <row r="1032" spans="1:22" ht="15.75" customHeight="1" x14ac:dyDescent="0.3">
      <c r="A1032" s="139" t="s">
        <v>1507</v>
      </c>
      <c r="B1032" s="553">
        <f>+B1005/($N$10*24)</f>
        <v>384.65322580645159</v>
      </c>
      <c r="C1032" s="70">
        <f t="shared" ref="C1032:N1032" si="422">+C1005/($N$10*24)</f>
        <v>0</v>
      </c>
      <c r="D1032" s="70">
        <f t="shared" si="422"/>
        <v>16.553763440860216</v>
      </c>
      <c r="E1032" s="70">
        <f t="shared" si="422"/>
        <v>384.65322580645159</v>
      </c>
      <c r="F1032" s="562">
        <f t="shared" si="422"/>
        <v>401.20698924731181</v>
      </c>
      <c r="G1032" s="70">
        <f t="shared" si="422"/>
        <v>0</v>
      </c>
      <c r="H1032" s="70">
        <f t="shared" si="422"/>
        <v>16.615591397849464</v>
      </c>
      <c r="I1032" s="70">
        <f t="shared" si="422"/>
        <v>0</v>
      </c>
      <c r="J1032" s="70">
        <f t="shared" si="422"/>
        <v>16.615591397849464</v>
      </c>
      <c r="K1032" s="70">
        <f t="shared" si="422"/>
        <v>0</v>
      </c>
      <c r="L1032" s="70">
        <f t="shared" si="422"/>
        <v>0</v>
      </c>
      <c r="M1032" s="605">
        <f t="shared" si="422"/>
        <v>384.59139784946234</v>
      </c>
      <c r="N1032" s="599">
        <f t="shared" si="422"/>
        <v>0</v>
      </c>
      <c r="O1032" s="599">
        <f t="shared" si="409"/>
        <v>384.59139784946234</v>
      </c>
      <c r="P1032" s="716">
        <f t="shared" si="410"/>
        <v>0.2</v>
      </c>
      <c r="Q1032" s="599">
        <f t="shared" si="411"/>
        <v>-76.918279569892476</v>
      </c>
      <c r="R1032" s="630">
        <f t="shared" si="412"/>
        <v>307.67311827956985</v>
      </c>
      <c r="S1032" s="612">
        <f>+S1005/($N$10*24)</f>
        <v>76.918279569892491</v>
      </c>
      <c r="T1032" s="70">
        <f t="shared" si="413"/>
        <v>76.918279569892491</v>
      </c>
      <c r="U1032" s="562" t="str">
        <f t="shared" si="414"/>
        <v/>
      </c>
      <c r="V1032" s="727"/>
    </row>
    <row r="1033" spans="1:22" ht="15.75" customHeight="1" x14ac:dyDescent="0.3">
      <c r="A1033" s="139" t="s">
        <v>1508</v>
      </c>
      <c r="B1033" s="553">
        <f>+B1006/($O$10*24)</f>
        <v>375.89861111111111</v>
      </c>
      <c r="C1033" s="70">
        <f t="shared" ref="C1033:N1033" si="423">+C1006/($O$10*24)</f>
        <v>0</v>
      </c>
      <c r="D1033" s="70">
        <f t="shared" si="423"/>
        <v>16.383333333333333</v>
      </c>
      <c r="E1033" s="70">
        <f t="shared" si="423"/>
        <v>375.89861111111111</v>
      </c>
      <c r="F1033" s="562">
        <f t="shared" si="423"/>
        <v>392.28194444444443</v>
      </c>
      <c r="G1033" s="70">
        <f t="shared" si="423"/>
        <v>1.8623000921041591E-2</v>
      </c>
      <c r="H1033" s="70">
        <f t="shared" si="423"/>
        <v>15.908333333333333</v>
      </c>
      <c r="I1033" s="70">
        <f t="shared" si="423"/>
        <v>0</v>
      </c>
      <c r="J1033" s="70">
        <f t="shared" si="423"/>
        <v>15.908333333333333</v>
      </c>
      <c r="K1033" s="70">
        <f t="shared" si="423"/>
        <v>0</v>
      </c>
      <c r="L1033" s="70">
        <f t="shared" si="423"/>
        <v>0</v>
      </c>
      <c r="M1033" s="605">
        <f t="shared" si="423"/>
        <v>376.35498811019005</v>
      </c>
      <c r="N1033" s="599">
        <f t="shared" si="423"/>
        <v>0</v>
      </c>
      <c r="O1033" s="599">
        <f t="shared" si="409"/>
        <v>364.21450462276454</v>
      </c>
      <c r="P1033" s="716">
        <f t="shared" si="410"/>
        <v>0.2</v>
      </c>
      <c r="Q1033" s="599">
        <f t="shared" si="411"/>
        <v>-72.842900924552907</v>
      </c>
      <c r="R1033" s="630">
        <f t="shared" si="412"/>
        <v>291.37160369821163</v>
      </c>
      <c r="S1033" s="612">
        <f>+S1006/($O$10*24)</f>
        <v>75.27099762203801</v>
      </c>
      <c r="T1033" s="70">
        <f t="shared" si="413"/>
        <v>75.27099762203801</v>
      </c>
      <c r="U1033" s="562" t="str">
        <f t="shared" si="414"/>
        <v/>
      </c>
      <c r="V1033" s="727"/>
    </row>
    <row r="1034" spans="1:22" ht="15.75" customHeight="1" thickBot="1" x14ac:dyDescent="0.35">
      <c r="A1034" s="139" t="s">
        <v>1509</v>
      </c>
      <c r="B1034" s="558">
        <f>+B1007/($P$10*24)</f>
        <v>308.04838709677421</v>
      </c>
      <c r="C1034" s="564">
        <f t="shared" ref="C1034:N1034" si="424">+C1007/($P$10*24)</f>
        <v>0</v>
      </c>
      <c r="D1034" s="564">
        <f t="shared" si="424"/>
        <v>13.233870967741936</v>
      </c>
      <c r="E1034" s="564">
        <f t="shared" si="424"/>
        <v>308.04838709677421</v>
      </c>
      <c r="F1034" s="602">
        <f t="shared" si="424"/>
        <v>321.28225806451616</v>
      </c>
      <c r="G1034" s="564">
        <f t="shared" si="424"/>
        <v>0</v>
      </c>
      <c r="H1034" s="564">
        <f t="shared" si="424"/>
        <v>13.866935483870968</v>
      </c>
      <c r="I1034" s="564">
        <f t="shared" si="424"/>
        <v>0</v>
      </c>
      <c r="J1034" s="564">
        <f t="shared" si="424"/>
        <v>13.866935483870968</v>
      </c>
      <c r="K1034" s="564">
        <f t="shared" si="424"/>
        <v>0</v>
      </c>
      <c r="L1034" s="564">
        <f t="shared" si="424"/>
        <v>0</v>
      </c>
      <c r="M1034" s="608">
        <f t="shared" si="424"/>
        <v>307.41532258064518</v>
      </c>
      <c r="N1034" s="609">
        <f t="shared" si="424"/>
        <v>0</v>
      </c>
      <c r="O1034" s="631">
        <f t="shared" si="409"/>
        <v>307.41532258064518</v>
      </c>
      <c r="P1034" s="711">
        <f t="shared" si="410"/>
        <v>0.2</v>
      </c>
      <c r="Q1034" s="609">
        <f t="shared" si="411"/>
        <v>-61.483064516129041</v>
      </c>
      <c r="R1034" s="631">
        <f t="shared" si="412"/>
        <v>245.93225806451613</v>
      </c>
      <c r="S1034" s="613">
        <f>+S1007/($P$10*24)</f>
        <v>61.483064516129026</v>
      </c>
      <c r="T1034" s="564">
        <f t="shared" si="413"/>
        <v>61.483064516129026</v>
      </c>
      <c r="U1034" s="602" t="str">
        <f t="shared" si="414"/>
        <v/>
      </c>
      <c r="V1034" s="727"/>
    </row>
    <row r="1035" spans="1:22" ht="15.75" customHeight="1" x14ac:dyDescent="0.3">
      <c r="A1035" s="647"/>
      <c r="V1035" s="727"/>
    </row>
    <row r="1036" spans="1:22" ht="16.5" customHeight="1" thickBot="1" x14ac:dyDescent="0.35">
      <c r="A1036" s="648"/>
      <c r="B1036" s="581"/>
      <c r="C1036" s="581"/>
      <c r="D1036" s="581"/>
      <c r="E1036" s="581"/>
      <c r="F1036" s="581"/>
      <c r="G1036" s="581"/>
      <c r="H1036" s="581"/>
      <c r="I1036" s="581"/>
      <c r="J1036" s="581"/>
      <c r="K1036" s="581"/>
      <c r="L1036" s="581"/>
      <c r="M1036" s="581"/>
      <c r="N1036" s="581"/>
      <c r="O1036" s="581"/>
      <c r="P1036" s="581"/>
      <c r="Q1036" s="581"/>
      <c r="R1036" s="581"/>
      <c r="S1036" s="581"/>
      <c r="T1036" s="581"/>
      <c r="U1036" s="581"/>
      <c r="V1036" s="565"/>
    </row>
    <row r="1037" spans="1:22" ht="15.75" customHeight="1" x14ac:dyDescent="0.3">
      <c r="A1037" s="74"/>
      <c r="B1037" s="67"/>
      <c r="C1037" s="67"/>
      <c r="D1037" s="67"/>
      <c r="E1037" s="67"/>
      <c r="F1037" s="67"/>
      <c r="G1037" s="67"/>
      <c r="H1037" s="67"/>
      <c r="I1037" s="67"/>
      <c r="J1037" s="67"/>
      <c r="K1037" s="67"/>
      <c r="L1037" s="67"/>
      <c r="M1037" s="67"/>
      <c r="N1037" s="67"/>
      <c r="O1037" s="67"/>
      <c r="P1037" s="67"/>
      <c r="Q1037" s="67"/>
      <c r="R1037" s="67"/>
    </row>
    <row r="1038" spans="1:22" ht="15.75" customHeight="1" x14ac:dyDescent="0.3">
      <c r="A1038" s="641"/>
    </row>
    <row r="1039" spans="1:22" ht="15.75" customHeight="1" thickBot="1" x14ac:dyDescent="0.35">
      <c r="A1039" s="641"/>
    </row>
    <row r="1040" spans="1:22" ht="15.75" customHeight="1" x14ac:dyDescent="0.3">
      <c r="A1040" s="650"/>
      <c r="B1040" s="782" t="s">
        <v>2880</v>
      </c>
      <c r="C1040" s="782"/>
      <c r="D1040" s="782"/>
      <c r="E1040" s="782"/>
      <c r="F1040" s="782"/>
      <c r="G1040" s="782"/>
      <c r="H1040" s="782"/>
      <c r="I1040" s="782"/>
      <c r="J1040" s="782"/>
      <c r="K1040" s="782"/>
      <c r="L1040" s="782"/>
      <c r="M1040" s="782"/>
      <c r="N1040" s="782"/>
      <c r="O1040" s="782"/>
      <c r="P1040" s="782"/>
      <c r="Q1040" s="678" t="str">
        <f>+Q1</f>
        <v xml:space="preserve">PRINTED:  </v>
      </c>
      <c r="R1040" s="682">
        <f ca="1">+R1</f>
        <v>44881.729634027775</v>
      </c>
      <c r="S1040" s="560"/>
    </row>
    <row r="1041" spans="1:50" ht="15.75" customHeight="1" x14ac:dyDescent="0.3">
      <c r="A1041" s="640"/>
      <c r="B1041" s="786" t="str">
        <f>+A8</f>
        <v>Revised:  3/2/2019</v>
      </c>
      <c r="C1041" s="786"/>
      <c r="D1041" s="786"/>
      <c r="E1041" s="786"/>
      <c r="F1041" s="786"/>
      <c r="G1041" s="786"/>
      <c r="H1041" s="786"/>
      <c r="I1041" s="786"/>
      <c r="J1041" s="786"/>
      <c r="K1041" s="786"/>
      <c r="L1041" s="786"/>
      <c r="M1041" s="786"/>
      <c r="N1041" s="786"/>
      <c r="O1041" s="786"/>
      <c r="P1041" s="786"/>
      <c r="Q1041" s="67"/>
      <c r="R1041" s="67"/>
      <c r="S1041" s="561"/>
    </row>
    <row r="1042" spans="1:50" ht="16.5" customHeight="1" x14ac:dyDescent="0.3">
      <c r="A1042" s="640"/>
      <c r="B1042" s="786" t="s">
        <v>2878</v>
      </c>
      <c r="C1042" s="786"/>
      <c r="D1042" s="786"/>
      <c r="E1042" s="786"/>
      <c r="F1042" s="786"/>
      <c r="G1042" s="786"/>
      <c r="H1042" s="786"/>
      <c r="I1042" s="786"/>
      <c r="J1042" s="786"/>
      <c r="K1042" s="786"/>
      <c r="L1042" s="786"/>
      <c r="M1042" s="786"/>
      <c r="N1042" s="786"/>
      <c r="O1042" s="786"/>
      <c r="P1042" s="786"/>
      <c r="Q1042" s="67"/>
      <c r="R1042" s="67"/>
      <c r="S1042" s="561"/>
    </row>
    <row r="1043" spans="1:50" ht="15.75" customHeight="1" x14ac:dyDescent="0.3">
      <c r="A1043" s="640"/>
      <c r="B1043" s="67"/>
      <c r="C1043" s="67"/>
      <c r="D1043" s="67"/>
      <c r="E1043" s="67"/>
      <c r="F1043" s="67"/>
      <c r="G1043" s="67"/>
      <c r="H1043" s="67"/>
      <c r="I1043" s="67"/>
      <c r="J1043" s="67"/>
      <c r="K1043" s="67"/>
      <c r="L1043" s="67"/>
      <c r="M1043" s="67"/>
      <c r="N1043" s="67"/>
      <c r="O1043" s="67"/>
      <c r="P1043" s="67"/>
      <c r="Q1043" s="67"/>
      <c r="R1043" s="67"/>
      <c r="S1043" s="561"/>
      <c r="AG1043" s="139"/>
    </row>
    <row r="1044" spans="1:50" ht="15.75" customHeight="1" x14ac:dyDescent="0.3">
      <c r="A1044" s="640"/>
      <c r="B1044" s="810">
        <f>+A5</f>
        <v>2018</v>
      </c>
      <c r="C1044" s="787"/>
      <c r="D1044" s="787"/>
      <c r="E1044" s="787"/>
      <c r="F1044" s="787"/>
      <c r="G1044" s="787"/>
      <c r="H1044" s="787"/>
      <c r="I1044" s="787"/>
      <c r="J1044" s="787"/>
      <c r="K1044" s="787"/>
      <c r="L1044" s="787"/>
      <c r="M1044" s="787"/>
      <c r="N1044" s="787"/>
      <c r="O1044" s="787"/>
      <c r="P1044" s="787"/>
      <c r="Q1044" s="67"/>
      <c r="R1044" s="67"/>
      <c r="S1044" s="561"/>
      <c r="AE1044" t="s">
        <v>2912</v>
      </c>
      <c r="AF1044" t="s">
        <v>2913</v>
      </c>
    </row>
    <row r="1045" spans="1:50" ht="15.75" customHeight="1" thickBot="1" x14ac:dyDescent="0.35">
      <c r="A1045" s="640"/>
      <c r="B1045" s="786" t="s">
        <v>1199</v>
      </c>
      <c r="C1045" s="786"/>
      <c r="D1045" s="786"/>
      <c r="E1045" s="786"/>
      <c r="F1045" s="786"/>
      <c r="G1045" s="786"/>
      <c r="H1045" s="786"/>
      <c r="I1045" s="786"/>
      <c r="J1045" s="786"/>
      <c r="K1045" s="786"/>
      <c r="L1045" s="786"/>
      <c r="M1045" s="786"/>
      <c r="N1045" s="786"/>
      <c r="O1045" s="786"/>
      <c r="P1045" s="786"/>
      <c r="Q1045" s="67"/>
      <c r="R1045" s="67"/>
      <c r="S1045" s="561"/>
      <c r="V1045" t="s">
        <v>3174</v>
      </c>
      <c r="AC1045" t="s">
        <v>2911</v>
      </c>
      <c r="AD1045" s="671" t="s">
        <v>3179</v>
      </c>
      <c r="AE1045">
        <f>DAY(DATE($A$5,MONTH(CONCATENATE(1,"-",AD1045,"-",$A$5))+1,1)-1)</f>
        <v>28</v>
      </c>
      <c r="AI1045" s="134"/>
      <c r="AJ1045" s="134"/>
    </row>
    <row r="1046" spans="1:50" ht="15.75" customHeight="1" x14ac:dyDescent="0.3">
      <c r="A1046" s="640"/>
      <c r="B1046" s="818" t="s">
        <v>2888</v>
      </c>
      <c r="C1046" s="819"/>
      <c r="D1046" s="820"/>
      <c r="E1046" s="70"/>
      <c r="F1046" s="70"/>
      <c r="G1046" s="70"/>
      <c r="H1046" s="70"/>
      <c r="I1046" s="70"/>
      <c r="J1046" s="70"/>
      <c r="K1046" s="70"/>
      <c r="L1046" s="70"/>
      <c r="M1046" s="70"/>
      <c r="N1046" s="70"/>
      <c r="O1046" s="70"/>
      <c r="P1046" s="70"/>
      <c r="Q1046" s="67"/>
      <c r="R1046" s="67"/>
      <c r="S1046" s="675"/>
      <c r="T1046" s="812" t="s">
        <v>3169</v>
      </c>
      <c r="U1046" s="813"/>
      <c r="V1046" s="813" t="s">
        <v>3171</v>
      </c>
      <c r="W1046" s="813"/>
      <c r="X1046" s="719" t="s">
        <v>2463</v>
      </c>
      <c r="Y1046" s="719" t="s">
        <v>3180</v>
      </c>
      <c r="Z1046" s="719" t="s">
        <v>3172</v>
      </c>
    </row>
    <row r="1047" spans="1:50" ht="15.75" customHeight="1" thickBot="1" x14ac:dyDescent="0.35">
      <c r="A1047" s="634" t="s">
        <v>249</v>
      </c>
      <c r="B1047" s="653" t="s">
        <v>2886</v>
      </c>
      <c r="C1047" s="654" t="s">
        <v>2885</v>
      </c>
      <c r="D1047" s="655" t="s">
        <v>2915</v>
      </c>
      <c r="E1047" s="654" t="s">
        <v>1309</v>
      </c>
      <c r="F1047" s="654" t="s">
        <v>1029</v>
      </c>
      <c r="G1047" s="654" t="s">
        <v>1030</v>
      </c>
      <c r="H1047" s="654" t="s">
        <v>2881</v>
      </c>
      <c r="I1047" s="654" t="s">
        <v>2882</v>
      </c>
      <c r="J1047" s="654" t="s">
        <v>285</v>
      </c>
      <c r="K1047" s="654" t="s">
        <v>286</v>
      </c>
      <c r="L1047" s="654" t="s">
        <v>287</v>
      </c>
      <c r="M1047" s="654" t="s">
        <v>288</v>
      </c>
      <c r="N1047" s="654" t="s">
        <v>289</v>
      </c>
      <c r="O1047" s="654" t="s">
        <v>633</v>
      </c>
      <c r="P1047" s="654" t="s">
        <v>634</v>
      </c>
      <c r="Q1047" s="654" t="s">
        <v>1192</v>
      </c>
      <c r="R1047" s="654" t="s">
        <v>524</v>
      </c>
      <c r="S1047" s="655" t="s">
        <v>525</v>
      </c>
      <c r="T1047" s="654" t="s">
        <v>3170</v>
      </c>
      <c r="U1047" s="654" t="s">
        <v>2885</v>
      </c>
      <c r="V1047" s="654" t="s">
        <v>3173</v>
      </c>
      <c r="W1047" s="654" t="s">
        <v>2885</v>
      </c>
      <c r="X1047" s="654" t="s">
        <v>1193</v>
      </c>
      <c r="Y1047" s="654" t="s">
        <v>3181</v>
      </c>
      <c r="Z1047" s="654" t="s">
        <v>3182</v>
      </c>
      <c r="AD1047" s="634" t="s">
        <v>1308</v>
      </c>
      <c r="AE1047" s="634" t="s">
        <v>1309</v>
      </c>
      <c r="AF1047" s="634" t="s">
        <v>1029</v>
      </c>
      <c r="AG1047" s="634" t="s">
        <v>1030</v>
      </c>
      <c r="AH1047" s="634" t="s">
        <v>284</v>
      </c>
      <c r="AI1047" s="634" t="s">
        <v>285</v>
      </c>
      <c r="AJ1047" s="634" t="s">
        <v>286</v>
      </c>
      <c r="AK1047" s="634" t="s">
        <v>287</v>
      </c>
      <c r="AL1047" s="634" t="s">
        <v>288</v>
      </c>
      <c r="AM1047" s="634" t="s">
        <v>289</v>
      </c>
      <c r="AN1047" s="634" t="s">
        <v>633</v>
      </c>
      <c r="AO1047" s="634" t="s">
        <v>634</v>
      </c>
      <c r="AP1047" s="634" t="s">
        <v>1192</v>
      </c>
      <c r="AQ1047" s="634" t="s">
        <v>524</v>
      </c>
      <c r="AR1047" s="634" t="s">
        <v>525</v>
      </c>
      <c r="AS1047" s="634" t="s">
        <v>2356</v>
      </c>
      <c r="AT1047" s="634" t="s">
        <v>1415</v>
      </c>
      <c r="AU1047" s="634" t="s">
        <v>2356</v>
      </c>
      <c r="AW1047" s="669" t="s">
        <v>2925</v>
      </c>
      <c r="AX1047" s="669" t="s">
        <v>2926</v>
      </c>
    </row>
    <row r="1048" spans="1:50" ht="15.75" customHeight="1" x14ac:dyDescent="0.3">
      <c r="A1048" s="642" t="s">
        <v>2843</v>
      </c>
      <c r="B1048" s="642">
        <f>+F1075</f>
        <v>196</v>
      </c>
      <c r="C1048" s="139">
        <f t="shared" ref="B1048:C1059" si="425">+G1075</f>
        <v>0</v>
      </c>
      <c r="D1048" s="643" t="s">
        <v>2916</v>
      </c>
      <c r="E1048" s="139">
        <f>+C968/$B$10/24</f>
        <v>14.69489247311828</v>
      </c>
      <c r="F1048" s="139">
        <f t="shared" ref="F1048:S1048" si="426">+D968/$B$10/24</f>
        <v>15.401881720430106</v>
      </c>
      <c r="G1048" s="139">
        <f t="shared" si="426"/>
        <v>26.099462365591396</v>
      </c>
      <c r="H1048" s="139">
        <f t="shared" si="426"/>
        <v>12.128602436736161</v>
      </c>
      <c r="I1048" s="139">
        <f t="shared" si="426"/>
        <v>-0.96305171338049111</v>
      </c>
      <c r="J1048" s="139">
        <f t="shared" si="426"/>
        <v>3.6021505376344085</v>
      </c>
      <c r="K1048" s="139">
        <f t="shared" si="426"/>
        <v>2.9502688172043015</v>
      </c>
      <c r="L1048" s="139">
        <f t="shared" si="426"/>
        <v>4.595430107526882</v>
      </c>
      <c r="M1048" s="139">
        <f t="shared" si="426"/>
        <v>4.7620967741935489</v>
      </c>
      <c r="N1048" s="139">
        <f t="shared" si="426"/>
        <v>1.6129032258064517</v>
      </c>
      <c r="O1048" s="139">
        <f t="shared" si="426"/>
        <v>1.8991935483870968</v>
      </c>
      <c r="P1048" s="139">
        <f t="shared" si="426"/>
        <v>3.9287634408602155</v>
      </c>
      <c r="Q1048" s="139">
        <f t="shared" si="426"/>
        <v>0.94892473118279563</v>
      </c>
      <c r="R1048" s="139">
        <f t="shared" si="426"/>
        <v>1.7150537634408602</v>
      </c>
      <c r="S1048" s="643">
        <f t="shared" si="426"/>
        <v>2.2473118279569895</v>
      </c>
      <c r="T1048" s="139">
        <f>+B1048+SUM(E1048:S1048)</f>
        <v>291.62388405668901</v>
      </c>
      <c r="U1048" s="139">
        <f t="shared" ref="U1048:U1059" si="427">+C1048+SUM(E1048:S1048)</f>
        <v>95.623884056689008</v>
      </c>
      <c r="V1048" s="139">
        <f>+B1048+SUM(E1048:G1048)</f>
        <v>252.19623655913978</v>
      </c>
      <c r="W1048" s="139">
        <f>+C1048+SUM(E1048:G1048)</f>
        <v>56.196236559139777</v>
      </c>
      <c r="X1048" s="139">
        <f>+H1048</f>
        <v>12.128602436736161</v>
      </c>
      <c r="Y1048" s="139">
        <f>+I1048</f>
        <v>-0.96305171338049111</v>
      </c>
      <c r="Z1048" s="139">
        <f>+SUM(J1048:S1048)</f>
        <v>28.262096774193548</v>
      </c>
      <c r="AC1048">
        <v>1</v>
      </c>
      <c r="AD1048" s="139">
        <f>IF($AF$1045=1,VLOOKUP($AD$1045,$A$1075:$P$1086,12,FALSE),VLOOKUP($AD$1045,$A$1048:$S$1059,2,FALSE))</f>
        <v>98</v>
      </c>
      <c r="AE1048" s="139">
        <f>VLOOKUP($AD$1045,$A$1048:$S$1059,5,FALSE)</f>
        <v>19.425595238095237</v>
      </c>
      <c r="AF1048" s="139">
        <f>VLOOKUP($AD$1045,$A$1048:$S$1059,6,FALSE)</f>
        <v>20.352678571428573</v>
      </c>
      <c r="AG1048" s="139">
        <f>VLOOKUP($AD$1045,$A$1048:$S$1059,7,FALSE)</f>
        <v>34.407738095238095</v>
      </c>
      <c r="AH1048" s="139">
        <f>VLOOKUP($AD$1045,$A$1048:$S$1059,8,FALSE)</f>
        <v>16.348031587342799</v>
      </c>
      <c r="AI1048" s="139">
        <f>VLOOKUP($AD$1045,$A$1048:$S$1059,10,FALSE)</f>
        <v>6.1086309523809526</v>
      </c>
      <c r="AJ1048" s="139">
        <f>VLOOKUP($AD$1045,$A$1048:$S$1059,11,FALSE)</f>
        <v>5.2723214285714288</v>
      </c>
      <c r="AK1048" s="139">
        <f>VLOOKUP($AD$1045,$A$1048:$S$1059,12,FALSE)</f>
        <v>8.1934523809523814</v>
      </c>
      <c r="AL1048" s="139">
        <f>VLOOKUP($AD$1045,$A$1048:$S$1059,13,FALSE)</f>
        <v>8.2485119047619051</v>
      </c>
      <c r="AM1048" s="139">
        <f>VLOOKUP($AD$1045,$A$1048:$S$1059,14,FALSE)</f>
        <v>2.4895833333333335</v>
      </c>
      <c r="AN1048" s="139">
        <f>VLOOKUP($AD$1045,$A$1048:$S$1059,15,FALSE)</f>
        <v>2.9345238095238098</v>
      </c>
      <c r="AO1048" s="139">
        <f>VLOOKUP($AD$1045,$A$1048:$S$1059,16,FALSE)</f>
        <v>5.8869047619047619</v>
      </c>
      <c r="AP1048" s="139">
        <f>VLOOKUP($AD$1045,$A$1048:$S$1059,17,FALSE)</f>
        <v>1.1502976190476191</v>
      </c>
      <c r="AQ1048" s="139">
        <f>VLOOKUP($AD$1045,$A$1048:$S$1059,18,FALSE)</f>
        <v>1.5297619047619049</v>
      </c>
      <c r="AR1048" s="139">
        <f>VLOOKUP($AD$1045,$A$1048:$S$1059,19,FALSE)</f>
        <v>2.7247023809523809</v>
      </c>
      <c r="AS1048" s="139">
        <f>SUM(AD1048:AR1048)</f>
        <v>233.07273396829518</v>
      </c>
      <c r="AT1048" s="139">
        <f>VLOOKUP($AD$1045,$AC$968:$AS$979,17,FALSE)/$AE$1045*(AS1048/$AS$1072)</f>
        <v>16.665645992147933</v>
      </c>
      <c r="AU1048" s="139">
        <f>AS1048+AT1048</f>
        <v>249.73837996044313</v>
      </c>
      <c r="AW1048" s="139">
        <f>VLOOKUP($AD$1045,$A$996:$O$1009,15,FALSE)/$AE$1045/24</f>
        <v>279.7351114221122</v>
      </c>
      <c r="AX1048" s="139">
        <f>AU1048-AW1048</f>
        <v>-29.996731461669071</v>
      </c>
    </row>
    <row r="1049" spans="1:50" ht="15.75" customHeight="1" x14ac:dyDescent="0.3">
      <c r="A1049" s="642" t="s">
        <v>2091</v>
      </c>
      <c r="B1049" s="642">
        <f t="shared" si="425"/>
        <v>98</v>
      </c>
      <c r="C1049" s="139">
        <f t="shared" si="425"/>
        <v>0</v>
      </c>
      <c r="D1049" s="643" t="s">
        <v>2916</v>
      </c>
      <c r="E1049" s="139">
        <f t="shared" ref="E1049:S1049" si="428">+C969/$C$10/24</f>
        <v>19.425595238095237</v>
      </c>
      <c r="F1049" s="139">
        <f t="shared" si="428"/>
        <v>20.352678571428573</v>
      </c>
      <c r="G1049" s="139">
        <f t="shared" si="428"/>
        <v>34.407738095238095</v>
      </c>
      <c r="H1049" s="139">
        <f t="shared" si="428"/>
        <v>16.348031587342799</v>
      </c>
      <c r="I1049" s="139">
        <f t="shared" si="428"/>
        <v>-3.2946504826497223</v>
      </c>
      <c r="J1049" s="139">
        <f t="shared" si="428"/>
        <v>6.1086309523809526</v>
      </c>
      <c r="K1049" s="139">
        <f t="shared" si="428"/>
        <v>5.2723214285714288</v>
      </c>
      <c r="L1049" s="139">
        <f t="shared" si="428"/>
        <v>8.1934523809523814</v>
      </c>
      <c r="M1049" s="139">
        <f t="shared" si="428"/>
        <v>8.2485119047619051</v>
      </c>
      <c r="N1049" s="139">
        <f t="shared" si="428"/>
        <v>2.4895833333333335</v>
      </c>
      <c r="O1049" s="139">
        <f t="shared" si="428"/>
        <v>2.9345238095238098</v>
      </c>
      <c r="P1049" s="139">
        <f t="shared" si="428"/>
        <v>5.8869047619047619</v>
      </c>
      <c r="Q1049" s="139">
        <f t="shared" si="428"/>
        <v>1.1502976190476191</v>
      </c>
      <c r="R1049" s="139">
        <f t="shared" si="428"/>
        <v>1.5297619047619049</v>
      </c>
      <c r="S1049" s="643">
        <f t="shared" si="428"/>
        <v>2.7247023809523809</v>
      </c>
      <c r="T1049" s="139">
        <f t="shared" ref="T1049:T1059" si="429">+B1049+SUM(E1049:S1049)</f>
        <v>229.77808348564542</v>
      </c>
      <c r="U1049" s="139">
        <f t="shared" si="427"/>
        <v>131.77808348564542</v>
      </c>
      <c r="V1049" s="139">
        <f t="shared" ref="V1049:V1059" si="430">+B1049+SUM(E1049:G1049)</f>
        <v>172.1860119047619</v>
      </c>
      <c r="W1049" s="139">
        <f t="shared" ref="W1049:W1059" si="431">+C1049+SUM(E1049:G1049)</f>
        <v>74.186011904761898</v>
      </c>
      <c r="X1049" s="139">
        <f t="shared" ref="X1049:Y1059" si="432">+H1049</f>
        <v>16.348031587342799</v>
      </c>
      <c r="Y1049" s="139">
        <f t="shared" si="432"/>
        <v>-3.2946504826497223</v>
      </c>
      <c r="Z1049" s="139">
        <f t="shared" ref="Z1049:Z1059" si="433">+SUM(J1049:S1049)</f>
        <v>44.538690476190474</v>
      </c>
      <c r="AC1049">
        <v>2</v>
      </c>
      <c r="AD1049" s="139">
        <f t="shared" ref="AD1049:AD1053" si="434">IF($AF$1045=1,VLOOKUP($AD$1045,$A$1075:$P$1086,12,FALSE),VLOOKUP($AD$1045,$A$1048:$S$1059,2,FALSE))</f>
        <v>98</v>
      </c>
      <c r="AE1049" s="139">
        <f t="shared" ref="AE1049:AE1071" si="435">VLOOKUP($AD$1045,$A$1048:$S$1059,5,FALSE)</f>
        <v>19.425595238095237</v>
      </c>
      <c r="AF1049" s="139">
        <f t="shared" ref="AF1049:AF1071" si="436">VLOOKUP($AD$1045,$A$1048:$S$1059,6,FALSE)</f>
        <v>20.352678571428573</v>
      </c>
      <c r="AG1049" s="139">
        <f t="shared" ref="AG1049:AG1071" si="437">VLOOKUP($AD$1045,$A$1048:$S$1059,7,FALSE)</f>
        <v>34.407738095238095</v>
      </c>
      <c r="AH1049" s="139">
        <f t="shared" ref="AH1049:AH1071" si="438">VLOOKUP($AD$1045,$A$1048:$S$1059,8,FALSE)</f>
        <v>16.348031587342799</v>
      </c>
      <c r="AI1049" s="139">
        <f t="shared" ref="AI1049:AI1071" si="439">VLOOKUP($AD$1045,$A$1048:$S$1059,10,FALSE)</f>
        <v>6.1086309523809526</v>
      </c>
      <c r="AJ1049" s="139">
        <f t="shared" ref="AJ1049:AJ1071" si="440">VLOOKUP($AD$1045,$A$1048:$S$1059,11,FALSE)</f>
        <v>5.2723214285714288</v>
      </c>
      <c r="AK1049" s="139">
        <f t="shared" ref="AK1049:AK1071" si="441">VLOOKUP($AD$1045,$A$1048:$S$1059,12,FALSE)</f>
        <v>8.1934523809523814</v>
      </c>
      <c r="AL1049" s="139">
        <f t="shared" ref="AL1049:AL1071" si="442">VLOOKUP($AD$1045,$A$1048:$S$1059,13,FALSE)</f>
        <v>8.2485119047619051</v>
      </c>
      <c r="AM1049" s="139">
        <f t="shared" ref="AM1049:AM1071" si="443">VLOOKUP($AD$1045,$A$1048:$S$1059,14,FALSE)</f>
        <v>2.4895833333333335</v>
      </c>
      <c r="AN1049" s="139">
        <f t="shared" ref="AN1049:AN1071" si="444">VLOOKUP($AD$1045,$A$1048:$S$1059,15,FALSE)</f>
        <v>2.9345238095238098</v>
      </c>
      <c r="AO1049" s="139">
        <f t="shared" ref="AO1049:AO1071" si="445">VLOOKUP($AD$1045,$A$1048:$S$1059,16,FALSE)</f>
        <v>5.8869047619047619</v>
      </c>
      <c r="AP1049" s="139">
        <f t="shared" ref="AP1049:AP1071" si="446">VLOOKUP($AD$1045,$A$1048:$S$1059,17,FALSE)</f>
        <v>1.1502976190476191</v>
      </c>
      <c r="AQ1049" s="139">
        <f t="shared" ref="AQ1049:AQ1071" si="447">VLOOKUP($AD$1045,$A$1048:$S$1059,18,FALSE)</f>
        <v>1.5297619047619049</v>
      </c>
      <c r="AR1049" s="139">
        <f t="shared" ref="AR1049:AR1071" si="448">VLOOKUP($AD$1045,$A$1048:$S$1059,19,FALSE)</f>
        <v>2.7247023809523809</v>
      </c>
      <c r="AS1049" s="139">
        <f t="shared" ref="AS1049:AS1071" si="449">SUM(AD1049:AR1049)</f>
        <v>233.07273396829518</v>
      </c>
      <c r="AT1049" s="139">
        <f t="shared" ref="AT1049:AT1071" si="450">VLOOKUP($AD$1045,$AC$968:$AS$979,17,FALSE)/$AE$1045*(AS1049/$AS$1072)</f>
        <v>16.665645992147933</v>
      </c>
      <c r="AU1049" s="139">
        <f t="shared" ref="AU1049:AU1071" si="451">AS1049+AT1049</f>
        <v>249.73837996044313</v>
      </c>
      <c r="AW1049" s="139">
        <f t="shared" ref="AW1049:AW1071" si="452">VLOOKUP($AD$1045,$A$996:$O$1009,15,FALSE)/$AE$1045/24</f>
        <v>279.7351114221122</v>
      </c>
      <c r="AX1049" s="139">
        <f t="shared" ref="AX1049:AX1071" si="453">AU1049-AW1049</f>
        <v>-29.996731461669071</v>
      </c>
    </row>
    <row r="1050" spans="1:50" ht="15.75" customHeight="1" x14ac:dyDescent="0.3">
      <c r="A1050" s="642" t="s">
        <v>2234</v>
      </c>
      <c r="B1050" s="642">
        <f t="shared" si="425"/>
        <v>294</v>
      </c>
      <c r="C1050" s="139">
        <f t="shared" si="425"/>
        <v>0</v>
      </c>
      <c r="D1050" s="643" t="s">
        <v>2916</v>
      </c>
      <c r="E1050" s="139">
        <f t="shared" ref="E1050:S1050" si="454">+C970/$D$10/24</f>
        <v>22.517473118279568</v>
      </c>
      <c r="F1050" s="139">
        <f t="shared" si="454"/>
        <v>23.58064516129032</v>
      </c>
      <c r="G1050" s="139">
        <f t="shared" si="454"/>
        <v>39.384408602150536</v>
      </c>
      <c r="H1050" s="139">
        <f t="shared" si="454"/>
        <v>13.773432646055825</v>
      </c>
      <c r="I1050" s="139">
        <f t="shared" si="454"/>
        <v>-4.1077940864951925</v>
      </c>
      <c r="J1050" s="139">
        <f t="shared" si="454"/>
        <v>10.540322580645162</v>
      </c>
      <c r="K1050" s="139">
        <f t="shared" si="454"/>
        <v>7.274193548387097</v>
      </c>
      <c r="L1050" s="139">
        <f t="shared" si="454"/>
        <v>9.6666666666666661</v>
      </c>
      <c r="M1050" s="139">
        <f t="shared" si="454"/>
        <v>9.336021505376344</v>
      </c>
      <c r="N1050" s="139">
        <f t="shared" si="454"/>
        <v>2.6626344086021505</v>
      </c>
      <c r="O1050" s="139">
        <f t="shared" si="454"/>
        <v>3.1370967741935485</v>
      </c>
      <c r="P1050" s="139">
        <f t="shared" si="454"/>
        <v>6.3266129032258069</v>
      </c>
      <c r="Q1050" s="139">
        <f t="shared" si="454"/>
        <v>0.70967741935483863</v>
      </c>
      <c r="R1050" s="139">
        <f t="shared" si="454"/>
        <v>1.7271505376344087</v>
      </c>
      <c r="S1050" s="643">
        <f t="shared" si="454"/>
        <v>1.6599462365591398</v>
      </c>
      <c r="T1050" s="139">
        <f t="shared" si="429"/>
        <v>442.18848802192622</v>
      </c>
      <c r="U1050" s="139">
        <f t="shared" si="427"/>
        <v>148.18848802192619</v>
      </c>
      <c r="V1050" s="139">
        <f t="shared" si="430"/>
        <v>379.48252688172045</v>
      </c>
      <c r="W1050" s="139">
        <f t="shared" si="431"/>
        <v>85.482526881720418</v>
      </c>
      <c r="X1050" s="139">
        <f t="shared" si="432"/>
        <v>13.773432646055825</v>
      </c>
      <c r="Y1050" s="139">
        <f t="shared" si="432"/>
        <v>-4.1077940864951925</v>
      </c>
      <c r="Z1050" s="139">
        <f t="shared" si="433"/>
        <v>53.040322580645167</v>
      </c>
      <c r="AC1050">
        <v>3</v>
      </c>
      <c r="AD1050" s="139">
        <f t="shared" si="434"/>
        <v>98</v>
      </c>
      <c r="AE1050" s="139">
        <f t="shared" si="435"/>
        <v>19.425595238095237</v>
      </c>
      <c r="AF1050" s="139">
        <f t="shared" si="436"/>
        <v>20.352678571428573</v>
      </c>
      <c r="AG1050" s="139">
        <f t="shared" si="437"/>
        <v>34.407738095238095</v>
      </c>
      <c r="AH1050" s="139">
        <f t="shared" si="438"/>
        <v>16.348031587342799</v>
      </c>
      <c r="AI1050" s="139">
        <f t="shared" si="439"/>
        <v>6.1086309523809526</v>
      </c>
      <c r="AJ1050" s="139">
        <f t="shared" si="440"/>
        <v>5.2723214285714288</v>
      </c>
      <c r="AK1050" s="139">
        <f t="shared" si="441"/>
        <v>8.1934523809523814</v>
      </c>
      <c r="AL1050" s="139">
        <f t="shared" si="442"/>
        <v>8.2485119047619051</v>
      </c>
      <c r="AM1050" s="139">
        <f t="shared" si="443"/>
        <v>2.4895833333333335</v>
      </c>
      <c r="AN1050" s="139">
        <f t="shared" si="444"/>
        <v>2.9345238095238098</v>
      </c>
      <c r="AO1050" s="139">
        <f t="shared" si="445"/>
        <v>5.8869047619047619</v>
      </c>
      <c r="AP1050" s="139">
        <f t="shared" si="446"/>
        <v>1.1502976190476191</v>
      </c>
      <c r="AQ1050" s="139">
        <f t="shared" si="447"/>
        <v>1.5297619047619049</v>
      </c>
      <c r="AR1050" s="139">
        <f t="shared" si="448"/>
        <v>2.7247023809523809</v>
      </c>
      <c r="AS1050" s="139">
        <f t="shared" si="449"/>
        <v>233.07273396829518</v>
      </c>
      <c r="AT1050" s="139">
        <f t="shared" si="450"/>
        <v>16.665645992147933</v>
      </c>
      <c r="AU1050" s="139">
        <f t="shared" si="451"/>
        <v>249.73837996044313</v>
      </c>
      <c r="AW1050" s="139">
        <f t="shared" si="452"/>
        <v>279.7351114221122</v>
      </c>
      <c r="AX1050" s="139">
        <f t="shared" si="453"/>
        <v>-29.996731461669071</v>
      </c>
    </row>
    <row r="1051" spans="1:50" ht="15.75" customHeight="1" x14ac:dyDescent="0.3">
      <c r="A1051" s="642" t="s">
        <v>2235</v>
      </c>
      <c r="B1051" s="642">
        <f t="shared" si="425"/>
        <v>294</v>
      </c>
      <c r="C1051" s="139">
        <f t="shared" si="425"/>
        <v>0</v>
      </c>
      <c r="D1051" s="643" t="s">
        <v>2916</v>
      </c>
      <c r="E1051" s="139">
        <f t="shared" ref="E1051:S1051" si="455">+C971/$F$10/24</f>
        <v>28.515277777777779</v>
      </c>
      <c r="F1051" s="139">
        <f t="shared" si="455"/>
        <v>29.855555555555554</v>
      </c>
      <c r="G1051" s="139">
        <f t="shared" si="455"/>
        <v>49.355555555555554</v>
      </c>
      <c r="H1051" s="139">
        <f t="shared" si="455"/>
        <v>3.1791008287890636</v>
      </c>
      <c r="I1051" s="139">
        <f t="shared" si="455"/>
        <v>-1.4810566440592829</v>
      </c>
      <c r="J1051" s="139">
        <f t="shared" si="455"/>
        <v>15.759722222222223</v>
      </c>
      <c r="K1051" s="139">
        <f t="shared" si="455"/>
        <v>10.247222222222222</v>
      </c>
      <c r="L1051" s="139">
        <f t="shared" si="455"/>
        <v>12.109722222222222</v>
      </c>
      <c r="M1051" s="139">
        <f t="shared" si="455"/>
        <v>10.494444444444445</v>
      </c>
      <c r="N1051" s="139">
        <f t="shared" si="455"/>
        <v>3.1583333333333332</v>
      </c>
      <c r="O1051" s="139">
        <f t="shared" si="455"/>
        <v>3.7208333333333332</v>
      </c>
      <c r="P1051" s="139">
        <f t="shared" si="455"/>
        <v>7.3875000000000002</v>
      </c>
      <c r="Q1051" s="139">
        <f t="shared" si="455"/>
        <v>1.0430555555555556</v>
      </c>
      <c r="R1051" s="139">
        <f t="shared" si="455"/>
        <v>2.1555555555555554</v>
      </c>
      <c r="S1051" s="643">
        <f t="shared" si="455"/>
        <v>2.463888888888889</v>
      </c>
      <c r="T1051" s="139">
        <f t="shared" si="429"/>
        <v>471.96471085139649</v>
      </c>
      <c r="U1051" s="139">
        <f t="shared" si="427"/>
        <v>177.96471085139646</v>
      </c>
      <c r="V1051" s="139">
        <f t="shared" si="430"/>
        <v>401.72638888888889</v>
      </c>
      <c r="W1051" s="139">
        <f t="shared" si="431"/>
        <v>107.72638888888889</v>
      </c>
      <c r="X1051" s="139">
        <f t="shared" si="432"/>
        <v>3.1791008287890636</v>
      </c>
      <c r="Y1051" s="139">
        <f t="shared" si="432"/>
        <v>-1.4810566440592829</v>
      </c>
      <c r="Z1051" s="139">
        <f t="shared" si="433"/>
        <v>68.540277777777774</v>
      </c>
      <c r="AC1051">
        <v>4</v>
      </c>
      <c r="AD1051" s="139">
        <f t="shared" si="434"/>
        <v>98</v>
      </c>
      <c r="AE1051" s="139">
        <f t="shared" si="435"/>
        <v>19.425595238095237</v>
      </c>
      <c r="AF1051" s="139">
        <f t="shared" si="436"/>
        <v>20.352678571428573</v>
      </c>
      <c r="AG1051" s="139">
        <f t="shared" si="437"/>
        <v>34.407738095238095</v>
      </c>
      <c r="AH1051" s="139">
        <f t="shared" si="438"/>
        <v>16.348031587342799</v>
      </c>
      <c r="AI1051" s="139">
        <f t="shared" si="439"/>
        <v>6.1086309523809526</v>
      </c>
      <c r="AJ1051" s="139">
        <f t="shared" si="440"/>
        <v>5.2723214285714288</v>
      </c>
      <c r="AK1051" s="139">
        <f t="shared" si="441"/>
        <v>8.1934523809523814</v>
      </c>
      <c r="AL1051" s="139">
        <f t="shared" si="442"/>
        <v>8.2485119047619051</v>
      </c>
      <c r="AM1051" s="139">
        <f t="shared" si="443"/>
        <v>2.4895833333333335</v>
      </c>
      <c r="AN1051" s="139">
        <f t="shared" si="444"/>
        <v>2.9345238095238098</v>
      </c>
      <c r="AO1051" s="139">
        <f t="shared" si="445"/>
        <v>5.8869047619047619</v>
      </c>
      <c r="AP1051" s="139">
        <f t="shared" si="446"/>
        <v>1.1502976190476191</v>
      </c>
      <c r="AQ1051" s="139">
        <f t="shared" si="447"/>
        <v>1.5297619047619049</v>
      </c>
      <c r="AR1051" s="139">
        <f t="shared" si="448"/>
        <v>2.7247023809523809</v>
      </c>
      <c r="AS1051" s="139">
        <f t="shared" si="449"/>
        <v>233.07273396829518</v>
      </c>
      <c r="AT1051" s="139">
        <f t="shared" si="450"/>
        <v>16.665645992147933</v>
      </c>
      <c r="AU1051" s="139">
        <f t="shared" si="451"/>
        <v>249.73837996044313</v>
      </c>
      <c r="AW1051" s="139">
        <f t="shared" si="452"/>
        <v>279.7351114221122</v>
      </c>
      <c r="AX1051" s="139">
        <f t="shared" si="453"/>
        <v>-29.996731461669071</v>
      </c>
    </row>
    <row r="1052" spans="1:50" ht="15.75" customHeight="1" x14ac:dyDescent="0.3">
      <c r="A1052" s="642" t="s">
        <v>2236</v>
      </c>
      <c r="B1052" s="642">
        <f t="shared" si="425"/>
        <v>294</v>
      </c>
      <c r="C1052" s="139">
        <f t="shared" si="425"/>
        <v>0</v>
      </c>
      <c r="D1052" s="643" t="s">
        <v>2916</v>
      </c>
      <c r="E1052" s="139">
        <f t="shared" ref="E1052:S1052" si="456">+C972/$G$10/24</f>
        <v>29.349462365591396</v>
      </c>
      <c r="F1052" s="139">
        <f t="shared" si="456"/>
        <v>30.723118279569892</v>
      </c>
      <c r="G1052" s="139">
        <f t="shared" si="456"/>
        <v>50.638440860215049</v>
      </c>
      <c r="H1052" s="139">
        <f t="shared" si="456"/>
        <v>1.2010636114624602</v>
      </c>
      <c r="I1052" s="139">
        <f t="shared" si="456"/>
        <v>-1.0382374342643668</v>
      </c>
      <c r="J1052" s="139">
        <f t="shared" si="456"/>
        <v>16.93010752688172</v>
      </c>
      <c r="K1052" s="139">
        <f t="shared" si="456"/>
        <v>9.0147849462365581</v>
      </c>
      <c r="L1052" s="139">
        <f t="shared" si="456"/>
        <v>10.830645161290322</v>
      </c>
      <c r="M1052" s="139">
        <f t="shared" si="456"/>
        <v>9.331989247311828</v>
      </c>
      <c r="N1052" s="139">
        <f t="shared" si="456"/>
        <v>3.0618279569892475</v>
      </c>
      <c r="O1052" s="139">
        <f t="shared" si="456"/>
        <v>3.6061827956989245</v>
      </c>
      <c r="P1052" s="139">
        <f t="shared" si="456"/>
        <v>7.123655913978495</v>
      </c>
      <c r="Q1052" s="139">
        <f t="shared" si="456"/>
        <v>1.2083333333333333</v>
      </c>
      <c r="R1052" s="139">
        <f t="shared" si="456"/>
        <v>2.6827956989247315</v>
      </c>
      <c r="S1052" s="643">
        <f t="shared" si="456"/>
        <v>2.8561827956989245</v>
      </c>
      <c r="T1052" s="139">
        <f t="shared" si="429"/>
        <v>471.52035305891854</v>
      </c>
      <c r="U1052" s="139">
        <f t="shared" si="427"/>
        <v>177.52035305891852</v>
      </c>
      <c r="V1052" s="139">
        <f t="shared" si="430"/>
        <v>404.71102150537632</v>
      </c>
      <c r="W1052" s="139">
        <f t="shared" si="431"/>
        <v>110.71102150537634</v>
      </c>
      <c r="X1052" s="139">
        <f t="shared" si="432"/>
        <v>1.2010636114624602</v>
      </c>
      <c r="Y1052" s="139">
        <f t="shared" si="432"/>
        <v>-1.0382374342643668</v>
      </c>
      <c r="Z1052" s="139">
        <f t="shared" si="433"/>
        <v>66.646505376344095</v>
      </c>
      <c r="AC1052">
        <v>5</v>
      </c>
      <c r="AD1052" s="139">
        <f t="shared" si="434"/>
        <v>98</v>
      </c>
      <c r="AE1052" s="139">
        <f t="shared" si="435"/>
        <v>19.425595238095237</v>
      </c>
      <c r="AF1052" s="139">
        <f t="shared" si="436"/>
        <v>20.352678571428573</v>
      </c>
      <c r="AG1052" s="139">
        <f t="shared" si="437"/>
        <v>34.407738095238095</v>
      </c>
      <c r="AH1052" s="139">
        <f t="shared" si="438"/>
        <v>16.348031587342799</v>
      </c>
      <c r="AI1052" s="139">
        <f t="shared" si="439"/>
        <v>6.1086309523809526</v>
      </c>
      <c r="AJ1052" s="139">
        <f t="shared" si="440"/>
        <v>5.2723214285714288</v>
      </c>
      <c r="AK1052" s="139">
        <f t="shared" si="441"/>
        <v>8.1934523809523814</v>
      </c>
      <c r="AL1052" s="139">
        <f t="shared" si="442"/>
        <v>8.2485119047619051</v>
      </c>
      <c r="AM1052" s="139">
        <f t="shared" si="443"/>
        <v>2.4895833333333335</v>
      </c>
      <c r="AN1052" s="139">
        <f t="shared" si="444"/>
        <v>2.9345238095238098</v>
      </c>
      <c r="AO1052" s="139">
        <f t="shared" si="445"/>
        <v>5.8869047619047619</v>
      </c>
      <c r="AP1052" s="139">
        <f t="shared" si="446"/>
        <v>1.1502976190476191</v>
      </c>
      <c r="AQ1052" s="139">
        <f t="shared" si="447"/>
        <v>1.5297619047619049</v>
      </c>
      <c r="AR1052" s="139">
        <f t="shared" si="448"/>
        <v>2.7247023809523809</v>
      </c>
      <c r="AS1052" s="139">
        <f t="shared" si="449"/>
        <v>233.07273396829518</v>
      </c>
      <c r="AT1052" s="139">
        <f t="shared" si="450"/>
        <v>16.665645992147933</v>
      </c>
      <c r="AU1052" s="139">
        <f t="shared" si="451"/>
        <v>249.73837996044313</v>
      </c>
      <c r="AW1052" s="139">
        <f t="shared" si="452"/>
        <v>279.7351114221122</v>
      </c>
      <c r="AX1052" s="139">
        <f t="shared" si="453"/>
        <v>-29.996731461669071</v>
      </c>
    </row>
    <row r="1053" spans="1:50" ht="15.75" customHeight="1" x14ac:dyDescent="0.3">
      <c r="A1053" s="642" t="s">
        <v>2237</v>
      </c>
      <c r="B1053" s="642">
        <f t="shared" si="425"/>
        <v>147</v>
      </c>
      <c r="C1053" s="139">
        <f t="shared" si="425"/>
        <v>0</v>
      </c>
      <c r="D1053" s="643" t="str">
        <f>H1080</f>
        <v>n/a</v>
      </c>
      <c r="E1053" s="139">
        <f t="shared" ref="E1053:S1053" si="457">+C973/$H$10/24</f>
        <v>15.530555555555557</v>
      </c>
      <c r="F1053" s="139">
        <f t="shared" si="457"/>
        <v>16.224999999999998</v>
      </c>
      <c r="G1053" s="139">
        <f t="shared" si="457"/>
        <v>25.652777777777775</v>
      </c>
      <c r="H1053" s="139">
        <f t="shared" si="457"/>
        <v>0</v>
      </c>
      <c r="I1053" s="139">
        <f t="shared" si="457"/>
        <v>-21.140918529682661</v>
      </c>
      <c r="J1053" s="139">
        <f t="shared" si="457"/>
        <v>19.329166666666666</v>
      </c>
      <c r="K1053" s="139">
        <f t="shared" si="457"/>
        <v>9.9819444444444443</v>
      </c>
      <c r="L1053" s="139">
        <f t="shared" si="457"/>
        <v>10.070833333333333</v>
      </c>
      <c r="M1053" s="139">
        <f t="shared" si="457"/>
        <v>8.3111111111111118</v>
      </c>
      <c r="N1053" s="139">
        <f t="shared" si="457"/>
        <v>2.7305555555555556</v>
      </c>
      <c r="O1053" s="139">
        <f t="shared" si="457"/>
        <v>3.2152777777777781</v>
      </c>
      <c r="P1053" s="139">
        <f t="shared" si="457"/>
        <v>6.2111111111111112</v>
      </c>
      <c r="Q1053" s="139">
        <f t="shared" si="457"/>
        <v>1.0291666666666666</v>
      </c>
      <c r="R1053" s="139">
        <f t="shared" si="457"/>
        <v>2.7486111111111113</v>
      </c>
      <c r="S1053" s="643">
        <f t="shared" si="457"/>
        <v>2.4319444444444445</v>
      </c>
      <c r="T1053" s="139">
        <f t="shared" si="429"/>
        <v>249.32713702587287</v>
      </c>
      <c r="U1053" s="139">
        <f t="shared" si="427"/>
        <v>102.32713702587287</v>
      </c>
      <c r="V1053" s="139">
        <f t="shared" si="430"/>
        <v>204.40833333333333</v>
      </c>
      <c r="W1053" s="139">
        <f t="shared" si="431"/>
        <v>57.408333333333331</v>
      </c>
      <c r="X1053" s="139">
        <f t="shared" si="432"/>
        <v>0</v>
      </c>
      <c r="Y1053" s="139">
        <f t="shared" si="432"/>
        <v>-21.140918529682661</v>
      </c>
      <c r="Z1053" s="139">
        <f t="shared" si="433"/>
        <v>66.05972222222222</v>
      </c>
      <c r="AC1053">
        <v>6</v>
      </c>
      <c r="AD1053" s="139">
        <f t="shared" si="434"/>
        <v>98</v>
      </c>
      <c r="AE1053" s="139">
        <f t="shared" si="435"/>
        <v>19.425595238095237</v>
      </c>
      <c r="AF1053" s="139">
        <f t="shared" si="436"/>
        <v>20.352678571428573</v>
      </c>
      <c r="AG1053" s="139">
        <f t="shared" si="437"/>
        <v>34.407738095238095</v>
      </c>
      <c r="AH1053" s="139">
        <f t="shared" si="438"/>
        <v>16.348031587342799</v>
      </c>
      <c r="AI1053" s="139">
        <f t="shared" si="439"/>
        <v>6.1086309523809526</v>
      </c>
      <c r="AJ1053" s="139">
        <f t="shared" si="440"/>
        <v>5.2723214285714288</v>
      </c>
      <c r="AK1053" s="139">
        <f t="shared" si="441"/>
        <v>8.1934523809523814</v>
      </c>
      <c r="AL1053" s="139">
        <f t="shared" si="442"/>
        <v>8.2485119047619051</v>
      </c>
      <c r="AM1053" s="139">
        <f t="shared" si="443"/>
        <v>2.4895833333333335</v>
      </c>
      <c r="AN1053" s="139">
        <f t="shared" si="444"/>
        <v>2.9345238095238098</v>
      </c>
      <c r="AO1053" s="139">
        <f t="shared" si="445"/>
        <v>5.8869047619047619</v>
      </c>
      <c r="AP1053" s="139">
        <f t="shared" si="446"/>
        <v>1.1502976190476191</v>
      </c>
      <c r="AQ1053" s="139">
        <f t="shared" si="447"/>
        <v>1.5297619047619049</v>
      </c>
      <c r="AR1053" s="139">
        <f t="shared" si="448"/>
        <v>2.7247023809523809</v>
      </c>
      <c r="AS1053" s="139">
        <f t="shared" si="449"/>
        <v>233.07273396829518</v>
      </c>
      <c r="AT1053" s="139">
        <f t="shared" si="450"/>
        <v>16.665645992147933</v>
      </c>
      <c r="AU1053" s="139">
        <f t="shared" si="451"/>
        <v>249.73837996044313</v>
      </c>
      <c r="AW1053" s="139">
        <f t="shared" si="452"/>
        <v>279.7351114221122</v>
      </c>
      <c r="AX1053" s="139">
        <f t="shared" si="453"/>
        <v>-29.996731461669071</v>
      </c>
    </row>
    <row r="1054" spans="1:50" ht="15.75" customHeight="1" x14ac:dyDescent="0.3">
      <c r="A1054" s="642" t="s">
        <v>1504</v>
      </c>
      <c r="B1054" s="642">
        <f t="shared" si="425"/>
        <v>147</v>
      </c>
      <c r="C1054" s="139">
        <f t="shared" si="425"/>
        <v>0</v>
      </c>
      <c r="D1054" s="643" t="str">
        <f>H1081</f>
        <v>n/a</v>
      </c>
      <c r="E1054" s="139">
        <f t="shared" ref="E1054:S1054" si="458">+C974/$J$10/24</f>
        <v>12.83736559139785</v>
      </c>
      <c r="F1054" s="139">
        <f t="shared" si="458"/>
        <v>13.401881720430106</v>
      </c>
      <c r="G1054" s="139">
        <f t="shared" si="458"/>
        <v>20.896505376344084</v>
      </c>
      <c r="H1054" s="139">
        <f t="shared" si="458"/>
        <v>0</v>
      </c>
      <c r="I1054" s="139">
        <f t="shared" si="458"/>
        <v>-19.133547050100876</v>
      </c>
      <c r="J1054" s="139">
        <f t="shared" si="458"/>
        <v>18.99059139784946</v>
      </c>
      <c r="K1054" s="139">
        <f t="shared" si="458"/>
        <v>10.466397849462366</v>
      </c>
      <c r="L1054" s="139">
        <f t="shared" si="458"/>
        <v>10.119623655913978</v>
      </c>
      <c r="M1054" s="139">
        <f t="shared" si="458"/>
        <v>7.959677419354839</v>
      </c>
      <c r="N1054" s="139">
        <f t="shared" si="458"/>
        <v>2.4731182795698925</v>
      </c>
      <c r="O1054" s="139">
        <f t="shared" si="458"/>
        <v>2.9126344086021505</v>
      </c>
      <c r="P1054" s="139">
        <f t="shared" si="458"/>
        <v>5.6465053763440869</v>
      </c>
      <c r="Q1054" s="139">
        <f t="shared" si="458"/>
        <v>0.86559139784946237</v>
      </c>
      <c r="R1054" s="139">
        <f t="shared" si="458"/>
        <v>2.3884408602150535</v>
      </c>
      <c r="S1054" s="643">
        <f t="shared" si="458"/>
        <v>2.0470430107526885</v>
      </c>
      <c r="T1054" s="139">
        <f t="shared" si="429"/>
        <v>238.87182929398512</v>
      </c>
      <c r="U1054" s="139">
        <f t="shared" si="427"/>
        <v>91.871829293985115</v>
      </c>
      <c r="V1054" s="139">
        <f t="shared" si="430"/>
        <v>194.13575268817203</v>
      </c>
      <c r="W1054" s="139">
        <f t="shared" si="431"/>
        <v>47.13575268817204</v>
      </c>
      <c r="X1054" s="139">
        <f t="shared" si="432"/>
        <v>0</v>
      </c>
      <c r="Y1054" s="139">
        <f t="shared" si="432"/>
        <v>-19.133547050100876</v>
      </c>
      <c r="Z1054" s="139">
        <f t="shared" si="433"/>
        <v>63.869623655913983</v>
      </c>
      <c r="AC1054">
        <v>7</v>
      </c>
      <c r="AD1054" s="139">
        <f>IF($AF$1045=1,VLOOKUP($AD$1045,$A$1075:$P$1086,12,FALSE),IF(OR($AD$1045="JAN",$AD$1045="FEB",$AD$1045="NOV",$AD$1045="DEC"),VLOOKUP($AD$1045,$A$1048:$S$1059,2,FALSE),VLOOKUP($AD$1045,$A$1048:$S$1059,3,FALSE)))</f>
        <v>98</v>
      </c>
      <c r="AE1054" s="139">
        <f t="shared" si="435"/>
        <v>19.425595238095237</v>
      </c>
      <c r="AF1054" s="139">
        <f t="shared" si="436"/>
        <v>20.352678571428573</v>
      </c>
      <c r="AG1054" s="139">
        <f t="shared" si="437"/>
        <v>34.407738095238095</v>
      </c>
      <c r="AH1054" s="139">
        <f t="shared" si="438"/>
        <v>16.348031587342799</v>
      </c>
      <c r="AI1054" s="139">
        <f t="shared" si="439"/>
        <v>6.1086309523809526</v>
      </c>
      <c r="AJ1054" s="139">
        <f t="shared" si="440"/>
        <v>5.2723214285714288</v>
      </c>
      <c r="AK1054" s="139">
        <f t="shared" si="441"/>
        <v>8.1934523809523814</v>
      </c>
      <c r="AL1054" s="139">
        <f t="shared" si="442"/>
        <v>8.2485119047619051</v>
      </c>
      <c r="AM1054" s="139">
        <f t="shared" si="443"/>
        <v>2.4895833333333335</v>
      </c>
      <c r="AN1054" s="139">
        <f t="shared" si="444"/>
        <v>2.9345238095238098</v>
      </c>
      <c r="AO1054" s="139">
        <f t="shared" si="445"/>
        <v>5.8869047619047619</v>
      </c>
      <c r="AP1054" s="139">
        <f t="shared" si="446"/>
        <v>1.1502976190476191</v>
      </c>
      <c r="AQ1054" s="139">
        <f t="shared" si="447"/>
        <v>1.5297619047619049</v>
      </c>
      <c r="AR1054" s="139">
        <f t="shared" si="448"/>
        <v>2.7247023809523809</v>
      </c>
      <c r="AS1054" s="139">
        <f t="shared" si="449"/>
        <v>233.07273396829518</v>
      </c>
      <c r="AT1054" s="139">
        <f t="shared" si="450"/>
        <v>16.665645992147933</v>
      </c>
      <c r="AU1054" s="139">
        <f t="shared" si="451"/>
        <v>249.73837996044313</v>
      </c>
      <c r="AW1054" s="139">
        <f t="shared" si="452"/>
        <v>279.7351114221122</v>
      </c>
      <c r="AX1054" s="139">
        <f t="shared" si="453"/>
        <v>-29.996731461669071</v>
      </c>
    </row>
    <row r="1055" spans="1:50" ht="15.75" customHeight="1" x14ac:dyDescent="0.3">
      <c r="A1055" s="642" t="s">
        <v>1505</v>
      </c>
      <c r="B1055" s="642">
        <f t="shared" si="425"/>
        <v>147</v>
      </c>
      <c r="C1055" s="139">
        <f t="shared" si="425"/>
        <v>0</v>
      </c>
      <c r="D1055" s="643" t="str">
        <f>H1082</f>
        <v>n/a</v>
      </c>
      <c r="E1055" s="139">
        <f t="shared" ref="E1055:S1055" si="459">+C975/$K$10/24</f>
        <v>4.595430107526882</v>
      </c>
      <c r="F1055" s="139">
        <f t="shared" si="459"/>
        <v>4.76747311827957</v>
      </c>
      <c r="G1055" s="139">
        <f t="shared" si="459"/>
        <v>6.036290322580645</v>
      </c>
      <c r="H1055" s="139">
        <f t="shared" si="459"/>
        <v>0</v>
      </c>
      <c r="I1055" s="139">
        <f t="shared" si="459"/>
        <v>-19.959569540071353</v>
      </c>
      <c r="J1055" s="139">
        <f t="shared" si="459"/>
        <v>16.141129032258064</v>
      </c>
      <c r="K1055" s="139">
        <f t="shared" si="459"/>
        <v>10.526881720430108</v>
      </c>
      <c r="L1055" s="139">
        <f t="shared" si="459"/>
        <v>10.923387096774194</v>
      </c>
      <c r="M1055" s="139">
        <f t="shared" si="459"/>
        <v>9.836021505376344</v>
      </c>
      <c r="N1055" s="139">
        <f t="shared" si="459"/>
        <v>3.0403225806451615</v>
      </c>
      <c r="O1055" s="139">
        <f t="shared" si="459"/>
        <v>3.581989247311828</v>
      </c>
      <c r="P1055" s="139">
        <f t="shared" si="459"/>
        <v>6.737903225806452</v>
      </c>
      <c r="Q1055" s="139">
        <f t="shared" si="459"/>
        <v>1.1559139784946237</v>
      </c>
      <c r="R1055" s="139">
        <f t="shared" si="459"/>
        <v>2.60752688172043</v>
      </c>
      <c r="S1055" s="643">
        <f t="shared" si="459"/>
        <v>2.7338709677419355</v>
      </c>
      <c r="T1055" s="139">
        <f t="shared" si="429"/>
        <v>209.72457024487488</v>
      </c>
      <c r="U1055" s="139">
        <f t="shared" si="427"/>
        <v>62.724570244874883</v>
      </c>
      <c r="V1055" s="139">
        <f t="shared" si="430"/>
        <v>162.3991935483871</v>
      </c>
      <c r="W1055" s="139">
        <f t="shared" si="431"/>
        <v>15.399193548387096</v>
      </c>
      <c r="X1055" s="139">
        <f t="shared" si="432"/>
        <v>0</v>
      </c>
      <c r="Y1055" s="139">
        <f t="shared" si="432"/>
        <v>-19.959569540071353</v>
      </c>
      <c r="Z1055" s="139">
        <f t="shared" si="433"/>
        <v>67.284946236559136</v>
      </c>
      <c r="AC1055">
        <v>8</v>
      </c>
      <c r="AD1055" s="139">
        <f>IF($AF$1045=1,VLOOKUP($AD$1045,$A$1075:$P$1086,12,FALSE),VLOOKUP($AD$1045,$A$1048:$S$1059,3,FALSE))</f>
        <v>0</v>
      </c>
      <c r="AE1055" s="139">
        <f t="shared" si="435"/>
        <v>19.425595238095237</v>
      </c>
      <c r="AF1055" s="139">
        <f t="shared" si="436"/>
        <v>20.352678571428573</v>
      </c>
      <c r="AG1055" s="139">
        <f t="shared" si="437"/>
        <v>34.407738095238095</v>
      </c>
      <c r="AH1055" s="139">
        <f t="shared" si="438"/>
        <v>16.348031587342799</v>
      </c>
      <c r="AI1055" s="139">
        <f t="shared" si="439"/>
        <v>6.1086309523809526</v>
      </c>
      <c r="AJ1055" s="139">
        <f t="shared" si="440"/>
        <v>5.2723214285714288</v>
      </c>
      <c r="AK1055" s="139">
        <f t="shared" si="441"/>
        <v>8.1934523809523814</v>
      </c>
      <c r="AL1055" s="139">
        <f t="shared" si="442"/>
        <v>8.2485119047619051</v>
      </c>
      <c r="AM1055" s="139">
        <f t="shared" si="443"/>
        <v>2.4895833333333335</v>
      </c>
      <c r="AN1055" s="139">
        <f t="shared" si="444"/>
        <v>2.9345238095238098</v>
      </c>
      <c r="AO1055" s="139">
        <f t="shared" si="445"/>
        <v>5.8869047619047619</v>
      </c>
      <c r="AP1055" s="139">
        <f t="shared" si="446"/>
        <v>1.1502976190476191</v>
      </c>
      <c r="AQ1055" s="139">
        <f t="shared" si="447"/>
        <v>1.5297619047619049</v>
      </c>
      <c r="AR1055" s="139">
        <f t="shared" si="448"/>
        <v>2.7247023809523809</v>
      </c>
      <c r="AS1055" s="139">
        <f t="shared" si="449"/>
        <v>135.07273396829515</v>
      </c>
      <c r="AT1055" s="139">
        <f t="shared" si="450"/>
        <v>9.6582484324974498</v>
      </c>
      <c r="AU1055" s="139">
        <f t="shared" si="451"/>
        <v>144.73098240079261</v>
      </c>
      <c r="AW1055" s="139">
        <f t="shared" si="452"/>
        <v>279.7351114221122</v>
      </c>
      <c r="AX1055" s="139">
        <f t="shared" si="453"/>
        <v>-135.00412902131959</v>
      </c>
    </row>
    <row r="1056" spans="1:50" ht="15.75" customHeight="1" x14ac:dyDescent="0.3">
      <c r="A1056" s="642" t="s">
        <v>1506</v>
      </c>
      <c r="B1056" s="642">
        <f t="shared" si="425"/>
        <v>245</v>
      </c>
      <c r="C1056" s="139">
        <f t="shared" si="425"/>
        <v>0</v>
      </c>
      <c r="D1056" s="643" t="s">
        <v>2916</v>
      </c>
      <c r="E1056" s="139">
        <f t="shared" ref="E1056:S1056" si="460">+C976/$L$10/24</f>
        <v>27.951388888888889</v>
      </c>
      <c r="F1056" s="139">
        <f t="shared" si="460"/>
        <v>29.272222222222222</v>
      </c>
      <c r="G1056" s="139">
        <f t="shared" si="460"/>
        <v>48.573611111111113</v>
      </c>
      <c r="H1056" s="139">
        <f t="shared" si="460"/>
        <v>4.2505024406577467</v>
      </c>
      <c r="I1056" s="139">
        <f t="shared" si="460"/>
        <v>-1.1127604528758424</v>
      </c>
      <c r="J1056" s="139">
        <f t="shared" si="460"/>
        <v>13.102777777777776</v>
      </c>
      <c r="K1056" s="139">
        <f t="shared" si="460"/>
        <v>7.9666666666666659</v>
      </c>
      <c r="L1056" s="139">
        <f t="shared" si="460"/>
        <v>9.6180555555555554</v>
      </c>
      <c r="M1056" s="139">
        <f t="shared" si="460"/>
        <v>8.6638888888888896</v>
      </c>
      <c r="N1056" s="139">
        <f t="shared" si="460"/>
        <v>2.6194444444444445</v>
      </c>
      <c r="O1056" s="139">
        <f t="shared" si="460"/>
        <v>3.0861111111111108</v>
      </c>
      <c r="P1056" s="139">
        <f t="shared" si="460"/>
        <v>5.8194444444444438</v>
      </c>
      <c r="Q1056" s="139">
        <f t="shared" si="460"/>
        <v>1.0777777777777777</v>
      </c>
      <c r="R1056" s="139">
        <f t="shared" si="460"/>
        <v>2.6361111111111111</v>
      </c>
      <c r="S1056" s="643">
        <f t="shared" si="460"/>
        <v>2.5500000000000003</v>
      </c>
      <c r="T1056" s="139">
        <f t="shared" si="429"/>
        <v>411.07524198778191</v>
      </c>
      <c r="U1056" s="139">
        <f t="shared" si="427"/>
        <v>166.07524198778191</v>
      </c>
      <c r="V1056" s="139">
        <f t="shared" si="430"/>
        <v>350.79722222222222</v>
      </c>
      <c r="W1056" s="139">
        <f t="shared" si="431"/>
        <v>105.79722222222222</v>
      </c>
      <c r="X1056" s="139">
        <f t="shared" si="432"/>
        <v>4.2505024406577467</v>
      </c>
      <c r="Y1056" s="139">
        <f t="shared" si="432"/>
        <v>-1.1127604528758424</v>
      </c>
      <c r="Z1056" s="139">
        <f t="shared" si="433"/>
        <v>57.140277777777776</v>
      </c>
      <c r="AC1056">
        <v>9</v>
      </c>
      <c r="AD1056" s="139">
        <f>IF($AF$1045=1,VLOOKUP($AD$1045,$A$1075:$P$1086,12,FALSE),VLOOKUP($AD$1045,$A$1048:$S$1059,3,FALSE))</f>
        <v>0</v>
      </c>
      <c r="AE1056" s="139">
        <f t="shared" si="435"/>
        <v>19.425595238095237</v>
      </c>
      <c r="AF1056" s="139">
        <f t="shared" si="436"/>
        <v>20.352678571428573</v>
      </c>
      <c r="AG1056" s="139">
        <f t="shared" si="437"/>
        <v>34.407738095238095</v>
      </c>
      <c r="AH1056" s="139">
        <f t="shared" si="438"/>
        <v>16.348031587342799</v>
      </c>
      <c r="AI1056" s="139">
        <f t="shared" si="439"/>
        <v>6.1086309523809526</v>
      </c>
      <c r="AJ1056" s="139">
        <f t="shared" si="440"/>
        <v>5.2723214285714288</v>
      </c>
      <c r="AK1056" s="139">
        <f t="shared" si="441"/>
        <v>8.1934523809523814</v>
      </c>
      <c r="AL1056" s="139">
        <f t="shared" si="442"/>
        <v>8.2485119047619051</v>
      </c>
      <c r="AM1056" s="139">
        <f t="shared" si="443"/>
        <v>2.4895833333333335</v>
      </c>
      <c r="AN1056" s="139">
        <f t="shared" si="444"/>
        <v>2.9345238095238098</v>
      </c>
      <c r="AO1056" s="139">
        <f t="shared" si="445"/>
        <v>5.8869047619047619</v>
      </c>
      <c r="AP1056" s="139">
        <f t="shared" si="446"/>
        <v>1.1502976190476191</v>
      </c>
      <c r="AQ1056" s="139">
        <f t="shared" si="447"/>
        <v>1.5297619047619049</v>
      </c>
      <c r="AR1056" s="139">
        <f t="shared" si="448"/>
        <v>2.7247023809523809</v>
      </c>
      <c r="AS1056" s="139">
        <f t="shared" si="449"/>
        <v>135.07273396829515</v>
      </c>
      <c r="AT1056" s="139">
        <f t="shared" si="450"/>
        <v>9.6582484324974498</v>
      </c>
      <c r="AU1056" s="139">
        <f t="shared" si="451"/>
        <v>144.73098240079261</v>
      </c>
      <c r="AW1056" s="139">
        <f t="shared" si="452"/>
        <v>279.7351114221122</v>
      </c>
      <c r="AX1056" s="139">
        <f t="shared" si="453"/>
        <v>-135.00412902131959</v>
      </c>
    </row>
    <row r="1057" spans="1:50" ht="15.75" customHeight="1" x14ac:dyDescent="0.3">
      <c r="A1057" s="642" t="s">
        <v>1507</v>
      </c>
      <c r="B1057" s="642">
        <f t="shared" si="425"/>
        <v>245</v>
      </c>
      <c r="C1057" s="139">
        <f t="shared" si="425"/>
        <v>0</v>
      </c>
      <c r="D1057" s="643" t="s">
        <v>2916</v>
      </c>
      <c r="E1057" s="139">
        <f t="shared" ref="E1057:S1057" si="461">+C977/$N$10/24</f>
        <v>28.681451612903228</v>
      </c>
      <c r="F1057" s="139">
        <f t="shared" si="461"/>
        <v>30.045698924731184</v>
      </c>
      <c r="G1057" s="139">
        <f t="shared" si="461"/>
        <v>51.107526881720425</v>
      </c>
      <c r="H1057" s="139">
        <f t="shared" si="461"/>
        <v>22.837978963710039</v>
      </c>
      <c r="I1057" s="139">
        <f t="shared" si="461"/>
        <v>0</v>
      </c>
      <c r="J1057" s="139">
        <f t="shared" si="461"/>
        <v>5.1586021505376349</v>
      </c>
      <c r="K1057" s="139">
        <f t="shared" si="461"/>
        <v>2.9032258064516125</v>
      </c>
      <c r="L1057" s="139">
        <f t="shared" si="461"/>
        <v>4.241935483870968</v>
      </c>
      <c r="M1057" s="139">
        <f t="shared" si="461"/>
        <v>4.345430107526882</v>
      </c>
      <c r="N1057" s="139">
        <f t="shared" si="461"/>
        <v>1.2096774193548387</v>
      </c>
      <c r="O1057" s="139">
        <f t="shared" si="461"/>
        <v>1.4233870967741937</v>
      </c>
      <c r="P1057" s="139">
        <f t="shared" si="461"/>
        <v>2.9758064516129035</v>
      </c>
      <c r="Q1057" s="139">
        <f t="shared" si="461"/>
        <v>0.81048387096774199</v>
      </c>
      <c r="R1057" s="139">
        <f t="shared" si="461"/>
        <v>1.639784946236559</v>
      </c>
      <c r="S1057" s="643">
        <f t="shared" si="461"/>
        <v>1.918010752688172</v>
      </c>
      <c r="T1057" s="139">
        <f t="shared" si="429"/>
        <v>404.29900046908642</v>
      </c>
      <c r="U1057" s="139">
        <f t="shared" si="427"/>
        <v>159.29900046908639</v>
      </c>
      <c r="V1057" s="139">
        <f t="shared" si="430"/>
        <v>354.83467741935488</v>
      </c>
      <c r="W1057" s="139">
        <f t="shared" si="431"/>
        <v>109.83467741935485</v>
      </c>
      <c r="X1057" s="139">
        <f t="shared" si="432"/>
        <v>22.837978963710039</v>
      </c>
      <c r="Y1057" s="139">
        <f t="shared" si="432"/>
        <v>0</v>
      </c>
      <c r="Z1057" s="139">
        <f t="shared" si="433"/>
        <v>26.626344086021508</v>
      </c>
      <c r="AC1057">
        <v>10</v>
      </c>
      <c r="AD1057" s="139">
        <f>IF($AF$1045=1,VLOOKUP($AD$1045,$A$1075:$P$1086,12,FALSE),VLOOKUP($AD$1045,$A$1048:$S$1059,3,FALSE))</f>
        <v>0</v>
      </c>
      <c r="AE1057" s="139">
        <f t="shared" si="435"/>
        <v>19.425595238095237</v>
      </c>
      <c r="AF1057" s="139">
        <f t="shared" si="436"/>
        <v>20.352678571428573</v>
      </c>
      <c r="AG1057" s="139">
        <f t="shared" si="437"/>
        <v>34.407738095238095</v>
      </c>
      <c r="AH1057" s="139">
        <f t="shared" si="438"/>
        <v>16.348031587342799</v>
      </c>
      <c r="AI1057" s="139">
        <f t="shared" si="439"/>
        <v>6.1086309523809526</v>
      </c>
      <c r="AJ1057" s="139">
        <f t="shared" si="440"/>
        <v>5.2723214285714288</v>
      </c>
      <c r="AK1057" s="139">
        <f t="shared" si="441"/>
        <v>8.1934523809523814</v>
      </c>
      <c r="AL1057" s="139">
        <f t="shared" si="442"/>
        <v>8.2485119047619051</v>
      </c>
      <c r="AM1057" s="139">
        <f t="shared" si="443"/>
        <v>2.4895833333333335</v>
      </c>
      <c r="AN1057" s="139">
        <f t="shared" si="444"/>
        <v>2.9345238095238098</v>
      </c>
      <c r="AO1057" s="139">
        <f t="shared" si="445"/>
        <v>5.8869047619047619</v>
      </c>
      <c r="AP1057" s="139">
        <f t="shared" si="446"/>
        <v>1.1502976190476191</v>
      </c>
      <c r="AQ1057" s="139">
        <f t="shared" si="447"/>
        <v>1.5297619047619049</v>
      </c>
      <c r="AR1057" s="139">
        <f t="shared" si="448"/>
        <v>2.7247023809523809</v>
      </c>
      <c r="AS1057" s="139">
        <f t="shared" si="449"/>
        <v>135.07273396829515</v>
      </c>
      <c r="AT1057" s="139">
        <f t="shared" si="450"/>
        <v>9.6582484324974498</v>
      </c>
      <c r="AU1057" s="139">
        <f t="shared" si="451"/>
        <v>144.73098240079261</v>
      </c>
      <c r="AW1057" s="139">
        <f t="shared" si="452"/>
        <v>279.7351114221122</v>
      </c>
      <c r="AX1057" s="139">
        <f t="shared" si="453"/>
        <v>-135.00412902131959</v>
      </c>
    </row>
    <row r="1058" spans="1:50" ht="15.75" customHeight="1" x14ac:dyDescent="0.3">
      <c r="A1058" s="642" t="s">
        <v>1508</v>
      </c>
      <c r="B1058" s="642">
        <f t="shared" si="425"/>
        <v>245</v>
      </c>
      <c r="C1058" s="139">
        <f t="shared" si="425"/>
        <v>0</v>
      </c>
      <c r="D1058" s="643" t="s">
        <v>2916</v>
      </c>
      <c r="E1058" s="139">
        <f t="shared" ref="E1058:S1058" si="462">+C978/$O$10/24</f>
        <v>28.973611111111111</v>
      </c>
      <c r="F1058" s="139">
        <f t="shared" si="462"/>
        <v>30.358333333333334</v>
      </c>
      <c r="G1058" s="139">
        <f t="shared" si="462"/>
        <v>51.002777777777773</v>
      </c>
      <c r="H1058" s="139">
        <f t="shared" si="462"/>
        <v>21.279188738855712</v>
      </c>
      <c r="I1058" s="139">
        <f t="shared" si="462"/>
        <v>-1.8623000921041591E-2</v>
      </c>
      <c r="J1058" s="139">
        <f t="shared" si="462"/>
        <v>5.3194444444444446</v>
      </c>
      <c r="K1058" s="139">
        <f t="shared" si="462"/>
        <v>1.2444444444444445</v>
      </c>
      <c r="L1058" s="139">
        <f t="shared" si="462"/>
        <v>1.9291666666666665</v>
      </c>
      <c r="M1058" s="139">
        <f t="shared" si="462"/>
        <v>1.875</v>
      </c>
      <c r="N1058" s="139">
        <f t="shared" si="462"/>
        <v>0.61527777777777781</v>
      </c>
      <c r="O1058" s="139">
        <f t="shared" si="462"/>
        <v>0.72222222222222221</v>
      </c>
      <c r="P1058" s="139">
        <f t="shared" si="462"/>
        <v>1.3055555555555556</v>
      </c>
      <c r="Q1058" s="139">
        <f t="shared" si="462"/>
        <v>0.56527777777777777</v>
      </c>
      <c r="R1058" s="139">
        <f t="shared" si="462"/>
        <v>1.7861111111111112</v>
      </c>
      <c r="S1058" s="643">
        <f t="shared" si="462"/>
        <v>1.3375000000000001</v>
      </c>
      <c r="T1058" s="139">
        <f t="shared" si="429"/>
        <v>393.29528796015688</v>
      </c>
      <c r="U1058" s="139">
        <f t="shared" si="427"/>
        <v>148.29528796015686</v>
      </c>
      <c r="V1058" s="139">
        <f t="shared" si="430"/>
        <v>355.33472222222224</v>
      </c>
      <c r="W1058" s="139">
        <f t="shared" si="431"/>
        <v>110.33472222222221</v>
      </c>
      <c r="X1058" s="139">
        <f t="shared" si="432"/>
        <v>21.279188738855712</v>
      </c>
      <c r="Y1058" s="139">
        <f t="shared" si="432"/>
        <v>-1.8623000921041591E-2</v>
      </c>
      <c r="Z1058" s="139">
        <f t="shared" si="433"/>
        <v>16.7</v>
      </c>
      <c r="AC1058">
        <v>11</v>
      </c>
      <c r="AD1058" s="139">
        <f>IF($AF$1045=1,VLOOKUP($AD$1045,$A$1075:$P$1086,12,FALSE),VLOOKUP($AD$1045,$A$1048:$S$1059,3,FALSE))</f>
        <v>0</v>
      </c>
      <c r="AE1058" s="139">
        <f t="shared" si="435"/>
        <v>19.425595238095237</v>
      </c>
      <c r="AF1058" s="139">
        <f t="shared" si="436"/>
        <v>20.352678571428573</v>
      </c>
      <c r="AG1058" s="139">
        <f t="shared" si="437"/>
        <v>34.407738095238095</v>
      </c>
      <c r="AH1058" s="139">
        <f t="shared" si="438"/>
        <v>16.348031587342799</v>
      </c>
      <c r="AI1058" s="139">
        <f t="shared" si="439"/>
        <v>6.1086309523809526</v>
      </c>
      <c r="AJ1058" s="139">
        <f t="shared" si="440"/>
        <v>5.2723214285714288</v>
      </c>
      <c r="AK1058" s="139">
        <f t="shared" si="441"/>
        <v>8.1934523809523814</v>
      </c>
      <c r="AL1058" s="139">
        <f t="shared" si="442"/>
        <v>8.2485119047619051</v>
      </c>
      <c r="AM1058" s="139">
        <f t="shared" si="443"/>
        <v>2.4895833333333335</v>
      </c>
      <c r="AN1058" s="139">
        <f t="shared" si="444"/>
        <v>2.9345238095238098</v>
      </c>
      <c r="AO1058" s="139">
        <f t="shared" si="445"/>
        <v>5.8869047619047619</v>
      </c>
      <c r="AP1058" s="139">
        <f t="shared" si="446"/>
        <v>1.1502976190476191</v>
      </c>
      <c r="AQ1058" s="139">
        <f t="shared" si="447"/>
        <v>1.5297619047619049</v>
      </c>
      <c r="AR1058" s="139">
        <f t="shared" si="448"/>
        <v>2.7247023809523809</v>
      </c>
      <c r="AS1058" s="139">
        <f t="shared" si="449"/>
        <v>135.07273396829515</v>
      </c>
      <c r="AT1058" s="139">
        <f t="shared" si="450"/>
        <v>9.6582484324974498</v>
      </c>
      <c r="AU1058" s="139">
        <f t="shared" si="451"/>
        <v>144.73098240079261</v>
      </c>
      <c r="AW1058" s="139">
        <f t="shared" si="452"/>
        <v>279.7351114221122</v>
      </c>
      <c r="AX1058" s="139">
        <f t="shared" si="453"/>
        <v>-135.00412902131959</v>
      </c>
    </row>
    <row r="1059" spans="1:50" ht="15.75" customHeight="1" thickBot="1" x14ac:dyDescent="0.35">
      <c r="A1059" s="644" t="s">
        <v>1509</v>
      </c>
      <c r="B1059" s="644">
        <f t="shared" si="425"/>
        <v>245</v>
      </c>
      <c r="C1059" s="645">
        <f t="shared" si="425"/>
        <v>0</v>
      </c>
      <c r="D1059" s="646" t="s">
        <v>2916</v>
      </c>
      <c r="E1059" s="645">
        <f t="shared" ref="E1059:S1059" si="463">+C979/$P$10/24</f>
        <v>23.326612903225808</v>
      </c>
      <c r="F1059" s="645">
        <f t="shared" si="463"/>
        <v>24.443548387096772</v>
      </c>
      <c r="G1059" s="645">
        <f t="shared" si="463"/>
        <v>41.159946236559144</v>
      </c>
      <c r="H1059" s="645">
        <f t="shared" si="463"/>
        <v>21.132657126109862</v>
      </c>
      <c r="I1059" s="645">
        <f t="shared" si="463"/>
        <v>0</v>
      </c>
      <c r="J1059" s="645">
        <f t="shared" si="463"/>
        <v>3.845430107526882</v>
      </c>
      <c r="K1059" s="645">
        <f t="shared" si="463"/>
        <v>1.2056451612903225</v>
      </c>
      <c r="L1059" s="645">
        <f t="shared" si="463"/>
        <v>1.786290322580645</v>
      </c>
      <c r="M1059" s="645">
        <f t="shared" si="463"/>
        <v>1.842741935483871</v>
      </c>
      <c r="N1059" s="645">
        <f t="shared" si="463"/>
        <v>0.69086021505376349</v>
      </c>
      <c r="O1059" s="645">
        <f t="shared" si="463"/>
        <v>0.81317204301075263</v>
      </c>
      <c r="P1059" s="645">
        <f t="shared" si="463"/>
        <v>1.4327956989247312</v>
      </c>
      <c r="Q1059" s="645">
        <f t="shared" si="463"/>
        <v>0.48790322580645157</v>
      </c>
      <c r="R1059" s="645">
        <f t="shared" si="463"/>
        <v>1.514784946236559</v>
      </c>
      <c r="S1059" s="646">
        <f t="shared" si="463"/>
        <v>1.1411290322580645</v>
      </c>
      <c r="T1059" s="139">
        <f t="shared" si="429"/>
        <v>369.82351734116361</v>
      </c>
      <c r="U1059" s="139">
        <f t="shared" si="427"/>
        <v>124.82351734116362</v>
      </c>
      <c r="V1059" s="139">
        <f t="shared" si="430"/>
        <v>333.93010752688173</v>
      </c>
      <c r="W1059" s="139">
        <f t="shared" si="431"/>
        <v>88.930107526881727</v>
      </c>
      <c r="X1059" s="139">
        <f t="shared" si="432"/>
        <v>21.132657126109862</v>
      </c>
      <c r="Y1059" s="139">
        <f t="shared" si="432"/>
        <v>0</v>
      </c>
      <c r="Z1059" s="139">
        <f t="shared" si="433"/>
        <v>14.760752688172044</v>
      </c>
      <c r="AC1059">
        <v>12</v>
      </c>
      <c r="AD1059" s="139">
        <f>IF($AF$1045=1,VLOOKUP($AD$1045,$A$1075:$P$1086,12,FALSE),VLOOKUP($AD$1045,$A$1048:$S$1059,3,FALSE))</f>
        <v>0</v>
      </c>
      <c r="AE1059" s="139">
        <f t="shared" si="435"/>
        <v>19.425595238095237</v>
      </c>
      <c r="AF1059" s="139">
        <f t="shared" si="436"/>
        <v>20.352678571428573</v>
      </c>
      <c r="AG1059" s="139">
        <f t="shared" si="437"/>
        <v>34.407738095238095</v>
      </c>
      <c r="AH1059" s="139">
        <f t="shared" si="438"/>
        <v>16.348031587342799</v>
      </c>
      <c r="AI1059" s="139">
        <f t="shared" si="439"/>
        <v>6.1086309523809526</v>
      </c>
      <c r="AJ1059" s="139">
        <f t="shared" si="440"/>
        <v>5.2723214285714288</v>
      </c>
      <c r="AK1059" s="139">
        <f t="shared" si="441"/>
        <v>8.1934523809523814</v>
      </c>
      <c r="AL1059" s="139">
        <f t="shared" si="442"/>
        <v>8.2485119047619051</v>
      </c>
      <c r="AM1059" s="139">
        <f t="shared" si="443"/>
        <v>2.4895833333333335</v>
      </c>
      <c r="AN1059" s="139">
        <f t="shared" si="444"/>
        <v>2.9345238095238098</v>
      </c>
      <c r="AO1059" s="139">
        <f t="shared" si="445"/>
        <v>5.8869047619047619</v>
      </c>
      <c r="AP1059" s="139">
        <f t="shared" si="446"/>
        <v>1.1502976190476191</v>
      </c>
      <c r="AQ1059" s="139">
        <f t="shared" si="447"/>
        <v>1.5297619047619049</v>
      </c>
      <c r="AR1059" s="139">
        <f t="shared" si="448"/>
        <v>2.7247023809523809</v>
      </c>
      <c r="AS1059" s="139">
        <f t="shared" si="449"/>
        <v>135.07273396829515</v>
      </c>
      <c r="AT1059" s="139">
        <f t="shared" si="450"/>
        <v>9.6582484324974498</v>
      </c>
      <c r="AU1059" s="139">
        <f t="shared" si="451"/>
        <v>144.73098240079261</v>
      </c>
      <c r="AW1059" s="139">
        <f t="shared" si="452"/>
        <v>279.7351114221122</v>
      </c>
      <c r="AX1059" s="139">
        <f t="shared" si="453"/>
        <v>-135.00412902131959</v>
      </c>
    </row>
    <row r="1060" spans="1:50" ht="15.75" customHeight="1" x14ac:dyDescent="0.3">
      <c r="A1060" s="641"/>
      <c r="AC1060">
        <v>13</v>
      </c>
      <c r="AD1060" s="139">
        <f>IF($AF$1045=1,VLOOKUP($AD$1045,$A$1075:$P$1086,12,FALSE),IF(OR($AD$1045="JUN",$AD$1045="JUL",$AD$1045="AUG"),VLOOKUP($AD$1045,$A$1048:$S$1059,4,FALSE),VLOOKUP($AD$1045,$A$1048:$S$1059,3,FALSE)))</f>
        <v>0</v>
      </c>
      <c r="AE1060" s="139">
        <f t="shared" si="435"/>
        <v>19.425595238095237</v>
      </c>
      <c r="AF1060" s="139">
        <f t="shared" si="436"/>
        <v>20.352678571428573</v>
      </c>
      <c r="AG1060" s="139">
        <f t="shared" si="437"/>
        <v>34.407738095238095</v>
      </c>
      <c r="AH1060" s="139">
        <f t="shared" si="438"/>
        <v>16.348031587342799</v>
      </c>
      <c r="AI1060" s="139">
        <f t="shared" si="439"/>
        <v>6.1086309523809526</v>
      </c>
      <c r="AJ1060" s="139">
        <f t="shared" si="440"/>
        <v>5.2723214285714288</v>
      </c>
      <c r="AK1060" s="139">
        <f t="shared" si="441"/>
        <v>8.1934523809523814</v>
      </c>
      <c r="AL1060" s="139">
        <f t="shared" si="442"/>
        <v>8.2485119047619051</v>
      </c>
      <c r="AM1060" s="139">
        <f t="shared" si="443"/>
        <v>2.4895833333333335</v>
      </c>
      <c r="AN1060" s="139">
        <f t="shared" si="444"/>
        <v>2.9345238095238098</v>
      </c>
      <c r="AO1060" s="139">
        <f t="shared" si="445"/>
        <v>5.8869047619047619</v>
      </c>
      <c r="AP1060" s="139">
        <f t="shared" si="446"/>
        <v>1.1502976190476191</v>
      </c>
      <c r="AQ1060" s="139">
        <f t="shared" si="447"/>
        <v>1.5297619047619049</v>
      </c>
      <c r="AR1060" s="139">
        <f t="shared" si="448"/>
        <v>2.7247023809523809</v>
      </c>
      <c r="AS1060" s="139">
        <f t="shared" si="449"/>
        <v>135.07273396829515</v>
      </c>
      <c r="AT1060" s="139">
        <f t="shared" si="450"/>
        <v>9.6582484324974498</v>
      </c>
      <c r="AU1060" s="139">
        <f t="shared" si="451"/>
        <v>144.73098240079261</v>
      </c>
      <c r="AW1060" s="139">
        <f t="shared" si="452"/>
        <v>279.7351114221122</v>
      </c>
      <c r="AX1060" s="139">
        <f t="shared" si="453"/>
        <v>-135.00412902131959</v>
      </c>
    </row>
    <row r="1061" spans="1:50" ht="27.75" customHeight="1" x14ac:dyDescent="0.3">
      <c r="A1061" s="641" t="s">
        <v>2889</v>
      </c>
      <c r="AC1061">
        <v>14</v>
      </c>
      <c r="AD1061" s="139">
        <f t="shared" ref="AD1061:AD1067" si="464">IF($AF$1045=1,VLOOKUP($AD$1045,$A$1075:$P$1086,12,FALSE),IF(OR($AD$1045="JUN",$AD$1045="JUL",$AD$1045="AUG"),VLOOKUP($AD$1045,$A$1048:$S$1059,4,FALSE),VLOOKUP($AD$1045,$A$1048:$S$1059,3,FALSE)))</f>
        <v>0</v>
      </c>
      <c r="AE1061" s="139">
        <f t="shared" si="435"/>
        <v>19.425595238095237</v>
      </c>
      <c r="AF1061" s="139">
        <f t="shared" si="436"/>
        <v>20.352678571428573</v>
      </c>
      <c r="AG1061" s="139">
        <f t="shared" si="437"/>
        <v>34.407738095238095</v>
      </c>
      <c r="AH1061" s="139">
        <f t="shared" si="438"/>
        <v>16.348031587342799</v>
      </c>
      <c r="AI1061" s="139">
        <f t="shared" si="439"/>
        <v>6.1086309523809526</v>
      </c>
      <c r="AJ1061" s="139">
        <f t="shared" si="440"/>
        <v>5.2723214285714288</v>
      </c>
      <c r="AK1061" s="139">
        <f t="shared" si="441"/>
        <v>8.1934523809523814</v>
      </c>
      <c r="AL1061" s="139">
        <f t="shared" si="442"/>
        <v>8.2485119047619051</v>
      </c>
      <c r="AM1061" s="139">
        <f t="shared" si="443"/>
        <v>2.4895833333333335</v>
      </c>
      <c r="AN1061" s="139">
        <f t="shared" si="444"/>
        <v>2.9345238095238098</v>
      </c>
      <c r="AO1061" s="139">
        <f t="shared" si="445"/>
        <v>5.8869047619047619</v>
      </c>
      <c r="AP1061" s="139">
        <f t="shared" si="446"/>
        <v>1.1502976190476191</v>
      </c>
      <c r="AQ1061" s="139">
        <f t="shared" si="447"/>
        <v>1.5297619047619049</v>
      </c>
      <c r="AR1061" s="139">
        <f t="shared" si="448"/>
        <v>2.7247023809523809</v>
      </c>
      <c r="AS1061" s="139">
        <f t="shared" si="449"/>
        <v>135.07273396829515</v>
      </c>
      <c r="AT1061" s="139">
        <f t="shared" si="450"/>
        <v>9.6582484324974498</v>
      </c>
      <c r="AU1061" s="139">
        <f t="shared" si="451"/>
        <v>144.73098240079261</v>
      </c>
      <c r="AW1061" s="139">
        <f t="shared" si="452"/>
        <v>279.7351114221122</v>
      </c>
      <c r="AX1061" s="139">
        <f t="shared" si="453"/>
        <v>-135.00412902131959</v>
      </c>
    </row>
    <row r="1062" spans="1:50" ht="15.75" customHeight="1" x14ac:dyDescent="0.3">
      <c r="A1062" s="641"/>
      <c r="AC1062">
        <v>15</v>
      </c>
      <c r="AD1062" s="139">
        <f t="shared" si="464"/>
        <v>0</v>
      </c>
      <c r="AE1062" s="139">
        <f t="shared" si="435"/>
        <v>19.425595238095237</v>
      </c>
      <c r="AF1062" s="139">
        <f t="shared" si="436"/>
        <v>20.352678571428573</v>
      </c>
      <c r="AG1062" s="139">
        <f t="shared" si="437"/>
        <v>34.407738095238095</v>
      </c>
      <c r="AH1062" s="139">
        <f t="shared" si="438"/>
        <v>16.348031587342799</v>
      </c>
      <c r="AI1062" s="139">
        <f t="shared" si="439"/>
        <v>6.1086309523809526</v>
      </c>
      <c r="AJ1062" s="139">
        <f t="shared" si="440"/>
        <v>5.2723214285714288</v>
      </c>
      <c r="AK1062" s="139">
        <f t="shared" si="441"/>
        <v>8.1934523809523814</v>
      </c>
      <c r="AL1062" s="139">
        <f t="shared" si="442"/>
        <v>8.2485119047619051</v>
      </c>
      <c r="AM1062" s="139">
        <f t="shared" si="443"/>
        <v>2.4895833333333335</v>
      </c>
      <c r="AN1062" s="139">
        <f t="shared" si="444"/>
        <v>2.9345238095238098</v>
      </c>
      <c r="AO1062" s="139">
        <f t="shared" si="445"/>
        <v>5.8869047619047619</v>
      </c>
      <c r="AP1062" s="139">
        <f t="shared" si="446"/>
        <v>1.1502976190476191</v>
      </c>
      <c r="AQ1062" s="139">
        <f t="shared" si="447"/>
        <v>1.5297619047619049</v>
      </c>
      <c r="AR1062" s="139">
        <f t="shared" si="448"/>
        <v>2.7247023809523809</v>
      </c>
      <c r="AS1062" s="139">
        <f t="shared" si="449"/>
        <v>135.07273396829515</v>
      </c>
      <c r="AT1062" s="139">
        <f t="shared" si="450"/>
        <v>9.6582484324974498</v>
      </c>
      <c r="AU1062" s="139">
        <f t="shared" si="451"/>
        <v>144.73098240079261</v>
      </c>
      <c r="AW1062" s="139">
        <f t="shared" si="452"/>
        <v>279.7351114221122</v>
      </c>
      <c r="AX1062" s="139">
        <f t="shared" si="453"/>
        <v>-135.00412902131959</v>
      </c>
    </row>
    <row r="1063" spans="1:50" ht="15.75" customHeight="1" x14ac:dyDescent="0.3">
      <c r="A1063" s="641"/>
      <c r="AC1063">
        <v>16</v>
      </c>
      <c r="AD1063" s="139">
        <f t="shared" si="464"/>
        <v>0</v>
      </c>
      <c r="AE1063" s="139">
        <f t="shared" si="435"/>
        <v>19.425595238095237</v>
      </c>
      <c r="AF1063" s="139">
        <f t="shared" si="436"/>
        <v>20.352678571428573</v>
      </c>
      <c r="AG1063" s="139">
        <f t="shared" si="437"/>
        <v>34.407738095238095</v>
      </c>
      <c r="AH1063" s="139">
        <f t="shared" si="438"/>
        <v>16.348031587342799</v>
      </c>
      <c r="AI1063" s="139">
        <f t="shared" si="439"/>
        <v>6.1086309523809526</v>
      </c>
      <c r="AJ1063" s="139">
        <f t="shared" si="440"/>
        <v>5.2723214285714288</v>
      </c>
      <c r="AK1063" s="139">
        <f t="shared" si="441"/>
        <v>8.1934523809523814</v>
      </c>
      <c r="AL1063" s="139">
        <f t="shared" si="442"/>
        <v>8.2485119047619051</v>
      </c>
      <c r="AM1063" s="139">
        <f t="shared" si="443"/>
        <v>2.4895833333333335</v>
      </c>
      <c r="AN1063" s="139">
        <f t="shared" si="444"/>
        <v>2.9345238095238098</v>
      </c>
      <c r="AO1063" s="139">
        <f t="shared" si="445"/>
        <v>5.8869047619047619</v>
      </c>
      <c r="AP1063" s="139">
        <f t="shared" si="446"/>
        <v>1.1502976190476191</v>
      </c>
      <c r="AQ1063" s="139">
        <f t="shared" si="447"/>
        <v>1.5297619047619049</v>
      </c>
      <c r="AR1063" s="139">
        <f t="shared" si="448"/>
        <v>2.7247023809523809</v>
      </c>
      <c r="AS1063" s="139">
        <f t="shared" si="449"/>
        <v>135.07273396829515</v>
      </c>
      <c r="AT1063" s="139">
        <f t="shared" si="450"/>
        <v>9.6582484324974498</v>
      </c>
      <c r="AU1063" s="139">
        <f t="shared" si="451"/>
        <v>144.73098240079261</v>
      </c>
      <c r="AW1063" s="139">
        <f t="shared" si="452"/>
        <v>279.7351114221122</v>
      </c>
      <c r="AX1063" s="139">
        <f t="shared" si="453"/>
        <v>-135.00412902131959</v>
      </c>
    </row>
    <row r="1064" spans="1:50" ht="15.75" customHeight="1" thickBot="1" x14ac:dyDescent="0.35">
      <c r="A1064" s="641"/>
      <c r="AC1064">
        <v>17</v>
      </c>
      <c r="AD1064" s="139">
        <f t="shared" si="464"/>
        <v>0</v>
      </c>
      <c r="AE1064" s="139">
        <f t="shared" si="435"/>
        <v>19.425595238095237</v>
      </c>
      <c r="AF1064" s="139">
        <f t="shared" si="436"/>
        <v>20.352678571428573</v>
      </c>
      <c r="AG1064" s="139">
        <f t="shared" si="437"/>
        <v>34.407738095238095</v>
      </c>
      <c r="AH1064" s="139">
        <f t="shared" si="438"/>
        <v>16.348031587342799</v>
      </c>
      <c r="AI1064" s="139">
        <f t="shared" si="439"/>
        <v>6.1086309523809526</v>
      </c>
      <c r="AJ1064" s="139">
        <f t="shared" si="440"/>
        <v>5.2723214285714288</v>
      </c>
      <c r="AK1064" s="139">
        <f t="shared" si="441"/>
        <v>8.1934523809523814</v>
      </c>
      <c r="AL1064" s="139">
        <f t="shared" si="442"/>
        <v>8.2485119047619051</v>
      </c>
      <c r="AM1064" s="139">
        <f t="shared" si="443"/>
        <v>2.4895833333333335</v>
      </c>
      <c r="AN1064" s="139">
        <f t="shared" si="444"/>
        <v>2.9345238095238098</v>
      </c>
      <c r="AO1064" s="139">
        <f t="shared" si="445"/>
        <v>5.8869047619047619</v>
      </c>
      <c r="AP1064" s="139">
        <f t="shared" si="446"/>
        <v>1.1502976190476191</v>
      </c>
      <c r="AQ1064" s="139">
        <f t="shared" si="447"/>
        <v>1.5297619047619049</v>
      </c>
      <c r="AR1064" s="139">
        <f t="shared" si="448"/>
        <v>2.7247023809523809</v>
      </c>
      <c r="AS1064" s="139">
        <f t="shared" si="449"/>
        <v>135.07273396829515</v>
      </c>
      <c r="AT1064" s="139">
        <f t="shared" si="450"/>
        <v>9.6582484324974498</v>
      </c>
      <c r="AU1064" s="139">
        <f t="shared" si="451"/>
        <v>144.73098240079261</v>
      </c>
      <c r="AW1064" s="139">
        <f t="shared" si="452"/>
        <v>279.7351114221122</v>
      </c>
      <c r="AX1064" s="139">
        <f t="shared" si="453"/>
        <v>-135.00412902131959</v>
      </c>
    </row>
    <row r="1065" spans="1:50" ht="15.75" customHeight="1" x14ac:dyDescent="0.3">
      <c r="A1065" s="667"/>
      <c r="B1065" s="782" t="s">
        <v>2887</v>
      </c>
      <c r="C1065" s="782"/>
      <c r="D1065" s="782"/>
      <c r="E1065" s="782"/>
      <c r="F1065" s="782"/>
      <c r="G1065" s="782"/>
      <c r="H1065" s="782"/>
      <c r="I1065" s="782"/>
      <c r="J1065" s="782"/>
      <c r="K1065" s="782"/>
      <c r="L1065" s="782"/>
      <c r="M1065" s="782"/>
      <c r="N1065" s="782"/>
      <c r="O1065" s="782"/>
      <c r="P1065" s="782"/>
      <c r="Q1065" s="678" t="str">
        <f>+Q1</f>
        <v xml:space="preserve">PRINTED:  </v>
      </c>
      <c r="R1065" s="679">
        <f ca="1">+R1</f>
        <v>44881.729634027775</v>
      </c>
      <c r="AC1065">
        <v>18</v>
      </c>
      <c r="AD1065" s="139">
        <f t="shared" si="464"/>
        <v>0</v>
      </c>
      <c r="AE1065" s="139">
        <f t="shared" si="435"/>
        <v>19.425595238095237</v>
      </c>
      <c r="AF1065" s="139">
        <f t="shared" si="436"/>
        <v>20.352678571428573</v>
      </c>
      <c r="AG1065" s="139">
        <f t="shared" si="437"/>
        <v>34.407738095238095</v>
      </c>
      <c r="AH1065" s="139">
        <f t="shared" si="438"/>
        <v>16.348031587342799</v>
      </c>
      <c r="AI1065" s="139">
        <f t="shared" si="439"/>
        <v>6.1086309523809526</v>
      </c>
      <c r="AJ1065" s="139">
        <f t="shared" si="440"/>
        <v>5.2723214285714288</v>
      </c>
      <c r="AK1065" s="139">
        <f t="shared" si="441"/>
        <v>8.1934523809523814</v>
      </c>
      <c r="AL1065" s="139">
        <f t="shared" si="442"/>
        <v>8.2485119047619051</v>
      </c>
      <c r="AM1065" s="139">
        <f t="shared" si="443"/>
        <v>2.4895833333333335</v>
      </c>
      <c r="AN1065" s="139">
        <f t="shared" si="444"/>
        <v>2.9345238095238098</v>
      </c>
      <c r="AO1065" s="139">
        <f t="shared" si="445"/>
        <v>5.8869047619047619</v>
      </c>
      <c r="AP1065" s="139">
        <f t="shared" si="446"/>
        <v>1.1502976190476191</v>
      </c>
      <c r="AQ1065" s="139">
        <f t="shared" si="447"/>
        <v>1.5297619047619049</v>
      </c>
      <c r="AR1065" s="139">
        <f t="shared" si="448"/>
        <v>2.7247023809523809</v>
      </c>
      <c r="AS1065" s="139">
        <f t="shared" si="449"/>
        <v>135.07273396829515</v>
      </c>
      <c r="AT1065" s="139">
        <f t="shared" si="450"/>
        <v>9.6582484324974498</v>
      </c>
      <c r="AU1065" s="139">
        <f t="shared" si="451"/>
        <v>144.73098240079261</v>
      </c>
      <c r="AW1065" s="139">
        <f t="shared" si="452"/>
        <v>279.7351114221122</v>
      </c>
      <c r="AX1065" s="139">
        <f t="shared" si="453"/>
        <v>-135.00412902131959</v>
      </c>
    </row>
    <row r="1066" spans="1:50" ht="16.5" customHeight="1" x14ac:dyDescent="0.3">
      <c r="A1066" s="647"/>
      <c r="B1066" s="786" t="str">
        <f>+A8</f>
        <v>Revised:  3/2/2019</v>
      </c>
      <c r="C1066" s="786"/>
      <c r="D1066" s="786"/>
      <c r="E1066" s="786"/>
      <c r="F1066" s="786"/>
      <c r="G1066" s="786"/>
      <c r="H1066" s="786"/>
      <c r="I1066" s="786"/>
      <c r="J1066" s="786"/>
      <c r="K1066" s="786"/>
      <c r="L1066" s="786"/>
      <c r="M1066" s="786"/>
      <c r="N1066" s="786"/>
      <c r="O1066" s="786"/>
      <c r="P1066" s="786"/>
      <c r="R1066" s="561"/>
      <c r="AC1066">
        <v>19</v>
      </c>
      <c r="AD1066" s="139">
        <f t="shared" si="464"/>
        <v>0</v>
      </c>
      <c r="AE1066" s="139">
        <f t="shared" si="435"/>
        <v>19.425595238095237</v>
      </c>
      <c r="AF1066" s="139">
        <f t="shared" si="436"/>
        <v>20.352678571428573</v>
      </c>
      <c r="AG1066" s="139">
        <f t="shared" si="437"/>
        <v>34.407738095238095</v>
      </c>
      <c r="AH1066" s="139">
        <f t="shared" si="438"/>
        <v>16.348031587342799</v>
      </c>
      <c r="AI1066" s="139">
        <f t="shared" si="439"/>
        <v>6.1086309523809526</v>
      </c>
      <c r="AJ1066" s="139">
        <f t="shared" si="440"/>
        <v>5.2723214285714288</v>
      </c>
      <c r="AK1066" s="139">
        <f t="shared" si="441"/>
        <v>8.1934523809523814</v>
      </c>
      <c r="AL1066" s="139">
        <f t="shared" si="442"/>
        <v>8.2485119047619051</v>
      </c>
      <c r="AM1066" s="139">
        <f t="shared" si="443"/>
        <v>2.4895833333333335</v>
      </c>
      <c r="AN1066" s="139">
        <f t="shared" si="444"/>
        <v>2.9345238095238098</v>
      </c>
      <c r="AO1066" s="139">
        <f t="shared" si="445"/>
        <v>5.8869047619047619</v>
      </c>
      <c r="AP1066" s="139">
        <f t="shared" si="446"/>
        <v>1.1502976190476191</v>
      </c>
      <c r="AQ1066" s="139">
        <f t="shared" si="447"/>
        <v>1.5297619047619049</v>
      </c>
      <c r="AR1066" s="139">
        <f t="shared" si="448"/>
        <v>2.7247023809523809</v>
      </c>
      <c r="AS1066" s="139">
        <f t="shared" si="449"/>
        <v>135.07273396829515</v>
      </c>
      <c r="AT1066" s="139">
        <f t="shared" si="450"/>
        <v>9.6582484324974498</v>
      </c>
      <c r="AU1066" s="139">
        <f t="shared" si="451"/>
        <v>144.73098240079261</v>
      </c>
      <c r="AW1066" s="139">
        <f t="shared" si="452"/>
        <v>279.7351114221122</v>
      </c>
      <c r="AX1066" s="139">
        <f t="shared" si="453"/>
        <v>-135.00412902131959</v>
      </c>
    </row>
    <row r="1067" spans="1:50" ht="16.5" customHeight="1" x14ac:dyDescent="0.3">
      <c r="A1067" s="647"/>
      <c r="B1067" s="786" t="s">
        <v>2878</v>
      </c>
      <c r="C1067" s="786"/>
      <c r="D1067" s="786"/>
      <c r="E1067" s="786"/>
      <c r="F1067" s="786"/>
      <c r="G1067" s="786"/>
      <c r="H1067" s="786"/>
      <c r="I1067" s="786"/>
      <c r="J1067" s="786"/>
      <c r="K1067" s="786"/>
      <c r="L1067" s="786"/>
      <c r="M1067" s="786"/>
      <c r="N1067" s="786"/>
      <c r="O1067" s="786"/>
      <c r="P1067" s="786"/>
      <c r="R1067" s="561"/>
      <c r="AC1067">
        <v>20</v>
      </c>
      <c r="AD1067" s="139">
        <f t="shared" si="464"/>
        <v>0</v>
      </c>
      <c r="AE1067" s="139">
        <f t="shared" si="435"/>
        <v>19.425595238095237</v>
      </c>
      <c r="AF1067" s="139">
        <f t="shared" si="436"/>
        <v>20.352678571428573</v>
      </c>
      <c r="AG1067" s="139">
        <f t="shared" si="437"/>
        <v>34.407738095238095</v>
      </c>
      <c r="AH1067" s="139">
        <f t="shared" si="438"/>
        <v>16.348031587342799</v>
      </c>
      <c r="AI1067" s="139">
        <f t="shared" si="439"/>
        <v>6.1086309523809526</v>
      </c>
      <c r="AJ1067" s="139">
        <f t="shared" si="440"/>
        <v>5.2723214285714288</v>
      </c>
      <c r="AK1067" s="139">
        <f t="shared" si="441"/>
        <v>8.1934523809523814</v>
      </c>
      <c r="AL1067" s="139">
        <f t="shared" si="442"/>
        <v>8.2485119047619051</v>
      </c>
      <c r="AM1067" s="139">
        <f t="shared" si="443"/>
        <v>2.4895833333333335</v>
      </c>
      <c r="AN1067" s="139">
        <f t="shared" si="444"/>
        <v>2.9345238095238098</v>
      </c>
      <c r="AO1067" s="139">
        <f t="shared" si="445"/>
        <v>5.8869047619047619</v>
      </c>
      <c r="AP1067" s="139">
        <f t="shared" si="446"/>
        <v>1.1502976190476191</v>
      </c>
      <c r="AQ1067" s="139">
        <f t="shared" si="447"/>
        <v>1.5297619047619049</v>
      </c>
      <c r="AR1067" s="139">
        <f t="shared" si="448"/>
        <v>2.7247023809523809</v>
      </c>
      <c r="AS1067" s="139">
        <f t="shared" si="449"/>
        <v>135.07273396829515</v>
      </c>
      <c r="AT1067" s="139">
        <f t="shared" si="450"/>
        <v>9.6582484324974498</v>
      </c>
      <c r="AU1067" s="139">
        <f t="shared" si="451"/>
        <v>144.73098240079261</v>
      </c>
      <c r="AW1067" s="139">
        <f t="shared" si="452"/>
        <v>279.7351114221122</v>
      </c>
      <c r="AX1067" s="139">
        <f t="shared" si="453"/>
        <v>-135.00412902131959</v>
      </c>
    </row>
    <row r="1068" spans="1:50" ht="16.5" customHeight="1" x14ac:dyDescent="0.3">
      <c r="A1068" s="647"/>
      <c r="B1068" s="67"/>
      <c r="C1068" s="67"/>
      <c r="D1068" s="67"/>
      <c r="E1068" s="67"/>
      <c r="F1068" s="67"/>
      <c r="G1068" s="67"/>
      <c r="H1068" s="67"/>
      <c r="I1068" s="67"/>
      <c r="J1068" s="67"/>
      <c r="K1068" s="67"/>
      <c r="L1068" s="67"/>
      <c r="M1068" s="67"/>
      <c r="N1068" s="67"/>
      <c r="O1068" s="67"/>
      <c r="P1068" s="67"/>
      <c r="R1068" s="561"/>
      <c r="AC1068">
        <v>21</v>
      </c>
      <c r="AD1068" s="139">
        <f>IF($AF$1045=1,VLOOKUP($AD$1045,$A$1075:$P$1086,12,FALSE),VLOOKUP($AD$1045,$A$1048:$S$1059,3,FALSE))</f>
        <v>0</v>
      </c>
      <c r="AE1068" s="139">
        <f t="shared" si="435"/>
        <v>19.425595238095237</v>
      </c>
      <c r="AF1068" s="139">
        <f t="shared" si="436"/>
        <v>20.352678571428573</v>
      </c>
      <c r="AG1068" s="139">
        <f t="shared" si="437"/>
        <v>34.407738095238095</v>
      </c>
      <c r="AH1068" s="139">
        <f t="shared" si="438"/>
        <v>16.348031587342799</v>
      </c>
      <c r="AI1068" s="139">
        <f t="shared" si="439"/>
        <v>6.1086309523809526</v>
      </c>
      <c r="AJ1068" s="139">
        <f t="shared" si="440"/>
        <v>5.2723214285714288</v>
      </c>
      <c r="AK1068" s="139">
        <f t="shared" si="441"/>
        <v>8.1934523809523814</v>
      </c>
      <c r="AL1068" s="139">
        <f t="shared" si="442"/>
        <v>8.2485119047619051</v>
      </c>
      <c r="AM1068" s="139">
        <f t="shared" si="443"/>
        <v>2.4895833333333335</v>
      </c>
      <c r="AN1068" s="139">
        <f t="shared" si="444"/>
        <v>2.9345238095238098</v>
      </c>
      <c r="AO1068" s="139">
        <f t="shared" si="445"/>
        <v>5.8869047619047619</v>
      </c>
      <c r="AP1068" s="139">
        <f t="shared" si="446"/>
        <v>1.1502976190476191</v>
      </c>
      <c r="AQ1068" s="139">
        <f t="shared" si="447"/>
        <v>1.5297619047619049</v>
      </c>
      <c r="AR1068" s="139">
        <f t="shared" si="448"/>
        <v>2.7247023809523809</v>
      </c>
      <c r="AS1068" s="139">
        <f t="shared" si="449"/>
        <v>135.07273396829515</v>
      </c>
      <c r="AT1068" s="139">
        <f t="shared" si="450"/>
        <v>9.6582484324974498</v>
      </c>
      <c r="AU1068" s="139">
        <f t="shared" si="451"/>
        <v>144.73098240079261</v>
      </c>
      <c r="AW1068" s="139">
        <f t="shared" si="452"/>
        <v>279.7351114221122</v>
      </c>
      <c r="AX1068" s="139">
        <f t="shared" si="453"/>
        <v>-135.00412902131959</v>
      </c>
    </row>
    <row r="1069" spans="1:50" ht="16.5" customHeight="1" x14ac:dyDescent="0.3">
      <c r="A1069" s="647"/>
      <c r="B1069" s="810">
        <f>+A5</f>
        <v>2018</v>
      </c>
      <c r="C1069" s="787"/>
      <c r="D1069" s="787"/>
      <c r="E1069" s="787"/>
      <c r="F1069" s="787"/>
      <c r="G1069" s="787"/>
      <c r="H1069" s="787"/>
      <c r="I1069" s="787"/>
      <c r="J1069" s="787"/>
      <c r="K1069" s="787"/>
      <c r="L1069" s="787"/>
      <c r="M1069" s="787"/>
      <c r="N1069" s="787"/>
      <c r="O1069" s="787"/>
      <c r="P1069" s="787"/>
      <c r="R1069" s="561"/>
      <c r="AC1069">
        <v>22</v>
      </c>
      <c r="AD1069" s="139">
        <f>IF($AF$1045=1,VLOOKUP($AD$1045,$A$1075:$P$1086,12,FALSE),VLOOKUP($AD$1045,$A$1048:$S$1059,3,FALSE))</f>
        <v>0</v>
      </c>
      <c r="AE1069" s="139">
        <f t="shared" si="435"/>
        <v>19.425595238095237</v>
      </c>
      <c r="AF1069" s="139">
        <f t="shared" si="436"/>
        <v>20.352678571428573</v>
      </c>
      <c r="AG1069" s="139">
        <f t="shared" si="437"/>
        <v>34.407738095238095</v>
      </c>
      <c r="AH1069" s="139">
        <f t="shared" si="438"/>
        <v>16.348031587342799</v>
      </c>
      <c r="AI1069" s="139">
        <f t="shared" si="439"/>
        <v>6.1086309523809526</v>
      </c>
      <c r="AJ1069" s="139">
        <f t="shared" si="440"/>
        <v>5.2723214285714288</v>
      </c>
      <c r="AK1069" s="139">
        <f t="shared" si="441"/>
        <v>8.1934523809523814</v>
      </c>
      <c r="AL1069" s="139">
        <f t="shared" si="442"/>
        <v>8.2485119047619051</v>
      </c>
      <c r="AM1069" s="139">
        <f t="shared" si="443"/>
        <v>2.4895833333333335</v>
      </c>
      <c r="AN1069" s="139">
        <f t="shared" si="444"/>
        <v>2.9345238095238098</v>
      </c>
      <c r="AO1069" s="139">
        <f t="shared" si="445"/>
        <v>5.8869047619047619</v>
      </c>
      <c r="AP1069" s="139">
        <f t="shared" si="446"/>
        <v>1.1502976190476191</v>
      </c>
      <c r="AQ1069" s="139">
        <f t="shared" si="447"/>
        <v>1.5297619047619049</v>
      </c>
      <c r="AR1069" s="139">
        <f t="shared" si="448"/>
        <v>2.7247023809523809</v>
      </c>
      <c r="AS1069" s="139">
        <f t="shared" si="449"/>
        <v>135.07273396829515</v>
      </c>
      <c r="AT1069" s="139">
        <f t="shared" si="450"/>
        <v>9.6582484324974498</v>
      </c>
      <c r="AU1069" s="139">
        <f t="shared" si="451"/>
        <v>144.73098240079261</v>
      </c>
      <c r="AW1069" s="139">
        <f t="shared" si="452"/>
        <v>279.7351114221122</v>
      </c>
      <c r="AX1069" s="139">
        <f t="shared" si="453"/>
        <v>-135.00412902131959</v>
      </c>
    </row>
    <row r="1070" spans="1:50" ht="15.75" customHeight="1" x14ac:dyDescent="0.3">
      <c r="A1070" s="647"/>
      <c r="B1070" s="786" t="s">
        <v>1199</v>
      </c>
      <c r="C1070" s="786"/>
      <c r="D1070" s="786"/>
      <c r="E1070" s="786"/>
      <c r="F1070" s="786"/>
      <c r="G1070" s="786"/>
      <c r="H1070" s="786"/>
      <c r="I1070" s="786"/>
      <c r="J1070" s="786"/>
      <c r="K1070" s="786"/>
      <c r="L1070" s="786"/>
      <c r="M1070" s="786"/>
      <c r="N1070" s="786"/>
      <c r="O1070" s="786"/>
      <c r="P1070" s="786"/>
      <c r="R1070" s="561"/>
      <c r="AC1070">
        <v>23</v>
      </c>
      <c r="AD1070" s="139">
        <f>IF($AF$1045=1,VLOOKUP($AD$1045,$A$1075:$P$1086,12,FALSE),IF(OR($AD$1045="JAN",$AD$1045="FEB",$AD$1045="NOV",$AD$1045="DEC"),VLOOKUP($AD$1045,$A$1048:$S$1059,3,FALSE),VLOOKUP($AD$1045,$A$1048:$S$1059,2,FALSE)))</f>
        <v>0</v>
      </c>
      <c r="AE1070" s="139">
        <f t="shared" si="435"/>
        <v>19.425595238095237</v>
      </c>
      <c r="AF1070" s="139">
        <f t="shared" si="436"/>
        <v>20.352678571428573</v>
      </c>
      <c r="AG1070" s="139">
        <f t="shared" si="437"/>
        <v>34.407738095238095</v>
      </c>
      <c r="AH1070" s="139">
        <f t="shared" si="438"/>
        <v>16.348031587342799</v>
      </c>
      <c r="AI1070" s="139">
        <f t="shared" si="439"/>
        <v>6.1086309523809526</v>
      </c>
      <c r="AJ1070" s="139">
        <f t="shared" si="440"/>
        <v>5.2723214285714288</v>
      </c>
      <c r="AK1070" s="139">
        <f t="shared" si="441"/>
        <v>8.1934523809523814</v>
      </c>
      <c r="AL1070" s="139">
        <f t="shared" si="442"/>
        <v>8.2485119047619051</v>
      </c>
      <c r="AM1070" s="139">
        <f t="shared" si="443"/>
        <v>2.4895833333333335</v>
      </c>
      <c r="AN1070" s="139">
        <f t="shared" si="444"/>
        <v>2.9345238095238098</v>
      </c>
      <c r="AO1070" s="139">
        <f t="shared" si="445"/>
        <v>5.8869047619047619</v>
      </c>
      <c r="AP1070" s="139">
        <f t="shared" si="446"/>
        <v>1.1502976190476191</v>
      </c>
      <c r="AQ1070" s="139">
        <f t="shared" si="447"/>
        <v>1.5297619047619049</v>
      </c>
      <c r="AR1070" s="139">
        <f t="shared" si="448"/>
        <v>2.7247023809523809</v>
      </c>
      <c r="AS1070" s="139">
        <f t="shared" si="449"/>
        <v>135.07273396829515</v>
      </c>
      <c r="AT1070" s="139">
        <f t="shared" si="450"/>
        <v>9.6582484324974498</v>
      </c>
      <c r="AU1070" s="139">
        <f t="shared" si="451"/>
        <v>144.73098240079261</v>
      </c>
      <c r="AW1070" s="139">
        <f t="shared" si="452"/>
        <v>279.7351114221122</v>
      </c>
      <c r="AX1070" s="139">
        <f t="shared" si="453"/>
        <v>-135.00412902131959</v>
      </c>
    </row>
    <row r="1071" spans="1:50" ht="15.75" customHeight="1" thickBot="1" x14ac:dyDescent="0.35">
      <c r="A1071" s="647"/>
      <c r="R1071" s="561"/>
      <c r="AC1071">
        <v>24</v>
      </c>
      <c r="AD1071" s="139">
        <f>IF($AF$1045=1,VLOOKUP($AD$1045,$A$1075:$P$1086,12,FALSE),VLOOKUP($AD$1045,$A$1048:$S$1059,2,FALSE))</f>
        <v>98</v>
      </c>
      <c r="AE1071" s="139">
        <f t="shared" si="435"/>
        <v>19.425595238095237</v>
      </c>
      <c r="AF1071" s="139">
        <f t="shared" si="436"/>
        <v>20.352678571428573</v>
      </c>
      <c r="AG1071" s="139">
        <f t="shared" si="437"/>
        <v>34.407738095238095</v>
      </c>
      <c r="AH1071" s="139">
        <f t="shared" si="438"/>
        <v>16.348031587342799</v>
      </c>
      <c r="AI1071" s="139">
        <f t="shared" si="439"/>
        <v>6.1086309523809526</v>
      </c>
      <c r="AJ1071" s="139">
        <f t="shared" si="440"/>
        <v>5.2723214285714288</v>
      </c>
      <c r="AK1071" s="139">
        <f t="shared" si="441"/>
        <v>8.1934523809523814</v>
      </c>
      <c r="AL1071" s="139">
        <f t="shared" si="442"/>
        <v>8.2485119047619051</v>
      </c>
      <c r="AM1071" s="139">
        <f t="shared" si="443"/>
        <v>2.4895833333333335</v>
      </c>
      <c r="AN1071" s="139">
        <f t="shared" si="444"/>
        <v>2.9345238095238098</v>
      </c>
      <c r="AO1071" s="139">
        <f t="shared" si="445"/>
        <v>5.8869047619047619</v>
      </c>
      <c r="AP1071" s="139">
        <f t="shared" si="446"/>
        <v>1.1502976190476191</v>
      </c>
      <c r="AQ1071" s="139">
        <f t="shared" si="447"/>
        <v>1.5297619047619049</v>
      </c>
      <c r="AR1071" s="139">
        <f t="shared" si="448"/>
        <v>2.7247023809523809</v>
      </c>
      <c r="AS1071" s="139">
        <f t="shared" si="449"/>
        <v>233.07273396829518</v>
      </c>
      <c r="AT1071" s="139">
        <f t="shared" si="450"/>
        <v>16.665645992147933</v>
      </c>
      <c r="AU1071" s="139">
        <f t="shared" si="451"/>
        <v>249.73837996044313</v>
      </c>
      <c r="AW1071" s="139">
        <f t="shared" si="452"/>
        <v>279.7351114221122</v>
      </c>
      <c r="AX1071" s="139">
        <f t="shared" si="453"/>
        <v>-29.996731461669071</v>
      </c>
    </row>
    <row r="1072" spans="1:50" ht="15.75" customHeight="1" x14ac:dyDescent="0.3">
      <c r="A1072" s="647"/>
      <c r="B1072" s="814" t="s">
        <v>2883</v>
      </c>
      <c r="C1072" s="815"/>
      <c r="D1072" s="815"/>
      <c r="E1072" s="815"/>
      <c r="F1072" s="815"/>
      <c r="G1072" s="815"/>
      <c r="H1072" s="815"/>
      <c r="I1072" s="815"/>
      <c r="J1072" s="815"/>
      <c r="K1072" s="815"/>
      <c r="L1072" s="816"/>
      <c r="M1072" s="817" t="s">
        <v>2884</v>
      </c>
      <c r="N1072" s="815"/>
      <c r="O1072" s="815"/>
      <c r="P1072" s="815"/>
      <c r="Q1072" s="139" t="s">
        <v>2899</v>
      </c>
      <c r="R1072" s="643" t="s">
        <v>2898</v>
      </c>
      <c r="S1072" s="139" t="s">
        <v>3193</v>
      </c>
      <c r="T1072" s="139" t="s">
        <v>2913</v>
      </c>
      <c r="AC1072" t="s">
        <v>2356</v>
      </c>
      <c r="AD1072" s="139">
        <f>SUM(AD1048:AD1071)</f>
        <v>784</v>
      </c>
      <c r="AE1072" s="139">
        <f>SUM(AE1048:AE1071)</f>
        <v>466.21428571428572</v>
      </c>
      <c r="AF1072" s="139">
        <f t="shared" ref="AF1072:AW1072" si="465">SUM(AF1048:AF1071)</f>
        <v>488.46428571428561</v>
      </c>
      <c r="AG1072" s="139">
        <f t="shared" si="465"/>
        <v>825.78571428571399</v>
      </c>
      <c r="AH1072" s="139">
        <f t="shared" si="465"/>
        <v>392.35275809622721</v>
      </c>
      <c r="AI1072" s="139">
        <f t="shared" si="465"/>
        <v>146.60714285714286</v>
      </c>
      <c r="AJ1072" s="139">
        <f t="shared" si="465"/>
        <v>126.53571428571432</v>
      </c>
      <c r="AK1072" s="139">
        <f t="shared" si="465"/>
        <v>196.64285714285714</v>
      </c>
      <c r="AL1072" s="139">
        <f t="shared" si="465"/>
        <v>197.96428571428561</v>
      </c>
      <c r="AM1072" s="139">
        <f t="shared" si="465"/>
        <v>59.750000000000021</v>
      </c>
      <c r="AN1072" s="139">
        <f t="shared" si="465"/>
        <v>70.428571428571431</v>
      </c>
      <c r="AO1072" s="139">
        <f t="shared" si="465"/>
        <v>141.28571428571425</v>
      </c>
      <c r="AP1072" s="139">
        <f t="shared" si="465"/>
        <v>27.607142857142868</v>
      </c>
      <c r="AQ1072" s="139">
        <f t="shared" si="465"/>
        <v>36.714285714285715</v>
      </c>
      <c r="AR1072" s="139">
        <f t="shared" si="465"/>
        <v>65.392857142857125</v>
      </c>
      <c r="AS1072" s="139">
        <f t="shared" si="465"/>
        <v>4025.745615239086</v>
      </c>
      <c r="AT1072" s="139">
        <f t="shared" si="465"/>
        <v>287.85714285714272</v>
      </c>
      <c r="AU1072" s="139">
        <f t="shared" si="465"/>
        <v>4313.6027580962254</v>
      </c>
      <c r="AW1072" s="139">
        <f t="shared" si="465"/>
        <v>6713.6426741306914</v>
      </c>
      <c r="AX1072" s="139">
        <f>SUMIF(AX1048:AX1071,"&gt;0")</f>
        <v>0</v>
      </c>
    </row>
    <row r="1073" spans="1:50" ht="15.75" customHeight="1" thickBot="1" x14ac:dyDescent="0.35">
      <c r="A1073" s="647" t="s">
        <v>249</v>
      </c>
      <c r="B1073" s="658" t="s">
        <v>2890</v>
      </c>
      <c r="C1073" s="659" t="s">
        <v>2886</v>
      </c>
      <c r="D1073" s="659" t="s">
        <v>2885</v>
      </c>
      <c r="E1073" s="659" t="s">
        <v>2914</v>
      </c>
      <c r="F1073" s="659" t="s">
        <v>2886</v>
      </c>
      <c r="G1073" s="659" t="s">
        <v>2885</v>
      </c>
      <c r="H1073" s="659" t="s">
        <v>2915</v>
      </c>
      <c r="I1073" s="659" t="s">
        <v>2886</v>
      </c>
      <c r="J1073" s="659" t="s">
        <v>2885</v>
      </c>
      <c r="K1073" s="659" t="s">
        <v>2915</v>
      </c>
      <c r="L1073" s="660" t="s">
        <v>2897</v>
      </c>
      <c r="M1073" s="658" t="s">
        <v>2893</v>
      </c>
      <c r="N1073" s="659" t="s">
        <v>2886</v>
      </c>
      <c r="O1073" s="659" t="s">
        <v>2886</v>
      </c>
      <c r="P1073" s="660" t="s">
        <v>2897</v>
      </c>
      <c r="Q1073" s="668" t="s">
        <v>2356</v>
      </c>
      <c r="R1073" s="672" t="s">
        <v>2900</v>
      </c>
      <c r="S1073" s="659" t="s">
        <v>3175</v>
      </c>
      <c r="T1073" s="659" t="s">
        <v>3175</v>
      </c>
      <c r="AU1073" s="139"/>
      <c r="AW1073" s="139"/>
      <c r="AX1073" s="139"/>
    </row>
    <row r="1074" spans="1:50" ht="15.75" customHeight="1" thickTop="1" thickBot="1" x14ac:dyDescent="0.35">
      <c r="A1074" s="647"/>
      <c r="B1074" s="661"/>
      <c r="C1074" s="664" t="s">
        <v>2895</v>
      </c>
      <c r="D1074" s="664" t="s">
        <v>2895</v>
      </c>
      <c r="E1074" s="664" t="s">
        <v>2895</v>
      </c>
      <c r="F1074" s="662" t="s">
        <v>2696</v>
      </c>
      <c r="G1074" s="662" t="s">
        <v>2696</v>
      </c>
      <c r="H1074" s="662" t="s">
        <v>2696</v>
      </c>
      <c r="I1074" s="662" t="s">
        <v>2896</v>
      </c>
      <c r="J1074" s="662" t="s">
        <v>2896</v>
      </c>
      <c r="K1074" s="662" t="s">
        <v>2896</v>
      </c>
      <c r="L1074" s="663" t="s">
        <v>2892</v>
      </c>
      <c r="M1074" s="665"/>
      <c r="N1074" s="664" t="s">
        <v>2895</v>
      </c>
      <c r="O1074" s="662" t="s">
        <v>2696</v>
      </c>
      <c r="P1074" s="663" t="s">
        <v>2896</v>
      </c>
      <c r="Q1074" s="668" t="s">
        <v>2896</v>
      </c>
      <c r="R1074" s="672" t="s">
        <v>2896</v>
      </c>
      <c r="S1074" s="662" t="s">
        <v>3192</v>
      </c>
      <c r="T1074" s="662" t="s">
        <v>3192</v>
      </c>
    </row>
    <row r="1075" spans="1:50" ht="15.75" customHeight="1" x14ac:dyDescent="0.3">
      <c r="A1075" s="647" t="s">
        <v>2843</v>
      </c>
      <c r="B1075" s="642">
        <f ca="1">+$B$10-M1075</f>
        <v>27</v>
      </c>
      <c r="C1075" s="656">
        <v>4</v>
      </c>
      <c r="D1075" s="656">
        <v>0</v>
      </c>
      <c r="E1075" s="656" t="s">
        <v>2916</v>
      </c>
      <c r="F1075" s="139">
        <f>+I1075/(24-S1075)</f>
        <v>196</v>
      </c>
      <c r="G1075" s="139">
        <f>+J1075/S1075</f>
        <v>0</v>
      </c>
      <c r="H1075" s="139" t="s">
        <v>2916</v>
      </c>
      <c r="I1075" s="139">
        <f>+C1075*49*(24-S1075)</f>
        <v>3724</v>
      </c>
      <c r="J1075" s="139">
        <f>+D1075*49*S1075</f>
        <v>0</v>
      </c>
      <c r="K1075" s="139" t="s">
        <v>2916</v>
      </c>
      <c r="L1075" s="643">
        <f>+J1075+I1075</f>
        <v>3724</v>
      </c>
      <c r="M1075" s="642">
        <f ca="1">SUMPRODUCT(--(WEEKDAY(ROW(INDIRECT(DATE($B$1069,MonthFromText(A1075),1)&amp;":"&amp;DATE($B$1069,MonthFromText(A1075),$B$10))),1)=1))</f>
        <v>4</v>
      </c>
      <c r="N1075" s="656">
        <v>4</v>
      </c>
      <c r="O1075">
        <f>+P1075/(24-T1075)</f>
        <v>196</v>
      </c>
      <c r="P1075" s="643">
        <f>+N1075*49*(24-T1075)</f>
        <v>3724</v>
      </c>
      <c r="Q1075" s="139">
        <f ca="1">+(L1075*B1075)+(M1075*P1075)</f>
        <v>115444</v>
      </c>
      <c r="R1075" s="643">
        <f ca="1">+Q1075-B968</f>
        <v>29589</v>
      </c>
      <c r="S1075" s="726">
        <v>5</v>
      </c>
      <c r="T1075" s="726">
        <v>5</v>
      </c>
      <c r="AD1075" s="704"/>
      <c r="AE1075" s="703"/>
      <c r="AF1075" s="725" t="s">
        <v>3186</v>
      </c>
      <c r="AG1075" s="720" t="s">
        <v>3183</v>
      </c>
      <c r="AH1075" s="720" t="s">
        <v>3184</v>
      </c>
      <c r="AI1075" s="720" t="s">
        <v>3185</v>
      </c>
      <c r="AJ1075" s="702"/>
    </row>
    <row r="1076" spans="1:50" ht="15.75" customHeight="1" x14ac:dyDescent="0.3">
      <c r="A1076" s="647" t="s">
        <v>2091</v>
      </c>
      <c r="B1076" s="642">
        <f ca="1">+$C$10-M1076</f>
        <v>24</v>
      </c>
      <c r="C1076" s="656">
        <v>2</v>
      </c>
      <c r="D1076" s="656">
        <v>0</v>
      </c>
      <c r="E1076" s="656" t="s">
        <v>2916</v>
      </c>
      <c r="F1076" s="139">
        <f t="shared" ref="F1076:F1086" si="466">+I1076/(24-S1076)</f>
        <v>98</v>
      </c>
      <c r="G1076" s="139">
        <f t="shared" ref="G1076:G1086" si="467">+J1076/S1076</f>
        <v>0</v>
      </c>
      <c r="H1076" s="139" t="s">
        <v>2916</v>
      </c>
      <c r="I1076" s="139">
        <f t="shared" ref="I1076:I1086" si="468">+C1076*49*(24-S1076)</f>
        <v>1862</v>
      </c>
      <c r="J1076" s="139">
        <f t="shared" ref="J1076:J1086" si="469">+D1076*49*S1076</f>
        <v>0</v>
      </c>
      <c r="K1076" s="139" t="s">
        <v>2916</v>
      </c>
      <c r="L1076" s="643">
        <f t="shared" ref="L1076:L1086" si="470">+J1076+I1076</f>
        <v>1862</v>
      </c>
      <c r="M1076" s="642">
        <f ca="1">SUMPRODUCT(--(WEEKDAY(ROW(INDIRECT(DATE($B$1069,MonthFromText(A1076),1)&amp;":"&amp;DATE($B$1069,MonthFromText(A1076),$C$10))),1)=1))</f>
        <v>4</v>
      </c>
      <c r="N1076" s="656">
        <f t="shared" ref="N1076:N1084" si="471">+C1076</f>
        <v>2</v>
      </c>
      <c r="O1076">
        <f t="shared" ref="O1076:O1086" si="472">+P1076/24</f>
        <v>98</v>
      </c>
      <c r="P1076" s="643">
        <f t="shared" ref="P1076:P1086" si="473">+N1076*49*24</f>
        <v>2352</v>
      </c>
      <c r="Q1076" s="139">
        <f ca="1">+(L1076*B1076)+(M1076*P1076)</f>
        <v>54096</v>
      </c>
      <c r="R1076" s="643">
        <f t="shared" ref="R1076:R1086" ca="1" si="474">+Q1076-B969</f>
        <v>-48441</v>
      </c>
      <c r="S1076" s="726">
        <v>5</v>
      </c>
      <c r="T1076" s="726">
        <v>5</v>
      </c>
      <c r="AD1076" s="721" t="s">
        <v>1354</v>
      </c>
      <c r="AE1076" s="723" t="s">
        <v>3176</v>
      </c>
      <c r="AF1076">
        <f>V1048</f>
        <v>252.19623655913978</v>
      </c>
      <c r="AG1076">
        <f>X1048</f>
        <v>12.128602436736161</v>
      </c>
      <c r="AH1076">
        <f>Y1048</f>
        <v>-0.96305171338049111</v>
      </c>
      <c r="AI1076">
        <f>Z1048</f>
        <v>28.262096774193548</v>
      </c>
      <c r="AJ1076" s="712"/>
    </row>
    <row r="1077" spans="1:50" ht="16.5" customHeight="1" x14ac:dyDescent="0.3">
      <c r="A1077" s="647" t="s">
        <v>2234</v>
      </c>
      <c r="B1077" s="642">
        <f ca="1">+$D$10-M1077</f>
        <v>27</v>
      </c>
      <c r="C1077" s="656">
        <v>6</v>
      </c>
      <c r="D1077" s="656">
        <v>0</v>
      </c>
      <c r="E1077" s="656" t="s">
        <v>2916</v>
      </c>
      <c r="F1077" s="139">
        <f t="shared" si="466"/>
        <v>294</v>
      </c>
      <c r="G1077" s="139">
        <f t="shared" si="467"/>
        <v>0</v>
      </c>
      <c r="H1077" s="139" t="s">
        <v>2916</v>
      </c>
      <c r="I1077" s="139">
        <f t="shared" si="468"/>
        <v>5586</v>
      </c>
      <c r="J1077" s="139">
        <f t="shared" si="469"/>
        <v>0</v>
      </c>
      <c r="K1077" s="139" t="s">
        <v>2916</v>
      </c>
      <c r="L1077" s="643">
        <f t="shared" si="470"/>
        <v>5586</v>
      </c>
      <c r="M1077" s="642">
        <f ca="1">SUMPRODUCT(--(WEEKDAY(ROW(INDIRECT(DATE($B$1069,MonthFromText(A1077),1)&amp;":"&amp;DATE($B$1069,MonthFromText(A1077),$D$10))),1)=1))</f>
        <v>4</v>
      </c>
      <c r="N1077" s="656">
        <v>3</v>
      </c>
      <c r="O1077">
        <f t="shared" si="472"/>
        <v>147</v>
      </c>
      <c r="P1077" s="643">
        <f t="shared" si="473"/>
        <v>3528</v>
      </c>
      <c r="Q1077" s="139">
        <f t="shared" ref="Q1077:Q1086" ca="1" si="475">+(L1077*B1077)+(M1077*P1077)</f>
        <v>164934</v>
      </c>
      <c r="R1077" s="643">
        <f t="shared" ca="1" si="474"/>
        <v>33256</v>
      </c>
      <c r="S1077" s="726">
        <v>5</v>
      </c>
      <c r="T1077" s="726">
        <v>5</v>
      </c>
      <c r="AD1077" s="721"/>
      <c r="AE1077" s="723" t="s">
        <v>3175</v>
      </c>
      <c r="AF1077">
        <f>W1048</f>
        <v>56.196236559139777</v>
      </c>
      <c r="AG1077">
        <f>X1048</f>
        <v>12.128602436736161</v>
      </c>
      <c r="AH1077">
        <f>Y1048</f>
        <v>-0.96305171338049111</v>
      </c>
      <c r="AI1077">
        <f>Z1048</f>
        <v>28.262096774193548</v>
      </c>
      <c r="AJ1077" s="712"/>
    </row>
    <row r="1078" spans="1:50" ht="16.5" customHeight="1" x14ac:dyDescent="0.3">
      <c r="A1078" s="647" t="s">
        <v>2235</v>
      </c>
      <c r="B1078" s="642">
        <f ca="1">+$F$10-M1078</f>
        <v>25</v>
      </c>
      <c r="C1078" s="656">
        <v>6</v>
      </c>
      <c r="D1078" s="656">
        <v>0</v>
      </c>
      <c r="E1078" s="656" t="s">
        <v>2916</v>
      </c>
      <c r="F1078" s="139">
        <f t="shared" si="466"/>
        <v>294</v>
      </c>
      <c r="G1078" s="139">
        <f t="shared" si="467"/>
        <v>0</v>
      </c>
      <c r="H1078" s="139" t="s">
        <v>2916</v>
      </c>
      <c r="I1078" s="139">
        <f t="shared" si="468"/>
        <v>5586</v>
      </c>
      <c r="J1078" s="139">
        <f t="shared" si="469"/>
        <v>0</v>
      </c>
      <c r="K1078" s="139" t="s">
        <v>2916</v>
      </c>
      <c r="L1078" s="643">
        <f t="shared" si="470"/>
        <v>5586</v>
      </c>
      <c r="M1078" s="642">
        <f ca="1">SUMPRODUCT(--(WEEKDAY(ROW(INDIRECT(DATE($B$1069,MonthFromText(A1078),1)&amp;":"&amp;DATE($B$1069,MonthFromText(A1078),$F$10))),1)=1))</f>
        <v>5</v>
      </c>
      <c r="N1078" s="656">
        <v>5</v>
      </c>
      <c r="O1078">
        <f t="shared" si="472"/>
        <v>245</v>
      </c>
      <c r="P1078" s="643">
        <f t="shared" si="473"/>
        <v>5880</v>
      </c>
      <c r="Q1078" s="139">
        <f t="shared" ca="1" si="475"/>
        <v>169050</v>
      </c>
      <c r="R1078" s="643">
        <f t="shared" ca="1" si="474"/>
        <v>7649</v>
      </c>
      <c r="S1078" s="726">
        <v>5</v>
      </c>
      <c r="T1078" s="726">
        <v>5</v>
      </c>
      <c r="AD1078" s="721" t="s">
        <v>3178</v>
      </c>
      <c r="AE1078" s="723" t="s">
        <v>852</v>
      </c>
      <c r="AJ1078" s="712"/>
    </row>
    <row r="1079" spans="1:50" ht="15.75" customHeight="1" x14ac:dyDescent="0.3">
      <c r="A1079" s="647" t="s">
        <v>2236</v>
      </c>
      <c r="B1079" s="642">
        <f ca="1">+$G$10-M1079</f>
        <v>27</v>
      </c>
      <c r="C1079" s="656">
        <v>6</v>
      </c>
      <c r="D1079" s="656">
        <v>0</v>
      </c>
      <c r="E1079" s="656" t="s">
        <v>2916</v>
      </c>
      <c r="F1079" s="139">
        <f t="shared" si="466"/>
        <v>294</v>
      </c>
      <c r="G1079" s="139">
        <f t="shared" si="467"/>
        <v>0</v>
      </c>
      <c r="H1079" s="139" t="s">
        <v>2916</v>
      </c>
      <c r="I1079" s="139">
        <f t="shared" si="468"/>
        <v>5586</v>
      </c>
      <c r="J1079" s="139">
        <f t="shared" si="469"/>
        <v>0</v>
      </c>
      <c r="K1079" s="139" t="s">
        <v>2916</v>
      </c>
      <c r="L1079" s="643">
        <f t="shared" si="470"/>
        <v>5586</v>
      </c>
      <c r="M1079" s="642">
        <f ca="1">SUMPRODUCT(--(WEEKDAY(ROW(INDIRECT(DATE($B$1069,MonthFromText(A1079),1)&amp;":"&amp;DATE($B$1069,MonthFromText(A1079),$G$10))),1)=1))</f>
        <v>4</v>
      </c>
      <c r="N1079" s="656">
        <f t="shared" si="471"/>
        <v>6</v>
      </c>
      <c r="O1079">
        <f t="shared" si="472"/>
        <v>294</v>
      </c>
      <c r="P1079" s="643">
        <f t="shared" si="473"/>
        <v>7056</v>
      </c>
      <c r="Q1079" s="139">
        <f t="shared" ca="1" si="475"/>
        <v>179046</v>
      </c>
      <c r="R1079" s="643">
        <f t="shared" ca="1" si="474"/>
        <v>7353</v>
      </c>
      <c r="S1079" s="726">
        <v>5</v>
      </c>
      <c r="T1079" s="726">
        <v>5</v>
      </c>
      <c r="AD1079" s="721" t="s">
        <v>706</v>
      </c>
      <c r="AE1079" s="723" t="s">
        <v>3176</v>
      </c>
      <c r="AF1079">
        <f>V1049</f>
        <v>172.1860119047619</v>
      </c>
      <c r="AG1079">
        <f>X1049</f>
        <v>16.348031587342799</v>
      </c>
      <c r="AH1079">
        <f>Y1049</f>
        <v>-3.2946504826497223</v>
      </c>
      <c r="AI1079">
        <f>Z1049</f>
        <v>44.538690476190474</v>
      </c>
      <c r="AJ1079" s="712"/>
    </row>
    <row r="1080" spans="1:50" ht="15.75" customHeight="1" x14ac:dyDescent="0.3">
      <c r="A1080" s="647" t="s">
        <v>2237</v>
      </c>
      <c r="B1080" s="642">
        <f ca="1">+$H$10-M1080</f>
        <v>26</v>
      </c>
      <c r="C1080" s="656">
        <v>3</v>
      </c>
      <c r="D1080" s="656">
        <v>0</v>
      </c>
      <c r="E1080" s="656">
        <v>0</v>
      </c>
      <c r="F1080" s="139">
        <f t="shared" si="466"/>
        <v>147</v>
      </c>
      <c r="G1080" s="139">
        <f t="shared" si="467"/>
        <v>0</v>
      </c>
      <c r="H1080" s="139" t="s">
        <v>2916</v>
      </c>
      <c r="I1080" s="139">
        <f t="shared" si="468"/>
        <v>2205</v>
      </c>
      <c r="J1080" s="139">
        <f t="shared" si="469"/>
        <v>0</v>
      </c>
      <c r="K1080" s="139" t="s">
        <v>2916</v>
      </c>
      <c r="L1080" s="643">
        <f t="shared" si="470"/>
        <v>2205</v>
      </c>
      <c r="M1080" s="642">
        <f ca="1">SUMPRODUCT(--(WEEKDAY(ROW(INDIRECT(DATE($B$1069,MonthFromText(A1080),1)&amp;":"&amp;DATE($B$1069,MonthFromText(A1080),$H$10))),1)=1))</f>
        <v>4</v>
      </c>
      <c r="N1080" s="656">
        <f t="shared" si="471"/>
        <v>3</v>
      </c>
      <c r="O1080">
        <f t="shared" si="472"/>
        <v>147</v>
      </c>
      <c r="P1080" s="643">
        <f t="shared" si="473"/>
        <v>3528</v>
      </c>
      <c r="Q1080" s="139">
        <f ca="1">+(L1080*B1080)+(M1080*P1080)</f>
        <v>71442</v>
      </c>
      <c r="R1080" s="643">
        <f t="shared" ca="1" si="474"/>
        <v>-16674</v>
      </c>
      <c r="S1080" s="726">
        <v>9</v>
      </c>
      <c r="T1080" s="726">
        <v>9</v>
      </c>
      <c r="AD1080" s="721"/>
      <c r="AE1080" s="723" t="s">
        <v>3175</v>
      </c>
      <c r="AF1080">
        <f>W1049</f>
        <v>74.186011904761898</v>
      </c>
      <c r="AG1080">
        <f>X1049</f>
        <v>16.348031587342799</v>
      </c>
      <c r="AH1080">
        <f>Y1049</f>
        <v>-3.2946504826497223</v>
      </c>
      <c r="AI1080">
        <f>Z1049</f>
        <v>44.538690476190474</v>
      </c>
      <c r="AJ1080" s="712"/>
    </row>
    <row r="1081" spans="1:50" ht="15.75" customHeight="1" x14ac:dyDescent="0.3">
      <c r="A1081" s="647" t="s">
        <v>1504</v>
      </c>
      <c r="B1081" s="642">
        <f ca="1">+$J$10-M1081</f>
        <v>26</v>
      </c>
      <c r="C1081" s="656">
        <v>3</v>
      </c>
      <c r="D1081" s="656">
        <v>0</v>
      </c>
      <c r="E1081" s="656">
        <v>0</v>
      </c>
      <c r="F1081" s="139">
        <f t="shared" si="466"/>
        <v>147</v>
      </c>
      <c r="G1081" s="139">
        <f t="shared" si="467"/>
        <v>0</v>
      </c>
      <c r="H1081" s="139" t="s">
        <v>2916</v>
      </c>
      <c r="I1081" s="139">
        <f t="shared" si="468"/>
        <v>2205</v>
      </c>
      <c r="J1081" s="139">
        <f t="shared" si="469"/>
        <v>0</v>
      </c>
      <c r="K1081" s="139" t="s">
        <v>2916</v>
      </c>
      <c r="L1081" s="643">
        <f t="shared" si="470"/>
        <v>2205</v>
      </c>
      <c r="M1081" s="642">
        <f ca="1">SUMPRODUCT(--(WEEKDAY(ROW(INDIRECT(DATE($B$1069,MonthFromText(A1081),1)&amp;":"&amp;DATE($B$1069,MonthFromText(A1081),$J$10))),1)=1))</f>
        <v>5</v>
      </c>
      <c r="N1081" s="656">
        <f t="shared" si="471"/>
        <v>3</v>
      </c>
      <c r="O1081">
        <f t="shared" si="472"/>
        <v>147</v>
      </c>
      <c r="P1081" s="643">
        <f t="shared" si="473"/>
        <v>3528</v>
      </c>
      <c r="Q1081" s="139">
        <f t="shared" ca="1" si="475"/>
        <v>74970</v>
      </c>
      <c r="R1081" s="643">
        <f t="shared" ca="1" si="474"/>
        <v>-351</v>
      </c>
      <c r="S1081" s="726">
        <v>9</v>
      </c>
      <c r="T1081" s="726">
        <v>9</v>
      </c>
      <c r="AD1081" s="721" t="s">
        <v>3178</v>
      </c>
      <c r="AE1081" s="723" t="s">
        <v>852</v>
      </c>
      <c r="AJ1081" s="712"/>
    </row>
    <row r="1082" spans="1:50" ht="15.75" customHeight="1" x14ac:dyDescent="0.3">
      <c r="A1082" s="647" t="s">
        <v>1505</v>
      </c>
      <c r="B1082" s="642">
        <f ca="1">+$K$10-M1082</f>
        <v>27</v>
      </c>
      <c r="C1082" s="656">
        <v>3</v>
      </c>
      <c r="D1082" s="656">
        <v>0</v>
      </c>
      <c r="E1082" s="656">
        <v>0</v>
      </c>
      <c r="F1082" s="139">
        <f t="shared" si="466"/>
        <v>147</v>
      </c>
      <c r="G1082" s="139">
        <f t="shared" si="467"/>
        <v>0</v>
      </c>
      <c r="H1082" s="139" t="s">
        <v>2916</v>
      </c>
      <c r="I1082" s="139">
        <f t="shared" si="468"/>
        <v>2205</v>
      </c>
      <c r="J1082" s="139">
        <f t="shared" si="469"/>
        <v>0</v>
      </c>
      <c r="K1082" s="139" t="s">
        <v>2916</v>
      </c>
      <c r="L1082" s="643">
        <f t="shared" si="470"/>
        <v>2205</v>
      </c>
      <c r="M1082" s="642">
        <f ca="1">SUMPRODUCT(--(WEEKDAY(ROW(INDIRECT(DATE($B$1069,MonthFromText(A1082),1)&amp;":"&amp;DATE($B$1069,MonthFromText(A1082),$K$10))),1)=1))</f>
        <v>4</v>
      </c>
      <c r="N1082" s="656">
        <f t="shared" si="471"/>
        <v>3</v>
      </c>
      <c r="O1082">
        <f t="shared" si="472"/>
        <v>147</v>
      </c>
      <c r="P1082" s="643">
        <f t="shared" si="473"/>
        <v>3528</v>
      </c>
      <c r="Q1082" s="139">
        <f t="shared" ca="1" si="475"/>
        <v>73647</v>
      </c>
      <c r="R1082" s="643">
        <f t="shared" ca="1" si="474"/>
        <v>46506</v>
      </c>
      <c r="S1082" s="726">
        <v>9</v>
      </c>
      <c r="T1082" s="726">
        <v>9</v>
      </c>
      <c r="AD1082" s="721" t="s">
        <v>707</v>
      </c>
      <c r="AE1082" s="723" t="s">
        <v>3176</v>
      </c>
      <c r="AF1082">
        <f>V1050</f>
        <v>379.48252688172045</v>
      </c>
      <c r="AG1082">
        <f>X1050</f>
        <v>13.773432646055825</v>
      </c>
      <c r="AH1082">
        <f>Y1050</f>
        <v>-4.1077940864951925</v>
      </c>
      <c r="AI1082">
        <f>Z1050</f>
        <v>53.040322580645167</v>
      </c>
      <c r="AJ1082" s="712"/>
    </row>
    <row r="1083" spans="1:50" ht="15.75" customHeight="1" x14ac:dyDescent="0.3">
      <c r="A1083" s="647" t="s">
        <v>1506</v>
      </c>
      <c r="B1083" s="642">
        <f ca="1">+$L$10-M1083</f>
        <v>25</v>
      </c>
      <c r="C1083" s="656">
        <v>5</v>
      </c>
      <c r="D1083" s="656">
        <v>0</v>
      </c>
      <c r="E1083" s="656" t="s">
        <v>2916</v>
      </c>
      <c r="F1083" s="139">
        <f t="shared" si="466"/>
        <v>245</v>
      </c>
      <c r="G1083" s="139">
        <f t="shared" si="467"/>
        <v>0</v>
      </c>
      <c r="H1083" s="139" t="s">
        <v>2916</v>
      </c>
      <c r="I1083" s="139">
        <f t="shared" si="468"/>
        <v>4410</v>
      </c>
      <c r="J1083" s="139">
        <f t="shared" si="469"/>
        <v>0</v>
      </c>
      <c r="K1083" s="139" t="s">
        <v>2916</v>
      </c>
      <c r="L1083" s="643">
        <f t="shared" si="470"/>
        <v>4410</v>
      </c>
      <c r="M1083" s="642">
        <f ca="1">SUMPRODUCT(--(WEEKDAY(ROW(INDIRECT(DATE($B$1069,MonthFromText(A1083),1)&amp;":"&amp;DATE($B$1069,MonthFromText(A1083),$L$10))),1)=1))</f>
        <v>5</v>
      </c>
      <c r="N1083" s="656">
        <f t="shared" si="471"/>
        <v>5</v>
      </c>
      <c r="O1083">
        <f t="shared" si="472"/>
        <v>245</v>
      </c>
      <c r="P1083" s="643">
        <f t="shared" si="473"/>
        <v>5880</v>
      </c>
      <c r="Q1083" s="139">
        <f t="shared" ca="1" si="475"/>
        <v>139650</v>
      </c>
      <c r="R1083" s="643">
        <f t="shared" ca="1" si="474"/>
        <v>-18519</v>
      </c>
      <c r="S1083" s="726">
        <v>6</v>
      </c>
      <c r="T1083" s="726">
        <v>4</v>
      </c>
      <c r="AD1083" s="721"/>
      <c r="AE1083" s="723" t="s">
        <v>3175</v>
      </c>
      <c r="AF1083">
        <f>W1050</f>
        <v>85.482526881720418</v>
      </c>
      <c r="AG1083">
        <f>X1050</f>
        <v>13.773432646055825</v>
      </c>
      <c r="AH1083">
        <f>Y1050</f>
        <v>-4.1077940864951925</v>
      </c>
      <c r="AI1083">
        <f>Z1050</f>
        <v>53.040322580645167</v>
      </c>
      <c r="AJ1083" s="712"/>
    </row>
    <row r="1084" spans="1:50" ht="15.75" customHeight="1" x14ac:dyDescent="0.3">
      <c r="A1084" s="647" t="s">
        <v>1507</v>
      </c>
      <c r="B1084" s="642">
        <f ca="1">+$N$10-M1084</f>
        <v>27</v>
      </c>
      <c r="C1084" s="656">
        <v>5</v>
      </c>
      <c r="D1084" s="656">
        <v>0</v>
      </c>
      <c r="E1084" s="656" t="s">
        <v>2916</v>
      </c>
      <c r="F1084" s="139">
        <f t="shared" si="466"/>
        <v>245</v>
      </c>
      <c r="G1084" s="139">
        <f t="shared" si="467"/>
        <v>0</v>
      </c>
      <c r="H1084" s="139" t="s">
        <v>2916</v>
      </c>
      <c r="I1084" s="139">
        <f t="shared" si="468"/>
        <v>4410</v>
      </c>
      <c r="J1084" s="139">
        <f t="shared" si="469"/>
        <v>0</v>
      </c>
      <c r="K1084" s="139" t="s">
        <v>2916</v>
      </c>
      <c r="L1084" s="643">
        <f t="shared" si="470"/>
        <v>4410</v>
      </c>
      <c r="M1084" s="642">
        <f ca="1">SUMPRODUCT(--(WEEKDAY(ROW(INDIRECT(DATE($B$1069,MonthFromText(A1084),1)&amp;":"&amp;DATE($B$1069,MonthFromText(A1084),$N$10))),1)=1))</f>
        <v>4</v>
      </c>
      <c r="N1084" s="656">
        <f t="shared" si="471"/>
        <v>5</v>
      </c>
      <c r="O1084">
        <f t="shared" si="472"/>
        <v>245</v>
      </c>
      <c r="P1084" s="643">
        <f t="shared" si="473"/>
        <v>5880</v>
      </c>
      <c r="Q1084" s="139">
        <f t="shared" ca="1" si="475"/>
        <v>142590</v>
      </c>
      <c r="R1084" s="643">
        <f t="shared" ca="1" si="474"/>
        <v>-25074</v>
      </c>
      <c r="S1084" s="726">
        <v>6</v>
      </c>
      <c r="T1084" s="726">
        <v>4</v>
      </c>
      <c r="AD1084" s="721" t="s">
        <v>3178</v>
      </c>
      <c r="AE1084" s="723" t="s">
        <v>852</v>
      </c>
      <c r="AJ1084" s="712"/>
    </row>
    <row r="1085" spans="1:50" ht="15.75" customHeight="1" x14ac:dyDescent="0.3">
      <c r="A1085" s="647" t="s">
        <v>1508</v>
      </c>
      <c r="B1085" s="642">
        <f ca="1">+$O$10-M1085</f>
        <v>26</v>
      </c>
      <c r="C1085" s="656">
        <v>5</v>
      </c>
      <c r="D1085" s="656">
        <v>0</v>
      </c>
      <c r="E1085" s="656" t="s">
        <v>2916</v>
      </c>
      <c r="F1085" s="139">
        <f t="shared" si="466"/>
        <v>245</v>
      </c>
      <c r="G1085" s="139">
        <f t="shared" si="467"/>
        <v>0</v>
      </c>
      <c r="H1085" s="139" t="s">
        <v>2916</v>
      </c>
      <c r="I1085" s="139">
        <f t="shared" si="468"/>
        <v>4410</v>
      </c>
      <c r="J1085" s="139">
        <f t="shared" si="469"/>
        <v>0</v>
      </c>
      <c r="K1085" s="139" t="s">
        <v>2916</v>
      </c>
      <c r="L1085" s="643">
        <f t="shared" si="470"/>
        <v>4410</v>
      </c>
      <c r="M1085" s="642">
        <f ca="1">SUMPRODUCT(--(WEEKDAY(ROW(INDIRECT(DATE($B$1069,MonthFromText(A1085),1)&amp;":"&amp;DATE($B$1069,MonthFromText(A1085),$O$10))),1)=1))</f>
        <v>4</v>
      </c>
      <c r="N1085" s="656">
        <v>3</v>
      </c>
      <c r="O1085">
        <f t="shared" si="472"/>
        <v>147</v>
      </c>
      <c r="P1085" s="643">
        <f t="shared" si="473"/>
        <v>3528</v>
      </c>
      <c r="Q1085" s="139">
        <f t="shared" ca="1" si="475"/>
        <v>128772</v>
      </c>
      <c r="R1085" s="643">
        <f t="shared" ca="1" si="474"/>
        <v>-35089</v>
      </c>
      <c r="S1085" s="726">
        <v>6</v>
      </c>
      <c r="T1085" s="726">
        <v>4</v>
      </c>
      <c r="AD1085" s="721" t="s">
        <v>1321</v>
      </c>
      <c r="AE1085" s="723" t="s">
        <v>3176</v>
      </c>
      <c r="AF1085">
        <f>V1051</f>
        <v>401.72638888888889</v>
      </c>
      <c r="AG1085">
        <f>X1051</f>
        <v>3.1791008287890636</v>
      </c>
      <c r="AH1085">
        <f>Y1051</f>
        <v>-1.4810566440592829</v>
      </c>
      <c r="AI1085">
        <f>Z1051</f>
        <v>68.540277777777774</v>
      </c>
      <c r="AJ1085" s="712"/>
    </row>
    <row r="1086" spans="1:50" ht="15.75" customHeight="1" thickBot="1" x14ac:dyDescent="0.35">
      <c r="A1086" s="647" t="s">
        <v>1509</v>
      </c>
      <c r="B1086" s="644">
        <f ca="1">+$P$10-M1086</f>
        <v>26</v>
      </c>
      <c r="C1086" s="657">
        <v>5</v>
      </c>
      <c r="D1086" s="657">
        <v>0</v>
      </c>
      <c r="E1086" s="656" t="s">
        <v>2916</v>
      </c>
      <c r="F1086" s="139">
        <f t="shared" si="466"/>
        <v>245</v>
      </c>
      <c r="G1086" s="139">
        <f t="shared" si="467"/>
        <v>0</v>
      </c>
      <c r="H1086" s="139" t="s">
        <v>2916</v>
      </c>
      <c r="I1086" s="139">
        <f t="shared" si="468"/>
        <v>4410</v>
      </c>
      <c r="J1086" s="139">
        <f t="shared" si="469"/>
        <v>0</v>
      </c>
      <c r="K1086" s="139" t="s">
        <v>2916</v>
      </c>
      <c r="L1086" s="643">
        <f t="shared" si="470"/>
        <v>4410</v>
      </c>
      <c r="M1086" s="644">
        <f ca="1">SUMPRODUCT(--(WEEKDAY(ROW(INDIRECT(DATE($B$1069,MonthFromText(A1086),1)&amp;":"&amp;DATE($B$1069,MonthFromText(A1086),$P$10))),1)=1))</f>
        <v>5</v>
      </c>
      <c r="N1086" s="656">
        <v>3</v>
      </c>
      <c r="O1086" s="581">
        <f t="shared" si="472"/>
        <v>147</v>
      </c>
      <c r="P1086" s="646">
        <f t="shared" si="473"/>
        <v>3528</v>
      </c>
      <c r="Q1086" s="666">
        <f t="shared" ca="1" si="475"/>
        <v>132300</v>
      </c>
      <c r="R1086" s="673">
        <f t="shared" ca="1" si="474"/>
        <v>-4019</v>
      </c>
      <c r="S1086" s="726">
        <v>6</v>
      </c>
      <c r="T1086" s="726">
        <v>4</v>
      </c>
      <c r="AD1086" s="721"/>
      <c r="AE1086" s="723" t="s">
        <v>3175</v>
      </c>
      <c r="AF1086">
        <f>W1051</f>
        <v>107.72638888888889</v>
      </c>
      <c r="AG1086">
        <f>X1051</f>
        <v>3.1791008287890636</v>
      </c>
      <c r="AH1086">
        <f>Y1051</f>
        <v>-1.4810566440592829</v>
      </c>
      <c r="AI1086">
        <f>Z1051</f>
        <v>68.540277777777774</v>
      </c>
      <c r="AJ1086" s="712"/>
    </row>
    <row r="1087" spans="1:50" ht="15.75" customHeight="1" thickBot="1" x14ac:dyDescent="0.35">
      <c r="A1087" s="580"/>
      <c r="B1087" s="581"/>
      <c r="C1087" s="581"/>
      <c r="D1087" s="581"/>
      <c r="E1087" s="674"/>
      <c r="F1087" s="674"/>
      <c r="G1087" s="674"/>
      <c r="H1087" s="674"/>
      <c r="I1087" s="674"/>
      <c r="J1087" s="674"/>
      <c r="K1087" s="674"/>
      <c r="L1087" s="674"/>
      <c r="M1087" s="581"/>
      <c r="N1087" s="581"/>
      <c r="O1087" s="581"/>
      <c r="P1087" s="581"/>
      <c r="Q1087" s="645">
        <f ca="1">+SUM(Q1075:Q1086)</f>
        <v>1445941</v>
      </c>
      <c r="R1087" s="646">
        <f ca="1">+Q1087-B981</f>
        <v>-23814</v>
      </c>
      <c r="AD1087" s="721" t="s">
        <v>3178</v>
      </c>
      <c r="AE1087" s="723" t="s">
        <v>852</v>
      </c>
      <c r="AJ1087" s="712"/>
    </row>
    <row r="1088" spans="1:50" ht="15.75" customHeight="1" x14ac:dyDescent="0.3">
      <c r="A1088" s="641" t="s">
        <v>2891</v>
      </c>
      <c r="J1088" s="139"/>
      <c r="AD1088" s="721" t="s">
        <v>1905</v>
      </c>
      <c r="AE1088" s="723" t="s">
        <v>3176</v>
      </c>
      <c r="AF1088">
        <f>V1052</f>
        <v>404.71102150537632</v>
      </c>
      <c r="AG1088">
        <f>X1052</f>
        <v>1.2010636114624602</v>
      </c>
      <c r="AH1088">
        <f>Y1052</f>
        <v>-1.0382374342643668</v>
      </c>
      <c r="AI1088">
        <f>Z1052</f>
        <v>66.646505376344095</v>
      </c>
      <c r="AJ1088" s="712"/>
    </row>
    <row r="1089" spans="1:36" ht="15.75" customHeight="1" x14ac:dyDescent="0.3">
      <c r="A1089" s="641" t="s">
        <v>2894</v>
      </c>
      <c r="AD1089" s="721"/>
      <c r="AE1089" s="723" t="s">
        <v>3175</v>
      </c>
      <c r="AF1089">
        <f>W1052</f>
        <v>110.71102150537634</v>
      </c>
      <c r="AG1089">
        <f>X1052</f>
        <v>1.2010636114624602</v>
      </c>
      <c r="AH1089">
        <f>Y1052</f>
        <v>-1.0382374342643668</v>
      </c>
      <c r="AI1089">
        <f>Z1052</f>
        <v>66.646505376344095</v>
      </c>
      <c r="AJ1089" s="712"/>
    </row>
    <row r="1090" spans="1:36" ht="15.75" customHeight="1" x14ac:dyDescent="0.3">
      <c r="A1090" s="641" t="s">
        <v>2901</v>
      </c>
      <c r="AD1090" s="721" t="s">
        <v>3178</v>
      </c>
      <c r="AE1090" s="723" t="s">
        <v>852</v>
      </c>
      <c r="AJ1090" s="712"/>
    </row>
    <row r="1091" spans="1:36" ht="15.75" customHeight="1" x14ac:dyDescent="0.3">
      <c r="AD1091" s="721" t="s">
        <v>1906</v>
      </c>
      <c r="AE1091" s="723" t="s">
        <v>3176</v>
      </c>
      <c r="AF1091">
        <f>V1053</f>
        <v>204.40833333333333</v>
      </c>
      <c r="AG1091">
        <f>X1053</f>
        <v>0</v>
      </c>
      <c r="AH1091">
        <f>Y1053</f>
        <v>-21.140918529682661</v>
      </c>
      <c r="AI1091">
        <f>Z1053</f>
        <v>66.05972222222222</v>
      </c>
      <c r="AJ1091" s="712"/>
    </row>
    <row r="1092" spans="1:36" ht="15.75" customHeight="1" x14ac:dyDescent="0.3">
      <c r="A1092" t="s">
        <v>3191</v>
      </c>
      <c r="AD1092" s="721"/>
      <c r="AE1092" s="723" t="s">
        <v>3175</v>
      </c>
      <c r="AF1092">
        <f>W1053</f>
        <v>57.408333333333331</v>
      </c>
      <c r="AG1092">
        <f>X1053</f>
        <v>0</v>
      </c>
      <c r="AH1092">
        <f>Y1053</f>
        <v>-21.140918529682661</v>
      </c>
      <c r="AI1092">
        <f>Z1053</f>
        <v>66.05972222222222</v>
      </c>
      <c r="AJ1092" s="712"/>
    </row>
    <row r="1093" spans="1:36" ht="15.75" customHeight="1" x14ac:dyDescent="0.3">
      <c r="AD1093" s="721" t="s">
        <v>3178</v>
      </c>
      <c r="AE1093" s="723" t="s">
        <v>852</v>
      </c>
      <c r="AJ1093" s="712"/>
    </row>
    <row r="1094" spans="1:36" ht="15.75" customHeight="1" x14ac:dyDescent="0.3">
      <c r="AD1094" s="721" t="s">
        <v>1907</v>
      </c>
      <c r="AE1094" s="723" t="s">
        <v>3176</v>
      </c>
      <c r="AF1094">
        <f>V1054</f>
        <v>194.13575268817203</v>
      </c>
      <c r="AG1094">
        <f>X1054</f>
        <v>0</v>
      </c>
      <c r="AH1094">
        <f>Y1054</f>
        <v>-19.133547050100876</v>
      </c>
      <c r="AI1094">
        <f>Z1054</f>
        <v>63.869623655913983</v>
      </c>
      <c r="AJ1094" s="712"/>
    </row>
    <row r="1095" spans="1:36" ht="16.5" customHeight="1" x14ac:dyDescent="0.3">
      <c r="AD1095" s="721"/>
      <c r="AE1095" s="723" t="s">
        <v>3175</v>
      </c>
      <c r="AF1095">
        <f>W1054</f>
        <v>47.13575268817204</v>
      </c>
      <c r="AG1095">
        <f>X1054</f>
        <v>0</v>
      </c>
      <c r="AH1095">
        <f>Y1054</f>
        <v>-19.133547050100876</v>
      </c>
      <c r="AI1095">
        <f>Z1054</f>
        <v>63.869623655913983</v>
      </c>
      <c r="AJ1095" s="712"/>
    </row>
    <row r="1096" spans="1:36" ht="15.75" customHeight="1" x14ac:dyDescent="0.3">
      <c r="AD1096" s="721" t="s">
        <v>3178</v>
      </c>
      <c r="AE1096" s="723" t="s">
        <v>852</v>
      </c>
      <c r="AJ1096" s="712"/>
    </row>
    <row r="1097" spans="1:36" ht="16.5" customHeight="1" x14ac:dyDescent="0.3">
      <c r="AD1097" s="721" t="s">
        <v>1908</v>
      </c>
      <c r="AE1097" s="723" t="s">
        <v>3176</v>
      </c>
      <c r="AF1097">
        <f>V1055</f>
        <v>162.3991935483871</v>
      </c>
      <c r="AG1097">
        <f>X1055</f>
        <v>0</v>
      </c>
      <c r="AH1097">
        <f>Y1055</f>
        <v>-19.959569540071353</v>
      </c>
      <c r="AI1097">
        <f>Z1055</f>
        <v>67.284946236559136</v>
      </c>
      <c r="AJ1097" s="712"/>
    </row>
    <row r="1098" spans="1:36" ht="15.75" customHeight="1" x14ac:dyDescent="0.3">
      <c r="AD1098" s="721"/>
      <c r="AE1098" s="723" t="s">
        <v>3175</v>
      </c>
      <c r="AF1098">
        <f>W1055</f>
        <v>15.399193548387096</v>
      </c>
      <c r="AG1098">
        <f>X1055</f>
        <v>0</v>
      </c>
      <c r="AH1098">
        <f>Y1055</f>
        <v>-19.959569540071353</v>
      </c>
      <c r="AI1098">
        <f>Z1055</f>
        <v>67.284946236559136</v>
      </c>
      <c r="AJ1098" s="712"/>
    </row>
    <row r="1099" spans="1:36" ht="15.75" customHeight="1" x14ac:dyDescent="0.3">
      <c r="AD1099" s="721" t="s">
        <v>3178</v>
      </c>
      <c r="AE1099" s="723" t="s">
        <v>852</v>
      </c>
      <c r="AJ1099" s="712"/>
    </row>
    <row r="1100" spans="1:36" ht="15.75" customHeight="1" x14ac:dyDescent="0.3">
      <c r="AD1100" s="721" t="s">
        <v>3177</v>
      </c>
      <c r="AE1100" s="723" t="s">
        <v>3176</v>
      </c>
      <c r="AF1100">
        <f>V1056</f>
        <v>350.79722222222222</v>
      </c>
      <c r="AG1100">
        <f>X1056</f>
        <v>4.2505024406577467</v>
      </c>
      <c r="AH1100">
        <f>Y1056</f>
        <v>-1.1127604528758424</v>
      </c>
      <c r="AI1100">
        <f>Z1056</f>
        <v>57.140277777777776</v>
      </c>
      <c r="AJ1100" s="712"/>
    </row>
    <row r="1101" spans="1:36" ht="15.75" customHeight="1" x14ac:dyDescent="0.3">
      <c r="AD1101" s="721"/>
      <c r="AE1101" s="723" t="s">
        <v>3175</v>
      </c>
      <c r="AF1101">
        <f>W1056</f>
        <v>105.79722222222222</v>
      </c>
      <c r="AG1101">
        <f>X1056</f>
        <v>4.2505024406577467</v>
      </c>
      <c r="AH1101">
        <f>Y1056</f>
        <v>-1.1127604528758424</v>
      </c>
      <c r="AI1101">
        <f>Z1056</f>
        <v>57.140277777777776</v>
      </c>
      <c r="AJ1101" s="712"/>
    </row>
    <row r="1102" spans="1:36" ht="15.75" customHeight="1" x14ac:dyDescent="0.3">
      <c r="I1102" s="139"/>
      <c r="J1102" s="139"/>
      <c r="AD1102" s="721" t="s">
        <v>3178</v>
      </c>
      <c r="AE1102" s="723" t="s">
        <v>852</v>
      </c>
      <c r="AJ1102" s="712"/>
    </row>
    <row r="1103" spans="1:36" ht="15.75" customHeight="1" x14ac:dyDescent="0.3">
      <c r="AD1103" s="721" t="s">
        <v>2353</v>
      </c>
      <c r="AE1103" s="723" t="s">
        <v>3176</v>
      </c>
      <c r="AF1103">
        <f>V1057</f>
        <v>354.83467741935488</v>
      </c>
      <c r="AG1103">
        <f>X1057</f>
        <v>22.837978963710039</v>
      </c>
      <c r="AH1103">
        <f>Y1057</f>
        <v>0</v>
      </c>
      <c r="AI1103">
        <f>Z1057</f>
        <v>26.626344086021508</v>
      </c>
      <c r="AJ1103" s="712"/>
    </row>
    <row r="1104" spans="1:36" ht="15.75" customHeight="1" x14ac:dyDescent="0.3">
      <c r="AD1104" s="721"/>
      <c r="AE1104" s="723" t="s">
        <v>3175</v>
      </c>
      <c r="AF1104">
        <f>W1057</f>
        <v>109.83467741935485</v>
      </c>
      <c r="AG1104">
        <f>X1057</f>
        <v>22.837978963710039</v>
      </c>
      <c r="AH1104">
        <f>Y1057</f>
        <v>0</v>
      </c>
      <c r="AI1104">
        <f>Z1057</f>
        <v>26.626344086021508</v>
      </c>
      <c r="AJ1104" s="712"/>
    </row>
    <row r="1105" spans="1:36" ht="15.75" customHeight="1" x14ac:dyDescent="0.3">
      <c r="AD1105" s="721" t="s">
        <v>3178</v>
      </c>
      <c r="AE1105" s="723" t="s">
        <v>852</v>
      </c>
      <c r="AJ1105" s="712"/>
    </row>
    <row r="1106" spans="1:36" ht="15.75" customHeight="1" x14ac:dyDescent="0.3">
      <c r="AD1106" s="721" t="s">
        <v>2354</v>
      </c>
      <c r="AE1106" s="723" t="s">
        <v>3176</v>
      </c>
      <c r="AF1106">
        <f>V1058</f>
        <v>355.33472222222224</v>
      </c>
      <c r="AG1106">
        <f>X1058</f>
        <v>21.279188738855712</v>
      </c>
      <c r="AH1106">
        <f>Y1058</f>
        <v>-1.8623000921041591E-2</v>
      </c>
      <c r="AI1106">
        <f>Z1058</f>
        <v>16.7</v>
      </c>
      <c r="AJ1106" s="712"/>
    </row>
    <row r="1107" spans="1:36" ht="15.75" customHeight="1" x14ac:dyDescent="0.3">
      <c r="AD1107" s="721"/>
      <c r="AE1107" s="723" t="s">
        <v>3175</v>
      </c>
      <c r="AF1107">
        <f>W1058</f>
        <v>110.33472222222221</v>
      </c>
      <c r="AG1107">
        <f>X1058</f>
        <v>21.279188738855712</v>
      </c>
      <c r="AH1107">
        <f>Y1058</f>
        <v>-1.8623000921041591E-2</v>
      </c>
      <c r="AI1107">
        <f>Z1058</f>
        <v>16.7</v>
      </c>
      <c r="AJ1107" s="712"/>
    </row>
    <row r="1108" spans="1:36" ht="15.75" customHeight="1" x14ac:dyDescent="0.3">
      <c r="AD1108" s="721" t="s">
        <v>3178</v>
      </c>
      <c r="AE1108" s="723" t="s">
        <v>852</v>
      </c>
      <c r="AJ1108" s="712"/>
    </row>
    <row r="1109" spans="1:36" ht="15.75" customHeight="1" thickBot="1" x14ac:dyDescent="0.35">
      <c r="AD1109" s="721" t="s">
        <v>2355</v>
      </c>
      <c r="AE1109" s="723" t="s">
        <v>3176</v>
      </c>
      <c r="AF1109">
        <f>V1059</f>
        <v>333.93010752688173</v>
      </c>
      <c r="AG1109">
        <f>X1059</f>
        <v>21.132657126109862</v>
      </c>
      <c r="AH1109">
        <f>Y1059</f>
        <v>0</v>
      </c>
      <c r="AI1109">
        <f>Z1059</f>
        <v>14.760752688172044</v>
      </c>
      <c r="AJ1109" s="712"/>
    </row>
    <row r="1110" spans="1:36" ht="15.75" customHeight="1" x14ac:dyDescent="0.35">
      <c r="A1110" s="546"/>
      <c r="B1110" s="547"/>
      <c r="C1110" s="566"/>
      <c r="D1110" s="566"/>
      <c r="E1110" s="566"/>
      <c r="F1110" s="566"/>
      <c r="G1110" s="566"/>
      <c r="H1110" s="549" t="s">
        <v>1623</v>
      </c>
      <c r="I1110" s="547"/>
      <c r="J1110" s="547"/>
      <c r="K1110" s="547"/>
      <c r="L1110" s="547"/>
      <c r="M1110" s="547"/>
      <c r="N1110" s="547"/>
      <c r="O1110" s="547"/>
      <c r="P1110" s="547"/>
      <c r="Q1110" s="678" t="str">
        <f>+Q1</f>
        <v xml:space="preserve">PRINTED:  </v>
      </c>
      <c r="R1110" s="682">
        <f ca="1">+R1</f>
        <v>44881.729634027775</v>
      </c>
      <c r="S1110" s="560"/>
      <c r="AD1110" s="721"/>
      <c r="AE1110" s="723" t="s">
        <v>3175</v>
      </c>
      <c r="AF1110">
        <f>W1059</f>
        <v>88.930107526881727</v>
      </c>
      <c r="AG1110">
        <f>X1059</f>
        <v>21.132657126109862</v>
      </c>
      <c r="AH1110">
        <f>Y1059</f>
        <v>0</v>
      </c>
      <c r="AI1110">
        <f>Z1059</f>
        <v>14.760752688172044</v>
      </c>
      <c r="AJ1110" s="712"/>
    </row>
    <row r="1111" spans="1:36" ht="15.75" customHeight="1" thickBot="1" x14ac:dyDescent="0.4">
      <c r="A1111" s="551"/>
      <c r="B1111" s="67"/>
      <c r="C1111" s="215"/>
      <c r="D1111" s="215"/>
      <c r="E1111" s="215"/>
      <c r="F1111" s="215"/>
      <c r="G1111" s="215"/>
      <c r="H1111" s="67" t="s">
        <v>2435</v>
      </c>
      <c r="I1111" s="67" t="s">
        <v>852</v>
      </c>
      <c r="J1111" s="69" t="str">
        <f>+A8</f>
        <v>Revised:  3/2/2019</v>
      </c>
      <c r="K1111" s="67"/>
      <c r="L1111" s="67"/>
      <c r="M1111" s="67"/>
      <c r="N1111" s="67"/>
      <c r="O1111" s="67"/>
      <c r="P1111" s="67"/>
      <c r="Q1111" s="67"/>
      <c r="R1111" s="67"/>
      <c r="S1111" s="561"/>
      <c r="AD1111" s="722" t="s">
        <v>3178</v>
      </c>
      <c r="AE1111" s="724" t="s">
        <v>852</v>
      </c>
      <c r="AF1111" s="581"/>
      <c r="AG1111" s="581"/>
      <c r="AH1111" s="581"/>
      <c r="AI1111" s="581"/>
      <c r="AJ1111" s="565"/>
    </row>
    <row r="1112" spans="1:36" ht="15.75" customHeight="1" x14ac:dyDescent="0.35">
      <c r="A1112" s="551"/>
      <c r="B1112" s="67"/>
      <c r="C1112" s="215"/>
      <c r="D1112" s="215"/>
      <c r="E1112" s="215"/>
      <c r="F1112" s="215"/>
      <c r="G1112" s="215"/>
      <c r="H1112" s="67" t="s">
        <v>2126</v>
      </c>
      <c r="I1112" s="67"/>
      <c r="J1112" s="67"/>
      <c r="K1112" s="67"/>
      <c r="L1112" s="67"/>
      <c r="M1112" s="67"/>
      <c r="N1112" s="67"/>
      <c r="O1112" s="67"/>
      <c r="P1112" s="67"/>
      <c r="Q1112" s="67"/>
      <c r="R1112" s="67"/>
      <c r="S1112" s="561"/>
    </row>
    <row r="1113" spans="1:36" ht="15.75" customHeight="1" x14ac:dyDescent="0.35">
      <c r="A1113" s="551"/>
      <c r="B1113" s="67"/>
      <c r="C1113" s="215"/>
      <c r="D1113" s="215"/>
      <c r="E1113" s="215"/>
      <c r="F1113" s="215"/>
      <c r="G1113" s="215"/>
      <c r="H1113" s="67"/>
      <c r="I1113" s="67"/>
      <c r="J1113" s="67"/>
      <c r="K1113" s="67"/>
      <c r="L1113" s="67"/>
      <c r="M1113" s="67"/>
      <c r="N1113" s="67"/>
      <c r="O1113" s="67"/>
      <c r="P1113" s="67"/>
      <c r="Q1113" s="67"/>
      <c r="R1113" s="67"/>
      <c r="S1113" s="561"/>
    </row>
    <row r="1114" spans="1:36" ht="15.75" customHeight="1" x14ac:dyDescent="0.35">
      <c r="A1114" s="551"/>
      <c r="B1114" s="67"/>
      <c r="C1114" s="215"/>
      <c r="D1114" s="215"/>
      <c r="E1114" s="215"/>
      <c r="F1114" s="215"/>
      <c r="G1114" s="215"/>
      <c r="H1114" s="67" t="s">
        <v>2435</v>
      </c>
      <c r="I1114" s="676">
        <f>+A5</f>
        <v>2018</v>
      </c>
      <c r="J1114" s="67"/>
      <c r="K1114" s="67"/>
      <c r="L1114" s="67"/>
      <c r="M1114" s="67"/>
      <c r="N1114" s="67"/>
      <c r="O1114" s="67"/>
      <c r="P1114" s="67"/>
      <c r="Q1114" s="67"/>
      <c r="R1114" s="67"/>
      <c r="S1114" s="561"/>
    </row>
    <row r="1115" spans="1:36" ht="15.75" customHeight="1" x14ac:dyDescent="0.3">
      <c r="A1115" s="551"/>
      <c r="B1115" s="67"/>
      <c r="C1115" s="67"/>
      <c r="D1115" s="67"/>
      <c r="E1115" s="67"/>
      <c r="F1115" s="67"/>
      <c r="G1115" s="67"/>
      <c r="H1115" s="67"/>
      <c r="I1115" s="67"/>
      <c r="J1115" s="67"/>
      <c r="K1115" s="67"/>
      <c r="L1115" s="67"/>
      <c r="M1115" s="67"/>
      <c r="N1115" s="67"/>
      <c r="O1115" s="67"/>
      <c r="P1115" s="67"/>
      <c r="Q1115" s="67"/>
      <c r="R1115" s="67"/>
      <c r="S1115" s="561"/>
    </row>
    <row r="1116" spans="1:36" ht="15.75" customHeight="1" x14ac:dyDescent="0.3">
      <c r="A1116" s="551"/>
      <c r="B1116" s="67"/>
      <c r="C1116" s="71" t="s">
        <v>1442</v>
      </c>
      <c r="D1116" s="67"/>
      <c r="E1116" s="67"/>
      <c r="F1116" s="67"/>
      <c r="G1116" s="71" t="s">
        <v>1409</v>
      </c>
      <c r="H1116" s="67"/>
      <c r="I1116" s="67"/>
      <c r="J1116" s="67"/>
      <c r="K1116" s="68" t="s">
        <v>234</v>
      </c>
      <c r="L1116" s="67"/>
      <c r="M1116" s="67"/>
      <c r="N1116" s="67"/>
      <c r="O1116" s="68" t="s">
        <v>1701</v>
      </c>
      <c r="P1116" s="67"/>
      <c r="Q1116" s="67"/>
      <c r="R1116" s="67"/>
      <c r="S1116" s="561"/>
    </row>
    <row r="1117" spans="1:36" ht="15.75" customHeight="1" x14ac:dyDescent="0.3">
      <c r="A1117" s="551"/>
      <c r="B1117" s="67"/>
      <c r="C1117" s="67">
        <f>+A5</f>
        <v>2018</v>
      </c>
      <c r="D1117" s="67"/>
      <c r="E1117" s="67"/>
      <c r="F1117" s="67" t="s">
        <v>2415</v>
      </c>
      <c r="G1117" s="67"/>
      <c r="H1117" s="67"/>
      <c r="I1117" s="67"/>
      <c r="J1117" s="67"/>
      <c r="K1117" s="67">
        <f>+A5</f>
        <v>2018</v>
      </c>
      <c r="L1117" s="67"/>
      <c r="M1117" s="67"/>
      <c r="N1117" s="67"/>
      <c r="O1117" s="67">
        <f>+A5</f>
        <v>2018</v>
      </c>
      <c r="P1117" s="67"/>
      <c r="Q1117" s="67"/>
      <c r="R1117" s="67"/>
      <c r="S1117" s="561"/>
    </row>
    <row r="1118" spans="1:36" ht="15.75" customHeight="1" x14ac:dyDescent="0.3">
      <c r="A1118" s="551"/>
      <c r="B1118" s="67"/>
      <c r="C1118" s="67"/>
      <c r="D1118" s="67"/>
      <c r="E1118" s="67"/>
      <c r="F1118" s="67"/>
      <c r="G1118" s="67">
        <f>+A5</f>
        <v>2018</v>
      </c>
      <c r="H1118" s="67"/>
      <c r="I1118" s="67"/>
      <c r="J1118" s="67"/>
      <c r="K1118" s="67"/>
      <c r="L1118" s="67"/>
      <c r="M1118" s="67"/>
      <c r="N1118" s="67"/>
      <c r="O1118" s="67"/>
      <c r="P1118" s="67"/>
      <c r="Q1118" s="67"/>
      <c r="R1118" s="67"/>
      <c r="S1118" s="561"/>
    </row>
    <row r="1119" spans="1:36" ht="15.75" customHeight="1" x14ac:dyDescent="0.3">
      <c r="A1119" s="551"/>
      <c r="B1119" s="67"/>
      <c r="C1119" s="70" t="s">
        <v>1413</v>
      </c>
      <c r="D1119" s="70" t="s">
        <v>31</v>
      </c>
      <c r="E1119" s="70" t="s">
        <v>32</v>
      </c>
      <c r="F1119" s="67"/>
      <c r="G1119" s="70" t="s">
        <v>1412</v>
      </c>
      <c r="H1119" s="70" t="s">
        <v>31</v>
      </c>
      <c r="I1119" s="70" t="s">
        <v>1077</v>
      </c>
      <c r="J1119" s="67"/>
      <c r="K1119" s="70" t="s">
        <v>229</v>
      </c>
      <c r="L1119" s="70" t="s">
        <v>31</v>
      </c>
      <c r="M1119" s="70" t="s">
        <v>1078</v>
      </c>
      <c r="N1119" s="67"/>
      <c r="O1119" s="70" t="s">
        <v>229</v>
      </c>
      <c r="P1119" s="70" t="s">
        <v>31</v>
      </c>
      <c r="Q1119" s="70" t="s">
        <v>1078</v>
      </c>
      <c r="R1119" s="67"/>
      <c r="S1119" s="561"/>
    </row>
    <row r="1120" spans="1:36" ht="15.75" customHeight="1" x14ac:dyDescent="0.3">
      <c r="A1120" s="551"/>
      <c r="B1120" s="67"/>
      <c r="C1120" s="70" t="s">
        <v>429</v>
      </c>
      <c r="D1120" s="70" t="s">
        <v>335</v>
      </c>
      <c r="E1120" s="70" t="s">
        <v>2000</v>
      </c>
      <c r="F1120" s="67"/>
      <c r="G1120" s="70" t="s">
        <v>1318</v>
      </c>
      <c r="H1120" s="70" t="s">
        <v>335</v>
      </c>
      <c r="I1120" s="70" t="s">
        <v>2000</v>
      </c>
      <c r="J1120" s="67"/>
      <c r="K1120" s="70" t="s">
        <v>1180</v>
      </c>
      <c r="L1120" s="70" t="s">
        <v>335</v>
      </c>
      <c r="M1120" s="70" t="s">
        <v>2000</v>
      </c>
      <c r="N1120" s="67"/>
      <c r="O1120" s="70" t="s">
        <v>1180</v>
      </c>
      <c r="P1120" s="70" t="s">
        <v>335</v>
      </c>
      <c r="Q1120" s="70" t="s">
        <v>2000</v>
      </c>
      <c r="R1120" s="67"/>
      <c r="S1120" s="561"/>
    </row>
    <row r="1121" spans="1:19" ht="15.75" customHeight="1" x14ac:dyDescent="0.3">
      <c r="A1121" s="551"/>
      <c r="B1121" s="67"/>
      <c r="C1121" s="70" t="s">
        <v>335</v>
      </c>
      <c r="D1121" s="70" t="s">
        <v>956</v>
      </c>
      <c r="E1121" s="70" t="s">
        <v>242</v>
      </c>
      <c r="F1121" s="67"/>
      <c r="G1121" s="70" t="s">
        <v>134</v>
      </c>
      <c r="H1121" s="70" t="s">
        <v>956</v>
      </c>
      <c r="I1121" s="70" t="s">
        <v>242</v>
      </c>
      <c r="J1121" s="67"/>
      <c r="K1121" s="70" t="s">
        <v>335</v>
      </c>
      <c r="L1121" s="70" t="s">
        <v>956</v>
      </c>
      <c r="M1121" s="70" t="s">
        <v>242</v>
      </c>
      <c r="N1121" s="67"/>
      <c r="O1121" s="70" t="s">
        <v>335</v>
      </c>
      <c r="P1121" s="70" t="s">
        <v>956</v>
      </c>
      <c r="Q1121" s="70" t="s">
        <v>242</v>
      </c>
      <c r="R1121" s="67"/>
      <c r="S1121" s="561"/>
    </row>
    <row r="1122" spans="1:19" ht="15.75" customHeight="1" x14ac:dyDescent="0.3">
      <c r="A1122" s="551"/>
      <c r="B1122" s="67"/>
      <c r="C1122" s="70" t="s">
        <v>932</v>
      </c>
      <c r="D1122" s="70" t="s">
        <v>1917</v>
      </c>
      <c r="E1122" s="70" t="s">
        <v>1481</v>
      </c>
      <c r="F1122" s="67"/>
      <c r="G1122" s="70" t="s">
        <v>932</v>
      </c>
      <c r="H1122" s="70" t="s">
        <v>1917</v>
      </c>
      <c r="I1122" s="70" t="s">
        <v>1481</v>
      </c>
      <c r="J1122" s="67"/>
      <c r="K1122" s="70" t="s">
        <v>932</v>
      </c>
      <c r="L1122" s="70" t="s">
        <v>1917</v>
      </c>
      <c r="M1122" s="70" t="s">
        <v>1481</v>
      </c>
      <c r="N1122" s="67"/>
      <c r="O1122" s="70" t="s">
        <v>932</v>
      </c>
      <c r="P1122" s="70" t="s">
        <v>1917</v>
      </c>
      <c r="Q1122" s="70" t="s">
        <v>1481</v>
      </c>
      <c r="R1122" s="67"/>
      <c r="S1122" s="561"/>
    </row>
    <row r="1123" spans="1:19" ht="15.75" customHeight="1" x14ac:dyDescent="0.3">
      <c r="A1123" s="551"/>
      <c r="B1123" s="67"/>
      <c r="C1123" s="67" t="s">
        <v>1353</v>
      </c>
      <c r="D1123" s="67" t="s">
        <v>1353</v>
      </c>
      <c r="E1123" s="67" t="s">
        <v>1353</v>
      </c>
      <c r="F1123" s="67"/>
      <c r="G1123" s="70" t="s">
        <v>1353</v>
      </c>
      <c r="H1123" s="70" t="s">
        <v>1353</v>
      </c>
      <c r="I1123" s="70" t="s">
        <v>1353</v>
      </c>
      <c r="J1123" s="67"/>
      <c r="K1123" s="67" t="s">
        <v>1353</v>
      </c>
      <c r="L1123" s="67" t="s">
        <v>1353</v>
      </c>
      <c r="M1123" s="67" t="s">
        <v>1353</v>
      </c>
      <c r="N1123" s="67"/>
      <c r="O1123" s="67" t="s">
        <v>1353</v>
      </c>
      <c r="P1123" s="67" t="s">
        <v>1353</v>
      </c>
      <c r="Q1123" s="67" t="s">
        <v>1353</v>
      </c>
      <c r="R1123" s="67"/>
      <c r="S1123" s="561"/>
    </row>
    <row r="1124" spans="1:19" ht="15.75" customHeight="1" x14ac:dyDescent="0.3">
      <c r="A1124" s="553" t="s">
        <v>1354</v>
      </c>
      <c r="B1124" s="67"/>
      <c r="C1124" s="67">
        <f t="shared" ref="C1124:C1135" si="476">(P996)</f>
        <v>0.2</v>
      </c>
      <c r="D1124" s="72">
        <v>0</v>
      </c>
      <c r="E1124" s="73">
        <f t="shared" ref="E1124:E1135" si="477">(P996*D1124/1000)</f>
        <v>0</v>
      </c>
      <c r="F1124" s="67"/>
      <c r="G1124" s="67">
        <v>0</v>
      </c>
      <c r="H1124" s="72">
        <v>0</v>
      </c>
      <c r="I1124" s="73">
        <f t="shared" ref="I1124:I1135" si="478">(G1124*H1124/1000)</f>
        <v>0</v>
      </c>
      <c r="J1124" s="67"/>
      <c r="K1124" s="589">
        <v>11848</v>
      </c>
      <c r="L1124" s="590">
        <v>0</v>
      </c>
      <c r="M1124" s="73">
        <f t="shared" ref="M1124:M1135" si="479">(K1124*L1124/1000)</f>
        <v>0</v>
      </c>
      <c r="N1124" s="67"/>
      <c r="O1124" s="589">
        <v>0</v>
      </c>
      <c r="P1124" s="72">
        <v>0</v>
      </c>
      <c r="Q1124" s="73">
        <f t="shared" ref="Q1124:Q1135" si="480">(O1124*P1124/1000)</f>
        <v>0</v>
      </c>
      <c r="R1124" s="67"/>
      <c r="S1124" s="561"/>
    </row>
    <row r="1125" spans="1:19" ht="15.75" customHeight="1" x14ac:dyDescent="0.3">
      <c r="A1125" s="553" t="s">
        <v>706</v>
      </c>
      <c r="B1125" s="67"/>
      <c r="C1125" s="67">
        <f t="shared" si="476"/>
        <v>0.25</v>
      </c>
      <c r="D1125" s="72">
        <v>0</v>
      </c>
      <c r="E1125" s="73">
        <f t="shared" si="477"/>
        <v>0</v>
      </c>
      <c r="F1125" s="67"/>
      <c r="G1125" s="67" t="e">
        <f>#REF!</f>
        <v>#REF!</v>
      </c>
      <c r="H1125" s="72">
        <v>0</v>
      </c>
      <c r="I1125" s="73" t="e">
        <f t="shared" si="478"/>
        <v>#REF!</v>
      </c>
      <c r="J1125" s="67"/>
      <c r="K1125" s="589">
        <v>11489</v>
      </c>
      <c r="L1125" s="590">
        <v>0</v>
      </c>
      <c r="M1125" s="73">
        <f t="shared" si="479"/>
        <v>0</v>
      </c>
      <c r="N1125" s="67"/>
      <c r="O1125" s="589">
        <v>0</v>
      </c>
      <c r="P1125" s="72">
        <v>0</v>
      </c>
      <c r="Q1125" s="73">
        <f t="shared" si="480"/>
        <v>0</v>
      </c>
      <c r="R1125" s="67"/>
      <c r="S1125" s="561"/>
    </row>
    <row r="1126" spans="1:19" ht="15.75" customHeight="1" x14ac:dyDescent="0.3">
      <c r="A1126" s="553" t="s">
        <v>707</v>
      </c>
      <c r="B1126" s="67"/>
      <c r="C1126" s="67">
        <f t="shared" si="476"/>
        <v>0.3</v>
      </c>
      <c r="D1126" s="72">
        <v>0</v>
      </c>
      <c r="E1126" s="73">
        <f t="shared" si="477"/>
        <v>0</v>
      </c>
      <c r="F1126" s="67">
        <f>SUM(E1124:E1126)</f>
        <v>0</v>
      </c>
      <c r="G1126" s="67" t="e">
        <f>#REF!</f>
        <v>#REF!</v>
      </c>
      <c r="H1126" s="72">
        <v>0</v>
      </c>
      <c r="I1126" s="73" t="e">
        <f t="shared" si="478"/>
        <v>#REF!</v>
      </c>
      <c r="J1126" s="67" t="e">
        <f>SUM(I1124:I1126)</f>
        <v>#REF!</v>
      </c>
      <c r="K1126" s="589">
        <v>16247</v>
      </c>
      <c r="L1126" s="590">
        <v>0</v>
      </c>
      <c r="M1126" s="73">
        <f t="shared" si="479"/>
        <v>0</v>
      </c>
      <c r="N1126" s="67">
        <f>SUM(M1124:M1126)</f>
        <v>0</v>
      </c>
      <c r="O1126" s="589">
        <v>0</v>
      </c>
      <c r="P1126" s="72">
        <v>0</v>
      </c>
      <c r="Q1126" s="73">
        <f t="shared" si="480"/>
        <v>0</v>
      </c>
      <c r="R1126" s="67">
        <f>SUM(Q1124:Q1126)</f>
        <v>0</v>
      </c>
      <c r="S1126" s="561"/>
    </row>
    <row r="1127" spans="1:19" ht="15.75" customHeight="1" x14ac:dyDescent="0.3">
      <c r="A1127" s="553" t="s">
        <v>1321</v>
      </c>
      <c r="B1127" s="67"/>
      <c r="C1127" s="67">
        <f t="shared" si="476"/>
        <v>0.35</v>
      </c>
      <c r="D1127" s="72">
        <v>0</v>
      </c>
      <c r="E1127" s="73">
        <f t="shared" si="477"/>
        <v>0</v>
      </c>
      <c r="F1127" s="67"/>
      <c r="G1127" s="67" t="e">
        <f>#REF!</f>
        <v>#REF!</v>
      </c>
      <c r="H1127" s="72">
        <v>0</v>
      </c>
      <c r="I1127" s="73" t="e">
        <f t="shared" si="478"/>
        <v>#REF!</v>
      </c>
      <c r="J1127" s="67"/>
      <c r="K1127" s="589">
        <v>17740</v>
      </c>
      <c r="L1127" s="590">
        <v>0</v>
      </c>
      <c r="M1127" s="73">
        <f t="shared" si="479"/>
        <v>0</v>
      </c>
      <c r="N1127" s="67"/>
      <c r="O1127" s="589">
        <v>0</v>
      </c>
      <c r="P1127" s="72">
        <v>0</v>
      </c>
      <c r="Q1127" s="73">
        <f t="shared" si="480"/>
        <v>0</v>
      </c>
      <c r="R1127" s="67"/>
      <c r="S1127" s="561"/>
    </row>
    <row r="1128" spans="1:19" ht="15.75" customHeight="1" x14ac:dyDescent="0.3">
      <c r="A1128" s="553" t="s">
        <v>1905</v>
      </c>
      <c r="B1128" s="67"/>
      <c r="C1128" s="67">
        <f t="shared" si="476"/>
        <v>0.35</v>
      </c>
      <c r="D1128" s="72">
        <v>0</v>
      </c>
      <c r="E1128" s="73">
        <f t="shared" si="477"/>
        <v>0</v>
      </c>
      <c r="F1128" s="67"/>
      <c r="G1128" s="67" t="e">
        <f>#REF!</f>
        <v>#REF!</v>
      </c>
      <c r="H1128" s="72">
        <v>0</v>
      </c>
      <c r="I1128" s="73" t="e">
        <f t="shared" si="478"/>
        <v>#REF!</v>
      </c>
      <c r="J1128" s="67"/>
      <c r="K1128" s="589">
        <v>15434</v>
      </c>
      <c r="L1128" s="590">
        <v>0</v>
      </c>
      <c r="M1128" s="73">
        <f t="shared" si="479"/>
        <v>0</v>
      </c>
      <c r="N1128" s="67"/>
      <c r="O1128" s="589">
        <v>0</v>
      </c>
      <c r="P1128" s="72">
        <v>0</v>
      </c>
      <c r="Q1128" s="73">
        <f t="shared" si="480"/>
        <v>0</v>
      </c>
      <c r="R1128" s="67"/>
      <c r="S1128" s="561"/>
    </row>
    <row r="1129" spans="1:19" ht="15.75" customHeight="1" x14ac:dyDescent="0.3">
      <c r="A1129" s="553" t="s">
        <v>1906</v>
      </c>
      <c r="B1129" s="67"/>
      <c r="C1129" s="67">
        <f t="shared" si="476"/>
        <v>7.4999999999999997E-2</v>
      </c>
      <c r="D1129" s="72">
        <v>0</v>
      </c>
      <c r="E1129" s="73">
        <f t="shared" si="477"/>
        <v>0</v>
      </c>
      <c r="F1129" s="67">
        <f>SUM(E1127:E1129)</f>
        <v>0</v>
      </c>
      <c r="G1129" s="67" t="e">
        <f>#REF!</f>
        <v>#REF!</v>
      </c>
      <c r="H1129" s="72">
        <v>0</v>
      </c>
      <c r="I1129" s="73" t="e">
        <f t="shared" si="478"/>
        <v>#REF!</v>
      </c>
      <c r="J1129" s="67" t="e">
        <f>SUM(I1127:I1129)</f>
        <v>#REF!</v>
      </c>
      <c r="K1129" s="589">
        <v>14355</v>
      </c>
      <c r="L1129" s="590">
        <v>0</v>
      </c>
      <c r="M1129" s="73">
        <f t="shared" si="479"/>
        <v>0</v>
      </c>
      <c r="N1129" s="67">
        <f>SUM(M1127:M1129)</f>
        <v>0</v>
      </c>
      <c r="O1129" s="589">
        <v>0</v>
      </c>
      <c r="P1129" s="72">
        <v>0</v>
      </c>
      <c r="Q1129" s="73">
        <f t="shared" si="480"/>
        <v>0</v>
      </c>
      <c r="R1129" s="67">
        <f>SUM(Q1127:Q1129)</f>
        <v>0</v>
      </c>
      <c r="S1129" s="561"/>
    </row>
    <row r="1130" spans="1:19" ht="15.75" customHeight="1" x14ac:dyDescent="0.3">
      <c r="A1130" s="553" t="s">
        <v>1907</v>
      </c>
      <c r="B1130" s="67"/>
      <c r="C1130" s="67">
        <f t="shared" si="476"/>
        <v>0.05</v>
      </c>
      <c r="D1130" s="72">
        <v>0</v>
      </c>
      <c r="E1130" s="73">
        <f t="shared" si="477"/>
        <v>0</v>
      </c>
      <c r="F1130" s="67"/>
      <c r="G1130" s="67" t="e">
        <f>#REF!</f>
        <v>#REF!</v>
      </c>
      <c r="H1130" s="72">
        <v>0</v>
      </c>
      <c r="I1130" s="73" t="e">
        <f t="shared" si="478"/>
        <v>#REF!</v>
      </c>
      <c r="J1130" s="67"/>
      <c r="K1130" s="589">
        <v>13129</v>
      </c>
      <c r="L1130" s="590">
        <v>0</v>
      </c>
      <c r="M1130" s="73">
        <f t="shared" si="479"/>
        <v>0</v>
      </c>
      <c r="N1130" s="67"/>
      <c r="O1130" s="589">
        <v>0</v>
      </c>
      <c r="P1130" s="72">
        <v>0</v>
      </c>
      <c r="Q1130" s="73">
        <f t="shared" si="480"/>
        <v>0</v>
      </c>
      <c r="R1130" s="67"/>
      <c r="S1130" s="561"/>
    </row>
    <row r="1131" spans="1:19" ht="15.75" customHeight="1" x14ac:dyDescent="0.3">
      <c r="A1131" s="553" t="s">
        <v>1908</v>
      </c>
      <c r="B1131" s="67"/>
      <c r="C1131" s="67">
        <f t="shared" si="476"/>
        <v>0</v>
      </c>
      <c r="D1131" s="72">
        <v>0</v>
      </c>
      <c r="E1131" s="73">
        <f t="shared" si="477"/>
        <v>0</v>
      </c>
      <c r="F1131" s="67"/>
      <c r="G1131" s="67" t="e">
        <f>#REF!</f>
        <v>#REF!</v>
      </c>
      <c r="H1131" s="72">
        <v>0</v>
      </c>
      <c r="I1131" s="73" t="e">
        <f t="shared" si="478"/>
        <v>#REF!</v>
      </c>
      <c r="J1131" s="67"/>
      <c r="K1131" s="589">
        <v>12545</v>
      </c>
      <c r="L1131" s="590">
        <v>0</v>
      </c>
      <c r="M1131" s="73">
        <f t="shared" si="479"/>
        <v>0</v>
      </c>
      <c r="N1131" s="67"/>
      <c r="O1131" s="589">
        <v>0</v>
      </c>
      <c r="P1131" s="72">
        <v>0</v>
      </c>
      <c r="Q1131" s="73">
        <f t="shared" si="480"/>
        <v>0</v>
      </c>
      <c r="R1131" s="67"/>
      <c r="S1131" s="561"/>
    </row>
    <row r="1132" spans="1:19" ht="15.75" customHeight="1" x14ac:dyDescent="0.3">
      <c r="A1132" s="553" t="s">
        <v>2352</v>
      </c>
      <c r="B1132" s="67"/>
      <c r="C1132" s="67">
        <f t="shared" si="476"/>
        <v>0.05</v>
      </c>
      <c r="D1132" s="72">
        <v>0</v>
      </c>
      <c r="E1132" s="73">
        <f t="shared" si="477"/>
        <v>0</v>
      </c>
      <c r="F1132" s="67">
        <f>SUM(E1130:E1132)</f>
        <v>0</v>
      </c>
      <c r="G1132" s="67" t="e">
        <f>#REF!</f>
        <v>#REF!</v>
      </c>
      <c r="H1132" s="72">
        <v>0</v>
      </c>
      <c r="I1132" s="73" t="e">
        <f t="shared" si="478"/>
        <v>#REF!</v>
      </c>
      <c r="J1132" s="67" t="e">
        <f>SUM(I1130:I1132)</f>
        <v>#REF!</v>
      </c>
      <c r="K1132" s="589">
        <v>9350</v>
      </c>
      <c r="L1132" s="590">
        <v>0</v>
      </c>
      <c r="M1132" s="73">
        <f t="shared" si="479"/>
        <v>0</v>
      </c>
      <c r="N1132" s="67">
        <f>SUM(M1130:M1132)</f>
        <v>0</v>
      </c>
      <c r="O1132" s="589">
        <v>0</v>
      </c>
      <c r="P1132" s="72">
        <v>0</v>
      </c>
      <c r="Q1132" s="73">
        <f t="shared" si="480"/>
        <v>0</v>
      </c>
      <c r="R1132" s="67">
        <f>SUM(Q1130:Q1132)</f>
        <v>0</v>
      </c>
      <c r="S1132" s="561"/>
    </row>
    <row r="1133" spans="1:19" ht="15.75" customHeight="1" x14ac:dyDescent="0.3">
      <c r="A1133" s="553" t="s">
        <v>2353</v>
      </c>
      <c r="B1133" s="67"/>
      <c r="C1133" s="67">
        <f t="shared" si="476"/>
        <v>0.2</v>
      </c>
      <c r="D1133" s="72">
        <v>0</v>
      </c>
      <c r="E1133" s="73">
        <f t="shared" si="477"/>
        <v>0</v>
      </c>
      <c r="F1133" s="67"/>
      <c r="G1133" s="67" t="e">
        <f>#REF!</f>
        <v>#REF!</v>
      </c>
      <c r="H1133" s="72">
        <v>0</v>
      </c>
      <c r="I1133" s="73" t="e">
        <f t="shared" si="478"/>
        <v>#REF!</v>
      </c>
      <c r="J1133" s="67"/>
      <c r="K1133" s="589">
        <v>11649</v>
      </c>
      <c r="L1133" s="590">
        <v>0</v>
      </c>
      <c r="M1133" s="73">
        <f t="shared" si="479"/>
        <v>0</v>
      </c>
      <c r="N1133" s="67"/>
      <c r="O1133" s="589">
        <v>0</v>
      </c>
      <c r="P1133" s="72">
        <v>0</v>
      </c>
      <c r="Q1133" s="73">
        <f t="shared" si="480"/>
        <v>0</v>
      </c>
      <c r="R1133" s="67"/>
      <c r="S1133" s="561"/>
    </row>
    <row r="1134" spans="1:19" ht="15.75" customHeight="1" x14ac:dyDescent="0.3">
      <c r="A1134" s="553" t="s">
        <v>2354</v>
      </c>
      <c r="B1134" s="67"/>
      <c r="C1134" s="67">
        <f t="shared" si="476"/>
        <v>0.2</v>
      </c>
      <c r="D1134" s="72">
        <v>0</v>
      </c>
      <c r="E1134" s="73">
        <f t="shared" si="477"/>
        <v>0</v>
      </c>
      <c r="F1134" s="67"/>
      <c r="G1134" s="67" t="e">
        <f>#REF!</f>
        <v>#REF!</v>
      </c>
      <c r="H1134" s="72">
        <v>0</v>
      </c>
      <c r="I1134" s="73" t="e">
        <f t="shared" si="478"/>
        <v>#REF!</v>
      </c>
      <c r="J1134" s="67"/>
      <c r="K1134" s="589">
        <v>8035</v>
      </c>
      <c r="L1134" s="590">
        <v>0</v>
      </c>
      <c r="M1134" s="73">
        <f t="shared" si="479"/>
        <v>0</v>
      </c>
      <c r="N1134" s="67"/>
      <c r="O1134" s="589">
        <v>0</v>
      </c>
      <c r="P1134" s="72">
        <v>0</v>
      </c>
      <c r="Q1134" s="73">
        <f t="shared" si="480"/>
        <v>0</v>
      </c>
      <c r="R1134" s="67"/>
      <c r="S1134" s="561"/>
    </row>
    <row r="1135" spans="1:19" ht="15.75" customHeight="1" x14ac:dyDescent="0.3">
      <c r="A1135" s="553" t="s">
        <v>2355</v>
      </c>
      <c r="B1135" s="67"/>
      <c r="C1135" s="67">
        <f t="shared" si="476"/>
        <v>0.2</v>
      </c>
      <c r="D1135" s="72">
        <v>0</v>
      </c>
      <c r="E1135" s="73">
        <f t="shared" si="477"/>
        <v>0</v>
      </c>
      <c r="F1135" s="67">
        <f>SUM(E1133:E1135)</f>
        <v>0</v>
      </c>
      <c r="G1135" s="67" t="e">
        <f>#REF!</f>
        <v>#REF!</v>
      </c>
      <c r="H1135" s="72">
        <v>0</v>
      </c>
      <c r="I1135" s="73" t="e">
        <f t="shared" si="478"/>
        <v>#REF!</v>
      </c>
      <c r="J1135" s="67" t="e">
        <f>SUM(I1133:I1135)</f>
        <v>#REF!</v>
      </c>
      <c r="K1135" s="589">
        <v>8092</v>
      </c>
      <c r="L1135" s="590">
        <v>0</v>
      </c>
      <c r="M1135" s="73">
        <f t="shared" si="479"/>
        <v>0</v>
      </c>
      <c r="N1135" s="67">
        <f>SUM(M1133:M1135)</f>
        <v>0</v>
      </c>
      <c r="O1135" s="589">
        <v>0</v>
      </c>
      <c r="P1135" s="72">
        <v>0</v>
      </c>
      <c r="Q1135" s="73">
        <f t="shared" si="480"/>
        <v>0</v>
      </c>
      <c r="R1135" s="67">
        <f>SUM(Q1133:Q1135)</f>
        <v>0</v>
      </c>
      <c r="S1135" s="561"/>
    </row>
    <row r="1136" spans="1:19" ht="15.75" customHeight="1" x14ac:dyDescent="0.3">
      <c r="A1136" s="551"/>
      <c r="B1136" s="67"/>
      <c r="C1136" s="67"/>
      <c r="D1136" s="67"/>
      <c r="E1136" s="67"/>
      <c r="F1136" s="67"/>
      <c r="G1136" s="67"/>
      <c r="H1136" s="67"/>
      <c r="I1136" s="67"/>
      <c r="J1136" s="67"/>
      <c r="K1136" s="67"/>
      <c r="L1136" s="67"/>
      <c r="M1136" s="67"/>
      <c r="N1136" s="67"/>
      <c r="O1136" s="67"/>
      <c r="P1136" s="67"/>
      <c r="Q1136" s="67"/>
      <c r="R1136" s="67"/>
      <c r="S1136" s="561"/>
    </row>
    <row r="1137" spans="1:19" ht="15.75" customHeight="1" x14ac:dyDescent="0.3">
      <c r="A1137" s="551"/>
      <c r="B1137" s="67"/>
      <c r="C1137" s="67"/>
      <c r="D1137" s="67"/>
      <c r="E1137" s="67"/>
      <c r="F1137" s="67"/>
      <c r="G1137" s="67"/>
      <c r="H1137" s="67"/>
      <c r="I1137" s="67"/>
      <c r="J1137" s="67"/>
      <c r="K1137" s="67"/>
      <c r="L1137" s="67"/>
      <c r="M1137" s="67"/>
      <c r="N1137" s="67"/>
      <c r="O1137" s="67"/>
      <c r="P1137" s="67"/>
      <c r="Q1137" s="67"/>
      <c r="R1137" s="67"/>
      <c r="S1137" s="561"/>
    </row>
    <row r="1138" spans="1:19" ht="16.5" customHeight="1" thickBot="1" x14ac:dyDescent="0.35">
      <c r="A1138" s="554" t="s">
        <v>2356</v>
      </c>
      <c r="B1138" s="555"/>
      <c r="C1138" s="555">
        <f>SUM(C1124:C1135)</f>
        <v>2.2250000000000005</v>
      </c>
      <c r="D1138" s="555"/>
      <c r="E1138" s="567">
        <f>SUM(E1124:E1135)</f>
        <v>0</v>
      </c>
      <c r="F1138" s="555"/>
      <c r="G1138" s="555" t="e">
        <f>SUM(G1124:G1135)</f>
        <v>#REF!</v>
      </c>
      <c r="H1138" s="555" t="s">
        <v>2435</v>
      </c>
      <c r="I1138" s="567" t="e">
        <f>SUM(I1124:I1135)</f>
        <v>#REF!</v>
      </c>
      <c r="J1138" s="555"/>
      <c r="K1138" s="555">
        <f>SUM(K1124:K1135)</f>
        <v>149913</v>
      </c>
      <c r="L1138" s="555" t="s">
        <v>2435</v>
      </c>
      <c r="M1138" s="567">
        <f>SUM(M1124:M1135)</f>
        <v>0</v>
      </c>
      <c r="N1138" s="555"/>
      <c r="O1138" s="555">
        <f>(SUM(O1124:O1135))</f>
        <v>0</v>
      </c>
      <c r="P1138" s="555" t="s">
        <v>2435</v>
      </c>
      <c r="Q1138" s="567">
        <f>SUM(Q1124:Q1135)</f>
        <v>0</v>
      </c>
      <c r="R1138" s="555"/>
      <c r="S1138" s="565"/>
    </row>
  </sheetData>
  <scenarios current="0">
    <scenario name="Jan" count="1" user="Windows User" comment="Created by Windows User on 4/11/2013">
      <inputCells r="B310" val="57771.3688407242" numFmtId="37"/>
    </scenario>
  </scenarios>
  <autoFilter ref="A31:R899" xr:uid="{00000000-0009-0000-0000-000001000000}"/>
  <mergeCells count="73">
    <mergeCell ref="A8:R8"/>
    <mergeCell ref="A2:R2"/>
    <mergeCell ref="A3:R3"/>
    <mergeCell ref="A4:R4"/>
    <mergeCell ref="A5:R5"/>
    <mergeCell ref="A6:R6"/>
    <mergeCell ref="B903:P903"/>
    <mergeCell ref="A838:R838"/>
    <mergeCell ref="A839:R839"/>
    <mergeCell ref="A840:R840"/>
    <mergeCell ref="A841:R841"/>
    <mergeCell ref="A843:R843"/>
    <mergeCell ref="A879:R879"/>
    <mergeCell ref="A880:R880"/>
    <mergeCell ref="A881:R881"/>
    <mergeCell ref="A882:R882"/>
    <mergeCell ref="A884:R884"/>
    <mergeCell ref="B902:P902"/>
    <mergeCell ref="AD953:AQ953"/>
    <mergeCell ref="B904:P904"/>
    <mergeCell ref="B905:P905"/>
    <mergeCell ref="B906:P906"/>
    <mergeCell ref="B907:P907"/>
    <mergeCell ref="B931:P931"/>
    <mergeCell ref="B932:P932"/>
    <mergeCell ref="B933:P933"/>
    <mergeCell ref="B934:P934"/>
    <mergeCell ref="B935:P935"/>
    <mergeCell ref="B936:P936"/>
    <mergeCell ref="AD952:AQ952"/>
    <mergeCell ref="B988:P988"/>
    <mergeCell ref="AD988:AQ988"/>
    <mergeCell ref="AD954:AQ954"/>
    <mergeCell ref="AD956:AQ956"/>
    <mergeCell ref="B957:P957"/>
    <mergeCell ref="AD957:AQ957"/>
    <mergeCell ref="B958:P958"/>
    <mergeCell ref="B959:P959"/>
    <mergeCell ref="B961:P961"/>
    <mergeCell ref="B962:P962"/>
    <mergeCell ref="B986:P986"/>
    <mergeCell ref="B987:P987"/>
    <mergeCell ref="AD987:AQ987"/>
    <mergeCell ref="B989:P989"/>
    <mergeCell ref="AD989:AQ989"/>
    <mergeCell ref="B990:F990"/>
    <mergeCell ref="G990:L990"/>
    <mergeCell ref="M990:R990"/>
    <mergeCell ref="S990:U990"/>
    <mergeCell ref="B1045:P1045"/>
    <mergeCell ref="M991:O991"/>
    <mergeCell ref="AD991:AQ991"/>
    <mergeCell ref="AD992:AQ992"/>
    <mergeCell ref="B1016:P1016"/>
    <mergeCell ref="B1017:F1017"/>
    <mergeCell ref="G1017:L1017"/>
    <mergeCell ref="M1017:R1017"/>
    <mergeCell ref="S1017:U1017"/>
    <mergeCell ref="M1018:O1018"/>
    <mergeCell ref="B1040:P1040"/>
    <mergeCell ref="B1041:P1041"/>
    <mergeCell ref="B1042:P1042"/>
    <mergeCell ref="B1044:P1044"/>
    <mergeCell ref="T1046:U1046"/>
    <mergeCell ref="V1046:W1046"/>
    <mergeCell ref="B1065:P1065"/>
    <mergeCell ref="B1066:P1066"/>
    <mergeCell ref="B1067:P1067"/>
    <mergeCell ref="B1069:P1069"/>
    <mergeCell ref="B1070:P1070"/>
    <mergeCell ref="B1072:L1072"/>
    <mergeCell ref="M1072:P1072"/>
    <mergeCell ref="B1046:D1046"/>
  </mergeCells>
  <conditionalFormatting sqref="S996:S1007 S1009">
    <cfRule type="cellIs" dxfId="115" priority="3" operator="lessThan">
      <formula>0</formula>
    </cfRule>
    <cfRule type="cellIs" dxfId="114" priority="4" operator="greaterThan">
      <formula>0</formula>
    </cfRule>
  </conditionalFormatting>
  <conditionalFormatting sqref="S1023:S1034">
    <cfRule type="cellIs" dxfId="113" priority="1" operator="lessThan">
      <formula>0</formula>
    </cfRule>
    <cfRule type="cellIs" dxfId="112" priority="2" operator="greaterThan">
      <formula>0</formula>
    </cfRule>
  </conditionalFormatting>
  <printOptions horizontalCentered="1"/>
  <pageMargins left="0.25" right="0.25" top="0.25" bottom="0.25" header="0" footer="0"/>
  <pageSetup paperSize="17" scale="10" orientation="landscape" r:id="rId1"/>
  <headerFooter alignWithMargins="0"/>
  <rowBreaks count="5" manualBreakCount="5">
    <brk id="835" max="17" man="1"/>
    <brk id="875" max="17" man="1"/>
    <brk id="928" max="18" man="1"/>
    <brk id="956" max="18" man="1"/>
    <brk id="924" min="28" max="46"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pageSetUpPr fitToPage="1"/>
  </sheetPr>
  <dimension ref="A1:AX1150"/>
  <sheetViews>
    <sheetView topLeftCell="A8" zoomScale="70" zoomScaleNormal="70" workbookViewId="0">
      <pane ySplit="24" topLeftCell="A1014" activePane="bottomLeft" state="frozen"/>
      <selection activeCell="A8" sqref="A8"/>
      <selection pane="bottomLeft" activeCell="B188" sqref="B188:B285"/>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0" width="10" bestFit="1" customWidth="1"/>
    <col min="11"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2.81640625" customWidth="1"/>
    <col min="20" max="20" width="9.453125" bestFit="1" customWidth="1"/>
    <col min="22" max="22" width="9.90625" customWidth="1"/>
    <col min="23" max="23" width="11.54296875" customWidth="1"/>
    <col min="24" max="24" width="10.54296875" customWidth="1"/>
    <col min="25" max="25" width="11.1796875" customWidth="1"/>
    <col min="26" max="26" width="10.453125" bestFit="1" customWidth="1"/>
    <col min="29" max="29" width="11.54296875" customWidth="1"/>
    <col min="35" max="35" width="9.9062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44881.729633912037</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2019</v>
      </c>
      <c r="B5" s="781"/>
      <c r="C5" s="781"/>
      <c r="D5" s="781"/>
      <c r="E5" s="781"/>
      <c r="F5" s="781"/>
      <c r="G5" s="781"/>
      <c r="H5" s="781"/>
      <c r="I5" s="781"/>
      <c r="J5" s="781"/>
      <c r="K5" s="781"/>
      <c r="L5" s="781"/>
      <c r="M5" s="781"/>
      <c r="N5" s="781"/>
      <c r="O5" s="781"/>
      <c r="P5" s="781"/>
      <c r="Q5" s="781"/>
      <c r="R5" s="781"/>
    </row>
    <row r="6" spans="1:36" ht="19.5" customHeight="1" x14ac:dyDescent="0.35">
      <c r="A6" s="780" t="s">
        <v>3420</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3421</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6.5" hidden="1"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231"/>
      <c r="B12" s="232"/>
      <c r="C12" s="232"/>
      <c r="D12" s="232"/>
      <c r="E12" s="233"/>
      <c r="F12" s="232"/>
      <c r="G12" s="232"/>
      <c r="H12" s="232"/>
      <c r="I12" s="233"/>
      <c r="J12" s="232"/>
      <c r="K12" s="232"/>
      <c r="L12" s="232"/>
      <c r="M12" s="233"/>
      <c r="N12" s="232"/>
      <c r="O12" s="232"/>
      <c r="P12" s="232"/>
      <c r="Q12" s="233"/>
      <c r="R12" s="233"/>
    </row>
    <row r="13" spans="1:36" ht="15.75" customHeight="1" x14ac:dyDescent="0.3">
      <c r="A13" s="234" t="s">
        <v>1277</v>
      </c>
      <c r="B13" s="172">
        <f>+B910</f>
        <v>42078</v>
      </c>
      <c r="C13" s="172">
        <f>+C910</f>
        <v>50313</v>
      </c>
      <c r="D13" s="172">
        <f>+D910</f>
        <v>82174</v>
      </c>
      <c r="E13" s="15">
        <f>SUM(B13:D13)</f>
        <v>174565</v>
      </c>
      <c r="F13" s="172">
        <f>+F910</f>
        <v>143255</v>
      </c>
      <c r="G13" s="172">
        <f>+G910</f>
        <v>140285</v>
      </c>
      <c r="H13" s="172">
        <f>+H910</f>
        <v>183443</v>
      </c>
      <c r="I13" s="15">
        <f t="shared" ref="I13:I19" si="0">SUM(F13:H13)</f>
        <v>466983</v>
      </c>
      <c r="J13" s="172">
        <f>+J910</f>
        <v>188724</v>
      </c>
      <c r="K13" s="172">
        <f>+K910</f>
        <v>181776</v>
      </c>
      <c r="L13" s="172">
        <f>+L910</f>
        <v>124651</v>
      </c>
      <c r="M13" s="15">
        <f t="shared" ref="M13:M20" si="1">SUM(J13:L13)</f>
        <v>495151</v>
      </c>
      <c r="N13" s="172">
        <f>+N910</f>
        <v>103093</v>
      </c>
      <c r="O13" s="172">
        <f>+O910</f>
        <v>23617</v>
      </c>
      <c r="P13" s="172">
        <f>+P910</f>
        <v>48082</v>
      </c>
      <c r="Q13" s="29">
        <f t="shared" ref="Q13:Q19" si="2">SUM(N13:P13)</f>
        <v>174792</v>
      </c>
      <c r="R13" s="15">
        <f t="shared" ref="R13:R20" si="3">+E13+I13+M13+Q13</f>
        <v>1311491</v>
      </c>
      <c r="S13">
        <f>R13-13500</f>
        <v>1297991</v>
      </c>
      <c r="T13">
        <f>+R13-S13</f>
        <v>13500</v>
      </c>
      <c r="V13" s="617"/>
      <c r="W13" s="617"/>
      <c r="X13" s="617"/>
      <c r="Z13" s="617"/>
      <c r="AA13" s="617"/>
      <c r="AB13" s="617"/>
      <c r="AD13" s="617"/>
      <c r="AE13" s="617"/>
      <c r="AF13" s="617"/>
      <c r="AH13" s="617"/>
      <c r="AI13" s="617"/>
      <c r="AJ13" s="617"/>
    </row>
    <row r="14" spans="1:36" ht="15.75" customHeight="1" x14ac:dyDescent="0.3">
      <c r="A14" s="234" t="s">
        <v>1278</v>
      </c>
      <c r="B14" s="172">
        <f>B25+B60+B129+B314+B488+B538+B583+B650+B660+B696+B749+B759+B793+B842</f>
        <v>739</v>
      </c>
      <c r="C14" s="172">
        <f>C25+C60+C129+C314+C488+C538+C583+C650+C660+C696+C749+C759+C793+C842</f>
        <v>1283</v>
      </c>
      <c r="D14" s="172">
        <f>D25+D60+D129+D314+D488+D538+D583+D650+D660+D696+D749+D759+D793+D842</f>
        <v>2185</v>
      </c>
      <c r="E14" s="15">
        <f t="shared" ref="E14:E19" si="4">SUM(B14:D14)</f>
        <v>4207</v>
      </c>
      <c r="F14" s="172">
        <f>F25+F60+F129+F314+F488+F538+F583+F650+F660+F696+F749+F759+F793+F842</f>
        <v>2959</v>
      </c>
      <c r="G14" s="172">
        <f>G25+G60+G129+G314+G488+G538+G583+G650+G660+G696+G749+G759+G793+G842</f>
        <v>3425</v>
      </c>
      <c r="H14" s="172">
        <f>H25+H60+H129+H314+H488+H538+H583+H650+H660+H696+H749+H759+H793+H842</f>
        <v>3464</v>
      </c>
      <c r="I14" s="15">
        <f t="shared" si="0"/>
        <v>9848</v>
      </c>
      <c r="J14" s="172">
        <f>J25+J60+J129+J314+J488+J538+J583+J650+J660+J696+J749+J759+J793+J842</f>
        <v>3382</v>
      </c>
      <c r="K14" s="172">
        <f>K25+K60+K129+K314+K488+K538+K583+K650+K660+K696+K749+K759+K793+K842</f>
        <v>2663</v>
      </c>
      <c r="L14" s="172">
        <f>L25+L60+L129+L314+L488+L538+L583+L650+L660+L696+L749+L759+L793+L842</f>
        <v>2559</v>
      </c>
      <c r="M14" s="15">
        <f t="shared" si="1"/>
        <v>8604</v>
      </c>
      <c r="N14" s="172">
        <f>N25+N60+N129+N314+N488+N538+N583+N650+N660+N696+N749+N759+N793+N842</f>
        <v>2343</v>
      </c>
      <c r="O14" s="172">
        <f>O25+O60+O129+O314+O488+O538+O583+O650+O660+O696+O749+O759+O793+O842</f>
        <v>1892</v>
      </c>
      <c r="P14" s="172">
        <f>P25+P60+P129+P314+P488+P538+P583+P650+P660+P696+P749+P759+P793+P842</f>
        <v>1423</v>
      </c>
      <c r="Q14" s="29">
        <f t="shared" si="2"/>
        <v>5658</v>
      </c>
      <c r="R14" s="15">
        <f t="shared" si="3"/>
        <v>28317</v>
      </c>
    </row>
    <row r="15" spans="1:36" ht="15.75" customHeight="1" x14ac:dyDescent="0.3">
      <c r="A15" s="234" t="s">
        <v>397</v>
      </c>
      <c r="B15" s="172">
        <f>B309</f>
        <v>0</v>
      </c>
      <c r="C15" s="172">
        <f>C309</f>
        <v>55</v>
      </c>
      <c r="D15" s="172">
        <f>D309</f>
        <v>1056</v>
      </c>
      <c r="E15" s="15">
        <f t="shared" si="4"/>
        <v>1111</v>
      </c>
      <c r="F15" s="172">
        <f>F309</f>
        <v>1915</v>
      </c>
      <c r="G15" s="172">
        <f>G309</f>
        <v>2784</v>
      </c>
      <c r="H15" s="172">
        <f>H309</f>
        <v>2521</v>
      </c>
      <c r="I15" s="15">
        <f t="shared" si="0"/>
        <v>7220</v>
      </c>
      <c r="J15" s="172">
        <f>J309</f>
        <v>2267</v>
      </c>
      <c r="K15" s="172">
        <f>K309</f>
        <v>2783</v>
      </c>
      <c r="L15" s="172">
        <f>L309</f>
        <v>1859</v>
      </c>
      <c r="M15" s="15">
        <f t="shared" si="1"/>
        <v>6909</v>
      </c>
      <c r="N15" s="172">
        <f>N309</f>
        <v>2787</v>
      </c>
      <c r="O15" s="172">
        <f>O309</f>
        <v>2962</v>
      </c>
      <c r="P15" s="172">
        <f>P309</f>
        <v>659</v>
      </c>
      <c r="Q15" s="29">
        <f t="shared" si="2"/>
        <v>6408</v>
      </c>
      <c r="R15" s="15">
        <f t="shared" si="3"/>
        <v>21648</v>
      </c>
    </row>
    <row r="16" spans="1:36" ht="15.75" customHeight="1" x14ac:dyDescent="0.3">
      <c r="A16" s="235" t="s">
        <v>967</v>
      </c>
      <c r="B16" s="172">
        <f>+B310</f>
        <v>0</v>
      </c>
      <c r="C16" s="172">
        <f>+C310</f>
        <v>0</v>
      </c>
      <c r="D16" s="172">
        <f>+D310</f>
        <v>-2608</v>
      </c>
      <c r="E16" s="15">
        <f t="shared" si="4"/>
        <v>-2608</v>
      </c>
      <c r="F16" s="172">
        <f>+F310</f>
        <v>2028</v>
      </c>
      <c r="G16" s="172">
        <f>+G310</f>
        <v>3526</v>
      </c>
      <c r="H16" s="172">
        <f>+H310</f>
        <v>80</v>
      </c>
      <c r="I16" s="15">
        <f t="shared" si="0"/>
        <v>5634</v>
      </c>
      <c r="J16" s="172">
        <f>+J310</f>
        <v>-3173</v>
      </c>
      <c r="K16" s="172">
        <f>+K310</f>
        <v>-8011</v>
      </c>
      <c r="L16" s="172">
        <f>+L310</f>
        <v>-1070</v>
      </c>
      <c r="M16" s="15">
        <f t="shared" si="1"/>
        <v>-12254</v>
      </c>
      <c r="N16" s="172">
        <f>+N310</f>
        <v>2064</v>
      </c>
      <c r="O16" s="172">
        <f>+O310</f>
        <v>-6509</v>
      </c>
      <c r="P16" s="172">
        <f>+P310</f>
        <v>-2166</v>
      </c>
      <c r="Q16" s="29">
        <f t="shared" si="2"/>
        <v>-6611</v>
      </c>
      <c r="R16" s="15">
        <f t="shared" si="3"/>
        <v>-15839</v>
      </c>
    </row>
    <row r="17" spans="1:20" ht="15.75" customHeight="1" x14ac:dyDescent="0.3">
      <c r="A17" s="236" t="s">
        <v>1176</v>
      </c>
      <c r="B17" s="172">
        <f>B313</f>
        <v>62928</v>
      </c>
      <c r="C17" s="172">
        <f>C313</f>
        <v>99729</v>
      </c>
      <c r="D17" s="172">
        <f>D313</f>
        <v>62</v>
      </c>
      <c r="E17" s="15">
        <f t="shared" si="4"/>
        <v>162719</v>
      </c>
      <c r="F17" s="172">
        <f>F313</f>
        <v>11000</v>
      </c>
      <c r="G17" s="172">
        <f>G313</f>
        <v>18293</v>
      </c>
      <c r="H17" s="172">
        <f>H313</f>
        <v>1475</v>
      </c>
      <c r="I17" s="15">
        <f t="shared" si="0"/>
        <v>30768</v>
      </c>
      <c r="J17" s="172">
        <f>J313</f>
        <v>0</v>
      </c>
      <c r="K17" s="172">
        <f>K313</f>
        <v>29</v>
      </c>
      <c r="L17" s="172">
        <f>L313</f>
        <v>31893</v>
      </c>
      <c r="M17" s="15">
        <f t="shared" si="1"/>
        <v>31922</v>
      </c>
      <c r="N17" s="172">
        <f>N313</f>
        <v>39398</v>
      </c>
      <c r="O17" s="172">
        <f>O313</f>
        <v>102175</v>
      </c>
      <c r="P17" s="172">
        <f>P313</f>
        <v>25914</v>
      </c>
      <c r="Q17" s="29">
        <f t="shared" si="2"/>
        <v>167487</v>
      </c>
      <c r="R17" s="15">
        <f t="shared" si="3"/>
        <v>392896</v>
      </c>
    </row>
    <row r="18" spans="1:20" ht="15.75" customHeight="1" x14ac:dyDescent="0.3">
      <c r="A18" s="236" t="s">
        <v>662</v>
      </c>
      <c r="B18" s="172">
        <f>B325</f>
        <v>-18404</v>
      </c>
      <c r="C18" s="172">
        <f>C325</f>
        <v>0</v>
      </c>
      <c r="D18" s="172">
        <f>D325</f>
        <v>-127</v>
      </c>
      <c r="E18" s="15">
        <f t="shared" si="4"/>
        <v>-18531</v>
      </c>
      <c r="F18" s="172">
        <f>F325</f>
        <v>-13494</v>
      </c>
      <c r="G18" s="172">
        <f>G325</f>
        <v>-15508</v>
      </c>
      <c r="H18" s="172">
        <f>H325</f>
        <v>-84160</v>
      </c>
      <c r="I18" s="15">
        <f t="shared" si="0"/>
        <v>-113162</v>
      </c>
      <c r="J18" s="172">
        <f>J325</f>
        <v>-93396</v>
      </c>
      <c r="K18" s="172">
        <f>K325</f>
        <v>-75286</v>
      </c>
      <c r="L18" s="172">
        <f>L325</f>
        <v>0</v>
      </c>
      <c r="M18" s="15">
        <f t="shared" si="1"/>
        <v>-168682</v>
      </c>
      <c r="N18" s="172">
        <f>N325</f>
        <v>0</v>
      </c>
      <c r="O18" s="172">
        <f>O325</f>
        <v>-1783</v>
      </c>
      <c r="P18" s="172">
        <f>P325</f>
        <v>0</v>
      </c>
      <c r="Q18" s="29">
        <f t="shared" si="2"/>
        <v>-1783</v>
      </c>
      <c r="R18" s="15">
        <f t="shared" si="3"/>
        <v>-302158</v>
      </c>
    </row>
    <row r="19" spans="1:20" ht="16.5" customHeight="1" thickBot="1" x14ac:dyDescent="0.35">
      <c r="A19" s="237" t="s">
        <v>851</v>
      </c>
      <c r="B19" s="238">
        <f>(B29)</f>
        <v>87341</v>
      </c>
      <c r="C19" s="238">
        <f>(C29)</f>
        <v>151380</v>
      </c>
      <c r="D19" s="238">
        <f>(D29)</f>
        <v>82742</v>
      </c>
      <c r="E19" s="16">
        <f t="shared" si="4"/>
        <v>321463</v>
      </c>
      <c r="F19" s="238">
        <f>(F29)</f>
        <v>147663</v>
      </c>
      <c r="G19" s="238">
        <f>(G29)</f>
        <v>152805</v>
      </c>
      <c r="H19" s="238">
        <f>(H29)</f>
        <v>106823</v>
      </c>
      <c r="I19" s="16">
        <f t="shared" si="0"/>
        <v>407291</v>
      </c>
      <c r="J19" s="238">
        <f>(J29)</f>
        <v>97804</v>
      </c>
      <c r="K19" s="238">
        <f>(K29)</f>
        <v>103954</v>
      </c>
      <c r="L19" s="238">
        <f>(L29)</f>
        <v>159892</v>
      </c>
      <c r="M19" s="16">
        <f t="shared" si="1"/>
        <v>361650</v>
      </c>
      <c r="N19" s="238">
        <f>(N29)</f>
        <v>149685</v>
      </c>
      <c r="O19" s="238">
        <f>(O29)</f>
        <v>122354</v>
      </c>
      <c r="P19" s="238">
        <f>(P29)</f>
        <v>73912</v>
      </c>
      <c r="Q19" s="30">
        <f t="shared" si="2"/>
        <v>345951</v>
      </c>
      <c r="R19" s="16">
        <f t="shared" si="3"/>
        <v>1436355</v>
      </c>
    </row>
    <row r="20" spans="1:20" ht="16.5" customHeight="1" thickBot="1" x14ac:dyDescent="0.35">
      <c r="A20" s="237" t="s">
        <v>496</v>
      </c>
      <c r="B20" s="238">
        <v>90530</v>
      </c>
      <c r="C20" s="238">
        <v>150723</v>
      </c>
      <c r="D20" s="238">
        <v>82674</v>
      </c>
      <c r="E20" s="16">
        <f>SUM(B20:D20)</f>
        <v>323927</v>
      </c>
      <c r="F20" s="238">
        <v>143769</v>
      </c>
      <c r="G20" s="238">
        <v>153751</v>
      </c>
      <c r="H20" s="238">
        <v>103850</v>
      </c>
      <c r="I20" s="16">
        <f>SUM(F20:H20)</f>
        <v>401370</v>
      </c>
      <c r="J20" s="238">
        <v>92195</v>
      </c>
      <c r="K20" s="238">
        <v>101771</v>
      </c>
      <c r="L20" s="238">
        <v>160158</v>
      </c>
      <c r="M20" s="16">
        <f t="shared" si="1"/>
        <v>354124</v>
      </c>
      <c r="N20" s="238">
        <v>151035</v>
      </c>
      <c r="O20" s="238">
        <v>125435</v>
      </c>
      <c r="P20" s="238">
        <f>+P19</f>
        <v>73912</v>
      </c>
      <c r="Q20" s="30">
        <f>SUM(N20:P20)</f>
        <v>350382</v>
      </c>
      <c r="R20" s="16">
        <f t="shared" si="3"/>
        <v>1429803</v>
      </c>
    </row>
    <row r="21" spans="1:20" ht="15.75" customHeight="1" x14ac:dyDescent="0.3">
      <c r="A21" s="172"/>
      <c r="B21" s="172"/>
      <c r="C21" s="172"/>
      <c r="D21" s="172"/>
      <c r="E21" s="172"/>
      <c r="F21" s="172"/>
      <c r="G21" s="172"/>
      <c r="H21" s="172"/>
      <c r="I21" s="172"/>
      <c r="J21" s="172"/>
      <c r="K21" s="172"/>
      <c r="L21" s="172"/>
      <c r="M21" s="172"/>
      <c r="N21" s="172"/>
      <c r="O21" s="172"/>
      <c r="P21" s="172"/>
      <c r="Q21" s="172"/>
      <c r="R21" s="17"/>
    </row>
    <row r="22" spans="1:20" ht="15.75" customHeight="1" thickBot="1" x14ac:dyDescent="0.35">
      <c r="A22" s="172"/>
      <c r="B22" s="172"/>
      <c r="C22" s="172"/>
      <c r="D22" s="172"/>
      <c r="E22" s="172"/>
      <c r="F22" s="239" t="s">
        <v>852</v>
      </c>
      <c r="G22" s="239" t="s">
        <v>852</v>
      </c>
      <c r="H22" s="172"/>
      <c r="I22" s="172"/>
      <c r="J22" s="172"/>
      <c r="K22" s="172"/>
      <c r="L22" s="172"/>
      <c r="M22" s="172"/>
      <c r="N22" s="239" t="s">
        <v>852</v>
      </c>
      <c r="O22" s="239" t="s">
        <v>852</v>
      </c>
      <c r="P22" s="239" t="s">
        <v>852</v>
      </c>
      <c r="Q22" s="239"/>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41"/>
      <c r="B24" s="242"/>
      <c r="C24" s="242"/>
      <c r="D24" s="242"/>
      <c r="E24" s="243"/>
      <c r="F24" s="242"/>
      <c r="G24" s="242"/>
      <c r="H24" s="242"/>
      <c r="I24" s="243"/>
      <c r="J24" s="242"/>
      <c r="K24" s="242"/>
      <c r="L24" s="242"/>
      <c r="M24" s="243"/>
      <c r="N24" s="242"/>
      <c r="O24" s="242"/>
      <c r="P24" s="242"/>
      <c r="Q24" s="243"/>
      <c r="R24" s="19"/>
    </row>
    <row r="25" spans="1:20" ht="16.5" customHeight="1" thickBot="1" x14ac:dyDescent="0.35">
      <c r="A25" s="244" t="s">
        <v>853</v>
      </c>
      <c r="B25" s="238">
        <v>97</v>
      </c>
      <c r="C25" s="238">
        <v>148</v>
      </c>
      <c r="D25" s="238">
        <v>274</v>
      </c>
      <c r="E25" s="14">
        <f>SUM(B25:D25)</f>
        <v>519</v>
      </c>
      <c r="F25" s="238">
        <v>367</v>
      </c>
      <c r="G25" s="238">
        <v>425</v>
      </c>
      <c r="H25" s="238">
        <v>417</v>
      </c>
      <c r="I25" s="14">
        <f>SUM(F25:H25)</f>
        <v>1209</v>
      </c>
      <c r="J25" s="238">
        <v>416</v>
      </c>
      <c r="K25" s="238">
        <v>334</v>
      </c>
      <c r="L25" s="238">
        <v>316</v>
      </c>
      <c r="M25" s="14">
        <f>SUM(J25:L25)</f>
        <v>1066</v>
      </c>
      <c r="N25" s="238">
        <v>285</v>
      </c>
      <c r="O25" s="238">
        <v>235</v>
      </c>
      <c r="P25" s="238">
        <v>186</v>
      </c>
      <c r="Q25" s="14">
        <f>SUM(N25:P25)</f>
        <v>706</v>
      </c>
      <c r="R25" s="16">
        <f>+E25+I25+M25+Q25</f>
        <v>3500</v>
      </c>
    </row>
    <row r="26" spans="1:20" ht="17.25" customHeight="1" thickBot="1" x14ac:dyDescent="0.35">
      <c r="A26" s="22"/>
      <c r="B26" s="242"/>
      <c r="C26" s="242"/>
      <c r="D26" s="242"/>
      <c r="E26" s="21"/>
      <c r="F26" s="242"/>
      <c r="G26" s="242"/>
      <c r="H26" s="242"/>
      <c r="I26" s="21"/>
      <c r="J26" s="242"/>
      <c r="K26" s="242"/>
      <c r="L26" s="242"/>
      <c r="M26" s="21"/>
      <c r="N26" s="242"/>
      <c r="O26" s="242"/>
      <c r="P26" s="242"/>
      <c r="Q26" s="21"/>
      <c r="R26" s="13"/>
    </row>
    <row r="27" spans="1:20" ht="15.75" customHeight="1" x14ac:dyDescent="0.3">
      <c r="A27" s="234" t="s">
        <v>2011</v>
      </c>
      <c r="B27" s="172">
        <f>B25</f>
        <v>97</v>
      </c>
      <c r="C27" s="172">
        <f>C25</f>
        <v>148</v>
      </c>
      <c r="D27" s="172">
        <f>D25</f>
        <v>274</v>
      </c>
      <c r="E27" s="14">
        <f>SUM(B27:D27)</f>
        <v>519</v>
      </c>
      <c r="F27" s="172">
        <f>F25</f>
        <v>367</v>
      </c>
      <c r="G27" s="172">
        <f>G25</f>
        <v>425</v>
      </c>
      <c r="H27" s="172">
        <f>H25</f>
        <v>417</v>
      </c>
      <c r="I27" s="14">
        <f>SUM(F27:H27)</f>
        <v>1209</v>
      </c>
      <c r="J27" s="172">
        <f>J25</f>
        <v>416</v>
      </c>
      <c r="K27" s="172">
        <f>K25</f>
        <v>334</v>
      </c>
      <c r="L27" s="172">
        <f>L25</f>
        <v>316</v>
      </c>
      <c r="M27" s="14">
        <f>SUM(J27:L27)</f>
        <v>1066</v>
      </c>
      <c r="N27" s="172">
        <f>N25</f>
        <v>285</v>
      </c>
      <c r="O27" s="172">
        <f>O25</f>
        <v>235</v>
      </c>
      <c r="P27" s="172">
        <f>P25</f>
        <v>186</v>
      </c>
      <c r="Q27" s="28">
        <f>SUM(N27:P27)</f>
        <v>706</v>
      </c>
      <c r="R27" s="14">
        <f>+E27+I27+M27+Q27</f>
        <v>3500</v>
      </c>
    </row>
    <row r="28" spans="1:20" ht="15.75" customHeight="1" x14ac:dyDescent="0.3">
      <c r="A28" s="234" t="s">
        <v>1897</v>
      </c>
      <c r="B28" s="172">
        <f>(B27/B10)/1.983</f>
        <v>1.5779285214647079</v>
      </c>
      <c r="C28" s="172">
        <f>(C27/C10)/1.983</f>
        <v>2.6655140119587926</v>
      </c>
      <c r="D28" s="172">
        <f>(D27/D10)/1.983</f>
        <v>4.457241390529175</v>
      </c>
      <c r="E28" s="15"/>
      <c r="F28" s="172">
        <f>(F27/F10)/1.983</f>
        <v>6.1691040511010247</v>
      </c>
      <c r="G28" s="172">
        <f>(G27/G10)/1.983</f>
        <v>6.9136043466237203</v>
      </c>
      <c r="H28" s="172">
        <f>(H27/H10)/1.983</f>
        <v>7.0095814422592033</v>
      </c>
      <c r="I28" s="15"/>
      <c r="J28" s="172">
        <f>(J27/J10)/1.983</f>
        <v>6.7671986075187478</v>
      </c>
      <c r="K28" s="172">
        <f>(K27/K10)/1.983</f>
        <v>5.433279651228994</v>
      </c>
      <c r="L28" s="172">
        <f>(L27/L10)/1.983</f>
        <v>5.3118171121196838</v>
      </c>
      <c r="M28" s="15"/>
      <c r="N28" s="172">
        <f>(N27/N10)/1.983</f>
        <v>4.6361817383241419</v>
      </c>
      <c r="O28" s="172">
        <f>(O27/O10)/1.983</f>
        <v>3.9502437384434357</v>
      </c>
      <c r="P28" s="172">
        <f>(P27/P10)/1.983</f>
        <v>3.02571860816944</v>
      </c>
      <c r="Q28" s="29"/>
      <c r="R28" s="15"/>
    </row>
    <row r="29" spans="1:20" ht="15.75" customHeight="1" x14ac:dyDescent="0.3">
      <c r="A29" s="234" t="s">
        <v>1119</v>
      </c>
      <c r="B29" s="172">
        <f>B27+B64</f>
        <v>87341</v>
      </c>
      <c r="C29" s="172">
        <f>C27+C64</f>
        <v>151380</v>
      </c>
      <c r="D29" s="172">
        <f>D27+D64</f>
        <v>82742</v>
      </c>
      <c r="E29" s="15">
        <f>SUM(B29:D29)</f>
        <v>321463</v>
      </c>
      <c r="F29" s="172">
        <f>F27+F64</f>
        <v>147663</v>
      </c>
      <c r="G29" s="172">
        <f>G27+G64</f>
        <v>152805</v>
      </c>
      <c r="H29" s="172">
        <f>H27+H64</f>
        <v>106823</v>
      </c>
      <c r="I29" s="15">
        <f>SUM(F29:H29)</f>
        <v>407291</v>
      </c>
      <c r="J29" s="172">
        <f>J27+J64</f>
        <v>97804</v>
      </c>
      <c r="K29" s="172">
        <f>K27+K64</f>
        <v>103954</v>
      </c>
      <c r="L29" s="172">
        <f>L27+L64</f>
        <v>159892</v>
      </c>
      <c r="M29" s="15">
        <f>SUM(J29:L29)</f>
        <v>361650</v>
      </c>
      <c r="N29" s="172">
        <f>N27+N64</f>
        <v>149685</v>
      </c>
      <c r="O29" s="172">
        <f>O27+O64</f>
        <v>122354</v>
      </c>
      <c r="P29" s="172">
        <f>P27+P64</f>
        <v>73912</v>
      </c>
      <c r="Q29" s="29">
        <f>SUM(N29:P29)</f>
        <v>345951</v>
      </c>
      <c r="R29" s="15">
        <f>+E29+I29+M29+Q29</f>
        <v>1436355</v>
      </c>
    </row>
    <row r="30" spans="1:20" s="574" customFormat="1" ht="16.5" customHeight="1" thickBot="1" x14ac:dyDescent="0.35">
      <c r="A30" s="570" t="s">
        <v>1968</v>
      </c>
      <c r="B30" s="571">
        <f>(B29/B10)/1.983</f>
        <v>1420.8026287963821</v>
      </c>
      <c r="C30" s="571">
        <f>(C29/C10)/1.983</f>
        <v>2726.3885887183919</v>
      </c>
      <c r="D30" s="571">
        <f>(D29/D10)/1.983</f>
        <v>1345.9892961137409</v>
      </c>
      <c r="E30" s="572"/>
      <c r="F30" s="571">
        <f>(F29/F10)/1.983</f>
        <v>2482.1482602118003</v>
      </c>
      <c r="G30" s="571">
        <f>(G29/G10)/1.983</f>
        <v>2485.7254404372648</v>
      </c>
      <c r="H30" s="571">
        <f>(H29/H10)/1.983</f>
        <v>1795.6463271138007</v>
      </c>
      <c r="I30" s="572"/>
      <c r="J30" s="571">
        <f>(J29/J10)/1.983</f>
        <v>1591.0074341580855</v>
      </c>
      <c r="K30" s="571">
        <f>(K29/K10)/1.983</f>
        <v>1691.051355879817</v>
      </c>
      <c r="L30" s="571">
        <f>(L29/L10)/1.983</f>
        <v>2687.7122205412675</v>
      </c>
      <c r="M30" s="572"/>
      <c r="N30" s="571">
        <f>(N29/N10)/1.983</f>
        <v>2434.9714508808747</v>
      </c>
      <c r="O30" s="571">
        <f>(O29/O10)/1.983</f>
        <v>2056.7154143553539</v>
      </c>
      <c r="P30" s="571">
        <f>(P29/P10)/1.983</f>
        <v>1202.3489987474177</v>
      </c>
      <c r="Q30" s="573"/>
      <c r="R30" s="572"/>
      <c r="T30" s="575" t="s">
        <v>2172</v>
      </c>
    </row>
    <row r="31" spans="1:20" ht="15.75" customHeight="1" x14ac:dyDescent="0.3">
      <c r="A31" s="17"/>
      <c r="B31" s="172"/>
      <c r="C31" s="172"/>
      <c r="D31" s="172"/>
      <c r="E31" s="172"/>
      <c r="F31" s="172"/>
      <c r="G31" s="172"/>
      <c r="H31" s="172"/>
      <c r="I31" s="172"/>
      <c r="J31" s="172"/>
      <c r="K31" s="172"/>
      <c r="L31" s="172"/>
      <c r="M31" s="172"/>
      <c r="N31" s="172"/>
      <c r="O31" s="172"/>
      <c r="P31" s="172"/>
      <c r="Q31" s="172"/>
      <c r="R31" s="17"/>
      <c r="T31" s="350" t="s">
        <v>2173</v>
      </c>
    </row>
    <row r="32" spans="1:20" ht="15.75" customHeight="1" thickBot="1" x14ac:dyDescent="0.35">
      <c r="A32" s="17"/>
      <c r="B32" s="172"/>
      <c r="C32" s="172"/>
      <c r="D32" s="172"/>
      <c r="E32" s="172"/>
      <c r="F32" s="172"/>
      <c r="G32" s="172"/>
      <c r="H32" s="172"/>
      <c r="I32" s="172"/>
      <c r="J32" s="172"/>
      <c r="K32" s="172"/>
      <c r="L32" s="172"/>
      <c r="M32" s="172"/>
      <c r="N32" s="172"/>
      <c r="O32" s="172"/>
      <c r="P32" s="172"/>
      <c r="Q32" s="172"/>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246"/>
      <c r="C34" s="232"/>
      <c r="D34" s="232"/>
      <c r="E34" s="233"/>
      <c r="F34" s="232"/>
      <c r="G34" s="232"/>
      <c r="H34" s="232"/>
      <c r="I34" s="233"/>
      <c r="J34" s="232"/>
      <c r="K34" s="232"/>
      <c r="L34" s="232"/>
      <c r="M34" s="233"/>
      <c r="N34" s="232"/>
      <c r="O34" s="232"/>
      <c r="P34" s="232"/>
      <c r="Q34" s="233"/>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72"/>
      <c r="C38" s="172"/>
      <c r="D38" s="172"/>
      <c r="E38" s="38">
        <f>SUM(B38:D38)</f>
        <v>0</v>
      </c>
      <c r="F38" s="172"/>
      <c r="G38" s="172"/>
      <c r="H38" s="172"/>
      <c r="I38" s="38">
        <f>SUM(F38:H38)</f>
        <v>0</v>
      </c>
      <c r="J38" s="172"/>
      <c r="K38" s="172"/>
      <c r="L38" s="172"/>
      <c r="M38" s="38">
        <f>SUM(J38:L38)</f>
        <v>0</v>
      </c>
      <c r="N38" s="172"/>
      <c r="O38" s="172"/>
      <c r="P38" s="172"/>
      <c r="Q38" s="38">
        <f>SUM(N38:P38)</f>
        <v>0</v>
      </c>
      <c r="R38" s="38">
        <f>+E38+I38+M38+Q38</f>
        <v>0</v>
      </c>
    </row>
    <row r="39" spans="1:18" ht="15.75" customHeight="1" x14ac:dyDescent="0.3">
      <c r="A39" s="235" t="s">
        <v>3245</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72"/>
      <c r="C54" s="172"/>
      <c r="D54" s="172"/>
      <c r="E54" s="38">
        <f>SUM(B54:D54)</f>
        <v>0</v>
      </c>
      <c r="F54" s="172"/>
      <c r="G54" s="172"/>
      <c r="H54" s="172"/>
      <c r="I54" s="38">
        <f>SUM(F54:H54)</f>
        <v>0</v>
      </c>
      <c r="J54" s="172"/>
      <c r="K54" s="172"/>
      <c r="L54" s="172"/>
      <c r="M54" s="38">
        <f>SUM(J54:L54)</f>
        <v>0</v>
      </c>
      <c r="N54" s="172"/>
      <c r="O54" s="172"/>
      <c r="P54" s="172"/>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customHeight="1" thickBot="1" x14ac:dyDescent="0.35">
      <c r="A60" s="250" t="s">
        <v>853</v>
      </c>
      <c r="B60" s="251">
        <v>96</v>
      </c>
      <c r="C60" s="251">
        <v>145</v>
      </c>
      <c r="D60" s="251">
        <v>261</v>
      </c>
      <c r="E60" s="21">
        <f>SUM(B60:D60)</f>
        <v>502</v>
      </c>
      <c r="F60" s="251">
        <v>350</v>
      </c>
      <c r="G60" s="251">
        <v>402</v>
      </c>
      <c r="H60" s="251">
        <v>396</v>
      </c>
      <c r="I60" s="21">
        <f>SUM(F60:H60)</f>
        <v>1148</v>
      </c>
      <c r="J60" s="251">
        <v>394</v>
      </c>
      <c r="K60" s="251">
        <v>318</v>
      </c>
      <c r="L60" s="251">
        <v>301</v>
      </c>
      <c r="M60" s="21">
        <f>SUM(J60:L60)</f>
        <v>1013</v>
      </c>
      <c r="N60" s="251">
        <v>272</v>
      </c>
      <c r="O60" s="251">
        <v>226</v>
      </c>
      <c r="P60" s="251">
        <v>179</v>
      </c>
      <c r="Q60" s="21">
        <f>SUM(N60:P60)</f>
        <v>677</v>
      </c>
      <c r="R60" s="21">
        <f>+E60+I60+M60+Q60</f>
        <v>3340</v>
      </c>
    </row>
    <row r="61" spans="1:18" ht="16.5" customHeight="1" thickBot="1" x14ac:dyDescent="0.35">
      <c r="A61" s="22"/>
      <c r="B61" s="242"/>
      <c r="C61" s="242"/>
      <c r="D61" s="242"/>
      <c r="E61" s="16"/>
      <c r="F61" s="242"/>
      <c r="G61" s="242"/>
      <c r="H61" s="242"/>
      <c r="I61" s="16"/>
      <c r="J61" s="242"/>
      <c r="K61" s="242"/>
      <c r="L61" s="242"/>
      <c r="M61" s="16"/>
      <c r="N61" s="242"/>
      <c r="O61" s="242"/>
      <c r="P61" s="242"/>
      <c r="Q61" s="16"/>
      <c r="R61" s="22"/>
    </row>
    <row r="62" spans="1:18" ht="15.75" customHeight="1" x14ac:dyDescent="0.3">
      <c r="A62" s="234" t="s">
        <v>2011</v>
      </c>
      <c r="B62" s="172">
        <f>+B59+B60</f>
        <v>96</v>
      </c>
      <c r="C62" s="172">
        <f>+C59+C60</f>
        <v>145</v>
      </c>
      <c r="D62" s="172">
        <f>+D59+D60</f>
        <v>261</v>
      </c>
      <c r="E62" s="14">
        <f>SUM(B62:D62)</f>
        <v>502</v>
      </c>
      <c r="F62" s="172">
        <f>+F59+F60</f>
        <v>350</v>
      </c>
      <c r="G62" s="172">
        <f>+G59+G60</f>
        <v>402</v>
      </c>
      <c r="H62" s="172">
        <f>+H59+H60</f>
        <v>396</v>
      </c>
      <c r="I62" s="14">
        <f>SUM(F62:H62)</f>
        <v>1148</v>
      </c>
      <c r="J62" s="172">
        <f>+J59+J60</f>
        <v>394</v>
      </c>
      <c r="K62" s="172">
        <f>+K59+K60</f>
        <v>318</v>
      </c>
      <c r="L62" s="172">
        <f>+L59+L60</f>
        <v>301</v>
      </c>
      <c r="M62" s="14">
        <f>SUM(J62:L62)</f>
        <v>1013</v>
      </c>
      <c r="N62" s="172">
        <f>+N59+N60</f>
        <v>272</v>
      </c>
      <c r="O62" s="172">
        <f>+O59+O60</f>
        <v>226</v>
      </c>
      <c r="P62" s="172">
        <f>+P59+P60</f>
        <v>179</v>
      </c>
      <c r="Q62" s="28">
        <f>SUM(N62:P62)</f>
        <v>677</v>
      </c>
      <c r="R62" s="15">
        <f>+E62+I62+M62+Q62</f>
        <v>3340</v>
      </c>
    </row>
    <row r="63" spans="1:18" ht="15.75" customHeight="1" x14ac:dyDescent="0.3">
      <c r="A63" s="234" t="s">
        <v>1897</v>
      </c>
      <c r="B63" s="172">
        <f>(B62/B10)/1.983</f>
        <v>1.5616612171197111</v>
      </c>
      <c r="C63" s="172">
        <f>(C62/C10)/1.983</f>
        <v>2.6114833225271954</v>
      </c>
      <c r="D63" s="172">
        <f>(D62/D10)/1.983</f>
        <v>4.2457664340442145</v>
      </c>
      <c r="E63" s="15"/>
      <c r="F63" s="172">
        <f>(F62/F10)/1.983</f>
        <v>5.8833417381072444</v>
      </c>
      <c r="G63" s="172">
        <f>(G62/G10)/1.983</f>
        <v>6.5394563466887892</v>
      </c>
      <c r="H63" s="172">
        <f>(H62/H10)/1.983</f>
        <v>6.6565809379727678</v>
      </c>
      <c r="I63" s="15"/>
      <c r="J63" s="172">
        <f>(J62/J10)/1.983</f>
        <v>6.4093179119288139</v>
      </c>
      <c r="K63" s="172">
        <f>(K62/K10)/1.983</f>
        <v>5.1730027817090427</v>
      </c>
      <c r="L63" s="172">
        <f>(L62/L10)/1.983</f>
        <v>5.0596738947722306</v>
      </c>
      <c r="M63" s="15"/>
      <c r="N63" s="172">
        <f>(N62/N10)/1.983</f>
        <v>4.4247067818391805</v>
      </c>
      <c r="O63" s="172">
        <f>(O62/O10)/1.983</f>
        <v>3.7989578080349635</v>
      </c>
      <c r="P63" s="172">
        <f>(P62/P10)/1.983</f>
        <v>2.9118474777544612</v>
      </c>
      <c r="Q63" s="29"/>
      <c r="R63" s="20"/>
    </row>
    <row r="64" spans="1:18" ht="15.75" customHeight="1" x14ac:dyDescent="0.3">
      <c r="A64" s="234" t="s">
        <v>1969</v>
      </c>
      <c r="B64" s="172">
        <f>B62+B133</f>
        <v>87244</v>
      </c>
      <c r="C64" s="172">
        <f>C62+C133</f>
        <v>151232</v>
      </c>
      <c r="D64" s="172">
        <f>D62+D133</f>
        <v>82468</v>
      </c>
      <c r="E64" s="15">
        <f>SUM(B64:D64)</f>
        <v>320944</v>
      </c>
      <c r="F64" s="172">
        <f>F62+F133</f>
        <v>147296</v>
      </c>
      <c r="G64" s="172">
        <f>G62+G133</f>
        <v>152380</v>
      </c>
      <c r="H64" s="172">
        <f>H62+H133</f>
        <v>106406</v>
      </c>
      <c r="I64" s="15">
        <f>SUM(F64:H64)</f>
        <v>406082</v>
      </c>
      <c r="J64" s="172">
        <f>J62+J133</f>
        <v>97388</v>
      </c>
      <c r="K64" s="172">
        <f>K62+K133</f>
        <v>103620</v>
      </c>
      <c r="L64" s="172">
        <f>L62+L133</f>
        <v>159576</v>
      </c>
      <c r="M64" s="15">
        <f>SUM(J64:L64)</f>
        <v>360584</v>
      </c>
      <c r="N64" s="172">
        <f>N62+N133</f>
        <v>149400</v>
      </c>
      <c r="O64" s="172">
        <f>O62+O133</f>
        <v>122119</v>
      </c>
      <c r="P64" s="172">
        <f>P62+P133</f>
        <v>73726</v>
      </c>
      <c r="Q64" s="29">
        <f>SUM(N64:P64)</f>
        <v>345245</v>
      </c>
      <c r="R64" s="15">
        <f>+E64+I64+M64+Q64</f>
        <v>1432855</v>
      </c>
    </row>
    <row r="65" spans="1:20" ht="16.5" customHeight="1" thickBot="1" x14ac:dyDescent="0.35">
      <c r="A65" s="237" t="s">
        <v>1970</v>
      </c>
      <c r="B65" s="238">
        <f>(B64/B10)/1.983</f>
        <v>1419.2247002749175</v>
      </c>
      <c r="C65" s="238">
        <f>(C64/C10)/1.983</f>
        <v>2723.7230747064332</v>
      </c>
      <c r="D65" s="238">
        <f>(D64/D10)/1.983</f>
        <v>1341.5320547232118</v>
      </c>
      <c r="E65" s="16"/>
      <c r="F65" s="238">
        <f>(F64/F10)/1.983</f>
        <v>2475.9791561606994</v>
      </c>
      <c r="G65" s="238">
        <f>(G64/G10)/1.983</f>
        <v>2478.811836090641</v>
      </c>
      <c r="H65" s="238">
        <f>(H64/H10)/1.983</f>
        <v>1788.6367456715413</v>
      </c>
      <c r="I65" s="16"/>
      <c r="J65" s="238">
        <f>(J64/J10)/1.983</f>
        <v>1584.2402355505669</v>
      </c>
      <c r="K65" s="238">
        <f>(K64/K10)/1.983</f>
        <v>1685.6180762285881</v>
      </c>
      <c r="L65" s="238">
        <f>(L64/L10)/1.983</f>
        <v>2682.4004034291474</v>
      </c>
      <c r="M65" s="16"/>
      <c r="N65" s="238">
        <f>(N64/N10)/1.983</f>
        <v>2430.3352691425503</v>
      </c>
      <c r="O65" s="238">
        <f>(O64/O10)/1.983</f>
        <v>2052.7651706169104</v>
      </c>
      <c r="P65" s="238">
        <f>(P64/P10)/1.983</f>
        <v>1199.3232801392483</v>
      </c>
      <c r="Q65" s="30"/>
      <c r="R65" s="23" t="s">
        <v>852</v>
      </c>
    </row>
    <row r="66" spans="1:20" ht="15.75" customHeight="1" x14ac:dyDescent="0.3">
      <c r="A66" s="17"/>
      <c r="B66" s="172"/>
      <c r="C66" s="172"/>
      <c r="D66" s="172"/>
      <c r="E66" s="172"/>
      <c r="F66" s="172"/>
      <c r="G66" s="172"/>
      <c r="H66" s="172"/>
      <c r="I66" s="172"/>
      <c r="J66" s="172"/>
      <c r="K66" s="172"/>
      <c r="L66" s="172"/>
      <c r="M66" s="172"/>
      <c r="N66" s="172"/>
      <c r="O66" s="172"/>
      <c r="P66" s="172"/>
      <c r="Q66" s="172"/>
      <c r="R66" s="17"/>
    </row>
    <row r="67" spans="1:20" ht="15.75" customHeight="1" thickBot="1" x14ac:dyDescent="0.35">
      <c r="A67" s="17"/>
      <c r="B67" s="172"/>
      <c r="C67" s="172"/>
      <c r="D67" s="172"/>
      <c r="E67" s="172"/>
      <c r="F67" s="172"/>
      <c r="G67" s="172"/>
      <c r="H67" s="172"/>
      <c r="I67" s="172"/>
      <c r="J67" s="172"/>
      <c r="K67" s="172"/>
      <c r="L67" s="172"/>
      <c r="M67" s="172"/>
      <c r="N67" s="172"/>
      <c r="O67" s="172"/>
      <c r="P67" s="172"/>
      <c r="Q67" s="172"/>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231"/>
      <c r="C69" s="253"/>
      <c r="D69" s="253"/>
      <c r="E69" s="254"/>
      <c r="F69" s="253"/>
      <c r="G69" s="253"/>
      <c r="H69" s="253"/>
      <c r="I69" s="254"/>
      <c r="J69" s="253"/>
      <c r="K69" s="253"/>
      <c r="L69" s="253"/>
      <c r="M69" s="254"/>
      <c r="N69" s="253"/>
      <c r="O69" s="253"/>
      <c r="P69" s="255"/>
      <c r="Q69" s="254"/>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72"/>
      <c r="C72" s="172"/>
      <c r="D72" s="172"/>
      <c r="E72" s="38">
        <f t="shared" ref="E72:E82" si="5">SUM(B72:D72)</f>
        <v>0</v>
      </c>
      <c r="F72" s="172"/>
      <c r="G72" s="172"/>
      <c r="H72" s="172"/>
      <c r="I72" s="38">
        <f t="shared" ref="I72:I82" si="6">SUM(F72:H72)</f>
        <v>0</v>
      </c>
      <c r="J72" s="172"/>
      <c r="K72" s="172"/>
      <c r="L72" s="172"/>
      <c r="M72" s="38">
        <f t="shared" ref="M72:M82" si="7">SUM(J72:L72)</f>
        <v>0</v>
      </c>
      <c r="N72" s="172"/>
      <c r="O72" s="172"/>
      <c r="P72" s="172"/>
      <c r="Q72" s="38">
        <f t="shared" ref="Q72:Q82" si="8">SUM(N72:P72)</f>
        <v>0</v>
      </c>
      <c r="R72" s="38">
        <f t="shared" ref="R72:R82" si="9">+E72+I72+M72+Q72</f>
        <v>0</v>
      </c>
    </row>
    <row r="73" spans="1:20" ht="15.75" customHeight="1" x14ac:dyDescent="0.3">
      <c r="A73" s="539" t="s">
        <v>2732</v>
      </c>
      <c r="B73" s="172"/>
      <c r="C73" s="172"/>
      <c r="D73" s="172"/>
      <c r="E73" s="38">
        <f>SUM(B73:D73)</f>
        <v>0</v>
      </c>
      <c r="F73" s="172"/>
      <c r="G73" s="172"/>
      <c r="H73" s="172"/>
      <c r="I73" s="38">
        <f>SUM(F73:H73)</f>
        <v>0</v>
      </c>
      <c r="J73" s="172"/>
      <c r="K73" s="172"/>
      <c r="L73" s="172"/>
      <c r="M73" s="38">
        <f>SUM(J73:L73)</f>
        <v>0</v>
      </c>
      <c r="N73" s="172"/>
      <c r="O73" s="172"/>
      <c r="P73" s="172"/>
      <c r="Q73" s="38">
        <f>SUM(N73:P73)</f>
        <v>0</v>
      </c>
      <c r="R73" s="38">
        <f>+E73+I73+M73+Q73</f>
        <v>0</v>
      </c>
    </row>
    <row r="74" spans="1:20" ht="15.75" customHeight="1" x14ac:dyDescent="0.3">
      <c r="A74" s="539" t="s">
        <v>2060</v>
      </c>
      <c r="B74" s="172"/>
      <c r="C74" s="172"/>
      <c r="D74" s="172"/>
      <c r="E74" s="38">
        <f t="shared" si="5"/>
        <v>0</v>
      </c>
      <c r="F74" s="172"/>
      <c r="G74" s="172"/>
      <c r="H74" s="172"/>
      <c r="I74" s="38">
        <f t="shared" si="6"/>
        <v>0</v>
      </c>
      <c r="J74" s="172"/>
      <c r="K74" s="172"/>
      <c r="L74" s="172"/>
      <c r="M74" s="38">
        <f t="shared" si="7"/>
        <v>0</v>
      </c>
      <c r="N74" s="172"/>
      <c r="O74" s="172"/>
      <c r="P74" s="172"/>
      <c r="Q74" s="38">
        <f t="shared" si="8"/>
        <v>0</v>
      </c>
      <c r="R74" s="38">
        <f t="shared" si="9"/>
        <v>0</v>
      </c>
    </row>
    <row r="75" spans="1:20" ht="15.75" customHeight="1" x14ac:dyDescent="0.3">
      <c r="A75" s="539" t="s">
        <v>2773</v>
      </c>
      <c r="B75" s="10"/>
      <c r="C75" s="10"/>
      <c r="D75" s="10"/>
      <c r="E75" s="38">
        <f t="shared" si="5"/>
        <v>0</v>
      </c>
      <c r="F75" s="10"/>
      <c r="G75" s="10"/>
      <c r="H75" s="10"/>
      <c r="I75" s="38">
        <f t="shared" si="6"/>
        <v>0</v>
      </c>
      <c r="K75" s="10"/>
      <c r="L75" s="10"/>
      <c r="M75" s="38">
        <f t="shared" si="7"/>
        <v>0</v>
      </c>
      <c r="N75" s="10"/>
      <c r="O75" s="10"/>
      <c r="P75" s="10"/>
      <c r="Q75" s="38">
        <f t="shared" si="8"/>
        <v>0</v>
      </c>
      <c r="R75" s="38">
        <f t="shared" si="9"/>
        <v>0</v>
      </c>
      <c r="T75" t="s">
        <v>2774</v>
      </c>
    </row>
    <row r="76" spans="1:20" ht="15.75" customHeight="1" x14ac:dyDescent="0.3">
      <c r="A76" s="539" t="s">
        <v>3240</v>
      </c>
      <c r="B76" s="172">
        <v>361</v>
      </c>
      <c r="C76" s="172">
        <v>48</v>
      </c>
      <c r="D76" s="172">
        <v>798</v>
      </c>
      <c r="E76" s="38">
        <f t="shared" si="5"/>
        <v>1207</v>
      </c>
      <c r="F76" s="172">
        <v>1707</v>
      </c>
      <c r="G76" s="172">
        <v>1573</v>
      </c>
      <c r="H76" s="172">
        <v>1619</v>
      </c>
      <c r="I76" s="38">
        <f t="shared" si="6"/>
        <v>4899</v>
      </c>
      <c r="J76" s="172">
        <v>721</v>
      </c>
      <c r="K76" s="172">
        <v>467</v>
      </c>
      <c r="L76" s="172"/>
      <c r="M76" s="38">
        <f t="shared" si="7"/>
        <v>1188</v>
      </c>
      <c r="N76" s="172"/>
      <c r="O76" s="172"/>
      <c r="P76" s="172"/>
      <c r="Q76" s="38">
        <f t="shared" si="8"/>
        <v>0</v>
      </c>
      <c r="R76" s="38">
        <f t="shared" si="9"/>
        <v>7294</v>
      </c>
      <c r="S76" s="736" t="s">
        <v>3213</v>
      </c>
      <c r="T76" t="s">
        <v>2774</v>
      </c>
    </row>
    <row r="77" spans="1:20" ht="15.75" customHeight="1" x14ac:dyDescent="0.3">
      <c r="A77" s="539" t="s">
        <v>2262</v>
      </c>
      <c r="B77" s="172"/>
      <c r="C77" s="172"/>
      <c r="D77" s="172"/>
      <c r="E77" s="38">
        <f t="shared" si="5"/>
        <v>0</v>
      </c>
      <c r="F77" s="172"/>
      <c r="G77" s="172"/>
      <c r="H77" s="172"/>
      <c r="I77" s="38">
        <f t="shared" si="6"/>
        <v>0</v>
      </c>
      <c r="J77" s="172"/>
      <c r="K77" s="172"/>
      <c r="L77" s="172"/>
      <c r="M77" s="38">
        <f t="shared" si="7"/>
        <v>0</v>
      </c>
      <c r="N77" s="172"/>
      <c r="O77" s="172"/>
      <c r="P77" s="172"/>
      <c r="Q77" s="38">
        <f t="shared" si="8"/>
        <v>0</v>
      </c>
      <c r="R77" s="38">
        <f t="shared" si="9"/>
        <v>0</v>
      </c>
    </row>
    <row r="78" spans="1:20" ht="15.75" customHeight="1" x14ac:dyDescent="0.3">
      <c r="A78" s="539" t="s">
        <v>789</v>
      </c>
      <c r="B78" s="172"/>
      <c r="C78" s="172"/>
      <c r="D78" s="172"/>
      <c r="E78" s="38">
        <f t="shared" si="5"/>
        <v>0</v>
      </c>
      <c r="F78" s="172"/>
      <c r="G78" s="172"/>
      <c r="H78" s="172"/>
      <c r="I78" s="38">
        <f t="shared" si="6"/>
        <v>0</v>
      </c>
      <c r="J78" s="172"/>
      <c r="K78" s="172"/>
      <c r="L78" s="172"/>
      <c r="M78" s="38">
        <f t="shared" si="7"/>
        <v>0</v>
      </c>
      <c r="N78" s="172"/>
      <c r="O78" s="172"/>
      <c r="P78" s="172"/>
      <c r="Q78" s="38">
        <f t="shared" si="8"/>
        <v>0</v>
      </c>
      <c r="R78" s="38">
        <f t="shared" si="9"/>
        <v>0</v>
      </c>
      <c r="T78" t="s">
        <v>2799</v>
      </c>
    </row>
    <row r="79" spans="1:20" ht="15.75" customHeight="1" x14ac:dyDescent="0.3">
      <c r="A79" s="410" t="s">
        <v>3130</v>
      </c>
      <c r="B79" s="10"/>
      <c r="C79" s="10"/>
      <c r="D79" s="10"/>
      <c r="E79" s="38">
        <f t="shared" si="5"/>
        <v>0</v>
      </c>
      <c r="F79" s="10"/>
      <c r="G79" s="10">
        <v>512</v>
      </c>
      <c r="H79" s="10">
        <v>512</v>
      </c>
      <c r="I79" s="38">
        <f t="shared" si="6"/>
        <v>1024</v>
      </c>
      <c r="J79" s="10">
        <v>512</v>
      </c>
      <c r="K79" s="10">
        <v>512</v>
      </c>
      <c r="L79" s="10"/>
      <c r="M79" s="38">
        <f t="shared" si="7"/>
        <v>1024</v>
      </c>
      <c r="N79" s="10"/>
      <c r="O79" s="10"/>
      <c r="P79" s="10"/>
      <c r="Q79" s="38">
        <f t="shared" si="8"/>
        <v>0</v>
      </c>
      <c r="R79" s="38">
        <f t="shared" si="9"/>
        <v>2048</v>
      </c>
    </row>
    <row r="80" spans="1:20" ht="15.75" customHeight="1" x14ac:dyDescent="0.3">
      <c r="A80" s="410" t="s">
        <v>2183</v>
      </c>
      <c r="B80" s="172"/>
      <c r="C80" s="172"/>
      <c r="D80" s="172"/>
      <c r="E80" s="38">
        <f t="shared" si="5"/>
        <v>0</v>
      </c>
      <c r="F80" s="172"/>
      <c r="G80" s="172"/>
      <c r="H80" s="172"/>
      <c r="I80" s="38">
        <f t="shared" si="6"/>
        <v>0</v>
      </c>
      <c r="J80" s="172"/>
      <c r="K80" s="172"/>
      <c r="L80" s="172"/>
      <c r="M80" s="38">
        <f t="shared" si="7"/>
        <v>0</v>
      </c>
      <c r="N80" s="172"/>
      <c r="O80" s="172"/>
      <c r="P80" s="172"/>
      <c r="Q80" s="38">
        <f t="shared" si="8"/>
        <v>0</v>
      </c>
      <c r="R80" s="38">
        <f t="shared" si="9"/>
        <v>0</v>
      </c>
    </row>
    <row r="81" spans="1:20" ht="15.75" customHeight="1" x14ac:dyDescent="0.3">
      <c r="A81" s="410" t="s">
        <v>2947</v>
      </c>
      <c r="B81" s="172"/>
      <c r="C81" s="172"/>
      <c r="D81" s="172"/>
      <c r="E81" s="38">
        <f>SUM(B81:D81)</f>
        <v>0</v>
      </c>
      <c r="F81" s="172"/>
      <c r="G81" s="172"/>
      <c r="H81" s="172"/>
      <c r="I81" s="38">
        <f>SUM(F81:H81)</f>
        <v>0</v>
      </c>
      <c r="J81" s="172"/>
      <c r="K81" s="172"/>
      <c r="L81" s="172"/>
      <c r="M81" s="38">
        <f>SUM(J81:L81)</f>
        <v>0</v>
      </c>
      <c r="N81" s="172"/>
      <c r="O81" s="172"/>
      <c r="P81" s="172"/>
      <c r="Q81" s="38">
        <f>SUM(N81:P81)</f>
        <v>0</v>
      </c>
      <c r="R81" s="38">
        <f t="shared" si="9"/>
        <v>0</v>
      </c>
    </row>
    <row r="82" spans="1:20" ht="15.75" customHeight="1" x14ac:dyDescent="0.3">
      <c r="A82" s="410" t="s">
        <v>86</v>
      </c>
      <c r="B82" s="172"/>
      <c r="C82" s="172"/>
      <c r="D82" s="172"/>
      <c r="E82" s="38">
        <f t="shared" si="5"/>
        <v>0</v>
      </c>
      <c r="F82" s="172"/>
      <c r="G82" s="172"/>
      <c r="H82" s="172"/>
      <c r="I82" s="38">
        <f t="shared" si="6"/>
        <v>0</v>
      </c>
      <c r="J82" s="172"/>
      <c r="K82" s="172"/>
      <c r="L82" s="172"/>
      <c r="M82" s="38">
        <f t="shared" si="7"/>
        <v>0</v>
      </c>
      <c r="N82" s="172"/>
      <c r="O82" s="172"/>
      <c r="P82" s="172"/>
      <c r="Q82" s="38">
        <f t="shared" si="8"/>
        <v>0</v>
      </c>
      <c r="R82" s="38">
        <f t="shared" si="9"/>
        <v>0</v>
      </c>
      <c r="S82">
        <f>SUM(R72:R82)</f>
        <v>9342</v>
      </c>
    </row>
    <row r="83" spans="1:20" ht="15.75" customHeight="1" x14ac:dyDescent="0.3">
      <c r="A83" s="235" t="s">
        <v>2161</v>
      </c>
      <c r="B83" s="18"/>
      <c r="C83" s="18"/>
      <c r="D83" s="18"/>
      <c r="E83" s="38" t="s">
        <v>852</v>
      </c>
      <c r="F83" s="18"/>
      <c r="G83" s="18"/>
      <c r="H83" s="18"/>
      <c r="I83" s="38" t="s">
        <v>852</v>
      </c>
      <c r="J83" s="18"/>
      <c r="K83" s="18"/>
      <c r="L83" s="18"/>
      <c r="M83" s="38" t="s">
        <v>852</v>
      </c>
      <c r="N83" s="18"/>
      <c r="O83" s="18"/>
      <c r="P83" s="18"/>
      <c r="Q83" s="38" t="s">
        <v>852</v>
      </c>
      <c r="R83" s="38" t="s">
        <v>852</v>
      </c>
    </row>
    <row r="84" spans="1:20" ht="15.75" customHeight="1" x14ac:dyDescent="0.3">
      <c r="A84" s="410" t="s">
        <v>2419</v>
      </c>
      <c r="B84" s="172"/>
      <c r="C84" s="172"/>
      <c r="D84" s="172"/>
      <c r="E84" s="38">
        <f>SUM(B84:D84)</f>
        <v>0</v>
      </c>
      <c r="F84" s="172"/>
      <c r="G84" s="172"/>
      <c r="H84" s="172"/>
      <c r="I84" s="38">
        <f>SUM(F84:H84)</f>
        <v>0</v>
      </c>
      <c r="J84" s="172"/>
      <c r="K84" s="172"/>
      <c r="L84" s="172"/>
      <c r="M84" s="38">
        <f>SUM(J84:L84)</f>
        <v>0</v>
      </c>
      <c r="N84" s="172"/>
      <c r="O84" s="172"/>
      <c r="P84" s="172"/>
      <c r="Q84" s="38">
        <f>SUM(N84:P84)</f>
        <v>0</v>
      </c>
      <c r="R84" s="38">
        <f>+E84+I84+M84+Q84</f>
        <v>0</v>
      </c>
    </row>
    <row r="85" spans="1:20" ht="15.75" customHeight="1" x14ac:dyDescent="0.3">
      <c r="A85" s="235" t="s">
        <v>3245</v>
      </c>
      <c r="B85" s="18"/>
      <c r="C85" s="18"/>
      <c r="D85" s="18"/>
      <c r="E85" s="38" t="s">
        <v>1598</v>
      </c>
      <c r="F85" s="18"/>
      <c r="G85" s="18"/>
      <c r="H85" s="18"/>
      <c r="I85" s="38" t="s">
        <v>1598</v>
      </c>
      <c r="J85" s="18"/>
      <c r="K85" s="18"/>
      <c r="L85" s="18"/>
      <c r="M85" s="38" t="s">
        <v>1598</v>
      </c>
      <c r="N85" s="18"/>
      <c r="O85" s="18"/>
      <c r="P85" s="18"/>
      <c r="Q85" s="38" t="s">
        <v>1598</v>
      </c>
      <c r="R85" s="38" t="s">
        <v>1598</v>
      </c>
    </row>
    <row r="86" spans="1:20" ht="15.75" customHeight="1" x14ac:dyDescent="0.3">
      <c r="A86" s="422" t="s">
        <v>3241</v>
      </c>
      <c r="B86" s="172"/>
      <c r="C86" s="172"/>
      <c r="D86" s="172"/>
      <c r="E86" s="38">
        <f>SUM(B86:D86)</f>
        <v>0</v>
      </c>
      <c r="F86" s="172"/>
      <c r="G86" s="172"/>
      <c r="H86" s="172"/>
      <c r="I86" s="38">
        <f>SUM(F86:H86)</f>
        <v>0</v>
      </c>
      <c r="J86" s="172"/>
      <c r="K86" s="172"/>
      <c r="L86" s="172"/>
      <c r="M86" s="38">
        <f>SUM(J86:L86)</f>
        <v>0</v>
      </c>
      <c r="N86" s="172"/>
      <c r="O86" s="172"/>
      <c r="P86" s="172"/>
      <c r="Q86" s="38">
        <f>SUM(N86:P86)</f>
        <v>0</v>
      </c>
      <c r="R86" s="38">
        <f>+E86+I86+M86+Q86</f>
        <v>0</v>
      </c>
      <c r="S86" s="735" t="s">
        <v>3214</v>
      </c>
    </row>
    <row r="87" spans="1:20" ht="15.75" customHeight="1" x14ac:dyDescent="0.3">
      <c r="A87" s="422" t="s">
        <v>3242</v>
      </c>
      <c r="B87" s="10"/>
      <c r="C87" s="10"/>
      <c r="D87" s="10"/>
      <c r="E87" s="38">
        <f>SUM(B87:D87)</f>
        <v>0</v>
      </c>
      <c r="F87" s="10"/>
      <c r="G87" s="10"/>
      <c r="H87" s="10"/>
      <c r="I87" s="38">
        <f>SUM(F87:H87)</f>
        <v>0</v>
      </c>
      <c r="J87" s="10"/>
      <c r="K87" s="10">
        <v>766</v>
      </c>
      <c r="L87" s="10">
        <v>1352</v>
      </c>
      <c r="M87" s="38">
        <f>SUM(J87:L87)</f>
        <v>2118</v>
      </c>
      <c r="N87" s="10">
        <v>1588</v>
      </c>
      <c r="O87" s="10"/>
      <c r="P87" s="10"/>
      <c r="Q87" s="38">
        <f>SUM(N87:P87)</f>
        <v>1588</v>
      </c>
      <c r="R87" s="38">
        <f>+E87+I87+M87+Q87</f>
        <v>3706</v>
      </c>
      <c r="S87" s="735" t="s">
        <v>3214</v>
      </c>
      <c r="T87" t="s">
        <v>2774</v>
      </c>
    </row>
    <row r="88" spans="1:20" ht="15.75"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20" ht="16.5" customHeight="1" thickBot="1" x14ac:dyDescent="0.35">
      <c r="A89" s="43" t="s">
        <v>1218</v>
      </c>
      <c r="B89" s="42">
        <f>SUM(B70:B88)</f>
        <v>361</v>
      </c>
      <c r="C89" s="42">
        <f>SUM(C70:C88)</f>
        <v>48</v>
      </c>
      <c r="D89" s="42">
        <f>SUM(D70:D88)</f>
        <v>798</v>
      </c>
      <c r="E89" s="37">
        <f>SUM(B89:D89)</f>
        <v>1207</v>
      </c>
      <c r="F89" s="42">
        <f>SUM(F70:F88)</f>
        <v>1707</v>
      </c>
      <c r="G89" s="42">
        <f>SUM(G70:G88)</f>
        <v>2085</v>
      </c>
      <c r="H89" s="42">
        <f>SUM(H70:H88)</f>
        <v>2131</v>
      </c>
      <c r="I89" s="37">
        <f>SUM(F89:H89)</f>
        <v>5923</v>
      </c>
      <c r="J89" s="42">
        <f>SUM(J70:J88)</f>
        <v>1233</v>
      </c>
      <c r="K89" s="42">
        <f>SUM(K70:K88)</f>
        <v>1745</v>
      </c>
      <c r="L89" s="42">
        <f>SUM(L70:L88)</f>
        <v>1352</v>
      </c>
      <c r="M89" s="37">
        <f>SUM(J89:L89)</f>
        <v>4330</v>
      </c>
      <c r="N89" s="42">
        <f>SUM(N70:N88)</f>
        <v>1588</v>
      </c>
      <c r="O89" s="42">
        <f>SUM(O70:O88)</f>
        <v>0</v>
      </c>
      <c r="P89" s="42">
        <f>SUM(P70:P88)</f>
        <v>0</v>
      </c>
      <c r="Q89" s="37">
        <f>SUM(N89:P89)</f>
        <v>1588</v>
      </c>
      <c r="R89" s="37">
        <f>+E89+I89+M89+Q89</f>
        <v>13048</v>
      </c>
    </row>
    <row r="90" spans="1:20" ht="15.75"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20" ht="15.75"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20" ht="15.75" customHeight="1" x14ac:dyDescent="0.3">
      <c r="A93" s="410" t="s">
        <v>701</v>
      </c>
      <c r="B93" s="10">
        <v>133</v>
      </c>
      <c r="C93" s="10">
        <v>149</v>
      </c>
      <c r="D93" s="10">
        <v>493</v>
      </c>
      <c r="E93" s="38">
        <f>SUM(B93:D93)</f>
        <v>775</v>
      </c>
      <c r="F93" s="10">
        <v>2137</v>
      </c>
      <c r="G93" s="10">
        <v>2076</v>
      </c>
      <c r="H93" s="10">
        <v>3656</v>
      </c>
      <c r="I93" s="38">
        <f>SUM(F93:H93)</f>
        <v>7869</v>
      </c>
      <c r="J93" s="10">
        <v>5536</v>
      </c>
      <c r="K93" s="10">
        <v>5302</v>
      </c>
      <c r="L93" s="10">
        <v>2958</v>
      </c>
      <c r="M93" s="38">
        <f>SUM(J93:L93)</f>
        <v>13796</v>
      </c>
      <c r="N93" s="10">
        <v>3000</v>
      </c>
      <c r="O93" s="10">
        <v>1213</v>
      </c>
      <c r="P93" s="10">
        <v>2748</v>
      </c>
      <c r="Q93" s="38">
        <f>SUM(N93:P93)</f>
        <v>6961</v>
      </c>
      <c r="R93" s="38">
        <f>+E93+I93+M93+Q93</f>
        <v>29401</v>
      </c>
      <c r="T93" t="s">
        <v>2810</v>
      </c>
    </row>
    <row r="94" spans="1:20" ht="15.75" customHeight="1" x14ac:dyDescent="0.3">
      <c r="A94" s="410" t="s">
        <v>702</v>
      </c>
      <c r="B94" s="10"/>
      <c r="C94" s="10">
        <v>24</v>
      </c>
      <c r="D94" s="10">
        <v>290</v>
      </c>
      <c r="E94" s="38">
        <f>SUM(B94:D94)</f>
        <v>314</v>
      </c>
      <c r="F94" s="10">
        <v>386</v>
      </c>
      <c r="G94" s="10">
        <v>188</v>
      </c>
      <c r="H94" s="10">
        <v>188</v>
      </c>
      <c r="I94" s="38">
        <f>SUM(F94:H94)</f>
        <v>762</v>
      </c>
      <c r="J94" s="10">
        <v>444</v>
      </c>
      <c r="K94" s="10">
        <f>380+200</f>
        <v>580</v>
      </c>
      <c r="L94" s="10">
        <f>202+200</f>
        <v>402</v>
      </c>
      <c r="M94" s="38">
        <f>SUM(J94:L94)</f>
        <v>1426</v>
      </c>
      <c r="N94" s="10">
        <f>128+122</f>
        <v>250</v>
      </c>
      <c r="O94" s="10">
        <v>200</v>
      </c>
      <c r="P94" s="10">
        <v>100</v>
      </c>
      <c r="Q94" s="38">
        <f>SUM(N94:P94)</f>
        <v>550</v>
      </c>
      <c r="R94" s="38">
        <f>+E94+I94+M94+Q94</f>
        <v>3052</v>
      </c>
      <c r="T94" t="s">
        <v>2774</v>
      </c>
    </row>
    <row r="95" spans="1:20" ht="15.75"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20" ht="16.5" customHeight="1" thickBot="1" x14ac:dyDescent="0.35">
      <c r="A96" s="43" t="s">
        <v>1219</v>
      </c>
      <c r="B96" s="42">
        <f>SUM(B90:B95)</f>
        <v>133</v>
      </c>
      <c r="C96" s="42">
        <f>SUM(C90:C95)</f>
        <v>173</v>
      </c>
      <c r="D96" s="42">
        <f>SUM(D90:D95)</f>
        <v>783</v>
      </c>
      <c r="E96" s="37">
        <f>SUM(B96:D96)</f>
        <v>1089</v>
      </c>
      <c r="F96" s="42">
        <f>SUM(F90:F95)</f>
        <v>2523</v>
      </c>
      <c r="G96" s="42">
        <f>SUM(G90:G95)</f>
        <v>2264</v>
      </c>
      <c r="H96" s="42">
        <f>SUM(H90:H95)</f>
        <v>3844</v>
      </c>
      <c r="I96" s="37">
        <f>SUM(F96:H96)</f>
        <v>8631</v>
      </c>
      <c r="J96" s="42">
        <f>SUM(J90:J95)</f>
        <v>5980</v>
      </c>
      <c r="K96" s="42">
        <f>SUM(K90:K95)</f>
        <v>5882</v>
      </c>
      <c r="L96" s="42">
        <f>SUM(L90:L95)</f>
        <v>3360</v>
      </c>
      <c r="M96" s="37">
        <f>SUM(J96:L96)</f>
        <v>15222</v>
      </c>
      <c r="N96" s="42">
        <f>SUM(N90:N95)</f>
        <v>3250</v>
      </c>
      <c r="O96" s="42">
        <f>SUM(O90:O95)</f>
        <v>1413</v>
      </c>
      <c r="P96" s="42">
        <f>SUM(P90:P95)</f>
        <v>2848</v>
      </c>
      <c r="Q96" s="37">
        <f>SUM(N96:P96)</f>
        <v>7511</v>
      </c>
      <c r="R96" s="37">
        <f>+E96+I96+M96+Q96</f>
        <v>32453</v>
      </c>
    </row>
    <row r="97" spans="1:20" ht="15.75"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20" ht="15.75" customHeight="1" x14ac:dyDescent="0.3">
      <c r="A99" s="235" t="s">
        <v>1711</v>
      </c>
      <c r="B99" s="248"/>
      <c r="C99" s="248"/>
      <c r="D99" s="248"/>
      <c r="E99" s="38"/>
      <c r="F99" s="248"/>
      <c r="G99" s="248"/>
      <c r="H99" s="248"/>
      <c r="I99" s="38"/>
      <c r="J99" s="248"/>
      <c r="K99" s="248"/>
      <c r="L99" s="248"/>
      <c r="M99" s="38"/>
      <c r="N99" s="248"/>
      <c r="O99" s="248"/>
      <c r="P99" s="248"/>
      <c r="Q99" s="38"/>
      <c r="R99" s="38"/>
    </row>
    <row r="100" spans="1:20" ht="15.75" customHeight="1" x14ac:dyDescent="0.3">
      <c r="A100" s="410" t="s">
        <v>1584</v>
      </c>
      <c r="B100" s="172"/>
      <c r="C100" s="172"/>
      <c r="D100" s="172"/>
      <c r="E100" s="38">
        <f t="shared" ref="E100:E107" si="10">SUM(B100:D100)</f>
        <v>0</v>
      </c>
      <c r="F100" s="172"/>
      <c r="G100" s="172"/>
      <c r="H100" s="172"/>
      <c r="I100" s="38">
        <f t="shared" ref="I100:I107" si="11">SUM(F100:H100)</f>
        <v>0</v>
      </c>
      <c r="J100" s="172"/>
      <c r="K100" s="172"/>
      <c r="L100" s="172"/>
      <c r="M100" s="38">
        <f t="shared" ref="M100:M107" si="12">SUM(J100:L100)</f>
        <v>0</v>
      </c>
      <c r="N100" s="172"/>
      <c r="O100" s="172"/>
      <c r="P100" s="172"/>
      <c r="Q100" s="38">
        <f t="shared" ref="Q100:Q107" si="13">SUM(N100:P100)</f>
        <v>0</v>
      </c>
      <c r="R100" s="38">
        <f t="shared" ref="R100:R107" si="14">+E100+I100+M100+Q100</f>
        <v>0</v>
      </c>
    </row>
    <row r="101" spans="1:20" ht="15.75" customHeight="1" x14ac:dyDescent="0.3">
      <c r="A101" s="410" t="s">
        <v>1977</v>
      </c>
      <c r="B101" s="172"/>
      <c r="C101" s="172"/>
      <c r="D101" s="172"/>
      <c r="E101" s="38">
        <f t="shared" si="10"/>
        <v>0</v>
      </c>
      <c r="F101" s="172"/>
      <c r="G101" s="172"/>
      <c r="H101" s="172"/>
      <c r="I101" s="38">
        <f t="shared" si="11"/>
        <v>0</v>
      </c>
      <c r="J101" s="172"/>
      <c r="K101" s="172"/>
      <c r="L101" s="172"/>
      <c r="M101" s="38">
        <f t="shared" si="12"/>
        <v>0</v>
      </c>
      <c r="N101" s="172"/>
      <c r="O101" s="172"/>
      <c r="P101" s="172"/>
      <c r="Q101" s="38">
        <f t="shared" si="13"/>
        <v>0</v>
      </c>
      <c r="R101" s="38">
        <f t="shared" si="14"/>
        <v>0</v>
      </c>
    </row>
    <row r="102" spans="1:20" ht="15.75" customHeight="1" x14ac:dyDescent="0.3">
      <c r="A102" s="410" t="s">
        <v>3287</v>
      </c>
      <c r="B102" s="172"/>
      <c r="C102" s="172"/>
      <c r="D102" s="172"/>
      <c r="E102" s="38">
        <f>SUM(B102:D102)</f>
        <v>0</v>
      </c>
      <c r="F102" s="172"/>
      <c r="G102" s="172"/>
      <c r="H102" s="172"/>
      <c r="I102" s="38">
        <f>SUM(F102:H102)</f>
        <v>0</v>
      </c>
      <c r="J102" s="172"/>
      <c r="K102" s="172"/>
      <c r="L102" s="172"/>
      <c r="M102" s="38">
        <f>SUM(J102:L102)</f>
        <v>0</v>
      </c>
      <c r="N102" s="172"/>
      <c r="O102" s="172"/>
      <c r="P102" s="172"/>
      <c r="Q102" s="38">
        <f>SUM(N102:P102)</f>
        <v>0</v>
      </c>
      <c r="R102" s="38">
        <f>+E102+I102+M102+Q102</f>
        <v>0</v>
      </c>
    </row>
    <row r="103" spans="1:20" ht="15.75" customHeight="1" x14ac:dyDescent="0.3">
      <c r="A103" s="410" t="s">
        <v>3155</v>
      </c>
      <c r="B103" s="172"/>
      <c r="C103" s="172"/>
      <c r="D103" s="172"/>
      <c r="E103" s="38">
        <f>SUM(B103:D103)</f>
        <v>0</v>
      </c>
      <c r="F103" s="172"/>
      <c r="G103" s="172"/>
      <c r="H103" s="172"/>
      <c r="I103" s="38">
        <f>SUM(F103:H103)</f>
        <v>0</v>
      </c>
      <c r="J103" s="172"/>
      <c r="K103" s="172"/>
      <c r="L103" s="172"/>
      <c r="M103" s="38">
        <f>SUM(J103:L103)</f>
        <v>0</v>
      </c>
      <c r="N103" s="172"/>
      <c r="O103" s="172"/>
      <c r="P103" s="172"/>
      <c r="Q103" s="38">
        <f>SUM(N103:P103)</f>
        <v>0</v>
      </c>
      <c r="R103" s="38">
        <f>+E103+I103+M103+Q103</f>
        <v>0</v>
      </c>
      <c r="T103" t="s">
        <v>2799</v>
      </c>
    </row>
    <row r="104" spans="1:20" ht="15.75" customHeight="1" x14ac:dyDescent="0.3">
      <c r="A104" s="410" t="s">
        <v>436</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customHeight="1" x14ac:dyDescent="0.3">
      <c r="A105" s="410" t="s">
        <v>3288</v>
      </c>
      <c r="B105" s="172"/>
      <c r="C105" s="172"/>
      <c r="D105" s="172"/>
      <c r="E105" s="38">
        <f t="shared" si="10"/>
        <v>0</v>
      </c>
      <c r="F105" s="172"/>
      <c r="G105" s="172"/>
      <c r="H105" s="172"/>
      <c r="I105" s="38">
        <f t="shared" si="11"/>
        <v>0</v>
      </c>
      <c r="J105" s="172"/>
      <c r="K105" s="172"/>
      <c r="L105" s="172"/>
      <c r="M105" s="38">
        <f t="shared" si="12"/>
        <v>0</v>
      </c>
      <c r="N105" s="172"/>
      <c r="O105" s="172"/>
      <c r="P105" s="172"/>
      <c r="Q105" s="38">
        <f t="shared" si="13"/>
        <v>0</v>
      </c>
      <c r="R105" s="38">
        <f t="shared" si="14"/>
        <v>0</v>
      </c>
    </row>
    <row r="106" spans="1:20" ht="15.75" customHeight="1" thickBot="1" x14ac:dyDescent="0.35">
      <c r="A106" s="410" t="s">
        <v>2261</v>
      </c>
      <c r="B106" s="172"/>
      <c r="C106" s="172"/>
      <c r="D106" s="172"/>
      <c r="E106" s="38">
        <f t="shared" si="10"/>
        <v>0</v>
      </c>
      <c r="F106" s="172"/>
      <c r="G106" s="172"/>
      <c r="H106" s="172"/>
      <c r="I106" s="38">
        <f t="shared" si="11"/>
        <v>0</v>
      </c>
      <c r="J106" s="172"/>
      <c r="K106" s="172"/>
      <c r="L106" s="172"/>
      <c r="M106" s="38">
        <f t="shared" si="12"/>
        <v>0</v>
      </c>
      <c r="N106" s="172"/>
      <c r="O106" s="172"/>
      <c r="P106" s="172"/>
      <c r="Q106" s="38">
        <f t="shared" si="13"/>
        <v>0</v>
      </c>
      <c r="R106" s="38">
        <f t="shared" si="14"/>
        <v>0</v>
      </c>
    </row>
    <row r="107" spans="1:20" ht="16.5" customHeight="1" thickBot="1" x14ac:dyDescent="0.35">
      <c r="A107" s="43" t="s">
        <v>1220</v>
      </c>
      <c r="B107" s="42">
        <f>SUM(B97:B106)</f>
        <v>0</v>
      </c>
      <c r="C107" s="42">
        <f>SUM(C97:C106)</f>
        <v>0</v>
      </c>
      <c r="D107" s="42">
        <f>SUM(D97:D106)</f>
        <v>0</v>
      </c>
      <c r="E107" s="37">
        <f t="shared" si="10"/>
        <v>0</v>
      </c>
      <c r="F107" s="42">
        <f>SUM(F97:F106)</f>
        <v>0</v>
      </c>
      <c r="G107" s="42">
        <f>SUM(G97:G106)</f>
        <v>0</v>
      </c>
      <c r="H107" s="42">
        <f>SUM(H97:H106)</f>
        <v>0</v>
      </c>
      <c r="I107" s="37">
        <f t="shared" si="11"/>
        <v>0</v>
      </c>
      <c r="J107" s="42">
        <f>SUM(J97:J106)</f>
        <v>0</v>
      </c>
      <c r="K107" s="42">
        <f>SUM(K97:K106)</f>
        <v>0</v>
      </c>
      <c r="L107" s="42">
        <f>SUM(L97:L106)</f>
        <v>0</v>
      </c>
      <c r="M107" s="37">
        <f t="shared" si="12"/>
        <v>0</v>
      </c>
      <c r="N107" s="42">
        <f>SUM(N97:N106)</f>
        <v>0</v>
      </c>
      <c r="O107" s="42">
        <f>SUM(O97:O106)</f>
        <v>0</v>
      </c>
      <c r="P107" s="42">
        <f>SUM(P97:P106)</f>
        <v>0</v>
      </c>
      <c r="Q107" s="37">
        <f t="shared" si="13"/>
        <v>0</v>
      </c>
      <c r="R107" s="37">
        <f t="shared" si="14"/>
        <v>0</v>
      </c>
    </row>
    <row r="108" spans="1:20" ht="15.75" customHeight="1" x14ac:dyDescent="0.3">
      <c r="A108" s="235" t="s">
        <v>1712</v>
      </c>
      <c r="B108" s="248"/>
      <c r="C108" s="248"/>
      <c r="D108" s="248"/>
      <c r="E108" s="38" t="s">
        <v>852</v>
      </c>
      <c r="F108" s="248"/>
      <c r="G108" s="248"/>
      <c r="H108" s="248"/>
      <c r="I108" s="38" t="s">
        <v>852</v>
      </c>
      <c r="J108" s="248"/>
      <c r="K108" s="248"/>
      <c r="L108" s="248"/>
      <c r="M108" s="38" t="s">
        <v>852</v>
      </c>
      <c r="N108" s="248"/>
      <c r="O108" s="248"/>
      <c r="P108" s="248"/>
      <c r="Q108" s="38" t="s">
        <v>852</v>
      </c>
      <c r="R108" s="38" t="s">
        <v>852</v>
      </c>
    </row>
    <row r="109" spans="1:20" ht="15.75" customHeight="1" x14ac:dyDescent="0.3">
      <c r="A109" s="235" t="s">
        <v>1021</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20" ht="15.75" customHeight="1" x14ac:dyDescent="0.3">
      <c r="A110" s="422" t="s">
        <v>2751</v>
      </c>
      <c r="B110" s="172"/>
      <c r="C110" s="172"/>
      <c r="D110" s="172"/>
      <c r="E110" s="38">
        <f t="shared" ref="E110:E115" si="15">SUM(B110:D110)</f>
        <v>0</v>
      </c>
      <c r="F110" s="172"/>
      <c r="G110" s="172"/>
      <c r="H110" s="172"/>
      <c r="I110" s="38">
        <f t="shared" ref="I110:I115" si="16">SUM(F110:H110)</f>
        <v>0</v>
      </c>
      <c r="J110" s="172"/>
      <c r="K110" s="172"/>
      <c r="L110" s="172"/>
      <c r="M110" s="38">
        <f t="shared" ref="M110:M115" si="17">SUM(J110:L110)</f>
        <v>0</v>
      </c>
      <c r="N110" s="172"/>
      <c r="O110" s="172"/>
      <c r="P110" s="172"/>
      <c r="Q110" s="38">
        <f t="shared" ref="Q110:Q115" si="18">SUM(N110:P110)</f>
        <v>0</v>
      </c>
      <c r="R110" s="38">
        <f t="shared" ref="R110:R115" si="19">+E110+I110+M110+Q110</f>
        <v>0</v>
      </c>
    </row>
    <row r="111" spans="1:20" ht="15.75" customHeight="1" x14ac:dyDescent="0.3">
      <c r="A111" s="422" t="s">
        <v>3243</v>
      </c>
      <c r="B111" s="172"/>
      <c r="C111" s="172"/>
      <c r="D111" s="172"/>
      <c r="E111" s="38">
        <f t="shared" si="15"/>
        <v>0</v>
      </c>
      <c r="F111" s="172"/>
      <c r="G111" s="172"/>
      <c r="H111" s="172"/>
      <c r="I111" s="38">
        <f t="shared" si="16"/>
        <v>0</v>
      </c>
      <c r="J111" s="172"/>
      <c r="K111" s="172"/>
      <c r="L111" s="172"/>
      <c r="M111" s="38">
        <f t="shared" si="17"/>
        <v>0</v>
      </c>
      <c r="N111" s="172"/>
      <c r="O111" s="172"/>
      <c r="P111" s="172"/>
      <c r="Q111" s="38">
        <f t="shared" si="18"/>
        <v>0</v>
      </c>
      <c r="R111" s="38">
        <f t="shared" si="19"/>
        <v>0</v>
      </c>
    </row>
    <row r="112" spans="1:20" ht="15.75" customHeight="1" x14ac:dyDescent="0.3">
      <c r="A112" s="422" t="s">
        <v>320</v>
      </c>
      <c r="B112" s="172"/>
      <c r="C112" s="172"/>
      <c r="D112" s="172"/>
      <c r="E112" s="38">
        <f t="shared" si="15"/>
        <v>0</v>
      </c>
      <c r="F112" s="172"/>
      <c r="G112" s="172"/>
      <c r="H112" s="172"/>
      <c r="I112" s="38">
        <f t="shared" si="16"/>
        <v>0</v>
      </c>
      <c r="J112" s="172"/>
      <c r="K112" s="172"/>
      <c r="L112" s="172"/>
      <c r="M112" s="38">
        <f t="shared" si="17"/>
        <v>0</v>
      </c>
      <c r="N112" s="172"/>
      <c r="O112" s="172"/>
      <c r="P112" s="172"/>
      <c r="Q112" s="38">
        <f t="shared" si="18"/>
        <v>0</v>
      </c>
      <c r="R112" s="38">
        <f t="shared" si="19"/>
        <v>0</v>
      </c>
    </row>
    <row r="113" spans="1:20" ht="15.75" customHeight="1" x14ac:dyDescent="0.3">
      <c r="A113" s="422" t="s">
        <v>563</v>
      </c>
      <c r="B113" s="172"/>
      <c r="C113" s="172"/>
      <c r="D113" s="172"/>
      <c r="E113" s="38">
        <f t="shared" si="15"/>
        <v>0</v>
      </c>
      <c r="F113" s="172"/>
      <c r="G113" s="172"/>
      <c r="H113" s="172"/>
      <c r="I113" s="38">
        <f t="shared" si="16"/>
        <v>0</v>
      </c>
      <c r="J113" s="172"/>
      <c r="K113" s="172"/>
      <c r="L113" s="172"/>
      <c r="M113" s="38">
        <f t="shared" si="17"/>
        <v>0</v>
      </c>
      <c r="N113" s="172"/>
      <c r="O113" s="172"/>
      <c r="P113" s="172"/>
      <c r="Q113" s="38">
        <f t="shared" si="18"/>
        <v>0</v>
      </c>
      <c r="R113" s="38">
        <f t="shared" si="19"/>
        <v>0</v>
      </c>
    </row>
    <row r="114" spans="1:20" ht="15.75" customHeight="1" x14ac:dyDescent="0.3">
      <c r="A114" s="422" t="s">
        <v>2123</v>
      </c>
      <c r="B114" s="172"/>
      <c r="C114" s="172"/>
      <c r="D114" s="172"/>
      <c r="E114" s="38">
        <f t="shared" si="15"/>
        <v>0</v>
      </c>
      <c r="F114" s="172"/>
      <c r="G114" s="172"/>
      <c r="H114" s="172"/>
      <c r="I114" s="38">
        <f t="shared" si="16"/>
        <v>0</v>
      </c>
      <c r="J114" s="172"/>
      <c r="K114" s="172"/>
      <c r="L114" s="172"/>
      <c r="M114" s="38">
        <f t="shared" si="17"/>
        <v>0</v>
      </c>
      <c r="N114" s="172"/>
      <c r="O114" s="172"/>
      <c r="P114" s="172"/>
      <c r="Q114" s="38">
        <f t="shared" si="18"/>
        <v>0</v>
      </c>
      <c r="R114" s="38">
        <f t="shared" si="19"/>
        <v>0</v>
      </c>
    </row>
    <row r="115" spans="1:20" ht="15.75" customHeight="1" x14ac:dyDescent="0.3">
      <c r="A115" s="422" t="s">
        <v>2752</v>
      </c>
      <c r="B115" s="172"/>
      <c r="C115" s="172"/>
      <c r="D115" s="172"/>
      <c r="E115" s="38">
        <f t="shared" si="15"/>
        <v>0</v>
      </c>
      <c r="F115" s="172"/>
      <c r="G115" s="172"/>
      <c r="H115" s="172"/>
      <c r="I115" s="38">
        <f t="shared" si="16"/>
        <v>0</v>
      </c>
      <c r="J115" s="172"/>
      <c r="K115" s="172"/>
      <c r="L115" s="172"/>
      <c r="M115" s="38">
        <f t="shared" si="17"/>
        <v>0</v>
      </c>
      <c r="N115" s="172"/>
      <c r="O115" s="172"/>
      <c r="P115" s="172"/>
      <c r="Q115" s="38">
        <f t="shared" si="18"/>
        <v>0</v>
      </c>
      <c r="R115" s="38">
        <f t="shared" si="19"/>
        <v>0</v>
      </c>
    </row>
    <row r="116" spans="1:20" ht="15.75" customHeight="1" x14ac:dyDescent="0.3">
      <c r="A116" s="422" t="s">
        <v>2690</v>
      </c>
      <c r="B116" s="172"/>
      <c r="C116" s="172"/>
      <c r="D116" s="172"/>
      <c r="E116" s="38">
        <f>SUM(B116:D116)</f>
        <v>0</v>
      </c>
      <c r="F116" s="172"/>
      <c r="G116" s="172"/>
      <c r="H116" s="172"/>
      <c r="I116" s="38">
        <f>SUM(F116:H116)</f>
        <v>0</v>
      </c>
      <c r="J116" s="172"/>
      <c r="K116" s="172"/>
      <c r="L116" s="172"/>
      <c r="M116" s="38">
        <f>SUM(J116:L116)</f>
        <v>0</v>
      </c>
      <c r="N116" s="172"/>
      <c r="O116" s="172"/>
      <c r="P116" s="172"/>
      <c r="Q116" s="38">
        <f>SUM(N116:P116)</f>
        <v>0</v>
      </c>
      <c r="R116" s="38">
        <f>+E116+I116+M116+Q116</f>
        <v>0</v>
      </c>
    </row>
    <row r="117" spans="1:20" ht="15.75" customHeight="1" x14ac:dyDescent="0.3">
      <c r="A117" s="618" t="s">
        <v>2503</v>
      </c>
      <c r="B117" s="172"/>
      <c r="C117" s="172"/>
      <c r="D117" s="172"/>
      <c r="E117" s="38">
        <f>SUM(B117:D117)</f>
        <v>0</v>
      </c>
      <c r="F117" s="172"/>
      <c r="G117" s="172"/>
      <c r="H117" s="172"/>
      <c r="I117" s="38">
        <f>SUM(F117:H117)</f>
        <v>0</v>
      </c>
      <c r="J117" s="172"/>
      <c r="K117" s="172"/>
      <c r="L117" s="172"/>
      <c r="M117" s="38">
        <f>SUM(J117:L117)</f>
        <v>0</v>
      </c>
      <c r="N117" s="172"/>
      <c r="O117" s="172"/>
      <c r="P117" s="172"/>
      <c r="Q117" s="38">
        <f>SUM(N117:P117)</f>
        <v>0</v>
      </c>
      <c r="R117" s="38">
        <f>+E117+I117+M117+Q117</f>
        <v>0</v>
      </c>
      <c r="T117" t="s">
        <v>2811</v>
      </c>
    </row>
    <row r="118" spans="1:20" ht="15.75" customHeight="1" x14ac:dyDescent="0.3">
      <c r="A118" s="235" t="s">
        <v>557</v>
      </c>
      <c r="B118" s="248"/>
      <c r="C118" s="248"/>
      <c r="D118" s="248"/>
      <c r="E118" s="38" t="s">
        <v>852</v>
      </c>
      <c r="F118" s="248"/>
      <c r="G118" s="248"/>
      <c r="H118" s="248"/>
      <c r="I118" s="38" t="s">
        <v>852</v>
      </c>
      <c r="J118" s="248"/>
      <c r="K118" s="248"/>
      <c r="L118" s="248"/>
      <c r="M118" s="38" t="s">
        <v>852</v>
      </c>
      <c r="N118" s="248"/>
      <c r="O118" s="248"/>
      <c r="P118" s="248"/>
      <c r="Q118" s="38" t="s">
        <v>852</v>
      </c>
      <c r="R118" s="38" t="s">
        <v>852</v>
      </c>
    </row>
    <row r="119" spans="1:20" ht="15.75" customHeight="1" x14ac:dyDescent="0.3">
      <c r="A119" s="422" t="s">
        <v>2606</v>
      </c>
      <c r="B119" s="172"/>
      <c r="C119" s="172"/>
      <c r="D119" s="172"/>
      <c r="E119" s="38">
        <f>SUM(B119:D119)</f>
        <v>0</v>
      </c>
      <c r="F119" s="172"/>
      <c r="G119" s="172"/>
      <c r="H119" s="172"/>
      <c r="I119" s="38">
        <f>SUM(F119:H119)</f>
        <v>0</v>
      </c>
      <c r="J119" s="172"/>
      <c r="K119" s="172"/>
      <c r="L119" s="172"/>
      <c r="M119" s="38">
        <f>SUM(J119:L119)</f>
        <v>0</v>
      </c>
      <c r="N119" s="172"/>
      <c r="O119" s="172"/>
      <c r="P119" s="172"/>
      <c r="Q119" s="38">
        <f>SUM(N119:P119)</f>
        <v>0</v>
      </c>
      <c r="R119" s="38">
        <f>+E119+I119+M119+Q119</f>
        <v>0</v>
      </c>
    </row>
    <row r="120" spans="1:20" ht="15.75" customHeight="1" x14ac:dyDescent="0.3">
      <c r="A120" s="422" t="s">
        <v>2548</v>
      </c>
      <c r="B120" s="172"/>
      <c r="C120" s="172"/>
      <c r="D120" s="172"/>
      <c r="E120" s="38">
        <f>SUM(B120:D120)</f>
        <v>0</v>
      </c>
      <c r="F120" s="172"/>
      <c r="G120" s="172"/>
      <c r="H120" s="172"/>
      <c r="I120" s="38">
        <f>SUM(F120:H120)</f>
        <v>0</v>
      </c>
      <c r="J120" s="172"/>
      <c r="K120" s="172"/>
      <c r="L120" s="172"/>
      <c r="M120" s="38">
        <f>SUM(J120:L120)</f>
        <v>0</v>
      </c>
      <c r="N120" s="172"/>
      <c r="O120" s="172"/>
      <c r="P120" s="172"/>
      <c r="Q120" s="38">
        <f>SUM(N120:P120)</f>
        <v>0</v>
      </c>
      <c r="R120" s="38">
        <f>+E120+I120+M120+Q120</f>
        <v>0</v>
      </c>
    </row>
    <row r="121" spans="1:20" ht="15.75" customHeight="1" x14ac:dyDescent="0.3">
      <c r="A121" s="235" t="s">
        <v>1022</v>
      </c>
      <c r="B121" s="248"/>
      <c r="C121" s="248"/>
      <c r="D121" s="248"/>
      <c r="E121" s="38" t="s">
        <v>852</v>
      </c>
      <c r="F121" s="248"/>
      <c r="G121" s="248"/>
      <c r="H121" s="248"/>
      <c r="I121" s="38" t="s">
        <v>852</v>
      </c>
      <c r="J121" s="248"/>
      <c r="K121" s="248"/>
      <c r="L121" s="248"/>
      <c r="M121" s="38" t="s">
        <v>852</v>
      </c>
      <c r="N121" s="248"/>
      <c r="O121" s="248"/>
      <c r="P121" s="248"/>
      <c r="Q121" s="38" t="s">
        <v>852</v>
      </c>
      <c r="R121" s="38" t="s">
        <v>852</v>
      </c>
    </row>
    <row r="122" spans="1:20" ht="15.75" customHeight="1" x14ac:dyDescent="0.3">
      <c r="A122" s="422" t="s">
        <v>3244</v>
      </c>
      <c r="B122" s="10"/>
      <c r="C122" s="10"/>
      <c r="D122" s="10"/>
      <c r="E122" s="38">
        <f>SUM(B122:D122)</f>
        <v>0</v>
      </c>
      <c r="F122" s="10"/>
      <c r="G122" s="10"/>
      <c r="H122" s="10"/>
      <c r="I122" s="38">
        <f>SUM(F122:H122)</f>
        <v>0</v>
      </c>
      <c r="J122" s="10"/>
      <c r="K122" s="10"/>
      <c r="L122" s="10"/>
      <c r="M122" s="38">
        <f>SUM(J122:L122)</f>
        <v>0</v>
      </c>
      <c r="N122" s="10"/>
      <c r="O122" s="10"/>
      <c r="P122" s="10"/>
      <c r="Q122" s="38">
        <f>SUM(N122:P122)</f>
        <v>0</v>
      </c>
      <c r="R122" s="38">
        <f>+E122+I122+M122+Q122</f>
        <v>0</v>
      </c>
      <c r="T122" t="s">
        <v>2774</v>
      </c>
    </row>
    <row r="123" spans="1:20" ht="15.75" customHeight="1" x14ac:dyDescent="0.3">
      <c r="A123" s="235" t="s">
        <v>559</v>
      </c>
      <c r="B123" s="248"/>
      <c r="C123" s="248"/>
      <c r="D123" s="248"/>
      <c r="E123" s="38" t="s">
        <v>852</v>
      </c>
      <c r="F123" s="248"/>
      <c r="G123" s="248"/>
      <c r="H123" s="248"/>
      <c r="I123" s="38" t="s">
        <v>852</v>
      </c>
      <c r="J123" s="248"/>
      <c r="K123" s="248"/>
      <c r="L123" s="248"/>
      <c r="M123" s="38" t="s">
        <v>852</v>
      </c>
      <c r="N123" s="248"/>
      <c r="O123" s="248"/>
      <c r="P123" s="248"/>
      <c r="Q123" s="38" t="s">
        <v>852</v>
      </c>
      <c r="R123" s="38" t="s">
        <v>852</v>
      </c>
    </row>
    <row r="124" spans="1:20" ht="15.75" customHeight="1" x14ac:dyDescent="0.3">
      <c r="A124" s="422" t="s">
        <v>3236</v>
      </c>
      <c r="B124" s="172"/>
      <c r="C124" s="172"/>
      <c r="D124" s="172"/>
      <c r="E124" s="38">
        <f t="shared" ref="E124:E129" si="20">SUM(B124:D124)</f>
        <v>0</v>
      </c>
      <c r="F124" s="172"/>
      <c r="G124" s="172"/>
      <c r="H124" s="172"/>
      <c r="I124" s="38">
        <f t="shared" ref="I124:I129" si="21">SUM(F124:H124)</f>
        <v>0</v>
      </c>
      <c r="J124" s="172"/>
      <c r="K124" s="172"/>
      <c r="L124" s="172"/>
      <c r="M124" s="38">
        <f t="shared" ref="M124:M129" si="22">SUM(J124:L124)</f>
        <v>0</v>
      </c>
      <c r="N124" s="172"/>
      <c r="O124" s="172"/>
      <c r="P124" s="172"/>
      <c r="Q124" s="38">
        <f t="shared" ref="Q124:Q129" si="23">SUM(N124:P124)</f>
        <v>0</v>
      </c>
      <c r="R124" s="38">
        <f t="shared" ref="R124:R129" si="24">+E124+I124+M124+Q124</f>
        <v>0</v>
      </c>
    </row>
    <row r="125" spans="1:20" ht="15.75" customHeight="1" thickBot="1" x14ac:dyDescent="0.35">
      <c r="A125" s="422" t="s">
        <v>3237</v>
      </c>
      <c r="B125" s="172"/>
      <c r="C125" s="172"/>
      <c r="D125" s="172"/>
      <c r="E125" s="38">
        <f t="shared" si="20"/>
        <v>0</v>
      </c>
      <c r="F125" s="172"/>
      <c r="G125" s="172"/>
      <c r="H125" s="172"/>
      <c r="I125" s="38">
        <f t="shared" si="21"/>
        <v>0</v>
      </c>
      <c r="J125" s="172"/>
      <c r="K125" s="172"/>
      <c r="L125" s="172"/>
      <c r="M125" s="38">
        <f t="shared" si="22"/>
        <v>0</v>
      </c>
      <c r="N125" s="172"/>
      <c r="O125" s="172"/>
      <c r="P125" s="172"/>
      <c r="Q125" s="38">
        <f t="shared" si="23"/>
        <v>0</v>
      </c>
      <c r="R125" s="38">
        <f t="shared" si="24"/>
        <v>0</v>
      </c>
    </row>
    <row r="126" spans="1:20" ht="16.5" customHeight="1" thickBot="1" x14ac:dyDescent="0.35">
      <c r="A126" s="43" t="s">
        <v>1019</v>
      </c>
      <c r="B126" s="42">
        <f>SUM(B121:B125)</f>
        <v>0</v>
      </c>
      <c r="C126" s="42">
        <f>SUM(C121:C125)</f>
        <v>0</v>
      </c>
      <c r="D126" s="42">
        <f>SUM(D121:D125)</f>
        <v>0</v>
      </c>
      <c r="E126" s="39">
        <f t="shared" si="20"/>
        <v>0</v>
      </c>
      <c r="F126" s="42">
        <f>SUM(F121:F125)</f>
        <v>0</v>
      </c>
      <c r="G126" s="42">
        <f>SUM(G121:G125)</f>
        <v>0</v>
      </c>
      <c r="H126" s="42">
        <f>SUM(H121:H125)</f>
        <v>0</v>
      </c>
      <c r="I126" s="39">
        <f t="shared" si="21"/>
        <v>0</v>
      </c>
      <c r="J126" s="42">
        <f>SUM(J121:J125)</f>
        <v>0</v>
      </c>
      <c r="K126" s="42">
        <f>SUM(K121:K125)</f>
        <v>0</v>
      </c>
      <c r="L126" s="42">
        <f>SUM(L121:L125)</f>
        <v>0</v>
      </c>
      <c r="M126" s="39">
        <f t="shared" si="22"/>
        <v>0</v>
      </c>
      <c r="N126" s="42">
        <f>SUM(N121:N125)</f>
        <v>0</v>
      </c>
      <c r="O126" s="42">
        <f>SUM(O121:O125)</f>
        <v>0</v>
      </c>
      <c r="P126" s="42">
        <f>SUM(P121:P125)</f>
        <v>0</v>
      </c>
      <c r="Q126" s="39">
        <f t="shared" si="23"/>
        <v>0</v>
      </c>
      <c r="R126" s="37">
        <f t="shared" si="24"/>
        <v>0</v>
      </c>
    </row>
    <row r="127" spans="1:20" ht="16.5" customHeight="1" thickBot="1" x14ac:dyDescent="0.35">
      <c r="A127" s="43" t="s">
        <v>1221</v>
      </c>
      <c r="B127" s="42">
        <f>SUM(B108:B125)</f>
        <v>0</v>
      </c>
      <c r="C127" s="42">
        <f>SUM(C108:C125)</f>
        <v>0</v>
      </c>
      <c r="D127" s="42">
        <f>SUM(D108:D125)</f>
        <v>0</v>
      </c>
      <c r="E127" s="39">
        <f t="shared" si="20"/>
        <v>0</v>
      </c>
      <c r="F127" s="42">
        <f>SUM(F108:F125)</f>
        <v>0</v>
      </c>
      <c r="G127" s="42">
        <f>SUM(G108:G125)</f>
        <v>0</v>
      </c>
      <c r="H127" s="42">
        <f>SUM(H108:H125)</f>
        <v>0</v>
      </c>
      <c r="I127" s="39">
        <f t="shared" si="21"/>
        <v>0</v>
      </c>
      <c r="J127" s="42">
        <f>SUM(J108:J125)</f>
        <v>0</v>
      </c>
      <c r="K127" s="42">
        <f>SUM(K108:K125)</f>
        <v>0</v>
      </c>
      <c r="L127" s="42">
        <f>SUM(L108:L125)</f>
        <v>0</v>
      </c>
      <c r="M127" s="39">
        <f t="shared" si="22"/>
        <v>0</v>
      </c>
      <c r="N127" s="42">
        <f>SUM(N108:N125)</f>
        <v>0</v>
      </c>
      <c r="O127" s="42">
        <f>SUM(O108:O125)</f>
        <v>0</v>
      </c>
      <c r="P127" s="42">
        <f>SUM(P108:P125)</f>
        <v>0</v>
      </c>
      <c r="Q127" s="39">
        <f t="shared" si="23"/>
        <v>0</v>
      </c>
      <c r="R127" s="37">
        <f t="shared" si="24"/>
        <v>0</v>
      </c>
    </row>
    <row r="128" spans="1:20" ht="16.5" customHeight="1" thickBot="1" x14ac:dyDescent="0.35">
      <c r="A128" s="43" t="s">
        <v>1222</v>
      </c>
      <c r="B128" s="42">
        <f>+B89+B96+B107+B127</f>
        <v>494</v>
      </c>
      <c r="C128" s="42">
        <f>+C89+C96+C107+C127</f>
        <v>221</v>
      </c>
      <c r="D128" s="42">
        <f>+D89+D96+D107+D127</f>
        <v>1581</v>
      </c>
      <c r="E128" s="37">
        <f t="shared" si="20"/>
        <v>2296</v>
      </c>
      <c r="F128" s="42">
        <f>+F89+F96+F107+F127</f>
        <v>4230</v>
      </c>
      <c r="G128" s="42">
        <f>+G89+G96+G107+G127</f>
        <v>4349</v>
      </c>
      <c r="H128" s="42">
        <f>+H89+H96+H107+H127</f>
        <v>5975</v>
      </c>
      <c r="I128" s="37">
        <f t="shared" si="21"/>
        <v>14554</v>
      </c>
      <c r="J128" s="42">
        <f>+J89+J96+J107+J127</f>
        <v>7213</v>
      </c>
      <c r="K128" s="42">
        <f>+K89+K96+K107+K127</f>
        <v>7627</v>
      </c>
      <c r="L128" s="42">
        <f>+L89+L96+L107+L127</f>
        <v>4712</v>
      </c>
      <c r="M128" s="37">
        <f t="shared" si="22"/>
        <v>19552</v>
      </c>
      <c r="N128" s="42">
        <f>+N89+N96+N107+N127</f>
        <v>4838</v>
      </c>
      <c r="O128" s="42">
        <f>+O89+O96+O107+O127</f>
        <v>1413</v>
      </c>
      <c r="P128" s="42">
        <f>+P89+P96+P107+P127</f>
        <v>2848</v>
      </c>
      <c r="Q128" s="37">
        <f t="shared" si="23"/>
        <v>9099</v>
      </c>
      <c r="R128" s="37">
        <f t="shared" si="24"/>
        <v>45501</v>
      </c>
    </row>
    <row r="129" spans="1:20" ht="16.5" customHeight="1" thickBot="1" x14ac:dyDescent="0.35">
      <c r="A129" s="257" t="s">
        <v>853</v>
      </c>
      <c r="B129" s="238">
        <v>173</v>
      </c>
      <c r="C129" s="238">
        <v>260</v>
      </c>
      <c r="D129" s="238">
        <v>471</v>
      </c>
      <c r="E129" s="38">
        <f t="shared" si="20"/>
        <v>904</v>
      </c>
      <c r="F129" s="238">
        <v>629</v>
      </c>
      <c r="G129" s="238">
        <v>725</v>
      </c>
      <c r="H129" s="238">
        <v>712</v>
      </c>
      <c r="I129" s="38">
        <f t="shared" si="21"/>
        <v>2066</v>
      </c>
      <c r="J129" s="238">
        <v>711</v>
      </c>
      <c r="K129" s="238">
        <v>573</v>
      </c>
      <c r="L129" s="238">
        <v>542</v>
      </c>
      <c r="M129" s="38">
        <f t="shared" si="22"/>
        <v>1826</v>
      </c>
      <c r="N129" s="238">
        <v>490</v>
      </c>
      <c r="O129" s="238">
        <v>407</v>
      </c>
      <c r="P129" s="238">
        <v>323</v>
      </c>
      <c r="Q129" s="38">
        <f t="shared" si="23"/>
        <v>1220</v>
      </c>
      <c r="R129" s="38">
        <f t="shared" si="24"/>
        <v>6016</v>
      </c>
    </row>
    <row r="130" spans="1:20" ht="16.5" customHeight="1" thickBot="1" x14ac:dyDescent="0.35">
      <c r="A130" s="44"/>
      <c r="B130" s="258"/>
      <c r="C130" s="258"/>
      <c r="D130" s="258"/>
      <c r="E130" s="37" t="s">
        <v>852</v>
      </c>
      <c r="F130" s="258"/>
      <c r="G130" s="258"/>
      <c r="H130" s="258"/>
      <c r="I130" s="37" t="s">
        <v>852</v>
      </c>
      <c r="J130" s="258"/>
      <c r="K130" s="258"/>
      <c r="L130" s="258"/>
      <c r="M130" s="37" t="s">
        <v>852</v>
      </c>
      <c r="N130" s="258"/>
      <c r="O130" s="258"/>
      <c r="P130" s="258"/>
      <c r="Q130" s="37" t="s">
        <v>852</v>
      </c>
      <c r="R130" s="37" t="s">
        <v>852</v>
      </c>
    </row>
    <row r="131" spans="1:20" ht="15.75" customHeight="1" x14ac:dyDescent="0.3">
      <c r="A131" s="259" t="s">
        <v>2011</v>
      </c>
      <c r="B131" s="260">
        <f>+B128+B129</f>
        <v>667</v>
      </c>
      <c r="C131" s="260">
        <f>+C128+C129</f>
        <v>481</v>
      </c>
      <c r="D131" s="260">
        <f>+D128+D129</f>
        <v>2052</v>
      </c>
      <c r="E131" s="38">
        <f>SUM(B131:D131)</f>
        <v>3200</v>
      </c>
      <c r="F131" s="260">
        <f>+F128+F129</f>
        <v>4859</v>
      </c>
      <c r="G131" s="260">
        <f>+G128+G129</f>
        <v>5074</v>
      </c>
      <c r="H131" s="260">
        <f>+H128+H129</f>
        <v>6687</v>
      </c>
      <c r="I131" s="38">
        <f>SUM(F131:H131)</f>
        <v>16620</v>
      </c>
      <c r="J131" s="260">
        <f>+J128+J129</f>
        <v>7924</v>
      </c>
      <c r="K131" s="260">
        <f>+K128+K129</f>
        <v>8200</v>
      </c>
      <c r="L131" s="260">
        <f>+L128+L129</f>
        <v>5254</v>
      </c>
      <c r="M131" s="38">
        <f>SUM(J131:L131)</f>
        <v>21378</v>
      </c>
      <c r="N131" s="260">
        <f>+N128+N129</f>
        <v>5328</v>
      </c>
      <c r="O131" s="260">
        <f>+O128+O129</f>
        <v>1820</v>
      </c>
      <c r="P131" s="260">
        <f>+P128+P129</f>
        <v>3171</v>
      </c>
      <c r="Q131" s="38">
        <f>SUM(N131:P131)</f>
        <v>10319</v>
      </c>
      <c r="R131" s="38">
        <f>+E131+I131+M131+Q131</f>
        <v>51517</v>
      </c>
    </row>
    <row r="132" spans="1:20" ht="15.75" customHeight="1" x14ac:dyDescent="0.3">
      <c r="A132" s="261" t="s">
        <v>1897</v>
      </c>
      <c r="B132" s="172">
        <f>(B131/B10)/1.983</f>
        <v>10.850291998112992</v>
      </c>
      <c r="C132" s="172">
        <f>(C131/C10)/1.983</f>
        <v>8.662920538866075</v>
      </c>
      <c r="D132" s="172">
        <f>(D131/D10)/1.983</f>
        <v>33.380508515933819</v>
      </c>
      <c r="E132" s="38" t="s">
        <v>852</v>
      </c>
      <c r="F132" s="172">
        <f>(F131/F10)/1.983</f>
        <v>81.677592872751717</v>
      </c>
      <c r="G132" s="172">
        <f>(G131/G10)/1.983</f>
        <v>82.540302246514727</v>
      </c>
      <c r="H132" s="172">
        <f>(H131/H10)/1.983</f>
        <v>112.40544629349471</v>
      </c>
      <c r="I132" s="38" t="s">
        <v>852</v>
      </c>
      <c r="J132" s="172">
        <f>(J131/J10)/1.983</f>
        <v>128.90211962975616</v>
      </c>
      <c r="K132" s="172">
        <f>(K131/K10)/1.983</f>
        <v>133.39189562897531</v>
      </c>
      <c r="L132" s="172">
        <f>(L131/L10)/1.983</f>
        <v>88.317364262901322</v>
      </c>
      <c r="M132" s="38" t="s">
        <v>852</v>
      </c>
      <c r="N132" s="172">
        <f>(N131/N10)/1.983</f>
        <v>86.672197550143963</v>
      </c>
      <c r="O132" s="172">
        <f>(O131/O10)/1.983</f>
        <v>30.593377038157669</v>
      </c>
      <c r="P132" s="172">
        <f>(P131/P10)/1.983</f>
        <v>51.58362207798546</v>
      </c>
      <c r="Q132" s="38" t="s">
        <v>852</v>
      </c>
      <c r="R132" s="38" t="s">
        <v>852</v>
      </c>
    </row>
    <row r="133" spans="1:20" ht="15.75" customHeight="1" x14ac:dyDescent="0.3">
      <c r="A133" s="262" t="s">
        <v>1679</v>
      </c>
      <c r="B133" s="172">
        <f>B131+B318</f>
        <v>87148</v>
      </c>
      <c r="C133" s="172">
        <f>C131+C318</f>
        <v>151087</v>
      </c>
      <c r="D133" s="172">
        <f>D131+D318</f>
        <v>82207</v>
      </c>
      <c r="E133" s="38">
        <f>SUM(B133:D133)</f>
        <v>320442</v>
      </c>
      <c r="F133" s="172">
        <f>F131+F318</f>
        <v>146946</v>
      </c>
      <c r="G133" s="172">
        <f>G131+G318</f>
        <v>151978</v>
      </c>
      <c r="H133" s="172">
        <f>H131+H318</f>
        <v>106010</v>
      </c>
      <c r="I133" s="38">
        <f>SUM(F133:H133)</f>
        <v>404934</v>
      </c>
      <c r="J133" s="172">
        <f>J131+J318</f>
        <v>96994</v>
      </c>
      <c r="K133" s="172">
        <f>K131+K318</f>
        <v>103302</v>
      </c>
      <c r="L133" s="172">
        <f>L131+L318</f>
        <v>159275</v>
      </c>
      <c r="M133" s="38">
        <f>SUM(J133:L133)</f>
        <v>359571</v>
      </c>
      <c r="N133" s="172">
        <f>N131+N318</f>
        <v>149128</v>
      </c>
      <c r="O133" s="172">
        <f>O131+O318</f>
        <v>121893</v>
      </c>
      <c r="P133" s="172">
        <f>P131+P318</f>
        <v>73547</v>
      </c>
      <c r="Q133" s="38">
        <f>SUM(N133:P133)</f>
        <v>344568</v>
      </c>
      <c r="R133" s="38">
        <f>+E133+I133+M133+Q133</f>
        <v>1429515</v>
      </c>
    </row>
    <row r="134" spans="1:20" ht="16.5" customHeight="1" thickBot="1" x14ac:dyDescent="0.35">
      <c r="A134" s="263" t="s">
        <v>6</v>
      </c>
      <c r="B134" s="264">
        <f>(B133/B10)/1.983</f>
        <v>1417.6630390577975</v>
      </c>
      <c r="C134" s="264">
        <f>(C133/C10)/1.983</f>
        <v>2721.1115913839058</v>
      </c>
      <c r="D134" s="264">
        <f>(D133/D10)/1.983</f>
        <v>1337.2862882891677</v>
      </c>
      <c r="E134" s="40" t="s">
        <v>852</v>
      </c>
      <c r="F134" s="264">
        <f>(F133/F10)/1.983</f>
        <v>2470.095814422592</v>
      </c>
      <c r="G134" s="264">
        <f>(G133/G10)/1.983</f>
        <v>2472.2723797439526</v>
      </c>
      <c r="H134" s="264">
        <f>(H133/H10)/1.983</f>
        <v>1781.9801647335685</v>
      </c>
      <c r="I134" s="40" t="s">
        <v>852</v>
      </c>
      <c r="J134" s="264">
        <f>(J133/J10)/1.983</f>
        <v>1577.8309176386381</v>
      </c>
      <c r="K134" s="264">
        <f>(K133/K10)/1.983</f>
        <v>1680.4450734468792</v>
      </c>
      <c r="L134" s="264">
        <f>(L133/L10)/1.983</f>
        <v>2677.3407295343754</v>
      </c>
      <c r="M134" s="40" t="s">
        <v>852</v>
      </c>
      <c r="N134" s="264">
        <f>(N133/N10)/1.983</f>
        <v>2425.9105623607111</v>
      </c>
      <c r="O134" s="264">
        <f>(O133/O10)/1.983</f>
        <v>2048.9662128088753</v>
      </c>
      <c r="P134" s="264">
        <f>(P133/P10)/1.983</f>
        <v>1196.4114326614936</v>
      </c>
      <c r="Q134" s="40" t="s">
        <v>852</v>
      </c>
      <c r="R134" s="40" t="s">
        <v>852</v>
      </c>
    </row>
    <row r="135" spans="1:20" ht="15.75" customHeight="1" x14ac:dyDescent="0.3">
      <c r="A135" s="18"/>
      <c r="B135" s="172"/>
      <c r="C135" s="172"/>
      <c r="D135" s="172"/>
      <c r="E135" s="172"/>
      <c r="F135" s="172"/>
      <c r="G135" s="172"/>
      <c r="H135" s="172"/>
      <c r="I135" s="172"/>
      <c r="J135" s="172"/>
      <c r="K135" s="172"/>
      <c r="L135" s="172"/>
      <c r="M135" s="172"/>
      <c r="N135" s="172"/>
      <c r="O135" s="172"/>
      <c r="P135" s="172"/>
      <c r="Q135" s="172"/>
      <c r="R135" s="17"/>
    </row>
    <row r="136" spans="1:20" ht="15.75" customHeight="1" thickBot="1" x14ac:dyDescent="0.35">
      <c r="A136" s="18" t="s">
        <v>852</v>
      </c>
      <c r="B136" s="172"/>
      <c r="C136" s="172"/>
      <c r="D136" s="172"/>
      <c r="E136" s="172"/>
      <c r="F136" s="172"/>
      <c r="G136" s="172"/>
      <c r="H136" s="172"/>
      <c r="I136" s="172"/>
      <c r="J136" s="172"/>
      <c r="K136" s="172"/>
      <c r="L136" s="172"/>
      <c r="M136" s="172"/>
      <c r="N136" s="172"/>
      <c r="O136" s="172"/>
      <c r="P136" s="172"/>
      <c r="Q136" s="172"/>
      <c r="R136" s="17"/>
    </row>
    <row r="137" spans="1:20" ht="16.5" customHeight="1" thickBot="1" x14ac:dyDescent="0.35">
      <c r="A137" s="240" t="s">
        <v>1446</v>
      </c>
      <c r="B137" s="4" t="s">
        <v>2090</v>
      </c>
      <c r="C137" s="5" t="s">
        <v>2091</v>
      </c>
      <c r="D137" s="5" t="s">
        <v>2234</v>
      </c>
      <c r="E137" s="33" t="s">
        <v>1594</v>
      </c>
      <c r="F137" s="5" t="s">
        <v>2235</v>
      </c>
      <c r="G137" s="5" t="s">
        <v>2236</v>
      </c>
      <c r="H137" s="5" t="s">
        <v>2237</v>
      </c>
      <c r="I137" s="35" t="s">
        <v>1595</v>
      </c>
      <c r="J137" s="5" t="s">
        <v>1504</v>
      </c>
      <c r="K137" s="5" t="s">
        <v>1505</v>
      </c>
      <c r="L137" s="5" t="s">
        <v>1506</v>
      </c>
      <c r="M137" s="35" t="s">
        <v>1596</v>
      </c>
      <c r="N137" s="5" t="s">
        <v>1507</v>
      </c>
      <c r="O137" s="5" t="s">
        <v>1508</v>
      </c>
      <c r="P137" s="5" t="s">
        <v>1509</v>
      </c>
      <c r="Q137" s="35" t="s">
        <v>1597</v>
      </c>
      <c r="R137" s="36" t="s">
        <v>1510</v>
      </c>
    </row>
    <row r="138" spans="1:20" ht="16.5" customHeight="1" thickBot="1" x14ac:dyDescent="0.35">
      <c r="A138" s="44"/>
      <c r="B138" s="258"/>
      <c r="C138" s="258"/>
      <c r="D138" s="258"/>
      <c r="E138" s="265"/>
      <c r="F138" s="258"/>
      <c r="G138" s="258"/>
      <c r="H138" s="258"/>
      <c r="I138" s="265"/>
      <c r="J138" s="258"/>
      <c r="K138" s="258"/>
      <c r="L138" s="258"/>
      <c r="M138" s="265"/>
      <c r="N138" s="258"/>
      <c r="O138" s="258"/>
      <c r="P138" s="258"/>
      <c r="Q138" s="265"/>
      <c r="R138" s="44"/>
    </row>
    <row r="139" spans="1:20" ht="15.75" customHeight="1" x14ac:dyDescent="0.3">
      <c r="A139" s="234" t="s">
        <v>2417</v>
      </c>
      <c r="B139" s="10" t="s">
        <v>852</v>
      </c>
      <c r="C139" s="10" t="s">
        <v>852</v>
      </c>
      <c r="D139" s="10" t="s">
        <v>852</v>
      </c>
      <c r="E139" s="38" t="s">
        <v>852</v>
      </c>
      <c r="F139" s="10" t="s">
        <v>852</v>
      </c>
      <c r="G139" s="10" t="s">
        <v>852</v>
      </c>
      <c r="H139" s="10" t="s">
        <v>852</v>
      </c>
      <c r="I139" s="38" t="s">
        <v>852</v>
      </c>
      <c r="J139" s="10" t="s">
        <v>852</v>
      </c>
      <c r="K139" s="10" t="s">
        <v>852</v>
      </c>
      <c r="L139" s="10" t="s">
        <v>852</v>
      </c>
      <c r="M139" s="38" t="s">
        <v>852</v>
      </c>
      <c r="N139" s="10" t="s">
        <v>852</v>
      </c>
      <c r="O139" s="10" t="s">
        <v>852</v>
      </c>
      <c r="P139" s="10" t="s">
        <v>852</v>
      </c>
      <c r="Q139" s="38" t="s">
        <v>852</v>
      </c>
      <c r="R139" s="48" t="s">
        <v>852</v>
      </c>
    </row>
    <row r="140" spans="1:20" ht="15.75" customHeight="1" x14ac:dyDescent="0.3">
      <c r="A140" s="234" t="s">
        <v>2160</v>
      </c>
      <c r="B140" s="10"/>
      <c r="C140" s="10"/>
      <c r="D140" s="10"/>
      <c r="E140" s="38" t="s">
        <v>852</v>
      </c>
      <c r="F140" s="10"/>
      <c r="G140" s="10"/>
      <c r="H140" s="10"/>
      <c r="I140" s="38" t="s">
        <v>852</v>
      </c>
      <c r="J140" s="10"/>
      <c r="K140" s="10"/>
      <c r="L140" s="10"/>
      <c r="M140" s="38" t="s">
        <v>852</v>
      </c>
      <c r="N140" s="10"/>
      <c r="O140" s="10"/>
      <c r="P140" s="10"/>
      <c r="Q140" s="38" t="s">
        <v>852</v>
      </c>
      <c r="R140" s="48"/>
    </row>
    <row r="141" spans="1:20" ht="15.75" customHeight="1" x14ac:dyDescent="0.3">
      <c r="A141" s="569" t="s">
        <v>2730</v>
      </c>
      <c r="B141" s="10"/>
      <c r="C141" s="10">
        <v>40</v>
      </c>
      <c r="D141" s="10">
        <v>599</v>
      </c>
      <c r="E141" s="38">
        <f t="shared" ref="E141:E144" si="25">SUM(B141:D141)</f>
        <v>639</v>
      </c>
      <c r="F141" s="10">
        <v>584</v>
      </c>
      <c r="G141" s="10">
        <v>624</v>
      </c>
      <c r="H141" s="10">
        <v>534</v>
      </c>
      <c r="I141" s="38">
        <f t="shared" ref="I141:I144" si="26">SUM(F141:H141)</f>
        <v>1742</v>
      </c>
      <c r="J141" s="10">
        <v>468</v>
      </c>
      <c r="K141" s="10">
        <v>468</v>
      </c>
      <c r="L141" s="10">
        <v>475</v>
      </c>
      <c r="M141" s="38">
        <f t="shared" ref="M141:M144" si="27">SUM(J141:L141)</f>
        <v>1411</v>
      </c>
      <c r="N141" s="10">
        <v>397</v>
      </c>
      <c r="O141" s="10"/>
      <c r="P141" s="10"/>
      <c r="Q141" s="38">
        <f t="shared" ref="Q141:Q147" si="28">SUM(N141:P141)</f>
        <v>397</v>
      </c>
      <c r="R141" s="38">
        <f>+E141+I141+M141+Q141</f>
        <v>4189</v>
      </c>
      <c r="T141" t="s">
        <v>2764</v>
      </c>
    </row>
    <row r="142" spans="1:20" ht="15.75" customHeight="1" x14ac:dyDescent="0.3">
      <c r="A142" s="569" t="s">
        <v>2733</v>
      </c>
      <c r="B142" s="10"/>
      <c r="C142" s="10">
        <v>190</v>
      </c>
      <c r="D142" s="10">
        <v>710</v>
      </c>
      <c r="E142" s="38">
        <f t="shared" si="25"/>
        <v>900</v>
      </c>
      <c r="F142" s="10">
        <v>1017</v>
      </c>
      <c r="G142" s="10">
        <v>1193</v>
      </c>
      <c r="H142" s="10">
        <v>1653</v>
      </c>
      <c r="I142" s="38">
        <f t="shared" si="26"/>
        <v>3863</v>
      </c>
      <c r="J142" s="10">
        <v>1777</v>
      </c>
      <c r="K142" s="10">
        <v>1780</v>
      </c>
      <c r="L142" s="10">
        <v>1520</v>
      </c>
      <c r="M142" s="38">
        <f>SUM(J142:L142)</f>
        <v>5077</v>
      </c>
      <c r="N142" s="10">
        <v>1253</v>
      </c>
      <c r="O142" s="10"/>
      <c r="P142" s="10"/>
      <c r="Q142" s="38">
        <f t="shared" si="28"/>
        <v>1253</v>
      </c>
      <c r="R142" s="38">
        <f t="shared" ref="R142:R192" si="29">+E142+I142+M142+Q142</f>
        <v>11093</v>
      </c>
      <c r="T142" t="s">
        <v>2764</v>
      </c>
    </row>
    <row r="143" spans="1:20" ht="15.75" customHeight="1" x14ac:dyDescent="0.3">
      <c r="A143" s="569" t="s">
        <v>2734</v>
      </c>
      <c r="B143" s="10"/>
      <c r="C143" s="10">
        <v>27</v>
      </c>
      <c r="D143" s="10">
        <v>339</v>
      </c>
      <c r="E143" s="38">
        <f t="shared" si="25"/>
        <v>366</v>
      </c>
      <c r="F143" s="10">
        <v>339</v>
      </c>
      <c r="G143" s="10">
        <v>363</v>
      </c>
      <c r="H143" s="10">
        <v>309</v>
      </c>
      <c r="I143" s="38">
        <f t="shared" si="26"/>
        <v>1011</v>
      </c>
      <c r="J143" s="10">
        <v>272</v>
      </c>
      <c r="K143" s="10">
        <v>272</v>
      </c>
      <c r="L143" s="10">
        <v>276</v>
      </c>
      <c r="M143" s="38">
        <f t="shared" si="27"/>
        <v>820</v>
      </c>
      <c r="N143" s="10">
        <v>175</v>
      </c>
      <c r="O143" s="10"/>
      <c r="P143" s="10"/>
      <c r="Q143" s="38">
        <f t="shared" si="28"/>
        <v>175</v>
      </c>
      <c r="R143" s="38">
        <f t="shared" si="29"/>
        <v>2372</v>
      </c>
      <c r="T143" t="s">
        <v>2764</v>
      </c>
    </row>
    <row r="144" spans="1:20" ht="15.75" customHeight="1" x14ac:dyDescent="0.3">
      <c r="A144" s="569" t="s">
        <v>2735</v>
      </c>
      <c r="B144" s="10"/>
      <c r="C144" s="10">
        <v>33</v>
      </c>
      <c r="D144" s="10">
        <v>323</v>
      </c>
      <c r="E144" s="38">
        <f t="shared" si="25"/>
        <v>356</v>
      </c>
      <c r="F144" s="10">
        <v>452</v>
      </c>
      <c r="G144" s="10">
        <v>484</v>
      </c>
      <c r="H144" s="10">
        <v>413</v>
      </c>
      <c r="I144" s="38">
        <f t="shared" si="26"/>
        <v>1349</v>
      </c>
      <c r="J144" s="10">
        <v>362</v>
      </c>
      <c r="K144" s="10">
        <v>362</v>
      </c>
      <c r="L144" s="10">
        <v>368</v>
      </c>
      <c r="M144" s="38">
        <f t="shared" si="27"/>
        <v>1092</v>
      </c>
      <c r="N144" s="10">
        <v>434</v>
      </c>
      <c r="O144" s="10"/>
      <c r="P144" s="10"/>
      <c r="Q144" s="38">
        <f t="shared" si="28"/>
        <v>434</v>
      </c>
      <c r="R144" s="38">
        <f t="shared" si="29"/>
        <v>3231</v>
      </c>
      <c r="T144" t="s">
        <v>2764</v>
      </c>
    </row>
    <row r="145" spans="1:20" ht="15.75" customHeight="1" x14ac:dyDescent="0.3">
      <c r="A145" s="539" t="s">
        <v>2238</v>
      </c>
      <c r="B145" s="10">
        <v>15</v>
      </c>
      <c r="C145" s="10">
        <v>10</v>
      </c>
      <c r="D145" s="10">
        <v>7</v>
      </c>
      <c r="E145" s="38">
        <f t="shared" ref="E145:E146" si="30">SUM(B145:D145)</f>
        <v>32</v>
      </c>
      <c r="F145" s="10">
        <v>9</v>
      </c>
      <c r="G145" s="10">
        <v>8</v>
      </c>
      <c r="H145" s="10">
        <v>12</v>
      </c>
      <c r="I145" s="38">
        <f t="shared" ref="I145:I189" si="31">SUM(F145:H145)</f>
        <v>29</v>
      </c>
      <c r="J145" s="10">
        <v>13</v>
      </c>
      <c r="K145" s="10">
        <v>9</v>
      </c>
      <c r="L145" s="10">
        <v>14</v>
      </c>
      <c r="M145" s="38">
        <f t="shared" ref="M145:M189" si="32">SUM(J145:L145)</f>
        <v>36</v>
      </c>
      <c r="N145" s="10">
        <v>25</v>
      </c>
      <c r="O145" s="10">
        <v>25</v>
      </c>
      <c r="P145" s="10">
        <v>145</v>
      </c>
      <c r="Q145" s="38">
        <f t="shared" si="28"/>
        <v>195</v>
      </c>
      <c r="R145" s="38">
        <f t="shared" si="29"/>
        <v>292</v>
      </c>
      <c r="T145" t="s">
        <v>1193</v>
      </c>
    </row>
    <row r="146" spans="1:20" ht="15.75" customHeight="1" x14ac:dyDescent="0.3">
      <c r="A146" s="539" t="s">
        <v>3318</v>
      </c>
      <c r="B146" s="10"/>
      <c r="C146" s="10">
        <v>348</v>
      </c>
      <c r="D146" s="10"/>
      <c r="E146" s="38">
        <f t="shared" si="30"/>
        <v>348</v>
      </c>
      <c r="F146" s="10"/>
      <c r="G146" s="10">
        <v>652</v>
      </c>
      <c r="H146" s="10"/>
      <c r="I146" s="38">
        <f t="shared" si="31"/>
        <v>652</v>
      </c>
      <c r="J146" s="10"/>
      <c r="K146" s="10"/>
      <c r="L146" s="10"/>
      <c r="M146" s="38">
        <f t="shared" si="32"/>
        <v>0</v>
      </c>
      <c r="N146" s="10"/>
      <c r="O146" s="10"/>
      <c r="P146" s="10"/>
      <c r="Q146" s="38">
        <f t="shared" ref="Q146" si="33">SUM(N146:P146)</f>
        <v>0</v>
      </c>
      <c r="R146" s="38">
        <f t="shared" si="29"/>
        <v>1000</v>
      </c>
    </row>
    <row r="147" spans="1:20" ht="15.75" customHeight="1" x14ac:dyDescent="0.3">
      <c r="A147" s="569" t="s">
        <v>3046</v>
      </c>
      <c r="C147" s="10"/>
      <c r="D147" s="10"/>
      <c r="E147" s="38">
        <f>SUM(C147:D147)</f>
        <v>0</v>
      </c>
      <c r="F147" s="10"/>
      <c r="G147" s="10"/>
      <c r="H147" s="10">
        <v>750</v>
      </c>
      <c r="I147" s="38">
        <f t="shared" si="31"/>
        <v>750</v>
      </c>
      <c r="J147" s="10"/>
      <c r="K147" s="10"/>
      <c r="L147" s="10"/>
      <c r="M147" s="38">
        <f t="shared" si="32"/>
        <v>0</v>
      </c>
      <c r="N147" s="10"/>
      <c r="O147" s="10"/>
      <c r="P147" s="10"/>
      <c r="Q147" s="38">
        <f t="shared" si="28"/>
        <v>0</v>
      </c>
      <c r="R147" s="38">
        <f t="shared" si="29"/>
        <v>750</v>
      </c>
      <c r="T147" t="s">
        <v>2764</v>
      </c>
    </row>
    <row r="148" spans="1:20" ht="15.75" customHeight="1" x14ac:dyDescent="0.3">
      <c r="A148" s="539" t="s">
        <v>3326</v>
      </c>
      <c r="C148" s="10"/>
      <c r="D148" s="10"/>
      <c r="E148" s="38">
        <f>SUM(C148:D148)</f>
        <v>0</v>
      </c>
      <c r="F148" s="10"/>
      <c r="G148" s="10">
        <v>1087</v>
      </c>
      <c r="H148" s="10">
        <v>4112</v>
      </c>
      <c r="I148" s="38">
        <f t="shared" si="31"/>
        <v>5199</v>
      </c>
      <c r="J148" s="10">
        <v>5359</v>
      </c>
      <c r="K148" s="10">
        <v>6212</v>
      </c>
      <c r="L148" s="10">
        <v>4230</v>
      </c>
      <c r="M148" s="38">
        <f t="shared" si="32"/>
        <v>15801</v>
      </c>
      <c r="N148" s="10"/>
      <c r="O148" s="10"/>
      <c r="P148" s="10"/>
      <c r="Q148" s="38">
        <f t="shared" ref="Q148" si="34">SUM(N148:P148)</f>
        <v>0</v>
      </c>
      <c r="R148" s="38">
        <f t="shared" ref="R148" si="35">+E148+I148+M148+Q148</f>
        <v>21000</v>
      </c>
    </row>
    <row r="149" spans="1:20" ht="15.75" customHeight="1" x14ac:dyDescent="0.3">
      <c r="A149" s="569" t="s">
        <v>2736</v>
      </c>
      <c r="B149" s="10"/>
      <c r="C149" s="10"/>
      <c r="D149" s="10"/>
      <c r="E149" s="38">
        <f t="shared" ref="E149:E164" si="36">SUM(B149:D149)</f>
        <v>0</v>
      </c>
      <c r="F149" s="10"/>
      <c r="G149" s="10"/>
      <c r="H149" s="10"/>
      <c r="I149" s="38">
        <f t="shared" si="31"/>
        <v>0</v>
      </c>
      <c r="J149" s="10"/>
      <c r="K149" s="10"/>
      <c r="L149" s="10"/>
      <c r="M149" s="38">
        <f t="shared" si="32"/>
        <v>0</v>
      </c>
      <c r="N149" s="10"/>
      <c r="O149" s="10"/>
      <c r="P149" s="10"/>
      <c r="Q149" s="38">
        <f t="shared" ref="Q149:Q195" si="37">SUM(N149:P149)</f>
        <v>0</v>
      </c>
      <c r="R149" s="38">
        <f t="shared" si="29"/>
        <v>0</v>
      </c>
      <c r="T149" t="s">
        <v>2769</v>
      </c>
    </row>
    <row r="150" spans="1:20" ht="15.75" customHeight="1" x14ac:dyDescent="0.3">
      <c r="A150" s="569" t="s">
        <v>917</v>
      </c>
      <c r="B150" s="10"/>
      <c r="C150" s="10"/>
      <c r="D150" s="10"/>
      <c r="E150" s="38">
        <f t="shared" si="36"/>
        <v>0</v>
      </c>
      <c r="F150" s="10"/>
      <c r="G150" s="10"/>
      <c r="H150">
        <v>2696</v>
      </c>
      <c r="I150" s="38">
        <f t="shared" si="31"/>
        <v>2696</v>
      </c>
      <c r="J150" s="10"/>
      <c r="K150" s="10"/>
      <c r="L150" s="10"/>
      <c r="M150" s="38">
        <f t="shared" si="32"/>
        <v>0</v>
      </c>
      <c r="N150" s="10"/>
      <c r="O150" s="10"/>
      <c r="P150" s="10"/>
      <c r="Q150" s="38">
        <f t="shared" si="37"/>
        <v>0</v>
      </c>
      <c r="R150" s="38">
        <f t="shared" si="29"/>
        <v>2696</v>
      </c>
      <c r="T150" t="s">
        <v>2770</v>
      </c>
    </row>
    <row r="151" spans="1:20" ht="15.75" customHeight="1" x14ac:dyDescent="0.3">
      <c r="A151" s="539" t="s">
        <v>3001</v>
      </c>
      <c r="B151" s="10"/>
      <c r="C151" s="10"/>
      <c r="D151" s="10"/>
      <c r="E151" s="38">
        <f t="shared" si="36"/>
        <v>0</v>
      </c>
      <c r="F151" s="10"/>
      <c r="G151" s="10"/>
      <c r="H151" s="10">
        <v>2720</v>
      </c>
      <c r="I151" s="38">
        <f t="shared" si="31"/>
        <v>2720</v>
      </c>
      <c r="J151" s="10"/>
      <c r="K151" s="10"/>
      <c r="L151" s="10"/>
      <c r="M151" s="38">
        <f t="shared" si="32"/>
        <v>0</v>
      </c>
      <c r="N151" s="10"/>
      <c r="O151" s="10"/>
      <c r="P151" s="10"/>
      <c r="Q151" s="38">
        <f t="shared" si="37"/>
        <v>0</v>
      </c>
      <c r="R151" s="38">
        <f t="shared" si="29"/>
        <v>2720</v>
      </c>
      <c r="S151" t="s">
        <v>3020</v>
      </c>
      <c r="T151" t="s">
        <v>2760</v>
      </c>
    </row>
    <row r="152" spans="1:20" ht="15.75" customHeight="1" x14ac:dyDescent="0.3">
      <c r="A152" s="410" t="s">
        <v>3212</v>
      </c>
      <c r="B152" s="10"/>
      <c r="C152" s="10">
        <v>1</v>
      </c>
      <c r="D152" s="10">
        <f>27+10</f>
        <v>37</v>
      </c>
      <c r="E152" s="38">
        <f>SUM(B152:D152)</f>
        <v>38</v>
      </c>
      <c r="F152" s="10">
        <f>40+20</f>
        <v>60</v>
      </c>
      <c r="G152" s="10">
        <f>34+41</f>
        <v>75</v>
      </c>
      <c r="H152" s="10">
        <f>75+32</f>
        <v>107</v>
      </c>
      <c r="I152" s="38">
        <f>SUM(F152:H152)</f>
        <v>242</v>
      </c>
      <c r="K152" s="10"/>
      <c r="L152" s="10"/>
      <c r="M152" s="38">
        <f>SUM(J152:L152)</f>
        <v>0</v>
      </c>
      <c r="N152" s="10"/>
      <c r="O152" s="10"/>
      <c r="P152" s="10"/>
      <c r="Q152" s="38">
        <f>SUM(N152:P152)</f>
        <v>0</v>
      </c>
      <c r="R152" s="38">
        <f>+E152+I152+M152+Q152</f>
        <v>280</v>
      </c>
      <c r="S152" s="709"/>
    </row>
    <row r="153" spans="1:20" ht="15.75" customHeight="1" x14ac:dyDescent="0.3">
      <c r="A153" s="569" t="s">
        <v>3246</v>
      </c>
      <c r="B153" s="10"/>
      <c r="C153" s="10"/>
      <c r="D153" s="10"/>
      <c r="E153" s="38">
        <f t="shared" si="36"/>
        <v>0</v>
      </c>
      <c r="F153" s="10"/>
      <c r="G153" s="10"/>
      <c r="H153" s="10"/>
      <c r="I153" s="38">
        <f t="shared" si="31"/>
        <v>0</v>
      </c>
      <c r="J153" s="10"/>
      <c r="K153" s="10"/>
      <c r="L153" s="10"/>
      <c r="M153" s="38">
        <f t="shared" si="32"/>
        <v>0</v>
      </c>
      <c r="N153" s="10">
        <v>545</v>
      </c>
      <c r="O153" s="10"/>
      <c r="P153" s="10"/>
      <c r="Q153" s="38">
        <f t="shared" si="37"/>
        <v>545</v>
      </c>
      <c r="R153" s="38">
        <f t="shared" si="29"/>
        <v>545</v>
      </c>
      <c r="S153" s="736" t="s">
        <v>3213</v>
      </c>
      <c r="T153" t="s">
        <v>2769</v>
      </c>
    </row>
    <row r="154" spans="1:20" ht="15.75" customHeight="1" x14ac:dyDescent="0.3">
      <c r="A154" s="569" t="s">
        <v>3247</v>
      </c>
      <c r="B154" s="10"/>
      <c r="C154" s="10"/>
      <c r="D154" s="700"/>
      <c r="E154" s="38">
        <f t="shared" si="36"/>
        <v>0</v>
      </c>
      <c r="F154" s="10"/>
      <c r="G154" s="10"/>
      <c r="H154" s="10"/>
      <c r="I154" s="38">
        <f t="shared" si="31"/>
        <v>0</v>
      </c>
      <c r="J154" s="10"/>
      <c r="K154" s="10"/>
      <c r="L154" s="10">
        <v>156</v>
      </c>
      <c r="M154" s="38">
        <f t="shared" si="32"/>
        <v>156</v>
      </c>
      <c r="N154" s="10">
        <v>1</v>
      </c>
      <c r="O154" s="10"/>
      <c r="P154" s="10"/>
      <c r="Q154" s="38">
        <f t="shared" si="37"/>
        <v>1</v>
      </c>
      <c r="R154" s="38">
        <f t="shared" si="29"/>
        <v>157</v>
      </c>
      <c r="S154" s="736" t="s">
        <v>3213</v>
      </c>
      <c r="T154" t="s">
        <v>2770</v>
      </c>
    </row>
    <row r="155" spans="1:20" ht="15.75" customHeight="1" x14ac:dyDescent="0.3">
      <c r="A155" s="569" t="s">
        <v>3248</v>
      </c>
      <c r="B155" s="10"/>
      <c r="C155" s="10"/>
      <c r="D155" s="10"/>
      <c r="E155" s="38">
        <f t="shared" si="36"/>
        <v>0</v>
      </c>
      <c r="F155" s="10"/>
      <c r="G155" s="10"/>
      <c r="H155" s="10"/>
      <c r="I155" s="38">
        <f t="shared" si="31"/>
        <v>0</v>
      </c>
      <c r="J155" s="10"/>
      <c r="K155" s="10"/>
      <c r="L155" s="10"/>
      <c r="M155" s="38">
        <f t="shared" si="32"/>
        <v>0</v>
      </c>
      <c r="N155" s="10"/>
      <c r="O155" s="10"/>
      <c r="P155" s="10"/>
      <c r="Q155" s="38">
        <f t="shared" si="37"/>
        <v>0</v>
      </c>
      <c r="R155" s="38">
        <f t="shared" si="29"/>
        <v>0</v>
      </c>
      <c r="S155" s="736" t="s">
        <v>3213</v>
      </c>
      <c r="T155" t="s">
        <v>2764</v>
      </c>
    </row>
    <row r="156" spans="1:20" ht="15.75" customHeight="1" x14ac:dyDescent="0.3">
      <c r="A156" s="539" t="s">
        <v>1880</v>
      </c>
      <c r="B156" s="10">
        <v>46</v>
      </c>
      <c r="C156" s="10">
        <v>47</v>
      </c>
      <c r="D156" s="10">
        <v>43</v>
      </c>
      <c r="E156" s="38">
        <f t="shared" si="36"/>
        <v>136</v>
      </c>
      <c r="F156" s="10">
        <v>58</v>
      </c>
      <c r="G156" s="10">
        <v>60</v>
      </c>
      <c r="H156" s="10">
        <v>67</v>
      </c>
      <c r="I156" s="38">
        <f t="shared" si="31"/>
        <v>185</v>
      </c>
      <c r="J156" s="10">
        <v>63</v>
      </c>
      <c r="K156" s="10">
        <f>12+51</f>
        <v>63</v>
      </c>
      <c r="L156" s="10">
        <v>61</v>
      </c>
      <c r="M156" s="38">
        <f t="shared" si="32"/>
        <v>187</v>
      </c>
      <c r="N156" s="10">
        <f>12+43</f>
        <v>55</v>
      </c>
      <c r="O156" s="10">
        <f>12+43</f>
        <v>55</v>
      </c>
      <c r="P156" s="10">
        <v>37</v>
      </c>
      <c r="Q156" s="38">
        <f t="shared" si="37"/>
        <v>147</v>
      </c>
      <c r="R156" s="38">
        <f t="shared" si="29"/>
        <v>655</v>
      </c>
      <c r="T156" t="s">
        <v>2761</v>
      </c>
    </row>
    <row r="157" spans="1:20" ht="15.75" customHeight="1" x14ac:dyDescent="0.3">
      <c r="A157" s="539" t="s">
        <v>703</v>
      </c>
      <c r="B157" s="10">
        <v>127</v>
      </c>
      <c r="C157" s="10">
        <v>98</v>
      </c>
      <c r="D157" s="10">
        <v>144</v>
      </c>
      <c r="E157" s="38">
        <f t="shared" si="36"/>
        <v>369</v>
      </c>
      <c r="F157" s="10">
        <v>149</v>
      </c>
      <c r="G157" s="10">
        <v>162</v>
      </c>
      <c r="H157" s="10">
        <v>190</v>
      </c>
      <c r="I157" s="38">
        <f t="shared" si="31"/>
        <v>501</v>
      </c>
      <c r="J157" s="10">
        <v>214</v>
      </c>
      <c r="K157" s="10">
        <v>224</v>
      </c>
      <c r="L157" s="10">
        <v>177</v>
      </c>
      <c r="M157" s="38">
        <f t="shared" si="32"/>
        <v>615</v>
      </c>
      <c r="N157" s="10">
        <v>180</v>
      </c>
      <c r="O157" s="10">
        <v>180</v>
      </c>
      <c r="P157" s="10">
        <v>360</v>
      </c>
      <c r="Q157" s="38">
        <f t="shared" si="37"/>
        <v>720</v>
      </c>
      <c r="R157" s="38">
        <f t="shared" si="29"/>
        <v>2205</v>
      </c>
      <c r="T157" t="s">
        <v>2874</v>
      </c>
    </row>
    <row r="158" spans="1:20" ht="15.75" customHeight="1" x14ac:dyDescent="0.3">
      <c r="A158" s="539" t="s">
        <v>2967</v>
      </c>
      <c r="B158" s="10"/>
      <c r="C158" s="10"/>
      <c r="D158" s="10"/>
      <c r="E158" s="38">
        <f t="shared" si="36"/>
        <v>0</v>
      </c>
      <c r="F158" s="10"/>
      <c r="G158" s="10">
        <v>410</v>
      </c>
      <c r="H158" s="10"/>
      <c r="I158" s="38">
        <f t="shared" si="31"/>
        <v>410</v>
      </c>
      <c r="J158" s="10"/>
      <c r="K158" s="10">
        <v>445</v>
      </c>
      <c r="L158" s="10">
        <f>580+357</f>
        <v>937</v>
      </c>
      <c r="M158" s="38">
        <f t="shared" si="32"/>
        <v>1382</v>
      </c>
      <c r="N158" s="10">
        <v>750</v>
      </c>
      <c r="O158" s="10">
        <v>492</v>
      </c>
      <c r="P158" s="10">
        <v>352</v>
      </c>
      <c r="Q158" s="38">
        <f t="shared" si="37"/>
        <v>1594</v>
      </c>
      <c r="R158" s="38">
        <f t="shared" si="29"/>
        <v>3386</v>
      </c>
      <c r="S158" t="s">
        <v>3020</v>
      </c>
    </row>
    <row r="159" spans="1:20" ht="15.75" customHeight="1" x14ac:dyDescent="0.3">
      <c r="A159" s="569" t="s">
        <v>3336</v>
      </c>
      <c r="B159" s="10"/>
      <c r="C159" s="10">
        <v>300</v>
      </c>
      <c r="D159" s="10">
        <v>539</v>
      </c>
      <c r="E159" s="38">
        <f>SUM(B159:D159)</f>
        <v>839</v>
      </c>
      <c r="F159" s="10">
        <v>509</v>
      </c>
      <c r="G159" s="10">
        <v>544</v>
      </c>
      <c r="H159" s="10">
        <v>465</v>
      </c>
      <c r="I159" s="38">
        <f t="shared" si="31"/>
        <v>1518</v>
      </c>
      <c r="J159" s="10">
        <v>408</v>
      </c>
      <c r="K159" s="10">
        <v>408</v>
      </c>
      <c r="L159" s="10">
        <v>414</v>
      </c>
      <c r="M159" s="38">
        <f t="shared" si="32"/>
        <v>1230</v>
      </c>
      <c r="N159" s="10">
        <v>13</v>
      </c>
      <c r="O159" s="10"/>
      <c r="P159" s="10"/>
      <c r="Q159" s="38">
        <f t="shared" si="37"/>
        <v>13</v>
      </c>
      <c r="R159" s="38">
        <f t="shared" si="29"/>
        <v>3600</v>
      </c>
      <c r="T159" t="s">
        <v>2764</v>
      </c>
    </row>
    <row r="160" spans="1:20" ht="15.75" customHeight="1" x14ac:dyDescent="0.3">
      <c r="A160" s="539" t="s">
        <v>3337</v>
      </c>
      <c r="B160" s="10">
        <v>334</v>
      </c>
      <c r="C160" s="10">
        <v>314</v>
      </c>
      <c r="D160" s="10">
        <v>375</v>
      </c>
      <c r="E160" s="38">
        <f t="shared" si="36"/>
        <v>1023</v>
      </c>
      <c r="F160" s="10">
        <v>358</v>
      </c>
      <c r="G160" s="10">
        <v>306</v>
      </c>
      <c r="H160" s="10">
        <v>394</v>
      </c>
      <c r="I160" s="38">
        <f t="shared" si="31"/>
        <v>1058</v>
      </c>
      <c r="J160" s="10">
        <v>493</v>
      </c>
      <c r="K160" s="10">
        <v>524</v>
      </c>
      <c r="L160" s="10">
        <v>537</v>
      </c>
      <c r="M160" s="38">
        <f t="shared" si="32"/>
        <v>1554</v>
      </c>
      <c r="N160" s="10">
        <v>377</v>
      </c>
      <c r="O160" s="10">
        <v>90</v>
      </c>
      <c r="P160" s="10">
        <v>1201</v>
      </c>
      <c r="Q160" s="38">
        <f t="shared" si="37"/>
        <v>1668</v>
      </c>
      <c r="R160" s="38">
        <f t="shared" si="29"/>
        <v>5303</v>
      </c>
      <c r="T160" t="s">
        <v>2762</v>
      </c>
    </row>
    <row r="161" spans="1:20" ht="15.75" customHeight="1" x14ac:dyDescent="0.3">
      <c r="A161" s="569" t="s">
        <v>3376</v>
      </c>
      <c r="B161" s="10"/>
      <c r="C161" s="10"/>
      <c r="D161" s="10"/>
      <c r="E161" s="38">
        <f t="shared" si="36"/>
        <v>0</v>
      </c>
      <c r="F161" s="10"/>
      <c r="G161" s="10"/>
      <c r="H161" s="10"/>
      <c r="I161" s="38">
        <f t="shared" si="31"/>
        <v>0</v>
      </c>
      <c r="J161" s="10">
        <v>508</v>
      </c>
      <c r="K161" s="10"/>
      <c r="L161" s="10"/>
      <c r="M161" s="38">
        <f t="shared" si="32"/>
        <v>508</v>
      </c>
      <c r="N161" s="10"/>
      <c r="O161" s="10"/>
      <c r="P161" s="10"/>
      <c r="Q161" s="38">
        <f t="shared" si="37"/>
        <v>0</v>
      </c>
      <c r="R161" s="38">
        <f t="shared" si="29"/>
        <v>508</v>
      </c>
      <c r="T161" t="s">
        <v>2769</v>
      </c>
    </row>
    <row r="162" spans="1:20" ht="15.75" customHeight="1" x14ac:dyDescent="0.3">
      <c r="A162" s="410" t="s">
        <v>3274</v>
      </c>
      <c r="B162" s="10"/>
      <c r="C162" s="10"/>
      <c r="D162" s="10"/>
      <c r="E162" s="38">
        <f t="shared" ref="E162" si="38">SUM(B162:D162)</f>
        <v>0</v>
      </c>
      <c r="F162" s="10"/>
      <c r="G162" s="10"/>
      <c r="H162" s="10">
        <v>1325</v>
      </c>
      <c r="I162" s="38">
        <f t="shared" ref="I162" si="39">SUM(F162:H162)</f>
        <v>1325</v>
      </c>
      <c r="J162" s="10">
        <v>1581</v>
      </c>
      <c r="K162" s="10"/>
      <c r="L162" s="10"/>
      <c r="M162" s="38">
        <f t="shared" ref="M162" si="40">SUM(J162:L162)</f>
        <v>1581</v>
      </c>
      <c r="N162" s="10"/>
      <c r="O162" s="10"/>
      <c r="P162" s="10"/>
      <c r="Q162" s="38">
        <f t="shared" ref="Q162" si="41">SUM(N162:P162)</f>
        <v>0</v>
      </c>
      <c r="R162" s="38">
        <f t="shared" si="29"/>
        <v>2906</v>
      </c>
    </row>
    <row r="163" spans="1:20" ht="15.75" customHeight="1" x14ac:dyDescent="0.3">
      <c r="A163" s="410" t="s">
        <v>3132</v>
      </c>
      <c r="B163" s="10"/>
      <c r="C163" s="10"/>
      <c r="D163" s="10"/>
      <c r="E163" s="38">
        <f t="shared" si="36"/>
        <v>0</v>
      </c>
      <c r="F163" s="10"/>
      <c r="G163" s="10"/>
      <c r="H163" s="10"/>
      <c r="I163" s="38">
        <f t="shared" si="31"/>
        <v>0</v>
      </c>
      <c r="J163" s="10"/>
      <c r="K163" s="10"/>
      <c r="L163" s="10"/>
      <c r="M163" s="38">
        <f t="shared" si="32"/>
        <v>0</v>
      </c>
      <c r="N163" s="10"/>
      <c r="O163" s="10"/>
      <c r="P163" s="10"/>
      <c r="Q163" s="38">
        <f t="shared" si="37"/>
        <v>0</v>
      </c>
      <c r="R163" s="38">
        <f t="shared" si="29"/>
        <v>0</v>
      </c>
    </row>
    <row r="164" spans="1:20" ht="15.75" customHeight="1" x14ac:dyDescent="0.3">
      <c r="A164" s="539" t="s">
        <v>2809</v>
      </c>
      <c r="B164" s="10"/>
      <c r="C164" s="10"/>
      <c r="D164" s="10"/>
      <c r="E164" s="38">
        <f t="shared" si="36"/>
        <v>0</v>
      </c>
      <c r="F164" s="10"/>
      <c r="G164" s="10"/>
      <c r="H164" s="10"/>
      <c r="I164" s="38">
        <f t="shared" si="31"/>
        <v>0</v>
      </c>
      <c r="J164" s="10"/>
      <c r="K164" s="10"/>
      <c r="L164" s="10"/>
      <c r="M164" s="38">
        <f t="shared" si="32"/>
        <v>0</v>
      </c>
      <c r="N164" s="10"/>
      <c r="O164" s="10"/>
      <c r="P164" s="10"/>
      <c r="Q164" s="38">
        <f t="shared" si="37"/>
        <v>0</v>
      </c>
      <c r="R164" s="38">
        <f t="shared" si="29"/>
        <v>0</v>
      </c>
      <c r="S164" t="s">
        <v>3020</v>
      </c>
      <c r="T164" t="s">
        <v>2760</v>
      </c>
    </row>
    <row r="165" spans="1:20" s="353" customFormat="1" ht="15.75" customHeight="1" x14ac:dyDescent="0.3">
      <c r="A165" s="535" t="s">
        <v>1242</v>
      </c>
      <c r="B165" s="542"/>
      <c r="C165" s="542"/>
      <c r="D165" s="542"/>
      <c r="E165" s="331">
        <f t="shared" ref="E165:E188" si="42">SUM(B165:D165)</f>
        <v>0</v>
      </c>
      <c r="F165" s="542"/>
      <c r="G165" s="542"/>
      <c r="H165" s="542"/>
      <c r="I165" s="331">
        <f t="shared" si="31"/>
        <v>0</v>
      </c>
      <c r="J165" s="542"/>
      <c r="K165" s="542"/>
      <c r="L165" s="542"/>
      <c r="M165" s="331">
        <f t="shared" si="32"/>
        <v>0</v>
      </c>
      <c r="N165" s="542">
        <v>-11000</v>
      </c>
      <c r="O165" s="542">
        <v>-10000</v>
      </c>
      <c r="P165" s="542">
        <v>-15000</v>
      </c>
      <c r="Q165" s="331">
        <f t="shared" si="37"/>
        <v>-36000</v>
      </c>
      <c r="R165" s="331">
        <f t="shared" si="29"/>
        <v>-36000</v>
      </c>
    </row>
    <row r="166" spans="1:20" ht="15.75" customHeight="1" x14ac:dyDescent="0.3">
      <c r="A166" s="539" t="s">
        <v>1379</v>
      </c>
      <c r="B166" s="10"/>
      <c r="C166" s="10"/>
      <c r="D166" s="10"/>
      <c r="E166" s="38">
        <f t="shared" si="42"/>
        <v>0</v>
      </c>
      <c r="F166" s="10">
        <v>758</v>
      </c>
      <c r="G166" s="10">
        <v>1756</v>
      </c>
      <c r="H166" s="10">
        <v>1873</v>
      </c>
      <c r="I166" s="38">
        <f t="shared" si="31"/>
        <v>4387</v>
      </c>
      <c r="J166" s="10">
        <v>1751</v>
      </c>
      <c r="K166" s="10">
        <v>1854</v>
      </c>
      <c r="L166" s="10">
        <v>1717</v>
      </c>
      <c r="M166" s="38">
        <f t="shared" si="32"/>
        <v>5322</v>
      </c>
      <c r="N166" s="10">
        <v>1500</v>
      </c>
      <c r="O166" s="10">
        <v>1700</v>
      </c>
      <c r="P166" s="10">
        <v>1795</v>
      </c>
      <c r="Q166" s="38">
        <f t="shared" si="37"/>
        <v>4995</v>
      </c>
      <c r="R166" s="38">
        <f>+E166+I166+M166+Q166</f>
        <v>14704</v>
      </c>
      <c r="T166" t="s">
        <v>2775</v>
      </c>
    </row>
    <row r="167" spans="1:20" ht="15.75" customHeight="1" x14ac:dyDescent="0.3">
      <c r="A167" s="569" t="s">
        <v>2984</v>
      </c>
      <c r="B167" s="10"/>
      <c r="C167" s="10"/>
      <c r="D167" s="10"/>
      <c r="E167" s="38">
        <f t="shared" si="42"/>
        <v>0</v>
      </c>
      <c r="F167" s="10"/>
      <c r="G167" s="10"/>
      <c r="H167" s="10"/>
      <c r="I167" s="38">
        <f t="shared" si="31"/>
        <v>0</v>
      </c>
      <c r="J167" s="10"/>
      <c r="K167" s="10"/>
      <c r="L167" s="10">
        <v>500</v>
      </c>
      <c r="M167" s="38">
        <f t="shared" si="32"/>
        <v>500</v>
      </c>
      <c r="N167" s="10"/>
      <c r="O167" s="10"/>
      <c r="P167" s="10"/>
      <c r="Q167" s="38">
        <f t="shared" si="37"/>
        <v>0</v>
      </c>
      <c r="R167" s="38">
        <f t="shared" ref="R167:R173" si="43">+E167+I167+M167+Q167</f>
        <v>500</v>
      </c>
      <c r="T167" t="s">
        <v>2764</v>
      </c>
    </row>
    <row r="168" spans="1:20" ht="15.75" customHeight="1" x14ac:dyDescent="0.3">
      <c r="A168" s="569" t="s">
        <v>2987</v>
      </c>
      <c r="B168" s="10"/>
      <c r="C168" s="10"/>
      <c r="D168" s="10"/>
      <c r="E168" s="38">
        <f t="shared" si="42"/>
        <v>0</v>
      </c>
      <c r="F168" s="10"/>
      <c r="G168" s="10">
        <v>500</v>
      </c>
      <c r="H168" s="10">
        <v>300</v>
      </c>
      <c r="I168" s="38">
        <f t="shared" si="31"/>
        <v>800</v>
      </c>
      <c r="J168" s="10">
        <v>832</v>
      </c>
      <c r="K168" s="10"/>
      <c r="L168" s="10"/>
      <c r="M168" s="38">
        <f t="shared" si="32"/>
        <v>832</v>
      </c>
      <c r="N168" s="10">
        <v>200</v>
      </c>
      <c r="O168" s="10"/>
      <c r="P168" s="10"/>
      <c r="Q168" s="38">
        <f t="shared" si="37"/>
        <v>200</v>
      </c>
      <c r="R168" s="38">
        <f t="shared" si="43"/>
        <v>1832</v>
      </c>
      <c r="T168" t="s">
        <v>2770</v>
      </c>
    </row>
    <row r="169" spans="1:20" ht="15.75" customHeight="1" x14ac:dyDescent="0.3">
      <c r="A169" s="569" t="s">
        <v>3285</v>
      </c>
      <c r="B169" s="10"/>
      <c r="C169" s="10"/>
      <c r="D169" s="10"/>
      <c r="E169" s="38">
        <f t="shared" si="42"/>
        <v>0</v>
      </c>
      <c r="F169" s="10"/>
      <c r="G169" s="10"/>
      <c r="H169" s="10"/>
      <c r="I169" s="38">
        <f t="shared" si="31"/>
        <v>0</v>
      </c>
      <c r="J169" s="10"/>
      <c r="K169" s="10"/>
      <c r="L169" s="10">
        <v>200</v>
      </c>
      <c r="M169" s="38">
        <f t="shared" si="32"/>
        <v>200</v>
      </c>
      <c r="N169" s="10"/>
      <c r="O169" s="10"/>
      <c r="P169" s="10"/>
      <c r="Q169" s="38">
        <f t="shared" ref="Q169" si="44">SUM(N169:P169)</f>
        <v>0</v>
      </c>
      <c r="R169" s="38">
        <f t="shared" ref="R169" si="45">+E169+I169+M169+Q169</f>
        <v>200</v>
      </c>
    </row>
    <row r="170" spans="1:20" ht="15.75" customHeight="1" x14ac:dyDescent="0.3">
      <c r="A170" s="539" t="s">
        <v>2985</v>
      </c>
      <c r="B170" s="10"/>
      <c r="C170" s="10"/>
      <c r="D170" s="10"/>
      <c r="E170" s="38">
        <f t="shared" si="42"/>
        <v>0</v>
      </c>
      <c r="F170" s="10"/>
      <c r="G170" s="10"/>
      <c r="H170" s="10"/>
      <c r="I170" s="38">
        <f t="shared" si="31"/>
        <v>0</v>
      </c>
      <c r="J170" s="10"/>
      <c r="K170" s="10"/>
      <c r="L170" s="10"/>
      <c r="M170" s="38">
        <f t="shared" si="32"/>
        <v>0</v>
      </c>
      <c r="N170" s="10"/>
      <c r="O170" s="10"/>
      <c r="P170" s="10"/>
      <c r="Q170" s="38">
        <f t="shared" si="37"/>
        <v>0</v>
      </c>
      <c r="R170" s="38">
        <f t="shared" si="43"/>
        <v>0</v>
      </c>
      <c r="S170" s="709" t="s">
        <v>3020</v>
      </c>
      <c r="T170" t="s">
        <v>2986</v>
      </c>
    </row>
    <row r="171" spans="1:20" ht="15.75" customHeight="1" x14ac:dyDescent="0.3">
      <c r="A171" s="569" t="s">
        <v>2767</v>
      </c>
      <c r="B171" s="10"/>
      <c r="C171" s="10"/>
      <c r="D171" s="10"/>
      <c r="E171" s="38">
        <f t="shared" si="42"/>
        <v>0</v>
      </c>
      <c r="F171" s="10"/>
      <c r="G171" s="10"/>
      <c r="H171" s="10"/>
      <c r="I171" s="38">
        <f t="shared" si="31"/>
        <v>0</v>
      </c>
      <c r="J171" s="10"/>
      <c r="K171" s="10"/>
      <c r="L171" s="10"/>
      <c r="M171" s="38">
        <f t="shared" si="32"/>
        <v>0</v>
      </c>
      <c r="N171" s="10"/>
      <c r="O171" s="10"/>
      <c r="P171" s="10"/>
      <c r="Q171" s="38">
        <f t="shared" si="37"/>
        <v>0</v>
      </c>
      <c r="R171" s="38">
        <f t="shared" si="43"/>
        <v>0</v>
      </c>
      <c r="T171" t="s">
        <v>2769</v>
      </c>
    </row>
    <row r="172" spans="1:20" ht="15.75" customHeight="1" x14ac:dyDescent="0.3">
      <c r="A172" s="569" t="s">
        <v>2768</v>
      </c>
      <c r="B172" s="10"/>
      <c r="C172" s="10"/>
      <c r="D172" s="10"/>
      <c r="E172" s="38">
        <f t="shared" si="42"/>
        <v>0</v>
      </c>
      <c r="F172" s="10"/>
      <c r="G172" s="10"/>
      <c r="H172" s="10"/>
      <c r="I172" s="38">
        <f t="shared" si="31"/>
        <v>0</v>
      </c>
      <c r="J172" s="10"/>
      <c r="K172" s="10"/>
      <c r="L172" s="10"/>
      <c r="M172" s="38">
        <f t="shared" si="32"/>
        <v>0</v>
      </c>
      <c r="N172" s="10"/>
      <c r="O172" s="10"/>
      <c r="P172" s="10"/>
      <c r="Q172" s="38">
        <f t="shared" si="37"/>
        <v>0</v>
      </c>
      <c r="R172" s="38">
        <f t="shared" si="43"/>
        <v>0</v>
      </c>
      <c r="T172" t="s">
        <v>2770</v>
      </c>
    </row>
    <row r="173" spans="1:20" ht="15.75" customHeight="1" x14ac:dyDescent="0.3">
      <c r="A173" s="539" t="s">
        <v>1879</v>
      </c>
      <c r="B173" s="10">
        <v>10</v>
      </c>
      <c r="C173" s="10">
        <v>11</v>
      </c>
      <c r="D173" s="10">
        <v>27</v>
      </c>
      <c r="E173" s="38">
        <f t="shared" si="42"/>
        <v>48</v>
      </c>
      <c r="F173" s="10">
        <v>53</v>
      </c>
      <c r="G173" s="10">
        <v>56</v>
      </c>
      <c r="H173" s="10">
        <v>83</v>
      </c>
      <c r="I173" s="38">
        <f t="shared" si="31"/>
        <v>192</v>
      </c>
      <c r="J173" s="10">
        <v>69</v>
      </c>
      <c r="K173" s="10">
        <v>85</v>
      </c>
      <c r="L173" s="10">
        <v>42</v>
      </c>
      <c r="M173" s="38">
        <f t="shared" si="32"/>
        <v>196</v>
      </c>
      <c r="N173" s="10">
        <v>75</v>
      </c>
      <c r="O173" s="10">
        <v>35</v>
      </c>
      <c r="P173" s="10">
        <v>39</v>
      </c>
      <c r="Q173" s="38">
        <f t="shared" si="37"/>
        <v>149</v>
      </c>
      <c r="R173" s="38">
        <f t="shared" si="43"/>
        <v>585</v>
      </c>
      <c r="T173" t="s">
        <v>1193</v>
      </c>
    </row>
    <row r="174" spans="1:20" ht="15.75" customHeight="1" x14ac:dyDescent="0.3">
      <c r="A174" s="569" t="s">
        <v>2737</v>
      </c>
      <c r="B174" s="10"/>
      <c r="C174" s="10"/>
      <c r="D174" s="10"/>
      <c r="E174" s="38">
        <f t="shared" si="42"/>
        <v>0</v>
      </c>
      <c r="F174" s="10">
        <f>1353+564</f>
        <v>1917</v>
      </c>
      <c r="G174" s="10">
        <f>1008+1328</f>
        <v>2336</v>
      </c>
      <c r="H174" s="10">
        <f>1167+1505</f>
        <v>2672</v>
      </c>
      <c r="I174" s="38">
        <f t="shared" si="31"/>
        <v>6925</v>
      </c>
      <c r="J174" s="10">
        <f>964+824</f>
        <v>1788</v>
      </c>
      <c r="K174" s="10">
        <f>232+671</f>
        <v>903</v>
      </c>
      <c r="L174" s="10">
        <f>70+149</f>
        <v>219</v>
      </c>
      <c r="M174" s="38">
        <f t="shared" si="32"/>
        <v>2910</v>
      </c>
      <c r="N174" s="10">
        <v>900</v>
      </c>
      <c r="O174" s="10"/>
      <c r="P174" s="10">
        <v>166</v>
      </c>
      <c r="Q174" s="38">
        <f t="shared" si="37"/>
        <v>1066</v>
      </c>
      <c r="R174" s="38">
        <f t="shared" si="29"/>
        <v>10901</v>
      </c>
      <c r="T174" t="s">
        <v>2769</v>
      </c>
    </row>
    <row r="175" spans="1:20" ht="15.75" customHeight="1" x14ac:dyDescent="0.3">
      <c r="A175" s="569" t="s">
        <v>2738</v>
      </c>
      <c r="B175" s="10"/>
      <c r="C175" s="10"/>
      <c r="D175" s="10"/>
      <c r="E175" s="38">
        <f t="shared" si="42"/>
        <v>0</v>
      </c>
      <c r="F175" s="10"/>
      <c r="G175" s="10">
        <v>86</v>
      </c>
      <c r="H175" s="10">
        <v>553</v>
      </c>
      <c r="I175" s="38">
        <f t="shared" si="31"/>
        <v>639</v>
      </c>
      <c r="J175" s="10">
        <v>1618</v>
      </c>
      <c r="K175" s="10"/>
      <c r="L175" s="10"/>
      <c r="M175" s="38">
        <f t="shared" si="32"/>
        <v>1618</v>
      </c>
      <c r="N175" s="10"/>
      <c r="O175" s="10"/>
      <c r="P175" s="10"/>
      <c r="Q175" s="38">
        <f t="shared" si="37"/>
        <v>0</v>
      </c>
      <c r="R175" s="38">
        <f t="shared" si="29"/>
        <v>2257</v>
      </c>
      <c r="T175" t="s">
        <v>2770</v>
      </c>
    </row>
    <row r="176" spans="1:20" ht="15.75" customHeight="1" x14ac:dyDescent="0.3">
      <c r="A176" s="569" t="s">
        <v>2816</v>
      </c>
      <c r="B176" s="10">
        <v>22</v>
      </c>
      <c r="C176" s="10">
        <v>14</v>
      </c>
      <c r="D176" s="10">
        <v>30</v>
      </c>
      <c r="E176" s="38">
        <f t="shared" si="42"/>
        <v>66</v>
      </c>
      <c r="F176" s="10">
        <v>42</v>
      </c>
      <c r="G176" s="10">
        <v>57</v>
      </c>
      <c r="H176" s="10">
        <v>82</v>
      </c>
      <c r="I176" s="38">
        <f>SUM(F176:H176)</f>
        <v>181</v>
      </c>
      <c r="J176" s="10">
        <v>76</v>
      </c>
      <c r="K176" s="10">
        <v>78</v>
      </c>
      <c r="L176" s="10">
        <v>58</v>
      </c>
      <c r="M176" s="38">
        <f t="shared" si="32"/>
        <v>212</v>
      </c>
      <c r="N176" s="10">
        <v>70</v>
      </c>
      <c r="O176" s="10">
        <v>31</v>
      </c>
      <c r="P176" s="10">
        <v>15</v>
      </c>
      <c r="Q176" s="38">
        <f t="shared" si="37"/>
        <v>116</v>
      </c>
      <c r="R176" s="38">
        <f t="shared" si="29"/>
        <v>575</v>
      </c>
      <c r="T176" t="s">
        <v>2819</v>
      </c>
    </row>
    <row r="177" spans="1:20" ht="15.75" customHeight="1" x14ac:dyDescent="0.3">
      <c r="A177" s="569" t="s">
        <v>2817</v>
      </c>
      <c r="B177" s="10">
        <v>1</v>
      </c>
      <c r="C177" s="10">
        <v>1</v>
      </c>
      <c r="D177" s="10">
        <v>3</v>
      </c>
      <c r="E177" s="38">
        <f t="shared" si="42"/>
        <v>5</v>
      </c>
      <c r="F177" s="10">
        <v>29</v>
      </c>
      <c r="G177" s="10">
        <v>36</v>
      </c>
      <c r="H177" s="10">
        <v>103</v>
      </c>
      <c r="I177" s="38">
        <f t="shared" si="31"/>
        <v>168</v>
      </c>
      <c r="J177" s="10">
        <v>91</v>
      </c>
      <c r="K177" s="10">
        <v>106</v>
      </c>
      <c r="L177" s="10">
        <v>46</v>
      </c>
      <c r="M177" s="38">
        <f t="shared" si="32"/>
        <v>243</v>
      </c>
      <c r="N177" s="10">
        <v>70</v>
      </c>
      <c r="O177" s="10">
        <v>23</v>
      </c>
      <c r="P177" s="10">
        <v>26</v>
      </c>
      <c r="Q177" s="38">
        <f t="shared" si="37"/>
        <v>119</v>
      </c>
      <c r="R177" s="38">
        <f t="shared" si="29"/>
        <v>535</v>
      </c>
      <c r="T177" t="s">
        <v>1193</v>
      </c>
    </row>
    <row r="178" spans="1:20" ht="15.75" customHeight="1" x14ac:dyDescent="0.3">
      <c r="A178" s="569" t="s">
        <v>2818</v>
      </c>
      <c r="B178" s="10"/>
      <c r="C178" s="10"/>
      <c r="D178" s="10">
        <v>1</v>
      </c>
      <c r="E178" s="38">
        <f t="shared" si="42"/>
        <v>1</v>
      </c>
      <c r="F178" s="10">
        <v>7</v>
      </c>
      <c r="G178" s="10">
        <v>9</v>
      </c>
      <c r="H178" s="10">
        <v>29</v>
      </c>
      <c r="I178" s="38">
        <f t="shared" si="31"/>
        <v>45</v>
      </c>
      <c r="J178" s="10">
        <v>44</v>
      </c>
      <c r="K178" s="10">
        <v>21</v>
      </c>
      <c r="L178" s="10">
        <v>9</v>
      </c>
      <c r="M178" s="38">
        <f t="shared" si="32"/>
        <v>74</v>
      </c>
      <c r="N178" s="10">
        <v>34</v>
      </c>
      <c r="O178" s="10">
        <v>6</v>
      </c>
      <c r="P178" s="10"/>
      <c r="Q178" s="38">
        <f t="shared" si="37"/>
        <v>40</v>
      </c>
      <c r="R178" s="38">
        <f t="shared" si="29"/>
        <v>160</v>
      </c>
      <c r="T178" t="s">
        <v>2764</v>
      </c>
    </row>
    <row r="179" spans="1:20" ht="15.75" customHeight="1" x14ac:dyDescent="0.3">
      <c r="A179" s="539" t="s">
        <v>2758</v>
      </c>
      <c r="B179" s="10"/>
      <c r="C179" s="10"/>
      <c r="D179" s="10"/>
      <c r="E179" s="38">
        <f t="shared" si="42"/>
        <v>0</v>
      </c>
      <c r="F179" s="10">
        <v>928</v>
      </c>
      <c r="G179" s="10">
        <v>1040</v>
      </c>
      <c r="H179" s="10">
        <v>1071</v>
      </c>
      <c r="I179" s="38">
        <f t="shared" si="31"/>
        <v>3039</v>
      </c>
      <c r="J179" s="10">
        <v>1115</v>
      </c>
      <c r="K179" s="10">
        <v>1056</v>
      </c>
      <c r="L179" s="10">
        <v>992</v>
      </c>
      <c r="M179" s="38">
        <f t="shared" si="32"/>
        <v>3163</v>
      </c>
      <c r="N179" s="10">
        <v>1109</v>
      </c>
      <c r="O179" s="10">
        <v>1100</v>
      </c>
      <c r="P179" s="10">
        <v>397</v>
      </c>
      <c r="Q179" s="38">
        <f t="shared" si="37"/>
        <v>2606</v>
      </c>
      <c r="R179" s="38">
        <f t="shared" si="29"/>
        <v>8808</v>
      </c>
      <c r="T179" t="s">
        <v>2775</v>
      </c>
    </row>
    <row r="180" spans="1:20" ht="15.75" customHeight="1" x14ac:dyDescent="0.3">
      <c r="A180" s="539" t="s">
        <v>2813</v>
      </c>
      <c r="B180" s="10"/>
      <c r="C180" s="10"/>
      <c r="D180" s="10"/>
      <c r="E180" s="38">
        <f t="shared" si="42"/>
        <v>0</v>
      </c>
      <c r="F180" s="10"/>
      <c r="G180" s="10"/>
      <c r="H180" s="10"/>
      <c r="I180" s="38">
        <f t="shared" si="31"/>
        <v>0</v>
      </c>
      <c r="J180" s="10">
        <v>2000</v>
      </c>
      <c r="K180" s="10"/>
      <c r="L180" s="10"/>
      <c r="M180" s="38">
        <f t="shared" si="32"/>
        <v>2000</v>
      </c>
      <c r="N180" s="10"/>
      <c r="O180" s="10"/>
      <c r="P180" s="10"/>
      <c r="Q180" s="38">
        <f t="shared" si="37"/>
        <v>0</v>
      </c>
      <c r="R180" s="38">
        <f t="shared" si="29"/>
        <v>2000</v>
      </c>
      <c r="S180" s="709" t="s">
        <v>3020</v>
      </c>
      <c r="T180" t="s">
        <v>2760</v>
      </c>
    </row>
    <row r="181" spans="1:20" ht="15.75" customHeight="1" x14ac:dyDescent="0.3">
      <c r="A181" s="539" t="s">
        <v>2820</v>
      </c>
      <c r="B181" s="10"/>
      <c r="C181" s="10"/>
      <c r="D181" s="10"/>
      <c r="E181" s="38">
        <f t="shared" si="42"/>
        <v>0</v>
      </c>
      <c r="F181" s="10"/>
      <c r="G181" s="10"/>
      <c r="H181" s="10"/>
      <c r="I181" s="38">
        <f t="shared" si="31"/>
        <v>0</v>
      </c>
      <c r="J181" s="10"/>
      <c r="K181" s="10"/>
      <c r="L181" s="10"/>
      <c r="M181" s="38">
        <f t="shared" si="32"/>
        <v>0</v>
      </c>
      <c r="N181" s="10"/>
      <c r="O181" s="10"/>
      <c r="P181" s="10"/>
      <c r="Q181" s="38">
        <f t="shared" si="37"/>
        <v>0</v>
      </c>
      <c r="R181" s="38">
        <f t="shared" si="29"/>
        <v>0</v>
      </c>
      <c r="T181" t="s">
        <v>2760</v>
      </c>
    </row>
    <row r="182" spans="1:20" ht="15.75" customHeight="1" x14ac:dyDescent="0.3">
      <c r="A182" s="569" t="s">
        <v>3380</v>
      </c>
      <c r="B182" s="10"/>
      <c r="C182" s="10"/>
      <c r="D182" s="10"/>
      <c r="E182" s="38">
        <f t="shared" si="42"/>
        <v>0</v>
      </c>
      <c r="F182" s="10"/>
      <c r="G182" s="10"/>
      <c r="H182" s="10"/>
      <c r="I182" s="38">
        <f t="shared" si="31"/>
        <v>0</v>
      </c>
      <c r="J182" s="10"/>
      <c r="K182" s="10"/>
      <c r="L182" s="10"/>
      <c r="M182" s="38">
        <f t="shared" si="32"/>
        <v>0</v>
      </c>
      <c r="N182" s="10"/>
      <c r="O182" s="10"/>
      <c r="P182" s="10"/>
      <c r="Q182" s="38">
        <f t="shared" ref="Q182" si="46">SUM(N182:P182)</f>
        <v>0</v>
      </c>
      <c r="R182" s="38">
        <f t="shared" ref="R182" si="47">+E182+I182+M182+Q182</f>
        <v>0</v>
      </c>
    </row>
    <row r="183" spans="1:20" ht="15.75" customHeight="1" x14ac:dyDescent="0.3">
      <c r="A183" s="539" t="s">
        <v>2426</v>
      </c>
      <c r="B183" s="10">
        <f>2292+5871</f>
        <v>8163</v>
      </c>
      <c r="C183" s="10">
        <f>2204+5520</f>
        <v>7724</v>
      </c>
      <c r="D183" s="10">
        <f>2559+6604</f>
        <v>9163</v>
      </c>
      <c r="E183" s="38">
        <f t="shared" si="42"/>
        <v>25050</v>
      </c>
      <c r="F183" s="10">
        <f>2503+7612</f>
        <v>10115</v>
      </c>
      <c r="G183" s="10">
        <f>2563+7461</f>
        <v>10024</v>
      </c>
      <c r="H183" s="10">
        <f>2416+9372</f>
        <v>11788</v>
      </c>
      <c r="I183" s="38">
        <f t="shared" si="31"/>
        <v>31927</v>
      </c>
      <c r="J183" s="10">
        <f>2487+11293</f>
        <v>13780</v>
      </c>
      <c r="K183" s="10">
        <f>2530+10768</f>
        <v>13298</v>
      </c>
      <c r="L183" s="10">
        <f>2462+7648</f>
        <v>10110</v>
      </c>
      <c r="M183" s="38">
        <f t="shared" si="32"/>
        <v>37188</v>
      </c>
      <c r="N183" s="10">
        <v>10044</v>
      </c>
      <c r="O183" s="10">
        <v>3497</v>
      </c>
      <c r="P183" s="10">
        <v>4328</v>
      </c>
      <c r="Q183" s="38">
        <f t="shared" si="37"/>
        <v>17869</v>
      </c>
      <c r="R183" s="38">
        <f t="shared" si="29"/>
        <v>112034</v>
      </c>
      <c r="S183" t="s">
        <v>3020</v>
      </c>
    </row>
    <row r="184" spans="1:20" ht="15.75" customHeight="1" x14ac:dyDescent="0.3">
      <c r="A184" s="539" t="s">
        <v>3357</v>
      </c>
      <c r="B184" s="10">
        <f>1+1+14</f>
        <v>16</v>
      </c>
      <c r="C184" s="10">
        <f>1+1+4</f>
        <v>6</v>
      </c>
      <c r="D184" s="10">
        <f>1+1+30</f>
        <v>32</v>
      </c>
      <c r="E184" s="38">
        <f t="shared" si="42"/>
        <v>54</v>
      </c>
      <c r="F184" s="10">
        <f>1+1+59</f>
        <v>61</v>
      </c>
      <c r="G184" s="10">
        <f>1+1+210</f>
        <v>212</v>
      </c>
      <c r="H184" s="10">
        <f>1+1+92</f>
        <v>94</v>
      </c>
      <c r="I184" s="38">
        <f t="shared" si="31"/>
        <v>367</v>
      </c>
      <c r="J184" s="10">
        <f>1+2+98</f>
        <v>101</v>
      </c>
      <c r="K184" s="10">
        <f>1+2+80</f>
        <v>83</v>
      </c>
      <c r="L184" s="10"/>
      <c r="M184" s="38">
        <f t="shared" si="32"/>
        <v>184</v>
      </c>
      <c r="N184" s="10"/>
      <c r="O184" s="10"/>
      <c r="P184" s="10"/>
      <c r="Q184" s="38">
        <f t="shared" ref="Q184" si="48">SUM(N184:P184)</f>
        <v>0</v>
      </c>
      <c r="R184" s="38">
        <f t="shared" ref="R184" si="49">+E184+I184+M184+Q184</f>
        <v>605</v>
      </c>
    </row>
    <row r="185" spans="1:20" ht="15.75" customHeight="1" x14ac:dyDescent="0.3">
      <c r="A185" s="539" t="s">
        <v>3059</v>
      </c>
      <c r="B185" s="10"/>
      <c r="C185" s="10"/>
      <c r="D185" s="10"/>
      <c r="E185" s="38">
        <f t="shared" si="42"/>
        <v>0</v>
      </c>
      <c r="F185" s="10"/>
      <c r="G185" s="10"/>
      <c r="H185" s="10"/>
      <c r="I185" s="38">
        <f>SUM(F185:H185)</f>
        <v>0</v>
      </c>
      <c r="J185" s="10"/>
      <c r="K185" s="10"/>
      <c r="L185" s="10"/>
      <c r="M185" s="38">
        <f t="shared" si="32"/>
        <v>0</v>
      </c>
      <c r="N185" s="10">
        <v>4921</v>
      </c>
      <c r="O185" s="10">
        <v>534</v>
      </c>
      <c r="P185" s="10">
        <v>640</v>
      </c>
      <c r="Q185" s="38">
        <f t="shared" si="37"/>
        <v>6095</v>
      </c>
      <c r="R185" s="38">
        <f>+E185+I185+M185+Q185</f>
        <v>6095</v>
      </c>
      <c r="S185" s="709"/>
      <c r="T185" t="s">
        <v>2760</v>
      </c>
    </row>
    <row r="186" spans="1:20" ht="15.75" customHeight="1" x14ac:dyDescent="0.3">
      <c r="A186" s="539" t="s">
        <v>3358</v>
      </c>
      <c r="B186" s="10">
        <v>864</v>
      </c>
      <c r="C186" s="10">
        <f>864+181</f>
        <v>1045</v>
      </c>
      <c r="D186" s="10">
        <f>1210+235</f>
        <v>1445</v>
      </c>
      <c r="E186" s="38">
        <f t="shared" si="42"/>
        <v>3354</v>
      </c>
      <c r="F186" s="10">
        <f>864+592</f>
        <v>1456</v>
      </c>
      <c r="G186" s="10">
        <f>1210+507+5000</f>
        <v>6717</v>
      </c>
      <c r="H186" s="10">
        <f>1210+395+250</f>
        <v>1855</v>
      </c>
      <c r="I186" s="38">
        <f>SUM(F186:H186)</f>
        <v>10028</v>
      </c>
      <c r="J186" s="10">
        <f>605+395</f>
        <v>1000</v>
      </c>
      <c r="K186" s="10"/>
      <c r="L186" s="10"/>
      <c r="M186" s="38">
        <f t="shared" si="32"/>
        <v>1000</v>
      </c>
      <c r="N186" s="10"/>
      <c r="O186" s="10"/>
      <c r="P186" s="10"/>
      <c r="Q186" s="38">
        <f t="shared" ref="Q186" si="50">SUM(N186:P186)</f>
        <v>0</v>
      </c>
      <c r="R186" s="38">
        <f>+E186+I186+M186+Q186</f>
        <v>14382</v>
      </c>
      <c r="S186" s="709"/>
    </row>
    <row r="187" spans="1:20" ht="15.75" customHeight="1" x14ac:dyDescent="0.3">
      <c r="A187" s="539" t="s">
        <v>2864</v>
      </c>
      <c r="B187" s="10">
        <v>40</v>
      </c>
      <c r="C187" s="10">
        <v>45</v>
      </c>
      <c r="D187" s="10"/>
      <c r="E187" s="38">
        <f t="shared" si="42"/>
        <v>85</v>
      </c>
      <c r="F187" s="10">
        <v>45</v>
      </c>
      <c r="G187" s="10">
        <v>90</v>
      </c>
      <c r="H187" s="10">
        <v>50</v>
      </c>
      <c r="I187" s="38">
        <f t="shared" si="31"/>
        <v>185</v>
      </c>
      <c r="J187" s="10">
        <v>55</v>
      </c>
      <c r="K187" s="10">
        <v>55</v>
      </c>
      <c r="L187" s="10">
        <v>45</v>
      </c>
      <c r="M187" s="38">
        <f t="shared" si="32"/>
        <v>155</v>
      </c>
      <c r="N187" s="10">
        <v>45</v>
      </c>
      <c r="O187" s="10">
        <v>45</v>
      </c>
      <c r="P187" s="10">
        <v>45</v>
      </c>
      <c r="Q187" s="38">
        <f t="shared" si="37"/>
        <v>135</v>
      </c>
      <c r="R187" s="38">
        <f t="shared" si="29"/>
        <v>560</v>
      </c>
      <c r="S187" t="s">
        <v>3020</v>
      </c>
      <c r="T187" t="s">
        <v>2760</v>
      </c>
    </row>
    <row r="188" spans="1:20" ht="15.75" customHeight="1" x14ac:dyDescent="0.3">
      <c r="A188" s="539" t="s">
        <v>1520</v>
      </c>
      <c r="B188" s="10">
        <v>3283</v>
      </c>
      <c r="C188" s="10"/>
      <c r="D188" s="10"/>
      <c r="E188" s="38">
        <f t="shared" si="42"/>
        <v>3283</v>
      </c>
      <c r="F188" s="10"/>
      <c r="G188" s="10">
        <v>74</v>
      </c>
      <c r="H188" s="10">
        <f>49+5522+634+120</f>
        <v>6325</v>
      </c>
      <c r="I188" s="38">
        <f t="shared" si="31"/>
        <v>6399</v>
      </c>
      <c r="J188" s="10">
        <f>55+6055+675+193</f>
        <v>6978</v>
      </c>
      <c r="K188" s="10">
        <f>44+6226+540+152</f>
        <v>6962</v>
      </c>
      <c r="L188" s="10">
        <f>32+5330+292+124</f>
        <v>5778</v>
      </c>
      <c r="M188" s="38">
        <f t="shared" si="32"/>
        <v>19718</v>
      </c>
      <c r="N188" s="10">
        <f>6030+190+114+58</f>
        <v>6392</v>
      </c>
      <c r="O188" s="10">
        <f>5209+85+28</f>
        <v>5322</v>
      </c>
      <c r="P188" s="10">
        <v>6103</v>
      </c>
      <c r="Q188" s="38">
        <f t="shared" si="37"/>
        <v>17817</v>
      </c>
      <c r="R188" s="38">
        <f>+E188+I188+M188+Q188</f>
        <v>47217</v>
      </c>
    </row>
    <row r="189" spans="1:20" ht="15.75" customHeight="1" x14ac:dyDescent="0.3">
      <c r="A189" s="539" t="s">
        <v>3062</v>
      </c>
      <c r="B189" s="10"/>
      <c r="C189" s="10"/>
      <c r="D189" s="10"/>
      <c r="E189" s="38">
        <f t="shared" ref="E189" si="51">SUM(B189:D189)</f>
        <v>0</v>
      </c>
      <c r="F189" s="10"/>
      <c r="G189" s="10">
        <v>138</v>
      </c>
      <c r="H189" s="10">
        <f>138+500</f>
        <v>638</v>
      </c>
      <c r="I189" s="38">
        <f t="shared" si="31"/>
        <v>776</v>
      </c>
      <c r="J189" s="10">
        <f>104+500+1588</f>
        <v>2192</v>
      </c>
      <c r="K189" s="10">
        <f>72+500+500</f>
        <v>1072</v>
      </c>
      <c r="L189" s="10">
        <f>59+200</f>
        <v>259</v>
      </c>
      <c r="M189" s="38">
        <f t="shared" si="32"/>
        <v>3523</v>
      </c>
      <c r="N189" s="10">
        <f>2490</f>
        <v>2490</v>
      </c>
      <c r="O189" s="10"/>
      <c r="P189" s="10"/>
      <c r="Q189" s="38">
        <f t="shared" si="37"/>
        <v>2490</v>
      </c>
      <c r="R189" s="38">
        <f t="shared" si="29"/>
        <v>6789</v>
      </c>
      <c r="S189" t="s">
        <v>3020</v>
      </c>
    </row>
    <row r="190" spans="1:20" ht="15.75" customHeight="1" x14ac:dyDescent="0.3">
      <c r="A190" s="569" t="s">
        <v>2739</v>
      </c>
      <c r="B190" s="10"/>
      <c r="C190" s="10"/>
      <c r="D190" s="10"/>
      <c r="E190" s="38">
        <f t="shared" ref="E190:E195" si="52">SUM(B190:D190)</f>
        <v>0</v>
      </c>
      <c r="F190" s="10"/>
      <c r="G190" s="10"/>
      <c r="H190" s="10"/>
      <c r="I190" s="38">
        <f t="shared" ref="I190:I195" si="53">SUM(F190:H190)</f>
        <v>0</v>
      </c>
      <c r="J190" s="10"/>
      <c r="K190" s="10"/>
      <c r="L190" s="10"/>
      <c r="M190" s="38">
        <f t="shared" ref="M190:M195" si="54">SUM(J190:L190)</f>
        <v>0</v>
      </c>
      <c r="N190" s="10"/>
      <c r="O190" s="10"/>
      <c r="P190" s="10"/>
      <c r="Q190" s="38">
        <f t="shared" si="37"/>
        <v>0</v>
      </c>
      <c r="R190" s="38">
        <f t="shared" si="29"/>
        <v>0</v>
      </c>
      <c r="T190" t="s">
        <v>2769</v>
      </c>
    </row>
    <row r="191" spans="1:20" ht="15.75" customHeight="1" x14ac:dyDescent="0.3">
      <c r="A191" s="569" t="s">
        <v>2740</v>
      </c>
      <c r="B191" s="10"/>
      <c r="C191" s="10"/>
      <c r="D191" s="10"/>
      <c r="E191" s="38">
        <f t="shared" si="52"/>
        <v>0</v>
      </c>
      <c r="F191" s="10"/>
      <c r="G191" s="10"/>
      <c r="H191" s="10"/>
      <c r="I191" s="38">
        <f t="shared" si="53"/>
        <v>0</v>
      </c>
      <c r="J191" s="10"/>
      <c r="K191" s="10"/>
      <c r="L191" s="10"/>
      <c r="M191" s="38">
        <f t="shared" si="54"/>
        <v>0</v>
      </c>
      <c r="N191" s="10"/>
      <c r="O191" s="10"/>
      <c r="P191" s="10"/>
      <c r="Q191" s="38">
        <f t="shared" si="37"/>
        <v>0</v>
      </c>
      <c r="R191" s="38">
        <f>+E191+I191+M191+Q191</f>
        <v>0</v>
      </c>
    </row>
    <row r="192" spans="1:20" ht="15.75" customHeight="1" x14ac:dyDescent="0.3">
      <c r="A192" s="569" t="s">
        <v>3055</v>
      </c>
      <c r="B192" s="10"/>
      <c r="C192" s="10"/>
      <c r="D192" s="10"/>
      <c r="E192" s="38">
        <f t="shared" si="52"/>
        <v>0</v>
      </c>
      <c r="F192" s="10">
        <v>1000</v>
      </c>
      <c r="G192" s="10">
        <v>1000</v>
      </c>
      <c r="H192" s="10">
        <v>1502</v>
      </c>
      <c r="I192" s="38">
        <f t="shared" si="53"/>
        <v>3502</v>
      </c>
      <c r="J192" s="10">
        <v>1000</v>
      </c>
      <c r="K192" s="10">
        <v>799</v>
      </c>
      <c r="L192" s="10">
        <v>900</v>
      </c>
      <c r="M192" s="38">
        <f t="shared" si="54"/>
        <v>2699</v>
      </c>
      <c r="N192" s="10">
        <v>900</v>
      </c>
      <c r="O192" s="10">
        <v>900</v>
      </c>
      <c r="P192" s="10"/>
      <c r="Q192" s="38">
        <f t="shared" si="37"/>
        <v>1800</v>
      </c>
      <c r="R192" s="38">
        <f t="shared" si="29"/>
        <v>8001</v>
      </c>
    </row>
    <row r="193" spans="1:20" ht="15.75" customHeight="1" x14ac:dyDescent="0.3">
      <c r="A193" s="539" t="s">
        <v>2821</v>
      </c>
      <c r="B193" s="10">
        <v>122</v>
      </c>
      <c r="C193" s="10">
        <v>300</v>
      </c>
      <c r="D193" s="10"/>
      <c r="E193" s="38">
        <f t="shared" si="52"/>
        <v>422</v>
      </c>
      <c r="F193" s="10">
        <v>350</v>
      </c>
      <c r="G193" s="10">
        <v>750</v>
      </c>
      <c r="H193" s="10">
        <v>450</v>
      </c>
      <c r="I193" s="38">
        <f t="shared" si="53"/>
        <v>1550</v>
      </c>
      <c r="J193" s="10">
        <v>493</v>
      </c>
      <c r="K193" s="10">
        <v>401</v>
      </c>
      <c r="L193" s="10">
        <v>301</v>
      </c>
      <c r="M193" s="38">
        <f t="shared" si="54"/>
        <v>1195</v>
      </c>
      <c r="N193" s="10">
        <v>450</v>
      </c>
      <c r="O193" s="10">
        <v>350</v>
      </c>
      <c r="P193" s="10">
        <v>348</v>
      </c>
      <c r="Q193" s="38">
        <f t="shared" si="37"/>
        <v>1148</v>
      </c>
      <c r="R193" s="38">
        <f>+E193+I193+M193+Q193</f>
        <v>4315</v>
      </c>
      <c r="S193" t="s">
        <v>3020</v>
      </c>
      <c r="T193" t="s">
        <v>2760</v>
      </c>
    </row>
    <row r="194" spans="1:20" ht="15.75" customHeight="1" x14ac:dyDescent="0.3">
      <c r="A194" s="539" t="s">
        <v>1574</v>
      </c>
      <c r="B194" s="10">
        <v>2</v>
      </c>
      <c r="C194" s="10">
        <v>2</v>
      </c>
      <c r="D194" s="10">
        <v>2</v>
      </c>
      <c r="E194" s="38">
        <f t="shared" si="52"/>
        <v>6</v>
      </c>
      <c r="F194" s="10">
        <v>3</v>
      </c>
      <c r="G194" s="10">
        <v>3</v>
      </c>
      <c r="H194" s="10">
        <v>4</v>
      </c>
      <c r="I194" s="38">
        <f t="shared" si="53"/>
        <v>10</v>
      </c>
      <c r="J194" s="10">
        <v>4</v>
      </c>
      <c r="K194" s="10">
        <v>3</v>
      </c>
      <c r="L194" s="10">
        <v>2</v>
      </c>
      <c r="M194" s="38">
        <f t="shared" si="54"/>
        <v>9</v>
      </c>
      <c r="N194" s="10">
        <v>3</v>
      </c>
      <c r="O194" s="10">
        <v>3</v>
      </c>
      <c r="P194" s="10">
        <v>7</v>
      </c>
      <c r="Q194" s="38">
        <f t="shared" si="37"/>
        <v>13</v>
      </c>
      <c r="R194" s="38">
        <f>+E194+I194+M194+Q194</f>
        <v>38</v>
      </c>
      <c r="S194">
        <f>SUM(R141:R194)</f>
        <v>275981</v>
      </c>
    </row>
    <row r="195" spans="1:20" ht="15.75" customHeight="1" x14ac:dyDescent="0.3">
      <c r="A195" s="539" t="s">
        <v>3008</v>
      </c>
      <c r="B195" s="10"/>
      <c r="C195" s="10"/>
      <c r="D195" s="10"/>
      <c r="E195" s="38">
        <f t="shared" si="52"/>
        <v>0</v>
      </c>
      <c r="F195" s="10"/>
      <c r="G195" s="10"/>
      <c r="H195" s="10"/>
      <c r="I195" s="38">
        <f t="shared" si="53"/>
        <v>0</v>
      </c>
      <c r="J195" s="10"/>
      <c r="K195" s="10"/>
      <c r="L195" s="10"/>
      <c r="M195" s="38">
        <f t="shared" si="54"/>
        <v>0</v>
      </c>
      <c r="N195" s="10"/>
      <c r="O195" s="10"/>
      <c r="P195" s="10"/>
      <c r="Q195" s="38">
        <f t="shared" si="37"/>
        <v>0</v>
      </c>
      <c r="R195" s="38">
        <f>+E195+I195+M195+Q195</f>
        <v>0</v>
      </c>
      <c r="S195" s="709" t="s">
        <v>3020</v>
      </c>
      <c r="T195" t="s">
        <v>2760</v>
      </c>
    </row>
    <row r="196" spans="1:20" ht="15.75" customHeight="1" x14ac:dyDescent="0.3">
      <c r="A196" s="234" t="s">
        <v>2161</v>
      </c>
      <c r="B196" s="10"/>
      <c r="C196" s="10"/>
      <c r="D196" s="10"/>
      <c r="E196" s="38" t="s">
        <v>852</v>
      </c>
      <c r="F196" s="10"/>
      <c r="G196" s="10"/>
      <c r="H196" s="10"/>
      <c r="I196" s="38" t="s">
        <v>852</v>
      </c>
      <c r="J196" s="10"/>
      <c r="K196" s="10"/>
      <c r="L196" s="10"/>
      <c r="M196" s="38" t="s">
        <v>852</v>
      </c>
      <c r="N196" s="10"/>
      <c r="O196" s="10"/>
      <c r="P196" s="10"/>
      <c r="Q196" s="38" t="s">
        <v>852</v>
      </c>
      <c r="R196" s="38" t="s">
        <v>852</v>
      </c>
    </row>
    <row r="197" spans="1:20" ht="15.75" customHeight="1" x14ac:dyDescent="0.3">
      <c r="A197" s="539" t="s">
        <v>2515</v>
      </c>
      <c r="B197" s="10"/>
      <c r="C197" s="10"/>
      <c r="D197" s="10"/>
      <c r="E197" s="38">
        <f t="shared" ref="E197:E206" si="55">SUM(B197:D197)</f>
        <v>0</v>
      </c>
      <c r="F197" s="10"/>
      <c r="G197" s="10"/>
      <c r="H197" s="10"/>
      <c r="I197" s="38">
        <f t="shared" ref="I197:I206" si="56">SUM(F197:H197)</f>
        <v>0</v>
      </c>
      <c r="J197" s="10"/>
      <c r="K197" s="10"/>
      <c r="L197" s="10"/>
      <c r="M197" s="38">
        <f t="shared" ref="M197:M206" si="57">SUM(J197:L197)</f>
        <v>0</v>
      </c>
      <c r="N197" s="10"/>
      <c r="O197" s="10"/>
      <c r="P197" s="10"/>
      <c r="Q197" s="38">
        <f t="shared" ref="Q197:Q206" si="58">SUM(N197:P197)</f>
        <v>0</v>
      </c>
      <c r="R197" s="38">
        <f t="shared" ref="R197:R206" si="59">+E197+I197+M197+Q197</f>
        <v>0</v>
      </c>
    </row>
    <row r="198" spans="1:20" ht="15.75" customHeight="1" x14ac:dyDescent="0.3">
      <c r="A198" s="266" t="s">
        <v>2368</v>
      </c>
      <c r="B198" s="10"/>
      <c r="C198" s="10"/>
      <c r="D198" s="10"/>
      <c r="E198" s="38">
        <f>SUM(B198:D198)</f>
        <v>0</v>
      </c>
      <c r="F198" s="10"/>
      <c r="G198" s="10"/>
      <c r="H198" s="10"/>
      <c r="I198" s="38">
        <f>SUM(F198:H198)</f>
        <v>0</v>
      </c>
      <c r="J198" s="10"/>
      <c r="K198" s="10"/>
      <c r="L198" s="10"/>
      <c r="M198" s="38">
        <f>SUM(J198:L198)</f>
        <v>0</v>
      </c>
      <c r="N198" s="10"/>
      <c r="O198" s="10"/>
      <c r="P198" s="10"/>
      <c r="Q198" s="38">
        <f>SUM(N198:P198)</f>
        <v>0</v>
      </c>
      <c r="R198" s="38">
        <f>+E198+I198+M198+Q198</f>
        <v>0</v>
      </c>
      <c r="T198" t="s">
        <v>1193</v>
      </c>
    </row>
    <row r="199" spans="1:20" ht="15.75" customHeight="1" x14ac:dyDescent="0.3">
      <c r="A199" s="266" t="s">
        <v>1747</v>
      </c>
      <c r="B199" s="10"/>
      <c r="C199" s="10"/>
      <c r="D199" s="10"/>
      <c r="E199" s="38">
        <f t="shared" si="55"/>
        <v>0</v>
      </c>
      <c r="F199" s="10"/>
      <c r="G199" s="10"/>
      <c r="H199" s="10"/>
      <c r="I199" s="38">
        <f t="shared" si="56"/>
        <v>0</v>
      </c>
      <c r="J199" s="10"/>
      <c r="K199" s="10"/>
      <c r="L199" s="10"/>
      <c r="M199" s="38">
        <f t="shared" si="57"/>
        <v>0</v>
      </c>
      <c r="N199" s="10"/>
      <c r="O199" s="10"/>
      <c r="P199" s="10"/>
      <c r="Q199" s="38">
        <f t="shared" si="58"/>
        <v>0</v>
      </c>
      <c r="R199" s="38">
        <f t="shared" si="59"/>
        <v>0</v>
      </c>
    </row>
    <row r="200" spans="1:20" ht="15.75" customHeight="1" x14ac:dyDescent="0.3">
      <c r="A200" s="539" t="s">
        <v>2822</v>
      </c>
      <c r="B200" s="10"/>
      <c r="C200" s="10"/>
      <c r="D200" s="10"/>
      <c r="E200" s="38">
        <f t="shared" si="55"/>
        <v>0</v>
      </c>
      <c r="F200" s="10"/>
      <c r="G200" s="10"/>
      <c r="H200" s="10"/>
      <c r="I200" s="38">
        <f t="shared" si="56"/>
        <v>0</v>
      </c>
      <c r="J200" s="10"/>
      <c r="K200" s="10"/>
      <c r="L200" s="10"/>
      <c r="M200" s="38">
        <f t="shared" si="57"/>
        <v>0</v>
      </c>
      <c r="N200" s="10"/>
      <c r="O200" s="10"/>
      <c r="P200" s="10"/>
      <c r="Q200" s="38">
        <f t="shared" si="58"/>
        <v>0</v>
      </c>
      <c r="R200" s="38">
        <f t="shared" si="59"/>
        <v>0</v>
      </c>
      <c r="T200" t="s">
        <v>2760</v>
      </c>
    </row>
    <row r="201" spans="1:20" ht="15.75" customHeight="1" x14ac:dyDescent="0.3">
      <c r="A201" s="266" t="s">
        <v>1824</v>
      </c>
      <c r="B201" s="10"/>
      <c r="C201" s="10"/>
      <c r="D201" s="10"/>
      <c r="E201" s="38">
        <f t="shared" si="55"/>
        <v>0</v>
      </c>
      <c r="F201" s="10"/>
      <c r="G201" s="10"/>
      <c r="H201" s="10"/>
      <c r="I201" s="38">
        <f t="shared" si="56"/>
        <v>0</v>
      </c>
      <c r="J201" s="10"/>
      <c r="K201" s="10"/>
      <c r="L201" s="10"/>
      <c r="M201" s="38">
        <f t="shared" si="57"/>
        <v>0</v>
      </c>
      <c r="N201" s="10"/>
      <c r="O201" s="10"/>
      <c r="P201" s="10"/>
      <c r="Q201" s="38">
        <f t="shared" si="58"/>
        <v>0</v>
      </c>
      <c r="R201" s="38">
        <f t="shared" si="59"/>
        <v>0</v>
      </c>
    </row>
    <row r="202" spans="1:20" ht="15.75" customHeight="1" x14ac:dyDescent="0.3">
      <c r="A202" s="266" t="s">
        <v>1746</v>
      </c>
      <c r="B202" s="10"/>
      <c r="C202" s="10"/>
      <c r="D202" s="10"/>
      <c r="E202" s="38">
        <f t="shared" si="55"/>
        <v>0</v>
      </c>
      <c r="F202" s="10"/>
      <c r="G202" s="10"/>
      <c r="H202" s="10"/>
      <c r="I202" s="38">
        <f t="shared" si="56"/>
        <v>0</v>
      </c>
      <c r="J202" s="10"/>
      <c r="K202" s="10"/>
      <c r="L202" s="10"/>
      <c r="M202" s="38">
        <f t="shared" si="57"/>
        <v>0</v>
      </c>
      <c r="N202" s="10"/>
      <c r="O202" s="10"/>
      <c r="P202" s="10"/>
      <c r="Q202" s="38">
        <f t="shared" si="58"/>
        <v>0</v>
      </c>
      <c r="R202" s="38">
        <f t="shared" si="59"/>
        <v>0</v>
      </c>
    </row>
    <row r="203" spans="1:20" ht="15.75" customHeight="1" x14ac:dyDescent="0.3">
      <c r="A203" s="267" t="s">
        <v>1546</v>
      </c>
      <c r="B203" s="10"/>
      <c r="C203" s="10"/>
      <c r="D203" s="10"/>
      <c r="E203" s="38">
        <f t="shared" si="55"/>
        <v>0</v>
      </c>
      <c r="F203" s="10"/>
      <c r="G203" s="10"/>
      <c r="H203" s="10"/>
      <c r="I203" s="38">
        <f t="shared" si="56"/>
        <v>0</v>
      </c>
      <c r="J203" s="10"/>
      <c r="K203" s="10"/>
      <c r="L203" s="10"/>
      <c r="M203" s="38">
        <f t="shared" si="57"/>
        <v>0</v>
      </c>
      <c r="N203" s="10"/>
      <c r="O203" s="10"/>
      <c r="P203" s="10"/>
      <c r="Q203" s="38">
        <f t="shared" si="58"/>
        <v>0</v>
      </c>
      <c r="R203" s="38">
        <f t="shared" si="59"/>
        <v>0</v>
      </c>
      <c r="T203" t="s">
        <v>2764</v>
      </c>
    </row>
    <row r="204" spans="1:20" ht="15.75" customHeight="1" x14ac:dyDescent="0.3">
      <c r="A204" s="539" t="s">
        <v>2823</v>
      </c>
      <c r="B204" s="10"/>
      <c r="C204" s="10"/>
      <c r="D204" s="10"/>
      <c r="E204" s="38">
        <f t="shared" si="55"/>
        <v>0</v>
      </c>
      <c r="F204" s="10"/>
      <c r="G204" s="10"/>
      <c r="H204" s="10"/>
      <c r="I204" s="38">
        <f t="shared" si="56"/>
        <v>0</v>
      </c>
      <c r="J204" s="10"/>
      <c r="K204" s="10"/>
      <c r="L204" s="10"/>
      <c r="M204" s="38">
        <f t="shared" si="57"/>
        <v>0</v>
      </c>
      <c r="N204" s="10"/>
      <c r="O204" s="10"/>
      <c r="P204" s="10"/>
      <c r="Q204" s="38">
        <f t="shared" si="58"/>
        <v>0</v>
      </c>
      <c r="R204" s="38">
        <f t="shared" si="59"/>
        <v>0</v>
      </c>
      <c r="T204" t="s">
        <v>2760</v>
      </c>
    </row>
    <row r="205" spans="1:20" ht="15.75" customHeight="1" x14ac:dyDescent="0.3">
      <c r="A205" s="539" t="s">
        <v>2815</v>
      </c>
      <c r="B205" s="10"/>
      <c r="C205" s="10"/>
      <c r="D205" s="10"/>
      <c r="E205" s="38">
        <f t="shared" si="55"/>
        <v>0</v>
      </c>
      <c r="F205" s="10"/>
      <c r="G205" s="10"/>
      <c r="H205" s="10"/>
      <c r="I205" s="38">
        <f t="shared" si="56"/>
        <v>0</v>
      </c>
      <c r="J205" s="10"/>
      <c r="K205" s="10"/>
      <c r="L205" s="10"/>
      <c r="M205" s="38">
        <f t="shared" si="57"/>
        <v>0</v>
      </c>
      <c r="N205" s="10"/>
      <c r="O205" s="10"/>
      <c r="P205" s="10"/>
      <c r="Q205" s="38">
        <f t="shared" si="58"/>
        <v>0</v>
      </c>
      <c r="R205" s="38">
        <f t="shared" si="59"/>
        <v>0</v>
      </c>
      <c r="T205" t="s">
        <v>2631</v>
      </c>
    </row>
    <row r="206" spans="1:20" ht="15.75" customHeight="1" x14ac:dyDescent="0.3">
      <c r="A206" s="267" t="s">
        <v>5</v>
      </c>
      <c r="B206" s="10"/>
      <c r="C206" s="10"/>
      <c r="D206" s="10"/>
      <c r="E206" s="38">
        <f t="shared" si="55"/>
        <v>0</v>
      </c>
      <c r="F206" s="10"/>
      <c r="G206" s="10"/>
      <c r="H206" s="10"/>
      <c r="I206" s="38">
        <f t="shared" si="56"/>
        <v>0</v>
      </c>
      <c r="J206" s="10"/>
      <c r="K206" s="10"/>
      <c r="L206" s="10"/>
      <c r="M206" s="38">
        <f t="shared" si="57"/>
        <v>0</v>
      </c>
      <c r="N206" s="10"/>
      <c r="O206" s="10"/>
      <c r="P206" s="10"/>
      <c r="Q206" s="38">
        <f t="shared" si="58"/>
        <v>0</v>
      </c>
      <c r="R206" s="38">
        <f t="shared" si="59"/>
        <v>0</v>
      </c>
    </row>
    <row r="207" spans="1:20" ht="15.75" customHeight="1" x14ac:dyDescent="0.3">
      <c r="A207" s="234" t="s">
        <v>3245</v>
      </c>
      <c r="B207" s="10"/>
      <c r="C207" s="10"/>
      <c r="D207" s="10"/>
      <c r="E207" s="38" t="s">
        <v>852</v>
      </c>
      <c r="F207" s="10"/>
      <c r="G207" s="10"/>
      <c r="H207" s="10"/>
      <c r="I207" s="38" t="s">
        <v>852</v>
      </c>
      <c r="J207" s="10"/>
      <c r="K207" s="10"/>
      <c r="L207" s="10"/>
      <c r="M207" s="38" t="s">
        <v>852</v>
      </c>
      <c r="N207" s="10"/>
      <c r="O207" s="10"/>
      <c r="P207" s="10"/>
      <c r="Q207" s="38" t="s">
        <v>852</v>
      </c>
      <c r="R207" s="38" t="s">
        <v>852</v>
      </c>
    </row>
    <row r="208" spans="1:20" ht="15.75" customHeight="1" x14ac:dyDescent="0.3">
      <c r="A208" s="568" t="s">
        <v>3249</v>
      </c>
      <c r="B208" s="10"/>
      <c r="C208" s="10"/>
      <c r="D208" s="10"/>
      <c r="E208" s="38">
        <f>SUM(B208:D208)</f>
        <v>0</v>
      </c>
      <c r="F208" s="10"/>
      <c r="G208" s="10"/>
      <c r="H208" s="10"/>
      <c r="I208" s="38">
        <f>SUM(F208:H208)</f>
        <v>0</v>
      </c>
      <c r="J208" s="10"/>
      <c r="K208" s="10"/>
      <c r="L208" s="10"/>
      <c r="M208" s="38">
        <f>SUM(J208:L208)</f>
        <v>0</v>
      </c>
      <c r="N208" s="10"/>
      <c r="O208" s="10"/>
      <c r="P208" s="10"/>
      <c r="Q208" s="38">
        <f>SUM(N208:P208)</f>
        <v>0</v>
      </c>
      <c r="R208" s="38">
        <f>+E208+I208+M208+Q208</f>
        <v>0</v>
      </c>
      <c r="S208" s="735" t="s">
        <v>3214</v>
      </c>
      <c r="T208" t="s">
        <v>2769</v>
      </c>
    </row>
    <row r="209" spans="1:20" ht="15.75" customHeight="1" x14ac:dyDescent="0.3">
      <c r="A209" s="568" t="s">
        <v>3250</v>
      </c>
      <c r="B209" s="10"/>
      <c r="C209" s="10"/>
      <c r="D209" s="10"/>
      <c r="E209" s="38">
        <f>SUM(B209:D209)</f>
        <v>0</v>
      </c>
      <c r="F209" s="10"/>
      <c r="G209" s="10"/>
      <c r="H209" s="10"/>
      <c r="I209" s="38">
        <f>SUM(F209:H209)</f>
        <v>0</v>
      </c>
      <c r="J209" s="10"/>
      <c r="K209" s="10"/>
      <c r="L209" s="10"/>
      <c r="M209" s="38">
        <f>SUM(J209:L209)</f>
        <v>0</v>
      </c>
      <c r="N209" s="10">
        <v>80</v>
      </c>
      <c r="O209" s="10"/>
      <c r="P209" s="10"/>
      <c r="Q209" s="38">
        <f>SUM(N209:P209)</f>
        <v>80</v>
      </c>
      <c r="R209" s="38">
        <f>+E209+I209+M209+Q209</f>
        <v>80</v>
      </c>
      <c r="S209" s="735" t="s">
        <v>3214</v>
      </c>
      <c r="T209" t="s">
        <v>2770</v>
      </c>
    </row>
    <row r="210" spans="1:20" ht="15.75" customHeight="1" x14ac:dyDescent="0.3">
      <c r="A210" s="422" t="s">
        <v>3251</v>
      </c>
      <c r="B210" s="10">
        <v>10</v>
      </c>
      <c r="C210" s="10">
        <v>3</v>
      </c>
      <c r="D210" s="10">
        <v>18</v>
      </c>
      <c r="E210" s="38">
        <f>SUM(B210:D210)</f>
        <v>31</v>
      </c>
      <c r="F210" s="10">
        <v>113</v>
      </c>
      <c r="G210" s="10">
        <v>102</v>
      </c>
      <c r="H210" s="10">
        <v>164</v>
      </c>
      <c r="I210" s="38">
        <f>SUM(F210:H210)</f>
        <v>379</v>
      </c>
      <c r="J210" s="10">
        <v>182</v>
      </c>
      <c r="K210" s="10">
        <v>170</v>
      </c>
      <c r="L210" s="10">
        <v>96</v>
      </c>
      <c r="M210" s="38">
        <f>SUM(J210:L210)</f>
        <v>448</v>
      </c>
      <c r="N210" s="10">
        <v>118</v>
      </c>
      <c r="O210" s="10">
        <v>44</v>
      </c>
      <c r="P210" s="10">
        <v>240</v>
      </c>
      <c r="Q210" s="38">
        <f>SUM(N210:P210)</f>
        <v>402</v>
      </c>
      <c r="R210" s="38">
        <f>+E210+I210+M210+Q210</f>
        <v>1260</v>
      </c>
      <c r="S210" s="735" t="s">
        <v>3214</v>
      </c>
      <c r="T210" t="s">
        <v>2793</v>
      </c>
    </row>
    <row r="211" spans="1:20" ht="15.75" customHeight="1" thickBot="1" x14ac:dyDescent="0.35">
      <c r="A211" s="234" t="s">
        <v>2164</v>
      </c>
      <c r="B211" s="10"/>
      <c r="C211" s="10"/>
      <c r="D211" s="10"/>
      <c r="E211" s="38" t="s">
        <v>852</v>
      </c>
      <c r="F211" s="10"/>
      <c r="G211" s="10"/>
      <c r="H211" s="10"/>
      <c r="I211" s="38" t="s">
        <v>852</v>
      </c>
      <c r="J211" s="10"/>
      <c r="K211" s="10"/>
      <c r="L211" s="10"/>
      <c r="M211" s="38" t="s">
        <v>852</v>
      </c>
      <c r="N211" s="10"/>
      <c r="O211" s="10"/>
      <c r="P211" s="10"/>
      <c r="Q211" s="38" t="s">
        <v>852</v>
      </c>
      <c r="R211" s="38" t="s">
        <v>852</v>
      </c>
    </row>
    <row r="212" spans="1:20" ht="16.5" customHeight="1" thickBot="1" x14ac:dyDescent="0.35">
      <c r="A212" s="43" t="s">
        <v>1218</v>
      </c>
      <c r="B212" s="45">
        <f>SUM(B139:B211)</f>
        <v>13055</v>
      </c>
      <c r="C212" s="46">
        <f>SUM(C139:C211)</f>
        <v>10559</v>
      </c>
      <c r="D212" s="46">
        <f>SUM(D139:D211)</f>
        <v>13837</v>
      </c>
      <c r="E212" s="37">
        <f>SUM(B212:D212)</f>
        <v>37451</v>
      </c>
      <c r="F212" s="46">
        <f>SUM(F139:F211)</f>
        <v>20412</v>
      </c>
      <c r="G212" s="46">
        <f>SUM(G139:G211)</f>
        <v>30954</v>
      </c>
      <c r="H212" s="46">
        <f>SUM(H139:H211)</f>
        <v>45383</v>
      </c>
      <c r="I212" s="37">
        <f>SUM(F212:H212)</f>
        <v>96749</v>
      </c>
      <c r="J212" s="46">
        <f>SUM(J139:J211)</f>
        <v>46687</v>
      </c>
      <c r="K212" s="46">
        <f>SUM(K139:K211)</f>
        <v>37713</v>
      </c>
      <c r="L212" s="46">
        <f>SUM(L139:L211)</f>
        <v>30439</v>
      </c>
      <c r="M212" s="37">
        <f>SUM(J212:L212)</f>
        <v>114839</v>
      </c>
      <c r="N212" s="46">
        <f>SUM(N139:N211)</f>
        <v>22606</v>
      </c>
      <c r="O212" s="46">
        <f>SUM(O139:O211)</f>
        <v>4432</v>
      </c>
      <c r="P212" s="46">
        <f>SUM(P139:P211)</f>
        <v>1244</v>
      </c>
      <c r="Q212" s="37">
        <f>SUM(N212:P212)</f>
        <v>28282</v>
      </c>
      <c r="R212" s="37">
        <f>+E212+I212+M212+Q212</f>
        <v>277321</v>
      </c>
    </row>
    <row r="213" spans="1:20" ht="15.75" customHeight="1" x14ac:dyDescent="0.3">
      <c r="A213" s="234" t="s">
        <v>1172</v>
      </c>
      <c r="B213" s="172"/>
      <c r="C213" s="172"/>
      <c r="D213" s="172"/>
      <c r="E213" s="38" t="s">
        <v>852</v>
      </c>
      <c r="F213" s="172"/>
      <c r="G213" s="172"/>
      <c r="H213" s="172"/>
      <c r="I213" s="38" t="s">
        <v>852</v>
      </c>
      <c r="J213" s="172"/>
      <c r="K213" s="172"/>
      <c r="L213" s="172"/>
      <c r="M213" s="38" t="s">
        <v>852</v>
      </c>
      <c r="N213" s="172"/>
      <c r="O213" s="172"/>
      <c r="P213" s="172"/>
      <c r="Q213" s="38" t="s">
        <v>852</v>
      </c>
      <c r="R213" s="38" t="s">
        <v>852</v>
      </c>
    </row>
    <row r="214" spans="1:20" ht="15.75" customHeight="1" x14ac:dyDescent="0.3">
      <c r="A214" s="234" t="s">
        <v>1658</v>
      </c>
      <c r="B214" s="172"/>
      <c r="C214" s="172"/>
      <c r="D214" s="172"/>
      <c r="E214" s="38" t="s">
        <v>852</v>
      </c>
      <c r="F214" s="172"/>
      <c r="G214" s="172"/>
      <c r="H214" s="172"/>
      <c r="I214" s="38" t="s">
        <v>852</v>
      </c>
      <c r="J214" s="172"/>
      <c r="K214" s="172"/>
      <c r="L214" s="172"/>
      <c r="M214" s="38" t="s">
        <v>852</v>
      </c>
      <c r="N214" s="172"/>
      <c r="O214" s="172"/>
      <c r="P214" s="172"/>
      <c r="Q214" s="38" t="s">
        <v>852</v>
      </c>
      <c r="R214" s="38" t="s">
        <v>852</v>
      </c>
    </row>
    <row r="215" spans="1:20" ht="15.75" customHeight="1" x14ac:dyDescent="0.3">
      <c r="A215" s="234" t="s">
        <v>2409</v>
      </c>
      <c r="B215" s="172"/>
      <c r="C215" s="172"/>
      <c r="D215" s="172"/>
      <c r="E215" s="38" t="s">
        <v>852</v>
      </c>
      <c r="F215" s="172"/>
      <c r="G215" s="172"/>
      <c r="H215" s="172"/>
      <c r="I215" s="38" t="s">
        <v>852</v>
      </c>
      <c r="J215" s="172"/>
      <c r="K215" s="172"/>
      <c r="L215" s="172"/>
      <c r="M215" s="38" t="s">
        <v>852</v>
      </c>
      <c r="N215" s="172"/>
      <c r="O215" s="172"/>
      <c r="P215" s="172"/>
      <c r="Q215" s="38" t="s">
        <v>852</v>
      </c>
      <c r="R215" s="38" t="s">
        <v>852</v>
      </c>
    </row>
    <row r="216" spans="1:20" ht="15.75" customHeight="1" x14ac:dyDescent="0.3">
      <c r="A216" s="568" t="s">
        <v>1645</v>
      </c>
      <c r="B216" s="172"/>
      <c r="C216" s="172"/>
      <c r="D216" s="172"/>
      <c r="E216" s="38">
        <f>SUM(B216:D216)</f>
        <v>0</v>
      </c>
      <c r="F216" s="172"/>
      <c r="G216" s="172"/>
      <c r="H216" s="172"/>
      <c r="I216" s="38">
        <f>SUM(F216:H216)</f>
        <v>0</v>
      </c>
      <c r="J216" s="172"/>
      <c r="K216" s="172"/>
      <c r="L216" s="172"/>
      <c r="M216" s="38">
        <f>SUM(J216:L216)</f>
        <v>0</v>
      </c>
      <c r="N216" s="172"/>
      <c r="O216" s="172"/>
      <c r="P216" s="172"/>
      <c r="Q216" s="38">
        <f>SUM(N216:P216)</f>
        <v>0</v>
      </c>
      <c r="R216" s="38">
        <f>+E216+I216+M216+Q216</f>
        <v>0</v>
      </c>
      <c r="T216" t="s">
        <v>2764</v>
      </c>
    </row>
    <row r="217" spans="1:20" ht="15.75" customHeight="1" x14ac:dyDescent="0.3">
      <c r="A217" s="410" t="s">
        <v>2824</v>
      </c>
      <c r="B217" s="172"/>
      <c r="C217" s="172"/>
      <c r="D217" s="172"/>
      <c r="E217" s="38">
        <f>SUM(B217:D217)</f>
        <v>0</v>
      </c>
      <c r="F217" s="172"/>
      <c r="G217" s="172"/>
      <c r="H217" s="172"/>
      <c r="I217" s="38">
        <f>SUM(F217:H217)</f>
        <v>0</v>
      </c>
      <c r="J217" s="172"/>
      <c r="K217" s="172"/>
      <c r="L217" s="172"/>
      <c r="M217" s="38">
        <f>SUM(J217:L217)</f>
        <v>0</v>
      </c>
      <c r="N217" s="172"/>
      <c r="O217" s="172"/>
      <c r="P217" s="172"/>
      <c r="Q217" s="38">
        <f>SUM(N217:P217)</f>
        <v>0</v>
      </c>
      <c r="R217" s="38">
        <f>+E217+I217+M217+Q217</f>
        <v>0</v>
      </c>
      <c r="S217" t="s">
        <v>3020</v>
      </c>
      <c r="T217" t="s">
        <v>2760</v>
      </c>
    </row>
    <row r="218" spans="1:20" ht="15.75" customHeight="1" thickBot="1" x14ac:dyDescent="0.35">
      <c r="A218" s="234" t="s">
        <v>2165</v>
      </c>
      <c r="B218" s="172"/>
      <c r="C218" s="172"/>
      <c r="D218" s="172"/>
      <c r="E218" s="38" t="s">
        <v>852</v>
      </c>
      <c r="F218" s="172"/>
      <c r="G218" s="172"/>
      <c r="H218" s="172"/>
      <c r="I218" s="38" t="s">
        <v>852</v>
      </c>
      <c r="J218" s="172"/>
      <c r="K218" s="172"/>
      <c r="L218" s="172"/>
      <c r="M218" s="38" t="s">
        <v>852</v>
      </c>
      <c r="N218" s="172"/>
      <c r="O218" s="172"/>
      <c r="P218" s="172"/>
      <c r="Q218" s="38" t="s">
        <v>852</v>
      </c>
      <c r="R218" s="38" t="s">
        <v>852</v>
      </c>
    </row>
    <row r="219" spans="1:20" ht="16.5" customHeight="1" thickBot="1" x14ac:dyDescent="0.35">
      <c r="A219" s="43" t="s">
        <v>1219</v>
      </c>
      <c r="B219" s="45">
        <f>SUM(B213:B218)</f>
        <v>0</v>
      </c>
      <c r="C219" s="46">
        <f>SUM(C213:C218)</f>
        <v>0</v>
      </c>
      <c r="D219" s="46">
        <f>SUM(D213:D218)</f>
        <v>0</v>
      </c>
      <c r="E219" s="37">
        <f>SUM(B219:D219)</f>
        <v>0</v>
      </c>
      <c r="F219" s="46"/>
      <c r="G219" s="46"/>
      <c r="H219" s="46"/>
      <c r="I219" s="37">
        <f>SUM(F219:H219)</f>
        <v>0</v>
      </c>
      <c r="J219" s="46">
        <f>SUM(J213:J218)</f>
        <v>0</v>
      </c>
      <c r="K219" s="46">
        <f>SUM(K213:K218)</f>
        <v>0</v>
      </c>
      <c r="L219" s="46">
        <f>SUM(L213:L218)</f>
        <v>0</v>
      </c>
      <c r="M219" s="37">
        <f>SUM(J219:L219)</f>
        <v>0</v>
      </c>
      <c r="N219" s="46">
        <f>SUM(N213:N218)</f>
        <v>0</v>
      </c>
      <c r="O219" s="46">
        <f>SUM(O213:O218)</f>
        <v>0</v>
      </c>
      <c r="P219" s="46">
        <f>SUM(P213:P218)</f>
        <v>0</v>
      </c>
      <c r="Q219" s="37">
        <f>SUM(N219:P219)</f>
        <v>0</v>
      </c>
      <c r="R219" s="37">
        <f>+E219+I219+M219+Q219</f>
        <v>0</v>
      </c>
    </row>
    <row r="220" spans="1:20" ht="15.75" customHeight="1" x14ac:dyDescent="0.3">
      <c r="A220" s="234" t="s">
        <v>2166</v>
      </c>
      <c r="B220" s="10"/>
      <c r="C220" s="10"/>
      <c r="D220" s="10"/>
      <c r="E220" s="38" t="s">
        <v>852</v>
      </c>
      <c r="F220" s="10"/>
      <c r="G220" s="10"/>
      <c r="H220" s="10"/>
      <c r="I220" s="38" t="s">
        <v>852</v>
      </c>
      <c r="J220" s="10"/>
      <c r="K220" s="10"/>
      <c r="L220" s="10"/>
      <c r="M220" s="38" t="s">
        <v>852</v>
      </c>
      <c r="N220" s="10"/>
      <c r="O220" s="10"/>
      <c r="P220" s="10"/>
      <c r="Q220" s="38" t="s">
        <v>852</v>
      </c>
      <c r="R220" s="38" t="s">
        <v>852</v>
      </c>
    </row>
    <row r="221" spans="1:20" ht="15.75" customHeight="1" x14ac:dyDescent="0.3">
      <c r="A221" s="234" t="s">
        <v>1245</v>
      </c>
      <c r="B221" s="10"/>
      <c r="C221" s="10"/>
      <c r="D221" s="10"/>
      <c r="E221" s="38" t="s">
        <v>852</v>
      </c>
      <c r="F221" s="10"/>
      <c r="G221" s="10"/>
      <c r="H221" s="10"/>
      <c r="I221" s="38" t="s">
        <v>852</v>
      </c>
      <c r="J221" s="10"/>
      <c r="K221" s="10"/>
      <c r="L221" s="10"/>
      <c r="M221" s="38" t="s">
        <v>852</v>
      </c>
      <c r="N221" s="10"/>
      <c r="O221" s="10"/>
      <c r="P221" s="10"/>
      <c r="Q221" s="38" t="s">
        <v>852</v>
      </c>
      <c r="R221" s="38" t="s">
        <v>852</v>
      </c>
    </row>
    <row r="222" spans="1:20" ht="15.75" customHeight="1" x14ac:dyDescent="0.3">
      <c r="A222" s="234" t="s">
        <v>1711</v>
      </c>
      <c r="B222" s="10"/>
      <c r="C222" s="10"/>
      <c r="D222" s="10"/>
      <c r="E222" s="38" t="s">
        <v>852</v>
      </c>
      <c r="F222" s="10"/>
      <c r="G222" s="10"/>
      <c r="H222" s="10"/>
      <c r="I222" s="38" t="s">
        <v>852</v>
      </c>
      <c r="J222" s="10"/>
      <c r="K222" s="10"/>
      <c r="L222" s="10"/>
      <c r="M222" s="38" t="s">
        <v>852</v>
      </c>
      <c r="N222" s="10"/>
      <c r="O222" s="10"/>
      <c r="P222" s="10"/>
      <c r="Q222" s="38" t="s">
        <v>852</v>
      </c>
      <c r="R222" s="38" t="s">
        <v>852</v>
      </c>
    </row>
    <row r="223" spans="1:20" ht="15.75" customHeight="1" x14ac:dyDescent="0.3">
      <c r="A223" s="540" t="s">
        <v>1364</v>
      </c>
      <c r="B223" s="10">
        <v>243</v>
      </c>
      <c r="C223" s="10">
        <v>204</v>
      </c>
      <c r="D223" s="10">
        <v>259</v>
      </c>
      <c r="E223" s="38">
        <f t="shared" ref="E223:E230" si="60">SUM(B223:D223)</f>
        <v>706</v>
      </c>
      <c r="F223" s="10">
        <v>356</v>
      </c>
      <c r="G223" s="10">
        <v>394</v>
      </c>
      <c r="H223" s="10">
        <v>466</v>
      </c>
      <c r="I223" s="38">
        <f t="shared" ref="I223:I230" si="61">SUM(F223:H223)</f>
        <v>1216</v>
      </c>
      <c r="J223" s="10">
        <v>525</v>
      </c>
      <c r="K223" s="10">
        <v>482</v>
      </c>
      <c r="L223" s="10">
        <v>440</v>
      </c>
      <c r="M223" s="38">
        <f t="shared" ref="M223:M230" si="62">SUM(J223:L223)</f>
        <v>1447</v>
      </c>
      <c r="N223" s="10">
        <v>468</v>
      </c>
      <c r="O223" s="10">
        <v>389</v>
      </c>
      <c r="P223" s="10">
        <v>342</v>
      </c>
      <c r="Q223" s="38">
        <f t="shared" ref="Q223:Q229" si="63">SUM(N223:P223)</f>
        <v>1199</v>
      </c>
      <c r="R223" s="38">
        <f t="shared" ref="R223:R287" si="64">+E223+I223+M223+Q223</f>
        <v>4568</v>
      </c>
      <c r="T223" t="s">
        <v>2800</v>
      </c>
    </row>
    <row r="224" spans="1:20" ht="15.75" customHeight="1" x14ac:dyDescent="0.3">
      <c r="A224" s="540" t="s">
        <v>1388</v>
      </c>
      <c r="B224" s="10"/>
      <c r="C224" s="10"/>
      <c r="D224" s="10">
        <v>357</v>
      </c>
      <c r="E224" s="38">
        <f t="shared" si="60"/>
        <v>357</v>
      </c>
      <c r="F224" s="10"/>
      <c r="G224" s="10"/>
      <c r="H224" s="10"/>
      <c r="I224" s="38">
        <f t="shared" si="61"/>
        <v>0</v>
      </c>
      <c r="J224" s="10"/>
      <c r="K224" s="10"/>
      <c r="L224" s="10"/>
      <c r="M224" s="38">
        <f t="shared" si="62"/>
        <v>0</v>
      </c>
      <c r="N224" s="10"/>
      <c r="O224" s="10"/>
      <c r="P224" s="10"/>
      <c r="Q224" s="38">
        <f t="shared" si="63"/>
        <v>0</v>
      </c>
      <c r="R224" s="38">
        <f t="shared" si="64"/>
        <v>357</v>
      </c>
      <c r="T224" t="s">
        <v>2764</v>
      </c>
    </row>
    <row r="225" spans="1:20" ht="15.75" customHeight="1" x14ac:dyDescent="0.3">
      <c r="A225" s="410" t="s">
        <v>3133</v>
      </c>
      <c r="B225" s="10"/>
      <c r="C225" s="10"/>
      <c r="D225" s="10"/>
      <c r="E225" s="38">
        <f t="shared" si="60"/>
        <v>0</v>
      </c>
      <c r="F225" s="10"/>
      <c r="G225" s="10"/>
      <c r="H225" s="10"/>
      <c r="I225" s="38">
        <f t="shared" si="61"/>
        <v>0</v>
      </c>
      <c r="J225" s="10"/>
      <c r="K225" s="10">
        <v>8</v>
      </c>
      <c r="L225" s="10">
        <v>10</v>
      </c>
      <c r="M225" s="38">
        <f t="shared" si="62"/>
        <v>18</v>
      </c>
      <c r="N225" s="10"/>
      <c r="O225" s="10"/>
      <c r="P225" s="10"/>
      <c r="Q225" s="38">
        <f t="shared" si="63"/>
        <v>0</v>
      </c>
      <c r="R225" s="38">
        <f t="shared" si="64"/>
        <v>18</v>
      </c>
    </row>
    <row r="226" spans="1:20" ht="15.75" customHeight="1" x14ac:dyDescent="0.3">
      <c r="A226" s="540" t="s">
        <v>3328</v>
      </c>
      <c r="B226" s="10">
        <f>17+19</f>
        <v>36</v>
      </c>
      <c r="C226" s="10"/>
      <c r="D226" s="10"/>
      <c r="E226" s="38">
        <f t="shared" si="60"/>
        <v>36</v>
      </c>
      <c r="F226" s="10">
        <v>2</v>
      </c>
      <c r="G226" s="10"/>
      <c r="H226" s="10">
        <v>51</v>
      </c>
      <c r="I226" s="38">
        <f t="shared" si="61"/>
        <v>53</v>
      </c>
      <c r="J226" s="10">
        <f>54+68</f>
        <v>122</v>
      </c>
      <c r="K226" s="10">
        <f>67+68</f>
        <v>135</v>
      </c>
      <c r="L226" s="10">
        <f>49+34</f>
        <v>83</v>
      </c>
      <c r="M226" s="38">
        <f t="shared" si="62"/>
        <v>340</v>
      </c>
      <c r="N226" s="10">
        <v>134</v>
      </c>
      <c r="O226" s="10">
        <v>42</v>
      </c>
      <c r="P226" s="10">
        <v>39</v>
      </c>
      <c r="Q226" s="38">
        <f t="shared" si="63"/>
        <v>215</v>
      </c>
      <c r="R226" s="38">
        <f t="shared" si="64"/>
        <v>644</v>
      </c>
      <c r="T226" t="s">
        <v>1193</v>
      </c>
    </row>
    <row r="227" spans="1:20" ht="15.75" customHeight="1" x14ac:dyDescent="0.3">
      <c r="A227" s="540" t="s">
        <v>3072</v>
      </c>
      <c r="B227" s="10"/>
      <c r="C227" s="10"/>
      <c r="D227" s="10"/>
      <c r="E227" s="38">
        <f t="shared" si="60"/>
        <v>0</v>
      </c>
      <c r="F227" s="10"/>
      <c r="G227" s="10"/>
      <c r="H227" s="10"/>
      <c r="I227" s="38">
        <f t="shared" si="61"/>
        <v>0</v>
      </c>
      <c r="J227" s="10"/>
      <c r="K227" s="10">
        <v>100</v>
      </c>
      <c r="L227" s="10"/>
      <c r="M227" s="38">
        <f t="shared" si="62"/>
        <v>100</v>
      </c>
      <c r="N227" s="10">
        <v>800</v>
      </c>
      <c r="O227" s="10"/>
      <c r="P227" s="10"/>
      <c r="Q227" s="38">
        <f t="shared" si="63"/>
        <v>800</v>
      </c>
      <c r="R227" s="38">
        <f>+E227+I227+M227+Q227</f>
        <v>900</v>
      </c>
      <c r="T227" t="s">
        <v>2770</v>
      </c>
    </row>
    <row r="228" spans="1:20" ht="15.75" customHeight="1" x14ac:dyDescent="0.3">
      <c r="A228" s="540" t="s">
        <v>3189</v>
      </c>
      <c r="B228" s="10"/>
      <c r="C228" s="10"/>
      <c r="D228" s="10"/>
      <c r="E228" s="38">
        <f t="shared" si="60"/>
        <v>0</v>
      </c>
      <c r="F228" s="10"/>
      <c r="G228" s="10"/>
      <c r="H228" s="10"/>
      <c r="I228" s="38">
        <f t="shared" si="61"/>
        <v>0</v>
      </c>
      <c r="J228" s="10"/>
      <c r="K228" s="10">
        <v>1021</v>
      </c>
      <c r="L228" s="10">
        <v>979</v>
      </c>
      <c r="M228" s="38">
        <f t="shared" si="62"/>
        <v>2000</v>
      </c>
      <c r="N228" s="10"/>
      <c r="O228" s="10"/>
      <c r="P228" s="10"/>
      <c r="Q228" s="38">
        <f t="shared" si="63"/>
        <v>0</v>
      </c>
      <c r="R228" s="38">
        <f>+E228+I228+M228+Q228</f>
        <v>2000</v>
      </c>
      <c r="T228" t="s">
        <v>2770</v>
      </c>
    </row>
    <row r="229" spans="1:20" ht="15.75" customHeight="1" x14ac:dyDescent="0.3">
      <c r="A229" s="410" t="s">
        <v>3063</v>
      </c>
      <c r="B229" s="10"/>
      <c r="C229" s="10"/>
      <c r="D229" s="10"/>
      <c r="E229" s="38">
        <f t="shared" si="60"/>
        <v>0</v>
      </c>
      <c r="F229" s="10"/>
      <c r="G229" s="10"/>
      <c r="H229" s="10"/>
      <c r="I229" s="38">
        <f t="shared" si="61"/>
        <v>0</v>
      </c>
      <c r="J229" s="10"/>
      <c r="K229" s="10"/>
      <c r="L229" s="10"/>
      <c r="M229" s="38">
        <f t="shared" si="62"/>
        <v>0</v>
      </c>
      <c r="N229" s="10"/>
      <c r="O229" s="10"/>
      <c r="P229" s="10"/>
      <c r="Q229" s="38">
        <f t="shared" si="63"/>
        <v>0</v>
      </c>
      <c r="R229" s="38">
        <f>+E229+I229+M229+Q229</f>
        <v>0</v>
      </c>
      <c r="S229" s="709"/>
      <c r="T229" t="s">
        <v>2760</v>
      </c>
    </row>
    <row r="230" spans="1:20" ht="15.75" customHeight="1" x14ac:dyDescent="0.3">
      <c r="A230" s="410" t="s">
        <v>3325</v>
      </c>
      <c r="B230" s="10"/>
      <c r="C230" s="10"/>
      <c r="D230" s="10"/>
      <c r="E230" s="38">
        <f t="shared" si="60"/>
        <v>0</v>
      </c>
      <c r="F230" s="10">
        <v>200</v>
      </c>
      <c r="G230" s="10"/>
      <c r="H230" s="10"/>
      <c r="I230" s="38">
        <f t="shared" si="61"/>
        <v>200</v>
      </c>
      <c r="J230" s="10"/>
      <c r="K230" s="10"/>
      <c r="L230" s="10"/>
      <c r="M230" s="38">
        <f t="shared" si="62"/>
        <v>0</v>
      </c>
      <c r="N230" s="10"/>
      <c r="O230" s="10"/>
      <c r="P230" s="10"/>
      <c r="Q230" s="38">
        <f t="shared" ref="Q230" si="65">SUM(N230:P230)</f>
        <v>0</v>
      </c>
      <c r="R230" s="38">
        <f>+E230+I230+M230+Q230</f>
        <v>200</v>
      </c>
      <c r="S230" s="709"/>
    </row>
    <row r="231" spans="1:20" ht="15.75" customHeight="1" x14ac:dyDescent="0.3">
      <c r="A231" s="410" t="s">
        <v>2965</v>
      </c>
      <c r="B231" s="10"/>
      <c r="C231" s="10">
        <v>200</v>
      </c>
      <c r="D231" s="10">
        <v>300</v>
      </c>
      <c r="E231" s="38">
        <f>SUM(B231:D231)</f>
        <v>500</v>
      </c>
      <c r="F231" s="10">
        <v>400</v>
      </c>
      <c r="G231" s="10"/>
      <c r="H231" s="10"/>
      <c r="I231" s="38">
        <f t="shared" ref="I231:I285" si="66">SUM(F231:H231)</f>
        <v>400</v>
      </c>
      <c r="J231" s="10"/>
      <c r="K231" s="10"/>
      <c r="L231" s="10"/>
      <c r="M231" s="38">
        <f t="shared" ref="M231:M285" si="67">SUM(J231:L231)</f>
        <v>0</v>
      </c>
      <c r="N231" s="10"/>
      <c r="O231" s="10"/>
      <c r="P231" s="10"/>
      <c r="Q231" s="38">
        <f t="shared" ref="Q231:Q285" si="68">SUM(N231:P231)</f>
        <v>0</v>
      </c>
      <c r="R231" s="38">
        <f t="shared" si="64"/>
        <v>900</v>
      </c>
      <c r="S231" t="s">
        <v>3020</v>
      </c>
    </row>
    <row r="232" spans="1:20" ht="15.75" customHeight="1" x14ac:dyDescent="0.3">
      <c r="A232" s="689" t="s">
        <v>2940</v>
      </c>
      <c r="B232" s="10">
        <v>370</v>
      </c>
      <c r="C232" s="10"/>
      <c r="D232" s="10"/>
      <c r="E232" s="38">
        <f t="shared" ref="E232" si="69">SUM(B232:D232)</f>
        <v>370</v>
      </c>
      <c r="F232" s="10"/>
      <c r="G232" s="10"/>
      <c r="H232" s="10"/>
      <c r="I232" s="38">
        <f t="shared" si="66"/>
        <v>0</v>
      </c>
      <c r="J232" s="10"/>
      <c r="K232" s="10"/>
      <c r="L232" s="10"/>
      <c r="M232" s="38">
        <f t="shared" si="67"/>
        <v>0</v>
      </c>
      <c r="N232" s="10"/>
      <c r="O232" s="10"/>
      <c r="P232" s="10"/>
      <c r="Q232" s="38">
        <f t="shared" si="68"/>
        <v>0</v>
      </c>
      <c r="R232" s="38">
        <f>+E232+I232+M232+Q232</f>
        <v>370</v>
      </c>
      <c r="T232" t="s">
        <v>2780</v>
      </c>
    </row>
    <row r="233" spans="1:20" ht="15.75" customHeight="1" x14ac:dyDescent="0.3">
      <c r="A233" s="410" t="s">
        <v>568</v>
      </c>
      <c r="B233" s="10">
        <v>682</v>
      </c>
      <c r="C233" s="10"/>
      <c r="D233" s="10"/>
      <c r="E233" s="38">
        <f>SUM(B233:D233)</f>
        <v>682</v>
      </c>
      <c r="F233" s="10"/>
      <c r="G233" s="10"/>
      <c r="H233" s="10"/>
      <c r="I233" s="38">
        <f>SUM(F233:H233)</f>
        <v>0</v>
      </c>
      <c r="J233" s="10"/>
      <c r="K233" s="10"/>
      <c r="L233" s="10"/>
      <c r="M233" s="38">
        <f>SUM(J233:L233)</f>
        <v>0</v>
      </c>
      <c r="N233" s="10"/>
      <c r="O233" s="10"/>
      <c r="P233" s="10"/>
      <c r="Q233" s="38">
        <f>SUM(N233:P233)</f>
        <v>0</v>
      </c>
      <c r="R233" s="38">
        <f t="shared" si="64"/>
        <v>682</v>
      </c>
      <c r="T233" t="s">
        <v>2775</v>
      </c>
    </row>
    <row r="234" spans="1:20" ht="15.75" customHeight="1" x14ac:dyDescent="0.3">
      <c r="A234" s="540" t="s">
        <v>3317</v>
      </c>
      <c r="B234" s="10"/>
      <c r="C234" s="10"/>
      <c r="D234" s="10"/>
      <c r="E234" s="38">
        <f>SUM(B234:D234)</f>
        <v>0</v>
      </c>
      <c r="F234" s="10"/>
      <c r="G234" s="10"/>
      <c r="H234" s="10"/>
      <c r="I234" s="38">
        <f>SUM(F234:H234)</f>
        <v>0</v>
      </c>
      <c r="J234" s="10"/>
      <c r="K234" s="10"/>
      <c r="L234" s="10"/>
      <c r="M234" s="38">
        <f>SUM(J234:L234)</f>
        <v>0</v>
      </c>
      <c r="N234" s="10"/>
      <c r="O234" s="10"/>
      <c r="P234" s="10"/>
      <c r="Q234" s="38">
        <f>SUM(N234:P234)</f>
        <v>0</v>
      </c>
      <c r="R234" s="38">
        <f t="shared" si="64"/>
        <v>0</v>
      </c>
    </row>
    <row r="235" spans="1:20" ht="15.75" customHeight="1" x14ac:dyDescent="0.3">
      <c r="A235" s="410" t="s">
        <v>1973</v>
      </c>
      <c r="B235" s="10"/>
      <c r="C235" s="10"/>
      <c r="D235" s="10"/>
      <c r="E235" s="38">
        <f t="shared" ref="E235:E277" si="70">SUM(B235:D235)</f>
        <v>0</v>
      </c>
      <c r="F235" s="10"/>
      <c r="G235" s="10"/>
      <c r="H235" s="10"/>
      <c r="I235" s="38">
        <f t="shared" si="66"/>
        <v>0</v>
      </c>
      <c r="J235" s="10"/>
      <c r="K235" s="10"/>
      <c r="L235" s="10"/>
      <c r="M235" s="38">
        <f t="shared" si="67"/>
        <v>0</v>
      </c>
      <c r="N235" s="10"/>
      <c r="O235" s="10"/>
      <c r="P235" s="10"/>
      <c r="Q235" s="38">
        <f t="shared" si="68"/>
        <v>0</v>
      </c>
      <c r="R235" s="38">
        <f t="shared" si="64"/>
        <v>0</v>
      </c>
    </row>
    <row r="236" spans="1:20" ht="15.75" customHeight="1" x14ac:dyDescent="0.3">
      <c r="A236" s="410" t="s">
        <v>1974</v>
      </c>
      <c r="B236" s="10">
        <v>23</v>
      </c>
      <c r="C236" s="10"/>
      <c r="D236" s="10"/>
      <c r="E236" s="38">
        <f t="shared" si="70"/>
        <v>23</v>
      </c>
      <c r="F236" s="10"/>
      <c r="G236" s="10"/>
      <c r="H236" s="10"/>
      <c r="I236" s="38">
        <f t="shared" si="66"/>
        <v>0</v>
      </c>
      <c r="J236" s="10"/>
      <c r="K236" s="10"/>
      <c r="L236" s="10"/>
      <c r="M236" s="38">
        <f t="shared" si="67"/>
        <v>0</v>
      </c>
      <c r="N236" s="10"/>
      <c r="O236" s="10"/>
      <c r="P236" s="10"/>
      <c r="Q236" s="38">
        <f t="shared" si="68"/>
        <v>0</v>
      </c>
      <c r="R236" s="38">
        <f t="shared" si="64"/>
        <v>23</v>
      </c>
    </row>
    <row r="237" spans="1:20" ht="15.75" customHeight="1" x14ac:dyDescent="0.3">
      <c r="A237" s="410" t="s">
        <v>2848</v>
      </c>
      <c r="B237" s="10">
        <v>23</v>
      </c>
      <c r="C237" s="10"/>
      <c r="D237" s="10"/>
      <c r="E237" s="38">
        <f t="shared" si="70"/>
        <v>23</v>
      </c>
      <c r="F237" s="10"/>
      <c r="G237" s="10"/>
      <c r="H237" s="10"/>
      <c r="I237" s="38">
        <f t="shared" si="66"/>
        <v>0</v>
      </c>
      <c r="J237" s="10"/>
      <c r="K237" s="10"/>
      <c r="L237" s="10"/>
      <c r="M237" s="38">
        <f t="shared" si="67"/>
        <v>0</v>
      </c>
      <c r="N237" s="10"/>
      <c r="O237" s="10"/>
      <c r="P237" s="10"/>
      <c r="Q237" s="38">
        <f t="shared" si="68"/>
        <v>0</v>
      </c>
      <c r="R237" s="38">
        <f t="shared" si="64"/>
        <v>23</v>
      </c>
      <c r="S237" t="s">
        <v>3020</v>
      </c>
      <c r="T237" t="s">
        <v>2760</v>
      </c>
    </row>
    <row r="238" spans="1:20" ht="15.75" customHeight="1" x14ac:dyDescent="0.3">
      <c r="A238" s="410" t="s">
        <v>3156</v>
      </c>
      <c r="B238" s="10"/>
      <c r="C238" s="10"/>
      <c r="D238" s="10"/>
      <c r="E238" s="38">
        <f t="shared" si="70"/>
        <v>0</v>
      </c>
      <c r="F238" s="10"/>
      <c r="G238" s="10"/>
      <c r="H238" s="10"/>
      <c r="I238" s="38">
        <f t="shared" si="66"/>
        <v>0</v>
      </c>
      <c r="J238" s="10"/>
      <c r="K238" s="10"/>
      <c r="L238" s="10"/>
      <c r="M238" s="38">
        <f t="shared" si="67"/>
        <v>0</v>
      </c>
      <c r="N238" s="10"/>
      <c r="O238" s="10"/>
      <c r="P238" s="10"/>
      <c r="Q238" s="38">
        <f t="shared" si="68"/>
        <v>0</v>
      </c>
      <c r="R238" s="38">
        <f t="shared" si="64"/>
        <v>0</v>
      </c>
      <c r="S238" t="s">
        <v>3020</v>
      </c>
      <c r="T238" t="s">
        <v>2760</v>
      </c>
    </row>
    <row r="239" spans="1:20" ht="15.75" customHeight="1" x14ac:dyDescent="0.3">
      <c r="A239" s="410" t="s">
        <v>3157</v>
      </c>
      <c r="B239" s="10"/>
      <c r="C239" s="10"/>
      <c r="D239" s="10"/>
      <c r="E239" s="38">
        <f t="shared" si="70"/>
        <v>0</v>
      </c>
      <c r="G239" s="10"/>
      <c r="H239" s="10"/>
      <c r="I239" s="38">
        <f t="shared" si="66"/>
        <v>0</v>
      </c>
      <c r="J239" s="10"/>
      <c r="K239" s="10"/>
      <c r="L239" s="10"/>
      <c r="M239" s="38">
        <f t="shared" si="67"/>
        <v>0</v>
      </c>
      <c r="N239" s="10"/>
      <c r="O239" s="10"/>
      <c r="P239" s="10"/>
      <c r="Q239" s="38">
        <f t="shared" si="68"/>
        <v>0</v>
      </c>
      <c r="R239" s="38">
        <f t="shared" si="64"/>
        <v>0</v>
      </c>
    </row>
    <row r="240" spans="1:20" ht="15.75" customHeight="1" x14ac:dyDescent="0.3">
      <c r="A240" s="410" t="s">
        <v>3161</v>
      </c>
      <c r="B240" s="10"/>
      <c r="C240" s="10"/>
      <c r="D240" s="10"/>
      <c r="E240" s="38">
        <f t="shared" si="70"/>
        <v>0</v>
      </c>
      <c r="H240" s="10"/>
      <c r="I240" s="38">
        <f t="shared" si="66"/>
        <v>0</v>
      </c>
      <c r="J240" s="10"/>
      <c r="K240" s="10"/>
      <c r="L240" s="10"/>
      <c r="M240" s="38">
        <f t="shared" si="67"/>
        <v>0</v>
      </c>
      <c r="N240" s="10"/>
      <c r="O240" s="10"/>
      <c r="P240" s="10"/>
      <c r="Q240" s="38">
        <f t="shared" si="68"/>
        <v>0</v>
      </c>
      <c r="R240" s="38">
        <f t="shared" si="64"/>
        <v>0</v>
      </c>
    </row>
    <row r="241" spans="1:20" ht="15.75" customHeight="1" x14ac:dyDescent="0.3">
      <c r="A241" s="540" t="s">
        <v>2938</v>
      </c>
      <c r="B241" s="10"/>
      <c r="C241" s="10"/>
      <c r="D241" s="10"/>
      <c r="E241" s="38">
        <f t="shared" si="70"/>
        <v>0</v>
      </c>
      <c r="F241" s="10"/>
      <c r="G241" s="10"/>
      <c r="H241" s="10"/>
      <c r="I241" s="38">
        <f t="shared" si="66"/>
        <v>0</v>
      </c>
      <c r="J241" s="10"/>
      <c r="K241" s="10"/>
      <c r="L241" s="10"/>
      <c r="M241" s="38">
        <f t="shared" si="67"/>
        <v>0</v>
      </c>
      <c r="N241" s="10"/>
      <c r="O241" s="10"/>
      <c r="P241" s="10"/>
      <c r="Q241" s="38">
        <f t="shared" si="68"/>
        <v>0</v>
      </c>
      <c r="R241" s="38">
        <f t="shared" si="64"/>
        <v>0</v>
      </c>
      <c r="T241" t="s">
        <v>2764</v>
      </c>
    </row>
    <row r="242" spans="1:20" ht="15.75" customHeight="1" x14ac:dyDescent="0.3">
      <c r="A242" s="410" t="s">
        <v>3051</v>
      </c>
      <c r="B242" s="10"/>
      <c r="C242" s="10"/>
      <c r="D242" s="10"/>
      <c r="E242" s="38">
        <f t="shared" si="70"/>
        <v>0</v>
      </c>
      <c r="F242" s="10"/>
      <c r="G242" s="10">
        <v>550</v>
      </c>
      <c r="H242" s="10"/>
      <c r="I242" s="38">
        <f t="shared" si="66"/>
        <v>550</v>
      </c>
      <c r="J242" s="10"/>
      <c r="K242" s="10"/>
      <c r="L242" s="10"/>
      <c r="M242" s="38">
        <f t="shared" si="67"/>
        <v>0</v>
      </c>
      <c r="N242" s="10"/>
      <c r="O242" s="10"/>
      <c r="P242" s="10"/>
      <c r="Q242" s="38">
        <f>SUM(N242:P242)</f>
        <v>0</v>
      </c>
      <c r="R242" s="38">
        <f>+E242+I242+M242+Q242</f>
        <v>550</v>
      </c>
      <c r="S242" s="709"/>
      <c r="T242" t="s">
        <v>2760</v>
      </c>
    </row>
    <row r="243" spans="1:20" ht="15.75" customHeight="1" x14ac:dyDescent="0.3">
      <c r="A243" s="540" t="s">
        <v>3049</v>
      </c>
      <c r="B243" s="10"/>
      <c r="C243" s="10"/>
      <c r="D243" s="10"/>
      <c r="E243" s="38">
        <f>SUM(B243:D243)</f>
        <v>0</v>
      </c>
      <c r="F243" s="10"/>
      <c r="G243" s="10"/>
      <c r="H243" s="10"/>
      <c r="I243" s="38">
        <f t="shared" si="66"/>
        <v>0</v>
      </c>
      <c r="J243" s="10"/>
      <c r="K243" s="10"/>
      <c r="L243" s="10"/>
      <c r="M243" s="38">
        <f t="shared" si="67"/>
        <v>0</v>
      </c>
      <c r="N243" s="10"/>
      <c r="O243" s="10"/>
      <c r="P243" s="10"/>
      <c r="Q243" s="38">
        <f t="shared" si="68"/>
        <v>0</v>
      </c>
      <c r="R243" s="38">
        <f t="shared" si="64"/>
        <v>0</v>
      </c>
    </row>
    <row r="244" spans="1:20" ht="15.75" customHeight="1" x14ac:dyDescent="0.3">
      <c r="A244" s="540" t="s">
        <v>3050</v>
      </c>
      <c r="B244" s="10"/>
      <c r="C244" s="10"/>
      <c r="D244" s="10"/>
      <c r="E244" s="38">
        <f t="shared" si="70"/>
        <v>0</v>
      </c>
      <c r="F244" s="10"/>
      <c r="G244" s="10"/>
      <c r="H244" s="10"/>
      <c r="I244" s="38">
        <f t="shared" si="66"/>
        <v>0</v>
      </c>
      <c r="J244" s="10"/>
      <c r="K244" s="10"/>
      <c r="L244" s="10"/>
      <c r="M244" s="38">
        <f t="shared" si="67"/>
        <v>0</v>
      </c>
      <c r="N244" s="10"/>
      <c r="O244" s="10"/>
      <c r="P244" s="10"/>
      <c r="Q244" s="38">
        <f t="shared" si="68"/>
        <v>0</v>
      </c>
      <c r="R244" s="38">
        <f t="shared" si="64"/>
        <v>0</v>
      </c>
    </row>
    <row r="245" spans="1:20" ht="15.75" customHeight="1" x14ac:dyDescent="0.3">
      <c r="A245" s="540" t="s">
        <v>2753</v>
      </c>
      <c r="B245" s="10"/>
      <c r="C245" s="10">
        <f>630+778</f>
        <v>1408</v>
      </c>
      <c r="D245" s="10">
        <f>1206+1403</f>
        <v>2609</v>
      </c>
      <c r="E245" s="38">
        <f t="shared" ref="E245:E246" si="71">SUM(B245:D245)</f>
        <v>4017</v>
      </c>
      <c r="F245" s="10">
        <v>596</v>
      </c>
      <c r="G245" s="10"/>
      <c r="H245" s="10"/>
      <c r="I245" s="38">
        <f t="shared" si="66"/>
        <v>596</v>
      </c>
      <c r="J245" s="10"/>
      <c r="K245" s="10"/>
      <c r="L245" s="10"/>
      <c r="M245" s="38">
        <f t="shared" si="67"/>
        <v>0</v>
      </c>
      <c r="N245" s="10"/>
      <c r="O245" s="10"/>
      <c r="P245" s="10"/>
      <c r="Q245" s="38">
        <f t="shared" si="68"/>
        <v>0</v>
      </c>
      <c r="R245" s="38">
        <f t="shared" si="64"/>
        <v>4613</v>
      </c>
    </row>
    <row r="246" spans="1:20" ht="15.75" customHeight="1" x14ac:dyDescent="0.3">
      <c r="A246" s="540" t="s">
        <v>2754</v>
      </c>
      <c r="B246" s="10"/>
      <c r="C246" s="10"/>
      <c r="D246" s="10"/>
      <c r="E246" s="38">
        <f t="shared" si="71"/>
        <v>0</v>
      </c>
      <c r="F246" s="10"/>
      <c r="G246" s="10"/>
      <c r="H246" s="10"/>
      <c r="I246" s="38">
        <f t="shared" si="66"/>
        <v>0</v>
      </c>
      <c r="J246" s="10"/>
      <c r="K246" s="10"/>
      <c r="L246" s="10"/>
      <c r="M246" s="38">
        <f t="shared" si="67"/>
        <v>0</v>
      </c>
      <c r="N246" s="10"/>
      <c r="O246" s="10"/>
      <c r="P246" s="10"/>
      <c r="Q246" s="38">
        <f t="shared" si="68"/>
        <v>0</v>
      </c>
      <c r="R246" s="38">
        <f t="shared" si="64"/>
        <v>0</v>
      </c>
    </row>
    <row r="247" spans="1:20" ht="15.75" customHeight="1" x14ac:dyDescent="0.3">
      <c r="A247" s="410" t="s">
        <v>2755</v>
      </c>
      <c r="B247" s="10">
        <v>809</v>
      </c>
      <c r="C247" s="10">
        <v>732</v>
      </c>
      <c r="D247" s="10">
        <v>846</v>
      </c>
      <c r="E247" s="38">
        <f>SUM(B247:D247)</f>
        <v>2387</v>
      </c>
      <c r="F247" s="10"/>
      <c r="G247" s="10"/>
      <c r="H247" s="10"/>
      <c r="I247" s="38">
        <f t="shared" ref="I247" si="72">SUM(F247:H247)</f>
        <v>0</v>
      </c>
      <c r="J247" s="10"/>
      <c r="K247" s="10"/>
      <c r="L247" s="10"/>
      <c r="M247" s="38">
        <f t="shared" si="67"/>
        <v>0</v>
      </c>
      <c r="N247" s="10"/>
      <c r="O247" s="10"/>
      <c r="P247" s="10"/>
      <c r="Q247" s="38">
        <f t="shared" si="68"/>
        <v>0</v>
      </c>
      <c r="R247" s="38">
        <f t="shared" si="64"/>
        <v>2387</v>
      </c>
    </row>
    <row r="248" spans="1:20" ht="15.75" customHeight="1" x14ac:dyDescent="0.3">
      <c r="A248" s="569" t="s">
        <v>2989</v>
      </c>
      <c r="B248" s="10"/>
      <c r="C248" s="10"/>
      <c r="D248" s="10"/>
      <c r="E248" s="38">
        <f>SUM(B248:D248)</f>
        <v>0</v>
      </c>
      <c r="F248" s="10"/>
      <c r="G248" s="10"/>
      <c r="H248" s="10"/>
      <c r="I248" s="38">
        <f t="shared" si="66"/>
        <v>0</v>
      </c>
      <c r="J248" s="10"/>
      <c r="K248" s="10"/>
      <c r="L248" s="10"/>
      <c r="M248" s="38">
        <f t="shared" si="67"/>
        <v>0</v>
      </c>
      <c r="N248" s="10"/>
      <c r="O248" s="10"/>
      <c r="P248" s="10"/>
      <c r="Q248" s="38">
        <f t="shared" si="68"/>
        <v>0</v>
      </c>
      <c r="R248" s="38">
        <f t="shared" si="64"/>
        <v>0</v>
      </c>
    </row>
    <row r="249" spans="1:20" ht="15.75" customHeight="1" x14ac:dyDescent="0.3">
      <c r="A249" s="569" t="s">
        <v>2990</v>
      </c>
      <c r="B249" s="10"/>
      <c r="C249" s="10"/>
      <c r="D249" s="10"/>
      <c r="E249" s="38">
        <f>SUM(B249:D249)</f>
        <v>0</v>
      </c>
      <c r="F249" s="10"/>
      <c r="G249" s="10"/>
      <c r="H249" s="10"/>
      <c r="I249" s="38">
        <f t="shared" si="66"/>
        <v>0</v>
      </c>
      <c r="J249" s="10"/>
      <c r="K249" s="10"/>
      <c r="L249" s="10"/>
      <c r="M249" s="38">
        <f t="shared" si="67"/>
        <v>0</v>
      </c>
      <c r="N249" s="10"/>
      <c r="O249" s="10"/>
      <c r="P249" s="10"/>
      <c r="Q249" s="38">
        <f t="shared" si="68"/>
        <v>0</v>
      </c>
      <c r="R249" s="38">
        <f t="shared" si="64"/>
        <v>0</v>
      </c>
    </row>
    <row r="250" spans="1:20" ht="15.75" customHeight="1" x14ac:dyDescent="0.3">
      <c r="A250" s="569" t="s">
        <v>2991</v>
      </c>
      <c r="B250" s="10"/>
      <c r="C250" s="10"/>
      <c r="D250" s="10"/>
      <c r="E250" s="38">
        <f>SUM(B250:D250)</f>
        <v>0</v>
      </c>
      <c r="F250" s="10"/>
      <c r="G250" s="10"/>
      <c r="H250" s="10"/>
      <c r="I250" s="38">
        <f t="shared" si="66"/>
        <v>0</v>
      </c>
      <c r="J250" s="10"/>
      <c r="K250" s="10"/>
      <c r="L250" s="10"/>
      <c r="M250" s="38">
        <f t="shared" si="67"/>
        <v>0</v>
      </c>
      <c r="N250" s="10"/>
      <c r="O250" s="10"/>
      <c r="P250" s="10"/>
      <c r="Q250" s="38">
        <f t="shared" si="68"/>
        <v>0</v>
      </c>
      <c r="R250" s="38">
        <f t="shared" si="64"/>
        <v>0</v>
      </c>
      <c r="T250" t="s">
        <v>2764</v>
      </c>
    </row>
    <row r="251" spans="1:20" ht="15.75" customHeight="1" x14ac:dyDescent="0.3">
      <c r="A251" s="769" t="s">
        <v>3379</v>
      </c>
      <c r="B251" s="10"/>
      <c r="C251" s="10"/>
      <c r="D251" s="10"/>
      <c r="E251" s="38">
        <f>SUM(B251:D251)</f>
        <v>0</v>
      </c>
      <c r="F251" s="10"/>
      <c r="G251" s="10"/>
      <c r="H251" s="10"/>
      <c r="I251" s="38">
        <f t="shared" si="66"/>
        <v>0</v>
      </c>
      <c r="J251" s="10"/>
      <c r="K251" s="10"/>
      <c r="L251" s="10"/>
      <c r="M251" s="38">
        <f t="shared" si="67"/>
        <v>0</v>
      </c>
      <c r="N251" s="10"/>
      <c r="O251" s="10"/>
      <c r="P251" s="10"/>
      <c r="Q251" s="38">
        <f>SUM(N251:P251)</f>
        <v>0</v>
      </c>
      <c r="R251" s="38">
        <f t="shared" ref="R251" si="73">+E251+I251+M251+Q251</f>
        <v>0</v>
      </c>
    </row>
    <row r="252" spans="1:20" ht="15.75" customHeight="1" x14ac:dyDescent="0.3">
      <c r="A252" s="410" t="s">
        <v>3134</v>
      </c>
      <c r="B252" s="10"/>
      <c r="C252" s="10"/>
      <c r="D252" s="10"/>
      <c r="E252" s="38">
        <f t="shared" ref="E252:E255" si="74">SUM(B252:D252)</f>
        <v>0</v>
      </c>
      <c r="F252" s="10"/>
      <c r="G252" s="10"/>
      <c r="H252" s="10"/>
      <c r="I252" s="38">
        <f>SUM(F252:H252)</f>
        <v>0</v>
      </c>
      <c r="J252" s="10"/>
      <c r="K252" s="10"/>
      <c r="L252" s="10"/>
      <c r="M252" s="38">
        <f t="shared" ref="M252:M253" si="75">SUM(J252:L252)</f>
        <v>0</v>
      </c>
      <c r="N252" s="10">
        <v>1490</v>
      </c>
      <c r="O252" s="10">
        <v>3952</v>
      </c>
      <c r="P252" s="10"/>
      <c r="Q252" s="38">
        <f t="shared" ref="Q252" si="76">SUM(N252:P252)</f>
        <v>5442</v>
      </c>
      <c r="R252" s="38">
        <f t="shared" si="64"/>
        <v>5442</v>
      </c>
      <c r="S252" s="717" t="s">
        <v>3020</v>
      </c>
    </row>
    <row r="253" spans="1:20" ht="15.75" customHeight="1" x14ac:dyDescent="0.3">
      <c r="A253" s="410" t="s">
        <v>1851</v>
      </c>
      <c r="B253" s="10"/>
      <c r="C253" s="10"/>
      <c r="D253" s="10"/>
      <c r="E253" s="38">
        <f t="shared" si="74"/>
        <v>0</v>
      </c>
      <c r="F253" s="10"/>
      <c r="G253" s="10"/>
      <c r="H253" s="10"/>
      <c r="I253" s="38">
        <f>SUM(F253:H253)</f>
        <v>0</v>
      </c>
      <c r="J253" s="10"/>
      <c r="K253" s="10"/>
      <c r="L253" s="10"/>
      <c r="M253" s="38">
        <f t="shared" si="75"/>
        <v>0</v>
      </c>
      <c r="N253" s="10"/>
      <c r="O253" s="10"/>
      <c r="P253" s="10"/>
      <c r="Q253" s="38">
        <f>SUM(N253:P253)</f>
        <v>0</v>
      </c>
      <c r="R253" s="38">
        <f t="shared" si="64"/>
        <v>0</v>
      </c>
      <c r="S253" t="s">
        <v>3020</v>
      </c>
    </row>
    <row r="254" spans="1:20" ht="15.75" customHeight="1" x14ac:dyDescent="0.3">
      <c r="A254" s="410" t="s">
        <v>1850</v>
      </c>
      <c r="B254" s="10"/>
      <c r="C254" s="10"/>
      <c r="D254" s="10"/>
      <c r="E254" s="38">
        <f t="shared" si="74"/>
        <v>0</v>
      </c>
      <c r="F254" s="356">
        <f>5021+287+134+37-60-95</f>
        <v>5324</v>
      </c>
      <c r="G254" s="10">
        <v>5768</v>
      </c>
      <c r="H254" s="10"/>
      <c r="I254" s="38">
        <f t="shared" si="66"/>
        <v>11092</v>
      </c>
      <c r="J254" s="10"/>
      <c r="K254" s="10"/>
      <c r="L254" s="10"/>
      <c r="M254" s="38">
        <f t="shared" si="67"/>
        <v>0</v>
      </c>
      <c r="N254" s="10"/>
      <c r="O254" s="10"/>
      <c r="P254" s="10"/>
      <c r="Q254" s="38">
        <f t="shared" si="68"/>
        <v>0</v>
      </c>
      <c r="R254" s="38">
        <f t="shared" si="64"/>
        <v>11092</v>
      </c>
      <c r="S254" t="s">
        <v>3020</v>
      </c>
    </row>
    <row r="255" spans="1:20" ht="15.75" customHeight="1" x14ac:dyDescent="0.3">
      <c r="A255" s="410" t="s">
        <v>3081</v>
      </c>
      <c r="B255" s="10"/>
      <c r="C255" s="10"/>
      <c r="D255" s="10"/>
      <c r="E255" s="38">
        <f t="shared" si="74"/>
        <v>0</v>
      </c>
      <c r="F255" s="10">
        <v>98</v>
      </c>
      <c r="G255" s="10"/>
      <c r="H255" s="10"/>
      <c r="I255" s="38">
        <f t="shared" si="66"/>
        <v>98</v>
      </c>
      <c r="J255" s="10"/>
      <c r="K255" s="10"/>
      <c r="L255" s="10"/>
      <c r="M255" s="38">
        <f t="shared" si="67"/>
        <v>0</v>
      </c>
      <c r="N255" s="10"/>
      <c r="O255" s="10"/>
      <c r="P255" s="10"/>
      <c r="Q255" s="38">
        <f>SUM(N255:P255)</f>
        <v>0</v>
      </c>
      <c r="R255" s="38">
        <f t="shared" si="64"/>
        <v>98</v>
      </c>
    </row>
    <row r="256" spans="1:20" ht="15.75" customHeight="1" x14ac:dyDescent="0.3">
      <c r="A256" s="410" t="s">
        <v>2979</v>
      </c>
      <c r="B256" s="10"/>
      <c r="C256" s="10"/>
      <c r="D256" s="10"/>
      <c r="E256" s="38">
        <f>SUM(B256:D256)</f>
        <v>0</v>
      </c>
      <c r="F256" s="10"/>
      <c r="G256" s="10">
        <v>90</v>
      </c>
      <c r="H256" s="10">
        <v>2496</v>
      </c>
      <c r="I256" s="38">
        <f t="shared" si="66"/>
        <v>2586</v>
      </c>
      <c r="J256" s="10"/>
      <c r="K256" s="10"/>
      <c r="L256" s="10"/>
      <c r="M256" s="38">
        <f t="shared" si="67"/>
        <v>0</v>
      </c>
      <c r="N256" s="10"/>
      <c r="O256" s="10"/>
      <c r="P256" s="10"/>
      <c r="Q256" s="38">
        <f t="shared" si="68"/>
        <v>0</v>
      </c>
      <c r="R256" s="38">
        <f t="shared" si="64"/>
        <v>2586</v>
      </c>
      <c r="S256" t="s">
        <v>3020</v>
      </c>
      <c r="T256" t="s">
        <v>2760</v>
      </c>
    </row>
    <row r="257" spans="1:21" ht="15.75" customHeight="1" x14ac:dyDescent="0.3">
      <c r="A257" s="410" t="s">
        <v>2807</v>
      </c>
      <c r="B257" s="10"/>
      <c r="C257" s="10"/>
      <c r="D257" s="10"/>
      <c r="E257" s="38">
        <f t="shared" ref="E257" si="77">SUM(B257:D257)</f>
        <v>0</v>
      </c>
      <c r="F257" s="10"/>
      <c r="G257" s="10">
        <v>44</v>
      </c>
      <c r="H257" s="10"/>
      <c r="I257" s="38">
        <f t="shared" si="66"/>
        <v>44</v>
      </c>
      <c r="J257" s="10"/>
      <c r="K257" s="10"/>
      <c r="L257" s="10"/>
      <c r="M257" s="38">
        <f t="shared" si="67"/>
        <v>0</v>
      </c>
      <c r="N257" s="10"/>
      <c r="O257" s="10"/>
      <c r="P257" s="10"/>
      <c r="Q257" s="38">
        <f t="shared" si="68"/>
        <v>0</v>
      </c>
      <c r="R257" s="38">
        <f t="shared" si="64"/>
        <v>44</v>
      </c>
      <c r="S257" s="230" t="s">
        <v>3020</v>
      </c>
      <c r="T257" s="230" t="s">
        <v>2760</v>
      </c>
      <c r="U257" s="230"/>
    </row>
    <row r="258" spans="1:21" ht="15.75" customHeight="1" x14ac:dyDescent="0.3">
      <c r="A258" s="410" t="s">
        <v>1163</v>
      </c>
      <c r="B258" s="10"/>
      <c r="C258" s="10"/>
      <c r="D258" s="10">
        <v>919</v>
      </c>
      <c r="E258" s="38">
        <f>SUM(B258:D258)</f>
        <v>919</v>
      </c>
      <c r="F258" s="10">
        <v>895</v>
      </c>
      <c r="G258" s="10"/>
      <c r="H258" s="10"/>
      <c r="I258" s="38">
        <f>SUM(F258:H258)</f>
        <v>895</v>
      </c>
      <c r="J258" s="10"/>
      <c r="K258" s="10"/>
      <c r="L258" s="10"/>
      <c r="M258" s="38">
        <f t="shared" si="67"/>
        <v>0</v>
      </c>
      <c r="N258" s="10"/>
      <c r="O258" s="10"/>
      <c r="P258" s="10"/>
      <c r="Q258" s="38">
        <f t="shared" si="68"/>
        <v>0</v>
      </c>
      <c r="R258" s="38">
        <f t="shared" si="64"/>
        <v>1814</v>
      </c>
      <c r="T258" t="s">
        <v>3030</v>
      </c>
    </row>
    <row r="259" spans="1:21" ht="15.75" customHeight="1" x14ac:dyDescent="0.3">
      <c r="A259" s="569" t="s">
        <v>3054</v>
      </c>
      <c r="B259" s="10"/>
      <c r="C259" s="10"/>
      <c r="D259" s="10"/>
      <c r="E259" s="38">
        <f>SUM(B259:D259)</f>
        <v>0</v>
      </c>
      <c r="F259" s="10"/>
      <c r="G259" s="10"/>
      <c r="H259" s="10"/>
      <c r="I259" s="38">
        <f>SUM(F259:H259)</f>
        <v>0</v>
      </c>
      <c r="J259" s="10"/>
      <c r="K259" s="10"/>
      <c r="L259" s="10"/>
      <c r="M259" s="38">
        <f t="shared" si="67"/>
        <v>0</v>
      </c>
      <c r="N259" s="10"/>
      <c r="O259" s="10"/>
      <c r="P259" s="10"/>
      <c r="Q259" s="38">
        <f>SUM(N259:P259)</f>
        <v>0</v>
      </c>
      <c r="R259" s="38">
        <f>+E259+I259+M259+Q259</f>
        <v>0</v>
      </c>
      <c r="T259" t="s">
        <v>2770</v>
      </c>
    </row>
    <row r="260" spans="1:21" ht="15.75" customHeight="1" x14ac:dyDescent="0.3">
      <c r="A260" s="410" t="s">
        <v>14</v>
      </c>
      <c r="B260" s="10"/>
      <c r="C260" s="10"/>
      <c r="D260" s="10"/>
      <c r="E260" s="38">
        <f t="shared" si="70"/>
        <v>0</v>
      </c>
      <c r="F260" s="10"/>
      <c r="G260" s="10"/>
      <c r="H260" s="10"/>
      <c r="I260" s="38">
        <f t="shared" si="66"/>
        <v>0</v>
      </c>
      <c r="J260" s="10"/>
      <c r="K260" s="10"/>
      <c r="L260" s="10">
        <f>1+2+65</f>
        <v>68</v>
      </c>
      <c r="M260" s="38">
        <f t="shared" si="67"/>
        <v>68</v>
      </c>
      <c r="N260" s="10"/>
      <c r="O260" s="10"/>
      <c r="P260" s="10"/>
      <c r="Q260" s="38">
        <f t="shared" si="68"/>
        <v>0</v>
      </c>
      <c r="R260" s="38">
        <f t="shared" si="64"/>
        <v>68</v>
      </c>
    </row>
    <row r="261" spans="1:21" ht="15.75" customHeight="1" x14ac:dyDescent="0.3">
      <c r="A261" s="410" t="s">
        <v>3204</v>
      </c>
      <c r="B261" s="10"/>
      <c r="C261" s="10"/>
      <c r="D261" s="10"/>
      <c r="E261" s="38">
        <f t="shared" si="70"/>
        <v>0</v>
      </c>
      <c r="F261" s="10"/>
      <c r="G261" s="10"/>
      <c r="H261" s="10"/>
      <c r="I261" s="38">
        <f t="shared" si="66"/>
        <v>0</v>
      </c>
      <c r="J261" s="10"/>
      <c r="K261" s="10"/>
      <c r="L261" s="10">
        <f>513+395</f>
        <v>908</v>
      </c>
      <c r="M261" s="38">
        <f t="shared" si="67"/>
        <v>908</v>
      </c>
      <c r="N261" s="10"/>
      <c r="O261" s="10"/>
      <c r="P261" s="10"/>
      <c r="Q261" s="38">
        <f t="shared" si="68"/>
        <v>0</v>
      </c>
      <c r="R261" s="38">
        <f t="shared" si="64"/>
        <v>908</v>
      </c>
    </row>
    <row r="262" spans="1:21" ht="15.75" customHeight="1" x14ac:dyDescent="0.3">
      <c r="A262" s="410" t="s">
        <v>2410</v>
      </c>
      <c r="B262" s="10"/>
      <c r="C262" s="10"/>
      <c r="D262" s="10"/>
      <c r="E262" s="38">
        <f t="shared" si="70"/>
        <v>0</v>
      </c>
      <c r="F262" s="10">
        <v>60</v>
      </c>
      <c r="G262" s="10"/>
      <c r="H262" s="10"/>
      <c r="I262" s="38">
        <f t="shared" si="66"/>
        <v>60</v>
      </c>
      <c r="J262" s="10"/>
      <c r="K262" s="10"/>
      <c r="L262" s="10"/>
      <c r="M262" s="38">
        <f t="shared" si="67"/>
        <v>0</v>
      </c>
      <c r="N262" s="10"/>
      <c r="O262" s="10"/>
      <c r="P262" s="10"/>
      <c r="Q262" s="38">
        <f t="shared" si="68"/>
        <v>0</v>
      </c>
      <c r="R262" s="38">
        <f t="shared" si="64"/>
        <v>60</v>
      </c>
    </row>
    <row r="263" spans="1:21" ht="15.75" customHeight="1" x14ac:dyDescent="0.3">
      <c r="A263" s="410" t="s">
        <v>2849</v>
      </c>
      <c r="B263" s="10">
        <v>60</v>
      </c>
      <c r="C263" s="10"/>
      <c r="D263" s="10"/>
      <c r="E263" s="38">
        <f t="shared" si="70"/>
        <v>60</v>
      </c>
      <c r="F263" s="10"/>
      <c r="G263" s="10"/>
      <c r="H263" s="10"/>
      <c r="I263" s="38">
        <f t="shared" si="66"/>
        <v>0</v>
      </c>
      <c r="J263" s="10"/>
      <c r="K263" s="10"/>
      <c r="L263" s="10"/>
      <c r="M263" s="38">
        <f t="shared" si="67"/>
        <v>0</v>
      </c>
      <c r="N263" s="10"/>
      <c r="O263" s="10"/>
      <c r="P263" s="10"/>
      <c r="Q263" s="38">
        <f t="shared" si="68"/>
        <v>0</v>
      </c>
      <c r="R263" s="38">
        <f t="shared" si="64"/>
        <v>60</v>
      </c>
      <c r="S263" t="s">
        <v>3020</v>
      </c>
      <c r="T263" t="s">
        <v>2760</v>
      </c>
    </row>
    <row r="264" spans="1:21" ht="15.75" customHeight="1" x14ac:dyDescent="0.3">
      <c r="A264" s="410" t="s">
        <v>3158</v>
      </c>
      <c r="B264" s="10"/>
      <c r="C264" s="10"/>
      <c r="D264" s="10"/>
      <c r="E264" s="38">
        <f t="shared" si="70"/>
        <v>0</v>
      </c>
      <c r="F264" s="10"/>
      <c r="G264" s="10">
        <v>250</v>
      </c>
      <c r="H264" s="10"/>
      <c r="I264" s="38">
        <f t="shared" si="66"/>
        <v>250</v>
      </c>
      <c r="J264" s="10"/>
      <c r="K264" s="10"/>
      <c r="L264" s="10"/>
      <c r="M264" s="38">
        <f t="shared" si="67"/>
        <v>0</v>
      </c>
      <c r="N264" s="10"/>
      <c r="O264" s="10"/>
      <c r="P264" s="10"/>
      <c r="Q264" s="38">
        <f t="shared" si="68"/>
        <v>0</v>
      </c>
      <c r="R264" s="38">
        <f t="shared" si="64"/>
        <v>250</v>
      </c>
      <c r="T264" t="s">
        <v>2760</v>
      </c>
    </row>
    <row r="265" spans="1:21" ht="15.75" customHeight="1" x14ac:dyDescent="0.3">
      <c r="A265" s="410" t="s">
        <v>3276</v>
      </c>
      <c r="B265" s="10">
        <v>518</v>
      </c>
      <c r="C265" s="10">
        <v>518</v>
      </c>
      <c r="D265" s="10">
        <v>725</v>
      </c>
      <c r="E265" s="38">
        <f t="shared" ref="E265" si="78">SUM(B265:D265)</f>
        <v>1761</v>
      </c>
      <c r="F265" s="10">
        <v>518</v>
      </c>
      <c r="G265" s="10">
        <v>725</v>
      </c>
      <c r="H265" s="10">
        <v>725</v>
      </c>
      <c r="I265" s="38">
        <f t="shared" ref="I265:I267" si="79">SUM(F265:H265)</f>
        <v>1968</v>
      </c>
      <c r="J265" s="10">
        <v>486</v>
      </c>
      <c r="K265" s="10">
        <v>378</v>
      </c>
      <c r="L265" s="10">
        <v>307</v>
      </c>
      <c r="M265" s="38">
        <f t="shared" ref="M265:M267" si="80">SUM(J265:L265)</f>
        <v>1171</v>
      </c>
      <c r="N265" s="10"/>
      <c r="O265" s="10"/>
      <c r="P265" s="10"/>
      <c r="Q265" s="38">
        <f t="shared" ref="Q265" si="81">SUM(N265:P265)</f>
        <v>0</v>
      </c>
      <c r="R265" s="38">
        <f t="shared" si="64"/>
        <v>4900</v>
      </c>
      <c r="S265" t="s">
        <v>3020</v>
      </c>
      <c r="T265" t="s">
        <v>2760</v>
      </c>
    </row>
    <row r="266" spans="1:21" ht="15.75" customHeight="1" x14ac:dyDescent="0.3">
      <c r="A266" s="410" t="s">
        <v>2939</v>
      </c>
      <c r="B266" s="10"/>
      <c r="C266" s="10"/>
      <c r="D266" s="10"/>
      <c r="E266" s="38">
        <f t="shared" si="70"/>
        <v>0</v>
      </c>
      <c r="F266" s="10"/>
      <c r="G266" s="10"/>
      <c r="H266" s="10"/>
      <c r="I266" s="38">
        <f t="shared" si="79"/>
        <v>0</v>
      </c>
      <c r="J266" s="10"/>
      <c r="K266" s="10">
        <v>5000</v>
      </c>
      <c r="L266" s="10">
        <v>5000</v>
      </c>
      <c r="M266" s="38">
        <f t="shared" si="80"/>
        <v>10000</v>
      </c>
      <c r="N266" s="10"/>
      <c r="O266" s="10"/>
      <c r="P266" s="10"/>
      <c r="Q266" s="38">
        <f t="shared" si="68"/>
        <v>0</v>
      </c>
      <c r="R266" s="38">
        <f>+E266+I266+M266+Q266</f>
        <v>10000</v>
      </c>
      <c r="S266" s="709" t="s">
        <v>3020</v>
      </c>
      <c r="T266" t="s">
        <v>2760</v>
      </c>
    </row>
    <row r="267" spans="1:21" ht="15.75" customHeight="1" x14ac:dyDescent="0.3">
      <c r="A267" s="410" t="s">
        <v>3364</v>
      </c>
      <c r="B267" s="10"/>
      <c r="C267" s="10"/>
      <c r="D267" s="10"/>
      <c r="E267" s="38">
        <f t="shared" si="70"/>
        <v>0</v>
      </c>
      <c r="F267" s="10"/>
      <c r="G267" s="10"/>
      <c r="H267" s="10"/>
      <c r="I267" s="38">
        <f t="shared" si="79"/>
        <v>0</v>
      </c>
      <c r="J267" s="10"/>
      <c r="K267" s="10"/>
      <c r="L267" s="10"/>
      <c r="M267" s="38">
        <f t="shared" si="80"/>
        <v>0</v>
      </c>
      <c r="N267" s="10"/>
      <c r="O267" s="10"/>
      <c r="P267" s="10"/>
      <c r="Q267" s="38">
        <f t="shared" ref="Q267" si="82">SUM(N267:P267)</f>
        <v>0</v>
      </c>
      <c r="R267" s="38">
        <f>+E267+I267+M267+Q267</f>
        <v>0</v>
      </c>
      <c r="S267" s="709"/>
    </row>
    <row r="268" spans="1:21" ht="15.75" customHeight="1" x14ac:dyDescent="0.3">
      <c r="A268" s="569" t="s">
        <v>2741</v>
      </c>
      <c r="B268" s="10"/>
      <c r="C268" s="10"/>
      <c r="D268" s="10"/>
      <c r="E268" s="38">
        <f t="shared" si="70"/>
        <v>0</v>
      </c>
      <c r="F268" s="10"/>
      <c r="G268" s="10"/>
      <c r="H268" s="10"/>
      <c r="I268" s="38">
        <f t="shared" si="66"/>
        <v>0</v>
      </c>
      <c r="J268" s="10"/>
      <c r="K268" s="10"/>
      <c r="L268" s="10"/>
      <c r="M268" s="38">
        <f t="shared" si="67"/>
        <v>0</v>
      </c>
      <c r="N268" s="10"/>
      <c r="O268" s="10">
        <v>2200</v>
      </c>
      <c r="P268" s="10">
        <v>58</v>
      </c>
      <c r="Q268" s="38">
        <f>SUM(N268:P268)</f>
        <v>2258</v>
      </c>
      <c r="R268" s="38">
        <f t="shared" si="64"/>
        <v>2258</v>
      </c>
      <c r="T268" t="s">
        <v>2769</v>
      </c>
    </row>
    <row r="269" spans="1:21" ht="15.75" customHeight="1" x14ac:dyDescent="0.3">
      <c r="A269" s="569" t="s">
        <v>2742</v>
      </c>
      <c r="B269" s="10"/>
      <c r="C269" s="10"/>
      <c r="D269" s="10"/>
      <c r="E269" s="38">
        <f>SUM(B269:D269)</f>
        <v>0</v>
      </c>
      <c r="F269" s="10"/>
      <c r="G269" s="10"/>
      <c r="H269" s="10"/>
      <c r="I269" s="38">
        <f t="shared" ref="I269:I270" si="83">SUM(F269:H269)</f>
        <v>0</v>
      </c>
      <c r="J269" s="10">
        <v>1650</v>
      </c>
      <c r="K269" s="10">
        <f>1550+530</f>
        <v>2080</v>
      </c>
      <c r="L269" s="10"/>
      <c r="M269" s="38">
        <f t="shared" ref="M269" si="84">SUM(J269:L269)</f>
        <v>3730</v>
      </c>
      <c r="N269" s="10"/>
      <c r="O269" s="10">
        <v>2200</v>
      </c>
      <c r="P269" s="10">
        <v>8223</v>
      </c>
      <c r="Q269" s="38">
        <f>SUM(N269:P269)</f>
        <v>10423</v>
      </c>
      <c r="R269" s="38">
        <f t="shared" si="64"/>
        <v>14153</v>
      </c>
      <c r="T269" t="s">
        <v>2770</v>
      </c>
    </row>
    <row r="270" spans="1:21" ht="15.75" customHeight="1" x14ac:dyDescent="0.3">
      <c r="A270" s="410" t="s">
        <v>3289</v>
      </c>
      <c r="B270" s="10"/>
      <c r="C270" s="10"/>
      <c r="D270" s="10"/>
      <c r="E270" s="38">
        <f>SUM(B270:D270)</f>
        <v>0</v>
      </c>
      <c r="F270" s="10"/>
      <c r="G270" s="10"/>
      <c r="H270" s="10">
        <v>709</v>
      </c>
      <c r="I270" s="38">
        <f t="shared" si="83"/>
        <v>709</v>
      </c>
      <c r="J270" s="10">
        <v>500</v>
      </c>
      <c r="K270" s="10">
        <v>355</v>
      </c>
      <c r="L270" s="10"/>
      <c r="M270" s="38">
        <f>SUM(J270:L270)</f>
        <v>855</v>
      </c>
      <c r="N270" s="10"/>
      <c r="O270" s="10"/>
      <c r="P270" s="10"/>
      <c r="Q270" s="38">
        <f t="shared" si="68"/>
        <v>0</v>
      </c>
      <c r="R270" s="38">
        <f t="shared" si="64"/>
        <v>1564</v>
      </c>
      <c r="S270" t="s">
        <v>3020</v>
      </c>
      <c r="T270" t="s">
        <v>2760</v>
      </c>
    </row>
    <row r="271" spans="1:21" ht="15.75" customHeight="1" x14ac:dyDescent="0.3">
      <c r="A271" s="410" t="s">
        <v>3290</v>
      </c>
      <c r="B271" s="10">
        <v>21</v>
      </c>
      <c r="C271" s="10">
        <v>809</v>
      </c>
      <c r="D271" s="10"/>
      <c r="E271" s="38">
        <f t="shared" ref="E271:E272" si="85">SUM(B271:D271)</f>
        <v>830</v>
      </c>
      <c r="F271" s="10"/>
      <c r="G271" s="10"/>
      <c r="H271" s="10"/>
      <c r="I271" s="38">
        <f t="shared" si="66"/>
        <v>0</v>
      </c>
      <c r="J271" s="10"/>
      <c r="K271" s="10"/>
      <c r="L271" s="10"/>
      <c r="M271" s="38">
        <f t="shared" si="67"/>
        <v>0</v>
      </c>
      <c r="N271" s="10"/>
      <c r="O271" s="10"/>
      <c r="P271" s="10"/>
      <c r="Q271" s="38">
        <f t="shared" si="68"/>
        <v>0</v>
      </c>
      <c r="R271" s="38">
        <f t="shared" si="64"/>
        <v>830</v>
      </c>
      <c r="T271" t="s">
        <v>2760</v>
      </c>
    </row>
    <row r="272" spans="1:21" ht="15.75" customHeight="1" x14ac:dyDescent="0.3">
      <c r="A272" s="569" t="s">
        <v>3314</v>
      </c>
      <c r="B272" s="10"/>
      <c r="C272" s="10"/>
      <c r="D272" s="10"/>
      <c r="E272" s="38">
        <f t="shared" si="85"/>
        <v>0</v>
      </c>
      <c r="F272" s="10"/>
      <c r="G272" s="10"/>
      <c r="H272" s="10"/>
      <c r="I272" s="38">
        <f t="shared" si="66"/>
        <v>0</v>
      </c>
      <c r="J272" s="10"/>
      <c r="K272" s="10"/>
      <c r="L272" s="10"/>
      <c r="M272" s="38">
        <f t="shared" si="67"/>
        <v>0</v>
      </c>
      <c r="N272" s="10"/>
      <c r="O272" s="10"/>
      <c r="P272" s="10"/>
      <c r="Q272" s="38">
        <f t="shared" ref="Q272" si="86">SUM(N272:P272)</f>
        <v>0</v>
      </c>
      <c r="R272" s="38">
        <f t="shared" si="64"/>
        <v>0</v>
      </c>
    </row>
    <row r="273" spans="1:20" ht="15.75" customHeight="1" x14ac:dyDescent="0.3">
      <c r="A273" s="410" t="s">
        <v>3291</v>
      </c>
      <c r="B273" s="10">
        <v>1026</v>
      </c>
      <c r="C273" s="10">
        <v>1312</v>
      </c>
      <c r="D273" s="10">
        <v>512</v>
      </c>
      <c r="E273" s="38">
        <f t="shared" si="70"/>
        <v>2850</v>
      </c>
      <c r="F273" s="10"/>
      <c r="G273" s="10"/>
      <c r="H273" s="10"/>
      <c r="I273" s="38">
        <f t="shared" si="66"/>
        <v>0</v>
      </c>
      <c r="J273" s="10"/>
      <c r="K273" s="10"/>
      <c r="L273" s="10"/>
      <c r="M273" s="38">
        <f t="shared" si="67"/>
        <v>0</v>
      </c>
      <c r="N273" s="10"/>
      <c r="O273" s="10"/>
      <c r="P273" s="10"/>
      <c r="Q273" s="38">
        <f t="shared" si="68"/>
        <v>0</v>
      </c>
      <c r="R273" s="38">
        <f t="shared" si="64"/>
        <v>2850</v>
      </c>
      <c r="T273" t="s">
        <v>2775</v>
      </c>
    </row>
    <row r="274" spans="1:20" ht="15.75" customHeight="1" x14ac:dyDescent="0.3">
      <c r="A274" s="410" t="s">
        <v>3293</v>
      </c>
      <c r="B274" s="10"/>
      <c r="C274" s="10"/>
      <c r="D274" s="10"/>
      <c r="E274" s="38">
        <f t="shared" si="70"/>
        <v>0</v>
      </c>
      <c r="F274" s="10"/>
      <c r="G274" s="10"/>
      <c r="H274" s="10"/>
      <c r="I274" s="38">
        <f>SUM(F274:H274)</f>
        <v>0</v>
      </c>
      <c r="J274" s="10"/>
      <c r="K274" s="10"/>
      <c r="L274" s="10"/>
      <c r="M274" s="38">
        <f t="shared" si="67"/>
        <v>0</v>
      </c>
      <c r="N274" s="10"/>
      <c r="O274" s="10"/>
      <c r="P274" s="10"/>
      <c r="Q274" s="38">
        <f t="shared" si="68"/>
        <v>0</v>
      </c>
      <c r="R274" s="38">
        <f t="shared" si="64"/>
        <v>0</v>
      </c>
      <c r="S274" t="s">
        <v>3020</v>
      </c>
    </row>
    <row r="275" spans="1:20" ht="15.75" customHeight="1" x14ac:dyDescent="0.3">
      <c r="A275" s="410" t="s">
        <v>3313</v>
      </c>
      <c r="B275" s="10"/>
      <c r="C275" s="10"/>
      <c r="D275" s="10"/>
      <c r="E275" s="38">
        <f t="shared" si="70"/>
        <v>0</v>
      </c>
      <c r="F275" s="10"/>
      <c r="G275" s="10"/>
      <c r="H275" s="10"/>
      <c r="I275" s="38">
        <f>SUM(F275:H275)</f>
        <v>0</v>
      </c>
      <c r="J275" s="10"/>
      <c r="K275" s="10">
        <v>984</v>
      </c>
      <c r="L275" s="10"/>
      <c r="M275" s="38">
        <f t="shared" si="67"/>
        <v>984</v>
      </c>
      <c r="N275" s="10"/>
      <c r="O275" s="10"/>
      <c r="P275" s="10"/>
      <c r="Q275" s="38">
        <f t="shared" ref="Q275" si="87">SUM(N275:P275)</f>
        <v>0</v>
      </c>
      <c r="R275" s="38">
        <f t="shared" si="64"/>
        <v>984</v>
      </c>
    </row>
    <row r="276" spans="1:20" ht="15.75" customHeight="1" x14ac:dyDescent="0.3">
      <c r="A276" s="410" t="s">
        <v>3294</v>
      </c>
      <c r="B276" s="10"/>
      <c r="C276" s="10"/>
      <c r="D276" s="10"/>
      <c r="E276" s="38">
        <f t="shared" si="70"/>
        <v>0</v>
      </c>
      <c r="F276" s="10">
        <v>95</v>
      </c>
      <c r="G276" s="10"/>
      <c r="H276" s="10"/>
      <c r="I276" s="38">
        <f t="shared" si="66"/>
        <v>95</v>
      </c>
      <c r="J276" s="10"/>
      <c r="K276" s="10"/>
      <c r="L276" s="10"/>
      <c r="M276" s="38">
        <f t="shared" si="67"/>
        <v>0</v>
      </c>
      <c r="N276" s="10"/>
      <c r="O276" s="10"/>
      <c r="P276" s="10"/>
      <c r="Q276" s="38">
        <f t="shared" si="68"/>
        <v>0</v>
      </c>
      <c r="R276" s="38">
        <f t="shared" si="64"/>
        <v>95</v>
      </c>
    </row>
    <row r="277" spans="1:20" ht="15.75" customHeight="1" x14ac:dyDescent="0.3">
      <c r="A277" s="410" t="s">
        <v>3295</v>
      </c>
      <c r="B277" s="10">
        <v>95</v>
      </c>
      <c r="C277" s="10"/>
      <c r="D277" s="10"/>
      <c r="E277" s="38">
        <f t="shared" si="70"/>
        <v>95</v>
      </c>
      <c r="F277" s="10"/>
      <c r="G277" s="10"/>
      <c r="H277" s="10"/>
      <c r="I277" s="38">
        <f t="shared" si="66"/>
        <v>0</v>
      </c>
      <c r="J277" s="10"/>
      <c r="K277" s="10"/>
      <c r="L277" s="10"/>
      <c r="M277" s="38">
        <f t="shared" si="67"/>
        <v>0</v>
      </c>
      <c r="N277" s="10"/>
      <c r="O277" s="10"/>
      <c r="P277" s="10"/>
      <c r="Q277" s="38">
        <f t="shared" si="68"/>
        <v>0</v>
      </c>
      <c r="R277" s="38">
        <f t="shared" si="64"/>
        <v>95</v>
      </c>
      <c r="S277" t="s">
        <v>3020</v>
      </c>
      <c r="T277" t="s">
        <v>2760</v>
      </c>
    </row>
    <row r="278" spans="1:20" ht="15.75" customHeight="1" x14ac:dyDescent="0.3">
      <c r="A278" s="410" t="s">
        <v>3053</v>
      </c>
      <c r="B278" s="10"/>
      <c r="C278" s="10"/>
      <c r="D278" s="10"/>
      <c r="E278" s="38">
        <f>SUM(B278:D278)</f>
        <v>0</v>
      </c>
      <c r="F278" s="10">
        <v>1400</v>
      </c>
      <c r="G278" s="10">
        <v>1000</v>
      </c>
      <c r="H278" s="10">
        <v>400</v>
      </c>
      <c r="I278" s="38">
        <f>SUM(F278:H278)</f>
        <v>2800</v>
      </c>
      <c r="J278" s="10">
        <f>400+149</f>
        <v>549</v>
      </c>
      <c r="K278" s="10">
        <v>1500</v>
      </c>
      <c r="L278" s="10">
        <v>2200</v>
      </c>
      <c r="M278" s="38">
        <f>SUM(J278:L278)</f>
        <v>4249</v>
      </c>
      <c r="N278" s="10">
        <v>1200</v>
      </c>
      <c r="O278" s="10">
        <v>1100</v>
      </c>
      <c r="P278" s="10">
        <v>1100</v>
      </c>
      <c r="Q278" s="38">
        <f>SUM(N278:P278)</f>
        <v>3400</v>
      </c>
      <c r="R278" s="38">
        <f>+E278+I278+M278+Q278</f>
        <v>10449</v>
      </c>
      <c r="S278" t="s">
        <v>3020</v>
      </c>
      <c r="T278" t="s">
        <v>2760</v>
      </c>
    </row>
    <row r="279" spans="1:20" ht="15.75" customHeight="1" x14ac:dyDescent="0.3">
      <c r="A279" s="410" t="s">
        <v>3275</v>
      </c>
      <c r="B279" s="10"/>
      <c r="C279" s="10"/>
      <c r="D279" s="10"/>
      <c r="E279" s="38">
        <f>SUM(B279:D279)</f>
        <v>0</v>
      </c>
      <c r="F279" s="10"/>
      <c r="G279" s="10"/>
      <c r="H279" s="10"/>
      <c r="I279" s="38">
        <f>SUM(F279:H279)</f>
        <v>0</v>
      </c>
      <c r="J279" s="10"/>
      <c r="K279" s="10"/>
      <c r="L279" s="10"/>
      <c r="M279" s="38">
        <f>SUM(J279:L279)</f>
        <v>0</v>
      </c>
      <c r="N279" s="10"/>
      <c r="O279" s="10"/>
      <c r="P279" s="10"/>
      <c r="Q279" s="38">
        <f t="shared" ref="Q279" si="88">SUM(N279:P279)</f>
        <v>0</v>
      </c>
      <c r="R279" s="38">
        <f>+E279+I279+M279+Q279</f>
        <v>0</v>
      </c>
      <c r="T279" t="s">
        <v>2760</v>
      </c>
    </row>
    <row r="280" spans="1:20" ht="15.75" customHeight="1" x14ac:dyDescent="0.3">
      <c r="A280" s="410" t="s">
        <v>3154</v>
      </c>
      <c r="B280" s="10"/>
      <c r="C280" s="10"/>
      <c r="D280" s="10"/>
      <c r="E280" s="38">
        <f t="shared" ref="E280" si="89">SUM(B280:D280)</f>
        <v>0</v>
      </c>
      <c r="F280" s="10"/>
      <c r="G280" s="10"/>
      <c r="H280" s="10"/>
      <c r="I280" s="38">
        <f t="shared" ref="I280" si="90">SUM(F280:H280)</f>
        <v>0</v>
      </c>
      <c r="J280" s="10"/>
      <c r="K280" s="10"/>
      <c r="L280" s="10"/>
      <c r="M280" s="38">
        <f t="shared" ref="M280" si="91">SUM(J280:L280)</f>
        <v>0</v>
      </c>
      <c r="N280" s="10"/>
      <c r="O280" s="10"/>
      <c r="P280" s="10"/>
      <c r="Q280" s="38">
        <f t="shared" ref="Q280" si="92">SUM(N280:P280)</f>
        <v>0</v>
      </c>
      <c r="R280" s="38">
        <f>+E280+I280+M280+Q280</f>
        <v>0</v>
      </c>
      <c r="T280" t="s">
        <v>2760</v>
      </c>
    </row>
    <row r="281" spans="1:20" ht="15.75" customHeight="1" x14ac:dyDescent="0.3">
      <c r="A281" s="410" t="s">
        <v>2942</v>
      </c>
      <c r="B281" s="10"/>
      <c r="C281" s="10"/>
      <c r="D281" s="10"/>
      <c r="E281" s="38">
        <f t="shared" ref="E281" si="93">SUM(B281:D281)</f>
        <v>0</v>
      </c>
      <c r="F281" s="10">
        <v>550</v>
      </c>
      <c r="G281" s="10">
        <v>750</v>
      </c>
      <c r="H281" s="10">
        <v>1100</v>
      </c>
      <c r="I281" s="38">
        <f t="shared" ref="I281" si="94">SUM(F281:H281)</f>
        <v>2400</v>
      </c>
      <c r="J281" s="10">
        <v>550</v>
      </c>
      <c r="K281" s="10">
        <v>200</v>
      </c>
      <c r="L281" s="10">
        <v>200</v>
      </c>
      <c r="M281" s="38">
        <f t="shared" ref="M281" si="95">SUM(J281:L281)</f>
        <v>950</v>
      </c>
      <c r="N281" s="10">
        <v>75</v>
      </c>
      <c r="O281" s="10"/>
      <c r="P281" s="10"/>
      <c r="Q281" s="38">
        <f t="shared" si="68"/>
        <v>75</v>
      </c>
      <c r="R281" s="38">
        <f t="shared" si="64"/>
        <v>3425</v>
      </c>
      <c r="S281" t="s">
        <v>3020</v>
      </c>
    </row>
    <row r="282" spans="1:20" ht="15.75" customHeight="1" x14ac:dyDescent="0.3">
      <c r="A282" s="410" t="s">
        <v>1453</v>
      </c>
      <c r="B282" s="10"/>
      <c r="C282" s="10">
        <v>3634</v>
      </c>
      <c r="D282" s="10">
        <v>4754</v>
      </c>
      <c r="E282" s="38">
        <f>SUM(B282:D282)</f>
        <v>8388</v>
      </c>
      <c r="F282" s="10"/>
      <c r="G282" s="10"/>
      <c r="H282" s="10"/>
      <c r="I282" s="38">
        <f>SUM(F282:H282)</f>
        <v>0</v>
      </c>
      <c r="J282" s="10"/>
      <c r="K282" s="10"/>
      <c r="L282" s="10"/>
      <c r="M282" s="38">
        <f>SUM(J282:L282)</f>
        <v>0</v>
      </c>
      <c r="N282" s="10"/>
      <c r="O282" s="10"/>
      <c r="P282" s="10"/>
      <c r="Q282" s="38">
        <f>SUM(N282:P282)</f>
        <v>0</v>
      </c>
      <c r="R282" s="38">
        <f>+E282+I282+M282+Q282</f>
        <v>8388</v>
      </c>
      <c r="S282" t="s">
        <v>3020</v>
      </c>
    </row>
    <row r="283" spans="1:20" ht="15.75" customHeight="1" x14ac:dyDescent="0.3">
      <c r="A283" s="410" t="s">
        <v>3080</v>
      </c>
      <c r="B283" s="10">
        <v>86</v>
      </c>
      <c r="C283" s="10">
        <v>99</v>
      </c>
      <c r="D283" s="10">
        <v>138</v>
      </c>
      <c r="E283" s="38">
        <f>SUM(B283:D283)</f>
        <v>323</v>
      </c>
      <c r="F283" s="10"/>
      <c r="G283" s="10"/>
      <c r="H283" s="10"/>
      <c r="I283" s="38">
        <f>SUM(F283:H283)</f>
        <v>0</v>
      </c>
      <c r="J283" s="10"/>
      <c r="K283" s="10"/>
      <c r="L283" s="10"/>
      <c r="M283" s="38">
        <f>SUM(J283:L283)</f>
        <v>0</v>
      </c>
      <c r="N283" s="10"/>
      <c r="O283" s="10"/>
      <c r="P283" s="10"/>
      <c r="Q283" s="38">
        <f>SUM(N283:P283)</f>
        <v>0</v>
      </c>
      <c r="R283" s="38">
        <f>+E283+I283+M283+Q283</f>
        <v>323</v>
      </c>
    </row>
    <row r="284" spans="1:20" ht="15.75" customHeight="1" x14ac:dyDescent="0.3">
      <c r="A284" s="410" t="s">
        <v>3136</v>
      </c>
      <c r="B284" s="10">
        <v>13</v>
      </c>
      <c r="C284" s="10"/>
      <c r="D284" s="10"/>
      <c r="E284" s="38">
        <f t="shared" ref="E284" si="96">SUM(B284:D284)</f>
        <v>13</v>
      </c>
      <c r="F284" s="10"/>
      <c r="G284" s="10"/>
      <c r="H284" s="10"/>
      <c r="I284" s="38">
        <f t="shared" ref="I284" si="97">SUM(F284:H284)</f>
        <v>0</v>
      </c>
      <c r="J284" s="10"/>
      <c r="K284" s="10"/>
      <c r="L284" s="10"/>
      <c r="M284" s="38">
        <f t="shared" ref="M284" si="98">SUM(J284:L284)</f>
        <v>0</v>
      </c>
      <c r="N284" s="10"/>
      <c r="O284" s="10"/>
      <c r="P284" s="10"/>
      <c r="Q284" s="38">
        <f t="shared" ref="Q284" si="99">SUM(N284:P284)</f>
        <v>0</v>
      </c>
      <c r="R284" s="38">
        <f t="shared" ref="R284" si="100">+E284+I284+M284+Q284</f>
        <v>13</v>
      </c>
    </row>
    <row r="285" spans="1:20" ht="15.75" customHeight="1" x14ac:dyDescent="0.3">
      <c r="A285" s="410" t="s">
        <v>1410</v>
      </c>
      <c r="B285" s="10">
        <v>487</v>
      </c>
      <c r="C285" s="10"/>
      <c r="D285" s="10"/>
      <c r="E285" s="38">
        <f t="shared" ref="E285" si="101">SUM(B285:D285)</f>
        <v>487</v>
      </c>
      <c r="F285" s="10"/>
      <c r="G285" s="10"/>
      <c r="H285" s="10"/>
      <c r="I285" s="38">
        <f t="shared" si="66"/>
        <v>0</v>
      </c>
      <c r="J285" s="10"/>
      <c r="K285" s="10"/>
      <c r="L285" s="10"/>
      <c r="M285" s="38">
        <f t="shared" si="67"/>
        <v>0</v>
      </c>
      <c r="N285" s="10"/>
      <c r="O285" s="10"/>
      <c r="P285" s="10"/>
      <c r="Q285" s="38">
        <f t="shared" si="68"/>
        <v>0</v>
      </c>
      <c r="R285" s="38">
        <f t="shared" si="64"/>
        <v>487</v>
      </c>
    </row>
    <row r="286" spans="1:20" ht="15.75" customHeight="1" thickBot="1" x14ac:dyDescent="0.35">
      <c r="A286" s="410" t="s">
        <v>3025</v>
      </c>
      <c r="B286" s="10"/>
      <c r="C286" s="10"/>
      <c r="D286" s="10"/>
      <c r="E286" s="38">
        <f>SUM(B286:D286)</f>
        <v>0</v>
      </c>
      <c r="F286" s="10"/>
      <c r="G286" s="10"/>
      <c r="H286" s="10"/>
      <c r="I286" s="38">
        <f>SUM(F286:H286)</f>
        <v>0</v>
      </c>
      <c r="J286" s="10"/>
      <c r="K286" s="10"/>
      <c r="L286" s="10"/>
      <c r="M286" s="38">
        <f>SUM(J286:L286)</f>
        <v>0</v>
      </c>
      <c r="N286" s="10"/>
      <c r="O286" s="10"/>
      <c r="P286" s="10"/>
      <c r="Q286" s="38">
        <f>SUM(N286:P286)</f>
        <v>0</v>
      </c>
      <c r="R286" s="38">
        <f t="shared" si="64"/>
        <v>0</v>
      </c>
      <c r="S286" s="709" t="s">
        <v>3020</v>
      </c>
    </row>
    <row r="287" spans="1:20" ht="16.5" customHeight="1" thickBot="1" x14ac:dyDescent="0.35">
      <c r="A287" s="43" t="s">
        <v>1220</v>
      </c>
      <c r="B287" s="45">
        <f>SUM(B220:B286)</f>
        <v>4492</v>
      </c>
      <c r="C287" s="46">
        <f>SUM(C220:C286)</f>
        <v>8916</v>
      </c>
      <c r="D287" s="46">
        <f>SUM(D220:D286)</f>
        <v>11419</v>
      </c>
      <c r="E287" s="37">
        <f t="shared" ref="E287" si="102">SUM(B287:D287)</f>
        <v>24827</v>
      </c>
      <c r="F287" s="46">
        <f>SUM(F220:F286)</f>
        <v>10494</v>
      </c>
      <c r="G287" s="46">
        <f>SUM(G220:G286)</f>
        <v>9571</v>
      </c>
      <c r="H287" s="46">
        <f>SUM(H220:H286)</f>
        <v>5947</v>
      </c>
      <c r="I287" s="37">
        <f t="shared" ref="I287" si="103">SUM(F287:H287)</f>
        <v>26012</v>
      </c>
      <c r="J287" s="46">
        <f>SUM(J220:J286)</f>
        <v>4382</v>
      </c>
      <c r="K287" s="46">
        <f>SUM(K220:K286)</f>
        <v>12243</v>
      </c>
      <c r="L287" s="46">
        <f>SUM(L220:L286)</f>
        <v>10195</v>
      </c>
      <c r="M287" s="37">
        <f t="shared" ref="M287" si="104">SUM(J287:L287)</f>
        <v>26820</v>
      </c>
      <c r="N287" s="46">
        <f>SUM(N220:N286)</f>
        <v>4167</v>
      </c>
      <c r="O287" s="46">
        <f>SUM(O220:O286)</f>
        <v>9883</v>
      </c>
      <c r="P287" s="46">
        <f>SUM(P220:P286)</f>
        <v>9762</v>
      </c>
      <c r="Q287" s="37">
        <f t="shared" ref="Q287" si="105">SUM(N287:P287)</f>
        <v>23812</v>
      </c>
      <c r="R287" s="37">
        <f t="shared" si="64"/>
        <v>101471</v>
      </c>
    </row>
    <row r="288" spans="1:20" ht="15.75" customHeight="1" x14ac:dyDescent="0.3">
      <c r="A288" s="234" t="s">
        <v>1712</v>
      </c>
      <c r="B288" s="172"/>
      <c r="C288" s="172"/>
      <c r="D288" s="172"/>
      <c r="E288" s="38" t="s">
        <v>852</v>
      </c>
      <c r="F288" s="172"/>
      <c r="G288" s="172"/>
      <c r="H288" s="172"/>
      <c r="I288" s="38" t="s">
        <v>852</v>
      </c>
      <c r="J288" s="172"/>
      <c r="K288" s="172"/>
      <c r="L288" s="172"/>
      <c r="M288" s="38" t="s">
        <v>852</v>
      </c>
      <c r="N288" s="172"/>
      <c r="O288" s="172"/>
      <c r="P288" s="172"/>
      <c r="Q288" s="38" t="s">
        <v>852</v>
      </c>
      <c r="R288" s="38" t="s">
        <v>852</v>
      </c>
    </row>
    <row r="289" spans="1:20" ht="15.75" customHeight="1" x14ac:dyDescent="0.3">
      <c r="A289" s="234" t="s">
        <v>1021</v>
      </c>
      <c r="B289" s="172"/>
      <c r="C289" s="172"/>
      <c r="D289" s="172"/>
      <c r="E289" s="38" t="s">
        <v>852</v>
      </c>
      <c r="F289" s="172"/>
      <c r="G289" s="172"/>
      <c r="H289" s="172"/>
      <c r="I289" s="38" t="s">
        <v>852</v>
      </c>
      <c r="J289" s="172"/>
      <c r="K289" s="172"/>
      <c r="L289" s="172"/>
      <c r="M289" s="38" t="s">
        <v>852</v>
      </c>
      <c r="N289" s="172"/>
      <c r="O289" s="172"/>
      <c r="P289" s="172"/>
      <c r="Q289" s="38" t="s">
        <v>852</v>
      </c>
      <c r="R289" s="38" t="s">
        <v>852</v>
      </c>
    </row>
    <row r="290" spans="1:20" ht="15.75" customHeight="1" x14ac:dyDescent="0.3">
      <c r="A290" s="618" t="s">
        <v>2796</v>
      </c>
      <c r="B290" s="10"/>
      <c r="C290" s="10"/>
      <c r="D290" s="10"/>
      <c r="E290" s="38">
        <f>SUM(B290:D290)</f>
        <v>0</v>
      </c>
      <c r="F290" s="10"/>
      <c r="G290" s="10"/>
      <c r="H290" s="10"/>
      <c r="I290" s="38">
        <f>SUM(F290:H290)</f>
        <v>0</v>
      </c>
      <c r="J290" s="10"/>
      <c r="K290" s="10"/>
      <c r="L290" s="10"/>
      <c r="M290" s="38">
        <f>SUM(J290:L290)</f>
        <v>0</v>
      </c>
      <c r="N290" s="10"/>
      <c r="O290" s="10"/>
      <c r="P290" s="10"/>
      <c r="Q290" s="38">
        <f>SUM(N290:P290)</f>
        <v>0</v>
      </c>
      <c r="R290" s="38">
        <f>+E290+I290+M290+Q290</f>
        <v>0</v>
      </c>
      <c r="T290" t="s">
        <v>2760</v>
      </c>
    </row>
    <row r="291" spans="1:20" ht="15.75" customHeight="1" x14ac:dyDescent="0.3">
      <c r="A291" s="568" t="s">
        <v>3252</v>
      </c>
      <c r="B291" s="10"/>
      <c r="C291" s="10"/>
      <c r="D291" s="10"/>
      <c r="E291" s="38">
        <f>SUM(B291:D291)</f>
        <v>0</v>
      </c>
      <c r="F291" s="10"/>
      <c r="G291" s="10"/>
      <c r="H291" s="10"/>
      <c r="I291" s="38">
        <f>SUM(F291:H291)</f>
        <v>0</v>
      </c>
      <c r="J291" s="10"/>
      <c r="K291" s="10"/>
      <c r="L291" s="10"/>
      <c r="M291" s="38">
        <f>SUM(J291:L291)</f>
        <v>0</v>
      </c>
      <c r="N291" s="10"/>
      <c r="O291" s="10">
        <v>500</v>
      </c>
      <c r="P291" s="10">
        <v>800</v>
      </c>
      <c r="Q291" s="38">
        <f>SUM(N291:P291)</f>
        <v>1300</v>
      </c>
      <c r="R291" s="38">
        <f>+E291+I291+M291+Q291</f>
        <v>1300</v>
      </c>
      <c r="T291" t="s">
        <v>2769</v>
      </c>
    </row>
    <row r="292" spans="1:20" ht="15.75" customHeight="1" x14ac:dyDescent="0.3">
      <c r="A292" s="568" t="s">
        <v>3253</v>
      </c>
      <c r="B292" s="10"/>
      <c r="C292" s="10"/>
      <c r="D292" s="10"/>
      <c r="E292" s="38">
        <f>SUM(B292:D292)</f>
        <v>0</v>
      </c>
      <c r="F292" s="10"/>
      <c r="G292" s="10"/>
      <c r="H292" s="10"/>
      <c r="I292" s="38">
        <f>SUM(F292:H292)</f>
        <v>0</v>
      </c>
      <c r="J292" s="10"/>
      <c r="K292" s="10"/>
      <c r="L292" s="10"/>
      <c r="M292" s="38">
        <f>SUM(J292:L292)</f>
        <v>0</v>
      </c>
      <c r="N292" s="10"/>
      <c r="O292" s="10">
        <v>1500</v>
      </c>
      <c r="P292" s="10">
        <v>500</v>
      </c>
      <c r="Q292" s="38">
        <f>SUM(N292:P292)</f>
        <v>2000</v>
      </c>
      <c r="R292" s="38">
        <f>+E292+I292+M292+Q292</f>
        <v>2000</v>
      </c>
      <c r="T292" t="s">
        <v>2770</v>
      </c>
    </row>
    <row r="293" spans="1:20" ht="15.75" customHeight="1" x14ac:dyDescent="0.3">
      <c r="A293" s="234" t="s">
        <v>557</v>
      </c>
      <c r="B293" s="172"/>
      <c r="C293" s="172"/>
      <c r="D293" s="172"/>
      <c r="E293" s="38" t="s">
        <v>852</v>
      </c>
      <c r="F293" s="172"/>
      <c r="G293" s="172"/>
      <c r="H293" s="172"/>
      <c r="I293" s="38" t="s">
        <v>852</v>
      </c>
      <c r="J293" s="172"/>
      <c r="K293" s="172"/>
      <c r="L293" s="172"/>
      <c r="M293" s="38" t="s">
        <v>852</v>
      </c>
      <c r="N293" s="172"/>
      <c r="O293" s="172"/>
      <c r="P293" s="172"/>
      <c r="Q293" s="38" t="s">
        <v>852</v>
      </c>
      <c r="R293" s="38" t="s">
        <v>852</v>
      </c>
    </row>
    <row r="294" spans="1:20" ht="15.75" customHeight="1" x14ac:dyDescent="0.3">
      <c r="A294" s="568" t="s">
        <v>3006</v>
      </c>
      <c r="B294" s="10"/>
      <c r="C294" s="10"/>
      <c r="D294" s="10"/>
      <c r="E294" s="38">
        <f>SUM(B294:D294)</f>
        <v>0</v>
      </c>
      <c r="F294" s="10"/>
      <c r="G294" s="10"/>
      <c r="H294" s="10"/>
      <c r="I294" s="38">
        <f>SUM(F294:H294)</f>
        <v>0</v>
      </c>
      <c r="J294" s="10"/>
      <c r="K294" s="10"/>
      <c r="L294" s="10"/>
      <c r="M294" s="38">
        <f>SUM(J294:L294)</f>
        <v>0</v>
      </c>
      <c r="N294" s="10"/>
      <c r="O294" s="10"/>
      <c r="P294" s="10"/>
      <c r="Q294" s="38">
        <f>SUM(N294:P294)</f>
        <v>0</v>
      </c>
      <c r="R294" s="38">
        <f>+E294+I294+M294+Q294</f>
        <v>0</v>
      </c>
    </row>
    <row r="295" spans="1:20" ht="15.75" customHeight="1" x14ac:dyDescent="0.3">
      <c r="A295" s="568" t="s">
        <v>3010</v>
      </c>
      <c r="B295" s="10"/>
      <c r="C295" s="10"/>
      <c r="D295" s="10"/>
      <c r="E295" s="38">
        <f>SUM(B295:D295)</f>
        <v>0</v>
      </c>
      <c r="F295" s="10"/>
      <c r="G295" s="10"/>
      <c r="H295" s="10"/>
      <c r="I295" s="38">
        <f>SUM(F295:H295)</f>
        <v>0</v>
      </c>
      <c r="J295" s="10"/>
      <c r="K295" s="10"/>
      <c r="L295" s="10"/>
      <c r="M295" s="38">
        <f>SUM(J295:L295)</f>
        <v>0</v>
      </c>
      <c r="N295" s="10"/>
      <c r="O295" s="10"/>
      <c r="P295" s="10"/>
      <c r="Q295" s="38">
        <f>SUM(N295:P295)</f>
        <v>0</v>
      </c>
      <c r="R295" s="38">
        <f>+E295+I295+M295+Q295</f>
        <v>0</v>
      </c>
      <c r="T295">
        <f>24000-SUM(R149,R153,R171,R174,R190,R208,R244,R245,R268,R291,R294,R295)</f>
        <v>4383</v>
      </c>
    </row>
    <row r="296" spans="1:20" ht="15.75" customHeight="1" x14ac:dyDescent="0.3">
      <c r="A296" s="539" t="s">
        <v>3021</v>
      </c>
      <c r="B296" s="10"/>
      <c r="C296" s="10"/>
      <c r="D296" s="10"/>
      <c r="E296" s="38">
        <f t="shared" ref="E296:E301" si="106">SUM(B296:D296)</f>
        <v>0</v>
      </c>
      <c r="F296" s="10"/>
      <c r="G296" s="10"/>
      <c r="H296" s="10"/>
      <c r="I296" s="38">
        <f t="shared" ref="I296:I301" si="107">SUM(F296:H296)</f>
        <v>0</v>
      </c>
      <c r="J296" s="10"/>
      <c r="K296" s="10"/>
      <c r="L296" s="10"/>
      <c r="M296" s="38">
        <f t="shared" ref="M296:M301" si="108">SUM(J296:L296)</f>
        <v>0</v>
      </c>
      <c r="N296" s="10"/>
      <c r="O296" s="10"/>
      <c r="P296" s="10"/>
      <c r="Q296" s="38">
        <f t="shared" ref="Q296:Q301" si="109">SUM(N296:P296)</f>
        <v>0</v>
      </c>
      <c r="R296" s="38">
        <f t="shared" ref="R296:R301" si="110">+E296+I296+M296+Q296</f>
        <v>0</v>
      </c>
      <c r="S296" t="s">
        <v>3020</v>
      </c>
    </row>
    <row r="297" spans="1:20" ht="15.75" customHeight="1" x14ac:dyDescent="0.3">
      <c r="A297" s="539" t="s">
        <v>2561</v>
      </c>
      <c r="B297" s="10"/>
      <c r="C297" s="10"/>
      <c r="D297" s="10"/>
      <c r="E297" s="38">
        <f t="shared" si="106"/>
        <v>0</v>
      </c>
      <c r="F297" s="10"/>
      <c r="G297" s="10"/>
      <c r="H297" s="10"/>
      <c r="I297" s="38">
        <f t="shared" si="107"/>
        <v>0</v>
      </c>
      <c r="J297" s="10"/>
      <c r="K297" s="10"/>
      <c r="L297" s="10"/>
      <c r="M297" s="38">
        <f t="shared" si="108"/>
        <v>0</v>
      </c>
      <c r="N297" s="10"/>
      <c r="O297" s="10"/>
      <c r="P297" s="10"/>
      <c r="Q297" s="38">
        <f t="shared" si="109"/>
        <v>0</v>
      </c>
      <c r="R297" s="38">
        <f t="shared" si="110"/>
        <v>0</v>
      </c>
    </row>
    <row r="298" spans="1:20" ht="15.75" customHeight="1" x14ac:dyDescent="0.3">
      <c r="A298" s="569" t="s">
        <v>2828</v>
      </c>
      <c r="B298" s="10"/>
      <c r="C298" s="10"/>
      <c r="D298" s="10"/>
      <c r="E298" s="38">
        <f t="shared" si="106"/>
        <v>0</v>
      </c>
      <c r="F298" s="10"/>
      <c r="G298" s="10"/>
      <c r="H298" s="10"/>
      <c r="I298" s="38">
        <f t="shared" si="107"/>
        <v>0</v>
      </c>
      <c r="J298" s="10"/>
      <c r="K298" s="10"/>
      <c r="L298" s="10"/>
      <c r="M298" s="38">
        <f t="shared" si="108"/>
        <v>0</v>
      </c>
      <c r="N298" s="10"/>
      <c r="O298" s="10"/>
      <c r="P298" s="10"/>
      <c r="Q298" s="38">
        <f t="shared" si="109"/>
        <v>0</v>
      </c>
      <c r="R298" s="38">
        <f t="shared" si="110"/>
        <v>0</v>
      </c>
    </row>
    <row r="299" spans="1:20" ht="15.75" customHeight="1" x14ac:dyDescent="0.3">
      <c r="A299" s="569" t="s">
        <v>2563</v>
      </c>
      <c r="B299" s="10"/>
      <c r="C299" s="10"/>
      <c r="D299" s="10"/>
      <c r="E299" s="38">
        <f t="shared" si="106"/>
        <v>0</v>
      </c>
      <c r="F299" s="10"/>
      <c r="G299" s="10"/>
      <c r="H299" s="10"/>
      <c r="I299" s="38">
        <f t="shared" si="107"/>
        <v>0</v>
      </c>
      <c r="J299" s="10"/>
      <c r="K299" s="10"/>
      <c r="L299" s="10"/>
      <c r="M299" s="38">
        <f t="shared" si="108"/>
        <v>0</v>
      </c>
      <c r="N299" s="10"/>
      <c r="O299" s="10"/>
      <c r="P299" s="10"/>
      <c r="Q299" s="38">
        <f t="shared" si="109"/>
        <v>0</v>
      </c>
      <c r="R299" s="38">
        <f t="shared" si="110"/>
        <v>0</v>
      </c>
    </row>
    <row r="300" spans="1:20" ht="15.75" customHeight="1" x14ac:dyDescent="0.3">
      <c r="A300" s="422" t="s">
        <v>2564</v>
      </c>
      <c r="B300" s="10"/>
      <c r="C300" s="10"/>
      <c r="D300" s="10"/>
      <c r="E300" s="38">
        <f t="shared" si="106"/>
        <v>0</v>
      </c>
      <c r="F300" s="10"/>
      <c r="G300" s="10"/>
      <c r="H300" s="10"/>
      <c r="I300" s="38">
        <f t="shared" si="107"/>
        <v>0</v>
      </c>
      <c r="J300" s="10"/>
      <c r="K300" s="10"/>
      <c r="L300" s="10"/>
      <c r="M300" s="38">
        <f t="shared" si="108"/>
        <v>0</v>
      </c>
      <c r="N300" s="10"/>
      <c r="O300" s="10"/>
      <c r="P300" s="10"/>
      <c r="Q300" s="38">
        <f t="shared" si="109"/>
        <v>0</v>
      </c>
      <c r="R300" s="38">
        <f t="shared" si="110"/>
        <v>0</v>
      </c>
    </row>
    <row r="301" spans="1:20" ht="15.75" customHeight="1" x14ac:dyDescent="0.3">
      <c r="A301" s="422" t="s">
        <v>2565</v>
      </c>
      <c r="B301" s="10"/>
      <c r="C301" s="10"/>
      <c r="D301" s="10"/>
      <c r="E301" s="38">
        <f t="shared" si="106"/>
        <v>0</v>
      </c>
      <c r="F301" s="10"/>
      <c r="G301" s="10"/>
      <c r="H301" s="10"/>
      <c r="I301" s="38">
        <f t="shared" si="107"/>
        <v>0</v>
      </c>
      <c r="J301" s="10"/>
      <c r="K301" s="10"/>
      <c r="L301" s="10"/>
      <c r="M301" s="38">
        <f t="shared" si="108"/>
        <v>0</v>
      </c>
      <c r="N301" s="10"/>
      <c r="O301" s="10"/>
      <c r="P301" s="10"/>
      <c r="Q301" s="38">
        <f t="shared" si="109"/>
        <v>0</v>
      </c>
      <c r="R301" s="38">
        <f t="shared" si="110"/>
        <v>0</v>
      </c>
    </row>
    <row r="302" spans="1:20" ht="15.75" customHeight="1" x14ac:dyDescent="0.3">
      <c r="A302" s="234" t="s">
        <v>1022</v>
      </c>
      <c r="B302" s="172"/>
      <c r="C302" s="172"/>
      <c r="D302" s="172"/>
      <c r="E302" s="38" t="s">
        <v>852</v>
      </c>
      <c r="F302" s="172"/>
      <c r="G302" s="172"/>
      <c r="H302" s="172"/>
      <c r="I302" s="38" t="s">
        <v>852</v>
      </c>
      <c r="J302" s="172"/>
      <c r="K302" s="172"/>
      <c r="L302" s="172"/>
      <c r="M302" s="38" t="s">
        <v>852</v>
      </c>
      <c r="N302" s="172"/>
      <c r="O302" s="172"/>
      <c r="P302" s="172"/>
      <c r="Q302" s="38" t="s">
        <v>852</v>
      </c>
      <c r="R302" s="38" t="s">
        <v>852</v>
      </c>
    </row>
    <row r="303" spans="1:20" ht="15.75" customHeight="1" x14ac:dyDescent="0.3">
      <c r="A303" s="568" t="s">
        <v>3254</v>
      </c>
      <c r="B303" s="172"/>
      <c r="C303" s="172"/>
      <c r="D303" s="172"/>
      <c r="E303" s="38">
        <f t="shared" ref="E303" si="111">SUM(B303:D303)</f>
        <v>0</v>
      </c>
      <c r="F303" s="172"/>
      <c r="G303" s="172"/>
      <c r="H303" s="172"/>
      <c r="I303" s="38">
        <f t="shared" ref="I303" si="112">SUM(F303:H303)</f>
        <v>0</v>
      </c>
      <c r="J303" s="172"/>
      <c r="K303" s="172"/>
      <c r="L303" s="172"/>
      <c r="M303" s="38">
        <f t="shared" ref="M303" si="113">SUM(J303:L303)</f>
        <v>0</v>
      </c>
      <c r="N303" s="172"/>
      <c r="O303" s="172"/>
      <c r="P303" s="172"/>
      <c r="Q303" s="38">
        <f t="shared" ref="Q303" si="114">SUM(N303:P303)</f>
        <v>0</v>
      </c>
      <c r="R303" s="38">
        <f t="shared" ref="R303" si="115">+E303+I303+M303+Q303</f>
        <v>0</v>
      </c>
    </row>
    <row r="304" spans="1:20" ht="15.75" customHeight="1" x14ac:dyDescent="0.3">
      <c r="A304" s="234" t="s">
        <v>559</v>
      </c>
      <c r="B304" s="172"/>
      <c r="C304" s="172"/>
      <c r="D304" s="172"/>
      <c r="E304" s="38" t="s">
        <v>852</v>
      </c>
      <c r="F304" s="172"/>
      <c r="G304" s="172"/>
      <c r="H304" s="172"/>
      <c r="I304" s="38" t="s">
        <v>852</v>
      </c>
      <c r="J304" s="172"/>
      <c r="K304" s="172"/>
      <c r="L304" s="172"/>
      <c r="M304" s="38" t="s">
        <v>852</v>
      </c>
      <c r="N304" s="172"/>
      <c r="O304" s="172"/>
      <c r="P304" s="172"/>
      <c r="Q304" s="38" t="s">
        <v>852</v>
      </c>
      <c r="R304" s="38" t="s">
        <v>852</v>
      </c>
    </row>
    <row r="305" spans="1:20" ht="15.75" customHeight="1" thickBot="1" x14ac:dyDescent="0.35">
      <c r="A305" s="539" t="s">
        <v>3074</v>
      </c>
      <c r="B305" s="10"/>
      <c r="C305" s="10"/>
      <c r="D305" s="10"/>
      <c r="E305" s="38">
        <f t="shared" ref="E305" si="116">SUM(B305:D305)</f>
        <v>0</v>
      </c>
      <c r="F305" s="10"/>
      <c r="G305" s="10"/>
      <c r="H305" s="10"/>
      <c r="I305" s="38">
        <f t="shared" ref="I305:I314" si="117">SUM(F305:H305)</f>
        <v>0</v>
      </c>
      <c r="J305" s="10"/>
      <c r="K305" s="10"/>
      <c r="L305" s="10"/>
      <c r="M305" s="38">
        <f t="shared" ref="M305:M314" si="118">SUM(J305:L305)</f>
        <v>0</v>
      </c>
      <c r="N305" s="10"/>
      <c r="O305" s="10"/>
      <c r="P305" s="10"/>
      <c r="Q305" s="38">
        <f t="shared" ref="Q305:Q314" si="119">SUM(N305:P305)</f>
        <v>0</v>
      </c>
      <c r="R305" s="38">
        <f t="shared" ref="R305:R314" si="120">+E305+I305+M305+Q305</f>
        <v>0</v>
      </c>
      <c r="S305" t="s">
        <v>3020</v>
      </c>
    </row>
    <row r="306" spans="1:20" ht="16.5" customHeight="1" thickBot="1" x14ac:dyDescent="0.35">
      <c r="A306" s="43" t="s">
        <v>1019</v>
      </c>
      <c r="B306" s="42">
        <f>SUM(B302:B305)</f>
        <v>0</v>
      </c>
      <c r="C306" s="42">
        <f>SUM(C302:C305)</f>
        <v>0</v>
      </c>
      <c r="D306" s="42">
        <f>SUM(D302:D305)</f>
        <v>0</v>
      </c>
      <c r="E306" s="39">
        <f t="shared" ref="E306:E311" si="121">SUM(B306:D306)</f>
        <v>0</v>
      </c>
      <c r="F306" s="42">
        <f>SUM(F302:F305)</f>
        <v>0</v>
      </c>
      <c r="G306" s="42">
        <f>SUM(G302:G305)</f>
        <v>0</v>
      </c>
      <c r="H306" s="42">
        <f>SUM(H302:H305)</f>
        <v>0</v>
      </c>
      <c r="I306" s="39">
        <f t="shared" si="117"/>
        <v>0</v>
      </c>
      <c r="J306" s="42">
        <f>SUM(J302:J305)</f>
        <v>0</v>
      </c>
      <c r="K306" s="42">
        <f>SUM(K302:K305)</f>
        <v>0</v>
      </c>
      <c r="L306" s="42">
        <f>SUM(L302:L305)</f>
        <v>0</v>
      </c>
      <c r="M306" s="39">
        <f t="shared" si="118"/>
        <v>0</v>
      </c>
      <c r="N306" s="42">
        <f>SUM(N302:N305)</f>
        <v>0</v>
      </c>
      <c r="O306" s="42">
        <f>SUM(O302:O305)</f>
        <v>0</v>
      </c>
      <c r="P306" s="42">
        <f>SUM(P302:P305)</f>
        <v>0</v>
      </c>
      <c r="Q306" s="39">
        <f t="shared" si="119"/>
        <v>0</v>
      </c>
      <c r="R306" s="37">
        <f t="shared" si="120"/>
        <v>0</v>
      </c>
    </row>
    <row r="307" spans="1:20" ht="16.5" customHeight="1" thickBot="1" x14ac:dyDescent="0.35">
      <c r="A307" s="43" t="s">
        <v>1221</v>
      </c>
      <c r="B307" s="45">
        <f>SUM(B288:B305)</f>
        <v>0</v>
      </c>
      <c r="C307" s="46">
        <f>SUM(C288:C305)</f>
        <v>0</v>
      </c>
      <c r="D307" s="46">
        <f>SUM(D288:D305)</f>
        <v>0</v>
      </c>
      <c r="E307" s="37">
        <f t="shared" si="121"/>
        <v>0</v>
      </c>
      <c r="F307" s="46">
        <f>SUM(F288:F305)</f>
        <v>0</v>
      </c>
      <c r="G307" s="46">
        <f>SUM(G288:G305)</f>
        <v>0</v>
      </c>
      <c r="H307" s="46">
        <f>SUM(H288:H305)</f>
        <v>0</v>
      </c>
      <c r="I307" s="37">
        <f t="shared" si="117"/>
        <v>0</v>
      </c>
      <c r="J307" s="46">
        <f>SUM(J288:J305)</f>
        <v>0</v>
      </c>
      <c r="K307" s="46">
        <f>SUM(K288:K305)</f>
        <v>0</v>
      </c>
      <c r="L307" s="46">
        <f>SUM(L288:L305)</f>
        <v>0</v>
      </c>
      <c r="M307" s="37">
        <f t="shared" si="118"/>
        <v>0</v>
      </c>
      <c r="N307" s="46">
        <f>SUM(N288:N305)</f>
        <v>0</v>
      </c>
      <c r="O307" s="46">
        <f>SUM(O288:O305)</f>
        <v>2000</v>
      </c>
      <c r="P307" s="46">
        <f>SUM(P288:P305)</f>
        <v>1300</v>
      </c>
      <c r="Q307" s="37">
        <f t="shared" si="119"/>
        <v>3300</v>
      </c>
      <c r="R307" s="37">
        <f t="shared" si="120"/>
        <v>3300</v>
      </c>
    </row>
    <row r="308" spans="1:20" ht="16.5" customHeight="1" thickBot="1" x14ac:dyDescent="0.35">
      <c r="A308" s="43" t="s">
        <v>1222</v>
      </c>
      <c r="B308" s="47">
        <f>+B212+B219+B287+B307</f>
        <v>17547</v>
      </c>
      <c r="C308" s="42">
        <f>+C212+C219+C287+C307</f>
        <v>19475</v>
      </c>
      <c r="D308" s="42">
        <f>+D212+D219+D287+D307</f>
        <v>25256</v>
      </c>
      <c r="E308" s="40">
        <f t="shared" si="121"/>
        <v>62278</v>
      </c>
      <c r="F308" s="42">
        <f>+F212+F219+F287+F307</f>
        <v>30906</v>
      </c>
      <c r="G308" s="42">
        <f>+G212+G219+G287+G307</f>
        <v>40525</v>
      </c>
      <c r="H308" s="42">
        <f>+H212+H219+H287+H307</f>
        <v>51330</v>
      </c>
      <c r="I308" s="40">
        <f t="shared" si="117"/>
        <v>122761</v>
      </c>
      <c r="J308" s="42">
        <f>+J212+J219+J287+J307</f>
        <v>51069</v>
      </c>
      <c r="K308" s="42">
        <f>+K212+K219+K287+K307</f>
        <v>49956</v>
      </c>
      <c r="L308" s="42">
        <f>+L212+L219+L287+L307</f>
        <v>40634</v>
      </c>
      <c r="M308" s="40">
        <f t="shared" si="118"/>
        <v>141659</v>
      </c>
      <c r="N308" s="42">
        <f>+N212+N219+N287+N307</f>
        <v>26773</v>
      </c>
      <c r="O308" s="42">
        <f>+O212+O219+O287+O307</f>
        <v>16315</v>
      </c>
      <c r="P308" s="42">
        <f>+P212+P219+P287+P307</f>
        <v>12306</v>
      </c>
      <c r="Q308" s="40">
        <f t="shared" si="119"/>
        <v>55394</v>
      </c>
      <c r="R308" s="40">
        <f t="shared" si="120"/>
        <v>382092</v>
      </c>
    </row>
    <row r="309" spans="1:20" ht="15.75" customHeight="1" x14ac:dyDescent="0.3">
      <c r="A309" s="540" t="s">
        <v>2827</v>
      </c>
      <c r="B309" s="10">
        <v>0</v>
      </c>
      <c r="C309" s="10">
        <v>55</v>
      </c>
      <c r="D309" s="10">
        <v>1056</v>
      </c>
      <c r="E309" s="38">
        <f t="shared" si="121"/>
        <v>1111</v>
      </c>
      <c r="F309" s="10">
        <v>1915</v>
      </c>
      <c r="G309" s="10">
        <v>2784</v>
      </c>
      <c r="H309" s="10">
        <v>2521</v>
      </c>
      <c r="I309" s="38">
        <f t="shared" si="117"/>
        <v>7220</v>
      </c>
      <c r="J309" s="10">
        <v>2267</v>
      </c>
      <c r="K309" s="10">
        <v>2783</v>
      </c>
      <c r="L309" s="10">
        <v>1859</v>
      </c>
      <c r="M309" s="38">
        <f t="shared" si="118"/>
        <v>6909</v>
      </c>
      <c r="N309" s="10">
        <v>2787</v>
      </c>
      <c r="O309" s="10">
        <v>2962</v>
      </c>
      <c r="P309" s="10">
        <v>659</v>
      </c>
      <c r="Q309" s="38">
        <f t="shared" si="119"/>
        <v>6408</v>
      </c>
      <c r="R309" s="38">
        <f t="shared" si="120"/>
        <v>21648</v>
      </c>
      <c r="T309" t="s">
        <v>2764</v>
      </c>
    </row>
    <row r="310" spans="1:20" ht="15.75" customHeight="1" x14ac:dyDescent="0.3">
      <c r="A310" s="270" t="s">
        <v>899</v>
      </c>
      <c r="B310" s="172"/>
      <c r="C310" s="172"/>
      <c r="D310" s="172">
        <v>-2608</v>
      </c>
      <c r="E310" s="38">
        <f t="shared" si="121"/>
        <v>-2608</v>
      </c>
      <c r="F310" s="172">
        <v>2028</v>
      </c>
      <c r="G310" s="172">
        <v>3526</v>
      </c>
      <c r="H310" s="172">
        <v>80</v>
      </c>
      <c r="I310" s="38">
        <f t="shared" si="117"/>
        <v>5634</v>
      </c>
      <c r="J310" s="172">
        <v>-3173</v>
      </c>
      <c r="K310" s="172">
        <v>-8011</v>
      </c>
      <c r="L310" s="172">
        <v>-1070</v>
      </c>
      <c r="M310" s="38">
        <f t="shared" si="118"/>
        <v>-12254</v>
      </c>
      <c r="N310" s="172">
        <v>2064</v>
      </c>
      <c r="O310" s="172">
        <v>-6509</v>
      </c>
      <c r="P310" s="172">
        <v>-2166</v>
      </c>
      <c r="Q310" s="38">
        <f t="shared" si="119"/>
        <v>-6611</v>
      </c>
      <c r="R310" s="38">
        <f t="shared" si="120"/>
        <v>-15839</v>
      </c>
    </row>
    <row r="311" spans="1:20" ht="15.75" customHeight="1" x14ac:dyDescent="0.3">
      <c r="A311" s="539" t="s">
        <v>2271</v>
      </c>
      <c r="B311" s="10"/>
      <c r="C311" s="10"/>
      <c r="D311" s="10"/>
      <c r="E311" s="38">
        <f t="shared" si="121"/>
        <v>0</v>
      </c>
      <c r="F311" s="10"/>
      <c r="G311" s="10"/>
      <c r="H311" s="10"/>
      <c r="I311" s="38">
        <f t="shared" si="117"/>
        <v>0</v>
      </c>
      <c r="J311" s="10"/>
      <c r="K311" s="10"/>
      <c r="L311" s="10"/>
      <c r="M311" s="38">
        <f t="shared" si="118"/>
        <v>0</v>
      </c>
      <c r="N311" s="10"/>
      <c r="O311" s="10"/>
      <c r="P311" s="10"/>
      <c r="Q311" s="38">
        <f t="shared" si="119"/>
        <v>0</v>
      </c>
      <c r="R311" s="38">
        <f t="shared" si="120"/>
        <v>0</v>
      </c>
    </row>
    <row r="312" spans="1:20" ht="15.75" customHeight="1" x14ac:dyDescent="0.3">
      <c r="A312" s="270" t="s">
        <v>2475</v>
      </c>
      <c r="B312" s="10">
        <v>29</v>
      </c>
      <c r="C312" s="10">
        <v>21</v>
      </c>
      <c r="D312" s="10">
        <v>26</v>
      </c>
      <c r="E312" s="38">
        <f>SUM(B312:D312)</f>
        <v>76</v>
      </c>
      <c r="F312" s="10">
        <v>23</v>
      </c>
      <c r="G312" s="10">
        <v>91</v>
      </c>
      <c r="H312" s="10">
        <v>31</v>
      </c>
      <c r="I312" s="38">
        <f>SUM(F312:H312)</f>
        <v>145</v>
      </c>
      <c r="J312" s="10">
        <v>29</v>
      </c>
      <c r="K312" s="10">
        <v>203</v>
      </c>
      <c r="L312" s="10">
        <v>59</v>
      </c>
      <c r="M312" s="38">
        <f>SUM(J312:L312)</f>
        <v>291</v>
      </c>
      <c r="N312" s="10">
        <v>58</v>
      </c>
      <c r="O312" s="10">
        <v>43</v>
      </c>
      <c r="P312" s="10">
        <v>12</v>
      </c>
      <c r="Q312" s="38">
        <f>SUM(N312:P312)</f>
        <v>113</v>
      </c>
      <c r="R312" s="38">
        <f t="shared" si="120"/>
        <v>625</v>
      </c>
    </row>
    <row r="313" spans="1:20" ht="15.75" customHeight="1" x14ac:dyDescent="0.3">
      <c r="A313" s="267" t="s">
        <v>2096</v>
      </c>
      <c r="B313" s="10">
        <v>62928</v>
      </c>
      <c r="C313" s="10">
        <v>99729</v>
      </c>
      <c r="D313" s="10">
        <v>62</v>
      </c>
      <c r="E313" s="38">
        <f t="shared" ref="E313" si="122">SUM(B313:D313)</f>
        <v>162719</v>
      </c>
      <c r="F313" s="10">
        <v>11000</v>
      </c>
      <c r="G313" s="10">
        <v>18293</v>
      </c>
      <c r="H313" s="10">
        <v>1475</v>
      </c>
      <c r="I313" s="38">
        <f t="shared" ref="I313" si="123">SUM(F313:H313)</f>
        <v>30768</v>
      </c>
      <c r="J313" s="10"/>
      <c r="K313" s="10">
        <v>29</v>
      </c>
      <c r="L313" s="10">
        <v>31893</v>
      </c>
      <c r="M313" s="38">
        <f t="shared" ref="M313" si="124">SUM(J313:L313)</f>
        <v>31922</v>
      </c>
      <c r="N313" s="10">
        <v>39398</v>
      </c>
      <c r="O313" s="10">
        <v>102175</v>
      </c>
      <c r="P313" s="10">
        <v>25914</v>
      </c>
      <c r="Q313" s="38">
        <f t="shared" si="119"/>
        <v>167487</v>
      </c>
      <c r="R313" s="38">
        <f t="shared" si="120"/>
        <v>392896</v>
      </c>
    </row>
    <row r="314" spans="1:20" ht="16.5" customHeight="1" thickBot="1" x14ac:dyDescent="0.35">
      <c r="A314" s="244" t="s">
        <v>853</v>
      </c>
      <c r="B314" s="238">
        <v>104</v>
      </c>
      <c r="C314" s="238">
        <v>268</v>
      </c>
      <c r="D314" s="238">
        <v>474</v>
      </c>
      <c r="E314" s="38">
        <f>SUM(B314:D314)</f>
        <v>846</v>
      </c>
      <c r="F314" s="238">
        <v>647</v>
      </c>
      <c r="G314" s="238">
        <v>742</v>
      </c>
      <c r="H314" s="238">
        <v>781</v>
      </c>
      <c r="I314" s="38">
        <f t="shared" si="117"/>
        <v>2170</v>
      </c>
      <c r="J314" s="238">
        <v>774</v>
      </c>
      <c r="K314" s="238">
        <v>596</v>
      </c>
      <c r="L314" s="238">
        <v>546</v>
      </c>
      <c r="M314" s="38">
        <f t="shared" si="118"/>
        <v>1916</v>
      </c>
      <c r="N314" s="238">
        <v>517</v>
      </c>
      <c r="O314" s="238">
        <v>413</v>
      </c>
      <c r="P314" s="238">
        <v>302</v>
      </c>
      <c r="Q314" s="38">
        <f t="shared" si="119"/>
        <v>1232</v>
      </c>
      <c r="R314" s="38">
        <f t="shared" si="120"/>
        <v>6164</v>
      </c>
    </row>
    <row r="315" spans="1:20" ht="16.5" customHeight="1" thickBot="1" x14ac:dyDescent="0.35">
      <c r="A315" s="44"/>
      <c r="B315" s="258"/>
      <c r="C315" s="258"/>
      <c r="D315" s="258"/>
      <c r="E315" s="39"/>
      <c r="F315" s="258"/>
      <c r="G315" s="258"/>
      <c r="H315" s="258"/>
      <c r="I315" s="37"/>
      <c r="J315" s="258"/>
      <c r="K315" s="258"/>
      <c r="L315" s="258"/>
      <c r="M315" s="37"/>
      <c r="N315" s="258"/>
      <c r="O315" s="258"/>
      <c r="P315" s="258"/>
      <c r="Q315" s="37"/>
      <c r="R315" s="37" t="s">
        <v>852</v>
      </c>
    </row>
    <row r="316" spans="1:20" ht="15.75" customHeight="1" x14ac:dyDescent="0.3">
      <c r="A316" s="259" t="s">
        <v>2011</v>
      </c>
      <c r="B316" s="260">
        <f>SUM(B308:B314)</f>
        <v>80608</v>
      </c>
      <c r="C316" s="260">
        <f>SUM(C308:C314)</f>
        <v>119548</v>
      </c>
      <c r="D316" s="260">
        <f>SUM(D308:D314)</f>
        <v>24266</v>
      </c>
      <c r="E316" s="39">
        <f>SUM(B316:D316)</f>
        <v>224422</v>
      </c>
      <c r="F316" s="260">
        <f>SUM(F308:F314)</f>
        <v>46519</v>
      </c>
      <c r="G316" s="260">
        <f>SUM(G308:G314)</f>
        <v>65961</v>
      </c>
      <c r="H316" s="260">
        <f>SUM(H308:H314)</f>
        <v>56218</v>
      </c>
      <c r="I316" s="39">
        <f>SUM(F316:H316)</f>
        <v>168698</v>
      </c>
      <c r="J316" s="260">
        <f>SUM(J308:J314)</f>
        <v>50966</v>
      </c>
      <c r="K316" s="260">
        <f>SUM(K308:K314)</f>
        <v>45556</v>
      </c>
      <c r="L316" s="260">
        <f>SUM(L308:L314)</f>
        <v>73921</v>
      </c>
      <c r="M316" s="39">
        <f>SUM(J316:L316)</f>
        <v>170443</v>
      </c>
      <c r="N316" s="260">
        <f>SUM(N308:N314)</f>
        <v>71597</v>
      </c>
      <c r="O316" s="260">
        <f>SUM(O308:O314)</f>
        <v>115399</v>
      </c>
      <c r="P316" s="260">
        <f>SUM(P308:P314)</f>
        <v>37027</v>
      </c>
      <c r="Q316" s="49">
        <f>SUM(N316:P316)</f>
        <v>224023</v>
      </c>
      <c r="R316" s="39">
        <f>+E316+I316+M316+Q316</f>
        <v>787586</v>
      </c>
    </row>
    <row r="317" spans="1:20" ht="15.75" customHeight="1" x14ac:dyDescent="0.3">
      <c r="A317" s="262" t="s">
        <v>1897</v>
      </c>
      <c r="B317" s="172">
        <f>(B316/B10)/1.983</f>
        <v>1311.2748686415175</v>
      </c>
      <c r="C317" s="172">
        <f>(C316/C10)/1.983</f>
        <v>2153.0869533895252</v>
      </c>
      <c r="D317" s="172">
        <f>(D316/D10)/1.983</f>
        <v>394.74240723569693</v>
      </c>
      <c r="E317" s="38" t="s">
        <v>852</v>
      </c>
      <c r="F317" s="172">
        <f>(F316/F10)/1.983</f>
        <v>781.96335518574551</v>
      </c>
      <c r="G317" s="172">
        <f>(G316/G10)/1.983</f>
        <v>1073.0076619003466</v>
      </c>
      <c r="H317" s="172">
        <f>(H316/H10)/1.983</f>
        <v>944.99915952260881</v>
      </c>
      <c r="I317" s="38" t="s">
        <v>852</v>
      </c>
      <c r="J317" s="172">
        <f>(J316/J10)/1.983</f>
        <v>829.07943324711653</v>
      </c>
      <c r="K317" s="172">
        <f>(K316/K10)/1.983</f>
        <v>741.0733167406828</v>
      </c>
      <c r="L317" s="172">
        <f>(L316/L10)/1.983</f>
        <v>1242.5785846360732</v>
      </c>
      <c r="M317" s="38" t="s">
        <v>852</v>
      </c>
      <c r="N317" s="172">
        <f>(N316/N10)/1.983</f>
        <v>1164.6901891887494</v>
      </c>
      <c r="O317" s="172">
        <f>(O316/O10)/1.983</f>
        <v>1939.8050092452511</v>
      </c>
      <c r="P317" s="172">
        <f>(P316/P10)/1.983</f>
        <v>602.32947798220357</v>
      </c>
      <c r="Q317" s="50" t="s">
        <v>852</v>
      </c>
      <c r="R317" s="38" t="s">
        <v>852</v>
      </c>
    </row>
    <row r="318" spans="1:20" ht="15.75" customHeight="1" x14ac:dyDescent="0.3">
      <c r="A318" s="262" t="s">
        <v>154</v>
      </c>
      <c r="B318" s="172">
        <f>(+B316+B492)+B325</f>
        <v>86481</v>
      </c>
      <c r="C318" s="172">
        <f>(+C316+C492)+C325</f>
        <v>150606</v>
      </c>
      <c r="D318" s="172">
        <f>(+D316+D492)+D325</f>
        <v>80155</v>
      </c>
      <c r="E318" s="38">
        <f>SUM(B318:D318)</f>
        <v>317242</v>
      </c>
      <c r="F318" s="172">
        <f>(+F316+F492)+F325</f>
        <v>142087</v>
      </c>
      <c r="G318" s="172">
        <f>(+G316+G492)+G325</f>
        <v>146904</v>
      </c>
      <c r="H318" s="172">
        <f>(+H316+H492)+H325</f>
        <v>99323</v>
      </c>
      <c r="I318" s="38">
        <f>SUM(F318:H318)</f>
        <v>388314</v>
      </c>
      <c r="J318" s="172">
        <f>(+J316+J492)+J325</f>
        <v>89070</v>
      </c>
      <c r="K318" s="172">
        <f>(+K316+K492)+K325</f>
        <v>95102</v>
      </c>
      <c r="L318" s="172">
        <f>(+L316+L492)+L325</f>
        <v>154021</v>
      </c>
      <c r="M318" s="38">
        <f>SUM(J318:L318)</f>
        <v>338193</v>
      </c>
      <c r="N318" s="172">
        <f>(+N316+N492)+N325</f>
        <v>143800</v>
      </c>
      <c r="O318" s="172">
        <f>(+O316+O492)+O325</f>
        <v>120073</v>
      </c>
      <c r="P318" s="172">
        <f>(+P316+P492)+P325</f>
        <v>70376</v>
      </c>
      <c r="Q318" s="50">
        <f>SUM(N318:P318)</f>
        <v>334249</v>
      </c>
      <c r="R318" s="38">
        <f>+E318+I318+M318+Q318</f>
        <v>1377998</v>
      </c>
    </row>
    <row r="319" spans="1:20" ht="16.5" customHeight="1" thickBot="1" x14ac:dyDescent="0.35">
      <c r="A319" s="263" t="s">
        <v>2110</v>
      </c>
      <c r="B319" s="264">
        <f>(B318/B10)/1.983</f>
        <v>1406.8127470596846</v>
      </c>
      <c r="C319" s="264">
        <f>(C318/C10)/1.983</f>
        <v>2712.4486708450399</v>
      </c>
      <c r="D319" s="264">
        <f>(D318/D10)/1.983</f>
        <v>1303.9057797732337</v>
      </c>
      <c r="E319" s="40" t="s">
        <v>852</v>
      </c>
      <c r="F319" s="264">
        <f>(F318/F10)/1.983</f>
        <v>2388.4182215498404</v>
      </c>
      <c r="G319" s="264">
        <f>(G318/G10)/1.983</f>
        <v>2389.7320774974378</v>
      </c>
      <c r="H319" s="264">
        <f>(H318/H10)/1.983</f>
        <v>1669.5747184400741</v>
      </c>
      <c r="I319" s="40" t="s">
        <v>852</v>
      </c>
      <c r="J319" s="264">
        <f>(J318/J10)/1.983</f>
        <v>1448.9287980088818</v>
      </c>
      <c r="K319" s="264">
        <f>(K318/K10)/1.983</f>
        <v>1547.0531778179038</v>
      </c>
      <c r="L319" s="264">
        <f>(L318/L10)/1.983</f>
        <v>2589.0233652714742</v>
      </c>
      <c r="M319" s="40" t="s">
        <v>852</v>
      </c>
      <c r="N319" s="264">
        <f>(N318/N10)/1.983</f>
        <v>2339.2383648105674</v>
      </c>
      <c r="O319" s="264">
        <f>(O318/O10)/1.983</f>
        <v>2018.3728357707178</v>
      </c>
      <c r="P319" s="264">
        <f>(P318/P10)/1.983</f>
        <v>1144.8278105835082</v>
      </c>
      <c r="Q319" s="51" t="s">
        <v>852</v>
      </c>
      <c r="R319" s="40" t="s">
        <v>852</v>
      </c>
    </row>
    <row r="320" spans="1:20" ht="16.5" customHeight="1" thickBot="1" x14ac:dyDescent="0.35">
      <c r="A320" s="271" t="s">
        <v>1700</v>
      </c>
      <c r="B320" s="229">
        <f>+(B318-(B141+B142+B143+B144+B147+B149+B150+B153+B154+B155+B159+B161++B167+B168+B169+B171+B172+B174+B175+B176+B177+B178+B182+B190+B191+B192+B203+B206+B208+B209+B216+B223+B224+B226+B227+B228+B234+B241+B243+B244+B245+B246+B248+B249+B250+B251+B259+B268+B269+B272+B291+B292+B294+B295+B298+B299+B303+B309+B313+B321)-B325)/(B10*1.983)</f>
        <v>677.61456249084961</v>
      </c>
      <c r="C320" s="229">
        <f>+(C318-(C141+C142+C143+C144+C147+C149+C150+C153+C154+C155+C159+C161++C167+C168+C169+C171+C172+C174+C175+C176+C177+C178+C182+C190+C191+C192+C203+C206+C208+C209+C216+C223+C224+C226+C227+C228+C234+C241+C243+C244+C245+C246+C248+C249+C250+C251+C259+C268+C269+C272+C291+C292+C294+C295+C298+C299+C303+C309+C313+C321)-C325)/(C10*1.983)</f>
        <v>875.38721994092646</v>
      </c>
      <c r="D320" s="229">
        <f>+(D318-(D141+D142+D143+D144+D147+D149+D150+D153+D154+D155+D159+D161++D167+D168+D169+D171+D172+D174+D175+D176+D177+D178+D182+D190+D191+D192+D203+D206+D208+D209+D216+D223+D224+D226+D227+D228+D234+D241+D243+D244+D245+D246+D248+D249+D250+D251+D259+D268+D269+D272+D291+D292+D294+D295+D298+D299+D303+D309+D313+D321)-D325)/(D10*1.983)</f>
        <v>1193.9388024010541</v>
      </c>
      <c r="E320" s="227"/>
      <c r="F320" s="229">
        <f>+(F318-(F141+F142+F143+F144+F147+F149+F150+F153+F154+F155+F159+F161++F167+F168+F169+F171+F172+F174+F175+F176+F177+F178+F182+F190+F191+F192+F203+F206+F208+F209+F216+F223+F224+F226+F227+F228+F234+F241+F243+F244+F245+F246+F248+F249+F250+F251+F259+F268+F269+F272+F291+F292+F294+F295+F298+F299+F303+F309+F313+F321)-F325)/(F10*1.983)</f>
        <v>2283.0055471507817</v>
      </c>
      <c r="G320" s="229">
        <f>+(G318-(G141+G142+G143+G144+G147+G149+G150+G153+G154+G155+G159+G161++G167+G168+G169+G171+G172+G174+G175+G176+G177+G178+G182+G190+G191+G192+G203+G206+G208+G209+G216+G223+G224+G226+G227+G228+G234+G241+G243+G244+G245+G246+G248+G249+G250+G251+G259+G268+G269+G272+G291+G292+G294+G295+G298+G299+G303+G309+G313+G321)-G325)/(G10*1.983)</f>
        <v>2175.0849966652022</v>
      </c>
      <c r="H320" s="229">
        <f>+(H318-(H141+H142+H143+H144+H147+H149+H150+H153+H154+H155+H159+H161++H167+H168+H169+H171+H172+H174+H175+H176+H177+H178+H182+H190+H191+H192+H203+H206+H208+H209+H216+H223+H224+H226+H227+H228+H234+H241+H243+H244+H245+H246+H248+H249+H250+H251+H259+H268+H269+H272+H291+H292+H294+H295+H298+H299+H303+H309+H313+H321)-H325)/(H10*1.983)</f>
        <v>2805.6648176164058</v>
      </c>
      <c r="I320" s="227"/>
      <c r="J320" s="229">
        <f>+(J318-(J141+J142+J143+J144+J147+J149+J150+J153+J154+J155+J159+J161++J167+J168+J169+J171+J172+J174+J175+J176+J177+J178+J182+J190+J191+J192+J203+J206+J208+J209+J216+J223+J224+J226+J227+J228+J234+J241+J243+J244+J245+J246+J248+J249+J250+J251+J259+J268+J269+J272+J291+J292+J294+J295+J298+J299+J303+J309+J313+J321)-J325)/(J10*1.983)</f>
        <v>2743.6110162185023</v>
      </c>
      <c r="K320" s="229">
        <f>+(K318-(K141+K142+K143+K144+K147+K149+K150+K153+K154+K155+K159+K161++K167+K168+K169+K171+K172+K174+K175+K176+K177+K178+K182+K190+K191+K192+K203+K206+K208+K209+K216+K223+K224+K226+K227+K228+K234+K241+K243+K244+K245+K246+K248+K249+K250+K251+K259+K268+K269+K272+K291+K292+K294+K295+K298+K299+K303+K309+K313+K321)-K325)/(K10*1.983)</f>
        <v>2579.3600442470674</v>
      </c>
      <c r="L320" s="229">
        <f>+(L318-(L141+L142+L143+L144+L147+L149+L150+L153+L154+L155+L159+L161++L167+L168+L169+L171+L172+L174+L175+L176+L177+L178+L182+L190+L191+L192+L203+L206+L208+L209+L216+L223+L224+L226+L227+L228+L234+L241+L243+L244+L245+L246+L248+L249+L250+L251+L259+L268+L269+L272+L291+L292+L294+L295+L298+L299+L303+L309+L313+L321)-L325)/(L10*1.983)</f>
        <v>1910.0016809547822</v>
      </c>
      <c r="M320" s="227"/>
      <c r="N320" s="229">
        <f>+(N318-(N141+N142+N143+N144+N147+N149+N150+N153+N154+N155+N159+N161++N167+N168+N169+N171+N172+N174+N175+N176+N177+N178+N182+N190+N191+N192+N203+N206+N208+N209+N216+N223+N224+N226+N227+N228+N234+N241+N243+N244+N245+N246+N248+N249+N250+N251+N259+N268+N269+N272+N291+N292+N294+N295+N298+N299+N303+N309+N313+N321)-N325)/(N10*1.983)</f>
        <v>1547.6876026873585</v>
      </c>
      <c r="O320" s="229">
        <f>+(O318-(O141+O142+O143+O144+O147+O149+O150+O153+O154+O155+O159+O161++O167+O168+O169+O171+O172+O174+O175+O176+O177+O178+O182+O190+O191+O192+O203+O206+O208+O209+O216+O223+O224+O226+O227+O228+O234+O241+O243+O244+O245+O246+O248+O249+O250+O251+O259+O268+O269+O272+O291+O292+O294+O295+O298+O299+O303+O309+O313+O321)-O325)/(O10*1.983)</f>
        <v>150.07564296520422</v>
      </c>
      <c r="P320" s="229">
        <f>+(P318-(P141+P142+P143+P144+P147+P149+P150+P153+P154+P155+P159+P161++P167+P168+P169+P171+P172+P174+P175+P176+P177+P178+P182+P190+P191+P192+P203+P206+P208+P209+P216+P223+P224+P226+P227+P228+P234+P241+P243+P244+P245+P246+P248+P249+P250+P251+P259+P268+P269+P272+P291+P292+P294+P295+P298+P299+P303+P309+P313+P321)-P325)/(P10*1.983)</f>
        <v>547.13451433962871</v>
      </c>
      <c r="Q320" s="228"/>
      <c r="R320" s="227"/>
    </row>
    <row r="321" spans="1:20" ht="15.75" customHeight="1" x14ac:dyDescent="0.3">
      <c r="A321" s="541" t="s">
        <v>2272</v>
      </c>
      <c r="B321" s="172"/>
      <c r="C321" s="172"/>
      <c r="D321" s="172"/>
      <c r="E321" s="172"/>
      <c r="F321" s="172"/>
      <c r="G321" s="172"/>
      <c r="H321" s="172"/>
      <c r="I321" s="172"/>
      <c r="J321" s="172"/>
      <c r="K321" s="172"/>
      <c r="L321" s="172"/>
      <c r="M321" s="172"/>
      <c r="N321" s="172"/>
      <c r="O321" s="172"/>
      <c r="P321" s="172"/>
      <c r="Q321" s="172"/>
      <c r="R321" s="17"/>
    </row>
    <row r="322" spans="1:20" ht="15.75" customHeight="1" thickBot="1" x14ac:dyDescent="0.35">
      <c r="A322" s="18"/>
      <c r="B322" s="172"/>
      <c r="C322" s="172"/>
      <c r="D322" s="172"/>
      <c r="E322" s="172"/>
      <c r="F322" s="172"/>
      <c r="G322" s="172"/>
      <c r="H322" s="172"/>
      <c r="I322" s="172"/>
      <c r="J322" s="172"/>
      <c r="K322" s="172"/>
      <c r="L322" s="172"/>
      <c r="M322" s="172"/>
      <c r="N322" s="172"/>
      <c r="O322" s="172"/>
      <c r="P322" s="172"/>
      <c r="Q322" s="172"/>
      <c r="R322" s="17"/>
    </row>
    <row r="323" spans="1:20" ht="16.5" customHeight="1" thickBot="1" x14ac:dyDescent="0.35">
      <c r="A323" s="240" t="s">
        <v>1754</v>
      </c>
      <c r="B323" s="4" t="s">
        <v>2090</v>
      </c>
      <c r="C323" s="5" t="s">
        <v>2091</v>
      </c>
      <c r="D323" s="5" t="s">
        <v>2234</v>
      </c>
      <c r="E323" s="33" t="s">
        <v>1594</v>
      </c>
      <c r="F323" s="5" t="s">
        <v>2235</v>
      </c>
      <c r="G323" s="5" t="s">
        <v>2236</v>
      </c>
      <c r="H323" s="5" t="s">
        <v>2237</v>
      </c>
      <c r="I323" s="35" t="s">
        <v>1595</v>
      </c>
      <c r="J323" s="5" t="s">
        <v>1504</v>
      </c>
      <c r="K323" s="5" t="s">
        <v>1505</v>
      </c>
      <c r="L323" s="5" t="s">
        <v>1506</v>
      </c>
      <c r="M323" s="35" t="s">
        <v>1596</v>
      </c>
      <c r="N323" s="5" t="s">
        <v>1507</v>
      </c>
      <c r="O323" s="5" t="s">
        <v>1508</v>
      </c>
      <c r="P323" s="5" t="s">
        <v>1509</v>
      </c>
      <c r="Q323" s="35" t="s">
        <v>1597</v>
      </c>
      <c r="R323" s="36" t="s">
        <v>1510</v>
      </c>
    </row>
    <row r="324" spans="1:20" ht="16.5" customHeight="1" thickBot="1" x14ac:dyDescent="0.35">
      <c r="A324" s="44"/>
      <c r="B324" s="258"/>
      <c r="C324" s="258"/>
      <c r="D324" s="258"/>
      <c r="E324" s="265"/>
      <c r="F324" s="258"/>
      <c r="G324" s="258"/>
      <c r="H324" s="258"/>
      <c r="I324" s="265"/>
      <c r="J324" s="258"/>
      <c r="K324" s="258"/>
      <c r="L324" s="258"/>
      <c r="M324" s="265"/>
      <c r="N324" s="258"/>
      <c r="O324" s="258"/>
      <c r="P324" s="258"/>
      <c r="Q324" s="265"/>
      <c r="R324" s="52"/>
    </row>
    <row r="325" spans="1:20" ht="15.75" customHeight="1" thickBot="1" x14ac:dyDescent="0.35">
      <c r="A325" s="266" t="s">
        <v>1000</v>
      </c>
      <c r="B325" s="172">
        <v>-18404</v>
      </c>
      <c r="C325" s="172"/>
      <c r="D325" s="172">
        <v>-127</v>
      </c>
      <c r="E325" s="38">
        <f>SUM(B325:D325)</f>
        <v>-18531</v>
      </c>
      <c r="F325" s="172">
        <v>-13494</v>
      </c>
      <c r="G325" s="172">
        <v>-15508</v>
      </c>
      <c r="H325" s="10">
        <v>-84160</v>
      </c>
      <c r="I325" s="38">
        <f>SUM(F325:H325)</f>
        <v>-113162</v>
      </c>
      <c r="J325" s="356">
        <v>-93396</v>
      </c>
      <c r="K325" s="10">
        <v>-75286</v>
      </c>
      <c r="L325" s="356"/>
      <c r="M325" s="38">
        <f>SUM(J325:L325)</f>
        <v>-168682</v>
      </c>
      <c r="N325" s="172"/>
      <c r="O325" s="172">
        <v>-1783</v>
      </c>
      <c r="P325" s="172"/>
      <c r="Q325" s="38">
        <f>SUM(N325:P325)</f>
        <v>-1783</v>
      </c>
      <c r="R325" s="38">
        <f>+E325+I325+M325+Q325</f>
        <v>-302158</v>
      </c>
    </row>
    <row r="326" spans="1:20" ht="16.5" customHeight="1" thickBot="1" x14ac:dyDescent="0.35">
      <c r="A326" s="272"/>
      <c r="B326" s="273"/>
      <c r="C326" s="273"/>
      <c r="D326" s="273"/>
      <c r="E326" s="53"/>
      <c r="F326" s="273"/>
      <c r="G326" s="273"/>
      <c r="H326" s="273"/>
      <c r="I326" s="53"/>
      <c r="J326" s="273"/>
      <c r="K326" s="273"/>
      <c r="L326" s="273"/>
      <c r="M326" s="53"/>
      <c r="N326" s="273"/>
      <c r="O326" s="273"/>
      <c r="P326" s="273"/>
      <c r="Q326" s="53"/>
      <c r="R326" s="54"/>
    </row>
    <row r="327" spans="1:20" ht="15.75" customHeight="1" x14ac:dyDescent="0.3">
      <c r="A327" s="234" t="s">
        <v>662</v>
      </c>
      <c r="B327" s="172">
        <f>B325</f>
        <v>-18404</v>
      </c>
      <c r="C327" s="172">
        <f>C325</f>
        <v>0</v>
      </c>
      <c r="D327" s="172">
        <f>D325</f>
        <v>-127</v>
      </c>
      <c r="E327" s="38">
        <f>SUM(B327:D327)</f>
        <v>-18531</v>
      </c>
      <c r="F327" s="172">
        <f>F325</f>
        <v>-13494</v>
      </c>
      <c r="G327" s="172">
        <f>G325</f>
        <v>-15508</v>
      </c>
      <c r="H327" s="172">
        <f>H325</f>
        <v>-84160</v>
      </c>
      <c r="I327" s="38">
        <f>SUM(F327:H327)</f>
        <v>-113162</v>
      </c>
      <c r="J327" s="172">
        <f>J325</f>
        <v>-93396</v>
      </c>
      <c r="K327" s="172">
        <f>K325</f>
        <v>-75286</v>
      </c>
      <c r="L327" s="172">
        <f>L325</f>
        <v>0</v>
      </c>
      <c r="M327" s="38">
        <f>SUM(J327:L327)</f>
        <v>-168682</v>
      </c>
      <c r="N327" s="172">
        <f>N325</f>
        <v>0</v>
      </c>
      <c r="O327" s="172">
        <f>O325</f>
        <v>-1783</v>
      </c>
      <c r="P327" s="172">
        <f>P325</f>
        <v>0</v>
      </c>
      <c r="Q327" s="38">
        <f>SUM(N327:P327)</f>
        <v>-1783</v>
      </c>
      <c r="R327" s="55">
        <f>R325</f>
        <v>-302158</v>
      </c>
    </row>
    <row r="328" spans="1:20" ht="16.5" customHeight="1" thickBot="1" x14ac:dyDescent="0.35">
      <c r="A328" s="237" t="s">
        <v>1897</v>
      </c>
      <c r="B328" s="238">
        <f>(B327/B10)/1.983</f>
        <v>-299.38346916532458</v>
      </c>
      <c r="C328" s="238">
        <f>(C327/C10)/1.983</f>
        <v>0</v>
      </c>
      <c r="D328" s="238">
        <f>(D327/D10)/1.983</f>
        <v>-2.0659476518146178</v>
      </c>
      <c r="E328" s="40"/>
      <c r="F328" s="238">
        <f>(F327/F10)/1.983</f>
        <v>-226.82803832576903</v>
      </c>
      <c r="G328" s="238">
        <f>(G327/G10)/1.983</f>
        <v>-252.27335578221332</v>
      </c>
      <c r="H328" s="238">
        <f>(H327/H10)/1.983</f>
        <v>-1414.691544797445</v>
      </c>
      <c r="I328" s="40"/>
      <c r="J328" s="238">
        <f>(J327/J10)/1.983</f>
        <v>-1519.301156605339</v>
      </c>
      <c r="K328" s="238">
        <f>(K327/K10)/1.983</f>
        <v>-1224.7002749174433</v>
      </c>
      <c r="L328" s="238">
        <f>(L327/L10)/1.983</f>
        <v>0</v>
      </c>
      <c r="M328" s="40"/>
      <c r="N328" s="238">
        <f>(N327/N10)/1.983</f>
        <v>0</v>
      </c>
      <c r="O328" s="238">
        <f>(O327/O10)/1.983</f>
        <v>-29.971423768700618</v>
      </c>
      <c r="P328" s="238">
        <f>(P327/P10)/1.983</f>
        <v>0</v>
      </c>
      <c r="Q328" s="40"/>
      <c r="R328" s="52" t="s">
        <v>852</v>
      </c>
    </row>
    <row r="329" spans="1:20" ht="15.75" customHeight="1" x14ac:dyDescent="0.3">
      <c r="A329" s="17"/>
      <c r="B329" s="172"/>
      <c r="C329" s="172"/>
      <c r="D329" s="172"/>
      <c r="E329" s="172"/>
      <c r="F329" s="172"/>
      <c r="G329" s="172"/>
      <c r="H329" s="172"/>
      <c r="I329" s="172"/>
      <c r="J329" s="172"/>
      <c r="K329" s="172"/>
      <c r="L329" s="172"/>
      <c r="M329" s="172"/>
      <c r="N329" s="172"/>
      <c r="O329" s="172"/>
      <c r="P329" s="172"/>
      <c r="Q329" s="172"/>
      <c r="R329" s="17"/>
    </row>
    <row r="330" spans="1:20" ht="16.5" customHeight="1" thickBot="1" x14ac:dyDescent="0.35">
      <c r="A330" s="24"/>
      <c r="B330" s="238"/>
      <c r="C330" s="238"/>
      <c r="D330" s="238"/>
      <c r="E330" s="238"/>
      <c r="F330" s="238"/>
      <c r="G330" s="238"/>
      <c r="H330" s="238"/>
      <c r="I330" s="238"/>
      <c r="J330" s="238"/>
      <c r="K330" s="238"/>
      <c r="L330" s="238"/>
      <c r="M330" s="238"/>
      <c r="N330" s="238"/>
      <c r="O330" s="238"/>
      <c r="P330" s="238"/>
      <c r="Q330" s="238"/>
      <c r="R330" s="24"/>
    </row>
    <row r="331" spans="1:20" ht="16.5" customHeight="1" thickBot="1" x14ac:dyDescent="0.35">
      <c r="A331" s="274" t="s">
        <v>89</v>
      </c>
      <c r="B331" s="4" t="s">
        <v>2090</v>
      </c>
      <c r="C331" s="5" t="s">
        <v>2091</v>
      </c>
      <c r="D331" s="5" t="s">
        <v>2234</v>
      </c>
      <c r="E331" s="33" t="s">
        <v>1594</v>
      </c>
      <c r="F331" s="5" t="s">
        <v>2235</v>
      </c>
      <c r="G331" s="5" t="s">
        <v>2236</v>
      </c>
      <c r="H331" s="5" t="s">
        <v>2237</v>
      </c>
      <c r="I331" s="35" t="s">
        <v>1595</v>
      </c>
      <c r="J331" s="5" t="s">
        <v>1504</v>
      </c>
      <c r="K331" s="5" t="s">
        <v>1505</v>
      </c>
      <c r="L331" s="5" t="s">
        <v>1506</v>
      </c>
      <c r="M331" s="35" t="s">
        <v>1596</v>
      </c>
      <c r="N331" s="5" t="s">
        <v>1507</v>
      </c>
      <c r="O331" s="5" t="s">
        <v>1508</v>
      </c>
      <c r="P331" s="5" t="s">
        <v>1509</v>
      </c>
      <c r="Q331" s="35" t="s">
        <v>1597</v>
      </c>
      <c r="R331" s="36" t="s">
        <v>1510</v>
      </c>
    </row>
    <row r="332" spans="1:20" ht="16.5" customHeight="1" thickBot="1" x14ac:dyDescent="0.35">
      <c r="A332" s="37"/>
      <c r="B332" s="258"/>
      <c r="C332" s="258"/>
      <c r="D332" s="258"/>
      <c r="E332" s="254"/>
      <c r="F332" s="258"/>
      <c r="G332" s="258"/>
      <c r="H332" s="258"/>
      <c r="I332" s="265"/>
      <c r="J332" s="258"/>
      <c r="K332" s="258"/>
      <c r="L332" s="258"/>
      <c r="M332" s="265"/>
      <c r="N332" s="258"/>
      <c r="O332" s="258"/>
      <c r="P332" s="258"/>
      <c r="Q332" s="265"/>
      <c r="R332" s="55"/>
    </row>
    <row r="333" spans="1:20" ht="15.75" customHeight="1" x14ac:dyDescent="0.3">
      <c r="A333" s="234" t="s">
        <v>2417</v>
      </c>
      <c r="B333" s="10"/>
      <c r="C333" s="10"/>
      <c r="D333" s="10"/>
      <c r="E333" s="38" t="s">
        <v>852</v>
      </c>
      <c r="F333" s="10" t="s">
        <v>852</v>
      </c>
      <c r="G333" s="10" t="s">
        <v>852</v>
      </c>
      <c r="H333" s="10" t="s">
        <v>852</v>
      </c>
      <c r="I333" s="38" t="s">
        <v>852</v>
      </c>
      <c r="J333" s="10" t="s">
        <v>852</v>
      </c>
      <c r="K333" s="10" t="s">
        <v>852</v>
      </c>
      <c r="L333" s="10" t="s">
        <v>852</v>
      </c>
      <c r="M333" s="38" t="s">
        <v>852</v>
      </c>
      <c r="N333" s="10" t="s">
        <v>852</v>
      </c>
      <c r="O333" s="10" t="s">
        <v>852</v>
      </c>
      <c r="P333" s="10" t="s">
        <v>852</v>
      </c>
      <c r="Q333" s="38" t="s">
        <v>852</v>
      </c>
      <c r="R333" s="39" t="s">
        <v>852</v>
      </c>
    </row>
    <row r="334" spans="1:20" ht="15.75" customHeight="1" x14ac:dyDescent="0.3">
      <c r="A334" s="234" t="s">
        <v>2160</v>
      </c>
      <c r="B334" s="10"/>
      <c r="C334" s="10"/>
      <c r="D334" s="10"/>
      <c r="E334" s="38" t="s">
        <v>852</v>
      </c>
      <c r="F334" s="10"/>
      <c r="G334" s="10"/>
      <c r="H334" s="10"/>
      <c r="I334" s="38" t="s">
        <v>852</v>
      </c>
      <c r="J334" s="10"/>
      <c r="K334" s="10"/>
      <c r="L334" s="10"/>
      <c r="M334" s="38" t="s">
        <v>852</v>
      </c>
      <c r="N334" s="10"/>
      <c r="O334" s="10"/>
      <c r="P334" s="10"/>
      <c r="Q334" s="38" t="s">
        <v>852</v>
      </c>
      <c r="R334" s="38" t="s">
        <v>852</v>
      </c>
    </row>
    <row r="335" spans="1:20" ht="15.75" customHeight="1" x14ac:dyDescent="0.3">
      <c r="A335" s="410" t="s">
        <v>2869</v>
      </c>
      <c r="B335" s="10"/>
      <c r="C335" s="10"/>
      <c r="D335" s="10"/>
      <c r="E335" s="38">
        <f t="shared" ref="E335:E363" si="125">SUM(B335:D335)</f>
        <v>0</v>
      </c>
      <c r="F335" s="10"/>
      <c r="G335" s="10"/>
      <c r="H335" s="10"/>
      <c r="I335" s="38">
        <f t="shared" ref="I335:I363" si="126">SUM(F335:H335)</f>
        <v>0</v>
      </c>
      <c r="J335" s="10">
        <v>52</v>
      </c>
      <c r="K335" s="10">
        <f>127+1+1</f>
        <v>129</v>
      </c>
      <c r="L335" s="10">
        <f>119+2+2</f>
        <v>123</v>
      </c>
      <c r="M335" s="38">
        <f t="shared" ref="M335:M363" si="127">SUM(J335:L335)</f>
        <v>304</v>
      </c>
      <c r="N335" s="10">
        <f>1+2+115</f>
        <v>118</v>
      </c>
      <c r="O335" s="10">
        <f>1+2+110</f>
        <v>113</v>
      </c>
      <c r="P335" s="10">
        <v>51</v>
      </c>
      <c r="Q335" s="38">
        <f t="shared" ref="Q335:Q366" si="128">SUM(N335:P335)</f>
        <v>282</v>
      </c>
      <c r="R335" s="38">
        <f t="shared" ref="R335:R366" si="129">+E335+I335+M335+Q335</f>
        <v>586</v>
      </c>
      <c r="T335" t="s">
        <v>2870</v>
      </c>
    </row>
    <row r="336" spans="1:20" ht="15.75" customHeight="1" x14ac:dyDescent="0.3">
      <c r="A336" s="410" t="s">
        <v>2993</v>
      </c>
      <c r="B336" s="10"/>
      <c r="C336" s="10"/>
      <c r="D336" s="10"/>
      <c r="E336" s="38">
        <f t="shared" si="125"/>
        <v>0</v>
      </c>
      <c r="F336" s="10"/>
      <c r="G336" s="10"/>
      <c r="H336" s="10"/>
      <c r="I336" s="38">
        <f t="shared" si="126"/>
        <v>0</v>
      </c>
      <c r="J336" s="10"/>
      <c r="K336" s="10">
        <v>400</v>
      </c>
      <c r="L336" s="10"/>
      <c r="M336" s="38">
        <f t="shared" si="127"/>
        <v>400</v>
      </c>
      <c r="N336" s="10"/>
      <c r="O336" s="10"/>
      <c r="P336" s="10"/>
      <c r="Q336" s="38">
        <f t="shared" si="128"/>
        <v>0</v>
      </c>
      <c r="R336" s="38">
        <f t="shared" si="129"/>
        <v>400</v>
      </c>
    </row>
    <row r="337" spans="1:20" ht="15.75" customHeight="1" x14ac:dyDescent="0.3">
      <c r="A337" s="410" t="s">
        <v>2238</v>
      </c>
      <c r="B337" s="10"/>
      <c r="C337" s="10"/>
      <c r="D337" s="10"/>
      <c r="E337" s="38">
        <f t="shared" si="125"/>
        <v>0</v>
      </c>
      <c r="F337" s="10"/>
      <c r="G337" s="10">
        <v>1</v>
      </c>
      <c r="H337" s="10">
        <v>3</v>
      </c>
      <c r="I337" s="38">
        <f t="shared" si="126"/>
        <v>4</v>
      </c>
      <c r="J337" s="10">
        <v>3</v>
      </c>
      <c r="K337" s="10">
        <v>1</v>
      </c>
      <c r="L337" s="10"/>
      <c r="M337" s="38">
        <f t="shared" si="127"/>
        <v>4</v>
      </c>
      <c r="N337" s="10"/>
      <c r="O337" s="10"/>
      <c r="P337" s="10"/>
      <c r="Q337" s="38">
        <f t="shared" ref="Q337" si="130">SUM(N337:P337)</f>
        <v>0</v>
      </c>
      <c r="R337" s="38">
        <f t="shared" ref="R337" si="131">+E337+I337+M337+Q337</f>
        <v>8</v>
      </c>
      <c r="T337" t="s">
        <v>2174</v>
      </c>
    </row>
    <row r="338" spans="1:20" ht="15.75" customHeight="1" x14ac:dyDescent="0.3">
      <c r="A338" s="410" t="s">
        <v>349</v>
      </c>
      <c r="B338" s="10">
        <v>20</v>
      </c>
      <c r="C338" s="10">
        <v>48</v>
      </c>
      <c r="D338" s="10">
        <v>111</v>
      </c>
      <c r="E338" s="38">
        <f t="shared" si="125"/>
        <v>179</v>
      </c>
      <c r="F338" s="10">
        <v>275</v>
      </c>
      <c r="G338" s="10">
        <v>208</v>
      </c>
      <c r="H338" s="10">
        <v>254</v>
      </c>
      <c r="I338" s="38">
        <f t="shared" si="126"/>
        <v>737</v>
      </c>
      <c r="J338" s="10">
        <v>319</v>
      </c>
      <c r="K338" s="10">
        <v>277</v>
      </c>
      <c r="L338" s="10">
        <v>205</v>
      </c>
      <c r="M338" s="38">
        <f t="shared" si="127"/>
        <v>801</v>
      </c>
      <c r="N338" s="10">
        <v>210</v>
      </c>
      <c r="O338" s="10">
        <v>95</v>
      </c>
      <c r="P338" s="10">
        <v>533</v>
      </c>
      <c r="Q338" s="38">
        <f t="shared" si="128"/>
        <v>838</v>
      </c>
      <c r="R338" s="38">
        <f t="shared" si="129"/>
        <v>2555</v>
      </c>
      <c r="T338" t="s">
        <v>2174</v>
      </c>
    </row>
    <row r="339" spans="1:20" ht="15.75" customHeight="1" x14ac:dyDescent="0.3">
      <c r="A339" s="410" t="s">
        <v>3238</v>
      </c>
      <c r="B339" s="10"/>
      <c r="C339" s="10"/>
      <c r="D339" s="10"/>
      <c r="E339" s="38">
        <f>SUM(B339:D339)</f>
        <v>0</v>
      </c>
      <c r="F339" s="10"/>
      <c r="G339" s="10"/>
      <c r="H339" s="10"/>
      <c r="I339" s="38">
        <f t="shared" ref="I339" si="132">SUM(F339:H339)</f>
        <v>0</v>
      </c>
      <c r="J339" s="10"/>
      <c r="K339" s="10"/>
      <c r="L339" s="10"/>
      <c r="M339" s="38">
        <f t="shared" ref="M339" si="133">SUM(J339:L339)</f>
        <v>0</v>
      </c>
      <c r="N339" s="10"/>
      <c r="O339" s="10"/>
      <c r="P339" s="10">
        <v>79</v>
      </c>
      <c r="Q339" s="38">
        <f t="shared" ref="Q339" si="134">SUM(N339:P339)</f>
        <v>79</v>
      </c>
      <c r="R339" s="38">
        <f t="shared" si="129"/>
        <v>79</v>
      </c>
      <c r="T339" t="s">
        <v>2776</v>
      </c>
    </row>
    <row r="340" spans="1:20" ht="15.75" customHeight="1" x14ac:dyDescent="0.3">
      <c r="A340" s="410" t="s">
        <v>3065</v>
      </c>
      <c r="B340" s="10"/>
      <c r="C340" s="10"/>
      <c r="D340" s="10"/>
      <c r="E340" s="38">
        <f t="shared" si="125"/>
        <v>0</v>
      </c>
      <c r="F340" s="10"/>
      <c r="G340" s="10">
        <v>300</v>
      </c>
      <c r="H340" s="10"/>
      <c r="I340" s="38">
        <f t="shared" si="126"/>
        <v>300</v>
      </c>
      <c r="J340" s="10"/>
      <c r="K340" s="10">
        <v>300</v>
      </c>
      <c r="L340" s="10"/>
      <c r="M340" s="38">
        <f t="shared" si="127"/>
        <v>300</v>
      </c>
      <c r="N340" s="10"/>
      <c r="O340" s="10"/>
      <c r="P340" s="10"/>
      <c r="Q340" s="38">
        <f t="shared" si="128"/>
        <v>0</v>
      </c>
      <c r="R340" s="38">
        <f t="shared" si="129"/>
        <v>600</v>
      </c>
      <c r="T340" t="s">
        <v>2776</v>
      </c>
    </row>
    <row r="341" spans="1:20" ht="15.75" customHeight="1" x14ac:dyDescent="0.3">
      <c r="A341" s="410" t="s">
        <v>2983</v>
      </c>
      <c r="C341" s="10"/>
      <c r="D341" s="10"/>
      <c r="E341" s="38">
        <f>SUM(B341:D341)</f>
        <v>0</v>
      </c>
      <c r="F341" s="10"/>
      <c r="G341" s="10"/>
      <c r="H341" s="10">
        <v>2800</v>
      </c>
      <c r="I341" s="38">
        <f>SUM(F341:H341)</f>
        <v>2800</v>
      </c>
      <c r="J341" s="10"/>
      <c r="K341" s="10"/>
      <c r="L341" s="10">
        <v>250</v>
      </c>
      <c r="M341" s="38">
        <f t="shared" ref="M341:M346" si="135">SUM(J341:L341)</f>
        <v>250</v>
      </c>
      <c r="N341" s="10"/>
      <c r="O341" s="10"/>
      <c r="P341" s="10"/>
      <c r="Q341" s="38">
        <f>SUM(N341:P341)</f>
        <v>0</v>
      </c>
      <c r="R341" s="38">
        <f t="shared" si="129"/>
        <v>3050</v>
      </c>
      <c r="T341" t="s">
        <v>2174</v>
      </c>
    </row>
    <row r="342" spans="1:20" ht="15.75" customHeight="1" x14ac:dyDescent="0.3">
      <c r="A342" s="410" t="s">
        <v>3066</v>
      </c>
      <c r="B342" s="10"/>
      <c r="C342" s="10"/>
      <c r="D342" s="10"/>
      <c r="E342" s="38">
        <f t="shared" ref="E342:E346" si="136">SUM(B342:D342)</f>
        <v>0</v>
      </c>
      <c r="F342" s="10"/>
      <c r="G342" s="10">
        <v>2000</v>
      </c>
      <c r="H342" s="10"/>
      <c r="I342" s="38">
        <f t="shared" ref="I342:I346" si="137">SUM(F342:H342)</f>
        <v>2000</v>
      </c>
      <c r="J342" s="10"/>
      <c r="K342" s="10"/>
      <c r="L342" s="10"/>
      <c r="M342" s="38">
        <f t="shared" si="135"/>
        <v>0</v>
      </c>
      <c r="N342" s="10"/>
      <c r="O342" s="10"/>
      <c r="P342" s="10"/>
      <c r="Q342" s="38">
        <f>SUM(N342:P342)</f>
        <v>0</v>
      </c>
      <c r="R342" s="38">
        <f t="shared" si="129"/>
        <v>2000</v>
      </c>
      <c r="T342" t="s">
        <v>2776</v>
      </c>
    </row>
    <row r="343" spans="1:20" ht="15.75" customHeight="1" x14ac:dyDescent="0.3">
      <c r="A343" s="410" t="s">
        <v>2873</v>
      </c>
      <c r="B343" s="10">
        <f>25+73</f>
        <v>98</v>
      </c>
      <c r="C343" s="10">
        <f>6+18</f>
        <v>24</v>
      </c>
      <c r="D343" s="10">
        <f>21+120</f>
        <v>141</v>
      </c>
      <c r="E343" s="38">
        <f t="shared" si="136"/>
        <v>263</v>
      </c>
      <c r="F343" s="10">
        <f>28+216</f>
        <v>244</v>
      </c>
      <c r="G343" s="10">
        <f>48+251</f>
        <v>299</v>
      </c>
      <c r="H343" s="10">
        <f>61+406</f>
        <v>467</v>
      </c>
      <c r="I343" s="38">
        <f t="shared" si="137"/>
        <v>1010</v>
      </c>
      <c r="J343" s="10">
        <f>55+369</f>
        <v>424</v>
      </c>
      <c r="K343" s="10">
        <f>47+318</f>
        <v>365</v>
      </c>
      <c r="L343" s="10">
        <f>32+174</f>
        <v>206</v>
      </c>
      <c r="M343" s="38">
        <f t="shared" si="135"/>
        <v>995</v>
      </c>
      <c r="N343" s="10">
        <f>35+370</f>
        <v>405</v>
      </c>
      <c r="O343" s="10">
        <f>30+149</f>
        <v>179</v>
      </c>
      <c r="P343" s="10">
        <v>229</v>
      </c>
      <c r="Q343" s="38">
        <f>SUM(N343:P343)</f>
        <v>813</v>
      </c>
      <c r="R343" s="38">
        <f>+E343+I343+M343+Q343</f>
        <v>3081</v>
      </c>
      <c r="T343" t="s">
        <v>2871</v>
      </c>
    </row>
    <row r="344" spans="1:20" ht="15.75" customHeight="1" x14ac:dyDescent="0.3">
      <c r="A344" s="410" t="s">
        <v>3045</v>
      </c>
      <c r="B344" s="10"/>
      <c r="C344" s="10"/>
      <c r="D344" s="10"/>
      <c r="E344" s="38">
        <f t="shared" si="136"/>
        <v>0</v>
      </c>
      <c r="F344" s="10"/>
      <c r="G344" s="10"/>
      <c r="H344" s="10"/>
      <c r="I344" s="38">
        <f t="shared" si="137"/>
        <v>0</v>
      </c>
      <c r="J344" s="10"/>
      <c r="K344" s="10">
        <v>1008</v>
      </c>
      <c r="L344" s="10">
        <v>1712</v>
      </c>
      <c r="M344" s="38">
        <f t="shared" si="135"/>
        <v>2720</v>
      </c>
      <c r="N344" s="10">
        <v>480</v>
      </c>
      <c r="O344" s="10"/>
      <c r="P344" s="10"/>
      <c r="Q344" s="38">
        <f>SUM(N344:P344)</f>
        <v>480</v>
      </c>
      <c r="R344" s="38">
        <f>+E344+I344+M344+Q344</f>
        <v>3200</v>
      </c>
      <c r="T344" t="s">
        <v>2178</v>
      </c>
    </row>
    <row r="345" spans="1:20" ht="15.75" customHeight="1" x14ac:dyDescent="0.3">
      <c r="A345" s="410" t="s">
        <v>3137</v>
      </c>
      <c r="B345" s="10"/>
      <c r="C345" s="10"/>
      <c r="D345" s="10"/>
      <c r="E345" s="38">
        <f t="shared" si="136"/>
        <v>0</v>
      </c>
      <c r="F345" s="10"/>
      <c r="G345" s="10"/>
      <c r="H345" s="10"/>
      <c r="I345" s="38">
        <f t="shared" si="137"/>
        <v>0</v>
      </c>
      <c r="J345" s="10"/>
      <c r="K345" s="10"/>
      <c r="L345" s="10"/>
      <c r="M345" s="38">
        <f t="shared" si="135"/>
        <v>0</v>
      </c>
      <c r="N345" s="10"/>
      <c r="O345" s="10"/>
      <c r="P345" s="10"/>
      <c r="Q345" s="38">
        <f t="shared" ref="Q345" si="138">SUM(N345:P345)</f>
        <v>0</v>
      </c>
      <c r="R345" s="38">
        <f>+E345+I345+M345+Q345</f>
        <v>0</v>
      </c>
    </row>
    <row r="346" spans="1:20" ht="15.75" customHeight="1" x14ac:dyDescent="0.3">
      <c r="A346" s="410" t="s">
        <v>3255</v>
      </c>
      <c r="B346" s="10"/>
      <c r="C346" s="10"/>
      <c r="D346" s="10">
        <v>315</v>
      </c>
      <c r="E346" s="38">
        <f t="shared" si="136"/>
        <v>315</v>
      </c>
      <c r="F346" s="10"/>
      <c r="G346" s="10"/>
      <c r="H346" s="10"/>
      <c r="I346" s="38">
        <f t="shared" si="137"/>
        <v>0</v>
      </c>
      <c r="J346" s="10"/>
      <c r="K346" s="10"/>
      <c r="L346" s="10"/>
      <c r="M346" s="38">
        <f t="shared" si="135"/>
        <v>0</v>
      </c>
      <c r="N346" s="10"/>
      <c r="O346" s="10"/>
      <c r="P346" s="10"/>
      <c r="Q346" s="38">
        <f>SUM(N346:P346)</f>
        <v>0</v>
      </c>
      <c r="R346" s="38">
        <f>+E346+I346+M346+Q346</f>
        <v>315</v>
      </c>
      <c r="S346" s="736" t="s">
        <v>3213</v>
      </c>
    </row>
    <row r="347" spans="1:20" ht="15.75" customHeight="1" x14ac:dyDescent="0.3">
      <c r="A347" s="410" t="s">
        <v>3147</v>
      </c>
      <c r="B347" s="10"/>
      <c r="C347" s="10"/>
      <c r="D347" s="10"/>
      <c r="E347" s="38">
        <f>SUM(B347:D347)</f>
        <v>0</v>
      </c>
      <c r="F347" s="10"/>
      <c r="G347" s="10">
        <v>1000</v>
      </c>
      <c r="H347" s="10"/>
      <c r="I347" s="38">
        <f t="shared" ref="I347:I348" si="139">SUM(F347:H347)</f>
        <v>1000</v>
      </c>
      <c r="J347" s="10"/>
      <c r="K347" s="10"/>
      <c r="L347" s="10"/>
      <c r="M347" s="38">
        <f t="shared" ref="M347:M348" si="140">SUM(J347:L347)</f>
        <v>0</v>
      </c>
      <c r="N347" s="10"/>
      <c r="O347" s="10"/>
      <c r="P347" s="10"/>
      <c r="Q347" s="38">
        <f t="shared" ref="Q347:Q348" si="141">SUM(N347:P347)</f>
        <v>0</v>
      </c>
      <c r="R347" s="38">
        <f t="shared" ref="R347:R348" si="142">+E347+I347+M347+Q347</f>
        <v>1000</v>
      </c>
    </row>
    <row r="348" spans="1:20" ht="15.75" customHeight="1" x14ac:dyDescent="0.3">
      <c r="A348" s="410" t="s">
        <v>2743</v>
      </c>
      <c r="B348" s="10"/>
      <c r="C348" s="10"/>
      <c r="D348" s="10"/>
      <c r="E348" s="38">
        <f>SUM(B348:D348)</f>
        <v>0</v>
      </c>
      <c r="F348" s="10">
        <v>1542</v>
      </c>
      <c r="G348" s="10"/>
      <c r="H348" s="10"/>
      <c r="I348" s="38">
        <f t="shared" si="139"/>
        <v>1542</v>
      </c>
      <c r="J348" s="10"/>
      <c r="K348" s="10">
        <v>855</v>
      </c>
      <c r="L348" s="10">
        <v>845</v>
      </c>
      <c r="M348" s="38">
        <f t="shared" si="140"/>
        <v>1700</v>
      </c>
      <c r="N348" s="10"/>
      <c r="O348" s="10"/>
      <c r="P348" s="10"/>
      <c r="Q348" s="38">
        <f t="shared" si="141"/>
        <v>0</v>
      </c>
      <c r="R348" s="38">
        <f t="shared" si="142"/>
        <v>3242</v>
      </c>
      <c r="T348" t="s">
        <v>1358</v>
      </c>
    </row>
    <row r="349" spans="1:20" ht="15.75" customHeight="1" x14ac:dyDescent="0.3">
      <c r="A349" s="410" t="s">
        <v>2744</v>
      </c>
      <c r="B349" s="10"/>
      <c r="C349" s="10"/>
      <c r="D349" s="10"/>
      <c r="E349" s="38">
        <f t="shared" ref="E349:E350" si="143">SUM(B349:D349)</f>
        <v>0</v>
      </c>
      <c r="F349" s="10"/>
      <c r="G349" s="10"/>
      <c r="H349" s="10"/>
      <c r="I349" s="38">
        <f t="shared" ref="I349:I350" si="144">SUM(F349:H349)</f>
        <v>0</v>
      </c>
      <c r="J349" s="10"/>
      <c r="K349" s="10">
        <v>454</v>
      </c>
      <c r="L349" s="10">
        <v>1367</v>
      </c>
      <c r="M349" s="38">
        <f t="shared" ref="M349:M350" si="145">SUM(J349:L349)</f>
        <v>1821</v>
      </c>
      <c r="N349" s="10">
        <v>1427</v>
      </c>
      <c r="O349" s="10"/>
      <c r="P349" s="10">
        <v>687</v>
      </c>
      <c r="Q349" s="38">
        <f t="shared" si="128"/>
        <v>2114</v>
      </c>
      <c r="R349" s="38">
        <f t="shared" si="129"/>
        <v>3935</v>
      </c>
      <c r="T349" t="s">
        <v>2780</v>
      </c>
    </row>
    <row r="350" spans="1:20" ht="15.75" customHeight="1" x14ac:dyDescent="0.3">
      <c r="A350" s="410" t="s">
        <v>3330</v>
      </c>
      <c r="B350" s="10">
        <v>200</v>
      </c>
      <c r="C350" s="10">
        <f>39+161</f>
        <v>200</v>
      </c>
      <c r="D350" s="10">
        <v>200</v>
      </c>
      <c r="E350" s="38">
        <f t="shared" si="143"/>
        <v>600</v>
      </c>
      <c r="F350" s="10">
        <v>200</v>
      </c>
      <c r="G350" s="10">
        <v>200</v>
      </c>
      <c r="H350" s="10">
        <v>200</v>
      </c>
      <c r="I350" s="38">
        <f t="shared" si="144"/>
        <v>600</v>
      </c>
      <c r="J350" s="10">
        <v>200</v>
      </c>
      <c r="K350" s="10">
        <v>200</v>
      </c>
      <c r="L350" s="10">
        <v>200</v>
      </c>
      <c r="M350" s="38">
        <f t="shared" si="145"/>
        <v>600</v>
      </c>
      <c r="N350" s="10">
        <v>200</v>
      </c>
      <c r="O350" s="10"/>
      <c r="P350" s="10"/>
      <c r="Q350" s="38">
        <f t="shared" si="128"/>
        <v>200</v>
      </c>
      <c r="R350" s="38">
        <f t="shared" si="129"/>
        <v>2000</v>
      </c>
      <c r="T350" t="s">
        <v>2174</v>
      </c>
    </row>
    <row r="351" spans="1:20" ht="15.75" customHeight="1" x14ac:dyDescent="0.3">
      <c r="A351" s="410" t="s">
        <v>2607</v>
      </c>
      <c r="B351" s="10"/>
      <c r="C351" s="10"/>
      <c r="D351" s="10"/>
      <c r="E351" s="38">
        <f t="shared" si="125"/>
        <v>0</v>
      </c>
      <c r="F351" s="10"/>
      <c r="G351" s="10"/>
      <c r="H351" s="10"/>
      <c r="I351" s="38">
        <f t="shared" si="126"/>
        <v>0</v>
      </c>
      <c r="J351" s="10"/>
      <c r="K351" s="10"/>
      <c r="L351" s="10"/>
      <c r="M351" s="38">
        <f t="shared" si="127"/>
        <v>0</v>
      </c>
      <c r="N351" s="10"/>
      <c r="O351" s="10"/>
      <c r="P351" s="10"/>
      <c r="Q351" s="38">
        <f t="shared" si="128"/>
        <v>0</v>
      </c>
      <c r="R351" s="38">
        <f t="shared" si="129"/>
        <v>0</v>
      </c>
      <c r="T351" t="s">
        <v>2174</v>
      </c>
    </row>
    <row r="352" spans="1:20" ht="15.75" customHeight="1" x14ac:dyDescent="0.3">
      <c r="A352" s="410" t="s">
        <v>2692</v>
      </c>
      <c r="B352" s="10"/>
      <c r="C352" s="10"/>
      <c r="D352" s="10"/>
      <c r="E352" s="38">
        <f>SUM(B352:D352)</f>
        <v>0</v>
      </c>
      <c r="F352" s="10"/>
      <c r="G352" s="10"/>
      <c r="H352" s="10"/>
      <c r="I352" s="38">
        <f>SUM(F352:H352)</f>
        <v>0</v>
      </c>
      <c r="J352" s="10"/>
      <c r="K352" s="10"/>
      <c r="L352" s="10"/>
      <c r="M352" s="38">
        <f t="shared" si="127"/>
        <v>0</v>
      </c>
      <c r="N352" s="10"/>
      <c r="O352" s="10"/>
      <c r="P352" s="10">
        <v>140</v>
      </c>
      <c r="Q352" s="38">
        <f>SUM(N352:P352)</f>
        <v>140</v>
      </c>
      <c r="R352" s="38">
        <f t="shared" si="129"/>
        <v>140</v>
      </c>
      <c r="T352" t="s">
        <v>1358</v>
      </c>
    </row>
    <row r="353" spans="1:20" ht="15.75" customHeight="1" x14ac:dyDescent="0.3">
      <c r="A353" s="410" t="s">
        <v>347</v>
      </c>
      <c r="B353" s="10"/>
      <c r="C353" s="10"/>
      <c r="D353" s="10"/>
      <c r="E353" s="38">
        <f t="shared" ref="E353" si="146">SUM(B353:D353)</f>
        <v>0</v>
      </c>
      <c r="F353" s="10"/>
      <c r="G353" s="10"/>
      <c r="H353" s="10"/>
      <c r="I353" s="38">
        <f t="shared" ref="I353" si="147">SUM(F353:H353)</f>
        <v>0</v>
      </c>
      <c r="J353" s="10">
        <v>1456</v>
      </c>
      <c r="K353" s="10">
        <v>2474</v>
      </c>
      <c r="L353" s="10">
        <v>2322</v>
      </c>
      <c r="M353" s="38">
        <f t="shared" si="127"/>
        <v>6252</v>
      </c>
      <c r="N353" s="10">
        <v>503</v>
      </c>
      <c r="O353" s="10"/>
      <c r="P353" s="10">
        <v>340</v>
      </c>
      <c r="Q353" s="38">
        <f t="shared" si="128"/>
        <v>843</v>
      </c>
      <c r="R353" s="38">
        <f t="shared" si="129"/>
        <v>7095</v>
      </c>
      <c r="T353" t="s">
        <v>2780</v>
      </c>
    </row>
    <row r="354" spans="1:20" ht="15.75" customHeight="1" x14ac:dyDescent="0.3">
      <c r="A354" s="410" t="s">
        <v>2954</v>
      </c>
      <c r="B354" s="10"/>
      <c r="C354" s="10"/>
      <c r="D354" s="10"/>
      <c r="E354" s="38">
        <f>SUM(B354:D354)</f>
        <v>0</v>
      </c>
      <c r="F354" s="10"/>
      <c r="G354" s="10"/>
      <c r="H354" s="10"/>
      <c r="I354" s="38">
        <f>SUM(F354:H354)</f>
        <v>0</v>
      </c>
      <c r="J354" s="10"/>
      <c r="K354" s="10"/>
      <c r="L354" s="10"/>
      <c r="M354" s="38">
        <f>SUM(J354:L354)</f>
        <v>0</v>
      </c>
      <c r="N354" s="10"/>
      <c r="O354" s="10"/>
      <c r="P354" s="10"/>
      <c r="Q354" s="38">
        <f>SUM(N354:P354)</f>
        <v>0</v>
      </c>
      <c r="R354" s="38">
        <f t="shared" si="129"/>
        <v>0</v>
      </c>
      <c r="T354" t="s">
        <v>1358</v>
      </c>
    </row>
    <row r="355" spans="1:20" ht="15.75" customHeight="1" x14ac:dyDescent="0.3">
      <c r="A355" s="410" t="s">
        <v>2593</v>
      </c>
      <c r="B355" s="10"/>
      <c r="C355" s="10"/>
      <c r="D355" s="10"/>
      <c r="E355" s="38">
        <f t="shared" si="125"/>
        <v>0</v>
      </c>
      <c r="F355" s="10"/>
      <c r="G355" s="10"/>
      <c r="H355" s="10"/>
      <c r="I355" s="38">
        <f t="shared" si="126"/>
        <v>0</v>
      </c>
      <c r="J355" s="10"/>
      <c r="K355" s="10"/>
      <c r="L355" s="10"/>
      <c r="M355" s="38">
        <f t="shared" si="127"/>
        <v>0</v>
      </c>
      <c r="N355" s="10"/>
      <c r="O355" s="10"/>
      <c r="P355" s="10"/>
      <c r="Q355" s="38">
        <f t="shared" si="128"/>
        <v>0</v>
      </c>
      <c r="R355" s="38">
        <f t="shared" si="129"/>
        <v>0</v>
      </c>
      <c r="S355" s="538"/>
      <c r="T355" t="s">
        <v>2175</v>
      </c>
    </row>
    <row r="356" spans="1:20" ht="15.75" customHeight="1" x14ac:dyDescent="0.3">
      <c r="A356" s="410" t="s">
        <v>3056</v>
      </c>
      <c r="B356" s="10">
        <v>20</v>
      </c>
      <c r="C356" s="10">
        <v>6</v>
      </c>
      <c r="D356" s="10">
        <v>23</v>
      </c>
      <c r="E356" s="38">
        <f t="shared" si="125"/>
        <v>49</v>
      </c>
      <c r="F356" s="10">
        <v>49</v>
      </c>
      <c r="G356" s="10">
        <v>65</v>
      </c>
      <c r="H356" s="10">
        <v>60</v>
      </c>
      <c r="I356" s="38">
        <f>SUM(F356:H356)</f>
        <v>174</v>
      </c>
      <c r="J356" s="10">
        <v>68</v>
      </c>
      <c r="K356" s="10">
        <v>65</v>
      </c>
      <c r="L356" s="10">
        <v>32</v>
      </c>
      <c r="M356" s="38">
        <f>SUM(J356:L356)</f>
        <v>165</v>
      </c>
      <c r="N356" s="10">
        <v>60</v>
      </c>
      <c r="O356" s="10">
        <v>44</v>
      </c>
      <c r="P356" s="10">
        <v>125</v>
      </c>
      <c r="Q356" s="38">
        <f>SUM(N356:P356)</f>
        <v>229</v>
      </c>
      <c r="R356" s="38">
        <f>+E356+I356+M356+Q356</f>
        <v>617</v>
      </c>
      <c r="T356" t="s">
        <v>1193</v>
      </c>
    </row>
    <row r="357" spans="1:20" ht="15.75" customHeight="1" x14ac:dyDescent="0.3">
      <c r="A357" s="256" t="s">
        <v>92</v>
      </c>
      <c r="B357" s="10">
        <v>1924</v>
      </c>
      <c r="C357" s="10">
        <v>286</v>
      </c>
      <c r="D357" s="10">
        <v>153</v>
      </c>
      <c r="E357" s="38">
        <f t="shared" ref="E357:E358" si="148">SUM(B357:D357)</f>
        <v>2363</v>
      </c>
      <c r="F357" s="10">
        <f>1202+2328-668-627</f>
        <v>2235</v>
      </c>
      <c r="G357" s="10">
        <f>1572+3291-1001-2622</f>
        <v>1240</v>
      </c>
      <c r="H357" s="10">
        <f>1716+3853</f>
        <v>5569</v>
      </c>
      <c r="I357" s="38">
        <f t="shared" ref="I357:I358" si="149">SUM(F357:H357)</f>
        <v>9044</v>
      </c>
      <c r="J357" s="10">
        <f>1942+4320</f>
        <v>6262</v>
      </c>
      <c r="K357" s="10">
        <f>1817+4206</f>
        <v>6023</v>
      </c>
      <c r="L357" s="10">
        <f>1615+3690</f>
        <v>5305</v>
      </c>
      <c r="M357" s="38">
        <f t="shared" ref="M357:M359" si="150">SUM(J357:L357)</f>
        <v>17590</v>
      </c>
      <c r="N357" s="10">
        <f>3705+2600</f>
        <v>6305</v>
      </c>
      <c r="O357" s="10"/>
      <c r="P357" s="10">
        <v>8338</v>
      </c>
      <c r="Q357" s="38">
        <f t="shared" si="128"/>
        <v>14643</v>
      </c>
      <c r="R357" s="38">
        <f t="shared" si="129"/>
        <v>43640</v>
      </c>
      <c r="T357" t="s">
        <v>2177</v>
      </c>
    </row>
    <row r="358" spans="1:20" ht="15.75" customHeight="1" x14ac:dyDescent="0.3">
      <c r="A358" s="410" t="s">
        <v>3378</v>
      </c>
      <c r="B358" s="10"/>
      <c r="C358" s="10"/>
      <c r="D358" s="10"/>
      <c r="E358" s="38">
        <f t="shared" si="148"/>
        <v>0</v>
      </c>
      <c r="F358" s="10"/>
      <c r="G358" s="10"/>
      <c r="H358" s="10"/>
      <c r="I358" s="38">
        <f t="shared" si="149"/>
        <v>0</v>
      </c>
      <c r="J358" s="10"/>
      <c r="K358" s="10"/>
      <c r="L358" s="10">
        <f>10+1642</f>
        <v>1652</v>
      </c>
      <c r="M358" s="38">
        <f t="shared" si="150"/>
        <v>1652</v>
      </c>
      <c r="N358" s="10">
        <v>2000</v>
      </c>
      <c r="O358" s="10"/>
      <c r="P358" s="10">
        <v>423</v>
      </c>
      <c r="Q358" s="38">
        <f t="shared" ref="Q358" si="151">SUM(N358:P358)</f>
        <v>2423</v>
      </c>
      <c r="R358" s="38">
        <f t="shared" ref="R358" si="152">+E358+I358+M358+Q358</f>
        <v>4075</v>
      </c>
    </row>
    <row r="359" spans="1:20" ht="15.75" customHeight="1" x14ac:dyDescent="0.3">
      <c r="A359" s="410" t="s">
        <v>3164</v>
      </c>
      <c r="B359" s="10"/>
      <c r="C359" s="10"/>
      <c r="D359" s="10"/>
      <c r="E359" s="38">
        <f t="shared" si="125"/>
        <v>0</v>
      </c>
      <c r="F359" s="10"/>
      <c r="G359" s="10"/>
      <c r="H359" s="10"/>
      <c r="I359" s="38">
        <f t="shared" si="126"/>
        <v>0</v>
      </c>
      <c r="J359" s="10"/>
      <c r="K359" s="10"/>
      <c r="L359" s="10"/>
      <c r="M359" s="38">
        <f t="shared" si="150"/>
        <v>0</v>
      </c>
      <c r="N359" s="10"/>
      <c r="O359" s="10"/>
      <c r="P359" s="10"/>
      <c r="Q359" s="38">
        <f t="shared" si="128"/>
        <v>0</v>
      </c>
      <c r="R359" s="38">
        <f t="shared" si="129"/>
        <v>0</v>
      </c>
      <c r="T359" t="s">
        <v>2176</v>
      </c>
    </row>
    <row r="360" spans="1:20" ht="15.75" customHeight="1" x14ac:dyDescent="0.3">
      <c r="A360" s="410" t="s">
        <v>3361</v>
      </c>
      <c r="B360" s="10"/>
      <c r="C360" s="10"/>
      <c r="D360" s="10">
        <v>1513</v>
      </c>
      <c r="E360" s="38">
        <f t="shared" si="125"/>
        <v>1513</v>
      </c>
      <c r="F360" s="10">
        <v>1513</v>
      </c>
      <c r="G360" s="10">
        <v>1513</v>
      </c>
      <c r="H360" s="10"/>
      <c r="I360" s="38">
        <f t="shared" si="126"/>
        <v>3026</v>
      </c>
      <c r="J360" s="10"/>
      <c r="K360" s="10"/>
      <c r="L360" s="10"/>
      <c r="M360" s="38">
        <f t="shared" si="127"/>
        <v>0</v>
      </c>
      <c r="N360" s="10"/>
      <c r="O360" s="10"/>
      <c r="P360" s="10"/>
      <c r="Q360" s="38">
        <f t="shared" ref="Q360" si="153">SUM(N360:P360)</f>
        <v>0</v>
      </c>
      <c r="R360" s="38">
        <f t="shared" ref="R360" si="154">+E360+I360+M360+Q360</f>
        <v>4539</v>
      </c>
    </row>
    <row r="361" spans="1:20" ht="15.75" customHeight="1" x14ac:dyDescent="0.3">
      <c r="A361" s="410" t="s">
        <v>3138</v>
      </c>
      <c r="B361" s="10">
        <f>69+37+118</f>
        <v>224</v>
      </c>
      <c r="C361" s="10">
        <f>34+190</f>
        <v>224</v>
      </c>
      <c r="D361" s="10">
        <f>224</f>
        <v>224</v>
      </c>
      <c r="E361" s="38">
        <f t="shared" si="125"/>
        <v>672</v>
      </c>
      <c r="F361" s="10">
        <v>224</v>
      </c>
      <c r="G361" s="10">
        <v>224</v>
      </c>
      <c r="H361" s="10">
        <v>227</v>
      </c>
      <c r="I361" s="38">
        <f t="shared" si="126"/>
        <v>675</v>
      </c>
      <c r="J361" s="10">
        <v>227</v>
      </c>
      <c r="K361" s="10">
        <v>226</v>
      </c>
      <c r="L361" s="10">
        <v>224</v>
      </c>
      <c r="M361" s="38">
        <f t="shared" si="127"/>
        <v>677</v>
      </c>
      <c r="N361" s="10">
        <v>224</v>
      </c>
      <c r="O361" s="10"/>
      <c r="P361" s="10"/>
      <c r="Q361" s="38">
        <f t="shared" si="128"/>
        <v>224</v>
      </c>
      <c r="R361" s="38">
        <f t="shared" si="129"/>
        <v>2248</v>
      </c>
    </row>
    <row r="362" spans="1:20" ht="15.75" customHeight="1" x14ac:dyDescent="0.3">
      <c r="A362" s="410" t="s">
        <v>3268</v>
      </c>
      <c r="B362" s="10"/>
      <c r="C362" s="10"/>
      <c r="D362" s="10"/>
      <c r="E362" s="38">
        <f t="shared" si="125"/>
        <v>0</v>
      </c>
      <c r="F362" s="10"/>
      <c r="G362" s="10"/>
      <c r="H362" s="10"/>
      <c r="I362" s="38">
        <f t="shared" si="126"/>
        <v>0</v>
      </c>
      <c r="J362" s="10"/>
      <c r="K362" s="10"/>
      <c r="L362" s="10"/>
      <c r="M362" s="38">
        <f t="shared" si="127"/>
        <v>0</v>
      </c>
      <c r="N362" s="10"/>
      <c r="O362" s="10"/>
      <c r="P362" s="10"/>
      <c r="Q362" s="38">
        <f t="shared" si="128"/>
        <v>0</v>
      </c>
      <c r="R362" s="38">
        <f t="shared" si="129"/>
        <v>0</v>
      </c>
      <c r="S362" s="736" t="s">
        <v>3213</v>
      </c>
    </row>
    <row r="363" spans="1:20" ht="15.75" customHeight="1" x14ac:dyDescent="0.3">
      <c r="A363" s="410" t="s">
        <v>3060</v>
      </c>
      <c r="B363" s="10"/>
      <c r="C363" s="10"/>
      <c r="D363" s="10"/>
      <c r="E363" s="38">
        <f t="shared" si="125"/>
        <v>0</v>
      </c>
      <c r="F363" s="10"/>
      <c r="G363" s="10"/>
      <c r="H363" s="10"/>
      <c r="I363" s="38">
        <f t="shared" si="126"/>
        <v>0</v>
      </c>
      <c r="J363" s="10"/>
      <c r="K363" s="10"/>
      <c r="L363" s="10">
        <v>2083</v>
      </c>
      <c r="M363" s="38">
        <f t="shared" si="127"/>
        <v>2083</v>
      </c>
      <c r="N363" s="10">
        <v>4</v>
      </c>
      <c r="O363" s="10"/>
      <c r="P363" s="10"/>
      <c r="Q363" s="38">
        <f>SUM(N363:P363)</f>
        <v>4</v>
      </c>
      <c r="R363" s="38">
        <f>+E363+I363+M363+Q363</f>
        <v>2087</v>
      </c>
      <c r="T363" t="s">
        <v>1358</v>
      </c>
    </row>
    <row r="364" spans="1:20" ht="15.75" customHeight="1" x14ac:dyDescent="0.3">
      <c r="A364" s="410" t="s">
        <v>3057</v>
      </c>
      <c r="B364" s="10">
        <v>32</v>
      </c>
      <c r="C364" s="10">
        <v>20</v>
      </c>
      <c r="D364" s="10"/>
      <c r="E364" s="38">
        <f>SUM(B364:D364)</f>
        <v>52</v>
      </c>
      <c r="F364" s="10">
        <v>96</v>
      </c>
      <c r="G364" s="10">
        <v>57</v>
      </c>
      <c r="H364" s="10">
        <v>75</v>
      </c>
      <c r="I364" s="38">
        <f>SUM(F364:H364)</f>
        <v>228</v>
      </c>
      <c r="J364" s="10">
        <v>81</v>
      </c>
      <c r="K364" s="10">
        <v>81</v>
      </c>
      <c r="L364" s="10">
        <v>39</v>
      </c>
      <c r="M364" s="38">
        <f>SUM(J364:L364)</f>
        <v>201</v>
      </c>
      <c r="N364" s="10">
        <v>68</v>
      </c>
      <c r="O364" s="10">
        <v>50</v>
      </c>
      <c r="P364" s="10">
        <v>103</v>
      </c>
      <c r="Q364" s="38">
        <f>SUM(N364:P364)</f>
        <v>221</v>
      </c>
      <c r="R364" s="38">
        <f>+E364+I364+M364+Q364</f>
        <v>702</v>
      </c>
      <c r="T364" t="s">
        <v>1193</v>
      </c>
    </row>
    <row r="365" spans="1:20" ht="15.75" customHeight="1" x14ac:dyDescent="0.3">
      <c r="A365" s="539" t="s">
        <v>2944</v>
      </c>
      <c r="B365" s="10"/>
      <c r="C365" s="10"/>
      <c r="D365" s="10"/>
      <c r="E365" s="38">
        <f>SUM(B365:D365)</f>
        <v>0</v>
      </c>
      <c r="F365" s="10"/>
      <c r="G365" s="10"/>
      <c r="H365" s="10"/>
      <c r="I365" s="38">
        <f>SUM(F365:H365)</f>
        <v>0</v>
      </c>
      <c r="J365" s="10"/>
      <c r="K365" s="10">
        <v>33</v>
      </c>
      <c r="L365" s="10"/>
      <c r="M365" s="38">
        <f>SUM(J365:L365)</f>
        <v>33</v>
      </c>
      <c r="N365" s="10"/>
      <c r="O365" s="10"/>
      <c r="P365" s="10"/>
      <c r="Q365" s="38">
        <f>SUM(N365:P365)</f>
        <v>0</v>
      </c>
      <c r="R365" s="38">
        <f t="shared" si="129"/>
        <v>33</v>
      </c>
    </row>
    <row r="366" spans="1:20" ht="15.75" customHeight="1" x14ac:dyDescent="0.3">
      <c r="A366" s="410" t="s">
        <v>2609</v>
      </c>
      <c r="B366" s="10"/>
      <c r="C366" s="10"/>
      <c r="D366" s="10"/>
      <c r="E366" s="38">
        <f t="shared" ref="E366" si="155">SUM(B366:D366)</f>
        <v>0</v>
      </c>
      <c r="F366" s="10"/>
      <c r="G366" s="10">
        <v>68</v>
      </c>
      <c r="H366" s="10">
        <v>179</v>
      </c>
      <c r="I366" s="38">
        <f t="shared" ref="I366" si="156">SUM(F366:H366)</f>
        <v>247</v>
      </c>
      <c r="J366" s="10">
        <v>142</v>
      </c>
      <c r="K366" s="10">
        <v>84</v>
      </c>
      <c r="L366" s="10">
        <v>22</v>
      </c>
      <c r="M366" s="38">
        <f t="shared" ref="M366" si="157">SUM(J366:L366)</f>
        <v>248</v>
      </c>
      <c r="N366" s="10"/>
      <c r="O366" s="10"/>
      <c r="P366" s="10"/>
      <c r="Q366" s="38">
        <f t="shared" si="128"/>
        <v>0</v>
      </c>
      <c r="R366" s="38">
        <f t="shared" si="129"/>
        <v>495</v>
      </c>
      <c r="S366">
        <f>SUM(R335:R366)</f>
        <v>91722</v>
      </c>
      <c r="T366" t="s">
        <v>2175</v>
      </c>
    </row>
    <row r="367" spans="1:20" ht="15.75" customHeight="1" x14ac:dyDescent="0.3">
      <c r="A367" s="410" t="s">
        <v>3058</v>
      </c>
      <c r="B367" s="10">
        <v>70</v>
      </c>
      <c r="C367" s="10">
        <v>1</v>
      </c>
      <c r="D367" s="10">
        <v>3</v>
      </c>
      <c r="E367" s="38">
        <f>SUM(B367:D367)</f>
        <v>74</v>
      </c>
      <c r="F367" s="10">
        <v>6</v>
      </c>
      <c r="G367" s="10">
        <v>6</v>
      </c>
      <c r="H367" s="10">
        <v>11</v>
      </c>
      <c r="I367" s="38">
        <f>SUM(F367:H367)</f>
        <v>23</v>
      </c>
      <c r="J367" s="10">
        <v>7</v>
      </c>
      <c r="K367" s="10">
        <v>12</v>
      </c>
      <c r="L367" s="10">
        <v>4</v>
      </c>
      <c r="M367" s="38">
        <f>SUM(J367:L367)</f>
        <v>23</v>
      </c>
      <c r="N367" s="10">
        <v>42</v>
      </c>
      <c r="O367" s="10">
        <v>31</v>
      </c>
      <c r="P367" s="10">
        <v>243</v>
      </c>
      <c r="Q367" s="38">
        <f>SUM(N367:P367)</f>
        <v>316</v>
      </c>
      <c r="R367" s="38">
        <f>+E367+I367+M367+Q367</f>
        <v>436</v>
      </c>
      <c r="T367" t="s">
        <v>1193</v>
      </c>
    </row>
    <row r="368" spans="1:20" ht="15.75" customHeight="1" x14ac:dyDescent="0.3">
      <c r="A368" s="234" t="s">
        <v>2161</v>
      </c>
      <c r="B368" s="10"/>
      <c r="C368" s="10"/>
      <c r="D368" s="10"/>
      <c r="E368" s="38" t="s">
        <v>852</v>
      </c>
      <c r="F368" s="10"/>
      <c r="G368" s="10"/>
      <c r="H368" s="10"/>
      <c r="I368" s="38" t="s">
        <v>852</v>
      </c>
      <c r="J368" s="10"/>
      <c r="K368" s="10"/>
      <c r="L368" s="10"/>
      <c r="M368" s="38" t="s">
        <v>852</v>
      </c>
      <c r="N368" s="10"/>
      <c r="O368" s="10"/>
      <c r="P368" s="10"/>
      <c r="Q368" s="38" t="s">
        <v>852</v>
      </c>
      <c r="R368" s="38" t="s">
        <v>852</v>
      </c>
    </row>
    <row r="369" spans="1:20" ht="15.75" customHeight="1" x14ac:dyDescent="0.3">
      <c r="A369" s="256" t="s">
        <v>754</v>
      </c>
      <c r="B369" s="10"/>
      <c r="C369" s="10"/>
      <c r="D369" s="10"/>
      <c r="E369" s="38">
        <f t="shared" ref="E369:E379" si="158">SUM(B369:D369)</f>
        <v>0</v>
      </c>
      <c r="F369" s="10"/>
      <c r="G369" s="10"/>
      <c r="H369" s="10"/>
      <c r="I369" s="38">
        <f t="shared" ref="I369:I379" si="159">SUM(F369:H369)</f>
        <v>0</v>
      </c>
      <c r="J369" s="10"/>
      <c r="K369" s="10"/>
      <c r="L369" s="10"/>
      <c r="M369" s="38">
        <f t="shared" ref="M369:M379" si="160">SUM(J369:L369)</f>
        <v>0</v>
      </c>
      <c r="N369" s="10"/>
      <c r="O369" s="10"/>
      <c r="P369" s="10"/>
      <c r="Q369" s="38">
        <f t="shared" ref="Q369:Q379" si="161">SUM(N369:P369)</f>
        <v>0</v>
      </c>
      <c r="R369" s="38">
        <f t="shared" ref="R369:R379" si="162">+E369+I369+M369+Q369</f>
        <v>0</v>
      </c>
    </row>
    <row r="370" spans="1:20" ht="15.75" customHeight="1" x14ac:dyDescent="0.3">
      <c r="A370" s="410" t="s">
        <v>2759</v>
      </c>
      <c r="B370" s="10"/>
      <c r="C370" s="10"/>
      <c r="D370" s="10"/>
      <c r="E370" s="38">
        <f>SUM(B370:D370)</f>
        <v>0</v>
      </c>
      <c r="F370" s="10"/>
      <c r="G370" s="10"/>
      <c r="H370" s="10"/>
      <c r="I370" s="38">
        <f>SUM(F370:H370)</f>
        <v>0</v>
      </c>
      <c r="J370" s="10"/>
      <c r="K370" s="10"/>
      <c r="L370" s="10"/>
      <c r="M370" s="38">
        <f>SUM(J370:L370)</f>
        <v>0</v>
      </c>
      <c r="N370" s="10"/>
      <c r="O370" s="10"/>
      <c r="P370" s="10"/>
      <c r="Q370" s="38">
        <f>SUM(N370:P370)</f>
        <v>0</v>
      </c>
      <c r="R370" s="38">
        <f>+E370+I370+M370+Q370</f>
        <v>0</v>
      </c>
      <c r="T370" t="s">
        <v>131</v>
      </c>
    </row>
    <row r="371" spans="1:20" ht="15.75" customHeight="1" x14ac:dyDescent="0.3">
      <c r="A371" s="311" t="s">
        <v>970</v>
      </c>
      <c r="B371" s="10"/>
      <c r="C371" s="10"/>
      <c r="D371" s="10"/>
      <c r="E371" s="38">
        <f>SUM(B371:D371)</f>
        <v>0</v>
      </c>
      <c r="F371" s="10"/>
      <c r="G371" s="10"/>
      <c r="H371" s="10"/>
      <c r="I371" s="38">
        <f>SUM(F371:H371)</f>
        <v>0</v>
      </c>
      <c r="J371" s="10"/>
      <c r="K371" s="10"/>
      <c r="L371" s="10"/>
      <c r="M371" s="38">
        <f>SUM(J371:L371)</f>
        <v>0</v>
      </c>
      <c r="N371" s="10"/>
      <c r="O371" s="10"/>
      <c r="P371" s="10"/>
      <c r="Q371" s="38">
        <f>SUM(N371:P371)</f>
        <v>0</v>
      </c>
      <c r="R371" s="38">
        <f>+E371+I371+M371+Q371</f>
        <v>0</v>
      </c>
      <c r="T371" t="s">
        <v>2176</v>
      </c>
    </row>
    <row r="372" spans="1:20" ht="15.75" customHeight="1" x14ac:dyDescent="0.3">
      <c r="A372" s="410" t="s">
        <v>2593</v>
      </c>
      <c r="B372" s="10"/>
      <c r="C372" s="10"/>
      <c r="D372" s="10"/>
      <c r="E372" s="38">
        <f t="shared" si="158"/>
        <v>0</v>
      </c>
      <c r="F372" s="10"/>
      <c r="G372" s="10"/>
      <c r="H372" s="10"/>
      <c r="I372" s="38">
        <f t="shared" si="159"/>
        <v>0</v>
      </c>
      <c r="J372" s="10"/>
      <c r="K372" s="10"/>
      <c r="L372" s="10"/>
      <c r="M372" s="38">
        <f t="shared" si="160"/>
        <v>0</v>
      </c>
      <c r="N372" s="10"/>
      <c r="O372" s="10"/>
      <c r="P372" s="10"/>
      <c r="Q372" s="38">
        <f t="shared" si="161"/>
        <v>0</v>
      </c>
      <c r="R372" s="38">
        <f>+E372+I372+M372+Q372</f>
        <v>0</v>
      </c>
      <c r="T372" t="s">
        <v>2175</v>
      </c>
    </row>
    <row r="373" spans="1:20" ht="15.75" customHeight="1" x14ac:dyDescent="0.3">
      <c r="A373" s="410" t="s">
        <v>2517</v>
      </c>
      <c r="B373" s="10"/>
      <c r="C373" s="10"/>
      <c r="D373" s="10"/>
      <c r="E373" s="38">
        <f>SUM(B373:D373)</f>
        <v>0</v>
      </c>
      <c r="F373" s="10"/>
      <c r="G373" s="10"/>
      <c r="H373" s="10"/>
      <c r="I373" s="38">
        <f>SUM(F373:H373)</f>
        <v>0</v>
      </c>
      <c r="J373" s="10"/>
      <c r="K373" s="10"/>
      <c r="L373" s="10"/>
      <c r="M373" s="38">
        <f>SUM(J373:L373)</f>
        <v>0</v>
      </c>
      <c r="N373" s="10"/>
      <c r="O373" s="10"/>
      <c r="P373" s="10"/>
      <c r="Q373" s="38">
        <f>SUM(N373:P373)</f>
        <v>0</v>
      </c>
      <c r="R373" s="38">
        <f>+E373+I373+M373+Q373</f>
        <v>0</v>
      </c>
      <c r="T373" t="s">
        <v>2229</v>
      </c>
    </row>
    <row r="374" spans="1:20" ht="15.75" customHeight="1" x14ac:dyDescent="0.3">
      <c r="A374" s="256" t="s">
        <v>1732</v>
      </c>
      <c r="B374" s="10"/>
      <c r="C374" s="10"/>
      <c r="D374" s="10"/>
      <c r="E374" s="38">
        <f t="shared" si="158"/>
        <v>0</v>
      </c>
      <c r="F374" s="10"/>
      <c r="G374" s="10"/>
      <c r="H374" s="10"/>
      <c r="I374" s="38">
        <f t="shared" si="159"/>
        <v>0</v>
      </c>
      <c r="J374" s="10"/>
      <c r="K374" s="10"/>
      <c r="L374" s="10"/>
      <c r="M374" s="38">
        <f t="shared" si="160"/>
        <v>0</v>
      </c>
      <c r="N374" s="10"/>
      <c r="O374" s="10"/>
      <c r="P374" s="10"/>
      <c r="Q374" s="38">
        <f t="shared" si="161"/>
        <v>0</v>
      </c>
      <c r="R374" s="38">
        <f t="shared" si="162"/>
        <v>0</v>
      </c>
    </row>
    <row r="375" spans="1:20" ht="15.75" customHeight="1" x14ac:dyDescent="0.3">
      <c r="A375" s="410" t="s">
        <v>2771</v>
      </c>
      <c r="B375" s="10"/>
      <c r="C375" s="10"/>
      <c r="D375" s="10"/>
      <c r="E375" s="38">
        <f t="shared" si="158"/>
        <v>0</v>
      </c>
      <c r="F375" s="10"/>
      <c r="G375" s="10"/>
      <c r="H375" s="10"/>
      <c r="I375" s="38">
        <f t="shared" si="159"/>
        <v>0</v>
      </c>
      <c r="J375" s="10"/>
      <c r="K375" s="10"/>
      <c r="L375" s="10"/>
      <c r="M375" s="38">
        <f t="shared" si="160"/>
        <v>0</v>
      </c>
      <c r="N375" s="10"/>
      <c r="O375" s="10"/>
      <c r="P375" s="10"/>
      <c r="Q375" s="38">
        <f t="shared" si="161"/>
        <v>0</v>
      </c>
      <c r="R375" s="38">
        <f t="shared" si="162"/>
        <v>0</v>
      </c>
      <c r="T375" t="s">
        <v>2230</v>
      </c>
    </row>
    <row r="376" spans="1:20" ht="15.75" customHeight="1" x14ac:dyDescent="0.3">
      <c r="A376" s="256" t="s">
        <v>1138</v>
      </c>
      <c r="B376" s="10"/>
      <c r="C376" s="10"/>
      <c r="D376" s="10"/>
      <c r="E376" s="38">
        <f t="shared" si="158"/>
        <v>0</v>
      </c>
      <c r="F376" s="10"/>
      <c r="G376" s="10"/>
      <c r="H376" s="10"/>
      <c r="I376" s="38">
        <f t="shared" si="159"/>
        <v>0</v>
      </c>
      <c r="J376" s="10"/>
      <c r="K376" s="10"/>
      <c r="L376" s="10"/>
      <c r="M376" s="38">
        <f t="shared" si="160"/>
        <v>0</v>
      </c>
      <c r="N376" s="10"/>
      <c r="O376" s="10"/>
      <c r="P376" s="10"/>
      <c r="Q376" s="38">
        <f t="shared" si="161"/>
        <v>0</v>
      </c>
      <c r="R376" s="38">
        <f t="shared" si="162"/>
        <v>0</v>
      </c>
      <c r="T376" t="s">
        <v>2230</v>
      </c>
    </row>
    <row r="377" spans="1:20" ht="15.75" customHeight="1" x14ac:dyDescent="0.3">
      <c r="A377" s="410" t="s">
        <v>2951</v>
      </c>
      <c r="B377" s="10"/>
      <c r="C377" s="10"/>
      <c r="D377" s="10"/>
      <c r="E377" s="38">
        <f t="shared" si="158"/>
        <v>0</v>
      </c>
      <c r="F377" s="10"/>
      <c r="G377" s="10"/>
      <c r="H377" s="10"/>
      <c r="I377" s="38">
        <f t="shared" si="159"/>
        <v>0</v>
      </c>
      <c r="J377" s="10"/>
      <c r="K377" s="10"/>
      <c r="L377" s="10"/>
      <c r="M377" s="38">
        <f t="shared" si="160"/>
        <v>0</v>
      </c>
      <c r="N377" s="10"/>
      <c r="O377" s="10"/>
      <c r="P377" s="10"/>
      <c r="Q377" s="38">
        <f t="shared" si="161"/>
        <v>0</v>
      </c>
      <c r="R377" s="38">
        <f t="shared" si="162"/>
        <v>0</v>
      </c>
      <c r="T377" t="s">
        <v>1193</v>
      </c>
    </row>
    <row r="378" spans="1:20" ht="15.75" customHeight="1" x14ac:dyDescent="0.3">
      <c r="A378" s="311" t="s">
        <v>644</v>
      </c>
      <c r="B378" s="10"/>
      <c r="C378" s="10"/>
      <c r="D378" s="10"/>
      <c r="E378" s="38">
        <f>SUM(B378:D378)</f>
        <v>0</v>
      </c>
      <c r="F378" s="10"/>
      <c r="G378" s="10"/>
      <c r="H378" s="10"/>
      <c r="I378" s="38">
        <f>SUM(F378:H378)</f>
        <v>0</v>
      </c>
      <c r="J378" s="10"/>
      <c r="K378" s="10"/>
      <c r="L378" s="10"/>
      <c r="M378" s="38">
        <f>SUM(J378:L378)</f>
        <v>0</v>
      </c>
      <c r="N378" s="10"/>
      <c r="O378" s="10"/>
      <c r="P378" s="10"/>
      <c r="Q378" s="38">
        <f>SUM(N378:P378)</f>
        <v>0</v>
      </c>
      <c r="R378" s="38">
        <f>+E378+I378+M378+Q378</f>
        <v>0</v>
      </c>
      <c r="T378" t="s">
        <v>1193</v>
      </c>
    </row>
    <row r="379" spans="1:20" ht="15.75" customHeight="1" x14ac:dyDescent="0.3">
      <c r="A379" s="256" t="s">
        <v>231</v>
      </c>
      <c r="B379" s="10"/>
      <c r="C379" s="10"/>
      <c r="D379" s="10"/>
      <c r="E379" s="38">
        <f t="shared" si="158"/>
        <v>0</v>
      </c>
      <c r="F379" s="10"/>
      <c r="G379" s="10"/>
      <c r="H379" s="10"/>
      <c r="I379" s="38">
        <f t="shared" si="159"/>
        <v>0</v>
      </c>
      <c r="J379" s="10"/>
      <c r="K379" s="10"/>
      <c r="L379" s="10"/>
      <c r="M379" s="38">
        <f t="shared" si="160"/>
        <v>0</v>
      </c>
      <c r="N379" s="10"/>
      <c r="O379" s="10"/>
      <c r="P379" s="10"/>
      <c r="Q379" s="38">
        <f t="shared" si="161"/>
        <v>0</v>
      </c>
      <c r="R379" s="38">
        <f t="shared" si="162"/>
        <v>0</v>
      </c>
      <c r="T379" t="s">
        <v>2179</v>
      </c>
    </row>
    <row r="380" spans="1:20" ht="15.75" customHeight="1" x14ac:dyDescent="0.3">
      <c r="A380" s="234" t="s">
        <v>3245</v>
      </c>
      <c r="B380" s="10"/>
      <c r="C380" s="10"/>
      <c r="D380" s="10"/>
      <c r="E380" s="38" t="s">
        <v>852</v>
      </c>
      <c r="F380" s="10"/>
      <c r="G380" s="10"/>
      <c r="H380" s="10"/>
      <c r="I380" s="38" t="s">
        <v>852</v>
      </c>
      <c r="J380" s="10"/>
      <c r="K380" s="10"/>
      <c r="L380" s="10"/>
      <c r="M380" s="38" t="s">
        <v>852</v>
      </c>
      <c r="N380" s="10"/>
      <c r="O380" s="10"/>
      <c r="P380" s="10"/>
      <c r="Q380" s="38" t="s">
        <v>852</v>
      </c>
      <c r="R380" s="38" t="s">
        <v>852</v>
      </c>
    </row>
    <row r="381" spans="1:20" ht="15.75" customHeight="1" x14ac:dyDescent="0.3">
      <c r="A381" s="410" t="s">
        <v>3256</v>
      </c>
      <c r="B381" s="10"/>
      <c r="C381" s="10"/>
      <c r="D381" s="10"/>
      <c r="E381" s="38">
        <f>SUM(B381:D381)</f>
        <v>0</v>
      </c>
      <c r="F381" s="10"/>
      <c r="G381" s="10"/>
      <c r="H381" s="10"/>
      <c r="I381" s="38">
        <f>SUM(F381:H381)</f>
        <v>0</v>
      </c>
      <c r="J381" s="10"/>
      <c r="K381" s="10"/>
      <c r="L381" s="10"/>
      <c r="M381" s="38">
        <f>SUM(J381:L381)</f>
        <v>0</v>
      </c>
      <c r="N381" s="10"/>
      <c r="O381" s="10"/>
      <c r="P381" s="10"/>
      <c r="Q381" s="38">
        <f>SUM(N381:P381)</f>
        <v>0</v>
      </c>
      <c r="R381" s="38">
        <f>+E381+I381+M381+Q381</f>
        <v>0</v>
      </c>
      <c r="S381" s="735" t="s">
        <v>3214</v>
      </c>
      <c r="T381" t="s">
        <v>2174</v>
      </c>
    </row>
    <row r="382" spans="1:20" ht="15.75" customHeight="1" x14ac:dyDescent="0.3">
      <c r="A382" s="410" t="s">
        <v>3257</v>
      </c>
      <c r="B382" s="10"/>
      <c r="C382" s="10"/>
      <c r="D382" s="10"/>
      <c r="E382" s="38">
        <f>SUM(B382:D382)</f>
        <v>0</v>
      </c>
      <c r="F382" s="10"/>
      <c r="G382" s="10">
        <v>2000</v>
      </c>
      <c r="H382" s="10">
        <v>2000</v>
      </c>
      <c r="I382" s="38">
        <f>SUM(F382:H382)</f>
        <v>4000</v>
      </c>
      <c r="J382" s="10">
        <v>2000</v>
      </c>
      <c r="K382" s="10"/>
      <c r="L382" s="10"/>
      <c r="M382" s="38">
        <f>SUM(J382:L382)</f>
        <v>2000</v>
      </c>
      <c r="N382" s="10"/>
      <c r="O382" s="10"/>
      <c r="P382" s="10"/>
      <c r="Q382" s="38">
        <f>SUM(N382:P382)</f>
        <v>0</v>
      </c>
      <c r="R382" s="38">
        <f>+E382+I382+M382+Q382</f>
        <v>6000</v>
      </c>
      <c r="S382" s="735" t="s">
        <v>3214</v>
      </c>
    </row>
    <row r="383" spans="1:20" ht="15.75" customHeight="1" x14ac:dyDescent="0.3">
      <c r="A383" s="410" t="s">
        <v>3258</v>
      </c>
      <c r="B383" s="10"/>
      <c r="C383" s="10"/>
      <c r="D383" s="10"/>
      <c r="E383" s="38">
        <f>SUM(B383:D383)</f>
        <v>0</v>
      </c>
      <c r="F383" s="10"/>
      <c r="G383" s="10">
        <v>1518</v>
      </c>
      <c r="H383" s="10">
        <f>2077+90</f>
        <v>2167</v>
      </c>
      <c r="I383" s="38">
        <f>SUM(F383:H383)</f>
        <v>3685</v>
      </c>
      <c r="J383" s="10"/>
      <c r="K383" s="10"/>
      <c r="L383" s="10"/>
      <c r="M383" s="38">
        <f>SUM(J383:L383)</f>
        <v>0</v>
      </c>
      <c r="N383" s="10"/>
      <c r="O383" s="10"/>
      <c r="P383" s="10"/>
      <c r="Q383" s="38">
        <f>SUM(N383:P383)</f>
        <v>0</v>
      </c>
      <c r="R383" s="38">
        <f>+E383+I383+M383+Q383</f>
        <v>3685</v>
      </c>
      <c r="S383" s="735" t="s">
        <v>3214</v>
      </c>
      <c r="T383" t="s">
        <v>2175</v>
      </c>
    </row>
    <row r="384" spans="1:20" ht="15.75" customHeight="1" x14ac:dyDescent="0.3">
      <c r="A384" s="410" t="s">
        <v>3259</v>
      </c>
      <c r="B384" s="10"/>
      <c r="C384" s="10"/>
      <c r="D384" s="10"/>
      <c r="E384" s="38">
        <f>SUM(B384:D384)</f>
        <v>0</v>
      </c>
      <c r="F384" s="10"/>
      <c r="G384" s="10"/>
      <c r="H384" s="10"/>
      <c r="I384" s="38">
        <f>SUM(F384:H384)</f>
        <v>0</v>
      </c>
      <c r="J384" s="10"/>
      <c r="K384" s="10"/>
      <c r="L384" s="10"/>
      <c r="M384" s="38">
        <f>SUM(J384:L384)</f>
        <v>0</v>
      </c>
      <c r="N384" s="10"/>
      <c r="O384" s="10"/>
      <c r="P384" s="10"/>
      <c r="Q384" s="38">
        <f>SUM(N384:P384)</f>
        <v>0</v>
      </c>
      <c r="R384" s="38">
        <f>+E384+I384+M384+Q384</f>
        <v>0</v>
      </c>
      <c r="S384" s="735" t="s">
        <v>3214</v>
      </c>
      <c r="T384" t="s">
        <v>1358</v>
      </c>
    </row>
    <row r="385" spans="1:39" ht="16.5" customHeight="1" thickBot="1" x14ac:dyDescent="0.35">
      <c r="A385" s="234" t="s">
        <v>2164</v>
      </c>
      <c r="B385" s="10"/>
      <c r="C385" s="10"/>
      <c r="D385" s="10"/>
      <c r="E385" s="38" t="s">
        <v>852</v>
      </c>
      <c r="F385" s="10"/>
      <c r="G385" s="10"/>
      <c r="H385" s="10"/>
      <c r="I385" s="38" t="s">
        <v>852</v>
      </c>
      <c r="J385" s="10"/>
      <c r="K385" s="10"/>
      <c r="L385" s="10"/>
      <c r="M385" s="38" t="s">
        <v>852</v>
      </c>
      <c r="N385" s="10"/>
      <c r="O385" s="10"/>
      <c r="P385" s="10"/>
      <c r="Q385" s="38" t="s">
        <v>852</v>
      </c>
      <c r="R385" s="40" t="s">
        <v>852</v>
      </c>
      <c r="V385" t="s">
        <v>3012</v>
      </c>
      <c r="W385" t="s">
        <v>3013</v>
      </c>
    </row>
    <row r="386" spans="1:39" ht="16.5" customHeight="1" thickBot="1" x14ac:dyDescent="0.35">
      <c r="A386" s="276" t="s">
        <v>1218</v>
      </c>
      <c r="B386" s="45">
        <f>SUM(B333:B385)</f>
        <v>2588</v>
      </c>
      <c r="C386" s="46">
        <f>SUM(C333:C385)</f>
        <v>809</v>
      </c>
      <c r="D386" s="46">
        <f>SUM(D333:D385)</f>
        <v>2683</v>
      </c>
      <c r="E386" s="37">
        <f>SUM(B386:D386)</f>
        <v>6080</v>
      </c>
      <c r="F386" s="46">
        <f>SUM(F333:F385)</f>
        <v>6384</v>
      </c>
      <c r="G386" s="46">
        <f>SUM(G333:G385)</f>
        <v>10699</v>
      </c>
      <c r="H386" s="46">
        <f>SUM(H333:H385)</f>
        <v>14012</v>
      </c>
      <c r="I386" s="37">
        <f>SUM(F386:H386)</f>
        <v>31095</v>
      </c>
      <c r="J386" s="46">
        <f>SUM(J333:J385)</f>
        <v>11241</v>
      </c>
      <c r="K386" s="46">
        <f>SUM(K333:K385)</f>
        <v>12987</v>
      </c>
      <c r="L386" s="46">
        <f>SUM(L333:L385)</f>
        <v>16591</v>
      </c>
      <c r="M386" s="37">
        <f>SUM(J386:L386)</f>
        <v>40819</v>
      </c>
      <c r="N386" s="46">
        <f>SUM(N333:N385)</f>
        <v>12046</v>
      </c>
      <c r="O386" s="46">
        <f>SUM(O333:O385)</f>
        <v>512</v>
      </c>
      <c r="P386" s="46">
        <f>SUM(P333:P385)</f>
        <v>11291</v>
      </c>
      <c r="Q386" s="37">
        <f>SUM(N386:P386)</f>
        <v>23849</v>
      </c>
      <c r="R386" s="37">
        <f>+E386+I386+M386+Q386</f>
        <v>101843</v>
      </c>
      <c r="T386" s="230"/>
      <c r="V386" t="s">
        <v>2174</v>
      </c>
      <c r="W386" s="695">
        <v>0.18</v>
      </c>
    </row>
    <row r="387" spans="1:39" ht="15.75" customHeight="1" x14ac:dyDescent="0.3">
      <c r="A387" s="234" t="s">
        <v>1172</v>
      </c>
      <c r="B387" s="172"/>
      <c r="C387" s="172"/>
      <c r="D387" s="172"/>
      <c r="E387" s="38" t="s">
        <v>852</v>
      </c>
      <c r="F387" s="172"/>
      <c r="G387" s="172"/>
      <c r="H387" s="172"/>
      <c r="I387" s="38" t="s">
        <v>852</v>
      </c>
      <c r="J387" s="172"/>
      <c r="K387" s="172"/>
      <c r="L387" s="172"/>
      <c r="M387" s="38" t="s">
        <v>852</v>
      </c>
      <c r="N387" s="172"/>
      <c r="O387" s="172"/>
      <c r="P387" s="172"/>
      <c r="Q387" s="38" t="s">
        <v>852</v>
      </c>
      <c r="R387" s="38" t="s">
        <v>852</v>
      </c>
      <c r="V387" t="s">
        <v>500</v>
      </c>
      <c r="W387" s="695">
        <v>0.52</v>
      </c>
    </row>
    <row r="388" spans="1:39" ht="15.75" customHeight="1" x14ac:dyDescent="0.3">
      <c r="A388" s="234" t="s">
        <v>1025</v>
      </c>
      <c r="B388" s="172"/>
      <c r="C388" s="172"/>
      <c r="D388" s="172"/>
      <c r="E388" s="38"/>
      <c r="F388" s="172"/>
      <c r="G388" s="172"/>
      <c r="H388" s="172"/>
      <c r="I388" s="38"/>
      <c r="J388" s="172"/>
      <c r="K388" s="172"/>
      <c r="L388" s="172"/>
      <c r="M388" s="38"/>
      <c r="N388" s="172"/>
      <c r="O388" s="172"/>
      <c r="P388" s="172"/>
      <c r="Q388" s="38"/>
      <c r="R388" s="38"/>
      <c r="V388" t="s">
        <v>505</v>
      </c>
      <c r="W388" s="695">
        <v>0.3</v>
      </c>
    </row>
    <row r="389" spans="1:39" ht="15.75" customHeight="1" x14ac:dyDescent="0.3">
      <c r="A389" s="234" t="s">
        <v>2409</v>
      </c>
      <c r="B389" s="172"/>
      <c r="C389" s="172"/>
      <c r="D389" s="172"/>
      <c r="E389" s="38" t="s">
        <v>852</v>
      </c>
      <c r="F389" s="172"/>
      <c r="G389" s="172"/>
      <c r="H389" s="172"/>
      <c r="I389" s="38" t="s">
        <v>852</v>
      </c>
      <c r="J389" s="172"/>
      <c r="K389" s="172"/>
      <c r="L389" s="172"/>
      <c r="M389" s="38" t="s">
        <v>852</v>
      </c>
      <c r="N389" s="172"/>
      <c r="O389" s="172"/>
      <c r="P389" s="172"/>
      <c r="Q389" s="38" t="s">
        <v>852</v>
      </c>
      <c r="R389" s="38" t="s">
        <v>852</v>
      </c>
      <c r="W389" s="691">
        <f>+SUM(W386:W388)</f>
        <v>1</v>
      </c>
    </row>
    <row r="390" spans="1:39" ht="15.75" customHeight="1" x14ac:dyDescent="0.3">
      <c r="A390" s="256" t="s">
        <v>2099</v>
      </c>
      <c r="B390" s="10">
        <v>3</v>
      </c>
      <c r="C390" s="10">
        <v>47</v>
      </c>
      <c r="D390" s="10">
        <v>427</v>
      </c>
      <c r="E390" s="38">
        <f>SUM(B390:D390)</f>
        <v>477</v>
      </c>
      <c r="F390" s="10">
        <v>2363</v>
      </c>
      <c r="G390" s="10">
        <v>999</v>
      </c>
      <c r="H390" s="10">
        <v>2323</v>
      </c>
      <c r="I390" s="38">
        <f>SUM(F390:H390)</f>
        <v>5685</v>
      </c>
      <c r="J390" s="10">
        <v>4148</v>
      </c>
      <c r="K390" s="10">
        <v>5275</v>
      </c>
      <c r="L390" s="10">
        <v>3230</v>
      </c>
      <c r="M390" s="38">
        <f>SUM(J390:L390)</f>
        <v>12653</v>
      </c>
      <c r="N390" s="10"/>
      <c r="O390" s="10"/>
      <c r="P390" s="10"/>
      <c r="Q390" s="38">
        <f>SUM(N390:P390)</f>
        <v>0</v>
      </c>
      <c r="R390" s="38">
        <f t="shared" ref="R390:R398" si="163">+E390+I390+M390+Q390</f>
        <v>18815</v>
      </c>
      <c r="T390" t="s">
        <v>2174</v>
      </c>
      <c r="V390" s="693" t="s">
        <v>2610</v>
      </c>
      <c r="W390" s="18" t="s">
        <v>2090</v>
      </c>
      <c r="X390" s="680" t="s">
        <v>2091</v>
      </c>
      <c r="Y390" s="680" t="s">
        <v>2234</v>
      </c>
      <c r="Z390" s="692" t="s">
        <v>1594</v>
      </c>
      <c r="AA390" s="680" t="s">
        <v>2235</v>
      </c>
      <c r="AB390" s="680" t="s">
        <v>2236</v>
      </c>
      <c r="AC390" s="680" t="s">
        <v>2237</v>
      </c>
      <c r="AD390" s="692" t="s">
        <v>1595</v>
      </c>
      <c r="AE390" s="680" t="s">
        <v>1504</v>
      </c>
      <c r="AF390" s="680" t="s">
        <v>1505</v>
      </c>
      <c r="AG390" s="680" t="s">
        <v>1506</v>
      </c>
      <c r="AH390" s="692" t="s">
        <v>1596</v>
      </c>
      <c r="AI390" s="680" t="s">
        <v>1507</v>
      </c>
      <c r="AJ390" s="680" t="s">
        <v>1508</v>
      </c>
      <c r="AK390" s="680" t="s">
        <v>1509</v>
      </c>
      <c r="AL390" s="692" t="s">
        <v>1597</v>
      </c>
      <c r="AM390" s="694" t="s">
        <v>1510</v>
      </c>
    </row>
    <row r="391" spans="1:39" ht="15.75" customHeight="1" x14ac:dyDescent="0.3">
      <c r="A391" s="256" t="s">
        <v>357</v>
      </c>
      <c r="B391" s="10"/>
      <c r="C391" s="10"/>
      <c r="D391" s="10"/>
      <c r="E391" s="38">
        <f>SUM(B391:D391)</f>
        <v>0</v>
      </c>
      <c r="F391" s="10">
        <v>18</v>
      </c>
      <c r="G391" s="10">
        <v>22</v>
      </c>
      <c r="H391" s="10"/>
      <c r="I391" s="38">
        <f>SUM(F391:H391)</f>
        <v>40</v>
      </c>
      <c r="J391" s="10">
        <v>57</v>
      </c>
      <c r="K391" s="10">
        <v>9</v>
      </c>
      <c r="L391" s="10">
        <v>13</v>
      </c>
      <c r="M391" s="38">
        <f>SUM(J391:L391)</f>
        <v>79</v>
      </c>
      <c r="N391" s="10"/>
      <c r="O391" s="10"/>
      <c r="P391" s="10"/>
      <c r="Q391" s="38">
        <f>SUM(N391:P391)</f>
        <v>0</v>
      </c>
      <c r="R391" s="38">
        <f t="shared" si="163"/>
        <v>119</v>
      </c>
      <c r="T391" t="s">
        <v>2175</v>
      </c>
      <c r="V391" s="579" t="s">
        <v>3014</v>
      </c>
      <c r="W391" s="696">
        <v>1500</v>
      </c>
      <c r="X391" s="696">
        <v>1500</v>
      </c>
      <c r="Y391" s="696">
        <v>6800</v>
      </c>
      <c r="Z391">
        <f>+SUM(W391:Y391)</f>
        <v>9800</v>
      </c>
      <c r="AA391" s="696">
        <f>8000+1500</f>
        <v>9500</v>
      </c>
      <c r="AB391" s="696">
        <f>10000+2000</f>
        <v>12000</v>
      </c>
      <c r="AC391" s="696">
        <f>12000+1500</f>
        <v>13500</v>
      </c>
      <c r="AD391">
        <f>+SUM(AA391:AC391)</f>
        <v>35000</v>
      </c>
      <c r="AE391" s="696">
        <v>25500</v>
      </c>
      <c r="AF391" s="696">
        <v>19000</v>
      </c>
      <c r="AG391" s="696">
        <v>4000</v>
      </c>
      <c r="AH391">
        <f>+SUM(AE391:AG391)</f>
        <v>48500</v>
      </c>
      <c r="AI391" s="696">
        <v>1500</v>
      </c>
      <c r="AJ391" s="696">
        <v>1000</v>
      </c>
      <c r="AK391" s="696">
        <v>1069</v>
      </c>
      <c r="AL391">
        <f>+SUM(AI391:AK391)</f>
        <v>3569</v>
      </c>
      <c r="AM391" s="561">
        <f>+Z391+AD391+AH391+AL391</f>
        <v>96869</v>
      </c>
    </row>
    <row r="392" spans="1:39" ht="15.75" customHeight="1" x14ac:dyDescent="0.3">
      <c r="A392" s="311" t="s">
        <v>909</v>
      </c>
      <c r="B392" s="10">
        <v>201</v>
      </c>
      <c r="C392" s="10">
        <v>175</v>
      </c>
      <c r="D392" s="10">
        <v>2106</v>
      </c>
      <c r="E392" s="38">
        <f t="shared" ref="E392:E393" si="164">SUM(B392:D392)</f>
        <v>2482</v>
      </c>
      <c r="F392" s="10">
        <v>4270</v>
      </c>
      <c r="G392" s="10">
        <v>1842</v>
      </c>
      <c r="H392" s="10">
        <v>7638</v>
      </c>
      <c r="I392" s="38">
        <f t="shared" ref="I392:I397" si="165">SUM(F392:H392)</f>
        <v>13750</v>
      </c>
      <c r="J392" s="10">
        <v>10019</v>
      </c>
      <c r="K392" s="10">
        <v>5223</v>
      </c>
      <c r="L392" s="10"/>
      <c r="M392" s="38">
        <f t="shared" ref="M392:M397" si="166">SUM(J392:L392)</f>
        <v>15242</v>
      </c>
      <c r="N392" s="10"/>
      <c r="O392" s="10"/>
      <c r="P392" s="10"/>
      <c r="Q392" s="38">
        <f t="shared" ref="Q392:Q398" si="167">SUM(N392:P392)</f>
        <v>0</v>
      </c>
      <c r="R392" s="38">
        <f t="shared" si="163"/>
        <v>31474</v>
      </c>
      <c r="T392" t="s">
        <v>2776</v>
      </c>
      <c r="V392" s="579" t="s">
        <v>2174</v>
      </c>
      <c r="W392">
        <f>+$W$386*W391</f>
        <v>270</v>
      </c>
      <c r="X392">
        <f>+$W$386*X391</f>
        <v>270</v>
      </c>
      <c r="Y392">
        <f>+$W$386*Y391</f>
        <v>1224</v>
      </c>
      <c r="Z392">
        <f>+SUM(W392:Y392)</f>
        <v>1764</v>
      </c>
      <c r="AA392">
        <f>+$W$386*AA391</f>
        <v>1710</v>
      </c>
      <c r="AB392">
        <f>+$W$386*AB391</f>
        <v>2160</v>
      </c>
      <c r="AC392">
        <f>+$W$386*AC391</f>
        <v>2430</v>
      </c>
      <c r="AD392">
        <f>+SUM(AA392:AC392)</f>
        <v>6300</v>
      </c>
      <c r="AE392">
        <f>+$W$386*AE391</f>
        <v>4590</v>
      </c>
      <c r="AF392">
        <f>+$W$386*AF391</f>
        <v>3420</v>
      </c>
      <c r="AG392">
        <f>+$W$386*AG391</f>
        <v>720</v>
      </c>
      <c r="AH392">
        <f>+SUM(AE392:AG392)</f>
        <v>8730</v>
      </c>
      <c r="AI392">
        <f>+$W$386*AI391</f>
        <v>270</v>
      </c>
      <c r="AJ392">
        <f>+$W$386*AJ391</f>
        <v>180</v>
      </c>
      <c r="AK392">
        <f>+$W$386*AK391</f>
        <v>192.42</v>
      </c>
      <c r="AL392">
        <f>+SUM(AI392:AK392)</f>
        <v>642.41999999999996</v>
      </c>
      <c r="AM392" s="561">
        <f>+Z392+AD392+AH392+AL392</f>
        <v>17436.419999999998</v>
      </c>
    </row>
    <row r="393" spans="1:39" ht="15.75" customHeight="1" x14ac:dyDescent="0.3">
      <c r="A393" s="410" t="s">
        <v>2539</v>
      </c>
      <c r="B393" s="10">
        <v>1078</v>
      </c>
      <c r="C393" s="10">
        <v>1291</v>
      </c>
      <c r="D393" s="10">
        <v>1316</v>
      </c>
      <c r="E393" s="38">
        <f t="shared" si="164"/>
        <v>3685</v>
      </c>
      <c r="F393" s="10">
        <v>15102</v>
      </c>
      <c r="G393" s="10">
        <v>14476</v>
      </c>
      <c r="H393" s="10">
        <v>22253</v>
      </c>
      <c r="I393" s="38">
        <f t="shared" ref="I393" si="168">SUM(F393:H393)</f>
        <v>51831</v>
      </c>
      <c r="J393" s="10">
        <v>17587</v>
      </c>
      <c r="K393" s="10">
        <v>12033</v>
      </c>
      <c r="L393" s="10">
        <v>3449</v>
      </c>
      <c r="M393" s="38">
        <f t="shared" ref="M393" si="169">SUM(J393:L393)</f>
        <v>33069</v>
      </c>
      <c r="N393" s="10">
        <v>10899</v>
      </c>
      <c r="O393" s="10">
        <v>370</v>
      </c>
      <c r="P393" s="10">
        <v>356</v>
      </c>
      <c r="Q393" s="38">
        <f t="shared" si="167"/>
        <v>11625</v>
      </c>
      <c r="R393" s="38">
        <f t="shared" si="163"/>
        <v>100210</v>
      </c>
      <c r="T393" t="s">
        <v>2174</v>
      </c>
      <c r="V393" s="579" t="s">
        <v>500</v>
      </c>
      <c r="W393">
        <f>+$W$387*W391</f>
        <v>780</v>
      </c>
      <c r="X393">
        <f>+$W$387*X391</f>
        <v>780</v>
      </c>
      <c r="Y393">
        <f>+$W$387*Y391</f>
        <v>3536</v>
      </c>
      <c r="Z393">
        <f>+SUM(W393:Y393)</f>
        <v>5096</v>
      </c>
      <c r="AA393">
        <f>+$W$387*AA391</f>
        <v>4940</v>
      </c>
      <c r="AB393">
        <f>+$W$387*AB391</f>
        <v>6240</v>
      </c>
      <c r="AC393">
        <f>+$W$387*AC391</f>
        <v>7020</v>
      </c>
      <c r="AD393">
        <f>+SUM(AA393:AC393)</f>
        <v>18200</v>
      </c>
      <c r="AE393">
        <f>+$W$387*AE391</f>
        <v>13260</v>
      </c>
      <c r="AF393">
        <f>+$W$387*AF391</f>
        <v>9880</v>
      </c>
      <c r="AG393">
        <f>+$W$387*AG391</f>
        <v>2080</v>
      </c>
      <c r="AH393">
        <f>+SUM(AE393:AG393)</f>
        <v>25220</v>
      </c>
      <c r="AI393">
        <f>+$W$387*AI391</f>
        <v>780</v>
      </c>
      <c r="AJ393">
        <f>+$W$387*AJ391</f>
        <v>520</v>
      </c>
      <c r="AK393">
        <f>+$W$387*AK391</f>
        <v>555.88</v>
      </c>
      <c r="AL393">
        <f>+SUM(AI393:AK393)</f>
        <v>1855.88</v>
      </c>
      <c r="AM393" s="561">
        <f>+Z393+AD393+AH393+AL393</f>
        <v>50371.88</v>
      </c>
    </row>
    <row r="394" spans="1:39" ht="15.75" customHeight="1" x14ac:dyDescent="0.3">
      <c r="A394" s="410" t="s">
        <v>2728</v>
      </c>
      <c r="B394" s="10"/>
      <c r="C394" s="10"/>
      <c r="D394" s="10"/>
      <c r="E394" s="38">
        <f t="shared" ref="E394:E397" si="170">SUM(B394:D394)</f>
        <v>0</v>
      </c>
      <c r="F394" s="10"/>
      <c r="G394" s="10"/>
      <c r="H394" s="10"/>
      <c r="I394" s="38">
        <f t="shared" si="165"/>
        <v>0</v>
      </c>
      <c r="J394" s="10"/>
      <c r="K394" s="10"/>
      <c r="L394" s="10"/>
      <c r="M394" s="38">
        <f t="shared" si="166"/>
        <v>0</v>
      </c>
      <c r="N394" s="10"/>
      <c r="O394" s="10"/>
      <c r="P394" s="10"/>
      <c r="Q394" s="38">
        <f t="shared" si="167"/>
        <v>0</v>
      </c>
      <c r="R394" s="38">
        <f t="shared" si="163"/>
        <v>0</v>
      </c>
      <c r="T394" t="s">
        <v>2777</v>
      </c>
      <c r="V394" s="579" t="s">
        <v>505</v>
      </c>
      <c r="W394">
        <f>+$W$388*W391</f>
        <v>450</v>
      </c>
      <c r="X394">
        <f>+$W$388*X391</f>
        <v>450</v>
      </c>
      <c r="Y394">
        <f>+$W$388*Y391</f>
        <v>2040</v>
      </c>
      <c r="Z394">
        <f>+SUM(W394:Y394)</f>
        <v>2940</v>
      </c>
      <c r="AA394">
        <f>+$W$388*AA391</f>
        <v>2850</v>
      </c>
      <c r="AB394">
        <f>+$W$388*AB391</f>
        <v>3600</v>
      </c>
      <c r="AC394">
        <f>+$W$388*AC391</f>
        <v>4050</v>
      </c>
      <c r="AD394">
        <f>+SUM(AA394:AC394)</f>
        <v>10500</v>
      </c>
      <c r="AE394">
        <f>+$W$388*AE391</f>
        <v>7650</v>
      </c>
      <c r="AF394">
        <f>+$W$388*AF391</f>
        <v>5700</v>
      </c>
      <c r="AG394">
        <f>+$W$388*AG391</f>
        <v>1200</v>
      </c>
      <c r="AH394">
        <f>+SUM(AE394:AG394)</f>
        <v>14550</v>
      </c>
      <c r="AI394">
        <f>+$W$388*AI391</f>
        <v>450</v>
      </c>
      <c r="AJ394">
        <f>+$W$388*AJ391</f>
        <v>300</v>
      </c>
      <c r="AK394">
        <f>+$W$388*AK391</f>
        <v>320.7</v>
      </c>
      <c r="AL394">
        <f>+$W$388*AL391</f>
        <v>1070.7</v>
      </c>
      <c r="AM394" s="561">
        <f>+Z394+AD394+AH394+AL394</f>
        <v>29060.7</v>
      </c>
    </row>
    <row r="395" spans="1:39" ht="15.75" customHeight="1" thickBot="1" x14ac:dyDescent="0.35">
      <c r="A395" s="410" t="s">
        <v>2814</v>
      </c>
      <c r="B395" s="10"/>
      <c r="C395" s="10">
        <v>12</v>
      </c>
      <c r="D395" s="10">
        <v>454</v>
      </c>
      <c r="E395" s="38">
        <f t="shared" ref="E395" si="171">SUM(B395:D395)</f>
        <v>466</v>
      </c>
      <c r="F395" s="10">
        <v>1845</v>
      </c>
      <c r="G395" s="10">
        <v>56</v>
      </c>
      <c r="H395" s="10"/>
      <c r="I395" s="38">
        <f t="shared" ref="I395" si="172">SUM(F395:H395)</f>
        <v>1901</v>
      </c>
      <c r="J395" s="10">
        <v>48</v>
      </c>
      <c r="K395" s="10"/>
      <c r="L395" s="10"/>
      <c r="M395" s="38">
        <f t="shared" ref="M395" si="173">SUM(J395:L395)</f>
        <v>48</v>
      </c>
      <c r="N395" s="10"/>
      <c r="O395" s="10"/>
      <c r="P395" s="10"/>
      <c r="Q395" s="38">
        <f t="shared" si="167"/>
        <v>0</v>
      </c>
      <c r="R395" s="38">
        <f t="shared" si="163"/>
        <v>2415</v>
      </c>
      <c r="T395" t="s">
        <v>2175</v>
      </c>
      <c r="V395" s="580"/>
      <c r="W395" s="581"/>
      <c r="X395" s="581"/>
      <c r="Y395" s="581"/>
      <c r="Z395" s="581"/>
      <c r="AA395" s="581"/>
      <c r="AB395" s="581"/>
      <c r="AC395" s="581"/>
      <c r="AD395" s="581"/>
      <c r="AE395" s="581"/>
      <c r="AF395" s="581"/>
      <c r="AG395" s="581"/>
      <c r="AH395" s="581"/>
      <c r="AI395" s="581"/>
      <c r="AJ395" s="581"/>
      <c r="AK395" s="581"/>
      <c r="AL395" s="581"/>
      <c r="AM395" s="565"/>
    </row>
    <row r="396" spans="1:39" s="707" customFormat="1" ht="15.75" customHeight="1" x14ac:dyDescent="0.3">
      <c r="A396" s="728" t="s">
        <v>3206</v>
      </c>
      <c r="B396" s="542"/>
      <c r="C396" s="542"/>
      <c r="D396" s="542"/>
      <c r="E396" s="543">
        <f t="shared" si="170"/>
        <v>0</v>
      </c>
      <c r="F396" s="542"/>
      <c r="G396" s="542"/>
      <c r="H396" s="542"/>
      <c r="I396" s="543">
        <f t="shared" si="165"/>
        <v>0</v>
      </c>
      <c r="J396" s="542"/>
      <c r="K396" s="542"/>
      <c r="L396" s="542"/>
      <c r="M396" s="543">
        <f t="shared" si="166"/>
        <v>0</v>
      </c>
      <c r="N396" s="542">
        <v>-5000</v>
      </c>
      <c r="O396" s="542"/>
      <c r="P396" s="542">
        <v>5000</v>
      </c>
      <c r="Q396" s="543">
        <f t="shared" ref="Q396" si="174">SUM(N396:P396)</f>
        <v>0</v>
      </c>
      <c r="R396" s="543">
        <f t="shared" si="163"/>
        <v>0</v>
      </c>
    </row>
    <row r="397" spans="1:39" ht="15.75" customHeight="1" x14ac:dyDescent="0.3">
      <c r="A397" s="410" t="s">
        <v>2779</v>
      </c>
      <c r="B397" s="10"/>
      <c r="C397" s="10"/>
      <c r="D397" s="10"/>
      <c r="E397" s="38">
        <f t="shared" si="170"/>
        <v>0</v>
      </c>
      <c r="F397" s="10"/>
      <c r="G397" s="10"/>
      <c r="H397" s="10"/>
      <c r="I397" s="38">
        <f t="shared" si="165"/>
        <v>0</v>
      </c>
      <c r="J397" s="10"/>
      <c r="K397" s="10"/>
      <c r="L397" s="10"/>
      <c r="M397" s="38">
        <f t="shared" si="166"/>
        <v>0</v>
      </c>
      <c r="N397" s="10">
        <v>1</v>
      </c>
      <c r="O397" s="10"/>
      <c r="P397" s="10"/>
      <c r="Q397" s="38">
        <f t="shared" si="167"/>
        <v>1</v>
      </c>
      <c r="R397" s="38">
        <f t="shared" si="163"/>
        <v>1</v>
      </c>
      <c r="T397" t="s">
        <v>2178</v>
      </c>
    </row>
    <row r="398" spans="1:39" ht="15.75" customHeight="1" x14ac:dyDescent="0.3">
      <c r="A398" s="256" t="s">
        <v>1513</v>
      </c>
      <c r="B398" s="10"/>
      <c r="C398" s="10">
        <v>53</v>
      </c>
      <c r="D398" s="10"/>
      <c r="E398" s="38">
        <f t="shared" ref="E398" si="175">SUM(B398:D398)</f>
        <v>53</v>
      </c>
      <c r="F398" s="10">
        <v>97</v>
      </c>
      <c r="G398" s="10"/>
      <c r="H398" s="10"/>
      <c r="I398" s="38">
        <f t="shared" ref="I398" si="176">SUM(F398:H398)</f>
        <v>97</v>
      </c>
      <c r="J398" s="10">
        <v>256</v>
      </c>
      <c r="K398" s="10">
        <v>288</v>
      </c>
      <c r="L398" s="10">
        <f>60+1293+154</f>
        <v>1507</v>
      </c>
      <c r="M398" s="38">
        <f t="shared" ref="M398" si="177">SUM(J398:L398)</f>
        <v>2051</v>
      </c>
      <c r="N398" s="10">
        <v>799</v>
      </c>
      <c r="O398" s="10"/>
      <c r="P398" s="10"/>
      <c r="Q398" s="38">
        <f t="shared" si="167"/>
        <v>799</v>
      </c>
      <c r="R398" s="38">
        <f t="shared" si="163"/>
        <v>3000</v>
      </c>
    </row>
    <row r="399" spans="1:39" ht="15.75" customHeight="1" thickBot="1" x14ac:dyDescent="0.35">
      <c r="A399" s="234" t="s">
        <v>2165</v>
      </c>
      <c r="B399" s="10"/>
      <c r="C399" s="10"/>
      <c r="D399" s="10"/>
      <c r="E399" s="38" t="s">
        <v>852</v>
      </c>
      <c r="F399" s="10"/>
      <c r="G399" s="10"/>
      <c r="H399" s="10"/>
      <c r="I399" s="38" t="s">
        <v>852</v>
      </c>
      <c r="J399" s="10"/>
      <c r="K399" s="10"/>
      <c r="L399" s="10"/>
      <c r="M399" s="38" t="s">
        <v>852</v>
      </c>
      <c r="N399" s="10"/>
      <c r="O399" s="10"/>
      <c r="P399" s="10"/>
      <c r="Q399" s="38" t="s">
        <v>852</v>
      </c>
      <c r="R399" s="38" t="s">
        <v>852</v>
      </c>
    </row>
    <row r="400" spans="1:39" ht="16.5" customHeight="1" thickBot="1" x14ac:dyDescent="0.35">
      <c r="A400" s="43" t="s">
        <v>1219</v>
      </c>
      <c r="B400" s="45">
        <f>SUM(B387:B399)</f>
        <v>1282</v>
      </c>
      <c r="C400" s="46">
        <f>SUM(C387:C399)</f>
        <v>1578</v>
      </c>
      <c r="D400" s="46">
        <f>SUM(D387:D399)</f>
        <v>4303</v>
      </c>
      <c r="E400" s="37">
        <f>SUM(B400:D400)</f>
        <v>7163</v>
      </c>
      <c r="F400" s="46">
        <f>SUM(F387:F399)</f>
        <v>23695</v>
      </c>
      <c r="G400" s="46">
        <f>SUM(G387:G399)</f>
        <v>17395</v>
      </c>
      <c r="H400" s="46">
        <f>SUM(H387:H399)</f>
        <v>32214</v>
      </c>
      <c r="I400" s="37">
        <f>SUM(F400:H400)</f>
        <v>73304</v>
      </c>
      <c r="J400" s="46">
        <f>SUM(J387:J399)</f>
        <v>32115</v>
      </c>
      <c r="K400" s="46">
        <f>SUM(K387:K399)</f>
        <v>22828</v>
      </c>
      <c r="L400" s="46">
        <f>SUM(L387:L399)</f>
        <v>8199</v>
      </c>
      <c r="M400" s="37">
        <f>SUM(J400:L400)</f>
        <v>63142</v>
      </c>
      <c r="N400" s="46">
        <f>SUM(N387:N399)</f>
        <v>6699</v>
      </c>
      <c r="O400" s="46">
        <f>SUM(O387:O399)</f>
        <v>370</v>
      </c>
      <c r="P400" s="46">
        <f>SUM(P387:P399)</f>
        <v>5356</v>
      </c>
      <c r="Q400" s="37">
        <f>SUM(N400:P400)</f>
        <v>12425</v>
      </c>
      <c r="R400" s="37">
        <f>+E400+I400+M400+Q400</f>
        <v>156034</v>
      </c>
    </row>
    <row r="401" spans="1:20" ht="15.75" customHeight="1" x14ac:dyDescent="0.3">
      <c r="A401" s="234" t="s">
        <v>2166</v>
      </c>
      <c r="B401" s="10"/>
      <c r="C401" s="10"/>
      <c r="D401" s="10"/>
      <c r="E401" s="38" t="s">
        <v>852</v>
      </c>
      <c r="F401" s="10"/>
      <c r="G401" s="10"/>
      <c r="H401" s="10"/>
      <c r="I401" s="38" t="s">
        <v>852</v>
      </c>
      <c r="J401" s="10"/>
      <c r="K401" s="10"/>
      <c r="L401" s="10"/>
      <c r="M401" s="38" t="s">
        <v>852</v>
      </c>
      <c r="N401" s="10"/>
      <c r="O401" s="10"/>
      <c r="P401" s="10"/>
      <c r="Q401" s="38" t="s">
        <v>852</v>
      </c>
      <c r="R401" s="38" t="s">
        <v>852</v>
      </c>
    </row>
    <row r="402" spans="1:20" ht="15.75" customHeight="1" x14ac:dyDescent="0.3">
      <c r="A402" s="234" t="s">
        <v>1245</v>
      </c>
      <c r="B402" s="10"/>
      <c r="C402" s="10"/>
      <c r="D402" s="10"/>
      <c r="E402" s="38" t="s">
        <v>852</v>
      </c>
      <c r="F402" s="10"/>
      <c r="G402" s="10"/>
      <c r="H402" s="10"/>
      <c r="I402" s="38" t="s">
        <v>852</v>
      </c>
      <c r="J402" s="10"/>
      <c r="K402" s="10"/>
      <c r="L402" s="10"/>
      <c r="M402" s="38" t="s">
        <v>852</v>
      </c>
      <c r="N402" s="10"/>
      <c r="O402" s="10"/>
      <c r="P402" s="10"/>
      <c r="Q402" s="38" t="s">
        <v>852</v>
      </c>
      <c r="R402" s="38" t="s">
        <v>852</v>
      </c>
    </row>
    <row r="403" spans="1:20" ht="15.75" customHeight="1" x14ac:dyDescent="0.3">
      <c r="A403" s="256" t="s">
        <v>727</v>
      </c>
      <c r="B403" s="10">
        <v>431</v>
      </c>
      <c r="C403" s="10">
        <v>2533</v>
      </c>
      <c r="D403" s="10">
        <v>5731</v>
      </c>
      <c r="E403" s="38">
        <f>SUM(B403:D403)</f>
        <v>8695</v>
      </c>
      <c r="F403" s="10">
        <v>8808</v>
      </c>
      <c r="G403" s="10">
        <v>10272</v>
      </c>
      <c r="H403" s="10">
        <v>11718</v>
      </c>
      <c r="I403" s="38">
        <f>SUM(F403:H403)</f>
        <v>30798</v>
      </c>
      <c r="J403" s="10">
        <v>11648</v>
      </c>
      <c r="K403" s="10">
        <v>9985</v>
      </c>
      <c r="L403" s="10">
        <v>5320</v>
      </c>
      <c r="M403" s="38">
        <f>SUM(J403:L403)</f>
        <v>26953</v>
      </c>
      <c r="N403" s="10">
        <v>3975</v>
      </c>
      <c r="O403" s="10">
        <v>2221</v>
      </c>
      <c r="P403" s="10">
        <v>512</v>
      </c>
      <c r="Q403" s="38">
        <f>SUM(N403:P403)</f>
        <v>6708</v>
      </c>
      <c r="R403" s="38">
        <f>+E403+I403+M403+Q403</f>
        <v>73154</v>
      </c>
      <c r="T403" t="s">
        <v>2174</v>
      </c>
    </row>
    <row r="404" spans="1:20" ht="15.75" customHeight="1" x14ac:dyDescent="0.3">
      <c r="A404" s="410" t="s">
        <v>2618</v>
      </c>
      <c r="B404" s="10">
        <f>41+127</f>
        <v>168</v>
      </c>
      <c r="C404" s="10">
        <f>895+103</f>
        <v>998</v>
      </c>
      <c r="D404" s="10">
        <f>623+355</f>
        <v>978</v>
      </c>
      <c r="E404" s="38">
        <f>SUM(B404:D404)</f>
        <v>2144</v>
      </c>
      <c r="F404" s="10">
        <f>1860+1303</f>
        <v>3163</v>
      </c>
      <c r="G404" s="10">
        <f>1570+2395</f>
        <v>3965</v>
      </c>
      <c r="H404" s="10">
        <f>2044+258</f>
        <v>2302</v>
      </c>
      <c r="I404" s="38">
        <f>SUM(F404:H404)</f>
        <v>9430</v>
      </c>
      <c r="J404" s="10">
        <f>2602+183</f>
        <v>2785</v>
      </c>
      <c r="K404" s="10">
        <f>2592+183</f>
        <v>2775</v>
      </c>
      <c r="L404" s="10">
        <f>2174+386</f>
        <v>2560</v>
      </c>
      <c r="M404" s="38">
        <f>SUM(J404:L404)</f>
        <v>8120</v>
      </c>
      <c r="N404" s="10">
        <v>5495</v>
      </c>
      <c r="O404" s="10"/>
      <c r="P404" s="10">
        <v>4609</v>
      </c>
      <c r="Q404" s="38">
        <f>SUM(N404:P404)</f>
        <v>10104</v>
      </c>
      <c r="R404" s="38">
        <f>+E404+I404+M404+Q404</f>
        <v>29798</v>
      </c>
      <c r="T404" t="s">
        <v>2176</v>
      </c>
    </row>
    <row r="405" spans="1:20" ht="15.75" customHeight="1" x14ac:dyDescent="0.3">
      <c r="A405" s="234" t="s">
        <v>1711</v>
      </c>
      <c r="B405" s="10"/>
      <c r="C405" s="10"/>
      <c r="D405" s="10"/>
      <c r="E405" s="38" t="s">
        <v>852</v>
      </c>
      <c r="F405" s="10"/>
      <c r="G405" s="10"/>
      <c r="H405" s="10"/>
      <c r="I405" s="38" t="s">
        <v>852</v>
      </c>
      <c r="J405" s="10"/>
      <c r="K405" s="10"/>
      <c r="L405" s="10"/>
      <c r="M405" s="38" t="s">
        <v>852</v>
      </c>
      <c r="N405" s="10"/>
      <c r="O405" s="10"/>
      <c r="P405" s="10"/>
      <c r="Q405" s="38" t="s">
        <v>852</v>
      </c>
      <c r="R405" s="38" t="s">
        <v>852</v>
      </c>
    </row>
    <row r="406" spans="1:20" ht="15.75" customHeight="1" x14ac:dyDescent="0.3">
      <c r="A406" s="410" t="s">
        <v>3151</v>
      </c>
      <c r="B406" s="10"/>
      <c r="C406" s="10"/>
      <c r="D406" s="10"/>
      <c r="E406" s="38">
        <f>SUM(B406:D406)</f>
        <v>0</v>
      </c>
      <c r="F406" s="10"/>
      <c r="G406" s="10"/>
      <c r="H406" s="10"/>
      <c r="I406" s="38">
        <f>SUM(F406:H406)</f>
        <v>0</v>
      </c>
      <c r="J406" s="10">
        <v>2056</v>
      </c>
      <c r="K406" s="10">
        <v>3944</v>
      </c>
      <c r="L406" s="10"/>
      <c r="M406" s="38">
        <f>SUM(J406:L406)</f>
        <v>6000</v>
      </c>
      <c r="N406" s="10"/>
      <c r="O406" s="10"/>
      <c r="P406" s="10"/>
      <c r="Q406" s="38">
        <f>SUM(N406:P406)</f>
        <v>0</v>
      </c>
      <c r="R406" s="38">
        <f t="shared" ref="R406:R457" si="178">+E406+I406+M406+Q406</f>
        <v>6000</v>
      </c>
    </row>
    <row r="407" spans="1:20" ht="15.75" customHeight="1" x14ac:dyDescent="0.3">
      <c r="A407" s="410" t="s">
        <v>3329</v>
      </c>
      <c r="B407" s="10"/>
      <c r="C407" s="10"/>
      <c r="D407" s="10"/>
      <c r="E407" s="38">
        <f>SUM(B407:D407)</f>
        <v>0</v>
      </c>
      <c r="F407" s="10"/>
      <c r="G407" s="10"/>
      <c r="H407" s="10"/>
      <c r="I407" s="38">
        <f>SUM(F407:H407)</f>
        <v>0</v>
      </c>
      <c r="J407" s="10">
        <v>1613</v>
      </c>
      <c r="K407" s="10"/>
      <c r="L407" s="10"/>
      <c r="M407" s="38">
        <f>SUM(J407:L407)</f>
        <v>1613</v>
      </c>
      <c r="N407" s="10"/>
      <c r="O407" s="10"/>
      <c r="P407" s="10"/>
      <c r="Q407" s="38">
        <f>SUM(N407:P407)</f>
        <v>0</v>
      </c>
      <c r="R407" s="38">
        <f t="shared" ref="R407" si="179">+E407+I407+M407+Q407</f>
        <v>1613</v>
      </c>
    </row>
    <row r="408" spans="1:20" ht="15.75" customHeight="1" x14ac:dyDescent="0.3">
      <c r="A408" s="410" t="s">
        <v>3363</v>
      </c>
      <c r="B408" s="10"/>
      <c r="C408" s="10"/>
      <c r="D408" s="10"/>
      <c r="E408" s="38">
        <f t="shared" ref="E408:E411" si="180">SUM(B408:D408)</f>
        <v>0</v>
      </c>
      <c r="F408" s="10"/>
      <c r="G408" s="10"/>
      <c r="H408" s="10"/>
      <c r="I408" s="38">
        <f t="shared" ref="I408:I457" si="181">SUM(F408:H408)</f>
        <v>0</v>
      </c>
      <c r="J408" s="10"/>
      <c r="K408" s="10"/>
      <c r="L408" s="10"/>
      <c r="M408" s="38">
        <f t="shared" ref="M408:M457" si="182">SUM(J408:L408)</f>
        <v>0</v>
      </c>
      <c r="N408" s="10"/>
      <c r="O408" s="10"/>
      <c r="P408" s="10"/>
      <c r="Q408" s="38">
        <f t="shared" ref="Q408:Q458" si="183">SUM(N408:P408)</f>
        <v>0</v>
      </c>
      <c r="R408" s="38">
        <f t="shared" si="178"/>
        <v>0</v>
      </c>
    </row>
    <row r="409" spans="1:20" ht="15.75" customHeight="1" x14ac:dyDescent="0.3">
      <c r="A409" s="410" t="s">
        <v>3048</v>
      </c>
      <c r="B409" s="10"/>
      <c r="C409" s="10"/>
      <c r="D409" s="10"/>
      <c r="E409" s="38">
        <f t="shared" si="180"/>
        <v>0</v>
      </c>
      <c r="F409" s="10">
        <v>72</v>
      </c>
      <c r="G409" s="10"/>
      <c r="H409" s="10"/>
      <c r="I409" s="38">
        <f t="shared" si="181"/>
        <v>72</v>
      </c>
      <c r="J409" s="10"/>
      <c r="K409" s="10"/>
      <c r="L409" s="10"/>
      <c r="M409" s="38">
        <f t="shared" si="182"/>
        <v>0</v>
      </c>
      <c r="N409" s="10"/>
      <c r="O409" s="10"/>
      <c r="P409" s="10"/>
      <c r="Q409" s="38">
        <f t="shared" si="183"/>
        <v>0</v>
      </c>
      <c r="R409" s="38">
        <f t="shared" si="178"/>
        <v>72</v>
      </c>
      <c r="T409" t="s">
        <v>1358</v>
      </c>
    </row>
    <row r="410" spans="1:20" ht="15.75" customHeight="1" x14ac:dyDescent="0.3">
      <c r="A410" s="410" t="s">
        <v>2781</v>
      </c>
      <c r="B410" s="10">
        <v>1167</v>
      </c>
      <c r="C410" s="10"/>
      <c r="D410" s="10"/>
      <c r="E410" s="38">
        <f t="shared" si="180"/>
        <v>1167</v>
      </c>
      <c r="F410" s="10"/>
      <c r="G410" s="10"/>
      <c r="H410" s="10"/>
      <c r="I410" s="38">
        <f t="shared" si="181"/>
        <v>0</v>
      </c>
      <c r="J410" s="10"/>
      <c r="K410" s="10"/>
      <c r="L410" s="10"/>
      <c r="M410" s="38">
        <f t="shared" si="182"/>
        <v>0</v>
      </c>
      <c r="N410" s="10"/>
      <c r="O410" s="10"/>
      <c r="P410" s="10"/>
      <c r="Q410" s="38">
        <f t="shared" si="183"/>
        <v>0</v>
      </c>
      <c r="R410" s="38">
        <f t="shared" si="178"/>
        <v>1167</v>
      </c>
      <c r="T410" t="s">
        <v>2780</v>
      </c>
    </row>
    <row r="411" spans="1:20" ht="15.75" customHeight="1" x14ac:dyDescent="0.3">
      <c r="A411" s="410" t="s">
        <v>2782</v>
      </c>
      <c r="B411" s="10"/>
      <c r="C411" s="10"/>
      <c r="D411" s="10"/>
      <c r="E411" s="38">
        <f t="shared" si="180"/>
        <v>0</v>
      </c>
      <c r="F411" s="10"/>
      <c r="G411" s="10"/>
      <c r="H411" s="10"/>
      <c r="I411" s="38">
        <f t="shared" si="181"/>
        <v>0</v>
      </c>
      <c r="J411" s="10"/>
      <c r="K411" s="10"/>
      <c r="L411" s="10"/>
      <c r="M411" s="38">
        <f t="shared" si="182"/>
        <v>0</v>
      </c>
      <c r="N411" s="10"/>
      <c r="O411" s="10"/>
      <c r="P411" s="10"/>
      <c r="Q411" s="38">
        <f t="shared" si="183"/>
        <v>0</v>
      </c>
      <c r="R411" s="38">
        <f t="shared" si="178"/>
        <v>0</v>
      </c>
      <c r="T411" t="s">
        <v>1358</v>
      </c>
    </row>
    <row r="412" spans="1:20" ht="15.75" customHeight="1" x14ac:dyDescent="0.3">
      <c r="A412" s="256" t="s">
        <v>1150</v>
      </c>
      <c r="B412" s="10"/>
      <c r="C412" s="10"/>
      <c r="D412" s="10"/>
      <c r="E412" s="38">
        <f t="shared" ref="E412:E457" si="184">SUM(B412:D412)</f>
        <v>0</v>
      </c>
      <c r="F412" s="10">
        <v>627</v>
      </c>
      <c r="G412" s="10"/>
      <c r="H412" s="10"/>
      <c r="I412" s="38">
        <f t="shared" si="181"/>
        <v>627</v>
      </c>
      <c r="J412" s="10"/>
      <c r="K412" s="10"/>
      <c r="L412" s="10"/>
      <c r="M412" s="38">
        <f t="shared" si="182"/>
        <v>0</v>
      </c>
      <c r="N412" s="10"/>
      <c r="O412" s="10"/>
      <c r="P412" s="10"/>
      <c r="Q412" s="38">
        <f t="shared" si="183"/>
        <v>0</v>
      </c>
      <c r="R412" s="38">
        <f t="shared" si="178"/>
        <v>627</v>
      </c>
    </row>
    <row r="413" spans="1:20" ht="15.75" customHeight="1" x14ac:dyDescent="0.3">
      <c r="A413" s="410" t="s">
        <v>3207</v>
      </c>
      <c r="B413" s="10"/>
      <c r="C413" s="10"/>
      <c r="D413" s="10"/>
      <c r="E413" s="38">
        <f t="shared" si="184"/>
        <v>0</v>
      </c>
      <c r="F413" s="10"/>
      <c r="G413" s="10"/>
      <c r="H413" s="10"/>
      <c r="I413" s="38">
        <f t="shared" si="181"/>
        <v>0</v>
      </c>
      <c r="J413" s="10"/>
      <c r="K413" s="10"/>
      <c r="L413" s="10"/>
      <c r="M413" s="38">
        <f t="shared" si="182"/>
        <v>0</v>
      </c>
      <c r="N413" s="10"/>
      <c r="O413" s="10"/>
      <c r="P413" s="10"/>
      <c r="Q413" s="38">
        <f t="shared" si="183"/>
        <v>0</v>
      </c>
      <c r="R413" s="38">
        <f t="shared" si="178"/>
        <v>0</v>
      </c>
    </row>
    <row r="414" spans="1:20" ht="15.75" customHeight="1" x14ac:dyDescent="0.3">
      <c r="A414" s="410" t="s">
        <v>2598</v>
      </c>
      <c r="B414" s="10"/>
      <c r="C414" s="10"/>
      <c r="D414" s="10"/>
      <c r="E414" s="38">
        <f t="shared" si="184"/>
        <v>0</v>
      </c>
      <c r="F414" s="10"/>
      <c r="G414" s="10"/>
      <c r="H414" s="10"/>
      <c r="I414" s="38">
        <f t="shared" si="181"/>
        <v>0</v>
      </c>
      <c r="J414" s="10"/>
      <c r="K414" s="10"/>
      <c r="L414" s="10"/>
      <c r="M414" s="38">
        <f t="shared" si="182"/>
        <v>0</v>
      </c>
      <c r="N414" s="10"/>
      <c r="O414" s="10"/>
      <c r="P414" s="10"/>
      <c r="Q414" s="38">
        <f t="shared" si="183"/>
        <v>0</v>
      </c>
      <c r="R414" s="38">
        <f>+E414+I414+M414+Q414</f>
        <v>0</v>
      </c>
      <c r="T414" t="s">
        <v>2178</v>
      </c>
    </row>
    <row r="415" spans="1:20" ht="15.75" customHeight="1" x14ac:dyDescent="0.3">
      <c r="A415" s="410" t="s">
        <v>2978</v>
      </c>
      <c r="B415" s="10"/>
      <c r="C415" s="10"/>
      <c r="D415" s="10"/>
      <c r="E415" s="38">
        <f t="shared" si="184"/>
        <v>0</v>
      </c>
      <c r="F415" s="10"/>
      <c r="G415" s="10"/>
      <c r="H415" s="10"/>
      <c r="I415" s="38">
        <f t="shared" si="181"/>
        <v>0</v>
      </c>
      <c r="J415" s="10"/>
      <c r="K415" s="10"/>
      <c r="L415" s="10"/>
      <c r="M415" s="38">
        <f t="shared" si="182"/>
        <v>0</v>
      </c>
      <c r="N415" s="10"/>
      <c r="O415" s="10"/>
      <c r="P415" s="10"/>
      <c r="Q415" s="38">
        <f t="shared" si="183"/>
        <v>0</v>
      </c>
      <c r="R415" s="38">
        <f t="shared" si="178"/>
        <v>0</v>
      </c>
      <c r="T415" t="s">
        <v>2174</v>
      </c>
    </row>
    <row r="416" spans="1:20" ht="15.75" customHeight="1" x14ac:dyDescent="0.3">
      <c r="A416" s="410" t="s">
        <v>2729</v>
      </c>
      <c r="B416" s="10"/>
      <c r="C416" s="10">
        <f>142+68</f>
        <v>210</v>
      </c>
      <c r="D416" s="10">
        <f>138+459+4</f>
        <v>601</v>
      </c>
      <c r="E416" s="38">
        <f t="shared" si="184"/>
        <v>811</v>
      </c>
      <c r="F416" s="10">
        <f>1871+1054</f>
        <v>2925</v>
      </c>
      <c r="G416" s="10">
        <f>144+32+752</f>
        <v>928</v>
      </c>
      <c r="H416" s="10">
        <f>3068</f>
        <v>3068</v>
      </c>
      <c r="I416" s="38">
        <f t="shared" si="181"/>
        <v>6921</v>
      </c>
      <c r="J416" s="10">
        <f>613+2697</f>
        <v>3310</v>
      </c>
      <c r="K416" s="10">
        <f>1180+233+2995</f>
        <v>4408</v>
      </c>
      <c r="L416" s="10">
        <f>683+776+1654</f>
        <v>3113</v>
      </c>
      <c r="M416" s="38">
        <f t="shared" si="182"/>
        <v>10831</v>
      </c>
      <c r="N416" s="10">
        <v>4000</v>
      </c>
      <c r="O416" s="10"/>
      <c r="P416" s="10">
        <v>1437</v>
      </c>
      <c r="Q416" s="38">
        <f t="shared" si="183"/>
        <v>5437</v>
      </c>
      <c r="R416" s="38">
        <f t="shared" si="178"/>
        <v>24000</v>
      </c>
    </row>
    <row r="417" spans="1:20" ht="15.75" customHeight="1" x14ac:dyDescent="0.3">
      <c r="A417" s="311" t="s">
        <v>464</v>
      </c>
      <c r="B417" s="10"/>
      <c r="C417" s="10"/>
      <c r="D417" s="10">
        <v>1050</v>
      </c>
      <c r="E417" s="38">
        <f t="shared" si="184"/>
        <v>1050</v>
      </c>
      <c r="F417" s="10">
        <v>1060</v>
      </c>
      <c r="G417" s="10">
        <v>1670</v>
      </c>
      <c r="H417" s="10">
        <v>2010</v>
      </c>
      <c r="I417" s="38">
        <f t="shared" si="181"/>
        <v>4740</v>
      </c>
      <c r="J417" s="10">
        <v>210</v>
      </c>
      <c r="K417" s="10"/>
      <c r="L417" s="10">
        <v>2500</v>
      </c>
      <c r="M417" s="38">
        <f t="shared" si="182"/>
        <v>2710</v>
      </c>
      <c r="N417" s="10">
        <v>6738</v>
      </c>
      <c r="O417" s="10"/>
      <c r="P417" s="10">
        <v>443</v>
      </c>
      <c r="Q417" s="38">
        <f t="shared" si="183"/>
        <v>7181</v>
      </c>
      <c r="R417" s="38">
        <f t="shared" si="178"/>
        <v>15681</v>
      </c>
      <c r="T417" t="s">
        <v>2174</v>
      </c>
    </row>
    <row r="418" spans="1:20" ht="15.75" customHeight="1" x14ac:dyDescent="0.3">
      <c r="A418" s="410" t="s">
        <v>1381</v>
      </c>
      <c r="B418" s="10"/>
      <c r="C418" s="10"/>
      <c r="D418" s="10"/>
      <c r="E418" s="38">
        <f t="shared" si="184"/>
        <v>0</v>
      </c>
      <c r="F418" s="10"/>
      <c r="G418" s="10"/>
      <c r="H418" s="10"/>
      <c r="I418" s="38">
        <f t="shared" si="181"/>
        <v>0</v>
      </c>
      <c r="J418" s="10"/>
      <c r="K418" s="10">
        <v>4321</v>
      </c>
      <c r="L418" s="10">
        <f>4882+368</f>
        <v>5250</v>
      </c>
      <c r="M418" s="38">
        <f t="shared" si="182"/>
        <v>9571</v>
      </c>
      <c r="N418" s="10">
        <v>5429</v>
      </c>
      <c r="O418" s="10"/>
      <c r="P418" s="10"/>
      <c r="Q418" s="38">
        <f t="shared" si="183"/>
        <v>5429</v>
      </c>
      <c r="R418" s="38">
        <f t="shared" si="178"/>
        <v>15000</v>
      </c>
    </row>
    <row r="419" spans="1:20" ht="15.75" customHeight="1" x14ac:dyDescent="0.3">
      <c r="A419" s="410" t="s">
        <v>3052</v>
      </c>
      <c r="B419" s="10">
        <v>1099</v>
      </c>
      <c r="C419" s="10">
        <v>850</v>
      </c>
      <c r="D419" s="10">
        <v>1281</v>
      </c>
      <c r="E419" s="38">
        <f t="shared" si="184"/>
        <v>3230</v>
      </c>
      <c r="F419" s="10">
        <v>5635</v>
      </c>
      <c r="G419" s="10">
        <v>5628</v>
      </c>
      <c r="H419" s="10">
        <v>6362</v>
      </c>
      <c r="I419" s="38">
        <f t="shared" si="181"/>
        <v>17625</v>
      </c>
      <c r="J419" s="10">
        <v>595</v>
      </c>
      <c r="K419" s="10"/>
      <c r="L419" s="10"/>
      <c r="M419" s="38">
        <f t="shared" si="182"/>
        <v>595</v>
      </c>
      <c r="N419" s="10"/>
      <c r="O419" s="10"/>
      <c r="P419" s="10"/>
      <c r="Q419" s="38">
        <f t="shared" si="183"/>
        <v>0</v>
      </c>
      <c r="R419" s="38">
        <f t="shared" si="178"/>
        <v>21450</v>
      </c>
    </row>
    <row r="420" spans="1:20" ht="15.75" customHeight="1" x14ac:dyDescent="0.3">
      <c r="A420" s="410" t="s">
        <v>3153</v>
      </c>
      <c r="B420" s="10"/>
      <c r="C420" s="10"/>
      <c r="D420" s="10"/>
      <c r="E420" s="38">
        <f t="shared" si="184"/>
        <v>0</v>
      </c>
      <c r="F420" s="10"/>
      <c r="G420" s="10"/>
      <c r="H420" s="10"/>
      <c r="I420" s="38">
        <f t="shared" si="181"/>
        <v>0</v>
      </c>
      <c r="J420" s="10"/>
      <c r="K420" s="10"/>
      <c r="L420" s="10"/>
      <c r="M420" s="38">
        <f t="shared" si="182"/>
        <v>0</v>
      </c>
      <c r="N420" s="10"/>
      <c r="O420" s="10"/>
      <c r="P420" s="10"/>
      <c r="Q420" s="38">
        <f t="shared" ref="Q420" si="185">SUM(N420:P420)</f>
        <v>0</v>
      </c>
      <c r="R420" s="38">
        <f t="shared" si="178"/>
        <v>0</v>
      </c>
    </row>
    <row r="421" spans="1:20" ht="15.75" customHeight="1" x14ac:dyDescent="0.3">
      <c r="A421" s="410" t="s">
        <v>3036</v>
      </c>
      <c r="B421" s="10">
        <v>116</v>
      </c>
      <c r="C421" s="10">
        <f>107+1</f>
        <v>108</v>
      </c>
      <c r="D421" s="10">
        <f>121+11</f>
        <v>132</v>
      </c>
      <c r="E421" s="38">
        <f t="shared" si="184"/>
        <v>356</v>
      </c>
      <c r="F421" s="10">
        <f>117+1+2</f>
        <v>120</v>
      </c>
      <c r="G421" s="10">
        <f>118+1</f>
        <v>119</v>
      </c>
      <c r="H421" s="10">
        <f>118+1+2</f>
        <v>121</v>
      </c>
      <c r="I421" s="38">
        <f t="shared" si="181"/>
        <v>360</v>
      </c>
      <c r="J421" s="10">
        <f>134+1+1-52</f>
        <v>84</v>
      </c>
      <c r="K421" s="10"/>
      <c r="L421" s="10"/>
      <c r="M421" s="38">
        <f t="shared" si="182"/>
        <v>84</v>
      </c>
      <c r="N421" s="10"/>
      <c r="O421" s="10"/>
      <c r="P421" s="10"/>
      <c r="Q421" s="38">
        <f t="shared" si="183"/>
        <v>0</v>
      </c>
      <c r="R421" s="38">
        <f t="shared" si="178"/>
        <v>800</v>
      </c>
    </row>
    <row r="422" spans="1:20" ht="15.75" customHeight="1" x14ac:dyDescent="0.3">
      <c r="A422" s="410" t="s">
        <v>2953</v>
      </c>
      <c r="B422" s="10"/>
      <c r="C422" s="10">
        <v>3536</v>
      </c>
      <c r="D422" s="10">
        <v>6783</v>
      </c>
      <c r="E422" s="38">
        <f t="shared" si="184"/>
        <v>10319</v>
      </c>
      <c r="F422" s="10"/>
      <c r="G422" s="10"/>
      <c r="H422" s="10"/>
      <c r="I422" s="38">
        <f t="shared" si="181"/>
        <v>0</v>
      </c>
      <c r="J422" s="10"/>
      <c r="K422" s="10"/>
      <c r="L422" s="10"/>
      <c r="M422" s="38">
        <f t="shared" si="182"/>
        <v>0</v>
      </c>
      <c r="N422" s="10"/>
      <c r="O422" s="10"/>
      <c r="P422" s="10"/>
      <c r="Q422" s="38">
        <f t="shared" si="183"/>
        <v>0</v>
      </c>
      <c r="R422" s="38">
        <f t="shared" si="178"/>
        <v>10319</v>
      </c>
      <c r="T422" t="s">
        <v>1358</v>
      </c>
    </row>
    <row r="423" spans="1:20" ht="15.75" customHeight="1" x14ac:dyDescent="0.3">
      <c r="A423" s="410" t="s">
        <v>3031</v>
      </c>
      <c r="B423" s="10">
        <v>4</v>
      </c>
      <c r="C423" s="10">
        <v>33</v>
      </c>
      <c r="D423" s="10">
        <v>19</v>
      </c>
      <c r="E423" s="38">
        <f t="shared" si="184"/>
        <v>56</v>
      </c>
      <c r="F423" s="10">
        <v>18</v>
      </c>
      <c r="G423" s="10">
        <v>18</v>
      </c>
      <c r="H423" s="10">
        <v>18</v>
      </c>
      <c r="I423" s="38">
        <f t="shared" si="181"/>
        <v>54</v>
      </c>
      <c r="J423" s="10">
        <v>18</v>
      </c>
      <c r="K423" s="10">
        <v>24</v>
      </c>
      <c r="L423" s="10">
        <v>18</v>
      </c>
      <c r="M423" s="38">
        <f t="shared" si="182"/>
        <v>60</v>
      </c>
      <c r="N423" s="10">
        <v>23</v>
      </c>
      <c r="O423" s="10">
        <v>16</v>
      </c>
      <c r="P423" s="10">
        <v>141</v>
      </c>
      <c r="Q423" s="38">
        <f t="shared" si="183"/>
        <v>180</v>
      </c>
      <c r="R423" s="38">
        <f t="shared" si="178"/>
        <v>350</v>
      </c>
      <c r="T423" t="s">
        <v>131</v>
      </c>
    </row>
    <row r="424" spans="1:20" ht="15.75" customHeight="1" x14ac:dyDescent="0.3">
      <c r="A424" s="410" t="s">
        <v>2959</v>
      </c>
      <c r="B424" s="10">
        <v>1119</v>
      </c>
      <c r="C424" s="10">
        <v>1271</v>
      </c>
      <c r="D424" s="10">
        <v>1318</v>
      </c>
      <c r="E424" s="38">
        <f t="shared" si="184"/>
        <v>3708</v>
      </c>
      <c r="F424" s="10">
        <v>1180</v>
      </c>
      <c r="G424" s="10">
        <v>1409</v>
      </c>
      <c r="H424" s="10">
        <v>1373</v>
      </c>
      <c r="I424" s="38">
        <f t="shared" si="181"/>
        <v>3962</v>
      </c>
      <c r="J424" s="10">
        <v>1426</v>
      </c>
      <c r="K424" s="10">
        <v>969</v>
      </c>
      <c r="L424" s="10"/>
      <c r="M424" s="38">
        <f t="shared" si="182"/>
        <v>2395</v>
      </c>
      <c r="N424" s="10"/>
      <c r="O424" s="10"/>
      <c r="P424" s="10"/>
      <c r="Q424" s="38">
        <f t="shared" si="183"/>
        <v>0</v>
      </c>
      <c r="R424" s="38">
        <f t="shared" si="178"/>
        <v>10065</v>
      </c>
      <c r="T424" t="s">
        <v>2780</v>
      </c>
    </row>
    <row r="425" spans="1:20" ht="15.75" customHeight="1" x14ac:dyDescent="0.3">
      <c r="A425" s="256" t="s">
        <v>2362</v>
      </c>
      <c r="B425" s="10">
        <v>583</v>
      </c>
      <c r="C425" s="10">
        <v>2246</v>
      </c>
      <c r="D425" s="10">
        <v>2980</v>
      </c>
      <c r="E425" s="38">
        <f t="shared" si="184"/>
        <v>5809</v>
      </c>
      <c r="F425" s="10">
        <v>878</v>
      </c>
      <c r="G425" s="10"/>
      <c r="H425" s="10"/>
      <c r="I425" s="38">
        <f t="shared" si="181"/>
        <v>878</v>
      </c>
      <c r="J425" s="10"/>
      <c r="K425" s="10"/>
      <c r="L425" s="10"/>
      <c r="M425" s="38">
        <f t="shared" si="182"/>
        <v>0</v>
      </c>
      <c r="N425" s="10"/>
      <c r="O425" s="10"/>
      <c r="P425" s="10"/>
      <c r="Q425" s="38">
        <f t="shared" si="183"/>
        <v>0</v>
      </c>
      <c r="R425" s="38">
        <f>+E425+I425+M425+Q425</f>
        <v>6687</v>
      </c>
    </row>
    <row r="426" spans="1:20" ht="15.75" customHeight="1" x14ac:dyDescent="0.3">
      <c r="A426" s="256" t="s">
        <v>2263</v>
      </c>
      <c r="B426" s="10"/>
      <c r="C426" s="10"/>
      <c r="D426" s="10"/>
      <c r="E426" s="38">
        <f t="shared" si="184"/>
        <v>0</v>
      </c>
      <c r="F426" s="10"/>
      <c r="G426" s="10"/>
      <c r="H426" s="10"/>
      <c r="I426" s="38">
        <f t="shared" si="181"/>
        <v>0</v>
      </c>
      <c r="J426" s="10"/>
      <c r="K426" s="10"/>
      <c r="L426" s="10"/>
      <c r="M426" s="38">
        <f t="shared" si="182"/>
        <v>0</v>
      </c>
      <c r="N426" s="10"/>
      <c r="O426" s="10"/>
      <c r="P426" s="10"/>
      <c r="Q426" s="38">
        <f t="shared" si="183"/>
        <v>0</v>
      </c>
      <c r="R426" s="38">
        <f>+E426+I426+M426+Q426</f>
        <v>0</v>
      </c>
    </row>
    <row r="427" spans="1:20" ht="15.75" customHeight="1" x14ac:dyDescent="0.3">
      <c r="A427" s="410" t="s">
        <v>3159</v>
      </c>
      <c r="B427" s="10"/>
      <c r="C427" s="10"/>
      <c r="D427" s="10"/>
      <c r="E427" s="38">
        <f t="shared" si="184"/>
        <v>0</v>
      </c>
      <c r="F427" s="10"/>
      <c r="G427" s="10"/>
      <c r="H427" s="10"/>
      <c r="I427" s="38">
        <f t="shared" si="181"/>
        <v>0</v>
      </c>
      <c r="J427" s="10"/>
      <c r="K427" s="10"/>
      <c r="L427" s="10"/>
      <c r="M427" s="38">
        <f t="shared" si="182"/>
        <v>0</v>
      </c>
      <c r="N427" s="10"/>
      <c r="O427" s="10"/>
      <c r="P427" s="10"/>
      <c r="Q427" s="38">
        <f t="shared" si="183"/>
        <v>0</v>
      </c>
      <c r="R427" s="38">
        <f>+E427+I427+M427+Q427</f>
        <v>0</v>
      </c>
    </row>
    <row r="428" spans="1:20" ht="15.75" customHeight="1" x14ac:dyDescent="0.3">
      <c r="A428" s="410" t="s">
        <v>3160</v>
      </c>
      <c r="B428" s="10"/>
      <c r="C428" s="10"/>
      <c r="D428" s="10"/>
      <c r="E428" s="38">
        <f t="shared" si="184"/>
        <v>0</v>
      </c>
      <c r="F428" s="10"/>
      <c r="G428" s="10"/>
      <c r="H428" s="10"/>
      <c r="I428" s="38">
        <f t="shared" si="181"/>
        <v>0</v>
      </c>
      <c r="J428" s="10"/>
      <c r="K428" s="10"/>
      <c r="L428" s="10"/>
      <c r="M428" s="38">
        <f t="shared" si="182"/>
        <v>0</v>
      </c>
      <c r="N428" s="10"/>
      <c r="O428" s="10"/>
      <c r="P428" s="10"/>
      <c r="Q428" s="38">
        <f t="shared" si="183"/>
        <v>0</v>
      </c>
      <c r="R428" s="38">
        <f>+E428+I428+M428+Q428</f>
        <v>0</v>
      </c>
      <c r="T428" t="s">
        <v>1358</v>
      </c>
    </row>
    <row r="429" spans="1:20" ht="15.75" customHeight="1" x14ac:dyDescent="0.3">
      <c r="A429" s="410" t="s">
        <v>3139</v>
      </c>
      <c r="B429" s="10"/>
      <c r="C429" s="10"/>
      <c r="D429" s="10"/>
      <c r="E429" s="38">
        <f t="shared" ref="E429" si="186">SUM(B429:D429)</f>
        <v>0</v>
      </c>
      <c r="F429" s="10"/>
      <c r="G429" s="10"/>
      <c r="H429" s="10"/>
      <c r="I429" s="38">
        <f t="shared" ref="I429" si="187">SUM(F429:H429)</f>
        <v>0</v>
      </c>
      <c r="J429" s="10"/>
      <c r="K429" s="10"/>
      <c r="L429" s="10"/>
      <c r="M429" s="38">
        <f t="shared" ref="M429" si="188">SUM(J429:L429)</f>
        <v>0</v>
      </c>
      <c r="N429" s="10"/>
      <c r="O429" s="10"/>
      <c r="P429" s="10"/>
      <c r="Q429" s="38">
        <f t="shared" ref="Q429" si="189">SUM(N429:P429)</f>
        <v>0</v>
      </c>
      <c r="R429" s="38">
        <f t="shared" ref="R429:R430" si="190">+E429+I429+M429+Q429</f>
        <v>0</v>
      </c>
      <c r="T429" t="s">
        <v>2760</v>
      </c>
    </row>
    <row r="430" spans="1:20" ht="16.5" customHeight="1" x14ac:dyDescent="0.3">
      <c r="A430" s="410" t="s">
        <v>2786</v>
      </c>
      <c r="B430" s="10"/>
      <c r="C430" s="10"/>
      <c r="D430" s="10"/>
      <c r="E430" s="38">
        <f t="shared" si="184"/>
        <v>0</v>
      </c>
      <c r="F430" s="10"/>
      <c r="G430" s="10"/>
      <c r="H430" s="10"/>
      <c r="I430" s="38">
        <f t="shared" si="181"/>
        <v>0</v>
      </c>
      <c r="J430" s="10"/>
      <c r="K430" s="10"/>
      <c r="L430" s="10"/>
      <c r="M430" s="38">
        <f t="shared" si="182"/>
        <v>0</v>
      </c>
      <c r="N430" s="10"/>
      <c r="O430" s="10"/>
      <c r="P430" s="10"/>
      <c r="Q430" s="38">
        <f t="shared" ref="Q430" si="191">SUM(N430:P430)</f>
        <v>0</v>
      </c>
      <c r="R430" s="38">
        <f t="shared" si="190"/>
        <v>0</v>
      </c>
      <c r="T430" t="s">
        <v>2777</v>
      </c>
    </row>
    <row r="431" spans="1:20" ht="15.75" customHeight="1" x14ac:dyDescent="0.3">
      <c r="A431" s="410" t="s">
        <v>3140</v>
      </c>
      <c r="B431" s="10"/>
      <c r="C431" s="10"/>
      <c r="D431" s="10"/>
      <c r="E431" s="38">
        <f t="shared" si="184"/>
        <v>0</v>
      </c>
      <c r="F431" s="10"/>
      <c r="G431" s="10"/>
      <c r="H431" s="10"/>
      <c r="I431" s="38">
        <f t="shared" si="181"/>
        <v>0</v>
      </c>
      <c r="J431" s="10"/>
      <c r="K431" s="10"/>
      <c r="L431" s="10"/>
      <c r="M431" s="38">
        <f t="shared" si="182"/>
        <v>0</v>
      </c>
      <c r="N431" s="10"/>
      <c r="O431" s="10"/>
      <c r="P431" s="10"/>
      <c r="Q431" s="38">
        <f t="shared" ref="Q431" si="192">SUM(N431:P431)</f>
        <v>0</v>
      </c>
      <c r="R431" s="38">
        <f t="shared" si="178"/>
        <v>0</v>
      </c>
      <c r="T431" t="s">
        <v>2175</v>
      </c>
    </row>
    <row r="432" spans="1:20" ht="15.75" customHeight="1" x14ac:dyDescent="0.3">
      <c r="A432" s="410" t="s">
        <v>2787</v>
      </c>
      <c r="B432" s="10">
        <v>262</v>
      </c>
      <c r="C432" s="10">
        <v>249</v>
      </c>
      <c r="D432" s="10">
        <v>350</v>
      </c>
      <c r="E432" s="38">
        <f t="shared" si="184"/>
        <v>861</v>
      </c>
      <c r="F432" s="10">
        <v>325</v>
      </c>
      <c r="G432" s="10">
        <v>350</v>
      </c>
      <c r="H432" s="10">
        <v>25</v>
      </c>
      <c r="I432" s="38">
        <f t="shared" si="181"/>
        <v>700</v>
      </c>
      <c r="J432" s="10">
        <v>510</v>
      </c>
      <c r="K432" s="10"/>
      <c r="L432" s="10"/>
      <c r="M432" s="38">
        <f t="shared" si="182"/>
        <v>510</v>
      </c>
      <c r="N432" s="10"/>
      <c r="O432" s="10"/>
      <c r="P432" s="10"/>
      <c r="Q432" s="38">
        <f t="shared" si="183"/>
        <v>0</v>
      </c>
      <c r="R432" s="38">
        <f t="shared" si="178"/>
        <v>2071</v>
      </c>
      <c r="T432" t="s">
        <v>2175</v>
      </c>
    </row>
    <row r="433" spans="1:20" ht="15.75" customHeight="1" x14ac:dyDescent="0.3">
      <c r="A433" s="410" t="s">
        <v>3386</v>
      </c>
      <c r="B433" s="10"/>
      <c r="C433" s="10"/>
      <c r="D433" s="10"/>
      <c r="E433" s="38">
        <f t="shared" si="184"/>
        <v>0</v>
      </c>
      <c r="F433" s="10"/>
      <c r="G433" s="10"/>
      <c r="H433" s="10"/>
      <c r="I433" s="38">
        <f t="shared" si="181"/>
        <v>0</v>
      </c>
      <c r="J433" s="10"/>
      <c r="K433" s="10"/>
      <c r="L433" s="10"/>
      <c r="M433" s="38">
        <f t="shared" si="182"/>
        <v>0</v>
      </c>
      <c r="N433" s="10">
        <v>2000</v>
      </c>
      <c r="O433" s="10"/>
      <c r="P433" s="10"/>
      <c r="Q433" s="38">
        <f t="shared" si="183"/>
        <v>2000</v>
      </c>
      <c r="R433" s="38">
        <f t="shared" si="178"/>
        <v>2000</v>
      </c>
      <c r="T433" t="s">
        <v>2780</v>
      </c>
    </row>
    <row r="434" spans="1:20" ht="15.75" customHeight="1" x14ac:dyDescent="0.3">
      <c r="A434" s="410" t="s">
        <v>3149</v>
      </c>
      <c r="B434" s="10"/>
      <c r="C434" s="10"/>
      <c r="D434" s="10"/>
      <c r="E434" s="38">
        <f t="shared" si="184"/>
        <v>0</v>
      </c>
      <c r="F434" s="10"/>
      <c r="G434" s="10">
        <v>356</v>
      </c>
      <c r="H434" s="10">
        <v>356</v>
      </c>
      <c r="I434" s="38">
        <f t="shared" si="181"/>
        <v>712</v>
      </c>
      <c r="J434" s="10">
        <v>356</v>
      </c>
      <c r="K434" s="10">
        <v>1002</v>
      </c>
      <c r="L434" s="10"/>
      <c r="M434" s="38">
        <f t="shared" si="182"/>
        <v>1358</v>
      </c>
      <c r="N434" s="10"/>
      <c r="O434" s="10"/>
      <c r="P434" s="10"/>
      <c r="Q434" s="38">
        <f t="shared" si="183"/>
        <v>0</v>
      </c>
      <c r="R434" s="38">
        <f t="shared" si="178"/>
        <v>2070</v>
      </c>
    </row>
    <row r="435" spans="1:20" ht="15.75" customHeight="1" x14ac:dyDescent="0.3">
      <c r="A435" s="410" t="s">
        <v>3417</v>
      </c>
      <c r="B435" s="10"/>
      <c r="C435" s="10"/>
      <c r="D435" s="10"/>
      <c r="E435" s="38">
        <f t="shared" si="184"/>
        <v>0</v>
      </c>
      <c r="F435" s="10"/>
      <c r="G435" s="10"/>
      <c r="H435" s="10"/>
      <c r="I435" s="38">
        <f t="shared" si="181"/>
        <v>0</v>
      </c>
      <c r="J435" s="10"/>
      <c r="K435" s="10"/>
      <c r="L435" s="10">
        <v>2075</v>
      </c>
      <c r="M435" s="38">
        <f t="shared" si="182"/>
        <v>2075</v>
      </c>
      <c r="N435" s="10">
        <v>500</v>
      </c>
      <c r="O435" s="10"/>
      <c r="P435" s="10"/>
      <c r="Q435" s="38">
        <f t="shared" si="183"/>
        <v>500</v>
      </c>
      <c r="R435" s="38">
        <f t="shared" si="178"/>
        <v>2575</v>
      </c>
      <c r="T435" t="s">
        <v>1358</v>
      </c>
    </row>
    <row r="436" spans="1:20" ht="15.75" customHeight="1" x14ac:dyDescent="0.3">
      <c r="A436" s="410" t="s">
        <v>3234</v>
      </c>
      <c r="B436" s="10"/>
      <c r="C436" s="10"/>
      <c r="D436" s="10">
        <v>1100</v>
      </c>
      <c r="E436" s="38">
        <f t="shared" si="184"/>
        <v>1100</v>
      </c>
      <c r="F436" s="10">
        <v>1100</v>
      </c>
      <c r="G436" s="10">
        <v>1300</v>
      </c>
      <c r="H436" s="10">
        <v>1300</v>
      </c>
      <c r="I436" s="38">
        <f t="shared" si="181"/>
        <v>3700</v>
      </c>
      <c r="J436" s="10">
        <v>1500</v>
      </c>
      <c r="K436" s="10">
        <v>1300</v>
      </c>
      <c r="L436" s="10">
        <v>1000</v>
      </c>
      <c r="M436" s="38">
        <f t="shared" si="182"/>
        <v>3800</v>
      </c>
      <c r="N436" s="10">
        <v>400</v>
      </c>
      <c r="O436" s="10"/>
      <c r="P436" s="10"/>
      <c r="Q436" s="38">
        <f t="shared" si="183"/>
        <v>400</v>
      </c>
      <c r="R436" s="38">
        <f t="shared" si="178"/>
        <v>9000</v>
      </c>
    </row>
    <row r="437" spans="1:20" ht="15.75" customHeight="1" x14ac:dyDescent="0.3">
      <c r="A437" s="410" t="s">
        <v>3375</v>
      </c>
      <c r="B437" s="10"/>
      <c r="C437" s="10"/>
      <c r="D437" s="10"/>
      <c r="E437" s="38">
        <f>SUM(B437:D437)</f>
        <v>0</v>
      </c>
      <c r="F437" s="10"/>
      <c r="G437" s="10"/>
      <c r="H437" s="10"/>
      <c r="I437" s="38">
        <f>SUM(F437:H437)</f>
        <v>0</v>
      </c>
      <c r="J437" s="10">
        <v>3551</v>
      </c>
      <c r="K437" s="10"/>
      <c r="L437" s="10"/>
      <c r="M437" s="38">
        <f>SUM(J437:L437)</f>
        <v>3551</v>
      </c>
      <c r="N437" s="10"/>
      <c r="O437" s="10"/>
      <c r="P437" s="10"/>
      <c r="Q437" s="38">
        <f>SUM(N437:P437)</f>
        <v>0</v>
      </c>
      <c r="R437" s="38">
        <f>+E437+I437+M437+Q437</f>
        <v>3551</v>
      </c>
    </row>
    <row r="438" spans="1:20" ht="15.75" customHeight="1" x14ac:dyDescent="0.3">
      <c r="A438" s="410" t="s">
        <v>3216</v>
      </c>
      <c r="B438" s="10"/>
      <c r="C438" s="10"/>
      <c r="D438" s="10"/>
      <c r="E438" s="38">
        <f>SUM(B438:D438)</f>
        <v>0</v>
      </c>
      <c r="F438" s="10"/>
      <c r="G438" s="10"/>
      <c r="H438" s="10"/>
      <c r="I438" s="38">
        <f>SUM(F438:H438)</f>
        <v>0</v>
      </c>
      <c r="J438" s="10"/>
      <c r="K438" s="10"/>
      <c r="L438" s="10"/>
      <c r="M438" s="38">
        <f>SUM(J438:L438)</f>
        <v>0</v>
      </c>
      <c r="N438" s="10"/>
      <c r="O438" s="10"/>
      <c r="P438" s="10"/>
      <c r="Q438" s="38">
        <f>SUM(N438:P438)</f>
        <v>0</v>
      </c>
      <c r="R438" s="38">
        <f>+E438+I438+M438+Q438</f>
        <v>0</v>
      </c>
    </row>
    <row r="439" spans="1:20" ht="15.75" customHeight="1" x14ac:dyDescent="0.3">
      <c r="A439" s="410" t="s">
        <v>3073</v>
      </c>
      <c r="B439" s="10"/>
      <c r="C439" s="10"/>
      <c r="D439" s="10"/>
      <c r="E439" s="38">
        <f t="shared" si="184"/>
        <v>0</v>
      </c>
      <c r="F439" s="10">
        <v>810</v>
      </c>
      <c r="G439" s="10"/>
      <c r="H439" s="10"/>
      <c r="I439" s="38">
        <f t="shared" si="181"/>
        <v>810</v>
      </c>
      <c r="J439" s="10"/>
      <c r="K439" s="10"/>
      <c r="L439" s="10"/>
      <c r="M439" s="38">
        <f t="shared" si="182"/>
        <v>0</v>
      </c>
      <c r="N439" s="10"/>
      <c r="O439" s="10"/>
      <c r="P439" s="10"/>
      <c r="Q439" s="38">
        <f>SUM(N439:P439)</f>
        <v>0</v>
      </c>
      <c r="R439" s="38">
        <f t="shared" si="178"/>
        <v>810</v>
      </c>
    </row>
    <row r="440" spans="1:20" ht="15.75" customHeight="1" x14ac:dyDescent="0.3">
      <c r="A440" s="410" t="s">
        <v>3061</v>
      </c>
      <c r="B440" s="10"/>
      <c r="C440" s="10"/>
      <c r="D440" s="10"/>
      <c r="E440" s="38">
        <f t="shared" si="184"/>
        <v>0</v>
      </c>
      <c r="F440" s="10">
        <v>3789</v>
      </c>
      <c r="G440" s="10"/>
      <c r="H440" s="10"/>
      <c r="I440" s="38">
        <f t="shared" si="181"/>
        <v>3789</v>
      </c>
      <c r="J440" s="10"/>
      <c r="K440" s="10"/>
      <c r="L440" s="10"/>
      <c r="M440" s="38">
        <f t="shared" si="182"/>
        <v>0</v>
      </c>
      <c r="N440" s="10"/>
      <c r="O440" s="10"/>
      <c r="P440" s="10"/>
      <c r="Q440" s="38">
        <f t="shared" si="183"/>
        <v>0</v>
      </c>
      <c r="R440" s="38">
        <f t="shared" si="178"/>
        <v>3789</v>
      </c>
    </row>
    <row r="441" spans="1:20" ht="15.75" customHeight="1" x14ac:dyDescent="0.3">
      <c r="A441" s="410" t="s">
        <v>3229</v>
      </c>
      <c r="B441" s="10"/>
      <c r="C441" s="10"/>
      <c r="D441" s="10"/>
      <c r="E441" s="38">
        <f t="shared" ref="E441" si="193">SUM(B441:D441)</f>
        <v>0</v>
      </c>
      <c r="F441" s="10"/>
      <c r="G441" s="10"/>
      <c r="H441" s="10"/>
      <c r="I441" s="38">
        <f t="shared" ref="I441" si="194">SUM(F441:H441)</f>
        <v>0</v>
      </c>
      <c r="J441" s="10"/>
      <c r="K441" s="10"/>
      <c r="L441" s="10"/>
      <c r="M441" s="38">
        <f t="shared" ref="M441" si="195">SUM(J441:L441)</f>
        <v>0</v>
      </c>
      <c r="N441" s="10"/>
      <c r="O441" s="10"/>
      <c r="P441" s="10"/>
      <c r="Q441" s="38">
        <f t="shared" ref="Q441" si="196">SUM(N441:P441)</f>
        <v>0</v>
      </c>
      <c r="R441" s="38">
        <f t="shared" si="178"/>
        <v>0</v>
      </c>
      <c r="T441" t="s">
        <v>2780</v>
      </c>
    </row>
    <row r="442" spans="1:20" ht="15.75" customHeight="1" x14ac:dyDescent="0.3">
      <c r="A442" s="410" t="s">
        <v>3042</v>
      </c>
      <c r="B442" s="10"/>
      <c r="C442" s="10"/>
      <c r="D442" s="10"/>
      <c r="E442" s="38">
        <f t="shared" si="184"/>
        <v>0</v>
      </c>
      <c r="F442" s="10"/>
      <c r="G442" s="10"/>
      <c r="H442" s="10"/>
      <c r="I442" s="38">
        <f t="shared" si="181"/>
        <v>0</v>
      </c>
      <c r="J442" s="10"/>
      <c r="K442" s="10"/>
      <c r="L442" s="10"/>
      <c r="M442" s="38">
        <f t="shared" si="182"/>
        <v>0</v>
      </c>
      <c r="N442" s="10"/>
      <c r="O442" s="10"/>
      <c r="P442" s="10"/>
      <c r="Q442" s="38">
        <f t="shared" si="183"/>
        <v>0</v>
      </c>
      <c r="R442" s="38">
        <f t="shared" si="178"/>
        <v>0</v>
      </c>
      <c r="T442" t="s">
        <v>2780</v>
      </c>
    </row>
    <row r="443" spans="1:20" ht="15.75" customHeight="1" x14ac:dyDescent="0.3">
      <c r="A443" s="410" t="s">
        <v>2941</v>
      </c>
      <c r="B443" s="10"/>
      <c r="C443" s="10"/>
      <c r="D443" s="10"/>
      <c r="E443" s="38">
        <f t="shared" si="184"/>
        <v>0</v>
      </c>
      <c r="F443" s="10"/>
      <c r="G443" s="10">
        <v>1237</v>
      </c>
      <c r="H443" s="10">
        <v>1861</v>
      </c>
      <c r="I443" s="38">
        <f t="shared" si="181"/>
        <v>3098</v>
      </c>
      <c r="J443" s="10">
        <v>946</v>
      </c>
      <c r="K443" s="10"/>
      <c r="L443" s="10"/>
      <c r="M443" s="38">
        <f t="shared" si="182"/>
        <v>946</v>
      </c>
      <c r="N443" s="10"/>
      <c r="O443" s="10"/>
      <c r="P443" s="10"/>
      <c r="Q443" s="38">
        <f t="shared" si="183"/>
        <v>0</v>
      </c>
      <c r="R443" s="38">
        <f t="shared" si="178"/>
        <v>4044</v>
      </c>
      <c r="T443" t="s">
        <v>2780</v>
      </c>
    </row>
    <row r="444" spans="1:20" ht="15.75" customHeight="1" x14ac:dyDescent="0.3">
      <c r="A444" s="410" t="s">
        <v>2711</v>
      </c>
      <c r="B444" s="10"/>
      <c r="C444" s="10"/>
      <c r="D444" s="10"/>
      <c r="E444" s="38">
        <f t="shared" si="184"/>
        <v>0</v>
      </c>
      <c r="F444" s="10"/>
      <c r="G444" s="10"/>
      <c r="H444" s="10"/>
      <c r="I444" s="38">
        <f t="shared" si="181"/>
        <v>0</v>
      </c>
      <c r="J444" s="10"/>
      <c r="K444" s="10"/>
      <c r="L444" s="10"/>
      <c r="M444" s="38">
        <f t="shared" si="182"/>
        <v>0</v>
      </c>
      <c r="N444" s="10"/>
      <c r="O444" s="10"/>
      <c r="P444" s="10"/>
      <c r="Q444" s="38">
        <f t="shared" si="183"/>
        <v>0</v>
      </c>
      <c r="R444" s="38">
        <f t="shared" si="178"/>
        <v>0</v>
      </c>
      <c r="T444" t="s">
        <v>1358</v>
      </c>
    </row>
    <row r="445" spans="1:20" ht="15.75" customHeight="1" x14ac:dyDescent="0.3">
      <c r="A445" s="256" t="s">
        <v>1097</v>
      </c>
      <c r="B445" s="10"/>
      <c r="C445" s="10"/>
      <c r="D445" s="10"/>
      <c r="E445" s="38">
        <f t="shared" si="184"/>
        <v>0</v>
      </c>
      <c r="F445" s="10">
        <v>668</v>
      </c>
      <c r="G445" s="10">
        <v>1001</v>
      </c>
      <c r="H445" s="10"/>
      <c r="I445" s="38">
        <f t="shared" si="181"/>
        <v>1669</v>
      </c>
      <c r="J445" s="10"/>
      <c r="K445" s="10"/>
      <c r="L445" s="10"/>
      <c r="M445" s="38">
        <f t="shared" si="182"/>
        <v>0</v>
      </c>
      <c r="N445" s="10"/>
      <c r="O445" s="10"/>
      <c r="P445" s="10"/>
      <c r="Q445" s="38">
        <f t="shared" si="183"/>
        <v>0</v>
      </c>
      <c r="R445" s="38">
        <f t="shared" si="178"/>
        <v>1669</v>
      </c>
    </row>
    <row r="446" spans="1:20" ht="15.75" customHeight="1" x14ac:dyDescent="0.3">
      <c r="A446" s="410" t="s">
        <v>3043</v>
      </c>
      <c r="B446" s="10"/>
      <c r="C446" s="10"/>
      <c r="D446" s="10"/>
      <c r="E446" s="38">
        <f t="shared" si="184"/>
        <v>0</v>
      </c>
      <c r="F446" s="10"/>
      <c r="G446" s="10"/>
      <c r="H446" s="10"/>
      <c r="I446" s="38">
        <f t="shared" si="181"/>
        <v>0</v>
      </c>
      <c r="J446" s="10"/>
      <c r="K446" s="10"/>
      <c r="L446" s="10"/>
      <c r="M446" s="38">
        <f t="shared" si="182"/>
        <v>0</v>
      </c>
      <c r="N446" s="10"/>
      <c r="O446" s="10"/>
      <c r="P446" s="10"/>
      <c r="Q446" s="38">
        <f t="shared" si="183"/>
        <v>0</v>
      </c>
      <c r="R446" s="38">
        <f t="shared" si="178"/>
        <v>0</v>
      </c>
      <c r="T446" t="s">
        <v>1358</v>
      </c>
    </row>
    <row r="447" spans="1:20" ht="15.75" customHeight="1" x14ac:dyDescent="0.3">
      <c r="A447" s="410" t="s">
        <v>3296</v>
      </c>
      <c r="B447" s="10"/>
      <c r="C447" s="10"/>
      <c r="D447" s="10"/>
      <c r="E447" s="38">
        <f t="shared" si="184"/>
        <v>0</v>
      </c>
      <c r="F447" s="10"/>
      <c r="G447" s="10"/>
      <c r="H447" s="10"/>
      <c r="I447" s="38">
        <f t="shared" si="181"/>
        <v>0</v>
      </c>
      <c r="J447" s="10"/>
      <c r="K447" s="10"/>
      <c r="L447" s="10"/>
      <c r="M447" s="38">
        <f t="shared" si="182"/>
        <v>0</v>
      </c>
      <c r="N447" s="10"/>
      <c r="O447" s="10"/>
      <c r="P447" s="10"/>
      <c r="Q447" s="38">
        <f t="shared" si="183"/>
        <v>0</v>
      </c>
      <c r="R447" s="38">
        <f t="shared" si="178"/>
        <v>0</v>
      </c>
      <c r="T447" t="s">
        <v>2780</v>
      </c>
    </row>
    <row r="448" spans="1:20" ht="15.75" customHeight="1" x14ac:dyDescent="0.3">
      <c r="A448" s="410" t="s">
        <v>3297</v>
      </c>
      <c r="B448" s="10"/>
      <c r="C448" s="10"/>
      <c r="D448" s="10"/>
      <c r="E448" s="38">
        <f t="shared" si="184"/>
        <v>0</v>
      </c>
      <c r="F448" s="10"/>
      <c r="G448" s="10"/>
      <c r="H448" s="10">
        <v>1000</v>
      </c>
      <c r="I448" s="38">
        <f t="shared" si="181"/>
        <v>1000</v>
      </c>
      <c r="J448" s="10">
        <v>1500</v>
      </c>
      <c r="K448" s="10"/>
      <c r="L448" s="10"/>
      <c r="M448" s="38">
        <f t="shared" si="182"/>
        <v>1500</v>
      </c>
      <c r="N448" s="10"/>
      <c r="O448" s="10"/>
      <c r="P448" s="10"/>
      <c r="Q448" s="38">
        <f t="shared" si="183"/>
        <v>0</v>
      </c>
      <c r="R448" s="38">
        <f>+E448+I448+M448+Q448</f>
        <v>2500</v>
      </c>
    </row>
    <row r="449" spans="1:21" ht="15.75" customHeight="1" x14ac:dyDescent="0.3">
      <c r="A449" s="410" t="s">
        <v>3298</v>
      </c>
      <c r="B449" s="10"/>
      <c r="C449" s="10"/>
      <c r="D449" s="10"/>
      <c r="E449" s="38">
        <f t="shared" si="184"/>
        <v>0</v>
      </c>
      <c r="F449" s="10"/>
      <c r="G449" s="10"/>
      <c r="H449" s="10"/>
      <c r="I449" s="38">
        <f t="shared" si="181"/>
        <v>0</v>
      </c>
      <c r="J449" s="10"/>
      <c r="K449" s="10"/>
      <c r="L449" s="10"/>
      <c r="M449" s="38">
        <f t="shared" si="182"/>
        <v>0</v>
      </c>
      <c r="N449" s="10"/>
      <c r="O449" s="10"/>
      <c r="P449" s="10"/>
      <c r="Q449" s="38">
        <f t="shared" si="183"/>
        <v>0</v>
      </c>
      <c r="R449" s="38">
        <f>+E449+I449+M449+Q449</f>
        <v>0</v>
      </c>
      <c r="T449" t="s">
        <v>1358</v>
      </c>
    </row>
    <row r="450" spans="1:21" ht="15.75" customHeight="1" x14ac:dyDescent="0.3">
      <c r="A450" s="410" t="s">
        <v>3299</v>
      </c>
      <c r="B450" s="10"/>
      <c r="C450" s="10">
        <v>1365</v>
      </c>
      <c r="D450" s="10">
        <v>1652</v>
      </c>
      <c r="E450" s="38">
        <f t="shared" si="184"/>
        <v>3017</v>
      </c>
      <c r="F450" s="10">
        <v>1878</v>
      </c>
      <c r="G450" s="10">
        <v>699</v>
      </c>
      <c r="H450" s="10"/>
      <c r="I450" s="38">
        <f t="shared" si="181"/>
        <v>2577</v>
      </c>
      <c r="J450" s="10"/>
      <c r="K450" s="10"/>
      <c r="L450" s="10"/>
      <c r="M450" s="38">
        <f t="shared" si="182"/>
        <v>0</v>
      </c>
      <c r="N450" s="10"/>
      <c r="O450" s="10"/>
      <c r="P450" s="10"/>
      <c r="Q450" s="38">
        <f t="shared" si="183"/>
        <v>0</v>
      </c>
      <c r="R450" s="38">
        <f t="shared" si="178"/>
        <v>5594</v>
      </c>
      <c r="T450" t="s">
        <v>2780</v>
      </c>
    </row>
    <row r="451" spans="1:21" ht="15.75" customHeight="1" x14ac:dyDescent="0.3">
      <c r="A451" s="410" t="s">
        <v>3300</v>
      </c>
      <c r="B451" s="10"/>
      <c r="C451" s="10"/>
      <c r="D451" s="10"/>
      <c r="E451" s="38">
        <f t="shared" si="184"/>
        <v>0</v>
      </c>
      <c r="F451" s="10"/>
      <c r="G451" s="10"/>
      <c r="H451" s="10"/>
      <c r="I451" s="38">
        <f t="shared" si="181"/>
        <v>0</v>
      </c>
      <c r="J451" s="10"/>
      <c r="K451" s="10"/>
      <c r="L451" s="10"/>
      <c r="M451" s="38">
        <f t="shared" si="182"/>
        <v>0</v>
      </c>
      <c r="N451" s="10"/>
      <c r="O451" s="10"/>
      <c r="P451" s="10"/>
      <c r="Q451" s="38">
        <f t="shared" si="183"/>
        <v>0</v>
      </c>
      <c r="R451" s="38">
        <f t="shared" si="178"/>
        <v>0</v>
      </c>
      <c r="T451" t="s">
        <v>1358</v>
      </c>
    </row>
    <row r="452" spans="1:21" ht="15.75" customHeight="1" x14ac:dyDescent="0.3">
      <c r="A452" s="410" t="s">
        <v>3301</v>
      </c>
      <c r="B452" s="10"/>
      <c r="C452" s="10"/>
      <c r="D452" s="10"/>
      <c r="E452" s="38">
        <f t="shared" ref="E452:E453" si="197">SUM(B452:D452)</f>
        <v>0</v>
      </c>
      <c r="F452" s="10"/>
      <c r="G452" s="10"/>
      <c r="H452" s="10"/>
      <c r="I452" s="38">
        <f t="shared" ref="I452:I454" si="198">SUM(F452:H452)</f>
        <v>0</v>
      </c>
      <c r="J452" s="10"/>
      <c r="K452" s="10"/>
      <c r="L452" s="10"/>
      <c r="M452" s="38">
        <f t="shared" ref="M452:M454" si="199">SUM(J452:L452)</f>
        <v>0</v>
      </c>
      <c r="N452" s="10"/>
      <c r="O452" s="10"/>
      <c r="P452" s="10"/>
      <c r="Q452" s="38">
        <f t="shared" ref="Q452:Q454" si="200">SUM(N452:P452)</f>
        <v>0</v>
      </c>
      <c r="R452" s="38">
        <f t="shared" si="178"/>
        <v>0</v>
      </c>
    </row>
    <row r="453" spans="1:21" ht="15.75" customHeight="1" x14ac:dyDescent="0.3">
      <c r="A453" s="410" t="s">
        <v>3302</v>
      </c>
      <c r="B453" s="10"/>
      <c r="C453" s="10"/>
      <c r="D453" s="10"/>
      <c r="E453" s="38">
        <f t="shared" si="197"/>
        <v>0</v>
      </c>
      <c r="F453" s="10"/>
      <c r="G453" s="10"/>
      <c r="H453" s="10"/>
      <c r="I453" s="38">
        <f t="shared" si="198"/>
        <v>0</v>
      </c>
      <c r="J453" s="10"/>
      <c r="K453" s="10"/>
      <c r="L453" s="10"/>
      <c r="M453" s="38">
        <f t="shared" si="199"/>
        <v>0</v>
      </c>
      <c r="N453" s="10"/>
      <c r="O453" s="10"/>
      <c r="P453" s="10"/>
      <c r="Q453" s="38">
        <f t="shared" si="200"/>
        <v>0</v>
      </c>
      <c r="R453" s="38">
        <f>+E453+I453+M453+Q453</f>
        <v>0</v>
      </c>
    </row>
    <row r="454" spans="1:21" ht="15.75" customHeight="1" x14ac:dyDescent="0.3">
      <c r="A454" s="410" t="s">
        <v>3303</v>
      </c>
      <c r="B454" s="10"/>
      <c r="C454" s="10"/>
      <c r="D454" s="10"/>
      <c r="E454" s="38">
        <f>SUM(B454:D454)</f>
        <v>0</v>
      </c>
      <c r="F454" s="10"/>
      <c r="G454" s="10"/>
      <c r="H454" s="10"/>
      <c r="I454" s="38">
        <f t="shared" si="198"/>
        <v>0</v>
      </c>
      <c r="J454" s="10"/>
      <c r="K454" s="10"/>
      <c r="L454" s="10"/>
      <c r="M454" s="38">
        <f t="shared" si="199"/>
        <v>0</v>
      </c>
      <c r="N454" s="10"/>
      <c r="O454" s="10"/>
      <c r="P454" s="10"/>
      <c r="Q454" s="38">
        <f t="shared" si="200"/>
        <v>0</v>
      </c>
      <c r="R454" s="38">
        <f t="shared" si="178"/>
        <v>0</v>
      </c>
    </row>
    <row r="455" spans="1:21" ht="15.75" customHeight="1" x14ac:dyDescent="0.3">
      <c r="A455" s="410" t="s">
        <v>3292</v>
      </c>
      <c r="B455" s="10"/>
      <c r="C455" s="10"/>
      <c r="D455" s="10"/>
      <c r="E455" s="38">
        <f t="shared" si="184"/>
        <v>0</v>
      </c>
      <c r="F455" s="10"/>
      <c r="G455" s="10">
        <v>2622</v>
      </c>
      <c r="H455" s="10"/>
      <c r="I455" s="38">
        <f t="shared" si="181"/>
        <v>2622</v>
      </c>
      <c r="J455" s="10"/>
      <c r="K455" s="10"/>
      <c r="L455" s="10"/>
      <c r="M455" s="38">
        <f t="shared" si="182"/>
        <v>0</v>
      </c>
      <c r="N455" s="10"/>
      <c r="O455" s="10"/>
      <c r="P455" s="10"/>
      <c r="Q455" s="38">
        <f t="shared" si="183"/>
        <v>0</v>
      </c>
      <c r="R455" s="38">
        <f t="shared" si="178"/>
        <v>2622</v>
      </c>
    </row>
    <row r="456" spans="1:21" ht="15.75" customHeight="1" x14ac:dyDescent="0.3">
      <c r="A456" s="410" t="s">
        <v>3418</v>
      </c>
      <c r="B456" s="10"/>
      <c r="C456" s="10"/>
      <c r="D456" s="10"/>
      <c r="E456" s="38">
        <f t="shared" si="184"/>
        <v>0</v>
      </c>
      <c r="F456" s="10"/>
      <c r="G456" s="10"/>
      <c r="H456" s="10"/>
      <c r="I456" s="38">
        <f t="shared" si="181"/>
        <v>0</v>
      </c>
      <c r="J456" s="10"/>
      <c r="K456" s="10">
        <v>1925</v>
      </c>
      <c r="L456" s="10"/>
      <c r="M456" s="38">
        <f t="shared" si="182"/>
        <v>1925</v>
      </c>
      <c r="N456" s="10"/>
      <c r="O456" s="10"/>
      <c r="P456" s="10"/>
      <c r="Q456" s="38">
        <f t="shared" ref="Q456" si="201">SUM(N456:P456)</f>
        <v>0</v>
      </c>
      <c r="R456" s="38">
        <f t="shared" ref="R456" si="202">+E456+I456+M456+Q456</f>
        <v>1925</v>
      </c>
    </row>
    <row r="457" spans="1:21" ht="15.75" customHeight="1" thickBot="1" x14ac:dyDescent="0.35">
      <c r="A457" s="256" t="s">
        <v>2717</v>
      </c>
      <c r="B457" s="10">
        <f>88+22</f>
        <v>110</v>
      </c>
      <c r="C457" s="10">
        <f>210</f>
        <v>210</v>
      </c>
      <c r="D457" s="10">
        <f>43+557</f>
        <v>600</v>
      </c>
      <c r="E457" s="38">
        <f t="shared" si="184"/>
        <v>920</v>
      </c>
      <c r="F457" s="10">
        <f>612+862+1452</f>
        <v>2926</v>
      </c>
      <c r="G457" s="10">
        <f>356+572</f>
        <v>928</v>
      </c>
      <c r="H457" s="10">
        <f>1545+762+37+725</f>
        <v>3069</v>
      </c>
      <c r="I457" s="38">
        <f t="shared" si="181"/>
        <v>6923</v>
      </c>
      <c r="J457" s="10">
        <f>1007+500+963+840</f>
        <v>3310</v>
      </c>
      <c r="K457" s="10">
        <f>1375+3034</f>
        <v>4409</v>
      </c>
      <c r="L457" s="10">
        <f>406+2708</f>
        <v>3114</v>
      </c>
      <c r="M457" s="38">
        <f t="shared" si="182"/>
        <v>10833</v>
      </c>
      <c r="N457" s="10">
        <v>2580</v>
      </c>
      <c r="O457" s="10">
        <v>1744</v>
      </c>
      <c r="P457" s="10">
        <v>2000</v>
      </c>
      <c r="Q457" s="38">
        <f t="shared" si="183"/>
        <v>6324</v>
      </c>
      <c r="R457" s="38">
        <f t="shared" si="178"/>
        <v>25000</v>
      </c>
    </row>
    <row r="458" spans="1:21" ht="16.5" customHeight="1" thickBot="1" x14ac:dyDescent="0.35">
      <c r="A458" s="277" t="s">
        <v>1220</v>
      </c>
      <c r="B458" s="47">
        <f>SUM(B401:B457)</f>
        <v>5059</v>
      </c>
      <c r="C458" s="42">
        <f>SUM(C401:C457)</f>
        <v>13609</v>
      </c>
      <c r="D458" s="42">
        <f>SUM(D401:D457)</f>
        <v>24575</v>
      </c>
      <c r="E458" s="37">
        <f t="shared" ref="E458" si="203">SUM(B458:D458)</f>
        <v>43243</v>
      </c>
      <c r="F458" s="42">
        <f>SUM(F401:F457)</f>
        <v>35982</v>
      </c>
      <c r="G458" s="42">
        <f>SUM(G401:G457)</f>
        <v>32502</v>
      </c>
      <c r="H458" s="42">
        <f>SUM(H401:H457)</f>
        <v>34583</v>
      </c>
      <c r="I458" s="37">
        <f t="shared" ref="I458" si="204">SUM(F458:H458)</f>
        <v>103067</v>
      </c>
      <c r="J458" s="42">
        <f>SUM(J401:J457)</f>
        <v>35418</v>
      </c>
      <c r="K458" s="42">
        <f>SUM(K401:K457)</f>
        <v>35062</v>
      </c>
      <c r="L458" s="42">
        <f>SUM(L401:L457)</f>
        <v>24950</v>
      </c>
      <c r="M458" s="37">
        <f t="shared" ref="M458" si="205">SUM(J458:L458)</f>
        <v>95430</v>
      </c>
      <c r="N458" s="42">
        <f>SUM(N401:N457)</f>
        <v>31140</v>
      </c>
      <c r="O458" s="42">
        <f>SUM(O401:O457)</f>
        <v>3981</v>
      </c>
      <c r="P458" s="42">
        <f>SUM(P401:P457)</f>
        <v>9142</v>
      </c>
      <c r="Q458" s="37">
        <f t="shared" si="183"/>
        <v>44263</v>
      </c>
      <c r="R458" s="37">
        <f>+E458+I458+M458+Q458</f>
        <v>286003</v>
      </c>
      <c r="T458" s="230"/>
    </row>
    <row r="459" spans="1:21" ht="15.75" customHeight="1" x14ac:dyDescent="0.3">
      <c r="A459" s="234" t="s">
        <v>1712</v>
      </c>
      <c r="B459" s="10"/>
      <c r="C459" s="10"/>
      <c r="D459" s="10"/>
      <c r="E459" s="38" t="s">
        <v>852</v>
      </c>
      <c r="F459" s="10"/>
      <c r="G459" s="10"/>
      <c r="H459" s="10"/>
      <c r="I459" s="38" t="s">
        <v>852</v>
      </c>
      <c r="J459" s="10"/>
      <c r="K459" s="10"/>
      <c r="L459" s="10"/>
      <c r="M459" s="38" t="s">
        <v>852</v>
      </c>
      <c r="N459" s="10"/>
      <c r="O459" s="10"/>
      <c r="P459" s="10"/>
      <c r="Q459" s="38" t="s">
        <v>852</v>
      </c>
      <c r="R459" s="38" t="s">
        <v>852</v>
      </c>
    </row>
    <row r="460" spans="1:21" ht="15.75" customHeight="1" x14ac:dyDescent="0.3">
      <c r="A460" s="234" t="s">
        <v>1021</v>
      </c>
      <c r="B460" s="10"/>
      <c r="C460" s="10"/>
      <c r="D460" s="10"/>
      <c r="E460" s="38" t="s">
        <v>852</v>
      </c>
      <c r="F460" s="10"/>
      <c r="G460" s="10"/>
      <c r="H460" s="10"/>
      <c r="I460" s="38" t="s">
        <v>852</v>
      </c>
      <c r="J460" s="10"/>
      <c r="K460" s="10"/>
      <c r="L460" s="10"/>
      <c r="M460" s="38" t="s">
        <v>852</v>
      </c>
      <c r="N460" s="10"/>
      <c r="O460" s="10"/>
      <c r="P460" s="10"/>
      <c r="Q460" s="38" t="s">
        <v>852</v>
      </c>
      <c r="R460" s="38" t="s">
        <v>852</v>
      </c>
    </row>
    <row r="461" spans="1:21" ht="15.75" customHeight="1" x14ac:dyDescent="0.3">
      <c r="A461" s="410" t="s">
        <v>3260</v>
      </c>
      <c r="B461" s="10"/>
      <c r="C461" s="10"/>
      <c r="D461" s="10"/>
      <c r="E461" s="38">
        <f>SUM(B461:D461)</f>
        <v>0</v>
      </c>
      <c r="F461" s="10"/>
      <c r="G461" s="10"/>
      <c r="H461" s="10"/>
      <c r="I461" s="38">
        <f>SUM(F461:H461)</f>
        <v>0</v>
      </c>
      <c r="J461" s="10"/>
      <c r="K461" s="10"/>
      <c r="L461" s="10"/>
      <c r="M461" s="38">
        <f>SUM(J461:L461)</f>
        <v>0</v>
      </c>
      <c r="N461" s="10"/>
      <c r="O461" s="10"/>
      <c r="P461" s="10"/>
      <c r="Q461" s="38">
        <f>SUM(N461:P461)</f>
        <v>0</v>
      </c>
      <c r="R461" s="38">
        <f>+E461+I461+M461+Q461</f>
        <v>0</v>
      </c>
      <c r="U461" s="707"/>
    </row>
    <row r="462" spans="1:21" ht="15.75" customHeight="1" x14ac:dyDescent="0.3">
      <c r="A462" s="234" t="s">
        <v>557</v>
      </c>
      <c r="B462" s="10"/>
      <c r="C462" s="10"/>
      <c r="D462" s="10"/>
      <c r="E462" s="38" t="s">
        <v>852</v>
      </c>
      <c r="F462" s="10"/>
      <c r="G462" s="10"/>
      <c r="H462" s="10"/>
      <c r="I462" s="38" t="s">
        <v>852</v>
      </c>
      <c r="J462" s="10"/>
      <c r="K462" s="10"/>
      <c r="L462" s="10"/>
      <c r="M462" s="38" t="s">
        <v>852</v>
      </c>
      <c r="N462" s="10"/>
      <c r="O462" s="10"/>
      <c r="P462" s="10"/>
      <c r="Q462" s="38" t="s">
        <v>852</v>
      </c>
      <c r="R462" s="38" t="s">
        <v>852</v>
      </c>
    </row>
    <row r="463" spans="1:21" ht="15.75" customHeight="1" x14ac:dyDescent="0.3">
      <c r="A463" s="410" t="s">
        <v>2566</v>
      </c>
      <c r="B463" s="10"/>
      <c r="C463" s="10"/>
      <c r="D463" s="10"/>
      <c r="E463" s="38">
        <f>SUM(B463:D463)</f>
        <v>0</v>
      </c>
      <c r="F463" s="10"/>
      <c r="G463" s="10"/>
      <c r="H463" s="10"/>
      <c r="I463" s="38">
        <f>SUM(F463:H463)</f>
        <v>0</v>
      </c>
      <c r="J463" s="10"/>
      <c r="K463" s="10"/>
      <c r="L463" s="10"/>
      <c r="M463" s="38">
        <f>SUM(J463:L463)</f>
        <v>0</v>
      </c>
      <c r="N463" s="10"/>
      <c r="O463" s="10"/>
      <c r="P463" s="10"/>
      <c r="Q463" s="38">
        <f>SUM(N463:P463)</f>
        <v>0</v>
      </c>
      <c r="R463" s="38">
        <f>+E463+I463+M463+Q463</f>
        <v>0</v>
      </c>
    </row>
    <row r="464" spans="1:21" ht="15.75" customHeight="1" x14ac:dyDescent="0.3">
      <c r="A464" s="410" t="s">
        <v>2657</v>
      </c>
      <c r="B464" s="10"/>
      <c r="C464" s="10"/>
      <c r="D464" s="10"/>
      <c r="E464" s="38">
        <f>SUM(B464:D464)</f>
        <v>0</v>
      </c>
      <c r="F464" s="10"/>
      <c r="G464" s="10"/>
      <c r="H464" s="10"/>
      <c r="I464" s="38">
        <f>SUM(F464:H464)</f>
        <v>0</v>
      </c>
      <c r="J464" s="10"/>
      <c r="K464" s="10"/>
      <c r="L464" s="10"/>
      <c r="M464" s="38">
        <f>SUM(J464:L464)</f>
        <v>0</v>
      </c>
      <c r="N464" s="10"/>
      <c r="O464" s="10"/>
      <c r="P464" s="10"/>
      <c r="Q464" s="38">
        <f>SUM(N464:P464)</f>
        <v>0</v>
      </c>
      <c r="R464" s="38">
        <f>+E464+I464+M464+Q464</f>
        <v>0</v>
      </c>
    </row>
    <row r="465" spans="1:21" ht="15.75" customHeight="1" x14ac:dyDescent="0.3">
      <c r="A465" s="234" t="s">
        <v>1022</v>
      </c>
      <c r="B465" s="10"/>
      <c r="C465" s="10"/>
      <c r="D465" s="10"/>
      <c r="E465" s="38" t="s">
        <v>852</v>
      </c>
      <c r="F465" s="10"/>
      <c r="G465" s="10"/>
      <c r="H465" s="10"/>
      <c r="I465" s="38" t="s">
        <v>852</v>
      </c>
      <c r="J465" s="10"/>
      <c r="K465" s="10"/>
      <c r="L465" s="10"/>
      <c r="M465" s="38" t="s">
        <v>852</v>
      </c>
      <c r="N465" s="10"/>
      <c r="O465" s="10"/>
      <c r="P465" s="10"/>
      <c r="Q465" s="38" t="s">
        <v>852</v>
      </c>
      <c r="R465" s="38" t="s">
        <v>852</v>
      </c>
    </row>
    <row r="466" spans="1:21" ht="15.75" customHeight="1" x14ac:dyDescent="0.3">
      <c r="A466" s="256" t="s">
        <v>2486</v>
      </c>
      <c r="B466" s="10"/>
      <c r="C466" s="10"/>
      <c r="D466" s="10"/>
      <c r="E466" s="38">
        <f t="shared" ref="E466:E471" si="206">SUM(B466:D466)</f>
        <v>0</v>
      </c>
      <c r="F466" s="10"/>
      <c r="G466" s="10"/>
      <c r="H466" s="10"/>
      <c r="I466" s="38">
        <f t="shared" ref="I466:I471" si="207">SUM(F466:H466)</f>
        <v>0</v>
      </c>
      <c r="J466" s="10"/>
      <c r="K466" s="10"/>
      <c r="L466" s="10"/>
      <c r="M466" s="38">
        <f t="shared" ref="M466:M471" si="208">SUM(J466:L466)</f>
        <v>0</v>
      </c>
      <c r="N466" s="10"/>
      <c r="O466" s="10"/>
      <c r="P466" s="10"/>
      <c r="Q466" s="38">
        <f t="shared" ref="Q466:Q471" si="209">SUM(N466:P466)</f>
        <v>0</v>
      </c>
      <c r="R466" s="38">
        <f t="shared" ref="R466:R471" si="210">+E466+I466+M466+Q466</f>
        <v>0</v>
      </c>
      <c r="T466" t="s">
        <v>2178</v>
      </c>
    </row>
    <row r="467" spans="1:21" ht="15.75" customHeight="1" x14ac:dyDescent="0.3">
      <c r="A467" s="311" t="s">
        <v>1374</v>
      </c>
      <c r="B467" s="10"/>
      <c r="C467" s="10"/>
      <c r="D467" s="10"/>
      <c r="E467" s="38">
        <f t="shared" ref="E467" si="211">SUM(B467:D467)</f>
        <v>0</v>
      </c>
      <c r="F467" s="10"/>
      <c r="G467" s="10"/>
      <c r="H467" s="10"/>
      <c r="I467" s="38">
        <f t="shared" si="207"/>
        <v>0</v>
      </c>
      <c r="J467" s="10"/>
      <c r="K467" s="10"/>
      <c r="L467" s="10"/>
      <c r="M467" s="38">
        <f t="shared" si="208"/>
        <v>0</v>
      </c>
      <c r="N467" s="10"/>
      <c r="O467" s="10"/>
      <c r="P467" s="10"/>
      <c r="Q467" s="38">
        <f t="shared" si="209"/>
        <v>0</v>
      </c>
      <c r="R467" s="38">
        <f t="shared" si="210"/>
        <v>0</v>
      </c>
      <c r="T467" t="s">
        <v>2178</v>
      </c>
    </row>
    <row r="468" spans="1:21" ht="15.75" customHeight="1" x14ac:dyDescent="0.3">
      <c r="A468" s="410" t="s">
        <v>3261</v>
      </c>
      <c r="B468" s="10"/>
      <c r="C468" s="10"/>
      <c r="D468" s="10"/>
      <c r="E468" s="38">
        <f t="shared" si="206"/>
        <v>0</v>
      </c>
      <c r="F468" s="10"/>
      <c r="G468" s="10"/>
      <c r="H468" s="10"/>
      <c r="I468" s="38">
        <f t="shared" si="207"/>
        <v>0</v>
      </c>
      <c r="J468" s="10"/>
      <c r="K468" s="10"/>
      <c r="L468" s="10"/>
      <c r="M468" s="38">
        <f t="shared" si="208"/>
        <v>0</v>
      </c>
      <c r="N468" s="10"/>
      <c r="O468" s="10"/>
      <c r="P468" s="10"/>
      <c r="Q468" s="38">
        <f t="shared" si="209"/>
        <v>0</v>
      </c>
      <c r="R468" s="38">
        <f t="shared" si="210"/>
        <v>0</v>
      </c>
      <c r="T468" t="s">
        <v>2175</v>
      </c>
    </row>
    <row r="469" spans="1:21" ht="15.75" customHeight="1" x14ac:dyDescent="0.3">
      <c r="A469" s="410" t="s">
        <v>3262</v>
      </c>
      <c r="B469" s="10"/>
      <c r="C469" s="10"/>
      <c r="D469" s="10"/>
      <c r="E469" s="38">
        <f t="shared" si="206"/>
        <v>0</v>
      </c>
      <c r="F469" s="10"/>
      <c r="G469" s="10"/>
      <c r="H469" s="10"/>
      <c r="I469" s="38">
        <f t="shared" si="207"/>
        <v>0</v>
      </c>
      <c r="J469" s="10"/>
      <c r="K469" s="10"/>
      <c r="L469" s="10"/>
      <c r="M469" s="38">
        <f t="shared" si="208"/>
        <v>0</v>
      </c>
      <c r="N469" s="10"/>
      <c r="O469" s="10"/>
      <c r="P469" s="10"/>
      <c r="Q469" s="38">
        <f t="shared" si="209"/>
        <v>0</v>
      </c>
      <c r="R469" s="38">
        <f t="shared" si="210"/>
        <v>0</v>
      </c>
    </row>
    <row r="470" spans="1:21" ht="15.75" customHeight="1" x14ac:dyDescent="0.3">
      <c r="A470" s="311" t="s">
        <v>1376</v>
      </c>
      <c r="B470" s="10"/>
      <c r="C470" s="10"/>
      <c r="D470" s="10"/>
      <c r="E470" s="38">
        <f t="shared" si="206"/>
        <v>0</v>
      </c>
      <c r="F470" s="10"/>
      <c r="G470" s="10"/>
      <c r="H470" s="10"/>
      <c r="I470" s="38">
        <f t="shared" si="207"/>
        <v>0</v>
      </c>
      <c r="J470" s="10"/>
      <c r="K470" s="10"/>
      <c r="L470" s="10"/>
      <c r="M470" s="38">
        <f t="shared" si="208"/>
        <v>0</v>
      </c>
      <c r="N470" s="10"/>
      <c r="O470" s="10"/>
      <c r="P470" s="10"/>
      <c r="Q470" s="38">
        <f t="shared" si="209"/>
        <v>0</v>
      </c>
      <c r="R470" s="38">
        <f t="shared" si="210"/>
        <v>0</v>
      </c>
    </row>
    <row r="471" spans="1:21" ht="15.75" customHeight="1" x14ac:dyDescent="0.3">
      <c r="A471" s="311" t="s">
        <v>1227</v>
      </c>
      <c r="B471" s="10"/>
      <c r="C471" s="10"/>
      <c r="D471" s="10"/>
      <c r="E471" s="38">
        <f t="shared" si="206"/>
        <v>0</v>
      </c>
      <c r="F471" s="10"/>
      <c r="G471" s="10"/>
      <c r="H471" s="10"/>
      <c r="I471" s="38">
        <f t="shared" si="207"/>
        <v>0</v>
      </c>
      <c r="J471" s="10"/>
      <c r="K471" s="10"/>
      <c r="L471" s="10"/>
      <c r="M471" s="38">
        <f t="shared" si="208"/>
        <v>0</v>
      </c>
      <c r="N471" s="10"/>
      <c r="O471" s="10"/>
      <c r="P471" s="10"/>
      <c r="Q471" s="38">
        <f t="shared" si="209"/>
        <v>0</v>
      </c>
      <c r="R471" s="38">
        <f t="shared" si="210"/>
        <v>0</v>
      </c>
      <c r="T471" t="s">
        <v>2178</v>
      </c>
    </row>
    <row r="472" spans="1:21" ht="15.75" customHeight="1" x14ac:dyDescent="0.3">
      <c r="A472" s="234" t="s">
        <v>559</v>
      </c>
      <c r="B472" s="10"/>
      <c r="C472" s="10"/>
      <c r="D472" s="10"/>
      <c r="E472" s="38" t="s">
        <v>852</v>
      </c>
      <c r="F472" s="10"/>
      <c r="G472" s="10"/>
      <c r="H472" s="10"/>
      <c r="I472" s="38" t="s">
        <v>852</v>
      </c>
      <c r="J472" s="10"/>
      <c r="K472" s="10"/>
      <c r="L472" s="10"/>
      <c r="M472" s="38" t="s">
        <v>852</v>
      </c>
      <c r="N472" s="10"/>
      <c r="O472" s="10"/>
      <c r="P472" s="10"/>
      <c r="Q472" s="38" t="s">
        <v>852</v>
      </c>
      <c r="R472" s="38" t="s">
        <v>852</v>
      </c>
    </row>
    <row r="473" spans="1:21" ht="15.75" customHeight="1" x14ac:dyDescent="0.3">
      <c r="A473" s="410" t="s">
        <v>2936</v>
      </c>
      <c r="B473" s="10"/>
      <c r="C473" s="10"/>
      <c r="D473" s="10"/>
      <c r="E473" s="38">
        <f>SUM(B473:D473)</f>
        <v>0</v>
      </c>
      <c r="F473" s="10"/>
      <c r="G473" s="10"/>
      <c r="H473" s="10"/>
      <c r="I473" s="38">
        <f>SUM(F473:H473)</f>
        <v>0</v>
      </c>
      <c r="J473" s="10"/>
      <c r="K473" s="10"/>
      <c r="L473" s="10"/>
      <c r="M473" s="38">
        <f>SUM(J473:L473)</f>
        <v>0</v>
      </c>
      <c r="N473" s="10"/>
      <c r="O473" s="10"/>
      <c r="P473" s="10"/>
      <c r="Q473" s="38">
        <f>SUM(N473:P473)</f>
        <v>0</v>
      </c>
      <c r="R473" s="38">
        <f>+E473+I473+M473+Q473</f>
        <v>0</v>
      </c>
      <c r="T473" t="s">
        <v>2174</v>
      </c>
    </row>
    <row r="474" spans="1:21" ht="15.75" customHeight="1" x14ac:dyDescent="0.3">
      <c r="A474" s="410" t="s">
        <v>2832</v>
      </c>
      <c r="B474" s="10"/>
      <c r="C474" s="10"/>
      <c r="D474" s="10"/>
      <c r="E474" s="38">
        <f>SUM(B474:D474)</f>
        <v>0</v>
      </c>
      <c r="F474" s="10"/>
      <c r="G474" s="10"/>
      <c r="H474" s="10"/>
      <c r="I474" s="38">
        <f>SUM(F474:H474)</f>
        <v>0</v>
      </c>
      <c r="J474" s="10"/>
      <c r="K474" s="10"/>
      <c r="L474" s="10"/>
      <c r="M474" s="38">
        <f>SUM(J474:L474)</f>
        <v>0</v>
      </c>
      <c r="N474" s="10"/>
      <c r="O474" s="10"/>
      <c r="P474" s="10"/>
      <c r="Q474" s="38">
        <f>SUM(N474:P474)</f>
        <v>0</v>
      </c>
      <c r="R474" s="38">
        <f>+E474+I474+M474+Q474</f>
        <v>0</v>
      </c>
      <c r="T474" t="s">
        <v>2174</v>
      </c>
    </row>
    <row r="475" spans="1:21" ht="15.75" customHeight="1" x14ac:dyDescent="0.3">
      <c r="A475" s="410" t="s">
        <v>3225</v>
      </c>
      <c r="B475" s="10"/>
      <c r="C475" s="10"/>
      <c r="D475" s="10"/>
      <c r="E475" s="38">
        <f>SUM(B475:D475)</f>
        <v>0</v>
      </c>
      <c r="F475" s="10"/>
      <c r="G475" s="10"/>
      <c r="H475" s="10"/>
      <c r="I475" s="38">
        <f>SUM(F475:H475)</f>
        <v>0</v>
      </c>
      <c r="J475" s="10"/>
      <c r="K475" s="10"/>
      <c r="L475" s="10"/>
      <c r="M475" s="38">
        <f>SUM(J475:L475)</f>
        <v>0</v>
      </c>
      <c r="N475" s="10"/>
      <c r="O475" s="10"/>
      <c r="P475" s="10"/>
      <c r="Q475" s="38">
        <f>SUM(N475:P475)</f>
        <v>0</v>
      </c>
      <c r="R475" s="38">
        <f>+E475+I475+M475+Q475</f>
        <v>0</v>
      </c>
    </row>
    <row r="476" spans="1:21" ht="15.75" customHeight="1" x14ac:dyDescent="0.3">
      <c r="A476" s="410" t="s">
        <v>2569</v>
      </c>
      <c r="B476" s="10"/>
      <c r="C476" s="10"/>
      <c r="D476" s="10"/>
      <c r="E476" s="38">
        <f>SUM(B476:D476)</f>
        <v>0</v>
      </c>
      <c r="F476" s="10"/>
      <c r="G476" s="10"/>
      <c r="H476" s="10"/>
      <c r="I476" s="38">
        <f>SUM(F476:H476)</f>
        <v>0</v>
      </c>
      <c r="J476" s="10"/>
      <c r="K476" s="10"/>
      <c r="L476" s="10"/>
      <c r="M476" s="38">
        <f>SUM(J476:L476)</f>
        <v>0</v>
      </c>
      <c r="N476" s="10"/>
      <c r="O476" s="10"/>
      <c r="P476" s="10"/>
      <c r="Q476" s="38">
        <f>SUM(N476:P476)</f>
        <v>0</v>
      </c>
      <c r="R476" s="38">
        <f>+E476+I476+M476+Q476</f>
        <v>0</v>
      </c>
    </row>
    <row r="477" spans="1:21" ht="15.75" customHeight="1" x14ac:dyDescent="0.3">
      <c r="A477" s="410" t="s">
        <v>2570</v>
      </c>
      <c r="B477" s="10"/>
      <c r="C477" s="10"/>
      <c r="D477" s="10"/>
      <c r="E477" s="38">
        <f t="shared" ref="E477" si="212">SUM(B477:D477)</f>
        <v>0</v>
      </c>
      <c r="F477" s="10"/>
      <c r="G477" s="10"/>
      <c r="H477" s="10"/>
      <c r="I477" s="38">
        <f t="shared" ref="I477" si="213">SUM(F477:H477)</f>
        <v>0</v>
      </c>
      <c r="J477" s="10"/>
      <c r="K477" s="10"/>
      <c r="L477" s="10"/>
      <c r="M477" s="38">
        <f t="shared" ref="M477" si="214">SUM(J477:L477)</f>
        <v>0</v>
      </c>
      <c r="N477" s="10"/>
      <c r="O477" s="10"/>
      <c r="P477" s="10"/>
      <c r="Q477" s="38">
        <f t="shared" ref="Q477:Q488" si="215">SUM(N477:P477)</f>
        <v>0</v>
      </c>
      <c r="R477" s="38">
        <f t="shared" ref="R477:R488" si="216">+E477+I477+M477+Q477</f>
        <v>0</v>
      </c>
    </row>
    <row r="478" spans="1:21" ht="15.75" customHeight="1" x14ac:dyDescent="0.3">
      <c r="A478" s="410" t="s">
        <v>2571</v>
      </c>
      <c r="B478" s="10"/>
      <c r="C478" s="10"/>
      <c r="D478" s="10"/>
      <c r="E478" s="38">
        <f>SUM(B478:D478)</f>
        <v>0</v>
      </c>
      <c r="F478" s="10"/>
      <c r="G478" s="10"/>
      <c r="H478" s="10"/>
      <c r="I478" s="38">
        <f>SUM(F478:H478)</f>
        <v>0</v>
      </c>
      <c r="J478" s="10"/>
      <c r="K478" s="10"/>
      <c r="L478" s="10"/>
      <c r="M478" s="38">
        <f>SUM(J478:L478)</f>
        <v>0</v>
      </c>
      <c r="N478" s="10"/>
      <c r="O478" s="10"/>
      <c r="P478" s="10"/>
      <c r="Q478" s="38">
        <f>SUM(N478:P478)</f>
        <v>0</v>
      </c>
      <c r="R478" s="38">
        <f>+E478+I478+M478+Q478</f>
        <v>0</v>
      </c>
    </row>
    <row r="479" spans="1:21" ht="15.75" customHeight="1" x14ac:dyDescent="0.3">
      <c r="A479" s="410" t="s">
        <v>2572</v>
      </c>
      <c r="B479" s="10"/>
      <c r="C479" s="10"/>
      <c r="D479" s="10"/>
      <c r="E479" s="38">
        <f>SUM(B479:D479)</f>
        <v>0</v>
      </c>
      <c r="F479" s="10"/>
      <c r="G479" s="10"/>
      <c r="H479" s="10"/>
      <c r="I479" s="38">
        <f>SUM(F479:H479)</f>
        <v>0</v>
      </c>
      <c r="J479" s="10"/>
      <c r="K479" s="10"/>
      <c r="L479" s="10"/>
      <c r="M479" s="38">
        <f>SUM(J479:L479)</f>
        <v>0</v>
      </c>
      <c r="N479" s="10"/>
      <c r="O479" s="10"/>
      <c r="P479" s="10"/>
      <c r="Q479" s="38">
        <f>SUM(N479:P479)</f>
        <v>0</v>
      </c>
      <c r="R479" s="38">
        <f>+E479+I479+M479+Q479</f>
        <v>0</v>
      </c>
      <c r="T479" t="s">
        <v>2174</v>
      </c>
      <c r="U479" s="707"/>
    </row>
    <row r="480" spans="1:21" ht="15.75" customHeight="1" x14ac:dyDescent="0.3">
      <c r="A480" s="410" t="s">
        <v>2573</v>
      </c>
      <c r="B480" s="10"/>
      <c r="C480" s="10"/>
      <c r="D480" s="10"/>
      <c r="E480" s="38">
        <f>SUM(B480:D480)</f>
        <v>0</v>
      </c>
      <c r="F480" s="10"/>
      <c r="G480" s="10"/>
      <c r="H480" s="10"/>
      <c r="I480" s="38">
        <f>SUM(F480:H480)</f>
        <v>0</v>
      </c>
      <c r="J480" s="10"/>
      <c r="K480" s="10"/>
      <c r="L480" s="10"/>
      <c r="M480" s="38">
        <f>SUM(J480:L480)</f>
        <v>0</v>
      </c>
      <c r="N480" s="10"/>
      <c r="O480" s="10"/>
      <c r="P480" s="10"/>
      <c r="Q480" s="38">
        <f>SUM(N480:P480)</f>
        <v>0</v>
      </c>
      <c r="R480" s="38">
        <f>+E480+I480+M480+Q480</f>
        <v>0</v>
      </c>
    </row>
    <row r="481" spans="1:20" ht="15.75" customHeight="1" x14ac:dyDescent="0.3">
      <c r="A481" s="410" t="s">
        <v>3226</v>
      </c>
      <c r="B481" s="10"/>
      <c r="C481" s="10"/>
      <c r="D481" s="10"/>
      <c r="E481" s="38">
        <f>SUM(B481:D481)</f>
        <v>0</v>
      </c>
      <c r="F481" s="10"/>
      <c r="G481" s="10"/>
      <c r="H481" s="10"/>
      <c r="I481" s="38">
        <f>SUM(F481:H481)</f>
        <v>0</v>
      </c>
      <c r="J481" s="10"/>
      <c r="K481" s="10"/>
      <c r="L481" s="10"/>
      <c r="M481" s="38">
        <f>SUM(J481:L481)</f>
        <v>0</v>
      </c>
      <c r="N481" s="10"/>
      <c r="O481" s="10"/>
      <c r="P481" s="10"/>
      <c r="Q481" s="38">
        <f>SUM(N481:P481)</f>
        <v>0</v>
      </c>
      <c r="R481" s="38">
        <f>+E481+I481+M481+Q481</f>
        <v>0</v>
      </c>
      <c r="T481" t="s">
        <v>2175</v>
      </c>
    </row>
    <row r="482" spans="1:20" ht="15.75" customHeight="1" thickBot="1" x14ac:dyDescent="0.35">
      <c r="A482" s="410" t="s">
        <v>2574</v>
      </c>
      <c r="B482" s="10"/>
      <c r="C482" s="10"/>
      <c r="D482" s="10"/>
      <c r="E482" s="38">
        <f>SUM(B482:D482)</f>
        <v>0</v>
      </c>
      <c r="F482" s="10"/>
      <c r="G482" s="10"/>
      <c r="H482" s="10"/>
      <c r="I482" s="38">
        <f>SUM(F482:H482)</f>
        <v>0</v>
      </c>
      <c r="J482" s="10"/>
      <c r="K482" s="10"/>
      <c r="L482" s="10"/>
      <c r="M482" s="38">
        <f>SUM(J482:L482)</f>
        <v>0</v>
      </c>
      <c r="N482" s="10"/>
      <c r="O482" s="10"/>
      <c r="P482" s="10"/>
      <c r="Q482" s="38">
        <f>SUM(N482:P482)</f>
        <v>0</v>
      </c>
      <c r="R482" s="38">
        <f>+E482+I482+M482+Q482</f>
        <v>0</v>
      </c>
      <c r="T482" t="s">
        <v>2175</v>
      </c>
    </row>
    <row r="483" spans="1:20" ht="16.5" customHeight="1" thickBot="1" x14ac:dyDescent="0.35">
      <c r="A483" s="43" t="s">
        <v>1019</v>
      </c>
      <c r="B483" s="42">
        <f>SUM(B465:B482)</f>
        <v>0</v>
      </c>
      <c r="C483" s="42">
        <f>SUM(C465:C482)</f>
        <v>0</v>
      </c>
      <c r="D483" s="42">
        <f>SUM(D465:D482)</f>
        <v>0</v>
      </c>
      <c r="E483" s="39">
        <f t="shared" ref="E483:E488" si="217">SUM(B483:D483)</f>
        <v>0</v>
      </c>
      <c r="F483" s="42">
        <f>SUM(F465:F482)</f>
        <v>0</v>
      </c>
      <c r="G483" s="42">
        <f>SUM(G465:G482)</f>
        <v>0</v>
      </c>
      <c r="H483" s="42">
        <f>SUM(H465:H482)</f>
        <v>0</v>
      </c>
      <c r="I483" s="39">
        <f t="shared" ref="I483:I488" si="218">SUM(F483:H483)</f>
        <v>0</v>
      </c>
      <c r="J483" s="42">
        <f>SUM(J465:J482)</f>
        <v>0</v>
      </c>
      <c r="K483" s="42">
        <f>SUM(K465:K482)</f>
        <v>0</v>
      </c>
      <c r="L483" s="42">
        <f>SUM(L465:L482)</f>
        <v>0</v>
      </c>
      <c r="M483" s="39">
        <f t="shared" ref="M483:M488" si="219">SUM(J483:L483)</f>
        <v>0</v>
      </c>
      <c r="N483" s="42">
        <f>SUM(N465:N482)</f>
        <v>0</v>
      </c>
      <c r="O483" s="42">
        <f>SUM(O465:O482)</f>
        <v>0</v>
      </c>
      <c r="P483" s="42">
        <f>SUM(P465:P482)</f>
        <v>0</v>
      </c>
      <c r="Q483" s="39">
        <f t="shared" si="215"/>
        <v>0</v>
      </c>
      <c r="R483" s="37">
        <f t="shared" si="216"/>
        <v>0</v>
      </c>
    </row>
    <row r="484" spans="1:20" ht="16.5" customHeight="1" thickBot="1" x14ac:dyDescent="0.35">
      <c r="A484" s="277" t="s">
        <v>1221</v>
      </c>
      <c r="B484" s="45">
        <f>SUM(B459:B482)</f>
        <v>0</v>
      </c>
      <c r="C484" s="46">
        <f>SUM(C459:C482)</f>
        <v>0</v>
      </c>
      <c r="D484" s="58">
        <f>SUM(D459:D482)</f>
        <v>0</v>
      </c>
      <c r="E484" s="39">
        <f t="shared" si="217"/>
        <v>0</v>
      </c>
      <c r="F484" s="46">
        <f>SUM(F459:F482)</f>
        <v>0</v>
      </c>
      <c r="G484" s="46">
        <f>SUM(G459:G482)</f>
        <v>0</v>
      </c>
      <c r="H484" s="46">
        <f>SUM(H459:H482)</f>
        <v>0</v>
      </c>
      <c r="I484" s="39">
        <f t="shared" si="218"/>
        <v>0</v>
      </c>
      <c r="J484" s="46">
        <f>SUM(J459:J482)</f>
        <v>0</v>
      </c>
      <c r="K484" s="46">
        <f>SUM(K459:K482)</f>
        <v>0</v>
      </c>
      <c r="L484" s="46">
        <f>SUM(L459:L482)</f>
        <v>0</v>
      </c>
      <c r="M484" s="39">
        <f t="shared" si="219"/>
        <v>0</v>
      </c>
      <c r="N484" s="46">
        <f>SUM(N459:N482)</f>
        <v>0</v>
      </c>
      <c r="O484" s="46">
        <f>SUM(O459:O482)</f>
        <v>0</v>
      </c>
      <c r="P484" s="46">
        <f>SUM(P459:P482)</f>
        <v>0</v>
      </c>
      <c r="Q484" s="39">
        <f t="shared" si="215"/>
        <v>0</v>
      </c>
      <c r="R484" s="37">
        <f t="shared" si="216"/>
        <v>0</v>
      </c>
    </row>
    <row r="485" spans="1:20" ht="16.5" customHeight="1" thickBot="1" x14ac:dyDescent="0.35">
      <c r="A485" s="43" t="s">
        <v>1222</v>
      </c>
      <c r="B485" s="47">
        <f>+B386+B400+B458+B484</f>
        <v>8929</v>
      </c>
      <c r="C485" s="42">
        <f>+C386+C400+C458+C484</f>
        <v>15996</v>
      </c>
      <c r="D485" s="42">
        <f>+D386+D400+D458+D484</f>
        <v>31561</v>
      </c>
      <c r="E485" s="37">
        <f t="shared" si="217"/>
        <v>56486</v>
      </c>
      <c r="F485" s="42">
        <f>+F386+F400+F458+F484</f>
        <v>66061</v>
      </c>
      <c r="G485" s="42">
        <f>+G386+G400+G458+G484</f>
        <v>60596</v>
      </c>
      <c r="H485" s="42">
        <f>+H386+H400+H458+H484</f>
        <v>80809</v>
      </c>
      <c r="I485" s="37">
        <f t="shared" si="218"/>
        <v>207466</v>
      </c>
      <c r="J485" s="42">
        <f>+J386+J400+J458+J484</f>
        <v>78774</v>
      </c>
      <c r="K485" s="42">
        <f>+K386+K400+K458+K484</f>
        <v>70877</v>
      </c>
      <c r="L485" s="42">
        <f>+L386+L400+L458+L484</f>
        <v>49740</v>
      </c>
      <c r="M485" s="37">
        <f t="shared" si="219"/>
        <v>199391</v>
      </c>
      <c r="N485" s="42">
        <f>+N386+N400+N458+N484</f>
        <v>49885</v>
      </c>
      <c r="O485" s="42">
        <f>+O386+O400+O458+O484</f>
        <v>4863</v>
      </c>
      <c r="P485" s="42">
        <f>+P386+P400+P458+P484</f>
        <v>25789</v>
      </c>
      <c r="Q485" s="37">
        <f t="shared" si="215"/>
        <v>80537</v>
      </c>
      <c r="R485" s="40">
        <f t="shared" si="216"/>
        <v>543880</v>
      </c>
    </row>
    <row r="486" spans="1:20" ht="15.75" customHeight="1" x14ac:dyDescent="0.3">
      <c r="A486" s="539" t="s">
        <v>2273</v>
      </c>
      <c r="B486" s="172"/>
      <c r="C486" s="172"/>
      <c r="D486" s="172"/>
      <c r="E486" s="38">
        <f t="shared" si="217"/>
        <v>0</v>
      </c>
      <c r="F486" s="172"/>
      <c r="G486" s="172"/>
      <c r="H486" s="172"/>
      <c r="I486" s="38">
        <f t="shared" si="218"/>
        <v>0</v>
      </c>
      <c r="J486" s="172"/>
      <c r="K486" s="172"/>
      <c r="L486" s="172"/>
      <c r="M486" s="38">
        <f t="shared" si="219"/>
        <v>0</v>
      </c>
      <c r="N486" s="172"/>
      <c r="O486" s="172"/>
      <c r="P486" s="172"/>
      <c r="Q486" s="38">
        <f t="shared" si="215"/>
        <v>0</v>
      </c>
      <c r="R486" s="38">
        <f t="shared" si="216"/>
        <v>0</v>
      </c>
    </row>
    <row r="487" spans="1:20" ht="15.75" customHeight="1" x14ac:dyDescent="0.3">
      <c r="A487" s="539" t="s">
        <v>2274</v>
      </c>
      <c r="B487" s="172"/>
      <c r="C487" s="172"/>
      <c r="D487" s="172"/>
      <c r="E487" s="38">
        <f t="shared" si="217"/>
        <v>0</v>
      </c>
      <c r="F487" s="172"/>
      <c r="G487" s="172"/>
      <c r="H487" s="172"/>
      <c r="I487" s="38">
        <f t="shared" si="218"/>
        <v>0</v>
      </c>
      <c r="J487" s="172"/>
      <c r="K487" s="172"/>
      <c r="L487" s="172"/>
      <c r="M487" s="38">
        <f t="shared" si="219"/>
        <v>0</v>
      </c>
      <c r="N487" s="172"/>
      <c r="O487" s="172"/>
      <c r="P487" s="172"/>
      <c r="Q487" s="38">
        <f t="shared" si="215"/>
        <v>0</v>
      </c>
      <c r="R487" s="38">
        <f t="shared" si="216"/>
        <v>0</v>
      </c>
    </row>
    <row r="488" spans="1:20" ht="16.5" customHeight="1" thickBot="1" x14ac:dyDescent="0.35">
      <c r="A488" s="257" t="s">
        <v>853</v>
      </c>
      <c r="B488" s="238">
        <v>155</v>
      </c>
      <c r="C488" s="238">
        <v>283</v>
      </c>
      <c r="D488" s="238">
        <v>435</v>
      </c>
      <c r="E488" s="40">
        <f t="shared" si="217"/>
        <v>873</v>
      </c>
      <c r="F488" s="238">
        <v>602</v>
      </c>
      <c r="G488" s="238">
        <v>711</v>
      </c>
      <c r="H488" s="238">
        <v>722</v>
      </c>
      <c r="I488" s="40">
        <f t="shared" si="218"/>
        <v>2035</v>
      </c>
      <c r="J488" s="238">
        <v>686</v>
      </c>
      <c r="K488" s="238">
        <v>519</v>
      </c>
      <c r="L488" s="238">
        <v>531</v>
      </c>
      <c r="M488" s="40">
        <f t="shared" si="219"/>
        <v>1736</v>
      </c>
      <c r="N488" s="238">
        <v>489</v>
      </c>
      <c r="O488" s="238">
        <v>389</v>
      </c>
      <c r="P488" s="238">
        <v>275</v>
      </c>
      <c r="Q488" s="40">
        <f t="shared" si="215"/>
        <v>1153</v>
      </c>
      <c r="R488" s="38">
        <f t="shared" si="216"/>
        <v>5797</v>
      </c>
    </row>
    <row r="489" spans="1:20" ht="16.5" customHeight="1" thickBot="1" x14ac:dyDescent="0.35">
      <c r="A489" s="44"/>
      <c r="B489" s="258"/>
      <c r="C489" s="258"/>
      <c r="D489" s="258"/>
      <c r="E489" s="37"/>
      <c r="F489" s="258"/>
      <c r="G489" s="258"/>
      <c r="H489" s="258"/>
      <c r="I489" s="37"/>
      <c r="J489" s="258"/>
      <c r="K489" s="258"/>
      <c r="L489" s="258"/>
      <c r="M489" s="37"/>
      <c r="N489" s="258"/>
      <c r="O489" s="258"/>
      <c r="P489" s="258"/>
      <c r="Q489" s="37"/>
      <c r="R489" s="37" t="s">
        <v>852</v>
      </c>
    </row>
    <row r="490" spans="1:20" ht="15.75" customHeight="1" x14ac:dyDescent="0.3">
      <c r="A490" s="259" t="s">
        <v>2011</v>
      </c>
      <c r="B490" s="260">
        <f>SUM(B485:B488)</f>
        <v>9084</v>
      </c>
      <c r="C490" s="260">
        <f>SUM(C485:C488)</f>
        <v>16279</v>
      </c>
      <c r="D490" s="260">
        <f>SUM(D485:D488)</f>
        <v>31996</v>
      </c>
      <c r="E490" s="39">
        <f>SUM(B490:D490)</f>
        <v>57359</v>
      </c>
      <c r="F490" s="260">
        <f>SUM(F485:F488)</f>
        <v>66663</v>
      </c>
      <c r="G490" s="260">
        <f>SUM(G485:G488)</f>
        <v>61307</v>
      </c>
      <c r="H490" s="260">
        <f>SUM(H485:H488)</f>
        <v>81531</v>
      </c>
      <c r="I490" s="39">
        <f>SUM(F490:H490)</f>
        <v>209501</v>
      </c>
      <c r="J490" s="260">
        <f>SUM(J485:J488)</f>
        <v>79460</v>
      </c>
      <c r="K490" s="260">
        <f>SUM(K485:K488)</f>
        <v>71396</v>
      </c>
      <c r="L490" s="260">
        <f>SUM(L485:L488)</f>
        <v>50271</v>
      </c>
      <c r="M490" s="39">
        <f>SUM(J490:L490)</f>
        <v>201127</v>
      </c>
      <c r="N490" s="260">
        <f>SUM(N485:N488)</f>
        <v>50374</v>
      </c>
      <c r="O490" s="260">
        <f>SUM(O485:O488)</f>
        <v>5252</v>
      </c>
      <c r="P490" s="260">
        <f>SUM(P485:P488)</f>
        <v>26064</v>
      </c>
      <c r="Q490" s="39">
        <f>SUM(N490:P490)</f>
        <v>81690</v>
      </c>
      <c r="R490" s="39">
        <f>+E490+I490+M490+Q490</f>
        <v>549677</v>
      </c>
    </row>
    <row r="491" spans="1:20" ht="15.75" customHeight="1" x14ac:dyDescent="0.3">
      <c r="A491" s="262" t="s">
        <v>1897</v>
      </c>
      <c r="B491" s="172">
        <f>(B490/B10)/1.983</f>
        <v>147.77219266995266</v>
      </c>
      <c r="C491" s="172">
        <f>(C490/C10)/1.983</f>
        <v>293.18853108565662</v>
      </c>
      <c r="D491" s="172">
        <f>(D490/D10)/1.983</f>
        <v>520.48866982252378</v>
      </c>
      <c r="E491" s="38" t="s">
        <v>852</v>
      </c>
      <c r="F491" s="172">
        <f>(F490/F10)/1.983</f>
        <v>1120.5748865355522</v>
      </c>
      <c r="G491" s="172">
        <f>(G490/G10)/1.983</f>
        <v>997.29962747873049</v>
      </c>
      <c r="H491" s="172">
        <f>(H490/H10)/1.983</f>
        <v>1370.4992435703477</v>
      </c>
      <c r="I491" s="38" t="s">
        <v>852</v>
      </c>
      <c r="J491" s="172">
        <f>(J490/J10)/1.983</f>
        <v>1292.6000032534607</v>
      </c>
      <c r="K491" s="172">
        <f>(K490/K10)/1.983</f>
        <v>1161.420461015405</v>
      </c>
      <c r="L491" s="172">
        <f>(L490/L10)/1.983</f>
        <v>845.03277861825518</v>
      </c>
      <c r="M491" s="38" t="s">
        <v>852</v>
      </c>
      <c r="N491" s="172">
        <f>(N490/N10)/1.983</f>
        <v>819.4491890748784</v>
      </c>
      <c r="O491" s="172">
        <f>(O490/O10)/1.983</f>
        <v>88.283745167254992</v>
      </c>
      <c r="P491" s="172">
        <f>(P490/P10)/1.983</f>
        <v>423.99102044800151</v>
      </c>
      <c r="Q491" s="38" t="s">
        <v>852</v>
      </c>
      <c r="R491" s="38" t="s">
        <v>852</v>
      </c>
    </row>
    <row r="492" spans="1:20" ht="15.75" customHeight="1" x14ac:dyDescent="0.3">
      <c r="A492" s="262" t="s">
        <v>2432</v>
      </c>
      <c r="B492" s="172">
        <f>B490+B542</f>
        <v>24277</v>
      </c>
      <c r="C492" s="172">
        <f>C490+C542</f>
        <v>31058</v>
      </c>
      <c r="D492" s="172">
        <f>D490+D542</f>
        <v>56016</v>
      </c>
      <c r="E492" s="38">
        <f>SUM(B492:D492)</f>
        <v>111351</v>
      </c>
      <c r="F492" s="172">
        <f>F490+F542</f>
        <v>109062</v>
      </c>
      <c r="G492" s="172">
        <f>G490+G542</f>
        <v>96451</v>
      </c>
      <c r="H492" s="172">
        <f>H490+H542</f>
        <v>127265</v>
      </c>
      <c r="I492" s="38">
        <f>SUM(F492:H492)</f>
        <v>332778</v>
      </c>
      <c r="J492" s="172">
        <f>J490+J542</f>
        <v>131500</v>
      </c>
      <c r="K492" s="172">
        <f>K490+K542</f>
        <v>124832</v>
      </c>
      <c r="L492" s="172">
        <f>L490+L542</f>
        <v>80100</v>
      </c>
      <c r="M492" s="38">
        <f>SUM(J492:L492)</f>
        <v>336432</v>
      </c>
      <c r="N492" s="172">
        <f>N490+N542</f>
        <v>72203</v>
      </c>
      <c r="O492" s="172">
        <f>O490+O542</f>
        <v>6457</v>
      </c>
      <c r="P492" s="172">
        <f>P490+P542</f>
        <v>33349</v>
      </c>
      <c r="Q492" s="38">
        <f>SUM(N492:P492)</f>
        <v>112009</v>
      </c>
      <c r="R492" s="38">
        <f>+E492+I492+M492+Q492</f>
        <v>892570</v>
      </c>
    </row>
    <row r="493" spans="1:20" s="574" customFormat="1" ht="16.5" customHeight="1" thickBot="1" x14ac:dyDescent="0.35">
      <c r="A493" s="576" t="s">
        <v>104</v>
      </c>
      <c r="B493" s="577">
        <f>(B492/B10)/1.983</f>
        <v>394.92134758349192</v>
      </c>
      <c r="C493" s="577">
        <f>(C492/C10)/1.983</f>
        <v>559.36171745551474</v>
      </c>
      <c r="D493" s="577">
        <f>(D492/D10)/1.983</f>
        <v>911.22932018935137</v>
      </c>
      <c r="E493" s="578" t="s">
        <v>852</v>
      </c>
      <c r="F493" s="577">
        <f>(F492/F10)/1.983</f>
        <v>1833.2829046898637</v>
      </c>
      <c r="G493" s="577">
        <f>(G492/G10)/1.983</f>
        <v>1568.9977713793048</v>
      </c>
      <c r="H493" s="577">
        <f>(H492/H10)/1.983</f>
        <v>2139.2671037149103</v>
      </c>
      <c r="I493" s="578" t="s">
        <v>852</v>
      </c>
      <c r="J493" s="577">
        <f>(J492/J10)/1.983</f>
        <v>2139.1505213671044</v>
      </c>
      <c r="K493" s="577">
        <f>(K492/K10)/1.983</f>
        <v>2030.6801359946644</v>
      </c>
      <c r="L493" s="577">
        <f>(L492/L10)/1.983</f>
        <v>1346.4447806354008</v>
      </c>
      <c r="M493" s="578" t="s">
        <v>852</v>
      </c>
      <c r="N493" s="577">
        <f>(N492/N10)/1.983</f>
        <v>1174.5481756218176</v>
      </c>
      <c r="O493" s="577">
        <f>(O492/O10)/1.983</f>
        <v>108.53925029416708</v>
      </c>
      <c r="P493" s="577">
        <f>(P492/P10)/1.983</f>
        <v>542.49833260130458</v>
      </c>
      <c r="Q493" s="578" t="s">
        <v>852</v>
      </c>
      <c r="R493" s="578" t="s">
        <v>852</v>
      </c>
    </row>
    <row r="494" spans="1:20" ht="15.75" customHeight="1" x14ac:dyDescent="0.3">
      <c r="A494" s="351" t="s">
        <v>1011</v>
      </c>
      <c r="B494" s="352">
        <f>B$495+(SUMIF($T$326:$T$469,"FLG",B$333:B$487)/B10/1.98)+(SUMIF($T$326:$T$469,"FCA",B$333:B$487)/B10/1.98)+(SUMIF($T$326:$T$469,"NSC",B$333:B$487)/B10/1.98)</f>
        <v>336.6245540663578</v>
      </c>
      <c r="C494" s="352">
        <f>C$495+(SUMIF($T$326:$T$469,"FLG",C$333:C$487)/C10/1.98)+(SUMIF($T$326:$T$469,"FCA",C$333:C$487)/C10/1.98)+(SUMIF($T$326:$T$469,"NSC",C$333:C$487)/C10/1.98)</f>
        <v>386.50146919814085</v>
      </c>
      <c r="D494" s="352">
        <f>D$495+(SUMIF($T$326:$T$469,"FLG",D$333:D$487)/D10/1.98)+(SUMIF($T$326:$T$469,"FCA",D$333:D$487)/D10/1.98)+(SUMIF($T$326:$T$469,"NSC",D$333:D$487)/D10/1.98)</f>
        <v>595.31868881583387</v>
      </c>
      <c r="E494" s="329"/>
      <c r="F494" s="352">
        <f>F$495+(SUMIF($T$326:$T$469,"FLG",F$333:F$487)/F10/1.98)+(SUMIF($T$326:$T$469,"FCA",F$333:F$487)/F10/1.98)+(SUMIF($T$326:$T$469,"NSC",F$333:F$487)/F10/1.98)</f>
        <v>1195.064920511214</v>
      </c>
      <c r="G494" s="352">
        <f>G$495+(SUMIF($T$326:$T$469,"FLG",G$333:G$487)/G10/1.98)+(SUMIF($T$326:$T$469,"FCA",G$333:G$487)/G10/1.98)+(SUMIF($T$326:$T$469,"NSC",G$333:G$487)/G10/1.98)</f>
        <v>899.36187801592132</v>
      </c>
      <c r="H494" s="352">
        <f>H$495+(SUMIF($T$326:$T$469,"FLG",H$333:H$487)/H10/1.98)+(SUMIF($T$326:$T$469,"FCA",H$333:H$487)/H10/1.98)+(SUMIF($T$326:$T$469,"NSC",H$333:H$487)/H10/1.98)</f>
        <v>1430.9732473499491</v>
      </c>
      <c r="I494" s="350"/>
      <c r="J494" s="352">
        <f>J$495+(SUMIF($T$326:$T$469,"FLG",J$333:J$487)/J10/1.98)+(SUMIF($T$326:$T$469,"FCA",J$333:J$487)/J10/1.98)+(SUMIF($T$326:$T$469,"NSC",J$333:J$487)/J10/1.98)</f>
        <v>1497.3325317988829</v>
      </c>
      <c r="K494" s="352">
        <f>K$495+(SUMIF($T$326:$T$469,"FLG",K$333:K$487)/K10/1.98)+(SUMIF($T$326:$T$469,"FCA",K$333:K$487)/K10/1.98)+(SUMIF($T$326:$T$469,"NSC",K$333:K$487)/K10/1.98)</f>
        <v>1386.80610704182</v>
      </c>
      <c r="L494" s="352">
        <f>L$495+(SUMIF($T$326:$T$469,"FLG",L$333:L$487)/L10/1.98)+(SUMIF($T$326:$T$469,"FCA",L$333:L$487)/L10/1.98)+(SUMIF($T$326:$T$469,"NSC",L$333:L$487)/L10/1.98)</f>
        <v>799.98102558616927</v>
      </c>
      <c r="M494" s="350"/>
      <c r="N494" s="352">
        <f>N$495+(SUMIF($T$326:$T$469,"FLG",N$333:N$487)/N10/1.98)+(SUMIF($T$326:$T$469,"FCA",N$333:N$487)/N10/1.98)+(SUMIF($T$326:$T$469,"NSC",N$333:N$487)/N10/1.98)</f>
        <v>607.37985979555447</v>
      </c>
      <c r="O494" s="352">
        <f>O$495+(SUMIF($T$326:$T$469,"FLG",O$333:O$487)/O10/1.98)+(SUMIF($T$326:$T$469,"FCA",O$333:O$487)/O10/1.98)+(SUMIF($T$326:$T$469,"NSC",O$333:O$487)/O10/1.98)</f>
        <v>26.484461355868312</v>
      </c>
      <c r="P494" s="352">
        <f>P$495+(SUMIF($T$326:$T$469,"FLG",P$333:P$487)/P10/1.98)+(SUMIF($T$326:$T$469,"FCA",P$333:P$487)/P10/1.98)+(SUMIF($T$326:$T$469,"NSC",P$333:P$487)/P10/1.98)</f>
        <v>348.50079537259273</v>
      </c>
      <c r="Q494" s="350"/>
      <c r="R494" s="350"/>
    </row>
    <row r="495" spans="1:20" ht="15.75" customHeight="1" x14ac:dyDescent="0.3">
      <c r="A495" s="351" t="s">
        <v>1012</v>
      </c>
      <c r="B495" s="352">
        <f>B$496+(SUMIF($T$326:$T$469,"FCI",B$333:B$487)/B10/1.98)+(SUMIF($T$326:$T$469,"FCC",B$333:B$487)/B10/1.98)</f>
        <v>336.6245540663578</v>
      </c>
      <c r="C495" s="352">
        <f>C$496+(SUMIF($T$326:$T$469,"FCI",C$333:C$487)/C10/1.98)+(SUMIF($T$326:$T$469,"FCC",C$333:C$487)/C10/1.98)</f>
        <v>386.50146919814085</v>
      </c>
      <c r="D495" s="352">
        <f>D$496+(SUMIF($T$326:$T$469,"FCI",D$333:D$487)/D10/1.98)+(SUMIF($T$326:$T$469,"FCC",D$333:D$487)/D10/1.98)</f>
        <v>595.31868881583387</v>
      </c>
      <c r="E495" s="329"/>
      <c r="F495" s="352">
        <f>F$496+(SUMIF($T$326:$T$469,"FCI",F$333:F$487)/F10/1.98)+(SUMIF($T$326:$T$469,"FCC",F$333:F$487)/F10/1.98)</f>
        <v>1195.064920511214</v>
      </c>
      <c r="G495" s="352">
        <f>G$496+(SUMIF($T$326:$T$469,"FCI",G$333:G$487)/G10/1.98)+(SUMIF($T$326:$T$469,"FCC",G$333:G$487)/G10/1.98)</f>
        <v>899.36187801592132</v>
      </c>
      <c r="H495" s="352">
        <f>H$496+(SUMIF($T$326:$T$469,"FCI",H$333:H$487)/H10/1.98)+(SUMIF($T$326:$T$469,"FCC",H$333:H$487)/H10/1.98)</f>
        <v>1430.9732473499491</v>
      </c>
      <c r="I495" s="350"/>
      <c r="J495" s="352">
        <f>J$496+(SUMIF($T$326:$T$469,"FCI",J$333:J$487)/J10/1.98)+(SUMIF($T$326:$T$469,"FCC",J$333:J$487)/J10/1.98)</f>
        <v>1497.3325317988829</v>
      </c>
      <c r="K495" s="352">
        <f>K$496+(SUMIF($T$326:$T$469,"FCI",K$333:K$487)/K10/1.98)+(SUMIF($T$326:$T$469,"FCC",K$333:K$487)/K10/1.98)</f>
        <v>1386.80610704182</v>
      </c>
      <c r="L495" s="352">
        <f>L$496+(SUMIF($T$326:$T$469,"FCI",L$333:L$487)/L10/1.98)+(SUMIF($T$326:$T$469,"FCC",L$333:L$487)/L10/1.98)</f>
        <v>799.98102558616927</v>
      </c>
      <c r="M495" s="350"/>
      <c r="N495" s="352">
        <f>N$496+(SUMIF($T$326:$T$469,"FCI",N$333:N$487)/N10/1.98)+(SUMIF($T$326:$T$469,"FCC",N$333:N$487)/N10/1.98)</f>
        <v>607.37985979555447</v>
      </c>
      <c r="O495" s="352">
        <f>O$496+(SUMIF($T$326:$T$469,"FCI",O$333:O$487)/O10/1.98)+(SUMIF($T$326:$T$469,"FCC",O$333:O$487)/O10/1.98)</f>
        <v>26.484461355868312</v>
      </c>
      <c r="P495" s="352">
        <f>P$496+(SUMIF($T$326:$T$469,"FCI",P$333:P$487)/P10/1.98)+(SUMIF($T$326:$T$469,"FCC",P$333:P$487)/P10/1.98)</f>
        <v>348.50079537259273</v>
      </c>
      <c r="Q495" s="350"/>
      <c r="R495" s="350"/>
    </row>
    <row r="496" spans="1:20" ht="15.75" customHeight="1" x14ac:dyDescent="0.3">
      <c r="A496" s="351" t="s">
        <v>1013</v>
      </c>
      <c r="B496" s="352">
        <f>B$497+(SUMIF($T$326:$T$469,"PIL",B$333:B$487)/B10/1.98)+(SUMIF($T$326:$T$469,"KLK",B$333:B$487)/B10/1.98)</f>
        <v>336.6245540663578</v>
      </c>
      <c r="C496" s="352">
        <f>C$497+(SUMIF($T$326:$T$469,"PIL",C$333:C$487)/C10/1.98)+(SUMIF($T$326:$T$469,"KLK",C$333:C$487)/C10/1.98)</f>
        <v>386.50146919814085</v>
      </c>
      <c r="D496" s="352">
        <f>D$497+(SUMIF($T$326:$T$469,"PIL",D$333:D$487)/D10/1.98)+(SUMIF($T$326:$T$469,"KLK",D$333:D$487)/D10/1.98)</f>
        <v>595.31868881583387</v>
      </c>
      <c r="E496" s="329"/>
      <c r="F496" s="352">
        <f>F$497+(SUMIF($T$326:$T$469,"PIL",F$333:F$487)/F10/1.98)+(SUMIF($T$326:$T$469,"KLK",F$333:F$487)/F10/1.98)</f>
        <v>1195.064920511214</v>
      </c>
      <c r="G496" s="352">
        <f>G$497+(SUMIF($T$326:$T$469,"PIL",G$333:G$487)/G10/1.98)+(SUMIF($T$326:$T$469,"KLK",G$333:G$487)/G10/1.98)</f>
        <v>899.36187801592132</v>
      </c>
      <c r="H496" s="352">
        <f>H$497+(SUMIF($T$326:$T$469,"PIL",H$333:H$487)/H10/1.98)+(SUMIF($T$326:$T$469,"KLK",H$333:H$487)/H10/1.98)</f>
        <v>1430.9732473499491</v>
      </c>
      <c r="I496" s="350"/>
      <c r="J496" s="352">
        <f>J$497+(SUMIF($T$326:$T$469,"PIL",J$333:J$487)/J10/1.98)+(SUMIF($T$326:$T$469,"KLK",J$333:J$487)/J10/1.98)</f>
        <v>1497.3325317988829</v>
      </c>
      <c r="K496" s="352">
        <f>K$497+(SUMIF($T$326:$T$469,"PIL",K$333:K$487)/K10/1.98)+(SUMIF($T$326:$T$469,"KLK",K$333:K$487)/K10/1.98)</f>
        <v>1386.80610704182</v>
      </c>
      <c r="L496" s="352">
        <f>L$497+(SUMIF($T$326:$T$469,"PIL",L$333:L$487)/L10/1.98)+(SUMIF($T$326:$T$469,"KLK",L$333:L$487)/L10/1.98)</f>
        <v>799.98102558616927</v>
      </c>
      <c r="M496" s="350"/>
      <c r="N496" s="352">
        <f>N$497+(SUMIF($T$326:$T$469,"PIL",N$333:N$487)/N10/1.98)+(SUMIF($T$326:$T$469,"KLK",N$333:N$487)/N10/1.98)</f>
        <v>607.37985979555447</v>
      </c>
      <c r="O496" s="352">
        <f>O$497+(SUMIF($T$326:$T$469,"PIL",O$333:O$487)/O10/1.98)+(SUMIF($T$326:$T$469,"KLK",O$333:O$487)/O10/1.98)</f>
        <v>26.484461355868312</v>
      </c>
      <c r="P496" s="352">
        <f>P$497+(SUMIF($T$326:$T$469,"PIL",P$333:P$487)/P10/1.98)+(SUMIF($T$326:$T$469,"KLK",P$333:P$487)/P10/1.98)</f>
        <v>348.50079537259273</v>
      </c>
      <c r="Q496" s="350"/>
      <c r="R496" s="350"/>
    </row>
    <row r="497" spans="1:20" ht="15.75" customHeight="1" x14ac:dyDescent="0.3">
      <c r="A497" s="351" t="s">
        <v>1014</v>
      </c>
      <c r="B497" s="352">
        <f>B$498+(SUMIF($T$326:$T$469,"CGE",B$333:B$487)/B10/1.98)</f>
        <v>336.6245540663578</v>
      </c>
      <c r="C497" s="352">
        <f>C$498+(SUMIF($T$326:$T$469,"CGE",C$333:C$487)/C10/1.98)</f>
        <v>386.50146919814085</v>
      </c>
      <c r="D497" s="352">
        <f>D$498+(SUMIF($T$326:$T$469,"CGE",D$333:D$487)/D10/1.98)</f>
        <v>595.31868881583387</v>
      </c>
      <c r="E497" s="329"/>
      <c r="F497" s="352">
        <f>F$498+(SUMIF($T$326:$T$469,"CGE",F$333:F$487)/F10/1.98)</f>
        <v>1195.064920511214</v>
      </c>
      <c r="G497" s="352">
        <f>G$498+(SUMIF($T$326:$T$469,"CGE",G$333:G$487)/G10/1.98)</f>
        <v>898.25402529516532</v>
      </c>
      <c r="H497" s="352">
        <f>H$498+(SUMIF($T$326:$T$469,"CGE",H$333:H$487)/H10/1.98)</f>
        <v>1427.9597793364812</v>
      </c>
      <c r="I497" s="350"/>
      <c r="J497" s="352">
        <f>J$498+(SUMIF($T$326:$T$469,"CGE",J$333:J$487)/J10/1.98)</f>
        <v>1495.019074646716</v>
      </c>
      <c r="K497" s="352">
        <f>K$498+(SUMIF($T$326:$T$469,"CGE",K$333:K$487)/K10/1.98)</f>
        <v>1385.437583092651</v>
      </c>
      <c r="L497" s="352">
        <f>L$498+(SUMIF($T$326:$T$469,"CGE",L$333:L$487)/L10/1.98)</f>
        <v>799.61065521579894</v>
      </c>
      <c r="M497" s="350"/>
      <c r="N497" s="352">
        <f>N$498+(SUMIF($T$326:$T$469,"CGE",N$333:N$487)/N10/1.98)</f>
        <v>607.37985979555447</v>
      </c>
      <c r="O497" s="352">
        <f>O$498+(SUMIF($T$326:$T$469,"CGE",O$333:O$487)/O10/1.98)</f>
        <v>26.484461355868312</v>
      </c>
      <c r="P497" s="352">
        <f>P$498+(SUMIF($T$326:$T$469,"CGE",P$333:P$487)/P10/1.98)</f>
        <v>348.50079537259273</v>
      </c>
      <c r="Q497" s="350"/>
      <c r="R497" s="350"/>
    </row>
    <row r="498" spans="1:20" ht="15.75" customHeight="1" x14ac:dyDescent="0.3">
      <c r="A498" s="351" t="s">
        <v>1015</v>
      </c>
      <c r="B498" s="352">
        <f>B$499+(SUMIF($T$326:$T$469,"SRO",B$333:B$487)/B10/1.98)</f>
        <v>336.6245540663578</v>
      </c>
      <c r="C498" s="352">
        <f>C$499+(SUMIF($T$326:$T$469,"SRO",C$333:C$487)/C10/1.98)</f>
        <v>386.50146919814085</v>
      </c>
      <c r="D498" s="352">
        <f>D$499+(SUMIF($T$326:$T$469,"SRO",D$333:D$487)/D10/1.98)</f>
        <v>595.31868881583387</v>
      </c>
      <c r="E498" s="329"/>
      <c r="F498" s="352">
        <f>F$499+(SUMIF($T$326:$T$469,"SRO",F$333:F$487)/F10/1.98)</f>
        <v>1195.064920511214</v>
      </c>
      <c r="G498" s="352">
        <f>G$499+(SUMIF($T$326:$T$469,"SRO",G$333:G$487)/G10/1.98)</f>
        <v>898.25402529516532</v>
      </c>
      <c r="H498" s="352">
        <f>H$499+(SUMIF($T$326:$T$469,"SRO",H$333:H$487)/H10/1.98)</f>
        <v>1427.9597793364812</v>
      </c>
      <c r="I498" s="350"/>
      <c r="J498" s="352">
        <f>J$499+(SUMIF($T$326:$T$469,"SRO",J$333:J$487)/J10/1.98)</f>
        <v>1495.019074646716</v>
      </c>
      <c r="K498" s="352">
        <f>K$499+(SUMIF($T$326:$T$469,"SRO",K$333:K$487)/K10/1.98)</f>
        <v>1385.437583092651</v>
      </c>
      <c r="L498" s="352">
        <f>L$499+(SUMIF($T$326:$T$469,"SRO",L$333:L$487)/L10/1.98)</f>
        <v>799.61065521579894</v>
      </c>
      <c r="M498" s="350"/>
      <c r="N498" s="352">
        <f>N$499+(SUMIF($T$326:$T$469,"SRO",N$333:N$487)/N10/1.98)</f>
        <v>607.37985979555447</v>
      </c>
      <c r="O498" s="352">
        <f>O$499+(SUMIF($T$326:$T$469,"SRO",O$333:O$487)/O10/1.98)</f>
        <v>26.484461355868312</v>
      </c>
      <c r="P498" s="352">
        <f>P$499+(SUMIF($T$326:$T$469,"SRO",P$333:P$487)/P10/1.98)</f>
        <v>348.50079537259273</v>
      </c>
      <c r="Q498" s="350"/>
      <c r="R498" s="350"/>
    </row>
    <row r="499" spans="1:20" ht="15.75" customHeight="1" x14ac:dyDescent="0.3">
      <c r="A499" s="351" t="s">
        <v>130</v>
      </c>
      <c r="B499" s="352">
        <f>B$542/B10/1.983</f>
        <v>247.14915491353929</v>
      </c>
      <c r="C499" s="352">
        <f>C$542/C10/1.983</f>
        <v>266.17318636985806</v>
      </c>
      <c r="D499" s="352">
        <f>D$542/D10/1.983</f>
        <v>390.74065036682771</v>
      </c>
      <c r="E499" s="353"/>
      <c r="F499" s="352">
        <f>F$542/F10/1.983</f>
        <v>712.70801815431162</v>
      </c>
      <c r="G499" s="352">
        <f>G$542/G10/1.983</f>
        <v>571.69814390057422</v>
      </c>
      <c r="H499" s="352">
        <f>H$542/H10/1.983</f>
        <v>768.76786014456206</v>
      </c>
      <c r="I499" s="450"/>
      <c r="J499" s="352">
        <f>J$542/J10/1.983</f>
        <v>846.55051811364342</v>
      </c>
      <c r="K499" s="352">
        <f>K$542/K10/1.983</f>
        <v>869.2596749792591</v>
      </c>
      <c r="L499" s="352">
        <f>L$542/L10/1.983</f>
        <v>501.41200201714571</v>
      </c>
      <c r="M499" s="451"/>
      <c r="N499" s="352">
        <f>N$542/N10/1.983</f>
        <v>355.09898654693927</v>
      </c>
      <c r="O499" s="352">
        <f>O$542/O10/1.983</f>
        <v>20.255505126912084</v>
      </c>
      <c r="P499" s="352">
        <f>P$542/P10/1.983</f>
        <v>118.50731215330308</v>
      </c>
      <c r="Q499" s="451"/>
      <c r="R499" s="350"/>
    </row>
    <row r="500" spans="1:20" ht="15.75" customHeight="1" x14ac:dyDescent="0.3">
      <c r="A500" s="351"/>
      <c r="B500" s="352"/>
      <c r="C500" s="352"/>
      <c r="D500" s="352"/>
      <c r="E500" s="353"/>
      <c r="F500" s="352"/>
      <c r="G500" s="352"/>
      <c r="H500" s="352"/>
      <c r="I500" s="450"/>
      <c r="J500" s="352"/>
      <c r="K500" s="352"/>
      <c r="L500" s="352"/>
      <c r="M500" s="451"/>
      <c r="N500" s="352"/>
      <c r="O500" s="352"/>
      <c r="P500" s="352"/>
      <c r="Q500" s="451"/>
      <c r="R500" s="350"/>
    </row>
    <row r="501" spans="1:20" ht="15.75" customHeight="1" thickBot="1" x14ac:dyDescent="0.35">
      <c r="A501" s="18"/>
      <c r="B501" s="172"/>
      <c r="C501" s="172"/>
      <c r="D501" s="172"/>
      <c r="E501" s="172"/>
      <c r="F501" s="172"/>
      <c r="G501" s="172"/>
      <c r="H501" s="172"/>
      <c r="I501" s="172"/>
      <c r="J501" s="172"/>
      <c r="K501" s="172"/>
      <c r="L501" s="172"/>
      <c r="M501" s="172"/>
      <c r="N501" s="172"/>
      <c r="O501" s="172"/>
      <c r="P501" s="172"/>
      <c r="Q501" s="172"/>
      <c r="R501" s="17"/>
    </row>
    <row r="502" spans="1:20" ht="16.5" customHeight="1" thickBot="1" x14ac:dyDescent="0.35">
      <c r="A502" s="240" t="s">
        <v>813</v>
      </c>
      <c r="B502" s="4" t="s">
        <v>2090</v>
      </c>
      <c r="C502" s="5" t="s">
        <v>2091</v>
      </c>
      <c r="D502" s="5" t="s">
        <v>2234</v>
      </c>
      <c r="E502" s="33" t="s">
        <v>1594</v>
      </c>
      <c r="F502" s="5" t="s">
        <v>2235</v>
      </c>
      <c r="G502" s="5" t="s">
        <v>2236</v>
      </c>
      <c r="H502" s="5" t="s">
        <v>2237</v>
      </c>
      <c r="I502" s="35" t="s">
        <v>1595</v>
      </c>
      <c r="J502" s="5" t="s">
        <v>1504</v>
      </c>
      <c r="K502" s="5" t="s">
        <v>1505</v>
      </c>
      <c r="L502" s="5" t="s">
        <v>1506</v>
      </c>
      <c r="M502" s="35" t="s">
        <v>1596</v>
      </c>
      <c r="N502" s="5" t="s">
        <v>1507</v>
      </c>
      <c r="O502" s="5" t="s">
        <v>1508</v>
      </c>
      <c r="P502" s="5" t="s">
        <v>1509</v>
      </c>
      <c r="Q502" s="35" t="s">
        <v>1597</v>
      </c>
      <c r="R502" s="36" t="s">
        <v>1510</v>
      </c>
    </row>
    <row r="503" spans="1:20" ht="16.5" customHeight="1" thickBot="1" x14ac:dyDescent="0.35">
      <c r="A503" s="37"/>
      <c r="B503" s="258"/>
      <c r="C503" s="258"/>
      <c r="D503" s="258"/>
      <c r="E503" s="254"/>
      <c r="F503" s="258"/>
      <c r="G503" s="258"/>
      <c r="H503" s="258"/>
      <c r="I503" s="265"/>
      <c r="J503" s="258"/>
      <c r="K503" s="258"/>
      <c r="L503" s="258"/>
      <c r="M503" s="265"/>
      <c r="N503" s="258"/>
      <c r="O503" s="258"/>
      <c r="P503" s="258"/>
      <c r="Q503" s="265"/>
      <c r="R503" s="52"/>
    </row>
    <row r="504" spans="1:20" ht="15.75" customHeight="1" x14ac:dyDescent="0.3">
      <c r="A504" s="234" t="s">
        <v>2417</v>
      </c>
      <c r="B504" s="10" t="s">
        <v>852</v>
      </c>
      <c r="C504" s="10" t="s">
        <v>852</v>
      </c>
      <c r="D504" s="10" t="s">
        <v>852</v>
      </c>
      <c r="E504" s="38" t="s">
        <v>852</v>
      </c>
      <c r="F504" s="10"/>
      <c r="G504" s="10"/>
      <c r="H504" s="10"/>
      <c r="I504" s="38" t="s">
        <v>852</v>
      </c>
      <c r="J504" s="10" t="s">
        <v>852</v>
      </c>
      <c r="K504" s="10" t="s">
        <v>852</v>
      </c>
      <c r="L504" s="10" t="s">
        <v>852</v>
      </c>
      <c r="M504" s="38" t="s">
        <v>852</v>
      </c>
      <c r="N504" s="10" t="s">
        <v>852</v>
      </c>
      <c r="O504" s="10" t="s">
        <v>852</v>
      </c>
      <c r="P504" s="10" t="s">
        <v>852</v>
      </c>
      <c r="Q504" s="38" t="s">
        <v>852</v>
      </c>
      <c r="R504" s="38" t="s">
        <v>852</v>
      </c>
    </row>
    <row r="505" spans="1:20" ht="15.75" customHeight="1" x14ac:dyDescent="0.3">
      <c r="A505" s="234" t="s">
        <v>2160</v>
      </c>
      <c r="B505" s="10"/>
      <c r="C505" s="10"/>
      <c r="D505" s="10"/>
      <c r="E505" s="38" t="s">
        <v>852</v>
      </c>
      <c r="F505" s="10"/>
      <c r="G505" s="10"/>
      <c r="H505" s="10"/>
      <c r="I505" s="38" t="s">
        <v>852</v>
      </c>
      <c r="J505" s="10"/>
      <c r="K505" s="10"/>
      <c r="L505" s="10"/>
      <c r="M505" s="38" t="s">
        <v>852</v>
      </c>
      <c r="N505" s="10"/>
      <c r="O505" s="10"/>
      <c r="P505" s="10"/>
      <c r="Q505" s="38" t="s">
        <v>852</v>
      </c>
      <c r="R505" s="38" t="s">
        <v>852</v>
      </c>
    </row>
    <row r="506" spans="1:20" ht="15.75" customHeight="1" x14ac:dyDescent="0.3">
      <c r="A506" s="539" t="s">
        <v>3145</v>
      </c>
      <c r="B506" s="10"/>
      <c r="C506" s="10"/>
      <c r="D506" s="10"/>
      <c r="E506" s="38">
        <f t="shared" ref="E506:E510" si="220">SUM(B506:D506)</f>
        <v>0</v>
      </c>
      <c r="F506" s="10">
        <v>2</v>
      </c>
      <c r="G506" s="10"/>
      <c r="H506" s="10">
        <v>32</v>
      </c>
      <c r="I506" s="38">
        <f t="shared" ref="I506:I510" si="221">SUM(F506:H506)</f>
        <v>34</v>
      </c>
      <c r="J506" s="10">
        <v>14</v>
      </c>
      <c r="K506" s="10">
        <v>4</v>
      </c>
      <c r="L506" s="10"/>
      <c r="M506" s="38">
        <f t="shared" ref="M506:M510" si="222">SUM(J506:L506)</f>
        <v>18</v>
      </c>
      <c r="N506" s="10">
        <v>8</v>
      </c>
      <c r="O506" s="10"/>
      <c r="P506" s="10"/>
      <c r="Q506" s="38">
        <f t="shared" ref="Q506:Q510" si="223">SUM(N506:P506)</f>
        <v>8</v>
      </c>
      <c r="R506" s="38">
        <f t="shared" ref="R506:R510" si="224">+E506+I506+M506+Q506</f>
        <v>60</v>
      </c>
      <c r="T506" t="s">
        <v>500</v>
      </c>
    </row>
    <row r="507" spans="1:20" ht="15.75" customHeight="1" x14ac:dyDescent="0.3">
      <c r="A507" s="539" t="s">
        <v>3141</v>
      </c>
      <c r="B507" s="10"/>
      <c r="C507" s="10"/>
      <c r="D507" s="10"/>
      <c r="E507" s="38">
        <f t="shared" si="220"/>
        <v>0</v>
      </c>
      <c r="F507" s="10"/>
      <c r="G507" s="10"/>
      <c r="H507" s="10"/>
      <c r="I507" s="38">
        <f t="shared" si="221"/>
        <v>0</v>
      </c>
      <c r="J507" s="10"/>
      <c r="K507" s="10"/>
      <c r="L507" s="10"/>
      <c r="M507" s="38">
        <f t="shared" si="222"/>
        <v>0</v>
      </c>
      <c r="N507" s="10"/>
      <c r="O507" s="10"/>
      <c r="P507" s="10"/>
      <c r="Q507" s="38">
        <f t="shared" si="223"/>
        <v>0</v>
      </c>
      <c r="R507" s="38">
        <f t="shared" si="224"/>
        <v>0</v>
      </c>
      <c r="T507" t="s">
        <v>500</v>
      </c>
    </row>
    <row r="508" spans="1:20" ht="15.75" customHeight="1" x14ac:dyDescent="0.3">
      <c r="A508" s="539" t="s">
        <v>3239</v>
      </c>
      <c r="B508" s="10"/>
      <c r="C508" s="10"/>
      <c r="D508" s="10"/>
      <c r="E508" s="38">
        <f t="shared" si="220"/>
        <v>0</v>
      </c>
      <c r="F508" s="10"/>
      <c r="G508" s="10"/>
      <c r="H508" s="10"/>
      <c r="I508" s="38">
        <f t="shared" si="221"/>
        <v>0</v>
      </c>
      <c r="J508" s="10"/>
      <c r="K508" s="10"/>
      <c r="L508" s="10"/>
      <c r="M508" s="38">
        <f t="shared" si="222"/>
        <v>0</v>
      </c>
      <c r="N508" s="10"/>
      <c r="O508" s="10"/>
      <c r="P508" s="10"/>
      <c r="Q508" s="38">
        <f t="shared" si="223"/>
        <v>0</v>
      </c>
      <c r="R508" s="38">
        <f t="shared" si="224"/>
        <v>0</v>
      </c>
    </row>
    <row r="509" spans="1:20" ht="15.75" customHeight="1" x14ac:dyDescent="0.3">
      <c r="A509" s="539" t="s">
        <v>2977</v>
      </c>
      <c r="C509" s="10"/>
      <c r="D509" s="10"/>
      <c r="E509" s="38">
        <f t="shared" si="220"/>
        <v>0</v>
      </c>
      <c r="F509" s="10"/>
      <c r="G509" s="10">
        <v>2300</v>
      </c>
      <c r="H509" s="10"/>
      <c r="I509" s="38">
        <f t="shared" si="221"/>
        <v>2300</v>
      </c>
      <c r="J509" s="10"/>
      <c r="K509" s="10"/>
      <c r="L509" s="10">
        <v>300</v>
      </c>
      <c r="M509" s="38">
        <f t="shared" si="222"/>
        <v>300</v>
      </c>
      <c r="N509" s="10"/>
      <c r="O509" s="10"/>
      <c r="P509" s="10"/>
      <c r="Q509" s="38">
        <f t="shared" si="223"/>
        <v>0</v>
      </c>
      <c r="R509" s="38">
        <f t="shared" si="224"/>
        <v>2600</v>
      </c>
      <c r="T509" t="s">
        <v>500</v>
      </c>
    </row>
    <row r="510" spans="1:20" ht="15.75" customHeight="1" x14ac:dyDescent="0.3">
      <c r="A510" s="410" t="s">
        <v>2795</v>
      </c>
      <c r="B510" s="10"/>
      <c r="C510" s="10"/>
      <c r="D510" s="10"/>
      <c r="E510" s="38">
        <f t="shared" si="220"/>
        <v>0</v>
      </c>
      <c r="F510" s="10"/>
      <c r="G510" s="10"/>
      <c r="H510" s="10"/>
      <c r="I510" s="38">
        <f t="shared" si="221"/>
        <v>0</v>
      </c>
      <c r="J510" s="10"/>
      <c r="K510" s="10"/>
      <c r="L510" s="10"/>
      <c r="M510" s="38">
        <f t="shared" si="222"/>
        <v>0</v>
      </c>
      <c r="N510" s="10"/>
      <c r="O510" s="10"/>
      <c r="P510" s="10"/>
      <c r="Q510" s="38">
        <f t="shared" si="223"/>
        <v>0</v>
      </c>
      <c r="R510" s="38">
        <f t="shared" si="224"/>
        <v>0</v>
      </c>
      <c r="T510" t="s">
        <v>500</v>
      </c>
    </row>
    <row r="511" spans="1:20" ht="15.75" customHeight="1" x14ac:dyDescent="0.3">
      <c r="A511" s="234" t="s">
        <v>2161</v>
      </c>
      <c r="B511" s="10"/>
      <c r="C511" s="10"/>
      <c r="D511" s="10"/>
      <c r="E511" s="38" t="s">
        <v>852</v>
      </c>
      <c r="F511" s="10"/>
      <c r="G511" s="10"/>
      <c r="H511" s="10"/>
      <c r="I511" s="38" t="s">
        <v>852</v>
      </c>
      <c r="J511" s="10"/>
      <c r="K511" s="10"/>
      <c r="L511" s="10"/>
      <c r="M511" s="38" t="s">
        <v>852</v>
      </c>
      <c r="N511" s="10"/>
      <c r="O511" s="10"/>
      <c r="P511" s="10"/>
      <c r="Q511" s="38" t="s">
        <v>852</v>
      </c>
      <c r="R511" s="38" t="s">
        <v>852</v>
      </c>
    </row>
    <row r="512" spans="1:20" ht="15.75" customHeight="1" x14ac:dyDescent="0.3">
      <c r="A512" s="310" t="s">
        <v>1065</v>
      </c>
      <c r="B512" s="10"/>
      <c r="C512" s="10"/>
      <c r="D512" s="10"/>
      <c r="E512" s="38">
        <f>SUM(B512:D512)</f>
        <v>0</v>
      </c>
      <c r="F512" s="10"/>
      <c r="G512" s="10"/>
      <c r="H512" s="10"/>
      <c r="I512" s="38">
        <f>SUM(F512:H512)</f>
        <v>0</v>
      </c>
      <c r="J512" s="10"/>
      <c r="K512" s="10"/>
      <c r="L512" s="10"/>
      <c r="M512" s="38">
        <f>SUM(J512:L512)</f>
        <v>0</v>
      </c>
      <c r="N512" s="10"/>
      <c r="O512" s="10"/>
      <c r="P512" s="10"/>
      <c r="Q512" s="38">
        <f>SUM(N512:P512)</f>
        <v>0</v>
      </c>
      <c r="R512" s="38">
        <f>+E512+I512+M512+Q512</f>
        <v>0</v>
      </c>
    </row>
    <row r="513" spans="1:20" ht="15.75" customHeight="1" x14ac:dyDescent="0.3">
      <c r="A513" s="266" t="s">
        <v>355</v>
      </c>
      <c r="B513" s="10"/>
      <c r="C513" s="10"/>
      <c r="D513" s="10"/>
      <c r="E513" s="38">
        <f>SUM(B513:D513)</f>
        <v>0</v>
      </c>
      <c r="F513" s="10"/>
      <c r="G513" s="10"/>
      <c r="H513" s="10"/>
      <c r="I513" s="38">
        <f>SUM(F513:H513)</f>
        <v>0</v>
      </c>
      <c r="J513" s="10"/>
      <c r="K513" s="10"/>
      <c r="L513" s="10"/>
      <c r="M513" s="38">
        <f>SUM(J513:L513)</f>
        <v>0</v>
      </c>
      <c r="N513" s="10"/>
      <c r="O513" s="10"/>
      <c r="P513" s="10"/>
      <c r="Q513" s="38">
        <f>SUM(N513:P513)</f>
        <v>0</v>
      </c>
      <c r="R513" s="38">
        <f>+E513+I513+M513+Q513</f>
        <v>0</v>
      </c>
    </row>
    <row r="514" spans="1:20" ht="15.75" customHeight="1" x14ac:dyDescent="0.3">
      <c r="A514" s="234" t="s">
        <v>3245</v>
      </c>
      <c r="B514" s="10"/>
      <c r="C514" s="10"/>
      <c r="D514" s="10"/>
      <c r="E514" s="38" t="s">
        <v>852</v>
      </c>
      <c r="F514" s="10"/>
      <c r="G514" s="10"/>
      <c r="H514" s="10"/>
      <c r="I514" s="38" t="s">
        <v>852</v>
      </c>
      <c r="J514" s="10"/>
      <c r="K514" s="10"/>
      <c r="L514" s="10"/>
      <c r="M514" s="38" t="s">
        <v>852</v>
      </c>
      <c r="N514" s="10"/>
      <c r="O514" s="10"/>
      <c r="P514" s="10"/>
      <c r="Q514" s="38" t="s">
        <v>852</v>
      </c>
      <c r="R514" s="38" t="s">
        <v>852</v>
      </c>
    </row>
    <row r="515" spans="1:20" ht="15.75" customHeight="1" thickBot="1" x14ac:dyDescent="0.35">
      <c r="A515" s="234" t="s">
        <v>2164</v>
      </c>
      <c r="B515" s="10"/>
      <c r="C515" s="10"/>
      <c r="D515" s="10"/>
      <c r="E515" s="38" t="s">
        <v>852</v>
      </c>
      <c r="F515" s="10"/>
      <c r="G515" s="10"/>
      <c r="H515" s="10"/>
      <c r="I515" s="38" t="s">
        <v>852</v>
      </c>
      <c r="J515" s="10"/>
      <c r="K515" s="10"/>
      <c r="L515" s="10"/>
      <c r="M515" s="38" t="s">
        <v>852</v>
      </c>
      <c r="N515" s="10"/>
      <c r="O515" s="10"/>
      <c r="P515" s="10"/>
      <c r="Q515" s="38" t="s">
        <v>852</v>
      </c>
      <c r="R515" s="38" t="s">
        <v>852</v>
      </c>
    </row>
    <row r="516" spans="1:20" ht="16.5" customHeight="1" thickBot="1" x14ac:dyDescent="0.35">
      <c r="A516" s="276" t="s">
        <v>1218</v>
      </c>
      <c r="B516" s="45">
        <f>SUM(B504:B515)</f>
        <v>0</v>
      </c>
      <c r="C516" s="46">
        <f>SUM(C504:C515)</f>
        <v>0</v>
      </c>
      <c r="D516" s="46">
        <f>SUM(D504:D515)</f>
        <v>0</v>
      </c>
      <c r="E516" s="37">
        <f>SUM(B516:D516)</f>
        <v>0</v>
      </c>
      <c r="F516" s="46">
        <f>SUM(F504:F515)</f>
        <v>2</v>
      </c>
      <c r="G516" s="46">
        <f>SUM(G504:G515)</f>
        <v>2300</v>
      </c>
      <c r="H516" s="46">
        <f>SUM(H504:H515)</f>
        <v>32</v>
      </c>
      <c r="I516" s="37">
        <f>SUM(F516:H516)</f>
        <v>2334</v>
      </c>
      <c r="J516" s="46">
        <f>SUM(J504:J515)</f>
        <v>14</v>
      </c>
      <c r="K516" s="46">
        <f>SUM(K504:K515)</f>
        <v>4</v>
      </c>
      <c r="L516" s="46">
        <f>SUM(L504:L515)</f>
        <v>300</v>
      </c>
      <c r="M516" s="37">
        <f>SUM(J516:L516)</f>
        <v>318</v>
      </c>
      <c r="N516" s="46">
        <f>SUM(N504:N515)</f>
        <v>8</v>
      </c>
      <c r="O516" s="46">
        <f>SUM(O504:O515)</f>
        <v>0</v>
      </c>
      <c r="P516" s="46">
        <f>SUM(P504:P515)</f>
        <v>0</v>
      </c>
      <c r="Q516" s="37">
        <f>SUM(N516:P516)</f>
        <v>8</v>
      </c>
      <c r="R516" s="37">
        <f>+E516+I516+M516+Q516</f>
        <v>2660</v>
      </c>
    </row>
    <row r="517" spans="1:20" ht="15.75" customHeight="1" x14ac:dyDescent="0.3">
      <c r="A517" s="234" t="s">
        <v>1172</v>
      </c>
      <c r="B517" s="172"/>
      <c r="C517" s="172"/>
      <c r="D517" s="172"/>
      <c r="E517" s="38" t="s">
        <v>852</v>
      </c>
      <c r="F517" s="172"/>
      <c r="G517" s="172"/>
      <c r="H517" s="172"/>
      <c r="I517" s="38" t="s">
        <v>852</v>
      </c>
      <c r="J517" s="172"/>
      <c r="K517" s="172"/>
      <c r="L517" s="172"/>
      <c r="M517" s="38" t="s">
        <v>852</v>
      </c>
      <c r="N517" s="172" t="s">
        <v>852</v>
      </c>
      <c r="O517" s="172"/>
      <c r="P517" s="172"/>
      <c r="Q517" s="38" t="s">
        <v>852</v>
      </c>
      <c r="R517" s="38" t="s">
        <v>852</v>
      </c>
    </row>
    <row r="518" spans="1:20" ht="15.75" customHeight="1" x14ac:dyDescent="0.3">
      <c r="A518" s="234" t="s">
        <v>2409</v>
      </c>
      <c r="B518" s="172"/>
      <c r="C518" s="172"/>
      <c r="D518" s="172"/>
      <c r="E518" s="38" t="s">
        <v>852</v>
      </c>
      <c r="F518" s="172"/>
      <c r="G518" s="172"/>
      <c r="H518" s="172"/>
      <c r="I518" s="38" t="s">
        <v>852</v>
      </c>
      <c r="J518" s="172"/>
      <c r="K518" s="172"/>
      <c r="L518" s="172"/>
      <c r="M518" s="38" t="s">
        <v>852</v>
      </c>
      <c r="N518" s="172"/>
      <c r="O518" s="172"/>
      <c r="P518" s="172"/>
      <c r="Q518" s="38" t="s">
        <v>852</v>
      </c>
      <c r="R518" s="38" t="s">
        <v>852</v>
      </c>
    </row>
    <row r="519" spans="1:20" ht="15.75" customHeight="1" x14ac:dyDescent="0.3">
      <c r="A519" s="310" t="s">
        <v>473</v>
      </c>
      <c r="B519" s="10">
        <v>7</v>
      </c>
      <c r="C519" s="10"/>
      <c r="D519" s="10">
        <v>2601</v>
      </c>
      <c r="E519" s="38">
        <f>SUM(B519:D519)</f>
        <v>2608</v>
      </c>
      <c r="F519" s="10">
        <v>10548</v>
      </c>
      <c r="G519" s="10">
        <v>2590</v>
      </c>
      <c r="H519" s="10">
        <f>6676+2000</f>
        <v>8676</v>
      </c>
      <c r="I519" s="38">
        <f>SUM(F519:H519)</f>
        <v>21814</v>
      </c>
      <c r="J519" s="10">
        <f>6808+5463</f>
        <v>12271</v>
      </c>
      <c r="K519" s="10">
        <f>4258+3805</f>
        <v>8063</v>
      </c>
      <c r="L519" s="10">
        <v>3728</v>
      </c>
      <c r="M519" s="38">
        <f>SUM(J519:L519)</f>
        <v>24062</v>
      </c>
      <c r="N519" s="10">
        <v>1940</v>
      </c>
      <c r="O519" s="10"/>
      <c r="P519" s="10">
        <v>270</v>
      </c>
      <c r="Q519" s="38">
        <f>SUM(N519:P519)</f>
        <v>2210</v>
      </c>
      <c r="R519" s="38">
        <f>+E519+I519+M519+Q519</f>
        <v>50694</v>
      </c>
    </row>
    <row r="520" spans="1:20" ht="15.75" customHeight="1" thickBot="1" x14ac:dyDescent="0.35">
      <c r="A520" s="234" t="s">
        <v>2165</v>
      </c>
      <c r="B520" s="172"/>
      <c r="C520" s="172"/>
      <c r="D520" s="172"/>
      <c r="E520" s="38" t="s">
        <v>852</v>
      </c>
      <c r="F520" s="172"/>
      <c r="G520" s="172"/>
      <c r="H520" s="172"/>
      <c r="I520" s="38" t="s">
        <v>852</v>
      </c>
      <c r="J520" s="172"/>
      <c r="K520" s="172"/>
      <c r="L520" s="172"/>
      <c r="M520" s="38" t="s">
        <v>852</v>
      </c>
      <c r="N520" s="172"/>
      <c r="O520" s="172"/>
      <c r="P520" s="172"/>
      <c r="Q520" s="38" t="s">
        <v>852</v>
      </c>
      <c r="R520" s="38" t="s">
        <v>852</v>
      </c>
    </row>
    <row r="521" spans="1:20" ht="16.5" customHeight="1" thickBot="1" x14ac:dyDescent="0.35">
      <c r="A521" s="43" t="s">
        <v>1219</v>
      </c>
      <c r="B521" s="45">
        <f>SUM(B517:B520)</f>
        <v>7</v>
      </c>
      <c r="C521" s="46">
        <f>SUM(C517:C520)</f>
        <v>0</v>
      </c>
      <c r="D521" s="46">
        <f>SUM(D517:D520)</f>
        <v>2601</v>
      </c>
      <c r="E521" s="37">
        <f>SUM(B521:D521)</f>
        <v>2608</v>
      </c>
      <c r="F521" s="46">
        <f>SUM(F517:F520)</f>
        <v>10548</v>
      </c>
      <c r="G521" s="46">
        <f>SUM(G517:G520)</f>
        <v>2590</v>
      </c>
      <c r="H521" s="46">
        <f>SUM(H517:H520)</f>
        <v>8676</v>
      </c>
      <c r="I521" s="37">
        <f>SUM(F521:H521)</f>
        <v>21814</v>
      </c>
      <c r="J521" s="46">
        <f>SUM(J517:J520)</f>
        <v>12271</v>
      </c>
      <c r="K521" s="46">
        <f>SUM(K517:K520)</f>
        <v>8063</v>
      </c>
      <c r="L521" s="46">
        <f>SUM(L517:L520)</f>
        <v>3728</v>
      </c>
      <c r="M521" s="37">
        <f>SUM(J521:L521)</f>
        <v>24062</v>
      </c>
      <c r="N521" s="46">
        <f>SUM(N517:N520)</f>
        <v>1940</v>
      </c>
      <c r="O521" s="46">
        <f>SUM(O517:O520)</f>
        <v>0</v>
      </c>
      <c r="P521" s="46">
        <f>SUM(P517:P520)</f>
        <v>270</v>
      </c>
      <c r="Q521" s="37">
        <f>SUM(N521:P521)</f>
        <v>2210</v>
      </c>
      <c r="R521" s="37">
        <f>+E521+I521+M521+Q521</f>
        <v>50694</v>
      </c>
    </row>
    <row r="522" spans="1:20" ht="15.75" customHeight="1" x14ac:dyDescent="0.3">
      <c r="A522" s="234" t="s">
        <v>2166</v>
      </c>
      <c r="B522" s="172"/>
      <c r="C522" s="172"/>
      <c r="D522" s="172"/>
      <c r="E522" s="38" t="s">
        <v>852</v>
      </c>
      <c r="F522" s="172"/>
      <c r="G522" s="172"/>
      <c r="H522" s="172"/>
      <c r="I522" s="38" t="s">
        <v>852</v>
      </c>
      <c r="J522" s="172"/>
      <c r="K522" s="172"/>
      <c r="L522" s="172"/>
      <c r="M522" s="38" t="s">
        <v>852</v>
      </c>
      <c r="N522" s="172"/>
      <c r="O522" s="172"/>
      <c r="P522" s="172"/>
      <c r="Q522" s="38" t="s">
        <v>852</v>
      </c>
      <c r="R522" s="38" t="s">
        <v>852</v>
      </c>
    </row>
    <row r="523" spans="1:20" ht="15.75" customHeight="1" x14ac:dyDescent="0.3">
      <c r="A523" s="234" t="s">
        <v>1245</v>
      </c>
      <c r="B523" s="172"/>
      <c r="C523" s="172"/>
      <c r="D523" s="172"/>
      <c r="E523" s="38" t="s">
        <v>852</v>
      </c>
      <c r="F523" s="172"/>
      <c r="G523" s="172"/>
      <c r="H523" s="172"/>
      <c r="I523" s="38" t="s">
        <v>852</v>
      </c>
      <c r="J523" s="172"/>
      <c r="K523" s="172"/>
      <c r="L523" s="172"/>
      <c r="M523" s="38" t="s">
        <v>852</v>
      </c>
      <c r="N523" s="172"/>
      <c r="O523" s="172"/>
      <c r="P523" s="172"/>
      <c r="Q523" s="38" t="s">
        <v>852</v>
      </c>
      <c r="R523" s="38" t="s">
        <v>852</v>
      </c>
    </row>
    <row r="524" spans="1:20" ht="15.75" customHeight="1" x14ac:dyDescent="0.3">
      <c r="A524" s="234" t="s">
        <v>1711</v>
      </c>
      <c r="B524" s="172"/>
      <c r="C524" s="172"/>
      <c r="D524" s="172"/>
      <c r="E524" s="38" t="s">
        <v>852</v>
      </c>
      <c r="F524" s="172"/>
      <c r="G524" s="172"/>
      <c r="H524" s="172"/>
      <c r="I524" s="38" t="s">
        <v>852</v>
      </c>
      <c r="J524" s="172"/>
      <c r="K524" s="172"/>
      <c r="L524" s="172"/>
      <c r="M524" s="38" t="s">
        <v>852</v>
      </c>
      <c r="N524" s="172"/>
      <c r="O524" s="172"/>
      <c r="P524" s="172"/>
      <c r="Q524" s="38" t="s">
        <v>852</v>
      </c>
      <c r="R524" s="38" t="s">
        <v>852</v>
      </c>
    </row>
    <row r="525" spans="1:20" ht="15.75" customHeight="1" x14ac:dyDescent="0.3">
      <c r="A525" s="539" t="s">
        <v>3333</v>
      </c>
      <c r="B525" s="10"/>
      <c r="C525" s="10"/>
      <c r="D525" s="10"/>
      <c r="E525" s="38">
        <f>SUM(B525:D525)</f>
        <v>0</v>
      </c>
      <c r="F525" s="10"/>
      <c r="G525" s="10"/>
      <c r="H525" s="10"/>
      <c r="I525" s="38">
        <f>SUM(F525:H525)</f>
        <v>0</v>
      </c>
      <c r="J525" s="10"/>
      <c r="K525" s="10">
        <v>8000</v>
      </c>
      <c r="L525" s="10"/>
      <c r="M525" s="38">
        <f>SUM(J525:L525)</f>
        <v>8000</v>
      </c>
      <c r="N525" s="10"/>
      <c r="O525" s="10"/>
      <c r="P525" s="10"/>
      <c r="Q525" s="38">
        <f>SUM(N525:P525)</f>
        <v>0</v>
      </c>
      <c r="R525" s="38">
        <f>+E525+I525+M525+Q525</f>
        <v>8000</v>
      </c>
      <c r="T525" t="s">
        <v>500</v>
      </c>
    </row>
    <row r="526" spans="1:20" ht="15.75" customHeight="1" thickBot="1" x14ac:dyDescent="0.35">
      <c r="A526" s="689" t="s">
        <v>2937</v>
      </c>
      <c r="B526" s="10"/>
      <c r="C526" s="10"/>
      <c r="D526" s="700"/>
      <c r="E526" s="38">
        <f>SUM(B526:D526)</f>
        <v>0</v>
      </c>
      <c r="F526" s="10"/>
      <c r="G526" s="10"/>
      <c r="H526" s="10">
        <v>3000</v>
      </c>
      <c r="I526" s="38">
        <f>SUM(F526:H526)</f>
        <v>3000</v>
      </c>
      <c r="J526" s="10">
        <v>3000</v>
      </c>
      <c r="K526" s="10"/>
      <c r="L526" s="10">
        <v>3000</v>
      </c>
      <c r="M526" s="38">
        <f>SUM(J526:L526)</f>
        <v>6000</v>
      </c>
      <c r="N526" s="10">
        <v>2000</v>
      </c>
      <c r="O526" s="10"/>
      <c r="P526" s="10"/>
      <c r="Q526" s="38">
        <f>SUM(N526:P526)</f>
        <v>2000</v>
      </c>
      <c r="R526" s="38">
        <f>+E526+I526+M526+Q526</f>
        <v>11000</v>
      </c>
      <c r="T526" t="s">
        <v>500</v>
      </c>
    </row>
    <row r="527" spans="1:20" ht="16.5" customHeight="1" thickBot="1" x14ac:dyDescent="0.35">
      <c r="A527" s="277" t="s">
        <v>1220</v>
      </c>
      <c r="B527" s="45">
        <f>SUM(B522:B526)</f>
        <v>0</v>
      </c>
      <c r="C527" s="46">
        <f>SUM(C522:C526)</f>
        <v>0</v>
      </c>
      <c r="D527" s="46">
        <f>SUM(D522:D526)</f>
        <v>0</v>
      </c>
      <c r="E527" s="37">
        <f>SUM(B527:D527)</f>
        <v>0</v>
      </c>
      <c r="F527" s="46">
        <f>SUM(F522:F526)</f>
        <v>0</v>
      </c>
      <c r="G527" s="46">
        <f>SUM(G522:G526)</f>
        <v>0</v>
      </c>
      <c r="H527" s="46">
        <f>SUM(H522:H526)</f>
        <v>3000</v>
      </c>
      <c r="I527" s="37">
        <f>SUM(F527:H527)</f>
        <v>3000</v>
      </c>
      <c r="J527" s="46">
        <f>SUM(J522:J526)</f>
        <v>3000</v>
      </c>
      <c r="K527" s="46">
        <f>SUM(K522:K526)</f>
        <v>8000</v>
      </c>
      <c r="L527" s="46">
        <f>SUM(L522:L526)</f>
        <v>3000</v>
      </c>
      <c r="M527" s="37">
        <f>SUM(J527:L527)</f>
        <v>14000</v>
      </c>
      <c r="N527" s="46">
        <f>SUM(N522:N526)</f>
        <v>2000</v>
      </c>
      <c r="O527" s="46">
        <f>SUM(O522:O526)</f>
        <v>0</v>
      </c>
      <c r="P527" s="46">
        <f>SUM(P522:P526)</f>
        <v>0</v>
      </c>
      <c r="Q527" s="37">
        <f>SUM(N527:P527)</f>
        <v>2000</v>
      </c>
      <c r="R527" s="37">
        <f>+E527+I527+M527+Q527</f>
        <v>19000</v>
      </c>
    </row>
    <row r="528" spans="1:20" ht="15.75" customHeight="1" x14ac:dyDescent="0.3">
      <c r="A528" s="234" t="s">
        <v>1712</v>
      </c>
      <c r="B528" s="172"/>
      <c r="C528" s="172"/>
      <c r="D528" s="172"/>
      <c r="E528" s="38" t="s">
        <v>852</v>
      </c>
      <c r="F528" s="172"/>
      <c r="G528" s="172"/>
      <c r="H528" s="172"/>
      <c r="I528" s="38" t="s">
        <v>852</v>
      </c>
      <c r="J528" s="172"/>
      <c r="K528" s="172"/>
      <c r="L528" s="172"/>
      <c r="M528" s="38" t="s">
        <v>852</v>
      </c>
      <c r="N528" s="172"/>
      <c r="O528" s="172"/>
      <c r="P528" s="172"/>
      <c r="Q528" s="38" t="s">
        <v>852</v>
      </c>
      <c r="R528" s="38" t="s">
        <v>852</v>
      </c>
    </row>
    <row r="529" spans="1:20" ht="15.75" customHeight="1" x14ac:dyDescent="0.3">
      <c r="A529" s="234" t="s">
        <v>1021</v>
      </c>
      <c r="B529" s="172"/>
      <c r="C529" s="172"/>
      <c r="D529" s="172"/>
      <c r="E529" s="38" t="s">
        <v>852</v>
      </c>
      <c r="F529" s="172"/>
      <c r="G529" s="172"/>
      <c r="H529" s="172"/>
      <c r="I529" s="38" t="s">
        <v>852</v>
      </c>
      <c r="J529" s="172"/>
      <c r="K529" s="172"/>
      <c r="L529" s="172"/>
      <c r="M529" s="38" t="s">
        <v>852</v>
      </c>
      <c r="N529" s="172"/>
      <c r="O529" s="172"/>
      <c r="P529" s="172"/>
      <c r="Q529" s="38" t="s">
        <v>852</v>
      </c>
      <c r="R529" s="38" t="s">
        <v>852</v>
      </c>
    </row>
    <row r="530" spans="1:20" ht="15.75" customHeight="1" x14ac:dyDescent="0.3">
      <c r="A530" s="234" t="s">
        <v>557</v>
      </c>
      <c r="B530" s="172"/>
      <c r="C530" s="172"/>
      <c r="D530" s="172"/>
      <c r="E530" s="38" t="s">
        <v>852</v>
      </c>
      <c r="F530" s="172"/>
      <c r="G530" s="172"/>
      <c r="H530" s="172"/>
      <c r="I530" s="38" t="s">
        <v>852</v>
      </c>
      <c r="J530" s="172"/>
      <c r="K530" s="172"/>
      <c r="L530" s="172"/>
      <c r="M530" s="38" t="s">
        <v>852</v>
      </c>
      <c r="N530" s="172"/>
      <c r="O530" s="172"/>
      <c r="P530" s="172"/>
      <c r="Q530" s="38" t="s">
        <v>852</v>
      </c>
      <c r="R530" s="38" t="s">
        <v>852</v>
      </c>
    </row>
    <row r="531" spans="1:20" ht="15.75" customHeight="1" x14ac:dyDescent="0.3">
      <c r="A531" s="234" t="s">
        <v>1022</v>
      </c>
      <c r="B531" s="172"/>
      <c r="C531" s="172"/>
      <c r="D531" s="172"/>
      <c r="E531" s="38" t="s">
        <v>852</v>
      </c>
      <c r="F531" s="172"/>
      <c r="G531" s="172"/>
      <c r="H531" s="172"/>
      <c r="I531" s="38" t="s">
        <v>852</v>
      </c>
      <c r="J531" s="172"/>
      <c r="K531" s="172"/>
      <c r="L531" s="172"/>
      <c r="M531" s="38" t="s">
        <v>852</v>
      </c>
      <c r="N531" s="172"/>
      <c r="O531" s="172"/>
      <c r="P531" s="172"/>
      <c r="Q531" s="38" t="s">
        <v>852</v>
      </c>
      <c r="R531" s="38" t="s">
        <v>852</v>
      </c>
    </row>
    <row r="532" spans="1:20" ht="15.75" customHeight="1" x14ac:dyDescent="0.3">
      <c r="A532" s="234" t="s">
        <v>559</v>
      </c>
      <c r="B532" s="172"/>
      <c r="C532" s="172"/>
      <c r="D532" s="172"/>
      <c r="E532" s="38" t="s">
        <v>852</v>
      </c>
      <c r="F532" s="172"/>
      <c r="G532" s="172"/>
      <c r="H532" s="172"/>
      <c r="I532" s="38" t="s">
        <v>852</v>
      </c>
      <c r="J532" s="172"/>
      <c r="K532" s="172"/>
      <c r="L532" s="172"/>
      <c r="M532" s="38" t="s">
        <v>852</v>
      </c>
      <c r="N532" s="172"/>
      <c r="O532" s="172"/>
      <c r="P532" s="172"/>
      <c r="Q532" s="38" t="s">
        <v>852</v>
      </c>
      <c r="R532" s="38" t="s">
        <v>852</v>
      </c>
    </row>
    <row r="533" spans="1:20" ht="15.75" customHeight="1" x14ac:dyDescent="0.3">
      <c r="A533" s="539" t="s">
        <v>2936</v>
      </c>
      <c r="B533" s="10"/>
      <c r="C533" s="10"/>
      <c r="D533" s="10"/>
      <c r="E533" s="38">
        <f t="shared" ref="E533:E534" si="225">SUM(B533:D533)</f>
        <v>0</v>
      </c>
      <c r="F533" s="10"/>
      <c r="G533" s="10"/>
      <c r="H533" s="10"/>
      <c r="I533" s="38">
        <f t="shared" ref="I533:I534" si="226">SUM(F533:H533)</f>
        <v>0</v>
      </c>
      <c r="J533" s="10"/>
      <c r="K533" s="10"/>
      <c r="L533" s="10"/>
      <c r="M533" s="38">
        <f t="shared" ref="M533:M534" si="227">SUM(J533:L533)</f>
        <v>0</v>
      </c>
      <c r="N533" s="10"/>
      <c r="O533" s="10"/>
      <c r="P533" s="10"/>
      <c r="Q533" s="38">
        <f t="shared" ref="Q533:Q534" si="228">SUM(N533:P533)</f>
        <v>0</v>
      </c>
      <c r="R533" s="38">
        <f t="shared" ref="R533:R538" si="229">+E533+I533+M533+Q533</f>
        <v>0</v>
      </c>
      <c r="T533" t="s">
        <v>500</v>
      </c>
    </row>
    <row r="534" spans="1:20" ht="15.75" customHeight="1" thickBot="1" x14ac:dyDescent="0.35">
      <c r="A534" s="539" t="s">
        <v>2834</v>
      </c>
      <c r="B534" s="10"/>
      <c r="C534" s="10"/>
      <c r="D534" s="10"/>
      <c r="E534" s="38">
        <f t="shared" si="225"/>
        <v>0</v>
      </c>
      <c r="F534" s="10"/>
      <c r="G534" s="10"/>
      <c r="H534" s="10"/>
      <c r="I534" s="38">
        <f t="shared" si="226"/>
        <v>0</v>
      </c>
      <c r="J534" s="10"/>
      <c r="K534" s="10"/>
      <c r="L534" s="10"/>
      <c r="M534" s="38">
        <f t="shared" si="227"/>
        <v>0</v>
      </c>
      <c r="N534" s="10"/>
      <c r="O534" s="10"/>
      <c r="P534" s="10"/>
      <c r="Q534" s="38">
        <f t="shared" si="228"/>
        <v>0</v>
      </c>
      <c r="R534" s="38">
        <f t="shared" si="229"/>
        <v>0</v>
      </c>
      <c r="T534" t="s">
        <v>500</v>
      </c>
    </row>
    <row r="535" spans="1:20" ht="16.5" customHeight="1" thickBot="1" x14ac:dyDescent="0.35">
      <c r="A535" s="43" t="s">
        <v>1019</v>
      </c>
      <c r="B535" s="42">
        <f>SUM(B531:B534)</f>
        <v>0</v>
      </c>
      <c r="C535" s="42">
        <f>SUM(C531:C534)</f>
        <v>0</v>
      </c>
      <c r="D535" s="42">
        <f>SUM(D531:D534)</f>
        <v>0</v>
      </c>
      <c r="E535" s="39">
        <f t="shared" ref="E535:E538" si="230">SUM(B535:D535)</f>
        <v>0</v>
      </c>
      <c r="F535" s="42">
        <f>SUM(F531:F534)</f>
        <v>0</v>
      </c>
      <c r="G535" s="42">
        <f>SUM(G531:G534)</f>
        <v>0</v>
      </c>
      <c r="H535" s="42">
        <f>SUM(H531:H534)</f>
        <v>0</v>
      </c>
      <c r="I535" s="39">
        <f t="shared" ref="I535:I538" si="231">SUM(F535:H535)</f>
        <v>0</v>
      </c>
      <c r="J535" s="42">
        <f>SUM(J531:J534)</f>
        <v>0</v>
      </c>
      <c r="K535" s="42">
        <f>SUM(K531:K534)</f>
        <v>0</v>
      </c>
      <c r="L535" s="42">
        <f>SUM(L531:L534)</f>
        <v>0</v>
      </c>
      <c r="M535" s="39">
        <f t="shared" ref="M535:M538" si="232">SUM(J535:L535)</f>
        <v>0</v>
      </c>
      <c r="N535" s="42">
        <f>SUM(N531:N534)</f>
        <v>0</v>
      </c>
      <c r="O535" s="42">
        <f>SUM(O531:O534)</f>
        <v>0</v>
      </c>
      <c r="P535" s="42">
        <f>SUM(P531:P534)</f>
        <v>0</v>
      </c>
      <c r="Q535" s="39">
        <f t="shared" ref="Q535:Q538" si="233">SUM(N535:P535)</f>
        <v>0</v>
      </c>
      <c r="R535" s="37">
        <f t="shared" si="229"/>
        <v>0</v>
      </c>
    </row>
    <row r="536" spans="1:20" ht="16.5" customHeight="1" thickBot="1" x14ac:dyDescent="0.35">
      <c r="A536" s="277" t="s">
        <v>1221</v>
      </c>
      <c r="B536" s="45">
        <f>SUM(B528:B534)</f>
        <v>0</v>
      </c>
      <c r="C536" s="46">
        <f>SUM(C528:C534)</f>
        <v>0</v>
      </c>
      <c r="D536" s="58">
        <f>SUM(D528:D534)</f>
        <v>0</v>
      </c>
      <c r="E536" s="39">
        <f t="shared" si="230"/>
        <v>0</v>
      </c>
      <c r="F536" s="46">
        <f>SUM(F528:F534)</f>
        <v>0</v>
      </c>
      <c r="G536" s="46">
        <f>SUM(G528:G534)</f>
        <v>0</v>
      </c>
      <c r="H536" s="46">
        <f>SUM(H528:H534)</f>
        <v>0</v>
      </c>
      <c r="I536" s="39">
        <f t="shared" si="231"/>
        <v>0</v>
      </c>
      <c r="J536" s="46">
        <f>SUM(J528:J534)</f>
        <v>0</v>
      </c>
      <c r="K536" s="46">
        <f>SUM(K528:K534)</f>
        <v>0</v>
      </c>
      <c r="L536" s="46">
        <f>SUM(L528:L534)</f>
        <v>0</v>
      </c>
      <c r="M536" s="39">
        <f t="shared" si="232"/>
        <v>0</v>
      </c>
      <c r="N536" s="46">
        <f>SUM(N528:N534)</f>
        <v>0</v>
      </c>
      <c r="O536" s="46">
        <f>SUM(O528:O534)</f>
        <v>0</v>
      </c>
      <c r="P536" s="46">
        <f>SUM(P528:P534)</f>
        <v>0</v>
      </c>
      <c r="Q536" s="39">
        <f t="shared" si="233"/>
        <v>0</v>
      </c>
      <c r="R536" s="37">
        <f t="shared" si="229"/>
        <v>0</v>
      </c>
    </row>
    <row r="537" spans="1:20" ht="16.5" customHeight="1" thickBot="1" x14ac:dyDescent="0.35">
      <c r="A537" s="43" t="s">
        <v>1222</v>
      </c>
      <c r="B537" s="47">
        <f>+B516+B521+B527+B536</f>
        <v>7</v>
      </c>
      <c r="C537" s="42">
        <f>+C516+C521+C527+C536</f>
        <v>0</v>
      </c>
      <c r="D537" s="42">
        <f>+D516+D521+D527+D536</f>
        <v>2601</v>
      </c>
      <c r="E537" s="37">
        <f t="shared" si="230"/>
        <v>2608</v>
      </c>
      <c r="F537" s="42">
        <f>+F516+F521+F527+F536</f>
        <v>10550</v>
      </c>
      <c r="G537" s="42">
        <f>+G516+G521+G527+G536</f>
        <v>4890</v>
      </c>
      <c r="H537" s="42">
        <f>+H516+H521+H527+H536</f>
        <v>11708</v>
      </c>
      <c r="I537" s="37">
        <f t="shared" si="231"/>
        <v>27148</v>
      </c>
      <c r="J537" s="42">
        <f>+J516+J521+J527+J536</f>
        <v>15285</v>
      </c>
      <c r="K537" s="42">
        <f>+K516+K521+K527+K536</f>
        <v>16067</v>
      </c>
      <c r="L537" s="42">
        <f>+L516+L521+L527+L536</f>
        <v>7028</v>
      </c>
      <c r="M537" s="37">
        <f t="shared" si="232"/>
        <v>38380</v>
      </c>
      <c r="N537" s="42">
        <f>+N516+N521+N527+N536</f>
        <v>3948</v>
      </c>
      <c r="O537" s="42">
        <f>+O516+O521+O527+O536</f>
        <v>0</v>
      </c>
      <c r="P537" s="42">
        <f>+P516+P521+P527+P536</f>
        <v>270</v>
      </c>
      <c r="Q537" s="37">
        <f t="shared" si="233"/>
        <v>4218</v>
      </c>
      <c r="R537" s="40">
        <f>+E537+I537+M537+Q537</f>
        <v>72354</v>
      </c>
    </row>
    <row r="538" spans="1:20" ht="16.5" customHeight="1" thickBot="1" x14ac:dyDescent="0.35">
      <c r="A538" s="244" t="s">
        <v>853</v>
      </c>
      <c r="B538" s="238">
        <v>9</v>
      </c>
      <c r="C538" s="238">
        <v>16</v>
      </c>
      <c r="D538" s="238">
        <v>25</v>
      </c>
      <c r="E538" s="38">
        <f t="shared" si="230"/>
        <v>50</v>
      </c>
      <c r="F538" s="238">
        <v>34</v>
      </c>
      <c r="G538" s="238">
        <v>41</v>
      </c>
      <c r="H538" s="238">
        <v>41</v>
      </c>
      <c r="I538" s="38">
        <f t="shared" si="231"/>
        <v>116</v>
      </c>
      <c r="J538" s="238">
        <v>39</v>
      </c>
      <c r="K538" s="238">
        <v>30</v>
      </c>
      <c r="L538" s="238">
        <v>30</v>
      </c>
      <c r="M538" s="38">
        <f t="shared" si="232"/>
        <v>99</v>
      </c>
      <c r="N538" s="238">
        <v>28</v>
      </c>
      <c r="O538" s="238">
        <v>22</v>
      </c>
      <c r="P538" s="238">
        <v>16</v>
      </c>
      <c r="Q538" s="38">
        <f t="shared" si="233"/>
        <v>66</v>
      </c>
      <c r="R538" s="38">
        <f t="shared" si="229"/>
        <v>331</v>
      </c>
    </row>
    <row r="539" spans="1:20" ht="16.5" customHeight="1" thickBot="1" x14ac:dyDescent="0.35">
      <c r="A539" s="44"/>
      <c r="B539" s="258"/>
      <c r="C539" s="258"/>
      <c r="D539" s="258"/>
      <c r="E539" s="37"/>
      <c r="F539" s="258"/>
      <c r="G539" s="258"/>
      <c r="H539" s="258"/>
      <c r="I539" s="37"/>
      <c r="J539" s="258"/>
      <c r="K539" s="258"/>
      <c r="L539" s="258"/>
      <c r="M539" s="37"/>
      <c r="N539" s="258"/>
      <c r="O539" s="258"/>
      <c r="P539" s="258"/>
      <c r="Q539" s="37"/>
      <c r="R539" s="37" t="s">
        <v>852</v>
      </c>
    </row>
    <row r="540" spans="1:20" ht="15.75" customHeight="1" x14ac:dyDescent="0.3">
      <c r="A540" s="259" t="s">
        <v>2011</v>
      </c>
      <c r="B540" s="260">
        <f>SUM(B537:B538)</f>
        <v>16</v>
      </c>
      <c r="C540" s="260">
        <f>SUM(C537:C538)</f>
        <v>16</v>
      </c>
      <c r="D540" s="260">
        <f>SUM(D537:D538)</f>
        <v>2626</v>
      </c>
      <c r="E540" s="39">
        <f>SUM(B540:D540)</f>
        <v>2658</v>
      </c>
      <c r="F540" s="260">
        <f>SUM(F537:F538)</f>
        <v>10584</v>
      </c>
      <c r="G540" s="260">
        <f>SUM(G537:G538)</f>
        <v>4931</v>
      </c>
      <c r="H540" s="260">
        <f>SUM(H537:H538)</f>
        <v>11749</v>
      </c>
      <c r="I540" s="39">
        <f>SUM(F540:H540)</f>
        <v>27264</v>
      </c>
      <c r="J540" s="260">
        <f>SUM(J537:J538)</f>
        <v>15324</v>
      </c>
      <c r="K540" s="260">
        <f>SUM(K537:K538)</f>
        <v>16097</v>
      </c>
      <c r="L540" s="260">
        <f>SUM(L537:L538)</f>
        <v>7058</v>
      </c>
      <c r="M540" s="39">
        <f>SUM(J540:L540)</f>
        <v>38479</v>
      </c>
      <c r="N540" s="260">
        <f>SUM(N537:N538)</f>
        <v>3976</v>
      </c>
      <c r="O540" s="260">
        <f>SUM(O537:O538)</f>
        <v>22</v>
      </c>
      <c r="P540" s="260">
        <f>SUM(P537:P538)</f>
        <v>286</v>
      </c>
      <c r="Q540" s="39">
        <f>SUM(N540:P540)</f>
        <v>4284</v>
      </c>
      <c r="R540" s="39">
        <f>+E540+I540+M540+Q540</f>
        <v>72685</v>
      </c>
    </row>
    <row r="541" spans="1:20" ht="15.75" customHeight="1" x14ac:dyDescent="0.3">
      <c r="A541" s="262" t="s">
        <v>1897</v>
      </c>
      <c r="B541" s="172">
        <f>(B540/B10)/1.983</f>
        <v>0.26027686951995183</v>
      </c>
      <c r="C541" s="172">
        <f>(C540/C10)/1.983</f>
        <v>0.28816367696851808</v>
      </c>
      <c r="D541" s="172">
        <f>(D540/D10)/1.983</f>
        <v>42.717941209962092</v>
      </c>
      <c r="E541" s="38" t="s">
        <v>852</v>
      </c>
      <c r="F541" s="172">
        <f>(F540/F10)/1.983</f>
        <v>177.91225416036309</v>
      </c>
      <c r="G541" s="172">
        <f>(G540/G10)/1.983</f>
        <v>80.214077725180161</v>
      </c>
      <c r="H541" s="172">
        <f>(H540/H10)/1.983</f>
        <v>197.49537737434861</v>
      </c>
      <c r="I541" s="38" t="s">
        <v>852</v>
      </c>
      <c r="J541" s="172">
        <f>(J540/J10)/1.983</f>
        <v>249.28017178273387</v>
      </c>
      <c r="K541" s="172">
        <f>(K540/K10)/1.983</f>
        <v>261.85479804141653</v>
      </c>
      <c r="L541" s="172">
        <f>(L540/L10)/1.983</f>
        <v>118.64178853588838</v>
      </c>
      <c r="M541" s="38" t="s">
        <v>852</v>
      </c>
      <c r="N541" s="172">
        <f>(N540/N10)/1.983</f>
        <v>64.678802075708035</v>
      </c>
      <c r="O541" s="172">
        <f>(O540/O10)/1.983</f>
        <v>0.36981005210959822</v>
      </c>
      <c r="P541" s="172">
        <f>(P540/P10)/1.983</f>
        <v>4.6524490426691392</v>
      </c>
      <c r="Q541" s="38" t="s">
        <v>852</v>
      </c>
      <c r="R541" s="38" t="s">
        <v>852</v>
      </c>
    </row>
    <row r="542" spans="1:20" ht="15.75" customHeight="1" x14ac:dyDescent="0.3">
      <c r="A542" s="262" t="s">
        <v>575</v>
      </c>
      <c r="B542" s="172">
        <f>B540+B587</f>
        <v>15193</v>
      </c>
      <c r="C542" s="172">
        <f>C540+C587</f>
        <v>14779</v>
      </c>
      <c r="D542" s="172">
        <f>D540+D587</f>
        <v>24020</v>
      </c>
      <c r="E542" s="38">
        <f>SUM(B542:D542)</f>
        <v>53992</v>
      </c>
      <c r="F542" s="172">
        <f>F540+F587</f>
        <v>42399</v>
      </c>
      <c r="G542" s="172">
        <f>G540+G587</f>
        <v>35144</v>
      </c>
      <c r="H542" s="172">
        <f>H540+H587</f>
        <v>45734</v>
      </c>
      <c r="I542" s="38">
        <f>SUM(F542:H542)</f>
        <v>123277</v>
      </c>
      <c r="J542" s="172">
        <f>J540+J587</f>
        <v>52040</v>
      </c>
      <c r="K542" s="172">
        <f>K540+K587</f>
        <v>53436</v>
      </c>
      <c r="L542" s="172">
        <f>L540+L587</f>
        <v>29829</v>
      </c>
      <c r="M542" s="38">
        <f>SUM(J542:L542)</f>
        <v>135305</v>
      </c>
      <c r="N542" s="172">
        <f>N540+N587</f>
        <v>21829</v>
      </c>
      <c r="O542" s="172">
        <f>O540+O587</f>
        <v>1205</v>
      </c>
      <c r="P542" s="172">
        <f>P540+P587</f>
        <v>7285</v>
      </c>
      <c r="Q542" s="38">
        <f>SUM(N542:P542)</f>
        <v>30319</v>
      </c>
      <c r="R542" s="38">
        <f>+E542+I542+M542+Q542</f>
        <v>342893</v>
      </c>
    </row>
    <row r="543" spans="1:20" ht="16.5" customHeight="1" thickBot="1" x14ac:dyDescent="0.35">
      <c r="A543" s="263" t="s">
        <v>576</v>
      </c>
      <c r="B543" s="264">
        <f>(B542/B10)/1.983</f>
        <v>247.14915491353929</v>
      </c>
      <c r="C543" s="264">
        <f>(C542/C10)/1.983</f>
        <v>266.17318636985806</v>
      </c>
      <c r="D543" s="264">
        <f>(D542/D10)/1.983</f>
        <v>390.74065036682771</v>
      </c>
      <c r="E543" s="40" t="s">
        <v>852</v>
      </c>
      <c r="F543" s="264">
        <f>(F542/F10)/1.983</f>
        <v>712.70801815431162</v>
      </c>
      <c r="G543" s="264">
        <f>(G542/G10)/1.983</f>
        <v>571.69814390057422</v>
      </c>
      <c r="H543" s="264">
        <f>(H542/H10)/1.983</f>
        <v>768.76786014456206</v>
      </c>
      <c r="I543" s="40" t="s">
        <v>852</v>
      </c>
      <c r="J543" s="264">
        <f>(J542/J10)/1.983</f>
        <v>846.55051811364342</v>
      </c>
      <c r="K543" s="264">
        <f>(K542/K10)/1.983</f>
        <v>869.2596749792591</v>
      </c>
      <c r="L543" s="264">
        <f>(L542/L10)/1.983</f>
        <v>501.41200201714571</v>
      </c>
      <c r="M543" s="40" t="s">
        <v>852</v>
      </c>
      <c r="N543" s="264">
        <f>(N542/N10)/1.983</f>
        <v>355.09898654693927</v>
      </c>
      <c r="O543" s="264">
        <f>(O542/O10)/1.983</f>
        <v>20.255505126912084</v>
      </c>
      <c r="P543" s="264">
        <f>(P542/P10)/1.983</f>
        <v>118.50731215330308</v>
      </c>
      <c r="Q543" s="40" t="s">
        <v>852</v>
      </c>
      <c r="R543" s="40" t="s">
        <v>852</v>
      </c>
    </row>
    <row r="544" spans="1:20" ht="15.75" customHeight="1" x14ac:dyDescent="0.3">
      <c r="A544" s="17"/>
      <c r="B544" s="172"/>
      <c r="C544" s="172"/>
      <c r="D544" s="172"/>
      <c r="E544" s="172"/>
      <c r="F544" s="172"/>
      <c r="G544" s="172"/>
      <c r="H544" s="172"/>
      <c r="I544" s="172"/>
      <c r="J544" s="172"/>
      <c r="K544" s="172"/>
      <c r="L544" s="172"/>
      <c r="M544" s="172"/>
      <c r="N544" s="172"/>
      <c r="O544" s="172"/>
      <c r="P544" s="172"/>
      <c r="Q544" s="172"/>
      <c r="R544" s="17"/>
    </row>
    <row r="545" spans="1:20" ht="15.75" customHeight="1" thickBot="1" x14ac:dyDescent="0.35">
      <c r="A545" s="17"/>
      <c r="B545" s="172"/>
      <c r="C545" s="172"/>
      <c r="D545" s="172"/>
      <c r="E545" s="172"/>
      <c r="F545" s="172"/>
      <c r="G545" s="172"/>
      <c r="H545" s="172"/>
      <c r="I545" s="172"/>
      <c r="J545" s="172"/>
      <c r="K545" s="172"/>
      <c r="L545" s="172"/>
      <c r="M545" s="172"/>
      <c r="N545" s="172"/>
      <c r="O545" s="172"/>
      <c r="P545" s="172"/>
      <c r="Q545" s="172"/>
      <c r="R545" s="17"/>
    </row>
    <row r="546" spans="1:20" ht="16.5" customHeight="1" thickBot="1" x14ac:dyDescent="0.35">
      <c r="A546" s="278" t="s">
        <v>689</v>
      </c>
      <c r="B546" s="4" t="s">
        <v>2090</v>
      </c>
      <c r="C546" s="5" t="s">
        <v>2091</v>
      </c>
      <c r="D546" s="5" t="s">
        <v>2234</v>
      </c>
      <c r="E546" s="33" t="s">
        <v>1594</v>
      </c>
      <c r="F546" s="5" t="s">
        <v>2235</v>
      </c>
      <c r="G546" s="5" t="s">
        <v>2236</v>
      </c>
      <c r="H546" s="5" t="s">
        <v>2237</v>
      </c>
      <c r="I546" s="35" t="s">
        <v>1595</v>
      </c>
      <c r="J546" s="5" t="s">
        <v>1504</v>
      </c>
      <c r="K546" s="5" t="s">
        <v>1505</v>
      </c>
      <c r="L546" s="5" t="s">
        <v>1506</v>
      </c>
      <c r="M546" s="35" t="s">
        <v>1596</v>
      </c>
      <c r="N546" s="5" t="s">
        <v>1507</v>
      </c>
      <c r="O546" s="5" t="s">
        <v>1508</v>
      </c>
      <c r="P546" s="5" t="s">
        <v>1509</v>
      </c>
      <c r="Q546" s="35" t="s">
        <v>1597</v>
      </c>
      <c r="R546" s="36" t="s">
        <v>1510</v>
      </c>
    </row>
    <row r="547" spans="1:20" ht="16.5" customHeight="1" thickBot="1" x14ac:dyDescent="0.35">
      <c r="A547" s="37"/>
      <c r="B547" s="258"/>
      <c r="C547" s="258"/>
      <c r="D547" s="258"/>
      <c r="E547" s="254"/>
      <c r="F547" s="258"/>
      <c r="G547" s="258"/>
      <c r="H547" s="258"/>
      <c r="I547" s="265"/>
      <c r="J547" s="258"/>
      <c r="K547" s="258"/>
      <c r="L547" s="258"/>
      <c r="M547" s="265"/>
      <c r="N547" s="258"/>
      <c r="O547" s="258"/>
      <c r="P547" s="258"/>
      <c r="Q547" s="265"/>
      <c r="R547" s="52"/>
    </row>
    <row r="548" spans="1:20" ht="15.75" customHeight="1" x14ac:dyDescent="0.3">
      <c r="A548" s="234" t="s">
        <v>2417</v>
      </c>
      <c r="B548" s="172" t="s">
        <v>852</v>
      </c>
      <c r="C548" s="172" t="s">
        <v>852</v>
      </c>
      <c r="D548" s="172" t="s">
        <v>852</v>
      </c>
      <c r="E548" s="38" t="s">
        <v>852</v>
      </c>
      <c r="F548" s="172"/>
      <c r="G548" s="172"/>
      <c r="H548" s="172"/>
      <c r="I548" s="38" t="s">
        <v>852</v>
      </c>
      <c r="J548" s="172" t="s">
        <v>852</v>
      </c>
      <c r="K548" s="172" t="s">
        <v>852</v>
      </c>
      <c r="L548" s="172" t="s">
        <v>852</v>
      </c>
      <c r="M548" s="38" t="s">
        <v>852</v>
      </c>
      <c r="N548" s="172" t="s">
        <v>852</v>
      </c>
      <c r="O548" s="172" t="s">
        <v>852</v>
      </c>
      <c r="P548" s="172" t="s">
        <v>852</v>
      </c>
      <c r="Q548" s="38" t="s">
        <v>852</v>
      </c>
      <c r="R548" s="38" t="s">
        <v>852</v>
      </c>
    </row>
    <row r="549" spans="1:20" ht="15.75" customHeight="1" x14ac:dyDescent="0.3">
      <c r="A549" s="234" t="s">
        <v>2160</v>
      </c>
      <c r="B549" s="172"/>
      <c r="C549" s="172"/>
      <c r="D549" s="172"/>
      <c r="E549" s="38" t="s">
        <v>852</v>
      </c>
      <c r="F549" s="172"/>
      <c r="G549" s="172"/>
      <c r="H549" s="172"/>
      <c r="I549" s="38" t="s">
        <v>852</v>
      </c>
      <c r="J549" s="172"/>
      <c r="K549" s="172"/>
      <c r="L549" s="172"/>
      <c r="M549" s="38" t="s">
        <v>852</v>
      </c>
      <c r="N549" s="172"/>
      <c r="O549" s="172"/>
      <c r="P549" s="172"/>
      <c r="Q549" s="38" t="s">
        <v>852</v>
      </c>
      <c r="R549" s="38" t="s">
        <v>852</v>
      </c>
    </row>
    <row r="550" spans="1:20" ht="15.75" customHeight="1" x14ac:dyDescent="0.3">
      <c r="A550" s="234" t="s">
        <v>2976</v>
      </c>
      <c r="C550" s="10"/>
      <c r="D550" s="10"/>
      <c r="E550" s="38">
        <f>SUM(B550:D550)</f>
        <v>0</v>
      </c>
      <c r="F550" s="10"/>
      <c r="G550" s="10"/>
      <c r="H550" s="10"/>
      <c r="I550" s="38">
        <f>SUM(F550:H550)</f>
        <v>0</v>
      </c>
      <c r="J550" s="10"/>
      <c r="K550" s="10"/>
      <c r="L550" s="10"/>
      <c r="M550" s="38">
        <f>SUM(J550:L550)</f>
        <v>0</v>
      </c>
      <c r="N550" s="10"/>
      <c r="O550" s="10"/>
      <c r="P550" s="10"/>
      <c r="Q550" s="38">
        <f>SUM(N550:P550)</f>
        <v>0</v>
      </c>
      <c r="R550" s="38">
        <f>+E550+I550+M550+Q550</f>
        <v>0</v>
      </c>
      <c r="T550" t="s">
        <v>505</v>
      </c>
    </row>
    <row r="551" spans="1:20" ht="15.75" customHeight="1" x14ac:dyDescent="0.3">
      <c r="A551" s="310" t="s">
        <v>1478</v>
      </c>
      <c r="B551" s="10"/>
      <c r="C551" s="10"/>
      <c r="D551" s="10">
        <v>303</v>
      </c>
      <c r="E551" s="38">
        <f>SUM(B551:D551)</f>
        <v>303</v>
      </c>
      <c r="F551" s="10">
        <v>462</v>
      </c>
      <c r="G551" s="10">
        <v>1002</v>
      </c>
      <c r="H551" s="10">
        <v>233</v>
      </c>
      <c r="I551" s="38">
        <f>SUM(F551:H551)</f>
        <v>1697</v>
      </c>
      <c r="J551" s="10"/>
      <c r="K551" s="10"/>
      <c r="L551" s="10"/>
      <c r="M551" s="38">
        <f>SUM(J551:L551)</f>
        <v>0</v>
      </c>
      <c r="N551" s="10"/>
      <c r="O551" s="10"/>
      <c r="P551" s="10"/>
      <c r="Q551" s="38">
        <f>SUM(N551:P551)</f>
        <v>0</v>
      </c>
      <c r="R551" s="38">
        <f>+E551+I551+M551+Q551</f>
        <v>2000</v>
      </c>
    </row>
    <row r="552" spans="1:20" ht="15.75" customHeight="1" x14ac:dyDescent="0.3">
      <c r="A552" s="310" t="s">
        <v>485</v>
      </c>
      <c r="B552" s="10"/>
      <c r="C552" s="10"/>
      <c r="D552" s="10"/>
      <c r="E552" s="38">
        <f>SUM(B552:D552)</f>
        <v>0</v>
      </c>
      <c r="F552" s="10"/>
      <c r="G552" s="10"/>
      <c r="H552" s="10">
        <v>656</v>
      </c>
      <c r="I552" s="38">
        <f>SUM(F552:H552)</f>
        <v>656</v>
      </c>
      <c r="J552" s="10">
        <v>1173</v>
      </c>
      <c r="K552" s="10">
        <v>1826</v>
      </c>
      <c r="L552" s="10">
        <v>345</v>
      </c>
      <c r="M552" s="38">
        <f>SUM(J552:L552)</f>
        <v>3344</v>
      </c>
      <c r="N552" s="10"/>
      <c r="O552" s="10"/>
      <c r="P552" s="10"/>
      <c r="Q552" s="38">
        <f>SUM(N552:P552)</f>
        <v>0</v>
      </c>
      <c r="R552" s="38">
        <f>+E552+I552+M552+Q552</f>
        <v>4000</v>
      </c>
    </row>
    <row r="553" spans="1:20" ht="15.75" customHeight="1" x14ac:dyDescent="0.3">
      <c r="A553" s="539" t="s">
        <v>3142</v>
      </c>
      <c r="B553" s="10"/>
      <c r="C553" s="10"/>
      <c r="D553" s="10"/>
      <c r="E553" s="38">
        <f>SUM(B553:D553)</f>
        <v>0</v>
      </c>
      <c r="F553" s="10"/>
      <c r="G553" s="10"/>
      <c r="H553" s="10"/>
      <c r="I553" s="38">
        <f>SUM(F553:H553)</f>
        <v>0</v>
      </c>
      <c r="J553" s="10"/>
      <c r="K553" s="10"/>
      <c r="L553" s="10">
        <v>381</v>
      </c>
      <c r="M553" s="38">
        <f>SUM(J553:L553)</f>
        <v>381</v>
      </c>
      <c r="N553" s="10">
        <v>372</v>
      </c>
      <c r="O553" s="10"/>
      <c r="P553" s="10"/>
      <c r="Q553" s="38">
        <f>SUM(N553:P553)</f>
        <v>372</v>
      </c>
      <c r="R553" s="38">
        <f>+E553+I553+M553+Q553</f>
        <v>753</v>
      </c>
    </row>
    <row r="554" spans="1:20" ht="15.75" customHeight="1" x14ac:dyDescent="0.3">
      <c r="A554" s="310" t="s">
        <v>1938</v>
      </c>
      <c r="B554" s="10"/>
      <c r="C554" s="10"/>
      <c r="D554" s="10"/>
      <c r="E554" s="38">
        <f>SUM(B554:D554)</f>
        <v>0</v>
      </c>
      <c r="F554" s="10"/>
      <c r="G554" s="10"/>
      <c r="H554" s="10"/>
      <c r="I554" s="38">
        <f>SUM(F554:H554)</f>
        <v>0</v>
      </c>
      <c r="J554" s="10">
        <v>237</v>
      </c>
      <c r="K554" s="10"/>
      <c r="L554" s="10">
        <v>300</v>
      </c>
      <c r="M554" s="38">
        <f>SUM(J554:L554)</f>
        <v>537</v>
      </c>
      <c r="N554" s="10"/>
      <c r="O554" s="10"/>
      <c r="P554" s="10"/>
      <c r="Q554" s="38">
        <f>SUM(N554:P554)</f>
        <v>0</v>
      </c>
      <c r="R554" s="38">
        <f>+E554+I554+M554+Q554</f>
        <v>537</v>
      </c>
    </row>
    <row r="555" spans="1:20" ht="15.75" customHeight="1" x14ac:dyDescent="0.3">
      <c r="A555" s="234" t="s">
        <v>2161</v>
      </c>
      <c r="B555" s="172"/>
      <c r="C555" s="172"/>
      <c r="D555" s="172"/>
      <c r="E555" s="38" t="s">
        <v>852</v>
      </c>
      <c r="F555" s="172"/>
      <c r="G555" s="172"/>
      <c r="H555" s="172"/>
      <c r="I555" s="38" t="s">
        <v>852</v>
      </c>
      <c r="J555" s="172"/>
      <c r="K555" s="172"/>
      <c r="L555" s="172"/>
      <c r="M555" s="38" t="s">
        <v>852</v>
      </c>
      <c r="N555" s="172"/>
      <c r="O555" s="172"/>
      <c r="P555" s="172"/>
      <c r="Q555" s="38" t="s">
        <v>852</v>
      </c>
      <c r="R555" s="38" t="s">
        <v>852</v>
      </c>
    </row>
    <row r="556" spans="1:20" ht="15.75" customHeight="1" x14ac:dyDescent="0.3">
      <c r="A556" s="234" t="s">
        <v>3245</v>
      </c>
      <c r="B556" s="172"/>
      <c r="C556" s="172"/>
      <c r="D556" s="172"/>
      <c r="E556" s="38" t="s">
        <v>852</v>
      </c>
      <c r="F556" s="172"/>
      <c r="G556" s="172"/>
      <c r="H556" s="172"/>
      <c r="I556" s="38" t="s">
        <v>852</v>
      </c>
      <c r="J556" s="172"/>
      <c r="K556" s="172"/>
      <c r="L556" s="172"/>
      <c r="M556" s="38" t="s">
        <v>852</v>
      </c>
      <c r="N556" s="172"/>
      <c r="O556" s="172"/>
      <c r="P556" s="172"/>
      <c r="Q556" s="38" t="s">
        <v>852</v>
      </c>
      <c r="R556" s="38" t="s">
        <v>852</v>
      </c>
    </row>
    <row r="557" spans="1:20" ht="15.75" customHeight="1" thickBot="1" x14ac:dyDescent="0.35">
      <c r="A557" s="234" t="s">
        <v>2164</v>
      </c>
      <c r="B557" s="172"/>
      <c r="C557" s="172"/>
      <c r="D557" s="172"/>
      <c r="E557" s="38" t="s">
        <v>852</v>
      </c>
      <c r="F557" s="172"/>
      <c r="G557" s="172"/>
      <c r="H557" s="172"/>
      <c r="I557" s="38" t="s">
        <v>852</v>
      </c>
      <c r="J557" s="172"/>
      <c r="K557" s="172"/>
      <c r="L557" s="172"/>
      <c r="M557" s="38" t="s">
        <v>852</v>
      </c>
      <c r="N557" s="172"/>
      <c r="O557" s="172"/>
      <c r="P557" s="172"/>
      <c r="Q557" s="38" t="s">
        <v>852</v>
      </c>
      <c r="R557" s="38" t="s">
        <v>852</v>
      </c>
    </row>
    <row r="558" spans="1:20" ht="16.5" customHeight="1" thickBot="1" x14ac:dyDescent="0.35">
      <c r="A558" s="276" t="s">
        <v>1218</v>
      </c>
      <c r="B558" s="45">
        <f>SUM(B548:B557)</f>
        <v>0</v>
      </c>
      <c r="C558" s="46">
        <f>SUM(C548:C557)</f>
        <v>0</v>
      </c>
      <c r="D558" s="46">
        <f>SUM(D548:D557)</f>
        <v>303</v>
      </c>
      <c r="E558" s="37">
        <f>SUM(B558:D558)</f>
        <v>303</v>
      </c>
      <c r="F558" s="46">
        <f>SUM(F548:F557)</f>
        <v>462</v>
      </c>
      <c r="G558" s="46">
        <f>SUM(G548:G557)</f>
        <v>1002</v>
      </c>
      <c r="H558" s="46">
        <f>SUM(H548:H557)</f>
        <v>889</v>
      </c>
      <c r="I558" s="37">
        <f>SUM(F558:H558)</f>
        <v>2353</v>
      </c>
      <c r="J558" s="46">
        <f>SUM(J548:J557)</f>
        <v>1410</v>
      </c>
      <c r="K558" s="46">
        <f>SUM(K548:K557)</f>
        <v>1826</v>
      </c>
      <c r="L558" s="46">
        <f>SUM(L548:L557)</f>
        <v>1026</v>
      </c>
      <c r="M558" s="37">
        <f>SUM(J558:L558)</f>
        <v>4262</v>
      </c>
      <c r="N558" s="46">
        <f>SUM(N548:N557)</f>
        <v>372</v>
      </c>
      <c r="O558" s="46">
        <f>SUM(O548:O557)</f>
        <v>0</v>
      </c>
      <c r="P558" s="46">
        <f>SUM(P548:P557)</f>
        <v>0</v>
      </c>
      <c r="Q558" s="37">
        <f>SUM(N558:P558)</f>
        <v>372</v>
      </c>
      <c r="R558" s="37">
        <f>+E558+I558+M558+Q558</f>
        <v>7290</v>
      </c>
    </row>
    <row r="559" spans="1:20" ht="15.75" customHeight="1" x14ac:dyDescent="0.3">
      <c r="A559" s="234" t="s">
        <v>1172</v>
      </c>
      <c r="B559" s="172"/>
      <c r="C559" s="172"/>
      <c r="D559" s="172"/>
      <c r="E559" s="39" t="s">
        <v>852</v>
      </c>
      <c r="F559" s="172"/>
      <c r="G559" s="172"/>
      <c r="H559" s="172"/>
      <c r="I559" s="39" t="s">
        <v>852</v>
      </c>
      <c r="J559" s="172"/>
      <c r="K559" s="172"/>
      <c r="L559" s="172"/>
      <c r="M559" s="39" t="s">
        <v>852</v>
      </c>
      <c r="N559" s="172"/>
      <c r="O559" s="172"/>
      <c r="P559" s="172"/>
      <c r="Q559" s="39" t="s">
        <v>852</v>
      </c>
      <c r="R559" s="63" t="s">
        <v>852</v>
      </c>
    </row>
    <row r="560" spans="1:20" ht="15.75" customHeight="1" x14ac:dyDescent="0.3">
      <c r="A560" s="234" t="s">
        <v>2409</v>
      </c>
      <c r="B560" s="172"/>
      <c r="C560" s="172"/>
      <c r="D560" s="172"/>
      <c r="E560" s="38" t="s">
        <v>852</v>
      </c>
      <c r="F560" s="172"/>
      <c r="G560" s="172"/>
      <c r="H560" s="172"/>
      <c r="I560" s="38" t="s">
        <v>852</v>
      </c>
      <c r="J560" s="172"/>
      <c r="K560" s="172"/>
      <c r="L560" s="172"/>
      <c r="M560" s="38" t="s">
        <v>852</v>
      </c>
      <c r="N560" s="172"/>
      <c r="O560" s="172"/>
      <c r="P560" s="172"/>
      <c r="Q560" s="38" t="s">
        <v>852</v>
      </c>
      <c r="R560" s="63" t="s">
        <v>852</v>
      </c>
    </row>
    <row r="561" spans="1:20" ht="15.75" customHeight="1" x14ac:dyDescent="0.3">
      <c r="A561" s="310" t="s">
        <v>791</v>
      </c>
      <c r="B561" s="10"/>
      <c r="C561" s="10"/>
      <c r="D561" s="10">
        <v>305</v>
      </c>
      <c r="E561" s="38">
        <f>SUM(B561:D561)</f>
        <v>305</v>
      </c>
      <c r="F561" s="10">
        <v>3190</v>
      </c>
      <c r="G561" s="10">
        <v>1941</v>
      </c>
      <c r="H561" s="10">
        <v>4082</v>
      </c>
      <c r="I561" s="38">
        <f>SUM(F561:H561)</f>
        <v>9213</v>
      </c>
      <c r="J561" s="10">
        <v>4836</v>
      </c>
      <c r="K561" s="10">
        <v>5554</v>
      </c>
      <c r="L561" s="10">
        <v>2606</v>
      </c>
      <c r="M561" s="38">
        <f>SUM(J561:L561)</f>
        <v>12996</v>
      </c>
      <c r="N561" s="10">
        <v>952</v>
      </c>
      <c r="O561" s="10">
        <v>8</v>
      </c>
      <c r="P561" s="10">
        <v>40</v>
      </c>
      <c r="Q561" s="38">
        <f>SUM(N561:P561)</f>
        <v>1000</v>
      </c>
      <c r="R561" s="38">
        <f>+E561+I561+M561+Q561</f>
        <v>23514</v>
      </c>
      <c r="S561">
        <f>+SUM(R561,R519,R390)</f>
        <v>93023</v>
      </c>
      <c r="T561" t="s">
        <v>2704</v>
      </c>
    </row>
    <row r="562" spans="1:20" ht="15.75" customHeight="1" x14ac:dyDescent="0.3">
      <c r="A562" s="266" t="s">
        <v>2300</v>
      </c>
      <c r="B562" s="172"/>
      <c r="C562" s="172"/>
      <c r="D562" s="172"/>
      <c r="E562" s="38">
        <f>SUM(B562:D562)</f>
        <v>0</v>
      </c>
      <c r="F562" s="172"/>
      <c r="G562" s="172"/>
      <c r="H562" s="172"/>
      <c r="I562" s="38">
        <f>SUM(F562:H562)</f>
        <v>0</v>
      </c>
      <c r="J562" s="172"/>
      <c r="K562" s="172"/>
      <c r="L562" s="172"/>
      <c r="M562" s="38">
        <f>SUM(J562:L562)</f>
        <v>0</v>
      </c>
      <c r="N562" s="172"/>
      <c r="O562" s="172"/>
      <c r="P562" s="172"/>
      <c r="Q562" s="38">
        <f>SUM(N562:P562)</f>
        <v>0</v>
      </c>
      <c r="R562" s="38">
        <f>+E562+I562+M562+Q562</f>
        <v>0</v>
      </c>
    </row>
    <row r="563" spans="1:20" ht="15.75" customHeight="1" thickBot="1" x14ac:dyDescent="0.35">
      <c r="A563" s="234" t="s">
        <v>2165</v>
      </c>
      <c r="B563" s="172"/>
      <c r="C563" s="172"/>
      <c r="D563" s="172"/>
      <c r="E563" s="38" t="s">
        <v>852</v>
      </c>
      <c r="F563" s="172"/>
      <c r="G563" s="172"/>
      <c r="H563" s="172"/>
      <c r="I563" s="38" t="s">
        <v>852</v>
      </c>
      <c r="J563" s="172"/>
      <c r="K563" s="172"/>
      <c r="L563" s="172"/>
      <c r="M563" s="38" t="s">
        <v>852</v>
      </c>
      <c r="N563" s="172"/>
      <c r="O563" s="172"/>
      <c r="P563" s="172"/>
      <c r="Q563" s="38" t="s">
        <v>852</v>
      </c>
      <c r="R563" s="63" t="s">
        <v>852</v>
      </c>
    </row>
    <row r="564" spans="1:20" ht="16.5" customHeight="1" thickBot="1" x14ac:dyDescent="0.35">
      <c r="A564" s="43" t="s">
        <v>1219</v>
      </c>
      <c r="B564" s="45">
        <f>SUM(B559:B563)</f>
        <v>0</v>
      </c>
      <c r="C564" s="46">
        <f>SUM(C559:C563)</f>
        <v>0</v>
      </c>
      <c r="D564" s="46">
        <f>SUM(D559:D563)</f>
        <v>305</v>
      </c>
      <c r="E564" s="37">
        <f>SUM(B564:D564)</f>
        <v>305</v>
      </c>
      <c r="F564" s="46">
        <f>SUM(F559:F563)</f>
        <v>3190</v>
      </c>
      <c r="G564" s="46">
        <f>SUM(G559:G563)</f>
        <v>1941</v>
      </c>
      <c r="H564" s="46">
        <f>SUM(H559:H563)</f>
        <v>4082</v>
      </c>
      <c r="I564" s="37">
        <f>SUM(F564:H564)</f>
        <v>9213</v>
      </c>
      <c r="J564" s="46">
        <f>SUM(J559:J563)</f>
        <v>4836</v>
      </c>
      <c r="K564" s="46">
        <f>SUM(K559:K563)</f>
        <v>5554</v>
      </c>
      <c r="L564" s="46">
        <f>SUM(L559:L563)</f>
        <v>2606</v>
      </c>
      <c r="M564" s="37">
        <f>SUM(J564:L564)</f>
        <v>12996</v>
      </c>
      <c r="N564" s="46">
        <f>SUM(N559:N563)</f>
        <v>952</v>
      </c>
      <c r="O564" s="46">
        <f>SUM(O559:O563)</f>
        <v>8</v>
      </c>
      <c r="P564" s="46">
        <f>SUM(P559:P563)</f>
        <v>40</v>
      </c>
      <c r="Q564" s="37">
        <f>SUM(N564:P564)</f>
        <v>1000</v>
      </c>
      <c r="R564" s="37">
        <f>+E564+I564+M564+Q564</f>
        <v>23514</v>
      </c>
    </row>
    <row r="565" spans="1:20" ht="15.75" customHeight="1" x14ac:dyDescent="0.3">
      <c r="A565" s="234" t="s">
        <v>2166</v>
      </c>
      <c r="B565" s="172"/>
      <c r="C565" s="172"/>
      <c r="D565" s="172"/>
      <c r="E565" s="38" t="s">
        <v>852</v>
      </c>
      <c r="F565" s="172"/>
      <c r="G565" s="172"/>
      <c r="H565" s="172"/>
      <c r="I565" s="38" t="s">
        <v>852</v>
      </c>
      <c r="J565" s="172"/>
      <c r="K565" s="172"/>
      <c r="L565" s="172"/>
      <c r="M565" s="38" t="s">
        <v>852</v>
      </c>
      <c r="N565" s="172"/>
      <c r="O565" s="172"/>
      <c r="P565" s="172"/>
      <c r="Q565" s="38" t="s">
        <v>852</v>
      </c>
      <c r="R565" s="38" t="s">
        <v>852</v>
      </c>
    </row>
    <row r="566" spans="1:20" ht="15.75" customHeight="1" x14ac:dyDescent="0.3">
      <c r="A566" s="234" t="s">
        <v>1245</v>
      </c>
      <c r="B566" s="172"/>
      <c r="C566" s="172"/>
      <c r="D566" s="172"/>
      <c r="E566" s="38" t="s">
        <v>852</v>
      </c>
      <c r="F566" s="172"/>
      <c r="G566" s="172"/>
      <c r="H566" s="172"/>
      <c r="I566" s="38" t="s">
        <v>852</v>
      </c>
      <c r="J566" s="172"/>
      <c r="K566" s="172"/>
      <c r="L566" s="172"/>
      <c r="M566" s="38" t="s">
        <v>852</v>
      </c>
      <c r="N566" s="172"/>
      <c r="O566" s="172"/>
      <c r="P566" s="172"/>
      <c r="Q566" s="38" t="s">
        <v>852</v>
      </c>
      <c r="R566" s="38" t="s">
        <v>852</v>
      </c>
    </row>
    <row r="567" spans="1:20" ht="15.75" customHeight="1" x14ac:dyDescent="0.3">
      <c r="A567" s="234" t="s">
        <v>1711</v>
      </c>
      <c r="B567" s="172"/>
      <c r="C567" s="172"/>
      <c r="D567" s="172"/>
      <c r="E567" s="38" t="s">
        <v>852</v>
      </c>
      <c r="F567" s="172"/>
      <c r="G567" s="172"/>
      <c r="H567" s="172"/>
      <c r="I567" s="38" t="s">
        <v>852</v>
      </c>
      <c r="J567" s="172"/>
      <c r="K567" s="172"/>
      <c r="L567" s="172"/>
      <c r="M567" s="38" t="s">
        <v>852</v>
      </c>
      <c r="N567" s="172"/>
      <c r="O567" s="172"/>
      <c r="P567" s="172"/>
      <c r="Q567" s="38" t="s">
        <v>852</v>
      </c>
      <c r="R567" s="38" t="s">
        <v>852</v>
      </c>
    </row>
    <row r="568" spans="1:20" ht="15.75" customHeight="1" thickBot="1" x14ac:dyDescent="0.35">
      <c r="A568" s="689" t="s">
        <v>2937</v>
      </c>
      <c r="B568" s="172"/>
      <c r="C568" s="172"/>
      <c r="D568" s="172"/>
      <c r="E568" s="38">
        <f>SUM(B568:D568)</f>
        <v>0</v>
      </c>
      <c r="F568" s="172"/>
      <c r="G568" s="172"/>
      <c r="H568" s="172"/>
      <c r="I568" s="38">
        <f>SUM(F568:H568)</f>
        <v>0</v>
      </c>
      <c r="J568" s="172"/>
      <c r="K568" s="172"/>
      <c r="L568" s="172"/>
      <c r="M568" s="38">
        <f>SUM(J568:L568)</f>
        <v>0</v>
      </c>
      <c r="N568" s="172"/>
      <c r="O568" s="172"/>
      <c r="P568" s="172"/>
      <c r="Q568" s="38">
        <f>SUM(N568:P568)</f>
        <v>0</v>
      </c>
      <c r="R568" s="38">
        <f>+E568+I568+M568+Q568</f>
        <v>0</v>
      </c>
      <c r="T568" t="s">
        <v>505</v>
      </c>
    </row>
    <row r="569" spans="1:20" ht="16.5" customHeight="1" thickBot="1" x14ac:dyDescent="0.35">
      <c r="A569" s="277" t="s">
        <v>1220</v>
      </c>
      <c r="B569" s="45">
        <f>SUM(B565:B568)</f>
        <v>0</v>
      </c>
      <c r="C569" s="46">
        <f>SUM(C565:C568)</f>
        <v>0</v>
      </c>
      <c r="D569" s="46">
        <f>SUM(D565:D568)</f>
        <v>0</v>
      </c>
      <c r="E569" s="37">
        <f>SUM(B569:D569)</f>
        <v>0</v>
      </c>
      <c r="F569" s="46">
        <f>SUM(F565:F568)</f>
        <v>0</v>
      </c>
      <c r="G569" s="46">
        <f>SUM(G565:G568)</f>
        <v>0</v>
      </c>
      <c r="H569" s="46">
        <f>SUM(H565:H568)</f>
        <v>0</v>
      </c>
      <c r="I569" s="37">
        <f>SUM(F569:H569)</f>
        <v>0</v>
      </c>
      <c r="J569" s="46">
        <f>SUM(J565:J568)</f>
        <v>0</v>
      </c>
      <c r="K569" s="46">
        <f>SUM(K565:K568)</f>
        <v>0</v>
      </c>
      <c r="L569" s="46">
        <f>SUM(L565:L568)</f>
        <v>0</v>
      </c>
      <c r="M569" s="37">
        <f>SUM(J569:L569)</f>
        <v>0</v>
      </c>
      <c r="N569" s="46">
        <f>SUM(N565:N568)</f>
        <v>0</v>
      </c>
      <c r="O569" s="46">
        <f>SUM(O565:O568)</f>
        <v>0</v>
      </c>
      <c r="P569" s="46">
        <f>SUM(P565:P568)</f>
        <v>0</v>
      </c>
      <c r="Q569" s="37">
        <f>SUM(N569:P569)</f>
        <v>0</v>
      </c>
      <c r="R569" s="37">
        <f>+E569+I569+M569+Q569</f>
        <v>0</v>
      </c>
    </row>
    <row r="570" spans="1:20" ht="15.75" customHeight="1" x14ac:dyDescent="0.3">
      <c r="A570" s="234" t="s">
        <v>1712</v>
      </c>
      <c r="B570" s="172"/>
      <c r="C570" s="172"/>
      <c r="D570" s="172"/>
      <c r="E570" s="38" t="s">
        <v>852</v>
      </c>
      <c r="F570" s="172"/>
      <c r="G570" s="172"/>
      <c r="H570" s="172"/>
      <c r="I570" s="38" t="s">
        <v>852</v>
      </c>
      <c r="J570" s="172"/>
      <c r="K570" s="172"/>
      <c r="L570" s="172"/>
      <c r="M570" s="38" t="s">
        <v>852</v>
      </c>
      <c r="N570" s="172"/>
      <c r="O570" s="172"/>
      <c r="P570" s="172"/>
      <c r="Q570" s="38" t="s">
        <v>852</v>
      </c>
      <c r="R570" s="38" t="s">
        <v>852</v>
      </c>
    </row>
    <row r="571" spans="1:20" ht="15.75" customHeight="1" x14ac:dyDescent="0.3">
      <c r="A571" s="234" t="s">
        <v>1021</v>
      </c>
      <c r="B571" s="172"/>
      <c r="C571" s="172"/>
      <c r="D571" s="172"/>
      <c r="E571" s="38" t="s">
        <v>852</v>
      </c>
      <c r="F571" s="172"/>
      <c r="G571" s="172"/>
      <c r="H571" s="172"/>
      <c r="I571" s="38" t="s">
        <v>852</v>
      </c>
      <c r="J571" s="172"/>
      <c r="K571" s="172"/>
      <c r="L571" s="172"/>
      <c r="M571" s="38" t="s">
        <v>852</v>
      </c>
      <c r="N571" s="172"/>
      <c r="O571" s="172"/>
      <c r="P571" s="172"/>
      <c r="Q571" s="38" t="s">
        <v>852</v>
      </c>
      <c r="R571" s="38" t="s">
        <v>852</v>
      </c>
    </row>
    <row r="572" spans="1:20" ht="15.75" customHeight="1" x14ac:dyDescent="0.3">
      <c r="A572" s="234" t="s">
        <v>557</v>
      </c>
      <c r="B572" s="172"/>
      <c r="C572" s="172"/>
      <c r="D572" s="172"/>
      <c r="E572" s="38" t="s">
        <v>852</v>
      </c>
      <c r="F572" s="172"/>
      <c r="G572" s="172"/>
      <c r="H572" s="172"/>
      <c r="I572" s="38" t="s">
        <v>852</v>
      </c>
      <c r="J572" s="172"/>
      <c r="K572" s="172"/>
      <c r="L572" s="172"/>
      <c r="M572" s="38" t="s">
        <v>852</v>
      </c>
      <c r="N572" s="172"/>
      <c r="O572" s="172"/>
      <c r="P572" s="172"/>
      <c r="Q572" s="38" t="s">
        <v>852</v>
      </c>
      <c r="R572" s="38" t="s">
        <v>852</v>
      </c>
    </row>
    <row r="573" spans="1:20" ht="15.75" customHeight="1" x14ac:dyDescent="0.3">
      <c r="A573" s="234" t="s">
        <v>1022</v>
      </c>
      <c r="B573" s="172"/>
      <c r="C573" s="172"/>
      <c r="D573" s="172"/>
      <c r="E573" s="38" t="s">
        <v>852</v>
      </c>
      <c r="F573" s="172"/>
      <c r="G573" s="172"/>
      <c r="H573" s="172"/>
      <c r="I573" s="38" t="s">
        <v>852</v>
      </c>
      <c r="J573" s="172"/>
      <c r="K573" s="172"/>
      <c r="L573" s="172"/>
      <c r="M573" s="38" t="s">
        <v>852</v>
      </c>
      <c r="N573" s="172"/>
      <c r="O573" s="172"/>
      <c r="P573" s="172"/>
      <c r="Q573" s="38" t="s">
        <v>852</v>
      </c>
      <c r="R573" s="38" t="s">
        <v>852</v>
      </c>
    </row>
    <row r="574" spans="1:20" ht="15.75" customHeight="1" x14ac:dyDescent="0.3">
      <c r="A574" s="539" t="s">
        <v>3263</v>
      </c>
      <c r="B574" s="10"/>
      <c r="C574" s="10"/>
      <c r="D574" s="10"/>
      <c r="E574" s="38">
        <f>SUM(B574:D574)</f>
        <v>0</v>
      </c>
      <c r="F574" s="10"/>
      <c r="G574" s="10"/>
      <c r="H574" s="10"/>
      <c r="I574" s="38">
        <f>SUM(F574:H574)</f>
        <v>0</v>
      </c>
      <c r="J574" s="10"/>
      <c r="K574" s="10"/>
      <c r="L574" s="10"/>
      <c r="M574" s="38">
        <f>SUM(J574:L574)</f>
        <v>0</v>
      </c>
      <c r="N574" s="10"/>
      <c r="O574" s="10"/>
      <c r="P574" s="10"/>
      <c r="Q574" s="38">
        <f>SUM(N574:P574)</f>
        <v>0</v>
      </c>
      <c r="R574" s="38">
        <f>+E574+I574+M574+Q574</f>
        <v>0</v>
      </c>
    </row>
    <row r="575" spans="1:20" ht="15.75" customHeight="1" x14ac:dyDescent="0.3">
      <c r="A575" s="234" t="s">
        <v>559</v>
      </c>
      <c r="B575" s="172"/>
      <c r="C575" s="172"/>
      <c r="D575" s="172"/>
      <c r="E575" s="38"/>
      <c r="F575" s="172"/>
      <c r="G575" s="172"/>
      <c r="H575" s="172"/>
      <c r="I575" s="38"/>
      <c r="J575" s="172"/>
      <c r="K575" s="172"/>
      <c r="L575" s="172"/>
      <c r="M575" s="38"/>
      <c r="N575" s="172"/>
      <c r="O575" s="172"/>
      <c r="P575" s="172"/>
      <c r="Q575" s="38"/>
      <c r="R575" s="38" t="s">
        <v>852</v>
      </c>
    </row>
    <row r="576" spans="1:20" ht="15.75" customHeight="1" x14ac:dyDescent="0.3">
      <c r="A576" s="539" t="s">
        <v>2936</v>
      </c>
      <c r="B576" s="10"/>
      <c r="C576" s="10"/>
      <c r="D576" s="10"/>
      <c r="E576" s="38">
        <f t="shared" ref="E576:E583" si="234">SUM(B576:D576)</f>
        <v>0</v>
      </c>
      <c r="F576" s="10"/>
      <c r="G576" s="10"/>
      <c r="H576" s="10"/>
      <c r="I576" s="38">
        <f t="shared" ref="I576:I583" si="235">SUM(F576:H576)</f>
        <v>0</v>
      </c>
      <c r="J576" s="10"/>
      <c r="K576" s="10"/>
      <c r="L576" s="10"/>
      <c r="M576" s="38">
        <f t="shared" ref="M576:M583" si="236">SUM(J576:L576)</f>
        <v>0</v>
      </c>
      <c r="N576" s="10"/>
      <c r="O576" s="10"/>
      <c r="P576" s="10"/>
      <c r="Q576" s="38">
        <f t="shared" ref="Q576:Q583" si="237">SUM(N576:P576)</f>
        <v>0</v>
      </c>
      <c r="R576" s="38">
        <f t="shared" ref="R576:R583" si="238">+E576+I576+M576+Q576</f>
        <v>0</v>
      </c>
      <c r="T576" t="s">
        <v>505</v>
      </c>
    </row>
    <row r="577" spans="1:20" ht="15.75" customHeight="1" x14ac:dyDescent="0.3">
      <c r="A577" s="539" t="s">
        <v>2836</v>
      </c>
      <c r="B577" s="172"/>
      <c r="C577" s="172"/>
      <c r="D577" s="172"/>
      <c r="E577" s="38">
        <f>SUM(B577:D577)</f>
        <v>0</v>
      </c>
      <c r="F577" s="172"/>
      <c r="G577" s="172"/>
      <c r="H577" s="172"/>
      <c r="I577" s="38">
        <f>SUM(F577:H577)</f>
        <v>0</v>
      </c>
      <c r="J577" s="172"/>
      <c r="K577" s="172"/>
      <c r="L577" s="172"/>
      <c r="M577" s="38">
        <f>SUM(J577:L577)</f>
        <v>0</v>
      </c>
      <c r="N577" s="172"/>
      <c r="O577" s="172"/>
      <c r="P577" s="172"/>
      <c r="Q577" s="38">
        <f>SUM(N577:P577)</f>
        <v>0</v>
      </c>
      <c r="R577" s="38">
        <f>+E577+I577+M577+Q577</f>
        <v>0</v>
      </c>
      <c r="T577" t="s">
        <v>505</v>
      </c>
    </row>
    <row r="578" spans="1:20" ht="15.75" customHeight="1" x14ac:dyDescent="0.3">
      <c r="A578" s="539" t="s">
        <v>3228</v>
      </c>
      <c r="B578" s="172"/>
      <c r="C578" s="172"/>
      <c r="D578" s="172"/>
      <c r="E578" s="38">
        <f t="shared" ref="E578" si="239">SUM(B578:D578)</f>
        <v>0</v>
      </c>
      <c r="F578" s="172"/>
      <c r="G578" s="172"/>
      <c r="H578" s="172"/>
      <c r="I578" s="38">
        <f t="shared" ref="I578" si="240">SUM(F578:H578)</f>
        <v>0</v>
      </c>
      <c r="J578" s="172"/>
      <c r="K578" s="172"/>
      <c r="L578" s="172"/>
      <c r="M578" s="38">
        <f t="shared" ref="M578" si="241">SUM(J578:L578)</f>
        <v>0</v>
      </c>
      <c r="N578" s="172"/>
      <c r="O578" s="172"/>
      <c r="P578" s="172"/>
      <c r="Q578" s="38">
        <f t="shared" ref="Q578" si="242">SUM(N578:P578)</f>
        <v>0</v>
      </c>
      <c r="R578" s="38">
        <f t="shared" ref="R578" si="243">+E578+I578+M578+Q578</f>
        <v>0</v>
      </c>
    </row>
    <row r="579" spans="1:20" ht="15.75" customHeight="1" thickBot="1" x14ac:dyDescent="0.35">
      <c r="A579" s="539" t="s">
        <v>2577</v>
      </c>
      <c r="B579" s="172"/>
      <c r="C579" s="172"/>
      <c r="D579" s="172"/>
      <c r="E579" s="38">
        <f t="shared" si="234"/>
        <v>0</v>
      </c>
      <c r="F579" s="172"/>
      <c r="G579" s="172"/>
      <c r="H579" s="172"/>
      <c r="I579" s="38">
        <f t="shared" si="235"/>
        <v>0</v>
      </c>
      <c r="J579" s="172"/>
      <c r="K579" s="172"/>
      <c r="L579" s="172"/>
      <c r="M579" s="38">
        <f t="shared" si="236"/>
        <v>0</v>
      </c>
      <c r="N579" s="172"/>
      <c r="O579" s="172"/>
      <c r="P579" s="172"/>
      <c r="Q579" s="38">
        <f t="shared" si="237"/>
        <v>0</v>
      </c>
      <c r="R579" s="38">
        <f t="shared" si="238"/>
        <v>0</v>
      </c>
    </row>
    <row r="580" spans="1:20" ht="16.5" customHeight="1" thickBot="1" x14ac:dyDescent="0.35">
      <c r="A580" s="43" t="s">
        <v>1019</v>
      </c>
      <c r="B580" s="42">
        <f>SUM(B573:B579)</f>
        <v>0</v>
      </c>
      <c r="C580" s="42">
        <f>SUM(C573:C579)</f>
        <v>0</v>
      </c>
      <c r="D580" s="42">
        <f>SUM(D573:D579)</f>
        <v>0</v>
      </c>
      <c r="E580" s="39">
        <f t="shared" si="234"/>
        <v>0</v>
      </c>
      <c r="F580" s="42">
        <f>SUM(F573:F579)</f>
        <v>0</v>
      </c>
      <c r="G580" s="42">
        <f>SUM(G573:G579)</f>
        <v>0</v>
      </c>
      <c r="H580" s="42">
        <f>SUM(H573:H579)</f>
        <v>0</v>
      </c>
      <c r="I580" s="39">
        <f t="shared" si="235"/>
        <v>0</v>
      </c>
      <c r="J580" s="42">
        <f>SUM(J573:J579)</f>
        <v>0</v>
      </c>
      <c r="K580" s="42">
        <f>SUM(K573:K579)</f>
        <v>0</v>
      </c>
      <c r="L580" s="42">
        <f>SUM(L573:L579)</f>
        <v>0</v>
      </c>
      <c r="M580" s="39">
        <f t="shared" si="236"/>
        <v>0</v>
      </c>
      <c r="N580" s="42">
        <f>SUM(N573:N579)</f>
        <v>0</v>
      </c>
      <c r="O580" s="42">
        <f>SUM(O573:O579)</f>
        <v>0</v>
      </c>
      <c r="P580" s="42">
        <f>SUM(P573:P579)</f>
        <v>0</v>
      </c>
      <c r="Q580" s="39">
        <f t="shared" si="237"/>
        <v>0</v>
      </c>
      <c r="R580" s="37">
        <f t="shared" si="238"/>
        <v>0</v>
      </c>
    </row>
    <row r="581" spans="1:20" ht="16.5" customHeight="1" thickBot="1" x14ac:dyDescent="0.35">
      <c r="A581" s="277" t="s">
        <v>1221</v>
      </c>
      <c r="B581" s="45">
        <f>SUM(B570:B579)</f>
        <v>0</v>
      </c>
      <c r="C581" s="46">
        <f>SUM(C570:C579)</f>
        <v>0</v>
      </c>
      <c r="D581" s="58">
        <f>SUM(D570:D579)</f>
        <v>0</v>
      </c>
      <c r="E581" s="39">
        <f t="shared" si="234"/>
        <v>0</v>
      </c>
      <c r="F581" s="46">
        <f>SUM(F570:F579)</f>
        <v>0</v>
      </c>
      <c r="G581" s="46">
        <f>SUM(G570:G579)</f>
        <v>0</v>
      </c>
      <c r="H581" s="46">
        <f>SUM(H570:H579)</f>
        <v>0</v>
      </c>
      <c r="I581" s="39">
        <f t="shared" si="235"/>
        <v>0</v>
      </c>
      <c r="J581" s="46">
        <f>SUM(J570:J579)</f>
        <v>0</v>
      </c>
      <c r="K581" s="46">
        <f>SUM(K570:K579)</f>
        <v>0</v>
      </c>
      <c r="L581" s="46">
        <f>SUM(L570:L579)</f>
        <v>0</v>
      </c>
      <c r="M581" s="39">
        <f t="shared" si="236"/>
        <v>0</v>
      </c>
      <c r="N581" s="46">
        <f>SUM(N570:N579)</f>
        <v>0</v>
      </c>
      <c r="O581" s="46">
        <f>SUM(O570:O579)</f>
        <v>0</v>
      </c>
      <c r="P581" s="46">
        <f>SUM(P570:P579)</f>
        <v>0</v>
      </c>
      <c r="Q581" s="39">
        <f t="shared" si="237"/>
        <v>0</v>
      </c>
      <c r="R581" s="37">
        <f t="shared" si="238"/>
        <v>0</v>
      </c>
    </row>
    <row r="582" spans="1:20" ht="16.5" customHeight="1" thickBot="1" x14ac:dyDescent="0.35">
      <c r="A582" s="43" t="s">
        <v>1222</v>
      </c>
      <c r="B582" s="47">
        <f>+B558+B564+B569+B581</f>
        <v>0</v>
      </c>
      <c r="C582" s="42">
        <f>+C558+C564+C569+C581</f>
        <v>0</v>
      </c>
      <c r="D582" s="42">
        <f>+D558+D564+D569+D581</f>
        <v>608</v>
      </c>
      <c r="E582" s="37">
        <f t="shared" si="234"/>
        <v>608</v>
      </c>
      <c r="F582" s="42">
        <f>+F558+F564+F569+F581</f>
        <v>3652</v>
      </c>
      <c r="G582" s="42">
        <f>+G558+G564+G569+G581</f>
        <v>2943</v>
      </c>
      <c r="H582" s="42">
        <f>+H558+H564+H569+H581</f>
        <v>4971</v>
      </c>
      <c r="I582" s="37">
        <f t="shared" si="235"/>
        <v>11566</v>
      </c>
      <c r="J582" s="42">
        <f>+J558+J564+J569+J581</f>
        <v>6246</v>
      </c>
      <c r="K582" s="42">
        <f>+K558+K564+K569+K581</f>
        <v>7380</v>
      </c>
      <c r="L582" s="42">
        <f>+L558+L564+L569+L581</f>
        <v>3632</v>
      </c>
      <c r="M582" s="37">
        <f t="shared" si="236"/>
        <v>17258</v>
      </c>
      <c r="N582" s="42">
        <f>+N558+N564+N569+N581</f>
        <v>1324</v>
      </c>
      <c r="O582" s="42">
        <f>+O558+O564+O569+O581</f>
        <v>8</v>
      </c>
      <c r="P582" s="42">
        <f>+P558+P564+P569+P581</f>
        <v>40</v>
      </c>
      <c r="Q582" s="37">
        <f t="shared" si="237"/>
        <v>1372</v>
      </c>
      <c r="R582" s="40">
        <f t="shared" si="238"/>
        <v>30804</v>
      </c>
    </row>
    <row r="583" spans="1:20" ht="16.5" customHeight="1" thickBot="1" x14ac:dyDescent="0.35">
      <c r="A583" s="244" t="s">
        <v>853</v>
      </c>
      <c r="B583" s="238">
        <v>23</v>
      </c>
      <c r="C583" s="238">
        <v>43</v>
      </c>
      <c r="D583" s="238">
        <v>66</v>
      </c>
      <c r="E583" s="40">
        <f t="shared" si="234"/>
        <v>132</v>
      </c>
      <c r="F583" s="238">
        <v>91</v>
      </c>
      <c r="G583" s="238">
        <v>108</v>
      </c>
      <c r="H583" s="238">
        <v>109</v>
      </c>
      <c r="I583" s="40">
        <f t="shared" si="235"/>
        <v>308</v>
      </c>
      <c r="J583" s="238">
        <v>104</v>
      </c>
      <c r="K583" s="238">
        <v>79</v>
      </c>
      <c r="L583" s="238">
        <v>80</v>
      </c>
      <c r="M583" s="40">
        <f t="shared" si="236"/>
        <v>263</v>
      </c>
      <c r="N583" s="238">
        <v>74</v>
      </c>
      <c r="O583" s="238">
        <v>58</v>
      </c>
      <c r="P583" s="238">
        <v>42</v>
      </c>
      <c r="Q583" s="40">
        <f t="shared" si="237"/>
        <v>174</v>
      </c>
      <c r="R583" s="38">
        <f t="shared" si="238"/>
        <v>877</v>
      </c>
    </row>
    <row r="584" spans="1:20" ht="16.5" customHeight="1" thickBot="1" x14ac:dyDescent="0.35">
      <c r="A584" s="22"/>
      <c r="B584" s="242"/>
      <c r="C584" s="242"/>
      <c r="D584" s="242"/>
      <c r="E584" s="21"/>
      <c r="F584" s="242"/>
      <c r="G584" s="242"/>
      <c r="H584" s="242"/>
      <c r="I584" s="31"/>
      <c r="J584" s="242"/>
      <c r="K584" s="242"/>
      <c r="L584" s="242"/>
      <c r="M584" s="31"/>
      <c r="N584" s="242"/>
      <c r="O584" s="242"/>
      <c r="P584" s="242"/>
      <c r="Q584" s="31"/>
      <c r="R584" s="21"/>
    </row>
    <row r="585" spans="1:20" ht="15.75" customHeight="1" x14ac:dyDescent="0.3">
      <c r="A585" s="234" t="s">
        <v>120</v>
      </c>
      <c r="B585" s="260">
        <f>SUM(B582:B583)</f>
        <v>23</v>
      </c>
      <c r="C585" s="260">
        <f>SUM(C582:C583)</f>
        <v>43</v>
      </c>
      <c r="D585" s="260">
        <f>SUM(D582:D583)</f>
        <v>674</v>
      </c>
      <c r="E585" s="39">
        <f>SUM(B585:D585)</f>
        <v>740</v>
      </c>
      <c r="F585" s="260">
        <f>SUM(F582:F583)</f>
        <v>3743</v>
      </c>
      <c r="G585" s="260">
        <f>SUM(G582:G583)</f>
        <v>3051</v>
      </c>
      <c r="H585" s="260">
        <f>SUM(H582:H583)</f>
        <v>5080</v>
      </c>
      <c r="I585" s="39">
        <f>SUM(F585:H585)</f>
        <v>11874</v>
      </c>
      <c r="J585" s="260">
        <f>SUM(J582:J583)</f>
        <v>6350</v>
      </c>
      <c r="K585" s="260">
        <f>SUM(K582:K583)</f>
        <v>7459</v>
      </c>
      <c r="L585" s="260">
        <f>SUM(L582:L583)</f>
        <v>3712</v>
      </c>
      <c r="M585" s="39">
        <f>SUM(J585:L585)</f>
        <v>17521</v>
      </c>
      <c r="N585" s="260">
        <f>SUM(N582:N583)</f>
        <v>1398</v>
      </c>
      <c r="O585" s="260">
        <f>SUM(O582:O583)</f>
        <v>66</v>
      </c>
      <c r="P585" s="260">
        <f>SUM(P582:P583)</f>
        <v>82</v>
      </c>
      <c r="Q585" s="39">
        <f>SUM(N585:P585)</f>
        <v>1546</v>
      </c>
      <c r="R585" s="39">
        <f>+E585+I585+M585+Q585</f>
        <v>31681</v>
      </c>
    </row>
    <row r="586" spans="1:20" ht="15.75" customHeight="1" x14ac:dyDescent="0.3">
      <c r="A586" s="234" t="s">
        <v>1897</v>
      </c>
      <c r="B586" s="172">
        <f>(B585/B10)/1.983</f>
        <v>0.37414799993493075</v>
      </c>
      <c r="C586" s="172">
        <f>(C585/C10)/1.983</f>
        <v>0.77443988185289248</v>
      </c>
      <c r="D586" s="172">
        <f>(D585/D10)/1.983</f>
        <v>10.964163128527971</v>
      </c>
      <c r="E586" s="38" t="s">
        <v>852</v>
      </c>
      <c r="F586" s="172">
        <f>(F585/F10)/1.983</f>
        <v>62.918137502101189</v>
      </c>
      <c r="G586" s="172">
        <f>(G585/G10)/1.983</f>
        <v>49.63154555658582</v>
      </c>
      <c r="H586" s="172">
        <f>(H585/H10)/1.983</f>
        <v>85.39250294167087</v>
      </c>
      <c r="I586" s="38" t="s">
        <v>852</v>
      </c>
      <c r="J586" s="172">
        <f>(J585/J10)/1.983</f>
        <v>103.29738259073089</v>
      </c>
      <c r="K586" s="172">
        <f>(K585/K10)/1.983</f>
        <v>121.33782310933255</v>
      </c>
      <c r="L586" s="172">
        <f>(L585/L10)/1.983</f>
        <v>62.397041519583119</v>
      </c>
      <c r="M586" s="38" t="s">
        <v>852</v>
      </c>
      <c r="N586" s="172">
        <f>(N585/N10)/1.983</f>
        <v>22.741691474305789</v>
      </c>
      <c r="O586" s="172">
        <f>(O585/O10)/1.983</f>
        <v>1.1094301563287947</v>
      </c>
      <c r="P586" s="172">
        <f>(P585/P10)/1.983</f>
        <v>1.3339189562897531</v>
      </c>
      <c r="Q586" s="38" t="s">
        <v>852</v>
      </c>
      <c r="R586" s="38" t="s">
        <v>852</v>
      </c>
    </row>
    <row r="587" spans="1:20" ht="15.75" customHeight="1" x14ac:dyDescent="0.3">
      <c r="A587" s="234" t="s">
        <v>1433</v>
      </c>
      <c r="B587" s="172">
        <f>B585+B654</f>
        <v>15177</v>
      </c>
      <c r="C587" s="172">
        <f>C585+C654</f>
        <v>14763</v>
      </c>
      <c r="D587" s="172">
        <f>D585+D654</f>
        <v>21394</v>
      </c>
      <c r="E587" s="38">
        <f>SUM(B587:D587)</f>
        <v>51334</v>
      </c>
      <c r="F587" s="172">
        <f>F585+F654</f>
        <v>31815</v>
      </c>
      <c r="G587" s="172">
        <f>G585+G654</f>
        <v>30213</v>
      </c>
      <c r="H587" s="172">
        <f>H585+H654</f>
        <v>33985</v>
      </c>
      <c r="I587" s="38">
        <f>SUM(F587:H587)</f>
        <v>96013</v>
      </c>
      <c r="J587" s="172">
        <f>J585+J654</f>
        <v>36716</v>
      </c>
      <c r="K587" s="172">
        <f>K585+K654</f>
        <v>37339</v>
      </c>
      <c r="L587" s="172">
        <f>L585+L654</f>
        <v>22771</v>
      </c>
      <c r="M587" s="38">
        <f>SUM(J587:L587)</f>
        <v>96826</v>
      </c>
      <c r="N587" s="172">
        <f>N585+N654</f>
        <v>17853</v>
      </c>
      <c r="O587" s="172">
        <f>O585+O654</f>
        <v>1183</v>
      </c>
      <c r="P587" s="172">
        <f>P585+P654</f>
        <v>6999</v>
      </c>
      <c r="Q587" s="38">
        <f>SUM(N587:P587)</f>
        <v>26035</v>
      </c>
      <c r="R587" s="38">
        <f>+E587+I587+M587+Q587</f>
        <v>270208</v>
      </c>
    </row>
    <row r="588" spans="1:20" ht="16.5" customHeight="1" thickBot="1" x14ac:dyDescent="0.35">
      <c r="A588" s="237" t="s">
        <v>426</v>
      </c>
      <c r="B588" s="264">
        <f>(B587/B10)/1.983</f>
        <v>246.88887804401929</v>
      </c>
      <c r="C588" s="264">
        <f>(C587/C10)/1.983</f>
        <v>265.88502269288955</v>
      </c>
      <c r="D588" s="264">
        <f>(D587/D10)/1.983</f>
        <v>348.02270915686557</v>
      </c>
      <c r="E588" s="40" t="s">
        <v>852</v>
      </c>
      <c r="F588" s="264">
        <f>(F587/F10)/1.983</f>
        <v>534.79576399394853</v>
      </c>
      <c r="G588" s="264">
        <f>(G587/G10)/1.983</f>
        <v>491.48406617539405</v>
      </c>
      <c r="H588" s="264">
        <f>(H587/H10)/1.983</f>
        <v>571.2724827702134</v>
      </c>
      <c r="I588" s="40" t="s">
        <v>852</v>
      </c>
      <c r="J588" s="264">
        <f>(J587/J10)/1.983</f>
        <v>597.27034633090955</v>
      </c>
      <c r="K588" s="264">
        <f>(K587/K10)/1.983</f>
        <v>607.40487693784257</v>
      </c>
      <c r="L588" s="264">
        <f>(L587/L10)/1.983</f>
        <v>382.77021348125731</v>
      </c>
      <c r="M588" s="40" t="s">
        <v>852</v>
      </c>
      <c r="N588" s="264">
        <f>(N587/N10)/1.983</f>
        <v>290.42018447123127</v>
      </c>
      <c r="O588" s="264">
        <f>(O587/O10)/1.983</f>
        <v>19.885695074802484</v>
      </c>
      <c r="P588" s="264">
        <f>(P587/P10)/1.983</f>
        <v>113.85486311063393</v>
      </c>
      <c r="Q588" s="40" t="s">
        <v>852</v>
      </c>
      <c r="R588" s="40" t="s">
        <v>852</v>
      </c>
    </row>
    <row r="589" spans="1:20" ht="15.75" customHeight="1" x14ac:dyDescent="0.3">
      <c r="A589" s="17"/>
      <c r="B589" s="172"/>
      <c r="C589" s="172"/>
      <c r="D589" s="172"/>
      <c r="E589" s="172"/>
      <c r="F589" s="172"/>
      <c r="G589" s="172"/>
      <c r="H589" s="172"/>
      <c r="I589" s="172"/>
      <c r="J589" s="172"/>
      <c r="K589" s="172"/>
      <c r="L589" s="172"/>
      <c r="M589" s="172"/>
      <c r="N589" s="172"/>
      <c r="O589" s="172"/>
      <c r="P589" s="172"/>
      <c r="Q589" s="172"/>
      <c r="R589" s="17"/>
    </row>
    <row r="590" spans="1:20" ht="15.75" customHeight="1" thickBot="1" x14ac:dyDescent="0.35">
      <c r="A590" s="17"/>
      <c r="B590" s="172"/>
      <c r="C590" s="172"/>
      <c r="D590" s="172"/>
      <c r="E590" s="172"/>
      <c r="F590" s="172"/>
      <c r="G590" s="172"/>
      <c r="H590" s="172"/>
      <c r="I590" s="172"/>
      <c r="J590" s="172"/>
      <c r="K590" s="172"/>
      <c r="L590" s="172"/>
      <c r="M590" s="172"/>
      <c r="N590" s="172"/>
      <c r="O590" s="172"/>
      <c r="P590" s="172"/>
      <c r="Q590" s="172"/>
      <c r="R590" s="17"/>
    </row>
    <row r="591" spans="1:20" ht="16.5" customHeight="1" thickBot="1" x14ac:dyDescent="0.35">
      <c r="A591" s="278" t="s">
        <v>1069</v>
      </c>
      <c r="B591" s="4" t="s">
        <v>2090</v>
      </c>
      <c r="C591" s="5" t="s">
        <v>2091</v>
      </c>
      <c r="D591" s="5" t="s">
        <v>2234</v>
      </c>
      <c r="E591" s="33" t="s">
        <v>1594</v>
      </c>
      <c r="F591" s="5" t="s">
        <v>2235</v>
      </c>
      <c r="G591" s="5" t="s">
        <v>2236</v>
      </c>
      <c r="H591" s="5" t="s">
        <v>2237</v>
      </c>
      <c r="I591" s="35" t="s">
        <v>1595</v>
      </c>
      <c r="J591" s="5" t="s">
        <v>1504</v>
      </c>
      <c r="K591" s="5" t="s">
        <v>1505</v>
      </c>
      <c r="L591" s="5" t="s">
        <v>1506</v>
      </c>
      <c r="M591" s="35" t="s">
        <v>1596</v>
      </c>
      <c r="N591" s="5" t="s">
        <v>1507</v>
      </c>
      <c r="O591" s="5" t="s">
        <v>1508</v>
      </c>
      <c r="P591" s="5" t="s">
        <v>1509</v>
      </c>
      <c r="Q591" s="35" t="s">
        <v>1597</v>
      </c>
      <c r="R591" s="36" t="s">
        <v>1510</v>
      </c>
    </row>
    <row r="592" spans="1:20" ht="16.5" customHeight="1" thickBot="1" x14ac:dyDescent="0.35">
      <c r="A592" s="37"/>
      <c r="B592" s="258"/>
      <c r="C592" s="258"/>
      <c r="D592" s="258"/>
      <c r="E592" s="254"/>
      <c r="F592" s="258"/>
      <c r="G592" s="258"/>
      <c r="H592" s="258"/>
      <c r="I592" s="265"/>
      <c r="J592" s="258"/>
      <c r="K592" s="258"/>
      <c r="L592" s="258"/>
      <c r="M592" s="265"/>
      <c r="N592" s="258"/>
      <c r="O592" s="258"/>
      <c r="P592" s="258"/>
      <c r="Q592" s="265"/>
      <c r="R592" s="52"/>
    </row>
    <row r="593" spans="1:20" ht="15.75" customHeight="1" x14ac:dyDescent="0.3">
      <c r="A593" s="234" t="s">
        <v>2417</v>
      </c>
      <c r="B593" s="10"/>
      <c r="C593" s="10"/>
      <c r="D593" s="10"/>
      <c r="E593" s="38" t="s">
        <v>852</v>
      </c>
      <c r="F593" s="10"/>
      <c r="G593" s="10"/>
      <c r="H593" s="10"/>
      <c r="I593" s="38" t="s">
        <v>852</v>
      </c>
      <c r="J593" s="10" t="s">
        <v>852</v>
      </c>
      <c r="K593" s="10" t="s">
        <v>852</v>
      </c>
      <c r="L593" s="10" t="s">
        <v>852</v>
      </c>
      <c r="M593" s="38" t="s">
        <v>852</v>
      </c>
      <c r="N593" s="10" t="s">
        <v>852</v>
      </c>
      <c r="O593" s="10" t="s">
        <v>852</v>
      </c>
      <c r="P593" s="10" t="s">
        <v>852</v>
      </c>
      <c r="Q593" s="38" t="s">
        <v>852</v>
      </c>
      <c r="R593" s="38" t="s">
        <v>852</v>
      </c>
    </row>
    <row r="594" spans="1:20" ht="15.75" customHeight="1" x14ac:dyDescent="0.3">
      <c r="A594" s="234" t="s">
        <v>2160</v>
      </c>
      <c r="B594" s="10"/>
      <c r="C594" s="10"/>
      <c r="D594" s="10"/>
      <c r="E594" s="38" t="s">
        <v>852</v>
      </c>
      <c r="F594" s="10"/>
      <c r="G594" s="10"/>
      <c r="H594" s="10"/>
      <c r="I594" s="38" t="s">
        <v>852</v>
      </c>
      <c r="J594" s="10"/>
      <c r="K594" s="10"/>
      <c r="L594" s="10"/>
      <c r="M594" s="38" t="s">
        <v>852</v>
      </c>
      <c r="N594" s="10"/>
      <c r="O594" s="10"/>
      <c r="P594" s="10"/>
      <c r="Q594" s="38" t="s">
        <v>852</v>
      </c>
      <c r="R594" s="38" t="s">
        <v>852</v>
      </c>
    </row>
    <row r="595" spans="1:20" ht="15.75" customHeight="1" x14ac:dyDescent="0.3">
      <c r="A595" s="310" t="s">
        <v>746</v>
      </c>
      <c r="B595" s="10"/>
      <c r="C595" s="10">
        <v>211</v>
      </c>
      <c r="D595" s="10">
        <v>106</v>
      </c>
      <c r="E595" s="38">
        <f t="shared" ref="E595" si="244">SUM(B595:D595)</f>
        <v>317</v>
      </c>
      <c r="F595" s="10">
        <v>116</v>
      </c>
      <c r="G595" s="10"/>
      <c r="H595" s="10">
        <v>147</v>
      </c>
      <c r="I595" s="38">
        <f t="shared" ref="I595" si="245">SUM(F595:H595)</f>
        <v>263</v>
      </c>
      <c r="J595" s="10">
        <v>617</v>
      </c>
      <c r="K595" s="10">
        <v>638</v>
      </c>
      <c r="L595" s="10">
        <v>125</v>
      </c>
      <c r="M595" s="38">
        <f t="shared" ref="M595" si="246">SUM(J595:L595)</f>
        <v>1380</v>
      </c>
      <c r="N595" s="10">
        <v>43</v>
      </c>
      <c r="O595" s="10"/>
      <c r="P595" s="10"/>
      <c r="Q595" s="38">
        <f t="shared" ref="Q595:Q605" si="247">SUM(N595:P595)</f>
        <v>43</v>
      </c>
      <c r="R595" s="38">
        <f t="shared" ref="R595:R606" si="248">+E595+I595+M595+Q595</f>
        <v>2003</v>
      </c>
    </row>
    <row r="596" spans="1:20" ht="15.75" customHeight="1" x14ac:dyDescent="0.3">
      <c r="A596" s="310" t="s">
        <v>639</v>
      </c>
      <c r="B596" s="10"/>
      <c r="C596" s="10"/>
      <c r="D596" s="10"/>
      <c r="E596" s="38">
        <f>SUM(B596:D596)</f>
        <v>0</v>
      </c>
      <c r="F596" s="10"/>
      <c r="G596" s="10"/>
      <c r="H596" s="10"/>
      <c r="I596" s="38">
        <f>SUM(F596:H596)</f>
        <v>0</v>
      </c>
      <c r="J596" s="10"/>
      <c r="K596" s="10">
        <v>1000</v>
      </c>
      <c r="L596" s="10">
        <v>600</v>
      </c>
      <c r="M596" s="38">
        <f>SUM(J596:L596)</f>
        <v>1600</v>
      </c>
      <c r="N596" s="10"/>
      <c r="O596" s="10"/>
      <c r="P596" s="10"/>
      <c r="Q596" s="38">
        <f>SUM(N596:P596)</f>
        <v>0</v>
      </c>
      <c r="R596" s="38">
        <f>+E596+I596+M596+Q596</f>
        <v>1600</v>
      </c>
    </row>
    <row r="597" spans="1:20" ht="15.75" customHeight="1" x14ac:dyDescent="0.3">
      <c r="A597" s="310" t="s">
        <v>1185</v>
      </c>
      <c r="B597" s="10"/>
      <c r="C597" s="10"/>
      <c r="D597" s="10"/>
      <c r="E597" s="38">
        <f t="shared" ref="E597" si="249">SUM(B597:D597)</f>
        <v>0</v>
      </c>
      <c r="F597" s="10">
        <v>750</v>
      </c>
      <c r="G597" s="10">
        <v>550</v>
      </c>
      <c r="H597" s="10">
        <v>1227</v>
      </c>
      <c r="I597" s="38">
        <f t="shared" ref="I597" si="250">SUM(F597:H597)</f>
        <v>2527</v>
      </c>
      <c r="J597" s="10">
        <v>2457</v>
      </c>
      <c r="K597" s="10">
        <v>2311</v>
      </c>
      <c r="L597" s="10">
        <v>105</v>
      </c>
      <c r="M597" s="38">
        <f t="shared" ref="M597" si="251">SUM(J597:L597)</f>
        <v>4873</v>
      </c>
      <c r="N597" s="10"/>
      <c r="O597" s="10"/>
      <c r="P597" s="10"/>
      <c r="Q597" s="38">
        <f t="shared" si="247"/>
        <v>0</v>
      </c>
      <c r="R597" s="38">
        <f t="shared" si="248"/>
        <v>7400</v>
      </c>
      <c r="T597" t="s">
        <v>2763</v>
      </c>
    </row>
    <row r="598" spans="1:20" ht="15.75" customHeight="1" x14ac:dyDescent="0.3">
      <c r="A598" s="310" t="s">
        <v>745</v>
      </c>
      <c r="B598" s="10"/>
      <c r="C598" s="10"/>
      <c r="D598" s="10"/>
      <c r="E598" s="38">
        <f>SUM(B598:D598)</f>
        <v>0</v>
      </c>
      <c r="F598" s="10"/>
      <c r="G598" s="10"/>
      <c r="H598" s="10"/>
      <c r="I598" s="38">
        <f>SUM(F598:H598)</f>
        <v>0</v>
      </c>
      <c r="J598" s="10"/>
      <c r="K598" s="10"/>
      <c r="L598" s="10"/>
      <c r="M598" s="38">
        <f>SUM(J598:L598)</f>
        <v>0</v>
      </c>
      <c r="N598" s="10"/>
      <c r="O598" s="10"/>
      <c r="P598" s="10"/>
      <c r="Q598" s="38">
        <f>SUM(N598:P598)</f>
        <v>0</v>
      </c>
      <c r="R598" s="38">
        <f>+E598+I598+M598+Q598</f>
        <v>0</v>
      </c>
      <c r="T598" t="s">
        <v>2766</v>
      </c>
    </row>
    <row r="599" spans="1:20" ht="15.75" customHeight="1" x14ac:dyDescent="0.3">
      <c r="A599" s="310" t="s">
        <v>484</v>
      </c>
      <c r="B599" s="10">
        <v>400</v>
      </c>
      <c r="C599" s="10">
        <v>400</v>
      </c>
      <c r="D599" s="10">
        <v>400</v>
      </c>
      <c r="E599" s="38">
        <f t="shared" ref="E599:E600" si="252">SUM(B599:D599)</f>
        <v>1200</v>
      </c>
      <c r="F599" s="10">
        <v>400</v>
      </c>
      <c r="G599" s="10">
        <v>400</v>
      </c>
      <c r="H599" s="10">
        <v>400</v>
      </c>
      <c r="I599" s="38">
        <f t="shared" ref="I599:I600" si="253">SUM(F599:H599)</f>
        <v>1200</v>
      </c>
      <c r="J599" s="10">
        <v>1056</v>
      </c>
      <c r="K599" s="10">
        <v>549</v>
      </c>
      <c r="L599" s="10"/>
      <c r="M599" s="38">
        <f t="shared" ref="M599:M600" si="254">SUM(J599:L599)</f>
        <v>1605</v>
      </c>
      <c r="N599" s="10"/>
      <c r="O599" s="10"/>
      <c r="P599" s="10"/>
      <c r="Q599" s="38">
        <f t="shared" si="247"/>
        <v>0</v>
      </c>
      <c r="R599" s="38">
        <f t="shared" si="248"/>
        <v>4005</v>
      </c>
      <c r="T599" t="s">
        <v>2766</v>
      </c>
    </row>
    <row r="600" spans="1:20" ht="15.75" customHeight="1" x14ac:dyDescent="0.3">
      <c r="A600" s="310" t="s">
        <v>2982</v>
      </c>
      <c r="B600" s="10"/>
      <c r="C600" s="10"/>
      <c r="D600" s="10"/>
      <c r="E600" s="38">
        <f t="shared" si="252"/>
        <v>0</v>
      </c>
      <c r="F600" s="10"/>
      <c r="G600" s="10"/>
      <c r="H600" s="10"/>
      <c r="I600" s="38">
        <f t="shared" si="253"/>
        <v>0</v>
      </c>
      <c r="J600" s="10"/>
      <c r="K600" s="10"/>
      <c r="L600" s="10"/>
      <c r="M600" s="38">
        <f t="shared" si="254"/>
        <v>0</v>
      </c>
      <c r="N600" s="10"/>
      <c r="O600" s="10"/>
      <c r="P600" s="10"/>
      <c r="Q600" s="38">
        <f t="shared" ref="Q600" si="255">SUM(N600:P600)</f>
        <v>0</v>
      </c>
      <c r="R600" s="38">
        <f t="shared" ref="R600" si="256">+E600+I600+M600+Q600</f>
        <v>0</v>
      </c>
    </row>
    <row r="601" spans="1:20" ht="15.75" customHeight="1" x14ac:dyDescent="0.3">
      <c r="A601" s="539" t="s">
        <v>3360</v>
      </c>
      <c r="B601" s="10">
        <v>647</v>
      </c>
      <c r="C601" s="10">
        <v>753</v>
      </c>
      <c r="D601" s="10">
        <v>700</v>
      </c>
      <c r="E601" s="38">
        <f>SUM(B601:D601)</f>
        <v>2100</v>
      </c>
      <c r="F601" s="356">
        <v>700</v>
      </c>
      <c r="G601" s="356">
        <v>418</v>
      </c>
      <c r="H601" s="10">
        <v>282</v>
      </c>
      <c r="I601" s="38">
        <f>SUM(F601:H601)</f>
        <v>1400</v>
      </c>
      <c r="J601" s="10"/>
      <c r="K601" s="10"/>
      <c r="L601" s="10"/>
      <c r="M601" s="38">
        <f>SUM(J601:L601)</f>
        <v>0</v>
      </c>
      <c r="N601" s="10"/>
      <c r="O601" s="10"/>
      <c r="P601" s="10"/>
      <c r="Q601" s="38">
        <f>SUM(N601:P601)</f>
        <v>0</v>
      </c>
      <c r="R601" s="38">
        <f t="shared" si="248"/>
        <v>3500</v>
      </c>
    </row>
    <row r="602" spans="1:20" ht="15.75" customHeight="1" x14ac:dyDescent="0.3">
      <c r="A602" s="266" t="s">
        <v>1836</v>
      </c>
      <c r="B602" s="10"/>
      <c r="C602" s="10"/>
      <c r="D602" s="10"/>
      <c r="E602" s="38">
        <f t="shared" ref="E602:E608" si="257">SUM(B602:D602)</f>
        <v>0</v>
      </c>
      <c r="F602" s="10"/>
      <c r="G602" s="10"/>
      <c r="H602" s="10"/>
      <c r="I602" s="38">
        <f t="shared" ref="I602:I608" si="258">SUM(F602:H602)</f>
        <v>0</v>
      </c>
      <c r="J602" s="10">
        <v>2800</v>
      </c>
      <c r="K602" s="10"/>
      <c r="L602" s="10"/>
      <c r="M602" s="38">
        <f t="shared" ref="M602:M608" si="259">SUM(J602:L602)</f>
        <v>2800</v>
      </c>
      <c r="N602" s="10"/>
      <c r="O602" s="10"/>
      <c r="P602" s="10"/>
      <c r="Q602" s="38">
        <f t="shared" si="247"/>
        <v>0</v>
      </c>
      <c r="R602" s="38">
        <f t="shared" si="248"/>
        <v>2800</v>
      </c>
      <c r="T602" t="s">
        <v>2766</v>
      </c>
    </row>
    <row r="603" spans="1:20" ht="15.75" customHeight="1" x14ac:dyDescent="0.3">
      <c r="A603" s="539" t="s">
        <v>3047</v>
      </c>
      <c r="B603" s="10"/>
      <c r="C603" s="10"/>
      <c r="D603" s="10">
        <v>300</v>
      </c>
      <c r="E603" s="38">
        <f t="shared" si="257"/>
        <v>300</v>
      </c>
      <c r="F603" s="10">
        <v>436</v>
      </c>
      <c r="G603" s="10">
        <v>400</v>
      </c>
      <c r="H603" s="10">
        <v>400</v>
      </c>
      <c r="I603" s="38">
        <f t="shared" si="258"/>
        <v>1236</v>
      </c>
      <c r="J603" s="10">
        <v>400</v>
      </c>
      <c r="K603" s="10"/>
      <c r="L603" s="10"/>
      <c r="M603" s="38">
        <f t="shared" si="259"/>
        <v>400</v>
      </c>
      <c r="N603" s="10"/>
      <c r="O603" s="10"/>
      <c r="P603" s="10"/>
      <c r="Q603" s="38">
        <f>SUM(N603:P603)</f>
        <v>0</v>
      </c>
      <c r="R603" s="38">
        <f>+E603+I603+M603+Q603</f>
        <v>1936</v>
      </c>
    </row>
    <row r="604" spans="1:20" ht="15.75" customHeight="1" x14ac:dyDescent="0.3">
      <c r="A604" s="539" t="s">
        <v>3419</v>
      </c>
      <c r="B604" s="10"/>
      <c r="C604" s="10"/>
      <c r="D604" s="10"/>
      <c r="E604" s="38">
        <f t="shared" si="257"/>
        <v>0</v>
      </c>
      <c r="F604" s="10"/>
      <c r="G604" s="10"/>
      <c r="H604" s="10"/>
      <c r="I604" s="38">
        <f t="shared" si="258"/>
        <v>0</v>
      </c>
      <c r="J604" s="10"/>
      <c r="K604" s="10"/>
      <c r="L604" s="10">
        <v>54</v>
      </c>
      <c r="M604" s="38">
        <f t="shared" si="259"/>
        <v>54</v>
      </c>
      <c r="N604" s="10"/>
      <c r="O604" s="10"/>
      <c r="P604" s="10"/>
      <c r="Q604" s="38">
        <f>SUM(N604:P604)</f>
        <v>0</v>
      </c>
      <c r="R604" s="38">
        <f>+E604+I604+M604+Q604</f>
        <v>54</v>
      </c>
    </row>
    <row r="605" spans="1:20" ht="15.75" customHeight="1" x14ac:dyDescent="0.3">
      <c r="A605" s="539" t="s">
        <v>1295</v>
      </c>
      <c r="B605" s="10"/>
      <c r="C605" s="10"/>
      <c r="D605" s="10"/>
      <c r="E605" s="38">
        <f t="shared" si="257"/>
        <v>0</v>
      </c>
      <c r="F605" s="10"/>
      <c r="G605" s="10"/>
      <c r="H605" s="10"/>
      <c r="I605" s="38">
        <f t="shared" si="258"/>
        <v>0</v>
      </c>
      <c r="J605" s="10"/>
      <c r="K605" s="10"/>
      <c r="L605" s="10"/>
      <c r="M605" s="38">
        <f t="shared" si="259"/>
        <v>0</v>
      </c>
      <c r="N605" s="10">
        <v>346</v>
      </c>
      <c r="O605" s="10"/>
      <c r="P605" s="10"/>
      <c r="Q605" s="38">
        <f t="shared" si="247"/>
        <v>346</v>
      </c>
      <c r="R605" s="38">
        <f t="shared" si="248"/>
        <v>346</v>
      </c>
      <c r="T605" t="s">
        <v>2766</v>
      </c>
    </row>
    <row r="606" spans="1:20" ht="15.75" customHeight="1" x14ac:dyDescent="0.3">
      <c r="A606" s="539" t="s">
        <v>3338</v>
      </c>
      <c r="B606" s="10">
        <v>38</v>
      </c>
      <c r="C606" s="10">
        <v>42</v>
      </c>
      <c r="D606" s="10">
        <v>675</v>
      </c>
      <c r="E606" s="38">
        <f t="shared" si="257"/>
        <v>755</v>
      </c>
      <c r="F606" s="10">
        <v>650</v>
      </c>
      <c r="G606" s="10">
        <v>850</v>
      </c>
      <c r="H606" s="10">
        <v>582</v>
      </c>
      <c r="I606" s="38">
        <f t="shared" si="258"/>
        <v>2082</v>
      </c>
      <c r="J606" s="10"/>
      <c r="K606" s="10"/>
      <c r="L606" s="10"/>
      <c r="M606" s="38">
        <f t="shared" si="259"/>
        <v>0</v>
      </c>
      <c r="N606" s="10"/>
      <c r="O606" s="10"/>
      <c r="P606" s="10"/>
      <c r="Q606" s="38">
        <f t="shared" ref="Q606" si="260">SUM(N606:P606)</f>
        <v>0</v>
      </c>
      <c r="R606" s="38">
        <f t="shared" si="248"/>
        <v>2837</v>
      </c>
    </row>
    <row r="607" spans="1:20" ht="15.75" customHeight="1" x14ac:dyDescent="0.3">
      <c r="A607" s="539" t="s">
        <v>3331</v>
      </c>
      <c r="B607" s="10"/>
      <c r="C607" s="10"/>
      <c r="D607" s="10"/>
      <c r="E607" s="38">
        <f t="shared" si="257"/>
        <v>0</v>
      </c>
      <c r="F607" s="10">
        <v>962</v>
      </c>
      <c r="G607" s="10">
        <v>118</v>
      </c>
      <c r="H607" s="10">
        <v>420</v>
      </c>
      <c r="I607" s="38">
        <f t="shared" si="258"/>
        <v>1500</v>
      </c>
      <c r="J607" s="10"/>
      <c r="K607" s="10"/>
      <c r="L607" s="10">
        <v>500</v>
      </c>
      <c r="M607" s="38">
        <f t="shared" si="259"/>
        <v>500</v>
      </c>
      <c r="N607" s="10"/>
      <c r="O607" s="10"/>
      <c r="P607" s="10"/>
      <c r="Q607" s="38">
        <f t="shared" ref="Q607" si="261">SUM(N607:P607)</f>
        <v>0</v>
      </c>
      <c r="R607" s="38">
        <f t="shared" ref="R607" si="262">+E607+I607+M607+Q607</f>
        <v>2000</v>
      </c>
    </row>
    <row r="608" spans="1:20" ht="15.75" customHeight="1" x14ac:dyDescent="0.3">
      <c r="A608" s="539" t="s">
        <v>3362</v>
      </c>
      <c r="B608" s="10">
        <v>46</v>
      </c>
      <c r="C608" s="10">
        <v>38</v>
      </c>
      <c r="D608" s="10">
        <v>210</v>
      </c>
      <c r="E608" s="38">
        <f t="shared" si="257"/>
        <v>294</v>
      </c>
      <c r="F608" s="10">
        <v>186</v>
      </c>
      <c r="G608" s="10">
        <v>288</v>
      </c>
      <c r="H608" s="10">
        <v>483</v>
      </c>
      <c r="I608" s="38">
        <f t="shared" si="258"/>
        <v>957</v>
      </c>
      <c r="J608" s="10">
        <v>26</v>
      </c>
      <c r="K608" s="10">
        <v>2</v>
      </c>
      <c r="L608" s="10"/>
      <c r="M608" s="38">
        <f t="shared" si="259"/>
        <v>28</v>
      </c>
      <c r="N608" s="10"/>
      <c r="O608" s="10"/>
      <c r="P608" s="10"/>
      <c r="Q608" s="38">
        <f t="shared" ref="Q608" si="263">SUM(N608:P608)</f>
        <v>0</v>
      </c>
      <c r="R608" s="38">
        <f t="shared" ref="R608" si="264">+E608+I608+M608+Q608</f>
        <v>1279</v>
      </c>
    </row>
    <row r="609" spans="1:20" ht="15.75" customHeight="1" x14ac:dyDescent="0.3">
      <c r="A609" s="539" t="s">
        <v>3321</v>
      </c>
      <c r="B609" s="10">
        <v>1217</v>
      </c>
      <c r="C609" s="10">
        <v>3262</v>
      </c>
      <c r="D609" s="10">
        <v>3495</v>
      </c>
      <c r="E609" s="38">
        <f>SUM(B609:D609)</f>
        <v>7974</v>
      </c>
      <c r="F609" s="10">
        <v>3161</v>
      </c>
      <c r="G609" s="10">
        <v>3459</v>
      </c>
      <c r="H609" s="10">
        <v>3188</v>
      </c>
      <c r="I609" s="38">
        <f>SUM(F609:H609)</f>
        <v>9808</v>
      </c>
      <c r="J609" s="10"/>
      <c r="K609" s="10">
        <v>2918</v>
      </c>
      <c r="L609" s="10"/>
      <c r="M609" s="38">
        <f>SUM(J609:L609)</f>
        <v>2918</v>
      </c>
      <c r="N609" s="10"/>
      <c r="O609" s="10"/>
      <c r="P609" s="10"/>
      <c r="Q609" s="38">
        <f>SUM(N609:P609)</f>
        <v>0</v>
      </c>
      <c r="R609" s="38">
        <f>+E609+I609+M609+Q609</f>
        <v>20700</v>
      </c>
      <c r="T609" t="s">
        <v>2763</v>
      </c>
    </row>
    <row r="610" spans="1:20" ht="15.75" customHeight="1" x14ac:dyDescent="0.3">
      <c r="A610" s="234" t="s">
        <v>2161</v>
      </c>
      <c r="B610" s="10"/>
      <c r="C610" s="10"/>
      <c r="D610" s="10"/>
      <c r="E610" s="38" t="s">
        <v>852</v>
      </c>
      <c r="F610" s="10"/>
      <c r="G610" s="10"/>
      <c r="H610" s="10"/>
      <c r="I610" s="38" t="s">
        <v>852</v>
      </c>
      <c r="J610" s="10"/>
      <c r="K610" s="10"/>
      <c r="L610" s="10"/>
      <c r="M610" s="38" t="s">
        <v>852</v>
      </c>
      <c r="N610" s="10"/>
      <c r="O610" s="10"/>
      <c r="P610" s="10"/>
      <c r="Q610" s="38" t="s">
        <v>852</v>
      </c>
      <c r="R610" s="38" t="s">
        <v>852</v>
      </c>
    </row>
    <row r="611" spans="1:20" ht="15.75" customHeight="1" x14ac:dyDescent="0.3">
      <c r="A611" s="266" t="s">
        <v>1295</v>
      </c>
      <c r="B611" s="10"/>
      <c r="C611" s="10"/>
      <c r="D611" s="10"/>
      <c r="E611" s="38">
        <f>SUM(B611:D611)</f>
        <v>0</v>
      </c>
      <c r="F611" s="10"/>
      <c r="G611" s="10"/>
      <c r="H611" s="10"/>
      <c r="I611" s="38">
        <f>SUM(F611:H611)</f>
        <v>0</v>
      </c>
      <c r="J611" s="10"/>
      <c r="K611" s="10"/>
      <c r="L611" s="10"/>
      <c r="M611" s="38">
        <f>SUM(J611:L611)</f>
        <v>0</v>
      </c>
      <c r="N611" s="10"/>
      <c r="O611" s="10"/>
      <c r="P611" s="10"/>
      <c r="Q611" s="38">
        <f>SUM(N611:P611)</f>
        <v>0</v>
      </c>
      <c r="R611" s="38">
        <f>+E611+I611+M611+Q611</f>
        <v>0</v>
      </c>
      <c r="T611" t="s">
        <v>2766</v>
      </c>
    </row>
    <row r="612" spans="1:20" ht="15.75" customHeight="1" x14ac:dyDescent="0.3">
      <c r="A612" s="234" t="s">
        <v>3245</v>
      </c>
      <c r="B612" s="10"/>
      <c r="C612" s="10"/>
      <c r="D612" s="10"/>
      <c r="E612" s="38" t="s">
        <v>852</v>
      </c>
      <c r="F612" s="10"/>
      <c r="G612" s="10"/>
      <c r="H612" s="10"/>
      <c r="I612" s="38" t="s">
        <v>852</v>
      </c>
      <c r="J612" s="10"/>
      <c r="K612" s="10"/>
      <c r="L612" s="10"/>
      <c r="M612" s="38" t="s">
        <v>852</v>
      </c>
      <c r="N612" s="10"/>
      <c r="O612" s="10"/>
      <c r="P612" s="10"/>
      <c r="Q612" s="38" t="s">
        <v>852</v>
      </c>
      <c r="R612" s="38" t="s">
        <v>852</v>
      </c>
    </row>
    <row r="613" spans="1:20" ht="15.75" customHeight="1" x14ac:dyDescent="0.3">
      <c r="A613" s="539" t="s">
        <v>3264</v>
      </c>
      <c r="B613" s="10"/>
      <c r="C613" s="10"/>
      <c r="D613" s="10"/>
      <c r="E613" s="38">
        <f>SUM(B613:D613)</f>
        <v>0</v>
      </c>
      <c r="F613" s="10"/>
      <c r="G613" s="10"/>
      <c r="H613" s="10"/>
      <c r="I613" s="38">
        <f>SUM(F613:H613)</f>
        <v>0</v>
      </c>
      <c r="J613" s="10"/>
      <c r="K613" s="10">
        <v>242</v>
      </c>
      <c r="L613" s="10"/>
      <c r="M613" s="38">
        <f>SUM(J613:L613)</f>
        <v>242</v>
      </c>
      <c r="N613" s="10">
        <v>257</v>
      </c>
      <c r="O613" s="10"/>
      <c r="P613" s="10"/>
      <c r="Q613" s="38">
        <f>SUM(N613:P613)</f>
        <v>257</v>
      </c>
      <c r="R613" s="38">
        <f>+E613+I613+M613+Q613</f>
        <v>499</v>
      </c>
      <c r="S613" s="735" t="s">
        <v>3214</v>
      </c>
      <c r="T613" t="s">
        <v>2766</v>
      </c>
    </row>
    <row r="614" spans="1:20" ht="15.75" customHeight="1" thickBot="1" x14ac:dyDescent="0.35">
      <c r="A614" s="234" t="s">
        <v>2164</v>
      </c>
      <c r="B614" s="10"/>
      <c r="C614" s="10"/>
      <c r="D614" s="10"/>
      <c r="E614" s="38" t="s">
        <v>852</v>
      </c>
      <c r="F614" s="10"/>
      <c r="G614" s="10"/>
      <c r="H614" s="10"/>
      <c r="I614" s="38" t="s">
        <v>852</v>
      </c>
      <c r="J614" s="10"/>
      <c r="K614" s="10"/>
      <c r="L614" s="10"/>
      <c r="M614" s="38" t="s">
        <v>852</v>
      </c>
      <c r="N614" s="10"/>
      <c r="O614" s="10"/>
      <c r="P614" s="10"/>
      <c r="Q614" s="38" t="s">
        <v>852</v>
      </c>
      <c r="R614" s="38" t="s">
        <v>852</v>
      </c>
    </row>
    <row r="615" spans="1:20" ht="16.5" customHeight="1" thickBot="1" x14ac:dyDescent="0.35">
      <c r="A615" s="276" t="s">
        <v>1218</v>
      </c>
      <c r="B615" s="45">
        <f>SUM(B593:B614)</f>
        <v>2348</v>
      </c>
      <c r="C615" s="46">
        <f>SUM(C593:C614)</f>
        <v>4706</v>
      </c>
      <c r="D615" s="46">
        <f>SUM(D593:D614)</f>
        <v>5886</v>
      </c>
      <c r="E615" s="37">
        <f>SUM(B615:D615)</f>
        <v>12940</v>
      </c>
      <c r="F615" s="46">
        <f>SUM(F593:F614)</f>
        <v>7361</v>
      </c>
      <c r="G615" s="46">
        <f>SUM(G593:G614)</f>
        <v>6483</v>
      </c>
      <c r="H615" s="46">
        <f>SUM(H593:H614)</f>
        <v>7129</v>
      </c>
      <c r="I615" s="37">
        <f>SUM(F615:H615)</f>
        <v>20973</v>
      </c>
      <c r="J615" s="46">
        <f>SUM(J593:J614)</f>
        <v>7356</v>
      </c>
      <c r="K615" s="46">
        <f>SUM(K593:K614)</f>
        <v>7660</v>
      </c>
      <c r="L615" s="46">
        <f>SUM(L593:L614)</f>
        <v>1384</v>
      </c>
      <c r="M615" s="37">
        <f>SUM(J615:L615)</f>
        <v>16400</v>
      </c>
      <c r="N615" s="46">
        <f>SUM(N593:N614)</f>
        <v>646</v>
      </c>
      <c r="O615" s="46">
        <f>SUM(O593:O614)</f>
        <v>0</v>
      </c>
      <c r="P615" s="46">
        <f>SUM(P593:P614)</f>
        <v>0</v>
      </c>
      <c r="Q615" s="37">
        <f>SUM(N615:P615)</f>
        <v>646</v>
      </c>
      <c r="R615" s="37">
        <f>+E615+I615+M615+Q615</f>
        <v>50959</v>
      </c>
    </row>
    <row r="616" spans="1:20" ht="15.75" customHeight="1" x14ac:dyDescent="0.3">
      <c r="A616" s="234" t="s">
        <v>1172</v>
      </c>
      <c r="B616" s="172"/>
      <c r="C616" s="172"/>
      <c r="D616" s="172"/>
      <c r="E616" s="38" t="s">
        <v>852</v>
      </c>
      <c r="F616" s="172"/>
      <c r="G616" s="172"/>
      <c r="H616" s="172"/>
      <c r="I616" s="38" t="s">
        <v>852</v>
      </c>
      <c r="J616" s="172"/>
      <c r="K616" s="172"/>
      <c r="L616" s="172"/>
      <c r="M616" s="38" t="s">
        <v>852</v>
      </c>
      <c r="N616" s="172"/>
      <c r="O616" s="172"/>
      <c r="P616" s="172"/>
      <c r="Q616" s="38" t="s">
        <v>852</v>
      </c>
      <c r="R616" s="38" t="s">
        <v>852</v>
      </c>
    </row>
    <row r="617" spans="1:20" ht="15.75" customHeight="1" x14ac:dyDescent="0.3">
      <c r="A617" s="234" t="s">
        <v>2409</v>
      </c>
      <c r="B617" s="172"/>
      <c r="C617" s="172"/>
      <c r="D617" s="172"/>
      <c r="E617" s="38" t="s">
        <v>852</v>
      </c>
      <c r="F617" s="172"/>
      <c r="G617" s="172"/>
      <c r="H617" s="172"/>
      <c r="I617" s="38" t="s">
        <v>852</v>
      </c>
      <c r="J617" s="172"/>
      <c r="K617" s="172"/>
      <c r="L617" s="172"/>
      <c r="M617" s="38" t="s">
        <v>852</v>
      </c>
      <c r="N617" s="172"/>
      <c r="O617" s="172"/>
      <c r="P617" s="172"/>
      <c r="Q617" s="38" t="s">
        <v>852</v>
      </c>
      <c r="R617" s="38" t="s">
        <v>852</v>
      </c>
    </row>
    <row r="618" spans="1:20" ht="15.75" customHeight="1" x14ac:dyDescent="0.3">
      <c r="A618" s="266" t="s">
        <v>2478</v>
      </c>
      <c r="B618" s="172"/>
      <c r="C618" s="172"/>
      <c r="D618" s="172"/>
      <c r="E618" s="38">
        <f>SUM(B618:D618)</f>
        <v>0</v>
      </c>
      <c r="F618" s="172"/>
      <c r="G618" s="172"/>
      <c r="H618" s="172"/>
      <c r="I618" s="38">
        <f>SUM(F618:H618)</f>
        <v>0</v>
      </c>
      <c r="J618" s="172"/>
      <c r="K618" s="172"/>
      <c r="L618" s="172"/>
      <c r="M618" s="38">
        <f>SUM(J618:L618)</f>
        <v>0</v>
      </c>
      <c r="N618" s="172"/>
      <c r="O618" s="172"/>
      <c r="P618" s="172"/>
      <c r="Q618" s="38">
        <f>SUM(N618:P618)</f>
        <v>0</v>
      </c>
      <c r="R618" s="38">
        <f>+E618+I618+M618+Q618</f>
        <v>0</v>
      </c>
    </row>
    <row r="619" spans="1:20" ht="15.75" customHeight="1" x14ac:dyDescent="0.3">
      <c r="A619" s="266" t="s">
        <v>1958</v>
      </c>
      <c r="B619" s="172"/>
      <c r="C619" s="172"/>
      <c r="D619" s="172"/>
      <c r="E619" s="38">
        <f>SUM(B619:D619)</f>
        <v>0</v>
      </c>
      <c r="F619" s="172"/>
      <c r="G619" s="172"/>
      <c r="H619" s="172"/>
      <c r="I619" s="38">
        <f>SUM(F619:H619)</f>
        <v>0</v>
      </c>
      <c r="J619" s="172"/>
      <c r="K619" s="172"/>
      <c r="L619" s="172"/>
      <c r="M619" s="38">
        <f>SUM(J619:L619)</f>
        <v>0</v>
      </c>
      <c r="N619" s="172"/>
      <c r="O619" s="172"/>
      <c r="P619" s="172"/>
      <c r="Q619" s="38">
        <f>SUM(N619:P619)</f>
        <v>0</v>
      </c>
      <c r="R619" s="38">
        <f>+E619+I619+M619+Q619</f>
        <v>0</v>
      </c>
    </row>
    <row r="620" spans="1:20" ht="15.75" customHeight="1" thickBot="1" x14ac:dyDescent="0.35">
      <c r="A620" s="234" t="s">
        <v>2165</v>
      </c>
      <c r="B620" s="172"/>
      <c r="C620" s="172"/>
      <c r="D620" s="172"/>
      <c r="E620" s="38" t="s">
        <v>852</v>
      </c>
      <c r="F620" s="172"/>
      <c r="G620" s="172"/>
      <c r="H620" s="172"/>
      <c r="I620" s="38" t="s">
        <v>852</v>
      </c>
      <c r="J620" s="172"/>
      <c r="K620" s="172"/>
      <c r="L620" s="172"/>
      <c r="M620" s="38" t="s">
        <v>852</v>
      </c>
      <c r="N620" s="172"/>
      <c r="O620" s="172"/>
      <c r="P620" s="172"/>
      <c r="Q620" s="38" t="s">
        <v>852</v>
      </c>
      <c r="R620" s="38" t="s">
        <v>852</v>
      </c>
    </row>
    <row r="621" spans="1:20" ht="16.5" customHeight="1" thickBot="1" x14ac:dyDescent="0.35">
      <c r="A621" s="43" t="s">
        <v>1219</v>
      </c>
      <c r="B621" s="45">
        <f>SUM(B616:B620)</f>
        <v>0</v>
      </c>
      <c r="C621" s="46">
        <f>SUM(C616:C620)</f>
        <v>0</v>
      </c>
      <c r="D621" s="46">
        <f>SUM(D616:D620)</f>
        <v>0</v>
      </c>
      <c r="E621" s="37">
        <f>SUM(B621:D621)</f>
        <v>0</v>
      </c>
      <c r="F621" s="46">
        <f>SUM(F616:F620)</f>
        <v>0</v>
      </c>
      <c r="G621" s="46">
        <f>SUM(G616:G620)</f>
        <v>0</v>
      </c>
      <c r="H621" s="46">
        <f>SUM(H616:H620)</f>
        <v>0</v>
      </c>
      <c r="I621" s="37">
        <f>SUM(F621:H621)</f>
        <v>0</v>
      </c>
      <c r="J621" s="46">
        <f>SUM(J616:J620)</f>
        <v>0</v>
      </c>
      <c r="K621" s="46">
        <f>SUM(K616:K620)</f>
        <v>0</v>
      </c>
      <c r="L621" s="46">
        <f>SUM(L616:L620)</f>
        <v>0</v>
      </c>
      <c r="M621" s="37">
        <f>SUM(J621:L621)</f>
        <v>0</v>
      </c>
      <c r="N621" s="46">
        <f>SUM(N616:N620)</f>
        <v>0</v>
      </c>
      <c r="O621" s="46">
        <f>SUM(O616:O620)</f>
        <v>0</v>
      </c>
      <c r="P621" s="46">
        <f>SUM(P616:P620)</f>
        <v>0</v>
      </c>
      <c r="Q621" s="37">
        <f>SUM(N621:P621)</f>
        <v>0</v>
      </c>
      <c r="R621" s="37">
        <f>+E621+I621+M621+Q621</f>
        <v>0</v>
      </c>
    </row>
    <row r="622" spans="1:20" ht="15.75" customHeight="1" x14ac:dyDescent="0.3">
      <c r="A622" s="234" t="s">
        <v>2166</v>
      </c>
      <c r="B622" s="172"/>
      <c r="C622" s="172"/>
      <c r="D622" s="172"/>
      <c r="E622" s="38" t="s">
        <v>852</v>
      </c>
      <c r="F622" s="172"/>
      <c r="G622" s="172"/>
      <c r="H622" s="172"/>
      <c r="I622" s="38" t="s">
        <v>852</v>
      </c>
      <c r="J622" s="172"/>
      <c r="K622" s="172"/>
      <c r="L622" s="172"/>
      <c r="M622" s="38" t="s">
        <v>852</v>
      </c>
      <c r="N622" s="172"/>
      <c r="O622" s="172"/>
      <c r="P622" s="172"/>
      <c r="Q622" s="38" t="s">
        <v>852</v>
      </c>
      <c r="R622" s="38" t="s">
        <v>852</v>
      </c>
    </row>
    <row r="623" spans="1:20" ht="15.75" customHeight="1" x14ac:dyDescent="0.3">
      <c r="A623" s="234" t="s">
        <v>1245</v>
      </c>
      <c r="B623" s="172"/>
      <c r="C623" s="172"/>
      <c r="D623" s="172"/>
      <c r="E623" s="38" t="s">
        <v>852</v>
      </c>
      <c r="F623" s="172"/>
      <c r="G623" s="172"/>
      <c r="H623" s="172"/>
      <c r="I623" s="38" t="s">
        <v>852</v>
      </c>
      <c r="J623" s="172"/>
      <c r="K623" s="172"/>
      <c r="L623" s="172"/>
      <c r="M623" s="38" t="s">
        <v>852</v>
      </c>
      <c r="N623" s="172"/>
      <c r="O623" s="172"/>
      <c r="P623" s="172"/>
      <c r="Q623" s="38" t="s">
        <v>852</v>
      </c>
      <c r="R623" s="38" t="s">
        <v>852</v>
      </c>
    </row>
    <row r="624" spans="1:20" ht="15.75" customHeight="1" x14ac:dyDescent="0.3">
      <c r="A624" s="234" t="s">
        <v>1711</v>
      </c>
      <c r="B624" s="172"/>
      <c r="C624" s="172"/>
      <c r="D624" s="172"/>
      <c r="E624" s="38" t="s">
        <v>852</v>
      </c>
      <c r="F624" s="172"/>
      <c r="G624" s="172"/>
      <c r="H624" s="172"/>
      <c r="I624" s="38" t="s">
        <v>852</v>
      </c>
      <c r="J624" s="172"/>
      <c r="K624" s="172"/>
      <c r="L624" s="172"/>
      <c r="M624" s="38" t="s">
        <v>852</v>
      </c>
      <c r="N624" s="172"/>
      <c r="O624" s="172"/>
      <c r="P624" s="172"/>
      <c r="Q624" s="38" t="s">
        <v>852</v>
      </c>
      <c r="R624" s="38" t="s">
        <v>852</v>
      </c>
    </row>
    <row r="625" spans="1:20" ht="15.75" customHeight="1" x14ac:dyDescent="0.3">
      <c r="A625" s="539" t="s">
        <v>3202</v>
      </c>
      <c r="B625" s="172"/>
      <c r="C625" s="172"/>
      <c r="D625" s="172"/>
      <c r="E625" s="38">
        <f t="shared" ref="E625:E626" si="265">SUM(B625:D625)</f>
        <v>0</v>
      </c>
      <c r="F625" s="172"/>
      <c r="G625" s="172"/>
      <c r="H625" s="172"/>
      <c r="I625" s="38">
        <f t="shared" ref="I625:I626" si="266">SUM(F625:H625)</f>
        <v>0</v>
      </c>
      <c r="J625" s="172"/>
      <c r="K625" s="172"/>
      <c r="L625" s="172"/>
      <c r="M625" s="38">
        <f t="shared" ref="M625:M626" si="267">SUM(J625:L625)</f>
        <v>0</v>
      </c>
      <c r="N625" s="172"/>
      <c r="O625" s="172"/>
      <c r="P625" s="172"/>
      <c r="Q625" s="38">
        <f>SUM(N625:P625)</f>
        <v>0</v>
      </c>
      <c r="R625" s="38">
        <f>+E625+I625+M625+Q625</f>
        <v>0</v>
      </c>
      <c r="T625" t="s">
        <v>2766</v>
      </c>
    </row>
    <row r="626" spans="1:20" ht="15.75" customHeight="1" x14ac:dyDescent="0.3">
      <c r="A626" s="539" t="s">
        <v>3231</v>
      </c>
      <c r="B626" s="172"/>
      <c r="C626" s="172"/>
      <c r="D626" s="172"/>
      <c r="E626" s="38">
        <f t="shared" si="265"/>
        <v>0</v>
      </c>
      <c r="F626" s="172"/>
      <c r="G626" s="172"/>
      <c r="H626" s="172"/>
      <c r="I626" s="38">
        <f t="shared" si="266"/>
        <v>0</v>
      </c>
      <c r="J626" s="172"/>
      <c r="K626" s="172"/>
      <c r="L626" s="172"/>
      <c r="M626" s="38">
        <f t="shared" si="267"/>
        <v>0</v>
      </c>
      <c r="N626" s="172"/>
      <c r="O626" s="172"/>
      <c r="P626" s="172"/>
      <c r="Q626" s="38">
        <f t="shared" ref="Q626" si="268">SUM(N626:P626)</f>
        <v>0</v>
      </c>
      <c r="R626" s="38">
        <f t="shared" ref="R626:R628" si="269">+E626+I626+M626+Q626</f>
        <v>0</v>
      </c>
    </row>
    <row r="627" spans="1:20" ht="15.75" customHeight="1" x14ac:dyDescent="0.3">
      <c r="A627" s="539" t="s">
        <v>3235</v>
      </c>
      <c r="B627" s="10"/>
      <c r="C627" s="10"/>
      <c r="D627" s="10"/>
      <c r="E627" s="38">
        <f>SUM(B627:D627)</f>
        <v>0</v>
      </c>
      <c r="F627" s="10"/>
      <c r="G627" s="10"/>
      <c r="H627" s="10"/>
      <c r="I627" s="38">
        <f>SUM(F627:H627)</f>
        <v>0</v>
      </c>
      <c r="J627" s="10"/>
      <c r="K627" s="10"/>
      <c r="L627" s="10"/>
      <c r="M627" s="38">
        <f>SUM(J627:L627)</f>
        <v>0</v>
      </c>
      <c r="N627" s="10"/>
      <c r="O627" s="10"/>
      <c r="P627" s="10"/>
      <c r="Q627" s="38">
        <f>SUM(N627:P627)</f>
        <v>0</v>
      </c>
      <c r="R627" s="38">
        <f t="shared" si="269"/>
        <v>0</v>
      </c>
    </row>
    <row r="628" spans="1:20" ht="15.75" customHeight="1" x14ac:dyDescent="0.3">
      <c r="A628" s="539" t="s">
        <v>3211</v>
      </c>
      <c r="B628" s="10"/>
      <c r="C628" s="10"/>
      <c r="D628" s="10"/>
      <c r="E628" s="38">
        <f>SUM(B628:D628)</f>
        <v>0</v>
      </c>
      <c r="F628" s="10"/>
      <c r="G628" s="10"/>
      <c r="H628" s="10"/>
      <c r="I628" s="38">
        <f>SUM(F628:H628)</f>
        <v>0</v>
      </c>
      <c r="J628" s="10"/>
      <c r="K628" s="10"/>
      <c r="L628" s="10"/>
      <c r="M628" s="38">
        <f>SUM(J628:L628)</f>
        <v>0</v>
      </c>
      <c r="N628" s="10"/>
      <c r="O628" s="10"/>
      <c r="P628" s="10"/>
      <c r="Q628" s="38">
        <f>SUM(N628:P628)</f>
        <v>0</v>
      </c>
      <c r="R628" s="38">
        <f t="shared" si="269"/>
        <v>0</v>
      </c>
    </row>
    <row r="629" spans="1:20" ht="15.75" customHeight="1" thickBot="1" x14ac:dyDescent="0.35">
      <c r="A629" s="539" t="s">
        <v>2079</v>
      </c>
      <c r="B629" s="172"/>
      <c r="C629" s="172"/>
      <c r="D629" s="172"/>
      <c r="E629" s="38">
        <f>SUM(B629:D629)</f>
        <v>0</v>
      </c>
      <c r="F629" s="172"/>
      <c r="G629" s="172"/>
      <c r="H629" s="172"/>
      <c r="I629" s="38">
        <f>SUM(F629:H629)</f>
        <v>0</v>
      </c>
      <c r="J629" s="172"/>
      <c r="K629" s="172"/>
      <c r="L629" s="172"/>
      <c r="M629" s="38">
        <f>SUM(J629:L629)</f>
        <v>0</v>
      </c>
      <c r="N629" s="172"/>
      <c r="O629" s="172"/>
      <c r="P629" s="172"/>
      <c r="Q629" s="38">
        <f>SUM(N629:P629)</f>
        <v>0</v>
      </c>
      <c r="R629" s="38">
        <f>+E629+I629+M629+Q629</f>
        <v>0</v>
      </c>
      <c r="T629" t="s">
        <v>2766</v>
      </c>
    </row>
    <row r="630" spans="1:20" ht="16.5" customHeight="1" thickBot="1" x14ac:dyDescent="0.35">
      <c r="A630" s="277" t="s">
        <v>1220</v>
      </c>
      <c r="B630" s="45">
        <f>SUM(B622:B629)</f>
        <v>0</v>
      </c>
      <c r="C630" s="46">
        <f>SUM(C622:C629)</f>
        <v>0</v>
      </c>
      <c r="D630" s="46">
        <f>SUM(D622:D629)</f>
        <v>0</v>
      </c>
      <c r="E630" s="37">
        <f>SUM(B630:D630)</f>
        <v>0</v>
      </c>
      <c r="F630" s="46">
        <f>SUM(F622:F629)</f>
        <v>0</v>
      </c>
      <c r="G630" s="46">
        <f>SUM(G622:G629)</f>
        <v>0</v>
      </c>
      <c r="H630" s="46">
        <f>SUM(H622:H629)</f>
        <v>0</v>
      </c>
      <c r="I630" s="37">
        <f>SUM(F630:H630)</f>
        <v>0</v>
      </c>
      <c r="J630" s="46">
        <f>SUM(J622:J629)</f>
        <v>0</v>
      </c>
      <c r="K630" s="46">
        <f>SUM(K622:K629)</f>
        <v>0</v>
      </c>
      <c r="L630" s="46">
        <f>SUM(L622:L629)</f>
        <v>0</v>
      </c>
      <c r="M630" s="37">
        <f>SUM(J630:L630)</f>
        <v>0</v>
      </c>
      <c r="N630" s="46">
        <f>SUM(N622:N629)</f>
        <v>0</v>
      </c>
      <c r="O630" s="46">
        <f>SUM(O622:O629)</f>
        <v>0</v>
      </c>
      <c r="P630" s="46">
        <f>SUM(P622:P629)</f>
        <v>0</v>
      </c>
      <c r="Q630" s="37">
        <f>SUM(N630:P630)</f>
        <v>0</v>
      </c>
      <c r="R630" s="37">
        <f>+E630+I630+M630+Q630</f>
        <v>0</v>
      </c>
    </row>
    <row r="631" spans="1:20" ht="15.75" customHeight="1" x14ac:dyDescent="0.3">
      <c r="A631" s="234" t="s">
        <v>1712</v>
      </c>
      <c r="B631" s="10"/>
      <c r="C631" s="10"/>
      <c r="D631" s="10"/>
      <c r="E631" s="38" t="s">
        <v>852</v>
      </c>
      <c r="F631" s="10"/>
      <c r="G631" s="10"/>
      <c r="H631" s="10"/>
      <c r="I631" s="38" t="s">
        <v>852</v>
      </c>
      <c r="J631" s="10"/>
      <c r="K631" s="10"/>
      <c r="L631" s="10"/>
      <c r="M631" s="38" t="s">
        <v>852</v>
      </c>
      <c r="N631" s="10"/>
      <c r="O631" s="10"/>
      <c r="P631" s="10"/>
      <c r="Q631" s="38" t="s">
        <v>852</v>
      </c>
      <c r="R631" s="38" t="s">
        <v>852</v>
      </c>
    </row>
    <row r="632" spans="1:20" ht="15.75" customHeight="1" x14ac:dyDescent="0.3">
      <c r="A632" s="234" t="s">
        <v>1021</v>
      </c>
      <c r="B632" s="10"/>
      <c r="C632" s="10"/>
      <c r="D632" s="10"/>
      <c r="E632" s="38" t="s">
        <v>852</v>
      </c>
      <c r="F632" s="10"/>
      <c r="G632" s="10"/>
      <c r="H632" s="10"/>
      <c r="I632" s="38" t="s">
        <v>852</v>
      </c>
      <c r="J632" s="10"/>
      <c r="K632" s="10"/>
      <c r="L632" s="10"/>
      <c r="M632" s="38" t="s">
        <v>852</v>
      </c>
      <c r="N632" s="10"/>
      <c r="O632" s="10"/>
      <c r="P632" s="10"/>
      <c r="Q632" s="38" t="s">
        <v>852</v>
      </c>
      <c r="R632" s="38" t="s">
        <v>852</v>
      </c>
    </row>
    <row r="633" spans="1:20" ht="15.75" customHeight="1" x14ac:dyDescent="0.3">
      <c r="A633" s="539" t="s">
        <v>3265</v>
      </c>
      <c r="B633" s="10"/>
      <c r="C633" s="10"/>
      <c r="D633" s="10"/>
      <c r="E633" s="38">
        <f>SUM(B633:D633)</f>
        <v>0</v>
      </c>
      <c r="F633" s="10"/>
      <c r="G633" s="10"/>
      <c r="H633" s="10"/>
      <c r="I633" s="38">
        <f>SUM(F633:H633)</f>
        <v>0</v>
      </c>
      <c r="J633" s="10"/>
      <c r="K633" s="10"/>
      <c r="L633" s="10"/>
      <c r="M633" s="38">
        <f>SUM(J633:L633)</f>
        <v>0</v>
      </c>
      <c r="N633" s="10"/>
      <c r="O633" s="10"/>
      <c r="P633" s="10">
        <v>2700</v>
      </c>
      <c r="Q633" s="38">
        <f>SUM(N633:P633)</f>
        <v>2700</v>
      </c>
      <c r="R633" s="38">
        <f>+E633+I633+M633+Q633</f>
        <v>2700</v>
      </c>
      <c r="T633" t="s">
        <v>2766</v>
      </c>
    </row>
    <row r="634" spans="1:20" ht="15.75" customHeight="1" x14ac:dyDescent="0.3">
      <c r="A634" s="266" t="s">
        <v>1787</v>
      </c>
      <c r="B634" s="10"/>
      <c r="C634" s="10"/>
      <c r="D634" s="10"/>
      <c r="E634" s="38">
        <f>SUM(B634:D634)</f>
        <v>0</v>
      </c>
      <c r="F634" s="10"/>
      <c r="G634" s="10"/>
      <c r="H634" s="10"/>
      <c r="I634" s="38">
        <f>SUM(F634:H634)</f>
        <v>0</v>
      </c>
      <c r="J634" s="10"/>
      <c r="K634" s="10"/>
      <c r="L634" s="10"/>
      <c r="M634" s="38">
        <f>SUM(J634:L634)</f>
        <v>0</v>
      </c>
      <c r="N634" s="10"/>
      <c r="O634" s="10"/>
      <c r="P634" s="10"/>
      <c r="Q634" s="38">
        <f>SUM(N634:P634)</f>
        <v>0</v>
      </c>
      <c r="R634" s="38">
        <f>+E634+I634+M634+Q634</f>
        <v>0</v>
      </c>
      <c r="T634" t="s">
        <v>2766</v>
      </c>
    </row>
    <row r="635" spans="1:20" ht="15.75" customHeight="1" x14ac:dyDescent="0.3">
      <c r="A635" s="234" t="s">
        <v>557</v>
      </c>
      <c r="B635" s="10"/>
      <c r="C635" s="10"/>
      <c r="D635" s="10"/>
      <c r="E635" s="38" t="s">
        <v>852</v>
      </c>
      <c r="F635" s="10"/>
      <c r="G635" s="10"/>
      <c r="H635" s="10"/>
      <c r="I635" s="38" t="s">
        <v>852</v>
      </c>
      <c r="J635" s="10"/>
      <c r="K635" s="10"/>
      <c r="L635" s="10"/>
      <c r="M635" s="38" t="s">
        <v>852</v>
      </c>
      <c r="N635" s="10"/>
      <c r="O635" s="10"/>
      <c r="P635" s="10"/>
      <c r="Q635" s="38" t="s">
        <v>852</v>
      </c>
      <c r="R635" s="38" t="s">
        <v>852</v>
      </c>
    </row>
    <row r="636" spans="1:20" ht="15.75" customHeight="1" x14ac:dyDescent="0.3">
      <c r="A636" s="539" t="s">
        <v>2812</v>
      </c>
      <c r="B636" s="10"/>
      <c r="C636" s="10"/>
      <c r="D636" s="10"/>
      <c r="E636" s="38">
        <f>SUM(B636:D636)</f>
        <v>0</v>
      </c>
      <c r="F636" s="10"/>
      <c r="G636" s="10"/>
      <c r="H636" s="10"/>
      <c r="I636" s="38">
        <f>SUM(F636:H636)</f>
        <v>0</v>
      </c>
      <c r="J636" s="10"/>
      <c r="K636" s="10"/>
      <c r="L636" s="10"/>
      <c r="M636" s="38">
        <f>SUM(J636:L636)</f>
        <v>0</v>
      </c>
      <c r="N636" s="10"/>
      <c r="O636" s="10"/>
      <c r="P636" s="10"/>
      <c r="Q636" s="38">
        <f>SUM(N636:P636)</f>
        <v>0</v>
      </c>
      <c r="R636" s="38">
        <f>+E636+I636+M636+Q636</f>
        <v>0</v>
      </c>
    </row>
    <row r="637" spans="1:20" ht="15.75" customHeight="1" x14ac:dyDescent="0.3">
      <c r="A637" s="539" t="s">
        <v>2579</v>
      </c>
      <c r="B637" s="10"/>
      <c r="C637" s="10"/>
      <c r="D637" s="10"/>
      <c r="E637" s="38">
        <f>SUM(B637:D637)</f>
        <v>0</v>
      </c>
      <c r="F637" s="10"/>
      <c r="G637" s="10"/>
      <c r="H637" s="10"/>
      <c r="I637" s="38">
        <f>SUM(F637:H637)</f>
        <v>0</v>
      </c>
      <c r="J637" s="10"/>
      <c r="K637" s="10"/>
      <c r="L637" s="10"/>
      <c r="M637" s="38">
        <f>SUM(J637:L637)</f>
        <v>0</v>
      </c>
      <c r="N637" s="10"/>
      <c r="O637" s="10"/>
      <c r="P637" s="10"/>
      <c r="Q637" s="38">
        <f>SUM(N637:P637)</f>
        <v>0</v>
      </c>
      <c r="R637" s="38">
        <f>+E637+I637+M637+Q637</f>
        <v>0</v>
      </c>
    </row>
    <row r="638" spans="1:20" ht="15.75" customHeight="1" x14ac:dyDescent="0.3">
      <c r="A638" s="539" t="s">
        <v>2581</v>
      </c>
      <c r="B638" s="10"/>
      <c r="C638" s="10"/>
      <c r="D638" s="10"/>
      <c r="E638" s="38">
        <f>SUM(B638:D638)</f>
        <v>0</v>
      </c>
      <c r="F638" s="10"/>
      <c r="G638" s="10"/>
      <c r="H638" s="10"/>
      <c r="I638" s="38">
        <f>SUM(F638:H638)</f>
        <v>0</v>
      </c>
      <c r="J638" s="10"/>
      <c r="K638" s="10"/>
      <c r="L638" s="10"/>
      <c r="M638" s="38">
        <f>SUM(J638:L638)</f>
        <v>0</v>
      </c>
      <c r="N638" s="10"/>
      <c r="O638" s="10"/>
      <c r="P638" s="10"/>
      <c r="Q638" s="38">
        <f>SUM(N638:P638)</f>
        <v>0</v>
      </c>
      <c r="R638" s="38">
        <f>+E638+I638+M638+Q638</f>
        <v>0</v>
      </c>
      <c r="T638" t="s">
        <v>2766</v>
      </c>
    </row>
    <row r="639" spans="1:20" ht="15.75" customHeight="1" x14ac:dyDescent="0.3">
      <c r="A639" s="539" t="s">
        <v>2582</v>
      </c>
      <c r="B639" s="10"/>
      <c r="C639" s="10"/>
      <c r="D639" s="10"/>
      <c r="E639" s="38">
        <f>SUM(B639:D639)</f>
        <v>0</v>
      </c>
      <c r="F639" s="10"/>
      <c r="G639" s="10"/>
      <c r="H639" s="10"/>
      <c r="I639" s="38">
        <f>SUM(F639:H639)</f>
        <v>0</v>
      </c>
      <c r="J639" s="10"/>
      <c r="K639" s="10"/>
      <c r="L639" s="10"/>
      <c r="M639" s="38">
        <f>SUM(J639:L639)</f>
        <v>0</v>
      </c>
      <c r="N639" s="10"/>
      <c r="O639" s="10"/>
      <c r="P639" s="10"/>
      <c r="Q639" s="38">
        <f>SUM(N639:P639)</f>
        <v>0</v>
      </c>
      <c r="R639" s="38">
        <f>+E639+I639+M639+Q639</f>
        <v>0</v>
      </c>
      <c r="T639" t="s">
        <v>2766</v>
      </c>
    </row>
    <row r="640" spans="1:20" ht="15.75" customHeight="1" x14ac:dyDescent="0.3">
      <c r="A640" s="234" t="s">
        <v>1022</v>
      </c>
      <c r="B640" s="10"/>
      <c r="C640" s="10"/>
      <c r="D640" s="10"/>
      <c r="E640" s="38" t="s">
        <v>852</v>
      </c>
      <c r="F640" s="10"/>
      <c r="G640" s="10"/>
      <c r="H640" s="10"/>
      <c r="I640" s="38" t="s">
        <v>852</v>
      </c>
      <c r="J640" s="10"/>
      <c r="K640" s="10"/>
      <c r="L640" s="10"/>
      <c r="M640" s="38" t="s">
        <v>852</v>
      </c>
      <c r="N640" s="10"/>
      <c r="O640" s="10"/>
      <c r="P640" s="10"/>
      <c r="Q640" s="38" t="s">
        <v>852</v>
      </c>
      <c r="R640" s="38" t="s">
        <v>852</v>
      </c>
    </row>
    <row r="641" spans="1:18" ht="15.75" customHeight="1" x14ac:dyDescent="0.3">
      <c r="A641" s="539" t="s">
        <v>3273</v>
      </c>
      <c r="B641" s="172"/>
      <c r="C641" s="172"/>
      <c r="D641" s="172"/>
      <c r="E641" s="38">
        <f>SUM(B641:D641)</f>
        <v>0</v>
      </c>
      <c r="F641" s="172"/>
      <c r="G641" s="172"/>
      <c r="H641" s="172"/>
      <c r="I641" s="38">
        <f>SUM(F641:H641)</f>
        <v>0</v>
      </c>
      <c r="J641" s="172"/>
      <c r="K641" s="172"/>
      <c r="L641" s="172"/>
      <c r="M641" s="38">
        <f>SUM(J641:L641)</f>
        <v>0</v>
      </c>
      <c r="N641" s="172"/>
      <c r="O641" s="172"/>
      <c r="P641" s="172"/>
      <c r="Q641" s="38">
        <f>SUM(N641:P641)</f>
        <v>0</v>
      </c>
      <c r="R641" s="38">
        <f>+E641+I641+M641+Q641</f>
        <v>0</v>
      </c>
    </row>
    <row r="642" spans="1:18" ht="15.75" customHeight="1" x14ac:dyDescent="0.3">
      <c r="A642" s="539" t="s">
        <v>3230</v>
      </c>
      <c r="B642" s="172"/>
      <c r="C642" s="172"/>
      <c r="D642" s="172"/>
      <c r="E642" s="38">
        <f>SUM(B642:D642)</f>
        <v>0</v>
      </c>
      <c r="F642" s="172"/>
      <c r="G642" s="172"/>
      <c r="H642" s="172"/>
      <c r="I642" s="38">
        <f>SUM(F642:H642)</f>
        <v>0</v>
      </c>
      <c r="J642" s="172"/>
      <c r="K642" s="172"/>
      <c r="L642" s="172"/>
      <c r="M642" s="38">
        <f>SUM(J642:L642)</f>
        <v>0</v>
      </c>
      <c r="N642" s="172"/>
      <c r="O642" s="172"/>
      <c r="P642" s="172"/>
      <c r="Q642" s="38">
        <f>SUM(N642:P642)</f>
        <v>0</v>
      </c>
      <c r="R642" s="38">
        <f>+E642+I642+M642+Q642</f>
        <v>0</v>
      </c>
    </row>
    <row r="643" spans="1:18" ht="15.75" customHeight="1" x14ac:dyDescent="0.3">
      <c r="A643" s="234" t="s">
        <v>559</v>
      </c>
      <c r="B643" s="10"/>
      <c r="C643" s="10"/>
      <c r="D643" s="10"/>
      <c r="E643" s="38" t="s">
        <v>852</v>
      </c>
      <c r="F643" s="10"/>
      <c r="G643" s="10"/>
      <c r="H643" s="10"/>
      <c r="I643" s="38" t="s">
        <v>852</v>
      </c>
      <c r="J643" s="10"/>
      <c r="K643" s="10"/>
      <c r="L643" s="10"/>
      <c r="M643" s="38" t="s">
        <v>852</v>
      </c>
      <c r="N643" s="10"/>
      <c r="O643" s="10"/>
      <c r="P643" s="10"/>
      <c r="Q643" s="38" t="s">
        <v>852</v>
      </c>
      <c r="R643" s="38" t="s">
        <v>852</v>
      </c>
    </row>
    <row r="644" spans="1:18" ht="15.75" customHeight="1" x14ac:dyDescent="0.3">
      <c r="A644" s="539" t="s">
        <v>2597</v>
      </c>
      <c r="B644" s="10"/>
      <c r="C644" s="10"/>
      <c r="D644" s="10"/>
      <c r="E644" s="38">
        <f t="shared" ref="E644:E646" si="270">SUM(B644:D644)</f>
        <v>0</v>
      </c>
      <c r="F644" s="10"/>
      <c r="G644" s="10"/>
      <c r="H644" s="10"/>
      <c r="I644" s="38">
        <f t="shared" ref="I644:I646" si="271">SUM(F644:H644)</f>
        <v>0</v>
      </c>
      <c r="J644" s="10"/>
      <c r="K644" s="10"/>
      <c r="L644" s="10"/>
      <c r="M644" s="38">
        <f t="shared" ref="M644:M646" si="272">SUM(J644:L644)</f>
        <v>0</v>
      </c>
      <c r="N644" s="10"/>
      <c r="O644" s="10"/>
      <c r="P644" s="10"/>
      <c r="Q644" s="38">
        <f t="shared" ref="Q644:Q650" si="273">SUM(N644:P644)</f>
        <v>0</v>
      </c>
      <c r="R644" s="38">
        <f t="shared" ref="R644:R650" si="274">+E644+I644+M644+Q644</f>
        <v>0</v>
      </c>
    </row>
    <row r="645" spans="1:18" ht="15.75" customHeight="1" x14ac:dyDescent="0.3">
      <c r="A645" s="539" t="s">
        <v>3227</v>
      </c>
      <c r="B645" s="10"/>
      <c r="C645" s="10"/>
      <c r="D645" s="10"/>
      <c r="E645" s="38">
        <f t="shared" ref="E645" si="275">SUM(B645:D645)</f>
        <v>0</v>
      </c>
      <c r="F645" s="10"/>
      <c r="G645" s="10"/>
      <c r="H645" s="10"/>
      <c r="I645" s="38">
        <f t="shared" ref="I645" si="276">SUM(F645:H645)</f>
        <v>0</v>
      </c>
      <c r="J645" s="10"/>
      <c r="K645" s="10"/>
      <c r="L645" s="10"/>
      <c r="M645" s="38">
        <f t="shared" ref="M645" si="277">SUM(J645:L645)</f>
        <v>0</v>
      </c>
      <c r="N645" s="10"/>
      <c r="O645" s="10"/>
      <c r="P645" s="10"/>
      <c r="Q645" s="38">
        <f t="shared" ref="Q645" si="278">SUM(N645:P645)</f>
        <v>0</v>
      </c>
      <c r="R645" s="38">
        <f t="shared" si="274"/>
        <v>0</v>
      </c>
    </row>
    <row r="646" spans="1:18" ht="15.75" customHeight="1" thickBot="1" x14ac:dyDescent="0.35">
      <c r="A646" s="539" t="s">
        <v>2583</v>
      </c>
      <c r="B646" s="10"/>
      <c r="C646" s="10"/>
      <c r="D646" s="10"/>
      <c r="E646" s="38">
        <f t="shared" si="270"/>
        <v>0</v>
      </c>
      <c r="F646" s="10"/>
      <c r="G646" s="10"/>
      <c r="H646" s="10"/>
      <c r="I646" s="38">
        <f t="shared" si="271"/>
        <v>0</v>
      </c>
      <c r="J646" s="10"/>
      <c r="K646" s="10"/>
      <c r="L646" s="10"/>
      <c r="M646" s="38">
        <f t="shared" si="272"/>
        <v>0</v>
      </c>
      <c r="N646" s="10"/>
      <c r="O646" s="10"/>
      <c r="P646" s="10"/>
      <c r="Q646" s="38">
        <f t="shared" si="273"/>
        <v>0</v>
      </c>
      <c r="R646" s="38">
        <f t="shared" si="274"/>
        <v>0</v>
      </c>
    </row>
    <row r="647" spans="1:18" ht="16.5" customHeight="1" thickBot="1" x14ac:dyDescent="0.35">
      <c r="A647" s="43" t="s">
        <v>1019</v>
      </c>
      <c r="B647" s="335">
        <f>SUM(B640:B646)</f>
        <v>0</v>
      </c>
      <c r="C647" s="335">
        <f>SUM(C640:C646)</f>
        <v>0</v>
      </c>
      <c r="D647" s="335">
        <f>SUM(D640:D646)</f>
        <v>0</v>
      </c>
      <c r="E647" s="39">
        <f t="shared" ref="E647:E650" si="279">SUM(B647:D647)</f>
        <v>0</v>
      </c>
      <c r="F647" s="335">
        <f>SUM(F640:F646)</f>
        <v>0</v>
      </c>
      <c r="G647" s="335">
        <f>SUM(G640:G646)</f>
        <v>0</v>
      </c>
      <c r="H647" s="335">
        <f>SUM(H640:H646)</f>
        <v>0</v>
      </c>
      <c r="I647" s="39">
        <f t="shared" ref="I647:I650" si="280">SUM(F647:H647)</f>
        <v>0</v>
      </c>
      <c r="J647" s="335">
        <f>SUM(J640:J646)</f>
        <v>0</v>
      </c>
      <c r="K647" s="335">
        <f>SUM(K640:K646)</f>
        <v>0</v>
      </c>
      <c r="L647" s="335">
        <f>SUM(L640:L646)</f>
        <v>0</v>
      </c>
      <c r="M647" s="39">
        <f t="shared" ref="M647:M650" si="281">SUM(J647:L647)</f>
        <v>0</v>
      </c>
      <c r="N647" s="335">
        <f>SUM(N640:N646)</f>
        <v>0</v>
      </c>
      <c r="O647" s="335">
        <f>SUM(O640:O646)</f>
        <v>0</v>
      </c>
      <c r="P647" s="335">
        <f>SUM(P640:P646)</f>
        <v>0</v>
      </c>
      <c r="Q647" s="39">
        <f t="shared" si="273"/>
        <v>0</v>
      </c>
      <c r="R647" s="37">
        <f t="shared" si="274"/>
        <v>0</v>
      </c>
    </row>
    <row r="648" spans="1:18" ht="16.5" customHeight="1" thickBot="1" x14ac:dyDescent="0.35">
      <c r="A648" s="277" t="s">
        <v>1221</v>
      </c>
      <c r="B648" s="45">
        <f>SUM(B631:B646)</f>
        <v>0</v>
      </c>
      <c r="C648" s="46">
        <f>SUM(C631:C646)</f>
        <v>0</v>
      </c>
      <c r="D648" s="58">
        <f>SUM(D631:D646)</f>
        <v>0</v>
      </c>
      <c r="E648" s="39">
        <f t="shared" si="279"/>
        <v>0</v>
      </c>
      <c r="F648" s="45">
        <f>SUM(F631:F646)</f>
        <v>0</v>
      </c>
      <c r="G648" s="46">
        <f>SUM(G631:G646)</f>
        <v>0</v>
      </c>
      <c r="H648" s="58">
        <f>SUM(H631:H646)</f>
        <v>0</v>
      </c>
      <c r="I648" s="39">
        <f t="shared" si="280"/>
        <v>0</v>
      </c>
      <c r="J648" s="45">
        <f>SUM(J631:J646)</f>
        <v>0</v>
      </c>
      <c r="K648" s="46">
        <f>SUM(K631:K646)</f>
        <v>0</v>
      </c>
      <c r="L648" s="58">
        <f>SUM(L631:L646)</f>
        <v>0</v>
      </c>
      <c r="M648" s="39">
        <f t="shared" si="281"/>
        <v>0</v>
      </c>
      <c r="N648" s="45">
        <f>SUM(N631:N646)</f>
        <v>0</v>
      </c>
      <c r="O648" s="46">
        <f>SUM(O631:O646)</f>
        <v>0</v>
      </c>
      <c r="P648" s="58">
        <f>SUM(P631:P646)</f>
        <v>2700</v>
      </c>
      <c r="Q648" s="39">
        <f t="shared" si="273"/>
        <v>2700</v>
      </c>
      <c r="R648" s="37">
        <f t="shared" si="274"/>
        <v>2700</v>
      </c>
    </row>
    <row r="649" spans="1:18" ht="16.5" customHeight="1" thickBot="1" x14ac:dyDescent="0.35">
      <c r="A649" s="43" t="s">
        <v>1222</v>
      </c>
      <c r="B649" s="337">
        <f>+B615+B621+B630+B648</f>
        <v>2348</v>
      </c>
      <c r="C649" s="338">
        <f>+C615+C621+C630+C648</f>
        <v>4706</v>
      </c>
      <c r="D649" s="338">
        <f>+D615+D621+D630+D648</f>
        <v>5886</v>
      </c>
      <c r="E649" s="37">
        <f t="shared" si="279"/>
        <v>12940</v>
      </c>
      <c r="F649" s="42">
        <f>+F615+F621+F630+F648</f>
        <v>7361</v>
      </c>
      <c r="G649" s="42">
        <f>+G615+G621+G630+G648</f>
        <v>6483</v>
      </c>
      <c r="H649" s="42">
        <f>+H615+H621+H630+H648</f>
        <v>7129</v>
      </c>
      <c r="I649" s="37">
        <f t="shared" si="280"/>
        <v>20973</v>
      </c>
      <c r="J649" s="42">
        <f>+J615+J621+J630+J648</f>
        <v>7356</v>
      </c>
      <c r="K649" s="42">
        <f>+K615+K621+K630+K648</f>
        <v>7660</v>
      </c>
      <c r="L649" s="42">
        <f>+L615+L621+L630+L648</f>
        <v>1384</v>
      </c>
      <c r="M649" s="37">
        <f t="shared" si="281"/>
        <v>16400</v>
      </c>
      <c r="N649" s="42">
        <f>+N615+N621+N630+N648</f>
        <v>646</v>
      </c>
      <c r="O649" s="42">
        <f>+O615+O621+O630+O648</f>
        <v>0</v>
      </c>
      <c r="P649" s="42">
        <f>+P615+P621+P630+P648</f>
        <v>2700</v>
      </c>
      <c r="Q649" s="37">
        <f t="shared" si="273"/>
        <v>3346</v>
      </c>
      <c r="R649" s="40">
        <f t="shared" si="274"/>
        <v>53659</v>
      </c>
    </row>
    <row r="650" spans="1:18" ht="16.5" customHeight="1" thickBot="1" x14ac:dyDescent="0.35">
      <c r="A650" s="244" t="s">
        <v>853</v>
      </c>
      <c r="B650" s="238">
        <v>17</v>
      </c>
      <c r="C650" s="238">
        <v>47</v>
      </c>
      <c r="D650" s="238">
        <v>84</v>
      </c>
      <c r="E650" s="38">
        <f t="shared" si="279"/>
        <v>148</v>
      </c>
      <c r="F650" s="238">
        <v>116</v>
      </c>
      <c r="G650" s="238">
        <v>132</v>
      </c>
      <c r="H650" s="238">
        <v>138</v>
      </c>
      <c r="I650" s="38">
        <f t="shared" si="280"/>
        <v>386</v>
      </c>
      <c r="J650" s="238">
        <v>126</v>
      </c>
      <c r="K650" s="238">
        <v>95</v>
      </c>
      <c r="L650" s="238">
        <v>99</v>
      </c>
      <c r="M650" s="38">
        <f t="shared" si="281"/>
        <v>320</v>
      </c>
      <c r="N650" s="238">
        <v>91</v>
      </c>
      <c r="O650" s="238">
        <v>67</v>
      </c>
      <c r="P650" s="238">
        <v>38</v>
      </c>
      <c r="Q650" s="38">
        <f t="shared" si="273"/>
        <v>196</v>
      </c>
      <c r="R650" s="38">
        <f t="shared" si="274"/>
        <v>1050</v>
      </c>
    </row>
    <row r="651" spans="1:18" ht="16.5" customHeight="1" thickBot="1" x14ac:dyDescent="0.35">
      <c r="A651" s="22"/>
      <c r="B651" s="242"/>
      <c r="C651" s="242"/>
      <c r="D651" s="242"/>
      <c r="E651" s="21"/>
      <c r="F651" s="242"/>
      <c r="G651" s="242"/>
      <c r="H651" s="242"/>
      <c r="I651" s="21"/>
      <c r="J651" s="242"/>
      <c r="K651" s="242"/>
      <c r="L651" s="242"/>
      <c r="M651" s="21"/>
      <c r="N651" s="242"/>
      <c r="O651" s="242"/>
      <c r="P651" s="242"/>
      <c r="Q651" s="21"/>
      <c r="R651" s="21"/>
    </row>
    <row r="652" spans="1:18" ht="15.75" customHeight="1" x14ac:dyDescent="0.3">
      <c r="A652" s="259" t="s">
        <v>120</v>
      </c>
      <c r="B652" s="260">
        <f>SUM(B649:B650)</f>
        <v>2365</v>
      </c>
      <c r="C652" s="260">
        <f>SUM(C649:C650)</f>
        <v>4753</v>
      </c>
      <c r="D652" s="260">
        <f>SUM(D649:D650)</f>
        <v>5970</v>
      </c>
      <c r="E652" s="39">
        <f>SUM(B652:D652)</f>
        <v>13088</v>
      </c>
      <c r="F652" s="260">
        <f>SUM(F649:F650)</f>
        <v>7477</v>
      </c>
      <c r="G652" s="260">
        <f>SUM(G649:G650)</f>
        <v>6615</v>
      </c>
      <c r="H652" s="260">
        <f>SUM(H649:H650)</f>
        <v>7267</v>
      </c>
      <c r="I652" s="39">
        <f>SUM(F652:H652)</f>
        <v>21359</v>
      </c>
      <c r="J652" s="260">
        <f>SUM(J649:J650)</f>
        <v>7482</v>
      </c>
      <c r="K652" s="260">
        <f>SUM(K649:K650)</f>
        <v>7755</v>
      </c>
      <c r="L652" s="260">
        <f>SUM(L649:L650)</f>
        <v>1483</v>
      </c>
      <c r="M652" s="39">
        <f>SUM(J652:L652)</f>
        <v>16720</v>
      </c>
      <c r="N652" s="260">
        <f>SUM(N649:N650)</f>
        <v>737</v>
      </c>
      <c r="O652" s="260">
        <f>SUM(O649:O650)</f>
        <v>67</v>
      </c>
      <c r="P652" s="260">
        <f>SUM(P649:P650)</f>
        <v>2738</v>
      </c>
      <c r="Q652" s="39">
        <f>SUM(N652:P652)</f>
        <v>3542</v>
      </c>
      <c r="R652" s="39">
        <f>+E652+I652+M652+Q652</f>
        <v>54709</v>
      </c>
    </row>
    <row r="653" spans="1:18" ht="15.75" customHeight="1" x14ac:dyDescent="0.3">
      <c r="A653" s="262" t="s">
        <v>1897</v>
      </c>
      <c r="B653" s="172">
        <f>(B652/B10)/1.983</f>
        <v>38.472174775917885</v>
      </c>
      <c r="C653" s="172">
        <f>(C652/C10)/1.983</f>
        <v>85.602622289460413</v>
      </c>
      <c r="D653" s="172">
        <f>(D652/D10)/1.983</f>
        <v>97.115806939632037</v>
      </c>
      <c r="E653" s="38" t="s">
        <v>852</v>
      </c>
      <c r="F653" s="172">
        <f>(F652/F10)/1.983</f>
        <v>125.6849890737939</v>
      </c>
      <c r="G653" s="172">
        <f>(G652/G10)/1.983</f>
        <v>107.60821824215508</v>
      </c>
      <c r="H653" s="172">
        <f>(H652/H10)/1.983</f>
        <v>122.15498403092955</v>
      </c>
      <c r="I653" s="38" t="s">
        <v>852</v>
      </c>
      <c r="J653" s="172">
        <f>(J652/J10)/1.983</f>
        <v>121.71197110926747</v>
      </c>
      <c r="K653" s="172">
        <f>(K652/K10)/1.983</f>
        <v>126.15294519545165</v>
      </c>
      <c r="L653" s="172">
        <f>(L652/L10)/1.983</f>
        <v>24.928559421751551</v>
      </c>
      <c r="M653" s="38" t="s">
        <v>852</v>
      </c>
      <c r="N653" s="172">
        <f>(N652/N10)/1.983</f>
        <v>11.98900330226278</v>
      </c>
      <c r="O653" s="172">
        <f>(O652/O10)/1.983</f>
        <v>1.1262397041519583</v>
      </c>
      <c r="P653" s="172">
        <f>(P652/P10)/1.983</f>
        <v>44.539879296601761</v>
      </c>
      <c r="Q653" s="38" t="s">
        <v>852</v>
      </c>
      <c r="R653" s="38" t="s">
        <v>852</v>
      </c>
    </row>
    <row r="654" spans="1:18" ht="15.75" customHeight="1" x14ac:dyDescent="0.3">
      <c r="A654" s="262" t="s">
        <v>1535</v>
      </c>
      <c r="B654" s="172">
        <f>B652+B664</f>
        <v>15154</v>
      </c>
      <c r="C654" s="172">
        <f>C652+C664</f>
        <v>14720</v>
      </c>
      <c r="D654" s="172">
        <f>D652+D664</f>
        <v>20720</v>
      </c>
      <c r="E654" s="38">
        <f>SUM(B654:D654)</f>
        <v>50594</v>
      </c>
      <c r="F654" s="172">
        <f>F652+F664</f>
        <v>28072</v>
      </c>
      <c r="G654" s="172">
        <f>G652+G664</f>
        <v>27162</v>
      </c>
      <c r="H654" s="172">
        <f>H652+H664</f>
        <v>28905</v>
      </c>
      <c r="I654" s="38">
        <f>SUM(F654:H654)</f>
        <v>84139</v>
      </c>
      <c r="J654" s="172">
        <f>J652+J664</f>
        <v>30366</v>
      </c>
      <c r="K654" s="172">
        <f>K652+K664</f>
        <v>29880</v>
      </c>
      <c r="L654" s="172">
        <f>L652+L664</f>
        <v>19059</v>
      </c>
      <c r="M654" s="38">
        <f>SUM(J654:L654)</f>
        <v>79305</v>
      </c>
      <c r="N654" s="172">
        <f>N652+N664</f>
        <v>16455</v>
      </c>
      <c r="O654" s="172">
        <f>O652+O664</f>
        <v>1117</v>
      </c>
      <c r="P654" s="172">
        <f>P652+P664</f>
        <v>6917</v>
      </c>
      <c r="Q654" s="38">
        <f>SUM(N654:P654)</f>
        <v>24489</v>
      </c>
      <c r="R654" s="38">
        <f>+E654+I654+M654+Q654</f>
        <v>238527</v>
      </c>
    </row>
    <row r="655" spans="1:18" ht="16.5" customHeight="1" thickBot="1" x14ac:dyDescent="0.35">
      <c r="A655" s="263" t="s">
        <v>1536</v>
      </c>
      <c r="B655" s="264">
        <f>(B654/B10)/1.983</f>
        <v>246.51473004408436</v>
      </c>
      <c r="C655" s="264">
        <f>(C654/C10)/1.983</f>
        <v>265.11058281103664</v>
      </c>
      <c r="D655" s="264">
        <f>(D654/D10)/1.983</f>
        <v>337.05854602833762</v>
      </c>
      <c r="E655" s="40" t="s">
        <v>852</v>
      </c>
      <c r="F655" s="264">
        <f>(F654/F10)/1.983</f>
        <v>471.87762649184737</v>
      </c>
      <c r="G655" s="264">
        <f>(G654/G10)/1.983</f>
        <v>441.85252061880828</v>
      </c>
      <c r="H655" s="264">
        <f>(H654/H10)/1.983</f>
        <v>485.87997982854262</v>
      </c>
      <c r="I655" s="40" t="s">
        <v>852</v>
      </c>
      <c r="J655" s="264">
        <f>(J654/J10)/1.983</f>
        <v>493.97296374017856</v>
      </c>
      <c r="K655" s="264">
        <f>(K654/K10)/1.983</f>
        <v>486.06705382851004</v>
      </c>
      <c r="L655" s="264">
        <f>(L654/L10)/1.983</f>
        <v>320.37317196167419</v>
      </c>
      <c r="M655" s="40" t="s">
        <v>852</v>
      </c>
      <c r="N655" s="264">
        <f>(N654/N10)/1.983</f>
        <v>267.67849299692546</v>
      </c>
      <c r="O655" s="264">
        <f>(O654/O10)/1.983</f>
        <v>18.776264918473693</v>
      </c>
      <c r="P655" s="264">
        <f>(P654/P10)/1.983</f>
        <v>112.52094415434418</v>
      </c>
      <c r="Q655" s="40" t="s">
        <v>852</v>
      </c>
      <c r="R655" s="40" t="s">
        <v>852</v>
      </c>
    </row>
    <row r="656" spans="1:18" ht="15.75" customHeight="1" x14ac:dyDescent="0.3">
      <c r="A656" s="17"/>
      <c r="B656" s="172"/>
      <c r="C656" s="172"/>
      <c r="D656" s="172"/>
      <c r="E656" s="172"/>
      <c r="F656" s="172"/>
      <c r="G656" s="172"/>
      <c r="H656" s="172"/>
      <c r="I656" s="172"/>
      <c r="J656" s="172"/>
      <c r="K656" s="172"/>
      <c r="L656" s="172"/>
      <c r="M656" s="172"/>
      <c r="N656" s="172"/>
      <c r="O656" s="172"/>
      <c r="P656" s="172"/>
      <c r="Q656" s="172"/>
      <c r="R656" s="17"/>
    </row>
    <row r="657" spans="1:18" ht="16.5" customHeight="1" thickBot="1" x14ac:dyDescent="0.35">
      <c r="A657" s="24"/>
      <c r="B657" s="238"/>
      <c r="C657" s="238"/>
      <c r="D657" s="238"/>
      <c r="E657" s="238"/>
      <c r="F657" s="238"/>
      <c r="G657" s="238"/>
      <c r="H657" s="238"/>
      <c r="I657" s="238"/>
      <c r="J657" s="238"/>
      <c r="K657" s="238"/>
      <c r="L657" s="238"/>
      <c r="M657" s="238"/>
      <c r="N657" s="238"/>
      <c r="O657" s="238"/>
      <c r="P657" s="238"/>
      <c r="Q657" s="238"/>
      <c r="R657" s="24"/>
    </row>
    <row r="658" spans="1:18" ht="16.5" customHeight="1" thickBot="1" x14ac:dyDescent="0.35">
      <c r="A658" s="278" t="s">
        <v>1537</v>
      </c>
      <c r="B658" s="4" t="s">
        <v>2090</v>
      </c>
      <c r="C658" s="5" t="s">
        <v>2091</v>
      </c>
      <c r="D658" s="5" t="s">
        <v>2234</v>
      </c>
      <c r="E658" s="33" t="s">
        <v>1594</v>
      </c>
      <c r="F658" s="5" t="s">
        <v>2235</v>
      </c>
      <c r="G658" s="5" t="s">
        <v>2236</v>
      </c>
      <c r="H658" s="5" t="s">
        <v>2237</v>
      </c>
      <c r="I658" s="35" t="s">
        <v>1595</v>
      </c>
      <c r="J658" s="5" t="s">
        <v>1504</v>
      </c>
      <c r="K658" s="5" t="s">
        <v>1505</v>
      </c>
      <c r="L658" s="5" t="s">
        <v>1506</v>
      </c>
      <c r="M658" s="35" t="s">
        <v>1596</v>
      </c>
      <c r="N658" s="5" t="s">
        <v>1507</v>
      </c>
      <c r="O658" s="5" t="s">
        <v>1508</v>
      </c>
      <c r="P658" s="5" t="s">
        <v>1509</v>
      </c>
      <c r="Q658" s="33" t="s">
        <v>1597</v>
      </c>
      <c r="R658" s="34" t="s">
        <v>1510</v>
      </c>
    </row>
    <row r="659" spans="1:18" ht="16.5" customHeight="1" thickBot="1" x14ac:dyDescent="0.35">
      <c r="A659" s="22"/>
      <c r="B659" s="242"/>
      <c r="C659" s="242"/>
      <c r="D659" s="242"/>
      <c r="E659" s="243"/>
      <c r="F659" s="242"/>
      <c r="G659" s="242"/>
      <c r="H659" s="242"/>
      <c r="I659" s="243"/>
      <c r="J659" s="242"/>
      <c r="K659" s="242"/>
      <c r="L659" s="242"/>
      <c r="M659" s="243"/>
      <c r="N659" s="242"/>
      <c r="O659" s="242"/>
      <c r="P659" s="242"/>
      <c r="Q659" s="279"/>
      <c r="R659" s="32"/>
    </row>
    <row r="660" spans="1:18" ht="16.5" customHeight="1" thickBot="1" x14ac:dyDescent="0.35">
      <c r="A660" s="244" t="s">
        <v>853</v>
      </c>
      <c r="B660" s="238">
        <v>20</v>
      </c>
      <c r="C660" s="238">
        <v>22</v>
      </c>
      <c r="D660" s="238">
        <v>28</v>
      </c>
      <c r="E660" s="38">
        <f>SUM(B660:D660)</f>
        <v>70</v>
      </c>
      <c r="F660" s="238">
        <v>37</v>
      </c>
      <c r="G660" s="238">
        <v>42</v>
      </c>
      <c r="H660" s="238">
        <v>44</v>
      </c>
      <c r="I660" s="38">
        <f>SUM(F660:H660)</f>
        <v>123</v>
      </c>
      <c r="J660" s="238">
        <v>39</v>
      </c>
      <c r="K660" s="238">
        <v>36</v>
      </c>
      <c r="L660" s="238">
        <v>34</v>
      </c>
      <c r="M660" s="38">
        <f>SUM(J660:L660)</f>
        <v>109</v>
      </c>
      <c r="N660" s="238">
        <v>29</v>
      </c>
      <c r="O660" s="238">
        <v>23</v>
      </c>
      <c r="P660" s="238">
        <v>19</v>
      </c>
      <c r="Q660" s="38">
        <f>SUM(N660:P660)</f>
        <v>71</v>
      </c>
      <c r="R660" s="38">
        <f>+E660+I660+M660+Q660</f>
        <v>373</v>
      </c>
    </row>
    <row r="661" spans="1:18" ht="16.5" customHeight="1" thickBot="1" x14ac:dyDescent="0.35">
      <c r="A661" s="22"/>
      <c r="B661" s="242"/>
      <c r="C661" s="242"/>
      <c r="D661" s="242"/>
      <c r="E661" s="233"/>
      <c r="F661" s="242"/>
      <c r="G661" s="242"/>
      <c r="H661" s="242"/>
      <c r="I661" s="233"/>
      <c r="J661" s="242"/>
      <c r="K661" s="242"/>
      <c r="L661" s="242"/>
      <c r="M661" s="233"/>
      <c r="N661" s="242"/>
      <c r="O661" s="242"/>
      <c r="P661" s="242"/>
      <c r="Q661" s="233"/>
      <c r="R661" s="21"/>
    </row>
    <row r="662" spans="1:18" ht="15.75" customHeight="1" x14ac:dyDescent="0.3">
      <c r="A662" s="259" t="s">
        <v>120</v>
      </c>
      <c r="B662" s="260">
        <f>B660</f>
        <v>20</v>
      </c>
      <c r="C662" s="260">
        <f>C660</f>
        <v>22</v>
      </c>
      <c r="D662" s="260">
        <f>D660</f>
        <v>28</v>
      </c>
      <c r="E662" s="39">
        <f>SUM(B662:D662)</f>
        <v>70</v>
      </c>
      <c r="F662" s="260">
        <f>F660</f>
        <v>37</v>
      </c>
      <c r="G662" s="260">
        <f>G660</f>
        <v>42</v>
      </c>
      <c r="H662" s="260">
        <f>H660</f>
        <v>44</v>
      </c>
      <c r="I662" s="39">
        <f>SUM(F662:H662)</f>
        <v>123</v>
      </c>
      <c r="J662" s="260">
        <f>J660</f>
        <v>39</v>
      </c>
      <c r="K662" s="260">
        <f>K660</f>
        <v>36</v>
      </c>
      <c r="L662" s="260">
        <f>L660</f>
        <v>34</v>
      </c>
      <c r="M662" s="39">
        <f>SUM(J662:L662)</f>
        <v>109</v>
      </c>
      <c r="N662" s="260">
        <f>N660</f>
        <v>29</v>
      </c>
      <c r="O662" s="260">
        <f>O660</f>
        <v>23</v>
      </c>
      <c r="P662" s="260">
        <f>P660</f>
        <v>19</v>
      </c>
      <c r="Q662" s="39">
        <f>SUM(N662:P662)</f>
        <v>71</v>
      </c>
      <c r="R662" s="39">
        <f>+E662+I662+M662+Q662</f>
        <v>373</v>
      </c>
    </row>
    <row r="663" spans="1:18" ht="15.75" customHeight="1" x14ac:dyDescent="0.3">
      <c r="A663" s="262" t="s">
        <v>1897</v>
      </c>
      <c r="B663" s="172">
        <f>(B662/B10)/1.983</f>
        <v>0.32534608689993977</v>
      </c>
      <c r="C663" s="172">
        <f>(C662/C10)/1.983</f>
        <v>0.39622505583171236</v>
      </c>
      <c r="D663" s="172">
        <f>(D662/D10)/1.983</f>
        <v>0.45548452165991571</v>
      </c>
      <c r="E663" s="38" t="s">
        <v>852</v>
      </c>
      <c r="F663" s="172">
        <f>(F662/F10)/1.983</f>
        <v>0.62195326945705165</v>
      </c>
      <c r="G663" s="172">
        <f>(G662/G10)/1.983</f>
        <v>0.68322678248987356</v>
      </c>
      <c r="H663" s="172">
        <f>(H662/H10)/1.983</f>
        <v>0.73962010421919644</v>
      </c>
      <c r="I663" s="38" t="s">
        <v>852</v>
      </c>
      <c r="J663" s="172">
        <f>(J662/J10)/1.983</f>
        <v>0.63442486945488263</v>
      </c>
      <c r="K663" s="172">
        <f>(K662/K10)/1.983</f>
        <v>0.5856229564198917</v>
      </c>
      <c r="L663" s="172">
        <f>(L662/L10)/1.983</f>
        <v>0.57152462598756093</v>
      </c>
      <c r="M663" s="38" t="s">
        <v>852</v>
      </c>
      <c r="N663" s="172">
        <f>(N662/N10)/1.983</f>
        <v>0.47175182600491267</v>
      </c>
      <c r="O663" s="172">
        <f>(O662/O10)/1.983</f>
        <v>0.38661959993276179</v>
      </c>
      <c r="P663" s="172">
        <f>(P662/P10)/1.983</f>
        <v>0.30907878255494281</v>
      </c>
      <c r="Q663" s="38" t="s">
        <v>852</v>
      </c>
      <c r="R663" s="38" t="s">
        <v>852</v>
      </c>
    </row>
    <row r="664" spans="1:18" ht="15.75" customHeight="1" x14ac:dyDescent="0.3">
      <c r="A664" s="262" t="s">
        <v>2019</v>
      </c>
      <c r="B664" s="172">
        <f>B662+B700</f>
        <v>12789</v>
      </c>
      <c r="C664" s="172">
        <f>C662+C700</f>
        <v>9967</v>
      </c>
      <c r="D664" s="172">
        <f>D662+D700</f>
        <v>14750</v>
      </c>
      <c r="E664" s="38">
        <f>SUM(B664:D664)</f>
        <v>37506</v>
      </c>
      <c r="F664" s="172">
        <f>F662+F700</f>
        <v>20595</v>
      </c>
      <c r="G664" s="172">
        <f>G662+G700</f>
        <v>20547</v>
      </c>
      <c r="H664" s="172">
        <f>H662+H700</f>
        <v>21638</v>
      </c>
      <c r="I664" s="38">
        <f>SUM(F664:H664)</f>
        <v>62780</v>
      </c>
      <c r="J664" s="172">
        <f>J662+J700</f>
        <v>22884</v>
      </c>
      <c r="K664" s="172">
        <f>K662+K700</f>
        <v>22125</v>
      </c>
      <c r="L664" s="172">
        <f>L662+L700</f>
        <v>17576</v>
      </c>
      <c r="M664" s="38">
        <f>SUM(J664:L664)</f>
        <v>62585</v>
      </c>
      <c r="N664" s="172">
        <f>N662+N700</f>
        <v>15718</v>
      </c>
      <c r="O664" s="172">
        <f>O662+O700</f>
        <v>1050</v>
      </c>
      <c r="P664" s="172">
        <f>P662+P700</f>
        <v>4179</v>
      </c>
      <c r="Q664" s="38">
        <f>SUM(N664:P664)</f>
        <v>20947</v>
      </c>
      <c r="R664" s="38">
        <f>+E664+I664+M664+Q664</f>
        <v>183818</v>
      </c>
    </row>
    <row r="665" spans="1:18" ht="16.5" customHeight="1" thickBot="1" x14ac:dyDescent="0.35">
      <c r="A665" s="263" t="s">
        <v>1332</v>
      </c>
      <c r="B665" s="264">
        <f>(B664/B10)/1.983</f>
        <v>208.0425552681665</v>
      </c>
      <c r="C665" s="264">
        <f>(C664/C10)/1.983</f>
        <v>179.50796052157625</v>
      </c>
      <c r="D665" s="264">
        <f>(D664/D10)/1.983</f>
        <v>239.94273908870559</v>
      </c>
      <c r="E665" s="40" t="s">
        <v>852</v>
      </c>
      <c r="F665" s="264">
        <f>(F664/F10)/1.983</f>
        <v>346.19263741805344</v>
      </c>
      <c r="G665" s="264">
        <f>(G664/G10)/1.983</f>
        <v>334.24430237665314</v>
      </c>
      <c r="H665" s="264">
        <f>(H664/H10)/1.983</f>
        <v>363.72499579761302</v>
      </c>
      <c r="I665" s="40" t="s">
        <v>852</v>
      </c>
      <c r="J665" s="264">
        <f>(J664/J10)/1.983</f>
        <v>372.26099263091112</v>
      </c>
      <c r="K665" s="264">
        <f>(K664/K10)/1.983</f>
        <v>359.91410863305839</v>
      </c>
      <c r="L665" s="264">
        <f>(L664/L10)/1.983</f>
        <v>295.44461253992267</v>
      </c>
      <c r="M665" s="40" t="s">
        <v>852</v>
      </c>
      <c r="N665" s="264">
        <f>(N664/N10)/1.983</f>
        <v>255.68948969466271</v>
      </c>
      <c r="O665" s="264">
        <f>(O664/O10)/1.983</f>
        <v>17.650025214321733</v>
      </c>
      <c r="P665" s="264">
        <f>(P664/P10)/1.983</f>
        <v>67.981064857742425</v>
      </c>
      <c r="Q665" s="40" t="s">
        <v>852</v>
      </c>
      <c r="R665" s="40" t="s">
        <v>852</v>
      </c>
    </row>
    <row r="666" spans="1:18" ht="15.75" customHeight="1" x14ac:dyDescent="0.3">
      <c r="A666" s="18"/>
      <c r="B666" s="172"/>
      <c r="C666" s="172"/>
      <c r="D666" s="172"/>
      <c r="E666" s="172"/>
      <c r="F666" s="172"/>
      <c r="G666" s="172"/>
      <c r="H666" s="172"/>
      <c r="I666" s="172"/>
      <c r="J666" s="172"/>
      <c r="K666" s="172"/>
      <c r="L666" s="172"/>
      <c r="M666" s="172"/>
      <c r="N666" s="172"/>
      <c r="O666" s="172"/>
      <c r="P666" s="172"/>
      <c r="Q666" s="172"/>
      <c r="R666" s="17"/>
    </row>
    <row r="667" spans="1:18" ht="15.75" customHeight="1" thickBot="1" x14ac:dyDescent="0.35">
      <c r="A667" s="18"/>
      <c r="B667" s="172"/>
      <c r="C667" s="172"/>
      <c r="D667" s="172"/>
      <c r="E667" s="172"/>
      <c r="F667" s="172"/>
      <c r="G667" s="172"/>
      <c r="H667" s="172"/>
      <c r="I667" s="172"/>
      <c r="J667" s="172"/>
      <c r="K667" s="172"/>
      <c r="L667" s="172"/>
      <c r="M667" s="172"/>
      <c r="N667" s="172"/>
      <c r="O667" s="172"/>
      <c r="P667" s="172"/>
      <c r="Q667" s="172"/>
      <c r="R667" s="17"/>
    </row>
    <row r="668" spans="1:18" ht="16.5" customHeight="1" thickBot="1" x14ac:dyDescent="0.35">
      <c r="A668" s="240" t="s">
        <v>1333</v>
      </c>
      <c r="B668" s="4" t="s">
        <v>2090</v>
      </c>
      <c r="C668" s="5" t="s">
        <v>2091</v>
      </c>
      <c r="D668" s="5" t="s">
        <v>2234</v>
      </c>
      <c r="E668" s="33" t="s">
        <v>1594</v>
      </c>
      <c r="F668" s="5" t="s">
        <v>2235</v>
      </c>
      <c r="G668" s="5" t="s">
        <v>2236</v>
      </c>
      <c r="H668" s="5" t="s">
        <v>2237</v>
      </c>
      <c r="I668" s="35" t="s">
        <v>1595</v>
      </c>
      <c r="J668" s="5" t="s">
        <v>1504</v>
      </c>
      <c r="K668" s="5" t="s">
        <v>1505</v>
      </c>
      <c r="L668" s="5" t="s">
        <v>1506</v>
      </c>
      <c r="M668" s="35" t="s">
        <v>1596</v>
      </c>
      <c r="N668" s="5" t="s">
        <v>1507</v>
      </c>
      <c r="O668" s="5" t="s">
        <v>1508</v>
      </c>
      <c r="P668" s="5" t="s">
        <v>1509</v>
      </c>
      <c r="Q668" s="35" t="s">
        <v>1597</v>
      </c>
      <c r="R668" s="36" t="s">
        <v>1510</v>
      </c>
    </row>
    <row r="669" spans="1:18" ht="16.5" customHeight="1" thickBot="1" x14ac:dyDescent="0.35">
      <c r="A669" s="22"/>
      <c r="B669" s="242"/>
      <c r="C669" s="242"/>
      <c r="D669" s="242"/>
      <c r="E669" s="233"/>
      <c r="F669" s="242"/>
      <c r="G669" s="242"/>
      <c r="H669" s="242"/>
      <c r="I669" s="233"/>
      <c r="J669" s="242"/>
      <c r="K669" s="242"/>
      <c r="L669" s="242"/>
      <c r="M669" s="233"/>
      <c r="N669" s="242"/>
      <c r="O669" s="242"/>
      <c r="P669" s="242"/>
      <c r="Q669" s="233"/>
      <c r="R669" s="19"/>
    </row>
    <row r="670" spans="1:18" ht="15.75" customHeight="1" x14ac:dyDescent="0.3">
      <c r="A670" s="234" t="s">
        <v>2417</v>
      </c>
      <c r="B670" s="172" t="s">
        <v>852</v>
      </c>
      <c r="C670" s="172" t="s">
        <v>852</v>
      </c>
      <c r="D670" s="172" t="s">
        <v>852</v>
      </c>
      <c r="E670" s="38" t="s">
        <v>852</v>
      </c>
      <c r="F670" s="172" t="s">
        <v>852</v>
      </c>
      <c r="G670" s="172" t="s">
        <v>852</v>
      </c>
      <c r="H670" s="172" t="s">
        <v>852</v>
      </c>
      <c r="I670" s="38" t="s">
        <v>852</v>
      </c>
      <c r="J670" s="172" t="s">
        <v>852</v>
      </c>
      <c r="K670" s="172" t="s">
        <v>852</v>
      </c>
      <c r="L670" s="172" t="s">
        <v>852</v>
      </c>
      <c r="M670" s="38" t="s">
        <v>852</v>
      </c>
      <c r="N670" s="172" t="s">
        <v>852</v>
      </c>
      <c r="O670" s="172" t="s">
        <v>852</v>
      </c>
      <c r="P670" s="172" t="s">
        <v>852</v>
      </c>
      <c r="Q670" s="38" t="s">
        <v>852</v>
      </c>
      <c r="R670" s="38" t="s">
        <v>852</v>
      </c>
    </row>
    <row r="671" spans="1:18" ht="15.75" customHeight="1" x14ac:dyDescent="0.3">
      <c r="A671" s="234" t="s">
        <v>2160</v>
      </c>
      <c r="B671" s="172"/>
      <c r="C671" s="172"/>
      <c r="D671" s="172"/>
      <c r="E671" s="38" t="s">
        <v>852</v>
      </c>
      <c r="F671" s="172"/>
      <c r="G671" s="172"/>
      <c r="H671" s="172"/>
      <c r="I671" s="38" t="s">
        <v>852</v>
      </c>
      <c r="J671" s="172"/>
      <c r="K671" s="172"/>
      <c r="L671" s="172"/>
      <c r="M671" s="38" t="s">
        <v>852</v>
      </c>
      <c r="N671" s="172"/>
      <c r="O671" s="172"/>
      <c r="P671" s="172"/>
      <c r="Q671" s="38" t="s">
        <v>852</v>
      </c>
      <c r="R671" s="38" t="s">
        <v>852</v>
      </c>
    </row>
    <row r="672" spans="1:18" ht="15.75" customHeight="1" x14ac:dyDescent="0.3">
      <c r="A672" s="539" t="s">
        <v>2747</v>
      </c>
      <c r="B672" s="10">
        <v>20</v>
      </c>
      <c r="C672" s="10">
        <v>125</v>
      </c>
      <c r="D672" s="10">
        <v>350</v>
      </c>
      <c r="E672" s="38">
        <f>SUM(B672:D672)</f>
        <v>495</v>
      </c>
      <c r="F672" s="10">
        <v>465</v>
      </c>
      <c r="G672" s="10">
        <v>351</v>
      </c>
      <c r="H672" s="10">
        <v>1375</v>
      </c>
      <c r="I672" s="38">
        <f>SUM(F672:H672)</f>
        <v>2191</v>
      </c>
      <c r="J672" s="10">
        <v>897</v>
      </c>
      <c r="K672" s="10">
        <f>965</f>
        <v>965</v>
      </c>
      <c r="L672" s="10">
        <v>454</v>
      </c>
      <c r="M672" s="38">
        <f>SUM(J672:L672)</f>
        <v>2316</v>
      </c>
      <c r="N672" s="10">
        <v>1159</v>
      </c>
      <c r="O672" s="10">
        <v>200</v>
      </c>
      <c r="P672" s="10">
        <v>213</v>
      </c>
      <c r="Q672" s="38">
        <f>SUM(N672:P672)</f>
        <v>1572</v>
      </c>
      <c r="R672" s="38">
        <f>+E672+I672+M672+Q672</f>
        <v>6574</v>
      </c>
    </row>
    <row r="673" spans="1:18" ht="15.75" customHeight="1" x14ac:dyDescent="0.3">
      <c r="A673" s="539" t="s">
        <v>2748</v>
      </c>
      <c r="B673" s="356">
        <v>364</v>
      </c>
      <c r="C673" s="356">
        <v>627</v>
      </c>
      <c r="D673" s="356">
        <v>715</v>
      </c>
      <c r="E673" s="38">
        <f>SUM(B673:D673)</f>
        <v>1706</v>
      </c>
      <c r="F673" s="356">
        <v>651</v>
      </c>
      <c r="G673" s="356">
        <v>285</v>
      </c>
      <c r="H673" s="356"/>
      <c r="I673" s="38">
        <f>SUM(F673:H673)</f>
        <v>936</v>
      </c>
      <c r="J673" s="356">
        <v>519</v>
      </c>
      <c r="K673" s="356">
        <v>845</v>
      </c>
      <c r="L673" s="10">
        <v>643</v>
      </c>
      <c r="M673" s="38">
        <f>SUM(J673:L673)</f>
        <v>2007</v>
      </c>
      <c r="N673" s="10"/>
      <c r="O673" s="10"/>
      <c r="P673" s="10"/>
      <c r="Q673" s="38">
        <f>SUM(N673:P673)</f>
        <v>0</v>
      </c>
      <c r="R673" s="38">
        <f>+E673+I673+M673+Q673</f>
        <v>4649</v>
      </c>
    </row>
    <row r="674" spans="1:18" ht="15.75" customHeight="1" x14ac:dyDescent="0.3">
      <c r="A674" s="310" t="s">
        <v>537</v>
      </c>
      <c r="B674" s="10">
        <v>11</v>
      </c>
      <c r="C674" s="10"/>
      <c r="D674" s="10">
        <v>18</v>
      </c>
      <c r="E674" s="38">
        <f>SUM(B674:D674)</f>
        <v>29</v>
      </c>
      <c r="F674" s="10">
        <v>19</v>
      </c>
      <c r="G674" s="10"/>
      <c r="H674" s="10"/>
      <c r="I674" s="38">
        <f>SUM(F674:H674)</f>
        <v>19</v>
      </c>
      <c r="J674" s="10"/>
      <c r="K674" s="10"/>
      <c r="L674" s="10"/>
      <c r="M674" s="38">
        <f>SUM(J674:L674)</f>
        <v>0</v>
      </c>
      <c r="N674" s="10"/>
      <c r="O674" s="10"/>
      <c r="P674" s="10"/>
      <c r="Q674" s="38">
        <f>SUM(N674:P674)</f>
        <v>0</v>
      </c>
      <c r="R674" s="38">
        <f>+E674+I674+M674+Q674</f>
        <v>48</v>
      </c>
    </row>
    <row r="675" spans="1:18" ht="15.75" customHeight="1" x14ac:dyDescent="0.3">
      <c r="A675" s="234" t="s">
        <v>2161</v>
      </c>
      <c r="B675" s="172"/>
      <c r="C675" s="172"/>
      <c r="D675" s="172"/>
      <c r="E675" s="38" t="s">
        <v>852</v>
      </c>
      <c r="F675" s="172"/>
      <c r="G675" s="172"/>
      <c r="H675" s="172"/>
      <c r="I675" s="38" t="s">
        <v>852</v>
      </c>
      <c r="J675" s="172"/>
      <c r="K675" s="172"/>
      <c r="L675" s="172"/>
      <c r="M675" s="38" t="s">
        <v>852</v>
      </c>
      <c r="N675" s="172"/>
      <c r="O675" s="172"/>
      <c r="P675" s="172"/>
      <c r="Q675" s="38" t="s">
        <v>852</v>
      </c>
      <c r="R675" s="38" t="s">
        <v>852</v>
      </c>
    </row>
    <row r="676" spans="1:18" ht="15.75" customHeight="1" x14ac:dyDescent="0.3">
      <c r="A676" s="234" t="s">
        <v>3245</v>
      </c>
      <c r="B676" s="172"/>
      <c r="C676" s="172"/>
      <c r="D676" s="172"/>
      <c r="E676" s="38" t="s">
        <v>852</v>
      </c>
      <c r="F676" s="172"/>
      <c r="G676" s="172"/>
      <c r="H676" s="172"/>
      <c r="I676" s="38" t="s">
        <v>852</v>
      </c>
      <c r="J676" s="172"/>
      <c r="K676" s="172"/>
      <c r="L676" s="172"/>
      <c r="M676" s="38" t="s">
        <v>852</v>
      </c>
      <c r="N676" s="172"/>
      <c r="O676" s="172"/>
      <c r="P676" s="172"/>
      <c r="Q676" s="38" t="s">
        <v>852</v>
      </c>
      <c r="R676" s="38" t="s">
        <v>852</v>
      </c>
    </row>
    <row r="677" spans="1:18" ht="15.75" customHeight="1" thickBot="1" x14ac:dyDescent="0.35">
      <c r="A677" s="234" t="s">
        <v>2164</v>
      </c>
      <c r="B677" s="172"/>
      <c r="C677" s="172"/>
      <c r="D677" s="172"/>
      <c r="E677" s="38" t="s">
        <v>852</v>
      </c>
      <c r="F677" s="172"/>
      <c r="G677" s="172"/>
      <c r="H677" s="172"/>
      <c r="I677" s="38" t="s">
        <v>852</v>
      </c>
      <c r="J677" s="172"/>
      <c r="K677" s="172"/>
      <c r="L677" s="172"/>
      <c r="M677" s="38" t="s">
        <v>852</v>
      </c>
      <c r="N677" s="172"/>
      <c r="O677" s="172"/>
      <c r="P677" s="172"/>
      <c r="Q677" s="38" t="s">
        <v>852</v>
      </c>
      <c r="R677" s="38" t="s">
        <v>852</v>
      </c>
    </row>
    <row r="678" spans="1:18" ht="16.5" customHeight="1" thickBot="1" x14ac:dyDescent="0.35">
      <c r="A678" s="276" t="s">
        <v>1218</v>
      </c>
      <c r="B678" s="45">
        <f>SUM(B670:B677)</f>
        <v>395</v>
      </c>
      <c r="C678" s="46">
        <f>SUM(C670:C677)</f>
        <v>752</v>
      </c>
      <c r="D678" s="46">
        <f>SUM(D670:D677)</f>
        <v>1083</v>
      </c>
      <c r="E678" s="37">
        <f>SUM(B678:D678)</f>
        <v>2230</v>
      </c>
      <c r="F678" s="46">
        <f>SUM(F670:F677)</f>
        <v>1135</v>
      </c>
      <c r="G678" s="46">
        <f>SUM(G670:G677)</f>
        <v>636</v>
      </c>
      <c r="H678" s="46">
        <f>SUM(H670:H677)</f>
        <v>1375</v>
      </c>
      <c r="I678" s="37">
        <f>SUM(F678:H678)</f>
        <v>3146</v>
      </c>
      <c r="J678" s="46">
        <f>SUM(J670:J677)</f>
        <v>1416</v>
      </c>
      <c r="K678" s="46">
        <f>SUM(K670:K677)</f>
        <v>1810</v>
      </c>
      <c r="L678" s="46">
        <f>SUM(L670:L677)</f>
        <v>1097</v>
      </c>
      <c r="M678" s="37">
        <f>SUM(J678:L678)</f>
        <v>4323</v>
      </c>
      <c r="N678" s="46">
        <f>SUM(N670:N677)</f>
        <v>1159</v>
      </c>
      <c r="O678" s="46">
        <f>SUM(O670:O677)</f>
        <v>200</v>
      </c>
      <c r="P678" s="46">
        <f>SUM(P670:P677)</f>
        <v>213</v>
      </c>
      <c r="Q678" s="37">
        <f>SUM(N678:P678)</f>
        <v>1572</v>
      </c>
      <c r="R678" s="37">
        <f>+E678+I678+M678+Q678</f>
        <v>11271</v>
      </c>
    </row>
    <row r="679" spans="1:18" ht="15.75" customHeight="1" x14ac:dyDescent="0.3">
      <c r="A679" s="234" t="s">
        <v>1172</v>
      </c>
      <c r="B679" s="172"/>
      <c r="C679" s="172"/>
      <c r="D679" s="172"/>
      <c r="E679" s="38" t="s">
        <v>852</v>
      </c>
      <c r="F679" s="172"/>
      <c r="G679" s="172"/>
      <c r="H679" s="172"/>
      <c r="I679" s="38" t="s">
        <v>852</v>
      </c>
      <c r="J679" s="172"/>
      <c r="K679" s="172"/>
      <c r="L679" s="172"/>
      <c r="M679" s="38" t="s">
        <v>852</v>
      </c>
      <c r="N679" s="172"/>
      <c r="O679" s="172"/>
      <c r="P679" s="172"/>
      <c r="Q679" s="38" t="s">
        <v>852</v>
      </c>
      <c r="R679" s="38" t="s">
        <v>852</v>
      </c>
    </row>
    <row r="680" spans="1:18" ht="15.75" customHeight="1" x14ac:dyDescent="0.3">
      <c r="A680" s="234" t="s">
        <v>2409</v>
      </c>
      <c r="B680" s="172"/>
      <c r="C680" s="172"/>
      <c r="D680" s="172"/>
      <c r="E680" s="38" t="s">
        <v>852</v>
      </c>
      <c r="F680" s="172"/>
      <c r="G680" s="172"/>
      <c r="H680" s="172"/>
      <c r="I680" s="38" t="s">
        <v>852</v>
      </c>
      <c r="J680" s="172"/>
      <c r="K680" s="172"/>
      <c r="L680" s="172"/>
      <c r="M680" s="38" t="s">
        <v>852</v>
      </c>
      <c r="N680" s="172"/>
      <c r="O680" s="172"/>
      <c r="P680" s="172"/>
      <c r="Q680" s="38" t="s">
        <v>852</v>
      </c>
      <c r="R680" s="38" t="s">
        <v>852</v>
      </c>
    </row>
    <row r="681" spans="1:18" ht="15.75" customHeight="1" thickBot="1" x14ac:dyDescent="0.35">
      <c r="A681" s="234" t="s">
        <v>2165</v>
      </c>
      <c r="B681" s="172"/>
      <c r="C681" s="172"/>
      <c r="D681" s="172"/>
      <c r="E681" s="38" t="s">
        <v>852</v>
      </c>
      <c r="F681" s="172"/>
      <c r="G681" s="172"/>
      <c r="H681" s="172"/>
      <c r="I681" s="38" t="s">
        <v>852</v>
      </c>
      <c r="J681" s="172"/>
      <c r="K681" s="172"/>
      <c r="L681" s="172"/>
      <c r="M681" s="38" t="s">
        <v>852</v>
      </c>
      <c r="N681" s="172"/>
      <c r="O681" s="172"/>
      <c r="P681" s="172"/>
      <c r="Q681" s="38" t="s">
        <v>852</v>
      </c>
      <c r="R681" s="38" t="s">
        <v>852</v>
      </c>
    </row>
    <row r="682" spans="1:18" ht="16.5" customHeight="1" thickBot="1" x14ac:dyDescent="0.35">
      <c r="A682" s="43" t="s">
        <v>1219</v>
      </c>
      <c r="B682" s="45">
        <f>SUM(B679:B681)</f>
        <v>0</v>
      </c>
      <c r="C682" s="46">
        <f>SUM(C679:C681)</f>
        <v>0</v>
      </c>
      <c r="D682" s="46">
        <f>SUM(D679:D681)</f>
        <v>0</v>
      </c>
      <c r="E682" s="37">
        <f>SUM(B682:D682)</f>
        <v>0</v>
      </c>
      <c r="F682" s="46">
        <f>SUM(F679:F681)</f>
        <v>0</v>
      </c>
      <c r="G682" s="46">
        <f>SUM(G679:G681)</f>
        <v>0</v>
      </c>
      <c r="H682" s="46">
        <f>SUM(H679:H681)</f>
        <v>0</v>
      </c>
      <c r="I682" s="37">
        <f>SUM(F682:H682)</f>
        <v>0</v>
      </c>
      <c r="J682" s="46">
        <f>SUM(J679:J681)</f>
        <v>0</v>
      </c>
      <c r="K682" s="46">
        <f>SUM(K679:K681)</f>
        <v>0</v>
      </c>
      <c r="L682" s="46">
        <f>SUM(L679:L681)</f>
        <v>0</v>
      </c>
      <c r="M682" s="37">
        <f>SUM(J682:L682)</f>
        <v>0</v>
      </c>
      <c r="N682" s="46">
        <f>SUM(N679:N681)</f>
        <v>0</v>
      </c>
      <c r="O682" s="46">
        <f>SUM(O679:O681)</f>
        <v>0</v>
      </c>
      <c r="P682" s="46">
        <f>SUM(P679:P681)</f>
        <v>0</v>
      </c>
      <c r="Q682" s="37">
        <f>SUM(N682:P682)</f>
        <v>0</v>
      </c>
      <c r="R682" s="37">
        <f>+E682+I682+M682+Q682</f>
        <v>0</v>
      </c>
    </row>
    <row r="683" spans="1:18" ht="15.75" customHeight="1" x14ac:dyDescent="0.3">
      <c r="A683" s="234" t="s">
        <v>2166</v>
      </c>
      <c r="B683" s="172"/>
      <c r="C683" s="172"/>
      <c r="D683" s="172"/>
      <c r="E683" s="38" t="s">
        <v>852</v>
      </c>
      <c r="F683" s="172"/>
      <c r="G683" s="172"/>
      <c r="H683" s="172"/>
      <c r="I683" s="38" t="s">
        <v>852</v>
      </c>
      <c r="J683" s="172"/>
      <c r="K683" s="172"/>
      <c r="L683" s="172"/>
      <c r="M683" s="38" t="s">
        <v>852</v>
      </c>
      <c r="N683" s="172"/>
      <c r="O683" s="172"/>
      <c r="P683" s="172"/>
      <c r="Q683" s="38" t="s">
        <v>852</v>
      </c>
      <c r="R683" s="38" t="s">
        <v>852</v>
      </c>
    </row>
    <row r="684" spans="1:18" ht="15.75" customHeight="1" x14ac:dyDescent="0.3">
      <c r="A684" s="234" t="s">
        <v>1245</v>
      </c>
      <c r="B684" s="172"/>
      <c r="C684" s="172"/>
      <c r="D684" s="172"/>
      <c r="E684" s="38" t="s">
        <v>852</v>
      </c>
      <c r="F684" s="172"/>
      <c r="G684" s="172"/>
      <c r="H684" s="172"/>
      <c r="I684" s="38" t="s">
        <v>852</v>
      </c>
      <c r="J684" s="172"/>
      <c r="K684" s="172"/>
      <c r="L684" s="172"/>
      <c r="M684" s="38" t="s">
        <v>852</v>
      </c>
      <c r="N684" s="172"/>
      <c r="O684" s="172"/>
      <c r="P684" s="172"/>
      <c r="Q684" s="38" t="s">
        <v>852</v>
      </c>
      <c r="R684" s="38" t="s">
        <v>852</v>
      </c>
    </row>
    <row r="685" spans="1:18" ht="15.75" customHeight="1" thickBot="1" x14ac:dyDescent="0.35">
      <c r="A685" s="234" t="s">
        <v>1711</v>
      </c>
      <c r="B685" s="172"/>
      <c r="C685" s="172"/>
      <c r="D685" s="172"/>
      <c r="E685" s="38" t="s">
        <v>852</v>
      </c>
      <c r="F685" s="172"/>
      <c r="G685" s="172"/>
      <c r="H685" s="172"/>
      <c r="I685" s="38" t="s">
        <v>852</v>
      </c>
      <c r="J685" s="172"/>
      <c r="K685" s="172"/>
      <c r="L685" s="172"/>
      <c r="M685" s="38" t="s">
        <v>852</v>
      </c>
      <c r="N685" s="172"/>
      <c r="O685" s="172"/>
      <c r="P685" s="172"/>
      <c r="Q685" s="38" t="s">
        <v>852</v>
      </c>
      <c r="R685" s="38" t="s">
        <v>852</v>
      </c>
    </row>
    <row r="686" spans="1:18" ht="16.5" customHeight="1" thickBot="1" x14ac:dyDescent="0.35">
      <c r="A686" s="277" t="s">
        <v>1220</v>
      </c>
      <c r="B686" s="45">
        <f>SUM(B683:B685)</f>
        <v>0</v>
      </c>
      <c r="C686" s="46">
        <f>SUM(C683:C685)</f>
        <v>0</v>
      </c>
      <c r="D686" s="46">
        <f>SUM(D683:D685)</f>
        <v>0</v>
      </c>
      <c r="E686" s="37">
        <f>SUM(B686:D686)</f>
        <v>0</v>
      </c>
      <c r="F686" s="46">
        <f>SUM(F683:F685)</f>
        <v>0</v>
      </c>
      <c r="G686" s="46">
        <f>SUM(G683:G685)</f>
        <v>0</v>
      </c>
      <c r="H686" s="46">
        <f>SUM(H683:H685)</f>
        <v>0</v>
      </c>
      <c r="I686" s="37">
        <f>SUM(F686:H686)</f>
        <v>0</v>
      </c>
      <c r="J686" s="46">
        <f>SUM(J683:J685)</f>
        <v>0</v>
      </c>
      <c r="K686" s="46">
        <f>SUM(K683:K685)</f>
        <v>0</v>
      </c>
      <c r="L686" s="46">
        <f>SUM(L683:L685)</f>
        <v>0</v>
      </c>
      <c r="M686" s="37">
        <f>SUM(J686:L686)</f>
        <v>0</v>
      </c>
      <c r="N686" s="46">
        <f>SUM(N683:N685)</f>
        <v>0</v>
      </c>
      <c r="O686" s="46">
        <f>SUM(O683:O685)</f>
        <v>0</v>
      </c>
      <c r="P686" s="46">
        <f>SUM(P683:P685)</f>
        <v>0</v>
      </c>
      <c r="Q686" s="37">
        <f>SUM(N686:P686)</f>
        <v>0</v>
      </c>
      <c r="R686" s="37">
        <f>+E686+I686+M686+Q686</f>
        <v>0</v>
      </c>
    </row>
    <row r="687" spans="1:18" ht="15.75" customHeight="1" x14ac:dyDescent="0.3">
      <c r="A687" s="234" t="s">
        <v>1712</v>
      </c>
      <c r="B687" s="172"/>
      <c r="C687" s="172"/>
      <c r="D687" s="172"/>
      <c r="E687" s="38" t="s">
        <v>852</v>
      </c>
      <c r="F687" s="172"/>
      <c r="G687" s="172"/>
      <c r="H687" s="172"/>
      <c r="I687" s="38" t="s">
        <v>852</v>
      </c>
      <c r="J687" s="172"/>
      <c r="K687" s="172"/>
      <c r="L687" s="172"/>
      <c r="M687" s="38" t="s">
        <v>852</v>
      </c>
      <c r="N687" s="172"/>
      <c r="O687" s="172"/>
      <c r="P687" s="172"/>
      <c r="Q687" s="38" t="s">
        <v>852</v>
      </c>
      <c r="R687" s="38" t="s">
        <v>852</v>
      </c>
    </row>
    <row r="688" spans="1:18" ht="15.75" customHeight="1" x14ac:dyDescent="0.3">
      <c r="A688" s="234" t="s">
        <v>1021</v>
      </c>
      <c r="B688" s="172"/>
      <c r="C688" s="172"/>
      <c r="D688" s="172"/>
      <c r="E688" s="38" t="s">
        <v>852</v>
      </c>
      <c r="F688" s="172"/>
      <c r="G688" s="172"/>
      <c r="H688" s="172"/>
      <c r="I688" s="38" t="s">
        <v>852</v>
      </c>
      <c r="J688" s="172"/>
      <c r="K688" s="172"/>
      <c r="L688" s="172"/>
      <c r="M688" s="38" t="s">
        <v>852</v>
      </c>
      <c r="N688" s="172"/>
      <c r="O688" s="172"/>
      <c r="P688" s="172"/>
      <c r="Q688" s="38" t="s">
        <v>852</v>
      </c>
      <c r="R688" s="38" t="s">
        <v>852</v>
      </c>
    </row>
    <row r="689" spans="1:18" ht="15.75" customHeight="1" x14ac:dyDescent="0.3">
      <c r="A689" s="234" t="s">
        <v>557</v>
      </c>
      <c r="B689" s="172"/>
      <c r="C689" s="172"/>
      <c r="D689" s="172"/>
      <c r="E689" s="38" t="s">
        <v>852</v>
      </c>
      <c r="F689" s="172"/>
      <c r="G689" s="172"/>
      <c r="H689" s="172"/>
      <c r="I689" s="38" t="s">
        <v>852</v>
      </c>
      <c r="J689" s="172"/>
      <c r="K689" s="172"/>
      <c r="L689" s="172"/>
      <c r="M689" s="38" t="s">
        <v>852</v>
      </c>
      <c r="N689" s="172"/>
      <c r="O689" s="172"/>
      <c r="P689" s="172"/>
      <c r="Q689" s="38" t="s">
        <v>852</v>
      </c>
      <c r="R689" s="38" t="s">
        <v>852</v>
      </c>
    </row>
    <row r="690" spans="1:18" ht="15.75" customHeight="1" x14ac:dyDescent="0.3">
      <c r="A690" s="539" t="s">
        <v>2584</v>
      </c>
      <c r="B690" s="172"/>
      <c r="C690" s="172"/>
      <c r="D690" s="172"/>
      <c r="E690" s="38">
        <f>SUM(B690:D690)</f>
        <v>0</v>
      </c>
      <c r="F690" s="172"/>
      <c r="G690" s="172"/>
      <c r="H690" s="172"/>
      <c r="I690" s="38">
        <f>SUM(F690:H690)</f>
        <v>0</v>
      </c>
      <c r="J690" s="172"/>
      <c r="K690" s="172"/>
      <c r="L690" s="172"/>
      <c r="M690" s="38">
        <f>SUM(J690:L690)</f>
        <v>0</v>
      </c>
      <c r="N690" s="172"/>
      <c r="O690" s="172"/>
      <c r="P690" s="172"/>
      <c r="Q690" s="38">
        <f>SUM(N690:P690)</f>
        <v>0</v>
      </c>
      <c r="R690" s="38">
        <f>+E690+I690+M690+Q690</f>
        <v>0</v>
      </c>
    </row>
    <row r="691" spans="1:18" ht="15.75" customHeight="1" x14ac:dyDescent="0.3">
      <c r="A691" s="234" t="s">
        <v>1022</v>
      </c>
      <c r="B691" s="172"/>
      <c r="C691" s="172"/>
      <c r="D691" s="172"/>
      <c r="E691" s="38" t="s">
        <v>852</v>
      </c>
      <c r="F691" s="172"/>
      <c r="G691" s="172"/>
      <c r="H691" s="172"/>
      <c r="I691" s="38" t="s">
        <v>852</v>
      </c>
      <c r="J691" s="172"/>
      <c r="K691" s="172"/>
      <c r="L691" s="172"/>
      <c r="M691" s="38" t="s">
        <v>852</v>
      </c>
      <c r="N691" s="172"/>
      <c r="O691" s="172"/>
      <c r="P691" s="172"/>
      <c r="Q691" s="38" t="s">
        <v>852</v>
      </c>
      <c r="R691" s="38" t="s">
        <v>852</v>
      </c>
    </row>
    <row r="692" spans="1:18" ht="15.75" customHeight="1" thickBot="1" x14ac:dyDescent="0.35">
      <c r="A692" s="234" t="s">
        <v>559</v>
      </c>
      <c r="B692" s="172"/>
      <c r="C692" s="172"/>
      <c r="D692" s="172"/>
      <c r="E692" s="38" t="s">
        <v>852</v>
      </c>
      <c r="F692" s="172"/>
      <c r="G692" s="172"/>
      <c r="H692" s="172"/>
      <c r="I692" s="38" t="s">
        <v>852</v>
      </c>
      <c r="J692" s="172"/>
      <c r="K692" s="172"/>
      <c r="L692" s="172"/>
      <c r="M692" s="38" t="s">
        <v>852</v>
      </c>
      <c r="N692" s="172"/>
      <c r="O692" s="172"/>
      <c r="P692" s="172"/>
      <c r="Q692" s="38" t="s">
        <v>852</v>
      </c>
      <c r="R692" s="38" t="s">
        <v>852</v>
      </c>
    </row>
    <row r="693" spans="1:18" ht="16.5" customHeight="1" thickBot="1" x14ac:dyDescent="0.35">
      <c r="A693" s="43" t="s">
        <v>1019</v>
      </c>
      <c r="B693" s="42">
        <f>SUM(B691:B692)</f>
        <v>0</v>
      </c>
      <c r="C693" s="42">
        <f>SUM(C691:C692)</f>
        <v>0</v>
      </c>
      <c r="D693" s="42">
        <f>SUM(D691:D692)</f>
        <v>0</v>
      </c>
      <c r="E693" s="39">
        <f>SUM(B693:D693)</f>
        <v>0</v>
      </c>
      <c r="F693" s="42">
        <f>SUM(F691:F692)</f>
        <v>0</v>
      </c>
      <c r="G693" s="42">
        <f>SUM(G691:G692)</f>
        <v>0</v>
      </c>
      <c r="H693" s="42">
        <f>SUM(H691:H692)</f>
        <v>0</v>
      </c>
      <c r="I693" s="39">
        <f>SUM(F693:H693)</f>
        <v>0</v>
      </c>
      <c r="J693" s="42">
        <f>SUM(J691:J692)</f>
        <v>0</v>
      </c>
      <c r="K693" s="42">
        <f>SUM(K691:K692)</f>
        <v>0</v>
      </c>
      <c r="L693" s="42">
        <f>SUM(L691:L692)</f>
        <v>0</v>
      </c>
      <c r="M693" s="39">
        <f>SUM(J693:L693)</f>
        <v>0</v>
      </c>
      <c r="N693" s="42">
        <f>SUM(N691:N692)</f>
        <v>0</v>
      </c>
      <c r="O693" s="42">
        <f>SUM(O691:O692)</f>
        <v>0</v>
      </c>
      <c r="P693" s="42">
        <f>SUM(P691:P692)</f>
        <v>0</v>
      </c>
      <c r="Q693" s="39">
        <f>SUM(N693:P693)</f>
        <v>0</v>
      </c>
      <c r="R693" s="37">
        <f>+E693+I693+M693+Q693</f>
        <v>0</v>
      </c>
    </row>
    <row r="694" spans="1:18" ht="16.5" customHeight="1" thickBot="1" x14ac:dyDescent="0.35">
      <c r="A694" s="277" t="s">
        <v>1221</v>
      </c>
      <c r="B694" s="45">
        <f>SUM(B687:B692)</f>
        <v>0</v>
      </c>
      <c r="C694" s="46">
        <f>SUM(C687:C692)</f>
        <v>0</v>
      </c>
      <c r="D694" s="58">
        <f>SUM(D687:D692)</f>
        <v>0</v>
      </c>
      <c r="E694" s="39">
        <f>SUM(B694:D694)</f>
        <v>0</v>
      </c>
      <c r="F694" s="46">
        <f>SUM(F687:F692)</f>
        <v>0</v>
      </c>
      <c r="G694" s="46">
        <f>SUM(G687:G692)</f>
        <v>0</v>
      </c>
      <c r="H694" s="46">
        <f>SUM(H687:H692)</f>
        <v>0</v>
      </c>
      <c r="I694" s="39">
        <f>SUM(F694:H694)</f>
        <v>0</v>
      </c>
      <c r="J694" s="46">
        <f>SUM(J687:J692)</f>
        <v>0</v>
      </c>
      <c r="K694" s="46">
        <f>SUM(K687:K692)</f>
        <v>0</v>
      </c>
      <c r="L694" s="46">
        <f>SUM(L687:L692)</f>
        <v>0</v>
      </c>
      <c r="M694" s="39">
        <f>SUM(J694:L694)</f>
        <v>0</v>
      </c>
      <c r="N694" s="46">
        <f>SUM(N687:N692)</f>
        <v>0</v>
      </c>
      <c r="O694" s="46">
        <f>SUM(O687:O692)</f>
        <v>0</v>
      </c>
      <c r="P694" s="46">
        <f>SUM(P687:P692)</f>
        <v>0</v>
      </c>
      <c r="Q694" s="39">
        <f>SUM(N694:P694)</f>
        <v>0</v>
      </c>
      <c r="R694" s="37">
        <f>+E694+I694+M694+Q694</f>
        <v>0</v>
      </c>
    </row>
    <row r="695" spans="1:18" ht="16.5" customHeight="1" thickBot="1" x14ac:dyDescent="0.35">
      <c r="A695" s="43" t="s">
        <v>1222</v>
      </c>
      <c r="B695" s="47">
        <f>+B678+B682+B686+B694</f>
        <v>395</v>
      </c>
      <c r="C695" s="42">
        <f>+C678+C682+C686+C694</f>
        <v>752</v>
      </c>
      <c r="D695" s="42">
        <f>+D678+D682+D686+D694</f>
        <v>1083</v>
      </c>
      <c r="E695" s="37">
        <f>SUM(B695:D695)</f>
        <v>2230</v>
      </c>
      <c r="F695" s="42">
        <f>+F678+F682+F686+F694</f>
        <v>1135</v>
      </c>
      <c r="G695" s="42">
        <f>+G678+G682+G686+G694</f>
        <v>636</v>
      </c>
      <c r="H695" s="42">
        <f>+H678+H682+H686+H694</f>
        <v>1375</v>
      </c>
      <c r="I695" s="37">
        <f>SUM(F695:H695)</f>
        <v>3146</v>
      </c>
      <c r="J695" s="42">
        <f>+J678+J682+J686+J694</f>
        <v>1416</v>
      </c>
      <c r="K695" s="42">
        <f>+K678+K682+K686+K694</f>
        <v>1810</v>
      </c>
      <c r="L695" s="42">
        <f>+L678+L682+L686+L694</f>
        <v>1097</v>
      </c>
      <c r="M695" s="37">
        <f>SUM(J695:L695)</f>
        <v>4323</v>
      </c>
      <c r="N695" s="42">
        <f>+N678+N682+N686+N694</f>
        <v>1159</v>
      </c>
      <c r="O695" s="42">
        <f>+O678+O682+O686+O694</f>
        <v>200</v>
      </c>
      <c r="P695" s="42">
        <f>+P678+P682+P686+P694</f>
        <v>213</v>
      </c>
      <c r="Q695" s="37">
        <f>SUM(N695:P695)</f>
        <v>1572</v>
      </c>
      <c r="R695" s="40">
        <f>+E695+I695+M695+Q695</f>
        <v>11271</v>
      </c>
    </row>
    <row r="696" spans="1:18" ht="16.5" customHeight="1" thickBot="1" x14ac:dyDescent="0.35">
      <c r="A696" s="244" t="s">
        <v>853</v>
      </c>
      <c r="B696" s="238">
        <v>10</v>
      </c>
      <c r="C696" s="238">
        <v>11</v>
      </c>
      <c r="D696" s="238">
        <v>14</v>
      </c>
      <c r="E696" s="38">
        <f>SUM(B696:D696)</f>
        <v>35</v>
      </c>
      <c r="F696" s="238">
        <v>18</v>
      </c>
      <c r="G696" s="238">
        <v>21</v>
      </c>
      <c r="H696" s="238">
        <v>22</v>
      </c>
      <c r="I696" s="38">
        <f>SUM(F696:H696)</f>
        <v>61</v>
      </c>
      <c r="J696" s="238">
        <v>19</v>
      </c>
      <c r="K696" s="238">
        <v>17</v>
      </c>
      <c r="L696" s="238">
        <v>17</v>
      </c>
      <c r="M696" s="38">
        <f>SUM(J696:L696)</f>
        <v>53</v>
      </c>
      <c r="N696" s="238">
        <v>14</v>
      </c>
      <c r="O696" s="238">
        <v>11</v>
      </c>
      <c r="P696" s="238">
        <v>9</v>
      </c>
      <c r="Q696" s="38">
        <f>SUM(N696:P696)</f>
        <v>34</v>
      </c>
      <c r="R696" s="38">
        <f>+E696+I696+M696+Q696</f>
        <v>183</v>
      </c>
    </row>
    <row r="697" spans="1:18" ht="16.5" customHeight="1" thickBot="1" x14ac:dyDescent="0.35">
      <c r="A697" s="22"/>
      <c r="B697" s="242"/>
      <c r="C697" s="242"/>
      <c r="D697" s="242"/>
      <c r="E697" s="233"/>
      <c r="F697" s="242"/>
      <c r="G697" s="242"/>
      <c r="H697" s="242"/>
      <c r="I697" s="233"/>
      <c r="J697" s="242"/>
      <c r="K697" s="242"/>
      <c r="L697" s="242"/>
      <c r="M697" s="280"/>
      <c r="N697" s="242"/>
      <c r="O697" s="242"/>
      <c r="P697" s="242"/>
      <c r="Q697" s="280"/>
      <c r="R697" s="14"/>
    </row>
    <row r="698" spans="1:18" ht="15.75" customHeight="1" x14ac:dyDescent="0.3">
      <c r="A698" s="234" t="s">
        <v>120</v>
      </c>
      <c r="B698" s="172">
        <f>SUM(B695:B696)</f>
        <v>405</v>
      </c>
      <c r="C698" s="172">
        <f>SUM(C695:C696)</f>
        <v>763</v>
      </c>
      <c r="D698" s="172">
        <f>SUM(D695:D696)</f>
        <v>1097</v>
      </c>
      <c r="E698" s="38">
        <f>SUM(B698:D698)</f>
        <v>2265</v>
      </c>
      <c r="F698" s="172">
        <f>SUM(F695:F696)</f>
        <v>1153</v>
      </c>
      <c r="G698" s="172">
        <f>SUM(G695:G696)</f>
        <v>657</v>
      </c>
      <c r="H698" s="172">
        <f>SUM(H695:H696)</f>
        <v>1397</v>
      </c>
      <c r="I698" s="39">
        <f>SUM(F698:H698)</f>
        <v>3207</v>
      </c>
      <c r="J698" s="172">
        <f>SUM(J695:J696)</f>
        <v>1435</v>
      </c>
      <c r="K698" s="172">
        <f>SUM(K695:K696)</f>
        <v>1827</v>
      </c>
      <c r="L698" s="172">
        <f>SUM(L695:L696)</f>
        <v>1114</v>
      </c>
      <c r="M698" s="39">
        <f>SUM(J698:L698)</f>
        <v>4376</v>
      </c>
      <c r="N698" s="172">
        <f>SUM(N695:N696)</f>
        <v>1173</v>
      </c>
      <c r="O698" s="172">
        <f>SUM(O695:O696)</f>
        <v>211</v>
      </c>
      <c r="P698" s="172">
        <f>SUM(P695:P696)</f>
        <v>222</v>
      </c>
      <c r="Q698" s="39">
        <f>SUM(N698:P698)</f>
        <v>1606</v>
      </c>
      <c r="R698" s="39">
        <f>+E698+I698+M698+Q698</f>
        <v>11454</v>
      </c>
    </row>
    <row r="699" spans="1:18" ht="15.75" customHeight="1" x14ac:dyDescent="0.3">
      <c r="A699" s="234" t="s">
        <v>1897</v>
      </c>
      <c r="B699" s="172">
        <f>(B698/B10)/1.983</f>
        <v>6.5882582597237809</v>
      </c>
      <c r="C699" s="172">
        <f>(C698/C10)/1.983</f>
        <v>13.741805345436207</v>
      </c>
      <c r="D699" s="172">
        <f>(D698/D10)/1.983</f>
        <v>17.8452328664617</v>
      </c>
      <c r="E699" s="38" t="s">
        <v>852</v>
      </c>
      <c r="F699" s="172">
        <f>(F698/F10)/1.983</f>
        <v>19.38140864010758</v>
      </c>
      <c r="G699" s="172">
        <f>(G698/G10)/1.983</f>
        <v>10.687618954663023</v>
      </c>
      <c r="H699" s="172">
        <f>(H698/H10)/1.983</f>
        <v>23.48293830895949</v>
      </c>
      <c r="I699" s="38" t="s">
        <v>852</v>
      </c>
      <c r="J699" s="172">
        <f>(J698/J10)/1.983</f>
        <v>23.343581735070678</v>
      </c>
      <c r="K699" s="172">
        <f>(K698/K10)/1.983</f>
        <v>29.720365038309502</v>
      </c>
      <c r="L699" s="172">
        <f>(L698/L10)/1.983</f>
        <v>18.725836275004202</v>
      </c>
      <c r="M699" s="38" t="s">
        <v>852</v>
      </c>
      <c r="N699" s="172">
        <f>(N698/N10)/1.983</f>
        <v>19.081547996681469</v>
      </c>
      <c r="O699" s="172">
        <f>(O698/O10)/1.983</f>
        <v>3.5468145906875104</v>
      </c>
      <c r="P699" s="172">
        <f>(P698/P10)/1.983</f>
        <v>3.6113415645893316</v>
      </c>
      <c r="Q699" s="38" t="s">
        <v>852</v>
      </c>
      <c r="R699" s="38" t="s">
        <v>852</v>
      </c>
    </row>
    <row r="700" spans="1:18" ht="15.75" customHeight="1" x14ac:dyDescent="0.3">
      <c r="A700" s="234" t="s">
        <v>1334</v>
      </c>
      <c r="B700" s="172">
        <f>B698+B753</f>
        <v>12769</v>
      </c>
      <c r="C700" s="172">
        <f>C698+C753</f>
        <v>9945</v>
      </c>
      <c r="D700" s="172">
        <f>D698+D753</f>
        <v>14722</v>
      </c>
      <c r="E700" s="38">
        <f>SUM(B700:D700)</f>
        <v>37436</v>
      </c>
      <c r="F700" s="172">
        <f>F698+F753</f>
        <v>20558</v>
      </c>
      <c r="G700" s="172">
        <f>G698+G753</f>
        <v>20505</v>
      </c>
      <c r="H700" s="172">
        <f>H698+H753</f>
        <v>21594</v>
      </c>
      <c r="I700" s="38">
        <f>SUM(F700:H700)</f>
        <v>62657</v>
      </c>
      <c r="J700" s="172">
        <f>J698+J753</f>
        <v>22845</v>
      </c>
      <c r="K700" s="172">
        <f>K698+K753</f>
        <v>22089</v>
      </c>
      <c r="L700" s="172">
        <f>L698+L753</f>
        <v>17542</v>
      </c>
      <c r="M700" s="38">
        <f>SUM(J700:L700)</f>
        <v>62476</v>
      </c>
      <c r="N700" s="172">
        <f>N698+N753</f>
        <v>15689</v>
      </c>
      <c r="O700" s="172">
        <f>O698+O753</f>
        <v>1027</v>
      </c>
      <c r="P700" s="172">
        <f>P698+P753</f>
        <v>4160</v>
      </c>
      <c r="Q700" s="38">
        <f>SUM(N700:P700)</f>
        <v>20876</v>
      </c>
      <c r="R700" s="38">
        <f>+E700+I700+M700+Q700</f>
        <v>183445</v>
      </c>
    </row>
    <row r="701" spans="1:18" ht="16.5" customHeight="1" thickBot="1" x14ac:dyDescent="0.35">
      <c r="A701" s="237" t="s">
        <v>1335</v>
      </c>
      <c r="B701" s="238">
        <f>(B700/B10)/1.983</f>
        <v>207.71720918126655</v>
      </c>
      <c r="C701" s="238">
        <f>(C700/C10)/1.983</f>
        <v>179.11173546574454</v>
      </c>
      <c r="D701" s="238">
        <f>(D700/D10)/1.983</f>
        <v>239.48725456704568</v>
      </c>
      <c r="E701" s="40" t="s">
        <v>852</v>
      </c>
      <c r="F701" s="238">
        <f>(F700/F10)/1.983</f>
        <v>345.5706841485964</v>
      </c>
      <c r="G701" s="238">
        <f>(G700/G10)/1.983</f>
        <v>333.5610755941633</v>
      </c>
      <c r="H701" s="238">
        <f>(H700/H10)/1.983</f>
        <v>362.98537569339379</v>
      </c>
      <c r="I701" s="40" t="s">
        <v>852</v>
      </c>
      <c r="J701" s="238">
        <f>(J700/J10)/1.983</f>
        <v>371.62656776145622</v>
      </c>
      <c r="K701" s="238">
        <f>(K700/K10)/1.983</f>
        <v>359.32848567663848</v>
      </c>
      <c r="L701" s="238">
        <f>(L700/L10)/1.983</f>
        <v>294.87308791393508</v>
      </c>
      <c r="M701" s="40" t="s">
        <v>852</v>
      </c>
      <c r="N701" s="238">
        <f>(N700/N10)/1.983</f>
        <v>255.21773786865779</v>
      </c>
      <c r="O701" s="238">
        <f>(O700/O10)/1.983</f>
        <v>17.263405614388972</v>
      </c>
      <c r="P701" s="238">
        <f>(P700/P10)/1.983</f>
        <v>67.671986075187476</v>
      </c>
      <c r="Q701" s="40" t="s">
        <v>852</v>
      </c>
      <c r="R701" s="40" t="s">
        <v>852</v>
      </c>
    </row>
    <row r="702" spans="1:18" ht="15.75" customHeight="1" x14ac:dyDescent="0.3">
      <c r="A702" s="17"/>
      <c r="B702" s="172"/>
      <c r="C702" s="172"/>
      <c r="D702" s="172"/>
      <c r="E702" s="172"/>
      <c r="F702" s="172"/>
      <c r="G702" s="172"/>
      <c r="H702" s="172"/>
      <c r="I702" s="172"/>
      <c r="J702" s="172"/>
      <c r="K702" s="172"/>
      <c r="L702" s="172"/>
      <c r="M702" s="172"/>
      <c r="N702" s="172"/>
      <c r="O702" s="172"/>
      <c r="P702" s="172"/>
      <c r="Q702" s="172"/>
      <c r="R702" s="17"/>
    </row>
    <row r="703" spans="1:18" ht="16.5" customHeight="1" thickBot="1" x14ac:dyDescent="0.35">
      <c r="A703" s="24"/>
      <c r="B703" s="238"/>
      <c r="C703" s="238"/>
      <c r="D703" s="238"/>
      <c r="E703" s="238"/>
      <c r="F703" s="238"/>
      <c r="G703" s="238"/>
      <c r="H703" s="238"/>
      <c r="I703" s="238"/>
      <c r="J703" s="238"/>
      <c r="K703" s="238"/>
      <c r="L703" s="238"/>
      <c r="M703" s="238"/>
      <c r="N703" s="238"/>
      <c r="O703" s="238"/>
      <c r="P703" s="238"/>
      <c r="Q703" s="238"/>
      <c r="R703" s="24"/>
    </row>
    <row r="704" spans="1:18" ht="15.75" customHeight="1" thickBot="1" x14ac:dyDescent="0.35">
      <c r="A704" s="274" t="s">
        <v>1772</v>
      </c>
      <c r="B704" s="25" t="s">
        <v>2090</v>
      </c>
      <c r="C704" s="26" t="s">
        <v>2091</v>
      </c>
      <c r="D704" s="26" t="s">
        <v>2234</v>
      </c>
      <c r="E704" s="33" t="s">
        <v>1594</v>
      </c>
      <c r="F704" s="26" t="s">
        <v>2235</v>
      </c>
      <c r="G704" s="26" t="s">
        <v>2236</v>
      </c>
      <c r="H704" s="26" t="s">
        <v>2237</v>
      </c>
      <c r="I704" s="33" t="s">
        <v>1595</v>
      </c>
      <c r="J704" s="26" t="s">
        <v>1504</v>
      </c>
      <c r="K704" s="26" t="s">
        <v>1505</v>
      </c>
      <c r="L704" s="26" t="s">
        <v>1506</v>
      </c>
      <c r="M704" s="33" t="s">
        <v>1596</v>
      </c>
      <c r="N704" s="26" t="s">
        <v>1507</v>
      </c>
      <c r="O704" s="26" t="s">
        <v>1508</v>
      </c>
      <c r="P704" s="26" t="s">
        <v>1509</v>
      </c>
      <c r="Q704" s="33" t="s">
        <v>1597</v>
      </c>
      <c r="R704" s="34" t="s">
        <v>1510</v>
      </c>
    </row>
    <row r="705" spans="1:18" ht="16.5" customHeight="1" thickBot="1" x14ac:dyDescent="0.35">
      <c r="A705" s="281"/>
      <c r="B705" s="232"/>
      <c r="C705" s="232"/>
      <c r="D705" s="232"/>
      <c r="E705" s="233"/>
      <c r="F705" s="232"/>
      <c r="G705" s="232"/>
      <c r="H705" s="232"/>
      <c r="I705" s="233"/>
      <c r="J705" s="232"/>
      <c r="K705" s="232"/>
      <c r="L705" s="232"/>
      <c r="M705" s="233"/>
      <c r="N705" s="232"/>
      <c r="O705" s="232"/>
      <c r="P705" s="232"/>
      <c r="Q705" s="233"/>
      <c r="R705" s="75"/>
    </row>
    <row r="706" spans="1:18" ht="15.75" customHeight="1" x14ac:dyDescent="0.3">
      <c r="A706" s="234" t="s">
        <v>2417</v>
      </c>
      <c r="B706" s="10" t="s">
        <v>852</v>
      </c>
      <c r="C706" s="10" t="s">
        <v>852</v>
      </c>
      <c r="D706" s="10" t="s">
        <v>852</v>
      </c>
      <c r="E706" s="38" t="s">
        <v>852</v>
      </c>
      <c r="F706" s="10" t="s">
        <v>852</v>
      </c>
      <c r="G706" s="10" t="s">
        <v>852</v>
      </c>
      <c r="H706" s="10" t="s">
        <v>852</v>
      </c>
      <c r="I706" s="38" t="s">
        <v>852</v>
      </c>
      <c r="J706" s="10" t="s">
        <v>852</v>
      </c>
      <c r="K706" s="10" t="s">
        <v>852</v>
      </c>
      <c r="L706" s="10" t="s">
        <v>852</v>
      </c>
      <c r="M706" s="38" t="s">
        <v>852</v>
      </c>
      <c r="N706" s="10" t="s">
        <v>852</v>
      </c>
      <c r="O706" s="10" t="s">
        <v>852</v>
      </c>
      <c r="P706" s="10" t="s">
        <v>852</v>
      </c>
      <c r="Q706" s="38" t="s">
        <v>852</v>
      </c>
      <c r="R706" s="38" t="s">
        <v>852</v>
      </c>
    </row>
    <row r="707" spans="1:18" ht="15.75" customHeight="1" x14ac:dyDescent="0.3">
      <c r="A707" s="234" t="s">
        <v>2160</v>
      </c>
      <c r="B707" s="10"/>
      <c r="C707" s="10"/>
      <c r="D707" s="10"/>
      <c r="E707" s="38" t="s">
        <v>852</v>
      </c>
      <c r="F707" s="10"/>
      <c r="G707" s="10"/>
      <c r="H707" s="10"/>
      <c r="I707" s="38" t="s">
        <v>852</v>
      </c>
      <c r="J707" s="10"/>
      <c r="K707" s="10"/>
      <c r="L707" s="10"/>
      <c r="M707" s="38" t="s">
        <v>852</v>
      </c>
      <c r="N707" s="10"/>
      <c r="O707" s="10"/>
      <c r="P707" s="10"/>
      <c r="Q707" s="38" t="s">
        <v>852</v>
      </c>
      <c r="R707" s="38" t="s">
        <v>852</v>
      </c>
    </row>
    <row r="708" spans="1:18" ht="15.75" customHeight="1" x14ac:dyDescent="0.3">
      <c r="A708" s="266" t="s">
        <v>2171</v>
      </c>
      <c r="B708" s="10">
        <v>4325</v>
      </c>
      <c r="C708" s="10"/>
      <c r="D708" s="10">
        <v>3185</v>
      </c>
      <c r="E708" s="38">
        <f t="shared" ref="E708:E709" si="282">SUM(B708:D708)</f>
        <v>7510</v>
      </c>
      <c r="F708" s="10">
        <v>6375</v>
      </c>
      <c r="G708" s="10">
        <v>7232</v>
      </c>
      <c r="H708" s="10">
        <v>7511</v>
      </c>
      <c r="I708" s="38">
        <f t="shared" ref="I708:I709" si="283">SUM(F708:H708)</f>
        <v>21118</v>
      </c>
      <c r="J708" s="10">
        <v>7625</v>
      </c>
      <c r="K708" s="10">
        <v>7604</v>
      </c>
      <c r="L708" s="10">
        <v>5011</v>
      </c>
      <c r="M708" s="38">
        <f t="shared" ref="M708:M709" si="284">SUM(J708:L708)</f>
        <v>20240</v>
      </c>
      <c r="N708" s="10">
        <v>3220</v>
      </c>
      <c r="O708" s="10"/>
      <c r="P708" s="10">
        <v>1197</v>
      </c>
      <c r="Q708" s="38">
        <f t="shared" ref="Q708:Q714" si="285">SUM(N708:P708)</f>
        <v>4417</v>
      </c>
      <c r="R708" s="38">
        <f>+E708+I708+M708+Q708</f>
        <v>53285</v>
      </c>
    </row>
    <row r="709" spans="1:18" ht="15.75" customHeight="1" x14ac:dyDescent="0.3">
      <c r="A709" s="266" t="s">
        <v>2146</v>
      </c>
      <c r="B709" s="10">
        <v>2432</v>
      </c>
      <c r="C709" s="10">
        <v>2289</v>
      </c>
      <c r="D709" s="10">
        <v>2989</v>
      </c>
      <c r="E709" s="38">
        <f t="shared" si="282"/>
        <v>7710</v>
      </c>
      <c r="F709" s="10">
        <v>3585</v>
      </c>
      <c r="G709" s="10">
        <v>3903</v>
      </c>
      <c r="H709" s="10">
        <v>6874</v>
      </c>
      <c r="I709" s="38">
        <f t="shared" si="283"/>
        <v>14362</v>
      </c>
      <c r="J709" s="10">
        <v>7791</v>
      </c>
      <c r="K709" s="10">
        <v>2581</v>
      </c>
      <c r="L709" s="10">
        <v>113</v>
      </c>
      <c r="M709" s="38">
        <f t="shared" si="284"/>
        <v>10485</v>
      </c>
      <c r="N709" s="10"/>
      <c r="O709" s="10"/>
      <c r="P709" s="10"/>
      <c r="Q709" s="38">
        <f t="shared" si="285"/>
        <v>0</v>
      </c>
      <c r="R709" s="38">
        <f t="shared" ref="R709:R714" si="286">+E709+I709+M709+Q709</f>
        <v>32557</v>
      </c>
    </row>
    <row r="710" spans="1:18" ht="15.75" customHeight="1" x14ac:dyDescent="0.3">
      <c r="A710" s="539" t="s">
        <v>3064</v>
      </c>
      <c r="B710" s="10">
        <v>50</v>
      </c>
      <c r="C710" s="10">
        <v>50</v>
      </c>
      <c r="D710" s="10">
        <v>50</v>
      </c>
      <c r="E710" s="38">
        <f t="shared" ref="E710:E714" si="287">SUM(B710:D710)</f>
        <v>150</v>
      </c>
      <c r="F710" s="10">
        <v>50</v>
      </c>
      <c r="G710" s="10">
        <v>50</v>
      </c>
      <c r="H710" s="10">
        <v>50</v>
      </c>
      <c r="I710" s="38">
        <f t="shared" ref="I710:I714" si="288">SUM(F710:H710)</f>
        <v>150</v>
      </c>
      <c r="J710" s="10">
        <v>50</v>
      </c>
      <c r="K710" s="10">
        <v>50</v>
      </c>
      <c r="L710" s="10">
        <v>50</v>
      </c>
      <c r="M710" s="38">
        <f t="shared" ref="M710:M714" si="289">SUM(J710:L710)</f>
        <v>150</v>
      </c>
      <c r="N710" s="10">
        <v>7</v>
      </c>
      <c r="O710" s="10"/>
      <c r="P710" s="10"/>
      <c r="Q710" s="38">
        <f t="shared" si="285"/>
        <v>7</v>
      </c>
      <c r="R710" s="38">
        <f t="shared" si="286"/>
        <v>457</v>
      </c>
    </row>
    <row r="711" spans="1:18" ht="15.75" customHeight="1" x14ac:dyDescent="0.3">
      <c r="A711" s="539" t="s">
        <v>2992</v>
      </c>
      <c r="B711" s="10"/>
      <c r="C711" s="10"/>
      <c r="D711" s="10"/>
      <c r="E711" s="38">
        <f t="shared" si="287"/>
        <v>0</v>
      </c>
      <c r="F711" s="10"/>
      <c r="G711" s="10"/>
      <c r="H711" s="10"/>
      <c r="I711" s="38">
        <f t="shared" si="288"/>
        <v>0</v>
      </c>
      <c r="J711" s="10"/>
      <c r="K711" s="10"/>
      <c r="L711" s="10"/>
      <c r="M711" s="38">
        <f t="shared" si="289"/>
        <v>0</v>
      </c>
      <c r="N711" s="10"/>
      <c r="O711" s="10"/>
      <c r="P711" s="10"/>
      <c r="Q711" s="38">
        <f t="shared" ref="Q711" si="290">SUM(N711:P711)</f>
        <v>0</v>
      </c>
      <c r="R711" s="38">
        <f t="shared" ref="R711" si="291">+E711+I711+M711+Q711</f>
        <v>0</v>
      </c>
    </row>
    <row r="712" spans="1:18" ht="15.75" customHeight="1" x14ac:dyDescent="0.3">
      <c r="A712" s="539" t="s">
        <v>3359</v>
      </c>
      <c r="B712" s="10">
        <v>164</v>
      </c>
      <c r="C712" s="10">
        <v>3000</v>
      </c>
      <c r="D712" s="10">
        <v>3000</v>
      </c>
      <c r="E712" s="38">
        <f t="shared" si="287"/>
        <v>6164</v>
      </c>
      <c r="F712" s="356">
        <v>3000</v>
      </c>
      <c r="G712" s="356">
        <v>3000</v>
      </c>
      <c r="H712" s="10"/>
      <c r="I712" s="38">
        <f t="shared" si="288"/>
        <v>6000</v>
      </c>
      <c r="J712" s="10"/>
      <c r="K712" s="10">
        <v>954</v>
      </c>
      <c r="L712" s="10"/>
      <c r="M712" s="38">
        <f t="shared" si="289"/>
        <v>954</v>
      </c>
      <c r="N712" s="10"/>
      <c r="O712" s="10"/>
      <c r="P712" s="10"/>
      <c r="Q712" s="38">
        <f t="shared" si="285"/>
        <v>0</v>
      </c>
      <c r="R712" s="38">
        <f t="shared" si="286"/>
        <v>13118</v>
      </c>
    </row>
    <row r="713" spans="1:18" ht="15.75" customHeight="1" x14ac:dyDescent="0.3">
      <c r="A713" s="539" t="s">
        <v>2596</v>
      </c>
      <c r="B713" s="10">
        <v>250</v>
      </c>
      <c r="C713" s="10"/>
      <c r="D713" s="10">
        <v>250</v>
      </c>
      <c r="E713" s="38">
        <f t="shared" si="287"/>
        <v>500</v>
      </c>
      <c r="F713" s="10">
        <v>250</v>
      </c>
      <c r="G713" s="10">
        <v>250</v>
      </c>
      <c r="H713" s="10">
        <v>250</v>
      </c>
      <c r="I713" s="38">
        <f t="shared" si="288"/>
        <v>750</v>
      </c>
      <c r="J713" s="10">
        <v>250</v>
      </c>
      <c r="K713" s="10">
        <v>250</v>
      </c>
      <c r="L713" s="10">
        <v>250</v>
      </c>
      <c r="M713" s="38">
        <f t="shared" si="289"/>
        <v>750</v>
      </c>
      <c r="N713" s="10">
        <v>300</v>
      </c>
      <c r="O713" s="10"/>
      <c r="P713" s="10"/>
      <c r="Q713" s="38">
        <f t="shared" si="285"/>
        <v>300</v>
      </c>
      <c r="R713" s="38">
        <f t="shared" si="286"/>
        <v>2300</v>
      </c>
    </row>
    <row r="714" spans="1:18" ht="15.75" customHeight="1" x14ac:dyDescent="0.3">
      <c r="A714" s="539" t="s">
        <v>3015</v>
      </c>
      <c r="B714" s="10">
        <v>120</v>
      </c>
      <c r="C714" s="10">
        <v>120</v>
      </c>
      <c r="D714" s="10">
        <v>120</v>
      </c>
      <c r="E714" s="38">
        <f t="shared" si="287"/>
        <v>360</v>
      </c>
      <c r="F714" s="10">
        <v>120</v>
      </c>
      <c r="G714" s="10">
        <v>130</v>
      </c>
      <c r="H714" s="10">
        <v>130</v>
      </c>
      <c r="I714" s="38">
        <f t="shared" si="288"/>
        <v>380</v>
      </c>
      <c r="J714" s="10">
        <v>130</v>
      </c>
      <c r="K714" s="10">
        <v>130</v>
      </c>
      <c r="L714" s="10">
        <v>130</v>
      </c>
      <c r="M714" s="38">
        <f t="shared" si="289"/>
        <v>390</v>
      </c>
      <c r="N714" s="10">
        <v>130</v>
      </c>
      <c r="O714" s="10"/>
      <c r="P714" s="10">
        <v>60</v>
      </c>
      <c r="Q714" s="38">
        <f t="shared" si="285"/>
        <v>190</v>
      </c>
      <c r="R714" s="38">
        <f t="shared" si="286"/>
        <v>1320</v>
      </c>
    </row>
    <row r="715" spans="1:18" ht="15.75" customHeight="1" x14ac:dyDescent="0.3">
      <c r="A715" s="234" t="s">
        <v>2161</v>
      </c>
      <c r="B715" s="10"/>
      <c r="C715" s="10"/>
      <c r="D715" s="10"/>
      <c r="E715" s="38" t="s">
        <v>852</v>
      </c>
      <c r="F715" s="10"/>
      <c r="G715" s="10"/>
      <c r="H715" s="10"/>
      <c r="I715" s="38" t="s">
        <v>852</v>
      </c>
      <c r="J715" s="10"/>
      <c r="K715" s="10"/>
      <c r="L715" s="10"/>
      <c r="M715" s="38" t="s">
        <v>852</v>
      </c>
      <c r="N715" s="10"/>
      <c r="O715" s="10"/>
      <c r="P715" s="10"/>
      <c r="Q715" s="38" t="s">
        <v>852</v>
      </c>
      <c r="R715" s="38" t="s">
        <v>852</v>
      </c>
    </row>
    <row r="716" spans="1:18" ht="15.75" customHeight="1" x14ac:dyDescent="0.3">
      <c r="A716" s="234" t="s">
        <v>3245</v>
      </c>
      <c r="B716" s="10"/>
      <c r="C716" s="10"/>
      <c r="D716" s="10"/>
      <c r="E716" s="38" t="s">
        <v>852</v>
      </c>
      <c r="F716" s="10"/>
      <c r="G716" s="10"/>
      <c r="H716" s="10"/>
      <c r="I716" s="38" t="s">
        <v>852</v>
      </c>
      <c r="J716" s="10"/>
      <c r="K716" s="10"/>
      <c r="L716" s="10"/>
      <c r="M716" s="38" t="s">
        <v>852</v>
      </c>
      <c r="N716" s="10"/>
      <c r="O716" s="10"/>
      <c r="P716" s="10"/>
      <c r="Q716" s="38" t="s">
        <v>852</v>
      </c>
      <c r="R716" s="38" t="s">
        <v>852</v>
      </c>
    </row>
    <row r="717" spans="1:18" ht="15.75" customHeight="1" thickBot="1" x14ac:dyDescent="0.35">
      <c r="A717" s="234" t="s">
        <v>2164</v>
      </c>
      <c r="B717" s="10"/>
      <c r="C717" s="10"/>
      <c r="D717" s="10"/>
      <c r="E717" s="38" t="s">
        <v>852</v>
      </c>
      <c r="F717" s="10"/>
      <c r="G717" s="10"/>
      <c r="H717" s="10"/>
      <c r="I717" s="38" t="s">
        <v>852</v>
      </c>
      <c r="J717" s="10"/>
      <c r="K717" s="10"/>
      <c r="L717" s="10"/>
      <c r="M717" s="38" t="s">
        <v>852</v>
      </c>
      <c r="N717" s="10"/>
      <c r="O717" s="10"/>
      <c r="P717" s="10"/>
      <c r="Q717" s="38" t="s">
        <v>852</v>
      </c>
      <c r="R717" s="38" t="s">
        <v>852</v>
      </c>
    </row>
    <row r="718" spans="1:18" ht="16.5" customHeight="1" thickBot="1" x14ac:dyDescent="0.35">
      <c r="A718" s="276" t="s">
        <v>1218</v>
      </c>
      <c r="B718" s="45">
        <f>SUM(B706:B717)</f>
        <v>7341</v>
      </c>
      <c r="C718" s="46">
        <f>SUM(C706:C717)</f>
        <v>5459</v>
      </c>
      <c r="D718" s="46">
        <f>SUM(D706:D717)</f>
        <v>9594</v>
      </c>
      <c r="E718" s="37">
        <f>SUM(B718:D718)</f>
        <v>22394</v>
      </c>
      <c r="F718" s="46">
        <f>SUM(F706:F717)</f>
        <v>13380</v>
      </c>
      <c r="G718" s="46">
        <f>SUM(G706:G717)</f>
        <v>14565</v>
      </c>
      <c r="H718" s="46">
        <f>SUM(H706:H717)</f>
        <v>14815</v>
      </c>
      <c r="I718" s="37">
        <f>SUM(F718:H718)</f>
        <v>42760</v>
      </c>
      <c r="J718" s="46">
        <f>SUM(J706:J717)</f>
        <v>15846</v>
      </c>
      <c r="K718" s="46">
        <f>SUM(K706:K717)</f>
        <v>11569</v>
      </c>
      <c r="L718" s="46">
        <f>SUM(L706:L717)</f>
        <v>5554</v>
      </c>
      <c r="M718" s="37">
        <f>SUM(J718:L718)</f>
        <v>32969</v>
      </c>
      <c r="N718" s="46">
        <f>SUM(N706:N717)</f>
        <v>3657</v>
      </c>
      <c r="O718" s="46">
        <f>SUM(O706:O717)</f>
        <v>0</v>
      </c>
      <c r="P718" s="46">
        <f>SUM(P706:P717)</f>
        <v>1257</v>
      </c>
      <c r="Q718" s="37">
        <f>SUM(N718:P718)</f>
        <v>4914</v>
      </c>
      <c r="R718" s="37">
        <f>+E718+I718+M718+Q718</f>
        <v>103037</v>
      </c>
    </row>
    <row r="719" spans="1:18" ht="15.75" customHeight="1" x14ac:dyDescent="0.3">
      <c r="A719" s="234" t="s">
        <v>1172</v>
      </c>
      <c r="B719" s="172"/>
      <c r="C719" s="172"/>
      <c r="D719" s="172"/>
      <c r="E719" s="38" t="s">
        <v>852</v>
      </c>
      <c r="F719" s="172"/>
      <c r="G719" s="172"/>
      <c r="H719" s="172"/>
      <c r="I719" s="38" t="s">
        <v>852</v>
      </c>
      <c r="J719" s="172"/>
      <c r="K719" s="172"/>
      <c r="L719" s="172"/>
      <c r="M719" s="38" t="s">
        <v>852</v>
      </c>
      <c r="N719" s="172"/>
      <c r="O719" s="172"/>
      <c r="P719" s="172"/>
      <c r="Q719" s="38" t="s">
        <v>852</v>
      </c>
      <c r="R719" s="38" t="s">
        <v>852</v>
      </c>
    </row>
    <row r="720" spans="1:18" ht="15.75" customHeight="1" x14ac:dyDescent="0.3">
      <c r="A720" s="234" t="s">
        <v>2409</v>
      </c>
      <c r="B720" s="172"/>
      <c r="C720" s="172"/>
      <c r="D720" s="172"/>
      <c r="E720" s="38" t="s">
        <v>852</v>
      </c>
      <c r="F720" s="172"/>
      <c r="G720" s="172"/>
      <c r="H720" s="172"/>
      <c r="I720" s="38" t="s">
        <v>852</v>
      </c>
      <c r="J720" s="172"/>
      <c r="K720" s="172"/>
      <c r="L720" s="172"/>
      <c r="M720" s="38" t="s">
        <v>852</v>
      </c>
      <c r="N720" s="172"/>
      <c r="O720" s="172"/>
      <c r="P720" s="172"/>
      <c r="Q720" s="38" t="s">
        <v>852</v>
      </c>
      <c r="R720" s="38" t="s">
        <v>852</v>
      </c>
    </row>
    <row r="721" spans="1:20" ht="15.75" customHeight="1" thickBot="1" x14ac:dyDescent="0.35">
      <c r="A721" s="234" t="s">
        <v>2165</v>
      </c>
      <c r="B721" s="172"/>
      <c r="C721" s="172"/>
      <c r="D721" s="172"/>
      <c r="E721" s="38" t="s">
        <v>852</v>
      </c>
      <c r="F721" s="172"/>
      <c r="G721" s="172"/>
      <c r="H721" s="172"/>
      <c r="I721" s="38" t="s">
        <v>852</v>
      </c>
      <c r="J721" s="172"/>
      <c r="K721" s="172"/>
      <c r="L721" s="172"/>
      <c r="M721" s="38" t="s">
        <v>852</v>
      </c>
      <c r="N721" s="172"/>
      <c r="O721" s="172"/>
      <c r="P721" s="172"/>
      <c r="Q721" s="38" t="s">
        <v>852</v>
      </c>
      <c r="R721" s="38" t="s">
        <v>852</v>
      </c>
    </row>
    <row r="722" spans="1:20" ht="16.5" customHeight="1" thickBot="1" x14ac:dyDescent="0.35">
      <c r="A722" s="43" t="s">
        <v>1219</v>
      </c>
      <c r="B722" s="45">
        <f>SUM(B719:B721)</f>
        <v>0</v>
      </c>
      <c r="C722" s="46">
        <f>SUM(C719:C721)</f>
        <v>0</v>
      </c>
      <c r="D722" s="46">
        <f>SUM(D719:D721)</f>
        <v>0</v>
      </c>
      <c r="E722" s="37">
        <f>SUM(B722:D722)</f>
        <v>0</v>
      </c>
      <c r="F722" s="46">
        <f>SUM(F719:F721)</f>
        <v>0</v>
      </c>
      <c r="G722" s="46">
        <f>SUM(G719:G721)</f>
        <v>0</v>
      </c>
      <c r="H722" s="46">
        <f>SUM(H719:H721)</f>
        <v>0</v>
      </c>
      <c r="I722" s="37">
        <f>SUM(F722:H722)</f>
        <v>0</v>
      </c>
      <c r="J722" s="46">
        <f>SUM(J719:J721)</f>
        <v>0</v>
      </c>
      <c r="K722" s="46">
        <f>SUM(K719:K721)</f>
        <v>0</v>
      </c>
      <c r="L722" s="46">
        <f>SUM(L719:L721)</f>
        <v>0</v>
      </c>
      <c r="M722" s="37">
        <f>SUM(J722:L722)</f>
        <v>0</v>
      </c>
      <c r="N722" s="46">
        <f>SUM(N719:N721)</f>
        <v>0</v>
      </c>
      <c r="O722" s="46">
        <f>SUM(O719:O721)</f>
        <v>0</v>
      </c>
      <c r="P722" s="46">
        <f>SUM(P719:P721)</f>
        <v>0</v>
      </c>
      <c r="Q722" s="37">
        <f>SUM(N722:P722)</f>
        <v>0</v>
      </c>
      <c r="R722" s="37">
        <f>+E722+I722+M722+Q722</f>
        <v>0</v>
      </c>
    </row>
    <row r="723" spans="1:20" ht="15.75" customHeight="1" x14ac:dyDescent="0.3">
      <c r="A723" s="234" t="s">
        <v>2166</v>
      </c>
      <c r="B723" s="10"/>
      <c r="C723" s="10"/>
      <c r="D723" s="10"/>
      <c r="E723" s="38" t="s">
        <v>852</v>
      </c>
      <c r="F723" s="10"/>
      <c r="G723" s="10"/>
      <c r="H723" s="10"/>
      <c r="I723" s="38" t="s">
        <v>852</v>
      </c>
      <c r="J723" s="10"/>
      <c r="K723" s="10"/>
      <c r="L723" s="10"/>
      <c r="M723" s="38" t="s">
        <v>852</v>
      </c>
      <c r="N723" s="10"/>
      <c r="O723" s="10"/>
      <c r="P723" s="10"/>
      <c r="Q723" s="38" t="s">
        <v>852</v>
      </c>
      <c r="R723" s="38" t="s">
        <v>852</v>
      </c>
    </row>
    <row r="724" spans="1:20" ht="15.75" customHeight="1" x14ac:dyDescent="0.3">
      <c r="A724" s="234" t="s">
        <v>1245</v>
      </c>
      <c r="B724" s="10"/>
      <c r="C724" s="10"/>
      <c r="D724" s="10"/>
      <c r="E724" s="38" t="s">
        <v>852</v>
      </c>
      <c r="F724" s="10"/>
      <c r="G724" s="10"/>
      <c r="H724" s="10"/>
      <c r="I724" s="38" t="s">
        <v>852</v>
      </c>
      <c r="J724" s="10"/>
      <c r="K724" s="10"/>
      <c r="L724" s="10"/>
      <c r="M724" s="38" t="s">
        <v>852</v>
      </c>
      <c r="N724" s="10"/>
      <c r="O724" s="10"/>
      <c r="P724" s="10"/>
      <c r="Q724" s="38" t="s">
        <v>852</v>
      </c>
      <c r="R724" s="38" t="s">
        <v>852</v>
      </c>
    </row>
    <row r="725" spans="1:20" ht="15.75" customHeight="1" x14ac:dyDescent="0.3">
      <c r="A725" s="266" t="s">
        <v>641</v>
      </c>
      <c r="B725" s="10">
        <v>250</v>
      </c>
      <c r="C725" s="10">
        <v>185</v>
      </c>
      <c r="D725" s="10">
        <v>609</v>
      </c>
      <c r="E725" s="38">
        <f>SUM(B725:D725)</f>
        <v>1044</v>
      </c>
      <c r="F725" s="10">
        <v>2216</v>
      </c>
      <c r="G725" s="10">
        <v>1030</v>
      </c>
      <c r="H725" s="10">
        <v>820</v>
      </c>
      <c r="I725" s="38">
        <f>SUM(F725:H725)</f>
        <v>4066</v>
      </c>
      <c r="J725" s="10">
        <v>902</v>
      </c>
      <c r="K725" s="10">
        <v>1242</v>
      </c>
      <c r="L725" s="10">
        <v>660</v>
      </c>
      <c r="M725" s="38">
        <f>SUM(J725:L725)</f>
        <v>2804</v>
      </c>
      <c r="N725" s="10">
        <v>486</v>
      </c>
      <c r="O725" s="10"/>
      <c r="P725" s="10"/>
      <c r="Q725" s="38">
        <f>SUM(N725:P725)</f>
        <v>486</v>
      </c>
      <c r="R725" s="38">
        <f>+E725+I725+M725+Q725</f>
        <v>8400</v>
      </c>
      <c r="T725" t="s">
        <v>2804</v>
      </c>
    </row>
    <row r="726" spans="1:20" ht="15.75" customHeight="1" x14ac:dyDescent="0.3">
      <c r="A726" s="234" t="s">
        <v>1711</v>
      </c>
      <c r="B726" s="10"/>
      <c r="C726" s="10"/>
      <c r="D726" s="10"/>
      <c r="E726" s="38" t="s">
        <v>852</v>
      </c>
      <c r="F726" s="10"/>
      <c r="G726" s="10"/>
      <c r="H726" s="10"/>
      <c r="I726" s="38" t="s">
        <v>852</v>
      </c>
      <c r="J726" s="10"/>
      <c r="K726" s="10"/>
      <c r="L726" s="10"/>
      <c r="M726" s="38" t="s">
        <v>852</v>
      </c>
      <c r="N726" s="10"/>
      <c r="O726" s="10"/>
      <c r="P726" s="10"/>
      <c r="Q726" s="38" t="s">
        <v>852</v>
      </c>
      <c r="R726" s="38" t="s">
        <v>852</v>
      </c>
    </row>
    <row r="727" spans="1:20" ht="15.75" customHeight="1" x14ac:dyDescent="0.3">
      <c r="A727" s="539" t="s">
        <v>2699</v>
      </c>
      <c r="B727" s="10"/>
      <c r="C727" s="10"/>
      <c r="D727" s="10"/>
      <c r="E727" s="38">
        <f t="shared" ref="E727:E736" si="292">SUM(B727:D727)</f>
        <v>0</v>
      </c>
      <c r="F727" s="10"/>
      <c r="G727" s="10"/>
      <c r="H727" s="10"/>
      <c r="I727" s="38">
        <f t="shared" ref="I727:I736" si="293">SUM(F727:H727)</f>
        <v>0</v>
      </c>
      <c r="J727" s="10"/>
      <c r="K727" s="10"/>
      <c r="L727" s="10"/>
      <c r="M727" s="38">
        <f t="shared" ref="M727:M736" si="294">SUM(J727:L727)</f>
        <v>0</v>
      </c>
      <c r="N727" s="10"/>
      <c r="O727" s="10"/>
      <c r="P727" s="10"/>
      <c r="Q727" s="38">
        <f t="shared" ref="Q727:Q736" si="295">SUM(N727:P727)</f>
        <v>0</v>
      </c>
      <c r="R727" s="38">
        <f t="shared" ref="R727:R736" si="296">+E727+I727+M727+Q727</f>
        <v>0</v>
      </c>
      <c r="T727" t="s">
        <v>2801</v>
      </c>
    </row>
    <row r="728" spans="1:20" ht="15.75" customHeight="1" x14ac:dyDescent="0.3">
      <c r="A728" s="539" t="s">
        <v>2790</v>
      </c>
      <c r="B728" s="10"/>
      <c r="C728" s="10"/>
      <c r="D728" s="10"/>
      <c r="E728" s="38">
        <f t="shared" si="292"/>
        <v>0</v>
      </c>
      <c r="F728" s="10"/>
      <c r="G728" s="10"/>
      <c r="H728" s="10"/>
      <c r="I728" s="38">
        <f t="shared" si="293"/>
        <v>0</v>
      </c>
      <c r="J728" s="10"/>
      <c r="K728" s="10"/>
      <c r="L728" s="10"/>
      <c r="M728" s="38">
        <f t="shared" si="294"/>
        <v>0</v>
      </c>
      <c r="N728" s="10"/>
      <c r="O728" s="10"/>
      <c r="P728" s="10"/>
      <c r="Q728" s="38">
        <f t="shared" si="295"/>
        <v>0</v>
      </c>
      <c r="R728" s="38">
        <f t="shared" si="296"/>
        <v>0</v>
      </c>
      <c r="T728" t="s">
        <v>2801</v>
      </c>
    </row>
    <row r="729" spans="1:20" ht="15.75" customHeight="1" x14ac:dyDescent="0.3">
      <c r="A729" s="539" t="s">
        <v>2701</v>
      </c>
      <c r="B729" s="10">
        <v>125</v>
      </c>
      <c r="C729" s="10">
        <v>125</v>
      </c>
      <c r="D729" s="10">
        <v>125</v>
      </c>
      <c r="E729" s="38">
        <f t="shared" si="292"/>
        <v>375</v>
      </c>
      <c r="F729" s="10">
        <v>125</v>
      </c>
      <c r="G729" s="10">
        <v>125</v>
      </c>
      <c r="H729" s="10">
        <v>125</v>
      </c>
      <c r="I729" s="38">
        <f t="shared" si="293"/>
        <v>375</v>
      </c>
      <c r="J729" s="10">
        <v>125</v>
      </c>
      <c r="K729" s="10">
        <v>125</v>
      </c>
      <c r="L729" s="10">
        <v>125</v>
      </c>
      <c r="M729" s="38">
        <f t="shared" si="294"/>
        <v>375</v>
      </c>
      <c r="N729" s="10">
        <v>250</v>
      </c>
      <c r="O729" s="10"/>
      <c r="P729" s="10">
        <v>244</v>
      </c>
      <c r="Q729" s="38">
        <f t="shared" si="295"/>
        <v>494</v>
      </c>
      <c r="R729" s="38">
        <f>+E729+I729+M729+Q729</f>
        <v>1619</v>
      </c>
      <c r="T729" t="s">
        <v>2801</v>
      </c>
    </row>
    <row r="730" spans="1:20" ht="15.75" customHeight="1" x14ac:dyDescent="0.3">
      <c r="A730" s="539" t="s">
        <v>3327</v>
      </c>
      <c r="B730" s="10">
        <v>1136</v>
      </c>
      <c r="C730" s="10"/>
      <c r="D730" s="10"/>
      <c r="E730" s="38">
        <f t="shared" si="292"/>
        <v>1136</v>
      </c>
      <c r="F730" s="10"/>
      <c r="G730" s="10"/>
      <c r="H730" s="10"/>
      <c r="I730" s="38">
        <f t="shared" si="293"/>
        <v>0</v>
      </c>
      <c r="J730" s="10"/>
      <c r="K730" s="10"/>
      <c r="L730" s="10"/>
      <c r="M730" s="38">
        <f t="shared" si="294"/>
        <v>0</v>
      </c>
      <c r="N730" s="10"/>
      <c r="O730" s="10"/>
      <c r="P730" s="10"/>
      <c r="Q730" s="38">
        <f t="shared" ref="Q730" si="297">SUM(N730:P730)</f>
        <v>0</v>
      </c>
      <c r="R730" s="38">
        <f t="shared" ref="R730" si="298">+E730+I730+M730+Q730</f>
        <v>1136</v>
      </c>
    </row>
    <row r="731" spans="1:20" ht="15.75" customHeight="1" x14ac:dyDescent="0.3">
      <c r="A731" s="539" t="s">
        <v>3208</v>
      </c>
      <c r="B731" s="10"/>
      <c r="C731" s="10"/>
      <c r="D731" s="10"/>
      <c r="E731" s="38">
        <f t="shared" si="292"/>
        <v>0</v>
      </c>
      <c r="F731" s="10"/>
      <c r="G731" s="10"/>
      <c r="H731" s="10"/>
      <c r="I731" s="38">
        <f t="shared" si="293"/>
        <v>0</v>
      </c>
      <c r="J731" s="10"/>
      <c r="K731" s="10">
        <v>1841</v>
      </c>
      <c r="L731" s="10"/>
      <c r="M731" s="38">
        <f t="shared" si="294"/>
        <v>1841</v>
      </c>
      <c r="N731" s="10"/>
      <c r="O731" s="10"/>
      <c r="P731" s="10"/>
      <c r="Q731" s="38">
        <f t="shared" si="295"/>
        <v>0</v>
      </c>
      <c r="R731" s="38">
        <f t="shared" si="296"/>
        <v>1841</v>
      </c>
    </row>
    <row r="732" spans="1:20" ht="15.75" customHeight="1" x14ac:dyDescent="0.3">
      <c r="A732" s="539" t="s">
        <v>3209</v>
      </c>
      <c r="B732" s="10"/>
      <c r="C732" s="10"/>
      <c r="D732" s="10"/>
      <c r="E732" s="38">
        <f t="shared" si="292"/>
        <v>0</v>
      </c>
      <c r="F732" s="10"/>
      <c r="G732" s="10"/>
      <c r="H732" s="10"/>
      <c r="I732" s="38">
        <f t="shared" si="293"/>
        <v>0</v>
      </c>
      <c r="J732" s="10"/>
      <c r="K732" s="10"/>
      <c r="L732" s="10">
        <v>858</v>
      </c>
      <c r="M732" s="38">
        <f t="shared" si="294"/>
        <v>858</v>
      </c>
      <c r="N732" s="10">
        <v>6300</v>
      </c>
      <c r="O732" s="10"/>
      <c r="P732" s="10">
        <v>2400</v>
      </c>
      <c r="Q732" s="38">
        <f t="shared" si="295"/>
        <v>8700</v>
      </c>
      <c r="R732" s="38">
        <f t="shared" si="296"/>
        <v>9558</v>
      </c>
    </row>
    <row r="733" spans="1:20" ht="15.75" customHeight="1" x14ac:dyDescent="0.3">
      <c r="A733" s="539" t="s">
        <v>3210</v>
      </c>
      <c r="B733" s="10"/>
      <c r="C733" s="10"/>
      <c r="D733" s="10"/>
      <c r="E733" s="38">
        <f t="shared" si="292"/>
        <v>0</v>
      </c>
      <c r="F733" s="10"/>
      <c r="G733" s="10"/>
      <c r="H733" s="10"/>
      <c r="I733" s="38">
        <f t="shared" si="293"/>
        <v>0</v>
      </c>
      <c r="J733" s="10"/>
      <c r="K733" s="10"/>
      <c r="L733" s="10">
        <v>4300</v>
      </c>
      <c r="M733" s="38">
        <f t="shared" si="294"/>
        <v>4300</v>
      </c>
      <c r="N733" s="10"/>
      <c r="O733" s="10"/>
      <c r="P733" s="10"/>
      <c r="Q733" s="38">
        <f t="shared" si="295"/>
        <v>0</v>
      </c>
      <c r="R733" s="38">
        <f t="shared" si="296"/>
        <v>4300</v>
      </c>
    </row>
    <row r="734" spans="1:20" ht="15.75" customHeight="1" x14ac:dyDescent="0.3">
      <c r="A734" s="539" t="s">
        <v>3316</v>
      </c>
      <c r="B734" s="10"/>
      <c r="C734" s="10"/>
      <c r="D734" s="10"/>
      <c r="E734" s="38">
        <f t="shared" si="292"/>
        <v>0</v>
      </c>
      <c r="F734" s="10"/>
      <c r="G734" s="10"/>
      <c r="H734" s="10"/>
      <c r="I734" s="38">
        <f t="shared" si="293"/>
        <v>0</v>
      </c>
      <c r="J734" s="10"/>
      <c r="K734" s="10">
        <v>1205</v>
      </c>
      <c r="L734" s="10">
        <v>842</v>
      </c>
      <c r="M734" s="38">
        <f t="shared" si="294"/>
        <v>2047</v>
      </c>
      <c r="N734" s="10"/>
      <c r="O734" s="10"/>
      <c r="P734" s="10"/>
      <c r="Q734" s="38">
        <f t="shared" ref="Q734" si="299">SUM(N734:P734)</f>
        <v>0</v>
      </c>
      <c r="R734" s="38">
        <f t="shared" si="296"/>
        <v>2047</v>
      </c>
    </row>
    <row r="735" spans="1:20" ht="15.75" customHeight="1" thickBot="1" x14ac:dyDescent="0.35">
      <c r="A735" s="266" t="s">
        <v>40</v>
      </c>
      <c r="B735" s="10"/>
      <c r="C735" s="10"/>
      <c r="D735" s="10"/>
      <c r="E735" s="38">
        <f t="shared" si="292"/>
        <v>0</v>
      </c>
      <c r="F735" s="10"/>
      <c r="G735" s="10"/>
      <c r="H735" s="10"/>
      <c r="I735" s="38">
        <f t="shared" si="293"/>
        <v>0</v>
      </c>
      <c r="J735" s="10"/>
      <c r="K735" s="10"/>
      <c r="L735" s="10"/>
      <c r="M735" s="38">
        <f t="shared" si="294"/>
        <v>0</v>
      </c>
      <c r="N735" s="10"/>
      <c r="O735" s="10"/>
      <c r="P735" s="10"/>
      <c r="Q735" s="38">
        <f t="shared" si="295"/>
        <v>0</v>
      </c>
      <c r="R735" s="38">
        <f t="shared" si="296"/>
        <v>0</v>
      </c>
      <c r="T735" t="s">
        <v>2801</v>
      </c>
    </row>
    <row r="736" spans="1:20" ht="16.5" customHeight="1" thickBot="1" x14ac:dyDescent="0.35">
      <c r="A736" s="43" t="s">
        <v>1220</v>
      </c>
      <c r="B736" s="45">
        <f>SUM(B723:B735)</f>
        <v>1511</v>
      </c>
      <c r="C736" s="46">
        <f>SUM(C723:C735)</f>
        <v>310</v>
      </c>
      <c r="D736" s="46">
        <f>SUM(D723:D735)</f>
        <v>734</v>
      </c>
      <c r="E736" s="37">
        <f t="shared" si="292"/>
        <v>2555</v>
      </c>
      <c r="F736" s="46">
        <f>SUM(F723:F735)</f>
        <v>2341</v>
      </c>
      <c r="G736" s="46">
        <f>SUM(G723:G735)</f>
        <v>1155</v>
      </c>
      <c r="H736" s="46">
        <f>SUM(H723:H735)</f>
        <v>945</v>
      </c>
      <c r="I736" s="37">
        <f t="shared" si="293"/>
        <v>4441</v>
      </c>
      <c r="J736" s="46">
        <f>SUM(J723:J735)</f>
        <v>1027</v>
      </c>
      <c r="K736" s="46">
        <f>SUM(K723:K735)</f>
        <v>4413</v>
      </c>
      <c r="L736" s="46">
        <f>SUM(L723:L735)</f>
        <v>6785</v>
      </c>
      <c r="M736" s="37">
        <f t="shared" si="294"/>
        <v>12225</v>
      </c>
      <c r="N736" s="46">
        <f>SUM(N723:N735)</f>
        <v>7036</v>
      </c>
      <c r="O736" s="46">
        <f>SUM(O723:O735)</f>
        <v>0</v>
      </c>
      <c r="P736" s="46">
        <f>SUM(P723:P735)</f>
        <v>2644</v>
      </c>
      <c r="Q736" s="37">
        <f t="shared" si="295"/>
        <v>9680</v>
      </c>
      <c r="R736" s="58">
        <f t="shared" si="296"/>
        <v>28901</v>
      </c>
    </row>
    <row r="737" spans="1:18" ht="15.75" customHeight="1" x14ac:dyDescent="0.3">
      <c r="A737" s="234" t="s">
        <v>1712</v>
      </c>
      <c r="B737" s="172"/>
      <c r="C737" s="172"/>
      <c r="D737" s="172"/>
      <c r="E737" s="38" t="s">
        <v>852</v>
      </c>
      <c r="F737" s="172"/>
      <c r="G737" s="172"/>
      <c r="H737" s="172"/>
      <c r="I737" s="38" t="s">
        <v>852</v>
      </c>
      <c r="J737" s="172"/>
      <c r="K737" s="172"/>
      <c r="L737" s="172"/>
      <c r="M737" s="38" t="s">
        <v>852</v>
      </c>
      <c r="N737" s="172"/>
      <c r="O737" s="172"/>
      <c r="P737" s="172"/>
      <c r="Q737" s="38" t="s">
        <v>852</v>
      </c>
      <c r="R737" s="38" t="s">
        <v>852</v>
      </c>
    </row>
    <row r="738" spans="1:18" ht="15.75" customHeight="1" x14ac:dyDescent="0.3">
      <c r="A738" s="234" t="s">
        <v>1021</v>
      </c>
      <c r="B738" s="172"/>
      <c r="C738" s="172"/>
      <c r="D738" s="172"/>
      <c r="E738" s="38" t="s">
        <v>852</v>
      </c>
      <c r="F738" s="172"/>
      <c r="G738" s="172"/>
      <c r="H738" s="172"/>
      <c r="I738" s="38" t="s">
        <v>852</v>
      </c>
      <c r="J738" s="172"/>
      <c r="K738" s="172"/>
      <c r="L738" s="172"/>
      <c r="M738" s="38" t="s">
        <v>852</v>
      </c>
      <c r="N738" s="172"/>
      <c r="O738" s="172"/>
      <c r="P738" s="172"/>
      <c r="Q738" s="38" t="s">
        <v>852</v>
      </c>
      <c r="R738" s="38" t="s">
        <v>852</v>
      </c>
    </row>
    <row r="739" spans="1:18" ht="15.75" customHeight="1" x14ac:dyDescent="0.3">
      <c r="A739" s="234" t="s">
        <v>557</v>
      </c>
      <c r="B739" s="172"/>
      <c r="C739" s="172"/>
      <c r="D739" s="172"/>
      <c r="E739" s="38" t="s">
        <v>852</v>
      </c>
      <c r="F739" s="172"/>
      <c r="G739" s="172"/>
      <c r="H739" s="172"/>
      <c r="I739" s="38" t="s">
        <v>852</v>
      </c>
      <c r="J739" s="172"/>
      <c r="K739" s="172"/>
      <c r="L739" s="172"/>
      <c r="M739" s="38" t="s">
        <v>852</v>
      </c>
      <c r="N739" s="172"/>
      <c r="O739" s="172"/>
      <c r="P739" s="172"/>
      <c r="Q739" s="38" t="s">
        <v>852</v>
      </c>
      <c r="R739" s="38" t="s">
        <v>852</v>
      </c>
    </row>
    <row r="740" spans="1:18" ht="15.75" customHeight="1" x14ac:dyDescent="0.3">
      <c r="A740" s="539" t="s">
        <v>2585</v>
      </c>
      <c r="B740" s="172"/>
      <c r="C740" s="172"/>
      <c r="D740" s="172"/>
      <c r="E740" s="38">
        <f>SUM(B740:D740)</f>
        <v>0</v>
      </c>
      <c r="F740" s="172"/>
      <c r="G740" s="172"/>
      <c r="H740" s="172"/>
      <c r="I740" s="38">
        <f>SUM(F740:H740)</f>
        <v>0</v>
      </c>
      <c r="J740" s="172"/>
      <c r="K740" s="172"/>
      <c r="L740" s="172"/>
      <c r="M740" s="38">
        <f>SUM(J740:L740)</f>
        <v>0</v>
      </c>
      <c r="N740" s="172"/>
      <c r="O740" s="172"/>
      <c r="P740" s="172"/>
      <c r="Q740" s="38">
        <f>SUM(N740:P740)</f>
        <v>0</v>
      </c>
      <c r="R740" s="38">
        <f>+E740+I740+M740+Q740</f>
        <v>0</v>
      </c>
    </row>
    <row r="741" spans="1:18" ht="15.75" customHeight="1" x14ac:dyDescent="0.3">
      <c r="A741" s="539" t="s">
        <v>2586</v>
      </c>
      <c r="B741" s="172"/>
      <c r="C741" s="172"/>
      <c r="D741" s="172"/>
      <c r="E741" s="38">
        <f>SUM(B741:D741)</f>
        <v>0</v>
      </c>
      <c r="F741" s="172"/>
      <c r="G741" s="172"/>
      <c r="H741" s="172"/>
      <c r="I741" s="38">
        <f>SUM(F741:H741)</f>
        <v>0</v>
      </c>
      <c r="J741" s="172"/>
      <c r="K741" s="172"/>
      <c r="L741" s="172"/>
      <c r="M741" s="38">
        <f>SUM(J741:L741)</f>
        <v>0</v>
      </c>
      <c r="N741" s="172"/>
      <c r="O741" s="172"/>
      <c r="P741" s="172"/>
      <c r="Q741" s="38">
        <f>SUM(N741:P741)</f>
        <v>0</v>
      </c>
      <c r="R741" s="38">
        <f>+E741+I741+M741+Q741</f>
        <v>0</v>
      </c>
    </row>
    <row r="742" spans="1:18" ht="15.75" customHeight="1" x14ac:dyDescent="0.3">
      <c r="A742" s="539" t="s">
        <v>2587</v>
      </c>
      <c r="B742" s="172"/>
      <c r="C742" s="172"/>
      <c r="D742" s="172"/>
      <c r="E742" s="38">
        <f>SUM(B742:D742)</f>
        <v>0</v>
      </c>
      <c r="F742" s="172"/>
      <c r="G742" s="172"/>
      <c r="H742" s="172"/>
      <c r="I742" s="38">
        <f>SUM(F742:H742)</f>
        <v>0</v>
      </c>
      <c r="J742" s="172"/>
      <c r="K742" s="172"/>
      <c r="L742" s="172"/>
      <c r="M742" s="38">
        <f>SUM(J742:L742)</f>
        <v>0</v>
      </c>
      <c r="N742" s="172"/>
      <c r="O742" s="172"/>
      <c r="P742" s="172"/>
      <c r="Q742" s="38">
        <f>SUM(N742:P742)</f>
        <v>0</v>
      </c>
      <c r="R742" s="38">
        <f>+E742+I742+M742+Q742</f>
        <v>0</v>
      </c>
    </row>
    <row r="743" spans="1:18" ht="15.75" customHeight="1" x14ac:dyDescent="0.3">
      <c r="A743" s="539" t="s">
        <v>2588</v>
      </c>
      <c r="B743" s="172"/>
      <c r="C743" s="172"/>
      <c r="D743" s="172"/>
      <c r="E743" s="38">
        <f>SUM(B743:D743)</f>
        <v>0</v>
      </c>
      <c r="F743" s="172"/>
      <c r="G743" s="172"/>
      <c r="H743" s="172"/>
      <c r="I743" s="38">
        <f>SUM(F743:H743)</f>
        <v>0</v>
      </c>
      <c r="J743" s="172"/>
      <c r="K743" s="172"/>
      <c r="L743" s="172"/>
      <c r="M743" s="38">
        <f>SUM(J743:L743)</f>
        <v>0</v>
      </c>
      <c r="N743" s="172"/>
      <c r="O743" s="172"/>
      <c r="P743" s="172"/>
      <c r="Q743" s="38">
        <f>SUM(N743:P743)</f>
        <v>0</v>
      </c>
      <c r="R743" s="38">
        <f>+E743+I743+M743+Q743</f>
        <v>0</v>
      </c>
    </row>
    <row r="744" spans="1:18" ht="15.75" customHeight="1" x14ac:dyDescent="0.3">
      <c r="A744" s="234" t="s">
        <v>1022</v>
      </c>
      <c r="B744" s="172"/>
      <c r="C744" s="172"/>
      <c r="D744" s="172"/>
      <c r="E744" s="38" t="s">
        <v>852</v>
      </c>
      <c r="F744" s="172"/>
      <c r="G744" s="172"/>
      <c r="H744" s="172"/>
      <c r="I744" s="38" t="s">
        <v>852</v>
      </c>
      <c r="J744" s="172"/>
      <c r="K744" s="172"/>
      <c r="L744" s="172"/>
      <c r="M744" s="38" t="s">
        <v>852</v>
      </c>
      <c r="N744" s="172"/>
      <c r="O744" s="172"/>
      <c r="P744" s="172"/>
      <c r="Q744" s="38" t="s">
        <v>852</v>
      </c>
      <c r="R744" s="38" t="s">
        <v>852</v>
      </c>
    </row>
    <row r="745" spans="1:18" ht="15.75" customHeight="1" thickBot="1" x14ac:dyDescent="0.35">
      <c r="A745" s="234" t="s">
        <v>559</v>
      </c>
      <c r="B745" s="172"/>
      <c r="C745" s="172"/>
      <c r="D745" s="172"/>
      <c r="E745" s="38" t="s">
        <v>852</v>
      </c>
      <c r="F745" s="172"/>
      <c r="G745" s="172"/>
      <c r="H745" s="172"/>
      <c r="I745" s="38" t="s">
        <v>852</v>
      </c>
      <c r="J745" s="172"/>
      <c r="K745" s="172"/>
      <c r="L745" s="172"/>
      <c r="M745" s="38" t="s">
        <v>852</v>
      </c>
      <c r="N745" s="172"/>
      <c r="O745" s="172"/>
      <c r="P745" s="172"/>
      <c r="Q745" s="38" t="s">
        <v>852</v>
      </c>
      <c r="R745" s="38" t="s">
        <v>852</v>
      </c>
    </row>
    <row r="746" spans="1:18" ht="16.5" customHeight="1" thickBot="1" x14ac:dyDescent="0.35">
      <c r="A746" s="43" t="s">
        <v>1019</v>
      </c>
      <c r="B746" s="42">
        <f>SUM(B744:B745)</f>
        <v>0</v>
      </c>
      <c r="C746" s="42">
        <f>SUM(C744:C745)</f>
        <v>0</v>
      </c>
      <c r="D746" s="42">
        <f>SUM(D744:D745)</f>
        <v>0</v>
      </c>
      <c r="E746" s="39">
        <f>SUM(B746:D746)</f>
        <v>0</v>
      </c>
      <c r="F746" s="42">
        <f>SUM(F744:F745)</f>
        <v>0</v>
      </c>
      <c r="G746" s="42">
        <f>SUM(G744:G745)</f>
        <v>0</v>
      </c>
      <c r="H746" s="42">
        <f>SUM(H744:H745)</f>
        <v>0</v>
      </c>
      <c r="I746" s="39">
        <f>SUM(F746:H746)</f>
        <v>0</v>
      </c>
      <c r="J746" s="42">
        <f>SUM(J744:J745)</f>
        <v>0</v>
      </c>
      <c r="K746" s="42">
        <f>SUM(K744:K745)</f>
        <v>0</v>
      </c>
      <c r="L746" s="42">
        <f>SUM(L744:L745)</f>
        <v>0</v>
      </c>
      <c r="M746" s="39">
        <f>SUM(J746:L746)</f>
        <v>0</v>
      </c>
      <c r="N746" s="42">
        <f>SUM(N744:N745)</f>
        <v>0</v>
      </c>
      <c r="O746" s="42">
        <f>SUM(O744:O745)</f>
        <v>0</v>
      </c>
      <c r="P746" s="42">
        <f>SUM(P744:P745)</f>
        <v>0</v>
      </c>
      <c r="Q746" s="39">
        <f>SUM(N746:P746)</f>
        <v>0</v>
      </c>
      <c r="R746" s="37">
        <f>+E746+I746+M746+Q746</f>
        <v>0</v>
      </c>
    </row>
    <row r="747" spans="1:18" ht="16.5" customHeight="1" thickBot="1" x14ac:dyDescent="0.35">
      <c r="A747" s="277" t="s">
        <v>1221</v>
      </c>
      <c r="B747" s="45">
        <f>SUM(B737:B745)</f>
        <v>0</v>
      </c>
      <c r="C747" s="46">
        <f>SUM(C737:C745)</f>
        <v>0</v>
      </c>
      <c r="D747" s="58">
        <f>SUM(D737:D745)</f>
        <v>0</v>
      </c>
      <c r="E747" s="39">
        <f>SUM(B747:D747)</f>
        <v>0</v>
      </c>
      <c r="F747" s="46">
        <f>SUM(F737:F745)</f>
        <v>0</v>
      </c>
      <c r="G747" s="46">
        <f>SUM(G737:G745)</f>
        <v>0</v>
      </c>
      <c r="H747" s="46">
        <f>SUM(H737:H745)</f>
        <v>0</v>
      </c>
      <c r="I747" s="39">
        <f>SUM(F747:H747)</f>
        <v>0</v>
      </c>
      <c r="J747" s="46">
        <f>SUM(J737:J745)</f>
        <v>0</v>
      </c>
      <c r="K747" s="46">
        <f>SUM(K737:K745)</f>
        <v>0</v>
      </c>
      <c r="L747" s="46">
        <f>SUM(L737:L745)</f>
        <v>0</v>
      </c>
      <c r="M747" s="39">
        <f>SUM(J747:L747)</f>
        <v>0</v>
      </c>
      <c r="N747" s="46">
        <f>SUM(N737:N745)</f>
        <v>0</v>
      </c>
      <c r="O747" s="46">
        <f>SUM(O737:O745)</f>
        <v>0</v>
      </c>
      <c r="P747" s="46">
        <f>SUM(P737:P745)</f>
        <v>0</v>
      </c>
      <c r="Q747" s="39">
        <f>SUM(N747:P747)</f>
        <v>0</v>
      </c>
      <c r="R747" s="37">
        <f>+E747+I747+M747+Q747</f>
        <v>0</v>
      </c>
    </row>
    <row r="748" spans="1:18" ht="16.5" customHeight="1" thickBot="1" x14ac:dyDescent="0.35">
      <c r="A748" s="43" t="s">
        <v>1222</v>
      </c>
      <c r="B748" s="47">
        <f>+B718+B722+B736+B747</f>
        <v>8852</v>
      </c>
      <c r="C748" s="42">
        <f>+C718+C722+C736+C747</f>
        <v>5769</v>
      </c>
      <c r="D748" s="42">
        <f>+D718+D722+D736+D747</f>
        <v>10328</v>
      </c>
      <c r="E748" s="37">
        <f>SUM(B748:D748)</f>
        <v>24949</v>
      </c>
      <c r="F748" s="42">
        <f>+F718+F722+F736+F747</f>
        <v>15721</v>
      </c>
      <c r="G748" s="42">
        <f>+G718+G722+G736+G747</f>
        <v>15720</v>
      </c>
      <c r="H748" s="42">
        <f>+H718+H722+H736+H747</f>
        <v>15760</v>
      </c>
      <c r="I748" s="37">
        <f>SUM(F748:H748)</f>
        <v>47201</v>
      </c>
      <c r="J748" s="42">
        <f>+J718+J722+J736+J747</f>
        <v>16873</v>
      </c>
      <c r="K748" s="42">
        <f>+K718+K722+K736+K747</f>
        <v>15982</v>
      </c>
      <c r="L748" s="42">
        <f>+L718+L722+L736+L747</f>
        <v>12339</v>
      </c>
      <c r="M748" s="37">
        <f>SUM(J748:L748)</f>
        <v>45194</v>
      </c>
      <c r="N748" s="42">
        <f>+N718+N722+N736+N747</f>
        <v>10693</v>
      </c>
      <c r="O748" s="42">
        <f>+O718+O722+O736+O747</f>
        <v>0</v>
      </c>
      <c r="P748" s="42">
        <f>+P718+P722+P736+P747</f>
        <v>3901</v>
      </c>
      <c r="Q748" s="37">
        <f>SUM(N748:P748)</f>
        <v>14594</v>
      </c>
      <c r="R748" s="40">
        <f>+E748+I748+M748+Q748</f>
        <v>131938</v>
      </c>
    </row>
    <row r="749" spans="1:18" ht="16.5" customHeight="1" thickBot="1" x14ac:dyDescent="0.35">
      <c r="A749" s="250" t="s">
        <v>853</v>
      </c>
      <c r="B749" s="238">
        <v>22</v>
      </c>
      <c r="C749" s="238">
        <v>24</v>
      </c>
      <c r="D749" s="238">
        <v>31</v>
      </c>
      <c r="E749" s="37">
        <f>SUM(B749:D749)</f>
        <v>77</v>
      </c>
      <c r="F749" s="238">
        <v>40</v>
      </c>
      <c r="G749" s="238">
        <v>45</v>
      </c>
      <c r="H749" s="238">
        <v>48</v>
      </c>
      <c r="I749" s="37">
        <f>SUM(F749:H749)</f>
        <v>133</v>
      </c>
      <c r="J749" s="238">
        <v>42</v>
      </c>
      <c r="K749" s="238">
        <v>39</v>
      </c>
      <c r="L749" s="238">
        <v>38</v>
      </c>
      <c r="M749" s="37">
        <f>SUM(J749:L749)</f>
        <v>119</v>
      </c>
      <c r="N749" s="238">
        <v>32</v>
      </c>
      <c r="O749" s="238">
        <v>25</v>
      </c>
      <c r="P749" s="238">
        <v>21</v>
      </c>
      <c r="Q749" s="37">
        <f>SUM(N749:P749)</f>
        <v>78</v>
      </c>
      <c r="R749" s="39">
        <f>+E749+I749+M749+Q749</f>
        <v>407</v>
      </c>
    </row>
    <row r="750" spans="1:18" ht="16.5" customHeight="1" thickBot="1" x14ac:dyDescent="0.35">
      <c r="A750" s="22"/>
      <c r="B750" s="242"/>
      <c r="C750" s="242"/>
      <c r="D750" s="242"/>
      <c r="E750" s="233"/>
      <c r="F750" s="242"/>
      <c r="G750" s="242"/>
      <c r="H750" s="242"/>
      <c r="I750" s="233"/>
      <c r="J750" s="242"/>
      <c r="K750" s="242"/>
      <c r="L750" s="242"/>
      <c r="M750" s="233"/>
      <c r="N750" s="242"/>
      <c r="O750" s="242"/>
      <c r="P750" s="242"/>
      <c r="Q750" s="233"/>
      <c r="R750" s="21"/>
    </row>
    <row r="751" spans="1:18" ht="15.75" customHeight="1" x14ac:dyDescent="0.3">
      <c r="A751" s="234" t="s">
        <v>120</v>
      </c>
      <c r="B751" s="172">
        <f>+SUM(B748:B749)</f>
        <v>8874</v>
      </c>
      <c r="C751" s="172">
        <f>+SUM(C748:C749)</f>
        <v>5793</v>
      </c>
      <c r="D751" s="172">
        <f>+SUM(D748:D749)</f>
        <v>10359</v>
      </c>
      <c r="E751" s="39">
        <f>SUM(B751:D751)</f>
        <v>25026</v>
      </c>
      <c r="F751" s="172">
        <f>+SUM(F748:F749)</f>
        <v>15761</v>
      </c>
      <c r="G751" s="172">
        <f>+SUM(G748:G749)</f>
        <v>15765</v>
      </c>
      <c r="H751" s="172">
        <f>+SUM(H748:H749)</f>
        <v>15808</v>
      </c>
      <c r="I751" s="39">
        <f>SUM(F751:H751)</f>
        <v>47334</v>
      </c>
      <c r="J751" s="172">
        <f>+SUM(J748:J749)</f>
        <v>16915</v>
      </c>
      <c r="K751" s="172">
        <f>+SUM(K748:K749)</f>
        <v>16021</v>
      </c>
      <c r="L751" s="172">
        <f>+SUM(L748:L749)</f>
        <v>12377</v>
      </c>
      <c r="M751" s="39">
        <f>SUM(J751:L751)</f>
        <v>45313</v>
      </c>
      <c r="N751" s="172">
        <f>+SUM(N748:N749)</f>
        <v>10725</v>
      </c>
      <c r="O751" s="172">
        <f>+SUM(O748:O749)</f>
        <v>25</v>
      </c>
      <c r="P751" s="172">
        <f>+SUM(P748:P749)</f>
        <v>3922</v>
      </c>
      <c r="Q751" s="39">
        <f>SUM(N751:P751)</f>
        <v>14672</v>
      </c>
      <c r="R751" s="39">
        <f>+E751+I751+M751+Q751</f>
        <v>132345</v>
      </c>
    </row>
    <row r="752" spans="1:18" ht="15.75" customHeight="1" x14ac:dyDescent="0.3">
      <c r="A752" s="234" t="s">
        <v>1897</v>
      </c>
      <c r="B752" s="172">
        <f>(B751/B10)/1.983</f>
        <v>144.35605875750329</v>
      </c>
      <c r="C752" s="172">
        <f>(C751/C10)/1.983</f>
        <v>104.33326129241408</v>
      </c>
      <c r="D752" s="172">
        <f>(D751/D10)/1.983</f>
        <v>168.51300570982383</v>
      </c>
      <c r="E752" s="38" t="s">
        <v>852</v>
      </c>
      <c r="F752" s="172">
        <f>(F751/F10)/1.983</f>
        <v>264.93528324088084</v>
      </c>
      <c r="G752" s="172">
        <f>(G751/G10)/1.983</f>
        <v>256.45405299887756</v>
      </c>
      <c r="H752" s="172">
        <f>(H751/H10)/1.983</f>
        <v>265.72533198856945</v>
      </c>
      <c r="I752" s="38" t="s">
        <v>852</v>
      </c>
      <c r="J752" s="172">
        <f>(J751/J10)/1.983</f>
        <v>275.16145299562407</v>
      </c>
      <c r="K752" s="172">
        <f>(K751/K10)/1.983</f>
        <v>260.61848291119674</v>
      </c>
      <c r="L752" s="172">
        <f>(L751/L10)/1.983</f>
        <v>208.05177340729534</v>
      </c>
      <c r="M752" s="38" t="s">
        <v>852</v>
      </c>
      <c r="N752" s="172">
        <f>(N751/N10)/1.983</f>
        <v>174.4668391000927</v>
      </c>
      <c r="O752" s="172">
        <f>(O751/O10)/1.983</f>
        <v>0.42023869557908894</v>
      </c>
      <c r="P752" s="172">
        <f>(P751/P10)/1.983</f>
        <v>63.800367641078196</v>
      </c>
      <c r="Q752" s="38" t="s">
        <v>852</v>
      </c>
      <c r="R752" s="38" t="s">
        <v>852</v>
      </c>
    </row>
    <row r="753" spans="1:18" ht="15.75" customHeight="1" x14ac:dyDescent="0.3">
      <c r="A753" s="234" t="s">
        <v>2390</v>
      </c>
      <c r="B753" s="172">
        <f>B751+B763</f>
        <v>12364</v>
      </c>
      <c r="C753" s="172">
        <f>C751+C763</f>
        <v>9182</v>
      </c>
      <c r="D753" s="172">
        <f>D751+D763</f>
        <v>13625</v>
      </c>
      <c r="E753" s="38">
        <f>SUM(B753:D753)</f>
        <v>35171</v>
      </c>
      <c r="F753" s="172">
        <f>F751+F763</f>
        <v>19405</v>
      </c>
      <c r="G753" s="172">
        <f>G751+G763</f>
        <v>19848</v>
      </c>
      <c r="H753" s="172">
        <f>H751+H763</f>
        <v>20197</v>
      </c>
      <c r="I753" s="38">
        <f>SUM(F753:H753)</f>
        <v>59450</v>
      </c>
      <c r="J753" s="172">
        <f>J751+J763</f>
        <v>21410</v>
      </c>
      <c r="K753" s="172">
        <f>K751+K763</f>
        <v>20262</v>
      </c>
      <c r="L753" s="172">
        <f>L751+L763</f>
        <v>16428</v>
      </c>
      <c r="M753" s="38">
        <f>SUM(J753:L753)</f>
        <v>58100</v>
      </c>
      <c r="N753" s="172">
        <f>N751+N763</f>
        <v>14516</v>
      </c>
      <c r="O753" s="172">
        <f>O751+O763</f>
        <v>816</v>
      </c>
      <c r="P753" s="172">
        <f>P751+P763</f>
        <v>3938</v>
      </c>
      <c r="Q753" s="38">
        <f>SUM(N753:P753)</f>
        <v>19270</v>
      </c>
      <c r="R753" s="38">
        <f>+E753+I753+M753+Q753</f>
        <v>171991</v>
      </c>
    </row>
    <row r="754" spans="1:18" ht="16.5" customHeight="1" thickBot="1" x14ac:dyDescent="0.35">
      <c r="A754" s="237" t="s">
        <v>1716</v>
      </c>
      <c r="B754" s="238">
        <f>(B753/B10)/1.983</f>
        <v>201.12895092154278</v>
      </c>
      <c r="C754" s="238">
        <f>(C753/C10)/1.983</f>
        <v>165.36993012030834</v>
      </c>
      <c r="D754" s="238">
        <f>(D753/D10)/1.983</f>
        <v>221.64202170058397</v>
      </c>
      <c r="E754" s="40" t="s">
        <v>852</v>
      </c>
      <c r="F754" s="238">
        <f>(F753/F10)/1.983</f>
        <v>326.18927550848883</v>
      </c>
      <c r="G754" s="238">
        <f>(G753/G10)/1.983</f>
        <v>322.87345663950026</v>
      </c>
      <c r="H754" s="238">
        <f>(H753/H10)/1.983</f>
        <v>339.50243738443436</v>
      </c>
      <c r="I754" s="40" t="s">
        <v>852</v>
      </c>
      <c r="J754" s="238">
        <f>(J753/J10)/1.983</f>
        <v>348.28298602638552</v>
      </c>
      <c r="K754" s="238">
        <f>(K753/K10)/1.983</f>
        <v>329.60812063832901</v>
      </c>
      <c r="L754" s="238">
        <f>(L753/L10)/1.983</f>
        <v>276.14725163893092</v>
      </c>
      <c r="M754" s="40" t="s">
        <v>852</v>
      </c>
      <c r="N754" s="238">
        <f>(N753/N10)/1.983</f>
        <v>236.13618987197631</v>
      </c>
      <c r="O754" s="238">
        <f>(O753/O10)/1.983</f>
        <v>13.716591023701461</v>
      </c>
      <c r="P754" s="238">
        <f>(P753/P10)/1.983</f>
        <v>64.060644510598152</v>
      </c>
      <c r="Q754" s="40" t="s">
        <v>852</v>
      </c>
      <c r="R754" s="40" t="s">
        <v>852</v>
      </c>
    </row>
    <row r="755" spans="1:18" ht="15.75" customHeight="1" x14ac:dyDescent="0.3">
      <c r="A755" s="17"/>
      <c r="B755" s="172"/>
      <c r="C755" s="172"/>
      <c r="D755" s="172"/>
      <c r="E755" s="172"/>
      <c r="F755" s="172"/>
      <c r="G755" s="172"/>
      <c r="H755" s="172"/>
      <c r="I755" s="172"/>
      <c r="J755" s="172"/>
      <c r="K755" s="172"/>
      <c r="L755" s="172"/>
      <c r="M755" s="172"/>
      <c r="N755" s="172"/>
      <c r="O755" s="172"/>
      <c r="P755" s="172"/>
      <c r="Q755" s="172"/>
      <c r="R755" s="17"/>
    </row>
    <row r="756" spans="1:18" ht="15.75" customHeight="1" thickBot="1" x14ac:dyDescent="0.35">
      <c r="A756" s="17"/>
      <c r="B756" s="172"/>
      <c r="C756" s="172"/>
      <c r="D756" s="172"/>
      <c r="E756" s="172"/>
      <c r="F756" s="172"/>
      <c r="G756" s="172"/>
      <c r="H756" s="172"/>
      <c r="I756" s="172"/>
      <c r="J756" s="172"/>
      <c r="K756" s="172"/>
      <c r="L756" s="172"/>
      <c r="M756" s="172"/>
      <c r="N756" s="172"/>
      <c r="O756" s="172"/>
      <c r="P756" s="172"/>
      <c r="Q756" s="172"/>
      <c r="R756" s="17"/>
    </row>
    <row r="757" spans="1:18" ht="16.5" customHeight="1" thickBot="1" x14ac:dyDescent="0.35">
      <c r="A757" s="278" t="s">
        <v>374</v>
      </c>
      <c r="B757" s="4" t="s">
        <v>2090</v>
      </c>
      <c r="C757" s="5" t="s">
        <v>2091</v>
      </c>
      <c r="D757" s="5" t="s">
        <v>2234</v>
      </c>
      <c r="E757" s="33" t="s">
        <v>1594</v>
      </c>
      <c r="F757" s="5" t="s">
        <v>2235</v>
      </c>
      <c r="G757" s="5" t="s">
        <v>2236</v>
      </c>
      <c r="H757" s="5" t="s">
        <v>2237</v>
      </c>
      <c r="I757" s="35" t="s">
        <v>1595</v>
      </c>
      <c r="J757" s="5" t="s">
        <v>1504</v>
      </c>
      <c r="K757" s="5" t="s">
        <v>1505</v>
      </c>
      <c r="L757" s="5" t="s">
        <v>1506</v>
      </c>
      <c r="M757" s="35" t="s">
        <v>1596</v>
      </c>
      <c r="N757" s="5" t="s">
        <v>1507</v>
      </c>
      <c r="O757" s="5" t="s">
        <v>1508</v>
      </c>
      <c r="P757" s="5" t="s">
        <v>1509</v>
      </c>
      <c r="Q757" s="35" t="s">
        <v>1597</v>
      </c>
      <c r="R757" s="36" t="s">
        <v>1510</v>
      </c>
    </row>
    <row r="758" spans="1:18" ht="16.5" customHeight="1" thickBot="1" x14ac:dyDescent="0.35">
      <c r="A758" s="22"/>
      <c r="B758" s="242"/>
      <c r="C758" s="242"/>
      <c r="D758" s="242"/>
      <c r="E758" s="243"/>
      <c r="F758" s="242"/>
      <c r="G758" s="242"/>
      <c r="H758" s="242"/>
      <c r="I758" s="243"/>
      <c r="J758" s="242"/>
      <c r="K758" s="242"/>
      <c r="L758" s="242"/>
      <c r="M758" s="243"/>
      <c r="N758" s="242"/>
      <c r="O758" s="242"/>
      <c r="P758" s="242"/>
      <c r="Q758" s="243"/>
      <c r="R758" s="22"/>
    </row>
    <row r="759" spans="1:18" ht="16.5" customHeight="1" thickBot="1" x14ac:dyDescent="0.35">
      <c r="A759" s="244" t="s">
        <v>853</v>
      </c>
      <c r="B759" s="238">
        <v>2</v>
      </c>
      <c r="C759" s="238">
        <v>3</v>
      </c>
      <c r="D759" s="238">
        <v>5</v>
      </c>
      <c r="E759" s="38">
        <f>SUM(B759:D759)</f>
        <v>10</v>
      </c>
      <c r="F759" s="238">
        <v>7</v>
      </c>
      <c r="G759" s="238">
        <v>8</v>
      </c>
      <c r="H759" s="238">
        <v>9</v>
      </c>
      <c r="I759" s="38">
        <f>SUM(F759:H759)</f>
        <v>24</v>
      </c>
      <c r="J759" s="238">
        <v>7</v>
      </c>
      <c r="K759" s="238">
        <v>6</v>
      </c>
      <c r="L759" s="238">
        <v>6</v>
      </c>
      <c r="M759" s="38">
        <f>SUM(J759:L759)</f>
        <v>19</v>
      </c>
      <c r="N759" s="238">
        <v>5</v>
      </c>
      <c r="O759" s="238">
        <v>3</v>
      </c>
      <c r="P759" s="238">
        <v>2</v>
      </c>
      <c r="Q759" s="38">
        <f>SUM(N759:P759)</f>
        <v>10</v>
      </c>
      <c r="R759" s="39">
        <f>+E759+I759+M759+Q759</f>
        <v>63</v>
      </c>
    </row>
    <row r="760" spans="1:18" ht="16.5" customHeight="1" thickBot="1" x14ac:dyDescent="0.35">
      <c r="A760" s="22"/>
      <c r="B760" s="242"/>
      <c r="C760" s="242"/>
      <c r="D760" s="242"/>
      <c r="E760" s="233"/>
      <c r="F760" s="242"/>
      <c r="G760" s="242"/>
      <c r="H760" s="242"/>
      <c r="I760" s="233"/>
      <c r="J760" s="242"/>
      <c r="K760" s="242"/>
      <c r="L760" s="242"/>
      <c r="M760" s="233"/>
      <c r="N760" s="242"/>
      <c r="O760" s="242"/>
      <c r="P760" s="242"/>
      <c r="Q760" s="233"/>
      <c r="R760" s="21"/>
    </row>
    <row r="761" spans="1:18" ht="15.75" customHeight="1" x14ac:dyDescent="0.3">
      <c r="A761" s="234" t="s">
        <v>120</v>
      </c>
      <c r="B761" s="172">
        <f>B759</f>
        <v>2</v>
      </c>
      <c r="C761" s="172">
        <f>C759</f>
        <v>3</v>
      </c>
      <c r="D761" s="172">
        <f>D759</f>
        <v>5</v>
      </c>
      <c r="E761" s="39">
        <f>SUM(B761:D761)</f>
        <v>10</v>
      </c>
      <c r="F761" s="172">
        <f>F759</f>
        <v>7</v>
      </c>
      <c r="G761" s="172">
        <f>G759</f>
        <v>8</v>
      </c>
      <c r="H761" s="172">
        <f>H759</f>
        <v>9</v>
      </c>
      <c r="I761" s="39">
        <f>SUM(F761:H761)</f>
        <v>24</v>
      </c>
      <c r="J761" s="172">
        <f>J759</f>
        <v>7</v>
      </c>
      <c r="K761" s="172">
        <f>K759</f>
        <v>6</v>
      </c>
      <c r="L761" s="172">
        <f>L759</f>
        <v>6</v>
      </c>
      <c r="M761" s="39">
        <f>SUM(J761:L761)</f>
        <v>19</v>
      </c>
      <c r="N761" s="172">
        <f>N759</f>
        <v>5</v>
      </c>
      <c r="O761" s="172">
        <f>O759</f>
        <v>3</v>
      </c>
      <c r="P761" s="172">
        <f>P759</f>
        <v>2</v>
      </c>
      <c r="Q761" s="39">
        <f>SUM(N761:P761)</f>
        <v>10</v>
      </c>
      <c r="R761" s="39">
        <f>+E761+I761+M761+Q761</f>
        <v>63</v>
      </c>
    </row>
    <row r="762" spans="1:18" ht="15.75" customHeight="1" x14ac:dyDescent="0.3">
      <c r="A762" s="234" t="s">
        <v>1897</v>
      </c>
      <c r="B762" s="172">
        <f>(B761/B10)/1.983</f>
        <v>3.2534608689993978E-2</v>
      </c>
      <c r="C762" s="172">
        <f>(C761/C10)/1.983</f>
        <v>5.403068943159714E-2</v>
      </c>
      <c r="D762" s="172">
        <f>(D761/D10)/1.983</f>
        <v>8.1336521724984942E-2</v>
      </c>
      <c r="E762" s="38" t="s">
        <v>852</v>
      </c>
      <c r="F762" s="172">
        <f>(F761/F10)/1.983</f>
        <v>0.1176668347621449</v>
      </c>
      <c r="G762" s="172">
        <f>(G761/G10)/1.983</f>
        <v>0.13013843475997591</v>
      </c>
      <c r="H762" s="172">
        <f>(H761/H10)/1.983</f>
        <v>0.15128593040847199</v>
      </c>
      <c r="I762" s="38" t="s">
        <v>852</v>
      </c>
      <c r="J762" s="172">
        <f>(J761/J10)/1.983</f>
        <v>0.11387113041497893</v>
      </c>
      <c r="K762" s="172">
        <f>(K761/K10)/1.983</f>
        <v>9.7603826069981942E-2</v>
      </c>
      <c r="L762" s="172">
        <f>(L761/L10)/1.983</f>
        <v>0.10085728693898134</v>
      </c>
      <c r="M762" s="38" t="s">
        <v>852</v>
      </c>
      <c r="N762" s="172">
        <f>(N761/N10)/1.983</f>
        <v>8.1336521724984942E-2</v>
      </c>
      <c r="O762" s="172">
        <f>(O761/O10)/1.983</f>
        <v>5.0428643469490671E-2</v>
      </c>
      <c r="P762" s="172">
        <f>(P761/P10)/1.983</f>
        <v>3.2534608689993978E-2</v>
      </c>
      <c r="Q762" s="38" t="s">
        <v>852</v>
      </c>
      <c r="R762" s="38" t="s">
        <v>852</v>
      </c>
    </row>
    <row r="763" spans="1:18" ht="15.75" customHeight="1" x14ac:dyDescent="0.3">
      <c r="A763" s="234" t="s">
        <v>585</v>
      </c>
      <c r="B763" s="172">
        <f>B761+B797+B846-B792</f>
        <v>3490</v>
      </c>
      <c r="C763" s="172">
        <f>C761+C797+C846-C792</f>
        <v>3389</v>
      </c>
      <c r="D763" s="172">
        <f>D761+D797+D846-D792</f>
        <v>3266</v>
      </c>
      <c r="E763" s="38">
        <f>SUM(B763:D763)</f>
        <v>10145</v>
      </c>
      <c r="F763" s="172">
        <f>F761+F797+F846-F792</f>
        <v>3644</v>
      </c>
      <c r="G763" s="172">
        <f>G761+G797+G846-G792</f>
        <v>4083</v>
      </c>
      <c r="H763" s="172">
        <f>H761+H797+H846-H792</f>
        <v>4389</v>
      </c>
      <c r="I763" s="38">
        <f>SUM(F763:H763)</f>
        <v>12116</v>
      </c>
      <c r="J763" s="172">
        <f>J761+J797+J846-J792</f>
        <v>4495</v>
      </c>
      <c r="K763" s="172">
        <f>K761+K797+K846-K792</f>
        <v>4241</v>
      </c>
      <c r="L763" s="172">
        <f>L761+L797+L846-L792</f>
        <v>4051</v>
      </c>
      <c r="M763" s="38">
        <f>SUM(J763:L763)</f>
        <v>12787</v>
      </c>
      <c r="N763" s="172">
        <f>N761+N797+N846-N792</f>
        <v>3791</v>
      </c>
      <c r="O763" s="172">
        <f>O761+O797+O846-O792</f>
        <v>791</v>
      </c>
      <c r="P763" s="172">
        <f>P761+P797+P846-P792</f>
        <v>16</v>
      </c>
      <c r="Q763" s="38">
        <f>SUM(N763:P763)</f>
        <v>4598</v>
      </c>
      <c r="R763" s="38">
        <f>+E763+I763+M763+Q763</f>
        <v>39646</v>
      </c>
    </row>
    <row r="764" spans="1:18" ht="16.5" customHeight="1" thickBot="1" x14ac:dyDescent="0.35">
      <c r="A764" s="237" t="s">
        <v>57</v>
      </c>
      <c r="B764" s="238">
        <f>(B763/B10)/1.983</f>
        <v>56.77289216403949</v>
      </c>
      <c r="C764" s="238">
        <f>(C763/C10)/1.983</f>
        <v>61.036668827894246</v>
      </c>
      <c r="D764" s="238">
        <f>(D763/D10)/1.983</f>
        <v>53.129015990760173</v>
      </c>
      <c r="E764" s="40" t="s">
        <v>852</v>
      </c>
      <c r="F764" s="238">
        <f>(F763/F10)/1.983</f>
        <v>61.253992267607998</v>
      </c>
      <c r="G764" s="238">
        <f>(G763/G10)/1.983</f>
        <v>66.419403640622718</v>
      </c>
      <c r="H764" s="238">
        <f>(H763/H10)/1.983</f>
        <v>73.777105395864851</v>
      </c>
      <c r="I764" s="40" t="s">
        <v>852</v>
      </c>
      <c r="J764" s="238">
        <f>(J763/J10)/1.983</f>
        <v>73.121533030761469</v>
      </c>
      <c r="K764" s="238">
        <f>(K763/K10)/1.983</f>
        <v>68.989637727132234</v>
      </c>
      <c r="L764" s="238">
        <f>(L763/L10)/1.983</f>
        <v>68.095478231635568</v>
      </c>
      <c r="M764" s="40" t="s">
        <v>852</v>
      </c>
      <c r="N764" s="238">
        <f>(N763/N10)/1.983</f>
        <v>61.669350771883593</v>
      </c>
      <c r="O764" s="238">
        <f>(O763/O10)/1.983</f>
        <v>13.296352328122373</v>
      </c>
      <c r="P764" s="238">
        <f>(P763/P10)/1.983</f>
        <v>0.26027686951995183</v>
      </c>
      <c r="Q764" s="40" t="s">
        <v>852</v>
      </c>
      <c r="R764" s="40" t="s">
        <v>852</v>
      </c>
    </row>
    <row r="765" spans="1:18" ht="15.75" customHeight="1" x14ac:dyDescent="0.3">
      <c r="A765" s="17"/>
      <c r="B765" s="172"/>
      <c r="C765" s="172"/>
      <c r="D765" s="172"/>
      <c r="E765" s="172"/>
      <c r="F765" s="172"/>
      <c r="G765" s="172"/>
      <c r="H765" s="172"/>
      <c r="I765" s="172"/>
      <c r="J765" s="172"/>
      <c r="K765" s="172"/>
      <c r="L765" s="172"/>
      <c r="M765" s="172"/>
      <c r="N765" s="172"/>
      <c r="O765" s="172"/>
      <c r="P765" s="172"/>
      <c r="Q765" s="172"/>
      <c r="R765" s="17"/>
    </row>
    <row r="766" spans="1:18" ht="15.75" customHeight="1" thickBot="1" x14ac:dyDescent="0.35">
      <c r="A766" s="17"/>
      <c r="B766" s="172"/>
      <c r="C766" s="172"/>
      <c r="D766" s="172"/>
      <c r="E766" s="172"/>
      <c r="F766" s="172"/>
      <c r="G766" s="172"/>
      <c r="H766" s="172"/>
      <c r="I766" s="172"/>
      <c r="J766" s="172"/>
      <c r="K766" s="172"/>
      <c r="L766" s="172"/>
      <c r="M766" s="172"/>
      <c r="N766" s="172"/>
      <c r="O766" s="172"/>
      <c r="P766" s="172"/>
      <c r="Q766" s="172"/>
      <c r="R766" s="17"/>
    </row>
    <row r="767" spans="1:18" ht="16.5" customHeight="1" thickBot="1" x14ac:dyDescent="0.35">
      <c r="A767" s="278" t="s">
        <v>1709</v>
      </c>
      <c r="B767" s="4" t="s">
        <v>2090</v>
      </c>
      <c r="C767" s="5" t="s">
        <v>2091</v>
      </c>
      <c r="D767" s="5" t="s">
        <v>2234</v>
      </c>
      <c r="E767" s="35" t="s">
        <v>1594</v>
      </c>
      <c r="F767" s="5" t="s">
        <v>2235</v>
      </c>
      <c r="G767" s="5" t="s">
        <v>2236</v>
      </c>
      <c r="H767" s="5" t="s">
        <v>2237</v>
      </c>
      <c r="I767" s="35" t="s">
        <v>1595</v>
      </c>
      <c r="J767" s="5" t="s">
        <v>1504</v>
      </c>
      <c r="K767" s="5" t="s">
        <v>1505</v>
      </c>
      <c r="L767" s="5" t="s">
        <v>1506</v>
      </c>
      <c r="M767" s="35" t="s">
        <v>1596</v>
      </c>
      <c r="N767" s="5" t="s">
        <v>1507</v>
      </c>
      <c r="O767" s="5" t="s">
        <v>1508</v>
      </c>
      <c r="P767" s="5" t="s">
        <v>1509</v>
      </c>
      <c r="Q767" s="35" t="s">
        <v>1597</v>
      </c>
      <c r="R767" s="59" t="s">
        <v>1510</v>
      </c>
    </row>
    <row r="768" spans="1:18" ht="16.5" customHeight="1" thickBot="1" x14ac:dyDescent="0.35">
      <c r="A768" s="22"/>
      <c r="B768" s="242"/>
      <c r="C768" s="242"/>
      <c r="D768" s="242"/>
      <c r="E768" s="282"/>
      <c r="F768" s="242"/>
      <c r="G768" s="242"/>
      <c r="H768" s="242"/>
      <c r="I768" s="282"/>
      <c r="J768" s="242"/>
      <c r="K768" s="242"/>
      <c r="L768" s="242"/>
      <c r="M768" s="282"/>
      <c r="N768" s="242"/>
      <c r="O768" s="242"/>
      <c r="P768" s="242"/>
      <c r="Q768" s="282"/>
      <c r="R768" s="19"/>
    </row>
    <row r="769" spans="1:18" ht="15.75" customHeight="1" x14ac:dyDescent="0.3">
      <c r="A769" s="234" t="s">
        <v>2417</v>
      </c>
      <c r="B769" s="172" t="s">
        <v>852</v>
      </c>
      <c r="C769" s="172" t="s">
        <v>852</v>
      </c>
      <c r="D769" s="172" t="s">
        <v>852</v>
      </c>
      <c r="E769" s="38" t="s">
        <v>852</v>
      </c>
      <c r="F769" s="172" t="s">
        <v>852</v>
      </c>
      <c r="G769" s="172" t="s">
        <v>852</v>
      </c>
      <c r="H769" s="172" t="s">
        <v>852</v>
      </c>
      <c r="I769" s="38" t="s">
        <v>852</v>
      </c>
      <c r="J769" s="172" t="s">
        <v>852</v>
      </c>
      <c r="K769" s="172" t="s">
        <v>852</v>
      </c>
      <c r="L769" s="172" t="s">
        <v>852</v>
      </c>
      <c r="M769" s="38" t="s">
        <v>852</v>
      </c>
      <c r="N769" s="172" t="s">
        <v>852</v>
      </c>
      <c r="O769" s="172" t="s">
        <v>852</v>
      </c>
      <c r="P769" s="172" t="s">
        <v>852</v>
      </c>
      <c r="Q769" s="38" t="s">
        <v>852</v>
      </c>
      <c r="R769" s="38" t="s">
        <v>852</v>
      </c>
    </row>
    <row r="770" spans="1:18" ht="15.75" customHeight="1" x14ac:dyDescent="0.3">
      <c r="A770" s="234" t="s">
        <v>2160</v>
      </c>
      <c r="B770" s="172"/>
      <c r="C770" s="172"/>
      <c r="D770" s="172"/>
      <c r="E770" s="38" t="s">
        <v>852</v>
      </c>
      <c r="F770" s="172"/>
      <c r="G770" s="172"/>
      <c r="H770" s="172"/>
      <c r="I770" s="38" t="s">
        <v>852</v>
      </c>
      <c r="J770" s="172"/>
      <c r="K770" s="172"/>
      <c r="L770" s="172"/>
      <c r="M770" s="38" t="s">
        <v>852</v>
      </c>
      <c r="N770" s="172"/>
      <c r="O770" s="172"/>
      <c r="P770" s="172"/>
      <c r="Q770" s="38" t="s">
        <v>852</v>
      </c>
      <c r="R770" s="38" t="s">
        <v>852</v>
      </c>
    </row>
    <row r="771" spans="1:18" ht="15.75" customHeight="1" x14ac:dyDescent="0.3">
      <c r="A771" s="266" t="s">
        <v>573</v>
      </c>
      <c r="B771" s="172"/>
      <c r="C771" s="172"/>
      <c r="D771" s="172"/>
      <c r="E771" s="38">
        <f>SUM(B771:D771)</f>
        <v>0</v>
      </c>
      <c r="F771" s="172"/>
      <c r="G771" s="172">
        <v>46</v>
      </c>
      <c r="H771" s="172"/>
      <c r="I771" s="38">
        <f>SUM(F771:H771)</f>
        <v>46</v>
      </c>
      <c r="J771" s="172"/>
      <c r="K771" s="172"/>
      <c r="L771" s="172"/>
      <c r="M771" s="38">
        <f>SUM(J771:L771)</f>
        <v>0</v>
      </c>
      <c r="N771" s="172"/>
      <c r="O771" s="172"/>
      <c r="P771" s="172"/>
      <c r="Q771" s="38">
        <f>SUM(N771:P771)</f>
        <v>0</v>
      </c>
      <c r="R771" s="38">
        <f>+E771+I771+M771+Q771</f>
        <v>46</v>
      </c>
    </row>
    <row r="772" spans="1:18" ht="15.75" customHeight="1" x14ac:dyDescent="0.3">
      <c r="A772" s="234" t="s">
        <v>2161</v>
      </c>
      <c r="B772" s="172"/>
      <c r="C772" s="172"/>
      <c r="D772" s="172"/>
      <c r="E772" s="38" t="s">
        <v>852</v>
      </c>
      <c r="F772" s="172"/>
      <c r="G772" s="172"/>
      <c r="H772" s="172"/>
      <c r="I772" s="38" t="s">
        <v>852</v>
      </c>
      <c r="J772" s="172"/>
      <c r="K772" s="172"/>
      <c r="L772" s="172"/>
      <c r="M772" s="38" t="s">
        <v>852</v>
      </c>
      <c r="N772" s="172"/>
      <c r="O772" s="172"/>
      <c r="P772" s="172"/>
      <c r="Q772" s="38" t="s">
        <v>852</v>
      </c>
      <c r="R772" s="38" t="s">
        <v>852</v>
      </c>
    </row>
    <row r="773" spans="1:18" ht="15.75" customHeight="1" x14ac:dyDescent="0.3">
      <c r="A773" s="234" t="s">
        <v>3245</v>
      </c>
      <c r="B773" s="172"/>
      <c r="C773" s="172"/>
      <c r="D773" s="172"/>
      <c r="E773" s="38" t="s">
        <v>852</v>
      </c>
      <c r="F773" s="172"/>
      <c r="G773" s="172"/>
      <c r="H773" s="172"/>
      <c r="I773" s="38" t="s">
        <v>852</v>
      </c>
      <c r="J773" s="172"/>
      <c r="K773" s="172"/>
      <c r="L773" s="172"/>
      <c r="M773" s="38" t="s">
        <v>852</v>
      </c>
      <c r="N773" s="172"/>
      <c r="O773" s="172"/>
      <c r="P773" s="172"/>
      <c r="Q773" s="38" t="s">
        <v>852</v>
      </c>
      <c r="R773" s="38" t="s">
        <v>852</v>
      </c>
    </row>
    <row r="774" spans="1:18" ht="15.75" customHeight="1" thickBot="1" x14ac:dyDescent="0.35">
      <c r="A774" s="234" t="s">
        <v>2164</v>
      </c>
      <c r="B774" s="172"/>
      <c r="C774" s="172"/>
      <c r="D774" s="172"/>
      <c r="E774" s="38" t="s">
        <v>852</v>
      </c>
      <c r="F774" s="172"/>
      <c r="G774" s="172"/>
      <c r="H774" s="172"/>
      <c r="I774" s="38" t="s">
        <v>852</v>
      </c>
      <c r="J774" s="172"/>
      <c r="K774" s="172"/>
      <c r="L774" s="172"/>
      <c r="M774" s="38" t="s">
        <v>852</v>
      </c>
      <c r="N774" s="172"/>
      <c r="O774" s="172"/>
      <c r="P774" s="172"/>
      <c r="Q774" s="38" t="s">
        <v>852</v>
      </c>
      <c r="R774" s="38" t="s">
        <v>852</v>
      </c>
    </row>
    <row r="775" spans="1:18" ht="16.5" customHeight="1" thickBot="1" x14ac:dyDescent="0.35">
      <c r="A775" s="43" t="s">
        <v>1218</v>
      </c>
      <c r="B775" s="45">
        <f>SUM(B769:B774)</f>
        <v>0</v>
      </c>
      <c r="C775" s="46">
        <f>SUM(C769:C774)</f>
        <v>0</v>
      </c>
      <c r="D775" s="46">
        <f>SUM(D769:D774)</f>
        <v>0</v>
      </c>
      <c r="E775" s="37">
        <f>SUM(B775:D775)</f>
        <v>0</v>
      </c>
      <c r="F775" s="46">
        <f>SUM(F769:F774)</f>
        <v>0</v>
      </c>
      <c r="G775" s="46">
        <f>SUM(G769:G774)</f>
        <v>46</v>
      </c>
      <c r="H775" s="46">
        <f>SUM(H769:H774)</f>
        <v>0</v>
      </c>
      <c r="I775" s="37">
        <f>SUM(F775:H775)</f>
        <v>46</v>
      </c>
      <c r="J775" s="46">
        <f>SUM(J769:J774)</f>
        <v>0</v>
      </c>
      <c r="K775" s="46">
        <f>SUM(K769:K774)</f>
        <v>0</v>
      </c>
      <c r="L775" s="46">
        <f>SUM(L769:L774)</f>
        <v>0</v>
      </c>
      <c r="M775" s="37">
        <f>SUM(J775:L775)</f>
        <v>0</v>
      </c>
      <c r="N775" s="46">
        <f>SUM(N769:N774)</f>
        <v>0</v>
      </c>
      <c r="O775" s="46">
        <f>SUM(O769:O774)</f>
        <v>0</v>
      </c>
      <c r="P775" s="46">
        <f>SUM(P769:P774)</f>
        <v>0</v>
      </c>
      <c r="Q775" s="37">
        <f>SUM(N775:P775)</f>
        <v>0</v>
      </c>
      <c r="R775" s="37">
        <f>+E775+I775+M775+Q775</f>
        <v>46</v>
      </c>
    </row>
    <row r="776" spans="1:18" ht="15.75" customHeight="1" x14ac:dyDescent="0.3">
      <c r="A776" s="234" t="s">
        <v>1172</v>
      </c>
      <c r="B776" s="172"/>
      <c r="C776" s="172"/>
      <c r="D776" s="172"/>
      <c r="E776" s="38" t="s">
        <v>852</v>
      </c>
      <c r="F776" s="172"/>
      <c r="G776" s="172"/>
      <c r="H776" s="172"/>
      <c r="I776" s="38" t="s">
        <v>852</v>
      </c>
      <c r="J776" s="172"/>
      <c r="K776" s="172"/>
      <c r="L776" s="172"/>
      <c r="M776" s="38" t="s">
        <v>852</v>
      </c>
      <c r="N776" s="172"/>
      <c r="O776" s="172"/>
      <c r="P776" s="172"/>
      <c r="Q776" s="38" t="s">
        <v>852</v>
      </c>
      <c r="R776" s="38" t="s">
        <v>852</v>
      </c>
    </row>
    <row r="777" spans="1:18" ht="15.75" customHeight="1" x14ac:dyDescent="0.3">
      <c r="A777" s="234" t="s">
        <v>2409</v>
      </c>
      <c r="B777" s="172"/>
      <c r="C777" s="172"/>
      <c r="D777" s="172"/>
      <c r="E777" s="38" t="s">
        <v>852</v>
      </c>
      <c r="F777" s="172"/>
      <c r="G777" s="172"/>
      <c r="H777" s="172"/>
      <c r="I777" s="38" t="s">
        <v>852</v>
      </c>
      <c r="J777" s="172"/>
      <c r="K777" s="172"/>
      <c r="L777" s="172"/>
      <c r="M777" s="38" t="s">
        <v>852</v>
      </c>
      <c r="N777" s="172"/>
      <c r="O777" s="172"/>
      <c r="P777" s="172"/>
      <c r="Q777" s="38" t="s">
        <v>852</v>
      </c>
      <c r="R777" s="38" t="s">
        <v>852</v>
      </c>
    </row>
    <row r="778" spans="1:18" ht="15.75" customHeight="1" thickBot="1" x14ac:dyDescent="0.35">
      <c r="A778" s="234" t="s">
        <v>2165</v>
      </c>
      <c r="B778" s="172"/>
      <c r="C778" s="172"/>
      <c r="D778" s="172"/>
      <c r="E778" s="38" t="s">
        <v>852</v>
      </c>
      <c r="F778" s="172"/>
      <c r="G778" s="172"/>
      <c r="H778" s="172"/>
      <c r="I778" s="38" t="s">
        <v>852</v>
      </c>
      <c r="J778" s="172"/>
      <c r="K778" s="172"/>
      <c r="L778" s="172"/>
      <c r="M778" s="38" t="s">
        <v>852</v>
      </c>
      <c r="N778" s="172"/>
      <c r="O778" s="172"/>
      <c r="P778" s="172"/>
      <c r="Q778" s="38" t="s">
        <v>852</v>
      </c>
      <c r="R778" s="38" t="s">
        <v>852</v>
      </c>
    </row>
    <row r="779" spans="1:18" ht="16.5" customHeight="1" thickBot="1" x14ac:dyDescent="0.35">
      <c r="A779" s="43" t="s">
        <v>1219</v>
      </c>
      <c r="B779" s="45">
        <f>SUM(B776:B778)</f>
        <v>0</v>
      </c>
      <c r="C779" s="46">
        <f>SUM(C776:C778)</f>
        <v>0</v>
      </c>
      <c r="D779" s="46">
        <f>SUM(D776:D778)</f>
        <v>0</v>
      </c>
      <c r="E779" s="37">
        <f>SUM(B779:D779)</f>
        <v>0</v>
      </c>
      <c r="F779" s="46">
        <f>SUM(F776:F778)</f>
        <v>0</v>
      </c>
      <c r="G779" s="46">
        <f>SUM(G776:G778)</f>
        <v>0</v>
      </c>
      <c r="H779" s="46">
        <f>SUM(H776:H778)</f>
        <v>0</v>
      </c>
      <c r="I779" s="37">
        <f>SUM(F779:H779)</f>
        <v>0</v>
      </c>
      <c r="J779" s="46">
        <f>SUM(J776:J778)</f>
        <v>0</v>
      </c>
      <c r="K779" s="46">
        <f>SUM(K776:K778)</f>
        <v>0</v>
      </c>
      <c r="L779" s="46">
        <f>SUM(L776:L778)</f>
        <v>0</v>
      </c>
      <c r="M779" s="37">
        <f>SUM(J779:L779)</f>
        <v>0</v>
      </c>
      <c r="N779" s="46">
        <f>SUM(N776:N778)</f>
        <v>0</v>
      </c>
      <c r="O779" s="46">
        <f>SUM(O776:O778)</f>
        <v>0</v>
      </c>
      <c r="P779" s="46">
        <f>SUM(P776:P778)</f>
        <v>0</v>
      </c>
      <c r="Q779" s="37">
        <f>SUM(N779:P779)</f>
        <v>0</v>
      </c>
      <c r="R779" s="37">
        <f>+E779+I779+M779+Q779</f>
        <v>0</v>
      </c>
    </row>
    <row r="780" spans="1:18" ht="15.75" customHeight="1" x14ac:dyDescent="0.3">
      <c r="A780" s="234" t="s">
        <v>2166</v>
      </c>
      <c r="B780" s="172"/>
      <c r="C780" s="172"/>
      <c r="D780" s="172"/>
      <c r="E780" s="38" t="s">
        <v>852</v>
      </c>
      <c r="F780" s="172"/>
      <c r="G780" s="172"/>
      <c r="H780" s="172"/>
      <c r="I780" s="38" t="s">
        <v>852</v>
      </c>
      <c r="J780" s="172"/>
      <c r="K780" s="172"/>
      <c r="L780" s="172"/>
      <c r="M780" s="38" t="s">
        <v>852</v>
      </c>
      <c r="N780" s="172"/>
      <c r="O780" s="172"/>
      <c r="P780" s="172"/>
      <c r="Q780" s="38" t="s">
        <v>852</v>
      </c>
      <c r="R780" s="38" t="s">
        <v>852</v>
      </c>
    </row>
    <row r="781" spans="1:18" ht="15.75" customHeight="1" x14ac:dyDescent="0.3">
      <c r="A781" s="234" t="s">
        <v>1245</v>
      </c>
      <c r="B781" s="172"/>
      <c r="C781" s="172"/>
      <c r="D781" s="172"/>
      <c r="E781" s="38" t="s">
        <v>852</v>
      </c>
      <c r="F781" s="172"/>
      <c r="G781" s="172"/>
      <c r="H781" s="172"/>
      <c r="I781" s="38" t="s">
        <v>852</v>
      </c>
      <c r="J781" s="172"/>
      <c r="K781" s="172"/>
      <c r="L781" s="172"/>
      <c r="M781" s="38" t="s">
        <v>852</v>
      </c>
      <c r="N781" s="172"/>
      <c r="O781" s="172"/>
      <c r="P781" s="172"/>
      <c r="Q781" s="38" t="s">
        <v>852</v>
      </c>
      <c r="R781" s="38" t="s">
        <v>852</v>
      </c>
    </row>
    <row r="782" spans="1:18" ht="15.75" customHeight="1" thickBot="1" x14ac:dyDescent="0.35">
      <c r="A782" s="234" t="s">
        <v>1711</v>
      </c>
      <c r="B782" s="172"/>
      <c r="C782" s="172"/>
      <c r="D782" s="172"/>
      <c r="E782" s="38" t="s">
        <v>852</v>
      </c>
      <c r="F782" s="172"/>
      <c r="G782" s="172"/>
      <c r="H782" s="172"/>
      <c r="I782" s="38" t="s">
        <v>852</v>
      </c>
      <c r="J782" s="172"/>
      <c r="K782" s="172"/>
      <c r="L782" s="172"/>
      <c r="M782" s="38" t="s">
        <v>852</v>
      </c>
      <c r="N782" s="172"/>
      <c r="O782" s="172"/>
      <c r="P782" s="172"/>
      <c r="Q782" s="38" t="s">
        <v>852</v>
      </c>
      <c r="R782" s="38" t="s">
        <v>852</v>
      </c>
    </row>
    <row r="783" spans="1:18" ht="16.5" customHeight="1" thickBot="1" x14ac:dyDescent="0.35">
      <c r="A783" s="43" t="s">
        <v>1220</v>
      </c>
      <c r="B783" s="45">
        <f>SUM(B780:B782)</f>
        <v>0</v>
      </c>
      <c r="C783" s="46">
        <f>SUM(C780:C782)</f>
        <v>0</v>
      </c>
      <c r="D783" s="46">
        <f>SUM(D780:D782)</f>
        <v>0</v>
      </c>
      <c r="E783" s="37">
        <f>SUM(B783:D783)</f>
        <v>0</v>
      </c>
      <c r="F783" s="46">
        <f>SUM(F780:F782)</f>
        <v>0</v>
      </c>
      <c r="G783" s="46">
        <f>SUM(G780:G782)</f>
        <v>0</v>
      </c>
      <c r="H783" s="46">
        <f>SUM(H780:H782)</f>
        <v>0</v>
      </c>
      <c r="I783" s="37">
        <f>SUM(F783:H783)</f>
        <v>0</v>
      </c>
      <c r="J783" s="46">
        <f>SUM(J780:J782)</f>
        <v>0</v>
      </c>
      <c r="K783" s="46">
        <f>SUM(K780:K782)</f>
        <v>0</v>
      </c>
      <c r="L783" s="46">
        <f>SUM(L780:L782)</f>
        <v>0</v>
      </c>
      <c r="M783" s="37">
        <f>SUM(J783:L783)</f>
        <v>0</v>
      </c>
      <c r="N783" s="46">
        <f>SUM(N780:N782)</f>
        <v>0</v>
      </c>
      <c r="O783" s="46">
        <f>SUM(O780:O782)</f>
        <v>0</v>
      </c>
      <c r="P783" s="46">
        <f>SUM(P780:P782)</f>
        <v>0</v>
      </c>
      <c r="Q783" s="37">
        <f>SUM(N783:P783)</f>
        <v>0</v>
      </c>
      <c r="R783" s="37">
        <f>+E783+I783+M783+Q783</f>
        <v>0</v>
      </c>
    </row>
    <row r="784" spans="1:18" ht="15.75" customHeight="1" x14ac:dyDescent="0.3">
      <c r="A784" s="234" t="s">
        <v>1712</v>
      </c>
      <c r="B784" s="172"/>
      <c r="C784" s="172"/>
      <c r="D784" s="172"/>
      <c r="E784" s="38" t="s">
        <v>852</v>
      </c>
      <c r="F784" s="172"/>
      <c r="G784" s="172"/>
      <c r="H784" s="172"/>
      <c r="I784" s="38" t="s">
        <v>852</v>
      </c>
      <c r="J784" s="172"/>
      <c r="K784" s="172"/>
      <c r="L784" s="172"/>
      <c r="M784" s="38" t="s">
        <v>852</v>
      </c>
      <c r="N784" s="172"/>
      <c r="O784" s="172"/>
      <c r="P784" s="172"/>
      <c r="Q784" s="38" t="s">
        <v>852</v>
      </c>
      <c r="R784" s="38" t="s">
        <v>852</v>
      </c>
    </row>
    <row r="785" spans="1:18" ht="15.75" customHeight="1" x14ac:dyDescent="0.3">
      <c r="A785" s="234" t="s">
        <v>1021</v>
      </c>
      <c r="B785" s="172"/>
      <c r="C785" s="172"/>
      <c r="D785" s="172"/>
      <c r="E785" s="38" t="s">
        <v>852</v>
      </c>
      <c r="F785" s="172"/>
      <c r="G785" s="172"/>
      <c r="H785" s="172"/>
      <c r="I785" s="38" t="s">
        <v>852</v>
      </c>
      <c r="J785" s="172"/>
      <c r="K785" s="172"/>
      <c r="L785" s="172"/>
      <c r="M785" s="38" t="s">
        <v>852</v>
      </c>
      <c r="N785" s="172"/>
      <c r="O785" s="172"/>
      <c r="P785" s="172"/>
      <c r="Q785" s="38" t="s">
        <v>852</v>
      </c>
      <c r="R785" s="38" t="s">
        <v>852</v>
      </c>
    </row>
    <row r="786" spans="1:18" ht="15.75" customHeight="1" x14ac:dyDescent="0.3">
      <c r="A786" s="234" t="s">
        <v>557</v>
      </c>
      <c r="B786" s="172"/>
      <c r="C786" s="172"/>
      <c r="D786" s="172"/>
      <c r="E786" s="38" t="s">
        <v>852</v>
      </c>
      <c r="F786" s="172"/>
      <c r="G786" s="172"/>
      <c r="H786" s="172"/>
      <c r="I786" s="38" t="s">
        <v>852</v>
      </c>
      <c r="J786" s="172"/>
      <c r="K786" s="172"/>
      <c r="L786" s="172"/>
      <c r="M786" s="38" t="s">
        <v>852</v>
      </c>
      <c r="N786" s="172"/>
      <c r="O786" s="172"/>
      <c r="P786" s="172"/>
      <c r="Q786" s="38" t="s">
        <v>852</v>
      </c>
      <c r="R786" s="38" t="s">
        <v>852</v>
      </c>
    </row>
    <row r="787" spans="1:18" ht="15.75" customHeight="1" x14ac:dyDescent="0.3">
      <c r="A787" s="234" t="s">
        <v>1022</v>
      </c>
      <c r="B787" s="172"/>
      <c r="C787" s="172"/>
      <c r="D787" s="172"/>
      <c r="E787" s="38" t="s">
        <v>852</v>
      </c>
      <c r="F787" s="172"/>
      <c r="G787" s="172"/>
      <c r="H787" s="172"/>
      <c r="I787" s="38" t="s">
        <v>852</v>
      </c>
      <c r="J787" s="172"/>
      <c r="K787" s="172"/>
      <c r="L787" s="172"/>
      <c r="M787" s="38" t="s">
        <v>852</v>
      </c>
      <c r="N787" s="172"/>
      <c r="O787" s="172"/>
      <c r="P787" s="172"/>
      <c r="Q787" s="38" t="s">
        <v>852</v>
      </c>
      <c r="R787" s="38" t="s">
        <v>852</v>
      </c>
    </row>
    <row r="788" spans="1:18" ht="15.75" customHeight="1" thickBot="1" x14ac:dyDescent="0.35">
      <c r="A788" s="234" t="s">
        <v>559</v>
      </c>
      <c r="B788" s="172"/>
      <c r="C788" s="172"/>
      <c r="D788" s="172"/>
      <c r="E788" s="38" t="s">
        <v>852</v>
      </c>
      <c r="F788" s="172"/>
      <c r="G788" s="172"/>
      <c r="H788" s="172"/>
      <c r="I788" s="38" t="s">
        <v>852</v>
      </c>
      <c r="J788" s="172"/>
      <c r="K788" s="172"/>
      <c r="L788" s="172"/>
      <c r="M788" s="38" t="s">
        <v>852</v>
      </c>
      <c r="N788" s="172"/>
      <c r="O788" s="172"/>
      <c r="P788" s="172"/>
      <c r="Q788" s="38" t="s">
        <v>852</v>
      </c>
      <c r="R788" s="38" t="s">
        <v>852</v>
      </c>
    </row>
    <row r="789" spans="1:18" ht="16.5" customHeight="1" thickBot="1" x14ac:dyDescent="0.35">
      <c r="A789" s="43" t="s">
        <v>1019</v>
      </c>
      <c r="B789" s="42">
        <f>SUM(B787:B788)</f>
        <v>0</v>
      </c>
      <c r="C789" s="42">
        <f>SUM(C787:C788)</f>
        <v>0</v>
      </c>
      <c r="D789" s="42">
        <f>SUM(D787:D788)</f>
        <v>0</v>
      </c>
      <c r="E789" s="39">
        <f>SUM(B789:D789)</f>
        <v>0</v>
      </c>
      <c r="F789" s="42">
        <f>SUM(F787:F788)</f>
        <v>0</v>
      </c>
      <c r="G789" s="42">
        <f>SUM(G787:G788)</f>
        <v>0</v>
      </c>
      <c r="H789" s="42">
        <f>SUM(H787:H788)</f>
        <v>0</v>
      </c>
      <c r="I789" s="39">
        <f>SUM(F789:H789)</f>
        <v>0</v>
      </c>
      <c r="J789" s="42">
        <f>SUM(J787:J788)</f>
        <v>0</v>
      </c>
      <c r="K789" s="42">
        <f>SUM(K787:K788)</f>
        <v>0</v>
      </c>
      <c r="L789" s="42">
        <f>SUM(L787:L788)</f>
        <v>0</v>
      </c>
      <c r="M789" s="39">
        <f>SUM(J789:L789)</f>
        <v>0</v>
      </c>
      <c r="N789" s="42">
        <f>SUM(N787:N788)</f>
        <v>0</v>
      </c>
      <c r="O789" s="42">
        <f>SUM(O787:O788)</f>
        <v>0</v>
      </c>
      <c r="P789" s="42">
        <f>SUM(P787:P788)</f>
        <v>0</v>
      </c>
      <c r="Q789" s="39">
        <f>SUM(N789:P789)</f>
        <v>0</v>
      </c>
      <c r="R789" s="37">
        <f>+E789+I789+M789+Q789</f>
        <v>0</v>
      </c>
    </row>
    <row r="790" spans="1:18" ht="16.5" customHeight="1" thickBot="1" x14ac:dyDescent="0.35">
      <c r="A790" s="43" t="s">
        <v>1221</v>
      </c>
      <c r="B790" s="45">
        <f>SUM(B784:B788)</f>
        <v>0</v>
      </c>
      <c r="C790" s="46">
        <f>SUM(C784:C788)</f>
        <v>0</v>
      </c>
      <c r="D790" s="58">
        <f>SUM(D784:D788)</f>
        <v>0</v>
      </c>
      <c r="E790" s="39">
        <f>SUM(B790:D790)</f>
        <v>0</v>
      </c>
      <c r="F790" s="46">
        <f>SUM(F784:F788)</f>
        <v>0</v>
      </c>
      <c r="G790" s="46">
        <f>SUM(G784:G788)</f>
        <v>0</v>
      </c>
      <c r="H790" s="46">
        <f>SUM(H784:H788)</f>
        <v>0</v>
      </c>
      <c r="I790" s="39">
        <f>SUM(F790:H790)</f>
        <v>0</v>
      </c>
      <c r="J790" s="46">
        <f>SUM(J784:J788)</f>
        <v>0</v>
      </c>
      <c r="K790" s="46">
        <f>SUM(K784:K788)</f>
        <v>0</v>
      </c>
      <c r="L790" s="46">
        <f>SUM(L784:L788)</f>
        <v>0</v>
      </c>
      <c r="M790" s="39">
        <f>SUM(J790:L790)</f>
        <v>0</v>
      </c>
      <c r="N790" s="46">
        <f>SUM(N784:N788)</f>
        <v>0</v>
      </c>
      <c r="O790" s="46">
        <f>SUM(O784:O788)</f>
        <v>0</v>
      </c>
      <c r="P790" s="46">
        <f>SUM(P784:P788)</f>
        <v>0</v>
      </c>
      <c r="Q790" s="39">
        <f>SUM(N790:P790)</f>
        <v>0</v>
      </c>
      <c r="R790" s="37">
        <f>+E790+I790+M790+Q790</f>
        <v>0</v>
      </c>
    </row>
    <row r="791" spans="1:18" ht="16.5" customHeight="1" thickBot="1" x14ac:dyDescent="0.35">
      <c r="A791" s="43" t="s">
        <v>1222</v>
      </c>
      <c r="B791" s="47">
        <f>+B775+B779+B783+B790</f>
        <v>0</v>
      </c>
      <c r="C791" s="42">
        <f>+C775+C779+C783+C790</f>
        <v>0</v>
      </c>
      <c r="D791" s="42">
        <f>+D775+D779+D783+D790</f>
        <v>0</v>
      </c>
      <c r="E791" s="37">
        <f>SUM(B791:D791)</f>
        <v>0</v>
      </c>
      <c r="F791" s="42">
        <f>+F775+F779+F783+F790</f>
        <v>0</v>
      </c>
      <c r="G791" s="42">
        <f>+G775+G779+G783+G790</f>
        <v>46</v>
      </c>
      <c r="H791" s="42">
        <f>+H775+H779+H783+H790</f>
        <v>0</v>
      </c>
      <c r="I791" s="37">
        <f>SUM(F791:H791)</f>
        <v>46</v>
      </c>
      <c r="J791" s="42">
        <f>+J775+J779+J783+J790</f>
        <v>0</v>
      </c>
      <c r="K791" s="42">
        <f>+K775+K779+K783+K790</f>
        <v>0</v>
      </c>
      <c r="L791" s="42">
        <f>+L775+L779+L783+L790</f>
        <v>0</v>
      </c>
      <c r="M791" s="37">
        <f>SUM(J791:L791)</f>
        <v>0</v>
      </c>
      <c r="N791" s="42">
        <f>+N775+N779+N783+N790</f>
        <v>0</v>
      </c>
      <c r="O791" s="42">
        <f>+O775+O779+O783+O790</f>
        <v>0</v>
      </c>
      <c r="P791" s="42">
        <f>+P775+P779+P783+P790</f>
        <v>0</v>
      </c>
      <c r="Q791" s="37">
        <f>SUM(N791:P791)</f>
        <v>0</v>
      </c>
      <c r="R791" s="40">
        <f>+E791+I791+M791+Q791</f>
        <v>46</v>
      </c>
    </row>
    <row r="792" spans="1:18" ht="15.75" customHeight="1" x14ac:dyDescent="0.3">
      <c r="A792" s="266" t="s">
        <v>2117</v>
      </c>
      <c r="B792" s="10">
        <v>3805</v>
      </c>
      <c r="C792" s="10">
        <v>3805</v>
      </c>
      <c r="D792" s="10">
        <v>4757</v>
      </c>
      <c r="E792" s="38">
        <f>SUM(B792:D792)</f>
        <v>12367</v>
      </c>
      <c r="F792" s="10">
        <v>5708</v>
      </c>
      <c r="G792" s="10">
        <v>6659</v>
      </c>
      <c r="H792" s="10">
        <v>6850</v>
      </c>
      <c r="I792" s="38">
        <f>SUM(F792:H792)</f>
        <v>19217</v>
      </c>
      <c r="J792" s="10">
        <v>6184</v>
      </c>
      <c r="K792" s="10">
        <v>5708</v>
      </c>
      <c r="L792" s="10">
        <v>5232</v>
      </c>
      <c r="M792" s="38">
        <f>SUM(J792:L792)</f>
        <v>17124</v>
      </c>
      <c r="N792" s="10">
        <v>4757</v>
      </c>
      <c r="O792" s="10">
        <v>4281</v>
      </c>
      <c r="P792" s="10">
        <v>3805</v>
      </c>
      <c r="Q792" s="38">
        <f>SUM(N792:P792)</f>
        <v>12843</v>
      </c>
      <c r="R792" s="38">
        <f>+E792+I792+M792+Q792</f>
        <v>61551</v>
      </c>
    </row>
    <row r="793" spans="1:18" ht="15.75" customHeight="1" thickBot="1" x14ac:dyDescent="0.35">
      <c r="A793" s="266" t="s">
        <v>853</v>
      </c>
      <c r="B793" s="172">
        <v>0</v>
      </c>
      <c r="C793" s="172">
        <v>0</v>
      </c>
      <c r="D793" s="172">
        <v>0</v>
      </c>
      <c r="E793" s="38">
        <f>SUM(B793:D793)</f>
        <v>0</v>
      </c>
      <c r="F793" s="172">
        <v>0</v>
      </c>
      <c r="G793" s="172">
        <v>0</v>
      </c>
      <c r="H793" s="172">
        <v>0</v>
      </c>
      <c r="I793" s="38">
        <f>SUM(F793:H793)</f>
        <v>0</v>
      </c>
      <c r="J793" s="172">
        <v>0</v>
      </c>
      <c r="K793" s="172">
        <v>0</v>
      </c>
      <c r="L793" s="172">
        <v>0</v>
      </c>
      <c r="M793" s="38">
        <f>SUM(J793:L793)</f>
        <v>0</v>
      </c>
      <c r="N793" s="172">
        <v>0</v>
      </c>
      <c r="O793" s="172">
        <v>0</v>
      </c>
      <c r="P793" s="172">
        <v>0</v>
      </c>
      <c r="Q793" s="38">
        <f>SUM(N793:P793)</f>
        <v>0</v>
      </c>
      <c r="R793" s="38">
        <f>+E793+I793+M793+Q793</f>
        <v>0</v>
      </c>
    </row>
    <row r="794" spans="1:18" ht="16.5" customHeight="1" thickBot="1" x14ac:dyDescent="0.35">
      <c r="A794" s="281"/>
      <c r="B794" s="232"/>
      <c r="C794" s="232"/>
      <c r="D794" s="232"/>
      <c r="E794" s="37" t="s">
        <v>852</v>
      </c>
      <c r="F794" s="232"/>
      <c r="G794" s="232"/>
      <c r="H794" s="232"/>
      <c r="I794" s="37" t="s">
        <v>852</v>
      </c>
      <c r="J794" s="232"/>
      <c r="K794" s="232"/>
      <c r="L794" s="232"/>
      <c r="M794" s="37" t="s">
        <v>852</v>
      </c>
      <c r="N794" s="232"/>
      <c r="O794" s="232"/>
      <c r="P794" s="232"/>
      <c r="Q794" s="37"/>
      <c r="R794" s="37"/>
    </row>
    <row r="795" spans="1:18" ht="15.75" customHeight="1" x14ac:dyDescent="0.3">
      <c r="A795" s="234" t="s">
        <v>2011</v>
      </c>
      <c r="B795" s="172">
        <f>SUM(B791:B793)</f>
        <v>3805</v>
      </c>
      <c r="C795" s="172">
        <f>SUM(C791:C793)</f>
        <v>3805</v>
      </c>
      <c r="D795" s="172">
        <f>SUM(D791:D793)</f>
        <v>4757</v>
      </c>
      <c r="E795" s="39">
        <f>SUM(B795:D795)</f>
        <v>12367</v>
      </c>
      <c r="F795" s="172">
        <f>SUM(F791:F793)</f>
        <v>5708</v>
      </c>
      <c r="G795" s="172">
        <f>SUM(G791:G793)</f>
        <v>6705</v>
      </c>
      <c r="H795" s="172">
        <f>SUM(H791:H793)</f>
        <v>6850</v>
      </c>
      <c r="I795" s="39">
        <f>SUM(F795:H795)</f>
        <v>19263</v>
      </c>
      <c r="J795" s="172">
        <f>SUM(J791:J793)</f>
        <v>6184</v>
      </c>
      <c r="K795" s="172">
        <f>SUM(K791:K793)</f>
        <v>5708</v>
      </c>
      <c r="L795" s="172">
        <f>SUM(L791:L793)</f>
        <v>5232</v>
      </c>
      <c r="M795" s="39">
        <f>SUM(J795:L795)</f>
        <v>17124</v>
      </c>
      <c r="N795" s="172">
        <f>SUM(N791:N793)</f>
        <v>4757</v>
      </c>
      <c r="O795" s="172">
        <f>SUM(O791:O793)</f>
        <v>4281</v>
      </c>
      <c r="P795" s="172">
        <f>SUM(P791:P793)</f>
        <v>3805</v>
      </c>
      <c r="Q795" s="39">
        <f>SUM(N795:P795)</f>
        <v>12843</v>
      </c>
      <c r="R795" s="39">
        <f>+E795+I795+M795+Q795</f>
        <v>61597</v>
      </c>
    </row>
    <row r="796" spans="1:18" ht="15.75" customHeight="1" x14ac:dyDescent="0.3">
      <c r="A796" s="234" t="s">
        <v>1897</v>
      </c>
      <c r="B796" s="172">
        <f>(B795/B10)/1.983</f>
        <v>61.897093032713542</v>
      </c>
      <c r="C796" s="172">
        <f>(C795/C10)/1.983</f>
        <v>68.528924429075715</v>
      </c>
      <c r="D796" s="172">
        <f>(D795/D10)/1.983</f>
        <v>77.383566769150676</v>
      </c>
      <c r="E796" s="38" t="s">
        <v>852</v>
      </c>
      <c r="F796" s="172">
        <f>(F795/F10)/1.983</f>
        <v>95.948898974617592</v>
      </c>
      <c r="G796" s="172">
        <f>(G795/G10)/1.983</f>
        <v>109.07227563320481</v>
      </c>
      <c r="H796" s="172">
        <f>(H795/H10)/1.983</f>
        <v>115.14540258867036</v>
      </c>
      <c r="I796" s="38" t="s">
        <v>852</v>
      </c>
      <c r="J796" s="172">
        <f>(J795/J10)/1.983</f>
        <v>100.59701006946138</v>
      </c>
      <c r="K796" s="172">
        <f>(K795/K10)/1.983</f>
        <v>92.853773201242817</v>
      </c>
      <c r="L796" s="172">
        <f>(L795/L10)/1.983</f>
        <v>87.947554210791722</v>
      </c>
      <c r="M796" s="38" t="s">
        <v>852</v>
      </c>
      <c r="N796" s="172">
        <f>(N795/N10)/1.983</f>
        <v>77.383566769150676</v>
      </c>
      <c r="O796" s="172">
        <f>(O795/O10)/1.983</f>
        <v>71.961674230963183</v>
      </c>
      <c r="P796" s="172">
        <f>(P795/P10)/1.983</f>
        <v>61.897093032713542</v>
      </c>
      <c r="Q796" s="38" t="s">
        <v>852</v>
      </c>
      <c r="R796" s="38" t="s">
        <v>852</v>
      </c>
    </row>
    <row r="797" spans="1:18" ht="15.75" customHeight="1" x14ac:dyDescent="0.3">
      <c r="A797" s="234" t="s">
        <v>647</v>
      </c>
      <c r="B797" s="172">
        <f>B795</f>
        <v>3805</v>
      </c>
      <c r="C797" s="172">
        <f>C795</f>
        <v>3805</v>
      </c>
      <c r="D797" s="172">
        <f>D795</f>
        <v>4757</v>
      </c>
      <c r="E797" s="38">
        <f>SUM(B797:D797)</f>
        <v>12367</v>
      </c>
      <c r="F797" s="172">
        <f>F795</f>
        <v>5708</v>
      </c>
      <c r="G797" s="172">
        <f>G795</f>
        <v>6705</v>
      </c>
      <c r="H797" s="172">
        <f>H795</f>
        <v>6850</v>
      </c>
      <c r="I797" s="38">
        <f>SUM(F797:H797)</f>
        <v>19263</v>
      </c>
      <c r="J797" s="172">
        <f>J795</f>
        <v>6184</v>
      </c>
      <c r="K797" s="172">
        <f>K795</f>
        <v>5708</v>
      </c>
      <c r="L797" s="172">
        <f>L795</f>
        <v>5232</v>
      </c>
      <c r="M797" s="38">
        <f>SUM(J797:L797)</f>
        <v>17124</v>
      </c>
      <c r="N797" s="172">
        <f>N795</f>
        <v>4757</v>
      </c>
      <c r="O797" s="172">
        <f>O795</f>
        <v>4281</v>
      </c>
      <c r="P797" s="172">
        <f>P795</f>
        <v>3805</v>
      </c>
      <c r="Q797" s="38">
        <f>SUM(N797:P797)</f>
        <v>12843</v>
      </c>
      <c r="R797" s="38">
        <f>+E797+I797+M797+Q797</f>
        <v>61597</v>
      </c>
    </row>
    <row r="798" spans="1:18" ht="16.5" customHeight="1" thickBot="1" x14ac:dyDescent="0.35">
      <c r="A798" s="237" t="s">
        <v>2191</v>
      </c>
      <c r="B798" s="238">
        <f>(B797/B10)/1.983</f>
        <v>61.897093032713542</v>
      </c>
      <c r="C798" s="238">
        <f>(C797/C10)/1.983</f>
        <v>68.528924429075715</v>
      </c>
      <c r="D798" s="238">
        <f>(D797/D10)/1.983</f>
        <v>77.383566769150676</v>
      </c>
      <c r="E798" s="40" t="s">
        <v>852</v>
      </c>
      <c r="F798" s="238">
        <f>(F797/F10)/1.983</f>
        <v>95.948898974617592</v>
      </c>
      <c r="G798" s="238">
        <f>(G797/G10)/1.983</f>
        <v>109.07227563320481</v>
      </c>
      <c r="H798" s="238">
        <f>(H797/H10)/1.983</f>
        <v>115.14540258867036</v>
      </c>
      <c r="I798" s="40" t="s">
        <v>852</v>
      </c>
      <c r="J798" s="238">
        <f>(J797/J10)/1.983</f>
        <v>100.59701006946138</v>
      </c>
      <c r="K798" s="238">
        <f>(K797/K10)/1.983</f>
        <v>92.853773201242817</v>
      </c>
      <c r="L798" s="238">
        <f>(L797/L10)/1.983</f>
        <v>87.947554210791722</v>
      </c>
      <c r="M798" s="40" t="s">
        <v>852</v>
      </c>
      <c r="N798" s="238">
        <f>(N797/N10)/1.983</f>
        <v>77.383566769150676</v>
      </c>
      <c r="O798" s="238">
        <f>(O797/O10)/1.983</f>
        <v>71.961674230963183</v>
      </c>
      <c r="P798" s="238">
        <f>(P797/P10)/1.983</f>
        <v>61.897093032713542</v>
      </c>
      <c r="Q798" s="40" t="s">
        <v>852</v>
      </c>
      <c r="R798" s="40" t="s">
        <v>852</v>
      </c>
    </row>
    <row r="799" spans="1:18" ht="15.75" customHeight="1" x14ac:dyDescent="0.3">
      <c r="A799" s="17"/>
      <c r="B799" s="172"/>
      <c r="C799" s="172"/>
      <c r="D799" s="172"/>
      <c r="E799" s="172"/>
      <c r="F799" s="172"/>
      <c r="G799" s="172"/>
      <c r="H799" s="172"/>
      <c r="I799" s="172"/>
      <c r="J799" s="172"/>
      <c r="K799" s="172"/>
      <c r="L799" s="172"/>
      <c r="M799" s="172"/>
      <c r="N799" s="172"/>
      <c r="O799" s="172"/>
      <c r="P799" s="172"/>
      <c r="Q799" s="172"/>
      <c r="R799" s="17"/>
    </row>
    <row r="800" spans="1:18" ht="15.75" customHeight="1" thickBot="1" x14ac:dyDescent="0.35">
      <c r="A800" s="17"/>
      <c r="B800" s="172"/>
      <c r="C800" s="172"/>
      <c r="D800" s="172"/>
      <c r="E800" s="172"/>
      <c r="F800" s="172"/>
      <c r="G800" s="172"/>
      <c r="H800" s="172"/>
      <c r="I800" s="172"/>
      <c r="J800" s="172"/>
      <c r="K800" s="172"/>
      <c r="L800" s="172"/>
      <c r="M800" s="172"/>
      <c r="N800" s="172"/>
      <c r="O800" s="172"/>
      <c r="P800" s="172"/>
      <c r="Q800" s="172"/>
      <c r="R800" s="17"/>
    </row>
    <row r="801" spans="1:20" ht="16.5" customHeight="1" thickBot="1" x14ac:dyDescent="0.35">
      <c r="A801" s="278" t="s">
        <v>2192</v>
      </c>
      <c r="B801" s="4" t="s">
        <v>2090</v>
      </c>
      <c r="C801" s="5" t="s">
        <v>2091</v>
      </c>
      <c r="D801" s="5" t="s">
        <v>2234</v>
      </c>
      <c r="E801" s="33" t="s">
        <v>1594</v>
      </c>
      <c r="F801" s="5" t="s">
        <v>2235</v>
      </c>
      <c r="G801" s="5" t="s">
        <v>2236</v>
      </c>
      <c r="H801" s="5" t="s">
        <v>2237</v>
      </c>
      <c r="I801" s="35" t="s">
        <v>1595</v>
      </c>
      <c r="J801" s="5" t="s">
        <v>1504</v>
      </c>
      <c r="K801" s="5" t="s">
        <v>1505</v>
      </c>
      <c r="L801" s="5" t="s">
        <v>1506</v>
      </c>
      <c r="M801" s="35" t="s">
        <v>1596</v>
      </c>
      <c r="N801" s="5" t="s">
        <v>1507</v>
      </c>
      <c r="O801" s="5" t="s">
        <v>1508</v>
      </c>
      <c r="P801" s="5" t="s">
        <v>1509</v>
      </c>
      <c r="Q801" s="35" t="s">
        <v>1597</v>
      </c>
      <c r="R801" s="60" t="s">
        <v>1510</v>
      </c>
    </row>
    <row r="802" spans="1:20" ht="16.5" customHeight="1" thickBot="1" x14ac:dyDescent="0.35">
      <c r="A802" s="22"/>
      <c r="B802" s="242"/>
      <c r="C802" s="242"/>
      <c r="D802" s="242"/>
      <c r="E802" s="233"/>
      <c r="F802" s="242"/>
      <c r="G802" s="242"/>
      <c r="H802" s="242"/>
      <c r="I802" s="282"/>
      <c r="J802" s="242"/>
      <c r="K802" s="242"/>
      <c r="L802" s="242"/>
      <c r="M802" s="282"/>
      <c r="N802" s="242"/>
      <c r="O802" s="242"/>
      <c r="P802" s="242"/>
      <c r="Q802" s="283"/>
      <c r="R802" s="61"/>
    </row>
    <row r="803" spans="1:20" ht="15.75" customHeight="1" x14ac:dyDescent="0.3">
      <c r="A803" s="234" t="s">
        <v>2417</v>
      </c>
      <c r="B803" s="10" t="s">
        <v>852</v>
      </c>
      <c r="C803" s="10" t="s">
        <v>852</v>
      </c>
      <c r="D803" s="10" t="s">
        <v>852</v>
      </c>
      <c r="E803" s="327"/>
      <c r="F803" s="10" t="s">
        <v>852</v>
      </c>
      <c r="G803" s="10" t="s">
        <v>852</v>
      </c>
      <c r="H803" s="10" t="s">
        <v>852</v>
      </c>
      <c r="I803" s="327"/>
      <c r="J803" s="10" t="s">
        <v>852</v>
      </c>
      <c r="K803" s="10" t="s">
        <v>852</v>
      </c>
      <c r="L803" s="10" t="s">
        <v>852</v>
      </c>
      <c r="M803" s="327"/>
      <c r="N803" s="10" t="s">
        <v>852</v>
      </c>
      <c r="O803" s="10" t="s">
        <v>852</v>
      </c>
      <c r="P803" s="10" t="s">
        <v>852</v>
      </c>
      <c r="Q803" s="285"/>
      <c r="R803" s="62" t="s">
        <v>852</v>
      </c>
    </row>
    <row r="804" spans="1:20" ht="15.75" customHeight="1" x14ac:dyDescent="0.3">
      <c r="A804" s="234" t="s">
        <v>2160</v>
      </c>
      <c r="B804" s="10"/>
      <c r="C804" s="10"/>
      <c r="D804" s="10"/>
      <c r="E804" s="38" t="s">
        <v>852</v>
      </c>
      <c r="F804" s="10"/>
      <c r="G804" s="10"/>
      <c r="H804" s="10"/>
      <c r="I804" s="38" t="s">
        <v>852</v>
      </c>
      <c r="J804" s="10"/>
      <c r="K804" s="10"/>
      <c r="L804" s="10"/>
      <c r="M804" s="38" t="s">
        <v>852</v>
      </c>
      <c r="N804" s="10"/>
      <c r="O804" s="10"/>
      <c r="P804" s="10"/>
      <c r="Q804" s="38" t="s">
        <v>852</v>
      </c>
      <c r="R804" s="38" t="s">
        <v>852</v>
      </c>
    </row>
    <row r="805" spans="1:20" ht="15.75" customHeight="1" x14ac:dyDescent="0.3">
      <c r="A805" s="539" t="s">
        <v>3095</v>
      </c>
      <c r="B805" s="10"/>
      <c r="C805" s="10"/>
      <c r="D805" s="10"/>
      <c r="E805" s="38">
        <f>SUM(B805:D805)</f>
        <v>0</v>
      </c>
      <c r="F805" s="10"/>
      <c r="G805" s="10"/>
      <c r="H805" s="10"/>
      <c r="I805" s="38">
        <f>SUM(F805:H805)</f>
        <v>0</v>
      </c>
      <c r="J805" s="10"/>
      <c r="K805" s="10"/>
      <c r="L805" s="10"/>
      <c r="M805" s="38">
        <f>SUM(J805:L805)</f>
        <v>0</v>
      </c>
      <c r="N805" s="10"/>
      <c r="O805" s="10"/>
      <c r="P805" s="10"/>
      <c r="Q805" s="38">
        <f>SUM(N805:P805)</f>
        <v>0</v>
      </c>
      <c r="R805" s="38">
        <f>+E805+I805+M805+Q805</f>
        <v>0</v>
      </c>
      <c r="T805" t="s">
        <v>2765</v>
      </c>
    </row>
    <row r="806" spans="1:20" ht="15.75" customHeight="1" x14ac:dyDescent="0.3">
      <c r="A806" s="266" t="s">
        <v>1910</v>
      </c>
      <c r="B806" s="10"/>
      <c r="C806" s="10"/>
      <c r="D806" s="10"/>
      <c r="E806" s="38">
        <f>SUM(B806:D806)</f>
        <v>0</v>
      </c>
      <c r="F806" s="10"/>
      <c r="G806" s="10"/>
      <c r="H806" s="10"/>
      <c r="I806" s="38">
        <f>SUM(F806:H806)</f>
        <v>0</v>
      </c>
      <c r="J806" s="10"/>
      <c r="K806" s="10"/>
      <c r="L806" s="10"/>
      <c r="M806" s="38">
        <f>SUM(J806:L806)</f>
        <v>0</v>
      </c>
      <c r="N806" s="10"/>
      <c r="O806" s="10"/>
      <c r="P806" s="10"/>
      <c r="Q806" s="38">
        <f>SUM(N806:P806)</f>
        <v>0</v>
      </c>
      <c r="R806" s="38">
        <f>+E806+I806+M806+Q806</f>
        <v>0</v>
      </c>
    </row>
    <row r="807" spans="1:20" ht="15.75" customHeight="1" x14ac:dyDescent="0.3">
      <c r="A807" s="539" t="s">
        <v>604</v>
      </c>
      <c r="B807" s="10"/>
      <c r="C807" s="10"/>
      <c r="D807" s="10"/>
      <c r="E807" s="38">
        <f>SUM(B807:D807)</f>
        <v>0</v>
      </c>
      <c r="F807" s="10"/>
      <c r="G807" s="10"/>
      <c r="H807" s="10"/>
      <c r="I807" s="38">
        <f>SUM(F807:H807)</f>
        <v>0</v>
      </c>
      <c r="J807" s="10"/>
      <c r="K807" s="10"/>
      <c r="L807" s="10"/>
      <c r="M807" s="38">
        <f>SUM(J807:L807)</f>
        <v>0</v>
      </c>
      <c r="N807" s="10"/>
      <c r="O807" s="10"/>
      <c r="P807" s="10"/>
      <c r="Q807" s="38">
        <f>SUM(N807:P807)</f>
        <v>0</v>
      </c>
      <c r="R807" s="38">
        <f>+E807+I807+M807+Q807</f>
        <v>0</v>
      </c>
    </row>
    <row r="808" spans="1:20" ht="15.75" customHeight="1" x14ac:dyDescent="0.3">
      <c r="A808" s="539" t="s">
        <v>2996</v>
      </c>
      <c r="B808" s="10">
        <v>200</v>
      </c>
      <c r="C808" s="10"/>
      <c r="D808" s="10"/>
      <c r="E808" s="38">
        <f>SUM(B808:D808)</f>
        <v>200</v>
      </c>
      <c r="F808" s="10"/>
      <c r="G808" s="10"/>
      <c r="H808" s="10"/>
      <c r="I808" s="38">
        <f>SUM(F808:H808)</f>
        <v>0</v>
      </c>
      <c r="J808" s="10"/>
      <c r="K808" s="10"/>
      <c r="L808" s="10"/>
      <c r="M808" s="38">
        <f>SUM(J808:L808)</f>
        <v>0</v>
      </c>
      <c r="N808" s="10"/>
      <c r="O808" s="10"/>
      <c r="P808" s="10"/>
      <c r="Q808" s="38">
        <f>SUM(N808:P808)</f>
        <v>0</v>
      </c>
      <c r="R808" s="38">
        <f>+E808+I808+M808+Q808</f>
        <v>200</v>
      </c>
    </row>
    <row r="809" spans="1:20" ht="15.75" customHeight="1" x14ac:dyDescent="0.3">
      <c r="A809" s="310" t="s">
        <v>715</v>
      </c>
      <c r="B809" s="10">
        <v>2352</v>
      </c>
      <c r="C809" s="10">
        <v>2554</v>
      </c>
      <c r="D809" s="10">
        <v>2016</v>
      </c>
      <c r="E809" s="38">
        <f>SUM(B809:D809)</f>
        <v>6922</v>
      </c>
      <c r="F809" s="10">
        <v>2099</v>
      </c>
      <c r="G809" s="10">
        <v>2204</v>
      </c>
      <c r="H809" s="10">
        <v>2298</v>
      </c>
      <c r="I809" s="38">
        <f>SUM(F809:H809)</f>
        <v>6601</v>
      </c>
      <c r="J809" s="10">
        <v>2516</v>
      </c>
      <c r="K809" s="10">
        <v>2469</v>
      </c>
      <c r="L809" s="10">
        <v>2312</v>
      </c>
      <c r="M809" s="38">
        <f>SUM(J809:L809)</f>
        <v>7297</v>
      </c>
      <c r="N809" s="10">
        <v>1480</v>
      </c>
      <c r="O809" s="10"/>
      <c r="P809" s="10"/>
      <c r="Q809" s="38">
        <f>SUM(N809:P809)</f>
        <v>1480</v>
      </c>
      <c r="R809" s="38">
        <f>+E809+I809+M809+Q809</f>
        <v>22300</v>
      </c>
    </row>
    <row r="810" spans="1:20" ht="15.75" customHeight="1" x14ac:dyDescent="0.3">
      <c r="A810" s="234" t="s">
        <v>2161</v>
      </c>
      <c r="B810" s="10"/>
      <c r="C810" s="10"/>
      <c r="D810" s="10"/>
      <c r="E810" s="38" t="s">
        <v>852</v>
      </c>
      <c r="F810" s="10"/>
      <c r="G810" s="10"/>
      <c r="H810" s="10"/>
      <c r="I810" s="38" t="s">
        <v>852</v>
      </c>
      <c r="J810" s="10"/>
      <c r="K810" s="10"/>
      <c r="L810" s="10"/>
      <c r="M810" s="38" t="s">
        <v>852</v>
      </c>
      <c r="N810" s="10"/>
      <c r="O810" s="10"/>
      <c r="P810" s="10"/>
      <c r="Q810" s="38" t="s">
        <v>852</v>
      </c>
      <c r="R810" s="38" t="s">
        <v>852</v>
      </c>
    </row>
    <row r="811" spans="1:20" ht="15.75" customHeight="1" x14ac:dyDescent="0.3">
      <c r="A811" s="234" t="s">
        <v>3245</v>
      </c>
      <c r="B811" s="10"/>
      <c r="C811" s="10"/>
      <c r="D811" s="10"/>
      <c r="E811" s="38" t="s">
        <v>852</v>
      </c>
      <c r="F811" s="10"/>
      <c r="G811" s="10"/>
      <c r="H811" s="10"/>
      <c r="I811" s="38" t="s">
        <v>852</v>
      </c>
      <c r="J811" s="10"/>
      <c r="K811" s="10"/>
      <c r="L811" s="10"/>
      <c r="M811" s="38" t="s">
        <v>852</v>
      </c>
      <c r="N811" s="10"/>
      <c r="O811" s="10"/>
      <c r="P811" s="10"/>
      <c r="Q811" s="38" t="s">
        <v>852</v>
      </c>
      <c r="R811" s="38" t="s">
        <v>852</v>
      </c>
    </row>
    <row r="812" spans="1:20" ht="15.75" customHeight="1" x14ac:dyDescent="0.3">
      <c r="A812" s="539" t="s">
        <v>3266</v>
      </c>
      <c r="B812" s="172"/>
      <c r="C812" s="172"/>
      <c r="D812" s="172"/>
      <c r="E812" s="38">
        <f>SUM(B812:D812)</f>
        <v>0</v>
      </c>
      <c r="F812" s="172"/>
      <c r="G812" s="10"/>
      <c r="H812" s="10"/>
      <c r="I812" s="38">
        <f>SUM(F812:H812)</f>
        <v>0</v>
      </c>
      <c r="J812" s="10"/>
      <c r="K812" s="10"/>
      <c r="L812" s="10"/>
      <c r="M812" s="38">
        <f>SUM(J812:L812)</f>
        <v>0</v>
      </c>
      <c r="N812" s="10">
        <v>1</v>
      </c>
      <c r="O812" s="10"/>
      <c r="P812" s="10"/>
      <c r="Q812" s="38">
        <f>SUM(N812:P812)</f>
        <v>1</v>
      </c>
      <c r="R812" s="38">
        <f>+E812+I812+M812+Q812</f>
        <v>1</v>
      </c>
      <c r="S812" s="735" t="s">
        <v>3214</v>
      </c>
    </row>
    <row r="813" spans="1:20" ht="15.75" customHeight="1" thickBot="1" x14ac:dyDescent="0.35">
      <c r="A813" s="234" t="s">
        <v>2164</v>
      </c>
      <c r="B813" s="10"/>
      <c r="C813" s="10"/>
      <c r="D813" s="10"/>
      <c r="E813" s="38" t="s">
        <v>852</v>
      </c>
      <c r="F813" s="10"/>
      <c r="G813" s="10"/>
      <c r="H813" s="10"/>
      <c r="I813" s="38" t="s">
        <v>852</v>
      </c>
      <c r="J813" s="10"/>
      <c r="K813" s="10"/>
      <c r="L813" s="10"/>
      <c r="M813" s="38" t="s">
        <v>852</v>
      </c>
      <c r="N813" s="10"/>
      <c r="O813" s="10"/>
      <c r="P813" s="10"/>
      <c r="Q813" s="38" t="s">
        <v>852</v>
      </c>
      <c r="R813" s="38" t="s">
        <v>852</v>
      </c>
    </row>
    <row r="814" spans="1:20" ht="16.5" customHeight="1" thickBot="1" x14ac:dyDescent="0.35">
      <c r="A814" s="43" t="s">
        <v>1218</v>
      </c>
      <c r="B814" s="45">
        <f>SUM(B803:B813)</f>
        <v>2552</v>
      </c>
      <c r="C814" s="46">
        <f>SUM(C803:C813)</f>
        <v>2554</v>
      </c>
      <c r="D814" s="46">
        <f>SUM(D803:D813)</f>
        <v>2016</v>
      </c>
      <c r="E814" s="37">
        <f>SUM(B814:D814)</f>
        <v>7122</v>
      </c>
      <c r="F814" s="46">
        <f>SUM(F803:F813)</f>
        <v>2099</v>
      </c>
      <c r="G814" s="46">
        <f>SUM(G803:G813)</f>
        <v>2204</v>
      </c>
      <c r="H814" s="46">
        <f>SUM(H803:H813)</f>
        <v>2298</v>
      </c>
      <c r="I814" s="37">
        <f>SUM(F814:H814)</f>
        <v>6601</v>
      </c>
      <c r="J814" s="46">
        <f>SUM(J803:J813)</f>
        <v>2516</v>
      </c>
      <c r="K814" s="46">
        <f>SUM(K803:K813)</f>
        <v>2469</v>
      </c>
      <c r="L814" s="46">
        <f>SUM(L803:L813)</f>
        <v>2312</v>
      </c>
      <c r="M814" s="37">
        <f>SUM(J814:L814)</f>
        <v>7297</v>
      </c>
      <c r="N814" s="46">
        <f>SUM(N803:N813)</f>
        <v>1481</v>
      </c>
      <c r="O814" s="46">
        <f>SUM(O803:O813)</f>
        <v>0</v>
      </c>
      <c r="P814" s="46">
        <f>SUM(P803:P813)</f>
        <v>0</v>
      </c>
      <c r="Q814" s="37">
        <f>SUM(N814:P814)</f>
        <v>1481</v>
      </c>
      <c r="R814" s="37">
        <f>+E814+I814+M814+Q814</f>
        <v>22501</v>
      </c>
    </row>
    <row r="815" spans="1:20" ht="15.75" customHeight="1" x14ac:dyDescent="0.3">
      <c r="A815" s="234" t="s">
        <v>1172</v>
      </c>
      <c r="B815" s="172"/>
      <c r="C815" s="172"/>
      <c r="D815" s="172"/>
      <c r="E815" s="38" t="s">
        <v>852</v>
      </c>
      <c r="F815" s="172"/>
      <c r="G815" s="172"/>
      <c r="H815" s="172"/>
      <c r="I815" s="38" t="s">
        <v>852</v>
      </c>
      <c r="J815" s="172"/>
      <c r="K815" s="172"/>
      <c r="L815" s="172"/>
      <c r="M815" s="38" t="s">
        <v>852</v>
      </c>
      <c r="N815" s="172"/>
      <c r="O815" s="172"/>
      <c r="P815" s="172"/>
      <c r="Q815" s="38" t="s">
        <v>852</v>
      </c>
      <c r="R815" s="38" t="s">
        <v>852</v>
      </c>
    </row>
    <row r="816" spans="1:20" ht="15.75" customHeight="1" x14ac:dyDescent="0.3">
      <c r="A816" s="234" t="s">
        <v>2409</v>
      </c>
      <c r="B816" s="172"/>
      <c r="C816" s="172"/>
      <c r="D816" s="172"/>
      <c r="E816" s="38" t="s">
        <v>852</v>
      </c>
      <c r="F816" s="172"/>
      <c r="G816" s="172"/>
      <c r="H816" s="172"/>
      <c r="I816" s="38" t="s">
        <v>852</v>
      </c>
      <c r="J816" s="172"/>
      <c r="K816" s="172"/>
      <c r="L816" s="172"/>
      <c r="M816" s="38" t="s">
        <v>852</v>
      </c>
      <c r="N816" s="172"/>
      <c r="O816" s="172"/>
      <c r="P816" s="172"/>
      <c r="Q816" s="38" t="s">
        <v>852</v>
      </c>
      <c r="R816" s="38" t="s">
        <v>852</v>
      </c>
    </row>
    <row r="817" spans="1:20" ht="15.75" customHeight="1" x14ac:dyDescent="0.3">
      <c r="A817" s="539" t="s">
        <v>1648</v>
      </c>
      <c r="B817" s="172"/>
      <c r="C817" s="172"/>
      <c r="D817" s="172"/>
      <c r="E817" s="38">
        <f>SUM(B817:D817)</f>
        <v>0</v>
      </c>
      <c r="F817" s="172"/>
      <c r="G817" s="172"/>
      <c r="H817" s="172"/>
      <c r="I817" s="38">
        <f>SUM(F817:H817)</f>
        <v>0</v>
      </c>
      <c r="J817" s="172"/>
      <c r="K817" s="172"/>
      <c r="L817" s="172"/>
      <c r="M817" s="38">
        <f>SUM(J817:L817)</f>
        <v>0</v>
      </c>
      <c r="N817" s="172"/>
      <c r="O817" s="172"/>
      <c r="P817" s="172"/>
      <c r="Q817" s="38">
        <f>SUM(N817:P817)</f>
        <v>0</v>
      </c>
      <c r="R817" s="38">
        <f>+E817+I817+M817+Q817</f>
        <v>0</v>
      </c>
    </row>
    <row r="818" spans="1:20" ht="15.75" customHeight="1" thickBot="1" x14ac:dyDescent="0.35">
      <c r="A818" s="234" t="s">
        <v>2165</v>
      </c>
      <c r="B818" s="172"/>
      <c r="C818" s="172"/>
      <c r="D818" s="172"/>
      <c r="E818" s="38" t="s">
        <v>852</v>
      </c>
      <c r="F818" s="172"/>
      <c r="G818" s="172"/>
      <c r="H818" s="172"/>
      <c r="I818" s="38" t="s">
        <v>852</v>
      </c>
      <c r="J818" s="172"/>
      <c r="K818" s="172"/>
      <c r="L818" s="172"/>
      <c r="M818" s="38" t="s">
        <v>852</v>
      </c>
      <c r="N818" s="172"/>
      <c r="O818" s="172"/>
      <c r="P818" s="172"/>
      <c r="Q818" s="38" t="s">
        <v>852</v>
      </c>
      <c r="R818" s="38" t="s">
        <v>852</v>
      </c>
    </row>
    <row r="819" spans="1:20" ht="16.5" customHeight="1" thickBot="1" x14ac:dyDescent="0.35">
      <c r="A819" s="43" t="s">
        <v>1219</v>
      </c>
      <c r="B819" s="45">
        <f>SUM(B815:B818)</f>
        <v>0</v>
      </c>
      <c r="C819" s="46">
        <f>SUM(C815:C818)</f>
        <v>0</v>
      </c>
      <c r="D819" s="46">
        <f>SUM(D815:D818)</f>
        <v>0</v>
      </c>
      <c r="E819" s="37">
        <f>SUM(B819:D819)</f>
        <v>0</v>
      </c>
      <c r="F819" s="46">
        <f>SUM(F815:F818)</f>
        <v>0</v>
      </c>
      <c r="G819" s="46">
        <f>SUM(G815:G818)</f>
        <v>0</v>
      </c>
      <c r="H819" s="46">
        <f>SUM(H815:H818)</f>
        <v>0</v>
      </c>
      <c r="I819" s="37">
        <f>SUM(F819:H819)</f>
        <v>0</v>
      </c>
      <c r="J819" s="46">
        <f>SUM(J815:J818)</f>
        <v>0</v>
      </c>
      <c r="K819" s="46">
        <f>SUM(K815:K818)</f>
        <v>0</v>
      </c>
      <c r="L819" s="46">
        <f>SUM(L815:L818)</f>
        <v>0</v>
      </c>
      <c r="M819" s="37">
        <f>SUM(J819:L819)</f>
        <v>0</v>
      </c>
      <c r="N819" s="46">
        <f>SUM(N815:N818)</f>
        <v>0</v>
      </c>
      <c r="O819" s="46">
        <f>SUM(O815:O818)</f>
        <v>0</v>
      </c>
      <c r="P819" s="46">
        <f>SUM(P815:P818)</f>
        <v>0</v>
      </c>
      <c r="Q819" s="37">
        <f>SUM(N819:P819)</f>
        <v>0</v>
      </c>
      <c r="R819" s="37">
        <f>+E819+I819+M819+Q819</f>
        <v>0</v>
      </c>
    </row>
    <row r="820" spans="1:20" ht="15.75" customHeight="1" x14ac:dyDescent="0.3">
      <c r="A820" s="234" t="s">
        <v>2166</v>
      </c>
      <c r="B820" s="10"/>
      <c r="C820" s="10"/>
      <c r="D820" s="10"/>
      <c r="E820" s="38" t="s">
        <v>852</v>
      </c>
      <c r="F820" s="10"/>
      <c r="G820" s="10"/>
      <c r="H820" s="10"/>
      <c r="I820" s="38" t="s">
        <v>852</v>
      </c>
      <c r="J820" s="10" t="s">
        <v>852</v>
      </c>
      <c r="K820" s="10"/>
      <c r="L820" s="10"/>
      <c r="M820" s="38" t="s">
        <v>852</v>
      </c>
      <c r="N820" s="10"/>
      <c r="O820" s="10"/>
      <c r="P820" s="10"/>
      <c r="Q820" s="38" t="s">
        <v>852</v>
      </c>
      <c r="R820" s="38" t="s">
        <v>852</v>
      </c>
    </row>
    <row r="821" spans="1:20" ht="18" customHeight="1" x14ac:dyDescent="0.3">
      <c r="A821" s="234" t="s">
        <v>1245</v>
      </c>
      <c r="B821" s="10"/>
      <c r="C821" s="10"/>
      <c r="D821" s="10"/>
      <c r="E821" s="38" t="s">
        <v>852</v>
      </c>
      <c r="F821" s="10"/>
      <c r="G821" s="10"/>
      <c r="H821" s="10"/>
      <c r="I821" s="38" t="s">
        <v>852</v>
      </c>
      <c r="J821" s="10"/>
      <c r="K821" s="10"/>
      <c r="L821" s="10"/>
      <c r="M821" s="38" t="s">
        <v>852</v>
      </c>
      <c r="N821" s="10"/>
      <c r="O821" s="10"/>
      <c r="P821" s="10"/>
      <c r="Q821" s="38" t="s">
        <v>852</v>
      </c>
      <c r="R821" s="38" t="s">
        <v>852</v>
      </c>
    </row>
    <row r="822" spans="1:20" ht="15.75" customHeight="1" x14ac:dyDescent="0.3">
      <c r="A822" s="539" t="s">
        <v>2750</v>
      </c>
      <c r="B822" s="10">
        <v>398</v>
      </c>
      <c r="C822" s="10">
        <v>126</v>
      </c>
      <c r="D822" s="10">
        <v>559</v>
      </c>
      <c r="E822" s="38">
        <f>SUM(B822:D822)</f>
        <v>1083</v>
      </c>
      <c r="F822" s="10">
        <v>820</v>
      </c>
      <c r="G822" s="10">
        <v>1009</v>
      </c>
      <c r="H822" s="10">
        <v>1326</v>
      </c>
      <c r="I822" s="38">
        <f>SUM(F822:H822)</f>
        <v>3155</v>
      </c>
      <c r="J822" s="10">
        <v>1228</v>
      </c>
      <c r="K822" s="10">
        <v>995</v>
      </c>
      <c r="L822" s="10">
        <v>1058</v>
      </c>
      <c r="M822" s="38">
        <f>SUM(J822:L822)</f>
        <v>3281</v>
      </c>
      <c r="N822" s="10">
        <v>1356</v>
      </c>
      <c r="O822" s="10"/>
      <c r="P822" s="10"/>
      <c r="Q822" s="38">
        <f>SUM(N822:P822)</f>
        <v>1356</v>
      </c>
      <c r="R822" s="38">
        <f>+E822+I822+M822+Q822</f>
        <v>8875</v>
      </c>
      <c r="T822" t="s">
        <v>2805</v>
      </c>
    </row>
    <row r="823" spans="1:20" ht="15.75" customHeight="1" x14ac:dyDescent="0.3">
      <c r="A823" s="539" t="s">
        <v>2702</v>
      </c>
      <c r="B823" s="10">
        <v>11</v>
      </c>
      <c r="C823" s="10">
        <v>11</v>
      </c>
      <c r="D823" s="10">
        <v>47</v>
      </c>
      <c r="E823" s="38">
        <f>SUM(B823:D823)</f>
        <v>69</v>
      </c>
      <c r="F823" s="10">
        <v>71</v>
      </c>
      <c r="G823" s="10">
        <v>69</v>
      </c>
      <c r="H823" s="10">
        <v>111</v>
      </c>
      <c r="I823" s="38">
        <f t="shared" ref="I823" si="300">SUM(F823:H823)</f>
        <v>251</v>
      </c>
      <c r="J823" s="10">
        <v>104</v>
      </c>
      <c r="K823" s="10">
        <v>68</v>
      </c>
      <c r="L823" s="10">
        <v>8</v>
      </c>
      <c r="M823" s="38">
        <f>SUM(J823:L823)</f>
        <v>180</v>
      </c>
      <c r="N823" s="10"/>
      <c r="O823" s="10"/>
      <c r="P823" s="10"/>
      <c r="Q823" s="38">
        <f>SUM(N823:P823)</f>
        <v>0</v>
      </c>
      <c r="R823" s="38">
        <f>+E823+I823+M823+Q823</f>
        <v>500</v>
      </c>
      <c r="T823" t="s">
        <v>2785</v>
      </c>
    </row>
    <row r="824" spans="1:20" ht="15.75" customHeight="1" x14ac:dyDescent="0.3">
      <c r="A824" s="234" t="s">
        <v>1711</v>
      </c>
      <c r="B824" s="10"/>
      <c r="C824" s="10"/>
      <c r="D824" s="10"/>
      <c r="E824" s="38" t="s">
        <v>852</v>
      </c>
      <c r="F824" s="10"/>
      <c r="G824" s="10"/>
      <c r="H824" s="10"/>
      <c r="I824" s="38" t="s">
        <v>852</v>
      </c>
      <c r="J824" s="10"/>
      <c r="K824" s="10"/>
      <c r="L824" s="10"/>
      <c r="M824" s="38" t="s">
        <v>852</v>
      </c>
      <c r="N824" s="10"/>
      <c r="O824" s="10"/>
      <c r="P824" s="10"/>
      <c r="Q824" s="38" t="s">
        <v>852</v>
      </c>
      <c r="R824" s="38" t="s">
        <v>852</v>
      </c>
    </row>
    <row r="825" spans="1:20" ht="15.75" customHeight="1" x14ac:dyDescent="0.3">
      <c r="A825" s="539" t="s">
        <v>2935</v>
      </c>
      <c r="B825" s="10"/>
      <c r="C825" s="10"/>
      <c r="D825" s="10"/>
      <c r="E825" s="38">
        <f>SUM(B825:D825)</f>
        <v>0</v>
      </c>
      <c r="F825" s="10"/>
      <c r="G825" s="10"/>
      <c r="H825" s="10"/>
      <c r="I825" s="38">
        <f>SUM(F825:H825)</f>
        <v>0</v>
      </c>
      <c r="J825" s="10"/>
      <c r="K825" s="10"/>
      <c r="L825" s="10"/>
      <c r="M825" s="38">
        <f>SUM(J825:L825)</f>
        <v>0</v>
      </c>
      <c r="N825" s="10"/>
      <c r="O825" s="10"/>
      <c r="P825" s="10"/>
      <c r="Q825" s="38">
        <f>SUM(N825:P825)</f>
        <v>0</v>
      </c>
      <c r="R825" s="38">
        <f>+E825+I825+M825+Q825</f>
        <v>0</v>
      </c>
      <c r="T825" t="s">
        <v>2785</v>
      </c>
    </row>
    <row r="826" spans="1:20" ht="15.75" customHeight="1" x14ac:dyDescent="0.3">
      <c r="A826" s="539" t="s">
        <v>2749</v>
      </c>
      <c r="B826" s="10"/>
      <c r="C826" s="10"/>
      <c r="D826" s="10"/>
      <c r="E826" s="38">
        <f>SUM(B826:D826)</f>
        <v>0</v>
      </c>
      <c r="F826" s="10"/>
      <c r="G826" s="10"/>
      <c r="H826" s="10"/>
      <c r="I826" s="38">
        <f>SUM(F826:H826)</f>
        <v>0</v>
      </c>
      <c r="J826" s="10"/>
      <c r="K826" s="10"/>
      <c r="L826" s="10">
        <v>45</v>
      </c>
      <c r="M826" s="38">
        <f>SUM(J826:L826)</f>
        <v>45</v>
      </c>
      <c r="N826" s="10">
        <v>83</v>
      </c>
      <c r="O826" s="10"/>
      <c r="P826" s="10">
        <v>3</v>
      </c>
      <c r="Q826" s="38">
        <f>SUM(N826:P826)</f>
        <v>86</v>
      </c>
      <c r="R826" s="38">
        <f>+E826+I826+M826+Q826</f>
        <v>131</v>
      </c>
    </row>
    <row r="827" spans="1:20" ht="15.75" customHeight="1" x14ac:dyDescent="0.3">
      <c r="A827" s="310" t="s">
        <v>783</v>
      </c>
      <c r="B827" s="10"/>
      <c r="C827" s="10"/>
      <c r="D827" s="10"/>
      <c r="E827" s="38">
        <f>SUM(B827:D827)</f>
        <v>0</v>
      </c>
      <c r="F827" s="10"/>
      <c r="G827" s="10"/>
      <c r="H827" s="10"/>
      <c r="I827" s="38">
        <f>SUM(F827:H827)</f>
        <v>0</v>
      </c>
      <c r="J827" s="10"/>
      <c r="K827" s="10"/>
      <c r="L827" s="10"/>
      <c r="M827" s="38">
        <f>SUM(J827:L827)</f>
        <v>0</v>
      </c>
      <c r="N827" s="10"/>
      <c r="O827" s="10"/>
      <c r="P827" s="10"/>
      <c r="Q827" s="38">
        <f>SUM(N827:P827)</f>
        <v>0</v>
      </c>
      <c r="R827" s="38">
        <f>+E827+I827+M827+Q827</f>
        <v>0</v>
      </c>
      <c r="T827" t="s">
        <v>2765</v>
      </c>
    </row>
    <row r="828" spans="1:20" ht="15.75" customHeight="1" thickBot="1" x14ac:dyDescent="0.35">
      <c r="A828" s="539" t="s">
        <v>2540</v>
      </c>
      <c r="B828" s="10">
        <v>516</v>
      </c>
      <c r="C828" s="10">
        <f>614+68</f>
        <v>682</v>
      </c>
      <c r="D828" s="10">
        <f>600+22</f>
        <v>622</v>
      </c>
      <c r="E828" s="38">
        <f>SUM(B828:D828)</f>
        <v>1820</v>
      </c>
      <c r="F828" s="10">
        <f>1+625</f>
        <v>626</v>
      </c>
      <c r="G828" s="10">
        <f>724</f>
        <v>724</v>
      </c>
      <c r="H828" s="10">
        <f>41+579</f>
        <v>620</v>
      </c>
      <c r="I828" s="38">
        <f>SUM(F828:H828)</f>
        <v>1970</v>
      </c>
      <c r="J828" s="10">
        <f>27+588</f>
        <v>615</v>
      </c>
      <c r="K828" s="10">
        <f>57+625</f>
        <v>682</v>
      </c>
      <c r="L828" s="10">
        <f>46+557</f>
        <v>603</v>
      </c>
      <c r="M828" s="38">
        <f>SUM(J828:L828)</f>
        <v>1900</v>
      </c>
      <c r="N828" s="10">
        <v>849</v>
      </c>
      <c r="O828" s="10">
        <v>775</v>
      </c>
      <c r="P828" s="10"/>
      <c r="Q828" s="38">
        <f>SUM(N828:P828)</f>
        <v>1624</v>
      </c>
      <c r="R828" s="38">
        <f>+E828+I828+M828+Q828</f>
        <v>7314</v>
      </c>
      <c r="T828" t="s">
        <v>2806</v>
      </c>
    </row>
    <row r="829" spans="1:20" ht="16.5" customHeight="1" thickBot="1" x14ac:dyDescent="0.35">
      <c r="A829" s="43" t="s">
        <v>1220</v>
      </c>
      <c r="B829" s="45">
        <f>SUM(B820:B828)</f>
        <v>925</v>
      </c>
      <c r="C829" s="46">
        <f>SUM(C820:C828)</f>
        <v>819</v>
      </c>
      <c r="D829" s="46">
        <f>SUM(D820:D828)</f>
        <v>1228</v>
      </c>
      <c r="E829" s="37">
        <f>SUM(B829:D829)</f>
        <v>2972</v>
      </c>
      <c r="F829" s="46">
        <f>SUM(F820:F828)</f>
        <v>1517</v>
      </c>
      <c r="G829" s="46">
        <f>SUM(G820:G828)</f>
        <v>1802</v>
      </c>
      <c r="H829" s="46">
        <f>SUM(H820:H828)</f>
        <v>2057</v>
      </c>
      <c r="I829" s="37">
        <f>SUM(F829:H829)</f>
        <v>5376</v>
      </c>
      <c r="J829" s="46">
        <f>SUM(J820:J828)</f>
        <v>1947</v>
      </c>
      <c r="K829" s="46">
        <f>SUM(K820:K828)</f>
        <v>1745</v>
      </c>
      <c r="L829" s="46">
        <f>SUM(L820:L828)</f>
        <v>1714</v>
      </c>
      <c r="M829" s="37">
        <f>SUM(J829:L829)</f>
        <v>5406</v>
      </c>
      <c r="N829" s="46">
        <f>SUM(N820:N828)</f>
        <v>2288</v>
      </c>
      <c r="O829" s="46">
        <f>SUM(O820:O828)</f>
        <v>775</v>
      </c>
      <c r="P829" s="46">
        <f>SUM(P820:P828)</f>
        <v>3</v>
      </c>
      <c r="Q829" s="37">
        <f>SUM(N829:P829)</f>
        <v>3066</v>
      </c>
      <c r="R829" s="37">
        <f>+E829+I829+M829+Q829</f>
        <v>16820</v>
      </c>
    </row>
    <row r="830" spans="1:20" ht="15.75" customHeight="1" x14ac:dyDescent="0.3">
      <c r="A830" s="234" t="s">
        <v>1712</v>
      </c>
      <c r="B830" s="172"/>
      <c r="C830" s="172"/>
      <c r="D830" s="172"/>
      <c r="E830" s="38" t="s">
        <v>852</v>
      </c>
      <c r="F830" s="172"/>
      <c r="G830" s="172"/>
      <c r="H830" s="172"/>
      <c r="I830" s="38" t="s">
        <v>852</v>
      </c>
      <c r="J830" s="172"/>
      <c r="K830" s="172"/>
      <c r="L830" s="172"/>
      <c r="M830" s="38" t="s">
        <v>852</v>
      </c>
      <c r="N830" s="172"/>
      <c r="O830" s="172"/>
      <c r="P830" s="172"/>
      <c r="Q830" s="38" t="s">
        <v>852</v>
      </c>
      <c r="R830" s="38" t="s">
        <v>852</v>
      </c>
    </row>
    <row r="831" spans="1:20" ht="15.75" customHeight="1" x14ac:dyDescent="0.3">
      <c r="A831" s="234" t="s">
        <v>1021</v>
      </c>
      <c r="B831" s="172"/>
      <c r="C831" s="172"/>
      <c r="D831" s="172"/>
      <c r="E831" s="38" t="s">
        <v>852</v>
      </c>
      <c r="F831" s="172"/>
      <c r="G831" s="172"/>
      <c r="H831" s="172"/>
      <c r="I831" s="38" t="s">
        <v>852</v>
      </c>
      <c r="J831" s="172"/>
      <c r="K831" s="172"/>
      <c r="L831" s="172"/>
      <c r="M831" s="38" t="s">
        <v>852</v>
      </c>
      <c r="N831" s="172"/>
      <c r="O831" s="172"/>
      <c r="P831" s="172"/>
      <c r="Q831" s="38" t="s">
        <v>852</v>
      </c>
      <c r="R831" s="38" t="s">
        <v>852</v>
      </c>
    </row>
    <row r="832" spans="1:20" ht="15.75" customHeight="1" x14ac:dyDescent="0.3">
      <c r="A832" s="539" t="s">
        <v>3267</v>
      </c>
      <c r="B832" s="172"/>
      <c r="C832" s="172"/>
      <c r="D832" s="172"/>
      <c r="E832" s="38">
        <f>SUM(B832:D832)</f>
        <v>0</v>
      </c>
      <c r="F832" s="172"/>
      <c r="G832" s="172"/>
      <c r="H832" s="172"/>
      <c r="I832" s="38">
        <f>SUM(F832:H832)</f>
        <v>0</v>
      </c>
      <c r="J832" s="172"/>
      <c r="K832" s="172"/>
      <c r="L832" s="172"/>
      <c r="M832" s="38">
        <f>SUM(J832:L832)</f>
        <v>0</v>
      </c>
      <c r="N832" s="172"/>
      <c r="O832" s="172"/>
      <c r="P832" s="172"/>
      <c r="Q832" s="38">
        <f>SUM(N832:P832)</f>
        <v>0</v>
      </c>
      <c r="R832" s="38">
        <f>+E832+I832+M832+Q832</f>
        <v>0</v>
      </c>
    </row>
    <row r="833" spans="1:18" ht="15.75" customHeight="1" x14ac:dyDescent="0.3">
      <c r="A833" s="266" t="s">
        <v>2392</v>
      </c>
      <c r="B833" s="172"/>
      <c r="C833" s="172"/>
      <c r="D833" s="172"/>
      <c r="E833" s="38">
        <f>SUM(B833:D833)</f>
        <v>0</v>
      </c>
      <c r="F833" s="172"/>
      <c r="G833" s="172"/>
      <c r="H833" s="172"/>
      <c r="I833" s="38">
        <f>SUM(F833:H833)</f>
        <v>0</v>
      </c>
      <c r="J833" s="172"/>
      <c r="K833" s="172"/>
      <c r="L833" s="172"/>
      <c r="M833" s="38">
        <f>SUM(J833:L833)</f>
        <v>0</v>
      </c>
      <c r="N833" s="172"/>
      <c r="O833" s="172"/>
      <c r="P833" s="172"/>
      <c r="Q833" s="38">
        <f>SUM(N833:P833)</f>
        <v>0</v>
      </c>
      <c r="R833" s="38">
        <f>+E833+I833+M833+Q833</f>
        <v>0</v>
      </c>
    </row>
    <row r="834" spans="1:18" ht="15.75" customHeight="1" x14ac:dyDescent="0.3">
      <c r="A834" s="234" t="s">
        <v>557</v>
      </c>
      <c r="B834" s="172"/>
      <c r="C834" s="172"/>
      <c r="D834" s="172"/>
      <c r="E834" s="38" t="s">
        <v>852</v>
      </c>
      <c r="F834" s="172"/>
      <c r="G834" s="172"/>
      <c r="H834" s="172"/>
      <c r="I834" s="38" t="s">
        <v>852</v>
      </c>
      <c r="J834" s="172"/>
      <c r="K834" s="172"/>
      <c r="L834" s="172"/>
      <c r="M834" s="38" t="s">
        <v>852</v>
      </c>
      <c r="N834" s="172"/>
      <c r="O834" s="172"/>
      <c r="P834" s="172"/>
      <c r="Q834" s="38" t="s">
        <v>852</v>
      </c>
      <c r="R834" s="38" t="s">
        <v>852</v>
      </c>
    </row>
    <row r="835" spans="1:18" ht="15.75" customHeight="1" x14ac:dyDescent="0.3">
      <c r="A835" s="539" t="s">
        <v>2589</v>
      </c>
      <c r="B835" s="10"/>
      <c r="C835" s="10"/>
      <c r="D835" s="10"/>
      <c r="E835" s="38">
        <f>SUM(B835:D835)</f>
        <v>0</v>
      </c>
      <c r="F835" s="10"/>
      <c r="G835" s="10"/>
      <c r="H835" s="10"/>
      <c r="I835" s="38">
        <f>SUM(F835:H835)</f>
        <v>0</v>
      </c>
      <c r="J835" s="10"/>
      <c r="K835" s="10"/>
      <c r="L835" s="10"/>
      <c r="M835" s="38">
        <f>SUM(J835:L835)</f>
        <v>0</v>
      </c>
      <c r="N835" s="10"/>
      <c r="O835" s="10"/>
      <c r="P835" s="10"/>
      <c r="Q835" s="38">
        <f>SUM(N835:P835)</f>
        <v>0</v>
      </c>
      <c r="R835" s="38">
        <f>+E835+I835+M835+Q835</f>
        <v>0</v>
      </c>
    </row>
    <row r="836" spans="1:18" ht="15.75" customHeight="1" x14ac:dyDescent="0.3">
      <c r="A836" s="539" t="s">
        <v>2590</v>
      </c>
      <c r="B836" s="172"/>
      <c r="C836" s="172"/>
      <c r="D836" s="172"/>
      <c r="E836" s="38">
        <f>SUM(B836:D836)</f>
        <v>0</v>
      </c>
      <c r="F836" s="172"/>
      <c r="G836" s="172"/>
      <c r="H836" s="172"/>
      <c r="I836" s="38">
        <f>SUM(F836:H836)</f>
        <v>0</v>
      </c>
      <c r="J836" s="172"/>
      <c r="K836" s="172"/>
      <c r="L836" s="172"/>
      <c r="M836" s="38">
        <f>SUM(J836:L836)</f>
        <v>0</v>
      </c>
      <c r="N836" s="172"/>
      <c r="O836" s="172"/>
      <c r="P836" s="172"/>
      <c r="Q836" s="38">
        <f>SUM(N836:P836)</f>
        <v>0</v>
      </c>
      <c r="R836" s="38">
        <f>+E836+I836+M836+Q836</f>
        <v>0</v>
      </c>
    </row>
    <row r="837" spans="1:18" ht="15.75" customHeight="1" x14ac:dyDescent="0.3">
      <c r="A837" s="234" t="s">
        <v>1022</v>
      </c>
      <c r="B837" s="172"/>
      <c r="C837" s="172"/>
      <c r="D837" s="172"/>
      <c r="E837" s="38" t="s">
        <v>852</v>
      </c>
      <c r="F837" s="172"/>
      <c r="G837" s="172"/>
      <c r="H837" s="172"/>
      <c r="I837" s="38" t="s">
        <v>852</v>
      </c>
      <c r="J837" s="172"/>
      <c r="K837" s="172"/>
      <c r="L837" s="172"/>
      <c r="M837" s="38" t="s">
        <v>852</v>
      </c>
      <c r="N837" s="172"/>
      <c r="O837" s="172"/>
      <c r="P837" s="172"/>
      <c r="Q837" s="38" t="s">
        <v>852</v>
      </c>
      <c r="R837" s="38" t="s">
        <v>852</v>
      </c>
    </row>
    <row r="838" spans="1:18" ht="15.75" customHeight="1" thickBot="1" x14ac:dyDescent="0.35">
      <c r="A838" s="234" t="s">
        <v>559</v>
      </c>
      <c r="B838" s="172"/>
      <c r="C838" s="172"/>
      <c r="D838" s="172"/>
      <c r="E838" s="38" t="s">
        <v>852</v>
      </c>
      <c r="F838" s="172"/>
      <c r="G838" s="172"/>
      <c r="H838" s="172"/>
      <c r="I838" s="38" t="s">
        <v>852</v>
      </c>
      <c r="J838" s="172"/>
      <c r="K838" s="172"/>
      <c r="L838" s="172"/>
      <c r="M838" s="38" t="s">
        <v>852</v>
      </c>
      <c r="N838" s="172"/>
      <c r="O838" s="172"/>
      <c r="P838" s="172"/>
      <c r="Q838" s="38" t="s">
        <v>852</v>
      </c>
      <c r="R838" s="38" t="s">
        <v>852</v>
      </c>
    </row>
    <row r="839" spans="1:18" ht="16.5" customHeight="1" thickBot="1" x14ac:dyDescent="0.35">
      <c r="A839" s="43" t="s">
        <v>1019</v>
      </c>
      <c r="B839" s="42">
        <f>SUM(B837:B838)</f>
        <v>0</v>
      </c>
      <c r="C839" s="42">
        <f>SUM(C837:C838)</f>
        <v>0</v>
      </c>
      <c r="D839" s="42">
        <f>SUM(D837:D838)</f>
        <v>0</v>
      </c>
      <c r="E839" s="39">
        <f>SUM(B839:D839)</f>
        <v>0</v>
      </c>
      <c r="F839" s="42">
        <f>SUM(F837:F838)</f>
        <v>0</v>
      </c>
      <c r="G839" s="42">
        <f>SUM(G837:G838)</f>
        <v>0</v>
      </c>
      <c r="H839" s="42">
        <f>SUM(H837:H838)</f>
        <v>0</v>
      </c>
      <c r="I839" s="39">
        <f>SUM(F839:H839)</f>
        <v>0</v>
      </c>
      <c r="J839" s="42">
        <f>SUM(J837:J838)</f>
        <v>0</v>
      </c>
      <c r="K839" s="42">
        <f>SUM(K837:K838)</f>
        <v>0</v>
      </c>
      <c r="L839" s="42">
        <f>SUM(L837:L838)</f>
        <v>0</v>
      </c>
      <c r="M839" s="39">
        <f>SUM(J839:L839)</f>
        <v>0</v>
      </c>
      <c r="N839" s="42">
        <f>SUM(N837:N838)</f>
        <v>0</v>
      </c>
      <c r="O839" s="42">
        <f>SUM(O837:O838)</f>
        <v>0</v>
      </c>
      <c r="P839" s="42">
        <f>SUM(P837:P838)</f>
        <v>0</v>
      </c>
      <c r="Q839" s="39">
        <f>SUM(N839:P839)</f>
        <v>0</v>
      </c>
      <c r="R839" s="37">
        <f>+E839+I839+M839+Q839</f>
        <v>0</v>
      </c>
    </row>
    <row r="840" spans="1:18" ht="16.5" customHeight="1" thickBot="1" x14ac:dyDescent="0.35">
      <c r="A840" s="43" t="s">
        <v>1221</v>
      </c>
      <c r="B840" s="45">
        <f>SUM(B830:B838)</f>
        <v>0</v>
      </c>
      <c r="C840" s="46">
        <f>SUM(C830:C838)</f>
        <v>0</v>
      </c>
      <c r="D840" s="58">
        <f>SUM(D830:D838)</f>
        <v>0</v>
      </c>
      <c r="E840" s="39">
        <f>SUM(B840:D840)</f>
        <v>0</v>
      </c>
      <c r="F840" s="46">
        <f>SUM(F830:F838)</f>
        <v>0</v>
      </c>
      <c r="G840" s="46">
        <f>SUM(G830:G838)</f>
        <v>0</v>
      </c>
      <c r="H840" s="46">
        <f>SUM(H830:H838)</f>
        <v>0</v>
      </c>
      <c r="I840" s="39">
        <f>SUM(F840:H840)</f>
        <v>0</v>
      </c>
      <c r="J840" s="46">
        <f>SUM(J830:J838)</f>
        <v>0</v>
      </c>
      <c r="K840" s="46">
        <f>SUM(K830:K838)</f>
        <v>0</v>
      </c>
      <c r="L840" s="46">
        <f>SUM(L830:L838)</f>
        <v>0</v>
      </c>
      <c r="M840" s="39">
        <f>SUM(J840:L840)</f>
        <v>0</v>
      </c>
      <c r="N840" s="46">
        <f>SUM(N830:N838)</f>
        <v>0</v>
      </c>
      <c r="O840" s="46">
        <f>SUM(O830:O838)</f>
        <v>0</v>
      </c>
      <c r="P840" s="46">
        <f>SUM(P830:P838)</f>
        <v>0</v>
      </c>
      <c r="Q840" s="39">
        <f>SUM(N840:P840)</f>
        <v>0</v>
      </c>
      <c r="R840" s="37">
        <f>+E840+I840+M840+Q840</f>
        <v>0</v>
      </c>
    </row>
    <row r="841" spans="1:18" ht="16.5" customHeight="1" thickBot="1" x14ac:dyDescent="0.35">
      <c r="A841" s="43" t="s">
        <v>1222</v>
      </c>
      <c r="B841" s="47">
        <f>+B814+B819+B829+B840</f>
        <v>3477</v>
      </c>
      <c r="C841" s="42">
        <f>+C814+C819+C829+C840</f>
        <v>3373</v>
      </c>
      <c r="D841" s="42">
        <f>+D814+D819+D829+D840</f>
        <v>3244</v>
      </c>
      <c r="E841" s="37">
        <f>SUM(B841:D841)</f>
        <v>10094</v>
      </c>
      <c r="F841" s="42">
        <f>+F814+F819+F829+F840</f>
        <v>3616</v>
      </c>
      <c r="G841" s="42">
        <f>+G814+G819+G829+G840</f>
        <v>4006</v>
      </c>
      <c r="H841" s="42">
        <f>+H814+H819+H829+H840</f>
        <v>4355</v>
      </c>
      <c r="I841" s="37">
        <f>SUM(F841:H841)</f>
        <v>11977</v>
      </c>
      <c r="J841" s="42">
        <f>+J814+J819+J829+J840</f>
        <v>4463</v>
      </c>
      <c r="K841" s="42">
        <f>+K814+K819+K829+K840</f>
        <v>4214</v>
      </c>
      <c r="L841" s="42">
        <f>+L814+L819+L829+L840</f>
        <v>4026</v>
      </c>
      <c r="M841" s="37">
        <f>SUM(J841:L841)</f>
        <v>12703</v>
      </c>
      <c r="N841" s="42">
        <f>+N814+N819+N829+N840</f>
        <v>3769</v>
      </c>
      <c r="O841" s="42">
        <f>+O814+O819+O829+O840</f>
        <v>775</v>
      </c>
      <c r="P841" s="42">
        <f>+P814+P819+P829+P840</f>
        <v>3</v>
      </c>
      <c r="Q841" s="37">
        <f>SUM(N841:P841)</f>
        <v>4547</v>
      </c>
      <c r="R841" s="40">
        <f>+E841+I841+M841+Q841</f>
        <v>39321</v>
      </c>
    </row>
    <row r="842" spans="1:18" ht="16.5" customHeight="1" thickBot="1" x14ac:dyDescent="0.35">
      <c r="A842" s="244" t="s">
        <v>853</v>
      </c>
      <c r="B842" s="238">
        <v>11</v>
      </c>
      <c r="C842" s="238">
        <v>13</v>
      </c>
      <c r="D842" s="238">
        <v>17</v>
      </c>
      <c r="E842" s="38">
        <f>SUM(B842:D842)</f>
        <v>41</v>
      </c>
      <c r="F842" s="238">
        <v>21</v>
      </c>
      <c r="G842" s="238">
        <v>23</v>
      </c>
      <c r="H842" s="238">
        <v>25</v>
      </c>
      <c r="I842" s="38">
        <f>SUM(F842:H842)</f>
        <v>69</v>
      </c>
      <c r="J842" s="238">
        <v>25</v>
      </c>
      <c r="K842" s="238">
        <v>21</v>
      </c>
      <c r="L842" s="238">
        <v>19</v>
      </c>
      <c r="M842" s="38">
        <f>SUM(J842:L842)</f>
        <v>65</v>
      </c>
      <c r="N842" s="238">
        <v>17</v>
      </c>
      <c r="O842" s="238">
        <v>13</v>
      </c>
      <c r="P842" s="238">
        <v>11</v>
      </c>
      <c r="Q842" s="38">
        <f>SUM(N842:P842)</f>
        <v>41</v>
      </c>
      <c r="R842" s="38">
        <f>+E842+I842+M842+Q842</f>
        <v>216</v>
      </c>
    </row>
    <row r="843" spans="1:18" ht="16.5" customHeight="1" thickBot="1" x14ac:dyDescent="0.35">
      <c r="A843" s="22"/>
      <c r="B843" s="242"/>
      <c r="C843" s="242"/>
      <c r="D843" s="242"/>
      <c r="E843" s="37" t="s">
        <v>852</v>
      </c>
      <c r="F843" s="242"/>
      <c r="G843" s="242"/>
      <c r="H843" s="242"/>
      <c r="I843" s="37" t="s">
        <v>852</v>
      </c>
      <c r="J843" s="242"/>
      <c r="K843" s="242"/>
      <c r="L843" s="242"/>
      <c r="M843" s="37" t="s">
        <v>852</v>
      </c>
      <c r="N843" s="242"/>
      <c r="O843" s="242"/>
      <c r="P843" s="242"/>
      <c r="Q843" s="37" t="s">
        <v>852</v>
      </c>
      <c r="R843" s="37" t="s">
        <v>852</v>
      </c>
    </row>
    <row r="844" spans="1:18" ht="15.75" customHeight="1" x14ac:dyDescent="0.3">
      <c r="A844" s="234" t="s">
        <v>2011</v>
      </c>
      <c r="B844" s="172">
        <f>SUM(B841:B842)</f>
        <v>3488</v>
      </c>
      <c r="C844" s="172">
        <f>SUM(C841:C842)</f>
        <v>3386</v>
      </c>
      <c r="D844" s="172">
        <f>SUM(D841:D842)</f>
        <v>3261</v>
      </c>
      <c r="E844" s="39">
        <f>SUM(B844:D844)</f>
        <v>10135</v>
      </c>
      <c r="F844" s="172">
        <f>SUM(F841:F842)</f>
        <v>3637</v>
      </c>
      <c r="G844" s="172">
        <f>SUM(G841:G842)</f>
        <v>4029</v>
      </c>
      <c r="H844" s="172">
        <f>SUM(H841:H842)</f>
        <v>4380</v>
      </c>
      <c r="I844" s="39">
        <f>SUM(F844:H844)</f>
        <v>12046</v>
      </c>
      <c r="J844" s="172">
        <f>SUM(J841:J842)</f>
        <v>4488</v>
      </c>
      <c r="K844" s="172">
        <f>SUM(K841:K842)</f>
        <v>4235</v>
      </c>
      <c r="L844" s="172">
        <f>SUM(L841:L842)</f>
        <v>4045</v>
      </c>
      <c r="M844" s="39">
        <f>SUM(J844:L844)</f>
        <v>12768</v>
      </c>
      <c r="N844" s="172">
        <f>SUM(N841:N842)</f>
        <v>3786</v>
      </c>
      <c r="O844" s="172">
        <f>SUM(O841:O842)</f>
        <v>788</v>
      </c>
      <c r="P844" s="172">
        <f>SUM(P841:P842)</f>
        <v>14</v>
      </c>
      <c r="Q844" s="39">
        <f>SUM(N844:P844)</f>
        <v>4588</v>
      </c>
      <c r="R844" s="39">
        <f>+E844+I844+M844+Q844</f>
        <v>39537</v>
      </c>
    </row>
    <row r="845" spans="1:18" ht="15.75" customHeight="1" x14ac:dyDescent="0.3">
      <c r="A845" s="234" t="s">
        <v>1897</v>
      </c>
      <c r="B845" s="172">
        <f>(B844/B10)/1.983</f>
        <v>56.740357555349497</v>
      </c>
      <c r="C845" s="172">
        <f>(C844/C10)/1.983</f>
        <v>60.982638138462647</v>
      </c>
      <c r="D845" s="172">
        <f>(D844/D10)/1.983</f>
        <v>53.047679469035181</v>
      </c>
      <c r="E845" s="38" t="s">
        <v>852</v>
      </c>
      <c r="F845" s="172">
        <f>(F844/F10)/1.983</f>
        <v>61.136325432845851</v>
      </c>
      <c r="G845" s="172">
        <f>(G844/G10)/1.983</f>
        <v>65.540969205992866</v>
      </c>
      <c r="H845" s="172">
        <f>(H844/H10)/1.983</f>
        <v>73.625819465456374</v>
      </c>
      <c r="I845" s="38" t="s">
        <v>852</v>
      </c>
      <c r="J845" s="172">
        <f>(J844/J10)/1.983</f>
        <v>73.007661900346491</v>
      </c>
      <c r="K845" s="172">
        <f>(K844/K10)/1.983</f>
        <v>68.892033901062263</v>
      </c>
      <c r="L845" s="172">
        <f>(L844/L10)/1.983</f>
        <v>67.994620944696592</v>
      </c>
      <c r="M845" s="38" t="s">
        <v>852</v>
      </c>
      <c r="N845" s="172">
        <f>(N844/N10)/1.983</f>
        <v>61.588014250158601</v>
      </c>
      <c r="O845" s="172">
        <f>(O844/O10)/1.983</f>
        <v>13.245923684652881</v>
      </c>
      <c r="P845" s="172">
        <f>(P844/P10)/1.983</f>
        <v>0.22774226082995785</v>
      </c>
      <c r="Q845" s="38" t="s">
        <v>852</v>
      </c>
      <c r="R845" s="38" t="s">
        <v>852</v>
      </c>
    </row>
    <row r="846" spans="1:18" ht="15.75" customHeight="1" x14ac:dyDescent="0.3">
      <c r="A846" s="234" t="s">
        <v>2050</v>
      </c>
      <c r="B846" s="172">
        <f>B844</f>
        <v>3488</v>
      </c>
      <c r="C846" s="172">
        <f>C844</f>
        <v>3386</v>
      </c>
      <c r="D846" s="172">
        <f>D844</f>
        <v>3261</v>
      </c>
      <c r="E846" s="38">
        <f>SUM(B846:D846)</f>
        <v>10135</v>
      </c>
      <c r="F846" s="172">
        <f>F844</f>
        <v>3637</v>
      </c>
      <c r="G846" s="172">
        <f>G844</f>
        <v>4029</v>
      </c>
      <c r="H846" s="172">
        <f>H844</f>
        <v>4380</v>
      </c>
      <c r="I846" s="38">
        <f>SUM(F846:H846)</f>
        <v>12046</v>
      </c>
      <c r="J846" s="172">
        <f>J844</f>
        <v>4488</v>
      </c>
      <c r="K846" s="172">
        <f>K844</f>
        <v>4235</v>
      </c>
      <c r="L846" s="172">
        <f>L844</f>
        <v>4045</v>
      </c>
      <c r="M846" s="38">
        <f>SUM(J846:L846)</f>
        <v>12768</v>
      </c>
      <c r="N846" s="172">
        <f>N844</f>
        <v>3786</v>
      </c>
      <c r="O846" s="172">
        <f>O844</f>
        <v>788</v>
      </c>
      <c r="P846" s="172">
        <f>P844</f>
        <v>14</v>
      </c>
      <c r="Q846" s="38">
        <f>SUM(N846:P846)</f>
        <v>4588</v>
      </c>
      <c r="R846" s="38">
        <f>+E846+I846+M846+Q846</f>
        <v>39537</v>
      </c>
    </row>
    <row r="847" spans="1:18" ht="16.5" customHeight="1" thickBot="1" x14ac:dyDescent="0.35">
      <c r="A847" s="237" t="s">
        <v>2051</v>
      </c>
      <c r="B847" s="238">
        <f>(B846/B10)/1.983</f>
        <v>56.740357555349497</v>
      </c>
      <c r="C847" s="238">
        <f>(C846/C10)/1.983</f>
        <v>60.982638138462647</v>
      </c>
      <c r="D847" s="238">
        <f>(D846/D10)/1.983</f>
        <v>53.047679469035181</v>
      </c>
      <c r="E847" s="40" t="s">
        <v>852</v>
      </c>
      <c r="F847" s="238">
        <f>(F846/F10)/1.983</f>
        <v>61.136325432845851</v>
      </c>
      <c r="G847" s="238">
        <f>(G846/G10)/1.983</f>
        <v>65.540969205992866</v>
      </c>
      <c r="H847" s="238">
        <f>(H846/H10)/1.983</f>
        <v>73.625819465456374</v>
      </c>
      <c r="I847" s="40" t="s">
        <v>852</v>
      </c>
      <c r="J847" s="238">
        <f>(J846/J10)/1.983</f>
        <v>73.007661900346491</v>
      </c>
      <c r="K847" s="238">
        <f>(K846/K10)/1.983</f>
        <v>68.892033901062263</v>
      </c>
      <c r="L847" s="238">
        <f>(L846/L10)/1.983</f>
        <v>67.994620944696592</v>
      </c>
      <c r="M847" s="40" t="s">
        <v>852</v>
      </c>
      <c r="N847" s="238">
        <f>(N846/N10)/1.983</f>
        <v>61.588014250158601</v>
      </c>
      <c r="O847" s="238">
        <f>(O846/O10)/1.983</f>
        <v>13.245923684652881</v>
      </c>
      <c r="P847" s="238">
        <f>(P846/P10)/1.983</f>
        <v>0.22774226082995785</v>
      </c>
      <c r="Q847" s="40" t="s">
        <v>852</v>
      </c>
      <c r="R847" s="40" t="s">
        <v>852</v>
      </c>
    </row>
    <row r="848" spans="1:18" ht="15.75" customHeight="1" x14ac:dyDescent="0.3">
      <c r="A848" s="18"/>
      <c r="B848" s="172"/>
      <c r="C848" s="172"/>
      <c r="D848" s="172"/>
      <c r="E848" s="17"/>
      <c r="F848" s="172"/>
      <c r="G848" s="172"/>
      <c r="H848" s="172"/>
      <c r="I848" s="17"/>
      <c r="J848" s="172"/>
      <c r="K848" s="172"/>
      <c r="L848" s="172"/>
      <c r="M848" s="17"/>
      <c r="N848" s="172"/>
      <c r="O848" s="172"/>
      <c r="P848" s="172"/>
      <c r="Q848" s="17"/>
      <c r="R848" s="17"/>
    </row>
    <row r="849" spans="1:18" ht="15.75" customHeight="1" x14ac:dyDescent="0.3">
      <c r="A849" s="18"/>
      <c r="B849" s="172"/>
      <c r="C849" s="172"/>
      <c r="D849" s="172"/>
      <c r="E849" s="172"/>
      <c r="F849" s="172"/>
      <c r="G849" s="172"/>
      <c r="H849" s="172"/>
      <c r="I849" s="172"/>
      <c r="J849" s="172"/>
      <c r="K849" s="172"/>
      <c r="L849" s="172"/>
      <c r="M849" s="172"/>
      <c r="N849" s="172"/>
      <c r="O849" s="172"/>
      <c r="P849" s="172"/>
      <c r="Q849" s="680" t="str">
        <f>+Q1</f>
        <v xml:space="preserve">PRINTED:  </v>
      </c>
      <c r="R849" s="681">
        <f ca="1">+R1</f>
        <v>44881.729633912037</v>
      </c>
    </row>
    <row r="850" spans="1:18" ht="15.75" customHeight="1" x14ac:dyDescent="0.3">
      <c r="A850" s="778" t="s">
        <v>43</v>
      </c>
      <c r="B850" s="778"/>
      <c r="C850" s="778"/>
      <c r="D850" s="778"/>
      <c r="E850" s="778"/>
      <c r="F850" s="778"/>
      <c r="G850" s="778"/>
      <c r="H850" s="778"/>
      <c r="I850" s="778"/>
      <c r="J850" s="778"/>
      <c r="K850" s="778"/>
      <c r="L850" s="778"/>
      <c r="M850" s="778"/>
      <c r="N850" s="778"/>
      <c r="O850" s="778"/>
      <c r="P850" s="778"/>
      <c r="Q850" s="778"/>
      <c r="R850" s="778"/>
    </row>
    <row r="851" spans="1:18" ht="15.75" customHeight="1" x14ac:dyDescent="0.3">
      <c r="A851" s="778" t="s">
        <v>1988</v>
      </c>
      <c r="B851" s="778"/>
      <c r="C851" s="778"/>
      <c r="D851" s="778"/>
      <c r="E851" s="778"/>
      <c r="F851" s="778"/>
      <c r="G851" s="778"/>
      <c r="H851" s="778"/>
      <c r="I851" s="778"/>
      <c r="J851" s="778"/>
      <c r="K851" s="778"/>
      <c r="L851" s="778"/>
      <c r="M851" s="778"/>
      <c r="N851" s="778"/>
      <c r="O851" s="778"/>
      <c r="P851" s="778"/>
      <c r="Q851" s="778"/>
      <c r="R851" s="778"/>
    </row>
    <row r="852" spans="1:18" ht="15.75" customHeight="1" x14ac:dyDescent="0.3">
      <c r="A852" s="778" t="s">
        <v>544</v>
      </c>
      <c r="B852" s="778"/>
      <c r="C852" s="778"/>
      <c r="D852" s="778"/>
      <c r="E852" s="778"/>
      <c r="F852" s="778"/>
      <c r="G852" s="778"/>
      <c r="H852" s="778"/>
      <c r="I852" s="778"/>
      <c r="J852" s="778"/>
      <c r="K852" s="778"/>
      <c r="L852" s="778"/>
      <c r="M852" s="778"/>
      <c r="N852" s="778"/>
      <c r="O852" s="778"/>
      <c r="P852" s="778"/>
      <c r="Q852" s="778"/>
      <c r="R852" s="778"/>
    </row>
    <row r="853" spans="1:18" ht="15.75" customHeight="1" x14ac:dyDescent="0.3">
      <c r="A853" s="783">
        <f>+A5</f>
        <v>2019</v>
      </c>
      <c r="B853" s="783"/>
      <c r="C853" s="783"/>
      <c r="D853" s="783"/>
      <c r="E853" s="783"/>
      <c r="F853" s="783"/>
      <c r="G853" s="783"/>
      <c r="H853" s="783"/>
      <c r="I853" s="783"/>
      <c r="J853" s="783"/>
      <c r="K853" s="783"/>
      <c r="L853" s="783"/>
      <c r="M853" s="783"/>
      <c r="N853" s="783"/>
      <c r="O853" s="783"/>
      <c r="P853" s="783"/>
      <c r="Q853" s="783"/>
      <c r="R853" s="783"/>
    </row>
    <row r="854" spans="1:18" ht="15.75" customHeight="1" x14ac:dyDescent="0.3">
      <c r="A854" s="172"/>
      <c r="B854" s="172"/>
      <c r="C854" s="172"/>
      <c r="D854" s="1"/>
      <c r="E854" s="1"/>
      <c r="F854" s="1"/>
      <c r="G854" s="452"/>
      <c r="H854" s="1"/>
      <c r="I854" s="1"/>
      <c r="J854" s="452"/>
      <c r="K854" s="452"/>
      <c r="L854" s="452"/>
      <c r="M854" s="452"/>
      <c r="N854" s="172"/>
      <c r="O854" s="452"/>
      <c r="P854" s="452"/>
      <c r="Q854" s="452"/>
      <c r="R854" s="452"/>
    </row>
    <row r="855" spans="1:18" ht="15.75" customHeight="1" x14ac:dyDescent="0.3">
      <c r="A855" s="778" t="str">
        <f>+A8</f>
        <v>Revised:  11/4/2019</v>
      </c>
      <c r="B855" s="778"/>
      <c r="C855" s="778"/>
      <c r="D855" s="778"/>
      <c r="E855" s="778"/>
      <c r="F855" s="778"/>
      <c r="G855" s="778"/>
      <c r="H855" s="778"/>
      <c r="I855" s="778"/>
      <c r="J855" s="778"/>
      <c r="K855" s="778"/>
      <c r="L855" s="778"/>
      <c r="M855" s="778"/>
      <c r="N855" s="778"/>
      <c r="O855" s="778"/>
      <c r="P855" s="778"/>
      <c r="Q855" s="778"/>
      <c r="R855" s="778"/>
    </row>
    <row r="856" spans="1:18" ht="15.75" customHeight="1" x14ac:dyDescent="0.3">
      <c r="A856" s="448"/>
      <c r="B856" s="448"/>
      <c r="C856" s="448"/>
      <c r="D856" s="448"/>
      <c r="E856" s="448"/>
      <c r="F856" s="448"/>
      <c r="G856" s="448"/>
      <c r="H856" s="448"/>
      <c r="I856" s="448"/>
      <c r="J856" s="448"/>
      <c r="K856" s="448"/>
      <c r="L856" s="448"/>
      <c r="M856" s="448"/>
      <c r="N856" s="448"/>
      <c r="O856" s="448"/>
      <c r="P856" s="448"/>
      <c r="Q856" s="448"/>
      <c r="R856" s="448"/>
    </row>
    <row r="857" spans="1:18" ht="15.75" customHeight="1" x14ac:dyDescent="0.3">
      <c r="A857" s="448"/>
      <c r="B857" s="448"/>
      <c r="C857" s="448"/>
      <c r="D857" s="448"/>
      <c r="E857" s="448"/>
      <c r="F857" s="448"/>
      <c r="G857" s="448"/>
      <c r="H857" s="448"/>
      <c r="I857" s="448"/>
      <c r="J857" s="448"/>
      <c r="K857" s="448"/>
      <c r="L857" s="448"/>
      <c r="M857" s="448"/>
      <c r="N857" s="448"/>
      <c r="O857" s="448"/>
      <c r="P857" s="448"/>
      <c r="Q857" s="448"/>
      <c r="R857" s="448"/>
    </row>
    <row r="858" spans="1:18" ht="15.75" customHeight="1" thickBot="1" x14ac:dyDescent="0.35">
      <c r="A858" s="18"/>
      <c r="B858" s="172"/>
      <c r="C858" s="172"/>
      <c r="D858" s="172"/>
      <c r="E858" s="172"/>
      <c r="F858" s="172"/>
      <c r="G858" s="172"/>
      <c r="H858" s="172"/>
      <c r="I858" s="172"/>
      <c r="J858" s="172"/>
      <c r="K858" s="172"/>
      <c r="L858" s="172"/>
      <c r="M858" s="172"/>
      <c r="N858" s="172"/>
      <c r="O858" s="172"/>
      <c r="P858" s="172"/>
      <c r="Q858" s="172"/>
      <c r="R858" s="17"/>
    </row>
    <row r="859" spans="1:18" ht="16.5" customHeight="1" thickBot="1" x14ac:dyDescent="0.35">
      <c r="A859" s="278" t="s">
        <v>1661</v>
      </c>
      <c r="B859" s="4" t="s">
        <v>2090</v>
      </c>
      <c r="C859" s="5" t="s">
        <v>2091</v>
      </c>
      <c r="D859" s="5" t="s">
        <v>2234</v>
      </c>
      <c r="E859" s="33" t="s">
        <v>1594</v>
      </c>
      <c r="F859" s="5" t="s">
        <v>2235</v>
      </c>
      <c r="G859" s="5" t="s">
        <v>2236</v>
      </c>
      <c r="H859" s="5" t="s">
        <v>2237</v>
      </c>
      <c r="I859" s="35" t="s">
        <v>1595</v>
      </c>
      <c r="J859" s="5" t="s">
        <v>1504</v>
      </c>
      <c r="K859" s="5" t="s">
        <v>1505</v>
      </c>
      <c r="L859" s="5" t="s">
        <v>1506</v>
      </c>
      <c r="M859" s="35" t="s">
        <v>1596</v>
      </c>
      <c r="N859" s="5" t="s">
        <v>1507</v>
      </c>
      <c r="O859" s="5" t="s">
        <v>1508</v>
      </c>
      <c r="P859" s="5" t="s">
        <v>1509</v>
      </c>
      <c r="Q859" s="35" t="s">
        <v>1597</v>
      </c>
      <c r="R859" s="60" t="s">
        <v>1510</v>
      </c>
    </row>
    <row r="860" spans="1:18" ht="16.5" customHeight="1" thickBot="1" x14ac:dyDescent="0.35">
      <c r="A860" s="22"/>
      <c r="B860" s="242"/>
      <c r="C860" s="242"/>
      <c r="D860" s="242"/>
      <c r="E860" s="233"/>
      <c r="F860" s="242"/>
      <c r="G860" s="242"/>
      <c r="H860" s="242"/>
      <c r="I860" s="282"/>
      <c r="J860" s="242"/>
      <c r="K860" s="242"/>
      <c r="L860" s="242"/>
      <c r="M860" s="282"/>
      <c r="N860" s="242"/>
      <c r="O860" s="242"/>
      <c r="P860" s="242"/>
      <c r="Q860" s="283"/>
      <c r="R860" s="61"/>
    </row>
    <row r="861" spans="1:18" ht="15.75" customHeight="1" x14ac:dyDescent="0.3">
      <c r="A861" s="234" t="s">
        <v>2417</v>
      </c>
      <c r="B861" s="172" t="s">
        <v>852</v>
      </c>
      <c r="C861" s="172" t="s">
        <v>852</v>
      </c>
      <c r="D861" s="172" t="s">
        <v>852</v>
      </c>
      <c r="E861" s="284"/>
      <c r="F861" s="172" t="s">
        <v>852</v>
      </c>
      <c r="G861" s="172" t="s">
        <v>852</v>
      </c>
      <c r="H861" s="172" t="s">
        <v>852</v>
      </c>
      <c r="I861" s="284"/>
      <c r="J861" s="172" t="s">
        <v>852</v>
      </c>
      <c r="K861" s="172" t="s">
        <v>852</v>
      </c>
      <c r="L861" s="172" t="s">
        <v>852</v>
      </c>
      <c r="M861" s="284"/>
      <c r="N861" s="172" t="s">
        <v>852</v>
      </c>
      <c r="O861" s="172" t="s">
        <v>852</v>
      </c>
      <c r="P861" s="172" t="s">
        <v>852</v>
      </c>
      <c r="Q861" s="285"/>
      <c r="R861" s="62" t="s">
        <v>852</v>
      </c>
    </row>
    <row r="862" spans="1:18" ht="15.75" customHeight="1" x14ac:dyDescent="0.3">
      <c r="A862" s="545" t="s">
        <v>2160</v>
      </c>
      <c r="B862" s="172">
        <f>+SUM(B71:B82)+SUM(B140:B195)+SUM(B334:B367)+SUM(B505:B510)+SUM(B549:B554)+SUM(B594:B609)+SUM(B671:B674)+SUM(B707:B714)+SUM(B770:B771)+SUM(B804:B809)</f>
        <v>28630</v>
      </c>
      <c r="C862" s="172">
        <f>+SUM(C71:C82)+SUM(C140:C195)+SUM(C334:C367)+SUM(C505:C510)+SUM(C549:C554)+SUM(C594:C609)+SUM(C671:C674)+SUM(C707:C714)+SUM(C770:C771)+SUM(C804:C809)</f>
        <v>24884</v>
      </c>
      <c r="D862" s="172">
        <f>+SUM(D71:D82)+SUM(D140:D195)+SUM(D334:D367)+SUM(D505:D510)+SUM(D549:D554)+SUM(D594:D609)+SUM(D671:D674)+SUM(D707:D714)+SUM(D770:D771)+SUM(D804:D809)</f>
        <v>36182</v>
      </c>
      <c r="E862" s="38">
        <f t="shared" ref="E862:E868" si="301">SUM(B862:D862)</f>
        <v>89696</v>
      </c>
      <c r="F862" s="172">
        <f>+SUM(F71:F82)+SUM(F140:F195)+SUM(F334:F367)+SUM(F505:F510)+SUM(F549:F554)+SUM(F594:F609)+SUM(F671:F674)+SUM(F707:F714)+SUM(F770:F771)+SUM(F804:F809)</f>
        <v>52829</v>
      </c>
      <c r="G862" s="172">
        <f>+SUM(G71:G82)+SUM(G140:G195)+SUM(G334:G367)+SUM(G505:G510)+SUM(G549:G554)+SUM(G594:G609)+SUM(G671:G674)+SUM(G707:G714)+SUM(G770:G771)+SUM(G804:G809)</f>
        <v>67354</v>
      </c>
      <c r="H862" s="172">
        <f>+SUM(H71:H82)+SUM(H140:H195)+SUM(H334:H367)+SUM(H505:H510)+SUM(H549:H554)+SUM(H594:H609)+SUM(H671:H674)+SUM(H707:H714)+SUM(H770:H771)+SUM(H804:H809)</f>
        <v>83733</v>
      </c>
      <c r="I862" s="38">
        <f t="shared" ref="I862:I868" si="302">SUM(F862:H862)</f>
        <v>203916</v>
      </c>
      <c r="J862" s="172">
        <f>+SUM(J71:J82)+SUM(J140:J195)+SUM(J334:J367)+SUM(J505:J510)+SUM(J549:J554)+SUM(J594:J609)+SUM(J671:J674)+SUM(J707:J714)+SUM(J770:J771)+SUM(J804:J809)</f>
        <v>85537</v>
      </c>
      <c r="K862" s="172">
        <f>+SUM(K71:K82)+SUM(K140:K195)+SUM(K334:K367)+SUM(K505:K510)+SUM(K549:K554)+SUM(K594:K609)+SUM(K671:K674)+SUM(K707:K714)+SUM(K770:K771)+SUM(K804:K809)</f>
        <v>76605</v>
      </c>
      <c r="L862" s="172">
        <f>+SUM(L71:L82)+SUM(L140:L195)+SUM(L334:L367)+SUM(L505:L510)+SUM(L549:L554)+SUM(L594:L609)+SUM(L671:L674)+SUM(L707:L714)+SUM(L770:L771)+SUM(L804:L809)</f>
        <v>58607</v>
      </c>
      <c r="M862" s="38">
        <f t="shared" ref="M862:M868" si="303">SUM(J862:L862)</f>
        <v>220749</v>
      </c>
      <c r="N862" s="172">
        <f>+SUM(N71:N82)+SUM(N140:N195)+SUM(N334:N367)+SUM(N505:N510)+SUM(N549:N554)+SUM(N594:N609)+SUM(N671:N674)+SUM(N707:N714)+SUM(N770:N771)+SUM(N804:N809)</f>
        <v>41519</v>
      </c>
      <c r="O862" s="172">
        <f>+SUM(O71:O82)+SUM(O140:O195)+SUM(O334:O367)+SUM(O505:O510)+SUM(O549:O554)+SUM(O594:O609)+SUM(O671:O674)+SUM(O707:O714)+SUM(O770:O771)+SUM(O804:O809)</f>
        <v>5100</v>
      </c>
      <c r="P862" s="172">
        <f>+SUM(P71:P82)+SUM(P140:P195)+SUM(P334:P367)+SUM(P505:P510)+SUM(P549:P554)+SUM(P594:P609)+SUM(P671:P674)+SUM(P707:P714)+SUM(P770:P771)+SUM(P804:P809)</f>
        <v>13765</v>
      </c>
      <c r="Q862" s="38">
        <f t="shared" ref="Q862:Q868" si="304">SUM(N862:P862)</f>
        <v>60384</v>
      </c>
      <c r="R862" s="38">
        <f t="shared" ref="R862:R868" si="305">+E862+I862+M862+Q862</f>
        <v>574745</v>
      </c>
    </row>
    <row r="863" spans="1:18" ht="15.75" customHeight="1" x14ac:dyDescent="0.3">
      <c r="A863" s="234" t="s">
        <v>2642</v>
      </c>
      <c r="B863" s="172">
        <f>+B38+SUM(B83:B84)+SUM(B197:B206)+SUM(B369:B379)+SUM(B512:B513)+B555+SUM(B610:B611)+B675+B715+B772+SUM(B810:B810)</f>
        <v>0</v>
      </c>
      <c r="C863" s="172">
        <f>+C38+SUM(C83:C84)+SUM(C197:C206)+SUM(C369:C379)+SUM(C512:C513)+C555+SUM(C610:C611)+C675+C715+C772+SUM(C810:C810)</f>
        <v>0</v>
      </c>
      <c r="D863" s="172">
        <f>+D38+SUM(D83:D84)+SUM(D197:D206)+SUM(D369:D379)+SUM(D512:D513)+D555+SUM(D610:D611)+D675+D715+D772+SUM(D810:D810)</f>
        <v>0</v>
      </c>
      <c r="E863" s="38">
        <f t="shared" si="301"/>
        <v>0</v>
      </c>
      <c r="F863" s="172">
        <f>+F38+SUM(F83:F84)+SUM(F197:F206)+SUM(F369:F379)+SUM(F512:F513)+F555+SUM(F610:F611)+F675+F715+F772+SUM(F810:F810)</f>
        <v>0</v>
      </c>
      <c r="G863" s="172">
        <f>+G38+SUM(G83:G84)+SUM(G197:G206)+SUM(G369:G379)+SUM(G512:G513)+G555+SUM(G610:G611)+G675+G715+G772+SUM(G810:G810)</f>
        <v>0</v>
      </c>
      <c r="H863" s="172">
        <f>+H38+SUM(H83:H84)+SUM(H197:H206)+SUM(H369:H379)+SUM(H512:H513)+H555+SUM(H610:H611)+H675+H715+H772+SUM(H810:H810)</f>
        <v>0</v>
      </c>
      <c r="I863" s="38">
        <f t="shared" si="302"/>
        <v>0</v>
      </c>
      <c r="J863" s="172">
        <f>+J38+SUM(J83:J84)+SUM(J197:J206)+SUM(J369:J379)+SUM(J512:J513)+J555+SUM(J610:J611)+J675+J715+J772+SUM(J810:J810)</f>
        <v>0</v>
      </c>
      <c r="K863" s="172">
        <f>+K38+SUM(K83:K84)+SUM(K197:K206)+SUM(K369:K379)+SUM(K512:K513)+K555+SUM(K610:K611)+K675+K715+K772+SUM(K810:K810)</f>
        <v>0</v>
      </c>
      <c r="L863" s="172">
        <f>+L38+SUM(L83:L84)+SUM(L197:L206)+SUM(L369:L379)+SUM(L512:L513)+L555+SUM(L610:L611)+L675+L715+L772+SUM(L810:L810)</f>
        <v>0</v>
      </c>
      <c r="M863" s="38">
        <f t="shared" si="303"/>
        <v>0</v>
      </c>
      <c r="N863" s="172">
        <f>+N38+SUM(N83:N84)+SUM(N197:N206)+SUM(N369:N379)+SUM(N512:N513)+N555+SUM(N610:N611)+N675+N715+N772+SUM(N810:N810)</f>
        <v>0</v>
      </c>
      <c r="O863" s="172">
        <f>+O38+SUM(O83:O84)+SUM(O197:O206)+SUM(O369:O379)+SUM(O512:O513)+O555+SUM(O610:O611)+O675+O715+O772+SUM(O810:O810)</f>
        <v>0</v>
      </c>
      <c r="P863" s="172">
        <f>+P38+SUM(P83:P84)+SUM(P197:P206)+SUM(P369:P379)+SUM(P512:P513)+P555+SUM(P610:P611)+P675+P715+P772+SUM(P810:P810)</f>
        <v>0</v>
      </c>
      <c r="Q863" s="38">
        <f t="shared" si="304"/>
        <v>0</v>
      </c>
      <c r="R863" s="38">
        <f t="shared" si="305"/>
        <v>0</v>
      </c>
    </row>
    <row r="864" spans="1:18" ht="15.75" customHeight="1" x14ac:dyDescent="0.3">
      <c r="A864" s="545" t="s">
        <v>2647</v>
      </c>
      <c r="B864" s="172">
        <f>+SUM(B85:B87)+SUM(B207:B210)+SUM(B380:B384)+B514+B556+SUM(B612:B613)+B676+B716+B773+SUM(B811:B812)</f>
        <v>10</v>
      </c>
      <c r="C864" s="172">
        <f>+SUM(C85:C87)+SUM(C207:C210)+SUM(C380:C384)+C514+C556+SUM(C612:C613)+C676+C716+C773+SUM(C811:C812)</f>
        <v>3</v>
      </c>
      <c r="D864" s="172">
        <f>+SUM(D85:D87)+SUM(D207:D210)+SUM(D380:D384)+D514+D556+SUM(D612:D613)+D676+D716+D773+SUM(D811:D812)</f>
        <v>18</v>
      </c>
      <c r="E864" s="38">
        <f t="shared" si="301"/>
        <v>31</v>
      </c>
      <c r="F864" s="172">
        <f>+SUM(F85:F87)+SUM(F207:F210)+SUM(F380:F384)+F514+F556+SUM(F612:F613)+F676+F716+F773+SUM(F811:F812)</f>
        <v>113</v>
      </c>
      <c r="G864" s="172">
        <f>+SUM(G85:G87)+SUM(G207:G210)+SUM(G380:G384)+G514+G556+SUM(G612:G613)+G676+G716+G773+SUM(G811:G812)</f>
        <v>3620</v>
      </c>
      <c r="H864" s="172">
        <f>+SUM(H85:H87)+SUM(H207:H210)+SUM(H380:H384)+H514+H556+SUM(H612:H613)+H676+H716+H773+SUM(H811:H812)</f>
        <v>4331</v>
      </c>
      <c r="I864" s="38">
        <f t="shared" si="302"/>
        <v>8064</v>
      </c>
      <c r="J864" s="172">
        <f>+SUM(J85:J87)+SUM(J207:J210)+SUM(J380:J384)+J514+J556+SUM(J612:J613)+J676+J716+J773+SUM(J811:J812)</f>
        <v>2182</v>
      </c>
      <c r="K864" s="172">
        <f>+SUM(K85:K87)+SUM(K207:K210)+SUM(K380:K384)+K514+K556+SUM(K612:K613)+K676+K716+K773+SUM(K811:K812)</f>
        <v>1178</v>
      </c>
      <c r="L864" s="172">
        <f>+SUM(L85:L87)+SUM(L207:L210)+SUM(L380:L384)+L514+L556+SUM(L612:L613)+L676+L716+L773+SUM(L811:L812)</f>
        <v>1448</v>
      </c>
      <c r="M864" s="38">
        <f t="shared" si="303"/>
        <v>4808</v>
      </c>
      <c r="N864" s="172">
        <f>+SUM(N85:N87)+SUM(N207:N210)+SUM(N380:N384)+N514+N556+SUM(N612:N613)+N676+N716+N773+SUM(N811:N812)</f>
        <v>2044</v>
      </c>
      <c r="O864" s="172">
        <f>+SUM(O85:O87)+SUM(O207:O210)+SUM(O380:O384)+O514+O556+SUM(O612:O613)+O676+O716+O773+SUM(O811:O812)</f>
        <v>44</v>
      </c>
      <c r="P864" s="172">
        <f>+SUM(P85:P87)+SUM(P207:P210)+SUM(P380:P384)+P514+P556+SUM(P612:P613)+P676+P716+P773+SUM(P811:P812)</f>
        <v>240</v>
      </c>
      <c r="Q864" s="38">
        <f t="shared" si="304"/>
        <v>2328</v>
      </c>
      <c r="R864" s="38">
        <f>+E864+I864+M864+Q864</f>
        <v>15231</v>
      </c>
    </row>
    <row r="865" spans="1:20" ht="15.75" customHeight="1" x14ac:dyDescent="0.3">
      <c r="A865" s="234" t="s">
        <v>2958</v>
      </c>
      <c r="B865" s="172">
        <f>+B311+B486+B487</f>
        <v>0</v>
      </c>
      <c r="C865" s="172">
        <f>+C311+C486+C487</f>
        <v>0</v>
      </c>
      <c r="D865" s="172">
        <f>+D311+D486+D487</f>
        <v>0</v>
      </c>
      <c r="E865" s="38">
        <f t="shared" si="301"/>
        <v>0</v>
      </c>
      <c r="F865" s="172">
        <f>+F311+F486+F487</f>
        <v>0</v>
      </c>
      <c r="G865" s="172">
        <f>+G311+G486+G487</f>
        <v>0</v>
      </c>
      <c r="H865" s="172">
        <f>+H311+H486+H487</f>
        <v>0</v>
      </c>
      <c r="I865" s="38">
        <f t="shared" si="302"/>
        <v>0</v>
      </c>
      <c r="J865" s="172">
        <f>+J311+J486+J487</f>
        <v>0</v>
      </c>
      <c r="K865" s="172">
        <f>+K311+K486+K487</f>
        <v>0</v>
      </c>
      <c r="L865" s="172">
        <f>+L311+L486+L487</f>
        <v>0</v>
      </c>
      <c r="M865" s="38">
        <f t="shared" si="303"/>
        <v>0</v>
      </c>
      <c r="N865" s="172">
        <f>+N311+N486+N487</f>
        <v>0</v>
      </c>
      <c r="O865" s="172">
        <f>+O311+O486+O487</f>
        <v>0</v>
      </c>
      <c r="P865" s="172">
        <f>+P311+P486+P487</f>
        <v>0</v>
      </c>
      <c r="Q865" s="38">
        <f t="shared" si="304"/>
        <v>0</v>
      </c>
      <c r="R865" s="38">
        <f t="shared" si="305"/>
        <v>0</v>
      </c>
    </row>
    <row r="866" spans="1:20" ht="15.75" customHeight="1" x14ac:dyDescent="0.3">
      <c r="A866" s="545" t="s">
        <v>2163</v>
      </c>
      <c r="B866" s="172">
        <f>+B312</f>
        <v>29</v>
      </c>
      <c r="C866" s="172">
        <f>+C312</f>
        <v>21</v>
      </c>
      <c r="D866" s="172">
        <f>+D312</f>
        <v>26</v>
      </c>
      <c r="E866" s="38">
        <f>SUM(B866:D866)</f>
        <v>76</v>
      </c>
      <c r="F866" s="172">
        <f>+F312</f>
        <v>23</v>
      </c>
      <c r="G866" s="172">
        <f>+G312</f>
        <v>91</v>
      </c>
      <c r="H866" s="172">
        <f>+H312</f>
        <v>31</v>
      </c>
      <c r="I866" s="38">
        <f>SUM(F866:H866)</f>
        <v>145</v>
      </c>
      <c r="J866" s="172">
        <f>+J312</f>
        <v>29</v>
      </c>
      <c r="K866" s="172">
        <f>+K312</f>
        <v>203</v>
      </c>
      <c r="L866" s="172">
        <f>+L312</f>
        <v>59</v>
      </c>
      <c r="M866" s="38">
        <f>SUM(J866:L866)</f>
        <v>291</v>
      </c>
      <c r="N866" s="172">
        <f>+N312</f>
        <v>58</v>
      </c>
      <c r="O866" s="172">
        <f>+O312</f>
        <v>43</v>
      </c>
      <c r="P866" s="172">
        <f>+P312</f>
        <v>12</v>
      </c>
      <c r="Q866" s="38">
        <f t="shared" si="304"/>
        <v>113</v>
      </c>
      <c r="R866" s="38">
        <f>+E866+I866+M866+Q866</f>
        <v>625</v>
      </c>
    </row>
    <row r="867" spans="1:20" ht="15.75" customHeight="1" thickBot="1" x14ac:dyDescent="0.35">
      <c r="A867" s="234" t="s">
        <v>2164</v>
      </c>
      <c r="B867" s="172">
        <f>+B88+B515+B557+B614+B677+B717+B774+B813</f>
        <v>0</v>
      </c>
      <c r="C867" s="172">
        <f>+C88+C515+C557+C614+C677+C717+C774+C813</f>
        <v>0</v>
      </c>
      <c r="D867" s="172">
        <f>+D88+D515+D557+D614+D677+D717+D774+D813</f>
        <v>0</v>
      </c>
      <c r="E867" s="38">
        <f t="shared" si="301"/>
        <v>0</v>
      </c>
      <c r="F867" s="172">
        <f>+F88+F515+F557+F614+F677+F717+F774+F813</f>
        <v>0</v>
      </c>
      <c r="G867" s="172">
        <f>+G88+G515+G557+G614+G677+G717+G774+G813</f>
        <v>0</v>
      </c>
      <c r="H867" s="172">
        <f>+H88+H515+H557+H614+H677+H717+H774+H813</f>
        <v>0</v>
      </c>
      <c r="I867" s="38">
        <f t="shared" si="302"/>
        <v>0</v>
      </c>
      <c r="J867" s="172">
        <f>+J88+J515+J557+J614+J677+J717+J774+J813</f>
        <v>0</v>
      </c>
      <c r="K867" s="172">
        <f>+K88+K515+K557+K614+K677+K717+K774+K813</f>
        <v>0</v>
      </c>
      <c r="L867" s="172">
        <f>+L88+L515+L557+L614+L677+L717+L774+L813</f>
        <v>0</v>
      </c>
      <c r="M867" s="38">
        <f t="shared" si="303"/>
        <v>0</v>
      </c>
      <c r="N867" s="172">
        <f>+N88+N515+N557+N614+N677+N717+N774+N813</f>
        <v>0</v>
      </c>
      <c r="O867" s="172">
        <f>+O88+O515+O557+O614+O677+O717+O774+O813</f>
        <v>0</v>
      </c>
      <c r="P867" s="172">
        <f>+P88+P515+P557+P614+P677+P717+P774+P813</f>
        <v>0</v>
      </c>
      <c r="Q867" s="38">
        <f t="shared" si="304"/>
        <v>0</v>
      </c>
      <c r="R867" s="38">
        <f t="shared" si="305"/>
        <v>0</v>
      </c>
    </row>
    <row r="868" spans="1:20" ht="16.5" customHeight="1" thickBot="1" x14ac:dyDescent="0.35">
      <c r="A868" s="43" t="s">
        <v>1218</v>
      </c>
      <c r="B868" s="45">
        <f>SUM(B861:B867)</f>
        <v>28669</v>
      </c>
      <c r="C868" s="46">
        <f>SUM(C861:C867)</f>
        <v>24908</v>
      </c>
      <c r="D868" s="46">
        <f>SUM(D861:D867)</f>
        <v>36226</v>
      </c>
      <c r="E868" s="37">
        <f t="shared" si="301"/>
        <v>89803</v>
      </c>
      <c r="F868" s="46">
        <f>SUM(F861:F867)</f>
        <v>52965</v>
      </c>
      <c r="G868" s="46">
        <f>SUM(G861:G867)</f>
        <v>71065</v>
      </c>
      <c r="H868" s="46">
        <f>SUM(H861:H867)</f>
        <v>88095</v>
      </c>
      <c r="I868" s="37">
        <f t="shared" si="302"/>
        <v>212125</v>
      </c>
      <c r="J868" s="46">
        <f>SUM(J861:J867)</f>
        <v>87748</v>
      </c>
      <c r="K868" s="46">
        <f>SUM(K861:K867)</f>
        <v>77986</v>
      </c>
      <c r="L868" s="46">
        <f>SUM(L861:L867)</f>
        <v>60114</v>
      </c>
      <c r="M868" s="37">
        <f t="shared" si="303"/>
        <v>225848</v>
      </c>
      <c r="N868" s="46">
        <f>SUM(N861:N867)</f>
        <v>43621</v>
      </c>
      <c r="O868" s="46">
        <f>SUM(O861:O867)</f>
        <v>5187</v>
      </c>
      <c r="P868" s="46">
        <f>SUM(P861:P867)</f>
        <v>14017</v>
      </c>
      <c r="Q868" s="37">
        <f t="shared" si="304"/>
        <v>62825</v>
      </c>
      <c r="R868" s="37">
        <f t="shared" si="305"/>
        <v>590601</v>
      </c>
      <c r="T868">
        <f>+R868-R865-R864</f>
        <v>575370</v>
      </c>
    </row>
    <row r="869" spans="1:20" ht="15.75" customHeight="1" x14ac:dyDescent="0.3">
      <c r="A869" s="234" t="s">
        <v>1172</v>
      </c>
      <c r="B869" s="172"/>
      <c r="C869" s="172"/>
      <c r="D869" s="172"/>
      <c r="E869" s="38" t="s">
        <v>852</v>
      </c>
      <c r="F869" s="172"/>
      <c r="G869" s="172"/>
      <c r="H869" s="172"/>
      <c r="I869" s="38" t="s">
        <v>852</v>
      </c>
      <c r="J869" s="172"/>
      <c r="K869" s="172"/>
      <c r="L869" s="172"/>
      <c r="M869" s="38" t="s">
        <v>852</v>
      </c>
      <c r="N869" s="172"/>
      <c r="O869" s="172"/>
      <c r="P869" s="172"/>
      <c r="Q869" s="38" t="s">
        <v>852</v>
      </c>
      <c r="R869" s="38" t="s">
        <v>852</v>
      </c>
    </row>
    <row r="870" spans="1:20" ht="15.75" customHeight="1" x14ac:dyDescent="0.3">
      <c r="A870" s="234" t="s">
        <v>1658</v>
      </c>
      <c r="B870" s="172">
        <f>SUM(B43:B43)+SUM(B214:B214)+SUM(B91:B91)+SUM(B388:B388)</f>
        <v>0</v>
      </c>
      <c r="C870" s="172">
        <f>SUM(C43:C43)+SUM(C214:C214)+SUM(C91:C91)+SUM(C388:C388)</f>
        <v>0</v>
      </c>
      <c r="D870" s="172">
        <f>SUM(D43:D43)+SUM(D214:D214)+SUM(D91:D91)+SUM(D388:D388)</f>
        <v>0</v>
      </c>
      <c r="E870" s="38">
        <f>SUM(B870:D870)</f>
        <v>0</v>
      </c>
      <c r="F870" s="172">
        <f>SUM(F43:F43)+SUM(F214:F214)+SUM(F91:F91)+SUM(F388:F388)</f>
        <v>0</v>
      </c>
      <c r="G870" s="172">
        <f>SUM(G43:G43)+SUM(G214:G214)+SUM(G91:G91)+SUM(G388:G388)</f>
        <v>0</v>
      </c>
      <c r="H870" s="172">
        <f>SUM(H43:H43)+SUM(H214:H214)+SUM(H91:H91)+SUM(H388:H388)</f>
        <v>0</v>
      </c>
      <c r="I870" s="38">
        <f>SUM(F870:H870)</f>
        <v>0</v>
      </c>
      <c r="J870" s="172">
        <f>SUM(J43:J43)+SUM(J214:J214)+SUM(J91:J91)+SUM(J388:J388)</f>
        <v>0</v>
      </c>
      <c r="K870" s="172">
        <f>SUM(K43:K43)+SUM(K214:K214)+SUM(K91:K91)+SUM(K388:K388)</f>
        <v>0</v>
      </c>
      <c r="L870" s="172">
        <f>SUM(L43:L43)+SUM(L214:L214)+SUM(L91:L91)+SUM(L388:L388)</f>
        <v>0</v>
      </c>
      <c r="M870" s="38">
        <f>SUM(J870:L870)</f>
        <v>0</v>
      </c>
      <c r="N870" s="172">
        <f>SUM(N43:N43)+SUM(N214:N214)+SUM(N91:N91)+SUM(N388:N388)</f>
        <v>0</v>
      </c>
      <c r="O870" s="172">
        <f>SUM(O43:O43)+SUM(O214:O214)+SUM(O91:O91)+SUM(O388:O388)</f>
        <v>0</v>
      </c>
      <c r="P870" s="172">
        <f>SUM(P43:P43)+SUM(P214:P214)+SUM(P91:P91)+SUM(P388:P388)</f>
        <v>0</v>
      </c>
      <c r="Q870" s="38">
        <f>SUM(N870:P870)</f>
        <v>0</v>
      </c>
      <c r="R870" s="38">
        <f>+E870+I870+M870+Q870</f>
        <v>0</v>
      </c>
    </row>
    <row r="871" spans="1:20" ht="15.75" customHeight="1" x14ac:dyDescent="0.3">
      <c r="A871" s="545" t="s">
        <v>2409</v>
      </c>
      <c r="B871" s="172">
        <f>+SUM(B93:B94)+SUM(B215:B217)+SUM(B389:B398)+B519+SUM(B560:B562)+SUM(B617:B619)+SUM(B680:B680)+B720+B777+SUM(B816:B817)</f>
        <v>1422</v>
      </c>
      <c r="C871" s="172">
        <f>+SUM(C93:C94)+SUM(C215:C217)+SUM(C389:C398)+C519+SUM(C560:C562)+SUM(C617:C619)+SUM(C680:C680)+C720+C777+SUM(C816:C817)</f>
        <v>1751</v>
      </c>
      <c r="D871" s="172">
        <f>+SUM(D93:D94)+SUM(D215:D217)+SUM(D389:D398)+D519+SUM(D560:D562)+SUM(D617:D619)+SUM(D680:D680)+D720+D777+SUM(D816:D817)</f>
        <v>7992</v>
      </c>
      <c r="E871" s="38">
        <f>SUM(B871:D871)</f>
        <v>11165</v>
      </c>
      <c r="F871" s="172">
        <f>+SUM(F93:F94)+SUM(F215:F217)+SUM(F389:F398)+F519+SUM(F560:F562)+SUM(F617:F619)+SUM(F680:F680)+F720+F777+SUM(F816:F817)</f>
        <v>39956</v>
      </c>
      <c r="G871" s="172">
        <f>+SUM(G93:G94)+SUM(G215:G217)+SUM(G389:G398)+G519+SUM(G560:G562)+SUM(G617:G619)+SUM(G680:G680)+G720+G777+SUM(G816:G817)</f>
        <v>24190</v>
      </c>
      <c r="H871" s="172">
        <f>+SUM(H93:H94)+SUM(H215:H217)+SUM(H389:H398)+H519+SUM(H560:H562)+SUM(H617:H619)+SUM(H680:H680)+H720+H777+SUM(H816:H817)</f>
        <v>48816</v>
      </c>
      <c r="I871" s="38">
        <f>SUM(F871:H871)</f>
        <v>112962</v>
      </c>
      <c r="J871" s="172">
        <f>+SUM(J93:J94)+SUM(J215:J217)+SUM(J389:J398)+J519+SUM(J560:J562)+SUM(J617:J619)+SUM(J680:J680)+J720+J777+SUM(J816:J817)</f>
        <v>55202</v>
      </c>
      <c r="K871" s="172">
        <f>+SUM(K93:K94)+SUM(K215:K217)+SUM(K389:K398)+K519+SUM(K560:K562)+SUM(K617:K619)+SUM(K680:K680)+K720+K777+SUM(K816:K817)</f>
        <v>42327</v>
      </c>
      <c r="L871" s="172">
        <f>+SUM(L93:L94)+SUM(L215:L217)+SUM(L389:L398)+L519+SUM(L560:L562)+SUM(L617:L619)+SUM(L680:L680)+L720+L777+SUM(L816:L817)</f>
        <v>17893</v>
      </c>
      <c r="M871" s="38">
        <f>SUM(J871:L871)</f>
        <v>115422</v>
      </c>
      <c r="N871" s="172">
        <f>+SUM(N93:N94)+SUM(N215:N217)+SUM(N389:N398)+N519+SUM(N560:N562)+SUM(N617:N619)+SUM(N680:N680)+N720+N777+SUM(N816:N817)</f>
        <v>12841</v>
      </c>
      <c r="O871" s="172">
        <f>+SUM(O93:O94)+SUM(O215:O217)+SUM(O389:O398)+O519+SUM(O560:O562)+SUM(O617:O619)+SUM(O680:O680)+O720+O777+SUM(O816:O817)</f>
        <v>1791</v>
      </c>
      <c r="P871" s="172">
        <f>+SUM(P93:P94)+SUM(P215:P217)+SUM(P389:P398)+P519+SUM(P560:P562)+SUM(P617:P619)+SUM(P680:P680)+P720+P777+SUM(P816:P817)</f>
        <v>8514</v>
      </c>
      <c r="Q871" s="38">
        <f>SUM(N871:P871)</f>
        <v>23146</v>
      </c>
      <c r="R871" s="38">
        <f>+E871+I871+M871+Q871</f>
        <v>262695</v>
      </c>
    </row>
    <row r="872" spans="1:20" ht="15.75" customHeight="1" thickBot="1" x14ac:dyDescent="0.35">
      <c r="A872" s="234" t="s">
        <v>2165</v>
      </c>
      <c r="B872" s="172">
        <f>+B95+B520+B563+B620+B681+B721+B778+B818+B399+B218+B45</f>
        <v>0</v>
      </c>
      <c r="C872" s="172">
        <f>+C95+C520+C563+C620+C681+C721+C778+C818+C399+C218+C45</f>
        <v>0</v>
      </c>
      <c r="D872" s="172">
        <f>+D95+D520+D563+D620+D681+D721+D778+D818+D399+D218+D45</f>
        <v>0</v>
      </c>
      <c r="E872" s="38">
        <f>SUM(B872:D872)</f>
        <v>0</v>
      </c>
      <c r="F872" s="172">
        <f>+F95+F520+F563+F620+F681+F721+F778+F818+F399+F218+F45</f>
        <v>0</v>
      </c>
      <c r="G872" s="172">
        <f>+G95+G520+G563+G620+G681+G721+G778+G818+G399+G218+G45</f>
        <v>0</v>
      </c>
      <c r="H872" s="172">
        <f>+H95+H520+H563+H620+H681+H721+H778+H818+H399+H218+H45</f>
        <v>0</v>
      </c>
      <c r="I872" s="38">
        <f>SUM(F872:H872)</f>
        <v>0</v>
      </c>
      <c r="J872" s="172">
        <f>+J95+J520+J563+J620+J681+J721+J778+J818+J399+J218+J45</f>
        <v>0</v>
      </c>
      <c r="K872" s="172">
        <f>+K95+K520+K563+K620+K681+K721+K778+K818+K399+K218+K45</f>
        <v>0</v>
      </c>
      <c r="L872" s="172">
        <f>+L95+L520+L563+L620+L681+L721+L778+L818+L399+L218+L45</f>
        <v>0</v>
      </c>
      <c r="M872" s="38">
        <f>SUM(J872:L872)</f>
        <v>0</v>
      </c>
      <c r="N872" s="172">
        <f>+N95+N520+N563+N620+N681+N721+N778+N818+N399+N218+N45</f>
        <v>0</v>
      </c>
      <c r="O872" s="172">
        <f>+O95+O520+O563+O620+O681+O721+O778+O818+O399+O218+O45</f>
        <v>0</v>
      </c>
      <c r="P872" s="172">
        <f>+P95+P520+P563+P620+P681+P721+P778+P818+P399+P218+P45</f>
        <v>0</v>
      </c>
      <c r="Q872" s="38">
        <f>SUM(N872:P872)</f>
        <v>0</v>
      </c>
      <c r="R872" s="38">
        <f>+E872+I872+M872+Q872</f>
        <v>0</v>
      </c>
    </row>
    <row r="873" spans="1:20" ht="16.5" customHeight="1" thickBot="1" x14ac:dyDescent="0.35">
      <c r="A873" s="43" t="s">
        <v>1219</v>
      </c>
      <c r="B873" s="45">
        <f>SUM(B869:B872)</f>
        <v>1422</v>
      </c>
      <c r="C873" s="46">
        <f>SUM(C869:C872)</f>
        <v>1751</v>
      </c>
      <c r="D873" s="46">
        <f>SUM(D869:D872)</f>
        <v>7992</v>
      </c>
      <c r="E873" s="37">
        <f>SUM(B873:D873)</f>
        <v>11165</v>
      </c>
      <c r="F873" s="46">
        <f>SUM(F869:F872)</f>
        <v>39956</v>
      </c>
      <c r="G873" s="46">
        <f>SUM(G869:G872)</f>
        <v>24190</v>
      </c>
      <c r="H873" s="46">
        <f>SUM(H869:H872)</f>
        <v>48816</v>
      </c>
      <c r="I873" s="37">
        <f>SUM(F873:H873)</f>
        <v>112962</v>
      </c>
      <c r="J873" s="46">
        <f>SUM(J869:J872)</f>
        <v>55202</v>
      </c>
      <c r="K873" s="46">
        <f>SUM(K869:K872)</f>
        <v>42327</v>
      </c>
      <c r="L873" s="46">
        <f>SUM(L869:L872)</f>
        <v>17893</v>
      </c>
      <c r="M873" s="37">
        <f>SUM(J873:L873)</f>
        <v>115422</v>
      </c>
      <c r="N873" s="46">
        <f>SUM(N869:N872)</f>
        <v>12841</v>
      </c>
      <c r="O873" s="46">
        <f>SUM(O869:O872)</f>
        <v>1791</v>
      </c>
      <c r="P873" s="46">
        <f>SUM(P869:P872)</f>
        <v>8514</v>
      </c>
      <c r="Q873" s="37">
        <f>SUM(N873:P873)</f>
        <v>23146</v>
      </c>
      <c r="R873" s="37">
        <f>+E873+I873+M873+Q873</f>
        <v>262695</v>
      </c>
    </row>
    <row r="874" spans="1:20" ht="15.75" customHeight="1" x14ac:dyDescent="0.3">
      <c r="A874" s="234" t="s">
        <v>2166</v>
      </c>
      <c r="B874" s="172"/>
      <c r="C874" s="172"/>
      <c r="D874" s="172"/>
      <c r="E874" s="38" t="s">
        <v>852</v>
      </c>
      <c r="F874" s="172"/>
      <c r="G874" s="172"/>
      <c r="H874" s="172"/>
      <c r="I874" s="38" t="s">
        <v>852</v>
      </c>
      <c r="J874" s="172"/>
      <c r="K874" s="172"/>
      <c r="L874" s="172"/>
      <c r="M874" s="38" t="s">
        <v>852</v>
      </c>
      <c r="N874" s="172"/>
      <c r="O874" s="172"/>
      <c r="P874" s="172"/>
      <c r="Q874" s="38" t="s">
        <v>852</v>
      </c>
      <c r="R874" s="38" t="s">
        <v>852</v>
      </c>
    </row>
    <row r="875" spans="1:20" ht="15.75" customHeight="1" x14ac:dyDescent="0.3">
      <c r="A875" s="545" t="s">
        <v>1245</v>
      </c>
      <c r="B875" s="172">
        <f>+B48+B98+B221+SUM(B402:B404)+B523+B566+B623+B684+SUM(B724:B725)+B781+SUM(B821:B823)</f>
        <v>1258</v>
      </c>
      <c r="C875" s="172">
        <f>+C48+C98+C221+SUM(C402:C404)+C523+C566+C623+C684+SUM(C724:C725)+C781+SUM(C821:C823)</f>
        <v>3853</v>
      </c>
      <c r="D875" s="172">
        <f>+D48+D98+D221+SUM(D402:D404)+D523+D566+D623+D684+SUM(D724:D725)+D781+SUM(D821:D823)</f>
        <v>7924</v>
      </c>
      <c r="E875" s="38">
        <f>SUM(B875:D875)</f>
        <v>13035</v>
      </c>
      <c r="F875" s="172">
        <f>+F48+F98+F221+SUM(F402:F404)+F523+F566+F623+F684+SUM(F724:F725)+F781+SUM(F821:F823)</f>
        <v>15078</v>
      </c>
      <c r="G875" s="172">
        <f>+G48+G98+G221+SUM(G402:G404)+G523+G566+G623+G684+SUM(G724:G725)+G781+SUM(G821:G823)</f>
        <v>16345</v>
      </c>
      <c r="H875" s="172">
        <f>+H48+H98+H221+SUM(H402:H404)+H523+H566+H623+H684+SUM(H724:H725)+H781+SUM(H821:H823)</f>
        <v>16277</v>
      </c>
      <c r="I875" s="38">
        <f>SUM(F875:H875)</f>
        <v>47700</v>
      </c>
      <c r="J875" s="172">
        <f>+J48+J98+J221+SUM(J402:J404)+J523+J566+J623+J684+SUM(J724:J725)+J781+SUM(J821:J823)</f>
        <v>16667</v>
      </c>
      <c r="K875" s="172">
        <f>+K48+K98+K221+SUM(K402:K404)+K523+K566+K623+K684+SUM(K724:K725)+K781+SUM(K821:K823)</f>
        <v>15065</v>
      </c>
      <c r="L875" s="172">
        <f>+L48+L98+L221+SUM(L402:L404)+L523+L566+L623+L684+SUM(L724:L725)+L781+SUM(L821:L823)</f>
        <v>9606</v>
      </c>
      <c r="M875" s="38">
        <f>SUM(J875:L875)</f>
        <v>41338</v>
      </c>
      <c r="N875" s="172">
        <f>+N48+N98+N221+SUM(N402:N404)+N523+N566+N623+N684+SUM(N724:N725)+N781+SUM(N821:N823)</f>
        <v>11312</v>
      </c>
      <c r="O875" s="172">
        <f>+O48+O98+O221+SUM(O402:O404)+O523+O566+O623+O684+SUM(O724:O725)+O781+SUM(O821:O823)</f>
        <v>2221</v>
      </c>
      <c r="P875" s="172">
        <f>+P48+P98+P221+SUM(P402:P404)+P523+P566+P623+P684+SUM(P724:P725)+P781+SUM(P821:P823)</f>
        <v>5121</v>
      </c>
      <c r="Q875" s="38">
        <f>SUM(N875:P875)</f>
        <v>18654</v>
      </c>
      <c r="R875" s="38">
        <f>+E875+I875+M875+Q875</f>
        <v>120727</v>
      </c>
    </row>
    <row r="876" spans="1:20" ht="15.75" customHeight="1" thickBot="1" x14ac:dyDescent="0.35">
      <c r="A876" s="545" t="s">
        <v>1711</v>
      </c>
      <c r="B876" s="172">
        <f>+B49+SUM(B99:B106)+SUM(B222:B286)+SUM(B405:B457)+SUM(B524:B526)+SUM(B567:B568)+SUM(B624:B629)+B685+SUM(B726:B735)+B782+SUM(B824:B828)</f>
        <v>10729</v>
      </c>
      <c r="C876" s="172">
        <f>+C49+SUM(C99:C106)+SUM(C222:C286)+SUM(C405:C457)+SUM(C524:C526)+SUM(C567:C568)+SUM(C624:C629)+C685+SUM(C726:C735)+C782+SUM(C824:C828)</f>
        <v>19801</v>
      </c>
      <c r="D876" s="172">
        <f>+D49+SUM(D99:D106)+SUM(D222:D286)+SUM(D405:D457)+SUM(D524:D526)+SUM(D567:D568)+SUM(D624:D629)+D685+SUM(D726:D735)+D782+SUM(D824:D828)</f>
        <v>30032</v>
      </c>
      <c r="E876" s="38">
        <f>SUM(B876:D876)</f>
        <v>60562</v>
      </c>
      <c r="F876" s="172">
        <f>+F49+SUM(F99:F106)+SUM(F222:F286)+SUM(F405:F457)+SUM(F524:F526)+SUM(F567:F568)+SUM(F624:F629)+F685+SUM(F726:F735)+F782+SUM(F824:F828)</f>
        <v>35256</v>
      </c>
      <c r="G876" s="172">
        <f>+G49+SUM(G99:G106)+SUM(G222:G286)+SUM(G405:G457)+SUM(G524:G526)+SUM(G567:G568)+SUM(G624:G629)+G685+SUM(G726:G735)+G782+SUM(G824:G828)</f>
        <v>28685</v>
      </c>
      <c r="H876" s="172">
        <f>+H49+SUM(H99:H106)+SUM(H222:H286)+SUM(H405:H457)+SUM(H524:H526)+SUM(H567:H568)+SUM(H624:H629)+H685+SUM(H726:H735)+H782+SUM(H824:H828)</f>
        <v>30255</v>
      </c>
      <c r="I876" s="38">
        <f>SUM(F876:H876)</f>
        <v>94196</v>
      </c>
      <c r="J876" s="172">
        <f>+J49+SUM(J99:J106)+SUM(J222:J286)+SUM(J405:J457)+SUM(J524:J526)+SUM(J567:J568)+SUM(J624:J629)+J685+SUM(J726:J735)+J782+SUM(J824:J828)</f>
        <v>29107</v>
      </c>
      <c r="K876" s="172">
        <f>+K49+SUM(K99:K106)+SUM(K222:K286)+SUM(K405:K457)+SUM(K524:K526)+SUM(K567:K568)+SUM(K624:K629)+K685+SUM(K726:K735)+K782+SUM(K824:K828)</f>
        <v>46398</v>
      </c>
      <c r="L876" s="172">
        <f>+L49+SUM(L99:L106)+SUM(L222:L286)+SUM(L405:L457)+SUM(L524:L526)+SUM(L567:L568)+SUM(L624:L629)+L685+SUM(L726:L735)+L782+SUM(L824:L828)</f>
        <v>37038</v>
      </c>
      <c r="M876" s="38">
        <f>SUM(J876:L876)</f>
        <v>112543</v>
      </c>
      <c r="N876" s="172">
        <f>+N49+SUM(N99:N106)+SUM(N222:N286)+SUM(N405:N457)+SUM(N524:N526)+SUM(N567:N568)+SUM(N624:N629)+N685+SUM(N726:N735)+N782+SUM(N824:N828)</f>
        <v>35319</v>
      </c>
      <c r="O876" s="172">
        <f>+O49+SUM(O99:O106)+SUM(O222:O286)+SUM(O405:O457)+SUM(O524:O526)+SUM(O567:O568)+SUM(O624:O629)+O685+SUM(O726:O735)+O782+SUM(O824:O828)</f>
        <v>12418</v>
      </c>
      <c r="P876" s="172">
        <f>+P49+SUM(P99:P106)+SUM(P222:P286)+SUM(P405:P457)+SUM(P524:P526)+SUM(P567:P568)+SUM(P624:P629)+P685+SUM(P726:P735)+P782+SUM(P824:P828)</f>
        <v>16430</v>
      </c>
      <c r="Q876" s="38">
        <f>SUM(N876:P876)</f>
        <v>64167</v>
      </c>
      <c r="R876" s="38">
        <f>+E876+I876+M876+Q876</f>
        <v>331468</v>
      </c>
    </row>
    <row r="877" spans="1:20" ht="16.5" customHeight="1" thickBot="1" x14ac:dyDescent="0.35">
      <c r="A877" s="43" t="s">
        <v>1220</v>
      </c>
      <c r="B877" s="45">
        <f>SUM(B874:B876)</f>
        <v>11987</v>
      </c>
      <c r="C877" s="46">
        <f>SUM(C874:C876)</f>
        <v>23654</v>
      </c>
      <c r="D877" s="58">
        <f>SUM(D874:D876)</f>
        <v>37956</v>
      </c>
      <c r="E877" s="37">
        <f>SUM(B877:D877)</f>
        <v>73597</v>
      </c>
      <c r="F877" s="46">
        <f>SUM(F874:F876)</f>
        <v>50334</v>
      </c>
      <c r="G877" s="46">
        <f>SUM(G874:G876)</f>
        <v>45030</v>
      </c>
      <c r="H877" s="46">
        <f>SUM(H874:H876)</f>
        <v>46532</v>
      </c>
      <c r="I877" s="37">
        <f>SUM(F877:H877)</f>
        <v>141896</v>
      </c>
      <c r="J877" s="46">
        <f>SUM(J874:J876)</f>
        <v>45774</v>
      </c>
      <c r="K877" s="46">
        <f>SUM(K874:K876)</f>
        <v>61463</v>
      </c>
      <c r="L877" s="46">
        <f>SUM(L874:L876)</f>
        <v>46644</v>
      </c>
      <c r="M877" s="37">
        <f>SUM(J877:L877)</f>
        <v>153881</v>
      </c>
      <c r="N877" s="46">
        <f>SUM(N874:N876)</f>
        <v>46631</v>
      </c>
      <c r="O877" s="46">
        <f>SUM(O874:O876)</f>
        <v>14639</v>
      </c>
      <c r="P877" s="46">
        <f>SUM(P874:P876)</f>
        <v>21551</v>
      </c>
      <c r="Q877" s="37">
        <f>SUM(N877:P877)</f>
        <v>82821</v>
      </c>
      <c r="R877" s="37">
        <f>+E877+I877+M877+Q877</f>
        <v>452195</v>
      </c>
      <c r="T877">
        <v>1600000</v>
      </c>
    </row>
    <row r="878" spans="1:20" ht="20.25" customHeight="1" x14ac:dyDescent="0.3">
      <c r="A878" s="234" t="s">
        <v>2645</v>
      </c>
      <c r="B878" s="172"/>
      <c r="C878" s="172"/>
      <c r="D878" s="172"/>
      <c r="E878" s="38" t="s">
        <v>852</v>
      </c>
      <c r="F878" s="172"/>
      <c r="G878" s="172"/>
      <c r="H878" s="172"/>
      <c r="I878" s="38" t="s">
        <v>852</v>
      </c>
      <c r="J878" s="172"/>
      <c r="K878" s="172"/>
      <c r="L878" s="172"/>
      <c r="M878" s="38" t="s">
        <v>852</v>
      </c>
      <c r="N878" s="172"/>
      <c r="O878" s="172"/>
      <c r="P878" s="172"/>
      <c r="Q878" s="38" t="s">
        <v>852</v>
      </c>
      <c r="R878" s="38" t="s">
        <v>852</v>
      </c>
      <c r="T878">
        <f>+T877-28000-R862-R863-400000-R875-R876+12000</f>
        <v>157060</v>
      </c>
    </row>
    <row r="879" spans="1:20" ht="15.75" customHeight="1" x14ac:dyDescent="0.3">
      <c r="A879" s="234" t="s">
        <v>2643</v>
      </c>
      <c r="B879" s="172">
        <f>SUM(B52:B52)+SUM(B109:B117)+SUM(B289:B292)+SUM(B460:B461)+SUM(B529:B529)+B571+SUM(B632:B634)+B688+B738+B785+SUM(B831:B833)</f>
        <v>0</v>
      </c>
      <c r="C879" s="172">
        <f>SUM(C52:C52)+SUM(C109:C117)+SUM(C289:C292)+SUM(C460:C461)+SUM(C529:C529)+C571+SUM(C632:C634)+C688+C738+C785+SUM(C831:C833)</f>
        <v>0</v>
      </c>
      <c r="D879" s="172">
        <f>SUM(D52:D52)+SUM(D109:D117)+SUM(D289:D292)+SUM(D460:D461)+SUM(D529:D529)+D571+SUM(D632:D634)+D688+D738+D785+SUM(D831:D833)</f>
        <v>0</v>
      </c>
      <c r="E879" s="38">
        <f t="shared" ref="E879:E887" si="306">SUM(B879:D879)</f>
        <v>0</v>
      </c>
      <c r="F879" s="172">
        <f>SUM(F52:F52)+SUM(F109:F117)+SUM(F289:F292)+SUM(F460:F461)+SUM(F529:F529)+F571+SUM(F632:F634)+F688+F738+F785+SUM(F831:F833)</f>
        <v>0</v>
      </c>
      <c r="G879" s="172">
        <f>SUM(G52:G52)+SUM(G109:G117)+SUM(G289:G292)+SUM(G460:G461)+SUM(G529:G529)+G571+SUM(G632:G634)+G688+G738+G785+SUM(G831:G833)</f>
        <v>0</v>
      </c>
      <c r="H879" s="172">
        <f>SUM(H52:H52)+SUM(H109:H117)+SUM(H289:H292)+SUM(H460:H461)+SUM(H529:H529)+H571+SUM(H632:H634)+H688+H738+H785+SUM(H831:H833)</f>
        <v>0</v>
      </c>
      <c r="I879" s="38">
        <f t="shared" ref="I879:I887" si="307">SUM(F879:H879)</f>
        <v>0</v>
      </c>
      <c r="J879" s="172">
        <f>SUM(J52:J52)+SUM(J109:J117)+SUM(J289:J292)+SUM(J460:J461)+SUM(J529:J529)+J571+SUM(J632:J634)+J688+J738+J785+SUM(J831:J833)</f>
        <v>0</v>
      </c>
      <c r="K879" s="172">
        <f>SUM(K52:K52)+SUM(K109:K117)+SUM(K289:K292)+SUM(K460:K461)+SUM(K529:K529)+K571+SUM(K632:K634)+K688+K738+K785+SUM(K831:K833)</f>
        <v>0</v>
      </c>
      <c r="L879" s="172">
        <f>SUM(L52:L52)+SUM(L109:L117)+SUM(L289:L292)+SUM(L460:L461)+SUM(L529:L529)+L571+SUM(L632:L634)+L688+L738+L785+SUM(L831:L833)</f>
        <v>0</v>
      </c>
      <c r="M879" s="38">
        <f t="shared" ref="M879:M887" si="308">SUM(J879:L879)</f>
        <v>0</v>
      </c>
      <c r="N879" s="172">
        <f>SUM(N52:N52)+SUM(N109:N117)+SUM(N289:N292)+SUM(N460:N461)+SUM(N529:N529)+N571+SUM(N632:N634)+N688+N738+N785+SUM(N831:N833)</f>
        <v>0</v>
      </c>
      <c r="O879" s="172">
        <f>SUM(O52:O52)+SUM(O109:O117)+SUM(O289:O292)+SUM(O460:O461)+SUM(O529:O529)+O571+SUM(O632:O634)+O688+O738+O785+SUM(O831:O833)</f>
        <v>2000</v>
      </c>
      <c r="P879" s="172">
        <f>SUM(P52:P52)+SUM(P109:P117)+SUM(P289:P292)+SUM(P460:P461)+SUM(P529:P529)+P571+SUM(P632:P634)+P688+P738+P785+SUM(P831:P833)</f>
        <v>4000</v>
      </c>
      <c r="Q879" s="38">
        <f t="shared" ref="Q879:Q887" si="309">SUM(N879:P879)</f>
        <v>6000</v>
      </c>
      <c r="R879" s="38">
        <f>+E879+I879+M879+Q879</f>
        <v>6000</v>
      </c>
    </row>
    <row r="880" spans="1:20" ht="15.75" customHeight="1" x14ac:dyDescent="0.3">
      <c r="A880" s="234" t="s">
        <v>557</v>
      </c>
      <c r="B880" s="172">
        <f>SUM(B53:B54)+SUM(B118:B119)+SUM(B293:B294)+B296+B298+B300+B301+SUM(B462:B464)+B530+B572+SUM(B635:B636)+B638+SUM(B689:B690)+B740+B742+B786+SUM(B834:B835)</f>
        <v>0</v>
      </c>
      <c r="C880" s="172">
        <f>SUM(C53:C54)+SUM(C118:C119)+SUM(C293:C294)+C296+C298+C300+C301+SUM(C462:C464)+C530+C572+SUM(C635:C636)+C638+SUM(C689:C690)+C740+C742+C786+SUM(C834:C835)</f>
        <v>0</v>
      </c>
      <c r="D880" s="172">
        <f>SUM(D53:D54)+SUM(D118:D119)+SUM(D293:D294)+D296+D298+D300+D301+SUM(D462:D464)+D530+D572+SUM(D635:D636)+D638+SUM(D689:D690)+D740+D742+D786+SUM(D834:D835)</f>
        <v>0</v>
      </c>
      <c r="E880" s="38">
        <f t="shared" si="306"/>
        <v>0</v>
      </c>
      <c r="F880" s="172">
        <f>SUM(F53:F54)+SUM(F118:F119)+SUM(F293:F294)+F296+F298+F300+F301+SUM(F462:F464)+F530+F572+SUM(F635:F636)+F638+SUM(F689:F690)+F740+F742+F786+SUM(F834:F835)</f>
        <v>0</v>
      </c>
      <c r="G880" s="172">
        <f>SUM(G53:G54)+SUM(G118:G119)+SUM(G293:G294)+G296+G298+G300+G301+SUM(G462:G464)+G530+G572+SUM(G635:G636)+G638+SUM(G689:G690)+G740+G742+G786+SUM(G834:G835)</f>
        <v>0</v>
      </c>
      <c r="H880" s="172">
        <f>SUM(H53:H54)+SUM(H118:H119)+SUM(H293:H294)+H296+H298+H300+H301+SUM(H462:H464)+H530+H572+SUM(H635:H636)+H638+SUM(H689:H690)+H740+H742+H786+SUM(H834:H835)</f>
        <v>0</v>
      </c>
      <c r="I880" s="38">
        <f t="shared" si="307"/>
        <v>0</v>
      </c>
      <c r="J880" s="172">
        <f>SUM(J53:J54)+SUM(J118:J119)+SUM(J293:J294)+J296+J298+J300+J301+SUM(J462:J464)+J530+J572+SUM(J635:J636)+J638+SUM(J689:J690)+J740+J742+J786+SUM(J834:J835)</f>
        <v>0</v>
      </c>
      <c r="K880" s="172">
        <f>SUM(K53:K54)+SUM(K118:K119)+SUM(K293:K294)+K296+K298+K300+K301+SUM(K462:K464)+K530+K572+SUM(K635:K636)+K638+SUM(K689:K690)+K740+K742+K786+SUM(K834:K835)</f>
        <v>0</v>
      </c>
      <c r="L880" s="172">
        <f>SUM(L53:L54)+SUM(L118:L119)+SUM(L293:L294)+L296+L298+L300+L301+SUM(L462:L464)+L530+L572+SUM(L635:L636)+L638+SUM(L689:L690)+L740+L742+L786+SUM(L834:L835)</f>
        <v>0</v>
      </c>
      <c r="M880" s="38">
        <f t="shared" si="308"/>
        <v>0</v>
      </c>
      <c r="N880" s="172">
        <f>SUM(N53:N54)+SUM(N118:N119)+SUM(N293:N294)+N296+N298+N300+N301+SUM(N462:N464)+N530+N572+SUM(N635:N636)+N638+SUM(N689:N690)+N740+N742+N786+SUM(N834:N835)</f>
        <v>0</v>
      </c>
      <c r="O880" s="172">
        <f>SUM(O53:O54)+SUM(O118:O119)+SUM(O293:O294)+O296+O298+O300+O301+SUM(O462:O464)+O530+O572+SUM(O635:O636)+O638+SUM(O689:O690)+O740+O742+O786+SUM(O834:O835)</f>
        <v>0</v>
      </c>
      <c r="P880" s="172">
        <f>SUM(P53:P54)+SUM(P118:P119)+SUM(P293:P294)+P296+P298+P300+P301+SUM(P462:P464)+P530+P572+SUM(P635:P636)+P638+SUM(P689:P690)+P740+P742+P786+SUM(P834:P835)</f>
        <v>0</v>
      </c>
      <c r="Q880" s="38">
        <f t="shared" si="309"/>
        <v>0</v>
      </c>
      <c r="R880" s="38">
        <f t="shared" ref="R880:R887" si="310">+E880+I880+M880+Q880</f>
        <v>0</v>
      </c>
    </row>
    <row r="881" spans="1:18" ht="18" customHeight="1" x14ac:dyDescent="0.3">
      <c r="A881" s="539" t="s">
        <v>3281</v>
      </c>
      <c r="B881" s="172">
        <f>B120+B295+B297+B299+B637+B639+B741+B743+B836</f>
        <v>0</v>
      </c>
      <c r="C881" s="172">
        <f>C120+C295+C297+C299+C637+C639+C741+C743+C836</f>
        <v>0</v>
      </c>
      <c r="D881" s="172">
        <f>D120+D295+D297+D299+D637+D639+D741+D743+D836</f>
        <v>0</v>
      </c>
      <c r="E881" s="38">
        <f t="shared" si="306"/>
        <v>0</v>
      </c>
      <c r="F881" s="172">
        <f>F120+F295+F297+F299+F637+F639+F741+F743+F836</f>
        <v>0</v>
      </c>
      <c r="G881" s="172">
        <f>G120+G295+G297+G299+G637+G639+G741+G743+G836</f>
        <v>0</v>
      </c>
      <c r="H881" s="172">
        <f>H120+H295+H297+H299+H637+H639+H741+H743+H836</f>
        <v>0</v>
      </c>
      <c r="I881" s="38">
        <f t="shared" si="307"/>
        <v>0</v>
      </c>
      <c r="J881" s="172">
        <f>J120+J295+J297+J299+J637+J639+J741+J743+J836</f>
        <v>0</v>
      </c>
      <c r="K881" s="172">
        <f>K120+K295+K297+K299+K637+K639+K741+K743+K836</f>
        <v>0</v>
      </c>
      <c r="L881" s="172">
        <f>L120+L295+L297+L299+L637+L639+L741+L743+L836</f>
        <v>0</v>
      </c>
      <c r="M881" s="38">
        <f t="shared" si="308"/>
        <v>0</v>
      </c>
      <c r="N881" s="172">
        <f>N120+N295+N297+N299+N637+N639+N741+N743+N836</f>
        <v>0</v>
      </c>
      <c r="O881" s="172">
        <f>O120+O295+O297+O299+O637+O639+O741+O743+O836</f>
        <v>0</v>
      </c>
      <c r="P881" s="172">
        <f>P120+P295+P297+P299+P637+P639+P741+P743+P836</f>
        <v>0</v>
      </c>
      <c r="Q881" s="38">
        <f t="shared" si="309"/>
        <v>0</v>
      </c>
      <c r="R881" s="38">
        <f t="shared" si="310"/>
        <v>0</v>
      </c>
    </row>
    <row r="882" spans="1:18" ht="15.75" customHeight="1" x14ac:dyDescent="0.3">
      <c r="A882" s="234" t="s">
        <v>2644</v>
      </c>
      <c r="B882" s="172">
        <f>+B55+SUM(B121:B122)+SUM(B302:B303)+SUM(B465:B471)+SUM(B531:B531)+SUM(B573:B574)+SUM(B640:B642)+B691+B744+B837+B837+B787</f>
        <v>0</v>
      </c>
      <c r="C882" s="172">
        <f>+C55+SUM(C121:C122)+SUM(C302:C303)+SUM(C465:C471)+SUM(C531:C531)+SUM(C573:C574)+SUM(C640:C642)+C691+C744+C837+C837+C787</f>
        <v>0</v>
      </c>
      <c r="D882" s="172">
        <f>+D55+SUM(D121:D122)+SUM(D302:D303)+SUM(D465:D471)+SUM(D531:D531)+SUM(D573:D574)+SUM(D640:D642)+D691+D744+D837+D837+D787</f>
        <v>0</v>
      </c>
      <c r="E882" s="38">
        <f t="shared" si="306"/>
        <v>0</v>
      </c>
      <c r="F882" s="172">
        <f>+F55+SUM(F121:F122)+SUM(F302:F303)+SUM(F465:F471)+SUM(F531:F531)+SUM(F573:F574)+SUM(F640:F642)+F691+F744+F837+F837+F787</f>
        <v>0</v>
      </c>
      <c r="G882" s="172">
        <f>+G55+SUM(G121:G122)+SUM(G302:G303)+SUM(G465:G471)+SUM(G531:G531)+SUM(G573:G574)+SUM(G640:G642)+G691+G744+G837+G837+G787</f>
        <v>0</v>
      </c>
      <c r="H882" s="172">
        <f>+H55+SUM(H121:H122)+SUM(H302:H303)+SUM(H465:H471)+SUM(H531:H531)+SUM(H573:H574)+SUM(H640:H642)+H691+H744+H837+H837+H787</f>
        <v>0</v>
      </c>
      <c r="I882" s="38">
        <f t="shared" si="307"/>
        <v>0</v>
      </c>
      <c r="J882" s="172">
        <f>+J55+SUM(J121:J122)+SUM(J302:J303)+SUM(J465:J471)+SUM(J531:J531)+SUM(J573:J574)+SUM(J640:J642)+J691+J744+J837+J837+J787</f>
        <v>0</v>
      </c>
      <c r="K882" s="172">
        <f>+K55+SUM(K121:K122)+SUM(K302:K303)+SUM(K465:K471)+SUM(K531:K531)+SUM(K573:K574)+SUM(K640:K642)+K691+K744+K837+K837+K787</f>
        <v>0</v>
      </c>
      <c r="L882" s="172">
        <f>+L55+SUM(L121:L122)+SUM(L302:L303)+SUM(L465:L471)+SUM(L531:L531)+SUM(L573:L574)+SUM(L640:L642)+L691+L744+L837+L837+L787</f>
        <v>0</v>
      </c>
      <c r="M882" s="38">
        <f t="shared" si="308"/>
        <v>0</v>
      </c>
      <c r="N882" s="172">
        <f>+N55+SUM(N121:N122)+SUM(N302:N303)+SUM(N465:N471)+SUM(N531:N531)+SUM(N573:N574)+SUM(N640:N642)+N691+N744+N837+N837+N787</f>
        <v>0</v>
      </c>
      <c r="O882" s="172">
        <f>+O55+SUM(O121:O122)+SUM(O302:O303)+SUM(O465:O471)+SUM(O531:O531)+SUM(O573:O574)+SUM(O640:O642)+O691+O744+O837+O837+O787</f>
        <v>0</v>
      </c>
      <c r="P882" s="172">
        <f>+P55+SUM(P121:P122)+SUM(P302:P303)+SUM(P465:P471)+SUM(P531:P531)+SUM(P573:P574)+SUM(P640:P642)+P691+P744+P837+P837+P787</f>
        <v>0</v>
      </c>
      <c r="Q882" s="38">
        <f t="shared" si="309"/>
        <v>0</v>
      </c>
      <c r="R882" s="38">
        <f>+E882+I882+M882+Q882</f>
        <v>0</v>
      </c>
    </row>
    <row r="883" spans="1:18" ht="22.5" customHeight="1" x14ac:dyDescent="0.3">
      <c r="A883" s="234" t="s">
        <v>559</v>
      </c>
      <c r="B883" s="172">
        <f>SUM(B125:B125)+SUM(B304:B305)+B473+B476+B477+B479+B482+SUM(B532:B533)+B576+B579+B643+B644+B646+B692+B745+B788+B838</f>
        <v>0</v>
      </c>
      <c r="C883" s="172">
        <f>SUM(C125:C125)+SUM(C304:C305)+C473+C476+C477+C479+C482+SUM(C532:C533)+C576+C579+C643+C644+C646+C692+C745+C788+C838</f>
        <v>0</v>
      </c>
      <c r="D883" s="172">
        <f>SUM(D125:D125)+SUM(D304:D305)+D473+D476+D477+D479+D482+SUM(D532:D533)+D576+D579+D643+D644+D646+D692+D745+D788+D838</f>
        <v>0</v>
      </c>
      <c r="E883" s="38">
        <f t="shared" si="306"/>
        <v>0</v>
      </c>
      <c r="F883" s="172">
        <f>SUM(F125:F125)+SUM(F304:F305)+F473+F476+F477+F479+F482+SUM(F532:F533)+F576+F579+F643+F644+F646+F692+F745+F788+F838</f>
        <v>0</v>
      </c>
      <c r="G883" s="172">
        <f>SUM(G125:G125)+SUM(G304:G305)+G473+G476+G477+G479+G482+SUM(G532:G533)+G576+G579+G643+G644+G646+G692+G745+G788+G838</f>
        <v>0</v>
      </c>
      <c r="H883" s="172">
        <f>SUM(H125:H125)+SUM(H304:H305)+H473+H476+H477+H479+H482+SUM(H532:H533)+H576+H579+H643+H644+H646+H692+H745+H788+H838</f>
        <v>0</v>
      </c>
      <c r="I883" s="38">
        <f t="shared" si="307"/>
        <v>0</v>
      </c>
      <c r="J883" s="172">
        <f>SUM(J125:J125)+SUM(J304:J305)+J473+J476+J477+J479+J482+SUM(J532:J533)+J576+J579+J643+J644+J646+J692+J745+J788+J838</f>
        <v>0</v>
      </c>
      <c r="K883" s="172">
        <f>SUM(K125:K125)+SUM(K304:K305)+K473+K476+K477+K479+K482+SUM(K532:K533)+K576+K579+K643+K644+K646+K692+K745+K788+K838</f>
        <v>0</v>
      </c>
      <c r="L883" s="172">
        <f>SUM(L125:L125)+SUM(L304:L305)+L473+L476+L477+L479+L482+SUM(L532:L533)+L576+L579+L643+L644+L646+L692+L745+L788+L838</f>
        <v>0</v>
      </c>
      <c r="M883" s="38">
        <f t="shared" si="308"/>
        <v>0</v>
      </c>
      <c r="N883" s="172">
        <f>SUM(N125:N125)+SUM(N304:N305)+N473+N476+N477+N479+N482+SUM(N532:N533)+N576+N579+N643+N644+N646+N692+N745+N788+N838</f>
        <v>0</v>
      </c>
      <c r="O883" s="172">
        <f>SUM(O125:O125)+SUM(O304:O305)+O473+O476+O477+O479+O482+SUM(O532:O533)+O576+O579+O643+O644+O646+O692+O745+O788+O838</f>
        <v>0</v>
      </c>
      <c r="P883" s="172">
        <f>SUM(P125:P125)+SUM(P304:P305)+P473+P476+P477+P479+P482+SUM(P532:P533)+P576+P579+P643+P644+P646+P692+P745+P788+P838</f>
        <v>0</v>
      </c>
      <c r="Q883" s="38">
        <f t="shared" si="309"/>
        <v>0</v>
      </c>
      <c r="R883" s="38">
        <f>+E883+I883+M883+Q883</f>
        <v>0</v>
      </c>
    </row>
    <row r="884" spans="1:18" ht="18.75" customHeight="1" thickBot="1" x14ac:dyDescent="0.35">
      <c r="A884" s="539" t="s">
        <v>3280</v>
      </c>
      <c r="B884" s="172">
        <f>+B474+B478+B480+B534+B124+B475+B481+B577+B578+B645</f>
        <v>0</v>
      </c>
      <c r="C884" s="172">
        <f>+C474+C478+C480+C534+C124+C475+C481+C577+C578+C645</f>
        <v>0</v>
      </c>
      <c r="D884" s="172">
        <f>+D474+D478+D480+D534+D124+D475+D481+D577+D578+D645</f>
        <v>0</v>
      </c>
      <c r="E884" s="38">
        <f>SUM(B884:D884)</f>
        <v>0</v>
      </c>
      <c r="F884" s="172">
        <f>+F474+F478+F480+F534+F124+F475+F481+F577+F578+F645</f>
        <v>0</v>
      </c>
      <c r="G884" s="172">
        <f>+G474+G478+G480+G534+G124+G475+G481+G577+G578+G645</f>
        <v>0</v>
      </c>
      <c r="H884" s="172">
        <f>+H474+H478+H480+H534+H124+H475+H481+H577+H578+H645</f>
        <v>0</v>
      </c>
      <c r="I884" s="38">
        <f>SUM(F884:H884)</f>
        <v>0</v>
      </c>
      <c r="J884" s="172">
        <f>+J474+J478+J480+J534+J124+J475+J481+J577+J578+J645</f>
        <v>0</v>
      </c>
      <c r="K884" s="172">
        <f>+K474+K478+K480+K534+K124+K475+K481+K577+K578+K645</f>
        <v>0</v>
      </c>
      <c r="L884" s="172">
        <f>+L474+L478+L480+L534+L124+L475+L481+L577+L578+L645</f>
        <v>0</v>
      </c>
      <c r="M884" s="38">
        <f>SUM(J884:L884)</f>
        <v>0</v>
      </c>
      <c r="N884" s="172">
        <f>+N474+N478+N480+N534+N124+N475+N481+N577+N578+N645</f>
        <v>0</v>
      </c>
      <c r="O884" s="172">
        <f>+O474+O478+O480+O534+O124+O475+O481+O577+O578+O645</f>
        <v>0</v>
      </c>
      <c r="P884" s="172">
        <f>+P474+P478+P480+P534+P124+P475+P481+P577+P578+P645</f>
        <v>0</v>
      </c>
      <c r="Q884" s="38">
        <f>SUM(N884:P884)</f>
        <v>0</v>
      </c>
      <c r="R884" s="38">
        <f>+E884+I884+M884+Q884</f>
        <v>0</v>
      </c>
    </row>
    <row r="885" spans="1:18" ht="16.5" customHeight="1" thickBot="1" x14ac:dyDescent="0.35">
      <c r="A885" s="43" t="s">
        <v>1019</v>
      </c>
      <c r="B885" s="335">
        <f>SUM(B882:B884)</f>
        <v>0</v>
      </c>
      <c r="C885" s="335">
        <f>SUM(C882:C884)</f>
        <v>0</v>
      </c>
      <c r="D885" s="335">
        <f>SUM(D882:D884)</f>
        <v>0</v>
      </c>
      <c r="E885" s="39">
        <f t="shared" si="306"/>
        <v>0</v>
      </c>
      <c r="F885" s="335">
        <f>SUM(F882:F884)</f>
        <v>0</v>
      </c>
      <c r="G885" s="335">
        <f>SUM(G882:G884)</f>
        <v>0</v>
      </c>
      <c r="H885" s="335">
        <f>SUM(H882:H884)</f>
        <v>0</v>
      </c>
      <c r="I885" s="39">
        <f t="shared" si="307"/>
        <v>0</v>
      </c>
      <c r="J885" s="335">
        <f>SUM(J882:J884)</f>
        <v>0</v>
      </c>
      <c r="K885" s="335">
        <f>SUM(K882:K884)</f>
        <v>0</v>
      </c>
      <c r="L885" s="335">
        <f>SUM(L882:L884)</f>
        <v>0</v>
      </c>
      <c r="M885" s="39">
        <f t="shared" si="308"/>
        <v>0</v>
      </c>
      <c r="N885" s="335">
        <f>SUM(N882:N884)</f>
        <v>0</v>
      </c>
      <c r="O885" s="335">
        <f>SUM(O882:O884)</f>
        <v>0</v>
      </c>
      <c r="P885" s="335">
        <f>SUM(P882:P884)</f>
        <v>0</v>
      </c>
      <c r="Q885" s="39">
        <f t="shared" si="309"/>
        <v>0</v>
      </c>
      <c r="R885" s="37">
        <f t="shared" si="310"/>
        <v>0</v>
      </c>
    </row>
    <row r="886" spans="1:18" ht="16.5" customHeight="1" thickBot="1" x14ac:dyDescent="0.35">
      <c r="A886" s="277" t="s">
        <v>1221</v>
      </c>
      <c r="B886" s="45">
        <f>SUM(B878:B884)</f>
        <v>0</v>
      </c>
      <c r="C886" s="46">
        <f>SUM(C878:C884)</f>
        <v>0</v>
      </c>
      <c r="D886" s="58">
        <f>SUM(D878:D884)</f>
        <v>0</v>
      </c>
      <c r="E886" s="336">
        <f t="shared" si="306"/>
        <v>0</v>
      </c>
      <c r="F886" s="45">
        <f>SUM(F878:F884)</f>
        <v>0</v>
      </c>
      <c r="G886" s="46">
        <f>SUM(G878:G884)</f>
        <v>0</v>
      </c>
      <c r="H886" s="58">
        <f>SUM(H878:H884)</f>
        <v>0</v>
      </c>
      <c r="I886" s="39">
        <f t="shared" si="307"/>
        <v>0</v>
      </c>
      <c r="J886" s="45">
        <f>SUM(J878:J884)</f>
        <v>0</v>
      </c>
      <c r="K886" s="46">
        <f>SUM(K878:K884)</f>
        <v>0</v>
      </c>
      <c r="L886" s="58">
        <f>SUM(L878:L884)</f>
        <v>0</v>
      </c>
      <c r="M886" s="39">
        <f t="shared" si="308"/>
        <v>0</v>
      </c>
      <c r="N886" s="45">
        <f>SUM(N878:N884)</f>
        <v>0</v>
      </c>
      <c r="O886" s="46">
        <f>SUM(O878:O884)</f>
        <v>2000</v>
      </c>
      <c r="P886" s="58">
        <f>SUM(P878:P884)</f>
        <v>4000</v>
      </c>
      <c r="Q886" s="39">
        <f t="shared" si="309"/>
        <v>6000</v>
      </c>
      <c r="R886" s="37">
        <f t="shared" si="310"/>
        <v>6000</v>
      </c>
    </row>
    <row r="887" spans="1:18" ht="16.5" customHeight="1" thickBot="1" x14ac:dyDescent="0.35">
      <c r="A887" s="43" t="s">
        <v>1222</v>
      </c>
      <c r="B887" s="337">
        <f>+B868+B873+B877+B886</f>
        <v>42078</v>
      </c>
      <c r="C887" s="338">
        <f>+C868+C873+C877+C886</f>
        <v>50313</v>
      </c>
      <c r="D887" s="338">
        <f>+D868+D873+D877+D886</f>
        <v>82174</v>
      </c>
      <c r="E887" s="37">
        <f t="shared" si="306"/>
        <v>174565</v>
      </c>
      <c r="F887" s="42">
        <f>+F868+F873+F877+F886</f>
        <v>143255</v>
      </c>
      <c r="G887" s="42">
        <f>+G868+G873+G877+G886</f>
        <v>140285</v>
      </c>
      <c r="H887" s="42">
        <f>+H868+H873+H877+H886</f>
        <v>183443</v>
      </c>
      <c r="I887" s="37">
        <f t="shared" si="307"/>
        <v>466983</v>
      </c>
      <c r="J887" s="42">
        <f>+J868+J873+J877+J886</f>
        <v>188724</v>
      </c>
      <c r="K887" s="42">
        <f>+K868+K873+K877+K886</f>
        <v>181776</v>
      </c>
      <c r="L887" s="42">
        <f>+L868+L873+L877+L886</f>
        <v>124651</v>
      </c>
      <c r="M887" s="37">
        <f t="shared" si="308"/>
        <v>495151</v>
      </c>
      <c r="N887" s="42">
        <f>+N868+N873+N877+N886</f>
        <v>103093</v>
      </c>
      <c r="O887" s="42">
        <f>+O868+O873+O877+O886</f>
        <v>23617</v>
      </c>
      <c r="P887" s="42">
        <f>+P868+P873+P877+P886</f>
        <v>48082</v>
      </c>
      <c r="Q887" s="37">
        <f t="shared" si="309"/>
        <v>174792</v>
      </c>
      <c r="R887" s="40">
        <f t="shared" si="310"/>
        <v>1311491</v>
      </c>
    </row>
    <row r="888" spans="1:18" ht="15.75" customHeight="1" x14ac:dyDescent="0.3">
      <c r="A888" s="356" t="s">
        <v>3282</v>
      </c>
      <c r="B888" s="172"/>
      <c r="C888" s="172"/>
      <c r="D888" s="172"/>
      <c r="E888" s="172"/>
      <c r="F888" s="172"/>
      <c r="G888" s="172"/>
      <c r="H888" s="172"/>
      <c r="I888" s="172"/>
      <c r="J888" s="172"/>
      <c r="K888" s="172"/>
      <c r="L888" s="172"/>
      <c r="M888" s="172"/>
      <c r="N888" s="172"/>
      <c r="O888" s="453"/>
      <c r="P888" s="172"/>
      <c r="Q888" s="172"/>
      <c r="R888" s="17"/>
    </row>
    <row r="889" spans="1:18" ht="15.75" customHeight="1" x14ac:dyDescent="0.3">
      <c r="A889" s="356" t="s">
        <v>3279</v>
      </c>
      <c r="B889" s="172"/>
      <c r="C889" s="172"/>
      <c r="D889" s="172"/>
      <c r="E889" s="172"/>
      <c r="F889" s="172"/>
      <c r="G889" s="172"/>
      <c r="H889" s="172"/>
      <c r="I889" s="172"/>
      <c r="J889" s="172"/>
      <c r="K889" s="172"/>
      <c r="L889" s="172"/>
      <c r="M889" s="172"/>
      <c r="N889" s="172"/>
      <c r="O889" s="453"/>
      <c r="P889" s="172"/>
      <c r="Q889" s="172"/>
      <c r="R889" s="17"/>
    </row>
    <row r="890" spans="1:18" ht="15.75" customHeight="1" x14ac:dyDescent="0.3">
      <c r="A890" s="172"/>
      <c r="B890" s="172"/>
      <c r="C890" s="172"/>
      <c r="D890" s="172"/>
      <c r="E890" s="172"/>
      <c r="F890" s="172"/>
      <c r="G890" s="172"/>
      <c r="H890" s="172"/>
      <c r="I890" s="172"/>
      <c r="J890" s="172"/>
      <c r="K890" s="172"/>
      <c r="L890" s="172"/>
      <c r="M890" s="172"/>
      <c r="N890" s="172"/>
      <c r="O890" s="453"/>
      <c r="P890" s="172"/>
      <c r="Q890" s="680" t="str">
        <f>+Q1</f>
        <v xml:space="preserve">PRINTED:  </v>
      </c>
      <c r="R890" s="681">
        <f ca="1">+R1</f>
        <v>44881.729633912037</v>
      </c>
    </row>
    <row r="891" spans="1:18" ht="15.75" customHeight="1" x14ac:dyDescent="0.3">
      <c r="A891" s="778" t="s">
        <v>43</v>
      </c>
      <c r="B891" s="778"/>
      <c r="C891" s="778"/>
      <c r="D891" s="778"/>
      <c r="E891" s="778"/>
      <c r="F891" s="778"/>
      <c r="G891" s="778"/>
      <c r="H891" s="778"/>
      <c r="I891" s="778"/>
      <c r="J891" s="778"/>
      <c r="K891" s="778"/>
      <c r="L891" s="778"/>
      <c r="M891" s="778"/>
      <c r="N891" s="778"/>
      <c r="O891" s="778"/>
      <c r="P891" s="778"/>
      <c r="Q891" s="778"/>
      <c r="R891" s="778"/>
    </row>
    <row r="892" spans="1:18" ht="15.75" customHeight="1" x14ac:dyDescent="0.3">
      <c r="A892" s="778" t="s">
        <v>1988</v>
      </c>
      <c r="B892" s="778"/>
      <c r="C892" s="778"/>
      <c r="D892" s="778"/>
      <c r="E892" s="778"/>
      <c r="F892" s="778"/>
      <c r="G892" s="778"/>
      <c r="H892" s="778"/>
      <c r="I892" s="778"/>
      <c r="J892" s="778"/>
      <c r="K892" s="778"/>
      <c r="L892" s="778"/>
      <c r="M892" s="778"/>
      <c r="N892" s="778"/>
      <c r="O892" s="778"/>
      <c r="P892" s="778"/>
      <c r="Q892" s="778"/>
      <c r="R892" s="778"/>
    </row>
    <row r="893" spans="1:18" ht="15.75" customHeight="1" x14ac:dyDescent="0.3">
      <c r="A893" s="778" t="s">
        <v>544</v>
      </c>
      <c r="B893" s="778"/>
      <c r="C893" s="778"/>
      <c r="D893" s="778"/>
      <c r="E893" s="778"/>
      <c r="F893" s="778"/>
      <c r="G893" s="778"/>
      <c r="H893" s="778"/>
      <c r="I893" s="778"/>
      <c r="J893" s="778"/>
      <c r="K893" s="778"/>
      <c r="L893" s="778"/>
      <c r="M893" s="778"/>
      <c r="N893" s="778"/>
      <c r="O893" s="778"/>
      <c r="P893" s="778"/>
      <c r="Q893" s="778"/>
      <c r="R893" s="778"/>
    </row>
    <row r="894" spans="1:18" ht="15.75" customHeight="1" x14ac:dyDescent="0.3">
      <c r="A894" s="784">
        <f>+A5</f>
        <v>2019</v>
      </c>
      <c r="B894" s="784"/>
      <c r="C894" s="784"/>
      <c r="D894" s="784"/>
      <c r="E894" s="784"/>
      <c r="F894" s="784"/>
      <c r="G894" s="784"/>
      <c r="H894" s="784"/>
      <c r="I894" s="784"/>
      <c r="J894" s="784"/>
      <c r="K894" s="784"/>
      <c r="L894" s="784"/>
      <c r="M894" s="784"/>
      <c r="N894" s="784"/>
      <c r="O894" s="784"/>
      <c r="P894" s="784"/>
      <c r="Q894" s="784"/>
      <c r="R894" s="784"/>
    </row>
    <row r="895" spans="1:18" ht="15.75" customHeight="1" x14ac:dyDescent="0.3">
      <c r="A895" s="172"/>
      <c r="B895" s="172"/>
      <c r="C895" s="172"/>
      <c r="D895" s="1"/>
      <c r="E895" s="1"/>
      <c r="F895" s="1"/>
      <c r="G895" s="452"/>
      <c r="H895" s="1"/>
      <c r="I895" s="1"/>
      <c r="J895" s="452"/>
      <c r="K895" s="452"/>
      <c r="L895" s="452"/>
      <c r="M895" s="452"/>
      <c r="N895" s="172"/>
      <c r="O895" s="452"/>
      <c r="P895" s="452"/>
      <c r="Q895" s="452"/>
      <c r="R895" s="452"/>
    </row>
    <row r="896" spans="1:18" ht="15.75" customHeight="1" x14ac:dyDescent="0.3">
      <c r="A896" s="778" t="str">
        <f>+A8</f>
        <v>Revised:  11/4/2019</v>
      </c>
      <c r="B896" s="778"/>
      <c r="C896" s="778"/>
      <c r="D896" s="778"/>
      <c r="E896" s="778"/>
      <c r="F896" s="778"/>
      <c r="G896" s="778"/>
      <c r="H896" s="778"/>
      <c r="I896" s="778"/>
      <c r="J896" s="778"/>
      <c r="K896" s="778"/>
      <c r="L896" s="778"/>
      <c r="M896" s="778"/>
      <c r="N896" s="778"/>
      <c r="O896" s="778"/>
      <c r="P896" s="778"/>
      <c r="Q896" s="778"/>
      <c r="R896" s="778"/>
    </row>
    <row r="897" spans="1:46" ht="15.75" customHeight="1" x14ac:dyDescent="0.3">
      <c r="A897" s="448"/>
      <c r="B897" s="448"/>
      <c r="C897" s="448"/>
      <c r="D897" s="448"/>
      <c r="E897" s="448"/>
      <c r="F897" s="448"/>
      <c r="G897" s="448"/>
      <c r="H897" s="448"/>
      <c r="I897" s="448"/>
      <c r="J897" s="448"/>
      <c r="K897" s="448"/>
      <c r="L897" s="448"/>
      <c r="M897" s="448"/>
      <c r="N897" s="448"/>
      <c r="O897" s="448"/>
      <c r="P897" s="448"/>
      <c r="Q897" s="448"/>
      <c r="R897" s="448"/>
    </row>
    <row r="898" spans="1:46" ht="15.75" customHeight="1" x14ac:dyDescent="0.3">
      <c r="A898" s="18"/>
      <c r="B898" s="172"/>
      <c r="C898" s="172"/>
      <c r="D898" s="172"/>
      <c r="E898" s="172"/>
      <c r="F898" s="172"/>
      <c r="G898" s="172"/>
      <c r="H898" s="172"/>
      <c r="I898" s="172"/>
      <c r="J898" s="172"/>
      <c r="K898" s="172"/>
      <c r="L898" s="172"/>
      <c r="M898" s="172"/>
      <c r="N898" s="172"/>
      <c r="O898" s="172"/>
      <c r="P898" s="172"/>
      <c r="Q898" s="172"/>
      <c r="R898" s="17"/>
    </row>
    <row r="899" spans="1:46" ht="15.75" customHeight="1" thickBot="1" x14ac:dyDescent="0.35">
      <c r="A899" s="172"/>
      <c r="B899" s="172"/>
      <c r="C899" s="172"/>
      <c r="D899" s="172"/>
      <c r="E899" s="172"/>
      <c r="F899" s="172"/>
      <c r="G899" s="172"/>
      <c r="H899" s="172"/>
      <c r="I899" s="172"/>
      <c r="J899" s="172"/>
      <c r="K899" s="172"/>
      <c r="L899" s="172"/>
      <c r="M899" s="172"/>
      <c r="N899" s="172"/>
      <c r="O899" s="453"/>
      <c r="P899" s="172"/>
      <c r="Q899" s="172"/>
      <c r="R899" s="17"/>
    </row>
    <row r="900" spans="1:46" ht="15.75" customHeight="1" thickBot="1" x14ac:dyDescent="0.35">
      <c r="A900" s="274" t="s">
        <v>1088</v>
      </c>
      <c r="B900" s="25" t="s">
        <v>2090</v>
      </c>
      <c r="C900" s="26" t="s">
        <v>2091</v>
      </c>
      <c r="D900" s="26" t="s">
        <v>2234</v>
      </c>
      <c r="E900" s="33" t="s">
        <v>1594</v>
      </c>
      <c r="F900" s="26" t="s">
        <v>2235</v>
      </c>
      <c r="G900" s="26" t="s">
        <v>2236</v>
      </c>
      <c r="H900" s="26" t="s">
        <v>2237</v>
      </c>
      <c r="I900" s="33" t="s">
        <v>1595</v>
      </c>
      <c r="J900" s="26" t="s">
        <v>1504</v>
      </c>
      <c r="K900" s="26" t="s">
        <v>1505</v>
      </c>
      <c r="L900" s="26" t="s">
        <v>1506</v>
      </c>
      <c r="M900" s="33" t="s">
        <v>1596</v>
      </c>
      <c r="N900" s="26" t="s">
        <v>1507</v>
      </c>
      <c r="O900" s="26" t="s">
        <v>1508</v>
      </c>
      <c r="P900" s="26" t="s">
        <v>1509</v>
      </c>
      <c r="Q900" s="33" t="s">
        <v>1597</v>
      </c>
      <c r="R900" s="339" t="s">
        <v>1510</v>
      </c>
    </row>
    <row r="901" spans="1:46" ht="16.5" customHeight="1" thickBot="1" x14ac:dyDescent="0.35">
      <c r="A901" s="340"/>
      <c r="B901" s="341"/>
      <c r="C901" s="341"/>
      <c r="D901" s="341"/>
      <c r="E901" s="233"/>
      <c r="F901" s="341"/>
      <c r="G901" s="341"/>
      <c r="H901" s="341"/>
      <c r="I901" s="243"/>
      <c r="J901" s="341"/>
      <c r="K901" s="341"/>
      <c r="L901" s="341"/>
      <c r="M901" s="243"/>
      <c r="N901" s="341"/>
      <c r="O901" s="341"/>
      <c r="P901" s="341"/>
      <c r="Q901" s="279"/>
      <c r="R901" s="342"/>
    </row>
    <row r="902" spans="1:46" ht="16.5" customHeight="1" thickBot="1" x14ac:dyDescent="0.35">
      <c r="A902" s="343" t="s">
        <v>673</v>
      </c>
      <c r="B902" s="344">
        <f>+B868</f>
        <v>28669</v>
      </c>
      <c r="C902" s="344">
        <f>+C868</f>
        <v>24908</v>
      </c>
      <c r="D902" s="344">
        <f>+D868</f>
        <v>36226</v>
      </c>
      <c r="E902" s="45">
        <f>+SUM(B902:D902)</f>
        <v>89803</v>
      </c>
      <c r="F902" s="344">
        <f>+F868</f>
        <v>52965</v>
      </c>
      <c r="G902" s="344">
        <f>+G868</f>
        <v>71065</v>
      </c>
      <c r="H902" s="344">
        <f>+H868</f>
        <v>88095</v>
      </c>
      <c r="I902" s="45">
        <f>+SUM(F902:H902)</f>
        <v>212125</v>
      </c>
      <c r="J902" s="344">
        <f>+J868</f>
        <v>87748</v>
      </c>
      <c r="K902" s="344">
        <f>+K868</f>
        <v>77986</v>
      </c>
      <c r="L902" s="344">
        <f>+L868</f>
        <v>60114</v>
      </c>
      <c r="M902" s="45">
        <f>+SUM(J902:L902)</f>
        <v>225848</v>
      </c>
      <c r="N902" s="344">
        <f>+N868</f>
        <v>43621</v>
      </c>
      <c r="O902" s="344">
        <f>+O868</f>
        <v>5187</v>
      </c>
      <c r="P902" s="344">
        <f>+P868</f>
        <v>14017</v>
      </c>
      <c r="Q902" s="45">
        <f>+SUM(N902:P902)</f>
        <v>62825</v>
      </c>
      <c r="R902" s="37">
        <f>+E902+I902+M902+Q902</f>
        <v>590601</v>
      </c>
    </row>
    <row r="903" spans="1:46" ht="16.5" customHeight="1" thickBot="1" x14ac:dyDescent="0.35">
      <c r="A903" s="35"/>
      <c r="B903" s="45"/>
      <c r="C903" s="45"/>
      <c r="D903" s="45"/>
      <c r="E903" s="45"/>
      <c r="F903" s="45"/>
      <c r="G903" s="45"/>
      <c r="H903" s="45"/>
      <c r="I903" s="45"/>
      <c r="J903" s="45"/>
      <c r="K903" s="45"/>
      <c r="L903" s="45"/>
      <c r="M903" s="45"/>
      <c r="N903" s="45"/>
      <c r="O903" s="45"/>
      <c r="P903" s="45"/>
      <c r="Q903" s="45"/>
      <c r="R903" s="37"/>
    </row>
    <row r="904" spans="1:46" ht="16.5" customHeight="1" thickBot="1" x14ac:dyDescent="0.35">
      <c r="A904" s="343" t="s">
        <v>672</v>
      </c>
      <c r="B904" s="344">
        <f>+B873</f>
        <v>1422</v>
      </c>
      <c r="C904" s="344">
        <f>+C873</f>
        <v>1751</v>
      </c>
      <c r="D904" s="344">
        <f>+D873</f>
        <v>7992</v>
      </c>
      <c r="E904" s="45">
        <f>+SUM(B904:D904)</f>
        <v>11165</v>
      </c>
      <c r="F904" s="344">
        <f>+F873</f>
        <v>39956</v>
      </c>
      <c r="G904" s="344">
        <f>+G873</f>
        <v>24190</v>
      </c>
      <c r="H904" s="344">
        <f>+H873</f>
        <v>48816</v>
      </c>
      <c r="I904" s="45">
        <f>+SUM(F904:H904)</f>
        <v>112962</v>
      </c>
      <c r="J904" s="344">
        <f>+J873</f>
        <v>55202</v>
      </c>
      <c r="K904" s="344">
        <f>+K873</f>
        <v>42327</v>
      </c>
      <c r="L904" s="344">
        <f>+L873</f>
        <v>17893</v>
      </c>
      <c r="M904" s="45">
        <f>+SUM(J904:L904)</f>
        <v>115422</v>
      </c>
      <c r="N904" s="344">
        <f>+N873</f>
        <v>12841</v>
      </c>
      <c r="O904" s="344">
        <f>+O873</f>
        <v>1791</v>
      </c>
      <c r="P904" s="344">
        <f>+P873</f>
        <v>8514</v>
      </c>
      <c r="Q904" s="45">
        <f>+SUM(N904:P904)</f>
        <v>23146</v>
      </c>
      <c r="R904" s="37">
        <f>+E904+I904+M904+Q904</f>
        <v>262695</v>
      </c>
    </row>
    <row r="905" spans="1:46" ht="16.5" customHeight="1" thickBot="1" x14ac:dyDescent="0.35">
      <c r="A905" s="35"/>
      <c r="B905" s="45"/>
      <c r="C905" s="45"/>
      <c r="D905" s="45"/>
      <c r="E905" s="45"/>
      <c r="F905" s="45"/>
      <c r="G905" s="45"/>
      <c r="H905" s="45"/>
      <c r="I905" s="45"/>
      <c r="J905" s="45"/>
      <c r="K905" s="45"/>
      <c r="L905" s="45"/>
      <c r="M905" s="45"/>
      <c r="N905" s="45"/>
      <c r="O905" s="45"/>
      <c r="P905" s="45"/>
      <c r="Q905" s="45"/>
      <c r="R905" s="37"/>
      <c r="AC905" s="546"/>
      <c r="AD905" s="547"/>
      <c r="AE905" s="549" t="s">
        <v>2434</v>
      </c>
      <c r="AF905" s="547"/>
      <c r="AG905" s="547"/>
      <c r="AH905" s="547"/>
      <c r="AI905" s="547"/>
      <c r="AJ905" s="547"/>
      <c r="AK905" s="547" t="s">
        <v>2435</v>
      </c>
      <c r="AL905" s="547"/>
      <c r="AM905" s="547" t="s">
        <v>852</v>
      </c>
      <c r="AN905" s="557" t="str">
        <f>+A8</f>
        <v>Revised:  11/4/2019</v>
      </c>
      <c r="AO905" s="547"/>
      <c r="AP905" s="547"/>
      <c r="AQ905" s="547"/>
      <c r="AR905" s="547"/>
      <c r="AS905" s="678" t="str">
        <f>+Q1</f>
        <v xml:space="preserve">PRINTED:  </v>
      </c>
      <c r="AT905" s="679">
        <f ca="1">+R1</f>
        <v>44881.729633912037</v>
      </c>
    </row>
    <row r="906" spans="1:46" ht="16.5" customHeight="1" thickBot="1" x14ac:dyDescent="0.35">
      <c r="A906" s="343" t="s">
        <v>1089</v>
      </c>
      <c r="B906" s="344">
        <f>+B877</f>
        <v>11987</v>
      </c>
      <c r="C906" s="344">
        <f>+C877</f>
        <v>23654</v>
      </c>
      <c r="D906" s="344">
        <f>+D877</f>
        <v>37956</v>
      </c>
      <c r="E906" s="45">
        <f>+SUM(B906:D906)</f>
        <v>73597</v>
      </c>
      <c r="F906" s="344">
        <f>+F877</f>
        <v>50334</v>
      </c>
      <c r="G906" s="344">
        <f>+G877</f>
        <v>45030</v>
      </c>
      <c r="H906" s="344">
        <f>+H877</f>
        <v>46532</v>
      </c>
      <c r="I906" s="45">
        <f>+SUM(F906:H906)</f>
        <v>141896</v>
      </c>
      <c r="J906" s="344">
        <f>+J877</f>
        <v>45774</v>
      </c>
      <c r="K906" s="344">
        <f>+K877</f>
        <v>61463</v>
      </c>
      <c r="L906" s="344">
        <f>+L877</f>
        <v>46644</v>
      </c>
      <c r="M906" s="45">
        <f>+SUM(J906:L906)</f>
        <v>153881</v>
      </c>
      <c r="N906" s="344">
        <f>+N877</f>
        <v>46631</v>
      </c>
      <c r="O906" s="344">
        <f>+O877</f>
        <v>14639</v>
      </c>
      <c r="P906" s="344">
        <f>+P877</f>
        <v>21551</v>
      </c>
      <c r="Q906" s="45">
        <f>+SUM(N906:P906)</f>
        <v>82821</v>
      </c>
      <c r="R906" s="37">
        <f>+E906+I906+M906+Q906</f>
        <v>452195</v>
      </c>
      <c r="AC906" s="551"/>
      <c r="AD906" s="67"/>
      <c r="AE906" s="67"/>
      <c r="AF906" s="67">
        <f>++A5</f>
        <v>2019</v>
      </c>
      <c r="AG906" s="67"/>
      <c r="AH906" s="67"/>
      <c r="AI906" s="67"/>
      <c r="AJ906" s="67"/>
      <c r="AK906" s="67"/>
      <c r="AL906" s="67"/>
      <c r="AM906" s="67"/>
      <c r="AN906" s="67"/>
      <c r="AO906" s="67"/>
      <c r="AP906" s="67"/>
      <c r="AQ906" s="67"/>
      <c r="AR906" s="67"/>
      <c r="AS906" s="67"/>
      <c r="AT906" s="552"/>
    </row>
    <row r="907" spans="1:46" ht="16.5" customHeight="1" thickBot="1" x14ac:dyDescent="0.35">
      <c r="A907" s="35"/>
      <c r="B907" s="45"/>
      <c r="C907" s="45"/>
      <c r="D907" s="45"/>
      <c r="E907" s="45"/>
      <c r="F907" s="45"/>
      <c r="G907" s="45"/>
      <c r="H907" s="45"/>
      <c r="I907" s="45"/>
      <c r="J907" s="45"/>
      <c r="K907" s="45"/>
      <c r="L907" s="45"/>
      <c r="M907" s="45"/>
      <c r="N907" s="45"/>
      <c r="O907" s="45"/>
      <c r="P907" s="45"/>
      <c r="Q907" s="45"/>
      <c r="R907" s="37"/>
      <c r="AC907" s="551"/>
      <c r="AD907" s="67"/>
      <c r="AE907" s="67"/>
      <c r="AF907" s="67"/>
      <c r="AG907" s="67"/>
      <c r="AH907" s="67"/>
      <c r="AI907" s="67"/>
      <c r="AJ907" s="67"/>
      <c r="AK907" s="67"/>
      <c r="AL907" s="67"/>
      <c r="AM907" s="67"/>
      <c r="AN907" s="67"/>
      <c r="AO907" s="67"/>
      <c r="AP907" s="67"/>
      <c r="AQ907" s="67"/>
      <c r="AR907" s="67"/>
      <c r="AS907" s="67"/>
      <c r="AT907" s="552"/>
    </row>
    <row r="908" spans="1:46" ht="16.5" customHeight="1" thickBot="1" x14ac:dyDescent="0.35">
      <c r="A908" s="343" t="s">
        <v>1090</v>
      </c>
      <c r="B908" s="344">
        <f>+B886</f>
        <v>0</v>
      </c>
      <c r="C908" s="344">
        <f>+C886</f>
        <v>0</v>
      </c>
      <c r="D908" s="344">
        <f>+D886</f>
        <v>0</v>
      </c>
      <c r="E908" s="45">
        <f>+SUM(B908:D908)</f>
        <v>0</v>
      </c>
      <c r="F908" s="344">
        <f>+F886</f>
        <v>0</v>
      </c>
      <c r="G908" s="344">
        <f>+G886</f>
        <v>0</v>
      </c>
      <c r="H908" s="344">
        <f>+H886</f>
        <v>0</v>
      </c>
      <c r="I908" s="45">
        <f>+SUM(F908:H908)</f>
        <v>0</v>
      </c>
      <c r="J908" s="344">
        <f>+J886</f>
        <v>0</v>
      </c>
      <c r="K908" s="344">
        <f>+K886</f>
        <v>0</v>
      </c>
      <c r="L908" s="344">
        <f>+L886</f>
        <v>0</v>
      </c>
      <c r="M908" s="45">
        <f>+SUM(J908:L908)</f>
        <v>0</v>
      </c>
      <c r="N908" s="344">
        <f>+N886</f>
        <v>0</v>
      </c>
      <c r="O908" s="344">
        <f>+O886</f>
        <v>2000</v>
      </c>
      <c r="P908" s="344">
        <f>+P886</f>
        <v>4000</v>
      </c>
      <c r="Q908" s="45">
        <f>+SUM(N908:P908)</f>
        <v>6000</v>
      </c>
      <c r="R908" s="37">
        <f>+E908+I908+M908+Q908</f>
        <v>6000</v>
      </c>
      <c r="AC908" s="551"/>
      <c r="AD908" s="67"/>
      <c r="AE908" s="67"/>
      <c r="AF908" s="67"/>
      <c r="AG908" s="67"/>
      <c r="AH908" s="67"/>
      <c r="AI908" s="70" t="s">
        <v>2438</v>
      </c>
      <c r="AJ908" s="67"/>
      <c r="AK908" s="67"/>
      <c r="AL908" s="67"/>
      <c r="AM908" s="67"/>
      <c r="AN908" s="67"/>
      <c r="AO908" s="67"/>
      <c r="AP908" s="67"/>
      <c r="AQ908" s="67"/>
      <c r="AR908" s="67"/>
      <c r="AS908" s="67"/>
      <c r="AT908" s="552"/>
    </row>
    <row r="909" spans="1:46" ht="16.5" customHeight="1" thickBot="1" x14ac:dyDescent="0.35">
      <c r="A909" s="35"/>
      <c r="B909" s="45"/>
      <c r="C909" s="45"/>
      <c r="D909" s="45"/>
      <c r="E909" s="45"/>
      <c r="F909" s="45"/>
      <c r="G909" s="45"/>
      <c r="H909" s="45"/>
      <c r="I909" s="45"/>
      <c r="J909" s="45"/>
      <c r="K909" s="45"/>
      <c r="L909" s="45"/>
      <c r="M909" s="45"/>
      <c r="N909" s="45"/>
      <c r="O909" s="45"/>
      <c r="P909" s="45"/>
      <c r="Q909" s="45"/>
      <c r="R909" s="37"/>
      <c r="AC909" s="551"/>
      <c r="AD909" s="67" t="s">
        <v>2435</v>
      </c>
      <c r="AE909" s="67"/>
      <c r="AF909" s="70" t="s">
        <v>2436</v>
      </c>
      <c r="AG909" s="70" t="s">
        <v>2436</v>
      </c>
      <c r="AH909" s="70" t="s">
        <v>2437</v>
      </c>
      <c r="AI909" s="70" t="s">
        <v>525</v>
      </c>
      <c r="AJ909" s="70" t="s">
        <v>2439</v>
      </c>
      <c r="AK909" s="70" t="s">
        <v>2463</v>
      </c>
      <c r="AL909" s="70" t="s">
        <v>2356</v>
      </c>
      <c r="AM909" s="67" t="s">
        <v>2435</v>
      </c>
      <c r="AN909" s="70" t="s">
        <v>2464</v>
      </c>
      <c r="AO909" s="70" t="s">
        <v>2464</v>
      </c>
      <c r="AP909" s="70" t="s">
        <v>2464</v>
      </c>
      <c r="AQ909" s="67"/>
      <c r="AR909" s="67"/>
      <c r="AS909" s="67"/>
      <c r="AT909" s="552"/>
    </row>
    <row r="910" spans="1:46" ht="16.5" customHeight="1" thickBot="1" x14ac:dyDescent="0.4">
      <c r="A910" s="35" t="s">
        <v>574</v>
      </c>
      <c r="B910" s="47">
        <f t="shared" ref="B910:Q910" si="311">+SUM(B902:B908)</f>
        <v>42078</v>
      </c>
      <c r="C910" s="47">
        <f t="shared" si="311"/>
        <v>50313</v>
      </c>
      <c r="D910" s="47">
        <f t="shared" si="311"/>
        <v>82174</v>
      </c>
      <c r="E910" s="47">
        <f t="shared" si="311"/>
        <v>174565</v>
      </c>
      <c r="F910" s="47">
        <f t="shared" si="311"/>
        <v>143255</v>
      </c>
      <c r="G910" s="47">
        <f t="shared" si="311"/>
        <v>140285</v>
      </c>
      <c r="H910" s="47">
        <f t="shared" si="311"/>
        <v>183443</v>
      </c>
      <c r="I910" s="47">
        <f t="shared" si="311"/>
        <v>466983</v>
      </c>
      <c r="J910" s="47">
        <f t="shared" si="311"/>
        <v>188724</v>
      </c>
      <c r="K910" s="47">
        <f t="shared" si="311"/>
        <v>181776</v>
      </c>
      <c r="L910" s="47">
        <f t="shared" si="311"/>
        <v>124651</v>
      </c>
      <c r="M910" s="47">
        <f t="shared" si="311"/>
        <v>495151</v>
      </c>
      <c r="N910" s="47">
        <f t="shared" si="311"/>
        <v>103093</v>
      </c>
      <c r="O910" s="47">
        <f t="shared" si="311"/>
        <v>23617</v>
      </c>
      <c r="P910" s="47">
        <f t="shared" si="311"/>
        <v>48082</v>
      </c>
      <c r="Q910" s="47">
        <f t="shared" si="311"/>
        <v>174792</v>
      </c>
      <c r="R910" s="345">
        <f>+SUM(R902:R908)</f>
        <v>1311491</v>
      </c>
      <c r="AC910" s="551"/>
      <c r="AD910" s="70" t="s">
        <v>284</v>
      </c>
      <c r="AE910" s="70" t="s">
        <v>2379</v>
      </c>
      <c r="AF910" s="70" t="s">
        <v>844</v>
      </c>
      <c r="AG910" s="70" t="s">
        <v>844</v>
      </c>
      <c r="AH910" s="70" t="s">
        <v>845</v>
      </c>
      <c r="AI910" s="214" t="s">
        <v>955</v>
      </c>
      <c r="AJ910" s="70" t="s">
        <v>275</v>
      </c>
      <c r="AK910" s="70" t="s">
        <v>276</v>
      </c>
      <c r="AL910" s="70" t="s">
        <v>1554</v>
      </c>
      <c r="AM910" s="67" t="s">
        <v>2435</v>
      </c>
      <c r="AN910" s="70" t="s">
        <v>1555</v>
      </c>
      <c r="AO910" s="70" t="s">
        <v>955</v>
      </c>
      <c r="AP910" s="70" t="s">
        <v>1194</v>
      </c>
      <c r="AQ910" s="67"/>
      <c r="AR910" s="67"/>
      <c r="AS910" s="67"/>
      <c r="AT910" s="552"/>
    </row>
    <row r="911" spans="1:46" ht="15.75" customHeight="1" x14ac:dyDescent="0.35">
      <c r="A911" s="201"/>
      <c r="B911" s="286"/>
      <c r="C911" s="286"/>
      <c r="D911" s="286"/>
      <c r="E911" s="286"/>
      <c r="F911" s="286"/>
      <c r="G911" s="286"/>
      <c r="H911" s="544" t="s">
        <v>2538</v>
      </c>
      <c r="I911" s="286"/>
      <c r="J911" s="286"/>
      <c r="K911" s="286"/>
      <c r="L911" s="286"/>
      <c r="M911" s="286"/>
      <c r="N911" s="286"/>
      <c r="O911" s="286"/>
      <c r="P911" s="286"/>
      <c r="Q911" s="286"/>
      <c r="R911" s="286"/>
      <c r="AC911" s="551"/>
      <c r="AD911" s="70" t="s">
        <v>1193</v>
      </c>
      <c r="AE911" s="70" t="s">
        <v>956</v>
      </c>
      <c r="AF911" s="70" t="s">
        <v>333</v>
      </c>
      <c r="AG911" s="70" t="s">
        <v>334</v>
      </c>
      <c r="AH911" s="70" t="s">
        <v>335</v>
      </c>
      <c r="AI911" s="70" t="s">
        <v>335</v>
      </c>
      <c r="AJ911" s="70" t="s">
        <v>335</v>
      </c>
      <c r="AK911" s="70" t="s">
        <v>335</v>
      </c>
      <c r="AL911" s="70" t="s">
        <v>1486</v>
      </c>
      <c r="AM911" s="67" t="s">
        <v>2435</v>
      </c>
      <c r="AN911" s="70" t="s">
        <v>1487</v>
      </c>
      <c r="AO911" s="70" t="s">
        <v>929</v>
      </c>
      <c r="AP911" s="70" t="s">
        <v>929</v>
      </c>
      <c r="AQ911" s="67"/>
      <c r="AR911" s="67"/>
      <c r="AS911" s="67"/>
      <c r="AT911" s="552"/>
    </row>
    <row r="912" spans="1:46" ht="15.75" customHeight="1" x14ac:dyDescent="0.35">
      <c r="A912" s="201"/>
      <c r="B912" s="286"/>
      <c r="C912" s="286"/>
      <c r="D912" s="286"/>
      <c r="E912" s="286"/>
      <c r="F912" s="286"/>
      <c r="G912" s="286"/>
      <c r="H912" s="286"/>
      <c r="I912" s="286"/>
      <c r="J912" s="286"/>
      <c r="K912" s="286"/>
      <c r="L912" s="286"/>
      <c r="M912" s="286"/>
      <c r="N912" s="286"/>
      <c r="O912" s="286"/>
      <c r="P912" s="286"/>
      <c r="Q912" s="286"/>
      <c r="R912" s="286"/>
      <c r="AC912" s="551"/>
      <c r="AD912" s="70" t="s">
        <v>930</v>
      </c>
      <c r="AE912" s="70" t="s">
        <v>931</v>
      </c>
      <c r="AF912" s="70" t="s">
        <v>932</v>
      </c>
      <c r="AG912" s="70" t="s">
        <v>932</v>
      </c>
      <c r="AH912" s="70" t="s">
        <v>932</v>
      </c>
      <c r="AI912" s="70" t="s">
        <v>932</v>
      </c>
      <c r="AJ912" s="70" t="s">
        <v>932</v>
      </c>
      <c r="AK912" s="70" t="s">
        <v>932</v>
      </c>
      <c r="AL912" s="70" t="s">
        <v>932</v>
      </c>
      <c r="AM912" s="67" t="s">
        <v>2435</v>
      </c>
      <c r="AN912" s="70" t="s">
        <v>946</v>
      </c>
      <c r="AO912" s="70" t="s">
        <v>946</v>
      </c>
      <c r="AP912" s="70" t="s">
        <v>946</v>
      </c>
      <c r="AQ912" s="67"/>
      <c r="AR912" s="67"/>
      <c r="AS912" s="67"/>
      <c r="AT912" s="552"/>
    </row>
    <row r="913" spans="1:46" ht="15.75" customHeight="1" thickBot="1" x14ac:dyDescent="0.4">
      <c r="A913" s="201"/>
      <c r="B913" s="286"/>
      <c r="C913" s="286"/>
      <c r="D913" s="286"/>
      <c r="E913" s="286"/>
      <c r="F913" s="286"/>
      <c r="G913" s="286"/>
      <c r="H913" s="544"/>
      <c r="I913" s="286"/>
      <c r="J913" s="286"/>
      <c r="K913" s="286"/>
      <c r="L913" s="286"/>
      <c r="M913" s="286"/>
      <c r="N913" s="286"/>
      <c r="O913" s="286"/>
      <c r="P913" s="286"/>
      <c r="Q913" s="286"/>
      <c r="R913" s="286"/>
      <c r="AC913" s="551"/>
      <c r="AD913" s="67" t="s">
        <v>1353</v>
      </c>
      <c r="AE913" s="67" t="s">
        <v>1353</v>
      </c>
      <c r="AF913" s="67" t="s">
        <v>1353</v>
      </c>
      <c r="AG913" s="67" t="s">
        <v>1353</v>
      </c>
      <c r="AH913" s="67" t="s">
        <v>1353</v>
      </c>
      <c r="AI913" s="67" t="s">
        <v>1353</v>
      </c>
      <c r="AJ913" s="67" t="s">
        <v>1353</v>
      </c>
      <c r="AK913" s="67" t="s">
        <v>1353</v>
      </c>
      <c r="AL913" s="67" t="s">
        <v>1353</v>
      </c>
      <c r="AM913" s="67" t="s">
        <v>2435</v>
      </c>
      <c r="AN913" s="67" t="s">
        <v>1353</v>
      </c>
      <c r="AO913" s="67" t="s">
        <v>1353</v>
      </c>
      <c r="AP913" s="67" t="s">
        <v>1353</v>
      </c>
      <c r="AQ913" s="67"/>
      <c r="AR913" s="67"/>
      <c r="AS913" s="67"/>
      <c r="AT913" s="552"/>
    </row>
    <row r="914" spans="1:46" ht="15.75" customHeight="1" x14ac:dyDescent="0.3">
      <c r="A914" s="651"/>
      <c r="B914" s="782" t="s">
        <v>864</v>
      </c>
      <c r="C914" s="782"/>
      <c r="D914" s="782"/>
      <c r="E914" s="782"/>
      <c r="F914" s="782"/>
      <c r="G914" s="782"/>
      <c r="H914" s="782"/>
      <c r="I914" s="782"/>
      <c r="J914" s="782"/>
      <c r="K914" s="782"/>
      <c r="L914" s="782"/>
      <c r="M914" s="782"/>
      <c r="N914" s="782"/>
      <c r="O914" s="782"/>
      <c r="P914" s="782"/>
      <c r="Q914" s="678" t="str">
        <f>+Q1</f>
        <v xml:space="preserve">PRINTED:  </v>
      </c>
      <c r="R914" s="679">
        <f ca="1">+R1</f>
        <v>44881.729633912037</v>
      </c>
      <c r="AC914" s="553" t="s">
        <v>1354</v>
      </c>
      <c r="AD914" s="67">
        <f t="shared" ref="AD914:AD925" si="312">(F923)</f>
        <v>62928</v>
      </c>
      <c r="AE914" s="67">
        <f t="shared" ref="AE914:AE925" si="313">SUM($B$978:$E$978)+(T923-1526.8)/0.7702</f>
        <v>1633.417956964503</v>
      </c>
      <c r="AF914" s="67">
        <f>(AD914*AE914/1000)</f>
        <v>102787.72519586225</v>
      </c>
      <c r="AG914" s="67">
        <f t="shared" ref="AG914:AG925" si="314">(((B923-F923)*B$978)+((C923-F923)*C$978)+((D923-F923)*D$978)+((E923-F923)*E$978))/1000</f>
        <v>34588.06</v>
      </c>
      <c r="AH914" s="67">
        <f>(AF914+AG914)</f>
        <v>137375.78519586223</v>
      </c>
      <c r="AI914" s="67">
        <f t="shared" ref="AI914:AI925" si="315">SUM(H980:Q980)</f>
        <v>21924</v>
      </c>
      <c r="AJ914" s="67">
        <f>+AH914+AI914</f>
        <v>159299.78519586223</v>
      </c>
      <c r="AK914" s="67">
        <f t="shared" ref="AK914:AK921" si="316">(G1008)</f>
        <v>2639.3391493542172</v>
      </c>
      <c r="AL914" s="67">
        <f t="shared" ref="AL914:AL925" si="317">(AJ914-AK914)</f>
        <v>156660.446046508</v>
      </c>
      <c r="AM914" s="67" t="s">
        <v>2435</v>
      </c>
      <c r="AN914" s="67">
        <f>+B923/31/1.98</f>
        <v>1422.9553600521342</v>
      </c>
      <c r="AO914" s="67">
        <f>(AD914*43560/31/24/3600)</f>
        <v>1023.4258064516127</v>
      </c>
      <c r="AP914" s="67">
        <f>+B328</f>
        <v>-299.38346916532458</v>
      </c>
      <c r="AQ914" s="67"/>
      <c r="AR914" s="67"/>
      <c r="AS914" s="67"/>
      <c r="AT914" s="552"/>
    </row>
    <row r="915" spans="1:46" ht="15.75" customHeight="1" x14ac:dyDescent="0.3">
      <c r="A915" s="553"/>
      <c r="B915" s="786" t="str">
        <f>+A8</f>
        <v>Revised:  11/4/2019</v>
      </c>
      <c r="C915" s="786"/>
      <c r="D915" s="786"/>
      <c r="E915" s="786"/>
      <c r="F915" s="786"/>
      <c r="G915" s="786"/>
      <c r="H915" s="786"/>
      <c r="I915" s="786"/>
      <c r="J915" s="786"/>
      <c r="K915" s="786"/>
      <c r="L915" s="786"/>
      <c r="M915" s="786"/>
      <c r="N915" s="786"/>
      <c r="O915" s="786"/>
      <c r="P915" s="786"/>
      <c r="Q915" s="67"/>
      <c r="R915" s="552"/>
      <c r="AC915" s="553" t="s">
        <v>706</v>
      </c>
      <c r="AD915" s="67">
        <f t="shared" si="312"/>
        <v>99729</v>
      </c>
      <c r="AE915" s="67">
        <f t="shared" si="313"/>
        <v>1641.9669945609774</v>
      </c>
      <c r="AF915" s="67">
        <f>(AD915*AE915/1000)</f>
        <v>163751.7264005717</v>
      </c>
      <c r="AG915" s="67">
        <f t="shared" si="314"/>
        <v>73429.259999999995</v>
      </c>
      <c r="AH915" s="67">
        <f t="shared" ref="AH915:AH925" si="318">(AF915+AG915)</f>
        <v>237180.98640057171</v>
      </c>
      <c r="AI915" s="67">
        <f t="shared" si="315"/>
        <v>20825</v>
      </c>
      <c r="AJ915" s="67">
        <f t="shared" ref="AJ915:AJ925" si="319">+AH915+AI915</f>
        <v>258005.98640057171</v>
      </c>
      <c r="AK915" s="67">
        <f t="shared" si="316"/>
        <v>0</v>
      </c>
      <c r="AL915" s="67">
        <f t="shared" si="317"/>
        <v>258005.98640057171</v>
      </c>
      <c r="AM915" s="67" t="s">
        <v>2435</v>
      </c>
      <c r="AN915" s="67">
        <f>+B924/28/1.98</f>
        <v>2730.5194805194806</v>
      </c>
      <c r="AO915" s="67">
        <f>(AD915*43560/29/24/3600)</f>
        <v>1733.794396551724</v>
      </c>
      <c r="AP915" s="67">
        <f>+C328</f>
        <v>0</v>
      </c>
      <c r="AQ915" s="67"/>
      <c r="AR915" s="67"/>
      <c r="AS915" s="67"/>
      <c r="AT915" s="552"/>
    </row>
    <row r="916" spans="1:46" ht="15.75" customHeight="1" x14ac:dyDescent="0.3">
      <c r="A916" s="553"/>
      <c r="B916" s="786" t="s">
        <v>2878</v>
      </c>
      <c r="C916" s="786"/>
      <c r="D916" s="786"/>
      <c r="E916" s="786"/>
      <c r="F916" s="786"/>
      <c r="G916" s="786"/>
      <c r="H916" s="786"/>
      <c r="I916" s="786"/>
      <c r="J916" s="786"/>
      <c r="K916" s="786"/>
      <c r="L916" s="786"/>
      <c r="M916" s="786"/>
      <c r="N916" s="786"/>
      <c r="O916" s="786"/>
      <c r="P916" s="786"/>
      <c r="Q916" s="67"/>
      <c r="R916" s="552"/>
      <c r="AC916" s="553" t="s">
        <v>707</v>
      </c>
      <c r="AD916" s="67">
        <f t="shared" si="312"/>
        <v>62</v>
      </c>
      <c r="AE916" s="67">
        <f t="shared" si="313"/>
        <v>1645.8565577144309</v>
      </c>
      <c r="AF916" s="67">
        <f t="shared" ref="AF916:AF925" si="320">(AD916*AE916/1000)</f>
        <v>102.04310657829471</v>
      </c>
      <c r="AG916" s="67">
        <f t="shared" si="314"/>
        <v>117233.219</v>
      </c>
      <c r="AH916" s="67">
        <f t="shared" si="318"/>
        <v>117335.26210657829</v>
      </c>
      <c r="AI916" s="67">
        <f t="shared" si="315"/>
        <v>30336</v>
      </c>
      <c r="AJ916" s="67">
        <f t="shared" si="319"/>
        <v>147671.26210657827</v>
      </c>
      <c r="AK916" s="67">
        <f t="shared" si="316"/>
        <v>20.046958757287321</v>
      </c>
      <c r="AL916" s="67">
        <f t="shared" si="317"/>
        <v>147651.215147821</v>
      </c>
      <c r="AM916" s="67" t="s">
        <v>2435</v>
      </c>
      <c r="AN916" s="67">
        <f>+B925/31/1.98</f>
        <v>1348.0286738351253</v>
      </c>
      <c r="AO916" s="67">
        <f>(AD916*43560/31/24/3600)</f>
        <v>1.0083333333333333</v>
      </c>
      <c r="AP916" s="67">
        <f>+D328</f>
        <v>-2.0659476518146178</v>
      </c>
      <c r="AQ916" s="67"/>
      <c r="AR916" s="67"/>
      <c r="AS916" s="67"/>
      <c r="AT916" s="552"/>
    </row>
    <row r="917" spans="1:46" ht="15.75" customHeight="1" x14ac:dyDescent="0.3">
      <c r="A917" s="553"/>
      <c r="B917" s="786"/>
      <c r="C917" s="786"/>
      <c r="D917" s="786"/>
      <c r="E917" s="786"/>
      <c r="F917" s="786"/>
      <c r="G917" s="786"/>
      <c r="H917" s="786"/>
      <c r="I917" s="786"/>
      <c r="J917" s="786"/>
      <c r="K917" s="786"/>
      <c r="L917" s="786"/>
      <c r="M917" s="786"/>
      <c r="N917" s="786"/>
      <c r="O917" s="786"/>
      <c r="P917" s="786"/>
      <c r="Q917" s="67"/>
      <c r="R917" s="552"/>
      <c r="AC917" s="553" t="s">
        <v>1321</v>
      </c>
      <c r="AD917" s="67">
        <f t="shared" si="312"/>
        <v>11000</v>
      </c>
      <c r="AE917" s="67">
        <f t="shared" si="313"/>
        <v>1643.955448493638</v>
      </c>
      <c r="AF917" s="67">
        <f t="shared" si="320"/>
        <v>18083.509933430018</v>
      </c>
      <c r="AG917" s="67">
        <f t="shared" si="314"/>
        <v>193523.74400000001</v>
      </c>
      <c r="AH917" s="67">
        <f t="shared" si="318"/>
        <v>211607.25393343001</v>
      </c>
      <c r="AI917" s="67">
        <f t="shared" si="315"/>
        <v>46223</v>
      </c>
      <c r="AJ917" s="67">
        <f t="shared" si="319"/>
        <v>257830.25393343001</v>
      </c>
      <c r="AK917" s="67">
        <f t="shared" si="316"/>
        <v>2100.2498132384621</v>
      </c>
      <c r="AL917" s="67">
        <f t="shared" si="317"/>
        <v>255730.00412019156</v>
      </c>
      <c r="AM917" s="67" t="s">
        <v>2435</v>
      </c>
      <c r="AN917" s="67">
        <f>+B926/30/1.98</f>
        <v>2485.909090909091</v>
      </c>
      <c r="AO917" s="67">
        <f>(AD917*43560/30/24/3600)</f>
        <v>184.86111111111111</v>
      </c>
      <c r="AP917" s="67">
        <f>+F328</f>
        <v>-226.82803832576903</v>
      </c>
      <c r="AQ917" s="67"/>
      <c r="AR917" s="67"/>
      <c r="AS917" s="67"/>
      <c r="AT917" s="552"/>
    </row>
    <row r="918" spans="1:46" ht="15.75" customHeight="1" x14ac:dyDescent="0.3">
      <c r="A918" s="553"/>
      <c r="B918" s="787">
        <f>+A5</f>
        <v>2019</v>
      </c>
      <c r="C918" s="787"/>
      <c r="D918" s="787"/>
      <c r="E918" s="787"/>
      <c r="F918" s="787"/>
      <c r="G918" s="787"/>
      <c r="H918" s="787"/>
      <c r="I918" s="787"/>
      <c r="J918" s="787"/>
      <c r="K918" s="787"/>
      <c r="L918" s="787"/>
      <c r="M918" s="787"/>
      <c r="N918" s="787"/>
      <c r="O918" s="787"/>
      <c r="P918" s="787"/>
      <c r="Q918" s="67"/>
      <c r="R918" s="552"/>
      <c r="AC918" s="553" t="s">
        <v>1905</v>
      </c>
      <c r="AD918" s="67">
        <f t="shared" si="312"/>
        <v>18293</v>
      </c>
      <c r="AE918" s="67">
        <f t="shared" si="313"/>
        <v>1642.8698430885411</v>
      </c>
      <c r="AF918" s="67">
        <f t="shared" si="320"/>
        <v>30053.018039618681</v>
      </c>
      <c r="AG918" s="67">
        <f t="shared" si="314"/>
        <v>190364.087</v>
      </c>
      <c r="AH918" s="67">
        <f t="shared" si="318"/>
        <v>220417.10503961868</v>
      </c>
      <c r="AI918" s="67">
        <f t="shared" si="315"/>
        <v>43900</v>
      </c>
      <c r="AJ918" s="67">
        <f t="shared" si="319"/>
        <v>264317.10503961868</v>
      </c>
      <c r="AK918" s="67">
        <f t="shared" si="316"/>
        <v>2394.1723270542348</v>
      </c>
      <c r="AL918" s="67">
        <f t="shared" si="317"/>
        <v>261922.93271256445</v>
      </c>
      <c r="AM918" s="67" t="s">
        <v>2435</v>
      </c>
      <c r="AN918" s="67">
        <f>+B927/31/1.98</f>
        <v>2489.4916911045943</v>
      </c>
      <c r="AO918" s="67">
        <f>(AD918*43560/31/24/3600)</f>
        <v>297.50712365591403</v>
      </c>
      <c r="AP918" s="67">
        <f>+G328</f>
        <v>-252.27335578221332</v>
      </c>
      <c r="AQ918" s="67"/>
      <c r="AR918" s="67"/>
      <c r="AS918" s="67"/>
      <c r="AT918" s="552"/>
    </row>
    <row r="919" spans="1:46" ht="15.75" customHeight="1" x14ac:dyDescent="0.3">
      <c r="A919" s="553"/>
      <c r="B919" s="786" t="s">
        <v>2918</v>
      </c>
      <c r="C919" s="786"/>
      <c r="D919" s="786"/>
      <c r="E919" s="786"/>
      <c r="F919" s="786"/>
      <c r="G919" s="786"/>
      <c r="H919" s="786"/>
      <c r="I919" s="786"/>
      <c r="J919" s="786"/>
      <c r="K919" s="786"/>
      <c r="L919" s="786"/>
      <c r="M919" s="786"/>
      <c r="N919" s="786"/>
      <c r="O919" s="786"/>
      <c r="P919" s="786"/>
      <c r="Q919" s="67"/>
      <c r="R919" s="552"/>
      <c r="AC919" s="553" t="s">
        <v>1906</v>
      </c>
      <c r="AD919" s="67">
        <f t="shared" si="312"/>
        <v>1475</v>
      </c>
      <c r="AE919" s="67">
        <f t="shared" si="313"/>
        <v>1624.3723379900016</v>
      </c>
      <c r="AF919" s="67">
        <f t="shared" si="320"/>
        <v>2395.9491985352524</v>
      </c>
      <c r="AG919" s="67">
        <f t="shared" si="314"/>
        <v>148428.81</v>
      </c>
      <c r="AH919" s="67">
        <f t="shared" si="318"/>
        <v>150824.75919853526</v>
      </c>
      <c r="AI919" s="67">
        <f t="shared" si="315"/>
        <v>50568</v>
      </c>
      <c r="AJ919" s="67">
        <f t="shared" si="319"/>
        <v>201392.75919853526</v>
      </c>
      <c r="AK919" s="67">
        <f t="shared" si="316"/>
        <v>11185.780401547408</v>
      </c>
      <c r="AL919" s="67">
        <f t="shared" si="317"/>
        <v>190206.97879698785</v>
      </c>
      <c r="AM919" s="67" t="s">
        <v>2435</v>
      </c>
      <c r="AN919" s="67">
        <f>+B928/30/1.98</f>
        <v>1798.3670033670035</v>
      </c>
      <c r="AO919" s="67">
        <f t="shared" ref="AO919:AO924" si="321">(AD919*43560/30/24/3600)</f>
        <v>24.788194444444443</v>
      </c>
      <c r="AP919" s="67">
        <f>+H328</f>
        <v>-1414.691544797445</v>
      </c>
      <c r="AQ919" s="67"/>
      <c r="AR919" s="67"/>
      <c r="AS919" s="67"/>
      <c r="AT919" s="552"/>
    </row>
    <row r="920" spans="1:46" ht="15.75" customHeight="1" x14ac:dyDescent="0.3">
      <c r="A920" s="553"/>
      <c r="B920" s="67"/>
      <c r="C920" s="67"/>
      <c r="D920" s="67"/>
      <c r="E920" s="67"/>
      <c r="F920" s="67"/>
      <c r="G920" s="67"/>
      <c r="H920" s="67"/>
      <c r="I920" s="67"/>
      <c r="J920" s="67"/>
      <c r="K920" s="67"/>
      <c r="L920" s="67"/>
      <c r="M920" s="67"/>
      <c r="N920" s="67"/>
      <c r="O920" s="67"/>
      <c r="P920" s="67"/>
      <c r="Q920" s="67"/>
      <c r="R920" s="552"/>
      <c r="AC920" s="553" t="s">
        <v>1907</v>
      </c>
      <c r="AD920" s="67">
        <f t="shared" si="312"/>
        <v>0</v>
      </c>
      <c r="AE920" s="67">
        <f t="shared" si="313"/>
        <v>1600.1168045192444</v>
      </c>
      <c r="AF920" s="67">
        <f t="shared" si="320"/>
        <v>0</v>
      </c>
      <c r="AG920" s="67">
        <f t="shared" si="314"/>
        <v>137401.326</v>
      </c>
      <c r="AH920" s="67">
        <f t="shared" si="318"/>
        <v>137401.326</v>
      </c>
      <c r="AI920" s="67">
        <f t="shared" si="315"/>
        <v>53470</v>
      </c>
      <c r="AJ920" s="67">
        <f t="shared" si="319"/>
        <v>190871.326</v>
      </c>
      <c r="AK920" s="67">
        <f t="shared" si="316"/>
        <v>9783.6726906888689</v>
      </c>
      <c r="AL920" s="67">
        <f t="shared" si="317"/>
        <v>181087.65330931114</v>
      </c>
      <c r="AM920" s="67" t="s">
        <v>2435</v>
      </c>
      <c r="AN920" s="67">
        <f>+B929/31/1.98</f>
        <v>1593.4180514825675</v>
      </c>
      <c r="AO920" s="67">
        <f t="shared" si="321"/>
        <v>0</v>
      </c>
      <c r="AP920" s="67">
        <f>+J328</f>
        <v>-1519.301156605339</v>
      </c>
      <c r="AQ920" s="67"/>
      <c r="AR920" s="67"/>
      <c r="AS920" s="67"/>
      <c r="AT920" s="552"/>
    </row>
    <row r="921" spans="1:46" ht="15.75" customHeight="1" thickBot="1" x14ac:dyDescent="0.35">
      <c r="A921" s="553" t="s">
        <v>845</v>
      </c>
      <c r="B921" s="634" t="s">
        <v>1308</v>
      </c>
      <c r="C921" s="634" t="s">
        <v>1309</v>
      </c>
      <c r="D921" s="634" t="s">
        <v>1029</v>
      </c>
      <c r="E921" s="634" t="s">
        <v>1030</v>
      </c>
      <c r="F921" s="634" t="s">
        <v>284</v>
      </c>
      <c r="G921" s="634" t="s">
        <v>284</v>
      </c>
      <c r="H921" s="634" t="s">
        <v>285</v>
      </c>
      <c r="I921" s="634" t="s">
        <v>286</v>
      </c>
      <c r="J921" s="634" t="s">
        <v>287</v>
      </c>
      <c r="K921" s="634" t="s">
        <v>288</v>
      </c>
      <c r="L921" s="634" t="s">
        <v>289</v>
      </c>
      <c r="M921" s="634" t="s">
        <v>633</v>
      </c>
      <c r="N921" s="634" t="s">
        <v>634</v>
      </c>
      <c r="O921" s="634" t="s">
        <v>1192</v>
      </c>
      <c r="P921" s="634" t="s">
        <v>524</v>
      </c>
      <c r="Q921" s="634" t="s">
        <v>525</v>
      </c>
      <c r="R921" s="552"/>
      <c r="T921" s="350" t="s">
        <v>2756</v>
      </c>
      <c r="AC921" s="553" t="s">
        <v>1908</v>
      </c>
      <c r="AD921" s="67">
        <f t="shared" si="312"/>
        <v>29</v>
      </c>
      <c r="AE921" s="67">
        <f t="shared" si="313"/>
        <v>1581.0255421077782</v>
      </c>
      <c r="AF921" s="67">
        <f t="shared" si="320"/>
        <v>45.849740721125563</v>
      </c>
      <c r="AG921" s="67">
        <f t="shared" si="314"/>
        <v>146134.258</v>
      </c>
      <c r="AH921" s="67">
        <f t="shared" si="318"/>
        <v>146180.10774072114</v>
      </c>
      <c r="AI921" s="67">
        <f t="shared" si="315"/>
        <v>52302</v>
      </c>
      <c r="AJ921" s="67">
        <f t="shared" si="319"/>
        <v>198482.10774072114</v>
      </c>
      <c r="AK921" s="67">
        <f t="shared" si="316"/>
        <v>6218.1212241142048</v>
      </c>
      <c r="AL921" s="67">
        <f t="shared" si="317"/>
        <v>192263.98651660694</v>
      </c>
      <c r="AM921" s="67" t="s">
        <v>2435</v>
      </c>
      <c r="AN921" s="67">
        <f>+B930/31/1.98</f>
        <v>1693.6135549038775</v>
      </c>
      <c r="AO921" s="67">
        <f t="shared" si="321"/>
        <v>0.48736111111111113</v>
      </c>
      <c r="AP921" s="67">
        <f>+K328</f>
        <v>-1224.7002749174433</v>
      </c>
      <c r="AQ921" s="67"/>
      <c r="AR921" s="67"/>
      <c r="AS921" s="67"/>
      <c r="AT921" s="552"/>
    </row>
    <row r="922" spans="1:46" ht="15.75" customHeight="1" x14ac:dyDescent="0.3">
      <c r="A922" s="553"/>
      <c r="B922" s="67"/>
      <c r="C922" s="67"/>
      <c r="D922" s="67"/>
      <c r="E922" s="67"/>
      <c r="F922" s="70" t="s">
        <v>1193</v>
      </c>
      <c r="G922" s="70" t="s">
        <v>1194</v>
      </c>
      <c r="H922" s="67"/>
      <c r="I922" s="67"/>
      <c r="J922" s="67"/>
      <c r="K922" s="67"/>
      <c r="L922" s="67"/>
      <c r="M922" s="67"/>
      <c r="N922" s="67"/>
      <c r="O922" s="67"/>
      <c r="P922" s="67"/>
      <c r="Q922" s="67"/>
      <c r="R922" s="552"/>
      <c r="AC922" s="553" t="s">
        <v>2352</v>
      </c>
      <c r="AD922" s="67">
        <f t="shared" si="312"/>
        <v>31893</v>
      </c>
      <c r="AE922" s="67">
        <f t="shared" si="313"/>
        <v>1584.4101397954946</v>
      </c>
      <c r="AF922" s="67">
        <f t="shared" si="320"/>
        <v>50531.592588497711</v>
      </c>
      <c r="AG922" s="67">
        <f t="shared" si="314"/>
        <v>181123.29699999999</v>
      </c>
      <c r="AH922" s="67">
        <f t="shared" si="318"/>
        <v>231654.8895884977</v>
      </c>
      <c r="AI922" s="67">
        <f t="shared" si="315"/>
        <v>35495</v>
      </c>
      <c r="AJ922" s="67">
        <f t="shared" si="319"/>
        <v>267149.8895884977</v>
      </c>
      <c r="AK922" s="67">
        <v>0</v>
      </c>
      <c r="AL922" s="67">
        <f t="shared" si="317"/>
        <v>267149.8895884977</v>
      </c>
      <c r="AM922" s="67" t="s">
        <v>2435</v>
      </c>
      <c r="AN922" s="67">
        <f>+B931/30/1.98</f>
        <v>2691.7845117845118</v>
      </c>
      <c r="AO922" s="67">
        <f t="shared" si="321"/>
        <v>535.97958333333338</v>
      </c>
      <c r="AP922" s="67">
        <f>+L328</f>
        <v>0</v>
      </c>
      <c r="AQ922" s="67"/>
      <c r="AR922" s="67"/>
      <c r="AS922" s="67"/>
      <c r="AT922" s="552"/>
    </row>
    <row r="923" spans="1:46" ht="15.75" customHeight="1" x14ac:dyDescent="0.3">
      <c r="A923" s="139" t="s">
        <v>2843</v>
      </c>
      <c r="B923" s="67">
        <f>+B29</f>
        <v>87341</v>
      </c>
      <c r="C923" s="67">
        <f>+B64</f>
        <v>87244</v>
      </c>
      <c r="D923" s="67">
        <f>+B133</f>
        <v>87148</v>
      </c>
      <c r="E923" s="67">
        <f>+B318</f>
        <v>86481</v>
      </c>
      <c r="F923" s="67">
        <f>+B313</f>
        <v>62928</v>
      </c>
      <c r="G923" s="67">
        <f>+B325</f>
        <v>-18404</v>
      </c>
      <c r="H923" s="67">
        <f>+B492</f>
        <v>24277</v>
      </c>
      <c r="I923" s="67">
        <f>+B542</f>
        <v>15193</v>
      </c>
      <c r="J923" s="67">
        <f>+B587</f>
        <v>15177</v>
      </c>
      <c r="K923" s="67">
        <f>+B654</f>
        <v>15154</v>
      </c>
      <c r="L923" s="67">
        <f>+B664</f>
        <v>12789</v>
      </c>
      <c r="M923" s="67">
        <f>+B700</f>
        <v>12769</v>
      </c>
      <c r="N923" s="67">
        <f>+B753</f>
        <v>12364</v>
      </c>
      <c r="O923" s="67">
        <f>+B763</f>
        <v>3490</v>
      </c>
      <c r="P923" s="67">
        <f>+B797</f>
        <v>3805</v>
      </c>
      <c r="Q923" s="67">
        <f>+B846</f>
        <v>3488</v>
      </c>
      <c r="R923" s="552"/>
      <c r="T923" s="619">
        <f>'Lake Pleasant Forecast'!B83</f>
        <v>1686.5533104540602</v>
      </c>
      <c r="AC923" s="553" t="s">
        <v>2353</v>
      </c>
      <c r="AD923" s="67">
        <f t="shared" si="312"/>
        <v>39398</v>
      </c>
      <c r="AE923" s="67">
        <f t="shared" si="313"/>
        <v>1595.979563906973</v>
      </c>
      <c r="AF923" s="67">
        <f t="shared" si="320"/>
        <v>62878.40285880692</v>
      </c>
      <c r="AG923" s="67">
        <f t="shared" si="314"/>
        <v>155874.38099999999</v>
      </c>
      <c r="AH923" s="67">
        <f t="shared" si="318"/>
        <v>218752.78385880691</v>
      </c>
      <c r="AI923" s="67">
        <f t="shared" si="315"/>
        <v>30331</v>
      </c>
      <c r="AJ923" s="67">
        <f t="shared" si="319"/>
        <v>249083.78385880691</v>
      </c>
      <c r="AK923" s="67">
        <v>0</v>
      </c>
      <c r="AL923" s="67">
        <f t="shared" si="317"/>
        <v>249083.78385880691</v>
      </c>
      <c r="AM923" s="67" t="s">
        <v>2435</v>
      </c>
      <c r="AN923" s="67">
        <f>+B932/31/1.98</f>
        <v>2438.6608015640277</v>
      </c>
      <c r="AO923" s="67">
        <f t="shared" si="321"/>
        <v>662.10527777777781</v>
      </c>
      <c r="AP923" s="67">
        <f>+N328</f>
        <v>0</v>
      </c>
      <c r="AQ923" s="67"/>
      <c r="AR923" s="67"/>
      <c r="AS923" s="67"/>
      <c r="AT923" s="552"/>
    </row>
    <row r="924" spans="1:46" ht="15.75" customHeight="1" x14ac:dyDescent="0.3">
      <c r="A924" s="139" t="s">
        <v>2091</v>
      </c>
      <c r="B924" s="67">
        <f>+C29</f>
        <v>151380</v>
      </c>
      <c r="C924" s="67">
        <f>+C64</f>
        <v>151232</v>
      </c>
      <c r="D924" s="67">
        <f>+C133</f>
        <v>151087</v>
      </c>
      <c r="E924" s="67">
        <f>+C318</f>
        <v>150606</v>
      </c>
      <c r="F924" s="67">
        <f>+C313</f>
        <v>99729</v>
      </c>
      <c r="G924" s="67">
        <f>+C325</f>
        <v>0</v>
      </c>
      <c r="H924" s="67">
        <f>+C492</f>
        <v>31058</v>
      </c>
      <c r="I924" s="67">
        <f>+C542</f>
        <v>14779</v>
      </c>
      <c r="J924" s="67">
        <f>+C587</f>
        <v>14763</v>
      </c>
      <c r="K924" s="67">
        <f>+C654</f>
        <v>14720</v>
      </c>
      <c r="L924" s="67">
        <f>+C664</f>
        <v>9967</v>
      </c>
      <c r="M924" s="67">
        <f>+C700</f>
        <v>9945</v>
      </c>
      <c r="N924" s="67">
        <f>+C753</f>
        <v>9182</v>
      </c>
      <c r="O924" s="67">
        <f>+C763</f>
        <v>3389</v>
      </c>
      <c r="P924" s="67">
        <f>+C797</f>
        <v>3805</v>
      </c>
      <c r="Q924" s="67">
        <f>+C846</f>
        <v>3386</v>
      </c>
      <c r="R924" s="552"/>
      <c r="T924" s="619">
        <f>'Lake Pleasant Forecast'!B85</f>
        <v>1693.1377792108647</v>
      </c>
      <c r="AC924" s="553" t="s">
        <v>2354</v>
      </c>
      <c r="AD924" s="67">
        <f t="shared" si="312"/>
        <v>102175</v>
      </c>
      <c r="AE924" s="67">
        <f t="shared" si="313"/>
        <v>1610.5024657252754</v>
      </c>
      <c r="AF924" s="67">
        <f t="shared" si="320"/>
        <v>164553.08943548004</v>
      </c>
      <c r="AG924" s="67">
        <f t="shared" si="314"/>
        <v>28188.037</v>
      </c>
      <c r="AH924" s="67">
        <f t="shared" si="318"/>
        <v>192741.12643548005</v>
      </c>
      <c r="AI924" s="67">
        <f t="shared" si="315"/>
        <v>3796</v>
      </c>
      <c r="AJ924" s="67">
        <f t="shared" si="319"/>
        <v>196537.12643548005</v>
      </c>
      <c r="AK924" s="67">
        <f>(G1018)</f>
        <v>208.27320843732522</v>
      </c>
      <c r="AL924" s="67">
        <f t="shared" si="317"/>
        <v>196328.85322704274</v>
      </c>
      <c r="AM924" s="67" t="s">
        <v>2435</v>
      </c>
      <c r="AN924" s="67">
        <f>+B933/30/1.98</f>
        <v>2059.8316498316499</v>
      </c>
      <c r="AO924" s="67">
        <f t="shared" si="321"/>
        <v>1717.1076388888889</v>
      </c>
      <c r="AP924" s="67">
        <f>+O328</f>
        <v>-29.971423768700618</v>
      </c>
      <c r="AQ924" s="67"/>
      <c r="AR924" s="67"/>
      <c r="AS924" s="67"/>
      <c r="AT924" s="552"/>
    </row>
    <row r="925" spans="1:46" ht="15.75" customHeight="1" x14ac:dyDescent="0.3">
      <c r="A925" s="139" t="s">
        <v>2234</v>
      </c>
      <c r="B925" s="67">
        <f>+D29</f>
        <v>82742</v>
      </c>
      <c r="C925" s="67">
        <f>+D64</f>
        <v>82468</v>
      </c>
      <c r="D925" s="67">
        <f>+D133</f>
        <v>82207</v>
      </c>
      <c r="E925" s="67">
        <f>+D318</f>
        <v>80155</v>
      </c>
      <c r="F925" s="67">
        <f>+D313</f>
        <v>62</v>
      </c>
      <c r="G925" s="67">
        <f>+D325</f>
        <v>-127</v>
      </c>
      <c r="H925" s="67">
        <f>+D492</f>
        <v>56016</v>
      </c>
      <c r="I925" s="67">
        <f>+D542</f>
        <v>24020</v>
      </c>
      <c r="J925" s="67">
        <f>+D587</f>
        <v>21394</v>
      </c>
      <c r="K925" s="67">
        <f>+D654</f>
        <v>20720</v>
      </c>
      <c r="L925" s="67">
        <f>+D664</f>
        <v>14750</v>
      </c>
      <c r="M925" s="67">
        <f>+D700</f>
        <v>14722</v>
      </c>
      <c r="N925" s="67">
        <f>+D753</f>
        <v>13625</v>
      </c>
      <c r="O925" s="67">
        <f>+D763</f>
        <v>3266</v>
      </c>
      <c r="P925" s="67">
        <f>+D797</f>
        <v>4757</v>
      </c>
      <c r="Q925" s="67">
        <f>+D846</f>
        <v>3261</v>
      </c>
      <c r="R925" s="552"/>
      <c r="T925" s="619">
        <f>'Lake Pleasant Forecast'!B87</f>
        <v>1696.1335207516547</v>
      </c>
      <c r="AC925" s="553" t="s">
        <v>2355</v>
      </c>
      <c r="AD925" s="67">
        <f t="shared" si="312"/>
        <v>25914</v>
      </c>
      <c r="AE925" s="67">
        <f t="shared" si="313"/>
        <v>1618.9547533206844</v>
      </c>
      <c r="AF925" s="67">
        <f t="shared" si="320"/>
        <v>41953.593477552211</v>
      </c>
      <c r="AG925" s="67">
        <f t="shared" si="314"/>
        <v>67601.351999999999</v>
      </c>
      <c r="AH925" s="67">
        <f t="shared" si="318"/>
        <v>109554.94547755222</v>
      </c>
      <c r="AI925" s="67">
        <f t="shared" si="315"/>
        <v>11146</v>
      </c>
      <c r="AJ925" s="67">
        <f t="shared" si="319"/>
        <v>120700.94547755222</v>
      </c>
      <c r="AK925" s="67">
        <f>(G1019)</f>
        <v>0</v>
      </c>
      <c r="AL925" s="67">
        <f t="shared" si="317"/>
        <v>120700.94547755222</v>
      </c>
      <c r="AM925" s="67" t="s">
        <v>2435</v>
      </c>
      <c r="AN925" s="67">
        <f>+B934/31/1.98</f>
        <v>1204.1707396546108</v>
      </c>
      <c r="AO925" s="67">
        <f>(AD925*43560/31/24/3600)</f>
        <v>421.45080645161295</v>
      </c>
      <c r="AP925" s="67">
        <f>+P328</f>
        <v>0</v>
      </c>
      <c r="AQ925" s="67"/>
      <c r="AR925" s="67"/>
      <c r="AS925" s="67"/>
      <c r="AT925" s="552"/>
    </row>
    <row r="926" spans="1:46" ht="15.75" customHeight="1" x14ac:dyDescent="0.3">
      <c r="A926" s="139" t="s">
        <v>2235</v>
      </c>
      <c r="B926" s="67">
        <f>+F29</f>
        <v>147663</v>
      </c>
      <c r="C926" s="67">
        <f>+F64</f>
        <v>147296</v>
      </c>
      <c r="D926" s="67">
        <f>+F133</f>
        <v>146946</v>
      </c>
      <c r="E926" s="67">
        <f>+F318</f>
        <v>142087</v>
      </c>
      <c r="F926" s="67">
        <f>+F313</f>
        <v>11000</v>
      </c>
      <c r="G926" s="67">
        <f>+F325</f>
        <v>-13494</v>
      </c>
      <c r="H926" s="67">
        <f>+F492</f>
        <v>109062</v>
      </c>
      <c r="I926" s="67">
        <f>+F542</f>
        <v>42399</v>
      </c>
      <c r="J926" s="67">
        <f>+F587</f>
        <v>31815</v>
      </c>
      <c r="K926" s="67">
        <f>+F654</f>
        <v>28072</v>
      </c>
      <c r="L926" s="67">
        <f>+F664</f>
        <v>20595</v>
      </c>
      <c r="M926" s="67">
        <f>+F700</f>
        <v>20558</v>
      </c>
      <c r="N926" s="67">
        <f>+F753</f>
        <v>19405</v>
      </c>
      <c r="O926" s="67">
        <f>+F763</f>
        <v>3644</v>
      </c>
      <c r="P926" s="67">
        <f>+F797</f>
        <v>5708</v>
      </c>
      <c r="Q926" s="67">
        <f>+F846</f>
        <v>3637</v>
      </c>
      <c r="R926" s="552"/>
      <c r="T926" s="619">
        <f>'Lake Pleasant Forecast'!B89</f>
        <v>1694.6692864298</v>
      </c>
      <c r="AC926" s="551"/>
      <c r="AD926" s="67"/>
      <c r="AE926" s="67"/>
      <c r="AF926" s="67"/>
      <c r="AG926" s="67"/>
      <c r="AH926" s="67"/>
      <c r="AI926" s="67"/>
      <c r="AJ926" s="67"/>
      <c r="AK926" s="67"/>
      <c r="AL926" s="67"/>
      <c r="AM926" s="67" t="s">
        <v>2435</v>
      </c>
      <c r="AN926" s="67"/>
      <c r="AO926" s="67"/>
      <c r="AP926" s="67"/>
      <c r="AQ926" s="67"/>
      <c r="AR926" s="67"/>
      <c r="AS926" s="67"/>
      <c r="AT926" s="552"/>
    </row>
    <row r="927" spans="1:46" ht="15.75" customHeight="1" x14ac:dyDescent="0.3">
      <c r="A927" s="139" t="s">
        <v>2236</v>
      </c>
      <c r="B927" s="67">
        <f>+G29</f>
        <v>152805</v>
      </c>
      <c r="C927" s="67">
        <f>+G64</f>
        <v>152380</v>
      </c>
      <c r="D927" s="67">
        <f>+G133</f>
        <v>151978</v>
      </c>
      <c r="E927" s="67">
        <f>+G318</f>
        <v>146904</v>
      </c>
      <c r="F927" s="67">
        <f>+G313</f>
        <v>18293</v>
      </c>
      <c r="G927" s="67">
        <f>+G325</f>
        <v>-15508</v>
      </c>
      <c r="H927" s="67">
        <f>+G492</f>
        <v>96451</v>
      </c>
      <c r="I927" s="67">
        <f>+G542</f>
        <v>35144</v>
      </c>
      <c r="J927" s="67">
        <f>+G587</f>
        <v>30213</v>
      </c>
      <c r="K927" s="67">
        <f>+G654</f>
        <v>27162</v>
      </c>
      <c r="L927" s="67">
        <f>+G664</f>
        <v>20547</v>
      </c>
      <c r="M927" s="67">
        <f>+G700</f>
        <v>20505</v>
      </c>
      <c r="N927" s="67">
        <f>+G753</f>
        <v>19848</v>
      </c>
      <c r="O927" s="67">
        <f>+G763</f>
        <v>4083</v>
      </c>
      <c r="P927" s="67">
        <f>+G797</f>
        <v>6705</v>
      </c>
      <c r="Q927" s="67">
        <f>+G846</f>
        <v>4029</v>
      </c>
      <c r="R927" s="552"/>
      <c r="T927" s="619">
        <f>'Lake Pleasant Forecast'!B91</f>
        <v>1693.8331531467943</v>
      </c>
      <c r="AC927" s="551" t="s">
        <v>2356</v>
      </c>
      <c r="AD927" s="67">
        <f>SUM(AD914:AD925)</f>
        <v>392896</v>
      </c>
      <c r="AE927" s="67"/>
      <c r="AF927" s="67">
        <f t="shared" ref="AF927:AL927" si="322">SUM(AF914:AF925)</f>
        <v>637136.49997565418</v>
      </c>
      <c r="AG927" s="67">
        <f t="shared" si="322"/>
        <v>1473889.831</v>
      </c>
      <c r="AH927" s="67">
        <f t="shared" si="322"/>
        <v>2111026.3309756541</v>
      </c>
      <c r="AI927" s="67">
        <f t="shared" si="322"/>
        <v>400316</v>
      </c>
      <c r="AJ927" s="67">
        <f t="shared" si="322"/>
        <v>2511342.3309756541</v>
      </c>
      <c r="AK927" s="67">
        <f t="shared" si="322"/>
        <v>34549.655773192011</v>
      </c>
      <c r="AL927" s="67">
        <f t="shared" si="322"/>
        <v>2476792.6752024619</v>
      </c>
      <c r="AM927" s="67"/>
      <c r="AN927" s="67"/>
      <c r="AO927" s="67"/>
      <c r="AP927" s="67"/>
      <c r="AQ927" s="67"/>
      <c r="AR927" s="67"/>
      <c r="AS927" s="67"/>
      <c r="AT927" s="552"/>
    </row>
    <row r="928" spans="1:46" ht="15.75" customHeight="1" x14ac:dyDescent="0.3">
      <c r="A928" s="139" t="s">
        <v>2237</v>
      </c>
      <c r="B928" s="67">
        <f>+H29</f>
        <v>106823</v>
      </c>
      <c r="C928" s="67">
        <f>+H64</f>
        <v>106406</v>
      </c>
      <c r="D928" s="67">
        <f>+H133</f>
        <v>106010</v>
      </c>
      <c r="E928" s="67">
        <f>+H318</f>
        <v>99323</v>
      </c>
      <c r="F928" s="67">
        <f>+H313</f>
        <v>1475</v>
      </c>
      <c r="G928" s="67">
        <f>+H325</f>
        <v>-84160</v>
      </c>
      <c r="H928" s="67">
        <f>+H492</f>
        <v>127265</v>
      </c>
      <c r="I928" s="67">
        <f>+H542</f>
        <v>45734</v>
      </c>
      <c r="J928" s="67">
        <f>+H587</f>
        <v>33985</v>
      </c>
      <c r="K928" s="67">
        <f>+H654</f>
        <v>28905</v>
      </c>
      <c r="L928" s="67">
        <f>+H664</f>
        <v>21638</v>
      </c>
      <c r="M928" s="67">
        <f>+H700</f>
        <v>21594</v>
      </c>
      <c r="N928" s="67">
        <f>+H753</f>
        <v>20197</v>
      </c>
      <c r="O928" s="67">
        <f>+H763</f>
        <v>4389</v>
      </c>
      <c r="P928" s="67">
        <f>+H797</f>
        <v>6850</v>
      </c>
      <c r="Q928" s="67">
        <f>+H846</f>
        <v>4380</v>
      </c>
      <c r="R928" s="552"/>
      <c r="T928" s="619">
        <f>'Lake Pleasant Forecast'!B93</f>
        <v>1679.5863747198991</v>
      </c>
      <c r="AC928" s="551"/>
      <c r="AD928" s="67"/>
      <c r="AE928" s="67"/>
      <c r="AF928" s="67"/>
      <c r="AG928" s="67"/>
      <c r="AH928" s="67"/>
      <c r="AI928" s="67"/>
      <c r="AJ928" s="67"/>
      <c r="AK928" s="67"/>
      <c r="AL928" s="67"/>
      <c r="AM928" s="67"/>
      <c r="AN928" s="67"/>
      <c r="AO928" s="67"/>
      <c r="AP928" s="67"/>
      <c r="AQ928" s="67"/>
      <c r="AR928" s="67"/>
      <c r="AS928" s="67"/>
      <c r="AT928" s="552"/>
    </row>
    <row r="929" spans="1:50" ht="15.75" customHeight="1" x14ac:dyDescent="0.3">
      <c r="A929" s="139" t="s">
        <v>1504</v>
      </c>
      <c r="B929" s="67">
        <f>+J29</f>
        <v>97804</v>
      </c>
      <c r="C929" s="67">
        <f>+J64</f>
        <v>97388</v>
      </c>
      <c r="D929" s="67">
        <f>+J133</f>
        <v>96994</v>
      </c>
      <c r="E929" s="67">
        <f>+J318</f>
        <v>89070</v>
      </c>
      <c r="F929" s="67">
        <f>+J313</f>
        <v>0</v>
      </c>
      <c r="G929" s="67">
        <f>+J325</f>
        <v>-93396</v>
      </c>
      <c r="H929" s="67">
        <f>+J492</f>
        <v>131500</v>
      </c>
      <c r="I929" s="67">
        <f>+J542</f>
        <v>52040</v>
      </c>
      <c r="J929" s="67">
        <f>+J587</f>
        <v>36716</v>
      </c>
      <c r="K929" s="67">
        <f>+J654</f>
        <v>30366</v>
      </c>
      <c r="L929" s="67">
        <f>+J664</f>
        <v>22884</v>
      </c>
      <c r="M929" s="67">
        <f>+J700</f>
        <v>22845</v>
      </c>
      <c r="N929" s="67">
        <f>+J753</f>
        <v>21410</v>
      </c>
      <c r="O929" s="67">
        <f>+J763</f>
        <v>4495</v>
      </c>
      <c r="P929" s="67">
        <f>+J797</f>
        <v>6184</v>
      </c>
      <c r="Q929" s="67">
        <f>+J846</f>
        <v>4488</v>
      </c>
      <c r="R929" s="552"/>
      <c r="T929" s="619">
        <f>'Lake Pleasant Forecast'!B95</f>
        <v>1660.904762840722</v>
      </c>
      <c r="AC929" s="551" t="s">
        <v>1696</v>
      </c>
      <c r="AD929" s="67"/>
      <c r="AE929" s="67"/>
      <c r="AF929" s="67"/>
      <c r="AG929" s="67"/>
      <c r="AH929" s="67"/>
      <c r="AI929" s="67"/>
      <c r="AJ929" s="67"/>
      <c r="AK929" s="67"/>
      <c r="AL929" s="67"/>
      <c r="AM929" s="67"/>
      <c r="AN929" s="67"/>
      <c r="AO929" s="67"/>
      <c r="AP929" s="67"/>
      <c r="AQ929" s="67"/>
      <c r="AR929" s="67"/>
      <c r="AS929" s="67"/>
      <c r="AT929" s="552"/>
    </row>
    <row r="930" spans="1:50" ht="15.75" customHeight="1" x14ac:dyDescent="0.3">
      <c r="A930" s="139" t="s">
        <v>1505</v>
      </c>
      <c r="B930" s="67">
        <f>+K29</f>
        <v>103954</v>
      </c>
      <c r="C930" s="67">
        <f>+K64</f>
        <v>103620</v>
      </c>
      <c r="D930" s="67">
        <f>+K133</f>
        <v>103302</v>
      </c>
      <c r="E930" s="67">
        <f>+K318</f>
        <v>95102</v>
      </c>
      <c r="F930" s="67">
        <f>+K313</f>
        <v>29</v>
      </c>
      <c r="G930" s="67">
        <f>+K325</f>
        <v>-75286</v>
      </c>
      <c r="H930" s="67">
        <f>+K492</f>
        <v>124832</v>
      </c>
      <c r="I930" s="67">
        <f>+K542</f>
        <v>53436</v>
      </c>
      <c r="J930" s="67">
        <f>+K587</f>
        <v>37339</v>
      </c>
      <c r="K930" s="67">
        <f>+K654</f>
        <v>29880</v>
      </c>
      <c r="L930" s="67">
        <f>+K664</f>
        <v>22125</v>
      </c>
      <c r="M930" s="67">
        <f>+K700</f>
        <v>22089</v>
      </c>
      <c r="N930" s="67">
        <f>+K753</f>
        <v>20262</v>
      </c>
      <c r="O930" s="67">
        <f>+K763</f>
        <v>4241</v>
      </c>
      <c r="P930" s="67">
        <f>+K797</f>
        <v>5708</v>
      </c>
      <c r="Q930" s="67">
        <f>+K846</f>
        <v>4235</v>
      </c>
      <c r="R930" s="552"/>
      <c r="T930" s="619">
        <f>'Lake Pleasant Forecast'!B97</f>
        <v>1646.2006725314106</v>
      </c>
      <c r="AC930" s="551" t="s">
        <v>785</v>
      </c>
      <c r="AD930" s="67"/>
      <c r="AE930" s="67"/>
      <c r="AF930" s="67"/>
      <c r="AG930" s="67"/>
      <c r="AH930" s="67"/>
      <c r="AI930" s="67"/>
      <c r="AJ930" s="67"/>
      <c r="AK930" s="67"/>
      <c r="AL930" s="67"/>
      <c r="AM930" s="67"/>
      <c r="AN930" s="67"/>
      <c r="AO930" s="67"/>
      <c r="AP930" s="67"/>
      <c r="AQ930" s="67"/>
      <c r="AR930" s="67"/>
      <c r="AS930" s="67"/>
      <c r="AT930" s="552"/>
    </row>
    <row r="931" spans="1:50" ht="15.75" customHeight="1" x14ac:dyDescent="0.3">
      <c r="A931" s="139" t="s">
        <v>1506</v>
      </c>
      <c r="B931" s="67">
        <f>+L29</f>
        <v>159892</v>
      </c>
      <c r="C931" s="67">
        <f>+L64</f>
        <v>159576</v>
      </c>
      <c r="D931" s="67">
        <f>+L133</f>
        <v>159275</v>
      </c>
      <c r="E931" s="67">
        <f>+L318</f>
        <v>154021</v>
      </c>
      <c r="F931" s="67">
        <f>+L313</f>
        <v>31893</v>
      </c>
      <c r="G931" s="67">
        <f>+L325</f>
        <v>0</v>
      </c>
      <c r="H931" s="67">
        <f>+L492</f>
        <v>80100</v>
      </c>
      <c r="I931" s="67">
        <f>+L542</f>
        <v>29829</v>
      </c>
      <c r="J931" s="67">
        <f>+L587</f>
        <v>22771</v>
      </c>
      <c r="K931" s="67">
        <f>+L654</f>
        <v>19059</v>
      </c>
      <c r="L931" s="67">
        <f>+L664</f>
        <v>17576</v>
      </c>
      <c r="M931" s="67">
        <f>+L700</f>
        <v>17542</v>
      </c>
      <c r="N931" s="67">
        <f>+L753</f>
        <v>16428</v>
      </c>
      <c r="O931" s="67">
        <f>+L763</f>
        <v>4051</v>
      </c>
      <c r="P931" s="67">
        <f>+L797</f>
        <v>5232</v>
      </c>
      <c r="Q931" s="67">
        <f>+L846</f>
        <v>4045</v>
      </c>
      <c r="R931" s="552"/>
      <c r="T931" s="619">
        <f>'Lake Pleasant Forecast'!B99</f>
        <v>1648.80748967049</v>
      </c>
      <c r="AC931" s="551"/>
      <c r="AD931" s="67"/>
      <c r="AE931" s="67"/>
      <c r="AF931" s="67"/>
      <c r="AG931" s="67"/>
      <c r="AH931" s="67"/>
      <c r="AI931" s="67"/>
      <c r="AJ931" s="67"/>
      <c r="AK931" s="67"/>
      <c r="AL931" s="67"/>
      <c r="AM931" s="67"/>
      <c r="AN931" s="67"/>
      <c r="AO931" s="67"/>
      <c r="AP931" s="67"/>
      <c r="AQ931" s="67"/>
      <c r="AR931" s="67"/>
      <c r="AS931" s="67"/>
      <c r="AT931" s="552"/>
    </row>
    <row r="932" spans="1:50" ht="15.75" customHeight="1" x14ac:dyDescent="0.3">
      <c r="A932" s="139" t="s">
        <v>1507</v>
      </c>
      <c r="B932" s="67">
        <f>+N29</f>
        <v>149685</v>
      </c>
      <c r="C932" s="67">
        <f>+N64</f>
        <v>149400</v>
      </c>
      <c r="D932" s="67">
        <f>+N133</f>
        <v>149128</v>
      </c>
      <c r="E932" s="67">
        <f>+N318</f>
        <v>143800</v>
      </c>
      <c r="F932" s="67">
        <f>+N313</f>
        <v>39398</v>
      </c>
      <c r="G932" s="67">
        <f>+N325</f>
        <v>0</v>
      </c>
      <c r="H932" s="67">
        <f>+N492</f>
        <v>72203</v>
      </c>
      <c r="I932" s="67">
        <f>+N542</f>
        <v>21829</v>
      </c>
      <c r="J932" s="67">
        <f>+N587</f>
        <v>17853</v>
      </c>
      <c r="K932" s="67">
        <f>+N654</f>
        <v>16455</v>
      </c>
      <c r="L932" s="67">
        <f>+N664</f>
        <v>15718</v>
      </c>
      <c r="M932" s="67">
        <f>+N700</f>
        <v>15689</v>
      </c>
      <c r="N932" s="67">
        <f>+N753</f>
        <v>14516</v>
      </c>
      <c r="O932" s="67">
        <f>+N763</f>
        <v>3791</v>
      </c>
      <c r="P932" s="67">
        <f>+N797</f>
        <v>4757</v>
      </c>
      <c r="Q932" s="67">
        <f>+N846</f>
        <v>3786</v>
      </c>
      <c r="R932" s="552"/>
      <c r="T932" s="619">
        <f>'Lake Pleasant Forecast'!B101</f>
        <v>1657.7182601211505</v>
      </c>
      <c r="AC932" s="551" t="s">
        <v>440</v>
      </c>
      <c r="AD932" s="67"/>
      <c r="AE932" s="67"/>
      <c r="AF932" s="67"/>
      <c r="AG932" s="67"/>
      <c r="AH932" s="67"/>
      <c r="AI932" s="67"/>
      <c r="AJ932" s="67"/>
      <c r="AK932" s="67"/>
      <c r="AL932" s="67"/>
      <c r="AM932" s="67"/>
      <c r="AN932" s="67"/>
      <c r="AO932" s="67"/>
      <c r="AP932" s="67"/>
      <c r="AQ932" s="67"/>
      <c r="AR932" s="67"/>
      <c r="AS932" s="67"/>
      <c r="AT932" s="552"/>
    </row>
    <row r="933" spans="1:50" ht="15.75" customHeight="1" x14ac:dyDescent="0.3">
      <c r="A933" s="139" t="s">
        <v>1508</v>
      </c>
      <c r="B933" s="67">
        <f>+O29</f>
        <v>122354</v>
      </c>
      <c r="C933" s="67">
        <f>+O64</f>
        <v>122119</v>
      </c>
      <c r="D933" s="67">
        <f>+O133</f>
        <v>121893</v>
      </c>
      <c r="E933" s="67">
        <f>+O318</f>
        <v>120073</v>
      </c>
      <c r="F933" s="67">
        <f>+O313</f>
        <v>102175</v>
      </c>
      <c r="G933" s="67">
        <f>+O325</f>
        <v>-1783</v>
      </c>
      <c r="H933" s="67">
        <f>+O492</f>
        <v>6457</v>
      </c>
      <c r="I933" s="67">
        <f>+O542</f>
        <v>1205</v>
      </c>
      <c r="J933" s="67">
        <f>+O587</f>
        <v>1183</v>
      </c>
      <c r="K933" s="67">
        <f>+O654</f>
        <v>1117</v>
      </c>
      <c r="L933" s="67">
        <f>+O664</f>
        <v>1050</v>
      </c>
      <c r="M933" s="67">
        <f>+O700</f>
        <v>1027</v>
      </c>
      <c r="N933" s="67">
        <f>+O753</f>
        <v>816</v>
      </c>
      <c r="O933" s="67">
        <f>+O763</f>
        <v>791</v>
      </c>
      <c r="P933" s="67">
        <f>+O797</f>
        <v>4281</v>
      </c>
      <c r="Q933" s="67">
        <f>+O846</f>
        <v>788</v>
      </c>
      <c r="R933" s="552"/>
      <c r="T933" s="619">
        <f>'Lake Pleasant Forecast'!B103</f>
        <v>1668.9037991016071</v>
      </c>
      <c r="AC933" s="551"/>
      <c r="AD933" s="67"/>
      <c r="AE933" s="67"/>
      <c r="AF933" s="67"/>
      <c r="AG933" s="67"/>
      <c r="AH933" s="67"/>
      <c r="AI933" s="67"/>
      <c r="AJ933" s="67"/>
      <c r="AK933" s="67"/>
      <c r="AL933" s="67"/>
      <c r="AM933" s="67"/>
      <c r="AN933" s="67"/>
      <c r="AO933" s="67"/>
      <c r="AP933" s="67"/>
      <c r="AQ933" s="67"/>
      <c r="AR933" s="67"/>
      <c r="AS933" s="67"/>
      <c r="AT933" s="552"/>
    </row>
    <row r="934" spans="1:50" ht="15.75" customHeight="1" thickBot="1" x14ac:dyDescent="0.35">
      <c r="A934" s="139" t="s">
        <v>1509</v>
      </c>
      <c r="B934" s="67">
        <f>+P29</f>
        <v>73912</v>
      </c>
      <c r="C934" s="67">
        <f>+P64</f>
        <v>73726</v>
      </c>
      <c r="D934" s="67">
        <f>+P133</f>
        <v>73547</v>
      </c>
      <c r="E934" s="67">
        <f>+P318</f>
        <v>70376</v>
      </c>
      <c r="F934" s="67">
        <f>+P313</f>
        <v>25914</v>
      </c>
      <c r="G934" s="67">
        <f>+P325</f>
        <v>0</v>
      </c>
      <c r="H934" s="67">
        <f>+P492</f>
        <v>33349</v>
      </c>
      <c r="I934" s="67">
        <f>+P542</f>
        <v>7285</v>
      </c>
      <c r="J934" s="67">
        <f>+P587</f>
        <v>6999</v>
      </c>
      <c r="K934" s="67">
        <f>+P654</f>
        <v>6917</v>
      </c>
      <c r="L934" s="67">
        <f>+P664</f>
        <v>4179</v>
      </c>
      <c r="M934" s="67">
        <f>+P700</f>
        <v>4160</v>
      </c>
      <c r="N934" s="67">
        <f>+P753</f>
        <v>3938</v>
      </c>
      <c r="O934" s="67">
        <f>+P763</f>
        <v>16</v>
      </c>
      <c r="P934" s="67">
        <f>+P797</f>
        <v>3805</v>
      </c>
      <c r="Q934" s="67">
        <f>+P846</f>
        <v>14</v>
      </c>
      <c r="R934" s="552"/>
      <c r="T934" s="619">
        <f>'Lake Pleasant Forecast'!B105</f>
        <v>1675.4137510075911</v>
      </c>
      <c r="AC934" s="554" t="s">
        <v>1480</v>
      </c>
      <c r="AD934" s="555"/>
      <c r="AE934" s="555"/>
      <c r="AF934" s="555"/>
      <c r="AG934" s="555"/>
      <c r="AH934" s="555"/>
      <c r="AI934" s="555"/>
      <c r="AJ934" s="555"/>
      <c r="AK934" s="555"/>
      <c r="AL934" s="555"/>
      <c r="AM934" s="555"/>
      <c r="AN934" s="555"/>
      <c r="AO934" s="555"/>
      <c r="AP934" s="555"/>
      <c r="AQ934" s="555"/>
      <c r="AR934" s="555"/>
      <c r="AS934" s="555"/>
      <c r="AT934" s="556"/>
    </row>
    <row r="935" spans="1:50" ht="15.75" customHeight="1" x14ac:dyDescent="0.3">
      <c r="A935" s="553"/>
      <c r="B935" s="67"/>
      <c r="C935" s="67"/>
      <c r="D935" s="67"/>
      <c r="E935" s="67"/>
      <c r="F935" s="67"/>
      <c r="G935" s="67"/>
      <c r="H935" s="67"/>
      <c r="I935" s="67"/>
      <c r="J935" s="67"/>
      <c r="K935" s="67"/>
      <c r="L935" s="67"/>
      <c r="M935" s="67"/>
      <c r="N935" s="67"/>
      <c r="O935" s="67"/>
      <c r="P935" s="67"/>
      <c r="Q935" s="67"/>
      <c r="R935" s="552"/>
    </row>
    <row r="936" spans="1:50" ht="15.75" customHeight="1" thickBot="1" x14ac:dyDescent="0.35">
      <c r="A936" s="553" t="s">
        <v>2356</v>
      </c>
      <c r="B936" s="67">
        <f t="shared" ref="B936:Q936" si="323">SUM(B923:B934)</f>
        <v>1436355</v>
      </c>
      <c r="C936" s="67">
        <f t="shared" si="323"/>
        <v>1432855</v>
      </c>
      <c r="D936" s="67">
        <f t="shared" si="323"/>
        <v>1429515</v>
      </c>
      <c r="E936" s="67">
        <f t="shared" si="323"/>
        <v>1377998</v>
      </c>
      <c r="F936" s="67">
        <f t="shared" si="323"/>
        <v>392896</v>
      </c>
      <c r="G936" s="67">
        <f t="shared" si="323"/>
        <v>-302158</v>
      </c>
      <c r="H936" s="67">
        <f t="shared" si="323"/>
        <v>892570</v>
      </c>
      <c r="I936" s="67">
        <f t="shared" si="323"/>
        <v>342893</v>
      </c>
      <c r="J936" s="67">
        <f t="shared" si="323"/>
        <v>270208</v>
      </c>
      <c r="K936" s="67">
        <f t="shared" si="323"/>
        <v>238527</v>
      </c>
      <c r="L936" s="67">
        <f t="shared" si="323"/>
        <v>183818</v>
      </c>
      <c r="M936" s="67">
        <f t="shared" si="323"/>
        <v>183445</v>
      </c>
      <c r="N936" s="67">
        <f t="shared" si="323"/>
        <v>171991</v>
      </c>
      <c r="O936" s="67">
        <f t="shared" si="323"/>
        <v>39646</v>
      </c>
      <c r="P936" s="67">
        <f t="shared" si="323"/>
        <v>61597</v>
      </c>
      <c r="Q936" s="67">
        <f t="shared" si="323"/>
        <v>39537</v>
      </c>
      <c r="R936" s="552"/>
    </row>
    <row r="937" spans="1:50" ht="15.75" customHeight="1" thickBot="1" x14ac:dyDescent="0.35">
      <c r="A937" s="581"/>
      <c r="B937" s="581"/>
      <c r="C937" s="581"/>
      <c r="D937" s="581"/>
      <c r="E937" s="581"/>
      <c r="F937" s="581"/>
      <c r="G937" s="581"/>
      <c r="H937" s="581"/>
      <c r="I937" s="581"/>
      <c r="J937" s="581"/>
      <c r="K937" s="581"/>
      <c r="L937" s="581"/>
      <c r="M937" s="581"/>
      <c r="N937" s="581"/>
      <c r="O937" s="581"/>
      <c r="P937" s="581"/>
      <c r="Q937" s="581"/>
      <c r="R937" s="556"/>
      <c r="AC937" s="546"/>
      <c r="AD937" s="547"/>
      <c r="AE937" s="547"/>
      <c r="AF937" s="547"/>
      <c r="AG937" s="547"/>
      <c r="AH937" s="547"/>
      <c r="AI937" s="547"/>
      <c r="AJ937" s="547"/>
      <c r="AK937" s="547"/>
      <c r="AL937" s="547"/>
      <c r="AM937" s="547"/>
      <c r="AN937" s="547"/>
      <c r="AO937" s="547"/>
      <c r="AP937" s="547"/>
      <c r="AQ937" s="547"/>
      <c r="AR937" s="547"/>
      <c r="AS937" s="678" t="str">
        <f>+Q1</f>
        <v xml:space="preserve">PRINTED:  </v>
      </c>
      <c r="AT937" s="682">
        <f ca="1">+R1</f>
        <v>44881.729633912037</v>
      </c>
      <c r="AU937" s="560"/>
      <c r="AW937" s="71" t="s">
        <v>253</v>
      </c>
      <c r="AX937" s="67"/>
    </row>
    <row r="938" spans="1:50" ht="15.75" customHeight="1" x14ac:dyDescent="0.35">
      <c r="A938" s="683"/>
      <c r="B938" s="683"/>
      <c r="C938" s="683"/>
      <c r="D938" s="683"/>
      <c r="E938" s="683"/>
      <c r="F938" s="683"/>
      <c r="G938" s="683"/>
      <c r="H938" s="683"/>
      <c r="I938" s="683"/>
      <c r="J938" s="683"/>
      <c r="K938" s="683"/>
      <c r="L938" s="683"/>
      <c r="M938" s="683"/>
      <c r="N938" s="683"/>
      <c r="O938" s="683"/>
      <c r="P938" s="683"/>
      <c r="Q938" s="683"/>
      <c r="R938" s="547"/>
      <c r="AC938" s="551"/>
      <c r="AD938" s="67"/>
      <c r="AE938" s="71" t="s">
        <v>2125</v>
      </c>
      <c r="AF938" s="67"/>
      <c r="AG938" s="67"/>
      <c r="AH938" s="67"/>
      <c r="AI938" s="67"/>
      <c r="AJ938" s="67"/>
      <c r="AK938" s="67"/>
      <c r="AL938" s="67"/>
      <c r="AM938" s="67"/>
      <c r="AN938" s="215"/>
      <c r="AO938" s="71" t="s">
        <v>1456</v>
      </c>
      <c r="AP938" s="67"/>
      <c r="AQ938" s="67"/>
      <c r="AR938" s="67"/>
      <c r="AS938" s="67"/>
      <c r="AT938" s="67"/>
      <c r="AU938" s="561"/>
      <c r="AW938" s="67" t="s">
        <v>254</v>
      </c>
      <c r="AX938" s="67"/>
    </row>
    <row r="939" spans="1:50" ht="16.5" customHeight="1" x14ac:dyDescent="0.3">
      <c r="A939" s="553" t="s">
        <v>852</v>
      </c>
      <c r="B939" s="67"/>
      <c r="C939" s="67"/>
      <c r="D939" s="67"/>
      <c r="E939" s="67"/>
      <c r="F939" s="67"/>
      <c r="G939" s="67"/>
      <c r="H939" s="67"/>
      <c r="I939" s="67"/>
      <c r="J939" s="67"/>
      <c r="K939" s="67"/>
      <c r="L939" s="67"/>
      <c r="M939" s="67"/>
      <c r="N939" s="67"/>
      <c r="O939" s="67"/>
      <c r="P939" s="67"/>
      <c r="Q939" s="67"/>
      <c r="R939" s="67"/>
      <c r="AC939" s="551"/>
      <c r="AD939" s="67"/>
      <c r="AE939" s="67"/>
      <c r="AF939" s="67"/>
      <c r="AG939" s="67" t="s">
        <v>852</v>
      </c>
      <c r="AH939" s="69" t="str">
        <f>+A8</f>
        <v>Revised:  11/4/2019</v>
      </c>
      <c r="AI939" s="67"/>
      <c r="AJ939" s="67"/>
      <c r="AK939" s="67"/>
      <c r="AL939" s="67"/>
      <c r="AM939" s="67"/>
      <c r="AN939" s="67"/>
      <c r="AO939" s="67"/>
      <c r="AP939" s="67"/>
      <c r="AQ939" s="67"/>
      <c r="AR939" s="67" t="s">
        <v>852</v>
      </c>
      <c r="AS939" s="69" t="str">
        <f>+A8</f>
        <v>Revised:  11/4/2019</v>
      </c>
      <c r="AT939" s="67"/>
      <c r="AU939" s="561"/>
      <c r="AW939" s="67"/>
      <c r="AX939" s="67"/>
    </row>
    <row r="940" spans="1:50" ht="15.75" customHeight="1" x14ac:dyDescent="0.3">
      <c r="A940" s="70"/>
      <c r="B940" s="67"/>
      <c r="C940" s="67"/>
      <c r="D940" s="67"/>
      <c r="E940" s="67"/>
      <c r="F940" s="67"/>
      <c r="G940" s="67"/>
      <c r="H940" s="67"/>
      <c r="I940" s="67"/>
      <c r="J940" s="67"/>
      <c r="K940" s="67"/>
      <c r="L940" s="67"/>
      <c r="M940" s="67"/>
      <c r="N940" s="67"/>
      <c r="O940" s="67"/>
      <c r="P940" s="67"/>
      <c r="Q940" s="67"/>
      <c r="R940" s="67"/>
      <c r="AC940" s="551"/>
      <c r="AD940" s="67"/>
      <c r="AE940" s="67"/>
      <c r="AF940" s="67" t="s">
        <v>2545</v>
      </c>
      <c r="AG940" s="67"/>
      <c r="AH940" s="67"/>
      <c r="AI940" s="67"/>
      <c r="AJ940" s="67"/>
      <c r="AK940" s="67"/>
      <c r="AL940" s="67"/>
      <c r="AM940" s="67"/>
      <c r="AN940" s="67"/>
      <c r="AO940" s="67"/>
      <c r="AP940" s="67" t="s">
        <v>2545</v>
      </c>
      <c r="AQ940" s="67"/>
      <c r="AR940" s="67"/>
      <c r="AS940" s="67"/>
      <c r="AT940" s="67"/>
      <c r="AU940" s="561"/>
      <c r="AW940" s="67" t="s">
        <v>2435</v>
      </c>
      <c r="AX940" s="70" t="s">
        <v>335</v>
      </c>
    </row>
    <row r="941" spans="1:50" ht="15.75" customHeight="1" x14ac:dyDescent="0.3">
      <c r="A941" s="139"/>
      <c r="AC941" s="551"/>
      <c r="AD941" s="67"/>
      <c r="AE941" s="67"/>
      <c r="AF941" s="67"/>
      <c r="AG941" s="67"/>
      <c r="AH941" s="67"/>
      <c r="AI941" s="67"/>
      <c r="AJ941" s="67"/>
      <c r="AK941" s="67"/>
      <c r="AL941" s="67"/>
      <c r="AM941" s="67"/>
      <c r="AN941" s="67"/>
      <c r="AO941" s="67"/>
      <c r="AP941" s="67"/>
      <c r="AQ941" s="67"/>
      <c r="AR941" s="67"/>
      <c r="AS941" s="67"/>
      <c r="AT941" s="67"/>
      <c r="AU941" s="561"/>
      <c r="AW941" s="70" t="s">
        <v>335</v>
      </c>
      <c r="AX941" s="70" t="s">
        <v>956</v>
      </c>
    </row>
    <row r="942" spans="1:50" ht="15.75" customHeight="1" thickBot="1" x14ac:dyDescent="0.35">
      <c r="A942" s="139"/>
      <c r="AC942" s="551"/>
      <c r="AD942" s="67"/>
      <c r="AE942" s="67"/>
      <c r="AF942" s="67"/>
      <c r="AG942" s="67">
        <f>+A5</f>
        <v>2019</v>
      </c>
      <c r="AH942" s="67"/>
      <c r="AI942" s="67"/>
      <c r="AJ942" s="67"/>
      <c r="AK942" s="67"/>
      <c r="AL942" s="67"/>
      <c r="AM942" s="67"/>
      <c r="AN942" s="67"/>
      <c r="AO942" s="67"/>
      <c r="AP942" s="67"/>
      <c r="AQ942" s="67"/>
      <c r="AR942" s="67">
        <f>+A5</f>
        <v>2019</v>
      </c>
      <c r="AS942" s="67"/>
      <c r="AT942" s="67"/>
      <c r="AU942" s="561"/>
      <c r="AW942" s="70" t="s">
        <v>998</v>
      </c>
      <c r="AX942" s="70" t="s">
        <v>2201</v>
      </c>
    </row>
    <row r="943" spans="1:50" ht="15.75" customHeight="1" x14ac:dyDescent="0.3">
      <c r="A943" s="651"/>
      <c r="B943" s="782" t="s">
        <v>1898</v>
      </c>
      <c r="C943" s="782"/>
      <c r="D943" s="782"/>
      <c r="E943" s="782"/>
      <c r="F943" s="782"/>
      <c r="G943" s="782"/>
      <c r="H943" s="782"/>
      <c r="I943" s="782"/>
      <c r="J943" s="782"/>
      <c r="K943" s="782"/>
      <c r="L943" s="782"/>
      <c r="M943" s="782"/>
      <c r="N943" s="782"/>
      <c r="O943" s="782"/>
      <c r="P943" s="782"/>
      <c r="Q943" s="678" t="str">
        <f>+Q1</f>
        <v xml:space="preserve">PRINTED:  </v>
      </c>
      <c r="R943" s="679">
        <f ca="1">+R1</f>
        <v>44881.729633912037</v>
      </c>
      <c r="AC943" s="551"/>
      <c r="AD943" s="67"/>
      <c r="AE943" s="67"/>
      <c r="AF943" s="67"/>
      <c r="AG943" s="67" t="s">
        <v>1199</v>
      </c>
      <c r="AH943" s="67"/>
      <c r="AI943" s="67"/>
      <c r="AJ943" s="67"/>
      <c r="AK943" s="67"/>
      <c r="AL943" s="67"/>
      <c r="AM943" s="67"/>
      <c r="AN943" s="67"/>
      <c r="AO943" s="67"/>
      <c r="AP943" s="67"/>
      <c r="AQ943" s="67"/>
      <c r="AR943" s="67" t="s">
        <v>1199</v>
      </c>
      <c r="AS943" s="67"/>
      <c r="AT943" s="67"/>
      <c r="AU943" s="561"/>
      <c r="AW943" s="70" t="s">
        <v>1353</v>
      </c>
      <c r="AX943" s="70" t="s">
        <v>1353</v>
      </c>
    </row>
    <row r="944" spans="1:50" ht="15.75" customHeight="1" x14ac:dyDescent="0.3">
      <c r="A944" s="553"/>
      <c r="B944" s="786" t="str">
        <f>+A8</f>
        <v>Revised:  11/4/2019</v>
      </c>
      <c r="C944" s="786"/>
      <c r="D944" s="786"/>
      <c r="E944" s="786"/>
      <c r="F944" s="786"/>
      <c r="G944" s="786"/>
      <c r="H944" s="786"/>
      <c r="I944" s="786"/>
      <c r="J944" s="786"/>
      <c r="K944" s="786"/>
      <c r="L944" s="786"/>
      <c r="M944" s="786"/>
      <c r="N944" s="786"/>
      <c r="O944" s="786"/>
      <c r="P944" s="786"/>
      <c r="Q944" s="67"/>
      <c r="R944" s="552"/>
      <c r="AC944" s="551"/>
      <c r="AD944" s="67"/>
      <c r="AE944" s="67"/>
      <c r="AF944" s="67"/>
      <c r="AG944" s="67"/>
      <c r="AH944" s="67"/>
      <c r="AI944" s="67"/>
      <c r="AJ944" s="67"/>
      <c r="AK944" s="67"/>
      <c r="AL944" s="67"/>
      <c r="AM944" s="67"/>
      <c r="AN944" s="67"/>
      <c r="AO944" s="67"/>
      <c r="AP944" s="67"/>
      <c r="AQ944" s="67"/>
      <c r="AR944" s="67"/>
      <c r="AS944" s="67"/>
      <c r="AT944" s="67"/>
      <c r="AU944" s="561"/>
      <c r="AW944" s="67">
        <f t="shared" ref="AW944:AW955" si="324">SUM(L980:Q980)</f>
        <v>9404</v>
      </c>
      <c r="AX944" s="72">
        <v>2.4700000000000002</v>
      </c>
    </row>
    <row r="945" spans="1:50" ht="15.75" customHeight="1" x14ac:dyDescent="0.3">
      <c r="A945" s="553"/>
      <c r="B945" s="786" t="s">
        <v>2878</v>
      </c>
      <c r="C945" s="786"/>
      <c r="D945" s="786"/>
      <c r="E945" s="786"/>
      <c r="F945" s="786"/>
      <c r="G945" s="786"/>
      <c r="H945" s="786"/>
      <c r="I945" s="786"/>
      <c r="J945" s="786"/>
      <c r="K945" s="786"/>
      <c r="L945" s="786"/>
      <c r="M945" s="786"/>
      <c r="N945" s="786"/>
      <c r="O945" s="786"/>
      <c r="P945" s="786"/>
      <c r="Q945" s="67"/>
      <c r="R945" s="552"/>
      <c r="AC945" s="551" t="s">
        <v>1307</v>
      </c>
      <c r="AD945" s="70" t="s">
        <v>1308</v>
      </c>
      <c r="AE945" s="70" t="s">
        <v>1309</v>
      </c>
      <c r="AF945" s="70" t="s">
        <v>1029</v>
      </c>
      <c r="AG945" s="70" t="s">
        <v>1030</v>
      </c>
      <c r="AH945" s="70" t="s">
        <v>284</v>
      </c>
      <c r="AI945" s="67"/>
      <c r="AJ945" s="70" t="s">
        <v>2356</v>
      </c>
      <c r="AK945" s="67"/>
      <c r="AL945" s="67"/>
      <c r="AM945" s="67"/>
      <c r="AN945" s="67" t="s">
        <v>1307</v>
      </c>
      <c r="AO945" s="70" t="s">
        <v>1308</v>
      </c>
      <c r="AP945" s="70" t="s">
        <v>1309</v>
      </c>
      <c r="AQ945" s="70" t="s">
        <v>1029</v>
      </c>
      <c r="AR945" s="70" t="s">
        <v>1030</v>
      </c>
      <c r="AS945" s="70" t="s">
        <v>284</v>
      </c>
      <c r="AT945" s="70" t="s">
        <v>2356</v>
      </c>
      <c r="AU945" s="561"/>
      <c r="AW945" s="67">
        <f t="shared" si="324"/>
        <v>7929</v>
      </c>
      <c r="AX945" s="72">
        <v>2.4700000000000002</v>
      </c>
    </row>
    <row r="946" spans="1:50" ht="15.75" customHeight="1" x14ac:dyDescent="0.3">
      <c r="A946" s="553"/>
      <c r="B946" s="786"/>
      <c r="C946" s="786"/>
      <c r="D946" s="786"/>
      <c r="E946" s="786"/>
      <c r="F946" s="786"/>
      <c r="G946" s="786"/>
      <c r="H946" s="786"/>
      <c r="I946" s="786"/>
      <c r="J946" s="786"/>
      <c r="K946" s="786"/>
      <c r="L946" s="786"/>
      <c r="M946" s="786"/>
      <c r="N946" s="786"/>
      <c r="O946" s="786"/>
      <c r="P946" s="786"/>
      <c r="Q946" s="67"/>
      <c r="R946" s="552"/>
      <c r="AC946" s="551" t="s">
        <v>526</v>
      </c>
      <c r="AD946" s="67"/>
      <c r="AE946" s="67"/>
      <c r="AF946" s="67"/>
      <c r="AG946" s="67"/>
      <c r="AH946" s="70" t="s">
        <v>1193</v>
      </c>
      <c r="AI946" s="67"/>
      <c r="AJ946" s="70" t="s">
        <v>252</v>
      </c>
      <c r="AK946" s="67"/>
      <c r="AL946" s="67"/>
      <c r="AM946" s="67"/>
      <c r="AN946" s="67" t="s">
        <v>526</v>
      </c>
      <c r="AO946" s="67"/>
      <c r="AP946" s="67"/>
      <c r="AQ946" s="67"/>
      <c r="AR946" s="67"/>
      <c r="AS946" s="70" t="s">
        <v>1193</v>
      </c>
      <c r="AT946" s="70" t="s">
        <v>252</v>
      </c>
      <c r="AU946" s="561"/>
      <c r="AW946" s="67">
        <f t="shared" si="324"/>
        <v>10323</v>
      </c>
      <c r="AX946" s="72">
        <v>2.4700000000000002</v>
      </c>
    </row>
    <row r="947" spans="1:50" ht="15.75" customHeight="1" x14ac:dyDescent="0.3">
      <c r="A947" s="553"/>
      <c r="B947" s="787">
        <f>+A5</f>
        <v>2019</v>
      </c>
      <c r="C947" s="787"/>
      <c r="D947" s="787"/>
      <c r="E947" s="787"/>
      <c r="F947" s="787"/>
      <c r="G947" s="787"/>
      <c r="H947" s="787"/>
      <c r="I947" s="787"/>
      <c r="J947" s="787"/>
      <c r="K947" s="787"/>
      <c r="L947" s="787"/>
      <c r="M947" s="787"/>
      <c r="N947" s="787"/>
      <c r="O947" s="787"/>
      <c r="P947" s="787"/>
      <c r="Q947" s="67"/>
      <c r="R947" s="552"/>
      <c r="AC947" s="551" t="s">
        <v>1195</v>
      </c>
      <c r="AD947" s="67">
        <f>+$B$978</f>
        <v>957</v>
      </c>
      <c r="AE947" s="67">
        <f>+C$978</f>
        <v>122</v>
      </c>
      <c r="AF947" s="67">
        <f>+D$978</f>
        <v>128</v>
      </c>
      <c r="AG947" s="67">
        <f>+E$978</f>
        <v>219</v>
      </c>
      <c r="AH947" s="67"/>
      <c r="AI947" s="67"/>
      <c r="AJ947" s="70" t="s">
        <v>335</v>
      </c>
      <c r="AK947" s="67"/>
      <c r="AL947" s="67"/>
      <c r="AM947" s="67"/>
      <c r="AN947" s="67" t="s">
        <v>1195</v>
      </c>
      <c r="AO947" s="67">
        <f>+$B$978</f>
        <v>957</v>
      </c>
      <c r="AP947" s="67">
        <f>+C$978</f>
        <v>122</v>
      </c>
      <c r="AQ947" s="67">
        <f>+D$978</f>
        <v>128</v>
      </c>
      <c r="AR947" s="67">
        <f>+E$978</f>
        <v>219</v>
      </c>
      <c r="AS947" s="67"/>
      <c r="AT947" s="70" t="s">
        <v>335</v>
      </c>
      <c r="AU947" s="561"/>
      <c r="AW947" s="67">
        <f t="shared" si="324"/>
        <v>13607</v>
      </c>
      <c r="AX947" s="72">
        <v>2.4700000000000002</v>
      </c>
    </row>
    <row r="948" spans="1:50" ht="15.75" customHeight="1" x14ac:dyDescent="0.3">
      <c r="A948" s="553"/>
      <c r="B948" s="786" t="s">
        <v>2879</v>
      </c>
      <c r="C948" s="786"/>
      <c r="D948" s="786"/>
      <c r="E948" s="786"/>
      <c r="F948" s="786"/>
      <c r="G948" s="786"/>
      <c r="H948" s="786"/>
      <c r="I948" s="786"/>
      <c r="J948" s="786"/>
      <c r="K948" s="786"/>
      <c r="L948" s="786"/>
      <c r="M948" s="786"/>
      <c r="N948" s="786"/>
      <c r="O948" s="786"/>
      <c r="P948" s="786"/>
      <c r="Q948" s="67"/>
      <c r="R948" s="552"/>
      <c r="AC948" s="551"/>
      <c r="AD948" s="67" t="s">
        <v>1353</v>
      </c>
      <c r="AE948" s="67" t="s">
        <v>1353</v>
      </c>
      <c r="AF948" s="67" t="s">
        <v>1353</v>
      </c>
      <c r="AG948" s="67" t="s">
        <v>1353</v>
      </c>
      <c r="AH948" s="67" t="s">
        <v>1353</v>
      </c>
      <c r="AI948" s="67"/>
      <c r="AJ948" s="67" t="s">
        <v>251</v>
      </c>
      <c r="AK948" s="67"/>
      <c r="AL948" s="67"/>
      <c r="AM948" s="67"/>
      <c r="AN948" s="67"/>
      <c r="AO948" s="67" t="s">
        <v>1353</v>
      </c>
      <c r="AP948" s="67" t="s">
        <v>1353</v>
      </c>
      <c r="AQ948" s="67" t="s">
        <v>1353</v>
      </c>
      <c r="AR948" s="67" t="s">
        <v>1353</v>
      </c>
      <c r="AS948" s="67" t="s">
        <v>1353</v>
      </c>
      <c r="AT948" s="67" t="s">
        <v>251</v>
      </c>
      <c r="AU948" s="561"/>
      <c r="AW948" s="67">
        <f t="shared" si="324"/>
        <v>14306</v>
      </c>
      <c r="AX948" s="72">
        <v>2.4700000000000002</v>
      </c>
    </row>
    <row r="949" spans="1:50" ht="15.75" customHeight="1" x14ac:dyDescent="0.3">
      <c r="A949" s="553"/>
      <c r="B949" s="67"/>
      <c r="C949" s="67"/>
      <c r="D949" s="67"/>
      <c r="E949" s="67"/>
      <c r="F949" s="67"/>
      <c r="G949" s="67"/>
      <c r="H949" s="67"/>
      <c r="I949" s="67"/>
      <c r="J949" s="67"/>
      <c r="K949" s="67"/>
      <c r="L949" s="67"/>
      <c r="M949" s="67"/>
      <c r="N949" s="67"/>
      <c r="O949" s="67"/>
      <c r="P949" s="67"/>
      <c r="Q949" s="67"/>
      <c r="R949" s="552"/>
      <c r="AC949" s="553" t="s">
        <v>1354</v>
      </c>
      <c r="AD949" s="67">
        <f t="shared" ref="AD949:AD960" si="325">ROUND($F923*$AD$947/1000,0)</f>
        <v>60222</v>
      </c>
      <c r="AE949" s="67">
        <f t="shared" ref="AE949:AE960" si="326">ROUND($F923*$AE$947/1000,0)</f>
        <v>7677</v>
      </c>
      <c r="AF949" s="67">
        <f t="shared" ref="AF949:AF960" si="327">ROUND($F923*$AF$947/1000,0)</f>
        <v>8055</v>
      </c>
      <c r="AG949" s="67">
        <f t="shared" ref="AG949:AG960" si="328">ROUND($F923*$AG$947/1000,0)</f>
        <v>13781</v>
      </c>
      <c r="AH949" s="67">
        <f t="shared" ref="AH949:AH960" si="329">(F923*((T923-1526.8)/0.7702))/1000</f>
        <v>13052.397195862251</v>
      </c>
      <c r="AI949" s="67"/>
      <c r="AJ949" s="67">
        <f t="shared" ref="AJ949:AJ960" si="330">SUM(AD949:AH949)</f>
        <v>102787.39719586226</v>
      </c>
      <c r="AK949" s="67"/>
      <c r="AL949" s="67"/>
      <c r="AM949" s="67"/>
      <c r="AN949" s="70" t="s">
        <v>1354</v>
      </c>
      <c r="AO949" s="67">
        <f t="shared" ref="AO949:AO960" si="331">ROUND((B923-$F923)*$AO$947/1000,0)</f>
        <v>23363</v>
      </c>
      <c r="AP949" s="67">
        <f t="shared" ref="AP949:AP960" si="332">ROUND((C923-$F923)*$AP$947/1000,0)</f>
        <v>2967</v>
      </c>
      <c r="AQ949" s="67">
        <f t="shared" ref="AQ949:AQ960" si="333">ROUND((D923-$F923)*$AQ$947/1000,0)</f>
        <v>3100</v>
      </c>
      <c r="AR949" s="67">
        <f t="shared" ref="AR949:AR960" si="334">ROUND((E923-$F923)*$AR$947/1000,0)</f>
        <v>5158</v>
      </c>
      <c r="AS949" s="67">
        <f>((F923-$F923)*(('Lake Pleasant Forecast'!B35-1526.8)/0.7702))/1000</f>
        <v>0</v>
      </c>
      <c r="AT949" s="67">
        <f t="shared" ref="AT949:AT960" si="335">SUM(AN949:AR949)</f>
        <v>34588</v>
      </c>
      <c r="AU949" s="561"/>
      <c r="AW949" s="67">
        <f t="shared" si="324"/>
        <v>14895</v>
      </c>
      <c r="AX949" s="72">
        <v>2.4700000000000002</v>
      </c>
    </row>
    <row r="950" spans="1:50" ht="15.75" customHeight="1" thickBot="1" x14ac:dyDescent="0.35">
      <c r="A950" s="553" t="s">
        <v>845</v>
      </c>
      <c r="B950" s="634" t="s">
        <v>1308</v>
      </c>
      <c r="C950" s="634" t="s">
        <v>1309</v>
      </c>
      <c r="D950" s="634" t="s">
        <v>1029</v>
      </c>
      <c r="E950" s="634" t="s">
        <v>1030</v>
      </c>
      <c r="F950" s="634" t="s">
        <v>284</v>
      </c>
      <c r="G950" s="634" t="s">
        <v>284</v>
      </c>
      <c r="H950" s="634" t="s">
        <v>285</v>
      </c>
      <c r="I950" s="634" t="s">
        <v>286</v>
      </c>
      <c r="J950" s="634" t="s">
        <v>287</v>
      </c>
      <c r="K950" s="634" t="s">
        <v>288</v>
      </c>
      <c r="L950" s="634" t="s">
        <v>289</v>
      </c>
      <c r="M950" s="634" t="s">
        <v>633</v>
      </c>
      <c r="N950" s="634" t="s">
        <v>634</v>
      </c>
      <c r="O950" s="634" t="s">
        <v>1192</v>
      </c>
      <c r="P950" s="634" t="s">
        <v>524</v>
      </c>
      <c r="Q950" s="634" t="s">
        <v>525</v>
      </c>
      <c r="R950" s="552"/>
      <c r="AC950" s="553" t="s">
        <v>706</v>
      </c>
      <c r="AD950" s="67">
        <f t="shared" si="325"/>
        <v>95441</v>
      </c>
      <c r="AE950" s="67">
        <f t="shared" si="326"/>
        <v>12167</v>
      </c>
      <c r="AF950" s="67">
        <f t="shared" si="327"/>
        <v>12765</v>
      </c>
      <c r="AG950" s="67">
        <f t="shared" si="328"/>
        <v>21841</v>
      </c>
      <c r="AH950" s="67">
        <f t="shared" si="329"/>
        <v>21538.172400571704</v>
      </c>
      <c r="AI950" s="67"/>
      <c r="AJ950" s="67">
        <f t="shared" si="330"/>
        <v>163752.1724005717</v>
      </c>
      <c r="AK950" s="67"/>
      <c r="AL950" s="67"/>
      <c r="AM950" s="67"/>
      <c r="AN950" s="70" t="s">
        <v>706</v>
      </c>
      <c r="AO950" s="67">
        <f t="shared" si="331"/>
        <v>49430</v>
      </c>
      <c r="AP950" s="67">
        <f t="shared" si="332"/>
        <v>6283</v>
      </c>
      <c r="AQ950" s="67">
        <f t="shared" si="333"/>
        <v>6574</v>
      </c>
      <c r="AR950" s="67">
        <f t="shared" si="334"/>
        <v>11142</v>
      </c>
      <c r="AS950" s="67">
        <f>((F924-$F924)*(('Lake Pleasant Forecast'!B37-1526.8)/0.7702))/1000</f>
        <v>0</v>
      </c>
      <c r="AT950" s="67">
        <f t="shared" si="335"/>
        <v>73429</v>
      </c>
      <c r="AU950" s="561"/>
      <c r="AW950" s="67">
        <f t="shared" si="324"/>
        <v>15314</v>
      </c>
      <c r="AX950" s="72">
        <v>2.4700000000000002</v>
      </c>
    </row>
    <row r="951" spans="1:50" ht="15.75" customHeight="1" x14ac:dyDescent="0.3">
      <c r="A951" s="553"/>
      <c r="B951" s="67"/>
      <c r="C951" s="67"/>
      <c r="D951" s="67"/>
      <c r="E951" s="67"/>
      <c r="F951" s="70" t="s">
        <v>1193</v>
      </c>
      <c r="G951" s="70" t="s">
        <v>1194</v>
      </c>
      <c r="H951" s="67"/>
      <c r="I951" s="67"/>
      <c r="J951" s="67"/>
      <c r="K951" s="67"/>
      <c r="L951" s="67"/>
      <c r="M951" s="67"/>
      <c r="N951" s="67"/>
      <c r="O951" s="67"/>
      <c r="P951" s="67"/>
      <c r="Q951" s="67"/>
      <c r="R951" s="552"/>
      <c r="AC951" s="553" t="s">
        <v>707</v>
      </c>
      <c r="AD951" s="67">
        <f t="shared" si="325"/>
        <v>59</v>
      </c>
      <c r="AE951" s="67">
        <f t="shared" si="326"/>
        <v>8</v>
      </c>
      <c r="AF951" s="67">
        <f t="shared" si="327"/>
        <v>8</v>
      </c>
      <c r="AG951" s="67">
        <f t="shared" si="328"/>
        <v>14</v>
      </c>
      <c r="AH951" s="67">
        <f t="shared" si="329"/>
        <v>13.631106578294723</v>
      </c>
      <c r="AI951" s="67"/>
      <c r="AJ951" s="67">
        <f t="shared" si="330"/>
        <v>102.63110657829472</v>
      </c>
      <c r="AK951" s="67"/>
      <c r="AL951" s="67"/>
      <c r="AM951" s="67"/>
      <c r="AN951" s="70" t="s">
        <v>707</v>
      </c>
      <c r="AO951" s="67">
        <f t="shared" si="331"/>
        <v>79125</v>
      </c>
      <c r="AP951" s="67">
        <f t="shared" si="332"/>
        <v>10054</v>
      </c>
      <c r="AQ951" s="67">
        <f t="shared" si="333"/>
        <v>10515</v>
      </c>
      <c r="AR951" s="67">
        <f t="shared" si="334"/>
        <v>17540</v>
      </c>
      <c r="AS951" s="67">
        <f>((F925-$F925)*(('Lake Pleasant Forecast'!B39-1526.8)/0.7702))/1000</f>
        <v>0</v>
      </c>
      <c r="AT951" s="67">
        <f t="shared" si="335"/>
        <v>117234</v>
      </c>
      <c r="AU951" s="561"/>
      <c r="AW951" s="67">
        <f t="shared" si="324"/>
        <v>14539</v>
      </c>
      <c r="AX951" s="72">
        <v>2.4700000000000002</v>
      </c>
    </row>
    <row r="952" spans="1:50" ht="15.75" customHeight="1" x14ac:dyDescent="0.3">
      <c r="A952" s="139" t="s">
        <v>2843</v>
      </c>
      <c r="B952" s="67">
        <f t="shared" ref="B952:Q952" si="336">(B923/$B$10/1.983)</f>
        <v>1420.8026287963821</v>
      </c>
      <c r="C952" s="67">
        <f t="shared" si="336"/>
        <v>1419.2247002749175</v>
      </c>
      <c r="D952" s="67">
        <f t="shared" si="336"/>
        <v>1417.6630390577975</v>
      </c>
      <c r="E952" s="67">
        <f t="shared" si="336"/>
        <v>1406.8127470596846</v>
      </c>
      <c r="F952" s="67">
        <f t="shared" si="336"/>
        <v>1023.6689278219706</v>
      </c>
      <c r="G952" s="67">
        <f t="shared" si="336"/>
        <v>-299.38346916532458</v>
      </c>
      <c r="H952" s="67">
        <f t="shared" si="336"/>
        <v>394.92134758349192</v>
      </c>
      <c r="I952" s="67">
        <f t="shared" si="336"/>
        <v>247.14915491353929</v>
      </c>
      <c r="J952" s="67">
        <f t="shared" si="336"/>
        <v>246.88887804401929</v>
      </c>
      <c r="K952" s="67">
        <f t="shared" si="336"/>
        <v>246.51473004408436</v>
      </c>
      <c r="L952" s="67">
        <f t="shared" si="336"/>
        <v>208.0425552681665</v>
      </c>
      <c r="M952" s="67">
        <f t="shared" si="336"/>
        <v>207.71720918126655</v>
      </c>
      <c r="N952" s="67">
        <f t="shared" si="336"/>
        <v>201.12895092154278</v>
      </c>
      <c r="O952" s="67">
        <f t="shared" si="336"/>
        <v>56.77289216403949</v>
      </c>
      <c r="P952" s="67">
        <f t="shared" si="336"/>
        <v>61.897093032713542</v>
      </c>
      <c r="Q952" s="67">
        <f t="shared" si="336"/>
        <v>56.740357555349497</v>
      </c>
      <c r="R952" s="552"/>
      <c r="AC952" s="553" t="s">
        <v>1321</v>
      </c>
      <c r="AD952" s="67">
        <f t="shared" si="325"/>
        <v>10527</v>
      </c>
      <c r="AE952" s="67">
        <f t="shared" si="326"/>
        <v>1342</v>
      </c>
      <c r="AF952" s="67">
        <f t="shared" si="327"/>
        <v>1408</v>
      </c>
      <c r="AG952" s="67">
        <f t="shared" si="328"/>
        <v>2409</v>
      </c>
      <c r="AH952" s="67">
        <f t="shared" si="329"/>
        <v>2397.5099334300185</v>
      </c>
      <c r="AI952" s="67"/>
      <c r="AJ952" s="67">
        <f t="shared" si="330"/>
        <v>18083.509933430018</v>
      </c>
      <c r="AK952" s="67"/>
      <c r="AL952" s="67"/>
      <c r="AM952" s="67"/>
      <c r="AN952" s="70" t="s">
        <v>1321</v>
      </c>
      <c r="AO952" s="67">
        <f t="shared" si="331"/>
        <v>130786</v>
      </c>
      <c r="AP952" s="67">
        <f t="shared" si="332"/>
        <v>16628</v>
      </c>
      <c r="AQ952" s="67">
        <f t="shared" si="333"/>
        <v>17401</v>
      </c>
      <c r="AR952" s="67">
        <f t="shared" si="334"/>
        <v>28708</v>
      </c>
      <c r="AS952" s="67">
        <f>((F926-$F926)*(('Lake Pleasant Forecast'!B41-1526.8)/0.7702))/1000</f>
        <v>0</v>
      </c>
      <c r="AT952" s="67">
        <f t="shared" si="335"/>
        <v>193523</v>
      </c>
      <c r="AU952" s="561"/>
      <c r="AW952" s="67">
        <f t="shared" si="324"/>
        <v>12304</v>
      </c>
      <c r="AX952" s="72">
        <v>2.4700000000000002</v>
      </c>
    </row>
    <row r="953" spans="1:50" ht="15.75" customHeight="1" x14ac:dyDescent="0.3">
      <c r="A953" s="139" t="s">
        <v>2091</v>
      </c>
      <c r="B953" s="67">
        <f t="shared" ref="B953:Q953" si="337">(B924/$C$10/1.983)</f>
        <v>2726.3885887183919</v>
      </c>
      <c r="C953" s="67">
        <f t="shared" si="337"/>
        <v>2723.7230747064332</v>
      </c>
      <c r="D953" s="67">
        <f t="shared" si="337"/>
        <v>2721.1115913839058</v>
      </c>
      <c r="E953" s="67">
        <f t="shared" si="337"/>
        <v>2712.4486708450399</v>
      </c>
      <c r="F953" s="67">
        <f t="shared" si="337"/>
        <v>1796.1422087745839</v>
      </c>
      <c r="G953" s="67">
        <f t="shared" si="337"/>
        <v>0</v>
      </c>
      <c r="H953" s="67">
        <f t="shared" si="337"/>
        <v>559.36171745551474</v>
      </c>
      <c r="I953" s="67">
        <f t="shared" si="337"/>
        <v>266.17318636985806</v>
      </c>
      <c r="J953" s="67">
        <f t="shared" si="337"/>
        <v>265.88502269288955</v>
      </c>
      <c r="K953" s="67">
        <f t="shared" si="337"/>
        <v>265.11058281103664</v>
      </c>
      <c r="L953" s="67">
        <f t="shared" si="337"/>
        <v>179.50796052157625</v>
      </c>
      <c r="M953" s="67">
        <f t="shared" si="337"/>
        <v>179.11173546574454</v>
      </c>
      <c r="N953" s="67">
        <f t="shared" si="337"/>
        <v>165.36993012030834</v>
      </c>
      <c r="O953" s="67">
        <f t="shared" si="337"/>
        <v>61.036668827894246</v>
      </c>
      <c r="P953" s="67">
        <f t="shared" si="337"/>
        <v>68.528924429075715</v>
      </c>
      <c r="Q953" s="67">
        <f t="shared" si="337"/>
        <v>60.982638138462647</v>
      </c>
      <c r="R953" s="552"/>
      <c r="AC953" s="553" t="s">
        <v>1905</v>
      </c>
      <c r="AD953" s="67">
        <f t="shared" si="325"/>
        <v>17506</v>
      </c>
      <c r="AE953" s="67">
        <f t="shared" si="326"/>
        <v>2232</v>
      </c>
      <c r="AF953" s="67">
        <f t="shared" si="327"/>
        <v>2342</v>
      </c>
      <c r="AG953" s="67">
        <f t="shared" si="328"/>
        <v>4006</v>
      </c>
      <c r="AH953" s="67">
        <f t="shared" si="329"/>
        <v>3967.2000396186827</v>
      </c>
      <c r="AI953" s="67"/>
      <c r="AJ953" s="67">
        <f t="shared" si="330"/>
        <v>30053.200039618681</v>
      </c>
      <c r="AK953" s="67"/>
      <c r="AL953" s="67"/>
      <c r="AM953" s="67"/>
      <c r="AN953" s="70" t="s">
        <v>1905</v>
      </c>
      <c r="AO953" s="67">
        <f t="shared" si="331"/>
        <v>128728</v>
      </c>
      <c r="AP953" s="67">
        <f t="shared" si="332"/>
        <v>16359</v>
      </c>
      <c r="AQ953" s="67">
        <f t="shared" si="333"/>
        <v>17112</v>
      </c>
      <c r="AR953" s="67">
        <f t="shared" si="334"/>
        <v>28166</v>
      </c>
      <c r="AS953" s="67">
        <f>((F927-$F927)*(('Lake Pleasant Forecast'!B43-1526.8)/0.7702))/1000</f>
        <v>0</v>
      </c>
      <c r="AT953" s="67">
        <f t="shared" si="335"/>
        <v>190365</v>
      </c>
      <c r="AU953" s="561"/>
      <c r="AW953" s="67">
        <f t="shared" si="324"/>
        <v>11093</v>
      </c>
      <c r="AX953" s="72">
        <v>2.4700000000000002</v>
      </c>
    </row>
    <row r="954" spans="1:50" ht="15.75" customHeight="1" x14ac:dyDescent="0.3">
      <c r="A954" s="139" t="s">
        <v>2234</v>
      </c>
      <c r="B954" s="67">
        <f t="shared" ref="B954:Q954" si="338">(B925/$D$10/1.983)</f>
        <v>1345.9892961137409</v>
      </c>
      <c r="C954" s="67">
        <f t="shared" si="338"/>
        <v>1341.5320547232118</v>
      </c>
      <c r="D954" s="67">
        <f t="shared" si="338"/>
        <v>1337.2862882891677</v>
      </c>
      <c r="E954" s="67">
        <f t="shared" si="338"/>
        <v>1303.9057797732337</v>
      </c>
      <c r="F954" s="67">
        <f t="shared" si="338"/>
        <v>1.0085728693898133</v>
      </c>
      <c r="G954" s="67">
        <f t="shared" si="338"/>
        <v>-2.0659476518146178</v>
      </c>
      <c r="H954" s="67">
        <f t="shared" si="338"/>
        <v>911.22932018935137</v>
      </c>
      <c r="I954" s="67">
        <f t="shared" si="338"/>
        <v>390.74065036682771</v>
      </c>
      <c r="J954" s="67">
        <f t="shared" si="338"/>
        <v>348.02270915686557</v>
      </c>
      <c r="K954" s="67">
        <f t="shared" si="338"/>
        <v>337.05854602833762</v>
      </c>
      <c r="L954" s="67">
        <f t="shared" si="338"/>
        <v>239.94273908870559</v>
      </c>
      <c r="M954" s="67">
        <f t="shared" si="338"/>
        <v>239.48725456704568</v>
      </c>
      <c r="N954" s="67">
        <f t="shared" si="338"/>
        <v>221.64202170058397</v>
      </c>
      <c r="O954" s="67">
        <f t="shared" si="338"/>
        <v>53.129015990760173</v>
      </c>
      <c r="P954" s="67">
        <f t="shared" si="338"/>
        <v>77.383566769150676</v>
      </c>
      <c r="Q954" s="67">
        <f t="shared" si="338"/>
        <v>53.047679469035181</v>
      </c>
      <c r="R954" s="552"/>
      <c r="AC954" s="553" t="s">
        <v>1906</v>
      </c>
      <c r="AD954" s="67">
        <f t="shared" si="325"/>
        <v>1412</v>
      </c>
      <c r="AE954" s="67">
        <f t="shared" si="326"/>
        <v>180</v>
      </c>
      <c r="AF954" s="67">
        <f t="shared" si="327"/>
        <v>189</v>
      </c>
      <c r="AG954" s="67">
        <f t="shared" si="328"/>
        <v>323</v>
      </c>
      <c r="AH954" s="67">
        <f t="shared" si="329"/>
        <v>292.59919853525224</v>
      </c>
      <c r="AI954" s="67"/>
      <c r="AJ954" s="67">
        <f t="shared" si="330"/>
        <v>2396.5991985352521</v>
      </c>
      <c r="AK954" s="67"/>
      <c r="AL954" s="67"/>
      <c r="AM954" s="67"/>
      <c r="AN954" s="70" t="s">
        <v>1906</v>
      </c>
      <c r="AO954" s="67">
        <f t="shared" si="331"/>
        <v>100818</v>
      </c>
      <c r="AP954" s="67">
        <f t="shared" si="332"/>
        <v>12802</v>
      </c>
      <c r="AQ954" s="67">
        <f t="shared" si="333"/>
        <v>13380</v>
      </c>
      <c r="AR954" s="67">
        <f t="shared" si="334"/>
        <v>21429</v>
      </c>
      <c r="AS954" s="67">
        <f>((F928-$F928)*(('Lake Pleasant Forecast'!B45-1526.8)/0.7702))/1000</f>
        <v>0</v>
      </c>
      <c r="AT954" s="67">
        <f t="shared" si="335"/>
        <v>148429</v>
      </c>
      <c r="AU954" s="561"/>
      <c r="AW954" s="67">
        <f t="shared" si="324"/>
        <v>2391</v>
      </c>
      <c r="AX954" s="72">
        <v>2.4700000000000002</v>
      </c>
    </row>
    <row r="955" spans="1:50" ht="15.75" customHeight="1" x14ac:dyDescent="0.3">
      <c r="A955" s="139" t="s">
        <v>2235</v>
      </c>
      <c r="B955" s="67">
        <f t="shared" ref="B955:Q955" si="339">(B926/$F$10/1.983)</f>
        <v>2482.1482602118003</v>
      </c>
      <c r="C955" s="67">
        <f t="shared" si="339"/>
        <v>2475.9791561606994</v>
      </c>
      <c r="D955" s="67">
        <f t="shared" si="339"/>
        <v>2470.095814422592</v>
      </c>
      <c r="E955" s="67">
        <f t="shared" si="339"/>
        <v>2388.4182215498404</v>
      </c>
      <c r="F955" s="67">
        <f t="shared" si="339"/>
        <v>184.90502605479912</v>
      </c>
      <c r="G955" s="67">
        <f t="shared" si="339"/>
        <v>-226.82803832576903</v>
      </c>
      <c r="H955" s="67">
        <f t="shared" si="339"/>
        <v>1833.2829046898637</v>
      </c>
      <c r="I955" s="67">
        <f t="shared" si="339"/>
        <v>712.70801815431162</v>
      </c>
      <c r="J955" s="67">
        <f t="shared" si="339"/>
        <v>534.79576399394853</v>
      </c>
      <c r="K955" s="67">
        <f t="shared" si="339"/>
        <v>471.87762649184737</v>
      </c>
      <c r="L955" s="67">
        <f t="shared" si="339"/>
        <v>346.19263741805344</v>
      </c>
      <c r="M955" s="67">
        <f t="shared" si="339"/>
        <v>345.5706841485964</v>
      </c>
      <c r="N955" s="67">
        <f t="shared" si="339"/>
        <v>326.18927550848883</v>
      </c>
      <c r="O955" s="67">
        <f t="shared" si="339"/>
        <v>61.253992267607998</v>
      </c>
      <c r="P955" s="67">
        <f t="shared" si="339"/>
        <v>95.948898974617592</v>
      </c>
      <c r="Q955" s="67">
        <f t="shared" si="339"/>
        <v>61.136325432845851</v>
      </c>
      <c r="R955" s="552"/>
      <c r="AC955" s="553" t="s">
        <v>1907</v>
      </c>
      <c r="AD955" s="67">
        <f t="shared" si="325"/>
        <v>0</v>
      </c>
      <c r="AE955" s="67">
        <f t="shared" si="326"/>
        <v>0</v>
      </c>
      <c r="AF955" s="67">
        <f t="shared" si="327"/>
        <v>0</v>
      </c>
      <c r="AG955" s="67">
        <f t="shared" si="328"/>
        <v>0</v>
      </c>
      <c r="AH955" s="67">
        <f t="shared" si="329"/>
        <v>0</v>
      </c>
      <c r="AI955" s="67"/>
      <c r="AJ955" s="67">
        <f t="shared" si="330"/>
        <v>0</v>
      </c>
      <c r="AK955" s="67"/>
      <c r="AL955" s="67"/>
      <c r="AM955" s="67"/>
      <c r="AN955" s="70" t="s">
        <v>1907</v>
      </c>
      <c r="AO955" s="67">
        <f t="shared" si="331"/>
        <v>93598</v>
      </c>
      <c r="AP955" s="67">
        <f t="shared" si="332"/>
        <v>11881</v>
      </c>
      <c r="AQ955" s="67">
        <f t="shared" si="333"/>
        <v>12415</v>
      </c>
      <c r="AR955" s="67">
        <f t="shared" si="334"/>
        <v>19506</v>
      </c>
      <c r="AS955" s="67">
        <f>((F929-$F929)*(('Lake Pleasant Forecast'!B47-1526.8)/0.7702))/1000</f>
        <v>0</v>
      </c>
      <c r="AT955" s="67">
        <f t="shared" si="335"/>
        <v>137400</v>
      </c>
      <c r="AU955" s="561"/>
      <c r="AW955" s="67">
        <f t="shared" si="324"/>
        <v>3197</v>
      </c>
      <c r="AX955" s="72">
        <v>2.4700000000000002</v>
      </c>
    </row>
    <row r="956" spans="1:50" ht="15.75" customHeight="1" x14ac:dyDescent="0.3">
      <c r="A956" s="139" t="s">
        <v>2236</v>
      </c>
      <c r="B956" s="67">
        <f t="shared" ref="B956:Q956" si="340">(B927/$G$10/1.983)</f>
        <v>2485.7254404372648</v>
      </c>
      <c r="C956" s="67">
        <f t="shared" si="340"/>
        <v>2478.811836090641</v>
      </c>
      <c r="D956" s="67">
        <f t="shared" si="340"/>
        <v>2472.2723797439526</v>
      </c>
      <c r="E956" s="67">
        <f t="shared" si="340"/>
        <v>2389.7320774974378</v>
      </c>
      <c r="F956" s="67">
        <f t="shared" si="340"/>
        <v>297.57779838302997</v>
      </c>
      <c r="G956" s="67">
        <f>(G927/$G$10/1.983)</f>
        <v>-252.27335578221332</v>
      </c>
      <c r="H956" s="67">
        <f t="shared" si="340"/>
        <v>1568.9977713793048</v>
      </c>
      <c r="I956" s="67">
        <f t="shared" si="340"/>
        <v>571.69814390057422</v>
      </c>
      <c r="J956" s="67">
        <f t="shared" si="340"/>
        <v>491.48406617539405</v>
      </c>
      <c r="K956" s="67">
        <f t="shared" si="340"/>
        <v>441.85252061880828</v>
      </c>
      <c r="L956" s="67">
        <f t="shared" si="340"/>
        <v>334.24430237665314</v>
      </c>
      <c r="M956" s="67">
        <f t="shared" si="340"/>
        <v>333.5610755941633</v>
      </c>
      <c r="N956" s="67">
        <f t="shared" si="340"/>
        <v>322.87345663950026</v>
      </c>
      <c r="O956" s="67">
        <f t="shared" si="340"/>
        <v>66.419403640622718</v>
      </c>
      <c r="P956" s="67">
        <f t="shared" si="340"/>
        <v>109.07227563320481</v>
      </c>
      <c r="Q956" s="67">
        <f t="shared" si="340"/>
        <v>65.540969205992866</v>
      </c>
      <c r="R956" s="552"/>
      <c r="AC956" s="553" t="s">
        <v>1908</v>
      </c>
      <c r="AD956" s="67">
        <f t="shared" si="325"/>
        <v>28</v>
      </c>
      <c r="AE956" s="67">
        <f t="shared" si="326"/>
        <v>4</v>
      </c>
      <c r="AF956" s="67">
        <f t="shared" si="327"/>
        <v>4</v>
      </c>
      <c r="AG956" s="67">
        <f t="shared" si="328"/>
        <v>6</v>
      </c>
      <c r="AH956" s="67">
        <f t="shared" si="329"/>
        <v>4.4957407211255651</v>
      </c>
      <c r="AI956" s="67"/>
      <c r="AJ956" s="67">
        <f t="shared" si="330"/>
        <v>46.495740721125564</v>
      </c>
      <c r="AK956" s="67"/>
      <c r="AL956" s="67"/>
      <c r="AM956" s="67"/>
      <c r="AN956" s="70" t="s">
        <v>1908</v>
      </c>
      <c r="AO956" s="67">
        <f t="shared" si="331"/>
        <v>99456</v>
      </c>
      <c r="AP956" s="67">
        <f t="shared" si="332"/>
        <v>12638</v>
      </c>
      <c r="AQ956" s="67">
        <f t="shared" si="333"/>
        <v>13219</v>
      </c>
      <c r="AR956" s="67">
        <f t="shared" si="334"/>
        <v>20821</v>
      </c>
      <c r="AS956" s="67">
        <f>((F930-$F930)*(('Lake Pleasant Forecast'!B49-1526.8)/0.7702))/1000</f>
        <v>0</v>
      </c>
      <c r="AT956" s="67">
        <f t="shared" si="335"/>
        <v>146134</v>
      </c>
      <c r="AU956" s="561"/>
      <c r="AW956" s="67"/>
      <c r="AX956" s="72"/>
    </row>
    <row r="957" spans="1:50" ht="15.75" customHeight="1" x14ac:dyDescent="0.3">
      <c r="A957" s="139" t="s">
        <v>2237</v>
      </c>
      <c r="B957" s="67">
        <f t="shared" ref="B957:Q957" si="341">(B928/$H$10/1.983)</f>
        <v>1795.6463271138007</v>
      </c>
      <c r="C957" s="67">
        <f t="shared" si="341"/>
        <v>1788.6367456715413</v>
      </c>
      <c r="D957" s="67">
        <f t="shared" si="341"/>
        <v>1781.9801647335685</v>
      </c>
      <c r="E957" s="67">
        <f t="shared" si="341"/>
        <v>1669.5747184400741</v>
      </c>
      <c r="F957" s="67">
        <f t="shared" si="341"/>
        <v>24.794083039166242</v>
      </c>
      <c r="G957" s="67">
        <f t="shared" si="341"/>
        <v>-1414.691544797445</v>
      </c>
      <c r="H957" s="67">
        <f t="shared" si="341"/>
        <v>2139.2671037149103</v>
      </c>
      <c r="I957" s="67">
        <f t="shared" si="341"/>
        <v>768.76786014456206</v>
      </c>
      <c r="J957" s="67">
        <f t="shared" si="341"/>
        <v>571.2724827702134</v>
      </c>
      <c r="K957" s="67">
        <f t="shared" si="341"/>
        <v>485.87997982854262</v>
      </c>
      <c r="L957" s="67">
        <f t="shared" si="341"/>
        <v>363.72499579761302</v>
      </c>
      <c r="M957" s="67">
        <f t="shared" si="341"/>
        <v>362.98537569339379</v>
      </c>
      <c r="N957" s="67">
        <f t="shared" si="341"/>
        <v>339.50243738443436</v>
      </c>
      <c r="O957" s="67">
        <f t="shared" si="341"/>
        <v>73.777105395864851</v>
      </c>
      <c r="P957" s="67">
        <f t="shared" si="341"/>
        <v>115.14540258867036</v>
      </c>
      <c r="Q957" s="67">
        <f t="shared" si="341"/>
        <v>73.625819465456374</v>
      </c>
      <c r="R957" s="552"/>
      <c r="AC957" s="553" t="s">
        <v>2352</v>
      </c>
      <c r="AD957" s="67">
        <f t="shared" si="325"/>
        <v>30522</v>
      </c>
      <c r="AE957" s="67">
        <f t="shared" si="326"/>
        <v>3891</v>
      </c>
      <c r="AF957" s="67">
        <f t="shared" si="327"/>
        <v>4082</v>
      </c>
      <c r="AG957" s="67">
        <f t="shared" si="328"/>
        <v>6985</v>
      </c>
      <c r="AH957" s="67">
        <f t="shared" si="329"/>
        <v>5052.1745884977136</v>
      </c>
      <c r="AI957" s="67"/>
      <c r="AJ957" s="67">
        <f t="shared" si="330"/>
        <v>50532.174588497714</v>
      </c>
      <c r="AK957" s="67"/>
      <c r="AL957" s="67"/>
      <c r="AM957" s="67"/>
      <c r="AN957" s="70" t="s">
        <v>2352</v>
      </c>
      <c r="AO957" s="67">
        <f t="shared" si="331"/>
        <v>122495</v>
      </c>
      <c r="AP957" s="67">
        <f t="shared" si="332"/>
        <v>15577</v>
      </c>
      <c r="AQ957" s="67">
        <f t="shared" si="333"/>
        <v>16305</v>
      </c>
      <c r="AR957" s="67">
        <f t="shared" si="334"/>
        <v>26746</v>
      </c>
      <c r="AS957" s="67">
        <f>((F931-$F931)*(('Lake Pleasant Forecast'!B51-1526.8)/0.7702))/1000</f>
        <v>0</v>
      </c>
      <c r="AT957" s="67">
        <f t="shared" si="335"/>
        <v>181123</v>
      </c>
      <c r="AU957" s="561"/>
      <c r="AW957" s="67">
        <f>(SUM(AW944:AW955))</f>
        <v>129302</v>
      </c>
      <c r="AX957" s="72"/>
    </row>
    <row r="958" spans="1:50" ht="15.75" customHeight="1" x14ac:dyDescent="0.3">
      <c r="A958" s="139" t="s">
        <v>1504</v>
      </c>
      <c r="B958" s="67">
        <f t="shared" ref="B958:Q958" si="342">(B929/$J$10/1.983)</f>
        <v>1591.0074341580855</v>
      </c>
      <c r="C958" s="67">
        <f t="shared" si="342"/>
        <v>1584.2402355505669</v>
      </c>
      <c r="D958" s="67">
        <f t="shared" si="342"/>
        <v>1577.8309176386381</v>
      </c>
      <c r="E958" s="67">
        <f t="shared" si="342"/>
        <v>1448.9287980088818</v>
      </c>
      <c r="F958" s="67">
        <f t="shared" si="342"/>
        <v>0</v>
      </c>
      <c r="G958" s="67">
        <f t="shared" si="342"/>
        <v>-1519.301156605339</v>
      </c>
      <c r="H958" s="67">
        <f t="shared" si="342"/>
        <v>2139.1505213671044</v>
      </c>
      <c r="I958" s="67">
        <f t="shared" si="342"/>
        <v>846.55051811364342</v>
      </c>
      <c r="J958" s="67">
        <f t="shared" si="342"/>
        <v>597.27034633090955</v>
      </c>
      <c r="K958" s="67">
        <f t="shared" si="342"/>
        <v>493.97296374017856</v>
      </c>
      <c r="L958" s="67">
        <f t="shared" si="342"/>
        <v>372.26099263091112</v>
      </c>
      <c r="M958" s="67">
        <f t="shared" si="342"/>
        <v>371.62656776145622</v>
      </c>
      <c r="N958" s="67">
        <f t="shared" si="342"/>
        <v>348.28298602638552</v>
      </c>
      <c r="O958" s="67">
        <f t="shared" si="342"/>
        <v>73.121533030761469</v>
      </c>
      <c r="P958" s="67">
        <f t="shared" si="342"/>
        <v>100.59701006946138</v>
      </c>
      <c r="Q958" s="67">
        <f t="shared" si="342"/>
        <v>73.007661900346491</v>
      </c>
      <c r="R958" s="552"/>
      <c r="AC958" s="553" t="s">
        <v>2353</v>
      </c>
      <c r="AD958" s="67">
        <f t="shared" si="325"/>
        <v>37704</v>
      </c>
      <c r="AE958" s="67">
        <f t="shared" si="326"/>
        <v>4807</v>
      </c>
      <c r="AF958" s="67">
        <f t="shared" si="327"/>
        <v>5043</v>
      </c>
      <c r="AG958" s="67">
        <f t="shared" si="328"/>
        <v>8628</v>
      </c>
      <c r="AH958" s="67">
        <f t="shared" si="329"/>
        <v>6696.854858806917</v>
      </c>
      <c r="AI958" s="67"/>
      <c r="AJ958" s="67">
        <f t="shared" si="330"/>
        <v>62878.854858806917</v>
      </c>
      <c r="AK958" s="67"/>
      <c r="AL958" s="67"/>
      <c r="AM958" s="67"/>
      <c r="AN958" s="70" t="s">
        <v>2353</v>
      </c>
      <c r="AO958" s="67">
        <f t="shared" si="331"/>
        <v>105545</v>
      </c>
      <c r="AP958" s="67">
        <f t="shared" si="332"/>
        <v>13420</v>
      </c>
      <c r="AQ958" s="67">
        <f t="shared" si="333"/>
        <v>14045</v>
      </c>
      <c r="AR958" s="67">
        <f t="shared" si="334"/>
        <v>22864</v>
      </c>
      <c r="AS958" s="67">
        <f>((F932-$F932)*(('Lake Pleasant Forecast'!B53-1526.8)/0.7702))/1000</f>
        <v>0</v>
      </c>
      <c r="AT958" s="67">
        <f t="shared" si="335"/>
        <v>155874</v>
      </c>
      <c r="AU958" s="561"/>
    </row>
    <row r="959" spans="1:50" ht="15.75" customHeight="1" x14ac:dyDescent="0.3">
      <c r="A959" s="139" t="s">
        <v>1505</v>
      </c>
      <c r="B959" s="67">
        <f t="shared" ref="B959:Q959" si="343">(B930/$K$10/1.983)</f>
        <v>1691.051355879817</v>
      </c>
      <c r="C959" s="67">
        <f t="shared" si="343"/>
        <v>1685.6180762285881</v>
      </c>
      <c r="D959" s="67">
        <f t="shared" si="343"/>
        <v>1680.4450734468792</v>
      </c>
      <c r="E959" s="67">
        <f t="shared" si="343"/>
        <v>1547.0531778179038</v>
      </c>
      <c r="F959" s="67">
        <f t="shared" si="343"/>
        <v>0.47175182600491267</v>
      </c>
      <c r="G959" s="67">
        <f t="shared" si="343"/>
        <v>-1224.7002749174433</v>
      </c>
      <c r="H959" s="67">
        <f t="shared" si="343"/>
        <v>2030.6801359946644</v>
      </c>
      <c r="I959" s="67">
        <f t="shared" si="343"/>
        <v>869.2596749792591</v>
      </c>
      <c r="J959" s="67">
        <f t="shared" si="343"/>
        <v>607.40487693784257</v>
      </c>
      <c r="K959" s="67">
        <f t="shared" si="343"/>
        <v>486.06705382851004</v>
      </c>
      <c r="L959" s="67">
        <f t="shared" si="343"/>
        <v>359.91410863305839</v>
      </c>
      <c r="M959" s="67">
        <f t="shared" si="343"/>
        <v>359.32848567663848</v>
      </c>
      <c r="N959" s="67">
        <f t="shared" si="343"/>
        <v>329.60812063832901</v>
      </c>
      <c r="O959" s="67">
        <f t="shared" si="343"/>
        <v>68.989637727132234</v>
      </c>
      <c r="P959" s="67">
        <f t="shared" si="343"/>
        <v>92.853773201242817</v>
      </c>
      <c r="Q959" s="67">
        <f t="shared" si="343"/>
        <v>68.892033901062263</v>
      </c>
      <c r="R959" s="552"/>
      <c r="AC959" s="553" t="s">
        <v>2354</v>
      </c>
      <c r="AD959" s="67">
        <f t="shared" si="325"/>
        <v>97781</v>
      </c>
      <c r="AE959" s="67">
        <f t="shared" si="326"/>
        <v>12465</v>
      </c>
      <c r="AF959" s="67">
        <f t="shared" si="327"/>
        <v>13078</v>
      </c>
      <c r="AG959" s="67">
        <f t="shared" si="328"/>
        <v>22376</v>
      </c>
      <c r="AH959" s="67">
        <f t="shared" si="329"/>
        <v>18851.539435480016</v>
      </c>
      <c r="AI959" s="67"/>
      <c r="AJ959" s="67">
        <f t="shared" si="330"/>
        <v>164551.53943548002</v>
      </c>
      <c r="AK959" s="67"/>
      <c r="AL959" s="67"/>
      <c r="AM959" s="67"/>
      <c r="AN959" s="70" t="s">
        <v>2354</v>
      </c>
      <c r="AO959" s="67">
        <f t="shared" si="331"/>
        <v>19311</v>
      </c>
      <c r="AP959" s="67">
        <f t="shared" si="332"/>
        <v>2433</v>
      </c>
      <c r="AQ959" s="67">
        <f t="shared" si="333"/>
        <v>2524</v>
      </c>
      <c r="AR959" s="67">
        <f t="shared" si="334"/>
        <v>3920</v>
      </c>
      <c r="AS959" s="67">
        <f>((F933-$F933)*(('Lake Pleasant Forecast'!B55-1526.8)/0.7702))/1000</f>
        <v>0</v>
      </c>
      <c r="AT959" s="67">
        <f t="shared" si="335"/>
        <v>28188</v>
      </c>
      <c r="AU959" s="561"/>
    </row>
    <row r="960" spans="1:50" ht="15.75" customHeight="1" x14ac:dyDescent="0.3">
      <c r="A960" s="139" t="s">
        <v>1506</v>
      </c>
      <c r="B960" s="67">
        <f t="shared" ref="B960:Q960" si="344">(B931/$L$10/1.983)</f>
        <v>2687.7122205412675</v>
      </c>
      <c r="C960" s="67">
        <f t="shared" si="344"/>
        <v>2682.4004034291474</v>
      </c>
      <c r="D960" s="67">
        <f t="shared" si="344"/>
        <v>2677.3407295343754</v>
      </c>
      <c r="E960" s="67">
        <f t="shared" si="344"/>
        <v>2589.0233652714742</v>
      </c>
      <c r="F960" s="67">
        <f t="shared" si="344"/>
        <v>536.10690872415523</v>
      </c>
      <c r="G960" s="67">
        <f t="shared" si="344"/>
        <v>0</v>
      </c>
      <c r="H960" s="67">
        <f t="shared" si="344"/>
        <v>1346.4447806354008</v>
      </c>
      <c r="I960" s="67">
        <f t="shared" si="344"/>
        <v>501.41200201714571</v>
      </c>
      <c r="J960" s="67">
        <f t="shared" si="344"/>
        <v>382.77021348125731</v>
      </c>
      <c r="K960" s="67">
        <f t="shared" si="344"/>
        <v>320.37317196167419</v>
      </c>
      <c r="L960" s="67">
        <f t="shared" si="344"/>
        <v>295.44461253992267</v>
      </c>
      <c r="M960" s="67">
        <f t="shared" si="344"/>
        <v>294.87308791393508</v>
      </c>
      <c r="N960" s="67">
        <f t="shared" si="344"/>
        <v>276.14725163893092</v>
      </c>
      <c r="O960" s="67">
        <f t="shared" si="344"/>
        <v>68.095478231635568</v>
      </c>
      <c r="P960" s="67">
        <f t="shared" si="344"/>
        <v>87.947554210791722</v>
      </c>
      <c r="Q960" s="67">
        <f t="shared" si="344"/>
        <v>67.994620944696592</v>
      </c>
      <c r="R960" s="552"/>
      <c r="AC960" s="553" t="s">
        <v>2355</v>
      </c>
      <c r="AD960" s="67">
        <f t="shared" si="325"/>
        <v>24800</v>
      </c>
      <c r="AE960" s="67">
        <f t="shared" si="326"/>
        <v>3162</v>
      </c>
      <c r="AF960" s="67">
        <f t="shared" si="327"/>
        <v>3317</v>
      </c>
      <c r="AG960" s="67">
        <f t="shared" si="328"/>
        <v>5675</v>
      </c>
      <c r="AH960" s="67">
        <f t="shared" si="329"/>
        <v>5000.2294775522178</v>
      </c>
      <c r="AI960" s="67"/>
      <c r="AJ960" s="67">
        <f t="shared" si="330"/>
        <v>41954.229477552217</v>
      </c>
      <c r="AK960" s="67"/>
      <c r="AL960" s="67"/>
      <c r="AM960" s="67"/>
      <c r="AN960" s="70" t="s">
        <v>2355</v>
      </c>
      <c r="AO960" s="67">
        <f t="shared" si="331"/>
        <v>45934</v>
      </c>
      <c r="AP960" s="67">
        <f t="shared" si="332"/>
        <v>5833</v>
      </c>
      <c r="AQ960" s="67">
        <f t="shared" si="333"/>
        <v>6097</v>
      </c>
      <c r="AR960" s="67">
        <f t="shared" si="334"/>
        <v>9737</v>
      </c>
      <c r="AS960" s="67">
        <f>((F934-$F934)*(('Lake Pleasant Forecast'!B57-1526.8)/0.7702))/1000</f>
        <v>0</v>
      </c>
      <c r="AT960" s="67">
        <f t="shared" si="335"/>
        <v>67601</v>
      </c>
      <c r="AU960" s="561"/>
    </row>
    <row r="961" spans="1:47" ht="15.75" customHeight="1" x14ac:dyDescent="0.3">
      <c r="A961" s="139" t="s">
        <v>1507</v>
      </c>
      <c r="B961" s="67">
        <f t="shared" ref="B961:Q961" si="345">(B932/$N$10/1.983)</f>
        <v>2434.9714508808747</v>
      </c>
      <c r="C961" s="67">
        <f t="shared" si="345"/>
        <v>2430.3352691425503</v>
      </c>
      <c r="D961" s="67">
        <f t="shared" si="345"/>
        <v>2425.9105623607111</v>
      </c>
      <c r="E961" s="67">
        <f t="shared" si="345"/>
        <v>2339.2383648105674</v>
      </c>
      <c r="F961" s="67">
        <f t="shared" si="345"/>
        <v>640.89925658419145</v>
      </c>
      <c r="G961" s="67">
        <f t="shared" si="345"/>
        <v>0</v>
      </c>
      <c r="H961" s="67">
        <f t="shared" si="345"/>
        <v>1174.5481756218176</v>
      </c>
      <c r="I961" s="67">
        <f t="shared" si="345"/>
        <v>355.09898654693927</v>
      </c>
      <c r="J961" s="67">
        <f t="shared" si="345"/>
        <v>290.42018447123127</v>
      </c>
      <c r="K961" s="67">
        <f t="shared" si="345"/>
        <v>267.67849299692546</v>
      </c>
      <c r="L961" s="67">
        <f t="shared" si="345"/>
        <v>255.68948969466271</v>
      </c>
      <c r="M961" s="67">
        <f t="shared" si="345"/>
        <v>255.21773786865779</v>
      </c>
      <c r="N961" s="67">
        <f t="shared" si="345"/>
        <v>236.13618987197631</v>
      </c>
      <c r="O961" s="67">
        <f t="shared" si="345"/>
        <v>61.669350771883593</v>
      </c>
      <c r="P961" s="67">
        <f t="shared" si="345"/>
        <v>77.383566769150676</v>
      </c>
      <c r="Q961" s="67">
        <f t="shared" si="345"/>
        <v>61.588014250158601</v>
      </c>
      <c r="R961" s="552"/>
      <c r="AC961" s="551"/>
      <c r="AD961" s="67"/>
      <c r="AE961" s="67"/>
      <c r="AF961" s="67"/>
      <c r="AG961" s="67"/>
      <c r="AH961" s="67"/>
      <c r="AI961" s="67"/>
      <c r="AJ961" s="67"/>
      <c r="AK961" s="67"/>
      <c r="AL961" s="67"/>
      <c r="AM961" s="67"/>
      <c r="AN961" s="67"/>
      <c r="AO961" s="67"/>
      <c r="AP961" s="67"/>
      <c r="AQ961" s="67"/>
      <c r="AR961" s="67"/>
      <c r="AS961" s="67"/>
      <c r="AT961" s="67"/>
      <c r="AU961" s="561"/>
    </row>
    <row r="962" spans="1:47" ht="15.75" customHeight="1" thickBot="1" x14ac:dyDescent="0.35">
      <c r="A962" s="139" t="s">
        <v>1508</v>
      </c>
      <c r="B962" s="67">
        <f t="shared" ref="B962:Q962" si="346">(B933/$O$10/1.983)</f>
        <v>2056.7154143553539</v>
      </c>
      <c r="C962" s="67">
        <f t="shared" si="346"/>
        <v>2052.7651706169104</v>
      </c>
      <c r="D962" s="67">
        <f t="shared" si="346"/>
        <v>2048.9662128088753</v>
      </c>
      <c r="E962" s="67">
        <f t="shared" si="346"/>
        <v>2018.3728357707178</v>
      </c>
      <c r="F962" s="67">
        <f t="shared" si="346"/>
        <v>1717.5155488317364</v>
      </c>
      <c r="G962" s="67">
        <f t="shared" si="346"/>
        <v>-29.971423768700618</v>
      </c>
      <c r="H962" s="67">
        <f t="shared" si="346"/>
        <v>108.53925029416708</v>
      </c>
      <c r="I962" s="67">
        <f t="shared" si="346"/>
        <v>20.255505126912084</v>
      </c>
      <c r="J962" s="67">
        <f t="shared" si="346"/>
        <v>19.885695074802484</v>
      </c>
      <c r="K962" s="67">
        <f t="shared" si="346"/>
        <v>18.776264918473693</v>
      </c>
      <c r="L962" s="67">
        <f t="shared" si="346"/>
        <v>17.650025214321733</v>
      </c>
      <c r="M962" s="67">
        <f t="shared" si="346"/>
        <v>17.263405614388972</v>
      </c>
      <c r="N962" s="67">
        <f t="shared" si="346"/>
        <v>13.716591023701461</v>
      </c>
      <c r="O962" s="67">
        <f t="shared" si="346"/>
        <v>13.296352328122373</v>
      </c>
      <c r="P962" s="67">
        <f t="shared" si="346"/>
        <v>71.961674230963183</v>
      </c>
      <c r="Q962" s="67">
        <f t="shared" si="346"/>
        <v>13.245923684652881</v>
      </c>
      <c r="R962" s="552"/>
      <c r="AC962" s="558" t="s">
        <v>2356</v>
      </c>
      <c r="AD962" s="555">
        <f>SUM(AD949:AD960)</f>
        <v>376002</v>
      </c>
      <c r="AE962" s="555">
        <f>SUM(AE949:AE960)</f>
        <v>47935</v>
      </c>
      <c r="AF962" s="555">
        <f>SUM(AF949:AF960)</f>
        <v>50291</v>
      </c>
      <c r="AG962" s="555">
        <f>SUM(AG949:AG960)</f>
        <v>86044</v>
      </c>
      <c r="AH962" s="555">
        <f>SUM(AH949:AH960)</f>
        <v>76866.803975654198</v>
      </c>
      <c r="AI962" s="555"/>
      <c r="AJ962" s="555">
        <f>SUM(AJ949:AJ960)</f>
        <v>637138.8039756543</v>
      </c>
      <c r="AK962" s="555"/>
      <c r="AL962" s="555"/>
      <c r="AM962" s="555"/>
      <c r="AN962" s="564" t="s">
        <v>2356</v>
      </c>
      <c r="AO962" s="555">
        <f t="shared" ref="AO962:AT962" si="347">SUM(AO949:AO960)</f>
        <v>998589</v>
      </c>
      <c r="AP962" s="555">
        <f t="shared" si="347"/>
        <v>126875</v>
      </c>
      <c r="AQ962" s="555">
        <f t="shared" si="347"/>
        <v>132687</v>
      </c>
      <c r="AR962" s="555">
        <f t="shared" si="347"/>
        <v>215737</v>
      </c>
      <c r="AS962" s="555">
        <f t="shared" si="347"/>
        <v>0</v>
      </c>
      <c r="AT962" s="555">
        <f t="shared" si="347"/>
        <v>1473888</v>
      </c>
      <c r="AU962" s="565"/>
    </row>
    <row r="963" spans="1:47" ht="15.75" customHeight="1" thickBot="1" x14ac:dyDescent="0.35">
      <c r="A963" s="645" t="s">
        <v>1509</v>
      </c>
      <c r="B963" s="555">
        <f t="shared" ref="B963:Q963" si="348">(B934/$P$10/1.983)</f>
        <v>1202.3489987474177</v>
      </c>
      <c r="C963" s="555">
        <f t="shared" si="348"/>
        <v>1199.3232801392483</v>
      </c>
      <c r="D963" s="555">
        <f t="shared" si="348"/>
        <v>1196.4114326614936</v>
      </c>
      <c r="E963" s="555">
        <f t="shared" si="348"/>
        <v>1144.8278105835082</v>
      </c>
      <c r="F963" s="555">
        <f t="shared" si="348"/>
        <v>421.55092479625199</v>
      </c>
      <c r="G963" s="555">
        <f t="shared" si="348"/>
        <v>0</v>
      </c>
      <c r="H963" s="555">
        <f t="shared" si="348"/>
        <v>542.49833260130458</v>
      </c>
      <c r="I963" s="555">
        <f t="shared" si="348"/>
        <v>118.50731215330308</v>
      </c>
      <c r="J963" s="555">
        <f t="shared" si="348"/>
        <v>113.85486311063393</v>
      </c>
      <c r="K963" s="555">
        <f t="shared" si="348"/>
        <v>112.52094415434418</v>
      </c>
      <c r="L963" s="555">
        <f t="shared" si="348"/>
        <v>67.981064857742425</v>
      </c>
      <c r="M963" s="555">
        <f t="shared" si="348"/>
        <v>67.671986075187476</v>
      </c>
      <c r="N963" s="555">
        <f t="shared" si="348"/>
        <v>64.060644510598152</v>
      </c>
      <c r="O963" s="555">
        <f t="shared" si="348"/>
        <v>0.26027686951995183</v>
      </c>
      <c r="P963" s="555">
        <f t="shared" si="348"/>
        <v>61.897093032713542</v>
      </c>
      <c r="Q963" s="555">
        <f t="shared" si="348"/>
        <v>0.22774226082995785</v>
      </c>
      <c r="R963" s="556"/>
    </row>
    <row r="964" spans="1:47" ht="15.75" customHeight="1" x14ac:dyDescent="0.3">
      <c r="R964" s="547"/>
      <c r="AC964" s="685"/>
      <c r="AD964" s="782" t="s">
        <v>2922</v>
      </c>
      <c r="AE964" s="785"/>
      <c r="AF964" s="785"/>
      <c r="AG964" s="785"/>
      <c r="AH964" s="785"/>
      <c r="AI964" s="785"/>
      <c r="AJ964" s="785"/>
      <c r="AK964" s="785"/>
      <c r="AL964" s="785"/>
      <c r="AM964" s="785"/>
      <c r="AN964" s="785"/>
      <c r="AO964" s="785"/>
      <c r="AP964" s="785"/>
      <c r="AQ964" s="785"/>
      <c r="AR964" s="678" t="str">
        <f>$Q$1</f>
        <v xml:space="preserve">PRINTED:  </v>
      </c>
      <c r="AS964" s="686">
        <f ca="1">$R$1</f>
        <v>44881.729633912037</v>
      </c>
    </row>
    <row r="965" spans="1:47" ht="15.75" customHeight="1" x14ac:dyDescent="0.3">
      <c r="R965" s="67"/>
      <c r="AC965" s="579"/>
      <c r="AD965" s="786" t="str">
        <f>+$A$8</f>
        <v>Revised:  11/4/2019</v>
      </c>
      <c r="AE965" s="788"/>
      <c r="AF965" s="788"/>
      <c r="AG965" s="788"/>
      <c r="AH965" s="788"/>
      <c r="AI965" s="788"/>
      <c r="AJ965" s="788"/>
      <c r="AK965" s="788"/>
      <c r="AL965" s="788"/>
      <c r="AM965" s="788"/>
      <c r="AN965" s="788"/>
      <c r="AO965" s="788"/>
      <c r="AP965" s="788"/>
      <c r="AQ965" s="788"/>
      <c r="AR965" s="139"/>
      <c r="AS965" s="561"/>
    </row>
    <row r="966" spans="1:47" ht="15.75" customHeight="1" x14ac:dyDescent="0.3">
      <c r="A966" s="139"/>
      <c r="AC966" s="579"/>
      <c r="AD966" s="786" t="s">
        <v>2878</v>
      </c>
      <c r="AE966" s="789"/>
      <c r="AF966" s="789"/>
      <c r="AG966" s="789"/>
      <c r="AH966" s="789"/>
      <c r="AI966" s="789"/>
      <c r="AJ966" s="789"/>
      <c r="AK966" s="789"/>
      <c r="AL966" s="789"/>
      <c r="AM966" s="789"/>
      <c r="AN966" s="789"/>
      <c r="AO966" s="789"/>
      <c r="AP966" s="789"/>
      <c r="AQ966" s="789"/>
      <c r="AS966" s="561"/>
    </row>
    <row r="967" spans="1:47" ht="15.75" customHeight="1" x14ac:dyDescent="0.3">
      <c r="A967" s="139"/>
      <c r="AC967" s="579"/>
      <c r="AS967" s="561"/>
    </row>
    <row r="968" spans="1:47" ht="15.75" customHeight="1" thickBot="1" x14ac:dyDescent="0.35">
      <c r="A968" s="139"/>
      <c r="AC968" s="579"/>
      <c r="AD968" s="787">
        <f>$A$5</f>
        <v>2019</v>
      </c>
      <c r="AE968" s="789"/>
      <c r="AF968" s="789"/>
      <c r="AG968" s="789"/>
      <c r="AH968" s="789"/>
      <c r="AI968" s="789"/>
      <c r="AJ968" s="789"/>
      <c r="AK968" s="789"/>
      <c r="AL968" s="789"/>
      <c r="AM968" s="789"/>
      <c r="AN968" s="789"/>
      <c r="AO968" s="789"/>
      <c r="AP968" s="789"/>
      <c r="AQ968" s="789"/>
      <c r="AS968" s="561"/>
    </row>
    <row r="969" spans="1:47" ht="15.75" customHeight="1" x14ac:dyDescent="0.3">
      <c r="A969" s="651"/>
      <c r="B969" s="782" t="s">
        <v>1198</v>
      </c>
      <c r="C969" s="782"/>
      <c r="D969" s="782"/>
      <c r="E969" s="782"/>
      <c r="F969" s="782"/>
      <c r="G969" s="782"/>
      <c r="H969" s="782"/>
      <c r="I969" s="782"/>
      <c r="J969" s="782"/>
      <c r="K969" s="782"/>
      <c r="L969" s="782"/>
      <c r="M969" s="782"/>
      <c r="N969" s="782"/>
      <c r="O969" s="782"/>
      <c r="P969" s="782"/>
      <c r="Q969" s="678" t="str">
        <f>+Q1</f>
        <v xml:space="preserve">PRINTED:  </v>
      </c>
      <c r="R969" s="679">
        <f ca="1">+R1</f>
        <v>44881.729633912037</v>
      </c>
      <c r="AC969" s="579"/>
      <c r="AD969" s="786" t="s">
        <v>2919</v>
      </c>
      <c r="AE969" s="788"/>
      <c r="AF969" s="788"/>
      <c r="AG969" s="788"/>
      <c r="AH969" s="788"/>
      <c r="AI969" s="788"/>
      <c r="AJ969" s="788"/>
      <c r="AK969" s="788"/>
      <c r="AL969" s="788"/>
      <c r="AM969" s="788"/>
      <c r="AN969" s="788"/>
      <c r="AO969" s="788"/>
      <c r="AP969" s="788"/>
      <c r="AQ969" s="788"/>
      <c r="AR969" s="70"/>
      <c r="AS969" s="561"/>
    </row>
    <row r="970" spans="1:47" ht="16.5" customHeight="1" x14ac:dyDescent="0.3">
      <c r="A970" s="553"/>
      <c r="B970" s="786" t="str">
        <f>+A8</f>
        <v>Revised:  11/4/2019</v>
      </c>
      <c r="C970" s="786"/>
      <c r="D970" s="786"/>
      <c r="E970" s="786"/>
      <c r="F970" s="786"/>
      <c r="G970" s="786"/>
      <c r="H970" s="786"/>
      <c r="I970" s="786"/>
      <c r="J970" s="786"/>
      <c r="K970" s="786"/>
      <c r="L970" s="786"/>
      <c r="M970" s="786"/>
      <c r="N970" s="786"/>
      <c r="O970" s="786"/>
      <c r="P970" s="786"/>
      <c r="Q970" s="67"/>
      <c r="R970" s="552"/>
      <c r="AC970" s="579"/>
      <c r="AK970" s="670"/>
      <c r="AS970" s="561"/>
    </row>
    <row r="971" spans="1:47" ht="15.75" customHeight="1" thickBot="1" x14ac:dyDescent="0.35">
      <c r="A971" s="553"/>
      <c r="B971" s="786" t="s">
        <v>2878</v>
      </c>
      <c r="C971" s="786"/>
      <c r="D971" s="786"/>
      <c r="E971" s="786"/>
      <c r="F971" s="786"/>
      <c r="G971" s="786"/>
      <c r="H971" s="786"/>
      <c r="I971" s="786"/>
      <c r="J971" s="786"/>
      <c r="K971" s="786"/>
      <c r="L971" s="786"/>
      <c r="M971" s="786"/>
      <c r="N971" s="786"/>
      <c r="O971" s="786"/>
      <c r="P971" s="786"/>
      <c r="Q971" s="67"/>
      <c r="R971" s="552"/>
      <c r="AC971" s="579"/>
      <c r="AD971" s="634" t="s">
        <v>1308</v>
      </c>
      <c r="AE971" s="634" t="s">
        <v>1309</v>
      </c>
      <c r="AF971" s="634" t="s">
        <v>1029</v>
      </c>
      <c r="AG971" s="634" t="s">
        <v>1030</v>
      </c>
      <c r="AH971" s="634" t="s">
        <v>284</v>
      </c>
      <c r="AI971" s="634" t="s">
        <v>285</v>
      </c>
      <c r="AJ971" s="634" t="s">
        <v>286</v>
      </c>
      <c r="AK971" s="634" t="s">
        <v>287</v>
      </c>
      <c r="AL971" s="634" t="s">
        <v>288</v>
      </c>
      <c r="AM971" s="634" t="s">
        <v>289</v>
      </c>
      <c r="AN971" s="634" t="s">
        <v>633</v>
      </c>
      <c r="AO971" s="634" t="s">
        <v>634</v>
      </c>
      <c r="AP971" s="634" t="s">
        <v>1192</v>
      </c>
      <c r="AQ971" s="634" t="s">
        <v>524</v>
      </c>
      <c r="AR971" s="634" t="s">
        <v>525</v>
      </c>
      <c r="AS971" s="684" t="s">
        <v>2356</v>
      </c>
    </row>
    <row r="972" spans="1:47" ht="15.75" customHeight="1" x14ac:dyDescent="0.3">
      <c r="A972" s="553"/>
      <c r="B972" s="67"/>
      <c r="C972" s="67"/>
      <c r="D972" s="67"/>
      <c r="E972" s="67"/>
      <c r="F972" s="67"/>
      <c r="G972" s="67"/>
      <c r="H972" s="67"/>
      <c r="I972" s="67"/>
      <c r="J972" s="67"/>
      <c r="K972" s="67"/>
      <c r="L972" s="67"/>
      <c r="M972" s="67"/>
      <c r="N972" s="67"/>
      <c r="O972" s="67"/>
      <c r="P972" s="67"/>
      <c r="Q972" s="67"/>
      <c r="R972" s="552"/>
      <c r="AC972" s="579"/>
      <c r="AD972" s="67"/>
      <c r="AE972" s="67"/>
      <c r="AF972" s="67"/>
      <c r="AG972" s="67"/>
      <c r="AH972" s="70" t="s">
        <v>2910</v>
      </c>
      <c r="AI972" s="67"/>
      <c r="AJ972" s="67"/>
      <c r="AK972" s="67"/>
      <c r="AL972" s="67"/>
      <c r="AM972" s="67"/>
      <c r="AN972" s="67"/>
      <c r="AO972" s="67"/>
      <c r="AP972" s="67"/>
      <c r="AQ972" s="67"/>
      <c r="AR972" s="67"/>
      <c r="AS972" s="636"/>
    </row>
    <row r="973" spans="1:47" ht="15.75" customHeight="1" x14ac:dyDescent="0.3">
      <c r="A973" s="553"/>
      <c r="B973" s="787">
        <f>A5</f>
        <v>2019</v>
      </c>
      <c r="C973" s="787"/>
      <c r="D973" s="787"/>
      <c r="E973" s="787"/>
      <c r="F973" s="787"/>
      <c r="G973" s="787"/>
      <c r="H973" s="787"/>
      <c r="I973" s="787"/>
      <c r="J973" s="787"/>
      <c r="K973" s="787"/>
      <c r="L973" s="787"/>
      <c r="M973" s="787"/>
      <c r="N973" s="787"/>
      <c r="O973" s="787"/>
      <c r="P973" s="787"/>
      <c r="Q973" s="67"/>
      <c r="R973" s="552"/>
      <c r="S973" s="67"/>
      <c r="AC973" s="642" t="s">
        <v>3040</v>
      </c>
      <c r="AD973" s="687">
        <v>1.7000000000000001E-2</v>
      </c>
      <c r="AE973" s="687">
        <v>1.7000000000000001E-2</v>
      </c>
      <c r="AF973" s="687">
        <v>1.7000000000000001E-2</v>
      </c>
      <c r="AG973" s="687">
        <v>1.7000000000000001E-2</v>
      </c>
      <c r="AH973" s="687"/>
      <c r="AI973" s="687"/>
      <c r="AJ973" s="687"/>
      <c r="AK973" s="687"/>
      <c r="AL973" s="687"/>
      <c r="AM973" s="687"/>
      <c r="AN973" s="687"/>
      <c r="AO973" s="687"/>
      <c r="AP973" s="687"/>
      <c r="AQ973" s="687"/>
      <c r="AR973" s="687"/>
      <c r="AS973" s="592"/>
    </row>
    <row r="974" spans="1:47" ht="15.75" customHeight="1" x14ac:dyDescent="0.3">
      <c r="A974" s="553"/>
      <c r="B974" s="786" t="s">
        <v>2919</v>
      </c>
      <c r="C974" s="786"/>
      <c r="D974" s="786"/>
      <c r="E974" s="786"/>
      <c r="F974" s="786"/>
      <c r="G974" s="786"/>
      <c r="H974" s="786"/>
      <c r="I974" s="786"/>
      <c r="J974" s="786"/>
      <c r="K974" s="786"/>
      <c r="L974" s="786"/>
      <c r="M974" s="786"/>
      <c r="N974" s="786"/>
      <c r="O974" s="786"/>
      <c r="P974" s="786"/>
      <c r="Q974" s="67"/>
      <c r="R974" s="552"/>
      <c r="S974" s="67"/>
      <c r="AC974" s="642" t="s">
        <v>2908</v>
      </c>
      <c r="AD974" s="687"/>
      <c r="AE974" s="687">
        <v>0.03</v>
      </c>
      <c r="AF974" s="687"/>
      <c r="AG974" s="687"/>
      <c r="AH974" s="687"/>
      <c r="AI974" s="687"/>
      <c r="AJ974" s="687"/>
      <c r="AK974" s="687"/>
      <c r="AL974" s="687"/>
      <c r="AM974" s="687">
        <v>0.03</v>
      </c>
      <c r="AN974" s="687">
        <v>0.03</v>
      </c>
      <c r="AO974" s="687">
        <v>0.03</v>
      </c>
      <c r="AP974" s="687">
        <v>0.03</v>
      </c>
      <c r="AQ974" s="687">
        <v>0.03</v>
      </c>
      <c r="AR974" s="687">
        <v>0.03</v>
      </c>
      <c r="AS974" s="592"/>
    </row>
    <row r="975" spans="1:47" ht="15.75" customHeight="1" x14ac:dyDescent="0.3">
      <c r="A975" s="553"/>
      <c r="B975" s="67"/>
      <c r="C975" s="67"/>
      <c r="D975" s="67"/>
      <c r="E975" s="67"/>
      <c r="F975" s="67"/>
      <c r="G975" s="67"/>
      <c r="H975" s="67"/>
      <c r="I975" s="67"/>
      <c r="J975" s="67"/>
      <c r="K975" s="67"/>
      <c r="L975" s="67"/>
      <c r="M975" s="67"/>
      <c r="N975" s="67"/>
      <c r="O975" s="67"/>
      <c r="P975" s="67"/>
      <c r="Q975" s="67"/>
      <c r="R975" s="552"/>
      <c r="S975" s="67"/>
      <c r="AC975" s="642" t="s">
        <v>2909</v>
      </c>
      <c r="AD975" s="687"/>
      <c r="AE975" s="687"/>
      <c r="AF975" s="687">
        <v>0.03</v>
      </c>
      <c r="AG975" s="687">
        <v>0.03</v>
      </c>
      <c r="AH975" s="687"/>
      <c r="AI975" s="687"/>
      <c r="AJ975" s="687"/>
      <c r="AK975" s="687"/>
      <c r="AL975" s="687"/>
      <c r="AM975" s="687"/>
      <c r="AN975" s="687"/>
      <c r="AO975" s="687"/>
      <c r="AP975" s="687"/>
      <c r="AQ975" s="687"/>
      <c r="AR975" s="687"/>
      <c r="AS975" s="592"/>
    </row>
    <row r="976" spans="1:47" ht="15.75" customHeight="1" thickBot="1" x14ac:dyDescent="0.35">
      <c r="A976" s="553" t="s">
        <v>845</v>
      </c>
      <c r="B976" s="634" t="s">
        <v>1308</v>
      </c>
      <c r="C976" s="634" t="s">
        <v>1309</v>
      </c>
      <c r="D976" s="634" t="s">
        <v>1029</v>
      </c>
      <c r="E976" s="634" t="s">
        <v>1030</v>
      </c>
      <c r="F976" s="634" t="s">
        <v>284</v>
      </c>
      <c r="G976" s="634" t="s">
        <v>284</v>
      </c>
      <c r="H976" s="634" t="s">
        <v>285</v>
      </c>
      <c r="I976" s="634" t="s">
        <v>286</v>
      </c>
      <c r="J976" s="634" t="s">
        <v>287</v>
      </c>
      <c r="K976" s="634" t="s">
        <v>288</v>
      </c>
      <c r="L976" s="634" t="s">
        <v>289</v>
      </c>
      <c r="M976" s="634" t="s">
        <v>633</v>
      </c>
      <c r="N976" s="634" t="s">
        <v>634</v>
      </c>
      <c r="O976" s="634" t="s">
        <v>1192</v>
      </c>
      <c r="P976" s="634" t="s">
        <v>524</v>
      </c>
      <c r="Q976" s="634" t="s">
        <v>525</v>
      </c>
      <c r="R976" s="684" t="s">
        <v>2356</v>
      </c>
      <c r="S976" s="70"/>
      <c r="AC976" s="642" t="s">
        <v>2760</v>
      </c>
      <c r="AD976" s="687"/>
      <c r="AE976" s="687"/>
      <c r="AF976" s="687"/>
      <c r="AG976" s="687"/>
      <c r="AH976" s="687"/>
      <c r="AI976" s="687">
        <v>0.03</v>
      </c>
      <c r="AJ976" s="687"/>
      <c r="AK976" s="687"/>
      <c r="AL976" s="687"/>
      <c r="AM976" s="687"/>
      <c r="AN976" s="687"/>
      <c r="AO976" s="687"/>
      <c r="AP976" s="687"/>
      <c r="AQ976" s="687"/>
      <c r="AR976" s="687"/>
      <c r="AS976" s="592"/>
    </row>
    <row r="977" spans="1:48" ht="15.75" customHeight="1" x14ac:dyDescent="0.3">
      <c r="A977" s="553"/>
      <c r="B977" s="67"/>
      <c r="C977" s="67"/>
      <c r="D977" s="67"/>
      <c r="E977" s="67"/>
      <c r="F977" s="70" t="s">
        <v>1193</v>
      </c>
      <c r="G977" s="70" t="s">
        <v>1194</v>
      </c>
      <c r="H977" s="67"/>
      <c r="I977" s="67"/>
      <c r="J977" s="67"/>
      <c r="K977" s="67"/>
      <c r="L977" s="67"/>
      <c r="M977" s="67"/>
      <c r="N977" s="67"/>
      <c r="O977" s="67"/>
      <c r="P977" s="67"/>
      <c r="Q977" s="67"/>
      <c r="R977" s="592" t="s">
        <v>1236</v>
      </c>
      <c r="S977" s="70"/>
      <c r="AC977" s="642" t="s">
        <v>2634</v>
      </c>
      <c r="AD977" s="687">
        <v>0.03</v>
      </c>
      <c r="AE977" s="687"/>
      <c r="AF977" s="687"/>
      <c r="AG977" s="687"/>
      <c r="AH977" s="687"/>
      <c r="AI977" s="687"/>
      <c r="AJ977" s="687">
        <v>0.03</v>
      </c>
      <c r="AK977" s="687">
        <v>0.03</v>
      </c>
      <c r="AL977" s="687">
        <v>0.03</v>
      </c>
      <c r="AM977" s="687"/>
      <c r="AN977" s="687"/>
      <c r="AO977" s="687"/>
      <c r="AP977" s="687"/>
      <c r="AQ977" s="687"/>
      <c r="AR977" s="687"/>
      <c r="AS977" s="592"/>
    </row>
    <row r="978" spans="1:48" ht="15.75" customHeight="1" x14ac:dyDescent="0.3">
      <c r="A978" s="553" t="s">
        <v>2917</v>
      </c>
      <c r="B978" s="677">
        <v>957</v>
      </c>
      <c r="C978" s="677">
        <v>122</v>
      </c>
      <c r="D978" s="677">
        <v>128</v>
      </c>
      <c r="E978" s="677">
        <v>219</v>
      </c>
      <c r="F978" s="677"/>
      <c r="G978" s="677"/>
      <c r="H978" s="677">
        <v>97</v>
      </c>
      <c r="I978" s="677">
        <v>160</v>
      </c>
      <c r="J978" s="677">
        <v>250</v>
      </c>
      <c r="K978" s="677">
        <v>260</v>
      </c>
      <c r="L978" s="677">
        <v>100</v>
      </c>
      <c r="M978" s="677">
        <v>118</v>
      </c>
      <c r="N978" s="677">
        <v>250</v>
      </c>
      <c r="O978" s="677">
        <v>190</v>
      </c>
      <c r="P978" s="677">
        <v>340</v>
      </c>
      <c r="Q978" s="677">
        <v>450</v>
      </c>
      <c r="R978" s="592" t="s">
        <v>335</v>
      </c>
      <c r="S978" s="70"/>
      <c r="AC978" s="642" t="s">
        <v>2356</v>
      </c>
      <c r="AD978" s="217">
        <f>SUM(AD973:AD977)</f>
        <v>4.7E-2</v>
      </c>
      <c r="AE978" s="217">
        <f t="shared" ref="AE978:AR978" si="349">SUM(AE973:AE977)</f>
        <v>4.7E-2</v>
      </c>
      <c r="AF978" s="217">
        <f t="shared" si="349"/>
        <v>4.7E-2</v>
      </c>
      <c r="AG978" s="217">
        <f t="shared" si="349"/>
        <v>4.7E-2</v>
      </c>
      <c r="AH978" s="217">
        <f t="shared" si="349"/>
        <v>0</v>
      </c>
      <c r="AI978" s="217">
        <f t="shared" si="349"/>
        <v>0.03</v>
      </c>
      <c r="AJ978" s="217">
        <f t="shared" si="349"/>
        <v>0.03</v>
      </c>
      <c r="AK978" s="217">
        <f t="shared" si="349"/>
        <v>0.03</v>
      </c>
      <c r="AL978" s="217">
        <f t="shared" si="349"/>
        <v>0.03</v>
      </c>
      <c r="AM978" s="217">
        <f t="shared" si="349"/>
        <v>0.03</v>
      </c>
      <c r="AN978" s="217">
        <f t="shared" si="349"/>
        <v>0.03</v>
      </c>
      <c r="AO978" s="217">
        <f t="shared" si="349"/>
        <v>0.03</v>
      </c>
      <c r="AP978" s="217">
        <f t="shared" si="349"/>
        <v>0.03</v>
      </c>
      <c r="AQ978" s="217">
        <f t="shared" si="349"/>
        <v>0.03</v>
      </c>
      <c r="AR978" s="217">
        <f t="shared" si="349"/>
        <v>0.03</v>
      </c>
      <c r="AS978" s="592"/>
      <c r="AU978" s="139" t="s">
        <v>3084</v>
      </c>
      <c r="AV978" t="s">
        <v>3085</v>
      </c>
    </row>
    <row r="979" spans="1:48" ht="15.75" customHeight="1" x14ac:dyDescent="0.3">
      <c r="A979" s="553"/>
      <c r="B979" s="70" t="s">
        <v>1353</v>
      </c>
      <c r="C979" s="70" t="s">
        <v>1353</v>
      </c>
      <c r="D979" s="70" t="s">
        <v>1353</v>
      </c>
      <c r="E979" s="70" t="s">
        <v>1353</v>
      </c>
      <c r="F979" s="70" t="s">
        <v>1353</v>
      </c>
      <c r="G979" s="70" t="s">
        <v>1353</v>
      </c>
      <c r="H979" s="70" t="s">
        <v>1353</v>
      </c>
      <c r="I979" s="70" t="s">
        <v>1353</v>
      </c>
      <c r="J979" s="70" t="s">
        <v>1353</v>
      </c>
      <c r="K979" s="70" t="s">
        <v>1353</v>
      </c>
      <c r="L979" s="70" t="s">
        <v>1353</v>
      </c>
      <c r="M979" s="70" t="s">
        <v>1353</v>
      </c>
      <c r="N979" s="70" t="s">
        <v>1353</v>
      </c>
      <c r="O979" s="70" t="s">
        <v>1353</v>
      </c>
      <c r="P979" s="70" t="s">
        <v>1353</v>
      </c>
      <c r="Q979" s="70" t="s">
        <v>1353</v>
      </c>
      <c r="R979" s="592" t="s">
        <v>251</v>
      </c>
      <c r="S979" s="70"/>
      <c r="T979" s="70"/>
      <c r="AC979" s="553" t="s">
        <v>1353</v>
      </c>
      <c r="AD979" s="70" t="s">
        <v>1353</v>
      </c>
      <c r="AE979" s="70" t="s">
        <v>1353</v>
      </c>
      <c r="AF979" s="70" t="s">
        <v>1353</v>
      </c>
      <c r="AG979" s="70" t="s">
        <v>1353</v>
      </c>
      <c r="AH979" s="70" t="s">
        <v>1353</v>
      </c>
      <c r="AI979" s="70" t="s">
        <v>1353</v>
      </c>
      <c r="AJ979" s="70" t="s">
        <v>1353</v>
      </c>
      <c r="AK979" s="70" t="s">
        <v>1353</v>
      </c>
      <c r="AL979" s="70" t="s">
        <v>1353</v>
      </c>
      <c r="AM979" s="70" t="s">
        <v>1353</v>
      </c>
      <c r="AN979" s="70" t="s">
        <v>1353</v>
      </c>
      <c r="AO979" s="70" t="s">
        <v>1353</v>
      </c>
      <c r="AP979" s="70" t="s">
        <v>1353</v>
      </c>
      <c r="AQ979" s="70" t="s">
        <v>1353</v>
      </c>
      <c r="AR979" s="70" t="s">
        <v>1353</v>
      </c>
      <c r="AS979" s="592" t="s">
        <v>1353</v>
      </c>
    </row>
    <row r="980" spans="1:48" ht="15.75" customHeight="1" x14ac:dyDescent="0.3">
      <c r="A980" s="139" t="s">
        <v>2843</v>
      </c>
      <c r="B980" s="67">
        <f>ROUND((B923*$B$978)/1000,0)</f>
        <v>83585</v>
      </c>
      <c r="C980" s="67">
        <f t="shared" ref="C980:C991" si="350">ROUND((C923*$C$978)/1000,0)</f>
        <v>10644</v>
      </c>
      <c r="D980" s="67">
        <f t="shared" ref="D980:D991" si="351">ROUND((D923*$D$978)/1000,0)</f>
        <v>11155</v>
      </c>
      <c r="E980" s="67">
        <f t="shared" ref="E980:E991" si="352">ROUND((E923*$E$978)/1000,0)</f>
        <v>18939</v>
      </c>
      <c r="F980" s="67">
        <f>(F923*((T923-1526.8)/0.7702))/1000</f>
        <v>13052.397195862251</v>
      </c>
      <c r="G980" s="67">
        <f t="shared" ref="G980:G991" si="353">(G923*((T923-1591.4)/0.6635))/1000</f>
        <v>-2639.3391493542172</v>
      </c>
      <c r="H980" s="67">
        <f t="shared" ref="H980:H991" si="354">ROUND((H923*$H$978)/1000,0)</f>
        <v>2355</v>
      </c>
      <c r="I980" s="67">
        <f t="shared" ref="I980:I991" si="355">ROUND((I923*$I$978)/1000,0)</f>
        <v>2431</v>
      </c>
      <c r="J980" s="67">
        <f t="shared" ref="J980:J991" si="356">ROUND((J923*$J$978)/1000,0)</f>
        <v>3794</v>
      </c>
      <c r="K980" s="67">
        <f t="shared" ref="K980:K991" si="357">ROUND((K923*$K$978)/1000,0)</f>
        <v>3940</v>
      </c>
      <c r="L980" s="67">
        <f t="shared" ref="L980:L991" si="358">ROUND((L923*$L$978)/1000,0)</f>
        <v>1279</v>
      </c>
      <c r="M980" s="67">
        <f t="shared" ref="M980:M991" si="359">ROUND((M923*$M$978)/1000,0)</f>
        <v>1507</v>
      </c>
      <c r="N980" s="67">
        <f t="shared" ref="N980:N991" si="360">ROUND((N923*$N$978)/1000,0)</f>
        <v>3091</v>
      </c>
      <c r="O980" s="67">
        <f t="shared" ref="O980:O991" si="361">ROUND((O923*$O$978)/1000,0)</f>
        <v>663</v>
      </c>
      <c r="P980" s="67">
        <f t="shared" ref="P980:P991" si="362">ROUND((P923*$P$978)/1000,0)</f>
        <v>1294</v>
      </c>
      <c r="Q980" s="67">
        <f t="shared" ref="Q980:Q991" si="363">ROUND((Q923*$Q$978)/1000,0)</f>
        <v>1570</v>
      </c>
      <c r="R980" s="638">
        <f>(SUM(B980:Q980))</f>
        <v>156660.05804650803</v>
      </c>
      <c r="S980" s="73"/>
      <c r="AC980" s="642" t="s">
        <v>2843</v>
      </c>
      <c r="AD980" s="67">
        <f>ROUND(B980*$AD$978, 0)</f>
        <v>3928</v>
      </c>
      <c r="AE980" s="67">
        <f>ROUND(C980*$AE$978,0)</f>
        <v>500</v>
      </c>
      <c r="AF980" s="67">
        <f>ROUND(D980*$AF$978,0)</f>
        <v>524</v>
      </c>
      <c r="AG980" s="67">
        <f>ROUND(E980*$AG$978,0)</f>
        <v>890</v>
      </c>
      <c r="AH980" s="67">
        <f>ROUND(F980*$AH$978,0)</f>
        <v>0</v>
      </c>
      <c r="AI980" s="67">
        <f>ROUND(H980*$AI$978,0)</f>
        <v>71</v>
      </c>
      <c r="AJ980" s="67">
        <f>ROUND(I980*$AJ$978,0)</f>
        <v>73</v>
      </c>
      <c r="AK980" s="67">
        <f>ROUND(J980*$AK$978,0)</f>
        <v>114</v>
      </c>
      <c r="AL980" s="67">
        <f>ROUND(K980*$AL$978,0)</f>
        <v>118</v>
      </c>
      <c r="AM980" s="67">
        <f>ROUND(L980*$AM$978,0)</f>
        <v>38</v>
      </c>
      <c r="AN980" s="67">
        <f>ROUND(M980*$AN$978,0)</f>
        <v>45</v>
      </c>
      <c r="AO980" s="67">
        <f>ROUND(N980*$AO$978,0)</f>
        <v>93</v>
      </c>
      <c r="AP980" s="67">
        <f>ROUND(O980*$AP$978,0)</f>
        <v>20</v>
      </c>
      <c r="AQ980" s="67">
        <f>ROUND(P980*$AQ$978,0)</f>
        <v>39</v>
      </c>
      <c r="AR980" s="67">
        <f>ROUND(Q980*$AR$978,0)</f>
        <v>47</v>
      </c>
      <c r="AS980" s="636">
        <f>SUM(AD980:AR980)</f>
        <v>6500</v>
      </c>
      <c r="AU980" s="708">
        <f>AS980/R980</f>
        <v>4.1491111908501466E-2</v>
      </c>
    </row>
    <row r="981" spans="1:48" ht="15.75" customHeight="1" x14ac:dyDescent="0.3">
      <c r="A981" s="139" t="s">
        <v>2091</v>
      </c>
      <c r="B981" s="67">
        <f t="shared" ref="B981:B991" si="364">ROUND((B924*$B$978)/1000,0)</f>
        <v>144871</v>
      </c>
      <c r="C981" s="67">
        <f t="shared" si="350"/>
        <v>18450</v>
      </c>
      <c r="D981" s="67">
        <f t="shared" si="351"/>
        <v>19339</v>
      </c>
      <c r="E981" s="67">
        <f t="shared" si="352"/>
        <v>32983</v>
      </c>
      <c r="F981" s="67">
        <f t="shared" ref="F981:F991" si="365">(F924*((T924-1526.8)/0.7702))/1000</f>
        <v>21538.172400571704</v>
      </c>
      <c r="G981" s="67">
        <f>(G924*((T924-1591.4)/0.6635))/1000</f>
        <v>0</v>
      </c>
      <c r="H981" s="67">
        <f t="shared" si="354"/>
        <v>3013</v>
      </c>
      <c r="I981" s="67">
        <f t="shared" si="355"/>
        <v>2365</v>
      </c>
      <c r="J981" s="67">
        <f t="shared" si="356"/>
        <v>3691</v>
      </c>
      <c r="K981" s="67">
        <f t="shared" si="357"/>
        <v>3827</v>
      </c>
      <c r="L981" s="67">
        <f t="shared" si="358"/>
        <v>997</v>
      </c>
      <c r="M981" s="67">
        <f t="shared" si="359"/>
        <v>1174</v>
      </c>
      <c r="N981" s="67">
        <f t="shared" si="360"/>
        <v>2296</v>
      </c>
      <c r="O981" s="67">
        <f t="shared" si="361"/>
        <v>644</v>
      </c>
      <c r="P981" s="67">
        <f t="shared" si="362"/>
        <v>1294</v>
      </c>
      <c r="Q981" s="67">
        <f t="shared" si="363"/>
        <v>1524</v>
      </c>
      <c r="R981" s="638">
        <f>(SUM(B981:Q981))</f>
        <v>258006.1724005717</v>
      </c>
      <c r="S981" s="73"/>
      <c r="AC981" s="642" t="s">
        <v>2091</v>
      </c>
      <c r="AD981" s="67">
        <f t="shared" ref="AD981:AD991" si="366">ROUND(B981*$AD$978, 0)</f>
        <v>6809</v>
      </c>
      <c r="AE981" s="67">
        <f t="shared" ref="AE981:AE991" si="367">ROUND(C981*$AE$978,0)</f>
        <v>867</v>
      </c>
      <c r="AF981" s="67">
        <f t="shared" ref="AF981:AF991" si="368">ROUND(D981*$AF$978,0)</f>
        <v>909</v>
      </c>
      <c r="AG981" s="67">
        <f t="shared" ref="AG981:AG991" si="369">ROUND(E981*$AG$978,0)</f>
        <v>1550</v>
      </c>
      <c r="AH981" s="67">
        <f t="shared" ref="AH981:AH991" si="370">ROUND(F981*$AH$978,0)</f>
        <v>0</v>
      </c>
      <c r="AI981" s="67">
        <f t="shared" ref="AI981:AI991" si="371">ROUND(H981*$AI$978,0)</f>
        <v>90</v>
      </c>
      <c r="AJ981" s="67">
        <f t="shared" ref="AJ981:AJ991" si="372">ROUND(I981*$AJ$978,0)</f>
        <v>71</v>
      </c>
      <c r="AK981" s="67">
        <f t="shared" ref="AK981:AK991" si="373">ROUND(J981*$AK$978,0)</f>
        <v>111</v>
      </c>
      <c r="AL981" s="67">
        <f t="shared" ref="AL981:AL991" si="374">ROUND(K981*$AL$978,0)</f>
        <v>115</v>
      </c>
      <c r="AM981" s="67">
        <f t="shared" ref="AM981:AM991" si="375">ROUND(L981*$AM$978,0)</f>
        <v>30</v>
      </c>
      <c r="AN981" s="67">
        <f t="shared" ref="AN981:AN991" si="376">ROUND(M981*$AN$978,0)</f>
        <v>35</v>
      </c>
      <c r="AO981" s="67">
        <f t="shared" ref="AO981:AO991" si="377">ROUND(N981*$AO$978,0)</f>
        <v>69</v>
      </c>
      <c r="AP981" s="67">
        <f t="shared" ref="AP981:AP991" si="378">ROUND(O981*$AP$978,0)</f>
        <v>19</v>
      </c>
      <c r="AQ981" s="67">
        <f t="shared" ref="AQ981:AQ991" si="379">ROUND(P981*$AQ$978,0)</f>
        <v>39</v>
      </c>
      <c r="AR981" s="67">
        <f t="shared" ref="AR981:AR991" si="380">ROUND(Q981*$AR$978,0)</f>
        <v>46</v>
      </c>
      <c r="AS981" s="636">
        <f t="shared" ref="AS981:AS991" si="381">SUM(AD981:AR981)</f>
        <v>10760</v>
      </c>
      <c r="AU981" s="708">
        <f t="shared" ref="AU981:AU993" si="382">AS981/R981</f>
        <v>4.1704428618453304E-2</v>
      </c>
    </row>
    <row r="982" spans="1:48" ht="15.75" customHeight="1" x14ac:dyDescent="0.3">
      <c r="A982" s="139" t="s">
        <v>2234</v>
      </c>
      <c r="B982" s="67">
        <f t="shared" si="364"/>
        <v>79184</v>
      </c>
      <c r="C982" s="67">
        <f t="shared" si="350"/>
        <v>10061</v>
      </c>
      <c r="D982" s="67">
        <f t="shared" si="351"/>
        <v>10522</v>
      </c>
      <c r="E982" s="67">
        <f t="shared" si="352"/>
        <v>17554</v>
      </c>
      <c r="F982" s="67">
        <f t="shared" si="365"/>
        <v>13.631106578294723</v>
      </c>
      <c r="G982" s="67">
        <f t="shared" si="353"/>
        <v>-20.046958757287321</v>
      </c>
      <c r="H982" s="67">
        <f t="shared" si="354"/>
        <v>5434</v>
      </c>
      <c r="I982" s="67">
        <f t="shared" si="355"/>
        <v>3843</v>
      </c>
      <c r="J982" s="67">
        <f t="shared" si="356"/>
        <v>5349</v>
      </c>
      <c r="K982" s="67">
        <f t="shared" si="357"/>
        <v>5387</v>
      </c>
      <c r="L982" s="67">
        <f t="shared" si="358"/>
        <v>1475</v>
      </c>
      <c r="M982" s="67">
        <f t="shared" si="359"/>
        <v>1737</v>
      </c>
      <c r="N982" s="67">
        <f t="shared" si="360"/>
        <v>3406</v>
      </c>
      <c r="O982" s="67">
        <f t="shared" si="361"/>
        <v>621</v>
      </c>
      <c r="P982" s="67">
        <f t="shared" si="362"/>
        <v>1617</v>
      </c>
      <c r="Q982" s="67">
        <f t="shared" si="363"/>
        <v>1467</v>
      </c>
      <c r="R982" s="638">
        <f t="shared" ref="R982:R991" si="383">(SUM(B982:Q982))</f>
        <v>147650.58414782101</v>
      </c>
      <c r="S982" s="73"/>
      <c r="AC982" s="642" t="s">
        <v>2234</v>
      </c>
      <c r="AD982" s="67">
        <f t="shared" si="366"/>
        <v>3722</v>
      </c>
      <c r="AE982" s="67">
        <f t="shared" si="367"/>
        <v>473</v>
      </c>
      <c r="AF982" s="67">
        <f t="shared" si="368"/>
        <v>495</v>
      </c>
      <c r="AG982" s="67">
        <f t="shared" si="369"/>
        <v>825</v>
      </c>
      <c r="AH982" s="67">
        <f t="shared" si="370"/>
        <v>0</v>
      </c>
      <c r="AI982" s="67">
        <f t="shared" si="371"/>
        <v>163</v>
      </c>
      <c r="AJ982" s="67">
        <f t="shared" si="372"/>
        <v>115</v>
      </c>
      <c r="AK982" s="67">
        <f t="shared" si="373"/>
        <v>160</v>
      </c>
      <c r="AL982" s="67">
        <f t="shared" si="374"/>
        <v>162</v>
      </c>
      <c r="AM982" s="67">
        <f t="shared" si="375"/>
        <v>44</v>
      </c>
      <c r="AN982" s="67">
        <f t="shared" si="376"/>
        <v>52</v>
      </c>
      <c r="AO982" s="67">
        <f t="shared" si="377"/>
        <v>102</v>
      </c>
      <c r="AP982" s="67">
        <f t="shared" si="378"/>
        <v>19</v>
      </c>
      <c r="AQ982" s="67">
        <f t="shared" si="379"/>
        <v>49</v>
      </c>
      <c r="AR982" s="67">
        <f t="shared" si="380"/>
        <v>44</v>
      </c>
      <c r="AS982" s="636">
        <f t="shared" si="381"/>
        <v>6425</v>
      </c>
      <c r="AU982" s="708">
        <f t="shared" si="382"/>
        <v>4.351489726290269E-2</v>
      </c>
    </row>
    <row r="983" spans="1:48" ht="15.75" customHeight="1" x14ac:dyDescent="0.3">
      <c r="A983" s="139" t="s">
        <v>2235</v>
      </c>
      <c r="B983" s="67">
        <f t="shared" si="364"/>
        <v>141313</v>
      </c>
      <c r="C983" s="67">
        <f t="shared" si="350"/>
        <v>17970</v>
      </c>
      <c r="D983" s="67">
        <f t="shared" si="351"/>
        <v>18809</v>
      </c>
      <c r="E983" s="67">
        <f t="shared" si="352"/>
        <v>31117</v>
      </c>
      <c r="F983" s="67">
        <f t="shared" si="365"/>
        <v>2397.5099334300185</v>
      </c>
      <c r="G983" s="67">
        <f t="shared" si="353"/>
        <v>-2100.2498132384621</v>
      </c>
      <c r="H983" s="67">
        <f t="shared" si="354"/>
        <v>10579</v>
      </c>
      <c r="I983" s="67">
        <f t="shared" si="355"/>
        <v>6784</v>
      </c>
      <c r="J983" s="67">
        <f t="shared" si="356"/>
        <v>7954</v>
      </c>
      <c r="K983" s="67">
        <f t="shared" si="357"/>
        <v>7299</v>
      </c>
      <c r="L983" s="67">
        <f t="shared" si="358"/>
        <v>2060</v>
      </c>
      <c r="M983" s="67">
        <f t="shared" si="359"/>
        <v>2426</v>
      </c>
      <c r="N983" s="67">
        <f t="shared" si="360"/>
        <v>4851</v>
      </c>
      <c r="O983" s="67">
        <f t="shared" si="361"/>
        <v>692</v>
      </c>
      <c r="P983" s="67">
        <f t="shared" si="362"/>
        <v>1941</v>
      </c>
      <c r="Q983" s="67">
        <f t="shared" si="363"/>
        <v>1637</v>
      </c>
      <c r="R983" s="638">
        <f t="shared" si="383"/>
        <v>255729.26012019158</v>
      </c>
      <c r="S983" s="73"/>
      <c r="AC983" s="642" t="s">
        <v>2235</v>
      </c>
      <c r="AD983" s="67">
        <f t="shared" si="366"/>
        <v>6642</v>
      </c>
      <c r="AE983" s="67">
        <f t="shared" si="367"/>
        <v>845</v>
      </c>
      <c r="AF983" s="67">
        <f t="shared" si="368"/>
        <v>884</v>
      </c>
      <c r="AG983" s="67">
        <f t="shared" si="369"/>
        <v>1462</v>
      </c>
      <c r="AH983" s="67">
        <f t="shared" si="370"/>
        <v>0</v>
      </c>
      <c r="AI983" s="67">
        <f t="shared" si="371"/>
        <v>317</v>
      </c>
      <c r="AJ983" s="67">
        <f t="shared" si="372"/>
        <v>204</v>
      </c>
      <c r="AK983" s="67">
        <f t="shared" si="373"/>
        <v>239</v>
      </c>
      <c r="AL983" s="67">
        <f t="shared" si="374"/>
        <v>219</v>
      </c>
      <c r="AM983" s="67">
        <f t="shared" si="375"/>
        <v>62</v>
      </c>
      <c r="AN983" s="67">
        <f t="shared" si="376"/>
        <v>73</v>
      </c>
      <c r="AO983" s="67">
        <f t="shared" si="377"/>
        <v>146</v>
      </c>
      <c r="AP983" s="67">
        <f t="shared" si="378"/>
        <v>21</v>
      </c>
      <c r="AQ983" s="67">
        <f t="shared" si="379"/>
        <v>58</v>
      </c>
      <c r="AR983" s="67">
        <f t="shared" si="380"/>
        <v>49</v>
      </c>
      <c r="AS983" s="636">
        <f t="shared" si="381"/>
        <v>11221</v>
      </c>
      <c r="AU983" s="708">
        <f t="shared" si="382"/>
        <v>4.3878436103581504E-2</v>
      </c>
    </row>
    <row r="984" spans="1:48" ht="15.75" customHeight="1" x14ac:dyDescent="0.3">
      <c r="A984" s="139" t="s">
        <v>2236</v>
      </c>
      <c r="B984" s="67">
        <f t="shared" si="364"/>
        <v>146234</v>
      </c>
      <c r="C984" s="67">
        <f t="shared" si="350"/>
        <v>18590</v>
      </c>
      <c r="D984" s="67">
        <f t="shared" si="351"/>
        <v>19453</v>
      </c>
      <c r="E984" s="67">
        <f t="shared" si="352"/>
        <v>32172</v>
      </c>
      <c r="F984" s="67">
        <f t="shared" si="365"/>
        <v>3967.2000396186827</v>
      </c>
      <c r="G984" s="67">
        <f t="shared" si="353"/>
        <v>-2394.1723270542348</v>
      </c>
      <c r="H984" s="67">
        <f t="shared" si="354"/>
        <v>9356</v>
      </c>
      <c r="I984" s="67">
        <f t="shared" si="355"/>
        <v>5623</v>
      </c>
      <c r="J984" s="67">
        <f t="shared" si="356"/>
        <v>7553</v>
      </c>
      <c r="K984" s="67">
        <f t="shared" si="357"/>
        <v>7062</v>
      </c>
      <c r="L984" s="67">
        <f t="shared" si="358"/>
        <v>2055</v>
      </c>
      <c r="M984" s="67">
        <f t="shared" si="359"/>
        <v>2420</v>
      </c>
      <c r="N984" s="67">
        <f t="shared" si="360"/>
        <v>4962</v>
      </c>
      <c r="O984" s="67">
        <f t="shared" si="361"/>
        <v>776</v>
      </c>
      <c r="P984" s="67">
        <f t="shared" si="362"/>
        <v>2280</v>
      </c>
      <c r="Q984" s="67">
        <f t="shared" si="363"/>
        <v>1813</v>
      </c>
      <c r="R984" s="638">
        <f t="shared" si="383"/>
        <v>261922.02771256445</v>
      </c>
      <c r="S984" s="73"/>
      <c r="AC984" s="642" t="s">
        <v>2236</v>
      </c>
      <c r="AD984" s="67">
        <f t="shared" si="366"/>
        <v>6873</v>
      </c>
      <c r="AE984" s="67">
        <f t="shared" si="367"/>
        <v>874</v>
      </c>
      <c r="AF984" s="67">
        <f t="shared" si="368"/>
        <v>914</v>
      </c>
      <c r="AG984" s="67">
        <f t="shared" si="369"/>
        <v>1512</v>
      </c>
      <c r="AH984" s="67">
        <f t="shared" si="370"/>
        <v>0</v>
      </c>
      <c r="AI984" s="67">
        <f t="shared" si="371"/>
        <v>281</v>
      </c>
      <c r="AJ984" s="67">
        <f t="shared" si="372"/>
        <v>169</v>
      </c>
      <c r="AK984" s="67">
        <f t="shared" si="373"/>
        <v>227</v>
      </c>
      <c r="AL984" s="67">
        <f t="shared" si="374"/>
        <v>212</v>
      </c>
      <c r="AM984" s="67">
        <f t="shared" si="375"/>
        <v>62</v>
      </c>
      <c r="AN984" s="67">
        <f t="shared" si="376"/>
        <v>73</v>
      </c>
      <c r="AO984" s="67">
        <f t="shared" si="377"/>
        <v>149</v>
      </c>
      <c r="AP984" s="67">
        <f t="shared" si="378"/>
        <v>23</v>
      </c>
      <c r="AQ984" s="67">
        <f t="shared" si="379"/>
        <v>68</v>
      </c>
      <c r="AR984" s="67">
        <f t="shared" si="380"/>
        <v>54</v>
      </c>
      <c r="AS984" s="636">
        <f t="shared" si="381"/>
        <v>11491</v>
      </c>
      <c r="AU984" s="708">
        <f t="shared" si="382"/>
        <v>4.38718350661607E-2</v>
      </c>
    </row>
    <row r="985" spans="1:48" ht="15.75" customHeight="1" x14ac:dyDescent="0.3">
      <c r="A985" s="139" t="s">
        <v>2237</v>
      </c>
      <c r="B985" s="67">
        <f t="shared" si="364"/>
        <v>102230</v>
      </c>
      <c r="C985" s="67">
        <f t="shared" si="350"/>
        <v>12982</v>
      </c>
      <c r="D985" s="67">
        <f t="shared" si="351"/>
        <v>13569</v>
      </c>
      <c r="E985" s="67">
        <f t="shared" si="352"/>
        <v>21752</v>
      </c>
      <c r="F985" s="67">
        <f t="shared" si="365"/>
        <v>292.59919853525224</v>
      </c>
      <c r="G985" s="67">
        <f t="shared" si="353"/>
        <v>-11185.780401547408</v>
      </c>
      <c r="H985" s="67">
        <f t="shared" si="354"/>
        <v>12345</v>
      </c>
      <c r="I985" s="67">
        <f t="shared" si="355"/>
        <v>7317</v>
      </c>
      <c r="J985" s="67">
        <f t="shared" si="356"/>
        <v>8496</v>
      </c>
      <c r="K985" s="67">
        <f t="shared" si="357"/>
        <v>7515</v>
      </c>
      <c r="L985" s="67">
        <f t="shared" si="358"/>
        <v>2164</v>
      </c>
      <c r="M985" s="67">
        <f t="shared" si="359"/>
        <v>2548</v>
      </c>
      <c r="N985" s="67">
        <f t="shared" si="360"/>
        <v>5049</v>
      </c>
      <c r="O985" s="67">
        <f t="shared" si="361"/>
        <v>834</v>
      </c>
      <c r="P985" s="67">
        <f t="shared" si="362"/>
        <v>2329</v>
      </c>
      <c r="Q985" s="67">
        <f t="shared" si="363"/>
        <v>1971</v>
      </c>
      <c r="R985" s="638">
        <f>(SUM(B985:Q985))</f>
        <v>190207.81879698785</v>
      </c>
      <c r="S985" s="73"/>
      <c r="AC985" s="642" t="s">
        <v>2237</v>
      </c>
      <c r="AD985" s="67">
        <f t="shared" si="366"/>
        <v>4805</v>
      </c>
      <c r="AE985" s="67">
        <f t="shared" si="367"/>
        <v>610</v>
      </c>
      <c r="AF985" s="67">
        <f t="shared" si="368"/>
        <v>638</v>
      </c>
      <c r="AG985" s="67">
        <f t="shared" si="369"/>
        <v>1022</v>
      </c>
      <c r="AH985" s="67">
        <f t="shared" si="370"/>
        <v>0</v>
      </c>
      <c r="AI985" s="67">
        <f t="shared" si="371"/>
        <v>370</v>
      </c>
      <c r="AJ985" s="67">
        <f t="shared" si="372"/>
        <v>220</v>
      </c>
      <c r="AK985" s="67">
        <f t="shared" si="373"/>
        <v>255</v>
      </c>
      <c r="AL985" s="67">
        <f t="shared" si="374"/>
        <v>225</v>
      </c>
      <c r="AM985" s="67">
        <f t="shared" si="375"/>
        <v>65</v>
      </c>
      <c r="AN985" s="67">
        <f t="shared" si="376"/>
        <v>76</v>
      </c>
      <c r="AO985" s="67">
        <f t="shared" si="377"/>
        <v>151</v>
      </c>
      <c r="AP985" s="67">
        <f t="shared" si="378"/>
        <v>25</v>
      </c>
      <c r="AQ985" s="67">
        <f t="shared" si="379"/>
        <v>70</v>
      </c>
      <c r="AR985" s="67">
        <f t="shared" si="380"/>
        <v>59</v>
      </c>
      <c r="AS985" s="636">
        <f t="shared" si="381"/>
        <v>8591</v>
      </c>
      <c r="AU985" s="708">
        <f t="shared" si="382"/>
        <v>4.5166387240733387E-2</v>
      </c>
    </row>
    <row r="986" spans="1:48" ht="15.75" customHeight="1" x14ac:dyDescent="0.3">
      <c r="A986" s="139" t="s">
        <v>1504</v>
      </c>
      <c r="B986" s="67">
        <f t="shared" si="364"/>
        <v>93598</v>
      </c>
      <c r="C986" s="67">
        <f t="shared" si="350"/>
        <v>11881</v>
      </c>
      <c r="D986" s="67">
        <f t="shared" si="351"/>
        <v>12415</v>
      </c>
      <c r="E986" s="67">
        <f t="shared" si="352"/>
        <v>19506</v>
      </c>
      <c r="F986" s="67">
        <f t="shared" si="365"/>
        <v>0</v>
      </c>
      <c r="G986" s="67">
        <f t="shared" si="353"/>
        <v>-9783.6726906888689</v>
      </c>
      <c r="H986" s="67">
        <f t="shared" si="354"/>
        <v>12756</v>
      </c>
      <c r="I986" s="67">
        <f t="shared" si="355"/>
        <v>8326</v>
      </c>
      <c r="J986" s="67">
        <f t="shared" si="356"/>
        <v>9179</v>
      </c>
      <c r="K986" s="67">
        <f t="shared" si="357"/>
        <v>7895</v>
      </c>
      <c r="L986" s="67">
        <f t="shared" si="358"/>
        <v>2288</v>
      </c>
      <c r="M986" s="67">
        <f t="shared" si="359"/>
        <v>2696</v>
      </c>
      <c r="N986" s="67">
        <f t="shared" si="360"/>
        <v>5353</v>
      </c>
      <c r="O986" s="67">
        <f t="shared" si="361"/>
        <v>854</v>
      </c>
      <c r="P986" s="67">
        <f t="shared" si="362"/>
        <v>2103</v>
      </c>
      <c r="Q986" s="67">
        <f t="shared" si="363"/>
        <v>2020</v>
      </c>
      <c r="R986" s="638">
        <f t="shared" si="383"/>
        <v>181086.32730931113</v>
      </c>
      <c r="S986" s="73"/>
      <c r="AC986" s="642" t="s">
        <v>1504</v>
      </c>
      <c r="AD986" s="67">
        <f t="shared" si="366"/>
        <v>4399</v>
      </c>
      <c r="AE986" s="67">
        <f t="shared" si="367"/>
        <v>558</v>
      </c>
      <c r="AF986" s="67">
        <f t="shared" si="368"/>
        <v>584</v>
      </c>
      <c r="AG986" s="67">
        <f t="shared" si="369"/>
        <v>917</v>
      </c>
      <c r="AH986" s="67">
        <f t="shared" si="370"/>
        <v>0</v>
      </c>
      <c r="AI986" s="67">
        <f t="shared" si="371"/>
        <v>383</v>
      </c>
      <c r="AJ986" s="67">
        <f t="shared" si="372"/>
        <v>250</v>
      </c>
      <c r="AK986" s="67">
        <f t="shared" si="373"/>
        <v>275</v>
      </c>
      <c r="AL986" s="67">
        <f t="shared" si="374"/>
        <v>237</v>
      </c>
      <c r="AM986" s="67">
        <f t="shared" si="375"/>
        <v>69</v>
      </c>
      <c r="AN986" s="67">
        <f t="shared" si="376"/>
        <v>81</v>
      </c>
      <c r="AO986" s="67">
        <f t="shared" si="377"/>
        <v>161</v>
      </c>
      <c r="AP986" s="67">
        <f t="shared" si="378"/>
        <v>26</v>
      </c>
      <c r="AQ986" s="67">
        <f t="shared" si="379"/>
        <v>63</v>
      </c>
      <c r="AR986" s="67">
        <f t="shared" si="380"/>
        <v>61</v>
      </c>
      <c r="AS986" s="636">
        <f t="shared" si="381"/>
        <v>8064</v>
      </c>
      <c r="AU986" s="708">
        <f t="shared" si="382"/>
        <v>4.4531247167136974E-2</v>
      </c>
    </row>
    <row r="987" spans="1:48" ht="15.75" customHeight="1" x14ac:dyDescent="0.3">
      <c r="A987" s="139" t="s">
        <v>1505</v>
      </c>
      <c r="B987" s="67">
        <f t="shared" si="364"/>
        <v>99484</v>
      </c>
      <c r="C987" s="67">
        <f t="shared" si="350"/>
        <v>12642</v>
      </c>
      <c r="D987" s="67">
        <f t="shared" si="351"/>
        <v>13223</v>
      </c>
      <c r="E987" s="67">
        <f t="shared" si="352"/>
        <v>20827</v>
      </c>
      <c r="F987" s="67">
        <f t="shared" si="365"/>
        <v>4.4957407211255651</v>
      </c>
      <c r="G987" s="67">
        <f t="shared" si="353"/>
        <v>-6218.1212241142048</v>
      </c>
      <c r="H987" s="67">
        <f t="shared" si="354"/>
        <v>12109</v>
      </c>
      <c r="I987" s="67">
        <f t="shared" si="355"/>
        <v>8550</v>
      </c>
      <c r="J987" s="67">
        <f t="shared" si="356"/>
        <v>9335</v>
      </c>
      <c r="K987" s="67">
        <f t="shared" si="357"/>
        <v>7769</v>
      </c>
      <c r="L987" s="67">
        <f t="shared" si="358"/>
        <v>2213</v>
      </c>
      <c r="M987" s="67">
        <f t="shared" si="359"/>
        <v>2607</v>
      </c>
      <c r="N987" s="67">
        <f t="shared" si="360"/>
        <v>5066</v>
      </c>
      <c r="O987" s="67">
        <f t="shared" si="361"/>
        <v>806</v>
      </c>
      <c r="P987" s="67">
        <f t="shared" si="362"/>
        <v>1941</v>
      </c>
      <c r="Q987" s="67">
        <f t="shared" si="363"/>
        <v>1906</v>
      </c>
      <c r="R987" s="638">
        <f t="shared" si="383"/>
        <v>192264.37451660691</v>
      </c>
      <c r="S987" s="73"/>
      <c r="AC987" s="642" t="s">
        <v>1505</v>
      </c>
      <c r="AD987" s="67">
        <f t="shared" si="366"/>
        <v>4676</v>
      </c>
      <c r="AE987" s="67">
        <f t="shared" si="367"/>
        <v>594</v>
      </c>
      <c r="AF987" s="67">
        <f t="shared" si="368"/>
        <v>621</v>
      </c>
      <c r="AG987" s="67">
        <f t="shared" si="369"/>
        <v>979</v>
      </c>
      <c r="AH987" s="67">
        <f t="shared" si="370"/>
        <v>0</v>
      </c>
      <c r="AI987" s="67">
        <f t="shared" si="371"/>
        <v>363</v>
      </c>
      <c r="AJ987" s="67">
        <f t="shared" si="372"/>
        <v>257</v>
      </c>
      <c r="AK987" s="67">
        <f t="shared" si="373"/>
        <v>280</v>
      </c>
      <c r="AL987" s="67">
        <f t="shared" si="374"/>
        <v>233</v>
      </c>
      <c r="AM987" s="67">
        <f t="shared" si="375"/>
        <v>66</v>
      </c>
      <c r="AN987" s="67">
        <f t="shared" si="376"/>
        <v>78</v>
      </c>
      <c r="AO987" s="67">
        <f t="shared" si="377"/>
        <v>152</v>
      </c>
      <c r="AP987" s="67">
        <f t="shared" si="378"/>
        <v>24</v>
      </c>
      <c r="AQ987" s="67">
        <f t="shared" si="379"/>
        <v>58</v>
      </c>
      <c r="AR987" s="67">
        <f t="shared" si="380"/>
        <v>57</v>
      </c>
      <c r="AS987" s="636">
        <f t="shared" si="381"/>
        <v>8438</v>
      </c>
      <c r="AU987" s="708">
        <f t="shared" si="382"/>
        <v>4.388748576648642E-2</v>
      </c>
    </row>
    <row r="988" spans="1:48" ht="15.75" customHeight="1" x14ac:dyDescent="0.3">
      <c r="A988" s="139" t="s">
        <v>1506</v>
      </c>
      <c r="B988" s="67">
        <f t="shared" si="364"/>
        <v>153017</v>
      </c>
      <c r="C988" s="67">
        <f t="shared" si="350"/>
        <v>19468</v>
      </c>
      <c r="D988" s="67">
        <f t="shared" si="351"/>
        <v>20387</v>
      </c>
      <c r="E988" s="67">
        <f t="shared" si="352"/>
        <v>33731</v>
      </c>
      <c r="F988" s="67">
        <f t="shared" si="365"/>
        <v>5052.1745884977136</v>
      </c>
      <c r="G988" s="67">
        <f t="shared" si="353"/>
        <v>0</v>
      </c>
      <c r="H988" s="67">
        <f t="shared" si="354"/>
        <v>7770</v>
      </c>
      <c r="I988" s="67">
        <f t="shared" si="355"/>
        <v>4773</v>
      </c>
      <c r="J988" s="67">
        <f t="shared" si="356"/>
        <v>5693</v>
      </c>
      <c r="K988" s="67">
        <f t="shared" si="357"/>
        <v>4955</v>
      </c>
      <c r="L988" s="67">
        <f t="shared" si="358"/>
        <v>1758</v>
      </c>
      <c r="M988" s="67">
        <f t="shared" si="359"/>
        <v>2070</v>
      </c>
      <c r="N988" s="67">
        <f t="shared" si="360"/>
        <v>4107</v>
      </c>
      <c r="O988" s="67">
        <f t="shared" si="361"/>
        <v>770</v>
      </c>
      <c r="P988" s="67">
        <f t="shared" si="362"/>
        <v>1779</v>
      </c>
      <c r="Q988" s="67">
        <f t="shared" si="363"/>
        <v>1820</v>
      </c>
      <c r="R988" s="638">
        <f t="shared" si="383"/>
        <v>267150.17458849773</v>
      </c>
      <c r="S988" s="73"/>
      <c r="AC988" s="642" t="s">
        <v>1506</v>
      </c>
      <c r="AD988" s="67">
        <f t="shared" si="366"/>
        <v>7192</v>
      </c>
      <c r="AE988" s="67">
        <f t="shared" si="367"/>
        <v>915</v>
      </c>
      <c r="AF988" s="67">
        <f t="shared" si="368"/>
        <v>958</v>
      </c>
      <c r="AG988" s="67">
        <f t="shared" si="369"/>
        <v>1585</v>
      </c>
      <c r="AH988" s="67">
        <f t="shared" si="370"/>
        <v>0</v>
      </c>
      <c r="AI988" s="67">
        <f t="shared" si="371"/>
        <v>233</v>
      </c>
      <c r="AJ988" s="67">
        <f t="shared" si="372"/>
        <v>143</v>
      </c>
      <c r="AK988" s="67">
        <f t="shared" si="373"/>
        <v>171</v>
      </c>
      <c r="AL988" s="67">
        <f t="shared" si="374"/>
        <v>149</v>
      </c>
      <c r="AM988" s="67">
        <f t="shared" si="375"/>
        <v>53</v>
      </c>
      <c r="AN988" s="67">
        <f t="shared" si="376"/>
        <v>62</v>
      </c>
      <c r="AO988" s="67">
        <f t="shared" si="377"/>
        <v>123</v>
      </c>
      <c r="AP988" s="67">
        <f t="shared" si="378"/>
        <v>23</v>
      </c>
      <c r="AQ988" s="67">
        <f t="shared" si="379"/>
        <v>53</v>
      </c>
      <c r="AR988" s="67">
        <f t="shared" si="380"/>
        <v>55</v>
      </c>
      <c r="AS988" s="636">
        <f t="shared" si="381"/>
        <v>11715</v>
      </c>
      <c r="AU988" s="708">
        <f t="shared" si="382"/>
        <v>4.3851740011194421E-2</v>
      </c>
    </row>
    <row r="989" spans="1:48" ht="15.75" customHeight="1" x14ac:dyDescent="0.3">
      <c r="A989" s="139" t="s">
        <v>1507</v>
      </c>
      <c r="B989" s="67">
        <f t="shared" si="364"/>
        <v>143249</v>
      </c>
      <c r="C989" s="67">
        <f t="shared" si="350"/>
        <v>18227</v>
      </c>
      <c r="D989" s="67">
        <f t="shared" si="351"/>
        <v>19088</v>
      </c>
      <c r="E989" s="67">
        <f t="shared" si="352"/>
        <v>31492</v>
      </c>
      <c r="F989" s="67">
        <f t="shared" si="365"/>
        <v>6696.854858806917</v>
      </c>
      <c r="G989" s="67">
        <f t="shared" si="353"/>
        <v>0</v>
      </c>
      <c r="H989" s="67">
        <f t="shared" si="354"/>
        <v>7004</v>
      </c>
      <c r="I989" s="67">
        <f t="shared" si="355"/>
        <v>3493</v>
      </c>
      <c r="J989" s="67">
        <f t="shared" si="356"/>
        <v>4463</v>
      </c>
      <c r="K989" s="67">
        <f t="shared" si="357"/>
        <v>4278</v>
      </c>
      <c r="L989" s="67">
        <f t="shared" si="358"/>
        <v>1572</v>
      </c>
      <c r="M989" s="67">
        <f t="shared" si="359"/>
        <v>1851</v>
      </c>
      <c r="N989" s="67">
        <f t="shared" si="360"/>
        <v>3629</v>
      </c>
      <c r="O989" s="67">
        <f t="shared" si="361"/>
        <v>720</v>
      </c>
      <c r="P989" s="67">
        <f t="shared" si="362"/>
        <v>1617</v>
      </c>
      <c r="Q989" s="67">
        <f t="shared" si="363"/>
        <v>1704</v>
      </c>
      <c r="R989" s="638">
        <f t="shared" si="383"/>
        <v>249083.85485880691</v>
      </c>
      <c r="S989" s="73"/>
      <c r="AC989" s="642" t="s">
        <v>1507</v>
      </c>
      <c r="AD989" s="67">
        <f t="shared" si="366"/>
        <v>6733</v>
      </c>
      <c r="AE989" s="67">
        <f t="shared" si="367"/>
        <v>857</v>
      </c>
      <c r="AF989" s="67">
        <f t="shared" si="368"/>
        <v>897</v>
      </c>
      <c r="AG989" s="67">
        <f t="shared" si="369"/>
        <v>1480</v>
      </c>
      <c r="AH989" s="67">
        <f t="shared" si="370"/>
        <v>0</v>
      </c>
      <c r="AI989" s="67">
        <f t="shared" si="371"/>
        <v>210</v>
      </c>
      <c r="AJ989" s="67">
        <f t="shared" si="372"/>
        <v>105</v>
      </c>
      <c r="AK989" s="67">
        <f t="shared" si="373"/>
        <v>134</v>
      </c>
      <c r="AL989" s="67">
        <f t="shared" si="374"/>
        <v>128</v>
      </c>
      <c r="AM989" s="67">
        <f t="shared" si="375"/>
        <v>47</v>
      </c>
      <c r="AN989" s="67">
        <f t="shared" si="376"/>
        <v>56</v>
      </c>
      <c r="AO989" s="67">
        <f t="shared" si="377"/>
        <v>109</v>
      </c>
      <c r="AP989" s="67">
        <f t="shared" si="378"/>
        <v>22</v>
      </c>
      <c r="AQ989" s="67">
        <f t="shared" si="379"/>
        <v>49</v>
      </c>
      <c r="AR989" s="67">
        <f t="shared" si="380"/>
        <v>51</v>
      </c>
      <c r="AS989" s="636">
        <f t="shared" si="381"/>
        <v>10878</v>
      </c>
      <c r="AU989" s="708">
        <f t="shared" si="382"/>
        <v>4.3672039707937677E-2</v>
      </c>
    </row>
    <row r="990" spans="1:48" ht="15.75" customHeight="1" x14ac:dyDescent="0.3">
      <c r="A990" s="139" t="s">
        <v>1508</v>
      </c>
      <c r="B990" s="67">
        <f t="shared" si="364"/>
        <v>117093</v>
      </c>
      <c r="C990" s="67">
        <f t="shared" si="350"/>
        <v>14899</v>
      </c>
      <c r="D990" s="67">
        <f t="shared" si="351"/>
        <v>15602</v>
      </c>
      <c r="E990" s="67">
        <f t="shared" si="352"/>
        <v>26296</v>
      </c>
      <c r="F990" s="67">
        <f t="shared" si="365"/>
        <v>18851.539435480016</v>
      </c>
      <c r="G990" s="67">
        <f t="shared" si="353"/>
        <v>-208.27320843732522</v>
      </c>
      <c r="H990" s="67">
        <f t="shared" si="354"/>
        <v>626</v>
      </c>
      <c r="I990" s="67">
        <f t="shared" si="355"/>
        <v>193</v>
      </c>
      <c r="J990" s="67">
        <f t="shared" si="356"/>
        <v>296</v>
      </c>
      <c r="K990" s="67">
        <f t="shared" si="357"/>
        <v>290</v>
      </c>
      <c r="L990" s="67">
        <f t="shared" si="358"/>
        <v>105</v>
      </c>
      <c r="M990" s="67">
        <f t="shared" si="359"/>
        <v>121</v>
      </c>
      <c r="N990" s="67">
        <f t="shared" si="360"/>
        <v>204</v>
      </c>
      <c r="O990" s="67">
        <f t="shared" si="361"/>
        <v>150</v>
      </c>
      <c r="P990" s="67">
        <f t="shared" si="362"/>
        <v>1456</v>
      </c>
      <c r="Q990" s="67">
        <f t="shared" si="363"/>
        <v>355</v>
      </c>
      <c r="R990" s="638">
        <f t="shared" si="383"/>
        <v>196329.26622704271</v>
      </c>
      <c r="S990" s="73"/>
      <c r="AC990" s="642" t="s">
        <v>1508</v>
      </c>
      <c r="AD990" s="67">
        <f t="shared" si="366"/>
        <v>5503</v>
      </c>
      <c r="AE990" s="67">
        <f t="shared" si="367"/>
        <v>700</v>
      </c>
      <c r="AF990" s="67">
        <f t="shared" si="368"/>
        <v>733</v>
      </c>
      <c r="AG990" s="67">
        <f t="shared" si="369"/>
        <v>1236</v>
      </c>
      <c r="AH990" s="67">
        <f t="shared" si="370"/>
        <v>0</v>
      </c>
      <c r="AI990" s="67">
        <f t="shared" si="371"/>
        <v>19</v>
      </c>
      <c r="AJ990" s="67">
        <f t="shared" si="372"/>
        <v>6</v>
      </c>
      <c r="AK990" s="67">
        <f t="shared" si="373"/>
        <v>9</v>
      </c>
      <c r="AL990" s="67">
        <f t="shared" si="374"/>
        <v>9</v>
      </c>
      <c r="AM990" s="67">
        <f t="shared" si="375"/>
        <v>3</v>
      </c>
      <c r="AN990" s="67">
        <f t="shared" si="376"/>
        <v>4</v>
      </c>
      <c r="AO990" s="67">
        <f t="shared" si="377"/>
        <v>6</v>
      </c>
      <c r="AP990" s="67">
        <f t="shared" si="378"/>
        <v>5</v>
      </c>
      <c r="AQ990" s="67">
        <f t="shared" si="379"/>
        <v>44</v>
      </c>
      <c r="AR990" s="67">
        <f t="shared" si="380"/>
        <v>11</v>
      </c>
      <c r="AS990" s="636">
        <f t="shared" si="381"/>
        <v>8288</v>
      </c>
      <c r="AU990" s="708">
        <f t="shared" si="382"/>
        <v>4.2214796394213779E-2</v>
      </c>
    </row>
    <row r="991" spans="1:48" ht="15.75" customHeight="1" x14ac:dyDescent="0.3">
      <c r="A991" s="139" t="s">
        <v>1509</v>
      </c>
      <c r="B991" s="67">
        <f t="shared" si="364"/>
        <v>70734</v>
      </c>
      <c r="C991" s="67">
        <f t="shared" si="350"/>
        <v>8995</v>
      </c>
      <c r="D991" s="67">
        <f t="shared" si="351"/>
        <v>9414</v>
      </c>
      <c r="E991" s="67">
        <f t="shared" si="352"/>
        <v>15412</v>
      </c>
      <c r="F991" s="67">
        <f t="shared" si="365"/>
        <v>5000.2294775522178</v>
      </c>
      <c r="G991" s="67">
        <f t="shared" si="353"/>
        <v>0</v>
      </c>
      <c r="H991" s="67">
        <f t="shared" si="354"/>
        <v>3235</v>
      </c>
      <c r="I991" s="67">
        <f t="shared" si="355"/>
        <v>1166</v>
      </c>
      <c r="J991" s="67">
        <f t="shared" si="356"/>
        <v>1750</v>
      </c>
      <c r="K991" s="67">
        <f t="shared" si="357"/>
        <v>1798</v>
      </c>
      <c r="L991" s="67">
        <f t="shared" si="358"/>
        <v>418</v>
      </c>
      <c r="M991" s="67">
        <f t="shared" si="359"/>
        <v>491</v>
      </c>
      <c r="N991" s="67">
        <f t="shared" si="360"/>
        <v>985</v>
      </c>
      <c r="O991" s="67">
        <f t="shared" si="361"/>
        <v>3</v>
      </c>
      <c r="P991" s="67">
        <f t="shared" si="362"/>
        <v>1294</v>
      </c>
      <c r="Q991" s="67">
        <f t="shared" si="363"/>
        <v>6</v>
      </c>
      <c r="R991" s="638">
        <f t="shared" si="383"/>
        <v>120701.22947755222</v>
      </c>
      <c r="S991" s="73"/>
      <c r="AC991" s="642" t="s">
        <v>1509</v>
      </c>
      <c r="AD991" s="67">
        <f t="shared" si="366"/>
        <v>3324</v>
      </c>
      <c r="AE991" s="67">
        <f t="shared" si="367"/>
        <v>423</v>
      </c>
      <c r="AF991" s="67">
        <f t="shared" si="368"/>
        <v>442</v>
      </c>
      <c r="AG991" s="67">
        <f t="shared" si="369"/>
        <v>724</v>
      </c>
      <c r="AH991" s="67">
        <f t="shared" si="370"/>
        <v>0</v>
      </c>
      <c r="AI991" s="67">
        <f t="shared" si="371"/>
        <v>97</v>
      </c>
      <c r="AJ991" s="67">
        <f t="shared" si="372"/>
        <v>35</v>
      </c>
      <c r="AK991" s="67">
        <f t="shared" si="373"/>
        <v>53</v>
      </c>
      <c r="AL991" s="67">
        <f t="shared" si="374"/>
        <v>54</v>
      </c>
      <c r="AM991" s="67">
        <f t="shared" si="375"/>
        <v>13</v>
      </c>
      <c r="AN991" s="67">
        <f t="shared" si="376"/>
        <v>15</v>
      </c>
      <c r="AO991" s="67">
        <f t="shared" si="377"/>
        <v>30</v>
      </c>
      <c r="AP991" s="67">
        <f t="shared" si="378"/>
        <v>0</v>
      </c>
      <c r="AQ991" s="67">
        <f t="shared" si="379"/>
        <v>39</v>
      </c>
      <c r="AR991" s="67">
        <f t="shared" si="380"/>
        <v>0</v>
      </c>
      <c r="AS991" s="636">
        <f t="shared" si="381"/>
        <v>5249</v>
      </c>
      <c r="AU991" s="708">
        <f t="shared" si="382"/>
        <v>4.3487543770017678E-2</v>
      </c>
    </row>
    <row r="992" spans="1:48" ht="15.75" customHeight="1" x14ac:dyDescent="0.3">
      <c r="A992" s="553"/>
      <c r="B992" s="67"/>
      <c r="C992" s="67"/>
      <c r="D992" s="67"/>
      <c r="E992" s="67"/>
      <c r="F992" s="67"/>
      <c r="G992" s="67"/>
      <c r="H992" s="67"/>
      <c r="I992" s="67"/>
      <c r="J992" s="67"/>
      <c r="K992" s="67"/>
      <c r="L992" s="67"/>
      <c r="M992" s="67"/>
      <c r="N992" s="67"/>
      <c r="O992" s="67"/>
      <c r="P992" s="67"/>
      <c r="Q992" s="67"/>
      <c r="R992" s="636"/>
      <c r="S992" s="73"/>
      <c r="AC992" s="579"/>
      <c r="AD992" s="67"/>
      <c r="AE992" s="67"/>
      <c r="AF992" s="67"/>
      <c r="AG992" s="67"/>
      <c r="AH992" s="67"/>
      <c r="AI992" s="67"/>
      <c r="AJ992" s="67"/>
      <c r="AK992" s="67"/>
      <c r="AL992" s="67"/>
      <c r="AM992" s="67"/>
      <c r="AN992" s="67"/>
      <c r="AO992" s="67"/>
      <c r="AP992" s="67"/>
      <c r="AQ992" s="67"/>
      <c r="AR992" s="67"/>
      <c r="AS992" s="636"/>
    </row>
    <row r="993" spans="1:47" ht="15.75" customHeight="1" thickBot="1" x14ac:dyDescent="0.35">
      <c r="A993" s="553" t="s">
        <v>2356</v>
      </c>
      <c r="B993" s="67">
        <f>SUM(B980:B991)</f>
        <v>1374592</v>
      </c>
      <c r="C993" s="67">
        <f t="shared" ref="C993:Q993" si="384">SUM(C980:C991)</f>
        <v>174809</v>
      </c>
      <c r="D993" s="67">
        <f t="shared" si="384"/>
        <v>182976</v>
      </c>
      <c r="E993" s="67">
        <f t="shared" si="384"/>
        <v>301781</v>
      </c>
      <c r="F993" s="67">
        <f t="shared" si="384"/>
        <v>76866.803975654198</v>
      </c>
      <c r="G993" s="67">
        <f t="shared" si="384"/>
        <v>-34549.655773192011</v>
      </c>
      <c r="H993" s="67">
        <f t="shared" si="384"/>
        <v>86582</v>
      </c>
      <c r="I993" s="67">
        <f t="shared" si="384"/>
        <v>54864</v>
      </c>
      <c r="J993" s="67">
        <f t="shared" si="384"/>
        <v>67553</v>
      </c>
      <c r="K993" s="67">
        <f t="shared" si="384"/>
        <v>62015</v>
      </c>
      <c r="L993" s="67">
        <f t="shared" si="384"/>
        <v>18384</v>
      </c>
      <c r="M993" s="67">
        <f t="shared" si="384"/>
        <v>21648</v>
      </c>
      <c r="N993" s="67">
        <f t="shared" si="384"/>
        <v>42999</v>
      </c>
      <c r="O993" s="67">
        <f t="shared" si="384"/>
        <v>7533</v>
      </c>
      <c r="P993" s="67">
        <f t="shared" si="384"/>
        <v>20945</v>
      </c>
      <c r="Q993" s="67">
        <f t="shared" si="384"/>
        <v>17793</v>
      </c>
      <c r="R993" s="639">
        <f>SUM(R980:R991)</f>
        <v>2476791.1482024621</v>
      </c>
      <c r="S993" s="73"/>
      <c r="AC993" s="644" t="s">
        <v>2356</v>
      </c>
      <c r="AD993" s="555">
        <f>SUM(AD980:AD991)</f>
        <v>64606</v>
      </c>
      <c r="AE993" s="555">
        <f t="shared" ref="AE993:AS993" si="385">SUM(AE980:AE991)</f>
        <v>8216</v>
      </c>
      <c r="AF993" s="555">
        <f t="shared" si="385"/>
        <v>8599</v>
      </c>
      <c r="AG993" s="555">
        <f t="shared" si="385"/>
        <v>14182</v>
      </c>
      <c r="AH993" s="555">
        <f t="shared" si="385"/>
        <v>0</v>
      </c>
      <c r="AI993" s="555">
        <f t="shared" si="385"/>
        <v>2597</v>
      </c>
      <c r="AJ993" s="555">
        <f t="shared" si="385"/>
        <v>1648</v>
      </c>
      <c r="AK993" s="555">
        <f t="shared" si="385"/>
        <v>2028</v>
      </c>
      <c r="AL993" s="555">
        <f t="shared" si="385"/>
        <v>1861</v>
      </c>
      <c r="AM993" s="555">
        <f t="shared" si="385"/>
        <v>552</v>
      </c>
      <c r="AN993" s="555">
        <f t="shared" si="385"/>
        <v>650</v>
      </c>
      <c r="AO993" s="555">
        <f t="shared" si="385"/>
        <v>1291</v>
      </c>
      <c r="AP993" s="555">
        <f t="shared" si="385"/>
        <v>227</v>
      </c>
      <c r="AQ993" s="555">
        <f t="shared" si="385"/>
        <v>629</v>
      </c>
      <c r="AR993" s="555">
        <f t="shared" si="385"/>
        <v>534</v>
      </c>
      <c r="AS993" s="637">
        <f t="shared" si="385"/>
        <v>107620</v>
      </c>
      <c r="AU993" s="708">
        <f t="shared" si="382"/>
        <v>4.3451382680411106E-2</v>
      </c>
    </row>
    <row r="994" spans="1:47" ht="16.5" customHeight="1" thickBot="1" x14ac:dyDescent="0.35">
      <c r="A994" s="558" t="s">
        <v>852</v>
      </c>
      <c r="B994" s="555"/>
      <c r="C994" s="555"/>
      <c r="D994" s="555"/>
      <c r="E994" s="555"/>
      <c r="F994" s="555"/>
      <c r="G994" s="555"/>
      <c r="H994" s="555"/>
      <c r="I994" s="555"/>
      <c r="J994" s="555"/>
      <c r="K994" s="555"/>
      <c r="L994" s="555"/>
      <c r="M994" s="555"/>
      <c r="N994" s="555"/>
      <c r="O994" s="555"/>
      <c r="P994" s="555"/>
      <c r="Q994" s="555"/>
      <c r="R994" s="637"/>
      <c r="S994" s="67"/>
    </row>
    <row r="995" spans="1:47" ht="15.75" customHeight="1" x14ac:dyDescent="0.3">
      <c r="A995" s="67"/>
      <c r="B995" s="67"/>
      <c r="C995" s="67"/>
      <c r="D995" s="67"/>
      <c r="E995" s="67"/>
      <c r="F995" s="67"/>
      <c r="G995" s="67"/>
      <c r="H995" s="67"/>
      <c r="I995" s="67"/>
      <c r="J995" s="67"/>
      <c r="K995" s="67"/>
      <c r="L995" s="67"/>
      <c r="M995" s="67"/>
      <c r="N995" s="67"/>
      <c r="O995" s="67"/>
      <c r="P995" s="67"/>
      <c r="Q995" s="67"/>
      <c r="R995" s="67"/>
    </row>
    <row r="996" spans="1:47" ht="15.75" customHeight="1" x14ac:dyDescent="0.3"/>
    <row r="997" spans="1:47" ht="15.75" customHeight="1" thickBot="1" x14ac:dyDescent="0.35"/>
    <row r="998" spans="1:47" ht="15.75" customHeight="1" thickBot="1" x14ac:dyDescent="0.35">
      <c r="B998" s="790" t="s">
        <v>2921</v>
      </c>
      <c r="C998" s="782"/>
      <c r="D998" s="782"/>
      <c r="E998" s="782"/>
      <c r="F998" s="782"/>
      <c r="G998" s="782"/>
      <c r="H998" s="782"/>
      <c r="I998" s="782"/>
      <c r="J998" s="782"/>
      <c r="K998" s="782"/>
      <c r="L998" s="782"/>
      <c r="M998" s="782"/>
      <c r="N998" s="782"/>
      <c r="O998" s="782"/>
      <c r="P998" s="782"/>
      <c r="Q998" s="678" t="str">
        <f>+Q1</f>
        <v xml:space="preserve">PRINTED:  </v>
      </c>
      <c r="R998" s="682">
        <f ca="1">+R1</f>
        <v>44881.729633912037</v>
      </c>
      <c r="S998" s="701"/>
      <c r="T998" s="703"/>
      <c r="U998" s="703"/>
      <c r="V998" s="702"/>
    </row>
    <row r="999" spans="1:47" ht="15.75" customHeight="1" x14ac:dyDescent="0.3">
      <c r="B999" s="791">
        <f>+A5</f>
        <v>2019</v>
      </c>
      <c r="C999" s="787"/>
      <c r="D999" s="787"/>
      <c r="E999" s="787"/>
      <c r="F999" s="787"/>
      <c r="G999" s="787"/>
      <c r="H999" s="787"/>
      <c r="I999" s="787"/>
      <c r="J999" s="787"/>
      <c r="K999" s="787"/>
      <c r="L999" s="787"/>
      <c r="M999" s="787"/>
      <c r="N999" s="787"/>
      <c r="O999" s="787"/>
      <c r="P999" s="787"/>
      <c r="Q999" s="67"/>
      <c r="R999" s="67"/>
      <c r="S999" s="67"/>
      <c r="V999" s="727"/>
      <c r="AC999" s="685"/>
      <c r="AD999" s="782" t="s">
        <v>2923</v>
      </c>
      <c r="AE999" s="785"/>
      <c r="AF999" s="785"/>
      <c r="AG999" s="785"/>
      <c r="AH999" s="785"/>
      <c r="AI999" s="785"/>
      <c r="AJ999" s="785"/>
      <c r="AK999" s="785"/>
      <c r="AL999" s="785"/>
      <c r="AM999" s="785"/>
      <c r="AN999" s="785"/>
      <c r="AO999" s="785"/>
      <c r="AP999" s="785"/>
      <c r="AQ999" s="785"/>
      <c r="AR999" s="678" t="str">
        <f>$Q$1</f>
        <v xml:space="preserve">PRINTED:  </v>
      </c>
      <c r="AS999" s="686">
        <f ca="1">$R$1</f>
        <v>44881.729633912037</v>
      </c>
    </row>
    <row r="1000" spans="1:47" ht="15.75" customHeight="1" x14ac:dyDescent="0.3">
      <c r="B1000" s="792" t="str">
        <f>+A8</f>
        <v>Revised:  11/4/2019</v>
      </c>
      <c r="C1000" s="786"/>
      <c r="D1000" s="786"/>
      <c r="E1000" s="786"/>
      <c r="F1000" s="786"/>
      <c r="G1000" s="786"/>
      <c r="H1000" s="786"/>
      <c r="I1000" s="786"/>
      <c r="J1000" s="786"/>
      <c r="K1000" s="786"/>
      <c r="L1000" s="786"/>
      <c r="M1000" s="786"/>
      <c r="N1000" s="786"/>
      <c r="O1000" s="786"/>
      <c r="P1000" s="786"/>
      <c r="Q1000" s="67"/>
      <c r="R1000" s="67"/>
      <c r="S1000" s="67"/>
      <c r="V1000" s="727"/>
      <c r="AC1000" s="579"/>
      <c r="AD1000" s="786" t="str">
        <f>+$A$8</f>
        <v>Revised:  11/4/2019</v>
      </c>
      <c r="AE1000" s="788"/>
      <c r="AF1000" s="788"/>
      <c r="AG1000" s="788"/>
      <c r="AH1000" s="788"/>
      <c r="AI1000" s="788"/>
      <c r="AJ1000" s="788"/>
      <c r="AK1000" s="788"/>
      <c r="AL1000" s="788"/>
      <c r="AM1000" s="788"/>
      <c r="AN1000" s="788"/>
      <c r="AO1000" s="788"/>
      <c r="AP1000" s="788"/>
      <c r="AQ1000" s="788"/>
      <c r="AR1000" s="139"/>
      <c r="AS1000" s="561"/>
    </row>
    <row r="1001" spans="1:47" ht="15.75" customHeight="1" thickBot="1" x14ac:dyDescent="0.35">
      <c r="B1001" s="793" t="s">
        <v>2676</v>
      </c>
      <c r="C1001" s="794"/>
      <c r="D1001" s="794"/>
      <c r="E1001" s="794"/>
      <c r="F1001" s="794"/>
      <c r="G1001" s="794"/>
      <c r="H1001" s="794"/>
      <c r="I1001" s="794"/>
      <c r="J1001" s="794"/>
      <c r="K1001" s="794"/>
      <c r="L1001" s="794"/>
      <c r="M1001" s="794"/>
      <c r="N1001" s="794"/>
      <c r="O1001" s="794"/>
      <c r="P1001" s="794"/>
      <c r="Q1001" s="67"/>
      <c r="R1001" s="67"/>
      <c r="S1001" s="555"/>
      <c r="V1001" s="727"/>
      <c r="AC1001" s="579"/>
      <c r="AD1001" s="786" t="s">
        <v>2878</v>
      </c>
      <c r="AE1001" s="789"/>
      <c r="AF1001" s="789"/>
      <c r="AG1001" s="789"/>
      <c r="AH1001" s="789"/>
      <c r="AI1001" s="789"/>
      <c r="AJ1001" s="789"/>
      <c r="AK1001" s="789"/>
      <c r="AL1001" s="789"/>
      <c r="AM1001" s="789"/>
      <c r="AN1001" s="789"/>
      <c r="AO1001" s="789"/>
      <c r="AP1001" s="789"/>
      <c r="AQ1001" s="789"/>
      <c r="AS1001" s="561"/>
    </row>
    <row r="1002" spans="1:47" ht="15.75" customHeight="1" thickBot="1" x14ac:dyDescent="0.35">
      <c r="A1002" s="649"/>
      <c r="B1002" s="795" t="s">
        <v>2633</v>
      </c>
      <c r="C1002" s="796"/>
      <c r="D1002" s="796"/>
      <c r="E1002" s="796"/>
      <c r="F1002" s="797"/>
      <c r="G1002" s="795" t="s">
        <v>2674</v>
      </c>
      <c r="H1002" s="796"/>
      <c r="I1002" s="796"/>
      <c r="J1002" s="796"/>
      <c r="K1002" s="796"/>
      <c r="L1002" s="796"/>
      <c r="M1002" s="798" t="s">
        <v>2677</v>
      </c>
      <c r="N1002" s="799"/>
      <c r="O1002" s="799"/>
      <c r="P1002" s="799"/>
      <c r="Q1002" s="799"/>
      <c r="R1002" s="800"/>
      <c r="S1002" s="795" t="s">
        <v>2682</v>
      </c>
      <c r="T1002" s="801"/>
      <c r="U1002" s="802"/>
      <c r="V1002" s="712"/>
      <c r="AC1002" s="579"/>
      <c r="AS1002" s="561"/>
    </row>
    <row r="1003" spans="1:47" ht="15.75" customHeight="1" x14ac:dyDescent="0.3">
      <c r="A1003" s="649"/>
      <c r="B1003" s="553" t="s">
        <v>2439</v>
      </c>
      <c r="C1003" s="70"/>
      <c r="D1003" s="70" t="s">
        <v>336</v>
      </c>
      <c r="E1003" s="70" t="s">
        <v>596</v>
      </c>
      <c r="F1003" s="562" t="s">
        <v>2652</v>
      </c>
      <c r="G1003" s="553" t="s">
        <v>228</v>
      </c>
      <c r="H1003" s="70"/>
      <c r="I1003" s="70"/>
      <c r="J1003" s="70" t="s">
        <v>229</v>
      </c>
      <c r="K1003" s="70" t="s">
        <v>2638</v>
      </c>
      <c r="L1003" s="70" t="s">
        <v>2639</v>
      </c>
      <c r="M1003" s="803" t="s">
        <v>3116</v>
      </c>
      <c r="N1003" s="804"/>
      <c r="O1003" s="805"/>
      <c r="P1003" s="604"/>
      <c r="Q1003" s="599"/>
      <c r="R1003" s="713"/>
      <c r="S1003" s="70" t="s">
        <v>2683</v>
      </c>
      <c r="T1003" s="610" t="s">
        <v>134</v>
      </c>
      <c r="U1003" s="611" t="s">
        <v>2685</v>
      </c>
      <c r="V1003" s="712"/>
      <c r="AC1003" s="579"/>
      <c r="AD1003" s="787">
        <f>$A$5</f>
        <v>2019</v>
      </c>
      <c r="AE1003" s="789"/>
      <c r="AF1003" s="789"/>
      <c r="AG1003" s="789"/>
      <c r="AH1003" s="789"/>
      <c r="AI1003" s="789"/>
      <c r="AJ1003" s="789"/>
      <c r="AK1003" s="789"/>
      <c r="AL1003" s="789"/>
      <c r="AM1003" s="789"/>
      <c r="AN1003" s="789"/>
      <c r="AO1003" s="789"/>
      <c r="AP1003" s="789"/>
      <c r="AQ1003" s="789"/>
      <c r="AS1003" s="561"/>
    </row>
    <row r="1004" spans="1:47" ht="15.75" customHeight="1" x14ac:dyDescent="0.3">
      <c r="A1004" s="649"/>
      <c r="B1004" s="593" t="s">
        <v>2648</v>
      </c>
      <c r="C1004" s="588" t="s">
        <v>2656</v>
      </c>
      <c r="D1004" s="588" t="s">
        <v>2651</v>
      </c>
      <c r="E1004" s="70" t="s">
        <v>335</v>
      </c>
      <c r="F1004" s="591" t="s">
        <v>2653</v>
      </c>
      <c r="G1004" s="553" t="s">
        <v>2463</v>
      </c>
      <c r="H1004" s="70" t="s">
        <v>1416</v>
      </c>
      <c r="I1004" s="70" t="s">
        <v>1417</v>
      </c>
      <c r="J1004" s="588" t="s">
        <v>2632</v>
      </c>
      <c r="K1004" s="70" t="s">
        <v>2634</v>
      </c>
      <c r="L1004" s="588" t="s">
        <v>2637</v>
      </c>
      <c r="M1004" s="603" t="s">
        <v>2679</v>
      </c>
      <c r="N1004" s="604" t="s">
        <v>2680</v>
      </c>
      <c r="O1004" s="630" t="s">
        <v>2356</v>
      </c>
      <c r="P1004" s="604" t="s">
        <v>3112</v>
      </c>
      <c r="Q1004" s="604" t="s">
        <v>3112</v>
      </c>
      <c r="R1004" s="630" t="s">
        <v>3117</v>
      </c>
      <c r="S1004" s="70" t="s">
        <v>2684</v>
      </c>
      <c r="T1004" s="70" t="s">
        <v>2686</v>
      </c>
      <c r="U1004" s="562" t="s">
        <v>2687</v>
      </c>
      <c r="V1004" s="712"/>
      <c r="AC1004" s="579"/>
      <c r="AD1004" s="786" t="s">
        <v>2919</v>
      </c>
      <c r="AE1004" s="788"/>
      <c r="AF1004" s="788"/>
      <c r="AG1004" s="788"/>
      <c r="AH1004" s="788"/>
      <c r="AI1004" s="788"/>
      <c r="AJ1004" s="788"/>
      <c r="AK1004" s="788"/>
      <c r="AL1004" s="788"/>
      <c r="AM1004" s="788"/>
      <c r="AN1004" s="788"/>
      <c r="AO1004" s="788"/>
      <c r="AP1004" s="788"/>
      <c r="AQ1004" s="788"/>
      <c r="AR1004" s="70"/>
      <c r="AS1004" s="561"/>
    </row>
    <row r="1005" spans="1:47" ht="15.75" customHeight="1" x14ac:dyDescent="0.3">
      <c r="A1005" s="649"/>
      <c r="B1005" s="594" t="s">
        <v>2654</v>
      </c>
      <c r="C1005" s="217">
        <v>0</v>
      </c>
      <c r="D1005" s="217"/>
      <c r="E1005" s="70" t="s">
        <v>133</v>
      </c>
      <c r="F1005" s="595" t="s">
        <v>2649</v>
      </c>
      <c r="G1005" s="553" t="s">
        <v>2650</v>
      </c>
      <c r="H1005" s="70" t="s">
        <v>335</v>
      </c>
      <c r="I1005" s="70" t="s">
        <v>335</v>
      </c>
      <c r="J1005" s="70" t="s">
        <v>335</v>
      </c>
      <c r="K1005" s="70" t="s">
        <v>134</v>
      </c>
      <c r="L1005" s="70" t="s">
        <v>2636</v>
      </c>
      <c r="M1005" s="605" t="s">
        <v>955</v>
      </c>
      <c r="N1005" s="599" t="s">
        <v>2681</v>
      </c>
      <c r="O1005" s="630" t="s">
        <v>2688</v>
      </c>
      <c r="P1005" s="599" t="s">
        <v>3113</v>
      </c>
      <c r="Q1005" s="604" t="s">
        <v>3113</v>
      </c>
      <c r="R1005" s="630" t="s">
        <v>2688</v>
      </c>
      <c r="S1005" s="70" t="s">
        <v>335</v>
      </c>
      <c r="T1005" s="70" t="s">
        <v>335</v>
      </c>
      <c r="U1005" s="562" t="s">
        <v>335</v>
      </c>
      <c r="V1005" s="712"/>
      <c r="AC1005" s="579"/>
      <c r="AK1005" s="670"/>
      <c r="AS1005" s="561"/>
    </row>
    <row r="1006" spans="1:47" ht="15.75" customHeight="1" thickBot="1" x14ac:dyDescent="0.35">
      <c r="A1006" s="592" t="s">
        <v>249</v>
      </c>
      <c r="B1006" s="553" t="s">
        <v>998</v>
      </c>
      <c r="C1006" s="70" t="s">
        <v>998</v>
      </c>
      <c r="D1006" s="70" t="s">
        <v>998</v>
      </c>
      <c r="E1006" s="70" t="s">
        <v>998</v>
      </c>
      <c r="F1006" s="562" t="s">
        <v>998</v>
      </c>
      <c r="G1006" s="553" t="s">
        <v>998</v>
      </c>
      <c r="H1006" s="70" t="s">
        <v>998</v>
      </c>
      <c r="I1006" s="70" t="s">
        <v>998</v>
      </c>
      <c r="J1006" s="70" t="s">
        <v>998</v>
      </c>
      <c r="K1006" s="70" t="s">
        <v>998</v>
      </c>
      <c r="L1006" s="70" t="s">
        <v>998</v>
      </c>
      <c r="M1006" s="605" t="s">
        <v>998</v>
      </c>
      <c r="N1006" s="599" t="s">
        <v>998</v>
      </c>
      <c r="O1006" s="630" t="s">
        <v>998</v>
      </c>
      <c r="P1006" s="599" t="s">
        <v>3013</v>
      </c>
      <c r="Q1006" s="604" t="s">
        <v>998</v>
      </c>
      <c r="R1006" s="630" t="s">
        <v>998</v>
      </c>
      <c r="S1006" s="70" t="s">
        <v>998</v>
      </c>
      <c r="T1006" s="70" t="s">
        <v>998</v>
      </c>
      <c r="U1006" s="562" t="s">
        <v>998</v>
      </c>
      <c r="V1006" s="712"/>
      <c r="AC1006" s="579"/>
      <c r="AD1006" s="634" t="s">
        <v>1308</v>
      </c>
      <c r="AE1006" s="634" t="s">
        <v>1309</v>
      </c>
      <c r="AF1006" s="634" t="s">
        <v>1029</v>
      </c>
      <c r="AG1006" s="634" t="s">
        <v>1030</v>
      </c>
      <c r="AH1006" s="634" t="s">
        <v>284</v>
      </c>
      <c r="AI1006" s="634" t="s">
        <v>285</v>
      </c>
      <c r="AJ1006" s="634" t="s">
        <v>286</v>
      </c>
      <c r="AK1006" s="634" t="s">
        <v>287</v>
      </c>
      <c r="AL1006" s="634" t="s">
        <v>288</v>
      </c>
      <c r="AM1006" s="634" t="s">
        <v>289</v>
      </c>
      <c r="AN1006" s="634" t="s">
        <v>633</v>
      </c>
      <c r="AO1006" s="634" t="s">
        <v>634</v>
      </c>
      <c r="AP1006" s="634" t="s">
        <v>1192</v>
      </c>
      <c r="AQ1006" s="634" t="s">
        <v>524</v>
      </c>
      <c r="AR1006" s="634" t="s">
        <v>525</v>
      </c>
      <c r="AS1006" s="684" t="s">
        <v>2356</v>
      </c>
    </row>
    <row r="1007" spans="1:47" ht="15.75" customHeight="1" x14ac:dyDescent="0.3">
      <c r="A1007" s="592" t="s">
        <v>1353</v>
      </c>
      <c r="B1007" s="553" t="s">
        <v>1353</v>
      </c>
      <c r="C1007" s="70" t="s">
        <v>1353</v>
      </c>
      <c r="D1007" s="70" t="s">
        <v>1353</v>
      </c>
      <c r="E1007" s="70" t="s">
        <v>2202</v>
      </c>
      <c r="F1007" s="562" t="s">
        <v>1353</v>
      </c>
      <c r="G1007" s="553" t="s">
        <v>1353</v>
      </c>
      <c r="H1007" s="70" t="s">
        <v>2119</v>
      </c>
      <c r="I1007" s="70" t="s">
        <v>2119</v>
      </c>
      <c r="J1007" s="70" t="s">
        <v>1353</v>
      </c>
      <c r="K1007" s="70" t="s">
        <v>1353</v>
      </c>
      <c r="L1007" s="70" t="s">
        <v>1353</v>
      </c>
      <c r="M1007" s="605" t="s">
        <v>1353</v>
      </c>
      <c r="N1007" s="599" t="s">
        <v>1353</v>
      </c>
      <c r="O1007" s="630" t="s">
        <v>1353</v>
      </c>
      <c r="P1007" s="605" t="s">
        <v>1353</v>
      </c>
      <c r="Q1007" s="599" t="s">
        <v>1353</v>
      </c>
      <c r="R1007" s="630" t="s">
        <v>1353</v>
      </c>
      <c r="S1007" s="70" t="s">
        <v>1353</v>
      </c>
      <c r="T1007" s="70" t="s">
        <v>1353</v>
      </c>
      <c r="U1007" s="562" t="s">
        <v>1353</v>
      </c>
      <c r="V1007" s="712"/>
      <c r="AC1007" s="579"/>
      <c r="AD1007" s="67"/>
      <c r="AE1007" s="67"/>
      <c r="AF1007" s="67"/>
      <c r="AG1007" s="67"/>
      <c r="AH1007" s="70" t="s">
        <v>2910</v>
      </c>
      <c r="AI1007" s="67"/>
      <c r="AJ1007" s="67"/>
      <c r="AK1007" s="67"/>
      <c r="AL1007" s="67"/>
      <c r="AM1007" s="67"/>
      <c r="AN1007" s="67"/>
      <c r="AO1007" s="67"/>
      <c r="AP1007" s="67"/>
      <c r="AQ1007" s="67"/>
      <c r="AR1007" s="67"/>
      <c r="AS1007" s="636"/>
    </row>
    <row r="1008" spans="1:47" ht="15.75" customHeight="1" x14ac:dyDescent="0.3">
      <c r="A1008" s="139" t="s">
        <v>2843</v>
      </c>
      <c r="B1008" s="553">
        <f>ROUND(R980-G980,0)</f>
        <v>159299</v>
      </c>
      <c r="C1008" s="70">
        <f>+ROUND(B1008*$C$1005,0)</f>
        <v>0</v>
      </c>
      <c r="D1008" s="70">
        <f>AS980</f>
        <v>6500</v>
      </c>
      <c r="E1008" s="70">
        <f>+B1008+C1008</f>
        <v>159299</v>
      </c>
      <c r="F1008" s="562">
        <f>(D1008+E1008)</f>
        <v>165799</v>
      </c>
      <c r="G1008" s="553">
        <f>ABS(G980)</f>
        <v>2639.3391493542172</v>
      </c>
      <c r="H1008" s="600">
        <v>9026</v>
      </c>
      <c r="I1008" s="600">
        <v>0</v>
      </c>
      <c r="J1008" s="70">
        <f>(H1008+I1008)</f>
        <v>9026</v>
      </c>
      <c r="K1008" s="600">
        <v>0</v>
      </c>
      <c r="L1008" s="600">
        <v>0</v>
      </c>
      <c r="M1008" s="606">
        <f>D1008+E1008-G1008-J1008-K1008-L1008</f>
        <v>154133.66085064577</v>
      </c>
      <c r="N1008" s="607">
        <v>0</v>
      </c>
      <c r="O1008" s="630">
        <f>M1008+N1008</f>
        <v>154133.66085064577</v>
      </c>
      <c r="P1008" s="710">
        <v>0.2</v>
      </c>
      <c r="Q1008" s="599">
        <f>-O1008*P1008</f>
        <v>-30826.732170129155</v>
      </c>
      <c r="R1008" s="630">
        <f>O1008+Q1008</f>
        <v>123306.92868051662</v>
      </c>
      <c r="S1008" s="628">
        <f t="shared" ref="S1008:S1019" si="386">(F1008-G1008-J1008-K1008-L1008-R1008)</f>
        <v>30826.732170129151</v>
      </c>
      <c r="T1008" s="70">
        <f>+IF(S1008&gt;=0,ABS(S1008),"")</f>
        <v>30826.732170129151</v>
      </c>
      <c r="U1008" s="562" t="str">
        <f>+IF(S1008&lt;=0,ABS(S1008),"")</f>
        <v/>
      </c>
      <c r="V1008" s="712"/>
      <c r="AC1008" s="642" t="s">
        <v>3041</v>
      </c>
      <c r="AD1008" s="687"/>
      <c r="AE1008" s="687"/>
      <c r="AF1008" s="687"/>
      <c r="AG1008" s="687"/>
      <c r="AH1008" s="687">
        <v>1.6E-2</v>
      </c>
      <c r="AI1008" s="687">
        <v>1.6E-2</v>
      </c>
      <c r="AJ1008" s="687">
        <v>1.6E-2</v>
      </c>
      <c r="AK1008" s="687">
        <v>1.6E-2</v>
      </c>
      <c r="AL1008" s="687">
        <v>1.6E-2</v>
      </c>
      <c r="AM1008" s="687">
        <v>1.6E-2</v>
      </c>
      <c r="AN1008" s="687">
        <v>1.6E-2</v>
      </c>
      <c r="AO1008" s="687">
        <v>1.6E-2</v>
      </c>
      <c r="AP1008" s="687">
        <v>1.6E-2</v>
      </c>
      <c r="AQ1008" s="687">
        <v>1.6E-2</v>
      </c>
      <c r="AR1008" s="687">
        <v>1.6E-2</v>
      </c>
      <c r="AS1008" s="592"/>
    </row>
    <row r="1009" spans="1:45" ht="15.75" customHeight="1" x14ac:dyDescent="0.3">
      <c r="A1009" s="139" t="s">
        <v>2091</v>
      </c>
      <c r="B1009" s="553">
        <f>ROUND(R981-G981,0)</f>
        <v>258006</v>
      </c>
      <c r="C1009" s="70">
        <f t="shared" ref="C1009:C1019" si="387">+ROUND(B1009*$C$1005,0)</f>
        <v>0</v>
      </c>
      <c r="D1009" s="70">
        <f t="shared" ref="D1009:D1019" si="388">AS981</f>
        <v>10760</v>
      </c>
      <c r="E1009" s="70">
        <f t="shared" ref="E1009:E1021" si="389">+B1009+C1009</f>
        <v>258006</v>
      </c>
      <c r="F1009" s="562">
        <f t="shared" ref="F1009:F1019" si="390">(D1009+E1009)</f>
        <v>268766</v>
      </c>
      <c r="G1009" s="553">
        <f t="shared" ref="G1009:G1019" si="391">ABS(G981)</f>
        <v>0</v>
      </c>
      <c r="H1009" s="600">
        <v>10267</v>
      </c>
      <c r="I1009" s="600">
        <v>0</v>
      </c>
      <c r="J1009" s="70">
        <f t="shared" ref="J1009:J1018" si="392">(H1009+I1009)</f>
        <v>10267</v>
      </c>
      <c r="K1009" s="600">
        <v>0</v>
      </c>
      <c r="L1009" s="600">
        <v>0</v>
      </c>
      <c r="M1009" s="606">
        <f t="shared" ref="M1009:M1019" si="393">D1009+E1009-G1009-J1009-K1009-L1009</f>
        <v>258499</v>
      </c>
      <c r="N1009" s="607">
        <v>0</v>
      </c>
      <c r="O1009" s="630">
        <f t="shared" ref="O1009:O1019" si="394">M1009+N1009</f>
        <v>258499</v>
      </c>
      <c r="P1009" s="710">
        <v>0.25</v>
      </c>
      <c r="Q1009" s="599">
        <f t="shared" ref="Q1009:Q1019" si="395">-O1009*P1009</f>
        <v>-64624.75</v>
      </c>
      <c r="R1009" s="630">
        <f t="shared" ref="R1009:R1019" si="396">O1009+Q1009</f>
        <v>193874.25</v>
      </c>
      <c r="S1009" s="628">
        <f t="shared" si="386"/>
        <v>64624.75</v>
      </c>
      <c r="T1009" s="70">
        <f t="shared" ref="T1009:T1019" si="397">+IF(S1009&gt;=0,ABS(S1009),"")</f>
        <v>64624.75</v>
      </c>
      <c r="U1009" s="562" t="str">
        <f t="shared" ref="U1009:U1019" si="398">+IF(S1009&lt;=0,ABS(S1009),"")</f>
        <v/>
      </c>
      <c r="V1009" s="712"/>
      <c r="AC1009" s="642" t="s">
        <v>2908</v>
      </c>
      <c r="AD1009" s="687"/>
      <c r="AE1009" s="687"/>
      <c r="AF1009" s="687"/>
      <c r="AG1009" s="687"/>
      <c r="AH1009" s="687"/>
      <c r="AI1009" s="687"/>
      <c r="AJ1009" s="687"/>
      <c r="AK1009" s="687"/>
      <c r="AL1009" s="687"/>
      <c r="AM1009" s="687"/>
      <c r="AN1009" s="687"/>
      <c r="AO1009" s="687"/>
      <c r="AP1009" s="687"/>
      <c r="AQ1009" s="687"/>
      <c r="AR1009" s="687"/>
      <c r="AS1009" s="592"/>
    </row>
    <row r="1010" spans="1:45" ht="15.75" customHeight="1" x14ac:dyDescent="0.3">
      <c r="A1010" s="139" t="s">
        <v>2234</v>
      </c>
      <c r="B1010" s="553">
        <f t="shared" ref="B1010:B1019" si="399">ROUND(R982-G982,0)</f>
        <v>147671</v>
      </c>
      <c r="C1010" s="70">
        <f t="shared" si="387"/>
        <v>0</v>
      </c>
      <c r="D1010" s="70">
        <f t="shared" si="388"/>
        <v>6425</v>
      </c>
      <c r="E1010" s="70">
        <f t="shared" si="389"/>
        <v>147671</v>
      </c>
      <c r="F1010" s="562">
        <f t="shared" si="390"/>
        <v>154096</v>
      </c>
      <c r="G1010" s="553">
        <f t="shared" si="391"/>
        <v>20.046958757287321</v>
      </c>
      <c r="H1010" s="600">
        <v>15833</v>
      </c>
      <c r="I1010" s="600">
        <v>0</v>
      </c>
      <c r="J1010" s="70">
        <f t="shared" si="392"/>
        <v>15833</v>
      </c>
      <c r="K1010" s="600">
        <v>0</v>
      </c>
      <c r="L1010" s="600">
        <v>0</v>
      </c>
      <c r="M1010" s="606">
        <f t="shared" si="393"/>
        <v>138242.95304124273</v>
      </c>
      <c r="N1010" s="607">
        <v>0</v>
      </c>
      <c r="O1010" s="630">
        <f t="shared" si="394"/>
        <v>138242.95304124273</v>
      </c>
      <c r="P1010" s="710">
        <v>0.3</v>
      </c>
      <c r="Q1010" s="599">
        <f t="shared" si="395"/>
        <v>-41472.885912372818</v>
      </c>
      <c r="R1010" s="630">
        <f t="shared" si="396"/>
        <v>96770.067128869909</v>
      </c>
      <c r="S1010" s="628">
        <f t="shared" si="386"/>
        <v>41472.885912372818</v>
      </c>
      <c r="T1010" s="70">
        <f t="shared" si="397"/>
        <v>41472.885912372818</v>
      </c>
      <c r="U1010" s="562" t="str">
        <f t="shared" si="398"/>
        <v/>
      </c>
      <c r="V1010" s="712"/>
      <c r="AC1010" s="642" t="s">
        <v>2909</v>
      </c>
      <c r="AD1010" s="687"/>
      <c r="AE1010" s="687"/>
      <c r="AF1010" s="687"/>
      <c r="AG1010" s="687"/>
      <c r="AH1010" s="687"/>
      <c r="AI1010" s="687"/>
      <c r="AJ1010" s="687"/>
      <c r="AK1010" s="687"/>
      <c r="AL1010" s="687"/>
      <c r="AM1010" s="687"/>
      <c r="AN1010" s="687"/>
      <c r="AO1010" s="687"/>
      <c r="AP1010" s="687"/>
      <c r="AQ1010" s="687"/>
      <c r="AR1010" s="687"/>
      <c r="AS1010" s="592"/>
    </row>
    <row r="1011" spans="1:45" ht="15.75" customHeight="1" x14ac:dyDescent="0.3">
      <c r="A1011" s="139" t="s">
        <v>2235</v>
      </c>
      <c r="B1011" s="553">
        <f t="shared" si="399"/>
        <v>257830</v>
      </c>
      <c r="C1011" s="70">
        <f t="shared" si="387"/>
        <v>0</v>
      </c>
      <c r="D1011" s="70">
        <f t="shared" si="388"/>
        <v>11221</v>
      </c>
      <c r="E1011" s="70">
        <f t="shared" si="389"/>
        <v>257830</v>
      </c>
      <c r="F1011" s="562">
        <f t="shared" si="390"/>
        <v>269051</v>
      </c>
      <c r="G1011" s="553">
        <f t="shared" si="391"/>
        <v>2100.2498132384621</v>
      </c>
      <c r="H1011" s="600">
        <v>15927</v>
      </c>
      <c r="I1011" s="600">
        <v>0</v>
      </c>
      <c r="J1011" s="70">
        <f t="shared" si="392"/>
        <v>15927</v>
      </c>
      <c r="K1011" s="600">
        <v>0</v>
      </c>
      <c r="L1011" s="600">
        <v>0</v>
      </c>
      <c r="M1011" s="606">
        <f t="shared" si="393"/>
        <v>251023.75018676155</v>
      </c>
      <c r="N1011" s="607">
        <v>-22320</v>
      </c>
      <c r="O1011" s="630">
        <f t="shared" si="394"/>
        <v>228703.75018676155</v>
      </c>
      <c r="P1011" s="710">
        <v>0.35</v>
      </c>
      <c r="Q1011" s="599">
        <f t="shared" si="395"/>
        <v>-80046.312565366534</v>
      </c>
      <c r="R1011" s="630">
        <f t="shared" si="396"/>
        <v>148657.43762139502</v>
      </c>
      <c r="S1011" s="628">
        <f t="shared" si="386"/>
        <v>102366.31256536653</v>
      </c>
      <c r="T1011" s="70">
        <f t="shared" si="397"/>
        <v>102366.31256536653</v>
      </c>
      <c r="U1011" s="562" t="str">
        <f t="shared" si="398"/>
        <v/>
      </c>
      <c r="V1011" s="712"/>
      <c r="AC1011" s="642" t="s">
        <v>2760</v>
      </c>
      <c r="AD1011" s="687"/>
      <c r="AE1011" s="687"/>
      <c r="AF1011" s="687"/>
      <c r="AG1011" s="687"/>
      <c r="AH1011" s="687"/>
      <c r="AI1011" s="687"/>
      <c r="AJ1011" s="687"/>
      <c r="AK1011" s="687"/>
      <c r="AL1011" s="687"/>
      <c r="AM1011" s="687"/>
      <c r="AN1011" s="687"/>
      <c r="AO1011" s="687"/>
      <c r="AP1011" s="687"/>
      <c r="AQ1011" s="687"/>
      <c r="AR1011" s="687"/>
      <c r="AS1011" s="592"/>
    </row>
    <row r="1012" spans="1:45" ht="15.75" customHeight="1" x14ac:dyDescent="0.3">
      <c r="A1012" s="139" t="s">
        <v>2236</v>
      </c>
      <c r="B1012" s="553">
        <f t="shared" si="399"/>
        <v>264316</v>
      </c>
      <c r="C1012" s="70">
        <f t="shared" si="387"/>
        <v>0</v>
      </c>
      <c r="D1012" s="70">
        <f t="shared" si="388"/>
        <v>11491</v>
      </c>
      <c r="E1012" s="70">
        <f t="shared" si="389"/>
        <v>264316</v>
      </c>
      <c r="F1012" s="562">
        <f t="shared" si="390"/>
        <v>275807</v>
      </c>
      <c r="G1012" s="553">
        <f t="shared" si="391"/>
        <v>2394.1723270542348</v>
      </c>
      <c r="H1012" s="600">
        <v>14250</v>
      </c>
      <c r="I1012" s="600">
        <v>0</v>
      </c>
      <c r="J1012" s="70">
        <f t="shared" si="392"/>
        <v>14250</v>
      </c>
      <c r="K1012" s="600">
        <v>0</v>
      </c>
      <c r="L1012" s="600">
        <v>0</v>
      </c>
      <c r="M1012" s="606">
        <f t="shared" si="393"/>
        <v>259162.82767294574</v>
      </c>
      <c r="N1012" s="607">
        <v>0</v>
      </c>
      <c r="O1012" s="630">
        <f t="shared" si="394"/>
        <v>259162.82767294574</v>
      </c>
      <c r="P1012" s="710">
        <v>0.35</v>
      </c>
      <c r="Q1012" s="599">
        <f t="shared" si="395"/>
        <v>-90706.989685531007</v>
      </c>
      <c r="R1012" s="630">
        <f t="shared" si="396"/>
        <v>168455.83798741474</v>
      </c>
      <c r="S1012" s="628">
        <f t="shared" si="386"/>
        <v>90706.989685531007</v>
      </c>
      <c r="T1012" s="70">
        <f t="shared" si="397"/>
        <v>90706.989685531007</v>
      </c>
      <c r="U1012" s="562" t="str">
        <f t="shared" si="398"/>
        <v/>
      </c>
      <c r="V1012" s="712"/>
      <c r="AC1012" s="642" t="s">
        <v>1114</v>
      </c>
      <c r="AD1012" s="687"/>
      <c r="AE1012" s="687"/>
      <c r="AF1012" s="687"/>
      <c r="AG1012" s="687"/>
      <c r="AH1012" s="687"/>
      <c r="AI1012" s="687"/>
      <c r="AJ1012" s="687">
        <v>2.5000000000000001E-2</v>
      </c>
      <c r="AK1012" s="687">
        <v>2.5000000000000001E-2</v>
      </c>
      <c r="AL1012" s="687">
        <v>2.5000000000000001E-2</v>
      </c>
      <c r="AM1012" s="687">
        <v>2.5000000000000001E-2</v>
      </c>
      <c r="AN1012" s="687">
        <v>2.5000000000000001E-2</v>
      </c>
      <c r="AO1012" s="687">
        <v>2.5000000000000001E-2</v>
      </c>
      <c r="AP1012" s="687">
        <v>2.5000000000000001E-2</v>
      </c>
      <c r="AQ1012" s="687">
        <v>2.5000000000000001E-2</v>
      </c>
      <c r="AR1012" s="687">
        <v>2.5000000000000001E-2</v>
      </c>
      <c r="AS1012" s="592"/>
    </row>
    <row r="1013" spans="1:45" ht="15.75" customHeight="1" x14ac:dyDescent="0.3">
      <c r="A1013" s="139" t="s">
        <v>2237</v>
      </c>
      <c r="B1013" s="553">
        <f>ROUND(R985-G985,0)</f>
        <v>201394</v>
      </c>
      <c r="C1013" s="70">
        <f t="shared" si="387"/>
        <v>0</v>
      </c>
      <c r="D1013" s="70">
        <f t="shared" si="388"/>
        <v>8591</v>
      </c>
      <c r="E1013" s="70">
        <f t="shared" si="389"/>
        <v>201394</v>
      </c>
      <c r="F1013" s="562">
        <f t="shared" si="390"/>
        <v>209985</v>
      </c>
      <c r="G1013" s="553">
        <f t="shared" si="391"/>
        <v>11185.780401547408</v>
      </c>
      <c r="H1013" s="600">
        <v>12696</v>
      </c>
      <c r="I1013" s="600">
        <v>0</v>
      </c>
      <c r="J1013" s="70">
        <f t="shared" si="392"/>
        <v>12696</v>
      </c>
      <c r="K1013" s="600">
        <v>0</v>
      </c>
      <c r="L1013" s="600">
        <v>0</v>
      </c>
      <c r="M1013" s="606">
        <f t="shared" si="393"/>
        <v>186103.21959845259</v>
      </c>
      <c r="N1013" s="607">
        <v>47280</v>
      </c>
      <c r="O1013" s="630">
        <f t="shared" si="394"/>
        <v>233383.21959845259</v>
      </c>
      <c r="P1013" s="710">
        <v>7.4999999999999997E-2</v>
      </c>
      <c r="Q1013" s="599">
        <f t="shared" si="395"/>
        <v>-17503.741469883942</v>
      </c>
      <c r="R1013" s="630">
        <f t="shared" si="396"/>
        <v>215879.47812856865</v>
      </c>
      <c r="S1013" s="628">
        <f t="shared" si="386"/>
        <v>-29776.258530116058</v>
      </c>
      <c r="T1013" s="70" t="str">
        <f t="shared" si="397"/>
        <v/>
      </c>
      <c r="U1013" s="562">
        <f t="shared" si="398"/>
        <v>29776.258530116058</v>
      </c>
      <c r="V1013" s="712"/>
      <c r="AC1013" s="642" t="s">
        <v>2356</v>
      </c>
      <c r="AD1013" s="217">
        <f>SUM(AD1008:AD1012)</f>
        <v>0</v>
      </c>
      <c r="AE1013" s="217">
        <f t="shared" ref="AE1013:AR1013" si="400">SUM(AE1008:AE1012)</f>
        <v>0</v>
      </c>
      <c r="AF1013" s="217">
        <f t="shared" si="400"/>
        <v>0</v>
      </c>
      <c r="AG1013" s="217">
        <f t="shared" si="400"/>
        <v>0</v>
      </c>
      <c r="AH1013" s="217">
        <f t="shared" si="400"/>
        <v>1.6E-2</v>
      </c>
      <c r="AI1013" s="217">
        <f t="shared" si="400"/>
        <v>1.6E-2</v>
      </c>
      <c r="AJ1013" s="217">
        <f t="shared" si="400"/>
        <v>4.1000000000000002E-2</v>
      </c>
      <c r="AK1013" s="217">
        <f t="shared" si="400"/>
        <v>4.1000000000000002E-2</v>
      </c>
      <c r="AL1013" s="217">
        <f t="shared" si="400"/>
        <v>4.1000000000000002E-2</v>
      </c>
      <c r="AM1013" s="217">
        <f t="shared" si="400"/>
        <v>4.1000000000000002E-2</v>
      </c>
      <c r="AN1013" s="217">
        <f t="shared" si="400"/>
        <v>4.1000000000000002E-2</v>
      </c>
      <c r="AO1013" s="217">
        <f t="shared" si="400"/>
        <v>4.1000000000000002E-2</v>
      </c>
      <c r="AP1013" s="217">
        <f t="shared" si="400"/>
        <v>4.1000000000000002E-2</v>
      </c>
      <c r="AQ1013" s="217">
        <f t="shared" si="400"/>
        <v>4.1000000000000002E-2</v>
      </c>
      <c r="AR1013" s="217">
        <f t="shared" si="400"/>
        <v>4.1000000000000002E-2</v>
      </c>
      <c r="AS1013" s="592"/>
    </row>
    <row r="1014" spans="1:45" ht="15.75" customHeight="1" x14ac:dyDescent="0.3">
      <c r="A1014" s="139" t="s">
        <v>1504</v>
      </c>
      <c r="B1014" s="553">
        <f t="shared" si="399"/>
        <v>190870</v>
      </c>
      <c r="C1014" s="70">
        <f t="shared" si="387"/>
        <v>0</v>
      </c>
      <c r="D1014" s="70">
        <f t="shared" si="388"/>
        <v>8064</v>
      </c>
      <c r="E1014" s="70">
        <f t="shared" si="389"/>
        <v>190870</v>
      </c>
      <c r="F1014" s="562">
        <f t="shared" si="390"/>
        <v>198934</v>
      </c>
      <c r="G1014" s="553">
        <f t="shared" si="391"/>
        <v>9783.6726906888689</v>
      </c>
      <c r="H1014" s="600">
        <v>11620</v>
      </c>
      <c r="I1014" s="600">
        <v>0</v>
      </c>
      <c r="J1014" s="70">
        <f t="shared" si="392"/>
        <v>11620</v>
      </c>
      <c r="K1014" s="600">
        <v>0</v>
      </c>
      <c r="L1014" s="600">
        <v>0</v>
      </c>
      <c r="M1014" s="606">
        <f t="shared" si="393"/>
        <v>177530.32730931113</v>
      </c>
      <c r="N1014" s="607">
        <v>47120</v>
      </c>
      <c r="O1014" s="630">
        <f t="shared" si="394"/>
        <v>224650.32730931113</v>
      </c>
      <c r="P1014" s="710">
        <v>0.05</v>
      </c>
      <c r="Q1014" s="599">
        <f t="shared" si="395"/>
        <v>-11232.516365465557</v>
      </c>
      <c r="R1014" s="630">
        <f t="shared" si="396"/>
        <v>213417.81094384557</v>
      </c>
      <c r="S1014" s="628">
        <f t="shared" si="386"/>
        <v>-35887.483634534437</v>
      </c>
      <c r="T1014" s="70" t="str">
        <f t="shared" si="397"/>
        <v/>
      </c>
      <c r="U1014" s="562">
        <f t="shared" si="398"/>
        <v>35887.483634534437</v>
      </c>
      <c r="V1014" s="712"/>
      <c r="AC1014" s="553" t="s">
        <v>1353</v>
      </c>
      <c r="AD1014" s="70" t="s">
        <v>1353</v>
      </c>
      <c r="AE1014" s="70" t="s">
        <v>1353</v>
      </c>
      <c r="AF1014" s="70" t="s">
        <v>1353</v>
      </c>
      <c r="AG1014" s="70" t="s">
        <v>1353</v>
      </c>
      <c r="AH1014" s="70" t="s">
        <v>1353</v>
      </c>
      <c r="AI1014" s="70" t="s">
        <v>1353</v>
      </c>
      <c r="AJ1014" s="70" t="s">
        <v>1353</v>
      </c>
      <c r="AK1014" s="70" t="s">
        <v>1353</v>
      </c>
      <c r="AL1014" s="70" t="s">
        <v>1353</v>
      </c>
      <c r="AM1014" s="70" t="s">
        <v>1353</v>
      </c>
      <c r="AN1014" s="70" t="s">
        <v>1353</v>
      </c>
      <c r="AO1014" s="70" t="s">
        <v>1353</v>
      </c>
      <c r="AP1014" s="70" t="s">
        <v>1353</v>
      </c>
      <c r="AQ1014" s="70" t="s">
        <v>1353</v>
      </c>
      <c r="AR1014" s="70" t="s">
        <v>1353</v>
      </c>
      <c r="AS1014" s="592" t="s">
        <v>1353</v>
      </c>
    </row>
    <row r="1015" spans="1:45" ht="15.75" customHeight="1" x14ac:dyDescent="0.3">
      <c r="A1015" s="139" t="s">
        <v>1505</v>
      </c>
      <c r="B1015" s="553">
        <f t="shared" si="399"/>
        <v>198482</v>
      </c>
      <c r="C1015" s="70">
        <f t="shared" si="387"/>
        <v>0</v>
      </c>
      <c r="D1015" s="70">
        <f t="shared" si="388"/>
        <v>8438</v>
      </c>
      <c r="E1015" s="70">
        <f t="shared" si="389"/>
        <v>198482</v>
      </c>
      <c r="F1015" s="562">
        <f t="shared" si="390"/>
        <v>206920</v>
      </c>
      <c r="G1015" s="553">
        <f t="shared" si="391"/>
        <v>6218.1212241142048</v>
      </c>
      <c r="H1015" s="600">
        <v>10241</v>
      </c>
      <c r="I1015" s="600">
        <v>0</v>
      </c>
      <c r="J1015" s="70">
        <f t="shared" si="392"/>
        <v>10241</v>
      </c>
      <c r="K1015" s="600">
        <v>0</v>
      </c>
      <c r="L1015" s="600">
        <v>0</v>
      </c>
      <c r="M1015" s="606">
        <f t="shared" si="393"/>
        <v>190460.87877588579</v>
      </c>
      <c r="N1015" s="607">
        <v>58776</v>
      </c>
      <c r="O1015" s="630">
        <f t="shared" si="394"/>
        <v>249236.87877588579</v>
      </c>
      <c r="P1015" s="710">
        <v>0</v>
      </c>
      <c r="Q1015" s="599">
        <f t="shared" si="395"/>
        <v>0</v>
      </c>
      <c r="R1015" s="630">
        <f t="shared" si="396"/>
        <v>249236.87877588579</v>
      </c>
      <c r="S1015" s="628">
        <f t="shared" si="386"/>
        <v>-58776</v>
      </c>
      <c r="T1015" s="70" t="str">
        <f t="shared" si="397"/>
        <v/>
      </c>
      <c r="U1015" s="562">
        <f t="shared" si="398"/>
        <v>58776</v>
      </c>
      <c r="V1015" s="712"/>
      <c r="AC1015" s="642" t="s">
        <v>2843</v>
      </c>
      <c r="AD1015" s="67">
        <f>ROUND(B980*$AD$1013, 0)</f>
        <v>0</v>
      </c>
      <c r="AE1015" s="67">
        <f>ROUND(C980*$AE$1013,0)</f>
        <v>0</v>
      </c>
      <c r="AF1015" s="67">
        <f>ROUND(D980*$AF$1013,0)</f>
        <v>0</v>
      </c>
      <c r="AG1015" s="67">
        <f>ROUND(E980*$AG$1013,0)</f>
        <v>0</v>
      </c>
      <c r="AH1015" s="67">
        <f>ROUND(F980*$AH$1013,0)</f>
        <v>209</v>
      </c>
      <c r="AI1015" s="67">
        <f>ROUND(H980*$AI$1013,0)</f>
        <v>38</v>
      </c>
      <c r="AJ1015" s="67">
        <f>ROUND(I980*$AJ$1013,0)</f>
        <v>100</v>
      </c>
      <c r="AK1015" s="67">
        <f>ROUND(J980*$AK$1013,0)</f>
        <v>156</v>
      </c>
      <c r="AL1015" s="67">
        <f>ROUND(K980*$AL$1013,0)</f>
        <v>162</v>
      </c>
      <c r="AM1015" s="67">
        <f>ROUND(L980*$AM$1013,0)</f>
        <v>52</v>
      </c>
      <c r="AN1015" s="67">
        <f>ROUND(M980*$AN$1013,0)</f>
        <v>62</v>
      </c>
      <c r="AO1015" s="67">
        <f>ROUND(N980*$AO$1013,0)</f>
        <v>127</v>
      </c>
      <c r="AP1015" s="67">
        <f>ROUND(O980*$AP$1013,0)</f>
        <v>27</v>
      </c>
      <c r="AQ1015" s="67">
        <f>ROUND(P980*$AQ$1013,0)</f>
        <v>53</v>
      </c>
      <c r="AR1015" s="67">
        <f>ROUND(Q980*$AR$1013,0)</f>
        <v>64</v>
      </c>
      <c r="AS1015" s="636">
        <f>SUM(AD1015:AR1015)</f>
        <v>1050</v>
      </c>
    </row>
    <row r="1016" spans="1:45" ht="15.75" customHeight="1" x14ac:dyDescent="0.3">
      <c r="A1016" s="139" t="s">
        <v>1506</v>
      </c>
      <c r="B1016" s="553">
        <f t="shared" si="399"/>
        <v>267150</v>
      </c>
      <c r="C1016" s="70">
        <f t="shared" si="387"/>
        <v>0</v>
      </c>
      <c r="D1016" s="70">
        <f t="shared" si="388"/>
        <v>11715</v>
      </c>
      <c r="E1016" s="70">
        <f t="shared" si="389"/>
        <v>267150</v>
      </c>
      <c r="F1016" s="562">
        <f t="shared" si="390"/>
        <v>278865</v>
      </c>
      <c r="G1016" s="553">
        <f t="shared" si="391"/>
        <v>0</v>
      </c>
      <c r="H1016" s="600">
        <v>10229</v>
      </c>
      <c r="I1016" s="600">
        <v>0</v>
      </c>
      <c r="J1016" s="70">
        <f t="shared" si="392"/>
        <v>10229</v>
      </c>
      <c r="K1016" s="600">
        <v>0</v>
      </c>
      <c r="L1016" s="600">
        <v>0</v>
      </c>
      <c r="M1016" s="606">
        <f t="shared" si="393"/>
        <v>268636</v>
      </c>
      <c r="N1016" s="607">
        <v>0</v>
      </c>
      <c r="O1016" s="630">
        <f t="shared" si="394"/>
        <v>268636</v>
      </c>
      <c r="P1016" s="710">
        <v>0.05</v>
      </c>
      <c r="Q1016" s="599">
        <f t="shared" si="395"/>
        <v>-13431.800000000001</v>
      </c>
      <c r="R1016" s="630">
        <f t="shared" si="396"/>
        <v>255204.2</v>
      </c>
      <c r="S1016" s="628">
        <f t="shared" si="386"/>
        <v>13431.799999999988</v>
      </c>
      <c r="T1016" s="70">
        <f t="shared" si="397"/>
        <v>13431.799999999988</v>
      </c>
      <c r="U1016" s="562" t="str">
        <f t="shared" si="398"/>
        <v/>
      </c>
      <c r="V1016" s="712"/>
      <c r="AC1016" s="642" t="s">
        <v>2091</v>
      </c>
      <c r="AD1016" s="67">
        <f t="shared" ref="AD1016:AD1026" si="401">ROUND(B981*$AD$1013, 0)</f>
        <v>0</v>
      </c>
      <c r="AE1016" s="67">
        <f t="shared" ref="AE1016:AE1026" si="402">ROUND(C981*$AE$1013,0)</f>
        <v>0</v>
      </c>
      <c r="AF1016" s="67">
        <f t="shared" ref="AF1016:AF1026" si="403">ROUND(D981*$AF$1013,0)</f>
        <v>0</v>
      </c>
      <c r="AG1016" s="67">
        <f t="shared" ref="AG1016:AG1026" si="404">ROUND(E981*$AG$1013,0)</f>
        <v>0</v>
      </c>
      <c r="AH1016" s="67">
        <f t="shared" ref="AH1016:AH1026" si="405">ROUND(F981*$AH$1013,0)</f>
        <v>345</v>
      </c>
      <c r="AI1016" s="67">
        <f t="shared" ref="AI1016:AI1026" si="406">ROUND(H981*$AI$1013,0)</f>
        <v>48</v>
      </c>
      <c r="AJ1016" s="67">
        <f t="shared" ref="AJ1016:AJ1026" si="407">ROUND(I981*$AJ$1013,0)</f>
        <v>97</v>
      </c>
      <c r="AK1016" s="67">
        <f t="shared" ref="AK1016:AK1026" si="408">ROUND(J981*$AK$1013,0)</f>
        <v>151</v>
      </c>
      <c r="AL1016" s="67">
        <f t="shared" ref="AL1016:AL1026" si="409">ROUND(K981*$AL$1013,0)</f>
        <v>157</v>
      </c>
      <c r="AM1016" s="67">
        <f t="shared" ref="AM1016:AM1026" si="410">ROUND(L981*$AM$1013,0)</f>
        <v>41</v>
      </c>
      <c r="AN1016" s="67">
        <f t="shared" ref="AN1016:AN1026" si="411">ROUND(M981*$AN$1013,0)</f>
        <v>48</v>
      </c>
      <c r="AO1016" s="67">
        <f t="shared" ref="AO1016:AO1026" si="412">ROUND(N981*$AO$1013,0)</f>
        <v>94</v>
      </c>
      <c r="AP1016" s="67">
        <f t="shared" ref="AP1016:AP1026" si="413">ROUND(O981*$AP$1013,0)</f>
        <v>26</v>
      </c>
      <c r="AQ1016" s="67">
        <f t="shared" ref="AQ1016:AQ1026" si="414">ROUND(P981*$AQ$1013,0)</f>
        <v>53</v>
      </c>
      <c r="AR1016" s="67">
        <f t="shared" ref="AR1016:AR1026" si="415">ROUND(Q981*$AR$1013,0)</f>
        <v>62</v>
      </c>
      <c r="AS1016" s="636">
        <f t="shared" ref="AS1016:AS1026" si="416">SUM(AD1016:AR1016)</f>
        <v>1122</v>
      </c>
    </row>
    <row r="1017" spans="1:45" ht="15.75" customHeight="1" x14ac:dyDescent="0.3">
      <c r="A1017" s="139" t="s">
        <v>1507</v>
      </c>
      <c r="B1017" s="553">
        <f t="shared" si="399"/>
        <v>249084</v>
      </c>
      <c r="C1017" s="70">
        <f t="shared" si="387"/>
        <v>0</v>
      </c>
      <c r="D1017" s="70">
        <f t="shared" si="388"/>
        <v>10878</v>
      </c>
      <c r="E1017" s="70">
        <f t="shared" si="389"/>
        <v>249084</v>
      </c>
      <c r="F1017" s="562">
        <f t="shared" si="390"/>
        <v>259962</v>
      </c>
      <c r="G1017" s="553">
        <f t="shared" si="391"/>
        <v>0</v>
      </c>
      <c r="H1017" s="600">
        <v>10104</v>
      </c>
      <c r="I1017" s="600">
        <v>0</v>
      </c>
      <c r="J1017" s="70">
        <f t="shared" si="392"/>
        <v>10104</v>
      </c>
      <c r="K1017" s="600">
        <v>0</v>
      </c>
      <c r="L1017" s="600">
        <v>0</v>
      </c>
      <c r="M1017" s="606">
        <f t="shared" si="393"/>
        <v>249858</v>
      </c>
      <c r="N1017" s="607">
        <v>0</v>
      </c>
      <c r="O1017" s="630">
        <f t="shared" si="394"/>
        <v>249858</v>
      </c>
      <c r="P1017" s="710">
        <v>0.2</v>
      </c>
      <c r="Q1017" s="599">
        <f t="shared" si="395"/>
        <v>-49971.600000000006</v>
      </c>
      <c r="R1017" s="630">
        <f t="shared" si="396"/>
        <v>199886.4</v>
      </c>
      <c r="S1017" s="628">
        <f t="shared" si="386"/>
        <v>49971.600000000006</v>
      </c>
      <c r="T1017" s="70">
        <f t="shared" si="397"/>
        <v>49971.600000000006</v>
      </c>
      <c r="U1017" s="562" t="str">
        <f t="shared" si="398"/>
        <v/>
      </c>
      <c r="V1017" s="712"/>
      <c r="AC1017" s="642" t="s">
        <v>2234</v>
      </c>
      <c r="AD1017" s="67">
        <f t="shared" si="401"/>
        <v>0</v>
      </c>
      <c r="AE1017" s="67">
        <f t="shared" si="402"/>
        <v>0</v>
      </c>
      <c r="AF1017" s="67">
        <f t="shared" si="403"/>
        <v>0</v>
      </c>
      <c r="AG1017" s="67">
        <f t="shared" si="404"/>
        <v>0</v>
      </c>
      <c r="AH1017" s="67">
        <f t="shared" si="405"/>
        <v>0</v>
      </c>
      <c r="AI1017" s="67">
        <f t="shared" si="406"/>
        <v>87</v>
      </c>
      <c r="AJ1017" s="67">
        <f t="shared" si="407"/>
        <v>158</v>
      </c>
      <c r="AK1017" s="67">
        <f t="shared" si="408"/>
        <v>219</v>
      </c>
      <c r="AL1017" s="67">
        <f t="shared" si="409"/>
        <v>221</v>
      </c>
      <c r="AM1017" s="67">
        <f t="shared" si="410"/>
        <v>60</v>
      </c>
      <c r="AN1017" s="67">
        <f t="shared" si="411"/>
        <v>71</v>
      </c>
      <c r="AO1017" s="67">
        <f t="shared" si="412"/>
        <v>140</v>
      </c>
      <c r="AP1017" s="67">
        <f t="shared" si="413"/>
        <v>25</v>
      </c>
      <c r="AQ1017" s="67">
        <f t="shared" si="414"/>
        <v>66</v>
      </c>
      <c r="AR1017" s="67">
        <f t="shared" si="415"/>
        <v>60</v>
      </c>
      <c r="AS1017" s="636">
        <f t="shared" si="416"/>
        <v>1107</v>
      </c>
    </row>
    <row r="1018" spans="1:45" ht="15.75" customHeight="1" x14ac:dyDescent="0.3">
      <c r="A1018" s="139" t="s">
        <v>1508</v>
      </c>
      <c r="B1018" s="553">
        <f t="shared" si="399"/>
        <v>196538</v>
      </c>
      <c r="C1018" s="70">
        <f t="shared" si="387"/>
        <v>0</v>
      </c>
      <c r="D1018" s="70">
        <f t="shared" si="388"/>
        <v>8288</v>
      </c>
      <c r="E1018" s="70">
        <f t="shared" si="389"/>
        <v>196538</v>
      </c>
      <c r="F1018" s="562">
        <f t="shared" si="390"/>
        <v>204826</v>
      </c>
      <c r="G1018" s="553">
        <f t="shared" si="391"/>
        <v>208.27320843732522</v>
      </c>
      <c r="H1018" s="600">
        <v>10826</v>
      </c>
      <c r="I1018" s="600">
        <v>0</v>
      </c>
      <c r="J1018" s="70">
        <f t="shared" si="392"/>
        <v>10826</v>
      </c>
      <c r="K1018" s="600">
        <v>0</v>
      </c>
      <c r="L1018" s="600">
        <v>0</v>
      </c>
      <c r="M1018" s="606">
        <f t="shared" si="393"/>
        <v>193791.72679156269</v>
      </c>
      <c r="N1018" s="607">
        <v>0</v>
      </c>
      <c r="O1018" s="630">
        <f t="shared" si="394"/>
        <v>193791.72679156269</v>
      </c>
      <c r="P1018" s="710">
        <v>0.2</v>
      </c>
      <c r="Q1018" s="599">
        <f t="shared" si="395"/>
        <v>-38758.345358312537</v>
      </c>
      <c r="R1018" s="630">
        <f t="shared" si="396"/>
        <v>155033.38143325015</v>
      </c>
      <c r="S1018" s="628">
        <f t="shared" si="386"/>
        <v>38758.345358312537</v>
      </c>
      <c r="T1018" s="70">
        <f t="shared" si="397"/>
        <v>38758.345358312537</v>
      </c>
      <c r="U1018" s="562" t="str">
        <f t="shared" si="398"/>
        <v/>
      </c>
      <c r="V1018" s="712"/>
      <c r="AC1018" s="642" t="s">
        <v>2235</v>
      </c>
      <c r="AD1018" s="67">
        <f t="shared" si="401"/>
        <v>0</v>
      </c>
      <c r="AE1018" s="67">
        <f t="shared" si="402"/>
        <v>0</v>
      </c>
      <c r="AF1018" s="67">
        <f t="shared" si="403"/>
        <v>0</v>
      </c>
      <c r="AG1018" s="67">
        <f t="shared" si="404"/>
        <v>0</v>
      </c>
      <c r="AH1018" s="67">
        <f t="shared" si="405"/>
        <v>38</v>
      </c>
      <c r="AI1018" s="67">
        <f t="shared" si="406"/>
        <v>169</v>
      </c>
      <c r="AJ1018" s="67">
        <f t="shared" si="407"/>
        <v>278</v>
      </c>
      <c r="AK1018" s="67">
        <f t="shared" si="408"/>
        <v>326</v>
      </c>
      <c r="AL1018" s="67">
        <f t="shared" si="409"/>
        <v>299</v>
      </c>
      <c r="AM1018" s="67">
        <f t="shared" si="410"/>
        <v>84</v>
      </c>
      <c r="AN1018" s="67">
        <f t="shared" si="411"/>
        <v>99</v>
      </c>
      <c r="AO1018" s="67">
        <f t="shared" si="412"/>
        <v>199</v>
      </c>
      <c r="AP1018" s="67">
        <f t="shared" si="413"/>
        <v>28</v>
      </c>
      <c r="AQ1018" s="67">
        <f t="shared" si="414"/>
        <v>80</v>
      </c>
      <c r="AR1018" s="67">
        <f t="shared" si="415"/>
        <v>67</v>
      </c>
      <c r="AS1018" s="636">
        <f t="shared" si="416"/>
        <v>1667</v>
      </c>
    </row>
    <row r="1019" spans="1:45" ht="15.75" customHeight="1" x14ac:dyDescent="0.3">
      <c r="A1019" s="139" t="s">
        <v>1509</v>
      </c>
      <c r="B1019" s="553">
        <f t="shared" si="399"/>
        <v>120701</v>
      </c>
      <c r="C1019" s="70">
        <f t="shared" si="387"/>
        <v>0</v>
      </c>
      <c r="D1019" s="70">
        <f t="shared" si="388"/>
        <v>5249</v>
      </c>
      <c r="E1019" s="70">
        <f t="shared" si="389"/>
        <v>120701</v>
      </c>
      <c r="F1019" s="562">
        <f t="shared" si="390"/>
        <v>125950</v>
      </c>
      <c r="G1019" s="553">
        <f t="shared" si="391"/>
        <v>0</v>
      </c>
      <c r="H1019" s="600">
        <v>6676</v>
      </c>
      <c r="I1019" s="600">
        <v>0</v>
      </c>
      <c r="J1019" s="70">
        <f>(H1019+I1019)</f>
        <v>6676</v>
      </c>
      <c r="K1019" s="600">
        <v>0</v>
      </c>
      <c r="L1019" s="600">
        <v>0</v>
      </c>
      <c r="M1019" s="606">
        <f t="shared" si="393"/>
        <v>119274</v>
      </c>
      <c r="N1019" s="607">
        <v>0</v>
      </c>
      <c r="O1019" s="630">
        <f t="shared" si="394"/>
        <v>119274</v>
      </c>
      <c r="P1019" s="710">
        <v>0.2</v>
      </c>
      <c r="Q1019" s="599">
        <f t="shared" si="395"/>
        <v>-23854.800000000003</v>
      </c>
      <c r="R1019" s="630">
        <f t="shared" si="396"/>
        <v>95419.199999999997</v>
      </c>
      <c r="S1019" s="628">
        <f t="shared" si="386"/>
        <v>23854.800000000003</v>
      </c>
      <c r="T1019" s="70">
        <f t="shared" si="397"/>
        <v>23854.800000000003</v>
      </c>
      <c r="U1019" s="562" t="str">
        <f t="shared" si="398"/>
        <v/>
      </c>
      <c r="V1019" s="712"/>
      <c r="AC1019" s="642" t="s">
        <v>2236</v>
      </c>
      <c r="AD1019" s="67">
        <f t="shared" si="401"/>
        <v>0</v>
      </c>
      <c r="AE1019" s="67">
        <f t="shared" si="402"/>
        <v>0</v>
      </c>
      <c r="AF1019" s="67">
        <f t="shared" si="403"/>
        <v>0</v>
      </c>
      <c r="AG1019" s="67">
        <f t="shared" si="404"/>
        <v>0</v>
      </c>
      <c r="AH1019" s="67">
        <f t="shared" si="405"/>
        <v>63</v>
      </c>
      <c r="AI1019" s="67">
        <f t="shared" si="406"/>
        <v>150</v>
      </c>
      <c r="AJ1019" s="67">
        <f t="shared" si="407"/>
        <v>231</v>
      </c>
      <c r="AK1019" s="67">
        <f t="shared" si="408"/>
        <v>310</v>
      </c>
      <c r="AL1019" s="67">
        <f t="shared" si="409"/>
        <v>290</v>
      </c>
      <c r="AM1019" s="67">
        <f t="shared" si="410"/>
        <v>84</v>
      </c>
      <c r="AN1019" s="67">
        <f t="shared" si="411"/>
        <v>99</v>
      </c>
      <c r="AO1019" s="67">
        <f t="shared" si="412"/>
        <v>203</v>
      </c>
      <c r="AP1019" s="67">
        <f t="shared" si="413"/>
        <v>32</v>
      </c>
      <c r="AQ1019" s="67">
        <f t="shared" si="414"/>
        <v>93</v>
      </c>
      <c r="AR1019" s="67">
        <f t="shared" si="415"/>
        <v>74</v>
      </c>
      <c r="AS1019" s="636">
        <f t="shared" si="416"/>
        <v>1629</v>
      </c>
    </row>
    <row r="1020" spans="1:45" ht="15.75" customHeight="1" x14ac:dyDescent="0.3">
      <c r="A1020" s="592" t="s">
        <v>2435</v>
      </c>
      <c r="B1020" s="553" t="s">
        <v>2435</v>
      </c>
      <c r="C1020" s="70"/>
      <c r="D1020" s="70"/>
      <c r="E1020" s="70" t="s">
        <v>852</v>
      </c>
      <c r="F1020" s="562"/>
      <c r="G1020" s="553"/>
      <c r="H1020" s="70"/>
      <c r="I1020" s="70" t="s">
        <v>852</v>
      </c>
      <c r="J1020" s="70" t="s">
        <v>852</v>
      </c>
      <c r="K1020" s="601"/>
      <c r="L1020" s="70"/>
      <c r="M1020" s="606"/>
      <c r="N1020" s="607"/>
      <c r="O1020" s="630"/>
      <c r="P1020" s="710"/>
      <c r="Q1020" s="607"/>
      <c r="R1020" s="630"/>
      <c r="S1020" s="628"/>
      <c r="T1020" s="70"/>
      <c r="U1020" s="562"/>
      <c r="V1020" s="712"/>
      <c r="AC1020" s="642" t="s">
        <v>2237</v>
      </c>
      <c r="AD1020" s="67">
        <f t="shared" si="401"/>
        <v>0</v>
      </c>
      <c r="AE1020" s="67">
        <f t="shared" si="402"/>
        <v>0</v>
      </c>
      <c r="AF1020" s="67">
        <f t="shared" si="403"/>
        <v>0</v>
      </c>
      <c r="AG1020" s="67">
        <f t="shared" si="404"/>
        <v>0</v>
      </c>
      <c r="AH1020" s="67">
        <f t="shared" si="405"/>
        <v>5</v>
      </c>
      <c r="AI1020" s="67">
        <f t="shared" si="406"/>
        <v>198</v>
      </c>
      <c r="AJ1020" s="67">
        <f t="shared" si="407"/>
        <v>300</v>
      </c>
      <c r="AK1020" s="67">
        <f t="shared" si="408"/>
        <v>348</v>
      </c>
      <c r="AL1020" s="67">
        <f t="shared" si="409"/>
        <v>308</v>
      </c>
      <c r="AM1020" s="67">
        <f t="shared" si="410"/>
        <v>89</v>
      </c>
      <c r="AN1020" s="67">
        <f t="shared" si="411"/>
        <v>104</v>
      </c>
      <c r="AO1020" s="67">
        <f t="shared" si="412"/>
        <v>207</v>
      </c>
      <c r="AP1020" s="67">
        <f t="shared" si="413"/>
        <v>34</v>
      </c>
      <c r="AQ1020" s="67">
        <f t="shared" si="414"/>
        <v>95</v>
      </c>
      <c r="AR1020" s="67">
        <f t="shared" si="415"/>
        <v>81</v>
      </c>
      <c r="AS1020" s="636">
        <f t="shared" si="416"/>
        <v>1769</v>
      </c>
    </row>
    <row r="1021" spans="1:45" ht="16.5" customHeight="1" thickBot="1" x14ac:dyDescent="0.35">
      <c r="A1021" s="596" t="s">
        <v>2356</v>
      </c>
      <c r="B1021" s="558">
        <f>SUM(B1008:B1019)</f>
        <v>2511341</v>
      </c>
      <c r="C1021" s="564">
        <f>+SUM(C1008:C1019)</f>
        <v>0</v>
      </c>
      <c r="D1021" s="564">
        <f>SUM(D1008:D1019)</f>
        <v>107620</v>
      </c>
      <c r="E1021" s="564">
        <f t="shared" si="389"/>
        <v>2511341</v>
      </c>
      <c r="F1021" s="602">
        <f>SUM(F1008:F1019)</f>
        <v>2618961</v>
      </c>
      <c r="G1021" s="558">
        <f>SUM(G1008:G1019)</f>
        <v>34549.655773192011</v>
      </c>
      <c r="H1021" s="564">
        <f>SUM(H1008:H1019)</f>
        <v>137695</v>
      </c>
      <c r="I1021" s="564">
        <f>SUM(I1008:I1019)</f>
        <v>0</v>
      </c>
      <c r="J1021" s="564">
        <f>(H1021+I1021)</f>
        <v>137695</v>
      </c>
      <c r="K1021" s="564">
        <f>SUM(K1008:K1019)</f>
        <v>0</v>
      </c>
      <c r="L1021" s="564">
        <f>SUM(L1008:L1019)</f>
        <v>0</v>
      </c>
      <c r="M1021" s="608">
        <f>SUM(M1008:M1019)</f>
        <v>2446716.3442268078</v>
      </c>
      <c r="N1021" s="609">
        <f>SUM(N1008:N1019)</f>
        <v>130856</v>
      </c>
      <c r="O1021" s="631">
        <f>+M1021+N1021</f>
        <v>2577572.3442268078</v>
      </c>
      <c r="P1021" s="711">
        <f>Q1021/O1021</f>
        <v>-0.17940542951696528</v>
      </c>
      <c r="Q1021" s="616">
        <f>SUM(Q1008:Q1019)</f>
        <v>-462430.47352706152</v>
      </c>
      <c r="R1021" s="631">
        <f>SUM(R1008:R1019)</f>
        <v>2115141.8706997461</v>
      </c>
      <c r="S1021" s="629">
        <f>(F1021-G1021-J1021-K1021-L1021-R1021)</f>
        <v>331574.47352706175</v>
      </c>
      <c r="T1021" s="564">
        <f>+SUM(T1008:T1019)</f>
        <v>456014.2156917121</v>
      </c>
      <c r="U1021" s="602">
        <f>+SUM(U1008:U1019)</f>
        <v>124439.7421646505</v>
      </c>
      <c r="V1021" s="712"/>
      <c r="AC1021" s="642" t="s">
        <v>1504</v>
      </c>
      <c r="AD1021" s="67">
        <f t="shared" si="401"/>
        <v>0</v>
      </c>
      <c r="AE1021" s="67">
        <f t="shared" si="402"/>
        <v>0</v>
      </c>
      <c r="AF1021" s="67">
        <f t="shared" si="403"/>
        <v>0</v>
      </c>
      <c r="AG1021" s="67">
        <f t="shared" si="404"/>
        <v>0</v>
      </c>
      <c r="AH1021" s="67">
        <f t="shared" si="405"/>
        <v>0</v>
      </c>
      <c r="AI1021" s="67">
        <f t="shared" si="406"/>
        <v>204</v>
      </c>
      <c r="AJ1021" s="67">
        <f t="shared" si="407"/>
        <v>341</v>
      </c>
      <c r="AK1021" s="67">
        <f t="shared" si="408"/>
        <v>376</v>
      </c>
      <c r="AL1021" s="67">
        <f t="shared" si="409"/>
        <v>324</v>
      </c>
      <c r="AM1021" s="67">
        <f t="shared" si="410"/>
        <v>94</v>
      </c>
      <c r="AN1021" s="67">
        <f t="shared" si="411"/>
        <v>111</v>
      </c>
      <c r="AO1021" s="67">
        <f t="shared" si="412"/>
        <v>219</v>
      </c>
      <c r="AP1021" s="67">
        <f t="shared" si="413"/>
        <v>35</v>
      </c>
      <c r="AQ1021" s="67">
        <f t="shared" si="414"/>
        <v>86</v>
      </c>
      <c r="AR1021" s="67">
        <f t="shared" si="415"/>
        <v>83</v>
      </c>
      <c r="AS1021" s="636">
        <f t="shared" si="416"/>
        <v>1873</v>
      </c>
    </row>
    <row r="1022" spans="1:45" ht="15.75" customHeight="1" x14ac:dyDescent="0.3">
      <c r="A1022" s="579"/>
      <c r="B1022" s="67"/>
      <c r="C1022" s="67"/>
      <c r="D1022" s="67"/>
      <c r="E1022" s="67"/>
      <c r="F1022" s="67" t="s">
        <v>2435</v>
      </c>
      <c r="G1022" s="67"/>
      <c r="H1022" s="67"/>
      <c r="I1022" s="67"/>
      <c r="K1022" s="67"/>
      <c r="L1022" s="67"/>
      <c r="M1022" s="219"/>
      <c r="O1022" s="703"/>
      <c r="P1022" s="701"/>
      <c r="V1022" s="712"/>
      <c r="AC1022" s="642" t="s">
        <v>1505</v>
      </c>
      <c r="AD1022" s="67">
        <f t="shared" si="401"/>
        <v>0</v>
      </c>
      <c r="AE1022" s="67">
        <f t="shared" si="402"/>
        <v>0</v>
      </c>
      <c r="AF1022" s="67">
        <f t="shared" si="403"/>
        <v>0</v>
      </c>
      <c r="AG1022" s="67">
        <f t="shared" si="404"/>
        <v>0</v>
      </c>
      <c r="AH1022" s="67">
        <f t="shared" si="405"/>
        <v>0</v>
      </c>
      <c r="AI1022" s="67">
        <f t="shared" si="406"/>
        <v>194</v>
      </c>
      <c r="AJ1022" s="67">
        <f t="shared" si="407"/>
        <v>351</v>
      </c>
      <c r="AK1022" s="67">
        <f t="shared" si="408"/>
        <v>383</v>
      </c>
      <c r="AL1022" s="67">
        <f t="shared" si="409"/>
        <v>319</v>
      </c>
      <c r="AM1022" s="67">
        <f t="shared" si="410"/>
        <v>91</v>
      </c>
      <c r="AN1022" s="67">
        <f t="shared" si="411"/>
        <v>107</v>
      </c>
      <c r="AO1022" s="67">
        <f t="shared" si="412"/>
        <v>208</v>
      </c>
      <c r="AP1022" s="67">
        <f t="shared" si="413"/>
        <v>33</v>
      </c>
      <c r="AQ1022" s="67">
        <f t="shared" si="414"/>
        <v>80</v>
      </c>
      <c r="AR1022" s="67">
        <f t="shared" si="415"/>
        <v>78</v>
      </c>
      <c r="AS1022" s="636">
        <f t="shared" si="416"/>
        <v>1844</v>
      </c>
    </row>
    <row r="1023" spans="1:45" ht="15.75" customHeight="1" x14ac:dyDescent="0.3">
      <c r="A1023" s="551" t="s">
        <v>2640</v>
      </c>
      <c r="P1023" s="67"/>
      <c r="Q1023" s="67"/>
      <c r="R1023" s="67"/>
      <c r="V1023" s="712"/>
      <c r="AC1023" s="642" t="s">
        <v>1506</v>
      </c>
      <c r="AD1023" s="67">
        <f t="shared" si="401"/>
        <v>0</v>
      </c>
      <c r="AE1023" s="67">
        <f t="shared" si="402"/>
        <v>0</v>
      </c>
      <c r="AF1023" s="67">
        <f t="shared" si="403"/>
        <v>0</v>
      </c>
      <c r="AG1023" s="67">
        <f t="shared" si="404"/>
        <v>0</v>
      </c>
      <c r="AH1023" s="67">
        <f t="shared" si="405"/>
        <v>81</v>
      </c>
      <c r="AI1023" s="67">
        <f t="shared" si="406"/>
        <v>124</v>
      </c>
      <c r="AJ1023" s="67">
        <f t="shared" si="407"/>
        <v>196</v>
      </c>
      <c r="AK1023" s="67">
        <f t="shared" si="408"/>
        <v>233</v>
      </c>
      <c r="AL1023" s="67">
        <f t="shared" si="409"/>
        <v>203</v>
      </c>
      <c r="AM1023" s="67">
        <f t="shared" si="410"/>
        <v>72</v>
      </c>
      <c r="AN1023" s="67">
        <f t="shared" si="411"/>
        <v>85</v>
      </c>
      <c r="AO1023" s="67">
        <f t="shared" si="412"/>
        <v>168</v>
      </c>
      <c r="AP1023" s="67">
        <f t="shared" si="413"/>
        <v>32</v>
      </c>
      <c r="AQ1023" s="67">
        <f t="shared" si="414"/>
        <v>73</v>
      </c>
      <c r="AR1023" s="67">
        <f t="shared" si="415"/>
        <v>75</v>
      </c>
      <c r="AS1023" s="636">
        <f t="shared" si="416"/>
        <v>1342</v>
      </c>
    </row>
    <row r="1024" spans="1:45" ht="15.75" customHeight="1" x14ac:dyDescent="0.3">
      <c r="A1024" s="551" t="s">
        <v>1660</v>
      </c>
      <c r="D1024" s="67"/>
      <c r="E1024" s="67"/>
      <c r="F1024" s="67"/>
      <c r="G1024" s="67"/>
      <c r="H1024" s="67"/>
      <c r="I1024" s="67"/>
      <c r="J1024" s="67"/>
      <c r="K1024" s="67"/>
      <c r="L1024" s="67"/>
      <c r="M1024" s="67"/>
      <c r="N1024" s="67"/>
      <c r="O1024" s="67"/>
      <c r="P1024" s="67"/>
      <c r="Q1024" s="67"/>
      <c r="R1024" s="67"/>
      <c r="V1024" s="712"/>
      <c r="AC1024" s="642" t="s">
        <v>1507</v>
      </c>
      <c r="AD1024" s="67">
        <f t="shared" si="401"/>
        <v>0</v>
      </c>
      <c r="AE1024" s="67">
        <f t="shared" si="402"/>
        <v>0</v>
      </c>
      <c r="AF1024" s="67">
        <f t="shared" si="403"/>
        <v>0</v>
      </c>
      <c r="AG1024" s="67">
        <f t="shared" si="404"/>
        <v>0</v>
      </c>
      <c r="AH1024" s="67">
        <f t="shared" si="405"/>
        <v>107</v>
      </c>
      <c r="AI1024" s="67">
        <f t="shared" si="406"/>
        <v>112</v>
      </c>
      <c r="AJ1024" s="67">
        <f t="shared" si="407"/>
        <v>143</v>
      </c>
      <c r="AK1024" s="67">
        <f t="shared" si="408"/>
        <v>183</v>
      </c>
      <c r="AL1024" s="67">
        <f t="shared" si="409"/>
        <v>175</v>
      </c>
      <c r="AM1024" s="67">
        <f t="shared" si="410"/>
        <v>64</v>
      </c>
      <c r="AN1024" s="67">
        <f t="shared" si="411"/>
        <v>76</v>
      </c>
      <c r="AO1024" s="67">
        <f t="shared" si="412"/>
        <v>149</v>
      </c>
      <c r="AP1024" s="67">
        <f t="shared" si="413"/>
        <v>30</v>
      </c>
      <c r="AQ1024" s="67">
        <f t="shared" si="414"/>
        <v>66</v>
      </c>
      <c r="AR1024" s="67">
        <f t="shared" si="415"/>
        <v>70</v>
      </c>
      <c r="AS1024" s="636">
        <f t="shared" si="416"/>
        <v>1175</v>
      </c>
    </row>
    <row r="1025" spans="1:45" ht="15.75" customHeight="1" x14ac:dyDescent="0.3">
      <c r="A1025" s="551" t="s">
        <v>2853</v>
      </c>
      <c r="D1025" s="67"/>
      <c r="E1025" s="67"/>
      <c r="F1025" s="67"/>
      <c r="G1025" s="67"/>
      <c r="H1025" s="67"/>
      <c r="I1025" s="67"/>
      <c r="J1025" s="67"/>
      <c r="K1025" s="67"/>
      <c r="L1025" s="67"/>
      <c r="M1025" s="67"/>
      <c r="N1025" s="67"/>
      <c r="O1025" s="67"/>
      <c r="P1025" s="67"/>
      <c r="Q1025" s="67"/>
      <c r="R1025" s="67"/>
      <c r="V1025" s="712"/>
      <c r="AC1025" s="642" t="s">
        <v>1508</v>
      </c>
      <c r="AD1025" s="67">
        <f t="shared" si="401"/>
        <v>0</v>
      </c>
      <c r="AE1025" s="67">
        <f t="shared" si="402"/>
        <v>0</v>
      </c>
      <c r="AF1025" s="67">
        <f t="shared" si="403"/>
        <v>0</v>
      </c>
      <c r="AG1025" s="67">
        <f t="shared" si="404"/>
        <v>0</v>
      </c>
      <c r="AH1025" s="67">
        <f t="shared" si="405"/>
        <v>302</v>
      </c>
      <c r="AI1025" s="67">
        <f t="shared" si="406"/>
        <v>10</v>
      </c>
      <c r="AJ1025" s="67">
        <f t="shared" si="407"/>
        <v>8</v>
      </c>
      <c r="AK1025" s="67">
        <f t="shared" si="408"/>
        <v>12</v>
      </c>
      <c r="AL1025" s="67">
        <f t="shared" si="409"/>
        <v>12</v>
      </c>
      <c r="AM1025" s="67">
        <f t="shared" si="410"/>
        <v>4</v>
      </c>
      <c r="AN1025" s="67">
        <f t="shared" si="411"/>
        <v>5</v>
      </c>
      <c r="AO1025" s="67">
        <f t="shared" si="412"/>
        <v>8</v>
      </c>
      <c r="AP1025" s="67">
        <f t="shared" si="413"/>
        <v>6</v>
      </c>
      <c r="AQ1025" s="67">
        <f t="shared" si="414"/>
        <v>60</v>
      </c>
      <c r="AR1025" s="67">
        <f t="shared" si="415"/>
        <v>15</v>
      </c>
      <c r="AS1025" s="636">
        <f t="shared" si="416"/>
        <v>442</v>
      </c>
    </row>
    <row r="1026" spans="1:45" ht="15.75" customHeight="1" thickBot="1" x14ac:dyDescent="0.35">
      <c r="A1026" s="554" t="s">
        <v>2626</v>
      </c>
      <c r="B1026" s="581"/>
      <c r="C1026" s="581"/>
      <c r="D1026" s="555"/>
      <c r="E1026" s="555"/>
      <c r="F1026" s="555"/>
      <c r="G1026" s="555"/>
      <c r="H1026" s="555"/>
      <c r="I1026" s="555"/>
      <c r="J1026" s="555"/>
      <c r="K1026" s="555"/>
      <c r="L1026" s="555"/>
      <c r="M1026" s="555"/>
      <c r="N1026" s="555"/>
      <c r="O1026" s="555"/>
      <c r="P1026" s="555"/>
      <c r="Q1026" s="555"/>
      <c r="R1026" s="555"/>
      <c r="S1026" s="581"/>
      <c r="T1026" s="581"/>
      <c r="U1026" s="581"/>
      <c r="V1026" s="565"/>
      <c r="AC1026" s="642" t="s">
        <v>1509</v>
      </c>
      <c r="AD1026" s="67">
        <f t="shared" si="401"/>
        <v>0</v>
      </c>
      <c r="AE1026" s="67">
        <f t="shared" si="402"/>
        <v>0</v>
      </c>
      <c r="AF1026" s="67">
        <f t="shared" si="403"/>
        <v>0</v>
      </c>
      <c r="AG1026" s="67">
        <f t="shared" si="404"/>
        <v>0</v>
      </c>
      <c r="AH1026" s="67">
        <f t="shared" si="405"/>
        <v>80</v>
      </c>
      <c r="AI1026" s="67">
        <f t="shared" si="406"/>
        <v>52</v>
      </c>
      <c r="AJ1026" s="67">
        <f t="shared" si="407"/>
        <v>48</v>
      </c>
      <c r="AK1026" s="67">
        <f t="shared" si="408"/>
        <v>72</v>
      </c>
      <c r="AL1026" s="67">
        <f t="shared" si="409"/>
        <v>74</v>
      </c>
      <c r="AM1026" s="67">
        <f t="shared" si="410"/>
        <v>17</v>
      </c>
      <c r="AN1026" s="67">
        <f t="shared" si="411"/>
        <v>20</v>
      </c>
      <c r="AO1026" s="67">
        <f t="shared" si="412"/>
        <v>40</v>
      </c>
      <c r="AP1026" s="67">
        <f t="shared" si="413"/>
        <v>0</v>
      </c>
      <c r="AQ1026" s="67">
        <f t="shared" si="414"/>
        <v>53</v>
      </c>
      <c r="AR1026" s="67">
        <f t="shared" si="415"/>
        <v>0</v>
      </c>
      <c r="AS1026" s="636">
        <f t="shared" si="416"/>
        <v>456</v>
      </c>
    </row>
    <row r="1027" spans="1:45" ht="15.75" customHeight="1" thickBot="1" x14ac:dyDescent="0.35">
      <c r="A1027" s="551"/>
      <c r="D1027" s="67"/>
      <c r="E1027" s="67"/>
      <c r="F1027" s="67"/>
      <c r="G1027" s="67"/>
      <c r="H1027" s="67"/>
      <c r="I1027" s="67"/>
      <c r="J1027" s="67"/>
      <c r="K1027" s="67"/>
      <c r="L1027" s="67"/>
      <c r="M1027" s="67"/>
      <c r="N1027" s="67"/>
      <c r="O1027" s="67"/>
      <c r="P1027" s="67"/>
      <c r="Q1027" s="67"/>
      <c r="R1027" s="67"/>
      <c r="S1027" s="703"/>
      <c r="V1027" s="705"/>
      <c r="AC1027" s="579"/>
      <c r="AD1027" s="67"/>
      <c r="AE1027" s="67"/>
      <c r="AF1027" s="67"/>
      <c r="AG1027" s="67"/>
      <c r="AH1027" s="67"/>
      <c r="AI1027" s="67"/>
      <c r="AJ1027" s="67"/>
      <c r="AK1027" s="67"/>
      <c r="AL1027" s="67"/>
      <c r="AM1027" s="67"/>
      <c r="AN1027" s="67"/>
      <c r="AO1027" s="67"/>
      <c r="AP1027" s="67"/>
      <c r="AQ1027" s="67"/>
      <c r="AR1027" s="67"/>
      <c r="AS1027" s="636"/>
    </row>
    <row r="1028" spans="1:45" ht="15.75" customHeight="1" thickBot="1" x14ac:dyDescent="0.35">
      <c r="A1028" s="139"/>
      <c r="B1028" s="806" t="s">
        <v>2689</v>
      </c>
      <c r="C1028" s="807"/>
      <c r="D1028" s="807"/>
      <c r="E1028" s="807"/>
      <c r="F1028" s="807"/>
      <c r="G1028" s="807"/>
      <c r="H1028" s="807"/>
      <c r="I1028" s="807"/>
      <c r="J1028" s="807"/>
      <c r="K1028" s="807"/>
      <c r="L1028" s="807"/>
      <c r="M1028" s="807"/>
      <c r="N1028" s="807"/>
      <c r="O1028" s="807"/>
      <c r="P1028" s="807"/>
      <c r="Q1028" s="701"/>
      <c r="R1028" s="701"/>
      <c r="S1028" s="705"/>
      <c r="T1028" s="703"/>
      <c r="U1028" s="703"/>
      <c r="V1028" s="702"/>
      <c r="AC1028" s="644" t="s">
        <v>2356</v>
      </c>
      <c r="AD1028" s="555">
        <f>SUM(AD1015:AD1026)</f>
        <v>0</v>
      </c>
      <c r="AE1028" s="555">
        <f t="shared" ref="AE1028:AS1028" si="417">SUM(AE1015:AE1026)</f>
        <v>0</v>
      </c>
      <c r="AF1028" s="555">
        <f t="shared" si="417"/>
        <v>0</v>
      </c>
      <c r="AG1028" s="555">
        <f t="shared" si="417"/>
        <v>0</v>
      </c>
      <c r="AH1028" s="555">
        <f t="shared" si="417"/>
        <v>1230</v>
      </c>
      <c r="AI1028" s="555">
        <f t="shared" si="417"/>
        <v>1386</v>
      </c>
      <c r="AJ1028" s="555">
        <f t="shared" si="417"/>
        <v>2251</v>
      </c>
      <c r="AK1028" s="555">
        <f t="shared" si="417"/>
        <v>2769</v>
      </c>
      <c r="AL1028" s="555">
        <f t="shared" si="417"/>
        <v>2544</v>
      </c>
      <c r="AM1028" s="555">
        <f t="shared" si="417"/>
        <v>752</v>
      </c>
      <c r="AN1028" s="555">
        <f t="shared" si="417"/>
        <v>887</v>
      </c>
      <c r="AO1028" s="555">
        <f t="shared" si="417"/>
        <v>1762</v>
      </c>
      <c r="AP1028" s="555">
        <f t="shared" si="417"/>
        <v>308</v>
      </c>
      <c r="AQ1028" s="555">
        <f t="shared" si="417"/>
        <v>858</v>
      </c>
      <c r="AR1028" s="555">
        <f t="shared" si="417"/>
        <v>729</v>
      </c>
      <c r="AS1028" s="637">
        <f t="shared" si="417"/>
        <v>15476</v>
      </c>
    </row>
    <row r="1029" spans="1:45" ht="15.75" customHeight="1" thickBot="1" x14ac:dyDescent="0.35">
      <c r="A1029" s="139"/>
      <c r="B1029" s="795" t="s">
        <v>2633</v>
      </c>
      <c r="C1029" s="796"/>
      <c r="D1029" s="796"/>
      <c r="E1029" s="796"/>
      <c r="F1029" s="797"/>
      <c r="G1029" s="795" t="s">
        <v>2674</v>
      </c>
      <c r="H1029" s="796"/>
      <c r="I1029" s="796"/>
      <c r="J1029" s="796"/>
      <c r="K1029" s="796"/>
      <c r="L1029" s="796"/>
      <c r="M1029" s="798" t="s">
        <v>2677</v>
      </c>
      <c r="N1029" s="811"/>
      <c r="O1029" s="811"/>
      <c r="P1029" s="799"/>
      <c r="Q1029" s="799"/>
      <c r="R1029" s="800"/>
      <c r="S1029" s="795" t="s">
        <v>2682</v>
      </c>
      <c r="T1029" s="801"/>
      <c r="U1029" s="802"/>
      <c r="V1029" s="727"/>
    </row>
    <row r="1030" spans="1:45" ht="15.75" customHeight="1" x14ac:dyDescent="0.3">
      <c r="A1030" s="592"/>
      <c r="B1030" s="553" t="s">
        <v>2439</v>
      </c>
      <c r="C1030" s="70"/>
      <c r="D1030" s="70" t="s">
        <v>336</v>
      </c>
      <c r="E1030" s="70" t="s">
        <v>596</v>
      </c>
      <c r="F1030" s="562" t="s">
        <v>2652</v>
      </c>
      <c r="G1030" s="553" t="s">
        <v>228</v>
      </c>
      <c r="H1030" s="70"/>
      <c r="I1030" s="70"/>
      <c r="J1030" s="70" t="s">
        <v>229</v>
      </c>
      <c r="K1030" s="70" t="s">
        <v>2638</v>
      </c>
      <c r="L1030" s="70" t="s">
        <v>2639</v>
      </c>
      <c r="M1030" s="808" t="str">
        <f>+M1003</f>
        <v>(NE)* per WAPA</v>
      </c>
      <c r="N1030" s="809"/>
      <c r="O1030" s="809"/>
      <c r="P1030" s="715"/>
      <c r="Q1030" s="599"/>
      <c r="R1030" s="714"/>
      <c r="S1030" s="553" t="s">
        <v>2683</v>
      </c>
      <c r="T1030" s="610" t="s">
        <v>134</v>
      </c>
      <c r="U1030" s="611" t="s">
        <v>2685</v>
      </c>
      <c r="V1030" s="727"/>
    </row>
    <row r="1031" spans="1:45" ht="15.75" customHeight="1" x14ac:dyDescent="0.3">
      <c r="A1031" s="592"/>
      <c r="B1031" s="593" t="s">
        <v>2648</v>
      </c>
      <c r="C1031" s="588" t="s">
        <v>2656</v>
      </c>
      <c r="D1031" s="588" t="s">
        <v>2651</v>
      </c>
      <c r="E1031" s="70" t="s">
        <v>335</v>
      </c>
      <c r="F1031" s="591" t="s">
        <v>2653</v>
      </c>
      <c r="G1031" s="553" t="s">
        <v>2463</v>
      </c>
      <c r="H1031" s="70" t="s">
        <v>1416</v>
      </c>
      <c r="I1031" s="70" t="s">
        <v>1417</v>
      </c>
      <c r="J1031" s="588" t="s">
        <v>2632</v>
      </c>
      <c r="K1031" s="70" t="s">
        <v>2634</v>
      </c>
      <c r="L1031" s="588" t="s">
        <v>2637</v>
      </c>
      <c r="M1031" s="603" t="s">
        <v>2679</v>
      </c>
      <c r="N1031" s="604" t="s">
        <v>2680</v>
      </c>
      <c r="O1031" s="599" t="s">
        <v>2356</v>
      </c>
      <c r="P1031" s="603" t="s">
        <v>3112</v>
      </c>
      <c r="Q1031" s="604" t="s">
        <v>3112</v>
      </c>
      <c r="R1031" s="630" t="s">
        <v>3117</v>
      </c>
      <c r="S1031" s="553" t="s">
        <v>2684</v>
      </c>
      <c r="T1031" s="70" t="s">
        <v>2686</v>
      </c>
      <c r="U1031" s="562" t="s">
        <v>2687</v>
      </c>
      <c r="V1031" s="727"/>
    </row>
    <row r="1032" spans="1:45" ht="15.75" customHeight="1" x14ac:dyDescent="0.3">
      <c r="A1032" s="592"/>
      <c r="B1032" s="594" t="s">
        <v>2654</v>
      </c>
      <c r="C1032" s="217">
        <v>5.0000000000000001E-3</v>
      </c>
      <c r="D1032" s="217">
        <v>4.2999999999999997E-2</v>
      </c>
      <c r="E1032" s="70" t="s">
        <v>133</v>
      </c>
      <c r="F1032" s="595" t="s">
        <v>2649</v>
      </c>
      <c r="G1032" s="553" t="s">
        <v>2650</v>
      </c>
      <c r="H1032" s="70" t="s">
        <v>335</v>
      </c>
      <c r="I1032" s="70" t="s">
        <v>335</v>
      </c>
      <c r="J1032" s="70" t="s">
        <v>335</v>
      </c>
      <c r="K1032" s="70" t="s">
        <v>134</v>
      </c>
      <c r="L1032" s="70" t="s">
        <v>2636</v>
      </c>
      <c r="M1032" s="605" t="s">
        <v>955</v>
      </c>
      <c r="N1032" s="599" t="s">
        <v>2681</v>
      </c>
      <c r="O1032" s="599" t="s">
        <v>2688</v>
      </c>
      <c r="P1032" s="605" t="s">
        <v>3113</v>
      </c>
      <c r="Q1032" s="604" t="s">
        <v>3113</v>
      </c>
      <c r="R1032" s="630" t="s">
        <v>2688</v>
      </c>
      <c r="S1032" s="553" t="s">
        <v>335</v>
      </c>
      <c r="T1032" s="70" t="s">
        <v>335</v>
      </c>
      <c r="U1032" s="562" t="s">
        <v>335</v>
      </c>
      <c r="V1032" s="727"/>
    </row>
    <row r="1033" spans="1:45" ht="15.75" customHeight="1" x14ac:dyDescent="0.3">
      <c r="A1033" s="592" t="s">
        <v>249</v>
      </c>
      <c r="B1033" s="553" t="s">
        <v>2695</v>
      </c>
      <c r="C1033" s="70" t="s">
        <v>2695</v>
      </c>
      <c r="D1033" s="70" t="s">
        <v>2695</v>
      </c>
      <c r="E1033" s="70" t="s">
        <v>2695</v>
      </c>
      <c r="F1033" s="70" t="s">
        <v>2695</v>
      </c>
      <c r="G1033" s="553" t="s">
        <v>2695</v>
      </c>
      <c r="H1033" s="70" t="s">
        <v>2695</v>
      </c>
      <c r="I1033" s="70" t="s">
        <v>2695</v>
      </c>
      <c r="J1033" s="70" t="s">
        <v>2695</v>
      </c>
      <c r="K1033" s="70" t="s">
        <v>2695</v>
      </c>
      <c r="L1033" s="70" t="s">
        <v>2695</v>
      </c>
      <c r="M1033" s="605" t="s">
        <v>2695</v>
      </c>
      <c r="N1033" s="599" t="s">
        <v>2696</v>
      </c>
      <c r="O1033" s="599" t="s">
        <v>2695</v>
      </c>
      <c r="P1033" s="605" t="s">
        <v>3013</v>
      </c>
      <c r="Q1033" s="604" t="s">
        <v>998</v>
      </c>
      <c r="R1033" s="630" t="s">
        <v>998</v>
      </c>
      <c r="S1033" s="553" t="s">
        <v>2695</v>
      </c>
      <c r="T1033" s="70" t="s">
        <v>2695</v>
      </c>
      <c r="U1033" s="562" t="s">
        <v>2695</v>
      </c>
      <c r="V1033" s="727"/>
    </row>
    <row r="1034" spans="1:45" ht="15.75" customHeight="1" x14ac:dyDescent="0.3">
      <c r="A1034" s="592" t="s">
        <v>1353</v>
      </c>
      <c r="B1034" s="553" t="s">
        <v>1353</v>
      </c>
      <c r="C1034" s="70" t="s">
        <v>1353</v>
      </c>
      <c r="D1034" s="70" t="s">
        <v>1353</v>
      </c>
      <c r="E1034" s="70" t="s">
        <v>2202</v>
      </c>
      <c r="F1034" s="562" t="s">
        <v>1353</v>
      </c>
      <c r="G1034" s="553" t="s">
        <v>1353</v>
      </c>
      <c r="H1034" s="70" t="s">
        <v>2119</v>
      </c>
      <c r="I1034" s="70" t="s">
        <v>2119</v>
      </c>
      <c r="J1034" s="70" t="s">
        <v>1353</v>
      </c>
      <c r="K1034" s="70" t="s">
        <v>1353</v>
      </c>
      <c r="L1034" s="70" t="s">
        <v>1353</v>
      </c>
      <c r="M1034" s="605" t="s">
        <v>1353</v>
      </c>
      <c r="N1034" s="599" t="s">
        <v>1353</v>
      </c>
      <c r="O1034" s="599" t="s">
        <v>1353</v>
      </c>
      <c r="P1034" s="605" t="s">
        <v>1353</v>
      </c>
      <c r="Q1034" s="599" t="s">
        <v>1353</v>
      </c>
      <c r="R1034" s="630" t="s">
        <v>1353</v>
      </c>
      <c r="S1034" s="553" t="s">
        <v>1353</v>
      </c>
      <c r="T1034" s="70" t="s">
        <v>1353</v>
      </c>
      <c r="U1034" s="562" t="s">
        <v>1353</v>
      </c>
      <c r="V1034" s="727"/>
    </row>
    <row r="1035" spans="1:45" ht="15.75" customHeight="1" x14ac:dyDescent="0.3">
      <c r="A1035" s="139" t="s">
        <v>2843</v>
      </c>
      <c r="B1035" s="553">
        <f>+B1008/($B$10*24)</f>
        <v>214.11155913978496</v>
      </c>
      <c r="C1035" s="70">
        <f t="shared" ref="C1035:L1035" si="418">+C1008/($B$10*24)</f>
        <v>0</v>
      </c>
      <c r="D1035" s="70">
        <f t="shared" si="418"/>
        <v>8.736559139784946</v>
      </c>
      <c r="E1035" s="70">
        <f t="shared" si="418"/>
        <v>214.11155913978496</v>
      </c>
      <c r="F1035" s="562">
        <f t="shared" si="418"/>
        <v>222.84811827956989</v>
      </c>
      <c r="G1035" s="70">
        <f t="shared" si="418"/>
        <v>3.5474988566588941</v>
      </c>
      <c r="H1035" s="70">
        <f t="shared" si="418"/>
        <v>12.131720430107526</v>
      </c>
      <c r="I1035" s="70">
        <f t="shared" si="418"/>
        <v>0</v>
      </c>
      <c r="J1035" s="70">
        <f t="shared" si="418"/>
        <v>12.131720430107526</v>
      </c>
      <c r="K1035" s="70">
        <f t="shared" si="418"/>
        <v>0</v>
      </c>
      <c r="L1035" s="70">
        <f t="shared" si="418"/>
        <v>0</v>
      </c>
      <c r="M1035" s="605">
        <f>+M1008/($B$10*24)</f>
        <v>207.16889899280346</v>
      </c>
      <c r="N1035" s="599">
        <f t="shared" ref="N1035" si="419">+N1008/($B$10*24)</f>
        <v>0</v>
      </c>
      <c r="O1035" s="599">
        <f>+O1008/($B$10*24)</f>
        <v>207.16889899280346</v>
      </c>
      <c r="P1035" s="716">
        <f>P1008</f>
        <v>0.2</v>
      </c>
      <c r="Q1035" s="599">
        <f>-O1035*P1035</f>
        <v>-41.433779798560693</v>
      </c>
      <c r="R1035" s="630">
        <f>O1035+Q1035</f>
        <v>165.73511919424277</v>
      </c>
      <c r="S1035" s="612">
        <f>+S1008/($B$10*24)</f>
        <v>41.433779798560685</v>
      </c>
      <c r="T1035" s="70">
        <f>+IF(S1035&gt;=0,ABS(S1035),"")</f>
        <v>41.433779798560685</v>
      </c>
      <c r="U1035" s="562" t="str">
        <f>+IF(S1035&lt;=0,ABS(S1035),"")</f>
        <v/>
      </c>
      <c r="V1035" s="727"/>
    </row>
    <row r="1036" spans="1:45" ht="15.75" customHeight="1" x14ac:dyDescent="0.3">
      <c r="A1036" s="139" t="s">
        <v>2091</v>
      </c>
      <c r="B1036" s="553">
        <f>+B1009/($C$10*24)</f>
        <v>383.9375</v>
      </c>
      <c r="C1036" s="70">
        <f t="shared" ref="C1036:N1036" si="420">+C1009/($C$10*24)</f>
        <v>0</v>
      </c>
      <c r="D1036" s="70">
        <f t="shared" si="420"/>
        <v>16.011904761904763</v>
      </c>
      <c r="E1036" s="70">
        <f t="shared" si="420"/>
        <v>383.9375</v>
      </c>
      <c r="F1036" s="562">
        <f t="shared" si="420"/>
        <v>399.94940476190476</v>
      </c>
      <c r="G1036" s="70">
        <f t="shared" si="420"/>
        <v>0</v>
      </c>
      <c r="H1036" s="70">
        <f t="shared" si="420"/>
        <v>15.27827380952381</v>
      </c>
      <c r="I1036" s="70">
        <f t="shared" si="420"/>
        <v>0</v>
      </c>
      <c r="J1036" s="70">
        <f t="shared" si="420"/>
        <v>15.27827380952381</v>
      </c>
      <c r="K1036" s="70">
        <f t="shared" si="420"/>
        <v>0</v>
      </c>
      <c r="L1036" s="70">
        <f t="shared" si="420"/>
        <v>0</v>
      </c>
      <c r="M1036" s="605">
        <f t="shared" si="420"/>
        <v>384.67113095238096</v>
      </c>
      <c r="N1036" s="599">
        <f t="shared" si="420"/>
        <v>0</v>
      </c>
      <c r="O1036" s="599">
        <f t="shared" ref="O1036:O1046" si="421">+O1009/($B$10*24)</f>
        <v>347.44489247311827</v>
      </c>
      <c r="P1036" s="716">
        <f t="shared" ref="P1036:P1046" si="422">P1009</f>
        <v>0.25</v>
      </c>
      <c r="Q1036" s="599">
        <f t="shared" ref="Q1036:Q1046" si="423">-O1036*P1036</f>
        <v>-86.861223118279568</v>
      </c>
      <c r="R1036" s="630">
        <f t="shared" ref="R1036:R1046" si="424">O1036+Q1036</f>
        <v>260.58366935483872</v>
      </c>
      <c r="S1036" s="612">
        <f>+S1009/($C$10*24)</f>
        <v>96.167782738095241</v>
      </c>
      <c r="T1036" s="70">
        <f t="shared" ref="T1036:T1046" si="425">+IF(S1036&gt;=0,ABS(S1036),"")</f>
        <v>96.167782738095241</v>
      </c>
      <c r="U1036" s="562" t="str">
        <f t="shared" ref="U1036:U1046" si="426">+IF(S1036&lt;=0,ABS(S1036),"")</f>
        <v/>
      </c>
      <c r="V1036" s="727"/>
    </row>
    <row r="1037" spans="1:45" ht="15.75" customHeight="1" x14ac:dyDescent="0.3">
      <c r="A1037" s="139" t="s">
        <v>2234</v>
      </c>
      <c r="B1037" s="553">
        <f>+B1010/($D$10*24)</f>
        <v>198.48252688172042</v>
      </c>
      <c r="C1037" s="70">
        <f t="shared" ref="C1037:N1037" si="427">+C1010/($D$10*24)</f>
        <v>0</v>
      </c>
      <c r="D1037" s="70">
        <f t="shared" si="427"/>
        <v>8.6357526881720439</v>
      </c>
      <c r="E1037" s="70">
        <f t="shared" si="427"/>
        <v>198.48252688172042</v>
      </c>
      <c r="F1037" s="562">
        <f t="shared" si="427"/>
        <v>207.11827956989248</v>
      </c>
      <c r="G1037" s="70">
        <f t="shared" si="427"/>
        <v>2.6944837039364677E-2</v>
      </c>
      <c r="H1037" s="70">
        <f>+H1010/($D$10*24)</f>
        <v>21.280913978494624</v>
      </c>
      <c r="I1037" s="70">
        <f t="shared" si="427"/>
        <v>0</v>
      </c>
      <c r="J1037" s="70">
        <f t="shared" si="427"/>
        <v>21.280913978494624</v>
      </c>
      <c r="K1037" s="70">
        <f t="shared" si="427"/>
        <v>0</v>
      </c>
      <c r="L1037" s="70">
        <f t="shared" si="427"/>
        <v>0</v>
      </c>
      <c r="M1037" s="605">
        <f t="shared" si="427"/>
        <v>185.81042075435852</v>
      </c>
      <c r="N1037" s="599">
        <f t="shared" si="427"/>
        <v>0</v>
      </c>
      <c r="O1037" s="599">
        <f t="shared" si="421"/>
        <v>185.81042075435852</v>
      </c>
      <c r="P1037" s="716">
        <f t="shared" si="422"/>
        <v>0.3</v>
      </c>
      <c r="Q1037" s="599">
        <f t="shared" si="423"/>
        <v>-55.743126226307552</v>
      </c>
      <c r="R1037" s="630">
        <f t="shared" si="424"/>
        <v>130.06729452805098</v>
      </c>
      <c r="S1037" s="612">
        <f>+S1010/($D$10*24)</f>
        <v>55.743126226307552</v>
      </c>
      <c r="T1037" s="70">
        <f t="shared" si="425"/>
        <v>55.743126226307552</v>
      </c>
      <c r="U1037" s="562" t="str">
        <f t="shared" si="426"/>
        <v/>
      </c>
      <c r="V1037" s="727"/>
    </row>
    <row r="1038" spans="1:45" ht="15.75" customHeight="1" x14ac:dyDescent="0.3">
      <c r="A1038" s="139" t="s">
        <v>2235</v>
      </c>
      <c r="B1038" s="553">
        <f>+B1011/($F$10*24)</f>
        <v>358.09722222222223</v>
      </c>
      <c r="C1038" s="70">
        <f t="shared" ref="C1038:N1038" si="428">+C1011/($F$10*24)</f>
        <v>0</v>
      </c>
      <c r="D1038" s="70">
        <f t="shared" si="428"/>
        <v>15.584722222222222</v>
      </c>
      <c r="E1038" s="70">
        <f t="shared" si="428"/>
        <v>358.09722222222223</v>
      </c>
      <c r="F1038" s="562">
        <f t="shared" si="428"/>
        <v>373.68194444444447</v>
      </c>
      <c r="G1038" s="70">
        <f t="shared" si="428"/>
        <v>2.9170136294978639</v>
      </c>
      <c r="H1038" s="70">
        <f t="shared" si="428"/>
        <v>22.120833333333334</v>
      </c>
      <c r="I1038" s="70">
        <f t="shared" si="428"/>
        <v>0</v>
      </c>
      <c r="J1038" s="70">
        <f t="shared" si="428"/>
        <v>22.120833333333334</v>
      </c>
      <c r="K1038" s="70">
        <f t="shared" si="428"/>
        <v>0</v>
      </c>
      <c r="L1038" s="70">
        <f t="shared" si="428"/>
        <v>0</v>
      </c>
      <c r="M1038" s="605">
        <f t="shared" si="428"/>
        <v>348.64409748161324</v>
      </c>
      <c r="N1038" s="599">
        <f t="shared" si="428"/>
        <v>-31</v>
      </c>
      <c r="O1038" s="599">
        <f t="shared" si="421"/>
        <v>307.39751369188383</v>
      </c>
      <c r="P1038" s="716">
        <f t="shared" si="422"/>
        <v>0.35</v>
      </c>
      <c r="Q1038" s="599">
        <f t="shared" si="423"/>
        <v>-107.58912979215934</v>
      </c>
      <c r="R1038" s="630">
        <f t="shared" si="424"/>
        <v>199.8083838997245</v>
      </c>
      <c r="S1038" s="612">
        <f>+S1011/($F$10*24)</f>
        <v>142.17543411856462</v>
      </c>
      <c r="T1038" s="70">
        <f t="shared" si="425"/>
        <v>142.17543411856462</v>
      </c>
      <c r="U1038" s="562" t="str">
        <f t="shared" si="426"/>
        <v/>
      </c>
      <c r="V1038" s="727"/>
    </row>
    <row r="1039" spans="1:45" ht="15.75" customHeight="1" x14ac:dyDescent="0.3">
      <c r="A1039" s="139" t="s">
        <v>2236</v>
      </c>
      <c r="B1039" s="553">
        <f>+B1012/($G$10*24)</f>
        <v>355.26344086021504</v>
      </c>
      <c r="C1039" s="70">
        <f t="shared" ref="C1039:N1039" si="429">+C1012/($G$10*24)</f>
        <v>0</v>
      </c>
      <c r="D1039" s="70">
        <f t="shared" si="429"/>
        <v>15.44489247311828</v>
      </c>
      <c r="E1039" s="70">
        <f t="shared" si="429"/>
        <v>355.26344086021504</v>
      </c>
      <c r="F1039" s="562">
        <f t="shared" si="429"/>
        <v>370.70833333333331</v>
      </c>
      <c r="G1039" s="70">
        <f t="shared" si="429"/>
        <v>3.2179735578685951</v>
      </c>
      <c r="H1039" s="70">
        <f t="shared" si="429"/>
        <v>19.153225806451612</v>
      </c>
      <c r="I1039" s="70">
        <f t="shared" si="429"/>
        <v>0</v>
      </c>
      <c r="J1039" s="70">
        <f t="shared" si="429"/>
        <v>19.153225806451612</v>
      </c>
      <c r="K1039" s="70">
        <f t="shared" si="429"/>
        <v>0</v>
      </c>
      <c r="L1039" s="70">
        <f t="shared" si="429"/>
        <v>0</v>
      </c>
      <c r="M1039" s="605">
        <f t="shared" si="429"/>
        <v>348.33713396901311</v>
      </c>
      <c r="N1039" s="599">
        <f t="shared" si="429"/>
        <v>0</v>
      </c>
      <c r="O1039" s="599">
        <f t="shared" si="421"/>
        <v>348.33713396901311</v>
      </c>
      <c r="P1039" s="716">
        <f t="shared" si="422"/>
        <v>0.35</v>
      </c>
      <c r="Q1039" s="599">
        <f t="shared" si="423"/>
        <v>-121.91799688915458</v>
      </c>
      <c r="R1039" s="630">
        <f t="shared" si="424"/>
        <v>226.41913707985853</v>
      </c>
      <c r="S1039" s="612">
        <f>+S1012/($G$10*24)</f>
        <v>121.91799688915458</v>
      </c>
      <c r="T1039" s="70">
        <f t="shared" si="425"/>
        <v>121.91799688915458</v>
      </c>
      <c r="U1039" s="562" t="str">
        <f t="shared" si="426"/>
        <v/>
      </c>
      <c r="V1039" s="727"/>
    </row>
    <row r="1040" spans="1:45" ht="15.75" customHeight="1" x14ac:dyDescent="0.3">
      <c r="A1040" s="139" t="s">
        <v>2237</v>
      </c>
      <c r="B1040" s="553">
        <f>+B1013/($H$10*24)</f>
        <v>279.7138888888889</v>
      </c>
      <c r="C1040" s="70">
        <f t="shared" ref="C1040:N1040" si="430">+C1013/($H$10*24)</f>
        <v>0</v>
      </c>
      <c r="D1040" s="70">
        <f t="shared" si="430"/>
        <v>11.931944444444444</v>
      </c>
      <c r="E1040" s="70">
        <f t="shared" si="430"/>
        <v>279.7138888888889</v>
      </c>
      <c r="F1040" s="562">
        <f t="shared" si="430"/>
        <v>291.64583333333331</v>
      </c>
      <c r="G1040" s="70">
        <f t="shared" si="430"/>
        <v>15.535806113260289</v>
      </c>
      <c r="H1040" s="70">
        <f t="shared" si="430"/>
        <v>17.633333333333333</v>
      </c>
      <c r="I1040" s="70">
        <f t="shared" si="430"/>
        <v>0</v>
      </c>
      <c r="J1040" s="70">
        <f t="shared" si="430"/>
        <v>17.633333333333333</v>
      </c>
      <c r="K1040" s="70">
        <f t="shared" si="430"/>
        <v>0</v>
      </c>
      <c r="L1040" s="70">
        <f t="shared" si="430"/>
        <v>0</v>
      </c>
      <c r="M1040" s="605">
        <f t="shared" si="430"/>
        <v>258.47669388673972</v>
      </c>
      <c r="N1040" s="599">
        <f t="shared" si="430"/>
        <v>65.666666666666671</v>
      </c>
      <c r="O1040" s="599">
        <f t="shared" si="421"/>
        <v>313.6871231161997</v>
      </c>
      <c r="P1040" s="716">
        <f t="shared" si="422"/>
        <v>7.4999999999999997E-2</v>
      </c>
      <c r="Q1040" s="599">
        <f t="shared" si="423"/>
        <v>-23.526534233714976</v>
      </c>
      <c r="R1040" s="630">
        <f t="shared" si="424"/>
        <v>290.16058888248472</v>
      </c>
      <c r="S1040" s="612">
        <f>+S1013/($H$10*24)</f>
        <v>-41.355914625161191</v>
      </c>
      <c r="T1040" s="70" t="str">
        <f t="shared" si="425"/>
        <v/>
      </c>
      <c r="U1040" s="562">
        <f t="shared" si="426"/>
        <v>41.355914625161191</v>
      </c>
      <c r="V1040" s="727"/>
    </row>
    <row r="1041" spans="1:33" ht="15.75" customHeight="1" x14ac:dyDescent="0.3">
      <c r="A1041" s="139" t="s">
        <v>1504</v>
      </c>
      <c r="B1041" s="553">
        <f>+B1014/($J$10*24)</f>
        <v>256.5456989247312</v>
      </c>
      <c r="C1041" s="70">
        <f t="shared" ref="C1041:N1041" si="431">+C1014/($J$10*24)</f>
        <v>0</v>
      </c>
      <c r="D1041" s="70">
        <f t="shared" si="431"/>
        <v>10.838709677419354</v>
      </c>
      <c r="E1041" s="70">
        <f t="shared" si="431"/>
        <v>256.5456989247312</v>
      </c>
      <c r="F1041" s="562">
        <f t="shared" si="431"/>
        <v>267.38440860215053</v>
      </c>
      <c r="G1041" s="70">
        <f t="shared" si="431"/>
        <v>13.150097702538803</v>
      </c>
      <c r="H1041" s="70">
        <f t="shared" si="431"/>
        <v>15.618279569892474</v>
      </c>
      <c r="I1041" s="70">
        <f t="shared" si="431"/>
        <v>0</v>
      </c>
      <c r="J1041" s="70">
        <f t="shared" si="431"/>
        <v>15.618279569892474</v>
      </c>
      <c r="K1041" s="70">
        <f t="shared" si="431"/>
        <v>0</v>
      </c>
      <c r="L1041" s="70">
        <f t="shared" si="431"/>
        <v>0</v>
      </c>
      <c r="M1041" s="605">
        <f t="shared" si="431"/>
        <v>238.61603132971928</v>
      </c>
      <c r="N1041" s="599">
        <f t="shared" si="431"/>
        <v>63.333333333333336</v>
      </c>
      <c r="O1041" s="599">
        <f t="shared" si="421"/>
        <v>301.94936466305262</v>
      </c>
      <c r="P1041" s="716">
        <f t="shared" si="422"/>
        <v>0.05</v>
      </c>
      <c r="Q1041" s="599">
        <f t="shared" si="423"/>
        <v>-15.097468233152632</v>
      </c>
      <c r="R1041" s="630">
        <f t="shared" si="424"/>
        <v>286.85189642989997</v>
      </c>
      <c r="S1041" s="612">
        <f>+S1014/($J$10*24)</f>
        <v>-48.235865100180696</v>
      </c>
      <c r="T1041" s="70" t="str">
        <f t="shared" si="425"/>
        <v/>
      </c>
      <c r="U1041" s="562">
        <f t="shared" si="426"/>
        <v>48.235865100180696</v>
      </c>
      <c r="V1041" s="727"/>
    </row>
    <row r="1042" spans="1:33" ht="15.75" customHeight="1" x14ac:dyDescent="0.3">
      <c r="A1042" s="139" t="s">
        <v>1505</v>
      </c>
      <c r="B1042" s="553">
        <f>+B1015/($K$10*24)</f>
        <v>266.77688172043008</v>
      </c>
      <c r="C1042" s="70">
        <f t="shared" ref="C1042:N1042" si="432">+C1015/($K$10*24)</f>
        <v>0</v>
      </c>
      <c r="D1042" s="70">
        <f t="shared" si="432"/>
        <v>11.341397849462366</v>
      </c>
      <c r="E1042" s="70">
        <f t="shared" si="432"/>
        <v>266.77688172043008</v>
      </c>
      <c r="F1042" s="562">
        <f t="shared" si="432"/>
        <v>278.11827956989248</v>
      </c>
      <c r="G1042" s="70">
        <f t="shared" si="432"/>
        <v>8.3576898173578016</v>
      </c>
      <c r="H1042" s="70">
        <f t="shared" si="432"/>
        <v>13.76478494623656</v>
      </c>
      <c r="I1042" s="70">
        <f t="shared" si="432"/>
        <v>0</v>
      </c>
      <c r="J1042" s="70">
        <f t="shared" si="432"/>
        <v>13.76478494623656</v>
      </c>
      <c r="K1042" s="70">
        <f t="shared" si="432"/>
        <v>0</v>
      </c>
      <c r="L1042" s="70">
        <f t="shared" si="432"/>
        <v>0</v>
      </c>
      <c r="M1042" s="605">
        <f t="shared" si="432"/>
        <v>255.99580480629811</v>
      </c>
      <c r="N1042" s="599">
        <f t="shared" si="432"/>
        <v>79</v>
      </c>
      <c r="O1042" s="599">
        <f t="shared" si="421"/>
        <v>334.99580480629811</v>
      </c>
      <c r="P1042" s="716">
        <f t="shared" si="422"/>
        <v>0</v>
      </c>
      <c r="Q1042" s="599">
        <f t="shared" si="423"/>
        <v>0</v>
      </c>
      <c r="R1042" s="630">
        <f t="shared" si="424"/>
        <v>334.99580480629811</v>
      </c>
      <c r="S1042" s="612">
        <f>+S1015/($K$10*24)</f>
        <v>-79</v>
      </c>
      <c r="T1042" s="70" t="str">
        <f t="shared" si="425"/>
        <v/>
      </c>
      <c r="U1042" s="562">
        <f t="shared" si="426"/>
        <v>79</v>
      </c>
      <c r="V1042" s="727"/>
    </row>
    <row r="1043" spans="1:33" ht="15.75" customHeight="1" x14ac:dyDescent="0.3">
      <c r="A1043" s="139" t="s">
        <v>1506</v>
      </c>
      <c r="B1043" s="553">
        <f>+B1016/($L$10*24)</f>
        <v>371.04166666666669</v>
      </c>
      <c r="C1043" s="70">
        <f t="shared" ref="C1043:N1043" si="433">+C1016/($L$10*24)</f>
        <v>0</v>
      </c>
      <c r="D1043" s="70">
        <f t="shared" si="433"/>
        <v>16.270833333333332</v>
      </c>
      <c r="E1043" s="70">
        <f t="shared" si="433"/>
        <v>371.04166666666669</v>
      </c>
      <c r="F1043" s="562">
        <f t="shared" si="433"/>
        <v>387.3125</v>
      </c>
      <c r="G1043" s="70">
        <f t="shared" si="433"/>
        <v>0</v>
      </c>
      <c r="H1043" s="70">
        <f t="shared" si="433"/>
        <v>14.206944444444444</v>
      </c>
      <c r="I1043" s="70">
        <f t="shared" si="433"/>
        <v>0</v>
      </c>
      <c r="J1043" s="70">
        <f t="shared" si="433"/>
        <v>14.206944444444444</v>
      </c>
      <c r="K1043" s="70">
        <f t="shared" si="433"/>
        <v>0</v>
      </c>
      <c r="L1043" s="70">
        <f t="shared" si="433"/>
        <v>0</v>
      </c>
      <c r="M1043" s="605">
        <f t="shared" si="433"/>
        <v>373.10555555555555</v>
      </c>
      <c r="N1043" s="599">
        <f t="shared" si="433"/>
        <v>0</v>
      </c>
      <c r="O1043" s="599">
        <f t="shared" si="421"/>
        <v>361.06989247311827</v>
      </c>
      <c r="P1043" s="716">
        <f t="shared" si="422"/>
        <v>0.05</v>
      </c>
      <c r="Q1043" s="599">
        <f t="shared" si="423"/>
        <v>-18.053494623655915</v>
      </c>
      <c r="R1043" s="630">
        <f t="shared" si="424"/>
        <v>343.01639784946235</v>
      </c>
      <c r="S1043" s="612">
        <f>+S1016/($L$10*24)</f>
        <v>18.655277777777762</v>
      </c>
      <c r="T1043" s="70">
        <f t="shared" si="425"/>
        <v>18.655277777777762</v>
      </c>
      <c r="U1043" s="562" t="str">
        <f t="shared" si="426"/>
        <v/>
      </c>
      <c r="V1043" s="727"/>
    </row>
    <row r="1044" spans="1:33" ht="15.75" customHeight="1" x14ac:dyDescent="0.3">
      <c r="A1044" s="139" t="s">
        <v>1507</v>
      </c>
      <c r="B1044" s="553">
        <f>+B1017/($N$10*24)</f>
        <v>334.79032258064518</v>
      </c>
      <c r="C1044" s="70">
        <f t="shared" ref="C1044:N1044" si="434">+C1017/($N$10*24)</f>
        <v>0</v>
      </c>
      <c r="D1044" s="70">
        <f t="shared" si="434"/>
        <v>14.620967741935484</v>
      </c>
      <c r="E1044" s="70">
        <f t="shared" si="434"/>
        <v>334.79032258064518</v>
      </c>
      <c r="F1044" s="562">
        <f t="shared" si="434"/>
        <v>349.41129032258067</v>
      </c>
      <c r="G1044" s="70">
        <f t="shared" si="434"/>
        <v>0</v>
      </c>
      <c r="H1044" s="70">
        <f t="shared" si="434"/>
        <v>13.580645161290322</v>
      </c>
      <c r="I1044" s="70">
        <f t="shared" si="434"/>
        <v>0</v>
      </c>
      <c r="J1044" s="70">
        <f t="shared" si="434"/>
        <v>13.580645161290322</v>
      </c>
      <c r="K1044" s="70">
        <f t="shared" si="434"/>
        <v>0</v>
      </c>
      <c r="L1044" s="70">
        <f t="shared" si="434"/>
        <v>0</v>
      </c>
      <c r="M1044" s="605">
        <f t="shared" si="434"/>
        <v>335.83064516129031</v>
      </c>
      <c r="N1044" s="599">
        <f t="shared" si="434"/>
        <v>0</v>
      </c>
      <c r="O1044" s="599">
        <f t="shared" si="421"/>
        <v>335.83064516129031</v>
      </c>
      <c r="P1044" s="716">
        <f t="shared" si="422"/>
        <v>0.2</v>
      </c>
      <c r="Q1044" s="599">
        <f t="shared" si="423"/>
        <v>-67.16612903225807</v>
      </c>
      <c r="R1044" s="630">
        <f t="shared" si="424"/>
        <v>268.66451612903222</v>
      </c>
      <c r="S1044" s="612">
        <f>+S1017/($N$10*24)</f>
        <v>67.16612903225807</v>
      </c>
      <c r="T1044" s="70">
        <f t="shared" si="425"/>
        <v>67.16612903225807</v>
      </c>
      <c r="U1044" s="562" t="str">
        <f t="shared" si="426"/>
        <v/>
      </c>
      <c r="V1044" s="727"/>
    </row>
    <row r="1045" spans="1:33" ht="15.75" customHeight="1" x14ac:dyDescent="0.3">
      <c r="A1045" s="139" t="s">
        <v>1508</v>
      </c>
      <c r="B1045" s="553">
        <f>+B1018/($O$10*24)</f>
        <v>272.96944444444443</v>
      </c>
      <c r="C1045" s="70">
        <f t="shared" ref="C1045:N1045" si="435">+C1018/($O$10*24)</f>
        <v>0</v>
      </c>
      <c r="D1045" s="70">
        <f t="shared" si="435"/>
        <v>11.511111111111111</v>
      </c>
      <c r="E1045" s="70">
        <f t="shared" si="435"/>
        <v>272.96944444444443</v>
      </c>
      <c r="F1045" s="562">
        <f t="shared" si="435"/>
        <v>284.48055555555555</v>
      </c>
      <c r="G1045" s="70">
        <f t="shared" si="435"/>
        <v>0.28926834505184057</v>
      </c>
      <c r="H1045" s="70">
        <f t="shared" si="435"/>
        <v>15.036111111111111</v>
      </c>
      <c r="I1045" s="70">
        <f t="shared" si="435"/>
        <v>0</v>
      </c>
      <c r="J1045" s="70">
        <f t="shared" si="435"/>
        <v>15.036111111111111</v>
      </c>
      <c r="K1045" s="70">
        <f t="shared" si="435"/>
        <v>0</v>
      </c>
      <c r="L1045" s="70">
        <f t="shared" si="435"/>
        <v>0</v>
      </c>
      <c r="M1045" s="605">
        <f t="shared" si="435"/>
        <v>269.15517609939263</v>
      </c>
      <c r="N1045" s="599">
        <f t="shared" si="435"/>
        <v>0</v>
      </c>
      <c r="O1045" s="599">
        <f t="shared" si="421"/>
        <v>260.47275106392834</v>
      </c>
      <c r="P1045" s="716">
        <f t="shared" si="422"/>
        <v>0.2</v>
      </c>
      <c r="Q1045" s="599">
        <f t="shared" si="423"/>
        <v>-52.09455021278567</v>
      </c>
      <c r="R1045" s="630">
        <f t="shared" si="424"/>
        <v>208.37820085114268</v>
      </c>
      <c r="S1045" s="612">
        <f>+S1018/($O$10*24)</f>
        <v>53.831035219878522</v>
      </c>
      <c r="T1045" s="70">
        <f t="shared" si="425"/>
        <v>53.831035219878522</v>
      </c>
      <c r="U1045" s="562" t="str">
        <f t="shared" si="426"/>
        <v/>
      </c>
      <c r="V1045" s="727"/>
    </row>
    <row r="1046" spans="1:33" ht="15.75" customHeight="1" thickBot="1" x14ac:dyDescent="0.35">
      <c r="A1046" s="139" t="s">
        <v>1509</v>
      </c>
      <c r="B1046" s="558">
        <f>+B1019/($P$10*24)</f>
        <v>162.23252688172042</v>
      </c>
      <c r="C1046" s="564">
        <f t="shared" ref="C1046:N1046" si="436">+C1019/($P$10*24)</f>
        <v>0</v>
      </c>
      <c r="D1046" s="564">
        <f t="shared" si="436"/>
        <v>7.05510752688172</v>
      </c>
      <c r="E1046" s="564">
        <f t="shared" si="436"/>
        <v>162.23252688172042</v>
      </c>
      <c r="F1046" s="602">
        <f t="shared" si="436"/>
        <v>169.28763440860214</v>
      </c>
      <c r="G1046" s="564">
        <f t="shared" si="436"/>
        <v>0</v>
      </c>
      <c r="H1046" s="564">
        <f t="shared" si="436"/>
        <v>8.9731182795698921</v>
      </c>
      <c r="I1046" s="564">
        <f t="shared" si="436"/>
        <v>0</v>
      </c>
      <c r="J1046" s="564">
        <f t="shared" si="436"/>
        <v>8.9731182795698921</v>
      </c>
      <c r="K1046" s="564">
        <f t="shared" si="436"/>
        <v>0</v>
      </c>
      <c r="L1046" s="564">
        <f t="shared" si="436"/>
        <v>0</v>
      </c>
      <c r="M1046" s="608">
        <f t="shared" si="436"/>
        <v>160.31451612903226</v>
      </c>
      <c r="N1046" s="609">
        <f t="shared" si="436"/>
        <v>0</v>
      </c>
      <c r="O1046" s="631">
        <f t="shared" si="421"/>
        <v>160.31451612903226</v>
      </c>
      <c r="P1046" s="711">
        <f t="shared" si="422"/>
        <v>0.2</v>
      </c>
      <c r="Q1046" s="609">
        <f t="shared" si="423"/>
        <v>-32.062903225806451</v>
      </c>
      <c r="R1046" s="631">
        <f t="shared" si="424"/>
        <v>128.2516129032258</v>
      </c>
      <c r="S1046" s="613">
        <f>+S1019/($P$10*24)</f>
        <v>32.062903225806458</v>
      </c>
      <c r="T1046" s="564">
        <f t="shared" si="425"/>
        <v>32.062903225806458</v>
      </c>
      <c r="U1046" s="602" t="str">
        <f t="shared" si="426"/>
        <v/>
      </c>
      <c r="V1046" s="727"/>
    </row>
    <row r="1047" spans="1:33" ht="15.75" customHeight="1" x14ac:dyDescent="0.3">
      <c r="A1047" s="647"/>
      <c r="V1047" s="727"/>
    </row>
    <row r="1048" spans="1:33" ht="16.5" customHeight="1" thickBot="1" x14ac:dyDescent="0.35">
      <c r="A1048" s="648"/>
      <c r="B1048" s="581"/>
      <c r="C1048" s="581"/>
      <c r="D1048" s="581"/>
      <c r="E1048" s="581"/>
      <c r="F1048" s="581"/>
      <c r="G1048" s="581"/>
      <c r="H1048" s="581"/>
      <c r="I1048" s="581"/>
      <c r="J1048" s="581"/>
      <c r="K1048" s="581"/>
      <c r="L1048" s="581"/>
      <c r="M1048" s="581"/>
      <c r="N1048" s="581"/>
      <c r="O1048" s="581"/>
      <c r="P1048" s="581"/>
      <c r="Q1048" s="581"/>
      <c r="R1048" s="581"/>
      <c r="S1048" s="581"/>
      <c r="T1048" s="581"/>
      <c r="U1048" s="581"/>
      <c r="V1048" s="565"/>
    </row>
    <row r="1049" spans="1:33" ht="15.75" customHeight="1" x14ac:dyDescent="0.3">
      <c r="A1049" s="74"/>
      <c r="B1049" s="67"/>
      <c r="C1049" s="67"/>
      <c r="D1049" s="67"/>
      <c r="E1049" s="67"/>
      <c r="F1049" s="67"/>
      <c r="G1049" s="67"/>
      <c r="H1049" s="67"/>
      <c r="I1049" s="67"/>
      <c r="J1049" s="67"/>
      <c r="K1049" s="67"/>
      <c r="L1049" s="67"/>
      <c r="M1049" s="67"/>
      <c r="N1049" s="67"/>
      <c r="O1049" s="67"/>
      <c r="P1049" s="67"/>
      <c r="Q1049" s="67"/>
      <c r="R1049" s="67"/>
    </row>
    <row r="1050" spans="1:33" ht="15.75" customHeight="1" x14ac:dyDescent="0.3">
      <c r="A1050" s="641"/>
    </row>
    <row r="1051" spans="1:33" ht="15.75" customHeight="1" thickBot="1" x14ac:dyDescent="0.35">
      <c r="A1051" s="641"/>
    </row>
    <row r="1052" spans="1:33" ht="15.75" customHeight="1" x14ac:dyDescent="0.3">
      <c r="A1052" s="650"/>
      <c r="B1052" s="782" t="s">
        <v>2880</v>
      </c>
      <c r="C1052" s="782"/>
      <c r="D1052" s="782"/>
      <c r="E1052" s="782"/>
      <c r="F1052" s="782"/>
      <c r="G1052" s="782"/>
      <c r="H1052" s="782"/>
      <c r="I1052" s="782"/>
      <c r="J1052" s="782"/>
      <c r="K1052" s="782"/>
      <c r="L1052" s="782"/>
      <c r="M1052" s="782"/>
      <c r="N1052" s="782"/>
      <c r="O1052" s="782"/>
      <c r="P1052" s="782"/>
      <c r="Q1052" s="678" t="str">
        <f>+Q1</f>
        <v xml:space="preserve">PRINTED:  </v>
      </c>
      <c r="R1052" s="682">
        <f ca="1">+R1</f>
        <v>44881.729633912037</v>
      </c>
      <c r="S1052" s="560"/>
    </row>
    <row r="1053" spans="1:33" ht="15.75" customHeight="1" x14ac:dyDescent="0.3">
      <c r="A1053" s="640"/>
      <c r="B1053" s="786" t="str">
        <f>+A8</f>
        <v>Revised:  11/4/2019</v>
      </c>
      <c r="C1053" s="786"/>
      <c r="D1053" s="786"/>
      <c r="E1053" s="786"/>
      <c r="F1053" s="786"/>
      <c r="G1053" s="786"/>
      <c r="H1053" s="786"/>
      <c r="I1053" s="786"/>
      <c r="J1053" s="786"/>
      <c r="K1053" s="786"/>
      <c r="L1053" s="786"/>
      <c r="M1053" s="786"/>
      <c r="N1053" s="786"/>
      <c r="O1053" s="786"/>
      <c r="P1053" s="786"/>
      <c r="Q1053" s="67"/>
      <c r="R1053" s="67"/>
      <c r="S1053" s="561"/>
    </row>
    <row r="1054" spans="1:33" ht="16.5" customHeight="1" x14ac:dyDescent="0.3">
      <c r="A1054" s="640"/>
      <c r="B1054" s="786" t="s">
        <v>2878</v>
      </c>
      <c r="C1054" s="786"/>
      <c r="D1054" s="786"/>
      <c r="E1054" s="786"/>
      <c r="F1054" s="786"/>
      <c r="G1054" s="786"/>
      <c r="H1054" s="786"/>
      <c r="I1054" s="786"/>
      <c r="J1054" s="786"/>
      <c r="K1054" s="786"/>
      <c r="L1054" s="786"/>
      <c r="M1054" s="786"/>
      <c r="N1054" s="786"/>
      <c r="O1054" s="786"/>
      <c r="P1054" s="786"/>
      <c r="Q1054" s="67"/>
      <c r="R1054" s="67"/>
      <c r="S1054" s="561"/>
    </row>
    <row r="1055" spans="1:33" ht="15.75" customHeight="1" x14ac:dyDescent="0.3">
      <c r="A1055" s="640"/>
      <c r="B1055" s="67"/>
      <c r="C1055" s="67"/>
      <c r="D1055" s="67"/>
      <c r="E1055" s="67"/>
      <c r="F1055" s="67"/>
      <c r="G1055" s="67"/>
      <c r="H1055" s="67"/>
      <c r="I1055" s="67"/>
      <c r="J1055" s="67"/>
      <c r="K1055" s="67"/>
      <c r="L1055" s="67"/>
      <c r="M1055" s="67"/>
      <c r="N1055" s="67"/>
      <c r="O1055" s="67"/>
      <c r="P1055" s="67"/>
      <c r="Q1055" s="67"/>
      <c r="R1055" s="67"/>
      <c r="S1055" s="561"/>
      <c r="AG1055" s="139"/>
    </row>
    <row r="1056" spans="1:33" ht="15.75" customHeight="1" x14ac:dyDescent="0.3">
      <c r="A1056" s="640"/>
      <c r="B1056" s="810">
        <f>+A5</f>
        <v>2019</v>
      </c>
      <c r="C1056" s="787"/>
      <c r="D1056" s="787"/>
      <c r="E1056" s="787"/>
      <c r="F1056" s="787"/>
      <c r="G1056" s="787"/>
      <c r="H1056" s="787"/>
      <c r="I1056" s="787"/>
      <c r="J1056" s="787"/>
      <c r="K1056" s="787"/>
      <c r="L1056" s="787"/>
      <c r="M1056" s="787"/>
      <c r="N1056" s="787"/>
      <c r="O1056" s="787"/>
      <c r="P1056" s="787"/>
      <c r="Q1056" s="67"/>
      <c r="R1056" s="67"/>
      <c r="S1056" s="561"/>
      <c r="AE1056" t="s">
        <v>2912</v>
      </c>
      <c r="AF1056" t="s">
        <v>2913</v>
      </c>
    </row>
    <row r="1057" spans="1:50" ht="15.75" customHeight="1" thickBot="1" x14ac:dyDescent="0.35">
      <c r="A1057" s="640"/>
      <c r="B1057" s="786" t="s">
        <v>1199</v>
      </c>
      <c r="C1057" s="786"/>
      <c r="D1057" s="786"/>
      <c r="E1057" s="786"/>
      <c r="F1057" s="786"/>
      <c r="G1057" s="786"/>
      <c r="H1057" s="786"/>
      <c r="I1057" s="786"/>
      <c r="J1057" s="786"/>
      <c r="K1057" s="786"/>
      <c r="L1057" s="786"/>
      <c r="M1057" s="786"/>
      <c r="N1057" s="786"/>
      <c r="O1057" s="786"/>
      <c r="P1057" s="786"/>
      <c r="Q1057" s="67"/>
      <c r="R1057" s="67"/>
      <c r="S1057" s="561"/>
      <c r="V1057" t="s">
        <v>3174</v>
      </c>
      <c r="AC1057" t="s">
        <v>2911</v>
      </c>
      <c r="AD1057" s="671" t="s">
        <v>3179</v>
      </c>
      <c r="AE1057">
        <f>DAY(DATE($A$5,MONTH(CONCATENATE(1,"-",AD1057,"-",$A$5))+1,1)-1)</f>
        <v>28</v>
      </c>
      <c r="AI1057" s="134"/>
      <c r="AJ1057" s="134"/>
    </row>
    <row r="1058" spans="1:50" ht="15.75" customHeight="1" x14ac:dyDescent="0.3">
      <c r="A1058" s="640"/>
      <c r="B1058" s="818" t="s">
        <v>2888</v>
      </c>
      <c r="C1058" s="819"/>
      <c r="D1058" s="820"/>
      <c r="E1058" s="70"/>
      <c r="F1058" s="70"/>
      <c r="G1058" s="70"/>
      <c r="H1058" s="70"/>
      <c r="I1058" s="70"/>
      <c r="J1058" s="70"/>
      <c r="K1058" s="70"/>
      <c r="L1058" s="70"/>
      <c r="M1058" s="70"/>
      <c r="N1058" s="70"/>
      <c r="O1058" s="70"/>
      <c r="P1058" s="70"/>
      <c r="Q1058" s="67"/>
      <c r="R1058" s="67"/>
      <c r="S1058" s="675"/>
      <c r="T1058" s="812" t="s">
        <v>3169</v>
      </c>
      <c r="U1058" s="813"/>
      <c r="V1058" s="813" t="s">
        <v>3171</v>
      </c>
      <c r="W1058" s="813"/>
      <c r="X1058" s="719" t="s">
        <v>2463</v>
      </c>
      <c r="Y1058" s="719" t="s">
        <v>3180</v>
      </c>
      <c r="Z1058" s="719" t="s">
        <v>3172</v>
      </c>
    </row>
    <row r="1059" spans="1:50" ht="15.75" customHeight="1" thickBot="1" x14ac:dyDescent="0.35">
      <c r="A1059" s="634" t="s">
        <v>249</v>
      </c>
      <c r="B1059" s="653" t="s">
        <v>2886</v>
      </c>
      <c r="C1059" s="654" t="s">
        <v>2885</v>
      </c>
      <c r="D1059" s="655" t="s">
        <v>2915</v>
      </c>
      <c r="E1059" s="654" t="s">
        <v>1309</v>
      </c>
      <c r="F1059" s="654" t="s">
        <v>1029</v>
      </c>
      <c r="G1059" s="654" t="s">
        <v>1030</v>
      </c>
      <c r="H1059" s="654" t="s">
        <v>2881</v>
      </c>
      <c r="I1059" s="654" t="s">
        <v>2882</v>
      </c>
      <c r="J1059" s="654" t="s">
        <v>285</v>
      </c>
      <c r="K1059" s="654" t="s">
        <v>286</v>
      </c>
      <c r="L1059" s="654" t="s">
        <v>287</v>
      </c>
      <c r="M1059" s="654" t="s">
        <v>288</v>
      </c>
      <c r="N1059" s="654" t="s">
        <v>289</v>
      </c>
      <c r="O1059" s="654" t="s">
        <v>633</v>
      </c>
      <c r="P1059" s="654" t="s">
        <v>634</v>
      </c>
      <c r="Q1059" s="654" t="s">
        <v>1192</v>
      </c>
      <c r="R1059" s="654" t="s">
        <v>524</v>
      </c>
      <c r="S1059" s="655" t="s">
        <v>525</v>
      </c>
      <c r="T1059" s="654" t="s">
        <v>3170</v>
      </c>
      <c r="U1059" s="654" t="s">
        <v>2885</v>
      </c>
      <c r="V1059" s="654" t="s">
        <v>3173</v>
      </c>
      <c r="W1059" s="654" t="s">
        <v>2885</v>
      </c>
      <c r="X1059" s="654" t="s">
        <v>1193</v>
      </c>
      <c r="Y1059" s="654" t="s">
        <v>3181</v>
      </c>
      <c r="Z1059" s="654" t="s">
        <v>3182</v>
      </c>
      <c r="AD1059" s="634" t="s">
        <v>1308</v>
      </c>
      <c r="AE1059" s="634" t="s">
        <v>1309</v>
      </c>
      <c r="AF1059" s="634" t="s">
        <v>1029</v>
      </c>
      <c r="AG1059" s="634" t="s">
        <v>1030</v>
      </c>
      <c r="AH1059" s="634" t="s">
        <v>284</v>
      </c>
      <c r="AI1059" s="634" t="s">
        <v>285</v>
      </c>
      <c r="AJ1059" s="634" t="s">
        <v>286</v>
      </c>
      <c r="AK1059" s="634" t="s">
        <v>287</v>
      </c>
      <c r="AL1059" s="634" t="s">
        <v>288</v>
      </c>
      <c r="AM1059" s="634" t="s">
        <v>289</v>
      </c>
      <c r="AN1059" s="634" t="s">
        <v>633</v>
      </c>
      <c r="AO1059" s="634" t="s">
        <v>634</v>
      </c>
      <c r="AP1059" s="634" t="s">
        <v>1192</v>
      </c>
      <c r="AQ1059" s="634" t="s">
        <v>524</v>
      </c>
      <c r="AR1059" s="634" t="s">
        <v>525</v>
      </c>
      <c r="AS1059" s="634" t="s">
        <v>2356</v>
      </c>
      <c r="AT1059" s="634" t="s">
        <v>1415</v>
      </c>
      <c r="AU1059" s="634" t="s">
        <v>2356</v>
      </c>
      <c r="AW1059" s="669" t="s">
        <v>2925</v>
      </c>
      <c r="AX1059" s="669" t="s">
        <v>2926</v>
      </c>
    </row>
    <row r="1060" spans="1:50" ht="15.75" customHeight="1" x14ac:dyDescent="0.3">
      <c r="A1060" s="642" t="s">
        <v>2843</v>
      </c>
      <c r="B1060" s="642">
        <f>+F1087</f>
        <v>196</v>
      </c>
      <c r="C1060" s="139">
        <f t="shared" ref="B1060:C1071" si="437">+G1087</f>
        <v>0</v>
      </c>
      <c r="D1060" s="643" t="s">
        <v>2916</v>
      </c>
      <c r="E1060" s="139">
        <f>+C980/$B$10/24</f>
        <v>14.306451612903226</v>
      </c>
      <c r="F1060" s="139">
        <f t="shared" ref="F1060:S1060" si="438">+D980/$B$10/24</f>
        <v>14.993279569892472</v>
      </c>
      <c r="G1060" s="139">
        <f t="shared" si="438"/>
        <v>25.45564516129032</v>
      </c>
      <c r="H1060" s="139">
        <f t="shared" si="438"/>
        <v>17.543544618094426</v>
      </c>
      <c r="I1060" s="139">
        <f t="shared" si="438"/>
        <v>-3.5474988566588941</v>
      </c>
      <c r="J1060" s="139">
        <f t="shared" si="438"/>
        <v>3.1653225806451615</v>
      </c>
      <c r="K1060" s="139">
        <f t="shared" si="438"/>
        <v>3.26747311827957</v>
      </c>
      <c r="L1060" s="139">
        <f t="shared" si="438"/>
        <v>5.099462365591398</v>
      </c>
      <c r="M1060" s="139">
        <f t="shared" si="438"/>
        <v>5.295698924731183</v>
      </c>
      <c r="N1060" s="139">
        <f t="shared" si="438"/>
        <v>1.7190860215053763</v>
      </c>
      <c r="O1060" s="139">
        <f t="shared" si="438"/>
        <v>2.025537634408602</v>
      </c>
      <c r="P1060" s="139">
        <f t="shared" si="438"/>
        <v>4.154569892473118</v>
      </c>
      <c r="Q1060" s="139">
        <f t="shared" si="438"/>
        <v>0.8911290322580645</v>
      </c>
      <c r="R1060" s="139">
        <f t="shared" si="438"/>
        <v>1.739247311827957</v>
      </c>
      <c r="S1060" s="643">
        <f t="shared" si="438"/>
        <v>2.110215053763441</v>
      </c>
      <c r="T1060" s="139">
        <f>+B1060+SUM(E1060:S1060)</f>
        <v>294.21916404100546</v>
      </c>
      <c r="U1060" s="139">
        <f t="shared" ref="U1060:U1071" si="439">+C1060+SUM(E1060:S1060)</f>
        <v>98.219164041005428</v>
      </c>
      <c r="V1060" s="139">
        <f>+B1060+SUM(E1060:G1060)</f>
        <v>250.75537634408602</v>
      </c>
      <c r="W1060" s="139">
        <f>+C1060+SUM(E1060:G1060)</f>
        <v>54.755376344086017</v>
      </c>
      <c r="X1060" s="139">
        <f>+H1060</f>
        <v>17.543544618094426</v>
      </c>
      <c r="Y1060" s="139">
        <f>+I1060</f>
        <v>-3.5474988566588941</v>
      </c>
      <c r="Z1060" s="139">
        <f>+SUM(J1060:S1060)</f>
        <v>29.467741935483868</v>
      </c>
      <c r="AC1060">
        <v>1</v>
      </c>
      <c r="AD1060" s="139">
        <f>IF($AF$1057=1,VLOOKUP($AD$1057,$A$1087:$P$1098,12,FALSE),VLOOKUP($AD$1057,$A$1060:$S$1071,2,FALSE))</f>
        <v>98</v>
      </c>
      <c r="AE1060" s="139">
        <f>VLOOKUP($AD$1057,$A$1060:$S$1071,5,FALSE)</f>
        <v>27.455357142857142</v>
      </c>
      <c r="AF1060" s="139">
        <f>VLOOKUP($AD$1057,$A$1060:$S$1071,6,FALSE)</f>
        <v>28.77827380952381</v>
      </c>
      <c r="AG1060" s="139">
        <f>VLOOKUP($AD$1057,$A$1060:$S$1071,7,FALSE)</f>
        <v>49.081845238095241</v>
      </c>
      <c r="AH1060" s="139">
        <f>VLOOKUP($AD$1057,$A$1060:$S$1071,8,FALSE)</f>
        <v>32.05085178656504</v>
      </c>
      <c r="AI1060" s="139">
        <f>VLOOKUP($AD$1057,$A$1060:$S$1071,10,FALSE)</f>
        <v>4.4836309523809526</v>
      </c>
      <c r="AJ1060" s="139">
        <f>VLOOKUP($AD$1057,$A$1060:$S$1071,11,FALSE)</f>
        <v>3.5193452380952377</v>
      </c>
      <c r="AK1060" s="139">
        <f>VLOOKUP($AD$1057,$A$1060:$S$1071,12,FALSE)</f>
        <v>5.4925595238095246</v>
      </c>
      <c r="AL1060" s="139">
        <f>VLOOKUP($AD$1057,$A$1060:$S$1071,13,FALSE)</f>
        <v>5.6949404761904754</v>
      </c>
      <c r="AM1060" s="139">
        <f>VLOOKUP($AD$1057,$A$1060:$S$1071,14,FALSE)</f>
        <v>1.4836309523809523</v>
      </c>
      <c r="AN1060" s="139">
        <f>VLOOKUP($AD$1057,$A$1060:$S$1071,15,FALSE)</f>
        <v>1.7470238095238095</v>
      </c>
      <c r="AO1060" s="139">
        <f>VLOOKUP($AD$1057,$A$1060:$S$1071,16,FALSE)</f>
        <v>3.4166666666666665</v>
      </c>
      <c r="AP1060" s="139">
        <f>VLOOKUP($AD$1057,$A$1060:$S$1071,17,FALSE)</f>
        <v>0.95833333333333337</v>
      </c>
      <c r="AQ1060" s="139">
        <f>VLOOKUP($AD$1057,$A$1060:$S$1071,18,FALSE)</f>
        <v>1.9255952380952381</v>
      </c>
      <c r="AR1060" s="139">
        <f>VLOOKUP($AD$1057,$A$1060:$S$1071,19,FALSE)</f>
        <v>2.2678571428571428</v>
      </c>
      <c r="AS1060" s="139">
        <f>SUM(AD1060:AR1060)</f>
        <v>266.35591131037461</v>
      </c>
      <c r="AT1060" s="139">
        <f>VLOOKUP($AD$1057,$AC$980:$AS$991,17,FALSE)/$AE$1057*(AS1060/$AS$1084)</f>
        <v>21.2158531026259</v>
      </c>
      <c r="AU1060" s="139">
        <f>AS1060+AT1060</f>
        <v>287.57176441300049</v>
      </c>
      <c r="AW1060" s="139">
        <f>VLOOKUP($AD$1057,$A$1008:$O$1021,15,FALSE)/$AE$1057/24</f>
        <v>384.67113095238096</v>
      </c>
      <c r="AX1060" s="139">
        <f>AU1060-AW1060</f>
        <v>-97.099366539380469</v>
      </c>
    </row>
    <row r="1061" spans="1:50" ht="15.75" customHeight="1" x14ac:dyDescent="0.3">
      <c r="A1061" s="642" t="s">
        <v>2091</v>
      </c>
      <c r="B1061" s="642">
        <f t="shared" si="437"/>
        <v>98</v>
      </c>
      <c r="C1061" s="139">
        <f t="shared" si="437"/>
        <v>0</v>
      </c>
      <c r="D1061" s="643" t="s">
        <v>2916</v>
      </c>
      <c r="E1061" s="139">
        <f t="shared" ref="E1061:S1061" si="440">+C981/$C$10/24</f>
        <v>27.455357142857142</v>
      </c>
      <c r="F1061" s="139">
        <f t="shared" si="440"/>
        <v>28.77827380952381</v>
      </c>
      <c r="G1061" s="139">
        <f t="shared" si="440"/>
        <v>49.081845238095241</v>
      </c>
      <c r="H1061" s="139">
        <f t="shared" si="440"/>
        <v>32.05085178656504</v>
      </c>
      <c r="I1061" s="139">
        <f t="shared" si="440"/>
        <v>0</v>
      </c>
      <c r="J1061" s="139">
        <f t="shared" si="440"/>
        <v>4.4836309523809526</v>
      </c>
      <c r="K1061" s="139">
        <f t="shared" si="440"/>
        <v>3.5193452380952377</v>
      </c>
      <c r="L1061" s="139">
        <f t="shared" si="440"/>
        <v>5.4925595238095246</v>
      </c>
      <c r="M1061" s="139">
        <f t="shared" si="440"/>
        <v>5.6949404761904754</v>
      </c>
      <c r="N1061" s="139">
        <f t="shared" si="440"/>
        <v>1.4836309523809523</v>
      </c>
      <c r="O1061" s="139">
        <f t="shared" si="440"/>
        <v>1.7470238095238095</v>
      </c>
      <c r="P1061" s="139">
        <f t="shared" si="440"/>
        <v>3.4166666666666665</v>
      </c>
      <c r="Q1061" s="139">
        <f t="shared" si="440"/>
        <v>0.95833333333333337</v>
      </c>
      <c r="R1061" s="139">
        <f t="shared" si="440"/>
        <v>1.9255952380952381</v>
      </c>
      <c r="S1061" s="643">
        <f t="shared" si="440"/>
        <v>2.2678571428571428</v>
      </c>
      <c r="T1061" s="139">
        <f t="shared" ref="T1061:T1071" si="441">+B1061+SUM(E1061:S1061)</f>
        <v>266.35591131037461</v>
      </c>
      <c r="U1061" s="139">
        <f t="shared" si="439"/>
        <v>168.35591131037458</v>
      </c>
      <c r="V1061" s="139">
        <f t="shared" ref="V1061:V1071" si="442">+B1061+SUM(E1061:G1061)</f>
        <v>203.3154761904762</v>
      </c>
      <c r="W1061" s="139">
        <f t="shared" ref="W1061:W1071" si="443">+C1061+SUM(E1061:G1061)</f>
        <v>105.31547619047619</v>
      </c>
      <c r="X1061" s="139">
        <f t="shared" ref="X1061:Y1071" si="444">+H1061</f>
        <v>32.05085178656504</v>
      </c>
      <c r="Y1061" s="139">
        <f t="shared" si="444"/>
        <v>0</v>
      </c>
      <c r="Z1061" s="139">
        <f t="shared" ref="Z1061:Z1071" si="445">+SUM(J1061:S1061)</f>
        <v>30.989583333333332</v>
      </c>
      <c r="AC1061">
        <v>2</v>
      </c>
      <c r="AD1061" s="139">
        <f t="shared" ref="AD1061:AD1065" si="446">IF($AF$1057=1,VLOOKUP($AD$1057,$A$1087:$P$1098,12,FALSE),VLOOKUP($AD$1057,$A$1060:$S$1071,2,FALSE))</f>
        <v>98</v>
      </c>
      <c r="AE1061" s="139">
        <f t="shared" ref="AE1061:AE1083" si="447">VLOOKUP($AD$1057,$A$1060:$S$1071,5,FALSE)</f>
        <v>27.455357142857142</v>
      </c>
      <c r="AF1061" s="139">
        <f t="shared" ref="AF1061:AF1083" si="448">VLOOKUP($AD$1057,$A$1060:$S$1071,6,FALSE)</f>
        <v>28.77827380952381</v>
      </c>
      <c r="AG1061" s="139">
        <f t="shared" ref="AG1061:AG1083" si="449">VLOOKUP($AD$1057,$A$1060:$S$1071,7,FALSE)</f>
        <v>49.081845238095241</v>
      </c>
      <c r="AH1061" s="139">
        <f t="shared" ref="AH1061:AH1083" si="450">VLOOKUP($AD$1057,$A$1060:$S$1071,8,FALSE)</f>
        <v>32.05085178656504</v>
      </c>
      <c r="AI1061" s="139">
        <f t="shared" ref="AI1061:AI1083" si="451">VLOOKUP($AD$1057,$A$1060:$S$1071,10,FALSE)</f>
        <v>4.4836309523809526</v>
      </c>
      <c r="AJ1061" s="139">
        <f t="shared" ref="AJ1061:AJ1083" si="452">VLOOKUP($AD$1057,$A$1060:$S$1071,11,FALSE)</f>
        <v>3.5193452380952377</v>
      </c>
      <c r="AK1061" s="139">
        <f t="shared" ref="AK1061:AK1083" si="453">VLOOKUP($AD$1057,$A$1060:$S$1071,12,FALSE)</f>
        <v>5.4925595238095246</v>
      </c>
      <c r="AL1061" s="139">
        <f t="shared" ref="AL1061:AL1083" si="454">VLOOKUP($AD$1057,$A$1060:$S$1071,13,FALSE)</f>
        <v>5.6949404761904754</v>
      </c>
      <c r="AM1061" s="139">
        <f t="shared" ref="AM1061:AM1083" si="455">VLOOKUP($AD$1057,$A$1060:$S$1071,14,FALSE)</f>
        <v>1.4836309523809523</v>
      </c>
      <c r="AN1061" s="139">
        <f t="shared" ref="AN1061:AN1083" si="456">VLOOKUP($AD$1057,$A$1060:$S$1071,15,FALSE)</f>
        <v>1.7470238095238095</v>
      </c>
      <c r="AO1061" s="139">
        <f t="shared" ref="AO1061:AO1083" si="457">VLOOKUP($AD$1057,$A$1060:$S$1071,16,FALSE)</f>
        <v>3.4166666666666665</v>
      </c>
      <c r="AP1061" s="139">
        <f t="shared" ref="AP1061:AP1083" si="458">VLOOKUP($AD$1057,$A$1060:$S$1071,17,FALSE)</f>
        <v>0.95833333333333337</v>
      </c>
      <c r="AQ1061" s="139">
        <f t="shared" ref="AQ1061:AQ1083" si="459">VLOOKUP($AD$1057,$A$1060:$S$1071,18,FALSE)</f>
        <v>1.9255952380952381</v>
      </c>
      <c r="AR1061" s="139">
        <f t="shared" ref="AR1061:AR1083" si="460">VLOOKUP($AD$1057,$A$1060:$S$1071,19,FALSE)</f>
        <v>2.2678571428571428</v>
      </c>
      <c r="AS1061" s="139">
        <f t="shared" ref="AS1061:AS1083" si="461">SUM(AD1061:AR1061)</f>
        <v>266.35591131037461</v>
      </c>
      <c r="AT1061" s="139">
        <f t="shared" ref="AT1061:AT1083" si="462">VLOOKUP($AD$1057,$AC$980:$AS$991,17,FALSE)/$AE$1057*(AS1061/$AS$1084)</f>
        <v>21.2158531026259</v>
      </c>
      <c r="AU1061" s="139">
        <f t="shared" ref="AU1061:AU1083" si="463">AS1061+AT1061</f>
        <v>287.57176441300049</v>
      </c>
      <c r="AW1061" s="139">
        <f t="shared" ref="AW1061:AW1083" si="464">VLOOKUP($AD$1057,$A$1008:$O$1021,15,FALSE)/$AE$1057/24</f>
        <v>384.67113095238096</v>
      </c>
      <c r="AX1061" s="139">
        <f t="shared" ref="AX1061:AX1083" si="465">AU1061-AW1061</f>
        <v>-97.099366539380469</v>
      </c>
    </row>
    <row r="1062" spans="1:50" ht="15.75" customHeight="1" x14ac:dyDescent="0.3">
      <c r="A1062" s="642" t="s">
        <v>2234</v>
      </c>
      <c r="B1062" s="642">
        <f t="shared" si="437"/>
        <v>294</v>
      </c>
      <c r="C1062" s="139">
        <f t="shared" si="437"/>
        <v>0</v>
      </c>
      <c r="D1062" s="643" t="s">
        <v>2916</v>
      </c>
      <c r="E1062" s="139">
        <f t="shared" ref="E1062:S1062" si="466">+C982/$D$10/24</f>
        <v>13.522849462365592</v>
      </c>
      <c r="F1062" s="139">
        <f t="shared" si="466"/>
        <v>14.14247311827957</v>
      </c>
      <c r="G1062" s="139">
        <f t="shared" si="466"/>
        <v>23.594086021505376</v>
      </c>
      <c r="H1062" s="139">
        <f t="shared" si="466"/>
        <v>1.832137980953592E-2</v>
      </c>
      <c r="I1062" s="139">
        <f t="shared" si="466"/>
        <v>-2.6944837039364677E-2</v>
      </c>
      <c r="J1062" s="139">
        <f t="shared" si="466"/>
        <v>7.303763440860215</v>
      </c>
      <c r="K1062" s="139">
        <f t="shared" si="466"/>
        <v>5.165322580645161</v>
      </c>
      <c r="L1062" s="139">
        <f t="shared" si="466"/>
        <v>7.1895161290322589</v>
      </c>
      <c r="M1062" s="139">
        <f t="shared" si="466"/>
        <v>7.2405913978494629</v>
      </c>
      <c r="N1062" s="139">
        <f t="shared" si="466"/>
        <v>1.98252688172043</v>
      </c>
      <c r="O1062" s="139">
        <f t="shared" si="466"/>
        <v>2.3346774193548385</v>
      </c>
      <c r="P1062" s="139">
        <f t="shared" si="466"/>
        <v>4.577956989247312</v>
      </c>
      <c r="Q1062" s="139">
        <f t="shared" si="466"/>
        <v>0.83467741935483863</v>
      </c>
      <c r="R1062" s="139">
        <f t="shared" si="466"/>
        <v>2.1733870967741935</v>
      </c>
      <c r="S1062" s="643">
        <f t="shared" si="466"/>
        <v>1.971774193548387</v>
      </c>
      <c r="T1062" s="139">
        <f t="shared" si="441"/>
        <v>386.02497869330779</v>
      </c>
      <c r="U1062" s="139">
        <f t="shared" si="439"/>
        <v>92.024978693307787</v>
      </c>
      <c r="V1062" s="139">
        <f t="shared" si="442"/>
        <v>345.25940860215053</v>
      </c>
      <c r="W1062" s="139">
        <f t="shared" si="443"/>
        <v>51.259408602150536</v>
      </c>
      <c r="X1062" s="139">
        <f t="shared" si="444"/>
        <v>1.832137980953592E-2</v>
      </c>
      <c r="Y1062" s="139">
        <f t="shared" si="444"/>
        <v>-2.6944837039364677E-2</v>
      </c>
      <c r="Z1062" s="139">
        <f t="shared" si="445"/>
        <v>40.774193548387096</v>
      </c>
      <c r="AC1062">
        <v>3</v>
      </c>
      <c r="AD1062" s="139">
        <f t="shared" si="446"/>
        <v>98</v>
      </c>
      <c r="AE1062" s="139">
        <f t="shared" si="447"/>
        <v>27.455357142857142</v>
      </c>
      <c r="AF1062" s="139">
        <f t="shared" si="448"/>
        <v>28.77827380952381</v>
      </c>
      <c r="AG1062" s="139">
        <f t="shared" si="449"/>
        <v>49.081845238095241</v>
      </c>
      <c r="AH1062" s="139">
        <f t="shared" si="450"/>
        <v>32.05085178656504</v>
      </c>
      <c r="AI1062" s="139">
        <f t="shared" si="451"/>
        <v>4.4836309523809526</v>
      </c>
      <c r="AJ1062" s="139">
        <f t="shared" si="452"/>
        <v>3.5193452380952377</v>
      </c>
      <c r="AK1062" s="139">
        <f t="shared" si="453"/>
        <v>5.4925595238095246</v>
      </c>
      <c r="AL1062" s="139">
        <f t="shared" si="454"/>
        <v>5.6949404761904754</v>
      </c>
      <c r="AM1062" s="139">
        <f t="shared" si="455"/>
        <v>1.4836309523809523</v>
      </c>
      <c r="AN1062" s="139">
        <f t="shared" si="456"/>
        <v>1.7470238095238095</v>
      </c>
      <c r="AO1062" s="139">
        <f t="shared" si="457"/>
        <v>3.4166666666666665</v>
      </c>
      <c r="AP1062" s="139">
        <f t="shared" si="458"/>
        <v>0.95833333333333337</v>
      </c>
      <c r="AQ1062" s="139">
        <f t="shared" si="459"/>
        <v>1.9255952380952381</v>
      </c>
      <c r="AR1062" s="139">
        <f t="shared" si="460"/>
        <v>2.2678571428571428</v>
      </c>
      <c r="AS1062" s="139">
        <f t="shared" si="461"/>
        <v>266.35591131037461</v>
      </c>
      <c r="AT1062" s="139">
        <f t="shared" si="462"/>
        <v>21.2158531026259</v>
      </c>
      <c r="AU1062" s="139">
        <f t="shared" si="463"/>
        <v>287.57176441300049</v>
      </c>
      <c r="AW1062" s="139">
        <f t="shared" si="464"/>
        <v>384.67113095238096</v>
      </c>
      <c r="AX1062" s="139">
        <f t="shared" si="465"/>
        <v>-97.099366539380469</v>
      </c>
    </row>
    <row r="1063" spans="1:50" ht="15.75" customHeight="1" x14ac:dyDescent="0.3">
      <c r="A1063" s="642" t="s">
        <v>2235</v>
      </c>
      <c r="B1063" s="642">
        <f t="shared" si="437"/>
        <v>294</v>
      </c>
      <c r="C1063" s="139">
        <f t="shared" si="437"/>
        <v>0</v>
      </c>
      <c r="D1063" s="643" t="s">
        <v>2916</v>
      </c>
      <c r="E1063" s="139">
        <f t="shared" ref="E1063:S1063" si="467">+C983/$F$10/24</f>
        <v>24.958333333333332</v>
      </c>
      <c r="F1063" s="139">
        <f t="shared" si="467"/>
        <v>26.123611111111114</v>
      </c>
      <c r="G1063" s="139">
        <f t="shared" si="467"/>
        <v>43.218055555555559</v>
      </c>
      <c r="H1063" s="139">
        <f t="shared" si="467"/>
        <v>3.3298749075416922</v>
      </c>
      <c r="I1063" s="139">
        <f t="shared" si="467"/>
        <v>-2.9170136294978644</v>
      </c>
      <c r="J1063" s="139">
        <f t="shared" si="467"/>
        <v>14.693055555555555</v>
      </c>
      <c r="K1063" s="139">
        <f t="shared" si="467"/>
        <v>9.4222222222222225</v>
      </c>
      <c r="L1063" s="139">
        <f t="shared" si="467"/>
        <v>11.047222222222222</v>
      </c>
      <c r="M1063" s="139">
        <f t="shared" si="467"/>
        <v>10.137500000000001</v>
      </c>
      <c r="N1063" s="139">
        <f t="shared" si="467"/>
        <v>2.8611111111111112</v>
      </c>
      <c r="O1063" s="139">
        <f t="shared" si="467"/>
        <v>3.369444444444444</v>
      </c>
      <c r="P1063" s="139">
        <f t="shared" si="467"/>
        <v>6.7374999999999998</v>
      </c>
      <c r="Q1063" s="139">
        <f t="shared" si="467"/>
        <v>0.96111111111111114</v>
      </c>
      <c r="R1063" s="139">
        <f t="shared" si="467"/>
        <v>2.6958333333333333</v>
      </c>
      <c r="S1063" s="643">
        <f t="shared" si="467"/>
        <v>2.2736111111111112</v>
      </c>
      <c r="T1063" s="139">
        <f t="shared" si="441"/>
        <v>452.91147238915494</v>
      </c>
      <c r="U1063" s="139">
        <f t="shared" si="439"/>
        <v>158.91147238915494</v>
      </c>
      <c r="V1063" s="139">
        <f t="shared" si="442"/>
        <v>388.3</v>
      </c>
      <c r="W1063" s="139">
        <f t="shared" si="443"/>
        <v>94.300000000000011</v>
      </c>
      <c r="X1063" s="139">
        <f t="shared" si="444"/>
        <v>3.3298749075416922</v>
      </c>
      <c r="Y1063" s="139">
        <f t="shared" si="444"/>
        <v>-2.9170136294978644</v>
      </c>
      <c r="Z1063" s="139">
        <f t="shared" si="445"/>
        <v>64.19861111111112</v>
      </c>
      <c r="AC1063">
        <v>4</v>
      </c>
      <c r="AD1063" s="139">
        <f t="shared" si="446"/>
        <v>98</v>
      </c>
      <c r="AE1063" s="139">
        <f t="shared" si="447"/>
        <v>27.455357142857142</v>
      </c>
      <c r="AF1063" s="139">
        <f t="shared" si="448"/>
        <v>28.77827380952381</v>
      </c>
      <c r="AG1063" s="139">
        <f t="shared" si="449"/>
        <v>49.081845238095241</v>
      </c>
      <c r="AH1063" s="139">
        <f t="shared" si="450"/>
        <v>32.05085178656504</v>
      </c>
      <c r="AI1063" s="139">
        <f t="shared" si="451"/>
        <v>4.4836309523809526</v>
      </c>
      <c r="AJ1063" s="139">
        <f t="shared" si="452"/>
        <v>3.5193452380952377</v>
      </c>
      <c r="AK1063" s="139">
        <f t="shared" si="453"/>
        <v>5.4925595238095246</v>
      </c>
      <c r="AL1063" s="139">
        <f t="shared" si="454"/>
        <v>5.6949404761904754</v>
      </c>
      <c r="AM1063" s="139">
        <f t="shared" si="455"/>
        <v>1.4836309523809523</v>
      </c>
      <c r="AN1063" s="139">
        <f t="shared" si="456"/>
        <v>1.7470238095238095</v>
      </c>
      <c r="AO1063" s="139">
        <f t="shared" si="457"/>
        <v>3.4166666666666665</v>
      </c>
      <c r="AP1063" s="139">
        <f t="shared" si="458"/>
        <v>0.95833333333333337</v>
      </c>
      <c r="AQ1063" s="139">
        <f t="shared" si="459"/>
        <v>1.9255952380952381</v>
      </c>
      <c r="AR1063" s="139">
        <f t="shared" si="460"/>
        <v>2.2678571428571428</v>
      </c>
      <c r="AS1063" s="139">
        <f t="shared" si="461"/>
        <v>266.35591131037461</v>
      </c>
      <c r="AT1063" s="139">
        <f t="shared" si="462"/>
        <v>21.2158531026259</v>
      </c>
      <c r="AU1063" s="139">
        <f t="shared" si="463"/>
        <v>287.57176441300049</v>
      </c>
      <c r="AW1063" s="139">
        <f t="shared" si="464"/>
        <v>384.67113095238096</v>
      </c>
      <c r="AX1063" s="139">
        <f t="shared" si="465"/>
        <v>-97.099366539380469</v>
      </c>
    </row>
    <row r="1064" spans="1:50" ht="15.75" customHeight="1" x14ac:dyDescent="0.3">
      <c r="A1064" s="642" t="s">
        <v>2236</v>
      </c>
      <c r="B1064" s="642">
        <f t="shared" si="437"/>
        <v>294</v>
      </c>
      <c r="C1064" s="139">
        <f t="shared" si="437"/>
        <v>0</v>
      </c>
      <c r="D1064" s="643" t="s">
        <v>2916</v>
      </c>
      <c r="E1064" s="139">
        <f t="shared" ref="E1064:S1064" si="468">+C984/$G$10/24</f>
        <v>24.986559139784944</v>
      </c>
      <c r="F1064" s="139">
        <f t="shared" si="468"/>
        <v>26.146505376344084</v>
      </c>
      <c r="G1064" s="139">
        <f t="shared" si="468"/>
        <v>43.241935483870968</v>
      </c>
      <c r="H1064" s="139">
        <f t="shared" si="468"/>
        <v>5.3322581177670463</v>
      </c>
      <c r="I1064" s="139">
        <f t="shared" si="468"/>
        <v>-3.2179735578685951</v>
      </c>
      <c r="J1064" s="139">
        <f t="shared" si="468"/>
        <v>12.575268817204302</v>
      </c>
      <c r="K1064" s="139">
        <f t="shared" si="468"/>
        <v>7.557795698924731</v>
      </c>
      <c r="L1064" s="139">
        <f t="shared" si="468"/>
        <v>10.151881720430108</v>
      </c>
      <c r="M1064" s="139">
        <f t="shared" si="468"/>
        <v>9.491935483870968</v>
      </c>
      <c r="N1064" s="139">
        <f t="shared" si="468"/>
        <v>2.7620967741935485</v>
      </c>
      <c r="O1064" s="139">
        <f t="shared" si="468"/>
        <v>3.2526881720430105</v>
      </c>
      <c r="P1064" s="139">
        <f t="shared" si="468"/>
        <v>6.669354838709677</v>
      </c>
      <c r="Q1064" s="139">
        <f t="shared" si="468"/>
        <v>1.043010752688172</v>
      </c>
      <c r="R1064" s="139">
        <f t="shared" si="468"/>
        <v>3.064516129032258</v>
      </c>
      <c r="S1064" s="643">
        <f t="shared" si="468"/>
        <v>2.4368279569892475</v>
      </c>
      <c r="T1064" s="139">
        <f t="shared" si="441"/>
        <v>449.49466090398448</v>
      </c>
      <c r="U1064" s="139">
        <f t="shared" si="439"/>
        <v>155.49466090398445</v>
      </c>
      <c r="V1064" s="139">
        <f t="shared" si="442"/>
        <v>388.375</v>
      </c>
      <c r="W1064" s="139">
        <f t="shared" si="443"/>
        <v>94.375</v>
      </c>
      <c r="X1064" s="139">
        <f t="shared" si="444"/>
        <v>5.3322581177670463</v>
      </c>
      <c r="Y1064" s="139">
        <f t="shared" si="444"/>
        <v>-3.2179735578685951</v>
      </c>
      <c r="Z1064" s="139">
        <f t="shared" si="445"/>
        <v>59.005376344086031</v>
      </c>
      <c r="AC1064">
        <v>5</v>
      </c>
      <c r="AD1064" s="139">
        <f t="shared" si="446"/>
        <v>98</v>
      </c>
      <c r="AE1064" s="139">
        <f t="shared" si="447"/>
        <v>27.455357142857142</v>
      </c>
      <c r="AF1064" s="139">
        <f t="shared" si="448"/>
        <v>28.77827380952381</v>
      </c>
      <c r="AG1064" s="139">
        <f t="shared" si="449"/>
        <v>49.081845238095241</v>
      </c>
      <c r="AH1064" s="139">
        <f t="shared" si="450"/>
        <v>32.05085178656504</v>
      </c>
      <c r="AI1064" s="139">
        <f t="shared" si="451"/>
        <v>4.4836309523809526</v>
      </c>
      <c r="AJ1064" s="139">
        <f t="shared" si="452"/>
        <v>3.5193452380952377</v>
      </c>
      <c r="AK1064" s="139">
        <f t="shared" si="453"/>
        <v>5.4925595238095246</v>
      </c>
      <c r="AL1064" s="139">
        <f t="shared" si="454"/>
        <v>5.6949404761904754</v>
      </c>
      <c r="AM1064" s="139">
        <f t="shared" si="455"/>
        <v>1.4836309523809523</v>
      </c>
      <c r="AN1064" s="139">
        <f t="shared" si="456"/>
        <v>1.7470238095238095</v>
      </c>
      <c r="AO1064" s="139">
        <f t="shared" si="457"/>
        <v>3.4166666666666665</v>
      </c>
      <c r="AP1064" s="139">
        <f t="shared" si="458"/>
        <v>0.95833333333333337</v>
      </c>
      <c r="AQ1064" s="139">
        <f t="shared" si="459"/>
        <v>1.9255952380952381</v>
      </c>
      <c r="AR1064" s="139">
        <f t="shared" si="460"/>
        <v>2.2678571428571428</v>
      </c>
      <c r="AS1064" s="139">
        <f t="shared" si="461"/>
        <v>266.35591131037461</v>
      </c>
      <c r="AT1064" s="139">
        <f t="shared" si="462"/>
        <v>21.2158531026259</v>
      </c>
      <c r="AU1064" s="139">
        <f t="shared" si="463"/>
        <v>287.57176441300049</v>
      </c>
      <c r="AW1064" s="139">
        <f t="shared" si="464"/>
        <v>384.67113095238096</v>
      </c>
      <c r="AX1064" s="139">
        <f t="shared" si="465"/>
        <v>-97.099366539380469</v>
      </c>
    </row>
    <row r="1065" spans="1:50" ht="15.75" customHeight="1" x14ac:dyDescent="0.3">
      <c r="A1065" s="642" t="s">
        <v>2237</v>
      </c>
      <c r="B1065" s="642">
        <f t="shared" si="437"/>
        <v>147</v>
      </c>
      <c r="C1065" s="139">
        <f t="shared" si="437"/>
        <v>0</v>
      </c>
      <c r="D1065" s="643" t="str">
        <f>H1092</f>
        <v>n/a</v>
      </c>
      <c r="E1065" s="139">
        <f t="shared" ref="E1065:S1065" si="469">+C985/$H$10/24</f>
        <v>18.030555555555555</v>
      </c>
      <c r="F1065" s="139">
        <f t="shared" si="469"/>
        <v>18.845833333333335</v>
      </c>
      <c r="G1065" s="139">
        <f t="shared" si="469"/>
        <v>30.211111111111112</v>
      </c>
      <c r="H1065" s="139">
        <f t="shared" si="469"/>
        <v>0.40638777574340584</v>
      </c>
      <c r="I1065" s="139">
        <f t="shared" si="469"/>
        <v>-15.535806113260291</v>
      </c>
      <c r="J1065" s="139">
        <f t="shared" si="469"/>
        <v>17.145833333333332</v>
      </c>
      <c r="K1065" s="139">
        <f t="shared" si="469"/>
        <v>10.1625</v>
      </c>
      <c r="L1065" s="139">
        <f t="shared" si="469"/>
        <v>11.799999999999999</v>
      </c>
      <c r="M1065" s="139">
        <f t="shared" si="469"/>
        <v>10.4375</v>
      </c>
      <c r="N1065" s="139">
        <f t="shared" si="469"/>
        <v>3.005555555555556</v>
      </c>
      <c r="O1065" s="139">
        <f t="shared" si="469"/>
        <v>3.5388888888888892</v>
      </c>
      <c r="P1065" s="139">
        <f t="shared" si="469"/>
        <v>7.0125000000000002</v>
      </c>
      <c r="Q1065" s="139">
        <f t="shared" si="469"/>
        <v>1.1583333333333334</v>
      </c>
      <c r="R1065" s="139">
        <f t="shared" si="469"/>
        <v>3.2347222222222225</v>
      </c>
      <c r="S1065" s="643">
        <f t="shared" si="469"/>
        <v>2.7375000000000003</v>
      </c>
      <c r="T1065" s="139">
        <f t="shared" si="441"/>
        <v>269.19141499581644</v>
      </c>
      <c r="U1065" s="139">
        <f t="shared" si="439"/>
        <v>122.19141499581644</v>
      </c>
      <c r="V1065" s="139">
        <f t="shared" si="442"/>
        <v>214.08750000000001</v>
      </c>
      <c r="W1065" s="139">
        <f t="shared" si="443"/>
        <v>67.087500000000006</v>
      </c>
      <c r="X1065" s="139">
        <f t="shared" si="444"/>
        <v>0.40638777574340584</v>
      </c>
      <c r="Y1065" s="139">
        <f t="shared" si="444"/>
        <v>-15.535806113260291</v>
      </c>
      <c r="Z1065" s="139">
        <f t="shared" si="445"/>
        <v>70.23333333333332</v>
      </c>
      <c r="AC1065">
        <v>6</v>
      </c>
      <c r="AD1065" s="139">
        <f t="shared" si="446"/>
        <v>98</v>
      </c>
      <c r="AE1065" s="139">
        <f t="shared" si="447"/>
        <v>27.455357142857142</v>
      </c>
      <c r="AF1065" s="139">
        <f t="shared" si="448"/>
        <v>28.77827380952381</v>
      </c>
      <c r="AG1065" s="139">
        <f t="shared" si="449"/>
        <v>49.081845238095241</v>
      </c>
      <c r="AH1065" s="139">
        <f t="shared" si="450"/>
        <v>32.05085178656504</v>
      </c>
      <c r="AI1065" s="139">
        <f t="shared" si="451"/>
        <v>4.4836309523809526</v>
      </c>
      <c r="AJ1065" s="139">
        <f t="shared" si="452"/>
        <v>3.5193452380952377</v>
      </c>
      <c r="AK1065" s="139">
        <f t="shared" si="453"/>
        <v>5.4925595238095246</v>
      </c>
      <c r="AL1065" s="139">
        <f t="shared" si="454"/>
        <v>5.6949404761904754</v>
      </c>
      <c r="AM1065" s="139">
        <f t="shared" si="455"/>
        <v>1.4836309523809523</v>
      </c>
      <c r="AN1065" s="139">
        <f t="shared" si="456"/>
        <v>1.7470238095238095</v>
      </c>
      <c r="AO1065" s="139">
        <f t="shared" si="457"/>
        <v>3.4166666666666665</v>
      </c>
      <c r="AP1065" s="139">
        <f t="shared" si="458"/>
        <v>0.95833333333333337</v>
      </c>
      <c r="AQ1065" s="139">
        <f t="shared" si="459"/>
        <v>1.9255952380952381</v>
      </c>
      <c r="AR1065" s="139">
        <f t="shared" si="460"/>
        <v>2.2678571428571428</v>
      </c>
      <c r="AS1065" s="139">
        <f t="shared" si="461"/>
        <v>266.35591131037461</v>
      </c>
      <c r="AT1065" s="139">
        <f t="shared" si="462"/>
        <v>21.2158531026259</v>
      </c>
      <c r="AU1065" s="139">
        <f t="shared" si="463"/>
        <v>287.57176441300049</v>
      </c>
      <c r="AW1065" s="139">
        <f t="shared" si="464"/>
        <v>384.67113095238096</v>
      </c>
      <c r="AX1065" s="139">
        <f t="shared" si="465"/>
        <v>-97.099366539380469</v>
      </c>
    </row>
    <row r="1066" spans="1:50" ht="15.75" customHeight="1" x14ac:dyDescent="0.3">
      <c r="A1066" s="642" t="s">
        <v>1504</v>
      </c>
      <c r="B1066" s="642">
        <f t="shared" si="437"/>
        <v>147</v>
      </c>
      <c r="C1066" s="139">
        <f t="shared" si="437"/>
        <v>0</v>
      </c>
      <c r="D1066" s="643" t="str">
        <f>H1093</f>
        <v>n/a</v>
      </c>
      <c r="E1066" s="139">
        <f t="shared" ref="E1066:S1066" si="470">+C986/$J$10/24</f>
        <v>15.969086021505376</v>
      </c>
      <c r="F1066" s="139">
        <f t="shared" si="470"/>
        <v>16.686827956989248</v>
      </c>
      <c r="G1066" s="139">
        <f t="shared" si="470"/>
        <v>26.217741935483872</v>
      </c>
      <c r="H1066" s="139">
        <f t="shared" si="470"/>
        <v>0</v>
      </c>
      <c r="I1066" s="139">
        <f t="shared" si="470"/>
        <v>-13.150097702538803</v>
      </c>
      <c r="J1066" s="139">
        <f t="shared" si="470"/>
        <v>17.14516129032258</v>
      </c>
      <c r="K1066" s="139">
        <f t="shared" si="470"/>
        <v>11.190860215053762</v>
      </c>
      <c r="L1066" s="139">
        <f t="shared" si="470"/>
        <v>12.33736559139785</v>
      </c>
      <c r="M1066" s="139">
        <f t="shared" si="470"/>
        <v>10.611559139784946</v>
      </c>
      <c r="N1066" s="139">
        <f t="shared" si="470"/>
        <v>3.0752688172043015</v>
      </c>
      <c r="O1066" s="139">
        <f t="shared" si="470"/>
        <v>3.6236559139784945</v>
      </c>
      <c r="P1066" s="139">
        <f t="shared" si="470"/>
        <v>7.19489247311828</v>
      </c>
      <c r="Q1066" s="139">
        <f t="shared" si="470"/>
        <v>1.1478494623655913</v>
      </c>
      <c r="R1066" s="139">
        <f t="shared" si="470"/>
        <v>2.8266129032258065</v>
      </c>
      <c r="S1066" s="643">
        <f t="shared" si="470"/>
        <v>2.71505376344086</v>
      </c>
      <c r="T1066" s="139">
        <f t="shared" si="441"/>
        <v>264.59183778133217</v>
      </c>
      <c r="U1066" s="139">
        <f t="shared" si="439"/>
        <v>117.59183778133217</v>
      </c>
      <c r="V1066" s="139">
        <f t="shared" si="442"/>
        <v>205.8736559139785</v>
      </c>
      <c r="W1066" s="139">
        <f t="shared" si="443"/>
        <v>58.873655913978496</v>
      </c>
      <c r="X1066" s="139">
        <f t="shared" si="444"/>
        <v>0</v>
      </c>
      <c r="Y1066" s="139">
        <f t="shared" si="444"/>
        <v>-13.150097702538803</v>
      </c>
      <c r="Z1066" s="139">
        <f t="shared" si="445"/>
        <v>71.868279569892479</v>
      </c>
      <c r="AC1066">
        <v>7</v>
      </c>
      <c r="AD1066" s="139">
        <f>IF($AF$1057=1,VLOOKUP($AD$1057,$A$1087:$P$1098,12,FALSE),IF(OR($AD$1057="JAN",$AD$1057="FEB",$AD$1057="NOV",$AD$1057="DEC"),VLOOKUP($AD$1057,$A$1060:$S$1071,2,FALSE),VLOOKUP($AD$1057,$A$1060:$S$1071,3,FALSE)))</f>
        <v>98</v>
      </c>
      <c r="AE1066" s="139">
        <f t="shared" si="447"/>
        <v>27.455357142857142</v>
      </c>
      <c r="AF1066" s="139">
        <f t="shared" si="448"/>
        <v>28.77827380952381</v>
      </c>
      <c r="AG1066" s="139">
        <f t="shared" si="449"/>
        <v>49.081845238095241</v>
      </c>
      <c r="AH1066" s="139">
        <f t="shared" si="450"/>
        <v>32.05085178656504</v>
      </c>
      <c r="AI1066" s="139">
        <f t="shared" si="451"/>
        <v>4.4836309523809526</v>
      </c>
      <c r="AJ1066" s="139">
        <f t="shared" si="452"/>
        <v>3.5193452380952377</v>
      </c>
      <c r="AK1066" s="139">
        <f t="shared" si="453"/>
        <v>5.4925595238095246</v>
      </c>
      <c r="AL1066" s="139">
        <f t="shared" si="454"/>
        <v>5.6949404761904754</v>
      </c>
      <c r="AM1066" s="139">
        <f t="shared" si="455"/>
        <v>1.4836309523809523</v>
      </c>
      <c r="AN1066" s="139">
        <f t="shared" si="456"/>
        <v>1.7470238095238095</v>
      </c>
      <c r="AO1066" s="139">
        <f t="shared" si="457"/>
        <v>3.4166666666666665</v>
      </c>
      <c r="AP1066" s="139">
        <f t="shared" si="458"/>
        <v>0.95833333333333337</v>
      </c>
      <c r="AQ1066" s="139">
        <f t="shared" si="459"/>
        <v>1.9255952380952381</v>
      </c>
      <c r="AR1066" s="139">
        <f t="shared" si="460"/>
        <v>2.2678571428571428</v>
      </c>
      <c r="AS1066" s="139">
        <f t="shared" si="461"/>
        <v>266.35591131037461</v>
      </c>
      <c r="AT1066" s="139">
        <f t="shared" si="462"/>
        <v>21.2158531026259</v>
      </c>
      <c r="AU1066" s="139">
        <f t="shared" si="463"/>
        <v>287.57176441300049</v>
      </c>
      <c r="AW1066" s="139">
        <f t="shared" si="464"/>
        <v>384.67113095238096</v>
      </c>
      <c r="AX1066" s="139">
        <f t="shared" si="465"/>
        <v>-97.099366539380469</v>
      </c>
    </row>
    <row r="1067" spans="1:50" ht="15.75" customHeight="1" x14ac:dyDescent="0.3">
      <c r="A1067" s="642" t="s">
        <v>1505</v>
      </c>
      <c r="B1067" s="642">
        <f t="shared" si="437"/>
        <v>147</v>
      </c>
      <c r="C1067" s="139">
        <f t="shared" si="437"/>
        <v>0</v>
      </c>
      <c r="D1067" s="643" t="str">
        <f>H1094</f>
        <v>n/a</v>
      </c>
      <c r="E1067" s="139">
        <f t="shared" ref="E1067:S1067" si="471">+C987/$K$10/24</f>
        <v>16.991935483870968</v>
      </c>
      <c r="F1067" s="139">
        <f t="shared" si="471"/>
        <v>17.772849462365592</v>
      </c>
      <c r="G1067" s="139">
        <f t="shared" si="471"/>
        <v>27.993279569892476</v>
      </c>
      <c r="H1067" s="139">
        <f t="shared" si="471"/>
        <v>6.0426622595773716E-3</v>
      </c>
      <c r="I1067" s="139">
        <f t="shared" si="471"/>
        <v>-8.3576898173578016</v>
      </c>
      <c r="J1067" s="139">
        <f t="shared" si="471"/>
        <v>16.275537634408604</v>
      </c>
      <c r="K1067" s="139">
        <f t="shared" si="471"/>
        <v>11.491935483870968</v>
      </c>
      <c r="L1067" s="139">
        <f t="shared" si="471"/>
        <v>12.547043010752688</v>
      </c>
      <c r="M1067" s="139">
        <f t="shared" si="471"/>
        <v>10.44220430107527</v>
      </c>
      <c r="N1067" s="139">
        <f t="shared" si="471"/>
        <v>2.974462365591398</v>
      </c>
      <c r="O1067" s="139">
        <f t="shared" si="471"/>
        <v>3.504032258064516</v>
      </c>
      <c r="P1067" s="139">
        <f t="shared" si="471"/>
        <v>6.8091397849462361</v>
      </c>
      <c r="Q1067" s="139">
        <f t="shared" si="471"/>
        <v>1.0833333333333333</v>
      </c>
      <c r="R1067" s="139">
        <f t="shared" si="471"/>
        <v>2.6088709677419355</v>
      </c>
      <c r="S1067" s="643">
        <f t="shared" si="471"/>
        <v>2.5618279569892475</v>
      </c>
      <c r="T1067" s="139">
        <f t="shared" si="441"/>
        <v>271.70480445780498</v>
      </c>
      <c r="U1067" s="139">
        <f t="shared" si="439"/>
        <v>124.704804457805</v>
      </c>
      <c r="V1067" s="139">
        <f t="shared" si="442"/>
        <v>209.75806451612902</v>
      </c>
      <c r="W1067" s="139">
        <f t="shared" si="443"/>
        <v>62.758064516129039</v>
      </c>
      <c r="X1067" s="139">
        <f t="shared" si="444"/>
        <v>6.0426622595773716E-3</v>
      </c>
      <c r="Y1067" s="139">
        <f t="shared" si="444"/>
        <v>-8.3576898173578016</v>
      </c>
      <c r="Z1067" s="139">
        <f t="shared" si="445"/>
        <v>70.298387096774192</v>
      </c>
      <c r="AC1067">
        <v>8</v>
      </c>
      <c r="AD1067" s="139">
        <f>IF($AF$1057=1,VLOOKUP($AD$1057,$A$1087:$P$1098,12,FALSE),VLOOKUP($AD$1057,$A$1060:$S$1071,3,FALSE))</f>
        <v>0</v>
      </c>
      <c r="AE1067" s="139">
        <f t="shared" si="447"/>
        <v>27.455357142857142</v>
      </c>
      <c r="AF1067" s="139">
        <f t="shared" si="448"/>
        <v>28.77827380952381</v>
      </c>
      <c r="AG1067" s="139">
        <f t="shared" si="449"/>
        <v>49.081845238095241</v>
      </c>
      <c r="AH1067" s="139">
        <f t="shared" si="450"/>
        <v>32.05085178656504</v>
      </c>
      <c r="AI1067" s="139">
        <f t="shared" si="451"/>
        <v>4.4836309523809526</v>
      </c>
      <c r="AJ1067" s="139">
        <f t="shared" si="452"/>
        <v>3.5193452380952377</v>
      </c>
      <c r="AK1067" s="139">
        <f t="shared" si="453"/>
        <v>5.4925595238095246</v>
      </c>
      <c r="AL1067" s="139">
        <f t="shared" si="454"/>
        <v>5.6949404761904754</v>
      </c>
      <c r="AM1067" s="139">
        <f t="shared" si="455"/>
        <v>1.4836309523809523</v>
      </c>
      <c r="AN1067" s="139">
        <f t="shared" si="456"/>
        <v>1.7470238095238095</v>
      </c>
      <c r="AO1067" s="139">
        <f t="shared" si="457"/>
        <v>3.4166666666666665</v>
      </c>
      <c r="AP1067" s="139">
        <f t="shared" si="458"/>
        <v>0.95833333333333337</v>
      </c>
      <c r="AQ1067" s="139">
        <f t="shared" si="459"/>
        <v>1.9255952380952381</v>
      </c>
      <c r="AR1067" s="139">
        <f t="shared" si="460"/>
        <v>2.2678571428571428</v>
      </c>
      <c r="AS1067" s="139">
        <f t="shared" si="461"/>
        <v>168.35591131037458</v>
      </c>
      <c r="AT1067" s="139">
        <f t="shared" si="462"/>
        <v>13.409930591544182</v>
      </c>
      <c r="AU1067" s="139">
        <f t="shared" si="463"/>
        <v>181.76584190191875</v>
      </c>
      <c r="AW1067" s="139">
        <f t="shared" si="464"/>
        <v>384.67113095238096</v>
      </c>
      <c r="AX1067" s="139">
        <f t="shared" si="465"/>
        <v>-202.90528905046222</v>
      </c>
    </row>
    <row r="1068" spans="1:50" ht="15.75" customHeight="1" x14ac:dyDescent="0.3">
      <c r="A1068" s="642" t="s">
        <v>1506</v>
      </c>
      <c r="B1068" s="642">
        <f t="shared" si="437"/>
        <v>245</v>
      </c>
      <c r="C1068" s="139">
        <f t="shared" si="437"/>
        <v>0</v>
      </c>
      <c r="D1068" s="643" t="s">
        <v>2916</v>
      </c>
      <c r="E1068" s="139">
        <f t="shared" ref="E1068:S1068" si="472">+C988/$L$10/24</f>
        <v>27.038888888888888</v>
      </c>
      <c r="F1068" s="139">
        <f t="shared" si="472"/>
        <v>28.31527777777778</v>
      </c>
      <c r="G1068" s="139">
        <f t="shared" si="472"/>
        <v>46.848611111111104</v>
      </c>
      <c r="H1068" s="139">
        <f t="shared" si="472"/>
        <v>7.0169091506912693</v>
      </c>
      <c r="I1068" s="139">
        <f t="shared" si="472"/>
        <v>0</v>
      </c>
      <c r="J1068" s="139">
        <f t="shared" si="472"/>
        <v>10.791666666666666</v>
      </c>
      <c r="K1068" s="139">
        <f t="shared" si="472"/>
        <v>6.6291666666666664</v>
      </c>
      <c r="L1068" s="139">
        <f t="shared" si="472"/>
        <v>7.906944444444445</v>
      </c>
      <c r="M1068" s="139">
        <f t="shared" si="472"/>
        <v>6.8819444444444438</v>
      </c>
      <c r="N1068" s="139">
        <f t="shared" si="472"/>
        <v>2.4416666666666669</v>
      </c>
      <c r="O1068" s="139">
        <f t="shared" si="472"/>
        <v>2.875</v>
      </c>
      <c r="P1068" s="139">
        <f t="shared" si="472"/>
        <v>5.7041666666666666</v>
      </c>
      <c r="Q1068" s="139">
        <f t="shared" si="472"/>
        <v>1.0694444444444444</v>
      </c>
      <c r="R1068" s="139">
        <f t="shared" si="472"/>
        <v>2.4708333333333332</v>
      </c>
      <c r="S1068" s="643">
        <f t="shared" si="472"/>
        <v>2.5277777777777777</v>
      </c>
      <c r="T1068" s="139">
        <f t="shared" si="441"/>
        <v>403.5182980395802</v>
      </c>
      <c r="U1068" s="139">
        <f t="shared" si="439"/>
        <v>158.5182980395802</v>
      </c>
      <c r="V1068" s="139">
        <f t="shared" si="442"/>
        <v>347.20277777777778</v>
      </c>
      <c r="W1068" s="139">
        <f t="shared" si="443"/>
        <v>102.20277777777778</v>
      </c>
      <c r="X1068" s="139">
        <f t="shared" si="444"/>
        <v>7.0169091506912693</v>
      </c>
      <c r="Y1068" s="139">
        <f t="shared" si="444"/>
        <v>0</v>
      </c>
      <c r="Z1068" s="139">
        <f t="shared" si="445"/>
        <v>49.298611111111114</v>
      </c>
      <c r="AC1068">
        <v>9</v>
      </c>
      <c r="AD1068" s="139">
        <f>IF($AF$1057=1,VLOOKUP($AD$1057,$A$1087:$P$1098,12,FALSE),VLOOKUP($AD$1057,$A$1060:$S$1071,3,FALSE))</f>
        <v>0</v>
      </c>
      <c r="AE1068" s="139">
        <f t="shared" si="447"/>
        <v>27.455357142857142</v>
      </c>
      <c r="AF1068" s="139">
        <f t="shared" si="448"/>
        <v>28.77827380952381</v>
      </c>
      <c r="AG1068" s="139">
        <f t="shared" si="449"/>
        <v>49.081845238095241</v>
      </c>
      <c r="AH1068" s="139">
        <f t="shared" si="450"/>
        <v>32.05085178656504</v>
      </c>
      <c r="AI1068" s="139">
        <f t="shared" si="451"/>
        <v>4.4836309523809526</v>
      </c>
      <c r="AJ1068" s="139">
        <f t="shared" si="452"/>
        <v>3.5193452380952377</v>
      </c>
      <c r="AK1068" s="139">
        <f t="shared" si="453"/>
        <v>5.4925595238095246</v>
      </c>
      <c r="AL1068" s="139">
        <f t="shared" si="454"/>
        <v>5.6949404761904754</v>
      </c>
      <c r="AM1068" s="139">
        <f t="shared" si="455"/>
        <v>1.4836309523809523</v>
      </c>
      <c r="AN1068" s="139">
        <f t="shared" si="456"/>
        <v>1.7470238095238095</v>
      </c>
      <c r="AO1068" s="139">
        <f t="shared" si="457"/>
        <v>3.4166666666666665</v>
      </c>
      <c r="AP1068" s="139">
        <f t="shared" si="458"/>
        <v>0.95833333333333337</v>
      </c>
      <c r="AQ1068" s="139">
        <f t="shared" si="459"/>
        <v>1.9255952380952381</v>
      </c>
      <c r="AR1068" s="139">
        <f t="shared" si="460"/>
        <v>2.2678571428571428</v>
      </c>
      <c r="AS1068" s="139">
        <f t="shared" si="461"/>
        <v>168.35591131037458</v>
      </c>
      <c r="AT1068" s="139">
        <f t="shared" si="462"/>
        <v>13.409930591544182</v>
      </c>
      <c r="AU1068" s="139">
        <f t="shared" si="463"/>
        <v>181.76584190191875</v>
      </c>
      <c r="AW1068" s="139">
        <f t="shared" si="464"/>
        <v>384.67113095238096</v>
      </c>
      <c r="AX1068" s="139">
        <f t="shared" si="465"/>
        <v>-202.90528905046222</v>
      </c>
    </row>
    <row r="1069" spans="1:50" ht="15.75" customHeight="1" x14ac:dyDescent="0.3">
      <c r="A1069" s="642" t="s">
        <v>1507</v>
      </c>
      <c r="B1069" s="642">
        <f t="shared" si="437"/>
        <v>245</v>
      </c>
      <c r="C1069" s="139">
        <f t="shared" si="437"/>
        <v>0</v>
      </c>
      <c r="D1069" s="643" t="s">
        <v>2916</v>
      </c>
      <c r="E1069" s="139">
        <f t="shared" ref="E1069:S1069" si="473">+C989/$N$10/24</f>
        <v>24.498655913978496</v>
      </c>
      <c r="F1069" s="139">
        <f t="shared" si="473"/>
        <v>25.655913978494624</v>
      </c>
      <c r="G1069" s="139">
        <f t="shared" si="473"/>
        <v>42.327956989247312</v>
      </c>
      <c r="H1069" s="139">
        <f t="shared" si="473"/>
        <v>9.0011490037727384</v>
      </c>
      <c r="I1069" s="139">
        <f t="shared" si="473"/>
        <v>0</v>
      </c>
      <c r="J1069" s="139">
        <f t="shared" si="473"/>
        <v>9.413978494623656</v>
      </c>
      <c r="K1069" s="139">
        <f t="shared" si="473"/>
        <v>4.6948924731182791</v>
      </c>
      <c r="L1069" s="139">
        <f t="shared" si="473"/>
        <v>5.998655913978495</v>
      </c>
      <c r="M1069" s="139">
        <f t="shared" si="473"/>
        <v>5.75</v>
      </c>
      <c r="N1069" s="139">
        <f t="shared" si="473"/>
        <v>2.1129032258064515</v>
      </c>
      <c r="O1069" s="139">
        <f t="shared" si="473"/>
        <v>2.4879032258064515</v>
      </c>
      <c r="P1069" s="139">
        <f t="shared" si="473"/>
        <v>4.877688172043011</v>
      </c>
      <c r="Q1069" s="139">
        <f t="shared" si="473"/>
        <v>0.967741935483871</v>
      </c>
      <c r="R1069" s="139">
        <f t="shared" si="473"/>
        <v>2.1733870967741935</v>
      </c>
      <c r="S1069" s="643">
        <f t="shared" si="473"/>
        <v>2.2903225806451615</v>
      </c>
      <c r="T1069" s="139">
        <f t="shared" si="441"/>
        <v>387.25114900377275</v>
      </c>
      <c r="U1069" s="139">
        <f t="shared" si="439"/>
        <v>142.25114900377275</v>
      </c>
      <c r="V1069" s="139">
        <f t="shared" si="442"/>
        <v>337.48252688172045</v>
      </c>
      <c r="W1069" s="139">
        <f t="shared" si="443"/>
        <v>92.482526881720432</v>
      </c>
      <c r="X1069" s="139">
        <f t="shared" si="444"/>
        <v>9.0011490037727384</v>
      </c>
      <c r="Y1069" s="139">
        <f t="shared" si="444"/>
        <v>0</v>
      </c>
      <c r="Z1069" s="139">
        <f t="shared" si="445"/>
        <v>40.767473118279568</v>
      </c>
      <c r="AC1069">
        <v>10</v>
      </c>
      <c r="AD1069" s="139">
        <f>IF($AF$1057=1,VLOOKUP($AD$1057,$A$1087:$P$1098,12,FALSE),VLOOKUP($AD$1057,$A$1060:$S$1071,3,FALSE))</f>
        <v>0</v>
      </c>
      <c r="AE1069" s="139">
        <f t="shared" si="447"/>
        <v>27.455357142857142</v>
      </c>
      <c r="AF1069" s="139">
        <f t="shared" si="448"/>
        <v>28.77827380952381</v>
      </c>
      <c r="AG1069" s="139">
        <f t="shared" si="449"/>
        <v>49.081845238095241</v>
      </c>
      <c r="AH1069" s="139">
        <f t="shared" si="450"/>
        <v>32.05085178656504</v>
      </c>
      <c r="AI1069" s="139">
        <f t="shared" si="451"/>
        <v>4.4836309523809526</v>
      </c>
      <c r="AJ1069" s="139">
        <f t="shared" si="452"/>
        <v>3.5193452380952377</v>
      </c>
      <c r="AK1069" s="139">
        <f t="shared" si="453"/>
        <v>5.4925595238095246</v>
      </c>
      <c r="AL1069" s="139">
        <f t="shared" si="454"/>
        <v>5.6949404761904754</v>
      </c>
      <c r="AM1069" s="139">
        <f t="shared" si="455"/>
        <v>1.4836309523809523</v>
      </c>
      <c r="AN1069" s="139">
        <f t="shared" si="456"/>
        <v>1.7470238095238095</v>
      </c>
      <c r="AO1069" s="139">
        <f t="shared" si="457"/>
        <v>3.4166666666666665</v>
      </c>
      <c r="AP1069" s="139">
        <f t="shared" si="458"/>
        <v>0.95833333333333337</v>
      </c>
      <c r="AQ1069" s="139">
        <f t="shared" si="459"/>
        <v>1.9255952380952381</v>
      </c>
      <c r="AR1069" s="139">
        <f t="shared" si="460"/>
        <v>2.2678571428571428</v>
      </c>
      <c r="AS1069" s="139">
        <f t="shared" si="461"/>
        <v>168.35591131037458</v>
      </c>
      <c r="AT1069" s="139">
        <f t="shared" si="462"/>
        <v>13.409930591544182</v>
      </c>
      <c r="AU1069" s="139">
        <f t="shared" si="463"/>
        <v>181.76584190191875</v>
      </c>
      <c r="AW1069" s="139">
        <f t="shared" si="464"/>
        <v>384.67113095238096</v>
      </c>
      <c r="AX1069" s="139">
        <f t="shared" si="465"/>
        <v>-202.90528905046222</v>
      </c>
    </row>
    <row r="1070" spans="1:50" ht="15.75" customHeight="1" x14ac:dyDescent="0.3">
      <c r="A1070" s="642" t="s">
        <v>1508</v>
      </c>
      <c r="B1070" s="642">
        <f t="shared" si="437"/>
        <v>245</v>
      </c>
      <c r="C1070" s="139">
        <f t="shared" si="437"/>
        <v>0</v>
      </c>
      <c r="D1070" s="643" t="s">
        <v>2916</v>
      </c>
      <c r="E1070" s="139">
        <f t="shared" ref="E1070:S1070" si="474">+C990/$O$10/24</f>
        <v>20.693055555555556</v>
      </c>
      <c r="F1070" s="139">
        <f t="shared" si="474"/>
        <v>21.669444444444448</v>
      </c>
      <c r="G1070" s="139">
        <f t="shared" si="474"/>
        <v>36.522222222222219</v>
      </c>
      <c r="H1070" s="139">
        <f t="shared" si="474"/>
        <v>26.18269366038891</v>
      </c>
      <c r="I1070" s="139">
        <f t="shared" si="474"/>
        <v>-0.28926834505184057</v>
      </c>
      <c r="J1070" s="139">
        <f t="shared" si="474"/>
        <v>0.86944444444444446</v>
      </c>
      <c r="K1070" s="139">
        <f t="shared" si="474"/>
        <v>0.26805555555555555</v>
      </c>
      <c r="L1070" s="139">
        <f t="shared" si="474"/>
        <v>0.41111111111111115</v>
      </c>
      <c r="M1070" s="139">
        <f t="shared" si="474"/>
        <v>0.40277777777777773</v>
      </c>
      <c r="N1070" s="139">
        <f t="shared" si="474"/>
        <v>0.14583333333333334</v>
      </c>
      <c r="O1070" s="139">
        <f t="shared" si="474"/>
        <v>0.16805555555555554</v>
      </c>
      <c r="P1070" s="139">
        <f t="shared" si="474"/>
        <v>0.28333333333333333</v>
      </c>
      <c r="Q1070" s="139">
        <f t="shared" si="474"/>
        <v>0.20833333333333334</v>
      </c>
      <c r="R1070" s="139">
        <f t="shared" si="474"/>
        <v>2.0222222222222221</v>
      </c>
      <c r="S1070" s="643">
        <f t="shared" si="474"/>
        <v>0.49305555555555558</v>
      </c>
      <c r="T1070" s="139">
        <f t="shared" si="441"/>
        <v>355.05036975978146</v>
      </c>
      <c r="U1070" s="139">
        <f t="shared" si="439"/>
        <v>110.05036975978149</v>
      </c>
      <c r="V1070" s="139">
        <f t="shared" si="442"/>
        <v>323.88472222222219</v>
      </c>
      <c r="W1070" s="139">
        <f t="shared" si="443"/>
        <v>78.884722222222223</v>
      </c>
      <c r="X1070" s="139">
        <f t="shared" si="444"/>
        <v>26.18269366038891</v>
      </c>
      <c r="Y1070" s="139">
        <f t="shared" si="444"/>
        <v>-0.28926834505184057</v>
      </c>
      <c r="Z1070" s="139">
        <f t="shared" si="445"/>
        <v>5.2722222222222221</v>
      </c>
      <c r="AC1070">
        <v>11</v>
      </c>
      <c r="AD1070" s="139">
        <f>IF($AF$1057=1,VLOOKUP($AD$1057,$A$1087:$P$1098,12,FALSE),VLOOKUP($AD$1057,$A$1060:$S$1071,3,FALSE))</f>
        <v>0</v>
      </c>
      <c r="AE1070" s="139">
        <f t="shared" si="447"/>
        <v>27.455357142857142</v>
      </c>
      <c r="AF1070" s="139">
        <f t="shared" si="448"/>
        <v>28.77827380952381</v>
      </c>
      <c r="AG1070" s="139">
        <f t="shared" si="449"/>
        <v>49.081845238095241</v>
      </c>
      <c r="AH1070" s="139">
        <f t="shared" si="450"/>
        <v>32.05085178656504</v>
      </c>
      <c r="AI1070" s="139">
        <f t="shared" si="451"/>
        <v>4.4836309523809526</v>
      </c>
      <c r="AJ1070" s="139">
        <f t="shared" si="452"/>
        <v>3.5193452380952377</v>
      </c>
      <c r="AK1070" s="139">
        <f t="shared" si="453"/>
        <v>5.4925595238095246</v>
      </c>
      <c r="AL1070" s="139">
        <f t="shared" si="454"/>
        <v>5.6949404761904754</v>
      </c>
      <c r="AM1070" s="139">
        <f t="shared" si="455"/>
        <v>1.4836309523809523</v>
      </c>
      <c r="AN1070" s="139">
        <f t="shared" si="456"/>
        <v>1.7470238095238095</v>
      </c>
      <c r="AO1070" s="139">
        <f t="shared" si="457"/>
        <v>3.4166666666666665</v>
      </c>
      <c r="AP1070" s="139">
        <f t="shared" si="458"/>
        <v>0.95833333333333337</v>
      </c>
      <c r="AQ1070" s="139">
        <f t="shared" si="459"/>
        <v>1.9255952380952381</v>
      </c>
      <c r="AR1070" s="139">
        <f t="shared" si="460"/>
        <v>2.2678571428571428</v>
      </c>
      <c r="AS1070" s="139">
        <f t="shared" si="461"/>
        <v>168.35591131037458</v>
      </c>
      <c r="AT1070" s="139">
        <f t="shared" si="462"/>
        <v>13.409930591544182</v>
      </c>
      <c r="AU1070" s="139">
        <f t="shared" si="463"/>
        <v>181.76584190191875</v>
      </c>
      <c r="AW1070" s="139">
        <f t="shared" si="464"/>
        <v>384.67113095238096</v>
      </c>
      <c r="AX1070" s="139">
        <f t="shared" si="465"/>
        <v>-202.90528905046222</v>
      </c>
    </row>
    <row r="1071" spans="1:50" ht="15.75" customHeight="1" thickBot="1" x14ac:dyDescent="0.35">
      <c r="A1071" s="644" t="s">
        <v>1509</v>
      </c>
      <c r="B1071" s="644">
        <f t="shared" si="437"/>
        <v>245</v>
      </c>
      <c r="C1071" s="645">
        <f t="shared" si="437"/>
        <v>0</v>
      </c>
      <c r="D1071" s="646" t="s">
        <v>2916</v>
      </c>
      <c r="E1071" s="645">
        <f t="shared" ref="E1071:S1071" si="475">+C991/$P$10/24</f>
        <v>12.090053763440862</v>
      </c>
      <c r="F1071" s="645">
        <f t="shared" si="475"/>
        <v>12.653225806451614</v>
      </c>
      <c r="G1071" s="645">
        <f t="shared" si="475"/>
        <v>20.71505376344086</v>
      </c>
      <c r="H1071" s="645">
        <f t="shared" si="475"/>
        <v>6.7207385450970669</v>
      </c>
      <c r="I1071" s="645">
        <f t="shared" si="475"/>
        <v>0</v>
      </c>
      <c r="J1071" s="645">
        <f t="shared" si="475"/>
        <v>4.3481182795698929</v>
      </c>
      <c r="K1071" s="645">
        <f t="shared" si="475"/>
        <v>1.5672043010752688</v>
      </c>
      <c r="L1071" s="645">
        <f t="shared" si="475"/>
        <v>2.3521505376344085</v>
      </c>
      <c r="M1071" s="645">
        <f t="shared" si="475"/>
        <v>2.4166666666666665</v>
      </c>
      <c r="N1071" s="645">
        <f t="shared" si="475"/>
        <v>0.56182795698924737</v>
      </c>
      <c r="O1071" s="645">
        <f t="shared" si="475"/>
        <v>0.65994623655913975</v>
      </c>
      <c r="P1071" s="645">
        <f t="shared" si="475"/>
        <v>1.3239247311827957</v>
      </c>
      <c r="Q1071" s="645">
        <f t="shared" si="475"/>
        <v>4.0322580645161289E-3</v>
      </c>
      <c r="R1071" s="645">
        <f t="shared" si="475"/>
        <v>1.739247311827957</v>
      </c>
      <c r="S1071" s="646">
        <f t="shared" si="475"/>
        <v>8.0645161290322578E-3</v>
      </c>
      <c r="T1071" s="139">
        <f t="shared" si="441"/>
        <v>312.16025467412931</v>
      </c>
      <c r="U1071" s="139">
        <f t="shared" si="439"/>
        <v>67.160254674129334</v>
      </c>
      <c r="V1071" s="139">
        <f t="shared" si="442"/>
        <v>290.45833333333331</v>
      </c>
      <c r="W1071" s="139">
        <f t="shared" si="443"/>
        <v>45.458333333333336</v>
      </c>
      <c r="X1071" s="139">
        <f t="shared" si="444"/>
        <v>6.7207385450970669</v>
      </c>
      <c r="Y1071" s="139">
        <f t="shared" si="444"/>
        <v>0</v>
      </c>
      <c r="Z1071" s="139">
        <f t="shared" si="445"/>
        <v>14.981182795698924</v>
      </c>
      <c r="AC1071">
        <v>12</v>
      </c>
      <c r="AD1071" s="139">
        <f>IF($AF$1057=1,VLOOKUP($AD$1057,$A$1087:$P$1098,12,FALSE),VLOOKUP($AD$1057,$A$1060:$S$1071,3,FALSE))</f>
        <v>0</v>
      </c>
      <c r="AE1071" s="139">
        <f t="shared" si="447"/>
        <v>27.455357142857142</v>
      </c>
      <c r="AF1071" s="139">
        <f t="shared" si="448"/>
        <v>28.77827380952381</v>
      </c>
      <c r="AG1071" s="139">
        <f t="shared" si="449"/>
        <v>49.081845238095241</v>
      </c>
      <c r="AH1071" s="139">
        <f t="shared" si="450"/>
        <v>32.05085178656504</v>
      </c>
      <c r="AI1071" s="139">
        <f t="shared" si="451"/>
        <v>4.4836309523809526</v>
      </c>
      <c r="AJ1071" s="139">
        <f t="shared" si="452"/>
        <v>3.5193452380952377</v>
      </c>
      <c r="AK1071" s="139">
        <f t="shared" si="453"/>
        <v>5.4925595238095246</v>
      </c>
      <c r="AL1071" s="139">
        <f t="shared" si="454"/>
        <v>5.6949404761904754</v>
      </c>
      <c r="AM1071" s="139">
        <f t="shared" si="455"/>
        <v>1.4836309523809523</v>
      </c>
      <c r="AN1071" s="139">
        <f t="shared" si="456"/>
        <v>1.7470238095238095</v>
      </c>
      <c r="AO1071" s="139">
        <f t="shared" si="457"/>
        <v>3.4166666666666665</v>
      </c>
      <c r="AP1071" s="139">
        <f t="shared" si="458"/>
        <v>0.95833333333333337</v>
      </c>
      <c r="AQ1071" s="139">
        <f t="shared" si="459"/>
        <v>1.9255952380952381</v>
      </c>
      <c r="AR1071" s="139">
        <f t="shared" si="460"/>
        <v>2.2678571428571428</v>
      </c>
      <c r="AS1071" s="139">
        <f t="shared" si="461"/>
        <v>168.35591131037458</v>
      </c>
      <c r="AT1071" s="139">
        <f t="shared" si="462"/>
        <v>13.409930591544182</v>
      </c>
      <c r="AU1071" s="139">
        <f t="shared" si="463"/>
        <v>181.76584190191875</v>
      </c>
      <c r="AW1071" s="139">
        <f t="shared" si="464"/>
        <v>384.67113095238096</v>
      </c>
      <c r="AX1071" s="139">
        <f t="shared" si="465"/>
        <v>-202.90528905046222</v>
      </c>
    </row>
    <row r="1072" spans="1:50" ht="15.75" customHeight="1" x14ac:dyDescent="0.3">
      <c r="A1072" s="641"/>
      <c r="AC1072">
        <v>13</v>
      </c>
      <c r="AD1072" s="139">
        <f>IF($AF$1057=1,VLOOKUP($AD$1057,$A$1087:$P$1098,12,FALSE),IF(OR($AD$1057="JUN",$AD$1057="JUL",$AD$1057="AUG"),VLOOKUP($AD$1057,$A$1060:$S$1071,4,FALSE),VLOOKUP($AD$1057,$A$1060:$S$1071,3,FALSE)))</f>
        <v>0</v>
      </c>
      <c r="AE1072" s="139">
        <f t="shared" si="447"/>
        <v>27.455357142857142</v>
      </c>
      <c r="AF1072" s="139">
        <f t="shared" si="448"/>
        <v>28.77827380952381</v>
      </c>
      <c r="AG1072" s="139">
        <f t="shared" si="449"/>
        <v>49.081845238095241</v>
      </c>
      <c r="AH1072" s="139">
        <f t="shared" si="450"/>
        <v>32.05085178656504</v>
      </c>
      <c r="AI1072" s="139">
        <f t="shared" si="451"/>
        <v>4.4836309523809526</v>
      </c>
      <c r="AJ1072" s="139">
        <f t="shared" si="452"/>
        <v>3.5193452380952377</v>
      </c>
      <c r="AK1072" s="139">
        <f t="shared" si="453"/>
        <v>5.4925595238095246</v>
      </c>
      <c r="AL1072" s="139">
        <f t="shared" si="454"/>
        <v>5.6949404761904754</v>
      </c>
      <c r="AM1072" s="139">
        <f t="shared" si="455"/>
        <v>1.4836309523809523</v>
      </c>
      <c r="AN1072" s="139">
        <f t="shared" si="456"/>
        <v>1.7470238095238095</v>
      </c>
      <c r="AO1072" s="139">
        <f t="shared" si="457"/>
        <v>3.4166666666666665</v>
      </c>
      <c r="AP1072" s="139">
        <f t="shared" si="458"/>
        <v>0.95833333333333337</v>
      </c>
      <c r="AQ1072" s="139">
        <f t="shared" si="459"/>
        <v>1.9255952380952381</v>
      </c>
      <c r="AR1072" s="139">
        <f t="shared" si="460"/>
        <v>2.2678571428571428</v>
      </c>
      <c r="AS1072" s="139">
        <f t="shared" si="461"/>
        <v>168.35591131037458</v>
      </c>
      <c r="AT1072" s="139">
        <f t="shared" si="462"/>
        <v>13.409930591544182</v>
      </c>
      <c r="AU1072" s="139">
        <f t="shared" si="463"/>
        <v>181.76584190191875</v>
      </c>
      <c r="AW1072" s="139">
        <f t="shared" si="464"/>
        <v>384.67113095238096</v>
      </c>
      <c r="AX1072" s="139">
        <f t="shared" si="465"/>
        <v>-202.90528905046222</v>
      </c>
    </row>
    <row r="1073" spans="1:50" ht="27.75" customHeight="1" x14ac:dyDescent="0.3">
      <c r="A1073" s="641" t="s">
        <v>2889</v>
      </c>
      <c r="AC1073">
        <v>14</v>
      </c>
      <c r="AD1073" s="139">
        <f t="shared" ref="AD1073:AD1079" si="476">IF($AF$1057=1,VLOOKUP($AD$1057,$A$1087:$P$1098,12,FALSE),IF(OR($AD$1057="JUN",$AD$1057="JUL",$AD$1057="AUG"),VLOOKUP($AD$1057,$A$1060:$S$1071,4,FALSE),VLOOKUP($AD$1057,$A$1060:$S$1071,3,FALSE)))</f>
        <v>0</v>
      </c>
      <c r="AE1073" s="139">
        <f t="shared" si="447"/>
        <v>27.455357142857142</v>
      </c>
      <c r="AF1073" s="139">
        <f t="shared" si="448"/>
        <v>28.77827380952381</v>
      </c>
      <c r="AG1073" s="139">
        <f t="shared" si="449"/>
        <v>49.081845238095241</v>
      </c>
      <c r="AH1073" s="139">
        <f t="shared" si="450"/>
        <v>32.05085178656504</v>
      </c>
      <c r="AI1073" s="139">
        <f t="shared" si="451"/>
        <v>4.4836309523809526</v>
      </c>
      <c r="AJ1073" s="139">
        <f t="shared" si="452"/>
        <v>3.5193452380952377</v>
      </c>
      <c r="AK1073" s="139">
        <f t="shared" si="453"/>
        <v>5.4925595238095246</v>
      </c>
      <c r="AL1073" s="139">
        <f t="shared" si="454"/>
        <v>5.6949404761904754</v>
      </c>
      <c r="AM1073" s="139">
        <f t="shared" si="455"/>
        <v>1.4836309523809523</v>
      </c>
      <c r="AN1073" s="139">
        <f t="shared" si="456"/>
        <v>1.7470238095238095</v>
      </c>
      <c r="AO1073" s="139">
        <f t="shared" si="457"/>
        <v>3.4166666666666665</v>
      </c>
      <c r="AP1073" s="139">
        <f t="shared" si="458"/>
        <v>0.95833333333333337</v>
      </c>
      <c r="AQ1073" s="139">
        <f t="shared" si="459"/>
        <v>1.9255952380952381</v>
      </c>
      <c r="AR1073" s="139">
        <f t="shared" si="460"/>
        <v>2.2678571428571428</v>
      </c>
      <c r="AS1073" s="139">
        <f t="shared" si="461"/>
        <v>168.35591131037458</v>
      </c>
      <c r="AT1073" s="139">
        <f t="shared" si="462"/>
        <v>13.409930591544182</v>
      </c>
      <c r="AU1073" s="139">
        <f t="shared" si="463"/>
        <v>181.76584190191875</v>
      </c>
      <c r="AW1073" s="139">
        <f t="shared" si="464"/>
        <v>384.67113095238096</v>
      </c>
      <c r="AX1073" s="139">
        <f t="shared" si="465"/>
        <v>-202.90528905046222</v>
      </c>
    </row>
    <row r="1074" spans="1:50" ht="15.75" customHeight="1" x14ac:dyDescent="0.3">
      <c r="A1074" s="641"/>
      <c r="AC1074">
        <v>15</v>
      </c>
      <c r="AD1074" s="139">
        <f t="shared" si="476"/>
        <v>0</v>
      </c>
      <c r="AE1074" s="139">
        <f t="shared" si="447"/>
        <v>27.455357142857142</v>
      </c>
      <c r="AF1074" s="139">
        <f t="shared" si="448"/>
        <v>28.77827380952381</v>
      </c>
      <c r="AG1074" s="139">
        <f t="shared" si="449"/>
        <v>49.081845238095241</v>
      </c>
      <c r="AH1074" s="139">
        <f t="shared" si="450"/>
        <v>32.05085178656504</v>
      </c>
      <c r="AI1074" s="139">
        <f t="shared" si="451"/>
        <v>4.4836309523809526</v>
      </c>
      <c r="AJ1074" s="139">
        <f t="shared" si="452"/>
        <v>3.5193452380952377</v>
      </c>
      <c r="AK1074" s="139">
        <f t="shared" si="453"/>
        <v>5.4925595238095246</v>
      </c>
      <c r="AL1074" s="139">
        <f t="shared" si="454"/>
        <v>5.6949404761904754</v>
      </c>
      <c r="AM1074" s="139">
        <f t="shared" si="455"/>
        <v>1.4836309523809523</v>
      </c>
      <c r="AN1074" s="139">
        <f t="shared" si="456"/>
        <v>1.7470238095238095</v>
      </c>
      <c r="AO1074" s="139">
        <f t="shared" si="457"/>
        <v>3.4166666666666665</v>
      </c>
      <c r="AP1074" s="139">
        <f t="shared" si="458"/>
        <v>0.95833333333333337</v>
      </c>
      <c r="AQ1074" s="139">
        <f t="shared" si="459"/>
        <v>1.9255952380952381</v>
      </c>
      <c r="AR1074" s="139">
        <f t="shared" si="460"/>
        <v>2.2678571428571428</v>
      </c>
      <c r="AS1074" s="139">
        <f t="shared" si="461"/>
        <v>168.35591131037458</v>
      </c>
      <c r="AT1074" s="139">
        <f t="shared" si="462"/>
        <v>13.409930591544182</v>
      </c>
      <c r="AU1074" s="139">
        <f t="shared" si="463"/>
        <v>181.76584190191875</v>
      </c>
      <c r="AW1074" s="139">
        <f t="shared" si="464"/>
        <v>384.67113095238096</v>
      </c>
      <c r="AX1074" s="139">
        <f t="shared" si="465"/>
        <v>-202.90528905046222</v>
      </c>
    </row>
    <row r="1075" spans="1:50" ht="15.75" customHeight="1" x14ac:dyDescent="0.3">
      <c r="A1075" s="641"/>
      <c r="AC1075">
        <v>16</v>
      </c>
      <c r="AD1075" s="139">
        <f t="shared" si="476"/>
        <v>0</v>
      </c>
      <c r="AE1075" s="139">
        <f t="shared" si="447"/>
        <v>27.455357142857142</v>
      </c>
      <c r="AF1075" s="139">
        <f t="shared" si="448"/>
        <v>28.77827380952381</v>
      </c>
      <c r="AG1075" s="139">
        <f t="shared" si="449"/>
        <v>49.081845238095241</v>
      </c>
      <c r="AH1075" s="139">
        <f t="shared" si="450"/>
        <v>32.05085178656504</v>
      </c>
      <c r="AI1075" s="139">
        <f t="shared" si="451"/>
        <v>4.4836309523809526</v>
      </c>
      <c r="AJ1075" s="139">
        <f t="shared" si="452"/>
        <v>3.5193452380952377</v>
      </c>
      <c r="AK1075" s="139">
        <f t="shared" si="453"/>
        <v>5.4925595238095246</v>
      </c>
      <c r="AL1075" s="139">
        <f t="shared" si="454"/>
        <v>5.6949404761904754</v>
      </c>
      <c r="AM1075" s="139">
        <f t="shared" si="455"/>
        <v>1.4836309523809523</v>
      </c>
      <c r="AN1075" s="139">
        <f t="shared" si="456"/>
        <v>1.7470238095238095</v>
      </c>
      <c r="AO1075" s="139">
        <f t="shared" si="457"/>
        <v>3.4166666666666665</v>
      </c>
      <c r="AP1075" s="139">
        <f t="shared" si="458"/>
        <v>0.95833333333333337</v>
      </c>
      <c r="AQ1075" s="139">
        <f t="shared" si="459"/>
        <v>1.9255952380952381</v>
      </c>
      <c r="AR1075" s="139">
        <f t="shared" si="460"/>
        <v>2.2678571428571428</v>
      </c>
      <c r="AS1075" s="139">
        <f t="shared" si="461"/>
        <v>168.35591131037458</v>
      </c>
      <c r="AT1075" s="139">
        <f t="shared" si="462"/>
        <v>13.409930591544182</v>
      </c>
      <c r="AU1075" s="139">
        <f t="shared" si="463"/>
        <v>181.76584190191875</v>
      </c>
      <c r="AW1075" s="139">
        <f t="shared" si="464"/>
        <v>384.67113095238096</v>
      </c>
      <c r="AX1075" s="139">
        <f t="shared" si="465"/>
        <v>-202.90528905046222</v>
      </c>
    </row>
    <row r="1076" spans="1:50" ht="15.75" customHeight="1" thickBot="1" x14ac:dyDescent="0.35">
      <c r="A1076" s="641"/>
      <c r="AC1076">
        <v>17</v>
      </c>
      <c r="AD1076" s="139">
        <f t="shared" si="476"/>
        <v>0</v>
      </c>
      <c r="AE1076" s="139">
        <f t="shared" si="447"/>
        <v>27.455357142857142</v>
      </c>
      <c r="AF1076" s="139">
        <f t="shared" si="448"/>
        <v>28.77827380952381</v>
      </c>
      <c r="AG1076" s="139">
        <f t="shared" si="449"/>
        <v>49.081845238095241</v>
      </c>
      <c r="AH1076" s="139">
        <f t="shared" si="450"/>
        <v>32.05085178656504</v>
      </c>
      <c r="AI1076" s="139">
        <f t="shared" si="451"/>
        <v>4.4836309523809526</v>
      </c>
      <c r="AJ1076" s="139">
        <f t="shared" si="452"/>
        <v>3.5193452380952377</v>
      </c>
      <c r="AK1076" s="139">
        <f t="shared" si="453"/>
        <v>5.4925595238095246</v>
      </c>
      <c r="AL1076" s="139">
        <f t="shared" si="454"/>
        <v>5.6949404761904754</v>
      </c>
      <c r="AM1076" s="139">
        <f t="shared" si="455"/>
        <v>1.4836309523809523</v>
      </c>
      <c r="AN1076" s="139">
        <f t="shared" si="456"/>
        <v>1.7470238095238095</v>
      </c>
      <c r="AO1076" s="139">
        <f t="shared" si="457"/>
        <v>3.4166666666666665</v>
      </c>
      <c r="AP1076" s="139">
        <f t="shared" si="458"/>
        <v>0.95833333333333337</v>
      </c>
      <c r="AQ1076" s="139">
        <f t="shared" si="459"/>
        <v>1.9255952380952381</v>
      </c>
      <c r="AR1076" s="139">
        <f t="shared" si="460"/>
        <v>2.2678571428571428</v>
      </c>
      <c r="AS1076" s="139">
        <f t="shared" si="461"/>
        <v>168.35591131037458</v>
      </c>
      <c r="AT1076" s="139">
        <f t="shared" si="462"/>
        <v>13.409930591544182</v>
      </c>
      <c r="AU1076" s="139">
        <f t="shared" si="463"/>
        <v>181.76584190191875</v>
      </c>
      <c r="AW1076" s="139">
        <f t="shared" si="464"/>
        <v>384.67113095238096</v>
      </c>
      <c r="AX1076" s="139">
        <f t="shared" si="465"/>
        <v>-202.90528905046222</v>
      </c>
    </row>
    <row r="1077" spans="1:50" ht="15.75" customHeight="1" x14ac:dyDescent="0.3">
      <c r="A1077" s="667"/>
      <c r="B1077" s="782" t="s">
        <v>2887</v>
      </c>
      <c r="C1077" s="782"/>
      <c r="D1077" s="782"/>
      <c r="E1077" s="782"/>
      <c r="F1077" s="782"/>
      <c r="G1077" s="782"/>
      <c r="H1077" s="782"/>
      <c r="I1077" s="782"/>
      <c r="J1077" s="782"/>
      <c r="K1077" s="782"/>
      <c r="L1077" s="782"/>
      <c r="M1077" s="782"/>
      <c r="N1077" s="782"/>
      <c r="O1077" s="782"/>
      <c r="P1077" s="782"/>
      <c r="Q1077" s="678" t="str">
        <f>+Q1</f>
        <v xml:space="preserve">PRINTED:  </v>
      </c>
      <c r="R1077" s="679">
        <f ca="1">+R1</f>
        <v>44881.729633912037</v>
      </c>
      <c r="AC1077">
        <v>18</v>
      </c>
      <c r="AD1077" s="139">
        <f t="shared" si="476"/>
        <v>0</v>
      </c>
      <c r="AE1077" s="139">
        <f t="shared" si="447"/>
        <v>27.455357142857142</v>
      </c>
      <c r="AF1077" s="139">
        <f t="shared" si="448"/>
        <v>28.77827380952381</v>
      </c>
      <c r="AG1077" s="139">
        <f t="shared" si="449"/>
        <v>49.081845238095241</v>
      </c>
      <c r="AH1077" s="139">
        <f t="shared" si="450"/>
        <v>32.05085178656504</v>
      </c>
      <c r="AI1077" s="139">
        <f t="shared" si="451"/>
        <v>4.4836309523809526</v>
      </c>
      <c r="AJ1077" s="139">
        <f t="shared" si="452"/>
        <v>3.5193452380952377</v>
      </c>
      <c r="AK1077" s="139">
        <f t="shared" si="453"/>
        <v>5.4925595238095246</v>
      </c>
      <c r="AL1077" s="139">
        <f t="shared" si="454"/>
        <v>5.6949404761904754</v>
      </c>
      <c r="AM1077" s="139">
        <f t="shared" si="455"/>
        <v>1.4836309523809523</v>
      </c>
      <c r="AN1077" s="139">
        <f t="shared" si="456"/>
        <v>1.7470238095238095</v>
      </c>
      <c r="AO1077" s="139">
        <f t="shared" si="457"/>
        <v>3.4166666666666665</v>
      </c>
      <c r="AP1077" s="139">
        <f t="shared" si="458"/>
        <v>0.95833333333333337</v>
      </c>
      <c r="AQ1077" s="139">
        <f t="shared" si="459"/>
        <v>1.9255952380952381</v>
      </c>
      <c r="AR1077" s="139">
        <f t="shared" si="460"/>
        <v>2.2678571428571428</v>
      </c>
      <c r="AS1077" s="139">
        <f t="shared" si="461"/>
        <v>168.35591131037458</v>
      </c>
      <c r="AT1077" s="139">
        <f t="shared" si="462"/>
        <v>13.409930591544182</v>
      </c>
      <c r="AU1077" s="139">
        <f t="shared" si="463"/>
        <v>181.76584190191875</v>
      </c>
      <c r="AW1077" s="139">
        <f t="shared" si="464"/>
        <v>384.67113095238096</v>
      </c>
      <c r="AX1077" s="139">
        <f t="shared" si="465"/>
        <v>-202.90528905046222</v>
      </c>
    </row>
    <row r="1078" spans="1:50" ht="16.5" customHeight="1" x14ac:dyDescent="0.3">
      <c r="A1078" s="647"/>
      <c r="B1078" s="786" t="str">
        <f>+A8</f>
        <v>Revised:  11/4/2019</v>
      </c>
      <c r="C1078" s="786"/>
      <c r="D1078" s="786"/>
      <c r="E1078" s="786"/>
      <c r="F1078" s="786"/>
      <c r="G1078" s="786"/>
      <c r="H1078" s="786"/>
      <c r="I1078" s="786"/>
      <c r="J1078" s="786"/>
      <c r="K1078" s="786"/>
      <c r="L1078" s="786"/>
      <c r="M1078" s="786"/>
      <c r="N1078" s="786"/>
      <c r="O1078" s="786"/>
      <c r="P1078" s="786"/>
      <c r="R1078" s="561"/>
      <c r="AC1078">
        <v>19</v>
      </c>
      <c r="AD1078" s="139">
        <f t="shared" si="476"/>
        <v>0</v>
      </c>
      <c r="AE1078" s="139">
        <f t="shared" si="447"/>
        <v>27.455357142857142</v>
      </c>
      <c r="AF1078" s="139">
        <f t="shared" si="448"/>
        <v>28.77827380952381</v>
      </c>
      <c r="AG1078" s="139">
        <f t="shared" si="449"/>
        <v>49.081845238095241</v>
      </c>
      <c r="AH1078" s="139">
        <f t="shared" si="450"/>
        <v>32.05085178656504</v>
      </c>
      <c r="AI1078" s="139">
        <f t="shared" si="451"/>
        <v>4.4836309523809526</v>
      </c>
      <c r="AJ1078" s="139">
        <f t="shared" si="452"/>
        <v>3.5193452380952377</v>
      </c>
      <c r="AK1078" s="139">
        <f t="shared" si="453"/>
        <v>5.4925595238095246</v>
      </c>
      <c r="AL1078" s="139">
        <f t="shared" si="454"/>
        <v>5.6949404761904754</v>
      </c>
      <c r="AM1078" s="139">
        <f t="shared" si="455"/>
        <v>1.4836309523809523</v>
      </c>
      <c r="AN1078" s="139">
        <f t="shared" si="456"/>
        <v>1.7470238095238095</v>
      </c>
      <c r="AO1078" s="139">
        <f t="shared" si="457"/>
        <v>3.4166666666666665</v>
      </c>
      <c r="AP1078" s="139">
        <f t="shared" si="458"/>
        <v>0.95833333333333337</v>
      </c>
      <c r="AQ1078" s="139">
        <f t="shared" si="459"/>
        <v>1.9255952380952381</v>
      </c>
      <c r="AR1078" s="139">
        <f t="shared" si="460"/>
        <v>2.2678571428571428</v>
      </c>
      <c r="AS1078" s="139">
        <f t="shared" si="461"/>
        <v>168.35591131037458</v>
      </c>
      <c r="AT1078" s="139">
        <f t="shared" si="462"/>
        <v>13.409930591544182</v>
      </c>
      <c r="AU1078" s="139">
        <f t="shared" si="463"/>
        <v>181.76584190191875</v>
      </c>
      <c r="AW1078" s="139">
        <f t="shared" si="464"/>
        <v>384.67113095238096</v>
      </c>
      <c r="AX1078" s="139">
        <f t="shared" si="465"/>
        <v>-202.90528905046222</v>
      </c>
    </row>
    <row r="1079" spans="1:50" ht="16.5" customHeight="1" x14ac:dyDescent="0.3">
      <c r="A1079" s="647"/>
      <c r="B1079" s="786" t="s">
        <v>2878</v>
      </c>
      <c r="C1079" s="786"/>
      <c r="D1079" s="786"/>
      <c r="E1079" s="786"/>
      <c r="F1079" s="786"/>
      <c r="G1079" s="786"/>
      <c r="H1079" s="786"/>
      <c r="I1079" s="786"/>
      <c r="J1079" s="786"/>
      <c r="K1079" s="786"/>
      <c r="L1079" s="786"/>
      <c r="M1079" s="786"/>
      <c r="N1079" s="786"/>
      <c r="O1079" s="786"/>
      <c r="P1079" s="786"/>
      <c r="R1079" s="561"/>
      <c r="AC1079">
        <v>20</v>
      </c>
      <c r="AD1079" s="139">
        <f t="shared" si="476"/>
        <v>0</v>
      </c>
      <c r="AE1079" s="139">
        <f t="shared" si="447"/>
        <v>27.455357142857142</v>
      </c>
      <c r="AF1079" s="139">
        <f t="shared" si="448"/>
        <v>28.77827380952381</v>
      </c>
      <c r="AG1079" s="139">
        <f t="shared" si="449"/>
        <v>49.081845238095241</v>
      </c>
      <c r="AH1079" s="139">
        <f t="shared" si="450"/>
        <v>32.05085178656504</v>
      </c>
      <c r="AI1079" s="139">
        <f t="shared" si="451"/>
        <v>4.4836309523809526</v>
      </c>
      <c r="AJ1079" s="139">
        <f t="shared" si="452"/>
        <v>3.5193452380952377</v>
      </c>
      <c r="AK1079" s="139">
        <f t="shared" si="453"/>
        <v>5.4925595238095246</v>
      </c>
      <c r="AL1079" s="139">
        <f t="shared" si="454"/>
        <v>5.6949404761904754</v>
      </c>
      <c r="AM1079" s="139">
        <f t="shared" si="455"/>
        <v>1.4836309523809523</v>
      </c>
      <c r="AN1079" s="139">
        <f t="shared" si="456"/>
        <v>1.7470238095238095</v>
      </c>
      <c r="AO1079" s="139">
        <f t="shared" si="457"/>
        <v>3.4166666666666665</v>
      </c>
      <c r="AP1079" s="139">
        <f t="shared" si="458"/>
        <v>0.95833333333333337</v>
      </c>
      <c r="AQ1079" s="139">
        <f t="shared" si="459"/>
        <v>1.9255952380952381</v>
      </c>
      <c r="AR1079" s="139">
        <f t="shared" si="460"/>
        <v>2.2678571428571428</v>
      </c>
      <c r="AS1079" s="139">
        <f t="shared" si="461"/>
        <v>168.35591131037458</v>
      </c>
      <c r="AT1079" s="139">
        <f t="shared" si="462"/>
        <v>13.409930591544182</v>
      </c>
      <c r="AU1079" s="139">
        <f t="shared" si="463"/>
        <v>181.76584190191875</v>
      </c>
      <c r="AW1079" s="139">
        <f t="shared" si="464"/>
        <v>384.67113095238096</v>
      </c>
      <c r="AX1079" s="139">
        <f t="shared" si="465"/>
        <v>-202.90528905046222</v>
      </c>
    </row>
    <row r="1080" spans="1:50" ht="16.5" customHeight="1" x14ac:dyDescent="0.3">
      <c r="A1080" s="647"/>
      <c r="B1080" s="67"/>
      <c r="C1080" s="67"/>
      <c r="D1080" s="67"/>
      <c r="E1080" s="67"/>
      <c r="F1080" s="67"/>
      <c r="G1080" s="67"/>
      <c r="H1080" s="67"/>
      <c r="I1080" s="67"/>
      <c r="J1080" s="67"/>
      <c r="K1080" s="67"/>
      <c r="L1080" s="67"/>
      <c r="M1080" s="67"/>
      <c r="N1080" s="67"/>
      <c r="O1080" s="67"/>
      <c r="P1080" s="67"/>
      <c r="R1080" s="561"/>
      <c r="AC1080">
        <v>21</v>
      </c>
      <c r="AD1080" s="139">
        <f>IF($AF$1057=1,VLOOKUP($AD$1057,$A$1087:$P$1098,12,FALSE),VLOOKUP($AD$1057,$A$1060:$S$1071,3,FALSE))</f>
        <v>0</v>
      </c>
      <c r="AE1080" s="139">
        <f t="shared" si="447"/>
        <v>27.455357142857142</v>
      </c>
      <c r="AF1080" s="139">
        <f t="shared" si="448"/>
        <v>28.77827380952381</v>
      </c>
      <c r="AG1080" s="139">
        <f t="shared" si="449"/>
        <v>49.081845238095241</v>
      </c>
      <c r="AH1080" s="139">
        <f t="shared" si="450"/>
        <v>32.05085178656504</v>
      </c>
      <c r="AI1080" s="139">
        <f t="shared" si="451"/>
        <v>4.4836309523809526</v>
      </c>
      <c r="AJ1080" s="139">
        <f t="shared" si="452"/>
        <v>3.5193452380952377</v>
      </c>
      <c r="AK1080" s="139">
        <f t="shared" si="453"/>
        <v>5.4925595238095246</v>
      </c>
      <c r="AL1080" s="139">
        <f t="shared" si="454"/>
        <v>5.6949404761904754</v>
      </c>
      <c r="AM1080" s="139">
        <f t="shared" si="455"/>
        <v>1.4836309523809523</v>
      </c>
      <c r="AN1080" s="139">
        <f t="shared" si="456"/>
        <v>1.7470238095238095</v>
      </c>
      <c r="AO1080" s="139">
        <f t="shared" si="457"/>
        <v>3.4166666666666665</v>
      </c>
      <c r="AP1080" s="139">
        <f t="shared" si="458"/>
        <v>0.95833333333333337</v>
      </c>
      <c r="AQ1080" s="139">
        <f t="shared" si="459"/>
        <v>1.9255952380952381</v>
      </c>
      <c r="AR1080" s="139">
        <f t="shared" si="460"/>
        <v>2.2678571428571428</v>
      </c>
      <c r="AS1080" s="139">
        <f t="shared" si="461"/>
        <v>168.35591131037458</v>
      </c>
      <c r="AT1080" s="139">
        <f t="shared" si="462"/>
        <v>13.409930591544182</v>
      </c>
      <c r="AU1080" s="139">
        <f t="shared" si="463"/>
        <v>181.76584190191875</v>
      </c>
      <c r="AW1080" s="139">
        <f t="shared" si="464"/>
        <v>384.67113095238096</v>
      </c>
      <c r="AX1080" s="139">
        <f t="shared" si="465"/>
        <v>-202.90528905046222</v>
      </c>
    </row>
    <row r="1081" spans="1:50" ht="16.5" customHeight="1" x14ac:dyDescent="0.3">
      <c r="A1081" s="647"/>
      <c r="B1081" s="810">
        <f>+A5</f>
        <v>2019</v>
      </c>
      <c r="C1081" s="787"/>
      <c r="D1081" s="787"/>
      <c r="E1081" s="787"/>
      <c r="F1081" s="787"/>
      <c r="G1081" s="787"/>
      <c r="H1081" s="787"/>
      <c r="I1081" s="787"/>
      <c r="J1081" s="787"/>
      <c r="K1081" s="787"/>
      <c r="L1081" s="787"/>
      <c r="M1081" s="787"/>
      <c r="N1081" s="787"/>
      <c r="O1081" s="787"/>
      <c r="P1081" s="787"/>
      <c r="R1081" s="561"/>
      <c r="AC1081">
        <v>22</v>
      </c>
      <c r="AD1081" s="139">
        <f>IF($AF$1057=1,VLOOKUP($AD$1057,$A$1087:$P$1098,12,FALSE),VLOOKUP($AD$1057,$A$1060:$S$1071,3,FALSE))</f>
        <v>0</v>
      </c>
      <c r="AE1081" s="139">
        <f t="shared" si="447"/>
        <v>27.455357142857142</v>
      </c>
      <c r="AF1081" s="139">
        <f t="shared" si="448"/>
        <v>28.77827380952381</v>
      </c>
      <c r="AG1081" s="139">
        <f t="shared" si="449"/>
        <v>49.081845238095241</v>
      </c>
      <c r="AH1081" s="139">
        <f t="shared" si="450"/>
        <v>32.05085178656504</v>
      </c>
      <c r="AI1081" s="139">
        <f t="shared" si="451"/>
        <v>4.4836309523809526</v>
      </c>
      <c r="AJ1081" s="139">
        <f t="shared" si="452"/>
        <v>3.5193452380952377</v>
      </c>
      <c r="AK1081" s="139">
        <f t="shared" si="453"/>
        <v>5.4925595238095246</v>
      </c>
      <c r="AL1081" s="139">
        <f t="shared" si="454"/>
        <v>5.6949404761904754</v>
      </c>
      <c r="AM1081" s="139">
        <f t="shared" si="455"/>
        <v>1.4836309523809523</v>
      </c>
      <c r="AN1081" s="139">
        <f t="shared" si="456"/>
        <v>1.7470238095238095</v>
      </c>
      <c r="AO1081" s="139">
        <f t="shared" si="457"/>
        <v>3.4166666666666665</v>
      </c>
      <c r="AP1081" s="139">
        <f t="shared" si="458"/>
        <v>0.95833333333333337</v>
      </c>
      <c r="AQ1081" s="139">
        <f t="shared" si="459"/>
        <v>1.9255952380952381</v>
      </c>
      <c r="AR1081" s="139">
        <f t="shared" si="460"/>
        <v>2.2678571428571428</v>
      </c>
      <c r="AS1081" s="139">
        <f t="shared" si="461"/>
        <v>168.35591131037458</v>
      </c>
      <c r="AT1081" s="139">
        <f t="shared" si="462"/>
        <v>13.409930591544182</v>
      </c>
      <c r="AU1081" s="139">
        <f t="shared" si="463"/>
        <v>181.76584190191875</v>
      </c>
      <c r="AW1081" s="139">
        <f t="shared" si="464"/>
        <v>384.67113095238096</v>
      </c>
      <c r="AX1081" s="139">
        <f t="shared" si="465"/>
        <v>-202.90528905046222</v>
      </c>
    </row>
    <row r="1082" spans="1:50" ht="15.75" customHeight="1" x14ac:dyDescent="0.3">
      <c r="A1082" s="647"/>
      <c r="B1082" s="786" t="s">
        <v>1199</v>
      </c>
      <c r="C1082" s="786"/>
      <c r="D1082" s="786"/>
      <c r="E1082" s="786"/>
      <c r="F1082" s="786"/>
      <c r="G1082" s="786"/>
      <c r="H1082" s="786"/>
      <c r="I1082" s="786"/>
      <c r="J1082" s="786"/>
      <c r="K1082" s="786"/>
      <c r="L1082" s="786"/>
      <c r="M1082" s="786"/>
      <c r="N1082" s="786"/>
      <c r="O1082" s="786"/>
      <c r="P1082" s="786"/>
      <c r="R1082" s="561"/>
      <c r="AC1082">
        <v>23</v>
      </c>
      <c r="AD1082" s="139">
        <f>IF($AF$1057=1,VLOOKUP($AD$1057,$A$1087:$P$1098,12,FALSE),IF(OR($AD$1057="JAN",$AD$1057="FEB",$AD$1057="NOV",$AD$1057="DEC"),VLOOKUP($AD$1057,$A$1060:$S$1071,3,FALSE),VLOOKUP($AD$1057,$A$1060:$S$1071,2,FALSE)))</f>
        <v>0</v>
      </c>
      <c r="AE1082" s="139">
        <f t="shared" si="447"/>
        <v>27.455357142857142</v>
      </c>
      <c r="AF1082" s="139">
        <f t="shared" si="448"/>
        <v>28.77827380952381</v>
      </c>
      <c r="AG1082" s="139">
        <f t="shared" si="449"/>
        <v>49.081845238095241</v>
      </c>
      <c r="AH1082" s="139">
        <f t="shared" si="450"/>
        <v>32.05085178656504</v>
      </c>
      <c r="AI1082" s="139">
        <f t="shared" si="451"/>
        <v>4.4836309523809526</v>
      </c>
      <c r="AJ1082" s="139">
        <f t="shared" si="452"/>
        <v>3.5193452380952377</v>
      </c>
      <c r="AK1082" s="139">
        <f t="shared" si="453"/>
        <v>5.4925595238095246</v>
      </c>
      <c r="AL1082" s="139">
        <f t="shared" si="454"/>
        <v>5.6949404761904754</v>
      </c>
      <c r="AM1082" s="139">
        <f t="shared" si="455"/>
        <v>1.4836309523809523</v>
      </c>
      <c r="AN1082" s="139">
        <f t="shared" si="456"/>
        <v>1.7470238095238095</v>
      </c>
      <c r="AO1082" s="139">
        <f t="shared" si="457"/>
        <v>3.4166666666666665</v>
      </c>
      <c r="AP1082" s="139">
        <f t="shared" si="458"/>
        <v>0.95833333333333337</v>
      </c>
      <c r="AQ1082" s="139">
        <f t="shared" si="459"/>
        <v>1.9255952380952381</v>
      </c>
      <c r="AR1082" s="139">
        <f t="shared" si="460"/>
        <v>2.2678571428571428</v>
      </c>
      <c r="AS1082" s="139">
        <f t="shared" si="461"/>
        <v>168.35591131037458</v>
      </c>
      <c r="AT1082" s="139">
        <f t="shared" si="462"/>
        <v>13.409930591544182</v>
      </c>
      <c r="AU1082" s="139">
        <f t="shared" si="463"/>
        <v>181.76584190191875</v>
      </c>
      <c r="AW1082" s="139">
        <f t="shared" si="464"/>
        <v>384.67113095238096</v>
      </c>
      <c r="AX1082" s="139">
        <f t="shared" si="465"/>
        <v>-202.90528905046222</v>
      </c>
    </row>
    <row r="1083" spans="1:50" ht="15.75" customHeight="1" thickBot="1" x14ac:dyDescent="0.35">
      <c r="A1083" s="647"/>
      <c r="R1083" s="561"/>
      <c r="AC1083">
        <v>24</v>
      </c>
      <c r="AD1083" s="139">
        <f>IF($AF$1057=1,VLOOKUP($AD$1057,$A$1087:$P$1098,12,FALSE),VLOOKUP($AD$1057,$A$1060:$S$1071,2,FALSE))</f>
        <v>98</v>
      </c>
      <c r="AE1083" s="139">
        <f t="shared" si="447"/>
        <v>27.455357142857142</v>
      </c>
      <c r="AF1083" s="139">
        <f t="shared" si="448"/>
        <v>28.77827380952381</v>
      </c>
      <c r="AG1083" s="139">
        <f t="shared" si="449"/>
        <v>49.081845238095241</v>
      </c>
      <c r="AH1083" s="139">
        <f t="shared" si="450"/>
        <v>32.05085178656504</v>
      </c>
      <c r="AI1083" s="139">
        <f t="shared" si="451"/>
        <v>4.4836309523809526</v>
      </c>
      <c r="AJ1083" s="139">
        <f t="shared" si="452"/>
        <v>3.5193452380952377</v>
      </c>
      <c r="AK1083" s="139">
        <f t="shared" si="453"/>
        <v>5.4925595238095246</v>
      </c>
      <c r="AL1083" s="139">
        <f t="shared" si="454"/>
        <v>5.6949404761904754</v>
      </c>
      <c r="AM1083" s="139">
        <f t="shared" si="455"/>
        <v>1.4836309523809523</v>
      </c>
      <c r="AN1083" s="139">
        <f t="shared" si="456"/>
        <v>1.7470238095238095</v>
      </c>
      <c r="AO1083" s="139">
        <f t="shared" si="457"/>
        <v>3.4166666666666665</v>
      </c>
      <c r="AP1083" s="139">
        <f t="shared" si="458"/>
        <v>0.95833333333333337</v>
      </c>
      <c r="AQ1083" s="139">
        <f t="shared" si="459"/>
        <v>1.9255952380952381</v>
      </c>
      <c r="AR1083" s="139">
        <f t="shared" si="460"/>
        <v>2.2678571428571428</v>
      </c>
      <c r="AS1083" s="139">
        <f t="shared" si="461"/>
        <v>266.35591131037461</v>
      </c>
      <c r="AT1083" s="139">
        <f t="shared" si="462"/>
        <v>21.2158531026259</v>
      </c>
      <c r="AU1083" s="139">
        <f t="shared" si="463"/>
        <v>287.57176441300049</v>
      </c>
      <c r="AW1083" s="139">
        <f t="shared" si="464"/>
        <v>384.67113095238096</v>
      </c>
      <c r="AX1083" s="139">
        <f t="shared" si="465"/>
        <v>-97.099366539380469</v>
      </c>
    </row>
    <row r="1084" spans="1:50" ht="15.75" customHeight="1" x14ac:dyDescent="0.3">
      <c r="A1084" s="647"/>
      <c r="B1084" s="814" t="s">
        <v>2883</v>
      </c>
      <c r="C1084" s="815"/>
      <c r="D1084" s="815"/>
      <c r="E1084" s="815"/>
      <c r="F1084" s="815"/>
      <c r="G1084" s="815"/>
      <c r="H1084" s="815"/>
      <c r="I1084" s="815"/>
      <c r="J1084" s="815"/>
      <c r="K1084" s="815"/>
      <c r="L1084" s="816"/>
      <c r="M1084" s="817" t="s">
        <v>2884</v>
      </c>
      <c r="N1084" s="815"/>
      <c r="O1084" s="815"/>
      <c r="P1084" s="815"/>
      <c r="Q1084" s="139" t="s">
        <v>2899</v>
      </c>
      <c r="R1084" s="643" t="s">
        <v>2898</v>
      </c>
      <c r="S1084" s="139" t="s">
        <v>3193</v>
      </c>
      <c r="T1084" s="139" t="s">
        <v>2913</v>
      </c>
      <c r="AC1084" t="s">
        <v>2356</v>
      </c>
      <c r="AD1084" s="139">
        <f>SUM(AD1060:AD1083)</f>
        <v>784</v>
      </c>
      <c r="AE1084" s="139">
        <f>SUM(AE1060:AE1083)</f>
        <v>658.92857142857144</v>
      </c>
      <c r="AF1084" s="139">
        <f t="shared" ref="AF1084:AW1084" si="477">SUM(AF1060:AF1083)</f>
        <v>690.67857142857156</v>
      </c>
      <c r="AG1084" s="139">
        <f t="shared" si="477"/>
        <v>1177.9642857142851</v>
      </c>
      <c r="AH1084" s="139">
        <f t="shared" si="477"/>
        <v>769.22044287756137</v>
      </c>
      <c r="AI1084" s="139">
        <f t="shared" si="477"/>
        <v>107.6071428571428</v>
      </c>
      <c r="AJ1084" s="139">
        <f t="shared" si="477"/>
        <v>84.464285714285751</v>
      </c>
      <c r="AK1084" s="139">
        <f t="shared" si="477"/>
        <v>131.82142857142853</v>
      </c>
      <c r="AL1084" s="139">
        <f t="shared" si="477"/>
        <v>136.67857142857147</v>
      </c>
      <c r="AM1084" s="139">
        <f t="shared" si="477"/>
        <v>35.607142857142847</v>
      </c>
      <c r="AN1084" s="139">
        <f t="shared" si="477"/>
        <v>41.928571428571438</v>
      </c>
      <c r="AO1084" s="139">
        <f t="shared" si="477"/>
        <v>82.000000000000014</v>
      </c>
      <c r="AP1084" s="139">
        <f t="shared" si="477"/>
        <v>22.999999999999996</v>
      </c>
      <c r="AQ1084" s="139">
        <f t="shared" si="477"/>
        <v>46.214285714285722</v>
      </c>
      <c r="AR1084" s="139">
        <f t="shared" si="477"/>
        <v>54.428571428571452</v>
      </c>
      <c r="AS1084" s="139">
        <f t="shared" si="477"/>
        <v>4824.5418714489924</v>
      </c>
      <c r="AT1084" s="139">
        <f t="shared" si="477"/>
        <v>384.28571428571433</v>
      </c>
      <c r="AU1084" s="139">
        <f t="shared" si="477"/>
        <v>5208.8275857347071</v>
      </c>
      <c r="AW1084" s="139">
        <f t="shared" si="477"/>
        <v>9232.1071428571413</v>
      </c>
      <c r="AX1084" s="139">
        <f>SUMIF(AX1060:AX1083,"&gt;0")</f>
        <v>0</v>
      </c>
    </row>
    <row r="1085" spans="1:50" ht="15.75" customHeight="1" thickBot="1" x14ac:dyDescent="0.35">
      <c r="A1085" s="647" t="s">
        <v>249</v>
      </c>
      <c r="B1085" s="658" t="s">
        <v>2890</v>
      </c>
      <c r="C1085" s="659" t="s">
        <v>2886</v>
      </c>
      <c r="D1085" s="659" t="s">
        <v>2885</v>
      </c>
      <c r="E1085" s="659" t="s">
        <v>2914</v>
      </c>
      <c r="F1085" s="659" t="s">
        <v>2886</v>
      </c>
      <c r="G1085" s="659" t="s">
        <v>2885</v>
      </c>
      <c r="H1085" s="659" t="s">
        <v>2915</v>
      </c>
      <c r="I1085" s="659" t="s">
        <v>2886</v>
      </c>
      <c r="J1085" s="659" t="s">
        <v>2885</v>
      </c>
      <c r="K1085" s="659" t="s">
        <v>2915</v>
      </c>
      <c r="L1085" s="660" t="s">
        <v>2897</v>
      </c>
      <c r="M1085" s="658" t="s">
        <v>2893</v>
      </c>
      <c r="N1085" s="659" t="s">
        <v>2886</v>
      </c>
      <c r="O1085" s="659" t="s">
        <v>2886</v>
      </c>
      <c r="P1085" s="660" t="s">
        <v>2897</v>
      </c>
      <c r="Q1085" s="668" t="s">
        <v>2356</v>
      </c>
      <c r="R1085" s="672" t="s">
        <v>2900</v>
      </c>
      <c r="S1085" s="659" t="s">
        <v>3175</v>
      </c>
      <c r="T1085" s="659" t="s">
        <v>3175</v>
      </c>
      <c r="AU1085" s="139"/>
      <c r="AW1085" s="139"/>
      <c r="AX1085" s="139"/>
    </row>
    <row r="1086" spans="1:50" ht="15.75" customHeight="1" thickTop="1" thickBot="1" x14ac:dyDescent="0.35">
      <c r="A1086" s="647"/>
      <c r="B1086" s="661"/>
      <c r="C1086" s="664" t="s">
        <v>2895</v>
      </c>
      <c r="D1086" s="664" t="s">
        <v>2895</v>
      </c>
      <c r="E1086" s="664" t="s">
        <v>2895</v>
      </c>
      <c r="F1086" s="662" t="s">
        <v>2696</v>
      </c>
      <c r="G1086" s="662" t="s">
        <v>2696</v>
      </c>
      <c r="H1086" s="662" t="s">
        <v>2696</v>
      </c>
      <c r="I1086" s="662" t="s">
        <v>2896</v>
      </c>
      <c r="J1086" s="662" t="s">
        <v>2896</v>
      </c>
      <c r="K1086" s="662" t="s">
        <v>2896</v>
      </c>
      <c r="L1086" s="663" t="s">
        <v>2892</v>
      </c>
      <c r="M1086" s="665"/>
      <c r="N1086" s="664" t="s">
        <v>2895</v>
      </c>
      <c r="O1086" s="662" t="s">
        <v>2696</v>
      </c>
      <c r="P1086" s="663" t="s">
        <v>2896</v>
      </c>
      <c r="Q1086" s="668" t="s">
        <v>2896</v>
      </c>
      <c r="R1086" s="672" t="s">
        <v>2896</v>
      </c>
      <c r="S1086" s="662" t="s">
        <v>3192</v>
      </c>
      <c r="T1086" s="662" t="s">
        <v>3192</v>
      </c>
    </row>
    <row r="1087" spans="1:50" ht="15.75" customHeight="1" x14ac:dyDescent="0.3">
      <c r="A1087" s="647" t="s">
        <v>2843</v>
      </c>
      <c r="B1087" s="642">
        <f ca="1">+$B$10-M1087</f>
        <v>27</v>
      </c>
      <c r="C1087" s="656">
        <v>4</v>
      </c>
      <c r="D1087" s="656">
        <v>0</v>
      </c>
      <c r="E1087" s="656" t="s">
        <v>2916</v>
      </c>
      <c r="F1087" s="139">
        <f>+I1087/(24-S1087)</f>
        <v>196</v>
      </c>
      <c r="G1087" s="139">
        <f>+J1087/S1087</f>
        <v>0</v>
      </c>
      <c r="H1087" s="139" t="s">
        <v>2916</v>
      </c>
      <c r="I1087" s="139">
        <f>+C1087*49*(24-S1087)</f>
        <v>3724</v>
      </c>
      <c r="J1087" s="139">
        <f>+D1087*49*S1087</f>
        <v>0</v>
      </c>
      <c r="K1087" s="139" t="s">
        <v>2916</v>
      </c>
      <c r="L1087" s="643">
        <f>+J1087+I1087</f>
        <v>3724</v>
      </c>
      <c r="M1087" s="642">
        <f ca="1">SUMPRODUCT(--(WEEKDAY(ROW(INDIRECT(DATE($B$1081,MonthFromText(A1087),1)&amp;":"&amp;DATE($B$1081,MonthFromText(A1087),$B$10))),1)=1))</f>
        <v>4</v>
      </c>
      <c r="N1087" s="656">
        <v>4</v>
      </c>
      <c r="O1087">
        <f>+P1087/(24-T1087)</f>
        <v>196</v>
      </c>
      <c r="P1087" s="643">
        <f>+N1087*49*(24-T1087)</f>
        <v>3724</v>
      </c>
      <c r="Q1087" s="139">
        <f ca="1">+(L1087*B1087)+(M1087*P1087)</f>
        <v>115444</v>
      </c>
      <c r="R1087" s="643">
        <f ca="1">+Q1087-B980</f>
        <v>31859</v>
      </c>
      <c r="S1087" s="726">
        <v>5</v>
      </c>
      <c r="T1087" s="726">
        <v>5</v>
      </c>
      <c r="AD1087" s="704"/>
      <c r="AE1087" s="703"/>
      <c r="AF1087" s="725" t="s">
        <v>3186</v>
      </c>
      <c r="AG1087" s="720" t="s">
        <v>3183</v>
      </c>
      <c r="AH1087" s="720" t="s">
        <v>3184</v>
      </c>
      <c r="AI1087" s="720" t="s">
        <v>3185</v>
      </c>
      <c r="AJ1087" s="702"/>
    </row>
    <row r="1088" spans="1:50" ht="15.75" customHeight="1" x14ac:dyDescent="0.3">
      <c r="A1088" s="647" t="s">
        <v>2091</v>
      </c>
      <c r="B1088" s="642">
        <f ca="1">+$C$10-M1088</f>
        <v>24</v>
      </c>
      <c r="C1088" s="656">
        <v>2</v>
      </c>
      <c r="D1088" s="656">
        <v>0</v>
      </c>
      <c r="E1088" s="656" t="s">
        <v>2916</v>
      </c>
      <c r="F1088" s="139">
        <f t="shared" ref="F1088:F1098" si="478">+I1088/(24-S1088)</f>
        <v>98</v>
      </c>
      <c r="G1088" s="139">
        <f t="shared" ref="G1088:G1098" si="479">+J1088/S1088</f>
        <v>0</v>
      </c>
      <c r="H1088" s="139" t="s">
        <v>2916</v>
      </c>
      <c r="I1088" s="139">
        <f t="shared" ref="I1088:I1098" si="480">+C1088*49*(24-S1088)</f>
        <v>1862</v>
      </c>
      <c r="J1088" s="139">
        <f t="shared" ref="J1088:J1098" si="481">+D1088*49*S1088</f>
        <v>0</v>
      </c>
      <c r="K1088" s="139" t="s">
        <v>2916</v>
      </c>
      <c r="L1088" s="643">
        <f t="shared" ref="L1088:L1098" si="482">+J1088+I1088</f>
        <v>1862</v>
      </c>
      <c r="M1088" s="642">
        <f ca="1">SUMPRODUCT(--(WEEKDAY(ROW(INDIRECT(DATE($B$1081,MonthFromText(A1088),1)&amp;":"&amp;DATE($B$1081,MonthFromText(A1088),$C$10))),1)=1))</f>
        <v>4</v>
      </c>
      <c r="N1088" s="656">
        <f t="shared" ref="N1088:N1096" si="483">+C1088</f>
        <v>2</v>
      </c>
      <c r="O1088">
        <f t="shared" ref="O1088:O1098" si="484">+P1088/24</f>
        <v>98</v>
      </c>
      <c r="P1088" s="643">
        <f t="shared" ref="P1088:P1098" si="485">+N1088*49*24</f>
        <v>2352</v>
      </c>
      <c r="Q1088" s="139">
        <f ca="1">+(L1088*B1088)+(M1088*P1088)</f>
        <v>54096</v>
      </c>
      <c r="R1088" s="643">
        <f t="shared" ref="R1088:R1098" ca="1" si="486">+Q1088-B981</f>
        <v>-90775</v>
      </c>
      <c r="S1088" s="726">
        <v>5</v>
      </c>
      <c r="T1088" s="726">
        <v>5</v>
      </c>
      <c r="AD1088" s="721" t="s">
        <v>1354</v>
      </c>
      <c r="AE1088" s="723" t="s">
        <v>3176</v>
      </c>
      <c r="AF1088">
        <f>V1060</f>
        <v>250.75537634408602</v>
      </c>
      <c r="AG1088">
        <f>X1060</f>
        <v>17.543544618094426</v>
      </c>
      <c r="AH1088">
        <f>Y1060</f>
        <v>-3.5474988566588941</v>
      </c>
      <c r="AI1088">
        <f>Z1060</f>
        <v>29.467741935483868</v>
      </c>
      <c r="AJ1088" s="712"/>
    </row>
    <row r="1089" spans="1:36" ht="16.5" customHeight="1" x14ac:dyDescent="0.3">
      <c r="A1089" s="647" t="s">
        <v>2234</v>
      </c>
      <c r="B1089" s="642">
        <f ca="1">+$D$10-M1089</f>
        <v>26</v>
      </c>
      <c r="C1089" s="656">
        <v>6</v>
      </c>
      <c r="D1089" s="656">
        <v>0</v>
      </c>
      <c r="E1089" s="656" t="s">
        <v>2916</v>
      </c>
      <c r="F1089" s="139">
        <f t="shared" si="478"/>
        <v>294</v>
      </c>
      <c r="G1089" s="139">
        <f t="shared" si="479"/>
        <v>0</v>
      </c>
      <c r="H1089" s="139" t="s">
        <v>2916</v>
      </c>
      <c r="I1089" s="139">
        <f t="shared" si="480"/>
        <v>5586</v>
      </c>
      <c r="J1089" s="139">
        <f t="shared" si="481"/>
        <v>0</v>
      </c>
      <c r="K1089" s="139" t="s">
        <v>2916</v>
      </c>
      <c r="L1089" s="643">
        <f t="shared" si="482"/>
        <v>5586</v>
      </c>
      <c r="M1089" s="642">
        <f ca="1">SUMPRODUCT(--(WEEKDAY(ROW(INDIRECT(DATE($B$1081,MonthFromText(A1089),1)&amp;":"&amp;DATE($B$1081,MonthFromText(A1089),$D$10))),1)=1))</f>
        <v>5</v>
      </c>
      <c r="N1089" s="656">
        <v>3</v>
      </c>
      <c r="O1089">
        <f t="shared" si="484"/>
        <v>147</v>
      </c>
      <c r="P1089" s="643">
        <f t="shared" si="485"/>
        <v>3528</v>
      </c>
      <c r="Q1089" s="139">
        <f t="shared" ref="Q1089:Q1098" ca="1" si="487">+(L1089*B1089)+(M1089*P1089)</f>
        <v>162876</v>
      </c>
      <c r="R1089" s="643">
        <f t="shared" ca="1" si="486"/>
        <v>83692</v>
      </c>
      <c r="S1089" s="726">
        <v>5</v>
      </c>
      <c r="T1089" s="726">
        <v>5</v>
      </c>
      <c r="AD1089" s="721"/>
      <c r="AE1089" s="723" t="s">
        <v>3175</v>
      </c>
      <c r="AF1089">
        <f>W1060</f>
        <v>54.755376344086017</v>
      </c>
      <c r="AG1089">
        <f>X1060</f>
        <v>17.543544618094426</v>
      </c>
      <c r="AH1089">
        <f>Y1060</f>
        <v>-3.5474988566588941</v>
      </c>
      <c r="AI1089">
        <f>Z1060</f>
        <v>29.467741935483868</v>
      </c>
      <c r="AJ1089" s="712"/>
    </row>
    <row r="1090" spans="1:36" ht="16.5" customHeight="1" x14ac:dyDescent="0.3">
      <c r="A1090" s="647" t="s">
        <v>2235</v>
      </c>
      <c r="B1090" s="642">
        <f ca="1">+$F$10-M1090</f>
        <v>26</v>
      </c>
      <c r="C1090" s="656">
        <v>6</v>
      </c>
      <c r="D1090" s="656">
        <v>0</v>
      </c>
      <c r="E1090" s="656" t="s">
        <v>2916</v>
      </c>
      <c r="F1090" s="139">
        <f t="shared" si="478"/>
        <v>294</v>
      </c>
      <c r="G1090" s="139">
        <f t="shared" si="479"/>
        <v>0</v>
      </c>
      <c r="H1090" s="139" t="s">
        <v>2916</v>
      </c>
      <c r="I1090" s="139">
        <f t="shared" si="480"/>
        <v>5586</v>
      </c>
      <c r="J1090" s="139">
        <f t="shared" si="481"/>
        <v>0</v>
      </c>
      <c r="K1090" s="139" t="s">
        <v>2916</v>
      </c>
      <c r="L1090" s="643">
        <f t="shared" si="482"/>
        <v>5586</v>
      </c>
      <c r="M1090" s="642">
        <f ca="1">SUMPRODUCT(--(WEEKDAY(ROW(INDIRECT(DATE($B$1081,MonthFromText(A1090),1)&amp;":"&amp;DATE($B$1081,MonthFromText(A1090),$F$10))),1)=1))</f>
        <v>4</v>
      </c>
      <c r="N1090" s="656">
        <v>5</v>
      </c>
      <c r="O1090">
        <f t="shared" si="484"/>
        <v>245</v>
      </c>
      <c r="P1090" s="643">
        <f t="shared" si="485"/>
        <v>5880</v>
      </c>
      <c r="Q1090" s="139">
        <f t="shared" ca="1" si="487"/>
        <v>168756</v>
      </c>
      <c r="R1090" s="643">
        <f t="shared" ca="1" si="486"/>
        <v>27443</v>
      </c>
      <c r="S1090" s="726">
        <v>5</v>
      </c>
      <c r="T1090" s="726">
        <v>5</v>
      </c>
      <c r="AD1090" s="721" t="s">
        <v>3178</v>
      </c>
      <c r="AE1090" s="723" t="s">
        <v>852</v>
      </c>
      <c r="AJ1090" s="712"/>
    </row>
    <row r="1091" spans="1:36" ht="15.75" customHeight="1" x14ac:dyDescent="0.3">
      <c r="A1091" s="647" t="s">
        <v>2236</v>
      </c>
      <c r="B1091" s="642">
        <f ca="1">+$G$10-M1091</f>
        <v>27</v>
      </c>
      <c r="C1091" s="656">
        <v>6</v>
      </c>
      <c r="D1091" s="656">
        <v>0</v>
      </c>
      <c r="E1091" s="656" t="s">
        <v>2916</v>
      </c>
      <c r="F1091" s="139">
        <f t="shared" si="478"/>
        <v>294</v>
      </c>
      <c r="G1091" s="139">
        <f t="shared" si="479"/>
        <v>0</v>
      </c>
      <c r="H1091" s="139" t="s">
        <v>2916</v>
      </c>
      <c r="I1091" s="139">
        <f t="shared" si="480"/>
        <v>5586</v>
      </c>
      <c r="J1091" s="139">
        <f t="shared" si="481"/>
        <v>0</v>
      </c>
      <c r="K1091" s="139" t="s">
        <v>2916</v>
      </c>
      <c r="L1091" s="643">
        <f t="shared" si="482"/>
        <v>5586</v>
      </c>
      <c r="M1091" s="642">
        <f ca="1">SUMPRODUCT(--(WEEKDAY(ROW(INDIRECT(DATE($B$1081,MonthFromText(A1091),1)&amp;":"&amp;DATE($B$1081,MonthFromText(A1091),$G$10))),1)=1))</f>
        <v>4</v>
      </c>
      <c r="N1091" s="656">
        <f t="shared" si="483"/>
        <v>6</v>
      </c>
      <c r="O1091">
        <f t="shared" si="484"/>
        <v>294</v>
      </c>
      <c r="P1091" s="643">
        <f t="shared" si="485"/>
        <v>7056</v>
      </c>
      <c r="Q1091" s="139">
        <f t="shared" ca="1" si="487"/>
        <v>179046</v>
      </c>
      <c r="R1091" s="643">
        <f t="shared" ca="1" si="486"/>
        <v>32812</v>
      </c>
      <c r="S1091" s="726">
        <v>5</v>
      </c>
      <c r="T1091" s="726">
        <v>5</v>
      </c>
      <c r="AD1091" s="721" t="s">
        <v>706</v>
      </c>
      <c r="AE1091" s="723" t="s">
        <v>3176</v>
      </c>
      <c r="AF1091">
        <f>V1061</f>
        <v>203.3154761904762</v>
      </c>
      <c r="AG1091">
        <f>X1061</f>
        <v>32.05085178656504</v>
      </c>
      <c r="AH1091">
        <f>Y1061</f>
        <v>0</v>
      </c>
      <c r="AI1091">
        <f>Z1061</f>
        <v>30.989583333333332</v>
      </c>
      <c r="AJ1091" s="712"/>
    </row>
    <row r="1092" spans="1:36" ht="15.75" customHeight="1" x14ac:dyDescent="0.3">
      <c r="A1092" s="647" t="s">
        <v>2237</v>
      </c>
      <c r="B1092" s="642">
        <f ca="1">+$H$10-M1092</f>
        <v>25</v>
      </c>
      <c r="C1092" s="656">
        <v>3</v>
      </c>
      <c r="D1092" s="656">
        <v>0</v>
      </c>
      <c r="E1092" s="656">
        <v>0</v>
      </c>
      <c r="F1092" s="139">
        <f t="shared" si="478"/>
        <v>147</v>
      </c>
      <c r="G1092" s="139">
        <f t="shared" si="479"/>
        <v>0</v>
      </c>
      <c r="H1092" s="139" t="s">
        <v>2916</v>
      </c>
      <c r="I1092" s="139">
        <f t="shared" si="480"/>
        <v>2205</v>
      </c>
      <c r="J1092" s="139">
        <f t="shared" si="481"/>
        <v>0</v>
      </c>
      <c r="K1092" s="139" t="s">
        <v>2916</v>
      </c>
      <c r="L1092" s="643">
        <f t="shared" si="482"/>
        <v>2205</v>
      </c>
      <c r="M1092" s="642">
        <f ca="1">SUMPRODUCT(--(WEEKDAY(ROW(INDIRECT(DATE($B$1081,MonthFromText(A1092),1)&amp;":"&amp;DATE($B$1081,MonthFromText(A1092),$H$10))),1)=1))</f>
        <v>5</v>
      </c>
      <c r="N1092" s="656">
        <f t="shared" si="483"/>
        <v>3</v>
      </c>
      <c r="O1092">
        <f t="shared" si="484"/>
        <v>147</v>
      </c>
      <c r="P1092" s="643">
        <f t="shared" si="485"/>
        <v>3528</v>
      </c>
      <c r="Q1092" s="139">
        <f ca="1">+(L1092*B1092)+(M1092*P1092)</f>
        <v>72765</v>
      </c>
      <c r="R1092" s="643">
        <f t="shared" ca="1" si="486"/>
        <v>-29465</v>
      </c>
      <c r="S1092" s="726">
        <v>9</v>
      </c>
      <c r="T1092" s="726">
        <v>9</v>
      </c>
      <c r="AD1092" s="721"/>
      <c r="AE1092" s="723" t="s">
        <v>3175</v>
      </c>
      <c r="AF1092">
        <f>W1061</f>
        <v>105.31547619047619</v>
      </c>
      <c r="AG1092">
        <f>X1061</f>
        <v>32.05085178656504</v>
      </c>
      <c r="AH1092">
        <f>Y1061</f>
        <v>0</v>
      </c>
      <c r="AI1092">
        <f>Z1061</f>
        <v>30.989583333333332</v>
      </c>
      <c r="AJ1092" s="712"/>
    </row>
    <row r="1093" spans="1:36" ht="15.75" customHeight="1" x14ac:dyDescent="0.3">
      <c r="A1093" s="647" t="s">
        <v>1504</v>
      </c>
      <c r="B1093" s="642">
        <f ca="1">+$J$10-M1093</f>
        <v>27</v>
      </c>
      <c r="C1093" s="656">
        <v>3</v>
      </c>
      <c r="D1093" s="656">
        <v>0</v>
      </c>
      <c r="E1093" s="656">
        <v>0</v>
      </c>
      <c r="F1093" s="139">
        <f t="shared" si="478"/>
        <v>147</v>
      </c>
      <c r="G1093" s="139">
        <f t="shared" si="479"/>
        <v>0</v>
      </c>
      <c r="H1093" s="139" t="s">
        <v>2916</v>
      </c>
      <c r="I1093" s="139">
        <f t="shared" si="480"/>
        <v>2205</v>
      </c>
      <c r="J1093" s="139">
        <f t="shared" si="481"/>
        <v>0</v>
      </c>
      <c r="K1093" s="139" t="s">
        <v>2916</v>
      </c>
      <c r="L1093" s="643">
        <f t="shared" si="482"/>
        <v>2205</v>
      </c>
      <c r="M1093" s="642">
        <f ca="1">SUMPRODUCT(--(WEEKDAY(ROW(INDIRECT(DATE($B$1081,MonthFromText(A1093),1)&amp;":"&amp;DATE($B$1081,MonthFromText(A1093),$J$10))),1)=1))</f>
        <v>4</v>
      </c>
      <c r="N1093" s="656">
        <f t="shared" si="483"/>
        <v>3</v>
      </c>
      <c r="O1093">
        <f t="shared" si="484"/>
        <v>147</v>
      </c>
      <c r="P1093" s="643">
        <f t="shared" si="485"/>
        <v>3528</v>
      </c>
      <c r="Q1093" s="139">
        <f t="shared" ca="1" si="487"/>
        <v>73647</v>
      </c>
      <c r="R1093" s="643">
        <f t="shared" ca="1" si="486"/>
        <v>-19951</v>
      </c>
      <c r="S1093" s="726">
        <v>9</v>
      </c>
      <c r="T1093" s="726">
        <v>9</v>
      </c>
      <c r="AD1093" s="721" t="s">
        <v>3178</v>
      </c>
      <c r="AE1093" s="723" t="s">
        <v>852</v>
      </c>
      <c r="AJ1093" s="712"/>
    </row>
    <row r="1094" spans="1:36" ht="15.75" customHeight="1" x14ac:dyDescent="0.3">
      <c r="A1094" s="647" t="s">
        <v>1505</v>
      </c>
      <c r="B1094" s="642">
        <f ca="1">+$K$10-M1094</f>
        <v>27</v>
      </c>
      <c r="C1094" s="656">
        <v>3</v>
      </c>
      <c r="D1094" s="656">
        <v>0</v>
      </c>
      <c r="E1094" s="656">
        <v>0</v>
      </c>
      <c r="F1094" s="139">
        <f t="shared" si="478"/>
        <v>147</v>
      </c>
      <c r="G1094" s="139">
        <f t="shared" si="479"/>
        <v>0</v>
      </c>
      <c r="H1094" s="139" t="s">
        <v>2916</v>
      </c>
      <c r="I1094" s="139">
        <f t="shared" si="480"/>
        <v>2205</v>
      </c>
      <c r="J1094" s="139">
        <f t="shared" si="481"/>
        <v>0</v>
      </c>
      <c r="K1094" s="139" t="s">
        <v>2916</v>
      </c>
      <c r="L1094" s="643">
        <f t="shared" si="482"/>
        <v>2205</v>
      </c>
      <c r="M1094" s="642">
        <f ca="1">SUMPRODUCT(--(WEEKDAY(ROW(INDIRECT(DATE($B$1081,MonthFromText(A1094),1)&amp;":"&amp;DATE($B$1081,MonthFromText(A1094),$K$10))),1)=1))</f>
        <v>4</v>
      </c>
      <c r="N1094" s="656">
        <f t="shared" si="483"/>
        <v>3</v>
      </c>
      <c r="O1094">
        <f t="shared" si="484"/>
        <v>147</v>
      </c>
      <c r="P1094" s="643">
        <f t="shared" si="485"/>
        <v>3528</v>
      </c>
      <c r="Q1094" s="139">
        <f t="shared" ca="1" si="487"/>
        <v>73647</v>
      </c>
      <c r="R1094" s="643">
        <f t="shared" ca="1" si="486"/>
        <v>-25837</v>
      </c>
      <c r="S1094" s="726">
        <v>9</v>
      </c>
      <c r="T1094" s="726">
        <v>9</v>
      </c>
      <c r="AD1094" s="721" t="s">
        <v>707</v>
      </c>
      <c r="AE1094" s="723" t="s">
        <v>3176</v>
      </c>
      <c r="AF1094">
        <f>V1062</f>
        <v>345.25940860215053</v>
      </c>
      <c r="AG1094">
        <f>X1062</f>
        <v>1.832137980953592E-2</v>
      </c>
      <c r="AH1094">
        <f>Y1062</f>
        <v>-2.6944837039364677E-2</v>
      </c>
      <c r="AI1094">
        <f>Z1062</f>
        <v>40.774193548387096</v>
      </c>
      <c r="AJ1094" s="712"/>
    </row>
    <row r="1095" spans="1:36" ht="15.75" customHeight="1" x14ac:dyDescent="0.3">
      <c r="A1095" s="647" t="s">
        <v>1506</v>
      </c>
      <c r="B1095" s="642">
        <f ca="1">+$L$10-M1095</f>
        <v>25</v>
      </c>
      <c r="C1095" s="656">
        <v>5</v>
      </c>
      <c r="D1095" s="656">
        <v>0</v>
      </c>
      <c r="E1095" s="656" t="s">
        <v>2916</v>
      </c>
      <c r="F1095" s="139">
        <f t="shared" si="478"/>
        <v>245</v>
      </c>
      <c r="G1095" s="139">
        <f t="shared" si="479"/>
        <v>0</v>
      </c>
      <c r="H1095" s="139" t="s">
        <v>2916</v>
      </c>
      <c r="I1095" s="139">
        <f t="shared" si="480"/>
        <v>4410</v>
      </c>
      <c r="J1095" s="139">
        <f t="shared" si="481"/>
        <v>0</v>
      </c>
      <c r="K1095" s="139" t="s">
        <v>2916</v>
      </c>
      <c r="L1095" s="643">
        <f t="shared" si="482"/>
        <v>4410</v>
      </c>
      <c r="M1095" s="642">
        <f ca="1">SUMPRODUCT(--(WEEKDAY(ROW(INDIRECT(DATE($B$1081,MonthFromText(A1095),1)&amp;":"&amp;DATE($B$1081,MonthFromText(A1095),$L$10))),1)=1))</f>
        <v>5</v>
      </c>
      <c r="N1095" s="656">
        <f t="shared" si="483"/>
        <v>5</v>
      </c>
      <c r="O1095">
        <f t="shared" si="484"/>
        <v>245</v>
      </c>
      <c r="P1095" s="643">
        <f t="shared" si="485"/>
        <v>5880</v>
      </c>
      <c r="Q1095" s="139">
        <f t="shared" ca="1" si="487"/>
        <v>139650</v>
      </c>
      <c r="R1095" s="643">
        <f t="shared" ca="1" si="486"/>
        <v>-13367</v>
      </c>
      <c r="S1095" s="726">
        <v>6</v>
      </c>
      <c r="T1095" s="726">
        <v>4</v>
      </c>
      <c r="AD1095" s="721"/>
      <c r="AE1095" s="723" t="s">
        <v>3175</v>
      </c>
      <c r="AF1095">
        <f>W1062</f>
        <v>51.259408602150536</v>
      </c>
      <c r="AG1095">
        <f>X1062</f>
        <v>1.832137980953592E-2</v>
      </c>
      <c r="AH1095">
        <f>Y1062</f>
        <v>-2.6944837039364677E-2</v>
      </c>
      <c r="AI1095">
        <f>Z1062</f>
        <v>40.774193548387096</v>
      </c>
      <c r="AJ1095" s="712"/>
    </row>
    <row r="1096" spans="1:36" ht="15.75" customHeight="1" x14ac:dyDescent="0.3">
      <c r="A1096" s="647" t="s">
        <v>1507</v>
      </c>
      <c r="B1096" s="642">
        <f ca="1">+$N$10-M1096</f>
        <v>27</v>
      </c>
      <c r="C1096" s="656">
        <v>5</v>
      </c>
      <c r="D1096" s="656">
        <v>0</v>
      </c>
      <c r="E1096" s="656" t="s">
        <v>2916</v>
      </c>
      <c r="F1096" s="139">
        <f t="shared" si="478"/>
        <v>245</v>
      </c>
      <c r="G1096" s="139">
        <f t="shared" si="479"/>
        <v>0</v>
      </c>
      <c r="H1096" s="139" t="s">
        <v>2916</v>
      </c>
      <c r="I1096" s="139">
        <f t="shared" si="480"/>
        <v>4410</v>
      </c>
      <c r="J1096" s="139">
        <f t="shared" si="481"/>
        <v>0</v>
      </c>
      <c r="K1096" s="139" t="s">
        <v>2916</v>
      </c>
      <c r="L1096" s="643">
        <f t="shared" si="482"/>
        <v>4410</v>
      </c>
      <c r="M1096" s="642">
        <f ca="1">SUMPRODUCT(--(WEEKDAY(ROW(INDIRECT(DATE($B$1081,MonthFromText(A1096),1)&amp;":"&amp;DATE($B$1081,MonthFromText(A1096),$N$10))),1)=1))</f>
        <v>4</v>
      </c>
      <c r="N1096" s="656">
        <f t="shared" si="483"/>
        <v>5</v>
      </c>
      <c r="O1096">
        <f t="shared" si="484"/>
        <v>245</v>
      </c>
      <c r="P1096" s="643">
        <f t="shared" si="485"/>
        <v>5880</v>
      </c>
      <c r="Q1096" s="139">
        <f t="shared" ca="1" si="487"/>
        <v>142590</v>
      </c>
      <c r="R1096" s="643">
        <f t="shared" ca="1" si="486"/>
        <v>-659</v>
      </c>
      <c r="S1096" s="726">
        <v>6</v>
      </c>
      <c r="T1096" s="726">
        <v>4</v>
      </c>
      <c r="AD1096" s="721" t="s">
        <v>3178</v>
      </c>
      <c r="AE1096" s="723" t="s">
        <v>852</v>
      </c>
      <c r="AJ1096" s="712"/>
    </row>
    <row r="1097" spans="1:36" ht="15.75" customHeight="1" x14ac:dyDescent="0.3">
      <c r="A1097" s="647" t="s">
        <v>1508</v>
      </c>
      <c r="B1097" s="642">
        <f ca="1">+$O$10-M1097</f>
        <v>26</v>
      </c>
      <c r="C1097" s="656">
        <v>5</v>
      </c>
      <c r="D1097" s="656">
        <v>0</v>
      </c>
      <c r="E1097" s="656" t="s">
        <v>2916</v>
      </c>
      <c r="F1097" s="139">
        <f t="shared" si="478"/>
        <v>245</v>
      </c>
      <c r="G1097" s="139">
        <f t="shared" si="479"/>
        <v>0</v>
      </c>
      <c r="H1097" s="139" t="s">
        <v>2916</v>
      </c>
      <c r="I1097" s="139">
        <f t="shared" si="480"/>
        <v>4410</v>
      </c>
      <c r="J1097" s="139">
        <f t="shared" si="481"/>
        <v>0</v>
      </c>
      <c r="K1097" s="139" t="s">
        <v>2916</v>
      </c>
      <c r="L1097" s="643">
        <f t="shared" si="482"/>
        <v>4410</v>
      </c>
      <c r="M1097" s="642">
        <f ca="1">SUMPRODUCT(--(WEEKDAY(ROW(INDIRECT(DATE($B$1081,MonthFromText(A1097),1)&amp;":"&amp;DATE($B$1081,MonthFromText(A1097),$O$10))),1)=1))</f>
        <v>4</v>
      </c>
      <c r="N1097" s="656">
        <v>3</v>
      </c>
      <c r="O1097">
        <f t="shared" si="484"/>
        <v>147</v>
      </c>
      <c r="P1097" s="643">
        <f t="shared" si="485"/>
        <v>3528</v>
      </c>
      <c r="Q1097" s="139">
        <f t="shared" ca="1" si="487"/>
        <v>128772</v>
      </c>
      <c r="R1097" s="643">
        <f t="shared" ca="1" si="486"/>
        <v>11679</v>
      </c>
      <c r="S1097" s="726">
        <v>6</v>
      </c>
      <c r="T1097" s="726">
        <v>4</v>
      </c>
      <c r="AD1097" s="721" t="s">
        <v>1321</v>
      </c>
      <c r="AE1097" s="723" t="s">
        <v>3176</v>
      </c>
      <c r="AF1097">
        <f>V1063</f>
        <v>388.3</v>
      </c>
      <c r="AG1097">
        <f>X1063</f>
        <v>3.3298749075416922</v>
      </c>
      <c r="AH1097">
        <f>Y1063</f>
        <v>-2.9170136294978644</v>
      </c>
      <c r="AI1097">
        <f>Z1063</f>
        <v>64.19861111111112</v>
      </c>
      <c r="AJ1097" s="712"/>
    </row>
    <row r="1098" spans="1:36" ht="15.75" customHeight="1" thickBot="1" x14ac:dyDescent="0.35">
      <c r="A1098" s="647" t="s">
        <v>1509</v>
      </c>
      <c r="B1098" s="644">
        <f ca="1">+$P$10-M1098</f>
        <v>26</v>
      </c>
      <c r="C1098" s="657">
        <v>5</v>
      </c>
      <c r="D1098" s="657">
        <v>0</v>
      </c>
      <c r="E1098" s="656" t="s">
        <v>2916</v>
      </c>
      <c r="F1098" s="139">
        <f t="shared" si="478"/>
        <v>245</v>
      </c>
      <c r="G1098" s="139">
        <f t="shared" si="479"/>
        <v>0</v>
      </c>
      <c r="H1098" s="139" t="s">
        <v>2916</v>
      </c>
      <c r="I1098" s="139">
        <f t="shared" si="480"/>
        <v>4410</v>
      </c>
      <c r="J1098" s="139">
        <f t="shared" si="481"/>
        <v>0</v>
      </c>
      <c r="K1098" s="139" t="s">
        <v>2916</v>
      </c>
      <c r="L1098" s="643">
        <f t="shared" si="482"/>
        <v>4410</v>
      </c>
      <c r="M1098" s="644">
        <f ca="1">SUMPRODUCT(--(WEEKDAY(ROW(INDIRECT(DATE($B$1081,MonthFromText(A1098),1)&amp;":"&amp;DATE($B$1081,MonthFromText(A1098),$P$10))),1)=1))</f>
        <v>5</v>
      </c>
      <c r="N1098" s="656">
        <v>3</v>
      </c>
      <c r="O1098" s="581">
        <f t="shared" si="484"/>
        <v>147</v>
      </c>
      <c r="P1098" s="646">
        <f t="shared" si="485"/>
        <v>3528</v>
      </c>
      <c r="Q1098" s="666">
        <f t="shared" ca="1" si="487"/>
        <v>132300</v>
      </c>
      <c r="R1098" s="673">
        <f t="shared" ca="1" si="486"/>
        <v>61566</v>
      </c>
      <c r="S1098" s="726">
        <v>6</v>
      </c>
      <c r="T1098" s="726">
        <v>4</v>
      </c>
      <c r="AD1098" s="721"/>
      <c r="AE1098" s="723" t="s">
        <v>3175</v>
      </c>
      <c r="AF1098">
        <f>W1063</f>
        <v>94.300000000000011</v>
      </c>
      <c r="AG1098">
        <f>X1063</f>
        <v>3.3298749075416922</v>
      </c>
      <c r="AH1098">
        <f>Y1063</f>
        <v>-2.9170136294978644</v>
      </c>
      <c r="AI1098">
        <f>Z1063</f>
        <v>64.19861111111112</v>
      </c>
      <c r="AJ1098" s="712"/>
    </row>
    <row r="1099" spans="1:36" ht="15.75" customHeight="1" thickBot="1" x14ac:dyDescent="0.35">
      <c r="A1099" s="580"/>
      <c r="B1099" s="581"/>
      <c r="C1099" s="581"/>
      <c r="D1099" s="581"/>
      <c r="E1099" s="674"/>
      <c r="F1099" s="674"/>
      <c r="G1099" s="674"/>
      <c r="H1099" s="674"/>
      <c r="I1099" s="674"/>
      <c r="J1099" s="674"/>
      <c r="K1099" s="674"/>
      <c r="L1099" s="674"/>
      <c r="M1099" s="581"/>
      <c r="N1099" s="581"/>
      <c r="O1099" s="581"/>
      <c r="P1099" s="581"/>
      <c r="Q1099" s="645">
        <f ca="1">+SUM(Q1087:Q1098)</f>
        <v>1443589</v>
      </c>
      <c r="R1099" s="646">
        <f ca="1">+Q1099-B993</f>
        <v>68997</v>
      </c>
      <c r="AD1099" s="721" t="s">
        <v>3178</v>
      </c>
      <c r="AE1099" s="723" t="s">
        <v>852</v>
      </c>
      <c r="AJ1099" s="712"/>
    </row>
    <row r="1100" spans="1:36" ht="15.75" customHeight="1" x14ac:dyDescent="0.3">
      <c r="A1100" s="641" t="s">
        <v>2891</v>
      </c>
      <c r="J1100" s="139"/>
      <c r="AD1100" s="721" t="s">
        <v>1905</v>
      </c>
      <c r="AE1100" s="723" t="s">
        <v>3176</v>
      </c>
      <c r="AF1100">
        <f>V1064</f>
        <v>388.375</v>
      </c>
      <c r="AG1100">
        <f>X1064</f>
        <v>5.3322581177670463</v>
      </c>
      <c r="AH1100">
        <f>Y1064</f>
        <v>-3.2179735578685951</v>
      </c>
      <c r="AI1100">
        <f>Z1064</f>
        <v>59.005376344086031</v>
      </c>
      <c r="AJ1100" s="712"/>
    </row>
    <row r="1101" spans="1:36" ht="15.75" customHeight="1" x14ac:dyDescent="0.3">
      <c r="A1101" s="641" t="s">
        <v>2894</v>
      </c>
      <c r="AD1101" s="721"/>
      <c r="AE1101" s="723" t="s">
        <v>3175</v>
      </c>
      <c r="AF1101">
        <f>W1064</f>
        <v>94.375</v>
      </c>
      <c r="AG1101">
        <f>X1064</f>
        <v>5.3322581177670463</v>
      </c>
      <c r="AH1101">
        <f>Y1064</f>
        <v>-3.2179735578685951</v>
      </c>
      <c r="AI1101">
        <f>Z1064</f>
        <v>59.005376344086031</v>
      </c>
      <c r="AJ1101" s="712"/>
    </row>
    <row r="1102" spans="1:36" ht="15.75" customHeight="1" x14ac:dyDescent="0.3">
      <c r="A1102" s="641" t="s">
        <v>2901</v>
      </c>
      <c r="AD1102" s="721" t="s">
        <v>3178</v>
      </c>
      <c r="AE1102" s="723" t="s">
        <v>852</v>
      </c>
      <c r="AJ1102" s="712"/>
    </row>
    <row r="1103" spans="1:36" ht="15.75" customHeight="1" x14ac:dyDescent="0.3">
      <c r="AD1103" s="721" t="s">
        <v>1906</v>
      </c>
      <c r="AE1103" s="723" t="s">
        <v>3176</v>
      </c>
      <c r="AF1103">
        <f>V1065</f>
        <v>214.08750000000001</v>
      </c>
      <c r="AG1103">
        <f>X1065</f>
        <v>0.40638777574340584</v>
      </c>
      <c r="AH1103">
        <f>Y1065</f>
        <v>-15.535806113260291</v>
      </c>
      <c r="AI1103">
        <f>Z1065</f>
        <v>70.23333333333332</v>
      </c>
      <c r="AJ1103" s="712"/>
    </row>
    <row r="1104" spans="1:36" ht="15.75" customHeight="1" x14ac:dyDescent="0.3">
      <c r="A1104" t="s">
        <v>3191</v>
      </c>
      <c r="AD1104" s="721"/>
      <c r="AE1104" s="723" t="s">
        <v>3175</v>
      </c>
      <c r="AF1104">
        <f>W1065</f>
        <v>67.087500000000006</v>
      </c>
      <c r="AG1104">
        <f>X1065</f>
        <v>0.40638777574340584</v>
      </c>
      <c r="AH1104">
        <f>Y1065</f>
        <v>-15.535806113260291</v>
      </c>
      <c r="AI1104">
        <f>Z1065</f>
        <v>70.23333333333332</v>
      </c>
      <c r="AJ1104" s="712"/>
    </row>
    <row r="1105" spans="9:36" ht="15.75" customHeight="1" x14ac:dyDescent="0.3">
      <c r="AD1105" s="721" t="s">
        <v>3178</v>
      </c>
      <c r="AE1105" s="723" t="s">
        <v>852</v>
      </c>
      <c r="AJ1105" s="712"/>
    </row>
    <row r="1106" spans="9:36" ht="15.75" customHeight="1" x14ac:dyDescent="0.3">
      <c r="AD1106" s="721" t="s">
        <v>1907</v>
      </c>
      <c r="AE1106" s="723" t="s">
        <v>3176</v>
      </c>
      <c r="AF1106">
        <f>V1066</f>
        <v>205.8736559139785</v>
      </c>
      <c r="AG1106">
        <f>X1066</f>
        <v>0</v>
      </c>
      <c r="AH1106">
        <f>Y1066</f>
        <v>-13.150097702538803</v>
      </c>
      <c r="AI1106">
        <f>Z1066</f>
        <v>71.868279569892479</v>
      </c>
      <c r="AJ1106" s="712"/>
    </row>
    <row r="1107" spans="9:36" ht="16.5" customHeight="1" x14ac:dyDescent="0.3">
      <c r="AD1107" s="721"/>
      <c r="AE1107" s="723" t="s">
        <v>3175</v>
      </c>
      <c r="AF1107">
        <f>W1066</f>
        <v>58.873655913978496</v>
      </c>
      <c r="AG1107">
        <f>X1066</f>
        <v>0</v>
      </c>
      <c r="AH1107">
        <f>Y1066</f>
        <v>-13.150097702538803</v>
      </c>
      <c r="AI1107">
        <f>Z1066</f>
        <v>71.868279569892479</v>
      </c>
      <c r="AJ1107" s="712"/>
    </row>
    <row r="1108" spans="9:36" ht="15.75" customHeight="1" x14ac:dyDescent="0.3">
      <c r="AD1108" s="721" t="s">
        <v>3178</v>
      </c>
      <c r="AE1108" s="723" t="s">
        <v>852</v>
      </c>
      <c r="AJ1108" s="712"/>
    </row>
    <row r="1109" spans="9:36" ht="16.5" customHeight="1" x14ac:dyDescent="0.3">
      <c r="AD1109" s="721" t="s">
        <v>1908</v>
      </c>
      <c r="AE1109" s="723" t="s">
        <v>3176</v>
      </c>
      <c r="AF1109">
        <f>V1067</f>
        <v>209.75806451612902</v>
      </c>
      <c r="AG1109">
        <f>X1067</f>
        <v>6.0426622595773716E-3</v>
      </c>
      <c r="AH1109">
        <f>Y1067</f>
        <v>-8.3576898173578016</v>
      </c>
      <c r="AI1109">
        <f>Z1067</f>
        <v>70.298387096774192</v>
      </c>
      <c r="AJ1109" s="712"/>
    </row>
    <row r="1110" spans="9:36" ht="15.75" customHeight="1" x14ac:dyDescent="0.3">
      <c r="AD1110" s="721"/>
      <c r="AE1110" s="723" t="s">
        <v>3175</v>
      </c>
      <c r="AF1110">
        <f>W1067</f>
        <v>62.758064516129039</v>
      </c>
      <c r="AG1110">
        <f>X1067</f>
        <v>6.0426622595773716E-3</v>
      </c>
      <c r="AH1110">
        <f>Y1067</f>
        <v>-8.3576898173578016</v>
      </c>
      <c r="AI1110">
        <f>Z1067</f>
        <v>70.298387096774192</v>
      </c>
      <c r="AJ1110" s="712"/>
    </row>
    <row r="1111" spans="9:36" ht="15.75" customHeight="1" x14ac:dyDescent="0.3">
      <c r="AD1111" s="721" t="s">
        <v>3178</v>
      </c>
      <c r="AE1111" s="723" t="s">
        <v>852</v>
      </c>
      <c r="AJ1111" s="712"/>
    </row>
    <row r="1112" spans="9:36" ht="15.75" customHeight="1" x14ac:dyDescent="0.3">
      <c r="AD1112" s="721" t="s">
        <v>3177</v>
      </c>
      <c r="AE1112" s="723" t="s">
        <v>3176</v>
      </c>
      <c r="AF1112">
        <f>V1068</f>
        <v>347.20277777777778</v>
      </c>
      <c r="AG1112">
        <f>X1068</f>
        <v>7.0169091506912693</v>
      </c>
      <c r="AH1112">
        <f>Y1068</f>
        <v>0</v>
      </c>
      <c r="AI1112">
        <f>Z1068</f>
        <v>49.298611111111114</v>
      </c>
      <c r="AJ1112" s="712"/>
    </row>
    <row r="1113" spans="9:36" ht="15.75" customHeight="1" x14ac:dyDescent="0.3">
      <c r="AD1113" s="721"/>
      <c r="AE1113" s="723" t="s">
        <v>3175</v>
      </c>
      <c r="AF1113">
        <f>W1068</f>
        <v>102.20277777777778</v>
      </c>
      <c r="AG1113">
        <f>X1068</f>
        <v>7.0169091506912693</v>
      </c>
      <c r="AH1113">
        <f>Y1068</f>
        <v>0</v>
      </c>
      <c r="AI1113">
        <f>Z1068</f>
        <v>49.298611111111114</v>
      </c>
      <c r="AJ1113" s="712"/>
    </row>
    <row r="1114" spans="9:36" ht="15.75" customHeight="1" x14ac:dyDescent="0.3">
      <c r="I1114" s="139"/>
      <c r="J1114" s="139"/>
      <c r="AD1114" s="721" t="s">
        <v>3178</v>
      </c>
      <c r="AE1114" s="723" t="s">
        <v>852</v>
      </c>
      <c r="AJ1114" s="712"/>
    </row>
    <row r="1115" spans="9:36" ht="15.75" customHeight="1" x14ac:dyDescent="0.3">
      <c r="AD1115" s="721" t="s">
        <v>2353</v>
      </c>
      <c r="AE1115" s="723" t="s">
        <v>3176</v>
      </c>
      <c r="AF1115">
        <f>V1069</f>
        <v>337.48252688172045</v>
      </c>
      <c r="AG1115">
        <f>X1069</f>
        <v>9.0011490037727384</v>
      </c>
      <c r="AH1115">
        <f>Y1069</f>
        <v>0</v>
      </c>
      <c r="AI1115">
        <f>Z1069</f>
        <v>40.767473118279568</v>
      </c>
      <c r="AJ1115" s="712"/>
    </row>
    <row r="1116" spans="9:36" ht="15.75" customHeight="1" x14ac:dyDescent="0.3">
      <c r="AD1116" s="721"/>
      <c r="AE1116" s="723" t="s">
        <v>3175</v>
      </c>
      <c r="AF1116">
        <f>W1069</f>
        <v>92.482526881720432</v>
      </c>
      <c r="AG1116">
        <f>X1069</f>
        <v>9.0011490037727384</v>
      </c>
      <c r="AH1116">
        <f>Y1069</f>
        <v>0</v>
      </c>
      <c r="AI1116">
        <f>Z1069</f>
        <v>40.767473118279568</v>
      </c>
      <c r="AJ1116" s="712"/>
    </row>
    <row r="1117" spans="9:36" ht="15.75" customHeight="1" x14ac:dyDescent="0.3">
      <c r="AD1117" s="721" t="s">
        <v>3178</v>
      </c>
      <c r="AE1117" s="723" t="s">
        <v>852</v>
      </c>
      <c r="AJ1117" s="712"/>
    </row>
    <row r="1118" spans="9:36" ht="15.75" customHeight="1" x14ac:dyDescent="0.3">
      <c r="AD1118" s="721" t="s">
        <v>2354</v>
      </c>
      <c r="AE1118" s="723" t="s">
        <v>3176</v>
      </c>
      <c r="AF1118">
        <f>V1070</f>
        <v>323.88472222222219</v>
      </c>
      <c r="AG1118">
        <f>X1070</f>
        <v>26.18269366038891</v>
      </c>
      <c r="AH1118">
        <f>Y1070</f>
        <v>-0.28926834505184057</v>
      </c>
      <c r="AI1118">
        <f>Z1070</f>
        <v>5.2722222222222221</v>
      </c>
      <c r="AJ1118" s="712"/>
    </row>
    <row r="1119" spans="9:36" ht="15.75" customHeight="1" x14ac:dyDescent="0.3">
      <c r="AD1119" s="721"/>
      <c r="AE1119" s="723" t="s">
        <v>3175</v>
      </c>
      <c r="AF1119">
        <f>W1070</f>
        <v>78.884722222222223</v>
      </c>
      <c r="AG1119">
        <f>X1070</f>
        <v>26.18269366038891</v>
      </c>
      <c r="AH1119">
        <f>Y1070</f>
        <v>-0.28926834505184057</v>
      </c>
      <c r="AI1119">
        <f>Z1070</f>
        <v>5.2722222222222221</v>
      </c>
      <c r="AJ1119" s="712"/>
    </row>
    <row r="1120" spans="9:36" ht="15.75" customHeight="1" x14ac:dyDescent="0.3">
      <c r="AD1120" s="721" t="s">
        <v>3178</v>
      </c>
      <c r="AE1120" s="723" t="s">
        <v>852</v>
      </c>
      <c r="AJ1120" s="712"/>
    </row>
    <row r="1121" spans="1:36" ht="15.75" customHeight="1" thickBot="1" x14ac:dyDescent="0.35">
      <c r="AD1121" s="721" t="s">
        <v>2355</v>
      </c>
      <c r="AE1121" s="723" t="s">
        <v>3176</v>
      </c>
      <c r="AF1121">
        <f>V1071</f>
        <v>290.45833333333331</v>
      </c>
      <c r="AG1121">
        <f>X1071</f>
        <v>6.7207385450970669</v>
      </c>
      <c r="AH1121">
        <f>Y1071</f>
        <v>0</v>
      </c>
      <c r="AI1121">
        <f>Z1071</f>
        <v>14.981182795698924</v>
      </c>
      <c r="AJ1121" s="712"/>
    </row>
    <row r="1122" spans="1:36" ht="15.75" customHeight="1" x14ac:dyDescent="0.35">
      <c r="A1122" s="546"/>
      <c r="B1122" s="547"/>
      <c r="C1122" s="566"/>
      <c r="D1122" s="566"/>
      <c r="E1122" s="566"/>
      <c r="F1122" s="566"/>
      <c r="G1122" s="566"/>
      <c r="H1122" s="549" t="s">
        <v>1623</v>
      </c>
      <c r="I1122" s="547"/>
      <c r="J1122" s="547"/>
      <c r="K1122" s="547"/>
      <c r="L1122" s="547"/>
      <c r="M1122" s="547"/>
      <c r="N1122" s="547"/>
      <c r="O1122" s="547"/>
      <c r="P1122" s="547"/>
      <c r="Q1122" s="678" t="str">
        <f>+Q1</f>
        <v xml:space="preserve">PRINTED:  </v>
      </c>
      <c r="R1122" s="682">
        <f ca="1">+R1</f>
        <v>44881.729633912037</v>
      </c>
      <c r="S1122" s="560"/>
      <c r="AD1122" s="721"/>
      <c r="AE1122" s="723" t="s">
        <v>3175</v>
      </c>
      <c r="AF1122">
        <f>W1071</f>
        <v>45.458333333333336</v>
      </c>
      <c r="AG1122">
        <f>X1071</f>
        <v>6.7207385450970669</v>
      </c>
      <c r="AH1122">
        <f>Y1071</f>
        <v>0</v>
      </c>
      <c r="AI1122">
        <f>Z1071</f>
        <v>14.981182795698924</v>
      </c>
      <c r="AJ1122" s="712"/>
    </row>
    <row r="1123" spans="1:36" ht="15.75" customHeight="1" thickBot="1" x14ac:dyDescent="0.4">
      <c r="A1123" s="551"/>
      <c r="B1123" s="67"/>
      <c r="C1123" s="215"/>
      <c r="D1123" s="215"/>
      <c r="E1123" s="215"/>
      <c r="F1123" s="215"/>
      <c r="G1123" s="215"/>
      <c r="H1123" s="67" t="s">
        <v>2435</v>
      </c>
      <c r="I1123" s="67" t="s">
        <v>852</v>
      </c>
      <c r="J1123" s="69" t="str">
        <f>+A8</f>
        <v>Revised:  11/4/2019</v>
      </c>
      <c r="K1123" s="67"/>
      <c r="L1123" s="67"/>
      <c r="M1123" s="67"/>
      <c r="N1123" s="67"/>
      <c r="O1123" s="67"/>
      <c r="P1123" s="67"/>
      <c r="Q1123" s="67"/>
      <c r="R1123" s="67"/>
      <c r="S1123" s="561"/>
      <c r="AD1123" s="722" t="s">
        <v>3178</v>
      </c>
      <c r="AE1123" s="724" t="s">
        <v>852</v>
      </c>
      <c r="AF1123" s="581"/>
      <c r="AG1123" s="581"/>
      <c r="AH1123" s="581"/>
      <c r="AI1123" s="581"/>
      <c r="AJ1123" s="565"/>
    </row>
    <row r="1124" spans="1:36" ht="15.75" customHeight="1" x14ac:dyDescent="0.35">
      <c r="A1124" s="551"/>
      <c r="B1124" s="67"/>
      <c r="C1124" s="215"/>
      <c r="D1124" s="215"/>
      <c r="E1124" s="215"/>
      <c r="F1124" s="215"/>
      <c r="G1124" s="215"/>
      <c r="H1124" s="67" t="s">
        <v>2126</v>
      </c>
      <c r="I1124" s="67"/>
      <c r="J1124" s="67"/>
      <c r="K1124" s="67"/>
      <c r="L1124" s="67"/>
      <c r="M1124" s="67"/>
      <c r="N1124" s="67"/>
      <c r="O1124" s="67"/>
      <c r="P1124" s="67"/>
      <c r="Q1124" s="67"/>
      <c r="R1124" s="67"/>
      <c r="S1124" s="561"/>
    </row>
    <row r="1125" spans="1:36" ht="15.75" customHeight="1" x14ac:dyDescent="0.35">
      <c r="A1125" s="551"/>
      <c r="B1125" s="67"/>
      <c r="C1125" s="215"/>
      <c r="D1125" s="215"/>
      <c r="E1125" s="215"/>
      <c r="F1125" s="215"/>
      <c r="G1125" s="215"/>
      <c r="H1125" s="67"/>
      <c r="I1125" s="67"/>
      <c r="J1125" s="67"/>
      <c r="K1125" s="67"/>
      <c r="L1125" s="67"/>
      <c r="M1125" s="67"/>
      <c r="N1125" s="67"/>
      <c r="O1125" s="67"/>
      <c r="P1125" s="67"/>
      <c r="Q1125" s="67"/>
      <c r="R1125" s="67"/>
      <c r="S1125" s="561"/>
    </row>
    <row r="1126" spans="1:36" ht="15.75" customHeight="1" x14ac:dyDescent="0.35">
      <c r="A1126" s="551"/>
      <c r="B1126" s="67"/>
      <c r="C1126" s="215"/>
      <c r="D1126" s="215"/>
      <c r="E1126" s="215"/>
      <c r="F1126" s="215"/>
      <c r="G1126" s="215"/>
      <c r="H1126" s="67" t="s">
        <v>2435</v>
      </c>
      <c r="I1126" s="676">
        <f>+A5</f>
        <v>2019</v>
      </c>
      <c r="J1126" s="67"/>
      <c r="K1126" s="67"/>
      <c r="L1126" s="67"/>
      <c r="M1126" s="67"/>
      <c r="N1126" s="67"/>
      <c r="O1126" s="67"/>
      <c r="P1126" s="67"/>
      <c r="Q1126" s="67"/>
      <c r="R1126" s="67"/>
      <c r="S1126" s="561"/>
    </row>
    <row r="1127" spans="1:36" ht="15.75" customHeight="1" x14ac:dyDescent="0.3">
      <c r="A1127" s="551"/>
      <c r="B1127" s="67"/>
      <c r="C1127" s="67"/>
      <c r="D1127" s="67"/>
      <c r="E1127" s="67"/>
      <c r="F1127" s="67"/>
      <c r="G1127" s="67"/>
      <c r="H1127" s="67"/>
      <c r="I1127" s="67"/>
      <c r="J1127" s="67"/>
      <c r="K1127" s="67"/>
      <c r="L1127" s="67"/>
      <c r="M1127" s="67"/>
      <c r="N1127" s="67"/>
      <c r="O1127" s="67"/>
      <c r="P1127" s="67"/>
      <c r="Q1127" s="67"/>
      <c r="R1127" s="67"/>
      <c r="S1127" s="561"/>
    </row>
    <row r="1128" spans="1:36" ht="15.75" customHeight="1" x14ac:dyDescent="0.3">
      <c r="A1128" s="551"/>
      <c r="B1128" s="67"/>
      <c r="C1128" s="71" t="s">
        <v>1442</v>
      </c>
      <c r="D1128" s="67"/>
      <c r="E1128" s="67"/>
      <c r="F1128" s="67"/>
      <c r="G1128" s="71" t="s">
        <v>1409</v>
      </c>
      <c r="H1128" s="67"/>
      <c r="I1128" s="67"/>
      <c r="J1128" s="67"/>
      <c r="K1128" s="68" t="s">
        <v>234</v>
      </c>
      <c r="L1128" s="67"/>
      <c r="M1128" s="67"/>
      <c r="N1128" s="67"/>
      <c r="O1128" s="68" t="s">
        <v>1701</v>
      </c>
      <c r="P1128" s="67"/>
      <c r="Q1128" s="67"/>
      <c r="R1128" s="67"/>
      <c r="S1128" s="561"/>
    </row>
    <row r="1129" spans="1:36" ht="15.75" customHeight="1" x14ac:dyDescent="0.3">
      <c r="A1129" s="551"/>
      <c r="B1129" s="67"/>
      <c r="C1129" s="67">
        <f>+A5</f>
        <v>2019</v>
      </c>
      <c r="D1129" s="67"/>
      <c r="E1129" s="67"/>
      <c r="F1129" s="67" t="s">
        <v>2415</v>
      </c>
      <c r="G1129" s="67"/>
      <c r="H1129" s="67"/>
      <c r="I1129" s="67"/>
      <c r="J1129" s="67"/>
      <c r="K1129" s="67">
        <f>+A5</f>
        <v>2019</v>
      </c>
      <c r="L1129" s="67"/>
      <c r="M1129" s="67"/>
      <c r="N1129" s="67"/>
      <c r="O1129" s="67">
        <f>+A5</f>
        <v>2019</v>
      </c>
      <c r="P1129" s="67"/>
      <c r="Q1129" s="67"/>
      <c r="R1129" s="67"/>
      <c r="S1129" s="561"/>
    </row>
    <row r="1130" spans="1:36" ht="15.75" customHeight="1" x14ac:dyDescent="0.3">
      <c r="A1130" s="551"/>
      <c r="B1130" s="67"/>
      <c r="C1130" s="67"/>
      <c r="D1130" s="67"/>
      <c r="E1130" s="67"/>
      <c r="F1130" s="67"/>
      <c r="G1130" s="67">
        <f>+A5</f>
        <v>2019</v>
      </c>
      <c r="H1130" s="67"/>
      <c r="I1130" s="67"/>
      <c r="J1130" s="67"/>
      <c r="K1130" s="67"/>
      <c r="L1130" s="67"/>
      <c r="M1130" s="67"/>
      <c r="N1130" s="67"/>
      <c r="O1130" s="67"/>
      <c r="P1130" s="67"/>
      <c r="Q1130" s="67"/>
      <c r="R1130" s="67"/>
      <c r="S1130" s="561"/>
    </row>
    <row r="1131" spans="1:36" ht="15.75" customHeight="1" x14ac:dyDescent="0.3">
      <c r="A1131" s="551"/>
      <c r="B1131" s="67"/>
      <c r="C1131" s="70" t="s">
        <v>1413</v>
      </c>
      <c r="D1131" s="70" t="s">
        <v>31</v>
      </c>
      <c r="E1131" s="70" t="s">
        <v>32</v>
      </c>
      <c r="F1131" s="67"/>
      <c r="G1131" s="70" t="s">
        <v>1412</v>
      </c>
      <c r="H1131" s="70" t="s">
        <v>31</v>
      </c>
      <c r="I1131" s="70" t="s">
        <v>1077</v>
      </c>
      <c r="J1131" s="67"/>
      <c r="K1131" s="70" t="s">
        <v>229</v>
      </c>
      <c r="L1131" s="70" t="s">
        <v>31</v>
      </c>
      <c r="M1131" s="70" t="s">
        <v>1078</v>
      </c>
      <c r="N1131" s="67"/>
      <c r="O1131" s="70" t="s">
        <v>229</v>
      </c>
      <c r="P1131" s="70" t="s">
        <v>31</v>
      </c>
      <c r="Q1131" s="70" t="s">
        <v>1078</v>
      </c>
      <c r="R1131" s="67"/>
      <c r="S1131" s="561"/>
    </row>
    <row r="1132" spans="1:36" ht="15.75" customHeight="1" x14ac:dyDescent="0.3">
      <c r="A1132" s="551"/>
      <c r="B1132" s="67"/>
      <c r="C1132" s="70" t="s">
        <v>429</v>
      </c>
      <c r="D1132" s="70" t="s">
        <v>335</v>
      </c>
      <c r="E1132" s="70" t="s">
        <v>2000</v>
      </c>
      <c r="F1132" s="67"/>
      <c r="G1132" s="70" t="s">
        <v>1318</v>
      </c>
      <c r="H1132" s="70" t="s">
        <v>335</v>
      </c>
      <c r="I1132" s="70" t="s">
        <v>2000</v>
      </c>
      <c r="J1132" s="67"/>
      <c r="K1132" s="70" t="s">
        <v>1180</v>
      </c>
      <c r="L1132" s="70" t="s">
        <v>335</v>
      </c>
      <c r="M1132" s="70" t="s">
        <v>2000</v>
      </c>
      <c r="N1132" s="67"/>
      <c r="O1132" s="70" t="s">
        <v>1180</v>
      </c>
      <c r="P1132" s="70" t="s">
        <v>335</v>
      </c>
      <c r="Q1132" s="70" t="s">
        <v>2000</v>
      </c>
      <c r="R1132" s="67"/>
      <c r="S1132" s="561"/>
    </row>
    <row r="1133" spans="1:36" ht="15.75" customHeight="1" x14ac:dyDescent="0.3">
      <c r="A1133" s="551"/>
      <c r="B1133" s="67"/>
      <c r="C1133" s="70" t="s">
        <v>335</v>
      </c>
      <c r="D1133" s="70" t="s">
        <v>956</v>
      </c>
      <c r="E1133" s="70" t="s">
        <v>242</v>
      </c>
      <c r="F1133" s="67"/>
      <c r="G1133" s="70" t="s">
        <v>134</v>
      </c>
      <c r="H1133" s="70" t="s">
        <v>956</v>
      </c>
      <c r="I1133" s="70" t="s">
        <v>242</v>
      </c>
      <c r="J1133" s="67"/>
      <c r="K1133" s="70" t="s">
        <v>335</v>
      </c>
      <c r="L1133" s="70" t="s">
        <v>956</v>
      </c>
      <c r="M1133" s="70" t="s">
        <v>242</v>
      </c>
      <c r="N1133" s="67"/>
      <c r="O1133" s="70" t="s">
        <v>335</v>
      </c>
      <c r="P1133" s="70" t="s">
        <v>956</v>
      </c>
      <c r="Q1133" s="70" t="s">
        <v>242</v>
      </c>
      <c r="R1133" s="67"/>
      <c r="S1133" s="561"/>
    </row>
    <row r="1134" spans="1:36" ht="15.75" customHeight="1" x14ac:dyDescent="0.3">
      <c r="A1134" s="551"/>
      <c r="B1134" s="67"/>
      <c r="C1134" s="70" t="s">
        <v>932</v>
      </c>
      <c r="D1134" s="70" t="s">
        <v>1917</v>
      </c>
      <c r="E1134" s="70" t="s">
        <v>1481</v>
      </c>
      <c r="F1134" s="67"/>
      <c r="G1134" s="70" t="s">
        <v>932</v>
      </c>
      <c r="H1134" s="70" t="s">
        <v>1917</v>
      </c>
      <c r="I1134" s="70" t="s">
        <v>1481</v>
      </c>
      <c r="J1134" s="67"/>
      <c r="K1134" s="70" t="s">
        <v>932</v>
      </c>
      <c r="L1134" s="70" t="s">
        <v>1917</v>
      </c>
      <c r="M1134" s="70" t="s">
        <v>1481</v>
      </c>
      <c r="N1134" s="67"/>
      <c r="O1134" s="70" t="s">
        <v>932</v>
      </c>
      <c r="P1134" s="70" t="s">
        <v>1917</v>
      </c>
      <c r="Q1134" s="70" t="s">
        <v>1481</v>
      </c>
      <c r="R1134" s="67"/>
      <c r="S1134" s="561"/>
    </row>
    <row r="1135" spans="1:36" ht="15.75" customHeight="1" x14ac:dyDescent="0.3">
      <c r="A1135" s="551"/>
      <c r="B1135" s="67"/>
      <c r="C1135" s="67" t="s">
        <v>1353</v>
      </c>
      <c r="D1135" s="67" t="s">
        <v>1353</v>
      </c>
      <c r="E1135" s="67" t="s">
        <v>1353</v>
      </c>
      <c r="F1135" s="67"/>
      <c r="G1135" s="70" t="s">
        <v>1353</v>
      </c>
      <c r="H1135" s="70" t="s">
        <v>1353</v>
      </c>
      <c r="I1135" s="70" t="s">
        <v>1353</v>
      </c>
      <c r="J1135" s="67"/>
      <c r="K1135" s="67" t="s">
        <v>1353</v>
      </c>
      <c r="L1135" s="67" t="s">
        <v>1353</v>
      </c>
      <c r="M1135" s="67" t="s">
        <v>1353</v>
      </c>
      <c r="N1135" s="67"/>
      <c r="O1135" s="67" t="s">
        <v>1353</v>
      </c>
      <c r="P1135" s="67" t="s">
        <v>1353</v>
      </c>
      <c r="Q1135" s="67" t="s">
        <v>1353</v>
      </c>
      <c r="R1135" s="67"/>
      <c r="S1135" s="561"/>
    </row>
    <row r="1136" spans="1:36" ht="15.75" customHeight="1" x14ac:dyDescent="0.3">
      <c r="A1136" s="553" t="s">
        <v>1354</v>
      </c>
      <c r="B1136" s="67"/>
      <c r="C1136" s="67">
        <f t="shared" ref="C1136:C1147" si="488">(P1008)</f>
        <v>0.2</v>
      </c>
      <c r="D1136" s="72">
        <v>0</v>
      </c>
      <c r="E1136" s="73">
        <f t="shared" ref="E1136:E1147" si="489">(P1008*D1136/1000)</f>
        <v>0</v>
      </c>
      <c r="F1136" s="67"/>
      <c r="G1136" s="67">
        <v>0</v>
      </c>
      <c r="H1136" s="72">
        <v>0</v>
      </c>
      <c r="I1136" s="73">
        <f t="shared" ref="I1136:I1147" si="490">(G1136*H1136/1000)</f>
        <v>0</v>
      </c>
      <c r="J1136" s="67"/>
      <c r="K1136" s="589">
        <v>11848</v>
      </c>
      <c r="L1136" s="590">
        <v>0</v>
      </c>
      <c r="M1136" s="73">
        <f t="shared" ref="M1136:M1147" si="491">(K1136*L1136/1000)</f>
        <v>0</v>
      </c>
      <c r="N1136" s="67"/>
      <c r="O1136" s="589">
        <v>0</v>
      </c>
      <c r="P1136" s="72">
        <v>0</v>
      </c>
      <c r="Q1136" s="73">
        <f t="shared" ref="Q1136:Q1147" si="492">(O1136*P1136/1000)</f>
        <v>0</v>
      </c>
      <c r="R1136" s="67"/>
      <c r="S1136" s="561"/>
    </row>
    <row r="1137" spans="1:19" ht="15.75" customHeight="1" x14ac:dyDescent="0.3">
      <c r="A1137" s="553" t="s">
        <v>706</v>
      </c>
      <c r="B1137" s="67"/>
      <c r="C1137" s="67">
        <f t="shared" si="488"/>
        <v>0.25</v>
      </c>
      <c r="D1137" s="72">
        <v>0</v>
      </c>
      <c r="E1137" s="73">
        <f t="shared" si="489"/>
        <v>0</v>
      </c>
      <c r="F1137" s="67"/>
      <c r="G1137" s="67" t="e">
        <f>#REF!</f>
        <v>#REF!</v>
      </c>
      <c r="H1137" s="72">
        <v>0</v>
      </c>
      <c r="I1137" s="73" t="e">
        <f t="shared" si="490"/>
        <v>#REF!</v>
      </c>
      <c r="J1137" s="67"/>
      <c r="K1137" s="589">
        <v>11489</v>
      </c>
      <c r="L1137" s="590">
        <v>0</v>
      </c>
      <c r="M1137" s="73">
        <f t="shared" si="491"/>
        <v>0</v>
      </c>
      <c r="N1137" s="67"/>
      <c r="O1137" s="589">
        <v>0</v>
      </c>
      <c r="P1137" s="72">
        <v>0</v>
      </c>
      <c r="Q1137" s="73">
        <f t="shared" si="492"/>
        <v>0</v>
      </c>
      <c r="R1137" s="67"/>
      <c r="S1137" s="561"/>
    </row>
    <row r="1138" spans="1:19" ht="15.75" customHeight="1" x14ac:dyDescent="0.3">
      <c r="A1138" s="553" t="s">
        <v>707</v>
      </c>
      <c r="B1138" s="67"/>
      <c r="C1138" s="67">
        <f t="shared" si="488"/>
        <v>0.3</v>
      </c>
      <c r="D1138" s="72">
        <v>0</v>
      </c>
      <c r="E1138" s="73">
        <f t="shared" si="489"/>
        <v>0</v>
      </c>
      <c r="F1138" s="67">
        <f>SUM(E1136:E1138)</f>
        <v>0</v>
      </c>
      <c r="G1138" s="67" t="e">
        <f>#REF!</f>
        <v>#REF!</v>
      </c>
      <c r="H1138" s="72">
        <v>0</v>
      </c>
      <c r="I1138" s="73" t="e">
        <f t="shared" si="490"/>
        <v>#REF!</v>
      </c>
      <c r="J1138" s="67" t="e">
        <f>SUM(I1136:I1138)</f>
        <v>#REF!</v>
      </c>
      <c r="K1138" s="589">
        <v>16247</v>
      </c>
      <c r="L1138" s="590">
        <v>0</v>
      </c>
      <c r="M1138" s="73">
        <f t="shared" si="491"/>
        <v>0</v>
      </c>
      <c r="N1138" s="67">
        <f>SUM(M1136:M1138)</f>
        <v>0</v>
      </c>
      <c r="O1138" s="589">
        <v>0</v>
      </c>
      <c r="P1138" s="72">
        <v>0</v>
      </c>
      <c r="Q1138" s="73">
        <f t="shared" si="492"/>
        <v>0</v>
      </c>
      <c r="R1138" s="67">
        <f>SUM(Q1136:Q1138)</f>
        <v>0</v>
      </c>
      <c r="S1138" s="561"/>
    </row>
    <row r="1139" spans="1:19" ht="15.75" customHeight="1" x14ac:dyDescent="0.3">
      <c r="A1139" s="553" t="s">
        <v>1321</v>
      </c>
      <c r="B1139" s="67"/>
      <c r="C1139" s="67">
        <f t="shared" si="488"/>
        <v>0.35</v>
      </c>
      <c r="D1139" s="72">
        <v>0</v>
      </c>
      <c r="E1139" s="73">
        <f t="shared" si="489"/>
        <v>0</v>
      </c>
      <c r="F1139" s="67"/>
      <c r="G1139" s="67" t="e">
        <f>#REF!</f>
        <v>#REF!</v>
      </c>
      <c r="H1139" s="72">
        <v>0</v>
      </c>
      <c r="I1139" s="73" t="e">
        <f t="shared" si="490"/>
        <v>#REF!</v>
      </c>
      <c r="J1139" s="67"/>
      <c r="K1139" s="589">
        <v>17740</v>
      </c>
      <c r="L1139" s="590">
        <v>0</v>
      </c>
      <c r="M1139" s="73">
        <f t="shared" si="491"/>
        <v>0</v>
      </c>
      <c r="N1139" s="67"/>
      <c r="O1139" s="589">
        <v>0</v>
      </c>
      <c r="P1139" s="72">
        <v>0</v>
      </c>
      <c r="Q1139" s="73">
        <f t="shared" si="492"/>
        <v>0</v>
      </c>
      <c r="R1139" s="67"/>
      <c r="S1139" s="561"/>
    </row>
    <row r="1140" spans="1:19" ht="15.75" customHeight="1" x14ac:dyDescent="0.3">
      <c r="A1140" s="553" t="s">
        <v>1905</v>
      </c>
      <c r="B1140" s="67"/>
      <c r="C1140" s="67">
        <f t="shared" si="488"/>
        <v>0.35</v>
      </c>
      <c r="D1140" s="72">
        <v>0</v>
      </c>
      <c r="E1140" s="73">
        <f t="shared" si="489"/>
        <v>0</v>
      </c>
      <c r="F1140" s="67"/>
      <c r="G1140" s="67" t="e">
        <f>#REF!</f>
        <v>#REF!</v>
      </c>
      <c r="H1140" s="72">
        <v>0</v>
      </c>
      <c r="I1140" s="73" t="e">
        <f t="shared" si="490"/>
        <v>#REF!</v>
      </c>
      <c r="J1140" s="67"/>
      <c r="K1140" s="589">
        <v>15434</v>
      </c>
      <c r="L1140" s="590">
        <v>0</v>
      </c>
      <c r="M1140" s="73">
        <f t="shared" si="491"/>
        <v>0</v>
      </c>
      <c r="N1140" s="67"/>
      <c r="O1140" s="589">
        <v>0</v>
      </c>
      <c r="P1140" s="72">
        <v>0</v>
      </c>
      <c r="Q1140" s="73">
        <f t="shared" si="492"/>
        <v>0</v>
      </c>
      <c r="R1140" s="67"/>
      <c r="S1140" s="561"/>
    </row>
    <row r="1141" spans="1:19" ht="15.75" customHeight="1" x14ac:dyDescent="0.3">
      <c r="A1141" s="553" t="s">
        <v>1906</v>
      </c>
      <c r="B1141" s="67"/>
      <c r="C1141" s="67">
        <f t="shared" si="488"/>
        <v>7.4999999999999997E-2</v>
      </c>
      <c r="D1141" s="72">
        <v>0</v>
      </c>
      <c r="E1141" s="73">
        <f t="shared" si="489"/>
        <v>0</v>
      </c>
      <c r="F1141" s="67">
        <f>SUM(E1139:E1141)</f>
        <v>0</v>
      </c>
      <c r="G1141" s="67" t="e">
        <f>#REF!</f>
        <v>#REF!</v>
      </c>
      <c r="H1141" s="72">
        <v>0</v>
      </c>
      <c r="I1141" s="73" t="e">
        <f t="shared" si="490"/>
        <v>#REF!</v>
      </c>
      <c r="J1141" s="67" t="e">
        <f>SUM(I1139:I1141)</f>
        <v>#REF!</v>
      </c>
      <c r="K1141" s="589">
        <v>14355</v>
      </c>
      <c r="L1141" s="590">
        <v>0</v>
      </c>
      <c r="M1141" s="73">
        <f t="shared" si="491"/>
        <v>0</v>
      </c>
      <c r="N1141" s="67">
        <f>SUM(M1139:M1141)</f>
        <v>0</v>
      </c>
      <c r="O1141" s="589">
        <v>0</v>
      </c>
      <c r="P1141" s="72">
        <v>0</v>
      </c>
      <c r="Q1141" s="73">
        <f t="shared" si="492"/>
        <v>0</v>
      </c>
      <c r="R1141" s="67">
        <f>SUM(Q1139:Q1141)</f>
        <v>0</v>
      </c>
      <c r="S1141" s="561"/>
    </row>
    <row r="1142" spans="1:19" ht="15.75" customHeight="1" x14ac:dyDescent="0.3">
      <c r="A1142" s="553" t="s">
        <v>1907</v>
      </c>
      <c r="B1142" s="67"/>
      <c r="C1142" s="67">
        <f t="shared" si="488"/>
        <v>0.05</v>
      </c>
      <c r="D1142" s="72">
        <v>0</v>
      </c>
      <c r="E1142" s="73">
        <f t="shared" si="489"/>
        <v>0</v>
      </c>
      <c r="F1142" s="67"/>
      <c r="G1142" s="67" t="e">
        <f>#REF!</f>
        <v>#REF!</v>
      </c>
      <c r="H1142" s="72">
        <v>0</v>
      </c>
      <c r="I1142" s="73" t="e">
        <f t="shared" si="490"/>
        <v>#REF!</v>
      </c>
      <c r="J1142" s="67"/>
      <c r="K1142" s="589">
        <v>13129</v>
      </c>
      <c r="L1142" s="590">
        <v>0</v>
      </c>
      <c r="M1142" s="73">
        <f t="shared" si="491"/>
        <v>0</v>
      </c>
      <c r="N1142" s="67"/>
      <c r="O1142" s="589">
        <v>0</v>
      </c>
      <c r="P1142" s="72">
        <v>0</v>
      </c>
      <c r="Q1142" s="73">
        <f t="shared" si="492"/>
        <v>0</v>
      </c>
      <c r="R1142" s="67"/>
      <c r="S1142" s="561"/>
    </row>
    <row r="1143" spans="1:19" ht="15.75" customHeight="1" x14ac:dyDescent="0.3">
      <c r="A1143" s="553" t="s">
        <v>1908</v>
      </c>
      <c r="B1143" s="67"/>
      <c r="C1143" s="67">
        <f t="shared" si="488"/>
        <v>0</v>
      </c>
      <c r="D1143" s="72">
        <v>0</v>
      </c>
      <c r="E1143" s="73">
        <f t="shared" si="489"/>
        <v>0</v>
      </c>
      <c r="F1143" s="67"/>
      <c r="G1143" s="67" t="e">
        <f>#REF!</f>
        <v>#REF!</v>
      </c>
      <c r="H1143" s="72">
        <v>0</v>
      </c>
      <c r="I1143" s="73" t="e">
        <f t="shared" si="490"/>
        <v>#REF!</v>
      </c>
      <c r="J1143" s="67"/>
      <c r="K1143" s="589">
        <v>12545</v>
      </c>
      <c r="L1143" s="590">
        <v>0</v>
      </c>
      <c r="M1143" s="73">
        <f t="shared" si="491"/>
        <v>0</v>
      </c>
      <c r="N1143" s="67"/>
      <c r="O1143" s="589">
        <v>0</v>
      </c>
      <c r="P1143" s="72">
        <v>0</v>
      </c>
      <c r="Q1143" s="73">
        <f t="shared" si="492"/>
        <v>0</v>
      </c>
      <c r="R1143" s="67"/>
      <c r="S1143" s="561"/>
    </row>
    <row r="1144" spans="1:19" ht="15.75" customHeight="1" x14ac:dyDescent="0.3">
      <c r="A1144" s="553" t="s">
        <v>2352</v>
      </c>
      <c r="B1144" s="67"/>
      <c r="C1144" s="67">
        <f t="shared" si="488"/>
        <v>0.05</v>
      </c>
      <c r="D1144" s="72">
        <v>0</v>
      </c>
      <c r="E1144" s="73">
        <f t="shared" si="489"/>
        <v>0</v>
      </c>
      <c r="F1144" s="67">
        <f>SUM(E1142:E1144)</f>
        <v>0</v>
      </c>
      <c r="G1144" s="67" t="e">
        <f>#REF!</f>
        <v>#REF!</v>
      </c>
      <c r="H1144" s="72">
        <v>0</v>
      </c>
      <c r="I1144" s="73" t="e">
        <f t="shared" si="490"/>
        <v>#REF!</v>
      </c>
      <c r="J1144" s="67" t="e">
        <f>SUM(I1142:I1144)</f>
        <v>#REF!</v>
      </c>
      <c r="K1144" s="589">
        <v>9350</v>
      </c>
      <c r="L1144" s="590">
        <v>0</v>
      </c>
      <c r="M1144" s="73">
        <f t="shared" si="491"/>
        <v>0</v>
      </c>
      <c r="N1144" s="67">
        <f>SUM(M1142:M1144)</f>
        <v>0</v>
      </c>
      <c r="O1144" s="589">
        <v>0</v>
      </c>
      <c r="P1144" s="72">
        <v>0</v>
      </c>
      <c r="Q1144" s="73">
        <f t="shared" si="492"/>
        <v>0</v>
      </c>
      <c r="R1144" s="67">
        <f>SUM(Q1142:Q1144)</f>
        <v>0</v>
      </c>
      <c r="S1144" s="561"/>
    </row>
    <row r="1145" spans="1:19" ht="15.75" customHeight="1" x14ac:dyDescent="0.3">
      <c r="A1145" s="553" t="s">
        <v>2353</v>
      </c>
      <c r="B1145" s="67"/>
      <c r="C1145" s="67">
        <f t="shared" si="488"/>
        <v>0.2</v>
      </c>
      <c r="D1145" s="72">
        <v>0</v>
      </c>
      <c r="E1145" s="73">
        <f t="shared" si="489"/>
        <v>0</v>
      </c>
      <c r="F1145" s="67"/>
      <c r="G1145" s="67" t="e">
        <f>#REF!</f>
        <v>#REF!</v>
      </c>
      <c r="H1145" s="72">
        <v>0</v>
      </c>
      <c r="I1145" s="73" t="e">
        <f t="shared" si="490"/>
        <v>#REF!</v>
      </c>
      <c r="J1145" s="67"/>
      <c r="K1145" s="589">
        <v>11649</v>
      </c>
      <c r="L1145" s="590">
        <v>0</v>
      </c>
      <c r="M1145" s="73">
        <f t="shared" si="491"/>
        <v>0</v>
      </c>
      <c r="N1145" s="67"/>
      <c r="O1145" s="589">
        <v>0</v>
      </c>
      <c r="P1145" s="72">
        <v>0</v>
      </c>
      <c r="Q1145" s="73">
        <f t="shared" si="492"/>
        <v>0</v>
      </c>
      <c r="R1145" s="67"/>
      <c r="S1145" s="561"/>
    </row>
    <row r="1146" spans="1:19" ht="15.75" customHeight="1" x14ac:dyDescent="0.3">
      <c r="A1146" s="553" t="s">
        <v>2354</v>
      </c>
      <c r="B1146" s="67"/>
      <c r="C1146" s="67">
        <f t="shared" si="488"/>
        <v>0.2</v>
      </c>
      <c r="D1146" s="72">
        <v>0</v>
      </c>
      <c r="E1146" s="73">
        <f t="shared" si="489"/>
        <v>0</v>
      </c>
      <c r="F1146" s="67"/>
      <c r="G1146" s="67" t="e">
        <f>#REF!</f>
        <v>#REF!</v>
      </c>
      <c r="H1146" s="72">
        <v>0</v>
      </c>
      <c r="I1146" s="73" t="e">
        <f t="shared" si="490"/>
        <v>#REF!</v>
      </c>
      <c r="J1146" s="67"/>
      <c r="K1146" s="589">
        <v>8035</v>
      </c>
      <c r="L1146" s="590">
        <v>0</v>
      </c>
      <c r="M1146" s="73">
        <f t="shared" si="491"/>
        <v>0</v>
      </c>
      <c r="N1146" s="67"/>
      <c r="O1146" s="589">
        <v>0</v>
      </c>
      <c r="P1146" s="72">
        <v>0</v>
      </c>
      <c r="Q1146" s="73">
        <f t="shared" si="492"/>
        <v>0</v>
      </c>
      <c r="R1146" s="67"/>
      <c r="S1146" s="561"/>
    </row>
    <row r="1147" spans="1:19" ht="15.75" customHeight="1" x14ac:dyDescent="0.3">
      <c r="A1147" s="553" t="s">
        <v>2355</v>
      </c>
      <c r="B1147" s="67"/>
      <c r="C1147" s="67">
        <f t="shared" si="488"/>
        <v>0.2</v>
      </c>
      <c r="D1147" s="72">
        <v>0</v>
      </c>
      <c r="E1147" s="73">
        <f t="shared" si="489"/>
        <v>0</v>
      </c>
      <c r="F1147" s="67">
        <f>SUM(E1145:E1147)</f>
        <v>0</v>
      </c>
      <c r="G1147" s="67" t="e">
        <f>#REF!</f>
        <v>#REF!</v>
      </c>
      <c r="H1147" s="72">
        <v>0</v>
      </c>
      <c r="I1147" s="73" t="e">
        <f t="shared" si="490"/>
        <v>#REF!</v>
      </c>
      <c r="J1147" s="67" t="e">
        <f>SUM(I1145:I1147)</f>
        <v>#REF!</v>
      </c>
      <c r="K1147" s="589">
        <v>8092</v>
      </c>
      <c r="L1147" s="590">
        <v>0</v>
      </c>
      <c r="M1147" s="73">
        <f t="shared" si="491"/>
        <v>0</v>
      </c>
      <c r="N1147" s="67">
        <f>SUM(M1145:M1147)</f>
        <v>0</v>
      </c>
      <c r="O1147" s="589">
        <v>0</v>
      </c>
      <c r="P1147" s="72">
        <v>0</v>
      </c>
      <c r="Q1147" s="73">
        <f t="shared" si="492"/>
        <v>0</v>
      </c>
      <c r="R1147" s="67">
        <f>SUM(Q1145:Q1147)</f>
        <v>0</v>
      </c>
      <c r="S1147" s="561"/>
    </row>
    <row r="1148" spans="1:19" ht="15.75" customHeight="1" x14ac:dyDescent="0.3">
      <c r="A1148" s="551"/>
      <c r="B1148" s="67"/>
      <c r="C1148" s="67"/>
      <c r="D1148" s="67"/>
      <c r="E1148" s="67"/>
      <c r="F1148" s="67"/>
      <c r="G1148" s="67"/>
      <c r="H1148" s="67"/>
      <c r="I1148" s="67"/>
      <c r="J1148" s="67"/>
      <c r="K1148" s="67"/>
      <c r="L1148" s="67"/>
      <c r="M1148" s="67"/>
      <c r="N1148" s="67"/>
      <c r="O1148" s="67"/>
      <c r="P1148" s="67"/>
      <c r="Q1148" s="67"/>
      <c r="R1148" s="67"/>
      <c r="S1148" s="561"/>
    </row>
    <row r="1149" spans="1:19" ht="15.75" customHeight="1" x14ac:dyDescent="0.3">
      <c r="A1149" s="551"/>
      <c r="B1149" s="67"/>
      <c r="C1149" s="67"/>
      <c r="D1149" s="67"/>
      <c r="E1149" s="67"/>
      <c r="F1149" s="67"/>
      <c r="G1149" s="67"/>
      <c r="H1149" s="67"/>
      <c r="I1149" s="67"/>
      <c r="J1149" s="67"/>
      <c r="K1149" s="67"/>
      <c r="L1149" s="67"/>
      <c r="M1149" s="67"/>
      <c r="N1149" s="67"/>
      <c r="O1149" s="67"/>
      <c r="P1149" s="67"/>
      <c r="Q1149" s="67"/>
      <c r="R1149" s="67"/>
      <c r="S1149" s="561"/>
    </row>
    <row r="1150" spans="1:19" ht="16.5" customHeight="1" thickBot="1" x14ac:dyDescent="0.35">
      <c r="A1150" s="554" t="s">
        <v>2356</v>
      </c>
      <c r="B1150" s="555"/>
      <c r="C1150" s="555">
        <f>SUM(C1136:C1147)</f>
        <v>2.2250000000000005</v>
      </c>
      <c r="D1150" s="555"/>
      <c r="E1150" s="567">
        <f>SUM(E1136:E1147)</f>
        <v>0</v>
      </c>
      <c r="F1150" s="555"/>
      <c r="G1150" s="555" t="e">
        <f>SUM(G1136:G1147)</f>
        <v>#REF!</v>
      </c>
      <c r="H1150" s="555" t="s">
        <v>2435</v>
      </c>
      <c r="I1150" s="567" t="e">
        <f>SUM(I1136:I1147)</f>
        <v>#REF!</v>
      </c>
      <c r="J1150" s="555"/>
      <c r="K1150" s="555">
        <f>SUM(K1136:K1147)</f>
        <v>149913</v>
      </c>
      <c r="L1150" s="555" t="s">
        <v>2435</v>
      </c>
      <c r="M1150" s="567">
        <f>SUM(M1136:M1147)</f>
        <v>0</v>
      </c>
      <c r="N1150" s="555"/>
      <c r="O1150" s="555">
        <f>(SUM(O1136:O1147))</f>
        <v>0</v>
      </c>
      <c r="P1150" s="555" t="s">
        <v>2435</v>
      </c>
      <c r="Q1150" s="567">
        <f>SUM(Q1136:Q1147)</f>
        <v>0</v>
      </c>
      <c r="R1150" s="555"/>
      <c r="S1150" s="565"/>
    </row>
  </sheetData>
  <scenarios current="0">
    <scenario name="Jan" count="1" user="Windows User" comment="Created by Windows User on 4/11/2013">
      <inputCells r="B313" val="57771.3688407242" numFmtId="37"/>
    </scenario>
  </scenarios>
  <autoFilter ref="A31:R911" xr:uid="{00000000-0009-0000-0000-000002000000}"/>
  <mergeCells count="73">
    <mergeCell ref="A8:R8"/>
    <mergeCell ref="A2:R2"/>
    <mergeCell ref="A3:R3"/>
    <mergeCell ref="A4:R4"/>
    <mergeCell ref="A5:R5"/>
    <mergeCell ref="A6:R6"/>
    <mergeCell ref="B915:P915"/>
    <mergeCell ref="A850:R850"/>
    <mergeCell ref="A851:R851"/>
    <mergeCell ref="A852:R852"/>
    <mergeCell ref="A853:R853"/>
    <mergeCell ref="A855:R855"/>
    <mergeCell ref="A891:R891"/>
    <mergeCell ref="A892:R892"/>
    <mergeCell ref="A893:R893"/>
    <mergeCell ref="A894:R894"/>
    <mergeCell ref="A896:R896"/>
    <mergeCell ref="B914:P914"/>
    <mergeCell ref="AD965:AQ965"/>
    <mergeCell ref="B916:P916"/>
    <mergeCell ref="B917:P917"/>
    <mergeCell ref="B918:P918"/>
    <mergeCell ref="B919:P919"/>
    <mergeCell ref="B943:P943"/>
    <mergeCell ref="B944:P944"/>
    <mergeCell ref="B945:P945"/>
    <mergeCell ref="B946:P946"/>
    <mergeCell ref="B947:P947"/>
    <mergeCell ref="B948:P948"/>
    <mergeCell ref="AD964:AQ964"/>
    <mergeCell ref="B1000:P1000"/>
    <mergeCell ref="AD1000:AQ1000"/>
    <mergeCell ref="AD966:AQ966"/>
    <mergeCell ref="AD968:AQ968"/>
    <mergeCell ref="B969:P969"/>
    <mergeCell ref="AD969:AQ969"/>
    <mergeCell ref="B970:P970"/>
    <mergeCell ref="B971:P971"/>
    <mergeCell ref="B973:P973"/>
    <mergeCell ref="B974:P974"/>
    <mergeCell ref="B998:P998"/>
    <mergeCell ref="B999:P999"/>
    <mergeCell ref="AD999:AQ999"/>
    <mergeCell ref="B1001:P1001"/>
    <mergeCell ref="AD1001:AQ1001"/>
    <mergeCell ref="B1002:F1002"/>
    <mergeCell ref="G1002:L1002"/>
    <mergeCell ref="M1002:R1002"/>
    <mergeCell ref="S1002:U1002"/>
    <mergeCell ref="B1057:P1057"/>
    <mergeCell ref="M1003:O1003"/>
    <mergeCell ref="AD1003:AQ1003"/>
    <mergeCell ref="AD1004:AQ1004"/>
    <mergeCell ref="B1028:P1028"/>
    <mergeCell ref="B1029:F1029"/>
    <mergeCell ref="G1029:L1029"/>
    <mergeCell ref="M1029:R1029"/>
    <mergeCell ref="S1029:U1029"/>
    <mergeCell ref="M1030:O1030"/>
    <mergeCell ref="B1052:P1052"/>
    <mergeCell ref="B1053:P1053"/>
    <mergeCell ref="B1054:P1054"/>
    <mergeCell ref="B1056:P1056"/>
    <mergeCell ref="T1058:U1058"/>
    <mergeCell ref="V1058:W1058"/>
    <mergeCell ref="B1077:P1077"/>
    <mergeCell ref="B1078:P1078"/>
    <mergeCell ref="B1079:P1079"/>
    <mergeCell ref="B1081:P1081"/>
    <mergeCell ref="B1082:P1082"/>
    <mergeCell ref="B1084:L1084"/>
    <mergeCell ref="M1084:P1084"/>
    <mergeCell ref="B1058:D1058"/>
  </mergeCells>
  <conditionalFormatting sqref="S1008:S1019 S1021">
    <cfRule type="cellIs" dxfId="111" priority="3" operator="lessThan">
      <formula>0</formula>
    </cfRule>
    <cfRule type="cellIs" dxfId="110" priority="4" operator="greaterThan">
      <formula>0</formula>
    </cfRule>
  </conditionalFormatting>
  <conditionalFormatting sqref="S1035:S1046">
    <cfRule type="cellIs" dxfId="109" priority="1" operator="lessThan">
      <formula>0</formula>
    </cfRule>
    <cfRule type="cellIs" dxfId="108" priority="2" operator="greaterThan">
      <formula>0</formula>
    </cfRule>
  </conditionalFormatting>
  <printOptions horizontalCentered="1"/>
  <pageMargins left="0.25" right="0.25" top="0.25" bottom="0.25" header="0" footer="0"/>
  <pageSetup paperSize="17" scale="10" orientation="landscape" r:id="rId1"/>
  <headerFooter alignWithMargins="0"/>
  <rowBreaks count="5" manualBreakCount="5">
    <brk id="847" max="17" man="1"/>
    <brk id="887" max="17" man="1"/>
    <brk id="940" max="18" man="1"/>
    <brk id="968" max="18" man="1"/>
    <brk id="936" min="28" max="46"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4">
    <pageSetUpPr fitToPage="1"/>
  </sheetPr>
  <dimension ref="A1:AX1179"/>
  <sheetViews>
    <sheetView topLeftCell="A11" zoomScale="80" zoomScaleNormal="80" workbookViewId="0">
      <pane ySplit="21" topLeftCell="A1023" activePane="bottomLeft" state="frozen"/>
      <selection activeCell="A11" sqref="A11"/>
      <selection pane="bottomLeft" activeCell="A13" sqref="A13"/>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0" width="10" bestFit="1" customWidth="1"/>
    <col min="11"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2.81640625" customWidth="1"/>
    <col min="20" max="20" width="9.453125" bestFit="1" customWidth="1"/>
    <col min="22" max="22" width="9.90625" customWidth="1"/>
    <col min="23" max="23" width="11.54296875" customWidth="1"/>
    <col min="24" max="24" width="10.54296875" customWidth="1"/>
    <col min="25" max="25" width="11.1796875" customWidth="1"/>
    <col min="26" max="26" width="10.453125" bestFit="1" customWidth="1"/>
    <col min="29" max="29" width="11.54296875" customWidth="1"/>
    <col min="35" max="35" width="9.9062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44881.729633912037</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2020</v>
      </c>
      <c r="B5" s="781"/>
      <c r="C5" s="781"/>
      <c r="D5" s="781"/>
      <c r="E5" s="781"/>
      <c r="F5" s="781"/>
      <c r="G5" s="781"/>
      <c r="H5" s="781"/>
      <c r="I5" s="781"/>
      <c r="J5" s="781"/>
      <c r="K5" s="781"/>
      <c r="L5" s="781"/>
      <c r="M5" s="781"/>
      <c r="N5" s="781"/>
      <c r="O5" s="781"/>
      <c r="P5" s="781"/>
      <c r="Q5" s="781"/>
      <c r="R5" s="781"/>
    </row>
    <row r="6" spans="1:36" ht="19.5" customHeight="1" x14ac:dyDescent="0.35">
      <c r="A6" s="780" t="s">
        <v>3465</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3464</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5.75" hidden="1" customHeight="1" thickBot="1" x14ac:dyDescent="0.35">
      <c r="A10" s="356" t="s">
        <v>2844</v>
      </c>
      <c r="B10" s="10">
        <f>DAY(DATE($A$5,MonthFromText(B11)+1,1)-1)</f>
        <v>31</v>
      </c>
      <c r="C10" s="10">
        <f>DAY(DATE($A$5,MonthFromText(C11)+1,1)-1)</f>
        <v>29</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306"/>
      <c r="B12" s="738"/>
      <c r="C12" s="738"/>
      <c r="D12" s="738"/>
      <c r="E12" s="302"/>
      <c r="F12" s="738"/>
      <c r="G12" s="738"/>
      <c r="H12" s="738"/>
      <c r="I12" s="302"/>
      <c r="J12" s="738"/>
      <c r="K12" s="738"/>
      <c r="L12" s="738"/>
      <c r="M12" s="302"/>
      <c r="N12" s="738"/>
      <c r="O12" s="738"/>
      <c r="P12" s="738"/>
      <c r="Q12" s="302"/>
      <c r="R12" s="302"/>
    </row>
    <row r="13" spans="1:36" ht="15.75" customHeight="1" x14ac:dyDescent="0.3">
      <c r="A13" s="234" t="s">
        <v>1277</v>
      </c>
      <c r="B13" s="10">
        <f>+B939</f>
        <v>52807</v>
      </c>
      <c r="C13" s="10">
        <f>+C939</f>
        <v>69398</v>
      </c>
      <c r="D13" s="10">
        <f>+D939</f>
        <v>88013</v>
      </c>
      <c r="E13" s="15">
        <f>SUM(B13:D13)</f>
        <v>210218</v>
      </c>
      <c r="F13" s="10">
        <f>+F939</f>
        <v>141711</v>
      </c>
      <c r="G13" s="10">
        <f>+G939</f>
        <v>174457</v>
      </c>
      <c r="H13" s="10">
        <f>+H939</f>
        <v>192700</v>
      </c>
      <c r="I13" s="15">
        <f t="shared" ref="I13:I19" si="0">SUM(F13:H13)</f>
        <v>508868</v>
      </c>
      <c r="J13" s="10">
        <f>+J939</f>
        <v>185936</v>
      </c>
      <c r="K13" s="10">
        <f>+K939</f>
        <v>180706</v>
      </c>
      <c r="L13" s="10">
        <f>+L939</f>
        <v>129353</v>
      </c>
      <c r="M13" s="15">
        <f t="shared" ref="M13:M20" si="1">SUM(J13:L13)</f>
        <v>495995</v>
      </c>
      <c r="N13" s="10">
        <f>+N939</f>
        <v>95255</v>
      </c>
      <c r="O13" s="10">
        <f>+O939</f>
        <v>59272</v>
      </c>
      <c r="P13" s="10">
        <f>+P939</f>
        <v>69915</v>
      </c>
      <c r="Q13" s="29">
        <f t="shared" ref="Q13:Q19" si="2">SUM(N13:P13)</f>
        <v>224442</v>
      </c>
      <c r="R13" s="15">
        <f t="shared" ref="R13:R20" si="3">+E13+I13+M13+Q13</f>
        <v>1439523</v>
      </c>
      <c r="V13" s="617"/>
      <c r="W13" s="617"/>
      <c r="X13" s="617"/>
      <c r="Z13" s="617"/>
      <c r="AA13" s="617"/>
      <c r="AB13" s="617"/>
      <c r="AD13" s="617"/>
      <c r="AE13" s="617"/>
      <c r="AF13" s="617"/>
      <c r="AH13" s="617"/>
      <c r="AI13" s="617"/>
      <c r="AJ13" s="617"/>
    </row>
    <row r="14" spans="1:36" ht="15.75" customHeight="1" x14ac:dyDescent="0.3">
      <c r="A14" s="234" t="s">
        <v>1278</v>
      </c>
      <c r="B14" s="10">
        <f>B25+B60+B135+B325+B516+B567+B612+B678+B688+B724+B776+B786+B820+B871</f>
        <v>739</v>
      </c>
      <c r="C14" s="10">
        <f>C25+C60+C135+C325+C516+C567+C612+C678+C688+C724+C776+C786+C820+C871</f>
        <v>1283</v>
      </c>
      <c r="D14" s="10">
        <f>D25+D60+D135+D325+D516+D567+D612+D678+D688+D724+D776+D786+D820+D871</f>
        <v>2185</v>
      </c>
      <c r="E14" s="15">
        <f t="shared" ref="E14:E19" si="4">SUM(B14:D14)</f>
        <v>4207</v>
      </c>
      <c r="F14" s="10">
        <f>F25+F60+F135+F325+F516+F567+F612+F678+F688+F724+F776+F786+F820+F871</f>
        <v>2959</v>
      </c>
      <c r="G14" s="10">
        <f>G25+G60+G135+G325+G516+G567+G612+G678+G688+G724+G776+G786+G820+G871</f>
        <v>3425</v>
      </c>
      <c r="H14" s="10">
        <f>H25+H60+H135+H325+H516+H567+H612+H678+H688+H724+H776+H786+H820+H871</f>
        <v>3464</v>
      </c>
      <c r="I14" s="15">
        <f t="shared" si="0"/>
        <v>9848</v>
      </c>
      <c r="J14" s="10">
        <f>J25+J60+J135+J325+J516+J567+J612+J678+J688+J724+J776+J786+J820+J871</f>
        <v>3382</v>
      </c>
      <c r="K14" s="10">
        <f>K25+K60+K135+K325+K516+K567+K612+K678+K688+K724+K776+K786+K820+K871</f>
        <v>2663</v>
      </c>
      <c r="L14" s="10">
        <f>L25+L60+L135+L325+L516+L567+L612+L678+L688+L724+L776+L786+L820+L871</f>
        <v>2559</v>
      </c>
      <c r="M14" s="15">
        <f t="shared" si="1"/>
        <v>8604</v>
      </c>
      <c r="N14" s="10">
        <f>N25+N60+N135+N325+N516+N567+N612+N678+N688+N724+N776+N786+N820+N871</f>
        <v>2343</v>
      </c>
      <c r="O14" s="10">
        <f>O25+O60+O135+O325+O516+O567+O612+O678+O688+O724+O776+O786+O820+O871</f>
        <v>1892</v>
      </c>
      <c r="P14" s="10">
        <f>P25+P60+P135+P325+P516+P567+P612+P678+P688+P724+P776+P786+P820+P871</f>
        <v>1423</v>
      </c>
      <c r="Q14" s="29">
        <f t="shared" si="2"/>
        <v>5658</v>
      </c>
      <c r="R14" s="15">
        <f t="shared" si="3"/>
        <v>28317</v>
      </c>
    </row>
    <row r="15" spans="1:36" ht="15.75" customHeight="1" x14ac:dyDescent="0.3">
      <c r="A15" s="234" t="s">
        <v>397</v>
      </c>
      <c r="B15" s="10">
        <f>B320</f>
        <v>0</v>
      </c>
      <c r="C15" s="10">
        <f>C320</f>
        <v>883</v>
      </c>
      <c r="D15" s="10">
        <f>D320</f>
        <v>640</v>
      </c>
      <c r="E15" s="15">
        <f t="shared" si="4"/>
        <v>1523</v>
      </c>
      <c r="F15" s="10">
        <f>F320</f>
        <v>618</v>
      </c>
      <c r="G15" s="10">
        <f>G320</f>
        <v>1718</v>
      </c>
      <c r="H15" s="10">
        <f>H320</f>
        <v>2967</v>
      </c>
      <c r="I15" s="15">
        <f t="shared" si="0"/>
        <v>5303</v>
      </c>
      <c r="J15" s="10">
        <f>J320</f>
        <v>3280</v>
      </c>
      <c r="K15" s="10">
        <f>K320</f>
        <v>2540</v>
      </c>
      <c r="L15" s="10">
        <f>L320</f>
        <v>2888</v>
      </c>
      <c r="M15" s="15">
        <f t="shared" si="1"/>
        <v>8708</v>
      </c>
      <c r="N15" s="10">
        <f>N320</f>
        <v>4479</v>
      </c>
      <c r="O15" s="10">
        <f>O320</f>
        <v>3570</v>
      </c>
      <c r="P15" s="10">
        <f>P320</f>
        <v>1401</v>
      </c>
      <c r="Q15" s="29">
        <f t="shared" si="2"/>
        <v>9450</v>
      </c>
      <c r="R15" s="15">
        <f t="shared" si="3"/>
        <v>24984</v>
      </c>
    </row>
    <row r="16" spans="1:36" ht="15.75" customHeight="1" x14ac:dyDescent="0.3">
      <c r="A16" s="235" t="s">
        <v>967</v>
      </c>
      <c r="B16" s="10">
        <f>+B321</f>
        <v>0</v>
      </c>
      <c r="C16" s="10">
        <f>+C321</f>
        <v>0</v>
      </c>
      <c r="D16" s="10">
        <f>+D321</f>
        <v>454</v>
      </c>
      <c r="E16" s="15">
        <f t="shared" si="4"/>
        <v>454</v>
      </c>
      <c r="F16" s="10">
        <f>+F321</f>
        <v>2393</v>
      </c>
      <c r="G16" s="10">
        <f>+G321</f>
        <v>12158</v>
      </c>
      <c r="H16" s="10">
        <f>+H321</f>
        <v>-5139</v>
      </c>
      <c r="I16" s="15">
        <f t="shared" si="0"/>
        <v>9412</v>
      </c>
      <c r="J16" s="10">
        <f>+J321</f>
        <v>-5004</v>
      </c>
      <c r="K16" s="10">
        <f>+K321</f>
        <v>-1676</v>
      </c>
      <c r="L16" s="10">
        <f>+L321</f>
        <v>0</v>
      </c>
      <c r="M16" s="15">
        <f t="shared" si="1"/>
        <v>-6680</v>
      </c>
      <c r="N16" s="10">
        <f>+N321</f>
        <v>0</v>
      </c>
      <c r="O16" s="10">
        <f>+O321</f>
        <v>0</v>
      </c>
      <c r="P16" s="10">
        <f>+P321</f>
        <v>0</v>
      </c>
      <c r="Q16" s="29">
        <f t="shared" si="2"/>
        <v>0</v>
      </c>
      <c r="R16" s="15">
        <f t="shared" si="3"/>
        <v>3186</v>
      </c>
    </row>
    <row r="17" spans="1:20" ht="15.75" customHeight="1" x14ac:dyDescent="0.3">
      <c r="A17" s="236" t="s">
        <v>1176</v>
      </c>
      <c r="B17" s="10">
        <f>B324</f>
        <v>20718</v>
      </c>
      <c r="C17" s="10">
        <f>C324</f>
        <v>2716</v>
      </c>
      <c r="D17" s="10">
        <f>D324</f>
        <v>23196</v>
      </c>
      <c r="E17" s="15">
        <f t="shared" si="4"/>
        <v>46630</v>
      </c>
      <c r="F17" s="10">
        <f>F324</f>
        <v>3618</v>
      </c>
      <c r="G17" s="10">
        <f>G324</f>
        <v>0</v>
      </c>
      <c r="H17" s="10">
        <f>H324</f>
        <v>0</v>
      </c>
      <c r="I17" s="15">
        <f t="shared" si="0"/>
        <v>3618</v>
      </c>
      <c r="J17" s="10">
        <f>J324</f>
        <v>0</v>
      </c>
      <c r="K17" s="10">
        <f>K324</f>
        <v>5</v>
      </c>
      <c r="L17" s="10">
        <f>L324</f>
        <v>33393</v>
      </c>
      <c r="M17" s="15">
        <f t="shared" si="1"/>
        <v>33398</v>
      </c>
      <c r="N17" s="10">
        <f>N324</f>
        <v>61538</v>
      </c>
      <c r="O17" s="10">
        <f>O324</f>
        <v>65150</v>
      </c>
      <c r="P17" s="10">
        <f>P324</f>
        <v>55000</v>
      </c>
      <c r="Q17" s="29">
        <f t="shared" si="2"/>
        <v>181688</v>
      </c>
      <c r="R17" s="15">
        <f t="shared" si="3"/>
        <v>265334</v>
      </c>
    </row>
    <row r="18" spans="1:20" ht="15.75" customHeight="1" x14ac:dyDescent="0.3">
      <c r="A18" s="236" t="s">
        <v>662</v>
      </c>
      <c r="B18" s="10">
        <f>B336</f>
        <v>0</v>
      </c>
      <c r="C18" s="10">
        <f>C336</f>
        <v>0</v>
      </c>
      <c r="D18" s="10">
        <f>D336</f>
        <v>-19258</v>
      </c>
      <c r="E18" s="15">
        <f t="shared" si="4"/>
        <v>-19258</v>
      </c>
      <c r="F18" s="10">
        <f>F336</f>
        <v>0</v>
      </c>
      <c r="G18" s="10">
        <f>G336</f>
        <v>-12620</v>
      </c>
      <c r="H18" s="10">
        <f>H336</f>
        <v>-87156</v>
      </c>
      <c r="I18" s="15">
        <f t="shared" si="0"/>
        <v>-99776</v>
      </c>
      <c r="J18" s="10">
        <f>J336</f>
        <v>-112890</v>
      </c>
      <c r="K18" s="10">
        <f>K336</f>
        <v>-121200</v>
      </c>
      <c r="L18" s="10">
        <f>L336</f>
        <v>-3227</v>
      </c>
      <c r="M18" s="15">
        <f t="shared" si="1"/>
        <v>-237317</v>
      </c>
      <c r="N18" s="10">
        <f>N336</f>
        <v>-23</v>
      </c>
      <c r="O18" s="10">
        <f>O336</f>
        <v>-5290</v>
      </c>
      <c r="P18" s="10">
        <f>P336</f>
        <v>0</v>
      </c>
      <c r="Q18" s="29">
        <f t="shared" si="2"/>
        <v>-5313</v>
      </c>
      <c r="R18" s="15">
        <f t="shared" si="3"/>
        <v>-361664</v>
      </c>
    </row>
    <row r="19" spans="1:20" ht="16.5" customHeight="1" thickBot="1" x14ac:dyDescent="0.35">
      <c r="A19" s="237" t="s">
        <v>851</v>
      </c>
      <c r="B19" s="294">
        <f>(B29)</f>
        <v>74264</v>
      </c>
      <c r="C19" s="294">
        <f>(C29)</f>
        <v>74280</v>
      </c>
      <c r="D19" s="294">
        <f>(D29)</f>
        <v>95230</v>
      </c>
      <c r="E19" s="16">
        <f t="shared" si="4"/>
        <v>243774</v>
      </c>
      <c r="F19" s="294">
        <f>(F29)</f>
        <v>151299</v>
      </c>
      <c r="G19" s="294">
        <f>(G29)</f>
        <v>179138</v>
      </c>
      <c r="H19" s="294">
        <f>(H29)</f>
        <v>106836</v>
      </c>
      <c r="I19" s="16">
        <f t="shared" si="0"/>
        <v>437273</v>
      </c>
      <c r="J19" s="294">
        <f>(J29)</f>
        <v>74704</v>
      </c>
      <c r="K19" s="294">
        <f>(K29)</f>
        <v>63038</v>
      </c>
      <c r="L19" s="294">
        <f>(L29)</f>
        <v>164966</v>
      </c>
      <c r="M19" s="16">
        <f t="shared" si="1"/>
        <v>302708</v>
      </c>
      <c r="N19" s="294">
        <f>(N29)</f>
        <v>163592</v>
      </c>
      <c r="O19" s="294">
        <f>(O29)</f>
        <v>124594</v>
      </c>
      <c r="P19" s="294">
        <f>(P29)</f>
        <v>127739</v>
      </c>
      <c r="Q19" s="30">
        <f t="shared" si="2"/>
        <v>415925</v>
      </c>
      <c r="R19" s="16">
        <f t="shared" si="3"/>
        <v>1399680</v>
      </c>
    </row>
    <row r="20" spans="1:20" ht="16.5" customHeight="1" thickBot="1" x14ac:dyDescent="0.35">
      <c r="A20" s="237" t="s">
        <v>496</v>
      </c>
      <c r="B20" s="294">
        <v>75318</v>
      </c>
      <c r="C20" s="294">
        <v>74716</v>
      </c>
      <c r="D20" s="294">
        <v>94056</v>
      </c>
      <c r="E20" s="16">
        <f>SUM(B20:D20)</f>
        <v>244090</v>
      </c>
      <c r="F20" s="294">
        <v>148297</v>
      </c>
      <c r="G20" s="294">
        <v>179746</v>
      </c>
      <c r="H20" s="294">
        <v>103316</v>
      </c>
      <c r="I20" s="16">
        <f>SUM(F20:H20)</f>
        <v>431359</v>
      </c>
      <c r="J20" s="294">
        <v>69322</v>
      </c>
      <c r="K20" s="294">
        <v>61464</v>
      </c>
      <c r="L20" s="294">
        <v>164300</v>
      </c>
      <c r="M20" s="16">
        <f t="shared" si="1"/>
        <v>295086</v>
      </c>
      <c r="N20" s="294">
        <v>163523</v>
      </c>
      <c r="O20" s="294">
        <v>123148</v>
      </c>
      <c r="P20" s="294">
        <f>+P19</f>
        <v>127739</v>
      </c>
      <c r="Q20" s="30">
        <f>SUM(N20:P20)</f>
        <v>414410</v>
      </c>
      <c r="R20" s="16">
        <f t="shared" si="3"/>
        <v>1384945</v>
      </c>
    </row>
    <row r="21" spans="1:20" ht="15.75" customHeight="1" x14ac:dyDescent="0.3">
      <c r="A21" s="10"/>
      <c r="B21" s="10"/>
      <c r="C21" s="10"/>
      <c r="D21" s="10"/>
      <c r="E21" s="10"/>
      <c r="F21" s="10"/>
      <c r="G21" s="10"/>
      <c r="H21" s="10"/>
      <c r="I21" s="10"/>
      <c r="J21" s="10"/>
      <c r="K21" s="10"/>
      <c r="L21" s="10"/>
      <c r="M21" s="10"/>
      <c r="N21" s="10"/>
      <c r="O21" s="10"/>
      <c r="P21" s="10"/>
      <c r="Q21" s="10"/>
      <c r="R21" s="17"/>
    </row>
    <row r="22" spans="1:20" ht="15.75" customHeight="1" thickBot="1" x14ac:dyDescent="0.35">
      <c r="A22" s="10"/>
      <c r="B22" s="10"/>
      <c r="C22" s="10"/>
      <c r="D22" s="10"/>
      <c r="E22" s="10"/>
      <c r="F22" s="295" t="s">
        <v>852</v>
      </c>
      <c r="G22" s="295" t="s">
        <v>852</v>
      </c>
      <c r="H22" s="10"/>
      <c r="I22" s="10"/>
      <c r="J22" s="10"/>
      <c r="K22" s="10"/>
      <c r="L22" s="10"/>
      <c r="M22" s="10"/>
      <c r="N22" s="295" t="s">
        <v>852</v>
      </c>
      <c r="O22" s="295" t="s">
        <v>852</v>
      </c>
      <c r="P22" s="295" t="s">
        <v>852</v>
      </c>
      <c r="Q22" s="295"/>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96"/>
      <c r="B24" s="297"/>
      <c r="C24" s="297"/>
      <c r="D24" s="297"/>
      <c r="E24" s="298"/>
      <c r="F24" s="297"/>
      <c r="G24" s="297"/>
      <c r="H24" s="297"/>
      <c r="I24" s="298"/>
      <c r="J24" s="297"/>
      <c r="K24" s="297"/>
      <c r="L24" s="297"/>
      <c r="M24" s="298"/>
      <c r="N24" s="297"/>
      <c r="O24" s="297"/>
      <c r="P24" s="297"/>
      <c r="Q24" s="298"/>
      <c r="R24" s="19"/>
    </row>
    <row r="25" spans="1:20" ht="16.5" customHeight="1" thickBot="1" x14ac:dyDescent="0.35">
      <c r="A25" s="299" t="s">
        <v>853</v>
      </c>
      <c r="B25" s="294">
        <v>97</v>
      </c>
      <c r="C25" s="294">
        <v>148</v>
      </c>
      <c r="D25" s="294">
        <v>274</v>
      </c>
      <c r="E25" s="14">
        <f>SUM(B25:D25)</f>
        <v>519</v>
      </c>
      <c r="F25" s="294">
        <v>367</v>
      </c>
      <c r="G25" s="294">
        <v>425</v>
      </c>
      <c r="H25" s="294">
        <v>417</v>
      </c>
      <c r="I25" s="14">
        <f>SUM(F25:H25)</f>
        <v>1209</v>
      </c>
      <c r="J25" s="294">
        <v>416</v>
      </c>
      <c r="K25" s="294">
        <v>334</v>
      </c>
      <c r="L25" s="294">
        <v>316</v>
      </c>
      <c r="M25" s="14">
        <f>SUM(J25:L25)</f>
        <v>1066</v>
      </c>
      <c r="N25" s="294">
        <v>285</v>
      </c>
      <c r="O25" s="294">
        <v>235</v>
      </c>
      <c r="P25" s="294">
        <v>186</v>
      </c>
      <c r="Q25" s="14">
        <f>SUM(N25:P25)</f>
        <v>706</v>
      </c>
      <c r="R25" s="16">
        <f>+E25+I25+M25+Q25</f>
        <v>3500</v>
      </c>
    </row>
    <row r="26" spans="1:20" ht="17.25" customHeight="1" thickBot="1" x14ac:dyDescent="0.35">
      <c r="A26" s="22"/>
      <c r="B26" s="297"/>
      <c r="C26" s="297"/>
      <c r="D26" s="297"/>
      <c r="E26" s="21"/>
      <c r="F26" s="297"/>
      <c r="G26" s="297"/>
      <c r="H26" s="297"/>
      <c r="I26" s="21"/>
      <c r="J26" s="297"/>
      <c r="K26" s="297"/>
      <c r="L26" s="297"/>
      <c r="M26" s="21"/>
      <c r="N26" s="297"/>
      <c r="O26" s="297"/>
      <c r="P26" s="297"/>
      <c r="Q26" s="21"/>
      <c r="R26" s="13"/>
    </row>
    <row r="27" spans="1:20" ht="15.75" customHeight="1" x14ac:dyDescent="0.3">
      <c r="A27" s="234" t="s">
        <v>2011</v>
      </c>
      <c r="B27" s="10">
        <f>B25</f>
        <v>97</v>
      </c>
      <c r="C27" s="10">
        <f>C25</f>
        <v>148</v>
      </c>
      <c r="D27" s="10">
        <f>D25</f>
        <v>274</v>
      </c>
      <c r="E27" s="14">
        <f>SUM(B27:D27)</f>
        <v>519</v>
      </c>
      <c r="F27" s="10">
        <f>F25</f>
        <v>367</v>
      </c>
      <c r="G27" s="10">
        <f>G25</f>
        <v>425</v>
      </c>
      <c r="H27" s="10">
        <f>H25</f>
        <v>417</v>
      </c>
      <c r="I27" s="14">
        <f>SUM(F27:H27)</f>
        <v>1209</v>
      </c>
      <c r="J27" s="10">
        <f>J25</f>
        <v>416</v>
      </c>
      <c r="K27" s="10">
        <f>K25</f>
        <v>334</v>
      </c>
      <c r="L27" s="10">
        <f>L25</f>
        <v>316</v>
      </c>
      <c r="M27" s="14">
        <f>SUM(J27:L27)</f>
        <v>1066</v>
      </c>
      <c r="N27" s="10">
        <f>N25</f>
        <v>285</v>
      </c>
      <c r="O27" s="10">
        <f>O25</f>
        <v>235</v>
      </c>
      <c r="P27" s="10">
        <f>P25</f>
        <v>186</v>
      </c>
      <c r="Q27" s="739">
        <f>SUM(N27:P27)</f>
        <v>706</v>
      </c>
      <c r="R27" s="14">
        <f>+E27+I27+M27+Q27</f>
        <v>3500</v>
      </c>
    </row>
    <row r="28" spans="1:20" ht="15.75" customHeight="1" x14ac:dyDescent="0.3">
      <c r="A28" s="234" t="s">
        <v>1897</v>
      </c>
      <c r="B28" s="10">
        <f>(B27/B10)/1.983</f>
        <v>1.5779285214647079</v>
      </c>
      <c r="C28" s="10">
        <f>(C27/C10)/1.983</f>
        <v>2.5735997356843514</v>
      </c>
      <c r="D28" s="10">
        <f>(D27/D10)/1.983</f>
        <v>4.457241390529175</v>
      </c>
      <c r="E28" s="15"/>
      <c r="F28" s="10">
        <f>(F27/F10)/1.983</f>
        <v>6.1691040511010247</v>
      </c>
      <c r="G28" s="10">
        <f>(G27/G10)/1.983</f>
        <v>6.9136043466237203</v>
      </c>
      <c r="H28" s="10">
        <f>(H27/H10)/1.983</f>
        <v>7.0095814422592033</v>
      </c>
      <c r="I28" s="15"/>
      <c r="J28" s="10">
        <f>(J27/J10)/1.983</f>
        <v>6.7671986075187478</v>
      </c>
      <c r="K28" s="10">
        <f>(K27/K10)/1.983</f>
        <v>5.433279651228994</v>
      </c>
      <c r="L28" s="10">
        <f>(L27/L10)/1.983</f>
        <v>5.3118171121196838</v>
      </c>
      <c r="M28" s="15"/>
      <c r="N28" s="10">
        <f>(N27/N10)/1.983</f>
        <v>4.6361817383241419</v>
      </c>
      <c r="O28" s="10">
        <f>(O27/O10)/1.983</f>
        <v>3.9502437384434357</v>
      </c>
      <c r="P28" s="10">
        <f>(P27/P10)/1.983</f>
        <v>3.02571860816944</v>
      </c>
      <c r="Q28" s="29"/>
      <c r="R28" s="15"/>
    </row>
    <row r="29" spans="1:20" ht="15.75" customHeight="1" x14ac:dyDescent="0.3">
      <c r="A29" s="234" t="s">
        <v>1119</v>
      </c>
      <c r="B29" s="10">
        <f>B27+B64</f>
        <v>74264</v>
      </c>
      <c r="C29" s="10">
        <f>C27+C64</f>
        <v>74280</v>
      </c>
      <c r="D29" s="10">
        <f>D27+D64</f>
        <v>95230</v>
      </c>
      <c r="E29" s="15">
        <f>SUM(B29:D29)</f>
        <v>243774</v>
      </c>
      <c r="F29" s="10">
        <f>F27+F64</f>
        <v>151299</v>
      </c>
      <c r="G29" s="10">
        <f>G27+G64</f>
        <v>179138</v>
      </c>
      <c r="H29" s="10">
        <f>H27+H64</f>
        <v>106836</v>
      </c>
      <c r="I29" s="15">
        <f>SUM(F29:H29)</f>
        <v>437273</v>
      </c>
      <c r="J29" s="10">
        <f>J27+J64</f>
        <v>74704</v>
      </c>
      <c r="K29" s="10">
        <f>K27+K64</f>
        <v>63038</v>
      </c>
      <c r="L29" s="10">
        <f>L27+L64</f>
        <v>164966</v>
      </c>
      <c r="M29" s="15">
        <f>SUM(J29:L29)</f>
        <v>302708</v>
      </c>
      <c r="N29" s="10">
        <f>N27+N64</f>
        <v>163592</v>
      </c>
      <c r="O29" s="10">
        <f>O27+O64</f>
        <v>124594</v>
      </c>
      <c r="P29" s="10">
        <f>P27+P64</f>
        <v>127739</v>
      </c>
      <c r="Q29" s="29">
        <f>SUM(N29:P29)</f>
        <v>415925</v>
      </c>
      <c r="R29" s="15">
        <f>+E29+I29+M29+Q29</f>
        <v>1399680</v>
      </c>
    </row>
    <row r="30" spans="1:20" s="574" customFormat="1" ht="16.5" customHeight="1" thickBot="1" x14ac:dyDescent="0.35">
      <c r="A30" s="570" t="s">
        <v>1968</v>
      </c>
      <c r="B30" s="740">
        <f>(B29/B10)/1.983</f>
        <v>1208.0750898768565</v>
      </c>
      <c r="C30" s="740">
        <f>(C29/C10)/1.983</f>
        <v>1291.668840315092</v>
      </c>
      <c r="D30" s="740">
        <f>(D29/D10)/1.983</f>
        <v>1549.1353927740633</v>
      </c>
      <c r="E30" s="572"/>
      <c r="F30" s="740">
        <f>(F29/F10)/1.983</f>
        <v>2543.2677760968231</v>
      </c>
      <c r="G30" s="740">
        <f>(G29/G10)/1.983</f>
        <v>2914.0923657540711</v>
      </c>
      <c r="H30" s="740">
        <f>(H29/H10)/1.983</f>
        <v>1795.8648512355016</v>
      </c>
      <c r="I30" s="572"/>
      <c r="J30" s="740">
        <f>(J29/J10)/1.983</f>
        <v>1215.2327037886553</v>
      </c>
      <c r="K30" s="740">
        <f>(K29/K10)/1.983</f>
        <v>1025.4583312999202</v>
      </c>
      <c r="L30" s="740">
        <f>(L29/L10)/1.983</f>
        <v>2773.0038661959993</v>
      </c>
      <c r="M30" s="572"/>
      <c r="N30" s="740">
        <f>(N29/N10)/1.983</f>
        <v>2661.2008524067473</v>
      </c>
      <c r="O30" s="740">
        <f>(O29/O10)/1.983</f>
        <v>2094.3688014792401</v>
      </c>
      <c r="P30" s="740">
        <f>(P29/P10)/1.983</f>
        <v>2077.9691897255707</v>
      </c>
      <c r="Q30" s="573"/>
      <c r="R30" s="572"/>
      <c r="T30" s="575" t="s">
        <v>2172</v>
      </c>
    </row>
    <row r="31" spans="1:20" ht="15.75" customHeight="1" x14ac:dyDescent="0.3">
      <c r="A31" s="17"/>
      <c r="B31" s="10"/>
      <c r="C31" s="10"/>
      <c r="D31" s="10"/>
      <c r="E31" s="10"/>
      <c r="F31" s="10"/>
      <c r="G31" s="10"/>
      <c r="H31" s="10"/>
      <c r="I31" s="10"/>
      <c r="J31" s="10"/>
      <c r="K31" s="10"/>
      <c r="L31" s="10"/>
      <c r="M31" s="10"/>
      <c r="N31" s="10"/>
      <c r="O31" s="10"/>
      <c r="P31" s="10"/>
      <c r="Q31" s="10"/>
      <c r="R31" s="17"/>
      <c r="T31" s="350" t="s">
        <v>2173</v>
      </c>
    </row>
    <row r="32" spans="1:20" ht="15.75" customHeight="1" thickBot="1" x14ac:dyDescent="0.35">
      <c r="A32" s="17"/>
      <c r="B32" s="10"/>
      <c r="C32" s="10"/>
      <c r="D32" s="10"/>
      <c r="E32" s="10"/>
      <c r="F32" s="10"/>
      <c r="G32" s="10"/>
      <c r="H32" s="10"/>
      <c r="I32" s="10"/>
      <c r="J32" s="10"/>
      <c r="K32" s="10"/>
      <c r="L32" s="10"/>
      <c r="M32" s="10"/>
      <c r="N32" s="10"/>
      <c r="O32" s="10"/>
      <c r="P32" s="10"/>
      <c r="Q32" s="10"/>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300"/>
      <c r="C34" s="301"/>
      <c r="D34" s="301"/>
      <c r="E34" s="302"/>
      <c r="F34" s="301"/>
      <c r="G34" s="301"/>
      <c r="H34" s="301"/>
      <c r="I34" s="302"/>
      <c r="J34" s="301"/>
      <c r="K34" s="301"/>
      <c r="L34" s="301"/>
      <c r="M34" s="302"/>
      <c r="N34" s="301"/>
      <c r="O34" s="301"/>
      <c r="P34" s="301"/>
      <c r="Q34" s="302"/>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0"/>
      <c r="C38" s="10"/>
      <c r="D38" s="10"/>
      <c r="E38" s="38">
        <f>SUM(B38:D38)</f>
        <v>0</v>
      </c>
      <c r="F38" s="10"/>
      <c r="G38" s="10"/>
      <c r="H38" s="10"/>
      <c r="I38" s="38">
        <f>SUM(F38:H38)</f>
        <v>0</v>
      </c>
      <c r="J38" s="10"/>
      <c r="K38" s="10"/>
      <c r="L38" s="10"/>
      <c r="M38" s="38">
        <f>SUM(J38:L38)</f>
        <v>0</v>
      </c>
      <c r="N38" s="10"/>
      <c r="O38" s="10"/>
      <c r="P38" s="10"/>
      <c r="Q38" s="38">
        <f>SUM(N38:P38)</f>
        <v>0</v>
      </c>
      <c r="R38" s="38">
        <f>+E38+I38+M38+Q38</f>
        <v>0</v>
      </c>
    </row>
    <row r="39" spans="1:18" ht="15.75" customHeight="1" x14ac:dyDescent="0.3">
      <c r="A39" s="235" t="s">
        <v>3245</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0"/>
      <c r="C54" s="10"/>
      <c r="D54" s="10"/>
      <c r="E54" s="38">
        <f>SUM(B54:D54)</f>
        <v>0</v>
      </c>
      <c r="F54" s="10"/>
      <c r="G54" s="10"/>
      <c r="H54" s="10"/>
      <c r="I54" s="38">
        <f>SUM(F54:H54)</f>
        <v>0</v>
      </c>
      <c r="J54" s="10"/>
      <c r="K54" s="10"/>
      <c r="L54" s="10"/>
      <c r="M54" s="38">
        <f>SUM(J54:L54)</f>
        <v>0</v>
      </c>
      <c r="N54" s="10"/>
      <c r="O54" s="10"/>
      <c r="P54" s="10"/>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customHeight="1" thickBot="1" x14ac:dyDescent="0.35">
      <c r="A60" s="304" t="s">
        <v>853</v>
      </c>
      <c r="B60" s="305">
        <v>96</v>
      </c>
      <c r="C60" s="305">
        <v>145</v>
      </c>
      <c r="D60" s="305">
        <v>261</v>
      </c>
      <c r="E60" s="21">
        <f>SUM(B60:D60)</f>
        <v>502</v>
      </c>
      <c r="F60" s="305">
        <v>350</v>
      </c>
      <c r="G60" s="305">
        <v>402</v>
      </c>
      <c r="H60" s="305">
        <v>396</v>
      </c>
      <c r="I60" s="21">
        <f>SUM(F60:H60)</f>
        <v>1148</v>
      </c>
      <c r="J60" s="305">
        <v>394</v>
      </c>
      <c r="K60" s="305">
        <v>318</v>
      </c>
      <c r="L60" s="305">
        <v>301</v>
      </c>
      <c r="M60" s="21">
        <f>SUM(J60:L60)</f>
        <v>1013</v>
      </c>
      <c r="N60" s="305">
        <v>272</v>
      </c>
      <c r="O60" s="305">
        <v>226</v>
      </c>
      <c r="P60" s="305">
        <v>179</v>
      </c>
      <c r="Q60" s="21">
        <f>SUM(N60:P60)</f>
        <v>677</v>
      </c>
      <c r="R60" s="21">
        <f>+E60+I60+M60+Q60</f>
        <v>3340</v>
      </c>
    </row>
    <row r="61" spans="1:18" ht="16.5" customHeight="1" thickBot="1" x14ac:dyDescent="0.35">
      <c r="A61" s="22"/>
      <c r="B61" s="297"/>
      <c r="C61" s="297"/>
      <c r="D61" s="297"/>
      <c r="E61" s="16"/>
      <c r="F61" s="297"/>
      <c r="G61" s="297"/>
      <c r="H61" s="297"/>
      <c r="I61" s="16"/>
      <c r="J61" s="297"/>
      <c r="K61" s="297"/>
      <c r="L61" s="297"/>
      <c r="M61" s="16"/>
      <c r="N61" s="297"/>
      <c r="O61" s="297"/>
      <c r="P61" s="297"/>
      <c r="Q61" s="16"/>
      <c r="R61" s="22"/>
    </row>
    <row r="62" spans="1:18" ht="15.75" customHeight="1" x14ac:dyDescent="0.3">
      <c r="A62" s="234" t="s">
        <v>2011</v>
      </c>
      <c r="B62" s="10">
        <f>+B59+B60</f>
        <v>96</v>
      </c>
      <c r="C62" s="10">
        <f>+C59+C60</f>
        <v>145</v>
      </c>
      <c r="D62" s="10">
        <f>+D59+D60</f>
        <v>261</v>
      </c>
      <c r="E62" s="14">
        <f>SUM(B62:D62)</f>
        <v>502</v>
      </c>
      <c r="F62" s="10">
        <f>+F59+F60</f>
        <v>350</v>
      </c>
      <c r="G62" s="10">
        <f>+G59+G60</f>
        <v>402</v>
      </c>
      <c r="H62" s="10">
        <f>+H59+H60</f>
        <v>396</v>
      </c>
      <c r="I62" s="14">
        <f>SUM(F62:H62)</f>
        <v>1148</v>
      </c>
      <c r="J62" s="10">
        <f>+J59+J60</f>
        <v>394</v>
      </c>
      <c r="K62" s="10">
        <f>+K59+K60</f>
        <v>318</v>
      </c>
      <c r="L62" s="10">
        <f>+L59+L60</f>
        <v>301</v>
      </c>
      <c r="M62" s="14">
        <f>SUM(J62:L62)</f>
        <v>1013</v>
      </c>
      <c r="N62" s="10">
        <f>+N59+N60</f>
        <v>272</v>
      </c>
      <c r="O62" s="10">
        <f>+O59+O60</f>
        <v>226</v>
      </c>
      <c r="P62" s="10">
        <f>+P59+P60</f>
        <v>179</v>
      </c>
      <c r="Q62" s="739">
        <f>SUM(N62:P62)</f>
        <v>677</v>
      </c>
      <c r="R62" s="15">
        <f>+E62+I62+M62+Q62</f>
        <v>3340</v>
      </c>
    </row>
    <row r="63" spans="1:18" ht="15.75" customHeight="1" x14ac:dyDescent="0.3">
      <c r="A63" s="234" t="s">
        <v>1897</v>
      </c>
      <c r="B63" s="10">
        <f>(B62/B10)/1.983</f>
        <v>1.5616612171197111</v>
      </c>
      <c r="C63" s="10">
        <f>(C62/C10)/1.983</f>
        <v>2.5214321734745333</v>
      </c>
      <c r="D63" s="10">
        <f>(D62/D10)/1.983</f>
        <v>4.2457664340442145</v>
      </c>
      <c r="E63" s="15"/>
      <c r="F63" s="10">
        <f>(F62/F10)/1.983</f>
        <v>5.8833417381072444</v>
      </c>
      <c r="G63" s="10">
        <f>(G62/G10)/1.983</f>
        <v>6.5394563466887892</v>
      </c>
      <c r="H63" s="10">
        <f>(H62/H10)/1.983</f>
        <v>6.6565809379727678</v>
      </c>
      <c r="I63" s="15"/>
      <c r="J63" s="10">
        <f>(J62/J10)/1.983</f>
        <v>6.4093179119288139</v>
      </c>
      <c r="K63" s="10">
        <f>(K62/K10)/1.983</f>
        <v>5.1730027817090427</v>
      </c>
      <c r="L63" s="10">
        <f>(L62/L10)/1.983</f>
        <v>5.0596738947722306</v>
      </c>
      <c r="M63" s="15"/>
      <c r="N63" s="10">
        <f>(N62/N10)/1.983</f>
        <v>4.4247067818391805</v>
      </c>
      <c r="O63" s="10">
        <f>(O62/O10)/1.983</f>
        <v>3.7989578080349635</v>
      </c>
      <c r="P63" s="10">
        <f>(P62/P10)/1.983</f>
        <v>2.9118474777544612</v>
      </c>
      <c r="Q63" s="29"/>
      <c r="R63" s="20"/>
    </row>
    <row r="64" spans="1:18" ht="15.75" customHeight="1" x14ac:dyDescent="0.3">
      <c r="A64" s="234" t="s">
        <v>1969</v>
      </c>
      <c r="B64" s="10">
        <f>B62+B139</f>
        <v>74167</v>
      </c>
      <c r="C64" s="10">
        <f>C62+C139</f>
        <v>74132</v>
      </c>
      <c r="D64" s="10">
        <f>D62+D139</f>
        <v>94956</v>
      </c>
      <c r="E64" s="15">
        <f>SUM(B64:D64)</f>
        <v>243255</v>
      </c>
      <c r="F64" s="10">
        <f>F62+F139</f>
        <v>150932</v>
      </c>
      <c r="G64" s="10">
        <f>G62+G139</f>
        <v>178713</v>
      </c>
      <c r="H64" s="10">
        <f>H62+H139</f>
        <v>106419</v>
      </c>
      <c r="I64" s="15">
        <f>SUM(F64:H64)</f>
        <v>436064</v>
      </c>
      <c r="J64" s="10">
        <f>J62+J139</f>
        <v>74288</v>
      </c>
      <c r="K64" s="10">
        <f>K62+K139</f>
        <v>62704</v>
      </c>
      <c r="L64" s="10">
        <f>L62+L139</f>
        <v>164650</v>
      </c>
      <c r="M64" s="15">
        <f>SUM(J64:L64)</f>
        <v>301642</v>
      </c>
      <c r="N64" s="10">
        <f>N62+N139</f>
        <v>163307</v>
      </c>
      <c r="O64" s="10">
        <f>O62+O139</f>
        <v>124359</v>
      </c>
      <c r="P64" s="10">
        <f>P62+P139</f>
        <v>127553</v>
      </c>
      <c r="Q64" s="29">
        <f>SUM(N64:P64)</f>
        <v>415219</v>
      </c>
      <c r="R64" s="15">
        <f>+E64+I64+M64+Q64</f>
        <v>1396180</v>
      </c>
    </row>
    <row r="65" spans="1:20" ht="16.5" customHeight="1" thickBot="1" x14ac:dyDescent="0.35">
      <c r="A65" s="237" t="s">
        <v>1970</v>
      </c>
      <c r="B65" s="294">
        <f>(B64/B10)/1.983</f>
        <v>1206.4971613553917</v>
      </c>
      <c r="C65" s="294">
        <f>(C64/C10)/1.983</f>
        <v>1289.0952405794078</v>
      </c>
      <c r="D65" s="294">
        <f>(D64/D10)/1.983</f>
        <v>1544.6781513835342</v>
      </c>
      <c r="E65" s="16"/>
      <c r="F65" s="294">
        <f>(F64/F10)/1.983</f>
        <v>2537.0986720457217</v>
      </c>
      <c r="G65" s="294">
        <f>(G64/G10)/1.983</f>
        <v>2907.1787614074469</v>
      </c>
      <c r="H65" s="294">
        <f>(H64/H10)/1.983</f>
        <v>1788.8552697932425</v>
      </c>
      <c r="I65" s="16"/>
      <c r="J65" s="294">
        <f>(J64/J10)/1.983</f>
        <v>1208.4655051811365</v>
      </c>
      <c r="K65" s="294">
        <f>(K64/K10)/1.983</f>
        <v>1020.0250516486913</v>
      </c>
      <c r="L65" s="294">
        <f>(L64/L10)/1.983</f>
        <v>2767.6920490838793</v>
      </c>
      <c r="M65" s="16"/>
      <c r="N65" s="294">
        <f>(N64/N10)/1.983</f>
        <v>2656.5646706684233</v>
      </c>
      <c r="O65" s="294">
        <f>(O64/O10)/1.983</f>
        <v>2090.4185577407966</v>
      </c>
      <c r="P65" s="294">
        <f>(P64/P10)/1.983</f>
        <v>2074.9434711174013</v>
      </c>
      <c r="Q65" s="30"/>
      <c r="R65" s="23" t="s">
        <v>852</v>
      </c>
    </row>
    <row r="66" spans="1:20" ht="15.75" customHeight="1" x14ac:dyDescent="0.3">
      <c r="A66" s="17"/>
      <c r="B66" s="10"/>
      <c r="C66" s="10"/>
      <c r="D66" s="10"/>
      <c r="E66" s="10"/>
      <c r="F66" s="10"/>
      <c r="G66" s="10"/>
      <c r="H66" s="10"/>
      <c r="I66" s="10"/>
      <c r="J66" s="10"/>
      <c r="K66" s="10"/>
      <c r="L66" s="10"/>
      <c r="M66" s="10"/>
      <c r="N66" s="10"/>
      <c r="O66" s="10"/>
      <c r="P66" s="10"/>
      <c r="Q66" s="10"/>
      <c r="R66" s="17"/>
    </row>
    <row r="67" spans="1:20" ht="15.75" customHeight="1" thickBot="1" x14ac:dyDescent="0.35">
      <c r="A67" s="17"/>
      <c r="B67" s="10"/>
      <c r="C67" s="10"/>
      <c r="D67" s="10"/>
      <c r="E67" s="10"/>
      <c r="F67" s="10"/>
      <c r="G67" s="10"/>
      <c r="H67" s="10"/>
      <c r="I67" s="10"/>
      <c r="J67" s="10"/>
      <c r="K67" s="10"/>
      <c r="L67" s="10"/>
      <c r="M67" s="10"/>
      <c r="N67" s="10"/>
      <c r="O67" s="10"/>
      <c r="P67" s="10"/>
      <c r="Q67" s="10"/>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306"/>
      <c r="C69" s="307"/>
      <c r="D69" s="307"/>
      <c r="E69" s="308"/>
      <c r="F69" s="307"/>
      <c r="G69" s="307"/>
      <c r="H69" s="307"/>
      <c r="I69" s="308"/>
      <c r="J69" s="307"/>
      <c r="K69" s="307"/>
      <c r="L69" s="307"/>
      <c r="M69" s="308"/>
      <c r="N69" s="307"/>
      <c r="O69" s="307"/>
      <c r="P69" s="309"/>
      <c r="Q69" s="308"/>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0"/>
      <c r="C72" s="10"/>
      <c r="D72" s="10"/>
      <c r="E72" s="38">
        <f t="shared" ref="E72:E84" si="5">SUM(B72:D72)</f>
        <v>0</v>
      </c>
      <c r="F72" s="10"/>
      <c r="G72" s="10"/>
      <c r="H72" s="10"/>
      <c r="I72" s="38">
        <f t="shared" ref="I72:I84" si="6">SUM(F72:H72)</f>
        <v>0</v>
      </c>
      <c r="J72" s="10"/>
      <c r="K72" s="10"/>
      <c r="L72" s="10"/>
      <c r="M72" s="38">
        <f t="shared" ref="M72:M84" si="7">SUM(J72:L72)</f>
        <v>0</v>
      </c>
      <c r="N72" s="10"/>
      <c r="O72" s="10"/>
      <c r="P72" s="10"/>
      <c r="Q72" s="38">
        <f t="shared" ref="Q72:Q84" si="8">SUM(N72:P72)</f>
        <v>0</v>
      </c>
      <c r="R72" s="38">
        <f t="shared" ref="R72:R84" si="9">+E72+I72+M72+Q72</f>
        <v>0</v>
      </c>
    </row>
    <row r="73" spans="1:20" ht="15.75" customHeight="1" x14ac:dyDescent="0.3">
      <c r="A73" s="539" t="s">
        <v>2732</v>
      </c>
      <c r="B73" s="10"/>
      <c r="C73" s="10"/>
      <c r="D73" s="10"/>
      <c r="E73" s="38">
        <f>SUM(B73:D73)</f>
        <v>0</v>
      </c>
      <c r="F73" s="10"/>
      <c r="G73" s="10"/>
      <c r="H73" s="10"/>
      <c r="I73" s="38">
        <f>SUM(F73:H73)</f>
        <v>0</v>
      </c>
      <c r="J73" s="10"/>
      <c r="K73" s="10"/>
      <c r="L73" s="10"/>
      <c r="M73" s="38">
        <f>SUM(J73:L73)</f>
        <v>0</v>
      </c>
      <c r="N73" s="10"/>
      <c r="O73" s="10"/>
      <c r="P73" s="10"/>
      <c r="Q73" s="38">
        <f>SUM(N73:P73)</f>
        <v>0</v>
      </c>
      <c r="R73" s="38">
        <f>+E73+I73+M73+Q73</f>
        <v>0</v>
      </c>
    </row>
    <row r="74" spans="1:20" ht="15.75" customHeight="1" x14ac:dyDescent="0.3">
      <c r="A74" s="539" t="s">
        <v>3453</v>
      </c>
      <c r="B74" s="10"/>
      <c r="C74" s="10"/>
      <c r="D74" s="10"/>
      <c r="E74" s="38">
        <f>SUM(B74:D74)</f>
        <v>0</v>
      </c>
      <c r="F74" s="10"/>
      <c r="G74" s="10"/>
      <c r="H74" s="10"/>
      <c r="I74" s="38">
        <f>SUM(F74:H74)</f>
        <v>0</v>
      </c>
      <c r="J74" s="10"/>
      <c r="K74" s="10"/>
      <c r="L74" s="10"/>
      <c r="M74" s="38">
        <f t="shared" ref="M74:M75" si="10">SUM(J74:L74)</f>
        <v>0</v>
      </c>
      <c r="N74" s="10"/>
      <c r="O74" s="10">
        <v>938</v>
      </c>
      <c r="P74" s="10"/>
      <c r="Q74" s="38">
        <f>SUM(N74:P74)</f>
        <v>938</v>
      </c>
      <c r="R74" s="38">
        <f>+E74+I74+M74+Q74</f>
        <v>938</v>
      </c>
    </row>
    <row r="75" spans="1:20" ht="15.75" customHeight="1" x14ac:dyDescent="0.3">
      <c r="A75" s="539" t="s">
        <v>2060</v>
      </c>
      <c r="B75" s="10"/>
      <c r="C75" s="10"/>
      <c r="D75" s="10"/>
      <c r="E75" s="38">
        <f t="shared" si="5"/>
        <v>0</v>
      </c>
      <c r="F75" s="10"/>
      <c r="G75" s="10"/>
      <c r="H75" s="10"/>
      <c r="I75" s="38">
        <f t="shared" si="6"/>
        <v>0</v>
      </c>
      <c r="J75" s="10"/>
      <c r="K75" s="10"/>
      <c r="L75" s="10"/>
      <c r="M75" s="38">
        <f t="shared" si="10"/>
        <v>0</v>
      </c>
      <c r="N75" s="10"/>
      <c r="O75" s="10"/>
      <c r="P75" s="10"/>
      <c r="Q75" s="38">
        <f t="shared" si="8"/>
        <v>0</v>
      </c>
      <c r="R75" s="38">
        <f t="shared" si="9"/>
        <v>0</v>
      </c>
    </row>
    <row r="76" spans="1:20" ht="15.75" customHeight="1" x14ac:dyDescent="0.3">
      <c r="A76" s="539" t="s">
        <v>2773</v>
      </c>
      <c r="B76" s="10"/>
      <c r="C76" s="10"/>
      <c r="D76" s="10"/>
      <c r="E76" s="38">
        <f t="shared" si="5"/>
        <v>0</v>
      </c>
      <c r="F76" s="10"/>
      <c r="G76" s="10"/>
      <c r="H76" s="10"/>
      <c r="I76" s="38">
        <f t="shared" si="6"/>
        <v>0</v>
      </c>
      <c r="K76" s="10"/>
      <c r="L76" s="10"/>
      <c r="M76" s="38">
        <f t="shared" si="7"/>
        <v>0</v>
      </c>
      <c r="N76" s="10"/>
      <c r="O76" s="10"/>
      <c r="P76" s="10"/>
      <c r="Q76" s="38">
        <f t="shared" si="8"/>
        <v>0</v>
      </c>
      <c r="R76" s="38">
        <f t="shared" si="9"/>
        <v>0</v>
      </c>
      <c r="T76" t="s">
        <v>2774</v>
      </c>
    </row>
    <row r="77" spans="1:20" ht="15.75" customHeight="1" x14ac:dyDescent="0.3">
      <c r="A77" s="539" t="s">
        <v>3240</v>
      </c>
      <c r="B77" s="10">
        <v>573</v>
      </c>
      <c r="C77" s="10">
        <v>376</v>
      </c>
      <c r="D77" s="10">
        <v>756</v>
      </c>
      <c r="E77" s="38">
        <f t="shared" si="5"/>
        <v>1705</v>
      </c>
      <c r="F77" s="10">
        <v>1418</v>
      </c>
      <c r="G77" s="10">
        <v>1499</v>
      </c>
      <c r="H77" s="10">
        <v>476</v>
      </c>
      <c r="I77" s="38">
        <f t="shared" si="6"/>
        <v>3393</v>
      </c>
      <c r="J77" s="10"/>
      <c r="K77" s="10"/>
      <c r="L77" s="10"/>
      <c r="M77" s="38">
        <f t="shared" si="7"/>
        <v>0</v>
      </c>
      <c r="N77" s="10"/>
      <c r="O77" s="10"/>
      <c r="P77" s="10"/>
      <c r="Q77" s="38">
        <f t="shared" si="8"/>
        <v>0</v>
      </c>
      <c r="R77" s="38">
        <f t="shared" si="9"/>
        <v>5098</v>
      </c>
      <c r="S77" s="736" t="s">
        <v>3213</v>
      </c>
      <c r="T77" t="s">
        <v>2774</v>
      </c>
    </row>
    <row r="78" spans="1:20" ht="15.75" customHeight="1" x14ac:dyDescent="0.3">
      <c r="A78" s="539" t="s">
        <v>2262</v>
      </c>
      <c r="B78" s="10"/>
      <c r="C78" s="10"/>
      <c r="D78" s="10"/>
      <c r="E78" s="38">
        <f t="shared" si="5"/>
        <v>0</v>
      </c>
      <c r="F78" s="10"/>
      <c r="G78" s="10"/>
      <c r="H78" s="10"/>
      <c r="I78" s="38">
        <f t="shared" si="6"/>
        <v>0</v>
      </c>
      <c r="J78" s="10"/>
      <c r="K78" s="10"/>
      <c r="L78" s="10"/>
      <c r="M78" s="38">
        <f t="shared" si="7"/>
        <v>0</v>
      </c>
      <c r="N78" s="10"/>
      <c r="O78" s="10"/>
      <c r="P78" s="10"/>
      <c r="Q78" s="38">
        <f t="shared" si="8"/>
        <v>0</v>
      </c>
      <c r="R78" s="38">
        <f t="shared" si="9"/>
        <v>0</v>
      </c>
    </row>
    <row r="79" spans="1:20" ht="15.75" customHeight="1" x14ac:dyDescent="0.3">
      <c r="A79" s="539" t="s">
        <v>789</v>
      </c>
      <c r="B79" s="10"/>
      <c r="C79" s="10"/>
      <c r="D79" s="10"/>
      <c r="E79" s="38">
        <f t="shared" si="5"/>
        <v>0</v>
      </c>
      <c r="F79" s="10"/>
      <c r="G79" s="10"/>
      <c r="H79" s="10"/>
      <c r="I79" s="38">
        <f t="shared" si="6"/>
        <v>0</v>
      </c>
      <c r="J79" s="10"/>
      <c r="K79" s="10"/>
      <c r="L79" s="10"/>
      <c r="M79" s="38">
        <f t="shared" si="7"/>
        <v>0</v>
      </c>
      <c r="N79" s="10"/>
      <c r="O79" s="10"/>
      <c r="P79" s="10"/>
      <c r="Q79" s="38">
        <f t="shared" si="8"/>
        <v>0</v>
      </c>
      <c r="R79" s="38">
        <f t="shared" si="9"/>
        <v>0</v>
      </c>
      <c r="T79" t="s">
        <v>2799</v>
      </c>
    </row>
    <row r="80" spans="1:20" ht="15.75" customHeight="1" x14ac:dyDescent="0.3">
      <c r="A80" s="410" t="s">
        <v>3130</v>
      </c>
      <c r="B80" s="10"/>
      <c r="C80" s="10"/>
      <c r="D80" s="10"/>
      <c r="E80" s="38">
        <f t="shared" si="5"/>
        <v>0</v>
      </c>
      <c r="F80" s="10"/>
      <c r="G80" s="10">
        <v>512</v>
      </c>
      <c r="H80" s="10">
        <v>512</v>
      </c>
      <c r="I80" s="38">
        <f t="shared" si="6"/>
        <v>1024</v>
      </c>
      <c r="J80" s="10">
        <v>512</v>
      </c>
      <c r="K80" s="10">
        <v>512</v>
      </c>
      <c r="L80" s="10"/>
      <c r="M80" s="38">
        <f t="shared" si="7"/>
        <v>1024</v>
      </c>
      <c r="N80" s="10"/>
      <c r="O80" s="10"/>
      <c r="P80" s="10"/>
      <c r="Q80" s="38">
        <f t="shared" si="8"/>
        <v>0</v>
      </c>
      <c r="R80" s="38">
        <f t="shared" si="9"/>
        <v>2048</v>
      </c>
    </row>
    <row r="81" spans="1:20" ht="15.75" customHeight="1" x14ac:dyDescent="0.3">
      <c r="A81" s="410" t="s">
        <v>2183</v>
      </c>
      <c r="B81" s="10"/>
      <c r="C81" s="10"/>
      <c r="D81" s="10"/>
      <c r="E81" s="38">
        <f t="shared" si="5"/>
        <v>0</v>
      </c>
      <c r="F81" s="10"/>
      <c r="G81" s="10"/>
      <c r="H81" s="10"/>
      <c r="I81" s="38">
        <f t="shared" si="6"/>
        <v>0</v>
      </c>
      <c r="J81" s="10"/>
      <c r="K81" s="10"/>
      <c r="L81" s="10"/>
      <c r="M81" s="38">
        <f t="shared" si="7"/>
        <v>0</v>
      </c>
      <c r="N81" s="10"/>
      <c r="O81" s="10"/>
      <c r="P81" s="10"/>
      <c r="Q81" s="38">
        <f t="shared" si="8"/>
        <v>0</v>
      </c>
      <c r="R81" s="38">
        <f t="shared" si="9"/>
        <v>0</v>
      </c>
    </row>
    <row r="82" spans="1:20" ht="15.75" customHeight="1" x14ac:dyDescent="0.3">
      <c r="A82" s="410" t="s">
        <v>3450</v>
      </c>
      <c r="B82" s="10"/>
      <c r="C82" s="10"/>
      <c r="D82" s="10"/>
      <c r="E82" s="38">
        <f t="shared" si="5"/>
        <v>0</v>
      </c>
      <c r="F82" s="10"/>
      <c r="G82" s="10"/>
      <c r="H82" s="10"/>
      <c r="I82" s="38">
        <f t="shared" si="6"/>
        <v>0</v>
      </c>
      <c r="J82" s="10">
        <v>938</v>
      </c>
      <c r="K82" s="10"/>
      <c r="L82" s="10"/>
      <c r="M82" s="38">
        <f t="shared" si="7"/>
        <v>938</v>
      </c>
      <c r="N82" s="10"/>
      <c r="O82" s="10"/>
      <c r="P82" s="10"/>
      <c r="Q82" s="38">
        <f t="shared" ref="Q82" si="11">SUM(N82:P82)</f>
        <v>0</v>
      </c>
      <c r="R82" s="38">
        <f t="shared" ref="R82" si="12">+E82+I82+M82+Q82</f>
        <v>938</v>
      </c>
    </row>
    <row r="83" spans="1:20" ht="15.75" customHeight="1" x14ac:dyDescent="0.3">
      <c r="A83" s="410" t="s">
        <v>2947</v>
      </c>
      <c r="B83" s="10"/>
      <c r="C83" s="10"/>
      <c r="D83" s="10"/>
      <c r="E83" s="38">
        <f>SUM(B83:D83)</f>
        <v>0</v>
      </c>
      <c r="F83" s="10"/>
      <c r="G83" s="10"/>
      <c r="H83" s="10"/>
      <c r="I83" s="38">
        <f>SUM(F83:H83)</f>
        <v>0</v>
      </c>
      <c r="J83" s="10"/>
      <c r="K83" s="10"/>
      <c r="L83" s="10">
        <v>500</v>
      </c>
      <c r="M83" s="38">
        <f>SUM(J83:L83)</f>
        <v>500</v>
      </c>
      <c r="N83" s="10">
        <v>500</v>
      </c>
      <c r="O83" s="10"/>
      <c r="P83" s="10"/>
      <c r="Q83" s="38">
        <f>SUM(N83:P83)</f>
        <v>500</v>
      </c>
      <c r="R83" s="38">
        <f t="shared" si="9"/>
        <v>1000</v>
      </c>
    </row>
    <row r="84" spans="1:20" ht="15.75" customHeight="1" x14ac:dyDescent="0.3">
      <c r="A84" s="410" t="s">
        <v>86</v>
      </c>
      <c r="B84" s="10"/>
      <c r="C84" s="10"/>
      <c r="D84" s="10"/>
      <c r="E84" s="38">
        <f t="shared" si="5"/>
        <v>0</v>
      </c>
      <c r="F84" s="10"/>
      <c r="G84" s="10"/>
      <c r="H84" s="10"/>
      <c r="I84" s="38">
        <f t="shared" si="6"/>
        <v>0</v>
      </c>
      <c r="J84" s="10"/>
      <c r="K84" s="10"/>
      <c r="L84" s="10"/>
      <c r="M84" s="38">
        <f t="shared" si="7"/>
        <v>0</v>
      </c>
      <c r="N84" s="10"/>
      <c r="O84" s="10"/>
      <c r="P84" s="10"/>
      <c r="Q84" s="38">
        <f t="shared" si="8"/>
        <v>0</v>
      </c>
      <c r="R84" s="38">
        <f t="shared" si="9"/>
        <v>0</v>
      </c>
      <c r="S84">
        <f>SUM(R72:R84)</f>
        <v>10022</v>
      </c>
    </row>
    <row r="85" spans="1:20" ht="15.75" customHeight="1" x14ac:dyDescent="0.3">
      <c r="A85" s="235" t="s">
        <v>2161</v>
      </c>
      <c r="B85" s="18"/>
      <c r="C85" s="18"/>
      <c r="D85" s="18"/>
      <c r="E85" s="38" t="s">
        <v>852</v>
      </c>
      <c r="F85" s="18"/>
      <c r="G85" s="18"/>
      <c r="H85" s="18"/>
      <c r="I85" s="38" t="s">
        <v>852</v>
      </c>
      <c r="J85" s="18"/>
      <c r="K85" s="18"/>
      <c r="L85" s="18"/>
      <c r="M85" s="38" t="s">
        <v>852</v>
      </c>
      <c r="N85" s="18"/>
      <c r="O85" s="18"/>
      <c r="P85" s="18"/>
      <c r="Q85" s="38" t="s">
        <v>852</v>
      </c>
      <c r="R85" s="38" t="s">
        <v>852</v>
      </c>
    </row>
    <row r="86" spans="1:20" ht="15.75" customHeight="1" x14ac:dyDescent="0.3">
      <c r="A86" s="410" t="s">
        <v>2419</v>
      </c>
      <c r="B86" s="10"/>
      <c r="C86" s="10"/>
      <c r="D86" s="10"/>
      <c r="E86" s="38">
        <f>SUM(B86:D86)</f>
        <v>0</v>
      </c>
      <c r="F86" s="10"/>
      <c r="G86" s="10"/>
      <c r="H86" s="10"/>
      <c r="I86" s="38">
        <f>SUM(F86:H86)</f>
        <v>0</v>
      </c>
      <c r="J86" s="10"/>
      <c r="K86" s="10"/>
      <c r="L86" s="10"/>
      <c r="M86" s="38">
        <f>SUM(J86:L86)</f>
        <v>0</v>
      </c>
      <c r="N86" s="10"/>
      <c r="O86" s="10"/>
      <c r="P86" s="10"/>
      <c r="Q86" s="38">
        <f>SUM(N86:P86)</f>
        <v>0</v>
      </c>
      <c r="R86" s="38">
        <f>+E86+I86+M86+Q86</f>
        <v>0</v>
      </c>
    </row>
    <row r="87" spans="1:20" ht="15.75" customHeight="1" x14ac:dyDescent="0.3">
      <c r="A87" s="235" t="s">
        <v>3245</v>
      </c>
      <c r="B87" s="18"/>
      <c r="C87" s="18"/>
      <c r="D87" s="18"/>
      <c r="E87" s="38" t="s">
        <v>1598</v>
      </c>
      <c r="F87" s="18"/>
      <c r="G87" s="18"/>
      <c r="H87" s="18"/>
      <c r="I87" s="38" t="s">
        <v>1598</v>
      </c>
      <c r="J87" s="18"/>
      <c r="K87" s="18"/>
      <c r="L87" s="18"/>
      <c r="M87" s="38" t="s">
        <v>1598</v>
      </c>
      <c r="N87" s="18"/>
      <c r="O87" s="18"/>
      <c r="P87" s="18"/>
      <c r="Q87" s="38" t="s">
        <v>1598</v>
      </c>
      <c r="R87" s="38" t="s">
        <v>1598</v>
      </c>
    </row>
    <row r="88" spans="1:20" ht="15.75" customHeight="1" x14ac:dyDescent="0.3">
      <c r="A88" s="422" t="s">
        <v>3241</v>
      </c>
      <c r="B88" s="10"/>
      <c r="C88" s="10"/>
      <c r="D88" s="10"/>
      <c r="E88" s="38">
        <f>SUM(B88:D88)</f>
        <v>0</v>
      </c>
      <c r="F88" s="10"/>
      <c r="G88" s="10"/>
      <c r="H88" s="10"/>
      <c r="I88" s="38">
        <f>SUM(F88:H88)</f>
        <v>0</v>
      </c>
      <c r="J88" s="10"/>
      <c r="K88" s="10"/>
      <c r="L88" s="10"/>
      <c r="M88" s="38">
        <f>SUM(J88:L88)</f>
        <v>0</v>
      </c>
      <c r="N88" s="10"/>
      <c r="O88" s="10"/>
      <c r="P88" s="10"/>
      <c r="Q88" s="38">
        <f>SUM(N88:P88)</f>
        <v>0</v>
      </c>
      <c r="R88" s="38">
        <f>+E88+I88+M88+Q88</f>
        <v>0</v>
      </c>
      <c r="S88" s="735" t="s">
        <v>3214</v>
      </c>
    </row>
    <row r="89" spans="1:20" ht="15.75" customHeight="1" x14ac:dyDescent="0.3">
      <c r="A89" s="422" t="s">
        <v>3242</v>
      </c>
      <c r="B89" s="10"/>
      <c r="C89" s="10"/>
      <c r="D89" s="10"/>
      <c r="E89" s="38">
        <f>SUM(B89:D89)</f>
        <v>0</v>
      </c>
      <c r="F89" s="10"/>
      <c r="G89" s="10"/>
      <c r="H89" s="10"/>
      <c r="I89" s="38">
        <f>SUM(F89:H89)</f>
        <v>0</v>
      </c>
      <c r="J89" s="10"/>
      <c r="K89" s="10"/>
      <c r="L89" s="10"/>
      <c r="M89" s="38">
        <f>SUM(J89:L89)</f>
        <v>0</v>
      </c>
      <c r="N89" s="10"/>
      <c r="O89" s="10"/>
      <c r="P89" s="10"/>
      <c r="Q89" s="38">
        <f>SUM(N89:P89)</f>
        <v>0</v>
      </c>
      <c r="R89" s="38">
        <f>+E89+I89+M89+Q89</f>
        <v>0</v>
      </c>
      <c r="S89" s="735" t="s">
        <v>3214</v>
      </c>
      <c r="T89" t="s">
        <v>2774</v>
      </c>
    </row>
    <row r="90" spans="1:20" ht="15.75" customHeight="1" thickBot="1" x14ac:dyDescent="0.35">
      <c r="A90" s="235" t="s">
        <v>2164</v>
      </c>
      <c r="B90" s="248"/>
      <c r="C90" s="248"/>
      <c r="D90" s="248"/>
      <c r="E90" s="38" t="s">
        <v>852</v>
      </c>
      <c r="F90" s="248"/>
      <c r="G90" s="248"/>
      <c r="H90" s="248"/>
      <c r="I90" s="38" t="s">
        <v>852</v>
      </c>
      <c r="J90" s="248"/>
      <c r="K90" s="248"/>
      <c r="L90" s="248"/>
      <c r="M90" s="38" t="s">
        <v>852</v>
      </c>
      <c r="N90" s="248"/>
      <c r="O90" s="248"/>
      <c r="P90" s="248"/>
      <c r="Q90" s="38" t="s">
        <v>852</v>
      </c>
      <c r="R90" s="38" t="s">
        <v>852</v>
      </c>
    </row>
    <row r="91" spans="1:20" ht="16.5" customHeight="1" thickBot="1" x14ac:dyDescent="0.35">
      <c r="A91" s="43" t="s">
        <v>1218</v>
      </c>
      <c r="B91" s="42">
        <f>SUM(B70:B90)</f>
        <v>573</v>
      </c>
      <c r="C91" s="42">
        <f>SUM(C70:C90)</f>
        <v>376</v>
      </c>
      <c r="D91" s="42">
        <f>SUM(D70:D90)</f>
        <v>756</v>
      </c>
      <c r="E91" s="37">
        <f>SUM(B91:D91)</f>
        <v>1705</v>
      </c>
      <c r="F91" s="42">
        <f>SUM(F70:F90)</f>
        <v>1418</v>
      </c>
      <c r="G91" s="42">
        <f>SUM(G70:G90)</f>
        <v>2011</v>
      </c>
      <c r="H91" s="42">
        <f>SUM(H70:H90)</f>
        <v>988</v>
      </c>
      <c r="I91" s="37">
        <f>SUM(F91:H91)</f>
        <v>4417</v>
      </c>
      <c r="J91" s="42">
        <f>SUM(J70:J90)</f>
        <v>1450</v>
      </c>
      <c r="K91" s="42">
        <f>SUM(K70:K90)</f>
        <v>512</v>
      </c>
      <c r="L91" s="42">
        <f>SUM(L70:L90)</f>
        <v>500</v>
      </c>
      <c r="M91" s="37">
        <f>SUM(J91:L91)</f>
        <v>2462</v>
      </c>
      <c r="N91" s="42">
        <f>SUM(N70:N90)</f>
        <v>500</v>
      </c>
      <c r="O91" s="42">
        <f>SUM(O70:O90)</f>
        <v>938</v>
      </c>
      <c r="P91" s="42">
        <f>SUM(P70:P90)</f>
        <v>0</v>
      </c>
      <c r="Q91" s="37">
        <f>SUM(N91:P91)</f>
        <v>1438</v>
      </c>
      <c r="R91" s="37">
        <f>+E91+I91+M91+Q91</f>
        <v>10022</v>
      </c>
    </row>
    <row r="92" spans="1:20" ht="15.75" customHeight="1" x14ac:dyDescent="0.3">
      <c r="A92" s="235" t="s">
        <v>1172</v>
      </c>
      <c r="B92" s="248"/>
      <c r="C92" s="248"/>
      <c r="D92" s="248"/>
      <c r="E92" s="38" t="s">
        <v>852</v>
      </c>
      <c r="F92" s="248"/>
      <c r="G92" s="248"/>
      <c r="H92" s="248"/>
      <c r="I92" s="38" t="s">
        <v>852</v>
      </c>
      <c r="J92" s="248"/>
      <c r="K92" s="248"/>
      <c r="L92" s="248"/>
      <c r="M92" s="38" t="s">
        <v>852</v>
      </c>
      <c r="N92" s="248"/>
      <c r="O92" s="248"/>
      <c r="P92" s="248"/>
      <c r="Q92" s="38" t="s">
        <v>852</v>
      </c>
      <c r="R92" s="39" t="s">
        <v>852</v>
      </c>
    </row>
    <row r="93" spans="1:20" ht="15.75" customHeight="1" x14ac:dyDescent="0.3">
      <c r="A93" s="235" t="s">
        <v>1658</v>
      </c>
      <c r="B93" s="248"/>
      <c r="C93" s="248"/>
      <c r="D93" s="248"/>
      <c r="E93" s="38" t="s">
        <v>852</v>
      </c>
      <c r="F93" s="248"/>
      <c r="G93" s="248"/>
      <c r="H93" s="248"/>
      <c r="I93" s="38" t="s">
        <v>852</v>
      </c>
      <c r="J93" s="248"/>
      <c r="K93" s="248"/>
      <c r="L93" s="248"/>
      <c r="M93" s="38" t="s">
        <v>852</v>
      </c>
      <c r="N93" s="248"/>
      <c r="O93" s="248"/>
      <c r="P93" s="248"/>
      <c r="Q93" s="38" t="s">
        <v>852</v>
      </c>
      <c r="R93" s="38" t="s">
        <v>852</v>
      </c>
    </row>
    <row r="94" spans="1:20" ht="15.75" customHeight="1" x14ac:dyDescent="0.3">
      <c r="A94" s="235" t="s">
        <v>2409</v>
      </c>
      <c r="B94" s="248"/>
      <c r="C94" s="248"/>
      <c r="D94" s="248"/>
      <c r="E94" s="38" t="s">
        <v>852</v>
      </c>
      <c r="F94" s="248"/>
      <c r="G94" s="248"/>
      <c r="H94" s="248"/>
      <c r="I94" s="38" t="s">
        <v>852</v>
      </c>
      <c r="J94" s="248"/>
      <c r="K94" s="248"/>
      <c r="L94" s="248"/>
      <c r="M94" s="38" t="s">
        <v>852</v>
      </c>
      <c r="N94" s="248"/>
      <c r="O94" s="248"/>
      <c r="P94" s="248"/>
      <c r="Q94" s="38" t="s">
        <v>852</v>
      </c>
      <c r="R94" s="38" t="s">
        <v>852</v>
      </c>
    </row>
    <row r="95" spans="1:20" ht="15.75" customHeight="1" x14ac:dyDescent="0.3">
      <c r="A95" s="410" t="s">
        <v>701</v>
      </c>
      <c r="B95" s="10">
        <v>278</v>
      </c>
      <c r="C95" s="10">
        <v>131</v>
      </c>
      <c r="D95" s="10">
        <v>350</v>
      </c>
      <c r="E95" s="38">
        <f>SUM(B95:D95)</f>
        <v>759</v>
      </c>
      <c r="F95" s="10">
        <v>1880</v>
      </c>
      <c r="G95" s="10">
        <v>3547</v>
      </c>
      <c r="H95" s="10">
        <v>4837</v>
      </c>
      <c r="I95" s="38">
        <f>SUM(F95:H95)</f>
        <v>10264</v>
      </c>
      <c r="J95" s="10">
        <v>4549</v>
      </c>
      <c r="K95" s="10">
        <v>4873</v>
      </c>
      <c r="L95" s="10">
        <v>3130</v>
      </c>
      <c r="M95" s="38">
        <f>SUM(J95:L95)</f>
        <v>12552</v>
      </c>
      <c r="N95" s="10">
        <v>1974</v>
      </c>
      <c r="O95" s="10">
        <v>403</v>
      </c>
      <c r="P95" s="10">
        <v>138</v>
      </c>
      <c r="Q95" s="38">
        <f>SUM(N95:P95)</f>
        <v>2515</v>
      </c>
      <c r="R95" s="38">
        <f>+E95+I95+M95+Q95</f>
        <v>26090</v>
      </c>
      <c r="T95" t="s">
        <v>2810</v>
      </c>
    </row>
    <row r="96" spans="1:20" ht="15.75" customHeight="1" x14ac:dyDescent="0.3">
      <c r="A96" s="410" t="s">
        <v>702</v>
      </c>
      <c r="B96" s="10"/>
      <c r="C96" s="10"/>
      <c r="D96" s="10"/>
      <c r="E96" s="38">
        <f>SUM(B96:D96)</f>
        <v>0</v>
      </c>
      <c r="F96" s="10"/>
      <c r="G96" s="10">
        <v>200</v>
      </c>
      <c r="H96" s="10">
        <v>250</v>
      </c>
      <c r="I96" s="38">
        <f>SUM(F96:H96)</f>
        <v>450</v>
      </c>
      <c r="J96" s="10">
        <v>335</v>
      </c>
      <c r="K96" s="10">
        <v>335</v>
      </c>
      <c r="L96" s="10">
        <v>515</v>
      </c>
      <c r="M96" s="38">
        <f>SUM(J96:L96)</f>
        <v>1185</v>
      </c>
      <c r="N96" s="10">
        <v>715</v>
      </c>
      <c r="O96" s="10">
        <v>245</v>
      </c>
      <c r="P96" s="10"/>
      <c r="Q96" s="38">
        <f>SUM(N96:P96)</f>
        <v>960</v>
      </c>
      <c r="R96" s="38">
        <f>+E96+I96+M96+Q96</f>
        <v>2595</v>
      </c>
      <c r="T96" t="s">
        <v>2774</v>
      </c>
    </row>
    <row r="97" spans="1:20" ht="15.75" customHeight="1" thickBot="1" x14ac:dyDescent="0.35">
      <c r="A97" s="235" t="s">
        <v>2165</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6.5" customHeight="1" thickBot="1" x14ac:dyDescent="0.35">
      <c r="A98" s="43" t="s">
        <v>1219</v>
      </c>
      <c r="B98" s="42">
        <f>SUM(B92:B97)</f>
        <v>278</v>
      </c>
      <c r="C98" s="42">
        <f>SUM(C92:C97)</f>
        <v>131</v>
      </c>
      <c r="D98" s="42">
        <f>SUM(D92:D97)</f>
        <v>350</v>
      </c>
      <c r="E98" s="37">
        <f>SUM(B98:D98)</f>
        <v>759</v>
      </c>
      <c r="F98" s="42">
        <f>SUM(F92:F97)</f>
        <v>1880</v>
      </c>
      <c r="G98" s="42">
        <f>SUM(G92:G97)</f>
        <v>3747</v>
      </c>
      <c r="H98" s="42">
        <f>SUM(H92:H97)</f>
        <v>5087</v>
      </c>
      <c r="I98" s="37">
        <f>SUM(F98:H98)</f>
        <v>10714</v>
      </c>
      <c r="J98" s="42">
        <f>SUM(J92:J97)</f>
        <v>4884</v>
      </c>
      <c r="K98" s="42">
        <f>SUM(K92:K97)</f>
        <v>5208</v>
      </c>
      <c r="L98" s="42">
        <f>SUM(L92:L97)</f>
        <v>3645</v>
      </c>
      <c r="M98" s="37">
        <f>SUM(J98:L98)</f>
        <v>13737</v>
      </c>
      <c r="N98" s="42">
        <f>SUM(N92:N97)</f>
        <v>2689</v>
      </c>
      <c r="O98" s="42">
        <f>SUM(O92:O97)</f>
        <v>648</v>
      </c>
      <c r="P98" s="42">
        <f>SUM(P92:P97)</f>
        <v>138</v>
      </c>
      <c r="Q98" s="37">
        <f>SUM(N98:P98)</f>
        <v>3475</v>
      </c>
      <c r="R98" s="37">
        <f>+E98+I98+M98+Q98</f>
        <v>28685</v>
      </c>
    </row>
    <row r="99" spans="1:20" ht="15.75" customHeight="1" x14ac:dyDescent="0.3">
      <c r="A99" s="235" t="s">
        <v>2166</v>
      </c>
      <c r="B99" s="248"/>
      <c r="C99" s="248"/>
      <c r="D99" s="248"/>
      <c r="E99" s="38" t="s">
        <v>852</v>
      </c>
      <c r="F99" s="248"/>
      <c r="G99" s="248"/>
      <c r="H99" s="248"/>
      <c r="I99" s="38" t="s">
        <v>852</v>
      </c>
      <c r="J99" s="248"/>
      <c r="K99" s="248"/>
      <c r="L99" s="248"/>
      <c r="M99" s="38" t="s">
        <v>852</v>
      </c>
      <c r="N99" s="248"/>
      <c r="O99" s="248"/>
      <c r="P99" s="248"/>
      <c r="Q99" s="38" t="s">
        <v>852</v>
      </c>
      <c r="R99" s="38" t="s">
        <v>852</v>
      </c>
    </row>
    <row r="100" spans="1:20" ht="15.75" customHeight="1" x14ac:dyDescent="0.3">
      <c r="A100" s="235" t="s">
        <v>1245</v>
      </c>
      <c r="B100" s="248"/>
      <c r="C100" s="248"/>
      <c r="D100" s="248"/>
      <c r="E100" s="38" t="s">
        <v>852</v>
      </c>
      <c r="F100" s="248"/>
      <c r="G100" s="248"/>
      <c r="H100" s="248"/>
      <c r="I100" s="38" t="s">
        <v>852</v>
      </c>
      <c r="J100" s="248"/>
      <c r="K100" s="248"/>
      <c r="L100" s="248"/>
      <c r="M100" s="38" t="s">
        <v>852</v>
      </c>
      <c r="N100" s="248"/>
      <c r="O100" s="248"/>
      <c r="P100" s="248"/>
      <c r="Q100" s="38" t="s">
        <v>852</v>
      </c>
      <c r="R100" s="38" t="s">
        <v>852</v>
      </c>
    </row>
    <row r="101" spans="1:20" ht="15.75" customHeight="1" x14ac:dyDescent="0.3">
      <c r="A101" s="235" t="s">
        <v>1711</v>
      </c>
      <c r="B101" s="248"/>
      <c r="C101" s="248"/>
      <c r="D101" s="248"/>
      <c r="E101" s="38"/>
      <c r="F101" s="248"/>
      <c r="G101" s="248"/>
      <c r="H101" s="248"/>
      <c r="I101" s="38"/>
      <c r="J101" s="248"/>
      <c r="K101" s="248"/>
      <c r="L101" s="248"/>
      <c r="M101" s="38"/>
      <c r="N101" s="248"/>
      <c r="O101" s="248"/>
      <c r="P101" s="248"/>
      <c r="Q101" s="38"/>
      <c r="R101" s="38"/>
    </row>
    <row r="102" spans="1:20" ht="15.75" customHeight="1" x14ac:dyDescent="0.3">
      <c r="A102" s="410" t="s">
        <v>3458</v>
      </c>
      <c r="B102" s="10"/>
      <c r="C102" s="10"/>
      <c r="D102" s="10"/>
      <c r="E102" s="38">
        <f t="shared" ref="E102:E113" si="13">SUM(B102:D102)</f>
        <v>0</v>
      </c>
      <c r="F102" s="10"/>
      <c r="G102" s="10"/>
      <c r="H102" s="10"/>
      <c r="I102" s="38">
        <f t="shared" ref="I102:I113" si="14">SUM(F102:H102)</f>
        <v>0</v>
      </c>
      <c r="J102" s="10"/>
      <c r="K102" s="10">
        <v>4000</v>
      </c>
      <c r="L102" s="10"/>
      <c r="M102" s="38">
        <f t="shared" ref="M102:M113" si="15">SUM(J102:L102)</f>
        <v>4000</v>
      </c>
      <c r="N102" s="10"/>
      <c r="O102" s="10"/>
      <c r="P102" s="10">
        <v>500</v>
      </c>
      <c r="Q102" s="38">
        <f t="shared" ref="Q102:Q113" si="16">SUM(N102:P102)</f>
        <v>500</v>
      </c>
      <c r="R102" s="38">
        <f t="shared" ref="R102:R113" si="17">+E102+I102+M102+Q102</f>
        <v>4500</v>
      </c>
    </row>
    <row r="103" spans="1:20" ht="15.75" customHeight="1" x14ac:dyDescent="0.3">
      <c r="A103" s="410" t="s">
        <v>1584</v>
      </c>
      <c r="B103" s="10"/>
      <c r="C103" s="10"/>
      <c r="D103" s="10"/>
      <c r="E103" s="38">
        <f t="shared" si="13"/>
        <v>0</v>
      </c>
      <c r="F103" s="10"/>
      <c r="G103" s="10"/>
      <c r="H103" s="10"/>
      <c r="I103" s="38">
        <f t="shared" si="14"/>
        <v>0</v>
      </c>
      <c r="J103" s="10"/>
      <c r="K103" s="10"/>
      <c r="L103" s="10"/>
      <c r="M103" s="38">
        <f t="shared" si="15"/>
        <v>0</v>
      </c>
      <c r="N103" s="10"/>
      <c r="O103" s="10"/>
      <c r="P103" s="10"/>
      <c r="Q103" s="38">
        <f t="shared" ref="Q103" si="18">SUM(N103:P103)</f>
        <v>0</v>
      </c>
      <c r="R103" s="38">
        <f t="shared" ref="R103" si="19">+E103+I103+M103+Q103</f>
        <v>0</v>
      </c>
    </row>
    <row r="104" spans="1:20" ht="15.75" customHeight="1" x14ac:dyDescent="0.3">
      <c r="A104" s="410" t="s">
        <v>1977</v>
      </c>
      <c r="B104" s="10"/>
      <c r="C104" s="10"/>
      <c r="D104" s="10"/>
      <c r="E104" s="38">
        <f t="shared" si="13"/>
        <v>0</v>
      </c>
      <c r="F104" s="10"/>
      <c r="G104" s="10"/>
      <c r="H104" s="10"/>
      <c r="I104" s="38">
        <f t="shared" si="14"/>
        <v>0</v>
      </c>
      <c r="J104" s="10"/>
      <c r="K104" s="10"/>
      <c r="L104" s="10"/>
      <c r="M104" s="38">
        <f t="shared" si="15"/>
        <v>0</v>
      </c>
      <c r="N104" s="10"/>
      <c r="O104" s="10"/>
      <c r="P104" s="10"/>
      <c r="Q104" s="38">
        <f t="shared" si="16"/>
        <v>0</v>
      </c>
      <c r="R104" s="38">
        <f t="shared" si="17"/>
        <v>0</v>
      </c>
    </row>
    <row r="105" spans="1:20" ht="15.75" customHeight="1" x14ac:dyDescent="0.3">
      <c r="A105" s="410" t="s">
        <v>3287</v>
      </c>
      <c r="B105" s="10"/>
      <c r="C105" s="10"/>
      <c r="D105" s="10"/>
      <c r="E105" s="38">
        <f>SUM(B105:D105)</f>
        <v>0</v>
      </c>
      <c r="F105" s="10"/>
      <c r="G105" s="10"/>
      <c r="H105" s="10"/>
      <c r="I105" s="38">
        <f>SUM(F105:H105)</f>
        <v>0</v>
      </c>
      <c r="J105" s="10"/>
      <c r="K105" s="10"/>
      <c r="L105" s="10"/>
      <c r="M105" s="38">
        <f>SUM(J105:L105)</f>
        <v>0</v>
      </c>
      <c r="N105" s="10"/>
      <c r="O105" s="10"/>
      <c r="P105" s="10"/>
      <c r="Q105" s="38">
        <f>SUM(N105:P105)</f>
        <v>0</v>
      </c>
      <c r="R105" s="38">
        <f>+E105+I105+M105+Q105</f>
        <v>0</v>
      </c>
    </row>
    <row r="106" spans="1:20" ht="15.75" customHeight="1" x14ac:dyDescent="0.3">
      <c r="A106" s="410" t="s">
        <v>3155</v>
      </c>
      <c r="B106" s="10"/>
      <c r="C106" s="10"/>
      <c r="D106" s="10"/>
      <c r="E106" s="38">
        <f>SUM(B106:D106)</f>
        <v>0</v>
      </c>
      <c r="F106" s="10"/>
      <c r="G106" s="10"/>
      <c r="H106" s="10"/>
      <c r="I106" s="38">
        <f>SUM(F106:H106)</f>
        <v>0</v>
      </c>
      <c r="J106" s="10"/>
      <c r="K106" s="10"/>
      <c r="L106" s="10"/>
      <c r="M106" s="38">
        <f>SUM(J106:L106)</f>
        <v>0</v>
      </c>
      <c r="N106" s="10"/>
      <c r="O106" s="10"/>
      <c r="P106" s="10"/>
      <c r="Q106" s="38">
        <f>SUM(N106:P106)</f>
        <v>0</v>
      </c>
      <c r="R106" s="38">
        <f>+E106+I106+M106+Q106</f>
        <v>0</v>
      </c>
      <c r="T106" t="s">
        <v>2799</v>
      </c>
    </row>
    <row r="107" spans="1:20" ht="15.75" customHeight="1" x14ac:dyDescent="0.3">
      <c r="A107" s="410" t="s">
        <v>436</v>
      </c>
      <c r="B107" s="10"/>
      <c r="C107" s="10"/>
      <c r="D107" s="10"/>
      <c r="E107" s="38">
        <f>SUM(B107:D107)</f>
        <v>0</v>
      </c>
      <c r="F107" s="10"/>
      <c r="G107" s="10"/>
      <c r="H107" s="10"/>
      <c r="I107" s="38">
        <f>SUM(F107:H107)</f>
        <v>0</v>
      </c>
      <c r="J107" s="10"/>
      <c r="K107" s="10"/>
      <c r="L107" s="10"/>
      <c r="M107" s="38">
        <f>SUM(J107:L107)</f>
        <v>0</v>
      </c>
      <c r="N107" s="10"/>
      <c r="O107" s="10"/>
      <c r="P107" s="10"/>
      <c r="Q107" s="38">
        <f>SUM(N107:P107)</f>
        <v>0</v>
      </c>
      <c r="R107" s="38">
        <f>+E107+I107+M107+Q107</f>
        <v>0</v>
      </c>
    </row>
    <row r="108" spans="1:20" ht="15.75" customHeight="1" x14ac:dyDescent="0.3">
      <c r="A108" s="410" t="s">
        <v>3288</v>
      </c>
      <c r="B108" s="10"/>
      <c r="C108" s="10"/>
      <c r="D108" s="10"/>
      <c r="E108" s="38">
        <f t="shared" si="13"/>
        <v>0</v>
      </c>
      <c r="F108" s="10"/>
      <c r="G108" s="10"/>
      <c r="H108" s="10"/>
      <c r="I108" s="38">
        <f t="shared" si="14"/>
        <v>0</v>
      </c>
      <c r="J108" s="10"/>
      <c r="K108" s="10"/>
      <c r="L108" s="10"/>
      <c r="M108" s="38">
        <f t="shared" si="15"/>
        <v>0</v>
      </c>
      <c r="N108" s="10"/>
      <c r="O108" s="10"/>
      <c r="P108" s="10"/>
      <c r="Q108" s="38">
        <f t="shared" si="16"/>
        <v>0</v>
      </c>
      <c r="R108" s="38">
        <f t="shared" si="17"/>
        <v>0</v>
      </c>
    </row>
    <row r="109" spans="1:20" ht="15.75" customHeight="1" x14ac:dyDescent="0.3">
      <c r="A109" s="410" t="s">
        <v>2261</v>
      </c>
      <c r="B109" s="10"/>
      <c r="C109" s="10"/>
      <c r="D109" s="10"/>
      <c r="E109" s="38">
        <f t="shared" si="13"/>
        <v>0</v>
      </c>
      <c r="F109" s="10"/>
      <c r="G109" s="10"/>
      <c r="H109" s="10"/>
      <c r="I109" s="38">
        <f t="shared" si="14"/>
        <v>0</v>
      </c>
      <c r="J109" s="10"/>
      <c r="K109" s="10"/>
      <c r="L109" s="10"/>
      <c r="M109" s="38">
        <f t="shared" si="15"/>
        <v>0</v>
      </c>
      <c r="N109" s="10"/>
      <c r="O109" s="10"/>
      <c r="P109" s="10"/>
      <c r="Q109" s="38">
        <f t="shared" ref="Q109" si="20">SUM(N109:P109)</f>
        <v>0</v>
      </c>
      <c r="R109" s="38">
        <f t="shared" si="17"/>
        <v>0</v>
      </c>
    </row>
    <row r="110" spans="1:20" ht="15.75" customHeight="1" x14ac:dyDescent="0.3">
      <c r="A110" s="410" t="s">
        <v>3457</v>
      </c>
      <c r="B110" s="10"/>
      <c r="C110" s="10"/>
      <c r="D110" s="10"/>
      <c r="E110" s="38">
        <f t="shared" si="13"/>
        <v>0</v>
      </c>
      <c r="F110" s="10"/>
      <c r="G110" s="10"/>
      <c r="H110" s="10"/>
      <c r="I110" s="38">
        <f t="shared" si="14"/>
        <v>0</v>
      </c>
      <c r="J110" s="10">
        <v>3185</v>
      </c>
      <c r="K110" s="10"/>
      <c r="L110" s="10"/>
      <c r="M110" s="38">
        <f t="shared" si="15"/>
        <v>3185</v>
      </c>
      <c r="N110" s="10"/>
      <c r="O110" s="10"/>
      <c r="P110" s="10"/>
      <c r="Q110" s="38">
        <f t="shared" ref="Q110" si="21">SUM(N110:P110)</f>
        <v>0</v>
      </c>
      <c r="R110" s="38">
        <f t="shared" ref="R110" si="22">+E110+I110+M110+Q110</f>
        <v>3185</v>
      </c>
    </row>
    <row r="111" spans="1:20" ht="15.75" customHeight="1" x14ac:dyDescent="0.3">
      <c r="A111" s="410" t="s">
        <v>3443</v>
      </c>
      <c r="B111" s="10"/>
      <c r="C111" s="10"/>
      <c r="D111" s="10"/>
      <c r="E111" s="38">
        <f t="shared" ref="E111" si="23">SUM(B111:D111)</f>
        <v>0</v>
      </c>
      <c r="F111" s="10"/>
      <c r="G111" s="10"/>
      <c r="H111" s="10"/>
      <c r="I111" s="38">
        <f t="shared" ref="I111" si="24">SUM(F111:H111)</f>
        <v>0</v>
      </c>
      <c r="J111" s="10"/>
      <c r="K111" s="10"/>
      <c r="L111" s="10">
        <v>854</v>
      </c>
      <c r="M111" s="38">
        <f t="shared" ref="M111" si="25">SUM(J111:L111)</f>
        <v>854</v>
      </c>
      <c r="N111" s="10"/>
      <c r="O111" s="10"/>
      <c r="P111" s="10"/>
      <c r="Q111" s="38">
        <f t="shared" ref="Q111" si="26">SUM(N111:P111)</f>
        <v>0</v>
      </c>
      <c r="R111" s="38">
        <f t="shared" ref="R111" si="27">+E111+I111+M111+Q111</f>
        <v>854</v>
      </c>
    </row>
    <row r="112" spans="1:20" ht="15.75" customHeight="1" thickBot="1" x14ac:dyDescent="0.35">
      <c r="A112" s="410" t="s">
        <v>3366</v>
      </c>
      <c r="B112" s="10"/>
      <c r="C112" s="10"/>
      <c r="D112" s="10"/>
      <c r="E112" s="38">
        <f t="shared" si="13"/>
        <v>0</v>
      </c>
      <c r="F112" s="10"/>
      <c r="G112" s="10"/>
      <c r="H112" s="10">
        <v>859</v>
      </c>
      <c r="I112" s="38">
        <f t="shared" si="14"/>
        <v>859</v>
      </c>
      <c r="J112" s="10">
        <v>838</v>
      </c>
      <c r="K112" s="10">
        <v>1566</v>
      </c>
      <c r="L112" s="10">
        <v>1190</v>
      </c>
      <c r="M112" s="38">
        <f t="shared" si="15"/>
        <v>3594</v>
      </c>
      <c r="N112" s="10">
        <v>494</v>
      </c>
      <c r="O112" s="10">
        <v>502</v>
      </c>
      <c r="P112" s="10">
        <v>453</v>
      </c>
      <c r="Q112" s="38">
        <f t="shared" si="16"/>
        <v>1449</v>
      </c>
      <c r="R112" s="38">
        <f t="shared" si="17"/>
        <v>5902</v>
      </c>
    </row>
    <row r="113" spans="1:20" ht="16.5" customHeight="1" thickBot="1" x14ac:dyDescent="0.35">
      <c r="A113" s="43" t="s">
        <v>1220</v>
      </c>
      <c r="B113" s="42">
        <f>SUM(B99:B112)</f>
        <v>0</v>
      </c>
      <c r="C113" s="42">
        <f>SUM(C99:C112)</f>
        <v>0</v>
      </c>
      <c r="D113" s="42">
        <f>SUM(D99:D112)</f>
        <v>0</v>
      </c>
      <c r="E113" s="37">
        <f t="shared" si="13"/>
        <v>0</v>
      </c>
      <c r="F113" s="42">
        <f>SUM(F99:F112)</f>
        <v>0</v>
      </c>
      <c r="G113" s="42">
        <f>SUM(G99:G112)</f>
        <v>0</v>
      </c>
      <c r="H113" s="42">
        <f>SUM(H99:H112)</f>
        <v>859</v>
      </c>
      <c r="I113" s="37">
        <f t="shared" si="14"/>
        <v>859</v>
      </c>
      <c r="J113" s="42">
        <f>SUM(J99:J112)</f>
        <v>4023</v>
      </c>
      <c r="K113" s="42">
        <f>SUM(K99:K112)</f>
        <v>5566</v>
      </c>
      <c r="L113" s="42">
        <f>SUM(L99:L112)</f>
        <v>2044</v>
      </c>
      <c r="M113" s="37">
        <f t="shared" si="15"/>
        <v>11633</v>
      </c>
      <c r="N113" s="42">
        <f>SUM(N99:N112)</f>
        <v>494</v>
      </c>
      <c r="O113" s="42">
        <f>SUM(O99:O112)</f>
        <v>502</v>
      </c>
      <c r="P113" s="42">
        <f>SUM(P99:P112)</f>
        <v>953</v>
      </c>
      <c r="Q113" s="37">
        <f t="shared" si="16"/>
        <v>1949</v>
      </c>
      <c r="R113" s="37">
        <f t="shared" si="17"/>
        <v>14441</v>
      </c>
    </row>
    <row r="114" spans="1:20" ht="15.75" customHeight="1" x14ac:dyDescent="0.3">
      <c r="A114" s="235" t="s">
        <v>1712</v>
      </c>
      <c r="B114" s="248"/>
      <c r="C114" s="248"/>
      <c r="D114" s="248"/>
      <c r="E114" s="38" t="s">
        <v>852</v>
      </c>
      <c r="F114" s="248"/>
      <c r="G114" s="248"/>
      <c r="H114" s="248"/>
      <c r="I114" s="38" t="s">
        <v>852</v>
      </c>
      <c r="J114" s="248"/>
      <c r="K114" s="248"/>
      <c r="L114" s="248"/>
      <c r="M114" s="38" t="s">
        <v>852</v>
      </c>
      <c r="N114" s="248"/>
      <c r="O114" s="248"/>
      <c r="P114" s="248"/>
      <c r="Q114" s="38" t="s">
        <v>852</v>
      </c>
      <c r="R114" s="38" t="s">
        <v>852</v>
      </c>
    </row>
    <row r="115" spans="1:20" ht="15.75" customHeight="1" x14ac:dyDescent="0.3">
      <c r="A115" s="235" t="s">
        <v>1021</v>
      </c>
      <c r="B115" s="248"/>
      <c r="C115" s="248"/>
      <c r="D115" s="248"/>
      <c r="E115" s="38" t="s">
        <v>852</v>
      </c>
      <c r="F115" s="248"/>
      <c r="G115" s="248"/>
      <c r="H115" s="248"/>
      <c r="I115" s="38" t="s">
        <v>852</v>
      </c>
      <c r="J115" s="248"/>
      <c r="K115" s="248"/>
      <c r="L115" s="248"/>
      <c r="M115" s="38" t="s">
        <v>852</v>
      </c>
      <c r="N115" s="248"/>
      <c r="O115" s="248"/>
      <c r="P115" s="248"/>
      <c r="Q115" s="38" t="s">
        <v>852</v>
      </c>
      <c r="R115" s="38" t="s">
        <v>852</v>
      </c>
    </row>
    <row r="116" spans="1:20" ht="15.75" customHeight="1" x14ac:dyDescent="0.3">
      <c r="A116" s="422" t="s">
        <v>2751</v>
      </c>
      <c r="B116" s="10"/>
      <c r="C116" s="10"/>
      <c r="D116" s="10"/>
      <c r="E116" s="38">
        <f t="shared" ref="E116:E121" si="28">SUM(B116:D116)</f>
        <v>0</v>
      </c>
      <c r="F116" s="10"/>
      <c r="G116" s="10"/>
      <c r="H116" s="10"/>
      <c r="I116" s="38">
        <f t="shared" ref="I116:I121" si="29">SUM(F116:H116)</f>
        <v>0</v>
      </c>
      <c r="J116" s="10"/>
      <c r="K116" s="10"/>
      <c r="L116" s="10"/>
      <c r="M116" s="38">
        <f t="shared" ref="M116:M121" si="30">SUM(J116:L116)</f>
        <v>0</v>
      </c>
      <c r="N116" s="10"/>
      <c r="O116" s="10"/>
      <c r="P116" s="10"/>
      <c r="Q116" s="38">
        <f t="shared" ref="Q116:Q121" si="31">SUM(N116:P116)</f>
        <v>0</v>
      </c>
      <c r="R116" s="38">
        <f t="shared" ref="R116:R121" si="32">+E116+I116+M116+Q116</f>
        <v>0</v>
      </c>
    </row>
    <row r="117" spans="1:20" ht="15.75" customHeight="1" x14ac:dyDescent="0.3">
      <c r="A117" s="422" t="s">
        <v>3243</v>
      </c>
      <c r="B117" s="10"/>
      <c r="C117" s="10"/>
      <c r="D117" s="10"/>
      <c r="E117" s="38">
        <f t="shared" si="28"/>
        <v>0</v>
      </c>
      <c r="F117" s="10"/>
      <c r="G117" s="10"/>
      <c r="H117" s="10"/>
      <c r="I117" s="38">
        <f t="shared" si="29"/>
        <v>0</v>
      </c>
      <c r="J117" s="10">
        <v>512</v>
      </c>
      <c r="K117" s="10">
        <v>3000</v>
      </c>
      <c r="L117" s="10">
        <v>5188</v>
      </c>
      <c r="M117" s="38">
        <f t="shared" si="30"/>
        <v>8700</v>
      </c>
      <c r="N117" s="10">
        <v>2632</v>
      </c>
      <c r="O117" s="10"/>
      <c r="P117" s="10"/>
      <c r="Q117" s="38">
        <f t="shared" si="31"/>
        <v>2632</v>
      </c>
      <c r="R117" s="38">
        <f t="shared" si="32"/>
        <v>11332</v>
      </c>
    </row>
    <row r="118" spans="1:20" ht="15.75" customHeight="1" x14ac:dyDescent="0.3">
      <c r="A118" s="422" t="s">
        <v>320</v>
      </c>
      <c r="B118" s="10"/>
      <c r="C118" s="10"/>
      <c r="D118" s="10"/>
      <c r="E118" s="38">
        <f t="shared" si="28"/>
        <v>0</v>
      </c>
      <c r="F118" s="10"/>
      <c r="G118" s="10"/>
      <c r="H118" s="10"/>
      <c r="I118" s="38">
        <f t="shared" si="29"/>
        <v>0</v>
      </c>
      <c r="J118" s="10"/>
      <c r="K118" s="10"/>
      <c r="L118" s="10"/>
      <c r="M118" s="38">
        <f t="shared" si="30"/>
        <v>0</v>
      </c>
      <c r="N118" s="10"/>
      <c r="O118" s="10"/>
      <c r="P118" s="10"/>
      <c r="Q118" s="38">
        <f t="shared" si="31"/>
        <v>0</v>
      </c>
      <c r="R118" s="38">
        <f t="shared" si="32"/>
        <v>0</v>
      </c>
    </row>
    <row r="119" spans="1:20" ht="15.75" customHeight="1" x14ac:dyDescent="0.3">
      <c r="A119" s="422" t="s">
        <v>563</v>
      </c>
      <c r="B119" s="10"/>
      <c r="C119" s="10"/>
      <c r="D119" s="10"/>
      <c r="E119" s="38">
        <f t="shared" si="28"/>
        <v>0</v>
      </c>
      <c r="F119" s="10"/>
      <c r="G119" s="10"/>
      <c r="H119" s="10"/>
      <c r="I119" s="38">
        <f t="shared" si="29"/>
        <v>0</v>
      </c>
      <c r="J119" s="10"/>
      <c r="K119" s="10"/>
      <c r="L119" s="10"/>
      <c r="M119" s="38">
        <f t="shared" si="30"/>
        <v>0</v>
      </c>
      <c r="N119" s="10"/>
      <c r="O119" s="10"/>
      <c r="P119" s="10"/>
      <c r="Q119" s="38">
        <f t="shared" si="31"/>
        <v>0</v>
      </c>
      <c r="R119" s="38">
        <f t="shared" si="32"/>
        <v>0</v>
      </c>
    </row>
    <row r="120" spans="1:20" ht="15.75" customHeight="1" x14ac:dyDescent="0.3">
      <c r="A120" s="422" t="s">
        <v>2123</v>
      </c>
      <c r="B120" s="10"/>
      <c r="C120" s="10"/>
      <c r="D120" s="10"/>
      <c r="E120" s="38">
        <f t="shared" si="28"/>
        <v>0</v>
      </c>
      <c r="F120" s="10"/>
      <c r="G120" s="10"/>
      <c r="H120" s="10"/>
      <c r="I120" s="38">
        <f t="shared" si="29"/>
        <v>0</v>
      </c>
      <c r="J120" s="10"/>
      <c r="K120" s="10"/>
      <c r="L120" s="10"/>
      <c r="M120" s="38">
        <f t="shared" si="30"/>
        <v>0</v>
      </c>
      <c r="N120" s="10"/>
      <c r="O120" s="10"/>
      <c r="P120" s="10"/>
      <c r="Q120" s="38">
        <f t="shared" si="31"/>
        <v>0</v>
      </c>
      <c r="R120" s="38">
        <f t="shared" si="32"/>
        <v>0</v>
      </c>
    </row>
    <row r="121" spans="1:20" ht="15.75" customHeight="1" x14ac:dyDescent="0.3">
      <c r="A121" s="422" t="s">
        <v>2752</v>
      </c>
      <c r="B121" s="10"/>
      <c r="C121" s="10"/>
      <c r="D121" s="10"/>
      <c r="E121" s="38">
        <f t="shared" si="28"/>
        <v>0</v>
      </c>
      <c r="F121" s="10"/>
      <c r="G121" s="10"/>
      <c r="H121" s="10"/>
      <c r="I121" s="38">
        <f t="shared" si="29"/>
        <v>0</v>
      </c>
      <c r="J121" s="10"/>
      <c r="K121" s="10"/>
      <c r="L121" s="10"/>
      <c r="M121" s="38">
        <f t="shared" si="30"/>
        <v>0</v>
      </c>
      <c r="N121" s="10"/>
      <c r="O121" s="10"/>
      <c r="P121" s="10"/>
      <c r="Q121" s="38">
        <f t="shared" si="31"/>
        <v>0</v>
      </c>
      <c r="R121" s="38">
        <f t="shared" si="32"/>
        <v>0</v>
      </c>
    </row>
    <row r="122" spans="1:20" ht="15.75" customHeight="1" x14ac:dyDescent="0.3">
      <c r="A122" s="422" t="s">
        <v>2690</v>
      </c>
      <c r="B122" s="10"/>
      <c r="C122" s="10"/>
      <c r="D122" s="10"/>
      <c r="E122" s="38">
        <f>SUM(B122:D122)</f>
        <v>0</v>
      </c>
      <c r="F122" s="10"/>
      <c r="G122" s="10"/>
      <c r="H122" s="10"/>
      <c r="I122" s="38">
        <f>SUM(F122:H122)</f>
        <v>0</v>
      </c>
      <c r="J122" s="10"/>
      <c r="K122" s="10"/>
      <c r="L122" s="10"/>
      <c r="M122" s="38">
        <f>SUM(J122:L122)</f>
        <v>0</v>
      </c>
      <c r="N122" s="10"/>
      <c r="O122" s="10"/>
      <c r="P122" s="10"/>
      <c r="Q122" s="38">
        <f>SUM(N122:P122)</f>
        <v>0</v>
      </c>
      <c r="R122" s="38">
        <f>+E122+I122+M122+Q122</f>
        <v>0</v>
      </c>
    </row>
    <row r="123" spans="1:20" ht="15.75" customHeight="1" x14ac:dyDescent="0.3">
      <c r="A123" s="618" t="s">
        <v>2503</v>
      </c>
      <c r="B123" s="10"/>
      <c r="C123" s="10"/>
      <c r="D123" s="10"/>
      <c r="E123" s="38">
        <f>SUM(B123:D123)</f>
        <v>0</v>
      </c>
      <c r="F123" s="10"/>
      <c r="G123" s="10"/>
      <c r="H123" s="10"/>
      <c r="I123" s="38">
        <f>SUM(F123:H123)</f>
        <v>0</v>
      </c>
      <c r="J123" s="10"/>
      <c r="K123" s="10"/>
      <c r="L123" s="10"/>
      <c r="M123" s="38">
        <f>SUM(J123:L123)</f>
        <v>0</v>
      </c>
      <c r="N123" s="10"/>
      <c r="O123" s="10"/>
      <c r="P123" s="10"/>
      <c r="Q123" s="38">
        <f>SUM(N123:P123)</f>
        <v>0</v>
      </c>
      <c r="R123" s="38">
        <f>+E123+I123+M123+Q123</f>
        <v>0</v>
      </c>
      <c r="T123" t="s">
        <v>2811</v>
      </c>
    </row>
    <row r="124" spans="1:20" ht="15.75" customHeight="1" x14ac:dyDescent="0.3">
      <c r="A124" s="235" t="s">
        <v>557</v>
      </c>
      <c r="B124" s="248"/>
      <c r="C124" s="248"/>
      <c r="D124" s="248"/>
      <c r="E124" s="38" t="s">
        <v>852</v>
      </c>
      <c r="F124" s="248"/>
      <c r="G124" s="248"/>
      <c r="H124" s="248"/>
      <c r="I124" s="38" t="s">
        <v>852</v>
      </c>
      <c r="J124" s="248"/>
      <c r="K124" s="248"/>
      <c r="L124" s="248"/>
      <c r="M124" s="38" t="s">
        <v>852</v>
      </c>
      <c r="N124" s="248"/>
      <c r="O124" s="248"/>
      <c r="P124" s="248"/>
      <c r="Q124" s="38" t="s">
        <v>852</v>
      </c>
      <c r="R124" s="38" t="s">
        <v>852</v>
      </c>
    </row>
    <row r="125" spans="1:20" ht="15.75" customHeight="1" x14ac:dyDescent="0.3">
      <c r="A125" s="422" t="s">
        <v>2606</v>
      </c>
      <c r="B125" s="10"/>
      <c r="C125" s="10"/>
      <c r="D125" s="10"/>
      <c r="E125" s="38">
        <f>SUM(B125:D125)</f>
        <v>0</v>
      </c>
      <c r="F125" s="10"/>
      <c r="G125" s="10"/>
      <c r="H125" s="10"/>
      <c r="I125" s="38">
        <f>SUM(F125:H125)</f>
        <v>0</v>
      </c>
      <c r="J125" s="10"/>
      <c r="K125" s="10">
        <v>7028</v>
      </c>
      <c r="L125" s="10">
        <v>8000</v>
      </c>
      <c r="M125" s="38">
        <f>SUM(J125:L125)</f>
        <v>15028</v>
      </c>
      <c r="N125" s="10">
        <v>7500</v>
      </c>
      <c r="O125" s="10">
        <v>8000</v>
      </c>
      <c r="P125" s="10">
        <v>5899</v>
      </c>
      <c r="Q125" s="38">
        <f>SUM(N125:P125)</f>
        <v>21399</v>
      </c>
      <c r="R125" s="38">
        <f>+E125+I125+M125+Q125</f>
        <v>36427</v>
      </c>
    </row>
    <row r="126" spans="1:20" ht="15.75" customHeight="1" x14ac:dyDescent="0.3">
      <c r="A126" s="422" t="s">
        <v>2548</v>
      </c>
      <c r="B126" s="10"/>
      <c r="C126" s="10"/>
      <c r="D126" s="10"/>
      <c r="E126" s="38">
        <f>SUM(B126:D126)</f>
        <v>0</v>
      </c>
      <c r="F126" s="10"/>
      <c r="G126" s="10"/>
      <c r="H126" s="10"/>
      <c r="I126" s="38">
        <f>SUM(F126:H126)</f>
        <v>0</v>
      </c>
      <c r="J126" s="10"/>
      <c r="K126" s="10"/>
      <c r="L126" s="10"/>
      <c r="M126" s="38">
        <f>SUM(J126:L126)</f>
        <v>0</v>
      </c>
      <c r="N126" s="10"/>
      <c r="O126" s="10"/>
      <c r="P126" s="10"/>
      <c r="Q126" s="38">
        <f>SUM(N126:P126)</f>
        <v>0</v>
      </c>
      <c r="R126" s="38">
        <f>+E126+I126+M126+Q126</f>
        <v>0</v>
      </c>
    </row>
    <row r="127" spans="1:20" ht="15.75" customHeight="1" x14ac:dyDescent="0.3">
      <c r="A127" s="235" t="s">
        <v>1022</v>
      </c>
      <c r="B127" s="248"/>
      <c r="C127" s="248"/>
      <c r="D127" s="248"/>
      <c r="E127" s="38" t="s">
        <v>852</v>
      </c>
      <c r="F127" s="248"/>
      <c r="G127" s="248"/>
      <c r="H127" s="248"/>
      <c r="I127" s="38" t="s">
        <v>852</v>
      </c>
      <c r="J127" s="248"/>
      <c r="K127" s="248"/>
      <c r="L127" s="248"/>
      <c r="M127" s="38" t="s">
        <v>852</v>
      </c>
      <c r="N127" s="248"/>
      <c r="O127" s="248"/>
      <c r="P127" s="248"/>
      <c r="Q127" s="38" t="s">
        <v>852</v>
      </c>
      <c r="R127" s="38" t="s">
        <v>852</v>
      </c>
    </row>
    <row r="128" spans="1:20" ht="15.75" customHeight="1" x14ac:dyDescent="0.3">
      <c r="A128" s="422" t="s">
        <v>3244</v>
      </c>
      <c r="B128" s="10"/>
      <c r="C128" s="10"/>
      <c r="D128" s="10"/>
      <c r="E128" s="38">
        <f>SUM(B128:D128)</f>
        <v>0</v>
      </c>
      <c r="F128" s="10"/>
      <c r="G128" s="10"/>
      <c r="H128" s="10"/>
      <c r="I128" s="38">
        <f>SUM(F128:H128)</f>
        <v>0</v>
      </c>
      <c r="J128" s="10"/>
      <c r="K128" s="10"/>
      <c r="L128" s="10"/>
      <c r="M128" s="38">
        <f>SUM(J128:L128)</f>
        <v>0</v>
      </c>
      <c r="N128" s="10"/>
      <c r="O128" s="10"/>
      <c r="P128" s="10"/>
      <c r="Q128" s="38">
        <f>SUM(N128:P128)</f>
        <v>0</v>
      </c>
      <c r="R128" s="38">
        <f>+E128+I128+M128+Q128</f>
        <v>0</v>
      </c>
      <c r="T128" t="s">
        <v>2774</v>
      </c>
    </row>
    <row r="129" spans="1:18" ht="15.75" customHeight="1" x14ac:dyDescent="0.3">
      <c r="A129" s="235" t="s">
        <v>559</v>
      </c>
      <c r="B129" s="248"/>
      <c r="C129" s="248"/>
      <c r="D129" s="248"/>
      <c r="E129" s="38" t="s">
        <v>852</v>
      </c>
      <c r="F129" s="248"/>
      <c r="G129" s="248"/>
      <c r="H129" s="248"/>
      <c r="I129" s="38" t="s">
        <v>852</v>
      </c>
      <c r="J129" s="248"/>
      <c r="K129" s="248"/>
      <c r="L129" s="248"/>
      <c r="M129" s="38" t="s">
        <v>852</v>
      </c>
      <c r="N129" s="248"/>
      <c r="O129" s="248"/>
      <c r="P129" s="248"/>
      <c r="Q129" s="38" t="s">
        <v>852</v>
      </c>
      <c r="R129" s="38" t="s">
        <v>852</v>
      </c>
    </row>
    <row r="130" spans="1:18" ht="15.75" customHeight="1" x14ac:dyDescent="0.3">
      <c r="A130" s="422" t="s">
        <v>3236</v>
      </c>
      <c r="B130" s="10"/>
      <c r="C130" s="10"/>
      <c r="D130" s="10"/>
      <c r="E130" s="38">
        <f t="shared" ref="E130:E135" si="33">SUM(B130:D130)</f>
        <v>0</v>
      </c>
      <c r="F130" s="10"/>
      <c r="G130" s="10"/>
      <c r="H130" s="10"/>
      <c r="I130" s="38">
        <f t="shared" ref="I130:I135" si="34">SUM(F130:H130)</f>
        <v>0</v>
      </c>
      <c r="J130" s="10"/>
      <c r="K130" s="10"/>
      <c r="L130" s="10"/>
      <c r="M130" s="38">
        <f t="shared" ref="M130:M135" si="35">SUM(J130:L130)</f>
        <v>0</v>
      </c>
      <c r="N130" s="10"/>
      <c r="O130" s="10"/>
      <c r="P130" s="10"/>
      <c r="Q130" s="38">
        <f t="shared" ref="Q130:Q135" si="36">SUM(N130:P130)</f>
        <v>0</v>
      </c>
      <c r="R130" s="38">
        <f t="shared" ref="R130:R135" si="37">+E130+I130+M130+Q130</f>
        <v>0</v>
      </c>
    </row>
    <row r="131" spans="1:18" ht="15.75" customHeight="1" thickBot="1" x14ac:dyDescent="0.35">
      <c r="A131" s="422" t="s">
        <v>3237</v>
      </c>
      <c r="B131" s="10"/>
      <c r="C131" s="10"/>
      <c r="D131" s="10"/>
      <c r="E131" s="38">
        <f t="shared" si="33"/>
        <v>0</v>
      </c>
      <c r="F131" s="10"/>
      <c r="G131" s="10"/>
      <c r="H131" s="10"/>
      <c r="I131" s="38">
        <f t="shared" si="34"/>
        <v>0</v>
      </c>
      <c r="J131" s="10"/>
      <c r="K131" s="10"/>
      <c r="L131" s="10"/>
      <c r="M131" s="38">
        <f t="shared" si="35"/>
        <v>0</v>
      </c>
      <c r="N131" s="10"/>
      <c r="O131" s="10"/>
      <c r="P131" s="10"/>
      <c r="Q131" s="38">
        <f t="shared" si="36"/>
        <v>0</v>
      </c>
      <c r="R131" s="38">
        <f t="shared" si="37"/>
        <v>0</v>
      </c>
    </row>
    <row r="132" spans="1:18" ht="16.5" customHeight="1" thickBot="1" x14ac:dyDescent="0.35">
      <c r="A132" s="43" t="s">
        <v>1019</v>
      </c>
      <c r="B132" s="42">
        <f>SUM(B127:B131)</f>
        <v>0</v>
      </c>
      <c r="C132" s="42">
        <f>SUM(C127:C131)</f>
        <v>0</v>
      </c>
      <c r="D132" s="42">
        <f>SUM(D127:D131)</f>
        <v>0</v>
      </c>
      <c r="E132" s="39">
        <f t="shared" si="33"/>
        <v>0</v>
      </c>
      <c r="F132" s="42">
        <f>SUM(F127:F131)</f>
        <v>0</v>
      </c>
      <c r="G132" s="42">
        <f>SUM(G127:G131)</f>
        <v>0</v>
      </c>
      <c r="H132" s="42">
        <f>SUM(H127:H131)</f>
        <v>0</v>
      </c>
      <c r="I132" s="39">
        <f t="shared" si="34"/>
        <v>0</v>
      </c>
      <c r="J132" s="42">
        <f>SUM(J127:J131)</f>
        <v>0</v>
      </c>
      <c r="K132" s="42">
        <f>SUM(K127:K131)</f>
        <v>0</v>
      </c>
      <c r="L132" s="42">
        <f>SUM(L127:L131)</f>
        <v>0</v>
      </c>
      <c r="M132" s="39">
        <f t="shared" si="35"/>
        <v>0</v>
      </c>
      <c r="N132" s="42">
        <f>SUM(N127:N131)</f>
        <v>0</v>
      </c>
      <c r="O132" s="42">
        <f>SUM(O127:O131)</f>
        <v>0</v>
      </c>
      <c r="P132" s="42">
        <f>SUM(P127:P131)</f>
        <v>0</v>
      </c>
      <c r="Q132" s="39">
        <f t="shared" si="36"/>
        <v>0</v>
      </c>
      <c r="R132" s="37">
        <f t="shared" si="37"/>
        <v>0</v>
      </c>
    </row>
    <row r="133" spans="1:18" ht="16.5" customHeight="1" thickBot="1" x14ac:dyDescent="0.35">
      <c r="A133" s="43" t="s">
        <v>1221</v>
      </c>
      <c r="B133" s="42">
        <f>SUM(B114:B131)</f>
        <v>0</v>
      </c>
      <c r="C133" s="42">
        <f>SUM(C114:C131)</f>
        <v>0</v>
      </c>
      <c r="D133" s="42">
        <f>SUM(D114:D131)</f>
        <v>0</v>
      </c>
      <c r="E133" s="39">
        <f t="shared" si="33"/>
        <v>0</v>
      </c>
      <c r="F133" s="42">
        <f>SUM(F114:F131)</f>
        <v>0</v>
      </c>
      <c r="G133" s="42">
        <f>SUM(G114:G131)</f>
        <v>0</v>
      </c>
      <c r="H133" s="42">
        <f>SUM(H114:H131)</f>
        <v>0</v>
      </c>
      <c r="I133" s="39">
        <f t="shared" si="34"/>
        <v>0</v>
      </c>
      <c r="J133" s="42">
        <f>SUM(J114:J131)</f>
        <v>512</v>
      </c>
      <c r="K133" s="42">
        <f>SUM(K114:K131)</f>
        <v>10028</v>
      </c>
      <c r="L133" s="42">
        <f>SUM(L114:L131)</f>
        <v>13188</v>
      </c>
      <c r="M133" s="39">
        <f t="shared" si="35"/>
        <v>23728</v>
      </c>
      <c r="N133" s="42">
        <f>SUM(N114:N131)</f>
        <v>10132</v>
      </c>
      <c r="O133" s="42">
        <f>SUM(O114:O131)</f>
        <v>8000</v>
      </c>
      <c r="P133" s="42">
        <f>SUM(P114:P131)</f>
        <v>5899</v>
      </c>
      <c r="Q133" s="39">
        <f t="shared" si="36"/>
        <v>24031</v>
      </c>
      <c r="R133" s="37">
        <f t="shared" si="37"/>
        <v>47759</v>
      </c>
    </row>
    <row r="134" spans="1:18" ht="16.5" customHeight="1" thickBot="1" x14ac:dyDescent="0.35">
      <c r="A134" s="43" t="s">
        <v>1222</v>
      </c>
      <c r="B134" s="42">
        <f>+B91+B98+B113+B133</f>
        <v>851</v>
      </c>
      <c r="C134" s="42">
        <f>+C91+C98+C113+C133</f>
        <v>507</v>
      </c>
      <c r="D134" s="42">
        <f>+D91+D98+D113+D133</f>
        <v>1106</v>
      </c>
      <c r="E134" s="37">
        <f t="shared" si="33"/>
        <v>2464</v>
      </c>
      <c r="F134" s="42">
        <f>+F91+F98+F113+F133</f>
        <v>3298</v>
      </c>
      <c r="G134" s="42">
        <f>+G91+G98+G113+G133</f>
        <v>5758</v>
      </c>
      <c r="H134" s="42">
        <f>+H91+H98+H113+H133</f>
        <v>6934</v>
      </c>
      <c r="I134" s="37">
        <f t="shared" si="34"/>
        <v>15990</v>
      </c>
      <c r="J134" s="42">
        <f>+J91+J98+J113+J133</f>
        <v>10869</v>
      </c>
      <c r="K134" s="42">
        <f>+K91+K98+K113+K133</f>
        <v>21314</v>
      </c>
      <c r="L134" s="42">
        <f>+L91+L98+L113+L133</f>
        <v>19377</v>
      </c>
      <c r="M134" s="37">
        <f t="shared" si="35"/>
        <v>51560</v>
      </c>
      <c r="N134" s="42">
        <f>+N91+N98+N113+N133</f>
        <v>13815</v>
      </c>
      <c r="O134" s="42">
        <f>+O91+O98+O113+O133</f>
        <v>10088</v>
      </c>
      <c r="P134" s="42">
        <f>+P91+P98+P113+P133</f>
        <v>6990</v>
      </c>
      <c r="Q134" s="37">
        <f t="shared" si="36"/>
        <v>30893</v>
      </c>
      <c r="R134" s="37">
        <f t="shared" si="37"/>
        <v>100907</v>
      </c>
    </row>
    <row r="135" spans="1:18" ht="16.5" customHeight="1" thickBot="1" x14ac:dyDescent="0.35">
      <c r="A135" s="312" t="s">
        <v>853</v>
      </c>
      <c r="B135" s="294">
        <v>173</v>
      </c>
      <c r="C135" s="294">
        <v>260</v>
      </c>
      <c r="D135" s="294">
        <v>471</v>
      </c>
      <c r="E135" s="38">
        <f t="shared" si="33"/>
        <v>904</v>
      </c>
      <c r="F135" s="294">
        <v>629</v>
      </c>
      <c r="G135" s="294">
        <v>725</v>
      </c>
      <c r="H135" s="294">
        <v>712</v>
      </c>
      <c r="I135" s="38">
        <f t="shared" si="34"/>
        <v>2066</v>
      </c>
      <c r="J135" s="294">
        <v>711</v>
      </c>
      <c r="K135" s="294">
        <v>573</v>
      </c>
      <c r="L135" s="294">
        <v>542</v>
      </c>
      <c r="M135" s="38">
        <f t="shared" si="35"/>
        <v>1826</v>
      </c>
      <c r="N135" s="294">
        <v>490</v>
      </c>
      <c r="O135" s="294">
        <v>407</v>
      </c>
      <c r="P135" s="294">
        <v>323</v>
      </c>
      <c r="Q135" s="38">
        <f t="shared" si="36"/>
        <v>1220</v>
      </c>
      <c r="R135" s="38">
        <f t="shared" si="37"/>
        <v>6016</v>
      </c>
    </row>
    <row r="136" spans="1:18" ht="16.5" customHeight="1" thickBot="1" x14ac:dyDescent="0.35">
      <c r="A136" s="44"/>
      <c r="B136" s="313"/>
      <c r="C136" s="313"/>
      <c r="D136" s="313"/>
      <c r="E136" s="37" t="s">
        <v>852</v>
      </c>
      <c r="F136" s="313"/>
      <c r="G136" s="313"/>
      <c r="H136" s="313"/>
      <c r="I136" s="37" t="s">
        <v>852</v>
      </c>
      <c r="J136" s="313"/>
      <c r="K136" s="313"/>
      <c r="L136" s="313"/>
      <c r="M136" s="37" t="s">
        <v>852</v>
      </c>
      <c r="N136" s="313"/>
      <c r="O136" s="313"/>
      <c r="P136" s="313"/>
      <c r="Q136" s="37" t="s">
        <v>852</v>
      </c>
      <c r="R136" s="37" t="s">
        <v>852</v>
      </c>
    </row>
    <row r="137" spans="1:18" ht="15.75" customHeight="1" x14ac:dyDescent="0.3">
      <c r="A137" s="259" t="s">
        <v>2011</v>
      </c>
      <c r="B137" s="741">
        <f>+B134+B135</f>
        <v>1024</v>
      </c>
      <c r="C137" s="741">
        <f>+C134+C135</f>
        <v>767</v>
      </c>
      <c r="D137" s="741">
        <f>+D134+D135</f>
        <v>1577</v>
      </c>
      <c r="E137" s="38">
        <f>SUM(B137:D137)</f>
        <v>3368</v>
      </c>
      <c r="F137" s="741">
        <f>+F134+F135</f>
        <v>3927</v>
      </c>
      <c r="G137" s="741">
        <f>+G134+G135</f>
        <v>6483</v>
      </c>
      <c r="H137" s="741">
        <f>+H134+H135</f>
        <v>7646</v>
      </c>
      <c r="I137" s="38">
        <f>SUM(F137:H137)</f>
        <v>18056</v>
      </c>
      <c r="J137" s="741">
        <f>+J134+J135</f>
        <v>11580</v>
      </c>
      <c r="K137" s="741">
        <f>+K134+K135</f>
        <v>21887</v>
      </c>
      <c r="L137" s="741">
        <f>+L134+L135</f>
        <v>19919</v>
      </c>
      <c r="M137" s="38">
        <f>SUM(J137:L137)</f>
        <v>53386</v>
      </c>
      <c r="N137" s="741">
        <f>+N134+N135</f>
        <v>14305</v>
      </c>
      <c r="O137" s="741">
        <f>+O134+O135</f>
        <v>10495</v>
      </c>
      <c r="P137" s="741">
        <f>+P134+P135</f>
        <v>7313</v>
      </c>
      <c r="Q137" s="38">
        <f>SUM(N137:P137)</f>
        <v>32113</v>
      </c>
      <c r="R137" s="38">
        <f>+E137+I137+M137+Q137</f>
        <v>106923</v>
      </c>
    </row>
    <row r="138" spans="1:18" ht="15.75" customHeight="1" x14ac:dyDescent="0.3">
      <c r="A138" s="261" t="s">
        <v>1897</v>
      </c>
      <c r="B138" s="10">
        <f>(B137/B10)/1.983</f>
        <v>16.657719649276917</v>
      </c>
      <c r="C138" s="10">
        <f>(C137/C10)/1.983</f>
        <v>13.337506738310118</v>
      </c>
      <c r="D138" s="10">
        <f>(D137/D10)/1.983</f>
        <v>25.653538952060252</v>
      </c>
      <c r="E138" s="38" t="s">
        <v>852</v>
      </c>
      <c r="F138" s="10">
        <f>(F137/F10)/1.983</f>
        <v>66.01109430156329</v>
      </c>
      <c r="G138" s="10">
        <f>(G137/G10)/1.983</f>
        <v>105.46093406861549</v>
      </c>
      <c r="H138" s="10">
        <f>(H137/H10)/1.983</f>
        <v>128.52580265590856</v>
      </c>
      <c r="I138" s="38" t="s">
        <v>852</v>
      </c>
      <c r="J138" s="10">
        <f>(J137/J10)/1.983</f>
        <v>188.37538431506516</v>
      </c>
      <c r="K138" s="10">
        <f>(K137/K10)/1.983</f>
        <v>356.04249019894911</v>
      </c>
      <c r="L138" s="10">
        <f>(L137/L10)/1.983</f>
        <v>334.8293830895949</v>
      </c>
      <c r="M138" s="38" t="s">
        <v>852</v>
      </c>
      <c r="N138" s="10">
        <f>(N137/N10)/1.983</f>
        <v>232.70378865518194</v>
      </c>
      <c r="O138" s="10">
        <f>(O137/O10)/1.983</f>
        <v>176.41620440410151</v>
      </c>
      <c r="P138" s="10">
        <f>(P137/P10)/1.983</f>
        <v>118.96279667496299</v>
      </c>
      <c r="Q138" s="38" t="s">
        <v>852</v>
      </c>
      <c r="R138" s="38" t="s">
        <v>852</v>
      </c>
    </row>
    <row r="139" spans="1:18" ht="15.75" customHeight="1" x14ac:dyDescent="0.3">
      <c r="A139" s="262" t="s">
        <v>1679</v>
      </c>
      <c r="B139" s="10">
        <f>B137+B329</f>
        <v>74071</v>
      </c>
      <c r="C139" s="10">
        <f>C137+C329</f>
        <v>73987</v>
      </c>
      <c r="D139" s="10">
        <f>D137+D329</f>
        <v>94695</v>
      </c>
      <c r="E139" s="38">
        <f>SUM(B139:D139)</f>
        <v>242753</v>
      </c>
      <c r="F139" s="10">
        <f>F137+F329</f>
        <v>150582</v>
      </c>
      <c r="G139" s="10">
        <f>G137+G329</f>
        <v>178311</v>
      </c>
      <c r="H139" s="10">
        <f>H137+H329</f>
        <v>106023</v>
      </c>
      <c r="I139" s="38">
        <f>SUM(F139:H139)</f>
        <v>434916</v>
      </c>
      <c r="J139" s="10">
        <f>J137+J329</f>
        <v>73894</v>
      </c>
      <c r="K139" s="10">
        <f>K137+K329</f>
        <v>62386</v>
      </c>
      <c r="L139" s="10">
        <f>L137+L329</f>
        <v>164349</v>
      </c>
      <c r="M139" s="38">
        <f>SUM(J139:L139)</f>
        <v>300629</v>
      </c>
      <c r="N139" s="10">
        <f>N137+N329</f>
        <v>163035</v>
      </c>
      <c r="O139" s="10">
        <f>O137+O329</f>
        <v>124133</v>
      </c>
      <c r="P139" s="10">
        <f>P137+P329</f>
        <v>127374</v>
      </c>
      <c r="Q139" s="38">
        <f>SUM(N139:P139)</f>
        <v>414542</v>
      </c>
      <c r="R139" s="38">
        <f>+E139+I139+M139+Q139</f>
        <v>1392840</v>
      </c>
    </row>
    <row r="140" spans="1:18" ht="16.5" customHeight="1" thickBot="1" x14ac:dyDescent="0.35">
      <c r="A140" s="263" t="s">
        <v>6</v>
      </c>
      <c r="B140" s="315">
        <f>(B139/B10)/1.983</f>
        <v>1204.9355001382721</v>
      </c>
      <c r="C140" s="315">
        <f>(C139/C10)/1.983</f>
        <v>1286.5738084059331</v>
      </c>
      <c r="D140" s="315">
        <f>(D139/D10)/1.983</f>
        <v>1540.4323849494899</v>
      </c>
      <c r="E140" s="40" t="s">
        <v>852</v>
      </c>
      <c r="F140" s="315">
        <f>(F139/F10)/1.983</f>
        <v>2531.2153303076143</v>
      </c>
      <c r="G140" s="315">
        <f>(G139/G10)/1.983</f>
        <v>2900.639305060758</v>
      </c>
      <c r="H140" s="315">
        <f>(H139/H10)/1.983</f>
        <v>1782.1986888552697</v>
      </c>
      <c r="I140" s="40" t="s">
        <v>852</v>
      </c>
      <c r="J140" s="315">
        <f>(J139/J10)/1.983</f>
        <v>1202.0561872692074</v>
      </c>
      <c r="K140" s="315">
        <f>(K139/K10)/1.983</f>
        <v>1014.8520488669823</v>
      </c>
      <c r="L140" s="315">
        <f>(L139/L10)/1.983</f>
        <v>2762.6323751891073</v>
      </c>
      <c r="M140" s="40" t="s">
        <v>852</v>
      </c>
      <c r="N140" s="315">
        <f>(N139/N10)/1.983</f>
        <v>2652.1399638865842</v>
      </c>
      <c r="O140" s="315">
        <f>(O139/O10)/1.983</f>
        <v>2086.6195999327615</v>
      </c>
      <c r="P140" s="315">
        <f>(P139/P10)/1.983</f>
        <v>2072.0316236396466</v>
      </c>
      <c r="Q140" s="40" t="s">
        <v>852</v>
      </c>
      <c r="R140" s="40" t="s">
        <v>852</v>
      </c>
    </row>
    <row r="141" spans="1:18" ht="15.75" customHeight="1" x14ac:dyDescent="0.3">
      <c r="A141" s="18"/>
      <c r="B141" s="10"/>
      <c r="C141" s="10"/>
      <c r="D141" s="10"/>
      <c r="E141" s="10"/>
      <c r="F141" s="10"/>
      <c r="G141" s="10"/>
      <c r="H141" s="10"/>
      <c r="I141" s="10"/>
      <c r="J141" s="10"/>
      <c r="K141" s="10"/>
      <c r="L141" s="10"/>
      <c r="M141" s="10"/>
      <c r="N141" s="10"/>
      <c r="O141" s="10"/>
      <c r="P141" s="10"/>
      <c r="Q141" s="10"/>
      <c r="R141" s="17"/>
    </row>
    <row r="142" spans="1:18" ht="15.75" customHeight="1" thickBot="1" x14ac:dyDescent="0.35">
      <c r="A142" s="18" t="s">
        <v>852</v>
      </c>
      <c r="B142" s="10"/>
      <c r="C142" s="10"/>
      <c r="D142" s="10"/>
      <c r="E142" s="10"/>
      <c r="F142" s="10"/>
      <c r="G142" s="10"/>
      <c r="H142" s="10"/>
      <c r="I142" s="10"/>
      <c r="J142" s="10"/>
      <c r="K142" s="10"/>
      <c r="L142" s="10"/>
      <c r="M142" s="10"/>
      <c r="N142" s="10"/>
      <c r="O142" s="10"/>
      <c r="P142" s="10"/>
      <c r="Q142" s="10"/>
      <c r="R142" s="17"/>
    </row>
    <row r="143" spans="1:18" ht="16.5" customHeight="1" thickBot="1" x14ac:dyDescent="0.35">
      <c r="A143" s="240" t="s">
        <v>1446</v>
      </c>
      <c r="B143" s="4" t="s">
        <v>2090</v>
      </c>
      <c r="C143" s="5" t="s">
        <v>2091</v>
      </c>
      <c r="D143" s="5" t="s">
        <v>2234</v>
      </c>
      <c r="E143" s="33" t="s">
        <v>1594</v>
      </c>
      <c r="F143" s="5" t="s">
        <v>2235</v>
      </c>
      <c r="G143" s="5" t="s">
        <v>2236</v>
      </c>
      <c r="H143" s="5" t="s">
        <v>2237</v>
      </c>
      <c r="I143" s="35" t="s">
        <v>1595</v>
      </c>
      <c r="J143" s="5" t="s">
        <v>1504</v>
      </c>
      <c r="K143" s="5" t="s">
        <v>1505</v>
      </c>
      <c r="L143" s="5" t="s">
        <v>1506</v>
      </c>
      <c r="M143" s="35" t="s">
        <v>1596</v>
      </c>
      <c r="N143" s="5" t="s">
        <v>1507</v>
      </c>
      <c r="O143" s="5" t="s">
        <v>1508</v>
      </c>
      <c r="P143" s="5" t="s">
        <v>1509</v>
      </c>
      <c r="Q143" s="35" t="s">
        <v>1597</v>
      </c>
      <c r="R143" s="36" t="s">
        <v>1510</v>
      </c>
    </row>
    <row r="144" spans="1:18" ht="16.5" customHeight="1" thickBot="1" x14ac:dyDescent="0.35">
      <c r="A144" s="44"/>
      <c r="B144" s="313"/>
      <c r="C144" s="313"/>
      <c r="D144" s="313"/>
      <c r="E144" s="316"/>
      <c r="F144" s="313"/>
      <c r="G144" s="313"/>
      <c r="H144" s="313"/>
      <c r="I144" s="316"/>
      <c r="J144" s="313"/>
      <c r="K144" s="313"/>
      <c r="L144" s="313"/>
      <c r="M144" s="316"/>
      <c r="N144" s="313"/>
      <c r="O144" s="313"/>
      <c r="P144" s="313"/>
      <c r="Q144" s="316"/>
      <c r="R144" s="44"/>
    </row>
    <row r="145" spans="1:20" ht="15.75" customHeight="1" x14ac:dyDescent="0.3">
      <c r="A145" s="234" t="s">
        <v>2417</v>
      </c>
      <c r="B145" s="10" t="s">
        <v>852</v>
      </c>
      <c r="C145" s="10" t="s">
        <v>852</v>
      </c>
      <c r="D145" s="10" t="s">
        <v>852</v>
      </c>
      <c r="E145" s="38" t="s">
        <v>852</v>
      </c>
      <c r="F145" s="10" t="s">
        <v>852</v>
      </c>
      <c r="G145" s="10" t="s">
        <v>852</v>
      </c>
      <c r="H145" s="10" t="s">
        <v>852</v>
      </c>
      <c r="I145" s="38" t="s">
        <v>852</v>
      </c>
      <c r="J145" s="10" t="s">
        <v>852</v>
      </c>
      <c r="K145" s="10" t="s">
        <v>852</v>
      </c>
      <c r="L145" s="10" t="s">
        <v>852</v>
      </c>
      <c r="M145" s="38" t="s">
        <v>852</v>
      </c>
      <c r="N145" s="10" t="s">
        <v>852</v>
      </c>
      <c r="O145" s="10" t="s">
        <v>852</v>
      </c>
      <c r="P145" s="10" t="s">
        <v>852</v>
      </c>
      <c r="Q145" s="38" t="s">
        <v>852</v>
      </c>
      <c r="R145" s="48" t="s">
        <v>852</v>
      </c>
    </row>
    <row r="146" spans="1:20" ht="15.75" customHeight="1" x14ac:dyDescent="0.3">
      <c r="A146" s="234" t="s">
        <v>2160</v>
      </c>
      <c r="B146" s="10"/>
      <c r="C146" s="10"/>
      <c r="D146" s="10"/>
      <c r="E146" s="38" t="s">
        <v>852</v>
      </c>
      <c r="F146" s="10"/>
      <c r="G146" s="10"/>
      <c r="H146" s="10"/>
      <c r="I146" s="38" t="s">
        <v>852</v>
      </c>
      <c r="J146" s="10"/>
      <c r="K146" s="10"/>
      <c r="L146" s="10"/>
      <c r="M146" s="38" t="s">
        <v>852</v>
      </c>
      <c r="N146" s="10"/>
      <c r="O146" s="10"/>
      <c r="P146" s="10"/>
      <c r="Q146" s="38" t="s">
        <v>852</v>
      </c>
      <c r="R146" s="48"/>
    </row>
    <row r="147" spans="1:20" ht="15.75" customHeight="1" x14ac:dyDescent="0.3">
      <c r="A147" s="569" t="s">
        <v>2730</v>
      </c>
      <c r="B147" s="10"/>
      <c r="C147" s="10"/>
      <c r="D147" s="10">
        <v>155</v>
      </c>
      <c r="E147" s="38">
        <f t="shared" ref="E147:E151" si="38">SUM(B147:D147)</f>
        <v>155</v>
      </c>
      <c r="F147" s="10">
        <v>630</v>
      </c>
      <c r="G147" s="10">
        <v>877</v>
      </c>
      <c r="H147" s="10">
        <v>600</v>
      </c>
      <c r="I147" s="38">
        <f t="shared" ref="I147:I151" si="39">SUM(F147:H147)</f>
        <v>2107</v>
      </c>
      <c r="J147" s="10">
        <v>584</v>
      </c>
      <c r="K147" s="10">
        <v>598</v>
      </c>
      <c r="L147" s="10">
        <v>446</v>
      </c>
      <c r="M147" s="38">
        <f t="shared" ref="M147:M151" si="40">SUM(J147:L147)</f>
        <v>1628</v>
      </c>
      <c r="N147" s="10">
        <v>147</v>
      </c>
      <c r="O147" s="10">
        <v>152</v>
      </c>
      <c r="P147" s="10"/>
      <c r="Q147" s="38">
        <f t="shared" ref="Q147:Q154" si="41">SUM(N147:P147)</f>
        <v>299</v>
      </c>
      <c r="R147" s="38">
        <f>+E147+I147+M147+Q147</f>
        <v>4189</v>
      </c>
      <c r="T147" t="s">
        <v>2764</v>
      </c>
    </row>
    <row r="148" spans="1:20" ht="15.75" customHeight="1" x14ac:dyDescent="0.3">
      <c r="A148" s="569" t="s">
        <v>2733</v>
      </c>
      <c r="B148" s="10"/>
      <c r="C148" s="10">
        <v>300</v>
      </c>
      <c r="D148" s="10">
        <v>847</v>
      </c>
      <c r="E148" s="38">
        <f t="shared" si="38"/>
        <v>1147</v>
      </c>
      <c r="F148" s="10">
        <v>1240</v>
      </c>
      <c r="G148" s="10">
        <v>1602</v>
      </c>
      <c r="H148" s="10">
        <v>1750</v>
      </c>
      <c r="I148" s="38">
        <f t="shared" si="39"/>
        <v>4592</v>
      </c>
      <c r="J148" s="10">
        <v>2009</v>
      </c>
      <c r="K148" s="10">
        <v>2026</v>
      </c>
      <c r="L148" s="10">
        <v>1319</v>
      </c>
      <c r="M148" s="38">
        <f>SUM(J148:L148)</f>
        <v>5354</v>
      </c>
      <c r="N148" s="10"/>
      <c r="O148" s="10"/>
      <c r="P148" s="10"/>
      <c r="Q148" s="38">
        <f t="shared" si="41"/>
        <v>0</v>
      </c>
      <c r="R148" s="38">
        <f t="shared" ref="R148:R199" si="42">+E148+I148+M148+Q148</f>
        <v>11093</v>
      </c>
      <c r="S148" s="574"/>
      <c r="T148" t="s">
        <v>2764</v>
      </c>
    </row>
    <row r="149" spans="1:20" ht="15.75" customHeight="1" x14ac:dyDescent="0.3">
      <c r="A149" s="569" t="s">
        <v>2734</v>
      </c>
      <c r="B149" s="10"/>
      <c r="C149" s="10"/>
      <c r="D149" s="10">
        <v>88</v>
      </c>
      <c r="E149" s="38">
        <f t="shared" si="38"/>
        <v>88</v>
      </c>
      <c r="F149" s="10">
        <v>356</v>
      </c>
      <c r="G149" s="10">
        <v>496</v>
      </c>
      <c r="H149" s="10">
        <v>340</v>
      </c>
      <c r="I149" s="38">
        <f t="shared" si="39"/>
        <v>1192</v>
      </c>
      <c r="J149" s="10">
        <v>330</v>
      </c>
      <c r="K149" s="10">
        <v>338</v>
      </c>
      <c r="L149" s="10">
        <v>252</v>
      </c>
      <c r="M149" s="38">
        <f t="shared" si="40"/>
        <v>920</v>
      </c>
      <c r="N149" s="10">
        <v>86</v>
      </c>
      <c r="O149" s="10">
        <v>86</v>
      </c>
      <c r="P149" s="10"/>
      <c r="Q149" s="38">
        <f t="shared" si="41"/>
        <v>172</v>
      </c>
      <c r="R149" s="38">
        <f t="shared" si="42"/>
        <v>2372</v>
      </c>
      <c r="T149" t="s">
        <v>2764</v>
      </c>
    </row>
    <row r="150" spans="1:20" ht="15.75" customHeight="1" x14ac:dyDescent="0.3">
      <c r="A150" s="569" t="s">
        <v>2735</v>
      </c>
      <c r="B150" s="10"/>
      <c r="C150" s="10"/>
      <c r="D150" s="10">
        <v>79</v>
      </c>
      <c r="E150" s="38">
        <f t="shared" si="38"/>
        <v>79</v>
      </c>
      <c r="F150" s="10">
        <v>301</v>
      </c>
      <c r="G150" s="10">
        <v>445</v>
      </c>
      <c r="H150" s="10">
        <v>305</v>
      </c>
      <c r="I150" s="38">
        <f t="shared" si="39"/>
        <v>1051</v>
      </c>
      <c r="J150" s="10">
        <v>297</v>
      </c>
      <c r="K150" s="10">
        <v>304</v>
      </c>
      <c r="L150" s="10">
        <v>226</v>
      </c>
      <c r="M150" s="38">
        <f t="shared" si="40"/>
        <v>827</v>
      </c>
      <c r="N150" s="10">
        <v>134</v>
      </c>
      <c r="O150" s="10">
        <v>37</v>
      </c>
      <c r="P150" s="10"/>
      <c r="Q150" s="38">
        <f t="shared" si="41"/>
        <v>171</v>
      </c>
      <c r="R150" s="38">
        <f t="shared" si="42"/>
        <v>2128</v>
      </c>
      <c r="T150" t="s">
        <v>2764</v>
      </c>
    </row>
    <row r="151" spans="1:20" ht="15.75" customHeight="1" x14ac:dyDescent="0.3">
      <c r="A151" s="569" t="s">
        <v>3399</v>
      </c>
      <c r="B151" s="10"/>
      <c r="C151" s="10"/>
      <c r="D151" s="10"/>
      <c r="E151" s="38">
        <f t="shared" si="38"/>
        <v>0</v>
      </c>
      <c r="F151" s="10"/>
      <c r="G151" s="10"/>
      <c r="H151" s="10">
        <v>172</v>
      </c>
      <c r="I151" s="38">
        <f t="shared" si="39"/>
        <v>172</v>
      </c>
      <c r="J151" s="10"/>
      <c r="K151" s="10"/>
      <c r="L151" s="10"/>
      <c r="M151" s="38">
        <f t="shared" si="40"/>
        <v>0</v>
      </c>
      <c r="N151" s="10"/>
      <c r="O151" s="10"/>
      <c r="P151" s="10"/>
      <c r="Q151" s="38">
        <f t="shared" ref="Q151" si="43">SUM(N151:P151)</f>
        <v>0</v>
      </c>
      <c r="R151" s="38">
        <f t="shared" ref="R151" si="44">+E151+I151+M151+Q151</f>
        <v>172</v>
      </c>
    </row>
    <row r="152" spans="1:20" ht="15.75" customHeight="1" x14ac:dyDescent="0.3">
      <c r="A152" s="539" t="s">
        <v>2238</v>
      </c>
      <c r="B152" s="10">
        <v>5</v>
      </c>
      <c r="C152" s="10">
        <v>4</v>
      </c>
      <c r="D152" s="10">
        <v>92</v>
      </c>
      <c r="E152" s="38">
        <f t="shared" ref="E152:E153" si="45">SUM(B152:D152)</f>
        <v>101</v>
      </c>
      <c r="F152" s="10">
        <v>291</v>
      </c>
      <c r="G152" s="10">
        <v>47</v>
      </c>
      <c r="H152" s="10">
        <v>283</v>
      </c>
      <c r="I152" s="38">
        <f t="shared" ref="I152:I196" si="46">SUM(F152:H152)</f>
        <v>621</v>
      </c>
      <c r="J152" s="10">
        <v>78</v>
      </c>
      <c r="K152" s="10">
        <v>29</v>
      </c>
      <c r="L152" s="10">
        <v>6</v>
      </c>
      <c r="M152" s="38">
        <f t="shared" ref="M152:M196" si="47">SUM(J152:L152)</f>
        <v>113</v>
      </c>
      <c r="N152" s="10">
        <v>110</v>
      </c>
      <c r="O152" s="10">
        <v>110</v>
      </c>
      <c r="P152" s="10">
        <v>245</v>
      </c>
      <c r="Q152" s="38">
        <f t="shared" si="41"/>
        <v>465</v>
      </c>
      <c r="R152" s="38">
        <f t="shared" si="42"/>
        <v>1300</v>
      </c>
      <c r="T152" t="s">
        <v>1193</v>
      </c>
    </row>
    <row r="153" spans="1:20" ht="15.75" customHeight="1" x14ac:dyDescent="0.3">
      <c r="A153" s="539" t="s">
        <v>3318</v>
      </c>
      <c r="B153" s="10"/>
      <c r="C153" s="10"/>
      <c r="D153" s="10"/>
      <c r="E153" s="38">
        <f t="shared" si="45"/>
        <v>0</v>
      </c>
      <c r="F153" s="10"/>
      <c r="G153" s="10"/>
      <c r="H153" s="10"/>
      <c r="I153" s="38">
        <f t="shared" si="46"/>
        <v>0</v>
      </c>
      <c r="J153" s="10"/>
      <c r="K153" s="10"/>
      <c r="L153" s="10"/>
      <c r="M153" s="38">
        <f t="shared" si="47"/>
        <v>0</v>
      </c>
      <c r="N153" s="10"/>
      <c r="O153" s="10"/>
      <c r="P153" s="10"/>
      <c r="Q153" s="38">
        <f t="shared" ref="Q153" si="48">SUM(N153:P153)</f>
        <v>0</v>
      </c>
      <c r="R153" s="38">
        <f t="shared" si="42"/>
        <v>0</v>
      </c>
    </row>
    <row r="154" spans="1:20" ht="15.75" customHeight="1" x14ac:dyDescent="0.3">
      <c r="A154" s="569" t="s">
        <v>3046</v>
      </c>
      <c r="C154" s="10"/>
      <c r="D154" s="10"/>
      <c r="E154" s="38">
        <f>SUM(C154:D154)</f>
        <v>0</v>
      </c>
      <c r="F154" s="10"/>
      <c r="G154" s="10"/>
      <c r="H154" s="10">
        <v>718</v>
      </c>
      <c r="I154" s="38">
        <f t="shared" si="46"/>
        <v>718</v>
      </c>
      <c r="J154" s="10"/>
      <c r="K154" s="10">
        <v>200</v>
      </c>
      <c r="L154" s="10"/>
      <c r="M154" s="38">
        <f t="shared" si="47"/>
        <v>200</v>
      </c>
      <c r="N154" s="10">
        <v>50</v>
      </c>
      <c r="O154" s="10"/>
      <c r="P154" s="10"/>
      <c r="Q154" s="38">
        <f t="shared" si="41"/>
        <v>50</v>
      </c>
      <c r="R154" s="38">
        <f t="shared" si="42"/>
        <v>968</v>
      </c>
      <c r="T154" t="s">
        <v>2764</v>
      </c>
    </row>
    <row r="155" spans="1:20" ht="15.75" customHeight="1" x14ac:dyDescent="0.3">
      <c r="A155" s="539" t="s">
        <v>3326</v>
      </c>
      <c r="C155" s="10"/>
      <c r="D155" s="10"/>
      <c r="E155" s="38">
        <f>SUM(C155:D155)</f>
        <v>0</v>
      </c>
      <c r="F155" s="10">
        <v>658</v>
      </c>
      <c r="G155" s="10">
        <v>4865</v>
      </c>
      <c r="H155" s="10">
        <v>6351</v>
      </c>
      <c r="I155" s="38">
        <f t="shared" si="46"/>
        <v>11874</v>
      </c>
      <c r="J155" s="10">
        <v>2626</v>
      </c>
      <c r="K155" s="10">
        <v>2606</v>
      </c>
      <c r="L155" s="10">
        <v>194</v>
      </c>
      <c r="M155" s="38">
        <f t="shared" si="47"/>
        <v>5426</v>
      </c>
      <c r="N155" s="10"/>
      <c r="O155" s="10"/>
      <c r="P155" s="10"/>
      <c r="Q155" s="38">
        <f t="shared" ref="Q155:Q202" si="49">SUM(N155:P155)</f>
        <v>0</v>
      </c>
      <c r="R155" s="38">
        <f t="shared" si="42"/>
        <v>17300</v>
      </c>
    </row>
    <row r="156" spans="1:20" ht="15.75" customHeight="1" x14ac:dyDescent="0.3">
      <c r="A156" s="569" t="s">
        <v>2736</v>
      </c>
      <c r="B156" s="10"/>
      <c r="C156" s="10"/>
      <c r="D156" s="10"/>
      <c r="E156" s="38">
        <f t="shared" ref="E156:E173" si="50">SUM(B156:D156)</f>
        <v>0</v>
      </c>
      <c r="F156" s="10"/>
      <c r="G156" s="10"/>
      <c r="H156" s="10"/>
      <c r="I156" s="38">
        <f t="shared" si="46"/>
        <v>0</v>
      </c>
      <c r="J156" s="10"/>
      <c r="K156" s="10"/>
      <c r="L156" s="10"/>
      <c r="M156" s="38">
        <f t="shared" si="47"/>
        <v>0</v>
      </c>
      <c r="N156" s="10"/>
      <c r="O156" s="10"/>
      <c r="P156" s="10"/>
      <c r="Q156" s="38">
        <f t="shared" si="49"/>
        <v>0</v>
      </c>
      <c r="R156" s="38">
        <f t="shared" si="42"/>
        <v>0</v>
      </c>
      <c r="T156" t="s">
        <v>2769</v>
      </c>
    </row>
    <row r="157" spans="1:20" ht="15.75" customHeight="1" x14ac:dyDescent="0.3">
      <c r="A157" s="569" t="s">
        <v>917</v>
      </c>
      <c r="B157" s="10">
        <v>800</v>
      </c>
      <c r="C157" s="10">
        <v>900</v>
      </c>
      <c r="D157" s="10">
        <v>1000</v>
      </c>
      <c r="E157" s="38">
        <f t="shared" si="50"/>
        <v>2700</v>
      </c>
      <c r="F157" s="10">
        <v>416</v>
      </c>
      <c r="G157" s="10"/>
      <c r="H157" s="10"/>
      <c r="I157" s="38">
        <f t="shared" si="46"/>
        <v>416</v>
      </c>
      <c r="J157" s="10"/>
      <c r="K157" s="10">
        <v>1000</v>
      </c>
      <c r="L157" s="10"/>
      <c r="M157" s="38">
        <f t="shared" si="47"/>
        <v>1000</v>
      </c>
      <c r="N157" s="10"/>
      <c r="O157" s="10"/>
      <c r="P157" s="10"/>
      <c r="Q157" s="38">
        <f t="shared" si="49"/>
        <v>0</v>
      </c>
      <c r="R157" s="38">
        <f t="shared" si="42"/>
        <v>4116</v>
      </c>
      <c r="T157" t="s">
        <v>2770</v>
      </c>
    </row>
    <row r="158" spans="1:20" ht="15.75" customHeight="1" x14ac:dyDescent="0.3">
      <c r="A158" s="539" t="s">
        <v>3001</v>
      </c>
      <c r="B158" s="10"/>
      <c r="C158" s="10"/>
      <c r="D158" s="10"/>
      <c r="E158" s="38">
        <f t="shared" si="50"/>
        <v>0</v>
      </c>
      <c r="F158" s="10"/>
      <c r="G158" s="10">
        <v>362</v>
      </c>
      <c r="H158" s="10"/>
      <c r="I158" s="38">
        <f t="shared" si="46"/>
        <v>362</v>
      </c>
      <c r="J158" s="10"/>
      <c r="K158" s="10"/>
      <c r="L158" s="10"/>
      <c r="M158" s="38">
        <f t="shared" si="47"/>
        <v>0</v>
      </c>
      <c r="N158" s="10"/>
      <c r="O158" s="10"/>
      <c r="P158" s="10"/>
      <c r="Q158" s="38">
        <f t="shared" si="49"/>
        <v>0</v>
      </c>
      <c r="R158" s="38">
        <f t="shared" si="42"/>
        <v>362</v>
      </c>
      <c r="S158" t="s">
        <v>3020</v>
      </c>
      <c r="T158" t="s">
        <v>2760</v>
      </c>
    </row>
    <row r="159" spans="1:20" ht="15.75" customHeight="1" x14ac:dyDescent="0.3">
      <c r="A159" s="410" t="s">
        <v>3212</v>
      </c>
      <c r="B159" s="10">
        <v>18</v>
      </c>
      <c r="C159" s="10">
        <v>22</v>
      </c>
      <c r="D159" s="10">
        <v>19</v>
      </c>
      <c r="E159" s="38">
        <f>SUM(B159:D159)</f>
        <v>59</v>
      </c>
      <c r="F159" s="10">
        <v>42</v>
      </c>
      <c r="G159" s="10">
        <v>52</v>
      </c>
      <c r="H159" s="10">
        <v>51</v>
      </c>
      <c r="I159" s="38">
        <f>SUM(F159:H159)</f>
        <v>145</v>
      </c>
      <c r="J159" s="356">
        <v>56</v>
      </c>
      <c r="K159" s="10">
        <v>5</v>
      </c>
      <c r="L159" s="10"/>
      <c r="M159" s="38">
        <f>SUM(J159:L159)</f>
        <v>61</v>
      </c>
      <c r="N159" s="10"/>
      <c r="O159" s="10"/>
      <c r="P159" s="10"/>
      <c r="Q159" s="38">
        <f>SUM(N159:P159)</f>
        <v>0</v>
      </c>
      <c r="R159" s="38">
        <f>+E159+I159+M159+Q159</f>
        <v>265</v>
      </c>
      <c r="S159" s="709"/>
    </row>
    <row r="160" spans="1:20" ht="15.75" customHeight="1" x14ac:dyDescent="0.3">
      <c r="A160" s="569" t="s">
        <v>3246</v>
      </c>
      <c r="B160" s="10"/>
      <c r="C160" s="10"/>
      <c r="D160" s="10"/>
      <c r="E160" s="38">
        <f t="shared" si="50"/>
        <v>0</v>
      </c>
      <c r="F160" s="10"/>
      <c r="G160" s="10"/>
      <c r="H160" s="10"/>
      <c r="I160" s="38">
        <f t="shared" si="46"/>
        <v>0</v>
      </c>
      <c r="J160" s="10"/>
      <c r="K160" s="10"/>
      <c r="L160" s="10"/>
      <c r="M160" s="38">
        <f t="shared" si="47"/>
        <v>0</v>
      </c>
      <c r="N160" s="10">
        <v>893</v>
      </c>
      <c r="O160" s="10"/>
      <c r="P160" s="10"/>
      <c r="Q160" s="38">
        <f t="shared" si="49"/>
        <v>893</v>
      </c>
      <c r="R160" s="38">
        <f t="shared" si="42"/>
        <v>893</v>
      </c>
      <c r="S160" s="736" t="s">
        <v>3213</v>
      </c>
      <c r="T160" t="s">
        <v>2769</v>
      </c>
    </row>
    <row r="161" spans="1:20" ht="15.75" customHeight="1" x14ac:dyDescent="0.3">
      <c r="A161" s="569" t="s">
        <v>3247</v>
      </c>
      <c r="B161" s="10"/>
      <c r="C161" s="10"/>
      <c r="D161" s="700"/>
      <c r="E161" s="38">
        <f t="shared" si="50"/>
        <v>0</v>
      </c>
      <c r="F161" s="10"/>
      <c r="G161" s="10"/>
      <c r="H161" s="10"/>
      <c r="I161" s="38">
        <f t="shared" si="46"/>
        <v>0</v>
      </c>
      <c r="J161" s="10"/>
      <c r="K161" s="10"/>
      <c r="L161" s="10"/>
      <c r="M161" s="38">
        <f t="shared" si="47"/>
        <v>0</v>
      </c>
      <c r="N161" s="10">
        <v>157</v>
      </c>
      <c r="O161" s="10"/>
      <c r="P161" s="10"/>
      <c r="Q161" s="38">
        <f t="shared" si="49"/>
        <v>157</v>
      </c>
      <c r="R161" s="38">
        <f t="shared" si="42"/>
        <v>157</v>
      </c>
      <c r="S161" s="736" t="s">
        <v>3213</v>
      </c>
      <c r="T161" t="s">
        <v>2770</v>
      </c>
    </row>
    <row r="162" spans="1:20" ht="15.75" customHeight="1" x14ac:dyDescent="0.3">
      <c r="A162" s="569" t="s">
        <v>3248</v>
      </c>
      <c r="B162" s="10"/>
      <c r="C162" s="10"/>
      <c r="D162" s="10"/>
      <c r="E162" s="38">
        <f t="shared" si="50"/>
        <v>0</v>
      </c>
      <c r="F162" s="10"/>
      <c r="G162" s="10"/>
      <c r="H162" s="10"/>
      <c r="I162" s="38">
        <f t="shared" si="46"/>
        <v>0</v>
      </c>
      <c r="J162" s="10"/>
      <c r="K162" s="10"/>
      <c r="L162" s="10"/>
      <c r="M162" s="38">
        <f t="shared" si="47"/>
        <v>0</v>
      </c>
      <c r="N162" s="10"/>
      <c r="O162" s="10"/>
      <c r="P162" s="10"/>
      <c r="Q162" s="38">
        <f t="shared" si="49"/>
        <v>0</v>
      </c>
      <c r="R162" s="38">
        <f t="shared" si="42"/>
        <v>0</v>
      </c>
      <c r="S162" s="736" t="s">
        <v>3213</v>
      </c>
      <c r="T162" t="s">
        <v>2764</v>
      </c>
    </row>
    <row r="163" spans="1:20" ht="15.75" customHeight="1" x14ac:dyDescent="0.3">
      <c r="A163" s="539" t="s">
        <v>1880</v>
      </c>
      <c r="B163" s="10">
        <v>43</v>
      </c>
      <c r="C163" s="10">
        <v>41</v>
      </c>
      <c r="D163" s="10">
        <v>51</v>
      </c>
      <c r="E163" s="38">
        <f t="shared" si="50"/>
        <v>135</v>
      </c>
      <c r="F163" s="10">
        <v>41</v>
      </c>
      <c r="G163" s="10">
        <v>54</v>
      </c>
      <c r="H163" s="10">
        <v>55</v>
      </c>
      <c r="I163" s="38">
        <f t="shared" si="46"/>
        <v>150</v>
      </c>
      <c r="J163" s="10">
        <v>67</v>
      </c>
      <c r="K163" s="10">
        <v>67</v>
      </c>
      <c r="L163" s="10">
        <v>64</v>
      </c>
      <c r="M163" s="38">
        <f t="shared" si="47"/>
        <v>198</v>
      </c>
      <c r="N163" s="10">
        <f>6+65</f>
        <v>71</v>
      </c>
      <c r="O163" s="10">
        <f>6+65</f>
        <v>71</v>
      </c>
      <c r="P163" s="10">
        <v>125</v>
      </c>
      <c r="Q163" s="38">
        <f t="shared" si="49"/>
        <v>267</v>
      </c>
      <c r="R163" s="38">
        <f t="shared" si="42"/>
        <v>750</v>
      </c>
      <c r="T163" t="s">
        <v>2761</v>
      </c>
    </row>
    <row r="164" spans="1:20" ht="15.75" customHeight="1" x14ac:dyDescent="0.3">
      <c r="A164" s="539" t="s">
        <v>703</v>
      </c>
      <c r="B164" s="10">
        <v>143</v>
      </c>
      <c r="C164" s="10">
        <v>130</v>
      </c>
      <c r="D164" s="10">
        <v>129</v>
      </c>
      <c r="E164" s="38">
        <f t="shared" si="50"/>
        <v>402</v>
      </c>
      <c r="F164" s="10">
        <v>173</v>
      </c>
      <c r="G164" s="10">
        <v>248</v>
      </c>
      <c r="H164" s="10">
        <v>228</v>
      </c>
      <c r="I164" s="38">
        <f t="shared" si="46"/>
        <v>649</v>
      </c>
      <c r="J164" s="10">
        <v>215</v>
      </c>
      <c r="K164" s="10">
        <v>200</v>
      </c>
      <c r="L164" s="10">
        <v>201</v>
      </c>
      <c r="M164" s="38">
        <f t="shared" si="47"/>
        <v>616</v>
      </c>
      <c r="N164" s="10">
        <v>190</v>
      </c>
      <c r="O164" s="10">
        <v>160</v>
      </c>
      <c r="P164" s="10">
        <v>203</v>
      </c>
      <c r="Q164" s="38">
        <f t="shared" si="49"/>
        <v>553</v>
      </c>
      <c r="R164" s="38">
        <f t="shared" si="42"/>
        <v>2220</v>
      </c>
      <c r="T164" t="s">
        <v>2874</v>
      </c>
    </row>
    <row r="165" spans="1:20" ht="15.75" customHeight="1" x14ac:dyDescent="0.3">
      <c r="A165" s="569" t="s">
        <v>3424</v>
      </c>
      <c r="B165" s="10"/>
      <c r="C165" s="10">
        <v>400</v>
      </c>
      <c r="D165" s="10"/>
      <c r="E165" s="38">
        <f t="shared" si="50"/>
        <v>400</v>
      </c>
      <c r="F165" s="10"/>
      <c r="G165" s="10"/>
      <c r="H165" s="10"/>
      <c r="I165" s="38">
        <f t="shared" si="46"/>
        <v>0</v>
      </c>
      <c r="J165" s="10"/>
      <c r="K165" s="10"/>
      <c r="L165" s="10"/>
      <c r="M165" s="38">
        <f t="shared" si="47"/>
        <v>0</v>
      </c>
      <c r="N165" s="10"/>
      <c r="O165" s="10"/>
      <c r="P165" s="10"/>
      <c r="Q165" s="38">
        <f t="shared" ref="Q165" si="51">SUM(N165:P165)</f>
        <v>0</v>
      </c>
      <c r="R165" s="38">
        <f t="shared" ref="R165" si="52">+E165+I165+M165+Q165</f>
        <v>400</v>
      </c>
    </row>
    <row r="166" spans="1:20" ht="15.75" customHeight="1" x14ac:dyDescent="0.3">
      <c r="A166" s="539" t="s">
        <v>2967</v>
      </c>
      <c r="B166" s="10"/>
      <c r="C166" s="10"/>
      <c r="D166" s="10">
        <v>200</v>
      </c>
      <c r="E166" s="38">
        <f t="shared" si="50"/>
        <v>200</v>
      </c>
      <c r="F166" s="10">
        <v>24</v>
      </c>
      <c r="G166" s="10"/>
      <c r="H166" s="10"/>
      <c r="I166" s="38">
        <f t="shared" si="46"/>
        <v>24</v>
      </c>
      <c r="J166" s="10">
        <v>238</v>
      </c>
      <c r="K166" s="10">
        <v>800</v>
      </c>
      <c r="L166" s="10"/>
      <c r="M166" s="38">
        <f t="shared" si="47"/>
        <v>1038</v>
      </c>
      <c r="N166" s="10"/>
      <c r="O166" s="10">
        <v>800</v>
      </c>
      <c r="P166" s="10"/>
      <c r="Q166" s="38">
        <f t="shared" si="49"/>
        <v>800</v>
      </c>
      <c r="R166" s="38">
        <f t="shared" si="42"/>
        <v>2062</v>
      </c>
      <c r="S166" t="s">
        <v>3020</v>
      </c>
    </row>
    <row r="167" spans="1:20" ht="15.75" customHeight="1" x14ac:dyDescent="0.3">
      <c r="A167" s="569" t="s">
        <v>3336</v>
      </c>
      <c r="B167" s="10"/>
      <c r="C167" s="10"/>
      <c r="D167" s="10">
        <v>140</v>
      </c>
      <c r="E167" s="38">
        <f>SUM(B167:D167)</f>
        <v>140</v>
      </c>
      <c r="F167" s="10">
        <v>541</v>
      </c>
      <c r="G167" s="10">
        <v>754</v>
      </c>
      <c r="H167" s="10">
        <v>516</v>
      </c>
      <c r="I167" s="38">
        <f t="shared" si="46"/>
        <v>1811</v>
      </c>
      <c r="J167" s="10">
        <v>501</v>
      </c>
      <c r="K167" s="10">
        <v>513</v>
      </c>
      <c r="L167" s="10">
        <v>383</v>
      </c>
      <c r="M167" s="38">
        <f t="shared" si="47"/>
        <v>1397</v>
      </c>
      <c r="N167" s="10">
        <v>200</v>
      </c>
      <c r="O167" s="10">
        <v>52</v>
      </c>
      <c r="P167" s="10"/>
      <c r="Q167" s="38">
        <f t="shared" si="49"/>
        <v>252</v>
      </c>
      <c r="R167" s="38">
        <f t="shared" si="42"/>
        <v>3600</v>
      </c>
      <c r="T167" t="s">
        <v>2764</v>
      </c>
    </row>
    <row r="168" spans="1:20" ht="15.75" customHeight="1" x14ac:dyDescent="0.3">
      <c r="A168" s="539" t="s">
        <v>3337</v>
      </c>
      <c r="B168" s="10">
        <v>224</v>
      </c>
      <c r="C168" s="10">
        <v>202</v>
      </c>
      <c r="D168" s="10">
        <v>182</v>
      </c>
      <c r="E168" s="38">
        <f t="shared" si="50"/>
        <v>608</v>
      </c>
      <c r="F168" s="10">
        <v>227</v>
      </c>
      <c r="G168" s="10">
        <v>101</v>
      </c>
      <c r="H168" s="10">
        <v>185</v>
      </c>
      <c r="I168" s="38">
        <f t="shared" si="46"/>
        <v>513</v>
      </c>
      <c r="J168" s="10">
        <v>290</v>
      </c>
      <c r="K168" s="10">
        <v>390</v>
      </c>
      <c r="L168" s="10">
        <v>365</v>
      </c>
      <c r="M168" s="38">
        <f t="shared" si="47"/>
        <v>1045</v>
      </c>
      <c r="N168" s="10">
        <v>377</v>
      </c>
      <c r="O168" s="10">
        <v>96</v>
      </c>
      <c r="P168" s="10">
        <v>2670</v>
      </c>
      <c r="Q168" s="38">
        <f t="shared" si="49"/>
        <v>3143</v>
      </c>
      <c r="R168" s="38">
        <f t="shared" si="42"/>
        <v>5309</v>
      </c>
      <c r="T168" t="s">
        <v>2762</v>
      </c>
    </row>
    <row r="169" spans="1:20" ht="15.75" customHeight="1" x14ac:dyDescent="0.3">
      <c r="A169" s="539" t="s">
        <v>3400</v>
      </c>
      <c r="B169" s="10"/>
      <c r="C169" s="10"/>
      <c r="D169" s="10"/>
      <c r="E169" s="38">
        <f t="shared" si="50"/>
        <v>0</v>
      </c>
      <c r="F169" s="10">
        <v>113</v>
      </c>
      <c r="G169" s="10">
        <v>163</v>
      </c>
      <c r="H169" s="10">
        <v>213</v>
      </c>
      <c r="I169" s="38">
        <f t="shared" si="46"/>
        <v>489</v>
      </c>
      <c r="J169" s="10">
        <v>213</v>
      </c>
      <c r="K169" s="10">
        <v>163</v>
      </c>
      <c r="L169" s="10">
        <v>113</v>
      </c>
      <c r="M169" s="38">
        <f t="shared" si="47"/>
        <v>489</v>
      </c>
      <c r="N169" s="10">
        <v>61</v>
      </c>
      <c r="O169" s="10">
        <v>36</v>
      </c>
      <c r="P169" s="10">
        <v>28</v>
      </c>
      <c r="Q169" s="38">
        <f t="shared" ref="Q169" si="53">SUM(N169:P169)</f>
        <v>125</v>
      </c>
      <c r="R169" s="38">
        <f t="shared" ref="R169" si="54">+E169+I169+M169+Q169</f>
        <v>1103</v>
      </c>
    </row>
    <row r="170" spans="1:20" ht="15.75" customHeight="1" x14ac:dyDescent="0.3">
      <c r="A170" s="569" t="s">
        <v>2845</v>
      </c>
      <c r="B170" s="10"/>
      <c r="C170" s="10"/>
      <c r="D170" s="10"/>
      <c r="E170" s="38">
        <f t="shared" si="50"/>
        <v>0</v>
      </c>
      <c r="F170" s="10"/>
      <c r="G170" s="10"/>
      <c r="H170" s="10"/>
      <c r="I170" s="38">
        <f t="shared" si="46"/>
        <v>0</v>
      </c>
      <c r="J170" s="10">
        <v>508</v>
      </c>
      <c r="K170" s="10"/>
      <c r="L170" s="10"/>
      <c r="M170" s="38">
        <f t="shared" si="47"/>
        <v>508</v>
      </c>
      <c r="N170" s="10"/>
      <c r="O170" s="10"/>
      <c r="P170" s="10"/>
      <c r="Q170" s="38">
        <f t="shared" si="49"/>
        <v>0</v>
      </c>
      <c r="R170" s="38">
        <f t="shared" si="42"/>
        <v>508</v>
      </c>
      <c r="T170" t="s">
        <v>2770</v>
      </c>
    </row>
    <row r="171" spans="1:20" ht="15.75" customHeight="1" x14ac:dyDescent="0.3">
      <c r="A171" s="410" t="s">
        <v>3274</v>
      </c>
      <c r="B171" s="10"/>
      <c r="C171" s="10"/>
      <c r="D171" s="10"/>
      <c r="E171" s="38">
        <f t="shared" ref="E171" si="55">SUM(B171:D171)</f>
        <v>0</v>
      </c>
      <c r="F171" s="10"/>
      <c r="G171" s="10"/>
      <c r="H171" s="10"/>
      <c r="I171" s="38">
        <f t="shared" ref="I171" si="56">SUM(F171:H171)</f>
        <v>0</v>
      </c>
      <c r="J171" s="10"/>
      <c r="K171" s="10"/>
      <c r="L171" s="10"/>
      <c r="M171" s="38">
        <f t="shared" ref="M171" si="57">SUM(J171:L171)</f>
        <v>0</v>
      </c>
      <c r="N171" s="10"/>
      <c r="O171" s="10"/>
      <c r="P171" s="10"/>
      <c r="Q171" s="38">
        <f t="shared" ref="Q171" si="58">SUM(N171:P171)</f>
        <v>0</v>
      </c>
      <c r="R171" s="38">
        <f t="shared" si="42"/>
        <v>0</v>
      </c>
    </row>
    <row r="172" spans="1:20" ht="15.75" customHeight="1" x14ac:dyDescent="0.3">
      <c r="A172" s="410" t="s">
        <v>3403</v>
      </c>
      <c r="B172" s="10"/>
      <c r="C172" s="10"/>
      <c r="D172" s="10"/>
      <c r="E172" s="38">
        <f t="shared" si="50"/>
        <v>0</v>
      </c>
      <c r="F172" s="10"/>
      <c r="G172" s="10"/>
      <c r="H172" s="10"/>
      <c r="I172" s="38">
        <f t="shared" si="46"/>
        <v>0</v>
      </c>
      <c r="J172" s="10"/>
      <c r="K172" s="10"/>
      <c r="L172" s="10"/>
      <c r="M172" s="38">
        <f t="shared" si="47"/>
        <v>0</v>
      </c>
      <c r="N172" s="10"/>
      <c r="O172" s="10"/>
      <c r="P172" s="10"/>
      <c r="Q172" s="38">
        <f t="shared" si="49"/>
        <v>0</v>
      </c>
      <c r="R172" s="38">
        <f t="shared" si="42"/>
        <v>0</v>
      </c>
    </row>
    <row r="173" spans="1:20" ht="15.75" customHeight="1" x14ac:dyDescent="0.3">
      <c r="A173" s="539" t="s">
        <v>2809</v>
      </c>
      <c r="B173" s="10"/>
      <c r="C173" s="10"/>
      <c r="D173" s="10"/>
      <c r="E173" s="38">
        <f t="shared" si="50"/>
        <v>0</v>
      </c>
      <c r="F173" s="10"/>
      <c r="G173" s="10"/>
      <c r="H173" s="10"/>
      <c r="I173" s="38">
        <f t="shared" si="46"/>
        <v>0</v>
      </c>
      <c r="J173" s="10"/>
      <c r="K173" s="10"/>
      <c r="L173" s="10"/>
      <c r="M173" s="38">
        <f t="shared" si="47"/>
        <v>0</v>
      </c>
      <c r="N173" s="10"/>
      <c r="O173" s="10"/>
      <c r="P173" s="10"/>
      <c r="Q173" s="38">
        <f t="shared" si="49"/>
        <v>0</v>
      </c>
      <c r="R173" s="38">
        <f t="shared" si="42"/>
        <v>0</v>
      </c>
      <c r="S173" t="s">
        <v>3020</v>
      </c>
      <c r="T173" t="s">
        <v>2760</v>
      </c>
    </row>
    <row r="174" spans="1:20" s="353" customFormat="1" ht="15.75" customHeight="1" x14ac:dyDescent="0.3">
      <c r="A174" s="535" t="s">
        <v>1242</v>
      </c>
      <c r="B174" s="542"/>
      <c r="C174" s="542"/>
      <c r="D174" s="542"/>
      <c r="E174" s="331">
        <f t="shared" ref="E174:E195" si="59">SUM(B174:D174)</f>
        <v>0</v>
      </c>
      <c r="F174" s="542"/>
      <c r="G174" s="542"/>
      <c r="H174" s="542"/>
      <c r="I174" s="331">
        <f t="shared" si="46"/>
        <v>0</v>
      </c>
      <c r="J174" s="542"/>
      <c r="K174" s="542"/>
      <c r="L174" s="542"/>
      <c r="M174" s="331">
        <f t="shared" si="47"/>
        <v>0</v>
      </c>
      <c r="N174" s="542"/>
      <c r="O174" s="542">
        <v>1000</v>
      </c>
      <c r="P174" s="542">
        <v>-1000</v>
      </c>
      <c r="Q174" s="331">
        <f t="shared" si="49"/>
        <v>0</v>
      </c>
      <c r="R174" s="331">
        <f t="shared" si="42"/>
        <v>0</v>
      </c>
    </row>
    <row r="175" spans="1:20" ht="15.75" customHeight="1" x14ac:dyDescent="0.3">
      <c r="A175" s="539" t="s">
        <v>1379</v>
      </c>
      <c r="B175" s="10"/>
      <c r="C175" s="10"/>
      <c r="D175" s="10"/>
      <c r="E175" s="38">
        <f t="shared" si="59"/>
        <v>0</v>
      </c>
      <c r="F175" s="10">
        <v>1125</v>
      </c>
      <c r="G175" s="10">
        <v>1889</v>
      </c>
      <c r="H175" s="10">
        <v>1841</v>
      </c>
      <c r="I175" s="38">
        <f t="shared" si="46"/>
        <v>4855</v>
      </c>
      <c r="J175" s="10">
        <v>2046</v>
      </c>
      <c r="K175" s="10">
        <v>2088</v>
      </c>
      <c r="L175" s="10">
        <v>1866</v>
      </c>
      <c r="M175" s="38">
        <f t="shared" si="47"/>
        <v>6000</v>
      </c>
      <c r="N175" s="10">
        <v>1600</v>
      </c>
      <c r="O175" s="10">
        <v>1600</v>
      </c>
      <c r="P175" s="10">
        <v>1849</v>
      </c>
      <c r="Q175" s="38">
        <f t="shared" si="49"/>
        <v>5049</v>
      </c>
      <c r="R175" s="38">
        <f>+E175+I175+M175+Q175</f>
        <v>15904</v>
      </c>
      <c r="T175" t="s">
        <v>2775</v>
      </c>
    </row>
    <row r="176" spans="1:20" ht="15.75" customHeight="1" x14ac:dyDescent="0.3">
      <c r="A176" s="569" t="s">
        <v>2984</v>
      </c>
      <c r="B176" s="10"/>
      <c r="C176" s="10"/>
      <c r="D176" s="10"/>
      <c r="E176" s="38">
        <f t="shared" si="59"/>
        <v>0</v>
      </c>
      <c r="F176" s="10"/>
      <c r="G176" s="10"/>
      <c r="H176" s="10"/>
      <c r="I176" s="38">
        <f t="shared" si="46"/>
        <v>0</v>
      </c>
      <c r="J176" s="10"/>
      <c r="K176" s="10"/>
      <c r="L176" s="10">
        <v>532</v>
      </c>
      <c r="M176" s="38">
        <f t="shared" si="47"/>
        <v>532</v>
      </c>
      <c r="N176" s="10"/>
      <c r="O176" s="10"/>
      <c r="P176" s="10"/>
      <c r="Q176" s="38">
        <f t="shared" si="49"/>
        <v>0</v>
      </c>
      <c r="R176" s="38">
        <f t="shared" ref="R176:R182" si="60">+E176+I176+M176+Q176</f>
        <v>532</v>
      </c>
      <c r="T176" t="s">
        <v>2764</v>
      </c>
    </row>
    <row r="177" spans="1:20" ht="15.75" customHeight="1" x14ac:dyDescent="0.3">
      <c r="A177" s="569" t="s">
        <v>2987</v>
      </c>
      <c r="B177" s="10"/>
      <c r="C177" s="10"/>
      <c r="D177" s="10"/>
      <c r="E177" s="38">
        <f t="shared" si="59"/>
        <v>0</v>
      </c>
      <c r="F177" s="10"/>
      <c r="G177" s="10"/>
      <c r="H177" s="10"/>
      <c r="I177" s="38">
        <f t="shared" si="46"/>
        <v>0</v>
      </c>
      <c r="J177" s="10"/>
      <c r="K177" s="10"/>
      <c r="L177" s="10"/>
      <c r="M177" s="38">
        <f t="shared" si="47"/>
        <v>0</v>
      </c>
      <c r="N177" s="10"/>
      <c r="O177" s="10"/>
      <c r="P177" s="10"/>
      <c r="Q177" s="38">
        <f t="shared" si="49"/>
        <v>0</v>
      </c>
      <c r="R177" s="38">
        <f t="shared" si="60"/>
        <v>0</v>
      </c>
      <c r="T177" t="s">
        <v>2770</v>
      </c>
    </row>
    <row r="178" spans="1:20" ht="15.75" customHeight="1" x14ac:dyDescent="0.3">
      <c r="A178" s="539" t="s">
        <v>2985</v>
      </c>
      <c r="B178" s="10"/>
      <c r="C178" s="10"/>
      <c r="D178" s="10"/>
      <c r="E178" s="38">
        <f t="shared" si="59"/>
        <v>0</v>
      </c>
      <c r="F178" s="10"/>
      <c r="G178" s="10">
        <v>362</v>
      </c>
      <c r="H178" s="10"/>
      <c r="I178" s="38">
        <f t="shared" si="46"/>
        <v>362</v>
      </c>
      <c r="J178" s="10"/>
      <c r="K178" s="10"/>
      <c r="L178" s="10"/>
      <c r="M178" s="38">
        <f t="shared" si="47"/>
        <v>0</v>
      </c>
      <c r="N178" s="10"/>
      <c r="O178" s="10"/>
      <c r="P178" s="10">
        <v>438</v>
      </c>
      <c r="Q178" s="38">
        <f t="shared" si="49"/>
        <v>438</v>
      </c>
      <c r="R178" s="38">
        <f t="shared" si="60"/>
        <v>800</v>
      </c>
      <c r="S178" s="709" t="s">
        <v>3020</v>
      </c>
      <c r="T178" t="s">
        <v>2986</v>
      </c>
    </row>
    <row r="179" spans="1:20" ht="15.75" customHeight="1" x14ac:dyDescent="0.3">
      <c r="A179" s="539" t="s">
        <v>3405</v>
      </c>
      <c r="B179" s="10"/>
      <c r="C179" s="10"/>
      <c r="D179" s="10"/>
      <c r="E179" s="38">
        <f t="shared" si="59"/>
        <v>0</v>
      </c>
      <c r="F179" s="10"/>
      <c r="G179" s="10"/>
      <c r="H179" s="10"/>
      <c r="I179" s="38">
        <f t="shared" si="46"/>
        <v>0</v>
      </c>
      <c r="J179" s="10"/>
      <c r="K179" s="10"/>
      <c r="L179" s="10"/>
      <c r="M179" s="38">
        <f t="shared" si="47"/>
        <v>0</v>
      </c>
      <c r="N179" s="10"/>
      <c r="O179" s="10"/>
      <c r="P179" s="10"/>
      <c r="Q179" s="38">
        <f t="shared" ref="Q179" si="61">SUM(N179:P179)</f>
        <v>0</v>
      </c>
      <c r="R179" s="38">
        <f t="shared" ref="R179" si="62">+E179+I179+M179+Q179</f>
        <v>0</v>
      </c>
      <c r="S179" s="709"/>
    </row>
    <row r="180" spans="1:20" ht="15.75" customHeight="1" x14ac:dyDescent="0.3">
      <c r="A180" s="569" t="s">
        <v>2767</v>
      </c>
      <c r="B180" s="10">
        <v>968</v>
      </c>
      <c r="C180" s="10">
        <v>249</v>
      </c>
      <c r="D180" s="10">
        <v>1151</v>
      </c>
      <c r="E180" s="38">
        <f t="shared" si="59"/>
        <v>2368</v>
      </c>
      <c r="F180" s="10"/>
      <c r="G180" s="10"/>
      <c r="H180" s="10"/>
      <c r="I180" s="38">
        <f t="shared" si="46"/>
        <v>0</v>
      </c>
      <c r="J180" s="10"/>
      <c r="K180" s="10"/>
      <c r="L180" s="10"/>
      <c r="M180" s="38">
        <f t="shared" si="47"/>
        <v>0</v>
      </c>
      <c r="N180" s="10"/>
      <c r="O180" s="10"/>
      <c r="P180" s="10"/>
      <c r="Q180" s="38">
        <f t="shared" si="49"/>
        <v>0</v>
      </c>
      <c r="R180" s="38">
        <f t="shared" si="60"/>
        <v>2368</v>
      </c>
      <c r="T180" t="s">
        <v>2769</v>
      </c>
    </row>
    <row r="181" spans="1:20" ht="15.75" customHeight="1" x14ac:dyDescent="0.3">
      <c r="A181" s="569" t="s">
        <v>2768</v>
      </c>
      <c r="B181" s="10">
        <v>3525</v>
      </c>
      <c r="C181" s="10">
        <v>3423</v>
      </c>
      <c r="D181" s="10">
        <v>1426</v>
      </c>
      <c r="E181" s="38">
        <f t="shared" si="59"/>
        <v>8374</v>
      </c>
      <c r="F181" s="10"/>
      <c r="G181" s="10"/>
      <c r="H181" s="10"/>
      <c r="I181" s="38">
        <f t="shared" si="46"/>
        <v>0</v>
      </c>
      <c r="J181" s="10"/>
      <c r="K181" s="10"/>
      <c r="L181" s="10"/>
      <c r="M181" s="38">
        <f t="shared" si="47"/>
        <v>0</v>
      </c>
      <c r="N181" s="10"/>
      <c r="O181" s="10"/>
      <c r="P181" s="10"/>
      <c r="Q181" s="38">
        <f t="shared" si="49"/>
        <v>0</v>
      </c>
      <c r="R181" s="38">
        <f t="shared" si="60"/>
        <v>8374</v>
      </c>
      <c r="T181" t="s">
        <v>2770</v>
      </c>
    </row>
    <row r="182" spans="1:20" ht="15.75" customHeight="1" x14ac:dyDescent="0.3">
      <c r="A182" s="539" t="s">
        <v>1879</v>
      </c>
      <c r="B182" s="10">
        <v>16</v>
      </c>
      <c r="C182" s="10">
        <v>18</v>
      </c>
      <c r="D182" s="10">
        <v>16</v>
      </c>
      <c r="E182" s="38">
        <f t="shared" si="59"/>
        <v>50</v>
      </c>
      <c r="F182" s="10">
        <v>50</v>
      </c>
      <c r="G182" s="10">
        <v>74</v>
      </c>
      <c r="H182" s="10">
        <v>54</v>
      </c>
      <c r="I182" s="38">
        <f t="shared" si="46"/>
        <v>178</v>
      </c>
      <c r="J182" s="10">
        <v>67</v>
      </c>
      <c r="K182" s="10"/>
      <c r="L182" s="10">
        <v>10</v>
      </c>
      <c r="M182" s="38">
        <f t="shared" si="47"/>
        <v>77</v>
      </c>
      <c r="N182" s="10">
        <v>52</v>
      </c>
      <c r="O182" s="10">
        <v>40</v>
      </c>
      <c r="P182" s="10">
        <v>188</v>
      </c>
      <c r="Q182" s="38">
        <f t="shared" si="49"/>
        <v>280</v>
      </c>
      <c r="R182" s="38">
        <f t="shared" si="60"/>
        <v>585</v>
      </c>
      <c r="T182" t="s">
        <v>1193</v>
      </c>
    </row>
    <row r="183" spans="1:20" ht="15.75" customHeight="1" x14ac:dyDescent="0.3">
      <c r="A183" s="569" t="s">
        <v>2737</v>
      </c>
      <c r="B183" s="10">
        <f>304+757</f>
        <v>1061</v>
      </c>
      <c r="C183" s="10"/>
      <c r="D183" s="10">
        <f>413+46</f>
        <v>459</v>
      </c>
      <c r="E183" s="38">
        <f t="shared" si="59"/>
        <v>1520</v>
      </c>
      <c r="F183" s="10">
        <f>1188+1196</f>
        <v>2384</v>
      </c>
      <c r="G183" s="10">
        <f>614+658</f>
        <v>1272</v>
      </c>
      <c r="H183" s="10"/>
      <c r="I183" s="38">
        <f t="shared" si="46"/>
        <v>3656</v>
      </c>
      <c r="J183" s="10">
        <v>1502</v>
      </c>
      <c r="K183" s="10">
        <f>118+1703</f>
        <v>1821</v>
      </c>
      <c r="L183" s="10">
        <f>301+727</f>
        <v>1028</v>
      </c>
      <c r="M183" s="38">
        <f t="shared" si="47"/>
        <v>4351</v>
      </c>
      <c r="N183" s="10">
        <v>995</v>
      </c>
      <c r="O183" s="10">
        <v>896</v>
      </c>
      <c r="P183" s="10">
        <v>894</v>
      </c>
      <c r="Q183" s="38">
        <f t="shared" si="49"/>
        <v>2785</v>
      </c>
      <c r="R183" s="38">
        <f t="shared" si="42"/>
        <v>12312</v>
      </c>
      <c r="T183" t="s">
        <v>2769</v>
      </c>
    </row>
    <row r="184" spans="1:20" ht="15.75" customHeight="1" x14ac:dyDescent="0.3">
      <c r="A184" s="569" t="s">
        <v>2738</v>
      </c>
      <c r="B184" s="10">
        <v>130</v>
      </c>
      <c r="C184" s="10">
        <v>150</v>
      </c>
      <c r="D184" s="10">
        <v>200</v>
      </c>
      <c r="E184" s="38">
        <f t="shared" si="59"/>
        <v>480</v>
      </c>
      <c r="F184" s="10">
        <v>1300</v>
      </c>
      <c r="G184" s="10"/>
      <c r="H184" s="10">
        <v>477</v>
      </c>
      <c r="I184" s="38">
        <f t="shared" si="46"/>
        <v>1777</v>
      </c>
      <c r="J184" s="10"/>
      <c r="K184" s="10"/>
      <c r="L184" s="10">
        <v>1000</v>
      </c>
      <c r="M184" s="38">
        <f t="shared" si="47"/>
        <v>1000</v>
      </c>
      <c r="N184" s="10"/>
      <c r="O184" s="10"/>
      <c r="P184" s="10"/>
      <c r="Q184" s="38">
        <f t="shared" si="49"/>
        <v>0</v>
      </c>
      <c r="R184" s="38">
        <f t="shared" si="42"/>
        <v>3257</v>
      </c>
      <c r="T184" t="s">
        <v>2770</v>
      </c>
    </row>
    <row r="185" spans="1:20" ht="15.75" customHeight="1" x14ac:dyDescent="0.3">
      <c r="A185" s="569" t="s">
        <v>2816</v>
      </c>
      <c r="B185" s="10">
        <v>21</v>
      </c>
      <c r="C185" s="10">
        <v>22</v>
      </c>
      <c r="D185" s="10">
        <v>22</v>
      </c>
      <c r="E185" s="38">
        <f t="shared" si="59"/>
        <v>65</v>
      </c>
      <c r="F185" s="10">
        <v>53</v>
      </c>
      <c r="G185" s="10">
        <v>74</v>
      </c>
      <c r="H185" s="10">
        <v>87</v>
      </c>
      <c r="I185" s="38">
        <f>SUM(F185:H185)</f>
        <v>214</v>
      </c>
      <c r="J185" s="10">
        <v>86</v>
      </c>
      <c r="K185" s="10">
        <v>75</v>
      </c>
      <c r="L185" s="10">
        <v>64</v>
      </c>
      <c r="M185" s="38">
        <f t="shared" si="47"/>
        <v>225</v>
      </c>
      <c r="N185" s="10">
        <v>76</v>
      </c>
      <c r="O185" s="10">
        <v>31</v>
      </c>
      <c r="P185" s="10">
        <v>17</v>
      </c>
      <c r="Q185" s="38">
        <f t="shared" si="49"/>
        <v>124</v>
      </c>
      <c r="R185" s="38">
        <f t="shared" si="42"/>
        <v>628</v>
      </c>
      <c r="T185" t="s">
        <v>2819</v>
      </c>
    </row>
    <row r="186" spans="1:20" ht="15.75" customHeight="1" x14ac:dyDescent="0.3">
      <c r="A186" s="569" t="s">
        <v>2817</v>
      </c>
      <c r="B186" s="10">
        <v>1</v>
      </c>
      <c r="C186" s="10"/>
      <c r="D186" s="10">
        <v>1</v>
      </c>
      <c r="E186" s="38">
        <f t="shared" si="59"/>
        <v>2</v>
      </c>
      <c r="F186" s="10">
        <v>20</v>
      </c>
      <c r="G186" s="10">
        <v>84</v>
      </c>
      <c r="H186" s="10">
        <v>110</v>
      </c>
      <c r="I186" s="38">
        <f t="shared" si="46"/>
        <v>214</v>
      </c>
      <c r="J186" s="10">
        <v>114</v>
      </c>
      <c r="K186" s="10">
        <v>121</v>
      </c>
      <c r="L186" s="10">
        <v>93</v>
      </c>
      <c r="M186" s="38">
        <f t="shared" si="47"/>
        <v>328</v>
      </c>
      <c r="N186" s="10">
        <v>70</v>
      </c>
      <c r="O186" s="10">
        <v>23</v>
      </c>
      <c r="P186" s="10">
        <v>44</v>
      </c>
      <c r="Q186" s="38">
        <f t="shared" si="49"/>
        <v>137</v>
      </c>
      <c r="R186" s="38">
        <f t="shared" si="42"/>
        <v>681</v>
      </c>
      <c r="T186" t="s">
        <v>1193</v>
      </c>
    </row>
    <row r="187" spans="1:20" ht="15.75" customHeight="1" x14ac:dyDescent="0.3">
      <c r="A187" s="569" t="s">
        <v>2818</v>
      </c>
      <c r="B187" s="10"/>
      <c r="C187" s="10"/>
      <c r="D187" s="10">
        <v>1</v>
      </c>
      <c r="E187" s="38">
        <f t="shared" si="59"/>
        <v>1</v>
      </c>
      <c r="F187" s="10">
        <v>1</v>
      </c>
      <c r="G187" s="10">
        <v>1</v>
      </c>
      <c r="H187" s="10"/>
      <c r="I187" s="38">
        <f t="shared" si="46"/>
        <v>2</v>
      </c>
      <c r="J187" s="10">
        <v>1</v>
      </c>
      <c r="K187" s="10">
        <v>1</v>
      </c>
      <c r="L187" s="10">
        <v>2</v>
      </c>
      <c r="M187" s="38">
        <f t="shared" si="47"/>
        <v>4</v>
      </c>
      <c r="N187" s="10">
        <v>10</v>
      </c>
      <c r="O187" s="10">
        <v>10</v>
      </c>
      <c r="P187" s="10">
        <v>93</v>
      </c>
      <c r="Q187" s="38">
        <f t="shared" si="49"/>
        <v>113</v>
      </c>
      <c r="R187" s="38">
        <f t="shared" si="42"/>
        <v>120</v>
      </c>
      <c r="S187" s="574"/>
      <c r="T187" t="s">
        <v>2764</v>
      </c>
    </row>
    <row r="188" spans="1:20" ht="15.75" customHeight="1" x14ac:dyDescent="0.3">
      <c r="A188" s="539" t="s">
        <v>2758</v>
      </c>
      <c r="B188" s="10"/>
      <c r="C188" s="10"/>
      <c r="D188" s="10"/>
      <c r="E188" s="38">
        <f t="shared" si="59"/>
        <v>0</v>
      </c>
      <c r="F188" s="10"/>
      <c r="G188" s="10"/>
      <c r="H188" s="10">
        <v>931</v>
      </c>
      <c r="I188" s="38">
        <f t="shared" si="46"/>
        <v>931</v>
      </c>
      <c r="J188" s="10">
        <v>1064</v>
      </c>
      <c r="K188" s="10">
        <v>1046</v>
      </c>
      <c r="L188" s="10">
        <v>986</v>
      </c>
      <c r="M188" s="38">
        <f t="shared" si="47"/>
        <v>3096</v>
      </c>
      <c r="N188" s="10">
        <v>1009</v>
      </c>
      <c r="O188" s="10">
        <v>1000</v>
      </c>
      <c r="P188" s="10">
        <v>902</v>
      </c>
      <c r="Q188" s="38">
        <f t="shared" si="49"/>
        <v>2911</v>
      </c>
      <c r="R188" s="38">
        <f t="shared" si="42"/>
        <v>6938</v>
      </c>
      <c r="T188" t="s">
        <v>2775</v>
      </c>
    </row>
    <row r="189" spans="1:20" ht="15.75" customHeight="1" x14ac:dyDescent="0.3">
      <c r="A189" s="539" t="s">
        <v>2813</v>
      </c>
      <c r="B189" s="10"/>
      <c r="C189" s="10"/>
      <c r="D189" s="10"/>
      <c r="E189" s="38">
        <f t="shared" si="59"/>
        <v>0</v>
      </c>
      <c r="F189" s="10"/>
      <c r="G189" s="10"/>
      <c r="H189" s="10">
        <v>362</v>
      </c>
      <c r="I189" s="38">
        <f t="shared" si="46"/>
        <v>362</v>
      </c>
      <c r="J189" s="10"/>
      <c r="K189" s="10"/>
      <c r="L189" s="10"/>
      <c r="M189" s="38">
        <f t="shared" si="47"/>
        <v>0</v>
      </c>
      <c r="N189" s="10"/>
      <c r="O189" s="10"/>
      <c r="P189" s="10"/>
      <c r="Q189" s="38">
        <f t="shared" si="49"/>
        <v>0</v>
      </c>
      <c r="R189" s="38">
        <f t="shared" si="42"/>
        <v>362</v>
      </c>
      <c r="S189" s="709" t="s">
        <v>3020</v>
      </c>
      <c r="T189" t="s">
        <v>2760</v>
      </c>
    </row>
    <row r="190" spans="1:20" ht="15.75" customHeight="1" x14ac:dyDescent="0.3">
      <c r="A190" s="539" t="s">
        <v>2820</v>
      </c>
      <c r="B190" s="10"/>
      <c r="C190" s="10"/>
      <c r="D190" s="10"/>
      <c r="E190" s="38">
        <f t="shared" si="59"/>
        <v>0</v>
      </c>
      <c r="F190" s="10"/>
      <c r="G190" s="10"/>
      <c r="H190" s="10"/>
      <c r="I190" s="38">
        <f t="shared" si="46"/>
        <v>0</v>
      </c>
      <c r="J190" s="10"/>
      <c r="K190" s="10"/>
      <c r="L190" s="10"/>
      <c r="M190" s="38">
        <f t="shared" si="47"/>
        <v>0</v>
      </c>
      <c r="N190" s="10"/>
      <c r="O190" s="10"/>
      <c r="P190" s="10"/>
      <c r="Q190" s="38">
        <f t="shared" si="49"/>
        <v>0</v>
      </c>
      <c r="R190" s="38">
        <f t="shared" si="42"/>
        <v>0</v>
      </c>
      <c r="T190" t="s">
        <v>2760</v>
      </c>
    </row>
    <row r="191" spans="1:20" ht="15.75" customHeight="1" x14ac:dyDescent="0.3">
      <c r="A191" s="539" t="s">
        <v>2426</v>
      </c>
      <c r="B191" s="10">
        <f>2541+17+1+1</f>
        <v>2560</v>
      </c>
      <c r="C191" s="10">
        <f>2373+10+1+1+14</f>
        <v>2399</v>
      </c>
      <c r="D191" s="10">
        <f>2499+5+1+1+2337</f>
        <v>4843</v>
      </c>
      <c r="E191" s="38">
        <f t="shared" si="59"/>
        <v>9802</v>
      </c>
      <c r="F191" s="10">
        <f>7960+2416+66+1+1</f>
        <v>10444</v>
      </c>
      <c r="G191" s="10">
        <f>1+1+100+2503+11035</f>
        <v>13640</v>
      </c>
      <c r="H191" s="10">
        <f>1+2+125+2625+10768+1000</f>
        <v>14521</v>
      </c>
      <c r="I191" s="38">
        <f t="shared" si="46"/>
        <v>38605</v>
      </c>
      <c r="J191" s="10">
        <f>1+2+2511+10296+109</f>
        <v>12919</v>
      </c>
      <c r="K191" s="10">
        <f>1+2+75+2533+9788</f>
        <v>12399</v>
      </c>
      <c r="L191" s="10">
        <f>1+2+79+2461+9174</f>
        <v>11717</v>
      </c>
      <c r="M191" s="38">
        <f t="shared" si="47"/>
        <v>37035</v>
      </c>
      <c r="N191" s="10">
        <f>7802+2474+1+2+73</f>
        <v>10352</v>
      </c>
      <c r="O191" s="10">
        <f>7812+2394+1+2+41</f>
        <v>10250</v>
      </c>
      <c r="P191" s="10">
        <v>5673</v>
      </c>
      <c r="Q191" s="38">
        <f t="shared" si="49"/>
        <v>26275</v>
      </c>
      <c r="R191" s="38">
        <f t="shared" si="42"/>
        <v>111717</v>
      </c>
      <c r="S191" t="s">
        <v>3020</v>
      </c>
    </row>
    <row r="192" spans="1:20" ht="15.75" customHeight="1" x14ac:dyDescent="0.3">
      <c r="A192" s="539" t="s">
        <v>3059</v>
      </c>
      <c r="B192" s="10">
        <v>5000</v>
      </c>
      <c r="C192" s="10">
        <f>5000+213</f>
        <v>5213</v>
      </c>
      <c r="D192" s="10">
        <f>99+516</f>
        <v>615</v>
      </c>
      <c r="E192" s="38">
        <f t="shared" si="59"/>
        <v>10828</v>
      </c>
      <c r="F192" s="10">
        <v>632</v>
      </c>
      <c r="G192" s="10">
        <v>507</v>
      </c>
      <c r="H192" s="10">
        <f>458+147</f>
        <v>605</v>
      </c>
      <c r="I192" s="38">
        <f t="shared" si="46"/>
        <v>1744</v>
      </c>
      <c r="J192" s="10">
        <v>435</v>
      </c>
      <c r="K192" s="10"/>
      <c r="L192" s="10"/>
      <c r="M192" s="38">
        <f t="shared" si="47"/>
        <v>435</v>
      </c>
      <c r="N192" s="10"/>
      <c r="O192" s="10">
        <v>263</v>
      </c>
      <c r="P192" s="10"/>
      <c r="Q192" s="38">
        <f t="shared" si="49"/>
        <v>263</v>
      </c>
      <c r="R192" s="38">
        <f>+E192+I192+M192+Q192</f>
        <v>13270</v>
      </c>
      <c r="S192" s="709"/>
      <c r="T192" t="s">
        <v>2760</v>
      </c>
    </row>
    <row r="193" spans="1:20" ht="15.75" customHeight="1" x14ac:dyDescent="0.3">
      <c r="A193" s="539" t="s">
        <v>3398</v>
      </c>
      <c r="B193" s="10">
        <v>34</v>
      </c>
      <c r="C193" s="10">
        <v>61</v>
      </c>
      <c r="D193" s="10">
        <v>50</v>
      </c>
      <c r="E193" s="38">
        <f t="shared" si="59"/>
        <v>145</v>
      </c>
      <c r="F193" s="10">
        <v>55</v>
      </c>
      <c r="G193" s="10">
        <v>55</v>
      </c>
      <c r="H193" s="10">
        <v>55</v>
      </c>
      <c r="I193" s="38">
        <f t="shared" si="46"/>
        <v>165</v>
      </c>
      <c r="J193" s="10">
        <v>65</v>
      </c>
      <c r="K193" s="10">
        <v>65</v>
      </c>
      <c r="L193" s="10">
        <v>50</v>
      </c>
      <c r="M193" s="38">
        <f t="shared" si="47"/>
        <v>180</v>
      </c>
      <c r="N193" s="10">
        <v>50</v>
      </c>
      <c r="O193" s="10">
        <v>50</v>
      </c>
      <c r="P193" s="10">
        <v>50</v>
      </c>
      <c r="Q193" s="38">
        <f t="shared" si="49"/>
        <v>150</v>
      </c>
      <c r="R193" s="38">
        <f t="shared" si="42"/>
        <v>640</v>
      </c>
      <c r="S193" t="s">
        <v>3020</v>
      </c>
      <c r="T193" t="s">
        <v>2760</v>
      </c>
    </row>
    <row r="194" spans="1:20" ht="15.75" customHeight="1" x14ac:dyDescent="0.3">
      <c r="A194" s="569" t="s">
        <v>3425</v>
      </c>
      <c r="B194" s="10"/>
      <c r="C194" s="10"/>
      <c r="D194" s="10"/>
      <c r="E194" s="38">
        <f t="shared" si="59"/>
        <v>0</v>
      </c>
      <c r="F194" s="10"/>
      <c r="G194" s="10"/>
      <c r="H194" s="10"/>
      <c r="I194" s="38">
        <f t="shared" si="46"/>
        <v>0</v>
      </c>
      <c r="J194" s="10">
        <v>779</v>
      </c>
      <c r="K194" s="10">
        <v>1079</v>
      </c>
      <c r="L194" s="10">
        <v>1963</v>
      </c>
      <c r="M194" s="38">
        <f t="shared" si="47"/>
        <v>3821</v>
      </c>
      <c r="N194" s="10">
        <v>537</v>
      </c>
      <c r="O194" s="10"/>
      <c r="P194" s="10"/>
      <c r="Q194" s="38">
        <f t="shared" ref="Q194" si="63">SUM(N194:P194)</f>
        <v>537</v>
      </c>
      <c r="R194" s="38">
        <f t="shared" ref="R194" si="64">+E194+I194+M194+Q194</f>
        <v>4358</v>
      </c>
    </row>
    <row r="195" spans="1:20" ht="15.75" customHeight="1" x14ac:dyDescent="0.3">
      <c r="A195" s="539" t="s">
        <v>1520</v>
      </c>
      <c r="B195" s="10">
        <v>3283</v>
      </c>
      <c r="C195" s="10"/>
      <c r="D195" s="10"/>
      <c r="E195" s="38">
        <f t="shared" si="59"/>
        <v>3283</v>
      </c>
      <c r="F195" s="10"/>
      <c r="G195" s="10"/>
      <c r="H195" s="10">
        <v>2991</v>
      </c>
      <c r="I195" s="38">
        <f t="shared" si="46"/>
        <v>2991</v>
      </c>
      <c r="J195" s="10">
        <f>56+6235+1590+142</f>
        <v>8023</v>
      </c>
      <c r="K195" s="10">
        <f>51+6461+876+131</f>
        <v>7519</v>
      </c>
      <c r="L195" s="10">
        <f>34+5712+609+105</f>
        <v>6460</v>
      </c>
      <c r="M195" s="38">
        <f t="shared" si="47"/>
        <v>22002</v>
      </c>
      <c r="N195" s="10">
        <f>6147+380+114+58</f>
        <v>6699</v>
      </c>
      <c r="O195" s="10">
        <f>5234+85+28</f>
        <v>5347</v>
      </c>
      <c r="P195" s="10">
        <v>5051</v>
      </c>
      <c r="Q195" s="38">
        <f t="shared" si="49"/>
        <v>17097</v>
      </c>
      <c r="R195" s="38">
        <f>+E195+I195+M195+Q195</f>
        <v>45373</v>
      </c>
    </row>
    <row r="196" spans="1:20" ht="15.75" customHeight="1" x14ac:dyDescent="0.3">
      <c r="A196" s="539" t="s">
        <v>3062</v>
      </c>
      <c r="B196" s="10"/>
      <c r="C196" s="10"/>
      <c r="D196" s="10"/>
      <c r="E196" s="38">
        <f t="shared" ref="E196" si="65">SUM(B196:D196)</f>
        <v>0</v>
      </c>
      <c r="F196" s="10"/>
      <c r="G196" s="10"/>
      <c r="H196" s="10">
        <v>500</v>
      </c>
      <c r="I196" s="38">
        <f t="shared" si="46"/>
        <v>500</v>
      </c>
      <c r="J196" s="10">
        <v>500</v>
      </c>
      <c r="K196" s="10">
        <f>500+362</f>
        <v>862</v>
      </c>
      <c r="L196" s="10">
        <v>500</v>
      </c>
      <c r="M196" s="38">
        <f t="shared" si="47"/>
        <v>1862</v>
      </c>
      <c r="N196" s="10"/>
      <c r="O196" s="10"/>
      <c r="P196" s="10"/>
      <c r="Q196" s="38">
        <f t="shared" si="49"/>
        <v>0</v>
      </c>
      <c r="R196" s="38">
        <f t="shared" si="42"/>
        <v>2362</v>
      </c>
      <c r="S196" t="s">
        <v>3020</v>
      </c>
    </row>
    <row r="197" spans="1:20" ht="15.75" customHeight="1" x14ac:dyDescent="0.3">
      <c r="A197" s="569" t="s">
        <v>2739</v>
      </c>
      <c r="B197" s="10"/>
      <c r="C197" s="10"/>
      <c r="D197" s="10"/>
      <c r="E197" s="38">
        <f t="shared" ref="E197:E202" si="66">SUM(B197:D197)</f>
        <v>0</v>
      </c>
      <c r="F197" s="10"/>
      <c r="G197" s="10"/>
      <c r="H197" s="10"/>
      <c r="I197" s="38">
        <f t="shared" ref="I197:I202" si="67">SUM(F197:H197)</f>
        <v>0</v>
      </c>
      <c r="J197" s="10"/>
      <c r="K197" s="10"/>
      <c r="L197" s="10"/>
      <c r="M197" s="38">
        <f t="shared" ref="M197:M202" si="68">SUM(J197:L197)</f>
        <v>0</v>
      </c>
      <c r="N197" s="10"/>
      <c r="O197" s="10"/>
      <c r="P197" s="10"/>
      <c r="Q197" s="38">
        <f t="shared" si="49"/>
        <v>0</v>
      </c>
      <c r="R197" s="38">
        <f t="shared" si="42"/>
        <v>0</v>
      </c>
      <c r="T197" t="s">
        <v>2769</v>
      </c>
    </row>
    <row r="198" spans="1:20" ht="15.75" customHeight="1" x14ac:dyDescent="0.3">
      <c r="A198" s="569" t="s">
        <v>2740</v>
      </c>
      <c r="B198" s="10"/>
      <c r="C198" s="10"/>
      <c r="D198" s="10"/>
      <c r="E198" s="38">
        <f t="shared" si="66"/>
        <v>0</v>
      </c>
      <c r="F198" s="10"/>
      <c r="G198" s="10"/>
      <c r="H198" s="10"/>
      <c r="I198" s="38">
        <f t="shared" si="67"/>
        <v>0</v>
      </c>
      <c r="J198" s="10"/>
      <c r="K198" s="10"/>
      <c r="L198" s="10"/>
      <c r="M198" s="38">
        <f t="shared" si="68"/>
        <v>0</v>
      </c>
      <c r="N198" s="10"/>
      <c r="O198" s="10"/>
      <c r="P198" s="10"/>
      <c r="Q198" s="38">
        <f t="shared" si="49"/>
        <v>0</v>
      </c>
      <c r="R198" s="38">
        <f>+E198+I198+M198+Q198</f>
        <v>0</v>
      </c>
    </row>
    <row r="199" spans="1:20" ht="15.75" customHeight="1" x14ac:dyDescent="0.3">
      <c r="A199" s="569" t="s">
        <v>3055</v>
      </c>
      <c r="B199" s="10"/>
      <c r="C199" s="10"/>
      <c r="D199" s="10">
        <v>143</v>
      </c>
      <c r="E199" s="38">
        <f t="shared" si="66"/>
        <v>143</v>
      </c>
      <c r="F199" s="10">
        <v>1746</v>
      </c>
      <c r="G199" s="10">
        <v>2169</v>
      </c>
      <c r="H199" s="10">
        <v>751</v>
      </c>
      <c r="I199" s="38">
        <f t="shared" si="67"/>
        <v>4666</v>
      </c>
      <c r="J199" s="10">
        <v>500</v>
      </c>
      <c r="K199" s="10">
        <v>400</v>
      </c>
      <c r="L199" s="10">
        <v>450</v>
      </c>
      <c r="M199" s="38">
        <f t="shared" si="68"/>
        <v>1350</v>
      </c>
      <c r="N199" s="10">
        <v>450</v>
      </c>
      <c r="O199" s="10">
        <v>450</v>
      </c>
      <c r="P199" s="10"/>
      <c r="Q199" s="38">
        <f t="shared" si="49"/>
        <v>900</v>
      </c>
      <c r="R199" s="38">
        <f t="shared" si="42"/>
        <v>7059</v>
      </c>
    </row>
    <row r="200" spans="1:20" ht="15.75" customHeight="1" x14ac:dyDescent="0.3">
      <c r="A200" s="539" t="s">
        <v>2821</v>
      </c>
      <c r="B200" s="10">
        <v>122</v>
      </c>
      <c r="C200" s="10">
        <v>300</v>
      </c>
      <c r="D200" s="10">
        <v>350</v>
      </c>
      <c r="E200" s="38">
        <f t="shared" si="66"/>
        <v>772</v>
      </c>
      <c r="F200" s="10">
        <v>350</v>
      </c>
      <c r="G200" s="10">
        <v>400</v>
      </c>
      <c r="H200" s="10">
        <v>450</v>
      </c>
      <c r="I200" s="38">
        <f t="shared" si="67"/>
        <v>1200</v>
      </c>
      <c r="J200" s="10">
        <v>493</v>
      </c>
      <c r="K200" s="10">
        <v>500</v>
      </c>
      <c r="L200" s="10">
        <v>400</v>
      </c>
      <c r="M200" s="38">
        <f t="shared" si="68"/>
        <v>1393</v>
      </c>
      <c r="N200" s="10">
        <v>400</v>
      </c>
      <c r="O200" s="10">
        <v>300</v>
      </c>
      <c r="P200" s="10">
        <v>250</v>
      </c>
      <c r="Q200" s="38">
        <f t="shared" si="49"/>
        <v>950</v>
      </c>
      <c r="R200" s="38">
        <f>+E200+I200+M200+Q200</f>
        <v>4315</v>
      </c>
      <c r="S200" t="s">
        <v>3020</v>
      </c>
      <c r="T200" t="s">
        <v>2760</v>
      </c>
    </row>
    <row r="201" spans="1:20" ht="15.75" customHeight="1" x14ac:dyDescent="0.3">
      <c r="A201" s="539" t="s">
        <v>1574</v>
      </c>
      <c r="B201" s="10">
        <v>3</v>
      </c>
      <c r="C201" s="10">
        <v>2</v>
      </c>
      <c r="D201" s="10">
        <v>2</v>
      </c>
      <c r="E201" s="38">
        <f t="shared" si="66"/>
        <v>7</v>
      </c>
      <c r="F201" s="10">
        <v>3</v>
      </c>
      <c r="G201" s="10">
        <v>3</v>
      </c>
      <c r="H201" s="10">
        <v>4</v>
      </c>
      <c r="I201" s="38">
        <f t="shared" si="67"/>
        <v>10</v>
      </c>
      <c r="J201" s="10">
        <v>4</v>
      </c>
      <c r="K201" s="10">
        <v>4</v>
      </c>
      <c r="L201" s="10">
        <v>5</v>
      </c>
      <c r="M201" s="38">
        <f t="shared" si="68"/>
        <v>13</v>
      </c>
      <c r="N201" s="10">
        <v>3</v>
      </c>
      <c r="O201" s="10">
        <v>3</v>
      </c>
      <c r="P201" s="10">
        <v>8</v>
      </c>
      <c r="Q201" s="38">
        <f t="shared" si="49"/>
        <v>14</v>
      </c>
      <c r="R201" s="38">
        <f>+E201+I201+M201+Q201</f>
        <v>44</v>
      </c>
      <c r="S201">
        <f>SUM(R147:R201)</f>
        <v>303266</v>
      </c>
    </row>
    <row r="202" spans="1:20" ht="15.75" customHeight="1" x14ac:dyDescent="0.3">
      <c r="A202" s="539" t="s">
        <v>3008</v>
      </c>
      <c r="B202" s="10"/>
      <c r="C202" s="10"/>
      <c r="D202" s="10"/>
      <c r="E202" s="38">
        <f t="shared" si="66"/>
        <v>0</v>
      </c>
      <c r="F202" s="10"/>
      <c r="G202" s="10"/>
      <c r="H202" s="10"/>
      <c r="I202" s="38">
        <f t="shared" si="67"/>
        <v>0</v>
      </c>
      <c r="J202" s="10"/>
      <c r="K202" s="10"/>
      <c r="L202" s="10"/>
      <c r="M202" s="38">
        <f t="shared" si="68"/>
        <v>0</v>
      </c>
      <c r="N202" s="10"/>
      <c r="O202" s="10"/>
      <c r="P202" s="10"/>
      <c r="Q202" s="38">
        <f t="shared" si="49"/>
        <v>0</v>
      </c>
      <c r="R202" s="38">
        <f>+E202+I202+M202+Q202</f>
        <v>0</v>
      </c>
      <c r="S202" s="709" t="s">
        <v>3020</v>
      </c>
      <c r="T202" t="s">
        <v>2760</v>
      </c>
    </row>
    <row r="203" spans="1:20" ht="15.75" customHeight="1" x14ac:dyDescent="0.3">
      <c r="A203" s="234" t="s">
        <v>2161</v>
      </c>
      <c r="B203" s="10"/>
      <c r="C203" s="10"/>
      <c r="D203" s="10"/>
      <c r="E203" s="38" t="s">
        <v>852</v>
      </c>
      <c r="F203" s="10"/>
      <c r="G203" s="10"/>
      <c r="H203" s="10"/>
      <c r="I203" s="38" t="s">
        <v>852</v>
      </c>
      <c r="J203" s="10"/>
      <c r="K203" s="10"/>
      <c r="L203" s="10"/>
      <c r="M203" s="38" t="s">
        <v>852</v>
      </c>
      <c r="N203" s="10"/>
      <c r="O203" s="10"/>
      <c r="P203" s="10"/>
      <c r="Q203" s="38" t="s">
        <v>852</v>
      </c>
      <c r="R203" s="38" t="s">
        <v>852</v>
      </c>
    </row>
    <row r="204" spans="1:20" ht="15.75" customHeight="1" x14ac:dyDescent="0.3">
      <c r="A204" s="539" t="s">
        <v>2515</v>
      </c>
      <c r="B204" s="10"/>
      <c r="C204" s="10"/>
      <c r="D204" s="10"/>
      <c r="E204" s="38">
        <f t="shared" ref="E204:E213" si="69">SUM(B204:D204)</f>
        <v>0</v>
      </c>
      <c r="F204" s="10"/>
      <c r="G204" s="10"/>
      <c r="H204" s="10"/>
      <c r="I204" s="38">
        <f t="shared" ref="I204:I213" si="70">SUM(F204:H204)</f>
        <v>0</v>
      </c>
      <c r="J204" s="10"/>
      <c r="K204" s="10"/>
      <c r="L204" s="10"/>
      <c r="M204" s="38">
        <f t="shared" ref="M204:M213" si="71">SUM(J204:L204)</f>
        <v>0</v>
      </c>
      <c r="N204" s="10"/>
      <c r="O204" s="10"/>
      <c r="P204" s="10"/>
      <c r="Q204" s="38">
        <f t="shared" ref="Q204:Q213" si="72">SUM(N204:P204)</f>
        <v>0</v>
      </c>
      <c r="R204" s="38">
        <f t="shared" ref="R204:R213" si="73">+E204+I204+M204+Q204</f>
        <v>0</v>
      </c>
    </row>
    <row r="205" spans="1:20" ht="15.75" customHeight="1" x14ac:dyDescent="0.3">
      <c r="A205" s="310" t="s">
        <v>2368</v>
      </c>
      <c r="B205" s="10"/>
      <c r="C205" s="10"/>
      <c r="D205" s="10"/>
      <c r="E205" s="38">
        <f>SUM(B205:D205)</f>
        <v>0</v>
      </c>
      <c r="F205" s="10"/>
      <c r="G205" s="10"/>
      <c r="H205" s="10"/>
      <c r="I205" s="38">
        <f>SUM(F205:H205)</f>
        <v>0</v>
      </c>
      <c r="J205" s="10"/>
      <c r="K205" s="10"/>
      <c r="L205" s="10"/>
      <c r="M205" s="38">
        <f>SUM(J205:L205)</f>
        <v>0</v>
      </c>
      <c r="N205" s="10"/>
      <c r="O205" s="10"/>
      <c r="P205" s="10"/>
      <c r="Q205" s="38">
        <f>SUM(N205:P205)</f>
        <v>0</v>
      </c>
      <c r="R205" s="38">
        <f>+E205+I205+M205+Q205</f>
        <v>0</v>
      </c>
      <c r="T205" t="s">
        <v>1193</v>
      </c>
    </row>
    <row r="206" spans="1:20" ht="15.75" customHeight="1" x14ac:dyDescent="0.3">
      <c r="A206" s="310" t="s">
        <v>1747</v>
      </c>
      <c r="B206" s="10"/>
      <c r="C206" s="10"/>
      <c r="D206" s="10"/>
      <c r="E206" s="38">
        <f t="shared" si="69"/>
        <v>0</v>
      </c>
      <c r="F206" s="10"/>
      <c r="G206" s="10"/>
      <c r="H206" s="10"/>
      <c r="I206" s="38">
        <f t="shared" si="70"/>
        <v>0</v>
      </c>
      <c r="J206" s="10"/>
      <c r="K206" s="10"/>
      <c r="L206" s="10"/>
      <c r="M206" s="38">
        <f t="shared" si="71"/>
        <v>0</v>
      </c>
      <c r="N206" s="10"/>
      <c r="O206" s="10"/>
      <c r="P206" s="10"/>
      <c r="Q206" s="38">
        <f t="shared" si="72"/>
        <v>0</v>
      </c>
      <c r="R206" s="38">
        <f t="shared" si="73"/>
        <v>0</v>
      </c>
    </row>
    <row r="207" spans="1:20" ht="15.75" customHeight="1" x14ac:dyDescent="0.3">
      <c r="A207" s="539" t="s">
        <v>2822</v>
      </c>
      <c r="B207" s="10"/>
      <c r="C207" s="10"/>
      <c r="D207" s="10"/>
      <c r="E207" s="38">
        <f t="shared" si="69"/>
        <v>0</v>
      </c>
      <c r="F207" s="10"/>
      <c r="G207" s="10"/>
      <c r="H207" s="10"/>
      <c r="I207" s="38">
        <f t="shared" si="70"/>
        <v>0</v>
      </c>
      <c r="J207" s="10"/>
      <c r="K207" s="10"/>
      <c r="L207" s="10"/>
      <c r="M207" s="38">
        <f t="shared" si="71"/>
        <v>0</v>
      </c>
      <c r="N207" s="10"/>
      <c r="O207" s="10"/>
      <c r="P207" s="10"/>
      <c r="Q207" s="38">
        <f t="shared" si="72"/>
        <v>0</v>
      </c>
      <c r="R207" s="38">
        <f t="shared" si="73"/>
        <v>0</v>
      </c>
      <c r="T207" t="s">
        <v>2760</v>
      </c>
    </row>
    <row r="208" spans="1:20" ht="15.75" customHeight="1" x14ac:dyDescent="0.3">
      <c r="A208" s="310" t="s">
        <v>1824</v>
      </c>
      <c r="B208" s="10"/>
      <c r="C208" s="10"/>
      <c r="D208" s="10"/>
      <c r="E208" s="38">
        <f t="shared" si="69"/>
        <v>0</v>
      </c>
      <c r="F208" s="10"/>
      <c r="G208" s="10"/>
      <c r="H208" s="10"/>
      <c r="I208" s="38">
        <f t="shared" si="70"/>
        <v>0</v>
      </c>
      <c r="J208" s="10"/>
      <c r="K208" s="10"/>
      <c r="L208" s="10"/>
      <c r="M208" s="38">
        <f t="shared" si="71"/>
        <v>0</v>
      </c>
      <c r="N208" s="10"/>
      <c r="O208" s="10"/>
      <c r="P208" s="10"/>
      <c r="Q208" s="38">
        <f t="shared" si="72"/>
        <v>0</v>
      </c>
      <c r="R208" s="38">
        <f t="shared" si="73"/>
        <v>0</v>
      </c>
    </row>
    <row r="209" spans="1:20" ht="15.75" customHeight="1" x14ac:dyDescent="0.3">
      <c r="A209" s="310" t="s">
        <v>1746</v>
      </c>
      <c r="B209" s="10"/>
      <c r="C209" s="10"/>
      <c r="D209" s="10"/>
      <c r="E209" s="38">
        <f t="shared" si="69"/>
        <v>0</v>
      </c>
      <c r="F209" s="10"/>
      <c r="G209" s="10"/>
      <c r="H209" s="10"/>
      <c r="I209" s="38">
        <f t="shared" si="70"/>
        <v>0</v>
      </c>
      <c r="J209" s="10"/>
      <c r="K209" s="10"/>
      <c r="L209" s="10"/>
      <c r="M209" s="38">
        <f t="shared" si="71"/>
        <v>0</v>
      </c>
      <c r="N209" s="10"/>
      <c r="O209" s="10"/>
      <c r="P209" s="10"/>
      <c r="Q209" s="38">
        <f t="shared" si="72"/>
        <v>0</v>
      </c>
      <c r="R209" s="38">
        <f t="shared" si="73"/>
        <v>0</v>
      </c>
    </row>
    <row r="210" spans="1:20" ht="15.75" customHeight="1" x14ac:dyDescent="0.3">
      <c r="A210" s="317" t="s">
        <v>1546</v>
      </c>
      <c r="B210" s="10"/>
      <c r="C210" s="10"/>
      <c r="D210" s="10"/>
      <c r="E210" s="38">
        <f t="shared" si="69"/>
        <v>0</v>
      </c>
      <c r="F210" s="10"/>
      <c r="G210" s="10"/>
      <c r="H210" s="10"/>
      <c r="I210" s="38">
        <f t="shared" si="70"/>
        <v>0</v>
      </c>
      <c r="J210" s="10"/>
      <c r="K210" s="10"/>
      <c r="L210" s="10"/>
      <c r="M210" s="38">
        <f t="shared" si="71"/>
        <v>0</v>
      </c>
      <c r="N210" s="10"/>
      <c r="O210" s="10"/>
      <c r="P210" s="10"/>
      <c r="Q210" s="38">
        <f t="shared" si="72"/>
        <v>0</v>
      </c>
      <c r="R210" s="38">
        <f t="shared" si="73"/>
        <v>0</v>
      </c>
      <c r="T210" t="s">
        <v>2764</v>
      </c>
    </row>
    <row r="211" spans="1:20" ht="15.75" customHeight="1" x14ac:dyDescent="0.3">
      <c r="A211" s="539" t="s">
        <v>2823</v>
      </c>
      <c r="B211" s="10"/>
      <c r="C211" s="10"/>
      <c r="D211" s="10"/>
      <c r="E211" s="38">
        <f t="shared" si="69"/>
        <v>0</v>
      </c>
      <c r="F211" s="10"/>
      <c r="G211" s="10"/>
      <c r="H211" s="10"/>
      <c r="I211" s="38">
        <f t="shared" si="70"/>
        <v>0</v>
      </c>
      <c r="J211" s="10"/>
      <c r="K211" s="10"/>
      <c r="L211" s="10"/>
      <c r="M211" s="38">
        <f t="shared" si="71"/>
        <v>0</v>
      </c>
      <c r="N211" s="10"/>
      <c r="O211" s="10"/>
      <c r="P211" s="10"/>
      <c r="Q211" s="38">
        <f t="shared" si="72"/>
        <v>0</v>
      </c>
      <c r="R211" s="38">
        <f t="shared" si="73"/>
        <v>0</v>
      </c>
      <c r="T211" t="s">
        <v>2760</v>
      </c>
    </row>
    <row r="212" spans="1:20" ht="15.75" customHeight="1" x14ac:dyDescent="0.3">
      <c r="A212" s="539" t="s">
        <v>2815</v>
      </c>
      <c r="B212" s="10"/>
      <c r="C212" s="10"/>
      <c r="D212" s="10"/>
      <c r="E212" s="38">
        <f t="shared" si="69"/>
        <v>0</v>
      </c>
      <c r="F212" s="10"/>
      <c r="G212" s="10"/>
      <c r="H212" s="10"/>
      <c r="I212" s="38">
        <f t="shared" si="70"/>
        <v>0</v>
      </c>
      <c r="J212" s="10"/>
      <c r="K212" s="10"/>
      <c r="L212" s="10"/>
      <c r="M212" s="38">
        <f t="shared" si="71"/>
        <v>0</v>
      </c>
      <c r="N212" s="10"/>
      <c r="O212" s="10"/>
      <c r="P212" s="10"/>
      <c r="Q212" s="38">
        <f t="shared" si="72"/>
        <v>0</v>
      </c>
      <c r="R212" s="38">
        <f t="shared" si="73"/>
        <v>0</v>
      </c>
      <c r="T212" t="s">
        <v>2631</v>
      </c>
    </row>
    <row r="213" spans="1:20" ht="15.75" customHeight="1" x14ac:dyDescent="0.3">
      <c r="A213" s="317" t="s">
        <v>5</v>
      </c>
      <c r="B213" s="10"/>
      <c r="C213" s="10"/>
      <c r="D213" s="10"/>
      <c r="E213" s="38">
        <f t="shared" si="69"/>
        <v>0</v>
      </c>
      <c r="F213" s="10"/>
      <c r="G213" s="10"/>
      <c r="H213" s="10"/>
      <c r="I213" s="38">
        <f t="shared" si="70"/>
        <v>0</v>
      </c>
      <c r="J213" s="10"/>
      <c r="K213" s="10"/>
      <c r="L213" s="10"/>
      <c r="M213" s="38">
        <f t="shared" si="71"/>
        <v>0</v>
      </c>
      <c r="N213" s="10"/>
      <c r="O213" s="10"/>
      <c r="P213" s="10"/>
      <c r="Q213" s="38">
        <f t="shared" si="72"/>
        <v>0</v>
      </c>
      <c r="R213" s="38">
        <f t="shared" si="73"/>
        <v>0</v>
      </c>
    </row>
    <row r="214" spans="1:20" ht="15.75" customHeight="1" x14ac:dyDescent="0.3">
      <c r="A214" s="234" t="s">
        <v>3245</v>
      </c>
      <c r="B214" s="10"/>
      <c r="C214" s="10"/>
      <c r="D214" s="10"/>
      <c r="E214" s="38" t="s">
        <v>852</v>
      </c>
      <c r="F214" s="10"/>
      <c r="G214" s="10"/>
      <c r="H214" s="10"/>
      <c r="I214" s="38" t="s">
        <v>852</v>
      </c>
      <c r="J214" s="10"/>
      <c r="K214" s="10"/>
      <c r="L214" s="10"/>
      <c r="M214" s="38" t="s">
        <v>852</v>
      </c>
      <c r="N214" s="10"/>
      <c r="O214" s="10"/>
      <c r="P214" s="10"/>
      <c r="Q214" s="38" t="s">
        <v>852</v>
      </c>
      <c r="R214" s="38" t="s">
        <v>852</v>
      </c>
    </row>
    <row r="215" spans="1:20" ht="15.75" customHeight="1" x14ac:dyDescent="0.3">
      <c r="A215" s="568" t="s">
        <v>3249</v>
      </c>
      <c r="B215" s="10"/>
      <c r="C215" s="10"/>
      <c r="D215" s="10"/>
      <c r="E215" s="38">
        <f>SUM(B215:D215)</f>
        <v>0</v>
      </c>
      <c r="F215" s="10"/>
      <c r="G215" s="10"/>
      <c r="H215" s="10"/>
      <c r="I215" s="38">
        <f>SUM(F215:H215)</f>
        <v>0</v>
      </c>
      <c r="J215" s="10"/>
      <c r="K215" s="10"/>
      <c r="L215" s="10"/>
      <c r="M215" s="38">
        <f>SUM(J215:L215)</f>
        <v>0</v>
      </c>
      <c r="N215" s="10"/>
      <c r="O215" s="10"/>
      <c r="P215" s="10"/>
      <c r="Q215" s="38">
        <f>SUM(N215:P215)</f>
        <v>0</v>
      </c>
      <c r="R215" s="38">
        <f>+E215+I215+M215+Q215</f>
        <v>0</v>
      </c>
      <c r="S215" s="735" t="s">
        <v>3214</v>
      </c>
      <c r="T215" t="s">
        <v>2769</v>
      </c>
    </row>
    <row r="216" spans="1:20" ht="15.75" customHeight="1" x14ac:dyDescent="0.3">
      <c r="A216" s="568" t="s">
        <v>3250</v>
      </c>
      <c r="B216" s="10"/>
      <c r="C216" s="10"/>
      <c r="D216" s="10"/>
      <c r="E216" s="38">
        <f>SUM(B216:D216)</f>
        <v>0</v>
      </c>
      <c r="F216" s="10"/>
      <c r="G216" s="10"/>
      <c r="H216" s="10"/>
      <c r="I216" s="38">
        <f>SUM(F216:H216)</f>
        <v>0</v>
      </c>
      <c r="J216" s="10"/>
      <c r="K216" s="10"/>
      <c r="L216" s="10"/>
      <c r="M216" s="38">
        <f>SUM(J216:L216)</f>
        <v>0</v>
      </c>
      <c r="N216" s="10"/>
      <c r="O216" s="10"/>
      <c r="P216" s="10"/>
      <c r="Q216" s="38">
        <f>SUM(N216:P216)</f>
        <v>0</v>
      </c>
      <c r="R216" s="38">
        <f>+E216+I216+M216+Q216</f>
        <v>0</v>
      </c>
      <c r="S216" s="735" t="s">
        <v>3214</v>
      </c>
      <c r="T216" t="s">
        <v>2770</v>
      </c>
    </row>
    <row r="217" spans="1:20" ht="15.75" customHeight="1" x14ac:dyDescent="0.3">
      <c r="A217" s="422" t="s">
        <v>3251</v>
      </c>
      <c r="B217" s="10"/>
      <c r="C217" s="10"/>
      <c r="D217" s="10"/>
      <c r="E217" s="38">
        <f>SUM(B217:D217)</f>
        <v>0</v>
      </c>
      <c r="F217" s="10"/>
      <c r="G217" s="10"/>
      <c r="H217" s="10">
        <v>184</v>
      </c>
      <c r="I217" s="38">
        <f>SUM(F217:H217)</f>
        <v>184</v>
      </c>
      <c r="J217" s="10">
        <v>181</v>
      </c>
      <c r="K217" s="10">
        <v>192</v>
      </c>
      <c r="L217" s="10">
        <v>143</v>
      </c>
      <c r="M217" s="38">
        <f>SUM(J217:L217)</f>
        <v>516</v>
      </c>
      <c r="N217" s="10">
        <v>120</v>
      </c>
      <c r="O217" s="10">
        <v>30</v>
      </c>
      <c r="P217" s="10"/>
      <c r="Q217" s="38">
        <f>SUM(N217:P217)</f>
        <v>150</v>
      </c>
      <c r="R217" s="38">
        <f>+E217+I217+M217+Q217</f>
        <v>850</v>
      </c>
      <c r="S217" s="735" t="s">
        <v>3214</v>
      </c>
      <c r="T217" t="s">
        <v>2793</v>
      </c>
    </row>
    <row r="218" spans="1:20" ht="15.75" customHeight="1" thickBot="1" x14ac:dyDescent="0.35">
      <c r="A218" s="234" t="s">
        <v>2164</v>
      </c>
      <c r="B218" s="10"/>
      <c r="C218" s="10"/>
      <c r="D218" s="10"/>
      <c r="E218" s="38" t="s">
        <v>852</v>
      </c>
      <c r="F218" s="10"/>
      <c r="G218" s="10"/>
      <c r="H218" s="10"/>
      <c r="I218" s="38" t="s">
        <v>852</v>
      </c>
      <c r="J218" s="10"/>
      <c r="K218" s="10"/>
      <c r="L218" s="10"/>
      <c r="M218" s="38" t="s">
        <v>852</v>
      </c>
      <c r="N218" s="10"/>
      <c r="O218" s="10"/>
      <c r="P218" s="10"/>
      <c r="Q218" s="38" t="s">
        <v>852</v>
      </c>
      <c r="R218" s="38" t="s">
        <v>852</v>
      </c>
    </row>
    <row r="219" spans="1:20" ht="16.5" customHeight="1" thickBot="1" x14ac:dyDescent="0.35">
      <c r="A219" s="43" t="s">
        <v>1218</v>
      </c>
      <c r="B219" s="45">
        <f>SUM(B145:B218)</f>
        <v>17957</v>
      </c>
      <c r="C219" s="46">
        <f>SUM(C145:C218)</f>
        <v>13836</v>
      </c>
      <c r="D219" s="46">
        <f>SUM(D145:D218)</f>
        <v>12261</v>
      </c>
      <c r="E219" s="37">
        <f>SUM(B219:D219)</f>
        <v>44054</v>
      </c>
      <c r="F219" s="46">
        <f>SUM(F145:F218)</f>
        <v>23216</v>
      </c>
      <c r="G219" s="46">
        <f t="shared" ref="G219:H219" si="74">SUM(G145:G218)</f>
        <v>30596</v>
      </c>
      <c r="H219" s="46">
        <f t="shared" si="74"/>
        <v>35690</v>
      </c>
      <c r="I219" s="37">
        <f>SUM(F219:H219)</f>
        <v>89502</v>
      </c>
      <c r="J219" s="46">
        <f>SUM(J145:J218)</f>
        <v>36791</v>
      </c>
      <c r="K219" s="46">
        <f>SUM(K145:K218)</f>
        <v>37411</v>
      </c>
      <c r="L219" s="46">
        <f>SUM(L145:L218)</f>
        <v>30838</v>
      </c>
      <c r="M219" s="37">
        <f>SUM(J219:L219)</f>
        <v>105040</v>
      </c>
      <c r="N219" s="46">
        <f>SUM(N145:N218)</f>
        <v>24899</v>
      </c>
      <c r="O219" s="46">
        <f>SUM(O145:O218)</f>
        <v>22893</v>
      </c>
      <c r="P219" s="46">
        <f>SUM(P145:P218)</f>
        <v>17728</v>
      </c>
      <c r="Q219" s="37">
        <f>SUM(N219:P219)</f>
        <v>65520</v>
      </c>
      <c r="R219" s="37">
        <f>+E219+I219+M219+Q219</f>
        <v>304116</v>
      </c>
    </row>
    <row r="220" spans="1:20" ht="15.75" customHeight="1" x14ac:dyDescent="0.3">
      <c r="A220" s="234" t="s">
        <v>1172</v>
      </c>
      <c r="B220" s="10"/>
      <c r="C220" s="10"/>
      <c r="D220" s="10"/>
      <c r="E220" s="38" t="s">
        <v>852</v>
      </c>
      <c r="F220" s="10"/>
      <c r="G220" s="10"/>
      <c r="H220" s="10"/>
      <c r="I220" s="38" t="s">
        <v>852</v>
      </c>
      <c r="J220" s="10"/>
      <c r="K220" s="10"/>
      <c r="L220" s="10"/>
      <c r="M220" s="38" t="s">
        <v>852</v>
      </c>
      <c r="N220" s="10"/>
      <c r="O220" s="10"/>
      <c r="P220" s="10"/>
      <c r="Q220" s="38" t="s">
        <v>852</v>
      </c>
      <c r="R220" s="38" t="s">
        <v>852</v>
      </c>
    </row>
    <row r="221" spans="1:20" ht="15.75" customHeight="1" x14ac:dyDescent="0.3">
      <c r="A221" s="234" t="s">
        <v>1658</v>
      </c>
      <c r="B221" s="10"/>
      <c r="C221" s="10"/>
      <c r="D221" s="10"/>
      <c r="E221" s="38" t="s">
        <v>852</v>
      </c>
      <c r="F221" s="10"/>
      <c r="G221" s="10"/>
      <c r="H221" s="10"/>
      <c r="I221" s="38" t="s">
        <v>852</v>
      </c>
      <c r="J221" s="10"/>
      <c r="K221" s="10"/>
      <c r="L221" s="10"/>
      <c r="M221" s="38" t="s">
        <v>852</v>
      </c>
      <c r="N221" s="10"/>
      <c r="O221" s="10"/>
      <c r="P221" s="10"/>
      <c r="Q221" s="38" t="s">
        <v>852</v>
      </c>
      <c r="R221" s="38" t="s">
        <v>852</v>
      </c>
    </row>
    <row r="222" spans="1:20" ht="15.75" customHeight="1" x14ac:dyDescent="0.3">
      <c r="A222" s="234" t="s">
        <v>2409</v>
      </c>
      <c r="B222" s="10"/>
      <c r="C222" s="10"/>
      <c r="D222" s="10"/>
      <c r="E222" s="38" t="s">
        <v>852</v>
      </c>
      <c r="F222" s="10"/>
      <c r="G222" s="10"/>
      <c r="H222" s="10"/>
      <c r="I222" s="38" t="s">
        <v>852</v>
      </c>
      <c r="J222" s="10"/>
      <c r="K222" s="10"/>
      <c r="L222" s="10"/>
      <c r="M222" s="38" t="s">
        <v>852</v>
      </c>
      <c r="N222" s="10"/>
      <c r="O222" s="10"/>
      <c r="P222" s="10"/>
      <c r="Q222" s="38" t="s">
        <v>852</v>
      </c>
      <c r="R222" s="38" t="s">
        <v>852</v>
      </c>
    </row>
    <row r="223" spans="1:20" ht="15.75" customHeight="1" x14ac:dyDescent="0.3">
      <c r="A223" s="568" t="s">
        <v>1645</v>
      </c>
      <c r="B223" s="10"/>
      <c r="C223" s="10"/>
      <c r="D223" s="10"/>
      <c r="E223" s="38">
        <f>SUM(B223:D223)</f>
        <v>0</v>
      </c>
      <c r="F223" s="10"/>
      <c r="G223" s="10"/>
      <c r="H223" s="10"/>
      <c r="I223" s="38">
        <f>SUM(F223:H223)</f>
        <v>0</v>
      </c>
      <c r="J223" s="10"/>
      <c r="K223" s="10"/>
      <c r="L223" s="10"/>
      <c r="M223" s="38">
        <f>SUM(J223:L223)</f>
        <v>0</v>
      </c>
      <c r="N223" s="10"/>
      <c r="O223" s="10"/>
      <c r="P223" s="10"/>
      <c r="Q223" s="38">
        <f>SUM(N223:P223)</f>
        <v>0</v>
      </c>
      <c r="R223" s="38">
        <f>+E223+I223+M223+Q223</f>
        <v>0</v>
      </c>
      <c r="T223" t="s">
        <v>2764</v>
      </c>
    </row>
    <row r="224" spans="1:20" ht="15.75" customHeight="1" x14ac:dyDescent="0.3">
      <c r="A224" s="410" t="s">
        <v>2824</v>
      </c>
      <c r="B224" s="10"/>
      <c r="C224" s="10"/>
      <c r="D224" s="10"/>
      <c r="E224" s="38">
        <f>SUM(B224:D224)</f>
        <v>0</v>
      </c>
      <c r="F224" s="10"/>
      <c r="G224" s="10"/>
      <c r="H224" s="10"/>
      <c r="I224" s="38">
        <f>SUM(F224:H224)</f>
        <v>0</v>
      </c>
      <c r="J224" s="10"/>
      <c r="K224" s="10"/>
      <c r="L224" s="10"/>
      <c r="M224" s="38">
        <f>SUM(J224:L224)</f>
        <v>0</v>
      </c>
      <c r="N224" s="10"/>
      <c r="O224" s="10"/>
      <c r="P224" s="10"/>
      <c r="Q224" s="38">
        <f>SUM(N224:P224)</f>
        <v>0</v>
      </c>
      <c r="R224" s="38">
        <f>+E224+I224+M224+Q224</f>
        <v>0</v>
      </c>
      <c r="S224" t="s">
        <v>3020</v>
      </c>
      <c r="T224" t="s">
        <v>2760</v>
      </c>
    </row>
    <row r="225" spans="1:20" ht="15.75" customHeight="1" thickBot="1" x14ac:dyDescent="0.35">
      <c r="A225" s="234" t="s">
        <v>2165</v>
      </c>
      <c r="B225" s="10"/>
      <c r="C225" s="10"/>
      <c r="D225" s="10"/>
      <c r="E225" s="38" t="s">
        <v>852</v>
      </c>
      <c r="F225" s="10"/>
      <c r="G225" s="10"/>
      <c r="H225" s="10"/>
      <c r="I225" s="38" t="s">
        <v>852</v>
      </c>
      <c r="J225" s="10"/>
      <c r="K225" s="10"/>
      <c r="L225" s="10"/>
      <c r="M225" s="38" t="s">
        <v>852</v>
      </c>
      <c r="N225" s="10"/>
      <c r="O225" s="10"/>
      <c r="P225" s="10"/>
      <c r="Q225" s="38" t="s">
        <v>852</v>
      </c>
      <c r="R225" s="38" t="s">
        <v>852</v>
      </c>
    </row>
    <row r="226" spans="1:20" ht="16.5" customHeight="1" thickBot="1" x14ac:dyDescent="0.35">
      <c r="A226" s="43" t="s">
        <v>1219</v>
      </c>
      <c r="B226" s="45">
        <f>SUM(B220:B225)</f>
        <v>0</v>
      </c>
      <c r="C226" s="46">
        <f>SUM(C220:C225)</f>
        <v>0</v>
      </c>
      <c r="D226" s="46">
        <f>SUM(D220:D225)</f>
        <v>0</v>
      </c>
      <c r="E226" s="37">
        <f>SUM(B226:D226)</f>
        <v>0</v>
      </c>
      <c r="F226" s="46"/>
      <c r="G226" s="46"/>
      <c r="H226" s="46"/>
      <c r="I226" s="37">
        <f>SUM(F226:H226)</f>
        <v>0</v>
      </c>
      <c r="J226" s="46">
        <f>SUM(J220:J225)</f>
        <v>0</v>
      </c>
      <c r="K226" s="46">
        <f>SUM(K220:K225)</f>
        <v>0</v>
      </c>
      <c r="L226" s="46">
        <f>SUM(L220:L225)</f>
        <v>0</v>
      </c>
      <c r="M226" s="37">
        <f>SUM(J226:L226)</f>
        <v>0</v>
      </c>
      <c r="N226" s="46">
        <f>SUM(N220:N225)</f>
        <v>0</v>
      </c>
      <c r="O226" s="46">
        <f>SUM(O220:O225)</f>
        <v>0</v>
      </c>
      <c r="P226" s="46">
        <f>SUM(P220:P225)</f>
        <v>0</v>
      </c>
      <c r="Q226" s="37">
        <f>SUM(N226:P226)</f>
        <v>0</v>
      </c>
      <c r="R226" s="37">
        <f>+E226+I226+M226+Q226</f>
        <v>0</v>
      </c>
    </row>
    <row r="227" spans="1:20" ht="15.75" customHeight="1" x14ac:dyDescent="0.3">
      <c r="A227" s="234" t="s">
        <v>2166</v>
      </c>
      <c r="B227" s="10"/>
      <c r="C227" s="10"/>
      <c r="D227" s="10"/>
      <c r="E227" s="38" t="s">
        <v>852</v>
      </c>
      <c r="F227" s="10"/>
      <c r="G227" s="10"/>
      <c r="H227" s="10"/>
      <c r="I227" s="38" t="s">
        <v>852</v>
      </c>
      <c r="J227" s="10"/>
      <c r="K227" s="10"/>
      <c r="L227" s="10"/>
      <c r="M227" s="38" t="s">
        <v>852</v>
      </c>
      <c r="N227" s="10"/>
      <c r="O227" s="10"/>
      <c r="P227" s="10"/>
      <c r="Q227" s="38" t="s">
        <v>852</v>
      </c>
      <c r="R227" s="38" t="s">
        <v>852</v>
      </c>
    </row>
    <row r="228" spans="1:20" ht="15.75" customHeight="1" x14ac:dyDescent="0.3">
      <c r="A228" s="234" t="s">
        <v>1245</v>
      </c>
      <c r="B228" s="10"/>
      <c r="C228" s="10"/>
      <c r="D228" s="10"/>
      <c r="E228" s="38" t="s">
        <v>852</v>
      </c>
      <c r="F228" s="10"/>
      <c r="G228" s="10"/>
      <c r="H228" s="10"/>
      <c r="I228" s="38" t="s">
        <v>852</v>
      </c>
      <c r="J228" s="10"/>
      <c r="K228" s="10"/>
      <c r="L228" s="10"/>
      <c r="M228" s="38" t="s">
        <v>852</v>
      </c>
      <c r="N228" s="10"/>
      <c r="O228" s="10"/>
      <c r="P228" s="10"/>
      <c r="Q228" s="38" t="s">
        <v>852</v>
      </c>
      <c r="R228" s="38" t="s">
        <v>852</v>
      </c>
    </row>
    <row r="229" spans="1:20" ht="15.75" customHeight="1" x14ac:dyDescent="0.3">
      <c r="A229" s="234" t="s">
        <v>1711</v>
      </c>
      <c r="B229" s="10"/>
      <c r="C229" s="10"/>
      <c r="D229" s="10"/>
      <c r="E229" s="38" t="s">
        <v>852</v>
      </c>
      <c r="F229" s="10"/>
      <c r="G229" s="10"/>
      <c r="H229" s="10"/>
      <c r="I229" s="38" t="s">
        <v>852</v>
      </c>
      <c r="J229" s="10"/>
      <c r="K229" s="10"/>
      <c r="L229" s="10"/>
      <c r="M229" s="38" t="s">
        <v>852</v>
      </c>
      <c r="N229" s="10"/>
      <c r="O229" s="10"/>
      <c r="P229" s="10"/>
      <c r="Q229" s="38" t="s">
        <v>852</v>
      </c>
      <c r="R229" s="38" t="s">
        <v>852</v>
      </c>
    </row>
    <row r="230" spans="1:20" ht="15.75" customHeight="1" x14ac:dyDescent="0.3">
      <c r="A230" s="540" t="s">
        <v>1364</v>
      </c>
      <c r="B230" s="10">
        <v>274</v>
      </c>
      <c r="C230" s="10">
        <v>262</v>
      </c>
      <c r="D230" s="10">
        <v>288</v>
      </c>
      <c r="E230" s="38">
        <f t="shared" ref="E230:E237" si="75">SUM(B230:D230)</f>
        <v>824</v>
      </c>
      <c r="F230" s="10">
        <v>349</v>
      </c>
      <c r="G230" s="10">
        <v>497</v>
      </c>
      <c r="H230" s="10">
        <v>575</v>
      </c>
      <c r="I230" s="38">
        <f t="shared" ref="I230:I237" si="76">SUM(F230:H230)</f>
        <v>1421</v>
      </c>
      <c r="J230" s="10">
        <v>583</v>
      </c>
      <c r="K230" s="10">
        <v>603</v>
      </c>
      <c r="L230" s="10">
        <v>493</v>
      </c>
      <c r="M230" s="38">
        <f t="shared" ref="M230:M237" si="77">SUM(J230:L230)</f>
        <v>1679</v>
      </c>
      <c r="N230" s="10">
        <v>519</v>
      </c>
      <c r="O230" s="10">
        <v>394</v>
      </c>
      <c r="P230" s="10">
        <v>735</v>
      </c>
      <c r="Q230" s="38">
        <f t="shared" ref="Q230:Q236" si="78">SUM(N230:P230)</f>
        <v>1648</v>
      </c>
      <c r="R230" s="38">
        <f t="shared" ref="R230:R298" si="79">+E230+I230+M230+Q230</f>
        <v>5572</v>
      </c>
      <c r="T230" t="s">
        <v>2800</v>
      </c>
    </row>
    <row r="231" spans="1:20" ht="15.75" customHeight="1" x14ac:dyDescent="0.3">
      <c r="A231" s="540" t="s">
        <v>1388</v>
      </c>
      <c r="B231" s="10"/>
      <c r="C231" s="10"/>
      <c r="D231" s="10">
        <v>357</v>
      </c>
      <c r="E231" s="38">
        <f t="shared" si="75"/>
        <v>357</v>
      </c>
      <c r="F231" s="10"/>
      <c r="G231" s="10"/>
      <c r="H231" s="10"/>
      <c r="I231" s="38">
        <f t="shared" si="76"/>
        <v>0</v>
      </c>
      <c r="J231" s="10"/>
      <c r="K231" s="10"/>
      <c r="L231" s="10"/>
      <c r="M231" s="38">
        <f t="shared" si="77"/>
        <v>0</v>
      </c>
      <c r="N231" s="10"/>
      <c r="O231" s="10"/>
      <c r="P231" s="10"/>
      <c r="Q231" s="38">
        <f t="shared" si="78"/>
        <v>0</v>
      </c>
      <c r="R231" s="38">
        <f t="shared" si="79"/>
        <v>357</v>
      </c>
      <c r="T231" t="s">
        <v>2764</v>
      </c>
    </row>
    <row r="232" spans="1:20" ht="15.75" customHeight="1" x14ac:dyDescent="0.3">
      <c r="A232" s="410" t="s">
        <v>3133</v>
      </c>
      <c r="B232" s="10"/>
      <c r="C232" s="10"/>
      <c r="D232" s="10"/>
      <c r="E232" s="38">
        <f t="shared" si="75"/>
        <v>0</v>
      </c>
      <c r="F232" s="10"/>
      <c r="G232" s="10"/>
      <c r="H232" s="10"/>
      <c r="I232" s="38">
        <f t="shared" si="76"/>
        <v>0</v>
      </c>
      <c r="J232" s="10"/>
      <c r="K232" s="10"/>
      <c r="L232" s="10"/>
      <c r="M232" s="38">
        <f t="shared" si="77"/>
        <v>0</v>
      </c>
      <c r="N232" s="10"/>
      <c r="O232" s="10"/>
      <c r="P232" s="10"/>
      <c r="Q232" s="38">
        <f t="shared" si="78"/>
        <v>0</v>
      </c>
      <c r="R232" s="38">
        <f t="shared" si="79"/>
        <v>0</v>
      </c>
    </row>
    <row r="233" spans="1:20" ht="15.75" customHeight="1" x14ac:dyDescent="0.3">
      <c r="A233" s="540" t="s">
        <v>3328</v>
      </c>
      <c r="B233" s="10">
        <v>2</v>
      </c>
      <c r="C233" s="10">
        <v>1</v>
      </c>
      <c r="D233" s="10"/>
      <c r="E233" s="38">
        <f t="shared" si="75"/>
        <v>3</v>
      </c>
      <c r="F233" s="10">
        <v>15</v>
      </c>
      <c r="G233" s="10">
        <v>46</v>
      </c>
      <c r="H233" s="10">
        <v>58</v>
      </c>
      <c r="I233" s="38">
        <f t="shared" si="76"/>
        <v>119</v>
      </c>
      <c r="J233" s="10">
        <v>66</v>
      </c>
      <c r="K233" s="10">
        <f>59+57</f>
        <v>116</v>
      </c>
      <c r="L233" s="10">
        <f>50+40</f>
        <v>90</v>
      </c>
      <c r="M233" s="38">
        <f t="shared" si="77"/>
        <v>272</v>
      </c>
      <c r="N233" s="10">
        <v>76</v>
      </c>
      <c r="O233" s="10">
        <v>33</v>
      </c>
      <c r="P233" s="10">
        <v>84</v>
      </c>
      <c r="Q233" s="38">
        <f t="shared" si="78"/>
        <v>193</v>
      </c>
      <c r="R233" s="38">
        <f t="shared" si="79"/>
        <v>587</v>
      </c>
      <c r="T233" t="s">
        <v>1193</v>
      </c>
    </row>
    <row r="234" spans="1:20" ht="15.75" customHeight="1" x14ac:dyDescent="0.3">
      <c r="A234" s="540" t="s">
        <v>3072</v>
      </c>
      <c r="B234" s="10"/>
      <c r="C234" s="10"/>
      <c r="D234" s="10"/>
      <c r="E234" s="38">
        <f t="shared" si="75"/>
        <v>0</v>
      </c>
      <c r="F234" s="10"/>
      <c r="G234" s="10"/>
      <c r="H234" s="10"/>
      <c r="I234" s="38">
        <f t="shared" si="76"/>
        <v>0</v>
      </c>
      <c r="J234" s="10"/>
      <c r="K234" s="10"/>
      <c r="L234" s="10"/>
      <c r="M234" s="38">
        <f t="shared" si="77"/>
        <v>0</v>
      </c>
      <c r="N234" s="10"/>
      <c r="O234" s="10"/>
      <c r="P234" s="10"/>
      <c r="Q234" s="38">
        <f t="shared" si="78"/>
        <v>0</v>
      </c>
      <c r="R234" s="38">
        <f>+E234+I234+M234+Q234</f>
        <v>0</v>
      </c>
      <c r="T234" t="s">
        <v>2770</v>
      </c>
    </row>
    <row r="235" spans="1:20" ht="15.75" customHeight="1" x14ac:dyDescent="0.3">
      <c r="A235" s="540" t="s">
        <v>3189</v>
      </c>
      <c r="B235" s="10"/>
      <c r="C235" s="10"/>
      <c r="D235" s="10"/>
      <c r="E235" s="38">
        <f t="shared" si="75"/>
        <v>0</v>
      </c>
      <c r="F235" s="10"/>
      <c r="G235" s="10"/>
      <c r="H235" s="10"/>
      <c r="I235" s="38">
        <f t="shared" si="76"/>
        <v>0</v>
      </c>
      <c r="J235" s="10"/>
      <c r="K235" s="10"/>
      <c r="L235" s="10"/>
      <c r="M235" s="38">
        <f t="shared" si="77"/>
        <v>0</v>
      </c>
      <c r="N235" s="10"/>
      <c r="O235" s="10"/>
      <c r="P235" s="10"/>
      <c r="Q235" s="38">
        <f t="shared" si="78"/>
        <v>0</v>
      </c>
      <c r="R235" s="38">
        <f>+E235+I235+M235+Q235</f>
        <v>0</v>
      </c>
      <c r="T235" t="s">
        <v>2770</v>
      </c>
    </row>
    <row r="236" spans="1:20" ht="15.75" customHeight="1" x14ac:dyDescent="0.3">
      <c r="A236" s="410" t="s">
        <v>3063</v>
      </c>
      <c r="B236" s="10"/>
      <c r="C236" s="10"/>
      <c r="D236" s="10"/>
      <c r="E236" s="38">
        <f t="shared" si="75"/>
        <v>0</v>
      </c>
      <c r="F236" s="10"/>
      <c r="G236" s="10"/>
      <c r="H236" s="10"/>
      <c r="I236" s="38">
        <f t="shared" si="76"/>
        <v>0</v>
      </c>
      <c r="J236" s="10"/>
      <c r="K236" s="10"/>
      <c r="L236" s="10"/>
      <c r="M236" s="38">
        <f t="shared" si="77"/>
        <v>0</v>
      </c>
      <c r="N236" s="10"/>
      <c r="O236" s="10"/>
      <c r="P236" s="10"/>
      <c r="Q236" s="38">
        <f t="shared" si="78"/>
        <v>0</v>
      </c>
      <c r="R236" s="38">
        <f>+E236+I236+M236+Q236</f>
        <v>0</v>
      </c>
      <c r="S236" s="709"/>
      <c r="T236" t="s">
        <v>2760</v>
      </c>
    </row>
    <row r="237" spans="1:20" ht="15.75" customHeight="1" x14ac:dyDescent="0.3">
      <c r="A237" s="410" t="s">
        <v>3325</v>
      </c>
      <c r="B237" s="10"/>
      <c r="C237" s="10"/>
      <c r="D237" s="10"/>
      <c r="E237" s="38">
        <f t="shared" si="75"/>
        <v>0</v>
      </c>
      <c r="F237" s="10">
        <v>56</v>
      </c>
      <c r="G237" s="10"/>
      <c r="H237" s="10"/>
      <c r="I237" s="38">
        <f t="shared" si="76"/>
        <v>56</v>
      </c>
      <c r="J237" s="10"/>
      <c r="K237" s="10"/>
      <c r="L237" s="10"/>
      <c r="M237" s="38">
        <f t="shared" si="77"/>
        <v>0</v>
      </c>
      <c r="N237" s="10"/>
      <c r="O237" s="10"/>
      <c r="P237" s="10"/>
      <c r="Q237" s="38">
        <f t="shared" ref="Q237" si="80">SUM(N237:P237)</f>
        <v>0</v>
      </c>
      <c r="R237" s="38">
        <f>+E237+I237+M237+Q237</f>
        <v>56</v>
      </c>
      <c r="S237" s="709"/>
    </row>
    <row r="238" spans="1:20" ht="15.75" customHeight="1" x14ac:dyDescent="0.3">
      <c r="A238" s="410" t="s">
        <v>2965</v>
      </c>
      <c r="B238" s="10">
        <v>800</v>
      </c>
      <c r="C238" s="10"/>
      <c r="D238" s="10"/>
      <c r="E238" s="38">
        <f>SUM(B238:D238)</f>
        <v>800</v>
      </c>
      <c r="F238" s="10"/>
      <c r="G238" s="10"/>
      <c r="H238" s="10"/>
      <c r="I238" s="38">
        <f t="shared" ref="I238:I296" si="81">SUM(F238:H238)</f>
        <v>0</v>
      </c>
      <c r="J238" s="10"/>
      <c r="K238" s="10"/>
      <c r="L238" s="10"/>
      <c r="M238" s="38">
        <f t="shared" ref="M238:M296" si="82">SUM(J238:L238)</f>
        <v>0</v>
      </c>
      <c r="N238" s="10"/>
      <c r="O238" s="10"/>
      <c r="P238" s="10"/>
      <c r="Q238" s="38">
        <f t="shared" ref="Q238:Q296" si="83">SUM(N238:P238)</f>
        <v>0</v>
      </c>
      <c r="R238" s="38">
        <f t="shared" si="79"/>
        <v>800</v>
      </c>
      <c r="S238" t="s">
        <v>3020</v>
      </c>
    </row>
    <row r="239" spans="1:20" ht="15.75" customHeight="1" x14ac:dyDescent="0.3">
      <c r="A239" s="689" t="s">
        <v>2940</v>
      </c>
      <c r="B239" s="10"/>
      <c r="C239" s="10"/>
      <c r="D239" s="10"/>
      <c r="E239" s="38">
        <f t="shared" ref="E239" si="84">SUM(B239:D239)</f>
        <v>0</v>
      </c>
      <c r="F239" s="10"/>
      <c r="G239" s="10"/>
      <c r="H239" s="10"/>
      <c r="I239" s="38">
        <f t="shared" si="81"/>
        <v>0</v>
      </c>
      <c r="J239" s="10"/>
      <c r="K239" s="10"/>
      <c r="L239" s="10"/>
      <c r="M239" s="38">
        <f t="shared" si="82"/>
        <v>0</v>
      </c>
      <c r="N239" s="10"/>
      <c r="O239" s="10"/>
      <c r="P239" s="10"/>
      <c r="Q239" s="38">
        <f t="shared" si="83"/>
        <v>0</v>
      </c>
      <c r="R239" s="38">
        <f>+E239+I239+M239+Q239</f>
        <v>0</v>
      </c>
      <c r="T239" t="s">
        <v>2780</v>
      </c>
    </row>
    <row r="240" spans="1:20" ht="15.75" customHeight="1" x14ac:dyDescent="0.3">
      <c r="A240" s="410" t="s">
        <v>568</v>
      </c>
      <c r="B240" s="10">
        <v>682</v>
      </c>
      <c r="C240" s="10"/>
      <c r="D240" s="10"/>
      <c r="E240" s="38">
        <f>SUM(B240:D240)</f>
        <v>682</v>
      </c>
      <c r="F240" s="10"/>
      <c r="G240" s="10"/>
      <c r="H240" s="10"/>
      <c r="I240" s="38">
        <f>SUM(F240:H240)</f>
        <v>0</v>
      </c>
      <c r="J240" s="10"/>
      <c r="K240" s="10"/>
      <c r="L240" s="10"/>
      <c r="M240" s="38">
        <f>SUM(J240:L240)</f>
        <v>0</v>
      </c>
      <c r="N240" s="10"/>
      <c r="O240" s="10"/>
      <c r="P240" s="10"/>
      <c r="Q240" s="38">
        <f>SUM(N240:P240)</f>
        <v>0</v>
      </c>
      <c r="R240" s="38">
        <f t="shared" si="79"/>
        <v>682</v>
      </c>
      <c r="T240" t="s">
        <v>2775</v>
      </c>
    </row>
    <row r="241" spans="1:20" ht="15.75" customHeight="1" x14ac:dyDescent="0.3">
      <c r="A241" s="540" t="s">
        <v>3317</v>
      </c>
      <c r="B241" s="10"/>
      <c r="C241" s="10"/>
      <c r="D241" s="10"/>
      <c r="E241" s="38">
        <f>SUM(B241:D241)</f>
        <v>0</v>
      </c>
      <c r="F241" s="10"/>
      <c r="G241" s="10"/>
      <c r="H241" s="10"/>
      <c r="I241" s="38">
        <f>SUM(F241:H241)</f>
        <v>0</v>
      </c>
      <c r="J241" s="10"/>
      <c r="K241" s="10"/>
      <c r="L241" s="10"/>
      <c r="M241" s="38">
        <f>SUM(J241:L241)</f>
        <v>0</v>
      </c>
      <c r="N241" s="10"/>
      <c r="O241" s="10"/>
      <c r="P241" s="10"/>
      <c r="Q241" s="38">
        <f>SUM(N241:P241)</f>
        <v>0</v>
      </c>
      <c r="R241" s="38">
        <f t="shared" si="79"/>
        <v>0</v>
      </c>
    </row>
    <row r="242" spans="1:20" ht="15.75" customHeight="1" x14ac:dyDescent="0.3">
      <c r="A242" s="410" t="s">
        <v>1973</v>
      </c>
      <c r="B242" s="10"/>
      <c r="C242" s="10"/>
      <c r="D242" s="10"/>
      <c r="E242" s="38">
        <f t="shared" ref="E242:E284" si="85">SUM(B242:D242)</f>
        <v>0</v>
      </c>
      <c r="F242" s="10"/>
      <c r="G242" s="10"/>
      <c r="H242" s="10"/>
      <c r="I242" s="38">
        <f t="shared" si="81"/>
        <v>0</v>
      </c>
      <c r="J242" s="10"/>
      <c r="K242" s="10"/>
      <c r="L242" s="10"/>
      <c r="M242" s="38">
        <f t="shared" si="82"/>
        <v>0</v>
      </c>
      <c r="N242" s="10"/>
      <c r="O242" s="10"/>
      <c r="P242" s="10"/>
      <c r="Q242" s="38">
        <f t="shared" si="83"/>
        <v>0</v>
      </c>
      <c r="R242" s="38">
        <f t="shared" si="79"/>
        <v>0</v>
      </c>
    </row>
    <row r="243" spans="1:20" ht="15.75" customHeight="1" x14ac:dyDescent="0.3">
      <c r="A243" s="410" t="s">
        <v>1974</v>
      </c>
      <c r="B243" s="10">
        <v>23</v>
      </c>
      <c r="C243" s="10"/>
      <c r="D243" s="10"/>
      <c r="E243" s="38">
        <f t="shared" si="85"/>
        <v>23</v>
      </c>
      <c r="F243" s="10"/>
      <c r="G243" s="10"/>
      <c r="H243" s="10"/>
      <c r="I243" s="38">
        <f t="shared" si="81"/>
        <v>0</v>
      </c>
      <c r="J243" s="10"/>
      <c r="K243" s="10"/>
      <c r="L243" s="10"/>
      <c r="M243" s="38">
        <f t="shared" si="82"/>
        <v>0</v>
      </c>
      <c r="N243" s="10"/>
      <c r="O243" s="10"/>
      <c r="P243" s="10"/>
      <c r="Q243" s="38">
        <f t="shared" si="83"/>
        <v>0</v>
      </c>
      <c r="R243" s="38">
        <f t="shared" si="79"/>
        <v>23</v>
      </c>
    </row>
    <row r="244" spans="1:20" ht="15.75" customHeight="1" x14ac:dyDescent="0.3">
      <c r="A244" s="410" t="s">
        <v>2848</v>
      </c>
      <c r="B244" s="10">
        <v>23</v>
      </c>
      <c r="C244" s="10"/>
      <c r="D244" s="10"/>
      <c r="E244" s="38">
        <f t="shared" si="85"/>
        <v>23</v>
      </c>
      <c r="F244" s="10"/>
      <c r="G244" s="10"/>
      <c r="H244" s="10"/>
      <c r="I244" s="38">
        <f t="shared" si="81"/>
        <v>0</v>
      </c>
      <c r="J244" s="10"/>
      <c r="K244" s="10"/>
      <c r="L244" s="10"/>
      <c r="M244" s="38">
        <f t="shared" si="82"/>
        <v>0</v>
      </c>
      <c r="N244" s="10"/>
      <c r="O244" s="10"/>
      <c r="P244" s="10"/>
      <c r="Q244" s="38">
        <f t="shared" si="83"/>
        <v>0</v>
      </c>
      <c r="R244" s="38">
        <f t="shared" si="79"/>
        <v>23</v>
      </c>
      <c r="S244" t="s">
        <v>3020</v>
      </c>
      <c r="T244" t="s">
        <v>2760</v>
      </c>
    </row>
    <row r="245" spans="1:20" ht="15.75" customHeight="1" x14ac:dyDescent="0.3">
      <c r="A245" s="410" t="s">
        <v>3156</v>
      </c>
      <c r="B245" s="10"/>
      <c r="C245" s="10"/>
      <c r="D245" s="10"/>
      <c r="E245" s="38">
        <f t="shared" si="85"/>
        <v>0</v>
      </c>
      <c r="F245" s="10"/>
      <c r="G245" s="10"/>
      <c r="H245" s="10"/>
      <c r="I245" s="38">
        <f t="shared" si="81"/>
        <v>0</v>
      </c>
      <c r="J245" s="10"/>
      <c r="K245" s="10"/>
      <c r="L245" s="10"/>
      <c r="M245" s="38">
        <f t="shared" si="82"/>
        <v>0</v>
      </c>
      <c r="N245" s="10"/>
      <c r="O245" s="10"/>
      <c r="P245" s="10"/>
      <c r="Q245" s="38">
        <f t="shared" si="83"/>
        <v>0</v>
      </c>
      <c r="R245" s="38">
        <f t="shared" si="79"/>
        <v>0</v>
      </c>
      <c r="S245" t="s">
        <v>3020</v>
      </c>
      <c r="T245" t="s">
        <v>2760</v>
      </c>
    </row>
    <row r="246" spans="1:20" ht="15.75" customHeight="1" x14ac:dyDescent="0.3">
      <c r="A246" s="410" t="s">
        <v>3157</v>
      </c>
      <c r="B246" s="10"/>
      <c r="C246" s="10"/>
      <c r="D246" s="10"/>
      <c r="E246" s="38">
        <f t="shared" si="85"/>
        <v>0</v>
      </c>
      <c r="F246" s="10"/>
      <c r="G246" s="10"/>
      <c r="H246" s="10"/>
      <c r="I246" s="38">
        <f t="shared" si="81"/>
        <v>0</v>
      </c>
      <c r="J246" s="10"/>
      <c r="K246" s="10"/>
      <c r="L246" s="10"/>
      <c r="M246" s="38">
        <f t="shared" si="82"/>
        <v>0</v>
      </c>
      <c r="N246" s="10"/>
      <c r="O246" s="10"/>
      <c r="P246" s="10"/>
      <c r="Q246" s="38">
        <f t="shared" si="83"/>
        <v>0</v>
      </c>
      <c r="R246" s="38">
        <f t="shared" si="79"/>
        <v>0</v>
      </c>
    </row>
    <row r="247" spans="1:20" ht="15.75" customHeight="1" x14ac:dyDescent="0.3">
      <c r="A247" s="410" t="s">
        <v>3161</v>
      </c>
      <c r="B247" s="10"/>
      <c r="C247" s="10"/>
      <c r="D247" s="10"/>
      <c r="E247" s="38">
        <f t="shared" si="85"/>
        <v>0</v>
      </c>
      <c r="F247" s="10"/>
      <c r="H247" s="10"/>
      <c r="I247" s="38">
        <f t="shared" si="81"/>
        <v>0</v>
      </c>
      <c r="J247" s="10"/>
      <c r="K247" s="10"/>
      <c r="L247" s="10"/>
      <c r="M247" s="38">
        <f t="shared" si="82"/>
        <v>0</v>
      </c>
      <c r="N247" s="10"/>
      <c r="O247" s="10"/>
      <c r="P247" s="10">
        <v>4300</v>
      </c>
      <c r="Q247" s="38">
        <f t="shared" si="83"/>
        <v>4300</v>
      </c>
      <c r="R247" s="38">
        <f t="shared" si="79"/>
        <v>4300</v>
      </c>
    </row>
    <row r="248" spans="1:20" ht="15.75" customHeight="1" x14ac:dyDescent="0.3">
      <c r="A248" s="540" t="s">
        <v>2938</v>
      </c>
      <c r="B248" s="10"/>
      <c r="C248" s="10"/>
      <c r="D248" s="10"/>
      <c r="E248" s="38">
        <f t="shared" si="85"/>
        <v>0</v>
      </c>
      <c r="F248" s="10"/>
      <c r="G248" s="10"/>
      <c r="H248" s="10"/>
      <c r="I248" s="38">
        <f t="shared" si="81"/>
        <v>0</v>
      </c>
      <c r="J248" s="10"/>
      <c r="K248" s="10"/>
      <c r="L248" s="10"/>
      <c r="M248" s="38">
        <f t="shared" si="82"/>
        <v>0</v>
      </c>
      <c r="N248" s="10"/>
      <c r="O248" s="10"/>
      <c r="P248" s="10"/>
      <c r="Q248" s="38">
        <f t="shared" si="83"/>
        <v>0</v>
      </c>
      <c r="R248" s="38">
        <f t="shared" si="79"/>
        <v>0</v>
      </c>
      <c r="T248" t="s">
        <v>2764</v>
      </c>
    </row>
    <row r="249" spans="1:20" ht="15.75" customHeight="1" x14ac:dyDescent="0.3">
      <c r="A249" s="410" t="s">
        <v>3051</v>
      </c>
      <c r="B249" s="10"/>
      <c r="C249" s="10"/>
      <c r="D249" s="10"/>
      <c r="E249" s="38">
        <f t="shared" si="85"/>
        <v>0</v>
      </c>
      <c r="F249" s="10"/>
      <c r="G249" s="10"/>
      <c r="H249" s="10"/>
      <c r="I249" s="38">
        <f t="shared" si="81"/>
        <v>0</v>
      </c>
      <c r="J249" s="10"/>
      <c r="K249" s="10"/>
      <c r="L249" s="10"/>
      <c r="M249" s="38">
        <f t="shared" si="82"/>
        <v>0</v>
      </c>
      <c r="N249" s="10"/>
      <c r="O249" s="10"/>
      <c r="P249" s="10"/>
      <c r="Q249" s="38">
        <f>SUM(N249:P249)</f>
        <v>0</v>
      </c>
      <c r="R249" s="38">
        <f>+E249+I249+M249+Q249</f>
        <v>0</v>
      </c>
      <c r="S249" s="709"/>
      <c r="T249" t="s">
        <v>2760</v>
      </c>
    </row>
    <row r="250" spans="1:20" ht="15.75" customHeight="1" x14ac:dyDescent="0.3">
      <c r="A250" s="540" t="s">
        <v>3049</v>
      </c>
      <c r="B250" s="10"/>
      <c r="C250" s="10"/>
      <c r="D250" s="10">
        <v>2949</v>
      </c>
      <c r="E250" s="38">
        <f>SUM(B250:D250)</f>
        <v>2949</v>
      </c>
      <c r="F250" s="10">
        <v>351</v>
      </c>
      <c r="G250" s="10"/>
      <c r="H250" s="10"/>
      <c r="I250" s="38">
        <f t="shared" si="81"/>
        <v>351</v>
      </c>
      <c r="J250" s="10"/>
      <c r="K250" s="10"/>
      <c r="L250" s="10"/>
      <c r="M250" s="38">
        <f t="shared" si="82"/>
        <v>0</v>
      </c>
      <c r="N250" s="10"/>
      <c r="O250" s="10"/>
      <c r="P250" s="10"/>
      <c r="Q250" s="38">
        <f t="shared" si="83"/>
        <v>0</v>
      </c>
      <c r="R250" s="38">
        <f t="shared" si="79"/>
        <v>3300</v>
      </c>
    </row>
    <row r="251" spans="1:20" ht="15.75" customHeight="1" x14ac:dyDescent="0.3">
      <c r="A251" s="540" t="s">
        <v>3050</v>
      </c>
      <c r="B251" s="10"/>
      <c r="C251" s="10"/>
      <c r="D251" s="10"/>
      <c r="E251" s="38">
        <f t="shared" si="85"/>
        <v>0</v>
      </c>
      <c r="F251" s="10"/>
      <c r="G251" s="10"/>
      <c r="H251" s="10"/>
      <c r="I251" s="38">
        <f t="shared" si="81"/>
        <v>0</v>
      </c>
      <c r="J251" s="10"/>
      <c r="K251" s="10"/>
      <c r="L251" s="10"/>
      <c r="M251" s="38">
        <f t="shared" si="82"/>
        <v>0</v>
      </c>
      <c r="N251" s="10"/>
      <c r="O251" s="10"/>
      <c r="P251" s="10"/>
      <c r="Q251" s="38">
        <f t="shared" si="83"/>
        <v>0</v>
      </c>
      <c r="R251" s="38">
        <f t="shared" si="79"/>
        <v>0</v>
      </c>
    </row>
    <row r="252" spans="1:20" ht="15.75" customHeight="1" x14ac:dyDescent="0.3">
      <c r="A252" s="410" t="s">
        <v>3442</v>
      </c>
      <c r="B252" s="10"/>
      <c r="C252" s="10"/>
      <c r="D252" s="10"/>
      <c r="E252" s="38">
        <f t="shared" si="85"/>
        <v>0</v>
      </c>
      <c r="F252" s="10"/>
      <c r="G252" s="10"/>
      <c r="H252" s="10"/>
      <c r="I252" s="38">
        <f t="shared" si="81"/>
        <v>0</v>
      </c>
      <c r="J252" s="10">
        <v>1323</v>
      </c>
      <c r="K252" s="10">
        <v>1343</v>
      </c>
      <c r="L252" s="10">
        <v>1034</v>
      </c>
      <c r="M252" s="38">
        <f t="shared" si="82"/>
        <v>3700</v>
      </c>
      <c r="N252" s="10"/>
      <c r="O252" s="10"/>
      <c r="P252" s="10"/>
      <c r="Q252" s="38">
        <f t="shared" ref="Q252" si="86">SUM(N252:P252)</f>
        <v>0</v>
      </c>
      <c r="R252" s="38">
        <f t="shared" ref="R252" si="87">+E252+I252+M252+Q252</f>
        <v>3700</v>
      </c>
    </row>
    <row r="253" spans="1:20" ht="15.75" customHeight="1" x14ac:dyDescent="0.3">
      <c r="A253" s="540" t="s">
        <v>2753</v>
      </c>
      <c r="B253" s="10"/>
      <c r="C253" s="10">
        <f>606+136</f>
        <v>742</v>
      </c>
      <c r="D253" s="10"/>
      <c r="E253" s="38">
        <f t="shared" ref="E253:E254" si="88">SUM(B253:D253)</f>
        <v>742</v>
      </c>
      <c r="F253" s="10"/>
      <c r="G253" s="10"/>
      <c r="H253" s="10"/>
      <c r="I253" s="38">
        <f t="shared" si="81"/>
        <v>0</v>
      </c>
      <c r="J253" s="10"/>
      <c r="K253" s="10"/>
      <c r="L253" s="10"/>
      <c r="M253" s="38">
        <f t="shared" si="82"/>
        <v>0</v>
      </c>
      <c r="N253" s="10">
        <v>747</v>
      </c>
      <c r="O253" s="10">
        <v>747</v>
      </c>
      <c r="P253" s="10">
        <v>500</v>
      </c>
      <c r="Q253" s="38">
        <f t="shared" si="83"/>
        <v>1994</v>
      </c>
      <c r="R253" s="38">
        <f t="shared" si="79"/>
        <v>2736</v>
      </c>
    </row>
    <row r="254" spans="1:20" ht="15.75" customHeight="1" x14ac:dyDescent="0.3">
      <c r="A254" s="540" t="s">
        <v>2754</v>
      </c>
      <c r="B254" s="10"/>
      <c r="C254" s="10"/>
      <c r="D254" s="10"/>
      <c r="E254" s="38">
        <f t="shared" si="88"/>
        <v>0</v>
      </c>
      <c r="F254" s="10"/>
      <c r="G254" s="10"/>
      <c r="H254" s="10"/>
      <c r="I254" s="38">
        <f t="shared" si="81"/>
        <v>0</v>
      </c>
      <c r="J254" s="10"/>
      <c r="K254" s="10"/>
      <c r="L254" s="10"/>
      <c r="M254" s="38">
        <f t="shared" si="82"/>
        <v>0</v>
      </c>
      <c r="N254" s="10"/>
      <c r="O254" s="10"/>
      <c r="P254" s="10"/>
      <c r="Q254" s="38">
        <f t="shared" si="83"/>
        <v>0</v>
      </c>
      <c r="R254" s="38">
        <f t="shared" si="79"/>
        <v>0</v>
      </c>
    </row>
    <row r="255" spans="1:20" ht="15.75" customHeight="1" x14ac:dyDescent="0.3">
      <c r="A255" s="410" t="s">
        <v>2755</v>
      </c>
      <c r="B255" s="10">
        <v>794</v>
      </c>
      <c r="C255" s="10">
        <v>745</v>
      </c>
      <c r="D255" s="10">
        <v>747</v>
      </c>
      <c r="E255" s="38">
        <f>SUM(B255:D255)</f>
        <v>2286</v>
      </c>
      <c r="F255" s="10">
        <v>827</v>
      </c>
      <c r="G255" s="10">
        <v>1051</v>
      </c>
      <c r="H255" s="10">
        <v>100</v>
      </c>
      <c r="I255" s="38">
        <f t="shared" ref="I255" si="89">SUM(F255:H255)</f>
        <v>1978</v>
      </c>
      <c r="J255" s="10"/>
      <c r="K255" s="10"/>
      <c r="L255" s="10"/>
      <c r="M255" s="38">
        <f t="shared" si="82"/>
        <v>0</v>
      </c>
      <c r="N255" s="10"/>
      <c r="O255" s="10"/>
      <c r="P255" s="10"/>
      <c r="Q255" s="38">
        <f t="shared" si="83"/>
        <v>0</v>
      </c>
      <c r="R255" s="38">
        <f t="shared" si="79"/>
        <v>4264</v>
      </c>
    </row>
    <row r="256" spans="1:20" ht="15.75" customHeight="1" x14ac:dyDescent="0.3">
      <c r="A256" s="569" t="s">
        <v>2989</v>
      </c>
      <c r="B256" s="10"/>
      <c r="C256" s="10"/>
      <c r="D256" s="10"/>
      <c r="E256" s="38">
        <f>SUM(B256:D256)</f>
        <v>0</v>
      </c>
      <c r="F256" s="10"/>
      <c r="G256" s="10"/>
      <c r="H256" s="10"/>
      <c r="I256" s="38">
        <f t="shared" si="81"/>
        <v>0</v>
      </c>
      <c r="J256" s="10"/>
      <c r="K256" s="10"/>
      <c r="L256" s="10"/>
      <c r="M256" s="38">
        <f t="shared" si="82"/>
        <v>0</v>
      </c>
      <c r="N256" s="10"/>
      <c r="O256" s="10"/>
      <c r="P256" s="10"/>
      <c r="Q256" s="38">
        <f t="shared" si="83"/>
        <v>0</v>
      </c>
      <c r="R256" s="38">
        <f t="shared" si="79"/>
        <v>0</v>
      </c>
    </row>
    <row r="257" spans="1:21" ht="15.75" customHeight="1" x14ac:dyDescent="0.3">
      <c r="A257" s="569" t="s">
        <v>2990</v>
      </c>
      <c r="B257" s="10"/>
      <c r="C257" s="10"/>
      <c r="D257" s="10"/>
      <c r="E257" s="38">
        <f>SUM(B257:D257)</f>
        <v>0</v>
      </c>
      <c r="F257" s="10"/>
      <c r="G257" s="10"/>
      <c r="H257" s="10"/>
      <c r="I257" s="38">
        <f t="shared" si="81"/>
        <v>0</v>
      </c>
      <c r="J257" s="10"/>
      <c r="K257" s="10"/>
      <c r="L257" s="10"/>
      <c r="M257" s="38">
        <f t="shared" si="82"/>
        <v>0</v>
      </c>
      <c r="N257" s="10"/>
      <c r="O257" s="10"/>
      <c r="P257" s="10"/>
      <c r="Q257" s="38">
        <f t="shared" si="83"/>
        <v>0</v>
      </c>
      <c r="R257" s="38">
        <f t="shared" si="79"/>
        <v>0</v>
      </c>
    </row>
    <row r="258" spans="1:21" ht="15.75" customHeight="1" x14ac:dyDescent="0.3">
      <c r="A258" s="569" t="s">
        <v>2991</v>
      </c>
      <c r="B258" s="10"/>
      <c r="C258" s="10"/>
      <c r="D258" s="10"/>
      <c r="E258" s="38">
        <f>SUM(B258:D258)</f>
        <v>0</v>
      </c>
      <c r="F258" s="10"/>
      <c r="G258" s="10"/>
      <c r="H258" s="10"/>
      <c r="I258" s="38">
        <f t="shared" si="81"/>
        <v>0</v>
      </c>
      <c r="J258" s="10"/>
      <c r="K258" s="10"/>
      <c r="L258" s="10"/>
      <c r="M258" s="38">
        <f t="shared" si="82"/>
        <v>0</v>
      </c>
      <c r="N258" s="10"/>
      <c r="O258" s="10"/>
      <c r="P258" s="10"/>
      <c r="Q258" s="38">
        <f t="shared" si="83"/>
        <v>0</v>
      </c>
      <c r="R258" s="38">
        <f t="shared" si="79"/>
        <v>0</v>
      </c>
      <c r="T258" t="s">
        <v>2764</v>
      </c>
    </row>
    <row r="259" spans="1:21" ht="15.75" customHeight="1" x14ac:dyDescent="0.3">
      <c r="A259" s="410" t="s">
        <v>3134</v>
      </c>
      <c r="B259" s="10"/>
      <c r="C259" s="10"/>
      <c r="D259" s="10"/>
      <c r="E259" s="38">
        <f t="shared" ref="E259:E263" si="90">SUM(B259:D259)</f>
        <v>0</v>
      </c>
      <c r="F259" s="10"/>
      <c r="G259" s="10"/>
      <c r="H259" s="10"/>
      <c r="I259" s="38">
        <f>SUM(F259:H259)</f>
        <v>0</v>
      </c>
      <c r="J259" s="10"/>
      <c r="K259" s="10">
        <f>1200+448</f>
        <v>1648</v>
      </c>
      <c r="L259" s="10">
        <v>430</v>
      </c>
      <c r="M259" s="38">
        <f t="shared" ref="M259:M260" si="91">SUM(J259:L259)</f>
        <v>2078</v>
      </c>
      <c r="N259" s="10">
        <v>263</v>
      </c>
      <c r="O259" s="10"/>
      <c r="P259" s="10"/>
      <c r="Q259" s="38">
        <f t="shared" ref="Q259:Q260" si="92">SUM(N259:P259)</f>
        <v>263</v>
      </c>
      <c r="R259" s="38">
        <f t="shared" si="79"/>
        <v>2341</v>
      </c>
      <c r="S259" s="717" t="s">
        <v>3020</v>
      </c>
    </row>
    <row r="260" spans="1:21" ht="15.75" customHeight="1" x14ac:dyDescent="0.3">
      <c r="A260" s="410" t="s">
        <v>1851</v>
      </c>
      <c r="B260" s="10"/>
      <c r="C260" s="10"/>
      <c r="D260" s="10"/>
      <c r="E260" s="38">
        <f t="shared" si="90"/>
        <v>0</v>
      </c>
      <c r="F260" s="10"/>
      <c r="G260" s="10"/>
      <c r="H260" s="10"/>
      <c r="I260" s="38">
        <f>SUM(F260:H260)</f>
        <v>0</v>
      </c>
      <c r="J260" s="10"/>
      <c r="K260" s="10"/>
      <c r="L260" s="10"/>
      <c r="M260" s="38">
        <f t="shared" si="91"/>
        <v>0</v>
      </c>
      <c r="N260" s="10"/>
      <c r="O260" s="10"/>
      <c r="P260" s="10"/>
      <c r="Q260" s="38">
        <f t="shared" si="92"/>
        <v>0</v>
      </c>
      <c r="R260" s="38">
        <f t="shared" si="79"/>
        <v>0</v>
      </c>
      <c r="S260" t="s">
        <v>3020</v>
      </c>
    </row>
    <row r="261" spans="1:21" ht="15.75" customHeight="1" x14ac:dyDescent="0.3">
      <c r="A261" s="410" t="s">
        <v>1850</v>
      </c>
      <c r="B261" s="10"/>
      <c r="C261" s="10"/>
      <c r="D261" s="10"/>
      <c r="E261" s="38">
        <f t="shared" si="90"/>
        <v>0</v>
      </c>
      <c r="F261" s="356">
        <v>2485</v>
      </c>
      <c r="G261" s="10">
        <f>46+5213+675+157</f>
        <v>6091</v>
      </c>
      <c r="H261" s="10">
        <v>3424</v>
      </c>
      <c r="I261" s="38">
        <f t="shared" si="81"/>
        <v>12000</v>
      </c>
      <c r="J261" s="10"/>
      <c r="K261" s="10"/>
      <c r="L261" s="10"/>
      <c r="M261" s="38">
        <f t="shared" si="82"/>
        <v>0</v>
      </c>
      <c r="N261" s="10"/>
      <c r="O261" s="10"/>
      <c r="P261" s="10"/>
      <c r="Q261" s="38">
        <f t="shared" si="83"/>
        <v>0</v>
      </c>
      <c r="R261" s="38">
        <f t="shared" si="79"/>
        <v>12000</v>
      </c>
      <c r="S261" t="s">
        <v>3020</v>
      </c>
    </row>
    <row r="262" spans="1:21" ht="15.75" customHeight="1" x14ac:dyDescent="0.3">
      <c r="A262" s="410" t="s">
        <v>3081</v>
      </c>
      <c r="B262" s="10"/>
      <c r="C262" s="10"/>
      <c r="D262" s="10"/>
      <c r="E262" s="38">
        <f t="shared" si="90"/>
        <v>0</v>
      </c>
      <c r="F262" s="10"/>
      <c r="G262" s="10"/>
      <c r="H262" s="10"/>
      <c r="I262" s="38">
        <f t="shared" si="81"/>
        <v>0</v>
      </c>
      <c r="J262" s="10"/>
      <c r="K262" s="10"/>
      <c r="L262" s="10"/>
      <c r="M262" s="38">
        <f t="shared" si="82"/>
        <v>0</v>
      </c>
      <c r="N262" s="10"/>
      <c r="O262" s="10"/>
      <c r="P262" s="10"/>
      <c r="Q262" s="38">
        <f>SUM(N262:P262)</f>
        <v>0</v>
      </c>
      <c r="R262" s="38">
        <f t="shared" si="79"/>
        <v>0</v>
      </c>
    </row>
    <row r="263" spans="1:21" ht="15.75" customHeight="1" x14ac:dyDescent="0.3">
      <c r="A263" s="569" t="s">
        <v>3440</v>
      </c>
      <c r="B263" s="10"/>
      <c r="C263" s="10"/>
      <c r="D263" s="10"/>
      <c r="E263" s="38">
        <f t="shared" si="90"/>
        <v>0</v>
      </c>
      <c r="F263" s="10">
        <v>400</v>
      </c>
      <c r="G263" s="10"/>
      <c r="H263" s="10"/>
      <c r="I263" s="38">
        <f t="shared" si="81"/>
        <v>400</v>
      </c>
      <c r="J263" s="10"/>
      <c r="K263" s="10"/>
      <c r="L263" s="10"/>
      <c r="M263" s="38">
        <f t="shared" si="82"/>
        <v>0</v>
      </c>
      <c r="N263" s="10"/>
      <c r="O263" s="10"/>
      <c r="P263" s="10"/>
      <c r="Q263" s="38">
        <f>SUM(N263:P263)</f>
        <v>0</v>
      </c>
      <c r="R263" s="38">
        <f t="shared" ref="R263" si="93">+E263+I263+M263+Q263</f>
        <v>400</v>
      </c>
    </row>
    <row r="264" spans="1:21" ht="15.75" customHeight="1" x14ac:dyDescent="0.3">
      <c r="A264" s="410" t="s">
        <v>2979</v>
      </c>
      <c r="B264" s="10"/>
      <c r="C264" s="10"/>
      <c r="D264" s="10"/>
      <c r="E264" s="38">
        <f>SUM(B264:D264)</f>
        <v>0</v>
      </c>
      <c r="F264" s="10">
        <v>776</v>
      </c>
      <c r="G264" s="10">
        <v>410</v>
      </c>
      <c r="H264" s="10"/>
      <c r="I264" s="38">
        <f t="shared" si="81"/>
        <v>1186</v>
      </c>
      <c r="J264" s="10"/>
      <c r="K264" s="10"/>
      <c r="L264" s="10"/>
      <c r="M264" s="38">
        <f t="shared" si="82"/>
        <v>0</v>
      </c>
      <c r="N264" s="10"/>
      <c r="O264" s="10"/>
      <c r="P264" s="10"/>
      <c r="Q264" s="38">
        <f t="shared" si="83"/>
        <v>0</v>
      </c>
      <c r="R264" s="38">
        <f t="shared" si="79"/>
        <v>1186</v>
      </c>
      <c r="S264" t="s">
        <v>3020</v>
      </c>
      <c r="T264" t="s">
        <v>2760</v>
      </c>
    </row>
    <row r="265" spans="1:21" ht="15.75" customHeight="1" x14ac:dyDescent="0.3">
      <c r="A265" s="410" t="s">
        <v>2807</v>
      </c>
      <c r="B265" s="10"/>
      <c r="C265" s="10"/>
      <c r="D265" s="10"/>
      <c r="E265" s="38">
        <f t="shared" ref="E265" si="94">SUM(B265:D265)</f>
        <v>0</v>
      </c>
      <c r="F265" s="10"/>
      <c r="G265" s="10"/>
      <c r="H265" s="10"/>
      <c r="I265" s="38">
        <f t="shared" si="81"/>
        <v>0</v>
      </c>
      <c r="J265" s="10"/>
      <c r="K265" s="10"/>
      <c r="L265" s="10"/>
      <c r="M265" s="38">
        <f t="shared" si="82"/>
        <v>0</v>
      </c>
      <c r="N265" s="10"/>
      <c r="O265" s="10"/>
      <c r="P265" s="10"/>
      <c r="Q265" s="38">
        <f t="shared" si="83"/>
        <v>0</v>
      </c>
      <c r="R265" s="38">
        <f t="shared" si="79"/>
        <v>0</v>
      </c>
      <c r="S265" s="230" t="s">
        <v>3020</v>
      </c>
      <c r="T265" s="230" t="s">
        <v>2760</v>
      </c>
      <c r="U265" s="230"/>
    </row>
    <row r="266" spans="1:21" ht="15.75" customHeight="1" x14ac:dyDescent="0.3">
      <c r="A266" s="410" t="s">
        <v>1163</v>
      </c>
      <c r="B266" s="10"/>
      <c r="C266" s="10"/>
      <c r="D266" s="10">
        <v>1318</v>
      </c>
      <c r="E266" s="38">
        <f>SUM(B266:D266)</f>
        <v>1318</v>
      </c>
      <c r="F266" s="10">
        <v>496</v>
      </c>
      <c r="G266" s="10"/>
      <c r="H266" s="10"/>
      <c r="I266" s="38">
        <f>SUM(F266:H266)</f>
        <v>496</v>
      </c>
      <c r="J266" s="10"/>
      <c r="K266" s="10"/>
      <c r="L266" s="10"/>
      <c r="M266" s="38">
        <f t="shared" si="82"/>
        <v>0</v>
      </c>
      <c r="N266" s="10"/>
      <c r="O266" s="10"/>
      <c r="P266" s="10"/>
      <c r="Q266" s="38">
        <f t="shared" si="83"/>
        <v>0</v>
      </c>
      <c r="R266" s="38">
        <f t="shared" si="79"/>
        <v>1814</v>
      </c>
      <c r="T266" t="s">
        <v>3030</v>
      </c>
    </row>
    <row r="267" spans="1:21" ht="15.75" customHeight="1" x14ac:dyDescent="0.3">
      <c r="A267" s="569" t="s">
        <v>3054</v>
      </c>
      <c r="B267" s="10"/>
      <c r="C267" s="10"/>
      <c r="D267" s="10"/>
      <c r="E267" s="38">
        <f>SUM(B267:D267)</f>
        <v>0</v>
      </c>
      <c r="F267" s="10"/>
      <c r="G267" s="10"/>
      <c r="H267" s="10"/>
      <c r="I267" s="38">
        <f>SUM(F267:H267)</f>
        <v>0</v>
      </c>
      <c r="J267" s="10"/>
      <c r="K267" s="10"/>
      <c r="L267" s="10"/>
      <c r="M267" s="38">
        <f t="shared" si="82"/>
        <v>0</v>
      </c>
      <c r="N267" s="10"/>
      <c r="O267" s="10"/>
      <c r="P267" s="10"/>
      <c r="Q267" s="38">
        <f>SUM(N267:P267)</f>
        <v>0</v>
      </c>
      <c r="R267" s="38">
        <f>+E267+I267+M267+Q267</f>
        <v>0</v>
      </c>
      <c r="T267" t="s">
        <v>2770</v>
      </c>
    </row>
    <row r="268" spans="1:21" ht="15.75" customHeight="1" x14ac:dyDescent="0.3">
      <c r="A268" s="410" t="s">
        <v>14</v>
      </c>
      <c r="B268" s="10"/>
      <c r="C268" s="10"/>
      <c r="D268" s="10"/>
      <c r="E268" s="38">
        <f t="shared" si="85"/>
        <v>0</v>
      </c>
      <c r="F268" s="10"/>
      <c r="G268" s="10"/>
      <c r="H268" s="10"/>
      <c r="I268" s="38">
        <f t="shared" si="81"/>
        <v>0</v>
      </c>
      <c r="J268" s="10"/>
      <c r="K268" s="10"/>
      <c r="L268" s="10"/>
      <c r="M268" s="38">
        <f t="shared" si="82"/>
        <v>0</v>
      </c>
      <c r="N268" s="10"/>
      <c r="O268" s="10"/>
      <c r="P268" s="10">
        <v>801</v>
      </c>
      <c r="Q268" s="38">
        <f t="shared" si="83"/>
        <v>801</v>
      </c>
      <c r="R268" s="38">
        <f t="shared" si="79"/>
        <v>801</v>
      </c>
    </row>
    <row r="269" spans="1:21" ht="15.75" customHeight="1" x14ac:dyDescent="0.3">
      <c r="A269" s="410" t="s">
        <v>3204</v>
      </c>
      <c r="B269" s="10"/>
      <c r="C269" s="10"/>
      <c r="D269" s="10"/>
      <c r="E269" s="38">
        <f t="shared" si="85"/>
        <v>0</v>
      </c>
      <c r="F269" s="10"/>
      <c r="G269" s="10"/>
      <c r="H269" s="10"/>
      <c r="I269" s="38">
        <f t="shared" si="81"/>
        <v>0</v>
      </c>
      <c r="J269" s="10"/>
      <c r="K269" s="10"/>
      <c r="L269" s="10"/>
      <c r="M269" s="38">
        <f t="shared" si="82"/>
        <v>0</v>
      </c>
      <c r="N269" s="10"/>
      <c r="O269" s="10"/>
      <c r="P269" s="10">
        <v>263</v>
      </c>
      <c r="Q269" s="38">
        <f t="shared" si="83"/>
        <v>263</v>
      </c>
      <c r="R269" s="38">
        <f t="shared" si="79"/>
        <v>263</v>
      </c>
    </row>
    <row r="270" spans="1:21" ht="15.75" customHeight="1" x14ac:dyDescent="0.3">
      <c r="A270" s="410" t="s">
        <v>2410</v>
      </c>
      <c r="B270" s="10">
        <v>60</v>
      </c>
      <c r="C270" s="10"/>
      <c r="D270" s="10"/>
      <c r="E270" s="38">
        <f t="shared" si="85"/>
        <v>60</v>
      </c>
      <c r="F270" s="10"/>
      <c r="G270" s="10"/>
      <c r="H270" s="10"/>
      <c r="I270" s="38">
        <f t="shared" si="81"/>
        <v>0</v>
      </c>
      <c r="J270" s="10"/>
      <c r="K270" s="10"/>
      <c r="L270" s="10"/>
      <c r="M270" s="38">
        <f t="shared" si="82"/>
        <v>0</v>
      </c>
      <c r="N270" s="10"/>
      <c r="O270" s="10"/>
      <c r="P270" s="10"/>
      <c r="Q270" s="38">
        <f t="shared" si="83"/>
        <v>0</v>
      </c>
      <c r="R270" s="38">
        <f t="shared" si="79"/>
        <v>60</v>
      </c>
    </row>
    <row r="271" spans="1:21" ht="15.75" customHeight="1" x14ac:dyDescent="0.3">
      <c r="A271" s="410" t="s">
        <v>2849</v>
      </c>
      <c r="B271" s="10">
        <v>60</v>
      </c>
      <c r="C271" s="10"/>
      <c r="D271" s="10"/>
      <c r="E271" s="38">
        <f t="shared" si="85"/>
        <v>60</v>
      </c>
      <c r="F271" s="10"/>
      <c r="G271" s="10"/>
      <c r="H271" s="10"/>
      <c r="I271" s="38">
        <f t="shared" si="81"/>
        <v>0</v>
      </c>
      <c r="J271" s="10"/>
      <c r="K271" s="10"/>
      <c r="L271" s="10"/>
      <c r="M271" s="38">
        <f t="shared" si="82"/>
        <v>0</v>
      </c>
      <c r="N271" s="10"/>
      <c r="O271" s="10"/>
      <c r="P271" s="10"/>
      <c r="Q271" s="38">
        <f t="shared" si="83"/>
        <v>0</v>
      </c>
      <c r="R271" s="38">
        <f t="shared" si="79"/>
        <v>60</v>
      </c>
      <c r="S271" t="s">
        <v>3020</v>
      </c>
      <c r="T271" t="s">
        <v>2760</v>
      </c>
    </row>
    <row r="272" spans="1:21" ht="15.75" customHeight="1" x14ac:dyDescent="0.3">
      <c r="A272" s="410" t="s">
        <v>3158</v>
      </c>
      <c r="B272" s="10"/>
      <c r="C272" s="10"/>
      <c r="D272" s="10"/>
      <c r="E272" s="38">
        <f t="shared" si="85"/>
        <v>0</v>
      </c>
      <c r="F272" s="10"/>
      <c r="G272" s="10"/>
      <c r="H272" s="10"/>
      <c r="I272" s="38">
        <f t="shared" si="81"/>
        <v>0</v>
      </c>
      <c r="J272" s="10"/>
      <c r="K272" s="10"/>
      <c r="L272" s="10"/>
      <c r="M272" s="38">
        <f t="shared" si="82"/>
        <v>0</v>
      </c>
      <c r="N272" s="10"/>
      <c r="O272" s="10"/>
      <c r="P272" s="10"/>
      <c r="Q272" s="38">
        <f t="shared" si="83"/>
        <v>0</v>
      </c>
      <c r="R272" s="38">
        <f t="shared" si="79"/>
        <v>0</v>
      </c>
      <c r="T272" t="s">
        <v>2760</v>
      </c>
    </row>
    <row r="273" spans="1:20" ht="15.75" customHeight="1" x14ac:dyDescent="0.3">
      <c r="A273" s="410" t="s">
        <v>3276</v>
      </c>
      <c r="B273" s="10"/>
      <c r="C273" s="10"/>
      <c r="D273" s="10"/>
      <c r="E273" s="38">
        <f t="shared" ref="E273" si="95">SUM(B273:D273)</f>
        <v>0</v>
      </c>
      <c r="F273" s="10"/>
      <c r="G273" s="10"/>
      <c r="H273" s="10"/>
      <c r="I273" s="38">
        <f t="shared" ref="I273:I274" si="96">SUM(F273:H273)</f>
        <v>0</v>
      </c>
      <c r="J273" s="10"/>
      <c r="K273" s="10"/>
      <c r="L273" s="10"/>
      <c r="M273" s="38">
        <f t="shared" ref="M273:M274" si="97">SUM(J273:L273)</f>
        <v>0</v>
      </c>
      <c r="N273" s="10"/>
      <c r="O273" s="10"/>
      <c r="P273" s="10"/>
      <c r="Q273" s="38">
        <f t="shared" ref="Q273" si="98">SUM(N273:P273)</f>
        <v>0</v>
      </c>
      <c r="R273" s="38">
        <f t="shared" si="79"/>
        <v>0</v>
      </c>
      <c r="S273" t="s">
        <v>3020</v>
      </c>
      <c r="T273" t="s">
        <v>2760</v>
      </c>
    </row>
    <row r="274" spans="1:20" ht="15.75" customHeight="1" x14ac:dyDescent="0.3">
      <c r="A274" s="410" t="s">
        <v>2939</v>
      </c>
      <c r="B274" s="10"/>
      <c r="C274" s="10"/>
      <c r="D274" s="10"/>
      <c r="E274" s="38">
        <f t="shared" si="85"/>
        <v>0</v>
      </c>
      <c r="F274" s="10"/>
      <c r="G274" s="10"/>
      <c r="H274" s="10"/>
      <c r="I274" s="38">
        <f t="shared" si="96"/>
        <v>0</v>
      </c>
      <c r="J274" s="10">
        <v>2800</v>
      </c>
      <c r="K274" s="10"/>
      <c r="L274" s="10"/>
      <c r="M274" s="38">
        <f t="shared" si="97"/>
        <v>2800</v>
      </c>
      <c r="N274" s="10"/>
      <c r="O274" s="10"/>
      <c r="P274" s="10"/>
      <c r="Q274" s="38">
        <f t="shared" si="83"/>
        <v>0</v>
      </c>
      <c r="R274" s="38">
        <f>+E274+I274+M274+Q274</f>
        <v>2800</v>
      </c>
      <c r="S274" s="709" t="s">
        <v>3020</v>
      </c>
      <c r="T274" t="s">
        <v>2760</v>
      </c>
    </row>
    <row r="275" spans="1:20" ht="15.75" customHeight="1" x14ac:dyDescent="0.3">
      <c r="A275" s="569" t="s">
        <v>2741</v>
      </c>
      <c r="B275" s="10"/>
      <c r="C275" s="10"/>
      <c r="D275" s="10"/>
      <c r="E275" s="38">
        <f t="shared" si="85"/>
        <v>0</v>
      </c>
      <c r="F275" s="10"/>
      <c r="G275" s="10"/>
      <c r="H275" s="10"/>
      <c r="I275" s="38">
        <f t="shared" si="81"/>
        <v>0</v>
      </c>
      <c r="J275" s="10"/>
      <c r="K275" s="10"/>
      <c r="L275" s="10"/>
      <c r="M275" s="38">
        <f t="shared" si="82"/>
        <v>0</v>
      </c>
      <c r="N275" s="10"/>
      <c r="O275" s="10"/>
      <c r="P275" s="10"/>
      <c r="Q275" s="38">
        <f>SUM(N275:P275)</f>
        <v>0</v>
      </c>
      <c r="R275" s="38">
        <f t="shared" si="79"/>
        <v>0</v>
      </c>
      <c r="T275" t="s">
        <v>2769</v>
      </c>
    </row>
    <row r="276" spans="1:20" ht="15.75" customHeight="1" x14ac:dyDescent="0.3">
      <c r="A276" s="569" t="s">
        <v>2742</v>
      </c>
      <c r="B276" s="10"/>
      <c r="C276" s="10"/>
      <c r="D276" s="10"/>
      <c r="E276" s="38">
        <f>SUM(B276:D276)</f>
        <v>0</v>
      </c>
      <c r="F276" s="10">
        <v>2424</v>
      </c>
      <c r="G276" s="10"/>
      <c r="H276" s="10">
        <f>776+876</f>
        <v>1652</v>
      </c>
      <c r="I276" s="38">
        <f t="shared" ref="I276:I277" si="99">SUM(F276:H276)</f>
        <v>4076</v>
      </c>
      <c r="J276" s="10">
        <v>3000</v>
      </c>
      <c r="K276" s="10">
        <v>2392</v>
      </c>
      <c r="L276" s="10">
        <v>662</v>
      </c>
      <c r="M276" s="38">
        <f t="shared" ref="M276" si="100">SUM(J276:L276)</f>
        <v>6054</v>
      </c>
      <c r="N276" s="10"/>
      <c r="O276" s="10"/>
      <c r="P276" s="10"/>
      <c r="Q276" s="38">
        <f>SUM(N276:P276)</f>
        <v>0</v>
      </c>
      <c r="R276" s="38">
        <f t="shared" si="79"/>
        <v>10130</v>
      </c>
      <c r="T276" t="s">
        <v>2770</v>
      </c>
    </row>
    <row r="277" spans="1:20" ht="15.75" customHeight="1" x14ac:dyDescent="0.3">
      <c r="A277" s="410" t="s">
        <v>3289</v>
      </c>
      <c r="B277" s="10"/>
      <c r="C277" s="10"/>
      <c r="D277" s="10"/>
      <c r="E277" s="38">
        <f>SUM(B277:D277)</f>
        <v>0</v>
      </c>
      <c r="F277" s="10"/>
      <c r="G277" s="10">
        <v>590</v>
      </c>
      <c r="H277" s="10">
        <f>900+362</f>
        <v>1262</v>
      </c>
      <c r="I277" s="38">
        <f t="shared" si="99"/>
        <v>1852</v>
      </c>
      <c r="J277" s="10"/>
      <c r="K277" s="10"/>
      <c r="L277" s="10"/>
      <c r="M277" s="38">
        <f>SUM(J277:L277)</f>
        <v>0</v>
      </c>
      <c r="N277" s="10"/>
      <c r="O277" s="10"/>
      <c r="P277" s="10"/>
      <c r="Q277" s="38">
        <f t="shared" si="83"/>
        <v>0</v>
      </c>
      <c r="R277" s="38">
        <f t="shared" si="79"/>
        <v>1852</v>
      </c>
      <c r="S277" t="s">
        <v>3020</v>
      </c>
      <c r="T277" t="s">
        <v>2760</v>
      </c>
    </row>
    <row r="278" spans="1:20" ht="15.75" customHeight="1" x14ac:dyDescent="0.3">
      <c r="A278" s="410" t="s">
        <v>3290</v>
      </c>
      <c r="B278" s="10"/>
      <c r="C278" s="10"/>
      <c r="D278" s="10"/>
      <c r="E278" s="38">
        <f t="shared" ref="E278:E279" si="101">SUM(B278:D278)</f>
        <v>0</v>
      </c>
      <c r="F278" s="10"/>
      <c r="G278" s="10"/>
      <c r="H278" s="10"/>
      <c r="I278" s="38">
        <f t="shared" si="81"/>
        <v>0</v>
      </c>
      <c r="J278" s="10"/>
      <c r="K278" s="10"/>
      <c r="L278" s="10"/>
      <c r="M278" s="38">
        <f t="shared" si="82"/>
        <v>0</v>
      </c>
      <c r="N278" s="10"/>
      <c r="O278" s="10"/>
      <c r="P278" s="10"/>
      <c r="Q278" s="38">
        <f t="shared" si="83"/>
        <v>0</v>
      </c>
      <c r="R278" s="38">
        <f t="shared" si="79"/>
        <v>0</v>
      </c>
      <c r="T278" t="s">
        <v>2760</v>
      </c>
    </row>
    <row r="279" spans="1:20" ht="15.75" customHeight="1" x14ac:dyDescent="0.3">
      <c r="A279" s="569" t="s">
        <v>3314</v>
      </c>
      <c r="B279" s="10"/>
      <c r="C279" s="10"/>
      <c r="D279" s="10"/>
      <c r="E279" s="38">
        <f t="shared" si="101"/>
        <v>0</v>
      </c>
      <c r="F279" s="10"/>
      <c r="G279" s="10"/>
      <c r="H279" s="10"/>
      <c r="I279" s="38">
        <f t="shared" si="81"/>
        <v>0</v>
      </c>
      <c r="J279" s="10"/>
      <c r="K279" s="10"/>
      <c r="L279" s="10"/>
      <c r="M279" s="38">
        <f t="shared" si="82"/>
        <v>0</v>
      </c>
      <c r="N279" s="10"/>
      <c r="O279" s="10"/>
      <c r="P279" s="10"/>
      <c r="Q279" s="38">
        <f t="shared" ref="Q279" si="102">SUM(N279:P279)</f>
        <v>0</v>
      </c>
      <c r="R279" s="38">
        <f t="shared" si="79"/>
        <v>0</v>
      </c>
    </row>
    <row r="280" spans="1:20" ht="15.75" customHeight="1" x14ac:dyDescent="0.3">
      <c r="A280" s="410" t="s">
        <v>3291</v>
      </c>
      <c r="B280" s="10">
        <v>618</v>
      </c>
      <c r="C280" s="10">
        <v>1743</v>
      </c>
      <c r="D280" s="10">
        <v>489</v>
      </c>
      <c r="E280" s="38">
        <f t="shared" si="85"/>
        <v>2850</v>
      </c>
      <c r="F280" s="10"/>
      <c r="G280" s="10"/>
      <c r="H280" s="10"/>
      <c r="I280" s="38">
        <f t="shared" si="81"/>
        <v>0</v>
      </c>
      <c r="J280" s="10"/>
      <c r="K280" s="10"/>
      <c r="L280" s="10"/>
      <c r="M280" s="38">
        <f t="shared" si="82"/>
        <v>0</v>
      </c>
      <c r="N280" s="10"/>
      <c r="O280" s="10"/>
      <c r="P280" s="10"/>
      <c r="Q280" s="38">
        <f t="shared" si="83"/>
        <v>0</v>
      </c>
      <c r="R280" s="38">
        <f t="shared" si="79"/>
        <v>2850</v>
      </c>
      <c r="T280" t="s">
        <v>2775</v>
      </c>
    </row>
    <row r="281" spans="1:20" ht="15.75" customHeight="1" x14ac:dyDescent="0.3">
      <c r="A281" s="410" t="s">
        <v>3293</v>
      </c>
      <c r="B281" s="10"/>
      <c r="C281" s="10"/>
      <c r="D281" s="10"/>
      <c r="E281" s="38">
        <f t="shared" si="85"/>
        <v>0</v>
      </c>
      <c r="F281" s="10"/>
      <c r="G281" s="10"/>
      <c r="H281" s="10"/>
      <c r="I281" s="38">
        <f>SUM(F281:H281)</f>
        <v>0</v>
      </c>
      <c r="J281" s="10"/>
      <c r="K281" s="10"/>
      <c r="L281" s="10"/>
      <c r="M281" s="38">
        <f t="shared" si="82"/>
        <v>0</v>
      </c>
      <c r="N281" s="10"/>
      <c r="O281" s="10"/>
      <c r="P281" s="10"/>
      <c r="Q281" s="38">
        <f t="shared" si="83"/>
        <v>0</v>
      </c>
      <c r="R281" s="38">
        <f t="shared" si="79"/>
        <v>0</v>
      </c>
      <c r="S281" t="s">
        <v>3020</v>
      </c>
    </row>
    <row r="282" spans="1:20" ht="15.75" customHeight="1" x14ac:dyDescent="0.3">
      <c r="A282" s="410" t="s">
        <v>3313</v>
      </c>
      <c r="B282" s="10"/>
      <c r="C282" s="10"/>
      <c r="D282" s="10"/>
      <c r="E282" s="38">
        <f t="shared" si="85"/>
        <v>0</v>
      </c>
      <c r="F282" s="10"/>
      <c r="G282" s="10"/>
      <c r="H282" s="10"/>
      <c r="I282" s="38">
        <f>SUM(F282:H282)</f>
        <v>0</v>
      </c>
      <c r="J282" s="10"/>
      <c r="K282" s="10"/>
      <c r="L282" s="10"/>
      <c r="M282" s="38">
        <f t="shared" si="82"/>
        <v>0</v>
      </c>
      <c r="N282" s="10"/>
      <c r="O282" s="10"/>
      <c r="P282" s="10"/>
      <c r="Q282" s="38">
        <f t="shared" ref="Q282" si="103">SUM(N282:P282)</f>
        <v>0</v>
      </c>
      <c r="R282" s="38">
        <f t="shared" si="79"/>
        <v>0</v>
      </c>
    </row>
    <row r="283" spans="1:20" ht="15.75" customHeight="1" x14ac:dyDescent="0.3">
      <c r="A283" s="410" t="s">
        <v>3294</v>
      </c>
      <c r="B283" s="10">
        <v>95</v>
      </c>
      <c r="C283" s="10"/>
      <c r="D283" s="10"/>
      <c r="E283" s="38">
        <f t="shared" si="85"/>
        <v>95</v>
      </c>
      <c r="F283" s="10"/>
      <c r="G283" s="10"/>
      <c r="H283" s="10"/>
      <c r="I283" s="38">
        <f t="shared" si="81"/>
        <v>0</v>
      </c>
      <c r="J283" s="10"/>
      <c r="K283" s="10"/>
      <c r="L283" s="10"/>
      <c r="M283" s="38">
        <f t="shared" si="82"/>
        <v>0</v>
      </c>
      <c r="N283" s="10"/>
      <c r="O283" s="10"/>
      <c r="P283" s="10"/>
      <c r="Q283" s="38">
        <f t="shared" si="83"/>
        <v>0</v>
      </c>
      <c r="R283" s="38">
        <f t="shared" si="79"/>
        <v>95</v>
      </c>
    </row>
    <row r="284" spans="1:20" ht="15.75" customHeight="1" x14ac:dyDescent="0.3">
      <c r="A284" s="410" t="s">
        <v>3295</v>
      </c>
      <c r="B284" s="10">
        <v>95</v>
      </c>
      <c r="C284" s="10"/>
      <c r="D284" s="10"/>
      <c r="E284" s="38">
        <f t="shared" si="85"/>
        <v>95</v>
      </c>
      <c r="F284" s="10"/>
      <c r="G284" s="10"/>
      <c r="H284" s="10"/>
      <c r="I284" s="38">
        <f t="shared" si="81"/>
        <v>0</v>
      </c>
      <c r="J284" s="10"/>
      <c r="K284" s="10"/>
      <c r="L284" s="10"/>
      <c r="M284" s="38">
        <f t="shared" si="82"/>
        <v>0</v>
      </c>
      <c r="N284" s="10"/>
      <c r="O284" s="10"/>
      <c r="P284" s="10"/>
      <c r="Q284" s="38">
        <f t="shared" si="83"/>
        <v>0</v>
      </c>
      <c r="R284" s="38">
        <f t="shared" si="79"/>
        <v>95</v>
      </c>
      <c r="S284" t="s">
        <v>3020</v>
      </c>
      <c r="T284" t="s">
        <v>2760</v>
      </c>
    </row>
    <row r="285" spans="1:20" ht="15.75" customHeight="1" x14ac:dyDescent="0.3">
      <c r="A285" s="410" t="s">
        <v>3053</v>
      </c>
      <c r="B285" s="10"/>
      <c r="C285" s="10">
        <v>494</v>
      </c>
      <c r="D285" s="10"/>
      <c r="E285" s="38">
        <f>SUM(B285:D285)</f>
        <v>494</v>
      </c>
      <c r="F285" s="10"/>
      <c r="G285" s="10">
        <v>3606</v>
      </c>
      <c r="H285" s="10">
        <v>600</v>
      </c>
      <c r="I285" s="38">
        <f>SUM(F285:H285)</f>
        <v>4206</v>
      </c>
      <c r="J285" s="10">
        <v>400</v>
      </c>
      <c r="K285" s="10">
        <v>1000</v>
      </c>
      <c r="L285" s="10">
        <v>600</v>
      </c>
      <c r="M285" s="38">
        <f>SUM(J285:L285)</f>
        <v>2000</v>
      </c>
      <c r="N285" s="10"/>
      <c r="O285" s="10"/>
      <c r="P285" s="10"/>
      <c r="Q285" s="38">
        <f>SUM(N285:P285)</f>
        <v>0</v>
      </c>
      <c r="R285" s="38">
        <f t="shared" ref="R285:R290" si="104">+E285+I285+M285+Q285</f>
        <v>6700</v>
      </c>
      <c r="S285" t="s">
        <v>3020</v>
      </c>
      <c r="T285" t="s">
        <v>2760</v>
      </c>
    </row>
    <row r="286" spans="1:20" ht="15.75" customHeight="1" x14ac:dyDescent="0.3">
      <c r="A286" s="410" t="s">
        <v>3428</v>
      </c>
      <c r="B286" s="10"/>
      <c r="C286" s="10"/>
      <c r="D286" s="10"/>
      <c r="E286" s="38">
        <f>SUM(B286:D286)</f>
        <v>0</v>
      </c>
      <c r="F286" s="10"/>
      <c r="G286" s="10"/>
      <c r="H286" s="10">
        <v>3600</v>
      </c>
      <c r="I286" s="38">
        <f>SUM(F286:H286)</f>
        <v>3600</v>
      </c>
      <c r="J286" s="10"/>
      <c r="K286" s="10"/>
      <c r="L286" s="10">
        <v>718</v>
      </c>
      <c r="M286" s="38">
        <f>SUM(J286:L286)</f>
        <v>718</v>
      </c>
      <c r="N286" s="10">
        <v>1282</v>
      </c>
      <c r="O286" s="10"/>
      <c r="P286" s="10"/>
      <c r="Q286" s="38">
        <f>SUM(N286:P286)</f>
        <v>1282</v>
      </c>
      <c r="R286" s="38">
        <f t="shared" si="104"/>
        <v>5600</v>
      </c>
    </row>
    <row r="287" spans="1:20" ht="15.75" customHeight="1" x14ac:dyDescent="0.3">
      <c r="A287" s="410" t="s">
        <v>3275</v>
      </c>
      <c r="B287" s="10"/>
      <c r="C287" s="10"/>
      <c r="D287" s="10"/>
      <c r="E287" s="38">
        <f>SUM(B287:D287)</f>
        <v>0</v>
      </c>
      <c r="F287" s="10"/>
      <c r="G287" s="10"/>
      <c r="H287" s="10"/>
      <c r="I287" s="38">
        <f>SUM(F287:H287)</f>
        <v>0</v>
      </c>
      <c r="J287" s="10"/>
      <c r="K287" s="10"/>
      <c r="L287" s="10"/>
      <c r="M287" s="38">
        <f>SUM(J287:L287)</f>
        <v>0</v>
      </c>
      <c r="N287" s="10"/>
      <c r="O287" s="10"/>
      <c r="P287" s="10"/>
      <c r="Q287" s="38">
        <f t="shared" ref="Q287" si="105">SUM(N287:P287)</f>
        <v>0</v>
      </c>
      <c r="R287" s="38">
        <f t="shared" si="104"/>
        <v>0</v>
      </c>
      <c r="T287" t="s">
        <v>2760</v>
      </c>
    </row>
    <row r="288" spans="1:20" ht="15.75" customHeight="1" x14ac:dyDescent="0.3">
      <c r="A288" s="410" t="s">
        <v>3154</v>
      </c>
      <c r="B288" s="10"/>
      <c r="C288" s="10"/>
      <c r="D288" s="10"/>
      <c r="E288" s="38">
        <f t="shared" ref="E288:E290" si="106">SUM(B288:D288)</f>
        <v>0</v>
      </c>
      <c r="F288" s="10"/>
      <c r="G288" s="10"/>
      <c r="H288" s="10"/>
      <c r="I288" s="38">
        <f t="shared" ref="I288:I290" si="107">SUM(F288:H288)</f>
        <v>0</v>
      </c>
      <c r="J288" s="10"/>
      <c r="K288" s="10"/>
      <c r="L288" s="10"/>
      <c r="M288" s="38">
        <f t="shared" ref="M288:M291" si="108">SUM(J288:L288)</f>
        <v>0</v>
      </c>
      <c r="N288" s="10"/>
      <c r="O288" s="10"/>
      <c r="P288" s="10"/>
      <c r="Q288" s="38">
        <f t="shared" ref="Q288" si="109">SUM(N288:P288)</f>
        <v>0</v>
      </c>
      <c r="R288" s="38">
        <f t="shared" si="104"/>
        <v>0</v>
      </c>
      <c r="T288" t="s">
        <v>2760</v>
      </c>
    </row>
    <row r="289" spans="1:20" ht="15.75" customHeight="1" x14ac:dyDescent="0.3">
      <c r="A289" s="569" t="s">
        <v>3426</v>
      </c>
      <c r="B289" s="10"/>
      <c r="C289" s="10"/>
      <c r="D289" s="10"/>
      <c r="E289" s="38">
        <f t="shared" si="106"/>
        <v>0</v>
      </c>
      <c r="F289" s="10"/>
      <c r="G289" s="10"/>
      <c r="H289" s="10"/>
      <c r="I289" s="38">
        <f t="shared" si="107"/>
        <v>0</v>
      </c>
      <c r="J289" s="10"/>
      <c r="K289" s="10"/>
      <c r="L289" s="10"/>
      <c r="M289" s="38">
        <f t="shared" si="108"/>
        <v>0</v>
      </c>
      <c r="N289" s="10"/>
      <c r="O289" s="10"/>
      <c r="P289" s="10"/>
      <c r="Q289" s="38">
        <f t="shared" ref="Q289" si="110">SUM(N289:P289)</f>
        <v>0</v>
      </c>
      <c r="R289" s="38">
        <f t="shared" si="104"/>
        <v>0</v>
      </c>
    </row>
    <row r="290" spans="1:20" ht="15.75" customHeight="1" x14ac:dyDescent="0.3">
      <c r="A290" s="410" t="s">
        <v>3462</v>
      </c>
      <c r="B290" s="10"/>
      <c r="C290" s="10"/>
      <c r="D290" s="10"/>
      <c r="E290" s="38">
        <f t="shared" si="106"/>
        <v>0</v>
      </c>
      <c r="F290" s="10"/>
      <c r="G290" s="10"/>
      <c r="H290" s="10"/>
      <c r="I290" s="38">
        <f t="shared" si="107"/>
        <v>0</v>
      </c>
      <c r="J290" s="10"/>
      <c r="K290" s="10"/>
      <c r="L290" s="10">
        <v>300</v>
      </c>
      <c r="M290" s="38">
        <f t="shared" si="108"/>
        <v>300</v>
      </c>
      <c r="N290" s="10">
        <v>200</v>
      </c>
      <c r="O290" s="10">
        <v>200</v>
      </c>
      <c r="P290" s="10"/>
      <c r="Q290" s="38">
        <f t="shared" ref="Q290" si="111">SUM(N290:P290)</f>
        <v>400</v>
      </c>
      <c r="R290" s="38">
        <f t="shared" si="104"/>
        <v>700</v>
      </c>
    </row>
    <row r="291" spans="1:20" ht="15.75" customHeight="1" x14ac:dyDescent="0.3">
      <c r="A291" s="410" t="s">
        <v>3385</v>
      </c>
      <c r="B291" s="10"/>
      <c r="C291" s="10"/>
      <c r="D291" s="10">
        <v>184</v>
      </c>
      <c r="E291" s="38">
        <f t="shared" ref="E291" si="112">SUM(B291:D291)</f>
        <v>184</v>
      </c>
      <c r="F291" s="10">
        <v>184</v>
      </c>
      <c r="G291" s="10">
        <v>276</v>
      </c>
      <c r="H291" s="10">
        <v>276</v>
      </c>
      <c r="I291" s="38">
        <f t="shared" ref="I291" si="113">SUM(F291:H291)</f>
        <v>736</v>
      </c>
      <c r="J291" s="10">
        <v>276</v>
      </c>
      <c r="K291" s="10">
        <v>276</v>
      </c>
      <c r="L291" s="10">
        <v>184</v>
      </c>
      <c r="M291" s="38">
        <f t="shared" si="108"/>
        <v>736</v>
      </c>
      <c r="N291" s="10">
        <v>184</v>
      </c>
      <c r="O291" s="10">
        <v>92</v>
      </c>
      <c r="P291" s="10">
        <v>92</v>
      </c>
      <c r="Q291" s="38">
        <f t="shared" si="83"/>
        <v>368</v>
      </c>
      <c r="R291" s="38">
        <f t="shared" si="79"/>
        <v>2024</v>
      </c>
      <c r="S291" t="s">
        <v>3020</v>
      </c>
    </row>
    <row r="292" spans="1:20" ht="15.75" customHeight="1" x14ac:dyDescent="0.3">
      <c r="A292" s="410" t="s">
        <v>1453</v>
      </c>
      <c r="B292" s="10">
        <v>814</v>
      </c>
      <c r="C292" s="10">
        <f>16+3767+63+92</f>
        <v>3938</v>
      </c>
      <c r="D292" s="10">
        <f>15+3874+50+101</f>
        <v>4040</v>
      </c>
      <c r="E292" s="38">
        <f>SUM(B292:D292)</f>
        <v>8792</v>
      </c>
      <c r="F292" s="10">
        <v>2208</v>
      </c>
      <c r="G292" s="10"/>
      <c r="H292" s="10"/>
      <c r="I292" s="38">
        <f>SUM(F292:H292)</f>
        <v>2208</v>
      </c>
      <c r="J292" s="10"/>
      <c r="K292" s="10"/>
      <c r="L292" s="10"/>
      <c r="M292" s="38">
        <f>SUM(J292:L292)</f>
        <v>0</v>
      </c>
      <c r="N292" s="10"/>
      <c r="O292" s="10"/>
      <c r="P292" s="10"/>
      <c r="Q292" s="38">
        <f>SUM(N292:P292)</f>
        <v>0</v>
      </c>
      <c r="R292" s="38">
        <f>+E292+I292+M292+Q292</f>
        <v>11000</v>
      </c>
      <c r="S292" t="s">
        <v>3020</v>
      </c>
    </row>
    <row r="293" spans="1:20" ht="15.75" customHeight="1" x14ac:dyDescent="0.3">
      <c r="A293" s="410" t="s">
        <v>3080</v>
      </c>
      <c r="B293" s="10"/>
      <c r="C293" s="10"/>
      <c r="D293" s="10"/>
      <c r="E293" s="38">
        <f>SUM(B293:D293)</f>
        <v>0</v>
      </c>
      <c r="F293" s="10"/>
      <c r="G293" s="10"/>
      <c r="H293" s="10"/>
      <c r="I293" s="38">
        <f>SUM(F293:H293)</f>
        <v>0</v>
      </c>
      <c r="J293" s="10"/>
      <c r="K293" s="10"/>
      <c r="L293" s="10"/>
      <c r="M293" s="38">
        <f>SUM(J293:L293)</f>
        <v>0</v>
      </c>
      <c r="N293" s="10"/>
      <c r="O293" s="10"/>
      <c r="P293" s="10"/>
      <c r="Q293" s="38">
        <f>SUM(N293:P293)</f>
        <v>0</v>
      </c>
      <c r="R293" s="38">
        <f>+E293+I293+M293+Q293</f>
        <v>0</v>
      </c>
    </row>
    <row r="294" spans="1:20" ht="15.75" customHeight="1" x14ac:dyDescent="0.3">
      <c r="A294" s="410" t="s">
        <v>3136</v>
      </c>
      <c r="B294" s="10"/>
      <c r="C294" s="10"/>
      <c r="D294" s="10"/>
      <c r="E294" s="38">
        <f t="shared" ref="E294" si="114">SUM(B294:D294)</f>
        <v>0</v>
      </c>
      <c r="F294" s="10"/>
      <c r="G294" s="10"/>
      <c r="H294" s="10"/>
      <c r="I294" s="38">
        <f t="shared" ref="I294" si="115">SUM(F294:H294)</f>
        <v>0</v>
      </c>
      <c r="J294" s="10"/>
      <c r="K294" s="10"/>
      <c r="L294" s="10"/>
      <c r="M294" s="38">
        <f t="shared" ref="M294" si="116">SUM(J294:L294)</f>
        <v>0</v>
      </c>
      <c r="N294" s="10"/>
      <c r="O294" s="10"/>
      <c r="P294" s="10"/>
      <c r="Q294" s="38">
        <f t="shared" ref="Q294" si="117">SUM(N294:P294)</f>
        <v>0</v>
      </c>
      <c r="R294" s="38">
        <f t="shared" ref="R294" si="118">+E294+I294+M294+Q294</f>
        <v>0</v>
      </c>
    </row>
    <row r="295" spans="1:20" ht="15.75" customHeight="1" x14ac:dyDescent="0.3">
      <c r="A295" s="410" t="s">
        <v>1410</v>
      </c>
      <c r="B295" s="10">
        <v>500</v>
      </c>
      <c r="C295" s="10"/>
      <c r="D295" s="10"/>
      <c r="E295" s="38">
        <f t="shared" ref="E295:E296" si="119">SUM(B295:D295)</f>
        <v>500</v>
      </c>
      <c r="F295" s="10"/>
      <c r="G295" s="10"/>
      <c r="H295" s="10"/>
      <c r="I295" s="38">
        <f t="shared" si="81"/>
        <v>0</v>
      </c>
      <c r="J295" s="10"/>
      <c r="K295" s="10"/>
      <c r="L295" s="10"/>
      <c r="M295" s="38">
        <f t="shared" si="82"/>
        <v>0</v>
      </c>
      <c r="N295" s="10"/>
      <c r="O295" s="10"/>
      <c r="P295" s="10"/>
      <c r="Q295" s="38">
        <f t="shared" si="83"/>
        <v>0</v>
      </c>
      <c r="R295" s="38">
        <f t="shared" si="79"/>
        <v>500</v>
      </c>
    </row>
    <row r="296" spans="1:20" ht="15.75" customHeight="1" x14ac:dyDescent="0.3">
      <c r="A296" s="410" t="s">
        <v>3423</v>
      </c>
      <c r="B296" s="10"/>
      <c r="C296" s="10"/>
      <c r="D296" s="10"/>
      <c r="E296" s="38">
        <f t="shared" si="119"/>
        <v>0</v>
      </c>
      <c r="F296" s="10"/>
      <c r="G296" s="10"/>
      <c r="H296" s="10">
        <f>410+1012</f>
        <v>1422</v>
      </c>
      <c r="I296" s="38">
        <f t="shared" si="81"/>
        <v>1422</v>
      </c>
      <c r="J296" s="10">
        <f>702+398</f>
        <v>1100</v>
      </c>
      <c r="K296" s="10">
        <v>1040</v>
      </c>
      <c r="L296" s="10">
        <v>469</v>
      </c>
      <c r="M296" s="38">
        <f t="shared" si="82"/>
        <v>2609</v>
      </c>
      <c r="N296" s="10">
        <v>469</v>
      </c>
      <c r="O296" s="10"/>
      <c r="P296" s="10"/>
      <c r="Q296" s="38">
        <f t="shared" si="83"/>
        <v>469</v>
      </c>
      <c r="R296" s="38">
        <f t="shared" si="79"/>
        <v>4500</v>
      </c>
    </row>
    <row r="297" spans="1:20" ht="15.75" customHeight="1" thickBot="1" x14ac:dyDescent="0.35">
      <c r="A297" s="410" t="s">
        <v>3025</v>
      </c>
      <c r="B297" s="10"/>
      <c r="C297" s="10"/>
      <c r="D297" s="10"/>
      <c r="E297" s="38">
        <f>SUM(B297:D297)</f>
        <v>0</v>
      </c>
      <c r="F297" s="10"/>
      <c r="G297" s="10"/>
      <c r="H297" s="10"/>
      <c r="I297" s="38">
        <f>SUM(F297:H297)</f>
        <v>0</v>
      </c>
      <c r="J297" s="10"/>
      <c r="K297" s="10"/>
      <c r="L297" s="10"/>
      <c r="M297" s="38">
        <f>SUM(J297:L297)</f>
        <v>0</v>
      </c>
      <c r="N297" s="10"/>
      <c r="O297" s="10"/>
      <c r="P297" s="10">
        <v>128</v>
      </c>
      <c r="Q297" s="38">
        <f>SUM(N297:P297)</f>
        <v>128</v>
      </c>
      <c r="R297" s="38">
        <f t="shared" si="79"/>
        <v>128</v>
      </c>
      <c r="S297" s="709" t="s">
        <v>3020</v>
      </c>
    </row>
    <row r="298" spans="1:20" ht="16.5" customHeight="1" thickBot="1" x14ac:dyDescent="0.35">
      <c r="A298" s="43" t="s">
        <v>1220</v>
      </c>
      <c r="B298" s="45">
        <f>SUM(B227:B297)</f>
        <v>4840</v>
      </c>
      <c r="C298" s="46">
        <f>SUM(C227:C297)</f>
        <v>7925</v>
      </c>
      <c r="D298" s="46">
        <f>SUM(D227:D297)</f>
        <v>10372</v>
      </c>
      <c r="E298" s="37">
        <f t="shared" ref="E298" si="120">SUM(B298:D298)</f>
        <v>23137</v>
      </c>
      <c r="F298" s="46">
        <f>SUM(F227:F297)</f>
        <v>10571</v>
      </c>
      <c r="G298" s="46">
        <f>SUM(G227:G297)</f>
        <v>12567</v>
      </c>
      <c r="H298" s="46">
        <f>SUM(H227:H297)</f>
        <v>12969</v>
      </c>
      <c r="I298" s="37">
        <f t="shared" ref="I298" si="121">SUM(F298:H298)</f>
        <v>36107</v>
      </c>
      <c r="J298" s="46">
        <f>SUM(J227:J297)</f>
        <v>9548</v>
      </c>
      <c r="K298" s="46">
        <f>SUM(K227:K297)</f>
        <v>8418</v>
      </c>
      <c r="L298" s="46">
        <f>SUM(L227:L297)</f>
        <v>4980</v>
      </c>
      <c r="M298" s="37">
        <f t="shared" ref="M298" si="122">SUM(J298:L298)</f>
        <v>22946</v>
      </c>
      <c r="N298" s="46">
        <f>SUM(N227:N297)</f>
        <v>3740</v>
      </c>
      <c r="O298" s="46">
        <f>SUM(O227:O297)</f>
        <v>1466</v>
      </c>
      <c r="P298" s="46">
        <f>SUM(P227:P297)</f>
        <v>6903</v>
      </c>
      <c r="Q298" s="37">
        <f t="shared" ref="Q298" si="123">SUM(N298:P298)</f>
        <v>12109</v>
      </c>
      <c r="R298" s="37">
        <f t="shared" si="79"/>
        <v>94299</v>
      </c>
    </row>
    <row r="299" spans="1:20" ht="15.75" customHeight="1" x14ac:dyDescent="0.3">
      <c r="A299" s="234" t="s">
        <v>1712</v>
      </c>
      <c r="B299" s="10"/>
      <c r="C299" s="10"/>
      <c r="D299" s="10"/>
      <c r="E299" s="38" t="s">
        <v>852</v>
      </c>
      <c r="F299" s="10"/>
      <c r="G299" s="10"/>
      <c r="H299" s="10"/>
      <c r="I299" s="38" t="s">
        <v>852</v>
      </c>
      <c r="J299" s="10"/>
      <c r="K299" s="10"/>
      <c r="L299" s="10"/>
      <c r="M299" s="38" t="s">
        <v>852</v>
      </c>
      <c r="N299" s="10"/>
      <c r="O299" s="10"/>
      <c r="P299" s="10"/>
      <c r="Q299" s="38" t="s">
        <v>852</v>
      </c>
      <c r="R299" s="38" t="s">
        <v>852</v>
      </c>
    </row>
    <row r="300" spans="1:20" ht="15.75" customHeight="1" x14ac:dyDescent="0.3">
      <c r="A300" s="234" t="s">
        <v>1021</v>
      </c>
      <c r="B300" s="10"/>
      <c r="C300" s="10"/>
      <c r="D300" s="10"/>
      <c r="E300" s="38" t="s">
        <v>852</v>
      </c>
      <c r="F300" s="10"/>
      <c r="G300" s="10"/>
      <c r="H300" s="10"/>
      <c r="I300" s="38" t="s">
        <v>852</v>
      </c>
      <c r="J300" s="10"/>
      <c r="K300" s="10"/>
      <c r="L300" s="10"/>
      <c r="M300" s="38" t="s">
        <v>852</v>
      </c>
      <c r="N300" s="10"/>
      <c r="O300" s="10"/>
      <c r="P300" s="10"/>
      <c r="Q300" s="38" t="s">
        <v>852</v>
      </c>
      <c r="R300" s="38" t="s">
        <v>852</v>
      </c>
    </row>
    <row r="301" spans="1:20" ht="15.75" customHeight="1" x14ac:dyDescent="0.3">
      <c r="A301" s="618" t="s">
        <v>2796</v>
      </c>
      <c r="B301" s="10"/>
      <c r="C301" s="10"/>
      <c r="D301" s="10"/>
      <c r="E301" s="38">
        <f>SUM(B301:D301)</f>
        <v>0</v>
      </c>
      <c r="F301" s="10"/>
      <c r="G301" s="10"/>
      <c r="H301" s="10"/>
      <c r="I301" s="38">
        <f>SUM(F301:H301)</f>
        <v>0</v>
      </c>
      <c r="J301" s="10"/>
      <c r="K301" s="10"/>
      <c r="L301" s="10"/>
      <c r="M301" s="38">
        <f>SUM(J301:L301)</f>
        <v>0</v>
      </c>
      <c r="N301" s="10"/>
      <c r="O301" s="10"/>
      <c r="P301" s="10"/>
      <c r="Q301" s="38">
        <f>SUM(N301:P301)</f>
        <v>0</v>
      </c>
      <c r="R301" s="38">
        <f>+E301+I301+M301+Q301</f>
        <v>0</v>
      </c>
      <c r="T301" t="s">
        <v>2760</v>
      </c>
    </row>
    <row r="302" spans="1:20" ht="15.75" customHeight="1" x14ac:dyDescent="0.3">
      <c r="A302" s="568" t="s">
        <v>3252</v>
      </c>
      <c r="B302" s="10"/>
      <c r="C302" s="10"/>
      <c r="D302" s="10"/>
      <c r="E302" s="38">
        <f>SUM(B302:D302)</f>
        <v>0</v>
      </c>
      <c r="F302" s="10"/>
      <c r="G302" s="10"/>
      <c r="H302" s="10"/>
      <c r="I302" s="38">
        <f>SUM(F302:H302)</f>
        <v>0</v>
      </c>
      <c r="J302" s="10"/>
      <c r="K302" s="10"/>
      <c r="L302" s="10"/>
      <c r="M302" s="38">
        <f>SUM(J302:L302)</f>
        <v>0</v>
      </c>
      <c r="N302" s="10"/>
      <c r="O302" s="10"/>
      <c r="P302" s="10"/>
      <c r="Q302" s="38">
        <f>SUM(N302:P302)</f>
        <v>0</v>
      </c>
      <c r="R302" s="38">
        <f>+E302+I302+M302+Q302</f>
        <v>0</v>
      </c>
      <c r="T302" t="s">
        <v>2769</v>
      </c>
    </row>
    <row r="303" spans="1:20" ht="15.75" customHeight="1" x14ac:dyDescent="0.3">
      <c r="A303" s="568" t="s">
        <v>3253</v>
      </c>
      <c r="B303" s="10"/>
      <c r="C303" s="10"/>
      <c r="D303" s="10"/>
      <c r="E303" s="38">
        <f>SUM(B303:D303)</f>
        <v>0</v>
      </c>
      <c r="F303" s="10"/>
      <c r="G303" s="10"/>
      <c r="H303" s="10"/>
      <c r="I303" s="38">
        <f>SUM(F303:H303)</f>
        <v>0</v>
      </c>
      <c r="J303" s="10"/>
      <c r="K303" s="10"/>
      <c r="L303" s="10"/>
      <c r="M303" s="38">
        <f>SUM(J303:L303)</f>
        <v>0</v>
      </c>
      <c r="N303" s="10"/>
      <c r="O303" s="10"/>
      <c r="P303" s="10"/>
      <c r="Q303" s="38">
        <f>SUM(N303:P303)</f>
        <v>0</v>
      </c>
      <c r="R303" s="38">
        <f>+E303+I303+M303+Q303</f>
        <v>0</v>
      </c>
      <c r="T303" t="s">
        <v>2770</v>
      </c>
    </row>
    <row r="304" spans="1:20" ht="15.75" customHeight="1" x14ac:dyDescent="0.3">
      <c r="A304" s="234" t="s">
        <v>557</v>
      </c>
      <c r="B304" s="10"/>
      <c r="C304" s="10"/>
      <c r="D304" s="10"/>
      <c r="E304" s="38" t="s">
        <v>852</v>
      </c>
      <c r="F304" s="10"/>
      <c r="G304" s="10"/>
      <c r="H304" s="10"/>
      <c r="I304" s="38" t="s">
        <v>852</v>
      </c>
      <c r="J304" s="10"/>
      <c r="K304" s="10"/>
      <c r="L304" s="10"/>
      <c r="M304" s="38" t="s">
        <v>852</v>
      </c>
      <c r="N304" s="10"/>
      <c r="O304" s="10"/>
      <c r="P304" s="10"/>
      <c r="Q304" s="38" t="s">
        <v>852</v>
      </c>
      <c r="R304" s="38" t="s">
        <v>852</v>
      </c>
    </row>
    <row r="305" spans="1:20" ht="15.75" customHeight="1" x14ac:dyDescent="0.3">
      <c r="A305" s="568" t="s">
        <v>3006</v>
      </c>
      <c r="B305" s="10"/>
      <c r="C305" s="10"/>
      <c r="D305" s="10"/>
      <c r="E305" s="38">
        <f>SUM(B305:D305)</f>
        <v>0</v>
      </c>
      <c r="F305" s="10"/>
      <c r="G305" s="10"/>
      <c r="H305" s="10"/>
      <c r="I305" s="38">
        <f>SUM(F305:H305)</f>
        <v>0</v>
      </c>
      <c r="J305" s="10"/>
      <c r="K305" s="10"/>
      <c r="L305" s="10"/>
      <c r="M305" s="38">
        <f>SUM(J305:L305)</f>
        <v>0</v>
      </c>
      <c r="N305" s="10"/>
      <c r="O305" s="10"/>
      <c r="P305" s="10"/>
      <c r="Q305" s="38">
        <f>SUM(N305:P305)</f>
        <v>0</v>
      </c>
      <c r="R305" s="38">
        <f>+E305+I305+M305+Q305</f>
        <v>0</v>
      </c>
    </row>
    <row r="306" spans="1:20" ht="15.75" customHeight="1" x14ac:dyDescent="0.3">
      <c r="A306" s="568" t="s">
        <v>3010</v>
      </c>
      <c r="B306" s="10"/>
      <c r="C306" s="10"/>
      <c r="D306" s="10"/>
      <c r="E306" s="38">
        <f>SUM(B306:D306)</f>
        <v>0</v>
      </c>
      <c r="F306" s="10"/>
      <c r="G306" s="10"/>
      <c r="H306" s="10"/>
      <c r="I306" s="38">
        <f>SUM(F306:H306)</f>
        <v>0</v>
      </c>
      <c r="J306" s="10"/>
      <c r="K306" s="10"/>
      <c r="L306" s="10"/>
      <c r="M306" s="38">
        <f>SUM(J306:L306)</f>
        <v>0</v>
      </c>
      <c r="N306" s="10"/>
      <c r="O306" s="10"/>
      <c r="P306" s="10"/>
      <c r="Q306" s="38">
        <f>SUM(N306:P306)</f>
        <v>0</v>
      </c>
      <c r="R306" s="38">
        <f>+E306+I306+M306+Q306</f>
        <v>0</v>
      </c>
      <c r="T306">
        <f>24000-SUM(R156,R160,R180,R183,R197,R215,R251,R253,R275,R302,R305,R306)</f>
        <v>5691</v>
      </c>
    </row>
    <row r="307" spans="1:20" ht="15.75" customHeight="1" x14ac:dyDescent="0.3">
      <c r="A307" s="539" t="s">
        <v>3021</v>
      </c>
      <c r="B307" s="10"/>
      <c r="C307" s="10"/>
      <c r="D307" s="10"/>
      <c r="E307" s="38">
        <f t="shared" ref="E307:E312" si="124">SUM(B307:D307)</f>
        <v>0</v>
      </c>
      <c r="F307" s="10"/>
      <c r="G307" s="10"/>
      <c r="H307" s="10"/>
      <c r="I307" s="38">
        <f t="shared" ref="I307:I312" si="125">SUM(F307:H307)</f>
        <v>0</v>
      </c>
      <c r="J307" s="10"/>
      <c r="K307" s="10"/>
      <c r="L307" s="10"/>
      <c r="M307" s="38">
        <f t="shared" ref="M307:M312" si="126">SUM(J307:L307)</f>
        <v>0</v>
      </c>
      <c r="N307" s="10"/>
      <c r="O307" s="10"/>
      <c r="P307" s="10"/>
      <c r="Q307" s="38">
        <f t="shared" ref="Q307:Q312" si="127">SUM(N307:P307)</f>
        <v>0</v>
      </c>
      <c r="R307" s="38">
        <f t="shared" ref="R307:R312" si="128">+E307+I307+M307+Q307</f>
        <v>0</v>
      </c>
      <c r="S307" t="s">
        <v>3020</v>
      </c>
    </row>
    <row r="308" spans="1:20" ht="15.75" customHeight="1" x14ac:dyDescent="0.3">
      <c r="A308" s="539" t="s">
        <v>2561</v>
      </c>
      <c r="B308" s="10"/>
      <c r="C308" s="10"/>
      <c r="D308" s="10"/>
      <c r="E308" s="38">
        <f t="shared" si="124"/>
        <v>0</v>
      </c>
      <c r="F308" s="10"/>
      <c r="G308" s="10"/>
      <c r="H308" s="10"/>
      <c r="I308" s="38">
        <f t="shared" si="125"/>
        <v>0</v>
      </c>
      <c r="J308" s="10"/>
      <c r="K308" s="10"/>
      <c r="L308" s="10"/>
      <c r="M308" s="38">
        <f t="shared" si="126"/>
        <v>0</v>
      </c>
      <c r="N308" s="10"/>
      <c r="O308" s="10"/>
      <c r="P308" s="10"/>
      <c r="Q308" s="38">
        <f t="shared" si="127"/>
        <v>0</v>
      </c>
      <c r="R308" s="38">
        <f t="shared" si="128"/>
        <v>0</v>
      </c>
    </row>
    <row r="309" spans="1:20" ht="15.75" customHeight="1" x14ac:dyDescent="0.3">
      <c r="A309" s="569" t="s">
        <v>2828</v>
      </c>
      <c r="B309" s="10"/>
      <c r="C309" s="10"/>
      <c r="D309" s="10"/>
      <c r="E309" s="38">
        <f t="shared" si="124"/>
        <v>0</v>
      </c>
      <c r="F309" s="10"/>
      <c r="G309" s="10"/>
      <c r="H309" s="10"/>
      <c r="I309" s="38">
        <f t="shared" si="125"/>
        <v>0</v>
      </c>
      <c r="J309" s="10"/>
      <c r="K309" s="10"/>
      <c r="L309" s="10"/>
      <c r="M309" s="38">
        <f t="shared" si="126"/>
        <v>0</v>
      </c>
      <c r="N309" s="10"/>
      <c r="O309" s="10"/>
      <c r="P309" s="10"/>
      <c r="Q309" s="38">
        <f t="shared" si="127"/>
        <v>0</v>
      </c>
      <c r="R309" s="38">
        <f t="shared" si="128"/>
        <v>0</v>
      </c>
    </row>
    <row r="310" spans="1:20" ht="15.75" customHeight="1" x14ac:dyDescent="0.3">
      <c r="A310" s="569" t="s">
        <v>2563</v>
      </c>
      <c r="B310" s="10"/>
      <c r="C310" s="10"/>
      <c r="D310" s="10"/>
      <c r="E310" s="38">
        <f t="shared" si="124"/>
        <v>0</v>
      </c>
      <c r="F310" s="10"/>
      <c r="G310" s="10"/>
      <c r="H310" s="10"/>
      <c r="I310" s="38">
        <f t="shared" si="125"/>
        <v>0</v>
      </c>
      <c r="J310" s="10"/>
      <c r="K310" s="10"/>
      <c r="L310" s="10"/>
      <c r="M310" s="38">
        <f t="shared" si="126"/>
        <v>0</v>
      </c>
      <c r="N310" s="10"/>
      <c r="O310" s="10"/>
      <c r="P310" s="10"/>
      <c r="Q310" s="38">
        <f t="shared" si="127"/>
        <v>0</v>
      </c>
      <c r="R310" s="38">
        <f t="shared" si="128"/>
        <v>0</v>
      </c>
    </row>
    <row r="311" spans="1:20" ht="15.75" customHeight="1" x14ac:dyDescent="0.3">
      <c r="A311" s="422" t="s">
        <v>2564</v>
      </c>
      <c r="B311" s="10"/>
      <c r="C311" s="10"/>
      <c r="D311" s="10"/>
      <c r="E311" s="38">
        <f t="shared" si="124"/>
        <v>0</v>
      </c>
      <c r="F311" s="10"/>
      <c r="G311" s="10"/>
      <c r="H311" s="10"/>
      <c r="I311" s="38">
        <f t="shared" si="125"/>
        <v>0</v>
      </c>
      <c r="J311" s="10"/>
      <c r="K311" s="10"/>
      <c r="L311" s="10"/>
      <c r="M311" s="38">
        <f t="shared" si="126"/>
        <v>0</v>
      </c>
      <c r="N311" s="10"/>
      <c r="O311" s="10"/>
      <c r="P311" s="10"/>
      <c r="Q311" s="38">
        <f t="shared" si="127"/>
        <v>0</v>
      </c>
      <c r="R311" s="38">
        <f t="shared" si="128"/>
        <v>0</v>
      </c>
    </row>
    <row r="312" spans="1:20" ht="15.75" customHeight="1" x14ac:dyDescent="0.3">
      <c r="A312" s="422" t="s">
        <v>2565</v>
      </c>
      <c r="B312" s="10"/>
      <c r="C312" s="10"/>
      <c r="D312" s="10"/>
      <c r="E312" s="38">
        <f t="shared" si="124"/>
        <v>0</v>
      </c>
      <c r="F312" s="10"/>
      <c r="G312" s="10"/>
      <c r="H312" s="10"/>
      <c r="I312" s="38">
        <f t="shared" si="125"/>
        <v>0</v>
      </c>
      <c r="J312" s="10"/>
      <c r="K312" s="10"/>
      <c r="L312" s="10"/>
      <c r="M312" s="38">
        <f t="shared" si="126"/>
        <v>0</v>
      </c>
      <c r="N312" s="10"/>
      <c r="O312" s="10"/>
      <c r="P312" s="10"/>
      <c r="Q312" s="38">
        <f t="shared" si="127"/>
        <v>0</v>
      </c>
      <c r="R312" s="38">
        <f t="shared" si="128"/>
        <v>0</v>
      </c>
    </row>
    <row r="313" spans="1:20" ht="15.75" customHeight="1" x14ac:dyDescent="0.3">
      <c r="A313" s="234" t="s">
        <v>1022</v>
      </c>
      <c r="B313" s="10"/>
      <c r="C313" s="10"/>
      <c r="D313" s="10"/>
      <c r="E313" s="38" t="s">
        <v>852</v>
      </c>
      <c r="F313" s="10"/>
      <c r="G313" s="10"/>
      <c r="H313" s="10"/>
      <c r="I313" s="38" t="s">
        <v>852</v>
      </c>
      <c r="J313" s="10"/>
      <c r="K313" s="10"/>
      <c r="L313" s="10"/>
      <c r="M313" s="38" t="s">
        <v>852</v>
      </c>
      <c r="N313" s="10"/>
      <c r="O313" s="10"/>
      <c r="P313" s="10"/>
      <c r="Q313" s="38" t="s">
        <v>852</v>
      </c>
      <c r="R313" s="38" t="s">
        <v>852</v>
      </c>
    </row>
    <row r="314" spans="1:20" ht="15.75" customHeight="1" x14ac:dyDescent="0.3">
      <c r="A314" s="568" t="s">
        <v>3254</v>
      </c>
      <c r="B314" s="10"/>
      <c r="C314" s="10"/>
      <c r="D314" s="10"/>
      <c r="E314" s="38">
        <f t="shared" ref="E314" si="129">SUM(B314:D314)</f>
        <v>0</v>
      </c>
      <c r="F314" s="10"/>
      <c r="G314" s="10"/>
      <c r="H314" s="10"/>
      <c r="I314" s="38">
        <f t="shared" ref="I314" si="130">SUM(F314:H314)</f>
        <v>0</v>
      </c>
      <c r="J314" s="10"/>
      <c r="K314" s="10"/>
      <c r="L314" s="10"/>
      <c r="M314" s="38">
        <f t="shared" ref="M314" si="131">SUM(J314:L314)</f>
        <v>0</v>
      </c>
      <c r="N314" s="10"/>
      <c r="O314" s="10"/>
      <c r="P314" s="10"/>
      <c r="Q314" s="38">
        <f t="shared" ref="Q314" si="132">SUM(N314:P314)</f>
        <v>0</v>
      </c>
      <c r="R314" s="38">
        <f t="shared" ref="R314" si="133">+E314+I314+M314+Q314</f>
        <v>0</v>
      </c>
    </row>
    <row r="315" spans="1:20" ht="15.75" customHeight="1" x14ac:dyDescent="0.3">
      <c r="A315" s="234" t="s">
        <v>559</v>
      </c>
      <c r="B315" s="10"/>
      <c r="C315" s="10"/>
      <c r="D315" s="10"/>
      <c r="E315" s="38" t="s">
        <v>852</v>
      </c>
      <c r="F315" s="10"/>
      <c r="G315" s="10"/>
      <c r="H315" s="10"/>
      <c r="I315" s="38" t="s">
        <v>852</v>
      </c>
      <c r="J315" s="10"/>
      <c r="K315" s="10"/>
      <c r="L315" s="10"/>
      <c r="M315" s="38" t="s">
        <v>852</v>
      </c>
      <c r="N315" s="10"/>
      <c r="O315" s="10"/>
      <c r="P315" s="10"/>
      <c r="Q315" s="38" t="s">
        <v>852</v>
      </c>
      <c r="R315" s="38" t="s">
        <v>852</v>
      </c>
    </row>
    <row r="316" spans="1:20" ht="15.75" customHeight="1" thickBot="1" x14ac:dyDescent="0.35">
      <c r="A316" s="539" t="s">
        <v>3074</v>
      </c>
      <c r="B316" s="10"/>
      <c r="C316" s="10"/>
      <c r="D316" s="10"/>
      <c r="E316" s="38">
        <f t="shared" ref="E316" si="134">SUM(B316:D316)</f>
        <v>0</v>
      </c>
      <c r="F316" s="10"/>
      <c r="G316" s="10"/>
      <c r="H316" s="10"/>
      <c r="I316" s="38">
        <f t="shared" ref="I316:I325" si="135">SUM(F316:H316)</f>
        <v>0</v>
      </c>
      <c r="J316" s="10"/>
      <c r="K316" s="10"/>
      <c r="L316" s="10"/>
      <c r="M316" s="38">
        <f t="shared" ref="M316:M325" si="136">SUM(J316:L316)</f>
        <v>0</v>
      </c>
      <c r="N316" s="10"/>
      <c r="O316" s="10"/>
      <c r="P316" s="10"/>
      <c r="Q316" s="38">
        <f t="shared" ref="Q316:Q325" si="137">SUM(N316:P316)</f>
        <v>0</v>
      </c>
      <c r="R316" s="38">
        <f t="shared" ref="R316:R325" si="138">+E316+I316+M316+Q316</f>
        <v>0</v>
      </c>
      <c r="S316" t="s">
        <v>3020</v>
      </c>
    </row>
    <row r="317" spans="1:20" ht="16.5" customHeight="1" thickBot="1" x14ac:dyDescent="0.35">
      <c r="A317" s="43" t="s">
        <v>1019</v>
      </c>
      <c r="B317" s="42">
        <f>SUM(B313:B316)</f>
        <v>0</v>
      </c>
      <c r="C317" s="42">
        <f>SUM(C313:C316)</f>
        <v>0</v>
      </c>
      <c r="D317" s="42">
        <f>SUM(D313:D316)</f>
        <v>0</v>
      </c>
      <c r="E317" s="39">
        <f t="shared" ref="E317:E322" si="139">SUM(B317:D317)</f>
        <v>0</v>
      </c>
      <c r="F317" s="42">
        <f>SUM(F313:F316)</f>
        <v>0</v>
      </c>
      <c r="G317" s="42">
        <f>SUM(G313:G316)</f>
        <v>0</v>
      </c>
      <c r="H317" s="42">
        <f>SUM(H313:H316)</f>
        <v>0</v>
      </c>
      <c r="I317" s="39">
        <f t="shared" si="135"/>
        <v>0</v>
      </c>
      <c r="J317" s="42">
        <f>SUM(J313:J316)</f>
        <v>0</v>
      </c>
      <c r="K317" s="42">
        <f>SUM(K313:K316)</f>
        <v>0</v>
      </c>
      <c r="L317" s="42">
        <f>SUM(L313:L316)</f>
        <v>0</v>
      </c>
      <c r="M317" s="39">
        <f t="shared" si="136"/>
        <v>0</v>
      </c>
      <c r="N317" s="42">
        <f>SUM(N313:N316)</f>
        <v>0</v>
      </c>
      <c r="O317" s="42">
        <f>SUM(O313:O316)</f>
        <v>0</v>
      </c>
      <c r="P317" s="42">
        <f>SUM(P313:P316)</f>
        <v>0</v>
      </c>
      <c r="Q317" s="39">
        <f t="shared" si="137"/>
        <v>0</v>
      </c>
      <c r="R317" s="37">
        <f t="shared" si="138"/>
        <v>0</v>
      </c>
    </row>
    <row r="318" spans="1:20" ht="16.5" customHeight="1" thickBot="1" x14ac:dyDescent="0.35">
      <c r="A318" s="43" t="s">
        <v>1221</v>
      </c>
      <c r="B318" s="45">
        <f>SUM(B299:B316)</f>
        <v>0</v>
      </c>
      <c r="C318" s="46">
        <f>SUM(C299:C316)</f>
        <v>0</v>
      </c>
      <c r="D318" s="46">
        <f>SUM(D299:D316)</f>
        <v>0</v>
      </c>
      <c r="E318" s="37">
        <f t="shared" si="139"/>
        <v>0</v>
      </c>
      <c r="F318" s="46">
        <f>SUM(F299:F316)</f>
        <v>0</v>
      </c>
      <c r="G318" s="46">
        <f>SUM(G299:G316)</f>
        <v>0</v>
      </c>
      <c r="H318" s="46">
        <f>SUM(H299:H316)</f>
        <v>0</v>
      </c>
      <c r="I318" s="37">
        <f t="shared" si="135"/>
        <v>0</v>
      </c>
      <c r="J318" s="46">
        <f>SUM(J299:J316)</f>
        <v>0</v>
      </c>
      <c r="K318" s="46">
        <f>SUM(K299:K316)</f>
        <v>0</v>
      </c>
      <c r="L318" s="46">
        <f>SUM(L299:L316)</f>
        <v>0</v>
      </c>
      <c r="M318" s="37">
        <f t="shared" si="136"/>
        <v>0</v>
      </c>
      <c r="N318" s="46">
        <f>SUM(N299:N316)</f>
        <v>0</v>
      </c>
      <c r="O318" s="46">
        <f>SUM(O299:O316)</f>
        <v>0</v>
      </c>
      <c r="P318" s="46">
        <f>SUM(P299:P316)</f>
        <v>0</v>
      </c>
      <c r="Q318" s="37">
        <f t="shared" si="137"/>
        <v>0</v>
      </c>
      <c r="R318" s="37">
        <f t="shared" si="138"/>
        <v>0</v>
      </c>
    </row>
    <row r="319" spans="1:20" ht="16.5" customHeight="1" thickBot="1" x14ac:dyDescent="0.35">
      <c r="A319" s="43" t="s">
        <v>1222</v>
      </c>
      <c r="B319" s="47">
        <f>+B219+B226+B298+B318</f>
        <v>22797</v>
      </c>
      <c r="C319" s="42">
        <f>+C219+C226+C298+C318</f>
        <v>21761</v>
      </c>
      <c r="D319" s="42">
        <f>+D219+D226+D298+D318</f>
        <v>22633</v>
      </c>
      <c r="E319" s="40">
        <f t="shared" si="139"/>
        <v>67191</v>
      </c>
      <c r="F319" s="42">
        <f>+F219+F226+F298+F318</f>
        <v>33787</v>
      </c>
      <c r="G319" s="42">
        <f>+G219+G226+G298+G318</f>
        <v>43163</v>
      </c>
      <c r="H319" s="42">
        <f>+H219+H226+H298+H318</f>
        <v>48659</v>
      </c>
      <c r="I319" s="40">
        <f t="shared" si="135"/>
        <v>125609</v>
      </c>
      <c r="J319" s="42">
        <f>+J219+J226+J298+J318</f>
        <v>46339</v>
      </c>
      <c r="K319" s="42">
        <f>+K219+K226+K298+K318</f>
        <v>45829</v>
      </c>
      <c r="L319" s="42">
        <f>+L219+L226+L298+L318</f>
        <v>35818</v>
      </c>
      <c r="M319" s="40">
        <f t="shared" si="136"/>
        <v>127986</v>
      </c>
      <c r="N319" s="42">
        <f>+N219+N226+N298+N318</f>
        <v>28639</v>
      </c>
      <c r="O319" s="42">
        <f>+O219+O226+O298+O318</f>
        <v>24359</v>
      </c>
      <c r="P319" s="42">
        <f>+P219+P226+P298+P318</f>
        <v>24631</v>
      </c>
      <c r="Q319" s="40">
        <f t="shared" si="137"/>
        <v>77629</v>
      </c>
      <c r="R319" s="40">
        <f t="shared" si="138"/>
        <v>398415</v>
      </c>
    </row>
    <row r="320" spans="1:20" ht="15.75" customHeight="1" x14ac:dyDescent="0.3">
      <c r="A320" s="540" t="s">
        <v>2827</v>
      </c>
      <c r="B320" s="10"/>
      <c r="C320" s="10">
        <v>883</v>
      </c>
      <c r="D320" s="10">
        <v>640</v>
      </c>
      <c r="E320" s="38">
        <f t="shared" si="139"/>
        <v>1523</v>
      </c>
      <c r="F320" s="10">
        <v>618</v>
      </c>
      <c r="G320" s="10">
        <v>1718</v>
      </c>
      <c r="H320" s="10">
        <v>2967</v>
      </c>
      <c r="I320" s="38">
        <f t="shared" si="135"/>
        <v>5303</v>
      </c>
      <c r="J320" s="10">
        <v>3280</v>
      </c>
      <c r="K320" s="10">
        <v>2540</v>
      </c>
      <c r="L320" s="10">
        <v>2888</v>
      </c>
      <c r="M320" s="38">
        <f t="shared" si="136"/>
        <v>8708</v>
      </c>
      <c r="N320" s="10">
        <v>4479</v>
      </c>
      <c r="O320" s="10">
        <v>3570</v>
      </c>
      <c r="P320" s="10">
        <v>1401</v>
      </c>
      <c r="Q320" s="38">
        <f t="shared" si="137"/>
        <v>9450</v>
      </c>
      <c r="R320" s="38">
        <f t="shared" si="138"/>
        <v>24984</v>
      </c>
      <c r="S320" s="574"/>
      <c r="T320" t="s">
        <v>2764</v>
      </c>
    </row>
    <row r="321" spans="1:18" ht="15.75" customHeight="1" x14ac:dyDescent="0.3">
      <c r="A321" s="320" t="s">
        <v>899</v>
      </c>
      <c r="B321" s="10"/>
      <c r="C321" s="10"/>
      <c r="D321" s="10">
        <v>454</v>
      </c>
      <c r="E321" s="38">
        <f t="shared" si="139"/>
        <v>454</v>
      </c>
      <c r="F321" s="10">
        <v>2393</v>
      </c>
      <c r="G321" s="10">
        <v>12158</v>
      </c>
      <c r="H321" s="10">
        <v>-5139</v>
      </c>
      <c r="I321" s="38">
        <f t="shared" si="135"/>
        <v>9412</v>
      </c>
      <c r="J321" s="10">
        <v>-5004</v>
      </c>
      <c r="K321" s="10">
        <v>-1676</v>
      </c>
      <c r="L321" s="10"/>
      <c r="M321" s="38">
        <f t="shared" si="136"/>
        <v>-6680</v>
      </c>
      <c r="N321" s="10"/>
      <c r="O321" s="10"/>
      <c r="P321" s="10"/>
      <c r="Q321" s="38">
        <f t="shared" si="137"/>
        <v>0</v>
      </c>
      <c r="R321" s="38">
        <f t="shared" si="138"/>
        <v>3186</v>
      </c>
    </row>
    <row r="322" spans="1:18" ht="15.75" customHeight="1" x14ac:dyDescent="0.3">
      <c r="A322" s="539" t="s">
        <v>2271</v>
      </c>
      <c r="B322" s="10"/>
      <c r="C322" s="10"/>
      <c r="D322" s="10"/>
      <c r="E322" s="38">
        <f t="shared" si="139"/>
        <v>0</v>
      </c>
      <c r="F322" s="10"/>
      <c r="G322" s="10"/>
      <c r="H322" s="10"/>
      <c r="I322" s="38">
        <f t="shared" si="135"/>
        <v>0</v>
      </c>
      <c r="J322" s="10"/>
      <c r="K322" s="10"/>
      <c r="L322" s="10"/>
      <c r="M322" s="38">
        <f t="shared" si="136"/>
        <v>0</v>
      </c>
      <c r="N322" s="10"/>
      <c r="O322" s="10"/>
      <c r="P322" s="10"/>
      <c r="Q322" s="38">
        <f t="shared" si="137"/>
        <v>0</v>
      </c>
      <c r="R322" s="38">
        <f t="shared" si="138"/>
        <v>0</v>
      </c>
    </row>
    <row r="323" spans="1:18" ht="15.75" customHeight="1" x14ac:dyDescent="0.3">
      <c r="A323" s="320" t="s">
        <v>2475</v>
      </c>
      <c r="B323" s="10">
        <v>23</v>
      </c>
      <c r="C323" s="10">
        <v>67</v>
      </c>
      <c r="D323" s="10">
        <v>18</v>
      </c>
      <c r="E323" s="38">
        <f>SUM(B323:D323)</f>
        <v>108</v>
      </c>
      <c r="F323" s="10">
        <v>33</v>
      </c>
      <c r="G323" s="10">
        <v>45</v>
      </c>
      <c r="H323" s="10">
        <v>51</v>
      </c>
      <c r="I323" s="38">
        <f>SUM(F323:H323)</f>
        <v>129</v>
      </c>
      <c r="J323" s="10">
        <v>39</v>
      </c>
      <c r="K323" s="10">
        <v>21</v>
      </c>
      <c r="L323" s="10">
        <v>26</v>
      </c>
      <c r="M323" s="38">
        <f>SUM(J323:L323)</f>
        <v>86</v>
      </c>
      <c r="N323" s="10">
        <v>57</v>
      </c>
      <c r="O323" s="10">
        <v>42</v>
      </c>
      <c r="P323" s="10">
        <v>203</v>
      </c>
      <c r="Q323" s="38">
        <f>SUM(N323:P323)</f>
        <v>302</v>
      </c>
      <c r="R323" s="38">
        <f t="shared" si="138"/>
        <v>625</v>
      </c>
    </row>
    <row r="324" spans="1:18" ht="15.75" customHeight="1" x14ac:dyDescent="0.3">
      <c r="A324" s="317" t="s">
        <v>2096</v>
      </c>
      <c r="B324" s="10">
        <v>20718</v>
      </c>
      <c r="C324" s="10">
        <v>2716</v>
      </c>
      <c r="D324" s="10">
        <v>23196</v>
      </c>
      <c r="E324" s="38">
        <f t="shared" ref="E324" si="140">SUM(B324:D324)</f>
        <v>46630</v>
      </c>
      <c r="F324" s="10">
        <v>3618</v>
      </c>
      <c r="G324" s="10"/>
      <c r="H324" s="10"/>
      <c r="I324" s="38">
        <f t="shared" ref="I324" si="141">SUM(F324:H324)</f>
        <v>3618</v>
      </c>
      <c r="J324" s="10"/>
      <c r="K324" s="10">
        <v>5</v>
      </c>
      <c r="L324" s="10">
        <v>33393</v>
      </c>
      <c r="M324" s="38">
        <f t="shared" ref="M324" si="142">SUM(J324:L324)</f>
        <v>33398</v>
      </c>
      <c r="N324" s="10">
        <v>61538</v>
      </c>
      <c r="O324" s="10">
        <v>65150</v>
      </c>
      <c r="P324" s="10">
        <v>55000</v>
      </c>
      <c r="Q324" s="38">
        <f t="shared" si="137"/>
        <v>181688</v>
      </c>
      <c r="R324" s="38">
        <f t="shared" si="138"/>
        <v>265334</v>
      </c>
    </row>
    <row r="325" spans="1:18" ht="16.5" customHeight="1" thickBot="1" x14ac:dyDescent="0.35">
      <c r="A325" s="299" t="s">
        <v>853</v>
      </c>
      <c r="B325" s="294">
        <v>104</v>
      </c>
      <c r="C325" s="294">
        <v>268</v>
      </c>
      <c r="D325" s="294">
        <v>474</v>
      </c>
      <c r="E325" s="38">
        <f>SUM(B325:D325)</f>
        <v>846</v>
      </c>
      <c r="F325" s="294">
        <v>647</v>
      </c>
      <c r="G325" s="294">
        <v>742</v>
      </c>
      <c r="H325" s="294">
        <v>781</v>
      </c>
      <c r="I325" s="38">
        <f t="shared" si="135"/>
        <v>2170</v>
      </c>
      <c r="J325" s="294">
        <v>774</v>
      </c>
      <c r="K325" s="294">
        <v>596</v>
      </c>
      <c r="L325" s="294">
        <v>546</v>
      </c>
      <c r="M325" s="38">
        <f t="shared" si="136"/>
        <v>1916</v>
      </c>
      <c r="N325" s="294">
        <v>517</v>
      </c>
      <c r="O325" s="294">
        <v>413</v>
      </c>
      <c r="P325" s="294">
        <v>302</v>
      </c>
      <c r="Q325" s="38">
        <f t="shared" si="137"/>
        <v>1232</v>
      </c>
      <c r="R325" s="38">
        <f t="shared" si="138"/>
        <v>6164</v>
      </c>
    </row>
    <row r="326" spans="1:18" ht="16.5" customHeight="1" thickBot="1" x14ac:dyDescent="0.35">
      <c r="A326" s="44"/>
      <c r="B326" s="313"/>
      <c r="C326" s="313"/>
      <c r="D326" s="313"/>
      <c r="E326" s="39"/>
      <c r="F326" s="313"/>
      <c r="G326" s="313"/>
      <c r="H326" s="313"/>
      <c r="I326" s="37"/>
      <c r="J326" s="313"/>
      <c r="K326" s="313"/>
      <c r="L326" s="313"/>
      <c r="M326" s="37"/>
      <c r="N326" s="313"/>
      <c r="O326" s="313"/>
      <c r="P326" s="313"/>
      <c r="Q326" s="37"/>
      <c r="R326" s="37" t="s">
        <v>852</v>
      </c>
    </row>
    <row r="327" spans="1:18" ht="15.75" customHeight="1" x14ac:dyDescent="0.3">
      <c r="A327" s="259" t="s">
        <v>2011</v>
      </c>
      <c r="B327" s="741">
        <f>SUM(B319:B325)</f>
        <v>43642</v>
      </c>
      <c r="C327" s="741">
        <f>SUM(C319:C325)</f>
        <v>25695</v>
      </c>
      <c r="D327" s="741">
        <f>SUM(D319:D325)</f>
        <v>47415</v>
      </c>
      <c r="E327" s="39">
        <f>SUM(B327:D327)</f>
        <v>116752</v>
      </c>
      <c r="F327" s="741">
        <f>SUM(F319:F325)</f>
        <v>41096</v>
      </c>
      <c r="G327" s="741">
        <f>SUM(G319:G325)</f>
        <v>57826</v>
      </c>
      <c r="H327" s="741">
        <f>SUM(H319:H325)</f>
        <v>47319</v>
      </c>
      <c r="I327" s="39">
        <f>SUM(F327:H327)</f>
        <v>146241</v>
      </c>
      <c r="J327" s="741">
        <f>SUM(J319:J325)</f>
        <v>45428</v>
      </c>
      <c r="K327" s="741">
        <f>SUM(K319:K325)</f>
        <v>47315</v>
      </c>
      <c r="L327" s="741">
        <f>SUM(L319:L325)</f>
        <v>72671</v>
      </c>
      <c r="M327" s="39">
        <f>SUM(J327:L327)</f>
        <v>165414</v>
      </c>
      <c r="N327" s="741">
        <f>SUM(N319:N325)</f>
        <v>95230</v>
      </c>
      <c r="O327" s="741">
        <f>SUM(O319:O325)</f>
        <v>93534</v>
      </c>
      <c r="P327" s="741">
        <f>SUM(P319:P325)</f>
        <v>81537</v>
      </c>
      <c r="Q327" s="742">
        <f>SUM(N327:P327)</f>
        <v>270301</v>
      </c>
      <c r="R327" s="39">
        <f>+E327+I327+M327+Q327</f>
        <v>698708</v>
      </c>
    </row>
    <row r="328" spans="1:18" ht="15.75" customHeight="1" x14ac:dyDescent="0.3">
      <c r="A328" s="262" t="s">
        <v>1897</v>
      </c>
      <c r="B328" s="10">
        <f>(B327/B10)/1.983</f>
        <v>709.93769622435855</v>
      </c>
      <c r="C328" s="10">
        <f>(C327/C10)/1.983</f>
        <v>446.81517032709058</v>
      </c>
      <c r="D328" s="10">
        <f>(D327/D10)/1.983</f>
        <v>771.31423551803221</v>
      </c>
      <c r="E328" s="38" t="s">
        <v>852</v>
      </c>
      <c r="F328" s="10">
        <f>(F327/F10)/1.983</f>
        <v>690.80517734072941</v>
      </c>
      <c r="G328" s="10">
        <f>(G327/G10)/1.983</f>
        <v>940.67314105379592</v>
      </c>
      <c r="H328" s="10">
        <f>(H327/H10)/1.983</f>
        <v>795.4109934442763</v>
      </c>
      <c r="I328" s="38" t="s">
        <v>852</v>
      </c>
      <c r="J328" s="10">
        <f>(J327/J10)/1.983</f>
        <v>738.99110178452327</v>
      </c>
      <c r="K328" s="10">
        <f>(K327/K10)/1.983</f>
        <v>769.68750508353253</v>
      </c>
      <c r="L328" s="10">
        <f>(L327/L10)/1.983</f>
        <v>1221.5666498571188</v>
      </c>
      <c r="M328" s="38" t="s">
        <v>852</v>
      </c>
      <c r="N328" s="10">
        <f>(N327/N10)/1.983</f>
        <v>1549.1353927740633</v>
      </c>
      <c r="O328" s="10">
        <f>(O327/O10)/1.983</f>
        <v>1572.2642460917803</v>
      </c>
      <c r="P328" s="10">
        <f>(P327/P10)/1.983</f>
        <v>1326.3871943780196</v>
      </c>
      <c r="Q328" s="50" t="s">
        <v>852</v>
      </c>
      <c r="R328" s="38" t="s">
        <v>852</v>
      </c>
    </row>
    <row r="329" spans="1:18" ht="15.75" customHeight="1" x14ac:dyDescent="0.3">
      <c r="A329" s="262" t="s">
        <v>154</v>
      </c>
      <c r="B329" s="10">
        <f>(+B327+B520)+B336</f>
        <v>73047</v>
      </c>
      <c r="C329" s="10">
        <f>(+C327+C520)+C336</f>
        <v>73220</v>
      </c>
      <c r="D329" s="10">
        <f>(+D327+D520)+D336</f>
        <v>93118</v>
      </c>
      <c r="E329" s="38">
        <f>SUM(B329:D329)</f>
        <v>239385</v>
      </c>
      <c r="F329" s="10">
        <f>(+F327+F520)+F336</f>
        <v>146655</v>
      </c>
      <c r="G329" s="10">
        <f>(+G327+G520)+G336</f>
        <v>171828</v>
      </c>
      <c r="H329" s="10">
        <f>(+H327+H520)+H336</f>
        <v>98377</v>
      </c>
      <c r="I329" s="38">
        <f>SUM(F329:H329)</f>
        <v>416860</v>
      </c>
      <c r="J329" s="10">
        <f>(+J327+J520)+J336</f>
        <v>62314</v>
      </c>
      <c r="K329" s="10">
        <f>(+K327+K520)+K336</f>
        <v>40499</v>
      </c>
      <c r="L329" s="10">
        <f>(+L327+L520)+L336</f>
        <v>144430</v>
      </c>
      <c r="M329" s="38">
        <f>SUM(J329:L329)</f>
        <v>247243</v>
      </c>
      <c r="N329" s="10">
        <f>(+N327+N520)+N336</f>
        <v>148730</v>
      </c>
      <c r="O329" s="10">
        <f>(+O327+O520)+O336</f>
        <v>113638</v>
      </c>
      <c r="P329" s="10">
        <f>(+P327+P520)+P336</f>
        <v>120061</v>
      </c>
      <c r="Q329" s="50">
        <f>SUM(N329:P329)</f>
        <v>382429</v>
      </c>
      <c r="R329" s="38">
        <f>+E329+I329+M329+Q329</f>
        <v>1285917</v>
      </c>
    </row>
    <row r="330" spans="1:18" ht="16.5" customHeight="1" thickBot="1" x14ac:dyDescent="0.35">
      <c r="A330" s="263" t="s">
        <v>2110</v>
      </c>
      <c r="B330" s="315">
        <f>(B329/B10)/1.983</f>
        <v>1188.2777804889952</v>
      </c>
      <c r="C330" s="315">
        <f>(C329/C10)/1.983</f>
        <v>1273.2363016676231</v>
      </c>
      <c r="D330" s="315">
        <f>(D329/D10)/1.983</f>
        <v>1514.7788459974297</v>
      </c>
      <c r="E330" s="40" t="s">
        <v>852</v>
      </c>
      <c r="F330" s="315">
        <f>(F329/F10)/1.983</f>
        <v>2465.2042360060514</v>
      </c>
      <c r="G330" s="315">
        <f>(G329/G10)/1.983</f>
        <v>2795.1783709921428</v>
      </c>
      <c r="H330" s="315">
        <f>(H329/H10)/1.983</f>
        <v>1653.6728861993611</v>
      </c>
      <c r="I330" s="40" t="s">
        <v>852</v>
      </c>
      <c r="J330" s="315">
        <f>(J329/J10)/1.983</f>
        <v>1013.6808029541425</v>
      </c>
      <c r="K330" s="315">
        <f>(K329/K10)/1.983</f>
        <v>658.80955866803311</v>
      </c>
      <c r="L330" s="315">
        <f>(L329/L10)/1.983</f>
        <v>2427.8029920995123</v>
      </c>
      <c r="M330" s="40" t="s">
        <v>852</v>
      </c>
      <c r="N330" s="315">
        <f>(N329/N10)/1.983</f>
        <v>2419.4361752314026</v>
      </c>
      <c r="O330" s="315">
        <f>(O329/O10)/1.983</f>
        <v>1910.2033955286602</v>
      </c>
      <c r="P330" s="315">
        <f>(P329/P10)/1.983</f>
        <v>1953.0688269646837</v>
      </c>
      <c r="Q330" s="51" t="s">
        <v>852</v>
      </c>
      <c r="R330" s="40" t="s">
        <v>852</v>
      </c>
    </row>
    <row r="331" spans="1:18" ht="16.5" customHeight="1" thickBot="1" x14ac:dyDescent="0.35">
      <c r="A331" s="271" t="s">
        <v>1700</v>
      </c>
      <c r="B331" s="229">
        <f>+(B329-(B147+B148+B149+B150+B151+B154+B156+B157+B160+B161+B162+B165+B167+B170++B176+B177+B180+B181+B183+B184+B185+B186+B187+B194+B197+B198+B199+B210+B213+B215+B216+B223+B230+B231+B233+B234+B235+B241+B248+B250+B251+B253+B254+B256+B257+B258+B263+B267+B275+B276+B279+B289+B302+B303+B305+B306+B309+B310+B314+B320+B324+B332)-B336)/(B10*1.983)</f>
        <v>699.59169066094046</v>
      </c>
      <c r="C331" s="229">
        <f>+(C329-(C147+C148+C149+C150+C151+C154+C156+C157+C160+C161+C162+C165+C167+C170++C176+C177+C180+C181+C183+C184+C185+C186+C187+C194+C197+C198+C199+C210+C213+C215+C216+C223+C230+C231+C233+C234+C235+C241+C248+C250+C251+C253+C254+C256+C257+C258+C263+C267+C275+C276+C279+C289+C302+C303+C305+C306+C309+C310+C314+C320+C324+C332)-C336)/(C10*1.983)</f>
        <v>1057.2452049315734</v>
      </c>
      <c r="D331" s="229">
        <f>+(D329-(D147+D148+D149+D150+D151+D154+D156+D157+D160+D161+D162+D165+D167+D170++D176+D177+D180+D181+D183+D184+D185+D186+D187+D194+D197+D198+D199+D210+D213+D215+D216+D223+D230+D231+D233+D234+D235+D241+D248+D250+D251+D253+D254+D256+D257+D258+D263+D267+D275+D276+D279+D289+D302+D303+D305+D306+D309+D310+D314+D320+D324+D332)-D336)/(D10*1.983)</f>
        <v>1248.271598913344</v>
      </c>
      <c r="E331" s="227"/>
      <c r="F331" s="229">
        <f>+(F329-(F147+F148+F149+F150+F151+F154+F156+F157+F160+F161+F162+F165+F167+F170++F176+F177+F180+F181+F183+F184+F185+F186+F187+F194+F197+F198+F199+F210+F213+F215+F216+F223+F230+F231+F233+F234+F235+F241+F248+F250+F251+F253+F254+F256+F257+F258+F263+F267+F275+F276+F279+F289+F302+F303+F305+F306+F309+F310+F314+F320+F324+F332)-F336)/(F10*1.983)</f>
        <v>2142.8139183055973</v>
      </c>
      <c r="G331" s="229">
        <f>+(G329-(G147+G148+G149+G150+G151+G154+G156+G157+G160+G161+G162+G165+G167+G170++G176+G177+G180+G181+G183+G184+G185+G186+G187+G194+G197+G198+G199+G210+G213+G215+G216+G223+G230+G231+G233+G234+G235+G241+G248+G250+G251+G253+G254+G256+G257+G258+G263+G267+G275+G276+G279+G289+G302+G303+G305+G306+G309+G310+G314+G320+G324+G332)-G336)/(G10*1.983)</f>
        <v>2796.5122899484322</v>
      </c>
      <c r="H331" s="229">
        <f>+(H329-(H147+H148+H149+H150+H151+H154+H156+H157+H160+H161+H162+H165+H167+H170++H176+H177+H180+H181+H183+H184+H185+H186+H187+H194+H197+H198+H199+H210+H213+H215+H216+H223+H230+H231+H233+H234+H235+H241+H248+H250+H251+H253+H254+H256+H257+H258+H263+H267+H275+H276+H279+H289+H302+H303+H305+H306+H309+H310+H314+H320+H324+H332)-H336)/(H10*1.983)</f>
        <v>2888.384602454194</v>
      </c>
      <c r="I331" s="227"/>
      <c r="J331" s="229">
        <f>+(J329-(J147+J148+J149+J150+J151+J154+J156+J157+J160+J161+J162+J165+J167+J170++J176+J177+J180+J181+J183+J184+J185+J186+J187+J194+J197+J198+J199+J210+J213+J215+J216+J223+J230+J231+J233+J234+J235+J241+J248+J250+J251+J253+J254+J256+J257+J258+J263+J267+J275+J276+J279+J289+J302+J303+J305+J306+J309+J310+J314+J320+J324+J332)-J336)/(J10*1.983)</f>
        <v>2579.2299058123076</v>
      </c>
      <c r="K331" s="229">
        <f>+(K329-(K147+K148+K149+K150+K151+K154+K156+K157+K160+K161+K162+K165+K167+K170++K176+K177+K180+K181+K183+K184+K185+K186+K187+K194+K197+K198+K199+K210+K213+K215+K216+K223+K230+K231+K233+K234+K235+K241+K248+K250+K251+K253+K254+K256+K257+K258+K263+K267+K275+K276+K279+K289+K302+K303+K305+K306+K309+K310+K314+K320+K324+K332)-K336)/(K10*1.983)</f>
        <v>2359.3122183722935</v>
      </c>
      <c r="L331" s="229">
        <f>+(L329-(L147+L148+L149+L150+L151+L154+L156+L157+L160+L161+L162+L165+L167+L170++L176+L177+L180+L181+L183+L184+L185+L186+L187+L194+L197+L198+L199+L210+L213+L215+L216+L223+L230+L231+L233+L234+L235+L241+L248+L250+L251+L253+L254+L256+L257+L258+L263+L267+L275+L276+L279+L289+L302+L303+L305+L306+L309+L310+L314+L320+L324+L332)-L336)/(L10*1.983)</f>
        <v>1679.4755421079171</v>
      </c>
      <c r="M331" s="227"/>
      <c r="N331" s="229">
        <f>+(N329-(N147+N148+N149+N150+N151+N154+N156+N157+N160+N161+N162+N165+N167+N170++N176+N177+N180+N181+N183+N184+N185+N186+N187+N194+N197+N198+N199+N210+N213+N215+N216+N223+N230+N231+N233+N234+N235+N241+N248+N250+N251+N253+N254+N256+N257+N258+N263+N267+N275+N276+N279+N289+N302+N303+N305+N306+N309+N310+N314+N320+N324+N332)-N336)/(N10*1.983)</f>
        <v>1221.9185658744489</v>
      </c>
      <c r="O331" s="229">
        <f>+(O329-(O147+O148+O149+O150+O151+O154+O156+O157+O160+O161+O162+O165+O167+O170++O176+O177+O180+O181+O183+O184+O185+O186+O187+O194+O197+O198+O199+O210+O213+O215+O216+O223+O230+O231+O233+O234+O235+O241+O248+O250+O251+O253+O254+O256+O257+O258+O263+O267+O275+O276+O279+O289+O302+O303+O305+O306+O309+O310+O314+O320+O324+O332)-O336)/(O10*1.983)</f>
        <v>754.79912590351319</v>
      </c>
      <c r="P331" s="229">
        <f>+(P329-(P147+P148+P149+P150+P151+P154+P156+P157+P160+P161+P162+P165+P167+P170++P176+P177+P180+P181+P183+P184+P185+P186+P187+P194+P197+P198+P199+P210+P213+P215+P216+P223+P230+P231+P233+P234+P235+P241+P248+P250+P251+P253+P254+P256+P257+P258+P263+P267+P275+P276+P279+P289+P302+P303+P305+P306+P309+P310+P314+P320+P324+P332)-P336)/(P10*1.983)</f>
        <v>956.82657426837784</v>
      </c>
      <c r="Q331" s="228"/>
      <c r="R331" s="227"/>
    </row>
    <row r="332" spans="1:18" ht="15.75" customHeight="1" x14ac:dyDescent="0.3">
      <c r="A332" s="541" t="s">
        <v>2272</v>
      </c>
      <c r="B332" s="10">
        <v>2541</v>
      </c>
      <c r="C332" s="10">
        <v>2373</v>
      </c>
      <c r="D332" s="10">
        <v>2499</v>
      </c>
      <c r="E332" s="17">
        <f>SUM(B332:D332)</f>
        <v>7413</v>
      </c>
      <c r="F332" s="10">
        <v>2416</v>
      </c>
      <c r="G332" s="10">
        <v>2503</v>
      </c>
      <c r="H332" s="10">
        <v>2625</v>
      </c>
      <c r="I332" s="17">
        <f>SUM(F332:H332)</f>
        <v>7544</v>
      </c>
      <c r="J332" s="10">
        <v>2511</v>
      </c>
      <c r="K332" s="10">
        <v>2533</v>
      </c>
      <c r="L332" s="10">
        <v>2461</v>
      </c>
      <c r="M332" s="17">
        <f t="shared" ref="M332" si="143">SUM(J332:L332)</f>
        <v>7505</v>
      </c>
      <c r="N332" s="10">
        <v>2474</v>
      </c>
      <c r="O332" s="10">
        <v>2394</v>
      </c>
      <c r="P332" s="10">
        <v>2474</v>
      </c>
      <c r="Q332" s="17">
        <f t="shared" ref="Q332" si="144">SUM(N332:P332)</f>
        <v>7342</v>
      </c>
      <c r="R332" s="17">
        <f t="shared" ref="R332" si="145">+E332+I332+M332+Q332</f>
        <v>29804</v>
      </c>
    </row>
    <row r="333" spans="1:18" ht="15.75" customHeight="1" thickBot="1" x14ac:dyDescent="0.35">
      <c r="A333" s="18"/>
      <c r="B333" s="10"/>
      <c r="C333" s="10"/>
      <c r="D333" s="10"/>
      <c r="E333" s="10"/>
      <c r="F333" s="10"/>
      <c r="G333" s="10"/>
      <c r="H333" s="10"/>
      <c r="I333" s="10"/>
      <c r="J333" s="10"/>
      <c r="K333" s="10"/>
      <c r="L333" s="10"/>
      <c r="M333" s="10"/>
      <c r="N333" s="10"/>
      <c r="O333" s="10"/>
      <c r="P333" s="10"/>
      <c r="Q333" s="10"/>
      <c r="R333" s="17"/>
    </row>
    <row r="334" spans="1:18" ht="16.5" customHeight="1" thickBot="1" x14ac:dyDescent="0.35">
      <c r="A334" s="240" t="s">
        <v>1754</v>
      </c>
      <c r="B334" s="4" t="s">
        <v>2090</v>
      </c>
      <c r="C334" s="5" t="s">
        <v>2091</v>
      </c>
      <c r="D334" s="5" t="s">
        <v>2234</v>
      </c>
      <c r="E334" s="33" t="s">
        <v>1594</v>
      </c>
      <c r="F334" s="5" t="s">
        <v>2235</v>
      </c>
      <c r="G334" s="5" t="s">
        <v>2236</v>
      </c>
      <c r="H334" s="5" t="s">
        <v>2237</v>
      </c>
      <c r="I334" s="35" t="s">
        <v>1595</v>
      </c>
      <c r="J334" s="5" t="s">
        <v>1504</v>
      </c>
      <c r="K334" s="5" t="s">
        <v>1505</v>
      </c>
      <c r="L334" s="5" t="s">
        <v>1506</v>
      </c>
      <c r="M334" s="35" t="s">
        <v>1596</v>
      </c>
      <c r="N334" s="5" t="s">
        <v>1507</v>
      </c>
      <c r="O334" s="5" t="s">
        <v>1508</v>
      </c>
      <c r="P334" s="5" t="s">
        <v>1509</v>
      </c>
      <c r="Q334" s="35" t="s">
        <v>1597</v>
      </c>
      <c r="R334" s="36" t="s">
        <v>1510</v>
      </c>
    </row>
    <row r="335" spans="1:18" ht="16.5" customHeight="1" thickBot="1" x14ac:dyDescent="0.35">
      <c r="A335" s="44"/>
      <c r="B335" s="313"/>
      <c r="C335" s="313"/>
      <c r="D335" s="313"/>
      <c r="E335" s="316"/>
      <c r="F335" s="313"/>
      <c r="G335" s="313"/>
      <c r="H335" s="313"/>
      <c r="I335" s="316"/>
      <c r="J335" s="313"/>
      <c r="K335" s="313"/>
      <c r="L335" s="313"/>
      <c r="M335" s="316"/>
      <c r="N335" s="313"/>
      <c r="O335" s="313"/>
      <c r="P335" s="313"/>
      <c r="Q335" s="316"/>
      <c r="R335" s="52"/>
    </row>
    <row r="336" spans="1:18" ht="15.75" customHeight="1" thickBot="1" x14ac:dyDescent="0.35">
      <c r="A336" s="310" t="s">
        <v>1000</v>
      </c>
      <c r="B336" s="10"/>
      <c r="C336" s="10"/>
      <c r="D336" s="10">
        <v>-19258</v>
      </c>
      <c r="E336" s="38">
        <f>SUM(B336:D336)</f>
        <v>-19258</v>
      </c>
      <c r="F336" s="10"/>
      <c r="G336" s="10">
        <v>-12620</v>
      </c>
      <c r="H336" s="10">
        <v>-87156</v>
      </c>
      <c r="I336" s="38">
        <f>SUM(F336:H336)</f>
        <v>-99776</v>
      </c>
      <c r="J336" s="356">
        <v>-112890</v>
      </c>
      <c r="K336" s="10">
        <v>-121200</v>
      </c>
      <c r="L336" s="356">
        <v>-3227</v>
      </c>
      <c r="M336" s="38">
        <f>SUM(J336:L336)</f>
        <v>-237317</v>
      </c>
      <c r="N336" s="10">
        <v>-23</v>
      </c>
      <c r="O336" s="10">
        <v>-5290</v>
      </c>
      <c r="P336" s="10"/>
      <c r="Q336" s="38">
        <f>SUM(N336:P336)</f>
        <v>-5313</v>
      </c>
      <c r="R336" s="38">
        <f>+E336+I336+M336+Q336</f>
        <v>-361664</v>
      </c>
    </row>
    <row r="337" spans="1:20" ht="16.5" customHeight="1" thickBot="1" x14ac:dyDescent="0.35">
      <c r="A337" s="272"/>
      <c r="B337" s="321"/>
      <c r="C337" s="321"/>
      <c r="D337" s="321"/>
      <c r="E337" s="53"/>
      <c r="F337" s="321"/>
      <c r="G337" s="321"/>
      <c r="H337" s="321"/>
      <c r="I337" s="53"/>
      <c r="J337" s="321"/>
      <c r="K337" s="321"/>
      <c r="L337" s="321"/>
      <c r="M337" s="53"/>
      <c r="N337" s="321"/>
      <c r="O337" s="321"/>
      <c r="P337" s="321"/>
      <c r="Q337" s="53"/>
      <c r="R337" s="54"/>
    </row>
    <row r="338" spans="1:20" ht="15.75" customHeight="1" x14ac:dyDescent="0.3">
      <c r="A338" s="234" t="s">
        <v>662</v>
      </c>
      <c r="B338" s="10">
        <f>B336</f>
        <v>0</v>
      </c>
      <c r="C338" s="10">
        <f>C336</f>
        <v>0</v>
      </c>
      <c r="D338" s="10">
        <f>D336</f>
        <v>-19258</v>
      </c>
      <c r="E338" s="38">
        <f>SUM(B338:D338)</f>
        <v>-19258</v>
      </c>
      <c r="F338" s="10">
        <f>F336</f>
        <v>0</v>
      </c>
      <c r="G338" s="10">
        <f>G336</f>
        <v>-12620</v>
      </c>
      <c r="H338" s="10">
        <f>H336</f>
        <v>-87156</v>
      </c>
      <c r="I338" s="38">
        <f>SUM(F338:H338)</f>
        <v>-99776</v>
      </c>
      <c r="J338" s="10">
        <f>J336</f>
        <v>-112890</v>
      </c>
      <c r="K338" s="10">
        <f>K336</f>
        <v>-121200</v>
      </c>
      <c r="L338" s="10">
        <f>L336</f>
        <v>-3227</v>
      </c>
      <c r="M338" s="38">
        <f>SUM(J338:L338)</f>
        <v>-237317</v>
      </c>
      <c r="N338" s="10">
        <f>N336</f>
        <v>-23</v>
      </c>
      <c r="O338" s="10">
        <f>O336</f>
        <v>-5290</v>
      </c>
      <c r="P338" s="10">
        <f>P336</f>
        <v>0</v>
      </c>
      <c r="Q338" s="38">
        <f>SUM(N338:P338)</f>
        <v>-5313</v>
      </c>
      <c r="R338" s="55">
        <f>R336</f>
        <v>-361664</v>
      </c>
    </row>
    <row r="339" spans="1:20" ht="16.5" customHeight="1" thickBot="1" x14ac:dyDescent="0.35">
      <c r="A339" s="237" t="s">
        <v>1897</v>
      </c>
      <c r="B339" s="294">
        <f>(B338/B10)/1.983</f>
        <v>0</v>
      </c>
      <c r="C339" s="294">
        <f>(C338/C10)/1.983</f>
        <v>0</v>
      </c>
      <c r="D339" s="294">
        <f>(D338/D10)/1.983</f>
        <v>-313.27574707595204</v>
      </c>
      <c r="E339" s="40"/>
      <c r="F339" s="294">
        <f>(F338/F10)/1.983</f>
        <v>0</v>
      </c>
      <c r="G339" s="294">
        <f>(G338/G10)/1.983</f>
        <v>-205.29338083386202</v>
      </c>
      <c r="H339" s="294">
        <f>(H338/H10)/1.983</f>
        <v>-1465.0529500756429</v>
      </c>
      <c r="I339" s="40"/>
      <c r="J339" s="294">
        <f>(J338/J10)/1.983</f>
        <v>-1836.4159875067101</v>
      </c>
      <c r="K339" s="294">
        <f>(K338/K10)/1.983</f>
        <v>-1971.5972866136351</v>
      </c>
      <c r="L339" s="294">
        <f>(L338/L10)/1.983</f>
        <v>-54.244410825348794</v>
      </c>
      <c r="M339" s="40"/>
      <c r="N339" s="294">
        <f>(N338/N10)/1.983</f>
        <v>-0.37414799993493075</v>
      </c>
      <c r="O339" s="294">
        <f>(O338/O10)/1.983</f>
        <v>-88.922507984535216</v>
      </c>
      <c r="P339" s="294">
        <f>(P338/P10)/1.983</f>
        <v>0</v>
      </c>
      <c r="Q339" s="40"/>
      <c r="R339" s="52" t="s">
        <v>852</v>
      </c>
    </row>
    <row r="340" spans="1:20" ht="15.75" customHeight="1" x14ac:dyDescent="0.3">
      <c r="A340" s="17"/>
      <c r="B340" s="10"/>
      <c r="C340" s="10"/>
      <c r="D340" s="10"/>
      <c r="E340" s="10"/>
      <c r="F340" s="10"/>
      <c r="G340" s="10"/>
      <c r="H340" s="10"/>
      <c r="I340" s="10"/>
      <c r="J340" s="10"/>
      <c r="K340" s="10"/>
      <c r="L340" s="10"/>
      <c r="M340" s="10"/>
      <c r="N340" s="10"/>
      <c r="O340" s="10"/>
      <c r="P340" s="10"/>
      <c r="Q340" s="10"/>
      <c r="R340" s="17"/>
    </row>
    <row r="341" spans="1:20" ht="16.5" customHeight="1" thickBot="1" x14ac:dyDescent="0.35">
      <c r="A341" s="24"/>
      <c r="B341" s="294"/>
      <c r="C341" s="294"/>
      <c r="D341" s="294"/>
      <c r="E341" s="294"/>
      <c r="F341" s="294"/>
      <c r="G341" s="294"/>
      <c r="H341" s="294"/>
      <c r="I341" s="294"/>
      <c r="J341" s="294"/>
      <c r="K341" s="294"/>
      <c r="L341" s="294"/>
      <c r="M341" s="294"/>
      <c r="N341" s="294"/>
      <c r="O341" s="294"/>
      <c r="P341" s="294"/>
      <c r="Q341" s="294"/>
      <c r="R341" s="24"/>
    </row>
    <row r="342" spans="1:20" ht="16.5" customHeight="1" thickBot="1" x14ac:dyDescent="0.35">
      <c r="A342" s="274" t="s">
        <v>89</v>
      </c>
      <c r="B342" s="4" t="s">
        <v>2090</v>
      </c>
      <c r="C342" s="5" t="s">
        <v>2091</v>
      </c>
      <c r="D342" s="5" t="s">
        <v>2234</v>
      </c>
      <c r="E342" s="33" t="s">
        <v>1594</v>
      </c>
      <c r="F342" s="5" t="s">
        <v>2235</v>
      </c>
      <c r="G342" s="5" t="s">
        <v>2236</v>
      </c>
      <c r="H342" s="5" t="s">
        <v>2237</v>
      </c>
      <c r="I342" s="35" t="s">
        <v>1595</v>
      </c>
      <c r="J342" s="5" t="s">
        <v>1504</v>
      </c>
      <c r="K342" s="5" t="s">
        <v>1505</v>
      </c>
      <c r="L342" s="5" t="s">
        <v>1506</v>
      </c>
      <c r="M342" s="35" t="s">
        <v>1596</v>
      </c>
      <c r="N342" s="5" t="s">
        <v>1507</v>
      </c>
      <c r="O342" s="5" t="s">
        <v>1508</v>
      </c>
      <c r="P342" s="5" t="s">
        <v>1509</v>
      </c>
      <c r="Q342" s="35" t="s">
        <v>1597</v>
      </c>
      <c r="R342" s="36" t="s">
        <v>1510</v>
      </c>
    </row>
    <row r="343" spans="1:20" ht="16.5" customHeight="1" thickBot="1" x14ac:dyDescent="0.35">
      <c r="A343" s="37"/>
      <c r="B343" s="313"/>
      <c r="C343" s="313"/>
      <c r="D343" s="313"/>
      <c r="E343" s="308"/>
      <c r="F343" s="313"/>
      <c r="G343" s="313"/>
      <c r="H343" s="313"/>
      <c r="I343" s="316"/>
      <c r="J343" s="313"/>
      <c r="K343" s="313"/>
      <c r="L343" s="313"/>
      <c r="M343" s="316"/>
      <c r="N343" s="313"/>
      <c r="O343" s="313"/>
      <c r="P343" s="313"/>
      <c r="Q343" s="316"/>
      <c r="R343" s="55"/>
    </row>
    <row r="344" spans="1:20" ht="15.75" customHeight="1" x14ac:dyDescent="0.3">
      <c r="A344" s="234" t="s">
        <v>2417</v>
      </c>
      <c r="B344" s="10"/>
      <c r="C344" s="10"/>
      <c r="D344" s="10"/>
      <c r="E344" s="38" t="s">
        <v>852</v>
      </c>
      <c r="F344" s="10" t="s">
        <v>852</v>
      </c>
      <c r="G344" s="10" t="s">
        <v>852</v>
      </c>
      <c r="H344" s="10" t="s">
        <v>852</v>
      </c>
      <c r="I344" s="38" t="s">
        <v>852</v>
      </c>
      <c r="J344" s="10" t="s">
        <v>852</v>
      </c>
      <c r="K344" s="10" t="s">
        <v>852</v>
      </c>
      <c r="L344" s="10" t="s">
        <v>852</v>
      </c>
      <c r="M344" s="38" t="s">
        <v>852</v>
      </c>
      <c r="N344" s="10" t="s">
        <v>852</v>
      </c>
      <c r="O344" s="10" t="s">
        <v>852</v>
      </c>
      <c r="P344" s="10" t="s">
        <v>852</v>
      </c>
      <c r="Q344" s="38" t="s">
        <v>852</v>
      </c>
      <c r="R344" s="39" t="s">
        <v>852</v>
      </c>
    </row>
    <row r="345" spans="1:20" ht="15.75" customHeight="1" x14ac:dyDescent="0.3">
      <c r="A345" s="234" t="s">
        <v>2160</v>
      </c>
      <c r="B345" s="10"/>
      <c r="C345" s="10"/>
      <c r="D345" s="10"/>
      <c r="E345" s="38" t="s">
        <v>852</v>
      </c>
      <c r="F345" s="10"/>
      <c r="G345" s="10"/>
      <c r="H345" s="10"/>
      <c r="I345" s="38" t="s">
        <v>852</v>
      </c>
      <c r="J345" s="10"/>
      <c r="K345" s="10"/>
      <c r="L345" s="10"/>
      <c r="M345" s="38" t="s">
        <v>852</v>
      </c>
      <c r="N345" s="10"/>
      <c r="O345" s="10"/>
      <c r="P345" s="10"/>
      <c r="Q345" s="38" t="s">
        <v>852</v>
      </c>
      <c r="R345" s="38" t="s">
        <v>852</v>
      </c>
    </row>
    <row r="346" spans="1:20" ht="15.75" customHeight="1" x14ac:dyDescent="0.3">
      <c r="A346" s="410" t="s">
        <v>2869</v>
      </c>
      <c r="B346" s="10"/>
      <c r="C346" s="10"/>
      <c r="D346" s="10"/>
      <c r="E346" s="38">
        <f t="shared" ref="E346:E375" si="146">SUM(B346:D346)</f>
        <v>0</v>
      </c>
      <c r="F346" s="10"/>
      <c r="G346" s="10"/>
      <c r="H346" s="10"/>
      <c r="I346" s="38">
        <f t="shared" ref="I346:I375" si="147">SUM(F346:H346)</f>
        <v>0</v>
      </c>
      <c r="J346" s="10">
        <f>82</f>
        <v>82</v>
      </c>
      <c r="K346" s="10">
        <v>130</v>
      </c>
      <c r="L346" s="10">
        <v>820</v>
      </c>
      <c r="M346" s="38">
        <f t="shared" ref="M346:M375" si="148">SUM(J346:L346)</f>
        <v>1032</v>
      </c>
      <c r="N346" s="10">
        <f>1+2+125</f>
        <v>128</v>
      </c>
      <c r="O346" s="10">
        <f>1+2+120</f>
        <v>123</v>
      </c>
      <c r="P346" s="10">
        <v>123</v>
      </c>
      <c r="Q346" s="38">
        <f t="shared" ref="Q346:Q378" si="149">SUM(N346:P346)</f>
        <v>374</v>
      </c>
      <c r="R346" s="38">
        <f t="shared" ref="R346:R378" si="150">+E346+I346+M346+Q346</f>
        <v>1406</v>
      </c>
      <c r="T346" t="s">
        <v>2870</v>
      </c>
    </row>
    <row r="347" spans="1:20" ht="15.75" customHeight="1" x14ac:dyDescent="0.3">
      <c r="A347" s="410" t="s">
        <v>3451</v>
      </c>
      <c r="B347" s="10"/>
      <c r="C347" s="10"/>
      <c r="D347" s="10"/>
      <c r="E347" s="38">
        <f t="shared" si="146"/>
        <v>0</v>
      </c>
      <c r="F347" s="10"/>
      <c r="G347" s="10"/>
      <c r="H347" s="10"/>
      <c r="I347" s="38">
        <f t="shared" si="147"/>
        <v>0</v>
      </c>
      <c r="J347" s="10"/>
      <c r="K347" s="10"/>
      <c r="L347" s="10"/>
      <c r="M347" s="38">
        <f t="shared" si="148"/>
        <v>0</v>
      </c>
      <c r="N347" s="10"/>
      <c r="O347" s="10"/>
      <c r="P347" s="10"/>
      <c r="Q347" s="38">
        <f t="shared" si="149"/>
        <v>0</v>
      </c>
      <c r="R347" s="38">
        <f t="shared" si="150"/>
        <v>0</v>
      </c>
    </row>
    <row r="348" spans="1:20" ht="15.75" customHeight="1" x14ac:dyDescent="0.3">
      <c r="A348" s="410" t="s">
        <v>349</v>
      </c>
      <c r="B348" s="10">
        <v>54</v>
      </c>
      <c r="C348" s="10">
        <v>52</v>
      </c>
      <c r="D348" s="10">
        <v>78</v>
      </c>
      <c r="E348" s="38">
        <f t="shared" si="146"/>
        <v>184</v>
      </c>
      <c r="F348" s="10">
        <v>172</v>
      </c>
      <c r="G348" s="10">
        <v>201</v>
      </c>
      <c r="H348" s="10">
        <v>329</v>
      </c>
      <c r="I348" s="38">
        <f t="shared" si="147"/>
        <v>702</v>
      </c>
      <c r="J348" s="10">
        <v>288</v>
      </c>
      <c r="K348" s="10">
        <v>546</v>
      </c>
      <c r="L348" s="10"/>
      <c r="M348" s="38">
        <f t="shared" si="148"/>
        <v>834</v>
      </c>
      <c r="N348" s="10">
        <v>40</v>
      </c>
      <c r="O348" s="10">
        <v>46</v>
      </c>
      <c r="P348" s="10">
        <v>294</v>
      </c>
      <c r="Q348" s="38">
        <f t="shared" si="149"/>
        <v>380</v>
      </c>
      <c r="R348" s="38">
        <f t="shared" si="150"/>
        <v>2100</v>
      </c>
      <c r="T348" t="s">
        <v>2174</v>
      </c>
    </row>
    <row r="349" spans="1:20" ht="15.75" customHeight="1" x14ac:dyDescent="0.3">
      <c r="A349" s="410" t="s">
        <v>3238</v>
      </c>
      <c r="B349" s="10"/>
      <c r="C349" s="10"/>
      <c r="D349" s="10"/>
      <c r="E349" s="38">
        <f>SUM(B349:D349)</f>
        <v>0</v>
      </c>
      <c r="F349" s="10">
        <v>16</v>
      </c>
      <c r="G349" s="10">
        <v>30</v>
      </c>
      <c r="H349" s="10">
        <v>50</v>
      </c>
      <c r="I349" s="38">
        <f t="shared" ref="I349" si="151">SUM(F349:H349)</f>
        <v>96</v>
      </c>
      <c r="J349" s="10">
        <v>130</v>
      </c>
      <c r="K349" s="10">
        <v>24</v>
      </c>
      <c r="L349" s="10"/>
      <c r="M349" s="38">
        <f t="shared" ref="M349" si="152">SUM(J349:L349)</f>
        <v>154</v>
      </c>
      <c r="N349" s="10"/>
      <c r="O349" s="10"/>
      <c r="P349" s="10"/>
      <c r="Q349" s="38">
        <f t="shared" ref="Q349" si="153">SUM(N349:P349)</f>
        <v>0</v>
      </c>
      <c r="R349" s="38">
        <f t="shared" si="150"/>
        <v>250</v>
      </c>
      <c r="T349" t="s">
        <v>2776</v>
      </c>
    </row>
    <row r="350" spans="1:20" ht="15.75" customHeight="1" x14ac:dyDescent="0.3">
      <c r="A350" s="410" t="s">
        <v>3065</v>
      </c>
      <c r="B350" s="10"/>
      <c r="C350" s="10"/>
      <c r="D350" s="10"/>
      <c r="E350" s="38">
        <f t="shared" si="146"/>
        <v>0</v>
      </c>
      <c r="F350" s="10"/>
      <c r="G350" s="10"/>
      <c r="H350" s="10"/>
      <c r="I350" s="38">
        <f t="shared" si="147"/>
        <v>0</v>
      </c>
      <c r="J350" s="10">
        <v>778</v>
      </c>
      <c r="K350" s="10"/>
      <c r="L350" s="10"/>
      <c r="M350" s="38">
        <f t="shared" si="148"/>
        <v>778</v>
      </c>
      <c r="N350" s="10"/>
      <c r="O350" s="10"/>
      <c r="P350" s="10"/>
      <c r="Q350" s="38">
        <f t="shared" si="149"/>
        <v>0</v>
      </c>
      <c r="R350" s="38">
        <f t="shared" si="150"/>
        <v>778</v>
      </c>
      <c r="T350" t="s">
        <v>2776</v>
      </c>
    </row>
    <row r="351" spans="1:20" ht="15.75" customHeight="1" x14ac:dyDescent="0.3">
      <c r="A351" s="410" t="s">
        <v>2983</v>
      </c>
      <c r="C351" s="10"/>
      <c r="D351" s="10"/>
      <c r="E351" s="38">
        <f>SUM(B351:D351)</f>
        <v>0</v>
      </c>
      <c r="F351" s="10"/>
      <c r="G351" s="10"/>
      <c r="H351" s="10">
        <v>2528</v>
      </c>
      <c r="I351" s="38">
        <f>SUM(F351:H351)</f>
        <v>2528</v>
      </c>
      <c r="J351" s="10"/>
      <c r="K351" s="10"/>
      <c r="L351" s="10">
        <v>289</v>
      </c>
      <c r="M351" s="38">
        <f t="shared" ref="M351:M357" si="154">SUM(J351:L351)</f>
        <v>289</v>
      </c>
      <c r="N351" s="10">
        <v>61</v>
      </c>
      <c r="O351" s="10"/>
      <c r="P351" s="10"/>
      <c r="Q351" s="38">
        <f>SUM(N351:P351)</f>
        <v>61</v>
      </c>
      <c r="R351" s="38">
        <f t="shared" si="150"/>
        <v>2878</v>
      </c>
      <c r="T351" t="s">
        <v>2174</v>
      </c>
    </row>
    <row r="352" spans="1:20" ht="15.75" customHeight="1" x14ac:dyDescent="0.3">
      <c r="A352" s="410" t="s">
        <v>3066</v>
      </c>
      <c r="B352" s="10"/>
      <c r="C352" s="10"/>
      <c r="D352" s="10"/>
      <c r="E352" s="38">
        <f t="shared" ref="E352:E357" si="155">SUM(B352:D352)</f>
        <v>0</v>
      </c>
      <c r="F352" s="10"/>
      <c r="G352" s="10"/>
      <c r="H352" s="10"/>
      <c r="I352" s="38">
        <f t="shared" ref="I352:I357" si="156">SUM(F352:H352)</f>
        <v>0</v>
      </c>
      <c r="J352" s="10">
        <f>469+1281</f>
        <v>1750</v>
      </c>
      <c r="K352" s="10"/>
      <c r="L352" s="10"/>
      <c r="M352" s="38">
        <f t="shared" si="154"/>
        <v>1750</v>
      </c>
      <c r="N352" s="10"/>
      <c r="O352" s="10"/>
      <c r="P352" s="10"/>
      <c r="Q352" s="38">
        <f>SUM(N352:P352)</f>
        <v>0</v>
      </c>
      <c r="R352" s="38">
        <f t="shared" si="150"/>
        <v>1750</v>
      </c>
      <c r="T352" t="s">
        <v>2776</v>
      </c>
    </row>
    <row r="353" spans="1:20" ht="15.75" customHeight="1" x14ac:dyDescent="0.3">
      <c r="A353" s="410" t="s">
        <v>3393</v>
      </c>
      <c r="B353" s="10"/>
      <c r="C353" s="10"/>
      <c r="D353" s="10"/>
      <c r="E353" s="38">
        <f t="shared" si="155"/>
        <v>0</v>
      </c>
      <c r="F353" s="10"/>
      <c r="G353" s="10"/>
      <c r="H353" s="10"/>
      <c r="I353" s="38">
        <f t="shared" si="156"/>
        <v>0</v>
      </c>
      <c r="J353" s="10"/>
      <c r="K353" s="10">
        <v>48</v>
      </c>
      <c r="L353" s="10">
        <v>26</v>
      </c>
      <c r="M353" s="38">
        <f t="shared" si="154"/>
        <v>74</v>
      </c>
      <c r="N353" s="10">
        <v>26</v>
      </c>
      <c r="O353" s="10">
        <v>100</v>
      </c>
      <c r="P353" s="10">
        <v>50</v>
      </c>
      <c r="Q353" s="38">
        <f>SUM(N353:P353)</f>
        <v>176</v>
      </c>
      <c r="R353" s="38">
        <f t="shared" ref="R353" si="157">+E353+I353+M353+Q353</f>
        <v>250</v>
      </c>
    </row>
    <row r="354" spans="1:20" ht="15.75" customHeight="1" x14ac:dyDescent="0.3">
      <c r="A354" s="410" t="s">
        <v>2873</v>
      </c>
      <c r="B354" s="10">
        <f>27+58</f>
        <v>85</v>
      </c>
      <c r="C354" s="10">
        <f>22+85</f>
        <v>107</v>
      </c>
      <c r="D354" s="10">
        <f>7+83</f>
        <v>90</v>
      </c>
      <c r="E354" s="38">
        <f t="shared" si="155"/>
        <v>282</v>
      </c>
      <c r="F354" s="10">
        <f>37+223</f>
        <v>260</v>
      </c>
      <c r="G354" s="10">
        <f>61+289</f>
        <v>350</v>
      </c>
      <c r="H354" s="10">
        <f>65+327</f>
        <v>392</v>
      </c>
      <c r="I354" s="38">
        <f t="shared" si="156"/>
        <v>1002</v>
      </c>
      <c r="J354" s="10">
        <f>63+344</f>
        <v>407</v>
      </c>
      <c r="K354" s="10">
        <f>56+337</f>
        <v>393</v>
      </c>
      <c r="L354" s="10">
        <f>44+242</f>
        <v>286</v>
      </c>
      <c r="M354" s="38">
        <f t="shared" si="154"/>
        <v>1086</v>
      </c>
      <c r="N354" s="10">
        <f>35+325</f>
        <v>360</v>
      </c>
      <c r="O354" s="10">
        <f>30+137</f>
        <v>167</v>
      </c>
      <c r="P354" s="10">
        <v>145</v>
      </c>
      <c r="Q354" s="38">
        <f>SUM(N354:P354)</f>
        <v>672</v>
      </c>
      <c r="R354" s="38">
        <f>+E354+I354+M354+Q354</f>
        <v>3042</v>
      </c>
      <c r="T354" t="s">
        <v>2871</v>
      </c>
    </row>
    <row r="355" spans="1:20" ht="15.75" customHeight="1" x14ac:dyDescent="0.3">
      <c r="A355" s="410" t="s">
        <v>3045</v>
      </c>
      <c r="B355" s="10"/>
      <c r="C355" s="10"/>
      <c r="D355" s="10"/>
      <c r="E355" s="38">
        <f t="shared" si="155"/>
        <v>0</v>
      </c>
      <c r="F355" s="10"/>
      <c r="G355" s="10"/>
      <c r="H355" s="10"/>
      <c r="I355" s="38">
        <f t="shared" si="156"/>
        <v>0</v>
      </c>
      <c r="J355" s="10">
        <v>99</v>
      </c>
      <c r="K355" s="10">
        <v>1644</v>
      </c>
      <c r="L355" s="10"/>
      <c r="M355" s="38">
        <f t="shared" si="154"/>
        <v>1743</v>
      </c>
      <c r="N355" s="10"/>
      <c r="O355" s="10"/>
      <c r="P355" s="10"/>
      <c r="Q355" s="38">
        <f>SUM(N355:P355)</f>
        <v>0</v>
      </c>
      <c r="R355" s="38">
        <f>+E355+I355+M355+Q355</f>
        <v>1743</v>
      </c>
      <c r="T355" t="s">
        <v>2178</v>
      </c>
    </row>
    <row r="356" spans="1:20" ht="15.75" customHeight="1" x14ac:dyDescent="0.3">
      <c r="A356" s="410" t="s">
        <v>3137</v>
      </c>
      <c r="B356" s="10"/>
      <c r="C356" s="10"/>
      <c r="D356" s="10"/>
      <c r="E356" s="38">
        <f t="shared" si="155"/>
        <v>0</v>
      </c>
      <c r="F356" s="10"/>
      <c r="G356" s="10"/>
      <c r="H356" s="10"/>
      <c r="I356" s="38">
        <f t="shared" si="156"/>
        <v>0</v>
      </c>
      <c r="J356" s="10"/>
      <c r="K356" s="10">
        <v>3700</v>
      </c>
      <c r="L356" s="10"/>
      <c r="M356" s="38">
        <f t="shared" si="154"/>
        <v>3700</v>
      </c>
      <c r="N356" s="10"/>
      <c r="O356" s="10"/>
      <c r="P356" s="10"/>
      <c r="Q356" s="38">
        <f t="shared" ref="Q356" si="158">SUM(N356:P356)</f>
        <v>0</v>
      </c>
      <c r="R356" s="38">
        <f>+E356+I356+M356+Q356</f>
        <v>3700</v>
      </c>
    </row>
    <row r="357" spans="1:20" ht="15.75" customHeight="1" x14ac:dyDescent="0.3">
      <c r="A357" s="410" t="s">
        <v>3255</v>
      </c>
      <c r="B357" s="10">
        <v>220</v>
      </c>
      <c r="C357" s="10">
        <f>253+41</f>
        <v>294</v>
      </c>
      <c r="D357" s="10">
        <v>1029</v>
      </c>
      <c r="E357" s="38">
        <f t="shared" si="155"/>
        <v>1543</v>
      </c>
      <c r="F357" s="10"/>
      <c r="G357" s="10"/>
      <c r="H357" s="10"/>
      <c r="I357" s="38">
        <f t="shared" si="156"/>
        <v>0</v>
      </c>
      <c r="J357" s="10"/>
      <c r="K357" s="10"/>
      <c r="L357" s="10"/>
      <c r="M357" s="38">
        <f t="shared" si="154"/>
        <v>0</v>
      </c>
      <c r="N357" s="10"/>
      <c r="O357" s="10"/>
      <c r="P357" s="10"/>
      <c r="Q357" s="38">
        <f>SUM(N357:P357)</f>
        <v>0</v>
      </c>
      <c r="R357" s="38">
        <f>+E357+I357+M357+Q357</f>
        <v>1543</v>
      </c>
      <c r="S357" s="736" t="s">
        <v>3213</v>
      </c>
    </row>
    <row r="358" spans="1:20" ht="15.75" customHeight="1" x14ac:dyDescent="0.3">
      <c r="A358" s="410" t="s">
        <v>3147</v>
      </c>
      <c r="B358" s="10"/>
      <c r="C358" s="10"/>
      <c r="D358" s="10"/>
      <c r="E358" s="38">
        <f>SUM(B358:D358)</f>
        <v>0</v>
      </c>
      <c r="F358" s="10"/>
      <c r="G358" s="10"/>
      <c r="H358" s="10"/>
      <c r="I358" s="38">
        <f t="shared" ref="I358:I359" si="159">SUM(F358:H358)</f>
        <v>0</v>
      </c>
      <c r="J358" s="10">
        <v>1788</v>
      </c>
      <c r="K358" s="10">
        <f>1574+226</f>
        <v>1800</v>
      </c>
      <c r="L358" s="10"/>
      <c r="M358" s="38">
        <f t="shared" ref="M358:M359" si="160">SUM(J358:L358)</f>
        <v>3588</v>
      </c>
      <c r="N358" s="10"/>
      <c r="O358" s="10"/>
      <c r="P358" s="10"/>
      <c r="Q358" s="38">
        <f t="shared" ref="Q358:Q359" si="161">SUM(N358:P358)</f>
        <v>0</v>
      </c>
      <c r="R358" s="38">
        <f t="shared" ref="R358:R359" si="162">+E358+I358+M358+Q358</f>
        <v>3588</v>
      </c>
    </row>
    <row r="359" spans="1:20" ht="15.75" customHeight="1" x14ac:dyDescent="0.3">
      <c r="A359" s="410" t="s">
        <v>2743</v>
      </c>
      <c r="B359" s="10"/>
      <c r="C359" s="10">
        <v>2328</v>
      </c>
      <c r="D359" s="10"/>
      <c r="E359" s="38">
        <f>SUM(B359:D359)</f>
        <v>2328</v>
      </c>
      <c r="F359" s="10"/>
      <c r="G359" s="10"/>
      <c r="H359" s="10"/>
      <c r="I359" s="38">
        <f t="shared" si="159"/>
        <v>0</v>
      </c>
      <c r="J359" s="10"/>
      <c r="K359" s="10"/>
      <c r="L359" s="10"/>
      <c r="M359" s="38">
        <f t="shared" si="160"/>
        <v>0</v>
      </c>
      <c r="N359" s="10"/>
      <c r="O359" s="10"/>
      <c r="P359" s="10"/>
      <c r="Q359" s="38">
        <f t="shared" si="161"/>
        <v>0</v>
      </c>
      <c r="R359" s="38">
        <f t="shared" si="162"/>
        <v>2328</v>
      </c>
      <c r="T359" t="s">
        <v>1358</v>
      </c>
    </row>
    <row r="360" spans="1:20" ht="15.75" customHeight="1" x14ac:dyDescent="0.3">
      <c r="A360" s="410" t="s">
        <v>2744</v>
      </c>
      <c r="B360" s="10"/>
      <c r="C360" s="10"/>
      <c r="D360" s="10"/>
      <c r="E360" s="38">
        <f t="shared" ref="E360" si="163">SUM(B360:D360)</f>
        <v>0</v>
      </c>
      <c r="F360" s="10"/>
      <c r="G360" s="10"/>
      <c r="H360" s="10"/>
      <c r="I360" s="38">
        <f t="shared" ref="I360" si="164">SUM(F360:H360)</f>
        <v>0</v>
      </c>
      <c r="J360" s="10"/>
      <c r="K360" s="10"/>
      <c r="L360" s="10"/>
      <c r="M360" s="38">
        <f t="shared" ref="M360:M361" si="165">SUM(J360:L360)</f>
        <v>0</v>
      </c>
      <c r="N360" s="10">
        <v>584</v>
      </c>
      <c r="O360" s="10">
        <v>1142</v>
      </c>
      <c r="P360" s="10">
        <v>1142</v>
      </c>
      <c r="Q360" s="38">
        <f t="shared" si="149"/>
        <v>2868</v>
      </c>
      <c r="R360" s="38">
        <f t="shared" si="150"/>
        <v>2868</v>
      </c>
      <c r="T360" t="s">
        <v>2780</v>
      </c>
    </row>
    <row r="361" spans="1:20" ht="15.75" customHeight="1" x14ac:dyDescent="0.3">
      <c r="A361" s="410" t="s">
        <v>3330</v>
      </c>
      <c r="B361" s="10">
        <v>200</v>
      </c>
      <c r="C361" s="10">
        <v>200</v>
      </c>
      <c r="D361" s="10">
        <v>200</v>
      </c>
      <c r="E361" s="38">
        <f>SUM(B361:D361)</f>
        <v>600</v>
      </c>
      <c r="F361" s="10">
        <v>200</v>
      </c>
      <c r="G361" s="10">
        <v>200</v>
      </c>
      <c r="H361" s="10">
        <v>200</v>
      </c>
      <c r="I361" s="38">
        <f>SUM(F361:H361)</f>
        <v>600</v>
      </c>
      <c r="J361" s="10">
        <v>400</v>
      </c>
      <c r="K361" s="10">
        <v>210</v>
      </c>
      <c r="L361" s="10">
        <v>310</v>
      </c>
      <c r="M361" s="38">
        <f t="shared" si="165"/>
        <v>920</v>
      </c>
      <c r="N361" s="10"/>
      <c r="O361" s="10"/>
      <c r="P361" s="10"/>
      <c r="Q361" s="38">
        <f t="shared" si="149"/>
        <v>0</v>
      </c>
      <c r="R361" s="38">
        <f t="shared" si="150"/>
        <v>2120</v>
      </c>
    </row>
    <row r="362" spans="1:20" ht="15.75" customHeight="1" x14ac:dyDescent="0.3">
      <c r="A362" s="410" t="s">
        <v>2607</v>
      </c>
      <c r="B362" s="10"/>
      <c r="C362" s="10"/>
      <c r="D362" s="10"/>
      <c r="E362" s="38">
        <f t="shared" si="146"/>
        <v>0</v>
      </c>
      <c r="F362" s="10"/>
      <c r="G362" s="10"/>
      <c r="H362" s="10"/>
      <c r="I362" s="38">
        <f t="shared" si="147"/>
        <v>0</v>
      </c>
      <c r="J362" s="10"/>
      <c r="K362" s="10"/>
      <c r="L362" s="10"/>
      <c r="M362" s="38">
        <f t="shared" si="148"/>
        <v>0</v>
      </c>
      <c r="N362" s="10"/>
      <c r="O362" s="10"/>
      <c r="P362" s="10"/>
      <c r="Q362" s="38">
        <f t="shared" si="149"/>
        <v>0</v>
      </c>
      <c r="R362" s="38">
        <f t="shared" si="150"/>
        <v>0</v>
      </c>
      <c r="T362" t="s">
        <v>2174</v>
      </c>
    </row>
    <row r="363" spans="1:20" ht="15.75" customHeight="1" x14ac:dyDescent="0.3">
      <c r="A363" s="410" t="s">
        <v>3205</v>
      </c>
      <c r="B363" s="10"/>
      <c r="C363" s="10"/>
      <c r="D363" s="10"/>
      <c r="E363" s="38">
        <f t="shared" si="146"/>
        <v>0</v>
      </c>
      <c r="F363" s="10"/>
      <c r="G363" s="10"/>
      <c r="H363" s="10">
        <v>165</v>
      </c>
      <c r="I363" s="38">
        <f t="shared" si="147"/>
        <v>165</v>
      </c>
      <c r="J363" s="10">
        <v>160</v>
      </c>
      <c r="K363" s="10"/>
      <c r="L363" s="10"/>
      <c r="M363" s="38">
        <f t="shared" si="148"/>
        <v>160</v>
      </c>
      <c r="N363" s="10">
        <v>1500</v>
      </c>
      <c r="O363" s="10"/>
      <c r="P363" s="10"/>
      <c r="Q363" s="38">
        <f t="shared" si="149"/>
        <v>1500</v>
      </c>
      <c r="R363" s="38">
        <f t="shared" si="150"/>
        <v>1825</v>
      </c>
    </row>
    <row r="364" spans="1:20" ht="15.75" customHeight="1" x14ac:dyDescent="0.3">
      <c r="A364" s="410" t="s">
        <v>2692</v>
      </c>
      <c r="B364" s="10"/>
      <c r="C364" s="10"/>
      <c r="D364" s="10"/>
      <c r="E364" s="38">
        <f>SUM(B364:D364)</f>
        <v>0</v>
      </c>
      <c r="F364" s="10"/>
      <c r="G364" s="10"/>
      <c r="H364" s="10"/>
      <c r="I364" s="38">
        <f>SUM(F364:H364)</f>
        <v>0</v>
      </c>
      <c r="J364" s="10"/>
      <c r="K364" s="10"/>
      <c r="L364" s="10"/>
      <c r="M364" s="38">
        <f t="shared" si="148"/>
        <v>0</v>
      </c>
      <c r="N364" s="10"/>
      <c r="O364" s="10"/>
      <c r="P364" s="10"/>
      <c r="Q364" s="38">
        <f>SUM(N364:P364)</f>
        <v>0</v>
      </c>
      <c r="R364" s="38">
        <f t="shared" si="150"/>
        <v>0</v>
      </c>
      <c r="T364" t="s">
        <v>1358</v>
      </c>
    </row>
    <row r="365" spans="1:20" ht="15.75" customHeight="1" x14ac:dyDescent="0.3">
      <c r="A365" s="410" t="s">
        <v>347</v>
      </c>
      <c r="B365" s="10"/>
      <c r="C365" s="10"/>
      <c r="D365" s="10"/>
      <c r="E365" s="38">
        <f t="shared" ref="E365" si="166">SUM(B365:D365)</f>
        <v>0</v>
      </c>
      <c r="F365" s="10"/>
      <c r="G365" s="10"/>
      <c r="H365" s="10"/>
      <c r="I365" s="38">
        <f t="shared" ref="I365" si="167">SUM(F365:H365)</f>
        <v>0</v>
      </c>
      <c r="J365" s="10"/>
      <c r="K365" s="10">
        <v>1990</v>
      </c>
      <c r="L365" s="10">
        <v>1478</v>
      </c>
      <c r="M365" s="38">
        <f t="shared" si="148"/>
        <v>3468</v>
      </c>
      <c r="N365" s="10">
        <v>1713</v>
      </c>
      <c r="O365" s="10">
        <v>1024</v>
      </c>
      <c r="P365" s="10">
        <v>1030</v>
      </c>
      <c r="Q365" s="38">
        <f t="shared" si="149"/>
        <v>3767</v>
      </c>
      <c r="R365" s="38">
        <f t="shared" si="150"/>
        <v>7235</v>
      </c>
      <c r="T365" t="s">
        <v>2780</v>
      </c>
    </row>
    <row r="366" spans="1:20" ht="15.75" customHeight="1" x14ac:dyDescent="0.3">
      <c r="A366" s="410" t="s">
        <v>2954</v>
      </c>
      <c r="B366" s="10"/>
      <c r="C366" s="10"/>
      <c r="D366" s="10"/>
      <c r="E366" s="38">
        <f>SUM(B366:D366)</f>
        <v>0</v>
      </c>
      <c r="F366" s="10"/>
      <c r="G366" s="10"/>
      <c r="H366" s="10"/>
      <c r="I366" s="38">
        <f>SUM(F366:H366)</f>
        <v>0</v>
      </c>
      <c r="J366" s="10"/>
      <c r="K366" s="10"/>
      <c r="L366" s="10"/>
      <c r="M366" s="38">
        <f>SUM(J366:L366)</f>
        <v>0</v>
      </c>
      <c r="N366" s="10"/>
      <c r="O366" s="10"/>
      <c r="P366" s="10"/>
      <c r="Q366" s="38">
        <f>SUM(N366:P366)</f>
        <v>0</v>
      </c>
      <c r="R366" s="38">
        <f t="shared" si="150"/>
        <v>0</v>
      </c>
      <c r="T366" t="s">
        <v>1358</v>
      </c>
    </row>
    <row r="367" spans="1:20" ht="15.75" customHeight="1" x14ac:dyDescent="0.3">
      <c r="A367" s="410" t="s">
        <v>2593</v>
      </c>
      <c r="B367" s="10"/>
      <c r="C367" s="10"/>
      <c r="D367" s="10"/>
      <c r="E367" s="38">
        <f t="shared" si="146"/>
        <v>0</v>
      </c>
      <c r="F367" s="10"/>
      <c r="G367" s="10"/>
      <c r="H367" s="10"/>
      <c r="I367" s="38">
        <f t="shared" si="147"/>
        <v>0</v>
      </c>
      <c r="J367" s="10"/>
      <c r="K367" s="10"/>
      <c r="L367" s="10"/>
      <c r="M367" s="38">
        <f t="shared" si="148"/>
        <v>0</v>
      </c>
      <c r="N367" s="10"/>
      <c r="O367" s="10"/>
      <c r="P367" s="10"/>
      <c r="Q367" s="38">
        <f t="shared" si="149"/>
        <v>0</v>
      </c>
      <c r="R367" s="38">
        <f t="shared" si="150"/>
        <v>0</v>
      </c>
      <c r="S367" s="538"/>
      <c r="T367" t="s">
        <v>2175</v>
      </c>
    </row>
    <row r="368" spans="1:20" ht="15.75" customHeight="1" x14ac:dyDescent="0.3">
      <c r="A368" s="410" t="s">
        <v>3056</v>
      </c>
      <c r="B368" s="10">
        <v>9</v>
      </c>
      <c r="C368" s="10">
        <v>21</v>
      </c>
      <c r="D368" s="10">
        <v>11</v>
      </c>
      <c r="E368" s="38">
        <f t="shared" si="146"/>
        <v>41</v>
      </c>
      <c r="F368" s="10">
        <v>50</v>
      </c>
      <c r="G368" s="10"/>
      <c r="H368" s="10">
        <v>79</v>
      </c>
      <c r="I368" s="38">
        <f>SUM(F368:H368)</f>
        <v>129</v>
      </c>
      <c r="J368" s="10">
        <v>70</v>
      </c>
      <c r="K368" s="10">
        <v>84</v>
      </c>
      <c r="L368" s="10">
        <v>46</v>
      </c>
      <c r="M368" s="38">
        <f>SUM(J368:L368)</f>
        <v>200</v>
      </c>
      <c r="N368" s="10"/>
      <c r="O368" s="10"/>
      <c r="P368" s="10"/>
      <c r="Q368" s="38">
        <f>SUM(N368:P368)</f>
        <v>0</v>
      </c>
      <c r="R368" s="38">
        <f>+E368+I368+M368+Q368</f>
        <v>370</v>
      </c>
      <c r="T368" t="s">
        <v>1193</v>
      </c>
    </row>
    <row r="369" spans="1:20" ht="15.75" customHeight="1" x14ac:dyDescent="0.3">
      <c r="A369" s="311" t="s">
        <v>92</v>
      </c>
      <c r="B369" s="10">
        <f>855+641</f>
        <v>1496</v>
      </c>
      <c r="C369" s="10">
        <f>841+525</f>
        <v>1366</v>
      </c>
      <c r="D369" s="10">
        <f>993+606</f>
        <v>1599</v>
      </c>
      <c r="E369" s="38">
        <f t="shared" ref="E369" si="168">SUM(B369:D369)</f>
        <v>4461</v>
      </c>
      <c r="F369" s="10">
        <v>231</v>
      </c>
      <c r="G369" s="10">
        <v>2175</v>
      </c>
      <c r="H369" s="10">
        <f>1442+3878</f>
        <v>5320</v>
      </c>
      <c r="I369" s="38">
        <f t="shared" ref="I369" si="169">SUM(F369:H369)</f>
        <v>7726</v>
      </c>
      <c r="J369" s="10">
        <f>2245+3387</f>
        <v>5632</v>
      </c>
      <c r="K369" s="10">
        <f>2124+3551</f>
        <v>5675</v>
      </c>
      <c r="L369" s="10">
        <f>1833+3014</f>
        <v>4847</v>
      </c>
      <c r="M369" s="38">
        <f t="shared" ref="M369" si="170">SUM(J369:L369)</f>
        <v>16154</v>
      </c>
      <c r="N369" s="10">
        <f>2350+1558</f>
        <v>3908</v>
      </c>
      <c r="O369" s="10">
        <f>2613+1507</f>
        <v>4120</v>
      </c>
      <c r="P369" s="10">
        <v>4395</v>
      </c>
      <c r="Q369" s="38">
        <f t="shared" si="149"/>
        <v>12423</v>
      </c>
      <c r="R369" s="38">
        <f t="shared" si="150"/>
        <v>40764</v>
      </c>
      <c r="T369" t="s">
        <v>2177</v>
      </c>
    </row>
    <row r="370" spans="1:20" ht="15.75" customHeight="1" x14ac:dyDescent="0.3">
      <c r="A370" s="410" t="s">
        <v>3164</v>
      </c>
      <c r="B370" s="10"/>
      <c r="C370" s="10"/>
      <c r="D370" s="10"/>
      <c r="E370" s="38">
        <f t="shared" si="146"/>
        <v>0</v>
      </c>
      <c r="F370" s="10"/>
      <c r="G370" s="10"/>
      <c r="H370" s="10"/>
      <c r="I370" s="38">
        <f t="shared" si="147"/>
        <v>0</v>
      </c>
      <c r="J370" s="10"/>
      <c r="K370" s="10"/>
      <c r="L370" s="10"/>
      <c r="M370" s="38">
        <f t="shared" si="148"/>
        <v>0</v>
      </c>
      <c r="N370" s="10"/>
      <c r="O370" s="10"/>
      <c r="P370" s="10"/>
      <c r="Q370" s="38">
        <f t="shared" si="149"/>
        <v>0</v>
      </c>
      <c r="R370" s="38">
        <f t="shared" si="150"/>
        <v>0</v>
      </c>
      <c r="T370" t="s">
        <v>2176</v>
      </c>
    </row>
    <row r="371" spans="1:20" ht="15.75" customHeight="1" x14ac:dyDescent="0.3">
      <c r="A371" s="410" t="s">
        <v>3409</v>
      </c>
      <c r="B371" s="10"/>
      <c r="C371" s="10"/>
      <c r="D371" s="10">
        <f>378+487</f>
        <v>865</v>
      </c>
      <c r="E371" s="38">
        <f t="shared" si="146"/>
        <v>865</v>
      </c>
      <c r="F371" s="10"/>
      <c r="G371" s="10"/>
      <c r="H371" s="10">
        <f>492+508</f>
        <v>1000</v>
      </c>
      <c r="I371" s="38">
        <f t="shared" si="147"/>
        <v>1000</v>
      </c>
      <c r="J371" s="10">
        <v>1000</v>
      </c>
      <c r="K371" s="10"/>
      <c r="L371" s="10"/>
      <c r="M371" s="38">
        <f t="shared" si="148"/>
        <v>1000</v>
      </c>
      <c r="N371" s="10"/>
      <c r="O371" s="10"/>
      <c r="P371" s="10"/>
      <c r="Q371" s="38">
        <f t="shared" ref="Q371" si="171">SUM(N371:P371)</f>
        <v>0</v>
      </c>
      <c r="R371" s="38">
        <f t="shared" ref="R371" si="172">+E371+I371+M371+Q371</f>
        <v>2865</v>
      </c>
    </row>
    <row r="372" spans="1:20" ht="15.75" customHeight="1" x14ac:dyDescent="0.3">
      <c r="A372" s="410" t="s">
        <v>3410</v>
      </c>
      <c r="B372" s="10"/>
      <c r="C372" s="10"/>
      <c r="D372" s="10"/>
      <c r="E372" s="38">
        <f t="shared" si="146"/>
        <v>0</v>
      </c>
      <c r="F372" s="10"/>
      <c r="G372" s="10"/>
      <c r="H372" s="10"/>
      <c r="I372" s="38">
        <f t="shared" si="147"/>
        <v>0</v>
      </c>
      <c r="J372" s="10">
        <v>1056</v>
      </c>
      <c r="K372" s="10"/>
      <c r="L372" s="10"/>
      <c r="M372" s="38">
        <f t="shared" si="148"/>
        <v>1056</v>
      </c>
      <c r="N372" s="10"/>
      <c r="O372" s="10"/>
      <c r="P372" s="10"/>
      <c r="Q372" s="38">
        <f t="shared" ref="Q372" si="173">SUM(N372:P372)</f>
        <v>0</v>
      </c>
      <c r="R372" s="38">
        <f t="shared" ref="R372" si="174">+E372+I372+M372+Q372</f>
        <v>1056</v>
      </c>
    </row>
    <row r="373" spans="1:20" ht="15.75" customHeight="1" x14ac:dyDescent="0.3">
      <c r="A373" s="410" t="s">
        <v>3138</v>
      </c>
      <c r="B373" s="10">
        <f>72+131+97</f>
        <v>300</v>
      </c>
      <c r="C373" s="10">
        <f>151+149</f>
        <v>300</v>
      </c>
      <c r="D373" s="10">
        <f>300</f>
        <v>300</v>
      </c>
      <c r="E373" s="38">
        <f t="shared" si="146"/>
        <v>900</v>
      </c>
      <c r="F373" s="10">
        <v>300</v>
      </c>
      <c r="G373" s="10">
        <v>300</v>
      </c>
      <c r="H373" s="10">
        <v>190</v>
      </c>
      <c r="I373" s="38">
        <f t="shared" si="147"/>
        <v>790</v>
      </c>
      <c r="J373" s="10">
        <v>600</v>
      </c>
      <c r="K373" s="10">
        <v>300</v>
      </c>
      <c r="L373" s="10">
        <f>320+280</f>
        <v>600</v>
      </c>
      <c r="M373" s="38">
        <f t="shared" si="148"/>
        <v>1500</v>
      </c>
      <c r="N373" s="10"/>
      <c r="O373" s="10"/>
      <c r="P373" s="10"/>
      <c r="Q373" s="38">
        <f t="shared" si="149"/>
        <v>0</v>
      </c>
      <c r="R373" s="38">
        <f t="shared" si="150"/>
        <v>3190</v>
      </c>
    </row>
    <row r="374" spans="1:20" ht="15.75" customHeight="1" x14ac:dyDescent="0.3">
      <c r="A374" s="410" t="s">
        <v>3268</v>
      </c>
      <c r="B374" s="10"/>
      <c r="C374" s="10"/>
      <c r="D374" s="10"/>
      <c r="E374" s="38">
        <f t="shared" si="146"/>
        <v>0</v>
      </c>
      <c r="F374" s="10"/>
      <c r="G374" s="10"/>
      <c r="H374" s="10">
        <v>620</v>
      </c>
      <c r="I374" s="38">
        <f t="shared" si="147"/>
        <v>620</v>
      </c>
      <c r="J374" s="10"/>
      <c r="K374" s="10"/>
      <c r="L374" s="10"/>
      <c r="M374" s="38">
        <f t="shared" si="148"/>
        <v>0</v>
      </c>
      <c r="N374" s="10"/>
      <c r="O374" s="10"/>
      <c r="P374" s="10"/>
      <c r="Q374" s="38">
        <f t="shared" si="149"/>
        <v>0</v>
      </c>
      <c r="R374" s="38">
        <f t="shared" si="150"/>
        <v>620</v>
      </c>
      <c r="S374" s="736" t="s">
        <v>3213</v>
      </c>
    </row>
    <row r="375" spans="1:20" ht="15.75" customHeight="1" x14ac:dyDescent="0.3">
      <c r="A375" s="410" t="s">
        <v>3060</v>
      </c>
      <c r="B375" s="10"/>
      <c r="C375" s="10"/>
      <c r="D375" s="10"/>
      <c r="E375" s="38">
        <f t="shared" si="146"/>
        <v>0</v>
      </c>
      <c r="F375" s="10"/>
      <c r="G375" s="10"/>
      <c r="H375" s="10"/>
      <c r="I375" s="38">
        <f t="shared" si="147"/>
        <v>0</v>
      </c>
      <c r="J375" s="10">
        <v>999</v>
      </c>
      <c r="K375" s="10"/>
      <c r="L375" s="10">
        <v>1</v>
      </c>
      <c r="M375" s="38">
        <f t="shared" si="148"/>
        <v>1000</v>
      </c>
      <c r="N375" s="10"/>
      <c r="O375" s="10"/>
      <c r="P375" s="10"/>
      <c r="Q375" s="38">
        <f>SUM(N375:P375)</f>
        <v>0</v>
      </c>
      <c r="R375" s="38">
        <f>+E375+I375+M375+Q375</f>
        <v>1000</v>
      </c>
      <c r="T375" t="s">
        <v>1358</v>
      </c>
    </row>
    <row r="376" spans="1:20" ht="15.75" customHeight="1" x14ac:dyDescent="0.3">
      <c r="A376" s="410" t="s">
        <v>3057</v>
      </c>
      <c r="B376" s="10">
        <v>28</v>
      </c>
      <c r="C376" s="10">
        <v>27</v>
      </c>
      <c r="D376" s="10">
        <v>21</v>
      </c>
      <c r="E376" s="38">
        <f>SUM(B376:D376)</f>
        <v>76</v>
      </c>
      <c r="F376" s="10">
        <v>54</v>
      </c>
      <c r="G376" s="10"/>
      <c r="H376" s="10">
        <v>17</v>
      </c>
      <c r="I376" s="38">
        <f>SUM(F376:H376)</f>
        <v>71</v>
      </c>
      <c r="J376" s="10">
        <v>1</v>
      </c>
      <c r="K376" s="10"/>
      <c r="L376" s="10"/>
      <c r="M376" s="38">
        <f>SUM(J376:L376)</f>
        <v>1</v>
      </c>
      <c r="N376" s="10">
        <v>64</v>
      </c>
      <c r="O376" s="10">
        <v>79</v>
      </c>
      <c r="P376" s="10">
        <v>243</v>
      </c>
      <c r="Q376" s="38">
        <f>SUM(N376:P376)</f>
        <v>386</v>
      </c>
      <c r="R376" s="38">
        <f>+E376+I376+M376+Q376</f>
        <v>534</v>
      </c>
      <c r="T376" t="s">
        <v>1193</v>
      </c>
    </row>
    <row r="377" spans="1:20" ht="15.75" customHeight="1" x14ac:dyDescent="0.3">
      <c r="A377" s="539" t="s">
        <v>2944</v>
      </c>
      <c r="B377" s="10"/>
      <c r="C377" s="10"/>
      <c r="D377" s="10"/>
      <c r="E377" s="38">
        <f>SUM(B377:D377)</f>
        <v>0</v>
      </c>
      <c r="F377" s="10"/>
      <c r="G377" s="10"/>
      <c r="H377" s="10"/>
      <c r="I377" s="38">
        <f>SUM(F377:H377)</f>
        <v>0</v>
      </c>
      <c r="J377" s="10">
        <v>27</v>
      </c>
      <c r="K377" s="10"/>
      <c r="L377" s="10"/>
      <c r="M377" s="38">
        <f>SUM(J377:L377)</f>
        <v>27</v>
      </c>
      <c r="N377" s="10"/>
      <c r="O377" s="10"/>
      <c r="P377" s="10"/>
      <c r="Q377" s="38">
        <f>SUM(N377:P377)</f>
        <v>0</v>
      </c>
      <c r="R377" s="38">
        <f t="shared" si="150"/>
        <v>27</v>
      </c>
    </row>
    <row r="378" spans="1:20" ht="15.75" customHeight="1" x14ac:dyDescent="0.3">
      <c r="A378" s="410" t="s">
        <v>2609</v>
      </c>
      <c r="B378" s="10">
        <v>20</v>
      </c>
      <c r="C378" s="10">
        <v>20</v>
      </c>
      <c r="D378" s="10">
        <v>20</v>
      </c>
      <c r="E378" s="38">
        <f t="shared" ref="E378" si="175">SUM(B378:D378)</f>
        <v>60</v>
      </c>
      <c r="F378" s="10">
        <v>60</v>
      </c>
      <c r="G378" s="10">
        <v>76</v>
      </c>
      <c r="H378" s="10">
        <v>107</v>
      </c>
      <c r="I378" s="38">
        <f t="shared" ref="I378" si="176">SUM(F378:H378)</f>
        <v>243</v>
      </c>
      <c r="J378" s="10">
        <v>131</v>
      </c>
      <c r="K378" s="10">
        <v>61</v>
      </c>
      <c r="L378" s="10"/>
      <c r="M378" s="38">
        <f t="shared" ref="M378" si="177">SUM(J378:L378)</f>
        <v>192</v>
      </c>
      <c r="N378" s="10"/>
      <c r="O378" s="10"/>
      <c r="P378" s="10"/>
      <c r="Q378" s="38">
        <f t="shared" si="149"/>
        <v>0</v>
      </c>
      <c r="R378" s="38">
        <f t="shared" si="150"/>
        <v>495</v>
      </c>
      <c r="S378">
        <f>SUM(R346:R378)</f>
        <v>90325</v>
      </c>
      <c r="T378" t="s">
        <v>2175</v>
      </c>
    </row>
    <row r="379" spans="1:20" ht="15.75" customHeight="1" x14ac:dyDescent="0.3">
      <c r="A379" s="410" t="s">
        <v>3058</v>
      </c>
      <c r="B379" s="10">
        <v>1</v>
      </c>
      <c r="C379" s="10">
        <v>2</v>
      </c>
      <c r="D379" s="10">
        <v>2</v>
      </c>
      <c r="E379" s="38">
        <f>SUM(B379:D379)</f>
        <v>5</v>
      </c>
      <c r="F379" s="10">
        <v>6</v>
      </c>
      <c r="G379" s="10"/>
      <c r="H379" s="10">
        <v>10</v>
      </c>
      <c r="I379" s="38">
        <f>SUM(F379:H379)</f>
        <v>16</v>
      </c>
      <c r="J379" s="10">
        <v>9</v>
      </c>
      <c r="K379" s="10">
        <v>10</v>
      </c>
      <c r="L379" s="10">
        <v>6</v>
      </c>
      <c r="M379" s="38">
        <f>SUM(J379:L379)</f>
        <v>25</v>
      </c>
      <c r="N379" s="10">
        <v>47</v>
      </c>
      <c r="O379" s="10">
        <v>36</v>
      </c>
      <c r="P379" s="10">
        <v>360</v>
      </c>
      <c r="Q379" s="38">
        <f>SUM(N379:P379)</f>
        <v>443</v>
      </c>
      <c r="R379" s="38">
        <f>+E379+I379+M379+Q379</f>
        <v>489</v>
      </c>
      <c r="T379" t="s">
        <v>1193</v>
      </c>
    </row>
    <row r="380" spans="1:20" ht="15.75" customHeight="1" x14ac:dyDescent="0.3">
      <c r="A380" s="234" t="s">
        <v>2161</v>
      </c>
      <c r="B380" s="10"/>
      <c r="C380" s="10"/>
      <c r="D380" s="10"/>
      <c r="E380" s="38" t="s">
        <v>852</v>
      </c>
      <c r="F380" s="10"/>
      <c r="G380" s="10"/>
      <c r="H380" s="10"/>
      <c r="I380" s="38" t="s">
        <v>852</v>
      </c>
      <c r="J380" s="10"/>
      <c r="K380" s="10"/>
      <c r="L380" s="10"/>
      <c r="M380" s="38" t="s">
        <v>852</v>
      </c>
      <c r="N380" s="10"/>
      <c r="O380" s="10"/>
      <c r="P380" s="10"/>
      <c r="Q380" s="38" t="s">
        <v>852</v>
      </c>
      <c r="R380" s="38" t="s">
        <v>852</v>
      </c>
    </row>
    <row r="381" spans="1:20" ht="15.75" customHeight="1" x14ac:dyDescent="0.3">
      <c r="A381" s="311" t="s">
        <v>754</v>
      </c>
      <c r="B381" s="10"/>
      <c r="C381" s="10"/>
      <c r="D381" s="10"/>
      <c r="E381" s="38">
        <f t="shared" ref="E381:E391" si="178">SUM(B381:D381)</f>
        <v>0</v>
      </c>
      <c r="F381" s="10"/>
      <c r="G381" s="10"/>
      <c r="H381" s="10"/>
      <c r="I381" s="38">
        <f t="shared" ref="I381:I391" si="179">SUM(F381:H381)</f>
        <v>0</v>
      </c>
      <c r="J381" s="10"/>
      <c r="K381" s="10"/>
      <c r="L381" s="10"/>
      <c r="M381" s="38">
        <f t="shared" ref="M381:M391" si="180">SUM(J381:L381)</f>
        <v>0</v>
      </c>
      <c r="N381" s="10"/>
      <c r="O381" s="10"/>
      <c r="P381" s="10"/>
      <c r="Q381" s="38">
        <f t="shared" ref="Q381:Q391" si="181">SUM(N381:P381)</f>
        <v>0</v>
      </c>
      <c r="R381" s="38">
        <f t="shared" ref="R381:R391" si="182">+E381+I381+M381+Q381</f>
        <v>0</v>
      </c>
    </row>
    <row r="382" spans="1:20" ht="15.75" customHeight="1" x14ac:dyDescent="0.3">
      <c r="A382" s="410" t="s">
        <v>2759</v>
      </c>
      <c r="B382" s="10"/>
      <c r="C382" s="10"/>
      <c r="D382" s="10"/>
      <c r="E382" s="38">
        <f>SUM(B382:D382)</f>
        <v>0</v>
      </c>
      <c r="F382" s="10"/>
      <c r="G382" s="10"/>
      <c r="H382" s="10"/>
      <c r="I382" s="38">
        <f>SUM(F382:H382)</f>
        <v>0</v>
      </c>
      <c r="J382" s="10"/>
      <c r="K382" s="10"/>
      <c r="L382" s="10"/>
      <c r="M382" s="38">
        <f>SUM(J382:L382)</f>
        <v>0</v>
      </c>
      <c r="N382" s="10"/>
      <c r="O382" s="10"/>
      <c r="P382" s="10"/>
      <c r="Q382" s="38">
        <f>SUM(N382:P382)</f>
        <v>0</v>
      </c>
      <c r="R382" s="38">
        <f>+E382+I382+M382+Q382</f>
        <v>0</v>
      </c>
      <c r="T382" t="s">
        <v>131</v>
      </c>
    </row>
    <row r="383" spans="1:20" ht="15.75" customHeight="1" x14ac:dyDescent="0.3">
      <c r="A383" s="311" t="s">
        <v>970</v>
      </c>
      <c r="B383" s="10"/>
      <c r="C383" s="10"/>
      <c r="D383" s="10"/>
      <c r="E383" s="38">
        <f>SUM(B383:D383)</f>
        <v>0</v>
      </c>
      <c r="F383" s="10"/>
      <c r="G383" s="10"/>
      <c r="H383" s="10"/>
      <c r="I383" s="38">
        <f>SUM(F383:H383)</f>
        <v>0</v>
      </c>
      <c r="J383" s="10"/>
      <c r="K383" s="10"/>
      <c r="L383" s="10"/>
      <c r="M383" s="38">
        <f>SUM(J383:L383)</f>
        <v>0</v>
      </c>
      <c r="N383" s="10"/>
      <c r="O383" s="10"/>
      <c r="P383" s="10"/>
      <c r="Q383" s="38">
        <f>SUM(N383:P383)</f>
        <v>0</v>
      </c>
      <c r="R383" s="38">
        <f>+E383+I383+M383+Q383</f>
        <v>0</v>
      </c>
      <c r="T383" t="s">
        <v>2176</v>
      </c>
    </row>
    <row r="384" spans="1:20" ht="15.75" customHeight="1" x14ac:dyDescent="0.3">
      <c r="A384" s="410" t="s">
        <v>2593</v>
      </c>
      <c r="B384" s="10"/>
      <c r="C384" s="10"/>
      <c r="D384" s="10"/>
      <c r="E384" s="38">
        <f t="shared" si="178"/>
        <v>0</v>
      </c>
      <c r="F384" s="10"/>
      <c r="G384" s="10"/>
      <c r="H384" s="10"/>
      <c r="I384" s="38">
        <f t="shared" si="179"/>
        <v>0</v>
      </c>
      <c r="J384" s="10"/>
      <c r="K384" s="10"/>
      <c r="L384" s="10"/>
      <c r="M384" s="38">
        <f t="shared" si="180"/>
        <v>0</v>
      </c>
      <c r="N384" s="10"/>
      <c r="O384" s="10"/>
      <c r="P384" s="10"/>
      <c r="Q384" s="38">
        <f t="shared" si="181"/>
        <v>0</v>
      </c>
      <c r="R384" s="38">
        <f>+E384+I384+M384+Q384</f>
        <v>0</v>
      </c>
      <c r="T384" t="s">
        <v>2175</v>
      </c>
    </row>
    <row r="385" spans="1:23" ht="15.75" customHeight="1" x14ac:dyDescent="0.3">
      <c r="A385" s="410" t="s">
        <v>2517</v>
      </c>
      <c r="B385" s="10"/>
      <c r="C385" s="10"/>
      <c r="D385" s="10"/>
      <c r="E385" s="38">
        <f>SUM(B385:D385)</f>
        <v>0</v>
      </c>
      <c r="F385" s="10"/>
      <c r="G385" s="10"/>
      <c r="H385" s="10"/>
      <c r="I385" s="38">
        <f>SUM(F385:H385)</f>
        <v>0</v>
      </c>
      <c r="J385" s="10"/>
      <c r="K385" s="10"/>
      <c r="L385" s="10"/>
      <c r="M385" s="38">
        <f>SUM(J385:L385)</f>
        <v>0</v>
      </c>
      <c r="N385" s="10"/>
      <c r="O385" s="10"/>
      <c r="P385" s="10"/>
      <c r="Q385" s="38">
        <f>SUM(N385:P385)</f>
        <v>0</v>
      </c>
      <c r="R385" s="38">
        <f>+E385+I385+M385+Q385</f>
        <v>0</v>
      </c>
      <c r="T385" t="s">
        <v>2229</v>
      </c>
    </row>
    <row r="386" spans="1:23" ht="15.75" customHeight="1" x14ac:dyDescent="0.3">
      <c r="A386" s="311" t="s">
        <v>1732</v>
      </c>
      <c r="B386" s="10"/>
      <c r="C386" s="10"/>
      <c r="D386" s="10"/>
      <c r="E386" s="38">
        <f t="shared" si="178"/>
        <v>0</v>
      </c>
      <c r="F386" s="10"/>
      <c r="G386" s="10"/>
      <c r="H386" s="10"/>
      <c r="I386" s="38">
        <f t="shared" si="179"/>
        <v>0</v>
      </c>
      <c r="J386" s="10"/>
      <c r="K386" s="10"/>
      <c r="L386" s="10"/>
      <c r="M386" s="38">
        <f t="shared" si="180"/>
        <v>0</v>
      </c>
      <c r="N386" s="10"/>
      <c r="O386" s="10"/>
      <c r="P386" s="10"/>
      <c r="Q386" s="38">
        <f t="shared" si="181"/>
        <v>0</v>
      </c>
      <c r="R386" s="38">
        <f t="shared" si="182"/>
        <v>0</v>
      </c>
    </row>
    <row r="387" spans="1:23" ht="15.75" customHeight="1" x14ac:dyDescent="0.3">
      <c r="A387" s="410" t="s">
        <v>2771</v>
      </c>
      <c r="B387" s="10"/>
      <c r="C387" s="10"/>
      <c r="D387" s="10"/>
      <c r="E387" s="38">
        <f t="shared" si="178"/>
        <v>0</v>
      </c>
      <c r="F387" s="10"/>
      <c r="G387" s="10"/>
      <c r="H387" s="10"/>
      <c r="I387" s="38">
        <f t="shared" si="179"/>
        <v>0</v>
      </c>
      <c r="J387" s="10"/>
      <c r="K387" s="10"/>
      <c r="L387" s="10"/>
      <c r="M387" s="38">
        <f t="shared" si="180"/>
        <v>0</v>
      </c>
      <c r="N387" s="10"/>
      <c r="O387" s="10"/>
      <c r="P387" s="10"/>
      <c r="Q387" s="38">
        <f t="shared" si="181"/>
        <v>0</v>
      </c>
      <c r="R387" s="38">
        <f t="shared" si="182"/>
        <v>0</v>
      </c>
      <c r="T387" t="s">
        <v>2230</v>
      </c>
    </row>
    <row r="388" spans="1:23" ht="15.75" customHeight="1" x14ac:dyDescent="0.3">
      <c r="A388" s="311" t="s">
        <v>1138</v>
      </c>
      <c r="B388" s="10"/>
      <c r="C388" s="10"/>
      <c r="D388" s="10"/>
      <c r="E388" s="38">
        <f t="shared" si="178"/>
        <v>0</v>
      </c>
      <c r="F388" s="10"/>
      <c r="G388" s="10"/>
      <c r="H388" s="10"/>
      <c r="I388" s="38">
        <f t="shared" si="179"/>
        <v>0</v>
      </c>
      <c r="J388" s="10"/>
      <c r="K388" s="10"/>
      <c r="L388" s="10"/>
      <c r="M388" s="38">
        <f t="shared" si="180"/>
        <v>0</v>
      </c>
      <c r="N388" s="10"/>
      <c r="O388" s="10"/>
      <c r="P388" s="10"/>
      <c r="Q388" s="38">
        <f t="shared" si="181"/>
        <v>0</v>
      </c>
      <c r="R388" s="38">
        <f t="shared" si="182"/>
        <v>0</v>
      </c>
      <c r="T388" t="s">
        <v>2230</v>
      </c>
    </row>
    <row r="389" spans="1:23" ht="15.75" customHeight="1" x14ac:dyDescent="0.3">
      <c r="A389" s="410" t="s">
        <v>2951</v>
      </c>
      <c r="B389" s="10"/>
      <c r="C389" s="10"/>
      <c r="D389" s="10"/>
      <c r="E389" s="38">
        <f t="shared" si="178"/>
        <v>0</v>
      </c>
      <c r="F389" s="10"/>
      <c r="G389" s="10"/>
      <c r="H389" s="10"/>
      <c r="I389" s="38">
        <f t="shared" si="179"/>
        <v>0</v>
      </c>
      <c r="J389" s="10"/>
      <c r="K389" s="10"/>
      <c r="L389" s="10"/>
      <c r="M389" s="38">
        <f t="shared" si="180"/>
        <v>0</v>
      </c>
      <c r="N389" s="10"/>
      <c r="O389" s="10"/>
      <c r="P389" s="10"/>
      <c r="Q389" s="38">
        <f t="shared" si="181"/>
        <v>0</v>
      </c>
      <c r="R389" s="38">
        <f t="shared" si="182"/>
        <v>0</v>
      </c>
      <c r="T389" t="s">
        <v>1193</v>
      </c>
    </row>
    <row r="390" spans="1:23" ht="15.75" customHeight="1" x14ac:dyDescent="0.3">
      <c r="A390" s="311" t="s">
        <v>644</v>
      </c>
      <c r="B390" s="10"/>
      <c r="C390" s="10"/>
      <c r="D390" s="10"/>
      <c r="E390" s="38">
        <f>SUM(B390:D390)</f>
        <v>0</v>
      </c>
      <c r="F390" s="10"/>
      <c r="G390" s="10"/>
      <c r="H390" s="10"/>
      <c r="I390" s="38">
        <f>SUM(F390:H390)</f>
        <v>0</v>
      </c>
      <c r="J390" s="10"/>
      <c r="K390" s="10"/>
      <c r="L390" s="10"/>
      <c r="M390" s="38">
        <f>SUM(J390:L390)</f>
        <v>0</v>
      </c>
      <c r="N390" s="10"/>
      <c r="O390" s="10"/>
      <c r="P390" s="10"/>
      <c r="Q390" s="38">
        <f>SUM(N390:P390)</f>
        <v>0</v>
      </c>
      <c r="R390" s="38">
        <f>+E390+I390+M390+Q390</f>
        <v>0</v>
      </c>
      <c r="T390" t="s">
        <v>1193</v>
      </c>
    </row>
    <row r="391" spans="1:23" ht="15.75" customHeight="1" x14ac:dyDescent="0.3">
      <c r="A391" s="311" t="s">
        <v>231</v>
      </c>
      <c r="B391" s="10"/>
      <c r="C391" s="10"/>
      <c r="D391" s="10"/>
      <c r="E391" s="38">
        <f t="shared" si="178"/>
        <v>0</v>
      </c>
      <c r="F391" s="10"/>
      <c r="G391" s="10"/>
      <c r="H391" s="10"/>
      <c r="I391" s="38">
        <f t="shared" si="179"/>
        <v>0</v>
      </c>
      <c r="J391" s="10"/>
      <c r="K391" s="10"/>
      <c r="L391" s="10"/>
      <c r="M391" s="38">
        <f t="shared" si="180"/>
        <v>0</v>
      </c>
      <c r="N391" s="10"/>
      <c r="O391" s="10"/>
      <c r="P391" s="10"/>
      <c r="Q391" s="38">
        <f t="shared" si="181"/>
        <v>0</v>
      </c>
      <c r="R391" s="38">
        <f t="shared" si="182"/>
        <v>0</v>
      </c>
      <c r="T391" t="s">
        <v>2179</v>
      </c>
    </row>
    <row r="392" spans="1:23" ht="15.75" customHeight="1" x14ac:dyDescent="0.3">
      <c r="A392" s="234" t="s">
        <v>3245</v>
      </c>
      <c r="B392" s="10"/>
      <c r="C392" s="10"/>
      <c r="D392" s="10"/>
      <c r="E392" s="38" t="s">
        <v>852</v>
      </c>
      <c r="F392" s="10"/>
      <c r="G392" s="10"/>
      <c r="H392" s="10"/>
      <c r="I392" s="38" t="s">
        <v>852</v>
      </c>
      <c r="J392" s="10"/>
      <c r="K392" s="10"/>
      <c r="L392" s="10"/>
      <c r="M392" s="38" t="s">
        <v>852</v>
      </c>
      <c r="N392" s="10"/>
      <c r="O392" s="10"/>
      <c r="P392" s="10"/>
      <c r="Q392" s="38" t="s">
        <v>852</v>
      </c>
      <c r="R392" s="38" t="s">
        <v>852</v>
      </c>
    </row>
    <row r="393" spans="1:23" ht="15.75" customHeight="1" x14ac:dyDescent="0.3">
      <c r="A393" s="410" t="s">
        <v>3256</v>
      </c>
      <c r="B393" s="10"/>
      <c r="C393" s="10"/>
      <c r="D393" s="10"/>
      <c r="E393" s="38">
        <f>SUM(B393:D393)</f>
        <v>0</v>
      </c>
      <c r="F393" s="10"/>
      <c r="G393" s="10"/>
      <c r="H393" s="10"/>
      <c r="I393" s="38">
        <f>SUM(F393:H393)</f>
        <v>0</v>
      </c>
      <c r="J393" s="10"/>
      <c r="K393" s="10"/>
      <c r="L393" s="10"/>
      <c r="M393" s="38">
        <f>SUM(J393:L393)</f>
        <v>0</v>
      </c>
      <c r="N393" s="10"/>
      <c r="O393" s="10"/>
      <c r="P393" s="10"/>
      <c r="Q393" s="38">
        <f>SUM(N393:P393)</f>
        <v>0</v>
      </c>
      <c r="R393" s="38">
        <f>+E393+I393+M393+Q393</f>
        <v>0</v>
      </c>
      <c r="S393" s="735" t="s">
        <v>3214</v>
      </c>
      <c r="T393" t="s">
        <v>2174</v>
      </c>
    </row>
    <row r="394" spans="1:23" ht="15.75" customHeight="1" x14ac:dyDescent="0.3">
      <c r="A394" s="410" t="s">
        <v>3257</v>
      </c>
      <c r="B394" s="10"/>
      <c r="C394" s="10"/>
      <c r="D394" s="10"/>
      <c r="E394" s="38">
        <f>SUM(B394:D394)</f>
        <v>0</v>
      </c>
      <c r="F394" s="10"/>
      <c r="G394" s="10"/>
      <c r="H394" s="10"/>
      <c r="I394" s="38">
        <f>SUM(F394:H394)</f>
        <v>0</v>
      </c>
      <c r="J394" s="10"/>
      <c r="K394" s="10"/>
      <c r="L394" s="10"/>
      <c r="M394" s="38">
        <f>SUM(J394:L394)</f>
        <v>0</v>
      </c>
      <c r="N394" s="10"/>
      <c r="O394" s="10"/>
      <c r="P394" s="10"/>
      <c r="Q394" s="38">
        <f>SUM(N394:P394)</f>
        <v>0</v>
      </c>
      <c r="R394" s="38">
        <f>+E394+I394+M394+Q394</f>
        <v>0</v>
      </c>
      <c r="S394" s="735" t="s">
        <v>3214</v>
      </c>
    </row>
    <row r="395" spans="1:23" ht="15.75" customHeight="1" x14ac:dyDescent="0.3">
      <c r="A395" s="410" t="s">
        <v>3258</v>
      </c>
      <c r="B395" s="10"/>
      <c r="C395" s="10"/>
      <c r="D395" s="10"/>
      <c r="E395" s="38">
        <f>SUM(B395:D395)</f>
        <v>0</v>
      </c>
      <c r="F395" s="10"/>
      <c r="G395" s="10"/>
      <c r="H395" s="10"/>
      <c r="I395" s="38">
        <f>SUM(F395:H395)</f>
        <v>0</v>
      </c>
      <c r="J395" s="10"/>
      <c r="K395" s="10"/>
      <c r="L395" s="10"/>
      <c r="M395" s="38">
        <f>SUM(J395:L395)</f>
        <v>0</v>
      </c>
      <c r="N395" s="10"/>
      <c r="O395" s="10"/>
      <c r="P395" s="10"/>
      <c r="Q395" s="38">
        <f>SUM(N395:P395)</f>
        <v>0</v>
      </c>
      <c r="R395" s="38">
        <f>+E395+I395+M395+Q395</f>
        <v>0</v>
      </c>
      <c r="S395" s="735" t="s">
        <v>3214</v>
      </c>
      <c r="T395" t="s">
        <v>2175</v>
      </c>
    </row>
    <row r="396" spans="1:23" ht="15.75" customHeight="1" x14ac:dyDescent="0.3">
      <c r="A396" s="410" t="s">
        <v>3259</v>
      </c>
      <c r="B396" s="10"/>
      <c r="C396" s="10"/>
      <c r="D396" s="10"/>
      <c r="E396" s="38">
        <f>SUM(B396:D396)</f>
        <v>0</v>
      </c>
      <c r="F396" s="10"/>
      <c r="G396" s="10"/>
      <c r="H396" s="10"/>
      <c r="I396" s="38">
        <f>SUM(F396:H396)</f>
        <v>0</v>
      </c>
      <c r="J396" s="10"/>
      <c r="K396" s="10"/>
      <c r="L396" s="10"/>
      <c r="M396" s="38">
        <f>SUM(J396:L396)</f>
        <v>0</v>
      </c>
      <c r="N396" s="10"/>
      <c r="O396" s="10"/>
      <c r="P396" s="10"/>
      <c r="Q396" s="38">
        <f>SUM(N396:P396)</f>
        <v>0</v>
      </c>
      <c r="R396" s="38">
        <f>+E396+I396+M396+Q396</f>
        <v>0</v>
      </c>
      <c r="S396" s="735" t="s">
        <v>3214</v>
      </c>
      <c r="T396" t="s">
        <v>1358</v>
      </c>
    </row>
    <row r="397" spans="1:23" ht="16.5" customHeight="1" thickBot="1" x14ac:dyDescent="0.35">
      <c r="A397" s="234" t="s">
        <v>2164</v>
      </c>
      <c r="B397" s="10"/>
      <c r="C397" s="10"/>
      <c r="D397" s="10"/>
      <c r="E397" s="38" t="s">
        <v>852</v>
      </c>
      <c r="F397" s="10"/>
      <c r="G397" s="10"/>
      <c r="H397" s="10"/>
      <c r="I397" s="38" t="s">
        <v>852</v>
      </c>
      <c r="J397" s="10"/>
      <c r="K397" s="10"/>
      <c r="L397" s="10"/>
      <c r="M397" s="38" t="s">
        <v>852</v>
      </c>
      <c r="N397" s="10"/>
      <c r="O397" s="10"/>
      <c r="P397" s="10"/>
      <c r="Q397" s="38" t="s">
        <v>852</v>
      </c>
      <c r="R397" s="40" t="s">
        <v>852</v>
      </c>
      <c r="V397" t="s">
        <v>3012</v>
      </c>
      <c r="W397" t="s">
        <v>3013</v>
      </c>
    </row>
    <row r="398" spans="1:23" ht="16.5" customHeight="1" thickBot="1" x14ac:dyDescent="0.35">
      <c r="A398" s="322" t="s">
        <v>1218</v>
      </c>
      <c r="B398" s="45">
        <f>SUM(B344:B397)</f>
        <v>2413</v>
      </c>
      <c r="C398" s="46">
        <f>SUM(C344:C397)</f>
        <v>4717</v>
      </c>
      <c r="D398" s="46">
        <f>SUM(D344:D397)</f>
        <v>4215</v>
      </c>
      <c r="E398" s="37">
        <f>SUM(B398:D398)</f>
        <v>11345</v>
      </c>
      <c r="F398" s="46">
        <f>SUM(F344:F397)</f>
        <v>1349</v>
      </c>
      <c r="G398" s="46">
        <f>SUM(G344:G397)</f>
        <v>3332</v>
      </c>
      <c r="H398" s="46">
        <f>SUM(H344:H397)</f>
        <v>11007</v>
      </c>
      <c r="I398" s="37">
        <f>SUM(F398:H398)</f>
        <v>15688</v>
      </c>
      <c r="J398" s="46">
        <f>SUM(J344:J397)</f>
        <v>15407</v>
      </c>
      <c r="K398" s="46">
        <f>SUM(K344:K397)</f>
        <v>16615</v>
      </c>
      <c r="L398" s="46">
        <f>SUM(L344:L397)</f>
        <v>8709</v>
      </c>
      <c r="M398" s="37">
        <f>SUM(J398:L398)</f>
        <v>40731</v>
      </c>
      <c r="N398" s="46">
        <f>SUM(N344:N397)</f>
        <v>8431</v>
      </c>
      <c r="O398" s="46">
        <f>SUM(O344:O397)</f>
        <v>6837</v>
      </c>
      <c r="P398" s="46">
        <f>SUM(P344:P397)</f>
        <v>7782</v>
      </c>
      <c r="Q398" s="37">
        <f>SUM(N398:P398)</f>
        <v>23050</v>
      </c>
      <c r="R398" s="37">
        <f>+E398+I398+M398+Q398</f>
        <v>90814</v>
      </c>
      <c r="T398" s="230"/>
      <c r="V398" t="s">
        <v>2174</v>
      </c>
      <c r="W398" s="695">
        <v>0.18</v>
      </c>
    </row>
    <row r="399" spans="1:23" ht="15.75" customHeight="1" x14ac:dyDescent="0.3">
      <c r="A399" s="234" t="s">
        <v>1172</v>
      </c>
      <c r="B399" s="10"/>
      <c r="C399" s="10"/>
      <c r="D399" s="10"/>
      <c r="E399" s="38" t="s">
        <v>852</v>
      </c>
      <c r="F399" s="10"/>
      <c r="G399" s="10"/>
      <c r="H399" s="10"/>
      <c r="I399" s="38" t="s">
        <v>852</v>
      </c>
      <c r="J399" s="10"/>
      <c r="K399" s="10"/>
      <c r="L399" s="10"/>
      <c r="M399" s="38" t="s">
        <v>852</v>
      </c>
      <c r="N399" s="10"/>
      <c r="O399" s="10"/>
      <c r="P399" s="10"/>
      <c r="Q399" s="38" t="s">
        <v>852</v>
      </c>
      <c r="R399" s="38" t="s">
        <v>852</v>
      </c>
      <c r="V399" t="s">
        <v>500</v>
      </c>
      <c r="W399" s="695">
        <v>0.52</v>
      </c>
    </row>
    <row r="400" spans="1:23" ht="15.75" customHeight="1" x14ac:dyDescent="0.3">
      <c r="A400" s="234" t="s">
        <v>1025</v>
      </c>
      <c r="B400" s="10"/>
      <c r="C400" s="10"/>
      <c r="D400" s="10"/>
      <c r="E400" s="38"/>
      <c r="F400" s="10"/>
      <c r="G400" s="10"/>
      <c r="H400" s="10"/>
      <c r="I400" s="38"/>
      <c r="J400" s="10"/>
      <c r="K400" s="10"/>
      <c r="L400" s="10"/>
      <c r="M400" s="38"/>
      <c r="N400" s="10"/>
      <c r="O400" s="10"/>
      <c r="P400" s="10"/>
      <c r="Q400" s="38"/>
      <c r="R400" s="38"/>
      <c r="V400" t="s">
        <v>505</v>
      </c>
      <c r="W400" s="695">
        <v>0.3</v>
      </c>
    </row>
    <row r="401" spans="1:39" ht="15.75" customHeight="1" x14ac:dyDescent="0.3">
      <c r="A401" s="234" t="s">
        <v>2409</v>
      </c>
      <c r="B401" s="10"/>
      <c r="C401" s="10"/>
      <c r="D401" s="10"/>
      <c r="E401" s="38" t="s">
        <v>852</v>
      </c>
      <c r="F401" s="10"/>
      <c r="G401" s="10"/>
      <c r="H401" s="10"/>
      <c r="I401" s="38" t="s">
        <v>852</v>
      </c>
      <c r="J401" s="10"/>
      <c r="K401" s="10"/>
      <c r="L401" s="10"/>
      <c r="M401" s="38" t="s">
        <v>852</v>
      </c>
      <c r="N401" s="10"/>
      <c r="O401" s="10"/>
      <c r="P401" s="10"/>
      <c r="Q401" s="38" t="s">
        <v>852</v>
      </c>
      <c r="R401" s="38" t="s">
        <v>852</v>
      </c>
      <c r="W401" s="691">
        <f>+SUM(W398:W400)</f>
        <v>1</v>
      </c>
    </row>
    <row r="402" spans="1:39" ht="15.75" customHeight="1" x14ac:dyDescent="0.3">
      <c r="A402" s="311" t="s">
        <v>2099</v>
      </c>
      <c r="B402" s="10">
        <v>36</v>
      </c>
      <c r="C402" s="10">
        <v>154</v>
      </c>
      <c r="D402" s="10">
        <v>712</v>
      </c>
      <c r="E402" s="38">
        <f>SUM(B402:D402)</f>
        <v>902</v>
      </c>
      <c r="F402" s="10">
        <v>2134</v>
      </c>
      <c r="G402" s="10">
        <v>1497</v>
      </c>
      <c r="H402" s="10">
        <v>3080</v>
      </c>
      <c r="I402" s="38">
        <f>SUM(F402:H402)</f>
        <v>6711</v>
      </c>
      <c r="J402" s="10">
        <v>3065</v>
      </c>
      <c r="K402" s="10">
        <v>3683</v>
      </c>
      <c r="L402" s="10"/>
      <c r="M402" s="38">
        <f>SUM(J402:L402)</f>
        <v>6748</v>
      </c>
      <c r="N402" s="10">
        <v>420</v>
      </c>
      <c r="O402" s="10">
        <f>70+180</f>
        <v>250</v>
      </c>
      <c r="P402" s="10">
        <v>400</v>
      </c>
      <c r="Q402" s="38">
        <f>SUM(N402:P402)</f>
        <v>1070</v>
      </c>
      <c r="R402" s="38">
        <f t="shared" ref="R402:R410" si="183">+E402+I402+M402+Q402</f>
        <v>15431</v>
      </c>
      <c r="T402" t="s">
        <v>2174</v>
      </c>
      <c r="V402" s="693" t="s">
        <v>2610</v>
      </c>
      <c r="W402" s="18" t="s">
        <v>2090</v>
      </c>
      <c r="X402" s="680" t="s">
        <v>2091</v>
      </c>
      <c r="Y402" s="680" t="s">
        <v>2234</v>
      </c>
      <c r="Z402" s="692" t="s">
        <v>1594</v>
      </c>
      <c r="AA402" s="680" t="s">
        <v>2235</v>
      </c>
      <c r="AB402" s="680" t="s">
        <v>2236</v>
      </c>
      <c r="AC402" s="680" t="s">
        <v>2237</v>
      </c>
      <c r="AD402" s="692" t="s">
        <v>1595</v>
      </c>
      <c r="AE402" s="680" t="s">
        <v>1504</v>
      </c>
      <c r="AF402" s="680" t="s">
        <v>1505</v>
      </c>
      <c r="AG402" s="680" t="s">
        <v>1506</v>
      </c>
      <c r="AH402" s="692" t="s">
        <v>1596</v>
      </c>
      <c r="AI402" s="680" t="s">
        <v>1507</v>
      </c>
      <c r="AJ402" s="680" t="s">
        <v>1508</v>
      </c>
      <c r="AK402" s="680" t="s">
        <v>1509</v>
      </c>
      <c r="AL402" s="692" t="s">
        <v>1597</v>
      </c>
      <c r="AM402" s="743" t="s">
        <v>1510</v>
      </c>
    </row>
    <row r="403" spans="1:39" ht="15.75" customHeight="1" x14ac:dyDescent="0.3">
      <c r="A403" s="311" t="s">
        <v>357</v>
      </c>
      <c r="B403" s="10"/>
      <c r="C403" s="10"/>
      <c r="D403" s="10"/>
      <c r="E403" s="38">
        <f>SUM(B403:D403)</f>
        <v>0</v>
      </c>
      <c r="F403" s="10">
        <v>36</v>
      </c>
      <c r="G403" s="10">
        <v>24</v>
      </c>
      <c r="H403" s="10">
        <v>24</v>
      </c>
      <c r="I403" s="38">
        <f>SUM(F403:H403)</f>
        <v>84</v>
      </c>
      <c r="J403" s="10">
        <v>36</v>
      </c>
      <c r="K403" s="10">
        <v>18</v>
      </c>
      <c r="L403" s="10">
        <v>12</v>
      </c>
      <c r="M403" s="38">
        <f>SUM(J403:L403)</f>
        <v>66</v>
      </c>
      <c r="N403" s="10">
        <v>14</v>
      </c>
      <c r="O403" s="10"/>
      <c r="P403" s="10">
        <v>3</v>
      </c>
      <c r="Q403" s="38">
        <f>SUM(N403:P403)</f>
        <v>17</v>
      </c>
      <c r="R403" s="38">
        <f t="shared" si="183"/>
        <v>167</v>
      </c>
      <c r="T403" t="s">
        <v>2175</v>
      </c>
      <c r="V403" s="579" t="s">
        <v>3014</v>
      </c>
      <c r="W403" s="696">
        <v>1500</v>
      </c>
      <c r="X403" s="696">
        <v>1500</v>
      </c>
      <c r="Y403" s="696">
        <v>6800</v>
      </c>
      <c r="Z403">
        <f>+SUM(W403:Y403)</f>
        <v>9800</v>
      </c>
      <c r="AA403" s="696">
        <f>8000+1500</f>
        <v>9500</v>
      </c>
      <c r="AB403" s="696">
        <f>10000+2000</f>
        <v>12000</v>
      </c>
      <c r="AC403" s="696">
        <f>12000+1500</f>
        <v>13500</v>
      </c>
      <c r="AD403">
        <f>+SUM(AA403:AC403)</f>
        <v>35000</v>
      </c>
      <c r="AE403" s="696">
        <v>25500</v>
      </c>
      <c r="AF403" s="696">
        <v>19000</v>
      </c>
      <c r="AG403" s="696">
        <v>4000</v>
      </c>
      <c r="AH403">
        <f>+SUM(AE403:AG403)</f>
        <v>48500</v>
      </c>
      <c r="AI403" s="696">
        <v>1500</v>
      </c>
      <c r="AJ403" s="696">
        <v>1000</v>
      </c>
      <c r="AK403" s="696">
        <v>1069</v>
      </c>
      <c r="AL403">
        <f>+SUM(AI403:AK403)</f>
        <v>3569</v>
      </c>
      <c r="AM403" s="727">
        <f>+Z403+AD403+AH403+AL403</f>
        <v>96869</v>
      </c>
    </row>
    <row r="404" spans="1:39" ht="15.75" customHeight="1" x14ac:dyDescent="0.3">
      <c r="A404" s="311" t="s">
        <v>909</v>
      </c>
      <c r="B404" s="10">
        <v>341</v>
      </c>
      <c r="C404" s="10">
        <v>650</v>
      </c>
      <c r="D404" s="10">
        <v>1135</v>
      </c>
      <c r="E404" s="38">
        <f t="shared" ref="E404:E405" si="184">SUM(B404:D404)</f>
        <v>2126</v>
      </c>
      <c r="F404" s="10">
        <v>5589</v>
      </c>
      <c r="G404" s="10">
        <v>7267</v>
      </c>
      <c r="H404" s="10">
        <v>8197</v>
      </c>
      <c r="I404" s="38">
        <f t="shared" ref="I404:I409" si="185">SUM(F404:H404)</f>
        <v>21053</v>
      </c>
      <c r="J404" s="10">
        <v>6456</v>
      </c>
      <c r="K404" s="10"/>
      <c r="L404" s="10"/>
      <c r="M404" s="38">
        <f t="shared" ref="M404:M409" si="186">SUM(J404:L404)</f>
        <v>6456</v>
      </c>
      <c r="N404" s="10"/>
      <c r="O404" s="10"/>
      <c r="P404" s="10"/>
      <c r="Q404" s="38">
        <f t="shared" ref="Q404:Q410" si="187">SUM(N404:P404)</f>
        <v>0</v>
      </c>
      <c r="R404" s="38">
        <f t="shared" si="183"/>
        <v>29635</v>
      </c>
      <c r="T404" t="s">
        <v>2776</v>
      </c>
      <c r="V404" s="579" t="s">
        <v>2174</v>
      </c>
      <c r="W404">
        <f>+$W$398*W403</f>
        <v>270</v>
      </c>
      <c r="X404">
        <f>+$W$398*X403</f>
        <v>270</v>
      </c>
      <c r="Y404">
        <f>+$W$398*Y403</f>
        <v>1224</v>
      </c>
      <c r="Z404">
        <f>+SUM(W404:Y404)</f>
        <v>1764</v>
      </c>
      <c r="AA404">
        <f>+$W$398*AA403</f>
        <v>1710</v>
      </c>
      <c r="AB404">
        <f>+$W$398*AB403</f>
        <v>2160</v>
      </c>
      <c r="AC404">
        <f>+$W$398*AC403</f>
        <v>2430</v>
      </c>
      <c r="AD404">
        <f>+SUM(AA404:AC404)</f>
        <v>6300</v>
      </c>
      <c r="AE404">
        <f>+$W$398*AE403</f>
        <v>4590</v>
      </c>
      <c r="AF404">
        <f>+$W$398*AF403</f>
        <v>3420</v>
      </c>
      <c r="AG404">
        <f>+$W$398*AG403</f>
        <v>720</v>
      </c>
      <c r="AH404">
        <f>+SUM(AE404:AG404)</f>
        <v>8730</v>
      </c>
      <c r="AI404">
        <f>+$W$398*AI403</f>
        <v>270</v>
      </c>
      <c r="AJ404">
        <f>+$W$398*AJ403</f>
        <v>180</v>
      </c>
      <c r="AK404">
        <f>+$W$398*AK403</f>
        <v>192.42</v>
      </c>
      <c r="AL404">
        <f>+SUM(AI404:AK404)</f>
        <v>642.41999999999996</v>
      </c>
      <c r="AM404" s="727">
        <f>+Z404+AD404+AH404+AL404</f>
        <v>17436.419999999998</v>
      </c>
    </row>
    <row r="405" spans="1:39" ht="15.75" customHeight="1" x14ac:dyDescent="0.3">
      <c r="A405" s="410" t="s">
        <v>2539</v>
      </c>
      <c r="B405" s="10">
        <v>1332</v>
      </c>
      <c r="C405" s="10">
        <v>4587</v>
      </c>
      <c r="D405" s="10">
        <v>6726</v>
      </c>
      <c r="E405" s="38">
        <f t="shared" si="184"/>
        <v>12645</v>
      </c>
      <c r="F405" s="10">
        <v>14952</v>
      </c>
      <c r="G405" s="10">
        <v>21165</v>
      </c>
      <c r="H405" s="10">
        <v>23173</v>
      </c>
      <c r="I405" s="38">
        <f t="shared" ref="I405" si="188">SUM(F405:H405)</f>
        <v>59290</v>
      </c>
      <c r="J405" s="10">
        <v>14959</v>
      </c>
      <c r="K405" s="10">
        <v>5348</v>
      </c>
      <c r="L405" s="10">
        <v>385</v>
      </c>
      <c r="M405" s="38">
        <f t="shared" ref="M405" si="189">SUM(J405:L405)</f>
        <v>20692</v>
      </c>
      <c r="N405" s="10">
        <v>4646</v>
      </c>
      <c r="O405" s="10">
        <v>4136</v>
      </c>
      <c r="P405" s="10">
        <v>3146</v>
      </c>
      <c r="Q405" s="38">
        <f t="shared" si="187"/>
        <v>11928</v>
      </c>
      <c r="R405" s="38">
        <f t="shared" si="183"/>
        <v>104555</v>
      </c>
      <c r="T405" t="s">
        <v>2174</v>
      </c>
      <c r="V405" s="579" t="s">
        <v>500</v>
      </c>
      <c r="W405">
        <f>+$W$399*W403</f>
        <v>780</v>
      </c>
      <c r="X405">
        <f>+$W$399*X403</f>
        <v>780</v>
      </c>
      <c r="Y405">
        <f>+$W$399*Y403</f>
        <v>3536</v>
      </c>
      <c r="Z405">
        <f>+SUM(W405:Y405)</f>
        <v>5096</v>
      </c>
      <c r="AA405">
        <f>+$W$399*AA403</f>
        <v>4940</v>
      </c>
      <c r="AB405">
        <f>+$W$399*AB403</f>
        <v>6240</v>
      </c>
      <c r="AC405">
        <f>+$W$399*AC403</f>
        <v>7020</v>
      </c>
      <c r="AD405">
        <f>+SUM(AA405:AC405)</f>
        <v>18200</v>
      </c>
      <c r="AE405">
        <f>+$W$399*AE403</f>
        <v>13260</v>
      </c>
      <c r="AF405">
        <f>+$W$399*AF403</f>
        <v>9880</v>
      </c>
      <c r="AG405">
        <f>+$W$399*AG403</f>
        <v>2080</v>
      </c>
      <c r="AH405">
        <f>+SUM(AE405:AG405)</f>
        <v>25220</v>
      </c>
      <c r="AI405">
        <f>+$W$399*AI403</f>
        <v>780</v>
      </c>
      <c r="AJ405">
        <f>+$W$399*AJ403</f>
        <v>520</v>
      </c>
      <c r="AK405">
        <f>+$W$399*AK403</f>
        <v>555.88</v>
      </c>
      <c r="AL405">
        <f>+SUM(AI405:AK405)</f>
        <v>1855.88</v>
      </c>
      <c r="AM405" s="727">
        <f>+Z405+AD405+AH405+AL405</f>
        <v>50371.88</v>
      </c>
    </row>
    <row r="406" spans="1:39" ht="15.75" customHeight="1" x14ac:dyDescent="0.3">
      <c r="A406" s="410" t="s">
        <v>2728</v>
      </c>
      <c r="B406" s="10"/>
      <c r="C406" s="10"/>
      <c r="D406" s="10"/>
      <c r="E406" s="38">
        <f t="shared" ref="E406:E409" si="190">SUM(B406:D406)</f>
        <v>0</v>
      </c>
      <c r="F406" s="10"/>
      <c r="G406" s="10"/>
      <c r="H406" s="10"/>
      <c r="I406" s="38">
        <f t="shared" si="185"/>
        <v>0</v>
      </c>
      <c r="J406" s="10"/>
      <c r="K406" s="10"/>
      <c r="L406" s="10"/>
      <c r="M406" s="38">
        <f t="shared" si="186"/>
        <v>0</v>
      </c>
      <c r="N406" s="10"/>
      <c r="O406" s="10"/>
      <c r="P406" s="10"/>
      <c r="Q406" s="38">
        <f t="shared" si="187"/>
        <v>0</v>
      </c>
      <c r="R406" s="38">
        <f t="shared" si="183"/>
        <v>0</v>
      </c>
      <c r="T406" t="s">
        <v>2777</v>
      </c>
      <c r="V406" s="579" t="s">
        <v>505</v>
      </c>
      <c r="W406">
        <f>+$W$400*W403</f>
        <v>450</v>
      </c>
      <c r="X406">
        <f>+$W$400*X403</f>
        <v>450</v>
      </c>
      <c r="Y406">
        <f>+$W$400*Y403</f>
        <v>2040</v>
      </c>
      <c r="Z406">
        <f>+SUM(W406:Y406)</f>
        <v>2940</v>
      </c>
      <c r="AA406">
        <f>+$W$400*AA403</f>
        <v>2850</v>
      </c>
      <c r="AB406">
        <f>+$W$400*AB403</f>
        <v>3600</v>
      </c>
      <c r="AC406">
        <f>+$W$400*AC403</f>
        <v>4050</v>
      </c>
      <c r="AD406">
        <f>+SUM(AA406:AC406)</f>
        <v>10500</v>
      </c>
      <c r="AE406">
        <f>+$W$400*AE403</f>
        <v>7650</v>
      </c>
      <c r="AF406">
        <f>+$W$400*AF403</f>
        <v>5700</v>
      </c>
      <c r="AG406">
        <f>+$W$400*AG403</f>
        <v>1200</v>
      </c>
      <c r="AH406">
        <f>+SUM(AE406:AG406)</f>
        <v>14550</v>
      </c>
      <c r="AI406">
        <f>+$W$400*AI403</f>
        <v>450</v>
      </c>
      <c r="AJ406">
        <f>+$W$400*AJ403</f>
        <v>300</v>
      </c>
      <c r="AK406">
        <f>+$W$400*AK403</f>
        <v>320.7</v>
      </c>
      <c r="AL406">
        <f>+$W$400*AL403</f>
        <v>1070.7</v>
      </c>
      <c r="AM406" s="727">
        <f>+Z406+AD406+AH406+AL406</f>
        <v>29060.7</v>
      </c>
    </row>
    <row r="407" spans="1:39" ht="15.75" customHeight="1" thickBot="1" x14ac:dyDescent="0.35">
      <c r="A407" s="410" t="s">
        <v>2814</v>
      </c>
      <c r="B407" s="10"/>
      <c r="C407" s="10"/>
      <c r="D407" s="10"/>
      <c r="E407" s="38">
        <f t="shared" ref="E407" si="191">SUM(B407:D407)</f>
        <v>0</v>
      </c>
      <c r="F407" s="10"/>
      <c r="G407" s="10"/>
      <c r="H407" s="10"/>
      <c r="I407" s="38">
        <f t="shared" ref="I407" si="192">SUM(F407:H407)</f>
        <v>0</v>
      </c>
      <c r="J407" s="10"/>
      <c r="K407" s="10"/>
      <c r="L407" s="10"/>
      <c r="M407" s="38">
        <f t="shared" ref="M407" si="193">SUM(J407:L407)</f>
        <v>0</v>
      </c>
      <c r="N407" s="10"/>
      <c r="O407" s="10"/>
      <c r="P407" s="10"/>
      <c r="Q407" s="38">
        <f t="shared" si="187"/>
        <v>0</v>
      </c>
      <c r="R407" s="38">
        <f t="shared" si="183"/>
        <v>0</v>
      </c>
      <c r="T407" t="s">
        <v>2175</v>
      </c>
      <c r="V407" s="580"/>
      <c r="W407" s="581"/>
      <c r="X407" s="581"/>
      <c r="Y407" s="581"/>
      <c r="Z407" s="581"/>
      <c r="AA407" s="581"/>
      <c r="AB407" s="581"/>
      <c r="AC407" s="581"/>
      <c r="AD407" s="581"/>
      <c r="AE407" s="581"/>
      <c r="AF407" s="581"/>
      <c r="AG407" s="581"/>
      <c r="AH407" s="581"/>
      <c r="AI407" s="581"/>
      <c r="AJ407" s="581"/>
      <c r="AK407" s="581"/>
      <c r="AL407" s="581"/>
      <c r="AM407" s="565"/>
    </row>
    <row r="408" spans="1:39" s="707" customFormat="1" ht="15.75" customHeight="1" x14ac:dyDescent="0.3">
      <c r="A408" s="728" t="s">
        <v>3206</v>
      </c>
      <c r="B408" s="542"/>
      <c r="C408" s="542"/>
      <c r="D408" s="542"/>
      <c r="E408" s="543">
        <f t="shared" si="190"/>
        <v>0</v>
      </c>
      <c r="F408" s="542"/>
      <c r="G408" s="542"/>
      <c r="H408" s="542"/>
      <c r="I408" s="543">
        <f t="shared" si="185"/>
        <v>0</v>
      </c>
      <c r="J408" s="542"/>
      <c r="K408" s="542"/>
      <c r="L408" s="542"/>
      <c r="M408" s="543">
        <f t="shared" si="186"/>
        <v>0</v>
      </c>
      <c r="N408" s="542"/>
      <c r="O408" s="542"/>
      <c r="P408" s="542"/>
      <c r="Q408" s="543">
        <f t="shared" ref="Q408" si="194">SUM(N408:P408)</f>
        <v>0</v>
      </c>
      <c r="R408" s="543">
        <f t="shared" si="183"/>
        <v>0</v>
      </c>
    </row>
    <row r="409" spans="1:39" ht="15.75" customHeight="1" x14ac:dyDescent="0.3">
      <c r="A409" s="410" t="s">
        <v>2779</v>
      </c>
      <c r="B409" s="10"/>
      <c r="C409" s="10"/>
      <c r="D409" s="10"/>
      <c r="E409" s="38">
        <f t="shared" si="190"/>
        <v>0</v>
      </c>
      <c r="F409" s="10"/>
      <c r="G409" s="10"/>
      <c r="H409" s="10"/>
      <c r="I409" s="38">
        <f t="shared" si="185"/>
        <v>0</v>
      </c>
      <c r="J409" s="10"/>
      <c r="K409" s="10"/>
      <c r="L409" s="10"/>
      <c r="M409" s="38">
        <f t="shared" si="186"/>
        <v>0</v>
      </c>
      <c r="N409" s="10"/>
      <c r="O409" s="10"/>
      <c r="P409" s="10"/>
      <c r="Q409" s="38">
        <f t="shared" si="187"/>
        <v>0</v>
      </c>
      <c r="R409" s="38">
        <f t="shared" si="183"/>
        <v>0</v>
      </c>
      <c r="T409" t="s">
        <v>2178</v>
      </c>
    </row>
    <row r="410" spans="1:39" ht="15.75" customHeight="1" x14ac:dyDescent="0.3">
      <c r="A410" s="311" t="s">
        <v>1513</v>
      </c>
      <c r="B410" s="10"/>
      <c r="C410" s="10"/>
      <c r="D410" s="10"/>
      <c r="E410" s="38">
        <f t="shared" ref="E410" si="195">SUM(B410:D410)</f>
        <v>0</v>
      </c>
      <c r="F410" s="10"/>
      <c r="G410" s="10"/>
      <c r="H410" s="10"/>
      <c r="I410" s="38">
        <f t="shared" ref="I410" si="196">SUM(F410:H410)</f>
        <v>0</v>
      </c>
      <c r="J410" s="10"/>
      <c r="K410" s="10"/>
      <c r="L410" s="10">
        <v>4</v>
      </c>
      <c r="M410" s="38">
        <f t="shared" ref="M410" si="197">SUM(J410:L410)</f>
        <v>4</v>
      </c>
      <c r="N410" s="10">
        <v>500</v>
      </c>
      <c r="O410" s="10">
        <v>500</v>
      </c>
      <c r="P410" s="10">
        <v>696</v>
      </c>
      <c r="Q410" s="38">
        <f t="shared" si="187"/>
        <v>1696</v>
      </c>
      <c r="R410" s="38">
        <f t="shared" si="183"/>
        <v>1700</v>
      </c>
    </row>
    <row r="411" spans="1:39" ht="15.75" customHeight="1" thickBot="1" x14ac:dyDescent="0.35">
      <c r="A411" s="234" t="s">
        <v>2165</v>
      </c>
      <c r="B411" s="10"/>
      <c r="C411" s="10"/>
      <c r="D411" s="10"/>
      <c r="E411" s="38" t="s">
        <v>852</v>
      </c>
      <c r="F411" s="10"/>
      <c r="G411" s="10"/>
      <c r="H411" s="10"/>
      <c r="I411" s="38" t="s">
        <v>852</v>
      </c>
      <c r="J411" s="10"/>
      <c r="K411" s="10"/>
      <c r="L411" s="10"/>
      <c r="M411" s="38" t="s">
        <v>852</v>
      </c>
      <c r="N411" s="10"/>
      <c r="O411" s="10"/>
      <c r="P411" s="10"/>
      <c r="Q411" s="38" t="s">
        <v>852</v>
      </c>
      <c r="R411" s="38" t="s">
        <v>852</v>
      </c>
    </row>
    <row r="412" spans="1:39" ht="16.5" customHeight="1" thickBot="1" x14ac:dyDescent="0.35">
      <c r="A412" s="43" t="s">
        <v>1219</v>
      </c>
      <c r="B412" s="45">
        <f>SUM(B399:B411)</f>
        <v>1709</v>
      </c>
      <c r="C412" s="46">
        <f>SUM(C399:C411)</f>
        <v>5391</v>
      </c>
      <c r="D412" s="46">
        <f>SUM(D399:D411)</f>
        <v>8573</v>
      </c>
      <c r="E412" s="37">
        <f>SUM(B412:D412)</f>
        <v>15673</v>
      </c>
      <c r="F412" s="46">
        <f>SUM(F399:F411)</f>
        <v>22711</v>
      </c>
      <c r="G412" s="46">
        <f>SUM(G399:G411)</f>
        <v>29953</v>
      </c>
      <c r="H412" s="46">
        <f>SUM(H399:H411)</f>
        <v>34474</v>
      </c>
      <c r="I412" s="37">
        <f>SUM(F412:H412)</f>
        <v>87138</v>
      </c>
      <c r="J412" s="46">
        <f>SUM(J399:J411)</f>
        <v>24516</v>
      </c>
      <c r="K412" s="46">
        <f>SUM(K399:K411)</f>
        <v>9049</v>
      </c>
      <c r="L412" s="46">
        <f>SUM(L399:L411)</f>
        <v>401</v>
      </c>
      <c r="M412" s="37">
        <f>SUM(J412:L412)</f>
        <v>33966</v>
      </c>
      <c r="N412" s="46">
        <f>SUM(N399:N411)</f>
        <v>5580</v>
      </c>
      <c r="O412" s="46">
        <f>SUM(O399:O411)</f>
        <v>4886</v>
      </c>
      <c r="P412" s="46">
        <f>SUM(P399:P411)</f>
        <v>4245</v>
      </c>
      <c r="Q412" s="37">
        <f>SUM(N412:P412)</f>
        <v>14711</v>
      </c>
      <c r="R412" s="37">
        <f>+E412+I412+M412+Q412</f>
        <v>151488</v>
      </c>
    </row>
    <row r="413" spans="1:39" ht="15.75" customHeight="1" x14ac:dyDescent="0.3">
      <c r="A413" s="234" t="s">
        <v>2166</v>
      </c>
      <c r="B413" s="10"/>
      <c r="C413" s="10"/>
      <c r="D413" s="10"/>
      <c r="E413" s="38" t="s">
        <v>852</v>
      </c>
      <c r="F413" s="10"/>
      <c r="G413" s="10"/>
      <c r="H413" s="10"/>
      <c r="I413" s="38" t="s">
        <v>852</v>
      </c>
      <c r="J413" s="10"/>
      <c r="K413" s="10"/>
      <c r="L413" s="10"/>
      <c r="M413" s="38" t="s">
        <v>852</v>
      </c>
      <c r="N413" s="10"/>
      <c r="O413" s="10"/>
      <c r="P413" s="10"/>
      <c r="Q413" s="38" t="s">
        <v>852</v>
      </c>
      <c r="R413" s="38" t="s">
        <v>852</v>
      </c>
    </row>
    <row r="414" spans="1:39" ht="15.75" customHeight="1" x14ac:dyDescent="0.3">
      <c r="A414" s="234" t="s">
        <v>1245</v>
      </c>
      <c r="B414" s="10"/>
      <c r="C414" s="10"/>
      <c r="D414" s="10"/>
      <c r="E414" s="38" t="s">
        <v>852</v>
      </c>
      <c r="F414" s="10"/>
      <c r="G414" s="10"/>
      <c r="H414" s="10"/>
      <c r="I414" s="38" t="s">
        <v>852</v>
      </c>
      <c r="J414" s="10"/>
      <c r="K414" s="10"/>
      <c r="L414" s="10"/>
      <c r="M414" s="38" t="s">
        <v>852</v>
      </c>
      <c r="N414" s="10"/>
      <c r="O414" s="10"/>
      <c r="P414" s="10"/>
      <c r="Q414" s="38" t="s">
        <v>852</v>
      </c>
      <c r="R414" s="38" t="s">
        <v>852</v>
      </c>
    </row>
    <row r="415" spans="1:39" ht="15.75" customHeight="1" x14ac:dyDescent="0.3">
      <c r="A415" s="311" t="s">
        <v>727</v>
      </c>
      <c r="B415" s="10">
        <v>1279</v>
      </c>
      <c r="C415" s="10">
        <v>3284</v>
      </c>
      <c r="D415" s="10">
        <v>4938</v>
      </c>
      <c r="E415" s="38">
        <f>SUM(B415:D415)</f>
        <v>9501</v>
      </c>
      <c r="F415" s="10">
        <v>10340</v>
      </c>
      <c r="G415" s="10">
        <v>13617</v>
      </c>
      <c r="H415" s="10">
        <v>12748</v>
      </c>
      <c r="I415" s="38">
        <f>SUM(F415:H415)</f>
        <v>36705</v>
      </c>
      <c r="J415" s="10">
        <v>9489</v>
      </c>
      <c r="K415" s="10">
        <v>7284</v>
      </c>
      <c r="L415" s="10">
        <v>4085</v>
      </c>
      <c r="M415" s="38">
        <f>SUM(J415:L415)</f>
        <v>20858</v>
      </c>
      <c r="N415" s="10">
        <v>2728</v>
      </c>
      <c r="O415" s="10">
        <v>2164</v>
      </c>
      <c r="P415" s="10">
        <v>1847</v>
      </c>
      <c r="Q415" s="38">
        <f>SUM(N415:P415)</f>
        <v>6739</v>
      </c>
      <c r="R415" s="38">
        <f>+E415+I415+M415+Q415</f>
        <v>73803</v>
      </c>
      <c r="T415" t="s">
        <v>2174</v>
      </c>
    </row>
    <row r="416" spans="1:39" ht="15.75" customHeight="1" x14ac:dyDescent="0.3">
      <c r="A416" s="410" t="s">
        <v>2618</v>
      </c>
      <c r="B416" s="10">
        <v>204</v>
      </c>
      <c r="C416" s="10">
        <v>206</v>
      </c>
      <c r="D416" s="10">
        <v>188</v>
      </c>
      <c r="E416" s="38">
        <f>SUM(B416:D416)</f>
        <v>598</v>
      </c>
      <c r="F416" s="10"/>
      <c r="G416" s="10">
        <v>280</v>
      </c>
      <c r="H416" s="10">
        <v>188</v>
      </c>
      <c r="I416" s="38">
        <f>SUM(F416:H416)</f>
        <v>468</v>
      </c>
      <c r="J416" s="10"/>
      <c r="K416" s="10">
        <v>23</v>
      </c>
      <c r="L416" s="10">
        <v>197</v>
      </c>
      <c r="M416" s="38">
        <f>SUM(J416:L416)</f>
        <v>220</v>
      </c>
      <c r="N416" s="10">
        <v>1000</v>
      </c>
      <c r="O416" s="10"/>
      <c r="P416" s="10">
        <v>3738</v>
      </c>
      <c r="Q416" s="38">
        <f>SUM(N416:P416)</f>
        <v>4738</v>
      </c>
      <c r="R416" s="38">
        <f>+E416+I416+M416+Q416</f>
        <v>6024</v>
      </c>
    </row>
    <row r="417" spans="1:20" ht="15.75" customHeight="1" x14ac:dyDescent="0.3">
      <c r="A417" s="410" t="s">
        <v>3449</v>
      </c>
      <c r="B417" s="10"/>
      <c r="C417" s="10"/>
      <c r="D417" s="10"/>
      <c r="E417" s="38">
        <f>SUM(B417:D417)</f>
        <v>0</v>
      </c>
      <c r="F417" s="10"/>
      <c r="G417" s="10"/>
      <c r="H417" s="10">
        <v>224</v>
      </c>
      <c r="I417" s="38">
        <f>SUM(F417:H417)</f>
        <v>224</v>
      </c>
      <c r="J417" s="10">
        <v>1574</v>
      </c>
      <c r="K417" s="10">
        <v>1410</v>
      </c>
      <c r="L417" s="10">
        <v>1456</v>
      </c>
      <c r="M417" s="38">
        <f>SUM(J417:L417)</f>
        <v>4440</v>
      </c>
      <c r="N417" s="10">
        <v>1002</v>
      </c>
      <c r="O417" s="10"/>
      <c r="P417" s="10">
        <v>334</v>
      </c>
      <c r="Q417" s="38">
        <f>SUM(N417:P417)</f>
        <v>1336</v>
      </c>
      <c r="R417" s="38">
        <f>+E417+I417+M417+Q417</f>
        <v>6000</v>
      </c>
    </row>
    <row r="418" spans="1:20" ht="15.75" customHeight="1" x14ac:dyDescent="0.3">
      <c r="A418" s="410" t="s">
        <v>3416</v>
      </c>
      <c r="B418" s="10">
        <v>235</v>
      </c>
      <c r="C418" s="10">
        <v>727</v>
      </c>
      <c r="D418" s="10">
        <v>1330</v>
      </c>
      <c r="E418" s="38">
        <f>SUM(B418:D418)</f>
        <v>2292</v>
      </c>
      <c r="F418" s="10">
        <v>238</v>
      </c>
      <c r="G418" s="10">
        <v>302</v>
      </c>
      <c r="H418" s="10">
        <v>530</v>
      </c>
      <c r="I418" s="38">
        <f>SUM(F418:H418)</f>
        <v>1070</v>
      </c>
      <c r="J418" s="10">
        <v>653</v>
      </c>
      <c r="K418" s="10">
        <v>985</v>
      </c>
      <c r="L418" s="10"/>
      <c r="M418" s="38">
        <f>SUM(J418:L418)</f>
        <v>1638</v>
      </c>
      <c r="N418" s="10"/>
      <c r="O418" s="10"/>
      <c r="P418" s="10"/>
      <c r="Q418" s="38">
        <f>SUM(N418:P418)</f>
        <v>0</v>
      </c>
      <c r="R418" s="38">
        <f>+E418+I418+M418+Q418</f>
        <v>5000</v>
      </c>
    </row>
    <row r="419" spans="1:20" ht="15.75" customHeight="1" x14ac:dyDescent="0.3">
      <c r="A419" s="410" t="s">
        <v>3370</v>
      </c>
      <c r="B419" s="10"/>
      <c r="C419" s="10"/>
      <c r="D419" s="10"/>
      <c r="E419" s="38">
        <f>SUM(B419:D419)</f>
        <v>0</v>
      </c>
      <c r="F419" s="10">
        <v>1875</v>
      </c>
      <c r="G419" s="10">
        <v>1875</v>
      </c>
      <c r="H419" s="10">
        <v>1875</v>
      </c>
      <c r="I419" s="38">
        <f>SUM(F419:H419)</f>
        <v>5625</v>
      </c>
      <c r="J419" s="10">
        <v>1875</v>
      </c>
      <c r="K419" s="10">
        <v>1644</v>
      </c>
      <c r="L419" s="10">
        <v>2495</v>
      </c>
      <c r="M419" s="38">
        <f>SUM(J419:L419)</f>
        <v>6014</v>
      </c>
      <c r="N419" s="10">
        <v>1565</v>
      </c>
      <c r="O419" s="10">
        <v>1565</v>
      </c>
      <c r="P419" s="10">
        <v>231</v>
      </c>
      <c r="Q419" s="38">
        <f>SUM(N419:P419)</f>
        <v>3361</v>
      </c>
      <c r="R419" s="38">
        <f>+E419+I419+M419+Q419</f>
        <v>15000</v>
      </c>
      <c r="T419" t="s">
        <v>2176</v>
      </c>
    </row>
    <row r="420" spans="1:20" ht="15.75" customHeight="1" x14ac:dyDescent="0.3">
      <c r="A420" s="234" t="s">
        <v>1711</v>
      </c>
      <c r="B420" s="10"/>
      <c r="C420" s="10"/>
      <c r="D420" s="10"/>
      <c r="E420" s="38" t="s">
        <v>852</v>
      </c>
      <c r="F420" s="10"/>
      <c r="G420" s="10"/>
      <c r="H420" s="10"/>
      <c r="I420" s="38" t="s">
        <v>852</v>
      </c>
      <c r="J420" s="10"/>
      <c r="K420" s="10"/>
      <c r="L420" s="10"/>
      <c r="M420" s="38" t="s">
        <v>852</v>
      </c>
      <c r="N420" s="10"/>
      <c r="O420" s="10"/>
      <c r="P420" s="10"/>
      <c r="Q420" s="38" t="s">
        <v>852</v>
      </c>
      <c r="R420" s="38" t="s">
        <v>852</v>
      </c>
    </row>
    <row r="421" spans="1:20" ht="15.75" customHeight="1" x14ac:dyDescent="0.3">
      <c r="A421" s="410" t="s">
        <v>3151</v>
      </c>
      <c r="B421" s="10"/>
      <c r="C421" s="10"/>
      <c r="D421" s="10"/>
      <c r="E421" s="38">
        <f>SUM(B421:D421)</f>
        <v>0</v>
      </c>
      <c r="F421" s="10"/>
      <c r="G421" s="10"/>
      <c r="H421" s="10"/>
      <c r="I421" s="38">
        <f t="shared" ref="I421:I422" si="198">SUM(F421:H421)</f>
        <v>0</v>
      </c>
      <c r="J421" s="10">
        <v>3500</v>
      </c>
      <c r="K421" s="10"/>
      <c r="L421" s="10"/>
      <c r="M421" s="38">
        <f>SUM(J421:L421)</f>
        <v>3500</v>
      </c>
      <c r="N421" s="10"/>
      <c r="O421" s="10"/>
      <c r="P421" s="10"/>
      <c r="Q421" s="38">
        <f>SUM(N421:P421)</f>
        <v>0</v>
      </c>
      <c r="R421" s="38">
        <f t="shared" ref="R421:R485" si="199">+E421+I421+M421+Q421</f>
        <v>3500</v>
      </c>
    </row>
    <row r="422" spans="1:20" ht="15.75" customHeight="1" x14ac:dyDescent="0.3">
      <c r="A422" s="410" t="s">
        <v>3329</v>
      </c>
      <c r="B422" s="10"/>
      <c r="C422" s="10"/>
      <c r="D422" s="10"/>
      <c r="E422" s="38">
        <f>SUM(B422:D422)</f>
        <v>0</v>
      </c>
      <c r="F422" s="10"/>
      <c r="G422" s="10">
        <v>1114</v>
      </c>
      <c r="H422" s="10"/>
      <c r="I422" s="38">
        <f t="shared" si="198"/>
        <v>1114</v>
      </c>
      <c r="J422" s="10"/>
      <c r="K422" s="10"/>
      <c r="L422" s="10"/>
      <c r="M422" s="38">
        <f>SUM(J422:L422)</f>
        <v>0</v>
      </c>
      <c r="N422" s="10"/>
      <c r="O422" s="10"/>
      <c r="P422" s="10"/>
      <c r="Q422" s="38">
        <f>SUM(N422:P422)</f>
        <v>0</v>
      </c>
      <c r="R422" s="38">
        <f t="shared" si="199"/>
        <v>1114</v>
      </c>
    </row>
    <row r="423" spans="1:20" ht="15.75" customHeight="1" x14ac:dyDescent="0.3">
      <c r="A423" s="410" t="s">
        <v>3384</v>
      </c>
      <c r="B423" s="10"/>
      <c r="C423" s="10"/>
      <c r="D423" s="10"/>
      <c r="E423" s="38">
        <f>SUM(B423:D423)</f>
        <v>0</v>
      </c>
      <c r="F423" s="10"/>
      <c r="G423" s="10">
        <v>3000</v>
      </c>
      <c r="H423" s="10">
        <v>933</v>
      </c>
      <c r="I423" s="38">
        <f>SUM(F423:H423)</f>
        <v>3933</v>
      </c>
      <c r="J423" s="10"/>
      <c r="K423" s="10"/>
      <c r="L423" s="10"/>
      <c r="M423" s="38">
        <f>SUM(J423:L423)</f>
        <v>0</v>
      </c>
      <c r="N423" s="10"/>
      <c r="O423" s="10"/>
      <c r="P423" s="10"/>
      <c r="Q423" s="38">
        <f>SUM(N423:P423)</f>
        <v>0</v>
      </c>
      <c r="R423" s="38">
        <f t="shared" ref="R423" si="200">+E423+I423+M423+Q423</f>
        <v>3933</v>
      </c>
    </row>
    <row r="424" spans="1:20" ht="15.75" customHeight="1" x14ac:dyDescent="0.3">
      <c r="A424" s="410" t="s">
        <v>3148</v>
      </c>
      <c r="B424" s="10"/>
      <c r="C424" s="10"/>
      <c r="D424" s="10"/>
      <c r="E424" s="38">
        <f t="shared" ref="E424:E485" si="201">SUM(B424:D424)</f>
        <v>0</v>
      </c>
      <c r="F424" s="10"/>
      <c r="G424" s="10"/>
      <c r="H424" s="10"/>
      <c r="I424" s="38">
        <f t="shared" ref="I424:I485" si="202">SUM(F424:H424)</f>
        <v>0</v>
      </c>
      <c r="J424" s="10"/>
      <c r="K424" s="10"/>
      <c r="L424" s="10"/>
      <c r="M424" s="38">
        <f t="shared" ref="M424:M485" si="203">SUM(J424:L424)</f>
        <v>0</v>
      </c>
      <c r="N424" s="10"/>
      <c r="O424" s="10"/>
      <c r="P424" s="10"/>
      <c r="Q424" s="38">
        <f t="shared" ref="Q424:Q486" si="204">SUM(N424:P424)</f>
        <v>0</v>
      </c>
      <c r="R424" s="38">
        <f t="shared" si="199"/>
        <v>0</v>
      </c>
    </row>
    <row r="425" spans="1:20" ht="15.75" customHeight="1" x14ac:dyDescent="0.3">
      <c r="A425" s="410" t="s">
        <v>3048</v>
      </c>
      <c r="B425" s="10"/>
      <c r="C425" s="10">
        <v>172</v>
      </c>
      <c r="D425" s="10"/>
      <c r="E425" s="38">
        <f t="shared" si="201"/>
        <v>172</v>
      </c>
      <c r="F425" s="10"/>
      <c r="G425" s="10"/>
      <c r="H425" s="10"/>
      <c r="I425" s="38">
        <f t="shared" si="202"/>
        <v>0</v>
      </c>
      <c r="J425" s="10"/>
      <c r="K425" s="10"/>
      <c r="L425" s="10"/>
      <c r="M425" s="38">
        <f t="shared" si="203"/>
        <v>0</v>
      </c>
      <c r="N425" s="10"/>
      <c r="O425" s="10"/>
      <c r="P425" s="10"/>
      <c r="Q425" s="38">
        <f t="shared" si="204"/>
        <v>0</v>
      </c>
      <c r="R425" s="38">
        <f t="shared" si="199"/>
        <v>172</v>
      </c>
      <c r="T425" t="s">
        <v>1358</v>
      </c>
    </row>
    <row r="426" spans="1:20" ht="15.75" customHeight="1" x14ac:dyDescent="0.3">
      <c r="A426" s="410" t="s">
        <v>3396</v>
      </c>
      <c r="B426" s="10"/>
      <c r="C426" s="10"/>
      <c r="D426" s="10"/>
      <c r="E426" s="38">
        <f t="shared" si="201"/>
        <v>0</v>
      </c>
      <c r="F426" s="10"/>
      <c r="G426" s="10"/>
      <c r="H426" s="10"/>
      <c r="I426" s="38">
        <f t="shared" si="202"/>
        <v>0</v>
      </c>
      <c r="J426" s="10"/>
      <c r="K426" s="10"/>
      <c r="L426" s="10">
        <v>1301</v>
      </c>
      <c r="M426" s="38">
        <f t="shared" si="203"/>
        <v>1301</v>
      </c>
      <c r="N426" s="10">
        <v>1149</v>
      </c>
      <c r="O426" s="10"/>
      <c r="P426" s="10"/>
      <c r="Q426" s="38">
        <f t="shared" si="204"/>
        <v>1149</v>
      </c>
      <c r="R426" s="38">
        <f t="shared" si="199"/>
        <v>2450</v>
      </c>
    </row>
    <row r="427" spans="1:20" ht="15.75" customHeight="1" x14ac:dyDescent="0.3">
      <c r="A427" s="410" t="s">
        <v>2781</v>
      </c>
      <c r="B427" s="10">
        <v>1157</v>
      </c>
      <c r="C427" s="10">
        <v>380</v>
      </c>
      <c r="D427" s="10"/>
      <c r="E427" s="38">
        <f t="shared" si="201"/>
        <v>1537</v>
      </c>
      <c r="F427" s="10"/>
      <c r="G427" s="10"/>
      <c r="H427" s="10"/>
      <c r="I427" s="38">
        <f t="shared" si="202"/>
        <v>0</v>
      </c>
      <c r="J427" s="10"/>
      <c r="K427" s="10"/>
      <c r="L427" s="10"/>
      <c r="M427" s="38">
        <f t="shared" si="203"/>
        <v>0</v>
      </c>
      <c r="N427" s="10"/>
      <c r="O427" s="10"/>
      <c r="P427" s="10"/>
      <c r="Q427" s="38">
        <f t="shared" si="204"/>
        <v>0</v>
      </c>
      <c r="R427" s="38">
        <f t="shared" si="199"/>
        <v>1537</v>
      </c>
      <c r="T427" t="s">
        <v>2780</v>
      </c>
    </row>
    <row r="428" spans="1:20" ht="15.75" customHeight="1" x14ac:dyDescent="0.3">
      <c r="A428" s="410" t="s">
        <v>2782</v>
      </c>
      <c r="B428" s="10"/>
      <c r="C428" s="10"/>
      <c r="D428" s="10"/>
      <c r="E428" s="38">
        <f t="shared" si="201"/>
        <v>0</v>
      </c>
      <c r="F428" s="10"/>
      <c r="G428" s="10"/>
      <c r="H428" s="10"/>
      <c r="I428" s="38">
        <f t="shared" si="202"/>
        <v>0</v>
      </c>
      <c r="J428" s="10"/>
      <c r="K428" s="10"/>
      <c r="L428" s="10"/>
      <c r="M428" s="38">
        <f t="shared" si="203"/>
        <v>0</v>
      </c>
      <c r="N428" s="10"/>
      <c r="O428" s="10"/>
      <c r="P428" s="10"/>
      <c r="Q428" s="38">
        <f t="shared" si="204"/>
        <v>0</v>
      </c>
      <c r="R428" s="38">
        <f t="shared" si="199"/>
        <v>0</v>
      </c>
      <c r="T428" t="s">
        <v>1358</v>
      </c>
    </row>
    <row r="429" spans="1:20" ht="15.75" customHeight="1" x14ac:dyDescent="0.3">
      <c r="A429" s="311" t="s">
        <v>1150</v>
      </c>
      <c r="B429" s="10"/>
      <c r="C429" s="10"/>
      <c r="D429" s="10"/>
      <c r="E429" s="38">
        <f t="shared" si="201"/>
        <v>0</v>
      </c>
      <c r="F429" s="10">
        <v>627</v>
      </c>
      <c r="G429" s="10"/>
      <c r="H429" s="10"/>
      <c r="I429" s="38">
        <f t="shared" si="202"/>
        <v>627</v>
      </c>
      <c r="J429" s="10"/>
      <c r="K429" s="10"/>
      <c r="L429" s="10"/>
      <c r="M429" s="38">
        <f t="shared" si="203"/>
        <v>0</v>
      </c>
      <c r="N429" s="10"/>
      <c r="O429" s="10"/>
      <c r="P429" s="10"/>
      <c r="Q429" s="38">
        <f t="shared" si="204"/>
        <v>0</v>
      </c>
      <c r="R429" s="38">
        <f t="shared" si="199"/>
        <v>627</v>
      </c>
    </row>
    <row r="430" spans="1:20" ht="15.75" customHeight="1" x14ac:dyDescent="0.3">
      <c r="A430" s="410" t="s">
        <v>3207</v>
      </c>
      <c r="B430" s="10"/>
      <c r="C430" s="10"/>
      <c r="D430" s="10"/>
      <c r="E430" s="38">
        <f t="shared" si="201"/>
        <v>0</v>
      </c>
      <c r="F430" s="10"/>
      <c r="G430" s="10"/>
      <c r="H430" s="10"/>
      <c r="I430" s="38">
        <f t="shared" si="202"/>
        <v>0</v>
      </c>
      <c r="J430" s="10"/>
      <c r="K430" s="10"/>
      <c r="L430" s="10"/>
      <c r="M430" s="38">
        <f t="shared" si="203"/>
        <v>0</v>
      </c>
      <c r="N430" s="10"/>
      <c r="O430" s="10"/>
      <c r="P430" s="10"/>
      <c r="Q430" s="38">
        <f t="shared" si="204"/>
        <v>0</v>
      </c>
      <c r="R430" s="38">
        <f t="shared" si="199"/>
        <v>0</v>
      </c>
    </row>
    <row r="431" spans="1:20" ht="15.75" customHeight="1" x14ac:dyDescent="0.3">
      <c r="A431" s="410" t="s">
        <v>2598</v>
      </c>
      <c r="B431" s="10"/>
      <c r="C431" s="10"/>
      <c r="D431" s="10"/>
      <c r="E431" s="38">
        <f t="shared" si="201"/>
        <v>0</v>
      </c>
      <c r="F431" s="10"/>
      <c r="G431" s="10"/>
      <c r="H431" s="10"/>
      <c r="I431" s="38">
        <f t="shared" si="202"/>
        <v>0</v>
      </c>
      <c r="J431" s="10"/>
      <c r="K431" s="10"/>
      <c r="L431" s="10"/>
      <c r="M431" s="38">
        <f t="shared" si="203"/>
        <v>0</v>
      </c>
      <c r="N431" s="10"/>
      <c r="O431" s="10"/>
      <c r="P431" s="10"/>
      <c r="Q431" s="38">
        <f t="shared" si="204"/>
        <v>0</v>
      </c>
      <c r="R431" s="38">
        <f>+E431+I431+M431+Q431</f>
        <v>0</v>
      </c>
      <c r="T431" t="s">
        <v>2178</v>
      </c>
    </row>
    <row r="432" spans="1:20" ht="15.75" customHeight="1" x14ac:dyDescent="0.3">
      <c r="A432" s="410" t="s">
        <v>2978</v>
      </c>
      <c r="B432" s="10"/>
      <c r="C432" s="10"/>
      <c r="D432" s="10"/>
      <c r="E432" s="38">
        <f t="shared" si="201"/>
        <v>0</v>
      </c>
      <c r="F432" s="10"/>
      <c r="G432" s="10"/>
      <c r="H432" s="10"/>
      <c r="I432" s="38">
        <f t="shared" si="202"/>
        <v>0</v>
      </c>
      <c r="J432" s="10"/>
      <c r="K432" s="10"/>
      <c r="L432" s="10"/>
      <c r="M432" s="38">
        <f t="shared" si="203"/>
        <v>0</v>
      </c>
      <c r="N432" s="10"/>
      <c r="O432" s="10"/>
      <c r="P432" s="10"/>
      <c r="Q432" s="38">
        <f t="shared" si="204"/>
        <v>0</v>
      </c>
      <c r="R432" s="38">
        <f t="shared" si="199"/>
        <v>0</v>
      </c>
      <c r="T432" t="s">
        <v>2174</v>
      </c>
    </row>
    <row r="433" spans="1:20" ht="15.75" customHeight="1" x14ac:dyDescent="0.3">
      <c r="A433" s="410" t="s">
        <v>2729</v>
      </c>
      <c r="B433" s="10">
        <f>36+44</f>
        <v>80</v>
      </c>
      <c r="C433" s="10">
        <f>245+258</f>
        <v>503</v>
      </c>
      <c r="D433" s="10">
        <f>708+305</f>
        <v>1013</v>
      </c>
      <c r="E433" s="38">
        <f t="shared" si="201"/>
        <v>1596</v>
      </c>
      <c r="F433" s="10">
        <f>1323+1081</f>
        <v>2404</v>
      </c>
      <c r="G433" s="10">
        <f>1000</f>
        <v>1000</v>
      </c>
      <c r="H433" s="10">
        <v>1000</v>
      </c>
      <c r="I433" s="38">
        <f t="shared" si="202"/>
        <v>4404</v>
      </c>
      <c r="J433" s="10">
        <v>1000</v>
      </c>
      <c r="K433" s="10">
        <f>688+312</f>
        <v>1000</v>
      </c>
      <c r="L433" s="10"/>
      <c r="M433" s="38">
        <f t="shared" si="203"/>
        <v>2000</v>
      </c>
      <c r="N433" s="10"/>
      <c r="O433" s="10"/>
      <c r="P433" s="10"/>
      <c r="Q433" s="38">
        <f t="shared" si="204"/>
        <v>0</v>
      </c>
      <c r="R433" s="38">
        <f t="shared" si="199"/>
        <v>8000</v>
      </c>
    </row>
    <row r="434" spans="1:20" ht="15.75" customHeight="1" x14ac:dyDescent="0.3">
      <c r="A434" s="311" t="s">
        <v>464</v>
      </c>
      <c r="B434" s="10"/>
      <c r="C434" s="10"/>
      <c r="D434" s="10">
        <v>400</v>
      </c>
      <c r="E434" s="38">
        <f t="shared" si="201"/>
        <v>400</v>
      </c>
      <c r="F434" s="10"/>
      <c r="G434" s="10">
        <v>5800</v>
      </c>
      <c r="H434" s="10">
        <v>7400</v>
      </c>
      <c r="I434" s="38">
        <f t="shared" si="202"/>
        <v>13200</v>
      </c>
      <c r="J434" s="10">
        <v>2773</v>
      </c>
      <c r="K434" s="10">
        <v>2825</v>
      </c>
      <c r="L434" s="10">
        <v>2452</v>
      </c>
      <c r="M434" s="38">
        <f t="shared" si="203"/>
        <v>8050</v>
      </c>
      <c r="N434" s="10"/>
      <c r="O434" s="10"/>
      <c r="P434" s="10"/>
      <c r="Q434" s="38">
        <f t="shared" si="204"/>
        <v>0</v>
      </c>
      <c r="R434" s="38">
        <f t="shared" si="199"/>
        <v>21650</v>
      </c>
      <c r="T434" t="s">
        <v>2174</v>
      </c>
    </row>
    <row r="435" spans="1:20" ht="15.75" customHeight="1" x14ac:dyDescent="0.3">
      <c r="A435" s="410" t="s">
        <v>1381</v>
      </c>
      <c r="B435" s="10"/>
      <c r="C435" s="10"/>
      <c r="D435" s="10"/>
      <c r="E435" s="38">
        <f t="shared" si="201"/>
        <v>0</v>
      </c>
      <c r="F435" s="10"/>
      <c r="G435" s="10"/>
      <c r="H435" s="10"/>
      <c r="I435" s="38">
        <f t="shared" si="202"/>
        <v>0</v>
      </c>
      <c r="J435" s="10"/>
      <c r="K435" s="10">
        <f>9275+1395</f>
        <v>10670</v>
      </c>
      <c r="L435" s="10">
        <f>4202+421+373</f>
        <v>4996</v>
      </c>
      <c r="M435" s="38">
        <f t="shared" si="203"/>
        <v>15666</v>
      </c>
      <c r="N435" s="10">
        <v>4434</v>
      </c>
      <c r="O435" s="10"/>
      <c r="P435" s="10"/>
      <c r="Q435" s="38">
        <f t="shared" si="204"/>
        <v>4434</v>
      </c>
      <c r="R435" s="38">
        <f t="shared" si="199"/>
        <v>20100</v>
      </c>
    </row>
    <row r="436" spans="1:20" ht="15.75" customHeight="1" x14ac:dyDescent="0.3">
      <c r="A436" s="410" t="s">
        <v>3392</v>
      </c>
      <c r="B436" s="10"/>
      <c r="C436" s="10"/>
      <c r="D436" s="10"/>
      <c r="E436" s="38">
        <f t="shared" si="201"/>
        <v>0</v>
      </c>
      <c r="F436" s="10">
        <v>1508</v>
      </c>
      <c r="G436" s="10">
        <f>144+1041</f>
        <v>1185</v>
      </c>
      <c r="H436" s="10">
        <v>2307</v>
      </c>
      <c r="I436" s="38">
        <f t="shared" si="202"/>
        <v>5000</v>
      </c>
      <c r="J436" s="10"/>
      <c r="K436" s="10"/>
      <c r="L436" s="10"/>
      <c r="M436" s="38">
        <f t="shared" si="203"/>
        <v>0</v>
      </c>
      <c r="N436" s="10"/>
      <c r="O436" s="10"/>
      <c r="P436" s="10"/>
      <c r="Q436" s="38">
        <f t="shared" ref="Q436" si="205">SUM(N436:P436)</f>
        <v>0</v>
      </c>
      <c r="R436" s="38">
        <f t="shared" ref="R436" si="206">+E436+I436+M436+Q436</f>
        <v>5000</v>
      </c>
    </row>
    <row r="437" spans="1:20" ht="15.75" customHeight="1" x14ac:dyDescent="0.3">
      <c r="A437" s="410" t="s">
        <v>3367</v>
      </c>
      <c r="B437" s="10"/>
      <c r="C437" s="10"/>
      <c r="D437" s="10"/>
      <c r="E437" s="38">
        <f t="shared" si="201"/>
        <v>0</v>
      </c>
      <c r="F437" s="10"/>
      <c r="G437" s="10"/>
      <c r="H437" s="10">
        <v>1447</v>
      </c>
      <c r="I437" s="38">
        <f t="shared" si="202"/>
        <v>1447</v>
      </c>
      <c r="J437" s="10">
        <f>1994+6</f>
        <v>2000</v>
      </c>
      <c r="K437" s="10"/>
      <c r="L437" s="10"/>
      <c r="M437" s="38">
        <f t="shared" si="203"/>
        <v>2000</v>
      </c>
      <c r="N437" s="10">
        <v>2400</v>
      </c>
      <c r="O437" s="10">
        <v>1000</v>
      </c>
      <c r="P437" s="10"/>
      <c r="Q437" s="38">
        <f t="shared" ref="Q437" si="207">SUM(N437:P437)</f>
        <v>3400</v>
      </c>
      <c r="R437" s="38">
        <f t="shared" si="199"/>
        <v>6847</v>
      </c>
    </row>
    <row r="438" spans="1:20" ht="15.75" customHeight="1" x14ac:dyDescent="0.3">
      <c r="A438" s="410" t="s">
        <v>3368</v>
      </c>
      <c r="B438" s="10"/>
      <c r="C438" s="10"/>
      <c r="D438" s="10"/>
      <c r="E438" s="38">
        <f t="shared" si="201"/>
        <v>0</v>
      </c>
      <c r="F438" s="10"/>
      <c r="G438" s="10"/>
      <c r="H438" s="10">
        <v>197</v>
      </c>
      <c r="I438" s="38">
        <f t="shared" si="202"/>
        <v>197</v>
      </c>
      <c r="J438" s="10"/>
      <c r="K438" s="10"/>
      <c r="L438" s="10"/>
      <c r="M438" s="38">
        <f t="shared" si="203"/>
        <v>0</v>
      </c>
      <c r="N438" s="10"/>
      <c r="O438" s="10"/>
      <c r="P438" s="10"/>
      <c r="Q438" s="38">
        <f t="shared" ref="Q438:Q440" si="208">SUM(N438:P438)</f>
        <v>0</v>
      </c>
      <c r="R438" s="38">
        <f t="shared" si="199"/>
        <v>197</v>
      </c>
    </row>
    <row r="439" spans="1:20" ht="15.75" customHeight="1" x14ac:dyDescent="0.3">
      <c r="A439" s="410" t="s">
        <v>3052</v>
      </c>
      <c r="B439" s="10"/>
      <c r="C439" s="10">
        <v>1247</v>
      </c>
      <c r="D439" s="10">
        <v>1990</v>
      </c>
      <c r="E439" s="38">
        <f t="shared" si="201"/>
        <v>3237</v>
      </c>
      <c r="F439" s="10">
        <f>4250</f>
        <v>4250</v>
      </c>
      <c r="G439" s="10">
        <f>1740+4513</f>
        <v>6253</v>
      </c>
      <c r="H439" s="10">
        <f>2260</f>
        <v>2260</v>
      </c>
      <c r="I439" s="38">
        <f t="shared" si="202"/>
        <v>12763</v>
      </c>
      <c r="J439" s="10">
        <v>2000</v>
      </c>
      <c r="K439" s="10"/>
      <c r="L439" s="10">
        <v>600</v>
      </c>
      <c r="M439" s="38">
        <f t="shared" si="203"/>
        <v>2600</v>
      </c>
      <c r="N439" s="10"/>
      <c r="O439" s="10"/>
      <c r="P439" s="10"/>
      <c r="Q439" s="38">
        <f t="shared" si="208"/>
        <v>0</v>
      </c>
      <c r="R439" s="38">
        <f t="shared" si="199"/>
        <v>18600</v>
      </c>
    </row>
    <row r="440" spans="1:20" ht="15.75" customHeight="1" x14ac:dyDescent="0.3">
      <c r="A440" s="410" t="s">
        <v>3452</v>
      </c>
      <c r="B440" s="10"/>
      <c r="C440" s="10"/>
      <c r="D440" s="10"/>
      <c r="E440" s="38">
        <f t="shared" si="201"/>
        <v>0</v>
      </c>
      <c r="F440" s="10"/>
      <c r="G440" s="10">
        <v>144</v>
      </c>
      <c r="H440" s="10"/>
      <c r="I440" s="38">
        <f t="shared" si="202"/>
        <v>144</v>
      </c>
      <c r="J440" s="10"/>
      <c r="K440" s="10"/>
      <c r="L440" s="10"/>
      <c r="M440" s="38">
        <f t="shared" si="203"/>
        <v>0</v>
      </c>
      <c r="N440" s="10"/>
      <c r="O440" s="10"/>
      <c r="P440" s="10"/>
      <c r="Q440" s="38">
        <f t="shared" si="208"/>
        <v>0</v>
      </c>
      <c r="R440" s="38">
        <f t="shared" si="199"/>
        <v>144</v>
      </c>
    </row>
    <row r="441" spans="1:20" ht="15.75" customHeight="1" x14ac:dyDescent="0.3">
      <c r="A441" s="410" t="s">
        <v>3036</v>
      </c>
      <c r="B441" s="10">
        <v>120</v>
      </c>
      <c r="C441" s="10">
        <f>108+1</f>
        <v>109</v>
      </c>
      <c r="D441" s="10">
        <f>112+1+1</f>
        <v>114</v>
      </c>
      <c r="E441" s="38">
        <f t="shared" si="201"/>
        <v>343</v>
      </c>
      <c r="F441" s="10">
        <f>128+2</f>
        <v>130</v>
      </c>
      <c r="G441" s="10">
        <f>143+2</f>
        <v>145</v>
      </c>
      <c r="H441" s="10">
        <f>130+3+1</f>
        <v>134</v>
      </c>
      <c r="I441" s="38">
        <f t="shared" si="202"/>
        <v>409</v>
      </c>
      <c r="J441" s="10">
        <v>48</v>
      </c>
      <c r="K441" s="10"/>
      <c r="L441" s="10"/>
      <c r="M441" s="38">
        <f t="shared" si="203"/>
        <v>48</v>
      </c>
      <c r="N441" s="10"/>
      <c r="O441" s="10"/>
      <c r="P441" s="10"/>
      <c r="Q441" s="38">
        <f t="shared" si="204"/>
        <v>0</v>
      </c>
      <c r="R441" s="38">
        <f t="shared" si="199"/>
        <v>800</v>
      </c>
    </row>
    <row r="442" spans="1:20" ht="15.75" customHeight="1" x14ac:dyDescent="0.3">
      <c r="A442" s="410" t="s">
        <v>2953</v>
      </c>
      <c r="B442" s="10">
        <v>4926</v>
      </c>
      <c r="C442" s="10">
        <v>2153</v>
      </c>
      <c r="D442" s="10">
        <v>4548</v>
      </c>
      <c r="E442" s="38">
        <f t="shared" si="201"/>
        <v>11627</v>
      </c>
      <c r="F442" s="10">
        <v>40</v>
      </c>
      <c r="G442" s="10">
        <v>2160</v>
      </c>
      <c r="H442" s="10">
        <v>1173</v>
      </c>
      <c r="I442" s="38">
        <f t="shared" si="202"/>
        <v>3373</v>
      </c>
      <c r="J442" s="10"/>
      <c r="K442" s="10"/>
      <c r="L442" s="10"/>
      <c r="M442" s="38">
        <f t="shared" si="203"/>
        <v>0</v>
      </c>
      <c r="N442" s="10"/>
      <c r="O442" s="10"/>
      <c r="P442" s="10"/>
      <c r="Q442" s="38">
        <f t="shared" si="204"/>
        <v>0</v>
      </c>
      <c r="R442" s="38">
        <f t="shared" si="199"/>
        <v>15000</v>
      </c>
      <c r="T442" t="s">
        <v>1358</v>
      </c>
    </row>
    <row r="443" spans="1:20" ht="15.75" customHeight="1" x14ac:dyDescent="0.3">
      <c r="A443" s="410" t="s">
        <v>3031</v>
      </c>
      <c r="B443" s="10">
        <v>18</v>
      </c>
      <c r="C443" s="10"/>
      <c r="D443" s="10">
        <v>18</v>
      </c>
      <c r="E443" s="38">
        <f t="shared" si="201"/>
        <v>36</v>
      </c>
      <c r="F443" s="10">
        <v>18</v>
      </c>
      <c r="G443" s="10">
        <v>4</v>
      </c>
      <c r="H443" s="10">
        <v>33</v>
      </c>
      <c r="I443" s="38">
        <f t="shared" si="202"/>
        <v>55</v>
      </c>
      <c r="J443" s="10">
        <v>18</v>
      </c>
      <c r="K443" s="10">
        <v>57</v>
      </c>
      <c r="L443" s="10">
        <v>23</v>
      </c>
      <c r="M443" s="38">
        <f t="shared" si="203"/>
        <v>98</v>
      </c>
      <c r="N443" s="10">
        <v>23</v>
      </c>
      <c r="O443" s="10">
        <v>16</v>
      </c>
      <c r="P443" s="10">
        <v>122</v>
      </c>
      <c r="Q443" s="38">
        <f t="shared" si="204"/>
        <v>161</v>
      </c>
      <c r="R443" s="38">
        <f t="shared" si="199"/>
        <v>350</v>
      </c>
      <c r="T443" t="s">
        <v>131</v>
      </c>
    </row>
    <row r="444" spans="1:20" ht="15.75" customHeight="1" x14ac:dyDescent="0.3">
      <c r="A444" s="410" t="s">
        <v>2959</v>
      </c>
      <c r="B444" s="10">
        <v>1159</v>
      </c>
      <c r="C444" s="10">
        <v>927</v>
      </c>
      <c r="D444" s="10">
        <v>1469</v>
      </c>
      <c r="E444" s="38">
        <f t="shared" si="201"/>
        <v>3555</v>
      </c>
      <c r="F444" s="10">
        <v>1374</v>
      </c>
      <c r="G444" s="10">
        <v>1427</v>
      </c>
      <c r="H444" s="10">
        <v>1377</v>
      </c>
      <c r="I444" s="38">
        <f t="shared" si="202"/>
        <v>4178</v>
      </c>
      <c r="J444" s="10">
        <v>1423</v>
      </c>
      <c r="K444" s="10">
        <v>1429</v>
      </c>
      <c r="L444" s="10">
        <v>81</v>
      </c>
      <c r="M444" s="38">
        <f t="shared" si="203"/>
        <v>2933</v>
      </c>
      <c r="N444" s="10"/>
      <c r="O444" s="10"/>
      <c r="P444" s="10"/>
      <c r="Q444" s="38">
        <f t="shared" si="204"/>
        <v>0</v>
      </c>
      <c r="R444" s="38">
        <f t="shared" si="199"/>
        <v>10666</v>
      </c>
      <c r="T444" t="s">
        <v>2780</v>
      </c>
    </row>
    <row r="445" spans="1:20" ht="15.75" customHeight="1" x14ac:dyDescent="0.3">
      <c r="A445" s="311" t="s">
        <v>2362</v>
      </c>
      <c r="B445" s="10">
        <v>1731</v>
      </c>
      <c r="C445" s="10">
        <v>1731</v>
      </c>
      <c r="D445" s="10">
        <v>1731</v>
      </c>
      <c r="E445" s="38">
        <f t="shared" si="201"/>
        <v>5193</v>
      </c>
      <c r="F445" s="10">
        <v>1732</v>
      </c>
      <c r="G445" s="10"/>
      <c r="H445" s="10"/>
      <c r="I445" s="38">
        <f t="shared" si="202"/>
        <v>1732</v>
      </c>
      <c r="J445" s="10"/>
      <c r="K445" s="10"/>
      <c r="L445" s="10"/>
      <c r="M445" s="38">
        <f t="shared" si="203"/>
        <v>0</v>
      </c>
      <c r="N445" s="10"/>
      <c r="O445" s="10"/>
      <c r="P445" s="10"/>
      <c r="Q445" s="38">
        <f t="shared" si="204"/>
        <v>0</v>
      </c>
      <c r="R445" s="38">
        <f>+E445+I445+M445+Q445</f>
        <v>6925</v>
      </c>
    </row>
    <row r="446" spans="1:20" ht="15.75" customHeight="1" x14ac:dyDescent="0.3">
      <c r="A446" s="311" t="s">
        <v>2263</v>
      </c>
      <c r="B446" s="10"/>
      <c r="C446" s="10"/>
      <c r="D446" s="10"/>
      <c r="E446" s="38">
        <f t="shared" si="201"/>
        <v>0</v>
      </c>
      <c r="F446" s="10"/>
      <c r="G446" s="10"/>
      <c r="H446" s="10"/>
      <c r="I446" s="38">
        <f t="shared" si="202"/>
        <v>0</v>
      </c>
      <c r="J446" s="10"/>
      <c r="K446" s="10"/>
      <c r="L446" s="10"/>
      <c r="M446" s="38">
        <f t="shared" si="203"/>
        <v>0</v>
      </c>
      <c r="N446" s="10"/>
      <c r="O446" s="10"/>
      <c r="P446" s="10"/>
      <c r="Q446" s="38">
        <f t="shared" si="204"/>
        <v>0</v>
      </c>
      <c r="R446" s="38">
        <f>+E446+I446+M446+Q446</f>
        <v>0</v>
      </c>
    </row>
    <row r="447" spans="1:20" ht="15.75" customHeight="1" x14ac:dyDescent="0.3">
      <c r="A447" s="410" t="s">
        <v>3159</v>
      </c>
      <c r="B447" s="10"/>
      <c r="C447" s="10"/>
      <c r="D447" s="10"/>
      <c r="E447" s="38">
        <f t="shared" si="201"/>
        <v>0</v>
      </c>
      <c r="F447" s="10"/>
      <c r="G447" s="10"/>
      <c r="H447" s="10"/>
      <c r="I447" s="38">
        <f t="shared" si="202"/>
        <v>0</v>
      </c>
      <c r="J447" s="10"/>
      <c r="K447" s="10"/>
      <c r="L447" s="10"/>
      <c r="M447" s="38">
        <f t="shared" si="203"/>
        <v>0</v>
      </c>
      <c r="N447" s="10"/>
      <c r="O447" s="10"/>
      <c r="P447" s="10"/>
      <c r="Q447" s="38">
        <f t="shared" si="204"/>
        <v>0</v>
      </c>
      <c r="R447" s="38">
        <f>+E447+I447+M447+Q447</f>
        <v>0</v>
      </c>
    </row>
    <row r="448" spans="1:20" ht="15.75" customHeight="1" x14ac:dyDescent="0.3">
      <c r="A448" s="410" t="s">
        <v>3160</v>
      </c>
      <c r="B448" s="10"/>
      <c r="C448" s="10"/>
      <c r="D448" s="10"/>
      <c r="E448" s="38">
        <f t="shared" si="201"/>
        <v>0</v>
      </c>
      <c r="F448" s="10"/>
      <c r="G448" s="10"/>
      <c r="H448" s="10"/>
      <c r="I448" s="38">
        <f t="shared" si="202"/>
        <v>0</v>
      </c>
      <c r="J448" s="10"/>
      <c r="K448" s="10"/>
      <c r="L448" s="10"/>
      <c r="M448" s="38">
        <f t="shared" si="203"/>
        <v>0</v>
      </c>
      <c r="N448" s="10"/>
      <c r="O448" s="10"/>
      <c r="P448" s="10"/>
      <c r="Q448" s="38">
        <f t="shared" si="204"/>
        <v>0</v>
      </c>
      <c r="R448" s="38">
        <f>+E448+I448+M448+Q448</f>
        <v>0</v>
      </c>
      <c r="T448" t="s">
        <v>1358</v>
      </c>
    </row>
    <row r="449" spans="1:20" ht="15.75" customHeight="1" x14ac:dyDescent="0.3">
      <c r="A449" s="410" t="s">
        <v>3139</v>
      </c>
      <c r="B449" s="10"/>
      <c r="C449" s="10"/>
      <c r="D449" s="10"/>
      <c r="E449" s="38">
        <f t="shared" ref="E449" si="209">SUM(B449:D449)</f>
        <v>0</v>
      </c>
      <c r="F449" s="10"/>
      <c r="G449" s="10"/>
      <c r="H449" s="10"/>
      <c r="I449" s="38">
        <f t="shared" ref="I449" si="210">SUM(F449:H449)</f>
        <v>0</v>
      </c>
      <c r="J449" s="10"/>
      <c r="K449" s="10"/>
      <c r="L449" s="10"/>
      <c r="M449" s="38">
        <f t="shared" ref="M449" si="211">SUM(J449:L449)</f>
        <v>0</v>
      </c>
      <c r="N449" s="10"/>
      <c r="O449" s="10"/>
      <c r="P449" s="10"/>
      <c r="Q449" s="38">
        <f t="shared" ref="Q449" si="212">SUM(N449:P449)</f>
        <v>0</v>
      </c>
      <c r="R449" s="38">
        <f t="shared" ref="R449:R450" si="213">+E449+I449+M449+Q449</f>
        <v>0</v>
      </c>
      <c r="T449" t="s">
        <v>2178</v>
      </c>
    </row>
    <row r="450" spans="1:20" ht="16.5" customHeight="1" x14ac:dyDescent="0.3">
      <c r="A450" s="410" t="s">
        <v>3389</v>
      </c>
      <c r="B450" s="10"/>
      <c r="C450" s="10"/>
      <c r="D450" s="10"/>
      <c r="E450" s="38">
        <f t="shared" si="201"/>
        <v>0</v>
      </c>
      <c r="F450" s="10"/>
      <c r="G450" s="10">
        <v>338</v>
      </c>
      <c r="H450" s="10">
        <v>1000</v>
      </c>
      <c r="I450" s="38">
        <f t="shared" si="202"/>
        <v>1338</v>
      </c>
      <c r="J450" s="10">
        <v>1746</v>
      </c>
      <c r="K450" s="10">
        <f>42+230+1982</f>
        <v>2254</v>
      </c>
      <c r="L450" s="10">
        <v>500</v>
      </c>
      <c r="M450" s="38">
        <f t="shared" si="203"/>
        <v>4500</v>
      </c>
      <c r="N450" s="10"/>
      <c r="O450" s="10"/>
      <c r="P450" s="10"/>
      <c r="Q450" s="38">
        <f t="shared" ref="Q450" si="214">SUM(N450:P450)</f>
        <v>0</v>
      </c>
      <c r="R450" s="38">
        <f t="shared" si="213"/>
        <v>5838</v>
      </c>
      <c r="T450" t="s">
        <v>2777</v>
      </c>
    </row>
    <row r="451" spans="1:20" ht="15.75" customHeight="1" x14ac:dyDescent="0.3">
      <c r="A451" s="410" t="s">
        <v>3140</v>
      </c>
      <c r="B451" s="10"/>
      <c r="C451" s="10"/>
      <c r="D451" s="10"/>
      <c r="E451" s="38">
        <f t="shared" si="201"/>
        <v>0</v>
      </c>
      <c r="F451" s="10"/>
      <c r="G451" s="10"/>
      <c r="H451" s="10"/>
      <c r="I451" s="38">
        <f t="shared" si="202"/>
        <v>0</v>
      </c>
      <c r="J451" s="10"/>
      <c r="K451" s="10"/>
      <c r="L451" s="10"/>
      <c r="M451" s="38">
        <f t="shared" si="203"/>
        <v>0</v>
      </c>
      <c r="N451" s="10"/>
      <c r="O451" s="10"/>
      <c r="P451" s="10"/>
      <c r="Q451" s="38">
        <f t="shared" ref="Q451" si="215">SUM(N451:P451)</f>
        <v>0</v>
      </c>
      <c r="R451" s="38">
        <f t="shared" si="199"/>
        <v>0</v>
      </c>
      <c r="T451" t="s">
        <v>2175</v>
      </c>
    </row>
    <row r="452" spans="1:20" ht="15.75" customHeight="1" x14ac:dyDescent="0.3">
      <c r="A452" s="410" t="s">
        <v>3388</v>
      </c>
      <c r="B452" s="10"/>
      <c r="C452" s="10"/>
      <c r="D452" s="10"/>
      <c r="E452" s="38">
        <f t="shared" si="201"/>
        <v>0</v>
      </c>
      <c r="F452" s="10"/>
      <c r="G452" s="10"/>
      <c r="H452" s="10">
        <v>166</v>
      </c>
      <c r="I452" s="38">
        <f t="shared" si="202"/>
        <v>166</v>
      </c>
      <c r="J452" s="10">
        <v>1469</v>
      </c>
      <c r="K452" s="10">
        <v>2095</v>
      </c>
      <c r="L452" s="10"/>
      <c r="M452" s="38">
        <f t="shared" si="203"/>
        <v>3564</v>
      </c>
      <c r="N452" s="10"/>
      <c r="O452" s="10"/>
      <c r="P452" s="10"/>
      <c r="Q452" s="38">
        <f t="shared" si="204"/>
        <v>0</v>
      </c>
      <c r="R452" s="38">
        <f t="shared" si="199"/>
        <v>3730</v>
      </c>
      <c r="T452" t="s">
        <v>2175</v>
      </c>
    </row>
    <row r="453" spans="1:20" ht="15.75" customHeight="1" x14ac:dyDescent="0.3">
      <c r="A453" s="410" t="s">
        <v>3386</v>
      </c>
      <c r="B453" s="10"/>
      <c r="C453" s="10"/>
      <c r="D453" s="10"/>
      <c r="E453" s="38">
        <f t="shared" si="201"/>
        <v>0</v>
      </c>
      <c r="F453" s="10">
        <v>92</v>
      </c>
      <c r="G453" s="10"/>
      <c r="H453" s="10">
        <v>276</v>
      </c>
      <c r="I453" s="38">
        <f t="shared" si="202"/>
        <v>368</v>
      </c>
      <c r="J453" s="10">
        <v>184</v>
      </c>
      <c r="K453" s="10">
        <v>92</v>
      </c>
      <c r="L453" s="10">
        <v>92</v>
      </c>
      <c r="M453" s="38">
        <f t="shared" si="203"/>
        <v>368</v>
      </c>
      <c r="N453" s="10">
        <v>92</v>
      </c>
      <c r="O453" s="10">
        <v>460</v>
      </c>
      <c r="P453" s="10">
        <v>951</v>
      </c>
      <c r="Q453" s="38">
        <f t="shared" si="204"/>
        <v>1503</v>
      </c>
      <c r="R453" s="38">
        <f t="shared" si="199"/>
        <v>2239</v>
      </c>
      <c r="T453" t="s">
        <v>2780</v>
      </c>
    </row>
    <row r="454" spans="1:20" ht="15.75" customHeight="1" x14ac:dyDescent="0.3">
      <c r="A454" s="410" t="s">
        <v>3387</v>
      </c>
      <c r="B454" s="10"/>
      <c r="C454" s="10"/>
      <c r="D454" s="10"/>
      <c r="E454" s="38">
        <f t="shared" si="201"/>
        <v>0</v>
      </c>
      <c r="F454" s="10">
        <v>1000</v>
      </c>
      <c r="G454" s="10">
        <v>662</v>
      </c>
      <c r="H454" s="10"/>
      <c r="I454" s="38">
        <f t="shared" si="202"/>
        <v>1662</v>
      </c>
      <c r="J454" s="10"/>
      <c r="K454" s="10"/>
      <c r="L454" s="10"/>
      <c r="M454" s="38">
        <f t="shared" si="203"/>
        <v>0</v>
      </c>
      <c r="N454" s="10"/>
      <c r="O454" s="10"/>
      <c r="P454" s="10"/>
      <c r="Q454" s="38">
        <f t="shared" si="204"/>
        <v>0</v>
      </c>
      <c r="R454" s="38">
        <f t="shared" si="199"/>
        <v>1662</v>
      </c>
    </row>
    <row r="455" spans="1:20" ht="15.75" customHeight="1" x14ac:dyDescent="0.3">
      <c r="A455" s="410" t="s">
        <v>3390</v>
      </c>
      <c r="B455" s="10"/>
      <c r="C455" s="10">
        <v>600</v>
      </c>
      <c r="D455" s="10"/>
      <c r="E455" s="38">
        <f t="shared" si="201"/>
        <v>600</v>
      </c>
      <c r="F455" s="10"/>
      <c r="G455" s="10"/>
      <c r="H455" s="10">
        <v>1900</v>
      </c>
      <c r="I455" s="38">
        <f t="shared" si="202"/>
        <v>1900</v>
      </c>
      <c r="J455" s="10"/>
      <c r="K455" s="10"/>
      <c r="L455" s="10"/>
      <c r="M455" s="38">
        <f t="shared" si="203"/>
        <v>0</v>
      </c>
      <c r="N455" s="10"/>
      <c r="O455" s="10"/>
      <c r="P455" s="10"/>
      <c r="Q455" s="38">
        <f t="shared" si="204"/>
        <v>0</v>
      </c>
      <c r="R455" s="38">
        <f t="shared" si="199"/>
        <v>2500</v>
      </c>
      <c r="T455" t="s">
        <v>1358</v>
      </c>
    </row>
    <row r="456" spans="1:20" ht="15.75" customHeight="1" x14ac:dyDescent="0.3">
      <c r="A456" s="410" t="s">
        <v>3463</v>
      </c>
      <c r="B456" s="10"/>
      <c r="C456" s="10"/>
      <c r="D456" s="10"/>
      <c r="E456" s="38">
        <f t="shared" si="201"/>
        <v>0</v>
      </c>
      <c r="F456" s="10"/>
      <c r="G456" s="10"/>
      <c r="H456" s="10"/>
      <c r="I456" s="38">
        <f t="shared" si="202"/>
        <v>0</v>
      </c>
      <c r="J456" s="10"/>
      <c r="K456" s="10"/>
      <c r="L456" s="10">
        <v>300</v>
      </c>
      <c r="M456" s="38">
        <f t="shared" si="203"/>
        <v>300</v>
      </c>
      <c r="N456" s="10"/>
      <c r="O456" s="10"/>
      <c r="P456" s="10"/>
      <c r="Q456" s="38">
        <f t="shared" ref="Q456" si="216">SUM(N456:P456)</f>
        <v>0</v>
      </c>
      <c r="R456" s="38">
        <f t="shared" ref="R456" si="217">+E456+I456+M456+Q456</f>
        <v>300</v>
      </c>
    </row>
    <row r="457" spans="1:20" ht="15.75" customHeight="1" x14ac:dyDescent="0.3">
      <c r="A457" s="410" t="s">
        <v>3460</v>
      </c>
      <c r="B457" s="10"/>
      <c r="C457" s="10"/>
      <c r="D457" s="10"/>
      <c r="E457" s="38">
        <f t="shared" si="201"/>
        <v>0</v>
      </c>
      <c r="F457" s="10"/>
      <c r="G457" s="10"/>
      <c r="H457" s="10"/>
      <c r="I457" s="38">
        <f t="shared" si="202"/>
        <v>0</v>
      </c>
      <c r="J457" s="10"/>
      <c r="K457" s="10"/>
      <c r="L457" s="10"/>
      <c r="M457" s="38">
        <f t="shared" si="203"/>
        <v>0</v>
      </c>
      <c r="N457" s="10">
        <v>850</v>
      </c>
      <c r="O457" s="10"/>
      <c r="P457" s="10"/>
      <c r="Q457" s="38">
        <f t="shared" ref="Q457" si="218">SUM(N457:P457)</f>
        <v>850</v>
      </c>
      <c r="R457" s="38">
        <f t="shared" ref="R457" si="219">+E457+I457+M457+Q457</f>
        <v>850</v>
      </c>
    </row>
    <row r="458" spans="1:20" ht="15.75" customHeight="1" x14ac:dyDescent="0.3">
      <c r="A458" s="410" t="s">
        <v>3459</v>
      </c>
      <c r="B458" s="10"/>
      <c r="C458" s="10"/>
      <c r="D458" s="10"/>
      <c r="E458" s="38">
        <f t="shared" si="201"/>
        <v>0</v>
      </c>
      <c r="F458" s="10"/>
      <c r="G458" s="10"/>
      <c r="H458" s="10"/>
      <c r="I458" s="38">
        <f t="shared" si="202"/>
        <v>0</v>
      </c>
      <c r="J458" s="10"/>
      <c r="K458" s="10"/>
      <c r="L458" s="10"/>
      <c r="M458" s="38">
        <f t="shared" si="203"/>
        <v>0</v>
      </c>
      <c r="N458" s="10"/>
      <c r="O458" s="10">
        <v>500</v>
      </c>
      <c r="P458" s="10"/>
      <c r="Q458" s="38">
        <f t="shared" si="204"/>
        <v>500</v>
      </c>
      <c r="R458" s="38">
        <f t="shared" si="199"/>
        <v>500</v>
      </c>
    </row>
    <row r="459" spans="1:20" ht="15.75" customHeight="1" x14ac:dyDescent="0.3">
      <c r="A459" s="410" t="s">
        <v>3415</v>
      </c>
      <c r="B459" s="10"/>
      <c r="C459" s="10"/>
      <c r="D459" s="10"/>
      <c r="E459" s="38">
        <f t="shared" si="201"/>
        <v>0</v>
      </c>
      <c r="F459" s="10"/>
      <c r="G459" s="10"/>
      <c r="H459" s="10"/>
      <c r="I459" s="38">
        <f t="shared" si="202"/>
        <v>0</v>
      </c>
      <c r="J459" s="10"/>
      <c r="K459" s="10"/>
      <c r="L459" s="10"/>
      <c r="M459" s="38">
        <f t="shared" si="203"/>
        <v>0</v>
      </c>
      <c r="N459" s="10"/>
      <c r="O459" s="10"/>
      <c r="P459" s="10"/>
      <c r="Q459" s="38">
        <f t="shared" ref="Q459" si="220">SUM(N459:P459)</f>
        <v>0</v>
      </c>
      <c r="R459" s="38">
        <f t="shared" ref="R459" si="221">+E459+I459+M459+Q459</f>
        <v>0</v>
      </c>
    </row>
    <row r="460" spans="1:20" ht="15.75" customHeight="1" x14ac:dyDescent="0.3">
      <c r="A460" s="410" t="s">
        <v>3427</v>
      </c>
      <c r="B460" s="10"/>
      <c r="C460" s="10"/>
      <c r="D460" s="10"/>
      <c r="E460" s="38">
        <f t="shared" si="201"/>
        <v>0</v>
      </c>
      <c r="F460" s="10"/>
      <c r="G460" s="10"/>
      <c r="H460" s="10"/>
      <c r="I460" s="38">
        <f t="shared" si="202"/>
        <v>0</v>
      </c>
      <c r="J460" s="10"/>
      <c r="K460" s="10"/>
      <c r="L460" s="10"/>
      <c r="M460" s="38">
        <f t="shared" si="203"/>
        <v>0</v>
      </c>
      <c r="N460" s="10"/>
      <c r="O460" s="10"/>
      <c r="P460" s="10"/>
      <c r="Q460" s="38">
        <f t="shared" ref="Q460" si="222">SUM(N460:P460)</f>
        <v>0</v>
      </c>
      <c r="R460" s="38">
        <f t="shared" ref="R460" si="223">+E460+I460+M460+Q460</f>
        <v>0</v>
      </c>
    </row>
    <row r="461" spans="1:20" ht="15.75" customHeight="1" x14ac:dyDescent="0.3">
      <c r="A461" s="410" t="s">
        <v>3411</v>
      </c>
      <c r="B461" s="10"/>
      <c r="C461" s="10"/>
      <c r="D461" s="10"/>
      <c r="E461" s="38">
        <f t="shared" si="201"/>
        <v>0</v>
      </c>
      <c r="F461" s="10"/>
      <c r="G461" s="10"/>
      <c r="H461" s="10"/>
      <c r="I461" s="38">
        <f t="shared" si="202"/>
        <v>0</v>
      </c>
      <c r="J461" s="10"/>
      <c r="K461" s="10">
        <f>862+441+197</f>
        <v>1500</v>
      </c>
      <c r="L461" s="10">
        <f>411+7+1082</f>
        <v>1500</v>
      </c>
      <c r="M461" s="38">
        <f t="shared" si="203"/>
        <v>3000</v>
      </c>
      <c r="N461" s="10"/>
      <c r="O461" s="10"/>
      <c r="P461" s="10"/>
      <c r="Q461" s="38">
        <f t="shared" ref="Q461:Q462" si="224">SUM(N461:P461)</f>
        <v>0</v>
      </c>
      <c r="R461" s="38">
        <f t="shared" ref="R461:R462" si="225">+E461+I461+M461+Q461</f>
        <v>3000</v>
      </c>
    </row>
    <row r="462" spans="1:20" ht="15.75" customHeight="1" x14ac:dyDescent="0.3">
      <c r="A462" s="410" t="s">
        <v>3412</v>
      </c>
      <c r="B462" s="10"/>
      <c r="C462" s="10"/>
      <c r="D462" s="10"/>
      <c r="E462" s="38">
        <f t="shared" si="201"/>
        <v>0</v>
      </c>
      <c r="F462" s="10"/>
      <c r="G462" s="10"/>
      <c r="H462" s="10"/>
      <c r="I462" s="38">
        <f t="shared" si="202"/>
        <v>0</v>
      </c>
      <c r="J462" s="10"/>
      <c r="K462" s="10">
        <f>3+228</f>
        <v>231</v>
      </c>
      <c r="L462" s="10">
        <f>1497+25</f>
        <v>1522</v>
      </c>
      <c r="M462" s="38">
        <f t="shared" si="203"/>
        <v>1753</v>
      </c>
      <c r="N462" s="10"/>
      <c r="O462" s="10">
        <v>232</v>
      </c>
      <c r="P462" s="10"/>
      <c r="Q462" s="38">
        <f t="shared" si="224"/>
        <v>232</v>
      </c>
      <c r="R462" s="38">
        <f t="shared" si="225"/>
        <v>1985</v>
      </c>
    </row>
    <row r="463" spans="1:20" ht="15.75" customHeight="1" x14ac:dyDescent="0.3">
      <c r="A463" s="410" t="s">
        <v>3413</v>
      </c>
      <c r="B463" s="10"/>
      <c r="C463" s="10"/>
      <c r="D463" s="10"/>
      <c r="E463" s="38">
        <f t="shared" si="201"/>
        <v>0</v>
      </c>
      <c r="F463" s="10"/>
      <c r="G463" s="10"/>
      <c r="H463" s="10"/>
      <c r="I463" s="38">
        <f t="shared" si="202"/>
        <v>0</v>
      </c>
      <c r="J463" s="10"/>
      <c r="K463" s="10"/>
      <c r="L463" s="10"/>
      <c r="M463" s="38">
        <f t="shared" si="203"/>
        <v>0</v>
      </c>
      <c r="N463" s="10"/>
      <c r="O463" s="10"/>
      <c r="P463" s="10"/>
      <c r="Q463" s="38">
        <f t="shared" ref="Q463:Q464" si="226">SUM(N463:P463)</f>
        <v>0</v>
      </c>
      <c r="R463" s="38">
        <f t="shared" ref="R463:R464" si="227">+E463+I463+M463+Q463</f>
        <v>0</v>
      </c>
    </row>
    <row r="464" spans="1:20" ht="15.75" customHeight="1" x14ac:dyDescent="0.3">
      <c r="A464" s="410" t="s">
        <v>3414</v>
      </c>
      <c r="B464" s="10"/>
      <c r="C464" s="10"/>
      <c r="D464" s="10"/>
      <c r="E464" s="38">
        <f t="shared" si="201"/>
        <v>0</v>
      </c>
      <c r="F464" s="10"/>
      <c r="G464" s="10"/>
      <c r="H464" s="10"/>
      <c r="I464" s="38">
        <f t="shared" si="202"/>
        <v>0</v>
      </c>
      <c r="J464" s="10"/>
      <c r="K464" s="10"/>
      <c r="L464" s="10"/>
      <c r="M464" s="38">
        <f t="shared" si="203"/>
        <v>0</v>
      </c>
      <c r="N464" s="10"/>
      <c r="O464" s="10">
        <v>752</v>
      </c>
      <c r="P464" s="10">
        <v>1207</v>
      </c>
      <c r="Q464" s="38">
        <f t="shared" si="226"/>
        <v>1959</v>
      </c>
      <c r="R464" s="38">
        <f t="shared" si="227"/>
        <v>1959</v>
      </c>
    </row>
    <row r="465" spans="1:20" ht="15.75" customHeight="1" x14ac:dyDescent="0.3">
      <c r="A465" s="410" t="s">
        <v>3073</v>
      </c>
      <c r="B465" s="10"/>
      <c r="C465" s="10"/>
      <c r="D465" s="10"/>
      <c r="E465" s="38">
        <f t="shared" si="201"/>
        <v>0</v>
      </c>
      <c r="F465" s="10"/>
      <c r="G465" s="10"/>
      <c r="H465" s="10"/>
      <c r="I465" s="38">
        <f t="shared" si="202"/>
        <v>0</v>
      </c>
      <c r="J465" s="10"/>
      <c r="K465" s="10"/>
      <c r="L465" s="10"/>
      <c r="M465" s="38">
        <f t="shared" si="203"/>
        <v>0</v>
      </c>
      <c r="N465" s="10"/>
      <c r="O465" s="10"/>
      <c r="P465" s="10"/>
      <c r="Q465" s="38">
        <f>SUM(N465:P465)</f>
        <v>0</v>
      </c>
      <c r="R465" s="38">
        <f t="shared" si="199"/>
        <v>0</v>
      </c>
    </row>
    <row r="466" spans="1:20" ht="15.75" customHeight="1" x14ac:dyDescent="0.3">
      <c r="A466" s="410" t="s">
        <v>3061</v>
      </c>
      <c r="B466" s="10"/>
      <c r="C466" s="10">
        <v>500</v>
      </c>
      <c r="D466" s="10">
        <v>1000</v>
      </c>
      <c r="E466" s="38">
        <f t="shared" si="201"/>
        <v>1500</v>
      </c>
      <c r="F466" s="10"/>
      <c r="G466" s="10"/>
      <c r="H466" s="10"/>
      <c r="I466" s="38">
        <f t="shared" si="202"/>
        <v>0</v>
      </c>
      <c r="J466" s="10"/>
      <c r="K466" s="10"/>
      <c r="L466" s="10"/>
      <c r="M466" s="38">
        <f t="shared" si="203"/>
        <v>0</v>
      </c>
      <c r="N466" s="10"/>
      <c r="O466" s="10"/>
      <c r="P466" s="10"/>
      <c r="Q466" s="38">
        <f t="shared" si="204"/>
        <v>0</v>
      </c>
      <c r="R466" s="38">
        <f t="shared" si="199"/>
        <v>1500</v>
      </c>
    </row>
    <row r="467" spans="1:20" ht="15.75" customHeight="1" x14ac:dyDescent="0.3">
      <c r="A467" s="410" t="s">
        <v>3395</v>
      </c>
      <c r="B467" s="10"/>
      <c r="C467" s="10"/>
      <c r="D467" s="10"/>
      <c r="E467" s="38">
        <f t="shared" si="201"/>
        <v>0</v>
      </c>
      <c r="F467" s="10"/>
      <c r="G467" s="10"/>
      <c r="H467" s="10"/>
      <c r="I467" s="38">
        <f t="shared" si="202"/>
        <v>0</v>
      </c>
      <c r="J467" s="10"/>
      <c r="K467" s="10">
        <v>822</v>
      </c>
      <c r="L467" s="10">
        <v>2178</v>
      </c>
      <c r="M467" s="38">
        <f t="shared" si="203"/>
        <v>3000</v>
      </c>
      <c r="N467" s="10"/>
      <c r="O467" s="10"/>
      <c r="P467" s="10"/>
      <c r="Q467" s="38">
        <f t="shared" ref="Q467" si="228">SUM(N467:P467)</f>
        <v>0</v>
      </c>
      <c r="R467" s="38">
        <f t="shared" ref="R467" si="229">+E467+I467+M467+Q467</f>
        <v>3000</v>
      </c>
    </row>
    <row r="468" spans="1:20" ht="15.75" customHeight="1" x14ac:dyDescent="0.3">
      <c r="A468" s="410" t="s">
        <v>3391</v>
      </c>
      <c r="B468" s="10"/>
      <c r="C468" s="10"/>
      <c r="D468" s="10"/>
      <c r="E468" s="38">
        <f t="shared" si="201"/>
        <v>0</v>
      </c>
      <c r="F468" s="10"/>
      <c r="G468" s="10"/>
      <c r="H468" s="10">
        <v>1642</v>
      </c>
      <c r="I468" s="38">
        <f t="shared" si="202"/>
        <v>1642</v>
      </c>
      <c r="J468" s="10">
        <v>858</v>
      </c>
      <c r="K468" s="10"/>
      <c r="L468" s="10"/>
      <c r="M468" s="38">
        <f t="shared" si="203"/>
        <v>858</v>
      </c>
      <c r="N468" s="10"/>
      <c r="O468" s="10"/>
      <c r="P468" s="10"/>
      <c r="Q468" s="38">
        <f t="shared" ref="Q468" si="230">SUM(N468:P468)</f>
        <v>0</v>
      </c>
      <c r="R468" s="38">
        <f t="shared" ref="R468" si="231">+E468+I468+M468+Q468</f>
        <v>2500</v>
      </c>
    </row>
    <row r="469" spans="1:20" ht="15.75" customHeight="1" x14ac:dyDescent="0.3">
      <c r="A469" s="410" t="s">
        <v>3229</v>
      </c>
      <c r="B469" s="10"/>
      <c r="C469" s="10"/>
      <c r="D469" s="10"/>
      <c r="E469" s="38">
        <f t="shared" ref="E469" si="232">SUM(B469:D469)</f>
        <v>0</v>
      </c>
      <c r="F469" s="10"/>
      <c r="G469" s="10"/>
      <c r="H469" s="10"/>
      <c r="I469" s="38">
        <f t="shared" ref="I469" si="233">SUM(F469:H469)</f>
        <v>0</v>
      </c>
      <c r="J469" s="10"/>
      <c r="K469" s="10"/>
      <c r="L469" s="10"/>
      <c r="M469" s="38">
        <f t="shared" ref="M469" si="234">SUM(J469:L469)</f>
        <v>0</v>
      </c>
      <c r="N469" s="10"/>
      <c r="O469" s="10"/>
      <c r="P469" s="10"/>
      <c r="Q469" s="38">
        <f t="shared" ref="Q469" si="235">SUM(N469:P469)</f>
        <v>0</v>
      </c>
      <c r="R469" s="38">
        <f t="shared" si="199"/>
        <v>0</v>
      </c>
      <c r="T469" t="s">
        <v>2780</v>
      </c>
    </row>
    <row r="470" spans="1:20" ht="15.75" customHeight="1" x14ac:dyDescent="0.3">
      <c r="A470" s="410" t="s">
        <v>3042</v>
      </c>
      <c r="B470" s="10"/>
      <c r="C470" s="10"/>
      <c r="D470" s="10"/>
      <c r="E470" s="38">
        <f t="shared" si="201"/>
        <v>0</v>
      </c>
      <c r="F470" s="10"/>
      <c r="G470" s="10"/>
      <c r="H470" s="10"/>
      <c r="I470" s="38">
        <f t="shared" si="202"/>
        <v>0</v>
      </c>
      <c r="J470" s="10"/>
      <c r="K470" s="10"/>
      <c r="L470" s="10"/>
      <c r="M470" s="38">
        <f t="shared" si="203"/>
        <v>0</v>
      </c>
      <c r="N470" s="10"/>
      <c r="O470" s="10"/>
      <c r="P470" s="10"/>
      <c r="Q470" s="38">
        <f t="shared" si="204"/>
        <v>0</v>
      </c>
      <c r="R470" s="38">
        <f t="shared" si="199"/>
        <v>0</v>
      </c>
      <c r="T470" t="s">
        <v>2780</v>
      </c>
    </row>
    <row r="471" spans="1:20" ht="15.75" customHeight="1" x14ac:dyDescent="0.3">
      <c r="A471" s="410" t="s">
        <v>2941</v>
      </c>
      <c r="B471" s="10"/>
      <c r="C471" s="10"/>
      <c r="D471" s="10"/>
      <c r="E471" s="38">
        <f t="shared" si="201"/>
        <v>0</v>
      </c>
      <c r="F471" s="10"/>
      <c r="G471" s="10"/>
      <c r="H471" s="10">
        <v>1782</v>
      </c>
      <c r="I471" s="38">
        <f t="shared" si="202"/>
        <v>1782</v>
      </c>
      <c r="J471" s="10">
        <v>2106</v>
      </c>
      <c r="K471" s="10">
        <v>200</v>
      </c>
      <c r="L471" s="10"/>
      <c r="M471" s="38">
        <f t="shared" si="203"/>
        <v>2306</v>
      </c>
      <c r="N471" s="10"/>
      <c r="O471" s="10"/>
      <c r="P471" s="10"/>
      <c r="Q471" s="38">
        <f t="shared" si="204"/>
        <v>0</v>
      </c>
      <c r="R471" s="38">
        <f t="shared" si="199"/>
        <v>4088</v>
      </c>
      <c r="T471" t="s">
        <v>2780</v>
      </c>
    </row>
    <row r="472" spans="1:20" ht="15.75" customHeight="1" x14ac:dyDescent="0.3">
      <c r="A472" s="410" t="s">
        <v>2711</v>
      </c>
      <c r="B472" s="10"/>
      <c r="C472" s="10"/>
      <c r="D472" s="10"/>
      <c r="E472" s="38">
        <f t="shared" si="201"/>
        <v>0</v>
      </c>
      <c r="F472" s="10"/>
      <c r="G472" s="10"/>
      <c r="H472" s="10"/>
      <c r="I472" s="38">
        <f t="shared" si="202"/>
        <v>0</v>
      </c>
      <c r="J472" s="10"/>
      <c r="K472" s="10"/>
      <c r="L472" s="10"/>
      <c r="M472" s="38">
        <f t="shared" si="203"/>
        <v>0</v>
      </c>
      <c r="N472" s="10"/>
      <c r="O472" s="10"/>
      <c r="P472" s="10"/>
      <c r="Q472" s="38">
        <f t="shared" si="204"/>
        <v>0</v>
      </c>
      <c r="R472" s="38">
        <f t="shared" si="199"/>
        <v>0</v>
      </c>
      <c r="T472" t="s">
        <v>1358</v>
      </c>
    </row>
    <row r="473" spans="1:20" ht="15.75" customHeight="1" x14ac:dyDescent="0.3">
      <c r="A473" s="311" t="s">
        <v>1097</v>
      </c>
      <c r="B473" s="10"/>
      <c r="C473" s="10"/>
      <c r="D473" s="10"/>
      <c r="E473" s="38">
        <f t="shared" si="201"/>
        <v>0</v>
      </c>
      <c r="F473" s="10">
        <v>1184</v>
      </c>
      <c r="G473" s="10">
        <v>320</v>
      </c>
      <c r="H473" s="10"/>
      <c r="I473" s="38">
        <f t="shared" si="202"/>
        <v>1504</v>
      </c>
      <c r="J473" s="10"/>
      <c r="K473" s="10"/>
      <c r="L473" s="10"/>
      <c r="M473" s="38">
        <f t="shared" si="203"/>
        <v>0</v>
      </c>
      <c r="N473" s="10"/>
      <c r="O473" s="10"/>
      <c r="P473" s="10"/>
      <c r="Q473" s="38">
        <f t="shared" si="204"/>
        <v>0</v>
      </c>
      <c r="R473" s="38">
        <f t="shared" si="199"/>
        <v>1504</v>
      </c>
    </row>
    <row r="474" spans="1:20" ht="15.75" customHeight="1" x14ac:dyDescent="0.3">
      <c r="A474" s="410" t="s">
        <v>3441</v>
      </c>
      <c r="B474" s="10"/>
      <c r="C474" s="10"/>
      <c r="D474" s="10"/>
      <c r="E474" s="38">
        <f t="shared" si="201"/>
        <v>0</v>
      </c>
      <c r="F474" s="10"/>
      <c r="G474" s="10"/>
      <c r="H474" s="10"/>
      <c r="I474" s="38">
        <f t="shared" si="202"/>
        <v>0</v>
      </c>
      <c r="J474" s="10"/>
      <c r="K474" s="10"/>
      <c r="L474" s="10"/>
      <c r="M474" s="38">
        <f t="shared" si="203"/>
        <v>0</v>
      </c>
      <c r="N474" s="10"/>
      <c r="O474" s="10"/>
      <c r="P474" s="10"/>
      <c r="Q474" s="38">
        <f t="shared" ref="Q474" si="236">SUM(N474:P474)</f>
        <v>0</v>
      </c>
      <c r="R474" s="38">
        <f t="shared" ref="R474" si="237">+E474+I474+M474+Q474</f>
        <v>0</v>
      </c>
    </row>
    <row r="475" spans="1:20" ht="15.75" customHeight="1" x14ac:dyDescent="0.3">
      <c r="A475" s="410" t="s">
        <v>3397</v>
      </c>
      <c r="B475" s="10"/>
      <c r="C475" s="10"/>
      <c r="D475" s="10"/>
      <c r="E475" s="38">
        <f t="shared" si="201"/>
        <v>0</v>
      </c>
      <c r="F475" s="10"/>
      <c r="G475" s="10">
        <v>1000</v>
      </c>
      <c r="H475" s="10"/>
      <c r="I475" s="38">
        <f t="shared" si="202"/>
        <v>1000</v>
      </c>
      <c r="J475" s="10"/>
      <c r="K475" s="10"/>
      <c r="L475" s="10"/>
      <c r="M475" s="38">
        <f t="shared" si="203"/>
        <v>0</v>
      </c>
      <c r="N475" s="10"/>
      <c r="O475" s="10"/>
      <c r="P475" s="10"/>
      <c r="Q475" s="38">
        <f t="shared" si="204"/>
        <v>0</v>
      </c>
      <c r="R475" s="38">
        <f t="shared" si="199"/>
        <v>1000</v>
      </c>
      <c r="T475" t="s">
        <v>1358</v>
      </c>
    </row>
    <row r="476" spans="1:20" ht="15.75" customHeight="1" x14ac:dyDescent="0.3">
      <c r="A476" s="410" t="s">
        <v>3296</v>
      </c>
      <c r="B476" s="10"/>
      <c r="C476" s="10"/>
      <c r="D476" s="10"/>
      <c r="E476" s="38">
        <f t="shared" si="201"/>
        <v>0</v>
      </c>
      <c r="F476" s="10"/>
      <c r="G476" s="10"/>
      <c r="H476" s="10"/>
      <c r="I476" s="38">
        <f t="shared" si="202"/>
        <v>0</v>
      </c>
      <c r="J476" s="10"/>
      <c r="K476" s="10"/>
      <c r="L476" s="10"/>
      <c r="M476" s="38">
        <f t="shared" si="203"/>
        <v>0</v>
      </c>
      <c r="N476" s="10"/>
      <c r="O476" s="10"/>
      <c r="P476" s="10"/>
      <c r="Q476" s="38">
        <f t="shared" si="204"/>
        <v>0</v>
      </c>
      <c r="R476" s="38">
        <f t="shared" si="199"/>
        <v>0</v>
      </c>
      <c r="T476" t="s">
        <v>2780</v>
      </c>
    </row>
    <row r="477" spans="1:20" ht="15.75" customHeight="1" x14ac:dyDescent="0.3">
      <c r="A477" s="410" t="s">
        <v>3297</v>
      </c>
      <c r="B477" s="10"/>
      <c r="C477" s="10"/>
      <c r="D477" s="10"/>
      <c r="E477" s="38">
        <f t="shared" si="201"/>
        <v>0</v>
      </c>
      <c r="F477" s="10"/>
      <c r="G477" s="10"/>
      <c r="H477" s="10">
        <v>1500</v>
      </c>
      <c r="I477" s="38">
        <f t="shared" si="202"/>
        <v>1500</v>
      </c>
      <c r="J477" s="10">
        <v>712</v>
      </c>
      <c r="K477" s="10"/>
      <c r="L477" s="10"/>
      <c r="M477" s="38">
        <f t="shared" si="203"/>
        <v>712</v>
      </c>
      <c r="N477" s="10"/>
      <c r="O477" s="10"/>
      <c r="P477" s="10"/>
      <c r="Q477" s="38">
        <f t="shared" si="204"/>
        <v>0</v>
      </c>
      <c r="R477" s="38">
        <f>+E477+I477+M477+Q477</f>
        <v>2212</v>
      </c>
    </row>
    <row r="478" spans="1:20" ht="15.75" customHeight="1" x14ac:dyDescent="0.3">
      <c r="A478" s="410" t="s">
        <v>3298</v>
      </c>
      <c r="B478" s="10"/>
      <c r="C478" s="10"/>
      <c r="D478" s="10"/>
      <c r="E478" s="38">
        <f t="shared" si="201"/>
        <v>0</v>
      </c>
      <c r="F478" s="10"/>
      <c r="G478" s="10"/>
      <c r="H478" s="10"/>
      <c r="I478" s="38">
        <f t="shared" si="202"/>
        <v>0</v>
      </c>
      <c r="J478" s="10"/>
      <c r="K478" s="10"/>
      <c r="L478" s="10"/>
      <c r="M478" s="38">
        <f t="shared" si="203"/>
        <v>0</v>
      </c>
      <c r="N478" s="10"/>
      <c r="O478" s="10"/>
      <c r="P478" s="10"/>
      <c r="Q478" s="38">
        <f t="shared" si="204"/>
        <v>0</v>
      </c>
      <c r="R478" s="38">
        <f>+E478+I478+M478+Q478</f>
        <v>0</v>
      </c>
      <c r="T478" t="s">
        <v>1358</v>
      </c>
    </row>
    <row r="479" spans="1:20" ht="15.75" customHeight="1" x14ac:dyDescent="0.3">
      <c r="A479" s="410" t="s">
        <v>3299</v>
      </c>
      <c r="B479" s="10"/>
      <c r="C479" s="10">
        <v>1051</v>
      </c>
      <c r="D479" s="10">
        <v>1504</v>
      </c>
      <c r="E479" s="38">
        <f t="shared" si="201"/>
        <v>2555</v>
      </c>
      <c r="F479" s="10">
        <v>1803</v>
      </c>
      <c r="G479" s="10">
        <v>1910</v>
      </c>
      <c r="H479" s="10">
        <v>156</v>
      </c>
      <c r="I479" s="38">
        <f t="shared" si="202"/>
        <v>3869</v>
      </c>
      <c r="J479" s="10"/>
      <c r="K479" s="10"/>
      <c r="L479" s="10"/>
      <c r="M479" s="38">
        <f t="shared" si="203"/>
        <v>0</v>
      </c>
      <c r="N479" s="10"/>
      <c r="O479" s="10"/>
      <c r="P479" s="10"/>
      <c r="Q479" s="38">
        <f t="shared" si="204"/>
        <v>0</v>
      </c>
      <c r="R479" s="38">
        <f t="shared" si="199"/>
        <v>6424</v>
      </c>
      <c r="T479" t="s">
        <v>2780</v>
      </c>
    </row>
    <row r="480" spans="1:20" ht="15.75" customHeight="1" x14ac:dyDescent="0.3">
      <c r="A480" s="410" t="s">
        <v>3300</v>
      </c>
      <c r="B480" s="10"/>
      <c r="C480" s="10"/>
      <c r="D480" s="10"/>
      <c r="E480" s="38">
        <f t="shared" si="201"/>
        <v>0</v>
      </c>
      <c r="F480" s="10"/>
      <c r="G480" s="10"/>
      <c r="H480" s="10"/>
      <c r="I480" s="38">
        <f t="shared" si="202"/>
        <v>0</v>
      </c>
      <c r="J480" s="10"/>
      <c r="K480" s="10"/>
      <c r="L480" s="10"/>
      <c r="M480" s="38">
        <f t="shared" si="203"/>
        <v>0</v>
      </c>
      <c r="N480" s="10"/>
      <c r="O480" s="10"/>
      <c r="P480" s="10"/>
      <c r="Q480" s="38">
        <f t="shared" si="204"/>
        <v>0</v>
      </c>
      <c r="R480" s="38">
        <f t="shared" si="199"/>
        <v>0</v>
      </c>
      <c r="T480" t="s">
        <v>1358</v>
      </c>
    </row>
    <row r="481" spans="1:21" ht="15.75" customHeight="1" x14ac:dyDescent="0.3">
      <c r="A481" s="410" t="s">
        <v>3406</v>
      </c>
      <c r="B481" s="10"/>
      <c r="C481" s="10"/>
      <c r="D481" s="10"/>
      <c r="E481" s="38">
        <f t="shared" ref="E481:E482" si="238">SUM(B481:D481)</f>
        <v>0</v>
      </c>
      <c r="F481" s="10"/>
      <c r="G481" s="10">
        <v>9</v>
      </c>
      <c r="H481" s="10"/>
      <c r="I481" s="38">
        <f t="shared" ref="I481:I483" si="239">SUM(F481:H481)</f>
        <v>9</v>
      </c>
      <c r="J481" s="10"/>
      <c r="K481" s="10"/>
      <c r="L481" s="10"/>
      <c r="M481" s="38">
        <f t="shared" ref="M481:M483" si="240">SUM(J481:L481)</f>
        <v>0</v>
      </c>
      <c r="N481" s="10"/>
      <c r="O481" s="10"/>
      <c r="P481" s="10"/>
      <c r="Q481" s="38">
        <f t="shared" ref="Q481:Q483" si="241">SUM(N481:P481)</f>
        <v>0</v>
      </c>
      <c r="R481" s="38">
        <f t="shared" si="199"/>
        <v>9</v>
      </c>
    </row>
    <row r="482" spans="1:21" ht="15.75" customHeight="1" x14ac:dyDescent="0.3">
      <c r="A482" s="410" t="s">
        <v>3407</v>
      </c>
      <c r="B482" s="10"/>
      <c r="C482" s="10"/>
      <c r="D482" s="10"/>
      <c r="E482" s="38">
        <f t="shared" si="238"/>
        <v>0</v>
      </c>
      <c r="F482" s="10"/>
      <c r="G482" s="10">
        <v>71</v>
      </c>
      <c r="H482" s="10"/>
      <c r="I482" s="38">
        <f t="shared" si="239"/>
        <v>71</v>
      </c>
      <c r="J482" s="10"/>
      <c r="K482" s="10"/>
      <c r="L482" s="10"/>
      <c r="M482" s="38">
        <f t="shared" si="240"/>
        <v>0</v>
      </c>
      <c r="N482" s="10"/>
      <c r="O482" s="10"/>
      <c r="P482" s="10"/>
      <c r="Q482" s="38">
        <f t="shared" si="241"/>
        <v>0</v>
      </c>
      <c r="R482" s="38">
        <f>+E482+I482+M482+Q482</f>
        <v>71</v>
      </c>
    </row>
    <row r="483" spans="1:21" ht="15.75" customHeight="1" x14ac:dyDescent="0.3">
      <c r="A483" s="410" t="s">
        <v>3408</v>
      </c>
      <c r="B483" s="10"/>
      <c r="C483" s="10"/>
      <c r="D483" s="10"/>
      <c r="E483" s="38">
        <f>SUM(B483:D483)</f>
        <v>0</v>
      </c>
      <c r="F483" s="10"/>
      <c r="G483" s="10">
        <v>85</v>
      </c>
      <c r="H483" s="10"/>
      <c r="I483" s="38">
        <f t="shared" si="239"/>
        <v>85</v>
      </c>
      <c r="J483" s="10"/>
      <c r="K483" s="10"/>
      <c r="L483" s="10"/>
      <c r="M483" s="38">
        <f t="shared" si="240"/>
        <v>0</v>
      </c>
      <c r="N483" s="10"/>
      <c r="O483" s="10"/>
      <c r="P483" s="10"/>
      <c r="Q483" s="38">
        <f t="shared" si="241"/>
        <v>0</v>
      </c>
      <c r="R483" s="38">
        <f t="shared" si="199"/>
        <v>85</v>
      </c>
    </row>
    <row r="484" spans="1:21" ht="15.75" customHeight="1" x14ac:dyDescent="0.3">
      <c r="A484" s="410" t="s">
        <v>3292</v>
      </c>
      <c r="B484" s="10"/>
      <c r="C484" s="10"/>
      <c r="D484" s="10"/>
      <c r="E484" s="38">
        <f t="shared" si="201"/>
        <v>0</v>
      </c>
      <c r="F484" s="10"/>
      <c r="G484" s="10">
        <v>2622</v>
      </c>
      <c r="H484" s="10"/>
      <c r="I484" s="38">
        <f t="shared" si="202"/>
        <v>2622</v>
      </c>
      <c r="J484" s="10"/>
      <c r="K484" s="10"/>
      <c r="L484" s="10"/>
      <c r="M484" s="38">
        <f t="shared" si="203"/>
        <v>0</v>
      </c>
      <c r="N484" s="10"/>
      <c r="O484" s="10"/>
      <c r="P484" s="10"/>
      <c r="Q484" s="38">
        <f t="shared" si="204"/>
        <v>0</v>
      </c>
      <c r="R484" s="38">
        <f t="shared" si="199"/>
        <v>2622</v>
      </c>
    </row>
    <row r="485" spans="1:21" ht="15.75" customHeight="1" thickBot="1" x14ac:dyDescent="0.35">
      <c r="A485" s="311" t="s">
        <v>2717</v>
      </c>
      <c r="B485" s="10">
        <f>81</f>
        <v>81</v>
      </c>
      <c r="C485" s="10">
        <f>315+189</f>
        <v>504</v>
      </c>
      <c r="D485" s="10">
        <f>595+418</f>
        <v>1013</v>
      </c>
      <c r="E485" s="38">
        <f t="shared" si="201"/>
        <v>1598</v>
      </c>
      <c r="F485" s="10">
        <f>2607+845</f>
        <v>3452</v>
      </c>
      <c r="G485" s="10">
        <f>1227+102+2195</f>
        <v>3524</v>
      </c>
      <c r="H485" s="10">
        <f>601+722+1941</f>
        <v>3264</v>
      </c>
      <c r="I485" s="38">
        <f t="shared" si="202"/>
        <v>10240</v>
      </c>
      <c r="J485" s="10">
        <f>194+612+1356</f>
        <v>2162</v>
      </c>
      <c r="K485" s="10">
        <f>3000</f>
        <v>3000</v>
      </c>
      <c r="L485" s="10">
        <f>635+2257</f>
        <v>2892</v>
      </c>
      <c r="M485" s="38">
        <f t="shared" si="203"/>
        <v>8054</v>
      </c>
      <c r="N485" s="10">
        <v>2770</v>
      </c>
      <c r="O485" s="10">
        <v>2338</v>
      </c>
      <c r="P485" s="10"/>
      <c r="Q485" s="38">
        <f t="shared" si="204"/>
        <v>5108</v>
      </c>
      <c r="R485" s="38">
        <f t="shared" si="199"/>
        <v>25000</v>
      </c>
    </row>
    <row r="486" spans="1:21" ht="16.5" customHeight="1" thickBot="1" x14ac:dyDescent="0.35">
      <c r="A486" s="277" t="s">
        <v>1220</v>
      </c>
      <c r="B486" s="47">
        <f>SUM(B413:B485)</f>
        <v>10990</v>
      </c>
      <c r="C486" s="42">
        <f>SUM(C413:C485)</f>
        <v>14094</v>
      </c>
      <c r="D486" s="42">
        <f>SUM(D413:D485)</f>
        <v>21256</v>
      </c>
      <c r="E486" s="37">
        <f t="shared" ref="E486" si="242">SUM(B486:D486)</f>
        <v>46340</v>
      </c>
      <c r="F486" s="42">
        <f>SUM(F413:F485)</f>
        <v>32067</v>
      </c>
      <c r="G486" s="42">
        <f>SUM(G413:G485)</f>
        <v>48847</v>
      </c>
      <c r="H486" s="42">
        <f>SUM(H413:H485)</f>
        <v>45512</v>
      </c>
      <c r="I486" s="37">
        <f t="shared" ref="I486" si="243">SUM(F486:H486)</f>
        <v>126426</v>
      </c>
      <c r="J486" s="42">
        <f>SUM(J413:J485)</f>
        <v>35590</v>
      </c>
      <c r="K486" s="42">
        <f>SUM(K413:K485)</f>
        <v>37521</v>
      </c>
      <c r="L486" s="42">
        <f>SUM(L413:L485)</f>
        <v>26670</v>
      </c>
      <c r="M486" s="37">
        <f t="shared" ref="M486" si="244">SUM(J486:L486)</f>
        <v>99781</v>
      </c>
      <c r="N486" s="42">
        <f>SUM(N413:N485)</f>
        <v>18013</v>
      </c>
      <c r="O486" s="42">
        <f>SUM(O413:O485)</f>
        <v>9027</v>
      </c>
      <c r="P486" s="42">
        <f>SUM(P413:P485)</f>
        <v>8430</v>
      </c>
      <c r="Q486" s="37">
        <f t="shared" si="204"/>
        <v>35470</v>
      </c>
      <c r="R486" s="37">
        <f>+E486+I486+M486+Q486</f>
        <v>308017</v>
      </c>
      <c r="T486" s="230"/>
    </row>
    <row r="487" spans="1:21" ht="15.75" customHeight="1" x14ac:dyDescent="0.3">
      <c r="A487" s="234" t="s">
        <v>1712</v>
      </c>
      <c r="B487" s="10"/>
      <c r="C487" s="10"/>
      <c r="D487" s="10"/>
      <c r="E487" s="38" t="s">
        <v>852</v>
      </c>
      <c r="F487" s="10"/>
      <c r="G487" s="10"/>
      <c r="H487" s="10"/>
      <c r="I487" s="38" t="s">
        <v>852</v>
      </c>
      <c r="J487" s="10"/>
      <c r="K487" s="10"/>
      <c r="L487" s="10"/>
      <c r="M487" s="38" t="s">
        <v>852</v>
      </c>
      <c r="N487" s="10"/>
      <c r="O487" s="10"/>
      <c r="P487" s="10"/>
      <c r="Q487" s="38" t="s">
        <v>852</v>
      </c>
      <c r="R487" s="38" t="s">
        <v>852</v>
      </c>
    </row>
    <row r="488" spans="1:21" ht="15.75" customHeight="1" x14ac:dyDescent="0.3">
      <c r="A488" s="234" t="s">
        <v>1021</v>
      </c>
      <c r="B488" s="10"/>
      <c r="C488" s="10"/>
      <c r="D488" s="10"/>
      <c r="E488" s="38" t="s">
        <v>852</v>
      </c>
      <c r="F488" s="10"/>
      <c r="G488" s="10"/>
      <c r="H488" s="10"/>
      <c r="I488" s="38" t="s">
        <v>852</v>
      </c>
      <c r="J488" s="10"/>
      <c r="K488" s="10"/>
      <c r="L488" s="10"/>
      <c r="M488" s="38" t="s">
        <v>852</v>
      </c>
      <c r="N488" s="10"/>
      <c r="O488" s="10"/>
      <c r="P488" s="10"/>
      <c r="Q488" s="38" t="s">
        <v>852</v>
      </c>
      <c r="R488" s="38" t="s">
        <v>852</v>
      </c>
    </row>
    <row r="489" spans="1:21" ht="15.75" customHeight="1" x14ac:dyDescent="0.3">
      <c r="A489" s="410" t="s">
        <v>3260</v>
      </c>
      <c r="B489" s="10"/>
      <c r="C489" s="10"/>
      <c r="D489" s="10"/>
      <c r="E489" s="38">
        <f>SUM(B489:D489)</f>
        <v>0</v>
      </c>
      <c r="F489" s="10"/>
      <c r="G489" s="10"/>
      <c r="H489" s="10"/>
      <c r="I489" s="38">
        <f>SUM(F489:H489)</f>
        <v>0</v>
      </c>
      <c r="J489" s="10"/>
      <c r="K489" s="10"/>
      <c r="L489" s="10"/>
      <c r="M489" s="38">
        <f>SUM(J489:L489)</f>
        <v>0</v>
      </c>
      <c r="N489" s="10"/>
      <c r="O489" s="10"/>
      <c r="P489" s="10"/>
      <c r="Q489" s="38">
        <f>SUM(N489:P489)</f>
        <v>0</v>
      </c>
      <c r="R489" s="38">
        <f>+E489+I489+M489+Q489</f>
        <v>0</v>
      </c>
      <c r="U489" s="707"/>
    </row>
    <row r="490" spans="1:21" ht="15.75" customHeight="1" x14ac:dyDescent="0.3">
      <c r="A490" s="234" t="s">
        <v>557</v>
      </c>
      <c r="B490" s="10"/>
      <c r="C490" s="10"/>
      <c r="D490" s="10"/>
      <c r="E490" s="38" t="s">
        <v>852</v>
      </c>
      <c r="F490" s="10"/>
      <c r="G490" s="10"/>
      <c r="H490" s="10"/>
      <c r="I490" s="38" t="s">
        <v>852</v>
      </c>
      <c r="J490" s="10"/>
      <c r="K490" s="10"/>
      <c r="L490" s="10"/>
      <c r="M490" s="38" t="s">
        <v>852</v>
      </c>
      <c r="N490" s="10"/>
      <c r="O490" s="10"/>
      <c r="P490" s="10"/>
      <c r="Q490" s="38" t="s">
        <v>852</v>
      </c>
      <c r="R490" s="38" t="s">
        <v>852</v>
      </c>
    </row>
    <row r="491" spans="1:21" ht="15.75" customHeight="1" x14ac:dyDescent="0.3">
      <c r="A491" s="410" t="s">
        <v>2566</v>
      </c>
      <c r="B491" s="10"/>
      <c r="C491" s="10"/>
      <c r="D491" s="10"/>
      <c r="E491" s="38">
        <f>SUM(B491:D491)</f>
        <v>0</v>
      </c>
      <c r="F491" s="10"/>
      <c r="G491" s="10"/>
      <c r="H491" s="10"/>
      <c r="I491" s="38">
        <f>SUM(F491:H491)</f>
        <v>0</v>
      </c>
      <c r="J491" s="10"/>
      <c r="K491" s="10"/>
      <c r="L491" s="10"/>
      <c r="M491" s="38">
        <f>SUM(J491:L491)</f>
        <v>0</v>
      </c>
      <c r="N491" s="10"/>
      <c r="O491" s="10"/>
      <c r="P491" s="10"/>
      <c r="Q491" s="38">
        <f>SUM(N491:P491)</f>
        <v>0</v>
      </c>
      <c r="R491" s="38">
        <f>+E491+I491+M491+Q491</f>
        <v>0</v>
      </c>
    </row>
    <row r="492" spans="1:21" ht="15.75" customHeight="1" x14ac:dyDescent="0.3">
      <c r="A492" s="410" t="s">
        <v>2657</v>
      </c>
      <c r="B492" s="10"/>
      <c r="C492" s="10"/>
      <c r="D492" s="10"/>
      <c r="E492" s="38">
        <f>SUM(B492:D492)</f>
        <v>0</v>
      </c>
      <c r="F492" s="10"/>
      <c r="G492" s="10"/>
      <c r="H492" s="10"/>
      <c r="I492" s="38">
        <f>SUM(F492:H492)</f>
        <v>0</v>
      </c>
      <c r="J492" s="10"/>
      <c r="K492" s="10"/>
      <c r="L492" s="10"/>
      <c r="M492" s="38">
        <f>SUM(J492:L492)</f>
        <v>0</v>
      </c>
      <c r="N492" s="10"/>
      <c r="O492" s="10"/>
      <c r="P492" s="10"/>
      <c r="Q492" s="38">
        <f>SUM(N492:P492)</f>
        <v>0</v>
      </c>
      <c r="R492" s="38">
        <f>+E492+I492+M492+Q492</f>
        <v>0</v>
      </c>
    </row>
    <row r="493" spans="1:21" ht="15.75" customHeight="1" x14ac:dyDescent="0.3">
      <c r="A493" s="234" t="s">
        <v>1022</v>
      </c>
      <c r="B493" s="10"/>
      <c r="C493" s="10"/>
      <c r="D493" s="10"/>
      <c r="E493" s="38" t="s">
        <v>852</v>
      </c>
      <c r="F493" s="10"/>
      <c r="G493" s="10"/>
      <c r="H493" s="10"/>
      <c r="I493" s="38" t="s">
        <v>852</v>
      </c>
      <c r="J493" s="10"/>
      <c r="K493" s="10"/>
      <c r="L493" s="10"/>
      <c r="M493" s="38" t="s">
        <v>852</v>
      </c>
      <c r="N493" s="10"/>
      <c r="O493" s="10"/>
      <c r="P493" s="10"/>
      <c r="Q493" s="38" t="s">
        <v>852</v>
      </c>
      <c r="R493" s="38" t="s">
        <v>852</v>
      </c>
    </row>
    <row r="494" spans="1:21" ht="15.75" customHeight="1" x14ac:dyDescent="0.3">
      <c r="A494" s="311" t="s">
        <v>2486</v>
      </c>
      <c r="B494" s="10"/>
      <c r="C494" s="10"/>
      <c r="D494" s="10"/>
      <c r="E494" s="38">
        <f t="shared" ref="E494:E499" si="245">SUM(B494:D494)</f>
        <v>0</v>
      </c>
      <c r="F494" s="10"/>
      <c r="G494" s="10"/>
      <c r="H494" s="10"/>
      <c r="I494" s="38">
        <f t="shared" ref="I494:I499" si="246">SUM(F494:H494)</f>
        <v>0</v>
      </c>
      <c r="J494" s="10"/>
      <c r="K494" s="10"/>
      <c r="L494" s="10"/>
      <c r="M494" s="38">
        <f t="shared" ref="M494:M499" si="247">SUM(J494:L494)</f>
        <v>0</v>
      </c>
      <c r="N494" s="10"/>
      <c r="O494" s="10"/>
      <c r="P494" s="10"/>
      <c r="Q494" s="38">
        <f t="shared" ref="Q494:Q499" si="248">SUM(N494:P494)</f>
        <v>0</v>
      </c>
      <c r="R494" s="38">
        <f t="shared" ref="R494:R499" si="249">+E494+I494+M494+Q494</f>
        <v>0</v>
      </c>
      <c r="T494" t="s">
        <v>2178</v>
      </c>
    </row>
    <row r="495" spans="1:21" ht="15.75" customHeight="1" x14ac:dyDescent="0.3">
      <c r="A495" s="311" t="s">
        <v>1374</v>
      </c>
      <c r="B495" s="10"/>
      <c r="C495" s="10"/>
      <c r="D495" s="10"/>
      <c r="E495" s="38">
        <f t="shared" ref="E495" si="250">SUM(B495:D495)</f>
        <v>0</v>
      </c>
      <c r="F495" s="10"/>
      <c r="G495" s="10"/>
      <c r="H495" s="10"/>
      <c r="I495" s="38">
        <f t="shared" si="246"/>
        <v>0</v>
      </c>
      <c r="J495" s="10"/>
      <c r="K495" s="10"/>
      <c r="L495" s="10"/>
      <c r="M495" s="38">
        <f t="shared" si="247"/>
        <v>0</v>
      </c>
      <c r="N495" s="10"/>
      <c r="O495" s="10"/>
      <c r="P495" s="10"/>
      <c r="Q495" s="38">
        <f t="shared" si="248"/>
        <v>0</v>
      </c>
      <c r="R495" s="38">
        <f t="shared" si="249"/>
        <v>0</v>
      </c>
      <c r="T495" t="s">
        <v>2178</v>
      </c>
    </row>
    <row r="496" spans="1:21" ht="15.75" customHeight="1" x14ac:dyDescent="0.3">
      <c r="A496" s="410" t="s">
        <v>3261</v>
      </c>
      <c r="B496" s="10"/>
      <c r="C496" s="10"/>
      <c r="D496" s="10"/>
      <c r="E496" s="38">
        <f t="shared" si="245"/>
        <v>0</v>
      </c>
      <c r="F496" s="10"/>
      <c r="G496" s="10"/>
      <c r="H496" s="10"/>
      <c r="I496" s="38">
        <f t="shared" si="246"/>
        <v>0</v>
      </c>
      <c r="J496" s="10"/>
      <c r="K496" s="10"/>
      <c r="L496" s="10"/>
      <c r="M496" s="38">
        <f t="shared" si="247"/>
        <v>0</v>
      </c>
      <c r="N496" s="10"/>
      <c r="O496" s="10"/>
      <c r="P496" s="10"/>
      <c r="Q496" s="38">
        <f t="shared" si="248"/>
        <v>0</v>
      </c>
      <c r="R496" s="38">
        <f t="shared" si="249"/>
        <v>0</v>
      </c>
      <c r="T496" t="s">
        <v>2175</v>
      </c>
    </row>
    <row r="497" spans="1:21" ht="15.75" customHeight="1" x14ac:dyDescent="0.3">
      <c r="A497" s="410" t="s">
        <v>3262</v>
      </c>
      <c r="B497" s="10"/>
      <c r="C497" s="10"/>
      <c r="D497" s="10"/>
      <c r="E497" s="38">
        <f t="shared" si="245"/>
        <v>0</v>
      </c>
      <c r="F497" s="10"/>
      <c r="G497" s="10"/>
      <c r="H497" s="10"/>
      <c r="I497" s="38">
        <f t="shared" si="246"/>
        <v>0</v>
      </c>
      <c r="J497" s="10"/>
      <c r="K497" s="10"/>
      <c r="L497" s="10"/>
      <c r="M497" s="38">
        <f t="shared" si="247"/>
        <v>0</v>
      </c>
      <c r="N497" s="10"/>
      <c r="O497" s="10"/>
      <c r="P497" s="10"/>
      <c r="Q497" s="38">
        <f t="shared" si="248"/>
        <v>0</v>
      </c>
      <c r="R497" s="38">
        <f t="shared" si="249"/>
        <v>0</v>
      </c>
    </row>
    <row r="498" spans="1:21" ht="15.75" customHeight="1" x14ac:dyDescent="0.3">
      <c r="A498" s="311" t="s">
        <v>1376</v>
      </c>
      <c r="B498" s="10"/>
      <c r="C498" s="10"/>
      <c r="D498" s="10"/>
      <c r="E498" s="38">
        <f t="shared" si="245"/>
        <v>0</v>
      </c>
      <c r="F498" s="10"/>
      <c r="G498" s="10"/>
      <c r="H498" s="10"/>
      <c r="I498" s="38">
        <f t="shared" si="246"/>
        <v>0</v>
      </c>
      <c r="J498" s="10"/>
      <c r="K498" s="10"/>
      <c r="L498" s="10"/>
      <c r="M498" s="38">
        <f t="shared" si="247"/>
        <v>0</v>
      </c>
      <c r="N498" s="10"/>
      <c r="O498" s="10"/>
      <c r="P498" s="10"/>
      <c r="Q498" s="38">
        <f t="shared" si="248"/>
        <v>0</v>
      </c>
      <c r="R498" s="38">
        <f t="shared" si="249"/>
        <v>0</v>
      </c>
    </row>
    <row r="499" spans="1:21" ht="15.75" customHeight="1" x14ac:dyDescent="0.3">
      <c r="A499" s="311" t="s">
        <v>1227</v>
      </c>
      <c r="B499" s="10"/>
      <c r="C499" s="10"/>
      <c r="D499" s="10"/>
      <c r="E499" s="38">
        <f t="shared" si="245"/>
        <v>0</v>
      </c>
      <c r="F499" s="10"/>
      <c r="G499" s="10"/>
      <c r="H499" s="10"/>
      <c r="I499" s="38">
        <f t="shared" si="246"/>
        <v>0</v>
      </c>
      <c r="J499" s="10"/>
      <c r="K499" s="10"/>
      <c r="L499" s="10"/>
      <c r="M499" s="38">
        <f t="shared" si="247"/>
        <v>0</v>
      </c>
      <c r="N499" s="10"/>
      <c r="O499" s="10"/>
      <c r="P499" s="10"/>
      <c r="Q499" s="38">
        <f t="shared" si="248"/>
        <v>0</v>
      </c>
      <c r="R499" s="38">
        <f t="shared" si="249"/>
        <v>0</v>
      </c>
      <c r="T499" t="s">
        <v>2178</v>
      </c>
    </row>
    <row r="500" spans="1:21" ht="15.75" customHeight="1" x14ac:dyDescent="0.3">
      <c r="A500" s="234" t="s">
        <v>559</v>
      </c>
      <c r="B500" s="10"/>
      <c r="C500" s="10"/>
      <c r="D500" s="10"/>
      <c r="E500" s="38" t="s">
        <v>852</v>
      </c>
      <c r="F500" s="10"/>
      <c r="G500" s="10"/>
      <c r="H500" s="10"/>
      <c r="I500" s="38" t="s">
        <v>852</v>
      </c>
      <c r="J500" s="10"/>
      <c r="K500" s="10"/>
      <c r="L500" s="10"/>
      <c r="M500" s="38" t="s">
        <v>852</v>
      </c>
      <c r="N500" s="10"/>
      <c r="O500" s="10"/>
      <c r="P500" s="10"/>
      <c r="Q500" s="38" t="s">
        <v>852</v>
      </c>
      <c r="R500" s="38" t="s">
        <v>852</v>
      </c>
    </row>
    <row r="501" spans="1:21" ht="15.75" customHeight="1" x14ac:dyDescent="0.3">
      <c r="A501" s="410" t="s">
        <v>2936</v>
      </c>
      <c r="B501" s="10"/>
      <c r="C501" s="10"/>
      <c r="D501" s="10"/>
      <c r="E501" s="38">
        <f>SUM(B501:D501)</f>
        <v>0</v>
      </c>
      <c r="F501" s="10"/>
      <c r="G501" s="10"/>
      <c r="H501" s="10"/>
      <c r="I501" s="38">
        <f>SUM(F501:H501)</f>
        <v>0</v>
      </c>
      <c r="J501" s="10"/>
      <c r="K501" s="10"/>
      <c r="L501" s="10"/>
      <c r="M501" s="38">
        <f>SUM(J501:L501)</f>
        <v>0</v>
      </c>
      <c r="N501" s="10"/>
      <c r="O501" s="10"/>
      <c r="P501" s="10"/>
      <c r="Q501" s="38">
        <f>SUM(N501:P501)</f>
        <v>0</v>
      </c>
      <c r="R501" s="38">
        <f>+E501+I501+M501+Q501</f>
        <v>0</v>
      </c>
      <c r="T501" t="s">
        <v>2174</v>
      </c>
    </row>
    <row r="502" spans="1:21" ht="15.75" customHeight="1" x14ac:dyDescent="0.3">
      <c r="A502" s="410" t="s">
        <v>2832</v>
      </c>
      <c r="B502" s="10"/>
      <c r="C502" s="10"/>
      <c r="D502" s="10"/>
      <c r="E502" s="38">
        <f>SUM(B502:D502)</f>
        <v>0</v>
      </c>
      <c r="F502" s="10"/>
      <c r="G502" s="10"/>
      <c r="H502" s="10"/>
      <c r="I502" s="38">
        <f>SUM(F502:H502)</f>
        <v>0</v>
      </c>
      <c r="J502" s="10"/>
      <c r="K502" s="10"/>
      <c r="L502" s="10"/>
      <c r="M502" s="38">
        <f>SUM(J502:L502)</f>
        <v>0</v>
      </c>
      <c r="N502" s="10"/>
      <c r="O502" s="10"/>
      <c r="P502" s="10"/>
      <c r="Q502" s="38">
        <f>SUM(N502:P502)</f>
        <v>0</v>
      </c>
      <c r="R502" s="38">
        <f>+E502+I502+M502+Q502</f>
        <v>0</v>
      </c>
      <c r="T502" t="s">
        <v>2174</v>
      </c>
    </row>
    <row r="503" spans="1:21" ht="15.75" customHeight="1" x14ac:dyDescent="0.3">
      <c r="A503" s="410" t="s">
        <v>3225</v>
      </c>
      <c r="B503" s="10"/>
      <c r="C503" s="10"/>
      <c r="D503" s="10"/>
      <c r="E503" s="38">
        <f>SUM(B503:D503)</f>
        <v>0</v>
      </c>
      <c r="F503" s="10"/>
      <c r="G503" s="10"/>
      <c r="H503" s="10"/>
      <c r="I503" s="38">
        <f>SUM(F503:H503)</f>
        <v>0</v>
      </c>
      <c r="J503" s="10"/>
      <c r="K503" s="10"/>
      <c r="L503" s="10"/>
      <c r="M503" s="38">
        <f>SUM(J503:L503)</f>
        <v>0</v>
      </c>
      <c r="N503" s="10"/>
      <c r="O503" s="10"/>
      <c r="P503" s="10"/>
      <c r="Q503" s="38">
        <f>SUM(N503:P503)</f>
        <v>0</v>
      </c>
      <c r="R503" s="38">
        <f>+E503+I503+M503+Q503</f>
        <v>0</v>
      </c>
    </row>
    <row r="504" spans="1:21" ht="15.75" customHeight="1" x14ac:dyDescent="0.3">
      <c r="A504" s="410" t="s">
        <v>2569</v>
      </c>
      <c r="B504" s="10"/>
      <c r="C504" s="10"/>
      <c r="D504" s="10"/>
      <c r="E504" s="38">
        <f>SUM(B504:D504)</f>
        <v>0</v>
      </c>
      <c r="F504" s="10"/>
      <c r="G504" s="10"/>
      <c r="H504" s="10"/>
      <c r="I504" s="38">
        <f>SUM(F504:H504)</f>
        <v>0</v>
      </c>
      <c r="J504" s="10"/>
      <c r="K504" s="10"/>
      <c r="L504" s="10"/>
      <c r="M504" s="38">
        <f>SUM(J504:L504)</f>
        <v>0</v>
      </c>
      <c r="N504" s="10"/>
      <c r="O504" s="10"/>
      <c r="P504" s="10"/>
      <c r="Q504" s="38">
        <f>SUM(N504:P504)</f>
        <v>0</v>
      </c>
      <c r="R504" s="38">
        <f>+E504+I504+M504+Q504</f>
        <v>0</v>
      </c>
    </row>
    <row r="505" spans="1:21" ht="15.75" customHeight="1" x14ac:dyDescent="0.3">
      <c r="A505" s="410" t="s">
        <v>2570</v>
      </c>
      <c r="B505" s="10"/>
      <c r="C505" s="10"/>
      <c r="D505" s="10"/>
      <c r="E505" s="38">
        <f t="shared" ref="E505" si="251">SUM(B505:D505)</f>
        <v>0</v>
      </c>
      <c r="F505" s="10"/>
      <c r="G505" s="10"/>
      <c r="H505" s="10"/>
      <c r="I505" s="38">
        <f t="shared" ref="I505" si="252">SUM(F505:H505)</f>
        <v>0</v>
      </c>
      <c r="J505" s="10">
        <v>1272</v>
      </c>
      <c r="K505" s="10">
        <v>332</v>
      </c>
      <c r="L505" s="10"/>
      <c r="M505" s="38">
        <f t="shared" ref="M505" si="253">SUM(J505:L505)</f>
        <v>1604</v>
      </c>
      <c r="N505" s="10">
        <v>1396</v>
      </c>
      <c r="O505" s="10"/>
      <c r="P505" s="10"/>
      <c r="Q505" s="38">
        <f t="shared" ref="Q505:Q516" si="254">SUM(N505:P505)</f>
        <v>1396</v>
      </c>
      <c r="R505" s="38">
        <f t="shared" ref="R505:R516" si="255">+E505+I505+M505+Q505</f>
        <v>3000</v>
      </c>
    </row>
    <row r="506" spans="1:21" ht="15.75" customHeight="1" x14ac:dyDescent="0.3">
      <c r="A506" s="410" t="s">
        <v>2571</v>
      </c>
      <c r="B506" s="10"/>
      <c r="C506" s="10"/>
      <c r="D506" s="10"/>
      <c r="E506" s="38">
        <f>SUM(B506:D506)</f>
        <v>0</v>
      </c>
      <c r="F506" s="10"/>
      <c r="G506" s="10"/>
      <c r="H506" s="10"/>
      <c r="I506" s="38">
        <f>SUM(F506:H506)</f>
        <v>0</v>
      </c>
      <c r="J506" s="10"/>
      <c r="K506" s="10"/>
      <c r="L506" s="10"/>
      <c r="M506" s="38">
        <f>SUM(J506:L506)</f>
        <v>0</v>
      </c>
      <c r="N506" s="10"/>
      <c r="O506" s="10"/>
      <c r="P506" s="10"/>
      <c r="Q506" s="38">
        <f>SUM(N506:P506)</f>
        <v>0</v>
      </c>
      <c r="R506" s="38">
        <f>+E506+I506+M506+Q506</f>
        <v>0</v>
      </c>
    </row>
    <row r="507" spans="1:21" ht="15.75" customHeight="1" x14ac:dyDescent="0.3">
      <c r="A507" s="410" t="s">
        <v>2572</v>
      </c>
      <c r="B507" s="10"/>
      <c r="C507" s="10"/>
      <c r="D507" s="10"/>
      <c r="E507" s="38">
        <f>SUM(B507:D507)</f>
        <v>0</v>
      </c>
      <c r="F507" s="10"/>
      <c r="G507" s="10"/>
      <c r="H507" s="10"/>
      <c r="I507" s="38">
        <f>SUM(F507:H507)</f>
        <v>0</v>
      </c>
      <c r="J507" s="10"/>
      <c r="K507" s="10">
        <v>1500</v>
      </c>
      <c r="L507" s="10">
        <v>1500</v>
      </c>
      <c r="M507" s="38">
        <f>SUM(J507:L507)</f>
        <v>3000</v>
      </c>
      <c r="N507" s="10">
        <v>1500</v>
      </c>
      <c r="O507" s="10"/>
      <c r="P507" s="10"/>
      <c r="Q507" s="38">
        <f>SUM(N507:P507)</f>
        <v>1500</v>
      </c>
      <c r="R507" s="38">
        <f>+E507+I507+M507+Q507</f>
        <v>4500</v>
      </c>
      <c r="T507" t="s">
        <v>2174</v>
      </c>
      <c r="U507" s="707"/>
    </row>
    <row r="508" spans="1:21" ht="15.75" customHeight="1" x14ac:dyDescent="0.3">
      <c r="A508" s="410" t="s">
        <v>2573</v>
      </c>
      <c r="B508" s="10"/>
      <c r="C508" s="10"/>
      <c r="D508" s="10"/>
      <c r="E508" s="38">
        <f>SUM(B508:D508)</f>
        <v>0</v>
      </c>
      <c r="F508" s="10"/>
      <c r="G508" s="10"/>
      <c r="H508" s="10"/>
      <c r="I508" s="38">
        <f>SUM(F508:H508)</f>
        <v>0</v>
      </c>
      <c r="J508" s="10"/>
      <c r="K508" s="10"/>
      <c r="L508" s="10"/>
      <c r="M508" s="38">
        <f>SUM(J508:L508)</f>
        <v>0</v>
      </c>
      <c r="N508" s="10"/>
      <c r="O508" s="10"/>
      <c r="P508" s="10"/>
      <c r="Q508" s="38">
        <f>SUM(N508:P508)</f>
        <v>0</v>
      </c>
      <c r="R508" s="38">
        <f>+E508+I508+M508+Q508</f>
        <v>0</v>
      </c>
    </row>
    <row r="509" spans="1:21" ht="15.75" customHeight="1" x14ac:dyDescent="0.3">
      <c r="A509" s="410" t="s">
        <v>3226</v>
      </c>
      <c r="B509" s="10"/>
      <c r="C509" s="10"/>
      <c r="D509" s="10"/>
      <c r="E509" s="38">
        <f>SUM(B509:D509)</f>
        <v>0</v>
      </c>
      <c r="F509" s="10"/>
      <c r="G509" s="10"/>
      <c r="H509" s="10"/>
      <c r="I509" s="38">
        <f>SUM(F509:H509)</f>
        <v>0</v>
      </c>
      <c r="J509" s="10"/>
      <c r="K509" s="10"/>
      <c r="L509" s="10"/>
      <c r="M509" s="38">
        <f>SUM(J509:L509)</f>
        <v>0</v>
      </c>
      <c r="N509" s="10"/>
      <c r="O509" s="10"/>
      <c r="P509" s="10"/>
      <c r="Q509" s="38">
        <f>SUM(N509:P509)</f>
        <v>0</v>
      </c>
      <c r="R509" s="38">
        <f>+E509+I509+M509+Q509</f>
        <v>0</v>
      </c>
      <c r="T509" t="s">
        <v>2175</v>
      </c>
    </row>
    <row r="510" spans="1:21" ht="15.75" customHeight="1" thickBot="1" x14ac:dyDescent="0.35">
      <c r="A510" s="410" t="s">
        <v>2574</v>
      </c>
      <c r="B510" s="10"/>
      <c r="C510" s="10"/>
      <c r="D510" s="10"/>
      <c r="E510" s="38">
        <f>SUM(B510:D510)</f>
        <v>0</v>
      </c>
      <c r="F510" s="10"/>
      <c r="G510" s="10"/>
      <c r="H510" s="10"/>
      <c r="I510" s="38">
        <f>SUM(F510:H510)</f>
        <v>0</v>
      </c>
      <c r="J510" s="10"/>
      <c r="K510" s="10"/>
      <c r="L510" s="10"/>
      <c r="M510" s="38">
        <f>SUM(J510:L510)</f>
        <v>0</v>
      </c>
      <c r="N510" s="10"/>
      <c r="O510" s="10"/>
      <c r="P510" s="10"/>
      <c r="Q510" s="38">
        <f>SUM(N510:P510)</f>
        <v>0</v>
      </c>
      <c r="R510" s="38">
        <f>+E510+I510+M510+Q510</f>
        <v>0</v>
      </c>
      <c r="T510" t="s">
        <v>2175</v>
      </c>
    </row>
    <row r="511" spans="1:21" ht="16.5" customHeight="1" thickBot="1" x14ac:dyDescent="0.35">
      <c r="A511" s="43" t="s">
        <v>1019</v>
      </c>
      <c r="B511" s="42">
        <f>SUM(B493:B510)</f>
        <v>0</v>
      </c>
      <c r="C511" s="42">
        <f>SUM(C493:C510)</f>
        <v>0</v>
      </c>
      <c r="D511" s="42">
        <f>SUM(D493:D510)</f>
        <v>0</v>
      </c>
      <c r="E511" s="39">
        <f t="shared" ref="E511:E516" si="256">SUM(B511:D511)</f>
        <v>0</v>
      </c>
      <c r="F511" s="42">
        <f>SUM(F493:F510)</f>
        <v>0</v>
      </c>
      <c r="G511" s="42">
        <f>SUM(G493:G510)</f>
        <v>0</v>
      </c>
      <c r="H511" s="42">
        <f>SUM(H493:H510)</f>
        <v>0</v>
      </c>
      <c r="I511" s="39">
        <f t="shared" ref="I511:I516" si="257">SUM(F511:H511)</f>
        <v>0</v>
      </c>
      <c r="J511" s="42">
        <f>SUM(J493:J510)</f>
        <v>1272</v>
      </c>
      <c r="K511" s="42">
        <f>SUM(K493:K510)</f>
        <v>1832</v>
      </c>
      <c r="L511" s="42">
        <f>SUM(L493:L510)</f>
        <v>1500</v>
      </c>
      <c r="M511" s="39">
        <f t="shared" ref="M511:M516" si="258">SUM(J511:L511)</f>
        <v>4604</v>
      </c>
      <c r="N511" s="42">
        <f>SUM(N493:N510)</f>
        <v>2896</v>
      </c>
      <c r="O511" s="42">
        <f>SUM(O493:O510)</f>
        <v>0</v>
      </c>
      <c r="P511" s="42">
        <f>SUM(P493:P510)</f>
        <v>0</v>
      </c>
      <c r="Q511" s="39">
        <f t="shared" si="254"/>
        <v>2896</v>
      </c>
      <c r="R511" s="37">
        <f t="shared" si="255"/>
        <v>7500</v>
      </c>
    </row>
    <row r="512" spans="1:21" ht="16.5" customHeight="1" thickBot="1" x14ac:dyDescent="0.35">
      <c r="A512" s="277" t="s">
        <v>1221</v>
      </c>
      <c r="B512" s="45">
        <f>SUM(B487:B510)</f>
        <v>0</v>
      </c>
      <c r="C512" s="46">
        <f>SUM(C487:C510)</f>
        <v>0</v>
      </c>
      <c r="D512" s="58">
        <f>SUM(D487:D510)</f>
        <v>0</v>
      </c>
      <c r="E512" s="39">
        <f t="shared" si="256"/>
        <v>0</v>
      </c>
      <c r="F512" s="46">
        <f>SUM(F487:F510)</f>
        <v>0</v>
      </c>
      <c r="G512" s="46">
        <f>SUM(G487:G510)</f>
        <v>0</v>
      </c>
      <c r="H512" s="46">
        <f>SUM(H487:H510)</f>
        <v>0</v>
      </c>
      <c r="I512" s="39">
        <f t="shared" si="257"/>
        <v>0</v>
      </c>
      <c r="J512" s="46">
        <f>SUM(J487:J510)</f>
        <v>1272</v>
      </c>
      <c r="K512" s="46">
        <f>SUM(K487:K510)</f>
        <v>1832</v>
      </c>
      <c r="L512" s="46">
        <f>SUM(L487:L510)</f>
        <v>1500</v>
      </c>
      <c r="M512" s="39">
        <f t="shared" si="258"/>
        <v>4604</v>
      </c>
      <c r="N512" s="46">
        <f>SUM(N487:N510)</f>
        <v>2896</v>
      </c>
      <c r="O512" s="46">
        <f>SUM(O487:O510)</f>
        <v>0</v>
      </c>
      <c r="P512" s="46">
        <f>SUM(P487:P510)</f>
        <v>0</v>
      </c>
      <c r="Q512" s="39">
        <f t="shared" si="254"/>
        <v>2896</v>
      </c>
      <c r="R512" s="37">
        <f t="shared" si="255"/>
        <v>7500</v>
      </c>
    </row>
    <row r="513" spans="1:18" ht="16.5" customHeight="1" thickBot="1" x14ac:dyDescent="0.35">
      <c r="A513" s="43" t="s">
        <v>1222</v>
      </c>
      <c r="B513" s="47">
        <f>+B398+B412+B486+B512</f>
        <v>15112</v>
      </c>
      <c r="C513" s="42">
        <f>+C398+C412+C486+C512</f>
        <v>24202</v>
      </c>
      <c r="D513" s="42">
        <f>+D398+D412+D486+D512</f>
        <v>34044</v>
      </c>
      <c r="E513" s="37">
        <f t="shared" si="256"/>
        <v>73358</v>
      </c>
      <c r="F513" s="42">
        <f>+F398+F412+F486+F512</f>
        <v>56127</v>
      </c>
      <c r="G513" s="42">
        <f>+G398+G412+G486+G512</f>
        <v>82132</v>
      </c>
      <c r="H513" s="42">
        <f>+H398+H412+H486+H512</f>
        <v>90993</v>
      </c>
      <c r="I513" s="37">
        <f t="shared" si="257"/>
        <v>229252</v>
      </c>
      <c r="J513" s="42">
        <f>+J398+J412+J486+J512</f>
        <v>76785</v>
      </c>
      <c r="K513" s="42">
        <f>+K398+K412+K486+K512</f>
        <v>65017</v>
      </c>
      <c r="L513" s="42">
        <f>+L398+L412+L486+L512</f>
        <v>37280</v>
      </c>
      <c r="M513" s="37">
        <f t="shared" si="258"/>
        <v>179082</v>
      </c>
      <c r="N513" s="42">
        <f>+N398+N412+N486+N512</f>
        <v>34920</v>
      </c>
      <c r="O513" s="42">
        <f>+O398+O412+O486+O512</f>
        <v>20750</v>
      </c>
      <c r="P513" s="42">
        <f>+P398+P412+P486+P512</f>
        <v>20457</v>
      </c>
      <c r="Q513" s="37">
        <f t="shared" si="254"/>
        <v>76127</v>
      </c>
      <c r="R513" s="40">
        <f t="shared" si="255"/>
        <v>557819</v>
      </c>
    </row>
    <row r="514" spans="1:18" ht="15.75" customHeight="1" x14ac:dyDescent="0.3">
      <c r="A514" s="539" t="s">
        <v>2273</v>
      </c>
      <c r="B514" s="10"/>
      <c r="C514" s="10"/>
      <c r="D514" s="10"/>
      <c r="E514" s="38">
        <f t="shared" si="256"/>
        <v>0</v>
      </c>
      <c r="F514" s="10"/>
      <c r="G514" s="10"/>
      <c r="H514" s="10"/>
      <c r="I514" s="38">
        <f t="shared" si="257"/>
        <v>0</v>
      </c>
      <c r="J514" s="10"/>
      <c r="K514" s="10"/>
      <c r="L514" s="10"/>
      <c r="M514" s="38">
        <f t="shared" si="258"/>
        <v>0</v>
      </c>
      <c r="N514" s="10"/>
      <c r="O514" s="10"/>
      <c r="P514" s="10"/>
      <c r="Q514" s="38">
        <f t="shared" si="254"/>
        <v>0</v>
      </c>
      <c r="R514" s="38">
        <f t="shared" si="255"/>
        <v>0</v>
      </c>
    </row>
    <row r="515" spans="1:18" ht="15.75" customHeight="1" x14ac:dyDescent="0.3">
      <c r="A515" s="539" t="s">
        <v>2274</v>
      </c>
      <c r="B515" s="10"/>
      <c r="C515" s="10"/>
      <c r="D515" s="10"/>
      <c r="E515" s="38">
        <f t="shared" si="256"/>
        <v>0</v>
      </c>
      <c r="F515" s="10"/>
      <c r="G515" s="10"/>
      <c r="H515" s="10"/>
      <c r="I515" s="38">
        <f t="shared" si="257"/>
        <v>0</v>
      </c>
      <c r="J515" s="10"/>
      <c r="K515" s="10"/>
      <c r="L515" s="10"/>
      <c r="M515" s="38">
        <f t="shared" si="258"/>
        <v>0</v>
      </c>
      <c r="N515" s="10"/>
      <c r="O515" s="10"/>
      <c r="P515" s="10"/>
      <c r="Q515" s="38">
        <f t="shared" si="254"/>
        <v>0</v>
      </c>
      <c r="R515" s="38">
        <f t="shared" si="255"/>
        <v>0</v>
      </c>
    </row>
    <row r="516" spans="1:18" ht="16.5" customHeight="1" thickBot="1" x14ac:dyDescent="0.35">
      <c r="A516" s="312" t="s">
        <v>853</v>
      </c>
      <c r="B516" s="294">
        <v>155</v>
      </c>
      <c r="C516" s="294">
        <v>283</v>
      </c>
      <c r="D516" s="294">
        <v>435</v>
      </c>
      <c r="E516" s="40">
        <f t="shared" si="256"/>
        <v>873</v>
      </c>
      <c r="F516" s="294">
        <v>602</v>
      </c>
      <c r="G516" s="294">
        <v>711</v>
      </c>
      <c r="H516" s="294">
        <v>722</v>
      </c>
      <c r="I516" s="40">
        <f t="shared" si="257"/>
        <v>2035</v>
      </c>
      <c r="J516" s="294">
        <v>686</v>
      </c>
      <c r="K516" s="294">
        <v>519</v>
      </c>
      <c r="L516" s="294">
        <v>531</v>
      </c>
      <c r="M516" s="40">
        <f t="shared" si="258"/>
        <v>1736</v>
      </c>
      <c r="N516" s="294">
        <v>489</v>
      </c>
      <c r="O516" s="294">
        <v>389</v>
      </c>
      <c r="P516" s="294">
        <v>275</v>
      </c>
      <c r="Q516" s="40">
        <f t="shared" si="254"/>
        <v>1153</v>
      </c>
      <c r="R516" s="38">
        <f t="shared" si="255"/>
        <v>5797</v>
      </c>
    </row>
    <row r="517" spans="1:18" ht="16.5" customHeight="1" thickBot="1" x14ac:dyDescent="0.35">
      <c r="A517" s="44"/>
      <c r="B517" s="313"/>
      <c r="C517" s="313"/>
      <c r="D517" s="313"/>
      <c r="E517" s="37"/>
      <c r="F517" s="313"/>
      <c r="G517" s="313"/>
      <c r="H517" s="313"/>
      <c r="I517" s="37"/>
      <c r="J517" s="313"/>
      <c r="K517" s="313"/>
      <c r="L517" s="313"/>
      <c r="M517" s="37"/>
      <c r="N517" s="313"/>
      <c r="O517" s="313"/>
      <c r="P517" s="313"/>
      <c r="Q517" s="37"/>
      <c r="R517" s="37" t="s">
        <v>852</v>
      </c>
    </row>
    <row r="518" spans="1:18" ht="15.75" customHeight="1" x14ac:dyDescent="0.3">
      <c r="A518" s="259" t="s">
        <v>2011</v>
      </c>
      <c r="B518" s="741">
        <f>SUM(B513:B516)</f>
        <v>15267</v>
      </c>
      <c r="C518" s="741">
        <f>SUM(C513:C516)</f>
        <v>24485</v>
      </c>
      <c r="D518" s="741">
        <f>SUM(D513:D516)</f>
        <v>34479</v>
      </c>
      <c r="E518" s="39">
        <f>SUM(B518:D518)</f>
        <v>74231</v>
      </c>
      <c r="F518" s="741">
        <f>SUM(F513:F516)</f>
        <v>56729</v>
      </c>
      <c r="G518" s="741">
        <f>SUM(G513:G516)</f>
        <v>82843</v>
      </c>
      <c r="H518" s="741">
        <f>SUM(H513:H516)</f>
        <v>91715</v>
      </c>
      <c r="I518" s="39">
        <f>SUM(F518:H518)</f>
        <v>231287</v>
      </c>
      <c r="J518" s="741">
        <f>SUM(J513:J516)</f>
        <v>77471</v>
      </c>
      <c r="K518" s="741">
        <f>SUM(K513:K516)</f>
        <v>65536</v>
      </c>
      <c r="L518" s="741">
        <f>SUM(L513:L516)</f>
        <v>37811</v>
      </c>
      <c r="M518" s="39">
        <f>SUM(J518:L518)</f>
        <v>180818</v>
      </c>
      <c r="N518" s="741">
        <f>SUM(N513:N516)</f>
        <v>35409</v>
      </c>
      <c r="O518" s="741">
        <f>SUM(O513:O516)</f>
        <v>21139</v>
      </c>
      <c r="P518" s="741">
        <f>SUM(P513:P516)</f>
        <v>20732</v>
      </c>
      <c r="Q518" s="39">
        <f>SUM(N518:P518)</f>
        <v>77280</v>
      </c>
      <c r="R518" s="39">
        <f>+E518+I518+M518+Q518</f>
        <v>563616</v>
      </c>
    </row>
    <row r="519" spans="1:18" ht="15.75" customHeight="1" x14ac:dyDescent="0.3">
      <c r="A519" s="262" t="s">
        <v>1897</v>
      </c>
      <c r="B519" s="10">
        <f>(B518/B10)/1.983</f>
        <v>248.35293543506904</v>
      </c>
      <c r="C519" s="10">
        <f>(C518/C10)/1.983</f>
        <v>425.77425356913068</v>
      </c>
      <c r="D519" s="10">
        <f>(D518/D10)/1.983</f>
        <v>560.88038651115119</v>
      </c>
      <c r="E519" s="38" t="s">
        <v>852</v>
      </c>
      <c r="F519" s="10">
        <f>(F518/F10)/1.983</f>
        <v>953.58883846024537</v>
      </c>
      <c r="G519" s="10">
        <f>(G518/G10)/1.983</f>
        <v>1347.6322938525857</v>
      </c>
      <c r="H519" s="10">
        <f>(H518/H10)/1.983</f>
        <v>1541.6876786014454</v>
      </c>
      <c r="I519" s="38" t="s">
        <v>852</v>
      </c>
      <c r="J519" s="10">
        <f>(J518/J10)/1.983</f>
        <v>1260.2443349112618</v>
      </c>
      <c r="K519" s="10">
        <f>(K518/K10)/1.983</f>
        <v>1066.0940575537227</v>
      </c>
      <c r="L519" s="10">
        <f>(L518/L10)/1.983</f>
        <v>635.58581274163714</v>
      </c>
      <c r="M519" s="38" t="s">
        <v>852</v>
      </c>
      <c r="N519" s="10">
        <f>(N518/N10)/1.983</f>
        <v>576.00897955199844</v>
      </c>
      <c r="O519" s="10">
        <f>(O518/O10)/1.983</f>
        <v>355.33703143385441</v>
      </c>
      <c r="P519" s="10">
        <f>(P518/P10)/1.983</f>
        <v>337.25375368047759</v>
      </c>
      <c r="Q519" s="38" t="s">
        <v>852</v>
      </c>
      <c r="R519" s="38" t="s">
        <v>852</v>
      </c>
    </row>
    <row r="520" spans="1:18" ht="15.75" customHeight="1" x14ac:dyDescent="0.3">
      <c r="A520" s="262" t="s">
        <v>2432</v>
      </c>
      <c r="B520" s="10">
        <f>B518+B571</f>
        <v>29405</v>
      </c>
      <c r="C520" s="10">
        <f>C518+C571</f>
        <v>47525</v>
      </c>
      <c r="D520" s="10">
        <f>D518+D571</f>
        <v>64961</v>
      </c>
      <c r="E520" s="38">
        <f>SUM(B520:D520)</f>
        <v>141891</v>
      </c>
      <c r="F520" s="10">
        <f>F518+F571</f>
        <v>105559</v>
      </c>
      <c r="G520" s="10">
        <f>G518+G571</f>
        <v>126622</v>
      </c>
      <c r="H520" s="10">
        <f>H518+H571</f>
        <v>138214</v>
      </c>
      <c r="I520" s="38">
        <f>SUM(F520:H520)</f>
        <v>370395</v>
      </c>
      <c r="J520" s="10">
        <f>J518+J571</f>
        <v>129776</v>
      </c>
      <c r="K520" s="10">
        <f>K518+K571</f>
        <v>114384</v>
      </c>
      <c r="L520" s="10">
        <f>L518+L571</f>
        <v>74986</v>
      </c>
      <c r="M520" s="38">
        <f>SUM(J520:L520)</f>
        <v>319146</v>
      </c>
      <c r="N520" s="10">
        <f>N518+N571</f>
        <v>53523</v>
      </c>
      <c r="O520" s="10">
        <f>O518+O571</f>
        <v>25394</v>
      </c>
      <c r="P520" s="10">
        <f>P518+P571</f>
        <v>38524</v>
      </c>
      <c r="Q520" s="38">
        <f>SUM(N520:P520)</f>
        <v>117441</v>
      </c>
      <c r="R520" s="38">
        <f>+E520+I520+M520+Q520</f>
        <v>948873</v>
      </c>
    </row>
    <row r="521" spans="1:18" s="574" customFormat="1" ht="16.5" customHeight="1" thickBot="1" x14ac:dyDescent="0.35">
      <c r="A521" s="576" t="s">
        <v>104</v>
      </c>
      <c r="B521" s="744">
        <f>(B520/B10)/1.983</f>
        <v>478.34008426463646</v>
      </c>
      <c r="C521" s="744">
        <f>(C520/C10)/1.983</f>
        <v>826.42113134053238</v>
      </c>
      <c r="D521" s="744">
        <f>(D520/D10)/1.983</f>
        <v>1056.7403575553494</v>
      </c>
      <c r="E521" s="578" t="s">
        <v>852</v>
      </c>
      <c r="F521" s="744">
        <f>(F520/F10)/1.983</f>
        <v>1774.3990586653217</v>
      </c>
      <c r="G521" s="744">
        <f>(G520/G10)/1.983</f>
        <v>2059.7986107722086</v>
      </c>
      <c r="H521" s="744">
        <f>(H520/H10)/1.983</f>
        <v>2323.3148428307277</v>
      </c>
      <c r="I521" s="578" t="s">
        <v>852</v>
      </c>
      <c r="J521" s="744">
        <f>(J520/J10)/1.983</f>
        <v>2111.105688676329</v>
      </c>
      <c r="K521" s="744">
        <f>(K520/K10)/1.983</f>
        <v>1860.7193401981358</v>
      </c>
      <c r="L521" s="744">
        <f>(L520/L10)/1.983</f>
        <v>1260.4807530677424</v>
      </c>
      <c r="M521" s="578" t="s">
        <v>852</v>
      </c>
      <c r="N521" s="744">
        <f>(N520/N10)/1.983</f>
        <v>870.67493045727383</v>
      </c>
      <c r="O521" s="744">
        <f>(O520/O10)/1.983</f>
        <v>426.86165742141537</v>
      </c>
      <c r="P521" s="744">
        <f>(P520/P10)/1.983</f>
        <v>626.68163258666402</v>
      </c>
      <c r="Q521" s="578" t="s">
        <v>852</v>
      </c>
      <c r="R521" s="578" t="s">
        <v>852</v>
      </c>
    </row>
    <row r="522" spans="1:18" ht="15.75" customHeight="1" x14ac:dyDescent="0.3">
      <c r="A522" s="351" t="s">
        <v>1011</v>
      </c>
      <c r="B522" s="352">
        <f>B$523+(SUMIF($T$337:$T$497,"FLG",B$344:B$515)/B10/1.98)+(SUMIF($T$337:$T$497,"FCA",B$344:B$515)/B10/1.98)+(SUMIF($T$337:$T$497,"NSC",B$344:B$515)/B10/1.98)</f>
        <v>284.1578884841781</v>
      </c>
      <c r="C522" s="352">
        <f>C$523+(SUMIF($T$337:$T$497,"FLG",C$344:C$515)/C10/1.98)+(SUMIF($T$337:$T$497,"FCA",C$344:C$515)/C10/1.98)+(SUMIF($T$337:$T$497,"NSC",C$344:C$515)/C10/1.98)</f>
        <v>541.93911044294475</v>
      </c>
      <c r="D522" s="352">
        <f>D$523+(SUMIF($T$337:$T$497,"FLG",D$344:D$515)/D10/1.98)+(SUMIF($T$337:$T$497,"FCA",D$344:D$515)/D10/1.98)+(SUMIF($T$337:$T$497,"NSC",D$344:D$515)/D10/1.98)</f>
        <v>695.85997104419823</v>
      </c>
      <c r="E522" s="329"/>
      <c r="F522" s="352">
        <f>F$523+(SUMIF($T$337:$T$497,"FLG",F$344:F$515)/F10/1.98)+(SUMIF($T$337:$T$497,"FCA",F$344:F$515)/F10/1.98)+(SUMIF($T$337:$T$497,"NSC",F$344:F$515)/F10/1.98)</f>
        <v>1280.7765501714064</v>
      </c>
      <c r="G522" s="352">
        <f>G$523+(SUMIF($T$337:$T$497,"FLG",G$344:G$515)/G10/1.98)+(SUMIF($T$337:$T$497,"FCA",G$344:G$515)/G10/1.98)+(SUMIF($T$337:$T$497,"NSC",G$344:G$515)/G10/1.98)</f>
        <v>1363.4859650134647</v>
      </c>
      <c r="H522" s="352">
        <f>H$523+(SUMIF($T$337:$T$497,"FLG",H$344:H$515)/H10/1.98)+(SUMIF($T$337:$T$497,"FCA",H$344:H$515)/H10/1.98)+(SUMIF($T$337:$T$497,"NSC",H$344:H$515)/H10/1.98)</f>
        <v>1508.6978712999892</v>
      </c>
      <c r="I522" s="350"/>
      <c r="J522" s="352">
        <f>J$523+(SUMIF($T$337:$T$497,"FLG",J$344:J$515)/J10/1.98)+(SUMIF($T$337:$T$497,"FCA",J$344:J$515)/J10/1.98)+(SUMIF($T$337:$T$497,"NSC",J$344:J$515)/J10/1.98)</f>
        <v>1435.0255766389678</v>
      </c>
      <c r="K522" s="352">
        <f>K$523+(SUMIF($T$337:$T$497,"FLG",K$344:K$515)/K10/1.98)+(SUMIF($T$337:$T$497,"FCA",K$344:K$515)/K10/1.98)+(SUMIF($T$337:$T$497,"NSC",K$344:K$515)/K10/1.98)</f>
        <v>1127.3395218102651</v>
      </c>
      <c r="L522" s="352">
        <f>L$523+(SUMIF($T$337:$T$497,"FLG",L$344:L$515)/L10/1.98)+(SUMIF($T$337:$T$497,"FCA",L$344:L$515)/L10/1.98)+(SUMIF($T$337:$T$497,"NSC",L$344:L$515)/L10/1.98)</f>
        <v>753.66598409714902</v>
      </c>
      <c r="M522" s="350"/>
      <c r="N522" s="352">
        <f>N$523+(SUMIF($T$337:$T$497,"FLG",N$344:N$515)/N10/1.98)+(SUMIF($T$337:$T$497,"FCA",N$344:N$515)/N10/1.98)+(SUMIF($T$337:$T$497,"NSC",N$344:N$515)/N10/1.98)</f>
        <v>467.96344194470203</v>
      </c>
      <c r="O522" s="352">
        <f>O$523+(SUMIF($T$337:$T$497,"FLG",O$344:O$515)/O10/1.98)+(SUMIF($T$337:$T$497,"FCA",O$344:O$515)/O10/1.98)+(SUMIF($T$337:$T$497,"NSC",O$344:O$515)/O10/1.98)</f>
        <v>223.14078760372254</v>
      </c>
      <c r="P522" s="352">
        <f>P$523+(SUMIF($T$337:$T$497,"FLG",P$344:P$515)/P10/1.98)+(SUMIF($T$337:$T$497,"FCA",P$344:P$515)/P10/1.98)+(SUMIF($T$337:$T$497,"NSC",P$344:P$515)/P10/1.98)</f>
        <v>430.19034224929493</v>
      </c>
      <c r="Q522" s="350"/>
      <c r="R522" s="350"/>
    </row>
    <row r="523" spans="1:18" ht="15.75" customHeight="1" x14ac:dyDescent="0.3">
      <c r="A523" s="351" t="s">
        <v>1012</v>
      </c>
      <c r="B523" s="352">
        <f>B$524+(SUMIF($T$337:$T$497,"FCI",B$344:B$515)/B10/1.98)+(SUMIF($T$337:$T$497,"FCC",B$344:B$515)/B10/1.98)</f>
        <v>284.1578884841781</v>
      </c>
      <c r="C523" s="352">
        <f>C$524+(SUMIF($T$337:$T$497,"FCI",C$344:C$515)/C10/1.98)+(SUMIF($T$337:$T$497,"FCC",C$344:C$515)/C10/1.98)</f>
        <v>541.93911044294475</v>
      </c>
      <c r="D523" s="352">
        <f>D$524+(SUMIF($T$337:$T$497,"FCI",D$344:D$515)/D10/1.98)+(SUMIF($T$337:$T$497,"FCC",D$344:D$515)/D10/1.98)</f>
        <v>695.85997104419823</v>
      </c>
      <c r="E523" s="329"/>
      <c r="F523" s="352">
        <f>F$524+(SUMIF($T$337:$T$497,"FCI",F$344:F$515)/F10/1.98)+(SUMIF($T$337:$T$497,"FCC",F$344:F$515)/F10/1.98)</f>
        <v>1280.7765501714064</v>
      </c>
      <c r="G523" s="352">
        <f>G$524+(SUMIF($T$337:$T$497,"FCI",G$344:G$515)/G10/1.98)+(SUMIF($T$337:$T$497,"FCC",G$344:G$515)/G10/1.98)</f>
        <v>1363.4859650134647</v>
      </c>
      <c r="H523" s="352">
        <f>H$524+(SUMIF($T$337:$T$497,"FCI",H$344:H$515)/H10/1.98)+(SUMIF($T$337:$T$497,"FCC",H$344:H$515)/H10/1.98)</f>
        <v>1508.6978712999892</v>
      </c>
      <c r="I523" s="350"/>
      <c r="J523" s="352">
        <f>J$524+(SUMIF($T$337:$T$497,"FCI",J$344:J$515)/J10/1.98)+(SUMIF($T$337:$T$497,"FCC",J$344:J$515)/J10/1.98)</f>
        <v>1435.0255766389678</v>
      </c>
      <c r="K523" s="352">
        <f>K$524+(SUMIF($T$337:$T$497,"FCI",K$344:K$515)/K10/1.98)+(SUMIF($T$337:$T$497,"FCC",K$344:K$515)/K10/1.98)</f>
        <v>1127.3395218102651</v>
      </c>
      <c r="L523" s="352">
        <f>L$524+(SUMIF($T$337:$T$497,"FCI",L$344:L$515)/L10/1.98)+(SUMIF($T$337:$T$497,"FCC",L$344:L$515)/L10/1.98)</f>
        <v>753.66598409714902</v>
      </c>
      <c r="M523" s="350"/>
      <c r="N523" s="352">
        <f>N$524+(SUMIF($T$337:$T$497,"FCI",N$344:N$515)/N10/1.98)+(SUMIF($T$337:$T$497,"FCC",N$344:N$515)/N10/1.98)</f>
        <v>467.96344194470203</v>
      </c>
      <c r="O523" s="352">
        <f>O$524+(SUMIF($T$337:$T$497,"FCI",O$344:O$515)/O10/1.98)+(SUMIF($T$337:$T$497,"FCC",O$344:O$515)/O10/1.98)</f>
        <v>223.14078760372254</v>
      </c>
      <c r="P523" s="352">
        <f>P$524+(SUMIF($T$337:$T$497,"FCI",P$344:P$515)/P10/1.98)+(SUMIF($T$337:$T$497,"FCC",P$344:P$515)/P10/1.98)</f>
        <v>430.19034224929493</v>
      </c>
      <c r="Q523" s="350"/>
      <c r="R523" s="350"/>
    </row>
    <row r="524" spans="1:18" ht="15.75" customHeight="1" x14ac:dyDescent="0.3">
      <c r="A524" s="351" t="s">
        <v>1013</v>
      </c>
      <c r="B524" s="352">
        <f>B$525+(SUMIF($T$337:$T$497,"PIL",B$344:B$515)/B10/1.98)+(SUMIF($T$337:$T$497,"KLK",B$344:B$515)/B10/1.98)</f>
        <v>284.1578884841781</v>
      </c>
      <c r="C524" s="352">
        <f>C$525+(SUMIF($T$337:$T$497,"PIL",C$344:C$515)/C10/1.98)+(SUMIF($T$337:$T$497,"KLK",C$344:C$515)/C10/1.98)</f>
        <v>541.93911044294475</v>
      </c>
      <c r="D524" s="352">
        <f>D$525+(SUMIF($T$337:$T$497,"PIL",D$344:D$515)/D10/1.98)+(SUMIF($T$337:$T$497,"KLK",D$344:D$515)/D10/1.98)</f>
        <v>695.85997104419823</v>
      </c>
      <c r="E524" s="329"/>
      <c r="F524" s="352">
        <f>F$525+(SUMIF($T$337:$T$497,"PIL",F$344:F$515)/F10/1.98)+(SUMIF($T$337:$T$497,"KLK",F$344:F$515)/F10/1.98)</f>
        <v>1280.7765501714064</v>
      </c>
      <c r="G524" s="352">
        <f>G$525+(SUMIF($T$337:$T$497,"PIL",G$344:G$515)/G10/1.98)+(SUMIF($T$337:$T$497,"KLK",G$344:G$515)/G10/1.98)</f>
        <v>1363.4859650134647</v>
      </c>
      <c r="H524" s="352">
        <f>H$525+(SUMIF($T$337:$T$497,"PIL",H$344:H$515)/H10/1.98)+(SUMIF($T$337:$T$497,"KLK",H$344:H$515)/H10/1.98)</f>
        <v>1508.6978712999892</v>
      </c>
      <c r="I524" s="350"/>
      <c r="J524" s="352">
        <f>J$525+(SUMIF($T$337:$T$497,"PIL",J$344:J$515)/J10/1.98)+(SUMIF($T$337:$T$497,"KLK",J$344:J$515)/J10/1.98)</f>
        <v>1435.0255766389678</v>
      </c>
      <c r="K524" s="352">
        <f>K$525+(SUMIF($T$337:$T$497,"PIL",K$344:K$515)/K10/1.98)+(SUMIF($T$337:$T$497,"KLK",K$344:K$515)/K10/1.98)</f>
        <v>1127.3395218102651</v>
      </c>
      <c r="L524" s="352">
        <f>L$525+(SUMIF($T$337:$T$497,"PIL",L$344:L$515)/L10/1.98)+(SUMIF($T$337:$T$497,"KLK",L$344:L$515)/L10/1.98)</f>
        <v>753.66598409714902</v>
      </c>
      <c r="M524" s="350"/>
      <c r="N524" s="352">
        <f>N$525+(SUMIF($T$337:$T$497,"PIL",N$344:N$515)/N10/1.98)+(SUMIF($T$337:$T$497,"KLK",N$344:N$515)/N10/1.98)</f>
        <v>467.96344194470203</v>
      </c>
      <c r="O524" s="352">
        <f>O$525+(SUMIF($T$337:$T$497,"PIL",O$344:O$515)/O10/1.98)+(SUMIF($T$337:$T$497,"KLK",O$344:O$515)/O10/1.98)</f>
        <v>223.14078760372254</v>
      </c>
      <c r="P524" s="352">
        <f>P$525+(SUMIF($T$337:$T$497,"PIL",P$344:P$515)/P10/1.98)+(SUMIF($T$337:$T$497,"KLK",P$344:P$515)/P10/1.98)</f>
        <v>430.19034224929493</v>
      </c>
      <c r="Q524" s="350"/>
      <c r="R524" s="350"/>
    </row>
    <row r="525" spans="1:18" ht="15.75" customHeight="1" x14ac:dyDescent="0.3">
      <c r="A525" s="351" t="s">
        <v>1014</v>
      </c>
      <c r="B525" s="352">
        <f>B$526+(SUMIF($T$337:$T$497,"CGE",B$344:B$515)/B10/1.98)</f>
        <v>284.1578884841781</v>
      </c>
      <c r="C525" s="352">
        <f>C$526+(SUMIF($T$337:$T$497,"CGE",C$344:C$515)/C10/1.98)</f>
        <v>541.93911044294475</v>
      </c>
      <c r="D525" s="352">
        <f>D$526+(SUMIF($T$337:$T$497,"CGE",D$344:D$515)/D10/1.98)</f>
        <v>695.85997104419823</v>
      </c>
      <c r="E525" s="329"/>
      <c r="F525" s="352">
        <f>F$526+(SUMIF($T$337:$T$497,"CGE",F$344:F$515)/F10/1.98)</f>
        <v>1280.7765501714064</v>
      </c>
      <c r="G525" s="352">
        <f>G$526+(SUMIF($T$337:$T$497,"CGE",G$344:G$515)/G10/1.98)</f>
        <v>1363.4859650134647</v>
      </c>
      <c r="H525" s="352">
        <f>H$526+(SUMIF($T$337:$T$497,"CGE",H$344:H$515)/H10/1.98)</f>
        <v>1508.6978712999892</v>
      </c>
      <c r="I525" s="350"/>
      <c r="J525" s="352">
        <f>J$526+(SUMIF($T$337:$T$497,"CGE",J$344:J$515)/J10/1.98)</f>
        <v>1434.5856939410205</v>
      </c>
      <c r="K525" s="352">
        <f>K$526+(SUMIF($T$337:$T$497,"CGE",K$344:K$515)/K10/1.98)</f>
        <v>1127.3395218102651</v>
      </c>
      <c r="L525" s="352">
        <f>L$526+(SUMIF($T$337:$T$497,"CGE",L$344:L$515)/L10/1.98)</f>
        <v>731.76362719479209</v>
      </c>
      <c r="M525" s="350"/>
      <c r="N525" s="352">
        <f>N$526+(SUMIF($T$337:$T$497,"CGE",N$344:N$515)/N10/1.98)</f>
        <v>449.24398935428167</v>
      </c>
      <c r="O525" s="352">
        <f>O$526+(SUMIF($T$337:$T$497,"CGE",O$344:O$515)/O10/1.98)</f>
        <v>223.14078760372254</v>
      </c>
      <c r="P525" s="352">
        <f>P$526+(SUMIF($T$337:$T$497,"CGE",P$344:P$515)/P10/1.98)</f>
        <v>430.19034224929493</v>
      </c>
      <c r="Q525" s="350"/>
      <c r="R525" s="350"/>
    </row>
    <row r="526" spans="1:18" ht="15.75" customHeight="1" x14ac:dyDescent="0.3">
      <c r="A526" s="351" t="s">
        <v>1015</v>
      </c>
      <c r="B526" s="352">
        <f>B$527+(SUMIF($T$337:$T$497,"SRO",B$344:B$515)/B10/1.98)</f>
        <v>284.1578884841781</v>
      </c>
      <c r="C526" s="352">
        <f>C$527+(SUMIF($T$337:$T$497,"SRO",C$344:C$515)/C10/1.98)</f>
        <v>541.93911044294475</v>
      </c>
      <c r="D526" s="352">
        <f>D$527+(SUMIF($T$337:$T$497,"SRO",D$344:D$515)/D10/1.98)</f>
        <v>695.85997104419823</v>
      </c>
      <c r="E526" s="329"/>
      <c r="F526" s="352">
        <f>F$527+(SUMIF($T$337:$T$497,"SRO",F$344:F$515)/F10/1.98)</f>
        <v>1280.7765501714064</v>
      </c>
      <c r="G526" s="352">
        <f>G$527+(SUMIF($T$337:$T$497,"SRO",G$344:G$515)/G10/1.98)</f>
        <v>1357.9792853132367</v>
      </c>
      <c r="H526" s="352">
        <f>H$527+(SUMIF($T$337:$T$497,"SRO",H$344:H$515)/H10/1.98)</f>
        <v>1491.8628544649723</v>
      </c>
      <c r="I526" s="350"/>
      <c r="J526" s="352">
        <f>J$527+(SUMIF($T$337:$T$497,"SRO",J$344:J$515)/J10/1.98)</f>
        <v>1406.1399461404339</v>
      </c>
      <c r="K526" s="352">
        <f>K$527+(SUMIF($T$337:$T$497,"SRO",K$344:K$515)/K10/1.98)</f>
        <v>1090.6174625075605</v>
      </c>
      <c r="L526" s="352">
        <f>L$527+(SUMIF($T$337:$T$497,"SRO",L$344:L$515)/L10/1.98)</f>
        <v>723.34611877728366</v>
      </c>
      <c r="M526" s="350"/>
      <c r="N526" s="352">
        <f>N$527+(SUMIF($T$337:$T$497,"SRO",N$344:N$515)/N10/1.98)</f>
        <v>449.24398935428167</v>
      </c>
      <c r="O526" s="352">
        <f>O$527+(SUMIF($T$337:$T$497,"SRO",O$344:O$515)/O10/1.98)</f>
        <v>223.14078760372254</v>
      </c>
      <c r="P526" s="352">
        <f>P$527+(SUMIF($T$337:$T$497,"SRO",P$344:P$515)/P10/1.98)</f>
        <v>430.19034224929493</v>
      </c>
      <c r="Q526" s="350"/>
      <c r="R526" s="350"/>
    </row>
    <row r="527" spans="1:18" ht="15.75" customHeight="1" x14ac:dyDescent="0.3">
      <c r="A527" s="351" t="s">
        <v>130</v>
      </c>
      <c r="B527" s="352">
        <f>B$571/B10/1.983</f>
        <v>229.98714882956745</v>
      </c>
      <c r="C527" s="352">
        <f>C$571/C10/1.983</f>
        <v>400.64687777140171</v>
      </c>
      <c r="D527" s="352">
        <f>D$571/D10/1.983</f>
        <v>495.85997104419823</v>
      </c>
      <c r="E527" s="353"/>
      <c r="F527" s="352">
        <f>F$571/F10/1.983</f>
        <v>820.81022020507646</v>
      </c>
      <c r="G527" s="352">
        <f>G$571/G10/1.983</f>
        <v>712.16631691962323</v>
      </c>
      <c r="H527" s="352">
        <f>H$571/H10/1.983</f>
        <v>781.62716422928224</v>
      </c>
      <c r="I527" s="10"/>
      <c r="J527" s="352">
        <f>J$571/J10/1.983</f>
        <v>850.86135376506752</v>
      </c>
      <c r="K527" s="352">
        <f>K$571/K10/1.983</f>
        <v>794.62528264441301</v>
      </c>
      <c r="L527" s="352">
        <f>L$571/L10/1.983</f>
        <v>624.89494032610526</v>
      </c>
      <c r="M527" s="700"/>
      <c r="N527" s="352">
        <f>N$571/N10/1.983</f>
        <v>294.66595090527551</v>
      </c>
      <c r="O527" s="352">
        <f>O$571/O10/1.983</f>
        <v>71.524625987560938</v>
      </c>
      <c r="P527" s="352">
        <f>P$571/P10/1.983</f>
        <v>289.42787890618644</v>
      </c>
      <c r="Q527" s="700"/>
      <c r="R527" s="350"/>
    </row>
    <row r="528" spans="1:18" ht="15.75" customHeight="1" x14ac:dyDescent="0.3">
      <c r="A528" s="351"/>
      <c r="B528" s="352"/>
      <c r="C528" s="352"/>
      <c r="D528" s="352"/>
      <c r="E528" s="353"/>
      <c r="F528" s="352"/>
      <c r="G528" s="352"/>
      <c r="H528" s="352"/>
      <c r="I528" s="10"/>
      <c r="J528" s="352"/>
      <c r="K528" s="352"/>
      <c r="L528" s="352"/>
      <c r="M528" s="700"/>
      <c r="N528" s="352"/>
      <c r="O528" s="352"/>
      <c r="P528" s="352"/>
      <c r="Q528" s="700"/>
      <c r="R528" s="350"/>
    </row>
    <row r="529" spans="1:20" ht="15.75" customHeight="1" thickBot="1" x14ac:dyDescent="0.35">
      <c r="A529" s="18"/>
      <c r="B529" s="10"/>
      <c r="C529" s="10"/>
      <c r="D529" s="10"/>
      <c r="E529" s="10"/>
      <c r="F529" s="10"/>
      <c r="G529" s="10"/>
      <c r="H529" s="10"/>
      <c r="I529" s="10"/>
      <c r="J529" s="10"/>
      <c r="K529" s="10"/>
      <c r="L529" s="10"/>
      <c r="M529" s="10"/>
      <c r="N529" s="10"/>
      <c r="O529" s="10"/>
      <c r="P529" s="10"/>
      <c r="Q529" s="10"/>
      <c r="R529" s="17"/>
    </row>
    <row r="530" spans="1:20" ht="16.5" customHeight="1" thickBot="1" x14ac:dyDescent="0.35">
      <c r="A530" s="240" t="s">
        <v>813</v>
      </c>
      <c r="B530" s="4" t="s">
        <v>2090</v>
      </c>
      <c r="C530" s="5" t="s">
        <v>2091</v>
      </c>
      <c r="D530" s="5" t="s">
        <v>2234</v>
      </c>
      <c r="E530" s="33" t="s">
        <v>1594</v>
      </c>
      <c r="F530" s="5" t="s">
        <v>2235</v>
      </c>
      <c r="G530" s="5" t="s">
        <v>2236</v>
      </c>
      <c r="H530" s="5" t="s">
        <v>2237</v>
      </c>
      <c r="I530" s="35" t="s">
        <v>1595</v>
      </c>
      <c r="J530" s="5" t="s">
        <v>1504</v>
      </c>
      <c r="K530" s="5" t="s">
        <v>1505</v>
      </c>
      <c r="L530" s="5" t="s">
        <v>1506</v>
      </c>
      <c r="M530" s="35" t="s">
        <v>1596</v>
      </c>
      <c r="N530" s="5" t="s">
        <v>1507</v>
      </c>
      <c r="O530" s="5" t="s">
        <v>1508</v>
      </c>
      <c r="P530" s="5" t="s">
        <v>1509</v>
      </c>
      <c r="Q530" s="35" t="s">
        <v>1597</v>
      </c>
      <c r="R530" s="36" t="s">
        <v>1510</v>
      </c>
    </row>
    <row r="531" spans="1:20" ht="16.5" customHeight="1" thickBot="1" x14ac:dyDescent="0.35">
      <c r="A531" s="37"/>
      <c r="B531" s="313"/>
      <c r="C531" s="313"/>
      <c r="D531" s="313"/>
      <c r="E531" s="308"/>
      <c r="F531" s="313"/>
      <c r="G531" s="313"/>
      <c r="H531" s="313"/>
      <c r="I531" s="316"/>
      <c r="J531" s="313"/>
      <c r="K531" s="313"/>
      <c r="L531" s="313"/>
      <c r="M531" s="316"/>
      <c r="N531" s="313"/>
      <c r="O531" s="313"/>
      <c r="P531" s="313"/>
      <c r="Q531" s="316"/>
      <c r="R531" s="52"/>
    </row>
    <row r="532" spans="1:20" ht="15.75" customHeight="1" x14ac:dyDescent="0.3">
      <c r="A532" s="234" t="s">
        <v>2417</v>
      </c>
      <c r="B532" s="10" t="s">
        <v>852</v>
      </c>
      <c r="C532" s="10" t="s">
        <v>852</v>
      </c>
      <c r="D532" s="10" t="s">
        <v>852</v>
      </c>
      <c r="E532" s="38" t="s">
        <v>852</v>
      </c>
      <c r="F532" s="10"/>
      <c r="G532" s="10"/>
      <c r="H532" s="10"/>
      <c r="I532" s="38" t="s">
        <v>852</v>
      </c>
      <c r="J532" s="10" t="s">
        <v>852</v>
      </c>
      <c r="K532" s="10" t="s">
        <v>852</v>
      </c>
      <c r="L532" s="10" t="s">
        <v>852</v>
      </c>
      <c r="M532" s="38" t="s">
        <v>852</v>
      </c>
      <c r="N532" s="10" t="s">
        <v>852</v>
      </c>
      <c r="O532" s="10" t="s">
        <v>852</v>
      </c>
      <c r="P532" s="10" t="s">
        <v>852</v>
      </c>
      <c r="Q532" s="38" t="s">
        <v>852</v>
      </c>
      <c r="R532" s="38" t="s">
        <v>852</v>
      </c>
    </row>
    <row r="533" spans="1:20" ht="15.75" customHeight="1" x14ac:dyDescent="0.3">
      <c r="A533" s="234" t="s">
        <v>2160</v>
      </c>
      <c r="B533" s="10"/>
      <c r="C533" s="10"/>
      <c r="D533" s="10"/>
      <c r="E533" s="38" t="s">
        <v>852</v>
      </c>
      <c r="F533" s="10"/>
      <c r="G533" s="10"/>
      <c r="H533" s="10"/>
      <c r="I533" s="38" t="s">
        <v>852</v>
      </c>
      <c r="J533" s="10"/>
      <c r="K533" s="10"/>
      <c r="L533" s="10"/>
      <c r="M533" s="38" t="s">
        <v>852</v>
      </c>
      <c r="N533" s="10"/>
      <c r="O533" s="10"/>
      <c r="P533" s="10"/>
      <c r="Q533" s="38" t="s">
        <v>852</v>
      </c>
      <c r="R533" s="38" t="s">
        <v>852</v>
      </c>
    </row>
    <row r="534" spans="1:20" ht="15.75" customHeight="1" x14ac:dyDescent="0.3">
      <c r="A534" s="539" t="s">
        <v>3145</v>
      </c>
      <c r="B534" s="10"/>
      <c r="C534" s="10"/>
      <c r="D534" s="10"/>
      <c r="E534" s="38">
        <f t="shared" ref="E534:E538" si="259">SUM(B534:D534)</f>
        <v>0</v>
      </c>
      <c r="F534" s="10"/>
      <c r="G534" s="10">
        <v>9</v>
      </c>
      <c r="H534" s="10">
        <v>5</v>
      </c>
      <c r="I534" s="38">
        <f t="shared" ref="I534:I538" si="260">SUM(F534:H534)</f>
        <v>14</v>
      </c>
      <c r="J534" s="10">
        <v>3</v>
      </c>
      <c r="K534" s="10">
        <v>9</v>
      </c>
      <c r="L534" s="10">
        <v>11</v>
      </c>
      <c r="M534" s="38">
        <f t="shared" ref="M534:M538" si="261">SUM(J534:L534)</f>
        <v>23</v>
      </c>
      <c r="N534" s="10"/>
      <c r="O534" s="10"/>
      <c r="P534" s="10">
        <v>14</v>
      </c>
      <c r="Q534" s="38">
        <f t="shared" ref="Q534:Q538" si="262">SUM(N534:P534)</f>
        <v>14</v>
      </c>
      <c r="R534" s="38">
        <f t="shared" ref="R534:R538" si="263">+E534+I534+M534+Q534</f>
        <v>51</v>
      </c>
      <c r="T534" t="s">
        <v>500</v>
      </c>
    </row>
    <row r="535" spans="1:20" ht="15.75" customHeight="1" x14ac:dyDescent="0.3">
      <c r="A535" s="539" t="s">
        <v>3141</v>
      </c>
      <c r="B535" s="10"/>
      <c r="C535" s="10"/>
      <c r="D535" s="10"/>
      <c r="E535" s="38">
        <f>SUM(B535:D535)</f>
        <v>0</v>
      </c>
      <c r="F535" s="10"/>
      <c r="G535" s="10"/>
      <c r="H535" s="10"/>
      <c r="I535" s="38">
        <f>SUM(F535:H535)</f>
        <v>0</v>
      </c>
      <c r="J535" s="10"/>
      <c r="K535" s="10"/>
      <c r="L535" s="10"/>
      <c r="M535" s="38">
        <f t="shared" si="261"/>
        <v>0</v>
      </c>
      <c r="N535" s="10"/>
      <c r="O535" s="10"/>
      <c r="P535" s="10"/>
      <c r="Q535" s="38">
        <f t="shared" si="262"/>
        <v>0</v>
      </c>
      <c r="R535" s="38">
        <f t="shared" si="263"/>
        <v>0</v>
      </c>
      <c r="T535" t="s">
        <v>500</v>
      </c>
    </row>
    <row r="536" spans="1:20" ht="15.75" customHeight="1" x14ac:dyDescent="0.3">
      <c r="A536" s="539" t="s">
        <v>3394</v>
      </c>
      <c r="B536" s="10"/>
      <c r="C536" s="10"/>
      <c r="D536" s="10"/>
      <c r="E536" s="38">
        <f t="shared" si="259"/>
        <v>0</v>
      </c>
      <c r="F536" s="10"/>
      <c r="G536" s="10"/>
      <c r="H536" s="10"/>
      <c r="I536" s="38">
        <f t="shared" si="260"/>
        <v>0</v>
      </c>
      <c r="J536" s="10"/>
      <c r="K536" s="10"/>
      <c r="L536" s="10"/>
      <c r="M536" s="38">
        <f t="shared" si="261"/>
        <v>0</v>
      </c>
      <c r="N536" s="10"/>
      <c r="O536" s="10"/>
      <c r="P536" s="10"/>
      <c r="Q536" s="38">
        <f t="shared" si="262"/>
        <v>0</v>
      </c>
      <c r="R536" s="38">
        <f t="shared" si="263"/>
        <v>0</v>
      </c>
    </row>
    <row r="537" spans="1:20" ht="15.75" customHeight="1" x14ac:dyDescent="0.3">
      <c r="A537" s="539" t="s">
        <v>2977</v>
      </c>
      <c r="C537" s="10"/>
      <c r="D537" s="10"/>
      <c r="E537" s="38">
        <f t="shared" si="259"/>
        <v>0</v>
      </c>
      <c r="F537" s="10">
        <v>2528</v>
      </c>
      <c r="G537" s="10"/>
      <c r="H537" s="10"/>
      <c r="I537" s="38">
        <f t="shared" si="260"/>
        <v>2528</v>
      </c>
      <c r="J537" s="10"/>
      <c r="K537" s="10"/>
      <c r="L537" s="10">
        <v>274</v>
      </c>
      <c r="M537" s="38">
        <f t="shared" si="261"/>
        <v>274</v>
      </c>
      <c r="N537" s="10">
        <v>76</v>
      </c>
      <c r="O537" s="10"/>
      <c r="P537" s="10"/>
      <c r="Q537" s="38">
        <f t="shared" si="262"/>
        <v>76</v>
      </c>
      <c r="R537" s="38">
        <f t="shared" si="263"/>
        <v>2878</v>
      </c>
      <c r="T537" t="s">
        <v>500</v>
      </c>
    </row>
    <row r="538" spans="1:20" ht="15.75" customHeight="1" x14ac:dyDescent="0.3">
      <c r="A538" s="410" t="s">
        <v>2795</v>
      </c>
      <c r="B538" s="10"/>
      <c r="C538" s="10"/>
      <c r="D538" s="10"/>
      <c r="E538" s="38">
        <f t="shared" si="259"/>
        <v>0</v>
      </c>
      <c r="F538" s="10"/>
      <c r="G538" s="10"/>
      <c r="H538" s="10"/>
      <c r="I538" s="38">
        <f t="shared" si="260"/>
        <v>0</v>
      </c>
      <c r="J538" s="10"/>
      <c r="K538" s="10"/>
      <c r="L538" s="10"/>
      <c r="M538" s="38">
        <f t="shared" si="261"/>
        <v>0</v>
      </c>
      <c r="N538" s="10"/>
      <c r="O538" s="10"/>
      <c r="P538" s="10"/>
      <c r="Q538" s="38">
        <f t="shared" si="262"/>
        <v>0</v>
      </c>
      <c r="R538" s="38">
        <f t="shared" si="263"/>
        <v>0</v>
      </c>
      <c r="T538" t="s">
        <v>500</v>
      </c>
    </row>
    <row r="539" spans="1:20" ht="15.75" customHeight="1" x14ac:dyDescent="0.3">
      <c r="A539" s="234" t="s">
        <v>2161</v>
      </c>
      <c r="B539" s="10"/>
      <c r="C539" s="10"/>
      <c r="D539" s="10"/>
      <c r="E539" s="38" t="s">
        <v>852</v>
      </c>
      <c r="F539" s="10"/>
      <c r="G539" s="10"/>
      <c r="H539" s="10"/>
      <c r="I539" s="38" t="s">
        <v>852</v>
      </c>
      <c r="J539" s="10"/>
      <c r="K539" s="10"/>
      <c r="L539" s="10"/>
      <c r="M539" s="38" t="s">
        <v>852</v>
      </c>
      <c r="N539" s="10"/>
      <c r="O539" s="10"/>
      <c r="P539" s="10"/>
      <c r="Q539" s="38" t="s">
        <v>852</v>
      </c>
      <c r="R539" s="38" t="s">
        <v>852</v>
      </c>
    </row>
    <row r="540" spans="1:20" ht="15.75" customHeight="1" x14ac:dyDescent="0.3">
      <c r="A540" s="310" t="s">
        <v>1065</v>
      </c>
      <c r="B540" s="10"/>
      <c r="C540" s="10"/>
      <c r="D540" s="10"/>
      <c r="E540" s="38">
        <f>SUM(B540:D540)</f>
        <v>0</v>
      </c>
      <c r="F540" s="10"/>
      <c r="G540" s="10"/>
      <c r="H540" s="10"/>
      <c r="I540" s="38">
        <f>SUM(F540:H540)</f>
        <v>0</v>
      </c>
      <c r="J540" s="10"/>
      <c r="K540" s="10"/>
      <c r="L540" s="10"/>
      <c r="M540" s="38">
        <f>SUM(J540:L540)</f>
        <v>0</v>
      </c>
      <c r="N540" s="10"/>
      <c r="O540" s="10"/>
      <c r="P540" s="10"/>
      <c r="Q540" s="38">
        <f>SUM(N540:P540)</f>
        <v>0</v>
      </c>
      <c r="R540" s="38">
        <f>+E540+I540+M540+Q540</f>
        <v>0</v>
      </c>
    </row>
    <row r="541" spans="1:20" ht="15.75" customHeight="1" x14ac:dyDescent="0.3">
      <c r="A541" s="310" t="s">
        <v>355</v>
      </c>
      <c r="B541" s="10"/>
      <c r="C541" s="10"/>
      <c r="D541" s="10"/>
      <c r="E541" s="38">
        <f>SUM(B541:D541)</f>
        <v>0</v>
      </c>
      <c r="F541" s="10"/>
      <c r="G541" s="10"/>
      <c r="H541" s="10"/>
      <c r="I541" s="38">
        <f>SUM(F541:H541)</f>
        <v>0</v>
      </c>
      <c r="J541" s="10"/>
      <c r="K541" s="10"/>
      <c r="L541" s="10"/>
      <c r="M541" s="38">
        <f>SUM(J541:L541)</f>
        <v>0</v>
      </c>
      <c r="N541" s="10"/>
      <c r="O541" s="10"/>
      <c r="P541" s="10"/>
      <c r="Q541" s="38">
        <f>SUM(N541:P541)</f>
        <v>0</v>
      </c>
      <c r="R541" s="38">
        <f>+E541+I541+M541+Q541</f>
        <v>0</v>
      </c>
    </row>
    <row r="542" spans="1:20" ht="15.75" customHeight="1" x14ac:dyDescent="0.3">
      <c r="A542" s="234" t="s">
        <v>3245</v>
      </c>
      <c r="B542" s="10"/>
      <c r="C542" s="10"/>
      <c r="D542" s="10"/>
      <c r="E542" s="38" t="s">
        <v>852</v>
      </c>
      <c r="F542" s="10"/>
      <c r="G542" s="10"/>
      <c r="H542" s="10"/>
      <c r="I542" s="38" t="s">
        <v>852</v>
      </c>
      <c r="J542" s="10"/>
      <c r="K542" s="10"/>
      <c r="L542" s="10"/>
      <c r="M542" s="38" t="s">
        <v>852</v>
      </c>
      <c r="N542" s="10"/>
      <c r="O542" s="10"/>
      <c r="P542" s="10"/>
      <c r="Q542" s="38" t="s">
        <v>852</v>
      </c>
      <c r="R542" s="38" t="s">
        <v>852</v>
      </c>
    </row>
    <row r="543" spans="1:20" ht="15.75" customHeight="1" thickBot="1" x14ac:dyDescent="0.35">
      <c r="A543" s="234" t="s">
        <v>2164</v>
      </c>
      <c r="B543" s="10"/>
      <c r="C543" s="10"/>
      <c r="D543" s="10"/>
      <c r="E543" s="38" t="s">
        <v>852</v>
      </c>
      <c r="F543" s="10"/>
      <c r="G543" s="10"/>
      <c r="H543" s="10"/>
      <c r="I543" s="38" t="s">
        <v>852</v>
      </c>
      <c r="J543" s="10"/>
      <c r="K543" s="10"/>
      <c r="L543" s="10"/>
      <c r="M543" s="38" t="s">
        <v>852</v>
      </c>
      <c r="N543" s="10"/>
      <c r="O543" s="10"/>
      <c r="P543" s="10"/>
      <c r="Q543" s="38" t="s">
        <v>852</v>
      </c>
      <c r="R543" s="38" t="s">
        <v>852</v>
      </c>
    </row>
    <row r="544" spans="1:20" ht="16.5" customHeight="1" thickBot="1" x14ac:dyDescent="0.35">
      <c r="A544" s="322" t="s">
        <v>1218</v>
      </c>
      <c r="B544" s="45">
        <f>SUM(B532:B543)</f>
        <v>0</v>
      </c>
      <c r="C544" s="46">
        <f>SUM(C532:C543)</f>
        <v>0</v>
      </c>
      <c r="D544" s="46">
        <f>SUM(D532:D543)</f>
        <v>0</v>
      </c>
      <c r="E544" s="37">
        <f>SUM(B544:D544)</f>
        <v>0</v>
      </c>
      <c r="F544" s="46">
        <f>SUM(F532:F543)</f>
        <v>2528</v>
      </c>
      <c r="G544" s="46">
        <f>SUM(G532:G543)</f>
        <v>9</v>
      </c>
      <c r="H544" s="46">
        <f>SUM(H532:H543)</f>
        <v>5</v>
      </c>
      <c r="I544" s="37">
        <f>SUM(F544:H544)</f>
        <v>2542</v>
      </c>
      <c r="J544" s="46">
        <f>SUM(J532:J543)</f>
        <v>3</v>
      </c>
      <c r="K544" s="46">
        <f>SUM(K532:K543)</f>
        <v>9</v>
      </c>
      <c r="L544" s="46">
        <f>SUM(L532:L543)</f>
        <v>285</v>
      </c>
      <c r="M544" s="37">
        <f>SUM(J544:L544)</f>
        <v>297</v>
      </c>
      <c r="N544" s="46">
        <f>SUM(N532:N543)</f>
        <v>76</v>
      </c>
      <c r="O544" s="46">
        <f>SUM(O532:O543)</f>
        <v>0</v>
      </c>
      <c r="P544" s="46">
        <f>SUM(P532:P543)</f>
        <v>14</v>
      </c>
      <c r="Q544" s="37">
        <f>SUM(N544:P544)</f>
        <v>90</v>
      </c>
      <c r="R544" s="37">
        <f>+E544+I544+M544+Q544</f>
        <v>2929</v>
      </c>
    </row>
    <row r="545" spans="1:20" ht="15.75" customHeight="1" x14ac:dyDescent="0.3">
      <c r="A545" s="234" t="s">
        <v>1172</v>
      </c>
      <c r="B545" s="10"/>
      <c r="C545" s="10"/>
      <c r="D545" s="10"/>
      <c r="E545" s="38" t="s">
        <v>852</v>
      </c>
      <c r="F545" s="10"/>
      <c r="G545" s="10"/>
      <c r="H545" s="10"/>
      <c r="I545" s="38" t="s">
        <v>852</v>
      </c>
      <c r="J545" s="10"/>
      <c r="K545" s="10"/>
      <c r="L545" s="10"/>
      <c r="M545" s="38" t="s">
        <v>852</v>
      </c>
      <c r="N545" s="10" t="s">
        <v>852</v>
      </c>
      <c r="O545" s="10"/>
      <c r="P545" s="10"/>
      <c r="Q545" s="38" t="s">
        <v>852</v>
      </c>
      <c r="R545" s="38" t="s">
        <v>852</v>
      </c>
    </row>
    <row r="546" spans="1:20" ht="15.75" customHeight="1" x14ac:dyDescent="0.3">
      <c r="A546" s="234" t="s">
        <v>2409</v>
      </c>
      <c r="B546" s="10"/>
      <c r="C546" s="10"/>
      <c r="D546" s="10"/>
      <c r="E546" s="38" t="s">
        <v>852</v>
      </c>
      <c r="F546" s="10"/>
      <c r="G546" s="10"/>
      <c r="H546" s="10"/>
      <c r="I546" s="38" t="s">
        <v>852</v>
      </c>
      <c r="J546" s="10"/>
      <c r="K546" s="10"/>
      <c r="L546" s="10"/>
      <c r="M546" s="38" t="s">
        <v>852</v>
      </c>
      <c r="N546" s="10"/>
      <c r="O546" s="10"/>
      <c r="P546" s="10"/>
      <c r="Q546" s="38" t="s">
        <v>852</v>
      </c>
      <c r="R546" s="38" t="s">
        <v>852</v>
      </c>
    </row>
    <row r="547" spans="1:20" ht="15.75" customHeight="1" x14ac:dyDescent="0.3">
      <c r="A547" s="310" t="s">
        <v>473</v>
      </c>
      <c r="B547" s="10"/>
      <c r="C547" s="10">
        <v>244</v>
      </c>
      <c r="D547" s="10">
        <f>304+1878</f>
        <v>2182</v>
      </c>
      <c r="E547" s="38">
        <f>SUM(B547:D547)</f>
        <v>2426</v>
      </c>
      <c r="F547" s="10">
        <v>9200</v>
      </c>
      <c r="G547" s="10">
        <v>8411</v>
      </c>
      <c r="H547" s="10">
        <v>9834</v>
      </c>
      <c r="I547" s="38">
        <f>SUM(F547:H547)</f>
        <v>27445</v>
      </c>
      <c r="J547" s="10">
        <v>10444</v>
      </c>
      <c r="K547" s="10">
        <v>6480</v>
      </c>
      <c r="L547" s="10">
        <v>1247</v>
      </c>
      <c r="M547" s="38">
        <f>SUM(J547:L547)</f>
        <v>18171</v>
      </c>
      <c r="N547" s="10">
        <v>1000</v>
      </c>
      <c r="O547" s="10">
        <v>500</v>
      </c>
      <c r="P547" s="10">
        <v>2120</v>
      </c>
      <c r="Q547" s="38">
        <f>SUM(N547:P547)</f>
        <v>3620</v>
      </c>
      <c r="R547" s="38">
        <f>+E547+I547+M547+Q547</f>
        <v>51662</v>
      </c>
    </row>
    <row r="548" spans="1:20" ht="15.75" customHeight="1" thickBot="1" x14ac:dyDescent="0.35">
      <c r="A548" s="234" t="s">
        <v>2165</v>
      </c>
      <c r="B548" s="10"/>
      <c r="C548" s="10"/>
      <c r="D548" s="10"/>
      <c r="E548" s="38" t="s">
        <v>852</v>
      </c>
      <c r="F548" s="10"/>
      <c r="G548" s="10"/>
      <c r="H548" s="10"/>
      <c r="I548" s="38" t="s">
        <v>852</v>
      </c>
      <c r="J548" s="10"/>
      <c r="K548" s="10"/>
      <c r="L548" s="10"/>
      <c r="M548" s="38" t="s">
        <v>852</v>
      </c>
      <c r="N548" s="10"/>
      <c r="O548" s="10"/>
      <c r="P548" s="10"/>
      <c r="Q548" s="38" t="s">
        <v>852</v>
      </c>
      <c r="R548" s="38" t="s">
        <v>852</v>
      </c>
    </row>
    <row r="549" spans="1:20" ht="16.5" customHeight="1" thickBot="1" x14ac:dyDescent="0.35">
      <c r="A549" s="43" t="s">
        <v>1219</v>
      </c>
      <c r="B549" s="45">
        <f>SUM(B545:B548)</f>
        <v>0</v>
      </c>
      <c r="C549" s="46">
        <f>SUM(C545:C548)</f>
        <v>244</v>
      </c>
      <c r="D549" s="46">
        <f>SUM(D545:D548)</f>
        <v>2182</v>
      </c>
      <c r="E549" s="37">
        <f>SUM(B549:D549)</f>
        <v>2426</v>
      </c>
      <c r="F549" s="46">
        <f>SUM(F545:F548)</f>
        <v>9200</v>
      </c>
      <c r="G549" s="46">
        <f>SUM(G545:G548)</f>
        <v>8411</v>
      </c>
      <c r="H549" s="46">
        <f>SUM(H545:H548)</f>
        <v>9834</v>
      </c>
      <c r="I549" s="37">
        <f>SUM(F549:H549)</f>
        <v>27445</v>
      </c>
      <c r="J549" s="46">
        <f>SUM(J545:J548)</f>
        <v>10444</v>
      </c>
      <c r="K549" s="46">
        <f>SUM(K545:K548)</f>
        <v>6480</v>
      </c>
      <c r="L549" s="46">
        <f>SUM(L545:L548)</f>
        <v>1247</v>
      </c>
      <c r="M549" s="37">
        <f>SUM(J549:L549)</f>
        <v>18171</v>
      </c>
      <c r="N549" s="46">
        <f>SUM(N545:N548)</f>
        <v>1000</v>
      </c>
      <c r="O549" s="46">
        <f>SUM(O545:O548)</f>
        <v>500</v>
      </c>
      <c r="P549" s="46">
        <f>SUM(P545:P548)</f>
        <v>2120</v>
      </c>
      <c r="Q549" s="37">
        <f>SUM(N549:P549)</f>
        <v>3620</v>
      </c>
      <c r="R549" s="37">
        <f>+E549+I549+M549+Q549</f>
        <v>51662</v>
      </c>
    </row>
    <row r="550" spans="1:20" ht="15.75" customHeight="1" x14ac:dyDescent="0.3">
      <c r="A550" s="234" t="s">
        <v>2166</v>
      </c>
      <c r="B550" s="10"/>
      <c r="C550" s="10"/>
      <c r="D550" s="10"/>
      <c r="E550" s="38" t="s">
        <v>852</v>
      </c>
      <c r="F550" s="10"/>
      <c r="G550" s="10"/>
      <c r="H550" s="10"/>
      <c r="I550" s="38" t="s">
        <v>852</v>
      </c>
      <c r="J550" s="10"/>
      <c r="K550" s="10"/>
      <c r="L550" s="10"/>
      <c r="M550" s="38" t="s">
        <v>852</v>
      </c>
      <c r="N550" s="10"/>
      <c r="O550" s="10"/>
      <c r="P550" s="10"/>
      <c r="Q550" s="38" t="s">
        <v>852</v>
      </c>
      <c r="R550" s="38" t="s">
        <v>852</v>
      </c>
    </row>
    <row r="551" spans="1:20" ht="15.75" customHeight="1" x14ac:dyDescent="0.3">
      <c r="A551" s="234" t="s">
        <v>1245</v>
      </c>
      <c r="B551" s="10"/>
      <c r="C551" s="10"/>
      <c r="D551" s="10"/>
      <c r="E551" s="38" t="s">
        <v>852</v>
      </c>
      <c r="F551" s="10"/>
      <c r="G551" s="10"/>
      <c r="H551" s="10"/>
      <c r="I551" s="38" t="s">
        <v>852</v>
      </c>
      <c r="J551" s="10"/>
      <c r="K551" s="10"/>
      <c r="L551" s="10"/>
      <c r="M551" s="38" t="s">
        <v>852</v>
      </c>
      <c r="N551" s="10"/>
      <c r="O551" s="10"/>
      <c r="P551" s="10"/>
      <c r="Q551" s="38" t="s">
        <v>852</v>
      </c>
      <c r="R551" s="38" t="s">
        <v>852</v>
      </c>
    </row>
    <row r="552" spans="1:20" ht="15.75" customHeight="1" x14ac:dyDescent="0.3">
      <c r="A552" s="234" t="s">
        <v>1711</v>
      </c>
      <c r="B552" s="10"/>
      <c r="C552" s="10"/>
      <c r="D552" s="10"/>
      <c r="E552" s="38" t="s">
        <v>852</v>
      </c>
      <c r="F552" s="10"/>
      <c r="G552" s="10"/>
      <c r="H552" s="10"/>
      <c r="I552" s="38" t="s">
        <v>852</v>
      </c>
      <c r="J552" s="10"/>
      <c r="K552" s="10"/>
      <c r="L552" s="10"/>
      <c r="M552" s="38" t="s">
        <v>852</v>
      </c>
      <c r="N552" s="10"/>
      <c r="O552" s="10"/>
      <c r="P552" s="10"/>
      <c r="Q552" s="38" t="s">
        <v>852</v>
      </c>
      <c r="R552" s="38" t="s">
        <v>852</v>
      </c>
    </row>
    <row r="553" spans="1:20" ht="15.75" customHeight="1" x14ac:dyDescent="0.3">
      <c r="A553" s="539" t="s">
        <v>3404</v>
      </c>
      <c r="B553" s="10"/>
      <c r="C553" s="10"/>
      <c r="D553" s="10"/>
      <c r="E553" s="38">
        <f>SUM(B553:D553)</f>
        <v>0</v>
      </c>
      <c r="F553" s="10"/>
      <c r="G553" s="10"/>
      <c r="H553" s="10">
        <v>2000</v>
      </c>
      <c r="I553" s="38">
        <f>SUM(F553:H553)</f>
        <v>2000</v>
      </c>
      <c r="J553" s="10"/>
      <c r="K553" s="10"/>
      <c r="L553" s="10"/>
      <c r="M553" s="38">
        <f>SUM(J553:L553)</f>
        <v>0</v>
      </c>
      <c r="N553" s="10"/>
      <c r="O553" s="10"/>
      <c r="P553" s="10"/>
      <c r="Q553" s="38">
        <f>SUM(N553:P553)</f>
        <v>0</v>
      </c>
      <c r="R553" s="38">
        <f>+E553+I553+M553+Q553</f>
        <v>2000</v>
      </c>
      <c r="T553" t="s">
        <v>500</v>
      </c>
    </row>
    <row r="554" spans="1:20" ht="15.75" customHeight="1" x14ac:dyDescent="0.3">
      <c r="A554" s="371" t="s">
        <v>3461</v>
      </c>
      <c r="B554" s="10"/>
      <c r="C554" s="10"/>
      <c r="D554" s="10"/>
      <c r="E554" s="38">
        <f>SUM(B554:D554)</f>
        <v>0</v>
      </c>
      <c r="F554" s="10"/>
      <c r="G554" s="10"/>
      <c r="H554" s="10"/>
      <c r="I554" s="38">
        <f>SUM(F554:H554)</f>
        <v>0</v>
      </c>
      <c r="J554" s="10"/>
      <c r="K554" s="10"/>
      <c r="L554" s="10"/>
      <c r="M554" s="38">
        <f>SUM(J554:L554)</f>
        <v>0</v>
      </c>
      <c r="N554" s="10">
        <v>850</v>
      </c>
      <c r="O554" s="10"/>
      <c r="P554" s="10"/>
      <c r="Q554" s="38">
        <f>SUM(N554:P554)</f>
        <v>850</v>
      </c>
      <c r="R554" s="38">
        <f>+E554+I554+M554+Q554</f>
        <v>850</v>
      </c>
    </row>
    <row r="555" spans="1:20" ht="15.75" customHeight="1" thickBot="1" x14ac:dyDescent="0.35">
      <c r="A555" s="689" t="s">
        <v>2937</v>
      </c>
      <c r="B555" s="10"/>
      <c r="C555" s="10"/>
      <c r="D555" s="700"/>
      <c r="E555" s="38">
        <f>SUM(B555:D555)</f>
        <v>0</v>
      </c>
      <c r="F555" s="10"/>
      <c r="G555" s="10"/>
      <c r="H555" s="10">
        <v>2000</v>
      </c>
      <c r="I555" s="38">
        <f>SUM(F555:H555)</f>
        <v>2000</v>
      </c>
      <c r="J555" s="10">
        <v>6000</v>
      </c>
      <c r="K555" s="10">
        <v>6000</v>
      </c>
      <c r="L555" s="10">
        <f>6000+1650</f>
        <v>7650</v>
      </c>
      <c r="M555" s="38">
        <f>SUM(J555:L555)</f>
        <v>19650</v>
      </c>
      <c r="N555" s="10"/>
      <c r="O555" s="10"/>
      <c r="P555" s="10"/>
      <c r="Q555" s="38">
        <f>SUM(N555:P555)</f>
        <v>0</v>
      </c>
      <c r="R555" s="38">
        <f>+E555+I555+M555+Q555</f>
        <v>21650</v>
      </c>
      <c r="T555" t="s">
        <v>500</v>
      </c>
    </row>
    <row r="556" spans="1:20" ht="16.5" customHeight="1" thickBot="1" x14ac:dyDescent="0.35">
      <c r="A556" s="277" t="s">
        <v>1220</v>
      </c>
      <c r="B556" s="45">
        <f>SUM(B550:B555)</f>
        <v>0</v>
      </c>
      <c r="C556" s="46">
        <f>SUM(C550:C555)</f>
        <v>0</v>
      </c>
      <c r="D556" s="46">
        <f>SUM(D550:D555)</f>
        <v>0</v>
      </c>
      <c r="E556" s="37">
        <f>SUM(B556:D556)</f>
        <v>0</v>
      </c>
      <c r="F556" s="46">
        <f>SUM(F550:F555)</f>
        <v>0</v>
      </c>
      <c r="G556" s="46">
        <f>SUM(G550:G555)</f>
        <v>0</v>
      </c>
      <c r="H556" s="46">
        <f>SUM(H550:H555)</f>
        <v>4000</v>
      </c>
      <c r="I556" s="37">
        <f>SUM(F556:H556)</f>
        <v>4000</v>
      </c>
      <c r="J556" s="46">
        <f>SUM(J550:J555)</f>
        <v>6000</v>
      </c>
      <c r="K556" s="46">
        <f>SUM(K550:K555)</f>
        <v>6000</v>
      </c>
      <c r="L556" s="46">
        <f>SUM(L550:L555)</f>
        <v>7650</v>
      </c>
      <c r="M556" s="37">
        <f>SUM(J556:L556)</f>
        <v>19650</v>
      </c>
      <c r="N556" s="46">
        <f>SUM(N550:N555)</f>
        <v>850</v>
      </c>
      <c r="O556" s="46">
        <f>SUM(O550:O555)</f>
        <v>0</v>
      </c>
      <c r="P556" s="46">
        <f>SUM(P550:P555)</f>
        <v>0</v>
      </c>
      <c r="Q556" s="37">
        <f>SUM(N556:P556)</f>
        <v>850</v>
      </c>
      <c r="R556" s="37">
        <f>+E556+I556+M556+Q556</f>
        <v>24500</v>
      </c>
    </row>
    <row r="557" spans="1:20" ht="15.75" customHeight="1" x14ac:dyDescent="0.3">
      <c r="A557" s="234" t="s">
        <v>1712</v>
      </c>
      <c r="B557" s="10"/>
      <c r="C557" s="10"/>
      <c r="D557" s="10"/>
      <c r="E557" s="38" t="s">
        <v>852</v>
      </c>
      <c r="F557" s="10"/>
      <c r="G557" s="10"/>
      <c r="H557" s="10"/>
      <c r="I557" s="38" t="s">
        <v>852</v>
      </c>
      <c r="J557" s="10"/>
      <c r="K557" s="10"/>
      <c r="L557" s="10"/>
      <c r="M557" s="38" t="s">
        <v>852</v>
      </c>
      <c r="N557" s="10"/>
      <c r="O557" s="10"/>
      <c r="P557" s="10"/>
      <c r="Q557" s="38" t="s">
        <v>852</v>
      </c>
      <c r="R557" s="38" t="s">
        <v>852</v>
      </c>
    </row>
    <row r="558" spans="1:20" ht="15.75" customHeight="1" x14ac:dyDescent="0.3">
      <c r="A558" s="234" t="s">
        <v>1021</v>
      </c>
      <c r="B558" s="10"/>
      <c r="C558" s="10"/>
      <c r="D558" s="10"/>
      <c r="E558" s="38" t="s">
        <v>852</v>
      </c>
      <c r="F558" s="10"/>
      <c r="G558" s="10"/>
      <c r="H558" s="10"/>
      <c r="I558" s="38" t="s">
        <v>852</v>
      </c>
      <c r="J558" s="10"/>
      <c r="K558" s="10"/>
      <c r="L558" s="10"/>
      <c r="M558" s="38" t="s">
        <v>852</v>
      </c>
      <c r="N558" s="10"/>
      <c r="O558" s="10"/>
      <c r="P558" s="10"/>
      <c r="Q558" s="38" t="s">
        <v>852</v>
      </c>
      <c r="R558" s="38" t="s">
        <v>852</v>
      </c>
    </row>
    <row r="559" spans="1:20" ht="15.75" customHeight="1" x14ac:dyDescent="0.3">
      <c r="A559" s="234" t="s">
        <v>557</v>
      </c>
      <c r="B559" s="10"/>
      <c r="C559" s="10"/>
      <c r="D559" s="10"/>
      <c r="E559" s="38" t="s">
        <v>852</v>
      </c>
      <c r="F559" s="10"/>
      <c r="G559" s="10"/>
      <c r="H559" s="10"/>
      <c r="I559" s="38" t="s">
        <v>852</v>
      </c>
      <c r="J559" s="10"/>
      <c r="K559" s="10"/>
      <c r="L559" s="10"/>
      <c r="M559" s="38" t="s">
        <v>852</v>
      </c>
      <c r="N559" s="10"/>
      <c r="O559" s="10"/>
      <c r="P559" s="10"/>
      <c r="Q559" s="38" t="s">
        <v>852</v>
      </c>
      <c r="R559" s="38" t="s">
        <v>852</v>
      </c>
    </row>
    <row r="560" spans="1:20" ht="15.75" customHeight="1" x14ac:dyDescent="0.3">
      <c r="A560" s="234" t="s">
        <v>1022</v>
      </c>
      <c r="B560" s="10"/>
      <c r="C560" s="10"/>
      <c r="D560" s="10"/>
      <c r="E560" s="38" t="s">
        <v>852</v>
      </c>
      <c r="F560" s="10"/>
      <c r="G560" s="10"/>
      <c r="H560" s="10"/>
      <c r="I560" s="38" t="s">
        <v>852</v>
      </c>
      <c r="J560" s="10"/>
      <c r="K560" s="10"/>
      <c r="L560" s="10"/>
      <c r="M560" s="38" t="s">
        <v>852</v>
      </c>
      <c r="N560" s="10"/>
      <c r="O560" s="10"/>
      <c r="P560" s="10"/>
      <c r="Q560" s="38" t="s">
        <v>852</v>
      </c>
      <c r="R560" s="38" t="s">
        <v>852</v>
      </c>
    </row>
    <row r="561" spans="1:20" ht="15.75" customHeight="1" x14ac:dyDescent="0.3">
      <c r="A561" s="234" t="s">
        <v>559</v>
      </c>
      <c r="B561" s="10"/>
      <c r="C561" s="10"/>
      <c r="D561" s="10"/>
      <c r="E561" s="38" t="s">
        <v>852</v>
      </c>
      <c r="F561" s="10"/>
      <c r="G561" s="10"/>
      <c r="H561" s="10"/>
      <c r="I561" s="38" t="s">
        <v>852</v>
      </c>
      <c r="J561" s="10"/>
      <c r="K561" s="10"/>
      <c r="L561" s="10"/>
      <c r="M561" s="38" t="s">
        <v>852</v>
      </c>
      <c r="N561" s="10"/>
      <c r="O561" s="10"/>
      <c r="P561" s="10"/>
      <c r="Q561" s="38" t="s">
        <v>852</v>
      </c>
      <c r="R561" s="38" t="s">
        <v>852</v>
      </c>
    </row>
    <row r="562" spans="1:20" ht="15.75" customHeight="1" x14ac:dyDescent="0.3">
      <c r="A562" s="539" t="s">
        <v>2936</v>
      </c>
      <c r="B562" s="10"/>
      <c r="C562" s="10"/>
      <c r="D562" s="10"/>
      <c r="E562" s="38">
        <f t="shared" ref="E562:E563" si="264">SUM(B562:D562)</f>
        <v>0</v>
      </c>
      <c r="F562" s="10"/>
      <c r="G562" s="10"/>
      <c r="H562" s="10"/>
      <c r="I562" s="38">
        <f t="shared" ref="I562:I563" si="265">SUM(F562:H562)</f>
        <v>0</v>
      </c>
      <c r="J562" s="10"/>
      <c r="K562" s="10">
        <v>1500</v>
      </c>
      <c r="L562" s="10">
        <v>3000</v>
      </c>
      <c r="M562" s="38">
        <f t="shared" ref="M562:M563" si="266">SUM(J562:L562)</f>
        <v>4500</v>
      </c>
      <c r="N562" s="10"/>
      <c r="O562" s="10"/>
      <c r="P562" s="10"/>
      <c r="Q562" s="38">
        <f t="shared" ref="Q562:Q563" si="267">SUM(N562:P562)</f>
        <v>0</v>
      </c>
      <c r="R562" s="38">
        <f t="shared" ref="R562:R567" si="268">+E562+I562+M562+Q562</f>
        <v>4500</v>
      </c>
      <c r="T562" t="s">
        <v>500</v>
      </c>
    </row>
    <row r="563" spans="1:20" ht="15.75" customHeight="1" thickBot="1" x14ac:dyDescent="0.35">
      <c r="A563" s="539" t="s">
        <v>2834</v>
      </c>
      <c r="B563" s="10"/>
      <c r="C563" s="10"/>
      <c r="D563" s="10"/>
      <c r="E563" s="38">
        <f t="shared" si="264"/>
        <v>0</v>
      </c>
      <c r="F563" s="10"/>
      <c r="G563" s="10"/>
      <c r="H563" s="10"/>
      <c r="I563" s="38">
        <f t="shared" si="265"/>
        <v>0</v>
      </c>
      <c r="J563" s="10"/>
      <c r="K563" s="10"/>
      <c r="L563" s="10"/>
      <c r="M563" s="38">
        <f t="shared" si="266"/>
        <v>0</v>
      </c>
      <c r="N563" s="10"/>
      <c r="O563" s="10"/>
      <c r="P563" s="10"/>
      <c r="Q563" s="38">
        <f t="shared" si="267"/>
        <v>0</v>
      </c>
      <c r="R563" s="38">
        <f t="shared" si="268"/>
        <v>0</v>
      </c>
      <c r="T563" t="s">
        <v>500</v>
      </c>
    </row>
    <row r="564" spans="1:20" ht="16.5" customHeight="1" thickBot="1" x14ac:dyDescent="0.35">
      <c r="A564" s="43" t="s">
        <v>1019</v>
      </c>
      <c r="B564" s="42">
        <f>SUM(B560:B563)</f>
        <v>0</v>
      </c>
      <c r="C564" s="42">
        <f>SUM(C560:C563)</f>
        <v>0</v>
      </c>
      <c r="D564" s="42">
        <f>SUM(D560:D563)</f>
        <v>0</v>
      </c>
      <c r="E564" s="39">
        <f t="shared" ref="E564:E567" si="269">SUM(B564:D564)</f>
        <v>0</v>
      </c>
      <c r="F564" s="42">
        <f>SUM(F560:F563)</f>
        <v>0</v>
      </c>
      <c r="G564" s="42">
        <f>SUM(G560:G563)</f>
        <v>0</v>
      </c>
      <c r="H564" s="42">
        <f>SUM(H560:H563)</f>
        <v>0</v>
      </c>
      <c r="I564" s="39">
        <f t="shared" ref="I564:I567" si="270">SUM(F564:H564)</f>
        <v>0</v>
      </c>
      <c r="J564" s="42">
        <f>SUM(J560:J563)</f>
        <v>0</v>
      </c>
      <c r="K564" s="42">
        <f>SUM(K560:K563)</f>
        <v>1500</v>
      </c>
      <c r="L564" s="42">
        <f>SUM(L560:L563)</f>
        <v>3000</v>
      </c>
      <c r="M564" s="39">
        <f t="shared" ref="M564:M567" si="271">SUM(J564:L564)</f>
        <v>4500</v>
      </c>
      <c r="N564" s="42">
        <f>SUM(N560:N563)</f>
        <v>0</v>
      </c>
      <c r="O564" s="42">
        <f>SUM(O560:O563)</f>
        <v>0</v>
      </c>
      <c r="P564" s="42">
        <f>SUM(P560:P563)</f>
        <v>0</v>
      </c>
      <c r="Q564" s="39">
        <f t="shared" ref="Q564:Q567" si="272">SUM(N564:P564)</f>
        <v>0</v>
      </c>
      <c r="R564" s="37">
        <f t="shared" si="268"/>
        <v>4500</v>
      </c>
    </row>
    <row r="565" spans="1:20" ht="16.5" customHeight="1" thickBot="1" x14ac:dyDescent="0.35">
      <c r="A565" s="277" t="s">
        <v>1221</v>
      </c>
      <c r="B565" s="45">
        <f>SUM(B557:B563)</f>
        <v>0</v>
      </c>
      <c r="C565" s="46">
        <f>SUM(C557:C563)</f>
        <v>0</v>
      </c>
      <c r="D565" s="58">
        <f>SUM(D557:D563)</f>
        <v>0</v>
      </c>
      <c r="E565" s="39">
        <f t="shared" si="269"/>
        <v>0</v>
      </c>
      <c r="F565" s="46">
        <f>SUM(F557:F563)</f>
        <v>0</v>
      </c>
      <c r="G565" s="46">
        <f>SUM(G557:G563)</f>
        <v>0</v>
      </c>
      <c r="H565" s="46">
        <f>SUM(H557:H563)</f>
        <v>0</v>
      </c>
      <c r="I565" s="39">
        <f t="shared" si="270"/>
        <v>0</v>
      </c>
      <c r="J565" s="46">
        <f>SUM(J557:J563)</f>
        <v>0</v>
      </c>
      <c r="K565" s="46">
        <f>SUM(K557:K563)</f>
        <v>1500</v>
      </c>
      <c r="L565" s="46">
        <f>SUM(L557:L563)</f>
        <v>3000</v>
      </c>
      <c r="M565" s="39">
        <f t="shared" si="271"/>
        <v>4500</v>
      </c>
      <c r="N565" s="46">
        <f>SUM(N557:N563)</f>
        <v>0</v>
      </c>
      <c r="O565" s="46">
        <f>SUM(O557:O563)</f>
        <v>0</v>
      </c>
      <c r="P565" s="46">
        <f>SUM(P557:P563)</f>
        <v>0</v>
      </c>
      <c r="Q565" s="39">
        <f t="shared" si="272"/>
        <v>0</v>
      </c>
      <c r="R565" s="37">
        <f t="shared" si="268"/>
        <v>4500</v>
      </c>
    </row>
    <row r="566" spans="1:20" ht="16.5" customHeight="1" thickBot="1" x14ac:dyDescent="0.35">
      <c r="A566" s="43" t="s">
        <v>1222</v>
      </c>
      <c r="B566" s="47">
        <f>+B544+B549+B556+B565</f>
        <v>0</v>
      </c>
      <c r="C566" s="42">
        <f>+C544+C549+C556+C565</f>
        <v>244</v>
      </c>
      <c r="D566" s="42">
        <f>+D544+D549+D556+D565</f>
        <v>2182</v>
      </c>
      <c r="E566" s="37">
        <f t="shared" si="269"/>
        <v>2426</v>
      </c>
      <c r="F566" s="42">
        <f>+F544+F549+F556+F565</f>
        <v>11728</v>
      </c>
      <c r="G566" s="42">
        <f>+G544+G549+G556+G565</f>
        <v>8420</v>
      </c>
      <c r="H566" s="42">
        <f>+H544+H549+H556+H565</f>
        <v>13839</v>
      </c>
      <c r="I566" s="37">
        <f t="shared" si="270"/>
        <v>33987</v>
      </c>
      <c r="J566" s="42">
        <f>+J544+J549+J556+J565</f>
        <v>16447</v>
      </c>
      <c r="K566" s="42">
        <f>+K544+K549+K556+K565</f>
        <v>13989</v>
      </c>
      <c r="L566" s="42">
        <f>+L544+L549+L556+L565</f>
        <v>12182</v>
      </c>
      <c r="M566" s="37">
        <f t="shared" si="271"/>
        <v>42618</v>
      </c>
      <c r="N566" s="42">
        <f>+N544+N549+N556+N565</f>
        <v>1926</v>
      </c>
      <c r="O566" s="42">
        <f>+O544+O549+O556+O565</f>
        <v>500</v>
      </c>
      <c r="P566" s="42">
        <f>+P544+P549+P556+P565</f>
        <v>2134</v>
      </c>
      <c r="Q566" s="37">
        <f t="shared" si="272"/>
        <v>4560</v>
      </c>
      <c r="R566" s="40">
        <f>+E566+I566+M566+Q566</f>
        <v>83591</v>
      </c>
    </row>
    <row r="567" spans="1:20" ht="16.5" customHeight="1" thickBot="1" x14ac:dyDescent="0.35">
      <c r="A567" s="299" t="s">
        <v>853</v>
      </c>
      <c r="B567" s="294">
        <v>9</v>
      </c>
      <c r="C567" s="294">
        <v>16</v>
      </c>
      <c r="D567" s="294">
        <v>25</v>
      </c>
      <c r="E567" s="38">
        <f t="shared" si="269"/>
        <v>50</v>
      </c>
      <c r="F567" s="294">
        <v>34</v>
      </c>
      <c r="G567" s="294">
        <v>41</v>
      </c>
      <c r="H567" s="294">
        <v>41</v>
      </c>
      <c r="I567" s="38">
        <f t="shared" si="270"/>
        <v>116</v>
      </c>
      <c r="J567" s="294">
        <v>39</v>
      </c>
      <c r="K567" s="294">
        <v>30</v>
      </c>
      <c r="L567" s="294">
        <v>30</v>
      </c>
      <c r="M567" s="38">
        <f t="shared" si="271"/>
        <v>99</v>
      </c>
      <c r="N567" s="294">
        <v>28</v>
      </c>
      <c r="O567" s="294">
        <v>22</v>
      </c>
      <c r="P567" s="294">
        <v>16</v>
      </c>
      <c r="Q567" s="38">
        <f t="shared" si="272"/>
        <v>66</v>
      </c>
      <c r="R567" s="38">
        <f t="shared" si="268"/>
        <v>331</v>
      </c>
    </row>
    <row r="568" spans="1:20" ht="16.5" customHeight="1" thickBot="1" x14ac:dyDescent="0.35">
      <c r="A568" s="44"/>
      <c r="B568" s="313"/>
      <c r="C568" s="313"/>
      <c r="D568" s="313"/>
      <c r="E568" s="37"/>
      <c r="F568" s="313"/>
      <c r="G568" s="313"/>
      <c r="H568" s="313"/>
      <c r="I568" s="37"/>
      <c r="J568" s="313"/>
      <c r="K568" s="313"/>
      <c r="L568" s="313"/>
      <c r="M568" s="37"/>
      <c r="N568" s="313"/>
      <c r="O568" s="313"/>
      <c r="P568" s="313"/>
      <c r="Q568" s="37"/>
      <c r="R568" s="37" t="s">
        <v>852</v>
      </c>
    </row>
    <row r="569" spans="1:20" ht="15.75" customHeight="1" x14ac:dyDescent="0.3">
      <c r="A569" s="259" t="s">
        <v>2011</v>
      </c>
      <c r="B569" s="741">
        <f>SUM(B566:B567)</f>
        <v>9</v>
      </c>
      <c r="C569" s="741">
        <f>SUM(C566:C567)</f>
        <v>260</v>
      </c>
      <c r="D569" s="741">
        <f>SUM(D566:D567)</f>
        <v>2207</v>
      </c>
      <c r="E569" s="39">
        <f>SUM(B569:D569)</f>
        <v>2476</v>
      </c>
      <c r="F569" s="741">
        <f>SUM(F566:F567)</f>
        <v>11762</v>
      </c>
      <c r="G569" s="741">
        <f>SUM(G566:G567)</f>
        <v>8461</v>
      </c>
      <c r="H569" s="741">
        <f>SUM(H566:H567)</f>
        <v>13880</v>
      </c>
      <c r="I569" s="39">
        <f>SUM(F569:H569)</f>
        <v>34103</v>
      </c>
      <c r="J569" s="741">
        <f>SUM(J566:J567)</f>
        <v>16486</v>
      </c>
      <c r="K569" s="741">
        <f>SUM(K566:K567)</f>
        <v>14019</v>
      </c>
      <c r="L569" s="741">
        <f>SUM(L566:L567)</f>
        <v>12212</v>
      </c>
      <c r="M569" s="39">
        <f>SUM(J569:L569)</f>
        <v>42717</v>
      </c>
      <c r="N569" s="741">
        <f>SUM(N566:N567)</f>
        <v>1954</v>
      </c>
      <c r="O569" s="741">
        <f>SUM(O566:O567)</f>
        <v>522</v>
      </c>
      <c r="P569" s="741">
        <f>SUM(P566:P567)</f>
        <v>2150</v>
      </c>
      <c r="Q569" s="39">
        <f>SUM(N569:P569)</f>
        <v>4626</v>
      </c>
      <c r="R569" s="39">
        <f>+E569+I569+M569+Q569</f>
        <v>83922</v>
      </c>
    </row>
    <row r="570" spans="1:20" ht="15.75" customHeight="1" x14ac:dyDescent="0.3">
      <c r="A570" s="262" t="s">
        <v>1897</v>
      </c>
      <c r="B570" s="10">
        <f>(B569/B10)/1.983</f>
        <v>0.14640573910497293</v>
      </c>
      <c r="C570" s="10">
        <f>(C569/C10)/1.983</f>
        <v>4.5211887248508873</v>
      </c>
      <c r="D570" s="10">
        <f>(D569/D10)/1.983</f>
        <v>35.901940689408356</v>
      </c>
      <c r="E570" s="38" t="s">
        <v>852</v>
      </c>
      <c r="F570" s="10">
        <f>(F569/F10)/1.983</f>
        <v>197.71390149604974</v>
      </c>
      <c r="G570" s="10">
        <f>(G569/G10)/1.983</f>
        <v>137.63766206301952</v>
      </c>
      <c r="H570" s="10">
        <f>(H569/H10)/1.983</f>
        <v>233.31652378551016</v>
      </c>
      <c r="I570" s="38" t="s">
        <v>852</v>
      </c>
      <c r="J570" s="10">
        <f>(J569/J10)/1.983</f>
        <v>268.18277943162036</v>
      </c>
      <c r="K570" s="10">
        <f>(K569/K10)/1.983</f>
        <v>228.05133961251281</v>
      </c>
      <c r="L570" s="10">
        <f>(L569/L10)/1.983</f>
        <v>205.27819801647334</v>
      </c>
      <c r="M570" s="38" t="s">
        <v>852</v>
      </c>
      <c r="N570" s="10">
        <f>(N569/N10)/1.983</f>
        <v>31.786312690124117</v>
      </c>
      <c r="O570" s="10">
        <f>(O569/O10)/1.983</f>
        <v>8.7745839636913754</v>
      </c>
      <c r="P570" s="10">
        <f>(P569/P10)/1.983</f>
        <v>34.974704341743532</v>
      </c>
      <c r="Q570" s="38" t="s">
        <v>852</v>
      </c>
      <c r="R570" s="38" t="s">
        <v>852</v>
      </c>
    </row>
    <row r="571" spans="1:20" ht="15.75" customHeight="1" x14ac:dyDescent="0.3">
      <c r="A571" s="262" t="s">
        <v>575</v>
      </c>
      <c r="B571" s="10">
        <f>B569+B616</f>
        <v>14138</v>
      </c>
      <c r="C571" s="10">
        <f>C569+C616</f>
        <v>23040</v>
      </c>
      <c r="D571" s="10">
        <f>D569+D616</f>
        <v>30482</v>
      </c>
      <c r="E571" s="38">
        <f>SUM(B571:D571)</f>
        <v>67660</v>
      </c>
      <c r="F571" s="10">
        <f>F569+F616</f>
        <v>48830</v>
      </c>
      <c r="G571" s="10">
        <f>G569+G616</f>
        <v>43779</v>
      </c>
      <c r="H571" s="10">
        <f>H569+H616</f>
        <v>46499</v>
      </c>
      <c r="I571" s="38">
        <f>SUM(F571:H571)</f>
        <v>139108</v>
      </c>
      <c r="J571" s="10">
        <f>J569+J616</f>
        <v>52305</v>
      </c>
      <c r="K571" s="10">
        <f>K569+K616</f>
        <v>48848</v>
      </c>
      <c r="L571" s="10">
        <f>L569+L616</f>
        <v>37175</v>
      </c>
      <c r="M571" s="38">
        <f>SUM(J571:L571)</f>
        <v>138328</v>
      </c>
      <c r="N571" s="10">
        <f>N569+N616</f>
        <v>18114</v>
      </c>
      <c r="O571" s="10">
        <f>O569+O616</f>
        <v>4255</v>
      </c>
      <c r="P571" s="10">
        <f>P569+P616</f>
        <v>17792</v>
      </c>
      <c r="Q571" s="38">
        <f>SUM(N571:P571)</f>
        <v>40161</v>
      </c>
      <c r="R571" s="38">
        <f>+E571+I571+M571+Q571</f>
        <v>385257</v>
      </c>
    </row>
    <row r="572" spans="1:20" ht="16.5" customHeight="1" thickBot="1" x14ac:dyDescent="0.35">
      <c r="A572" s="263" t="s">
        <v>576</v>
      </c>
      <c r="B572" s="315">
        <f>(B571/B10)/1.983</f>
        <v>229.98714882956745</v>
      </c>
      <c r="C572" s="315">
        <f>(C571/C10)/1.983</f>
        <v>400.64687777140171</v>
      </c>
      <c r="D572" s="315">
        <f>(D571/D10)/1.983</f>
        <v>495.85997104419823</v>
      </c>
      <c r="E572" s="40" t="s">
        <v>852</v>
      </c>
      <c r="F572" s="315">
        <f>(F571/F10)/1.983</f>
        <v>820.81022020507646</v>
      </c>
      <c r="G572" s="315">
        <f>(G571/G10)/1.983</f>
        <v>712.16631691962323</v>
      </c>
      <c r="H572" s="315">
        <f>(H571/H10)/1.983</f>
        <v>781.62716422928224</v>
      </c>
      <c r="I572" s="40" t="s">
        <v>852</v>
      </c>
      <c r="J572" s="315">
        <f>(J571/J10)/1.983</f>
        <v>850.86135376506752</v>
      </c>
      <c r="K572" s="315">
        <f>(K571/K10)/1.983</f>
        <v>794.62528264441301</v>
      </c>
      <c r="L572" s="315">
        <f>(L571/L10)/1.983</f>
        <v>624.89494032610526</v>
      </c>
      <c r="M572" s="40" t="s">
        <v>852</v>
      </c>
      <c r="N572" s="315">
        <f>(N571/N10)/1.983</f>
        <v>294.66595090527551</v>
      </c>
      <c r="O572" s="315">
        <f>(O571/O10)/1.983</f>
        <v>71.524625987560938</v>
      </c>
      <c r="P572" s="315">
        <f>(P571/P10)/1.983</f>
        <v>289.42787890618644</v>
      </c>
      <c r="Q572" s="40" t="s">
        <v>852</v>
      </c>
      <c r="R572" s="40" t="s">
        <v>852</v>
      </c>
    </row>
    <row r="573" spans="1:20" ht="15.75" customHeight="1" x14ac:dyDescent="0.3">
      <c r="A573" s="17"/>
      <c r="B573" s="10"/>
      <c r="C573" s="10"/>
      <c r="D573" s="10"/>
      <c r="E573" s="10"/>
      <c r="F573" s="10"/>
      <c r="G573" s="10"/>
      <c r="H573" s="10"/>
      <c r="I573" s="10"/>
      <c r="J573" s="10"/>
      <c r="K573" s="10"/>
      <c r="L573" s="10"/>
      <c r="M573" s="10"/>
      <c r="N573" s="10"/>
      <c r="O573" s="10"/>
      <c r="P573" s="10"/>
      <c r="Q573" s="10"/>
      <c r="R573" s="17"/>
    </row>
    <row r="574" spans="1:20" ht="15.75" customHeight="1" thickBot="1" x14ac:dyDescent="0.35">
      <c r="A574" s="17"/>
      <c r="B574" s="10"/>
      <c r="C574" s="10"/>
      <c r="D574" s="10"/>
      <c r="E574" s="10"/>
      <c r="F574" s="10"/>
      <c r="G574" s="10"/>
      <c r="H574" s="10"/>
      <c r="I574" s="10"/>
      <c r="J574" s="10"/>
      <c r="K574" s="10"/>
      <c r="L574" s="10"/>
      <c r="M574" s="10"/>
      <c r="N574" s="10"/>
      <c r="O574" s="10"/>
      <c r="P574" s="10"/>
      <c r="Q574" s="10"/>
      <c r="R574" s="17"/>
    </row>
    <row r="575" spans="1:20" ht="16.5" customHeight="1" thickBot="1" x14ac:dyDescent="0.35">
      <c r="A575" s="278" t="s">
        <v>689</v>
      </c>
      <c r="B575" s="4" t="s">
        <v>2090</v>
      </c>
      <c r="C575" s="5" t="s">
        <v>2091</v>
      </c>
      <c r="D575" s="5" t="s">
        <v>2234</v>
      </c>
      <c r="E575" s="33" t="s">
        <v>1594</v>
      </c>
      <c r="F575" s="5" t="s">
        <v>2235</v>
      </c>
      <c r="G575" s="5" t="s">
        <v>2236</v>
      </c>
      <c r="H575" s="5" t="s">
        <v>2237</v>
      </c>
      <c r="I575" s="35" t="s">
        <v>1595</v>
      </c>
      <c r="J575" s="5" t="s">
        <v>1504</v>
      </c>
      <c r="K575" s="5" t="s">
        <v>1505</v>
      </c>
      <c r="L575" s="5" t="s">
        <v>1506</v>
      </c>
      <c r="M575" s="35" t="s">
        <v>1596</v>
      </c>
      <c r="N575" s="5" t="s">
        <v>1507</v>
      </c>
      <c r="O575" s="5" t="s">
        <v>1508</v>
      </c>
      <c r="P575" s="5" t="s">
        <v>1509</v>
      </c>
      <c r="Q575" s="35" t="s">
        <v>1597</v>
      </c>
      <c r="R575" s="36" t="s">
        <v>1510</v>
      </c>
    </row>
    <row r="576" spans="1:20" ht="16.5" customHeight="1" thickBot="1" x14ac:dyDescent="0.35">
      <c r="A576" s="37"/>
      <c r="B576" s="313"/>
      <c r="C576" s="313"/>
      <c r="D576" s="313"/>
      <c r="E576" s="308"/>
      <c r="F576" s="313"/>
      <c r="G576" s="313"/>
      <c r="H576" s="313"/>
      <c r="I576" s="316"/>
      <c r="J576" s="313"/>
      <c r="K576" s="313"/>
      <c r="L576" s="313"/>
      <c r="M576" s="316"/>
      <c r="N576" s="313"/>
      <c r="O576" s="313"/>
      <c r="P576" s="313"/>
      <c r="Q576" s="316"/>
      <c r="R576" s="52"/>
    </row>
    <row r="577" spans="1:20" ht="15.75" customHeight="1" x14ac:dyDescent="0.3">
      <c r="A577" s="234" t="s">
        <v>2417</v>
      </c>
      <c r="B577" s="10" t="s">
        <v>852</v>
      </c>
      <c r="C577" s="10" t="s">
        <v>852</v>
      </c>
      <c r="D577" s="10" t="s">
        <v>852</v>
      </c>
      <c r="E577" s="38" t="s">
        <v>852</v>
      </c>
      <c r="F577" s="10"/>
      <c r="G577" s="10"/>
      <c r="H577" s="10"/>
      <c r="I577" s="38" t="s">
        <v>852</v>
      </c>
      <c r="J577" s="10" t="s">
        <v>852</v>
      </c>
      <c r="K577" s="10" t="s">
        <v>852</v>
      </c>
      <c r="L577" s="10" t="s">
        <v>852</v>
      </c>
      <c r="M577" s="38" t="s">
        <v>852</v>
      </c>
      <c r="N577" s="10" t="s">
        <v>852</v>
      </c>
      <c r="O577" s="10" t="s">
        <v>852</v>
      </c>
      <c r="P577" s="10" t="s">
        <v>852</v>
      </c>
      <c r="Q577" s="38" t="s">
        <v>852</v>
      </c>
      <c r="R577" s="38" t="s">
        <v>852</v>
      </c>
    </row>
    <row r="578" spans="1:20" ht="15.75" customHeight="1" x14ac:dyDescent="0.3">
      <c r="A578" s="234" t="s">
        <v>2160</v>
      </c>
      <c r="B578" s="10"/>
      <c r="C578" s="10"/>
      <c r="D578" s="10"/>
      <c r="E578" s="38" t="s">
        <v>852</v>
      </c>
      <c r="F578" s="10"/>
      <c r="G578" s="10"/>
      <c r="H578" s="10"/>
      <c r="I578" s="38" t="s">
        <v>852</v>
      </c>
      <c r="J578" s="10"/>
      <c r="K578" s="10"/>
      <c r="L578" s="10"/>
      <c r="M578" s="38" t="s">
        <v>852</v>
      </c>
      <c r="N578" s="10"/>
      <c r="O578" s="10"/>
      <c r="P578" s="10"/>
      <c r="Q578" s="38" t="s">
        <v>852</v>
      </c>
      <c r="R578" s="38" t="s">
        <v>852</v>
      </c>
    </row>
    <row r="579" spans="1:20" ht="15.75" customHeight="1" x14ac:dyDescent="0.3">
      <c r="A579" s="234" t="s">
        <v>2976</v>
      </c>
      <c r="C579" s="10"/>
      <c r="D579" s="10"/>
      <c r="E579" s="38">
        <f>SUM(B579:D579)</f>
        <v>0</v>
      </c>
      <c r="F579" s="10"/>
      <c r="G579" s="10"/>
      <c r="H579" s="10"/>
      <c r="I579" s="38">
        <f>SUM(F579:H579)</f>
        <v>0</v>
      </c>
      <c r="J579" s="10"/>
      <c r="K579" s="10"/>
      <c r="L579" s="10"/>
      <c r="M579" s="38">
        <f>SUM(J579:L579)</f>
        <v>0</v>
      </c>
      <c r="N579" s="10"/>
      <c r="O579" s="10"/>
      <c r="P579" s="10"/>
      <c r="Q579" s="38">
        <f>SUM(N579:P579)</f>
        <v>0</v>
      </c>
      <c r="R579" s="38">
        <f>+E579+I579+M579+Q579</f>
        <v>0</v>
      </c>
      <c r="T579" t="s">
        <v>505</v>
      </c>
    </row>
    <row r="580" spans="1:20" ht="15.75" customHeight="1" x14ac:dyDescent="0.3">
      <c r="A580" s="310" t="s">
        <v>1478</v>
      </c>
      <c r="B580" s="10"/>
      <c r="C580" s="10"/>
      <c r="D580" s="10"/>
      <c r="E580" s="38">
        <f>SUM(B580:D580)</f>
        <v>0</v>
      </c>
      <c r="F580" s="10">
        <v>500</v>
      </c>
      <c r="G580" s="10">
        <v>500</v>
      </c>
      <c r="H580" s="10">
        <v>1000</v>
      </c>
      <c r="I580" s="38">
        <f>SUM(F580:H580)</f>
        <v>2000</v>
      </c>
      <c r="J580" s="10"/>
      <c r="K580" s="10"/>
      <c r="L580" s="10"/>
      <c r="M580" s="38">
        <f>SUM(J580:L580)</f>
        <v>0</v>
      </c>
      <c r="N580" s="10"/>
      <c r="O580" s="10"/>
      <c r="P580" s="10"/>
      <c r="Q580" s="38">
        <f>SUM(N580:P580)</f>
        <v>0</v>
      </c>
      <c r="R580" s="38">
        <f>+E580+I580+M580+Q580</f>
        <v>2000</v>
      </c>
    </row>
    <row r="581" spans="1:20" ht="15.75" customHeight="1" x14ac:dyDescent="0.3">
      <c r="A581" s="310" t="s">
        <v>485</v>
      </c>
      <c r="B581" s="10"/>
      <c r="C581" s="10"/>
      <c r="D581" s="10">
        <v>150</v>
      </c>
      <c r="E581" s="38">
        <f>SUM(B581:D581)</f>
        <v>150</v>
      </c>
      <c r="F581" s="10">
        <v>151</v>
      </c>
      <c r="G581" s="10">
        <v>780</v>
      </c>
      <c r="H581" s="10">
        <v>189</v>
      </c>
      <c r="I581" s="38">
        <f>SUM(F581:H581)</f>
        <v>1120</v>
      </c>
      <c r="J581" s="10">
        <v>1000</v>
      </c>
      <c r="K581" s="10">
        <v>1109</v>
      </c>
      <c r="L581" s="10">
        <v>621</v>
      </c>
      <c r="M581" s="38">
        <f>SUM(J581:L581)</f>
        <v>2730</v>
      </c>
      <c r="N581" s="10"/>
      <c r="O581" s="10"/>
      <c r="P581" s="10"/>
      <c r="Q581" s="38">
        <f>SUM(N581:P581)</f>
        <v>0</v>
      </c>
      <c r="R581" s="38">
        <f>+E581+I581+M581+Q581</f>
        <v>4000</v>
      </c>
    </row>
    <row r="582" spans="1:20" ht="15.75" customHeight="1" x14ac:dyDescent="0.3">
      <c r="A582" s="539" t="s">
        <v>3142</v>
      </c>
      <c r="B582" s="10"/>
      <c r="C582" s="10"/>
      <c r="D582" s="10"/>
      <c r="E582" s="38">
        <f>SUM(B582:D582)</f>
        <v>0</v>
      </c>
      <c r="F582" s="10"/>
      <c r="G582" s="10"/>
      <c r="H582" s="10"/>
      <c r="I582" s="38">
        <f>SUM(F582:H582)</f>
        <v>0</v>
      </c>
      <c r="J582" s="10"/>
      <c r="K582" s="10">
        <v>500</v>
      </c>
      <c r="L582" s="10">
        <v>505</v>
      </c>
      <c r="M582" s="38">
        <f>SUM(J582:L582)</f>
        <v>1005</v>
      </c>
      <c r="N582" s="10">
        <v>295</v>
      </c>
      <c r="O582" s="10"/>
      <c r="P582" s="10"/>
      <c r="Q582" s="38">
        <f>SUM(N582:P582)</f>
        <v>295</v>
      </c>
      <c r="R582" s="38">
        <f>+E582+I582+M582+Q582</f>
        <v>1300</v>
      </c>
    </row>
    <row r="583" spans="1:20" ht="15.75" customHeight="1" x14ac:dyDescent="0.3">
      <c r="A583" s="310" t="s">
        <v>1938</v>
      </c>
      <c r="B583" s="10"/>
      <c r="C583" s="10"/>
      <c r="D583" s="10"/>
      <c r="E583" s="38">
        <f>SUM(B583:D583)</f>
        <v>0</v>
      </c>
      <c r="F583" s="10"/>
      <c r="G583" s="10"/>
      <c r="H583" s="10"/>
      <c r="I583" s="38">
        <f>SUM(F583:H583)</f>
        <v>0</v>
      </c>
      <c r="J583" s="10">
        <v>232</v>
      </c>
      <c r="K583" s="10"/>
      <c r="L583" s="10">
        <v>305</v>
      </c>
      <c r="M583" s="38">
        <f>SUM(J583:L583)</f>
        <v>537</v>
      </c>
      <c r="N583" s="10"/>
      <c r="O583" s="10"/>
      <c r="P583" s="10"/>
      <c r="Q583" s="38">
        <f>SUM(N583:P583)</f>
        <v>0</v>
      </c>
      <c r="R583" s="38">
        <f>+E583+I583+M583+Q583</f>
        <v>537</v>
      </c>
    </row>
    <row r="584" spans="1:20" ht="15.75" customHeight="1" x14ac:dyDescent="0.3">
      <c r="A584" s="234" t="s">
        <v>2161</v>
      </c>
      <c r="B584" s="10"/>
      <c r="C584" s="10"/>
      <c r="D584" s="10"/>
      <c r="E584" s="38" t="s">
        <v>852</v>
      </c>
      <c r="F584" s="10"/>
      <c r="G584" s="10"/>
      <c r="H584" s="10"/>
      <c r="I584" s="38" t="s">
        <v>852</v>
      </c>
      <c r="J584" s="10"/>
      <c r="K584" s="10"/>
      <c r="L584" s="10"/>
      <c r="M584" s="38" t="s">
        <v>852</v>
      </c>
      <c r="N584" s="10"/>
      <c r="O584" s="10"/>
      <c r="P584" s="10"/>
      <c r="Q584" s="38" t="s">
        <v>852</v>
      </c>
      <c r="R584" s="38" t="s">
        <v>852</v>
      </c>
    </row>
    <row r="585" spans="1:20" ht="15.75" customHeight="1" x14ac:dyDescent="0.3">
      <c r="A585" s="234" t="s">
        <v>3245</v>
      </c>
      <c r="B585" s="10"/>
      <c r="C585" s="10"/>
      <c r="D585" s="10"/>
      <c r="E585" s="38" t="s">
        <v>852</v>
      </c>
      <c r="F585" s="10"/>
      <c r="G585" s="10"/>
      <c r="H585" s="10"/>
      <c r="I585" s="38" t="s">
        <v>852</v>
      </c>
      <c r="J585" s="10"/>
      <c r="K585" s="10"/>
      <c r="L585" s="10"/>
      <c r="M585" s="38" t="s">
        <v>852</v>
      </c>
      <c r="N585" s="10"/>
      <c r="O585" s="10"/>
      <c r="P585" s="10"/>
      <c r="Q585" s="38" t="s">
        <v>852</v>
      </c>
      <c r="R585" s="38" t="s">
        <v>852</v>
      </c>
    </row>
    <row r="586" spans="1:20" ht="15.75" customHeight="1" thickBot="1" x14ac:dyDescent="0.35">
      <c r="A586" s="234" t="s">
        <v>2164</v>
      </c>
      <c r="B586" s="10"/>
      <c r="C586" s="10"/>
      <c r="D586" s="10"/>
      <c r="E586" s="38" t="s">
        <v>852</v>
      </c>
      <c r="F586" s="10"/>
      <c r="G586" s="10"/>
      <c r="H586" s="10"/>
      <c r="I586" s="38" t="s">
        <v>852</v>
      </c>
      <c r="J586" s="10"/>
      <c r="K586" s="10"/>
      <c r="L586" s="10"/>
      <c r="M586" s="38" t="s">
        <v>852</v>
      </c>
      <c r="N586" s="10"/>
      <c r="O586" s="10"/>
      <c r="P586" s="10"/>
      <c r="Q586" s="38" t="s">
        <v>852</v>
      </c>
      <c r="R586" s="38" t="s">
        <v>852</v>
      </c>
    </row>
    <row r="587" spans="1:20" ht="16.5" customHeight="1" thickBot="1" x14ac:dyDescent="0.35">
      <c r="A587" s="322" t="s">
        <v>1218</v>
      </c>
      <c r="B587" s="45">
        <f>SUM(B577:B586)</f>
        <v>0</v>
      </c>
      <c r="C587" s="46">
        <f>SUM(C577:C586)</f>
        <v>0</v>
      </c>
      <c r="D587" s="46">
        <f>SUM(D577:D586)</f>
        <v>150</v>
      </c>
      <c r="E587" s="37">
        <f>SUM(B587:D587)</f>
        <v>150</v>
      </c>
      <c r="F587" s="46">
        <f>SUM(F577:F586)</f>
        <v>651</v>
      </c>
      <c r="G587" s="46">
        <f>SUM(G577:G586)</f>
        <v>1280</v>
      </c>
      <c r="H587" s="46">
        <f>SUM(H577:H586)</f>
        <v>1189</v>
      </c>
      <c r="I587" s="37">
        <f>SUM(F587:H587)</f>
        <v>3120</v>
      </c>
      <c r="J587" s="46">
        <f>SUM(J577:J586)</f>
        <v>1232</v>
      </c>
      <c r="K587" s="46">
        <f>SUM(K577:K586)</f>
        <v>1609</v>
      </c>
      <c r="L587" s="46">
        <f>SUM(L577:L586)</f>
        <v>1431</v>
      </c>
      <c r="M587" s="37">
        <f>SUM(J587:L587)</f>
        <v>4272</v>
      </c>
      <c r="N587" s="46">
        <f>SUM(N577:N586)</f>
        <v>295</v>
      </c>
      <c r="O587" s="46">
        <f>SUM(O577:O586)</f>
        <v>0</v>
      </c>
      <c r="P587" s="46">
        <f>SUM(P577:P586)</f>
        <v>0</v>
      </c>
      <c r="Q587" s="37">
        <f>SUM(N587:P587)</f>
        <v>295</v>
      </c>
      <c r="R587" s="37">
        <f>+E587+I587+M587+Q587</f>
        <v>7837</v>
      </c>
    </row>
    <row r="588" spans="1:20" ht="15.75" customHeight="1" x14ac:dyDescent="0.3">
      <c r="A588" s="234" t="s">
        <v>1172</v>
      </c>
      <c r="B588" s="10"/>
      <c r="C588" s="10"/>
      <c r="D588" s="10"/>
      <c r="E588" s="39" t="s">
        <v>852</v>
      </c>
      <c r="F588" s="10"/>
      <c r="G588" s="10"/>
      <c r="H588" s="10"/>
      <c r="I588" s="39" t="s">
        <v>852</v>
      </c>
      <c r="J588" s="10"/>
      <c r="K588" s="10"/>
      <c r="L588" s="10"/>
      <c r="M588" s="39" t="s">
        <v>852</v>
      </c>
      <c r="N588" s="10"/>
      <c r="O588" s="10"/>
      <c r="P588" s="10"/>
      <c r="Q588" s="39" t="s">
        <v>852</v>
      </c>
      <c r="R588" s="737" t="s">
        <v>852</v>
      </c>
    </row>
    <row r="589" spans="1:20" ht="15.75" customHeight="1" x14ac:dyDescent="0.3">
      <c r="A589" s="234" t="s">
        <v>2409</v>
      </c>
      <c r="B589" s="10"/>
      <c r="C589" s="10"/>
      <c r="D589" s="10"/>
      <c r="E589" s="38" t="s">
        <v>852</v>
      </c>
      <c r="F589" s="10"/>
      <c r="G589" s="10"/>
      <c r="H589" s="10"/>
      <c r="I589" s="38" t="s">
        <v>852</v>
      </c>
      <c r="J589" s="10"/>
      <c r="K589" s="10"/>
      <c r="L589" s="10"/>
      <c r="M589" s="38" t="s">
        <v>852</v>
      </c>
      <c r="N589" s="10"/>
      <c r="O589" s="10"/>
      <c r="P589" s="10"/>
      <c r="Q589" s="38" t="s">
        <v>852</v>
      </c>
      <c r="R589" s="737" t="s">
        <v>852</v>
      </c>
    </row>
    <row r="590" spans="1:20" ht="15.75" customHeight="1" x14ac:dyDescent="0.3">
      <c r="A590" s="310" t="s">
        <v>791</v>
      </c>
      <c r="B590" s="10">
        <v>81</v>
      </c>
      <c r="C590" s="10">
        <v>83</v>
      </c>
      <c r="D590" s="10">
        <v>538</v>
      </c>
      <c r="E590" s="38">
        <f>SUM(B590:D590)</f>
        <v>702</v>
      </c>
      <c r="F590" s="10">
        <v>5366</v>
      </c>
      <c r="G590" s="10">
        <v>3643</v>
      </c>
      <c r="H590" s="10">
        <v>4763</v>
      </c>
      <c r="I590" s="38">
        <f>SUM(F590:H590)</f>
        <v>13772</v>
      </c>
      <c r="J590" s="10">
        <v>4877</v>
      </c>
      <c r="K590" s="10">
        <f>2434+3000</f>
        <v>5434</v>
      </c>
      <c r="L590" s="10">
        <v>464</v>
      </c>
      <c r="M590" s="38">
        <f>SUM(J590:L590)</f>
        <v>10775</v>
      </c>
      <c r="N590" s="10">
        <v>860</v>
      </c>
      <c r="O590" s="10">
        <f>80+300</f>
        <v>380</v>
      </c>
      <c r="P590" s="10">
        <v>606</v>
      </c>
      <c r="Q590" s="38">
        <f>SUM(N590:P590)</f>
        <v>1846</v>
      </c>
      <c r="R590" s="38">
        <f>+E590+I590+M590+Q590</f>
        <v>27095</v>
      </c>
      <c r="S590">
        <f>+SUM(R590,R547,R402)</f>
        <v>94188</v>
      </c>
      <c r="T590" t="s">
        <v>2704</v>
      </c>
    </row>
    <row r="591" spans="1:20" ht="15.75" customHeight="1" x14ac:dyDescent="0.3">
      <c r="A591" s="310" t="s">
        <v>2300</v>
      </c>
      <c r="B591" s="10"/>
      <c r="C591" s="10"/>
      <c r="D591" s="10"/>
      <c r="E591" s="38">
        <f>SUM(B591:D591)</f>
        <v>0</v>
      </c>
      <c r="F591" s="10"/>
      <c r="G591" s="10"/>
      <c r="H591" s="10"/>
      <c r="I591" s="38">
        <f>SUM(F591:H591)</f>
        <v>0</v>
      </c>
      <c r="J591" s="10"/>
      <c r="K591" s="10"/>
      <c r="L591" s="10"/>
      <c r="M591" s="38">
        <f>SUM(J591:L591)</f>
        <v>0</v>
      </c>
      <c r="N591" s="10"/>
      <c r="O591" s="10"/>
      <c r="P591" s="10"/>
      <c r="Q591" s="38">
        <f>SUM(N591:P591)</f>
        <v>0</v>
      </c>
      <c r="R591" s="38">
        <f>+E591+I591+M591+Q591</f>
        <v>0</v>
      </c>
    </row>
    <row r="592" spans="1:20" ht="15.75" customHeight="1" thickBot="1" x14ac:dyDescent="0.35">
      <c r="A592" s="234" t="s">
        <v>2165</v>
      </c>
      <c r="B592" s="10"/>
      <c r="C592" s="10"/>
      <c r="D592" s="10"/>
      <c r="E592" s="38" t="s">
        <v>852</v>
      </c>
      <c r="F592" s="10"/>
      <c r="G592" s="10"/>
      <c r="H592" s="10"/>
      <c r="I592" s="38" t="s">
        <v>852</v>
      </c>
      <c r="J592" s="10"/>
      <c r="K592" s="10"/>
      <c r="L592" s="10"/>
      <c r="M592" s="38" t="s">
        <v>852</v>
      </c>
      <c r="N592" s="10"/>
      <c r="O592" s="10"/>
      <c r="P592" s="10"/>
      <c r="Q592" s="38" t="s">
        <v>852</v>
      </c>
      <c r="R592" s="737" t="s">
        <v>852</v>
      </c>
    </row>
    <row r="593" spans="1:20" ht="16.5" customHeight="1" thickBot="1" x14ac:dyDescent="0.35">
      <c r="A593" s="43" t="s">
        <v>1219</v>
      </c>
      <c r="B593" s="45">
        <f>SUM(B588:B592)</f>
        <v>81</v>
      </c>
      <c r="C593" s="46">
        <f>SUM(C588:C592)</f>
        <v>83</v>
      </c>
      <c r="D593" s="46">
        <f>SUM(D588:D592)</f>
        <v>538</v>
      </c>
      <c r="E593" s="37">
        <f>SUM(B593:D593)</f>
        <v>702</v>
      </c>
      <c r="F593" s="46">
        <f>SUM(F588:F592)</f>
        <v>5366</v>
      </c>
      <c r="G593" s="46">
        <f>SUM(G588:G592)</f>
        <v>3643</v>
      </c>
      <c r="H593" s="46">
        <f>SUM(H588:H592)</f>
        <v>4763</v>
      </c>
      <c r="I593" s="37">
        <f>SUM(F593:H593)</f>
        <v>13772</v>
      </c>
      <c r="J593" s="46">
        <f>SUM(J588:J592)</f>
        <v>4877</v>
      </c>
      <c r="K593" s="46">
        <f>SUM(K588:K592)</f>
        <v>5434</v>
      </c>
      <c r="L593" s="46">
        <f>SUM(L588:L592)</f>
        <v>464</v>
      </c>
      <c r="M593" s="37">
        <f>SUM(J593:L593)</f>
        <v>10775</v>
      </c>
      <c r="N593" s="46">
        <f>SUM(N588:N592)</f>
        <v>860</v>
      </c>
      <c r="O593" s="46">
        <f>SUM(O588:O592)</f>
        <v>380</v>
      </c>
      <c r="P593" s="46">
        <f>SUM(P588:P592)</f>
        <v>606</v>
      </c>
      <c r="Q593" s="37">
        <f>SUM(N593:P593)</f>
        <v>1846</v>
      </c>
      <c r="R593" s="37">
        <f>+E593+I593+M593+Q593</f>
        <v>27095</v>
      </c>
    </row>
    <row r="594" spans="1:20" ht="15.75" customHeight="1" x14ac:dyDescent="0.3">
      <c r="A594" s="234" t="s">
        <v>2166</v>
      </c>
      <c r="B594" s="10"/>
      <c r="C594" s="10"/>
      <c r="D594" s="10"/>
      <c r="E594" s="38" t="s">
        <v>852</v>
      </c>
      <c r="F594" s="10"/>
      <c r="G594" s="10"/>
      <c r="H594" s="10"/>
      <c r="I594" s="38" t="s">
        <v>852</v>
      </c>
      <c r="J594" s="10"/>
      <c r="K594" s="10"/>
      <c r="L594" s="10"/>
      <c r="M594" s="38" t="s">
        <v>852</v>
      </c>
      <c r="N594" s="10"/>
      <c r="O594" s="10"/>
      <c r="P594" s="10"/>
      <c r="Q594" s="38" t="s">
        <v>852</v>
      </c>
      <c r="R594" s="38" t="s">
        <v>852</v>
      </c>
    </row>
    <row r="595" spans="1:20" ht="15.75" customHeight="1" x14ac:dyDescent="0.3">
      <c r="A595" s="234" t="s">
        <v>1245</v>
      </c>
      <c r="B595" s="10"/>
      <c r="C595" s="10"/>
      <c r="D595" s="10"/>
      <c r="E595" s="38" t="s">
        <v>852</v>
      </c>
      <c r="F595" s="10"/>
      <c r="G595" s="10"/>
      <c r="H595" s="10"/>
      <c r="I595" s="38" t="s">
        <v>852</v>
      </c>
      <c r="J595" s="10"/>
      <c r="K595" s="10"/>
      <c r="L595" s="10"/>
      <c r="M595" s="38" t="s">
        <v>852</v>
      </c>
      <c r="N595" s="10"/>
      <c r="O595" s="10"/>
      <c r="P595" s="10"/>
      <c r="Q595" s="38" t="s">
        <v>852</v>
      </c>
      <c r="R595" s="38" t="s">
        <v>852</v>
      </c>
    </row>
    <row r="596" spans="1:20" ht="15.75" customHeight="1" x14ac:dyDescent="0.3">
      <c r="A596" s="234" t="s">
        <v>1711</v>
      </c>
      <c r="B596" s="10"/>
      <c r="C596" s="10"/>
      <c r="D596" s="10"/>
      <c r="E596" s="38" t="s">
        <v>852</v>
      </c>
      <c r="F596" s="10"/>
      <c r="G596" s="10"/>
      <c r="H596" s="10"/>
      <c r="I596" s="38" t="s">
        <v>852</v>
      </c>
      <c r="J596" s="10"/>
      <c r="K596" s="10"/>
      <c r="L596" s="10"/>
      <c r="M596" s="38" t="s">
        <v>852</v>
      </c>
      <c r="N596" s="10"/>
      <c r="O596" s="10"/>
      <c r="P596" s="10"/>
      <c r="Q596" s="38" t="s">
        <v>852</v>
      </c>
      <c r="R596" s="38" t="s">
        <v>852</v>
      </c>
    </row>
    <row r="597" spans="1:20" ht="15.75" customHeight="1" thickBot="1" x14ac:dyDescent="0.35">
      <c r="A597" s="689" t="s">
        <v>2937</v>
      </c>
      <c r="B597" s="10"/>
      <c r="C597" s="10"/>
      <c r="D597" s="10"/>
      <c r="E597" s="38">
        <f>SUM(B597:D597)</f>
        <v>0</v>
      </c>
      <c r="F597" s="10"/>
      <c r="G597" s="10"/>
      <c r="H597" s="10"/>
      <c r="I597" s="38">
        <f>SUM(F597:H597)</f>
        <v>0</v>
      </c>
      <c r="J597" s="10"/>
      <c r="K597" s="10"/>
      <c r="L597" s="10"/>
      <c r="M597" s="38">
        <f>SUM(J597:L597)</f>
        <v>0</v>
      </c>
      <c r="N597" s="10"/>
      <c r="O597" s="10"/>
      <c r="P597" s="10"/>
      <c r="Q597" s="38">
        <f>SUM(N597:P597)</f>
        <v>0</v>
      </c>
      <c r="R597" s="38">
        <f>+E597+I597+M597+Q597</f>
        <v>0</v>
      </c>
      <c r="T597" t="s">
        <v>505</v>
      </c>
    </row>
    <row r="598" spans="1:20" ht="16.5" customHeight="1" thickBot="1" x14ac:dyDescent="0.35">
      <c r="A598" s="277" t="s">
        <v>1220</v>
      </c>
      <c r="B598" s="45">
        <f>SUM(B594:B597)</f>
        <v>0</v>
      </c>
      <c r="C598" s="46">
        <f>SUM(C594:C597)</f>
        <v>0</v>
      </c>
      <c r="D598" s="46">
        <f>SUM(D594:D597)</f>
        <v>0</v>
      </c>
      <c r="E598" s="37">
        <f>SUM(B598:D598)</f>
        <v>0</v>
      </c>
      <c r="F598" s="46">
        <f>SUM(F594:F597)</f>
        <v>0</v>
      </c>
      <c r="G598" s="46">
        <f>SUM(G594:G597)</f>
        <v>0</v>
      </c>
      <c r="H598" s="46">
        <f>SUM(H594:H597)</f>
        <v>0</v>
      </c>
      <c r="I598" s="37">
        <f>SUM(F598:H598)</f>
        <v>0</v>
      </c>
      <c r="J598" s="46">
        <f>SUM(J594:J597)</f>
        <v>0</v>
      </c>
      <c r="K598" s="46">
        <f>SUM(K594:K597)</f>
        <v>0</v>
      </c>
      <c r="L598" s="46">
        <f>SUM(L594:L597)</f>
        <v>0</v>
      </c>
      <c r="M598" s="37">
        <f>SUM(J598:L598)</f>
        <v>0</v>
      </c>
      <c r="N598" s="46">
        <f>SUM(N594:N597)</f>
        <v>0</v>
      </c>
      <c r="O598" s="46">
        <f>SUM(O594:O597)</f>
        <v>0</v>
      </c>
      <c r="P598" s="46">
        <f>SUM(P594:P597)</f>
        <v>0</v>
      </c>
      <c r="Q598" s="37">
        <f>SUM(N598:P598)</f>
        <v>0</v>
      </c>
      <c r="R598" s="37">
        <f>+E598+I598+M598+Q598</f>
        <v>0</v>
      </c>
    </row>
    <row r="599" spans="1:20" ht="15.75" customHeight="1" x14ac:dyDescent="0.3">
      <c r="A599" s="234" t="s">
        <v>1712</v>
      </c>
      <c r="B599" s="10"/>
      <c r="C599" s="10"/>
      <c r="D599" s="10"/>
      <c r="E599" s="38" t="s">
        <v>852</v>
      </c>
      <c r="F599" s="10"/>
      <c r="G599" s="10"/>
      <c r="H599" s="10"/>
      <c r="I599" s="38" t="s">
        <v>852</v>
      </c>
      <c r="J599" s="10"/>
      <c r="K599" s="10"/>
      <c r="L599" s="10"/>
      <c r="M599" s="38" t="s">
        <v>852</v>
      </c>
      <c r="N599" s="10"/>
      <c r="O599" s="10"/>
      <c r="P599" s="10"/>
      <c r="Q599" s="38" t="s">
        <v>852</v>
      </c>
      <c r="R599" s="38" t="s">
        <v>852</v>
      </c>
    </row>
    <row r="600" spans="1:20" ht="15.75" customHeight="1" x14ac:dyDescent="0.3">
      <c r="A600" s="234" t="s">
        <v>1021</v>
      </c>
      <c r="B600" s="10"/>
      <c r="C600" s="10"/>
      <c r="D600" s="10"/>
      <c r="E600" s="38" t="s">
        <v>852</v>
      </c>
      <c r="F600" s="10"/>
      <c r="G600" s="10"/>
      <c r="H600" s="10"/>
      <c r="I600" s="38" t="s">
        <v>852</v>
      </c>
      <c r="J600" s="10"/>
      <c r="K600" s="10"/>
      <c r="L600" s="10"/>
      <c r="M600" s="38" t="s">
        <v>852</v>
      </c>
      <c r="N600" s="10"/>
      <c r="O600" s="10"/>
      <c r="P600" s="10"/>
      <c r="Q600" s="38" t="s">
        <v>852</v>
      </c>
      <c r="R600" s="38" t="s">
        <v>852</v>
      </c>
    </row>
    <row r="601" spans="1:20" ht="15.75" customHeight="1" x14ac:dyDescent="0.3">
      <c r="A601" s="234" t="s">
        <v>557</v>
      </c>
      <c r="B601" s="10"/>
      <c r="C601" s="10"/>
      <c r="D601" s="10"/>
      <c r="E601" s="38" t="s">
        <v>852</v>
      </c>
      <c r="F601" s="10"/>
      <c r="G601" s="10"/>
      <c r="H601" s="10"/>
      <c r="I601" s="38" t="s">
        <v>852</v>
      </c>
      <c r="J601" s="10"/>
      <c r="K601" s="10"/>
      <c r="L601" s="10"/>
      <c r="M601" s="38" t="s">
        <v>852</v>
      </c>
      <c r="N601" s="10"/>
      <c r="O601" s="10"/>
      <c r="P601" s="10"/>
      <c r="Q601" s="38" t="s">
        <v>852</v>
      </c>
      <c r="R601" s="38" t="s">
        <v>852</v>
      </c>
    </row>
    <row r="602" spans="1:20" ht="15.75" customHeight="1" x14ac:dyDescent="0.3">
      <c r="A602" s="234" t="s">
        <v>1022</v>
      </c>
      <c r="B602" s="10"/>
      <c r="C602" s="10"/>
      <c r="D602" s="10"/>
      <c r="E602" s="38" t="s">
        <v>852</v>
      </c>
      <c r="F602" s="10"/>
      <c r="G602" s="10"/>
      <c r="H602" s="10"/>
      <c r="I602" s="38" t="s">
        <v>852</v>
      </c>
      <c r="J602" s="10"/>
      <c r="K602" s="10"/>
      <c r="L602" s="10"/>
      <c r="M602" s="38" t="s">
        <v>852</v>
      </c>
      <c r="N602" s="10"/>
      <c r="O602" s="10"/>
      <c r="P602" s="10"/>
      <c r="Q602" s="38" t="s">
        <v>852</v>
      </c>
      <c r="R602" s="38" t="s">
        <v>852</v>
      </c>
    </row>
    <row r="603" spans="1:20" ht="15.75" customHeight="1" x14ac:dyDescent="0.3">
      <c r="A603" s="539" t="s">
        <v>3263</v>
      </c>
      <c r="B603" s="10"/>
      <c r="C603" s="10"/>
      <c r="D603" s="10"/>
      <c r="E603" s="38">
        <f>SUM(B603:D603)</f>
        <v>0</v>
      </c>
      <c r="F603" s="10"/>
      <c r="G603" s="10"/>
      <c r="H603" s="10"/>
      <c r="I603" s="38">
        <f>SUM(F603:H603)</f>
        <v>0</v>
      </c>
      <c r="J603" s="10"/>
      <c r="K603" s="10"/>
      <c r="L603" s="10"/>
      <c r="M603" s="38">
        <f>SUM(J603:L603)</f>
        <v>0</v>
      </c>
      <c r="N603" s="10"/>
      <c r="O603" s="10"/>
      <c r="P603" s="10"/>
      <c r="Q603" s="38">
        <f>SUM(N603:P603)</f>
        <v>0</v>
      </c>
      <c r="R603" s="38">
        <f>+E603+I603+M603+Q603</f>
        <v>0</v>
      </c>
    </row>
    <row r="604" spans="1:20" ht="15.75" customHeight="1" x14ac:dyDescent="0.3">
      <c r="A604" s="234" t="s">
        <v>559</v>
      </c>
      <c r="B604" s="10"/>
      <c r="C604" s="10"/>
      <c r="D604" s="10"/>
      <c r="E604" s="38"/>
      <c r="F604" s="10"/>
      <c r="G604" s="10"/>
      <c r="H604" s="10"/>
      <c r="I604" s="38"/>
      <c r="J604" s="10"/>
      <c r="K604" s="10"/>
      <c r="L604" s="10"/>
      <c r="M604" s="38"/>
      <c r="N604" s="10"/>
      <c r="O604" s="10"/>
      <c r="P604" s="10"/>
      <c r="Q604" s="38"/>
      <c r="R604" s="38" t="s">
        <v>852</v>
      </c>
    </row>
    <row r="605" spans="1:20" ht="15.75" customHeight="1" x14ac:dyDescent="0.3">
      <c r="A605" s="539" t="s">
        <v>2936</v>
      </c>
      <c r="B605" s="10"/>
      <c r="C605" s="10"/>
      <c r="D605" s="10"/>
      <c r="E605" s="38">
        <f t="shared" ref="E605:E612" si="273">SUM(B605:D605)</f>
        <v>0</v>
      </c>
      <c r="F605" s="10"/>
      <c r="G605" s="10"/>
      <c r="H605" s="10"/>
      <c r="I605" s="38">
        <f t="shared" ref="I605:I612" si="274">SUM(F605:H605)</f>
        <v>0</v>
      </c>
      <c r="J605" s="10"/>
      <c r="K605" s="10"/>
      <c r="L605" s="10"/>
      <c r="M605" s="38">
        <f t="shared" ref="M605:M612" si="275">SUM(J605:L605)</f>
        <v>0</v>
      </c>
      <c r="N605" s="10"/>
      <c r="O605" s="10"/>
      <c r="P605" s="10"/>
      <c r="Q605" s="38">
        <f t="shared" ref="Q605:Q612" si="276">SUM(N605:P605)</f>
        <v>0</v>
      </c>
      <c r="R605" s="38">
        <f t="shared" ref="R605:R612" si="277">+E605+I605+M605+Q605</f>
        <v>0</v>
      </c>
      <c r="T605" t="s">
        <v>505</v>
      </c>
    </row>
    <row r="606" spans="1:20" ht="15.75" customHeight="1" x14ac:dyDescent="0.3">
      <c r="A606" s="539" t="s">
        <v>2836</v>
      </c>
      <c r="B606" s="10"/>
      <c r="C606" s="10"/>
      <c r="D606" s="10"/>
      <c r="E606" s="38">
        <f>SUM(B606:D606)</f>
        <v>0</v>
      </c>
      <c r="F606" s="10"/>
      <c r="G606" s="10"/>
      <c r="H606" s="10"/>
      <c r="I606" s="38">
        <f>SUM(F606:H606)</f>
        <v>0</v>
      </c>
      <c r="J606" s="10"/>
      <c r="K606" s="10"/>
      <c r="L606" s="10"/>
      <c r="M606" s="38">
        <f>SUM(J606:L606)</f>
        <v>0</v>
      </c>
      <c r="N606" s="10"/>
      <c r="O606" s="10"/>
      <c r="P606" s="10"/>
      <c r="Q606" s="38">
        <f>SUM(N606:P606)</f>
        <v>0</v>
      </c>
      <c r="R606" s="38">
        <f>+E606+I606+M606+Q606</f>
        <v>0</v>
      </c>
      <c r="T606" t="s">
        <v>505</v>
      </c>
    </row>
    <row r="607" spans="1:20" ht="15.75" customHeight="1" x14ac:dyDescent="0.3">
      <c r="A607" s="539" t="s">
        <v>3228</v>
      </c>
      <c r="B607" s="10"/>
      <c r="C607" s="10"/>
      <c r="D607" s="10"/>
      <c r="E607" s="38">
        <f t="shared" ref="E607" si="278">SUM(B607:D607)</f>
        <v>0</v>
      </c>
      <c r="F607" s="10"/>
      <c r="G607" s="10"/>
      <c r="H607" s="10"/>
      <c r="I607" s="38">
        <f t="shared" ref="I607" si="279">SUM(F607:H607)</f>
        <v>0</v>
      </c>
      <c r="J607" s="10"/>
      <c r="K607" s="10"/>
      <c r="L607" s="10"/>
      <c r="M607" s="38">
        <f t="shared" ref="M607" si="280">SUM(J607:L607)</f>
        <v>0</v>
      </c>
      <c r="N607" s="10"/>
      <c r="O607" s="10"/>
      <c r="P607" s="10"/>
      <c r="Q607" s="38">
        <f t="shared" ref="Q607" si="281">SUM(N607:P607)</f>
        <v>0</v>
      </c>
      <c r="R607" s="38">
        <f t="shared" ref="R607" si="282">+E607+I607+M607+Q607</f>
        <v>0</v>
      </c>
    </row>
    <row r="608" spans="1:20" ht="15.75" customHeight="1" thickBot="1" x14ac:dyDescent="0.35">
      <c r="A608" s="539" t="s">
        <v>2577</v>
      </c>
      <c r="B608" s="10"/>
      <c r="C608" s="10"/>
      <c r="D608" s="10"/>
      <c r="E608" s="38">
        <f t="shared" si="273"/>
        <v>0</v>
      </c>
      <c r="F608" s="10"/>
      <c r="G608" s="10"/>
      <c r="H608" s="10"/>
      <c r="I608" s="38">
        <f t="shared" si="274"/>
        <v>0</v>
      </c>
      <c r="J608" s="10"/>
      <c r="K608" s="10"/>
      <c r="L608" s="10"/>
      <c r="M608" s="38">
        <f t="shared" si="275"/>
        <v>0</v>
      </c>
      <c r="N608" s="10"/>
      <c r="O608" s="10"/>
      <c r="P608" s="10"/>
      <c r="Q608" s="38">
        <f t="shared" si="276"/>
        <v>0</v>
      </c>
      <c r="R608" s="38">
        <f t="shared" si="277"/>
        <v>0</v>
      </c>
    </row>
    <row r="609" spans="1:18" ht="16.5" customHeight="1" thickBot="1" x14ac:dyDescent="0.35">
      <c r="A609" s="43" t="s">
        <v>1019</v>
      </c>
      <c r="B609" s="42">
        <f>SUM(B602:B608)</f>
        <v>0</v>
      </c>
      <c r="C609" s="42">
        <f>SUM(C602:C608)</f>
        <v>0</v>
      </c>
      <c r="D609" s="42">
        <f>SUM(D602:D608)</f>
        <v>0</v>
      </c>
      <c r="E609" s="39">
        <f t="shared" si="273"/>
        <v>0</v>
      </c>
      <c r="F609" s="42">
        <f>SUM(F602:F608)</f>
        <v>0</v>
      </c>
      <c r="G609" s="42">
        <f>SUM(G602:G608)</f>
        <v>0</v>
      </c>
      <c r="H609" s="42">
        <f>SUM(H602:H608)</f>
        <v>0</v>
      </c>
      <c r="I609" s="39">
        <f t="shared" si="274"/>
        <v>0</v>
      </c>
      <c r="J609" s="42">
        <f>SUM(J602:J608)</f>
        <v>0</v>
      </c>
      <c r="K609" s="42">
        <f>SUM(K602:K608)</f>
        <v>0</v>
      </c>
      <c r="L609" s="42">
        <f>SUM(L602:L608)</f>
        <v>0</v>
      </c>
      <c r="M609" s="39">
        <f t="shared" si="275"/>
        <v>0</v>
      </c>
      <c r="N609" s="42">
        <f>SUM(N602:N608)</f>
        <v>0</v>
      </c>
      <c r="O609" s="42">
        <f>SUM(O602:O608)</f>
        <v>0</v>
      </c>
      <c r="P609" s="42">
        <f>SUM(P602:P608)</f>
        <v>0</v>
      </c>
      <c r="Q609" s="39">
        <f t="shared" si="276"/>
        <v>0</v>
      </c>
      <c r="R609" s="37">
        <f t="shared" si="277"/>
        <v>0</v>
      </c>
    </row>
    <row r="610" spans="1:18" ht="16.5" customHeight="1" thickBot="1" x14ac:dyDescent="0.35">
      <c r="A610" s="277" t="s">
        <v>1221</v>
      </c>
      <c r="B610" s="45">
        <f>SUM(B599:B608)</f>
        <v>0</v>
      </c>
      <c r="C610" s="46">
        <f>SUM(C599:C608)</f>
        <v>0</v>
      </c>
      <c r="D610" s="58">
        <f>SUM(D599:D608)</f>
        <v>0</v>
      </c>
      <c r="E610" s="39">
        <f t="shared" si="273"/>
        <v>0</v>
      </c>
      <c r="F610" s="46">
        <f>SUM(F599:F608)</f>
        <v>0</v>
      </c>
      <c r="G610" s="46">
        <f>SUM(G599:G608)</f>
        <v>0</v>
      </c>
      <c r="H610" s="46">
        <f>SUM(H599:H608)</f>
        <v>0</v>
      </c>
      <c r="I610" s="39">
        <f t="shared" si="274"/>
        <v>0</v>
      </c>
      <c r="J610" s="46">
        <f>SUM(J599:J608)</f>
        <v>0</v>
      </c>
      <c r="K610" s="46">
        <f>SUM(K599:K608)</f>
        <v>0</v>
      </c>
      <c r="L610" s="46">
        <f>SUM(L599:L608)</f>
        <v>0</v>
      </c>
      <c r="M610" s="39">
        <f t="shared" si="275"/>
        <v>0</v>
      </c>
      <c r="N610" s="46">
        <f>SUM(N599:N608)</f>
        <v>0</v>
      </c>
      <c r="O610" s="46">
        <f>SUM(O599:O608)</f>
        <v>0</v>
      </c>
      <c r="P610" s="46">
        <f>SUM(P599:P608)</f>
        <v>0</v>
      </c>
      <c r="Q610" s="39">
        <f t="shared" si="276"/>
        <v>0</v>
      </c>
      <c r="R610" s="37">
        <f t="shared" si="277"/>
        <v>0</v>
      </c>
    </row>
    <row r="611" spans="1:18" ht="16.5" customHeight="1" thickBot="1" x14ac:dyDescent="0.35">
      <c r="A611" s="43" t="s">
        <v>1222</v>
      </c>
      <c r="B611" s="47">
        <f>+B587+B593+B598+B610</f>
        <v>81</v>
      </c>
      <c r="C611" s="42">
        <f>+C587+C593+C598+C610</f>
        <v>83</v>
      </c>
      <c r="D611" s="42">
        <f>+D587+D593+D598+D610</f>
        <v>688</v>
      </c>
      <c r="E611" s="37">
        <f t="shared" si="273"/>
        <v>852</v>
      </c>
      <c r="F611" s="42">
        <f>+F587+F593+F598+F610</f>
        <v>6017</v>
      </c>
      <c r="G611" s="42">
        <f>+G587+G593+G598+G610</f>
        <v>4923</v>
      </c>
      <c r="H611" s="42">
        <f>+H587+H593+H598+H610</f>
        <v>5952</v>
      </c>
      <c r="I611" s="37">
        <f t="shared" si="274"/>
        <v>16892</v>
      </c>
      <c r="J611" s="42">
        <f>+J587+J593+J598+J610</f>
        <v>6109</v>
      </c>
      <c r="K611" s="42">
        <f>+K587+K593+K598+K610</f>
        <v>7043</v>
      </c>
      <c r="L611" s="42">
        <f>+L587+L593+L598+L610</f>
        <v>1895</v>
      </c>
      <c r="M611" s="37">
        <f t="shared" si="275"/>
        <v>15047</v>
      </c>
      <c r="N611" s="42">
        <f>+N587+N593+N598+N610</f>
        <v>1155</v>
      </c>
      <c r="O611" s="42">
        <f>+O587+O593+O598+O610</f>
        <v>380</v>
      </c>
      <c r="P611" s="42">
        <f>+P587+P593+P598+P610</f>
        <v>606</v>
      </c>
      <c r="Q611" s="37">
        <f t="shared" si="276"/>
        <v>2141</v>
      </c>
      <c r="R611" s="40">
        <f t="shared" si="277"/>
        <v>34932</v>
      </c>
    </row>
    <row r="612" spans="1:18" ht="16.5" customHeight="1" thickBot="1" x14ac:dyDescent="0.35">
      <c r="A612" s="299" t="s">
        <v>853</v>
      </c>
      <c r="B612" s="294">
        <v>23</v>
      </c>
      <c r="C612" s="294">
        <v>43</v>
      </c>
      <c r="D612" s="294">
        <v>66</v>
      </c>
      <c r="E612" s="40">
        <f t="shared" si="273"/>
        <v>132</v>
      </c>
      <c r="F612" s="294">
        <v>91</v>
      </c>
      <c r="G612" s="294">
        <v>108</v>
      </c>
      <c r="H612" s="294">
        <v>109</v>
      </c>
      <c r="I612" s="40">
        <f t="shared" si="274"/>
        <v>308</v>
      </c>
      <c r="J612" s="294">
        <v>104</v>
      </c>
      <c r="K612" s="294">
        <v>79</v>
      </c>
      <c r="L612" s="294">
        <v>80</v>
      </c>
      <c r="M612" s="40">
        <f t="shared" si="275"/>
        <v>263</v>
      </c>
      <c r="N612" s="294">
        <v>74</v>
      </c>
      <c r="O612" s="294">
        <v>58</v>
      </c>
      <c r="P612" s="294">
        <v>42</v>
      </c>
      <c r="Q612" s="40">
        <f t="shared" si="276"/>
        <v>174</v>
      </c>
      <c r="R612" s="38">
        <f t="shared" si="277"/>
        <v>877</v>
      </c>
    </row>
    <row r="613" spans="1:18" ht="16.5" customHeight="1" thickBot="1" x14ac:dyDescent="0.35">
      <c r="A613" s="22"/>
      <c r="B613" s="297"/>
      <c r="C613" s="297"/>
      <c r="D613" s="297"/>
      <c r="E613" s="21"/>
      <c r="F613" s="297"/>
      <c r="G613" s="297"/>
      <c r="H613" s="297"/>
      <c r="I613" s="31"/>
      <c r="J613" s="297"/>
      <c r="K613" s="297"/>
      <c r="L613" s="297"/>
      <c r="M613" s="31"/>
      <c r="N613" s="297"/>
      <c r="O613" s="297"/>
      <c r="P613" s="297"/>
      <c r="Q613" s="31"/>
      <c r="R613" s="21"/>
    </row>
    <row r="614" spans="1:18" ht="15.75" customHeight="1" x14ac:dyDescent="0.3">
      <c r="A614" s="234" t="s">
        <v>120</v>
      </c>
      <c r="B614" s="741">
        <f>SUM(B611:B612)</f>
        <v>104</v>
      </c>
      <c r="C614" s="741">
        <f>SUM(C611:C612)</f>
        <v>126</v>
      </c>
      <c r="D614" s="741">
        <f>SUM(D611:D612)</f>
        <v>754</v>
      </c>
      <c r="E614" s="39">
        <f>SUM(B614:D614)</f>
        <v>984</v>
      </c>
      <c r="F614" s="741">
        <f>SUM(F611:F612)</f>
        <v>6108</v>
      </c>
      <c r="G614" s="741">
        <f>SUM(G611:G612)</f>
        <v>5031</v>
      </c>
      <c r="H614" s="741">
        <f>SUM(H611:H612)</f>
        <v>6061</v>
      </c>
      <c r="I614" s="39">
        <f>SUM(F614:H614)</f>
        <v>17200</v>
      </c>
      <c r="J614" s="741">
        <f>SUM(J611:J612)</f>
        <v>6213</v>
      </c>
      <c r="K614" s="741">
        <f>SUM(K611:K612)</f>
        <v>7122</v>
      </c>
      <c r="L614" s="741">
        <f>SUM(L611:L612)</f>
        <v>1975</v>
      </c>
      <c r="M614" s="39">
        <f>SUM(J614:L614)</f>
        <v>15310</v>
      </c>
      <c r="N614" s="741">
        <f>SUM(N611:N612)</f>
        <v>1229</v>
      </c>
      <c r="O614" s="741">
        <f>SUM(O611:O612)</f>
        <v>438</v>
      </c>
      <c r="P614" s="741">
        <f>SUM(P611:P612)</f>
        <v>648</v>
      </c>
      <c r="Q614" s="39">
        <f>SUM(N614:P614)</f>
        <v>2315</v>
      </c>
      <c r="R614" s="39">
        <f>+E614+I614+M614+Q614</f>
        <v>35809</v>
      </c>
    </row>
    <row r="615" spans="1:18" ht="15.75" customHeight="1" x14ac:dyDescent="0.3">
      <c r="A615" s="234" t="s">
        <v>1897</v>
      </c>
      <c r="B615" s="10">
        <f>(B614/B10)/1.983</f>
        <v>1.6917996518796869</v>
      </c>
      <c r="C615" s="10">
        <f>(C614/C10)/1.983</f>
        <v>2.1910376128123534</v>
      </c>
      <c r="D615" s="10">
        <f>(D614/D10)/1.983</f>
        <v>12.265547476127731</v>
      </c>
      <c r="E615" s="38" t="s">
        <v>852</v>
      </c>
      <c r="F615" s="10">
        <f>(F614/F10)/1.983</f>
        <v>102.672718103883</v>
      </c>
      <c r="G615" s="10">
        <f>(G614/G10)/1.983</f>
        <v>81.840808159679852</v>
      </c>
      <c r="H615" s="10">
        <f>(H614/H10)/1.983</f>
        <v>101.88266935619431</v>
      </c>
      <c r="I615" s="38" t="s">
        <v>852</v>
      </c>
      <c r="J615" s="10">
        <f>(J614/J10)/1.983</f>
        <v>101.0687618954663</v>
      </c>
      <c r="K615" s="10">
        <f>(K614/K10)/1.983</f>
        <v>115.85574154506857</v>
      </c>
      <c r="L615" s="10">
        <f>(L614/L10)/1.983</f>
        <v>33.198856950748024</v>
      </c>
      <c r="M615" s="38" t="s">
        <v>852</v>
      </c>
      <c r="N615" s="10">
        <f>(N614/N10)/1.983</f>
        <v>19.992517040001303</v>
      </c>
      <c r="O615" s="10">
        <f>(O614/O10)/1.983</f>
        <v>7.362581946545637</v>
      </c>
      <c r="P615" s="10">
        <f>(P614/P10)/1.983</f>
        <v>10.541213215558049</v>
      </c>
      <c r="Q615" s="38" t="s">
        <v>852</v>
      </c>
      <c r="R615" s="38" t="s">
        <v>852</v>
      </c>
    </row>
    <row r="616" spans="1:18" ht="15.75" customHeight="1" x14ac:dyDescent="0.3">
      <c r="A616" s="234" t="s">
        <v>1433</v>
      </c>
      <c r="B616" s="10">
        <f>B614+B682</f>
        <v>14129</v>
      </c>
      <c r="C616" s="10">
        <f>C614+C682</f>
        <v>22780</v>
      </c>
      <c r="D616" s="10">
        <f>D614+D682</f>
        <v>28275</v>
      </c>
      <c r="E616" s="38">
        <f>SUM(B616:D616)</f>
        <v>65184</v>
      </c>
      <c r="F616" s="10">
        <f>F614+F682</f>
        <v>37068</v>
      </c>
      <c r="G616" s="10">
        <f>G614+G682</f>
        <v>35318</v>
      </c>
      <c r="H616" s="10">
        <f>H614+H682</f>
        <v>32619</v>
      </c>
      <c r="I616" s="38">
        <f>SUM(F616:H616)</f>
        <v>105005</v>
      </c>
      <c r="J616" s="10">
        <f>J614+J682</f>
        <v>35819</v>
      </c>
      <c r="K616" s="10">
        <f>K614+K682</f>
        <v>34829</v>
      </c>
      <c r="L616" s="10">
        <f>L614+L682</f>
        <v>24963</v>
      </c>
      <c r="M616" s="38">
        <f>SUM(J616:L616)</f>
        <v>95611</v>
      </c>
      <c r="N616" s="10">
        <f>N614+N682</f>
        <v>16160</v>
      </c>
      <c r="O616" s="10">
        <f>O614+O682</f>
        <v>3733</v>
      </c>
      <c r="P616" s="10">
        <f>P614+P682</f>
        <v>15642</v>
      </c>
      <c r="Q616" s="38">
        <f>SUM(N616:P616)</f>
        <v>35535</v>
      </c>
      <c r="R616" s="38">
        <f>+E616+I616+M616+Q616</f>
        <v>301335</v>
      </c>
    </row>
    <row r="617" spans="1:18" ht="16.5" customHeight="1" thickBot="1" x14ac:dyDescent="0.35">
      <c r="A617" s="237" t="s">
        <v>426</v>
      </c>
      <c r="B617" s="315">
        <f>(B616/B10)/1.983</f>
        <v>229.84074309046247</v>
      </c>
      <c r="C617" s="315">
        <f>(C616/C10)/1.983</f>
        <v>396.12568904655086</v>
      </c>
      <c r="D617" s="315">
        <f>(D616/D10)/1.983</f>
        <v>459.95803035478991</v>
      </c>
      <c r="E617" s="40" t="s">
        <v>852</v>
      </c>
      <c r="F617" s="315">
        <f>(F616/F10)/1.983</f>
        <v>623.0963187090266</v>
      </c>
      <c r="G617" s="315">
        <f>(G616/G10)/1.983</f>
        <v>574.52865485660368</v>
      </c>
      <c r="H617" s="315">
        <f>(H616/H10)/1.983</f>
        <v>548.31064044377206</v>
      </c>
      <c r="I617" s="40" t="s">
        <v>852</v>
      </c>
      <c r="J617" s="315">
        <f>(J616/J10)/1.983</f>
        <v>582.67857433344716</v>
      </c>
      <c r="K617" s="315">
        <f>(K616/K10)/1.983</f>
        <v>566.57394303190017</v>
      </c>
      <c r="L617" s="315">
        <f>(L616/L10)/1.983</f>
        <v>419.61674230963189</v>
      </c>
      <c r="M617" s="40" t="s">
        <v>852</v>
      </c>
      <c r="N617" s="315">
        <f>(N616/N10)/1.983</f>
        <v>262.87963821515132</v>
      </c>
      <c r="O617" s="315">
        <f>(O616/O10)/1.983</f>
        <v>62.750042023869554</v>
      </c>
      <c r="P617" s="315">
        <f>(P616/P10)/1.983</f>
        <v>254.45317456444292</v>
      </c>
      <c r="Q617" s="40" t="s">
        <v>852</v>
      </c>
      <c r="R617" s="40" t="s">
        <v>852</v>
      </c>
    </row>
    <row r="618" spans="1:18" ht="15.75" customHeight="1" x14ac:dyDescent="0.3">
      <c r="A618" s="17"/>
      <c r="B618" s="10"/>
      <c r="C618" s="10"/>
      <c r="D618" s="10"/>
      <c r="E618" s="10"/>
      <c r="F618" s="10"/>
      <c r="G618" s="10"/>
      <c r="H618" s="10"/>
      <c r="I618" s="10"/>
      <c r="J618" s="10"/>
      <c r="K618" s="10"/>
      <c r="L618" s="10"/>
      <c r="M618" s="10"/>
      <c r="N618" s="10"/>
      <c r="O618" s="10"/>
      <c r="P618" s="10"/>
      <c r="Q618" s="10"/>
      <c r="R618" s="17"/>
    </row>
    <row r="619" spans="1:18" ht="15.75" customHeight="1" thickBot="1" x14ac:dyDescent="0.35">
      <c r="A619" s="17"/>
      <c r="B619" s="10"/>
      <c r="C619" s="10"/>
      <c r="D619" s="10"/>
      <c r="E619" s="10"/>
      <c r="F619" s="10"/>
      <c r="G619" s="10"/>
      <c r="H619" s="10"/>
      <c r="I619" s="10"/>
      <c r="J619" s="10"/>
      <c r="K619" s="10"/>
      <c r="L619" s="10"/>
      <c r="M619" s="10"/>
      <c r="N619" s="10"/>
      <c r="O619" s="10"/>
      <c r="P619" s="10"/>
      <c r="Q619" s="10"/>
      <c r="R619" s="17"/>
    </row>
    <row r="620" spans="1:18" ht="16.5" customHeight="1" thickBot="1" x14ac:dyDescent="0.35">
      <c r="A620" s="278" t="s">
        <v>1069</v>
      </c>
      <c r="B620" s="4" t="s">
        <v>2090</v>
      </c>
      <c r="C620" s="5" t="s">
        <v>2091</v>
      </c>
      <c r="D620" s="5" t="s">
        <v>2234</v>
      </c>
      <c r="E620" s="33" t="s">
        <v>1594</v>
      </c>
      <c r="F620" s="5" t="s">
        <v>2235</v>
      </c>
      <c r="G620" s="5" t="s">
        <v>2236</v>
      </c>
      <c r="H620" s="5" t="s">
        <v>2237</v>
      </c>
      <c r="I620" s="35" t="s">
        <v>1595</v>
      </c>
      <c r="J620" s="5" t="s">
        <v>1504</v>
      </c>
      <c r="K620" s="5" t="s">
        <v>1505</v>
      </c>
      <c r="L620" s="5" t="s">
        <v>1506</v>
      </c>
      <c r="M620" s="35" t="s">
        <v>1596</v>
      </c>
      <c r="N620" s="5" t="s">
        <v>1507</v>
      </c>
      <c r="O620" s="5" t="s">
        <v>1508</v>
      </c>
      <c r="P620" s="5" t="s">
        <v>1509</v>
      </c>
      <c r="Q620" s="35" t="s">
        <v>1597</v>
      </c>
      <c r="R620" s="36" t="s">
        <v>1510</v>
      </c>
    </row>
    <row r="621" spans="1:18" ht="16.5" customHeight="1" thickBot="1" x14ac:dyDescent="0.35">
      <c r="A621" s="37"/>
      <c r="B621" s="313"/>
      <c r="C621" s="313"/>
      <c r="D621" s="313"/>
      <c r="E621" s="308"/>
      <c r="F621" s="313"/>
      <c r="G621" s="313"/>
      <c r="H621" s="313"/>
      <c r="I621" s="316"/>
      <c r="J621" s="313"/>
      <c r="K621" s="313"/>
      <c r="L621" s="313"/>
      <c r="M621" s="316"/>
      <c r="N621" s="313"/>
      <c r="O621" s="313"/>
      <c r="P621" s="313"/>
      <c r="Q621" s="316"/>
      <c r="R621" s="52"/>
    </row>
    <row r="622" spans="1:18" ht="15.75" customHeight="1" x14ac:dyDescent="0.3">
      <c r="A622" s="234" t="s">
        <v>2417</v>
      </c>
      <c r="B622" s="10"/>
      <c r="C622" s="10"/>
      <c r="D622" s="10"/>
      <c r="E622" s="38" t="s">
        <v>852</v>
      </c>
      <c r="F622" s="10"/>
      <c r="G622" s="10"/>
      <c r="H622" s="10"/>
      <c r="I622" s="38" t="s">
        <v>852</v>
      </c>
      <c r="J622" s="10" t="s">
        <v>852</v>
      </c>
      <c r="K622" s="10" t="s">
        <v>852</v>
      </c>
      <c r="L622" s="10" t="s">
        <v>852</v>
      </c>
      <c r="M622" s="38" t="s">
        <v>852</v>
      </c>
      <c r="N622" s="10" t="s">
        <v>852</v>
      </c>
      <c r="O622" s="10" t="s">
        <v>852</v>
      </c>
      <c r="P622" s="10" t="s">
        <v>852</v>
      </c>
      <c r="Q622" s="38" t="s">
        <v>852</v>
      </c>
      <c r="R622" s="38" t="s">
        <v>852</v>
      </c>
    </row>
    <row r="623" spans="1:18" ht="15.75" customHeight="1" x14ac:dyDescent="0.3">
      <c r="A623" s="234" t="s">
        <v>2160</v>
      </c>
      <c r="B623" s="10"/>
      <c r="C623" s="10"/>
      <c r="D623" s="10"/>
      <c r="E623" s="38" t="s">
        <v>852</v>
      </c>
      <c r="F623" s="10"/>
      <c r="G623" s="10"/>
      <c r="H623" s="10"/>
      <c r="I623" s="38" t="s">
        <v>852</v>
      </c>
      <c r="J623" s="10"/>
      <c r="K623" s="10"/>
      <c r="L623" s="10"/>
      <c r="M623" s="38" t="s">
        <v>852</v>
      </c>
      <c r="N623" s="10"/>
      <c r="O623" s="10"/>
      <c r="P623" s="10"/>
      <c r="Q623" s="38" t="s">
        <v>852</v>
      </c>
      <c r="R623" s="38" t="s">
        <v>852</v>
      </c>
    </row>
    <row r="624" spans="1:18" ht="15.75" customHeight="1" x14ac:dyDescent="0.3">
      <c r="A624" s="310" t="s">
        <v>746</v>
      </c>
      <c r="B624" s="10"/>
      <c r="C624" s="10"/>
      <c r="D624" s="10"/>
      <c r="E624" s="38">
        <f t="shared" ref="E624" si="283">SUM(B624:D624)</f>
        <v>0</v>
      </c>
      <c r="F624" s="10"/>
      <c r="G624" s="10"/>
      <c r="H624" s="10"/>
      <c r="I624" s="38">
        <f t="shared" ref="I624" si="284">SUM(F624:H624)</f>
        <v>0</v>
      </c>
      <c r="J624" s="10"/>
      <c r="K624" s="10"/>
      <c r="L624" s="10">
        <v>500</v>
      </c>
      <c r="M624" s="38">
        <f t="shared" ref="M624" si="285">SUM(J624:L624)</f>
        <v>500</v>
      </c>
      <c r="N624" s="10">
        <v>498</v>
      </c>
      <c r="O624" s="10"/>
      <c r="P624" s="10"/>
      <c r="Q624" s="38">
        <f t="shared" ref="Q624:Q632" si="286">SUM(N624:P624)</f>
        <v>498</v>
      </c>
      <c r="R624" s="38">
        <f t="shared" ref="R624:R633" si="287">+E624+I624+M624+Q624</f>
        <v>998</v>
      </c>
    </row>
    <row r="625" spans="1:20" ht="15.75" customHeight="1" x14ac:dyDescent="0.3">
      <c r="A625" s="310" t="s">
        <v>639</v>
      </c>
      <c r="B625" s="10"/>
      <c r="C625" s="10"/>
      <c r="D625" s="10"/>
      <c r="E625" s="38">
        <f>SUM(B625:D625)</f>
        <v>0</v>
      </c>
      <c r="F625" s="10"/>
      <c r="G625" s="10"/>
      <c r="H625" s="10"/>
      <c r="I625" s="38">
        <f>SUM(F625:H625)</f>
        <v>0</v>
      </c>
      <c r="J625" s="10">
        <v>500</v>
      </c>
      <c r="K625" s="10"/>
      <c r="L625" s="10"/>
      <c r="M625" s="38">
        <f>SUM(J625:L625)</f>
        <v>500</v>
      </c>
      <c r="N625" s="10"/>
      <c r="O625" s="10"/>
      <c r="P625" s="10"/>
      <c r="Q625" s="38">
        <f>SUM(N625:P625)</f>
        <v>0</v>
      </c>
      <c r="R625" s="38">
        <f>+E625+I625+M625+Q625</f>
        <v>500</v>
      </c>
    </row>
    <row r="626" spans="1:20" ht="15.75" customHeight="1" x14ac:dyDescent="0.3">
      <c r="A626" s="310" t="s">
        <v>1185</v>
      </c>
      <c r="B626" s="10"/>
      <c r="C626" s="10"/>
      <c r="D626" s="10">
        <v>424</v>
      </c>
      <c r="E626" s="38">
        <f t="shared" ref="E626" si="288">SUM(B626:D626)</f>
        <v>424</v>
      </c>
      <c r="F626" s="10">
        <v>1200</v>
      </c>
      <c r="G626" s="10">
        <v>658</v>
      </c>
      <c r="H626" s="10">
        <v>1754</v>
      </c>
      <c r="I626" s="38">
        <f t="shared" ref="I626" si="289">SUM(F626:H626)</f>
        <v>3612</v>
      </c>
      <c r="J626" s="10">
        <v>1212</v>
      </c>
      <c r="K626" s="10">
        <v>585</v>
      </c>
      <c r="L626" s="10">
        <v>617</v>
      </c>
      <c r="M626" s="38">
        <f t="shared" ref="M626" si="290">SUM(J626:L626)</f>
        <v>2414</v>
      </c>
      <c r="N626" s="10">
        <v>12</v>
      </c>
      <c r="O626" s="10"/>
      <c r="P626" s="10"/>
      <c r="Q626" s="38">
        <f t="shared" si="286"/>
        <v>12</v>
      </c>
      <c r="R626" s="38">
        <f t="shared" si="287"/>
        <v>6462</v>
      </c>
      <c r="T626" t="s">
        <v>2763</v>
      </c>
    </row>
    <row r="627" spans="1:20" ht="15.75" customHeight="1" x14ac:dyDescent="0.3">
      <c r="A627" s="310" t="s">
        <v>745</v>
      </c>
      <c r="B627" s="10"/>
      <c r="C627" s="10"/>
      <c r="D627" s="10"/>
      <c r="E627" s="38">
        <f>SUM(B627:D627)</f>
        <v>0</v>
      </c>
      <c r="F627" s="10"/>
      <c r="G627" s="10"/>
      <c r="H627" s="10"/>
      <c r="I627" s="38">
        <f>SUM(F627:H627)</f>
        <v>0</v>
      </c>
      <c r="J627" s="10"/>
      <c r="K627" s="10"/>
      <c r="L627" s="10"/>
      <c r="M627" s="38">
        <f>SUM(J627:L627)</f>
        <v>0</v>
      </c>
      <c r="N627" s="10"/>
      <c r="O627" s="10"/>
      <c r="P627" s="10"/>
      <c r="Q627" s="38">
        <f>SUM(N627:P627)</f>
        <v>0</v>
      </c>
      <c r="R627" s="38">
        <f>+E627+I627+M627+Q627</f>
        <v>0</v>
      </c>
      <c r="T627" t="s">
        <v>2766</v>
      </c>
    </row>
    <row r="628" spans="1:20" ht="15.75" customHeight="1" x14ac:dyDescent="0.3">
      <c r="A628" s="310" t="s">
        <v>484</v>
      </c>
      <c r="B628" s="10">
        <v>300</v>
      </c>
      <c r="C628" s="10">
        <v>300</v>
      </c>
      <c r="D628" s="10">
        <v>300</v>
      </c>
      <c r="E628" s="38">
        <f t="shared" ref="E628" si="291">SUM(B628:D628)</f>
        <v>900</v>
      </c>
      <c r="F628" s="10">
        <v>300</v>
      </c>
      <c r="G628" s="10">
        <v>300</v>
      </c>
      <c r="H628" s="10">
        <v>159</v>
      </c>
      <c r="I628" s="38">
        <f t="shared" ref="I628" si="292">SUM(F628:H628)</f>
        <v>759</v>
      </c>
      <c r="J628" s="10">
        <v>300</v>
      </c>
      <c r="K628" s="10">
        <v>300</v>
      </c>
      <c r="L628" s="10">
        <v>300</v>
      </c>
      <c r="M628" s="38">
        <f t="shared" ref="M628" si="293">SUM(J628:L628)</f>
        <v>900</v>
      </c>
      <c r="N628" s="10">
        <v>300</v>
      </c>
      <c r="O628" s="10">
        <v>305</v>
      </c>
      <c r="P628" s="10">
        <v>141</v>
      </c>
      <c r="Q628" s="38">
        <f t="shared" si="286"/>
        <v>746</v>
      </c>
      <c r="R628" s="38">
        <f t="shared" si="287"/>
        <v>3305</v>
      </c>
      <c r="T628" t="s">
        <v>2766</v>
      </c>
    </row>
    <row r="629" spans="1:20" ht="15.75" customHeight="1" x14ac:dyDescent="0.3">
      <c r="A629" s="539" t="s">
        <v>2982</v>
      </c>
      <c r="B629" s="10">
        <v>483</v>
      </c>
      <c r="C629" s="10">
        <v>795</v>
      </c>
      <c r="D629" s="10">
        <v>693</v>
      </c>
      <c r="E629" s="38">
        <f>SUM(B629:D629)</f>
        <v>1971</v>
      </c>
      <c r="F629" s="356">
        <f>404+240</f>
        <v>644</v>
      </c>
      <c r="G629" s="356">
        <v>691</v>
      </c>
      <c r="H629" s="10">
        <v>121</v>
      </c>
      <c r="I629" s="38">
        <f>SUM(F629:H629)</f>
        <v>1456</v>
      </c>
      <c r="J629" s="10">
        <v>73</v>
      </c>
      <c r="K629" s="10"/>
      <c r="L629" s="10"/>
      <c r="M629" s="38">
        <f>SUM(J629:L629)</f>
        <v>73</v>
      </c>
      <c r="N629" s="10"/>
      <c r="O629" s="10"/>
      <c r="P629" s="10"/>
      <c r="Q629" s="38">
        <f>SUM(N629:P629)</f>
        <v>0</v>
      </c>
      <c r="R629" s="38">
        <f t="shared" si="287"/>
        <v>3500</v>
      </c>
    </row>
    <row r="630" spans="1:20" ht="15.75" customHeight="1" x14ac:dyDescent="0.3">
      <c r="A630" s="310" t="s">
        <v>1836</v>
      </c>
      <c r="B630" s="10"/>
      <c r="C630" s="10"/>
      <c r="D630" s="10"/>
      <c r="E630" s="38">
        <f t="shared" ref="E630:E635" si="294">SUM(B630:D630)</f>
        <v>0</v>
      </c>
      <c r="F630" s="10"/>
      <c r="G630" s="10"/>
      <c r="H630" s="10"/>
      <c r="I630" s="38">
        <f t="shared" ref="I630:I635" si="295">SUM(F630:H630)</f>
        <v>0</v>
      </c>
      <c r="J630" s="10">
        <v>2800</v>
      </c>
      <c r="K630" s="10"/>
      <c r="L630" s="10"/>
      <c r="M630" s="38">
        <f t="shared" ref="M630:M635" si="296">SUM(J630:L630)</f>
        <v>2800</v>
      </c>
      <c r="N630" s="10"/>
      <c r="O630" s="10"/>
      <c r="P630" s="10"/>
      <c r="Q630" s="38">
        <f t="shared" si="286"/>
        <v>0</v>
      </c>
      <c r="R630" s="38">
        <f t="shared" si="287"/>
        <v>2800</v>
      </c>
      <c r="T630" t="s">
        <v>2766</v>
      </c>
    </row>
    <row r="631" spans="1:20" ht="15.75" customHeight="1" x14ac:dyDescent="0.3">
      <c r="A631" s="539" t="s">
        <v>3047</v>
      </c>
      <c r="B631" s="10"/>
      <c r="C631" s="10"/>
      <c r="D631" s="10">
        <v>300</v>
      </c>
      <c r="E631" s="38">
        <f t="shared" si="294"/>
        <v>300</v>
      </c>
      <c r="F631" s="10">
        <v>436</v>
      </c>
      <c r="G631" s="10">
        <v>400</v>
      </c>
      <c r="H631" s="10"/>
      <c r="I631" s="38">
        <f t="shared" si="295"/>
        <v>836</v>
      </c>
      <c r="J631" s="10">
        <v>400</v>
      </c>
      <c r="K631" s="10">
        <v>300</v>
      </c>
      <c r="L631" s="10"/>
      <c r="M631" s="38">
        <f t="shared" si="296"/>
        <v>700</v>
      </c>
      <c r="N631" s="10"/>
      <c r="O631" s="10"/>
      <c r="P631" s="10"/>
      <c r="Q631" s="38">
        <f>SUM(N631:P631)</f>
        <v>0</v>
      </c>
      <c r="R631" s="38">
        <f>+E631+I631+M631+Q631</f>
        <v>1836</v>
      </c>
    </row>
    <row r="632" spans="1:20" ht="15.75" customHeight="1" x14ac:dyDescent="0.3">
      <c r="A632" s="539" t="s">
        <v>1295</v>
      </c>
      <c r="B632" s="10"/>
      <c r="C632" s="10"/>
      <c r="D632" s="10"/>
      <c r="E632" s="38">
        <f t="shared" si="294"/>
        <v>0</v>
      </c>
      <c r="F632" s="10"/>
      <c r="G632" s="10"/>
      <c r="H632" s="10"/>
      <c r="I632" s="38">
        <f t="shared" si="295"/>
        <v>0</v>
      </c>
      <c r="J632" s="10"/>
      <c r="K632" s="10"/>
      <c r="L632" s="10"/>
      <c r="M632" s="38">
        <f t="shared" si="296"/>
        <v>0</v>
      </c>
      <c r="N632" s="10"/>
      <c r="O632" s="10"/>
      <c r="P632" s="10">
        <v>500</v>
      </c>
      <c r="Q632" s="38">
        <f t="shared" si="286"/>
        <v>500</v>
      </c>
      <c r="R632" s="38">
        <f t="shared" si="287"/>
        <v>500</v>
      </c>
      <c r="T632" t="s">
        <v>2766</v>
      </c>
    </row>
    <row r="633" spans="1:20" ht="15.75" customHeight="1" x14ac:dyDescent="0.3">
      <c r="A633" s="539" t="s">
        <v>3338</v>
      </c>
      <c r="B633" s="10">
        <v>7</v>
      </c>
      <c r="C633" s="10">
        <v>329</v>
      </c>
      <c r="D633" s="10">
        <v>314</v>
      </c>
      <c r="E633" s="38">
        <f t="shared" si="294"/>
        <v>650</v>
      </c>
      <c r="F633" s="10">
        <v>650</v>
      </c>
      <c r="G633" s="10">
        <v>700</v>
      </c>
      <c r="H633" s="10">
        <v>340</v>
      </c>
      <c r="I633" s="38">
        <f t="shared" si="295"/>
        <v>1690</v>
      </c>
      <c r="J633" s="10">
        <v>447</v>
      </c>
      <c r="K633" s="10"/>
      <c r="L633" s="10"/>
      <c r="M633" s="38">
        <f t="shared" si="296"/>
        <v>447</v>
      </c>
      <c r="N633" s="10"/>
      <c r="O633" s="10"/>
      <c r="P633" s="10"/>
      <c r="Q633" s="38">
        <f t="shared" ref="Q633" si="297">SUM(N633:P633)</f>
        <v>0</v>
      </c>
      <c r="R633" s="38">
        <f t="shared" si="287"/>
        <v>2787</v>
      </c>
    </row>
    <row r="634" spans="1:20" ht="15.75" customHeight="1" x14ac:dyDescent="0.3">
      <c r="A634" s="539" t="s">
        <v>3454</v>
      </c>
      <c r="B634" s="10"/>
      <c r="C634" s="10"/>
      <c r="D634" s="10"/>
      <c r="E634" s="38">
        <f t="shared" si="294"/>
        <v>0</v>
      </c>
      <c r="F634" s="10">
        <v>192</v>
      </c>
      <c r="G634" s="10">
        <v>172</v>
      </c>
      <c r="H634" s="10">
        <v>185</v>
      </c>
      <c r="I634" s="38">
        <f t="shared" si="295"/>
        <v>549</v>
      </c>
      <c r="J634" s="10">
        <v>369</v>
      </c>
      <c r="K634" s="10">
        <v>582</v>
      </c>
      <c r="L634" s="10">
        <v>213</v>
      </c>
      <c r="M634" s="38">
        <f t="shared" si="296"/>
        <v>1164</v>
      </c>
      <c r="N634" s="10"/>
      <c r="O634" s="10"/>
      <c r="P634" s="10"/>
      <c r="Q634" s="38">
        <f t="shared" ref="Q634:Q635" si="298">SUM(N634:P634)</f>
        <v>0</v>
      </c>
      <c r="R634" s="38">
        <f t="shared" ref="R634:R635" si="299">+E634+I634+M634+Q634</f>
        <v>1713</v>
      </c>
    </row>
    <row r="635" spans="1:20" ht="15.75" customHeight="1" x14ac:dyDescent="0.3">
      <c r="A635" s="539" t="s">
        <v>3331</v>
      </c>
      <c r="B635" s="10"/>
      <c r="C635" s="10"/>
      <c r="D635" s="10"/>
      <c r="E635" s="38">
        <f t="shared" si="294"/>
        <v>0</v>
      </c>
      <c r="F635" s="10"/>
      <c r="G635" s="10"/>
      <c r="H635" s="10">
        <v>500</v>
      </c>
      <c r="I635" s="38">
        <f t="shared" si="295"/>
        <v>500</v>
      </c>
      <c r="J635" s="10"/>
      <c r="K635" s="10">
        <v>1500</v>
      </c>
      <c r="L635" s="10"/>
      <c r="M635" s="38">
        <f t="shared" si="296"/>
        <v>1500</v>
      </c>
      <c r="N635" s="10"/>
      <c r="O635" s="10"/>
      <c r="P635" s="10"/>
      <c r="Q635" s="38">
        <f t="shared" si="298"/>
        <v>0</v>
      </c>
      <c r="R635" s="38">
        <f t="shared" si="299"/>
        <v>2000</v>
      </c>
    </row>
    <row r="636" spans="1:20" ht="15.75" customHeight="1" x14ac:dyDescent="0.3">
      <c r="A636" s="539" t="s">
        <v>3321</v>
      </c>
      <c r="B636" s="10">
        <v>3655</v>
      </c>
      <c r="C636" s="10">
        <v>2515</v>
      </c>
      <c r="D636" s="10">
        <v>3837</v>
      </c>
      <c r="E636" s="38">
        <f>SUM(B636:D636)</f>
        <v>10007</v>
      </c>
      <c r="F636" s="10">
        <v>3493</v>
      </c>
      <c r="G636" s="10">
        <v>3561</v>
      </c>
      <c r="H636" s="10"/>
      <c r="I636" s="38">
        <f>SUM(F636:H636)</f>
        <v>7054</v>
      </c>
      <c r="J636" s="10">
        <v>643</v>
      </c>
      <c r="K636" s="10">
        <v>3296</v>
      </c>
      <c r="L636" s="10"/>
      <c r="M636" s="38">
        <f>SUM(J636:L636)</f>
        <v>3939</v>
      </c>
      <c r="N636" s="10"/>
      <c r="O636" s="10"/>
      <c r="P636" s="10"/>
      <c r="Q636" s="38">
        <f>SUM(N636:P636)</f>
        <v>0</v>
      </c>
      <c r="R636" s="38">
        <f>+E636+I636+M636+Q636</f>
        <v>21000</v>
      </c>
      <c r="T636" t="s">
        <v>2763</v>
      </c>
    </row>
    <row r="637" spans="1:20" ht="15.75" customHeight="1" x14ac:dyDescent="0.3">
      <c r="A637" s="234" t="s">
        <v>2161</v>
      </c>
      <c r="B637" s="10"/>
      <c r="C637" s="10"/>
      <c r="D637" s="10"/>
      <c r="E637" s="38" t="s">
        <v>852</v>
      </c>
      <c r="F637" s="10"/>
      <c r="G637" s="10"/>
      <c r="H637" s="10"/>
      <c r="I637" s="38" t="s">
        <v>852</v>
      </c>
      <c r="J637" s="10"/>
      <c r="K637" s="10"/>
      <c r="L637" s="10"/>
      <c r="M637" s="38" t="s">
        <v>852</v>
      </c>
      <c r="N637" s="10"/>
      <c r="O637" s="10"/>
      <c r="P637" s="10"/>
      <c r="Q637" s="38" t="s">
        <v>852</v>
      </c>
      <c r="R637" s="38" t="s">
        <v>852</v>
      </c>
    </row>
    <row r="638" spans="1:20" ht="15.75" customHeight="1" x14ac:dyDescent="0.3">
      <c r="A638" s="310" t="s">
        <v>1295</v>
      </c>
      <c r="B638" s="10"/>
      <c r="C638" s="10"/>
      <c r="D638" s="10"/>
      <c r="E638" s="38">
        <f>SUM(B638:D638)</f>
        <v>0</v>
      </c>
      <c r="F638" s="10"/>
      <c r="G638" s="10"/>
      <c r="H638" s="10"/>
      <c r="I638" s="38">
        <f>SUM(F638:H638)</f>
        <v>0</v>
      </c>
      <c r="J638" s="10"/>
      <c r="K638" s="10"/>
      <c r="L638" s="10"/>
      <c r="M638" s="38">
        <f>SUM(J638:L638)</f>
        <v>0</v>
      </c>
      <c r="N638" s="10"/>
      <c r="O638" s="10"/>
      <c r="P638" s="10"/>
      <c r="Q638" s="38">
        <f>SUM(N638:P638)</f>
        <v>0</v>
      </c>
      <c r="R638" s="38">
        <f>+E638+I638+M638+Q638</f>
        <v>0</v>
      </c>
      <c r="T638" t="s">
        <v>2766</v>
      </c>
    </row>
    <row r="639" spans="1:20" ht="15.75" customHeight="1" x14ac:dyDescent="0.3">
      <c r="A639" s="234" t="s">
        <v>3245</v>
      </c>
      <c r="B639" s="10"/>
      <c r="C639" s="10"/>
      <c r="D639" s="10"/>
      <c r="E639" s="38" t="s">
        <v>852</v>
      </c>
      <c r="F639" s="10"/>
      <c r="G639" s="10"/>
      <c r="H639" s="10"/>
      <c r="I639" s="38" t="s">
        <v>852</v>
      </c>
      <c r="J639" s="10"/>
      <c r="K639" s="10"/>
      <c r="L639" s="10"/>
      <c r="M639" s="38" t="s">
        <v>852</v>
      </c>
      <c r="N639" s="10"/>
      <c r="O639" s="10"/>
      <c r="P639" s="10"/>
      <c r="Q639" s="38" t="s">
        <v>852</v>
      </c>
      <c r="R639" s="38" t="s">
        <v>852</v>
      </c>
    </row>
    <row r="640" spans="1:20" ht="15.75" customHeight="1" x14ac:dyDescent="0.3">
      <c r="A640" s="539" t="s">
        <v>3264</v>
      </c>
      <c r="B640" s="10"/>
      <c r="C640" s="10"/>
      <c r="D640" s="10"/>
      <c r="E640" s="38">
        <f>SUM(B640:D640)</f>
        <v>0</v>
      </c>
      <c r="F640" s="10"/>
      <c r="G640" s="10"/>
      <c r="H640" s="10"/>
      <c r="I640" s="38">
        <f>SUM(F640:H640)</f>
        <v>0</v>
      </c>
      <c r="J640" s="10"/>
      <c r="K640" s="10"/>
      <c r="L640" s="10"/>
      <c r="M640" s="38">
        <f>SUM(J640:L640)</f>
        <v>0</v>
      </c>
      <c r="N640" s="10"/>
      <c r="O640" s="10"/>
      <c r="P640" s="10"/>
      <c r="Q640" s="38">
        <f>SUM(N640:P640)</f>
        <v>0</v>
      </c>
      <c r="R640" s="38">
        <f>+E640+I640+M640+Q640</f>
        <v>0</v>
      </c>
      <c r="S640" s="735" t="s">
        <v>3214</v>
      </c>
      <c r="T640" t="s">
        <v>2766</v>
      </c>
    </row>
    <row r="641" spans="1:20" ht="15.75" customHeight="1" thickBot="1" x14ac:dyDescent="0.35">
      <c r="A641" s="234" t="s">
        <v>2164</v>
      </c>
      <c r="B641" s="10"/>
      <c r="C641" s="10"/>
      <c r="D641" s="10"/>
      <c r="E641" s="38" t="s">
        <v>852</v>
      </c>
      <c r="F641" s="10"/>
      <c r="G641" s="10"/>
      <c r="H641" s="10"/>
      <c r="I641" s="38" t="s">
        <v>852</v>
      </c>
      <c r="J641" s="10"/>
      <c r="K641" s="10"/>
      <c r="L641" s="10"/>
      <c r="M641" s="38" t="s">
        <v>852</v>
      </c>
      <c r="N641" s="10"/>
      <c r="O641" s="10"/>
      <c r="P641" s="10"/>
      <c r="Q641" s="38" t="s">
        <v>852</v>
      </c>
      <c r="R641" s="38" t="s">
        <v>852</v>
      </c>
    </row>
    <row r="642" spans="1:20" ht="16.5" customHeight="1" thickBot="1" x14ac:dyDescent="0.35">
      <c r="A642" s="322" t="s">
        <v>1218</v>
      </c>
      <c r="B642" s="45">
        <f>SUM(B622:B641)</f>
        <v>4445</v>
      </c>
      <c r="C642" s="46">
        <f>SUM(C622:C641)</f>
        <v>3939</v>
      </c>
      <c r="D642" s="46">
        <f>SUM(D622:D641)</f>
        <v>5868</v>
      </c>
      <c r="E642" s="37">
        <f>SUM(B642:D642)</f>
        <v>14252</v>
      </c>
      <c r="F642" s="46">
        <f>SUM(F622:F641)</f>
        <v>6915</v>
      </c>
      <c r="G642" s="46">
        <f>SUM(G622:G641)</f>
        <v>6482</v>
      </c>
      <c r="H642" s="46">
        <f>SUM(H622:H641)</f>
        <v>3059</v>
      </c>
      <c r="I642" s="37">
        <f>SUM(F642:H642)</f>
        <v>16456</v>
      </c>
      <c r="J642" s="46">
        <f>SUM(J622:J641)</f>
        <v>6744</v>
      </c>
      <c r="K642" s="46">
        <f>SUM(K622:K641)</f>
        <v>6563</v>
      </c>
      <c r="L642" s="46">
        <f>SUM(L622:L641)</f>
        <v>1630</v>
      </c>
      <c r="M642" s="37">
        <f>SUM(J642:L642)</f>
        <v>14937</v>
      </c>
      <c r="N642" s="46">
        <f>SUM(N622:N641)</f>
        <v>810</v>
      </c>
      <c r="O642" s="46">
        <f>SUM(O622:O641)</f>
        <v>305</v>
      </c>
      <c r="P642" s="46">
        <f>SUM(P622:P641)</f>
        <v>641</v>
      </c>
      <c r="Q642" s="37">
        <f>SUM(N642:P642)</f>
        <v>1756</v>
      </c>
      <c r="R642" s="37">
        <f>+E642+I642+M642+Q642</f>
        <v>47401</v>
      </c>
    </row>
    <row r="643" spans="1:20" ht="15.75" customHeight="1" x14ac:dyDescent="0.3">
      <c r="A643" s="234" t="s">
        <v>1172</v>
      </c>
      <c r="B643" s="10"/>
      <c r="C643" s="10"/>
      <c r="D643" s="10"/>
      <c r="E643" s="38" t="s">
        <v>852</v>
      </c>
      <c r="F643" s="10"/>
      <c r="G643" s="10"/>
      <c r="H643" s="10"/>
      <c r="I643" s="38" t="s">
        <v>852</v>
      </c>
      <c r="J643" s="10"/>
      <c r="K643" s="10"/>
      <c r="L643" s="10"/>
      <c r="M643" s="38" t="s">
        <v>852</v>
      </c>
      <c r="N643" s="10"/>
      <c r="O643" s="10"/>
      <c r="P643" s="10"/>
      <c r="Q643" s="38" t="s">
        <v>852</v>
      </c>
      <c r="R643" s="38" t="s">
        <v>852</v>
      </c>
    </row>
    <row r="644" spans="1:20" ht="15.75" customHeight="1" x14ac:dyDescent="0.3">
      <c r="A644" s="234" t="s">
        <v>2409</v>
      </c>
      <c r="B644" s="10"/>
      <c r="C644" s="10"/>
      <c r="D644" s="10"/>
      <c r="E644" s="38" t="s">
        <v>852</v>
      </c>
      <c r="F644" s="10"/>
      <c r="G644" s="10"/>
      <c r="H644" s="10"/>
      <c r="I644" s="38" t="s">
        <v>852</v>
      </c>
      <c r="J644" s="10"/>
      <c r="K644" s="10"/>
      <c r="L644" s="10"/>
      <c r="M644" s="38" t="s">
        <v>852</v>
      </c>
      <c r="N644" s="10"/>
      <c r="O644" s="10"/>
      <c r="P644" s="10"/>
      <c r="Q644" s="38" t="s">
        <v>852</v>
      </c>
      <c r="R644" s="38" t="s">
        <v>852</v>
      </c>
    </row>
    <row r="645" spans="1:20" ht="15.75" customHeight="1" x14ac:dyDescent="0.3">
      <c r="A645" s="310" t="s">
        <v>2478</v>
      </c>
      <c r="B645" s="10"/>
      <c r="C645" s="10"/>
      <c r="D645" s="10"/>
      <c r="E645" s="38">
        <f>SUM(B645:D645)</f>
        <v>0</v>
      </c>
      <c r="F645" s="10"/>
      <c r="G645" s="10"/>
      <c r="H645" s="10"/>
      <c r="I645" s="38">
        <f>SUM(F645:H645)</f>
        <v>0</v>
      </c>
      <c r="J645" s="10"/>
      <c r="K645" s="10"/>
      <c r="L645" s="10"/>
      <c r="M645" s="38">
        <f>SUM(J645:L645)</f>
        <v>0</v>
      </c>
      <c r="N645" s="10"/>
      <c r="O645" s="10"/>
      <c r="P645" s="10"/>
      <c r="Q645" s="38">
        <f>SUM(N645:P645)</f>
        <v>0</v>
      </c>
      <c r="R645" s="38">
        <f>+E645+I645+M645+Q645</f>
        <v>0</v>
      </c>
    </row>
    <row r="646" spans="1:20" ht="15.75" customHeight="1" x14ac:dyDescent="0.3">
      <c r="A646" s="310" t="s">
        <v>1958</v>
      </c>
      <c r="B646" s="10"/>
      <c r="C646" s="10"/>
      <c r="D646" s="10"/>
      <c r="E646" s="38">
        <f>SUM(B646:D646)</f>
        <v>0</v>
      </c>
      <c r="F646" s="10"/>
      <c r="G646" s="10"/>
      <c r="H646" s="10"/>
      <c r="I646" s="38">
        <f>SUM(F646:H646)</f>
        <v>0</v>
      </c>
      <c r="J646" s="10"/>
      <c r="K646" s="10"/>
      <c r="L646" s="10"/>
      <c r="M646" s="38">
        <f>SUM(J646:L646)</f>
        <v>0</v>
      </c>
      <c r="N646" s="10"/>
      <c r="O646" s="10"/>
      <c r="P646" s="10"/>
      <c r="Q646" s="38">
        <f>SUM(N646:P646)</f>
        <v>0</v>
      </c>
      <c r="R646" s="38">
        <f>+E646+I646+M646+Q646</f>
        <v>0</v>
      </c>
    </row>
    <row r="647" spans="1:20" ht="15.75" customHeight="1" thickBot="1" x14ac:dyDescent="0.35">
      <c r="A647" s="234" t="s">
        <v>2165</v>
      </c>
      <c r="B647" s="10"/>
      <c r="C647" s="10"/>
      <c r="D647" s="10"/>
      <c r="E647" s="38" t="s">
        <v>852</v>
      </c>
      <c r="F647" s="10"/>
      <c r="G647" s="10"/>
      <c r="H647" s="10"/>
      <c r="I647" s="38" t="s">
        <v>852</v>
      </c>
      <c r="J647" s="10"/>
      <c r="K647" s="10"/>
      <c r="L647" s="10"/>
      <c r="M647" s="38" t="s">
        <v>852</v>
      </c>
      <c r="N647" s="10"/>
      <c r="O647" s="10"/>
      <c r="P647" s="10"/>
      <c r="Q647" s="38" t="s">
        <v>852</v>
      </c>
      <c r="R647" s="38" t="s">
        <v>852</v>
      </c>
    </row>
    <row r="648" spans="1:20" ht="16.5" customHeight="1" thickBot="1" x14ac:dyDescent="0.35">
      <c r="A648" s="43" t="s">
        <v>1219</v>
      </c>
      <c r="B648" s="45">
        <f>SUM(B643:B647)</f>
        <v>0</v>
      </c>
      <c r="C648" s="46">
        <f>SUM(C643:C647)</f>
        <v>0</v>
      </c>
      <c r="D648" s="46">
        <f>SUM(D643:D647)</f>
        <v>0</v>
      </c>
      <c r="E648" s="37">
        <f>SUM(B648:D648)</f>
        <v>0</v>
      </c>
      <c r="F648" s="46">
        <f>SUM(F643:F647)</f>
        <v>0</v>
      </c>
      <c r="G648" s="46">
        <f>SUM(G643:G647)</f>
        <v>0</v>
      </c>
      <c r="H648" s="46">
        <f>SUM(H643:H647)</f>
        <v>0</v>
      </c>
      <c r="I648" s="37">
        <f>SUM(F648:H648)</f>
        <v>0</v>
      </c>
      <c r="J648" s="46">
        <f>SUM(J643:J647)</f>
        <v>0</v>
      </c>
      <c r="K648" s="46">
        <f>SUM(K643:K647)</f>
        <v>0</v>
      </c>
      <c r="L648" s="46">
        <f>SUM(L643:L647)</f>
        <v>0</v>
      </c>
      <c r="M648" s="37">
        <f>SUM(J648:L648)</f>
        <v>0</v>
      </c>
      <c r="N648" s="46">
        <f>SUM(N643:N647)</f>
        <v>0</v>
      </c>
      <c r="O648" s="46">
        <f>SUM(O643:O647)</f>
        <v>0</v>
      </c>
      <c r="P648" s="46">
        <f>SUM(P643:P647)</f>
        <v>0</v>
      </c>
      <c r="Q648" s="37">
        <f>SUM(N648:P648)</f>
        <v>0</v>
      </c>
      <c r="R648" s="37">
        <f>+E648+I648+M648+Q648</f>
        <v>0</v>
      </c>
    </row>
    <row r="649" spans="1:20" ht="15.75" customHeight="1" x14ac:dyDescent="0.3">
      <c r="A649" s="234" t="s">
        <v>2166</v>
      </c>
      <c r="B649" s="10"/>
      <c r="C649" s="10"/>
      <c r="D649" s="10"/>
      <c r="E649" s="38" t="s">
        <v>852</v>
      </c>
      <c r="F649" s="10"/>
      <c r="G649" s="10"/>
      <c r="H649" s="10"/>
      <c r="I649" s="38" t="s">
        <v>852</v>
      </c>
      <c r="J649" s="10"/>
      <c r="K649" s="10"/>
      <c r="L649" s="10"/>
      <c r="M649" s="38" t="s">
        <v>852</v>
      </c>
      <c r="N649" s="10"/>
      <c r="O649" s="10"/>
      <c r="P649" s="10"/>
      <c r="Q649" s="38" t="s">
        <v>852</v>
      </c>
      <c r="R649" s="38" t="s">
        <v>852</v>
      </c>
    </row>
    <row r="650" spans="1:20" ht="15.75" customHeight="1" x14ac:dyDescent="0.3">
      <c r="A650" s="234" t="s">
        <v>1245</v>
      </c>
      <c r="B650" s="10"/>
      <c r="C650" s="10"/>
      <c r="D650" s="10"/>
      <c r="E650" s="38" t="s">
        <v>852</v>
      </c>
      <c r="F650" s="10"/>
      <c r="G650" s="10"/>
      <c r="H650" s="10"/>
      <c r="I650" s="38" t="s">
        <v>852</v>
      </c>
      <c r="J650" s="10"/>
      <c r="K650" s="10"/>
      <c r="L650" s="10"/>
      <c r="M650" s="38" t="s">
        <v>852</v>
      </c>
      <c r="N650" s="10"/>
      <c r="O650" s="10"/>
      <c r="P650" s="10"/>
      <c r="Q650" s="38" t="s">
        <v>852</v>
      </c>
      <c r="R650" s="38" t="s">
        <v>852</v>
      </c>
    </row>
    <row r="651" spans="1:20" ht="15.75" customHeight="1" x14ac:dyDescent="0.3">
      <c r="A651" s="234" t="s">
        <v>1711</v>
      </c>
      <c r="B651" s="10"/>
      <c r="C651" s="10"/>
      <c r="D651" s="10"/>
      <c r="E651" s="38" t="s">
        <v>852</v>
      </c>
      <c r="F651" s="10"/>
      <c r="G651" s="10"/>
      <c r="H651" s="10"/>
      <c r="I651" s="38" t="s">
        <v>852</v>
      </c>
      <c r="J651" s="10"/>
      <c r="K651" s="10"/>
      <c r="L651" s="10"/>
      <c r="M651" s="38" t="s">
        <v>852</v>
      </c>
      <c r="N651" s="10"/>
      <c r="O651" s="10"/>
      <c r="P651" s="10"/>
      <c r="Q651" s="38" t="s">
        <v>852</v>
      </c>
      <c r="R651" s="38" t="s">
        <v>852</v>
      </c>
    </row>
    <row r="652" spans="1:20" ht="15.75" customHeight="1" x14ac:dyDescent="0.3">
      <c r="A652" s="539" t="s">
        <v>3202</v>
      </c>
      <c r="B652" s="10"/>
      <c r="C652" s="10"/>
      <c r="D652" s="10"/>
      <c r="E652" s="38">
        <f t="shared" ref="E652:E654" si="300">SUM(B652:D652)</f>
        <v>0</v>
      </c>
      <c r="F652" s="10"/>
      <c r="G652" s="10"/>
      <c r="H652" s="10"/>
      <c r="I652" s="38">
        <f t="shared" ref="I652:I653" si="301">SUM(F652:H652)</f>
        <v>0</v>
      </c>
      <c r="J652" s="10"/>
      <c r="K652" s="10"/>
      <c r="L652" s="10"/>
      <c r="M652" s="38">
        <f t="shared" ref="M652:M654" si="302">SUM(J652:L652)</f>
        <v>0</v>
      </c>
      <c r="N652" s="10"/>
      <c r="O652" s="10"/>
      <c r="P652" s="10"/>
      <c r="Q652" s="38">
        <f>SUM(N652:P652)</f>
        <v>0</v>
      </c>
      <c r="R652" s="38">
        <f>+E652+I652+M652+Q652</f>
        <v>0</v>
      </c>
      <c r="T652" t="s">
        <v>2766</v>
      </c>
    </row>
    <row r="653" spans="1:20" ht="15.75" customHeight="1" x14ac:dyDescent="0.3">
      <c r="A653" s="539" t="s">
        <v>3231</v>
      </c>
      <c r="B653" s="10"/>
      <c r="C653" s="10"/>
      <c r="D653" s="10"/>
      <c r="E653" s="38">
        <f t="shared" si="300"/>
        <v>0</v>
      </c>
      <c r="F653" s="10"/>
      <c r="G653" s="10"/>
      <c r="H653" s="10"/>
      <c r="I653" s="38">
        <f t="shared" si="301"/>
        <v>0</v>
      </c>
      <c r="J653" s="10"/>
      <c r="K653" s="10"/>
      <c r="L653" s="10"/>
      <c r="M653" s="38">
        <f t="shared" si="302"/>
        <v>0</v>
      </c>
      <c r="N653" s="10"/>
      <c r="O653" s="10"/>
      <c r="P653" s="10"/>
      <c r="Q653" s="38">
        <f t="shared" ref="Q653" si="303">SUM(N653:P653)</f>
        <v>0</v>
      </c>
      <c r="R653" s="38">
        <f t="shared" ref="R653:R656" si="304">+E653+I653+M653+Q653</f>
        <v>0</v>
      </c>
    </row>
    <row r="654" spans="1:20" ht="15.75" customHeight="1" x14ac:dyDescent="0.3">
      <c r="A654" s="539" t="s">
        <v>3369</v>
      </c>
      <c r="B654" s="10"/>
      <c r="C654" s="10"/>
      <c r="D654" s="10"/>
      <c r="E654" s="38">
        <f t="shared" si="300"/>
        <v>0</v>
      </c>
      <c r="F654" s="10"/>
      <c r="G654" s="10"/>
      <c r="H654" s="10"/>
      <c r="I654" s="38">
        <f t="shared" ref="I654" si="305">SUM(F654:H654)</f>
        <v>0</v>
      </c>
      <c r="J654" s="10"/>
      <c r="K654" s="10"/>
      <c r="L654" s="10"/>
      <c r="M654" s="38">
        <f t="shared" si="302"/>
        <v>0</v>
      </c>
      <c r="N654" s="10"/>
      <c r="O654" s="10">
        <v>1200</v>
      </c>
      <c r="P654" s="10"/>
      <c r="Q654" s="38">
        <f t="shared" ref="Q654:Q655" si="306">SUM(N654:P654)</f>
        <v>1200</v>
      </c>
      <c r="R654" s="38">
        <f t="shared" si="304"/>
        <v>1200</v>
      </c>
    </row>
    <row r="655" spans="1:20" ht="15.75" customHeight="1" x14ac:dyDescent="0.3">
      <c r="A655" s="539" t="s">
        <v>3235</v>
      </c>
      <c r="B655" s="10"/>
      <c r="C655" s="10"/>
      <c r="D655" s="10"/>
      <c r="E655" s="38">
        <f>SUM(B655:D655)</f>
        <v>0</v>
      </c>
      <c r="F655" s="10"/>
      <c r="G655" s="10"/>
      <c r="H655" s="10"/>
      <c r="I655" s="38">
        <f>SUM(F655:H655)</f>
        <v>0</v>
      </c>
      <c r="J655" s="10"/>
      <c r="K655" s="10"/>
      <c r="L655" s="10"/>
      <c r="M655" s="38">
        <f>SUM(J655:L655)</f>
        <v>0</v>
      </c>
      <c r="N655" s="10"/>
      <c r="O655" s="10"/>
      <c r="P655" s="10"/>
      <c r="Q655" s="38">
        <f t="shared" si="306"/>
        <v>0</v>
      </c>
      <c r="R655" s="38">
        <f t="shared" si="304"/>
        <v>0</v>
      </c>
    </row>
    <row r="656" spans="1:20" ht="15.75" customHeight="1" x14ac:dyDescent="0.3">
      <c r="A656" s="539" t="s">
        <v>3211</v>
      </c>
      <c r="B656" s="10"/>
      <c r="C656" s="10"/>
      <c r="D656" s="10"/>
      <c r="E656" s="38">
        <f>SUM(B656:D656)</f>
        <v>0</v>
      </c>
      <c r="F656" s="10"/>
      <c r="G656" s="10"/>
      <c r="H656" s="10"/>
      <c r="I656" s="38">
        <f>SUM(F656:H656)</f>
        <v>0</v>
      </c>
      <c r="J656" s="10"/>
      <c r="K656" s="10"/>
      <c r="L656" s="10"/>
      <c r="M656" s="38">
        <f>SUM(J656:L656)</f>
        <v>0</v>
      </c>
      <c r="N656" s="10"/>
      <c r="O656" s="10"/>
      <c r="P656" s="10"/>
      <c r="Q656" s="38">
        <f>SUM(N656:P656)</f>
        <v>0</v>
      </c>
      <c r="R656" s="38">
        <f t="shared" si="304"/>
        <v>0</v>
      </c>
    </row>
    <row r="657" spans="1:20" ht="15.75" customHeight="1" thickBot="1" x14ac:dyDescent="0.35">
      <c r="A657" s="539" t="s">
        <v>2079</v>
      </c>
      <c r="B657" s="10"/>
      <c r="C657" s="10"/>
      <c r="D657" s="10"/>
      <c r="E657" s="38">
        <f>SUM(B657:D657)</f>
        <v>0</v>
      </c>
      <c r="F657" s="10"/>
      <c r="G657" s="10"/>
      <c r="H657" s="10"/>
      <c r="I657" s="38">
        <f>SUM(F657:H657)</f>
        <v>0</v>
      </c>
      <c r="J657" s="10"/>
      <c r="K657" s="10"/>
      <c r="L657" s="10"/>
      <c r="M657" s="38">
        <f>SUM(J657:L657)</f>
        <v>0</v>
      </c>
      <c r="N657" s="10"/>
      <c r="O657" s="10"/>
      <c r="P657" s="10"/>
      <c r="Q657" s="38">
        <f>SUM(N657:P657)</f>
        <v>0</v>
      </c>
      <c r="R657" s="38">
        <f>+E657+I657+M657+Q657</f>
        <v>0</v>
      </c>
      <c r="T657" t="s">
        <v>2766</v>
      </c>
    </row>
    <row r="658" spans="1:20" ht="16.5" customHeight="1" thickBot="1" x14ac:dyDescent="0.35">
      <c r="A658" s="277" t="s">
        <v>1220</v>
      </c>
      <c r="B658" s="45">
        <f>SUM(B649:B657)</f>
        <v>0</v>
      </c>
      <c r="C658" s="46">
        <f>SUM(C649:C657)</f>
        <v>0</v>
      </c>
      <c r="D658" s="46">
        <f>SUM(D649:D657)</f>
        <v>0</v>
      </c>
      <c r="E658" s="37">
        <f>SUM(B658:D658)</f>
        <v>0</v>
      </c>
      <c r="F658" s="46">
        <f>SUM(F649:F657)</f>
        <v>0</v>
      </c>
      <c r="G658" s="46">
        <f>SUM(G649:G657)</f>
        <v>0</v>
      </c>
      <c r="H658" s="46">
        <f>SUM(H649:H657)</f>
        <v>0</v>
      </c>
      <c r="I658" s="37">
        <f>SUM(F658:H658)</f>
        <v>0</v>
      </c>
      <c r="J658" s="46">
        <f>SUM(J649:J657)</f>
        <v>0</v>
      </c>
      <c r="K658" s="46">
        <f>SUM(K649:K657)</f>
        <v>0</v>
      </c>
      <c r="L658" s="46">
        <f>SUM(L649:L657)</f>
        <v>0</v>
      </c>
      <c r="M658" s="37">
        <f>SUM(J658:L658)</f>
        <v>0</v>
      </c>
      <c r="N658" s="46">
        <f>SUM(N649:N657)</f>
        <v>0</v>
      </c>
      <c r="O658" s="46">
        <f>SUM(O649:O657)</f>
        <v>1200</v>
      </c>
      <c r="P658" s="46">
        <f>SUM(P649:P657)</f>
        <v>0</v>
      </c>
      <c r="Q658" s="37">
        <f>SUM(N658:P658)</f>
        <v>1200</v>
      </c>
      <c r="R658" s="37">
        <f>+E658+I658+M658+Q658</f>
        <v>1200</v>
      </c>
    </row>
    <row r="659" spans="1:20" ht="15.75" customHeight="1" x14ac:dyDescent="0.3">
      <c r="A659" s="234" t="s">
        <v>1712</v>
      </c>
      <c r="B659" s="10"/>
      <c r="C659" s="10"/>
      <c r="D659" s="10"/>
      <c r="E659" s="38" t="s">
        <v>852</v>
      </c>
      <c r="F659" s="10"/>
      <c r="G659" s="10"/>
      <c r="H659" s="10"/>
      <c r="I659" s="38" t="s">
        <v>852</v>
      </c>
      <c r="J659" s="10"/>
      <c r="K659" s="10"/>
      <c r="L659" s="10"/>
      <c r="M659" s="38" t="s">
        <v>852</v>
      </c>
      <c r="N659" s="10"/>
      <c r="O659" s="10"/>
      <c r="P659" s="10"/>
      <c r="Q659" s="38" t="s">
        <v>852</v>
      </c>
      <c r="R659" s="38" t="s">
        <v>852</v>
      </c>
    </row>
    <row r="660" spans="1:20" ht="15.75" customHeight="1" x14ac:dyDescent="0.3">
      <c r="A660" s="234" t="s">
        <v>1021</v>
      </c>
      <c r="B660" s="10"/>
      <c r="C660" s="10"/>
      <c r="D660" s="10"/>
      <c r="E660" s="38" t="s">
        <v>852</v>
      </c>
      <c r="F660" s="10"/>
      <c r="G660" s="10"/>
      <c r="H660" s="10"/>
      <c r="I660" s="38" t="s">
        <v>852</v>
      </c>
      <c r="J660" s="10"/>
      <c r="K660" s="10"/>
      <c r="L660" s="10"/>
      <c r="M660" s="38" t="s">
        <v>852</v>
      </c>
      <c r="N660" s="10"/>
      <c r="O660" s="10"/>
      <c r="P660" s="10"/>
      <c r="Q660" s="38" t="s">
        <v>852</v>
      </c>
      <c r="R660" s="38" t="s">
        <v>852</v>
      </c>
    </row>
    <row r="661" spans="1:20" ht="15.75" customHeight="1" x14ac:dyDescent="0.3">
      <c r="A661" s="539" t="s">
        <v>3265</v>
      </c>
      <c r="B661" s="10"/>
      <c r="C661" s="10"/>
      <c r="D661" s="10"/>
      <c r="E661" s="38">
        <f>SUM(B661:D661)</f>
        <v>0</v>
      </c>
      <c r="F661" s="10"/>
      <c r="G661" s="10"/>
      <c r="H661" s="10"/>
      <c r="I661" s="38">
        <f>SUM(F661:H661)</f>
        <v>0</v>
      </c>
      <c r="J661" s="10"/>
      <c r="K661" s="10"/>
      <c r="L661" s="10"/>
      <c r="M661" s="38">
        <f>SUM(J661:L661)</f>
        <v>0</v>
      </c>
      <c r="N661" s="10"/>
      <c r="O661" s="10"/>
      <c r="P661" s="10"/>
      <c r="Q661" s="38">
        <f>SUM(N661:P661)</f>
        <v>0</v>
      </c>
      <c r="R661" s="38">
        <f>+E661+I661+M661+Q661</f>
        <v>0</v>
      </c>
      <c r="T661" t="s">
        <v>2766</v>
      </c>
    </row>
    <row r="662" spans="1:20" ht="15.75" customHeight="1" x14ac:dyDescent="0.3">
      <c r="A662" s="310" t="s">
        <v>1787</v>
      </c>
      <c r="B662" s="10"/>
      <c r="C662" s="10"/>
      <c r="D662" s="10"/>
      <c r="E662" s="38">
        <f>SUM(B662:D662)</f>
        <v>0</v>
      </c>
      <c r="F662" s="10"/>
      <c r="G662" s="10"/>
      <c r="H662" s="10"/>
      <c r="I662" s="38">
        <f>SUM(F662:H662)</f>
        <v>0</v>
      </c>
      <c r="J662" s="10"/>
      <c r="K662" s="10"/>
      <c r="L662" s="10"/>
      <c r="M662" s="38">
        <f>SUM(J662:L662)</f>
        <v>0</v>
      </c>
      <c r="N662" s="10"/>
      <c r="O662" s="10"/>
      <c r="P662" s="10"/>
      <c r="Q662" s="38">
        <f>SUM(N662:P662)</f>
        <v>0</v>
      </c>
      <c r="R662" s="38">
        <f>+E662+I662+M662+Q662</f>
        <v>0</v>
      </c>
      <c r="T662" t="s">
        <v>2766</v>
      </c>
    </row>
    <row r="663" spans="1:20" ht="15.75" customHeight="1" x14ac:dyDescent="0.3">
      <c r="A663" s="234" t="s">
        <v>557</v>
      </c>
      <c r="B663" s="10"/>
      <c r="C663" s="10"/>
      <c r="D663" s="10"/>
      <c r="E663" s="38" t="s">
        <v>852</v>
      </c>
      <c r="F663" s="10"/>
      <c r="G663" s="10"/>
      <c r="H663" s="10"/>
      <c r="I663" s="38" t="s">
        <v>852</v>
      </c>
      <c r="J663" s="10"/>
      <c r="K663" s="10"/>
      <c r="L663" s="10"/>
      <c r="M663" s="38" t="s">
        <v>852</v>
      </c>
      <c r="N663" s="10"/>
      <c r="O663" s="10"/>
      <c r="P663" s="10"/>
      <c r="Q663" s="38" t="s">
        <v>852</v>
      </c>
      <c r="R663" s="38" t="s">
        <v>852</v>
      </c>
    </row>
    <row r="664" spans="1:20" ht="15.75" customHeight="1" x14ac:dyDescent="0.3">
      <c r="A664" s="539" t="s">
        <v>2812</v>
      </c>
      <c r="B664" s="10"/>
      <c r="C664" s="10"/>
      <c r="D664" s="10"/>
      <c r="E664" s="38">
        <f>SUM(B664:D664)</f>
        <v>0</v>
      </c>
      <c r="F664" s="10"/>
      <c r="G664" s="10"/>
      <c r="H664" s="10"/>
      <c r="I664" s="38">
        <f>SUM(F664:H664)</f>
        <v>0</v>
      </c>
      <c r="J664" s="10">
        <v>617</v>
      </c>
      <c r="K664" s="10">
        <v>877</v>
      </c>
      <c r="L664" s="10">
        <v>47</v>
      </c>
      <c r="M664" s="38">
        <f>SUM(J664:L664)</f>
        <v>1541</v>
      </c>
      <c r="N664" s="10">
        <v>459</v>
      </c>
      <c r="O664" s="10"/>
      <c r="P664" s="10"/>
      <c r="Q664" s="38">
        <f>SUM(N664:P664)</f>
        <v>459</v>
      </c>
      <c r="R664" s="38">
        <f>+E664+I664+M664+Q664</f>
        <v>2000</v>
      </c>
    </row>
    <row r="665" spans="1:20" ht="15.75" customHeight="1" x14ac:dyDescent="0.3">
      <c r="A665" s="539" t="s">
        <v>2579</v>
      </c>
      <c r="B665" s="10"/>
      <c r="C665" s="10"/>
      <c r="D665" s="10"/>
      <c r="E665" s="38">
        <f>SUM(B665:D665)</f>
        <v>0</v>
      </c>
      <c r="F665" s="10"/>
      <c r="G665" s="10"/>
      <c r="H665" s="10"/>
      <c r="I665" s="38">
        <f>SUM(F665:H665)</f>
        <v>0</v>
      </c>
      <c r="J665" s="10"/>
      <c r="K665" s="10"/>
      <c r="L665" s="10"/>
      <c r="M665" s="38">
        <f>SUM(J665:L665)</f>
        <v>0</v>
      </c>
      <c r="N665" s="10"/>
      <c r="O665" s="10"/>
      <c r="P665" s="10"/>
      <c r="Q665" s="38">
        <f>SUM(N665:P665)</f>
        <v>0</v>
      </c>
      <c r="R665" s="38">
        <f>+E665+I665+M665+Q665</f>
        <v>0</v>
      </c>
    </row>
    <row r="666" spans="1:20" ht="15.75" customHeight="1" x14ac:dyDescent="0.3">
      <c r="A666" s="539" t="s">
        <v>2581</v>
      </c>
      <c r="B666" s="10"/>
      <c r="C666" s="10"/>
      <c r="D666" s="10"/>
      <c r="E666" s="38">
        <f>SUM(B666:D666)</f>
        <v>0</v>
      </c>
      <c r="F666" s="10"/>
      <c r="G666" s="10"/>
      <c r="H666" s="10"/>
      <c r="I666" s="38">
        <f>SUM(F666:H666)</f>
        <v>0</v>
      </c>
      <c r="J666" s="10"/>
      <c r="K666" s="10"/>
      <c r="L666" s="10"/>
      <c r="M666" s="38">
        <f>SUM(J666:L666)</f>
        <v>0</v>
      </c>
      <c r="N666" s="10"/>
      <c r="O666" s="10"/>
      <c r="P666" s="10"/>
      <c r="Q666" s="38">
        <f>SUM(N666:P666)</f>
        <v>0</v>
      </c>
      <c r="R666" s="38">
        <f>+E666+I666+M666+Q666</f>
        <v>0</v>
      </c>
      <c r="T666" t="s">
        <v>2766</v>
      </c>
    </row>
    <row r="667" spans="1:20" ht="15.75" customHeight="1" x14ac:dyDescent="0.3">
      <c r="A667" s="539" t="s">
        <v>2582</v>
      </c>
      <c r="B667" s="10"/>
      <c r="C667" s="10"/>
      <c r="D667" s="10"/>
      <c r="E667" s="38">
        <f>SUM(B667:D667)</f>
        <v>0</v>
      </c>
      <c r="F667" s="10"/>
      <c r="G667" s="10"/>
      <c r="H667" s="10"/>
      <c r="I667" s="38">
        <f>SUM(F667:H667)</f>
        <v>0</v>
      </c>
      <c r="J667" s="10"/>
      <c r="K667" s="10"/>
      <c r="L667" s="10"/>
      <c r="M667" s="38">
        <f>SUM(J667:L667)</f>
        <v>0</v>
      </c>
      <c r="N667" s="10"/>
      <c r="O667" s="10"/>
      <c r="P667" s="10"/>
      <c r="Q667" s="38">
        <f>SUM(N667:P667)</f>
        <v>0</v>
      </c>
      <c r="R667" s="38">
        <f>+E667+I667+M667+Q667</f>
        <v>0</v>
      </c>
      <c r="T667" t="s">
        <v>2766</v>
      </c>
    </row>
    <row r="668" spans="1:20" ht="15.75" customHeight="1" x14ac:dyDescent="0.3">
      <c r="A668" s="234" t="s">
        <v>1022</v>
      </c>
      <c r="B668" s="10"/>
      <c r="C668" s="10"/>
      <c r="D668" s="10"/>
      <c r="E668" s="38" t="s">
        <v>852</v>
      </c>
      <c r="F668" s="10"/>
      <c r="G668" s="10"/>
      <c r="H668" s="10"/>
      <c r="I668" s="38" t="s">
        <v>852</v>
      </c>
      <c r="J668" s="10"/>
      <c r="K668" s="10"/>
      <c r="L668" s="10"/>
      <c r="M668" s="38" t="s">
        <v>852</v>
      </c>
      <c r="N668" s="10"/>
      <c r="O668" s="10"/>
      <c r="P668" s="10"/>
      <c r="Q668" s="38" t="s">
        <v>852</v>
      </c>
      <c r="R668" s="38" t="s">
        <v>852</v>
      </c>
    </row>
    <row r="669" spans="1:20" ht="15.75" customHeight="1" x14ac:dyDescent="0.3">
      <c r="A669" s="539" t="s">
        <v>3273</v>
      </c>
      <c r="B669" s="10"/>
      <c r="C669" s="10"/>
      <c r="D669" s="10"/>
      <c r="E669" s="38">
        <f>SUM(B669:D669)</f>
        <v>0</v>
      </c>
      <c r="F669" s="10"/>
      <c r="G669" s="10"/>
      <c r="H669" s="10"/>
      <c r="I669" s="38">
        <f>SUM(F669:H669)</f>
        <v>0</v>
      </c>
      <c r="J669" s="10"/>
      <c r="K669" s="10"/>
      <c r="L669" s="10">
        <v>3495</v>
      </c>
      <c r="M669" s="38">
        <f>SUM(J669:L669)</f>
        <v>3495</v>
      </c>
      <c r="N669" s="10">
        <v>1695</v>
      </c>
      <c r="O669" s="10"/>
      <c r="P669" s="10">
        <v>1505</v>
      </c>
      <c r="Q669" s="38">
        <f>SUM(N669:P669)</f>
        <v>3200</v>
      </c>
      <c r="R669" s="38">
        <f>+E669+I669+M669+Q669</f>
        <v>6695</v>
      </c>
    </row>
    <row r="670" spans="1:20" ht="15.75" customHeight="1" x14ac:dyDescent="0.3">
      <c r="A670" s="539" t="s">
        <v>3230</v>
      </c>
      <c r="B670" s="10"/>
      <c r="C670" s="10"/>
      <c r="D670" s="10"/>
      <c r="E670" s="38">
        <f>SUM(B670:D670)</f>
        <v>0</v>
      </c>
      <c r="F670" s="10"/>
      <c r="G670" s="10"/>
      <c r="H670" s="10"/>
      <c r="I670" s="38">
        <f>SUM(F670:H670)</f>
        <v>0</v>
      </c>
      <c r="J670" s="10"/>
      <c r="K670" s="10"/>
      <c r="L670" s="10"/>
      <c r="M670" s="38">
        <f>SUM(J670:L670)</f>
        <v>0</v>
      </c>
      <c r="N670" s="10"/>
      <c r="O670" s="10"/>
      <c r="P670" s="10"/>
      <c r="Q670" s="38">
        <f>SUM(N670:P670)</f>
        <v>0</v>
      </c>
      <c r="R670" s="38">
        <f>+E670+I670+M670+Q670</f>
        <v>0</v>
      </c>
    </row>
    <row r="671" spans="1:20" ht="15.75" customHeight="1" x14ac:dyDescent="0.3">
      <c r="A671" s="234" t="s">
        <v>559</v>
      </c>
      <c r="B671" s="10"/>
      <c r="C671" s="10"/>
      <c r="D671" s="10"/>
      <c r="E671" s="38" t="s">
        <v>852</v>
      </c>
      <c r="F671" s="10"/>
      <c r="G671" s="10"/>
      <c r="H671" s="10"/>
      <c r="I671" s="38" t="s">
        <v>852</v>
      </c>
      <c r="J671" s="10"/>
      <c r="K671" s="10"/>
      <c r="L671" s="10"/>
      <c r="M671" s="38" t="s">
        <v>852</v>
      </c>
      <c r="N671" s="10"/>
      <c r="O671" s="10"/>
      <c r="P671" s="10"/>
      <c r="Q671" s="38" t="s">
        <v>852</v>
      </c>
      <c r="R671" s="38" t="s">
        <v>852</v>
      </c>
    </row>
    <row r="672" spans="1:20" ht="15.75" customHeight="1" x14ac:dyDescent="0.3">
      <c r="A672" s="539" t="s">
        <v>2597</v>
      </c>
      <c r="B672" s="10"/>
      <c r="C672" s="10"/>
      <c r="D672" s="10"/>
      <c r="E672" s="38">
        <f t="shared" ref="E672:E674" si="307">SUM(B672:D672)</f>
        <v>0</v>
      </c>
      <c r="F672" s="10"/>
      <c r="G672" s="10"/>
      <c r="H672" s="10"/>
      <c r="I672" s="38">
        <f t="shared" ref="I672:I674" si="308">SUM(F672:H672)</f>
        <v>0</v>
      </c>
      <c r="J672" s="10"/>
      <c r="K672" s="10"/>
      <c r="L672" s="10"/>
      <c r="M672" s="38">
        <f t="shared" ref="M672:M674" si="309">SUM(J672:L672)</f>
        <v>0</v>
      </c>
      <c r="N672" s="10"/>
      <c r="O672" s="10"/>
      <c r="P672" s="10"/>
      <c r="Q672" s="38">
        <f t="shared" ref="Q672:Q678" si="310">SUM(N672:P672)</f>
        <v>0</v>
      </c>
      <c r="R672" s="38">
        <f t="shared" ref="R672:R678" si="311">+E672+I672+M672+Q672</f>
        <v>0</v>
      </c>
    </row>
    <row r="673" spans="1:18" ht="15.75" customHeight="1" x14ac:dyDescent="0.3">
      <c r="A673" s="539" t="s">
        <v>3227</v>
      </c>
      <c r="B673" s="10"/>
      <c r="C673" s="10"/>
      <c r="D673" s="10"/>
      <c r="E673" s="38">
        <f t="shared" ref="E673" si="312">SUM(B673:D673)</f>
        <v>0</v>
      </c>
      <c r="F673" s="10"/>
      <c r="G673" s="10"/>
      <c r="H673" s="10"/>
      <c r="I673" s="38">
        <f t="shared" ref="I673" si="313">SUM(F673:H673)</f>
        <v>0</v>
      </c>
      <c r="J673" s="10"/>
      <c r="K673" s="10"/>
      <c r="L673" s="10"/>
      <c r="M673" s="38">
        <f t="shared" ref="M673" si="314">SUM(J673:L673)</f>
        <v>0</v>
      </c>
      <c r="N673" s="10"/>
      <c r="O673" s="10"/>
      <c r="P673" s="10"/>
      <c r="Q673" s="38">
        <f t="shared" ref="Q673" si="315">SUM(N673:P673)</f>
        <v>0</v>
      </c>
      <c r="R673" s="38">
        <f t="shared" si="311"/>
        <v>0</v>
      </c>
    </row>
    <row r="674" spans="1:18" ht="15.75" customHeight="1" thickBot="1" x14ac:dyDescent="0.35">
      <c r="A674" s="539" t="s">
        <v>2583</v>
      </c>
      <c r="B674" s="10"/>
      <c r="C674" s="10"/>
      <c r="D674" s="10"/>
      <c r="E674" s="38">
        <f t="shared" si="307"/>
        <v>0</v>
      </c>
      <c r="F674" s="10"/>
      <c r="G674" s="10"/>
      <c r="H674" s="10"/>
      <c r="I674" s="38">
        <f t="shared" si="308"/>
        <v>0</v>
      </c>
      <c r="J674" s="10"/>
      <c r="K674" s="10"/>
      <c r="L674" s="10"/>
      <c r="M674" s="38">
        <f t="shared" si="309"/>
        <v>0</v>
      </c>
      <c r="N674" s="10"/>
      <c r="O674" s="10"/>
      <c r="P674" s="10"/>
      <c r="Q674" s="38">
        <f t="shared" si="310"/>
        <v>0</v>
      </c>
      <c r="R674" s="38">
        <f t="shared" si="311"/>
        <v>0</v>
      </c>
    </row>
    <row r="675" spans="1:18" ht="16.5" customHeight="1" thickBot="1" x14ac:dyDescent="0.35">
      <c r="A675" s="43" t="s">
        <v>1019</v>
      </c>
      <c r="B675" s="745">
        <f>SUM(B668:B674)</f>
        <v>0</v>
      </c>
      <c r="C675" s="745">
        <f>SUM(C668:C674)</f>
        <v>0</v>
      </c>
      <c r="D675" s="745">
        <f>SUM(D668:D674)</f>
        <v>0</v>
      </c>
      <c r="E675" s="39">
        <f t="shared" ref="E675:E678" si="316">SUM(B675:D675)</f>
        <v>0</v>
      </c>
      <c r="F675" s="745">
        <f>SUM(F668:F674)</f>
        <v>0</v>
      </c>
      <c r="G675" s="745">
        <f>SUM(G668:G674)</f>
        <v>0</v>
      </c>
      <c r="H675" s="745">
        <f>SUM(H668:H674)</f>
        <v>0</v>
      </c>
      <c r="I675" s="39">
        <f t="shared" ref="I675:I678" si="317">SUM(F675:H675)</f>
        <v>0</v>
      </c>
      <c r="J675" s="745">
        <f>SUM(J668:J674)</f>
        <v>0</v>
      </c>
      <c r="K675" s="745">
        <f>SUM(K668:K674)</f>
        <v>0</v>
      </c>
      <c r="L675" s="745">
        <f>SUM(L668:L674)</f>
        <v>3495</v>
      </c>
      <c r="M675" s="39">
        <f t="shared" ref="M675:M678" si="318">SUM(J675:L675)</f>
        <v>3495</v>
      </c>
      <c r="N675" s="745">
        <f>SUM(N668:N674)</f>
        <v>1695</v>
      </c>
      <c r="O675" s="745">
        <f>SUM(O668:O674)</f>
        <v>0</v>
      </c>
      <c r="P675" s="745">
        <f>SUM(P668:P674)</f>
        <v>1505</v>
      </c>
      <c r="Q675" s="39">
        <f t="shared" si="310"/>
        <v>3200</v>
      </c>
      <c r="R675" s="37">
        <f t="shared" si="311"/>
        <v>6695</v>
      </c>
    </row>
    <row r="676" spans="1:18" ht="16.5" customHeight="1" thickBot="1" x14ac:dyDescent="0.35">
      <c r="A676" s="277" t="s">
        <v>1221</v>
      </c>
      <c r="B676" s="45">
        <f>SUM(B659:B674)</f>
        <v>0</v>
      </c>
      <c r="C676" s="46">
        <f>SUM(C659:C674)</f>
        <v>0</v>
      </c>
      <c r="D676" s="58">
        <f>SUM(D659:D674)</f>
        <v>0</v>
      </c>
      <c r="E676" s="39">
        <f t="shared" si="316"/>
        <v>0</v>
      </c>
      <c r="F676" s="45">
        <f>SUM(F659:F674)</f>
        <v>0</v>
      </c>
      <c r="G676" s="46">
        <f>SUM(G659:G674)</f>
        <v>0</v>
      </c>
      <c r="H676" s="58">
        <f>SUM(H659:H674)</f>
        <v>0</v>
      </c>
      <c r="I676" s="39">
        <f t="shared" si="317"/>
        <v>0</v>
      </c>
      <c r="J676" s="45">
        <f>SUM(J659:J674)</f>
        <v>617</v>
      </c>
      <c r="K676" s="46">
        <f>SUM(K659:K674)</f>
        <v>877</v>
      </c>
      <c r="L676" s="58">
        <f>SUM(L659:L674)</f>
        <v>3542</v>
      </c>
      <c r="M676" s="39">
        <f t="shared" si="318"/>
        <v>5036</v>
      </c>
      <c r="N676" s="45">
        <f>SUM(N659:N674)</f>
        <v>2154</v>
      </c>
      <c r="O676" s="46">
        <f>SUM(O659:O674)</f>
        <v>0</v>
      </c>
      <c r="P676" s="58">
        <f>SUM(P659:P674)</f>
        <v>1505</v>
      </c>
      <c r="Q676" s="39">
        <f t="shared" si="310"/>
        <v>3659</v>
      </c>
      <c r="R676" s="37">
        <f t="shared" si="311"/>
        <v>8695</v>
      </c>
    </row>
    <row r="677" spans="1:18" ht="16.5" customHeight="1" thickBot="1" x14ac:dyDescent="0.35">
      <c r="A677" s="43" t="s">
        <v>1222</v>
      </c>
      <c r="B677" s="337">
        <f>+B642+B648+B658+B676</f>
        <v>4445</v>
      </c>
      <c r="C677" s="338">
        <f>+C642+C648+C658+C676</f>
        <v>3939</v>
      </c>
      <c r="D677" s="338">
        <f>+D642+D648+D658+D676</f>
        <v>5868</v>
      </c>
      <c r="E677" s="37">
        <f t="shared" si="316"/>
        <v>14252</v>
      </c>
      <c r="F677" s="42">
        <f>+F642+F648+F658+F676</f>
        <v>6915</v>
      </c>
      <c r="G677" s="42">
        <f>+G642+G648+G658+G676</f>
        <v>6482</v>
      </c>
      <c r="H677" s="42">
        <f>+H642+H648+H658+H676</f>
        <v>3059</v>
      </c>
      <c r="I677" s="37">
        <f t="shared" si="317"/>
        <v>16456</v>
      </c>
      <c r="J677" s="42">
        <f>+J642+J648+J658+J676</f>
        <v>7361</v>
      </c>
      <c r="K677" s="42">
        <f>+K642+K648+K658+K676</f>
        <v>7440</v>
      </c>
      <c r="L677" s="42">
        <f>+L642+L648+L658+L676</f>
        <v>5172</v>
      </c>
      <c r="M677" s="37">
        <f t="shared" si="318"/>
        <v>19973</v>
      </c>
      <c r="N677" s="42">
        <f>+N642+N648+N658+N676</f>
        <v>2964</v>
      </c>
      <c r="O677" s="42">
        <f>+O642+O648+O658+O676</f>
        <v>1505</v>
      </c>
      <c r="P677" s="42">
        <f>+P642+P648+P658+P676</f>
        <v>2146</v>
      </c>
      <c r="Q677" s="37">
        <f t="shared" si="310"/>
        <v>6615</v>
      </c>
      <c r="R677" s="40">
        <f t="shared" si="311"/>
        <v>57296</v>
      </c>
    </row>
    <row r="678" spans="1:18" ht="16.5" customHeight="1" thickBot="1" x14ac:dyDescent="0.35">
      <c r="A678" s="299" t="s">
        <v>853</v>
      </c>
      <c r="B678" s="294">
        <v>17</v>
      </c>
      <c r="C678" s="294">
        <v>47</v>
      </c>
      <c r="D678" s="294">
        <v>84</v>
      </c>
      <c r="E678" s="38">
        <f t="shared" si="316"/>
        <v>148</v>
      </c>
      <c r="F678" s="294">
        <v>116</v>
      </c>
      <c r="G678" s="294">
        <v>132</v>
      </c>
      <c r="H678" s="294">
        <v>138</v>
      </c>
      <c r="I678" s="38">
        <f t="shared" si="317"/>
        <v>386</v>
      </c>
      <c r="J678" s="294">
        <v>126</v>
      </c>
      <c r="K678" s="294">
        <v>95</v>
      </c>
      <c r="L678" s="294">
        <v>99</v>
      </c>
      <c r="M678" s="38">
        <f t="shared" si="318"/>
        <v>320</v>
      </c>
      <c r="N678" s="294">
        <v>91</v>
      </c>
      <c r="O678" s="294">
        <v>67</v>
      </c>
      <c r="P678" s="294">
        <v>38</v>
      </c>
      <c r="Q678" s="38">
        <f t="shared" si="310"/>
        <v>196</v>
      </c>
      <c r="R678" s="38">
        <f t="shared" si="311"/>
        <v>1050</v>
      </c>
    </row>
    <row r="679" spans="1:18" ht="16.5" customHeight="1" thickBot="1" x14ac:dyDescent="0.35">
      <c r="A679" s="22"/>
      <c r="B679" s="297"/>
      <c r="C679" s="297"/>
      <c r="D679" s="297"/>
      <c r="E679" s="21"/>
      <c r="F679" s="297"/>
      <c r="G679" s="297"/>
      <c r="H679" s="297"/>
      <c r="I679" s="21"/>
      <c r="J679" s="297"/>
      <c r="K679" s="297"/>
      <c r="L679" s="297"/>
      <c r="M679" s="21"/>
      <c r="N679" s="297"/>
      <c r="O679" s="297"/>
      <c r="P679" s="297"/>
      <c r="Q679" s="21"/>
      <c r="R679" s="21"/>
    </row>
    <row r="680" spans="1:18" ht="15.75" customHeight="1" x14ac:dyDescent="0.3">
      <c r="A680" s="259" t="s">
        <v>120</v>
      </c>
      <c r="B680" s="741">
        <f>SUM(B677:B678)</f>
        <v>4462</v>
      </c>
      <c r="C680" s="741">
        <f>SUM(C677:C678)</f>
        <v>3986</v>
      </c>
      <c r="D680" s="741">
        <f>SUM(D677:D678)</f>
        <v>5952</v>
      </c>
      <c r="E680" s="39">
        <f>SUM(B680:D680)</f>
        <v>14400</v>
      </c>
      <c r="F680" s="741">
        <f>SUM(F677:F678)</f>
        <v>7031</v>
      </c>
      <c r="G680" s="741">
        <f>SUM(G677:G678)</f>
        <v>6614</v>
      </c>
      <c r="H680" s="741">
        <f>SUM(H677:H678)</f>
        <v>3197</v>
      </c>
      <c r="I680" s="39">
        <f>SUM(F680:H680)</f>
        <v>16842</v>
      </c>
      <c r="J680" s="741">
        <f>SUM(J677:J678)</f>
        <v>7487</v>
      </c>
      <c r="K680" s="741">
        <f>SUM(K677:K678)</f>
        <v>7535</v>
      </c>
      <c r="L680" s="741">
        <f>SUM(L677:L678)</f>
        <v>5271</v>
      </c>
      <c r="M680" s="39">
        <f>SUM(J680:L680)</f>
        <v>20293</v>
      </c>
      <c r="N680" s="741">
        <f>SUM(N677:N678)</f>
        <v>3055</v>
      </c>
      <c r="O680" s="741">
        <f>SUM(O677:O678)</f>
        <v>1572</v>
      </c>
      <c r="P680" s="741">
        <f>SUM(P677:P678)</f>
        <v>2184</v>
      </c>
      <c r="Q680" s="39">
        <f>SUM(N680:P680)</f>
        <v>6811</v>
      </c>
      <c r="R680" s="39">
        <f>+E680+I680+M680+Q680</f>
        <v>58346</v>
      </c>
    </row>
    <row r="681" spans="1:18" ht="15.75" customHeight="1" x14ac:dyDescent="0.3">
      <c r="A681" s="262" t="s">
        <v>1897</v>
      </c>
      <c r="B681" s="10">
        <f>(B680/B10)/1.983</f>
        <v>72.584711987376565</v>
      </c>
      <c r="C681" s="10">
        <f>(C680/C10)/1.983</f>
        <v>69.313300989444755</v>
      </c>
      <c r="D681" s="10">
        <f>(D680/D10)/1.983</f>
        <v>96.822995461422082</v>
      </c>
      <c r="E681" s="38" t="s">
        <v>852</v>
      </c>
      <c r="F681" s="10">
        <f>(F680/F10)/1.983</f>
        <v>118.18793074466296</v>
      </c>
      <c r="G681" s="10">
        <f>(G680/G10)/1.983</f>
        <v>107.59195093781008</v>
      </c>
      <c r="H681" s="10">
        <f>(H680/H10)/1.983</f>
        <v>53.740124390653889</v>
      </c>
      <c r="I681" s="38" t="s">
        <v>852</v>
      </c>
      <c r="J681" s="10">
        <f>(J680/J10)/1.983</f>
        <v>121.79330763099247</v>
      </c>
      <c r="K681" s="10">
        <f>(K680/K10)/1.983</f>
        <v>122.57413823955231</v>
      </c>
      <c r="L681" s="10">
        <f>(L680/L10)/1.983</f>
        <v>88.603126575895104</v>
      </c>
      <c r="M681" s="38" t="s">
        <v>852</v>
      </c>
      <c r="N681" s="10">
        <f>(N680/N10)/1.983</f>
        <v>49.696614773965806</v>
      </c>
      <c r="O681" s="10">
        <f>(O680/O10)/1.983</f>
        <v>26.42460917801311</v>
      </c>
      <c r="P681" s="10">
        <f>(P680/P10)/1.983</f>
        <v>35.527792689473429</v>
      </c>
      <c r="Q681" s="38" t="s">
        <v>852</v>
      </c>
      <c r="R681" s="38" t="s">
        <v>852</v>
      </c>
    </row>
    <row r="682" spans="1:18" ht="15.75" customHeight="1" x14ac:dyDescent="0.3">
      <c r="A682" s="262" t="s">
        <v>1535</v>
      </c>
      <c r="B682" s="10">
        <f>B680+B692</f>
        <v>14025</v>
      </c>
      <c r="C682" s="10">
        <f>C680+C692</f>
        <v>22654</v>
      </c>
      <c r="D682" s="10">
        <f>D680+D692</f>
        <v>27521</v>
      </c>
      <c r="E682" s="38">
        <f>SUM(B682:D682)</f>
        <v>64200</v>
      </c>
      <c r="F682" s="10">
        <f>F680+F692</f>
        <v>30960</v>
      </c>
      <c r="G682" s="10">
        <f>G680+G692</f>
        <v>30287</v>
      </c>
      <c r="H682" s="10">
        <f>H680+H692</f>
        <v>26558</v>
      </c>
      <c r="I682" s="38">
        <f>SUM(F682:H682)</f>
        <v>87805</v>
      </c>
      <c r="J682" s="10">
        <f>J680+J692</f>
        <v>29606</v>
      </c>
      <c r="K682" s="10">
        <f>K680+K692</f>
        <v>27707</v>
      </c>
      <c r="L682" s="10">
        <f>L680+L692</f>
        <v>22988</v>
      </c>
      <c r="M682" s="38">
        <f>SUM(J682:L682)</f>
        <v>80301</v>
      </c>
      <c r="N682" s="10">
        <f>N680+N692</f>
        <v>14931</v>
      </c>
      <c r="O682" s="10">
        <f>O680+O692</f>
        <v>3295</v>
      </c>
      <c r="P682" s="10">
        <f>P680+P692</f>
        <v>14994</v>
      </c>
      <c r="Q682" s="38">
        <f>SUM(N682:P682)</f>
        <v>33220</v>
      </c>
      <c r="R682" s="38">
        <f>+E682+I682+M682+Q682</f>
        <v>265526</v>
      </c>
    </row>
    <row r="683" spans="1:18" ht="16.5" customHeight="1" thickBot="1" x14ac:dyDescent="0.35">
      <c r="A683" s="263" t="s">
        <v>1536</v>
      </c>
      <c r="B683" s="315">
        <f>(B682/B10)/1.983</f>
        <v>228.14894343858279</v>
      </c>
      <c r="C683" s="315">
        <f>(C682/C10)/1.983</f>
        <v>393.93465143373851</v>
      </c>
      <c r="D683" s="315">
        <f>(D682/D10)/1.983</f>
        <v>447.69248287866213</v>
      </c>
      <c r="E683" s="40" t="s">
        <v>852</v>
      </c>
      <c r="F683" s="315">
        <f>(F682/F10)/1.983</f>
        <v>520.42360060514375</v>
      </c>
      <c r="G683" s="315">
        <f>(G682/G10)/1.983</f>
        <v>492.68784669692383</v>
      </c>
      <c r="H683" s="315">
        <f>(H682/H10)/1.983</f>
        <v>446.4279710875777</v>
      </c>
      <c r="I683" s="40" t="s">
        <v>852</v>
      </c>
      <c r="J683" s="315">
        <f>(J682/J10)/1.983</f>
        <v>481.60981243798085</v>
      </c>
      <c r="K683" s="315">
        <f>(K682/K10)/1.983</f>
        <v>450.71820148683156</v>
      </c>
      <c r="L683" s="315">
        <f>(L682/L10)/1.983</f>
        <v>386.41788535888384</v>
      </c>
      <c r="M683" s="40" t="s">
        <v>852</v>
      </c>
      <c r="N683" s="315">
        <f>(N682/N10)/1.983</f>
        <v>242.88712117515004</v>
      </c>
      <c r="O683" s="315">
        <f>(O682/O10)/1.983</f>
        <v>55.387460077323915</v>
      </c>
      <c r="P683" s="315">
        <f>(P682/P10)/1.983</f>
        <v>243.91196134888486</v>
      </c>
      <c r="Q683" s="40" t="s">
        <v>852</v>
      </c>
      <c r="R683" s="40" t="s">
        <v>852</v>
      </c>
    </row>
    <row r="684" spans="1:18" ht="15.75" customHeight="1" x14ac:dyDescent="0.3">
      <c r="A684" s="17"/>
      <c r="B684" s="10"/>
      <c r="C684" s="10"/>
      <c r="D684" s="10"/>
      <c r="E684" s="10"/>
      <c r="F684" s="10"/>
      <c r="G684" s="10"/>
      <c r="H684" s="10"/>
      <c r="I684" s="10"/>
      <c r="J684" s="10"/>
      <c r="K684" s="10"/>
      <c r="L684" s="10"/>
      <c r="M684" s="10"/>
      <c r="N684" s="10"/>
      <c r="O684" s="10"/>
      <c r="P684" s="10"/>
      <c r="Q684" s="10"/>
      <c r="R684" s="17"/>
    </row>
    <row r="685" spans="1:18" ht="16.5" customHeight="1" thickBot="1" x14ac:dyDescent="0.35">
      <c r="A685" s="24"/>
      <c r="B685" s="294"/>
      <c r="C685" s="294"/>
      <c r="D685" s="294"/>
      <c r="E685" s="294"/>
      <c r="F685" s="294"/>
      <c r="G685" s="294"/>
      <c r="H685" s="294"/>
      <c r="I685" s="294"/>
      <c r="J685" s="294"/>
      <c r="K685" s="294"/>
      <c r="L685" s="294"/>
      <c r="M685" s="294"/>
      <c r="N685" s="294"/>
      <c r="O685" s="294"/>
      <c r="P685" s="294"/>
      <c r="Q685" s="294"/>
      <c r="R685" s="24"/>
    </row>
    <row r="686" spans="1:18" ht="16.5" customHeight="1" thickBot="1" x14ac:dyDescent="0.35">
      <c r="A686" s="278" t="s">
        <v>1537</v>
      </c>
      <c r="B686" s="4" t="s">
        <v>2090</v>
      </c>
      <c r="C686" s="5" t="s">
        <v>2091</v>
      </c>
      <c r="D686" s="5" t="s">
        <v>2234</v>
      </c>
      <c r="E686" s="33" t="s">
        <v>1594</v>
      </c>
      <c r="F686" s="5" t="s">
        <v>2235</v>
      </c>
      <c r="G686" s="5" t="s">
        <v>2236</v>
      </c>
      <c r="H686" s="5" t="s">
        <v>2237</v>
      </c>
      <c r="I686" s="35" t="s">
        <v>1595</v>
      </c>
      <c r="J686" s="5" t="s">
        <v>1504</v>
      </c>
      <c r="K686" s="5" t="s">
        <v>1505</v>
      </c>
      <c r="L686" s="5" t="s">
        <v>1506</v>
      </c>
      <c r="M686" s="35" t="s">
        <v>1596</v>
      </c>
      <c r="N686" s="5" t="s">
        <v>1507</v>
      </c>
      <c r="O686" s="5" t="s">
        <v>1508</v>
      </c>
      <c r="P686" s="5" t="s">
        <v>1509</v>
      </c>
      <c r="Q686" s="33" t="s">
        <v>1597</v>
      </c>
      <c r="R686" s="34" t="s">
        <v>1510</v>
      </c>
    </row>
    <row r="687" spans="1:18" ht="16.5" customHeight="1" thickBot="1" x14ac:dyDescent="0.35">
      <c r="A687" s="22"/>
      <c r="B687" s="297"/>
      <c r="C687" s="297"/>
      <c r="D687" s="297"/>
      <c r="E687" s="298"/>
      <c r="F687" s="297"/>
      <c r="G687" s="297"/>
      <c r="H687" s="297"/>
      <c r="I687" s="298"/>
      <c r="J687" s="297"/>
      <c r="K687" s="297"/>
      <c r="L687" s="297"/>
      <c r="M687" s="298"/>
      <c r="N687" s="297"/>
      <c r="O687" s="297"/>
      <c r="P687" s="297"/>
      <c r="Q687" s="323"/>
      <c r="R687" s="32"/>
    </row>
    <row r="688" spans="1:18" ht="16.5" customHeight="1" thickBot="1" x14ac:dyDescent="0.35">
      <c r="A688" s="299" t="s">
        <v>853</v>
      </c>
      <c r="B688" s="294">
        <v>20</v>
      </c>
      <c r="C688" s="294">
        <v>22</v>
      </c>
      <c r="D688" s="294">
        <v>28</v>
      </c>
      <c r="E688" s="38">
        <f>SUM(B688:D688)</f>
        <v>70</v>
      </c>
      <c r="F688" s="294">
        <v>37</v>
      </c>
      <c r="G688" s="294">
        <v>42</v>
      </c>
      <c r="H688" s="294">
        <v>44</v>
      </c>
      <c r="I688" s="38">
        <f>SUM(F688:H688)</f>
        <v>123</v>
      </c>
      <c r="J688" s="294">
        <v>39</v>
      </c>
      <c r="K688" s="294">
        <v>36</v>
      </c>
      <c r="L688" s="294">
        <v>34</v>
      </c>
      <c r="M688" s="38">
        <f>SUM(J688:L688)</f>
        <v>109</v>
      </c>
      <c r="N688" s="294">
        <v>29</v>
      </c>
      <c r="O688" s="294">
        <v>23</v>
      </c>
      <c r="P688" s="294">
        <v>19</v>
      </c>
      <c r="Q688" s="38">
        <f>SUM(N688:P688)</f>
        <v>71</v>
      </c>
      <c r="R688" s="38">
        <f>+E688+I688+M688+Q688</f>
        <v>373</v>
      </c>
    </row>
    <row r="689" spans="1:18" ht="16.5" customHeight="1" thickBot="1" x14ac:dyDescent="0.35">
      <c r="A689" s="22"/>
      <c r="B689" s="297"/>
      <c r="C689" s="297"/>
      <c r="D689" s="297"/>
      <c r="E689" s="302"/>
      <c r="F689" s="297"/>
      <c r="G689" s="297"/>
      <c r="H689" s="297"/>
      <c r="I689" s="302"/>
      <c r="J689" s="297"/>
      <c r="K689" s="297"/>
      <c r="L689" s="297"/>
      <c r="M689" s="302"/>
      <c r="N689" s="297"/>
      <c r="O689" s="297"/>
      <c r="P689" s="297"/>
      <c r="Q689" s="302"/>
      <c r="R689" s="21"/>
    </row>
    <row r="690" spans="1:18" ht="15.75" customHeight="1" x14ac:dyDescent="0.3">
      <c r="A690" s="259" t="s">
        <v>120</v>
      </c>
      <c r="B690" s="741">
        <f>B688</f>
        <v>20</v>
      </c>
      <c r="C690" s="741">
        <f>C688</f>
        <v>22</v>
      </c>
      <c r="D690" s="741">
        <f>D688</f>
        <v>28</v>
      </c>
      <c r="E690" s="39">
        <f>SUM(B690:D690)</f>
        <v>70</v>
      </c>
      <c r="F690" s="741">
        <f>F688</f>
        <v>37</v>
      </c>
      <c r="G690" s="741">
        <f>G688</f>
        <v>42</v>
      </c>
      <c r="H690" s="741">
        <f>H688</f>
        <v>44</v>
      </c>
      <c r="I690" s="39">
        <f>SUM(F690:H690)</f>
        <v>123</v>
      </c>
      <c r="J690" s="741">
        <f>J688</f>
        <v>39</v>
      </c>
      <c r="K690" s="741">
        <f>K688</f>
        <v>36</v>
      </c>
      <c r="L690" s="741">
        <f>L688</f>
        <v>34</v>
      </c>
      <c r="M690" s="39">
        <f>SUM(J690:L690)</f>
        <v>109</v>
      </c>
      <c r="N690" s="741">
        <f>N688</f>
        <v>29</v>
      </c>
      <c r="O690" s="741">
        <f>O688</f>
        <v>23</v>
      </c>
      <c r="P690" s="741">
        <f>P688</f>
        <v>19</v>
      </c>
      <c r="Q690" s="39">
        <f>SUM(N690:P690)</f>
        <v>71</v>
      </c>
      <c r="R690" s="39">
        <f>+E690+I690+M690+Q690</f>
        <v>373</v>
      </c>
    </row>
    <row r="691" spans="1:18" ht="15.75" customHeight="1" x14ac:dyDescent="0.3">
      <c r="A691" s="262" t="s">
        <v>1897</v>
      </c>
      <c r="B691" s="10">
        <f>(B690/B10)/1.983</f>
        <v>0.32534608689993977</v>
      </c>
      <c r="C691" s="10">
        <f>(C690/C10)/1.983</f>
        <v>0.38256212287199814</v>
      </c>
      <c r="D691" s="10">
        <f>(D690/D10)/1.983</f>
        <v>0.45548452165991571</v>
      </c>
      <c r="E691" s="38" t="s">
        <v>852</v>
      </c>
      <c r="F691" s="10">
        <f>(F690/F10)/1.983</f>
        <v>0.62195326945705165</v>
      </c>
      <c r="G691" s="10">
        <f>(G690/G10)/1.983</f>
        <v>0.68322678248987356</v>
      </c>
      <c r="H691" s="10">
        <f>(H690/H10)/1.983</f>
        <v>0.73962010421919644</v>
      </c>
      <c r="I691" s="38" t="s">
        <v>852</v>
      </c>
      <c r="J691" s="10">
        <f>(J690/J10)/1.983</f>
        <v>0.63442486945488263</v>
      </c>
      <c r="K691" s="10">
        <f>(K690/K10)/1.983</f>
        <v>0.5856229564198917</v>
      </c>
      <c r="L691" s="10">
        <f>(L690/L10)/1.983</f>
        <v>0.57152462598756093</v>
      </c>
      <c r="M691" s="38" t="s">
        <v>852</v>
      </c>
      <c r="N691" s="10">
        <f>(N690/N10)/1.983</f>
        <v>0.47175182600491267</v>
      </c>
      <c r="O691" s="10">
        <f>(O690/O10)/1.983</f>
        <v>0.38661959993276179</v>
      </c>
      <c r="P691" s="10">
        <f>(P690/P10)/1.983</f>
        <v>0.30907878255494281</v>
      </c>
      <c r="Q691" s="38" t="s">
        <v>852</v>
      </c>
      <c r="R691" s="38" t="s">
        <v>852</v>
      </c>
    </row>
    <row r="692" spans="1:18" ht="15.75" customHeight="1" x14ac:dyDescent="0.3">
      <c r="A692" s="262" t="s">
        <v>2019</v>
      </c>
      <c r="B692" s="10">
        <f>B690+B728</f>
        <v>9563</v>
      </c>
      <c r="C692" s="10">
        <f>C690+C728</f>
        <v>18668</v>
      </c>
      <c r="D692" s="10">
        <f>D690+D728</f>
        <v>21569</v>
      </c>
      <c r="E692" s="38">
        <f>SUM(B692:D692)</f>
        <v>49800</v>
      </c>
      <c r="F692" s="10">
        <f>F690+F728</f>
        <v>23929</v>
      </c>
      <c r="G692" s="10">
        <f>G690+G728</f>
        <v>23673</v>
      </c>
      <c r="H692" s="10">
        <f>H690+H728</f>
        <v>23361</v>
      </c>
      <c r="I692" s="38">
        <f>SUM(F692:H692)</f>
        <v>70963</v>
      </c>
      <c r="J692" s="10">
        <f>J690+J728</f>
        <v>22119</v>
      </c>
      <c r="K692" s="10">
        <f>K690+K728</f>
        <v>20172</v>
      </c>
      <c r="L692" s="10">
        <f>L690+L728</f>
        <v>17717</v>
      </c>
      <c r="M692" s="38">
        <f>SUM(J692:L692)</f>
        <v>60008</v>
      </c>
      <c r="N692" s="10">
        <f>N690+N728</f>
        <v>11876</v>
      </c>
      <c r="O692" s="10">
        <f>O690+O728</f>
        <v>1723</v>
      </c>
      <c r="P692" s="10">
        <f>P690+P728</f>
        <v>12810</v>
      </c>
      <c r="Q692" s="38">
        <f>SUM(N692:P692)</f>
        <v>26409</v>
      </c>
      <c r="R692" s="38">
        <f>+E692+I692+M692+Q692</f>
        <v>207180</v>
      </c>
    </row>
    <row r="693" spans="1:18" ht="16.5" customHeight="1" thickBot="1" x14ac:dyDescent="0.35">
      <c r="A693" s="263" t="s">
        <v>1332</v>
      </c>
      <c r="B693" s="315">
        <f>(B692/B10)/1.983</f>
        <v>155.56423145120621</v>
      </c>
      <c r="C693" s="315">
        <f>(C692/C10)/1.983</f>
        <v>324.62135044429374</v>
      </c>
      <c r="D693" s="315">
        <f>(D692/D10)/1.983</f>
        <v>350.86948741724007</v>
      </c>
      <c r="E693" s="40" t="s">
        <v>852</v>
      </c>
      <c r="F693" s="315">
        <f>(F692/F10)/1.983</f>
        <v>402.23566986048075</v>
      </c>
      <c r="G693" s="315">
        <f>(G692/G10)/1.983</f>
        <v>385.09589575911372</v>
      </c>
      <c r="H693" s="315">
        <f>(H692/H10)/1.983</f>
        <v>392.68784669692388</v>
      </c>
      <c r="I693" s="40" t="s">
        <v>852</v>
      </c>
      <c r="J693" s="315">
        <f>(J692/J10)/1.983</f>
        <v>359.81650480698841</v>
      </c>
      <c r="K693" s="315">
        <f>(K692/K10)/1.983</f>
        <v>328.14406324727929</v>
      </c>
      <c r="L693" s="315">
        <f>(L692/L10)/1.983</f>
        <v>297.81475878298875</v>
      </c>
      <c r="M693" s="40" t="s">
        <v>852</v>
      </c>
      <c r="N693" s="315">
        <f>(N692/N10)/1.983</f>
        <v>193.19050640118425</v>
      </c>
      <c r="O693" s="315">
        <f>(O692/O10)/1.983</f>
        <v>28.962850899310805</v>
      </c>
      <c r="P693" s="315">
        <f>(P692/P10)/1.983</f>
        <v>208.38416865941144</v>
      </c>
      <c r="Q693" s="40" t="s">
        <v>852</v>
      </c>
      <c r="R693" s="40" t="s">
        <v>852</v>
      </c>
    </row>
    <row r="694" spans="1:18" ht="15.75" customHeight="1" x14ac:dyDescent="0.3">
      <c r="A694" s="18"/>
      <c r="B694" s="10"/>
      <c r="C694" s="10"/>
      <c r="D694" s="10"/>
      <c r="E694" s="10"/>
      <c r="F694" s="10"/>
      <c r="G694" s="10"/>
      <c r="H694" s="10"/>
      <c r="I694" s="10"/>
      <c r="J694" s="10"/>
      <c r="K694" s="10"/>
      <c r="L694" s="10"/>
      <c r="M694" s="10"/>
      <c r="N694" s="10"/>
      <c r="O694" s="10"/>
      <c r="P694" s="10"/>
      <c r="Q694" s="10"/>
      <c r="R694" s="17"/>
    </row>
    <row r="695" spans="1:18" ht="15.75" customHeight="1" thickBot="1" x14ac:dyDescent="0.35">
      <c r="A695" s="18"/>
      <c r="B695" s="10"/>
      <c r="C695" s="10"/>
      <c r="D695" s="10"/>
      <c r="E695" s="10"/>
      <c r="F695" s="10"/>
      <c r="G695" s="10"/>
      <c r="H695" s="10"/>
      <c r="I695" s="10"/>
      <c r="J695" s="10"/>
      <c r="K695" s="10"/>
      <c r="L695" s="10"/>
      <c r="M695" s="10"/>
      <c r="N695" s="10"/>
      <c r="O695" s="10"/>
      <c r="P695" s="10"/>
      <c r="Q695" s="10"/>
      <c r="R695" s="17"/>
    </row>
    <row r="696" spans="1:18" ht="16.5" customHeight="1" thickBot="1" x14ac:dyDescent="0.35">
      <c r="A696" s="240" t="s">
        <v>1333</v>
      </c>
      <c r="B696" s="4" t="s">
        <v>2090</v>
      </c>
      <c r="C696" s="5" t="s">
        <v>2091</v>
      </c>
      <c r="D696" s="5" t="s">
        <v>2234</v>
      </c>
      <c r="E696" s="33" t="s">
        <v>1594</v>
      </c>
      <c r="F696" s="5" t="s">
        <v>2235</v>
      </c>
      <c r="G696" s="5" t="s">
        <v>2236</v>
      </c>
      <c r="H696" s="5" t="s">
        <v>2237</v>
      </c>
      <c r="I696" s="35" t="s">
        <v>1595</v>
      </c>
      <c r="J696" s="5" t="s">
        <v>1504</v>
      </c>
      <c r="K696" s="5" t="s">
        <v>1505</v>
      </c>
      <c r="L696" s="5" t="s">
        <v>1506</v>
      </c>
      <c r="M696" s="35" t="s">
        <v>1596</v>
      </c>
      <c r="N696" s="5" t="s">
        <v>1507</v>
      </c>
      <c r="O696" s="5" t="s">
        <v>1508</v>
      </c>
      <c r="P696" s="5" t="s">
        <v>1509</v>
      </c>
      <c r="Q696" s="35" t="s">
        <v>1597</v>
      </c>
      <c r="R696" s="36" t="s">
        <v>1510</v>
      </c>
    </row>
    <row r="697" spans="1:18" ht="16.5" customHeight="1" thickBot="1" x14ac:dyDescent="0.35">
      <c r="A697" s="22"/>
      <c r="B697" s="297"/>
      <c r="C697" s="297"/>
      <c r="D697" s="297"/>
      <c r="E697" s="302"/>
      <c r="F697" s="297"/>
      <c r="G697" s="297"/>
      <c r="H697" s="297"/>
      <c r="I697" s="302"/>
      <c r="J697" s="297"/>
      <c r="K697" s="297"/>
      <c r="L697" s="297"/>
      <c r="M697" s="302"/>
      <c r="N697" s="297"/>
      <c r="O697" s="297"/>
      <c r="P697" s="297"/>
      <c r="Q697" s="302"/>
      <c r="R697" s="19"/>
    </row>
    <row r="698" spans="1:18" ht="15.75" customHeight="1" x14ac:dyDescent="0.3">
      <c r="A698" s="234" t="s">
        <v>2417</v>
      </c>
      <c r="B698" s="10" t="s">
        <v>852</v>
      </c>
      <c r="C698" s="10" t="s">
        <v>852</v>
      </c>
      <c r="D698" s="10" t="s">
        <v>852</v>
      </c>
      <c r="E698" s="38" t="s">
        <v>852</v>
      </c>
      <c r="F698" s="10" t="s">
        <v>852</v>
      </c>
      <c r="G698" s="10" t="s">
        <v>852</v>
      </c>
      <c r="H698" s="10" t="s">
        <v>852</v>
      </c>
      <c r="I698" s="38" t="s">
        <v>852</v>
      </c>
      <c r="J698" s="10" t="s">
        <v>852</v>
      </c>
      <c r="K698" s="10" t="s">
        <v>852</v>
      </c>
      <c r="L698" s="10" t="s">
        <v>852</v>
      </c>
      <c r="M698" s="38" t="s">
        <v>852</v>
      </c>
      <c r="N698" s="10" t="s">
        <v>852</v>
      </c>
      <c r="O698" s="10" t="s">
        <v>852</v>
      </c>
      <c r="P698" s="10" t="s">
        <v>852</v>
      </c>
      <c r="Q698" s="38" t="s">
        <v>852</v>
      </c>
      <c r="R698" s="38" t="s">
        <v>852</v>
      </c>
    </row>
    <row r="699" spans="1:18" ht="15.75" customHeight="1" x14ac:dyDescent="0.3">
      <c r="A699" s="234" t="s">
        <v>2160</v>
      </c>
      <c r="B699" s="10"/>
      <c r="C699" s="10"/>
      <c r="D699" s="10"/>
      <c r="E699" s="38" t="s">
        <v>852</v>
      </c>
      <c r="F699" s="10"/>
      <c r="G699" s="10"/>
      <c r="H699" s="10"/>
      <c r="I699" s="38" t="s">
        <v>852</v>
      </c>
      <c r="J699" s="10"/>
      <c r="K699" s="10"/>
      <c r="L699" s="10"/>
      <c r="M699" s="38" t="s">
        <v>852</v>
      </c>
      <c r="N699" s="10"/>
      <c r="O699" s="10"/>
      <c r="P699" s="10"/>
      <c r="Q699" s="38" t="s">
        <v>852</v>
      </c>
      <c r="R699" s="38" t="s">
        <v>852</v>
      </c>
    </row>
    <row r="700" spans="1:18" ht="15.75" customHeight="1" x14ac:dyDescent="0.3">
      <c r="A700" s="539" t="s">
        <v>2747</v>
      </c>
      <c r="B700" s="10">
        <v>3</v>
      </c>
      <c r="C700" s="10">
        <v>823</v>
      </c>
      <c r="D700" s="10">
        <v>234</v>
      </c>
      <c r="E700" s="38">
        <f>SUM(B700:D700)</f>
        <v>1060</v>
      </c>
      <c r="F700" s="10">
        <v>1471</v>
      </c>
      <c r="G700" s="10">
        <v>1027</v>
      </c>
      <c r="H700" s="10">
        <v>1491</v>
      </c>
      <c r="I700" s="38">
        <f>SUM(F700:H700)</f>
        <v>3989</v>
      </c>
      <c r="J700" s="10">
        <v>183</v>
      </c>
      <c r="K700" s="10">
        <v>1280</v>
      </c>
      <c r="L700" s="10">
        <v>659</v>
      </c>
      <c r="M700" s="38">
        <f>SUM(J700:L700)</f>
        <v>2122</v>
      </c>
      <c r="N700" s="10">
        <v>728</v>
      </c>
      <c r="O700" s="10"/>
      <c r="P700" s="10">
        <v>188</v>
      </c>
      <c r="Q700" s="38">
        <f>SUM(N700:P700)</f>
        <v>916</v>
      </c>
      <c r="R700" s="38">
        <f>+E700+I700+M700+Q700</f>
        <v>8087</v>
      </c>
    </row>
    <row r="701" spans="1:18" ht="15.75" customHeight="1" x14ac:dyDescent="0.3">
      <c r="A701" s="539" t="s">
        <v>2748</v>
      </c>
      <c r="B701" s="356">
        <v>308</v>
      </c>
      <c r="C701" s="356">
        <v>690</v>
      </c>
      <c r="D701" s="356">
        <v>930</v>
      </c>
      <c r="E701" s="38">
        <f>SUM(B701:D701)</f>
        <v>1928</v>
      </c>
      <c r="F701" s="356">
        <v>955</v>
      </c>
      <c r="G701" s="356">
        <v>931</v>
      </c>
      <c r="H701" s="356">
        <v>1146</v>
      </c>
      <c r="I701" s="38">
        <f>SUM(F701:H701)</f>
        <v>3032</v>
      </c>
      <c r="J701" s="356">
        <v>720</v>
      </c>
      <c r="K701" s="356">
        <v>727</v>
      </c>
      <c r="L701" s="10">
        <v>30</v>
      </c>
      <c r="M701" s="38">
        <f>SUM(J701:L701)</f>
        <v>1477</v>
      </c>
      <c r="N701" s="10"/>
      <c r="O701" s="10"/>
      <c r="P701" s="10"/>
      <c r="Q701" s="38">
        <f>SUM(N701:P701)</f>
        <v>0</v>
      </c>
      <c r="R701" s="38">
        <f>+E701+I701+M701+Q701</f>
        <v>6437</v>
      </c>
    </row>
    <row r="702" spans="1:18" ht="15.75" customHeight="1" x14ac:dyDescent="0.3">
      <c r="A702" s="310" t="s">
        <v>537</v>
      </c>
      <c r="B702" s="10">
        <v>35</v>
      </c>
      <c r="C702" s="10">
        <v>28</v>
      </c>
      <c r="D702" s="10">
        <v>26</v>
      </c>
      <c r="E702" s="38">
        <f>SUM(B702:D702)</f>
        <v>89</v>
      </c>
      <c r="F702" s="10">
        <v>64</v>
      </c>
      <c r="G702" s="10">
        <v>36</v>
      </c>
      <c r="H702" s="10"/>
      <c r="I702" s="38">
        <f>SUM(F702:H702)</f>
        <v>100</v>
      </c>
      <c r="J702" s="10"/>
      <c r="K702" s="10"/>
      <c r="L702" s="10"/>
      <c r="M702" s="38">
        <f>SUM(J702:L702)</f>
        <v>0</v>
      </c>
      <c r="N702" s="10"/>
      <c r="O702" s="10"/>
      <c r="P702" s="10">
        <v>231</v>
      </c>
      <c r="Q702" s="38">
        <f>SUM(N702:P702)</f>
        <v>231</v>
      </c>
      <c r="R702" s="38">
        <f>+E702+I702+M702+Q702</f>
        <v>420</v>
      </c>
    </row>
    <row r="703" spans="1:18" ht="15.75" customHeight="1" x14ac:dyDescent="0.3">
      <c r="A703" s="234" t="s">
        <v>2161</v>
      </c>
      <c r="B703" s="10"/>
      <c r="C703" s="10"/>
      <c r="D703" s="10"/>
      <c r="E703" s="38" t="s">
        <v>852</v>
      </c>
      <c r="F703" s="10"/>
      <c r="G703" s="10"/>
      <c r="H703" s="10"/>
      <c r="I703" s="38" t="s">
        <v>852</v>
      </c>
      <c r="J703" s="10"/>
      <c r="K703" s="10"/>
      <c r="L703" s="10"/>
      <c r="M703" s="38" t="s">
        <v>852</v>
      </c>
      <c r="N703" s="10"/>
      <c r="O703" s="10"/>
      <c r="P703" s="10"/>
      <c r="Q703" s="38" t="s">
        <v>852</v>
      </c>
      <c r="R703" s="38" t="s">
        <v>852</v>
      </c>
    </row>
    <row r="704" spans="1:18" ht="15.75" customHeight="1" x14ac:dyDescent="0.3">
      <c r="A704" s="234" t="s">
        <v>3245</v>
      </c>
      <c r="B704" s="10"/>
      <c r="C704" s="10"/>
      <c r="D704" s="10"/>
      <c r="E704" s="38" t="s">
        <v>852</v>
      </c>
      <c r="F704" s="10"/>
      <c r="G704" s="10"/>
      <c r="H704" s="10"/>
      <c r="I704" s="38" t="s">
        <v>852</v>
      </c>
      <c r="J704" s="10"/>
      <c r="K704" s="10"/>
      <c r="L704" s="10"/>
      <c r="M704" s="38" t="s">
        <v>852</v>
      </c>
      <c r="N704" s="10"/>
      <c r="O704" s="10"/>
      <c r="P704" s="10"/>
      <c r="Q704" s="38" t="s">
        <v>852</v>
      </c>
      <c r="R704" s="38" t="s">
        <v>852</v>
      </c>
    </row>
    <row r="705" spans="1:18" ht="15.75" customHeight="1" thickBot="1" x14ac:dyDescent="0.35">
      <c r="A705" s="234" t="s">
        <v>2164</v>
      </c>
      <c r="B705" s="10"/>
      <c r="C705" s="10"/>
      <c r="D705" s="10"/>
      <c r="E705" s="38" t="s">
        <v>852</v>
      </c>
      <c r="F705" s="10"/>
      <c r="G705" s="10"/>
      <c r="H705" s="10"/>
      <c r="I705" s="38" t="s">
        <v>852</v>
      </c>
      <c r="J705" s="10"/>
      <c r="K705" s="10"/>
      <c r="L705" s="10"/>
      <c r="M705" s="38" t="s">
        <v>852</v>
      </c>
      <c r="N705" s="10"/>
      <c r="O705" s="10"/>
      <c r="P705" s="10"/>
      <c r="Q705" s="38" t="s">
        <v>852</v>
      </c>
      <c r="R705" s="38" t="s">
        <v>852</v>
      </c>
    </row>
    <row r="706" spans="1:18" ht="16.5" customHeight="1" thickBot="1" x14ac:dyDescent="0.35">
      <c r="A706" s="322" t="s">
        <v>1218</v>
      </c>
      <c r="B706" s="45">
        <f>SUM(B698:B705)</f>
        <v>346</v>
      </c>
      <c r="C706" s="46">
        <f>SUM(C698:C705)</f>
        <v>1541</v>
      </c>
      <c r="D706" s="46">
        <f>SUM(D698:D705)</f>
        <v>1190</v>
      </c>
      <c r="E706" s="37">
        <f>SUM(B706:D706)</f>
        <v>3077</v>
      </c>
      <c r="F706" s="46">
        <f>SUM(F698:F705)</f>
        <v>2490</v>
      </c>
      <c r="G706" s="46">
        <f>SUM(G698:G705)</f>
        <v>1994</v>
      </c>
      <c r="H706" s="46">
        <f>SUM(H698:H705)</f>
        <v>2637</v>
      </c>
      <c r="I706" s="37">
        <f>SUM(F706:H706)</f>
        <v>7121</v>
      </c>
      <c r="J706" s="46">
        <f>SUM(J698:J705)</f>
        <v>903</v>
      </c>
      <c r="K706" s="46">
        <f>SUM(K698:K705)</f>
        <v>2007</v>
      </c>
      <c r="L706" s="46">
        <f>SUM(L698:L705)</f>
        <v>689</v>
      </c>
      <c r="M706" s="37">
        <f>SUM(J706:L706)</f>
        <v>3599</v>
      </c>
      <c r="N706" s="46">
        <f>SUM(N698:N705)</f>
        <v>728</v>
      </c>
      <c r="O706" s="46">
        <f>SUM(O698:O705)</f>
        <v>0</v>
      </c>
      <c r="P706" s="46">
        <f>SUM(P698:P705)</f>
        <v>419</v>
      </c>
      <c r="Q706" s="37">
        <f>SUM(N706:P706)</f>
        <v>1147</v>
      </c>
      <c r="R706" s="37">
        <f>+E706+I706+M706+Q706</f>
        <v>14944</v>
      </c>
    </row>
    <row r="707" spans="1:18" ht="15.75" customHeight="1" x14ac:dyDescent="0.3">
      <c r="A707" s="234" t="s">
        <v>1172</v>
      </c>
      <c r="B707" s="10"/>
      <c r="C707" s="10"/>
      <c r="D707" s="10"/>
      <c r="E707" s="38" t="s">
        <v>852</v>
      </c>
      <c r="F707" s="10"/>
      <c r="G707" s="10"/>
      <c r="H707" s="10"/>
      <c r="I707" s="38" t="s">
        <v>852</v>
      </c>
      <c r="J707" s="10"/>
      <c r="K707" s="10"/>
      <c r="L707" s="10"/>
      <c r="M707" s="38" t="s">
        <v>852</v>
      </c>
      <c r="N707" s="10"/>
      <c r="O707" s="10"/>
      <c r="P707" s="10"/>
      <c r="Q707" s="38" t="s">
        <v>852</v>
      </c>
      <c r="R707" s="38" t="s">
        <v>852</v>
      </c>
    </row>
    <row r="708" spans="1:18" ht="15.75" customHeight="1" x14ac:dyDescent="0.3">
      <c r="A708" s="234" t="s">
        <v>2409</v>
      </c>
      <c r="B708" s="10"/>
      <c r="C708" s="10"/>
      <c r="D708" s="10"/>
      <c r="E708" s="38" t="s">
        <v>852</v>
      </c>
      <c r="F708" s="10"/>
      <c r="G708" s="10"/>
      <c r="H708" s="10"/>
      <c r="I708" s="38" t="s">
        <v>852</v>
      </c>
      <c r="J708" s="10"/>
      <c r="K708" s="10"/>
      <c r="L708" s="10"/>
      <c r="M708" s="38" t="s">
        <v>852</v>
      </c>
      <c r="N708" s="10"/>
      <c r="O708" s="10"/>
      <c r="P708" s="10"/>
      <c r="Q708" s="38" t="s">
        <v>852</v>
      </c>
      <c r="R708" s="38" t="s">
        <v>852</v>
      </c>
    </row>
    <row r="709" spans="1:18" ht="15.75" customHeight="1" thickBot="1" x14ac:dyDescent="0.35">
      <c r="A709" s="234" t="s">
        <v>2165</v>
      </c>
      <c r="B709" s="10"/>
      <c r="C709" s="10"/>
      <c r="D709" s="10"/>
      <c r="E709" s="38" t="s">
        <v>852</v>
      </c>
      <c r="F709" s="10"/>
      <c r="G709" s="10"/>
      <c r="H709" s="10"/>
      <c r="I709" s="38" t="s">
        <v>852</v>
      </c>
      <c r="J709" s="10"/>
      <c r="K709" s="10"/>
      <c r="L709" s="10"/>
      <c r="M709" s="38" t="s">
        <v>852</v>
      </c>
      <c r="N709" s="10"/>
      <c r="O709" s="10"/>
      <c r="P709" s="10"/>
      <c r="Q709" s="38" t="s">
        <v>852</v>
      </c>
      <c r="R709" s="38" t="s">
        <v>852</v>
      </c>
    </row>
    <row r="710" spans="1:18" ht="16.5" customHeight="1" thickBot="1" x14ac:dyDescent="0.35">
      <c r="A710" s="43" t="s">
        <v>1219</v>
      </c>
      <c r="B710" s="45">
        <f>SUM(B707:B709)</f>
        <v>0</v>
      </c>
      <c r="C710" s="46">
        <f>SUM(C707:C709)</f>
        <v>0</v>
      </c>
      <c r="D710" s="46">
        <f>SUM(D707:D709)</f>
        <v>0</v>
      </c>
      <c r="E710" s="37">
        <f>SUM(B710:D710)</f>
        <v>0</v>
      </c>
      <c r="F710" s="46">
        <f>SUM(F707:F709)</f>
        <v>0</v>
      </c>
      <c r="G710" s="46">
        <f>SUM(G707:G709)</f>
        <v>0</v>
      </c>
      <c r="H710" s="46">
        <f>SUM(H707:H709)</f>
        <v>0</v>
      </c>
      <c r="I710" s="37">
        <f>SUM(F710:H710)</f>
        <v>0</v>
      </c>
      <c r="J710" s="46">
        <f>SUM(J707:J709)</f>
        <v>0</v>
      </c>
      <c r="K710" s="46">
        <f>SUM(K707:K709)</f>
        <v>0</v>
      </c>
      <c r="L710" s="46">
        <f>SUM(L707:L709)</f>
        <v>0</v>
      </c>
      <c r="M710" s="37">
        <f>SUM(J710:L710)</f>
        <v>0</v>
      </c>
      <c r="N710" s="46">
        <f>SUM(N707:N709)</f>
        <v>0</v>
      </c>
      <c r="O710" s="46">
        <f>SUM(O707:O709)</f>
        <v>0</v>
      </c>
      <c r="P710" s="46">
        <f>SUM(P707:P709)</f>
        <v>0</v>
      </c>
      <c r="Q710" s="37">
        <f>SUM(N710:P710)</f>
        <v>0</v>
      </c>
      <c r="R710" s="37">
        <f>+E710+I710+M710+Q710</f>
        <v>0</v>
      </c>
    </row>
    <row r="711" spans="1:18" ht="15.75" customHeight="1" x14ac:dyDescent="0.3">
      <c r="A711" s="234" t="s">
        <v>2166</v>
      </c>
      <c r="B711" s="10"/>
      <c r="C711" s="10"/>
      <c r="D711" s="10"/>
      <c r="E711" s="38" t="s">
        <v>852</v>
      </c>
      <c r="F711" s="10"/>
      <c r="G711" s="10"/>
      <c r="H711" s="10"/>
      <c r="I711" s="38" t="s">
        <v>852</v>
      </c>
      <c r="J711" s="10"/>
      <c r="K711" s="10"/>
      <c r="L711" s="10"/>
      <c r="M711" s="38" t="s">
        <v>852</v>
      </c>
      <c r="N711" s="10"/>
      <c r="O711" s="10"/>
      <c r="P711" s="10"/>
      <c r="Q711" s="38" t="s">
        <v>852</v>
      </c>
      <c r="R711" s="38" t="s">
        <v>852</v>
      </c>
    </row>
    <row r="712" spans="1:18" ht="15.75" customHeight="1" x14ac:dyDescent="0.3">
      <c r="A712" s="234" t="s">
        <v>1245</v>
      </c>
      <c r="B712" s="10"/>
      <c r="C712" s="10"/>
      <c r="D712" s="10"/>
      <c r="E712" s="38" t="s">
        <v>852</v>
      </c>
      <c r="F712" s="10"/>
      <c r="G712" s="10"/>
      <c r="H712" s="10"/>
      <c r="I712" s="38" t="s">
        <v>852</v>
      </c>
      <c r="J712" s="10"/>
      <c r="K712" s="10"/>
      <c r="L712" s="10"/>
      <c r="M712" s="38" t="s">
        <v>852</v>
      </c>
      <c r="N712" s="10"/>
      <c r="O712" s="10"/>
      <c r="P712" s="10"/>
      <c r="Q712" s="38" t="s">
        <v>852</v>
      </c>
      <c r="R712" s="38" t="s">
        <v>852</v>
      </c>
    </row>
    <row r="713" spans="1:18" ht="15.75" customHeight="1" thickBot="1" x14ac:dyDescent="0.35">
      <c r="A713" s="234" t="s">
        <v>1711</v>
      </c>
      <c r="B713" s="10"/>
      <c r="C713" s="10"/>
      <c r="D713" s="10"/>
      <c r="E713" s="38" t="s">
        <v>852</v>
      </c>
      <c r="F713" s="10"/>
      <c r="G713" s="10"/>
      <c r="H713" s="10"/>
      <c r="I713" s="38" t="s">
        <v>852</v>
      </c>
      <c r="J713" s="10"/>
      <c r="K713" s="10"/>
      <c r="L713" s="10"/>
      <c r="M713" s="38" t="s">
        <v>852</v>
      </c>
      <c r="N713" s="10"/>
      <c r="O713" s="10"/>
      <c r="P713" s="10"/>
      <c r="Q713" s="38" t="s">
        <v>852</v>
      </c>
      <c r="R713" s="38" t="s">
        <v>852</v>
      </c>
    </row>
    <row r="714" spans="1:18" ht="16.5" customHeight="1" thickBot="1" x14ac:dyDescent="0.35">
      <c r="A714" s="277" t="s">
        <v>1220</v>
      </c>
      <c r="B714" s="45">
        <f>SUM(B711:B713)</f>
        <v>0</v>
      </c>
      <c r="C714" s="46">
        <f>SUM(C711:C713)</f>
        <v>0</v>
      </c>
      <c r="D714" s="46">
        <f>SUM(D711:D713)</f>
        <v>0</v>
      </c>
      <c r="E714" s="37">
        <f>SUM(B714:D714)</f>
        <v>0</v>
      </c>
      <c r="F714" s="46">
        <f>SUM(F711:F713)</f>
        <v>0</v>
      </c>
      <c r="G714" s="46">
        <f>SUM(G711:G713)</f>
        <v>0</v>
      </c>
      <c r="H714" s="46">
        <f>SUM(H711:H713)</f>
        <v>0</v>
      </c>
      <c r="I714" s="37">
        <f>SUM(F714:H714)</f>
        <v>0</v>
      </c>
      <c r="J714" s="46">
        <f>SUM(J711:J713)</f>
        <v>0</v>
      </c>
      <c r="K714" s="46">
        <f>SUM(K711:K713)</f>
        <v>0</v>
      </c>
      <c r="L714" s="46">
        <f>SUM(L711:L713)</f>
        <v>0</v>
      </c>
      <c r="M714" s="37">
        <f>SUM(J714:L714)</f>
        <v>0</v>
      </c>
      <c r="N714" s="46">
        <f>SUM(N711:N713)</f>
        <v>0</v>
      </c>
      <c r="O714" s="46">
        <f>SUM(O711:O713)</f>
        <v>0</v>
      </c>
      <c r="P714" s="46">
        <f>SUM(P711:P713)</f>
        <v>0</v>
      </c>
      <c r="Q714" s="37">
        <f>SUM(N714:P714)</f>
        <v>0</v>
      </c>
      <c r="R714" s="37">
        <f>+E714+I714+M714+Q714</f>
        <v>0</v>
      </c>
    </row>
    <row r="715" spans="1:18" ht="15.75" customHeight="1" x14ac:dyDescent="0.3">
      <c r="A715" s="234" t="s">
        <v>1712</v>
      </c>
      <c r="B715" s="10"/>
      <c r="C715" s="10"/>
      <c r="D715" s="10"/>
      <c r="E715" s="38" t="s">
        <v>852</v>
      </c>
      <c r="F715" s="10"/>
      <c r="G715" s="10"/>
      <c r="H715" s="10"/>
      <c r="I715" s="38" t="s">
        <v>852</v>
      </c>
      <c r="J715" s="10"/>
      <c r="K715" s="10"/>
      <c r="L715" s="10"/>
      <c r="M715" s="38" t="s">
        <v>852</v>
      </c>
      <c r="N715" s="10"/>
      <c r="O715" s="10"/>
      <c r="P715" s="10"/>
      <c r="Q715" s="38" t="s">
        <v>852</v>
      </c>
      <c r="R715" s="38" t="s">
        <v>852</v>
      </c>
    </row>
    <row r="716" spans="1:18" ht="15.75" customHeight="1" x14ac:dyDescent="0.3">
      <c r="A716" s="234" t="s">
        <v>1021</v>
      </c>
      <c r="B716" s="10"/>
      <c r="C716" s="10"/>
      <c r="D716" s="10"/>
      <c r="E716" s="38" t="s">
        <v>852</v>
      </c>
      <c r="F716" s="10"/>
      <c r="G716" s="10"/>
      <c r="H716" s="10"/>
      <c r="I716" s="38" t="s">
        <v>852</v>
      </c>
      <c r="J716" s="10"/>
      <c r="K716" s="10"/>
      <c r="L716" s="10"/>
      <c r="M716" s="38" t="s">
        <v>852</v>
      </c>
      <c r="N716" s="10"/>
      <c r="O716" s="10"/>
      <c r="P716" s="10"/>
      <c r="Q716" s="38" t="s">
        <v>852</v>
      </c>
      <c r="R716" s="38" t="s">
        <v>852</v>
      </c>
    </row>
    <row r="717" spans="1:18" ht="15.75" customHeight="1" x14ac:dyDescent="0.3">
      <c r="A717" s="234" t="s">
        <v>557</v>
      </c>
      <c r="B717" s="10"/>
      <c r="C717" s="10"/>
      <c r="D717" s="10"/>
      <c r="E717" s="38" t="s">
        <v>852</v>
      </c>
      <c r="F717" s="10"/>
      <c r="G717" s="10"/>
      <c r="H717" s="10"/>
      <c r="I717" s="38" t="s">
        <v>852</v>
      </c>
      <c r="J717" s="10"/>
      <c r="K717" s="10"/>
      <c r="L717" s="10"/>
      <c r="M717" s="38" t="s">
        <v>852</v>
      </c>
      <c r="N717" s="10"/>
      <c r="O717" s="10"/>
      <c r="P717" s="10"/>
      <c r="Q717" s="38" t="s">
        <v>852</v>
      </c>
      <c r="R717" s="38" t="s">
        <v>852</v>
      </c>
    </row>
    <row r="718" spans="1:18" ht="15.75" customHeight="1" x14ac:dyDescent="0.3">
      <c r="A718" s="539" t="s">
        <v>2584</v>
      </c>
      <c r="B718" s="10"/>
      <c r="C718" s="10"/>
      <c r="D718" s="10"/>
      <c r="E718" s="38">
        <f>SUM(B718:D718)</f>
        <v>0</v>
      </c>
      <c r="F718" s="10"/>
      <c r="G718" s="10"/>
      <c r="H718" s="10"/>
      <c r="I718" s="38">
        <f>SUM(F718:H718)</f>
        <v>0</v>
      </c>
      <c r="J718" s="10"/>
      <c r="K718" s="10"/>
      <c r="L718" s="10"/>
      <c r="M718" s="38">
        <f>SUM(J718:L718)</f>
        <v>0</v>
      </c>
      <c r="N718" s="10"/>
      <c r="O718" s="10"/>
      <c r="P718" s="10"/>
      <c r="Q718" s="38">
        <f>SUM(N718:P718)</f>
        <v>0</v>
      </c>
      <c r="R718" s="38">
        <f>+E718+I718+M718+Q718</f>
        <v>0</v>
      </c>
    </row>
    <row r="719" spans="1:18" ht="15.75" customHeight="1" x14ac:dyDescent="0.3">
      <c r="A719" s="234" t="s">
        <v>1022</v>
      </c>
      <c r="B719" s="10"/>
      <c r="C719" s="10"/>
      <c r="D719" s="10"/>
      <c r="E719" s="38" t="s">
        <v>852</v>
      </c>
      <c r="F719" s="10"/>
      <c r="G719" s="10"/>
      <c r="H719" s="10"/>
      <c r="I719" s="38" t="s">
        <v>852</v>
      </c>
      <c r="J719" s="10"/>
      <c r="K719" s="10"/>
      <c r="L719" s="10"/>
      <c r="M719" s="38" t="s">
        <v>852</v>
      </c>
      <c r="N719" s="10"/>
      <c r="O719" s="10"/>
      <c r="P719" s="10"/>
      <c r="Q719" s="38" t="s">
        <v>852</v>
      </c>
      <c r="R719" s="38" t="s">
        <v>852</v>
      </c>
    </row>
    <row r="720" spans="1:18" ht="15.75" customHeight="1" thickBot="1" x14ac:dyDescent="0.35">
      <c r="A720" s="234" t="s">
        <v>559</v>
      </c>
      <c r="B720" s="10"/>
      <c r="C720" s="10"/>
      <c r="D720" s="10"/>
      <c r="E720" s="38" t="s">
        <v>852</v>
      </c>
      <c r="F720" s="10"/>
      <c r="G720" s="10"/>
      <c r="H720" s="10"/>
      <c r="I720" s="38" t="s">
        <v>852</v>
      </c>
      <c r="J720" s="10"/>
      <c r="K720" s="10"/>
      <c r="L720" s="10"/>
      <c r="M720" s="38" t="s">
        <v>852</v>
      </c>
      <c r="N720" s="10"/>
      <c r="O720" s="10"/>
      <c r="P720" s="10"/>
      <c r="Q720" s="38" t="s">
        <v>852</v>
      </c>
      <c r="R720" s="38" t="s">
        <v>852</v>
      </c>
    </row>
    <row r="721" spans="1:18" ht="16.5" customHeight="1" thickBot="1" x14ac:dyDescent="0.35">
      <c r="A721" s="43" t="s">
        <v>1019</v>
      </c>
      <c r="B721" s="42">
        <f>SUM(B719:B720)</f>
        <v>0</v>
      </c>
      <c r="C721" s="42">
        <f>SUM(C719:C720)</f>
        <v>0</v>
      </c>
      <c r="D721" s="42">
        <f>SUM(D719:D720)</f>
        <v>0</v>
      </c>
      <c r="E721" s="39">
        <f>SUM(B721:D721)</f>
        <v>0</v>
      </c>
      <c r="F721" s="42">
        <f>SUM(F719:F720)</f>
        <v>0</v>
      </c>
      <c r="G721" s="42">
        <f>SUM(G719:G720)</f>
        <v>0</v>
      </c>
      <c r="H721" s="42">
        <f>SUM(H719:H720)</f>
        <v>0</v>
      </c>
      <c r="I721" s="39">
        <f>SUM(F721:H721)</f>
        <v>0</v>
      </c>
      <c r="J721" s="42">
        <f>SUM(J719:J720)</f>
        <v>0</v>
      </c>
      <c r="K721" s="42">
        <f>SUM(K719:K720)</f>
        <v>0</v>
      </c>
      <c r="L721" s="42">
        <f>SUM(L719:L720)</f>
        <v>0</v>
      </c>
      <c r="M721" s="39">
        <f>SUM(J721:L721)</f>
        <v>0</v>
      </c>
      <c r="N721" s="42">
        <f>SUM(N719:N720)</f>
        <v>0</v>
      </c>
      <c r="O721" s="42">
        <f>SUM(O719:O720)</f>
        <v>0</v>
      </c>
      <c r="P721" s="42">
        <f>SUM(P719:P720)</f>
        <v>0</v>
      </c>
      <c r="Q721" s="39">
        <f>SUM(N721:P721)</f>
        <v>0</v>
      </c>
      <c r="R721" s="37">
        <f>+E721+I721+M721+Q721</f>
        <v>0</v>
      </c>
    </row>
    <row r="722" spans="1:18" ht="16.5" customHeight="1" thickBot="1" x14ac:dyDescent="0.35">
      <c r="A722" s="277" t="s">
        <v>1221</v>
      </c>
      <c r="B722" s="45">
        <f>SUM(B715:B720)</f>
        <v>0</v>
      </c>
      <c r="C722" s="46">
        <f>SUM(C715:C720)</f>
        <v>0</v>
      </c>
      <c r="D722" s="58">
        <f>SUM(D715:D720)</f>
        <v>0</v>
      </c>
      <c r="E722" s="39">
        <f>SUM(B722:D722)</f>
        <v>0</v>
      </c>
      <c r="F722" s="46">
        <f>SUM(F715:F720)</f>
        <v>0</v>
      </c>
      <c r="G722" s="46">
        <f>SUM(G715:G720)</f>
        <v>0</v>
      </c>
      <c r="H722" s="46">
        <f>SUM(H715:H720)</f>
        <v>0</v>
      </c>
      <c r="I722" s="39">
        <f>SUM(F722:H722)</f>
        <v>0</v>
      </c>
      <c r="J722" s="46">
        <f>SUM(J715:J720)</f>
        <v>0</v>
      </c>
      <c r="K722" s="46">
        <f>SUM(K715:K720)</f>
        <v>0</v>
      </c>
      <c r="L722" s="46">
        <f>SUM(L715:L720)</f>
        <v>0</v>
      </c>
      <c r="M722" s="39">
        <f>SUM(J722:L722)</f>
        <v>0</v>
      </c>
      <c r="N722" s="46">
        <f>SUM(N715:N720)</f>
        <v>0</v>
      </c>
      <c r="O722" s="46">
        <f>SUM(O715:O720)</f>
        <v>0</v>
      </c>
      <c r="P722" s="46">
        <f>SUM(P715:P720)</f>
        <v>0</v>
      </c>
      <c r="Q722" s="39">
        <f>SUM(N722:P722)</f>
        <v>0</v>
      </c>
      <c r="R722" s="37">
        <f>+E722+I722+M722+Q722</f>
        <v>0</v>
      </c>
    </row>
    <row r="723" spans="1:18" ht="16.5" customHeight="1" thickBot="1" x14ac:dyDescent="0.35">
      <c r="A723" s="43" t="s">
        <v>1222</v>
      </c>
      <c r="B723" s="47">
        <f>+B706+B710+B714+B722</f>
        <v>346</v>
      </c>
      <c r="C723" s="42">
        <f>+C706+C710+C714+C722</f>
        <v>1541</v>
      </c>
      <c r="D723" s="42">
        <f>+D706+D710+D714+D722</f>
        <v>1190</v>
      </c>
      <c r="E723" s="37">
        <f>SUM(B723:D723)</f>
        <v>3077</v>
      </c>
      <c r="F723" s="42">
        <f>+F706+F710+F714+F722</f>
        <v>2490</v>
      </c>
      <c r="G723" s="42">
        <f>+G706+G710+G714+G722</f>
        <v>1994</v>
      </c>
      <c r="H723" s="42">
        <f>+H706+H710+H714+H722</f>
        <v>2637</v>
      </c>
      <c r="I723" s="37">
        <f>SUM(F723:H723)</f>
        <v>7121</v>
      </c>
      <c r="J723" s="42">
        <f>+J706+J710+J714+J722</f>
        <v>903</v>
      </c>
      <c r="K723" s="42">
        <f>+K706+K710+K714+K722</f>
        <v>2007</v>
      </c>
      <c r="L723" s="42">
        <f>+L706+L710+L714+L722</f>
        <v>689</v>
      </c>
      <c r="M723" s="37">
        <f>SUM(J723:L723)</f>
        <v>3599</v>
      </c>
      <c r="N723" s="42">
        <f>+N706+N710+N714+N722</f>
        <v>728</v>
      </c>
      <c r="O723" s="42">
        <f>+O706+O710+O714+O722</f>
        <v>0</v>
      </c>
      <c r="P723" s="42">
        <f>+P706+P710+P714+P722</f>
        <v>419</v>
      </c>
      <c r="Q723" s="37">
        <f>SUM(N723:P723)</f>
        <v>1147</v>
      </c>
      <c r="R723" s="40">
        <f>+E723+I723+M723+Q723</f>
        <v>14944</v>
      </c>
    </row>
    <row r="724" spans="1:18" ht="16.5" customHeight="1" thickBot="1" x14ac:dyDescent="0.35">
      <c r="A724" s="299" t="s">
        <v>853</v>
      </c>
      <c r="B724" s="294">
        <v>10</v>
      </c>
      <c r="C724" s="294">
        <v>11</v>
      </c>
      <c r="D724" s="294">
        <v>14</v>
      </c>
      <c r="E724" s="38">
        <f>SUM(B724:D724)</f>
        <v>35</v>
      </c>
      <c r="F724" s="294">
        <v>18</v>
      </c>
      <c r="G724" s="294">
        <v>21</v>
      </c>
      <c r="H724" s="294">
        <v>22</v>
      </c>
      <c r="I724" s="38">
        <f>SUM(F724:H724)</f>
        <v>61</v>
      </c>
      <c r="J724" s="294">
        <v>19</v>
      </c>
      <c r="K724" s="294">
        <v>17</v>
      </c>
      <c r="L724" s="294">
        <v>17</v>
      </c>
      <c r="M724" s="38">
        <f>SUM(J724:L724)</f>
        <v>53</v>
      </c>
      <c r="N724" s="294">
        <v>14</v>
      </c>
      <c r="O724" s="294">
        <v>11</v>
      </c>
      <c r="P724" s="294">
        <v>9</v>
      </c>
      <c r="Q724" s="38">
        <f>SUM(N724:P724)</f>
        <v>34</v>
      </c>
      <c r="R724" s="38">
        <f>+E724+I724+M724+Q724</f>
        <v>183</v>
      </c>
    </row>
    <row r="725" spans="1:18" ht="16.5" customHeight="1" thickBot="1" x14ac:dyDescent="0.35">
      <c r="A725" s="22"/>
      <c r="B725" s="297"/>
      <c r="C725" s="297"/>
      <c r="D725" s="297"/>
      <c r="E725" s="302"/>
      <c r="F725" s="297"/>
      <c r="G725" s="297"/>
      <c r="H725" s="297"/>
      <c r="I725" s="302"/>
      <c r="J725" s="297"/>
      <c r="K725" s="297"/>
      <c r="L725" s="297"/>
      <c r="M725" s="324"/>
      <c r="N725" s="297"/>
      <c r="O725" s="297"/>
      <c r="P725" s="297"/>
      <c r="Q725" s="324"/>
      <c r="R725" s="14"/>
    </row>
    <row r="726" spans="1:18" ht="15.75" customHeight="1" x14ac:dyDescent="0.3">
      <c r="A726" s="234" t="s">
        <v>120</v>
      </c>
      <c r="B726" s="10">
        <f>SUM(B723:B724)</f>
        <v>356</v>
      </c>
      <c r="C726" s="10">
        <f>SUM(C723:C724)</f>
        <v>1552</v>
      </c>
      <c r="D726" s="10">
        <f>SUM(D723:D724)</f>
        <v>1204</v>
      </c>
      <c r="E726" s="38">
        <f>SUM(B726:D726)</f>
        <v>3112</v>
      </c>
      <c r="F726" s="10">
        <f>SUM(F723:F724)</f>
        <v>2508</v>
      </c>
      <c r="G726" s="10">
        <f>SUM(G723:G724)</f>
        <v>2015</v>
      </c>
      <c r="H726" s="10">
        <f>SUM(H723:H724)</f>
        <v>2659</v>
      </c>
      <c r="I726" s="39">
        <f>SUM(F726:H726)</f>
        <v>7182</v>
      </c>
      <c r="J726" s="10">
        <f>SUM(J723:J724)</f>
        <v>922</v>
      </c>
      <c r="K726" s="10">
        <f>SUM(K723:K724)</f>
        <v>2024</v>
      </c>
      <c r="L726" s="10">
        <f>SUM(L723:L724)</f>
        <v>706</v>
      </c>
      <c r="M726" s="39">
        <f>SUM(J726:L726)</f>
        <v>3652</v>
      </c>
      <c r="N726" s="10">
        <f>SUM(N723:N724)</f>
        <v>742</v>
      </c>
      <c r="O726" s="10">
        <f>SUM(O723:O724)</f>
        <v>11</v>
      </c>
      <c r="P726" s="10">
        <f>SUM(P723:P724)</f>
        <v>428</v>
      </c>
      <c r="Q726" s="39">
        <f>SUM(N726:P726)</f>
        <v>1181</v>
      </c>
      <c r="R726" s="39">
        <f>+E726+I726+M726+Q726</f>
        <v>15127</v>
      </c>
    </row>
    <row r="727" spans="1:18" ht="15.75" customHeight="1" x14ac:dyDescent="0.3">
      <c r="A727" s="234" t="s">
        <v>1897</v>
      </c>
      <c r="B727" s="10">
        <f>(B726/B10)/1.983</f>
        <v>5.7911603468189288</v>
      </c>
      <c r="C727" s="10">
        <f>(C726/C10)/1.983</f>
        <v>26.988018849879143</v>
      </c>
      <c r="D727" s="10">
        <f>(D726/D10)/1.983</f>
        <v>19.585834431376373</v>
      </c>
      <c r="E727" s="38" t="s">
        <v>852</v>
      </c>
      <c r="F727" s="10">
        <f>(F726/F10)/1.983</f>
        <v>42.158345940494193</v>
      </c>
      <c r="G727" s="10">
        <f>(G726/G10)/1.983</f>
        <v>32.778618255168936</v>
      </c>
      <c r="H727" s="10">
        <f>(H726/H10)/1.983</f>
        <v>44.696587661791902</v>
      </c>
      <c r="I727" s="38" t="s">
        <v>852</v>
      </c>
      <c r="J727" s="10">
        <f>(J726/J10)/1.983</f>
        <v>14.998454606087225</v>
      </c>
      <c r="K727" s="10">
        <f>(K726/K10)/1.983</f>
        <v>32.925023994273907</v>
      </c>
      <c r="L727" s="10">
        <f>(L726/L10)/1.983</f>
        <v>11.867540763153471</v>
      </c>
      <c r="M727" s="38" t="s">
        <v>852</v>
      </c>
      <c r="N727" s="10">
        <f>(N726/N10)/1.983</f>
        <v>12.070339823987766</v>
      </c>
      <c r="O727" s="10">
        <f>(O726/O10)/1.983</f>
        <v>0.18490502605479911</v>
      </c>
      <c r="P727" s="10">
        <f>(P726/P10)/1.983</f>
        <v>6.962406259658712</v>
      </c>
      <c r="Q727" s="38" t="s">
        <v>852</v>
      </c>
      <c r="R727" s="38" t="s">
        <v>852</v>
      </c>
    </row>
    <row r="728" spans="1:18" ht="15.75" customHeight="1" x14ac:dyDescent="0.3">
      <c r="A728" s="234" t="s">
        <v>1334</v>
      </c>
      <c r="B728" s="10">
        <f>B726+B780</f>
        <v>9543</v>
      </c>
      <c r="C728" s="10">
        <f>C726+C780</f>
        <v>18646</v>
      </c>
      <c r="D728" s="10">
        <f>D726+D780</f>
        <v>21541</v>
      </c>
      <c r="E728" s="38">
        <f>SUM(B728:D728)</f>
        <v>49730</v>
      </c>
      <c r="F728" s="10">
        <f>F726+F780</f>
        <v>23892</v>
      </c>
      <c r="G728" s="10">
        <f>G726+G780</f>
        <v>23631</v>
      </c>
      <c r="H728" s="10">
        <f>H726+H780</f>
        <v>23317</v>
      </c>
      <c r="I728" s="38">
        <f>SUM(F728:H728)</f>
        <v>70840</v>
      </c>
      <c r="J728" s="10">
        <f>J726+J780</f>
        <v>22080</v>
      </c>
      <c r="K728" s="10">
        <f>K726+K780</f>
        <v>20136</v>
      </c>
      <c r="L728" s="10">
        <f>L726+L780</f>
        <v>17683</v>
      </c>
      <c r="M728" s="38">
        <f>SUM(J728:L728)</f>
        <v>59899</v>
      </c>
      <c r="N728" s="10">
        <f>N726+N780</f>
        <v>11847</v>
      </c>
      <c r="O728" s="10">
        <f>O726+O780</f>
        <v>1700</v>
      </c>
      <c r="P728" s="10">
        <f>P726+P780</f>
        <v>12791</v>
      </c>
      <c r="Q728" s="38">
        <f>SUM(N728:P728)</f>
        <v>26338</v>
      </c>
      <c r="R728" s="38">
        <f>+E728+I728+M728+Q728</f>
        <v>206807</v>
      </c>
    </row>
    <row r="729" spans="1:18" ht="16.5" customHeight="1" thickBot="1" x14ac:dyDescent="0.35">
      <c r="A729" s="237" t="s">
        <v>1335</v>
      </c>
      <c r="B729" s="294">
        <f>(B728/B10)/1.983</f>
        <v>155.23888536430627</v>
      </c>
      <c r="C729" s="294">
        <f>(C728/C10)/1.983</f>
        <v>324.23878832142174</v>
      </c>
      <c r="D729" s="294">
        <f>(D728/D10)/1.983</f>
        <v>350.41400289558015</v>
      </c>
      <c r="E729" s="40" t="s">
        <v>852</v>
      </c>
      <c r="F729" s="294">
        <f>(F728/F10)/1.983</f>
        <v>401.61371659102366</v>
      </c>
      <c r="G729" s="294">
        <f>(G728/G10)/1.983</f>
        <v>384.41266897662382</v>
      </c>
      <c r="H729" s="294">
        <f>(H728/H10)/1.983</f>
        <v>391.94822659270466</v>
      </c>
      <c r="I729" s="40" t="s">
        <v>852</v>
      </c>
      <c r="J729" s="294">
        <f>(J728/J10)/1.983</f>
        <v>359.18207993753356</v>
      </c>
      <c r="K729" s="294">
        <f>(K728/K10)/1.983</f>
        <v>327.55844029085938</v>
      </c>
      <c r="L729" s="294">
        <f>(L728/L10)/1.983</f>
        <v>297.24323415700115</v>
      </c>
      <c r="M729" s="40" t="s">
        <v>852</v>
      </c>
      <c r="N729" s="294">
        <f>(N728/N10)/1.983</f>
        <v>192.71875457517936</v>
      </c>
      <c r="O729" s="294">
        <f>(O728/O10)/1.983</f>
        <v>28.576231299378044</v>
      </c>
      <c r="P729" s="294">
        <f>(P728/P10)/1.983</f>
        <v>208.07508987685651</v>
      </c>
      <c r="Q729" s="40" t="s">
        <v>852</v>
      </c>
      <c r="R729" s="40" t="s">
        <v>852</v>
      </c>
    </row>
    <row r="730" spans="1:18" ht="15.75" customHeight="1" x14ac:dyDescent="0.3">
      <c r="A730" s="17"/>
      <c r="B730" s="10"/>
      <c r="C730" s="10"/>
      <c r="D730" s="10"/>
      <c r="E730" s="10"/>
      <c r="F730" s="10"/>
      <c r="G730" s="10"/>
      <c r="H730" s="10"/>
      <c r="I730" s="10"/>
      <c r="J730" s="10"/>
      <c r="K730" s="10"/>
      <c r="L730" s="10"/>
      <c r="M730" s="10"/>
      <c r="N730" s="10"/>
      <c r="O730" s="10"/>
      <c r="P730" s="10"/>
      <c r="Q730" s="10"/>
      <c r="R730" s="17"/>
    </row>
    <row r="731" spans="1:18" ht="16.5" customHeight="1" thickBot="1" x14ac:dyDescent="0.35">
      <c r="A731" s="24"/>
      <c r="B731" s="294"/>
      <c r="C731" s="294"/>
      <c r="D731" s="294"/>
      <c r="E731" s="294"/>
      <c r="F731" s="294"/>
      <c r="G731" s="294"/>
      <c r="H731" s="294"/>
      <c r="I731" s="294"/>
      <c r="J731" s="294"/>
      <c r="K731" s="294"/>
      <c r="L731" s="294"/>
      <c r="M731" s="294"/>
      <c r="N731" s="294"/>
      <c r="O731" s="294"/>
      <c r="P731" s="294"/>
      <c r="Q731" s="294"/>
      <c r="R731" s="24"/>
    </row>
    <row r="732" spans="1:18" ht="15.75" customHeight="1" thickBot="1" x14ac:dyDescent="0.35">
      <c r="A732" s="274" t="s">
        <v>1772</v>
      </c>
      <c r="B732" s="25" t="s">
        <v>2090</v>
      </c>
      <c r="C732" s="26" t="s">
        <v>2091</v>
      </c>
      <c r="D732" s="26" t="s">
        <v>2234</v>
      </c>
      <c r="E732" s="33" t="s">
        <v>1594</v>
      </c>
      <c r="F732" s="26" t="s">
        <v>2235</v>
      </c>
      <c r="G732" s="26" t="s">
        <v>2236</v>
      </c>
      <c r="H732" s="26" t="s">
        <v>2237</v>
      </c>
      <c r="I732" s="33" t="s">
        <v>1595</v>
      </c>
      <c r="J732" s="26" t="s">
        <v>1504</v>
      </c>
      <c r="K732" s="26" t="s">
        <v>1505</v>
      </c>
      <c r="L732" s="26" t="s">
        <v>1506</v>
      </c>
      <c r="M732" s="33" t="s">
        <v>1596</v>
      </c>
      <c r="N732" s="26" t="s">
        <v>1507</v>
      </c>
      <c r="O732" s="26" t="s">
        <v>1508</v>
      </c>
      <c r="P732" s="26" t="s">
        <v>1509</v>
      </c>
      <c r="Q732" s="33" t="s">
        <v>1597</v>
      </c>
      <c r="R732" s="34" t="s">
        <v>1510</v>
      </c>
    </row>
    <row r="733" spans="1:18" ht="16.5" customHeight="1" thickBot="1" x14ac:dyDescent="0.35">
      <c r="A733" s="281"/>
      <c r="B733" s="301"/>
      <c r="C733" s="301"/>
      <c r="D733" s="301"/>
      <c r="E733" s="302"/>
      <c r="F733" s="301"/>
      <c r="G733" s="301"/>
      <c r="H733" s="301"/>
      <c r="I733" s="302"/>
      <c r="J733" s="301"/>
      <c r="K733" s="301"/>
      <c r="L733" s="301"/>
      <c r="M733" s="302"/>
      <c r="N733" s="301"/>
      <c r="O733" s="301"/>
      <c r="P733" s="301"/>
      <c r="Q733" s="302"/>
      <c r="R733" s="75"/>
    </row>
    <row r="734" spans="1:18" ht="15.75" customHeight="1" x14ac:dyDescent="0.3">
      <c r="A734" s="234" t="s">
        <v>2417</v>
      </c>
      <c r="B734" s="10" t="s">
        <v>852</v>
      </c>
      <c r="C734" s="10" t="s">
        <v>852</v>
      </c>
      <c r="D734" s="10" t="s">
        <v>852</v>
      </c>
      <c r="E734" s="38" t="s">
        <v>852</v>
      </c>
      <c r="F734" s="10" t="s">
        <v>852</v>
      </c>
      <c r="G734" s="10" t="s">
        <v>852</v>
      </c>
      <c r="H734" s="10" t="s">
        <v>852</v>
      </c>
      <c r="I734" s="38" t="s">
        <v>852</v>
      </c>
      <c r="J734" s="10" t="s">
        <v>852</v>
      </c>
      <c r="K734" s="10" t="s">
        <v>852</v>
      </c>
      <c r="L734" s="10" t="s">
        <v>852</v>
      </c>
      <c r="M734" s="38" t="s">
        <v>852</v>
      </c>
      <c r="N734" s="10" t="s">
        <v>852</v>
      </c>
      <c r="O734" s="10" t="s">
        <v>852</v>
      </c>
      <c r="P734" s="10" t="s">
        <v>852</v>
      </c>
      <c r="Q734" s="38" t="s">
        <v>852</v>
      </c>
      <c r="R734" s="38" t="s">
        <v>852</v>
      </c>
    </row>
    <row r="735" spans="1:18" ht="15.75" customHeight="1" x14ac:dyDescent="0.3">
      <c r="A735" s="234" t="s">
        <v>2160</v>
      </c>
      <c r="B735" s="10"/>
      <c r="C735" s="10"/>
      <c r="D735" s="10"/>
      <c r="E735" s="38" t="s">
        <v>852</v>
      </c>
      <c r="F735" s="10"/>
      <c r="G735" s="10"/>
      <c r="H735" s="10"/>
      <c r="I735" s="38" t="s">
        <v>852</v>
      </c>
      <c r="J735" s="10"/>
      <c r="K735" s="10"/>
      <c r="L735" s="10"/>
      <c r="M735" s="38" t="s">
        <v>852</v>
      </c>
      <c r="N735" s="10"/>
      <c r="O735" s="10"/>
      <c r="P735" s="10"/>
      <c r="Q735" s="38" t="s">
        <v>852</v>
      </c>
      <c r="R735" s="38" t="s">
        <v>852</v>
      </c>
    </row>
    <row r="736" spans="1:18" ht="15.75" customHeight="1" x14ac:dyDescent="0.3">
      <c r="A736" s="310" t="s">
        <v>2171</v>
      </c>
      <c r="B736" s="10">
        <v>1886</v>
      </c>
      <c r="C736" s="10">
        <v>5258</v>
      </c>
      <c r="D736" s="10">
        <v>7449</v>
      </c>
      <c r="E736" s="38">
        <f t="shared" ref="E736:E737" si="319">SUM(B736:D736)</f>
        <v>14593</v>
      </c>
      <c r="F736" s="10">
        <v>7215</v>
      </c>
      <c r="G736" s="10">
        <v>7243</v>
      </c>
      <c r="H736" s="10">
        <v>7010</v>
      </c>
      <c r="I736" s="38">
        <f t="shared" ref="I736:I737" si="320">SUM(F736:H736)</f>
        <v>21468</v>
      </c>
      <c r="J736" s="10">
        <v>7420</v>
      </c>
      <c r="K736" s="10">
        <v>5712</v>
      </c>
      <c r="L736" s="10">
        <v>5230</v>
      </c>
      <c r="M736" s="38">
        <f t="shared" ref="M736:M737" si="321">SUM(J736:L736)</f>
        <v>18362</v>
      </c>
      <c r="N736" s="10">
        <v>2445</v>
      </c>
      <c r="O736" s="10"/>
      <c r="P736" s="10">
        <v>720</v>
      </c>
      <c r="Q736" s="38">
        <f t="shared" ref="Q736:Q741" si="322">SUM(N736:P736)</f>
        <v>3165</v>
      </c>
      <c r="R736" s="38">
        <f>+E736+I736+M736+Q736</f>
        <v>57588</v>
      </c>
    </row>
    <row r="737" spans="1:20" ht="15.75" customHeight="1" x14ac:dyDescent="0.3">
      <c r="A737" s="310" t="s">
        <v>2146</v>
      </c>
      <c r="B737" s="10">
        <v>1828</v>
      </c>
      <c r="C737" s="10">
        <v>3088</v>
      </c>
      <c r="D737" s="10">
        <v>5072</v>
      </c>
      <c r="E737" s="38">
        <f t="shared" si="319"/>
        <v>9988</v>
      </c>
      <c r="F737" s="10">
        <v>3467</v>
      </c>
      <c r="G737" s="10">
        <v>4959</v>
      </c>
      <c r="H737" s="10">
        <v>1591</v>
      </c>
      <c r="I737" s="38">
        <f t="shared" si="320"/>
        <v>10017</v>
      </c>
      <c r="J737" s="10">
        <v>1826</v>
      </c>
      <c r="K737" s="10">
        <v>93</v>
      </c>
      <c r="L737" s="10">
        <v>27</v>
      </c>
      <c r="M737" s="38">
        <f t="shared" si="321"/>
        <v>1946</v>
      </c>
      <c r="N737" s="10"/>
      <c r="O737" s="10"/>
      <c r="P737" s="10">
        <v>1684</v>
      </c>
      <c r="Q737" s="38">
        <f t="shared" si="322"/>
        <v>1684</v>
      </c>
      <c r="R737" s="38">
        <f t="shared" ref="R737:R741" si="323">+E737+I737+M737+Q737</f>
        <v>23635</v>
      </c>
    </row>
    <row r="738" spans="1:20" ht="15.75" customHeight="1" x14ac:dyDescent="0.3">
      <c r="A738" s="539" t="s">
        <v>3064</v>
      </c>
      <c r="B738" s="10"/>
      <c r="C738" s="10"/>
      <c r="D738" s="10"/>
      <c r="E738" s="38">
        <f t="shared" ref="E738:E741" si="324">SUM(B738:D738)</f>
        <v>0</v>
      </c>
      <c r="F738" s="10"/>
      <c r="G738" s="10"/>
      <c r="H738" s="10"/>
      <c r="I738" s="38">
        <f t="shared" ref="I738:I741" si="325">SUM(F738:H738)</f>
        <v>0</v>
      </c>
      <c r="J738" s="10"/>
      <c r="K738" s="10"/>
      <c r="L738" s="10"/>
      <c r="M738" s="38">
        <f t="shared" ref="M738:M741" si="326">SUM(J738:L738)</f>
        <v>0</v>
      </c>
      <c r="N738" s="10"/>
      <c r="O738" s="10"/>
      <c r="P738" s="10"/>
      <c r="Q738" s="38">
        <f t="shared" si="322"/>
        <v>0</v>
      </c>
      <c r="R738" s="38">
        <f t="shared" si="323"/>
        <v>0</v>
      </c>
    </row>
    <row r="739" spans="1:20" ht="15.75" customHeight="1" x14ac:dyDescent="0.3">
      <c r="A739" s="539" t="s">
        <v>2992</v>
      </c>
      <c r="B739" s="10">
        <v>264</v>
      </c>
      <c r="C739" s="10">
        <v>3500</v>
      </c>
      <c r="D739" s="10">
        <v>2800</v>
      </c>
      <c r="E739" s="38">
        <f t="shared" si="324"/>
        <v>6564</v>
      </c>
      <c r="F739" s="356">
        <v>4200</v>
      </c>
      <c r="G739" s="356">
        <v>3000</v>
      </c>
      <c r="H739" s="10">
        <v>6100</v>
      </c>
      <c r="I739" s="38">
        <f t="shared" si="325"/>
        <v>13300</v>
      </c>
      <c r="J739" s="10">
        <v>6076</v>
      </c>
      <c r="K739" s="10"/>
      <c r="L739" s="10"/>
      <c r="M739" s="38">
        <f t="shared" si="326"/>
        <v>6076</v>
      </c>
      <c r="N739" s="10"/>
      <c r="O739" s="10"/>
      <c r="P739" s="10"/>
      <c r="Q739" s="38">
        <f t="shared" si="322"/>
        <v>0</v>
      </c>
      <c r="R739" s="38">
        <f t="shared" si="323"/>
        <v>25940</v>
      </c>
    </row>
    <row r="740" spans="1:20" ht="15.75" customHeight="1" x14ac:dyDescent="0.3">
      <c r="A740" s="539" t="s">
        <v>2596</v>
      </c>
      <c r="B740" s="10">
        <v>250</v>
      </c>
      <c r="C740" s="10"/>
      <c r="D740" s="10">
        <v>300</v>
      </c>
      <c r="E740" s="38">
        <f t="shared" si="324"/>
        <v>550</v>
      </c>
      <c r="F740" s="10">
        <v>300</v>
      </c>
      <c r="G740" s="10">
        <v>300</v>
      </c>
      <c r="H740" s="10">
        <v>300</v>
      </c>
      <c r="I740" s="38">
        <f t="shared" si="325"/>
        <v>900</v>
      </c>
      <c r="J740" s="10">
        <v>300</v>
      </c>
      <c r="K740" s="10">
        <v>396</v>
      </c>
      <c r="L740" s="10">
        <v>300</v>
      </c>
      <c r="M740" s="38">
        <f t="shared" si="326"/>
        <v>996</v>
      </c>
      <c r="N740" s="10">
        <v>300</v>
      </c>
      <c r="O740" s="10"/>
      <c r="P740" s="10">
        <v>254</v>
      </c>
      <c r="Q740" s="38">
        <f t="shared" si="322"/>
        <v>554</v>
      </c>
      <c r="R740" s="38">
        <f t="shared" si="323"/>
        <v>3000</v>
      </c>
    </row>
    <row r="741" spans="1:20" ht="15.75" customHeight="1" x14ac:dyDescent="0.3">
      <c r="A741" s="539" t="s">
        <v>3015</v>
      </c>
      <c r="B741" s="10">
        <v>120</v>
      </c>
      <c r="C741" s="10">
        <v>120</v>
      </c>
      <c r="D741" s="10">
        <v>120</v>
      </c>
      <c r="E741" s="38">
        <f t="shared" si="324"/>
        <v>360</v>
      </c>
      <c r="F741" s="10">
        <v>120</v>
      </c>
      <c r="G741" s="10">
        <v>130</v>
      </c>
      <c r="H741" s="10">
        <v>130</v>
      </c>
      <c r="I741" s="38">
        <f t="shared" si="325"/>
        <v>380</v>
      </c>
      <c r="J741" s="10">
        <v>130</v>
      </c>
      <c r="K741" s="10">
        <v>130</v>
      </c>
      <c r="L741" s="10">
        <v>130</v>
      </c>
      <c r="M741" s="38">
        <f t="shared" si="326"/>
        <v>390</v>
      </c>
      <c r="N741" s="10">
        <v>130</v>
      </c>
      <c r="O741" s="10"/>
      <c r="P741" s="10">
        <v>60</v>
      </c>
      <c r="Q741" s="38">
        <f t="shared" si="322"/>
        <v>190</v>
      </c>
      <c r="R741" s="38">
        <f t="shared" si="323"/>
        <v>1320</v>
      </c>
    </row>
    <row r="742" spans="1:20" ht="15.75" customHeight="1" x14ac:dyDescent="0.3">
      <c r="A742" s="234" t="s">
        <v>2161</v>
      </c>
      <c r="B742" s="10"/>
      <c r="C742" s="10"/>
      <c r="D742" s="10"/>
      <c r="E742" s="38" t="s">
        <v>852</v>
      </c>
      <c r="F742" s="10"/>
      <c r="G742" s="10"/>
      <c r="H742" s="10"/>
      <c r="I742" s="38" t="s">
        <v>852</v>
      </c>
      <c r="J742" s="10"/>
      <c r="K742" s="10"/>
      <c r="L742" s="10"/>
      <c r="M742" s="38" t="s">
        <v>852</v>
      </c>
      <c r="N742" s="10"/>
      <c r="O742" s="10"/>
      <c r="P742" s="10"/>
      <c r="Q742" s="38" t="s">
        <v>852</v>
      </c>
      <c r="R742" s="38" t="s">
        <v>852</v>
      </c>
    </row>
    <row r="743" spans="1:20" ht="15.75" customHeight="1" x14ac:dyDescent="0.3">
      <c r="A743" s="234" t="s">
        <v>3245</v>
      </c>
      <c r="B743" s="10"/>
      <c r="C743" s="10"/>
      <c r="D743" s="10"/>
      <c r="E743" s="38" t="s">
        <v>852</v>
      </c>
      <c r="F743" s="10"/>
      <c r="G743" s="10"/>
      <c r="H743" s="10"/>
      <c r="I743" s="38" t="s">
        <v>852</v>
      </c>
      <c r="J743" s="10"/>
      <c r="K743" s="10"/>
      <c r="L743" s="10"/>
      <c r="M743" s="38" t="s">
        <v>852</v>
      </c>
      <c r="N743" s="10"/>
      <c r="O743" s="10"/>
      <c r="P743" s="10"/>
      <c r="Q743" s="38" t="s">
        <v>852</v>
      </c>
      <c r="R743" s="38" t="s">
        <v>852</v>
      </c>
    </row>
    <row r="744" spans="1:20" ht="15.75" customHeight="1" thickBot="1" x14ac:dyDescent="0.35">
      <c r="A744" s="234" t="s">
        <v>2164</v>
      </c>
      <c r="B744" s="10"/>
      <c r="C744" s="10"/>
      <c r="D744" s="10"/>
      <c r="E744" s="38" t="s">
        <v>852</v>
      </c>
      <c r="F744" s="10"/>
      <c r="G744" s="10"/>
      <c r="H744" s="10"/>
      <c r="I744" s="38" t="s">
        <v>852</v>
      </c>
      <c r="J744" s="10"/>
      <c r="K744" s="10"/>
      <c r="L744" s="10"/>
      <c r="M744" s="38" t="s">
        <v>852</v>
      </c>
      <c r="N744" s="10"/>
      <c r="O744" s="10"/>
      <c r="P744" s="10"/>
      <c r="Q744" s="38" t="s">
        <v>852</v>
      </c>
      <c r="R744" s="38" t="s">
        <v>852</v>
      </c>
    </row>
    <row r="745" spans="1:20" ht="16.5" customHeight="1" thickBot="1" x14ac:dyDescent="0.35">
      <c r="A745" s="322" t="s">
        <v>1218</v>
      </c>
      <c r="B745" s="45">
        <f>SUM(B734:B744)</f>
        <v>4348</v>
      </c>
      <c r="C745" s="46">
        <f>SUM(C734:C744)</f>
        <v>11966</v>
      </c>
      <c r="D745" s="46">
        <f>SUM(D734:D744)</f>
        <v>15741</v>
      </c>
      <c r="E745" s="37">
        <f>SUM(B745:D745)</f>
        <v>32055</v>
      </c>
      <c r="F745" s="46">
        <f>SUM(F734:F744)</f>
        <v>15302</v>
      </c>
      <c r="G745" s="46">
        <f>SUM(G734:G744)</f>
        <v>15632</v>
      </c>
      <c r="H745" s="46">
        <f>SUM(H734:H744)</f>
        <v>15131</v>
      </c>
      <c r="I745" s="37">
        <f>SUM(F745:H745)</f>
        <v>46065</v>
      </c>
      <c r="J745" s="46">
        <f>SUM(J734:J744)</f>
        <v>15752</v>
      </c>
      <c r="K745" s="46">
        <f>SUM(K734:K744)</f>
        <v>6331</v>
      </c>
      <c r="L745" s="46">
        <f>SUM(L734:L744)</f>
        <v>5687</v>
      </c>
      <c r="M745" s="37">
        <f>SUM(J745:L745)</f>
        <v>27770</v>
      </c>
      <c r="N745" s="46">
        <f>SUM(N734:N744)</f>
        <v>2875</v>
      </c>
      <c r="O745" s="46">
        <f>SUM(O734:O744)</f>
        <v>0</v>
      </c>
      <c r="P745" s="46">
        <f>SUM(P734:P744)</f>
        <v>2718</v>
      </c>
      <c r="Q745" s="37">
        <f>SUM(N745:P745)</f>
        <v>5593</v>
      </c>
      <c r="R745" s="37">
        <f>+E745+I745+M745+Q745</f>
        <v>111483</v>
      </c>
    </row>
    <row r="746" spans="1:20" ht="15.75" customHeight="1" x14ac:dyDescent="0.3">
      <c r="A746" s="234" t="s">
        <v>1172</v>
      </c>
      <c r="B746" s="10"/>
      <c r="C746" s="10"/>
      <c r="D746" s="10"/>
      <c r="E746" s="38" t="s">
        <v>852</v>
      </c>
      <c r="F746" s="10"/>
      <c r="G746" s="10"/>
      <c r="H746" s="10"/>
      <c r="I746" s="38" t="s">
        <v>852</v>
      </c>
      <c r="J746" s="10"/>
      <c r="K746" s="10"/>
      <c r="L746" s="10"/>
      <c r="M746" s="38" t="s">
        <v>852</v>
      </c>
      <c r="N746" s="10"/>
      <c r="O746" s="10"/>
      <c r="P746" s="10"/>
      <c r="Q746" s="38" t="s">
        <v>852</v>
      </c>
      <c r="R746" s="38" t="s">
        <v>852</v>
      </c>
    </row>
    <row r="747" spans="1:20" ht="15.75" customHeight="1" x14ac:dyDescent="0.3">
      <c r="A747" s="234" t="s">
        <v>2409</v>
      </c>
      <c r="B747" s="10"/>
      <c r="C747" s="10"/>
      <c r="D747" s="10"/>
      <c r="E747" s="38" t="s">
        <v>852</v>
      </c>
      <c r="F747" s="10"/>
      <c r="G747" s="10"/>
      <c r="H747" s="10"/>
      <c r="I747" s="38" t="s">
        <v>852</v>
      </c>
      <c r="J747" s="10"/>
      <c r="K747" s="10"/>
      <c r="L747" s="10"/>
      <c r="M747" s="38" t="s">
        <v>852</v>
      </c>
      <c r="N747" s="10"/>
      <c r="O747" s="10"/>
      <c r="P747" s="10"/>
      <c r="Q747" s="38" t="s">
        <v>852</v>
      </c>
      <c r="R747" s="38" t="s">
        <v>852</v>
      </c>
    </row>
    <row r="748" spans="1:20" ht="15.75" customHeight="1" thickBot="1" x14ac:dyDescent="0.35">
      <c r="A748" s="234" t="s">
        <v>2165</v>
      </c>
      <c r="B748" s="10"/>
      <c r="C748" s="10"/>
      <c r="D748" s="10"/>
      <c r="E748" s="38" t="s">
        <v>852</v>
      </c>
      <c r="F748" s="10"/>
      <c r="G748" s="10"/>
      <c r="H748" s="10"/>
      <c r="I748" s="38" t="s">
        <v>852</v>
      </c>
      <c r="J748" s="10"/>
      <c r="K748" s="10"/>
      <c r="L748" s="10"/>
      <c r="M748" s="38" t="s">
        <v>852</v>
      </c>
      <c r="N748" s="10"/>
      <c r="O748" s="10"/>
      <c r="P748" s="10"/>
      <c r="Q748" s="38" t="s">
        <v>852</v>
      </c>
      <c r="R748" s="38" t="s">
        <v>852</v>
      </c>
    </row>
    <row r="749" spans="1:20" ht="16.5" customHeight="1" thickBot="1" x14ac:dyDescent="0.35">
      <c r="A749" s="43" t="s">
        <v>1219</v>
      </c>
      <c r="B749" s="45">
        <f>SUM(B746:B748)</f>
        <v>0</v>
      </c>
      <c r="C749" s="46">
        <f>SUM(C746:C748)</f>
        <v>0</v>
      </c>
      <c r="D749" s="46">
        <f>SUM(D746:D748)</f>
        <v>0</v>
      </c>
      <c r="E749" s="37">
        <f>SUM(B749:D749)</f>
        <v>0</v>
      </c>
      <c r="F749" s="46">
        <f>SUM(F746:F748)</f>
        <v>0</v>
      </c>
      <c r="G749" s="46">
        <f>SUM(G746:G748)</f>
        <v>0</v>
      </c>
      <c r="H749" s="46">
        <f>SUM(H746:H748)</f>
        <v>0</v>
      </c>
      <c r="I749" s="37">
        <f>SUM(F749:H749)</f>
        <v>0</v>
      </c>
      <c r="J749" s="46">
        <f>SUM(J746:J748)</f>
        <v>0</v>
      </c>
      <c r="K749" s="46">
        <f>SUM(K746:K748)</f>
        <v>0</v>
      </c>
      <c r="L749" s="46">
        <f>SUM(L746:L748)</f>
        <v>0</v>
      </c>
      <c r="M749" s="37">
        <f>SUM(J749:L749)</f>
        <v>0</v>
      </c>
      <c r="N749" s="46">
        <f>SUM(N746:N748)</f>
        <v>0</v>
      </c>
      <c r="O749" s="46">
        <f>SUM(O746:O748)</f>
        <v>0</v>
      </c>
      <c r="P749" s="46">
        <f>SUM(P746:P748)</f>
        <v>0</v>
      </c>
      <c r="Q749" s="37">
        <f>SUM(N749:P749)</f>
        <v>0</v>
      </c>
      <c r="R749" s="37">
        <f>+E749+I749+M749+Q749</f>
        <v>0</v>
      </c>
    </row>
    <row r="750" spans="1:20" ht="15.75" customHeight="1" x14ac:dyDescent="0.3">
      <c r="A750" s="234" t="s">
        <v>2166</v>
      </c>
      <c r="B750" s="10"/>
      <c r="C750" s="10"/>
      <c r="D750" s="10"/>
      <c r="E750" s="38" t="s">
        <v>852</v>
      </c>
      <c r="F750" s="10"/>
      <c r="G750" s="10"/>
      <c r="H750" s="10"/>
      <c r="I750" s="38" t="s">
        <v>852</v>
      </c>
      <c r="J750" s="10"/>
      <c r="K750" s="10"/>
      <c r="L750" s="10"/>
      <c r="M750" s="38" t="s">
        <v>852</v>
      </c>
      <c r="N750" s="10"/>
      <c r="O750" s="10"/>
      <c r="P750" s="10"/>
      <c r="Q750" s="38" t="s">
        <v>852</v>
      </c>
      <c r="R750" s="38" t="s">
        <v>852</v>
      </c>
    </row>
    <row r="751" spans="1:20" ht="15.75" customHeight="1" x14ac:dyDescent="0.3">
      <c r="A751" s="234" t="s">
        <v>1245</v>
      </c>
      <c r="B751" s="10"/>
      <c r="C751" s="10"/>
      <c r="D751" s="10"/>
      <c r="E751" s="38" t="s">
        <v>852</v>
      </c>
      <c r="F751" s="10"/>
      <c r="G751" s="10"/>
      <c r="H751" s="10"/>
      <c r="I751" s="38" t="s">
        <v>852</v>
      </c>
      <c r="J751" s="10"/>
      <c r="K751" s="10"/>
      <c r="L751" s="10"/>
      <c r="M751" s="38" t="s">
        <v>852</v>
      </c>
      <c r="N751" s="10"/>
      <c r="O751" s="10"/>
      <c r="P751" s="10"/>
      <c r="Q751" s="38" t="s">
        <v>852</v>
      </c>
      <c r="R751" s="38" t="s">
        <v>852</v>
      </c>
    </row>
    <row r="752" spans="1:20" ht="15.75" customHeight="1" x14ac:dyDescent="0.3">
      <c r="A752" s="310" t="s">
        <v>641</v>
      </c>
      <c r="B752" s="10"/>
      <c r="C752" s="10">
        <v>1145</v>
      </c>
      <c r="D752" s="10">
        <v>528</v>
      </c>
      <c r="E752" s="38">
        <f>SUM(B752:D752)</f>
        <v>1673</v>
      </c>
      <c r="F752" s="10">
        <v>1640</v>
      </c>
      <c r="G752" s="10">
        <v>1856</v>
      </c>
      <c r="H752" s="10">
        <v>1060</v>
      </c>
      <c r="I752" s="38">
        <f>SUM(F752:H752)</f>
        <v>4556</v>
      </c>
      <c r="J752" s="10">
        <v>1117</v>
      </c>
      <c r="K752" s="10">
        <v>1497</v>
      </c>
      <c r="L752" s="10">
        <v>826</v>
      </c>
      <c r="M752" s="38">
        <f>SUM(J752:L752)</f>
        <v>3440</v>
      </c>
      <c r="N752" s="10">
        <v>1057</v>
      </c>
      <c r="O752" s="10">
        <v>150</v>
      </c>
      <c r="P752" s="10">
        <v>1924</v>
      </c>
      <c r="Q752" s="38">
        <f>SUM(N752:P752)</f>
        <v>3131</v>
      </c>
      <c r="R752" s="38">
        <f>+E752+I752+M752+Q752</f>
        <v>12800</v>
      </c>
      <c r="T752" t="s">
        <v>2804</v>
      </c>
    </row>
    <row r="753" spans="1:20" ht="15.75" customHeight="1" x14ac:dyDescent="0.3">
      <c r="A753" s="234" t="s">
        <v>1711</v>
      </c>
      <c r="B753" s="10"/>
      <c r="C753" s="10"/>
      <c r="D753" s="10"/>
      <c r="E753" s="38" t="s">
        <v>852</v>
      </c>
      <c r="F753" s="10"/>
      <c r="G753" s="10"/>
      <c r="H753" s="10"/>
      <c r="I753" s="38" t="s">
        <v>852</v>
      </c>
      <c r="J753" s="10"/>
      <c r="K753" s="10"/>
      <c r="L753" s="10"/>
      <c r="M753" s="38" t="s">
        <v>852</v>
      </c>
      <c r="N753" s="10"/>
      <c r="O753" s="10"/>
      <c r="P753" s="10"/>
      <c r="Q753" s="38" t="s">
        <v>852</v>
      </c>
      <c r="R753" s="38" t="s">
        <v>852</v>
      </c>
    </row>
    <row r="754" spans="1:20" ht="15.75" customHeight="1" x14ac:dyDescent="0.3">
      <c r="A754" s="539" t="s">
        <v>2699</v>
      </c>
      <c r="B754" s="10"/>
      <c r="C754" s="10"/>
      <c r="D754" s="10"/>
      <c r="E754" s="38">
        <f t="shared" ref="E754:E763" si="327">SUM(B754:D754)</f>
        <v>0</v>
      </c>
      <c r="F754" s="10"/>
      <c r="G754" s="10"/>
      <c r="H754" s="10"/>
      <c r="I754" s="38">
        <f t="shared" ref="I754:I763" si="328">SUM(F754:H754)</f>
        <v>0</v>
      </c>
      <c r="J754" s="10"/>
      <c r="K754" s="10"/>
      <c r="L754" s="10"/>
      <c r="M754" s="38">
        <f t="shared" ref="M754:M763" si="329">SUM(J754:L754)</f>
        <v>0</v>
      </c>
      <c r="N754" s="10"/>
      <c r="O754" s="10"/>
      <c r="P754" s="10"/>
      <c r="Q754" s="38">
        <f t="shared" ref="Q754:Q763" si="330">SUM(N754:P754)</f>
        <v>0</v>
      </c>
      <c r="R754" s="38">
        <f t="shared" ref="R754:R763" si="331">+E754+I754+M754+Q754</f>
        <v>0</v>
      </c>
      <c r="T754" t="s">
        <v>2801</v>
      </c>
    </row>
    <row r="755" spans="1:20" ht="15.75" customHeight="1" x14ac:dyDescent="0.3">
      <c r="A755" s="539" t="s">
        <v>2790</v>
      </c>
      <c r="B755" s="10"/>
      <c r="C755" s="10"/>
      <c r="D755" s="10"/>
      <c r="E755" s="38">
        <f t="shared" si="327"/>
        <v>0</v>
      </c>
      <c r="F755" s="10"/>
      <c r="G755" s="10"/>
      <c r="H755" s="10"/>
      <c r="I755" s="38">
        <f>SUM(F755:H755)</f>
        <v>0</v>
      </c>
      <c r="J755" s="10"/>
      <c r="K755" s="10"/>
      <c r="L755" s="10"/>
      <c r="M755" s="38">
        <f t="shared" si="329"/>
        <v>0</v>
      </c>
      <c r="N755" s="10"/>
      <c r="O755" s="10"/>
      <c r="P755" s="10"/>
      <c r="Q755" s="38">
        <f t="shared" si="330"/>
        <v>0</v>
      </c>
      <c r="R755" s="38">
        <f t="shared" si="331"/>
        <v>0</v>
      </c>
      <c r="T755" t="s">
        <v>2801</v>
      </c>
    </row>
    <row r="756" spans="1:20" ht="15.75" customHeight="1" x14ac:dyDescent="0.3">
      <c r="A756" s="539" t="s">
        <v>2701</v>
      </c>
      <c r="B756" s="10">
        <v>125</v>
      </c>
      <c r="C756" s="10">
        <v>125</v>
      </c>
      <c r="D756" s="10">
        <v>125</v>
      </c>
      <c r="E756" s="38">
        <f t="shared" si="327"/>
        <v>375</v>
      </c>
      <c r="F756" s="10">
        <v>125</v>
      </c>
      <c r="G756" s="10">
        <v>125</v>
      </c>
      <c r="H756" s="10">
        <v>125</v>
      </c>
      <c r="I756" s="38">
        <f t="shared" si="328"/>
        <v>375</v>
      </c>
      <c r="J756" s="10">
        <v>125</v>
      </c>
      <c r="K756" s="10">
        <v>125</v>
      </c>
      <c r="L756" s="10">
        <v>125</v>
      </c>
      <c r="M756" s="38">
        <f t="shared" si="329"/>
        <v>375</v>
      </c>
      <c r="N756" s="10">
        <v>125</v>
      </c>
      <c r="O756" s="10">
        <v>125</v>
      </c>
      <c r="P756" s="10">
        <v>125</v>
      </c>
      <c r="Q756" s="38">
        <f t="shared" si="330"/>
        <v>375</v>
      </c>
      <c r="R756" s="38">
        <f t="shared" si="331"/>
        <v>1500</v>
      </c>
      <c r="T756" t="s">
        <v>2801</v>
      </c>
    </row>
    <row r="757" spans="1:20" ht="15.75" customHeight="1" x14ac:dyDescent="0.3">
      <c r="A757" s="539" t="s">
        <v>3327</v>
      </c>
      <c r="B757" s="10">
        <v>1136</v>
      </c>
      <c r="C757" s="10"/>
      <c r="D757" s="10"/>
      <c r="E757" s="38">
        <f t="shared" si="327"/>
        <v>1136</v>
      </c>
      <c r="F757" s="10"/>
      <c r="G757" s="10"/>
      <c r="H757" s="10"/>
      <c r="I757" s="38">
        <f t="shared" si="328"/>
        <v>0</v>
      </c>
      <c r="J757" s="10"/>
      <c r="K757" s="10"/>
      <c r="L757" s="10"/>
      <c r="M757" s="38">
        <f t="shared" si="329"/>
        <v>0</v>
      </c>
      <c r="N757" s="10"/>
      <c r="O757" s="10"/>
      <c r="P757" s="10"/>
      <c r="Q757" s="38">
        <f t="shared" ref="Q757" si="332">SUM(N757:P757)</f>
        <v>0</v>
      </c>
      <c r="R757" s="38">
        <f t="shared" si="331"/>
        <v>1136</v>
      </c>
    </row>
    <row r="758" spans="1:20" ht="15.75" customHeight="1" x14ac:dyDescent="0.3">
      <c r="A758" s="539" t="s">
        <v>3208</v>
      </c>
      <c r="B758" s="10"/>
      <c r="C758" s="10"/>
      <c r="D758" s="10"/>
      <c r="E758" s="38">
        <f t="shared" si="327"/>
        <v>0</v>
      </c>
      <c r="F758" s="10"/>
      <c r="G758" s="10"/>
      <c r="H758" s="10"/>
      <c r="I758" s="38">
        <f t="shared" si="328"/>
        <v>0</v>
      </c>
      <c r="J758" s="10">
        <v>24</v>
      </c>
      <c r="K758" s="10">
        <v>4726</v>
      </c>
      <c r="L758" s="10"/>
      <c r="M758" s="38">
        <f t="shared" si="329"/>
        <v>4750</v>
      </c>
      <c r="N758" s="10"/>
      <c r="O758" s="10"/>
      <c r="P758" s="10"/>
      <c r="Q758" s="38">
        <f t="shared" si="330"/>
        <v>0</v>
      </c>
      <c r="R758" s="38">
        <f t="shared" si="331"/>
        <v>4750</v>
      </c>
    </row>
    <row r="759" spans="1:20" ht="15.75" customHeight="1" x14ac:dyDescent="0.3">
      <c r="A759" s="539" t="s">
        <v>3209</v>
      </c>
      <c r="B759" s="10"/>
      <c r="C759" s="10"/>
      <c r="D759" s="10"/>
      <c r="E759" s="38">
        <f t="shared" si="327"/>
        <v>0</v>
      </c>
      <c r="F759" s="10"/>
      <c r="G759" s="10"/>
      <c r="H759" s="10"/>
      <c r="I759" s="38">
        <f t="shared" si="328"/>
        <v>0</v>
      </c>
      <c r="J759" s="10"/>
      <c r="K759" s="10">
        <v>1474</v>
      </c>
      <c r="L759" s="10">
        <v>6200</v>
      </c>
      <c r="M759" s="38">
        <f t="shared" si="329"/>
        <v>7674</v>
      </c>
      <c r="N759" s="10"/>
      <c r="O759" s="10"/>
      <c r="P759" s="10"/>
      <c r="Q759" s="38">
        <f t="shared" si="330"/>
        <v>0</v>
      </c>
      <c r="R759" s="38">
        <f t="shared" si="331"/>
        <v>7674</v>
      </c>
    </row>
    <row r="760" spans="1:20" ht="15.75" customHeight="1" x14ac:dyDescent="0.3">
      <c r="A760" s="539" t="s">
        <v>3210</v>
      </c>
      <c r="B760" s="10"/>
      <c r="C760" s="10"/>
      <c r="D760" s="10"/>
      <c r="E760" s="38">
        <f t="shared" si="327"/>
        <v>0</v>
      </c>
      <c r="F760" s="10"/>
      <c r="G760" s="10"/>
      <c r="H760" s="10"/>
      <c r="I760" s="38">
        <f t="shared" si="328"/>
        <v>0</v>
      </c>
      <c r="J760" s="10"/>
      <c r="K760" s="10"/>
      <c r="L760" s="10"/>
      <c r="M760" s="38">
        <f t="shared" si="329"/>
        <v>0</v>
      </c>
      <c r="N760" s="10"/>
      <c r="O760" s="10"/>
      <c r="P760" s="10"/>
      <c r="Q760" s="38">
        <f t="shared" si="330"/>
        <v>0</v>
      </c>
      <c r="R760" s="38">
        <f t="shared" si="331"/>
        <v>0</v>
      </c>
    </row>
    <row r="761" spans="1:20" ht="15.75" customHeight="1" x14ac:dyDescent="0.3">
      <c r="A761" s="539" t="s">
        <v>3316</v>
      </c>
      <c r="B761" s="10"/>
      <c r="C761" s="10"/>
      <c r="D761" s="10"/>
      <c r="E761" s="38">
        <f t="shared" si="327"/>
        <v>0</v>
      </c>
      <c r="F761" s="10"/>
      <c r="G761" s="10"/>
      <c r="H761" s="10"/>
      <c r="I761" s="38">
        <f t="shared" si="328"/>
        <v>0</v>
      </c>
      <c r="J761" s="10"/>
      <c r="K761" s="10"/>
      <c r="L761" s="10"/>
      <c r="M761" s="38">
        <f t="shared" si="329"/>
        <v>0</v>
      </c>
      <c r="N761" s="10"/>
      <c r="O761" s="10"/>
      <c r="P761" s="10"/>
      <c r="Q761" s="38">
        <f t="shared" ref="Q761" si="333">SUM(N761:P761)</f>
        <v>0</v>
      </c>
      <c r="R761" s="38">
        <f t="shared" si="331"/>
        <v>0</v>
      </c>
    </row>
    <row r="762" spans="1:20" ht="15.75" customHeight="1" thickBot="1" x14ac:dyDescent="0.35">
      <c r="A762" s="310" t="s">
        <v>40</v>
      </c>
      <c r="B762" s="10"/>
      <c r="C762" s="10"/>
      <c r="D762" s="10"/>
      <c r="E762" s="38">
        <f t="shared" si="327"/>
        <v>0</v>
      </c>
      <c r="F762" s="10"/>
      <c r="G762" s="10"/>
      <c r="H762" s="10"/>
      <c r="I762" s="38">
        <f t="shared" si="328"/>
        <v>0</v>
      </c>
      <c r="J762" s="10"/>
      <c r="K762" s="10"/>
      <c r="L762" s="10"/>
      <c r="M762" s="38">
        <f t="shared" si="329"/>
        <v>0</v>
      </c>
      <c r="N762" s="10"/>
      <c r="O762" s="10"/>
      <c r="P762" s="10"/>
      <c r="Q762" s="38">
        <f t="shared" si="330"/>
        <v>0</v>
      </c>
      <c r="R762" s="38">
        <f t="shared" si="331"/>
        <v>0</v>
      </c>
      <c r="T762" t="s">
        <v>2801</v>
      </c>
    </row>
    <row r="763" spans="1:20" ht="16.5" customHeight="1" thickBot="1" x14ac:dyDescent="0.35">
      <c r="A763" s="43" t="s">
        <v>1220</v>
      </c>
      <c r="B763" s="45">
        <f>SUM(B750:B762)</f>
        <v>1261</v>
      </c>
      <c r="C763" s="46">
        <f>SUM(C750:C762)</f>
        <v>1270</v>
      </c>
      <c r="D763" s="46">
        <f>SUM(D750:D762)</f>
        <v>653</v>
      </c>
      <c r="E763" s="37">
        <f t="shared" si="327"/>
        <v>3184</v>
      </c>
      <c r="F763" s="46">
        <f>SUM(F750:F762)</f>
        <v>1765</v>
      </c>
      <c r="G763" s="46">
        <f>SUM(G750:G762)</f>
        <v>1981</v>
      </c>
      <c r="H763" s="46">
        <f>SUM(H750:H762)</f>
        <v>1185</v>
      </c>
      <c r="I763" s="37">
        <f t="shared" si="328"/>
        <v>4931</v>
      </c>
      <c r="J763" s="46">
        <f>SUM(J750:J762)</f>
        <v>1266</v>
      </c>
      <c r="K763" s="46">
        <f>SUM(K750:K762)</f>
        <v>7822</v>
      </c>
      <c r="L763" s="46">
        <f>SUM(L750:L762)</f>
        <v>7151</v>
      </c>
      <c r="M763" s="37">
        <f t="shared" si="329"/>
        <v>16239</v>
      </c>
      <c r="N763" s="46">
        <f>SUM(N750:N762)</f>
        <v>1182</v>
      </c>
      <c r="O763" s="46">
        <f>SUM(O750:O762)</f>
        <v>275</v>
      </c>
      <c r="P763" s="46">
        <f>SUM(P750:P762)</f>
        <v>2049</v>
      </c>
      <c r="Q763" s="37">
        <f t="shared" si="330"/>
        <v>3506</v>
      </c>
      <c r="R763" s="58">
        <f t="shared" si="331"/>
        <v>27860</v>
      </c>
    </row>
    <row r="764" spans="1:20" ht="15.75" customHeight="1" x14ac:dyDescent="0.3">
      <c r="A764" s="234" t="s">
        <v>1712</v>
      </c>
      <c r="B764" s="10"/>
      <c r="C764" s="10"/>
      <c r="D764" s="10"/>
      <c r="E764" s="38" t="s">
        <v>852</v>
      </c>
      <c r="F764" s="10"/>
      <c r="G764" s="10"/>
      <c r="H764" s="10"/>
      <c r="I764" s="38" t="s">
        <v>852</v>
      </c>
      <c r="J764" s="10"/>
      <c r="K764" s="10"/>
      <c r="L764" s="10"/>
      <c r="M764" s="38" t="s">
        <v>852</v>
      </c>
      <c r="N764" s="10"/>
      <c r="O764" s="10"/>
      <c r="P764" s="10"/>
      <c r="Q764" s="38" t="s">
        <v>852</v>
      </c>
      <c r="R764" s="38" t="s">
        <v>852</v>
      </c>
    </row>
    <row r="765" spans="1:20" ht="15.75" customHeight="1" x14ac:dyDescent="0.3">
      <c r="A765" s="234" t="s">
        <v>1021</v>
      </c>
      <c r="B765" s="10"/>
      <c r="C765" s="10"/>
      <c r="D765" s="10"/>
      <c r="E765" s="38" t="s">
        <v>852</v>
      </c>
      <c r="F765" s="10"/>
      <c r="G765" s="10"/>
      <c r="H765" s="10"/>
      <c r="I765" s="38" t="s">
        <v>852</v>
      </c>
      <c r="J765" s="10"/>
      <c r="K765" s="10"/>
      <c r="L765" s="10"/>
      <c r="M765" s="38" t="s">
        <v>852</v>
      </c>
      <c r="N765" s="10"/>
      <c r="O765" s="10"/>
      <c r="P765" s="10"/>
      <c r="Q765" s="38" t="s">
        <v>852</v>
      </c>
      <c r="R765" s="38" t="s">
        <v>852</v>
      </c>
    </row>
    <row r="766" spans="1:20" ht="15.75" customHeight="1" x14ac:dyDescent="0.3">
      <c r="A766" s="234" t="s">
        <v>557</v>
      </c>
      <c r="B766" s="10"/>
      <c r="C766" s="10"/>
      <c r="D766" s="10"/>
      <c r="E766" s="38" t="s">
        <v>852</v>
      </c>
      <c r="F766" s="10"/>
      <c r="G766" s="10"/>
      <c r="H766" s="10"/>
      <c r="I766" s="38" t="s">
        <v>852</v>
      </c>
      <c r="J766" s="10"/>
      <c r="K766" s="10"/>
      <c r="L766" s="10"/>
      <c r="M766" s="38" t="s">
        <v>852</v>
      </c>
      <c r="N766" s="10"/>
      <c r="O766" s="10"/>
      <c r="P766" s="10"/>
      <c r="Q766" s="38" t="s">
        <v>852</v>
      </c>
      <c r="R766" s="38" t="s">
        <v>852</v>
      </c>
    </row>
    <row r="767" spans="1:20" ht="15.75" customHeight="1" x14ac:dyDescent="0.3">
      <c r="A767" s="539" t="s">
        <v>2585</v>
      </c>
      <c r="B767" s="10"/>
      <c r="C767" s="10"/>
      <c r="D767" s="10"/>
      <c r="E767" s="38">
        <f>SUM(B767:D767)</f>
        <v>0</v>
      </c>
      <c r="F767" s="10"/>
      <c r="G767" s="10"/>
      <c r="H767" s="10"/>
      <c r="I767" s="38">
        <f>SUM(F767:H767)</f>
        <v>0</v>
      </c>
      <c r="J767" s="10"/>
      <c r="K767" s="10"/>
      <c r="L767" s="10"/>
      <c r="M767" s="38">
        <f>SUM(J767:L767)</f>
        <v>0</v>
      </c>
      <c r="N767" s="10"/>
      <c r="O767" s="10"/>
      <c r="P767" s="10"/>
      <c r="Q767" s="38">
        <f>SUM(N767:P767)</f>
        <v>0</v>
      </c>
      <c r="R767" s="38">
        <f>+E767+I767+M767+Q767</f>
        <v>0</v>
      </c>
    </row>
    <row r="768" spans="1:20" ht="15.75" customHeight="1" x14ac:dyDescent="0.3">
      <c r="A768" s="539" t="s">
        <v>2586</v>
      </c>
      <c r="B768" s="10"/>
      <c r="C768" s="10"/>
      <c r="D768" s="10"/>
      <c r="E768" s="38">
        <f>SUM(B768:D768)</f>
        <v>0</v>
      </c>
      <c r="F768" s="10"/>
      <c r="G768" s="10"/>
      <c r="H768" s="10"/>
      <c r="I768" s="38">
        <f>SUM(F768:H768)</f>
        <v>0</v>
      </c>
      <c r="J768" s="10"/>
      <c r="K768" s="10"/>
      <c r="L768" s="10"/>
      <c r="M768" s="38">
        <f>SUM(J768:L768)</f>
        <v>0</v>
      </c>
      <c r="N768" s="10"/>
      <c r="O768" s="10"/>
      <c r="P768" s="10"/>
      <c r="Q768" s="38">
        <f>SUM(N768:P768)</f>
        <v>0</v>
      </c>
      <c r="R768" s="38">
        <f>+E768+I768+M768+Q768</f>
        <v>0</v>
      </c>
    </row>
    <row r="769" spans="1:18" ht="15.75" customHeight="1" x14ac:dyDescent="0.3">
      <c r="A769" s="539" t="s">
        <v>2587</v>
      </c>
      <c r="B769" s="10"/>
      <c r="C769" s="10"/>
      <c r="D769" s="10"/>
      <c r="E769" s="38">
        <f>SUM(B769:D769)</f>
        <v>0</v>
      </c>
      <c r="F769" s="10"/>
      <c r="G769" s="10"/>
      <c r="H769" s="10"/>
      <c r="I769" s="38">
        <f>SUM(F769:H769)</f>
        <v>0</v>
      </c>
      <c r="J769" s="10"/>
      <c r="K769" s="10"/>
      <c r="L769" s="10"/>
      <c r="M769" s="38">
        <f>SUM(J769:L769)</f>
        <v>0</v>
      </c>
      <c r="N769" s="10">
        <v>3000</v>
      </c>
      <c r="O769" s="10"/>
      <c r="P769" s="10">
        <v>2400</v>
      </c>
      <c r="Q769" s="38">
        <f>SUM(N769:P769)</f>
        <v>5400</v>
      </c>
      <c r="R769" s="38">
        <f>+E769+I769+M769+Q769</f>
        <v>5400</v>
      </c>
    </row>
    <row r="770" spans="1:18" ht="15.75" customHeight="1" x14ac:dyDescent="0.3">
      <c r="A770" s="539" t="s">
        <v>2588</v>
      </c>
      <c r="B770" s="10"/>
      <c r="C770" s="10"/>
      <c r="D770" s="10"/>
      <c r="E770" s="38">
        <f>SUM(B770:D770)</f>
        <v>0</v>
      </c>
      <c r="F770" s="10"/>
      <c r="G770" s="10"/>
      <c r="H770" s="10"/>
      <c r="I770" s="38">
        <f>SUM(F770:H770)</f>
        <v>0</v>
      </c>
      <c r="J770" s="10"/>
      <c r="K770" s="10"/>
      <c r="L770" s="10"/>
      <c r="M770" s="38">
        <f>SUM(J770:L770)</f>
        <v>0</v>
      </c>
      <c r="N770" s="10"/>
      <c r="O770" s="10"/>
      <c r="P770" s="10"/>
      <c r="Q770" s="38">
        <f>SUM(N770:P770)</f>
        <v>0</v>
      </c>
      <c r="R770" s="38">
        <f>+E770+I770+M770+Q770</f>
        <v>0</v>
      </c>
    </row>
    <row r="771" spans="1:18" ht="15.75" customHeight="1" x14ac:dyDescent="0.3">
      <c r="A771" s="234" t="s">
        <v>1022</v>
      </c>
      <c r="B771" s="10"/>
      <c r="C771" s="10"/>
      <c r="D771" s="10"/>
      <c r="E771" s="38" t="s">
        <v>852</v>
      </c>
      <c r="F771" s="10"/>
      <c r="G771" s="10"/>
      <c r="H771" s="10"/>
      <c r="I771" s="38" t="s">
        <v>852</v>
      </c>
      <c r="J771" s="10"/>
      <c r="K771" s="10"/>
      <c r="L771" s="10"/>
      <c r="M771" s="38" t="s">
        <v>852</v>
      </c>
      <c r="N771" s="10"/>
      <c r="O771" s="10"/>
      <c r="P771" s="10"/>
      <c r="Q771" s="38" t="s">
        <v>852</v>
      </c>
      <c r="R771" s="38" t="s">
        <v>852</v>
      </c>
    </row>
    <row r="772" spans="1:18" ht="15.75" customHeight="1" thickBot="1" x14ac:dyDescent="0.35">
      <c r="A772" s="234" t="s">
        <v>559</v>
      </c>
      <c r="B772" s="10"/>
      <c r="C772" s="10"/>
      <c r="D772" s="10"/>
      <c r="E772" s="38" t="s">
        <v>852</v>
      </c>
      <c r="F772" s="10"/>
      <c r="G772" s="10"/>
      <c r="H772" s="10"/>
      <c r="I772" s="38" t="s">
        <v>852</v>
      </c>
      <c r="J772" s="10"/>
      <c r="K772" s="10"/>
      <c r="L772" s="10"/>
      <c r="M772" s="38" t="s">
        <v>852</v>
      </c>
      <c r="N772" s="10"/>
      <c r="O772" s="10"/>
      <c r="P772" s="10"/>
      <c r="Q772" s="38" t="s">
        <v>852</v>
      </c>
      <c r="R772" s="38" t="s">
        <v>852</v>
      </c>
    </row>
    <row r="773" spans="1:18" ht="16.5" customHeight="1" thickBot="1" x14ac:dyDescent="0.35">
      <c r="A773" s="43" t="s">
        <v>1019</v>
      </c>
      <c r="B773" s="42">
        <f>SUM(B771:B772)</f>
        <v>0</v>
      </c>
      <c r="C773" s="42">
        <f>SUM(C771:C772)</f>
        <v>0</v>
      </c>
      <c r="D773" s="42">
        <f>SUM(D771:D772)</f>
        <v>0</v>
      </c>
      <c r="E773" s="39">
        <f>SUM(B773:D773)</f>
        <v>0</v>
      </c>
      <c r="F773" s="42">
        <f>SUM(F771:F772)</f>
        <v>0</v>
      </c>
      <c r="G773" s="42">
        <f>SUM(G771:G772)</f>
        <v>0</v>
      </c>
      <c r="H773" s="42">
        <f>SUM(H771:H772)</f>
        <v>0</v>
      </c>
      <c r="I773" s="39">
        <f>SUM(F773:H773)</f>
        <v>0</v>
      </c>
      <c r="J773" s="42">
        <f>SUM(J771:J772)</f>
        <v>0</v>
      </c>
      <c r="K773" s="42">
        <f>SUM(K771:K772)</f>
        <v>0</v>
      </c>
      <c r="L773" s="42">
        <f>SUM(L771:L772)</f>
        <v>0</v>
      </c>
      <c r="M773" s="39">
        <f>SUM(J773:L773)</f>
        <v>0</v>
      </c>
      <c r="N773" s="42">
        <f>SUM(N771:N772)</f>
        <v>0</v>
      </c>
      <c r="O773" s="42">
        <f>SUM(O771:O772)</f>
        <v>0</v>
      </c>
      <c r="P773" s="42">
        <f>SUM(P771:P772)</f>
        <v>0</v>
      </c>
      <c r="Q773" s="39">
        <f>SUM(N773:P773)</f>
        <v>0</v>
      </c>
      <c r="R773" s="37">
        <f>+E773+I773+M773+Q773</f>
        <v>0</v>
      </c>
    </row>
    <row r="774" spans="1:18" ht="16.5" customHeight="1" thickBot="1" x14ac:dyDescent="0.35">
      <c r="A774" s="277" t="s">
        <v>1221</v>
      </c>
      <c r="B774" s="45">
        <f>SUM(B764:B772)</f>
        <v>0</v>
      </c>
      <c r="C774" s="46">
        <f>SUM(C764:C772)</f>
        <v>0</v>
      </c>
      <c r="D774" s="58">
        <f>SUM(D764:D772)</f>
        <v>0</v>
      </c>
      <c r="E774" s="39">
        <f>SUM(B774:D774)</f>
        <v>0</v>
      </c>
      <c r="F774" s="46">
        <f>SUM(F764:F772)</f>
        <v>0</v>
      </c>
      <c r="G774" s="46">
        <f>SUM(G764:G772)</f>
        <v>0</v>
      </c>
      <c r="H774" s="46">
        <f>SUM(H764:H772)</f>
        <v>0</v>
      </c>
      <c r="I774" s="39">
        <f>SUM(F774:H774)</f>
        <v>0</v>
      </c>
      <c r="J774" s="46">
        <f>SUM(J764:J772)</f>
        <v>0</v>
      </c>
      <c r="K774" s="46">
        <f>SUM(K764:K772)</f>
        <v>0</v>
      </c>
      <c r="L774" s="46">
        <f>SUM(L764:L772)</f>
        <v>0</v>
      </c>
      <c r="M774" s="39">
        <f>SUM(J774:L774)</f>
        <v>0</v>
      </c>
      <c r="N774" s="46">
        <f>SUM(N764:N772)</f>
        <v>3000</v>
      </c>
      <c r="O774" s="46">
        <f>SUM(O764:O772)</f>
        <v>0</v>
      </c>
      <c r="P774" s="46">
        <f>SUM(P764:P772)</f>
        <v>2400</v>
      </c>
      <c r="Q774" s="39">
        <f>SUM(N774:P774)</f>
        <v>5400</v>
      </c>
      <c r="R774" s="37">
        <f>+E774+I774+M774+Q774</f>
        <v>5400</v>
      </c>
    </row>
    <row r="775" spans="1:18" ht="16.5" customHeight="1" thickBot="1" x14ac:dyDescent="0.35">
      <c r="A775" s="43" t="s">
        <v>1222</v>
      </c>
      <c r="B775" s="47">
        <f>+B745+B749+B763+B774</f>
        <v>5609</v>
      </c>
      <c r="C775" s="42">
        <f>+C745+C749+C763+C774</f>
        <v>13236</v>
      </c>
      <c r="D775" s="42">
        <f>+D745+D749+D763+D774</f>
        <v>16394</v>
      </c>
      <c r="E775" s="37">
        <f>SUM(B775:D775)</f>
        <v>35239</v>
      </c>
      <c r="F775" s="42">
        <f>+F745+F749+F763+F774</f>
        <v>17067</v>
      </c>
      <c r="G775" s="42">
        <f>+G745+G749+G763+G774</f>
        <v>17613</v>
      </c>
      <c r="H775" s="42">
        <f>+H745+H749+H763+H774</f>
        <v>16316</v>
      </c>
      <c r="I775" s="37">
        <f>SUM(F775:H775)</f>
        <v>50996</v>
      </c>
      <c r="J775" s="42">
        <f>+J745+J749+J763+J774</f>
        <v>17018</v>
      </c>
      <c r="K775" s="42">
        <f>+K745+K749+K763+K774</f>
        <v>14153</v>
      </c>
      <c r="L775" s="42">
        <f>+L745+L749+L763+L774</f>
        <v>12838</v>
      </c>
      <c r="M775" s="37">
        <f>SUM(J775:L775)</f>
        <v>44009</v>
      </c>
      <c r="N775" s="42">
        <f>+N745+N749+N763+N774</f>
        <v>7057</v>
      </c>
      <c r="O775" s="42">
        <f>+O745+O749+O763+O774</f>
        <v>275</v>
      </c>
      <c r="P775" s="42">
        <f>+P745+P749+P763+P774</f>
        <v>7167</v>
      </c>
      <c r="Q775" s="37">
        <f>SUM(N775:P775)</f>
        <v>14499</v>
      </c>
      <c r="R775" s="40">
        <f>+E775+I775+M775+Q775</f>
        <v>144743</v>
      </c>
    </row>
    <row r="776" spans="1:18" ht="16.5" customHeight="1" thickBot="1" x14ac:dyDescent="0.35">
      <c r="A776" s="304" t="s">
        <v>853</v>
      </c>
      <c r="B776" s="294">
        <v>22</v>
      </c>
      <c r="C776" s="294">
        <v>24</v>
      </c>
      <c r="D776" s="294">
        <v>31</v>
      </c>
      <c r="E776" s="37">
        <f>SUM(B776:D776)</f>
        <v>77</v>
      </c>
      <c r="F776" s="294">
        <v>40</v>
      </c>
      <c r="G776" s="294">
        <v>45</v>
      </c>
      <c r="H776" s="294">
        <v>48</v>
      </c>
      <c r="I776" s="37">
        <f>SUM(F776:H776)</f>
        <v>133</v>
      </c>
      <c r="J776" s="294">
        <v>42</v>
      </c>
      <c r="K776" s="294">
        <v>39</v>
      </c>
      <c r="L776" s="294">
        <v>38</v>
      </c>
      <c r="M776" s="37">
        <f>SUM(J776:L776)</f>
        <v>119</v>
      </c>
      <c r="N776" s="294">
        <v>32</v>
      </c>
      <c r="O776" s="294">
        <v>25</v>
      </c>
      <c r="P776" s="294">
        <v>21</v>
      </c>
      <c r="Q776" s="37">
        <f>SUM(N776:P776)</f>
        <v>78</v>
      </c>
      <c r="R776" s="39">
        <f>+E776+I776+M776+Q776</f>
        <v>407</v>
      </c>
    </row>
    <row r="777" spans="1:18" ht="16.5" customHeight="1" thickBot="1" x14ac:dyDescent="0.35">
      <c r="A777" s="22"/>
      <c r="B777" s="297"/>
      <c r="C777" s="297"/>
      <c r="D777" s="297"/>
      <c r="E777" s="302"/>
      <c r="F777" s="297"/>
      <c r="G777" s="297"/>
      <c r="H777" s="297"/>
      <c r="I777" s="302"/>
      <c r="J777" s="297"/>
      <c r="K777" s="297"/>
      <c r="L777" s="297"/>
      <c r="M777" s="302"/>
      <c r="N777" s="297"/>
      <c r="O777" s="297"/>
      <c r="P777" s="297"/>
      <c r="Q777" s="302"/>
      <c r="R777" s="21"/>
    </row>
    <row r="778" spans="1:18" ht="15.75" customHeight="1" x14ac:dyDescent="0.3">
      <c r="A778" s="234" t="s">
        <v>120</v>
      </c>
      <c r="B778" s="10">
        <f>+SUM(B775:B776)</f>
        <v>5631</v>
      </c>
      <c r="C778" s="10">
        <f>+SUM(C775:C776)</f>
        <v>13260</v>
      </c>
      <c r="D778" s="10">
        <f>+SUM(D775:D776)</f>
        <v>16425</v>
      </c>
      <c r="E778" s="39">
        <f>SUM(B778:D778)</f>
        <v>35316</v>
      </c>
      <c r="F778" s="10">
        <f>+SUM(F775:F776)</f>
        <v>17107</v>
      </c>
      <c r="G778" s="10">
        <f>+SUM(G775:G776)</f>
        <v>17658</v>
      </c>
      <c r="H778" s="10">
        <f>+SUM(H775:H776)</f>
        <v>16364</v>
      </c>
      <c r="I778" s="39">
        <f>SUM(F778:H778)</f>
        <v>51129</v>
      </c>
      <c r="J778" s="10">
        <f>+SUM(J775:J776)</f>
        <v>17060</v>
      </c>
      <c r="K778" s="10">
        <f>+SUM(K775:K776)</f>
        <v>14192</v>
      </c>
      <c r="L778" s="10">
        <f>+SUM(L775:L776)</f>
        <v>12876</v>
      </c>
      <c r="M778" s="39">
        <f>SUM(J778:L778)</f>
        <v>44128</v>
      </c>
      <c r="N778" s="10">
        <f>+SUM(N775:N776)</f>
        <v>7089</v>
      </c>
      <c r="O778" s="10">
        <f>+SUM(O775:O776)</f>
        <v>300</v>
      </c>
      <c r="P778" s="10">
        <f>+SUM(P775:P776)</f>
        <v>7188</v>
      </c>
      <c r="Q778" s="39">
        <f>SUM(N778:P778)</f>
        <v>14577</v>
      </c>
      <c r="R778" s="39">
        <f>+E778+I778+M778+Q778</f>
        <v>145150</v>
      </c>
    </row>
    <row r="779" spans="1:18" ht="15.75" customHeight="1" x14ac:dyDescent="0.3">
      <c r="A779" s="234" t="s">
        <v>1897</v>
      </c>
      <c r="B779" s="10">
        <f>(B778/B10)/1.983</f>
        <v>91.601190766678059</v>
      </c>
      <c r="C779" s="10">
        <f>(C778/C10)/1.983</f>
        <v>230.58062496739527</v>
      </c>
      <c r="D779" s="10">
        <f>(D778/D10)/1.983</f>
        <v>267.19047386657559</v>
      </c>
      <c r="E779" s="38" t="s">
        <v>852</v>
      </c>
      <c r="F779" s="10">
        <f>(F778/F10)/1.983</f>
        <v>287.56093461085896</v>
      </c>
      <c r="G779" s="10">
        <f>(G778/G10)/1.983</f>
        <v>287.24806012395686</v>
      </c>
      <c r="H779" s="10">
        <f>(H778/H10)/1.983</f>
        <v>275.07144057824843</v>
      </c>
      <c r="I779" s="38" t="s">
        <v>852</v>
      </c>
      <c r="J779" s="10">
        <f>(J778/J10)/1.983</f>
        <v>277.5202121256487</v>
      </c>
      <c r="K779" s="10">
        <f>(K778/K10)/1.983</f>
        <v>230.86558326419728</v>
      </c>
      <c r="L779" s="10">
        <f>(L778/L10)/1.983</f>
        <v>216.43973777105396</v>
      </c>
      <c r="M779" s="38" t="s">
        <v>852</v>
      </c>
      <c r="N779" s="10">
        <f>(N778/N10)/1.983</f>
        <v>115.31892050168366</v>
      </c>
      <c r="O779" s="10">
        <f>(O778/O10)/1.983</f>
        <v>5.0428643469490666</v>
      </c>
      <c r="P779" s="10">
        <f>(P778/P10)/1.983</f>
        <v>116.92938363183836</v>
      </c>
      <c r="Q779" s="38" t="s">
        <v>852</v>
      </c>
      <c r="R779" s="38" t="s">
        <v>852</v>
      </c>
    </row>
    <row r="780" spans="1:18" ht="15.75" customHeight="1" x14ac:dyDescent="0.3">
      <c r="A780" s="234" t="s">
        <v>2390</v>
      </c>
      <c r="B780" s="10">
        <f>B778+B790</f>
        <v>9187</v>
      </c>
      <c r="C780" s="10">
        <f>C778+C790</f>
        <v>17094</v>
      </c>
      <c r="D780" s="10">
        <f>D778+D790</f>
        <v>20337</v>
      </c>
      <c r="E780" s="38">
        <f>SUM(B780:D780)</f>
        <v>46618</v>
      </c>
      <c r="F780" s="10">
        <f>F778+F790</f>
        <v>21384</v>
      </c>
      <c r="G780" s="10">
        <f>G778+G790</f>
        <v>21616</v>
      </c>
      <c r="H780" s="10">
        <f>H778+H790</f>
        <v>20658</v>
      </c>
      <c r="I780" s="38">
        <f>SUM(F780:H780)</f>
        <v>63658</v>
      </c>
      <c r="J780" s="10">
        <f>J778+J790</f>
        <v>21158</v>
      </c>
      <c r="K780" s="10">
        <f>K778+K790</f>
        <v>18112</v>
      </c>
      <c r="L780" s="10">
        <f>L778+L790</f>
        <v>16977</v>
      </c>
      <c r="M780" s="38">
        <f>SUM(J780:L780)</f>
        <v>56247</v>
      </c>
      <c r="N780" s="10">
        <f>N778+N790</f>
        <v>11105</v>
      </c>
      <c r="O780" s="10">
        <f>O778+O790</f>
        <v>1689</v>
      </c>
      <c r="P780" s="10">
        <f>P778+P790</f>
        <v>12363</v>
      </c>
      <c r="Q780" s="38">
        <f>SUM(N780:P780)</f>
        <v>25157</v>
      </c>
      <c r="R780" s="38">
        <f>+E780+I780+M780+Q780</f>
        <v>191680</v>
      </c>
    </row>
    <row r="781" spans="1:18" ht="16.5" customHeight="1" thickBot="1" x14ac:dyDescent="0.35">
      <c r="A781" s="237" t="s">
        <v>1716</v>
      </c>
      <c r="B781" s="294">
        <f>(B780/B10)/1.983</f>
        <v>149.44772501748736</v>
      </c>
      <c r="C781" s="294">
        <f>(C780/C10)/1.983</f>
        <v>297.25076947154258</v>
      </c>
      <c r="D781" s="294">
        <f>(D780/D10)/1.983</f>
        <v>330.82816846420377</v>
      </c>
      <c r="E781" s="40" t="s">
        <v>852</v>
      </c>
      <c r="F781" s="294">
        <f>(F780/F10)/1.983</f>
        <v>359.45537065052946</v>
      </c>
      <c r="G781" s="294">
        <f>(G780/G10)/1.983</f>
        <v>351.63405072145491</v>
      </c>
      <c r="H781" s="294">
        <f>(H780/H10)/1.983</f>
        <v>347.25163893091275</v>
      </c>
      <c r="I781" s="40" t="s">
        <v>852</v>
      </c>
      <c r="J781" s="294">
        <f>(J780/J10)/1.983</f>
        <v>344.18362533144631</v>
      </c>
      <c r="K781" s="294">
        <f>(K780/K10)/1.983</f>
        <v>294.63341629658549</v>
      </c>
      <c r="L781" s="294">
        <f>(L780/L10)/1.983</f>
        <v>285.37569339384765</v>
      </c>
      <c r="M781" s="40" t="s">
        <v>852</v>
      </c>
      <c r="N781" s="294">
        <f>(N780/N10)/1.983</f>
        <v>180.64841475119158</v>
      </c>
      <c r="O781" s="294">
        <f>(O780/O10)/1.983</f>
        <v>28.391326273323244</v>
      </c>
      <c r="P781" s="294">
        <f>(P780/P10)/1.983</f>
        <v>201.11268361719777</v>
      </c>
      <c r="Q781" s="40" t="s">
        <v>852</v>
      </c>
      <c r="R781" s="40" t="s">
        <v>852</v>
      </c>
    </row>
    <row r="782" spans="1:18" ht="15.75" customHeight="1" x14ac:dyDescent="0.3">
      <c r="A782" s="17"/>
      <c r="B782" s="10"/>
      <c r="C782" s="10"/>
      <c r="D782" s="10"/>
      <c r="E782" s="10"/>
      <c r="F782" s="10"/>
      <c r="G782" s="10"/>
      <c r="H782" s="10"/>
      <c r="I782" s="10"/>
      <c r="J782" s="10"/>
      <c r="K782" s="10"/>
      <c r="L782" s="10"/>
      <c r="M782" s="10"/>
      <c r="N782" s="10"/>
      <c r="O782" s="10"/>
      <c r="P782" s="10"/>
      <c r="Q782" s="10"/>
      <c r="R782" s="17"/>
    </row>
    <row r="783" spans="1:18" ht="15.75" customHeight="1" thickBot="1" x14ac:dyDescent="0.35">
      <c r="A783" s="17"/>
      <c r="B783" s="10"/>
      <c r="C783" s="10"/>
      <c r="D783" s="10"/>
      <c r="E783" s="10"/>
      <c r="F783" s="10"/>
      <c r="G783" s="10"/>
      <c r="H783" s="10"/>
      <c r="I783" s="10"/>
      <c r="J783" s="10"/>
      <c r="K783" s="10"/>
      <c r="L783" s="10"/>
      <c r="M783" s="10"/>
      <c r="N783" s="10"/>
      <c r="O783" s="10"/>
      <c r="P783" s="10"/>
      <c r="Q783" s="10"/>
      <c r="R783" s="17"/>
    </row>
    <row r="784" spans="1:18" ht="16.5" customHeight="1" thickBot="1" x14ac:dyDescent="0.35">
      <c r="A784" s="278" t="s">
        <v>374</v>
      </c>
      <c r="B784" s="4" t="s">
        <v>2090</v>
      </c>
      <c r="C784" s="5" t="s">
        <v>2091</v>
      </c>
      <c r="D784" s="5" t="s">
        <v>2234</v>
      </c>
      <c r="E784" s="33" t="s">
        <v>1594</v>
      </c>
      <c r="F784" s="5" t="s">
        <v>2235</v>
      </c>
      <c r="G784" s="5" t="s">
        <v>2236</v>
      </c>
      <c r="H784" s="5" t="s">
        <v>2237</v>
      </c>
      <c r="I784" s="35" t="s">
        <v>1595</v>
      </c>
      <c r="J784" s="5" t="s">
        <v>1504</v>
      </c>
      <c r="K784" s="5" t="s">
        <v>1505</v>
      </c>
      <c r="L784" s="5" t="s">
        <v>1506</v>
      </c>
      <c r="M784" s="35" t="s">
        <v>1596</v>
      </c>
      <c r="N784" s="5" t="s">
        <v>1507</v>
      </c>
      <c r="O784" s="5" t="s">
        <v>1508</v>
      </c>
      <c r="P784" s="5" t="s">
        <v>1509</v>
      </c>
      <c r="Q784" s="35" t="s">
        <v>1597</v>
      </c>
      <c r="R784" s="36" t="s">
        <v>1510</v>
      </c>
    </row>
    <row r="785" spans="1:18" ht="16.5" customHeight="1" thickBot="1" x14ac:dyDescent="0.35">
      <c r="A785" s="22"/>
      <c r="B785" s="297"/>
      <c r="C785" s="297"/>
      <c r="D785" s="297"/>
      <c r="E785" s="298"/>
      <c r="F785" s="297"/>
      <c r="G785" s="297"/>
      <c r="H785" s="297"/>
      <c r="I785" s="298"/>
      <c r="J785" s="297"/>
      <c r="K785" s="297"/>
      <c r="L785" s="297"/>
      <c r="M785" s="298"/>
      <c r="N785" s="297"/>
      <c r="O785" s="297"/>
      <c r="P785" s="297"/>
      <c r="Q785" s="298"/>
      <c r="R785" s="22"/>
    </row>
    <row r="786" spans="1:18" ht="16.5" customHeight="1" thickBot="1" x14ac:dyDescent="0.35">
      <c r="A786" s="299" t="s">
        <v>853</v>
      </c>
      <c r="B786" s="294">
        <v>2</v>
      </c>
      <c r="C786" s="294">
        <v>3</v>
      </c>
      <c r="D786" s="294">
        <v>5</v>
      </c>
      <c r="E786" s="38">
        <f>SUM(B786:D786)</f>
        <v>10</v>
      </c>
      <c r="F786" s="294">
        <v>7</v>
      </c>
      <c r="G786" s="294">
        <v>8</v>
      </c>
      <c r="H786" s="294">
        <v>9</v>
      </c>
      <c r="I786" s="38">
        <f>SUM(F786:H786)</f>
        <v>24</v>
      </c>
      <c r="J786" s="294">
        <v>7</v>
      </c>
      <c r="K786" s="294">
        <v>6</v>
      </c>
      <c r="L786" s="294">
        <v>6</v>
      </c>
      <c r="M786" s="38">
        <f>SUM(J786:L786)</f>
        <v>19</v>
      </c>
      <c r="N786" s="294">
        <v>5</v>
      </c>
      <c r="O786" s="294">
        <v>3</v>
      </c>
      <c r="P786" s="294">
        <v>2</v>
      </c>
      <c r="Q786" s="38">
        <f>SUM(N786:P786)</f>
        <v>10</v>
      </c>
      <c r="R786" s="39">
        <f>+E786+I786+M786+Q786</f>
        <v>63</v>
      </c>
    </row>
    <row r="787" spans="1:18" ht="16.5" customHeight="1" thickBot="1" x14ac:dyDescent="0.35">
      <c r="A787" s="22"/>
      <c r="B787" s="297"/>
      <c r="C787" s="297"/>
      <c r="D787" s="297"/>
      <c r="E787" s="302"/>
      <c r="F787" s="297"/>
      <c r="G787" s="297"/>
      <c r="H787" s="297"/>
      <c r="I787" s="302"/>
      <c r="J787" s="297"/>
      <c r="K787" s="297"/>
      <c r="L787" s="297"/>
      <c r="M787" s="302"/>
      <c r="N787" s="297"/>
      <c r="O787" s="297"/>
      <c r="P787" s="297"/>
      <c r="Q787" s="302"/>
      <c r="R787" s="21"/>
    </row>
    <row r="788" spans="1:18" ht="15.75" customHeight="1" x14ac:dyDescent="0.3">
      <c r="A788" s="234" t="s">
        <v>120</v>
      </c>
      <c r="B788" s="10">
        <f>B786</f>
        <v>2</v>
      </c>
      <c r="C788" s="10">
        <f>C786</f>
        <v>3</v>
      </c>
      <c r="D788" s="10">
        <f>D786</f>
        <v>5</v>
      </c>
      <c r="E788" s="39">
        <f>SUM(B788:D788)</f>
        <v>10</v>
      </c>
      <c r="F788" s="10">
        <f>F786</f>
        <v>7</v>
      </c>
      <c r="G788" s="10">
        <f>G786</f>
        <v>8</v>
      </c>
      <c r="H788" s="10">
        <f>H786</f>
        <v>9</v>
      </c>
      <c r="I788" s="39">
        <f>SUM(F788:H788)</f>
        <v>24</v>
      </c>
      <c r="J788" s="10">
        <f>J786</f>
        <v>7</v>
      </c>
      <c r="K788" s="10">
        <f>K786</f>
        <v>6</v>
      </c>
      <c r="L788" s="10">
        <f>L786</f>
        <v>6</v>
      </c>
      <c r="M788" s="39">
        <f>SUM(J788:L788)</f>
        <v>19</v>
      </c>
      <c r="N788" s="10">
        <f>N786</f>
        <v>5</v>
      </c>
      <c r="O788" s="10">
        <f>O786</f>
        <v>3</v>
      </c>
      <c r="P788" s="10">
        <f>P786</f>
        <v>2</v>
      </c>
      <c r="Q788" s="39">
        <f>SUM(N788:P788)</f>
        <v>10</v>
      </c>
      <c r="R788" s="39">
        <f>+E788+I788+M788+Q788</f>
        <v>63</v>
      </c>
    </row>
    <row r="789" spans="1:18" ht="15.75" customHeight="1" x14ac:dyDescent="0.3">
      <c r="A789" s="234" t="s">
        <v>1897</v>
      </c>
      <c r="B789" s="10">
        <f>(B788/B10)/1.983</f>
        <v>3.2534608689993978E-2</v>
      </c>
      <c r="C789" s="10">
        <f>(C788/C10)/1.983</f>
        <v>5.2167562209817935E-2</v>
      </c>
      <c r="D789" s="10">
        <f>(D788/D10)/1.983</f>
        <v>8.1336521724984942E-2</v>
      </c>
      <c r="E789" s="38" t="s">
        <v>852</v>
      </c>
      <c r="F789" s="10">
        <f>(F788/F10)/1.983</f>
        <v>0.1176668347621449</v>
      </c>
      <c r="G789" s="10">
        <f>(G788/G10)/1.983</f>
        <v>0.13013843475997591</v>
      </c>
      <c r="H789" s="10">
        <f>(H788/H10)/1.983</f>
        <v>0.15128593040847199</v>
      </c>
      <c r="I789" s="38" t="s">
        <v>852</v>
      </c>
      <c r="J789" s="10">
        <f>(J788/J10)/1.983</f>
        <v>0.11387113041497893</v>
      </c>
      <c r="K789" s="10">
        <f>(K788/K10)/1.983</f>
        <v>9.7603826069981942E-2</v>
      </c>
      <c r="L789" s="10">
        <f>(L788/L10)/1.983</f>
        <v>0.10085728693898134</v>
      </c>
      <c r="M789" s="38" t="s">
        <v>852</v>
      </c>
      <c r="N789" s="10">
        <f>(N788/N10)/1.983</f>
        <v>8.1336521724984942E-2</v>
      </c>
      <c r="O789" s="10">
        <f>(O788/O10)/1.983</f>
        <v>5.0428643469490671E-2</v>
      </c>
      <c r="P789" s="10">
        <f>(P788/P10)/1.983</f>
        <v>3.2534608689993978E-2</v>
      </c>
      <c r="Q789" s="38" t="s">
        <v>852</v>
      </c>
      <c r="R789" s="38" t="s">
        <v>852</v>
      </c>
    </row>
    <row r="790" spans="1:18" ht="15.75" customHeight="1" x14ac:dyDescent="0.3">
      <c r="A790" s="234" t="s">
        <v>585</v>
      </c>
      <c r="B790" s="10">
        <f>B788+B824+B875-B819</f>
        <v>3556</v>
      </c>
      <c r="C790" s="10">
        <f>C788+C824+C875-C819</f>
        <v>3834</v>
      </c>
      <c r="D790" s="10">
        <f>D788+D824+D875-D819</f>
        <v>3912</v>
      </c>
      <c r="E790" s="38">
        <f>SUM(B790:D790)</f>
        <v>11302</v>
      </c>
      <c r="F790" s="10">
        <f>F788+F824+F875-F819</f>
        <v>4277</v>
      </c>
      <c r="G790" s="10">
        <f>G788+G824+G875-G819</f>
        <v>3958</v>
      </c>
      <c r="H790" s="10">
        <f>H788+H824+H875-H819</f>
        <v>4294</v>
      </c>
      <c r="I790" s="38">
        <f>SUM(F790:H790)</f>
        <v>12529</v>
      </c>
      <c r="J790" s="10">
        <f>J788+J824+J875-J819</f>
        <v>4098</v>
      </c>
      <c r="K790" s="10">
        <f>K788+K824+K875-K819</f>
        <v>3920</v>
      </c>
      <c r="L790" s="10">
        <f>L788+L824+L875-L819</f>
        <v>4101</v>
      </c>
      <c r="M790" s="38">
        <f>SUM(J790:L790)</f>
        <v>12119</v>
      </c>
      <c r="N790" s="10">
        <f>N788+N824+N875-N819</f>
        <v>4016</v>
      </c>
      <c r="O790" s="10">
        <f>O788+O824+O875-O819</f>
        <v>1389</v>
      </c>
      <c r="P790" s="10">
        <f>P788+P824+P875-P819</f>
        <v>5175</v>
      </c>
      <c r="Q790" s="38">
        <f>SUM(N790:P790)</f>
        <v>10580</v>
      </c>
      <c r="R790" s="38">
        <f>+E790+I790+M790+Q790</f>
        <v>46530</v>
      </c>
    </row>
    <row r="791" spans="1:18" ht="16.5" customHeight="1" thickBot="1" x14ac:dyDescent="0.35">
      <c r="A791" s="237" t="s">
        <v>57</v>
      </c>
      <c r="B791" s="294">
        <f>(B790/B10)/1.983</f>
        <v>57.846534250809292</v>
      </c>
      <c r="C791" s="294">
        <f>(C790/C10)/1.983</f>
        <v>66.670144504147316</v>
      </c>
      <c r="D791" s="294">
        <f>(D790/D10)/1.983</f>
        <v>63.637694597628219</v>
      </c>
      <c r="E791" s="40" t="s">
        <v>852</v>
      </c>
      <c r="F791" s="294">
        <f>(F790/F10)/1.983</f>
        <v>71.894436039670524</v>
      </c>
      <c r="G791" s="294">
        <f>(G790/G10)/1.983</f>
        <v>64.385990597498079</v>
      </c>
      <c r="H791" s="294">
        <f>(H790/H10)/1.983</f>
        <v>72.180198352664306</v>
      </c>
      <c r="I791" s="40" t="s">
        <v>852</v>
      </c>
      <c r="J791" s="294">
        <f>(J790/J10)/1.983</f>
        <v>66.663413205797667</v>
      </c>
      <c r="K791" s="294">
        <f>(K790/K10)/1.983</f>
        <v>63.767833032388204</v>
      </c>
      <c r="L791" s="294">
        <f>(L790/L10)/1.983</f>
        <v>68.935955622793742</v>
      </c>
      <c r="M791" s="40" t="s">
        <v>852</v>
      </c>
      <c r="N791" s="294">
        <f>(N790/N10)/1.983</f>
        <v>65.329494249507917</v>
      </c>
      <c r="O791" s="294">
        <f>(O790/O10)/1.983</f>
        <v>23.348461926374178</v>
      </c>
      <c r="P791" s="294">
        <f>(P790/P10)/1.983</f>
        <v>84.183299985359426</v>
      </c>
      <c r="Q791" s="40" t="s">
        <v>852</v>
      </c>
      <c r="R791" s="40" t="s">
        <v>852</v>
      </c>
    </row>
    <row r="792" spans="1:18" ht="15.75" customHeight="1" x14ac:dyDescent="0.3">
      <c r="A792" s="17"/>
      <c r="B792" s="10"/>
      <c r="C792" s="10"/>
      <c r="D792" s="10"/>
      <c r="E792" s="10"/>
      <c r="F792" s="10"/>
      <c r="G792" s="10"/>
      <c r="H792" s="10"/>
      <c r="I792" s="10"/>
      <c r="J792" s="10"/>
      <c r="K792" s="10"/>
      <c r="L792" s="10"/>
      <c r="M792" s="10"/>
      <c r="N792" s="10"/>
      <c r="O792" s="10"/>
      <c r="P792" s="10"/>
      <c r="Q792" s="10"/>
      <c r="R792" s="17"/>
    </row>
    <row r="793" spans="1:18" ht="15.75" customHeight="1" thickBot="1" x14ac:dyDescent="0.35">
      <c r="A793" s="17"/>
      <c r="B793" s="10"/>
      <c r="C793" s="10"/>
      <c r="D793" s="10"/>
      <c r="E793" s="10"/>
      <c r="F793" s="10"/>
      <c r="G793" s="10"/>
      <c r="H793" s="10"/>
      <c r="I793" s="10"/>
      <c r="J793" s="10"/>
      <c r="K793" s="10"/>
      <c r="L793" s="10"/>
      <c r="M793" s="10"/>
      <c r="N793" s="10"/>
      <c r="O793" s="10"/>
      <c r="P793" s="10"/>
      <c r="Q793" s="10"/>
      <c r="R793" s="17"/>
    </row>
    <row r="794" spans="1:18" ht="16.5" customHeight="1" thickBot="1" x14ac:dyDescent="0.35">
      <c r="A794" s="278" t="s">
        <v>1709</v>
      </c>
      <c r="B794" s="4" t="s">
        <v>2090</v>
      </c>
      <c r="C794" s="5" t="s">
        <v>2091</v>
      </c>
      <c r="D794" s="5" t="s">
        <v>2234</v>
      </c>
      <c r="E794" s="35" t="s">
        <v>1594</v>
      </c>
      <c r="F794" s="5" t="s">
        <v>2235</v>
      </c>
      <c r="G794" s="5" t="s">
        <v>2236</v>
      </c>
      <c r="H794" s="5" t="s">
        <v>2237</v>
      </c>
      <c r="I794" s="35" t="s">
        <v>1595</v>
      </c>
      <c r="J794" s="5" t="s">
        <v>1504</v>
      </c>
      <c r="K794" s="5" t="s">
        <v>1505</v>
      </c>
      <c r="L794" s="5" t="s">
        <v>1506</v>
      </c>
      <c r="M794" s="35" t="s">
        <v>1596</v>
      </c>
      <c r="N794" s="5" t="s">
        <v>1507</v>
      </c>
      <c r="O794" s="5" t="s">
        <v>1508</v>
      </c>
      <c r="P794" s="5" t="s">
        <v>1509</v>
      </c>
      <c r="Q794" s="35" t="s">
        <v>1597</v>
      </c>
      <c r="R794" s="59" t="s">
        <v>1510</v>
      </c>
    </row>
    <row r="795" spans="1:18" ht="16.5" customHeight="1" thickBot="1" x14ac:dyDescent="0.35">
      <c r="A795" s="22"/>
      <c r="B795" s="297"/>
      <c r="C795" s="297"/>
      <c r="D795" s="297"/>
      <c r="E795" s="325"/>
      <c r="F795" s="297"/>
      <c r="G795" s="297"/>
      <c r="H795" s="297"/>
      <c r="I795" s="325"/>
      <c r="J795" s="297"/>
      <c r="K795" s="297"/>
      <c r="L795" s="297"/>
      <c r="M795" s="325"/>
      <c r="N795" s="297"/>
      <c r="O795" s="297"/>
      <c r="P795" s="297"/>
      <c r="Q795" s="325"/>
      <c r="R795" s="19"/>
    </row>
    <row r="796" spans="1:18" ht="15.75" customHeight="1" x14ac:dyDescent="0.3">
      <c r="A796" s="234" t="s">
        <v>2417</v>
      </c>
      <c r="B796" s="10" t="s">
        <v>852</v>
      </c>
      <c r="C796" s="10" t="s">
        <v>852</v>
      </c>
      <c r="D796" s="10" t="s">
        <v>852</v>
      </c>
      <c r="E796" s="38" t="s">
        <v>852</v>
      </c>
      <c r="F796" s="10" t="s">
        <v>852</v>
      </c>
      <c r="G796" s="10" t="s">
        <v>852</v>
      </c>
      <c r="H796" s="10" t="s">
        <v>852</v>
      </c>
      <c r="I796" s="38" t="s">
        <v>852</v>
      </c>
      <c r="J796" s="10" t="s">
        <v>852</v>
      </c>
      <c r="K796" s="10" t="s">
        <v>852</v>
      </c>
      <c r="L796" s="10" t="s">
        <v>852</v>
      </c>
      <c r="M796" s="38" t="s">
        <v>852</v>
      </c>
      <c r="N796" s="10" t="s">
        <v>852</v>
      </c>
      <c r="O796" s="10" t="s">
        <v>852</v>
      </c>
      <c r="P796" s="10" t="s">
        <v>852</v>
      </c>
      <c r="Q796" s="38" t="s">
        <v>852</v>
      </c>
      <c r="R796" s="38" t="s">
        <v>852</v>
      </c>
    </row>
    <row r="797" spans="1:18" ht="15.75" customHeight="1" x14ac:dyDescent="0.3">
      <c r="A797" s="234" t="s">
        <v>2160</v>
      </c>
      <c r="B797" s="10"/>
      <c r="C797" s="10"/>
      <c r="D797" s="10"/>
      <c r="E797" s="38" t="s">
        <v>852</v>
      </c>
      <c r="F797" s="10"/>
      <c r="G797" s="10"/>
      <c r="H797" s="10"/>
      <c r="I797" s="38" t="s">
        <v>852</v>
      </c>
      <c r="J797" s="10"/>
      <c r="K797" s="10"/>
      <c r="L797" s="10"/>
      <c r="M797" s="38" t="s">
        <v>852</v>
      </c>
      <c r="N797" s="10"/>
      <c r="O797" s="10"/>
      <c r="P797" s="10"/>
      <c r="Q797" s="38" t="s">
        <v>852</v>
      </c>
      <c r="R797" s="38" t="s">
        <v>852</v>
      </c>
    </row>
    <row r="798" spans="1:18" ht="15.75" customHeight="1" x14ac:dyDescent="0.3">
      <c r="A798" s="310" t="s">
        <v>573</v>
      </c>
      <c r="B798" s="10"/>
      <c r="C798" s="10"/>
      <c r="D798" s="10"/>
      <c r="E798" s="38">
        <f>SUM(B798:D798)</f>
        <v>0</v>
      </c>
      <c r="F798" s="10"/>
      <c r="G798" s="10"/>
      <c r="H798" s="10">
        <v>11</v>
      </c>
      <c r="I798" s="38">
        <f>SUM(F798:H798)</f>
        <v>11</v>
      </c>
      <c r="J798" s="10"/>
      <c r="K798" s="10"/>
      <c r="L798" s="10"/>
      <c r="M798" s="38">
        <f>SUM(J798:L798)</f>
        <v>0</v>
      </c>
      <c r="N798" s="10"/>
      <c r="O798" s="10"/>
      <c r="P798" s="10"/>
      <c r="Q798" s="38">
        <f>SUM(N798:P798)</f>
        <v>0</v>
      </c>
      <c r="R798" s="38">
        <f>+E798+I798+M798+Q798</f>
        <v>11</v>
      </c>
    </row>
    <row r="799" spans="1:18" ht="15.75" customHeight="1" x14ac:dyDescent="0.3">
      <c r="A799" s="234" t="s">
        <v>2161</v>
      </c>
      <c r="B799" s="10"/>
      <c r="C799" s="10"/>
      <c r="D799" s="10"/>
      <c r="E799" s="38" t="s">
        <v>852</v>
      </c>
      <c r="F799" s="10"/>
      <c r="G799" s="10"/>
      <c r="H799" s="10"/>
      <c r="I799" s="38" t="s">
        <v>852</v>
      </c>
      <c r="J799" s="10"/>
      <c r="K799" s="10"/>
      <c r="L799" s="10"/>
      <c r="M799" s="38" t="s">
        <v>852</v>
      </c>
      <c r="N799" s="10"/>
      <c r="O799" s="10"/>
      <c r="P799" s="10"/>
      <c r="Q799" s="38" t="s">
        <v>852</v>
      </c>
      <c r="R799" s="38" t="s">
        <v>852</v>
      </c>
    </row>
    <row r="800" spans="1:18" ht="15.75" customHeight="1" x14ac:dyDescent="0.3">
      <c r="A800" s="234" t="s">
        <v>3245</v>
      </c>
      <c r="B800" s="10"/>
      <c r="C800" s="10"/>
      <c r="D800" s="10"/>
      <c r="E800" s="38" t="s">
        <v>852</v>
      </c>
      <c r="F800" s="10"/>
      <c r="G800" s="10"/>
      <c r="H800" s="10"/>
      <c r="I800" s="38" t="s">
        <v>852</v>
      </c>
      <c r="J800" s="10"/>
      <c r="K800" s="10"/>
      <c r="L800" s="10"/>
      <c r="M800" s="38" t="s">
        <v>852</v>
      </c>
      <c r="N800" s="10"/>
      <c r="O800" s="10"/>
      <c r="P800" s="10"/>
      <c r="Q800" s="38" t="s">
        <v>852</v>
      </c>
      <c r="R800" s="38" t="s">
        <v>852</v>
      </c>
    </row>
    <row r="801" spans="1:18" ht="15.75" customHeight="1" thickBot="1" x14ac:dyDescent="0.35">
      <c r="A801" s="234" t="s">
        <v>2164</v>
      </c>
      <c r="B801" s="10"/>
      <c r="C801" s="10"/>
      <c r="D801" s="10"/>
      <c r="E801" s="38" t="s">
        <v>852</v>
      </c>
      <c r="F801" s="10"/>
      <c r="G801" s="10"/>
      <c r="H801" s="10"/>
      <c r="I801" s="38" t="s">
        <v>852</v>
      </c>
      <c r="J801" s="10"/>
      <c r="K801" s="10"/>
      <c r="L801" s="10"/>
      <c r="M801" s="38" t="s">
        <v>852</v>
      </c>
      <c r="N801" s="10"/>
      <c r="O801" s="10"/>
      <c r="P801" s="10"/>
      <c r="Q801" s="38" t="s">
        <v>852</v>
      </c>
      <c r="R801" s="38" t="s">
        <v>852</v>
      </c>
    </row>
    <row r="802" spans="1:18" ht="16.5" customHeight="1" thickBot="1" x14ac:dyDescent="0.35">
      <c r="A802" s="43" t="s">
        <v>1218</v>
      </c>
      <c r="B802" s="45">
        <f>SUM(B796:B801)</f>
        <v>0</v>
      </c>
      <c r="C802" s="46">
        <f>SUM(C796:C801)</f>
        <v>0</v>
      </c>
      <c r="D802" s="46">
        <f>SUM(D796:D801)</f>
        <v>0</v>
      </c>
      <c r="E802" s="37">
        <f>SUM(B802:D802)</f>
        <v>0</v>
      </c>
      <c r="F802" s="46">
        <f>SUM(F796:F801)</f>
        <v>0</v>
      </c>
      <c r="G802" s="46">
        <f>SUM(G796:G801)</f>
        <v>0</v>
      </c>
      <c r="H802" s="46">
        <f>SUM(H796:H801)</f>
        <v>11</v>
      </c>
      <c r="I802" s="37">
        <f>SUM(F802:H802)</f>
        <v>11</v>
      </c>
      <c r="J802" s="46">
        <f>SUM(J796:J801)</f>
        <v>0</v>
      </c>
      <c r="K802" s="46">
        <f>SUM(K796:K801)</f>
        <v>0</v>
      </c>
      <c r="L802" s="46">
        <f>SUM(L796:L801)</f>
        <v>0</v>
      </c>
      <c r="M802" s="37">
        <f>SUM(J802:L802)</f>
        <v>0</v>
      </c>
      <c r="N802" s="46">
        <f>SUM(N796:N801)</f>
        <v>0</v>
      </c>
      <c r="O802" s="46">
        <f>SUM(O796:O801)</f>
        <v>0</v>
      </c>
      <c r="P802" s="46">
        <f>SUM(P796:P801)</f>
        <v>0</v>
      </c>
      <c r="Q802" s="37">
        <f>SUM(N802:P802)</f>
        <v>0</v>
      </c>
      <c r="R802" s="37">
        <f>+E802+I802+M802+Q802</f>
        <v>11</v>
      </c>
    </row>
    <row r="803" spans="1:18" ht="15.75" customHeight="1" x14ac:dyDescent="0.3">
      <c r="A803" s="234" t="s">
        <v>1172</v>
      </c>
      <c r="B803" s="10"/>
      <c r="C803" s="10"/>
      <c r="D803" s="10"/>
      <c r="E803" s="38" t="s">
        <v>852</v>
      </c>
      <c r="F803" s="10"/>
      <c r="G803" s="10"/>
      <c r="H803" s="10"/>
      <c r="I803" s="38" t="s">
        <v>852</v>
      </c>
      <c r="J803" s="10"/>
      <c r="K803" s="10"/>
      <c r="L803" s="10"/>
      <c r="M803" s="38" t="s">
        <v>852</v>
      </c>
      <c r="N803" s="10"/>
      <c r="O803" s="10"/>
      <c r="P803" s="10"/>
      <c r="Q803" s="38" t="s">
        <v>852</v>
      </c>
      <c r="R803" s="38" t="s">
        <v>852</v>
      </c>
    </row>
    <row r="804" spans="1:18" ht="15.75" customHeight="1" x14ac:dyDescent="0.3">
      <c r="A804" s="234" t="s">
        <v>2409</v>
      </c>
      <c r="B804" s="10"/>
      <c r="C804" s="10"/>
      <c r="D804" s="10"/>
      <c r="E804" s="38" t="s">
        <v>852</v>
      </c>
      <c r="F804" s="10"/>
      <c r="G804" s="10"/>
      <c r="H804" s="10"/>
      <c r="I804" s="38" t="s">
        <v>852</v>
      </c>
      <c r="J804" s="10"/>
      <c r="K804" s="10"/>
      <c r="L804" s="10"/>
      <c r="M804" s="38" t="s">
        <v>852</v>
      </c>
      <c r="N804" s="10"/>
      <c r="O804" s="10"/>
      <c r="P804" s="10"/>
      <c r="Q804" s="38" t="s">
        <v>852</v>
      </c>
      <c r="R804" s="38" t="s">
        <v>852</v>
      </c>
    </row>
    <row r="805" spans="1:18" ht="15.75" customHeight="1" thickBot="1" x14ac:dyDescent="0.35">
      <c r="A805" s="234" t="s">
        <v>2165</v>
      </c>
      <c r="B805" s="10"/>
      <c r="C805" s="10"/>
      <c r="D805" s="10"/>
      <c r="E805" s="38" t="s">
        <v>852</v>
      </c>
      <c r="F805" s="10"/>
      <c r="G805" s="10"/>
      <c r="H805" s="10"/>
      <c r="I805" s="38" t="s">
        <v>852</v>
      </c>
      <c r="J805" s="10"/>
      <c r="K805" s="10"/>
      <c r="L805" s="10"/>
      <c r="M805" s="38" t="s">
        <v>852</v>
      </c>
      <c r="N805" s="10"/>
      <c r="O805" s="10"/>
      <c r="P805" s="10"/>
      <c r="Q805" s="38" t="s">
        <v>852</v>
      </c>
      <c r="R805" s="38" t="s">
        <v>852</v>
      </c>
    </row>
    <row r="806" spans="1:18" ht="16.5" customHeight="1" thickBot="1" x14ac:dyDescent="0.35">
      <c r="A806" s="43" t="s">
        <v>1219</v>
      </c>
      <c r="B806" s="45">
        <f>SUM(B803:B805)</f>
        <v>0</v>
      </c>
      <c r="C806" s="46">
        <f>SUM(C803:C805)</f>
        <v>0</v>
      </c>
      <c r="D806" s="46">
        <f>SUM(D803:D805)</f>
        <v>0</v>
      </c>
      <c r="E806" s="37">
        <f>SUM(B806:D806)</f>
        <v>0</v>
      </c>
      <c r="F806" s="46">
        <f>SUM(F803:F805)</f>
        <v>0</v>
      </c>
      <c r="G806" s="46">
        <f>SUM(G803:G805)</f>
        <v>0</v>
      </c>
      <c r="H806" s="46">
        <f>SUM(H803:H805)</f>
        <v>0</v>
      </c>
      <c r="I806" s="37">
        <f>SUM(F806:H806)</f>
        <v>0</v>
      </c>
      <c r="J806" s="46">
        <f>SUM(J803:J805)</f>
        <v>0</v>
      </c>
      <c r="K806" s="46">
        <f>SUM(K803:K805)</f>
        <v>0</v>
      </c>
      <c r="L806" s="46">
        <f>SUM(L803:L805)</f>
        <v>0</v>
      </c>
      <c r="M806" s="37">
        <f>SUM(J806:L806)</f>
        <v>0</v>
      </c>
      <c r="N806" s="46">
        <f>SUM(N803:N805)</f>
        <v>0</v>
      </c>
      <c r="O806" s="46">
        <f>SUM(O803:O805)</f>
        <v>0</v>
      </c>
      <c r="P806" s="46">
        <f>SUM(P803:P805)</f>
        <v>0</v>
      </c>
      <c r="Q806" s="37">
        <f>SUM(N806:P806)</f>
        <v>0</v>
      </c>
      <c r="R806" s="37">
        <f>+E806+I806+M806+Q806</f>
        <v>0</v>
      </c>
    </row>
    <row r="807" spans="1:18" ht="15.75" customHeight="1" x14ac:dyDescent="0.3">
      <c r="A807" s="234" t="s">
        <v>2166</v>
      </c>
      <c r="B807" s="10"/>
      <c r="C807" s="10"/>
      <c r="D807" s="10"/>
      <c r="E807" s="38" t="s">
        <v>852</v>
      </c>
      <c r="F807" s="10"/>
      <c r="G807" s="10"/>
      <c r="H807" s="10"/>
      <c r="I807" s="38" t="s">
        <v>852</v>
      </c>
      <c r="J807" s="10"/>
      <c r="K807" s="10"/>
      <c r="L807" s="10"/>
      <c r="M807" s="38" t="s">
        <v>852</v>
      </c>
      <c r="N807" s="10"/>
      <c r="O807" s="10"/>
      <c r="P807" s="10"/>
      <c r="Q807" s="38" t="s">
        <v>852</v>
      </c>
      <c r="R807" s="38" t="s">
        <v>852</v>
      </c>
    </row>
    <row r="808" spans="1:18" ht="15.75" customHeight="1" x14ac:dyDescent="0.3">
      <c r="A808" s="234" t="s">
        <v>1245</v>
      </c>
      <c r="B808" s="10"/>
      <c r="C808" s="10"/>
      <c r="D808" s="10"/>
      <c r="E808" s="38" t="s">
        <v>852</v>
      </c>
      <c r="F808" s="10"/>
      <c r="G808" s="10"/>
      <c r="H808" s="10"/>
      <c r="I808" s="38" t="s">
        <v>852</v>
      </c>
      <c r="J808" s="10"/>
      <c r="K808" s="10"/>
      <c r="L808" s="10"/>
      <c r="M808" s="38" t="s">
        <v>852</v>
      </c>
      <c r="N808" s="10"/>
      <c r="O808" s="10"/>
      <c r="P808" s="10"/>
      <c r="Q808" s="38" t="s">
        <v>852</v>
      </c>
      <c r="R808" s="38" t="s">
        <v>852</v>
      </c>
    </row>
    <row r="809" spans="1:18" ht="15.75" customHeight="1" thickBot="1" x14ac:dyDescent="0.35">
      <c r="A809" s="234" t="s">
        <v>1711</v>
      </c>
      <c r="B809" s="10"/>
      <c r="C809" s="10"/>
      <c r="D809" s="10"/>
      <c r="E809" s="38" t="s">
        <v>852</v>
      </c>
      <c r="F809" s="10"/>
      <c r="G809" s="10"/>
      <c r="H809" s="10"/>
      <c r="I809" s="38" t="s">
        <v>852</v>
      </c>
      <c r="J809" s="10"/>
      <c r="K809" s="10"/>
      <c r="L809" s="10"/>
      <c r="M809" s="38" t="s">
        <v>852</v>
      </c>
      <c r="N809" s="10"/>
      <c r="O809" s="10"/>
      <c r="P809" s="10"/>
      <c r="Q809" s="38" t="s">
        <v>852</v>
      </c>
      <c r="R809" s="38" t="s">
        <v>852</v>
      </c>
    </row>
    <row r="810" spans="1:18" ht="16.5" customHeight="1" thickBot="1" x14ac:dyDescent="0.35">
      <c r="A810" s="43" t="s">
        <v>1220</v>
      </c>
      <c r="B810" s="45">
        <f>SUM(B807:B809)</f>
        <v>0</v>
      </c>
      <c r="C810" s="46">
        <f>SUM(C807:C809)</f>
        <v>0</v>
      </c>
      <c r="D810" s="46">
        <f>SUM(D807:D809)</f>
        <v>0</v>
      </c>
      <c r="E810" s="37">
        <f>SUM(B810:D810)</f>
        <v>0</v>
      </c>
      <c r="F810" s="46">
        <f>SUM(F807:F809)</f>
        <v>0</v>
      </c>
      <c r="G810" s="46">
        <f>SUM(G807:G809)</f>
        <v>0</v>
      </c>
      <c r="H810" s="46">
        <f>SUM(H807:H809)</f>
        <v>0</v>
      </c>
      <c r="I810" s="37">
        <f>SUM(F810:H810)</f>
        <v>0</v>
      </c>
      <c r="J810" s="46">
        <f>SUM(J807:J809)</f>
        <v>0</v>
      </c>
      <c r="K810" s="46">
        <f>SUM(K807:K809)</f>
        <v>0</v>
      </c>
      <c r="L810" s="46">
        <f>SUM(L807:L809)</f>
        <v>0</v>
      </c>
      <c r="M810" s="37">
        <f>SUM(J810:L810)</f>
        <v>0</v>
      </c>
      <c r="N810" s="46">
        <f>SUM(N807:N809)</f>
        <v>0</v>
      </c>
      <c r="O810" s="46">
        <f>SUM(O807:O809)</f>
        <v>0</v>
      </c>
      <c r="P810" s="46">
        <f>SUM(P807:P809)</f>
        <v>0</v>
      </c>
      <c r="Q810" s="37">
        <f>SUM(N810:P810)</f>
        <v>0</v>
      </c>
      <c r="R810" s="37">
        <f>+E810+I810+M810+Q810</f>
        <v>0</v>
      </c>
    </row>
    <row r="811" spans="1:18" ht="15.75" customHeight="1" x14ac:dyDescent="0.3">
      <c r="A811" s="234" t="s">
        <v>1712</v>
      </c>
      <c r="B811" s="10"/>
      <c r="C811" s="10"/>
      <c r="D811" s="10"/>
      <c r="E811" s="38" t="s">
        <v>852</v>
      </c>
      <c r="F811" s="10"/>
      <c r="G811" s="10"/>
      <c r="H811" s="10"/>
      <c r="I811" s="38" t="s">
        <v>852</v>
      </c>
      <c r="J811" s="10"/>
      <c r="K811" s="10"/>
      <c r="L811" s="10"/>
      <c r="M811" s="38" t="s">
        <v>852</v>
      </c>
      <c r="N811" s="10"/>
      <c r="O811" s="10"/>
      <c r="P811" s="10"/>
      <c r="Q811" s="38" t="s">
        <v>852</v>
      </c>
      <c r="R811" s="38" t="s">
        <v>852</v>
      </c>
    </row>
    <row r="812" spans="1:18" ht="15.75" customHeight="1" x14ac:dyDescent="0.3">
      <c r="A812" s="234" t="s">
        <v>1021</v>
      </c>
      <c r="B812" s="10"/>
      <c r="C812" s="10"/>
      <c r="D812" s="10"/>
      <c r="E812" s="38" t="s">
        <v>852</v>
      </c>
      <c r="F812" s="10"/>
      <c r="G812" s="10"/>
      <c r="H812" s="10"/>
      <c r="I812" s="38" t="s">
        <v>852</v>
      </c>
      <c r="J812" s="10"/>
      <c r="K812" s="10"/>
      <c r="L812" s="10"/>
      <c r="M812" s="38" t="s">
        <v>852</v>
      </c>
      <c r="N812" s="10"/>
      <c r="O812" s="10"/>
      <c r="P812" s="10"/>
      <c r="Q812" s="38" t="s">
        <v>852</v>
      </c>
      <c r="R812" s="38" t="s">
        <v>852</v>
      </c>
    </row>
    <row r="813" spans="1:18" ht="15.75" customHeight="1" x14ac:dyDescent="0.3">
      <c r="A813" s="234" t="s">
        <v>557</v>
      </c>
      <c r="B813" s="10"/>
      <c r="C813" s="10"/>
      <c r="D813" s="10"/>
      <c r="E813" s="38" t="s">
        <v>852</v>
      </c>
      <c r="F813" s="10"/>
      <c r="G813" s="10"/>
      <c r="H813" s="10"/>
      <c r="I813" s="38" t="s">
        <v>852</v>
      </c>
      <c r="J813" s="10"/>
      <c r="K813" s="10"/>
      <c r="L813" s="10"/>
      <c r="M813" s="38" t="s">
        <v>852</v>
      </c>
      <c r="N813" s="10"/>
      <c r="O813" s="10"/>
      <c r="P813" s="10"/>
      <c r="Q813" s="38" t="s">
        <v>852</v>
      </c>
      <c r="R813" s="38" t="s">
        <v>852</v>
      </c>
    </row>
    <row r="814" spans="1:18" ht="15.75" customHeight="1" x14ac:dyDescent="0.3">
      <c r="A814" s="234" t="s">
        <v>1022</v>
      </c>
      <c r="B814" s="10"/>
      <c r="C814" s="10"/>
      <c r="D814" s="10"/>
      <c r="E814" s="38" t="s">
        <v>852</v>
      </c>
      <c r="F814" s="10"/>
      <c r="G814" s="10"/>
      <c r="H814" s="10"/>
      <c r="I814" s="38" t="s">
        <v>852</v>
      </c>
      <c r="J814" s="10"/>
      <c r="K814" s="10"/>
      <c r="L814" s="10"/>
      <c r="M814" s="38" t="s">
        <v>852</v>
      </c>
      <c r="N814" s="10"/>
      <c r="O814" s="10"/>
      <c r="P814" s="10"/>
      <c r="Q814" s="38" t="s">
        <v>852</v>
      </c>
      <c r="R814" s="38" t="s">
        <v>852</v>
      </c>
    </row>
    <row r="815" spans="1:18" ht="15.75" customHeight="1" thickBot="1" x14ac:dyDescent="0.35">
      <c r="A815" s="234" t="s">
        <v>559</v>
      </c>
      <c r="B815" s="10"/>
      <c r="C815" s="10"/>
      <c r="D815" s="10"/>
      <c r="E815" s="38" t="s">
        <v>852</v>
      </c>
      <c r="F815" s="10"/>
      <c r="G815" s="10"/>
      <c r="H815" s="10"/>
      <c r="I815" s="38" t="s">
        <v>852</v>
      </c>
      <c r="J815" s="10"/>
      <c r="K815" s="10"/>
      <c r="L815" s="10"/>
      <c r="M815" s="38" t="s">
        <v>852</v>
      </c>
      <c r="N815" s="10"/>
      <c r="O815" s="10"/>
      <c r="P815" s="10"/>
      <c r="Q815" s="38" t="s">
        <v>852</v>
      </c>
      <c r="R815" s="38" t="s">
        <v>852</v>
      </c>
    </row>
    <row r="816" spans="1:18" ht="16.5" customHeight="1" thickBot="1" x14ac:dyDescent="0.35">
      <c r="A816" s="43" t="s">
        <v>1019</v>
      </c>
      <c r="B816" s="42">
        <f>SUM(B814:B815)</f>
        <v>0</v>
      </c>
      <c r="C816" s="42">
        <f>SUM(C814:C815)</f>
        <v>0</v>
      </c>
      <c r="D816" s="42">
        <f>SUM(D814:D815)</f>
        <v>0</v>
      </c>
      <c r="E816" s="39">
        <f>SUM(B816:D816)</f>
        <v>0</v>
      </c>
      <c r="F816" s="42">
        <f>SUM(F814:F815)</f>
        <v>0</v>
      </c>
      <c r="G816" s="42">
        <f>SUM(G814:G815)</f>
        <v>0</v>
      </c>
      <c r="H816" s="42">
        <f>SUM(H814:H815)</f>
        <v>0</v>
      </c>
      <c r="I816" s="39">
        <f>SUM(F816:H816)</f>
        <v>0</v>
      </c>
      <c r="J816" s="42">
        <f>SUM(J814:J815)</f>
        <v>0</v>
      </c>
      <c r="K816" s="42">
        <f>SUM(K814:K815)</f>
        <v>0</v>
      </c>
      <c r="L816" s="42">
        <f>SUM(L814:L815)</f>
        <v>0</v>
      </c>
      <c r="M816" s="39">
        <f>SUM(J816:L816)</f>
        <v>0</v>
      </c>
      <c r="N816" s="42">
        <f>SUM(N814:N815)</f>
        <v>0</v>
      </c>
      <c r="O816" s="42">
        <f>SUM(O814:O815)</f>
        <v>0</v>
      </c>
      <c r="P816" s="42">
        <f>SUM(P814:P815)</f>
        <v>0</v>
      </c>
      <c r="Q816" s="39">
        <f>SUM(N816:P816)</f>
        <v>0</v>
      </c>
      <c r="R816" s="37">
        <f>+E816+I816+M816+Q816</f>
        <v>0</v>
      </c>
    </row>
    <row r="817" spans="1:20" ht="16.5" customHeight="1" thickBot="1" x14ac:dyDescent="0.35">
      <c r="A817" s="43" t="s">
        <v>1221</v>
      </c>
      <c r="B817" s="45">
        <f>SUM(B811:B815)</f>
        <v>0</v>
      </c>
      <c r="C817" s="46">
        <f>SUM(C811:C815)</f>
        <v>0</v>
      </c>
      <c r="D817" s="58">
        <f>SUM(D811:D815)</f>
        <v>0</v>
      </c>
      <c r="E817" s="39">
        <f>SUM(B817:D817)</f>
        <v>0</v>
      </c>
      <c r="F817" s="46">
        <f>SUM(F811:F815)</f>
        <v>0</v>
      </c>
      <c r="G817" s="46">
        <f>SUM(G811:G815)</f>
        <v>0</v>
      </c>
      <c r="H817" s="46">
        <f>SUM(H811:H815)</f>
        <v>0</v>
      </c>
      <c r="I817" s="39">
        <f>SUM(F817:H817)</f>
        <v>0</v>
      </c>
      <c r="J817" s="46">
        <f>SUM(J811:J815)</f>
        <v>0</v>
      </c>
      <c r="K817" s="46">
        <f>SUM(K811:K815)</f>
        <v>0</v>
      </c>
      <c r="L817" s="46">
        <f>SUM(L811:L815)</f>
        <v>0</v>
      </c>
      <c r="M817" s="39">
        <f>SUM(J817:L817)</f>
        <v>0</v>
      </c>
      <c r="N817" s="46">
        <f>SUM(N811:N815)</f>
        <v>0</v>
      </c>
      <c r="O817" s="46">
        <f>SUM(O811:O815)</f>
        <v>0</v>
      </c>
      <c r="P817" s="46">
        <f>SUM(P811:P815)</f>
        <v>0</v>
      </c>
      <c r="Q817" s="39">
        <f>SUM(N817:P817)</f>
        <v>0</v>
      </c>
      <c r="R817" s="37">
        <f>+E817+I817+M817+Q817</f>
        <v>0</v>
      </c>
    </row>
    <row r="818" spans="1:20" ht="16.5" customHeight="1" thickBot="1" x14ac:dyDescent="0.35">
      <c r="A818" s="43" t="s">
        <v>1222</v>
      </c>
      <c r="B818" s="47">
        <f>+B802+B806+B810+B817</f>
        <v>0</v>
      </c>
      <c r="C818" s="42">
        <f>+C802+C806+C810+C817</f>
        <v>0</v>
      </c>
      <c r="D818" s="42">
        <f>+D802+D806+D810+D817</f>
        <v>0</v>
      </c>
      <c r="E818" s="37">
        <f>SUM(B818:D818)</f>
        <v>0</v>
      </c>
      <c r="F818" s="42">
        <f>+F802+F806+F810+F817</f>
        <v>0</v>
      </c>
      <c r="G818" s="42">
        <f>+G802+G806+G810+G817</f>
        <v>0</v>
      </c>
      <c r="H818" s="42">
        <f>+H802+H806+H810+H817</f>
        <v>11</v>
      </c>
      <c r="I818" s="37">
        <f>SUM(F818:H818)</f>
        <v>11</v>
      </c>
      <c r="J818" s="42">
        <f>+J802+J806+J810+J817</f>
        <v>0</v>
      </c>
      <c r="K818" s="42">
        <f>+K802+K806+K810+K817</f>
        <v>0</v>
      </c>
      <c r="L818" s="42">
        <f>+L802+L806+L810+L817</f>
        <v>0</v>
      </c>
      <c r="M818" s="37">
        <f>SUM(J818:L818)</f>
        <v>0</v>
      </c>
      <c r="N818" s="42">
        <f>+N802+N806+N810+N817</f>
        <v>0</v>
      </c>
      <c r="O818" s="42">
        <f>+O802+O806+O810+O817</f>
        <v>0</v>
      </c>
      <c r="P818" s="42">
        <f>+P802+P806+P810+P817</f>
        <v>0</v>
      </c>
      <c r="Q818" s="37">
        <f>SUM(N818:P818)</f>
        <v>0</v>
      </c>
      <c r="R818" s="40">
        <f>+E818+I818+M818+Q818</f>
        <v>11</v>
      </c>
    </row>
    <row r="819" spans="1:20" ht="15.75" customHeight="1" x14ac:dyDescent="0.3">
      <c r="A819" s="310" t="s">
        <v>2117</v>
      </c>
      <c r="B819" s="10">
        <v>4124</v>
      </c>
      <c r="C819" s="10">
        <v>3931</v>
      </c>
      <c r="D819" s="10">
        <v>4341</v>
      </c>
      <c r="E819" s="38">
        <f>SUM(B819:D819)</f>
        <v>12396</v>
      </c>
      <c r="F819" s="10">
        <v>5208</v>
      </c>
      <c r="G819" s="10">
        <v>6866</v>
      </c>
      <c r="H819" s="10">
        <v>7005</v>
      </c>
      <c r="I819" s="38">
        <f>SUM(F819:H819)</f>
        <v>19079</v>
      </c>
      <c r="J819" s="10">
        <v>6711</v>
      </c>
      <c r="K819" s="10">
        <v>6644</v>
      </c>
      <c r="L819" s="10">
        <v>5050</v>
      </c>
      <c r="M819" s="38">
        <f>SUM(J819:L819)</f>
        <v>18405</v>
      </c>
      <c r="N819" s="10">
        <v>4757</v>
      </c>
      <c r="O819" s="10">
        <v>4281</v>
      </c>
      <c r="P819" s="10">
        <v>3805</v>
      </c>
      <c r="Q819" s="38">
        <f>SUM(N819:P819)</f>
        <v>12843</v>
      </c>
      <c r="R819" s="38">
        <f>+E819+I819+M819+Q819</f>
        <v>62723</v>
      </c>
    </row>
    <row r="820" spans="1:20" ht="15.75" customHeight="1" thickBot="1" x14ac:dyDescent="0.35">
      <c r="A820" s="310" t="s">
        <v>853</v>
      </c>
      <c r="B820" s="10">
        <v>0</v>
      </c>
      <c r="C820" s="10">
        <v>0</v>
      </c>
      <c r="D820" s="10">
        <v>0</v>
      </c>
      <c r="E820" s="38">
        <f>SUM(B820:D820)</f>
        <v>0</v>
      </c>
      <c r="F820" s="10">
        <v>0</v>
      </c>
      <c r="G820" s="10">
        <v>0</v>
      </c>
      <c r="H820" s="10">
        <v>0</v>
      </c>
      <c r="I820" s="38">
        <f>SUM(F820:H820)</f>
        <v>0</v>
      </c>
      <c r="J820" s="10">
        <v>0</v>
      </c>
      <c r="K820" s="10">
        <v>0</v>
      </c>
      <c r="L820" s="10">
        <v>0</v>
      </c>
      <c r="M820" s="38">
        <f>SUM(J820:L820)</f>
        <v>0</v>
      </c>
      <c r="N820" s="10">
        <v>0</v>
      </c>
      <c r="O820" s="10">
        <v>0</v>
      </c>
      <c r="P820" s="10">
        <v>0</v>
      </c>
      <c r="Q820" s="38">
        <f>SUM(N820:P820)</f>
        <v>0</v>
      </c>
      <c r="R820" s="38">
        <f>+E820+I820+M820+Q820</f>
        <v>0</v>
      </c>
    </row>
    <row r="821" spans="1:20" ht="16.5" customHeight="1" thickBot="1" x14ac:dyDescent="0.35">
      <c r="A821" s="281"/>
      <c r="B821" s="301"/>
      <c r="C821" s="301"/>
      <c r="D821" s="301"/>
      <c r="E821" s="37" t="s">
        <v>852</v>
      </c>
      <c r="F821" s="301"/>
      <c r="G821" s="301"/>
      <c r="H821" s="301"/>
      <c r="I821" s="37" t="s">
        <v>852</v>
      </c>
      <c r="J821" s="301"/>
      <c r="K821" s="301"/>
      <c r="L821" s="301"/>
      <c r="M821" s="37" t="s">
        <v>852</v>
      </c>
      <c r="N821" s="301"/>
      <c r="O821" s="301"/>
      <c r="P821" s="301"/>
      <c r="Q821" s="37"/>
      <c r="R821" s="37"/>
    </row>
    <row r="822" spans="1:20" ht="15.75" customHeight="1" x14ac:dyDescent="0.3">
      <c r="A822" s="234" t="s">
        <v>2011</v>
      </c>
      <c r="B822" s="10">
        <f>SUM(B818:B820)</f>
        <v>4124</v>
      </c>
      <c r="C822" s="10">
        <f>SUM(C818:C820)</f>
        <v>3931</v>
      </c>
      <c r="D822" s="10">
        <f>SUM(D818:D820)</f>
        <v>4341</v>
      </c>
      <c r="E822" s="39">
        <f>SUM(B822:D822)</f>
        <v>12396</v>
      </c>
      <c r="F822" s="10">
        <f>SUM(F818:F820)</f>
        <v>5208</v>
      </c>
      <c r="G822" s="10">
        <f>SUM(G818:G820)</f>
        <v>6866</v>
      </c>
      <c r="H822" s="10">
        <f>SUM(H818:H820)</f>
        <v>7016</v>
      </c>
      <c r="I822" s="39">
        <f>SUM(F822:H822)</f>
        <v>19090</v>
      </c>
      <c r="J822" s="10">
        <f>SUM(J818:J820)</f>
        <v>6711</v>
      </c>
      <c r="K822" s="10">
        <f>SUM(K818:K820)</f>
        <v>6644</v>
      </c>
      <c r="L822" s="10">
        <f>SUM(L818:L820)</f>
        <v>5050</v>
      </c>
      <c r="M822" s="39">
        <f>SUM(J822:L822)</f>
        <v>18405</v>
      </c>
      <c r="N822" s="10">
        <f>SUM(N818:N820)</f>
        <v>4757</v>
      </c>
      <c r="O822" s="10">
        <f>SUM(O818:O820)</f>
        <v>4281</v>
      </c>
      <c r="P822" s="10">
        <f>SUM(P818:P820)</f>
        <v>3805</v>
      </c>
      <c r="Q822" s="39">
        <f>SUM(N822:P822)</f>
        <v>12843</v>
      </c>
      <c r="R822" s="39">
        <f>+E822+I822+M822+Q822</f>
        <v>62734</v>
      </c>
    </row>
    <row r="823" spans="1:20" ht="15.75" customHeight="1" x14ac:dyDescent="0.3">
      <c r="A823" s="234" t="s">
        <v>1897</v>
      </c>
      <c r="B823" s="10">
        <f>(B822/B10)/1.983</f>
        <v>67.086363118767579</v>
      </c>
      <c r="C823" s="10">
        <f>(C822/C10)/1.983</f>
        <v>68.356895682264764</v>
      </c>
      <c r="D823" s="10">
        <f>(D822/D10)/1.983</f>
        <v>70.616368161631925</v>
      </c>
      <c r="E823" s="38" t="s">
        <v>852</v>
      </c>
      <c r="F823" s="10">
        <f>(F822/F10)/1.983</f>
        <v>87.544125063035793</v>
      </c>
      <c r="G823" s="10">
        <f>(G822/G10)/1.983</f>
        <v>111.69131163274932</v>
      </c>
      <c r="H823" s="10">
        <f>(H822/H10)/1.983</f>
        <v>117.93578752731551</v>
      </c>
      <c r="I823" s="38" t="s">
        <v>852</v>
      </c>
      <c r="J823" s="10">
        <f>(J822/J10)/1.983</f>
        <v>109.1698794592748</v>
      </c>
      <c r="K823" s="10">
        <f>(K822/K10)/1.983</f>
        <v>108.07997006815999</v>
      </c>
      <c r="L823" s="10">
        <f>(L822/L10)/1.983</f>
        <v>84.888216506975965</v>
      </c>
      <c r="M823" s="38" t="s">
        <v>852</v>
      </c>
      <c r="N823" s="10">
        <f>(N822/N10)/1.983</f>
        <v>77.383566769150676</v>
      </c>
      <c r="O823" s="10">
        <f>(O822/O10)/1.983</f>
        <v>71.961674230963183</v>
      </c>
      <c r="P823" s="10">
        <f>(P822/P10)/1.983</f>
        <v>61.897093032713542</v>
      </c>
      <c r="Q823" s="38" t="s">
        <v>852</v>
      </c>
      <c r="R823" s="38" t="s">
        <v>852</v>
      </c>
    </row>
    <row r="824" spans="1:20" ht="15.75" customHeight="1" x14ac:dyDescent="0.3">
      <c r="A824" s="234" t="s">
        <v>647</v>
      </c>
      <c r="B824" s="10">
        <f>B822</f>
        <v>4124</v>
      </c>
      <c r="C824" s="10">
        <f>C822</f>
        <v>3931</v>
      </c>
      <c r="D824" s="10">
        <f>D822</f>
        <v>4341</v>
      </c>
      <c r="E824" s="38">
        <f>SUM(B824:D824)</f>
        <v>12396</v>
      </c>
      <c r="F824" s="10">
        <f>F822</f>
        <v>5208</v>
      </c>
      <c r="G824" s="10">
        <f>G822</f>
        <v>6866</v>
      </c>
      <c r="H824" s="10">
        <f>H822</f>
        <v>7016</v>
      </c>
      <c r="I824" s="38">
        <f>SUM(F824:H824)</f>
        <v>19090</v>
      </c>
      <c r="J824" s="10">
        <f>J822</f>
        <v>6711</v>
      </c>
      <c r="K824" s="10">
        <f>K822</f>
        <v>6644</v>
      </c>
      <c r="L824" s="10">
        <f>L822</f>
        <v>5050</v>
      </c>
      <c r="M824" s="38">
        <f>SUM(J824:L824)</f>
        <v>18405</v>
      </c>
      <c r="N824" s="10">
        <f>N822</f>
        <v>4757</v>
      </c>
      <c r="O824" s="10">
        <f>O822</f>
        <v>4281</v>
      </c>
      <c r="P824" s="10">
        <f>P822</f>
        <v>3805</v>
      </c>
      <c r="Q824" s="38">
        <f>SUM(N824:P824)</f>
        <v>12843</v>
      </c>
      <c r="R824" s="38">
        <f>+E824+I824+M824+Q824</f>
        <v>62734</v>
      </c>
    </row>
    <row r="825" spans="1:20" ht="16.5" customHeight="1" thickBot="1" x14ac:dyDescent="0.35">
      <c r="A825" s="237" t="s">
        <v>2191</v>
      </c>
      <c r="B825" s="294">
        <f>(B824/B10)/1.983</f>
        <v>67.086363118767579</v>
      </c>
      <c r="C825" s="294">
        <f>(C824/C10)/1.983</f>
        <v>68.356895682264764</v>
      </c>
      <c r="D825" s="294">
        <f>(D824/D10)/1.983</f>
        <v>70.616368161631925</v>
      </c>
      <c r="E825" s="40" t="s">
        <v>852</v>
      </c>
      <c r="F825" s="294">
        <f>(F824/F10)/1.983</f>
        <v>87.544125063035793</v>
      </c>
      <c r="G825" s="294">
        <f>(G824/G10)/1.983</f>
        <v>111.69131163274932</v>
      </c>
      <c r="H825" s="294">
        <f>(H824/H10)/1.983</f>
        <v>117.93578752731551</v>
      </c>
      <c r="I825" s="40" t="s">
        <v>852</v>
      </c>
      <c r="J825" s="294">
        <f>(J824/J10)/1.983</f>
        <v>109.1698794592748</v>
      </c>
      <c r="K825" s="294">
        <f>(K824/K10)/1.983</f>
        <v>108.07997006815999</v>
      </c>
      <c r="L825" s="294">
        <f>(L824/L10)/1.983</f>
        <v>84.888216506975965</v>
      </c>
      <c r="M825" s="40" t="s">
        <v>852</v>
      </c>
      <c r="N825" s="294">
        <f>(N824/N10)/1.983</f>
        <v>77.383566769150676</v>
      </c>
      <c r="O825" s="294">
        <f>(O824/O10)/1.983</f>
        <v>71.961674230963183</v>
      </c>
      <c r="P825" s="294">
        <f>(P824/P10)/1.983</f>
        <v>61.897093032713542</v>
      </c>
      <c r="Q825" s="40" t="s">
        <v>852</v>
      </c>
      <c r="R825" s="40" t="s">
        <v>852</v>
      </c>
    </row>
    <row r="826" spans="1:20" ht="15.75" customHeight="1" x14ac:dyDescent="0.3">
      <c r="A826" s="17"/>
      <c r="B826" s="10"/>
      <c r="C826" s="10"/>
      <c r="D826" s="10"/>
      <c r="E826" s="10"/>
      <c r="F826" s="10"/>
      <c r="G826" s="10"/>
      <c r="H826" s="10"/>
      <c r="I826" s="10"/>
      <c r="J826" s="10"/>
      <c r="K826" s="10"/>
      <c r="L826" s="10"/>
      <c r="M826" s="10"/>
      <c r="N826" s="10"/>
      <c r="O826" s="10"/>
      <c r="P826" s="10"/>
      <c r="Q826" s="10"/>
      <c r="R826" s="17"/>
    </row>
    <row r="827" spans="1:20" ht="15.75" customHeight="1" thickBot="1" x14ac:dyDescent="0.35">
      <c r="A827" s="17"/>
      <c r="B827" s="10"/>
      <c r="C827" s="10"/>
      <c r="D827" s="10"/>
      <c r="E827" s="10"/>
      <c r="F827" s="10"/>
      <c r="G827" s="10"/>
      <c r="H827" s="10"/>
      <c r="I827" s="10"/>
      <c r="J827" s="10"/>
      <c r="K827" s="10"/>
      <c r="L827" s="10"/>
      <c r="M827" s="10"/>
      <c r="N827" s="10"/>
      <c r="O827" s="10"/>
      <c r="P827" s="10"/>
      <c r="Q827" s="10"/>
      <c r="R827" s="17"/>
    </row>
    <row r="828" spans="1:20" ht="16.5" customHeight="1" thickBot="1" x14ac:dyDescent="0.35">
      <c r="A828" s="278" t="s">
        <v>2192</v>
      </c>
      <c r="B828" s="4" t="s">
        <v>2090</v>
      </c>
      <c r="C828" s="5" t="s">
        <v>2091</v>
      </c>
      <c r="D828" s="5" t="s">
        <v>2234</v>
      </c>
      <c r="E828" s="33" t="s">
        <v>1594</v>
      </c>
      <c r="F828" s="5" t="s">
        <v>2235</v>
      </c>
      <c r="G828" s="5" t="s">
        <v>2236</v>
      </c>
      <c r="H828" s="5" t="s">
        <v>2237</v>
      </c>
      <c r="I828" s="35" t="s">
        <v>1595</v>
      </c>
      <c r="J828" s="5" t="s">
        <v>1504</v>
      </c>
      <c r="K828" s="5" t="s">
        <v>1505</v>
      </c>
      <c r="L828" s="5" t="s">
        <v>1506</v>
      </c>
      <c r="M828" s="35" t="s">
        <v>1596</v>
      </c>
      <c r="N828" s="5" t="s">
        <v>1507</v>
      </c>
      <c r="O828" s="5" t="s">
        <v>1508</v>
      </c>
      <c r="P828" s="5" t="s">
        <v>1509</v>
      </c>
      <c r="Q828" s="35" t="s">
        <v>1597</v>
      </c>
      <c r="R828" s="60" t="s">
        <v>1510</v>
      </c>
    </row>
    <row r="829" spans="1:20" ht="16.5" customHeight="1" thickBot="1" x14ac:dyDescent="0.35">
      <c r="A829" s="22"/>
      <c r="B829" s="297"/>
      <c r="C829" s="297"/>
      <c r="D829" s="297"/>
      <c r="E829" s="302"/>
      <c r="F829" s="297"/>
      <c r="G829" s="297"/>
      <c r="H829" s="297"/>
      <c r="I829" s="325"/>
      <c r="J829" s="297"/>
      <c r="K829" s="297"/>
      <c r="L829" s="297"/>
      <c r="M829" s="325"/>
      <c r="N829" s="297"/>
      <c r="O829" s="297"/>
      <c r="P829" s="297"/>
      <c r="Q829" s="326"/>
      <c r="R829" s="61"/>
    </row>
    <row r="830" spans="1:20" ht="15.75" customHeight="1" x14ac:dyDescent="0.3">
      <c r="A830" s="234" t="s">
        <v>2417</v>
      </c>
      <c r="B830" s="10" t="s">
        <v>852</v>
      </c>
      <c r="C830" s="10" t="s">
        <v>852</v>
      </c>
      <c r="D830" s="10" t="s">
        <v>852</v>
      </c>
      <c r="E830" s="327"/>
      <c r="F830" s="10" t="s">
        <v>852</v>
      </c>
      <c r="G830" s="10" t="s">
        <v>852</v>
      </c>
      <c r="H830" s="10" t="s">
        <v>852</v>
      </c>
      <c r="I830" s="327"/>
      <c r="J830" s="10" t="s">
        <v>852</v>
      </c>
      <c r="K830" s="10" t="s">
        <v>852</v>
      </c>
      <c r="L830" s="10" t="s">
        <v>852</v>
      </c>
      <c r="M830" s="327"/>
      <c r="N830" s="10" t="s">
        <v>852</v>
      </c>
      <c r="O830" s="10" t="s">
        <v>852</v>
      </c>
      <c r="P830" s="10" t="s">
        <v>852</v>
      </c>
      <c r="Q830" s="328"/>
      <c r="R830" s="62" t="s">
        <v>852</v>
      </c>
    </row>
    <row r="831" spans="1:20" ht="15.75" customHeight="1" x14ac:dyDescent="0.3">
      <c r="A831" s="234" t="s">
        <v>2160</v>
      </c>
      <c r="B831" s="10"/>
      <c r="C831" s="10"/>
      <c r="D831" s="10"/>
      <c r="E831" s="38" t="s">
        <v>852</v>
      </c>
      <c r="F831" s="10"/>
      <c r="G831" s="10"/>
      <c r="H831" s="10"/>
      <c r="I831" s="38" t="s">
        <v>852</v>
      </c>
      <c r="J831" s="10"/>
      <c r="K831" s="10"/>
      <c r="L831" s="10"/>
      <c r="M831" s="38" t="s">
        <v>852</v>
      </c>
      <c r="N831" s="10"/>
      <c r="O831" s="10"/>
      <c r="P831" s="10"/>
      <c r="Q831" s="38" t="s">
        <v>852</v>
      </c>
      <c r="R831" s="38" t="s">
        <v>852</v>
      </c>
    </row>
    <row r="832" spans="1:20" ht="15.75" customHeight="1" x14ac:dyDescent="0.3">
      <c r="A832" s="539" t="s">
        <v>3095</v>
      </c>
      <c r="B832" s="10"/>
      <c r="C832" s="10"/>
      <c r="D832" s="10"/>
      <c r="E832" s="38">
        <f t="shared" ref="E832:E837" si="334">SUM(B832:D832)</f>
        <v>0</v>
      </c>
      <c r="F832" s="10"/>
      <c r="G832" s="10"/>
      <c r="H832" s="10"/>
      <c r="I832" s="38">
        <f t="shared" ref="I832:I837" si="335">SUM(F832:H832)</f>
        <v>0</v>
      </c>
      <c r="J832" s="10"/>
      <c r="K832" s="10"/>
      <c r="L832" s="10"/>
      <c r="M832" s="38">
        <f t="shared" ref="M832:M837" si="336">SUM(J832:L832)</f>
        <v>0</v>
      </c>
      <c r="N832" s="10"/>
      <c r="O832" s="10"/>
      <c r="P832" s="10"/>
      <c r="Q832" s="38">
        <f t="shared" ref="Q832:Q837" si="337">SUM(N832:P832)</f>
        <v>0</v>
      </c>
      <c r="R832" s="38">
        <f t="shared" ref="R832:R837" si="338">+E832+I832+M832+Q832</f>
        <v>0</v>
      </c>
      <c r="T832" t="s">
        <v>2765</v>
      </c>
    </row>
    <row r="833" spans="1:19" ht="15.75" customHeight="1" x14ac:dyDescent="0.3">
      <c r="A833" s="310" t="s">
        <v>1910</v>
      </c>
      <c r="B833" s="10"/>
      <c r="C833" s="10"/>
      <c r="D833" s="10"/>
      <c r="E833" s="38">
        <f t="shared" si="334"/>
        <v>0</v>
      </c>
      <c r="F833" s="10"/>
      <c r="G833" s="10"/>
      <c r="H833" s="10"/>
      <c r="I833" s="38">
        <f t="shared" si="335"/>
        <v>0</v>
      </c>
      <c r="J833" s="10"/>
      <c r="K833" s="10"/>
      <c r="L833" s="10"/>
      <c r="M833" s="38">
        <f t="shared" si="336"/>
        <v>0</v>
      </c>
      <c r="N833" s="10"/>
      <c r="O833" s="10"/>
      <c r="P833" s="10"/>
      <c r="Q833" s="38">
        <f t="shared" si="337"/>
        <v>0</v>
      </c>
      <c r="R833" s="38">
        <f t="shared" si="338"/>
        <v>0</v>
      </c>
    </row>
    <row r="834" spans="1:19" ht="15.75" customHeight="1" x14ac:dyDescent="0.3">
      <c r="A834" s="539" t="s">
        <v>604</v>
      </c>
      <c r="B834" s="10"/>
      <c r="C834" s="10"/>
      <c r="D834" s="10"/>
      <c r="E834" s="38">
        <f t="shared" si="334"/>
        <v>0</v>
      </c>
      <c r="F834" s="10"/>
      <c r="G834" s="10"/>
      <c r="H834" s="10"/>
      <c r="I834" s="38">
        <f t="shared" si="335"/>
        <v>0</v>
      </c>
      <c r="J834" s="10"/>
      <c r="K834" s="10"/>
      <c r="L834" s="10"/>
      <c r="M834" s="38">
        <f t="shared" si="336"/>
        <v>0</v>
      </c>
      <c r="N834" s="10"/>
      <c r="O834" s="10"/>
      <c r="P834" s="10"/>
      <c r="Q834" s="38">
        <f t="shared" si="337"/>
        <v>0</v>
      </c>
      <c r="R834" s="38">
        <f t="shared" si="338"/>
        <v>0</v>
      </c>
    </row>
    <row r="835" spans="1:19" ht="15.75" customHeight="1" x14ac:dyDescent="0.3">
      <c r="A835" s="539" t="s">
        <v>2996</v>
      </c>
      <c r="B835" s="10">
        <v>250</v>
      </c>
      <c r="C835" s="10"/>
      <c r="D835" s="10"/>
      <c r="E835" s="38">
        <f t="shared" si="334"/>
        <v>250</v>
      </c>
      <c r="F835" s="10"/>
      <c r="G835" s="10"/>
      <c r="H835" s="10"/>
      <c r="I835" s="38">
        <f t="shared" si="335"/>
        <v>0</v>
      </c>
      <c r="J835" s="10"/>
      <c r="K835" s="10"/>
      <c r="L835" s="10"/>
      <c r="M835" s="38">
        <f t="shared" si="336"/>
        <v>0</v>
      </c>
      <c r="N835" s="10"/>
      <c r="O835" s="10"/>
      <c r="P835" s="10"/>
      <c r="Q835" s="38">
        <f t="shared" si="337"/>
        <v>0</v>
      </c>
      <c r="R835" s="38">
        <f t="shared" si="338"/>
        <v>250</v>
      </c>
    </row>
    <row r="836" spans="1:19" ht="15.75" customHeight="1" x14ac:dyDescent="0.3">
      <c r="A836" s="539" t="s">
        <v>3401</v>
      </c>
      <c r="B836" s="10"/>
      <c r="C836" s="10"/>
      <c r="D836" s="10"/>
      <c r="E836" s="38">
        <f t="shared" si="334"/>
        <v>0</v>
      </c>
      <c r="F836" s="10"/>
      <c r="G836" s="10"/>
      <c r="H836" s="10"/>
      <c r="I836" s="38">
        <f t="shared" si="335"/>
        <v>0</v>
      </c>
      <c r="J836" s="10"/>
      <c r="K836" s="10"/>
      <c r="L836" s="10"/>
      <c r="M836" s="38">
        <f t="shared" si="336"/>
        <v>0</v>
      </c>
      <c r="N836" s="10"/>
      <c r="O836" s="10"/>
      <c r="P836" s="10"/>
      <c r="Q836" s="38">
        <f t="shared" si="337"/>
        <v>0</v>
      </c>
      <c r="R836" s="38">
        <f t="shared" si="338"/>
        <v>0</v>
      </c>
    </row>
    <row r="837" spans="1:19" ht="15.75" customHeight="1" x14ac:dyDescent="0.3">
      <c r="A837" s="539" t="s">
        <v>715</v>
      </c>
      <c r="B837" s="10">
        <v>2143</v>
      </c>
      <c r="C837" s="10">
        <v>2549</v>
      </c>
      <c r="D837" s="10">
        <v>2713</v>
      </c>
      <c r="E837" s="38">
        <f t="shared" si="334"/>
        <v>7405</v>
      </c>
      <c r="F837" s="10">
        <v>2536</v>
      </c>
      <c r="G837" s="10">
        <v>1947</v>
      </c>
      <c r="H837" s="10">
        <v>2509</v>
      </c>
      <c r="I837" s="38">
        <f t="shared" si="335"/>
        <v>6992</v>
      </c>
      <c r="J837" s="10">
        <v>2473</v>
      </c>
      <c r="K837" s="10">
        <v>2518</v>
      </c>
      <c r="L837" s="10">
        <v>2371</v>
      </c>
      <c r="M837" s="38">
        <f t="shared" si="336"/>
        <v>7362</v>
      </c>
      <c r="N837" s="10">
        <v>241</v>
      </c>
      <c r="O837" s="10"/>
      <c r="P837" s="10"/>
      <c r="Q837" s="38">
        <f t="shared" si="337"/>
        <v>241</v>
      </c>
      <c r="R837" s="38">
        <f t="shared" si="338"/>
        <v>22000</v>
      </c>
    </row>
    <row r="838" spans="1:19" ht="15.75" customHeight="1" x14ac:dyDescent="0.3">
      <c r="A838" s="234" t="s">
        <v>2161</v>
      </c>
      <c r="B838" s="10"/>
      <c r="C838" s="10"/>
      <c r="D838" s="10"/>
      <c r="E838" s="38" t="s">
        <v>852</v>
      </c>
      <c r="F838" s="10"/>
      <c r="G838" s="10"/>
      <c r="H838" s="10"/>
      <c r="I838" s="38" t="s">
        <v>852</v>
      </c>
      <c r="J838" s="10"/>
      <c r="K838" s="10"/>
      <c r="L838" s="10"/>
      <c r="M838" s="38" t="s">
        <v>852</v>
      </c>
      <c r="N838" s="10"/>
      <c r="O838" s="10"/>
      <c r="P838" s="10"/>
      <c r="Q838" s="38" t="s">
        <v>852</v>
      </c>
      <c r="R838" s="38" t="s">
        <v>852</v>
      </c>
    </row>
    <row r="839" spans="1:19" ht="15.75" customHeight="1" x14ac:dyDescent="0.3">
      <c r="A839" s="234" t="s">
        <v>3245</v>
      </c>
      <c r="B839" s="10"/>
      <c r="C839" s="10"/>
      <c r="D839" s="10"/>
      <c r="E839" s="38" t="s">
        <v>852</v>
      </c>
      <c r="F839" s="10"/>
      <c r="G839" s="10"/>
      <c r="H839" s="10"/>
      <c r="I839" s="38" t="s">
        <v>852</v>
      </c>
      <c r="J839" s="10"/>
      <c r="K839" s="10"/>
      <c r="L839" s="10"/>
      <c r="M839" s="38" t="s">
        <v>852</v>
      </c>
      <c r="N839" s="10"/>
      <c r="O839" s="10"/>
      <c r="P839" s="10"/>
      <c r="Q839" s="38" t="s">
        <v>852</v>
      </c>
      <c r="R839" s="38" t="s">
        <v>852</v>
      </c>
    </row>
    <row r="840" spans="1:19" ht="15.75" customHeight="1" x14ac:dyDescent="0.3">
      <c r="A840" s="539" t="s">
        <v>3266</v>
      </c>
      <c r="B840" s="10"/>
      <c r="C840" s="10"/>
      <c r="D840" s="10"/>
      <c r="E840" s="38">
        <f>SUM(B840:D840)</f>
        <v>0</v>
      </c>
      <c r="F840" s="10"/>
      <c r="G840" s="10"/>
      <c r="H840" s="10"/>
      <c r="I840" s="38">
        <f>SUM(F840:H840)</f>
        <v>0</v>
      </c>
      <c r="J840" s="10"/>
      <c r="K840" s="10"/>
      <c r="L840" s="10"/>
      <c r="M840" s="38">
        <f>SUM(J840:L840)</f>
        <v>0</v>
      </c>
      <c r="N840" s="10"/>
      <c r="O840" s="10"/>
      <c r="P840" s="10"/>
      <c r="Q840" s="38">
        <f>SUM(N840:P840)</f>
        <v>0</v>
      </c>
      <c r="R840" s="38">
        <f>+E840+I840+M840+Q840</f>
        <v>0</v>
      </c>
      <c r="S840" s="735" t="s">
        <v>3214</v>
      </c>
    </row>
    <row r="841" spans="1:19" ht="15.75" customHeight="1" thickBot="1" x14ac:dyDescent="0.35">
      <c r="A841" s="234" t="s">
        <v>2164</v>
      </c>
      <c r="B841" s="10"/>
      <c r="C841" s="10"/>
      <c r="D841" s="10"/>
      <c r="E841" s="38" t="s">
        <v>852</v>
      </c>
      <c r="F841" s="10"/>
      <c r="G841" s="10"/>
      <c r="H841" s="10"/>
      <c r="I841" s="38" t="s">
        <v>852</v>
      </c>
      <c r="J841" s="10"/>
      <c r="K841" s="10"/>
      <c r="L841" s="10"/>
      <c r="M841" s="38" t="s">
        <v>852</v>
      </c>
      <c r="N841" s="10"/>
      <c r="O841" s="10"/>
      <c r="P841" s="10"/>
      <c r="Q841" s="38" t="s">
        <v>852</v>
      </c>
      <c r="R841" s="38" t="s">
        <v>852</v>
      </c>
    </row>
    <row r="842" spans="1:19" ht="16.5" customHeight="1" thickBot="1" x14ac:dyDescent="0.35">
      <c r="A842" s="43" t="s">
        <v>1218</v>
      </c>
      <c r="B842" s="45">
        <f>SUM(B830:B841)</f>
        <v>2393</v>
      </c>
      <c r="C842" s="46">
        <f>SUM(C830:C841)</f>
        <v>2549</v>
      </c>
      <c r="D842" s="46">
        <f>SUM(D830:D841)</f>
        <v>2713</v>
      </c>
      <c r="E842" s="37">
        <f>SUM(B842:D842)</f>
        <v>7655</v>
      </c>
      <c r="F842" s="46">
        <f>SUM(F830:F841)</f>
        <v>2536</v>
      </c>
      <c r="G842" s="46">
        <f>SUM(G830:G841)</f>
        <v>1947</v>
      </c>
      <c r="H842" s="46">
        <f>SUM(H830:H841)</f>
        <v>2509</v>
      </c>
      <c r="I842" s="37">
        <f>SUM(F842:H842)</f>
        <v>6992</v>
      </c>
      <c r="J842" s="46">
        <f>SUM(J830:J841)</f>
        <v>2473</v>
      </c>
      <c r="K842" s="46">
        <f>SUM(K830:K841)</f>
        <v>2518</v>
      </c>
      <c r="L842" s="46">
        <f>SUM(L830:L841)</f>
        <v>2371</v>
      </c>
      <c r="M842" s="37">
        <f>SUM(J842:L842)</f>
        <v>7362</v>
      </c>
      <c r="N842" s="46">
        <f>SUM(N830:N841)</f>
        <v>241</v>
      </c>
      <c r="O842" s="46">
        <f>SUM(O830:O841)</f>
        <v>0</v>
      </c>
      <c r="P842" s="46">
        <f>SUM(P830:P841)</f>
        <v>0</v>
      </c>
      <c r="Q842" s="37">
        <f>SUM(N842:P842)</f>
        <v>241</v>
      </c>
      <c r="R842" s="37">
        <f>+E842+I842+M842+Q842</f>
        <v>22250</v>
      </c>
    </row>
    <row r="843" spans="1:19" ht="15.75" customHeight="1" x14ac:dyDescent="0.3">
      <c r="A843" s="234" t="s">
        <v>1172</v>
      </c>
      <c r="B843" s="10"/>
      <c r="C843" s="10"/>
      <c r="D843" s="10"/>
      <c r="E843" s="38" t="s">
        <v>852</v>
      </c>
      <c r="F843" s="10"/>
      <c r="G843" s="10"/>
      <c r="H843" s="10"/>
      <c r="I843" s="38" t="s">
        <v>852</v>
      </c>
      <c r="J843" s="10"/>
      <c r="K843" s="10"/>
      <c r="L843" s="10"/>
      <c r="M843" s="38" t="s">
        <v>852</v>
      </c>
      <c r="N843" s="10"/>
      <c r="O843" s="10"/>
      <c r="P843" s="10"/>
      <c r="Q843" s="38" t="s">
        <v>852</v>
      </c>
      <c r="R843" s="38" t="s">
        <v>852</v>
      </c>
    </row>
    <row r="844" spans="1:19" ht="15.75" customHeight="1" x14ac:dyDescent="0.3">
      <c r="A844" s="234" t="s">
        <v>2409</v>
      </c>
      <c r="B844" s="10"/>
      <c r="C844" s="10"/>
      <c r="D844" s="10"/>
      <c r="E844" s="38" t="s">
        <v>852</v>
      </c>
      <c r="F844" s="10"/>
      <c r="G844" s="10"/>
      <c r="H844" s="10"/>
      <c r="I844" s="38" t="s">
        <v>852</v>
      </c>
      <c r="J844" s="10"/>
      <c r="K844" s="10"/>
      <c r="L844" s="10"/>
      <c r="M844" s="38" t="s">
        <v>852</v>
      </c>
      <c r="N844" s="10"/>
      <c r="O844" s="10"/>
      <c r="P844" s="10"/>
      <c r="Q844" s="38" t="s">
        <v>852</v>
      </c>
      <c r="R844" s="38" t="s">
        <v>852</v>
      </c>
    </row>
    <row r="845" spans="1:19" ht="15.75" customHeight="1" x14ac:dyDescent="0.3">
      <c r="A845" s="539" t="s">
        <v>1648</v>
      </c>
      <c r="B845" s="10"/>
      <c r="C845" s="10"/>
      <c r="D845" s="10"/>
      <c r="E845" s="38">
        <f>SUM(B845:D845)</f>
        <v>0</v>
      </c>
      <c r="F845" s="10"/>
      <c r="G845" s="10"/>
      <c r="H845" s="10"/>
      <c r="I845" s="38">
        <f>SUM(F845:H845)</f>
        <v>0</v>
      </c>
      <c r="J845" s="10"/>
      <c r="K845" s="10"/>
      <c r="L845" s="10"/>
      <c r="M845" s="38">
        <f>SUM(J845:L845)</f>
        <v>0</v>
      </c>
      <c r="N845" s="10"/>
      <c r="O845" s="10"/>
      <c r="P845" s="10"/>
      <c r="Q845" s="38">
        <f>SUM(N845:P845)</f>
        <v>0</v>
      </c>
      <c r="R845" s="38">
        <f>+E845+I845+M845+Q845</f>
        <v>0</v>
      </c>
    </row>
    <row r="846" spans="1:19" ht="15.75" customHeight="1" thickBot="1" x14ac:dyDescent="0.35">
      <c r="A846" s="234" t="s">
        <v>2165</v>
      </c>
      <c r="B846" s="10"/>
      <c r="C846" s="10"/>
      <c r="D846" s="10"/>
      <c r="E846" s="38" t="s">
        <v>852</v>
      </c>
      <c r="F846" s="10"/>
      <c r="G846" s="10"/>
      <c r="H846" s="10"/>
      <c r="I846" s="38" t="s">
        <v>852</v>
      </c>
      <c r="J846" s="10"/>
      <c r="K846" s="10"/>
      <c r="L846" s="10"/>
      <c r="M846" s="38" t="s">
        <v>852</v>
      </c>
      <c r="N846" s="10"/>
      <c r="O846" s="10"/>
      <c r="P846" s="10"/>
      <c r="Q846" s="38" t="s">
        <v>852</v>
      </c>
      <c r="R846" s="38" t="s">
        <v>852</v>
      </c>
    </row>
    <row r="847" spans="1:19" ht="16.5" customHeight="1" thickBot="1" x14ac:dyDescent="0.35">
      <c r="A847" s="43" t="s">
        <v>1219</v>
      </c>
      <c r="B847" s="45">
        <f>SUM(B843:B846)</f>
        <v>0</v>
      </c>
      <c r="C847" s="46">
        <f>SUM(C843:C846)</f>
        <v>0</v>
      </c>
      <c r="D847" s="46">
        <f>SUM(D843:D846)</f>
        <v>0</v>
      </c>
      <c r="E847" s="37">
        <f>SUM(B847:D847)</f>
        <v>0</v>
      </c>
      <c r="F847" s="46">
        <f>SUM(F843:F846)</f>
        <v>0</v>
      </c>
      <c r="G847" s="46">
        <f>SUM(G843:G846)</f>
        <v>0</v>
      </c>
      <c r="H847" s="46">
        <f>SUM(H843:H846)</f>
        <v>0</v>
      </c>
      <c r="I847" s="37">
        <f>SUM(F847:H847)</f>
        <v>0</v>
      </c>
      <c r="J847" s="46">
        <f>SUM(J843:J846)</f>
        <v>0</v>
      </c>
      <c r="K847" s="46">
        <f>SUM(K843:K846)</f>
        <v>0</v>
      </c>
      <c r="L847" s="46">
        <f>SUM(L843:L846)</f>
        <v>0</v>
      </c>
      <c r="M847" s="37">
        <f>SUM(J847:L847)</f>
        <v>0</v>
      </c>
      <c r="N847" s="46">
        <f>SUM(N843:N846)</f>
        <v>0</v>
      </c>
      <c r="O847" s="46">
        <f>SUM(O843:O846)</f>
        <v>0</v>
      </c>
      <c r="P847" s="46">
        <f>SUM(P843:P846)</f>
        <v>0</v>
      </c>
      <c r="Q847" s="37">
        <f>SUM(N847:P847)</f>
        <v>0</v>
      </c>
      <c r="R847" s="37">
        <f>+E847+I847+M847+Q847</f>
        <v>0</v>
      </c>
    </row>
    <row r="848" spans="1:19" ht="15.75" customHeight="1" x14ac:dyDescent="0.3">
      <c r="A848" s="234" t="s">
        <v>2166</v>
      </c>
      <c r="B848" s="10"/>
      <c r="C848" s="10"/>
      <c r="D848" s="10"/>
      <c r="E848" s="38" t="s">
        <v>852</v>
      </c>
      <c r="F848" s="10"/>
      <c r="G848" s="10"/>
      <c r="H848" s="10"/>
      <c r="I848" s="38" t="s">
        <v>852</v>
      </c>
      <c r="J848" s="10" t="s">
        <v>852</v>
      </c>
      <c r="K848" s="10"/>
      <c r="L848" s="10"/>
      <c r="M848" s="38" t="s">
        <v>852</v>
      </c>
      <c r="N848" s="10"/>
      <c r="O848" s="10"/>
      <c r="P848" s="10"/>
      <c r="Q848" s="38" t="s">
        <v>852</v>
      </c>
      <c r="R848" s="38" t="s">
        <v>852</v>
      </c>
    </row>
    <row r="849" spans="1:20" ht="18" customHeight="1" x14ac:dyDescent="0.3">
      <c r="A849" s="234" t="s">
        <v>1245</v>
      </c>
      <c r="B849" s="10"/>
      <c r="C849" s="10"/>
      <c r="D849" s="10"/>
      <c r="E849" s="38" t="s">
        <v>852</v>
      </c>
      <c r="F849" s="10"/>
      <c r="G849" s="10"/>
      <c r="H849" s="10"/>
      <c r="I849" s="38" t="s">
        <v>852</v>
      </c>
      <c r="J849" s="10"/>
      <c r="K849" s="10"/>
      <c r="L849" s="10"/>
      <c r="M849" s="38" t="s">
        <v>852</v>
      </c>
      <c r="N849" s="10"/>
      <c r="O849" s="10"/>
      <c r="P849" s="10"/>
      <c r="Q849" s="38" t="s">
        <v>852</v>
      </c>
      <c r="R849" s="38" t="s">
        <v>852</v>
      </c>
    </row>
    <row r="850" spans="1:20" ht="15.75" customHeight="1" x14ac:dyDescent="0.3">
      <c r="A850" s="539" t="s">
        <v>2750</v>
      </c>
      <c r="B850" s="10">
        <v>504</v>
      </c>
      <c r="C850" s="10">
        <v>572</v>
      </c>
      <c r="D850" s="10">
        <v>500</v>
      </c>
      <c r="E850" s="38">
        <f>SUM(B850:D850)</f>
        <v>1576</v>
      </c>
      <c r="F850" s="10">
        <v>959</v>
      </c>
      <c r="G850" s="10">
        <f>1364+2</f>
        <v>1366</v>
      </c>
      <c r="H850" s="10">
        <v>1035</v>
      </c>
      <c r="I850" s="38">
        <f>SUM(F850:H850)</f>
        <v>3360</v>
      </c>
      <c r="J850" s="10">
        <f>767+3</f>
        <v>770</v>
      </c>
      <c r="K850" s="10">
        <v>563</v>
      </c>
      <c r="L850" s="10">
        <v>713</v>
      </c>
      <c r="M850" s="38">
        <f>SUM(J850:L850)</f>
        <v>2046</v>
      </c>
      <c r="N850" s="10">
        <v>1</v>
      </c>
      <c r="O850" s="10">
        <v>501</v>
      </c>
      <c r="P850" s="10">
        <v>586</v>
      </c>
      <c r="Q850" s="38">
        <f>SUM(N850:P850)</f>
        <v>1088</v>
      </c>
      <c r="R850" s="38">
        <f>+E850+I850+M850+Q850</f>
        <v>8070</v>
      </c>
      <c r="T850" t="s">
        <v>2805</v>
      </c>
    </row>
    <row r="851" spans="1:20" ht="15.75" customHeight="1" x14ac:dyDescent="0.3">
      <c r="A851" s="539" t="s">
        <v>2702</v>
      </c>
      <c r="B851" s="10">
        <v>20</v>
      </c>
      <c r="C851" s="10">
        <v>21</v>
      </c>
      <c r="D851" s="10">
        <v>20</v>
      </c>
      <c r="E851" s="38">
        <f>SUM(B851:D851)</f>
        <v>61</v>
      </c>
      <c r="F851" s="10">
        <v>74</v>
      </c>
      <c r="G851" s="10">
        <v>86</v>
      </c>
      <c r="H851" s="10">
        <v>87</v>
      </c>
      <c r="I851" s="38">
        <f t="shared" ref="I851" si="339">SUM(F851:H851)</f>
        <v>247</v>
      </c>
      <c r="J851" s="10">
        <v>58</v>
      </c>
      <c r="K851" s="10">
        <v>89</v>
      </c>
      <c r="L851" s="10">
        <v>45</v>
      </c>
      <c r="M851" s="38">
        <f>SUM(J851:L851)</f>
        <v>192</v>
      </c>
      <c r="N851" s="10"/>
      <c r="O851" s="10"/>
      <c r="P851" s="10"/>
      <c r="Q851" s="38">
        <f>SUM(N851:P851)</f>
        <v>0</v>
      </c>
      <c r="R851" s="38">
        <f>+E851+I851+M851+Q851</f>
        <v>500</v>
      </c>
      <c r="T851" t="s">
        <v>2785</v>
      </c>
    </row>
    <row r="852" spans="1:20" ht="15.75" customHeight="1" x14ac:dyDescent="0.3">
      <c r="A852" s="234" t="s">
        <v>1711</v>
      </c>
      <c r="B852" s="10"/>
      <c r="C852" s="10"/>
      <c r="D852" s="10"/>
      <c r="E852" s="38" t="s">
        <v>852</v>
      </c>
      <c r="F852" s="10"/>
      <c r="G852" s="10"/>
      <c r="H852" s="10"/>
      <c r="I852" s="38" t="s">
        <v>852</v>
      </c>
      <c r="J852" s="10"/>
      <c r="K852" s="10"/>
      <c r="L852" s="10"/>
      <c r="M852" s="38" t="s">
        <v>852</v>
      </c>
      <c r="N852" s="10"/>
      <c r="O852" s="10"/>
      <c r="P852" s="10"/>
      <c r="Q852" s="38" t="s">
        <v>852</v>
      </c>
      <c r="R852" s="38" t="s">
        <v>852</v>
      </c>
    </row>
    <row r="853" spans="1:20" ht="15.75" customHeight="1" x14ac:dyDescent="0.3">
      <c r="A853" s="539" t="s">
        <v>3402</v>
      </c>
      <c r="B853" s="10"/>
      <c r="C853" s="10"/>
      <c r="D853" s="10"/>
      <c r="E853" s="38">
        <f t="shared" ref="E853:E858" si="340">SUM(B853:D853)</f>
        <v>0</v>
      </c>
      <c r="F853" s="10"/>
      <c r="G853" s="10"/>
      <c r="H853" s="10"/>
      <c r="I853" s="38">
        <f t="shared" ref="I853:I858" si="341">SUM(F853:H853)</f>
        <v>0</v>
      </c>
      <c r="J853" s="10"/>
      <c r="K853" s="10"/>
      <c r="L853" s="10">
        <v>362</v>
      </c>
      <c r="M853" s="38">
        <f t="shared" ref="M853:M858" si="342">SUM(J853:L853)</f>
        <v>362</v>
      </c>
      <c r="N853" s="10">
        <v>538</v>
      </c>
      <c r="O853" s="10"/>
      <c r="P853" s="10"/>
      <c r="Q853" s="38">
        <f t="shared" ref="Q853:Q858" si="343">SUM(N853:P853)</f>
        <v>538</v>
      </c>
      <c r="R853" s="38">
        <f t="shared" ref="R853:R858" si="344">+E853+I853+M853+Q853</f>
        <v>900</v>
      </c>
      <c r="T853" t="s">
        <v>2785</v>
      </c>
    </row>
    <row r="854" spans="1:20" ht="15.75" customHeight="1" x14ac:dyDescent="0.3">
      <c r="A854" s="539" t="s">
        <v>2935</v>
      </c>
      <c r="B854" s="10"/>
      <c r="C854" s="10"/>
      <c r="D854" s="10"/>
      <c r="E854" s="38">
        <f t="shared" si="340"/>
        <v>0</v>
      </c>
      <c r="F854" s="10"/>
      <c r="G854" s="10"/>
      <c r="H854" s="10"/>
      <c r="I854" s="38">
        <f t="shared" si="341"/>
        <v>0</v>
      </c>
      <c r="J854" s="10"/>
      <c r="K854" s="10"/>
      <c r="L854" s="10"/>
      <c r="M854" s="38">
        <f t="shared" si="342"/>
        <v>0</v>
      </c>
      <c r="N854" s="10"/>
      <c r="O854" s="10"/>
      <c r="P854" s="10"/>
      <c r="Q854" s="38">
        <f t="shared" si="343"/>
        <v>0</v>
      </c>
      <c r="R854" s="38">
        <f t="shared" si="344"/>
        <v>0</v>
      </c>
    </row>
    <row r="855" spans="1:20" ht="15.75" customHeight="1" x14ac:dyDescent="0.3">
      <c r="A855" s="539" t="s">
        <v>2749</v>
      </c>
      <c r="B855" s="10"/>
      <c r="C855" s="10"/>
      <c r="D855" s="10"/>
      <c r="E855" s="38">
        <f t="shared" si="340"/>
        <v>0</v>
      </c>
      <c r="F855" s="10"/>
      <c r="G855" s="10"/>
      <c r="H855" s="10"/>
      <c r="I855" s="38">
        <f t="shared" si="341"/>
        <v>0</v>
      </c>
      <c r="J855" s="10"/>
      <c r="K855" s="10"/>
      <c r="L855" s="10">
        <v>32</v>
      </c>
      <c r="M855" s="38">
        <f t="shared" si="342"/>
        <v>32</v>
      </c>
      <c r="N855" s="10">
        <v>65</v>
      </c>
      <c r="O855" s="10">
        <v>50</v>
      </c>
      <c r="P855" s="10">
        <v>73</v>
      </c>
      <c r="Q855" s="38">
        <f t="shared" si="343"/>
        <v>188</v>
      </c>
      <c r="R855" s="38">
        <f t="shared" si="344"/>
        <v>220</v>
      </c>
    </row>
    <row r="856" spans="1:20" ht="15.75" customHeight="1" x14ac:dyDescent="0.3">
      <c r="A856" s="310" t="s">
        <v>783</v>
      </c>
      <c r="B856" s="10"/>
      <c r="C856" s="10"/>
      <c r="D856" s="10"/>
      <c r="E856" s="38">
        <f t="shared" si="340"/>
        <v>0</v>
      </c>
      <c r="F856" s="10"/>
      <c r="G856" s="10"/>
      <c r="H856" s="10"/>
      <c r="I856" s="38">
        <f t="shared" si="341"/>
        <v>0</v>
      </c>
      <c r="J856" s="10"/>
      <c r="K856" s="10"/>
      <c r="L856" s="10"/>
      <c r="M856" s="38">
        <f t="shared" si="342"/>
        <v>0</v>
      </c>
      <c r="N856" s="10"/>
      <c r="O856" s="10"/>
      <c r="P856" s="10"/>
      <c r="Q856" s="38">
        <f t="shared" si="343"/>
        <v>0</v>
      </c>
      <c r="R856" s="38">
        <f t="shared" si="344"/>
        <v>0</v>
      </c>
      <c r="T856" t="s">
        <v>2765</v>
      </c>
    </row>
    <row r="857" spans="1:20" ht="15.75" customHeight="1" thickBot="1" x14ac:dyDescent="0.35">
      <c r="A857" s="539" t="s">
        <v>2540</v>
      </c>
      <c r="B857" s="10">
        <f>113+513</f>
        <v>626</v>
      </c>
      <c r="C857" s="10">
        <f>148+528</f>
        <v>676</v>
      </c>
      <c r="D857" s="10">
        <f>117+540</f>
        <v>657</v>
      </c>
      <c r="E857" s="38">
        <f t="shared" si="340"/>
        <v>1959</v>
      </c>
      <c r="F857" s="10">
        <f>125+555</f>
        <v>680</v>
      </c>
      <c r="G857" s="10">
        <f>149+379</f>
        <v>528</v>
      </c>
      <c r="H857" s="10">
        <f>149+469</f>
        <v>618</v>
      </c>
      <c r="I857" s="38">
        <f t="shared" si="341"/>
        <v>1826</v>
      </c>
      <c r="J857" s="10">
        <f>127+638</f>
        <v>765</v>
      </c>
      <c r="K857" s="10">
        <f>130+593</f>
        <v>723</v>
      </c>
      <c r="L857" s="10">
        <f>88+465</f>
        <v>553</v>
      </c>
      <c r="M857" s="38">
        <f t="shared" si="342"/>
        <v>2041</v>
      </c>
      <c r="N857" s="10">
        <v>849</v>
      </c>
      <c r="O857" s="10">
        <v>822</v>
      </c>
      <c r="P857" s="10">
        <v>2503</v>
      </c>
      <c r="Q857" s="38">
        <f t="shared" si="343"/>
        <v>4174</v>
      </c>
      <c r="R857" s="38">
        <f t="shared" si="344"/>
        <v>10000</v>
      </c>
      <c r="T857" t="s">
        <v>2806</v>
      </c>
    </row>
    <row r="858" spans="1:20" ht="16.5" customHeight="1" thickBot="1" x14ac:dyDescent="0.35">
      <c r="A858" s="43" t="s">
        <v>1220</v>
      </c>
      <c r="B858" s="45">
        <f>SUM(B848:B857)</f>
        <v>1150</v>
      </c>
      <c r="C858" s="46">
        <f>SUM(C848:C857)</f>
        <v>1269</v>
      </c>
      <c r="D858" s="46">
        <f>SUM(D848:D857)</f>
        <v>1177</v>
      </c>
      <c r="E858" s="37">
        <f t="shared" si="340"/>
        <v>3596</v>
      </c>
      <c r="F858" s="46">
        <f>SUM(F848:F857)</f>
        <v>1713</v>
      </c>
      <c r="G858" s="46">
        <f>SUM(G848:G857)</f>
        <v>1980</v>
      </c>
      <c r="H858" s="46">
        <f>SUM(H848:H857)</f>
        <v>1740</v>
      </c>
      <c r="I858" s="37">
        <f t="shared" si="341"/>
        <v>5433</v>
      </c>
      <c r="J858" s="46">
        <f>SUM(J848:J857)</f>
        <v>1593</v>
      </c>
      <c r="K858" s="46">
        <f>SUM(K848:K857)</f>
        <v>1375</v>
      </c>
      <c r="L858" s="46">
        <f>SUM(L848:L857)</f>
        <v>1705</v>
      </c>
      <c r="M858" s="37">
        <f t="shared" si="342"/>
        <v>4673</v>
      </c>
      <c r="N858" s="46">
        <f>SUM(N848:N857)</f>
        <v>1453</v>
      </c>
      <c r="O858" s="46">
        <f>SUM(O848:O857)</f>
        <v>1373</v>
      </c>
      <c r="P858" s="46">
        <f>SUM(P848:P857)</f>
        <v>3162</v>
      </c>
      <c r="Q858" s="37">
        <f t="shared" si="343"/>
        <v>5988</v>
      </c>
      <c r="R858" s="37">
        <f t="shared" si="344"/>
        <v>19690</v>
      </c>
    </row>
    <row r="859" spans="1:20" ht="15.75" customHeight="1" x14ac:dyDescent="0.3">
      <c r="A859" s="234" t="s">
        <v>1712</v>
      </c>
      <c r="B859" s="10"/>
      <c r="C859" s="10"/>
      <c r="D859" s="10"/>
      <c r="E859" s="38" t="s">
        <v>852</v>
      </c>
      <c r="F859" s="10"/>
      <c r="G859" s="10"/>
      <c r="H859" s="10"/>
      <c r="I859" s="38" t="s">
        <v>852</v>
      </c>
      <c r="J859" s="10"/>
      <c r="K859" s="10"/>
      <c r="L859" s="10"/>
      <c r="M859" s="38" t="s">
        <v>852</v>
      </c>
      <c r="N859" s="10"/>
      <c r="O859" s="10"/>
      <c r="P859" s="10"/>
      <c r="Q859" s="38" t="s">
        <v>852</v>
      </c>
      <c r="R859" s="38" t="s">
        <v>852</v>
      </c>
    </row>
    <row r="860" spans="1:20" ht="15.75" customHeight="1" x14ac:dyDescent="0.3">
      <c r="A860" s="234" t="s">
        <v>1021</v>
      </c>
      <c r="B860" s="10"/>
      <c r="C860" s="10"/>
      <c r="D860" s="10"/>
      <c r="E860" s="38" t="s">
        <v>852</v>
      </c>
      <c r="F860" s="10"/>
      <c r="G860" s="10"/>
      <c r="H860" s="10"/>
      <c r="I860" s="38" t="s">
        <v>852</v>
      </c>
      <c r="J860" s="10"/>
      <c r="K860" s="10"/>
      <c r="L860" s="10"/>
      <c r="M860" s="38" t="s">
        <v>852</v>
      </c>
      <c r="N860" s="10"/>
      <c r="O860" s="10"/>
      <c r="P860" s="10"/>
      <c r="Q860" s="38" t="s">
        <v>852</v>
      </c>
      <c r="R860" s="38" t="s">
        <v>852</v>
      </c>
    </row>
    <row r="861" spans="1:20" ht="15.75" customHeight="1" x14ac:dyDescent="0.3">
      <c r="A861" s="539" t="s">
        <v>3267</v>
      </c>
      <c r="B861" s="10"/>
      <c r="C861" s="10"/>
      <c r="D861" s="10"/>
      <c r="E861" s="38">
        <f>SUM(B861:D861)</f>
        <v>0</v>
      </c>
      <c r="F861" s="10"/>
      <c r="G861" s="10"/>
      <c r="H861" s="10"/>
      <c r="I861" s="38">
        <f>SUM(F861:H861)</f>
        <v>0</v>
      </c>
      <c r="J861" s="10"/>
      <c r="K861" s="10"/>
      <c r="L861" s="10"/>
      <c r="M861" s="38">
        <f>SUM(J861:L861)</f>
        <v>0</v>
      </c>
      <c r="N861" s="10"/>
      <c r="O861" s="10"/>
      <c r="P861" s="10"/>
      <c r="Q861" s="38">
        <f>SUM(N861:P861)</f>
        <v>0</v>
      </c>
      <c r="R861" s="38">
        <f>+E861+I861+M861+Q861</f>
        <v>0</v>
      </c>
    </row>
    <row r="862" spans="1:20" ht="15.75" customHeight="1" x14ac:dyDescent="0.3">
      <c r="A862" s="310" t="s">
        <v>2392</v>
      </c>
      <c r="B862" s="10"/>
      <c r="C862" s="10"/>
      <c r="D862" s="10"/>
      <c r="E862" s="38">
        <f>SUM(B862:D862)</f>
        <v>0</v>
      </c>
      <c r="F862" s="10"/>
      <c r="G862" s="10"/>
      <c r="H862" s="10"/>
      <c r="I862" s="38">
        <f>SUM(F862:H862)</f>
        <v>0</v>
      </c>
      <c r="J862" s="10"/>
      <c r="K862" s="10"/>
      <c r="L862" s="10"/>
      <c r="M862" s="38">
        <f>SUM(J862:L862)</f>
        <v>0</v>
      </c>
      <c r="N862" s="10"/>
      <c r="O862" s="10"/>
      <c r="P862" s="10"/>
      <c r="Q862" s="38">
        <f>SUM(N862:P862)</f>
        <v>0</v>
      </c>
      <c r="R862" s="38">
        <f>+E862+I862+M862+Q862</f>
        <v>0</v>
      </c>
    </row>
    <row r="863" spans="1:20" ht="15.75" customHeight="1" x14ac:dyDescent="0.3">
      <c r="A863" s="234" t="s">
        <v>557</v>
      </c>
      <c r="B863" s="10"/>
      <c r="C863" s="10"/>
      <c r="D863" s="10"/>
      <c r="E863" s="38" t="s">
        <v>852</v>
      </c>
      <c r="F863" s="10"/>
      <c r="G863" s="10"/>
      <c r="H863" s="10"/>
      <c r="I863" s="38" t="s">
        <v>852</v>
      </c>
      <c r="J863" s="10"/>
      <c r="K863" s="10"/>
      <c r="L863" s="10"/>
      <c r="M863" s="38" t="s">
        <v>852</v>
      </c>
      <c r="N863" s="10"/>
      <c r="O863" s="10"/>
      <c r="P863" s="10"/>
      <c r="Q863" s="38" t="s">
        <v>852</v>
      </c>
      <c r="R863" s="38" t="s">
        <v>852</v>
      </c>
    </row>
    <row r="864" spans="1:20" ht="15.75" customHeight="1" x14ac:dyDescent="0.3">
      <c r="A864" s="539" t="s">
        <v>2589</v>
      </c>
      <c r="B864" s="10"/>
      <c r="C864" s="10"/>
      <c r="D864" s="10"/>
      <c r="E864" s="38">
        <f>SUM(B864:D864)</f>
        <v>0</v>
      </c>
      <c r="F864" s="10"/>
      <c r="G864" s="10"/>
      <c r="H864" s="10"/>
      <c r="I864" s="38">
        <f>SUM(F864:H864)</f>
        <v>0</v>
      </c>
      <c r="J864" s="10"/>
      <c r="K864" s="10"/>
      <c r="L864" s="10"/>
      <c r="M864" s="38">
        <f>SUM(J864:L864)</f>
        <v>0</v>
      </c>
      <c r="N864" s="10">
        <v>2300</v>
      </c>
      <c r="O864" s="10"/>
      <c r="P864" s="10">
        <v>2000</v>
      </c>
      <c r="Q864" s="38">
        <f>SUM(N864:P864)</f>
        <v>4300</v>
      </c>
      <c r="R864" s="38">
        <f>+E864+I864+M864+Q864</f>
        <v>4300</v>
      </c>
    </row>
    <row r="865" spans="1:18" ht="15.75" customHeight="1" x14ac:dyDescent="0.3">
      <c r="A865" s="539" t="s">
        <v>2590</v>
      </c>
      <c r="B865" s="10"/>
      <c r="C865" s="10"/>
      <c r="D865" s="10"/>
      <c r="E865" s="38">
        <f>SUM(B865:D865)</f>
        <v>0</v>
      </c>
      <c r="F865" s="10"/>
      <c r="G865" s="10"/>
      <c r="H865" s="10"/>
      <c r="I865" s="38">
        <f>SUM(F865:H865)</f>
        <v>0</v>
      </c>
      <c r="J865" s="10"/>
      <c r="K865" s="10"/>
      <c r="L865" s="10"/>
      <c r="M865" s="38">
        <f>SUM(J865:L865)</f>
        <v>0</v>
      </c>
      <c r="N865" s="10"/>
      <c r="O865" s="10"/>
      <c r="P865" s="10"/>
      <c r="Q865" s="38">
        <f>SUM(N865:P865)</f>
        <v>0</v>
      </c>
      <c r="R865" s="38">
        <f>+E865+I865+M865+Q865</f>
        <v>0</v>
      </c>
    </row>
    <row r="866" spans="1:18" ht="15.75" customHeight="1" x14ac:dyDescent="0.3">
      <c r="A866" s="234" t="s">
        <v>1022</v>
      </c>
      <c r="B866" s="10"/>
      <c r="C866" s="10"/>
      <c r="D866" s="10"/>
      <c r="E866" s="38" t="s">
        <v>852</v>
      </c>
      <c r="F866" s="10"/>
      <c r="G866" s="10"/>
      <c r="H866" s="10"/>
      <c r="I866" s="38" t="s">
        <v>852</v>
      </c>
      <c r="J866" s="10"/>
      <c r="K866" s="10"/>
      <c r="L866" s="10"/>
      <c r="M866" s="38" t="s">
        <v>852</v>
      </c>
      <c r="N866" s="10"/>
      <c r="O866" s="10"/>
      <c r="P866" s="10"/>
      <c r="Q866" s="38" t="s">
        <v>852</v>
      </c>
      <c r="R866" s="38" t="s">
        <v>852</v>
      </c>
    </row>
    <row r="867" spans="1:18" ht="15.75" customHeight="1" thickBot="1" x14ac:dyDescent="0.35">
      <c r="A867" s="234" t="s">
        <v>559</v>
      </c>
      <c r="B867" s="10"/>
      <c r="C867" s="10"/>
      <c r="D867" s="10"/>
      <c r="E867" s="38" t="s">
        <v>852</v>
      </c>
      <c r="F867" s="10"/>
      <c r="G867" s="10"/>
      <c r="H867" s="10"/>
      <c r="I867" s="38" t="s">
        <v>852</v>
      </c>
      <c r="J867" s="10"/>
      <c r="K867" s="10"/>
      <c r="L867" s="10"/>
      <c r="M867" s="38" t="s">
        <v>852</v>
      </c>
      <c r="N867" s="10"/>
      <c r="O867" s="10"/>
      <c r="P867" s="10"/>
      <c r="Q867" s="38" t="s">
        <v>852</v>
      </c>
      <c r="R867" s="38" t="s">
        <v>852</v>
      </c>
    </row>
    <row r="868" spans="1:18" ht="16.5" customHeight="1" thickBot="1" x14ac:dyDescent="0.35">
      <c r="A868" s="43" t="s">
        <v>1019</v>
      </c>
      <c r="B868" s="42">
        <f>SUM(B866:B867)</f>
        <v>0</v>
      </c>
      <c r="C868" s="42">
        <f>SUM(C866:C867)</f>
        <v>0</v>
      </c>
      <c r="D868" s="42">
        <f>SUM(D866:D867)</f>
        <v>0</v>
      </c>
      <c r="E868" s="39">
        <f>SUM(B868:D868)</f>
        <v>0</v>
      </c>
      <c r="F868" s="42">
        <f>SUM(F866:F867)</f>
        <v>0</v>
      </c>
      <c r="G868" s="42">
        <f>SUM(G866:G867)</f>
        <v>0</v>
      </c>
      <c r="H868" s="42">
        <f>SUM(H866:H867)</f>
        <v>0</v>
      </c>
      <c r="I868" s="39">
        <f>SUM(F868:H868)</f>
        <v>0</v>
      </c>
      <c r="J868" s="42">
        <f>SUM(J866:J867)</f>
        <v>0</v>
      </c>
      <c r="K868" s="42">
        <f>SUM(K866:K867)</f>
        <v>0</v>
      </c>
      <c r="L868" s="42">
        <f>SUM(L866:L867)</f>
        <v>0</v>
      </c>
      <c r="M868" s="39">
        <f>SUM(J868:L868)</f>
        <v>0</v>
      </c>
      <c r="N868" s="42">
        <f>SUM(N866:N867)</f>
        <v>0</v>
      </c>
      <c r="O868" s="42">
        <f>SUM(O866:O867)</f>
        <v>0</v>
      </c>
      <c r="P868" s="42">
        <f>SUM(P866:P867)</f>
        <v>0</v>
      </c>
      <c r="Q868" s="39">
        <f>SUM(N868:P868)</f>
        <v>0</v>
      </c>
      <c r="R868" s="37">
        <f>+E868+I868+M868+Q868</f>
        <v>0</v>
      </c>
    </row>
    <row r="869" spans="1:18" ht="16.5" customHeight="1" thickBot="1" x14ac:dyDescent="0.35">
      <c r="A869" s="43" t="s">
        <v>1221</v>
      </c>
      <c r="B869" s="45">
        <f>SUM(B859:B867)</f>
        <v>0</v>
      </c>
      <c r="C869" s="46">
        <f>SUM(C859:C867)</f>
        <v>0</v>
      </c>
      <c r="D869" s="58">
        <f>SUM(D859:D867)</f>
        <v>0</v>
      </c>
      <c r="E869" s="39">
        <f>SUM(B869:D869)</f>
        <v>0</v>
      </c>
      <c r="F869" s="46">
        <f>SUM(F859:F867)</f>
        <v>0</v>
      </c>
      <c r="G869" s="46">
        <f>SUM(G859:G867)</f>
        <v>0</v>
      </c>
      <c r="H869" s="46">
        <f>SUM(H859:H867)</f>
        <v>0</v>
      </c>
      <c r="I869" s="39">
        <f>SUM(F869:H869)</f>
        <v>0</v>
      </c>
      <c r="J869" s="46">
        <f>SUM(J859:J867)</f>
        <v>0</v>
      </c>
      <c r="K869" s="46">
        <f>SUM(K859:K867)</f>
        <v>0</v>
      </c>
      <c r="L869" s="46">
        <f>SUM(L859:L867)</f>
        <v>0</v>
      </c>
      <c r="M869" s="39">
        <f>SUM(J869:L869)</f>
        <v>0</v>
      </c>
      <c r="N869" s="46">
        <f>SUM(N859:N867)</f>
        <v>2300</v>
      </c>
      <c r="O869" s="46">
        <f>SUM(O859:O867)</f>
        <v>0</v>
      </c>
      <c r="P869" s="46">
        <f>SUM(P859:P867)</f>
        <v>2000</v>
      </c>
      <c r="Q869" s="39">
        <f>SUM(N869:P869)</f>
        <v>4300</v>
      </c>
      <c r="R869" s="37">
        <f>+E869+I869+M869+Q869</f>
        <v>4300</v>
      </c>
    </row>
    <row r="870" spans="1:18" ht="16.5" customHeight="1" thickBot="1" x14ac:dyDescent="0.35">
      <c r="A870" s="43" t="s">
        <v>1222</v>
      </c>
      <c r="B870" s="47">
        <f>+B842+B847+B858+B869</f>
        <v>3543</v>
      </c>
      <c r="C870" s="42">
        <f>+C842+C847+C858+C869</f>
        <v>3818</v>
      </c>
      <c r="D870" s="42">
        <f>+D842+D847+D858+D869</f>
        <v>3890</v>
      </c>
      <c r="E870" s="37">
        <f>SUM(B870:D870)</f>
        <v>11251</v>
      </c>
      <c r="F870" s="42">
        <f>+F842+F847+F858+F869</f>
        <v>4249</v>
      </c>
      <c r="G870" s="42">
        <f>+G842+G847+G858+G869</f>
        <v>3927</v>
      </c>
      <c r="H870" s="42">
        <f>+H842+H847+H858+H869</f>
        <v>4249</v>
      </c>
      <c r="I870" s="37">
        <f>SUM(F870:H870)</f>
        <v>12425</v>
      </c>
      <c r="J870" s="42">
        <f>+J842+J847+J858+J869</f>
        <v>4066</v>
      </c>
      <c r="K870" s="42">
        <f>+K842+K847+K858+K869</f>
        <v>3893</v>
      </c>
      <c r="L870" s="42">
        <f>+L842+L847+L858+L869</f>
        <v>4076</v>
      </c>
      <c r="M870" s="37">
        <f>SUM(J870:L870)</f>
        <v>12035</v>
      </c>
      <c r="N870" s="42">
        <f>+N842+N847+N858+N869</f>
        <v>3994</v>
      </c>
      <c r="O870" s="42">
        <f>+O842+O847+O858+O869</f>
        <v>1373</v>
      </c>
      <c r="P870" s="42">
        <f>+P842+P847+P858+P869</f>
        <v>5162</v>
      </c>
      <c r="Q870" s="37">
        <f>SUM(N870:P870)</f>
        <v>10529</v>
      </c>
      <c r="R870" s="40">
        <f>+E870+I870+M870+Q870</f>
        <v>46240</v>
      </c>
    </row>
    <row r="871" spans="1:18" ht="16.5" customHeight="1" thickBot="1" x14ac:dyDescent="0.35">
      <c r="A871" s="299" t="s">
        <v>853</v>
      </c>
      <c r="B871" s="294">
        <v>11</v>
      </c>
      <c r="C871" s="294">
        <v>13</v>
      </c>
      <c r="D871" s="294">
        <v>17</v>
      </c>
      <c r="E871" s="38">
        <f>SUM(B871:D871)</f>
        <v>41</v>
      </c>
      <c r="F871" s="294">
        <v>21</v>
      </c>
      <c r="G871" s="294">
        <v>23</v>
      </c>
      <c r="H871" s="294">
        <v>25</v>
      </c>
      <c r="I871" s="38">
        <f>SUM(F871:H871)</f>
        <v>69</v>
      </c>
      <c r="J871" s="294">
        <v>25</v>
      </c>
      <c r="K871" s="294">
        <v>21</v>
      </c>
      <c r="L871" s="294">
        <v>19</v>
      </c>
      <c r="M871" s="38">
        <f>SUM(J871:L871)</f>
        <v>65</v>
      </c>
      <c r="N871" s="294">
        <v>17</v>
      </c>
      <c r="O871" s="294">
        <v>13</v>
      </c>
      <c r="P871" s="294">
        <v>11</v>
      </c>
      <c r="Q871" s="38">
        <f>SUM(N871:P871)</f>
        <v>41</v>
      </c>
      <c r="R871" s="38">
        <f>+E871+I871+M871+Q871</f>
        <v>216</v>
      </c>
    </row>
    <row r="872" spans="1:18" ht="16.5" customHeight="1" thickBot="1" x14ac:dyDescent="0.35">
      <c r="A872" s="22"/>
      <c r="B872" s="297"/>
      <c r="C872" s="297"/>
      <c r="D872" s="297"/>
      <c r="E872" s="37" t="s">
        <v>852</v>
      </c>
      <c r="F872" s="297"/>
      <c r="G872" s="297"/>
      <c r="H872" s="297"/>
      <c r="I872" s="37" t="s">
        <v>852</v>
      </c>
      <c r="J872" s="297"/>
      <c r="K872" s="297"/>
      <c r="L872" s="297"/>
      <c r="M872" s="37" t="s">
        <v>852</v>
      </c>
      <c r="N872" s="297"/>
      <c r="O872" s="297"/>
      <c r="P872" s="297"/>
      <c r="Q872" s="37" t="s">
        <v>852</v>
      </c>
      <c r="R872" s="37" t="s">
        <v>852</v>
      </c>
    </row>
    <row r="873" spans="1:18" ht="15.75" customHeight="1" x14ac:dyDescent="0.3">
      <c r="A873" s="234" t="s">
        <v>2011</v>
      </c>
      <c r="B873" s="10">
        <f>SUM(B870:B871)</f>
        <v>3554</v>
      </c>
      <c r="C873" s="10">
        <f>SUM(C870:C871)</f>
        <v>3831</v>
      </c>
      <c r="D873" s="10">
        <f>SUM(D870:D871)</f>
        <v>3907</v>
      </c>
      <c r="E873" s="39">
        <f>SUM(B873:D873)</f>
        <v>11292</v>
      </c>
      <c r="F873" s="10">
        <f>SUM(F870:F871)</f>
        <v>4270</v>
      </c>
      <c r="G873" s="10">
        <f>SUM(G870:G871)</f>
        <v>3950</v>
      </c>
      <c r="H873" s="10">
        <f>SUM(H870:H871)</f>
        <v>4274</v>
      </c>
      <c r="I873" s="39">
        <f>SUM(F873:H873)</f>
        <v>12494</v>
      </c>
      <c r="J873" s="10">
        <f>SUM(J870:J871)</f>
        <v>4091</v>
      </c>
      <c r="K873" s="10">
        <f>SUM(K870:K871)</f>
        <v>3914</v>
      </c>
      <c r="L873" s="10">
        <f>SUM(L870:L871)</f>
        <v>4095</v>
      </c>
      <c r="M873" s="39">
        <f>SUM(J873:L873)</f>
        <v>12100</v>
      </c>
      <c r="N873" s="10">
        <f>SUM(N870:N871)</f>
        <v>4011</v>
      </c>
      <c r="O873" s="10">
        <f>SUM(O870:O871)</f>
        <v>1386</v>
      </c>
      <c r="P873" s="10">
        <f>SUM(P870:P871)</f>
        <v>5173</v>
      </c>
      <c r="Q873" s="39">
        <f>SUM(N873:P873)</f>
        <v>10570</v>
      </c>
      <c r="R873" s="39">
        <f>+E873+I873+M873+Q873</f>
        <v>46456</v>
      </c>
    </row>
    <row r="874" spans="1:18" ht="15.75" customHeight="1" x14ac:dyDescent="0.3">
      <c r="A874" s="234" t="s">
        <v>1897</v>
      </c>
      <c r="B874" s="10">
        <f>(B873/B10)/1.983</f>
        <v>57.813999642119299</v>
      </c>
      <c r="C874" s="10">
        <f>(C873/C10)/1.983</f>
        <v>66.617976941937499</v>
      </c>
      <c r="D874" s="10">
        <f>(D873/D10)/1.983</f>
        <v>63.55635807590324</v>
      </c>
      <c r="E874" s="38" t="s">
        <v>852</v>
      </c>
      <c r="F874" s="10">
        <f>(F873/F10)/1.983</f>
        <v>71.776769204908391</v>
      </c>
      <c r="G874" s="10">
        <f>(G873/G10)/1.983</f>
        <v>64.255852162738108</v>
      </c>
      <c r="H874" s="10">
        <f>(H873/H10)/1.983</f>
        <v>71.844007396201036</v>
      </c>
      <c r="I874" s="38" t="s">
        <v>852</v>
      </c>
      <c r="J874" s="10">
        <f>(J873/J10)/1.983</f>
        <v>66.549542075382689</v>
      </c>
      <c r="K874" s="10">
        <f>(K873/K10)/1.983</f>
        <v>63.670229206318218</v>
      </c>
      <c r="L874" s="10">
        <f>(L873/L10)/1.983</f>
        <v>68.835098335854767</v>
      </c>
      <c r="M874" s="38" t="s">
        <v>852</v>
      </c>
      <c r="N874" s="10">
        <f>(N873/N10)/1.983</f>
        <v>65.248157727782925</v>
      </c>
      <c r="O874" s="10">
        <f>(O873/O10)/1.983</f>
        <v>23.29803328290469</v>
      </c>
      <c r="P874" s="10">
        <f>(P873/P10)/1.983</f>
        <v>84.150765376669426</v>
      </c>
      <c r="Q874" s="38" t="s">
        <v>852</v>
      </c>
      <c r="R874" s="38" t="s">
        <v>852</v>
      </c>
    </row>
    <row r="875" spans="1:18" ht="15.75" customHeight="1" x14ac:dyDescent="0.3">
      <c r="A875" s="234" t="s">
        <v>2050</v>
      </c>
      <c r="B875" s="10">
        <f>B873</f>
        <v>3554</v>
      </c>
      <c r="C875" s="10">
        <f>C873</f>
        <v>3831</v>
      </c>
      <c r="D875" s="10">
        <f>D873</f>
        <v>3907</v>
      </c>
      <c r="E875" s="38">
        <f>SUM(B875:D875)</f>
        <v>11292</v>
      </c>
      <c r="F875" s="10">
        <f>F873</f>
        <v>4270</v>
      </c>
      <c r="G875" s="10">
        <f>G873</f>
        <v>3950</v>
      </c>
      <c r="H875" s="10">
        <f>H873</f>
        <v>4274</v>
      </c>
      <c r="I875" s="38">
        <f>SUM(F875:H875)</f>
        <v>12494</v>
      </c>
      <c r="J875" s="10">
        <f>J873</f>
        <v>4091</v>
      </c>
      <c r="K875" s="10">
        <f>K873</f>
        <v>3914</v>
      </c>
      <c r="L875" s="10">
        <f>L873</f>
        <v>4095</v>
      </c>
      <c r="M875" s="38">
        <f>SUM(J875:L875)</f>
        <v>12100</v>
      </c>
      <c r="N875" s="10">
        <f>N873</f>
        <v>4011</v>
      </c>
      <c r="O875" s="10">
        <f>O873</f>
        <v>1386</v>
      </c>
      <c r="P875" s="10">
        <f>P873</f>
        <v>5173</v>
      </c>
      <c r="Q875" s="38">
        <f>SUM(N875:P875)</f>
        <v>10570</v>
      </c>
      <c r="R875" s="38">
        <f>+E875+I875+M875+Q875</f>
        <v>46456</v>
      </c>
    </row>
    <row r="876" spans="1:18" ht="16.5" customHeight="1" thickBot="1" x14ac:dyDescent="0.35">
      <c r="A876" s="237" t="s">
        <v>2051</v>
      </c>
      <c r="B876" s="294">
        <f>(B875/B10)/1.983</f>
        <v>57.813999642119299</v>
      </c>
      <c r="C876" s="294">
        <f>(C875/C10)/1.983</f>
        <v>66.617976941937499</v>
      </c>
      <c r="D876" s="294">
        <f>(D875/D10)/1.983</f>
        <v>63.55635807590324</v>
      </c>
      <c r="E876" s="40" t="s">
        <v>852</v>
      </c>
      <c r="F876" s="294">
        <f>(F875/F10)/1.983</f>
        <v>71.776769204908391</v>
      </c>
      <c r="G876" s="294">
        <f>(G875/G10)/1.983</f>
        <v>64.255852162738108</v>
      </c>
      <c r="H876" s="294">
        <f>(H875/H10)/1.983</f>
        <v>71.844007396201036</v>
      </c>
      <c r="I876" s="40" t="s">
        <v>852</v>
      </c>
      <c r="J876" s="294">
        <f>(J875/J10)/1.983</f>
        <v>66.549542075382689</v>
      </c>
      <c r="K876" s="294">
        <f>(K875/K10)/1.983</f>
        <v>63.670229206318218</v>
      </c>
      <c r="L876" s="294">
        <f>(L875/L10)/1.983</f>
        <v>68.835098335854767</v>
      </c>
      <c r="M876" s="40" t="s">
        <v>852</v>
      </c>
      <c r="N876" s="294">
        <f>(N875/N10)/1.983</f>
        <v>65.248157727782925</v>
      </c>
      <c r="O876" s="294">
        <f>(O875/O10)/1.983</f>
        <v>23.29803328290469</v>
      </c>
      <c r="P876" s="294">
        <f>(P875/P10)/1.983</f>
        <v>84.150765376669426</v>
      </c>
      <c r="Q876" s="40" t="s">
        <v>852</v>
      </c>
      <c r="R876" s="40" t="s">
        <v>852</v>
      </c>
    </row>
    <row r="877" spans="1:18" ht="15.75" customHeight="1" x14ac:dyDescent="0.3">
      <c r="A877" s="18"/>
      <c r="B877" s="10"/>
      <c r="C877" s="10"/>
      <c r="D877" s="10"/>
      <c r="E877" s="17"/>
      <c r="F877" s="10"/>
      <c r="G877" s="10"/>
      <c r="H877" s="10"/>
      <c r="I877" s="17"/>
      <c r="J877" s="10"/>
      <c r="K877" s="10"/>
      <c r="L877" s="10"/>
      <c r="M877" s="17"/>
      <c r="N877" s="10"/>
      <c r="O877" s="10"/>
      <c r="P877" s="10"/>
      <c r="Q877" s="17"/>
      <c r="R877" s="17"/>
    </row>
    <row r="878" spans="1:18" ht="15.75" customHeight="1" x14ac:dyDescent="0.3">
      <c r="A878" s="18"/>
      <c r="B878" s="10"/>
      <c r="C878" s="10"/>
      <c r="D878" s="10"/>
      <c r="E878" s="10"/>
      <c r="F878" s="10"/>
      <c r="G878" s="10"/>
      <c r="H878" s="10"/>
      <c r="I878" s="10"/>
      <c r="J878" s="10"/>
      <c r="K878" s="10"/>
      <c r="L878" s="10"/>
      <c r="M878" s="10"/>
      <c r="N878" s="10"/>
      <c r="O878" s="10"/>
      <c r="P878" s="10"/>
      <c r="Q878" s="680" t="str">
        <f>+Q1</f>
        <v xml:space="preserve">PRINTED:  </v>
      </c>
      <c r="R878" s="681">
        <f ca="1">+R1</f>
        <v>44881.729633912037</v>
      </c>
    </row>
    <row r="879" spans="1:18" ht="15.75" customHeight="1" x14ac:dyDescent="0.3">
      <c r="A879" s="778" t="s">
        <v>43</v>
      </c>
      <c r="B879" s="778"/>
      <c r="C879" s="778"/>
      <c r="D879" s="778"/>
      <c r="E879" s="778"/>
      <c r="F879" s="778"/>
      <c r="G879" s="778"/>
      <c r="H879" s="778"/>
      <c r="I879" s="778"/>
      <c r="J879" s="778"/>
      <c r="K879" s="778"/>
      <c r="L879" s="778"/>
      <c r="M879" s="778"/>
      <c r="N879" s="778"/>
      <c r="O879" s="778"/>
      <c r="P879" s="778"/>
      <c r="Q879" s="778"/>
      <c r="R879" s="778"/>
    </row>
    <row r="880" spans="1:18" ht="15.75" customHeight="1" x14ac:dyDescent="0.3">
      <c r="A880" s="778" t="s">
        <v>1988</v>
      </c>
      <c r="B880" s="778"/>
      <c r="C880" s="778"/>
      <c r="D880" s="778"/>
      <c r="E880" s="778"/>
      <c r="F880" s="778"/>
      <c r="G880" s="778"/>
      <c r="H880" s="778"/>
      <c r="I880" s="778"/>
      <c r="J880" s="778"/>
      <c r="K880" s="778"/>
      <c r="L880" s="778"/>
      <c r="M880" s="778"/>
      <c r="N880" s="778"/>
      <c r="O880" s="778"/>
      <c r="P880" s="778"/>
      <c r="Q880" s="778"/>
      <c r="R880" s="778"/>
    </row>
    <row r="881" spans="1:18" ht="15.75" customHeight="1" x14ac:dyDescent="0.3">
      <c r="A881" s="778" t="s">
        <v>544</v>
      </c>
      <c r="B881" s="778"/>
      <c r="C881" s="778"/>
      <c r="D881" s="778"/>
      <c r="E881" s="778"/>
      <c r="F881" s="778"/>
      <c r="G881" s="778"/>
      <c r="H881" s="778"/>
      <c r="I881" s="778"/>
      <c r="J881" s="778"/>
      <c r="K881" s="778"/>
      <c r="L881" s="778"/>
      <c r="M881" s="778"/>
      <c r="N881" s="778"/>
      <c r="O881" s="778"/>
      <c r="P881" s="778"/>
      <c r="Q881" s="778"/>
      <c r="R881" s="778"/>
    </row>
    <row r="882" spans="1:18" ht="15.75" customHeight="1" x14ac:dyDescent="0.3">
      <c r="A882" s="783">
        <f>+A5</f>
        <v>2020</v>
      </c>
      <c r="B882" s="783"/>
      <c r="C882" s="783"/>
      <c r="D882" s="783"/>
      <c r="E882" s="783"/>
      <c r="F882" s="783"/>
      <c r="G882" s="783"/>
      <c r="H882" s="783"/>
      <c r="I882" s="783"/>
      <c r="J882" s="783"/>
      <c r="K882" s="783"/>
      <c r="L882" s="783"/>
      <c r="M882" s="783"/>
      <c r="N882" s="783"/>
      <c r="O882" s="783"/>
      <c r="P882" s="783"/>
      <c r="Q882" s="783"/>
      <c r="R882" s="783"/>
    </row>
    <row r="883" spans="1:18" ht="15.75" customHeight="1" x14ac:dyDescent="0.3">
      <c r="A883" s="10"/>
      <c r="B883" s="10"/>
      <c r="C883" s="10"/>
      <c r="D883" s="1"/>
      <c r="E883" s="1"/>
      <c r="F883" s="1"/>
      <c r="G883" s="220"/>
      <c r="H883" s="1"/>
      <c r="I883" s="1"/>
      <c r="J883" s="220"/>
      <c r="K883" s="220"/>
      <c r="L883" s="220"/>
      <c r="M883" s="220"/>
      <c r="N883" s="10"/>
      <c r="O883" s="220"/>
      <c r="P883" s="220"/>
      <c r="Q883" s="220"/>
      <c r="R883" s="220"/>
    </row>
    <row r="884" spans="1:18" ht="15.75" customHeight="1" x14ac:dyDescent="0.3">
      <c r="A884" s="778" t="str">
        <f>+A8</f>
        <v>Revised:  10/5/2020</v>
      </c>
      <c r="B884" s="778"/>
      <c r="C884" s="778"/>
      <c r="D884" s="778"/>
      <c r="E884" s="778"/>
      <c r="F884" s="778"/>
      <c r="G884" s="778"/>
      <c r="H884" s="778"/>
      <c r="I884" s="778"/>
      <c r="J884" s="778"/>
      <c r="K884" s="778"/>
      <c r="L884" s="778"/>
      <c r="M884" s="778"/>
      <c r="N884" s="778"/>
      <c r="O884" s="778"/>
      <c r="P884" s="778"/>
      <c r="Q884" s="778"/>
      <c r="R884" s="778"/>
    </row>
    <row r="885" spans="1:18" ht="15.75" customHeight="1" x14ac:dyDescent="0.3">
      <c r="A885" s="448"/>
      <c r="B885" s="448"/>
      <c r="C885" s="448"/>
      <c r="D885" s="448"/>
      <c r="E885" s="448"/>
      <c r="F885" s="448"/>
      <c r="G885" s="448"/>
      <c r="H885" s="448"/>
      <c r="I885" s="448"/>
      <c r="J885" s="448"/>
      <c r="K885" s="448"/>
      <c r="L885" s="448"/>
      <c r="M885" s="448"/>
      <c r="N885" s="448"/>
      <c r="O885" s="448"/>
      <c r="P885" s="448"/>
      <c r="Q885" s="448"/>
      <c r="R885" s="448"/>
    </row>
    <row r="886" spans="1:18" ht="15.75" customHeight="1" x14ac:dyDescent="0.3">
      <c r="A886" s="448"/>
      <c r="B886" s="448"/>
      <c r="C886" s="448"/>
      <c r="D886" s="448"/>
      <c r="E886" s="448"/>
      <c r="F886" s="448"/>
      <c r="G886" s="448"/>
      <c r="H886" s="448"/>
      <c r="I886" s="448"/>
      <c r="J886" s="448"/>
      <c r="K886" s="448"/>
      <c r="L886" s="448"/>
      <c r="M886" s="448"/>
      <c r="N886" s="448"/>
      <c r="O886" s="448"/>
      <c r="P886" s="448"/>
      <c r="Q886" s="448"/>
      <c r="R886" s="448"/>
    </row>
    <row r="887" spans="1:18" ht="15.75" customHeight="1" thickBot="1" x14ac:dyDescent="0.35">
      <c r="A887" s="18"/>
      <c r="B887" s="10"/>
      <c r="C887" s="10"/>
      <c r="D887" s="10"/>
      <c r="E887" s="10"/>
      <c r="F887" s="10"/>
      <c r="G887" s="10"/>
      <c r="H887" s="10"/>
      <c r="I887" s="10"/>
      <c r="J887" s="10"/>
      <c r="K887" s="10"/>
      <c r="L887" s="10"/>
      <c r="M887" s="10"/>
      <c r="N887" s="10"/>
      <c r="O887" s="10"/>
      <c r="P887" s="10"/>
      <c r="Q887" s="10"/>
      <c r="R887" s="17"/>
    </row>
    <row r="888" spans="1:18" ht="16.5" customHeight="1" thickBot="1" x14ac:dyDescent="0.35">
      <c r="A888" s="278" t="s">
        <v>1661</v>
      </c>
      <c r="B888" s="4" t="s">
        <v>2090</v>
      </c>
      <c r="C888" s="5" t="s">
        <v>2091</v>
      </c>
      <c r="D888" s="5" t="s">
        <v>2234</v>
      </c>
      <c r="E888" s="33" t="s">
        <v>1594</v>
      </c>
      <c r="F888" s="5" t="s">
        <v>2235</v>
      </c>
      <c r="G888" s="5" t="s">
        <v>2236</v>
      </c>
      <c r="H888" s="5" t="s">
        <v>2237</v>
      </c>
      <c r="I888" s="35" t="s">
        <v>1595</v>
      </c>
      <c r="J888" s="5" t="s">
        <v>1504</v>
      </c>
      <c r="K888" s="5" t="s">
        <v>1505</v>
      </c>
      <c r="L888" s="5" t="s">
        <v>1506</v>
      </c>
      <c r="M888" s="35" t="s">
        <v>1596</v>
      </c>
      <c r="N888" s="5" t="s">
        <v>1507</v>
      </c>
      <c r="O888" s="5" t="s">
        <v>1508</v>
      </c>
      <c r="P888" s="5" t="s">
        <v>1509</v>
      </c>
      <c r="Q888" s="35" t="s">
        <v>1597</v>
      </c>
      <c r="R888" s="60" t="s">
        <v>1510</v>
      </c>
    </row>
    <row r="889" spans="1:18" ht="16.5" customHeight="1" thickBot="1" x14ac:dyDescent="0.35">
      <c r="A889" s="22"/>
      <c r="B889" s="297"/>
      <c r="C889" s="297"/>
      <c r="D889" s="297"/>
      <c r="E889" s="302"/>
      <c r="F889" s="297"/>
      <c r="G889" s="297"/>
      <c r="H889" s="297"/>
      <c r="I889" s="325"/>
      <c r="J889" s="297"/>
      <c r="K889" s="297"/>
      <c r="L889" s="297"/>
      <c r="M889" s="325"/>
      <c r="N889" s="297"/>
      <c r="O889" s="297"/>
      <c r="P889" s="297"/>
      <c r="Q889" s="326"/>
      <c r="R889" s="61"/>
    </row>
    <row r="890" spans="1:18" ht="15.75" customHeight="1" x14ac:dyDescent="0.3">
      <c r="A890" s="234" t="s">
        <v>2417</v>
      </c>
      <c r="B890" s="10" t="s">
        <v>852</v>
      </c>
      <c r="C890" s="10" t="s">
        <v>852</v>
      </c>
      <c r="D890" s="10" t="s">
        <v>852</v>
      </c>
      <c r="E890" s="327"/>
      <c r="F890" s="10" t="s">
        <v>852</v>
      </c>
      <c r="G890" s="10" t="s">
        <v>852</v>
      </c>
      <c r="H890" s="10" t="s">
        <v>852</v>
      </c>
      <c r="I890" s="327"/>
      <c r="J890" s="10" t="s">
        <v>852</v>
      </c>
      <c r="K890" s="10" t="s">
        <v>852</v>
      </c>
      <c r="L890" s="10" t="s">
        <v>852</v>
      </c>
      <c r="M890" s="327"/>
      <c r="N890" s="10" t="s">
        <v>852</v>
      </c>
      <c r="O890" s="10" t="s">
        <v>852</v>
      </c>
      <c r="P890" s="10" t="s">
        <v>852</v>
      </c>
      <c r="Q890" s="328"/>
      <c r="R890" s="62" t="s">
        <v>852</v>
      </c>
    </row>
    <row r="891" spans="1:18" ht="15.75" customHeight="1" x14ac:dyDescent="0.3">
      <c r="A891" s="545" t="s">
        <v>2160</v>
      </c>
      <c r="B891" s="10">
        <f>+SUM(B71:B84)+SUM(B146:B202)+SUM(B345:B379)+SUM(B533:B538)+SUM(B578:B583)+SUM(B623:B636)+SUM(B699:B702)+SUM(B735:B741)+SUM(B797:B798)+SUM(B831:B837)</f>
        <v>32475</v>
      </c>
      <c r="C891" s="10">
        <f>+SUM(C71:C84)+SUM(C146:C202)+SUM(C345:C379)+SUM(C533:C538)+SUM(C578:C583)+SUM(C623:C636)+SUM(C699:C702)+SUM(C735:C741)+SUM(C797:C798)+SUM(C831:C837)</f>
        <v>38924</v>
      </c>
      <c r="D891" s="10">
        <f>+SUM(D71:D84)+SUM(D146:D202)+SUM(D345:D379)+SUM(D533:D538)+SUM(D578:D583)+SUM(D623:D636)+SUM(D699:D702)+SUM(D735:D741)+SUM(D797:D798)+SUM(D831:D837)</f>
        <v>42894</v>
      </c>
      <c r="E891" s="38">
        <f t="shared" ref="E891:E897" si="345">SUM(B891:D891)</f>
        <v>114293</v>
      </c>
      <c r="F891" s="10">
        <f>+SUM(F71:F84)+SUM(F146:F202)+SUM(F345:F379)+SUM(F533:F538)+SUM(F578:F583)+SUM(F623:F636)+SUM(F699:F702)+SUM(F735:F741)+SUM(F797:F798)+SUM(F831:F837)</f>
        <v>56405</v>
      </c>
      <c r="G891" s="10">
        <f>+SUM(G71:G84)+SUM(G146:G202)+SUM(G345:G379)+SUM(G533:G538)+SUM(G578:G583)+SUM(G623:G636)+SUM(G699:G702)+SUM(G735:G741)+SUM(G797:G798)+SUM(G831:G837)</f>
        <v>63283</v>
      </c>
      <c r="H891" s="10">
        <f>+SUM(H71:H84)+SUM(H146:H202)+SUM(H345:H379)+SUM(H533:H538)+SUM(H578:H583)+SUM(H623:H636)+SUM(H699:H702)+SUM(H735:H741)+SUM(H797:H798)+SUM(H831:H837)</f>
        <v>72042</v>
      </c>
      <c r="I891" s="38">
        <f t="shared" ref="I891:I897" si="346">SUM(F891:H891)</f>
        <v>191730</v>
      </c>
      <c r="J891" s="10">
        <f>+SUM(J71:J84)+SUM(J146:J202)+SUM(J345:J379)+SUM(J533:J538)+SUM(J578:J583)+SUM(J623:J636)+SUM(J699:J702)+SUM(J735:J741)+SUM(J797:J798)+SUM(J831:J837)</f>
        <v>80574</v>
      </c>
      <c r="K891" s="10">
        <f>+SUM(K71:K84)+SUM(K146:K202)+SUM(K345:K379)+SUM(K533:K538)+SUM(K578:K583)+SUM(K623:K636)+SUM(K699:K702)+SUM(K735:K741)+SUM(K797:K798)+SUM(K831:K837)</f>
        <v>73383</v>
      </c>
      <c r="L891" s="10">
        <f>+SUM(L71:L84)+SUM(L146:L202)+SUM(L345:L379)+SUM(L533:L538)+SUM(L578:L583)+SUM(L623:L636)+SUM(L699:L702)+SUM(L735:L741)+SUM(L797:L798)+SUM(L831:L837)</f>
        <v>51997</v>
      </c>
      <c r="M891" s="38">
        <f t="shared" ref="M891:M897" si="347">SUM(J891:L891)</f>
        <v>205954</v>
      </c>
      <c r="N891" s="10">
        <f>+SUM(N71:N84)+SUM(N146:N202)+SUM(N345:N379)+SUM(N533:N538)+SUM(N578:N583)+SUM(N623:N636)+SUM(N699:N702)+SUM(N735:N741)+SUM(N797:N798)+SUM(N831:N837)</f>
        <v>38735</v>
      </c>
      <c r="O891" s="10">
        <f>+SUM(O71:O84)+SUM(O146:O202)+SUM(O345:O379)+SUM(O533:O538)+SUM(O578:O583)+SUM(O623:O636)+SUM(O699:O702)+SUM(O735:O741)+SUM(O797:O798)+SUM(O831:O837)</f>
        <v>30943</v>
      </c>
      <c r="P891" s="10">
        <f>+SUM(P71:P84)+SUM(P146:P202)+SUM(P345:P379)+SUM(P533:P538)+SUM(P578:P583)+SUM(P623:P636)+SUM(P699:P702)+SUM(P735:P741)+SUM(P797:P798)+SUM(P831:P837)</f>
        <v>29302</v>
      </c>
      <c r="Q891" s="38">
        <f t="shared" ref="Q891:Q897" si="348">SUM(N891:P891)</f>
        <v>98980</v>
      </c>
      <c r="R891" s="38">
        <f t="shared" ref="R891:R897" si="349">+E891+I891+M891+Q891</f>
        <v>610957</v>
      </c>
    </row>
    <row r="892" spans="1:18" ht="15.75" customHeight="1" x14ac:dyDescent="0.3">
      <c r="A892" s="234" t="s">
        <v>2642</v>
      </c>
      <c r="B892" s="10">
        <f>+B38+SUM(B85:B86)+SUM(B204:B213)+SUM(B381:B391)+SUM(B540:B541)+B584+SUM(B637:B638)+B703+B742+B799+SUM(B838:B838)</f>
        <v>0</v>
      </c>
      <c r="C892" s="10">
        <f>+C38+SUM(C85:C86)+SUM(C204:C213)+SUM(C381:C391)+SUM(C540:C541)+C584+SUM(C637:C638)+C703+C742+C799+SUM(C838:C838)</f>
        <v>0</v>
      </c>
      <c r="D892" s="10">
        <f>+D38+SUM(D85:D86)+SUM(D204:D213)+SUM(D381:D391)+SUM(D540:D541)+D584+SUM(D637:D638)+D703+D742+D799+SUM(D838:D838)</f>
        <v>0</v>
      </c>
      <c r="E892" s="38">
        <f t="shared" si="345"/>
        <v>0</v>
      </c>
      <c r="F892" s="10">
        <f>+F38+SUM(F85:F86)+SUM(F204:F213)+SUM(F381:F391)+SUM(F540:F541)+F584+SUM(F637:F638)+F703+F742+F799+SUM(F838:F838)</f>
        <v>0</v>
      </c>
      <c r="G892" s="10">
        <f>+G38+SUM(G85:G86)+SUM(G204:G213)+SUM(G381:G391)+SUM(G540:G541)+G584+SUM(G637:G638)+G703+G742+G799+SUM(G838:G838)</f>
        <v>0</v>
      </c>
      <c r="H892" s="10">
        <f>+H38+SUM(H85:H86)+SUM(H204:H213)+SUM(H381:H391)+SUM(H540:H541)+H584+SUM(H637:H638)+H703+H742+H799+SUM(H838:H838)</f>
        <v>0</v>
      </c>
      <c r="I892" s="38">
        <f t="shared" si="346"/>
        <v>0</v>
      </c>
      <c r="J892" s="10">
        <f>+J38+SUM(J85:J86)+SUM(J204:J213)+SUM(J381:J391)+SUM(J540:J541)+J584+SUM(J637:J638)+J703+J742+J799+SUM(J838:J838)</f>
        <v>0</v>
      </c>
      <c r="K892" s="10">
        <f>+K38+SUM(K85:K86)+SUM(K204:K213)+SUM(K381:K391)+SUM(K540:K541)+K584+SUM(K637:K638)+K703+K742+K799+SUM(K838:K838)</f>
        <v>0</v>
      </c>
      <c r="L892" s="10">
        <f>+L38+SUM(L85:L86)+SUM(L204:L213)+SUM(L381:L391)+SUM(L540:L541)+L584+SUM(L637:L638)+L703+L742+L799+SUM(L838:L838)</f>
        <v>0</v>
      </c>
      <c r="M892" s="38">
        <f t="shared" si="347"/>
        <v>0</v>
      </c>
      <c r="N892" s="10">
        <f>+N38+SUM(N85:N86)+SUM(N204:N213)+SUM(N381:N391)+SUM(N540:N541)+N584+SUM(N637:N638)+N703+N742+N799+SUM(N838:N838)</f>
        <v>0</v>
      </c>
      <c r="O892" s="10">
        <f>+O38+SUM(O85:O86)+SUM(O204:O213)+SUM(O381:O391)+SUM(O540:O541)+O584+SUM(O637:O638)+O703+O742+O799+SUM(O838:O838)</f>
        <v>0</v>
      </c>
      <c r="P892" s="10">
        <f>+P38+SUM(P85:P86)+SUM(P204:P213)+SUM(P381:P391)+SUM(P540:P541)+P584+SUM(P637:P638)+P703+P742+P799+SUM(P838:P838)</f>
        <v>0</v>
      </c>
      <c r="Q892" s="38">
        <f t="shared" si="348"/>
        <v>0</v>
      </c>
      <c r="R892" s="38">
        <f t="shared" si="349"/>
        <v>0</v>
      </c>
    </row>
    <row r="893" spans="1:18" ht="15.75" customHeight="1" x14ac:dyDescent="0.3">
      <c r="A893" s="545" t="s">
        <v>2647</v>
      </c>
      <c r="B893" s="10">
        <f>+SUM(B87:B89)+SUM(B214:B217)+SUM(B392:B396)+B542+B585+SUM(B639:B640)+B704+B743+B800+SUM(B839:B840)</f>
        <v>0</v>
      </c>
      <c r="C893" s="10">
        <f>+SUM(C87:C89)+SUM(C214:C217)+SUM(C392:C396)+C542+C585+SUM(C639:C640)+C704+C743+C800+SUM(C839:C840)</f>
        <v>0</v>
      </c>
      <c r="D893" s="10">
        <f>+SUM(D87:D89)+SUM(D214:D217)+SUM(D392:D396)+D542+D585+SUM(D639:D640)+D704+D743+D800+SUM(D839:D840)</f>
        <v>0</v>
      </c>
      <c r="E893" s="38">
        <f t="shared" si="345"/>
        <v>0</v>
      </c>
      <c r="F893" s="10">
        <f>+SUM(F87:F89)+SUM(F214:F217)+SUM(F392:F396)+F542+F585+SUM(F639:F640)+F704+F743+F800+SUM(F839:F840)</f>
        <v>0</v>
      </c>
      <c r="G893" s="10">
        <f>+SUM(G87:G89)+SUM(G214:G217)+SUM(G392:G396)+G542+G585+SUM(G639:G640)+G704+G743+G800+SUM(G839:G840)</f>
        <v>0</v>
      </c>
      <c r="H893" s="10">
        <f>+SUM(H87:H89)+SUM(H214:H217)+SUM(H392:H396)+H542+H585+SUM(H639:H640)+H704+H743+H800+SUM(H839:H840)</f>
        <v>184</v>
      </c>
      <c r="I893" s="38">
        <f t="shared" si="346"/>
        <v>184</v>
      </c>
      <c r="J893" s="10">
        <f>+SUM(J87:J89)+SUM(J214:J217)+SUM(J392:J396)+J542+J585+SUM(J639:J640)+J704+J743+J800+SUM(J839:J840)</f>
        <v>181</v>
      </c>
      <c r="K893" s="10">
        <f>+SUM(K87:K89)+SUM(K214:K217)+SUM(K392:K396)+K542+K585+SUM(K639:K640)+K704+K743+K800+SUM(K839:K840)</f>
        <v>192</v>
      </c>
      <c r="L893" s="10">
        <f>+SUM(L87:L89)+SUM(L214:L217)+SUM(L392:L396)+L542+L585+SUM(L639:L640)+L704+L743+L800+SUM(L839:L840)</f>
        <v>143</v>
      </c>
      <c r="M893" s="38">
        <f t="shared" si="347"/>
        <v>516</v>
      </c>
      <c r="N893" s="10">
        <f>+SUM(N87:N89)+SUM(N214:N217)+SUM(N392:N396)+N542+N585+SUM(N639:N640)+N704+N743+N800+SUM(N839:N840)</f>
        <v>120</v>
      </c>
      <c r="O893" s="10">
        <f>+SUM(O87:O89)+SUM(O214:O217)+SUM(O392:O396)+O542+O585+SUM(O639:O640)+O704+O743+O800+SUM(O839:O840)</f>
        <v>30</v>
      </c>
      <c r="P893" s="10">
        <f>+SUM(P87:P89)+SUM(P214:P217)+SUM(P392:P396)+P542+P585+SUM(P639:P640)+P704+P743+P800+SUM(P839:P840)</f>
        <v>0</v>
      </c>
      <c r="Q893" s="38">
        <f t="shared" si="348"/>
        <v>150</v>
      </c>
      <c r="R893" s="38">
        <f>+E893+I893+M893+Q893</f>
        <v>850</v>
      </c>
    </row>
    <row r="894" spans="1:18" ht="15.75" customHeight="1" x14ac:dyDescent="0.3">
      <c r="A894" s="234" t="s">
        <v>2958</v>
      </c>
      <c r="B894" s="10">
        <f>+B322+B514+B515</f>
        <v>0</v>
      </c>
      <c r="C894" s="10">
        <f>+C322+C514+C515</f>
        <v>0</v>
      </c>
      <c r="D894" s="10">
        <f>+D322+D514+D515</f>
        <v>0</v>
      </c>
      <c r="E894" s="38">
        <f t="shared" si="345"/>
        <v>0</v>
      </c>
      <c r="F894" s="10">
        <f>+F322+F514+F515</f>
        <v>0</v>
      </c>
      <c r="G894" s="10">
        <f>+G322+G514+G515</f>
        <v>0</v>
      </c>
      <c r="H894" s="10">
        <f>+H322+H514+H515</f>
        <v>0</v>
      </c>
      <c r="I894" s="38">
        <f t="shared" si="346"/>
        <v>0</v>
      </c>
      <c r="J894" s="10">
        <f>+J322+J514+J515</f>
        <v>0</v>
      </c>
      <c r="K894" s="10">
        <f>+K322+K514+K515</f>
        <v>0</v>
      </c>
      <c r="L894" s="10">
        <f>+L322+L514+L515</f>
        <v>0</v>
      </c>
      <c r="M894" s="38">
        <f t="shared" si="347"/>
        <v>0</v>
      </c>
      <c r="N894" s="10">
        <f>+N322+N514+N515</f>
        <v>0</v>
      </c>
      <c r="O894" s="10">
        <f>+O322+O514+O515</f>
        <v>0</v>
      </c>
      <c r="P894" s="10">
        <f>+P322+P514+P515</f>
        <v>0</v>
      </c>
      <c r="Q894" s="38">
        <f t="shared" si="348"/>
        <v>0</v>
      </c>
      <c r="R894" s="38">
        <f t="shared" si="349"/>
        <v>0</v>
      </c>
    </row>
    <row r="895" spans="1:18" ht="15.75" customHeight="1" x14ac:dyDescent="0.3">
      <c r="A895" s="545" t="s">
        <v>2163</v>
      </c>
      <c r="B895" s="10">
        <f>+B323</f>
        <v>23</v>
      </c>
      <c r="C895" s="10">
        <f>+C323</f>
        <v>67</v>
      </c>
      <c r="D895" s="10">
        <f>+D323</f>
        <v>18</v>
      </c>
      <c r="E895" s="38">
        <f>SUM(B895:D895)</f>
        <v>108</v>
      </c>
      <c r="F895" s="10">
        <f>+F323</f>
        <v>33</v>
      </c>
      <c r="G895" s="10">
        <f>+G323</f>
        <v>45</v>
      </c>
      <c r="H895" s="10">
        <f>+H323</f>
        <v>51</v>
      </c>
      <c r="I895" s="38">
        <f>SUM(F895:H895)</f>
        <v>129</v>
      </c>
      <c r="J895" s="10">
        <f>+J323</f>
        <v>39</v>
      </c>
      <c r="K895" s="10">
        <f>+K323</f>
        <v>21</v>
      </c>
      <c r="L895" s="10">
        <f>+L323</f>
        <v>26</v>
      </c>
      <c r="M895" s="38">
        <f>SUM(J895:L895)</f>
        <v>86</v>
      </c>
      <c r="N895" s="10">
        <f>+N323</f>
        <v>57</v>
      </c>
      <c r="O895" s="10">
        <f>+O323</f>
        <v>42</v>
      </c>
      <c r="P895" s="10">
        <f>+P323</f>
        <v>203</v>
      </c>
      <c r="Q895" s="38">
        <f t="shared" si="348"/>
        <v>302</v>
      </c>
      <c r="R895" s="38">
        <f>+E895+I895+M895+Q895</f>
        <v>625</v>
      </c>
    </row>
    <row r="896" spans="1:18" ht="15.75" customHeight="1" thickBot="1" x14ac:dyDescent="0.35">
      <c r="A896" s="234" t="s">
        <v>2164</v>
      </c>
      <c r="B896" s="10">
        <f>+B90+B543+B586+B641+B705+B744+B801+B841</f>
        <v>0</v>
      </c>
      <c r="C896" s="10">
        <f>+C90+C543+C586+C641+C705+C744+C801+C841</f>
        <v>0</v>
      </c>
      <c r="D896" s="10">
        <f>+D90+D543+D586+D641+D705+D744+D801+D841</f>
        <v>0</v>
      </c>
      <c r="E896" s="38">
        <f t="shared" si="345"/>
        <v>0</v>
      </c>
      <c r="F896" s="10">
        <f>+F90+F543+F586+F641+F705+F744+F801+F841</f>
        <v>0</v>
      </c>
      <c r="G896" s="10">
        <f>+G90+G543+G586+G641+G705+G744+G801+G841</f>
        <v>0</v>
      </c>
      <c r="H896" s="10">
        <f>+H90+H543+H586+H641+H705+H744+H801+H841</f>
        <v>0</v>
      </c>
      <c r="I896" s="38">
        <f t="shared" si="346"/>
        <v>0</v>
      </c>
      <c r="J896" s="10">
        <f>+J90+J543+J586+J641+J705+J744+J801+J841</f>
        <v>0</v>
      </c>
      <c r="K896" s="10">
        <f>+K90+K543+K586+K641+K705+K744+K801+K841</f>
        <v>0</v>
      </c>
      <c r="L896" s="10">
        <f>+L90+L543+L586+L641+L705+L744+L801+L841</f>
        <v>0</v>
      </c>
      <c r="M896" s="38">
        <f t="shared" si="347"/>
        <v>0</v>
      </c>
      <c r="N896" s="10">
        <f>+N90+N543+N586+N641+N705+N744+N801+N841</f>
        <v>0</v>
      </c>
      <c r="O896" s="10">
        <f>+O90+O543+O586+O641+O705+O744+O801+O841</f>
        <v>0</v>
      </c>
      <c r="P896" s="10">
        <f>+P90+P543+P586+P641+P705+P744+P801+P841</f>
        <v>0</v>
      </c>
      <c r="Q896" s="38">
        <f t="shared" si="348"/>
        <v>0</v>
      </c>
      <c r="R896" s="38">
        <f t="shared" si="349"/>
        <v>0</v>
      </c>
    </row>
    <row r="897" spans="1:20" ht="16.5" customHeight="1" thickBot="1" x14ac:dyDescent="0.35">
      <c r="A897" s="43" t="s">
        <v>1218</v>
      </c>
      <c r="B897" s="45">
        <f>SUM(B890:B896)</f>
        <v>32498</v>
      </c>
      <c r="C897" s="46">
        <f>SUM(C890:C896)</f>
        <v>38991</v>
      </c>
      <c r="D897" s="46">
        <f>SUM(D890:D896)</f>
        <v>42912</v>
      </c>
      <c r="E897" s="37">
        <f t="shared" si="345"/>
        <v>114401</v>
      </c>
      <c r="F897" s="46">
        <f>SUM(F890:F896)</f>
        <v>56438</v>
      </c>
      <c r="G897" s="46">
        <f>SUM(G890:G896)</f>
        <v>63328</v>
      </c>
      <c r="H897" s="46">
        <f>SUM(H890:H896)</f>
        <v>72277</v>
      </c>
      <c r="I897" s="37">
        <f t="shared" si="346"/>
        <v>192043</v>
      </c>
      <c r="J897" s="46">
        <f>SUM(J890:J896)</f>
        <v>80794</v>
      </c>
      <c r="K897" s="46">
        <f>SUM(K890:K896)</f>
        <v>73596</v>
      </c>
      <c r="L897" s="46">
        <f>SUM(L890:L896)</f>
        <v>52166</v>
      </c>
      <c r="M897" s="37">
        <f t="shared" si="347"/>
        <v>206556</v>
      </c>
      <c r="N897" s="46">
        <f>SUM(N890:N896)</f>
        <v>38912</v>
      </c>
      <c r="O897" s="46">
        <f>SUM(O890:O896)</f>
        <v>31015</v>
      </c>
      <c r="P897" s="46">
        <f>SUM(P890:P896)</f>
        <v>29505</v>
      </c>
      <c r="Q897" s="37">
        <f t="shared" si="348"/>
        <v>99432</v>
      </c>
      <c r="R897" s="37">
        <f t="shared" si="349"/>
        <v>612432</v>
      </c>
      <c r="T897">
        <f>+R897-R894-R893</f>
        <v>611582</v>
      </c>
    </row>
    <row r="898" spans="1:20" ht="15.75" customHeight="1" x14ac:dyDescent="0.3">
      <c r="A898" s="234" t="s">
        <v>1172</v>
      </c>
      <c r="B898" s="10"/>
      <c r="C898" s="10"/>
      <c r="D898" s="10"/>
      <c r="E898" s="38" t="s">
        <v>852</v>
      </c>
      <c r="F898" s="10"/>
      <c r="G898" s="10"/>
      <c r="H898" s="10"/>
      <c r="I898" s="38" t="s">
        <v>852</v>
      </c>
      <c r="J898" s="10"/>
      <c r="K898" s="10"/>
      <c r="L898" s="10"/>
      <c r="M898" s="38" t="s">
        <v>852</v>
      </c>
      <c r="N898" s="10"/>
      <c r="O898" s="10"/>
      <c r="P898" s="10"/>
      <c r="Q898" s="38" t="s">
        <v>852</v>
      </c>
      <c r="R898" s="38" t="s">
        <v>852</v>
      </c>
    </row>
    <row r="899" spans="1:20" ht="15.75" customHeight="1" x14ac:dyDescent="0.3">
      <c r="A899" s="234" t="s">
        <v>1658</v>
      </c>
      <c r="B899" s="10">
        <f>SUM(B43:B43)+SUM(B221:B221)+SUM(B93:B93)+SUM(B400:B400)</f>
        <v>0</v>
      </c>
      <c r="C899" s="10">
        <f>SUM(C43:C43)+SUM(C221:C221)+SUM(C93:C93)+SUM(C400:C400)</f>
        <v>0</v>
      </c>
      <c r="D899" s="10">
        <f>SUM(D43:D43)+SUM(D221:D221)+SUM(D93:D93)+SUM(D400:D400)</f>
        <v>0</v>
      </c>
      <c r="E899" s="38">
        <f>SUM(B899:D899)</f>
        <v>0</v>
      </c>
      <c r="F899" s="10">
        <f>SUM(F43:F43)+SUM(F221:F221)+SUM(F93:F93)+SUM(F400:F400)</f>
        <v>0</v>
      </c>
      <c r="G899" s="10">
        <f>SUM(G43:G43)+SUM(G221:G221)+SUM(G93:G93)+SUM(G400:G400)</f>
        <v>0</v>
      </c>
      <c r="H899" s="10">
        <f>SUM(H43:H43)+SUM(H221:H221)+SUM(H93:H93)+SUM(H400:H400)</f>
        <v>0</v>
      </c>
      <c r="I899" s="38">
        <f>SUM(F899:H899)</f>
        <v>0</v>
      </c>
      <c r="J899" s="10">
        <f>SUM(J43:J43)+SUM(J221:J221)+SUM(J93:J93)+SUM(J400:J400)</f>
        <v>0</v>
      </c>
      <c r="K899" s="10">
        <f>SUM(K43:K43)+SUM(K221:K221)+SUM(K93:K93)+SUM(K400:K400)</f>
        <v>0</v>
      </c>
      <c r="L899" s="10">
        <f>SUM(L43:L43)+SUM(L221:L221)+SUM(L93:L93)+SUM(L400:L400)</f>
        <v>0</v>
      </c>
      <c r="M899" s="38">
        <f>SUM(J899:L899)</f>
        <v>0</v>
      </c>
      <c r="N899" s="10">
        <f>SUM(N43:N43)+SUM(N221:N221)+SUM(N93:N93)+SUM(N400:N400)</f>
        <v>0</v>
      </c>
      <c r="O899" s="10">
        <f>SUM(O43:O43)+SUM(O221:O221)+SUM(O93:O93)+SUM(O400:O400)</f>
        <v>0</v>
      </c>
      <c r="P899" s="10">
        <f>SUM(P43:P43)+SUM(P221:P221)+SUM(P93:P93)+SUM(P400:P400)</f>
        <v>0</v>
      </c>
      <c r="Q899" s="38">
        <f>SUM(N899:P899)</f>
        <v>0</v>
      </c>
      <c r="R899" s="38">
        <f>+E899+I899+M899+Q899</f>
        <v>0</v>
      </c>
    </row>
    <row r="900" spans="1:20" ht="15.75" customHeight="1" x14ac:dyDescent="0.3">
      <c r="A900" s="545" t="s">
        <v>2409</v>
      </c>
      <c r="B900" s="10">
        <f>+SUM(B95:B96)+SUM(B222:B224)+SUM(B401:B410)+B547+SUM(B589:B591)+SUM(B644:B646)+SUM(B708:B708)+B747+B804+SUM(B844:B845)</f>
        <v>2068</v>
      </c>
      <c r="C900" s="10">
        <f>+SUM(C95:C96)+SUM(C222:C224)+SUM(C401:C410)+C547+SUM(C589:C591)+SUM(C644:C646)+SUM(C708:C708)+C747+C804+SUM(C844:C845)</f>
        <v>5849</v>
      </c>
      <c r="D900" s="10">
        <f>+SUM(D95:D96)+SUM(D222:D224)+SUM(D401:D410)+D547+SUM(D589:D591)+SUM(D644:D646)+SUM(D708:D708)+D747+D804+SUM(D844:D845)</f>
        <v>11643</v>
      </c>
      <c r="E900" s="38">
        <f>SUM(B900:D900)</f>
        <v>19560</v>
      </c>
      <c r="F900" s="10">
        <f>+SUM(F95:F96)+SUM(F222:F224)+SUM(F401:F410)+F547+SUM(F589:F591)+SUM(F644:F646)+SUM(F708:F708)+F747+F804+SUM(F844:F845)</f>
        <v>39157</v>
      </c>
      <c r="G900" s="10">
        <f>+SUM(G95:G96)+SUM(G222:G224)+SUM(G401:G410)+G547+SUM(G589:G591)+SUM(G644:G646)+SUM(G708:G708)+G747+G804+SUM(G844:G845)</f>
        <v>45754</v>
      </c>
      <c r="H900" s="10">
        <f>+SUM(H95:H96)+SUM(H222:H224)+SUM(H401:H410)+H547+SUM(H589:H591)+SUM(H644:H646)+SUM(H708:H708)+H747+H804+SUM(H844:H845)</f>
        <v>54158</v>
      </c>
      <c r="I900" s="38">
        <f>SUM(F900:H900)</f>
        <v>139069</v>
      </c>
      <c r="J900" s="10">
        <f>+SUM(J95:J96)+SUM(J222:J224)+SUM(J401:J410)+J547+SUM(J589:J591)+SUM(J644:J646)+SUM(J708:J708)+J747+J804+SUM(J844:J845)</f>
        <v>44721</v>
      </c>
      <c r="K900" s="10">
        <f>+SUM(K95:K96)+SUM(K222:K224)+SUM(K401:K410)+K547+SUM(K589:K591)+SUM(K644:K646)+SUM(K708:K708)+K747+K804+SUM(K844:K845)</f>
        <v>26171</v>
      </c>
      <c r="L900" s="10">
        <f>+SUM(L95:L96)+SUM(L222:L224)+SUM(L401:L410)+L547+SUM(L589:L591)+SUM(L644:L646)+SUM(L708:L708)+L747+L804+SUM(L844:L845)</f>
        <v>5757</v>
      </c>
      <c r="M900" s="38">
        <f>SUM(J900:L900)</f>
        <v>76649</v>
      </c>
      <c r="N900" s="10">
        <f>+SUM(N95:N96)+SUM(N222:N224)+SUM(N401:N410)+N547+SUM(N589:N591)+SUM(N644:N646)+SUM(N708:N708)+N747+N804+SUM(N844:N845)</f>
        <v>10129</v>
      </c>
      <c r="O900" s="10">
        <f>+SUM(O95:O96)+SUM(O222:O224)+SUM(O401:O410)+O547+SUM(O589:O591)+SUM(O644:O646)+SUM(O708:O708)+O747+O804+SUM(O844:O845)</f>
        <v>6414</v>
      </c>
      <c r="P900" s="10">
        <f>+SUM(P95:P96)+SUM(P222:P224)+SUM(P401:P410)+P547+SUM(P589:P591)+SUM(P644:P646)+SUM(P708:P708)+P747+P804+SUM(P844:P845)</f>
        <v>7109</v>
      </c>
      <c r="Q900" s="38">
        <f>SUM(N900:P900)</f>
        <v>23652</v>
      </c>
      <c r="R900" s="38">
        <f>+E900+I900+M900+Q900</f>
        <v>258930</v>
      </c>
    </row>
    <row r="901" spans="1:20" ht="15.75" customHeight="1" thickBot="1" x14ac:dyDescent="0.35">
      <c r="A901" s="234" t="s">
        <v>2165</v>
      </c>
      <c r="B901" s="10">
        <f>+B97+B548+B592+B647+B709+B748+B805+B846+B411+B225+B45</f>
        <v>0</v>
      </c>
      <c r="C901" s="10">
        <f>+C97+C548+C592+C647+C709+C748+C805+C846+C411+C225+C45</f>
        <v>0</v>
      </c>
      <c r="D901" s="10">
        <f>+D97+D548+D592+D647+D709+D748+D805+D846+D411+D225+D45</f>
        <v>0</v>
      </c>
      <c r="E901" s="38">
        <f>SUM(B901:D901)</f>
        <v>0</v>
      </c>
      <c r="F901" s="10">
        <f>+F97+F548+F592+F647+F709+F748+F805+F846+F411+F225+F45</f>
        <v>0</v>
      </c>
      <c r="G901" s="10">
        <f>+G97+G548+G592+G647+G709+G748+G805+G846+G411+G225+G45</f>
        <v>0</v>
      </c>
      <c r="H901" s="10">
        <f>+H97+H548+H592+H647+H709+H748+H805+H846+H411+H225+H45</f>
        <v>0</v>
      </c>
      <c r="I901" s="38">
        <f>SUM(F901:H901)</f>
        <v>0</v>
      </c>
      <c r="J901" s="10">
        <f>+J97+J548+J592+J647+J709+J748+J805+J846+J411+J225+J45</f>
        <v>0</v>
      </c>
      <c r="K901" s="10">
        <f>+K97+K548+K592+K647+K709+K748+K805+K846+K411+K225+K45</f>
        <v>0</v>
      </c>
      <c r="L901" s="10">
        <f>+L97+L548+L592+L647+L709+L748+L805+L846+L411+L225+L45</f>
        <v>0</v>
      </c>
      <c r="M901" s="38">
        <f>SUM(J901:L901)</f>
        <v>0</v>
      </c>
      <c r="N901" s="10">
        <f>+N97+N548+N592+N647+N709+N748+N805+N846+N411+N225+N45</f>
        <v>0</v>
      </c>
      <c r="O901" s="10">
        <f>+O97+O548+O592+O647+O709+O748+O805+O846+O411+O225+O45</f>
        <v>0</v>
      </c>
      <c r="P901" s="10">
        <f>+P97+P548+P592+P647+P709+P748+P805+P846+P411+P225+P45</f>
        <v>0</v>
      </c>
      <c r="Q901" s="38">
        <f>SUM(N901:P901)</f>
        <v>0</v>
      </c>
      <c r="R901" s="38">
        <f>+E901+I901+M901+Q901</f>
        <v>0</v>
      </c>
    </row>
    <row r="902" spans="1:20" ht="16.5" customHeight="1" thickBot="1" x14ac:dyDescent="0.35">
      <c r="A902" s="43" t="s">
        <v>1219</v>
      </c>
      <c r="B902" s="45">
        <f>SUM(B898:B901)</f>
        <v>2068</v>
      </c>
      <c r="C902" s="46">
        <f>SUM(C898:C901)</f>
        <v>5849</v>
      </c>
      <c r="D902" s="46">
        <f>SUM(D898:D901)</f>
        <v>11643</v>
      </c>
      <c r="E902" s="37">
        <f>SUM(B902:D902)</f>
        <v>19560</v>
      </c>
      <c r="F902" s="46">
        <f>SUM(F898:F901)</f>
        <v>39157</v>
      </c>
      <c r="G902" s="46">
        <f>SUM(G898:G901)</f>
        <v>45754</v>
      </c>
      <c r="H902" s="46">
        <f>SUM(H898:H901)</f>
        <v>54158</v>
      </c>
      <c r="I902" s="37">
        <f>SUM(F902:H902)</f>
        <v>139069</v>
      </c>
      <c r="J902" s="46">
        <f>SUM(J898:J901)</f>
        <v>44721</v>
      </c>
      <c r="K902" s="46">
        <f>SUM(K898:K901)</f>
        <v>26171</v>
      </c>
      <c r="L902" s="46">
        <f>SUM(L898:L901)</f>
        <v>5757</v>
      </c>
      <c r="M902" s="37">
        <f>SUM(J902:L902)</f>
        <v>76649</v>
      </c>
      <c r="N902" s="46">
        <f>SUM(N898:N901)</f>
        <v>10129</v>
      </c>
      <c r="O902" s="46">
        <f>SUM(O898:O901)</f>
        <v>6414</v>
      </c>
      <c r="P902" s="46">
        <f>SUM(P898:P901)</f>
        <v>7109</v>
      </c>
      <c r="Q902" s="37">
        <f>SUM(N902:P902)</f>
        <v>23652</v>
      </c>
      <c r="R902" s="37">
        <f>+E902+I902+M902+Q902</f>
        <v>258930</v>
      </c>
    </row>
    <row r="903" spans="1:20" ht="15.75" customHeight="1" x14ac:dyDescent="0.3">
      <c r="A903" s="234" t="s">
        <v>2166</v>
      </c>
      <c r="B903" s="10"/>
      <c r="C903" s="10"/>
      <c r="D903" s="10"/>
      <c r="E903" s="38" t="s">
        <v>852</v>
      </c>
      <c r="F903" s="10"/>
      <c r="G903" s="10"/>
      <c r="H903" s="10"/>
      <c r="I903" s="38" t="s">
        <v>852</v>
      </c>
      <c r="J903" s="10"/>
      <c r="K903" s="10"/>
      <c r="L903" s="10"/>
      <c r="M903" s="38" t="s">
        <v>852</v>
      </c>
      <c r="N903" s="10"/>
      <c r="O903" s="10"/>
      <c r="P903" s="10"/>
      <c r="Q903" s="38" t="s">
        <v>852</v>
      </c>
      <c r="R903" s="38" t="s">
        <v>852</v>
      </c>
    </row>
    <row r="904" spans="1:20" ht="15.75" customHeight="1" x14ac:dyDescent="0.3">
      <c r="A904" s="545" t="s">
        <v>1245</v>
      </c>
      <c r="B904" s="10">
        <f>+B48+B100+B228+SUM(B414:B419)+B551+B595+B650+B712+SUM(B751:B752)+B808+SUM(B849:B851)</f>
        <v>2242</v>
      </c>
      <c r="C904" s="10">
        <f>+C48+C100+C228+SUM(C414:C419)+C551+C595+C650+C712+SUM(C751:C752)+C808+SUM(C849:C851)</f>
        <v>5955</v>
      </c>
      <c r="D904" s="10">
        <f>+D48+D100+D228+SUM(D414:D419)+D551+D595+D650+D712+SUM(D751:D752)+D808+SUM(D849:D851)</f>
        <v>7504</v>
      </c>
      <c r="E904" s="38">
        <f>SUM(B904:D904)</f>
        <v>15701</v>
      </c>
      <c r="F904" s="10">
        <f>+F48+F100+F228+SUM(F414:F419)+F551+F595+F650+F712+SUM(F751:F752)+F808+SUM(F849:F851)</f>
        <v>15126</v>
      </c>
      <c r="G904" s="10">
        <f>+G48+G100+G228+SUM(G414:G419)+G551+G595+G650+G712+SUM(G751:G752)+G808+SUM(G849:G851)</f>
        <v>19382</v>
      </c>
      <c r="H904" s="10">
        <f>+H48+H100+H228+SUM(H414:H419)+H551+H595+H650+H712+SUM(H751:H752)+H808+SUM(H849:H851)</f>
        <v>17747</v>
      </c>
      <c r="I904" s="38">
        <f>SUM(F904:H904)</f>
        <v>52255</v>
      </c>
      <c r="J904" s="10">
        <f>+J48+J100+J228+SUM(J414:J419)+J551+J595+J650+J712+SUM(J751:J752)+J808+SUM(J849:J851)</f>
        <v>15536</v>
      </c>
      <c r="K904" s="10">
        <f>+K48+K100+K228+SUM(K414:K419)+K551+K595+K650+K712+SUM(K751:K752)+K808+SUM(K849:K851)</f>
        <v>13495</v>
      </c>
      <c r="L904" s="10">
        <f>+L48+L100+L228+SUM(L414:L419)+L551+L595+L650+L712+SUM(L751:L752)+L808+SUM(L849:L851)</f>
        <v>9817</v>
      </c>
      <c r="M904" s="38">
        <f>SUM(J904:L904)</f>
        <v>38848</v>
      </c>
      <c r="N904" s="10">
        <f>+N48+N100+N228+SUM(N414:N419)+N551+N595+N650+N712+SUM(N751:N752)+N808+SUM(N849:N851)</f>
        <v>7353</v>
      </c>
      <c r="O904" s="10">
        <f>+O48+O100+O228+SUM(O414:O419)+O551+O595+O650+O712+SUM(O751:O752)+O808+SUM(O849:O851)</f>
        <v>4380</v>
      </c>
      <c r="P904" s="10">
        <f>+P48+P100+P228+SUM(P414:P419)+P551+P595+P650+P712+SUM(P751:P752)+P808+SUM(P849:P851)</f>
        <v>8660</v>
      </c>
      <c r="Q904" s="38">
        <f>SUM(N904:P904)</f>
        <v>20393</v>
      </c>
      <c r="R904" s="38">
        <f>+E904+I904+M904+Q904</f>
        <v>127197</v>
      </c>
    </row>
    <row r="905" spans="1:20" ht="15.75" customHeight="1" thickBot="1" x14ac:dyDescent="0.35">
      <c r="A905" s="545" t="s">
        <v>1711</v>
      </c>
      <c r="B905" s="10">
        <f>+B49+SUM(B101:B112)+SUM(B229:B297)+SUM(B420:B485)+SUM(B552:B555)+SUM(B596:B597)+SUM(B651:B657)+B713+SUM(B753:B762)+B809+SUM(B852:B857)</f>
        <v>15999</v>
      </c>
      <c r="C905" s="10">
        <f>+C49+SUM(C101:C112)+SUM(C229:C297)+SUM(C420:C485)+SUM(C552:C555)+SUM(C596:C597)+SUM(C651:C657)+C713+SUM(C753:C762)+C809+SUM(C852:C857)</f>
        <v>18603</v>
      </c>
      <c r="D905" s="10">
        <f>+D49+SUM(D101:D112)+SUM(D229:D297)+SUM(D420:D485)+SUM(D552:D555)+SUM(D596:D597)+SUM(D651:D657)+D713+SUM(D753:D762)+D809+SUM(D852:D857)</f>
        <v>25954</v>
      </c>
      <c r="E905" s="38">
        <f>SUM(B905:D905)</f>
        <v>60556</v>
      </c>
      <c r="F905" s="10">
        <f>+F49+SUM(F101:F112)+SUM(F229:F297)+SUM(F420:F485)+SUM(F552:F555)+SUM(F596:F597)+SUM(F651:F657)+F713+SUM(F753:F762)+F809+SUM(F852:F857)</f>
        <v>30990</v>
      </c>
      <c r="G905" s="10">
        <f>+G49+SUM(G101:G112)+SUM(G229:G297)+SUM(G420:G485)+SUM(G552:G555)+SUM(G596:G597)+SUM(G651:G657)+G713+SUM(G753:G762)+G809+SUM(G852:G857)</f>
        <v>45993</v>
      </c>
      <c r="H905" s="10">
        <f>+H49+SUM(H101:H112)+SUM(H229:H297)+SUM(H420:H485)+SUM(H552:H555)+SUM(H596:H597)+SUM(H651:H657)+H713+SUM(H753:H762)+H809+SUM(H852:H857)</f>
        <v>48518</v>
      </c>
      <c r="I905" s="38">
        <f>SUM(F905:H905)</f>
        <v>125501</v>
      </c>
      <c r="J905" s="10">
        <f>+J49+SUM(J101:J112)+SUM(J229:J297)+SUM(J420:J485)+SUM(J552:J555)+SUM(J596:J597)+SUM(J651:J657)+J713+SUM(J753:J762)+J809+SUM(J852:J857)</f>
        <v>42484</v>
      </c>
      <c r="K905" s="10">
        <f>+K49+SUM(K101:K112)+SUM(K229:K297)+SUM(K420:K485)+SUM(K552:K555)+SUM(K596:K597)+SUM(K651:K657)+K713+SUM(K753:K762)+K809+SUM(K852:K857)</f>
        <v>53207</v>
      </c>
      <c r="L905" s="10">
        <f>+L49+SUM(L101:L112)+SUM(L229:L297)+SUM(L420:L485)+SUM(L552:L555)+SUM(L596:L597)+SUM(L651:L657)+L713+SUM(L753:L762)+L809+SUM(L852:L857)</f>
        <v>40383</v>
      </c>
      <c r="M905" s="38">
        <f>SUM(J905:L905)</f>
        <v>136074</v>
      </c>
      <c r="N905" s="10">
        <f>+N49+SUM(N101:N112)+SUM(N229:N297)+SUM(N420:N485)+SUM(N552:N555)+SUM(N596:N597)+SUM(N651:N657)+N713+SUM(N753:N762)+N809+SUM(N852:N857)</f>
        <v>18379</v>
      </c>
      <c r="O905" s="10">
        <f>+O49+SUM(O101:O112)+SUM(O229:O297)+SUM(O420:O485)+SUM(O552:O555)+SUM(O596:O597)+SUM(O651:O657)+O713+SUM(O753:O762)+O809+SUM(O852:O857)</f>
        <v>9463</v>
      </c>
      <c r="P905" s="10">
        <f>+P49+SUM(P101:P112)+SUM(P229:P297)+SUM(P420:P485)+SUM(P552:P555)+SUM(P596:P597)+SUM(P651:P657)+P713+SUM(P753:P762)+P809+SUM(P852:P857)</f>
        <v>12837</v>
      </c>
      <c r="Q905" s="38">
        <f>SUM(N905:P905)</f>
        <v>40679</v>
      </c>
      <c r="R905" s="38">
        <f>+E905+I905+M905+Q905</f>
        <v>362810</v>
      </c>
    </row>
    <row r="906" spans="1:20" ht="16.5" customHeight="1" thickBot="1" x14ac:dyDescent="0.35">
      <c r="A906" s="43" t="s">
        <v>1220</v>
      </c>
      <c r="B906" s="45">
        <f>SUM(B903:B905)</f>
        <v>18241</v>
      </c>
      <c r="C906" s="46">
        <f>SUM(C903:C905)</f>
        <v>24558</v>
      </c>
      <c r="D906" s="58">
        <f>SUM(D903:D905)</f>
        <v>33458</v>
      </c>
      <c r="E906" s="37">
        <f>SUM(B906:D906)</f>
        <v>76257</v>
      </c>
      <c r="F906" s="46">
        <f>SUM(F903:F905)</f>
        <v>46116</v>
      </c>
      <c r="G906" s="46">
        <f>SUM(G903:G905)</f>
        <v>65375</v>
      </c>
      <c r="H906" s="46">
        <f>SUM(H903:H905)</f>
        <v>66265</v>
      </c>
      <c r="I906" s="37">
        <f>SUM(F906:H906)</f>
        <v>177756</v>
      </c>
      <c r="J906" s="46">
        <f>SUM(J903:J905)</f>
        <v>58020</v>
      </c>
      <c r="K906" s="46">
        <f>SUM(K903:K905)</f>
        <v>66702</v>
      </c>
      <c r="L906" s="46">
        <f>SUM(L903:L905)</f>
        <v>50200</v>
      </c>
      <c r="M906" s="37">
        <f>SUM(J906:L906)</f>
        <v>174922</v>
      </c>
      <c r="N906" s="46">
        <f>SUM(N903:N905)</f>
        <v>25732</v>
      </c>
      <c r="O906" s="46">
        <f>SUM(O903:O905)</f>
        <v>13843</v>
      </c>
      <c r="P906" s="46">
        <f>SUM(P903:P905)</f>
        <v>21497</v>
      </c>
      <c r="Q906" s="37">
        <f>SUM(N906:P906)</f>
        <v>61072</v>
      </c>
      <c r="R906" s="37">
        <f>+E906+I906+M906+Q906</f>
        <v>490007</v>
      </c>
      <c r="T906">
        <v>1600000</v>
      </c>
    </row>
    <row r="907" spans="1:20" ht="20.25" customHeight="1" x14ac:dyDescent="0.3">
      <c r="A907" s="234" t="s">
        <v>2645</v>
      </c>
      <c r="B907" s="10"/>
      <c r="C907" s="10"/>
      <c r="D907" s="10"/>
      <c r="E907" s="38" t="s">
        <v>852</v>
      </c>
      <c r="F907" s="10"/>
      <c r="G907" s="10"/>
      <c r="H907" s="10"/>
      <c r="I907" s="38" t="s">
        <v>852</v>
      </c>
      <c r="J907" s="10"/>
      <c r="K907" s="10"/>
      <c r="L907" s="10"/>
      <c r="M907" s="38" t="s">
        <v>852</v>
      </c>
      <c r="N907" s="10"/>
      <c r="O907" s="10"/>
      <c r="P907" s="10"/>
      <c r="Q907" s="38" t="s">
        <v>852</v>
      </c>
      <c r="R907" s="38" t="s">
        <v>852</v>
      </c>
      <c r="T907">
        <f>+T906-28000-R891-R892-400000-R904-R905+12000</f>
        <v>83036</v>
      </c>
    </row>
    <row r="908" spans="1:20" ht="15.75" customHeight="1" x14ac:dyDescent="0.3">
      <c r="A908" s="234" t="s">
        <v>2643</v>
      </c>
      <c r="B908" s="10">
        <f>SUM(B52:B52)+SUM(B115:B123)+SUM(B300:B303)+SUM(B488:B489)+SUM(B558:B558)+B600+SUM(B660:B662)+B716+B765+B812+SUM(B860:B862)</f>
        <v>0</v>
      </c>
      <c r="C908" s="10">
        <f>SUM(C52:C52)+SUM(C115:C123)+SUM(C300:C303)+SUM(C488:C489)+SUM(C558:C558)+C600+SUM(C660:C662)+C716+C765+C812+SUM(C860:C862)</f>
        <v>0</v>
      </c>
      <c r="D908" s="10">
        <f>SUM(D52:D52)+SUM(D115:D123)+SUM(D300:D303)+SUM(D488:D489)+SUM(D558:D558)+D600+SUM(D660:D662)+D716+D765+D812+SUM(D860:D862)</f>
        <v>0</v>
      </c>
      <c r="E908" s="38">
        <f t="shared" ref="E908:E916" si="350">SUM(B908:D908)</f>
        <v>0</v>
      </c>
      <c r="F908" s="10">
        <f>SUM(F52:F52)+SUM(F115:F123)+SUM(F300:F303)+SUM(F488:F489)+SUM(F558:F558)+F600+SUM(F660:F662)+F716+F765+F812+SUM(F860:F862)</f>
        <v>0</v>
      </c>
      <c r="G908" s="10">
        <f>SUM(G52:G52)+SUM(G115:G123)+SUM(G300:G303)+SUM(G488:G489)+SUM(G558:G558)+G600+SUM(G660:G662)+G716+G765+G812+SUM(G860:G862)</f>
        <v>0</v>
      </c>
      <c r="H908" s="10">
        <f>SUM(H52:H52)+SUM(H115:H123)+SUM(H300:H303)+SUM(H488:H489)+SUM(H558:H558)+H600+SUM(H660:H662)+H716+H765+H812+SUM(H860:H862)</f>
        <v>0</v>
      </c>
      <c r="I908" s="38">
        <f t="shared" ref="I908:I916" si="351">SUM(F908:H908)</f>
        <v>0</v>
      </c>
      <c r="J908" s="10">
        <f>SUM(J52:J52)+SUM(J115:J123)+SUM(J300:J303)+SUM(J488:J489)+SUM(J558:J558)+J600+SUM(J660:J662)+J716+J765+J812+SUM(J860:J862)</f>
        <v>512</v>
      </c>
      <c r="K908" s="10">
        <f>SUM(K52:K52)+SUM(K115:K123)+SUM(K300:K303)+SUM(K488:K489)+SUM(K558:K558)+K600+SUM(K660:K662)+K716+K765+K812+SUM(K860:K862)</f>
        <v>3000</v>
      </c>
      <c r="L908" s="10">
        <f>SUM(L52:L52)+SUM(L115:L123)+SUM(L300:L303)+SUM(L488:L489)+SUM(L558:L558)+L600+SUM(L660:L662)+L716+L765+L812+SUM(L860:L862)</f>
        <v>5188</v>
      </c>
      <c r="M908" s="38">
        <f t="shared" ref="M908:M916" si="352">SUM(J908:L908)</f>
        <v>8700</v>
      </c>
      <c r="N908" s="10">
        <f>SUM(N52:N52)+SUM(N115:N123)+SUM(N300:N303)+SUM(N488:N489)+SUM(N558:N558)+N600+SUM(N660:N662)+N716+N765+N812+SUM(N860:N862)</f>
        <v>2632</v>
      </c>
      <c r="O908" s="10">
        <f>SUM(O52:O52)+SUM(O115:O123)+SUM(O300:O303)+SUM(O488:O489)+SUM(O558:O558)+O600+SUM(O660:O662)+O716+O765+O812+SUM(O860:O862)</f>
        <v>0</v>
      </c>
      <c r="P908" s="10">
        <f>SUM(P52:P52)+SUM(P115:P123)+SUM(P300:P303)+SUM(P488:P489)+SUM(P558:P558)+P600+SUM(P660:P662)+P716+P765+P812+SUM(P860:P862)</f>
        <v>0</v>
      </c>
      <c r="Q908" s="38">
        <f t="shared" ref="Q908:Q916" si="353">SUM(N908:P908)</f>
        <v>2632</v>
      </c>
      <c r="R908" s="38">
        <f>+E908+I908+M908+Q908</f>
        <v>11332</v>
      </c>
    </row>
    <row r="909" spans="1:20" ht="15.75" customHeight="1" x14ac:dyDescent="0.3">
      <c r="A909" s="234" t="s">
        <v>557</v>
      </c>
      <c r="B909" s="10">
        <f>SUM(B53:B54)+SUM(B124:B125)+SUM(B304:B305)+B307+B309+B311+B312+SUM(B490:B492)+B559+B601+SUM(B663:B664)+B666+SUM(B717:B718)+B767+B769+B813+SUM(B863:B864)</f>
        <v>0</v>
      </c>
      <c r="C909" s="10">
        <f>SUM(C53:C54)+SUM(C124:C125)+SUM(C304:C305)+C307+C309+C311+C312+SUM(C490:C492)+C559+C601+SUM(C663:C664)+C666+SUM(C717:C718)+C767+C769+C813+SUM(C863:C864)</f>
        <v>0</v>
      </c>
      <c r="D909" s="10">
        <f>SUM(D53:D54)+SUM(D124:D125)+SUM(D304:D305)+D307+D309+D311+D312+SUM(D490:D492)+D559+D601+SUM(D663:D664)+D666+SUM(D717:D718)+D767+D769+D813+SUM(D863:D864)</f>
        <v>0</v>
      </c>
      <c r="E909" s="38">
        <f t="shared" si="350"/>
        <v>0</v>
      </c>
      <c r="F909" s="10">
        <f>SUM(F53:F54)+SUM(F124:F125)+SUM(F304:F305)+F307+F309+F311+F312+SUM(F490:F492)+F559+F601+SUM(F663:F664)+F666+SUM(F717:F718)+F767+F769+F813+SUM(F863:F864)</f>
        <v>0</v>
      </c>
      <c r="G909" s="10">
        <f>SUM(G53:G54)+SUM(G124:G125)+SUM(G304:G305)+G307+G309+G311+G312+SUM(G490:G492)+G559+G601+SUM(G663:G664)+G666+SUM(G717:G718)+G767+G769+G813+SUM(G863:G864)</f>
        <v>0</v>
      </c>
      <c r="H909" s="10">
        <f>SUM(H53:H54)+SUM(H124:H125)+SUM(H304:H305)+H307+H309+H311+H312+SUM(H490:H492)+H559+H601+SUM(H663:H664)+H666+SUM(H717:H718)+H767+H769+H813+SUM(H863:H864)</f>
        <v>0</v>
      </c>
      <c r="I909" s="38">
        <f t="shared" si="351"/>
        <v>0</v>
      </c>
      <c r="J909" s="10">
        <f>SUM(J53:J54)+SUM(J124:J125)+SUM(J304:J305)+J307+J309+J311+J312+SUM(J490:J492)+J559+J601+SUM(J663:J664)+J666+SUM(J717:J718)+J767+J769+J813+SUM(J863:J864)</f>
        <v>617</v>
      </c>
      <c r="K909" s="10">
        <f>SUM(K53:K54)+SUM(K124:K125)+SUM(K304:K305)+K307+K309+K311+K312+SUM(K490:K492)+K559+K601+SUM(K663:K664)+K666+SUM(K717:K718)+K767+K769+K813+SUM(K863:K864)</f>
        <v>7905</v>
      </c>
      <c r="L909" s="10">
        <f>SUM(L53:L54)+SUM(L124:L125)+SUM(L304:L305)+L307+L309+L311+L312+SUM(L490:L492)+L559+L601+SUM(L663:L664)+L666+SUM(L717:L718)+L767+L769+L813+SUM(L863:L864)</f>
        <v>8047</v>
      </c>
      <c r="M909" s="38">
        <f t="shared" si="352"/>
        <v>16569</v>
      </c>
      <c r="N909" s="10">
        <f>SUM(N53:N54)+SUM(N124:N125)+SUM(N304:N305)+N307+N309+N311+N312+SUM(N490:N492)+N559+N601+SUM(N663:N664)+N666+SUM(N717:N718)+N767+N769+N813+SUM(N863:N864)</f>
        <v>13259</v>
      </c>
      <c r="O909" s="10">
        <f>SUM(O53:O54)+SUM(O124:O125)+SUM(O304:O305)+O307+O309+O311+O312+SUM(O490:O492)+O559+O601+SUM(O663:O664)+O666+SUM(O717:O718)+O767+O769+O813+SUM(O863:O864)</f>
        <v>8000</v>
      </c>
      <c r="P909" s="10">
        <f>SUM(P53:P54)+SUM(P124:P125)+SUM(P304:P305)+P307+P309+P311+P312+SUM(P490:P492)+P559+P601+SUM(P663:P664)+P666+SUM(P717:P718)+P767+P769+P813+SUM(P863:P864)</f>
        <v>10299</v>
      </c>
      <c r="Q909" s="38">
        <f t="shared" si="353"/>
        <v>31558</v>
      </c>
      <c r="R909" s="38">
        <f t="shared" ref="R909:R916" si="354">+E909+I909+M909+Q909</f>
        <v>48127</v>
      </c>
    </row>
    <row r="910" spans="1:20" ht="18" customHeight="1" x14ac:dyDescent="0.3">
      <c r="A910" s="539" t="s">
        <v>3281</v>
      </c>
      <c r="B910" s="10">
        <f>B126+B306+B308+B310+B665+B667+B768+B770+B865</f>
        <v>0</v>
      </c>
      <c r="C910" s="10">
        <f>C126+C306+C308+C310+C665+C667+C768+C770+C865</f>
        <v>0</v>
      </c>
      <c r="D910" s="10">
        <f>D126+D306+D308+D310+D665+D667+D768+D770+D865</f>
        <v>0</v>
      </c>
      <c r="E910" s="38">
        <f t="shared" si="350"/>
        <v>0</v>
      </c>
      <c r="F910" s="10">
        <f>F126+F306+F308+F310+F665+F667+F768+F770+F865</f>
        <v>0</v>
      </c>
      <c r="G910" s="10">
        <f>G126+G306+G308+G310+G665+G667+G768+G770+G865</f>
        <v>0</v>
      </c>
      <c r="H910" s="10">
        <f>H126+H306+H308+H310+H665+H667+H768+H770+H865</f>
        <v>0</v>
      </c>
      <c r="I910" s="38">
        <f t="shared" si="351"/>
        <v>0</v>
      </c>
      <c r="J910" s="10">
        <f>J126+J306+J308+J310+J665+J667+J768+J770+J865</f>
        <v>0</v>
      </c>
      <c r="K910" s="10">
        <f>K126+K306+K308+K310+K665+K667+K768+K770+K865</f>
        <v>0</v>
      </c>
      <c r="L910" s="10">
        <f>L126+L306+L308+L310+L665+L667+L768+L770+L865</f>
        <v>0</v>
      </c>
      <c r="M910" s="38">
        <f t="shared" si="352"/>
        <v>0</v>
      </c>
      <c r="N910" s="10">
        <f>N126+N306+N308+N310+N665+N667+N768+N770+N865</f>
        <v>0</v>
      </c>
      <c r="O910" s="10">
        <f>O126+O306+O308+O310+O665+O667+O768+O770+O865</f>
        <v>0</v>
      </c>
      <c r="P910" s="10">
        <f>P126+P306+P308+P310+P665+P667+P768+P770+P865</f>
        <v>0</v>
      </c>
      <c r="Q910" s="38">
        <f t="shared" si="353"/>
        <v>0</v>
      </c>
      <c r="R910" s="38">
        <f t="shared" si="354"/>
        <v>0</v>
      </c>
    </row>
    <row r="911" spans="1:20" ht="15.75" customHeight="1" x14ac:dyDescent="0.3">
      <c r="A911" s="234" t="s">
        <v>2644</v>
      </c>
      <c r="B911" s="10">
        <f>+B55+SUM(B127:B128)+SUM(B313:B314)+SUM(B493:B499)+SUM(B560:B560)+SUM(B602:B603)+SUM(B668:B670)+B719+B771+B866+B866+B814</f>
        <v>0</v>
      </c>
      <c r="C911" s="10">
        <f>+C55+SUM(C127:C128)+SUM(C313:C314)+SUM(C493:C499)+SUM(C560:C560)+SUM(C602:C603)+SUM(C668:C670)+C719+C771+C866+C866+C814</f>
        <v>0</v>
      </c>
      <c r="D911" s="10">
        <f>+D55+SUM(D127:D128)+SUM(D313:D314)+SUM(D493:D499)+SUM(D560:D560)+SUM(D602:D603)+SUM(D668:D670)+D719+D771+D866+D866+D814</f>
        <v>0</v>
      </c>
      <c r="E911" s="38">
        <f t="shared" si="350"/>
        <v>0</v>
      </c>
      <c r="F911" s="10">
        <f>+F55+SUM(F127:F128)+SUM(F313:F314)+SUM(F493:F499)+SUM(F560:F560)+SUM(F602:F603)+SUM(F668:F670)+F719+F771+F866+F866+F814</f>
        <v>0</v>
      </c>
      <c r="G911" s="10">
        <f>+G55+SUM(G127:G128)+SUM(G313:G314)+SUM(G493:G499)+SUM(G560:G560)+SUM(G602:G603)+SUM(G668:G670)+G719+G771+G866+G866+G814</f>
        <v>0</v>
      </c>
      <c r="H911" s="10">
        <f>+H55+SUM(H127:H128)+SUM(H313:H314)+SUM(H493:H499)+SUM(H560:H560)+SUM(H602:H603)+SUM(H668:H670)+H719+H771+H866+H866+H814</f>
        <v>0</v>
      </c>
      <c r="I911" s="38">
        <f t="shared" si="351"/>
        <v>0</v>
      </c>
      <c r="J911" s="10">
        <f>+J55+SUM(J127:J128)+SUM(J313:J314)+SUM(J493:J499)+SUM(J560:J560)+SUM(J602:J603)+SUM(J668:J670)+J719+J771+J866+J866+J814</f>
        <v>0</v>
      </c>
      <c r="K911" s="10">
        <f>+K55+SUM(K127:K128)+SUM(K313:K314)+SUM(K493:K499)+SUM(K560:K560)+SUM(K602:K603)+SUM(K668:K670)+K719+K771+K866+K866+K814</f>
        <v>0</v>
      </c>
      <c r="L911" s="10">
        <f>+L55+SUM(L127:L128)+SUM(L313:L314)+SUM(L493:L499)+SUM(L560:L560)+SUM(L602:L603)+SUM(L668:L670)+L719+L771+L866+L866+L814</f>
        <v>3495</v>
      </c>
      <c r="M911" s="38">
        <f t="shared" si="352"/>
        <v>3495</v>
      </c>
      <c r="N911" s="10">
        <f>+N55+SUM(N127:N128)+SUM(N313:N314)+SUM(N493:N499)+SUM(N560:N560)+SUM(N602:N603)+SUM(N668:N670)+N719+N771+N866+N866+N814</f>
        <v>1695</v>
      </c>
      <c r="O911" s="10">
        <f>+O55+SUM(O127:O128)+SUM(O313:O314)+SUM(O493:O499)+SUM(O560:O560)+SUM(O602:O603)+SUM(O668:O670)+O719+O771+O866+O866+O814</f>
        <v>0</v>
      </c>
      <c r="P911" s="10">
        <f>+P55+SUM(P127:P128)+SUM(P313:P314)+SUM(P493:P499)+SUM(P560:P560)+SUM(P602:P603)+SUM(P668:P670)+P719+P771+P866+P866+P814</f>
        <v>1505</v>
      </c>
      <c r="Q911" s="38">
        <f t="shared" si="353"/>
        <v>3200</v>
      </c>
      <c r="R911" s="38">
        <f>+E911+I911+M911+Q911</f>
        <v>6695</v>
      </c>
    </row>
    <row r="912" spans="1:20" ht="22.5" customHeight="1" x14ac:dyDescent="0.3">
      <c r="A912" s="234" t="s">
        <v>559</v>
      </c>
      <c r="B912" s="10">
        <f>SUM(B131:B131)+SUM(B315:B316)+B501+B504+B505+B507+B510+SUM(B561:B562)+B605+B608+B671+B672+B674+B720+B772+B815+B867</f>
        <v>0</v>
      </c>
      <c r="C912" s="10">
        <f>SUM(C131:C131)+SUM(C315:C316)+C501+C504+C505+C507+C510+SUM(C561:C562)+C605+C608+C671+C672+C674+C720+C772+C815+C867</f>
        <v>0</v>
      </c>
      <c r="D912" s="10">
        <f>SUM(D131:D131)+SUM(D315:D316)+D501+D504+D505+D507+D510+SUM(D561:D562)+D605+D608+D671+D672+D674+D720+D772+D815+D867</f>
        <v>0</v>
      </c>
      <c r="E912" s="38">
        <f t="shared" si="350"/>
        <v>0</v>
      </c>
      <c r="F912" s="10">
        <f>SUM(F131:F131)+SUM(F315:F316)+F501+F504+F505+F507+F510+SUM(F561:F562)+F605+F608+F671+F672+F674+F720+F772+F815+F867</f>
        <v>0</v>
      </c>
      <c r="G912" s="10">
        <f>SUM(G131:G131)+SUM(G315:G316)+G501+G504+G505+G507+G510+SUM(G561:G562)+G605+G608+G671+G672+G674+G720+G772+G815+G867</f>
        <v>0</v>
      </c>
      <c r="H912" s="10">
        <f>SUM(H131:H131)+SUM(H315:H316)+H501+H504+H505+H507+H510+SUM(H561:H562)+H605+H608+H671+H672+H674+H720+H772+H815+H867</f>
        <v>0</v>
      </c>
      <c r="I912" s="38">
        <f t="shared" si="351"/>
        <v>0</v>
      </c>
      <c r="J912" s="10">
        <f>SUM(J131:J131)+SUM(J315:J316)+J501+J504+J505+J507+J510+SUM(J561:J562)+J605+J608+J671+J672+J674+J720+J772+J815+J867</f>
        <v>1272</v>
      </c>
      <c r="K912" s="10">
        <f>SUM(K131:K131)+SUM(K315:K316)+K501+K504+K505+K507+K510+SUM(K561:K562)+K605+K608+K671+K672+K674+K720+K772+K815+K867</f>
        <v>3332</v>
      </c>
      <c r="L912" s="10">
        <f>SUM(L131:L131)+SUM(L315:L316)+L501+L504+L505+L507+L510+SUM(L561:L562)+L605+L608+L671+L672+L674+L720+L772+L815+L867</f>
        <v>4500</v>
      </c>
      <c r="M912" s="38">
        <f t="shared" si="352"/>
        <v>9104</v>
      </c>
      <c r="N912" s="10">
        <f>SUM(N131:N131)+SUM(N315:N316)+N501+N504+N505+N507+N510+SUM(N561:N562)+N605+N608+N671+N672+N674+N720+N772+N815+N867</f>
        <v>2896</v>
      </c>
      <c r="O912" s="10">
        <f>SUM(O131:O131)+SUM(O315:O316)+O501+O504+O505+O507+O510+SUM(O561:O562)+O605+O608+O671+O672+O674+O720+O772+O815+O867</f>
        <v>0</v>
      </c>
      <c r="P912" s="10">
        <f>SUM(P131:P131)+SUM(P315:P316)+P501+P504+P505+P507+P510+SUM(P561:P562)+P605+P608+P671+P672+P674+P720+P772+P815+P867</f>
        <v>0</v>
      </c>
      <c r="Q912" s="38">
        <f t="shared" si="353"/>
        <v>2896</v>
      </c>
      <c r="R912" s="38">
        <f>+E912+I912+M912+Q912</f>
        <v>12000</v>
      </c>
    </row>
    <row r="913" spans="1:18" ht="18" customHeight="1" thickBot="1" x14ac:dyDescent="0.35">
      <c r="A913" s="539" t="s">
        <v>3280</v>
      </c>
      <c r="B913" s="10">
        <f>+B502+B506+B508+B563+B130+B503+B509+B606+B607+B673</f>
        <v>0</v>
      </c>
      <c r="C913" s="10">
        <f>+C502+C506+C508+C563+C130+C503+C509+C606+C607+C673</f>
        <v>0</v>
      </c>
      <c r="D913" s="10">
        <f>+D502+D506+D508+D563+D130+D503+D509+D606+D607+D673</f>
        <v>0</v>
      </c>
      <c r="E913" s="38">
        <f>SUM(B913:D913)</f>
        <v>0</v>
      </c>
      <c r="F913" s="10">
        <f>+F502+F506+F508+F563+F130+F503+F509+F606+F607+F673</f>
        <v>0</v>
      </c>
      <c r="G913" s="10">
        <f>+G502+G506+G508+G563+G130+G503+G509+G606+G607+G673</f>
        <v>0</v>
      </c>
      <c r="H913" s="10">
        <f>+H502+H506+H508+H563+H130+H503+H509+H606+H607+H673</f>
        <v>0</v>
      </c>
      <c r="I913" s="38">
        <f>SUM(F913:H913)</f>
        <v>0</v>
      </c>
      <c r="J913" s="10">
        <f>+J502+J506+J508+J563+J130+J503+J509+J606+J607+J673</f>
        <v>0</v>
      </c>
      <c r="K913" s="10">
        <f>+K502+K506+K508+K563+K130+K503+K509+K606+K607+K673</f>
        <v>0</v>
      </c>
      <c r="L913" s="10">
        <f>+L502+L506+L508+L563+L130+L503+L509+L606+L607+L673</f>
        <v>0</v>
      </c>
      <c r="M913" s="38">
        <f>SUM(J913:L913)</f>
        <v>0</v>
      </c>
      <c r="N913" s="10">
        <f>+N502+N506+N508+N563+N130+N503+N509+N606+N607+N673</f>
        <v>0</v>
      </c>
      <c r="O913" s="10">
        <f>+O502+O506+O508+O563+O130+O503+O509+O606+O607+O673</f>
        <v>0</v>
      </c>
      <c r="P913" s="10">
        <f>+P502+P506+P508+P563+P130+P503+P509+P606+P607+P673</f>
        <v>0</v>
      </c>
      <c r="Q913" s="38">
        <f>SUM(N913:P913)</f>
        <v>0</v>
      </c>
      <c r="R913" s="38">
        <f>+E913+I913+M913+Q913</f>
        <v>0</v>
      </c>
    </row>
    <row r="914" spans="1:18" ht="16.5" customHeight="1" thickBot="1" x14ac:dyDescent="0.35">
      <c r="A914" s="43" t="s">
        <v>1019</v>
      </c>
      <c r="B914" s="745">
        <f>SUM(B911:B913)</f>
        <v>0</v>
      </c>
      <c r="C914" s="745">
        <f>SUM(C911:C913)</f>
        <v>0</v>
      </c>
      <c r="D914" s="745">
        <f>SUM(D911:D913)</f>
        <v>0</v>
      </c>
      <c r="E914" s="39">
        <f t="shared" si="350"/>
        <v>0</v>
      </c>
      <c r="F914" s="745">
        <f>SUM(F911:F913)</f>
        <v>0</v>
      </c>
      <c r="G914" s="745">
        <f>SUM(G911:G913)</f>
        <v>0</v>
      </c>
      <c r="H914" s="745">
        <f>SUM(H911:H913)</f>
        <v>0</v>
      </c>
      <c r="I914" s="39">
        <f t="shared" si="351"/>
        <v>0</v>
      </c>
      <c r="J914" s="745">
        <f>SUM(J911:J913)</f>
        <v>1272</v>
      </c>
      <c r="K914" s="745">
        <f>SUM(K911:K913)</f>
        <v>3332</v>
      </c>
      <c r="L914" s="745">
        <f>SUM(L911:L913)</f>
        <v>7995</v>
      </c>
      <c r="M914" s="39">
        <f t="shared" si="352"/>
        <v>12599</v>
      </c>
      <c r="N914" s="745">
        <f>SUM(N911:N913)</f>
        <v>4591</v>
      </c>
      <c r="O914" s="745">
        <f>SUM(O911:O913)</f>
        <v>0</v>
      </c>
      <c r="P914" s="745">
        <f>SUM(P911:P913)</f>
        <v>1505</v>
      </c>
      <c r="Q914" s="39">
        <f t="shared" si="353"/>
        <v>6096</v>
      </c>
      <c r="R914" s="37">
        <f t="shared" si="354"/>
        <v>18695</v>
      </c>
    </row>
    <row r="915" spans="1:18" ht="16.5" customHeight="1" thickBot="1" x14ac:dyDescent="0.35">
      <c r="A915" s="277" t="s">
        <v>1221</v>
      </c>
      <c r="B915" s="45">
        <f>SUM(B907:B913)</f>
        <v>0</v>
      </c>
      <c r="C915" s="46">
        <f>SUM(C907:C913)</f>
        <v>0</v>
      </c>
      <c r="D915" s="58">
        <f>SUM(D907:D913)</f>
        <v>0</v>
      </c>
      <c r="E915" s="746">
        <f t="shared" si="350"/>
        <v>0</v>
      </c>
      <c r="F915" s="45">
        <f>SUM(F907:F913)</f>
        <v>0</v>
      </c>
      <c r="G915" s="46">
        <f>SUM(G907:G913)</f>
        <v>0</v>
      </c>
      <c r="H915" s="58">
        <f>SUM(H907:H913)</f>
        <v>0</v>
      </c>
      <c r="I915" s="39">
        <f t="shared" si="351"/>
        <v>0</v>
      </c>
      <c r="J915" s="45">
        <f>SUM(J907:J913)</f>
        <v>2401</v>
      </c>
      <c r="K915" s="46">
        <f>SUM(K907:K913)</f>
        <v>14237</v>
      </c>
      <c r="L915" s="58">
        <f>SUM(L907:L913)</f>
        <v>21230</v>
      </c>
      <c r="M915" s="39">
        <f t="shared" si="352"/>
        <v>37868</v>
      </c>
      <c r="N915" s="45">
        <f>SUM(N907:N913)</f>
        <v>20482</v>
      </c>
      <c r="O915" s="46">
        <f>SUM(O907:O913)</f>
        <v>8000</v>
      </c>
      <c r="P915" s="58">
        <f>SUM(P907:P913)</f>
        <v>11804</v>
      </c>
      <c r="Q915" s="39">
        <f t="shared" si="353"/>
        <v>40286</v>
      </c>
      <c r="R915" s="37">
        <f t="shared" si="354"/>
        <v>78154</v>
      </c>
    </row>
    <row r="916" spans="1:18" ht="16.5" customHeight="1" thickBot="1" x14ac:dyDescent="0.35">
      <c r="A916" s="43" t="s">
        <v>1222</v>
      </c>
      <c r="B916" s="337">
        <f>+B897+B902+B906+B915</f>
        <v>52807</v>
      </c>
      <c r="C916" s="338">
        <f>+C897+C902+C906+C915</f>
        <v>69398</v>
      </c>
      <c r="D916" s="338">
        <f>+D897+D902+D906+D915</f>
        <v>88013</v>
      </c>
      <c r="E916" s="37">
        <f t="shared" si="350"/>
        <v>210218</v>
      </c>
      <c r="F916" s="42">
        <f>+F897+F902+F906+F915</f>
        <v>141711</v>
      </c>
      <c r="G916" s="42">
        <f>+G897+G902+G906+G915</f>
        <v>174457</v>
      </c>
      <c r="H916" s="42">
        <f>+H897+H902+H906+H915</f>
        <v>192700</v>
      </c>
      <c r="I916" s="37">
        <f t="shared" si="351"/>
        <v>508868</v>
      </c>
      <c r="J916" s="42">
        <f>+J897+J902+J906+J915</f>
        <v>185936</v>
      </c>
      <c r="K916" s="42">
        <f>+K897+K902+K906+K915</f>
        <v>180706</v>
      </c>
      <c r="L916" s="42">
        <f>+L897+L902+L906+L915</f>
        <v>129353</v>
      </c>
      <c r="M916" s="37">
        <f t="shared" si="352"/>
        <v>495995</v>
      </c>
      <c r="N916" s="42">
        <f>+N897+N902+N906+N915</f>
        <v>95255</v>
      </c>
      <c r="O916" s="42">
        <f>+O897+O902+O906+O915</f>
        <v>59272</v>
      </c>
      <c r="P916" s="42">
        <f>+P897+P902+P906+P915</f>
        <v>69915</v>
      </c>
      <c r="Q916" s="37">
        <f t="shared" si="353"/>
        <v>224442</v>
      </c>
      <c r="R916" s="40">
        <f t="shared" si="354"/>
        <v>1439523</v>
      </c>
    </row>
    <row r="917" spans="1:18" ht="15.75" customHeight="1" x14ac:dyDescent="0.3">
      <c r="A917" s="356" t="s">
        <v>3282</v>
      </c>
      <c r="B917" s="10"/>
      <c r="C917" s="10"/>
      <c r="D917" s="10"/>
      <c r="E917" s="10"/>
      <c r="F917" s="10"/>
      <c r="G917" s="10"/>
      <c r="H917" s="10"/>
      <c r="I917" s="10"/>
      <c r="J917" s="10"/>
      <c r="K917" s="10"/>
      <c r="L917" s="10"/>
      <c r="M917" s="10"/>
      <c r="N917" s="10"/>
      <c r="O917" s="747"/>
      <c r="P917" s="10"/>
      <c r="Q917" s="10"/>
      <c r="R917" s="17"/>
    </row>
    <row r="918" spans="1:18" ht="15.75" customHeight="1" x14ac:dyDescent="0.3">
      <c r="A918" s="356" t="s">
        <v>3279</v>
      </c>
      <c r="B918" s="10"/>
      <c r="C918" s="10"/>
      <c r="D918" s="10"/>
      <c r="E918" s="10"/>
      <c r="F918" s="10"/>
      <c r="G918" s="10"/>
      <c r="H918" s="10"/>
      <c r="I918" s="10"/>
      <c r="J918" s="10"/>
      <c r="K918" s="10"/>
      <c r="L918" s="10"/>
      <c r="M918" s="10"/>
      <c r="N918" s="10"/>
      <c r="O918" s="747"/>
      <c r="P918" s="10"/>
      <c r="Q918" s="10"/>
      <c r="R918" s="17"/>
    </row>
    <row r="919" spans="1:18" ht="15.75" customHeight="1" x14ac:dyDescent="0.3">
      <c r="A919" s="10"/>
      <c r="B919" s="10"/>
      <c r="C919" s="10"/>
      <c r="D919" s="10"/>
      <c r="E919" s="10"/>
      <c r="F919" s="10"/>
      <c r="G919" s="10"/>
      <c r="H919" s="10"/>
      <c r="I919" s="10"/>
      <c r="J919" s="10"/>
      <c r="K919" s="10"/>
      <c r="L919" s="10"/>
      <c r="M919" s="10"/>
      <c r="N919" s="10"/>
      <c r="O919" s="747"/>
      <c r="P919" s="10"/>
      <c r="Q919" s="680" t="str">
        <f>+Q1</f>
        <v xml:space="preserve">PRINTED:  </v>
      </c>
      <c r="R919" s="681">
        <f ca="1">+R1</f>
        <v>44881.729633912037</v>
      </c>
    </row>
    <row r="920" spans="1:18" ht="15.75" customHeight="1" x14ac:dyDescent="0.3">
      <c r="A920" s="778" t="s">
        <v>43</v>
      </c>
      <c r="B920" s="778"/>
      <c r="C920" s="778"/>
      <c r="D920" s="778"/>
      <c r="E920" s="778"/>
      <c r="F920" s="778"/>
      <c r="G920" s="778"/>
      <c r="H920" s="778"/>
      <c r="I920" s="778"/>
      <c r="J920" s="778"/>
      <c r="K920" s="778"/>
      <c r="L920" s="778"/>
      <c r="M920" s="778"/>
      <c r="N920" s="778"/>
      <c r="O920" s="778"/>
      <c r="P920" s="778"/>
      <c r="Q920" s="778"/>
      <c r="R920" s="778"/>
    </row>
    <row r="921" spans="1:18" ht="15.75" customHeight="1" x14ac:dyDescent="0.3">
      <c r="A921" s="778" t="s">
        <v>1988</v>
      </c>
      <c r="B921" s="778"/>
      <c r="C921" s="778"/>
      <c r="D921" s="778"/>
      <c r="E921" s="778"/>
      <c r="F921" s="778"/>
      <c r="G921" s="778"/>
      <c r="H921" s="778"/>
      <c r="I921" s="778"/>
      <c r="J921" s="778"/>
      <c r="K921" s="778"/>
      <c r="L921" s="778"/>
      <c r="M921" s="778"/>
      <c r="N921" s="778"/>
      <c r="O921" s="778"/>
      <c r="P921" s="778"/>
      <c r="Q921" s="778"/>
      <c r="R921" s="778"/>
    </row>
    <row r="922" spans="1:18" ht="15.75" customHeight="1" x14ac:dyDescent="0.3">
      <c r="A922" s="778" t="s">
        <v>544</v>
      </c>
      <c r="B922" s="778"/>
      <c r="C922" s="778"/>
      <c r="D922" s="778"/>
      <c r="E922" s="778"/>
      <c r="F922" s="778"/>
      <c r="G922" s="778"/>
      <c r="H922" s="778"/>
      <c r="I922" s="778"/>
      <c r="J922" s="778"/>
      <c r="K922" s="778"/>
      <c r="L922" s="778"/>
      <c r="M922" s="778"/>
      <c r="N922" s="778"/>
      <c r="O922" s="778"/>
      <c r="P922" s="778"/>
      <c r="Q922" s="778"/>
      <c r="R922" s="778"/>
    </row>
    <row r="923" spans="1:18" ht="15.75" customHeight="1" x14ac:dyDescent="0.3">
      <c r="A923" s="784">
        <f>+A5</f>
        <v>2020</v>
      </c>
      <c r="B923" s="784"/>
      <c r="C923" s="784"/>
      <c r="D923" s="784"/>
      <c r="E923" s="784"/>
      <c r="F923" s="784"/>
      <c r="G923" s="784"/>
      <c r="H923" s="784"/>
      <c r="I923" s="784"/>
      <c r="J923" s="784"/>
      <c r="K923" s="784"/>
      <c r="L923" s="784"/>
      <c r="M923" s="784"/>
      <c r="N923" s="784"/>
      <c r="O923" s="784"/>
      <c r="P923" s="784"/>
      <c r="Q923" s="784"/>
      <c r="R923" s="784"/>
    </row>
    <row r="924" spans="1:18" ht="15.75" customHeight="1" x14ac:dyDescent="0.3">
      <c r="A924" s="10"/>
      <c r="B924" s="10"/>
      <c r="C924" s="10"/>
      <c r="D924" s="1"/>
      <c r="E924" s="1"/>
      <c r="F924" s="1"/>
      <c r="G924" s="220"/>
      <c r="H924" s="1"/>
      <c r="I924" s="1"/>
      <c r="J924" s="220"/>
      <c r="K924" s="220"/>
      <c r="L924" s="220"/>
      <c r="M924" s="220"/>
      <c r="N924" s="10"/>
      <c r="O924" s="220"/>
      <c r="P924" s="220"/>
      <c r="Q924" s="220"/>
      <c r="R924" s="220"/>
    </row>
    <row r="925" spans="1:18" ht="15.75" customHeight="1" x14ac:dyDescent="0.3">
      <c r="A925" s="778" t="str">
        <f>+A8</f>
        <v>Revised:  10/5/2020</v>
      </c>
      <c r="B925" s="778"/>
      <c r="C925" s="778"/>
      <c r="D925" s="778"/>
      <c r="E925" s="778"/>
      <c r="F925" s="778"/>
      <c r="G925" s="778"/>
      <c r="H925" s="778"/>
      <c r="I925" s="778"/>
      <c r="J925" s="778"/>
      <c r="K925" s="778"/>
      <c r="L925" s="778"/>
      <c r="M925" s="778"/>
      <c r="N925" s="778"/>
      <c r="O925" s="778"/>
      <c r="P925" s="778"/>
      <c r="Q925" s="778"/>
      <c r="R925" s="778"/>
    </row>
    <row r="926" spans="1:18" ht="15.75" customHeight="1" x14ac:dyDescent="0.3">
      <c r="A926" s="448"/>
      <c r="B926" s="448"/>
      <c r="C926" s="448"/>
      <c r="D926" s="448"/>
      <c r="E926" s="448"/>
      <c r="F926" s="448"/>
      <c r="G926" s="448"/>
      <c r="H926" s="448"/>
      <c r="I926" s="448"/>
      <c r="J926" s="448"/>
      <c r="K926" s="448"/>
      <c r="L926" s="448"/>
      <c r="M926" s="448"/>
      <c r="N926" s="448"/>
      <c r="O926" s="448"/>
      <c r="P926" s="448"/>
      <c r="Q926" s="448"/>
      <c r="R926" s="448"/>
    </row>
    <row r="927" spans="1:18" ht="15.75" customHeight="1" x14ac:dyDescent="0.3">
      <c r="A927" s="18"/>
      <c r="B927" s="10"/>
      <c r="C927" s="10"/>
      <c r="D927" s="10"/>
      <c r="E927" s="10"/>
      <c r="F927" s="10"/>
      <c r="G927" s="10"/>
      <c r="H927" s="10"/>
      <c r="I927" s="10"/>
      <c r="J927" s="10"/>
      <c r="K927" s="10"/>
      <c r="L927" s="10"/>
      <c r="M927" s="10"/>
      <c r="N927" s="10"/>
      <c r="O927" s="10"/>
      <c r="P927" s="10"/>
      <c r="Q927" s="10"/>
      <c r="R927" s="17"/>
    </row>
    <row r="928" spans="1:18" ht="15.75" customHeight="1" thickBot="1" x14ac:dyDescent="0.35">
      <c r="A928" s="10"/>
      <c r="B928" s="10"/>
      <c r="C928" s="10"/>
      <c r="D928" s="10"/>
      <c r="E928" s="10"/>
      <c r="F928" s="10"/>
      <c r="G928" s="10"/>
      <c r="H928" s="10"/>
      <c r="I928" s="10"/>
      <c r="J928" s="10"/>
      <c r="K928" s="10"/>
      <c r="L928" s="10"/>
      <c r="M928" s="10"/>
      <c r="N928" s="10"/>
      <c r="O928" s="747"/>
      <c r="P928" s="10"/>
      <c r="Q928" s="10"/>
      <c r="R928" s="17"/>
    </row>
    <row r="929" spans="1:46" ht="15.75" customHeight="1" thickBot="1" x14ac:dyDescent="0.35">
      <c r="A929" s="274" t="s">
        <v>1088</v>
      </c>
      <c r="B929" s="25" t="s">
        <v>2090</v>
      </c>
      <c r="C929" s="26" t="s">
        <v>2091</v>
      </c>
      <c r="D929" s="26" t="s">
        <v>2234</v>
      </c>
      <c r="E929" s="33" t="s">
        <v>1594</v>
      </c>
      <c r="F929" s="26" t="s">
        <v>2235</v>
      </c>
      <c r="G929" s="26" t="s">
        <v>2236</v>
      </c>
      <c r="H929" s="26" t="s">
        <v>2237</v>
      </c>
      <c r="I929" s="33" t="s">
        <v>1595</v>
      </c>
      <c r="J929" s="26" t="s">
        <v>1504</v>
      </c>
      <c r="K929" s="26" t="s">
        <v>1505</v>
      </c>
      <c r="L929" s="26" t="s">
        <v>1506</v>
      </c>
      <c r="M929" s="33" t="s">
        <v>1596</v>
      </c>
      <c r="N929" s="26" t="s">
        <v>1507</v>
      </c>
      <c r="O929" s="26" t="s">
        <v>1508</v>
      </c>
      <c r="P929" s="26" t="s">
        <v>1509</v>
      </c>
      <c r="Q929" s="33" t="s">
        <v>1597</v>
      </c>
      <c r="R929" s="339" t="s">
        <v>1510</v>
      </c>
    </row>
    <row r="930" spans="1:46" ht="16.5" customHeight="1" thickBot="1" x14ac:dyDescent="0.35">
      <c r="A930" s="340"/>
      <c r="B930" s="748"/>
      <c r="C930" s="748"/>
      <c r="D930" s="748"/>
      <c r="E930" s="302"/>
      <c r="F930" s="748"/>
      <c r="G930" s="748"/>
      <c r="H930" s="748"/>
      <c r="I930" s="298"/>
      <c r="J930" s="748"/>
      <c r="K930" s="748"/>
      <c r="L930" s="748"/>
      <c r="M930" s="298"/>
      <c r="N930" s="748"/>
      <c r="O930" s="748"/>
      <c r="P930" s="748"/>
      <c r="Q930" s="323"/>
      <c r="R930" s="342"/>
    </row>
    <row r="931" spans="1:46" ht="16.5" customHeight="1" thickBot="1" x14ac:dyDescent="0.35">
      <c r="A931" s="343" t="s">
        <v>673</v>
      </c>
      <c r="B931" s="344">
        <f>+B897</f>
        <v>32498</v>
      </c>
      <c r="C931" s="344">
        <f>+C897</f>
        <v>38991</v>
      </c>
      <c r="D931" s="344">
        <f>+D897</f>
        <v>42912</v>
      </c>
      <c r="E931" s="45">
        <f>+SUM(B931:D931)</f>
        <v>114401</v>
      </c>
      <c r="F931" s="344">
        <f>+F897</f>
        <v>56438</v>
      </c>
      <c r="G931" s="344">
        <f>+G897</f>
        <v>63328</v>
      </c>
      <c r="H931" s="344">
        <f>+H897</f>
        <v>72277</v>
      </c>
      <c r="I931" s="45">
        <f>+SUM(F931:H931)</f>
        <v>192043</v>
      </c>
      <c r="J931" s="344">
        <f>+J897</f>
        <v>80794</v>
      </c>
      <c r="K931" s="344">
        <f>+K897</f>
        <v>73596</v>
      </c>
      <c r="L931" s="344">
        <f>+L897</f>
        <v>52166</v>
      </c>
      <c r="M931" s="45">
        <f>+SUM(J931:L931)</f>
        <v>206556</v>
      </c>
      <c r="N931" s="344">
        <f>+N897</f>
        <v>38912</v>
      </c>
      <c r="O931" s="344">
        <f>+O897</f>
        <v>31015</v>
      </c>
      <c r="P931" s="344">
        <f>+P897</f>
        <v>29505</v>
      </c>
      <c r="Q931" s="45">
        <f>+SUM(N931:P931)</f>
        <v>99432</v>
      </c>
      <c r="R931" s="37">
        <f>+E931+I931+M931+Q931</f>
        <v>612432</v>
      </c>
    </row>
    <row r="932" spans="1:46" ht="16.5" customHeight="1" thickBot="1" x14ac:dyDescent="0.35">
      <c r="A932" s="35"/>
      <c r="B932" s="45"/>
      <c r="C932" s="45"/>
      <c r="D932" s="45"/>
      <c r="E932" s="45"/>
      <c r="F932" s="45"/>
      <c r="G932" s="45"/>
      <c r="H932" s="45"/>
      <c r="I932" s="45"/>
      <c r="J932" s="45"/>
      <c r="K932" s="45"/>
      <c r="L932" s="45"/>
      <c r="M932" s="45"/>
      <c r="N932" s="45"/>
      <c r="O932" s="45"/>
      <c r="P932" s="45"/>
      <c r="Q932" s="45"/>
      <c r="R932" s="37"/>
    </row>
    <row r="933" spans="1:46" ht="16.5" customHeight="1" thickBot="1" x14ac:dyDescent="0.35">
      <c r="A933" s="343" t="s">
        <v>672</v>
      </c>
      <c r="B933" s="344">
        <f>+B902</f>
        <v>2068</v>
      </c>
      <c r="C933" s="344">
        <f>+C902</f>
        <v>5849</v>
      </c>
      <c r="D933" s="344">
        <f>+D902</f>
        <v>11643</v>
      </c>
      <c r="E933" s="45">
        <f>+SUM(B933:D933)</f>
        <v>19560</v>
      </c>
      <c r="F933" s="344">
        <f>+F902</f>
        <v>39157</v>
      </c>
      <c r="G933" s="344">
        <f>+G902</f>
        <v>45754</v>
      </c>
      <c r="H933" s="344">
        <f>+H902</f>
        <v>54158</v>
      </c>
      <c r="I933" s="45">
        <f>+SUM(F933:H933)</f>
        <v>139069</v>
      </c>
      <c r="J933" s="344">
        <f>+J902</f>
        <v>44721</v>
      </c>
      <c r="K933" s="344">
        <f>+K902</f>
        <v>26171</v>
      </c>
      <c r="L933" s="344">
        <f>+L902</f>
        <v>5757</v>
      </c>
      <c r="M933" s="45">
        <f>+SUM(J933:L933)</f>
        <v>76649</v>
      </c>
      <c r="N933" s="344">
        <f>+N902</f>
        <v>10129</v>
      </c>
      <c r="O933" s="344">
        <f>+O902</f>
        <v>6414</v>
      </c>
      <c r="P933" s="344">
        <f>+P902</f>
        <v>7109</v>
      </c>
      <c r="Q933" s="45">
        <f>+SUM(N933:P933)</f>
        <v>23652</v>
      </c>
      <c r="R933" s="37">
        <f>+E933+I933+M933+Q933</f>
        <v>258930</v>
      </c>
    </row>
    <row r="934" spans="1:46" ht="16.5" customHeight="1" thickBot="1" x14ac:dyDescent="0.35">
      <c r="A934" s="35"/>
      <c r="B934" s="45"/>
      <c r="C934" s="45"/>
      <c r="D934" s="45"/>
      <c r="E934" s="45"/>
      <c r="F934" s="45"/>
      <c r="G934" s="45"/>
      <c r="H934" s="45"/>
      <c r="I934" s="45"/>
      <c r="J934" s="45"/>
      <c r="K934" s="45"/>
      <c r="L934" s="45"/>
      <c r="M934" s="45"/>
      <c r="N934" s="45"/>
      <c r="O934" s="45"/>
      <c r="P934" s="45"/>
      <c r="Q934" s="45"/>
      <c r="R934" s="37"/>
      <c r="AC934" s="749"/>
      <c r="AD934" s="701"/>
      <c r="AE934" s="750" t="s">
        <v>2434</v>
      </c>
      <c r="AF934" s="701"/>
      <c r="AG934" s="701"/>
      <c r="AH934" s="701"/>
      <c r="AI934" s="701"/>
      <c r="AJ934" s="701"/>
      <c r="AK934" s="701" t="s">
        <v>2435</v>
      </c>
      <c r="AL934" s="701"/>
      <c r="AM934" s="701" t="s">
        <v>852</v>
      </c>
      <c r="AN934" s="751" t="str">
        <f>+A8</f>
        <v>Revised:  10/5/2020</v>
      </c>
      <c r="AO934" s="701"/>
      <c r="AP934" s="701"/>
      <c r="AQ934" s="701"/>
      <c r="AR934" s="701"/>
      <c r="AS934" s="752" t="str">
        <f>+Q1</f>
        <v xml:space="preserve">PRINTED:  </v>
      </c>
      <c r="AT934" s="753">
        <f ca="1">+R1</f>
        <v>44881.729633912037</v>
      </c>
    </row>
    <row r="935" spans="1:46" ht="16.5" customHeight="1" thickBot="1" x14ac:dyDescent="0.35">
      <c r="A935" s="343" t="s">
        <v>1089</v>
      </c>
      <c r="B935" s="344">
        <f>+B906</f>
        <v>18241</v>
      </c>
      <c r="C935" s="344">
        <f>+C906</f>
        <v>24558</v>
      </c>
      <c r="D935" s="344">
        <f>+D906</f>
        <v>33458</v>
      </c>
      <c r="E935" s="45">
        <f>+SUM(B935:D935)</f>
        <v>76257</v>
      </c>
      <c r="F935" s="344">
        <f>+F906</f>
        <v>46116</v>
      </c>
      <c r="G935" s="344">
        <f>+G906</f>
        <v>65375</v>
      </c>
      <c r="H935" s="344">
        <f>+H906</f>
        <v>66265</v>
      </c>
      <c r="I935" s="45">
        <f>+SUM(F935:H935)</f>
        <v>177756</v>
      </c>
      <c r="J935" s="344">
        <f>+J906</f>
        <v>58020</v>
      </c>
      <c r="K935" s="344">
        <f>+K906</f>
        <v>66702</v>
      </c>
      <c r="L935" s="344">
        <f>+L906</f>
        <v>50200</v>
      </c>
      <c r="M935" s="45">
        <f>+SUM(J935:L935)</f>
        <v>174922</v>
      </c>
      <c r="N935" s="344">
        <f>+N906</f>
        <v>25732</v>
      </c>
      <c r="O935" s="344">
        <f>+O906</f>
        <v>13843</v>
      </c>
      <c r="P935" s="344">
        <f>+P906</f>
        <v>21497</v>
      </c>
      <c r="Q935" s="45">
        <f>+SUM(N935:P935)</f>
        <v>61072</v>
      </c>
      <c r="R935" s="37">
        <f>+E935+I935+M935+Q935</f>
        <v>490007</v>
      </c>
      <c r="AC935" s="551"/>
      <c r="AD935" s="67"/>
      <c r="AE935" s="67"/>
      <c r="AF935" s="67">
        <f>++A5</f>
        <v>2020</v>
      </c>
      <c r="AG935" s="67"/>
      <c r="AH935" s="67"/>
      <c r="AI935" s="67"/>
      <c r="AJ935" s="67"/>
      <c r="AK935" s="67"/>
      <c r="AL935" s="67"/>
      <c r="AM935" s="67"/>
      <c r="AN935" s="67"/>
      <c r="AO935" s="67"/>
      <c r="AP935" s="67"/>
      <c r="AQ935" s="67"/>
      <c r="AR935" s="67"/>
      <c r="AS935" s="67"/>
      <c r="AT935" s="754"/>
    </row>
    <row r="936" spans="1:46" ht="16.5" customHeight="1" thickBot="1" x14ac:dyDescent="0.35">
      <c r="A936" s="35"/>
      <c r="B936" s="45"/>
      <c r="C936" s="45"/>
      <c r="D936" s="45"/>
      <c r="E936" s="45"/>
      <c r="F936" s="45"/>
      <c r="G936" s="45"/>
      <c r="H936" s="45"/>
      <c r="I936" s="45"/>
      <c r="J936" s="45"/>
      <c r="K936" s="45"/>
      <c r="L936" s="45"/>
      <c r="M936" s="45"/>
      <c r="N936" s="45"/>
      <c r="O936" s="45"/>
      <c r="P936" s="45"/>
      <c r="Q936" s="45"/>
      <c r="R936" s="37"/>
      <c r="AC936" s="551"/>
      <c r="AD936" s="67"/>
      <c r="AE936" s="67"/>
      <c r="AF936" s="67"/>
      <c r="AG936" s="67"/>
      <c r="AH936" s="67"/>
      <c r="AI936" s="67"/>
      <c r="AJ936" s="67"/>
      <c r="AK936" s="67"/>
      <c r="AL936" s="67"/>
      <c r="AM936" s="67"/>
      <c r="AN936" s="67"/>
      <c r="AO936" s="67"/>
      <c r="AP936" s="67"/>
      <c r="AQ936" s="67"/>
      <c r="AR936" s="67"/>
      <c r="AS936" s="67"/>
      <c r="AT936" s="754"/>
    </row>
    <row r="937" spans="1:46" ht="16.5" customHeight="1" thickBot="1" x14ac:dyDescent="0.35">
      <c r="A937" s="343" t="s">
        <v>1090</v>
      </c>
      <c r="B937" s="344">
        <f>+B915</f>
        <v>0</v>
      </c>
      <c r="C937" s="344">
        <f>+C915</f>
        <v>0</v>
      </c>
      <c r="D937" s="344">
        <f>+D915</f>
        <v>0</v>
      </c>
      <c r="E937" s="45">
        <f>+SUM(B937:D937)</f>
        <v>0</v>
      </c>
      <c r="F937" s="344">
        <f>+F915</f>
        <v>0</v>
      </c>
      <c r="G937" s="344">
        <f>+G915</f>
        <v>0</v>
      </c>
      <c r="H937" s="344">
        <f>+H915</f>
        <v>0</v>
      </c>
      <c r="I937" s="45">
        <f>+SUM(F937:H937)</f>
        <v>0</v>
      </c>
      <c r="J937" s="344">
        <f>+J915</f>
        <v>2401</v>
      </c>
      <c r="K937" s="344">
        <f>+K915</f>
        <v>14237</v>
      </c>
      <c r="L937" s="344">
        <f>+L915</f>
        <v>21230</v>
      </c>
      <c r="M937" s="45">
        <f>+SUM(J937:L937)</f>
        <v>37868</v>
      </c>
      <c r="N937" s="344">
        <f>+N915</f>
        <v>20482</v>
      </c>
      <c r="O937" s="344">
        <f>+O915</f>
        <v>8000</v>
      </c>
      <c r="P937" s="344">
        <f>+P915</f>
        <v>11804</v>
      </c>
      <c r="Q937" s="45">
        <f>+SUM(N937:P937)</f>
        <v>40286</v>
      </c>
      <c r="R937" s="37">
        <f>+E937+I937+M937+Q937</f>
        <v>78154</v>
      </c>
      <c r="AC937" s="551"/>
      <c r="AD937" s="67"/>
      <c r="AE937" s="67"/>
      <c r="AF937" s="67"/>
      <c r="AG937" s="67"/>
      <c r="AH937" s="67"/>
      <c r="AI937" s="70" t="s">
        <v>2438</v>
      </c>
      <c r="AJ937" s="67"/>
      <c r="AK937" s="67"/>
      <c r="AL937" s="67"/>
      <c r="AM937" s="67"/>
      <c r="AN937" s="67"/>
      <c r="AO937" s="67"/>
      <c r="AP937" s="67"/>
      <c r="AQ937" s="67"/>
      <c r="AR937" s="67"/>
      <c r="AS937" s="67"/>
      <c r="AT937" s="754"/>
    </row>
    <row r="938" spans="1:46" ht="16.5" customHeight="1" thickBot="1" x14ac:dyDescent="0.35">
      <c r="A938" s="35"/>
      <c r="B938" s="45"/>
      <c r="C938" s="45"/>
      <c r="D938" s="45"/>
      <c r="E938" s="45"/>
      <c r="F938" s="45"/>
      <c r="G938" s="45"/>
      <c r="H938" s="45"/>
      <c r="I938" s="45"/>
      <c r="J938" s="45"/>
      <c r="K938" s="45"/>
      <c r="L938" s="45"/>
      <c r="M938" s="45"/>
      <c r="N938" s="45"/>
      <c r="O938" s="45"/>
      <c r="P938" s="45"/>
      <c r="Q938" s="45"/>
      <c r="R938" s="37"/>
      <c r="AC938" s="551"/>
      <c r="AD938" s="67" t="s">
        <v>2435</v>
      </c>
      <c r="AE938" s="67"/>
      <c r="AF938" s="70" t="s">
        <v>2436</v>
      </c>
      <c r="AG938" s="70" t="s">
        <v>2436</v>
      </c>
      <c r="AH938" s="70" t="s">
        <v>2437</v>
      </c>
      <c r="AI938" s="70" t="s">
        <v>525</v>
      </c>
      <c r="AJ938" s="70" t="s">
        <v>2439</v>
      </c>
      <c r="AK938" s="70" t="s">
        <v>2463</v>
      </c>
      <c r="AL938" s="70" t="s">
        <v>2356</v>
      </c>
      <c r="AM938" s="67" t="s">
        <v>2435</v>
      </c>
      <c r="AN938" s="70" t="s">
        <v>2464</v>
      </c>
      <c r="AO938" s="70" t="s">
        <v>2464</v>
      </c>
      <c r="AP938" s="70" t="s">
        <v>2464</v>
      </c>
      <c r="AQ938" s="67"/>
      <c r="AR938" s="67"/>
      <c r="AS938" s="67"/>
      <c r="AT938" s="754"/>
    </row>
    <row r="939" spans="1:46" ht="16.5" customHeight="1" thickBot="1" x14ac:dyDescent="0.4">
      <c r="A939" s="35" t="s">
        <v>574</v>
      </c>
      <c r="B939" s="47">
        <f t="shared" ref="B939:Q939" si="355">+SUM(B931:B937)</f>
        <v>52807</v>
      </c>
      <c r="C939" s="47">
        <f t="shared" si="355"/>
        <v>69398</v>
      </c>
      <c r="D939" s="47">
        <f t="shared" si="355"/>
        <v>88013</v>
      </c>
      <c r="E939" s="47">
        <f t="shared" si="355"/>
        <v>210218</v>
      </c>
      <c r="F939" s="47">
        <f t="shared" si="355"/>
        <v>141711</v>
      </c>
      <c r="G939" s="47">
        <f t="shared" si="355"/>
        <v>174457</v>
      </c>
      <c r="H939" s="47">
        <f t="shared" si="355"/>
        <v>192700</v>
      </c>
      <c r="I939" s="47">
        <f t="shared" si="355"/>
        <v>508868</v>
      </c>
      <c r="J939" s="47">
        <f t="shared" si="355"/>
        <v>185936</v>
      </c>
      <c r="K939" s="47">
        <f t="shared" si="355"/>
        <v>180706</v>
      </c>
      <c r="L939" s="47">
        <f t="shared" si="355"/>
        <v>129353</v>
      </c>
      <c r="M939" s="47">
        <f t="shared" si="355"/>
        <v>495995</v>
      </c>
      <c r="N939" s="47">
        <f t="shared" si="355"/>
        <v>95255</v>
      </c>
      <c r="O939" s="47">
        <f t="shared" si="355"/>
        <v>59272</v>
      </c>
      <c r="P939" s="47">
        <f t="shared" si="355"/>
        <v>69915</v>
      </c>
      <c r="Q939" s="47">
        <f t="shared" si="355"/>
        <v>224442</v>
      </c>
      <c r="R939" s="345">
        <f>+SUM(R931:R937)</f>
        <v>1439523</v>
      </c>
      <c r="AC939" s="551"/>
      <c r="AD939" s="70" t="s">
        <v>284</v>
      </c>
      <c r="AE939" s="70" t="s">
        <v>2379</v>
      </c>
      <c r="AF939" s="70" t="s">
        <v>844</v>
      </c>
      <c r="AG939" s="70" t="s">
        <v>844</v>
      </c>
      <c r="AH939" s="70" t="s">
        <v>845</v>
      </c>
      <c r="AI939" s="214" t="s">
        <v>955</v>
      </c>
      <c r="AJ939" s="70" t="s">
        <v>275</v>
      </c>
      <c r="AK939" s="70" t="s">
        <v>276</v>
      </c>
      <c r="AL939" s="70" t="s">
        <v>1554</v>
      </c>
      <c r="AM939" s="67" t="s">
        <v>2435</v>
      </c>
      <c r="AN939" s="70" t="s">
        <v>1555</v>
      </c>
      <c r="AO939" s="70" t="s">
        <v>955</v>
      </c>
      <c r="AP939" s="70" t="s">
        <v>1194</v>
      </c>
      <c r="AQ939" s="67"/>
      <c r="AR939" s="67"/>
      <c r="AS939" s="67"/>
      <c r="AT939" s="754"/>
    </row>
    <row r="940" spans="1:46" ht="15.75" customHeight="1" x14ac:dyDescent="0.35">
      <c r="A940" s="201"/>
      <c r="B940" s="286"/>
      <c r="C940" s="286"/>
      <c r="D940" s="286"/>
      <c r="E940" s="286"/>
      <c r="F940" s="286"/>
      <c r="G940" s="286"/>
      <c r="H940" s="544" t="s">
        <v>2538</v>
      </c>
      <c r="I940" s="286"/>
      <c r="J940" s="286"/>
      <c r="K940" s="286"/>
      <c r="L940" s="286"/>
      <c r="M940" s="286"/>
      <c r="N940" s="286"/>
      <c r="O940" s="286"/>
      <c r="P940" s="286"/>
      <c r="Q940" s="286"/>
      <c r="R940" s="286"/>
      <c r="AC940" s="551"/>
      <c r="AD940" s="70" t="s">
        <v>1193</v>
      </c>
      <c r="AE940" s="70" t="s">
        <v>956</v>
      </c>
      <c r="AF940" s="70" t="s">
        <v>333</v>
      </c>
      <c r="AG940" s="70" t="s">
        <v>334</v>
      </c>
      <c r="AH940" s="70" t="s">
        <v>335</v>
      </c>
      <c r="AI940" s="70" t="s">
        <v>335</v>
      </c>
      <c r="AJ940" s="70" t="s">
        <v>335</v>
      </c>
      <c r="AK940" s="70" t="s">
        <v>335</v>
      </c>
      <c r="AL940" s="70" t="s">
        <v>1486</v>
      </c>
      <c r="AM940" s="67" t="s">
        <v>2435</v>
      </c>
      <c r="AN940" s="70" t="s">
        <v>1487</v>
      </c>
      <c r="AO940" s="70" t="s">
        <v>929</v>
      </c>
      <c r="AP940" s="70" t="s">
        <v>929</v>
      </c>
      <c r="AQ940" s="67"/>
      <c r="AR940" s="67"/>
      <c r="AS940" s="67"/>
      <c r="AT940" s="754"/>
    </row>
    <row r="941" spans="1:46" ht="15.75" customHeight="1" x14ac:dyDescent="0.35">
      <c r="A941" s="201"/>
      <c r="B941" s="286"/>
      <c r="C941" s="286"/>
      <c r="D941" s="286"/>
      <c r="E941" s="286"/>
      <c r="F941" s="286"/>
      <c r="G941" s="286"/>
      <c r="H941" s="286"/>
      <c r="I941" s="286"/>
      <c r="J941" s="286"/>
      <c r="K941" s="286"/>
      <c r="L941" s="286"/>
      <c r="M941" s="286"/>
      <c r="N941" s="286"/>
      <c r="O941" s="286"/>
      <c r="P941" s="286"/>
      <c r="Q941" s="286"/>
      <c r="R941" s="286"/>
      <c r="AC941" s="551"/>
      <c r="AD941" s="70" t="s">
        <v>930</v>
      </c>
      <c r="AE941" s="70" t="s">
        <v>931</v>
      </c>
      <c r="AF941" s="70" t="s">
        <v>932</v>
      </c>
      <c r="AG941" s="70" t="s">
        <v>932</v>
      </c>
      <c r="AH941" s="70" t="s">
        <v>932</v>
      </c>
      <c r="AI941" s="70" t="s">
        <v>932</v>
      </c>
      <c r="AJ941" s="70" t="s">
        <v>932</v>
      </c>
      <c r="AK941" s="70" t="s">
        <v>932</v>
      </c>
      <c r="AL941" s="70" t="s">
        <v>932</v>
      </c>
      <c r="AM941" s="67" t="s">
        <v>2435</v>
      </c>
      <c r="AN941" s="70" t="s">
        <v>946</v>
      </c>
      <c r="AO941" s="70" t="s">
        <v>946</v>
      </c>
      <c r="AP941" s="70" t="s">
        <v>946</v>
      </c>
      <c r="AQ941" s="67"/>
      <c r="AR941" s="67"/>
      <c r="AS941" s="67"/>
      <c r="AT941" s="754"/>
    </row>
    <row r="942" spans="1:46" ht="15.75" customHeight="1" thickBot="1" x14ac:dyDescent="0.4">
      <c r="A942" s="201"/>
      <c r="B942" s="286"/>
      <c r="C942" s="286"/>
      <c r="D942" s="286"/>
      <c r="E942" s="286"/>
      <c r="F942" s="286"/>
      <c r="G942" s="286"/>
      <c r="H942" s="544"/>
      <c r="I942" s="286"/>
      <c r="J942" s="286"/>
      <c r="K942" s="286"/>
      <c r="L942" s="286"/>
      <c r="M942" s="286"/>
      <c r="N942" s="286"/>
      <c r="O942" s="286"/>
      <c r="P942" s="286"/>
      <c r="Q942" s="286"/>
      <c r="R942" s="286"/>
      <c r="AC942" s="551"/>
      <c r="AD942" s="67" t="s">
        <v>1353</v>
      </c>
      <c r="AE942" s="67" t="s">
        <v>1353</v>
      </c>
      <c r="AF942" s="67" t="s">
        <v>1353</v>
      </c>
      <c r="AG942" s="67" t="s">
        <v>1353</v>
      </c>
      <c r="AH942" s="67" t="s">
        <v>1353</v>
      </c>
      <c r="AI942" s="67" t="s">
        <v>1353</v>
      </c>
      <c r="AJ942" s="67" t="s">
        <v>1353</v>
      </c>
      <c r="AK942" s="67" t="s">
        <v>1353</v>
      </c>
      <c r="AL942" s="67" t="s">
        <v>1353</v>
      </c>
      <c r="AM942" s="67" t="s">
        <v>2435</v>
      </c>
      <c r="AN942" s="67" t="s">
        <v>1353</v>
      </c>
      <c r="AO942" s="67" t="s">
        <v>1353</v>
      </c>
      <c r="AP942" s="67" t="s">
        <v>1353</v>
      </c>
      <c r="AQ942" s="67"/>
      <c r="AR942" s="67"/>
      <c r="AS942" s="67"/>
      <c r="AT942" s="754"/>
    </row>
    <row r="943" spans="1:46" ht="15.75" customHeight="1" x14ac:dyDescent="0.3">
      <c r="A943" s="755"/>
      <c r="B943" s="821" t="s">
        <v>864</v>
      </c>
      <c r="C943" s="821"/>
      <c r="D943" s="821"/>
      <c r="E943" s="821"/>
      <c r="F943" s="821"/>
      <c r="G943" s="821"/>
      <c r="H943" s="821"/>
      <c r="I943" s="821"/>
      <c r="J943" s="821"/>
      <c r="K943" s="821"/>
      <c r="L943" s="821"/>
      <c r="M943" s="821"/>
      <c r="N943" s="821"/>
      <c r="O943" s="821"/>
      <c r="P943" s="821"/>
      <c r="Q943" s="752" t="str">
        <f>+Q1</f>
        <v xml:space="preserve">PRINTED:  </v>
      </c>
      <c r="R943" s="753">
        <f ca="1">+R1</f>
        <v>44881.729633912037</v>
      </c>
      <c r="AC943" s="553" t="s">
        <v>1354</v>
      </c>
      <c r="AD943" s="67">
        <f t="shared" ref="AD943:AD954" si="356">(F952)</f>
        <v>20718</v>
      </c>
      <c r="AE943" s="67">
        <f t="shared" ref="AE943:AE954" si="357">SUM($B$1007:$E$1007)+(T952-1526.8)/0.7702</f>
        <v>1640.619579330044</v>
      </c>
      <c r="AF943" s="67">
        <f>(AD943*AE943/1000)</f>
        <v>33990.356444559853</v>
      </c>
      <c r="AG943" s="67">
        <f t="shared" ref="AG943:AG954" si="358">(((B952-F952)*B$1007)+((C952-F952)*C$1007)+((D952-F952)*D$1007)+((E952-F952)*E$1007))/1000</f>
        <v>76053.535000000003</v>
      </c>
      <c r="AH943" s="67">
        <f>(AF943+AG943)</f>
        <v>110043.89144455985</v>
      </c>
      <c r="AI943" s="67">
        <f t="shared" ref="AI943:AI954" si="359">SUM(H1009:Q1009)</f>
        <v>20349</v>
      </c>
      <c r="AJ943" s="67">
        <f>+AH943+AI943</f>
        <v>130392.89144455985</v>
      </c>
      <c r="AK943" s="67">
        <f t="shared" ref="AK943:AK950" si="360">(G1037)</f>
        <v>0</v>
      </c>
      <c r="AL943" s="67">
        <f t="shared" ref="AL943:AL954" si="361">(AJ943-AK943)</f>
        <v>130392.89144455985</v>
      </c>
      <c r="AM943" s="67" t="s">
        <v>2435</v>
      </c>
      <c r="AN943" s="67">
        <f>+B952/31/1.98</f>
        <v>1209.9055066797002</v>
      </c>
      <c r="AO943" s="67">
        <f>(AD943*43560/31/24/3600)</f>
        <v>336.94596774193548</v>
      </c>
      <c r="AP943" s="67">
        <f>+B339</f>
        <v>0</v>
      </c>
      <c r="AQ943" s="67"/>
      <c r="AR943" s="67"/>
      <c r="AS943" s="67"/>
      <c r="AT943" s="754"/>
    </row>
    <row r="944" spans="1:46" ht="15.75" customHeight="1" x14ac:dyDescent="0.3">
      <c r="A944" s="553"/>
      <c r="B944" s="786" t="str">
        <f>+A8</f>
        <v>Revised:  10/5/2020</v>
      </c>
      <c r="C944" s="786"/>
      <c r="D944" s="786"/>
      <c r="E944" s="786"/>
      <c r="F944" s="786"/>
      <c r="G944" s="786"/>
      <c r="H944" s="786"/>
      <c r="I944" s="786"/>
      <c r="J944" s="786"/>
      <c r="K944" s="786"/>
      <c r="L944" s="786"/>
      <c r="M944" s="786"/>
      <c r="N944" s="786"/>
      <c r="O944" s="786"/>
      <c r="P944" s="786"/>
      <c r="Q944" s="67"/>
      <c r="R944" s="754"/>
      <c r="AC944" s="553" t="s">
        <v>706</v>
      </c>
      <c r="AD944" s="67">
        <f t="shared" si="356"/>
        <v>2716</v>
      </c>
      <c r="AE944" s="67">
        <f t="shared" si="357"/>
        <v>1641.3206959231368</v>
      </c>
      <c r="AF944" s="67">
        <f>(AD944*AE944/1000)</f>
        <v>4457.8270101272401</v>
      </c>
      <c r="AG944" s="67">
        <f t="shared" si="358"/>
        <v>101762.564</v>
      </c>
      <c r="AH944" s="67">
        <f t="shared" ref="AH944:AH954" si="362">(AF944+AG944)</f>
        <v>106220.39101012723</v>
      </c>
      <c r="AI944" s="67">
        <f t="shared" si="359"/>
        <v>32011</v>
      </c>
      <c r="AJ944" s="67">
        <f t="shared" ref="AJ944:AJ954" si="363">+AH944+AI944</f>
        <v>138231.39101012723</v>
      </c>
      <c r="AK944" s="67">
        <f t="shared" si="360"/>
        <v>0</v>
      </c>
      <c r="AL944" s="67">
        <f t="shared" si="361"/>
        <v>138231.39101012723</v>
      </c>
      <c r="AM944" s="67" t="s">
        <v>2435</v>
      </c>
      <c r="AN944" s="67">
        <f>+B953/28/1.98</f>
        <v>1339.8268398268397</v>
      </c>
      <c r="AO944" s="67">
        <f>(AD944*43560/29/24/3600)</f>
        <v>47.21781609195402</v>
      </c>
      <c r="AP944" s="67">
        <f>+C339</f>
        <v>0</v>
      </c>
      <c r="AQ944" s="67"/>
      <c r="AR944" s="67"/>
      <c r="AS944" s="67"/>
      <c r="AT944" s="754"/>
    </row>
    <row r="945" spans="1:46" ht="15.75" customHeight="1" x14ac:dyDescent="0.3">
      <c r="A945" s="553"/>
      <c r="B945" s="786" t="s">
        <v>2878</v>
      </c>
      <c r="C945" s="786"/>
      <c r="D945" s="786"/>
      <c r="E945" s="786"/>
      <c r="F945" s="786"/>
      <c r="G945" s="786"/>
      <c r="H945" s="786"/>
      <c r="I945" s="786"/>
      <c r="J945" s="786"/>
      <c r="K945" s="786"/>
      <c r="L945" s="786"/>
      <c r="M945" s="786"/>
      <c r="N945" s="786"/>
      <c r="O945" s="786"/>
      <c r="P945" s="786"/>
      <c r="Q945" s="67"/>
      <c r="R945" s="754"/>
      <c r="AC945" s="553" t="s">
        <v>707</v>
      </c>
      <c r="AD945" s="67">
        <f t="shared" si="356"/>
        <v>23196</v>
      </c>
      <c r="AE945" s="67">
        <f t="shared" si="357"/>
        <v>1648.5525874397988</v>
      </c>
      <c r="AF945" s="67">
        <f t="shared" ref="AF945:AF954" si="364">(AD945*AE945/1000)</f>
        <v>38239.825818253572</v>
      </c>
      <c r="AG945" s="67">
        <f t="shared" si="358"/>
        <v>102156.048</v>
      </c>
      <c r="AH945" s="67">
        <f t="shared" si="362"/>
        <v>140395.87381825357</v>
      </c>
      <c r="AI945" s="67">
        <f t="shared" si="359"/>
        <v>39162</v>
      </c>
      <c r="AJ945" s="67">
        <f t="shared" si="363"/>
        <v>179557.87381825357</v>
      </c>
      <c r="AK945" s="67">
        <f t="shared" si="360"/>
        <v>3100.1462468889631</v>
      </c>
      <c r="AL945" s="67">
        <f t="shared" si="361"/>
        <v>176457.72757136461</v>
      </c>
      <c r="AM945" s="67" t="s">
        <v>2435</v>
      </c>
      <c r="AN945" s="67">
        <f>+B954/31/1.98</f>
        <v>1551.4825676116</v>
      </c>
      <c r="AO945" s="67">
        <f>(AD945*43560/31/24/3600)</f>
        <v>377.24677419354833</v>
      </c>
      <c r="AP945" s="67">
        <f>+D339</f>
        <v>-313.27574707595204</v>
      </c>
      <c r="AQ945" s="67"/>
      <c r="AR945" s="67"/>
      <c r="AS945" s="67"/>
      <c r="AT945" s="754"/>
    </row>
    <row r="946" spans="1:46" ht="15.75" customHeight="1" x14ac:dyDescent="0.3">
      <c r="A946" s="553"/>
      <c r="B946" s="786"/>
      <c r="C946" s="786"/>
      <c r="D946" s="786"/>
      <c r="E946" s="786"/>
      <c r="F946" s="786"/>
      <c r="G946" s="786"/>
      <c r="H946" s="786"/>
      <c r="I946" s="786"/>
      <c r="J946" s="786"/>
      <c r="K946" s="786"/>
      <c r="L946" s="786"/>
      <c r="M946" s="786"/>
      <c r="N946" s="786"/>
      <c r="O946" s="786"/>
      <c r="P946" s="786"/>
      <c r="Q946" s="67"/>
      <c r="R946" s="754"/>
      <c r="AC946" s="553" t="s">
        <v>1321</v>
      </c>
      <c r="AD946" s="67">
        <f t="shared" si="356"/>
        <v>3618</v>
      </c>
      <c r="AE946" s="67">
        <f t="shared" si="357"/>
        <v>1648.6824201506106</v>
      </c>
      <c r="AF946" s="67">
        <f t="shared" si="364"/>
        <v>5964.9329961049089</v>
      </c>
      <c r="AG946" s="67">
        <f t="shared" si="358"/>
        <v>209439.52</v>
      </c>
      <c r="AH946" s="67">
        <f t="shared" si="362"/>
        <v>215404.4529961049</v>
      </c>
      <c r="AI946" s="67">
        <f t="shared" si="359"/>
        <v>50433</v>
      </c>
      <c r="AJ946" s="67">
        <f t="shared" si="363"/>
        <v>265837.4529961049</v>
      </c>
      <c r="AK946" s="67">
        <f t="shared" si="360"/>
        <v>0</v>
      </c>
      <c r="AL946" s="67">
        <f t="shared" si="361"/>
        <v>265837.4529961049</v>
      </c>
      <c r="AM946" s="67" t="s">
        <v>2435</v>
      </c>
      <c r="AN946" s="67">
        <f>+B955/30/1.98</f>
        <v>2547.121212121212</v>
      </c>
      <c r="AO946" s="67">
        <f>(AD946*43560/30/24/3600)</f>
        <v>60.802500000000002</v>
      </c>
      <c r="AP946" s="67">
        <f>+F339</f>
        <v>0</v>
      </c>
      <c r="AQ946" s="67"/>
      <c r="AR946" s="67"/>
      <c r="AS946" s="67"/>
      <c r="AT946" s="754"/>
    </row>
    <row r="947" spans="1:46" ht="15.75" customHeight="1" x14ac:dyDescent="0.3">
      <c r="A947" s="553"/>
      <c r="B947" s="787">
        <f>+A5</f>
        <v>2020</v>
      </c>
      <c r="C947" s="787"/>
      <c r="D947" s="787"/>
      <c r="E947" s="787"/>
      <c r="F947" s="787"/>
      <c r="G947" s="787"/>
      <c r="H947" s="787"/>
      <c r="I947" s="787"/>
      <c r="J947" s="787"/>
      <c r="K947" s="787"/>
      <c r="L947" s="787"/>
      <c r="M947" s="787"/>
      <c r="N947" s="787"/>
      <c r="O947" s="787"/>
      <c r="P947" s="787"/>
      <c r="Q947" s="67"/>
      <c r="R947" s="754"/>
      <c r="AC947" s="553" t="s">
        <v>1905</v>
      </c>
      <c r="AD947" s="67">
        <f t="shared" si="356"/>
        <v>0</v>
      </c>
      <c r="AE947" s="67">
        <f t="shared" si="357"/>
        <v>1646.1506102311087</v>
      </c>
      <c r="AF947" s="67">
        <f t="shared" si="364"/>
        <v>0</v>
      </c>
      <c r="AG947" s="67">
        <f t="shared" si="358"/>
        <v>253692.19200000001</v>
      </c>
      <c r="AH947" s="67">
        <f t="shared" si="362"/>
        <v>253692.19200000001</v>
      </c>
      <c r="AI947" s="67">
        <f t="shared" si="359"/>
        <v>51415</v>
      </c>
      <c r="AJ947" s="67">
        <f t="shared" si="363"/>
        <v>305107.19200000004</v>
      </c>
      <c r="AK947" s="67">
        <f t="shared" si="360"/>
        <v>1996.3755840241108</v>
      </c>
      <c r="AL947" s="67">
        <f t="shared" si="361"/>
        <v>303110.81641597592</v>
      </c>
      <c r="AM947" s="67" t="s">
        <v>2435</v>
      </c>
      <c r="AN947" s="67">
        <f>+B956/31/1.98</f>
        <v>2918.5076572173348</v>
      </c>
      <c r="AO947" s="67">
        <f>(AD947*43560/31/24/3600)</f>
        <v>0</v>
      </c>
      <c r="AP947" s="67">
        <f>+G339</f>
        <v>-205.29338083386202</v>
      </c>
      <c r="AQ947" s="67"/>
      <c r="AR947" s="67"/>
      <c r="AS947" s="67"/>
      <c r="AT947" s="754"/>
    </row>
    <row r="948" spans="1:46" ht="15.75" customHeight="1" x14ac:dyDescent="0.3">
      <c r="A948" s="553"/>
      <c r="B948" s="786" t="s">
        <v>2918</v>
      </c>
      <c r="C948" s="786"/>
      <c r="D948" s="786"/>
      <c r="E948" s="786"/>
      <c r="F948" s="786"/>
      <c r="G948" s="786"/>
      <c r="H948" s="786"/>
      <c r="I948" s="786"/>
      <c r="J948" s="786"/>
      <c r="K948" s="786"/>
      <c r="L948" s="786"/>
      <c r="M948" s="786"/>
      <c r="N948" s="786"/>
      <c r="O948" s="786"/>
      <c r="P948" s="786"/>
      <c r="Q948" s="67"/>
      <c r="R948" s="754"/>
      <c r="AC948" s="553" t="s">
        <v>1906</v>
      </c>
      <c r="AD948" s="67">
        <f t="shared" si="356"/>
        <v>0</v>
      </c>
      <c r="AE948" s="67">
        <f t="shared" si="357"/>
        <v>1632.5437548688653</v>
      </c>
      <c r="AF948" s="67">
        <f t="shared" si="364"/>
        <v>0</v>
      </c>
      <c r="AG948" s="67">
        <f t="shared" si="358"/>
        <v>150340.677</v>
      </c>
      <c r="AH948" s="67">
        <f t="shared" si="362"/>
        <v>150340.677</v>
      </c>
      <c r="AI948" s="67">
        <f t="shared" si="359"/>
        <v>51283</v>
      </c>
      <c r="AJ948" s="67">
        <f t="shared" si="363"/>
        <v>201623.677</v>
      </c>
      <c r="AK948" s="67">
        <f t="shared" si="360"/>
        <v>12410.699140919369</v>
      </c>
      <c r="AL948" s="67">
        <f t="shared" si="361"/>
        <v>189212.97785908062</v>
      </c>
      <c r="AM948" s="67" t="s">
        <v>2435</v>
      </c>
      <c r="AN948" s="67">
        <f>+B957/30/1.98</f>
        <v>1798.5858585858584</v>
      </c>
      <c r="AO948" s="67">
        <f t="shared" ref="AO948:AO953" si="365">(AD948*43560/30/24/3600)</f>
        <v>0</v>
      </c>
      <c r="AP948" s="67">
        <f>+H339</f>
        <v>-1465.0529500756429</v>
      </c>
      <c r="AQ948" s="67"/>
      <c r="AR948" s="67"/>
      <c r="AS948" s="67"/>
      <c r="AT948" s="754"/>
    </row>
    <row r="949" spans="1:46" ht="15.75" customHeight="1" x14ac:dyDescent="0.3">
      <c r="A949" s="553"/>
      <c r="B949" s="67"/>
      <c r="C949" s="67"/>
      <c r="D949" s="67"/>
      <c r="E949" s="67"/>
      <c r="F949" s="67"/>
      <c r="G949" s="67"/>
      <c r="H949" s="67"/>
      <c r="I949" s="67"/>
      <c r="J949" s="67"/>
      <c r="K949" s="67"/>
      <c r="L949" s="67"/>
      <c r="M949" s="67"/>
      <c r="N949" s="67"/>
      <c r="O949" s="67"/>
      <c r="P949" s="67"/>
      <c r="Q949" s="67"/>
      <c r="R949" s="754"/>
      <c r="AC949" s="553" t="s">
        <v>1907</v>
      </c>
      <c r="AD949" s="67">
        <f t="shared" si="356"/>
        <v>0</v>
      </c>
      <c r="AE949" s="67">
        <f t="shared" si="357"/>
        <v>1613.7694105427163</v>
      </c>
      <c r="AF949" s="67">
        <f t="shared" si="364"/>
        <v>0</v>
      </c>
      <c r="AG949" s="67">
        <f t="shared" si="358"/>
        <v>103660.06200000001</v>
      </c>
      <c r="AH949" s="67">
        <f t="shared" si="362"/>
        <v>103660.06200000001</v>
      </c>
      <c r="AI949" s="67">
        <f t="shared" si="359"/>
        <v>52619</v>
      </c>
      <c r="AJ949" s="67">
        <f t="shared" si="363"/>
        <v>156279.06200000001</v>
      </c>
      <c r="AK949" s="67">
        <f t="shared" si="360"/>
        <v>13614.857272042198</v>
      </c>
      <c r="AL949" s="67">
        <f t="shared" si="361"/>
        <v>142664.20472795781</v>
      </c>
      <c r="AM949" s="67" t="s">
        <v>2435</v>
      </c>
      <c r="AN949" s="67">
        <f>+B958/31/1.98</f>
        <v>1217.0739654610622</v>
      </c>
      <c r="AO949" s="67">
        <f t="shared" si="365"/>
        <v>0</v>
      </c>
      <c r="AP949" s="67">
        <f>+J339</f>
        <v>-1836.4159875067101</v>
      </c>
      <c r="AQ949" s="67"/>
      <c r="AR949" s="67"/>
      <c r="AS949" s="67"/>
      <c r="AT949" s="754"/>
    </row>
    <row r="950" spans="1:46" ht="15.75" customHeight="1" thickBot="1" x14ac:dyDescent="0.35">
      <c r="A950" s="553" t="s">
        <v>845</v>
      </c>
      <c r="B950" s="634" t="s">
        <v>1308</v>
      </c>
      <c r="C950" s="634" t="s">
        <v>1309</v>
      </c>
      <c r="D950" s="634" t="s">
        <v>1029</v>
      </c>
      <c r="E950" s="634" t="s">
        <v>1030</v>
      </c>
      <c r="F950" s="634" t="s">
        <v>284</v>
      </c>
      <c r="G950" s="634" t="s">
        <v>284</v>
      </c>
      <c r="H950" s="634" t="s">
        <v>285</v>
      </c>
      <c r="I950" s="634" t="s">
        <v>286</v>
      </c>
      <c r="J950" s="634" t="s">
        <v>287</v>
      </c>
      <c r="K950" s="634" t="s">
        <v>288</v>
      </c>
      <c r="L950" s="634" t="s">
        <v>289</v>
      </c>
      <c r="M950" s="634" t="s">
        <v>633</v>
      </c>
      <c r="N950" s="634" t="s">
        <v>634</v>
      </c>
      <c r="O950" s="634" t="s">
        <v>1192</v>
      </c>
      <c r="P950" s="634" t="s">
        <v>524</v>
      </c>
      <c r="Q950" s="634" t="s">
        <v>525</v>
      </c>
      <c r="R950" s="754"/>
      <c r="T950" s="350" t="s">
        <v>2756</v>
      </c>
      <c r="AC950" s="553" t="s">
        <v>1908</v>
      </c>
      <c r="AD950" s="67">
        <f t="shared" si="356"/>
        <v>5</v>
      </c>
      <c r="AE950" s="67">
        <f t="shared" si="357"/>
        <v>1591.281686719662</v>
      </c>
      <c r="AF950" s="67">
        <f t="shared" si="364"/>
        <v>7.9564084335983098</v>
      </c>
      <c r="AG950" s="67">
        <f t="shared" si="358"/>
        <v>84824.812999999995</v>
      </c>
      <c r="AH950" s="67">
        <f t="shared" si="362"/>
        <v>84832.769408433596</v>
      </c>
      <c r="AI950" s="67">
        <f t="shared" si="359"/>
        <v>48508</v>
      </c>
      <c r="AJ950" s="67">
        <f t="shared" si="363"/>
        <v>133340.76940843358</v>
      </c>
      <c r="AK950" s="67">
        <f t="shared" si="360"/>
        <v>11453.254799565662</v>
      </c>
      <c r="AL950" s="67">
        <f t="shared" si="361"/>
        <v>121887.51460886792</v>
      </c>
      <c r="AM950" s="67" t="s">
        <v>2435</v>
      </c>
      <c r="AN950" s="67">
        <f>+B959/31/1.98</f>
        <v>1027.012056044314</v>
      </c>
      <c r="AO950" s="67">
        <f t="shared" si="365"/>
        <v>8.4027777777777785E-2</v>
      </c>
      <c r="AP950" s="67">
        <f>+K339</f>
        <v>-1971.5972866136351</v>
      </c>
      <c r="AQ950" s="67"/>
      <c r="AR950" s="67"/>
      <c r="AS950" s="67"/>
      <c r="AT950" s="754"/>
    </row>
    <row r="951" spans="1:46" ht="15.75" customHeight="1" x14ac:dyDescent="0.3">
      <c r="A951" s="553"/>
      <c r="B951" s="67"/>
      <c r="C951" s="67"/>
      <c r="D951" s="67"/>
      <c r="E951" s="67"/>
      <c r="F951" s="70" t="s">
        <v>1193</v>
      </c>
      <c r="G951" s="70" t="s">
        <v>1194</v>
      </c>
      <c r="H951" s="67"/>
      <c r="I951" s="67"/>
      <c r="J951" s="67"/>
      <c r="K951" s="67"/>
      <c r="L951" s="67"/>
      <c r="M951" s="67"/>
      <c r="N951" s="67"/>
      <c r="O951" s="67"/>
      <c r="P951" s="67"/>
      <c r="Q951" s="67"/>
      <c r="R951" s="754"/>
      <c r="AC951" s="553" t="s">
        <v>2352</v>
      </c>
      <c r="AD951" s="67">
        <f t="shared" si="356"/>
        <v>33393</v>
      </c>
      <c r="AE951" s="67">
        <f t="shared" si="357"/>
        <v>1596.3323736446584</v>
      </c>
      <c r="AF951" s="67">
        <f t="shared" si="364"/>
        <v>53306.326953116084</v>
      </c>
      <c r="AG951" s="67">
        <f t="shared" si="358"/>
        <v>183008.18599999999</v>
      </c>
      <c r="AH951" s="67">
        <f t="shared" si="362"/>
        <v>236314.51295311606</v>
      </c>
      <c r="AI951" s="67">
        <f t="shared" si="359"/>
        <v>37882</v>
      </c>
      <c r="AJ951" s="67">
        <f t="shared" si="363"/>
        <v>274196.51295311609</v>
      </c>
      <c r="AK951" s="67">
        <v>0</v>
      </c>
      <c r="AL951" s="67">
        <f t="shared" si="361"/>
        <v>274196.51295311609</v>
      </c>
      <c r="AM951" s="67" t="s">
        <v>2435</v>
      </c>
      <c r="AN951" s="67">
        <f>+B960/30/1.98</f>
        <v>2777.2053872053871</v>
      </c>
      <c r="AO951" s="67">
        <f t="shared" si="365"/>
        <v>561.18791666666664</v>
      </c>
      <c r="AP951" s="67">
        <f>+L339</f>
        <v>-54.244410825348794</v>
      </c>
      <c r="AQ951" s="67"/>
      <c r="AR951" s="67"/>
      <c r="AS951" s="67"/>
      <c r="AT951" s="754"/>
    </row>
    <row r="952" spans="1:46" ht="15.75" customHeight="1" x14ac:dyDescent="0.3">
      <c r="A952" s="139" t="s">
        <v>2843</v>
      </c>
      <c r="B952" s="67">
        <f>+B29</f>
        <v>74264</v>
      </c>
      <c r="C952" s="67">
        <f>+B64</f>
        <v>74167</v>
      </c>
      <c r="D952" s="67">
        <f>+B139</f>
        <v>74071</v>
      </c>
      <c r="E952" s="67">
        <f>+B329</f>
        <v>73047</v>
      </c>
      <c r="F952" s="67">
        <f>+B324</f>
        <v>20718</v>
      </c>
      <c r="G952" s="67">
        <f>+B336</f>
        <v>0</v>
      </c>
      <c r="H952" s="67">
        <f>+B520</f>
        <v>29405</v>
      </c>
      <c r="I952" s="67">
        <f>+B571</f>
        <v>14138</v>
      </c>
      <c r="J952" s="67">
        <f>+B616</f>
        <v>14129</v>
      </c>
      <c r="K952" s="67">
        <f>+B682</f>
        <v>14025</v>
      </c>
      <c r="L952" s="67">
        <f>+B692</f>
        <v>9563</v>
      </c>
      <c r="M952" s="67">
        <f>+B728</f>
        <v>9543</v>
      </c>
      <c r="N952" s="67">
        <f>+B780</f>
        <v>9187</v>
      </c>
      <c r="O952" s="67">
        <f>+B790</f>
        <v>3556</v>
      </c>
      <c r="P952" s="67">
        <f>+B824</f>
        <v>4124</v>
      </c>
      <c r="Q952" s="67">
        <f>+B875</f>
        <v>3554</v>
      </c>
      <c r="R952" s="754"/>
      <c r="T952" s="619">
        <f>'Lake Pleasant Forecast'!B35</f>
        <v>1692.1</v>
      </c>
      <c r="AC952" s="553" t="s">
        <v>2353</v>
      </c>
      <c r="AD952" s="67">
        <f t="shared" si="356"/>
        <v>61538</v>
      </c>
      <c r="AE952" s="67">
        <f t="shared" si="357"/>
        <v>1606.3687353934044</v>
      </c>
      <c r="AF952" s="67">
        <f t="shared" si="364"/>
        <v>98852.719238639329</v>
      </c>
      <c r="AG952" s="67">
        <f t="shared" si="358"/>
        <v>142168.16</v>
      </c>
      <c r="AH952" s="67">
        <f t="shared" si="362"/>
        <v>241020.87923863932</v>
      </c>
      <c r="AI952" s="67">
        <f t="shared" si="359"/>
        <v>25559</v>
      </c>
      <c r="AJ952" s="67">
        <f t="shared" si="363"/>
        <v>266579.87923863932</v>
      </c>
      <c r="AK952" s="67">
        <v>0</v>
      </c>
      <c r="AL952" s="67">
        <f t="shared" si="361"/>
        <v>266579.87923863932</v>
      </c>
      <c r="AM952" s="67" t="s">
        <v>2435</v>
      </c>
      <c r="AN952" s="67">
        <f>+B961/31/1.98</f>
        <v>2665.2329749103942</v>
      </c>
      <c r="AO952" s="67">
        <f t="shared" si="365"/>
        <v>1034.1802777777777</v>
      </c>
      <c r="AP952" s="67">
        <f>+N339</f>
        <v>-0.37414799993493075</v>
      </c>
      <c r="AQ952" s="67"/>
      <c r="AR952" s="67"/>
      <c r="AS952" s="67"/>
      <c r="AT952" s="754"/>
    </row>
    <row r="953" spans="1:46" ht="15.75" customHeight="1" x14ac:dyDescent="0.3">
      <c r="A953" s="139" t="s">
        <v>2091</v>
      </c>
      <c r="B953" s="67">
        <f>+C29</f>
        <v>74280</v>
      </c>
      <c r="C953" s="67">
        <f>+C64</f>
        <v>74132</v>
      </c>
      <c r="D953" s="67">
        <f>+C139</f>
        <v>73987</v>
      </c>
      <c r="E953" s="67">
        <f>+C329</f>
        <v>73220</v>
      </c>
      <c r="F953" s="67">
        <f>+C324</f>
        <v>2716</v>
      </c>
      <c r="G953" s="67">
        <f>+C336</f>
        <v>0</v>
      </c>
      <c r="H953" s="67">
        <f>+C520</f>
        <v>47525</v>
      </c>
      <c r="I953" s="67">
        <f>+C571</f>
        <v>23040</v>
      </c>
      <c r="J953" s="67">
        <f>+C616</f>
        <v>22780</v>
      </c>
      <c r="K953" s="67">
        <f>+C682</f>
        <v>22654</v>
      </c>
      <c r="L953" s="67">
        <f>+C692</f>
        <v>18668</v>
      </c>
      <c r="M953" s="67">
        <f>+C728</f>
        <v>18646</v>
      </c>
      <c r="N953" s="67">
        <f>+C780</f>
        <v>17094</v>
      </c>
      <c r="O953" s="67">
        <f>+C790</f>
        <v>3834</v>
      </c>
      <c r="P953" s="67">
        <f>+C824</f>
        <v>3931</v>
      </c>
      <c r="Q953" s="67">
        <f>+C875</f>
        <v>3831</v>
      </c>
      <c r="R953" s="754"/>
      <c r="T953" s="619">
        <f>'Lake Pleasant Forecast'!B37</f>
        <v>1692.6399999999999</v>
      </c>
      <c r="AC953" s="553" t="s">
        <v>2354</v>
      </c>
      <c r="AD953" s="67">
        <f t="shared" si="356"/>
        <v>65150</v>
      </c>
      <c r="AE953" s="67">
        <f t="shared" si="357"/>
        <v>1615.8467930407687</v>
      </c>
      <c r="AF953" s="67">
        <f t="shared" si="364"/>
        <v>105272.41856660608</v>
      </c>
      <c r="AG953" s="67">
        <f t="shared" si="358"/>
        <v>82280.101999999999</v>
      </c>
      <c r="AH953" s="67">
        <f t="shared" si="362"/>
        <v>187552.52056660608</v>
      </c>
      <c r="AI953" s="67">
        <f t="shared" si="359"/>
        <v>8073</v>
      </c>
      <c r="AJ953" s="67">
        <f t="shared" si="363"/>
        <v>195625.52056660608</v>
      </c>
      <c r="AK953" s="67">
        <f>(G1047)</f>
        <v>650.74574227580933</v>
      </c>
      <c r="AL953" s="67">
        <f t="shared" si="361"/>
        <v>194974.77482433026</v>
      </c>
      <c r="AM953" s="67" t="s">
        <v>2435</v>
      </c>
      <c r="AN953" s="67">
        <f>+B962/30/1.98</f>
        <v>2097.5420875420873</v>
      </c>
      <c r="AO953" s="67">
        <f t="shared" si="365"/>
        <v>1094.8819444444443</v>
      </c>
      <c r="AP953" s="67">
        <f>+O339</f>
        <v>-88.922507984535216</v>
      </c>
      <c r="AQ953" s="67"/>
      <c r="AR953" s="67"/>
      <c r="AS953" s="67"/>
      <c r="AT953" s="754"/>
    </row>
    <row r="954" spans="1:46" ht="15.75" customHeight="1" x14ac:dyDescent="0.3">
      <c r="A954" s="139" t="s">
        <v>2234</v>
      </c>
      <c r="B954" s="67">
        <f>+D29</f>
        <v>95230</v>
      </c>
      <c r="C954" s="67">
        <f>+D64</f>
        <v>94956</v>
      </c>
      <c r="D954" s="67">
        <f>+D139</f>
        <v>94695</v>
      </c>
      <c r="E954" s="67">
        <f>+D329</f>
        <v>93118</v>
      </c>
      <c r="F954" s="67">
        <f>+D324</f>
        <v>23196</v>
      </c>
      <c r="G954" s="67">
        <f>+D336</f>
        <v>-19258</v>
      </c>
      <c r="H954" s="67">
        <f>+D520</f>
        <v>64961</v>
      </c>
      <c r="I954" s="67">
        <f>+D571</f>
        <v>30482</v>
      </c>
      <c r="J954" s="67">
        <f>+D616</f>
        <v>28275</v>
      </c>
      <c r="K954" s="67">
        <f>+D682</f>
        <v>27521</v>
      </c>
      <c r="L954" s="67">
        <f>+D692</f>
        <v>21569</v>
      </c>
      <c r="M954" s="67">
        <f>+D728</f>
        <v>21541</v>
      </c>
      <c r="N954" s="67">
        <f>+D780</f>
        <v>20337</v>
      </c>
      <c r="O954" s="67">
        <f>+D790</f>
        <v>3912</v>
      </c>
      <c r="P954" s="67">
        <f>+D824</f>
        <v>4341</v>
      </c>
      <c r="Q954" s="67">
        <f>+D875</f>
        <v>3907</v>
      </c>
      <c r="R954" s="754"/>
      <c r="T954" s="619">
        <f>'Lake Pleasant Forecast'!B39</f>
        <v>1698.210002846133</v>
      </c>
      <c r="AC954" s="553" t="s">
        <v>2355</v>
      </c>
      <c r="AD954" s="67">
        <f t="shared" si="356"/>
        <v>55000</v>
      </c>
      <c r="AE954" s="67">
        <f t="shared" si="357"/>
        <v>1624.8302000837896</v>
      </c>
      <c r="AF954" s="67">
        <f t="shared" si="364"/>
        <v>89365.661004608424</v>
      </c>
      <c r="AG954" s="67">
        <f t="shared" si="358"/>
        <v>101974.92</v>
      </c>
      <c r="AH954" s="67">
        <f t="shared" si="362"/>
        <v>191340.58100460842</v>
      </c>
      <c r="AI954" s="67">
        <f t="shared" si="359"/>
        <v>24879</v>
      </c>
      <c r="AJ954" s="67">
        <f t="shared" si="363"/>
        <v>216219.58100460842</v>
      </c>
      <c r="AK954" s="67">
        <f>(G1048)</f>
        <v>0</v>
      </c>
      <c r="AL954" s="67">
        <f t="shared" si="361"/>
        <v>216219.58100460842</v>
      </c>
      <c r="AM954" s="67" t="s">
        <v>2435</v>
      </c>
      <c r="AN954" s="67">
        <f>+B963/31/1.98</f>
        <v>2081.1176278918215</v>
      </c>
      <c r="AO954" s="67">
        <f>(AD954*43560/31/24/3600)</f>
        <v>894.48924731182797</v>
      </c>
      <c r="AP954" s="67">
        <f>+P339</f>
        <v>0</v>
      </c>
      <c r="AQ954" s="67"/>
      <c r="AR954" s="67"/>
      <c r="AS954" s="67"/>
      <c r="AT954" s="754"/>
    </row>
    <row r="955" spans="1:46" ht="15.75" customHeight="1" x14ac:dyDescent="0.3">
      <c r="A955" s="139" t="s">
        <v>2235</v>
      </c>
      <c r="B955" s="67">
        <f>+F29</f>
        <v>151299</v>
      </c>
      <c r="C955" s="67">
        <f>+F64</f>
        <v>150932</v>
      </c>
      <c r="D955" s="67">
        <f>+F139</f>
        <v>150582</v>
      </c>
      <c r="E955" s="67">
        <f>+F329</f>
        <v>146655</v>
      </c>
      <c r="F955" s="67">
        <f>+F324</f>
        <v>3618</v>
      </c>
      <c r="G955" s="67">
        <f>+F336</f>
        <v>0</v>
      </c>
      <c r="H955" s="67">
        <f>+F520</f>
        <v>105559</v>
      </c>
      <c r="I955" s="67">
        <f>+F571</f>
        <v>48830</v>
      </c>
      <c r="J955" s="67">
        <f>+F616</f>
        <v>37068</v>
      </c>
      <c r="K955" s="67">
        <f>+F682</f>
        <v>30960</v>
      </c>
      <c r="L955" s="67">
        <f>+F692</f>
        <v>23929</v>
      </c>
      <c r="M955" s="67">
        <f>+F728</f>
        <v>23892</v>
      </c>
      <c r="N955" s="67">
        <f>+F780</f>
        <v>21384</v>
      </c>
      <c r="O955" s="67">
        <f>+F790</f>
        <v>4277</v>
      </c>
      <c r="P955" s="67">
        <f>+F824</f>
        <v>5208</v>
      </c>
      <c r="Q955" s="67">
        <f>+F875</f>
        <v>4270</v>
      </c>
      <c r="R955" s="754"/>
      <c r="T955" s="619">
        <f>'Lake Pleasant Forecast'!B41</f>
        <v>1698.3100000000002</v>
      </c>
      <c r="AC955" s="551"/>
      <c r="AD955" s="67"/>
      <c r="AE955" s="67"/>
      <c r="AF955" s="67"/>
      <c r="AG955" s="67"/>
      <c r="AH955" s="67"/>
      <c r="AI955" s="67"/>
      <c r="AJ955" s="67"/>
      <c r="AK955" s="67"/>
      <c r="AL955" s="67"/>
      <c r="AM955" s="67" t="s">
        <v>2435</v>
      </c>
      <c r="AN955" s="67"/>
      <c r="AO955" s="67"/>
      <c r="AP955" s="67"/>
      <c r="AQ955" s="67"/>
      <c r="AR955" s="67"/>
      <c r="AS955" s="67"/>
      <c r="AT955" s="754"/>
    </row>
    <row r="956" spans="1:46" ht="15.75" customHeight="1" x14ac:dyDescent="0.3">
      <c r="A956" s="139" t="s">
        <v>2236</v>
      </c>
      <c r="B956" s="67">
        <f>+G29</f>
        <v>179138</v>
      </c>
      <c r="C956" s="67">
        <f>+G64</f>
        <v>178713</v>
      </c>
      <c r="D956" s="67">
        <f>+G139</f>
        <v>178311</v>
      </c>
      <c r="E956" s="67">
        <f>+G329</f>
        <v>171828</v>
      </c>
      <c r="F956" s="67">
        <f>+G324</f>
        <v>0</v>
      </c>
      <c r="G956" s="67">
        <f>+G336</f>
        <v>-12620</v>
      </c>
      <c r="H956" s="67">
        <f>+G520</f>
        <v>126622</v>
      </c>
      <c r="I956" s="67">
        <f>+G571</f>
        <v>43779</v>
      </c>
      <c r="J956" s="67">
        <f>+G616</f>
        <v>35318</v>
      </c>
      <c r="K956" s="67">
        <f>+G682</f>
        <v>30287</v>
      </c>
      <c r="L956" s="67">
        <f>+G692</f>
        <v>23673</v>
      </c>
      <c r="M956" s="67">
        <f>+G728</f>
        <v>23631</v>
      </c>
      <c r="N956" s="67">
        <f>+G780</f>
        <v>21616</v>
      </c>
      <c r="O956" s="67">
        <f>+G790</f>
        <v>3958</v>
      </c>
      <c r="P956" s="67">
        <f>+G824</f>
        <v>6866</v>
      </c>
      <c r="Q956" s="67">
        <f>+G875</f>
        <v>3950</v>
      </c>
      <c r="R956" s="754"/>
      <c r="T956" s="619">
        <f>'Lake Pleasant Forecast'!B43</f>
        <v>1696.36</v>
      </c>
      <c r="AC956" s="551" t="s">
        <v>2356</v>
      </c>
      <c r="AD956" s="67">
        <f>SUM(AD943:AD954)</f>
        <v>265334</v>
      </c>
      <c r="AE956" s="67"/>
      <c r="AF956" s="67">
        <f t="shared" ref="AF956:AL956" si="366">SUM(AF943:AF954)</f>
        <v>429458.02444044908</v>
      </c>
      <c r="AG956" s="67">
        <f t="shared" si="366"/>
        <v>1591360.7789999999</v>
      </c>
      <c r="AH956" s="67">
        <f t="shared" si="366"/>
        <v>2020818.8034404493</v>
      </c>
      <c r="AI956" s="67">
        <f t="shared" si="366"/>
        <v>442173</v>
      </c>
      <c r="AJ956" s="67">
        <f t="shared" si="366"/>
        <v>2462991.8034404488</v>
      </c>
      <c r="AK956" s="67">
        <f t="shared" si="366"/>
        <v>43226.078785716112</v>
      </c>
      <c r="AL956" s="67">
        <f t="shared" si="366"/>
        <v>2419765.7246547327</v>
      </c>
      <c r="AM956" s="67"/>
      <c r="AN956" s="67"/>
      <c r="AO956" s="67"/>
      <c r="AP956" s="67"/>
      <c r="AQ956" s="67"/>
      <c r="AR956" s="67"/>
      <c r="AS956" s="67"/>
      <c r="AT956" s="754"/>
    </row>
    <row r="957" spans="1:46" ht="15.75" customHeight="1" x14ac:dyDescent="0.3">
      <c r="A957" s="139" t="s">
        <v>2237</v>
      </c>
      <c r="B957" s="67">
        <f>+H29</f>
        <v>106836</v>
      </c>
      <c r="C957" s="67">
        <f>+H64</f>
        <v>106419</v>
      </c>
      <c r="D957" s="67">
        <f>+H139</f>
        <v>106023</v>
      </c>
      <c r="E957" s="67">
        <f>+H329</f>
        <v>98377</v>
      </c>
      <c r="F957" s="67">
        <f>+H324</f>
        <v>0</v>
      </c>
      <c r="G957" s="67">
        <f>+H336</f>
        <v>-87156</v>
      </c>
      <c r="H957" s="67">
        <f>+H520</f>
        <v>138214</v>
      </c>
      <c r="I957" s="67">
        <f>+H571</f>
        <v>46499</v>
      </c>
      <c r="J957" s="67">
        <f>+H616</f>
        <v>32619</v>
      </c>
      <c r="K957" s="67">
        <f>+H682</f>
        <v>26558</v>
      </c>
      <c r="L957" s="67">
        <f>+H692</f>
        <v>23361</v>
      </c>
      <c r="M957" s="67">
        <f>+H728</f>
        <v>23317</v>
      </c>
      <c r="N957" s="67">
        <f>+H780</f>
        <v>20658</v>
      </c>
      <c r="O957" s="67">
        <f>+H790</f>
        <v>4294</v>
      </c>
      <c r="P957" s="67">
        <f>+H824</f>
        <v>7016</v>
      </c>
      <c r="Q957" s="67">
        <f>+H875</f>
        <v>4274</v>
      </c>
      <c r="R957" s="754"/>
      <c r="T957" s="619">
        <f>'Lake Pleasant Forecast'!B45</f>
        <v>1685.88</v>
      </c>
      <c r="AC957" s="551"/>
      <c r="AD957" s="67"/>
      <c r="AE957" s="67"/>
      <c r="AF957" s="67"/>
      <c r="AG957" s="67"/>
      <c r="AH957" s="67"/>
      <c r="AI957" s="67"/>
      <c r="AJ957" s="67"/>
      <c r="AK957" s="67"/>
      <c r="AL957" s="67"/>
      <c r="AM957" s="67"/>
      <c r="AN957" s="67"/>
      <c r="AO957" s="67"/>
      <c r="AP957" s="67"/>
      <c r="AQ957" s="67"/>
      <c r="AR957" s="67"/>
      <c r="AS957" s="67"/>
      <c r="AT957" s="754"/>
    </row>
    <row r="958" spans="1:46" ht="15.75" customHeight="1" x14ac:dyDescent="0.3">
      <c r="A958" s="139" t="s">
        <v>1504</v>
      </c>
      <c r="B958" s="67">
        <f>+J29</f>
        <v>74704</v>
      </c>
      <c r="C958" s="67">
        <f>+J64</f>
        <v>74288</v>
      </c>
      <c r="D958" s="67">
        <f>+J139</f>
        <v>73894</v>
      </c>
      <c r="E958" s="67">
        <f>+J329</f>
        <v>62314</v>
      </c>
      <c r="F958" s="67">
        <f>+J324</f>
        <v>0</v>
      </c>
      <c r="G958" s="67">
        <f>+J336</f>
        <v>-112890</v>
      </c>
      <c r="H958" s="67">
        <f>+J520</f>
        <v>129776</v>
      </c>
      <c r="I958" s="67">
        <f>+J571</f>
        <v>52305</v>
      </c>
      <c r="J958" s="67">
        <f>+J616</f>
        <v>35819</v>
      </c>
      <c r="K958" s="67">
        <f>+J682</f>
        <v>29606</v>
      </c>
      <c r="L958" s="67">
        <f>+J692</f>
        <v>22119</v>
      </c>
      <c r="M958" s="67">
        <f>+J728</f>
        <v>22080</v>
      </c>
      <c r="N958" s="67">
        <f>+J780</f>
        <v>21158</v>
      </c>
      <c r="O958" s="67">
        <f>+J790</f>
        <v>4098</v>
      </c>
      <c r="P958" s="67">
        <f>+J824</f>
        <v>6711</v>
      </c>
      <c r="Q958" s="67">
        <f>+J875</f>
        <v>4091</v>
      </c>
      <c r="R958" s="754"/>
      <c r="T958" s="619">
        <f>'Lake Pleasant Forecast'!B47</f>
        <v>1671.42</v>
      </c>
      <c r="AC958" s="551" t="s">
        <v>1696</v>
      </c>
      <c r="AD958" s="67"/>
      <c r="AE958" s="67"/>
      <c r="AF958" s="67"/>
      <c r="AG958" s="67"/>
      <c r="AH958" s="67"/>
      <c r="AI958" s="67"/>
      <c r="AJ958" s="67"/>
      <c r="AK958" s="67"/>
      <c r="AL958" s="67"/>
      <c r="AM958" s="67"/>
      <c r="AN958" s="67"/>
      <c r="AO958" s="67"/>
      <c r="AP958" s="67"/>
      <c r="AQ958" s="67"/>
      <c r="AR958" s="67"/>
      <c r="AS958" s="67"/>
      <c r="AT958" s="754"/>
    </row>
    <row r="959" spans="1:46" ht="15.75" customHeight="1" x14ac:dyDescent="0.3">
      <c r="A959" s="139" t="s">
        <v>1505</v>
      </c>
      <c r="B959" s="67">
        <f>+K29</f>
        <v>63038</v>
      </c>
      <c r="C959" s="67">
        <f>+K64</f>
        <v>62704</v>
      </c>
      <c r="D959" s="67">
        <f>+K139</f>
        <v>62386</v>
      </c>
      <c r="E959" s="67">
        <f>+K329</f>
        <v>40499</v>
      </c>
      <c r="F959" s="67">
        <f>+K324</f>
        <v>5</v>
      </c>
      <c r="G959" s="67">
        <f>+K336</f>
        <v>-121200</v>
      </c>
      <c r="H959" s="67">
        <f>+K520</f>
        <v>114384</v>
      </c>
      <c r="I959" s="67">
        <f>+K571</f>
        <v>48848</v>
      </c>
      <c r="J959" s="67">
        <f>+K616</f>
        <v>34829</v>
      </c>
      <c r="K959" s="67">
        <f>+K682</f>
        <v>27707</v>
      </c>
      <c r="L959" s="67">
        <f>+K692</f>
        <v>20172</v>
      </c>
      <c r="M959" s="67">
        <f>+K728</f>
        <v>20136</v>
      </c>
      <c r="N959" s="67">
        <f>+K780</f>
        <v>18112</v>
      </c>
      <c r="O959" s="67">
        <f>+K790</f>
        <v>3920</v>
      </c>
      <c r="P959" s="67">
        <f>+K824</f>
        <v>6644</v>
      </c>
      <c r="Q959" s="67">
        <f>+K875</f>
        <v>3914</v>
      </c>
      <c r="R959" s="754"/>
      <c r="T959" s="619">
        <f>'Lake Pleasant Forecast'!B49</f>
        <v>1654.0999551114837</v>
      </c>
      <c r="AC959" s="551" t="s">
        <v>785</v>
      </c>
      <c r="AD959" s="67"/>
      <c r="AE959" s="67"/>
      <c r="AF959" s="67"/>
      <c r="AG959" s="67"/>
      <c r="AH959" s="67"/>
      <c r="AI959" s="67"/>
      <c r="AJ959" s="67"/>
      <c r="AK959" s="67"/>
      <c r="AL959" s="67"/>
      <c r="AM959" s="67"/>
      <c r="AN959" s="67"/>
      <c r="AO959" s="67"/>
      <c r="AP959" s="67"/>
      <c r="AQ959" s="67"/>
      <c r="AR959" s="67"/>
      <c r="AS959" s="67"/>
      <c r="AT959" s="754"/>
    </row>
    <row r="960" spans="1:46" ht="15.75" customHeight="1" x14ac:dyDescent="0.3">
      <c r="A960" s="139" t="s">
        <v>1506</v>
      </c>
      <c r="B960" s="67">
        <f>+L29</f>
        <v>164966</v>
      </c>
      <c r="C960" s="67">
        <f>+L64</f>
        <v>164650</v>
      </c>
      <c r="D960" s="67">
        <f>+L139</f>
        <v>164349</v>
      </c>
      <c r="E960" s="67">
        <f>+L329</f>
        <v>144430</v>
      </c>
      <c r="F960" s="67">
        <f>+L324</f>
        <v>33393</v>
      </c>
      <c r="G960" s="67">
        <f>+L336</f>
        <v>-3227</v>
      </c>
      <c r="H960" s="67">
        <f>+L520</f>
        <v>74986</v>
      </c>
      <c r="I960" s="67">
        <f>+L571</f>
        <v>37175</v>
      </c>
      <c r="J960" s="67">
        <f>+L616</f>
        <v>24963</v>
      </c>
      <c r="K960" s="67">
        <f>+L682</f>
        <v>22988</v>
      </c>
      <c r="L960" s="67">
        <f>+L692</f>
        <v>17717</v>
      </c>
      <c r="M960" s="67">
        <f>+L728</f>
        <v>17683</v>
      </c>
      <c r="N960" s="67">
        <f>+L780</f>
        <v>16977</v>
      </c>
      <c r="O960" s="67">
        <f>+L790</f>
        <v>4101</v>
      </c>
      <c r="P960" s="67">
        <f>+L824</f>
        <v>5050</v>
      </c>
      <c r="Q960" s="67">
        <f>+L875</f>
        <v>4095</v>
      </c>
      <c r="R960" s="754"/>
      <c r="T960" s="619">
        <f>'Lake Pleasant Forecast'!B51</f>
        <v>1657.9899941811159</v>
      </c>
      <c r="AC960" s="551"/>
      <c r="AD960" s="67"/>
      <c r="AE960" s="67"/>
      <c r="AF960" s="67"/>
      <c r="AG960" s="67"/>
      <c r="AH960" s="67"/>
      <c r="AI960" s="67"/>
      <c r="AJ960" s="67"/>
      <c r="AK960" s="67"/>
      <c r="AL960" s="67"/>
      <c r="AM960" s="67"/>
      <c r="AN960" s="67"/>
      <c r="AO960" s="67"/>
      <c r="AP960" s="67"/>
      <c r="AQ960" s="67"/>
      <c r="AR960" s="67"/>
      <c r="AS960" s="67"/>
      <c r="AT960" s="754"/>
    </row>
    <row r="961" spans="1:50" ht="15.75" customHeight="1" x14ac:dyDescent="0.3">
      <c r="A961" s="139" t="s">
        <v>1507</v>
      </c>
      <c r="B961" s="67">
        <f>+N29</f>
        <v>163592</v>
      </c>
      <c r="C961" s="67">
        <f>+N64</f>
        <v>163307</v>
      </c>
      <c r="D961" s="67">
        <f>+N139</f>
        <v>163035</v>
      </c>
      <c r="E961" s="67">
        <f>+N329</f>
        <v>148730</v>
      </c>
      <c r="F961" s="67">
        <f>+N324</f>
        <v>61538</v>
      </c>
      <c r="G961" s="67">
        <f>+N336</f>
        <v>-23</v>
      </c>
      <c r="H961" s="67">
        <f>+N520</f>
        <v>53523</v>
      </c>
      <c r="I961" s="67">
        <f>+N571</f>
        <v>18114</v>
      </c>
      <c r="J961" s="67">
        <f>+N616</f>
        <v>16160</v>
      </c>
      <c r="K961" s="67">
        <f>+N682</f>
        <v>14931</v>
      </c>
      <c r="L961" s="67">
        <f>+N692</f>
        <v>11876</v>
      </c>
      <c r="M961" s="67">
        <f>+N728</f>
        <v>11847</v>
      </c>
      <c r="N961" s="67">
        <f>+N780</f>
        <v>11105</v>
      </c>
      <c r="O961" s="67">
        <f>+N790</f>
        <v>4016</v>
      </c>
      <c r="P961" s="67">
        <f>+N824</f>
        <v>4757</v>
      </c>
      <c r="Q961" s="67">
        <f>+N875</f>
        <v>4011</v>
      </c>
      <c r="R961" s="754"/>
      <c r="T961" s="619">
        <f>'Lake Pleasant Forecast'!B53</f>
        <v>1665.72</v>
      </c>
      <c r="AC961" s="551" t="s">
        <v>440</v>
      </c>
      <c r="AD961" s="67"/>
      <c r="AE961" s="67"/>
      <c r="AF961" s="67"/>
      <c r="AG961" s="67"/>
      <c r="AH961" s="67"/>
      <c r="AI961" s="67"/>
      <c r="AJ961" s="67"/>
      <c r="AK961" s="67"/>
      <c r="AL961" s="67"/>
      <c r="AM961" s="67"/>
      <c r="AN961" s="67"/>
      <c r="AO961" s="67"/>
      <c r="AP961" s="67"/>
      <c r="AQ961" s="67"/>
      <c r="AR961" s="67"/>
      <c r="AS961" s="67"/>
      <c r="AT961" s="754"/>
    </row>
    <row r="962" spans="1:50" ht="15.75" customHeight="1" x14ac:dyDescent="0.3">
      <c r="A962" s="139" t="s">
        <v>1508</v>
      </c>
      <c r="B962" s="67">
        <f>+O29</f>
        <v>124594</v>
      </c>
      <c r="C962" s="67">
        <f>+O64</f>
        <v>124359</v>
      </c>
      <c r="D962" s="67">
        <f>+O139</f>
        <v>124133</v>
      </c>
      <c r="E962" s="67">
        <f>+O329</f>
        <v>113638</v>
      </c>
      <c r="F962" s="67">
        <f>+O324</f>
        <v>65150</v>
      </c>
      <c r="G962" s="67">
        <f>+O336</f>
        <v>-5290</v>
      </c>
      <c r="H962" s="67">
        <f>+O520</f>
        <v>25394</v>
      </c>
      <c r="I962" s="67">
        <f>+O571</f>
        <v>4255</v>
      </c>
      <c r="J962" s="67">
        <f>+O616</f>
        <v>3733</v>
      </c>
      <c r="K962" s="67">
        <f>+O682</f>
        <v>3295</v>
      </c>
      <c r="L962" s="67">
        <f>+O692</f>
        <v>1723</v>
      </c>
      <c r="M962" s="67">
        <f>+O728</f>
        <v>1700</v>
      </c>
      <c r="N962" s="67">
        <f>+O780</f>
        <v>1689</v>
      </c>
      <c r="O962" s="67">
        <f>+O790</f>
        <v>1389</v>
      </c>
      <c r="P962" s="67">
        <f>+O824</f>
        <v>4281</v>
      </c>
      <c r="Q962" s="67">
        <f>+O875</f>
        <v>1386</v>
      </c>
      <c r="R962" s="754"/>
      <c r="T962" s="619">
        <f>'Lake Pleasant Forecast'!B55</f>
        <v>1673.02</v>
      </c>
      <c r="AC962" s="551"/>
      <c r="AD962" s="67"/>
      <c r="AE962" s="67"/>
      <c r="AF962" s="67"/>
      <c r="AG962" s="67"/>
      <c r="AH962" s="67"/>
      <c r="AI962" s="67"/>
      <c r="AJ962" s="67"/>
      <c r="AK962" s="67"/>
      <c r="AL962" s="67"/>
      <c r="AM962" s="67"/>
      <c r="AN962" s="67"/>
      <c r="AO962" s="67"/>
      <c r="AP962" s="67"/>
      <c r="AQ962" s="67"/>
      <c r="AR962" s="67"/>
      <c r="AS962" s="67"/>
      <c r="AT962" s="754"/>
    </row>
    <row r="963" spans="1:50" ht="15.75" customHeight="1" thickBot="1" x14ac:dyDescent="0.35">
      <c r="A963" s="139" t="s">
        <v>1509</v>
      </c>
      <c r="B963" s="67">
        <f>+P29</f>
        <v>127739</v>
      </c>
      <c r="C963" s="67">
        <f>+P64</f>
        <v>127553</v>
      </c>
      <c r="D963" s="67">
        <f>+P139</f>
        <v>127374</v>
      </c>
      <c r="E963" s="67">
        <f>+P329</f>
        <v>120061</v>
      </c>
      <c r="F963" s="67">
        <f>+P324</f>
        <v>55000</v>
      </c>
      <c r="G963" s="67">
        <f>+P336</f>
        <v>0</v>
      </c>
      <c r="H963" s="67">
        <f>+P520</f>
        <v>38524</v>
      </c>
      <c r="I963" s="67">
        <f>+P571</f>
        <v>17792</v>
      </c>
      <c r="J963" s="67">
        <f>+P616</f>
        <v>15642</v>
      </c>
      <c r="K963" s="67">
        <f>+P682</f>
        <v>14994</v>
      </c>
      <c r="L963" s="67">
        <f>+P692</f>
        <v>12810</v>
      </c>
      <c r="M963" s="67">
        <f>+P728</f>
        <v>12791</v>
      </c>
      <c r="N963" s="67">
        <f>+P780</f>
        <v>12363</v>
      </c>
      <c r="O963" s="67">
        <f>+P790</f>
        <v>5175</v>
      </c>
      <c r="P963" s="67">
        <f>+P824</f>
        <v>3805</v>
      </c>
      <c r="Q963" s="67">
        <f>+P875</f>
        <v>5173</v>
      </c>
      <c r="R963" s="754"/>
      <c r="T963" s="619">
        <f>'Lake Pleasant Forecast'!B57</f>
        <v>1679.9390201045346</v>
      </c>
      <c r="AC963" s="554" t="s">
        <v>1480</v>
      </c>
      <c r="AD963" s="555"/>
      <c r="AE963" s="555"/>
      <c r="AF963" s="555"/>
      <c r="AG963" s="555"/>
      <c r="AH963" s="555"/>
      <c r="AI963" s="555"/>
      <c r="AJ963" s="555"/>
      <c r="AK963" s="555"/>
      <c r="AL963" s="555"/>
      <c r="AM963" s="555"/>
      <c r="AN963" s="555"/>
      <c r="AO963" s="555"/>
      <c r="AP963" s="555"/>
      <c r="AQ963" s="555"/>
      <c r="AR963" s="555"/>
      <c r="AS963" s="555"/>
      <c r="AT963" s="556"/>
    </row>
    <row r="964" spans="1:50" ht="15.75" customHeight="1" x14ac:dyDescent="0.3">
      <c r="A964" s="553"/>
      <c r="B964" s="67"/>
      <c r="C964" s="67"/>
      <c r="D964" s="67"/>
      <c r="E964" s="67"/>
      <c r="F964" s="67"/>
      <c r="G964" s="67"/>
      <c r="H964" s="67"/>
      <c r="I964" s="67"/>
      <c r="J964" s="67"/>
      <c r="K964" s="67"/>
      <c r="L964" s="67"/>
      <c r="M964" s="67"/>
      <c r="N964" s="67"/>
      <c r="O964" s="67"/>
      <c r="P964" s="67"/>
      <c r="Q964" s="67"/>
      <c r="R964" s="754"/>
    </row>
    <row r="965" spans="1:50" ht="15.75" customHeight="1" thickBot="1" x14ac:dyDescent="0.35">
      <c r="A965" s="553" t="s">
        <v>2356</v>
      </c>
      <c r="B965" s="67">
        <f>SUM(B952:B963)</f>
        <v>1399680</v>
      </c>
      <c r="C965" s="67">
        <f t="shared" ref="C965:Q965" si="367">SUM(C952:C963)</f>
        <v>1396180</v>
      </c>
      <c r="D965" s="67">
        <f t="shared" si="367"/>
        <v>1392840</v>
      </c>
      <c r="E965" s="67">
        <f t="shared" si="367"/>
        <v>1285917</v>
      </c>
      <c r="F965" s="67">
        <f t="shared" si="367"/>
        <v>265334</v>
      </c>
      <c r="G965" s="67">
        <f t="shared" si="367"/>
        <v>-361664</v>
      </c>
      <c r="H965" s="67">
        <f t="shared" si="367"/>
        <v>948873</v>
      </c>
      <c r="I965" s="67">
        <f t="shared" si="367"/>
        <v>385257</v>
      </c>
      <c r="J965" s="67">
        <f t="shared" si="367"/>
        <v>301335</v>
      </c>
      <c r="K965" s="67">
        <f t="shared" si="367"/>
        <v>265526</v>
      </c>
      <c r="L965" s="67">
        <f t="shared" si="367"/>
        <v>207180</v>
      </c>
      <c r="M965" s="67">
        <f t="shared" si="367"/>
        <v>206807</v>
      </c>
      <c r="N965" s="67">
        <f t="shared" si="367"/>
        <v>191680</v>
      </c>
      <c r="O965" s="67">
        <f t="shared" si="367"/>
        <v>46530</v>
      </c>
      <c r="P965" s="67">
        <f t="shared" si="367"/>
        <v>62734</v>
      </c>
      <c r="Q965" s="67">
        <f t="shared" si="367"/>
        <v>46456</v>
      </c>
      <c r="R965" s="754"/>
    </row>
    <row r="966" spans="1:50" ht="15.75" customHeight="1" thickBot="1" x14ac:dyDescent="0.35">
      <c r="A966" s="581"/>
      <c r="B966" s="581"/>
      <c r="C966" s="581"/>
      <c r="D966" s="581"/>
      <c r="E966" s="581"/>
      <c r="F966" s="581"/>
      <c r="G966" s="581"/>
      <c r="H966" s="581"/>
      <c r="I966" s="581"/>
      <c r="J966" s="581"/>
      <c r="K966" s="581"/>
      <c r="L966" s="581"/>
      <c r="M966" s="581"/>
      <c r="N966" s="581"/>
      <c r="O966" s="581"/>
      <c r="P966" s="581"/>
      <c r="Q966" s="581"/>
      <c r="R966" s="556"/>
      <c r="AC966" s="749"/>
      <c r="AD966" s="701"/>
      <c r="AE966" s="701"/>
      <c r="AF966" s="701"/>
      <c r="AG966" s="701"/>
      <c r="AH966" s="701"/>
      <c r="AI966" s="701"/>
      <c r="AJ966" s="701"/>
      <c r="AK966" s="701"/>
      <c r="AL966" s="701"/>
      <c r="AM966" s="701"/>
      <c r="AN966" s="701"/>
      <c r="AO966" s="701"/>
      <c r="AP966" s="701"/>
      <c r="AQ966" s="701"/>
      <c r="AR966" s="701"/>
      <c r="AS966" s="752" t="str">
        <f>+Q1</f>
        <v xml:space="preserve">PRINTED:  </v>
      </c>
      <c r="AT966" s="756">
        <f ca="1">+R1</f>
        <v>44881.729633912037</v>
      </c>
      <c r="AU966" s="702"/>
      <c r="AW966" s="71" t="s">
        <v>253</v>
      </c>
      <c r="AX966" s="67"/>
    </row>
    <row r="967" spans="1:50" ht="15.75" customHeight="1" x14ac:dyDescent="0.35">
      <c r="A967" s="703"/>
      <c r="B967" s="703"/>
      <c r="C967" s="703"/>
      <c r="D967" s="703"/>
      <c r="E967" s="703"/>
      <c r="F967" s="703"/>
      <c r="G967" s="703"/>
      <c r="H967" s="703"/>
      <c r="I967" s="703"/>
      <c r="J967" s="703"/>
      <c r="K967" s="703"/>
      <c r="L967" s="703"/>
      <c r="M967" s="703"/>
      <c r="N967" s="703"/>
      <c r="O967" s="703"/>
      <c r="P967" s="703"/>
      <c r="Q967" s="703"/>
      <c r="R967" s="701"/>
      <c r="AC967" s="551"/>
      <c r="AD967" s="67"/>
      <c r="AE967" s="71" t="s">
        <v>2125</v>
      </c>
      <c r="AF967" s="67"/>
      <c r="AG967" s="67"/>
      <c r="AH967" s="67"/>
      <c r="AI967" s="67"/>
      <c r="AJ967" s="67"/>
      <c r="AK967" s="67"/>
      <c r="AL967" s="67"/>
      <c r="AM967" s="67"/>
      <c r="AN967" s="215"/>
      <c r="AO967" s="71" t="s">
        <v>1456</v>
      </c>
      <c r="AP967" s="67"/>
      <c r="AQ967" s="67"/>
      <c r="AR967" s="67"/>
      <c r="AS967" s="67"/>
      <c r="AT967" s="67"/>
      <c r="AU967" s="727"/>
      <c r="AW967" s="67" t="s">
        <v>254</v>
      </c>
      <c r="AX967" s="67"/>
    </row>
    <row r="968" spans="1:50" ht="16.5" customHeight="1" x14ac:dyDescent="0.3">
      <c r="A968" s="553" t="s">
        <v>852</v>
      </c>
      <c r="B968" s="67"/>
      <c r="C968" s="67"/>
      <c r="D968" s="67"/>
      <c r="E968" s="67"/>
      <c r="F968" s="67"/>
      <c r="G968" s="67"/>
      <c r="H968" s="67"/>
      <c r="I968" s="67"/>
      <c r="J968" s="67"/>
      <c r="K968" s="67"/>
      <c r="L968" s="67"/>
      <c r="M968" s="67"/>
      <c r="N968" s="67"/>
      <c r="O968" s="67"/>
      <c r="P968" s="67"/>
      <c r="Q968" s="67"/>
      <c r="R968" s="67"/>
      <c r="AC968" s="551"/>
      <c r="AD968" s="67"/>
      <c r="AE968" s="67"/>
      <c r="AF968" s="67"/>
      <c r="AG968" s="67" t="s">
        <v>852</v>
      </c>
      <c r="AH968" s="69" t="str">
        <f>+A8</f>
        <v>Revised:  10/5/2020</v>
      </c>
      <c r="AI968" s="67"/>
      <c r="AJ968" s="67"/>
      <c r="AK968" s="67"/>
      <c r="AL968" s="67"/>
      <c r="AM968" s="67"/>
      <c r="AN968" s="67"/>
      <c r="AO968" s="67"/>
      <c r="AP968" s="67"/>
      <c r="AQ968" s="67"/>
      <c r="AR968" s="67" t="s">
        <v>852</v>
      </c>
      <c r="AS968" s="69" t="str">
        <f>+A8</f>
        <v>Revised:  10/5/2020</v>
      </c>
      <c r="AT968" s="67"/>
      <c r="AU968" s="727"/>
      <c r="AW968" s="67"/>
      <c r="AX968" s="67"/>
    </row>
    <row r="969" spans="1:50" ht="15.75" customHeight="1" x14ac:dyDescent="0.3">
      <c r="A969" s="70"/>
      <c r="B969" s="67"/>
      <c r="C969" s="67"/>
      <c r="D969" s="67"/>
      <c r="E969" s="67"/>
      <c r="F969" s="67"/>
      <c r="G969" s="67"/>
      <c r="H969" s="67"/>
      <c r="I969" s="67"/>
      <c r="J969" s="67"/>
      <c r="K969" s="67"/>
      <c r="L969" s="67"/>
      <c r="M969" s="67"/>
      <c r="N969" s="67"/>
      <c r="O969" s="67"/>
      <c r="P969" s="67"/>
      <c r="Q969" s="67"/>
      <c r="R969" s="67"/>
      <c r="AC969" s="551"/>
      <c r="AD969" s="67"/>
      <c r="AE969" s="67"/>
      <c r="AF969" s="67" t="s">
        <v>2545</v>
      </c>
      <c r="AG969" s="67"/>
      <c r="AH969" s="67"/>
      <c r="AI969" s="67"/>
      <c r="AJ969" s="67"/>
      <c r="AK969" s="67"/>
      <c r="AL969" s="67"/>
      <c r="AM969" s="67"/>
      <c r="AN969" s="67"/>
      <c r="AO969" s="67"/>
      <c r="AP969" s="67" t="s">
        <v>2545</v>
      </c>
      <c r="AQ969" s="67"/>
      <c r="AR969" s="67"/>
      <c r="AS969" s="67"/>
      <c r="AT969" s="67"/>
      <c r="AU969" s="727"/>
      <c r="AW969" s="67" t="s">
        <v>2435</v>
      </c>
      <c r="AX969" s="70" t="s">
        <v>335</v>
      </c>
    </row>
    <row r="970" spans="1:50" ht="15.75" customHeight="1" x14ac:dyDescent="0.3">
      <c r="A970" s="139"/>
      <c r="AC970" s="551"/>
      <c r="AD970" s="67"/>
      <c r="AE970" s="67"/>
      <c r="AF970" s="67"/>
      <c r="AG970" s="67"/>
      <c r="AH970" s="67"/>
      <c r="AI970" s="67"/>
      <c r="AJ970" s="67"/>
      <c r="AK970" s="67"/>
      <c r="AL970" s="67"/>
      <c r="AM970" s="67"/>
      <c r="AN970" s="67"/>
      <c r="AO970" s="67"/>
      <c r="AP970" s="67"/>
      <c r="AQ970" s="67"/>
      <c r="AR970" s="67"/>
      <c r="AS970" s="67"/>
      <c r="AT970" s="67"/>
      <c r="AU970" s="727"/>
      <c r="AW970" s="70" t="s">
        <v>335</v>
      </c>
      <c r="AX970" s="70" t="s">
        <v>956</v>
      </c>
    </row>
    <row r="971" spans="1:50" ht="15.75" customHeight="1" thickBot="1" x14ac:dyDescent="0.35">
      <c r="A971" s="139"/>
      <c r="AC971" s="551"/>
      <c r="AD971" s="67"/>
      <c r="AE971" s="67"/>
      <c r="AF971" s="67"/>
      <c r="AG971" s="67">
        <f>+A5</f>
        <v>2020</v>
      </c>
      <c r="AH971" s="67"/>
      <c r="AI971" s="67"/>
      <c r="AJ971" s="67"/>
      <c r="AK971" s="67"/>
      <c r="AL971" s="67"/>
      <c r="AM971" s="67"/>
      <c r="AN971" s="67"/>
      <c r="AO971" s="67"/>
      <c r="AP971" s="67"/>
      <c r="AQ971" s="67"/>
      <c r="AR971" s="67">
        <f>+A5</f>
        <v>2020</v>
      </c>
      <c r="AS971" s="67"/>
      <c r="AT971" s="67"/>
      <c r="AU971" s="727"/>
      <c r="AW971" s="70" t="s">
        <v>998</v>
      </c>
      <c r="AX971" s="70" t="s">
        <v>2201</v>
      </c>
    </row>
    <row r="972" spans="1:50" ht="15.75" customHeight="1" x14ac:dyDescent="0.3">
      <c r="A972" s="755"/>
      <c r="B972" s="821" t="s">
        <v>1898</v>
      </c>
      <c r="C972" s="821"/>
      <c r="D972" s="821"/>
      <c r="E972" s="821"/>
      <c r="F972" s="821"/>
      <c r="G972" s="821"/>
      <c r="H972" s="821"/>
      <c r="I972" s="821"/>
      <c r="J972" s="821"/>
      <c r="K972" s="821"/>
      <c r="L972" s="821"/>
      <c r="M972" s="821"/>
      <c r="N972" s="821"/>
      <c r="O972" s="821"/>
      <c r="P972" s="821"/>
      <c r="Q972" s="752" t="str">
        <f>+Q1</f>
        <v xml:space="preserve">PRINTED:  </v>
      </c>
      <c r="R972" s="753">
        <f ca="1">+R1</f>
        <v>44881.729633912037</v>
      </c>
      <c r="AC972" s="551"/>
      <c r="AD972" s="67"/>
      <c r="AE972" s="67"/>
      <c r="AF972" s="67"/>
      <c r="AG972" s="67" t="s">
        <v>1199</v>
      </c>
      <c r="AH972" s="67"/>
      <c r="AI972" s="67"/>
      <c r="AJ972" s="67"/>
      <c r="AK972" s="67"/>
      <c r="AL972" s="67"/>
      <c r="AM972" s="67"/>
      <c r="AN972" s="67"/>
      <c r="AO972" s="67"/>
      <c r="AP972" s="67"/>
      <c r="AQ972" s="67"/>
      <c r="AR972" s="67" t="s">
        <v>1199</v>
      </c>
      <c r="AS972" s="67"/>
      <c r="AT972" s="67"/>
      <c r="AU972" s="727"/>
      <c r="AW972" s="70" t="s">
        <v>1353</v>
      </c>
      <c r="AX972" s="70" t="s">
        <v>1353</v>
      </c>
    </row>
    <row r="973" spans="1:50" ht="15.75" customHeight="1" x14ac:dyDescent="0.3">
      <c r="A973" s="553"/>
      <c r="B973" s="786" t="str">
        <f>+A8</f>
        <v>Revised:  10/5/2020</v>
      </c>
      <c r="C973" s="786"/>
      <c r="D973" s="786"/>
      <c r="E973" s="786"/>
      <c r="F973" s="786"/>
      <c r="G973" s="786"/>
      <c r="H973" s="786"/>
      <c r="I973" s="786"/>
      <c r="J973" s="786"/>
      <c r="K973" s="786"/>
      <c r="L973" s="786"/>
      <c r="M973" s="786"/>
      <c r="N973" s="786"/>
      <c r="O973" s="786"/>
      <c r="P973" s="786"/>
      <c r="Q973" s="67"/>
      <c r="R973" s="754"/>
      <c r="AC973" s="551"/>
      <c r="AD973" s="67"/>
      <c r="AE973" s="67"/>
      <c r="AF973" s="67"/>
      <c r="AG973" s="67"/>
      <c r="AH973" s="67"/>
      <c r="AI973" s="67"/>
      <c r="AJ973" s="67"/>
      <c r="AK973" s="67"/>
      <c r="AL973" s="67"/>
      <c r="AM973" s="67"/>
      <c r="AN973" s="67"/>
      <c r="AO973" s="67"/>
      <c r="AP973" s="67"/>
      <c r="AQ973" s="67"/>
      <c r="AR973" s="67"/>
      <c r="AS973" s="67"/>
      <c r="AT973" s="67"/>
      <c r="AU973" s="727"/>
      <c r="AW973" s="67">
        <f t="shared" ref="AW973:AW984" si="368">SUM(L1009:Q1009)</f>
        <v>8056</v>
      </c>
      <c r="AX973" s="72">
        <v>2.4700000000000002</v>
      </c>
    </row>
    <row r="974" spans="1:50" ht="15.75" customHeight="1" x14ac:dyDescent="0.3">
      <c r="A974" s="553"/>
      <c r="B974" s="786" t="s">
        <v>2878</v>
      </c>
      <c r="C974" s="786"/>
      <c r="D974" s="786"/>
      <c r="E974" s="786"/>
      <c r="F974" s="786"/>
      <c r="G974" s="786"/>
      <c r="H974" s="786"/>
      <c r="I974" s="786"/>
      <c r="J974" s="786"/>
      <c r="K974" s="786"/>
      <c r="L974" s="786"/>
      <c r="M974" s="786"/>
      <c r="N974" s="786"/>
      <c r="O974" s="786"/>
      <c r="P974" s="786"/>
      <c r="Q974" s="67"/>
      <c r="R974" s="754"/>
      <c r="AC974" s="551" t="s">
        <v>1307</v>
      </c>
      <c r="AD974" s="70" t="s">
        <v>1308</v>
      </c>
      <c r="AE974" s="70" t="s">
        <v>1309</v>
      </c>
      <c r="AF974" s="70" t="s">
        <v>1029</v>
      </c>
      <c r="AG974" s="70" t="s">
        <v>1030</v>
      </c>
      <c r="AH974" s="70" t="s">
        <v>284</v>
      </c>
      <c r="AI974" s="67"/>
      <c r="AJ974" s="70" t="s">
        <v>2356</v>
      </c>
      <c r="AK974" s="67"/>
      <c r="AL974" s="67"/>
      <c r="AM974" s="67"/>
      <c r="AN974" s="67" t="s">
        <v>1307</v>
      </c>
      <c r="AO974" s="70" t="s">
        <v>1308</v>
      </c>
      <c r="AP974" s="70" t="s">
        <v>1309</v>
      </c>
      <c r="AQ974" s="70" t="s">
        <v>1029</v>
      </c>
      <c r="AR974" s="70" t="s">
        <v>1030</v>
      </c>
      <c r="AS974" s="70" t="s">
        <v>284</v>
      </c>
      <c r="AT974" s="70" t="s">
        <v>2356</v>
      </c>
      <c r="AU974" s="727"/>
      <c r="AW974" s="67">
        <f t="shared" si="368"/>
        <v>12130</v>
      </c>
      <c r="AX974" s="72">
        <v>2.4700000000000002</v>
      </c>
    </row>
    <row r="975" spans="1:50" ht="15.75" customHeight="1" x14ac:dyDescent="0.3">
      <c r="A975" s="553"/>
      <c r="B975" s="786"/>
      <c r="C975" s="786"/>
      <c r="D975" s="786"/>
      <c r="E975" s="786"/>
      <c r="F975" s="786"/>
      <c r="G975" s="786"/>
      <c r="H975" s="786"/>
      <c r="I975" s="786"/>
      <c r="J975" s="786"/>
      <c r="K975" s="786"/>
      <c r="L975" s="786"/>
      <c r="M975" s="786"/>
      <c r="N975" s="786"/>
      <c r="O975" s="786"/>
      <c r="P975" s="786"/>
      <c r="Q975" s="67"/>
      <c r="R975" s="754"/>
      <c r="AC975" s="551" t="s">
        <v>526</v>
      </c>
      <c r="AD975" s="67"/>
      <c r="AE975" s="67"/>
      <c r="AF975" s="67"/>
      <c r="AG975" s="67"/>
      <c r="AH975" s="70" t="s">
        <v>1193</v>
      </c>
      <c r="AI975" s="67"/>
      <c r="AJ975" s="70" t="s">
        <v>252</v>
      </c>
      <c r="AK975" s="67"/>
      <c r="AL975" s="67"/>
      <c r="AM975" s="67"/>
      <c r="AN975" s="67" t="s">
        <v>526</v>
      </c>
      <c r="AO975" s="67"/>
      <c r="AP975" s="67"/>
      <c r="AQ975" s="67"/>
      <c r="AR975" s="67"/>
      <c r="AS975" s="70" t="s">
        <v>1193</v>
      </c>
      <c r="AT975" s="70" t="s">
        <v>252</v>
      </c>
      <c r="AU975" s="727"/>
      <c r="AW975" s="67">
        <f t="shared" si="368"/>
        <v>13760</v>
      </c>
      <c r="AX975" s="72">
        <v>2.4700000000000002</v>
      </c>
    </row>
    <row r="976" spans="1:50" ht="15.75" customHeight="1" x14ac:dyDescent="0.3">
      <c r="A976" s="553"/>
      <c r="B976" s="787">
        <f>+A5</f>
        <v>2020</v>
      </c>
      <c r="C976" s="787"/>
      <c r="D976" s="787"/>
      <c r="E976" s="787"/>
      <c r="F976" s="787"/>
      <c r="G976" s="787"/>
      <c r="H976" s="787"/>
      <c r="I976" s="787"/>
      <c r="J976" s="787"/>
      <c r="K976" s="787"/>
      <c r="L976" s="787"/>
      <c r="M976" s="787"/>
      <c r="N976" s="787"/>
      <c r="O976" s="787"/>
      <c r="P976" s="787"/>
      <c r="Q976" s="67"/>
      <c r="R976" s="754"/>
      <c r="AC976" s="551" t="s">
        <v>1195</v>
      </c>
      <c r="AD976" s="67">
        <f>+$B$1007</f>
        <v>957</v>
      </c>
      <c r="AE976" s="67">
        <f>+C$1007</f>
        <v>122</v>
      </c>
      <c r="AF976" s="67">
        <f>+D$1007</f>
        <v>128</v>
      </c>
      <c r="AG976" s="67">
        <f>+E$1007</f>
        <v>219</v>
      </c>
      <c r="AH976" s="67"/>
      <c r="AI976" s="67"/>
      <c r="AJ976" s="70" t="s">
        <v>335</v>
      </c>
      <c r="AK976" s="67"/>
      <c r="AL976" s="67"/>
      <c r="AM976" s="67"/>
      <c r="AN976" s="67" t="s">
        <v>1195</v>
      </c>
      <c r="AO976" s="67">
        <f>+$B$1007</f>
        <v>957</v>
      </c>
      <c r="AP976" s="67">
        <f>+C$1007</f>
        <v>122</v>
      </c>
      <c r="AQ976" s="67">
        <f>+D$1007</f>
        <v>128</v>
      </c>
      <c r="AR976" s="67">
        <f>+E$1007</f>
        <v>219</v>
      </c>
      <c r="AS976" s="67"/>
      <c r="AT976" s="70" t="s">
        <v>335</v>
      </c>
      <c r="AU976" s="727"/>
      <c r="AW976" s="67">
        <f t="shared" si="368"/>
        <v>15064</v>
      </c>
      <c r="AX976" s="72">
        <v>2.4700000000000002</v>
      </c>
    </row>
    <row r="977" spans="1:50" ht="15.75" customHeight="1" x14ac:dyDescent="0.3">
      <c r="A977" s="553"/>
      <c r="B977" s="786" t="s">
        <v>2879</v>
      </c>
      <c r="C977" s="786"/>
      <c r="D977" s="786"/>
      <c r="E977" s="786"/>
      <c r="F977" s="786"/>
      <c r="G977" s="786"/>
      <c r="H977" s="786"/>
      <c r="I977" s="786"/>
      <c r="J977" s="786"/>
      <c r="K977" s="786"/>
      <c r="L977" s="786"/>
      <c r="M977" s="786"/>
      <c r="N977" s="786"/>
      <c r="O977" s="786"/>
      <c r="P977" s="786"/>
      <c r="Q977" s="67"/>
      <c r="R977" s="754"/>
      <c r="AC977" s="551"/>
      <c r="AD977" s="67" t="s">
        <v>1353</v>
      </c>
      <c r="AE977" s="67" t="s">
        <v>1353</v>
      </c>
      <c r="AF977" s="67" t="s">
        <v>1353</v>
      </c>
      <c r="AG977" s="67" t="s">
        <v>1353</v>
      </c>
      <c r="AH977" s="67" t="s">
        <v>1353</v>
      </c>
      <c r="AI977" s="67"/>
      <c r="AJ977" s="67" t="s">
        <v>251</v>
      </c>
      <c r="AK977" s="67"/>
      <c r="AL977" s="67"/>
      <c r="AM977" s="67"/>
      <c r="AN977" s="67"/>
      <c r="AO977" s="67" t="s">
        <v>1353</v>
      </c>
      <c r="AP977" s="67" t="s">
        <v>1353</v>
      </c>
      <c r="AQ977" s="67" t="s">
        <v>1353</v>
      </c>
      <c r="AR977" s="67" t="s">
        <v>1353</v>
      </c>
      <c r="AS977" s="67" t="s">
        <v>1353</v>
      </c>
      <c r="AT977" s="67" t="s">
        <v>251</v>
      </c>
      <c r="AU977" s="727"/>
      <c r="AW977" s="67">
        <f t="shared" si="368"/>
        <v>15423</v>
      </c>
      <c r="AX977" s="72">
        <v>2.4700000000000002</v>
      </c>
    </row>
    <row r="978" spans="1:50" ht="15.75" customHeight="1" x14ac:dyDescent="0.3">
      <c r="A978" s="553"/>
      <c r="B978" s="67"/>
      <c r="C978" s="67"/>
      <c r="D978" s="67"/>
      <c r="E978" s="67"/>
      <c r="F978" s="67"/>
      <c r="G978" s="67"/>
      <c r="H978" s="67"/>
      <c r="I978" s="67"/>
      <c r="J978" s="67"/>
      <c r="K978" s="67"/>
      <c r="L978" s="67"/>
      <c r="M978" s="67"/>
      <c r="N978" s="67"/>
      <c r="O978" s="67"/>
      <c r="P978" s="67"/>
      <c r="Q978" s="67"/>
      <c r="R978" s="754"/>
      <c r="AC978" s="553" t="s">
        <v>1354</v>
      </c>
      <c r="AD978" s="67">
        <f t="shared" ref="AD978:AD989" si="369">ROUND($F952*$AD$976/1000,0)</f>
        <v>19827</v>
      </c>
      <c r="AE978" s="67">
        <f t="shared" ref="AE978:AE989" si="370">ROUND($F952*$AE$976/1000,0)</f>
        <v>2528</v>
      </c>
      <c r="AF978" s="67">
        <f t="shared" ref="AF978:AF989" si="371">ROUND($F952*$AF$976/1000,0)</f>
        <v>2652</v>
      </c>
      <c r="AG978" s="67">
        <f t="shared" ref="AG978:AG989" si="372">ROUND($F952*$AG$976/1000,0)</f>
        <v>4537</v>
      </c>
      <c r="AH978" s="67">
        <f t="shared" ref="AH978:AH989" si="373">(F952*((T952-1526.8)/0.7702))/1000</f>
        <v>4446.4884445598536</v>
      </c>
      <c r="AI978" s="67"/>
      <c r="AJ978" s="67">
        <f t="shared" ref="AJ978:AJ989" si="374">SUM(AD978:AH978)</f>
        <v>33990.488444559851</v>
      </c>
      <c r="AK978" s="67"/>
      <c r="AL978" s="67"/>
      <c r="AM978" s="67"/>
      <c r="AN978" s="70" t="s">
        <v>1354</v>
      </c>
      <c r="AO978" s="67">
        <f t="shared" ref="AO978:AO989" si="375">ROUND((B952-$F952)*$AO$976/1000,0)</f>
        <v>51244</v>
      </c>
      <c r="AP978" s="67">
        <f t="shared" ref="AP978:AP989" si="376">ROUND((C952-$F952)*$AP$976/1000,0)</f>
        <v>6521</v>
      </c>
      <c r="AQ978" s="67">
        <f t="shared" ref="AQ978:AQ989" si="377">ROUND((D952-$F952)*$AQ$976/1000,0)</f>
        <v>6829</v>
      </c>
      <c r="AR978" s="67">
        <f t="shared" ref="AR978:AR989" si="378">ROUND((E952-$F952)*$AR$976/1000,0)</f>
        <v>11460</v>
      </c>
      <c r="AS978" s="67">
        <f>((F952-$F952)*((T952-1526.8)/0.7702))/1000</f>
        <v>0</v>
      </c>
      <c r="AT978" s="67">
        <f t="shared" ref="AT978:AT989" si="379">SUM(AN978:AR978)</f>
        <v>76054</v>
      </c>
      <c r="AU978" s="727"/>
      <c r="AW978" s="67">
        <f t="shared" si="368"/>
        <v>15376</v>
      </c>
      <c r="AX978" s="72">
        <v>2.4700000000000002</v>
      </c>
    </row>
    <row r="979" spans="1:50" ht="15.75" customHeight="1" thickBot="1" x14ac:dyDescent="0.35">
      <c r="A979" s="553" t="s">
        <v>845</v>
      </c>
      <c r="B979" s="634" t="s">
        <v>1308</v>
      </c>
      <c r="C979" s="634" t="s">
        <v>1309</v>
      </c>
      <c r="D979" s="634" t="s">
        <v>1029</v>
      </c>
      <c r="E979" s="634" t="s">
        <v>1030</v>
      </c>
      <c r="F979" s="634" t="s">
        <v>284</v>
      </c>
      <c r="G979" s="634" t="s">
        <v>284</v>
      </c>
      <c r="H979" s="634" t="s">
        <v>285</v>
      </c>
      <c r="I979" s="634" t="s">
        <v>286</v>
      </c>
      <c r="J979" s="634" t="s">
        <v>287</v>
      </c>
      <c r="K979" s="634" t="s">
        <v>288</v>
      </c>
      <c r="L979" s="634" t="s">
        <v>289</v>
      </c>
      <c r="M979" s="634" t="s">
        <v>633</v>
      </c>
      <c r="N979" s="634" t="s">
        <v>634</v>
      </c>
      <c r="O979" s="634" t="s">
        <v>1192</v>
      </c>
      <c r="P979" s="634" t="s">
        <v>524</v>
      </c>
      <c r="Q979" s="634" t="s">
        <v>525</v>
      </c>
      <c r="R979" s="754"/>
      <c r="AC979" s="553" t="s">
        <v>706</v>
      </c>
      <c r="AD979" s="67">
        <f t="shared" si="369"/>
        <v>2599</v>
      </c>
      <c r="AE979" s="67">
        <f t="shared" si="370"/>
        <v>331</v>
      </c>
      <c r="AF979" s="67">
        <f t="shared" si="371"/>
        <v>348</v>
      </c>
      <c r="AG979" s="67">
        <f t="shared" si="372"/>
        <v>595</v>
      </c>
      <c r="AH979" s="67">
        <f t="shared" si="373"/>
        <v>584.81101012723934</v>
      </c>
      <c r="AI979" s="67"/>
      <c r="AJ979" s="67">
        <f t="shared" si="374"/>
        <v>4457.8110101272396</v>
      </c>
      <c r="AK979" s="67"/>
      <c r="AL979" s="67"/>
      <c r="AM979" s="67"/>
      <c r="AN979" s="70" t="s">
        <v>706</v>
      </c>
      <c r="AO979" s="67">
        <f t="shared" si="375"/>
        <v>68487</v>
      </c>
      <c r="AP979" s="67">
        <f t="shared" si="376"/>
        <v>8713</v>
      </c>
      <c r="AQ979" s="67">
        <f t="shared" si="377"/>
        <v>9123</v>
      </c>
      <c r="AR979" s="67">
        <f t="shared" si="378"/>
        <v>15440</v>
      </c>
      <c r="AS979" s="67">
        <f t="shared" ref="AS979:AS989" si="380">((F953-$F953)*((T953-1526.8)/0.7702))/1000</f>
        <v>0</v>
      </c>
      <c r="AT979" s="67">
        <f t="shared" si="379"/>
        <v>101763</v>
      </c>
      <c r="AU979" s="727"/>
      <c r="AW979" s="67">
        <f t="shared" si="368"/>
        <v>15009</v>
      </c>
      <c r="AX979" s="72">
        <v>2.4700000000000002</v>
      </c>
    </row>
    <row r="980" spans="1:50" ht="15.75" customHeight="1" x14ac:dyDescent="0.3">
      <c r="A980" s="553"/>
      <c r="B980" s="67"/>
      <c r="C980" s="67"/>
      <c r="D980" s="67"/>
      <c r="E980" s="67"/>
      <c r="F980" s="70" t="s">
        <v>1193</v>
      </c>
      <c r="G980" s="70" t="s">
        <v>1194</v>
      </c>
      <c r="H980" s="67"/>
      <c r="I980" s="67"/>
      <c r="J980" s="67"/>
      <c r="K980" s="67"/>
      <c r="L980" s="67"/>
      <c r="M980" s="67"/>
      <c r="N980" s="67"/>
      <c r="O980" s="67"/>
      <c r="P980" s="67"/>
      <c r="Q980" s="67"/>
      <c r="R980" s="754"/>
      <c r="AC980" s="553" t="s">
        <v>707</v>
      </c>
      <c r="AD980" s="67">
        <f t="shared" si="369"/>
        <v>22199</v>
      </c>
      <c r="AE980" s="67">
        <f t="shared" si="370"/>
        <v>2830</v>
      </c>
      <c r="AF980" s="67">
        <f t="shared" si="371"/>
        <v>2969</v>
      </c>
      <c r="AG980" s="67">
        <f t="shared" si="372"/>
        <v>5080</v>
      </c>
      <c r="AH980" s="67">
        <f t="shared" si="373"/>
        <v>5162.3298182535718</v>
      </c>
      <c r="AI980" s="67"/>
      <c r="AJ980" s="67">
        <f t="shared" si="374"/>
        <v>38240.329818253573</v>
      </c>
      <c r="AK980" s="67"/>
      <c r="AL980" s="67"/>
      <c r="AM980" s="67"/>
      <c r="AN980" s="70" t="s">
        <v>707</v>
      </c>
      <c r="AO980" s="67">
        <f t="shared" si="375"/>
        <v>68937</v>
      </c>
      <c r="AP980" s="67">
        <f t="shared" si="376"/>
        <v>8755</v>
      </c>
      <c r="AQ980" s="67">
        <f t="shared" si="377"/>
        <v>9152</v>
      </c>
      <c r="AR980" s="67">
        <f t="shared" si="378"/>
        <v>15313</v>
      </c>
      <c r="AS980" s="67">
        <f t="shared" si="380"/>
        <v>0</v>
      </c>
      <c r="AT980" s="67">
        <f t="shared" si="379"/>
        <v>102157</v>
      </c>
      <c r="AU980" s="727"/>
      <c r="AW980" s="67">
        <f t="shared" si="368"/>
        <v>13686</v>
      </c>
      <c r="AX980" s="72">
        <v>2.4700000000000002</v>
      </c>
    </row>
    <row r="981" spans="1:50" ht="15.75" customHeight="1" x14ac:dyDescent="0.3">
      <c r="A981" s="139" t="s">
        <v>2843</v>
      </c>
      <c r="B981" s="67">
        <f t="shared" ref="B981:Q981" si="381">(B952/$B$10/1.983)</f>
        <v>1208.0750898768565</v>
      </c>
      <c r="C981" s="67">
        <f t="shared" si="381"/>
        <v>1206.4971613553917</v>
      </c>
      <c r="D981" s="67">
        <f t="shared" si="381"/>
        <v>1204.9355001382721</v>
      </c>
      <c r="E981" s="67">
        <f t="shared" si="381"/>
        <v>1188.2777804889952</v>
      </c>
      <c r="F981" s="67">
        <f t="shared" si="381"/>
        <v>337.02601141964766</v>
      </c>
      <c r="G981" s="67">
        <f t="shared" si="381"/>
        <v>0</v>
      </c>
      <c r="H981" s="67">
        <f t="shared" si="381"/>
        <v>478.34008426463646</v>
      </c>
      <c r="I981" s="67">
        <f t="shared" si="381"/>
        <v>229.98714882956745</v>
      </c>
      <c r="J981" s="67">
        <f t="shared" si="381"/>
        <v>229.84074309046247</v>
      </c>
      <c r="K981" s="67">
        <f t="shared" si="381"/>
        <v>228.14894343858279</v>
      </c>
      <c r="L981" s="67">
        <f t="shared" si="381"/>
        <v>155.56423145120621</v>
      </c>
      <c r="M981" s="67">
        <f t="shared" si="381"/>
        <v>155.23888536430627</v>
      </c>
      <c r="N981" s="67">
        <f t="shared" si="381"/>
        <v>149.44772501748736</v>
      </c>
      <c r="O981" s="67">
        <f t="shared" si="381"/>
        <v>57.846534250809292</v>
      </c>
      <c r="P981" s="67">
        <f t="shared" si="381"/>
        <v>67.086363118767579</v>
      </c>
      <c r="Q981" s="67">
        <f t="shared" si="381"/>
        <v>57.813999642119299</v>
      </c>
      <c r="R981" s="754"/>
      <c r="AC981" s="553" t="s">
        <v>1321</v>
      </c>
      <c r="AD981" s="67">
        <f t="shared" si="369"/>
        <v>3462</v>
      </c>
      <c r="AE981" s="67">
        <f t="shared" si="370"/>
        <v>441</v>
      </c>
      <c r="AF981" s="67">
        <f t="shared" si="371"/>
        <v>463</v>
      </c>
      <c r="AG981" s="67">
        <f t="shared" si="372"/>
        <v>792</v>
      </c>
      <c r="AH981" s="67">
        <f t="shared" si="373"/>
        <v>805.66499610490882</v>
      </c>
      <c r="AI981" s="67"/>
      <c r="AJ981" s="67">
        <f t="shared" si="374"/>
        <v>5963.6649961049088</v>
      </c>
      <c r="AK981" s="67"/>
      <c r="AL981" s="67"/>
      <c r="AM981" s="67"/>
      <c r="AN981" s="70" t="s">
        <v>1321</v>
      </c>
      <c r="AO981" s="67">
        <f t="shared" si="375"/>
        <v>141331</v>
      </c>
      <c r="AP981" s="67">
        <f t="shared" si="376"/>
        <v>17972</v>
      </c>
      <c r="AQ981" s="67">
        <f t="shared" si="377"/>
        <v>18811</v>
      </c>
      <c r="AR981" s="67">
        <f t="shared" si="378"/>
        <v>31325</v>
      </c>
      <c r="AS981" s="67">
        <f t="shared" si="380"/>
        <v>0</v>
      </c>
      <c r="AT981" s="67">
        <f t="shared" si="379"/>
        <v>209439</v>
      </c>
      <c r="AU981" s="727"/>
      <c r="AW981" s="67">
        <f t="shared" si="368"/>
        <v>12442</v>
      </c>
      <c r="AX981" s="72">
        <v>2.4700000000000002</v>
      </c>
    </row>
    <row r="982" spans="1:50" ht="15.75" customHeight="1" x14ac:dyDescent="0.3">
      <c r="A982" s="139" t="s">
        <v>2091</v>
      </c>
      <c r="B982" s="67">
        <f t="shared" ref="B982:Q982" si="382">(B953/$C$10/1.983)</f>
        <v>1291.668840315092</v>
      </c>
      <c r="C982" s="67">
        <f t="shared" si="382"/>
        <v>1289.0952405794078</v>
      </c>
      <c r="D982" s="67">
        <f t="shared" si="382"/>
        <v>1286.5738084059331</v>
      </c>
      <c r="E982" s="67">
        <f t="shared" si="382"/>
        <v>1273.2363016676231</v>
      </c>
      <c r="F982" s="67">
        <f t="shared" si="382"/>
        <v>47.229032987288505</v>
      </c>
      <c r="G982" s="67">
        <f t="shared" si="382"/>
        <v>0</v>
      </c>
      <c r="H982" s="67">
        <f t="shared" si="382"/>
        <v>826.42113134053238</v>
      </c>
      <c r="I982" s="67">
        <f t="shared" si="382"/>
        <v>400.64687777140171</v>
      </c>
      <c r="J982" s="67">
        <f t="shared" si="382"/>
        <v>396.12568904655086</v>
      </c>
      <c r="K982" s="67">
        <f t="shared" si="382"/>
        <v>393.93465143373851</v>
      </c>
      <c r="L982" s="67">
        <f t="shared" si="382"/>
        <v>324.62135044429374</v>
      </c>
      <c r="M982" s="67">
        <f t="shared" si="382"/>
        <v>324.23878832142174</v>
      </c>
      <c r="N982" s="67">
        <f t="shared" si="382"/>
        <v>297.25076947154258</v>
      </c>
      <c r="O982" s="67">
        <f t="shared" si="382"/>
        <v>66.670144504147316</v>
      </c>
      <c r="P982" s="67">
        <f t="shared" si="382"/>
        <v>68.356895682264764</v>
      </c>
      <c r="Q982" s="67">
        <f t="shared" si="382"/>
        <v>66.617976941937499</v>
      </c>
      <c r="R982" s="754"/>
      <c r="AC982" s="553" t="s">
        <v>1905</v>
      </c>
      <c r="AD982" s="67">
        <f t="shared" si="369"/>
        <v>0</v>
      </c>
      <c r="AE982" s="67">
        <f t="shared" si="370"/>
        <v>0</v>
      </c>
      <c r="AF982" s="67">
        <f t="shared" si="371"/>
        <v>0</v>
      </c>
      <c r="AG982" s="67">
        <f t="shared" si="372"/>
        <v>0</v>
      </c>
      <c r="AH982" s="67">
        <f t="shared" si="373"/>
        <v>0</v>
      </c>
      <c r="AI982" s="67"/>
      <c r="AJ982" s="67">
        <f t="shared" si="374"/>
        <v>0</v>
      </c>
      <c r="AK982" s="67"/>
      <c r="AL982" s="67"/>
      <c r="AM982" s="67"/>
      <c r="AN982" s="70" t="s">
        <v>1905</v>
      </c>
      <c r="AO982" s="67">
        <f t="shared" si="375"/>
        <v>171435</v>
      </c>
      <c r="AP982" s="67">
        <f t="shared" si="376"/>
        <v>21803</v>
      </c>
      <c r="AQ982" s="67">
        <f t="shared" si="377"/>
        <v>22824</v>
      </c>
      <c r="AR982" s="67">
        <f t="shared" si="378"/>
        <v>37630</v>
      </c>
      <c r="AS982" s="67">
        <f t="shared" si="380"/>
        <v>0</v>
      </c>
      <c r="AT982" s="67">
        <f t="shared" si="379"/>
        <v>253692</v>
      </c>
      <c r="AU982" s="727"/>
      <c r="AW982" s="67">
        <f t="shared" si="368"/>
        <v>9547</v>
      </c>
      <c r="AX982" s="72">
        <v>2.4700000000000002</v>
      </c>
    </row>
    <row r="983" spans="1:50" ht="15.75" customHeight="1" x14ac:dyDescent="0.3">
      <c r="A983" s="139" t="s">
        <v>2234</v>
      </c>
      <c r="B983" s="67">
        <f t="shared" ref="B983:Q983" si="383">(B954/$D$10/1.983)</f>
        <v>1549.1353927740633</v>
      </c>
      <c r="C983" s="67">
        <f t="shared" si="383"/>
        <v>1544.6781513835342</v>
      </c>
      <c r="D983" s="67">
        <f t="shared" si="383"/>
        <v>1540.4323849494899</v>
      </c>
      <c r="E983" s="67">
        <f t="shared" si="383"/>
        <v>1514.7788459974297</v>
      </c>
      <c r="F983" s="67">
        <f t="shared" si="383"/>
        <v>377.33639158655018</v>
      </c>
      <c r="G983" s="67">
        <f t="shared" si="383"/>
        <v>-313.27574707595204</v>
      </c>
      <c r="H983" s="67">
        <f t="shared" si="383"/>
        <v>1056.7403575553494</v>
      </c>
      <c r="I983" s="67">
        <f t="shared" si="383"/>
        <v>495.85997104419823</v>
      </c>
      <c r="J983" s="67">
        <f t="shared" si="383"/>
        <v>459.95803035478991</v>
      </c>
      <c r="K983" s="67">
        <f t="shared" si="383"/>
        <v>447.69248287866213</v>
      </c>
      <c r="L983" s="67">
        <f t="shared" si="383"/>
        <v>350.86948741724007</v>
      </c>
      <c r="M983" s="67">
        <f t="shared" si="383"/>
        <v>350.41400289558015</v>
      </c>
      <c r="N983" s="67">
        <f t="shared" si="383"/>
        <v>330.82816846420377</v>
      </c>
      <c r="O983" s="67">
        <f t="shared" si="383"/>
        <v>63.637694597628219</v>
      </c>
      <c r="P983" s="67">
        <f t="shared" si="383"/>
        <v>70.616368161631925</v>
      </c>
      <c r="Q983" s="67">
        <f t="shared" si="383"/>
        <v>63.55635807590324</v>
      </c>
      <c r="R983" s="754"/>
      <c r="AC983" s="553" t="s">
        <v>1906</v>
      </c>
      <c r="AD983" s="67">
        <f t="shared" si="369"/>
        <v>0</v>
      </c>
      <c r="AE983" s="67">
        <f t="shared" si="370"/>
        <v>0</v>
      </c>
      <c r="AF983" s="67">
        <f t="shared" si="371"/>
        <v>0</v>
      </c>
      <c r="AG983" s="67">
        <f t="shared" si="372"/>
        <v>0</v>
      </c>
      <c r="AH983" s="67">
        <f t="shared" si="373"/>
        <v>0</v>
      </c>
      <c r="AI983" s="67"/>
      <c r="AJ983" s="67">
        <f t="shared" si="374"/>
        <v>0</v>
      </c>
      <c r="AK983" s="67"/>
      <c r="AL983" s="67"/>
      <c r="AM983" s="67"/>
      <c r="AN983" s="70" t="s">
        <v>1906</v>
      </c>
      <c r="AO983" s="67">
        <f t="shared" si="375"/>
        <v>102242</v>
      </c>
      <c r="AP983" s="67">
        <f t="shared" si="376"/>
        <v>12983</v>
      </c>
      <c r="AQ983" s="67">
        <f t="shared" si="377"/>
        <v>13571</v>
      </c>
      <c r="AR983" s="67">
        <f t="shared" si="378"/>
        <v>21545</v>
      </c>
      <c r="AS983" s="67">
        <f t="shared" si="380"/>
        <v>0</v>
      </c>
      <c r="AT983" s="67">
        <f t="shared" si="379"/>
        <v>150341</v>
      </c>
      <c r="AU983" s="727"/>
      <c r="AW983" s="67">
        <f t="shared" si="368"/>
        <v>3139</v>
      </c>
      <c r="AX983" s="72">
        <v>2.4700000000000002</v>
      </c>
    </row>
    <row r="984" spans="1:50" ht="15.75" customHeight="1" x14ac:dyDescent="0.3">
      <c r="A984" s="139" t="s">
        <v>2235</v>
      </c>
      <c r="B984" s="67">
        <f t="shared" ref="B984:Q984" si="384">(B955/$F$10/1.983)</f>
        <v>2543.2677760968231</v>
      </c>
      <c r="C984" s="67">
        <f t="shared" si="384"/>
        <v>2537.0986720457217</v>
      </c>
      <c r="D984" s="67">
        <f t="shared" si="384"/>
        <v>2531.2153303076143</v>
      </c>
      <c r="E984" s="67">
        <f t="shared" si="384"/>
        <v>2465.2042360060514</v>
      </c>
      <c r="F984" s="67">
        <f t="shared" si="384"/>
        <v>60.816944024205746</v>
      </c>
      <c r="G984" s="67">
        <f t="shared" si="384"/>
        <v>0</v>
      </c>
      <c r="H984" s="67">
        <f t="shared" si="384"/>
        <v>1774.3990586653217</v>
      </c>
      <c r="I984" s="67">
        <f t="shared" si="384"/>
        <v>820.81022020507646</v>
      </c>
      <c r="J984" s="67">
        <f t="shared" si="384"/>
        <v>623.0963187090266</v>
      </c>
      <c r="K984" s="67">
        <f t="shared" si="384"/>
        <v>520.42360060514375</v>
      </c>
      <c r="L984" s="67">
        <f t="shared" si="384"/>
        <v>402.23566986048075</v>
      </c>
      <c r="M984" s="67">
        <f t="shared" si="384"/>
        <v>401.61371659102366</v>
      </c>
      <c r="N984" s="67">
        <f t="shared" si="384"/>
        <v>359.45537065052946</v>
      </c>
      <c r="O984" s="67">
        <f t="shared" si="384"/>
        <v>71.894436039670524</v>
      </c>
      <c r="P984" s="67">
        <f t="shared" si="384"/>
        <v>87.544125063035793</v>
      </c>
      <c r="Q984" s="67">
        <f t="shared" si="384"/>
        <v>71.776769204908391</v>
      </c>
      <c r="R984" s="754"/>
      <c r="AC984" s="553" t="s">
        <v>1907</v>
      </c>
      <c r="AD984" s="67">
        <f t="shared" si="369"/>
        <v>0</v>
      </c>
      <c r="AE984" s="67">
        <f t="shared" si="370"/>
        <v>0</v>
      </c>
      <c r="AF984" s="67">
        <f t="shared" si="371"/>
        <v>0</v>
      </c>
      <c r="AG984" s="67">
        <f t="shared" si="372"/>
        <v>0</v>
      </c>
      <c r="AH984" s="67">
        <f t="shared" si="373"/>
        <v>0</v>
      </c>
      <c r="AI984" s="67"/>
      <c r="AJ984" s="67">
        <f t="shared" si="374"/>
        <v>0</v>
      </c>
      <c r="AK984" s="67"/>
      <c r="AL984" s="67"/>
      <c r="AM984" s="67"/>
      <c r="AN984" s="70" t="s">
        <v>1907</v>
      </c>
      <c r="AO984" s="67">
        <f t="shared" si="375"/>
        <v>71492</v>
      </c>
      <c r="AP984" s="67">
        <f t="shared" si="376"/>
        <v>9063</v>
      </c>
      <c r="AQ984" s="67">
        <f t="shared" si="377"/>
        <v>9458</v>
      </c>
      <c r="AR984" s="67">
        <f t="shared" si="378"/>
        <v>13647</v>
      </c>
      <c r="AS984" s="67">
        <f t="shared" si="380"/>
        <v>0</v>
      </c>
      <c r="AT984" s="67">
        <f t="shared" si="379"/>
        <v>103660</v>
      </c>
      <c r="AU984" s="727"/>
      <c r="AW984" s="67">
        <f t="shared" si="368"/>
        <v>10486</v>
      </c>
      <c r="AX984" s="72">
        <v>2.4700000000000002</v>
      </c>
    </row>
    <row r="985" spans="1:50" ht="15.75" customHeight="1" x14ac:dyDescent="0.3">
      <c r="A985" s="139" t="s">
        <v>2236</v>
      </c>
      <c r="B985" s="67">
        <f t="shared" ref="B985:Q985" si="385">(B956/$G$10/1.983)</f>
        <v>2914.0923657540711</v>
      </c>
      <c r="C985" s="67">
        <f t="shared" si="385"/>
        <v>2907.1787614074469</v>
      </c>
      <c r="D985" s="67">
        <f t="shared" si="385"/>
        <v>2900.639305060758</v>
      </c>
      <c r="E985" s="67">
        <f t="shared" si="385"/>
        <v>2795.1783709921428</v>
      </c>
      <c r="F985" s="67">
        <f t="shared" si="385"/>
        <v>0</v>
      </c>
      <c r="G985" s="67">
        <f>(G956/$G$10/1.983)</f>
        <v>-205.29338083386202</v>
      </c>
      <c r="H985" s="67">
        <f t="shared" si="385"/>
        <v>2059.7986107722086</v>
      </c>
      <c r="I985" s="67">
        <f t="shared" si="385"/>
        <v>712.16631691962323</v>
      </c>
      <c r="J985" s="67">
        <f t="shared" si="385"/>
        <v>574.52865485660368</v>
      </c>
      <c r="K985" s="67">
        <f t="shared" si="385"/>
        <v>492.68784669692383</v>
      </c>
      <c r="L985" s="67">
        <f t="shared" si="385"/>
        <v>385.09589575911372</v>
      </c>
      <c r="M985" s="67">
        <f t="shared" si="385"/>
        <v>384.41266897662382</v>
      </c>
      <c r="N985" s="67">
        <f t="shared" si="385"/>
        <v>351.63405072145491</v>
      </c>
      <c r="O985" s="67">
        <f t="shared" si="385"/>
        <v>64.385990597498079</v>
      </c>
      <c r="P985" s="67">
        <f t="shared" si="385"/>
        <v>111.69131163274932</v>
      </c>
      <c r="Q985" s="67">
        <f t="shared" si="385"/>
        <v>64.255852162738108</v>
      </c>
      <c r="R985" s="754"/>
      <c r="AC985" s="553" t="s">
        <v>1908</v>
      </c>
      <c r="AD985" s="67">
        <f t="shared" si="369"/>
        <v>5</v>
      </c>
      <c r="AE985" s="67">
        <f t="shared" si="370"/>
        <v>1</v>
      </c>
      <c r="AF985" s="67">
        <f t="shared" si="371"/>
        <v>1</v>
      </c>
      <c r="AG985" s="67">
        <f t="shared" si="372"/>
        <v>1</v>
      </c>
      <c r="AH985" s="67">
        <f t="shared" si="373"/>
        <v>0.82640843359831073</v>
      </c>
      <c r="AI985" s="67"/>
      <c r="AJ985" s="67">
        <f t="shared" si="374"/>
        <v>8.82640843359831</v>
      </c>
      <c r="AK985" s="67"/>
      <c r="AL985" s="67"/>
      <c r="AM985" s="67"/>
      <c r="AN985" s="70" t="s">
        <v>1908</v>
      </c>
      <c r="AO985" s="67">
        <f t="shared" si="375"/>
        <v>60323</v>
      </c>
      <c r="AP985" s="67">
        <f t="shared" si="376"/>
        <v>7649</v>
      </c>
      <c r="AQ985" s="67">
        <f t="shared" si="377"/>
        <v>7985</v>
      </c>
      <c r="AR985" s="67">
        <f t="shared" si="378"/>
        <v>8868</v>
      </c>
      <c r="AS985" s="67">
        <f t="shared" si="380"/>
        <v>0</v>
      </c>
      <c r="AT985" s="67">
        <f t="shared" si="379"/>
        <v>84825</v>
      </c>
      <c r="AU985" s="727"/>
      <c r="AW985" s="67"/>
      <c r="AX985" s="72"/>
    </row>
    <row r="986" spans="1:50" ht="15.75" customHeight="1" x14ac:dyDescent="0.3">
      <c r="A986" s="139" t="s">
        <v>2237</v>
      </c>
      <c r="B986" s="67">
        <f t="shared" ref="B986:Q986" si="386">(B957/$H$10/1.983)</f>
        <v>1795.8648512355016</v>
      </c>
      <c r="C986" s="67">
        <f t="shared" si="386"/>
        <v>1788.8552697932425</v>
      </c>
      <c r="D986" s="67">
        <f t="shared" si="386"/>
        <v>1782.1986888552697</v>
      </c>
      <c r="E986" s="67">
        <f t="shared" si="386"/>
        <v>1653.6728861993611</v>
      </c>
      <c r="F986" s="67">
        <f t="shared" si="386"/>
        <v>0</v>
      </c>
      <c r="G986" s="67">
        <f t="shared" si="386"/>
        <v>-1465.0529500756429</v>
      </c>
      <c r="H986" s="67">
        <f t="shared" si="386"/>
        <v>2323.3148428307277</v>
      </c>
      <c r="I986" s="67">
        <f t="shared" si="386"/>
        <v>781.62716422928224</v>
      </c>
      <c r="J986" s="67">
        <f t="shared" si="386"/>
        <v>548.31064044377206</v>
      </c>
      <c r="K986" s="67">
        <f t="shared" si="386"/>
        <v>446.4279710875777</v>
      </c>
      <c r="L986" s="67">
        <f t="shared" si="386"/>
        <v>392.68784669692388</v>
      </c>
      <c r="M986" s="67">
        <f t="shared" si="386"/>
        <v>391.94822659270466</v>
      </c>
      <c r="N986" s="67">
        <f t="shared" si="386"/>
        <v>347.25163893091275</v>
      </c>
      <c r="O986" s="67">
        <f t="shared" si="386"/>
        <v>72.180198352664306</v>
      </c>
      <c r="P986" s="67">
        <f t="shared" si="386"/>
        <v>117.93578752731551</v>
      </c>
      <c r="Q986" s="67">
        <f t="shared" si="386"/>
        <v>71.844007396201036</v>
      </c>
      <c r="R986" s="754"/>
      <c r="AC986" s="553" t="s">
        <v>2352</v>
      </c>
      <c r="AD986" s="67">
        <f t="shared" si="369"/>
        <v>31957</v>
      </c>
      <c r="AE986" s="67">
        <f t="shared" si="370"/>
        <v>4074</v>
      </c>
      <c r="AF986" s="67">
        <f t="shared" si="371"/>
        <v>4274</v>
      </c>
      <c r="AG986" s="67">
        <f t="shared" si="372"/>
        <v>7313</v>
      </c>
      <c r="AH986" s="67">
        <f t="shared" si="373"/>
        <v>5687.9089531160798</v>
      </c>
      <c r="AI986" s="67"/>
      <c r="AJ986" s="67">
        <f t="shared" si="374"/>
        <v>53305.908953116079</v>
      </c>
      <c r="AK986" s="67"/>
      <c r="AL986" s="67"/>
      <c r="AM986" s="67"/>
      <c r="AN986" s="70" t="s">
        <v>2352</v>
      </c>
      <c r="AO986" s="67">
        <f t="shared" si="375"/>
        <v>125915</v>
      </c>
      <c r="AP986" s="67">
        <f t="shared" si="376"/>
        <v>16013</v>
      </c>
      <c r="AQ986" s="67">
        <f t="shared" si="377"/>
        <v>16762</v>
      </c>
      <c r="AR986" s="67">
        <f t="shared" si="378"/>
        <v>24317</v>
      </c>
      <c r="AS986" s="67">
        <f t="shared" si="380"/>
        <v>0</v>
      </c>
      <c r="AT986" s="67">
        <f t="shared" si="379"/>
        <v>183007</v>
      </c>
      <c r="AU986" s="727"/>
      <c r="AW986" s="67">
        <f>(SUM(AW973:AW984))</f>
        <v>144118</v>
      </c>
      <c r="AX986" s="72"/>
    </row>
    <row r="987" spans="1:50" ht="15.75" customHeight="1" x14ac:dyDescent="0.3">
      <c r="A987" s="139" t="s">
        <v>1504</v>
      </c>
      <c r="B987" s="67">
        <f t="shared" ref="B987:Q987" si="387">(B958/$J$10/1.983)</f>
        <v>1215.2327037886553</v>
      </c>
      <c r="C987" s="67">
        <f t="shared" si="387"/>
        <v>1208.4655051811365</v>
      </c>
      <c r="D987" s="67">
        <f t="shared" si="387"/>
        <v>1202.0561872692074</v>
      </c>
      <c r="E987" s="67">
        <f t="shared" si="387"/>
        <v>1013.6808029541425</v>
      </c>
      <c r="F987" s="67">
        <f t="shared" si="387"/>
        <v>0</v>
      </c>
      <c r="G987" s="67">
        <f t="shared" si="387"/>
        <v>-1836.4159875067101</v>
      </c>
      <c r="H987" s="67">
        <f t="shared" si="387"/>
        <v>2111.105688676329</v>
      </c>
      <c r="I987" s="67">
        <f t="shared" si="387"/>
        <v>850.86135376506752</v>
      </c>
      <c r="J987" s="67">
        <f t="shared" si="387"/>
        <v>582.67857433344716</v>
      </c>
      <c r="K987" s="67">
        <f t="shared" si="387"/>
        <v>481.60981243798085</v>
      </c>
      <c r="L987" s="67">
        <f t="shared" si="387"/>
        <v>359.81650480698841</v>
      </c>
      <c r="M987" s="67">
        <f t="shared" si="387"/>
        <v>359.18207993753356</v>
      </c>
      <c r="N987" s="67">
        <f t="shared" si="387"/>
        <v>344.18362533144631</v>
      </c>
      <c r="O987" s="67">
        <f t="shared" si="387"/>
        <v>66.663413205797667</v>
      </c>
      <c r="P987" s="67">
        <f t="shared" si="387"/>
        <v>109.1698794592748</v>
      </c>
      <c r="Q987" s="67">
        <f t="shared" si="387"/>
        <v>66.549542075382689</v>
      </c>
      <c r="R987" s="754"/>
      <c r="AC987" s="553" t="s">
        <v>2353</v>
      </c>
      <c r="AD987" s="67">
        <f t="shared" si="369"/>
        <v>58892</v>
      </c>
      <c r="AE987" s="67">
        <f t="shared" si="370"/>
        <v>7508</v>
      </c>
      <c r="AF987" s="67">
        <f t="shared" si="371"/>
        <v>7877</v>
      </c>
      <c r="AG987" s="67">
        <f t="shared" si="372"/>
        <v>13477</v>
      </c>
      <c r="AH987" s="67">
        <f t="shared" si="373"/>
        <v>11099.53123863932</v>
      </c>
      <c r="AI987" s="67"/>
      <c r="AJ987" s="67">
        <f t="shared" si="374"/>
        <v>98853.53123863932</v>
      </c>
      <c r="AK987" s="67"/>
      <c r="AL987" s="67"/>
      <c r="AM987" s="67"/>
      <c r="AN987" s="70" t="s">
        <v>2353</v>
      </c>
      <c r="AO987" s="67">
        <f t="shared" si="375"/>
        <v>97666</v>
      </c>
      <c r="AP987" s="67">
        <f t="shared" si="376"/>
        <v>12416</v>
      </c>
      <c r="AQ987" s="67">
        <f t="shared" si="377"/>
        <v>12992</v>
      </c>
      <c r="AR987" s="67">
        <f t="shared" si="378"/>
        <v>19095</v>
      </c>
      <c r="AS987" s="67">
        <f t="shared" si="380"/>
        <v>0</v>
      </c>
      <c r="AT987" s="67">
        <f t="shared" si="379"/>
        <v>142169</v>
      </c>
      <c r="AU987" s="727"/>
    </row>
    <row r="988" spans="1:50" ht="15.75" customHeight="1" x14ac:dyDescent="0.3">
      <c r="A988" s="139" t="s">
        <v>1505</v>
      </c>
      <c r="B988" s="67">
        <f t="shared" ref="B988:Q988" si="388">(B959/$K$10/1.983)</f>
        <v>1025.4583312999202</v>
      </c>
      <c r="C988" s="67">
        <f t="shared" si="388"/>
        <v>1020.0250516486913</v>
      </c>
      <c r="D988" s="67">
        <f t="shared" si="388"/>
        <v>1014.8520488669823</v>
      </c>
      <c r="E988" s="67">
        <f t="shared" si="388"/>
        <v>658.80955866803311</v>
      </c>
      <c r="F988" s="67">
        <f t="shared" si="388"/>
        <v>8.1336521724984942E-2</v>
      </c>
      <c r="G988" s="67">
        <f t="shared" si="388"/>
        <v>-1971.5972866136351</v>
      </c>
      <c r="H988" s="67">
        <f t="shared" si="388"/>
        <v>1860.7193401981358</v>
      </c>
      <c r="I988" s="67">
        <f t="shared" si="388"/>
        <v>794.62528264441301</v>
      </c>
      <c r="J988" s="67">
        <f t="shared" si="388"/>
        <v>566.57394303190017</v>
      </c>
      <c r="K988" s="67">
        <f t="shared" si="388"/>
        <v>450.71820148683156</v>
      </c>
      <c r="L988" s="67">
        <f t="shared" si="388"/>
        <v>328.14406324727929</v>
      </c>
      <c r="M988" s="67">
        <f t="shared" si="388"/>
        <v>327.55844029085938</v>
      </c>
      <c r="N988" s="67">
        <f t="shared" si="388"/>
        <v>294.63341629658549</v>
      </c>
      <c r="O988" s="67">
        <f t="shared" si="388"/>
        <v>63.767833032388204</v>
      </c>
      <c r="P988" s="67">
        <f t="shared" si="388"/>
        <v>108.07997006815999</v>
      </c>
      <c r="Q988" s="67">
        <f t="shared" si="388"/>
        <v>63.670229206318218</v>
      </c>
      <c r="R988" s="754"/>
      <c r="AC988" s="553" t="s">
        <v>2354</v>
      </c>
      <c r="AD988" s="67">
        <f t="shared" si="369"/>
        <v>62349</v>
      </c>
      <c r="AE988" s="67">
        <f t="shared" si="370"/>
        <v>7948</v>
      </c>
      <c r="AF988" s="67">
        <f t="shared" si="371"/>
        <v>8339</v>
      </c>
      <c r="AG988" s="67">
        <f t="shared" si="372"/>
        <v>14268</v>
      </c>
      <c r="AH988" s="67">
        <f t="shared" si="373"/>
        <v>12368.518566606079</v>
      </c>
      <c r="AI988" s="67"/>
      <c r="AJ988" s="67">
        <f t="shared" si="374"/>
        <v>105272.51856660607</v>
      </c>
      <c r="AK988" s="67"/>
      <c r="AL988" s="67"/>
      <c r="AM988" s="67"/>
      <c r="AN988" s="70" t="s">
        <v>2354</v>
      </c>
      <c r="AO988" s="67">
        <f t="shared" si="375"/>
        <v>56888</v>
      </c>
      <c r="AP988" s="67">
        <f t="shared" si="376"/>
        <v>7223</v>
      </c>
      <c r="AQ988" s="67">
        <f t="shared" si="377"/>
        <v>7550</v>
      </c>
      <c r="AR988" s="67">
        <f t="shared" si="378"/>
        <v>10619</v>
      </c>
      <c r="AS988" s="67">
        <f t="shared" si="380"/>
        <v>0</v>
      </c>
      <c r="AT988" s="67">
        <f t="shared" si="379"/>
        <v>82280</v>
      </c>
      <c r="AU988" s="727"/>
    </row>
    <row r="989" spans="1:50" ht="15.75" customHeight="1" x14ac:dyDescent="0.3">
      <c r="A989" s="139" t="s">
        <v>1506</v>
      </c>
      <c r="B989" s="67">
        <f t="shared" ref="B989:Q989" si="389">(B960/$L$10/1.983)</f>
        <v>2773.0038661959993</v>
      </c>
      <c r="C989" s="67">
        <f t="shared" si="389"/>
        <v>2767.6920490838793</v>
      </c>
      <c r="D989" s="67">
        <f t="shared" si="389"/>
        <v>2762.6323751891073</v>
      </c>
      <c r="E989" s="67">
        <f t="shared" si="389"/>
        <v>2427.8029920995123</v>
      </c>
      <c r="F989" s="67">
        <f t="shared" si="389"/>
        <v>561.32123045890057</v>
      </c>
      <c r="G989" s="67">
        <f t="shared" si="389"/>
        <v>-54.244410825348794</v>
      </c>
      <c r="H989" s="67">
        <f t="shared" si="389"/>
        <v>1260.4807530677424</v>
      </c>
      <c r="I989" s="67">
        <f t="shared" si="389"/>
        <v>624.89494032610526</v>
      </c>
      <c r="J989" s="67">
        <f t="shared" si="389"/>
        <v>419.61674230963189</v>
      </c>
      <c r="K989" s="67">
        <f t="shared" si="389"/>
        <v>386.41788535888384</v>
      </c>
      <c r="L989" s="67">
        <f t="shared" si="389"/>
        <v>297.81475878298875</v>
      </c>
      <c r="M989" s="67">
        <f t="shared" si="389"/>
        <v>297.24323415700115</v>
      </c>
      <c r="N989" s="67">
        <f t="shared" si="389"/>
        <v>285.37569339384765</v>
      </c>
      <c r="O989" s="67">
        <f t="shared" si="389"/>
        <v>68.935955622793742</v>
      </c>
      <c r="P989" s="67">
        <f t="shared" si="389"/>
        <v>84.888216506975965</v>
      </c>
      <c r="Q989" s="67">
        <f t="shared" si="389"/>
        <v>68.835098335854767</v>
      </c>
      <c r="R989" s="754"/>
      <c r="AC989" s="553" t="s">
        <v>2355</v>
      </c>
      <c r="AD989" s="67">
        <f t="shared" si="369"/>
        <v>52635</v>
      </c>
      <c r="AE989" s="67">
        <f t="shared" si="370"/>
        <v>6710</v>
      </c>
      <c r="AF989" s="67">
        <f t="shared" si="371"/>
        <v>7040</v>
      </c>
      <c r="AG989" s="67">
        <f t="shared" si="372"/>
        <v>12045</v>
      </c>
      <c r="AH989" s="67">
        <f t="shared" si="373"/>
        <v>10935.661004608422</v>
      </c>
      <c r="AI989" s="67"/>
      <c r="AJ989" s="67">
        <f t="shared" si="374"/>
        <v>89365.661004608424</v>
      </c>
      <c r="AK989" s="67"/>
      <c r="AL989" s="67"/>
      <c r="AM989" s="67"/>
      <c r="AN989" s="70" t="s">
        <v>2355</v>
      </c>
      <c r="AO989" s="67">
        <f t="shared" si="375"/>
        <v>69611</v>
      </c>
      <c r="AP989" s="67">
        <f t="shared" si="376"/>
        <v>8851</v>
      </c>
      <c r="AQ989" s="67">
        <f t="shared" si="377"/>
        <v>9264</v>
      </c>
      <c r="AR989" s="67">
        <f t="shared" si="378"/>
        <v>14248</v>
      </c>
      <c r="AS989" s="67">
        <f t="shared" si="380"/>
        <v>0</v>
      </c>
      <c r="AT989" s="67">
        <f t="shared" si="379"/>
        <v>101974</v>
      </c>
      <c r="AU989" s="727"/>
    </row>
    <row r="990" spans="1:50" ht="15.75" customHeight="1" x14ac:dyDescent="0.3">
      <c r="A990" s="139" t="s">
        <v>1507</v>
      </c>
      <c r="B990" s="67">
        <f t="shared" ref="B990:Q990" si="390">(B961/$N$10/1.983)</f>
        <v>2661.2008524067473</v>
      </c>
      <c r="C990" s="67">
        <f t="shared" si="390"/>
        <v>2656.5646706684233</v>
      </c>
      <c r="D990" s="67">
        <f t="shared" si="390"/>
        <v>2652.1399638865842</v>
      </c>
      <c r="E990" s="67">
        <f t="shared" si="390"/>
        <v>2419.4361752314026</v>
      </c>
      <c r="F990" s="67">
        <f t="shared" si="390"/>
        <v>1001.0573747824247</v>
      </c>
      <c r="G990" s="67">
        <f t="shared" si="390"/>
        <v>-0.37414799993493075</v>
      </c>
      <c r="H990" s="67">
        <f t="shared" si="390"/>
        <v>870.67493045727383</v>
      </c>
      <c r="I990" s="67">
        <f t="shared" si="390"/>
        <v>294.66595090527551</v>
      </c>
      <c r="J990" s="67">
        <f t="shared" si="390"/>
        <v>262.87963821515132</v>
      </c>
      <c r="K990" s="67">
        <f t="shared" si="390"/>
        <v>242.88712117515004</v>
      </c>
      <c r="L990" s="67">
        <f t="shared" si="390"/>
        <v>193.19050640118425</v>
      </c>
      <c r="M990" s="67">
        <f t="shared" si="390"/>
        <v>192.71875457517936</v>
      </c>
      <c r="N990" s="67">
        <f t="shared" si="390"/>
        <v>180.64841475119158</v>
      </c>
      <c r="O990" s="67">
        <f t="shared" si="390"/>
        <v>65.329494249507917</v>
      </c>
      <c r="P990" s="67">
        <f t="shared" si="390"/>
        <v>77.383566769150676</v>
      </c>
      <c r="Q990" s="67">
        <f t="shared" si="390"/>
        <v>65.248157727782925</v>
      </c>
      <c r="R990" s="754"/>
      <c r="AC990" s="551"/>
      <c r="AD990" s="67"/>
      <c r="AE990" s="67"/>
      <c r="AF990" s="67"/>
      <c r="AG990" s="67"/>
      <c r="AH990" s="67"/>
      <c r="AI990" s="67"/>
      <c r="AJ990" s="67"/>
      <c r="AK990" s="67"/>
      <c r="AL990" s="67"/>
      <c r="AM990" s="67"/>
      <c r="AN990" s="67"/>
      <c r="AO990" s="67"/>
      <c r="AP990" s="67"/>
      <c r="AQ990" s="67"/>
      <c r="AR990" s="67"/>
      <c r="AS990" s="67"/>
      <c r="AT990" s="67"/>
      <c r="AU990" s="727"/>
    </row>
    <row r="991" spans="1:50" ht="15.75" customHeight="1" thickBot="1" x14ac:dyDescent="0.35">
      <c r="A991" s="139" t="s">
        <v>1508</v>
      </c>
      <c r="B991" s="67">
        <f t="shared" ref="B991:Q991" si="391">(B962/$O$10/1.983)</f>
        <v>2094.3688014792401</v>
      </c>
      <c r="C991" s="67">
        <f t="shared" si="391"/>
        <v>2090.4185577407966</v>
      </c>
      <c r="D991" s="67">
        <f t="shared" si="391"/>
        <v>2086.6195999327615</v>
      </c>
      <c r="E991" s="67">
        <f t="shared" si="391"/>
        <v>1910.2033955286602</v>
      </c>
      <c r="F991" s="67">
        <f t="shared" si="391"/>
        <v>1095.1420406791055</v>
      </c>
      <c r="G991" s="67">
        <f t="shared" si="391"/>
        <v>-88.922507984535216</v>
      </c>
      <c r="H991" s="67">
        <f t="shared" si="391"/>
        <v>426.86165742141537</v>
      </c>
      <c r="I991" s="67">
        <f t="shared" si="391"/>
        <v>71.524625987560938</v>
      </c>
      <c r="J991" s="67">
        <f t="shared" si="391"/>
        <v>62.750042023869554</v>
      </c>
      <c r="K991" s="67">
        <f t="shared" si="391"/>
        <v>55.387460077323915</v>
      </c>
      <c r="L991" s="67">
        <f t="shared" si="391"/>
        <v>28.962850899310805</v>
      </c>
      <c r="M991" s="67">
        <f t="shared" si="391"/>
        <v>28.576231299378044</v>
      </c>
      <c r="N991" s="67">
        <f t="shared" si="391"/>
        <v>28.391326273323244</v>
      </c>
      <c r="O991" s="67">
        <f t="shared" si="391"/>
        <v>23.348461926374178</v>
      </c>
      <c r="P991" s="67">
        <f t="shared" si="391"/>
        <v>71.961674230963183</v>
      </c>
      <c r="Q991" s="67">
        <f t="shared" si="391"/>
        <v>23.29803328290469</v>
      </c>
      <c r="R991" s="754"/>
      <c r="AC991" s="558" t="s">
        <v>2356</v>
      </c>
      <c r="AD991" s="555">
        <f>SUM(AD978:AD989)</f>
        <v>253925</v>
      </c>
      <c r="AE991" s="555">
        <f>SUM(AE978:AE989)</f>
        <v>32371</v>
      </c>
      <c r="AF991" s="555">
        <f>SUM(AF978:AF989)</f>
        <v>33963</v>
      </c>
      <c r="AG991" s="555">
        <f>SUM(AG978:AG989)</f>
        <v>58108</v>
      </c>
      <c r="AH991" s="555">
        <f>SUM(AH978:AH989)</f>
        <v>51091.740440449081</v>
      </c>
      <c r="AI991" s="555"/>
      <c r="AJ991" s="555">
        <f>SUM(AJ978:AJ989)</f>
        <v>429458.74044044904</v>
      </c>
      <c r="AK991" s="555"/>
      <c r="AL991" s="555"/>
      <c r="AM991" s="555"/>
      <c r="AN991" s="564" t="s">
        <v>2356</v>
      </c>
      <c r="AO991" s="555">
        <f t="shared" ref="AO991:AT991" si="392">SUM(AO978:AO989)</f>
        <v>1085571</v>
      </c>
      <c r="AP991" s="555">
        <f t="shared" si="392"/>
        <v>137962</v>
      </c>
      <c r="AQ991" s="555">
        <f t="shared" si="392"/>
        <v>144321</v>
      </c>
      <c r="AR991" s="555">
        <f t="shared" si="392"/>
        <v>223507</v>
      </c>
      <c r="AS991" s="555">
        <f t="shared" si="392"/>
        <v>0</v>
      </c>
      <c r="AT991" s="555">
        <f t="shared" si="392"/>
        <v>1591361</v>
      </c>
      <c r="AU991" s="565"/>
    </row>
    <row r="992" spans="1:50" ht="15.75" customHeight="1" thickBot="1" x14ac:dyDescent="0.35">
      <c r="A992" s="645" t="s">
        <v>1509</v>
      </c>
      <c r="B992" s="555">
        <f t="shared" ref="B992:Q992" si="393">(B963/$P$10/1.983)</f>
        <v>2077.9691897255707</v>
      </c>
      <c r="C992" s="555">
        <f t="shared" si="393"/>
        <v>2074.9434711174013</v>
      </c>
      <c r="D992" s="555">
        <f t="shared" si="393"/>
        <v>2072.0316236396466</v>
      </c>
      <c r="E992" s="555">
        <f t="shared" si="393"/>
        <v>1953.0688269646837</v>
      </c>
      <c r="F992" s="555">
        <f t="shared" si="393"/>
        <v>894.70173897483448</v>
      </c>
      <c r="G992" s="555">
        <f t="shared" si="393"/>
        <v>0</v>
      </c>
      <c r="H992" s="555">
        <f t="shared" si="393"/>
        <v>626.68163258666402</v>
      </c>
      <c r="I992" s="555">
        <f t="shared" si="393"/>
        <v>289.42787890618644</v>
      </c>
      <c r="J992" s="555">
        <f t="shared" si="393"/>
        <v>254.45317456444292</v>
      </c>
      <c r="K992" s="555">
        <f t="shared" si="393"/>
        <v>243.91196134888486</v>
      </c>
      <c r="L992" s="555">
        <f t="shared" si="393"/>
        <v>208.38416865941144</v>
      </c>
      <c r="M992" s="555">
        <f t="shared" si="393"/>
        <v>208.07508987685651</v>
      </c>
      <c r="N992" s="555">
        <f t="shared" si="393"/>
        <v>201.11268361719777</v>
      </c>
      <c r="O992" s="555">
        <f t="shared" si="393"/>
        <v>84.183299985359426</v>
      </c>
      <c r="P992" s="555">
        <f t="shared" si="393"/>
        <v>61.897093032713542</v>
      </c>
      <c r="Q992" s="555">
        <f t="shared" si="393"/>
        <v>84.150765376669426</v>
      </c>
      <c r="R992" s="556"/>
    </row>
    <row r="993" spans="1:48" ht="15.75" customHeight="1" x14ac:dyDescent="0.3">
      <c r="R993" s="701"/>
      <c r="AC993" s="704"/>
      <c r="AD993" s="821" t="s">
        <v>2922</v>
      </c>
      <c r="AE993" s="823"/>
      <c r="AF993" s="823"/>
      <c r="AG993" s="823"/>
      <c r="AH993" s="823"/>
      <c r="AI993" s="823"/>
      <c r="AJ993" s="823"/>
      <c r="AK993" s="823"/>
      <c r="AL993" s="823"/>
      <c r="AM993" s="823"/>
      <c r="AN993" s="823"/>
      <c r="AO993" s="823"/>
      <c r="AP993" s="823"/>
      <c r="AQ993" s="823"/>
      <c r="AR993" s="752" t="str">
        <f>$Q$1</f>
        <v xml:space="preserve">PRINTED:  </v>
      </c>
      <c r="AS993" s="757">
        <f ca="1">$R$1</f>
        <v>44881.729633912037</v>
      </c>
    </row>
    <row r="994" spans="1:48" ht="15.75" customHeight="1" x14ac:dyDescent="0.3">
      <c r="R994" s="67"/>
      <c r="AC994" s="579"/>
      <c r="AD994" s="786" t="str">
        <f>+$A$8</f>
        <v>Revised:  10/5/2020</v>
      </c>
      <c r="AE994" s="788"/>
      <c r="AF994" s="788"/>
      <c r="AG994" s="788"/>
      <c r="AH994" s="788"/>
      <c r="AI994" s="788"/>
      <c r="AJ994" s="788"/>
      <c r="AK994" s="788"/>
      <c r="AL994" s="788"/>
      <c r="AM994" s="788"/>
      <c r="AN994" s="788"/>
      <c r="AO994" s="788"/>
      <c r="AP994" s="788"/>
      <c r="AQ994" s="788"/>
      <c r="AR994" s="139"/>
      <c r="AS994" s="727"/>
    </row>
    <row r="995" spans="1:48" ht="15.75" customHeight="1" x14ac:dyDescent="0.3">
      <c r="A995" s="139"/>
      <c r="AC995" s="579"/>
      <c r="AD995" s="786" t="s">
        <v>2878</v>
      </c>
      <c r="AE995" s="789"/>
      <c r="AF995" s="789"/>
      <c r="AG995" s="789"/>
      <c r="AH995" s="789"/>
      <c r="AI995" s="789"/>
      <c r="AJ995" s="789"/>
      <c r="AK995" s="789"/>
      <c r="AL995" s="789"/>
      <c r="AM995" s="789"/>
      <c r="AN995" s="789"/>
      <c r="AO995" s="789"/>
      <c r="AP995" s="789"/>
      <c r="AQ995" s="789"/>
      <c r="AS995" s="727"/>
    </row>
    <row r="996" spans="1:48" ht="15.75" customHeight="1" x14ac:dyDescent="0.3">
      <c r="A996" s="139"/>
      <c r="AC996" s="579"/>
      <c r="AS996" s="727"/>
    </row>
    <row r="997" spans="1:48" ht="15.75" customHeight="1" thickBot="1" x14ac:dyDescent="0.35">
      <c r="A997" s="139"/>
      <c r="AC997" s="579"/>
      <c r="AD997" s="787">
        <f>$A$5</f>
        <v>2020</v>
      </c>
      <c r="AE997" s="789"/>
      <c r="AF997" s="789"/>
      <c r="AG997" s="789"/>
      <c r="AH997" s="789"/>
      <c r="AI997" s="789"/>
      <c r="AJ997" s="789"/>
      <c r="AK997" s="789"/>
      <c r="AL997" s="789"/>
      <c r="AM997" s="789"/>
      <c r="AN997" s="789"/>
      <c r="AO997" s="789"/>
      <c r="AP997" s="789"/>
      <c r="AQ997" s="789"/>
      <c r="AS997" s="727"/>
    </row>
    <row r="998" spans="1:48" ht="15.75" customHeight="1" x14ac:dyDescent="0.3">
      <c r="A998" s="755"/>
      <c r="B998" s="821" t="s">
        <v>1198</v>
      </c>
      <c r="C998" s="821"/>
      <c r="D998" s="821"/>
      <c r="E998" s="821"/>
      <c r="F998" s="821"/>
      <c r="G998" s="821"/>
      <c r="H998" s="821"/>
      <c r="I998" s="821"/>
      <c r="J998" s="821"/>
      <c r="K998" s="821"/>
      <c r="L998" s="821"/>
      <c r="M998" s="821"/>
      <c r="N998" s="821"/>
      <c r="O998" s="821"/>
      <c r="P998" s="821"/>
      <c r="Q998" s="752" t="str">
        <f>+Q1</f>
        <v xml:space="preserve">PRINTED:  </v>
      </c>
      <c r="R998" s="753">
        <f ca="1">+R1</f>
        <v>44881.729633912037</v>
      </c>
      <c r="AC998" s="579"/>
      <c r="AD998" s="786" t="s">
        <v>2919</v>
      </c>
      <c r="AE998" s="788"/>
      <c r="AF998" s="788"/>
      <c r="AG998" s="788"/>
      <c r="AH998" s="788"/>
      <c r="AI998" s="788"/>
      <c r="AJ998" s="788"/>
      <c r="AK998" s="788"/>
      <c r="AL998" s="788"/>
      <c r="AM998" s="788"/>
      <c r="AN998" s="788"/>
      <c r="AO998" s="788"/>
      <c r="AP998" s="788"/>
      <c r="AQ998" s="788"/>
      <c r="AR998" s="70"/>
      <c r="AS998" s="727"/>
    </row>
    <row r="999" spans="1:48" ht="16.5" customHeight="1" x14ac:dyDescent="0.3">
      <c r="A999" s="553"/>
      <c r="B999" s="786" t="str">
        <f>+A8</f>
        <v>Revised:  10/5/2020</v>
      </c>
      <c r="C999" s="786"/>
      <c r="D999" s="786"/>
      <c r="E999" s="786"/>
      <c r="F999" s="786"/>
      <c r="G999" s="786"/>
      <c r="H999" s="786"/>
      <c r="I999" s="786"/>
      <c r="J999" s="786"/>
      <c r="K999" s="786"/>
      <c r="L999" s="786"/>
      <c r="M999" s="786"/>
      <c r="N999" s="786"/>
      <c r="O999" s="786"/>
      <c r="P999" s="786"/>
      <c r="Q999" s="67"/>
      <c r="R999" s="754"/>
      <c r="AC999" s="579"/>
      <c r="AK999" s="670"/>
      <c r="AS999" s="727"/>
    </row>
    <row r="1000" spans="1:48" ht="15.75" customHeight="1" thickBot="1" x14ac:dyDescent="0.35">
      <c r="A1000" s="553"/>
      <c r="B1000" s="786" t="s">
        <v>2878</v>
      </c>
      <c r="C1000" s="786"/>
      <c r="D1000" s="786"/>
      <c r="E1000" s="786"/>
      <c r="F1000" s="786"/>
      <c r="G1000" s="786"/>
      <c r="H1000" s="786"/>
      <c r="I1000" s="786"/>
      <c r="J1000" s="786"/>
      <c r="K1000" s="786"/>
      <c r="L1000" s="786"/>
      <c r="M1000" s="786"/>
      <c r="N1000" s="786"/>
      <c r="O1000" s="786"/>
      <c r="P1000" s="786"/>
      <c r="Q1000" s="67"/>
      <c r="R1000" s="754"/>
      <c r="AC1000" s="579"/>
      <c r="AD1000" s="634" t="s">
        <v>1308</v>
      </c>
      <c r="AE1000" s="634" t="s">
        <v>1309</v>
      </c>
      <c r="AF1000" s="634" t="s">
        <v>1029</v>
      </c>
      <c r="AG1000" s="634" t="s">
        <v>1030</v>
      </c>
      <c r="AH1000" s="634" t="s">
        <v>284</v>
      </c>
      <c r="AI1000" s="634" t="s">
        <v>285</v>
      </c>
      <c r="AJ1000" s="634" t="s">
        <v>286</v>
      </c>
      <c r="AK1000" s="634" t="s">
        <v>287</v>
      </c>
      <c r="AL1000" s="634" t="s">
        <v>288</v>
      </c>
      <c r="AM1000" s="634" t="s">
        <v>289</v>
      </c>
      <c r="AN1000" s="634" t="s">
        <v>633</v>
      </c>
      <c r="AO1000" s="634" t="s">
        <v>634</v>
      </c>
      <c r="AP1000" s="634" t="s">
        <v>1192</v>
      </c>
      <c r="AQ1000" s="634" t="s">
        <v>524</v>
      </c>
      <c r="AR1000" s="634" t="s">
        <v>525</v>
      </c>
      <c r="AS1000" s="684" t="s">
        <v>2356</v>
      </c>
    </row>
    <row r="1001" spans="1:48" ht="15.75" customHeight="1" x14ac:dyDescent="0.3">
      <c r="A1001" s="553"/>
      <c r="B1001" s="67"/>
      <c r="C1001" s="67"/>
      <c r="D1001" s="67"/>
      <c r="E1001" s="67"/>
      <c r="F1001" s="67"/>
      <c r="G1001" s="67"/>
      <c r="H1001" s="67"/>
      <c r="I1001" s="67"/>
      <c r="J1001" s="67"/>
      <c r="K1001" s="67"/>
      <c r="L1001" s="67"/>
      <c r="M1001" s="67"/>
      <c r="N1001" s="67"/>
      <c r="O1001" s="67"/>
      <c r="P1001" s="67"/>
      <c r="Q1001" s="67"/>
      <c r="R1001" s="754"/>
      <c r="AC1001" s="579"/>
      <c r="AD1001" s="67"/>
      <c r="AE1001" s="67"/>
      <c r="AF1001" s="67"/>
      <c r="AG1001" s="67"/>
      <c r="AH1001" s="70" t="s">
        <v>2910</v>
      </c>
      <c r="AI1001" s="67"/>
      <c r="AJ1001" s="67"/>
      <c r="AK1001" s="67"/>
      <c r="AL1001" s="67"/>
      <c r="AM1001" s="67"/>
      <c r="AN1001" s="67"/>
      <c r="AO1001" s="67"/>
      <c r="AP1001" s="67"/>
      <c r="AQ1001" s="67"/>
      <c r="AR1001" s="67"/>
      <c r="AS1001" s="636"/>
    </row>
    <row r="1002" spans="1:48" ht="15.75" customHeight="1" x14ac:dyDescent="0.3">
      <c r="A1002" s="553"/>
      <c r="B1002" s="787">
        <f>A5</f>
        <v>2020</v>
      </c>
      <c r="C1002" s="787"/>
      <c r="D1002" s="787"/>
      <c r="E1002" s="787"/>
      <c r="F1002" s="787"/>
      <c r="G1002" s="787"/>
      <c r="H1002" s="787"/>
      <c r="I1002" s="787"/>
      <c r="J1002" s="787"/>
      <c r="K1002" s="787"/>
      <c r="L1002" s="787"/>
      <c r="M1002" s="787"/>
      <c r="N1002" s="787"/>
      <c r="O1002" s="787"/>
      <c r="P1002" s="787"/>
      <c r="Q1002" s="67"/>
      <c r="R1002" s="754"/>
      <c r="S1002" s="67"/>
      <c r="AC1002" s="642" t="s">
        <v>3040</v>
      </c>
      <c r="AD1002" s="687">
        <v>1.7000000000000001E-2</v>
      </c>
      <c r="AE1002" s="687">
        <v>1.7000000000000001E-2</v>
      </c>
      <c r="AF1002" s="687">
        <v>1.7000000000000001E-2</v>
      </c>
      <c r="AG1002" s="687">
        <v>1.7000000000000001E-2</v>
      </c>
      <c r="AH1002" s="687"/>
      <c r="AI1002" s="687"/>
      <c r="AJ1002" s="687"/>
      <c r="AK1002" s="687"/>
      <c r="AL1002" s="687"/>
      <c r="AM1002" s="687"/>
      <c r="AN1002" s="687"/>
      <c r="AO1002" s="687"/>
      <c r="AP1002" s="687"/>
      <c r="AQ1002" s="687"/>
      <c r="AR1002" s="687"/>
      <c r="AS1002" s="592"/>
    </row>
    <row r="1003" spans="1:48" ht="15.75" customHeight="1" x14ac:dyDescent="0.3">
      <c r="A1003" s="553"/>
      <c r="B1003" s="786" t="s">
        <v>2919</v>
      </c>
      <c r="C1003" s="786"/>
      <c r="D1003" s="786"/>
      <c r="E1003" s="786"/>
      <c r="F1003" s="786"/>
      <c r="G1003" s="786"/>
      <c r="H1003" s="786"/>
      <c r="I1003" s="786"/>
      <c r="J1003" s="786"/>
      <c r="K1003" s="786"/>
      <c r="L1003" s="786"/>
      <c r="M1003" s="786"/>
      <c r="N1003" s="786"/>
      <c r="O1003" s="786"/>
      <c r="P1003" s="786"/>
      <c r="Q1003" s="67"/>
      <c r="R1003" s="754"/>
      <c r="S1003" s="67"/>
      <c r="AC1003" s="642" t="s">
        <v>2908</v>
      </c>
      <c r="AD1003" s="687"/>
      <c r="AE1003" s="687">
        <v>0.03</v>
      </c>
      <c r="AF1003" s="687"/>
      <c r="AG1003" s="687"/>
      <c r="AH1003" s="687"/>
      <c r="AI1003" s="687"/>
      <c r="AJ1003" s="687"/>
      <c r="AK1003" s="687"/>
      <c r="AL1003" s="687"/>
      <c r="AM1003" s="687">
        <v>0.03</v>
      </c>
      <c r="AN1003" s="687">
        <v>0.03</v>
      </c>
      <c r="AO1003" s="687">
        <v>0.03</v>
      </c>
      <c r="AP1003" s="687">
        <v>0.03</v>
      </c>
      <c r="AQ1003" s="687">
        <v>0.03</v>
      </c>
      <c r="AR1003" s="687">
        <v>0.03</v>
      </c>
      <c r="AS1003" s="592"/>
    </row>
    <row r="1004" spans="1:48" ht="15.75" customHeight="1" x14ac:dyDescent="0.3">
      <c r="A1004" s="553"/>
      <c r="B1004" s="67"/>
      <c r="C1004" s="67"/>
      <c r="D1004" s="67"/>
      <c r="E1004" s="67"/>
      <c r="F1004" s="67"/>
      <c r="G1004" s="67"/>
      <c r="H1004" s="67"/>
      <c r="I1004" s="67"/>
      <c r="J1004" s="67"/>
      <c r="K1004" s="67"/>
      <c r="L1004" s="67"/>
      <c r="M1004" s="67"/>
      <c r="N1004" s="67"/>
      <c r="O1004" s="67"/>
      <c r="P1004" s="67"/>
      <c r="Q1004" s="67"/>
      <c r="R1004" s="754"/>
      <c r="S1004" s="67"/>
      <c r="AC1004" s="642" t="s">
        <v>2909</v>
      </c>
      <c r="AD1004" s="687"/>
      <c r="AE1004" s="687"/>
      <c r="AF1004" s="687">
        <v>0.03</v>
      </c>
      <c r="AG1004" s="687">
        <v>0.03</v>
      </c>
      <c r="AH1004" s="687"/>
      <c r="AI1004" s="687"/>
      <c r="AJ1004" s="687"/>
      <c r="AK1004" s="687"/>
      <c r="AL1004" s="687"/>
      <c r="AM1004" s="687"/>
      <c r="AN1004" s="687"/>
      <c r="AO1004" s="687"/>
      <c r="AP1004" s="687"/>
      <c r="AQ1004" s="687"/>
      <c r="AR1004" s="687"/>
      <c r="AS1004" s="592"/>
    </row>
    <row r="1005" spans="1:48" ht="15.75" customHeight="1" thickBot="1" x14ac:dyDescent="0.35">
      <c r="A1005" s="553" t="s">
        <v>845</v>
      </c>
      <c r="B1005" s="634" t="s">
        <v>1308</v>
      </c>
      <c r="C1005" s="634" t="s">
        <v>1309</v>
      </c>
      <c r="D1005" s="634" t="s">
        <v>1029</v>
      </c>
      <c r="E1005" s="634" t="s">
        <v>1030</v>
      </c>
      <c r="F1005" s="634" t="s">
        <v>284</v>
      </c>
      <c r="G1005" s="634" t="s">
        <v>284</v>
      </c>
      <c r="H1005" s="634" t="s">
        <v>285</v>
      </c>
      <c r="I1005" s="634" t="s">
        <v>286</v>
      </c>
      <c r="J1005" s="634" t="s">
        <v>287</v>
      </c>
      <c r="K1005" s="634" t="s">
        <v>288</v>
      </c>
      <c r="L1005" s="634" t="s">
        <v>289</v>
      </c>
      <c r="M1005" s="634" t="s">
        <v>633</v>
      </c>
      <c r="N1005" s="634" t="s">
        <v>634</v>
      </c>
      <c r="O1005" s="634" t="s">
        <v>1192</v>
      </c>
      <c r="P1005" s="634" t="s">
        <v>524</v>
      </c>
      <c r="Q1005" s="634" t="s">
        <v>525</v>
      </c>
      <c r="R1005" s="684" t="s">
        <v>2356</v>
      </c>
      <c r="S1005" s="70"/>
      <c r="AC1005" s="642" t="s">
        <v>2760</v>
      </c>
      <c r="AD1005" s="687"/>
      <c r="AE1005" s="687"/>
      <c r="AF1005" s="687"/>
      <c r="AG1005" s="687"/>
      <c r="AH1005" s="687"/>
      <c r="AI1005" s="687">
        <v>0.03</v>
      </c>
      <c r="AJ1005" s="687"/>
      <c r="AK1005" s="687"/>
      <c r="AL1005" s="687"/>
      <c r="AM1005" s="687"/>
      <c r="AN1005" s="687"/>
      <c r="AO1005" s="687"/>
      <c r="AP1005" s="687"/>
      <c r="AQ1005" s="687"/>
      <c r="AR1005" s="687"/>
      <c r="AS1005" s="592"/>
    </row>
    <row r="1006" spans="1:48" ht="15.75" customHeight="1" x14ac:dyDescent="0.3">
      <c r="A1006" s="553"/>
      <c r="B1006" s="67"/>
      <c r="C1006" s="67"/>
      <c r="D1006" s="67"/>
      <c r="E1006" s="67"/>
      <c r="F1006" s="70" t="s">
        <v>1193</v>
      </c>
      <c r="G1006" s="70" t="s">
        <v>1194</v>
      </c>
      <c r="H1006" s="67"/>
      <c r="I1006" s="67"/>
      <c r="J1006" s="67"/>
      <c r="K1006" s="67"/>
      <c r="L1006" s="67"/>
      <c r="M1006" s="67"/>
      <c r="N1006" s="67"/>
      <c r="O1006" s="67"/>
      <c r="P1006" s="67"/>
      <c r="Q1006" s="67"/>
      <c r="R1006" s="592" t="s">
        <v>1236</v>
      </c>
      <c r="S1006" s="70"/>
      <c r="AC1006" s="642" t="s">
        <v>2634</v>
      </c>
      <c r="AD1006" s="687">
        <v>0.03</v>
      </c>
      <c r="AE1006" s="687"/>
      <c r="AF1006" s="687"/>
      <c r="AG1006" s="687"/>
      <c r="AH1006" s="687"/>
      <c r="AI1006" s="687"/>
      <c r="AJ1006" s="687">
        <v>0.03</v>
      </c>
      <c r="AK1006" s="687">
        <v>0.03</v>
      </c>
      <c r="AL1006" s="687">
        <v>0.03</v>
      </c>
      <c r="AM1006" s="687"/>
      <c r="AN1006" s="687"/>
      <c r="AO1006" s="687"/>
      <c r="AP1006" s="687"/>
      <c r="AQ1006" s="687"/>
      <c r="AR1006" s="687"/>
      <c r="AS1006" s="592"/>
    </row>
    <row r="1007" spans="1:48" ht="15.75" customHeight="1" x14ac:dyDescent="0.3">
      <c r="A1007" s="553" t="s">
        <v>2917</v>
      </c>
      <c r="B1007" s="677">
        <v>957</v>
      </c>
      <c r="C1007" s="677">
        <v>122</v>
      </c>
      <c r="D1007" s="677">
        <v>128</v>
      </c>
      <c r="E1007" s="677">
        <v>219</v>
      </c>
      <c r="F1007" s="677"/>
      <c r="G1007" s="677"/>
      <c r="H1007" s="677">
        <v>97</v>
      </c>
      <c r="I1007" s="677">
        <v>160</v>
      </c>
      <c r="J1007" s="677">
        <v>250</v>
      </c>
      <c r="K1007" s="677">
        <v>260</v>
      </c>
      <c r="L1007" s="677">
        <v>100</v>
      </c>
      <c r="M1007" s="677">
        <v>118</v>
      </c>
      <c r="N1007" s="677">
        <v>250</v>
      </c>
      <c r="O1007" s="677">
        <v>190</v>
      </c>
      <c r="P1007" s="677">
        <v>340</v>
      </c>
      <c r="Q1007" s="677">
        <v>450</v>
      </c>
      <c r="R1007" s="592" t="s">
        <v>335</v>
      </c>
      <c r="S1007" s="70"/>
      <c r="AC1007" s="642" t="s">
        <v>2356</v>
      </c>
      <c r="AD1007" s="217">
        <f>SUM(AD1002:AD1006)</f>
        <v>4.7E-2</v>
      </c>
      <c r="AE1007" s="217">
        <f t="shared" ref="AE1007:AR1007" si="394">SUM(AE1002:AE1006)</f>
        <v>4.7E-2</v>
      </c>
      <c r="AF1007" s="217">
        <f t="shared" si="394"/>
        <v>4.7E-2</v>
      </c>
      <c r="AG1007" s="217">
        <f t="shared" si="394"/>
        <v>4.7E-2</v>
      </c>
      <c r="AH1007" s="217">
        <f t="shared" si="394"/>
        <v>0</v>
      </c>
      <c r="AI1007" s="217">
        <f t="shared" si="394"/>
        <v>0.03</v>
      </c>
      <c r="AJ1007" s="217">
        <f t="shared" si="394"/>
        <v>0.03</v>
      </c>
      <c r="AK1007" s="217">
        <f t="shared" si="394"/>
        <v>0.03</v>
      </c>
      <c r="AL1007" s="217">
        <f t="shared" si="394"/>
        <v>0.03</v>
      </c>
      <c r="AM1007" s="217">
        <f t="shared" si="394"/>
        <v>0.03</v>
      </c>
      <c r="AN1007" s="217">
        <f t="shared" si="394"/>
        <v>0.03</v>
      </c>
      <c r="AO1007" s="217">
        <f t="shared" si="394"/>
        <v>0.03</v>
      </c>
      <c r="AP1007" s="217">
        <f t="shared" si="394"/>
        <v>0.03</v>
      </c>
      <c r="AQ1007" s="217">
        <f t="shared" si="394"/>
        <v>0.03</v>
      </c>
      <c r="AR1007" s="217">
        <f t="shared" si="394"/>
        <v>0.03</v>
      </c>
      <c r="AS1007" s="592"/>
      <c r="AU1007" s="139" t="s">
        <v>3084</v>
      </c>
      <c r="AV1007" t="s">
        <v>3085</v>
      </c>
    </row>
    <row r="1008" spans="1:48" ht="15.75" customHeight="1" x14ac:dyDescent="0.3">
      <c r="A1008" s="553"/>
      <c r="B1008" s="70" t="s">
        <v>1353</v>
      </c>
      <c r="C1008" s="70" t="s">
        <v>1353</v>
      </c>
      <c r="D1008" s="70" t="s">
        <v>1353</v>
      </c>
      <c r="E1008" s="70" t="s">
        <v>1353</v>
      </c>
      <c r="F1008" s="70" t="s">
        <v>1353</v>
      </c>
      <c r="G1008" s="70" t="s">
        <v>1353</v>
      </c>
      <c r="H1008" s="70" t="s">
        <v>1353</v>
      </c>
      <c r="I1008" s="70" t="s">
        <v>1353</v>
      </c>
      <c r="J1008" s="70" t="s">
        <v>1353</v>
      </c>
      <c r="K1008" s="70" t="s">
        <v>1353</v>
      </c>
      <c r="L1008" s="70" t="s">
        <v>1353</v>
      </c>
      <c r="M1008" s="70" t="s">
        <v>1353</v>
      </c>
      <c r="N1008" s="70" t="s">
        <v>1353</v>
      </c>
      <c r="O1008" s="70" t="s">
        <v>1353</v>
      </c>
      <c r="P1008" s="70" t="s">
        <v>1353</v>
      </c>
      <c r="Q1008" s="70" t="s">
        <v>1353</v>
      </c>
      <c r="R1008" s="592" t="s">
        <v>251</v>
      </c>
      <c r="S1008" s="70"/>
      <c r="T1008" s="70"/>
      <c r="AC1008" s="553" t="s">
        <v>1353</v>
      </c>
      <c r="AD1008" s="70" t="s">
        <v>1353</v>
      </c>
      <c r="AE1008" s="70" t="s">
        <v>1353</v>
      </c>
      <c r="AF1008" s="70" t="s">
        <v>1353</v>
      </c>
      <c r="AG1008" s="70" t="s">
        <v>1353</v>
      </c>
      <c r="AH1008" s="70" t="s">
        <v>1353</v>
      </c>
      <c r="AI1008" s="70" t="s">
        <v>1353</v>
      </c>
      <c r="AJ1008" s="70" t="s">
        <v>1353</v>
      </c>
      <c r="AK1008" s="70" t="s">
        <v>1353</v>
      </c>
      <c r="AL1008" s="70" t="s">
        <v>1353</v>
      </c>
      <c r="AM1008" s="70" t="s">
        <v>1353</v>
      </c>
      <c r="AN1008" s="70" t="s">
        <v>1353</v>
      </c>
      <c r="AO1008" s="70" t="s">
        <v>1353</v>
      </c>
      <c r="AP1008" s="70" t="s">
        <v>1353</v>
      </c>
      <c r="AQ1008" s="70" t="s">
        <v>1353</v>
      </c>
      <c r="AR1008" s="70" t="s">
        <v>1353</v>
      </c>
      <c r="AS1008" s="592" t="s">
        <v>1353</v>
      </c>
    </row>
    <row r="1009" spans="1:47" ht="15.75" customHeight="1" x14ac:dyDescent="0.3">
      <c r="A1009" s="139" t="s">
        <v>2843</v>
      </c>
      <c r="B1009" s="67">
        <f>ROUND((B952*$B$1007)/1000,0)</f>
        <v>71071</v>
      </c>
      <c r="C1009" s="67">
        <f t="shared" ref="C1009:C1020" si="395">ROUND((C952*$C$1007)/1000,0)</f>
        <v>9048</v>
      </c>
      <c r="D1009" s="67">
        <f t="shared" ref="D1009:D1020" si="396">ROUND((D952*$D$1007)/1000,0)</f>
        <v>9481</v>
      </c>
      <c r="E1009" s="67">
        <f t="shared" ref="E1009:E1020" si="397">ROUND((E952*$E$1007)/1000,0)</f>
        <v>15997</v>
      </c>
      <c r="F1009" s="67">
        <f>(F952*((T952-1526.8)/0.7702))/1000</f>
        <v>4446.4884445598536</v>
      </c>
      <c r="G1009" s="67">
        <f t="shared" ref="G1009:G1020" si="398">(G952*((T952-1591.4)/0.6635))/1000</f>
        <v>0</v>
      </c>
      <c r="H1009" s="67">
        <f t="shared" ref="H1009:H1020" si="399">ROUND((H952*$H$1007)/1000,0)</f>
        <v>2852</v>
      </c>
      <c r="I1009" s="67">
        <f t="shared" ref="I1009:I1020" si="400">ROUND((I952*$I$1007)/1000,0)</f>
        <v>2262</v>
      </c>
      <c r="J1009" s="67">
        <f t="shared" ref="J1009:J1020" si="401">ROUND((J952*$J$1007)/1000,0)</f>
        <v>3532</v>
      </c>
      <c r="K1009" s="67">
        <f t="shared" ref="K1009:K1020" si="402">ROUND((K952*$K$1007)/1000,0)</f>
        <v>3647</v>
      </c>
      <c r="L1009" s="67">
        <f t="shared" ref="L1009:L1020" si="403">ROUND((L952*$L$1007)/1000,0)</f>
        <v>956</v>
      </c>
      <c r="M1009" s="67">
        <f t="shared" ref="M1009:M1020" si="404">ROUND((M952*$M$1007)/1000,0)</f>
        <v>1126</v>
      </c>
      <c r="N1009" s="67">
        <f t="shared" ref="N1009:N1020" si="405">ROUND((N952*$N$1007)/1000,0)</f>
        <v>2297</v>
      </c>
      <c r="O1009" s="67">
        <f t="shared" ref="O1009:O1020" si="406">ROUND((O952*$O$1007)/1000,0)</f>
        <v>676</v>
      </c>
      <c r="P1009" s="67">
        <f t="shared" ref="P1009:P1020" si="407">ROUND((P952*$P$1007)/1000,0)</f>
        <v>1402</v>
      </c>
      <c r="Q1009" s="67">
        <f t="shared" ref="Q1009:Q1020" si="408">ROUND((Q952*$Q$1007)/1000,0)</f>
        <v>1599</v>
      </c>
      <c r="R1009" s="638">
        <f>(SUM(B1009:Q1009))</f>
        <v>130392.48844455986</v>
      </c>
      <c r="S1009" s="73"/>
      <c r="AC1009" s="642" t="s">
        <v>2843</v>
      </c>
      <c r="AD1009" s="67">
        <f>ROUND(B1009*$AD$1007, 0)</f>
        <v>3340</v>
      </c>
      <c r="AE1009" s="67">
        <f>ROUND(C1009*$AE$1007,0)</f>
        <v>425</v>
      </c>
      <c r="AF1009" s="67">
        <f>ROUND(D1009*$AF$1007,0)</f>
        <v>446</v>
      </c>
      <c r="AG1009" s="67">
        <f>ROUND(E1009*$AG$1007,0)</f>
        <v>752</v>
      </c>
      <c r="AH1009" s="67">
        <f>ROUND(F1009*$AH$1007,0)</f>
        <v>0</v>
      </c>
      <c r="AI1009" s="67">
        <f>ROUND(H1009*$AI$1007,0)</f>
        <v>86</v>
      </c>
      <c r="AJ1009" s="67">
        <f>ROUND(I1009*$AJ$1007,0)</f>
        <v>68</v>
      </c>
      <c r="AK1009" s="67">
        <f>ROUND(J1009*$AK$1007,0)</f>
        <v>106</v>
      </c>
      <c r="AL1009" s="67">
        <f>ROUND(K1009*$AL$1007,0)</f>
        <v>109</v>
      </c>
      <c r="AM1009" s="67">
        <f>ROUND(L1009*$AM$1007,0)</f>
        <v>29</v>
      </c>
      <c r="AN1009" s="67">
        <f>ROUND(M1009*$AN$1007,0)</f>
        <v>34</v>
      </c>
      <c r="AO1009" s="67">
        <f>ROUND(N1009*$AO$1007,0)</f>
        <v>69</v>
      </c>
      <c r="AP1009" s="67">
        <f>ROUND(O1009*$AP$1007,0)</f>
        <v>20</v>
      </c>
      <c r="AQ1009" s="67">
        <f>ROUND(P1009*$AQ$1007,0)</f>
        <v>42</v>
      </c>
      <c r="AR1009" s="67">
        <f>ROUND(Q1009*$AR$1007,0)</f>
        <v>48</v>
      </c>
      <c r="AS1009" s="636">
        <f>SUM(AD1009:AR1009)</f>
        <v>5574</v>
      </c>
      <c r="AU1009" s="708">
        <f>AS1009/R1009</f>
        <v>4.2747861218784454E-2</v>
      </c>
    </row>
    <row r="1010" spans="1:47" ht="15.75" customHeight="1" x14ac:dyDescent="0.3">
      <c r="A1010" s="139" t="s">
        <v>2091</v>
      </c>
      <c r="B1010" s="67">
        <f t="shared" ref="B1010:B1020" si="409">ROUND((B953*$B$1007)/1000,0)</f>
        <v>71086</v>
      </c>
      <c r="C1010" s="67">
        <f t="shared" si="395"/>
        <v>9044</v>
      </c>
      <c r="D1010" s="67">
        <f t="shared" si="396"/>
        <v>9470</v>
      </c>
      <c r="E1010" s="67">
        <f t="shared" si="397"/>
        <v>16035</v>
      </c>
      <c r="F1010" s="67">
        <f t="shared" ref="F1010:F1020" si="410">(F953*((T953-1526.8)/0.7702))/1000</f>
        <v>584.81101012723934</v>
      </c>
      <c r="G1010" s="67">
        <f>(G953*((T953-1591.4)/0.6635))/1000</f>
        <v>0</v>
      </c>
      <c r="H1010" s="67">
        <f t="shared" si="399"/>
        <v>4610</v>
      </c>
      <c r="I1010" s="67">
        <f t="shared" si="400"/>
        <v>3686</v>
      </c>
      <c r="J1010" s="67">
        <f t="shared" si="401"/>
        <v>5695</v>
      </c>
      <c r="K1010" s="67">
        <f t="shared" si="402"/>
        <v>5890</v>
      </c>
      <c r="L1010" s="67">
        <f t="shared" si="403"/>
        <v>1867</v>
      </c>
      <c r="M1010" s="67">
        <f t="shared" si="404"/>
        <v>2200</v>
      </c>
      <c r="N1010" s="67">
        <f t="shared" si="405"/>
        <v>4274</v>
      </c>
      <c r="O1010" s="67">
        <f t="shared" si="406"/>
        <v>728</v>
      </c>
      <c r="P1010" s="67">
        <f t="shared" si="407"/>
        <v>1337</v>
      </c>
      <c r="Q1010" s="67">
        <f t="shared" si="408"/>
        <v>1724</v>
      </c>
      <c r="R1010" s="638">
        <f>(SUM(B1010:Q1010))</f>
        <v>138230.81101012725</v>
      </c>
      <c r="S1010" s="73"/>
      <c r="AC1010" s="642" t="s">
        <v>2091</v>
      </c>
      <c r="AD1010" s="67">
        <f t="shared" ref="AD1010:AD1020" si="411">ROUND(B1010*$AD$1007, 0)</f>
        <v>3341</v>
      </c>
      <c r="AE1010" s="67">
        <f t="shared" ref="AE1010:AE1020" si="412">ROUND(C1010*$AE$1007,0)</f>
        <v>425</v>
      </c>
      <c r="AF1010" s="67">
        <f t="shared" ref="AF1010:AF1020" si="413">ROUND(D1010*$AF$1007,0)</f>
        <v>445</v>
      </c>
      <c r="AG1010" s="67">
        <f t="shared" ref="AG1010:AG1020" si="414">ROUND(E1010*$AG$1007,0)</f>
        <v>754</v>
      </c>
      <c r="AH1010" s="67">
        <f t="shared" ref="AH1010:AH1020" si="415">ROUND(F1010*$AH$1007,0)</f>
        <v>0</v>
      </c>
      <c r="AI1010" s="67">
        <f t="shared" ref="AI1010:AI1020" si="416">ROUND(H1010*$AI$1007,0)</f>
        <v>138</v>
      </c>
      <c r="AJ1010" s="67">
        <f t="shared" ref="AJ1010:AJ1020" si="417">ROUND(I1010*$AJ$1007,0)</f>
        <v>111</v>
      </c>
      <c r="AK1010" s="67">
        <f t="shared" ref="AK1010:AK1020" si="418">ROUND(J1010*$AK$1007,0)</f>
        <v>171</v>
      </c>
      <c r="AL1010" s="67">
        <f t="shared" ref="AL1010:AL1020" si="419">ROUND(K1010*$AL$1007,0)</f>
        <v>177</v>
      </c>
      <c r="AM1010" s="67">
        <f t="shared" ref="AM1010:AM1020" si="420">ROUND(L1010*$AM$1007,0)</f>
        <v>56</v>
      </c>
      <c r="AN1010" s="67">
        <f t="shared" ref="AN1010:AN1020" si="421">ROUND(M1010*$AN$1007,0)</f>
        <v>66</v>
      </c>
      <c r="AO1010" s="67">
        <f t="shared" ref="AO1010:AO1020" si="422">ROUND(N1010*$AO$1007,0)</f>
        <v>128</v>
      </c>
      <c r="AP1010" s="67">
        <f t="shared" ref="AP1010:AP1020" si="423">ROUND(O1010*$AP$1007,0)</f>
        <v>22</v>
      </c>
      <c r="AQ1010" s="67">
        <f t="shared" ref="AQ1010:AQ1020" si="424">ROUND(P1010*$AQ$1007,0)</f>
        <v>40</v>
      </c>
      <c r="AR1010" s="67">
        <f t="shared" ref="AR1010:AR1020" si="425">ROUND(Q1010*$AR$1007,0)</f>
        <v>52</v>
      </c>
      <c r="AS1010" s="636">
        <f t="shared" ref="AS1010:AS1020" si="426">SUM(AD1010:AR1010)</f>
        <v>5926</v>
      </c>
      <c r="AU1010" s="708">
        <f t="shared" ref="AU1010:AU1022" si="427">AS1010/R1010</f>
        <v>4.2870326497367085E-2</v>
      </c>
    </row>
    <row r="1011" spans="1:47" ht="15.75" customHeight="1" x14ac:dyDescent="0.3">
      <c r="A1011" s="139" t="s">
        <v>2234</v>
      </c>
      <c r="B1011" s="67">
        <f t="shared" si="409"/>
        <v>91135</v>
      </c>
      <c r="C1011" s="67">
        <f t="shared" si="395"/>
        <v>11585</v>
      </c>
      <c r="D1011" s="67">
        <f t="shared" si="396"/>
        <v>12121</v>
      </c>
      <c r="E1011" s="67">
        <f t="shared" si="397"/>
        <v>20393</v>
      </c>
      <c r="F1011" s="67">
        <f t="shared" si="410"/>
        <v>5162.3298182535718</v>
      </c>
      <c r="G1011" s="67">
        <f t="shared" si="398"/>
        <v>-3100.1462468889631</v>
      </c>
      <c r="H1011" s="67">
        <f t="shared" si="399"/>
        <v>6301</v>
      </c>
      <c r="I1011" s="67">
        <f t="shared" si="400"/>
        <v>4877</v>
      </c>
      <c r="J1011" s="67">
        <f t="shared" si="401"/>
        <v>7069</v>
      </c>
      <c r="K1011" s="67">
        <f t="shared" si="402"/>
        <v>7155</v>
      </c>
      <c r="L1011" s="67">
        <f t="shared" si="403"/>
        <v>2157</v>
      </c>
      <c r="M1011" s="67">
        <f t="shared" si="404"/>
        <v>2542</v>
      </c>
      <c r="N1011" s="67">
        <f t="shared" si="405"/>
        <v>5084</v>
      </c>
      <c r="O1011" s="67">
        <f t="shared" si="406"/>
        <v>743</v>
      </c>
      <c r="P1011" s="67">
        <f t="shared" si="407"/>
        <v>1476</v>
      </c>
      <c r="Q1011" s="67">
        <f t="shared" si="408"/>
        <v>1758</v>
      </c>
      <c r="R1011" s="638">
        <f t="shared" ref="R1011:R1020" si="428">(SUM(B1011:Q1011))</f>
        <v>176458.18357136461</v>
      </c>
      <c r="S1011" s="73"/>
      <c r="AC1011" s="642" t="s">
        <v>2234</v>
      </c>
      <c r="AD1011" s="67">
        <f t="shared" si="411"/>
        <v>4283</v>
      </c>
      <c r="AE1011" s="67">
        <f t="shared" si="412"/>
        <v>544</v>
      </c>
      <c r="AF1011" s="67">
        <f t="shared" si="413"/>
        <v>570</v>
      </c>
      <c r="AG1011" s="67">
        <f t="shared" si="414"/>
        <v>958</v>
      </c>
      <c r="AH1011" s="67">
        <f t="shared" si="415"/>
        <v>0</v>
      </c>
      <c r="AI1011" s="67">
        <f t="shared" si="416"/>
        <v>189</v>
      </c>
      <c r="AJ1011" s="67">
        <f t="shared" si="417"/>
        <v>146</v>
      </c>
      <c r="AK1011" s="67">
        <f t="shared" si="418"/>
        <v>212</v>
      </c>
      <c r="AL1011" s="67">
        <f t="shared" si="419"/>
        <v>215</v>
      </c>
      <c r="AM1011" s="67">
        <f t="shared" si="420"/>
        <v>65</v>
      </c>
      <c r="AN1011" s="67">
        <f t="shared" si="421"/>
        <v>76</v>
      </c>
      <c r="AO1011" s="67">
        <f t="shared" si="422"/>
        <v>153</v>
      </c>
      <c r="AP1011" s="67">
        <f t="shared" si="423"/>
        <v>22</v>
      </c>
      <c r="AQ1011" s="67">
        <f t="shared" si="424"/>
        <v>44</v>
      </c>
      <c r="AR1011" s="67">
        <f t="shared" si="425"/>
        <v>53</v>
      </c>
      <c r="AS1011" s="636">
        <f t="shared" si="426"/>
        <v>7530</v>
      </c>
      <c r="AU1011" s="708">
        <f t="shared" si="427"/>
        <v>4.2672999617241657E-2</v>
      </c>
    </row>
    <row r="1012" spans="1:47" ht="15.75" customHeight="1" x14ac:dyDescent="0.3">
      <c r="A1012" s="139" t="s">
        <v>2235</v>
      </c>
      <c r="B1012" s="67">
        <f t="shared" si="409"/>
        <v>144793</v>
      </c>
      <c r="C1012" s="67">
        <f t="shared" si="395"/>
        <v>18414</v>
      </c>
      <c r="D1012" s="67">
        <f t="shared" si="396"/>
        <v>19274</v>
      </c>
      <c r="E1012" s="67">
        <f t="shared" si="397"/>
        <v>32117</v>
      </c>
      <c r="F1012" s="67">
        <f t="shared" si="410"/>
        <v>805.66499610490882</v>
      </c>
      <c r="G1012" s="67">
        <f t="shared" si="398"/>
        <v>0</v>
      </c>
      <c r="H1012" s="67">
        <f t="shared" si="399"/>
        <v>10239</v>
      </c>
      <c r="I1012" s="67">
        <f t="shared" si="400"/>
        <v>7813</v>
      </c>
      <c r="J1012" s="67">
        <f t="shared" si="401"/>
        <v>9267</v>
      </c>
      <c r="K1012" s="67">
        <f t="shared" si="402"/>
        <v>8050</v>
      </c>
      <c r="L1012" s="67">
        <f t="shared" si="403"/>
        <v>2393</v>
      </c>
      <c r="M1012" s="67">
        <f t="shared" si="404"/>
        <v>2819</v>
      </c>
      <c r="N1012" s="67">
        <f t="shared" si="405"/>
        <v>5346</v>
      </c>
      <c r="O1012" s="67">
        <f t="shared" si="406"/>
        <v>813</v>
      </c>
      <c r="P1012" s="67">
        <f t="shared" si="407"/>
        <v>1771</v>
      </c>
      <c r="Q1012" s="67">
        <f t="shared" si="408"/>
        <v>1922</v>
      </c>
      <c r="R1012" s="638">
        <f t="shared" si="428"/>
        <v>265836.6649961049</v>
      </c>
      <c r="S1012" s="73"/>
      <c r="AC1012" s="642" t="s">
        <v>2235</v>
      </c>
      <c r="AD1012" s="67">
        <f t="shared" si="411"/>
        <v>6805</v>
      </c>
      <c r="AE1012" s="67">
        <f t="shared" si="412"/>
        <v>865</v>
      </c>
      <c r="AF1012" s="67">
        <f t="shared" si="413"/>
        <v>906</v>
      </c>
      <c r="AG1012" s="67">
        <f t="shared" si="414"/>
        <v>1509</v>
      </c>
      <c r="AH1012" s="67">
        <f t="shared" si="415"/>
        <v>0</v>
      </c>
      <c r="AI1012" s="67">
        <f t="shared" si="416"/>
        <v>307</v>
      </c>
      <c r="AJ1012" s="67">
        <f t="shared" si="417"/>
        <v>234</v>
      </c>
      <c r="AK1012" s="67">
        <f t="shared" si="418"/>
        <v>278</v>
      </c>
      <c r="AL1012" s="67">
        <f t="shared" si="419"/>
        <v>242</v>
      </c>
      <c r="AM1012" s="67">
        <f t="shared" si="420"/>
        <v>72</v>
      </c>
      <c r="AN1012" s="67">
        <f t="shared" si="421"/>
        <v>85</v>
      </c>
      <c r="AO1012" s="67">
        <f t="shared" si="422"/>
        <v>160</v>
      </c>
      <c r="AP1012" s="67">
        <f t="shared" si="423"/>
        <v>24</v>
      </c>
      <c r="AQ1012" s="67">
        <f t="shared" si="424"/>
        <v>53</v>
      </c>
      <c r="AR1012" s="67">
        <f t="shared" si="425"/>
        <v>58</v>
      </c>
      <c r="AS1012" s="636">
        <f t="shared" si="426"/>
        <v>11598</v>
      </c>
      <c r="AU1012" s="708">
        <f t="shared" si="427"/>
        <v>4.3628293336323405E-2</v>
      </c>
    </row>
    <row r="1013" spans="1:47" ht="15.75" customHeight="1" x14ac:dyDescent="0.3">
      <c r="A1013" s="139" t="s">
        <v>2236</v>
      </c>
      <c r="B1013" s="67">
        <f t="shared" si="409"/>
        <v>171435</v>
      </c>
      <c r="C1013" s="67">
        <f t="shared" si="395"/>
        <v>21803</v>
      </c>
      <c r="D1013" s="67">
        <f t="shared" si="396"/>
        <v>22824</v>
      </c>
      <c r="E1013" s="67">
        <f t="shared" si="397"/>
        <v>37630</v>
      </c>
      <c r="F1013" s="67">
        <f t="shared" si="410"/>
        <v>0</v>
      </c>
      <c r="G1013" s="67">
        <f t="shared" si="398"/>
        <v>-1996.3755840241108</v>
      </c>
      <c r="H1013" s="67">
        <f t="shared" si="399"/>
        <v>12282</v>
      </c>
      <c r="I1013" s="67">
        <f t="shared" si="400"/>
        <v>7005</v>
      </c>
      <c r="J1013" s="67">
        <f t="shared" si="401"/>
        <v>8830</v>
      </c>
      <c r="K1013" s="67">
        <f t="shared" si="402"/>
        <v>7875</v>
      </c>
      <c r="L1013" s="67">
        <f t="shared" si="403"/>
        <v>2367</v>
      </c>
      <c r="M1013" s="67">
        <f t="shared" si="404"/>
        <v>2788</v>
      </c>
      <c r="N1013" s="67">
        <f t="shared" si="405"/>
        <v>5404</v>
      </c>
      <c r="O1013" s="67">
        <f t="shared" si="406"/>
        <v>752</v>
      </c>
      <c r="P1013" s="67">
        <f t="shared" si="407"/>
        <v>2334</v>
      </c>
      <c r="Q1013" s="67">
        <f t="shared" si="408"/>
        <v>1778</v>
      </c>
      <c r="R1013" s="638">
        <f t="shared" si="428"/>
        <v>303110.62441597588</v>
      </c>
      <c r="S1013" s="73"/>
      <c r="AC1013" s="642" t="s">
        <v>2236</v>
      </c>
      <c r="AD1013" s="67">
        <f t="shared" si="411"/>
        <v>8057</v>
      </c>
      <c r="AE1013" s="67">
        <f t="shared" si="412"/>
        <v>1025</v>
      </c>
      <c r="AF1013" s="67">
        <f t="shared" si="413"/>
        <v>1073</v>
      </c>
      <c r="AG1013" s="67">
        <f t="shared" si="414"/>
        <v>1769</v>
      </c>
      <c r="AH1013" s="67">
        <f t="shared" si="415"/>
        <v>0</v>
      </c>
      <c r="AI1013" s="67">
        <f t="shared" si="416"/>
        <v>368</v>
      </c>
      <c r="AJ1013" s="67">
        <f t="shared" si="417"/>
        <v>210</v>
      </c>
      <c r="AK1013" s="67">
        <f t="shared" si="418"/>
        <v>265</v>
      </c>
      <c r="AL1013" s="67">
        <f t="shared" si="419"/>
        <v>236</v>
      </c>
      <c r="AM1013" s="67">
        <f t="shared" si="420"/>
        <v>71</v>
      </c>
      <c r="AN1013" s="67">
        <f t="shared" si="421"/>
        <v>84</v>
      </c>
      <c r="AO1013" s="67">
        <f t="shared" si="422"/>
        <v>162</v>
      </c>
      <c r="AP1013" s="67">
        <f t="shared" si="423"/>
        <v>23</v>
      </c>
      <c r="AQ1013" s="67">
        <f t="shared" si="424"/>
        <v>70</v>
      </c>
      <c r="AR1013" s="67">
        <f t="shared" si="425"/>
        <v>53</v>
      </c>
      <c r="AS1013" s="636">
        <f t="shared" si="426"/>
        <v>13466</v>
      </c>
      <c r="AU1013" s="708">
        <f t="shared" si="427"/>
        <v>4.4426024412525522E-2</v>
      </c>
    </row>
    <row r="1014" spans="1:47" ht="15.75" customHeight="1" x14ac:dyDescent="0.3">
      <c r="A1014" s="139" t="s">
        <v>2237</v>
      </c>
      <c r="B1014" s="67">
        <f t="shared" si="409"/>
        <v>102242</v>
      </c>
      <c r="C1014" s="67">
        <f t="shared" si="395"/>
        <v>12983</v>
      </c>
      <c r="D1014" s="67">
        <f t="shared" si="396"/>
        <v>13571</v>
      </c>
      <c r="E1014" s="67">
        <f t="shared" si="397"/>
        <v>21545</v>
      </c>
      <c r="F1014" s="67">
        <f t="shared" si="410"/>
        <v>0</v>
      </c>
      <c r="G1014" s="67">
        <f t="shared" si="398"/>
        <v>-12410.699140919369</v>
      </c>
      <c r="H1014" s="67">
        <f t="shared" si="399"/>
        <v>13407</v>
      </c>
      <c r="I1014" s="67">
        <f t="shared" si="400"/>
        <v>7440</v>
      </c>
      <c r="J1014" s="67">
        <f t="shared" si="401"/>
        <v>8155</v>
      </c>
      <c r="K1014" s="67">
        <f t="shared" si="402"/>
        <v>6905</v>
      </c>
      <c r="L1014" s="67">
        <f t="shared" si="403"/>
        <v>2336</v>
      </c>
      <c r="M1014" s="67">
        <f t="shared" si="404"/>
        <v>2751</v>
      </c>
      <c r="N1014" s="67">
        <f t="shared" si="405"/>
        <v>5165</v>
      </c>
      <c r="O1014" s="67">
        <f t="shared" si="406"/>
        <v>816</v>
      </c>
      <c r="P1014" s="67">
        <f t="shared" si="407"/>
        <v>2385</v>
      </c>
      <c r="Q1014" s="67">
        <f t="shared" si="408"/>
        <v>1923</v>
      </c>
      <c r="R1014" s="638">
        <f>(SUM(B1014:Q1014))</f>
        <v>189213.30085908063</v>
      </c>
      <c r="S1014" s="73"/>
      <c r="AC1014" s="642" t="s">
        <v>2237</v>
      </c>
      <c r="AD1014" s="67">
        <f t="shared" si="411"/>
        <v>4805</v>
      </c>
      <c r="AE1014" s="67">
        <f t="shared" si="412"/>
        <v>610</v>
      </c>
      <c r="AF1014" s="67">
        <f t="shared" si="413"/>
        <v>638</v>
      </c>
      <c r="AG1014" s="67">
        <f t="shared" si="414"/>
        <v>1013</v>
      </c>
      <c r="AH1014" s="67">
        <f t="shared" si="415"/>
        <v>0</v>
      </c>
      <c r="AI1014" s="67">
        <f t="shared" si="416"/>
        <v>402</v>
      </c>
      <c r="AJ1014" s="67">
        <f t="shared" si="417"/>
        <v>223</v>
      </c>
      <c r="AK1014" s="67">
        <f t="shared" si="418"/>
        <v>245</v>
      </c>
      <c r="AL1014" s="67">
        <f t="shared" si="419"/>
        <v>207</v>
      </c>
      <c r="AM1014" s="67">
        <f t="shared" si="420"/>
        <v>70</v>
      </c>
      <c r="AN1014" s="67">
        <f t="shared" si="421"/>
        <v>83</v>
      </c>
      <c r="AO1014" s="67">
        <f t="shared" si="422"/>
        <v>155</v>
      </c>
      <c r="AP1014" s="67">
        <f t="shared" si="423"/>
        <v>24</v>
      </c>
      <c r="AQ1014" s="67">
        <f t="shared" si="424"/>
        <v>72</v>
      </c>
      <c r="AR1014" s="67">
        <f t="shared" si="425"/>
        <v>58</v>
      </c>
      <c r="AS1014" s="636">
        <f t="shared" si="426"/>
        <v>8605</v>
      </c>
      <c r="AU1014" s="708">
        <f t="shared" si="427"/>
        <v>4.5477775404429412E-2</v>
      </c>
    </row>
    <row r="1015" spans="1:47" ht="15.75" customHeight="1" x14ac:dyDescent="0.3">
      <c r="A1015" s="139" t="s">
        <v>1504</v>
      </c>
      <c r="B1015" s="67">
        <f t="shared" si="409"/>
        <v>71492</v>
      </c>
      <c r="C1015" s="67">
        <f t="shared" si="395"/>
        <v>9063</v>
      </c>
      <c r="D1015" s="67">
        <f t="shared" si="396"/>
        <v>9458</v>
      </c>
      <c r="E1015" s="67">
        <f t="shared" si="397"/>
        <v>13647</v>
      </c>
      <c r="F1015" s="67">
        <f t="shared" si="410"/>
        <v>0</v>
      </c>
      <c r="G1015" s="67">
        <f t="shared" si="398"/>
        <v>-13614.857272042198</v>
      </c>
      <c r="H1015" s="67">
        <f t="shared" si="399"/>
        <v>12588</v>
      </c>
      <c r="I1015" s="67">
        <f t="shared" si="400"/>
        <v>8369</v>
      </c>
      <c r="J1015" s="67">
        <f t="shared" si="401"/>
        <v>8955</v>
      </c>
      <c r="K1015" s="67">
        <f t="shared" si="402"/>
        <v>7698</v>
      </c>
      <c r="L1015" s="67">
        <f t="shared" si="403"/>
        <v>2212</v>
      </c>
      <c r="M1015" s="67">
        <f t="shared" si="404"/>
        <v>2605</v>
      </c>
      <c r="N1015" s="67">
        <f t="shared" si="405"/>
        <v>5290</v>
      </c>
      <c r="O1015" s="67">
        <f t="shared" si="406"/>
        <v>779</v>
      </c>
      <c r="P1015" s="67">
        <f t="shared" si="407"/>
        <v>2282</v>
      </c>
      <c r="Q1015" s="67">
        <f t="shared" si="408"/>
        <v>1841</v>
      </c>
      <c r="R1015" s="638">
        <f t="shared" si="428"/>
        <v>142664.14272795781</v>
      </c>
      <c r="S1015" s="73"/>
      <c r="AC1015" s="642" t="s">
        <v>1504</v>
      </c>
      <c r="AD1015" s="67">
        <f t="shared" si="411"/>
        <v>3360</v>
      </c>
      <c r="AE1015" s="67">
        <f t="shared" si="412"/>
        <v>426</v>
      </c>
      <c r="AF1015" s="67">
        <f t="shared" si="413"/>
        <v>445</v>
      </c>
      <c r="AG1015" s="67">
        <f t="shared" si="414"/>
        <v>641</v>
      </c>
      <c r="AH1015" s="67">
        <f t="shared" si="415"/>
        <v>0</v>
      </c>
      <c r="AI1015" s="67">
        <f t="shared" si="416"/>
        <v>378</v>
      </c>
      <c r="AJ1015" s="67">
        <f t="shared" si="417"/>
        <v>251</v>
      </c>
      <c r="AK1015" s="67">
        <f t="shared" si="418"/>
        <v>269</v>
      </c>
      <c r="AL1015" s="67">
        <f t="shared" si="419"/>
        <v>231</v>
      </c>
      <c r="AM1015" s="67">
        <f t="shared" si="420"/>
        <v>66</v>
      </c>
      <c r="AN1015" s="67">
        <f t="shared" si="421"/>
        <v>78</v>
      </c>
      <c r="AO1015" s="67">
        <f t="shared" si="422"/>
        <v>159</v>
      </c>
      <c r="AP1015" s="67">
        <f t="shared" si="423"/>
        <v>23</v>
      </c>
      <c r="AQ1015" s="67">
        <f t="shared" si="424"/>
        <v>68</v>
      </c>
      <c r="AR1015" s="67">
        <f t="shared" si="425"/>
        <v>55</v>
      </c>
      <c r="AS1015" s="636">
        <f t="shared" si="426"/>
        <v>6450</v>
      </c>
      <c r="AU1015" s="708">
        <f t="shared" si="427"/>
        <v>4.5211080210248215E-2</v>
      </c>
    </row>
    <row r="1016" spans="1:47" ht="15.75" customHeight="1" x14ac:dyDescent="0.3">
      <c r="A1016" s="139" t="s">
        <v>1505</v>
      </c>
      <c r="B1016" s="67">
        <f t="shared" si="409"/>
        <v>60327</v>
      </c>
      <c r="C1016" s="67">
        <f t="shared" si="395"/>
        <v>7650</v>
      </c>
      <c r="D1016" s="67">
        <f t="shared" si="396"/>
        <v>7985</v>
      </c>
      <c r="E1016" s="67">
        <f t="shared" si="397"/>
        <v>8869</v>
      </c>
      <c r="F1016" s="67">
        <f t="shared" si="410"/>
        <v>0.82640843359831073</v>
      </c>
      <c r="G1016" s="67">
        <f t="shared" si="398"/>
        <v>-11453.254799565662</v>
      </c>
      <c r="H1016" s="67">
        <f t="shared" si="399"/>
        <v>11095</v>
      </c>
      <c r="I1016" s="67">
        <f t="shared" si="400"/>
        <v>7816</v>
      </c>
      <c r="J1016" s="67">
        <f t="shared" si="401"/>
        <v>8707</v>
      </c>
      <c r="K1016" s="67">
        <f t="shared" si="402"/>
        <v>7204</v>
      </c>
      <c r="L1016" s="67">
        <f t="shared" si="403"/>
        <v>2017</v>
      </c>
      <c r="M1016" s="67">
        <f t="shared" si="404"/>
        <v>2376</v>
      </c>
      <c r="N1016" s="67">
        <f t="shared" si="405"/>
        <v>4528</v>
      </c>
      <c r="O1016" s="67">
        <f t="shared" si="406"/>
        <v>745</v>
      </c>
      <c r="P1016" s="67">
        <f t="shared" si="407"/>
        <v>2259</v>
      </c>
      <c r="Q1016" s="67">
        <f t="shared" si="408"/>
        <v>1761</v>
      </c>
      <c r="R1016" s="638">
        <f t="shared" si="428"/>
        <v>121886.57160886793</v>
      </c>
      <c r="S1016" s="73"/>
      <c r="AC1016" s="642" t="s">
        <v>1505</v>
      </c>
      <c r="AD1016" s="67">
        <f t="shared" si="411"/>
        <v>2835</v>
      </c>
      <c r="AE1016" s="67">
        <f t="shared" si="412"/>
        <v>360</v>
      </c>
      <c r="AF1016" s="67">
        <f t="shared" si="413"/>
        <v>375</v>
      </c>
      <c r="AG1016" s="67">
        <f t="shared" si="414"/>
        <v>417</v>
      </c>
      <c r="AH1016" s="67">
        <f t="shared" si="415"/>
        <v>0</v>
      </c>
      <c r="AI1016" s="67">
        <f t="shared" si="416"/>
        <v>333</v>
      </c>
      <c r="AJ1016" s="67">
        <f t="shared" si="417"/>
        <v>234</v>
      </c>
      <c r="AK1016" s="67">
        <f t="shared" si="418"/>
        <v>261</v>
      </c>
      <c r="AL1016" s="67">
        <f t="shared" si="419"/>
        <v>216</v>
      </c>
      <c r="AM1016" s="67">
        <f t="shared" si="420"/>
        <v>61</v>
      </c>
      <c r="AN1016" s="67">
        <f t="shared" si="421"/>
        <v>71</v>
      </c>
      <c r="AO1016" s="67">
        <f t="shared" si="422"/>
        <v>136</v>
      </c>
      <c r="AP1016" s="67">
        <f t="shared" si="423"/>
        <v>22</v>
      </c>
      <c r="AQ1016" s="67">
        <f t="shared" si="424"/>
        <v>68</v>
      </c>
      <c r="AR1016" s="67">
        <f t="shared" si="425"/>
        <v>53</v>
      </c>
      <c r="AS1016" s="636">
        <f t="shared" si="426"/>
        <v>5442</v>
      </c>
      <c r="AU1016" s="708">
        <f t="shared" si="427"/>
        <v>4.4648068512939156E-2</v>
      </c>
    </row>
    <row r="1017" spans="1:47" ht="15.75" customHeight="1" x14ac:dyDescent="0.3">
      <c r="A1017" s="139" t="s">
        <v>1506</v>
      </c>
      <c r="B1017" s="67">
        <f t="shared" si="409"/>
        <v>157872</v>
      </c>
      <c r="C1017" s="67">
        <f t="shared" si="395"/>
        <v>20087</v>
      </c>
      <c r="D1017" s="67">
        <f t="shared" si="396"/>
        <v>21037</v>
      </c>
      <c r="E1017" s="67">
        <f t="shared" si="397"/>
        <v>31630</v>
      </c>
      <c r="F1017" s="67">
        <f t="shared" si="410"/>
        <v>5687.9089531160798</v>
      </c>
      <c r="G1017" s="67">
        <f t="shared" si="398"/>
        <v>-323.86723620566795</v>
      </c>
      <c r="H1017" s="67">
        <f t="shared" si="399"/>
        <v>7274</v>
      </c>
      <c r="I1017" s="67">
        <f t="shared" si="400"/>
        <v>5948</v>
      </c>
      <c r="J1017" s="67">
        <f t="shared" si="401"/>
        <v>6241</v>
      </c>
      <c r="K1017" s="67">
        <f t="shared" si="402"/>
        <v>5977</v>
      </c>
      <c r="L1017" s="67">
        <f t="shared" si="403"/>
        <v>1772</v>
      </c>
      <c r="M1017" s="67">
        <f t="shared" si="404"/>
        <v>2087</v>
      </c>
      <c r="N1017" s="67">
        <f t="shared" si="405"/>
        <v>4244</v>
      </c>
      <c r="O1017" s="67">
        <f t="shared" si="406"/>
        <v>779</v>
      </c>
      <c r="P1017" s="67">
        <f t="shared" si="407"/>
        <v>1717</v>
      </c>
      <c r="Q1017" s="67">
        <f t="shared" si="408"/>
        <v>1843</v>
      </c>
      <c r="R1017" s="638">
        <f t="shared" si="428"/>
        <v>273872.04171691043</v>
      </c>
      <c r="S1017" s="73"/>
      <c r="AC1017" s="642" t="s">
        <v>1506</v>
      </c>
      <c r="AD1017" s="67">
        <f t="shared" si="411"/>
        <v>7420</v>
      </c>
      <c r="AE1017" s="67">
        <f t="shared" si="412"/>
        <v>944</v>
      </c>
      <c r="AF1017" s="67">
        <f t="shared" si="413"/>
        <v>989</v>
      </c>
      <c r="AG1017" s="67">
        <f t="shared" si="414"/>
        <v>1487</v>
      </c>
      <c r="AH1017" s="67">
        <f t="shared" si="415"/>
        <v>0</v>
      </c>
      <c r="AI1017" s="67">
        <f t="shared" si="416"/>
        <v>218</v>
      </c>
      <c r="AJ1017" s="67">
        <f t="shared" si="417"/>
        <v>178</v>
      </c>
      <c r="AK1017" s="67">
        <f t="shared" si="418"/>
        <v>187</v>
      </c>
      <c r="AL1017" s="67">
        <f t="shared" si="419"/>
        <v>179</v>
      </c>
      <c r="AM1017" s="67">
        <f t="shared" si="420"/>
        <v>53</v>
      </c>
      <c r="AN1017" s="67">
        <f t="shared" si="421"/>
        <v>63</v>
      </c>
      <c r="AO1017" s="67">
        <f t="shared" si="422"/>
        <v>127</v>
      </c>
      <c r="AP1017" s="67">
        <f t="shared" si="423"/>
        <v>23</v>
      </c>
      <c r="AQ1017" s="67">
        <f t="shared" si="424"/>
        <v>52</v>
      </c>
      <c r="AR1017" s="67">
        <f t="shared" si="425"/>
        <v>55</v>
      </c>
      <c r="AS1017" s="636">
        <f t="shared" si="426"/>
        <v>11975</v>
      </c>
      <c r="AU1017" s="708">
        <f t="shared" si="427"/>
        <v>4.3724799088393385E-2</v>
      </c>
    </row>
    <row r="1018" spans="1:47" ht="15.75" customHeight="1" x14ac:dyDescent="0.3">
      <c r="A1018" s="139" t="s">
        <v>1507</v>
      </c>
      <c r="B1018" s="67">
        <f t="shared" si="409"/>
        <v>156558</v>
      </c>
      <c r="C1018" s="67">
        <f t="shared" si="395"/>
        <v>19923</v>
      </c>
      <c r="D1018" s="67">
        <f t="shared" si="396"/>
        <v>20868</v>
      </c>
      <c r="E1018" s="67">
        <f t="shared" si="397"/>
        <v>32572</v>
      </c>
      <c r="F1018" s="67">
        <f t="shared" si="410"/>
        <v>11099.53123863932</v>
      </c>
      <c r="G1018" s="67">
        <f t="shared" si="398"/>
        <v>-2.5762773172569688</v>
      </c>
      <c r="H1018" s="67">
        <f t="shared" si="399"/>
        <v>5192</v>
      </c>
      <c r="I1018" s="67">
        <f t="shared" si="400"/>
        <v>2898</v>
      </c>
      <c r="J1018" s="67">
        <f t="shared" si="401"/>
        <v>4040</v>
      </c>
      <c r="K1018" s="67">
        <f t="shared" si="402"/>
        <v>3882</v>
      </c>
      <c r="L1018" s="67">
        <f t="shared" si="403"/>
        <v>1188</v>
      </c>
      <c r="M1018" s="67">
        <f t="shared" si="404"/>
        <v>1398</v>
      </c>
      <c r="N1018" s="67">
        <f t="shared" si="405"/>
        <v>2776</v>
      </c>
      <c r="O1018" s="67">
        <f t="shared" si="406"/>
        <v>763</v>
      </c>
      <c r="P1018" s="67">
        <f t="shared" si="407"/>
        <v>1617</v>
      </c>
      <c r="Q1018" s="67">
        <f t="shared" si="408"/>
        <v>1805</v>
      </c>
      <c r="R1018" s="638">
        <f t="shared" si="428"/>
        <v>266576.95496132207</v>
      </c>
      <c r="S1018" s="73"/>
      <c r="AC1018" s="642" t="s">
        <v>1507</v>
      </c>
      <c r="AD1018" s="67">
        <f t="shared" si="411"/>
        <v>7358</v>
      </c>
      <c r="AE1018" s="67">
        <f t="shared" si="412"/>
        <v>936</v>
      </c>
      <c r="AF1018" s="67">
        <f t="shared" si="413"/>
        <v>981</v>
      </c>
      <c r="AG1018" s="67">
        <f t="shared" si="414"/>
        <v>1531</v>
      </c>
      <c r="AH1018" s="67">
        <f t="shared" si="415"/>
        <v>0</v>
      </c>
      <c r="AI1018" s="67">
        <f t="shared" si="416"/>
        <v>156</v>
      </c>
      <c r="AJ1018" s="67">
        <f t="shared" si="417"/>
        <v>87</v>
      </c>
      <c r="AK1018" s="67">
        <f t="shared" si="418"/>
        <v>121</v>
      </c>
      <c r="AL1018" s="67">
        <f t="shared" si="419"/>
        <v>116</v>
      </c>
      <c r="AM1018" s="67">
        <f t="shared" si="420"/>
        <v>36</v>
      </c>
      <c r="AN1018" s="67">
        <f t="shared" si="421"/>
        <v>42</v>
      </c>
      <c r="AO1018" s="67">
        <f t="shared" si="422"/>
        <v>83</v>
      </c>
      <c r="AP1018" s="67">
        <f t="shared" si="423"/>
        <v>23</v>
      </c>
      <c r="AQ1018" s="67">
        <f t="shared" si="424"/>
        <v>49</v>
      </c>
      <c r="AR1018" s="67">
        <f t="shared" si="425"/>
        <v>54</v>
      </c>
      <c r="AS1018" s="636">
        <f t="shared" si="426"/>
        <v>11573</v>
      </c>
      <c r="AU1018" s="708">
        <f t="shared" si="427"/>
        <v>4.3413355072943714E-2</v>
      </c>
    </row>
    <row r="1019" spans="1:47" ht="15.75" customHeight="1" x14ac:dyDescent="0.3">
      <c r="A1019" s="139" t="s">
        <v>1508</v>
      </c>
      <c r="B1019" s="67">
        <f t="shared" si="409"/>
        <v>119236</v>
      </c>
      <c r="C1019" s="67">
        <f t="shared" si="395"/>
        <v>15172</v>
      </c>
      <c r="D1019" s="67">
        <f t="shared" si="396"/>
        <v>15889</v>
      </c>
      <c r="E1019" s="67">
        <f t="shared" si="397"/>
        <v>24887</v>
      </c>
      <c r="F1019" s="67">
        <f t="shared" si="410"/>
        <v>12368.518566606079</v>
      </c>
      <c r="G1019" s="67">
        <f t="shared" si="398"/>
        <v>-650.74574227580933</v>
      </c>
      <c r="H1019" s="67">
        <f t="shared" si="399"/>
        <v>2463</v>
      </c>
      <c r="I1019" s="67">
        <f t="shared" si="400"/>
        <v>681</v>
      </c>
      <c r="J1019" s="67">
        <f t="shared" si="401"/>
        <v>933</v>
      </c>
      <c r="K1019" s="67">
        <f t="shared" si="402"/>
        <v>857</v>
      </c>
      <c r="L1019" s="67">
        <f t="shared" si="403"/>
        <v>172</v>
      </c>
      <c r="M1019" s="67">
        <f t="shared" si="404"/>
        <v>201</v>
      </c>
      <c r="N1019" s="67">
        <f t="shared" si="405"/>
        <v>422</v>
      </c>
      <c r="O1019" s="67">
        <f t="shared" si="406"/>
        <v>264</v>
      </c>
      <c r="P1019" s="67">
        <f t="shared" si="407"/>
        <v>1456</v>
      </c>
      <c r="Q1019" s="67">
        <f t="shared" si="408"/>
        <v>624</v>
      </c>
      <c r="R1019" s="638">
        <f t="shared" si="428"/>
        <v>194974.77282433026</v>
      </c>
      <c r="S1019" s="73"/>
      <c r="AC1019" s="642" t="s">
        <v>1508</v>
      </c>
      <c r="AD1019" s="67">
        <f t="shared" si="411"/>
        <v>5604</v>
      </c>
      <c r="AE1019" s="67">
        <f t="shared" si="412"/>
        <v>713</v>
      </c>
      <c r="AF1019" s="67">
        <f t="shared" si="413"/>
        <v>747</v>
      </c>
      <c r="AG1019" s="67">
        <f t="shared" si="414"/>
        <v>1170</v>
      </c>
      <c r="AH1019" s="67">
        <f t="shared" si="415"/>
        <v>0</v>
      </c>
      <c r="AI1019" s="67">
        <f t="shared" si="416"/>
        <v>74</v>
      </c>
      <c r="AJ1019" s="67">
        <f t="shared" si="417"/>
        <v>20</v>
      </c>
      <c r="AK1019" s="67">
        <f t="shared" si="418"/>
        <v>28</v>
      </c>
      <c r="AL1019" s="67">
        <f t="shared" si="419"/>
        <v>26</v>
      </c>
      <c r="AM1019" s="67">
        <f t="shared" si="420"/>
        <v>5</v>
      </c>
      <c r="AN1019" s="67">
        <f t="shared" si="421"/>
        <v>6</v>
      </c>
      <c r="AO1019" s="67">
        <f t="shared" si="422"/>
        <v>13</v>
      </c>
      <c r="AP1019" s="67">
        <f t="shared" si="423"/>
        <v>8</v>
      </c>
      <c r="AQ1019" s="67">
        <f t="shared" si="424"/>
        <v>44</v>
      </c>
      <c r="AR1019" s="67">
        <f t="shared" si="425"/>
        <v>19</v>
      </c>
      <c r="AS1019" s="636">
        <f t="shared" si="426"/>
        <v>8477</v>
      </c>
      <c r="AU1019" s="708">
        <f t="shared" si="427"/>
        <v>4.3477419551285576E-2</v>
      </c>
    </row>
    <row r="1020" spans="1:47" ht="15.75" customHeight="1" x14ac:dyDescent="0.3">
      <c r="A1020" s="139" t="s">
        <v>1509</v>
      </c>
      <c r="B1020" s="67">
        <f t="shared" si="409"/>
        <v>122246</v>
      </c>
      <c r="C1020" s="67">
        <f t="shared" si="395"/>
        <v>15561</v>
      </c>
      <c r="D1020" s="67">
        <f t="shared" si="396"/>
        <v>16304</v>
      </c>
      <c r="E1020" s="67">
        <f t="shared" si="397"/>
        <v>26293</v>
      </c>
      <c r="F1020" s="67">
        <f t="shared" si="410"/>
        <v>10935.661004608422</v>
      </c>
      <c r="G1020" s="67">
        <f t="shared" si="398"/>
        <v>0</v>
      </c>
      <c r="H1020" s="67">
        <f t="shared" si="399"/>
        <v>3737</v>
      </c>
      <c r="I1020" s="67">
        <f t="shared" si="400"/>
        <v>2847</v>
      </c>
      <c r="J1020" s="67">
        <f t="shared" si="401"/>
        <v>3911</v>
      </c>
      <c r="K1020" s="67">
        <f t="shared" si="402"/>
        <v>3898</v>
      </c>
      <c r="L1020" s="67">
        <f t="shared" si="403"/>
        <v>1281</v>
      </c>
      <c r="M1020" s="67">
        <f t="shared" si="404"/>
        <v>1509</v>
      </c>
      <c r="N1020" s="67">
        <f t="shared" si="405"/>
        <v>3091</v>
      </c>
      <c r="O1020" s="67">
        <f t="shared" si="406"/>
        <v>983</v>
      </c>
      <c r="P1020" s="67">
        <f t="shared" si="407"/>
        <v>1294</v>
      </c>
      <c r="Q1020" s="67">
        <f t="shared" si="408"/>
        <v>2328</v>
      </c>
      <c r="R1020" s="638">
        <f t="shared" si="428"/>
        <v>216218.66100460841</v>
      </c>
      <c r="S1020" s="73"/>
      <c r="AC1020" s="642" t="s">
        <v>1509</v>
      </c>
      <c r="AD1020" s="67">
        <f t="shared" si="411"/>
        <v>5746</v>
      </c>
      <c r="AE1020" s="67">
        <f t="shared" si="412"/>
        <v>731</v>
      </c>
      <c r="AF1020" s="67">
        <f t="shared" si="413"/>
        <v>766</v>
      </c>
      <c r="AG1020" s="67">
        <f t="shared" si="414"/>
        <v>1236</v>
      </c>
      <c r="AH1020" s="67">
        <f t="shared" si="415"/>
        <v>0</v>
      </c>
      <c r="AI1020" s="67">
        <f t="shared" si="416"/>
        <v>112</v>
      </c>
      <c r="AJ1020" s="67">
        <f t="shared" si="417"/>
        <v>85</v>
      </c>
      <c r="AK1020" s="67">
        <f t="shared" si="418"/>
        <v>117</v>
      </c>
      <c r="AL1020" s="67">
        <f t="shared" si="419"/>
        <v>117</v>
      </c>
      <c r="AM1020" s="67">
        <f t="shared" si="420"/>
        <v>38</v>
      </c>
      <c r="AN1020" s="67">
        <f t="shared" si="421"/>
        <v>45</v>
      </c>
      <c r="AO1020" s="67">
        <f t="shared" si="422"/>
        <v>93</v>
      </c>
      <c r="AP1020" s="67">
        <f t="shared" si="423"/>
        <v>29</v>
      </c>
      <c r="AQ1020" s="67">
        <f t="shared" si="424"/>
        <v>39</v>
      </c>
      <c r="AR1020" s="67">
        <f t="shared" si="425"/>
        <v>70</v>
      </c>
      <c r="AS1020" s="636">
        <f t="shared" si="426"/>
        <v>9224</v>
      </c>
      <c r="AU1020" s="708">
        <f t="shared" si="427"/>
        <v>4.2660517631285318E-2</v>
      </c>
    </row>
    <row r="1021" spans="1:47" ht="15.75" customHeight="1" x14ac:dyDescent="0.3">
      <c r="A1021" s="553"/>
      <c r="B1021" s="67"/>
      <c r="C1021" s="67"/>
      <c r="D1021" s="67"/>
      <c r="E1021" s="67"/>
      <c r="F1021" s="67"/>
      <c r="G1021" s="67"/>
      <c r="H1021" s="67"/>
      <c r="I1021" s="67"/>
      <c r="J1021" s="67"/>
      <c r="K1021" s="67"/>
      <c r="L1021" s="67"/>
      <c r="M1021" s="67"/>
      <c r="N1021" s="67"/>
      <c r="O1021" s="67"/>
      <c r="P1021" s="67"/>
      <c r="Q1021" s="67"/>
      <c r="R1021" s="636"/>
      <c r="S1021" s="73"/>
      <c r="AC1021" s="579"/>
      <c r="AD1021" s="67"/>
      <c r="AE1021" s="67"/>
      <c r="AF1021" s="67"/>
      <c r="AG1021" s="67"/>
      <c r="AH1021" s="67"/>
      <c r="AI1021" s="67"/>
      <c r="AJ1021" s="67"/>
      <c r="AK1021" s="67"/>
      <c r="AL1021" s="67"/>
      <c r="AM1021" s="67"/>
      <c r="AN1021" s="67"/>
      <c r="AO1021" s="67"/>
      <c r="AP1021" s="67"/>
      <c r="AQ1021" s="67"/>
      <c r="AR1021" s="67"/>
      <c r="AS1021" s="636"/>
    </row>
    <row r="1022" spans="1:47" ht="15.75" customHeight="1" thickBot="1" x14ac:dyDescent="0.35">
      <c r="A1022" s="553" t="s">
        <v>2356</v>
      </c>
      <c r="B1022" s="67">
        <f>SUM(B1009:B1020)</f>
        <v>1339493</v>
      </c>
      <c r="C1022" s="67">
        <f t="shared" ref="C1022:Q1022" si="429">SUM(C1009:C1020)</f>
        <v>170333</v>
      </c>
      <c r="D1022" s="67">
        <f t="shared" si="429"/>
        <v>178282</v>
      </c>
      <c r="E1022" s="67">
        <f t="shared" si="429"/>
        <v>281615</v>
      </c>
      <c r="F1022" s="67">
        <f t="shared" si="429"/>
        <v>51091.740440449081</v>
      </c>
      <c r="G1022" s="67">
        <f t="shared" si="429"/>
        <v>-43552.522299239034</v>
      </c>
      <c r="H1022" s="67">
        <f t="shared" si="429"/>
        <v>92040</v>
      </c>
      <c r="I1022" s="67">
        <f t="shared" si="429"/>
        <v>61642</v>
      </c>
      <c r="J1022" s="67">
        <f t="shared" si="429"/>
        <v>75335</v>
      </c>
      <c r="K1022" s="67">
        <f t="shared" si="429"/>
        <v>69038</v>
      </c>
      <c r="L1022" s="67">
        <f t="shared" si="429"/>
        <v>20718</v>
      </c>
      <c r="M1022" s="67">
        <f t="shared" si="429"/>
        <v>24402</v>
      </c>
      <c r="N1022" s="67">
        <f t="shared" si="429"/>
        <v>47921</v>
      </c>
      <c r="O1022" s="67">
        <f t="shared" si="429"/>
        <v>8841</v>
      </c>
      <c r="P1022" s="67">
        <f t="shared" si="429"/>
        <v>21330</v>
      </c>
      <c r="Q1022" s="67">
        <f t="shared" si="429"/>
        <v>20906</v>
      </c>
      <c r="R1022" s="639">
        <f>SUM(R1009:R1020)</f>
        <v>2419435.2181412103</v>
      </c>
      <c r="S1022" s="73"/>
      <c r="AC1022" s="644" t="s">
        <v>2356</v>
      </c>
      <c r="AD1022" s="555">
        <f>SUM(AD1009:AD1020)</f>
        <v>62954</v>
      </c>
      <c r="AE1022" s="555">
        <f t="shared" ref="AE1022:AS1022" si="430">SUM(AE1009:AE1020)</f>
        <v>8004</v>
      </c>
      <c r="AF1022" s="555">
        <f t="shared" si="430"/>
        <v>8381</v>
      </c>
      <c r="AG1022" s="555">
        <f t="shared" si="430"/>
        <v>13237</v>
      </c>
      <c r="AH1022" s="555">
        <f t="shared" si="430"/>
        <v>0</v>
      </c>
      <c r="AI1022" s="555">
        <f t="shared" si="430"/>
        <v>2761</v>
      </c>
      <c r="AJ1022" s="555">
        <f t="shared" si="430"/>
        <v>1847</v>
      </c>
      <c r="AK1022" s="555">
        <f t="shared" si="430"/>
        <v>2260</v>
      </c>
      <c r="AL1022" s="555">
        <f t="shared" si="430"/>
        <v>2071</v>
      </c>
      <c r="AM1022" s="555">
        <f t="shared" si="430"/>
        <v>622</v>
      </c>
      <c r="AN1022" s="555">
        <f t="shared" si="430"/>
        <v>733</v>
      </c>
      <c r="AO1022" s="555">
        <f t="shared" si="430"/>
        <v>1438</v>
      </c>
      <c r="AP1022" s="555">
        <f t="shared" si="430"/>
        <v>263</v>
      </c>
      <c r="AQ1022" s="555">
        <f t="shared" si="430"/>
        <v>641</v>
      </c>
      <c r="AR1022" s="555">
        <f t="shared" si="430"/>
        <v>628</v>
      </c>
      <c r="AS1022" s="637">
        <f t="shared" si="430"/>
        <v>105840</v>
      </c>
      <c r="AU1022" s="708">
        <f t="shared" si="427"/>
        <v>4.3745746613258835E-2</v>
      </c>
    </row>
    <row r="1023" spans="1:47" ht="16.5" customHeight="1" thickBot="1" x14ac:dyDescent="0.35">
      <c r="A1023" s="558" t="s">
        <v>852</v>
      </c>
      <c r="B1023" s="555"/>
      <c r="C1023" s="555"/>
      <c r="D1023" s="555"/>
      <c r="E1023" s="555"/>
      <c r="F1023" s="555"/>
      <c r="G1023" s="555"/>
      <c r="H1023" s="555"/>
      <c r="I1023" s="555"/>
      <c r="J1023" s="555"/>
      <c r="K1023" s="555"/>
      <c r="L1023" s="555"/>
      <c r="M1023" s="555"/>
      <c r="N1023" s="555"/>
      <c r="O1023" s="555"/>
      <c r="P1023" s="555"/>
      <c r="Q1023" s="555"/>
      <c r="R1023" s="637"/>
      <c r="S1023" s="67"/>
    </row>
    <row r="1024" spans="1:47" ht="15.75" customHeight="1" x14ac:dyDescent="0.3">
      <c r="A1024" s="67"/>
      <c r="B1024" s="67"/>
      <c r="C1024" s="67"/>
      <c r="D1024" s="67"/>
      <c r="E1024" s="67"/>
      <c r="F1024" s="67"/>
      <c r="G1024" s="67"/>
      <c r="H1024" s="67"/>
      <c r="I1024" s="67"/>
      <c r="J1024" s="67"/>
      <c r="K1024" s="67"/>
      <c r="L1024" s="67"/>
      <c r="M1024" s="67"/>
      <c r="N1024" s="67"/>
      <c r="O1024" s="67"/>
      <c r="P1024" s="67"/>
      <c r="Q1024" s="67"/>
      <c r="R1024" s="67"/>
    </row>
    <row r="1025" spans="1:45" ht="15.75" customHeight="1" x14ac:dyDescent="0.3"/>
    <row r="1026" spans="1:45" ht="15.75" customHeight="1" thickBot="1" x14ac:dyDescent="0.35"/>
    <row r="1027" spans="1:45" ht="15.75" customHeight="1" thickBot="1" x14ac:dyDescent="0.35">
      <c r="B1027" s="822" t="s">
        <v>2921</v>
      </c>
      <c r="C1027" s="821"/>
      <c r="D1027" s="821"/>
      <c r="E1027" s="821"/>
      <c r="F1027" s="821"/>
      <c r="G1027" s="821"/>
      <c r="H1027" s="821"/>
      <c r="I1027" s="821"/>
      <c r="J1027" s="821"/>
      <c r="K1027" s="821"/>
      <c r="L1027" s="821"/>
      <c r="M1027" s="821"/>
      <c r="N1027" s="821"/>
      <c r="O1027" s="821"/>
      <c r="P1027" s="821"/>
      <c r="Q1027" s="752" t="str">
        <f>+Q1</f>
        <v xml:space="preserve">PRINTED:  </v>
      </c>
      <c r="R1027" s="756">
        <f ca="1">+R1</f>
        <v>44881.729633912037</v>
      </c>
      <c r="S1027" s="701"/>
      <c r="T1027" s="703"/>
      <c r="U1027" s="703"/>
      <c r="V1027" s="702"/>
    </row>
    <row r="1028" spans="1:45" ht="15.75" customHeight="1" x14ac:dyDescent="0.3">
      <c r="B1028" s="791">
        <f>+A5</f>
        <v>2020</v>
      </c>
      <c r="C1028" s="787"/>
      <c r="D1028" s="787"/>
      <c r="E1028" s="787"/>
      <c r="F1028" s="787"/>
      <c r="G1028" s="787"/>
      <c r="H1028" s="787"/>
      <c r="I1028" s="787"/>
      <c r="J1028" s="787"/>
      <c r="K1028" s="787"/>
      <c r="L1028" s="787"/>
      <c r="M1028" s="787"/>
      <c r="N1028" s="787"/>
      <c r="O1028" s="787"/>
      <c r="P1028" s="787"/>
      <c r="Q1028" s="67"/>
      <c r="R1028" s="67"/>
      <c r="S1028" s="67"/>
      <c r="V1028" s="727"/>
      <c r="AC1028" s="704"/>
      <c r="AD1028" s="821" t="s">
        <v>2923</v>
      </c>
      <c r="AE1028" s="823"/>
      <c r="AF1028" s="823"/>
      <c r="AG1028" s="823"/>
      <c r="AH1028" s="823"/>
      <c r="AI1028" s="823"/>
      <c r="AJ1028" s="823"/>
      <c r="AK1028" s="823"/>
      <c r="AL1028" s="823"/>
      <c r="AM1028" s="823"/>
      <c r="AN1028" s="823"/>
      <c r="AO1028" s="823"/>
      <c r="AP1028" s="823"/>
      <c r="AQ1028" s="823"/>
      <c r="AR1028" s="752" t="str">
        <f>$Q$1</f>
        <v xml:space="preserve">PRINTED:  </v>
      </c>
      <c r="AS1028" s="757">
        <f ca="1">$R$1</f>
        <v>44881.729633912037</v>
      </c>
    </row>
    <row r="1029" spans="1:45" ht="15.75" customHeight="1" x14ac:dyDescent="0.3">
      <c r="B1029" s="792" t="str">
        <f>+A8</f>
        <v>Revised:  10/5/2020</v>
      </c>
      <c r="C1029" s="786"/>
      <c r="D1029" s="786"/>
      <c r="E1029" s="786"/>
      <c r="F1029" s="786"/>
      <c r="G1029" s="786"/>
      <c r="H1029" s="786"/>
      <c r="I1029" s="786"/>
      <c r="J1029" s="786"/>
      <c r="K1029" s="786"/>
      <c r="L1029" s="786"/>
      <c r="M1029" s="786"/>
      <c r="N1029" s="786"/>
      <c r="O1029" s="786"/>
      <c r="P1029" s="786"/>
      <c r="Q1029" s="67"/>
      <c r="R1029" s="67"/>
      <c r="S1029" s="67"/>
      <c r="V1029" s="727"/>
      <c r="AC1029" s="579"/>
      <c r="AD1029" s="786" t="str">
        <f>+$A$8</f>
        <v>Revised:  10/5/2020</v>
      </c>
      <c r="AE1029" s="788"/>
      <c r="AF1029" s="788"/>
      <c r="AG1029" s="788"/>
      <c r="AH1029" s="788"/>
      <c r="AI1029" s="788"/>
      <c r="AJ1029" s="788"/>
      <c r="AK1029" s="788"/>
      <c r="AL1029" s="788"/>
      <c r="AM1029" s="788"/>
      <c r="AN1029" s="788"/>
      <c r="AO1029" s="788"/>
      <c r="AP1029" s="788"/>
      <c r="AQ1029" s="788"/>
      <c r="AR1029" s="139"/>
      <c r="AS1029" s="727"/>
    </row>
    <row r="1030" spans="1:45" ht="15.75" customHeight="1" thickBot="1" x14ac:dyDescent="0.35">
      <c r="B1030" s="793" t="s">
        <v>2676</v>
      </c>
      <c r="C1030" s="794"/>
      <c r="D1030" s="794"/>
      <c r="E1030" s="794"/>
      <c r="F1030" s="794"/>
      <c r="G1030" s="794"/>
      <c r="H1030" s="794"/>
      <c r="I1030" s="794"/>
      <c r="J1030" s="794"/>
      <c r="K1030" s="794"/>
      <c r="L1030" s="794"/>
      <c r="M1030" s="794"/>
      <c r="N1030" s="794"/>
      <c r="O1030" s="794"/>
      <c r="P1030" s="794"/>
      <c r="Q1030" s="67"/>
      <c r="R1030" s="67"/>
      <c r="S1030" s="555"/>
      <c r="V1030" s="727"/>
      <c r="AC1030" s="579"/>
      <c r="AD1030" s="786" t="s">
        <v>2878</v>
      </c>
      <c r="AE1030" s="789"/>
      <c r="AF1030" s="789"/>
      <c r="AG1030" s="789"/>
      <c r="AH1030" s="789"/>
      <c r="AI1030" s="789"/>
      <c r="AJ1030" s="789"/>
      <c r="AK1030" s="789"/>
      <c r="AL1030" s="789"/>
      <c r="AM1030" s="789"/>
      <c r="AN1030" s="789"/>
      <c r="AO1030" s="789"/>
      <c r="AP1030" s="789"/>
      <c r="AQ1030" s="789"/>
      <c r="AS1030" s="727"/>
    </row>
    <row r="1031" spans="1:45" ht="15.75" customHeight="1" thickBot="1" x14ac:dyDescent="0.35">
      <c r="A1031" s="649"/>
      <c r="B1031" s="795" t="s">
        <v>2633</v>
      </c>
      <c r="C1031" s="796"/>
      <c r="D1031" s="796"/>
      <c r="E1031" s="796"/>
      <c r="F1031" s="797"/>
      <c r="G1031" s="795" t="s">
        <v>2674</v>
      </c>
      <c r="H1031" s="796"/>
      <c r="I1031" s="796"/>
      <c r="J1031" s="796"/>
      <c r="K1031" s="796"/>
      <c r="L1031" s="796"/>
      <c r="M1031" s="798" t="s">
        <v>2677</v>
      </c>
      <c r="N1031" s="799"/>
      <c r="O1031" s="799"/>
      <c r="P1031" s="799"/>
      <c r="Q1031" s="799"/>
      <c r="R1031" s="800"/>
      <c r="S1031" s="795" t="s">
        <v>2682</v>
      </c>
      <c r="T1031" s="801"/>
      <c r="U1031" s="802"/>
      <c r="V1031" s="727"/>
      <c r="AC1031" s="579"/>
      <c r="AS1031" s="727"/>
    </row>
    <row r="1032" spans="1:45" ht="15.75" customHeight="1" x14ac:dyDescent="0.3">
      <c r="A1032" s="649"/>
      <c r="B1032" s="553" t="s">
        <v>2439</v>
      </c>
      <c r="C1032" s="70"/>
      <c r="D1032" s="70" t="s">
        <v>336</v>
      </c>
      <c r="E1032" s="70" t="s">
        <v>596</v>
      </c>
      <c r="F1032" s="758" t="s">
        <v>2652</v>
      </c>
      <c r="G1032" s="553" t="s">
        <v>228</v>
      </c>
      <c r="H1032" s="70"/>
      <c r="I1032" s="70"/>
      <c r="J1032" s="70" t="s">
        <v>229</v>
      </c>
      <c r="K1032" s="70" t="s">
        <v>2638</v>
      </c>
      <c r="L1032" s="70" t="s">
        <v>2639</v>
      </c>
      <c r="M1032" s="803" t="s">
        <v>3116</v>
      </c>
      <c r="N1032" s="804"/>
      <c r="O1032" s="805"/>
      <c r="P1032" s="604"/>
      <c r="Q1032" s="599"/>
      <c r="R1032" s="713"/>
      <c r="S1032" s="70" t="s">
        <v>2683</v>
      </c>
      <c r="T1032" s="610" t="s">
        <v>134</v>
      </c>
      <c r="U1032" s="759" t="s">
        <v>2685</v>
      </c>
      <c r="V1032" s="727"/>
      <c r="AC1032" s="579"/>
      <c r="AD1032" s="787">
        <f>$A$5</f>
        <v>2020</v>
      </c>
      <c r="AE1032" s="789"/>
      <c r="AF1032" s="789"/>
      <c r="AG1032" s="789"/>
      <c r="AH1032" s="789"/>
      <c r="AI1032" s="789"/>
      <c r="AJ1032" s="789"/>
      <c r="AK1032" s="789"/>
      <c r="AL1032" s="789"/>
      <c r="AM1032" s="789"/>
      <c r="AN1032" s="789"/>
      <c r="AO1032" s="789"/>
      <c r="AP1032" s="789"/>
      <c r="AQ1032" s="789"/>
      <c r="AS1032" s="727"/>
    </row>
    <row r="1033" spans="1:45" ht="15.75" customHeight="1" x14ac:dyDescent="0.3">
      <c r="A1033" s="649"/>
      <c r="B1033" s="593" t="s">
        <v>2648</v>
      </c>
      <c r="C1033" s="588" t="s">
        <v>2656</v>
      </c>
      <c r="D1033" s="588" t="s">
        <v>2651</v>
      </c>
      <c r="E1033" s="70" t="s">
        <v>335</v>
      </c>
      <c r="F1033" s="760" t="s">
        <v>2653</v>
      </c>
      <c r="G1033" s="553" t="s">
        <v>2463</v>
      </c>
      <c r="H1033" s="70" t="s">
        <v>1416</v>
      </c>
      <c r="I1033" s="70" t="s">
        <v>1417</v>
      </c>
      <c r="J1033" s="588" t="s">
        <v>2632</v>
      </c>
      <c r="K1033" s="70" t="s">
        <v>2634</v>
      </c>
      <c r="L1033" s="588" t="s">
        <v>2637</v>
      </c>
      <c r="M1033" s="603" t="s">
        <v>2679</v>
      </c>
      <c r="N1033" s="604" t="s">
        <v>2680</v>
      </c>
      <c r="O1033" s="761" t="s">
        <v>2356</v>
      </c>
      <c r="P1033" s="604" t="s">
        <v>3112</v>
      </c>
      <c r="Q1033" s="604" t="s">
        <v>3112</v>
      </c>
      <c r="R1033" s="761" t="s">
        <v>3117</v>
      </c>
      <c r="S1033" s="70" t="s">
        <v>2684</v>
      </c>
      <c r="T1033" s="70" t="s">
        <v>2686</v>
      </c>
      <c r="U1033" s="758" t="s">
        <v>2687</v>
      </c>
      <c r="V1033" s="727"/>
      <c r="AC1033" s="579"/>
      <c r="AD1033" s="786" t="s">
        <v>2919</v>
      </c>
      <c r="AE1033" s="788"/>
      <c r="AF1033" s="788"/>
      <c r="AG1033" s="788"/>
      <c r="AH1033" s="788"/>
      <c r="AI1033" s="788"/>
      <c r="AJ1033" s="788"/>
      <c r="AK1033" s="788"/>
      <c r="AL1033" s="788"/>
      <c r="AM1033" s="788"/>
      <c r="AN1033" s="788"/>
      <c r="AO1033" s="788"/>
      <c r="AP1033" s="788"/>
      <c r="AQ1033" s="788"/>
      <c r="AR1033" s="70"/>
      <c r="AS1033" s="727"/>
    </row>
    <row r="1034" spans="1:45" ht="15.75" customHeight="1" x14ac:dyDescent="0.3">
      <c r="A1034" s="649"/>
      <c r="B1034" s="594" t="s">
        <v>2654</v>
      </c>
      <c r="C1034" s="217">
        <v>0</v>
      </c>
      <c r="D1034" s="217"/>
      <c r="E1034" s="70" t="s">
        <v>133</v>
      </c>
      <c r="F1034" s="762" t="s">
        <v>2649</v>
      </c>
      <c r="G1034" s="553" t="s">
        <v>2650</v>
      </c>
      <c r="H1034" s="70" t="s">
        <v>335</v>
      </c>
      <c r="I1034" s="70" t="s">
        <v>335</v>
      </c>
      <c r="J1034" s="70" t="s">
        <v>335</v>
      </c>
      <c r="K1034" s="70" t="s">
        <v>134</v>
      </c>
      <c r="L1034" s="70" t="s">
        <v>2636</v>
      </c>
      <c r="M1034" s="605" t="s">
        <v>955</v>
      </c>
      <c r="N1034" s="599" t="s">
        <v>2681</v>
      </c>
      <c r="O1034" s="761" t="s">
        <v>2688</v>
      </c>
      <c r="P1034" s="599" t="s">
        <v>3113</v>
      </c>
      <c r="Q1034" s="604" t="s">
        <v>3113</v>
      </c>
      <c r="R1034" s="761" t="s">
        <v>2688</v>
      </c>
      <c r="S1034" s="70" t="s">
        <v>335</v>
      </c>
      <c r="T1034" s="70" t="s">
        <v>335</v>
      </c>
      <c r="U1034" s="758" t="s">
        <v>335</v>
      </c>
      <c r="V1034" s="727"/>
      <c r="AC1034" s="579"/>
      <c r="AK1034" s="670"/>
      <c r="AS1034" s="727"/>
    </row>
    <row r="1035" spans="1:45" ht="15.75" customHeight="1" thickBot="1" x14ac:dyDescent="0.35">
      <c r="A1035" s="592" t="s">
        <v>249</v>
      </c>
      <c r="B1035" s="553" t="s">
        <v>998</v>
      </c>
      <c r="C1035" s="70" t="s">
        <v>998</v>
      </c>
      <c r="D1035" s="70" t="s">
        <v>998</v>
      </c>
      <c r="E1035" s="70" t="s">
        <v>998</v>
      </c>
      <c r="F1035" s="758" t="s">
        <v>998</v>
      </c>
      <c r="G1035" s="553" t="s">
        <v>998</v>
      </c>
      <c r="H1035" s="70" t="s">
        <v>998</v>
      </c>
      <c r="I1035" s="70" t="s">
        <v>998</v>
      </c>
      <c r="J1035" s="70" t="s">
        <v>998</v>
      </c>
      <c r="K1035" s="70" t="s">
        <v>998</v>
      </c>
      <c r="L1035" s="70" t="s">
        <v>998</v>
      </c>
      <c r="M1035" s="605" t="s">
        <v>998</v>
      </c>
      <c r="N1035" s="599" t="s">
        <v>998</v>
      </c>
      <c r="O1035" s="761" t="s">
        <v>998</v>
      </c>
      <c r="P1035" s="599" t="s">
        <v>3013</v>
      </c>
      <c r="Q1035" s="604" t="s">
        <v>998</v>
      </c>
      <c r="R1035" s="761" t="s">
        <v>998</v>
      </c>
      <c r="S1035" s="70" t="s">
        <v>998</v>
      </c>
      <c r="T1035" s="70" t="s">
        <v>998</v>
      </c>
      <c r="U1035" s="758" t="s">
        <v>998</v>
      </c>
      <c r="V1035" s="727"/>
      <c r="AC1035" s="579"/>
      <c r="AD1035" s="634" t="s">
        <v>1308</v>
      </c>
      <c r="AE1035" s="634" t="s">
        <v>1309</v>
      </c>
      <c r="AF1035" s="634" t="s">
        <v>1029</v>
      </c>
      <c r="AG1035" s="634" t="s">
        <v>1030</v>
      </c>
      <c r="AH1035" s="634" t="s">
        <v>284</v>
      </c>
      <c r="AI1035" s="634" t="s">
        <v>285</v>
      </c>
      <c r="AJ1035" s="634" t="s">
        <v>286</v>
      </c>
      <c r="AK1035" s="634" t="s">
        <v>287</v>
      </c>
      <c r="AL1035" s="634" t="s">
        <v>288</v>
      </c>
      <c r="AM1035" s="634" t="s">
        <v>289</v>
      </c>
      <c r="AN1035" s="634" t="s">
        <v>633</v>
      </c>
      <c r="AO1035" s="634" t="s">
        <v>634</v>
      </c>
      <c r="AP1035" s="634" t="s">
        <v>1192</v>
      </c>
      <c r="AQ1035" s="634" t="s">
        <v>524</v>
      </c>
      <c r="AR1035" s="634" t="s">
        <v>525</v>
      </c>
      <c r="AS1035" s="684" t="s">
        <v>2356</v>
      </c>
    </row>
    <row r="1036" spans="1:45" ht="15.75" customHeight="1" x14ac:dyDescent="0.3">
      <c r="A1036" s="592" t="s">
        <v>1353</v>
      </c>
      <c r="B1036" s="553" t="s">
        <v>1353</v>
      </c>
      <c r="C1036" s="70" t="s">
        <v>1353</v>
      </c>
      <c r="D1036" s="70" t="s">
        <v>1353</v>
      </c>
      <c r="E1036" s="70" t="s">
        <v>2202</v>
      </c>
      <c r="F1036" s="758" t="s">
        <v>1353</v>
      </c>
      <c r="G1036" s="553" t="s">
        <v>1353</v>
      </c>
      <c r="H1036" s="70" t="s">
        <v>2119</v>
      </c>
      <c r="I1036" s="70" t="s">
        <v>2119</v>
      </c>
      <c r="J1036" s="70" t="s">
        <v>1353</v>
      </c>
      <c r="K1036" s="70" t="s">
        <v>1353</v>
      </c>
      <c r="L1036" s="70" t="s">
        <v>1353</v>
      </c>
      <c r="M1036" s="605" t="s">
        <v>1353</v>
      </c>
      <c r="N1036" s="599" t="s">
        <v>1353</v>
      </c>
      <c r="O1036" s="761" t="s">
        <v>1353</v>
      </c>
      <c r="P1036" s="605" t="s">
        <v>1353</v>
      </c>
      <c r="Q1036" s="599" t="s">
        <v>1353</v>
      </c>
      <c r="R1036" s="761" t="s">
        <v>1353</v>
      </c>
      <c r="S1036" s="70" t="s">
        <v>1353</v>
      </c>
      <c r="T1036" s="70" t="s">
        <v>1353</v>
      </c>
      <c r="U1036" s="758" t="s">
        <v>1353</v>
      </c>
      <c r="V1036" s="727"/>
      <c r="AC1036" s="579"/>
      <c r="AD1036" s="67"/>
      <c r="AE1036" s="67"/>
      <c r="AF1036" s="67"/>
      <c r="AG1036" s="67"/>
      <c r="AH1036" s="70" t="s">
        <v>2910</v>
      </c>
      <c r="AI1036" s="67"/>
      <c r="AJ1036" s="67"/>
      <c r="AK1036" s="67"/>
      <c r="AL1036" s="67"/>
      <c r="AM1036" s="67"/>
      <c r="AN1036" s="67"/>
      <c r="AO1036" s="67"/>
      <c r="AP1036" s="67"/>
      <c r="AQ1036" s="67"/>
      <c r="AR1036" s="67"/>
      <c r="AS1036" s="636"/>
    </row>
    <row r="1037" spans="1:45" ht="15.75" customHeight="1" x14ac:dyDescent="0.3">
      <c r="A1037" s="139" t="s">
        <v>2843</v>
      </c>
      <c r="B1037" s="553">
        <f>ROUND(R1009-G1009,0)</f>
        <v>130392</v>
      </c>
      <c r="C1037" s="70">
        <f>+ROUND(B1037*$C$1034,0)</f>
        <v>0</v>
      </c>
      <c r="D1037" s="70">
        <f>AS1009</f>
        <v>5574</v>
      </c>
      <c r="E1037" s="70">
        <f>+B1037+C1037</f>
        <v>130392</v>
      </c>
      <c r="F1037" s="758">
        <f>(D1037+E1037)</f>
        <v>135966</v>
      </c>
      <c r="G1037" s="553">
        <f>ABS(G1009)</f>
        <v>0</v>
      </c>
      <c r="H1037" s="600">
        <v>9026</v>
      </c>
      <c r="I1037" s="600">
        <v>0</v>
      </c>
      <c r="J1037" s="70">
        <f>(H1037+I1037)</f>
        <v>9026</v>
      </c>
      <c r="K1037" s="600">
        <v>0</v>
      </c>
      <c r="L1037" s="600">
        <v>0</v>
      </c>
      <c r="M1037" s="606">
        <f>D1037+E1037-G1037-J1037-K1037-L1037</f>
        <v>126940</v>
      </c>
      <c r="N1037" s="607">
        <v>0</v>
      </c>
      <c r="O1037" s="761">
        <f>M1037+N1037</f>
        <v>126940</v>
      </c>
      <c r="P1037" s="710">
        <v>0.2</v>
      </c>
      <c r="Q1037" s="599">
        <f>-O1037*P1037</f>
        <v>-25388</v>
      </c>
      <c r="R1037" s="761">
        <f>O1037+Q1037</f>
        <v>101552</v>
      </c>
      <c r="S1037" s="628">
        <f t="shared" ref="S1037:S1048" si="431">(F1037-G1037-J1037-K1037-L1037-R1037)</f>
        <v>25388</v>
      </c>
      <c r="T1037" s="70">
        <f>+IF(S1037&gt;=0,ABS(S1037),"")</f>
        <v>25388</v>
      </c>
      <c r="U1037" s="758" t="str">
        <f>+IF(S1037&lt;=0,ABS(S1037),"")</f>
        <v/>
      </c>
      <c r="V1037" s="727"/>
      <c r="AC1037" s="642" t="s">
        <v>3041</v>
      </c>
      <c r="AD1037" s="687"/>
      <c r="AE1037" s="687"/>
      <c r="AF1037" s="687"/>
      <c r="AG1037" s="687"/>
      <c r="AH1037" s="687">
        <v>1.6E-2</v>
      </c>
      <c r="AI1037" s="687">
        <v>1.6E-2</v>
      </c>
      <c r="AJ1037" s="687">
        <v>1.6E-2</v>
      </c>
      <c r="AK1037" s="687">
        <v>1.6E-2</v>
      </c>
      <c r="AL1037" s="687">
        <v>1.6E-2</v>
      </c>
      <c r="AM1037" s="687">
        <v>1.6E-2</v>
      </c>
      <c r="AN1037" s="687">
        <v>1.6E-2</v>
      </c>
      <c r="AO1037" s="687">
        <v>1.6E-2</v>
      </c>
      <c r="AP1037" s="687">
        <v>1.6E-2</v>
      </c>
      <c r="AQ1037" s="687">
        <v>1.6E-2</v>
      </c>
      <c r="AR1037" s="687">
        <v>1.6E-2</v>
      </c>
      <c r="AS1037" s="592"/>
    </row>
    <row r="1038" spans="1:45" ht="15.75" customHeight="1" x14ac:dyDescent="0.3">
      <c r="A1038" s="139" t="s">
        <v>2091</v>
      </c>
      <c r="B1038" s="553">
        <f>ROUND(R1010-G1010,0)</f>
        <v>138231</v>
      </c>
      <c r="C1038" s="70">
        <f t="shared" ref="C1038:C1048" si="432">+ROUND(B1038*$C$1034,0)</f>
        <v>0</v>
      </c>
      <c r="D1038" s="70">
        <f t="shared" ref="D1038:D1048" si="433">AS1010</f>
        <v>5926</v>
      </c>
      <c r="E1038" s="70">
        <f t="shared" ref="E1038:E1050" si="434">+B1038+C1038</f>
        <v>138231</v>
      </c>
      <c r="F1038" s="758">
        <f t="shared" ref="F1038:F1048" si="435">(D1038+E1038)</f>
        <v>144157</v>
      </c>
      <c r="G1038" s="553">
        <f t="shared" ref="G1038:G1048" si="436">ABS(G1010)</f>
        <v>0</v>
      </c>
      <c r="H1038" s="600">
        <v>10267</v>
      </c>
      <c r="I1038" s="600">
        <v>0</v>
      </c>
      <c r="J1038" s="70">
        <f t="shared" ref="J1038:J1047" si="437">(H1038+I1038)</f>
        <v>10267</v>
      </c>
      <c r="K1038" s="600">
        <v>0</v>
      </c>
      <c r="L1038" s="600">
        <v>0</v>
      </c>
      <c r="M1038" s="606">
        <f t="shared" ref="M1038:M1048" si="438">D1038+E1038-G1038-J1038-K1038-L1038</f>
        <v>133890</v>
      </c>
      <c r="N1038" s="607">
        <v>0</v>
      </c>
      <c r="O1038" s="761">
        <f t="shared" ref="O1038:O1048" si="439">M1038+N1038</f>
        <v>133890</v>
      </c>
      <c r="P1038" s="710">
        <v>0.25</v>
      </c>
      <c r="Q1038" s="599">
        <f t="shared" ref="Q1038:Q1048" si="440">-O1038*P1038</f>
        <v>-33472.5</v>
      </c>
      <c r="R1038" s="761">
        <f t="shared" ref="R1038:R1048" si="441">O1038+Q1038</f>
        <v>100417.5</v>
      </c>
      <c r="S1038" s="628">
        <f t="shared" si="431"/>
        <v>33472.5</v>
      </c>
      <c r="T1038" s="70">
        <f t="shared" ref="T1038:T1048" si="442">+IF(S1038&gt;=0,ABS(S1038),"")</f>
        <v>33472.5</v>
      </c>
      <c r="U1038" s="758" t="str">
        <f t="shared" ref="U1038:U1048" si="443">+IF(S1038&lt;=0,ABS(S1038),"")</f>
        <v/>
      </c>
      <c r="V1038" s="727"/>
      <c r="AC1038" s="642" t="s">
        <v>2908</v>
      </c>
      <c r="AD1038" s="687"/>
      <c r="AE1038" s="687"/>
      <c r="AF1038" s="687"/>
      <c r="AG1038" s="687"/>
      <c r="AH1038" s="687"/>
      <c r="AI1038" s="687"/>
      <c r="AJ1038" s="687"/>
      <c r="AK1038" s="687"/>
      <c r="AL1038" s="687"/>
      <c r="AM1038" s="687"/>
      <c r="AN1038" s="687"/>
      <c r="AO1038" s="687"/>
      <c r="AP1038" s="687"/>
      <c r="AQ1038" s="687"/>
      <c r="AR1038" s="687"/>
      <c r="AS1038" s="592"/>
    </row>
    <row r="1039" spans="1:45" ht="15.75" customHeight="1" x14ac:dyDescent="0.3">
      <c r="A1039" s="139" t="s">
        <v>2234</v>
      </c>
      <c r="B1039" s="553">
        <f t="shared" ref="B1039:B1048" si="444">ROUND(R1011-G1011,0)</f>
        <v>179558</v>
      </c>
      <c r="C1039" s="70">
        <f t="shared" si="432"/>
        <v>0</v>
      </c>
      <c r="D1039" s="70">
        <f t="shared" si="433"/>
        <v>7530</v>
      </c>
      <c r="E1039" s="70">
        <f t="shared" si="434"/>
        <v>179558</v>
      </c>
      <c r="F1039" s="758">
        <f t="shared" si="435"/>
        <v>187088</v>
      </c>
      <c r="G1039" s="553">
        <f t="shared" si="436"/>
        <v>3100.1462468889631</v>
      </c>
      <c r="H1039" s="600">
        <v>15833</v>
      </c>
      <c r="I1039" s="600">
        <v>0</v>
      </c>
      <c r="J1039" s="70">
        <f t="shared" si="437"/>
        <v>15833</v>
      </c>
      <c r="K1039" s="600">
        <v>0</v>
      </c>
      <c r="L1039" s="600">
        <v>0</v>
      </c>
      <c r="M1039" s="606">
        <f t="shared" si="438"/>
        <v>168154.85375311103</v>
      </c>
      <c r="N1039" s="607">
        <v>0</v>
      </c>
      <c r="O1039" s="761">
        <f t="shared" si="439"/>
        <v>168154.85375311103</v>
      </c>
      <c r="P1039" s="710">
        <v>0.3</v>
      </c>
      <c r="Q1039" s="599">
        <f t="shared" si="440"/>
        <v>-50446.456125933306</v>
      </c>
      <c r="R1039" s="761">
        <f t="shared" si="441"/>
        <v>117708.39762717774</v>
      </c>
      <c r="S1039" s="628">
        <f t="shared" si="431"/>
        <v>50446.456125933299</v>
      </c>
      <c r="T1039" s="70">
        <f t="shared" si="442"/>
        <v>50446.456125933299</v>
      </c>
      <c r="U1039" s="758" t="str">
        <f t="shared" si="443"/>
        <v/>
      </c>
      <c r="V1039" s="727"/>
      <c r="AC1039" s="642" t="s">
        <v>2909</v>
      </c>
      <c r="AD1039" s="687"/>
      <c r="AE1039" s="687"/>
      <c r="AF1039" s="687"/>
      <c r="AG1039" s="687"/>
      <c r="AH1039" s="687"/>
      <c r="AI1039" s="687"/>
      <c r="AJ1039" s="687"/>
      <c r="AK1039" s="687"/>
      <c r="AL1039" s="687"/>
      <c r="AM1039" s="687"/>
      <c r="AN1039" s="687"/>
      <c r="AO1039" s="687"/>
      <c r="AP1039" s="687"/>
      <c r="AQ1039" s="687"/>
      <c r="AR1039" s="687"/>
      <c r="AS1039" s="592"/>
    </row>
    <row r="1040" spans="1:45" ht="15.75" customHeight="1" x14ac:dyDescent="0.3">
      <c r="A1040" s="139" t="s">
        <v>2235</v>
      </c>
      <c r="B1040" s="553">
        <f t="shared" si="444"/>
        <v>265837</v>
      </c>
      <c r="C1040" s="70">
        <f t="shared" si="432"/>
        <v>0</v>
      </c>
      <c r="D1040" s="70">
        <f t="shared" si="433"/>
        <v>11598</v>
      </c>
      <c r="E1040" s="70">
        <f t="shared" si="434"/>
        <v>265837</v>
      </c>
      <c r="F1040" s="758">
        <f t="shared" si="435"/>
        <v>277435</v>
      </c>
      <c r="G1040" s="553">
        <f t="shared" si="436"/>
        <v>0</v>
      </c>
      <c r="H1040" s="600">
        <v>15927</v>
      </c>
      <c r="I1040" s="600">
        <v>0</v>
      </c>
      <c r="J1040" s="70">
        <f t="shared" si="437"/>
        <v>15927</v>
      </c>
      <c r="K1040" s="600">
        <v>0</v>
      </c>
      <c r="L1040" s="600">
        <v>0</v>
      </c>
      <c r="M1040" s="606">
        <f t="shared" si="438"/>
        <v>261508</v>
      </c>
      <c r="N1040" s="607">
        <v>-22320</v>
      </c>
      <c r="O1040" s="761">
        <f t="shared" si="439"/>
        <v>239188</v>
      </c>
      <c r="P1040" s="710">
        <v>0.35</v>
      </c>
      <c r="Q1040" s="599">
        <f t="shared" si="440"/>
        <v>-83715.799999999988</v>
      </c>
      <c r="R1040" s="761">
        <f t="shared" si="441"/>
        <v>155472.20000000001</v>
      </c>
      <c r="S1040" s="628">
        <f t="shared" si="431"/>
        <v>106035.79999999999</v>
      </c>
      <c r="T1040" s="70">
        <f t="shared" si="442"/>
        <v>106035.79999999999</v>
      </c>
      <c r="U1040" s="758" t="str">
        <f t="shared" si="443"/>
        <v/>
      </c>
      <c r="V1040" s="727"/>
      <c r="AC1040" s="642" t="s">
        <v>2760</v>
      </c>
      <c r="AD1040" s="687"/>
      <c r="AE1040" s="687"/>
      <c r="AF1040" s="687"/>
      <c r="AG1040" s="687"/>
      <c r="AH1040" s="687"/>
      <c r="AI1040" s="687"/>
      <c r="AJ1040" s="687"/>
      <c r="AK1040" s="687"/>
      <c r="AL1040" s="687"/>
      <c r="AM1040" s="687"/>
      <c r="AN1040" s="687"/>
      <c r="AO1040" s="687"/>
      <c r="AP1040" s="687"/>
      <c r="AQ1040" s="687"/>
      <c r="AR1040" s="687"/>
      <c r="AS1040" s="592"/>
    </row>
    <row r="1041" spans="1:45" ht="15.75" customHeight="1" x14ac:dyDescent="0.3">
      <c r="A1041" s="139" t="s">
        <v>2236</v>
      </c>
      <c r="B1041" s="553">
        <f t="shared" si="444"/>
        <v>305107</v>
      </c>
      <c r="C1041" s="70">
        <f t="shared" si="432"/>
        <v>0</v>
      </c>
      <c r="D1041" s="70">
        <f t="shared" si="433"/>
        <v>13466</v>
      </c>
      <c r="E1041" s="70">
        <f t="shared" si="434"/>
        <v>305107</v>
      </c>
      <c r="F1041" s="758">
        <f t="shared" si="435"/>
        <v>318573</v>
      </c>
      <c r="G1041" s="553">
        <f t="shared" si="436"/>
        <v>1996.3755840241108</v>
      </c>
      <c r="H1041" s="600">
        <v>14250</v>
      </c>
      <c r="I1041" s="600">
        <v>0</v>
      </c>
      <c r="J1041" s="70">
        <f t="shared" si="437"/>
        <v>14250</v>
      </c>
      <c r="K1041" s="600">
        <v>0</v>
      </c>
      <c r="L1041" s="600">
        <v>0</v>
      </c>
      <c r="M1041" s="606">
        <f t="shared" si="438"/>
        <v>302326.62441597588</v>
      </c>
      <c r="N1041" s="607">
        <v>0</v>
      </c>
      <c r="O1041" s="761">
        <f t="shared" si="439"/>
        <v>302326.62441597588</v>
      </c>
      <c r="P1041" s="710">
        <v>0.35</v>
      </c>
      <c r="Q1041" s="599">
        <f t="shared" si="440"/>
        <v>-105814.31854559155</v>
      </c>
      <c r="R1041" s="761">
        <f t="shared" si="441"/>
        <v>196512.30587038433</v>
      </c>
      <c r="S1041" s="628">
        <f t="shared" si="431"/>
        <v>105814.31854559155</v>
      </c>
      <c r="T1041" s="70">
        <f t="shared" si="442"/>
        <v>105814.31854559155</v>
      </c>
      <c r="U1041" s="758" t="str">
        <f t="shared" si="443"/>
        <v/>
      </c>
      <c r="V1041" s="727"/>
      <c r="AC1041" s="642" t="s">
        <v>1114</v>
      </c>
      <c r="AD1041" s="687"/>
      <c r="AE1041" s="687"/>
      <c r="AF1041" s="687"/>
      <c r="AG1041" s="687"/>
      <c r="AH1041" s="687"/>
      <c r="AI1041" s="687"/>
      <c r="AJ1041" s="687">
        <v>2.5000000000000001E-2</v>
      </c>
      <c r="AK1041" s="687">
        <v>2.5000000000000001E-2</v>
      </c>
      <c r="AL1041" s="687">
        <v>2.5000000000000001E-2</v>
      </c>
      <c r="AM1041" s="687">
        <v>2.5000000000000001E-2</v>
      </c>
      <c r="AN1041" s="687">
        <v>2.5000000000000001E-2</v>
      </c>
      <c r="AO1041" s="687">
        <v>2.5000000000000001E-2</v>
      </c>
      <c r="AP1041" s="687">
        <v>2.5000000000000001E-2</v>
      </c>
      <c r="AQ1041" s="687">
        <v>2.5000000000000001E-2</v>
      </c>
      <c r="AR1041" s="687">
        <v>2.5000000000000001E-2</v>
      </c>
      <c r="AS1041" s="592"/>
    </row>
    <row r="1042" spans="1:45" ht="15.75" customHeight="1" x14ac:dyDescent="0.3">
      <c r="A1042" s="139" t="s">
        <v>2237</v>
      </c>
      <c r="B1042" s="553">
        <f>ROUND(R1014-G1014,0)</f>
        <v>201624</v>
      </c>
      <c r="C1042" s="70">
        <f t="shared" si="432"/>
        <v>0</v>
      </c>
      <c r="D1042" s="70">
        <f t="shared" si="433"/>
        <v>8605</v>
      </c>
      <c r="E1042" s="70">
        <f t="shared" si="434"/>
        <v>201624</v>
      </c>
      <c r="F1042" s="758">
        <f t="shared" si="435"/>
        <v>210229</v>
      </c>
      <c r="G1042" s="553">
        <f t="shared" si="436"/>
        <v>12410.699140919369</v>
      </c>
      <c r="H1042" s="600">
        <v>12696</v>
      </c>
      <c r="I1042" s="600">
        <v>0</v>
      </c>
      <c r="J1042" s="70">
        <f t="shared" si="437"/>
        <v>12696</v>
      </c>
      <c r="K1042" s="600">
        <v>0</v>
      </c>
      <c r="L1042" s="600">
        <v>0</v>
      </c>
      <c r="M1042" s="606">
        <f t="shared" si="438"/>
        <v>185122.30085908063</v>
      </c>
      <c r="N1042" s="607">
        <v>47280</v>
      </c>
      <c r="O1042" s="761">
        <f t="shared" si="439"/>
        <v>232402.30085908063</v>
      </c>
      <c r="P1042" s="710">
        <v>7.4999999999999997E-2</v>
      </c>
      <c r="Q1042" s="599">
        <f t="shared" si="440"/>
        <v>-17430.172564431046</v>
      </c>
      <c r="R1042" s="761">
        <f t="shared" si="441"/>
        <v>214972.12829464959</v>
      </c>
      <c r="S1042" s="628">
        <f t="shared" si="431"/>
        <v>-29849.827435568965</v>
      </c>
      <c r="T1042" s="70" t="str">
        <f t="shared" si="442"/>
        <v/>
      </c>
      <c r="U1042" s="758">
        <f t="shared" si="443"/>
        <v>29849.827435568965</v>
      </c>
      <c r="V1042" s="727"/>
      <c r="AC1042" s="642" t="s">
        <v>2356</v>
      </c>
      <c r="AD1042" s="217">
        <f>SUM(AD1037:AD1041)</f>
        <v>0</v>
      </c>
      <c r="AE1042" s="217">
        <f t="shared" ref="AE1042:AR1042" si="445">SUM(AE1037:AE1041)</f>
        <v>0</v>
      </c>
      <c r="AF1042" s="217">
        <f t="shared" si="445"/>
        <v>0</v>
      </c>
      <c r="AG1042" s="217">
        <f t="shared" si="445"/>
        <v>0</v>
      </c>
      <c r="AH1042" s="217">
        <f t="shared" si="445"/>
        <v>1.6E-2</v>
      </c>
      <c r="AI1042" s="217">
        <f t="shared" si="445"/>
        <v>1.6E-2</v>
      </c>
      <c r="AJ1042" s="217">
        <f t="shared" si="445"/>
        <v>4.1000000000000002E-2</v>
      </c>
      <c r="AK1042" s="217">
        <f t="shared" si="445"/>
        <v>4.1000000000000002E-2</v>
      </c>
      <c r="AL1042" s="217">
        <f t="shared" si="445"/>
        <v>4.1000000000000002E-2</v>
      </c>
      <c r="AM1042" s="217">
        <f t="shared" si="445"/>
        <v>4.1000000000000002E-2</v>
      </c>
      <c r="AN1042" s="217">
        <f t="shared" si="445"/>
        <v>4.1000000000000002E-2</v>
      </c>
      <c r="AO1042" s="217">
        <f t="shared" si="445"/>
        <v>4.1000000000000002E-2</v>
      </c>
      <c r="AP1042" s="217">
        <f t="shared" si="445"/>
        <v>4.1000000000000002E-2</v>
      </c>
      <c r="AQ1042" s="217">
        <f t="shared" si="445"/>
        <v>4.1000000000000002E-2</v>
      </c>
      <c r="AR1042" s="217">
        <f t="shared" si="445"/>
        <v>4.1000000000000002E-2</v>
      </c>
      <c r="AS1042" s="592"/>
    </row>
    <row r="1043" spans="1:45" ht="15.75" customHeight="1" x14ac:dyDescent="0.3">
      <c r="A1043" s="139" t="s">
        <v>1504</v>
      </c>
      <c r="B1043" s="553">
        <f t="shared" si="444"/>
        <v>156279</v>
      </c>
      <c r="C1043" s="70">
        <f t="shared" si="432"/>
        <v>0</v>
      </c>
      <c r="D1043" s="70">
        <f t="shared" si="433"/>
        <v>6450</v>
      </c>
      <c r="E1043" s="70">
        <f t="shared" si="434"/>
        <v>156279</v>
      </c>
      <c r="F1043" s="758">
        <f t="shared" si="435"/>
        <v>162729</v>
      </c>
      <c r="G1043" s="553">
        <f t="shared" si="436"/>
        <v>13614.857272042198</v>
      </c>
      <c r="H1043" s="600">
        <v>11620</v>
      </c>
      <c r="I1043" s="600">
        <v>0</v>
      </c>
      <c r="J1043" s="70">
        <f t="shared" si="437"/>
        <v>11620</v>
      </c>
      <c r="K1043" s="600">
        <v>0</v>
      </c>
      <c r="L1043" s="600">
        <v>0</v>
      </c>
      <c r="M1043" s="606">
        <f t="shared" si="438"/>
        <v>137494.14272795781</v>
      </c>
      <c r="N1043" s="607">
        <v>47120</v>
      </c>
      <c r="O1043" s="761">
        <f t="shared" si="439"/>
        <v>184614.14272795781</v>
      </c>
      <c r="P1043" s="710">
        <v>0.05</v>
      </c>
      <c r="Q1043" s="599">
        <f t="shared" si="440"/>
        <v>-9230.7071363978903</v>
      </c>
      <c r="R1043" s="761">
        <f t="shared" si="441"/>
        <v>175383.43559155992</v>
      </c>
      <c r="S1043" s="628">
        <f t="shared" si="431"/>
        <v>-37889.29286360211</v>
      </c>
      <c r="T1043" s="70" t="str">
        <f t="shared" si="442"/>
        <v/>
      </c>
      <c r="U1043" s="758">
        <f t="shared" si="443"/>
        <v>37889.29286360211</v>
      </c>
      <c r="V1043" s="727"/>
      <c r="AC1043" s="553" t="s">
        <v>1353</v>
      </c>
      <c r="AD1043" s="70" t="s">
        <v>1353</v>
      </c>
      <c r="AE1043" s="70" t="s">
        <v>1353</v>
      </c>
      <c r="AF1043" s="70" t="s">
        <v>1353</v>
      </c>
      <c r="AG1043" s="70" t="s">
        <v>1353</v>
      </c>
      <c r="AH1043" s="70" t="s">
        <v>1353</v>
      </c>
      <c r="AI1043" s="70" t="s">
        <v>1353</v>
      </c>
      <c r="AJ1043" s="70" t="s">
        <v>1353</v>
      </c>
      <c r="AK1043" s="70" t="s">
        <v>1353</v>
      </c>
      <c r="AL1043" s="70" t="s">
        <v>1353</v>
      </c>
      <c r="AM1043" s="70" t="s">
        <v>1353</v>
      </c>
      <c r="AN1043" s="70" t="s">
        <v>1353</v>
      </c>
      <c r="AO1043" s="70" t="s">
        <v>1353</v>
      </c>
      <c r="AP1043" s="70" t="s">
        <v>1353</v>
      </c>
      <c r="AQ1043" s="70" t="s">
        <v>1353</v>
      </c>
      <c r="AR1043" s="70" t="s">
        <v>1353</v>
      </c>
      <c r="AS1043" s="592" t="s">
        <v>1353</v>
      </c>
    </row>
    <row r="1044" spans="1:45" ht="15.75" customHeight="1" x14ac:dyDescent="0.3">
      <c r="A1044" s="139" t="s">
        <v>1505</v>
      </c>
      <c r="B1044" s="553">
        <f t="shared" si="444"/>
        <v>133340</v>
      </c>
      <c r="C1044" s="70">
        <f t="shared" si="432"/>
        <v>0</v>
      </c>
      <c r="D1044" s="70">
        <f t="shared" si="433"/>
        <v>5442</v>
      </c>
      <c r="E1044" s="70">
        <f t="shared" si="434"/>
        <v>133340</v>
      </c>
      <c r="F1044" s="758">
        <f t="shared" si="435"/>
        <v>138782</v>
      </c>
      <c r="G1044" s="553">
        <f t="shared" si="436"/>
        <v>11453.254799565662</v>
      </c>
      <c r="H1044" s="600">
        <v>10241</v>
      </c>
      <c r="I1044" s="600">
        <v>0</v>
      </c>
      <c r="J1044" s="70">
        <f t="shared" si="437"/>
        <v>10241</v>
      </c>
      <c r="K1044" s="600">
        <v>0</v>
      </c>
      <c r="L1044" s="600">
        <v>0</v>
      </c>
      <c r="M1044" s="606">
        <f t="shared" si="438"/>
        <v>117087.74520043434</v>
      </c>
      <c r="N1044" s="607">
        <v>58776</v>
      </c>
      <c r="O1044" s="761">
        <f t="shared" si="439"/>
        <v>175863.74520043435</v>
      </c>
      <c r="P1044" s="710">
        <v>0</v>
      </c>
      <c r="Q1044" s="599">
        <f t="shared" si="440"/>
        <v>0</v>
      </c>
      <c r="R1044" s="761">
        <f t="shared" si="441"/>
        <v>175863.74520043435</v>
      </c>
      <c r="S1044" s="628">
        <f t="shared" si="431"/>
        <v>-58776.000000000015</v>
      </c>
      <c r="T1044" s="70" t="str">
        <f t="shared" si="442"/>
        <v/>
      </c>
      <c r="U1044" s="758">
        <f t="shared" si="443"/>
        <v>58776.000000000015</v>
      </c>
      <c r="V1044" s="727"/>
      <c r="AC1044" s="642" t="s">
        <v>2843</v>
      </c>
      <c r="AD1044" s="67">
        <f>ROUND(B1009*$AD$1042, 0)</f>
        <v>0</v>
      </c>
      <c r="AE1044" s="67">
        <f>ROUND(C1009*$AE$1042,0)</f>
        <v>0</v>
      </c>
      <c r="AF1044" s="67">
        <f>ROUND(D1009*$AF$1042,0)</f>
        <v>0</v>
      </c>
      <c r="AG1044" s="67">
        <f>ROUND(E1009*$AG$1042,0)</f>
        <v>0</v>
      </c>
      <c r="AH1044" s="67">
        <f>ROUND(F1009*$AH$1042,0)</f>
        <v>71</v>
      </c>
      <c r="AI1044" s="67">
        <f>ROUND(H1009*$AI$1042,0)</f>
        <v>46</v>
      </c>
      <c r="AJ1044" s="67">
        <f>ROUND(I1009*$AJ$1042,0)</f>
        <v>93</v>
      </c>
      <c r="AK1044" s="67">
        <f>ROUND(J1009*$AK$1042,0)</f>
        <v>145</v>
      </c>
      <c r="AL1044" s="67">
        <f>ROUND(K1009*$AL$1042,0)</f>
        <v>150</v>
      </c>
      <c r="AM1044" s="67">
        <f>ROUND(L1009*$AM$1042,0)</f>
        <v>39</v>
      </c>
      <c r="AN1044" s="67">
        <f>ROUND(M1009*$AN$1042,0)</f>
        <v>46</v>
      </c>
      <c r="AO1044" s="67">
        <f>ROUND(N1009*$AO$1042,0)</f>
        <v>94</v>
      </c>
      <c r="AP1044" s="67">
        <f>ROUND(O1009*$AP$1042,0)</f>
        <v>28</v>
      </c>
      <c r="AQ1044" s="67">
        <f>ROUND(P1009*$AQ$1042,0)</f>
        <v>57</v>
      </c>
      <c r="AR1044" s="67">
        <f>ROUND(Q1009*$AR$1042,0)</f>
        <v>66</v>
      </c>
      <c r="AS1044" s="636">
        <f>SUM(AD1044:AR1044)</f>
        <v>835</v>
      </c>
    </row>
    <row r="1045" spans="1:45" ht="15.75" customHeight="1" x14ac:dyDescent="0.3">
      <c r="A1045" s="139" t="s">
        <v>1506</v>
      </c>
      <c r="B1045" s="553">
        <f t="shared" si="444"/>
        <v>274196</v>
      </c>
      <c r="C1045" s="70">
        <f t="shared" si="432"/>
        <v>0</v>
      </c>
      <c r="D1045" s="70">
        <f t="shared" si="433"/>
        <v>11975</v>
      </c>
      <c r="E1045" s="70">
        <f t="shared" si="434"/>
        <v>274196</v>
      </c>
      <c r="F1045" s="758">
        <f t="shared" si="435"/>
        <v>286171</v>
      </c>
      <c r="G1045" s="553">
        <f t="shared" si="436"/>
        <v>323.86723620566795</v>
      </c>
      <c r="H1045" s="600">
        <v>10229</v>
      </c>
      <c r="I1045" s="600">
        <v>0</v>
      </c>
      <c r="J1045" s="70">
        <f t="shared" si="437"/>
        <v>10229</v>
      </c>
      <c r="K1045" s="600">
        <v>0</v>
      </c>
      <c r="L1045" s="600">
        <v>0</v>
      </c>
      <c r="M1045" s="606">
        <f t="shared" si="438"/>
        <v>275618.13276379433</v>
      </c>
      <c r="N1045" s="607">
        <v>0</v>
      </c>
      <c r="O1045" s="761">
        <f t="shared" si="439"/>
        <v>275618.13276379433</v>
      </c>
      <c r="P1045" s="710">
        <v>0.05</v>
      </c>
      <c r="Q1045" s="599">
        <f t="shared" si="440"/>
        <v>-13780.906638189717</v>
      </c>
      <c r="R1045" s="761">
        <f t="shared" si="441"/>
        <v>261837.22612560462</v>
      </c>
      <c r="S1045" s="628">
        <f t="shared" si="431"/>
        <v>13780.906638189714</v>
      </c>
      <c r="T1045" s="70">
        <f t="shared" si="442"/>
        <v>13780.906638189714</v>
      </c>
      <c r="U1045" s="758" t="str">
        <f t="shared" si="443"/>
        <v/>
      </c>
      <c r="V1045" s="727"/>
      <c r="AC1045" s="642" t="s">
        <v>2091</v>
      </c>
      <c r="AD1045" s="67">
        <f t="shared" ref="AD1045:AD1055" si="446">ROUND(B1010*$AD$1042, 0)</f>
        <v>0</v>
      </c>
      <c r="AE1045" s="67">
        <f t="shared" ref="AE1045:AE1055" si="447">ROUND(C1010*$AE$1042,0)</f>
        <v>0</v>
      </c>
      <c r="AF1045" s="67">
        <f t="shared" ref="AF1045:AF1055" si="448">ROUND(D1010*$AF$1042,0)</f>
        <v>0</v>
      </c>
      <c r="AG1045" s="67">
        <f t="shared" ref="AG1045:AG1055" si="449">ROUND(E1010*$AG$1042,0)</f>
        <v>0</v>
      </c>
      <c r="AH1045" s="67">
        <f t="shared" ref="AH1045:AH1055" si="450">ROUND(F1010*$AH$1042,0)</f>
        <v>9</v>
      </c>
      <c r="AI1045" s="67">
        <f t="shared" ref="AI1045:AI1055" si="451">ROUND(H1010*$AI$1042,0)</f>
        <v>74</v>
      </c>
      <c r="AJ1045" s="67">
        <f t="shared" ref="AJ1045:AJ1055" si="452">ROUND(I1010*$AJ$1042,0)</f>
        <v>151</v>
      </c>
      <c r="AK1045" s="67">
        <f t="shared" ref="AK1045:AK1055" si="453">ROUND(J1010*$AK$1042,0)</f>
        <v>233</v>
      </c>
      <c r="AL1045" s="67">
        <f t="shared" ref="AL1045:AL1055" si="454">ROUND(K1010*$AL$1042,0)</f>
        <v>241</v>
      </c>
      <c r="AM1045" s="67">
        <f t="shared" ref="AM1045:AM1055" si="455">ROUND(L1010*$AM$1042,0)</f>
        <v>77</v>
      </c>
      <c r="AN1045" s="67">
        <f t="shared" ref="AN1045:AN1055" si="456">ROUND(M1010*$AN$1042,0)</f>
        <v>90</v>
      </c>
      <c r="AO1045" s="67">
        <f t="shared" ref="AO1045:AO1055" si="457">ROUND(N1010*$AO$1042,0)</f>
        <v>175</v>
      </c>
      <c r="AP1045" s="67">
        <f t="shared" ref="AP1045:AP1055" si="458">ROUND(O1010*$AP$1042,0)</f>
        <v>30</v>
      </c>
      <c r="AQ1045" s="67">
        <f t="shared" ref="AQ1045:AQ1055" si="459">ROUND(P1010*$AQ$1042,0)</f>
        <v>55</v>
      </c>
      <c r="AR1045" s="67">
        <f t="shared" ref="AR1045:AR1055" si="460">ROUND(Q1010*$AR$1042,0)</f>
        <v>71</v>
      </c>
      <c r="AS1045" s="636">
        <f t="shared" ref="AS1045:AS1055" si="461">SUM(AD1045:AR1045)</f>
        <v>1206</v>
      </c>
    </row>
    <row r="1046" spans="1:45" ht="15.75" customHeight="1" x14ac:dyDescent="0.3">
      <c r="A1046" s="139" t="s">
        <v>1507</v>
      </c>
      <c r="B1046" s="553">
        <f t="shared" si="444"/>
        <v>266580</v>
      </c>
      <c r="C1046" s="70">
        <f t="shared" si="432"/>
        <v>0</v>
      </c>
      <c r="D1046" s="70">
        <f t="shared" si="433"/>
        <v>11573</v>
      </c>
      <c r="E1046" s="70">
        <f t="shared" si="434"/>
        <v>266580</v>
      </c>
      <c r="F1046" s="758">
        <f t="shared" si="435"/>
        <v>278153</v>
      </c>
      <c r="G1046" s="553">
        <f t="shared" si="436"/>
        <v>2.5762773172569688</v>
      </c>
      <c r="H1046" s="600">
        <v>10104</v>
      </c>
      <c r="I1046" s="600">
        <v>0</v>
      </c>
      <c r="J1046" s="70">
        <f t="shared" si="437"/>
        <v>10104</v>
      </c>
      <c r="K1046" s="600">
        <v>0</v>
      </c>
      <c r="L1046" s="600">
        <v>0</v>
      </c>
      <c r="M1046" s="606">
        <f t="shared" si="438"/>
        <v>268046.42372268275</v>
      </c>
      <c r="N1046" s="607">
        <v>0</v>
      </c>
      <c r="O1046" s="761">
        <f t="shared" si="439"/>
        <v>268046.42372268275</v>
      </c>
      <c r="P1046" s="710">
        <v>0.2</v>
      </c>
      <c r="Q1046" s="599">
        <f t="shared" si="440"/>
        <v>-53609.284744536555</v>
      </c>
      <c r="R1046" s="761">
        <f t="shared" si="441"/>
        <v>214437.13897814619</v>
      </c>
      <c r="S1046" s="628">
        <f t="shared" si="431"/>
        <v>53609.284744536562</v>
      </c>
      <c r="T1046" s="70">
        <f t="shared" si="442"/>
        <v>53609.284744536562</v>
      </c>
      <c r="U1046" s="758" t="str">
        <f t="shared" si="443"/>
        <v/>
      </c>
      <c r="V1046" s="727"/>
      <c r="AC1046" s="642" t="s">
        <v>2234</v>
      </c>
      <c r="AD1046" s="67">
        <f t="shared" si="446"/>
        <v>0</v>
      </c>
      <c r="AE1046" s="67">
        <f t="shared" si="447"/>
        <v>0</v>
      </c>
      <c r="AF1046" s="67">
        <f t="shared" si="448"/>
        <v>0</v>
      </c>
      <c r="AG1046" s="67">
        <f t="shared" si="449"/>
        <v>0</v>
      </c>
      <c r="AH1046" s="67">
        <f t="shared" si="450"/>
        <v>83</v>
      </c>
      <c r="AI1046" s="67">
        <f t="shared" si="451"/>
        <v>101</v>
      </c>
      <c r="AJ1046" s="67">
        <f t="shared" si="452"/>
        <v>200</v>
      </c>
      <c r="AK1046" s="67">
        <f t="shared" si="453"/>
        <v>290</v>
      </c>
      <c r="AL1046" s="67">
        <f t="shared" si="454"/>
        <v>293</v>
      </c>
      <c r="AM1046" s="67">
        <f t="shared" si="455"/>
        <v>88</v>
      </c>
      <c r="AN1046" s="67">
        <f t="shared" si="456"/>
        <v>104</v>
      </c>
      <c r="AO1046" s="67">
        <f t="shared" si="457"/>
        <v>208</v>
      </c>
      <c r="AP1046" s="67">
        <f t="shared" si="458"/>
        <v>30</v>
      </c>
      <c r="AQ1046" s="67">
        <f t="shared" si="459"/>
        <v>61</v>
      </c>
      <c r="AR1046" s="67">
        <f t="shared" si="460"/>
        <v>72</v>
      </c>
      <c r="AS1046" s="636">
        <f t="shared" si="461"/>
        <v>1530</v>
      </c>
    </row>
    <row r="1047" spans="1:45" ht="15.75" customHeight="1" x14ac:dyDescent="0.3">
      <c r="A1047" s="139" t="s">
        <v>1508</v>
      </c>
      <c r="B1047" s="553">
        <f t="shared" si="444"/>
        <v>195626</v>
      </c>
      <c r="C1047" s="70">
        <f t="shared" si="432"/>
        <v>0</v>
      </c>
      <c r="D1047" s="70">
        <f t="shared" si="433"/>
        <v>8477</v>
      </c>
      <c r="E1047" s="70">
        <f t="shared" si="434"/>
        <v>195626</v>
      </c>
      <c r="F1047" s="758">
        <f t="shared" si="435"/>
        <v>204103</v>
      </c>
      <c r="G1047" s="553">
        <f t="shared" si="436"/>
        <v>650.74574227580933</v>
      </c>
      <c r="H1047" s="600">
        <v>10826</v>
      </c>
      <c r="I1047" s="600">
        <v>0</v>
      </c>
      <c r="J1047" s="70">
        <f t="shared" si="437"/>
        <v>10826</v>
      </c>
      <c r="K1047" s="600">
        <v>0</v>
      </c>
      <c r="L1047" s="600">
        <v>0</v>
      </c>
      <c r="M1047" s="606">
        <f t="shared" si="438"/>
        <v>192626.25425772418</v>
      </c>
      <c r="N1047" s="607">
        <v>0</v>
      </c>
      <c r="O1047" s="761">
        <f t="shared" si="439"/>
        <v>192626.25425772418</v>
      </c>
      <c r="P1047" s="710">
        <v>0.2</v>
      </c>
      <c r="Q1047" s="599">
        <f t="shared" si="440"/>
        <v>-38525.250851544835</v>
      </c>
      <c r="R1047" s="761">
        <f t="shared" si="441"/>
        <v>154101.00340617934</v>
      </c>
      <c r="S1047" s="628">
        <f t="shared" si="431"/>
        <v>38525.250851544843</v>
      </c>
      <c r="T1047" s="70">
        <f t="shared" si="442"/>
        <v>38525.250851544843</v>
      </c>
      <c r="U1047" s="758" t="str">
        <f t="shared" si="443"/>
        <v/>
      </c>
      <c r="V1047" s="727"/>
      <c r="AC1047" s="642" t="s">
        <v>2235</v>
      </c>
      <c r="AD1047" s="67">
        <f t="shared" si="446"/>
        <v>0</v>
      </c>
      <c r="AE1047" s="67">
        <f t="shared" si="447"/>
        <v>0</v>
      </c>
      <c r="AF1047" s="67">
        <f t="shared" si="448"/>
        <v>0</v>
      </c>
      <c r="AG1047" s="67">
        <f t="shared" si="449"/>
        <v>0</v>
      </c>
      <c r="AH1047" s="67">
        <f t="shared" si="450"/>
        <v>13</v>
      </c>
      <c r="AI1047" s="67">
        <f t="shared" si="451"/>
        <v>164</v>
      </c>
      <c r="AJ1047" s="67">
        <f t="shared" si="452"/>
        <v>320</v>
      </c>
      <c r="AK1047" s="67">
        <f t="shared" si="453"/>
        <v>380</v>
      </c>
      <c r="AL1047" s="67">
        <f t="shared" si="454"/>
        <v>330</v>
      </c>
      <c r="AM1047" s="67">
        <f t="shared" si="455"/>
        <v>98</v>
      </c>
      <c r="AN1047" s="67">
        <f t="shared" si="456"/>
        <v>116</v>
      </c>
      <c r="AO1047" s="67">
        <f t="shared" si="457"/>
        <v>219</v>
      </c>
      <c r="AP1047" s="67">
        <f t="shared" si="458"/>
        <v>33</v>
      </c>
      <c r="AQ1047" s="67">
        <f t="shared" si="459"/>
        <v>73</v>
      </c>
      <c r="AR1047" s="67">
        <f t="shared" si="460"/>
        <v>79</v>
      </c>
      <c r="AS1047" s="636">
        <f t="shared" si="461"/>
        <v>1825</v>
      </c>
    </row>
    <row r="1048" spans="1:45" ht="15.75" customHeight="1" x14ac:dyDescent="0.3">
      <c r="A1048" s="139" t="s">
        <v>1509</v>
      </c>
      <c r="B1048" s="553">
        <f t="shared" si="444"/>
        <v>216219</v>
      </c>
      <c r="C1048" s="70">
        <f t="shared" si="432"/>
        <v>0</v>
      </c>
      <c r="D1048" s="70">
        <f t="shared" si="433"/>
        <v>9224</v>
      </c>
      <c r="E1048" s="70">
        <f t="shared" si="434"/>
        <v>216219</v>
      </c>
      <c r="F1048" s="758">
        <f t="shared" si="435"/>
        <v>225443</v>
      </c>
      <c r="G1048" s="553">
        <f t="shared" si="436"/>
        <v>0</v>
      </c>
      <c r="H1048" s="600">
        <v>6676</v>
      </c>
      <c r="I1048" s="600">
        <v>0</v>
      </c>
      <c r="J1048" s="70">
        <f>(H1048+I1048)</f>
        <v>6676</v>
      </c>
      <c r="K1048" s="600">
        <v>0</v>
      </c>
      <c r="L1048" s="600">
        <v>0</v>
      </c>
      <c r="M1048" s="606">
        <f t="shared" si="438"/>
        <v>218767</v>
      </c>
      <c r="N1048" s="607">
        <v>0</v>
      </c>
      <c r="O1048" s="761">
        <f t="shared" si="439"/>
        <v>218767</v>
      </c>
      <c r="P1048" s="710">
        <v>0.2</v>
      </c>
      <c r="Q1048" s="599">
        <f t="shared" si="440"/>
        <v>-43753.4</v>
      </c>
      <c r="R1048" s="761">
        <f t="shared" si="441"/>
        <v>175013.6</v>
      </c>
      <c r="S1048" s="628">
        <f t="shared" si="431"/>
        <v>43753.399999999994</v>
      </c>
      <c r="T1048" s="70">
        <f t="shared" si="442"/>
        <v>43753.399999999994</v>
      </c>
      <c r="U1048" s="758" t="str">
        <f t="shared" si="443"/>
        <v/>
      </c>
      <c r="V1048" s="727"/>
      <c r="AC1048" s="642" t="s">
        <v>2236</v>
      </c>
      <c r="AD1048" s="67">
        <f t="shared" si="446"/>
        <v>0</v>
      </c>
      <c r="AE1048" s="67">
        <f t="shared" si="447"/>
        <v>0</v>
      </c>
      <c r="AF1048" s="67">
        <f t="shared" si="448"/>
        <v>0</v>
      </c>
      <c r="AG1048" s="67">
        <f t="shared" si="449"/>
        <v>0</v>
      </c>
      <c r="AH1048" s="67">
        <f t="shared" si="450"/>
        <v>0</v>
      </c>
      <c r="AI1048" s="67">
        <f t="shared" si="451"/>
        <v>197</v>
      </c>
      <c r="AJ1048" s="67">
        <f t="shared" si="452"/>
        <v>287</v>
      </c>
      <c r="AK1048" s="67">
        <f t="shared" si="453"/>
        <v>362</v>
      </c>
      <c r="AL1048" s="67">
        <f t="shared" si="454"/>
        <v>323</v>
      </c>
      <c r="AM1048" s="67">
        <f t="shared" si="455"/>
        <v>97</v>
      </c>
      <c r="AN1048" s="67">
        <f t="shared" si="456"/>
        <v>114</v>
      </c>
      <c r="AO1048" s="67">
        <f t="shared" si="457"/>
        <v>222</v>
      </c>
      <c r="AP1048" s="67">
        <f t="shared" si="458"/>
        <v>31</v>
      </c>
      <c r="AQ1048" s="67">
        <f t="shared" si="459"/>
        <v>96</v>
      </c>
      <c r="AR1048" s="67">
        <f t="shared" si="460"/>
        <v>73</v>
      </c>
      <c r="AS1048" s="636">
        <f t="shared" si="461"/>
        <v>1802</v>
      </c>
    </row>
    <row r="1049" spans="1:45" ht="15.75" customHeight="1" x14ac:dyDescent="0.3">
      <c r="A1049" s="592" t="s">
        <v>2435</v>
      </c>
      <c r="B1049" s="553" t="s">
        <v>2435</v>
      </c>
      <c r="C1049" s="70"/>
      <c r="D1049" s="70"/>
      <c r="E1049" s="70" t="s">
        <v>852</v>
      </c>
      <c r="F1049" s="758"/>
      <c r="G1049" s="553"/>
      <c r="H1049" s="70"/>
      <c r="I1049" s="70" t="s">
        <v>852</v>
      </c>
      <c r="J1049" s="70" t="s">
        <v>852</v>
      </c>
      <c r="K1049" s="601"/>
      <c r="L1049" s="70"/>
      <c r="M1049" s="606"/>
      <c r="N1049" s="607"/>
      <c r="O1049" s="761"/>
      <c r="P1049" s="710"/>
      <c r="Q1049" s="607"/>
      <c r="R1049" s="761"/>
      <c r="S1049" s="628"/>
      <c r="T1049" s="70"/>
      <c r="U1049" s="758"/>
      <c r="V1049" s="727"/>
      <c r="AC1049" s="642" t="s">
        <v>2237</v>
      </c>
      <c r="AD1049" s="67">
        <f t="shared" si="446"/>
        <v>0</v>
      </c>
      <c r="AE1049" s="67">
        <f t="shared" si="447"/>
        <v>0</v>
      </c>
      <c r="AF1049" s="67">
        <f t="shared" si="448"/>
        <v>0</v>
      </c>
      <c r="AG1049" s="67">
        <f t="shared" si="449"/>
        <v>0</v>
      </c>
      <c r="AH1049" s="67">
        <f t="shared" si="450"/>
        <v>0</v>
      </c>
      <c r="AI1049" s="67">
        <f t="shared" si="451"/>
        <v>215</v>
      </c>
      <c r="AJ1049" s="67">
        <f t="shared" si="452"/>
        <v>305</v>
      </c>
      <c r="AK1049" s="67">
        <f t="shared" si="453"/>
        <v>334</v>
      </c>
      <c r="AL1049" s="67">
        <f t="shared" si="454"/>
        <v>283</v>
      </c>
      <c r="AM1049" s="67">
        <f t="shared" si="455"/>
        <v>96</v>
      </c>
      <c r="AN1049" s="67">
        <f t="shared" si="456"/>
        <v>113</v>
      </c>
      <c r="AO1049" s="67">
        <f t="shared" si="457"/>
        <v>212</v>
      </c>
      <c r="AP1049" s="67">
        <f t="shared" si="458"/>
        <v>33</v>
      </c>
      <c r="AQ1049" s="67">
        <f t="shared" si="459"/>
        <v>98</v>
      </c>
      <c r="AR1049" s="67">
        <f t="shared" si="460"/>
        <v>79</v>
      </c>
      <c r="AS1049" s="636">
        <f t="shared" si="461"/>
        <v>1768</v>
      </c>
    </row>
    <row r="1050" spans="1:45" ht="16.5" customHeight="1" thickBot="1" x14ac:dyDescent="0.35">
      <c r="A1050" s="596" t="s">
        <v>2356</v>
      </c>
      <c r="B1050" s="558">
        <f>SUM(B1037:B1048)</f>
        <v>2462989</v>
      </c>
      <c r="C1050" s="564">
        <f>+SUM(C1037:C1048)</f>
        <v>0</v>
      </c>
      <c r="D1050" s="564">
        <f>SUM(D1037:D1048)</f>
        <v>105840</v>
      </c>
      <c r="E1050" s="564">
        <f t="shared" si="434"/>
        <v>2462989</v>
      </c>
      <c r="F1050" s="602">
        <f>SUM(F1037:F1048)</f>
        <v>2568829</v>
      </c>
      <c r="G1050" s="558">
        <f>SUM(G1037:G1048)</f>
        <v>43552.522299239034</v>
      </c>
      <c r="H1050" s="564">
        <f>SUM(H1037:H1048)</f>
        <v>137695</v>
      </c>
      <c r="I1050" s="564">
        <f>SUM(I1037:I1048)</f>
        <v>0</v>
      </c>
      <c r="J1050" s="564">
        <f>(H1050+I1050)</f>
        <v>137695</v>
      </c>
      <c r="K1050" s="564">
        <f>SUM(K1037:K1048)</f>
        <v>0</v>
      </c>
      <c r="L1050" s="564">
        <f>SUM(L1037:L1048)</f>
        <v>0</v>
      </c>
      <c r="M1050" s="608">
        <f>SUM(M1037:M1048)</f>
        <v>2387581.4777007611</v>
      </c>
      <c r="N1050" s="609">
        <f>SUM(N1037:N1048)</f>
        <v>130856</v>
      </c>
      <c r="O1050" s="631">
        <f>+M1050+N1050</f>
        <v>2518437.4777007611</v>
      </c>
      <c r="P1050" s="711">
        <f>Q1050/O1050</f>
        <v>-0.18867524042742342</v>
      </c>
      <c r="Q1050" s="616">
        <f>SUM(Q1037:Q1048)</f>
        <v>-475166.79660662491</v>
      </c>
      <c r="R1050" s="631">
        <f>SUM(R1037:R1048)</f>
        <v>2043270.6810941363</v>
      </c>
      <c r="S1050" s="629">
        <f>(F1050-G1050-J1050-K1050-L1050-R1050)</f>
        <v>344310.79660662473</v>
      </c>
      <c r="T1050" s="564">
        <f>+SUM(T1037:T1048)</f>
        <v>470825.91690579592</v>
      </c>
      <c r="U1050" s="602">
        <f>+SUM(U1037:U1048)</f>
        <v>126515.12029917109</v>
      </c>
      <c r="V1050" s="727"/>
      <c r="AC1050" s="642" t="s">
        <v>1504</v>
      </c>
      <c r="AD1050" s="67">
        <f t="shared" si="446"/>
        <v>0</v>
      </c>
      <c r="AE1050" s="67">
        <f t="shared" si="447"/>
        <v>0</v>
      </c>
      <c r="AF1050" s="67">
        <f t="shared" si="448"/>
        <v>0</v>
      </c>
      <c r="AG1050" s="67">
        <f t="shared" si="449"/>
        <v>0</v>
      </c>
      <c r="AH1050" s="67">
        <f t="shared" si="450"/>
        <v>0</v>
      </c>
      <c r="AI1050" s="67">
        <f t="shared" si="451"/>
        <v>201</v>
      </c>
      <c r="AJ1050" s="67">
        <f t="shared" si="452"/>
        <v>343</v>
      </c>
      <c r="AK1050" s="67">
        <f t="shared" si="453"/>
        <v>367</v>
      </c>
      <c r="AL1050" s="67">
        <f t="shared" si="454"/>
        <v>316</v>
      </c>
      <c r="AM1050" s="67">
        <f t="shared" si="455"/>
        <v>91</v>
      </c>
      <c r="AN1050" s="67">
        <f t="shared" si="456"/>
        <v>107</v>
      </c>
      <c r="AO1050" s="67">
        <f t="shared" si="457"/>
        <v>217</v>
      </c>
      <c r="AP1050" s="67">
        <f t="shared" si="458"/>
        <v>32</v>
      </c>
      <c r="AQ1050" s="67">
        <f t="shared" si="459"/>
        <v>94</v>
      </c>
      <c r="AR1050" s="67">
        <f t="shared" si="460"/>
        <v>75</v>
      </c>
      <c r="AS1050" s="636">
        <f t="shared" si="461"/>
        <v>1843</v>
      </c>
    </row>
    <row r="1051" spans="1:45" ht="15.75" customHeight="1" x14ac:dyDescent="0.3">
      <c r="A1051" s="579"/>
      <c r="B1051" s="67"/>
      <c r="C1051" s="67"/>
      <c r="D1051" s="67"/>
      <c r="E1051" s="67"/>
      <c r="F1051" s="67" t="s">
        <v>2435</v>
      </c>
      <c r="G1051" s="67"/>
      <c r="H1051" s="67"/>
      <c r="I1051" s="67"/>
      <c r="K1051" s="67"/>
      <c r="L1051" s="67"/>
      <c r="M1051" s="219"/>
      <c r="O1051" s="703"/>
      <c r="P1051" s="701"/>
      <c r="V1051" s="727"/>
      <c r="AC1051" s="642" t="s">
        <v>1505</v>
      </c>
      <c r="AD1051" s="67">
        <f t="shared" si="446"/>
        <v>0</v>
      </c>
      <c r="AE1051" s="67">
        <f t="shared" si="447"/>
        <v>0</v>
      </c>
      <c r="AF1051" s="67">
        <f t="shared" si="448"/>
        <v>0</v>
      </c>
      <c r="AG1051" s="67">
        <f t="shared" si="449"/>
        <v>0</v>
      </c>
      <c r="AH1051" s="67">
        <f t="shared" si="450"/>
        <v>0</v>
      </c>
      <c r="AI1051" s="67">
        <f t="shared" si="451"/>
        <v>178</v>
      </c>
      <c r="AJ1051" s="67">
        <f t="shared" si="452"/>
        <v>320</v>
      </c>
      <c r="AK1051" s="67">
        <f t="shared" si="453"/>
        <v>357</v>
      </c>
      <c r="AL1051" s="67">
        <f t="shared" si="454"/>
        <v>295</v>
      </c>
      <c r="AM1051" s="67">
        <f t="shared" si="455"/>
        <v>83</v>
      </c>
      <c r="AN1051" s="67">
        <f t="shared" si="456"/>
        <v>97</v>
      </c>
      <c r="AO1051" s="67">
        <f t="shared" si="457"/>
        <v>186</v>
      </c>
      <c r="AP1051" s="67">
        <f t="shared" si="458"/>
        <v>31</v>
      </c>
      <c r="AQ1051" s="67">
        <f t="shared" si="459"/>
        <v>93</v>
      </c>
      <c r="AR1051" s="67">
        <f t="shared" si="460"/>
        <v>72</v>
      </c>
      <c r="AS1051" s="636">
        <f t="shared" si="461"/>
        <v>1712</v>
      </c>
    </row>
    <row r="1052" spans="1:45" ht="15.75" customHeight="1" x14ac:dyDescent="0.3">
      <c r="A1052" s="551" t="s">
        <v>2640</v>
      </c>
      <c r="P1052" s="67"/>
      <c r="Q1052" s="67"/>
      <c r="R1052" s="67"/>
      <c r="V1052" s="727"/>
      <c r="AC1052" s="642" t="s">
        <v>1506</v>
      </c>
      <c r="AD1052" s="67">
        <f t="shared" si="446"/>
        <v>0</v>
      </c>
      <c r="AE1052" s="67">
        <f t="shared" si="447"/>
        <v>0</v>
      </c>
      <c r="AF1052" s="67">
        <f t="shared" si="448"/>
        <v>0</v>
      </c>
      <c r="AG1052" s="67">
        <f t="shared" si="449"/>
        <v>0</v>
      </c>
      <c r="AH1052" s="67">
        <f t="shared" si="450"/>
        <v>91</v>
      </c>
      <c r="AI1052" s="67">
        <f t="shared" si="451"/>
        <v>116</v>
      </c>
      <c r="AJ1052" s="67">
        <f t="shared" si="452"/>
        <v>244</v>
      </c>
      <c r="AK1052" s="67">
        <f t="shared" si="453"/>
        <v>256</v>
      </c>
      <c r="AL1052" s="67">
        <f t="shared" si="454"/>
        <v>245</v>
      </c>
      <c r="AM1052" s="67">
        <f t="shared" si="455"/>
        <v>73</v>
      </c>
      <c r="AN1052" s="67">
        <f t="shared" si="456"/>
        <v>86</v>
      </c>
      <c r="AO1052" s="67">
        <f t="shared" si="457"/>
        <v>174</v>
      </c>
      <c r="AP1052" s="67">
        <f t="shared" si="458"/>
        <v>32</v>
      </c>
      <c r="AQ1052" s="67">
        <f t="shared" si="459"/>
        <v>70</v>
      </c>
      <c r="AR1052" s="67">
        <f t="shared" si="460"/>
        <v>76</v>
      </c>
      <c r="AS1052" s="636">
        <f t="shared" si="461"/>
        <v>1463</v>
      </c>
    </row>
    <row r="1053" spans="1:45" ht="15.75" customHeight="1" x14ac:dyDescent="0.3">
      <c r="A1053" s="551" t="s">
        <v>1660</v>
      </c>
      <c r="D1053" s="67"/>
      <c r="E1053" s="67"/>
      <c r="F1053" s="67"/>
      <c r="G1053" s="67"/>
      <c r="H1053" s="67"/>
      <c r="I1053" s="67"/>
      <c r="J1053" s="67"/>
      <c r="K1053" s="67"/>
      <c r="L1053" s="67"/>
      <c r="M1053" s="67"/>
      <c r="N1053" s="67"/>
      <c r="O1053" s="67"/>
      <c r="P1053" s="67"/>
      <c r="Q1053" s="67"/>
      <c r="R1053" s="67"/>
      <c r="V1053" s="727"/>
      <c r="AC1053" s="642" t="s">
        <v>1507</v>
      </c>
      <c r="AD1053" s="67">
        <f t="shared" si="446"/>
        <v>0</v>
      </c>
      <c r="AE1053" s="67">
        <f t="shared" si="447"/>
        <v>0</v>
      </c>
      <c r="AF1053" s="67">
        <f t="shared" si="448"/>
        <v>0</v>
      </c>
      <c r="AG1053" s="67">
        <f t="shared" si="449"/>
        <v>0</v>
      </c>
      <c r="AH1053" s="67">
        <f t="shared" si="450"/>
        <v>178</v>
      </c>
      <c r="AI1053" s="67">
        <f t="shared" si="451"/>
        <v>83</v>
      </c>
      <c r="AJ1053" s="67">
        <f t="shared" si="452"/>
        <v>119</v>
      </c>
      <c r="AK1053" s="67">
        <f t="shared" si="453"/>
        <v>166</v>
      </c>
      <c r="AL1053" s="67">
        <f t="shared" si="454"/>
        <v>159</v>
      </c>
      <c r="AM1053" s="67">
        <f t="shared" si="455"/>
        <v>49</v>
      </c>
      <c r="AN1053" s="67">
        <f t="shared" si="456"/>
        <v>57</v>
      </c>
      <c r="AO1053" s="67">
        <f t="shared" si="457"/>
        <v>114</v>
      </c>
      <c r="AP1053" s="67">
        <f t="shared" si="458"/>
        <v>31</v>
      </c>
      <c r="AQ1053" s="67">
        <f t="shared" si="459"/>
        <v>66</v>
      </c>
      <c r="AR1053" s="67">
        <f t="shared" si="460"/>
        <v>74</v>
      </c>
      <c r="AS1053" s="636">
        <f t="shared" si="461"/>
        <v>1096</v>
      </c>
    </row>
    <row r="1054" spans="1:45" ht="15.75" customHeight="1" x14ac:dyDescent="0.3">
      <c r="A1054" s="551" t="s">
        <v>2853</v>
      </c>
      <c r="D1054" s="67"/>
      <c r="E1054" s="67"/>
      <c r="F1054" s="67"/>
      <c r="G1054" s="67"/>
      <c r="H1054" s="67"/>
      <c r="I1054" s="67"/>
      <c r="J1054" s="67"/>
      <c r="K1054" s="67"/>
      <c r="L1054" s="67"/>
      <c r="M1054" s="67"/>
      <c r="N1054" s="67"/>
      <c r="O1054" s="67"/>
      <c r="P1054" s="67"/>
      <c r="Q1054" s="67"/>
      <c r="R1054" s="67"/>
      <c r="V1054" s="727"/>
      <c r="AC1054" s="642" t="s">
        <v>1508</v>
      </c>
      <c r="AD1054" s="67">
        <f t="shared" si="446"/>
        <v>0</v>
      </c>
      <c r="AE1054" s="67">
        <f t="shared" si="447"/>
        <v>0</v>
      </c>
      <c r="AF1054" s="67">
        <f t="shared" si="448"/>
        <v>0</v>
      </c>
      <c r="AG1054" s="67">
        <f t="shared" si="449"/>
        <v>0</v>
      </c>
      <c r="AH1054" s="67">
        <f t="shared" si="450"/>
        <v>198</v>
      </c>
      <c r="AI1054" s="67">
        <f t="shared" si="451"/>
        <v>39</v>
      </c>
      <c r="AJ1054" s="67">
        <f t="shared" si="452"/>
        <v>28</v>
      </c>
      <c r="AK1054" s="67">
        <f t="shared" si="453"/>
        <v>38</v>
      </c>
      <c r="AL1054" s="67">
        <f t="shared" si="454"/>
        <v>35</v>
      </c>
      <c r="AM1054" s="67">
        <f t="shared" si="455"/>
        <v>7</v>
      </c>
      <c r="AN1054" s="67">
        <f t="shared" si="456"/>
        <v>8</v>
      </c>
      <c r="AO1054" s="67">
        <f t="shared" si="457"/>
        <v>17</v>
      </c>
      <c r="AP1054" s="67">
        <f t="shared" si="458"/>
        <v>11</v>
      </c>
      <c r="AQ1054" s="67">
        <f t="shared" si="459"/>
        <v>60</v>
      </c>
      <c r="AR1054" s="67">
        <f t="shared" si="460"/>
        <v>26</v>
      </c>
      <c r="AS1054" s="636">
        <f t="shared" si="461"/>
        <v>467</v>
      </c>
    </row>
    <row r="1055" spans="1:45" ht="15.75" customHeight="1" thickBot="1" x14ac:dyDescent="0.35">
      <c r="A1055" s="554" t="s">
        <v>2626</v>
      </c>
      <c r="B1055" s="581"/>
      <c r="C1055" s="581"/>
      <c r="D1055" s="555"/>
      <c r="E1055" s="555"/>
      <c r="F1055" s="555"/>
      <c r="G1055" s="555"/>
      <c r="H1055" s="555"/>
      <c r="I1055" s="555"/>
      <c r="J1055" s="555"/>
      <c r="K1055" s="555"/>
      <c r="L1055" s="555"/>
      <c r="M1055" s="555"/>
      <c r="N1055" s="555"/>
      <c r="O1055" s="555"/>
      <c r="P1055" s="555"/>
      <c r="Q1055" s="555"/>
      <c r="R1055" s="555"/>
      <c r="S1055" s="581"/>
      <c r="T1055" s="581"/>
      <c r="U1055" s="581"/>
      <c r="V1055" s="565"/>
      <c r="AC1055" s="642" t="s">
        <v>1509</v>
      </c>
      <c r="AD1055" s="67">
        <f t="shared" si="446"/>
        <v>0</v>
      </c>
      <c r="AE1055" s="67">
        <f t="shared" si="447"/>
        <v>0</v>
      </c>
      <c r="AF1055" s="67">
        <f t="shared" si="448"/>
        <v>0</v>
      </c>
      <c r="AG1055" s="67">
        <f t="shared" si="449"/>
        <v>0</v>
      </c>
      <c r="AH1055" s="67">
        <f t="shared" si="450"/>
        <v>175</v>
      </c>
      <c r="AI1055" s="67">
        <f t="shared" si="451"/>
        <v>60</v>
      </c>
      <c r="AJ1055" s="67">
        <f t="shared" si="452"/>
        <v>117</v>
      </c>
      <c r="AK1055" s="67">
        <f t="shared" si="453"/>
        <v>160</v>
      </c>
      <c r="AL1055" s="67">
        <f t="shared" si="454"/>
        <v>160</v>
      </c>
      <c r="AM1055" s="67">
        <f t="shared" si="455"/>
        <v>53</v>
      </c>
      <c r="AN1055" s="67">
        <f t="shared" si="456"/>
        <v>62</v>
      </c>
      <c r="AO1055" s="67">
        <f t="shared" si="457"/>
        <v>127</v>
      </c>
      <c r="AP1055" s="67">
        <f t="shared" si="458"/>
        <v>40</v>
      </c>
      <c r="AQ1055" s="67">
        <f t="shared" si="459"/>
        <v>53</v>
      </c>
      <c r="AR1055" s="67">
        <f t="shared" si="460"/>
        <v>95</v>
      </c>
      <c r="AS1055" s="636">
        <f t="shared" si="461"/>
        <v>1102</v>
      </c>
    </row>
    <row r="1056" spans="1:45" ht="15.75" customHeight="1" thickBot="1" x14ac:dyDescent="0.35">
      <c r="A1056" s="551"/>
      <c r="D1056" s="67"/>
      <c r="E1056" s="67"/>
      <c r="F1056" s="67"/>
      <c r="G1056" s="67"/>
      <c r="H1056" s="67"/>
      <c r="I1056" s="67"/>
      <c r="J1056" s="67"/>
      <c r="K1056" s="67"/>
      <c r="L1056" s="67"/>
      <c r="M1056" s="67"/>
      <c r="N1056" s="67"/>
      <c r="O1056" s="67"/>
      <c r="P1056" s="67"/>
      <c r="Q1056" s="67"/>
      <c r="R1056" s="67"/>
      <c r="S1056" s="703"/>
      <c r="V1056" s="705"/>
      <c r="AC1056" s="579"/>
      <c r="AD1056" s="67"/>
      <c r="AE1056" s="67"/>
      <c r="AF1056" s="67"/>
      <c r="AG1056" s="67"/>
      <c r="AH1056" s="67"/>
      <c r="AI1056" s="67"/>
      <c r="AJ1056" s="67"/>
      <c r="AK1056" s="67"/>
      <c r="AL1056" s="67"/>
      <c r="AM1056" s="67"/>
      <c r="AN1056" s="67"/>
      <c r="AO1056" s="67"/>
      <c r="AP1056" s="67"/>
      <c r="AQ1056" s="67"/>
      <c r="AR1056" s="67"/>
      <c r="AS1056" s="636"/>
    </row>
    <row r="1057" spans="1:45" ht="15.75" customHeight="1" thickBot="1" x14ac:dyDescent="0.35">
      <c r="A1057" s="139"/>
      <c r="B1057" s="806" t="s">
        <v>2689</v>
      </c>
      <c r="C1057" s="807"/>
      <c r="D1057" s="807"/>
      <c r="E1057" s="807"/>
      <c r="F1057" s="807"/>
      <c r="G1057" s="807"/>
      <c r="H1057" s="807"/>
      <c r="I1057" s="807"/>
      <c r="J1057" s="807"/>
      <c r="K1057" s="807"/>
      <c r="L1057" s="807"/>
      <c r="M1057" s="807"/>
      <c r="N1057" s="807"/>
      <c r="O1057" s="807"/>
      <c r="P1057" s="807"/>
      <c r="Q1057" s="701"/>
      <c r="R1057" s="701"/>
      <c r="S1057" s="705"/>
      <c r="T1057" s="703"/>
      <c r="U1057" s="703"/>
      <c r="V1057" s="702"/>
      <c r="AC1057" s="644" t="s">
        <v>2356</v>
      </c>
      <c r="AD1057" s="555">
        <f>SUM(AD1044:AD1055)</f>
        <v>0</v>
      </c>
      <c r="AE1057" s="555">
        <f t="shared" ref="AE1057:AS1057" si="462">SUM(AE1044:AE1055)</f>
        <v>0</v>
      </c>
      <c r="AF1057" s="555">
        <f t="shared" si="462"/>
        <v>0</v>
      </c>
      <c r="AG1057" s="555">
        <f t="shared" si="462"/>
        <v>0</v>
      </c>
      <c r="AH1057" s="555">
        <f t="shared" si="462"/>
        <v>818</v>
      </c>
      <c r="AI1057" s="555">
        <f t="shared" si="462"/>
        <v>1474</v>
      </c>
      <c r="AJ1057" s="555">
        <f t="shared" si="462"/>
        <v>2527</v>
      </c>
      <c r="AK1057" s="555">
        <f t="shared" si="462"/>
        <v>3088</v>
      </c>
      <c r="AL1057" s="555">
        <f t="shared" si="462"/>
        <v>2830</v>
      </c>
      <c r="AM1057" s="555">
        <f t="shared" si="462"/>
        <v>851</v>
      </c>
      <c r="AN1057" s="555">
        <f t="shared" si="462"/>
        <v>1000</v>
      </c>
      <c r="AO1057" s="555">
        <f t="shared" si="462"/>
        <v>1965</v>
      </c>
      <c r="AP1057" s="555">
        <f t="shared" si="462"/>
        <v>362</v>
      </c>
      <c r="AQ1057" s="555">
        <f t="shared" si="462"/>
        <v>876</v>
      </c>
      <c r="AR1057" s="555">
        <f t="shared" si="462"/>
        <v>858</v>
      </c>
      <c r="AS1057" s="637">
        <f t="shared" si="462"/>
        <v>16649</v>
      </c>
    </row>
    <row r="1058" spans="1:45" ht="15.75" customHeight="1" thickBot="1" x14ac:dyDescent="0.35">
      <c r="A1058" s="139"/>
      <c r="B1058" s="795" t="s">
        <v>2633</v>
      </c>
      <c r="C1058" s="796"/>
      <c r="D1058" s="796"/>
      <c r="E1058" s="796"/>
      <c r="F1058" s="797"/>
      <c r="G1058" s="795" t="s">
        <v>2674</v>
      </c>
      <c r="H1058" s="796"/>
      <c r="I1058" s="796"/>
      <c r="J1058" s="796"/>
      <c r="K1058" s="796"/>
      <c r="L1058" s="796"/>
      <c r="M1058" s="798" t="s">
        <v>2677</v>
      </c>
      <c r="N1058" s="811"/>
      <c r="O1058" s="811"/>
      <c r="P1058" s="799"/>
      <c r="Q1058" s="799"/>
      <c r="R1058" s="800"/>
      <c r="S1058" s="795" t="s">
        <v>2682</v>
      </c>
      <c r="T1058" s="801"/>
      <c r="U1058" s="802"/>
      <c r="V1058" s="727"/>
    </row>
    <row r="1059" spans="1:45" ht="15.75" customHeight="1" x14ac:dyDescent="0.3">
      <c r="A1059" s="592"/>
      <c r="B1059" s="553" t="s">
        <v>2439</v>
      </c>
      <c r="C1059" s="70"/>
      <c r="D1059" s="70" t="s">
        <v>336</v>
      </c>
      <c r="E1059" s="70" t="s">
        <v>596</v>
      </c>
      <c r="F1059" s="758" t="s">
        <v>2652</v>
      </c>
      <c r="G1059" s="553" t="s">
        <v>228</v>
      </c>
      <c r="H1059" s="70"/>
      <c r="I1059" s="70"/>
      <c r="J1059" s="70" t="s">
        <v>229</v>
      </c>
      <c r="K1059" s="70" t="s">
        <v>2638</v>
      </c>
      <c r="L1059" s="70" t="s">
        <v>2639</v>
      </c>
      <c r="M1059" s="808" t="str">
        <f>+M1032</f>
        <v>(NE)* per WAPA</v>
      </c>
      <c r="N1059" s="809"/>
      <c r="O1059" s="809"/>
      <c r="P1059" s="715"/>
      <c r="Q1059" s="599"/>
      <c r="R1059" s="761"/>
      <c r="S1059" s="553" t="s">
        <v>2683</v>
      </c>
      <c r="T1059" s="610" t="s">
        <v>134</v>
      </c>
      <c r="U1059" s="759" t="s">
        <v>2685</v>
      </c>
      <c r="V1059" s="727"/>
    </row>
    <row r="1060" spans="1:45" ht="15.75" customHeight="1" x14ac:dyDescent="0.3">
      <c r="A1060" s="592"/>
      <c r="B1060" s="593" t="s">
        <v>2648</v>
      </c>
      <c r="C1060" s="588" t="s">
        <v>2656</v>
      </c>
      <c r="D1060" s="588" t="s">
        <v>2651</v>
      </c>
      <c r="E1060" s="70" t="s">
        <v>335</v>
      </c>
      <c r="F1060" s="760" t="s">
        <v>2653</v>
      </c>
      <c r="G1060" s="553" t="s">
        <v>2463</v>
      </c>
      <c r="H1060" s="70" t="s">
        <v>1416</v>
      </c>
      <c r="I1060" s="70" t="s">
        <v>1417</v>
      </c>
      <c r="J1060" s="588" t="s">
        <v>2632</v>
      </c>
      <c r="K1060" s="70" t="s">
        <v>2634</v>
      </c>
      <c r="L1060" s="588" t="s">
        <v>2637</v>
      </c>
      <c r="M1060" s="603" t="s">
        <v>2679</v>
      </c>
      <c r="N1060" s="604" t="s">
        <v>2680</v>
      </c>
      <c r="O1060" s="599" t="s">
        <v>2356</v>
      </c>
      <c r="P1060" s="603" t="s">
        <v>3112</v>
      </c>
      <c r="Q1060" s="604" t="s">
        <v>3112</v>
      </c>
      <c r="R1060" s="761" t="s">
        <v>3117</v>
      </c>
      <c r="S1060" s="553" t="s">
        <v>2684</v>
      </c>
      <c r="T1060" s="70" t="s">
        <v>2686</v>
      </c>
      <c r="U1060" s="758" t="s">
        <v>2687</v>
      </c>
      <c r="V1060" s="727"/>
    </row>
    <row r="1061" spans="1:45" ht="15.75" customHeight="1" x14ac:dyDescent="0.3">
      <c r="A1061" s="592"/>
      <c r="B1061" s="594" t="s">
        <v>2654</v>
      </c>
      <c r="C1061" s="217">
        <v>5.0000000000000001E-3</v>
      </c>
      <c r="D1061" s="217">
        <v>4.2999999999999997E-2</v>
      </c>
      <c r="E1061" s="70" t="s">
        <v>133</v>
      </c>
      <c r="F1061" s="762" t="s">
        <v>2649</v>
      </c>
      <c r="G1061" s="553" t="s">
        <v>2650</v>
      </c>
      <c r="H1061" s="70" t="s">
        <v>335</v>
      </c>
      <c r="I1061" s="70" t="s">
        <v>335</v>
      </c>
      <c r="J1061" s="70" t="s">
        <v>335</v>
      </c>
      <c r="K1061" s="70" t="s">
        <v>134</v>
      </c>
      <c r="L1061" s="70" t="s">
        <v>2636</v>
      </c>
      <c r="M1061" s="605" t="s">
        <v>955</v>
      </c>
      <c r="N1061" s="599" t="s">
        <v>2681</v>
      </c>
      <c r="O1061" s="599" t="s">
        <v>2688</v>
      </c>
      <c r="P1061" s="605" t="s">
        <v>3113</v>
      </c>
      <c r="Q1061" s="604" t="s">
        <v>3113</v>
      </c>
      <c r="R1061" s="761" t="s">
        <v>2688</v>
      </c>
      <c r="S1061" s="553" t="s">
        <v>335</v>
      </c>
      <c r="T1061" s="70" t="s">
        <v>335</v>
      </c>
      <c r="U1061" s="758" t="s">
        <v>335</v>
      </c>
      <c r="V1061" s="727"/>
    </row>
    <row r="1062" spans="1:45" ht="15.75" customHeight="1" x14ac:dyDescent="0.3">
      <c r="A1062" s="592" t="s">
        <v>249</v>
      </c>
      <c r="B1062" s="553" t="s">
        <v>2695</v>
      </c>
      <c r="C1062" s="70" t="s">
        <v>2695</v>
      </c>
      <c r="D1062" s="70" t="s">
        <v>2695</v>
      </c>
      <c r="E1062" s="70" t="s">
        <v>2695</v>
      </c>
      <c r="F1062" s="70" t="s">
        <v>2695</v>
      </c>
      <c r="G1062" s="553" t="s">
        <v>2695</v>
      </c>
      <c r="H1062" s="70" t="s">
        <v>2695</v>
      </c>
      <c r="I1062" s="70" t="s">
        <v>2695</v>
      </c>
      <c r="J1062" s="70" t="s">
        <v>2695</v>
      </c>
      <c r="K1062" s="70" t="s">
        <v>2695</v>
      </c>
      <c r="L1062" s="70" t="s">
        <v>2695</v>
      </c>
      <c r="M1062" s="605" t="s">
        <v>2695</v>
      </c>
      <c r="N1062" s="599" t="s">
        <v>2696</v>
      </c>
      <c r="O1062" s="599" t="s">
        <v>2695</v>
      </c>
      <c r="P1062" s="605" t="s">
        <v>3013</v>
      </c>
      <c r="Q1062" s="604" t="s">
        <v>998</v>
      </c>
      <c r="R1062" s="761" t="s">
        <v>998</v>
      </c>
      <c r="S1062" s="553" t="s">
        <v>2695</v>
      </c>
      <c r="T1062" s="70" t="s">
        <v>2695</v>
      </c>
      <c r="U1062" s="758" t="s">
        <v>2695</v>
      </c>
      <c r="V1062" s="727"/>
    </row>
    <row r="1063" spans="1:45" ht="15.75" customHeight="1" x14ac:dyDescent="0.3">
      <c r="A1063" s="592" t="s">
        <v>1353</v>
      </c>
      <c r="B1063" s="553" t="s">
        <v>1353</v>
      </c>
      <c r="C1063" s="70" t="s">
        <v>1353</v>
      </c>
      <c r="D1063" s="70" t="s">
        <v>1353</v>
      </c>
      <c r="E1063" s="70" t="s">
        <v>2202</v>
      </c>
      <c r="F1063" s="758" t="s">
        <v>1353</v>
      </c>
      <c r="G1063" s="553" t="s">
        <v>1353</v>
      </c>
      <c r="H1063" s="70" t="s">
        <v>2119</v>
      </c>
      <c r="I1063" s="70" t="s">
        <v>2119</v>
      </c>
      <c r="J1063" s="70" t="s">
        <v>1353</v>
      </c>
      <c r="K1063" s="70" t="s">
        <v>1353</v>
      </c>
      <c r="L1063" s="70" t="s">
        <v>1353</v>
      </c>
      <c r="M1063" s="605" t="s">
        <v>1353</v>
      </c>
      <c r="N1063" s="599" t="s">
        <v>1353</v>
      </c>
      <c r="O1063" s="599" t="s">
        <v>1353</v>
      </c>
      <c r="P1063" s="605" t="s">
        <v>1353</v>
      </c>
      <c r="Q1063" s="599" t="s">
        <v>1353</v>
      </c>
      <c r="R1063" s="761" t="s">
        <v>1353</v>
      </c>
      <c r="S1063" s="553" t="s">
        <v>1353</v>
      </c>
      <c r="T1063" s="70" t="s">
        <v>1353</v>
      </c>
      <c r="U1063" s="758" t="s">
        <v>1353</v>
      </c>
      <c r="V1063" s="727"/>
    </row>
    <row r="1064" spans="1:45" ht="15.75" customHeight="1" x14ac:dyDescent="0.3">
      <c r="A1064" s="139" t="s">
        <v>2843</v>
      </c>
      <c r="B1064" s="553">
        <f>+B1037/($B$10*24)</f>
        <v>175.25806451612902</v>
      </c>
      <c r="C1064" s="70">
        <f t="shared" ref="C1064:L1064" si="463">+C1037/($B$10*24)</f>
        <v>0</v>
      </c>
      <c r="D1064" s="70">
        <f t="shared" si="463"/>
        <v>7.491935483870968</v>
      </c>
      <c r="E1064" s="70">
        <f t="shared" si="463"/>
        <v>175.25806451612902</v>
      </c>
      <c r="F1064" s="758">
        <f t="shared" si="463"/>
        <v>182.75</v>
      </c>
      <c r="G1064" s="70">
        <f t="shared" si="463"/>
        <v>0</v>
      </c>
      <c r="H1064" s="70">
        <f t="shared" si="463"/>
        <v>12.131720430107526</v>
      </c>
      <c r="I1064" s="70">
        <f t="shared" si="463"/>
        <v>0</v>
      </c>
      <c r="J1064" s="70">
        <f t="shared" si="463"/>
        <v>12.131720430107526</v>
      </c>
      <c r="K1064" s="70">
        <f t="shared" si="463"/>
        <v>0</v>
      </c>
      <c r="L1064" s="70">
        <f t="shared" si="463"/>
        <v>0</v>
      </c>
      <c r="M1064" s="605">
        <f>+M1037/($B$10*24)</f>
        <v>170.61827956989248</v>
      </c>
      <c r="N1064" s="599">
        <f t="shared" ref="N1064" si="464">+N1037/($B$10*24)</f>
        <v>0</v>
      </c>
      <c r="O1064" s="599">
        <f>+O1037/($B$10*24)</f>
        <v>170.61827956989248</v>
      </c>
      <c r="P1064" s="716">
        <f>P1037</f>
        <v>0.2</v>
      </c>
      <c r="Q1064" s="599">
        <f>-O1064*P1064</f>
        <v>-34.123655913978496</v>
      </c>
      <c r="R1064" s="761">
        <f>O1064+Q1064</f>
        <v>136.49462365591398</v>
      </c>
      <c r="S1064" s="612">
        <f>+S1037/($B$10*24)</f>
        <v>34.123655913978496</v>
      </c>
      <c r="T1064" s="70">
        <f>+IF(S1064&gt;=0,ABS(S1064),"")</f>
        <v>34.123655913978496</v>
      </c>
      <c r="U1064" s="758" t="str">
        <f>+IF(S1064&lt;=0,ABS(S1064),"")</f>
        <v/>
      </c>
      <c r="V1064" s="727"/>
    </row>
    <row r="1065" spans="1:45" ht="15.75" customHeight="1" x14ac:dyDescent="0.3">
      <c r="A1065" s="139" t="s">
        <v>2091</v>
      </c>
      <c r="B1065" s="553">
        <f>+B1038/($C$10*24)</f>
        <v>198.60775862068965</v>
      </c>
      <c r="C1065" s="70">
        <f t="shared" ref="C1065:N1065" si="465">+C1038/($C$10*24)</f>
        <v>0</v>
      </c>
      <c r="D1065" s="70">
        <f t="shared" si="465"/>
        <v>8.5143678160919531</v>
      </c>
      <c r="E1065" s="70">
        <f t="shared" si="465"/>
        <v>198.60775862068965</v>
      </c>
      <c r="F1065" s="758">
        <f t="shared" si="465"/>
        <v>207.1221264367816</v>
      </c>
      <c r="G1065" s="70">
        <f t="shared" si="465"/>
        <v>0</v>
      </c>
      <c r="H1065" s="70">
        <f t="shared" si="465"/>
        <v>14.751436781609195</v>
      </c>
      <c r="I1065" s="70">
        <f t="shared" si="465"/>
        <v>0</v>
      </c>
      <c r="J1065" s="70">
        <f t="shared" si="465"/>
        <v>14.751436781609195</v>
      </c>
      <c r="K1065" s="70">
        <f t="shared" si="465"/>
        <v>0</v>
      </c>
      <c r="L1065" s="70">
        <f t="shared" si="465"/>
        <v>0</v>
      </c>
      <c r="M1065" s="605">
        <f t="shared" si="465"/>
        <v>192.37068965517241</v>
      </c>
      <c r="N1065" s="599">
        <f t="shared" si="465"/>
        <v>0</v>
      </c>
      <c r="O1065" s="599">
        <f t="shared" ref="O1065:O1075" si="466">+O1038/($B$10*24)</f>
        <v>179.95967741935485</v>
      </c>
      <c r="P1065" s="716">
        <f t="shared" ref="P1065:P1075" si="467">P1038</f>
        <v>0.25</v>
      </c>
      <c r="Q1065" s="599">
        <f t="shared" ref="Q1065:Q1075" si="468">-O1065*P1065</f>
        <v>-44.989919354838712</v>
      </c>
      <c r="R1065" s="761">
        <f t="shared" ref="R1065:R1075" si="469">O1065+Q1065</f>
        <v>134.96975806451613</v>
      </c>
      <c r="S1065" s="612">
        <f>+S1038/($C$10*24)</f>
        <v>48.092672413793103</v>
      </c>
      <c r="T1065" s="70">
        <f t="shared" ref="T1065:T1075" si="470">+IF(S1065&gt;=0,ABS(S1065),"")</f>
        <v>48.092672413793103</v>
      </c>
      <c r="U1065" s="758" t="str">
        <f t="shared" ref="U1065:U1075" si="471">+IF(S1065&lt;=0,ABS(S1065),"")</f>
        <v/>
      </c>
      <c r="V1065" s="727"/>
    </row>
    <row r="1066" spans="1:45" ht="15.75" customHeight="1" x14ac:dyDescent="0.3">
      <c r="A1066" s="139" t="s">
        <v>2234</v>
      </c>
      <c r="B1066" s="553">
        <f>+B1039/($D$10*24)</f>
        <v>241.34139784946237</v>
      </c>
      <c r="C1066" s="70">
        <f t="shared" ref="C1066:N1066" si="472">+C1039/($D$10*24)</f>
        <v>0</v>
      </c>
      <c r="D1066" s="70">
        <f t="shared" si="472"/>
        <v>10.120967741935484</v>
      </c>
      <c r="E1066" s="70">
        <f t="shared" si="472"/>
        <v>241.34139784946237</v>
      </c>
      <c r="F1066" s="758">
        <f t="shared" si="472"/>
        <v>251.46236559139786</v>
      </c>
      <c r="G1066" s="70">
        <f t="shared" si="472"/>
        <v>4.1668632350658106</v>
      </c>
      <c r="H1066" s="70">
        <f>+H1039/($D$10*24)</f>
        <v>21.280913978494624</v>
      </c>
      <c r="I1066" s="70">
        <f t="shared" si="472"/>
        <v>0</v>
      </c>
      <c r="J1066" s="70">
        <f t="shared" si="472"/>
        <v>21.280913978494624</v>
      </c>
      <c r="K1066" s="70">
        <f t="shared" si="472"/>
        <v>0</v>
      </c>
      <c r="L1066" s="70">
        <f t="shared" si="472"/>
        <v>0</v>
      </c>
      <c r="M1066" s="605">
        <f t="shared" si="472"/>
        <v>226.01458837783741</v>
      </c>
      <c r="N1066" s="599">
        <f t="shared" si="472"/>
        <v>0</v>
      </c>
      <c r="O1066" s="599">
        <f t="shared" si="466"/>
        <v>226.01458837783741</v>
      </c>
      <c r="P1066" s="716">
        <f t="shared" si="467"/>
        <v>0.3</v>
      </c>
      <c r="Q1066" s="599">
        <f t="shared" si="468"/>
        <v>-67.804376513351215</v>
      </c>
      <c r="R1066" s="761">
        <f t="shared" si="469"/>
        <v>158.21021186448621</v>
      </c>
      <c r="S1066" s="612">
        <f>+S1039/($D$10*24)</f>
        <v>67.804376513351201</v>
      </c>
      <c r="T1066" s="70">
        <f t="shared" si="470"/>
        <v>67.804376513351201</v>
      </c>
      <c r="U1066" s="758" t="str">
        <f t="shared" si="471"/>
        <v/>
      </c>
      <c r="V1066" s="727"/>
    </row>
    <row r="1067" spans="1:45" ht="15.75" customHeight="1" x14ac:dyDescent="0.3">
      <c r="A1067" s="139" t="s">
        <v>2235</v>
      </c>
      <c r="B1067" s="553">
        <f>+B1040/($F$10*24)</f>
        <v>369.21805555555557</v>
      </c>
      <c r="C1067" s="70">
        <f t="shared" ref="C1067:N1067" si="473">+C1040/($F$10*24)</f>
        <v>0</v>
      </c>
      <c r="D1067" s="70">
        <f t="shared" si="473"/>
        <v>16.108333333333334</v>
      </c>
      <c r="E1067" s="70">
        <f t="shared" si="473"/>
        <v>369.21805555555557</v>
      </c>
      <c r="F1067" s="758">
        <f t="shared" si="473"/>
        <v>385.32638888888891</v>
      </c>
      <c r="G1067" s="70">
        <f t="shared" si="473"/>
        <v>0</v>
      </c>
      <c r="H1067" s="70">
        <f t="shared" si="473"/>
        <v>22.120833333333334</v>
      </c>
      <c r="I1067" s="70">
        <f t="shared" si="473"/>
        <v>0</v>
      </c>
      <c r="J1067" s="70">
        <f t="shared" si="473"/>
        <v>22.120833333333334</v>
      </c>
      <c r="K1067" s="70">
        <f t="shared" si="473"/>
        <v>0</v>
      </c>
      <c r="L1067" s="70">
        <f t="shared" si="473"/>
        <v>0</v>
      </c>
      <c r="M1067" s="605">
        <f t="shared" si="473"/>
        <v>363.20555555555558</v>
      </c>
      <c r="N1067" s="599">
        <f t="shared" si="473"/>
        <v>-31</v>
      </c>
      <c r="O1067" s="599">
        <f t="shared" si="466"/>
        <v>321.48924731182797</v>
      </c>
      <c r="P1067" s="716">
        <f t="shared" si="467"/>
        <v>0.35</v>
      </c>
      <c r="Q1067" s="599">
        <f t="shared" si="468"/>
        <v>-112.52123655913978</v>
      </c>
      <c r="R1067" s="761">
        <f t="shared" si="469"/>
        <v>208.9680107526882</v>
      </c>
      <c r="S1067" s="612">
        <f>+S1040/($F$10*24)</f>
        <v>147.27194444444442</v>
      </c>
      <c r="T1067" s="70">
        <f t="shared" si="470"/>
        <v>147.27194444444442</v>
      </c>
      <c r="U1067" s="758" t="str">
        <f t="shared" si="471"/>
        <v/>
      </c>
      <c r="V1067" s="727"/>
    </row>
    <row r="1068" spans="1:45" ht="15.75" customHeight="1" x14ac:dyDescent="0.3">
      <c r="A1068" s="139" t="s">
        <v>2236</v>
      </c>
      <c r="B1068" s="553">
        <f>+B1041/($G$10*24)</f>
        <v>410.09005376344084</v>
      </c>
      <c r="C1068" s="70">
        <f t="shared" ref="C1068:N1068" si="474">+C1041/($G$10*24)</f>
        <v>0</v>
      </c>
      <c r="D1068" s="70">
        <f t="shared" si="474"/>
        <v>18.099462365591396</v>
      </c>
      <c r="E1068" s="70">
        <f t="shared" si="474"/>
        <v>410.09005376344084</v>
      </c>
      <c r="F1068" s="758">
        <f t="shared" si="474"/>
        <v>428.18951612903226</v>
      </c>
      <c r="G1068" s="70">
        <f t="shared" si="474"/>
        <v>2.6833005161614394</v>
      </c>
      <c r="H1068" s="70">
        <f t="shared" si="474"/>
        <v>19.153225806451612</v>
      </c>
      <c r="I1068" s="70">
        <f t="shared" si="474"/>
        <v>0</v>
      </c>
      <c r="J1068" s="70">
        <f t="shared" si="474"/>
        <v>19.153225806451612</v>
      </c>
      <c r="K1068" s="70">
        <f t="shared" si="474"/>
        <v>0</v>
      </c>
      <c r="L1068" s="70">
        <f t="shared" si="474"/>
        <v>0</v>
      </c>
      <c r="M1068" s="605">
        <f t="shared" si="474"/>
        <v>406.3529898064192</v>
      </c>
      <c r="N1068" s="599">
        <f t="shared" si="474"/>
        <v>0</v>
      </c>
      <c r="O1068" s="599">
        <f t="shared" si="466"/>
        <v>406.3529898064192</v>
      </c>
      <c r="P1068" s="716">
        <f t="shared" si="467"/>
        <v>0.35</v>
      </c>
      <c r="Q1068" s="599">
        <f t="shared" si="468"/>
        <v>-142.22354643224671</v>
      </c>
      <c r="R1068" s="761">
        <f t="shared" si="469"/>
        <v>264.12944337417252</v>
      </c>
      <c r="S1068" s="612">
        <f>+S1041/($G$10*24)</f>
        <v>142.22354643224671</v>
      </c>
      <c r="T1068" s="70">
        <f t="shared" si="470"/>
        <v>142.22354643224671</v>
      </c>
      <c r="U1068" s="758" t="str">
        <f t="shared" si="471"/>
        <v/>
      </c>
      <c r="V1068" s="727"/>
    </row>
    <row r="1069" spans="1:45" ht="15.75" customHeight="1" x14ac:dyDescent="0.3">
      <c r="A1069" s="139" t="s">
        <v>2237</v>
      </c>
      <c r="B1069" s="553">
        <f>+B1042/($H$10*24)</f>
        <v>280.03333333333336</v>
      </c>
      <c r="C1069" s="70">
        <f t="shared" ref="C1069:N1069" si="475">+C1042/($H$10*24)</f>
        <v>0</v>
      </c>
      <c r="D1069" s="70">
        <f t="shared" si="475"/>
        <v>11.951388888888889</v>
      </c>
      <c r="E1069" s="70">
        <f t="shared" si="475"/>
        <v>280.03333333333336</v>
      </c>
      <c r="F1069" s="758">
        <f t="shared" si="475"/>
        <v>291.98472222222222</v>
      </c>
      <c r="G1069" s="70">
        <f t="shared" si="475"/>
        <v>17.237082140165789</v>
      </c>
      <c r="H1069" s="70">
        <f t="shared" si="475"/>
        <v>17.633333333333333</v>
      </c>
      <c r="I1069" s="70">
        <f t="shared" si="475"/>
        <v>0</v>
      </c>
      <c r="J1069" s="70">
        <f t="shared" si="475"/>
        <v>17.633333333333333</v>
      </c>
      <c r="K1069" s="70">
        <f t="shared" si="475"/>
        <v>0</v>
      </c>
      <c r="L1069" s="70">
        <f t="shared" si="475"/>
        <v>0</v>
      </c>
      <c r="M1069" s="605">
        <f t="shared" si="475"/>
        <v>257.1143067487231</v>
      </c>
      <c r="N1069" s="599">
        <f t="shared" si="475"/>
        <v>65.666666666666671</v>
      </c>
      <c r="O1069" s="599">
        <f t="shared" si="466"/>
        <v>312.3686839503772</v>
      </c>
      <c r="P1069" s="716">
        <f t="shared" si="467"/>
        <v>7.4999999999999997E-2</v>
      </c>
      <c r="Q1069" s="599">
        <f t="shared" si="468"/>
        <v>-23.427651296278288</v>
      </c>
      <c r="R1069" s="761">
        <f t="shared" si="469"/>
        <v>288.94103265409893</v>
      </c>
      <c r="S1069" s="612">
        <f>+S1042/($H$10*24)</f>
        <v>-41.458093660512453</v>
      </c>
      <c r="T1069" s="70" t="str">
        <f t="shared" si="470"/>
        <v/>
      </c>
      <c r="U1069" s="758">
        <f t="shared" si="471"/>
        <v>41.458093660512453</v>
      </c>
      <c r="V1069" s="727"/>
    </row>
    <row r="1070" spans="1:45" ht="15.75" customHeight="1" x14ac:dyDescent="0.3">
      <c r="A1070" s="139" t="s">
        <v>1504</v>
      </c>
      <c r="B1070" s="553">
        <f>+B1043/($J$10*24)</f>
        <v>210.05241935483872</v>
      </c>
      <c r="C1070" s="70">
        <f t="shared" ref="C1070:N1070" si="476">+C1043/($J$10*24)</f>
        <v>0</v>
      </c>
      <c r="D1070" s="70">
        <f t="shared" si="476"/>
        <v>8.6693548387096779</v>
      </c>
      <c r="E1070" s="70">
        <f t="shared" si="476"/>
        <v>210.05241935483872</v>
      </c>
      <c r="F1070" s="758">
        <f t="shared" si="476"/>
        <v>218.72177419354838</v>
      </c>
      <c r="G1070" s="70">
        <f t="shared" si="476"/>
        <v>18.29953934414274</v>
      </c>
      <c r="H1070" s="70">
        <f t="shared" si="476"/>
        <v>15.618279569892474</v>
      </c>
      <c r="I1070" s="70">
        <f t="shared" si="476"/>
        <v>0</v>
      </c>
      <c r="J1070" s="70">
        <f t="shared" si="476"/>
        <v>15.618279569892474</v>
      </c>
      <c r="K1070" s="70">
        <f t="shared" si="476"/>
        <v>0</v>
      </c>
      <c r="L1070" s="70">
        <f t="shared" si="476"/>
        <v>0</v>
      </c>
      <c r="M1070" s="605">
        <f t="shared" si="476"/>
        <v>184.80395527951319</v>
      </c>
      <c r="N1070" s="599">
        <f t="shared" si="476"/>
        <v>63.333333333333336</v>
      </c>
      <c r="O1070" s="599">
        <f t="shared" si="466"/>
        <v>248.1372886128465</v>
      </c>
      <c r="P1070" s="716">
        <f t="shared" si="467"/>
        <v>0.05</v>
      </c>
      <c r="Q1070" s="599">
        <f t="shared" si="468"/>
        <v>-12.406864430642326</v>
      </c>
      <c r="R1070" s="761">
        <f t="shared" si="469"/>
        <v>235.73042418220419</v>
      </c>
      <c r="S1070" s="612">
        <f>+S1043/($J$10*24)</f>
        <v>-50.926468902691006</v>
      </c>
      <c r="T1070" s="70" t="str">
        <f t="shared" si="470"/>
        <v/>
      </c>
      <c r="U1070" s="758">
        <f t="shared" si="471"/>
        <v>50.926468902691006</v>
      </c>
      <c r="V1070" s="727"/>
    </row>
    <row r="1071" spans="1:45" ht="15.75" customHeight="1" x14ac:dyDescent="0.3">
      <c r="A1071" s="139" t="s">
        <v>1505</v>
      </c>
      <c r="B1071" s="553">
        <f>+B1044/($K$10*24)</f>
        <v>179.22043010752688</v>
      </c>
      <c r="C1071" s="70">
        <f t="shared" ref="C1071:N1071" si="477">+C1044/($K$10*24)</f>
        <v>0</v>
      </c>
      <c r="D1071" s="70">
        <f t="shared" si="477"/>
        <v>7.314516129032258</v>
      </c>
      <c r="E1071" s="70">
        <f t="shared" si="477"/>
        <v>179.22043010752688</v>
      </c>
      <c r="F1071" s="758">
        <f t="shared" si="477"/>
        <v>186.53494623655914</v>
      </c>
      <c r="G1071" s="70">
        <f t="shared" si="477"/>
        <v>15.394159676835567</v>
      </c>
      <c r="H1071" s="70">
        <f t="shared" si="477"/>
        <v>13.76478494623656</v>
      </c>
      <c r="I1071" s="70">
        <f t="shared" si="477"/>
        <v>0</v>
      </c>
      <c r="J1071" s="70">
        <f t="shared" si="477"/>
        <v>13.76478494623656</v>
      </c>
      <c r="K1071" s="70">
        <f t="shared" si="477"/>
        <v>0</v>
      </c>
      <c r="L1071" s="70">
        <f t="shared" si="477"/>
        <v>0</v>
      </c>
      <c r="M1071" s="605">
        <f t="shared" si="477"/>
        <v>157.37600161348701</v>
      </c>
      <c r="N1071" s="599">
        <f t="shared" si="477"/>
        <v>79</v>
      </c>
      <c r="O1071" s="599">
        <f t="shared" si="466"/>
        <v>236.37600161348703</v>
      </c>
      <c r="P1071" s="716">
        <f t="shared" si="467"/>
        <v>0</v>
      </c>
      <c r="Q1071" s="599">
        <f t="shared" si="468"/>
        <v>0</v>
      </c>
      <c r="R1071" s="761">
        <f t="shared" si="469"/>
        <v>236.37600161348703</v>
      </c>
      <c r="S1071" s="612">
        <f>+S1044/($K$10*24)</f>
        <v>-79.000000000000014</v>
      </c>
      <c r="T1071" s="70" t="str">
        <f t="shared" si="470"/>
        <v/>
      </c>
      <c r="U1071" s="758">
        <f t="shared" si="471"/>
        <v>79.000000000000014</v>
      </c>
      <c r="V1071" s="727"/>
    </row>
    <row r="1072" spans="1:45" ht="15.75" customHeight="1" x14ac:dyDescent="0.3">
      <c r="A1072" s="139" t="s">
        <v>1506</v>
      </c>
      <c r="B1072" s="553">
        <f>+B1045/($L$10*24)</f>
        <v>380.82777777777778</v>
      </c>
      <c r="C1072" s="70">
        <f t="shared" ref="C1072:N1072" si="478">+C1045/($L$10*24)</f>
        <v>0</v>
      </c>
      <c r="D1072" s="70">
        <f t="shared" si="478"/>
        <v>16.631944444444443</v>
      </c>
      <c r="E1072" s="70">
        <f t="shared" si="478"/>
        <v>380.82777777777778</v>
      </c>
      <c r="F1072" s="758">
        <f t="shared" si="478"/>
        <v>397.45972222222224</v>
      </c>
      <c r="G1072" s="70">
        <f t="shared" si="478"/>
        <v>0.4498156058412055</v>
      </c>
      <c r="H1072" s="70">
        <f t="shared" si="478"/>
        <v>14.206944444444444</v>
      </c>
      <c r="I1072" s="70">
        <f t="shared" si="478"/>
        <v>0</v>
      </c>
      <c r="J1072" s="70">
        <f t="shared" si="478"/>
        <v>14.206944444444444</v>
      </c>
      <c r="K1072" s="70">
        <f t="shared" si="478"/>
        <v>0</v>
      </c>
      <c r="L1072" s="70">
        <f t="shared" si="478"/>
        <v>0</v>
      </c>
      <c r="M1072" s="605">
        <f t="shared" si="478"/>
        <v>382.8029621719366</v>
      </c>
      <c r="N1072" s="599">
        <f t="shared" si="478"/>
        <v>0</v>
      </c>
      <c r="O1072" s="599">
        <f t="shared" si="466"/>
        <v>370.45447952122896</v>
      </c>
      <c r="P1072" s="716">
        <f t="shared" si="467"/>
        <v>0.05</v>
      </c>
      <c r="Q1072" s="599">
        <f t="shared" si="468"/>
        <v>-18.522723976061449</v>
      </c>
      <c r="R1072" s="761">
        <f t="shared" si="469"/>
        <v>351.9317555451675</v>
      </c>
      <c r="S1072" s="612">
        <f>+S1045/($L$10*24)</f>
        <v>19.140148108596826</v>
      </c>
      <c r="T1072" s="70">
        <f t="shared" si="470"/>
        <v>19.140148108596826</v>
      </c>
      <c r="U1072" s="758" t="str">
        <f t="shared" si="471"/>
        <v/>
      </c>
      <c r="V1072" s="727"/>
    </row>
    <row r="1073" spans="1:50" ht="15.75" customHeight="1" x14ac:dyDescent="0.3">
      <c r="A1073" s="139" t="s">
        <v>1507</v>
      </c>
      <c r="B1073" s="553">
        <f>+B1046/($N$10*24)</f>
        <v>358.30645161290323</v>
      </c>
      <c r="C1073" s="70">
        <f t="shared" ref="C1073:N1073" si="479">+C1046/($N$10*24)</f>
        <v>0</v>
      </c>
      <c r="D1073" s="70">
        <f t="shared" si="479"/>
        <v>15.55510752688172</v>
      </c>
      <c r="E1073" s="70">
        <f t="shared" si="479"/>
        <v>358.30645161290323</v>
      </c>
      <c r="F1073" s="758">
        <f t="shared" si="479"/>
        <v>373.86155913978496</v>
      </c>
      <c r="G1073" s="70">
        <f t="shared" si="479"/>
        <v>3.4627383296464637E-3</v>
      </c>
      <c r="H1073" s="70">
        <f t="shared" si="479"/>
        <v>13.580645161290322</v>
      </c>
      <c r="I1073" s="70">
        <f t="shared" si="479"/>
        <v>0</v>
      </c>
      <c r="J1073" s="70">
        <f t="shared" si="479"/>
        <v>13.580645161290322</v>
      </c>
      <c r="K1073" s="70">
        <f t="shared" si="479"/>
        <v>0</v>
      </c>
      <c r="L1073" s="70">
        <f t="shared" si="479"/>
        <v>0</v>
      </c>
      <c r="M1073" s="605">
        <f t="shared" si="479"/>
        <v>360.27745124016496</v>
      </c>
      <c r="N1073" s="599">
        <f t="shared" si="479"/>
        <v>0</v>
      </c>
      <c r="O1073" s="599">
        <f t="shared" si="466"/>
        <v>360.27745124016496</v>
      </c>
      <c r="P1073" s="716">
        <f t="shared" si="467"/>
        <v>0.2</v>
      </c>
      <c r="Q1073" s="599">
        <f t="shared" si="468"/>
        <v>-72.055490248032996</v>
      </c>
      <c r="R1073" s="761">
        <f t="shared" si="469"/>
        <v>288.22196099213198</v>
      </c>
      <c r="S1073" s="612">
        <f>+S1046/($N$10*24)</f>
        <v>72.05549024803301</v>
      </c>
      <c r="T1073" s="70">
        <f t="shared" si="470"/>
        <v>72.05549024803301</v>
      </c>
      <c r="U1073" s="758" t="str">
        <f t="shared" si="471"/>
        <v/>
      </c>
      <c r="V1073" s="727"/>
    </row>
    <row r="1074" spans="1:50" ht="15.75" customHeight="1" x14ac:dyDescent="0.3">
      <c r="A1074" s="139" t="s">
        <v>1508</v>
      </c>
      <c r="B1074" s="553">
        <f>+B1047/($O$10*24)</f>
        <v>271.70277777777778</v>
      </c>
      <c r="C1074" s="70">
        <f t="shared" ref="C1074:N1074" si="480">+C1047/($O$10*24)</f>
        <v>0</v>
      </c>
      <c r="D1074" s="70">
        <f t="shared" si="480"/>
        <v>11.77361111111111</v>
      </c>
      <c r="E1074" s="70">
        <f t="shared" si="480"/>
        <v>271.70277777777778</v>
      </c>
      <c r="F1074" s="758">
        <f t="shared" si="480"/>
        <v>283.47638888888889</v>
      </c>
      <c r="G1074" s="70">
        <f t="shared" si="480"/>
        <v>0.90381353093862404</v>
      </c>
      <c r="H1074" s="70">
        <f t="shared" si="480"/>
        <v>15.036111111111111</v>
      </c>
      <c r="I1074" s="70">
        <f t="shared" si="480"/>
        <v>0</v>
      </c>
      <c r="J1074" s="70">
        <f t="shared" si="480"/>
        <v>15.036111111111111</v>
      </c>
      <c r="K1074" s="70">
        <f t="shared" si="480"/>
        <v>0</v>
      </c>
      <c r="L1074" s="70">
        <f t="shared" si="480"/>
        <v>0</v>
      </c>
      <c r="M1074" s="605">
        <f t="shared" si="480"/>
        <v>267.53646424683916</v>
      </c>
      <c r="N1074" s="599">
        <f t="shared" si="480"/>
        <v>0</v>
      </c>
      <c r="O1074" s="599">
        <f t="shared" si="466"/>
        <v>258.90625572274757</v>
      </c>
      <c r="P1074" s="716">
        <f t="shared" si="467"/>
        <v>0.2</v>
      </c>
      <c r="Q1074" s="599">
        <f t="shared" si="468"/>
        <v>-51.781251144549515</v>
      </c>
      <c r="R1074" s="761">
        <f t="shared" si="469"/>
        <v>207.12500457819806</v>
      </c>
      <c r="S1074" s="612">
        <f>+S1047/($O$10*24)</f>
        <v>53.507292849367836</v>
      </c>
      <c r="T1074" s="70">
        <f t="shared" si="470"/>
        <v>53.507292849367836</v>
      </c>
      <c r="U1074" s="758" t="str">
        <f t="shared" si="471"/>
        <v/>
      </c>
      <c r="V1074" s="727"/>
    </row>
    <row r="1075" spans="1:50" ht="15.75" customHeight="1" thickBot="1" x14ac:dyDescent="0.35">
      <c r="A1075" s="139" t="s">
        <v>1509</v>
      </c>
      <c r="B1075" s="558">
        <f>+B1048/($P$10*24)</f>
        <v>290.61693548387098</v>
      </c>
      <c r="C1075" s="564">
        <f t="shared" ref="C1075:N1075" si="481">+C1048/($P$10*24)</f>
        <v>0</v>
      </c>
      <c r="D1075" s="564">
        <f t="shared" si="481"/>
        <v>12.397849462365592</v>
      </c>
      <c r="E1075" s="564">
        <f t="shared" si="481"/>
        <v>290.61693548387098</v>
      </c>
      <c r="F1075" s="602">
        <f t="shared" si="481"/>
        <v>303.01478494623655</v>
      </c>
      <c r="G1075" s="564">
        <f t="shared" si="481"/>
        <v>0</v>
      </c>
      <c r="H1075" s="564">
        <f t="shared" si="481"/>
        <v>8.9731182795698921</v>
      </c>
      <c r="I1075" s="564">
        <f t="shared" si="481"/>
        <v>0</v>
      </c>
      <c r="J1075" s="564">
        <f t="shared" si="481"/>
        <v>8.9731182795698921</v>
      </c>
      <c r="K1075" s="564">
        <f t="shared" si="481"/>
        <v>0</v>
      </c>
      <c r="L1075" s="564">
        <f t="shared" si="481"/>
        <v>0</v>
      </c>
      <c r="M1075" s="608">
        <f t="shared" si="481"/>
        <v>294.04166666666669</v>
      </c>
      <c r="N1075" s="609">
        <f t="shared" si="481"/>
        <v>0</v>
      </c>
      <c r="O1075" s="631">
        <f t="shared" si="466"/>
        <v>294.04166666666669</v>
      </c>
      <c r="P1075" s="711">
        <f t="shared" si="467"/>
        <v>0.2</v>
      </c>
      <c r="Q1075" s="609">
        <f t="shared" si="468"/>
        <v>-58.808333333333337</v>
      </c>
      <c r="R1075" s="631">
        <f t="shared" si="469"/>
        <v>235.23333333333335</v>
      </c>
      <c r="S1075" s="613">
        <f>+S1048/($P$10*24)</f>
        <v>58.808333333333323</v>
      </c>
      <c r="T1075" s="564">
        <f t="shared" si="470"/>
        <v>58.808333333333323</v>
      </c>
      <c r="U1075" s="602" t="str">
        <f t="shared" si="471"/>
        <v/>
      </c>
      <c r="V1075" s="727"/>
    </row>
    <row r="1076" spans="1:50" ht="15.75" customHeight="1" x14ac:dyDescent="0.3">
      <c r="A1076" s="647"/>
      <c r="V1076" s="727"/>
    </row>
    <row r="1077" spans="1:50" ht="16.5" customHeight="1" thickBot="1" x14ac:dyDescent="0.35">
      <c r="A1077" s="648"/>
      <c r="B1077" s="581"/>
      <c r="C1077" s="581"/>
      <c r="D1077" s="581"/>
      <c r="E1077" s="581"/>
      <c r="F1077" s="581"/>
      <c r="G1077" s="581"/>
      <c r="H1077" s="581"/>
      <c r="I1077" s="581"/>
      <c r="J1077" s="581"/>
      <c r="K1077" s="581"/>
      <c r="L1077" s="581"/>
      <c r="M1077" s="581"/>
      <c r="N1077" s="581"/>
      <c r="O1077" s="581"/>
      <c r="P1077" s="581"/>
      <c r="Q1077" s="581"/>
      <c r="R1077" s="581"/>
      <c r="S1077" s="581"/>
      <c r="T1077" s="581"/>
      <c r="U1077" s="581"/>
      <c r="V1077" s="565"/>
    </row>
    <row r="1078" spans="1:50" ht="15.75" customHeight="1" x14ac:dyDescent="0.3">
      <c r="A1078" s="74"/>
      <c r="B1078" s="67"/>
      <c r="C1078" s="67"/>
      <c r="D1078" s="67"/>
      <c r="E1078" s="67"/>
      <c r="F1078" s="67"/>
      <c r="G1078" s="67"/>
      <c r="H1078" s="67"/>
      <c r="I1078" s="67"/>
      <c r="J1078" s="67"/>
      <c r="K1078" s="67"/>
      <c r="L1078" s="67"/>
      <c r="M1078" s="67"/>
      <c r="N1078" s="67"/>
      <c r="O1078" s="67"/>
      <c r="P1078" s="67"/>
      <c r="Q1078" s="67"/>
      <c r="R1078" s="67"/>
    </row>
    <row r="1079" spans="1:50" ht="15.75" customHeight="1" x14ac:dyDescent="0.3">
      <c r="A1079" s="641"/>
    </row>
    <row r="1080" spans="1:50" ht="15.75" customHeight="1" thickBot="1" x14ac:dyDescent="0.35">
      <c r="A1080" s="641"/>
    </row>
    <row r="1081" spans="1:50" ht="15.75" customHeight="1" x14ac:dyDescent="0.3">
      <c r="A1081" s="763"/>
      <c r="B1081" s="821" t="s">
        <v>2880</v>
      </c>
      <c r="C1081" s="821"/>
      <c r="D1081" s="821"/>
      <c r="E1081" s="821"/>
      <c r="F1081" s="821"/>
      <c r="G1081" s="821"/>
      <c r="H1081" s="821"/>
      <c r="I1081" s="821"/>
      <c r="J1081" s="821"/>
      <c r="K1081" s="821"/>
      <c r="L1081" s="821"/>
      <c r="M1081" s="821"/>
      <c r="N1081" s="821"/>
      <c r="O1081" s="821"/>
      <c r="P1081" s="821"/>
      <c r="Q1081" s="752" t="str">
        <f>+Q1</f>
        <v xml:space="preserve">PRINTED:  </v>
      </c>
      <c r="R1081" s="756">
        <f ca="1">+R1</f>
        <v>44881.729633912037</v>
      </c>
      <c r="S1081" s="702"/>
    </row>
    <row r="1082" spans="1:50" ht="15.75" customHeight="1" x14ac:dyDescent="0.3">
      <c r="A1082" s="640"/>
      <c r="B1082" s="786" t="str">
        <f>+A8</f>
        <v>Revised:  10/5/2020</v>
      </c>
      <c r="C1082" s="786"/>
      <c r="D1082" s="786"/>
      <c r="E1082" s="786"/>
      <c r="F1082" s="786"/>
      <c r="G1082" s="786"/>
      <c r="H1082" s="786"/>
      <c r="I1082" s="786"/>
      <c r="J1082" s="786"/>
      <c r="K1082" s="786"/>
      <c r="L1082" s="786"/>
      <c r="M1082" s="786"/>
      <c r="N1082" s="786"/>
      <c r="O1082" s="786"/>
      <c r="P1082" s="786"/>
      <c r="Q1082" s="67"/>
      <c r="R1082" s="67"/>
      <c r="S1082" s="727"/>
    </row>
    <row r="1083" spans="1:50" ht="16.5" customHeight="1" x14ac:dyDescent="0.3">
      <c r="A1083" s="640"/>
      <c r="B1083" s="786" t="s">
        <v>2878</v>
      </c>
      <c r="C1083" s="786"/>
      <c r="D1083" s="786"/>
      <c r="E1083" s="786"/>
      <c r="F1083" s="786"/>
      <c r="G1083" s="786"/>
      <c r="H1083" s="786"/>
      <c r="I1083" s="786"/>
      <c r="J1083" s="786"/>
      <c r="K1083" s="786"/>
      <c r="L1083" s="786"/>
      <c r="M1083" s="786"/>
      <c r="N1083" s="786"/>
      <c r="O1083" s="786"/>
      <c r="P1083" s="786"/>
      <c r="Q1083" s="67"/>
      <c r="R1083" s="67"/>
      <c r="S1083" s="727"/>
    </row>
    <row r="1084" spans="1:50" ht="15.75" customHeight="1" x14ac:dyDescent="0.3">
      <c r="A1084" s="640"/>
      <c r="B1084" s="67"/>
      <c r="C1084" s="67"/>
      <c r="D1084" s="67"/>
      <c r="E1084" s="67"/>
      <c r="F1084" s="67"/>
      <c r="G1084" s="67"/>
      <c r="H1084" s="67"/>
      <c r="I1084" s="67"/>
      <c r="J1084" s="67"/>
      <c r="K1084" s="67"/>
      <c r="L1084" s="67"/>
      <c r="M1084" s="67"/>
      <c r="N1084" s="67"/>
      <c r="O1084" s="67"/>
      <c r="P1084" s="67"/>
      <c r="Q1084" s="67"/>
      <c r="R1084" s="67"/>
      <c r="S1084" s="727"/>
      <c r="AG1084" s="139"/>
    </row>
    <row r="1085" spans="1:50" ht="15.75" customHeight="1" x14ac:dyDescent="0.3">
      <c r="A1085" s="640"/>
      <c r="B1085" s="810">
        <f>+A5</f>
        <v>2020</v>
      </c>
      <c r="C1085" s="787"/>
      <c r="D1085" s="787"/>
      <c r="E1085" s="787"/>
      <c r="F1085" s="787"/>
      <c r="G1085" s="787"/>
      <c r="H1085" s="787"/>
      <c r="I1085" s="787"/>
      <c r="J1085" s="787"/>
      <c r="K1085" s="787"/>
      <c r="L1085" s="787"/>
      <c r="M1085" s="787"/>
      <c r="N1085" s="787"/>
      <c r="O1085" s="787"/>
      <c r="P1085" s="787"/>
      <c r="Q1085" s="67"/>
      <c r="R1085" s="67"/>
      <c r="S1085" s="727"/>
      <c r="AE1085" t="s">
        <v>2912</v>
      </c>
      <c r="AF1085" t="s">
        <v>2913</v>
      </c>
    </row>
    <row r="1086" spans="1:50" ht="15.75" customHeight="1" thickBot="1" x14ac:dyDescent="0.35">
      <c r="A1086" s="640"/>
      <c r="B1086" s="786" t="s">
        <v>1199</v>
      </c>
      <c r="C1086" s="786"/>
      <c r="D1086" s="786"/>
      <c r="E1086" s="786"/>
      <c r="F1086" s="786"/>
      <c r="G1086" s="786"/>
      <c r="H1086" s="786"/>
      <c r="I1086" s="786"/>
      <c r="J1086" s="786"/>
      <c r="K1086" s="786"/>
      <c r="L1086" s="786"/>
      <c r="M1086" s="786"/>
      <c r="N1086" s="786"/>
      <c r="O1086" s="786"/>
      <c r="P1086" s="786"/>
      <c r="Q1086" s="67"/>
      <c r="R1086" s="67"/>
      <c r="S1086" s="727"/>
      <c r="V1086" t="s">
        <v>3174</v>
      </c>
      <c r="AC1086" t="s">
        <v>2911</v>
      </c>
      <c r="AD1086" s="671" t="s">
        <v>3179</v>
      </c>
      <c r="AE1086">
        <f>DAY(DATE($A$5,MONTH(CONCATENATE(1,"-",AD1086,"-",$A$5))+1,1)-1)</f>
        <v>29</v>
      </c>
      <c r="AI1086" s="134"/>
      <c r="AJ1086" s="134"/>
    </row>
    <row r="1087" spans="1:50" ht="15.75" customHeight="1" x14ac:dyDescent="0.3">
      <c r="A1087" s="640"/>
      <c r="B1087" s="818" t="s">
        <v>2888</v>
      </c>
      <c r="C1087" s="819"/>
      <c r="D1087" s="820"/>
      <c r="E1087" s="70"/>
      <c r="F1087" s="70"/>
      <c r="G1087" s="70"/>
      <c r="H1087" s="70"/>
      <c r="I1087" s="70"/>
      <c r="J1087" s="70"/>
      <c r="K1087" s="70"/>
      <c r="L1087" s="70"/>
      <c r="M1087" s="70"/>
      <c r="N1087" s="70"/>
      <c r="O1087" s="70"/>
      <c r="P1087" s="70"/>
      <c r="Q1087" s="67"/>
      <c r="R1087" s="67"/>
      <c r="S1087" s="675"/>
      <c r="T1087" s="812" t="s">
        <v>3169</v>
      </c>
      <c r="U1087" s="813"/>
      <c r="V1087" s="813" t="s">
        <v>3171</v>
      </c>
      <c r="W1087" s="813"/>
      <c r="X1087" s="719" t="s">
        <v>2463</v>
      </c>
      <c r="Y1087" s="719" t="s">
        <v>3180</v>
      </c>
      <c r="Z1087" s="719" t="s">
        <v>3172</v>
      </c>
    </row>
    <row r="1088" spans="1:50" ht="15.75" customHeight="1" thickBot="1" x14ac:dyDescent="0.35">
      <c r="A1088" s="634" t="s">
        <v>249</v>
      </c>
      <c r="B1088" s="653" t="s">
        <v>2886</v>
      </c>
      <c r="C1088" s="654" t="s">
        <v>2885</v>
      </c>
      <c r="D1088" s="655" t="s">
        <v>2915</v>
      </c>
      <c r="E1088" s="654" t="s">
        <v>1309</v>
      </c>
      <c r="F1088" s="654" t="s">
        <v>1029</v>
      </c>
      <c r="G1088" s="654" t="s">
        <v>1030</v>
      </c>
      <c r="H1088" s="654" t="s">
        <v>2881</v>
      </c>
      <c r="I1088" s="654" t="s">
        <v>2882</v>
      </c>
      <c r="J1088" s="654" t="s">
        <v>285</v>
      </c>
      <c r="K1088" s="654" t="s">
        <v>286</v>
      </c>
      <c r="L1088" s="654" t="s">
        <v>287</v>
      </c>
      <c r="M1088" s="654" t="s">
        <v>288</v>
      </c>
      <c r="N1088" s="654" t="s">
        <v>289</v>
      </c>
      <c r="O1088" s="654" t="s">
        <v>633</v>
      </c>
      <c r="P1088" s="654" t="s">
        <v>634</v>
      </c>
      <c r="Q1088" s="654" t="s">
        <v>1192</v>
      </c>
      <c r="R1088" s="654" t="s">
        <v>524</v>
      </c>
      <c r="S1088" s="655" t="s">
        <v>525</v>
      </c>
      <c r="T1088" s="654" t="s">
        <v>3170</v>
      </c>
      <c r="U1088" s="654" t="s">
        <v>2885</v>
      </c>
      <c r="V1088" s="654" t="s">
        <v>3173</v>
      </c>
      <c r="W1088" s="654" t="s">
        <v>2885</v>
      </c>
      <c r="X1088" s="654" t="s">
        <v>1193</v>
      </c>
      <c r="Y1088" s="654" t="s">
        <v>3181</v>
      </c>
      <c r="Z1088" s="654" t="s">
        <v>3182</v>
      </c>
      <c r="AD1088" s="634" t="s">
        <v>1308</v>
      </c>
      <c r="AE1088" s="634" t="s">
        <v>1309</v>
      </c>
      <c r="AF1088" s="634" t="s">
        <v>1029</v>
      </c>
      <c r="AG1088" s="634" t="s">
        <v>1030</v>
      </c>
      <c r="AH1088" s="634" t="s">
        <v>284</v>
      </c>
      <c r="AI1088" s="634" t="s">
        <v>285</v>
      </c>
      <c r="AJ1088" s="634" t="s">
        <v>286</v>
      </c>
      <c r="AK1088" s="634" t="s">
        <v>287</v>
      </c>
      <c r="AL1088" s="634" t="s">
        <v>288</v>
      </c>
      <c r="AM1088" s="634" t="s">
        <v>289</v>
      </c>
      <c r="AN1088" s="634" t="s">
        <v>633</v>
      </c>
      <c r="AO1088" s="634" t="s">
        <v>634</v>
      </c>
      <c r="AP1088" s="634" t="s">
        <v>1192</v>
      </c>
      <c r="AQ1088" s="634" t="s">
        <v>524</v>
      </c>
      <c r="AR1088" s="634" t="s">
        <v>525</v>
      </c>
      <c r="AS1088" s="634" t="s">
        <v>2356</v>
      </c>
      <c r="AT1088" s="634" t="s">
        <v>1415</v>
      </c>
      <c r="AU1088" s="634" t="s">
        <v>2356</v>
      </c>
      <c r="AW1088" s="669" t="s">
        <v>2925</v>
      </c>
      <c r="AX1088" s="669" t="s">
        <v>2926</v>
      </c>
    </row>
    <row r="1089" spans="1:50" ht="15.75" customHeight="1" x14ac:dyDescent="0.3">
      <c r="A1089" s="642" t="s">
        <v>2843</v>
      </c>
      <c r="B1089" s="642">
        <f>+F1116</f>
        <v>196</v>
      </c>
      <c r="C1089" s="139">
        <f t="shared" ref="B1089:C1100" si="482">+G1116</f>
        <v>0</v>
      </c>
      <c r="D1089" s="764" t="s">
        <v>2916</v>
      </c>
      <c r="E1089" s="139">
        <f>+C1009/$B$10/24</f>
        <v>12.161290322580646</v>
      </c>
      <c r="F1089" s="139">
        <f t="shared" ref="F1089:S1089" si="483">+D1009/$B$10/24</f>
        <v>12.743279569892472</v>
      </c>
      <c r="G1089" s="139">
        <f t="shared" si="483"/>
        <v>21.501344086021504</v>
      </c>
      <c r="H1089" s="139">
        <f t="shared" si="483"/>
        <v>5.9764629631180837</v>
      </c>
      <c r="I1089" s="139">
        <f t="shared" si="483"/>
        <v>0</v>
      </c>
      <c r="J1089" s="139">
        <f t="shared" si="483"/>
        <v>3.8333333333333335</v>
      </c>
      <c r="K1089" s="139">
        <f t="shared" si="483"/>
        <v>3.0403225806451615</v>
      </c>
      <c r="L1089" s="139">
        <f t="shared" si="483"/>
        <v>4.747311827956989</v>
      </c>
      <c r="M1089" s="139">
        <f t="shared" si="483"/>
        <v>4.9018817204301071</v>
      </c>
      <c r="N1089" s="139">
        <f t="shared" si="483"/>
        <v>1.2849462365591398</v>
      </c>
      <c r="O1089" s="139">
        <f t="shared" si="483"/>
        <v>1.5134408602150538</v>
      </c>
      <c r="P1089" s="139">
        <f t="shared" si="483"/>
        <v>3.0873655913978495</v>
      </c>
      <c r="Q1089" s="139">
        <f t="shared" si="483"/>
        <v>0.90860215053763438</v>
      </c>
      <c r="R1089" s="139">
        <f t="shared" si="483"/>
        <v>1.8844086021505377</v>
      </c>
      <c r="S1089" s="764">
        <f t="shared" si="483"/>
        <v>2.1491935483870965</v>
      </c>
      <c r="T1089" s="139">
        <f>+B1089+SUM(E1089:S1089)</f>
        <v>275.73318339322566</v>
      </c>
      <c r="U1089" s="139">
        <f t="shared" ref="U1089:U1100" si="484">+C1089+SUM(E1089:S1089)</f>
        <v>79.73318339322563</v>
      </c>
      <c r="V1089" s="139">
        <f>+B1089+SUM(E1089:G1089)</f>
        <v>242.40591397849462</v>
      </c>
      <c r="W1089" s="139">
        <f>+C1089+SUM(E1089:G1089)</f>
        <v>46.405913978494624</v>
      </c>
      <c r="X1089" s="139">
        <f>+H1089</f>
        <v>5.9764629631180837</v>
      </c>
      <c r="Y1089" s="139">
        <f>+I1089</f>
        <v>0</v>
      </c>
      <c r="Z1089" s="139">
        <f>+SUM(J1089:S1089)</f>
        <v>27.3508064516129</v>
      </c>
      <c r="AC1089">
        <v>1</v>
      </c>
      <c r="AD1089" s="139">
        <f>IF($AF$1086=1,VLOOKUP($AD$1086,$A$1116:$P$1127,12,FALSE),VLOOKUP($AD$1086,$A$1089:$S$1100,2,FALSE))</f>
        <v>98</v>
      </c>
      <c r="AE1089" s="139">
        <f>VLOOKUP($AD$1086,$A$1089:$S$1100,5,FALSE)</f>
        <v>12.994252873563219</v>
      </c>
      <c r="AF1089" s="139">
        <f>VLOOKUP($AD$1086,$A$1089:$S$1100,6,FALSE)</f>
        <v>13.60632183908046</v>
      </c>
      <c r="AG1089" s="139">
        <f>VLOOKUP($AD$1086,$A$1089:$S$1100,7,FALSE)</f>
        <v>23.038793103448274</v>
      </c>
      <c r="AH1089" s="139">
        <f>VLOOKUP($AD$1086,$A$1089:$S$1100,8,FALSE)</f>
        <v>0.84024570420580369</v>
      </c>
      <c r="AI1089" s="139">
        <f>VLOOKUP($AD$1086,$A$1089:$S$1100,10,FALSE)</f>
        <v>6.623563218390804</v>
      </c>
      <c r="AJ1089" s="139">
        <f>VLOOKUP($AD$1086,$A$1089:$S$1100,11,FALSE)</f>
        <v>5.2959770114942524</v>
      </c>
      <c r="AK1089" s="139">
        <f>VLOOKUP($AD$1086,$A$1089:$S$1100,12,FALSE)</f>
        <v>8.1824712643678161</v>
      </c>
      <c r="AL1089" s="139">
        <f>VLOOKUP($AD$1086,$A$1089:$S$1100,13,FALSE)</f>
        <v>8.4626436781609193</v>
      </c>
      <c r="AM1089" s="139">
        <f>VLOOKUP($AD$1086,$A$1089:$S$1100,14,FALSE)</f>
        <v>2.6824712643678161</v>
      </c>
      <c r="AN1089" s="139">
        <f>VLOOKUP($AD$1086,$A$1089:$S$1100,15,FALSE)</f>
        <v>3.1609195402298851</v>
      </c>
      <c r="AO1089" s="139">
        <f>VLOOKUP($AD$1086,$A$1089:$S$1100,16,FALSE)</f>
        <v>6.1408045977011492</v>
      </c>
      <c r="AP1089" s="139">
        <f>VLOOKUP($AD$1086,$A$1089:$S$1100,17,FALSE)</f>
        <v>1.0459770114942528</v>
      </c>
      <c r="AQ1089" s="139">
        <f>VLOOKUP($AD$1086,$A$1089:$S$1100,18,FALSE)</f>
        <v>1.920977011494253</v>
      </c>
      <c r="AR1089" s="139">
        <f>VLOOKUP($AD$1086,$A$1089:$S$1100,19,FALSE)</f>
        <v>2.4770114942528738</v>
      </c>
      <c r="AS1089" s="139">
        <f>SUM(AD1089:AR1089)</f>
        <v>194.47242961225183</v>
      </c>
      <c r="AT1089" s="139">
        <f>VLOOKUP($AD$1086,$AC$1009:$AS$1020,17,FALSE)/$AE$1086*(AS1089/$AS$1113)</f>
        <v>12.821909425721071</v>
      </c>
      <c r="AU1089" s="139">
        <f>AS1089+AT1089</f>
        <v>207.29433903797289</v>
      </c>
      <c r="AW1089" s="139">
        <f>VLOOKUP($AD$1086,$A$1037:$O$1050,15,FALSE)/$AE$1086/24</f>
        <v>192.37068965517241</v>
      </c>
      <c r="AX1089" s="139">
        <f>AU1089-AW1089</f>
        <v>14.923649382800477</v>
      </c>
    </row>
    <row r="1090" spans="1:50" ht="15.75" customHeight="1" x14ac:dyDescent="0.3">
      <c r="A1090" s="642" t="s">
        <v>2091</v>
      </c>
      <c r="B1090" s="642">
        <f t="shared" si="482"/>
        <v>98</v>
      </c>
      <c r="C1090" s="139">
        <f t="shared" si="482"/>
        <v>0</v>
      </c>
      <c r="D1090" s="764" t="s">
        <v>2916</v>
      </c>
      <c r="E1090" s="139">
        <f t="shared" ref="E1090:S1090" si="485">+C1010/$C$10/24</f>
        <v>12.994252873563219</v>
      </c>
      <c r="F1090" s="139">
        <f t="shared" si="485"/>
        <v>13.60632183908046</v>
      </c>
      <c r="G1090" s="139">
        <f t="shared" si="485"/>
        <v>23.038793103448274</v>
      </c>
      <c r="H1090" s="139">
        <f t="shared" si="485"/>
        <v>0.84024570420580369</v>
      </c>
      <c r="I1090" s="139">
        <f t="shared" si="485"/>
        <v>0</v>
      </c>
      <c r="J1090" s="139">
        <f t="shared" si="485"/>
        <v>6.623563218390804</v>
      </c>
      <c r="K1090" s="139">
        <f t="shared" si="485"/>
        <v>5.2959770114942524</v>
      </c>
      <c r="L1090" s="139">
        <f t="shared" si="485"/>
        <v>8.1824712643678161</v>
      </c>
      <c r="M1090" s="139">
        <f t="shared" si="485"/>
        <v>8.4626436781609193</v>
      </c>
      <c r="N1090" s="139">
        <f t="shared" si="485"/>
        <v>2.6824712643678161</v>
      </c>
      <c r="O1090" s="139">
        <f t="shared" si="485"/>
        <v>3.1609195402298851</v>
      </c>
      <c r="P1090" s="139">
        <f t="shared" si="485"/>
        <v>6.1408045977011492</v>
      </c>
      <c r="Q1090" s="139">
        <f t="shared" si="485"/>
        <v>1.0459770114942528</v>
      </c>
      <c r="R1090" s="139">
        <f t="shared" si="485"/>
        <v>1.920977011494253</v>
      </c>
      <c r="S1090" s="764">
        <f t="shared" si="485"/>
        <v>2.4770114942528738</v>
      </c>
      <c r="T1090" s="139">
        <f t="shared" ref="T1090:T1100" si="486">+B1090+SUM(E1090:S1090)</f>
        <v>194.4724296122518</v>
      </c>
      <c r="U1090" s="139">
        <f t="shared" si="484"/>
        <v>96.472429612251787</v>
      </c>
      <c r="V1090" s="139">
        <f t="shared" ref="V1090:V1100" si="487">+B1090+SUM(E1090:G1090)</f>
        <v>147.63936781609195</v>
      </c>
      <c r="W1090" s="139">
        <f t="shared" ref="W1090:W1100" si="488">+C1090+SUM(E1090:G1090)</f>
        <v>49.639367816091948</v>
      </c>
      <c r="X1090" s="139">
        <f t="shared" ref="X1090:Y1100" si="489">+H1090</f>
        <v>0.84024570420580369</v>
      </c>
      <c r="Y1090" s="139">
        <f t="shared" si="489"/>
        <v>0</v>
      </c>
      <c r="Z1090" s="139">
        <f t="shared" ref="Z1090:Z1100" si="490">+SUM(J1090:S1090)</f>
        <v>45.992816091954012</v>
      </c>
      <c r="AC1090">
        <v>2</v>
      </c>
      <c r="AD1090" s="139">
        <f t="shared" ref="AD1090:AD1094" si="491">IF($AF$1086=1,VLOOKUP($AD$1086,$A$1116:$P$1127,12,FALSE),VLOOKUP($AD$1086,$A$1089:$S$1100,2,FALSE))</f>
        <v>98</v>
      </c>
      <c r="AE1090" s="139">
        <f t="shared" ref="AE1090:AE1112" si="492">VLOOKUP($AD$1086,$A$1089:$S$1100,5,FALSE)</f>
        <v>12.994252873563219</v>
      </c>
      <c r="AF1090" s="139">
        <f t="shared" ref="AF1090:AF1112" si="493">VLOOKUP($AD$1086,$A$1089:$S$1100,6,FALSE)</f>
        <v>13.60632183908046</v>
      </c>
      <c r="AG1090" s="139">
        <f t="shared" ref="AG1090:AG1112" si="494">VLOOKUP($AD$1086,$A$1089:$S$1100,7,FALSE)</f>
        <v>23.038793103448274</v>
      </c>
      <c r="AH1090" s="139">
        <f t="shared" ref="AH1090:AH1112" si="495">VLOOKUP($AD$1086,$A$1089:$S$1100,8,FALSE)</f>
        <v>0.84024570420580369</v>
      </c>
      <c r="AI1090" s="139">
        <f t="shared" ref="AI1090:AI1112" si="496">VLOOKUP($AD$1086,$A$1089:$S$1100,10,FALSE)</f>
        <v>6.623563218390804</v>
      </c>
      <c r="AJ1090" s="139">
        <f t="shared" ref="AJ1090:AJ1112" si="497">VLOOKUP($AD$1086,$A$1089:$S$1100,11,FALSE)</f>
        <v>5.2959770114942524</v>
      </c>
      <c r="AK1090" s="139">
        <f t="shared" ref="AK1090:AK1112" si="498">VLOOKUP($AD$1086,$A$1089:$S$1100,12,FALSE)</f>
        <v>8.1824712643678161</v>
      </c>
      <c r="AL1090" s="139">
        <f t="shared" ref="AL1090:AL1112" si="499">VLOOKUP($AD$1086,$A$1089:$S$1100,13,FALSE)</f>
        <v>8.4626436781609193</v>
      </c>
      <c r="AM1090" s="139">
        <f t="shared" ref="AM1090:AM1112" si="500">VLOOKUP($AD$1086,$A$1089:$S$1100,14,FALSE)</f>
        <v>2.6824712643678161</v>
      </c>
      <c r="AN1090" s="139">
        <f t="shared" ref="AN1090:AN1112" si="501">VLOOKUP($AD$1086,$A$1089:$S$1100,15,FALSE)</f>
        <v>3.1609195402298851</v>
      </c>
      <c r="AO1090" s="139">
        <f t="shared" ref="AO1090:AO1112" si="502">VLOOKUP($AD$1086,$A$1089:$S$1100,16,FALSE)</f>
        <v>6.1408045977011492</v>
      </c>
      <c r="AP1090" s="139">
        <f t="shared" ref="AP1090:AP1112" si="503">VLOOKUP($AD$1086,$A$1089:$S$1100,17,FALSE)</f>
        <v>1.0459770114942528</v>
      </c>
      <c r="AQ1090" s="139">
        <f t="shared" ref="AQ1090:AQ1112" si="504">VLOOKUP($AD$1086,$A$1089:$S$1100,18,FALSE)</f>
        <v>1.920977011494253</v>
      </c>
      <c r="AR1090" s="139">
        <f t="shared" ref="AR1090:AR1112" si="505">VLOOKUP($AD$1086,$A$1089:$S$1100,19,FALSE)</f>
        <v>2.4770114942528738</v>
      </c>
      <c r="AS1090" s="139">
        <f t="shared" ref="AS1090:AS1112" si="506">SUM(AD1090:AR1090)</f>
        <v>194.47242961225183</v>
      </c>
      <c r="AT1090" s="139">
        <f t="shared" ref="AT1090:AT1112" si="507">VLOOKUP($AD$1086,$AC$1009:$AS$1020,17,FALSE)/$AE$1086*(AS1090/$AS$1113)</f>
        <v>12.821909425721071</v>
      </c>
      <c r="AU1090" s="139">
        <f t="shared" ref="AU1090:AU1112" si="508">AS1090+AT1090</f>
        <v>207.29433903797289</v>
      </c>
      <c r="AW1090" s="139">
        <f t="shared" ref="AW1090:AW1112" si="509">VLOOKUP($AD$1086,$A$1037:$O$1050,15,FALSE)/$AE$1086/24</f>
        <v>192.37068965517241</v>
      </c>
      <c r="AX1090" s="139">
        <f t="shared" ref="AX1090:AX1112" si="510">AU1090-AW1090</f>
        <v>14.923649382800477</v>
      </c>
    </row>
    <row r="1091" spans="1:50" ht="15.75" customHeight="1" x14ac:dyDescent="0.3">
      <c r="A1091" s="642" t="s">
        <v>2234</v>
      </c>
      <c r="B1091" s="642">
        <f t="shared" si="482"/>
        <v>294</v>
      </c>
      <c r="C1091" s="139">
        <f t="shared" si="482"/>
        <v>0</v>
      </c>
      <c r="D1091" s="764" t="s">
        <v>2916</v>
      </c>
      <c r="E1091" s="139">
        <f t="shared" ref="E1091:S1091" si="511">+C1011/$D$10/24</f>
        <v>15.571236559139784</v>
      </c>
      <c r="F1091" s="139">
        <f t="shared" si="511"/>
        <v>16.291666666666668</v>
      </c>
      <c r="G1091" s="139">
        <f t="shared" si="511"/>
        <v>27.40994623655914</v>
      </c>
      <c r="H1091" s="139">
        <f t="shared" si="511"/>
        <v>6.9386153471150154</v>
      </c>
      <c r="I1091" s="139">
        <f t="shared" si="511"/>
        <v>-4.1668632350658106</v>
      </c>
      <c r="J1091" s="139">
        <f t="shared" si="511"/>
        <v>8.469086021505376</v>
      </c>
      <c r="K1091" s="139">
        <f t="shared" si="511"/>
        <v>6.55510752688172</v>
      </c>
      <c r="L1091" s="139">
        <f t="shared" si="511"/>
        <v>9.5013440860215059</v>
      </c>
      <c r="M1091" s="139">
        <f t="shared" si="511"/>
        <v>9.616935483870968</v>
      </c>
      <c r="N1091" s="139">
        <f t="shared" si="511"/>
        <v>2.8991935483870965</v>
      </c>
      <c r="O1091" s="139">
        <f t="shared" si="511"/>
        <v>3.4166666666666665</v>
      </c>
      <c r="P1091" s="139">
        <f t="shared" si="511"/>
        <v>6.833333333333333</v>
      </c>
      <c r="Q1091" s="139">
        <f t="shared" si="511"/>
        <v>0.99865591397849462</v>
      </c>
      <c r="R1091" s="139">
        <f t="shared" si="511"/>
        <v>1.9838709677419353</v>
      </c>
      <c r="S1091" s="764">
        <f t="shared" si="511"/>
        <v>2.3629032258064515</v>
      </c>
      <c r="T1091" s="139">
        <f t="shared" si="486"/>
        <v>408.68169834860839</v>
      </c>
      <c r="U1091" s="139">
        <f t="shared" si="484"/>
        <v>114.68169834860836</v>
      </c>
      <c r="V1091" s="139">
        <f t="shared" si="487"/>
        <v>353.27284946236557</v>
      </c>
      <c r="W1091" s="139">
        <f t="shared" si="488"/>
        <v>59.272849462365592</v>
      </c>
      <c r="X1091" s="139">
        <f t="shared" si="489"/>
        <v>6.9386153471150154</v>
      </c>
      <c r="Y1091" s="139">
        <f t="shared" si="489"/>
        <v>-4.1668632350658106</v>
      </c>
      <c r="Z1091" s="139">
        <f t="shared" si="490"/>
        <v>52.637096774193544</v>
      </c>
      <c r="AC1091">
        <v>3</v>
      </c>
      <c r="AD1091" s="139">
        <f t="shared" si="491"/>
        <v>98</v>
      </c>
      <c r="AE1091" s="139">
        <f t="shared" si="492"/>
        <v>12.994252873563219</v>
      </c>
      <c r="AF1091" s="139">
        <f t="shared" si="493"/>
        <v>13.60632183908046</v>
      </c>
      <c r="AG1091" s="139">
        <f t="shared" si="494"/>
        <v>23.038793103448274</v>
      </c>
      <c r="AH1091" s="139">
        <f t="shared" si="495"/>
        <v>0.84024570420580369</v>
      </c>
      <c r="AI1091" s="139">
        <f t="shared" si="496"/>
        <v>6.623563218390804</v>
      </c>
      <c r="AJ1091" s="139">
        <f t="shared" si="497"/>
        <v>5.2959770114942524</v>
      </c>
      <c r="AK1091" s="139">
        <f t="shared" si="498"/>
        <v>8.1824712643678161</v>
      </c>
      <c r="AL1091" s="139">
        <f t="shared" si="499"/>
        <v>8.4626436781609193</v>
      </c>
      <c r="AM1091" s="139">
        <f t="shared" si="500"/>
        <v>2.6824712643678161</v>
      </c>
      <c r="AN1091" s="139">
        <f t="shared" si="501"/>
        <v>3.1609195402298851</v>
      </c>
      <c r="AO1091" s="139">
        <f t="shared" si="502"/>
        <v>6.1408045977011492</v>
      </c>
      <c r="AP1091" s="139">
        <f t="shared" si="503"/>
        <v>1.0459770114942528</v>
      </c>
      <c r="AQ1091" s="139">
        <f t="shared" si="504"/>
        <v>1.920977011494253</v>
      </c>
      <c r="AR1091" s="139">
        <f t="shared" si="505"/>
        <v>2.4770114942528738</v>
      </c>
      <c r="AS1091" s="139">
        <f t="shared" si="506"/>
        <v>194.47242961225183</v>
      </c>
      <c r="AT1091" s="139">
        <f t="shared" si="507"/>
        <v>12.821909425721071</v>
      </c>
      <c r="AU1091" s="139">
        <f t="shared" si="508"/>
        <v>207.29433903797289</v>
      </c>
      <c r="AW1091" s="139">
        <f t="shared" si="509"/>
        <v>192.37068965517241</v>
      </c>
      <c r="AX1091" s="139">
        <f t="shared" si="510"/>
        <v>14.923649382800477</v>
      </c>
    </row>
    <row r="1092" spans="1:50" ht="15.75" customHeight="1" x14ac:dyDescent="0.3">
      <c r="A1092" s="642" t="s">
        <v>2235</v>
      </c>
      <c r="B1092" s="642">
        <f t="shared" si="482"/>
        <v>294</v>
      </c>
      <c r="C1092" s="139">
        <f t="shared" si="482"/>
        <v>0</v>
      </c>
      <c r="D1092" s="764" t="s">
        <v>2916</v>
      </c>
      <c r="E1092" s="139">
        <f t="shared" ref="E1092:S1092" si="512">+C1012/$F$10/24</f>
        <v>25.574999999999999</v>
      </c>
      <c r="F1092" s="139">
        <f t="shared" si="512"/>
        <v>26.769444444444446</v>
      </c>
      <c r="G1092" s="139">
        <f t="shared" si="512"/>
        <v>44.606944444444444</v>
      </c>
      <c r="H1092" s="139">
        <f t="shared" si="512"/>
        <v>1.1189791612568178</v>
      </c>
      <c r="I1092" s="139">
        <f t="shared" si="512"/>
        <v>0</v>
      </c>
      <c r="J1092" s="139">
        <f t="shared" si="512"/>
        <v>14.220833333333333</v>
      </c>
      <c r="K1092" s="139">
        <f t="shared" si="512"/>
        <v>10.85138888888889</v>
      </c>
      <c r="L1092" s="139">
        <f t="shared" si="512"/>
        <v>12.870833333333332</v>
      </c>
      <c r="M1092" s="139">
        <f t="shared" si="512"/>
        <v>11.180555555555555</v>
      </c>
      <c r="N1092" s="139">
        <f t="shared" si="512"/>
        <v>3.3236111111111111</v>
      </c>
      <c r="O1092" s="139">
        <f t="shared" si="512"/>
        <v>3.9152777777777779</v>
      </c>
      <c r="P1092" s="139">
        <f t="shared" si="512"/>
        <v>7.4249999999999998</v>
      </c>
      <c r="Q1092" s="139">
        <f t="shared" si="512"/>
        <v>1.1291666666666667</v>
      </c>
      <c r="R1092" s="139">
        <f t="shared" si="512"/>
        <v>2.4597222222222221</v>
      </c>
      <c r="S1092" s="764">
        <f t="shared" si="512"/>
        <v>2.6694444444444443</v>
      </c>
      <c r="T1092" s="139">
        <f t="shared" si="486"/>
        <v>462.11620138347905</v>
      </c>
      <c r="U1092" s="139">
        <f t="shared" si="484"/>
        <v>168.11620138347905</v>
      </c>
      <c r="V1092" s="139">
        <f t="shared" si="487"/>
        <v>390.95138888888891</v>
      </c>
      <c r="W1092" s="139">
        <f t="shared" si="488"/>
        <v>96.951388888888886</v>
      </c>
      <c r="X1092" s="139">
        <f t="shared" si="489"/>
        <v>1.1189791612568178</v>
      </c>
      <c r="Y1092" s="139">
        <f t="shared" si="489"/>
        <v>0</v>
      </c>
      <c r="Z1092" s="139">
        <f t="shared" si="490"/>
        <v>70.04583333333332</v>
      </c>
      <c r="AC1092">
        <v>4</v>
      </c>
      <c r="AD1092" s="139">
        <f t="shared" si="491"/>
        <v>98</v>
      </c>
      <c r="AE1092" s="139">
        <f t="shared" si="492"/>
        <v>12.994252873563219</v>
      </c>
      <c r="AF1092" s="139">
        <f t="shared" si="493"/>
        <v>13.60632183908046</v>
      </c>
      <c r="AG1092" s="139">
        <f t="shared" si="494"/>
        <v>23.038793103448274</v>
      </c>
      <c r="AH1092" s="139">
        <f t="shared" si="495"/>
        <v>0.84024570420580369</v>
      </c>
      <c r="AI1092" s="139">
        <f t="shared" si="496"/>
        <v>6.623563218390804</v>
      </c>
      <c r="AJ1092" s="139">
        <f t="shared" si="497"/>
        <v>5.2959770114942524</v>
      </c>
      <c r="AK1092" s="139">
        <f t="shared" si="498"/>
        <v>8.1824712643678161</v>
      </c>
      <c r="AL1092" s="139">
        <f t="shared" si="499"/>
        <v>8.4626436781609193</v>
      </c>
      <c r="AM1092" s="139">
        <f t="shared" si="500"/>
        <v>2.6824712643678161</v>
      </c>
      <c r="AN1092" s="139">
        <f t="shared" si="501"/>
        <v>3.1609195402298851</v>
      </c>
      <c r="AO1092" s="139">
        <f t="shared" si="502"/>
        <v>6.1408045977011492</v>
      </c>
      <c r="AP1092" s="139">
        <f t="shared" si="503"/>
        <v>1.0459770114942528</v>
      </c>
      <c r="AQ1092" s="139">
        <f t="shared" si="504"/>
        <v>1.920977011494253</v>
      </c>
      <c r="AR1092" s="139">
        <f t="shared" si="505"/>
        <v>2.4770114942528738</v>
      </c>
      <c r="AS1092" s="139">
        <f t="shared" si="506"/>
        <v>194.47242961225183</v>
      </c>
      <c r="AT1092" s="139">
        <f t="shared" si="507"/>
        <v>12.821909425721071</v>
      </c>
      <c r="AU1092" s="139">
        <f t="shared" si="508"/>
        <v>207.29433903797289</v>
      </c>
      <c r="AW1092" s="139">
        <f t="shared" si="509"/>
        <v>192.37068965517241</v>
      </c>
      <c r="AX1092" s="139">
        <f t="shared" si="510"/>
        <v>14.923649382800477</v>
      </c>
    </row>
    <row r="1093" spans="1:50" ht="15.75" customHeight="1" x14ac:dyDescent="0.3">
      <c r="A1093" s="642" t="s">
        <v>2236</v>
      </c>
      <c r="B1093" s="642">
        <f t="shared" si="482"/>
        <v>294</v>
      </c>
      <c r="C1093" s="139">
        <f t="shared" si="482"/>
        <v>0</v>
      </c>
      <c r="D1093" s="764" t="s">
        <v>2916</v>
      </c>
      <c r="E1093" s="139">
        <f t="shared" ref="E1093:S1093" si="513">+C1013/$G$10/24</f>
        <v>29.305107526881724</v>
      </c>
      <c r="F1093" s="139">
        <f t="shared" si="513"/>
        <v>30.677419354838708</v>
      </c>
      <c r="G1093" s="139">
        <f t="shared" si="513"/>
        <v>50.577956989247305</v>
      </c>
      <c r="H1093" s="139">
        <f t="shared" si="513"/>
        <v>0</v>
      </c>
      <c r="I1093" s="139">
        <f t="shared" si="513"/>
        <v>-2.6833005161614394</v>
      </c>
      <c r="J1093" s="139">
        <f t="shared" si="513"/>
        <v>16.508064516129032</v>
      </c>
      <c r="K1093" s="139">
        <f t="shared" si="513"/>
        <v>9.4153225806451619</v>
      </c>
      <c r="L1093" s="139">
        <f t="shared" si="513"/>
        <v>11.868279569892472</v>
      </c>
      <c r="M1093" s="139">
        <f t="shared" si="513"/>
        <v>10.584677419354838</v>
      </c>
      <c r="N1093" s="139">
        <f t="shared" si="513"/>
        <v>3.181451612903226</v>
      </c>
      <c r="O1093" s="139">
        <f t="shared" si="513"/>
        <v>3.7473118279569895</v>
      </c>
      <c r="P1093" s="139">
        <f t="shared" si="513"/>
        <v>7.2634408602150531</v>
      </c>
      <c r="Q1093" s="139">
        <f t="shared" si="513"/>
        <v>1.010752688172043</v>
      </c>
      <c r="R1093" s="139">
        <f t="shared" si="513"/>
        <v>3.1370967741935485</v>
      </c>
      <c r="S1093" s="764">
        <f t="shared" si="513"/>
        <v>2.389784946236559</v>
      </c>
      <c r="T1093" s="139">
        <f t="shared" si="486"/>
        <v>470.98336615050516</v>
      </c>
      <c r="U1093" s="139">
        <f t="shared" si="484"/>
        <v>176.98336615050519</v>
      </c>
      <c r="V1093" s="139">
        <f t="shared" si="487"/>
        <v>404.56048387096774</v>
      </c>
      <c r="W1093" s="139">
        <f t="shared" si="488"/>
        <v>110.56048387096774</v>
      </c>
      <c r="X1093" s="139">
        <f t="shared" si="489"/>
        <v>0</v>
      </c>
      <c r="Y1093" s="139">
        <f t="shared" si="489"/>
        <v>-2.6833005161614394</v>
      </c>
      <c r="Z1093" s="139">
        <f t="shared" si="490"/>
        <v>69.106182795698928</v>
      </c>
      <c r="AC1093">
        <v>5</v>
      </c>
      <c r="AD1093" s="139">
        <f t="shared" si="491"/>
        <v>98</v>
      </c>
      <c r="AE1093" s="139">
        <f t="shared" si="492"/>
        <v>12.994252873563219</v>
      </c>
      <c r="AF1093" s="139">
        <f t="shared" si="493"/>
        <v>13.60632183908046</v>
      </c>
      <c r="AG1093" s="139">
        <f t="shared" si="494"/>
        <v>23.038793103448274</v>
      </c>
      <c r="AH1093" s="139">
        <f t="shared" si="495"/>
        <v>0.84024570420580369</v>
      </c>
      <c r="AI1093" s="139">
        <f t="shared" si="496"/>
        <v>6.623563218390804</v>
      </c>
      <c r="AJ1093" s="139">
        <f t="shared" si="497"/>
        <v>5.2959770114942524</v>
      </c>
      <c r="AK1093" s="139">
        <f t="shared" si="498"/>
        <v>8.1824712643678161</v>
      </c>
      <c r="AL1093" s="139">
        <f t="shared" si="499"/>
        <v>8.4626436781609193</v>
      </c>
      <c r="AM1093" s="139">
        <f t="shared" si="500"/>
        <v>2.6824712643678161</v>
      </c>
      <c r="AN1093" s="139">
        <f t="shared" si="501"/>
        <v>3.1609195402298851</v>
      </c>
      <c r="AO1093" s="139">
        <f t="shared" si="502"/>
        <v>6.1408045977011492</v>
      </c>
      <c r="AP1093" s="139">
        <f t="shared" si="503"/>
        <v>1.0459770114942528</v>
      </c>
      <c r="AQ1093" s="139">
        <f t="shared" si="504"/>
        <v>1.920977011494253</v>
      </c>
      <c r="AR1093" s="139">
        <f t="shared" si="505"/>
        <v>2.4770114942528738</v>
      </c>
      <c r="AS1093" s="139">
        <f t="shared" si="506"/>
        <v>194.47242961225183</v>
      </c>
      <c r="AT1093" s="139">
        <f t="shared" si="507"/>
        <v>12.821909425721071</v>
      </c>
      <c r="AU1093" s="139">
        <f t="shared" si="508"/>
        <v>207.29433903797289</v>
      </c>
      <c r="AW1093" s="139">
        <f t="shared" si="509"/>
        <v>192.37068965517241</v>
      </c>
      <c r="AX1093" s="139">
        <f t="shared" si="510"/>
        <v>14.923649382800477</v>
      </c>
    </row>
    <row r="1094" spans="1:50" ht="15.75" customHeight="1" x14ac:dyDescent="0.3">
      <c r="A1094" s="642" t="s">
        <v>2237</v>
      </c>
      <c r="B1094" s="642">
        <f t="shared" si="482"/>
        <v>147</v>
      </c>
      <c r="C1094" s="139">
        <f t="shared" si="482"/>
        <v>0</v>
      </c>
      <c r="D1094" s="764" t="str">
        <f>H1121</f>
        <v>n/a</v>
      </c>
      <c r="E1094" s="139">
        <f t="shared" ref="E1094:S1094" si="514">+C1014/$H$10/24</f>
        <v>18.031944444444445</v>
      </c>
      <c r="F1094" s="139">
        <f t="shared" si="514"/>
        <v>18.848611111111111</v>
      </c>
      <c r="G1094" s="139">
        <f t="shared" si="514"/>
        <v>29.923611111111111</v>
      </c>
      <c r="H1094" s="139">
        <f t="shared" si="514"/>
        <v>0</v>
      </c>
      <c r="I1094" s="139">
        <f t="shared" si="514"/>
        <v>-17.237082140165789</v>
      </c>
      <c r="J1094" s="139">
        <f t="shared" si="514"/>
        <v>18.620833333333334</v>
      </c>
      <c r="K1094" s="139">
        <f t="shared" si="514"/>
        <v>10.333333333333334</v>
      </c>
      <c r="L1094" s="139">
        <f t="shared" si="514"/>
        <v>11.326388888888888</v>
      </c>
      <c r="M1094" s="139">
        <f t="shared" si="514"/>
        <v>9.5902777777777768</v>
      </c>
      <c r="N1094" s="139">
        <f t="shared" si="514"/>
        <v>3.244444444444444</v>
      </c>
      <c r="O1094" s="139">
        <f t="shared" si="514"/>
        <v>3.8208333333333333</v>
      </c>
      <c r="P1094" s="139">
        <f t="shared" si="514"/>
        <v>7.1736111111111107</v>
      </c>
      <c r="Q1094" s="139">
        <f t="shared" si="514"/>
        <v>1.1333333333333333</v>
      </c>
      <c r="R1094" s="139">
        <f t="shared" si="514"/>
        <v>3.3125</v>
      </c>
      <c r="S1094" s="764">
        <f t="shared" si="514"/>
        <v>2.6708333333333329</v>
      </c>
      <c r="T1094" s="139">
        <f t="shared" si="486"/>
        <v>267.79347341538977</v>
      </c>
      <c r="U1094" s="139">
        <f t="shared" si="484"/>
        <v>120.79347341538977</v>
      </c>
      <c r="V1094" s="139">
        <f t="shared" si="487"/>
        <v>213.80416666666667</v>
      </c>
      <c r="W1094" s="139">
        <f t="shared" si="488"/>
        <v>66.804166666666674</v>
      </c>
      <c r="X1094" s="139">
        <f t="shared" si="489"/>
        <v>0</v>
      </c>
      <c r="Y1094" s="139">
        <f t="shared" si="489"/>
        <v>-17.237082140165789</v>
      </c>
      <c r="Z1094" s="139">
        <f t="shared" si="490"/>
        <v>71.226388888888891</v>
      </c>
      <c r="AC1094">
        <v>6</v>
      </c>
      <c r="AD1094" s="139">
        <f t="shared" si="491"/>
        <v>98</v>
      </c>
      <c r="AE1094" s="139">
        <f t="shared" si="492"/>
        <v>12.994252873563219</v>
      </c>
      <c r="AF1094" s="139">
        <f t="shared" si="493"/>
        <v>13.60632183908046</v>
      </c>
      <c r="AG1094" s="139">
        <f t="shared" si="494"/>
        <v>23.038793103448274</v>
      </c>
      <c r="AH1094" s="139">
        <f t="shared" si="495"/>
        <v>0.84024570420580369</v>
      </c>
      <c r="AI1094" s="139">
        <f t="shared" si="496"/>
        <v>6.623563218390804</v>
      </c>
      <c r="AJ1094" s="139">
        <f t="shared" si="497"/>
        <v>5.2959770114942524</v>
      </c>
      <c r="AK1094" s="139">
        <f t="shared" si="498"/>
        <v>8.1824712643678161</v>
      </c>
      <c r="AL1094" s="139">
        <f t="shared" si="499"/>
        <v>8.4626436781609193</v>
      </c>
      <c r="AM1094" s="139">
        <f t="shared" si="500"/>
        <v>2.6824712643678161</v>
      </c>
      <c r="AN1094" s="139">
        <f t="shared" si="501"/>
        <v>3.1609195402298851</v>
      </c>
      <c r="AO1094" s="139">
        <f t="shared" si="502"/>
        <v>6.1408045977011492</v>
      </c>
      <c r="AP1094" s="139">
        <f t="shared" si="503"/>
        <v>1.0459770114942528</v>
      </c>
      <c r="AQ1094" s="139">
        <f t="shared" si="504"/>
        <v>1.920977011494253</v>
      </c>
      <c r="AR1094" s="139">
        <f t="shared" si="505"/>
        <v>2.4770114942528738</v>
      </c>
      <c r="AS1094" s="139">
        <f t="shared" si="506"/>
        <v>194.47242961225183</v>
      </c>
      <c r="AT1094" s="139">
        <f t="shared" si="507"/>
        <v>12.821909425721071</v>
      </c>
      <c r="AU1094" s="139">
        <f t="shared" si="508"/>
        <v>207.29433903797289</v>
      </c>
      <c r="AW1094" s="139">
        <f t="shared" si="509"/>
        <v>192.37068965517241</v>
      </c>
      <c r="AX1094" s="139">
        <f t="shared" si="510"/>
        <v>14.923649382800477</v>
      </c>
    </row>
    <row r="1095" spans="1:50" ht="15.75" customHeight="1" x14ac:dyDescent="0.3">
      <c r="A1095" s="642" t="s">
        <v>1504</v>
      </c>
      <c r="B1095" s="642">
        <f t="shared" si="482"/>
        <v>147</v>
      </c>
      <c r="C1095" s="139">
        <f t="shared" si="482"/>
        <v>0</v>
      </c>
      <c r="D1095" s="764" t="str">
        <f>H1122</f>
        <v>n/a</v>
      </c>
      <c r="E1095" s="139">
        <f t="shared" ref="E1095:S1095" si="515">+C1015/$J$10/24</f>
        <v>12.181451612903226</v>
      </c>
      <c r="F1095" s="139">
        <f t="shared" si="515"/>
        <v>12.71236559139785</v>
      </c>
      <c r="G1095" s="139">
        <f t="shared" si="515"/>
        <v>18.342741935483872</v>
      </c>
      <c r="H1095" s="139">
        <f t="shared" si="515"/>
        <v>0</v>
      </c>
      <c r="I1095" s="139">
        <f t="shared" si="515"/>
        <v>-18.29953934414274</v>
      </c>
      <c r="J1095" s="139">
        <f t="shared" si="515"/>
        <v>16.919354838709676</v>
      </c>
      <c r="K1095" s="139">
        <f t="shared" si="515"/>
        <v>11.248655913978494</v>
      </c>
      <c r="L1095" s="139">
        <f t="shared" si="515"/>
        <v>12.036290322580646</v>
      </c>
      <c r="M1095" s="139">
        <f t="shared" si="515"/>
        <v>10.346774193548386</v>
      </c>
      <c r="N1095" s="139">
        <f t="shared" si="515"/>
        <v>2.9731182795698925</v>
      </c>
      <c r="O1095" s="139">
        <f t="shared" si="515"/>
        <v>3.5013440860215055</v>
      </c>
      <c r="P1095" s="139">
        <f t="shared" si="515"/>
        <v>7.110215053763441</v>
      </c>
      <c r="Q1095" s="139">
        <f t="shared" si="515"/>
        <v>1.0470430107526882</v>
      </c>
      <c r="R1095" s="139">
        <f t="shared" si="515"/>
        <v>3.0672043010752685</v>
      </c>
      <c r="S1095" s="764">
        <f t="shared" si="515"/>
        <v>2.474462365591398</v>
      </c>
      <c r="T1095" s="139">
        <f t="shared" si="486"/>
        <v>242.66148216123358</v>
      </c>
      <c r="U1095" s="139">
        <f t="shared" si="484"/>
        <v>95.661482161233579</v>
      </c>
      <c r="V1095" s="139">
        <f t="shared" si="487"/>
        <v>190.23655913978496</v>
      </c>
      <c r="W1095" s="139">
        <f t="shared" si="488"/>
        <v>43.236559139784944</v>
      </c>
      <c r="X1095" s="139">
        <f t="shared" si="489"/>
        <v>0</v>
      </c>
      <c r="Y1095" s="139">
        <f t="shared" si="489"/>
        <v>-18.29953934414274</v>
      </c>
      <c r="Z1095" s="139">
        <f t="shared" si="490"/>
        <v>70.724462365591393</v>
      </c>
      <c r="AC1095">
        <v>7</v>
      </c>
      <c r="AD1095" s="139">
        <f>IF($AF$1086=1,VLOOKUP($AD$1086,$A$1116:$P$1127,12,FALSE),IF(OR($AD$1086="JAN",$AD$1086="FEB",$AD$1086="NOV",$AD$1086="DEC"),VLOOKUP($AD$1086,$A$1089:$S$1100,2,FALSE),VLOOKUP($AD$1086,$A$1089:$S$1100,3,FALSE)))</f>
        <v>98</v>
      </c>
      <c r="AE1095" s="139">
        <f t="shared" si="492"/>
        <v>12.994252873563219</v>
      </c>
      <c r="AF1095" s="139">
        <f t="shared" si="493"/>
        <v>13.60632183908046</v>
      </c>
      <c r="AG1095" s="139">
        <f t="shared" si="494"/>
        <v>23.038793103448274</v>
      </c>
      <c r="AH1095" s="139">
        <f t="shared" si="495"/>
        <v>0.84024570420580369</v>
      </c>
      <c r="AI1095" s="139">
        <f t="shared" si="496"/>
        <v>6.623563218390804</v>
      </c>
      <c r="AJ1095" s="139">
        <f t="shared" si="497"/>
        <v>5.2959770114942524</v>
      </c>
      <c r="AK1095" s="139">
        <f t="shared" si="498"/>
        <v>8.1824712643678161</v>
      </c>
      <c r="AL1095" s="139">
        <f t="shared" si="499"/>
        <v>8.4626436781609193</v>
      </c>
      <c r="AM1095" s="139">
        <f t="shared" si="500"/>
        <v>2.6824712643678161</v>
      </c>
      <c r="AN1095" s="139">
        <f t="shared" si="501"/>
        <v>3.1609195402298851</v>
      </c>
      <c r="AO1095" s="139">
        <f t="shared" si="502"/>
        <v>6.1408045977011492</v>
      </c>
      <c r="AP1095" s="139">
        <f t="shared" si="503"/>
        <v>1.0459770114942528</v>
      </c>
      <c r="AQ1095" s="139">
        <f t="shared" si="504"/>
        <v>1.920977011494253</v>
      </c>
      <c r="AR1095" s="139">
        <f t="shared" si="505"/>
        <v>2.4770114942528738</v>
      </c>
      <c r="AS1095" s="139">
        <f t="shared" si="506"/>
        <v>194.47242961225183</v>
      </c>
      <c r="AT1095" s="139">
        <f t="shared" si="507"/>
        <v>12.821909425721071</v>
      </c>
      <c r="AU1095" s="139">
        <f t="shared" si="508"/>
        <v>207.29433903797289</v>
      </c>
      <c r="AW1095" s="139">
        <f t="shared" si="509"/>
        <v>192.37068965517241</v>
      </c>
      <c r="AX1095" s="139">
        <f t="shared" si="510"/>
        <v>14.923649382800477</v>
      </c>
    </row>
    <row r="1096" spans="1:50" ht="15.75" customHeight="1" x14ac:dyDescent="0.3">
      <c r="A1096" s="642" t="s">
        <v>1505</v>
      </c>
      <c r="B1096" s="642">
        <f t="shared" si="482"/>
        <v>147</v>
      </c>
      <c r="C1096" s="139">
        <f t="shared" si="482"/>
        <v>0</v>
      </c>
      <c r="D1096" s="764" t="str">
        <f>H1123</f>
        <v>n/a</v>
      </c>
      <c r="E1096" s="139">
        <f t="shared" ref="E1096:S1096" si="516">+C1016/$K$10/24</f>
        <v>10.28225806451613</v>
      </c>
      <c r="F1096" s="139">
        <f t="shared" si="516"/>
        <v>10.73252688172043</v>
      </c>
      <c r="G1096" s="139">
        <f t="shared" si="516"/>
        <v>11.920698924731184</v>
      </c>
      <c r="H1096" s="139">
        <f t="shared" si="516"/>
        <v>1.1107640236536435E-3</v>
      </c>
      <c r="I1096" s="139">
        <f t="shared" si="516"/>
        <v>-15.394159676835569</v>
      </c>
      <c r="J1096" s="139">
        <f t="shared" si="516"/>
        <v>14.91263440860215</v>
      </c>
      <c r="K1096" s="139">
        <f t="shared" si="516"/>
        <v>10.505376344086022</v>
      </c>
      <c r="L1096" s="139">
        <f t="shared" si="516"/>
        <v>11.702956989247312</v>
      </c>
      <c r="M1096" s="139">
        <f t="shared" si="516"/>
        <v>9.6827956989247301</v>
      </c>
      <c r="N1096" s="139">
        <f t="shared" si="516"/>
        <v>2.711021505376344</v>
      </c>
      <c r="O1096" s="139">
        <f t="shared" si="516"/>
        <v>3.193548387096774</v>
      </c>
      <c r="P1096" s="139">
        <f t="shared" si="516"/>
        <v>6.086021505376344</v>
      </c>
      <c r="Q1096" s="139">
        <f t="shared" si="516"/>
        <v>1.0013440860215053</v>
      </c>
      <c r="R1096" s="139">
        <f t="shared" si="516"/>
        <v>3.0362903225806455</v>
      </c>
      <c r="S1096" s="764">
        <f t="shared" si="516"/>
        <v>2.3669354838709675</v>
      </c>
      <c r="T1096" s="139">
        <f t="shared" si="486"/>
        <v>229.74135968933859</v>
      </c>
      <c r="U1096" s="139">
        <f t="shared" si="484"/>
        <v>82.741359689338609</v>
      </c>
      <c r="V1096" s="139">
        <f t="shared" si="487"/>
        <v>179.93548387096774</v>
      </c>
      <c r="W1096" s="139">
        <f t="shared" si="488"/>
        <v>32.935483870967744</v>
      </c>
      <c r="X1096" s="139">
        <f t="shared" si="489"/>
        <v>1.1107640236536435E-3</v>
      </c>
      <c r="Y1096" s="139">
        <f t="shared" si="489"/>
        <v>-15.394159676835569</v>
      </c>
      <c r="Z1096" s="139">
        <f t="shared" si="490"/>
        <v>65.1989247311828</v>
      </c>
      <c r="AC1096">
        <v>8</v>
      </c>
      <c r="AD1096" s="139">
        <f>IF($AF$1086=1,VLOOKUP($AD$1086,$A$1116:$P$1127,12,FALSE),VLOOKUP($AD$1086,$A$1089:$S$1100,3,FALSE))</f>
        <v>0</v>
      </c>
      <c r="AE1096" s="139">
        <f t="shared" si="492"/>
        <v>12.994252873563219</v>
      </c>
      <c r="AF1096" s="139">
        <f t="shared" si="493"/>
        <v>13.60632183908046</v>
      </c>
      <c r="AG1096" s="139">
        <f t="shared" si="494"/>
        <v>23.038793103448274</v>
      </c>
      <c r="AH1096" s="139">
        <f t="shared" si="495"/>
        <v>0.84024570420580369</v>
      </c>
      <c r="AI1096" s="139">
        <f t="shared" si="496"/>
        <v>6.623563218390804</v>
      </c>
      <c r="AJ1096" s="139">
        <f t="shared" si="497"/>
        <v>5.2959770114942524</v>
      </c>
      <c r="AK1096" s="139">
        <f t="shared" si="498"/>
        <v>8.1824712643678161</v>
      </c>
      <c r="AL1096" s="139">
        <f t="shared" si="499"/>
        <v>8.4626436781609193</v>
      </c>
      <c r="AM1096" s="139">
        <f t="shared" si="500"/>
        <v>2.6824712643678161</v>
      </c>
      <c r="AN1096" s="139">
        <f t="shared" si="501"/>
        <v>3.1609195402298851</v>
      </c>
      <c r="AO1096" s="139">
        <f t="shared" si="502"/>
        <v>6.1408045977011492</v>
      </c>
      <c r="AP1096" s="139">
        <f t="shared" si="503"/>
        <v>1.0459770114942528</v>
      </c>
      <c r="AQ1096" s="139">
        <f t="shared" si="504"/>
        <v>1.920977011494253</v>
      </c>
      <c r="AR1096" s="139">
        <f t="shared" si="505"/>
        <v>2.4770114942528738</v>
      </c>
      <c r="AS1096" s="139">
        <f t="shared" si="506"/>
        <v>96.472429612251787</v>
      </c>
      <c r="AT1096" s="139">
        <f t="shared" si="507"/>
        <v>6.3605970112773997</v>
      </c>
      <c r="AU1096" s="139">
        <f t="shared" si="508"/>
        <v>102.83302662352919</v>
      </c>
      <c r="AW1096" s="139">
        <f t="shared" si="509"/>
        <v>192.37068965517241</v>
      </c>
      <c r="AX1096" s="139">
        <f t="shared" si="510"/>
        <v>-89.53766303164322</v>
      </c>
    </row>
    <row r="1097" spans="1:50" ht="15.75" customHeight="1" x14ac:dyDescent="0.3">
      <c r="A1097" s="642" t="s">
        <v>1506</v>
      </c>
      <c r="B1097" s="642">
        <f t="shared" si="482"/>
        <v>245</v>
      </c>
      <c r="C1097" s="139">
        <f t="shared" si="482"/>
        <v>0</v>
      </c>
      <c r="D1097" s="764" t="s">
        <v>2916</v>
      </c>
      <c r="E1097" s="139">
        <f t="shared" ref="E1097:S1097" si="517">+C1017/$L$10/24</f>
        <v>27.898611111111112</v>
      </c>
      <c r="F1097" s="139">
        <f t="shared" si="517"/>
        <v>29.218055555555555</v>
      </c>
      <c r="G1097" s="139">
        <f t="shared" si="517"/>
        <v>43.93055555555555</v>
      </c>
      <c r="H1097" s="139">
        <f t="shared" si="517"/>
        <v>7.8998735459945557</v>
      </c>
      <c r="I1097" s="139">
        <f t="shared" si="517"/>
        <v>-0.4498156058412055</v>
      </c>
      <c r="J1097" s="139">
        <f t="shared" si="517"/>
        <v>10.102777777777778</v>
      </c>
      <c r="K1097" s="139">
        <f t="shared" si="517"/>
        <v>8.2611111111111111</v>
      </c>
      <c r="L1097" s="139">
        <f t="shared" si="517"/>
        <v>8.6680555555555561</v>
      </c>
      <c r="M1097" s="139">
        <f t="shared" si="517"/>
        <v>8.3013888888888889</v>
      </c>
      <c r="N1097" s="139">
        <f t="shared" si="517"/>
        <v>2.4611111111111112</v>
      </c>
      <c r="O1097" s="139">
        <f t="shared" si="517"/>
        <v>2.8986111111111108</v>
      </c>
      <c r="P1097" s="139">
        <f t="shared" si="517"/>
        <v>5.8944444444444448</v>
      </c>
      <c r="Q1097" s="139">
        <f t="shared" si="517"/>
        <v>1.0819444444444444</v>
      </c>
      <c r="R1097" s="139">
        <f t="shared" si="517"/>
        <v>2.3847222222222224</v>
      </c>
      <c r="S1097" s="764">
        <f t="shared" si="517"/>
        <v>2.5597222222222222</v>
      </c>
      <c r="T1097" s="139">
        <f t="shared" si="486"/>
        <v>406.11116905126448</v>
      </c>
      <c r="U1097" s="139">
        <f t="shared" si="484"/>
        <v>161.11116905126445</v>
      </c>
      <c r="V1097" s="139">
        <f t="shared" si="487"/>
        <v>346.04722222222222</v>
      </c>
      <c r="W1097" s="139">
        <f t="shared" si="488"/>
        <v>101.04722222222222</v>
      </c>
      <c r="X1097" s="139">
        <f t="shared" si="489"/>
        <v>7.8998735459945557</v>
      </c>
      <c r="Y1097" s="139">
        <f t="shared" si="489"/>
        <v>-0.4498156058412055</v>
      </c>
      <c r="Z1097" s="139">
        <f t="shared" si="490"/>
        <v>52.61388888888888</v>
      </c>
      <c r="AC1097">
        <v>9</v>
      </c>
      <c r="AD1097" s="139">
        <f>IF($AF$1086=1,VLOOKUP($AD$1086,$A$1116:$P$1127,12,FALSE),VLOOKUP($AD$1086,$A$1089:$S$1100,3,FALSE))</f>
        <v>0</v>
      </c>
      <c r="AE1097" s="139">
        <f t="shared" si="492"/>
        <v>12.994252873563219</v>
      </c>
      <c r="AF1097" s="139">
        <f t="shared" si="493"/>
        <v>13.60632183908046</v>
      </c>
      <c r="AG1097" s="139">
        <f t="shared" si="494"/>
        <v>23.038793103448274</v>
      </c>
      <c r="AH1097" s="139">
        <f t="shared" si="495"/>
        <v>0.84024570420580369</v>
      </c>
      <c r="AI1097" s="139">
        <f t="shared" si="496"/>
        <v>6.623563218390804</v>
      </c>
      <c r="AJ1097" s="139">
        <f t="shared" si="497"/>
        <v>5.2959770114942524</v>
      </c>
      <c r="AK1097" s="139">
        <f t="shared" si="498"/>
        <v>8.1824712643678161</v>
      </c>
      <c r="AL1097" s="139">
        <f t="shared" si="499"/>
        <v>8.4626436781609193</v>
      </c>
      <c r="AM1097" s="139">
        <f t="shared" si="500"/>
        <v>2.6824712643678161</v>
      </c>
      <c r="AN1097" s="139">
        <f t="shared" si="501"/>
        <v>3.1609195402298851</v>
      </c>
      <c r="AO1097" s="139">
        <f t="shared" si="502"/>
        <v>6.1408045977011492</v>
      </c>
      <c r="AP1097" s="139">
        <f t="shared" si="503"/>
        <v>1.0459770114942528</v>
      </c>
      <c r="AQ1097" s="139">
        <f t="shared" si="504"/>
        <v>1.920977011494253</v>
      </c>
      <c r="AR1097" s="139">
        <f t="shared" si="505"/>
        <v>2.4770114942528738</v>
      </c>
      <c r="AS1097" s="139">
        <f t="shared" si="506"/>
        <v>96.472429612251787</v>
      </c>
      <c r="AT1097" s="139">
        <f t="shared" si="507"/>
        <v>6.3605970112773997</v>
      </c>
      <c r="AU1097" s="139">
        <f t="shared" si="508"/>
        <v>102.83302662352919</v>
      </c>
      <c r="AW1097" s="139">
        <f t="shared" si="509"/>
        <v>192.37068965517241</v>
      </c>
      <c r="AX1097" s="139">
        <f t="shared" si="510"/>
        <v>-89.53766303164322</v>
      </c>
    </row>
    <row r="1098" spans="1:50" ht="15.75" customHeight="1" x14ac:dyDescent="0.3">
      <c r="A1098" s="642" t="s">
        <v>1507</v>
      </c>
      <c r="B1098" s="642">
        <f t="shared" si="482"/>
        <v>245</v>
      </c>
      <c r="C1098" s="139">
        <f t="shared" si="482"/>
        <v>0</v>
      </c>
      <c r="D1098" s="764" t="s">
        <v>2916</v>
      </c>
      <c r="E1098" s="139">
        <f t="shared" ref="E1098:S1098" si="518">+C1018/$N$10/24</f>
        <v>26.778225806451612</v>
      </c>
      <c r="F1098" s="139">
        <f t="shared" si="518"/>
        <v>28.048387096774192</v>
      </c>
      <c r="G1098" s="139">
        <f t="shared" si="518"/>
        <v>43.77956989247312</v>
      </c>
      <c r="H1098" s="139">
        <f t="shared" si="518"/>
        <v>14.918724783117364</v>
      </c>
      <c r="I1098" s="139">
        <f t="shared" si="518"/>
        <v>-3.4627383296464633E-3</v>
      </c>
      <c r="J1098" s="139">
        <f t="shared" si="518"/>
        <v>6.9784946236559131</v>
      </c>
      <c r="K1098" s="139">
        <f t="shared" si="518"/>
        <v>3.8951612903225805</v>
      </c>
      <c r="L1098" s="139">
        <f t="shared" si="518"/>
        <v>5.43010752688172</v>
      </c>
      <c r="M1098" s="139">
        <f t="shared" si="518"/>
        <v>5.217741935483871</v>
      </c>
      <c r="N1098" s="139">
        <f t="shared" si="518"/>
        <v>1.596774193548387</v>
      </c>
      <c r="O1098" s="139">
        <f t="shared" si="518"/>
        <v>1.879032258064516</v>
      </c>
      <c r="P1098" s="139">
        <f t="shared" si="518"/>
        <v>3.7311827956989245</v>
      </c>
      <c r="Q1098" s="139">
        <f t="shared" si="518"/>
        <v>1.0255376344086022</v>
      </c>
      <c r="R1098" s="139">
        <f t="shared" si="518"/>
        <v>2.1733870967741935</v>
      </c>
      <c r="S1098" s="764">
        <f t="shared" si="518"/>
        <v>2.4260752688172045</v>
      </c>
      <c r="T1098" s="139">
        <f t="shared" si="486"/>
        <v>392.87493946414259</v>
      </c>
      <c r="U1098" s="139">
        <f t="shared" si="484"/>
        <v>147.87493946414259</v>
      </c>
      <c r="V1098" s="139">
        <f t="shared" si="487"/>
        <v>343.60618279569894</v>
      </c>
      <c r="W1098" s="139">
        <f t="shared" si="488"/>
        <v>98.606182795698928</v>
      </c>
      <c r="X1098" s="139">
        <f t="shared" si="489"/>
        <v>14.918724783117364</v>
      </c>
      <c r="Y1098" s="139">
        <f t="shared" si="489"/>
        <v>-3.4627383296464633E-3</v>
      </c>
      <c r="Z1098" s="139">
        <f t="shared" si="490"/>
        <v>34.353494623655919</v>
      </c>
      <c r="AC1098">
        <v>10</v>
      </c>
      <c r="AD1098" s="139">
        <f>IF($AF$1086=1,VLOOKUP($AD$1086,$A$1116:$P$1127,12,FALSE),VLOOKUP($AD$1086,$A$1089:$S$1100,3,FALSE))</f>
        <v>0</v>
      </c>
      <c r="AE1098" s="139">
        <f t="shared" si="492"/>
        <v>12.994252873563219</v>
      </c>
      <c r="AF1098" s="139">
        <f t="shared" si="493"/>
        <v>13.60632183908046</v>
      </c>
      <c r="AG1098" s="139">
        <f t="shared" si="494"/>
        <v>23.038793103448274</v>
      </c>
      <c r="AH1098" s="139">
        <f t="shared" si="495"/>
        <v>0.84024570420580369</v>
      </c>
      <c r="AI1098" s="139">
        <f t="shared" si="496"/>
        <v>6.623563218390804</v>
      </c>
      <c r="AJ1098" s="139">
        <f t="shared" si="497"/>
        <v>5.2959770114942524</v>
      </c>
      <c r="AK1098" s="139">
        <f t="shared" si="498"/>
        <v>8.1824712643678161</v>
      </c>
      <c r="AL1098" s="139">
        <f t="shared" si="499"/>
        <v>8.4626436781609193</v>
      </c>
      <c r="AM1098" s="139">
        <f t="shared" si="500"/>
        <v>2.6824712643678161</v>
      </c>
      <c r="AN1098" s="139">
        <f t="shared" si="501"/>
        <v>3.1609195402298851</v>
      </c>
      <c r="AO1098" s="139">
        <f t="shared" si="502"/>
        <v>6.1408045977011492</v>
      </c>
      <c r="AP1098" s="139">
        <f t="shared" si="503"/>
        <v>1.0459770114942528</v>
      </c>
      <c r="AQ1098" s="139">
        <f t="shared" si="504"/>
        <v>1.920977011494253</v>
      </c>
      <c r="AR1098" s="139">
        <f t="shared" si="505"/>
        <v>2.4770114942528738</v>
      </c>
      <c r="AS1098" s="139">
        <f t="shared" si="506"/>
        <v>96.472429612251787</v>
      </c>
      <c r="AT1098" s="139">
        <f t="shared" si="507"/>
        <v>6.3605970112773997</v>
      </c>
      <c r="AU1098" s="139">
        <f t="shared" si="508"/>
        <v>102.83302662352919</v>
      </c>
      <c r="AW1098" s="139">
        <f t="shared" si="509"/>
        <v>192.37068965517241</v>
      </c>
      <c r="AX1098" s="139">
        <f t="shared" si="510"/>
        <v>-89.53766303164322</v>
      </c>
    </row>
    <row r="1099" spans="1:50" ht="15.75" customHeight="1" x14ac:dyDescent="0.3">
      <c r="A1099" s="642" t="s">
        <v>1508</v>
      </c>
      <c r="B1099" s="642">
        <f t="shared" si="482"/>
        <v>245</v>
      </c>
      <c r="C1099" s="139">
        <f t="shared" si="482"/>
        <v>0</v>
      </c>
      <c r="D1099" s="764" t="s">
        <v>2916</v>
      </c>
      <c r="E1099" s="139">
        <f t="shared" ref="E1099:S1099" si="519">+C1019/$O$10/24</f>
        <v>21.072222222222223</v>
      </c>
      <c r="F1099" s="139">
        <f t="shared" si="519"/>
        <v>22.068055555555556</v>
      </c>
      <c r="G1099" s="139">
        <f t="shared" si="519"/>
        <v>34.56527777777778</v>
      </c>
      <c r="H1099" s="139">
        <f t="shared" si="519"/>
        <v>17.178498009175112</v>
      </c>
      <c r="I1099" s="139">
        <f t="shared" si="519"/>
        <v>-0.90381353093862404</v>
      </c>
      <c r="J1099" s="139">
        <f t="shared" si="519"/>
        <v>3.4208333333333329</v>
      </c>
      <c r="K1099" s="139">
        <f t="shared" si="519"/>
        <v>0.9458333333333333</v>
      </c>
      <c r="L1099" s="139">
        <f t="shared" si="519"/>
        <v>1.2958333333333334</v>
      </c>
      <c r="M1099" s="139">
        <f t="shared" si="519"/>
        <v>1.1902777777777778</v>
      </c>
      <c r="N1099" s="139">
        <f t="shared" si="519"/>
        <v>0.2388888888888889</v>
      </c>
      <c r="O1099" s="139">
        <f t="shared" si="519"/>
        <v>0.27916666666666667</v>
      </c>
      <c r="P1099" s="139">
        <f t="shared" si="519"/>
        <v>0.58611111111111114</v>
      </c>
      <c r="Q1099" s="139">
        <f t="shared" si="519"/>
        <v>0.3666666666666667</v>
      </c>
      <c r="R1099" s="139">
        <f t="shared" si="519"/>
        <v>2.0222222222222221</v>
      </c>
      <c r="S1099" s="764">
        <f t="shared" si="519"/>
        <v>0.8666666666666667</v>
      </c>
      <c r="T1099" s="139">
        <f t="shared" si="486"/>
        <v>350.19274003379206</v>
      </c>
      <c r="U1099" s="139">
        <f t="shared" si="484"/>
        <v>105.19274003379206</v>
      </c>
      <c r="V1099" s="139">
        <f t="shared" si="487"/>
        <v>322.70555555555558</v>
      </c>
      <c r="W1099" s="139">
        <f t="shared" si="488"/>
        <v>77.705555555555563</v>
      </c>
      <c r="X1099" s="139">
        <f t="shared" si="489"/>
        <v>17.178498009175112</v>
      </c>
      <c r="Y1099" s="139">
        <f t="shared" si="489"/>
        <v>-0.90381353093862404</v>
      </c>
      <c r="Z1099" s="139">
        <f t="shared" si="490"/>
        <v>11.2125</v>
      </c>
      <c r="AC1099">
        <v>11</v>
      </c>
      <c r="AD1099" s="139">
        <f>IF($AF$1086=1,VLOOKUP($AD$1086,$A$1116:$P$1127,12,FALSE),VLOOKUP($AD$1086,$A$1089:$S$1100,3,FALSE))</f>
        <v>0</v>
      </c>
      <c r="AE1099" s="139">
        <f t="shared" si="492"/>
        <v>12.994252873563219</v>
      </c>
      <c r="AF1099" s="139">
        <f t="shared" si="493"/>
        <v>13.60632183908046</v>
      </c>
      <c r="AG1099" s="139">
        <f t="shared" si="494"/>
        <v>23.038793103448274</v>
      </c>
      <c r="AH1099" s="139">
        <f t="shared" si="495"/>
        <v>0.84024570420580369</v>
      </c>
      <c r="AI1099" s="139">
        <f t="shared" si="496"/>
        <v>6.623563218390804</v>
      </c>
      <c r="AJ1099" s="139">
        <f t="shared" si="497"/>
        <v>5.2959770114942524</v>
      </c>
      <c r="AK1099" s="139">
        <f t="shared" si="498"/>
        <v>8.1824712643678161</v>
      </c>
      <c r="AL1099" s="139">
        <f t="shared" si="499"/>
        <v>8.4626436781609193</v>
      </c>
      <c r="AM1099" s="139">
        <f t="shared" si="500"/>
        <v>2.6824712643678161</v>
      </c>
      <c r="AN1099" s="139">
        <f t="shared" si="501"/>
        <v>3.1609195402298851</v>
      </c>
      <c r="AO1099" s="139">
        <f t="shared" si="502"/>
        <v>6.1408045977011492</v>
      </c>
      <c r="AP1099" s="139">
        <f t="shared" si="503"/>
        <v>1.0459770114942528</v>
      </c>
      <c r="AQ1099" s="139">
        <f t="shared" si="504"/>
        <v>1.920977011494253</v>
      </c>
      <c r="AR1099" s="139">
        <f t="shared" si="505"/>
        <v>2.4770114942528738</v>
      </c>
      <c r="AS1099" s="139">
        <f t="shared" si="506"/>
        <v>96.472429612251787</v>
      </c>
      <c r="AT1099" s="139">
        <f t="shared" si="507"/>
        <v>6.3605970112773997</v>
      </c>
      <c r="AU1099" s="139">
        <f t="shared" si="508"/>
        <v>102.83302662352919</v>
      </c>
      <c r="AW1099" s="139">
        <f t="shared" si="509"/>
        <v>192.37068965517241</v>
      </c>
      <c r="AX1099" s="139">
        <f t="shared" si="510"/>
        <v>-89.53766303164322</v>
      </c>
    </row>
    <row r="1100" spans="1:50" ht="15.75" customHeight="1" thickBot="1" x14ac:dyDescent="0.35">
      <c r="A1100" s="644" t="s">
        <v>1509</v>
      </c>
      <c r="B1100" s="644">
        <f t="shared" si="482"/>
        <v>245</v>
      </c>
      <c r="C1100" s="645">
        <f t="shared" si="482"/>
        <v>0</v>
      </c>
      <c r="D1100" s="646" t="s">
        <v>2916</v>
      </c>
      <c r="E1100" s="645">
        <f t="shared" ref="E1100:S1100" si="520">+C1020/$P$10/24</f>
        <v>20.91532258064516</v>
      </c>
      <c r="F1100" s="645">
        <f t="shared" si="520"/>
        <v>21.913978494623652</v>
      </c>
      <c r="G1100" s="645">
        <f t="shared" si="520"/>
        <v>35.340053763440856</v>
      </c>
      <c r="H1100" s="645">
        <f t="shared" si="520"/>
        <v>14.698469092215623</v>
      </c>
      <c r="I1100" s="645">
        <f t="shared" si="520"/>
        <v>0</v>
      </c>
      <c r="J1100" s="645">
        <f t="shared" si="520"/>
        <v>5.022849462365591</v>
      </c>
      <c r="K1100" s="645">
        <f t="shared" si="520"/>
        <v>3.8266129032258065</v>
      </c>
      <c r="L1100" s="645">
        <f t="shared" si="520"/>
        <v>5.256720430107527</v>
      </c>
      <c r="M1100" s="645">
        <f t="shared" si="520"/>
        <v>5.239247311827957</v>
      </c>
      <c r="N1100" s="645">
        <f t="shared" si="520"/>
        <v>1.721774193548387</v>
      </c>
      <c r="O1100" s="645">
        <f t="shared" si="520"/>
        <v>2.028225806451613</v>
      </c>
      <c r="P1100" s="645">
        <f t="shared" si="520"/>
        <v>4.154569892473118</v>
      </c>
      <c r="Q1100" s="645">
        <f t="shared" si="520"/>
        <v>1.321236559139785</v>
      </c>
      <c r="R1100" s="645">
        <f t="shared" si="520"/>
        <v>1.739247311827957</v>
      </c>
      <c r="S1100" s="646">
        <f t="shared" si="520"/>
        <v>3.129032258064516</v>
      </c>
      <c r="T1100" s="139">
        <f t="shared" si="486"/>
        <v>371.30734005995754</v>
      </c>
      <c r="U1100" s="139">
        <f t="shared" si="484"/>
        <v>126.30734005995753</v>
      </c>
      <c r="V1100" s="139">
        <f t="shared" si="487"/>
        <v>323.16935483870964</v>
      </c>
      <c r="W1100" s="139">
        <f t="shared" si="488"/>
        <v>78.169354838709666</v>
      </c>
      <c r="X1100" s="139">
        <f t="shared" si="489"/>
        <v>14.698469092215623</v>
      </c>
      <c r="Y1100" s="139">
        <f t="shared" si="489"/>
        <v>0</v>
      </c>
      <c r="Z1100" s="139">
        <f t="shared" si="490"/>
        <v>33.439516129032256</v>
      </c>
      <c r="AC1100">
        <v>12</v>
      </c>
      <c r="AD1100" s="139">
        <f>IF($AF$1086=1,VLOOKUP($AD$1086,$A$1116:$P$1127,12,FALSE),VLOOKUP($AD$1086,$A$1089:$S$1100,3,FALSE))</f>
        <v>0</v>
      </c>
      <c r="AE1100" s="139">
        <f t="shared" si="492"/>
        <v>12.994252873563219</v>
      </c>
      <c r="AF1100" s="139">
        <f t="shared" si="493"/>
        <v>13.60632183908046</v>
      </c>
      <c r="AG1100" s="139">
        <f t="shared" si="494"/>
        <v>23.038793103448274</v>
      </c>
      <c r="AH1100" s="139">
        <f t="shared" si="495"/>
        <v>0.84024570420580369</v>
      </c>
      <c r="AI1100" s="139">
        <f t="shared" si="496"/>
        <v>6.623563218390804</v>
      </c>
      <c r="AJ1100" s="139">
        <f t="shared" si="497"/>
        <v>5.2959770114942524</v>
      </c>
      <c r="AK1100" s="139">
        <f t="shared" si="498"/>
        <v>8.1824712643678161</v>
      </c>
      <c r="AL1100" s="139">
        <f t="shared" si="499"/>
        <v>8.4626436781609193</v>
      </c>
      <c r="AM1100" s="139">
        <f t="shared" si="500"/>
        <v>2.6824712643678161</v>
      </c>
      <c r="AN1100" s="139">
        <f t="shared" si="501"/>
        <v>3.1609195402298851</v>
      </c>
      <c r="AO1100" s="139">
        <f t="shared" si="502"/>
        <v>6.1408045977011492</v>
      </c>
      <c r="AP1100" s="139">
        <f t="shared" si="503"/>
        <v>1.0459770114942528</v>
      </c>
      <c r="AQ1100" s="139">
        <f t="shared" si="504"/>
        <v>1.920977011494253</v>
      </c>
      <c r="AR1100" s="139">
        <f t="shared" si="505"/>
        <v>2.4770114942528738</v>
      </c>
      <c r="AS1100" s="139">
        <f t="shared" si="506"/>
        <v>96.472429612251787</v>
      </c>
      <c r="AT1100" s="139">
        <f t="shared" si="507"/>
        <v>6.3605970112773997</v>
      </c>
      <c r="AU1100" s="139">
        <f t="shared" si="508"/>
        <v>102.83302662352919</v>
      </c>
      <c r="AW1100" s="139">
        <f t="shared" si="509"/>
        <v>192.37068965517241</v>
      </c>
      <c r="AX1100" s="139">
        <f t="shared" si="510"/>
        <v>-89.53766303164322</v>
      </c>
    </row>
    <row r="1101" spans="1:50" ht="15.75" customHeight="1" x14ac:dyDescent="0.3">
      <c r="A1101" s="641"/>
      <c r="AC1101">
        <v>13</v>
      </c>
      <c r="AD1101" s="139">
        <f>IF($AF$1086=1,VLOOKUP($AD$1086,$A$1116:$P$1127,12,FALSE),IF(OR($AD$1086="JUN",$AD$1086="JUL",$AD$1086="AUG"),VLOOKUP($AD$1086,$A$1089:$S$1100,4,FALSE),VLOOKUP($AD$1086,$A$1089:$S$1100,3,FALSE)))</f>
        <v>0</v>
      </c>
      <c r="AE1101" s="139">
        <f t="shared" si="492"/>
        <v>12.994252873563219</v>
      </c>
      <c r="AF1101" s="139">
        <f t="shared" si="493"/>
        <v>13.60632183908046</v>
      </c>
      <c r="AG1101" s="139">
        <f t="shared" si="494"/>
        <v>23.038793103448274</v>
      </c>
      <c r="AH1101" s="139">
        <f t="shared" si="495"/>
        <v>0.84024570420580369</v>
      </c>
      <c r="AI1101" s="139">
        <f t="shared" si="496"/>
        <v>6.623563218390804</v>
      </c>
      <c r="AJ1101" s="139">
        <f t="shared" si="497"/>
        <v>5.2959770114942524</v>
      </c>
      <c r="AK1101" s="139">
        <f t="shared" si="498"/>
        <v>8.1824712643678161</v>
      </c>
      <c r="AL1101" s="139">
        <f t="shared" si="499"/>
        <v>8.4626436781609193</v>
      </c>
      <c r="AM1101" s="139">
        <f t="shared" si="500"/>
        <v>2.6824712643678161</v>
      </c>
      <c r="AN1101" s="139">
        <f t="shared" si="501"/>
        <v>3.1609195402298851</v>
      </c>
      <c r="AO1101" s="139">
        <f t="shared" si="502"/>
        <v>6.1408045977011492</v>
      </c>
      <c r="AP1101" s="139">
        <f t="shared" si="503"/>
        <v>1.0459770114942528</v>
      </c>
      <c r="AQ1101" s="139">
        <f t="shared" si="504"/>
        <v>1.920977011494253</v>
      </c>
      <c r="AR1101" s="139">
        <f t="shared" si="505"/>
        <v>2.4770114942528738</v>
      </c>
      <c r="AS1101" s="139">
        <f t="shared" si="506"/>
        <v>96.472429612251787</v>
      </c>
      <c r="AT1101" s="139">
        <f t="shared" si="507"/>
        <v>6.3605970112773997</v>
      </c>
      <c r="AU1101" s="139">
        <f t="shared" si="508"/>
        <v>102.83302662352919</v>
      </c>
      <c r="AW1101" s="139">
        <f t="shared" si="509"/>
        <v>192.37068965517241</v>
      </c>
      <c r="AX1101" s="139">
        <f t="shared" si="510"/>
        <v>-89.53766303164322</v>
      </c>
    </row>
    <row r="1102" spans="1:50" ht="27.75" customHeight="1" x14ac:dyDescent="0.3">
      <c r="A1102" s="641" t="s">
        <v>2889</v>
      </c>
      <c r="AC1102">
        <v>14</v>
      </c>
      <c r="AD1102" s="139">
        <f t="shared" ref="AD1102:AD1108" si="521">IF($AF$1086=1,VLOOKUP($AD$1086,$A$1116:$P$1127,12,FALSE),IF(OR($AD$1086="JUN",$AD$1086="JUL",$AD$1086="AUG"),VLOOKUP($AD$1086,$A$1089:$S$1100,4,FALSE),VLOOKUP($AD$1086,$A$1089:$S$1100,3,FALSE)))</f>
        <v>0</v>
      </c>
      <c r="AE1102" s="139">
        <f t="shared" si="492"/>
        <v>12.994252873563219</v>
      </c>
      <c r="AF1102" s="139">
        <f t="shared" si="493"/>
        <v>13.60632183908046</v>
      </c>
      <c r="AG1102" s="139">
        <f t="shared" si="494"/>
        <v>23.038793103448274</v>
      </c>
      <c r="AH1102" s="139">
        <f t="shared" si="495"/>
        <v>0.84024570420580369</v>
      </c>
      <c r="AI1102" s="139">
        <f t="shared" si="496"/>
        <v>6.623563218390804</v>
      </c>
      <c r="AJ1102" s="139">
        <f t="shared" si="497"/>
        <v>5.2959770114942524</v>
      </c>
      <c r="AK1102" s="139">
        <f t="shared" si="498"/>
        <v>8.1824712643678161</v>
      </c>
      <c r="AL1102" s="139">
        <f t="shared" si="499"/>
        <v>8.4626436781609193</v>
      </c>
      <c r="AM1102" s="139">
        <f t="shared" si="500"/>
        <v>2.6824712643678161</v>
      </c>
      <c r="AN1102" s="139">
        <f t="shared" si="501"/>
        <v>3.1609195402298851</v>
      </c>
      <c r="AO1102" s="139">
        <f t="shared" si="502"/>
        <v>6.1408045977011492</v>
      </c>
      <c r="AP1102" s="139">
        <f t="shared" si="503"/>
        <v>1.0459770114942528</v>
      </c>
      <c r="AQ1102" s="139">
        <f t="shared" si="504"/>
        <v>1.920977011494253</v>
      </c>
      <c r="AR1102" s="139">
        <f t="shared" si="505"/>
        <v>2.4770114942528738</v>
      </c>
      <c r="AS1102" s="139">
        <f t="shared" si="506"/>
        <v>96.472429612251787</v>
      </c>
      <c r="AT1102" s="139">
        <f t="shared" si="507"/>
        <v>6.3605970112773997</v>
      </c>
      <c r="AU1102" s="139">
        <f t="shared" si="508"/>
        <v>102.83302662352919</v>
      </c>
      <c r="AW1102" s="139">
        <f t="shared" si="509"/>
        <v>192.37068965517241</v>
      </c>
      <c r="AX1102" s="139">
        <f t="shared" si="510"/>
        <v>-89.53766303164322</v>
      </c>
    </row>
    <row r="1103" spans="1:50" ht="15.75" customHeight="1" x14ac:dyDescent="0.3">
      <c r="A1103" s="641"/>
      <c r="AC1103">
        <v>15</v>
      </c>
      <c r="AD1103" s="139">
        <f t="shared" si="521"/>
        <v>0</v>
      </c>
      <c r="AE1103" s="139">
        <f t="shared" si="492"/>
        <v>12.994252873563219</v>
      </c>
      <c r="AF1103" s="139">
        <f t="shared" si="493"/>
        <v>13.60632183908046</v>
      </c>
      <c r="AG1103" s="139">
        <f t="shared" si="494"/>
        <v>23.038793103448274</v>
      </c>
      <c r="AH1103" s="139">
        <f t="shared" si="495"/>
        <v>0.84024570420580369</v>
      </c>
      <c r="AI1103" s="139">
        <f t="shared" si="496"/>
        <v>6.623563218390804</v>
      </c>
      <c r="AJ1103" s="139">
        <f t="shared" si="497"/>
        <v>5.2959770114942524</v>
      </c>
      <c r="AK1103" s="139">
        <f t="shared" si="498"/>
        <v>8.1824712643678161</v>
      </c>
      <c r="AL1103" s="139">
        <f t="shared" si="499"/>
        <v>8.4626436781609193</v>
      </c>
      <c r="AM1103" s="139">
        <f t="shared" si="500"/>
        <v>2.6824712643678161</v>
      </c>
      <c r="AN1103" s="139">
        <f t="shared" si="501"/>
        <v>3.1609195402298851</v>
      </c>
      <c r="AO1103" s="139">
        <f t="shared" si="502"/>
        <v>6.1408045977011492</v>
      </c>
      <c r="AP1103" s="139">
        <f t="shared" si="503"/>
        <v>1.0459770114942528</v>
      </c>
      <c r="AQ1103" s="139">
        <f t="shared" si="504"/>
        <v>1.920977011494253</v>
      </c>
      <c r="AR1103" s="139">
        <f t="shared" si="505"/>
        <v>2.4770114942528738</v>
      </c>
      <c r="AS1103" s="139">
        <f t="shared" si="506"/>
        <v>96.472429612251787</v>
      </c>
      <c r="AT1103" s="139">
        <f t="shared" si="507"/>
        <v>6.3605970112773997</v>
      </c>
      <c r="AU1103" s="139">
        <f t="shared" si="508"/>
        <v>102.83302662352919</v>
      </c>
      <c r="AW1103" s="139">
        <f t="shared" si="509"/>
        <v>192.37068965517241</v>
      </c>
      <c r="AX1103" s="139">
        <f t="shared" si="510"/>
        <v>-89.53766303164322</v>
      </c>
    </row>
    <row r="1104" spans="1:50" ht="15.75" customHeight="1" x14ac:dyDescent="0.3">
      <c r="A1104" s="641"/>
      <c r="AC1104">
        <v>16</v>
      </c>
      <c r="AD1104" s="139">
        <f t="shared" si="521"/>
        <v>0</v>
      </c>
      <c r="AE1104" s="139">
        <f t="shared" si="492"/>
        <v>12.994252873563219</v>
      </c>
      <c r="AF1104" s="139">
        <f t="shared" si="493"/>
        <v>13.60632183908046</v>
      </c>
      <c r="AG1104" s="139">
        <f t="shared" si="494"/>
        <v>23.038793103448274</v>
      </c>
      <c r="AH1104" s="139">
        <f t="shared" si="495"/>
        <v>0.84024570420580369</v>
      </c>
      <c r="AI1104" s="139">
        <f t="shared" si="496"/>
        <v>6.623563218390804</v>
      </c>
      <c r="AJ1104" s="139">
        <f t="shared" si="497"/>
        <v>5.2959770114942524</v>
      </c>
      <c r="AK1104" s="139">
        <f t="shared" si="498"/>
        <v>8.1824712643678161</v>
      </c>
      <c r="AL1104" s="139">
        <f t="shared" si="499"/>
        <v>8.4626436781609193</v>
      </c>
      <c r="AM1104" s="139">
        <f t="shared" si="500"/>
        <v>2.6824712643678161</v>
      </c>
      <c r="AN1104" s="139">
        <f t="shared" si="501"/>
        <v>3.1609195402298851</v>
      </c>
      <c r="AO1104" s="139">
        <f t="shared" si="502"/>
        <v>6.1408045977011492</v>
      </c>
      <c r="AP1104" s="139">
        <f t="shared" si="503"/>
        <v>1.0459770114942528</v>
      </c>
      <c r="AQ1104" s="139">
        <f t="shared" si="504"/>
        <v>1.920977011494253</v>
      </c>
      <c r="AR1104" s="139">
        <f t="shared" si="505"/>
        <v>2.4770114942528738</v>
      </c>
      <c r="AS1104" s="139">
        <f t="shared" si="506"/>
        <v>96.472429612251787</v>
      </c>
      <c r="AT1104" s="139">
        <f t="shared" si="507"/>
        <v>6.3605970112773997</v>
      </c>
      <c r="AU1104" s="139">
        <f t="shared" si="508"/>
        <v>102.83302662352919</v>
      </c>
      <c r="AW1104" s="139">
        <f t="shared" si="509"/>
        <v>192.37068965517241</v>
      </c>
      <c r="AX1104" s="139">
        <f t="shared" si="510"/>
        <v>-89.53766303164322</v>
      </c>
    </row>
    <row r="1105" spans="1:50" ht="15.75" customHeight="1" thickBot="1" x14ac:dyDescent="0.35">
      <c r="A1105" s="641"/>
      <c r="AC1105">
        <v>17</v>
      </c>
      <c r="AD1105" s="139">
        <f t="shared" si="521"/>
        <v>0</v>
      </c>
      <c r="AE1105" s="139">
        <f t="shared" si="492"/>
        <v>12.994252873563219</v>
      </c>
      <c r="AF1105" s="139">
        <f t="shared" si="493"/>
        <v>13.60632183908046</v>
      </c>
      <c r="AG1105" s="139">
        <f t="shared" si="494"/>
        <v>23.038793103448274</v>
      </c>
      <c r="AH1105" s="139">
        <f t="shared" si="495"/>
        <v>0.84024570420580369</v>
      </c>
      <c r="AI1105" s="139">
        <f t="shared" si="496"/>
        <v>6.623563218390804</v>
      </c>
      <c r="AJ1105" s="139">
        <f t="shared" si="497"/>
        <v>5.2959770114942524</v>
      </c>
      <c r="AK1105" s="139">
        <f t="shared" si="498"/>
        <v>8.1824712643678161</v>
      </c>
      <c r="AL1105" s="139">
        <f t="shared" si="499"/>
        <v>8.4626436781609193</v>
      </c>
      <c r="AM1105" s="139">
        <f t="shared" si="500"/>
        <v>2.6824712643678161</v>
      </c>
      <c r="AN1105" s="139">
        <f t="shared" si="501"/>
        <v>3.1609195402298851</v>
      </c>
      <c r="AO1105" s="139">
        <f t="shared" si="502"/>
        <v>6.1408045977011492</v>
      </c>
      <c r="AP1105" s="139">
        <f t="shared" si="503"/>
        <v>1.0459770114942528</v>
      </c>
      <c r="AQ1105" s="139">
        <f t="shared" si="504"/>
        <v>1.920977011494253</v>
      </c>
      <c r="AR1105" s="139">
        <f t="shared" si="505"/>
        <v>2.4770114942528738</v>
      </c>
      <c r="AS1105" s="139">
        <f t="shared" si="506"/>
        <v>96.472429612251787</v>
      </c>
      <c r="AT1105" s="139">
        <f t="shared" si="507"/>
        <v>6.3605970112773997</v>
      </c>
      <c r="AU1105" s="139">
        <f t="shared" si="508"/>
        <v>102.83302662352919</v>
      </c>
      <c r="AW1105" s="139">
        <f t="shared" si="509"/>
        <v>192.37068965517241</v>
      </c>
      <c r="AX1105" s="139">
        <f t="shared" si="510"/>
        <v>-89.53766303164322</v>
      </c>
    </row>
    <row r="1106" spans="1:50" ht="15.75" customHeight="1" x14ac:dyDescent="0.3">
      <c r="A1106" s="765"/>
      <c r="B1106" s="821" t="s">
        <v>2887</v>
      </c>
      <c r="C1106" s="821"/>
      <c r="D1106" s="821"/>
      <c r="E1106" s="821"/>
      <c r="F1106" s="821"/>
      <c r="G1106" s="821"/>
      <c r="H1106" s="821"/>
      <c r="I1106" s="821"/>
      <c r="J1106" s="821"/>
      <c r="K1106" s="821"/>
      <c r="L1106" s="821"/>
      <c r="M1106" s="821"/>
      <c r="N1106" s="821"/>
      <c r="O1106" s="821"/>
      <c r="P1106" s="821"/>
      <c r="Q1106" s="752" t="str">
        <f>+Q1</f>
        <v xml:space="preserve">PRINTED:  </v>
      </c>
      <c r="R1106" s="753">
        <f ca="1">+R1</f>
        <v>44881.729633912037</v>
      </c>
      <c r="AC1106">
        <v>18</v>
      </c>
      <c r="AD1106" s="139">
        <f t="shared" si="521"/>
        <v>0</v>
      </c>
      <c r="AE1106" s="139">
        <f t="shared" si="492"/>
        <v>12.994252873563219</v>
      </c>
      <c r="AF1106" s="139">
        <f t="shared" si="493"/>
        <v>13.60632183908046</v>
      </c>
      <c r="AG1106" s="139">
        <f t="shared" si="494"/>
        <v>23.038793103448274</v>
      </c>
      <c r="AH1106" s="139">
        <f t="shared" si="495"/>
        <v>0.84024570420580369</v>
      </c>
      <c r="AI1106" s="139">
        <f t="shared" si="496"/>
        <v>6.623563218390804</v>
      </c>
      <c r="AJ1106" s="139">
        <f t="shared" si="497"/>
        <v>5.2959770114942524</v>
      </c>
      <c r="AK1106" s="139">
        <f t="shared" si="498"/>
        <v>8.1824712643678161</v>
      </c>
      <c r="AL1106" s="139">
        <f t="shared" si="499"/>
        <v>8.4626436781609193</v>
      </c>
      <c r="AM1106" s="139">
        <f t="shared" si="500"/>
        <v>2.6824712643678161</v>
      </c>
      <c r="AN1106" s="139">
        <f t="shared" si="501"/>
        <v>3.1609195402298851</v>
      </c>
      <c r="AO1106" s="139">
        <f t="shared" si="502"/>
        <v>6.1408045977011492</v>
      </c>
      <c r="AP1106" s="139">
        <f t="shared" si="503"/>
        <v>1.0459770114942528</v>
      </c>
      <c r="AQ1106" s="139">
        <f t="shared" si="504"/>
        <v>1.920977011494253</v>
      </c>
      <c r="AR1106" s="139">
        <f t="shared" si="505"/>
        <v>2.4770114942528738</v>
      </c>
      <c r="AS1106" s="139">
        <f t="shared" si="506"/>
        <v>96.472429612251787</v>
      </c>
      <c r="AT1106" s="139">
        <f t="shared" si="507"/>
        <v>6.3605970112773997</v>
      </c>
      <c r="AU1106" s="139">
        <f t="shared" si="508"/>
        <v>102.83302662352919</v>
      </c>
      <c r="AW1106" s="139">
        <f t="shared" si="509"/>
        <v>192.37068965517241</v>
      </c>
      <c r="AX1106" s="139">
        <f t="shared" si="510"/>
        <v>-89.53766303164322</v>
      </c>
    </row>
    <row r="1107" spans="1:50" ht="16.5" customHeight="1" x14ac:dyDescent="0.3">
      <c r="A1107" s="647"/>
      <c r="B1107" s="786" t="str">
        <f>+A8</f>
        <v>Revised:  10/5/2020</v>
      </c>
      <c r="C1107" s="786"/>
      <c r="D1107" s="786"/>
      <c r="E1107" s="786"/>
      <c r="F1107" s="786"/>
      <c r="G1107" s="786"/>
      <c r="H1107" s="786"/>
      <c r="I1107" s="786"/>
      <c r="J1107" s="786"/>
      <c r="K1107" s="786"/>
      <c r="L1107" s="786"/>
      <c r="M1107" s="786"/>
      <c r="N1107" s="786"/>
      <c r="O1107" s="786"/>
      <c r="P1107" s="786"/>
      <c r="R1107" s="727"/>
      <c r="AC1107">
        <v>19</v>
      </c>
      <c r="AD1107" s="139">
        <f t="shared" si="521"/>
        <v>0</v>
      </c>
      <c r="AE1107" s="139">
        <f t="shared" si="492"/>
        <v>12.994252873563219</v>
      </c>
      <c r="AF1107" s="139">
        <f t="shared" si="493"/>
        <v>13.60632183908046</v>
      </c>
      <c r="AG1107" s="139">
        <f t="shared" si="494"/>
        <v>23.038793103448274</v>
      </c>
      <c r="AH1107" s="139">
        <f t="shared" si="495"/>
        <v>0.84024570420580369</v>
      </c>
      <c r="AI1107" s="139">
        <f t="shared" si="496"/>
        <v>6.623563218390804</v>
      </c>
      <c r="AJ1107" s="139">
        <f t="shared" si="497"/>
        <v>5.2959770114942524</v>
      </c>
      <c r="AK1107" s="139">
        <f t="shared" si="498"/>
        <v>8.1824712643678161</v>
      </c>
      <c r="AL1107" s="139">
        <f t="shared" si="499"/>
        <v>8.4626436781609193</v>
      </c>
      <c r="AM1107" s="139">
        <f t="shared" si="500"/>
        <v>2.6824712643678161</v>
      </c>
      <c r="AN1107" s="139">
        <f t="shared" si="501"/>
        <v>3.1609195402298851</v>
      </c>
      <c r="AO1107" s="139">
        <f t="shared" si="502"/>
        <v>6.1408045977011492</v>
      </c>
      <c r="AP1107" s="139">
        <f t="shared" si="503"/>
        <v>1.0459770114942528</v>
      </c>
      <c r="AQ1107" s="139">
        <f t="shared" si="504"/>
        <v>1.920977011494253</v>
      </c>
      <c r="AR1107" s="139">
        <f t="shared" si="505"/>
        <v>2.4770114942528738</v>
      </c>
      <c r="AS1107" s="139">
        <f t="shared" si="506"/>
        <v>96.472429612251787</v>
      </c>
      <c r="AT1107" s="139">
        <f t="shared" si="507"/>
        <v>6.3605970112773997</v>
      </c>
      <c r="AU1107" s="139">
        <f t="shared" si="508"/>
        <v>102.83302662352919</v>
      </c>
      <c r="AW1107" s="139">
        <f t="shared" si="509"/>
        <v>192.37068965517241</v>
      </c>
      <c r="AX1107" s="139">
        <f t="shared" si="510"/>
        <v>-89.53766303164322</v>
      </c>
    </row>
    <row r="1108" spans="1:50" ht="16.5" customHeight="1" x14ac:dyDescent="0.3">
      <c r="A1108" s="647"/>
      <c r="B1108" s="786" t="s">
        <v>2878</v>
      </c>
      <c r="C1108" s="786"/>
      <c r="D1108" s="786"/>
      <c r="E1108" s="786"/>
      <c r="F1108" s="786"/>
      <c r="G1108" s="786"/>
      <c r="H1108" s="786"/>
      <c r="I1108" s="786"/>
      <c r="J1108" s="786"/>
      <c r="K1108" s="786"/>
      <c r="L1108" s="786"/>
      <c r="M1108" s="786"/>
      <c r="N1108" s="786"/>
      <c r="O1108" s="786"/>
      <c r="P1108" s="786"/>
      <c r="R1108" s="727"/>
      <c r="AC1108">
        <v>20</v>
      </c>
      <c r="AD1108" s="139">
        <f t="shared" si="521"/>
        <v>0</v>
      </c>
      <c r="AE1108" s="139">
        <f t="shared" si="492"/>
        <v>12.994252873563219</v>
      </c>
      <c r="AF1108" s="139">
        <f t="shared" si="493"/>
        <v>13.60632183908046</v>
      </c>
      <c r="AG1108" s="139">
        <f t="shared" si="494"/>
        <v>23.038793103448274</v>
      </c>
      <c r="AH1108" s="139">
        <f t="shared" si="495"/>
        <v>0.84024570420580369</v>
      </c>
      <c r="AI1108" s="139">
        <f t="shared" si="496"/>
        <v>6.623563218390804</v>
      </c>
      <c r="AJ1108" s="139">
        <f t="shared" si="497"/>
        <v>5.2959770114942524</v>
      </c>
      <c r="AK1108" s="139">
        <f t="shared" si="498"/>
        <v>8.1824712643678161</v>
      </c>
      <c r="AL1108" s="139">
        <f t="shared" si="499"/>
        <v>8.4626436781609193</v>
      </c>
      <c r="AM1108" s="139">
        <f t="shared" si="500"/>
        <v>2.6824712643678161</v>
      </c>
      <c r="AN1108" s="139">
        <f t="shared" si="501"/>
        <v>3.1609195402298851</v>
      </c>
      <c r="AO1108" s="139">
        <f t="shared" si="502"/>
        <v>6.1408045977011492</v>
      </c>
      <c r="AP1108" s="139">
        <f t="shared" si="503"/>
        <v>1.0459770114942528</v>
      </c>
      <c r="AQ1108" s="139">
        <f t="shared" si="504"/>
        <v>1.920977011494253</v>
      </c>
      <c r="AR1108" s="139">
        <f t="shared" si="505"/>
        <v>2.4770114942528738</v>
      </c>
      <c r="AS1108" s="139">
        <f t="shared" si="506"/>
        <v>96.472429612251787</v>
      </c>
      <c r="AT1108" s="139">
        <f t="shared" si="507"/>
        <v>6.3605970112773997</v>
      </c>
      <c r="AU1108" s="139">
        <f t="shared" si="508"/>
        <v>102.83302662352919</v>
      </c>
      <c r="AW1108" s="139">
        <f t="shared" si="509"/>
        <v>192.37068965517241</v>
      </c>
      <c r="AX1108" s="139">
        <f t="shared" si="510"/>
        <v>-89.53766303164322</v>
      </c>
    </row>
    <row r="1109" spans="1:50" ht="16.5" customHeight="1" x14ac:dyDescent="0.3">
      <c r="A1109" s="647"/>
      <c r="B1109" s="67"/>
      <c r="C1109" s="67"/>
      <c r="D1109" s="67"/>
      <c r="E1109" s="67"/>
      <c r="F1109" s="67"/>
      <c r="G1109" s="67"/>
      <c r="H1109" s="67"/>
      <c r="I1109" s="67"/>
      <c r="J1109" s="67"/>
      <c r="K1109" s="67"/>
      <c r="L1109" s="67"/>
      <c r="M1109" s="67"/>
      <c r="N1109" s="67"/>
      <c r="O1109" s="67"/>
      <c r="P1109" s="67"/>
      <c r="R1109" s="727"/>
      <c r="AC1109">
        <v>21</v>
      </c>
      <c r="AD1109" s="139">
        <f>IF($AF$1086=1,VLOOKUP($AD$1086,$A$1116:$P$1127,12,FALSE),VLOOKUP($AD$1086,$A$1089:$S$1100,3,FALSE))</f>
        <v>0</v>
      </c>
      <c r="AE1109" s="139">
        <f t="shared" si="492"/>
        <v>12.994252873563219</v>
      </c>
      <c r="AF1109" s="139">
        <f t="shared" si="493"/>
        <v>13.60632183908046</v>
      </c>
      <c r="AG1109" s="139">
        <f t="shared" si="494"/>
        <v>23.038793103448274</v>
      </c>
      <c r="AH1109" s="139">
        <f t="shared" si="495"/>
        <v>0.84024570420580369</v>
      </c>
      <c r="AI1109" s="139">
        <f t="shared" si="496"/>
        <v>6.623563218390804</v>
      </c>
      <c r="AJ1109" s="139">
        <f t="shared" si="497"/>
        <v>5.2959770114942524</v>
      </c>
      <c r="AK1109" s="139">
        <f t="shared" si="498"/>
        <v>8.1824712643678161</v>
      </c>
      <c r="AL1109" s="139">
        <f t="shared" si="499"/>
        <v>8.4626436781609193</v>
      </c>
      <c r="AM1109" s="139">
        <f t="shared" si="500"/>
        <v>2.6824712643678161</v>
      </c>
      <c r="AN1109" s="139">
        <f t="shared" si="501"/>
        <v>3.1609195402298851</v>
      </c>
      <c r="AO1109" s="139">
        <f t="shared" si="502"/>
        <v>6.1408045977011492</v>
      </c>
      <c r="AP1109" s="139">
        <f t="shared" si="503"/>
        <v>1.0459770114942528</v>
      </c>
      <c r="AQ1109" s="139">
        <f t="shared" si="504"/>
        <v>1.920977011494253</v>
      </c>
      <c r="AR1109" s="139">
        <f t="shared" si="505"/>
        <v>2.4770114942528738</v>
      </c>
      <c r="AS1109" s="139">
        <f t="shared" si="506"/>
        <v>96.472429612251787</v>
      </c>
      <c r="AT1109" s="139">
        <f t="shared" si="507"/>
        <v>6.3605970112773997</v>
      </c>
      <c r="AU1109" s="139">
        <f t="shared" si="508"/>
        <v>102.83302662352919</v>
      </c>
      <c r="AW1109" s="139">
        <f t="shared" si="509"/>
        <v>192.37068965517241</v>
      </c>
      <c r="AX1109" s="139">
        <f t="shared" si="510"/>
        <v>-89.53766303164322</v>
      </c>
    </row>
    <row r="1110" spans="1:50" ht="16.5" customHeight="1" x14ac:dyDescent="0.3">
      <c r="A1110" s="647"/>
      <c r="B1110" s="810">
        <f>+A5</f>
        <v>2020</v>
      </c>
      <c r="C1110" s="787"/>
      <c r="D1110" s="787"/>
      <c r="E1110" s="787"/>
      <c r="F1110" s="787"/>
      <c r="G1110" s="787"/>
      <c r="H1110" s="787"/>
      <c r="I1110" s="787"/>
      <c r="J1110" s="787"/>
      <c r="K1110" s="787"/>
      <c r="L1110" s="787"/>
      <c r="M1110" s="787"/>
      <c r="N1110" s="787"/>
      <c r="O1110" s="787"/>
      <c r="P1110" s="787"/>
      <c r="R1110" s="727"/>
      <c r="AC1110">
        <v>22</v>
      </c>
      <c r="AD1110" s="139">
        <f>IF($AF$1086=1,VLOOKUP($AD$1086,$A$1116:$P$1127,12,FALSE),VLOOKUP($AD$1086,$A$1089:$S$1100,3,FALSE))</f>
        <v>0</v>
      </c>
      <c r="AE1110" s="139">
        <f t="shared" si="492"/>
        <v>12.994252873563219</v>
      </c>
      <c r="AF1110" s="139">
        <f t="shared" si="493"/>
        <v>13.60632183908046</v>
      </c>
      <c r="AG1110" s="139">
        <f t="shared" si="494"/>
        <v>23.038793103448274</v>
      </c>
      <c r="AH1110" s="139">
        <f t="shared" si="495"/>
        <v>0.84024570420580369</v>
      </c>
      <c r="AI1110" s="139">
        <f t="shared" si="496"/>
        <v>6.623563218390804</v>
      </c>
      <c r="AJ1110" s="139">
        <f t="shared" si="497"/>
        <v>5.2959770114942524</v>
      </c>
      <c r="AK1110" s="139">
        <f t="shared" si="498"/>
        <v>8.1824712643678161</v>
      </c>
      <c r="AL1110" s="139">
        <f t="shared" si="499"/>
        <v>8.4626436781609193</v>
      </c>
      <c r="AM1110" s="139">
        <f t="shared" si="500"/>
        <v>2.6824712643678161</v>
      </c>
      <c r="AN1110" s="139">
        <f t="shared" si="501"/>
        <v>3.1609195402298851</v>
      </c>
      <c r="AO1110" s="139">
        <f t="shared" si="502"/>
        <v>6.1408045977011492</v>
      </c>
      <c r="AP1110" s="139">
        <f t="shared" si="503"/>
        <v>1.0459770114942528</v>
      </c>
      <c r="AQ1110" s="139">
        <f t="shared" si="504"/>
        <v>1.920977011494253</v>
      </c>
      <c r="AR1110" s="139">
        <f t="shared" si="505"/>
        <v>2.4770114942528738</v>
      </c>
      <c r="AS1110" s="139">
        <f t="shared" si="506"/>
        <v>96.472429612251787</v>
      </c>
      <c r="AT1110" s="139">
        <f t="shared" si="507"/>
        <v>6.3605970112773997</v>
      </c>
      <c r="AU1110" s="139">
        <f t="shared" si="508"/>
        <v>102.83302662352919</v>
      </c>
      <c r="AW1110" s="139">
        <f t="shared" si="509"/>
        <v>192.37068965517241</v>
      </c>
      <c r="AX1110" s="139">
        <f t="shared" si="510"/>
        <v>-89.53766303164322</v>
      </c>
    </row>
    <row r="1111" spans="1:50" ht="15.75" customHeight="1" x14ac:dyDescent="0.3">
      <c r="A1111" s="647"/>
      <c r="B1111" s="786" t="s">
        <v>1199</v>
      </c>
      <c r="C1111" s="786"/>
      <c r="D1111" s="786"/>
      <c r="E1111" s="786"/>
      <c r="F1111" s="786"/>
      <c r="G1111" s="786"/>
      <c r="H1111" s="786"/>
      <c r="I1111" s="786"/>
      <c r="J1111" s="786"/>
      <c r="K1111" s="786"/>
      <c r="L1111" s="786"/>
      <c r="M1111" s="786"/>
      <c r="N1111" s="786"/>
      <c r="O1111" s="786"/>
      <c r="P1111" s="786"/>
      <c r="R1111" s="727"/>
      <c r="AC1111">
        <v>23</v>
      </c>
      <c r="AD1111" s="139">
        <f>IF($AF$1086=1,VLOOKUP($AD$1086,$A$1116:$P$1127,12,FALSE),IF(OR($AD$1086="JAN",$AD$1086="FEB",$AD$1086="NOV",$AD$1086="DEC"),VLOOKUP($AD$1086,$A$1089:$S$1100,3,FALSE),VLOOKUP($AD$1086,$A$1089:$S$1100,2,FALSE)))</f>
        <v>0</v>
      </c>
      <c r="AE1111" s="139">
        <f t="shared" si="492"/>
        <v>12.994252873563219</v>
      </c>
      <c r="AF1111" s="139">
        <f t="shared" si="493"/>
        <v>13.60632183908046</v>
      </c>
      <c r="AG1111" s="139">
        <f t="shared" si="494"/>
        <v>23.038793103448274</v>
      </c>
      <c r="AH1111" s="139">
        <f t="shared" si="495"/>
        <v>0.84024570420580369</v>
      </c>
      <c r="AI1111" s="139">
        <f t="shared" si="496"/>
        <v>6.623563218390804</v>
      </c>
      <c r="AJ1111" s="139">
        <f t="shared" si="497"/>
        <v>5.2959770114942524</v>
      </c>
      <c r="AK1111" s="139">
        <f t="shared" si="498"/>
        <v>8.1824712643678161</v>
      </c>
      <c r="AL1111" s="139">
        <f t="shared" si="499"/>
        <v>8.4626436781609193</v>
      </c>
      <c r="AM1111" s="139">
        <f t="shared" si="500"/>
        <v>2.6824712643678161</v>
      </c>
      <c r="AN1111" s="139">
        <f t="shared" si="501"/>
        <v>3.1609195402298851</v>
      </c>
      <c r="AO1111" s="139">
        <f t="shared" si="502"/>
        <v>6.1408045977011492</v>
      </c>
      <c r="AP1111" s="139">
        <f t="shared" si="503"/>
        <v>1.0459770114942528</v>
      </c>
      <c r="AQ1111" s="139">
        <f t="shared" si="504"/>
        <v>1.920977011494253</v>
      </c>
      <c r="AR1111" s="139">
        <f t="shared" si="505"/>
        <v>2.4770114942528738</v>
      </c>
      <c r="AS1111" s="139">
        <f t="shared" si="506"/>
        <v>96.472429612251787</v>
      </c>
      <c r="AT1111" s="139">
        <f t="shared" si="507"/>
        <v>6.3605970112773997</v>
      </c>
      <c r="AU1111" s="139">
        <f t="shared" si="508"/>
        <v>102.83302662352919</v>
      </c>
      <c r="AW1111" s="139">
        <f t="shared" si="509"/>
        <v>192.37068965517241</v>
      </c>
      <c r="AX1111" s="139">
        <f t="shared" si="510"/>
        <v>-89.53766303164322</v>
      </c>
    </row>
    <row r="1112" spans="1:50" ht="15.75" customHeight="1" thickBot="1" x14ac:dyDescent="0.35">
      <c r="A1112" s="647"/>
      <c r="R1112" s="727"/>
      <c r="AC1112">
        <v>24</v>
      </c>
      <c r="AD1112" s="139">
        <f>IF($AF$1086=1,VLOOKUP($AD$1086,$A$1116:$P$1127,12,FALSE),VLOOKUP($AD$1086,$A$1089:$S$1100,2,FALSE))</f>
        <v>98</v>
      </c>
      <c r="AE1112" s="139">
        <f t="shared" si="492"/>
        <v>12.994252873563219</v>
      </c>
      <c r="AF1112" s="139">
        <f t="shared" si="493"/>
        <v>13.60632183908046</v>
      </c>
      <c r="AG1112" s="139">
        <f t="shared" si="494"/>
        <v>23.038793103448274</v>
      </c>
      <c r="AH1112" s="139">
        <f t="shared" si="495"/>
        <v>0.84024570420580369</v>
      </c>
      <c r="AI1112" s="139">
        <f t="shared" si="496"/>
        <v>6.623563218390804</v>
      </c>
      <c r="AJ1112" s="139">
        <f t="shared" si="497"/>
        <v>5.2959770114942524</v>
      </c>
      <c r="AK1112" s="139">
        <f t="shared" si="498"/>
        <v>8.1824712643678161</v>
      </c>
      <c r="AL1112" s="139">
        <f t="shared" si="499"/>
        <v>8.4626436781609193</v>
      </c>
      <c r="AM1112" s="139">
        <f t="shared" si="500"/>
        <v>2.6824712643678161</v>
      </c>
      <c r="AN1112" s="139">
        <f t="shared" si="501"/>
        <v>3.1609195402298851</v>
      </c>
      <c r="AO1112" s="139">
        <f t="shared" si="502"/>
        <v>6.1408045977011492</v>
      </c>
      <c r="AP1112" s="139">
        <f t="shared" si="503"/>
        <v>1.0459770114942528</v>
      </c>
      <c r="AQ1112" s="139">
        <f t="shared" si="504"/>
        <v>1.920977011494253</v>
      </c>
      <c r="AR1112" s="139">
        <f t="shared" si="505"/>
        <v>2.4770114942528738</v>
      </c>
      <c r="AS1112" s="139">
        <f t="shared" si="506"/>
        <v>194.47242961225183</v>
      </c>
      <c r="AT1112" s="139">
        <f t="shared" si="507"/>
        <v>12.821909425721071</v>
      </c>
      <c r="AU1112" s="139">
        <f t="shared" si="508"/>
        <v>207.29433903797289</v>
      </c>
      <c r="AW1112" s="139">
        <f t="shared" si="509"/>
        <v>192.37068965517241</v>
      </c>
      <c r="AX1112" s="139">
        <f t="shared" si="510"/>
        <v>14.923649382800477</v>
      </c>
    </row>
    <row r="1113" spans="1:50" ht="15.75" customHeight="1" x14ac:dyDescent="0.3">
      <c r="A1113" s="647"/>
      <c r="B1113" s="814" t="s">
        <v>2883</v>
      </c>
      <c r="C1113" s="815"/>
      <c r="D1113" s="815"/>
      <c r="E1113" s="815"/>
      <c r="F1113" s="815"/>
      <c r="G1113" s="815"/>
      <c r="H1113" s="815"/>
      <c r="I1113" s="815"/>
      <c r="J1113" s="815"/>
      <c r="K1113" s="815"/>
      <c r="L1113" s="816"/>
      <c r="M1113" s="817" t="s">
        <v>2884</v>
      </c>
      <c r="N1113" s="815"/>
      <c r="O1113" s="815"/>
      <c r="P1113" s="815"/>
      <c r="Q1113" s="139" t="s">
        <v>2899</v>
      </c>
      <c r="R1113" s="764" t="s">
        <v>2898</v>
      </c>
      <c r="S1113" s="139" t="s">
        <v>3193</v>
      </c>
      <c r="T1113" s="139" t="s">
        <v>2913</v>
      </c>
      <c r="AC1113" t="s">
        <v>2356</v>
      </c>
      <c r="AD1113" s="139">
        <f>SUM(AD1089:AD1112)</f>
        <v>784</v>
      </c>
      <c r="AE1113" s="139">
        <f>SUM(AE1089:AE1112)</f>
        <v>311.86206896551727</v>
      </c>
      <c r="AF1113" s="139">
        <f t="shared" ref="AF1113:AW1113" si="522">SUM(AF1089:AF1112)</f>
        <v>326.5517241379311</v>
      </c>
      <c r="AG1113" s="139">
        <f t="shared" si="522"/>
        <v>552.93103448275849</v>
      </c>
      <c r="AH1113" s="139">
        <f t="shared" si="522"/>
        <v>20.165896900939288</v>
      </c>
      <c r="AI1113" s="139">
        <f t="shared" si="522"/>
        <v>158.9655172413793</v>
      </c>
      <c r="AJ1113" s="139">
        <f t="shared" si="522"/>
        <v>127.10344827586212</v>
      </c>
      <c r="AK1113" s="139">
        <f t="shared" si="522"/>
        <v>196.37931034482764</v>
      </c>
      <c r="AL1113" s="139">
        <f t="shared" si="522"/>
        <v>203.10344827586212</v>
      </c>
      <c r="AM1113" s="139">
        <f t="shared" si="522"/>
        <v>64.37931034482763</v>
      </c>
      <c r="AN1113" s="139">
        <f t="shared" si="522"/>
        <v>75.862068965517224</v>
      </c>
      <c r="AO1113" s="139">
        <f t="shared" si="522"/>
        <v>147.37931034482762</v>
      </c>
      <c r="AP1113" s="139">
        <f t="shared" si="522"/>
        <v>25.103448275862061</v>
      </c>
      <c r="AQ1113" s="139">
        <f t="shared" si="522"/>
        <v>46.10344827586205</v>
      </c>
      <c r="AR1113" s="139">
        <f t="shared" si="522"/>
        <v>59.44827586206894</v>
      </c>
      <c r="AS1113" s="139">
        <f t="shared" si="522"/>
        <v>3099.3383106940423</v>
      </c>
      <c r="AT1113" s="139">
        <f t="shared" si="522"/>
        <v>204.34482758620706</v>
      </c>
      <c r="AU1113" s="139">
        <f t="shared" si="522"/>
        <v>3303.6831382802511</v>
      </c>
      <c r="AW1113" s="139">
        <f t="shared" si="522"/>
        <v>4616.8965517241386</v>
      </c>
      <c r="AX1113" s="139">
        <f>SUMIF(AX1089:AX1112,"&gt;0")</f>
        <v>119.38919506240381</v>
      </c>
    </row>
    <row r="1114" spans="1:50" ht="15.75" customHeight="1" thickBot="1" x14ac:dyDescent="0.35">
      <c r="A1114" s="647" t="s">
        <v>249</v>
      </c>
      <c r="B1114" s="658" t="s">
        <v>2890</v>
      </c>
      <c r="C1114" s="659" t="s">
        <v>2886</v>
      </c>
      <c r="D1114" s="659" t="s">
        <v>2885</v>
      </c>
      <c r="E1114" s="659" t="s">
        <v>2914</v>
      </c>
      <c r="F1114" s="659" t="s">
        <v>2886</v>
      </c>
      <c r="G1114" s="659" t="s">
        <v>2885</v>
      </c>
      <c r="H1114" s="659" t="s">
        <v>2915</v>
      </c>
      <c r="I1114" s="659" t="s">
        <v>2886</v>
      </c>
      <c r="J1114" s="659" t="s">
        <v>2885</v>
      </c>
      <c r="K1114" s="659" t="s">
        <v>2915</v>
      </c>
      <c r="L1114" s="660" t="s">
        <v>2897</v>
      </c>
      <c r="M1114" s="658" t="s">
        <v>2893</v>
      </c>
      <c r="N1114" s="659" t="s">
        <v>2886</v>
      </c>
      <c r="O1114" s="659" t="s">
        <v>2886</v>
      </c>
      <c r="P1114" s="660" t="s">
        <v>2897</v>
      </c>
      <c r="Q1114" s="668" t="s">
        <v>2356</v>
      </c>
      <c r="R1114" s="766" t="s">
        <v>2900</v>
      </c>
      <c r="S1114" s="659" t="s">
        <v>3175</v>
      </c>
      <c r="T1114" s="659" t="s">
        <v>3175</v>
      </c>
      <c r="AU1114" s="139"/>
      <c r="AW1114" s="139"/>
      <c r="AX1114" s="139"/>
    </row>
    <row r="1115" spans="1:50" ht="15.75" customHeight="1" thickTop="1" thickBot="1" x14ac:dyDescent="0.35">
      <c r="A1115" s="647"/>
      <c r="B1115" s="661"/>
      <c r="C1115" s="664" t="s">
        <v>2895</v>
      </c>
      <c r="D1115" s="664" t="s">
        <v>2895</v>
      </c>
      <c r="E1115" s="664" t="s">
        <v>2895</v>
      </c>
      <c r="F1115" s="662" t="s">
        <v>2696</v>
      </c>
      <c r="G1115" s="662" t="s">
        <v>2696</v>
      </c>
      <c r="H1115" s="662" t="s">
        <v>2696</v>
      </c>
      <c r="I1115" s="662" t="s">
        <v>2896</v>
      </c>
      <c r="J1115" s="662" t="s">
        <v>2896</v>
      </c>
      <c r="K1115" s="662" t="s">
        <v>2896</v>
      </c>
      <c r="L1115" s="767" t="s">
        <v>2892</v>
      </c>
      <c r="M1115" s="665"/>
      <c r="N1115" s="664" t="s">
        <v>2895</v>
      </c>
      <c r="O1115" s="662" t="s">
        <v>2696</v>
      </c>
      <c r="P1115" s="767" t="s">
        <v>2896</v>
      </c>
      <c r="Q1115" s="668" t="s">
        <v>2896</v>
      </c>
      <c r="R1115" s="766" t="s">
        <v>2896</v>
      </c>
      <c r="S1115" s="662" t="s">
        <v>3192</v>
      </c>
      <c r="T1115" s="662" t="s">
        <v>3192</v>
      </c>
    </row>
    <row r="1116" spans="1:50" ht="15.75" customHeight="1" x14ac:dyDescent="0.3">
      <c r="A1116" s="647" t="s">
        <v>2843</v>
      </c>
      <c r="B1116" s="642">
        <f ca="1">+$B$10-M1116</f>
        <v>27</v>
      </c>
      <c r="C1116" s="656">
        <v>4</v>
      </c>
      <c r="D1116" s="656">
        <v>0</v>
      </c>
      <c r="E1116" s="656" t="s">
        <v>2916</v>
      </c>
      <c r="F1116" s="139">
        <f>+I1116/(24-S1116)</f>
        <v>196</v>
      </c>
      <c r="G1116" s="139">
        <f>+J1116/S1116</f>
        <v>0</v>
      </c>
      <c r="H1116" s="139" t="s">
        <v>2916</v>
      </c>
      <c r="I1116" s="139">
        <f>+C1116*49*(24-S1116)</f>
        <v>3724</v>
      </c>
      <c r="J1116" s="139">
        <f>+D1116*49*S1116</f>
        <v>0</v>
      </c>
      <c r="K1116" s="139" t="s">
        <v>2916</v>
      </c>
      <c r="L1116" s="764">
        <f>+J1116+I1116</f>
        <v>3724</v>
      </c>
      <c r="M1116" s="642">
        <f ca="1">SUMPRODUCT(--(WEEKDAY(ROW(INDIRECT(DATE($B$1110,MonthFromText(A1116),1)&amp;":"&amp;DATE($B$1110,MonthFromText(A1116),$B$10))),1)=1))</f>
        <v>4</v>
      </c>
      <c r="N1116" s="656">
        <v>4</v>
      </c>
      <c r="O1116">
        <f>+P1116/(24-T1116)</f>
        <v>196</v>
      </c>
      <c r="P1116" s="764">
        <f>+N1116*49*(24-T1116)</f>
        <v>3724</v>
      </c>
      <c r="Q1116" s="139">
        <f ca="1">+(L1116*B1116)+(M1116*P1116)</f>
        <v>115444</v>
      </c>
      <c r="R1116" s="764">
        <f ca="1">+Q1116-B1009</f>
        <v>44373</v>
      </c>
      <c r="S1116" s="726">
        <v>5</v>
      </c>
      <c r="T1116" s="726">
        <v>5</v>
      </c>
      <c r="AD1116" s="704"/>
      <c r="AE1116" s="703"/>
      <c r="AF1116" s="725" t="s">
        <v>3186</v>
      </c>
      <c r="AG1116" s="720" t="s">
        <v>3183</v>
      </c>
      <c r="AH1116" s="720" t="s">
        <v>3184</v>
      </c>
      <c r="AI1116" s="720" t="s">
        <v>3185</v>
      </c>
      <c r="AJ1116" s="702"/>
    </row>
    <row r="1117" spans="1:50" ht="15.75" customHeight="1" x14ac:dyDescent="0.3">
      <c r="A1117" s="647" t="s">
        <v>2091</v>
      </c>
      <c r="B1117" s="642">
        <f ca="1">+$C$10-M1117</f>
        <v>25</v>
      </c>
      <c r="C1117" s="656">
        <v>2</v>
      </c>
      <c r="D1117" s="656">
        <v>0</v>
      </c>
      <c r="E1117" s="656" t="s">
        <v>2916</v>
      </c>
      <c r="F1117" s="139">
        <f t="shared" ref="F1117:F1127" si="523">+I1117/(24-S1117)</f>
        <v>98</v>
      </c>
      <c r="G1117" s="139">
        <f t="shared" ref="G1117:G1127" si="524">+J1117/S1117</f>
        <v>0</v>
      </c>
      <c r="H1117" s="139" t="s">
        <v>2916</v>
      </c>
      <c r="I1117" s="139">
        <f t="shared" ref="I1117:I1127" si="525">+C1117*49*(24-S1117)</f>
        <v>1862</v>
      </c>
      <c r="J1117" s="139">
        <f t="shared" ref="J1117:J1127" si="526">+D1117*49*S1117</f>
        <v>0</v>
      </c>
      <c r="K1117" s="139" t="s">
        <v>2916</v>
      </c>
      <c r="L1117" s="764">
        <f t="shared" ref="L1117:L1127" si="527">+J1117+I1117</f>
        <v>1862</v>
      </c>
      <c r="M1117" s="642">
        <f ca="1">SUMPRODUCT(--(WEEKDAY(ROW(INDIRECT(DATE($B$1110,MonthFromText(A1117),1)&amp;":"&amp;DATE($B$1110,MonthFromText(A1117),$C$10))),1)=1))</f>
        <v>4</v>
      </c>
      <c r="N1117" s="656">
        <f t="shared" ref="N1117:N1125" si="528">+C1117</f>
        <v>2</v>
      </c>
      <c r="O1117">
        <f t="shared" ref="O1117:O1127" si="529">+P1117/24</f>
        <v>98</v>
      </c>
      <c r="P1117" s="764">
        <f t="shared" ref="P1117:P1127" si="530">+N1117*49*24</f>
        <v>2352</v>
      </c>
      <c r="Q1117" s="139">
        <f ca="1">+(L1117*B1117)+(M1117*P1117)</f>
        <v>55958</v>
      </c>
      <c r="R1117" s="764">
        <f t="shared" ref="R1117:R1127" ca="1" si="531">+Q1117-B1010</f>
        <v>-15128</v>
      </c>
      <c r="S1117" s="726">
        <v>5</v>
      </c>
      <c r="T1117" s="726">
        <v>5</v>
      </c>
      <c r="AD1117" s="721" t="s">
        <v>1354</v>
      </c>
      <c r="AE1117" s="723" t="s">
        <v>3176</v>
      </c>
      <c r="AF1117">
        <f>V1089</f>
        <v>242.40591397849462</v>
      </c>
      <c r="AG1117">
        <f>X1089</f>
        <v>5.9764629631180837</v>
      </c>
      <c r="AH1117">
        <f>Y1089</f>
        <v>0</v>
      </c>
      <c r="AI1117">
        <f>Z1089</f>
        <v>27.3508064516129</v>
      </c>
      <c r="AJ1117" s="727"/>
    </row>
    <row r="1118" spans="1:50" ht="16.5" customHeight="1" x14ac:dyDescent="0.3">
      <c r="A1118" s="647" t="s">
        <v>2234</v>
      </c>
      <c r="B1118" s="642">
        <f ca="1">+$D$10-M1118</f>
        <v>26</v>
      </c>
      <c r="C1118" s="656">
        <v>6</v>
      </c>
      <c r="D1118" s="656">
        <v>0</v>
      </c>
      <c r="E1118" s="656" t="s">
        <v>2916</v>
      </c>
      <c r="F1118" s="139">
        <f t="shared" si="523"/>
        <v>294</v>
      </c>
      <c r="G1118" s="139">
        <f t="shared" si="524"/>
        <v>0</v>
      </c>
      <c r="H1118" s="139" t="s">
        <v>2916</v>
      </c>
      <c r="I1118" s="139">
        <f t="shared" si="525"/>
        <v>5586</v>
      </c>
      <c r="J1118" s="139">
        <f t="shared" si="526"/>
        <v>0</v>
      </c>
      <c r="K1118" s="139" t="s">
        <v>2916</v>
      </c>
      <c r="L1118" s="764">
        <f t="shared" si="527"/>
        <v>5586</v>
      </c>
      <c r="M1118" s="642">
        <f ca="1">SUMPRODUCT(--(WEEKDAY(ROW(INDIRECT(DATE($B$1110,MonthFromText(A1118),1)&amp;":"&amp;DATE($B$1110,MonthFromText(A1118),$D$10))),1)=1))</f>
        <v>5</v>
      </c>
      <c r="N1118" s="656">
        <v>3</v>
      </c>
      <c r="O1118">
        <f t="shared" si="529"/>
        <v>147</v>
      </c>
      <c r="P1118" s="764">
        <f t="shared" si="530"/>
        <v>3528</v>
      </c>
      <c r="Q1118" s="139">
        <f t="shared" ref="Q1118:Q1127" ca="1" si="532">+(L1118*B1118)+(M1118*P1118)</f>
        <v>162876</v>
      </c>
      <c r="R1118" s="764">
        <f t="shared" ca="1" si="531"/>
        <v>71741</v>
      </c>
      <c r="S1118" s="726">
        <v>5</v>
      </c>
      <c r="T1118" s="726">
        <v>5</v>
      </c>
      <c r="AD1118" s="721"/>
      <c r="AE1118" s="723" t="s">
        <v>3175</v>
      </c>
      <c r="AF1118">
        <f>W1089</f>
        <v>46.405913978494624</v>
      </c>
      <c r="AG1118">
        <f>X1089</f>
        <v>5.9764629631180837</v>
      </c>
      <c r="AH1118">
        <f>Y1089</f>
        <v>0</v>
      </c>
      <c r="AI1118">
        <f>Z1089</f>
        <v>27.3508064516129</v>
      </c>
      <c r="AJ1118" s="727"/>
    </row>
    <row r="1119" spans="1:50" ht="16.5" customHeight="1" x14ac:dyDescent="0.3">
      <c r="A1119" s="647" t="s">
        <v>2235</v>
      </c>
      <c r="B1119" s="642">
        <f ca="1">+$F$10-M1119</f>
        <v>26</v>
      </c>
      <c r="C1119" s="656">
        <v>6</v>
      </c>
      <c r="D1119" s="656">
        <v>0</v>
      </c>
      <c r="E1119" s="656" t="s">
        <v>2916</v>
      </c>
      <c r="F1119" s="139">
        <f t="shared" si="523"/>
        <v>294</v>
      </c>
      <c r="G1119" s="139">
        <f t="shared" si="524"/>
        <v>0</v>
      </c>
      <c r="H1119" s="139" t="s">
        <v>2916</v>
      </c>
      <c r="I1119" s="139">
        <f t="shared" si="525"/>
        <v>5586</v>
      </c>
      <c r="J1119" s="139">
        <f t="shared" si="526"/>
        <v>0</v>
      </c>
      <c r="K1119" s="139" t="s">
        <v>2916</v>
      </c>
      <c r="L1119" s="764">
        <f t="shared" si="527"/>
        <v>5586</v>
      </c>
      <c r="M1119" s="642">
        <f ca="1">SUMPRODUCT(--(WEEKDAY(ROW(INDIRECT(DATE($B$1110,MonthFromText(A1119),1)&amp;":"&amp;DATE($B$1110,MonthFromText(A1119),$F$10))),1)=1))</f>
        <v>4</v>
      </c>
      <c r="N1119" s="656">
        <v>5</v>
      </c>
      <c r="O1119">
        <f t="shared" si="529"/>
        <v>245</v>
      </c>
      <c r="P1119" s="764">
        <f t="shared" si="530"/>
        <v>5880</v>
      </c>
      <c r="Q1119" s="139">
        <f t="shared" ca="1" si="532"/>
        <v>168756</v>
      </c>
      <c r="R1119" s="764">
        <f t="shared" ca="1" si="531"/>
        <v>23963</v>
      </c>
      <c r="S1119" s="726">
        <v>5</v>
      </c>
      <c r="T1119" s="726">
        <v>5</v>
      </c>
      <c r="AD1119" s="721" t="s">
        <v>3178</v>
      </c>
      <c r="AE1119" s="723" t="s">
        <v>852</v>
      </c>
      <c r="AJ1119" s="727"/>
    </row>
    <row r="1120" spans="1:50" ht="15.75" customHeight="1" x14ac:dyDescent="0.3">
      <c r="A1120" s="647" t="s">
        <v>2236</v>
      </c>
      <c r="B1120" s="642">
        <f ca="1">+$G$10-M1120</f>
        <v>26</v>
      </c>
      <c r="C1120" s="656">
        <v>6</v>
      </c>
      <c r="D1120" s="656">
        <v>0</v>
      </c>
      <c r="E1120" s="656" t="s">
        <v>2916</v>
      </c>
      <c r="F1120" s="139">
        <f t="shared" si="523"/>
        <v>294</v>
      </c>
      <c r="G1120" s="139">
        <f t="shared" si="524"/>
        <v>0</v>
      </c>
      <c r="H1120" s="139" t="s">
        <v>2916</v>
      </c>
      <c r="I1120" s="139">
        <f t="shared" si="525"/>
        <v>5586</v>
      </c>
      <c r="J1120" s="139">
        <f t="shared" si="526"/>
        <v>0</v>
      </c>
      <c r="K1120" s="139" t="s">
        <v>2916</v>
      </c>
      <c r="L1120" s="764">
        <f t="shared" si="527"/>
        <v>5586</v>
      </c>
      <c r="M1120" s="642">
        <f ca="1">SUMPRODUCT(--(WEEKDAY(ROW(INDIRECT(DATE($B$1110,MonthFromText(A1120),1)&amp;":"&amp;DATE($B$1110,MonthFromText(A1120),$G$10))),1)=1))</f>
        <v>5</v>
      </c>
      <c r="N1120" s="656">
        <f t="shared" si="528"/>
        <v>6</v>
      </c>
      <c r="O1120">
        <f t="shared" si="529"/>
        <v>294</v>
      </c>
      <c r="P1120" s="764">
        <f t="shared" si="530"/>
        <v>7056</v>
      </c>
      <c r="Q1120" s="139">
        <f t="shared" ca="1" si="532"/>
        <v>180516</v>
      </c>
      <c r="R1120" s="764">
        <f t="shared" ca="1" si="531"/>
        <v>9081</v>
      </c>
      <c r="S1120" s="726">
        <v>5</v>
      </c>
      <c r="T1120" s="726">
        <v>5</v>
      </c>
      <c r="AD1120" s="721" t="s">
        <v>706</v>
      </c>
      <c r="AE1120" s="723" t="s">
        <v>3176</v>
      </c>
      <c r="AF1120">
        <f>V1090</f>
        <v>147.63936781609195</v>
      </c>
      <c r="AG1120">
        <f>X1090</f>
        <v>0.84024570420580369</v>
      </c>
      <c r="AH1120">
        <f>Y1090</f>
        <v>0</v>
      </c>
      <c r="AI1120">
        <f>Z1090</f>
        <v>45.992816091954012</v>
      </c>
      <c r="AJ1120" s="727"/>
    </row>
    <row r="1121" spans="1:36" ht="15.75" customHeight="1" x14ac:dyDescent="0.3">
      <c r="A1121" s="647" t="s">
        <v>2237</v>
      </c>
      <c r="B1121" s="642">
        <f ca="1">+$H$10-M1121</f>
        <v>26</v>
      </c>
      <c r="C1121" s="656">
        <v>3</v>
      </c>
      <c r="D1121" s="656">
        <v>0</v>
      </c>
      <c r="E1121" s="656">
        <v>0</v>
      </c>
      <c r="F1121" s="139">
        <f t="shared" si="523"/>
        <v>147</v>
      </c>
      <c r="G1121" s="139">
        <f t="shared" si="524"/>
        <v>0</v>
      </c>
      <c r="H1121" s="139" t="s">
        <v>2916</v>
      </c>
      <c r="I1121" s="139">
        <f t="shared" si="525"/>
        <v>2205</v>
      </c>
      <c r="J1121" s="139">
        <f t="shared" si="526"/>
        <v>0</v>
      </c>
      <c r="K1121" s="139" t="s">
        <v>2916</v>
      </c>
      <c r="L1121" s="764">
        <f t="shared" si="527"/>
        <v>2205</v>
      </c>
      <c r="M1121" s="642">
        <f ca="1">SUMPRODUCT(--(WEEKDAY(ROW(INDIRECT(DATE($B$1110,MonthFromText(A1121),1)&amp;":"&amp;DATE($B$1110,MonthFromText(A1121),$H$10))),1)=1))</f>
        <v>4</v>
      </c>
      <c r="N1121" s="656">
        <f t="shared" si="528"/>
        <v>3</v>
      </c>
      <c r="O1121">
        <f t="shared" si="529"/>
        <v>147</v>
      </c>
      <c r="P1121" s="764">
        <f t="shared" si="530"/>
        <v>3528</v>
      </c>
      <c r="Q1121" s="139">
        <f ca="1">+(L1121*B1121)+(M1121*P1121)</f>
        <v>71442</v>
      </c>
      <c r="R1121" s="764">
        <f t="shared" ca="1" si="531"/>
        <v>-30800</v>
      </c>
      <c r="S1121" s="726">
        <v>9</v>
      </c>
      <c r="T1121" s="726">
        <v>9</v>
      </c>
      <c r="AD1121" s="721"/>
      <c r="AE1121" s="723" t="s">
        <v>3175</v>
      </c>
      <c r="AF1121">
        <f>W1090</f>
        <v>49.639367816091948</v>
      </c>
      <c r="AG1121">
        <f>X1090</f>
        <v>0.84024570420580369</v>
      </c>
      <c r="AH1121">
        <f>Y1090</f>
        <v>0</v>
      </c>
      <c r="AI1121">
        <f>Z1090</f>
        <v>45.992816091954012</v>
      </c>
      <c r="AJ1121" s="727"/>
    </row>
    <row r="1122" spans="1:36" ht="15.75" customHeight="1" x14ac:dyDescent="0.3">
      <c r="A1122" s="647" t="s">
        <v>1504</v>
      </c>
      <c r="B1122" s="642">
        <f ca="1">+$J$10-M1122</f>
        <v>27</v>
      </c>
      <c r="C1122" s="656">
        <v>3</v>
      </c>
      <c r="D1122" s="656">
        <v>0</v>
      </c>
      <c r="E1122" s="656">
        <v>0</v>
      </c>
      <c r="F1122" s="139">
        <f t="shared" si="523"/>
        <v>147</v>
      </c>
      <c r="G1122" s="139">
        <f t="shared" si="524"/>
        <v>0</v>
      </c>
      <c r="H1122" s="139" t="s">
        <v>2916</v>
      </c>
      <c r="I1122" s="139">
        <f t="shared" si="525"/>
        <v>2205</v>
      </c>
      <c r="J1122" s="139">
        <f t="shared" si="526"/>
        <v>0</v>
      </c>
      <c r="K1122" s="139" t="s">
        <v>2916</v>
      </c>
      <c r="L1122" s="764">
        <f t="shared" si="527"/>
        <v>2205</v>
      </c>
      <c r="M1122" s="642">
        <f ca="1">SUMPRODUCT(--(WEEKDAY(ROW(INDIRECT(DATE($B$1110,MonthFromText(A1122),1)&amp;":"&amp;DATE($B$1110,MonthFromText(A1122),$J$10))),1)=1))</f>
        <v>4</v>
      </c>
      <c r="N1122" s="656">
        <f t="shared" si="528"/>
        <v>3</v>
      </c>
      <c r="O1122">
        <f t="shared" si="529"/>
        <v>147</v>
      </c>
      <c r="P1122" s="764">
        <f t="shared" si="530"/>
        <v>3528</v>
      </c>
      <c r="Q1122" s="139">
        <f t="shared" ca="1" si="532"/>
        <v>73647</v>
      </c>
      <c r="R1122" s="764">
        <f t="shared" ca="1" si="531"/>
        <v>2155</v>
      </c>
      <c r="S1122" s="726">
        <v>9</v>
      </c>
      <c r="T1122" s="726">
        <v>9</v>
      </c>
      <c r="AD1122" s="721" t="s">
        <v>3178</v>
      </c>
      <c r="AE1122" s="723" t="s">
        <v>852</v>
      </c>
      <c r="AJ1122" s="727"/>
    </row>
    <row r="1123" spans="1:36" ht="15.75" customHeight="1" x14ac:dyDescent="0.3">
      <c r="A1123" s="647" t="s">
        <v>1505</v>
      </c>
      <c r="B1123" s="642">
        <f ca="1">+$K$10-M1123</f>
        <v>26</v>
      </c>
      <c r="C1123" s="656">
        <v>3</v>
      </c>
      <c r="D1123" s="656">
        <v>0</v>
      </c>
      <c r="E1123" s="656">
        <v>0</v>
      </c>
      <c r="F1123" s="139">
        <f t="shared" si="523"/>
        <v>147</v>
      </c>
      <c r="G1123" s="139">
        <f t="shared" si="524"/>
        <v>0</v>
      </c>
      <c r="H1123" s="139" t="s">
        <v>2916</v>
      </c>
      <c r="I1123" s="139">
        <f t="shared" si="525"/>
        <v>2205</v>
      </c>
      <c r="J1123" s="139">
        <f t="shared" si="526"/>
        <v>0</v>
      </c>
      <c r="K1123" s="139" t="s">
        <v>2916</v>
      </c>
      <c r="L1123" s="764">
        <f t="shared" si="527"/>
        <v>2205</v>
      </c>
      <c r="M1123" s="642">
        <f ca="1">SUMPRODUCT(--(WEEKDAY(ROW(INDIRECT(DATE($B$1110,MonthFromText(A1123),1)&amp;":"&amp;DATE($B$1110,MonthFromText(A1123),$K$10))),1)=1))</f>
        <v>5</v>
      </c>
      <c r="N1123" s="656">
        <f t="shared" si="528"/>
        <v>3</v>
      </c>
      <c r="O1123">
        <f t="shared" si="529"/>
        <v>147</v>
      </c>
      <c r="P1123" s="764">
        <f t="shared" si="530"/>
        <v>3528</v>
      </c>
      <c r="Q1123" s="139">
        <f t="shared" ca="1" si="532"/>
        <v>74970</v>
      </c>
      <c r="R1123" s="764">
        <f t="shared" ca="1" si="531"/>
        <v>14643</v>
      </c>
      <c r="S1123" s="726">
        <v>9</v>
      </c>
      <c r="T1123" s="726">
        <v>9</v>
      </c>
      <c r="AD1123" s="721" t="s">
        <v>707</v>
      </c>
      <c r="AE1123" s="723" t="s">
        <v>3176</v>
      </c>
      <c r="AF1123">
        <f>V1091</f>
        <v>353.27284946236557</v>
      </c>
      <c r="AG1123">
        <f>X1091</f>
        <v>6.9386153471150154</v>
      </c>
      <c r="AH1123">
        <f>Y1091</f>
        <v>-4.1668632350658106</v>
      </c>
      <c r="AI1123">
        <f>Z1091</f>
        <v>52.637096774193544</v>
      </c>
      <c r="AJ1123" s="727"/>
    </row>
    <row r="1124" spans="1:36" ht="15.75" customHeight="1" x14ac:dyDescent="0.3">
      <c r="A1124" s="647" t="s">
        <v>1506</v>
      </c>
      <c r="B1124" s="642">
        <f ca="1">+$L$10-M1124</f>
        <v>26</v>
      </c>
      <c r="C1124" s="656">
        <v>5</v>
      </c>
      <c r="D1124" s="656">
        <v>0</v>
      </c>
      <c r="E1124" s="656" t="s">
        <v>2916</v>
      </c>
      <c r="F1124" s="139">
        <f t="shared" si="523"/>
        <v>245</v>
      </c>
      <c r="G1124" s="139">
        <f t="shared" si="524"/>
        <v>0</v>
      </c>
      <c r="H1124" s="139" t="s">
        <v>2916</v>
      </c>
      <c r="I1124" s="139">
        <f t="shared" si="525"/>
        <v>4410</v>
      </c>
      <c r="J1124" s="139">
        <f t="shared" si="526"/>
        <v>0</v>
      </c>
      <c r="K1124" s="139" t="s">
        <v>2916</v>
      </c>
      <c r="L1124" s="764">
        <f t="shared" si="527"/>
        <v>4410</v>
      </c>
      <c r="M1124" s="642">
        <f ca="1">SUMPRODUCT(--(WEEKDAY(ROW(INDIRECT(DATE($B$1110,MonthFromText(A1124),1)&amp;":"&amp;DATE($B$1110,MonthFromText(A1124),$L$10))),1)=1))</f>
        <v>4</v>
      </c>
      <c r="N1124" s="656">
        <f t="shared" si="528"/>
        <v>5</v>
      </c>
      <c r="O1124">
        <f t="shared" si="529"/>
        <v>245</v>
      </c>
      <c r="P1124" s="764">
        <f t="shared" si="530"/>
        <v>5880</v>
      </c>
      <c r="Q1124" s="139">
        <f t="shared" ca="1" si="532"/>
        <v>138180</v>
      </c>
      <c r="R1124" s="764">
        <f t="shared" ca="1" si="531"/>
        <v>-19692</v>
      </c>
      <c r="S1124" s="726">
        <v>6</v>
      </c>
      <c r="T1124" s="726">
        <v>4</v>
      </c>
      <c r="AD1124" s="721"/>
      <c r="AE1124" s="723" t="s">
        <v>3175</v>
      </c>
      <c r="AF1124">
        <f>W1091</f>
        <v>59.272849462365592</v>
      </c>
      <c r="AG1124">
        <f>X1091</f>
        <v>6.9386153471150154</v>
      </c>
      <c r="AH1124">
        <f>Y1091</f>
        <v>-4.1668632350658106</v>
      </c>
      <c r="AI1124">
        <f>Z1091</f>
        <v>52.637096774193544</v>
      </c>
      <c r="AJ1124" s="727"/>
    </row>
    <row r="1125" spans="1:36" ht="15.75" customHeight="1" x14ac:dyDescent="0.3">
      <c r="A1125" s="647" t="s">
        <v>1507</v>
      </c>
      <c r="B1125" s="642">
        <f ca="1">+$N$10-M1125</f>
        <v>27</v>
      </c>
      <c r="C1125" s="656">
        <v>5</v>
      </c>
      <c r="D1125" s="656">
        <v>0</v>
      </c>
      <c r="E1125" s="656" t="s">
        <v>2916</v>
      </c>
      <c r="F1125" s="139">
        <f t="shared" si="523"/>
        <v>245</v>
      </c>
      <c r="G1125" s="139">
        <f t="shared" si="524"/>
        <v>0</v>
      </c>
      <c r="H1125" s="139" t="s">
        <v>2916</v>
      </c>
      <c r="I1125" s="139">
        <f t="shared" si="525"/>
        <v>4410</v>
      </c>
      <c r="J1125" s="139">
        <f t="shared" si="526"/>
        <v>0</v>
      </c>
      <c r="K1125" s="139" t="s">
        <v>2916</v>
      </c>
      <c r="L1125" s="764">
        <f t="shared" si="527"/>
        <v>4410</v>
      </c>
      <c r="M1125" s="642">
        <f ca="1">SUMPRODUCT(--(WEEKDAY(ROW(INDIRECT(DATE($B$1110,MonthFromText(A1125),1)&amp;":"&amp;DATE($B$1110,MonthFromText(A1125),$N$10))),1)=1))</f>
        <v>4</v>
      </c>
      <c r="N1125" s="656">
        <f t="shared" si="528"/>
        <v>5</v>
      </c>
      <c r="O1125">
        <f t="shared" si="529"/>
        <v>245</v>
      </c>
      <c r="P1125" s="764">
        <f t="shared" si="530"/>
        <v>5880</v>
      </c>
      <c r="Q1125" s="139">
        <f t="shared" ca="1" si="532"/>
        <v>142590</v>
      </c>
      <c r="R1125" s="764">
        <f t="shared" ca="1" si="531"/>
        <v>-13968</v>
      </c>
      <c r="S1125" s="726">
        <v>6</v>
      </c>
      <c r="T1125" s="726">
        <v>4</v>
      </c>
      <c r="AD1125" s="721" t="s">
        <v>3178</v>
      </c>
      <c r="AE1125" s="723" t="s">
        <v>852</v>
      </c>
      <c r="AJ1125" s="727"/>
    </row>
    <row r="1126" spans="1:36" ht="15.75" customHeight="1" x14ac:dyDescent="0.3">
      <c r="A1126" s="647" t="s">
        <v>1508</v>
      </c>
      <c r="B1126" s="642">
        <f ca="1">+$O$10-M1126</f>
        <v>25</v>
      </c>
      <c r="C1126" s="656">
        <v>5</v>
      </c>
      <c r="D1126" s="656">
        <v>0</v>
      </c>
      <c r="E1126" s="656" t="s">
        <v>2916</v>
      </c>
      <c r="F1126" s="139">
        <f t="shared" si="523"/>
        <v>245</v>
      </c>
      <c r="G1126" s="139">
        <f t="shared" si="524"/>
        <v>0</v>
      </c>
      <c r="H1126" s="139" t="s">
        <v>2916</v>
      </c>
      <c r="I1126" s="139">
        <f t="shared" si="525"/>
        <v>4410</v>
      </c>
      <c r="J1126" s="139">
        <f t="shared" si="526"/>
        <v>0</v>
      </c>
      <c r="K1126" s="139" t="s">
        <v>2916</v>
      </c>
      <c r="L1126" s="764">
        <f t="shared" si="527"/>
        <v>4410</v>
      </c>
      <c r="M1126" s="642">
        <f ca="1">SUMPRODUCT(--(WEEKDAY(ROW(INDIRECT(DATE($B$1110,MonthFromText(A1126),1)&amp;":"&amp;DATE($B$1110,MonthFromText(A1126),$O$10))),1)=1))</f>
        <v>5</v>
      </c>
      <c r="N1126" s="656">
        <v>3</v>
      </c>
      <c r="O1126">
        <f t="shared" si="529"/>
        <v>147</v>
      </c>
      <c r="P1126" s="764">
        <f t="shared" si="530"/>
        <v>3528</v>
      </c>
      <c r="Q1126" s="139">
        <f t="shared" ca="1" si="532"/>
        <v>127890</v>
      </c>
      <c r="R1126" s="764">
        <f t="shared" ca="1" si="531"/>
        <v>8654</v>
      </c>
      <c r="S1126" s="726">
        <v>6</v>
      </c>
      <c r="T1126" s="726">
        <v>4</v>
      </c>
      <c r="AD1126" s="721" t="s">
        <v>1321</v>
      </c>
      <c r="AE1126" s="723" t="s">
        <v>3176</v>
      </c>
      <c r="AF1126">
        <f>V1092</f>
        <v>390.95138888888891</v>
      </c>
      <c r="AG1126">
        <f>X1092</f>
        <v>1.1189791612568178</v>
      </c>
      <c r="AH1126">
        <f>Y1092</f>
        <v>0</v>
      </c>
      <c r="AI1126">
        <f>Z1092</f>
        <v>70.04583333333332</v>
      </c>
      <c r="AJ1126" s="727"/>
    </row>
    <row r="1127" spans="1:36" ht="15.75" customHeight="1" thickBot="1" x14ac:dyDescent="0.35">
      <c r="A1127" s="647" t="s">
        <v>1509</v>
      </c>
      <c r="B1127" s="644">
        <f ca="1">+$P$10-M1127</f>
        <v>27</v>
      </c>
      <c r="C1127" s="657">
        <v>5</v>
      </c>
      <c r="D1127" s="657">
        <v>0</v>
      </c>
      <c r="E1127" s="656" t="s">
        <v>2916</v>
      </c>
      <c r="F1127" s="139">
        <f t="shared" si="523"/>
        <v>245</v>
      </c>
      <c r="G1127" s="139">
        <f t="shared" si="524"/>
        <v>0</v>
      </c>
      <c r="H1127" s="139" t="s">
        <v>2916</v>
      </c>
      <c r="I1127" s="139">
        <f t="shared" si="525"/>
        <v>4410</v>
      </c>
      <c r="J1127" s="139">
        <f t="shared" si="526"/>
        <v>0</v>
      </c>
      <c r="K1127" s="139" t="s">
        <v>2916</v>
      </c>
      <c r="L1127" s="764">
        <f t="shared" si="527"/>
        <v>4410</v>
      </c>
      <c r="M1127" s="644">
        <f ca="1">SUMPRODUCT(--(WEEKDAY(ROW(INDIRECT(DATE($B$1110,MonthFromText(A1127),1)&amp;":"&amp;DATE($B$1110,MonthFromText(A1127),$P$10))),1)=1))</f>
        <v>4</v>
      </c>
      <c r="N1127" s="656">
        <v>3</v>
      </c>
      <c r="O1127" s="581">
        <f t="shared" si="529"/>
        <v>147</v>
      </c>
      <c r="P1127" s="646">
        <f t="shared" si="530"/>
        <v>3528</v>
      </c>
      <c r="Q1127" s="666">
        <f t="shared" ca="1" si="532"/>
        <v>133182</v>
      </c>
      <c r="R1127" s="673">
        <f t="shared" ca="1" si="531"/>
        <v>10936</v>
      </c>
      <c r="S1127" s="726">
        <v>6</v>
      </c>
      <c r="T1127" s="726">
        <v>4</v>
      </c>
      <c r="AD1127" s="721"/>
      <c r="AE1127" s="723" t="s">
        <v>3175</v>
      </c>
      <c r="AF1127">
        <f>W1092</f>
        <v>96.951388888888886</v>
      </c>
      <c r="AG1127">
        <f>X1092</f>
        <v>1.1189791612568178</v>
      </c>
      <c r="AH1127">
        <f>Y1092</f>
        <v>0</v>
      </c>
      <c r="AI1127">
        <f>Z1092</f>
        <v>70.04583333333332</v>
      </c>
      <c r="AJ1127" s="727"/>
    </row>
    <row r="1128" spans="1:36" ht="15.75" customHeight="1" thickBot="1" x14ac:dyDescent="0.35">
      <c r="A1128" s="580"/>
      <c r="B1128" s="581"/>
      <c r="C1128" s="581"/>
      <c r="D1128" s="581"/>
      <c r="E1128" s="705"/>
      <c r="F1128" s="705"/>
      <c r="G1128" s="705"/>
      <c r="H1128" s="705"/>
      <c r="I1128" s="705"/>
      <c r="J1128" s="705"/>
      <c r="K1128" s="705"/>
      <c r="L1128" s="705"/>
      <c r="M1128" s="581"/>
      <c r="N1128" s="581"/>
      <c r="O1128" s="581"/>
      <c r="P1128" s="581"/>
      <c r="Q1128" s="645">
        <f ca="1">+SUM(Q1116:Q1127)</f>
        <v>1445451</v>
      </c>
      <c r="R1128" s="646">
        <f ca="1">+Q1128-B1022</f>
        <v>105958</v>
      </c>
      <c r="AD1128" s="721" t="s">
        <v>3178</v>
      </c>
      <c r="AE1128" s="723" t="s">
        <v>852</v>
      </c>
      <c r="AJ1128" s="727"/>
    </row>
    <row r="1129" spans="1:36" ht="15.75" customHeight="1" x14ac:dyDescent="0.3">
      <c r="A1129" s="641" t="s">
        <v>2891</v>
      </c>
      <c r="J1129" s="139"/>
      <c r="AD1129" s="721" t="s">
        <v>1905</v>
      </c>
      <c r="AE1129" s="723" t="s">
        <v>3176</v>
      </c>
      <c r="AF1129">
        <f>V1093</f>
        <v>404.56048387096774</v>
      </c>
      <c r="AG1129">
        <f>X1093</f>
        <v>0</v>
      </c>
      <c r="AH1129">
        <f>Y1093</f>
        <v>-2.6833005161614394</v>
      </c>
      <c r="AI1129">
        <f>Z1093</f>
        <v>69.106182795698928</v>
      </c>
      <c r="AJ1129" s="727"/>
    </row>
    <row r="1130" spans="1:36" ht="15.75" customHeight="1" x14ac:dyDescent="0.3">
      <c r="A1130" s="641" t="s">
        <v>2894</v>
      </c>
      <c r="AD1130" s="721"/>
      <c r="AE1130" s="723" t="s">
        <v>3175</v>
      </c>
      <c r="AF1130">
        <f>W1093</f>
        <v>110.56048387096774</v>
      </c>
      <c r="AG1130">
        <f>X1093</f>
        <v>0</v>
      </c>
      <c r="AH1130">
        <f>Y1093</f>
        <v>-2.6833005161614394</v>
      </c>
      <c r="AI1130">
        <f>Z1093</f>
        <v>69.106182795698928</v>
      </c>
      <c r="AJ1130" s="727"/>
    </row>
    <row r="1131" spans="1:36" ht="15.75" customHeight="1" x14ac:dyDescent="0.3">
      <c r="A1131" s="641" t="s">
        <v>2901</v>
      </c>
      <c r="AD1131" s="721" t="s">
        <v>3178</v>
      </c>
      <c r="AE1131" s="723" t="s">
        <v>852</v>
      </c>
      <c r="AJ1131" s="727"/>
    </row>
    <row r="1132" spans="1:36" ht="15.75" customHeight="1" x14ac:dyDescent="0.3">
      <c r="AD1132" s="721" t="s">
        <v>1906</v>
      </c>
      <c r="AE1132" s="723" t="s">
        <v>3176</v>
      </c>
      <c r="AF1132">
        <f>V1094</f>
        <v>213.80416666666667</v>
      </c>
      <c r="AG1132">
        <f>X1094</f>
        <v>0</v>
      </c>
      <c r="AH1132">
        <f>Y1094</f>
        <v>-17.237082140165789</v>
      </c>
      <c r="AI1132">
        <f>Z1094</f>
        <v>71.226388888888891</v>
      </c>
      <c r="AJ1132" s="727"/>
    </row>
    <row r="1133" spans="1:36" ht="15.75" customHeight="1" x14ac:dyDescent="0.3">
      <c r="A1133" t="s">
        <v>3191</v>
      </c>
      <c r="AD1133" s="721"/>
      <c r="AE1133" s="723" t="s">
        <v>3175</v>
      </c>
      <c r="AF1133">
        <f>W1094</f>
        <v>66.804166666666674</v>
      </c>
      <c r="AG1133">
        <f>X1094</f>
        <v>0</v>
      </c>
      <c r="AH1133">
        <f>Y1094</f>
        <v>-17.237082140165789</v>
      </c>
      <c r="AI1133">
        <f>Z1094</f>
        <v>71.226388888888891</v>
      </c>
      <c r="AJ1133" s="727"/>
    </row>
    <row r="1134" spans="1:36" ht="15.75" customHeight="1" x14ac:dyDescent="0.3">
      <c r="AD1134" s="721" t="s">
        <v>3178</v>
      </c>
      <c r="AE1134" s="723" t="s">
        <v>852</v>
      </c>
      <c r="AJ1134" s="727"/>
    </row>
    <row r="1135" spans="1:36" ht="15.75" customHeight="1" x14ac:dyDescent="0.3">
      <c r="AD1135" s="721" t="s">
        <v>1907</v>
      </c>
      <c r="AE1135" s="723" t="s">
        <v>3176</v>
      </c>
      <c r="AF1135">
        <f>V1095</f>
        <v>190.23655913978496</v>
      </c>
      <c r="AG1135">
        <f>X1095</f>
        <v>0</v>
      </c>
      <c r="AH1135">
        <f>Y1095</f>
        <v>-18.29953934414274</v>
      </c>
      <c r="AI1135">
        <f>Z1095</f>
        <v>70.724462365591393</v>
      </c>
      <c r="AJ1135" s="727"/>
    </row>
    <row r="1136" spans="1:36" ht="16.5" customHeight="1" x14ac:dyDescent="0.3">
      <c r="AD1136" s="721"/>
      <c r="AE1136" s="723" t="s">
        <v>3175</v>
      </c>
      <c r="AF1136">
        <f>W1095</f>
        <v>43.236559139784944</v>
      </c>
      <c r="AG1136">
        <f>X1095</f>
        <v>0</v>
      </c>
      <c r="AH1136">
        <f>Y1095</f>
        <v>-18.29953934414274</v>
      </c>
      <c r="AI1136">
        <f>Z1095</f>
        <v>70.724462365591393</v>
      </c>
      <c r="AJ1136" s="727"/>
    </row>
    <row r="1137" spans="1:36" ht="15.75" customHeight="1" x14ac:dyDescent="0.3">
      <c r="AD1137" s="721" t="s">
        <v>3178</v>
      </c>
      <c r="AE1137" s="723" t="s">
        <v>852</v>
      </c>
      <c r="AJ1137" s="727"/>
    </row>
    <row r="1138" spans="1:36" ht="16.5" customHeight="1" x14ac:dyDescent="0.3">
      <c r="AD1138" s="721" t="s">
        <v>1908</v>
      </c>
      <c r="AE1138" s="723" t="s">
        <v>3176</v>
      </c>
      <c r="AF1138">
        <f>V1096</f>
        <v>179.93548387096774</v>
      </c>
      <c r="AG1138">
        <f>X1096</f>
        <v>1.1107640236536435E-3</v>
      </c>
      <c r="AH1138">
        <f>Y1096</f>
        <v>-15.394159676835569</v>
      </c>
      <c r="AI1138">
        <f>Z1096</f>
        <v>65.1989247311828</v>
      </c>
      <c r="AJ1138" s="727"/>
    </row>
    <row r="1139" spans="1:36" ht="15.75" customHeight="1" x14ac:dyDescent="0.3">
      <c r="AD1139" s="721"/>
      <c r="AE1139" s="723" t="s">
        <v>3175</v>
      </c>
      <c r="AF1139">
        <f>W1096</f>
        <v>32.935483870967744</v>
      </c>
      <c r="AG1139">
        <f>X1096</f>
        <v>1.1107640236536435E-3</v>
      </c>
      <c r="AH1139">
        <f>Y1096</f>
        <v>-15.394159676835569</v>
      </c>
      <c r="AI1139">
        <f>Z1096</f>
        <v>65.1989247311828</v>
      </c>
      <c r="AJ1139" s="727"/>
    </row>
    <row r="1140" spans="1:36" ht="15.75" customHeight="1" x14ac:dyDescent="0.3">
      <c r="AD1140" s="721" t="s">
        <v>3178</v>
      </c>
      <c r="AE1140" s="723" t="s">
        <v>852</v>
      </c>
      <c r="AJ1140" s="727"/>
    </row>
    <row r="1141" spans="1:36" ht="15.75" customHeight="1" x14ac:dyDescent="0.3">
      <c r="AD1141" s="721" t="s">
        <v>3177</v>
      </c>
      <c r="AE1141" s="723" t="s">
        <v>3176</v>
      </c>
      <c r="AF1141">
        <f>V1097</f>
        <v>346.04722222222222</v>
      </c>
      <c r="AG1141">
        <f>X1097</f>
        <v>7.8998735459945557</v>
      </c>
      <c r="AH1141">
        <f>Y1097</f>
        <v>-0.4498156058412055</v>
      </c>
      <c r="AI1141">
        <f>Z1097</f>
        <v>52.61388888888888</v>
      </c>
      <c r="AJ1141" s="727"/>
    </row>
    <row r="1142" spans="1:36" ht="15.75" customHeight="1" x14ac:dyDescent="0.3">
      <c r="AD1142" s="721"/>
      <c r="AE1142" s="723" t="s">
        <v>3175</v>
      </c>
      <c r="AF1142">
        <f>W1097</f>
        <v>101.04722222222222</v>
      </c>
      <c r="AG1142">
        <f>X1097</f>
        <v>7.8998735459945557</v>
      </c>
      <c r="AH1142">
        <f>Y1097</f>
        <v>-0.4498156058412055</v>
      </c>
      <c r="AI1142">
        <f>Z1097</f>
        <v>52.61388888888888</v>
      </c>
      <c r="AJ1142" s="727"/>
    </row>
    <row r="1143" spans="1:36" ht="15.75" customHeight="1" x14ac:dyDescent="0.3">
      <c r="I1143" s="139"/>
      <c r="J1143" s="139"/>
      <c r="AD1143" s="721" t="s">
        <v>3178</v>
      </c>
      <c r="AE1143" s="723" t="s">
        <v>852</v>
      </c>
      <c r="AJ1143" s="727"/>
    </row>
    <row r="1144" spans="1:36" ht="15.75" customHeight="1" x14ac:dyDescent="0.3">
      <c r="AD1144" s="721" t="s">
        <v>2353</v>
      </c>
      <c r="AE1144" s="723" t="s">
        <v>3176</v>
      </c>
      <c r="AF1144">
        <f>V1098</f>
        <v>343.60618279569894</v>
      </c>
      <c r="AG1144">
        <f>X1098</f>
        <v>14.918724783117364</v>
      </c>
      <c r="AH1144">
        <f>Y1098</f>
        <v>-3.4627383296464633E-3</v>
      </c>
      <c r="AI1144">
        <f>Z1098</f>
        <v>34.353494623655919</v>
      </c>
      <c r="AJ1144" s="727"/>
    </row>
    <row r="1145" spans="1:36" ht="15.75" customHeight="1" x14ac:dyDescent="0.3">
      <c r="AD1145" s="721"/>
      <c r="AE1145" s="723" t="s">
        <v>3175</v>
      </c>
      <c r="AF1145">
        <f>W1098</f>
        <v>98.606182795698928</v>
      </c>
      <c r="AG1145">
        <f>X1098</f>
        <v>14.918724783117364</v>
      </c>
      <c r="AH1145">
        <f>Y1098</f>
        <v>-3.4627383296464633E-3</v>
      </c>
      <c r="AI1145">
        <f>Z1098</f>
        <v>34.353494623655919</v>
      </c>
      <c r="AJ1145" s="727"/>
    </row>
    <row r="1146" spans="1:36" ht="15.75" customHeight="1" x14ac:dyDescent="0.3">
      <c r="AD1146" s="721" t="s">
        <v>3178</v>
      </c>
      <c r="AE1146" s="723" t="s">
        <v>852</v>
      </c>
      <c r="AJ1146" s="727"/>
    </row>
    <row r="1147" spans="1:36" ht="15.75" customHeight="1" x14ac:dyDescent="0.3">
      <c r="AD1147" s="721" t="s">
        <v>2354</v>
      </c>
      <c r="AE1147" s="723" t="s">
        <v>3176</v>
      </c>
      <c r="AF1147">
        <f>V1099</f>
        <v>322.70555555555558</v>
      </c>
      <c r="AG1147">
        <f>X1099</f>
        <v>17.178498009175112</v>
      </c>
      <c r="AH1147">
        <f>Y1099</f>
        <v>-0.90381353093862404</v>
      </c>
      <c r="AI1147">
        <f>Z1099</f>
        <v>11.2125</v>
      </c>
      <c r="AJ1147" s="727"/>
    </row>
    <row r="1148" spans="1:36" ht="15.75" customHeight="1" x14ac:dyDescent="0.3">
      <c r="AD1148" s="721"/>
      <c r="AE1148" s="723" t="s">
        <v>3175</v>
      </c>
      <c r="AF1148">
        <f>W1099</f>
        <v>77.705555555555563</v>
      </c>
      <c r="AG1148">
        <f>X1099</f>
        <v>17.178498009175112</v>
      </c>
      <c r="AH1148">
        <f>Y1099</f>
        <v>-0.90381353093862404</v>
      </c>
      <c r="AI1148">
        <f>Z1099</f>
        <v>11.2125</v>
      </c>
      <c r="AJ1148" s="727"/>
    </row>
    <row r="1149" spans="1:36" ht="15.75" customHeight="1" x14ac:dyDescent="0.3">
      <c r="AD1149" s="721" t="s">
        <v>3178</v>
      </c>
      <c r="AE1149" s="723" t="s">
        <v>852</v>
      </c>
      <c r="AJ1149" s="727"/>
    </row>
    <row r="1150" spans="1:36" ht="15.75" customHeight="1" thickBot="1" x14ac:dyDescent="0.35">
      <c r="AD1150" s="721" t="s">
        <v>2355</v>
      </c>
      <c r="AE1150" s="723" t="s">
        <v>3176</v>
      </c>
      <c r="AF1150">
        <f>V1100</f>
        <v>323.16935483870964</v>
      </c>
      <c r="AG1150">
        <f>X1100</f>
        <v>14.698469092215623</v>
      </c>
      <c r="AH1150">
        <f>Y1100</f>
        <v>0</v>
      </c>
      <c r="AI1150">
        <f>Z1100</f>
        <v>33.439516129032256</v>
      </c>
      <c r="AJ1150" s="727"/>
    </row>
    <row r="1151" spans="1:36" ht="15.75" customHeight="1" x14ac:dyDescent="0.35">
      <c r="A1151" s="749"/>
      <c r="B1151" s="701"/>
      <c r="C1151" s="768"/>
      <c r="D1151" s="768"/>
      <c r="E1151" s="768"/>
      <c r="F1151" s="768"/>
      <c r="G1151" s="768"/>
      <c r="H1151" s="750" t="s">
        <v>1623</v>
      </c>
      <c r="I1151" s="701"/>
      <c r="J1151" s="701"/>
      <c r="K1151" s="701"/>
      <c r="L1151" s="701"/>
      <c r="M1151" s="701"/>
      <c r="N1151" s="701"/>
      <c r="O1151" s="701"/>
      <c r="P1151" s="701"/>
      <c r="Q1151" s="752" t="str">
        <f>+Q1</f>
        <v xml:space="preserve">PRINTED:  </v>
      </c>
      <c r="R1151" s="756">
        <f ca="1">+R1</f>
        <v>44881.729633912037</v>
      </c>
      <c r="S1151" s="702"/>
      <c r="AD1151" s="721"/>
      <c r="AE1151" s="723" t="s">
        <v>3175</v>
      </c>
      <c r="AF1151">
        <f>W1100</f>
        <v>78.169354838709666</v>
      </c>
      <c r="AG1151">
        <f>X1100</f>
        <v>14.698469092215623</v>
      </c>
      <c r="AH1151">
        <f>Y1100</f>
        <v>0</v>
      </c>
      <c r="AI1151">
        <f>Z1100</f>
        <v>33.439516129032256</v>
      </c>
      <c r="AJ1151" s="727"/>
    </row>
    <row r="1152" spans="1:36" ht="15.75" customHeight="1" thickBot="1" x14ac:dyDescent="0.4">
      <c r="A1152" s="551"/>
      <c r="B1152" s="67"/>
      <c r="C1152" s="215"/>
      <c r="D1152" s="215"/>
      <c r="E1152" s="215"/>
      <c r="F1152" s="215"/>
      <c r="G1152" s="215"/>
      <c r="H1152" s="67" t="s">
        <v>2435</v>
      </c>
      <c r="I1152" s="67" t="s">
        <v>852</v>
      </c>
      <c r="J1152" s="69" t="str">
        <f>+A8</f>
        <v>Revised:  10/5/2020</v>
      </c>
      <c r="K1152" s="67"/>
      <c r="L1152" s="67"/>
      <c r="M1152" s="67"/>
      <c r="N1152" s="67"/>
      <c r="O1152" s="67"/>
      <c r="P1152" s="67"/>
      <c r="Q1152" s="67"/>
      <c r="R1152" s="67"/>
      <c r="S1152" s="727"/>
      <c r="AD1152" s="722" t="s">
        <v>3178</v>
      </c>
      <c r="AE1152" s="724" t="s">
        <v>852</v>
      </c>
      <c r="AF1152" s="581"/>
      <c r="AG1152" s="581"/>
      <c r="AH1152" s="581"/>
      <c r="AI1152" s="581"/>
      <c r="AJ1152" s="565"/>
    </row>
    <row r="1153" spans="1:19" ht="15.75" customHeight="1" x14ac:dyDescent="0.35">
      <c r="A1153" s="551"/>
      <c r="B1153" s="67"/>
      <c r="C1153" s="215"/>
      <c r="D1153" s="215"/>
      <c r="E1153" s="215"/>
      <c r="F1153" s="215"/>
      <c r="G1153" s="215"/>
      <c r="H1153" s="67" t="s">
        <v>2126</v>
      </c>
      <c r="I1153" s="67"/>
      <c r="J1153" s="67"/>
      <c r="K1153" s="67"/>
      <c r="L1153" s="67"/>
      <c r="M1153" s="67"/>
      <c r="N1153" s="67"/>
      <c r="O1153" s="67"/>
      <c r="P1153" s="67"/>
      <c r="Q1153" s="67"/>
      <c r="R1153" s="67"/>
      <c r="S1153" s="727"/>
    </row>
    <row r="1154" spans="1:19" ht="15.75" customHeight="1" x14ac:dyDescent="0.35">
      <c r="A1154" s="551"/>
      <c r="B1154" s="67"/>
      <c r="C1154" s="215"/>
      <c r="D1154" s="215"/>
      <c r="E1154" s="215"/>
      <c r="F1154" s="215"/>
      <c r="G1154" s="215"/>
      <c r="H1154" s="67"/>
      <c r="I1154" s="67"/>
      <c r="J1154" s="67"/>
      <c r="K1154" s="67"/>
      <c r="L1154" s="67"/>
      <c r="M1154" s="67"/>
      <c r="N1154" s="67"/>
      <c r="O1154" s="67"/>
      <c r="P1154" s="67"/>
      <c r="Q1154" s="67"/>
      <c r="R1154" s="67"/>
      <c r="S1154" s="727"/>
    </row>
    <row r="1155" spans="1:19" ht="15.75" customHeight="1" x14ac:dyDescent="0.35">
      <c r="A1155" s="551"/>
      <c r="B1155" s="67"/>
      <c r="C1155" s="215"/>
      <c r="D1155" s="215"/>
      <c r="E1155" s="215"/>
      <c r="F1155" s="215"/>
      <c r="G1155" s="215"/>
      <c r="H1155" s="67" t="s">
        <v>2435</v>
      </c>
      <c r="I1155" s="676">
        <f>+A5</f>
        <v>2020</v>
      </c>
      <c r="J1155" s="67"/>
      <c r="K1155" s="67"/>
      <c r="L1155" s="67"/>
      <c r="M1155" s="67"/>
      <c r="N1155" s="67"/>
      <c r="O1155" s="67"/>
      <c r="P1155" s="67"/>
      <c r="Q1155" s="67"/>
      <c r="R1155" s="67"/>
      <c r="S1155" s="727"/>
    </row>
    <row r="1156" spans="1:19" ht="15.75" customHeight="1" x14ac:dyDescent="0.3">
      <c r="A1156" s="551"/>
      <c r="B1156" s="67"/>
      <c r="C1156" s="67"/>
      <c r="D1156" s="67"/>
      <c r="E1156" s="67"/>
      <c r="F1156" s="67"/>
      <c r="G1156" s="67"/>
      <c r="H1156" s="67"/>
      <c r="I1156" s="67"/>
      <c r="J1156" s="67"/>
      <c r="K1156" s="67"/>
      <c r="L1156" s="67"/>
      <c r="M1156" s="67"/>
      <c r="N1156" s="67"/>
      <c r="O1156" s="67"/>
      <c r="P1156" s="67"/>
      <c r="Q1156" s="67"/>
      <c r="R1156" s="67"/>
      <c r="S1156" s="727"/>
    </row>
    <row r="1157" spans="1:19" ht="15.75" customHeight="1" x14ac:dyDescent="0.3">
      <c r="A1157" s="551"/>
      <c r="B1157" s="67"/>
      <c r="C1157" s="71" t="s">
        <v>1442</v>
      </c>
      <c r="D1157" s="67"/>
      <c r="E1157" s="67"/>
      <c r="F1157" s="67"/>
      <c r="G1157" s="71" t="s">
        <v>1409</v>
      </c>
      <c r="H1157" s="67"/>
      <c r="I1157" s="67"/>
      <c r="J1157" s="67"/>
      <c r="K1157" s="68" t="s">
        <v>234</v>
      </c>
      <c r="L1157" s="67"/>
      <c r="M1157" s="67"/>
      <c r="N1157" s="67"/>
      <c r="O1157" s="68" t="s">
        <v>1701</v>
      </c>
      <c r="P1157" s="67"/>
      <c r="Q1157" s="67"/>
      <c r="R1157" s="67"/>
      <c r="S1157" s="727"/>
    </row>
    <row r="1158" spans="1:19" ht="15.75" customHeight="1" x14ac:dyDescent="0.3">
      <c r="A1158" s="551"/>
      <c r="B1158" s="67"/>
      <c r="C1158" s="67">
        <f>+A5</f>
        <v>2020</v>
      </c>
      <c r="D1158" s="67"/>
      <c r="E1158" s="67"/>
      <c r="F1158" s="67" t="s">
        <v>2415</v>
      </c>
      <c r="G1158" s="67"/>
      <c r="H1158" s="67"/>
      <c r="I1158" s="67"/>
      <c r="J1158" s="67"/>
      <c r="K1158" s="67">
        <f>+A5</f>
        <v>2020</v>
      </c>
      <c r="L1158" s="67"/>
      <c r="M1158" s="67"/>
      <c r="N1158" s="67"/>
      <c r="O1158" s="67">
        <f>+A5</f>
        <v>2020</v>
      </c>
      <c r="P1158" s="67"/>
      <c r="Q1158" s="67"/>
      <c r="R1158" s="67"/>
      <c r="S1158" s="727"/>
    </row>
    <row r="1159" spans="1:19" ht="15.75" customHeight="1" x14ac:dyDescent="0.3">
      <c r="A1159" s="551"/>
      <c r="B1159" s="67"/>
      <c r="C1159" s="67"/>
      <c r="D1159" s="67"/>
      <c r="E1159" s="67"/>
      <c r="F1159" s="67"/>
      <c r="G1159" s="67">
        <f>+A5</f>
        <v>2020</v>
      </c>
      <c r="H1159" s="67"/>
      <c r="I1159" s="67"/>
      <c r="J1159" s="67"/>
      <c r="K1159" s="67"/>
      <c r="L1159" s="67"/>
      <c r="M1159" s="67"/>
      <c r="N1159" s="67"/>
      <c r="O1159" s="67"/>
      <c r="P1159" s="67"/>
      <c r="Q1159" s="67"/>
      <c r="R1159" s="67"/>
      <c r="S1159" s="727"/>
    </row>
    <row r="1160" spans="1:19" ht="15.75" customHeight="1" x14ac:dyDescent="0.3">
      <c r="A1160" s="551"/>
      <c r="B1160" s="67"/>
      <c r="C1160" s="70" t="s">
        <v>1413</v>
      </c>
      <c r="D1160" s="70" t="s">
        <v>31</v>
      </c>
      <c r="E1160" s="70" t="s">
        <v>32</v>
      </c>
      <c r="F1160" s="67"/>
      <c r="G1160" s="70" t="s">
        <v>1412</v>
      </c>
      <c r="H1160" s="70" t="s">
        <v>31</v>
      </c>
      <c r="I1160" s="70" t="s">
        <v>1077</v>
      </c>
      <c r="J1160" s="67"/>
      <c r="K1160" s="70" t="s">
        <v>229</v>
      </c>
      <c r="L1160" s="70" t="s">
        <v>31</v>
      </c>
      <c r="M1160" s="70" t="s">
        <v>1078</v>
      </c>
      <c r="N1160" s="67"/>
      <c r="O1160" s="70" t="s">
        <v>229</v>
      </c>
      <c r="P1160" s="70" t="s">
        <v>31</v>
      </c>
      <c r="Q1160" s="70" t="s">
        <v>1078</v>
      </c>
      <c r="R1160" s="67"/>
      <c r="S1160" s="727"/>
    </row>
    <row r="1161" spans="1:19" ht="15.75" customHeight="1" x14ac:dyDescent="0.3">
      <c r="A1161" s="551"/>
      <c r="B1161" s="67"/>
      <c r="C1161" s="70" t="s">
        <v>429</v>
      </c>
      <c r="D1161" s="70" t="s">
        <v>335</v>
      </c>
      <c r="E1161" s="70" t="s">
        <v>2000</v>
      </c>
      <c r="F1161" s="67"/>
      <c r="G1161" s="70" t="s">
        <v>1318</v>
      </c>
      <c r="H1161" s="70" t="s">
        <v>335</v>
      </c>
      <c r="I1161" s="70" t="s">
        <v>2000</v>
      </c>
      <c r="J1161" s="67"/>
      <c r="K1161" s="70" t="s">
        <v>1180</v>
      </c>
      <c r="L1161" s="70" t="s">
        <v>335</v>
      </c>
      <c r="M1161" s="70" t="s">
        <v>2000</v>
      </c>
      <c r="N1161" s="67"/>
      <c r="O1161" s="70" t="s">
        <v>1180</v>
      </c>
      <c r="P1161" s="70" t="s">
        <v>335</v>
      </c>
      <c r="Q1161" s="70" t="s">
        <v>2000</v>
      </c>
      <c r="R1161" s="67"/>
      <c r="S1161" s="727"/>
    </row>
    <row r="1162" spans="1:19" ht="15.75" customHeight="1" x14ac:dyDescent="0.3">
      <c r="A1162" s="551"/>
      <c r="B1162" s="67"/>
      <c r="C1162" s="70" t="s">
        <v>335</v>
      </c>
      <c r="D1162" s="70" t="s">
        <v>956</v>
      </c>
      <c r="E1162" s="70" t="s">
        <v>242</v>
      </c>
      <c r="F1162" s="67"/>
      <c r="G1162" s="70" t="s">
        <v>134</v>
      </c>
      <c r="H1162" s="70" t="s">
        <v>956</v>
      </c>
      <c r="I1162" s="70" t="s">
        <v>242</v>
      </c>
      <c r="J1162" s="67"/>
      <c r="K1162" s="70" t="s">
        <v>335</v>
      </c>
      <c r="L1162" s="70" t="s">
        <v>956</v>
      </c>
      <c r="M1162" s="70" t="s">
        <v>242</v>
      </c>
      <c r="N1162" s="67"/>
      <c r="O1162" s="70" t="s">
        <v>335</v>
      </c>
      <c r="P1162" s="70" t="s">
        <v>956</v>
      </c>
      <c r="Q1162" s="70" t="s">
        <v>242</v>
      </c>
      <c r="R1162" s="67"/>
      <c r="S1162" s="727"/>
    </row>
    <row r="1163" spans="1:19" ht="15.75" customHeight="1" x14ac:dyDescent="0.3">
      <c r="A1163" s="551"/>
      <c r="B1163" s="67"/>
      <c r="C1163" s="70" t="s">
        <v>932</v>
      </c>
      <c r="D1163" s="70" t="s">
        <v>1917</v>
      </c>
      <c r="E1163" s="70" t="s">
        <v>1481</v>
      </c>
      <c r="F1163" s="67"/>
      <c r="G1163" s="70" t="s">
        <v>932</v>
      </c>
      <c r="H1163" s="70" t="s">
        <v>1917</v>
      </c>
      <c r="I1163" s="70" t="s">
        <v>1481</v>
      </c>
      <c r="J1163" s="67"/>
      <c r="K1163" s="70" t="s">
        <v>932</v>
      </c>
      <c r="L1163" s="70" t="s">
        <v>1917</v>
      </c>
      <c r="M1163" s="70" t="s">
        <v>1481</v>
      </c>
      <c r="N1163" s="67"/>
      <c r="O1163" s="70" t="s">
        <v>932</v>
      </c>
      <c r="P1163" s="70" t="s">
        <v>1917</v>
      </c>
      <c r="Q1163" s="70" t="s">
        <v>1481</v>
      </c>
      <c r="R1163" s="67"/>
      <c r="S1163" s="727"/>
    </row>
    <row r="1164" spans="1:19" ht="15.75" customHeight="1" x14ac:dyDescent="0.3">
      <c r="A1164" s="551"/>
      <c r="B1164" s="67"/>
      <c r="C1164" s="67" t="s">
        <v>1353</v>
      </c>
      <c r="D1164" s="67" t="s">
        <v>1353</v>
      </c>
      <c r="E1164" s="67" t="s">
        <v>1353</v>
      </c>
      <c r="F1164" s="67"/>
      <c r="G1164" s="70" t="s">
        <v>1353</v>
      </c>
      <c r="H1164" s="70" t="s">
        <v>1353</v>
      </c>
      <c r="I1164" s="70" t="s">
        <v>1353</v>
      </c>
      <c r="J1164" s="67"/>
      <c r="K1164" s="67" t="s">
        <v>1353</v>
      </c>
      <c r="L1164" s="67" t="s">
        <v>1353</v>
      </c>
      <c r="M1164" s="67" t="s">
        <v>1353</v>
      </c>
      <c r="N1164" s="67"/>
      <c r="O1164" s="67" t="s">
        <v>1353</v>
      </c>
      <c r="P1164" s="67" t="s">
        <v>1353</v>
      </c>
      <c r="Q1164" s="67" t="s">
        <v>1353</v>
      </c>
      <c r="R1164" s="67"/>
      <c r="S1164" s="727"/>
    </row>
    <row r="1165" spans="1:19" ht="15.75" customHeight="1" x14ac:dyDescent="0.3">
      <c r="A1165" s="553" t="s">
        <v>1354</v>
      </c>
      <c r="B1165" s="67"/>
      <c r="C1165" s="67">
        <f t="shared" ref="C1165:C1176" si="533">(P1037)</f>
        <v>0.2</v>
      </c>
      <c r="D1165" s="72">
        <v>0</v>
      </c>
      <c r="E1165" s="73">
        <f t="shared" ref="E1165:E1176" si="534">(P1037*D1165/1000)</f>
        <v>0</v>
      </c>
      <c r="F1165" s="67"/>
      <c r="G1165" s="67">
        <v>0</v>
      </c>
      <c r="H1165" s="72">
        <v>0</v>
      </c>
      <c r="I1165" s="73">
        <f t="shared" ref="I1165:I1176" si="535">(G1165*H1165/1000)</f>
        <v>0</v>
      </c>
      <c r="J1165" s="67"/>
      <c r="K1165" s="589">
        <v>11848</v>
      </c>
      <c r="L1165" s="590">
        <v>0</v>
      </c>
      <c r="M1165" s="73">
        <f t="shared" ref="M1165:M1176" si="536">(K1165*L1165/1000)</f>
        <v>0</v>
      </c>
      <c r="N1165" s="67"/>
      <c r="O1165" s="589">
        <v>0</v>
      </c>
      <c r="P1165" s="72">
        <v>0</v>
      </c>
      <c r="Q1165" s="73">
        <f t="shared" ref="Q1165:Q1176" si="537">(O1165*P1165/1000)</f>
        <v>0</v>
      </c>
      <c r="R1165" s="67"/>
      <c r="S1165" s="727"/>
    </row>
    <row r="1166" spans="1:19" ht="15.75" customHeight="1" x14ac:dyDescent="0.3">
      <c r="A1166" s="553" t="s">
        <v>706</v>
      </c>
      <c r="B1166" s="67"/>
      <c r="C1166" s="67">
        <f t="shared" si="533"/>
        <v>0.25</v>
      </c>
      <c r="D1166" s="72">
        <v>0</v>
      </c>
      <c r="E1166" s="73">
        <f t="shared" si="534"/>
        <v>0</v>
      </c>
      <c r="F1166" s="67"/>
      <c r="G1166" s="67" t="e">
        <f>#REF!</f>
        <v>#REF!</v>
      </c>
      <c r="H1166" s="72">
        <v>0</v>
      </c>
      <c r="I1166" s="73" t="e">
        <f t="shared" si="535"/>
        <v>#REF!</v>
      </c>
      <c r="J1166" s="67"/>
      <c r="K1166" s="589">
        <v>11489</v>
      </c>
      <c r="L1166" s="590">
        <v>0</v>
      </c>
      <c r="M1166" s="73">
        <f t="shared" si="536"/>
        <v>0</v>
      </c>
      <c r="N1166" s="67"/>
      <c r="O1166" s="589">
        <v>0</v>
      </c>
      <c r="P1166" s="72">
        <v>0</v>
      </c>
      <c r="Q1166" s="73">
        <f t="shared" si="537"/>
        <v>0</v>
      </c>
      <c r="R1166" s="67"/>
      <c r="S1166" s="727"/>
    </row>
    <row r="1167" spans="1:19" ht="15.75" customHeight="1" x14ac:dyDescent="0.3">
      <c r="A1167" s="553" t="s">
        <v>707</v>
      </c>
      <c r="B1167" s="67"/>
      <c r="C1167" s="67">
        <f t="shared" si="533"/>
        <v>0.3</v>
      </c>
      <c r="D1167" s="72">
        <v>0</v>
      </c>
      <c r="E1167" s="73">
        <f t="shared" si="534"/>
        <v>0</v>
      </c>
      <c r="F1167" s="67">
        <f>SUM(E1165:E1167)</f>
        <v>0</v>
      </c>
      <c r="G1167" s="67" t="e">
        <f>#REF!</f>
        <v>#REF!</v>
      </c>
      <c r="H1167" s="72">
        <v>0</v>
      </c>
      <c r="I1167" s="73" t="e">
        <f t="shared" si="535"/>
        <v>#REF!</v>
      </c>
      <c r="J1167" s="67" t="e">
        <f>SUM(I1165:I1167)</f>
        <v>#REF!</v>
      </c>
      <c r="K1167" s="589">
        <v>16247</v>
      </c>
      <c r="L1167" s="590">
        <v>0</v>
      </c>
      <c r="M1167" s="73">
        <f t="shared" si="536"/>
        <v>0</v>
      </c>
      <c r="N1167" s="67">
        <f>SUM(M1165:M1167)</f>
        <v>0</v>
      </c>
      <c r="O1167" s="589">
        <v>0</v>
      </c>
      <c r="P1167" s="72">
        <v>0</v>
      </c>
      <c r="Q1167" s="73">
        <f t="shared" si="537"/>
        <v>0</v>
      </c>
      <c r="R1167" s="67">
        <f>SUM(Q1165:Q1167)</f>
        <v>0</v>
      </c>
      <c r="S1167" s="727"/>
    </row>
    <row r="1168" spans="1:19" ht="15.75" customHeight="1" x14ac:dyDescent="0.3">
      <c r="A1168" s="553" t="s">
        <v>1321</v>
      </c>
      <c r="B1168" s="67"/>
      <c r="C1168" s="67">
        <f t="shared" si="533"/>
        <v>0.35</v>
      </c>
      <c r="D1168" s="72">
        <v>0</v>
      </c>
      <c r="E1168" s="73">
        <f t="shared" si="534"/>
        <v>0</v>
      </c>
      <c r="F1168" s="67"/>
      <c r="G1168" s="67" t="e">
        <f>#REF!</f>
        <v>#REF!</v>
      </c>
      <c r="H1168" s="72">
        <v>0</v>
      </c>
      <c r="I1168" s="73" t="e">
        <f t="shared" si="535"/>
        <v>#REF!</v>
      </c>
      <c r="J1168" s="67"/>
      <c r="K1168" s="589">
        <v>17740</v>
      </c>
      <c r="L1168" s="590">
        <v>0</v>
      </c>
      <c r="M1168" s="73">
        <f t="shared" si="536"/>
        <v>0</v>
      </c>
      <c r="N1168" s="67"/>
      <c r="O1168" s="589">
        <v>0</v>
      </c>
      <c r="P1168" s="72">
        <v>0</v>
      </c>
      <c r="Q1168" s="73">
        <f t="shared" si="537"/>
        <v>0</v>
      </c>
      <c r="R1168" s="67"/>
      <c r="S1168" s="727"/>
    </row>
    <row r="1169" spans="1:19" ht="15.75" customHeight="1" x14ac:dyDescent="0.3">
      <c r="A1169" s="553" t="s">
        <v>1905</v>
      </c>
      <c r="B1169" s="67"/>
      <c r="C1169" s="67">
        <f t="shared" si="533"/>
        <v>0.35</v>
      </c>
      <c r="D1169" s="72">
        <v>0</v>
      </c>
      <c r="E1169" s="73">
        <f t="shared" si="534"/>
        <v>0</v>
      </c>
      <c r="F1169" s="67"/>
      <c r="G1169" s="67" t="e">
        <f>#REF!</f>
        <v>#REF!</v>
      </c>
      <c r="H1169" s="72">
        <v>0</v>
      </c>
      <c r="I1169" s="73" t="e">
        <f t="shared" si="535"/>
        <v>#REF!</v>
      </c>
      <c r="J1169" s="67"/>
      <c r="K1169" s="589">
        <v>15434</v>
      </c>
      <c r="L1169" s="590">
        <v>0</v>
      </c>
      <c r="M1169" s="73">
        <f t="shared" si="536"/>
        <v>0</v>
      </c>
      <c r="N1169" s="67"/>
      <c r="O1169" s="589">
        <v>0</v>
      </c>
      <c r="P1169" s="72">
        <v>0</v>
      </c>
      <c r="Q1169" s="73">
        <f t="shared" si="537"/>
        <v>0</v>
      </c>
      <c r="R1169" s="67"/>
      <c r="S1169" s="727"/>
    </row>
    <row r="1170" spans="1:19" ht="15.75" customHeight="1" x14ac:dyDescent="0.3">
      <c r="A1170" s="553" t="s">
        <v>1906</v>
      </c>
      <c r="B1170" s="67"/>
      <c r="C1170" s="67">
        <f t="shared" si="533"/>
        <v>7.4999999999999997E-2</v>
      </c>
      <c r="D1170" s="72">
        <v>0</v>
      </c>
      <c r="E1170" s="73">
        <f t="shared" si="534"/>
        <v>0</v>
      </c>
      <c r="F1170" s="67">
        <f>SUM(E1168:E1170)</f>
        <v>0</v>
      </c>
      <c r="G1170" s="67" t="e">
        <f>#REF!</f>
        <v>#REF!</v>
      </c>
      <c r="H1170" s="72">
        <v>0</v>
      </c>
      <c r="I1170" s="73" t="e">
        <f t="shared" si="535"/>
        <v>#REF!</v>
      </c>
      <c r="J1170" s="67" t="e">
        <f>SUM(I1168:I1170)</f>
        <v>#REF!</v>
      </c>
      <c r="K1170" s="589">
        <v>14355</v>
      </c>
      <c r="L1170" s="590">
        <v>0</v>
      </c>
      <c r="M1170" s="73">
        <f t="shared" si="536"/>
        <v>0</v>
      </c>
      <c r="N1170" s="67">
        <f>SUM(M1168:M1170)</f>
        <v>0</v>
      </c>
      <c r="O1170" s="589">
        <v>0</v>
      </c>
      <c r="P1170" s="72">
        <v>0</v>
      </c>
      <c r="Q1170" s="73">
        <f t="shared" si="537"/>
        <v>0</v>
      </c>
      <c r="R1170" s="67">
        <f>SUM(Q1168:Q1170)</f>
        <v>0</v>
      </c>
      <c r="S1170" s="727"/>
    </row>
    <row r="1171" spans="1:19" ht="15.75" customHeight="1" x14ac:dyDescent="0.3">
      <c r="A1171" s="553" t="s">
        <v>1907</v>
      </c>
      <c r="B1171" s="67"/>
      <c r="C1171" s="67">
        <f t="shared" si="533"/>
        <v>0.05</v>
      </c>
      <c r="D1171" s="72">
        <v>0</v>
      </c>
      <c r="E1171" s="73">
        <f t="shared" si="534"/>
        <v>0</v>
      </c>
      <c r="F1171" s="67"/>
      <c r="G1171" s="67" t="e">
        <f>#REF!</f>
        <v>#REF!</v>
      </c>
      <c r="H1171" s="72">
        <v>0</v>
      </c>
      <c r="I1171" s="73" t="e">
        <f t="shared" si="535"/>
        <v>#REF!</v>
      </c>
      <c r="J1171" s="67"/>
      <c r="K1171" s="589">
        <v>13129</v>
      </c>
      <c r="L1171" s="590">
        <v>0</v>
      </c>
      <c r="M1171" s="73">
        <f t="shared" si="536"/>
        <v>0</v>
      </c>
      <c r="N1171" s="67"/>
      <c r="O1171" s="589">
        <v>0</v>
      </c>
      <c r="P1171" s="72">
        <v>0</v>
      </c>
      <c r="Q1171" s="73">
        <f t="shared" si="537"/>
        <v>0</v>
      </c>
      <c r="R1171" s="67"/>
      <c r="S1171" s="727"/>
    </row>
    <row r="1172" spans="1:19" ht="15.75" customHeight="1" x14ac:dyDescent="0.3">
      <c r="A1172" s="553" t="s">
        <v>1908</v>
      </c>
      <c r="B1172" s="67"/>
      <c r="C1172" s="67">
        <f t="shared" si="533"/>
        <v>0</v>
      </c>
      <c r="D1172" s="72">
        <v>0</v>
      </c>
      <c r="E1172" s="73">
        <f t="shared" si="534"/>
        <v>0</v>
      </c>
      <c r="F1172" s="67"/>
      <c r="G1172" s="67" t="e">
        <f>#REF!</f>
        <v>#REF!</v>
      </c>
      <c r="H1172" s="72">
        <v>0</v>
      </c>
      <c r="I1172" s="73" t="e">
        <f t="shared" si="535"/>
        <v>#REF!</v>
      </c>
      <c r="J1172" s="67"/>
      <c r="K1172" s="589">
        <v>12545</v>
      </c>
      <c r="L1172" s="590">
        <v>0</v>
      </c>
      <c r="M1172" s="73">
        <f t="shared" si="536"/>
        <v>0</v>
      </c>
      <c r="N1172" s="67"/>
      <c r="O1172" s="589">
        <v>0</v>
      </c>
      <c r="P1172" s="72">
        <v>0</v>
      </c>
      <c r="Q1172" s="73">
        <f t="shared" si="537"/>
        <v>0</v>
      </c>
      <c r="R1172" s="67"/>
      <c r="S1172" s="727"/>
    </row>
    <row r="1173" spans="1:19" ht="15.75" customHeight="1" x14ac:dyDescent="0.3">
      <c r="A1173" s="553" t="s">
        <v>2352</v>
      </c>
      <c r="B1173" s="67"/>
      <c r="C1173" s="67">
        <f t="shared" si="533"/>
        <v>0.05</v>
      </c>
      <c r="D1173" s="72">
        <v>0</v>
      </c>
      <c r="E1173" s="73">
        <f t="shared" si="534"/>
        <v>0</v>
      </c>
      <c r="F1173" s="67">
        <f>SUM(E1171:E1173)</f>
        <v>0</v>
      </c>
      <c r="G1173" s="67" t="e">
        <f>#REF!</f>
        <v>#REF!</v>
      </c>
      <c r="H1173" s="72">
        <v>0</v>
      </c>
      <c r="I1173" s="73" t="e">
        <f t="shared" si="535"/>
        <v>#REF!</v>
      </c>
      <c r="J1173" s="67" t="e">
        <f>SUM(I1171:I1173)</f>
        <v>#REF!</v>
      </c>
      <c r="K1173" s="589">
        <v>9350</v>
      </c>
      <c r="L1173" s="590">
        <v>0</v>
      </c>
      <c r="M1173" s="73">
        <f t="shared" si="536"/>
        <v>0</v>
      </c>
      <c r="N1173" s="67">
        <f>SUM(M1171:M1173)</f>
        <v>0</v>
      </c>
      <c r="O1173" s="589">
        <v>0</v>
      </c>
      <c r="P1173" s="72">
        <v>0</v>
      </c>
      <c r="Q1173" s="73">
        <f t="shared" si="537"/>
        <v>0</v>
      </c>
      <c r="R1173" s="67">
        <f>SUM(Q1171:Q1173)</f>
        <v>0</v>
      </c>
      <c r="S1173" s="727"/>
    </row>
    <row r="1174" spans="1:19" ht="15.75" customHeight="1" x14ac:dyDescent="0.3">
      <c r="A1174" s="553" t="s">
        <v>2353</v>
      </c>
      <c r="B1174" s="67"/>
      <c r="C1174" s="67">
        <f t="shared" si="533"/>
        <v>0.2</v>
      </c>
      <c r="D1174" s="72">
        <v>0</v>
      </c>
      <c r="E1174" s="73">
        <f t="shared" si="534"/>
        <v>0</v>
      </c>
      <c r="F1174" s="67"/>
      <c r="G1174" s="67" t="e">
        <f>#REF!</f>
        <v>#REF!</v>
      </c>
      <c r="H1174" s="72">
        <v>0</v>
      </c>
      <c r="I1174" s="73" t="e">
        <f t="shared" si="535"/>
        <v>#REF!</v>
      </c>
      <c r="J1174" s="67"/>
      <c r="K1174" s="589">
        <v>11649</v>
      </c>
      <c r="L1174" s="590">
        <v>0</v>
      </c>
      <c r="M1174" s="73">
        <f t="shared" si="536"/>
        <v>0</v>
      </c>
      <c r="N1174" s="67"/>
      <c r="O1174" s="589">
        <v>0</v>
      </c>
      <c r="P1174" s="72">
        <v>0</v>
      </c>
      <c r="Q1174" s="73">
        <f t="shared" si="537"/>
        <v>0</v>
      </c>
      <c r="R1174" s="67"/>
      <c r="S1174" s="727"/>
    </row>
    <row r="1175" spans="1:19" ht="15.75" customHeight="1" x14ac:dyDescent="0.3">
      <c r="A1175" s="553" t="s">
        <v>2354</v>
      </c>
      <c r="B1175" s="67"/>
      <c r="C1175" s="67">
        <f t="shared" si="533"/>
        <v>0.2</v>
      </c>
      <c r="D1175" s="72">
        <v>0</v>
      </c>
      <c r="E1175" s="73">
        <f t="shared" si="534"/>
        <v>0</v>
      </c>
      <c r="F1175" s="67"/>
      <c r="G1175" s="67" t="e">
        <f>#REF!</f>
        <v>#REF!</v>
      </c>
      <c r="H1175" s="72">
        <v>0</v>
      </c>
      <c r="I1175" s="73" t="e">
        <f t="shared" si="535"/>
        <v>#REF!</v>
      </c>
      <c r="J1175" s="67"/>
      <c r="K1175" s="589">
        <v>8035</v>
      </c>
      <c r="L1175" s="590">
        <v>0</v>
      </c>
      <c r="M1175" s="73">
        <f t="shared" si="536"/>
        <v>0</v>
      </c>
      <c r="N1175" s="67"/>
      <c r="O1175" s="589">
        <v>0</v>
      </c>
      <c r="P1175" s="72">
        <v>0</v>
      </c>
      <c r="Q1175" s="73">
        <f t="shared" si="537"/>
        <v>0</v>
      </c>
      <c r="R1175" s="67"/>
      <c r="S1175" s="727"/>
    </row>
    <row r="1176" spans="1:19" ht="15.75" customHeight="1" x14ac:dyDescent="0.3">
      <c r="A1176" s="553" t="s">
        <v>2355</v>
      </c>
      <c r="B1176" s="67"/>
      <c r="C1176" s="67">
        <f t="shared" si="533"/>
        <v>0.2</v>
      </c>
      <c r="D1176" s="72">
        <v>0</v>
      </c>
      <c r="E1176" s="73">
        <f t="shared" si="534"/>
        <v>0</v>
      </c>
      <c r="F1176" s="67">
        <f>SUM(E1174:E1176)</f>
        <v>0</v>
      </c>
      <c r="G1176" s="67" t="e">
        <f>#REF!</f>
        <v>#REF!</v>
      </c>
      <c r="H1176" s="72">
        <v>0</v>
      </c>
      <c r="I1176" s="73" t="e">
        <f t="shared" si="535"/>
        <v>#REF!</v>
      </c>
      <c r="J1176" s="67" t="e">
        <f>SUM(I1174:I1176)</f>
        <v>#REF!</v>
      </c>
      <c r="K1176" s="589">
        <v>8092</v>
      </c>
      <c r="L1176" s="590">
        <v>0</v>
      </c>
      <c r="M1176" s="73">
        <f t="shared" si="536"/>
        <v>0</v>
      </c>
      <c r="N1176" s="67">
        <f>SUM(M1174:M1176)</f>
        <v>0</v>
      </c>
      <c r="O1176" s="589">
        <v>0</v>
      </c>
      <c r="P1176" s="72">
        <v>0</v>
      </c>
      <c r="Q1176" s="73">
        <f t="shared" si="537"/>
        <v>0</v>
      </c>
      <c r="R1176" s="67">
        <f>SUM(Q1174:Q1176)</f>
        <v>0</v>
      </c>
      <c r="S1176" s="727"/>
    </row>
    <row r="1177" spans="1:19" ht="15.75" customHeight="1" x14ac:dyDescent="0.3">
      <c r="A1177" s="551"/>
      <c r="B1177" s="67"/>
      <c r="C1177" s="67"/>
      <c r="D1177" s="67"/>
      <c r="E1177" s="67"/>
      <c r="F1177" s="67"/>
      <c r="G1177" s="67"/>
      <c r="H1177" s="67"/>
      <c r="I1177" s="67"/>
      <c r="J1177" s="67"/>
      <c r="K1177" s="67"/>
      <c r="L1177" s="67"/>
      <c r="M1177" s="67"/>
      <c r="N1177" s="67"/>
      <c r="O1177" s="67"/>
      <c r="P1177" s="67"/>
      <c r="Q1177" s="67"/>
      <c r="R1177" s="67"/>
      <c r="S1177" s="727"/>
    </row>
    <row r="1178" spans="1:19" ht="15.75" customHeight="1" x14ac:dyDescent="0.3">
      <c r="A1178" s="551"/>
      <c r="B1178" s="67"/>
      <c r="C1178" s="67"/>
      <c r="D1178" s="67"/>
      <c r="E1178" s="67"/>
      <c r="F1178" s="67"/>
      <c r="G1178" s="67"/>
      <c r="H1178" s="67"/>
      <c r="I1178" s="67"/>
      <c r="J1178" s="67"/>
      <c r="K1178" s="67"/>
      <c r="L1178" s="67"/>
      <c r="M1178" s="67"/>
      <c r="N1178" s="67"/>
      <c r="O1178" s="67"/>
      <c r="P1178" s="67"/>
      <c r="Q1178" s="67"/>
      <c r="R1178" s="67"/>
      <c r="S1178" s="727"/>
    </row>
    <row r="1179" spans="1:19" ht="16.5" customHeight="1" thickBot="1" x14ac:dyDescent="0.35">
      <c r="A1179" s="554" t="s">
        <v>2356</v>
      </c>
      <c r="B1179" s="555"/>
      <c r="C1179" s="555">
        <f>SUM(C1165:C1176)</f>
        <v>2.2250000000000005</v>
      </c>
      <c r="D1179" s="555"/>
      <c r="E1179" s="567">
        <f>SUM(E1165:E1176)</f>
        <v>0</v>
      </c>
      <c r="F1179" s="555"/>
      <c r="G1179" s="555" t="e">
        <f>SUM(G1165:G1176)</f>
        <v>#REF!</v>
      </c>
      <c r="H1179" s="555" t="s">
        <v>2435</v>
      </c>
      <c r="I1179" s="567" t="e">
        <f>SUM(I1165:I1176)</f>
        <v>#REF!</v>
      </c>
      <c r="J1179" s="555"/>
      <c r="K1179" s="555">
        <f>SUM(K1165:K1176)</f>
        <v>149913</v>
      </c>
      <c r="L1179" s="555" t="s">
        <v>2435</v>
      </c>
      <c r="M1179" s="567">
        <f>SUM(M1165:M1176)</f>
        <v>0</v>
      </c>
      <c r="N1179" s="555"/>
      <c r="O1179" s="555">
        <f>(SUM(O1165:O1176))</f>
        <v>0</v>
      </c>
      <c r="P1179" s="555" t="s">
        <v>2435</v>
      </c>
      <c r="Q1179" s="567">
        <f>SUM(Q1165:Q1176)</f>
        <v>0</v>
      </c>
      <c r="R1179" s="555"/>
      <c r="S1179" s="565"/>
    </row>
  </sheetData>
  <scenarios current="0">
    <scenario name="Jan" count="1" user="Windows User" comment="Created by Windows User on 4/11/2013">
      <inputCells r="B324" val="57771.3688407242" numFmtId="37"/>
    </scenario>
  </scenarios>
  <autoFilter ref="A31:R963" xr:uid="{00000000-0009-0000-0000-000003000000}"/>
  <mergeCells count="73">
    <mergeCell ref="A8:R8"/>
    <mergeCell ref="A2:R2"/>
    <mergeCell ref="A3:R3"/>
    <mergeCell ref="A4:R4"/>
    <mergeCell ref="A5:R5"/>
    <mergeCell ref="A6:R6"/>
    <mergeCell ref="B944:P944"/>
    <mergeCell ref="A879:R879"/>
    <mergeCell ref="A880:R880"/>
    <mergeCell ref="A881:R881"/>
    <mergeCell ref="A882:R882"/>
    <mergeCell ref="A884:R884"/>
    <mergeCell ref="A920:R920"/>
    <mergeCell ref="A921:R921"/>
    <mergeCell ref="A922:R922"/>
    <mergeCell ref="A923:R923"/>
    <mergeCell ref="A925:R925"/>
    <mergeCell ref="B943:P943"/>
    <mergeCell ref="AD994:AQ994"/>
    <mergeCell ref="B945:P945"/>
    <mergeCell ref="B946:P946"/>
    <mergeCell ref="B947:P947"/>
    <mergeCell ref="B948:P948"/>
    <mergeCell ref="B972:P972"/>
    <mergeCell ref="B973:P973"/>
    <mergeCell ref="B974:P974"/>
    <mergeCell ref="B975:P975"/>
    <mergeCell ref="B976:P976"/>
    <mergeCell ref="B977:P977"/>
    <mergeCell ref="AD993:AQ993"/>
    <mergeCell ref="B1029:P1029"/>
    <mergeCell ref="AD1029:AQ1029"/>
    <mergeCell ref="AD995:AQ995"/>
    <mergeCell ref="AD997:AQ997"/>
    <mergeCell ref="B998:P998"/>
    <mergeCell ref="AD998:AQ998"/>
    <mergeCell ref="B999:P999"/>
    <mergeCell ref="B1000:P1000"/>
    <mergeCell ref="B1002:P1002"/>
    <mergeCell ref="B1003:P1003"/>
    <mergeCell ref="B1027:P1027"/>
    <mergeCell ref="B1028:P1028"/>
    <mergeCell ref="AD1028:AQ1028"/>
    <mergeCell ref="B1030:P1030"/>
    <mergeCell ref="AD1030:AQ1030"/>
    <mergeCell ref="B1031:F1031"/>
    <mergeCell ref="G1031:L1031"/>
    <mergeCell ref="M1031:R1031"/>
    <mergeCell ref="S1031:U1031"/>
    <mergeCell ref="B1086:P1086"/>
    <mergeCell ref="M1032:O1032"/>
    <mergeCell ref="AD1032:AQ1032"/>
    <mergeCell ref="AD1033:AQ1033"/>
    <mergeCell ref="B1057:P1057"/>
    <mergeCell ref="B1058:F1058"/>
    <mergeCell ref="G1058:L1058"/>
    <mergeCell ref="M1058:R1058"/>
    <mergeCell ref="S1058:U1058"/>
    <mergeCell ref="M1059:O1059"/>
    <mergeCell ref="B1081:P1081"/>
    <mergeCell ref="B1082:P1082"/>
    <mergeCell ref="B1083:P1083"/>
    <mergeCell ref="B1085:P1085"/>
    <mergeCell ref="T1087:U1087"/>
    <mergeCell ref="V1087:W1087"/>
    <mergeCell ref="B1106:P1106"/>
    <mergeCell ref="B1107:P1107"/>
    <mergeCell ref="B1108:P1108"/>
    <mergeCell ref="B1110:P1110"/>
    <mergeCell ref="B1111:P1111"/>
    <mergeCell ref="B1113:L1113"/>
    <mergeCell ref="M1113:P1113"/>
    <mergeCell ref="B1087:D1087"/>
  </mergeCells>
  <conditionalFormatting sqref="S1037:S1048 S1050">
    <cfRule type="cellIs" dxfId="107" priority="3" operator="lessThan">
      <formula>0</formula>
    </cfRule>
    <cfRule type="cellIs" dxfId="106" priority="4" operator="greaterThan">
      <formula>0</formula>
    </cfRule>
  </conditionalFormatting>
  <conditionalFormatting sqref="S1064:S1075">
    <cfRule type="cellIs" dxfId="105" priority="1" operator="lessThan">
      <formula>0</formula>
    </cfRule>
    <cfRule type="cellIs" dxfId="104" priority="2" operator="greaterThan">
      <formula>0</formula>
    </cfRule>
  </conditionalFormatting>
  <printOptions horizontalCentered="1"/>
  <pageMargins left="0.25" right="0.25" top="0.25" bottom="0.25" header="0" footer="0"/>
  <pageSetup paperSize="3" scale="10" orientation="landscape" r:id="rId1"/>
  <headerFooter alignWithMargins="0"/>
  <rowBreaks count="5" manualBreakCount="5">
    <brk id="889" max="17" man="1"/>
    <brk id="929" max="17" man="1"/>
    <brk id="982" max="18" man="1"/>
    <brk id="1010" max="18" man="1"/>
    <brk id="978" min="28" max="46"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6">
    <pageSetUpPr fitToPage="1"/>
  </sheetPr>
  <dimension ref="A1:AX1174"/>
  <sheetViews>
    <sheetView topLeftCell="A10" zoomScale="80" zoomScaleNormal="80" workbookViewId="0">
      <pane ySplit="11" topLeftCell="A325" activePane="bottomLeft" state="frozen"/>
      <selection activeCell="A11" sqref="A11"/>
      <selection pane="bottomLeft" activeCell="J329" sqref="J329"/>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0" width="10" bestFit="1" customWidth="1"/>
    <col min="11"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2.81640625" customWidth="1"/>
    <col min="20" max="20" width="9.453125" bestFit="1" customWidth="1"/>
    <col min="22" max="22" width="9.90625" customWidth="1"/>
    <col min="23" max="23" width="11.54296875" customWidth="1"/>
    <col min="24" max="24" width="10.54296875" customWidth="1"/>
    <col min="25" max="25" width="11.1796875" customWidth="1"/>
    <col min="26" max="26" width="10.453125" bestFit="1" customWidth="1"/>
    <col min="29" max="29" width="11.54296875" customWidth="1"/>
    <col min="35" max="35" width="9.9062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44881.729632754628</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2021</v>
      </c>
      <c r="B5" s="781"/>
      <c r="C5" s="781"/>
      <c r="D5" s="781"/>
      <c r="E5" s="781"/>
      <c r="F5" s="781"/>
      <c r="G5" s="781"/>
      <c r="H5" s="781"/>
      <c r="I5" s="781"/>
      <c r="J5" s="781"/>
      <c r="K5" s="781"/>
      <c r="L5" s="781"/>
      <c r="M5" s="781"/>
      <c r="N5" s="781"/>
      <c r="O5" s="781"/>
      <c r="P5" s="781"/>
      <c r="Q5" s="781"/>
      <c r="R5" s="781"/>
    </row>
    <row r="6" spans="1:36" ht="19.5" customHeight="1" x14ac:dyDescent="0.35">
      <c r="A6" s="780" t="s">
        <v>3335</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3430</v>
      </c>
      <c r="B8" s="778"/>
      <c r="C8" s="778"/>
      <c r="D8" s="778"/>
      <c r="E8" s="778"/>
      <c r="F8" s="778"/>
      <c r="G8" s="778"/>
      <c r="H8" s="778"/>
      <c r="I8" s="778"/>
      <c r="J8" s="778"/>
      <c r="K8" s="778"/>
      <c r="L8" s="778"/>
      <c r="M8" s="778"/>
      <c r="N8" s="778"/>
      <c r="O8" s="778"/>
      <c r="P8" s="778"/>
      <c r="Q8" s="778"/>
      <c r="R8" s="778"/>
    </row>
    <row r="9" spans="1:36" ht="15.75" customHeight="1" x14ac:dyDescent="0.3">
      <c r="A9" s="1"/>
      <c r="B9" s="220"/>
      <c r="C9" s="220"/>
      <c r="D9" s="220"/>
      <c r="E9" s="220"/>
      <c r="F9" s="220"/>
      <c r="G9" s="220"/>
      <c r="H9" s="220"/>
      <c r="I9" s="220"/>
      <c r="J9" s="220"/>
      <c r="K9" s="220"/>
      <c r="L9" s="220"/>
      <c r="M9" s="220"/>
      <c r="N9" s="220"/>
      <c r="O9" s="220"/>
      <c r="P9" s="220"/>
      <c r="Q9" s="220"/>
      <c r="R9" s="220"/>
    </row>
    <row r="10" spans="1:36" ht="15.75"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306"/>
      <c r="B12" s="738"/>
      <c r="C12" s="738"/>
      <c r="D12" s="738"/>
      <c r="E12" s="302"/>
      <c r="F12" s="738"/>
      <c r="G12" s="738"/>
      <c r="H12" s="738"/>
      <c r="I12" s="302"/>
      <c r="J12" s="738"/>
      <c r="K12" s="738"/>
      <c r="L12" s="738"/>
      <c r="M12" s="302"/>
      <c r="N12" s="738"/>
      <c r="O12" s="738"/>
      <c r="P12" s="738"/>
      <c r="Q12" s="302"/>
      <c r="R12" s="302"/>
    </row>
    <row r="13" spans="1:36" ht="15.75" customHeight="1" x14ac:dyDescent="0.3">
      <c r="A13" s="234" t="s">
        <v>1277</v>
      </c>
      <c r="B13" s="10">
        <f>+B934</f>
        <v>68492</v>
      </c>
      <c r="C13" s="10">
        <f>+C934</f>
        <v>76605</v>
      </c>
      <c r="D13" s="10">
        <f>+D934</f>
        <v>113554</v>
      </c>
      <c r="E13" s="15">
        <f>SUM(B13:D13)</f>
        <v>258651</v>
      </c>
      <c r="F13" s="10">
        <f>+F934</f>
        <v>152458</v>
      </c>
      <c r="G13" s="10">
        <f>+G934</f>
        <v>166528</v>
      </c>
      <c r="H13" s="10">
        <f>+H934</f>
        <v>187161</v>
      </c>
      <c r="I13" s="15">
        <f t="shared" ref="I13:I19" si="0">SUM(F13:H13)</f>
        <v>506147</v>
      </c>
      <c r="J13" s="10">
        <f>+J934</f>
        <v>187612</v>
      </c>
      <c r="K13" s="10">
        <f>+K934</f>
        <v>145600</v>
      </c>
      <c r="L13" s="10">
        <f>+L934</f>
        <v>108856</v>
      </c>
      <c r="M13" s="15">
        <f t="shared" ref="M13:M20" si="1">SUM(J13:L13)</f>
        <v>442068</v>
      </c>
      <c r="N13" s="10">
        <f>+N934</f>
        <v>79315</v>
      </c>
      <c r="O13" s="10">
        <f>+O934</f>
        <v>51572</v>
      </c>
      <c r="P13" s="10">
        <f>+P934</f>
        <v>55616</v>
      </c>
      <c r="Q13" s="29">
        <f t="shared" ref="Q13:Q19" si="2">SUM(N13:P13)</f>
        <v>186503</v>
      </c>
      <c r="R13" s="15">
        <f t="shared" ref="R13:R20" si="3">+E13+I13+M13+Q13</f>
        <v>1393369</v>
      </c>
      <c r="V13" s="617"/>
      <c r="W13" s="617"/>
      <c r="X13" s="617"/>
      <c r="Z13" s="617"/>
      <c r="AA13" s="617"/>
      <c r="AB13" s="617"/>
      <c r="AD13" s="617"/>
      <c r="AE13" s="617"/>
      <c r="AF13" s="617"/>
      <c r="AH13" s="617"/>
      <c r="AI13" s="617"/>
      <c r="AJ13" s="617"/>
    </row>
    <row r="14" spans="1:36" ht="15.75" customHeight="1" x14ac:dyDescent="0.3">
      <c r="A14" s="234" t="s">
        <v>1278</v>
      </c>
      <c r="B14" s="10">
        <f>B25+B60+B130+B318+B510+B561+B606+B672+B682+B718+B770+B780+B814+B866</f>
        <v>739</v>
      </c>
      <c r="C14" s="10">
        <f>C25+C60+C130+C318+C510+C561+C606+C672+C682+C718+C770+C780+C814+C866</f>
        <v>1283</v>
      </c>
      <c r="D14" s="10">
        <f>D25+D60+D130+D318+D510+D561+D606+D672+D682+D718+D770+D780+D814+D866</f>
        <v>2185</v>
      </c>
      <c r="E14" s="15">
        <f t="shared" ref="E14:E19" si="4">SUM(B14:D14)</f>
        <v>4207</v>
      </c>
      <c r="F14" s="10">
        <f>F25+F60+F130+F318+F510+F561+F606+F672+F682+F718+F770+F780+F814+F866</f>
        <v>2959</v>
      </c>
      <c r="G14" s="10">
        <f>G25+G60+G130+G318+G510+G561+G606+G672+G682+G718+G770+G780+G814+G866</f>
        <v>3425</v>
      </c>
      <c r="H14" s="10">
        <f>H25+H60+H130+H318+H510+H561+H606+H672+H682+H718+H770+H780+H814+H866</f>
        <v>3464</v>
      </c>
      <c r="I14" s="15">
        <f t="shared" si="0"/>
        <v>9848</v>
      </c>
      <c r="J14" s="10">
        <f>J25+J60+J130+J318+J510+J561+J606+J672+J682+J718+J770+J780+J814+J866</f>
        <v>3382</v>
      </c>
      <c r="K14" s="10">
        <f>K25+K60+K130+K318+K510+K561+K606+K672+K682+K718+K770+K780+K814+K866</f>
        <v>2663</v>
      </c>
      <c r="L14" s="10">
        <f>L25+L60+L130+L318+L510+L561+L606+L672+L682+L718+L770+L780+L814+L866</f>
        <v>2559</v>
      </c>
      <c r="M14" s="15">
        <f t="shared" si="1"/>
        <v>8604</v>
      </c>
      <c r="N14" s="10">
        <f>N25+N60+N130+N318+N510+N561+N606+N672+N682+N718+N770+N780+N814+N866</f>
        <v>2343</v>
      </c>
      <c r="O14" s="10">
        <f>O25+O60+O130+O318+O510+O561+O606+O672+O682+O718+O770+O780+O814+O866</f>
        <v>1892</v>
      </c>
      <c r="P14" s="10">
        <f>P25+P60+P130+P318+P510+P561+P606+P672+P682+P718+P770+P780+P814+P866</f>
        <v>1423</v>
      </c>
      <c r="Q14" s="29">
        <f t="shared" si="2"/>
        <v>5658</v>
      </c>
      <c r="R14" s="15">
        <f t="shared" si="3"/>
        <v>28317</v>
      </c>
    </row>
    <row r="15" spans="1:36" ht="15.75" customHeight="1" x14ac:dyDescent="0.3">
      <c r="A15" s="234" t="s">
        <v>397</v>
      </c>
      <c r="B15" s="10">
        <f>B313</f>
        <v>0</v>
      </c>
      <c r="C15" s="10">
        <f>C313</f>
        <v>588</v>
      </c>
      <c r="D15" s="10">
        <f>D313</f>
        <v>235</v>
      </c>
      <c r="E15" s="15">
        <f t="shared" si="4"/>
        <v>823</v>
      </c>
      <c r="F15" s="10">
        <f>F313</f>
        <v>1652</v>
      </c>
      <c r="G15" s="10">
        <f>G313</f>
        <v>3027</v>
      </c>
      <c r="H15" s="10">
        <f>H313</f>
        <v>3007</v>
      </c>
      <c r="I15" s="15">
        <f t="shared" si="0"/>
        <v>7686</v>
      </c>
      <c r="J15" s="10">
        <f>J313</f>
        <v>1898</v>
      </c>
      <c r="K15" s="10">
        <f>K313</f>
        <v>1984</v>
      </c>
      <c r="L15" s="10">
        <f>L313</f>
        <v>1977</v>
      </c>
      <c r="M15" s="15">
        <f t="shared" si="1"/>
        <v>5859</v>
      </c>
      <c r="N15" s="10">
        <f>N313</f>
        <v>2881</v>
      </c>
      <c r="O15" s="10">
        <f>O313</f>
        <v>3310</v>
      </c>
      <c r="P15" s="10">
        <f>P313</f>
        <v>941</v>
      </c>
      <c r="Q15" s="29">
        <f t="shared" si="2"/>
        <v>7132</v>
      </c>
      <c r="R15" s="15">
        <f t="shared" si="3"/>
        <v>21500</v>
      </c>
    </row>
    <row r="16" spans="1:36" ht="15.75" customHeight="1" x14ac:dyDescent="0.3">
      <c r="A16" s="235" t="s">
        <v>967</v>
      </c>
      <c r="B16" s="10">
        <f>+B314</f>
        <v>0</v>
      </c>
      <c r="C16" s="10">
        <f>+C314</f>
        <v>0</v>
      </c>
      <c r="D16" s="10">
        <f>+D314</f>
        <v>0</v>
      </c>
      <c r="E16" s="15">
        <f t="shared" si="4"/>
        <v>0</v>
      </c>
      <c r="F16" s="10">
        <f>+F314</f>
        <v>0</v>
      </c>
      <c r="G16" s="10">
        <f>+G314</f>
        <v>0</v>
      </c>
      <c r="H16" s="10">
        <f>+H314</f>
        <v>0</v>
      </c>
      <c r="I16" s="15">
        <f t="shared" si="0"/>
        <v>0</v>
      </c>
      <c r="J16" s="10">
        <f>+J314</f>
        <v>0</v>
      </c>
      <c r="K16" s="10">
        <f>+K314</f>
        <v>0</v>
      </c>
      <c r="L16" s="10">
        <f>+L314</f>
        <v>0</v>
      </c>
      <c r="M16" s="15">
        <f t="shared" si="1"/>
        <v>0</v>
      </c>
      <c r="N16" s="10">
        <f>+N314</f>
        <v>0</v>
      </c>
      <c r="O16" s="10">
        <f>+O314</f>
        <v>0</v>
      </c>
      <c r="P16" s="10">
        <f>+P314</f>
        <v>0</v>
      </c>
      <c r="Q16" s="29">
        <f t="shared" si="2"/>
        <v>0</v>
      </c>
      <c r="R16" s="15">
        <f t="shared" si="3"/>
        <v>0</v>
      </c>
    </row>
    <row r="17" spans="1:20" ht="15.75" customHeight="1" x14ac:dyDescent="0.3">
      <c r="A17" s="236" t="s">
        <v>1176</v>
      </c>
      <c r="B17" s="10">
        <f>B317</f>
        <v>54000</v>
      </c>
      <c r="C17" s="10">
        <f>C317</f>
        <v>57000</v>
      </c>
      <c r="D17" s="10">
        <f>D317</f>
        <v>29000</v>
      </c>
      <c r="E17" s="15">
        <f t="shared" si="4"/>
        <v>140000</v>
      </c>
      <c r="F17" s="10">
        <f>F317</f>
        <v>0</v>
      </c>
      <c r="G17" s="10">
        <f>G317</f>
        <v>0</v>
      </c>
      <c r="H17" s="10">
        <f>H317</f>
        <v>0</v>
      </c>
      <c r="I17" s="15">
        <f t="shared" si="0"/>
        <v>0</v>
      </c>
      <c r="J17" s="10">
        <f>J317</f>
        <v>0</v>
      </c>
      <c r="K17" s="10">
        <f>K317</f>
        <v>0</v>
      </c>
      <c r="L17" s="10">
        <f>L317</f>
        <v>17000</v>
      </c>
      <c r="M17" s="15">
        <f t="shared" si="1"/>
        <v>17000</v>
      </c>
      <c r="N17" s="10">
        <f>N317</f>
        <v>60000</v>
      </c>
      <c r="O17" s="10">
        <f>O317</f>
        <v>82000</v>
      </c>
      <c r="P17" s="10">
        <f>P317</f>
        <v>50000</v>
      </c>
      <c r="Q17" s="29">
        <f t="shared" si="2"/>
        <v>192000</v>
      </c>
      <c r="R17" s="15">
        <f t="shared" si="3"/>
        <v>349000</v>
      </c>
    </row>
    <row r="18" spans="1:20" ht="15.75" customHeight="1" x14ac:dyDescent="0.3">
      <c r="A18" s="236" t="s">
        <v>662</v>
      </c>
      <c r="B18" s="10">
        <f>B329</f>
        <v>0</v>
      </c>
      <c r="C18" s="10">
        <f>C329</f>
        <v>0</v>
      </c>
      <c r="D18" s="10">
        <f>D329</f>
        <v>0</v>
      </c>
      <c r="E18" s="15">
        <f t="shared" si="4"/>
        <v>0</v>
      </c>
      <c r="F18" s="10">
        <f>F329</f>
        <v>-10000</v>
      </c>
      <c r="G18" s="10">
        <f>G329</f>
        <v>0</v>
      </c>
      <c r="H18" s="10">
        <f>H329</f>
        <v>-119000</v>
      </c>
      <c r="I18" s="15">
        <f t="shared" si="0"/>
        <v>-129000</v>
      </c>
      <c r="J18" s="10">
        <f>J329</f>
        <v>-141000</v>
      </c>
      <c r="K18" s="10">
        <f>K329</f>
        <v>-98000</v>
      </c>
      <c r="L18" s="10">
        <f>L329</f>
        <v>0</v>
      </c>
      <c r="M18" s="15">
        <f t="shared" si="1"/>
        <v>-239000</v>
      </c>
      <c r="N18" s="10">
        <f>N329</f>
        <v>0</v>
      </c>
      <c r="O18" s="10">
        <f>O329</f>
        <v>0</v>
      </c>
      <c r="P18" s="10">
        <f>P329</f>
        <v>0</v>
      </c>
      <c r="Q18" s="29">
        <f t="shared" si="2"/>
        <v>0</v>
      </c>
      <c r="R18" s="15">
        <f t="shared" si="3"/>
        <v>-368000</v>
      </c>
    </row>
    <row r="19" spans="1:20" ht="16.5" customHeight="1" thickBot="1" x14ac:dyDescent="0.35">
      <c r="A19" s="237" t="s">
        <v>851</v>
      </c>
      <c r="B19" s="294">
        <f>(B29)</f>
        <v>123231</v>
      </c>
      <c r="C19" s="294">
        <f>(C29)</f>
        <v>135476</v>
      </c>
      <c r="D19" s="294">
        <f>(D29)</f>
        <v>144974</v>
      </c>
      <c r="E19" s="16">
        <f t="shared" si="4"/>
        <v>403681</v>
      </c>
      <c r="F19" s="294">
        <f>(F29)</f>
        <v>147069</v>
      </c>
      <c r="G19" s="294">
        <f>(G29)</f>
        <v>172980</v>
      </c>
      <c r="H19" s="294">
        <f>(H29)</f>
        <v>74632</v>
      </c>
      <c r="I19" s="16">
        <f t="shared" si="0"/>
        <v>394681</v>
      </c>
      <c r="J19" s="294">
        <f>(J29)</f>
        <v>51892</v>
      </c>
      <c r="K19" s="294">
        <f>(K29)</f>
        <v>52247</v>
      </c>
      <c r="L19" s="294">
        <f>(L29)</f>
        <v>130392</v>
      </c>
      <c r="M19" s="16">
        <f t="shared" si="1"/>
        <v>234531</v>
      </c>
      <c r="N19" s="294">
        <f>(N29)</f>
        <v>144539</v>
      </c>
      <c r="O19" s="294">
        <f>(O29)</f>
        <v>138774</v>
      </c>
      <c r="P19" s="294">
        <f>(P29)</f>
        <v>107980</v>
      </c>
      <c r="Q19" s="30">
        <f t="shared" si="2"/>
        <v>391293</v>
      </c>
      <c r="R19" s="16">
        <f t="shared" si="3"/>
        <v>1424186</v>
      </c>
    </row>
    <row r="20" spans="1:20" ht="16.5" customHeight="1" thickBot="1" x14ac:dyDescent="0.35">
      <c r="A20" s="237" t="s">
        <v>496</v>
      </c>
      <c r="B20" s="294">
        <f>+B19</f>
        <v>123231</v>
      </c>
      <c r="C20" s="294">
        <f>+C19</f>
        <v>135476</v>
      </c>
      <c r="D20" s="294">
        <f>+D19</f>
        <v>144974</v>
      </c>
      <c r="E20" s="16">
        <f>SUM(B20:D20)</f>
        <v>403681</v>
      </c>
      <c r="F20" s="294">
        <f>+F19</f>
        <v>147069</v>
      </c>
      <c r="G20" s="294">
        <f>+G19</f>
        <v>172980</v>
      </c>
      <c r="H20" s="294">
        <f>+H19</f>
        <v>74632</v>
      </c>
      <c r="I20" s="16">
        <f>SUM(F20:H20)</f>
        <v>394681</v>
      </c>
      <c r="J20" s="294">
        <f>+J19</f>
        <v>51892</v>
      </c>
      <c r="K20" s="294">
        <f>+K19</f>
        <v>52247</v>
      </c>
      <c r="L20" s="294">
        <f>+L19</f>
        <v>130392</v>
      </c>
      <c r="M20" s="16">
        <f t="shared" si="1"/>
        <v>234531</v>
      </c>
      <c r="N20" s="294">
        <f>+N19</f>
        <v>144539</v>
      </c>
      <c r="O20" s="294">
        <f>+O19</f>
        <v>138774</v>
      </c>
      <c r="P20" s="294">
        <f>+P19</f>
        <v>107980</v>
      </c>
      <c r="Q20" s="30">
        <f>SUM(N20:P20)</f>
        <v>391293</v>
      </c>
      <c r="R20" s="16">
        <f t="shared" si="3"/>
        <v>1424186</v>
      </c>
    </row>
    <row r="21" spans="1:20" ht="15.75" customHeight="1" x14ac:dyDescent="0.3">
      <c r="A21" s="10"/>
      <c r="B21" s="10"/>
      <c r="C21" s="10"/>
      <c r="D21" s="10"/>
      <c r="E21" s="10"/>
      <c r="F21" s="10"/>
      <c r="G21" s="10"/>
      <c r="H21" s="10"/>
      <c r="I21" s="10"/>
      <c r="J21" s="10"/>
      <c r="K21" s="10"/>
      <c r="L21" s="10"/>
      <c r="M21" s="10"/>
      <c r="N21" s="10"/>
      <c r="O21" s="10"/>
      <c r="P21" s="10"/>
      <c r="Q21" s="10"/>
      <c r="R21" s="17"/>
    </row>
    <row r="22" spans="1:20" ht="15.75" customHeight="1" thickBot="1" x14ac:dyDescent="0.35">
      <c r="A22" s="10"/>
      <c r="B22" s="10"/>
      <c r="C22" s="10"/>
      <c r="D22" s="10"/>
      <c r="E22" s="10"/>
      <c r="F22" s="295" t="s">
        <v>852</v>
      </c>
      <c r="G22" s="295" t="s">
        <v>852</v>
      </c>
      <c r="H22" s="10"/>
      <c r="I22" s="10"/>
      <c r="J22" s="10"/>
      <c r="K22" s="10"/>
      <c r="L22" s="10"/>
      <c r="M22" s="10"/>
      <c r="N22" s="295" t="s">
        <v>852</v>
      </c>
      <c r="O22" s="295" t="s">
        <v>852</v>
      </c>
      <c r="P22" s="295" t="s">
        <v>852</v>
      </c>
      <c r="Q22" s="295"/>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96"/>
      <c r="B24" s="297"/>
      <c r="C24" s="297"/>
      <c r="D24" s="297"/>
      <c r="E24" s="298"/>
      <c r="F24" s="297"/>
      <c r="G24" s="297"/>
      <c r="H24" s="297"/>
      <c r="I24" s="298"/>
      <c r="J24" s="297"/>
      <c r="K24" s="297"/>
      <c r="L24" s="297"/>
      <c r="M24" s="298"/>
      <c r="N24" s="297"/>
      <c r="O24" s="297"/>
      <c r="P24" s="297"/>
      <c r="Q24" s="298"/>
      <c r="R24" s="19"/>
    </row>
    <row r="25" spans="1:20" ht="16.5" customHeight="1" thickBot="1" x14ac:dyDescent="0.35">
      <c r="A25" s="299" t="s">
        <v>853</v>
      </c>
      <c r="B25" s="294">
        <v>97</v>
      </c>
      <c r="C25" s="294">
        <v>148</v>
      </c>
      <c r="D25" s="294">
        <v>274</v>
      </c>
      <c r="E25" s="14">
        <f>SUM(B25:D25)</f>
        <v>519</v>
      </c>
      <c r="F25" s="294">
        <v>367</v>
      </c>
      <c r="G25" s="294">
        <v>425</v>
      </c>
      <c r="H25" s="294">
        <v>417</v>
      </c>
      <c r="I25" s="14">
        <f>SUM(F25:H25)</f>
        <v>1209</v>
      </c>
      <c r="J25" s="294">
        <v>416</v>
      </c>
      <c r="K25" s="294">
        <v>334</v>
      </c>
      <c r="L25" s="294">
        <v>316</v>
      </c>
      <c r="M25" s="14">
        <f>SUM(J25:L25)</f>
        <v>1066</v>
      </c>
      <c r="N25" s="294">
        <v>285</v>
      </c>
      <c r="O25" s="294">
        <v>235</v>
      </c>
      <c r="P25" s="294">
        <v>186</v>
      </c>
      <c r="Q25" s="14">
        <f>SUM(N25:P25)</f>
        <v>706</v>
      </c>
      <c r="R25" s="16">
        <f>+E25+I25+M25+Q25</f>
        <v>3500</v>
      </c>
    </row>
    <row r="26" spans="1:20" ht="17.25" customHeight="1" thickBot="1" x14ac:dyDescent="0.35">
      <c r="A26" s="22"/>
      <c r="B26" s="297"/>
      <c r="C26" s="297"/>
      <c r="D26" s="297"/>
      <c r="E26" s="21"/>
      <c r="F26" s="297"/>
      <c r="G26" s="297"/>
      <c r="H26" s="297"/>
      <c r="I26" s="21"/>
      <c r="J26" s="297"/>
      <c r="K26" s="297"/>
      <c r="L26" s="297"/>
      <c r="M26" s="21"/>
      <c r="N26" s="297"/>
      <c r="O26" s="297"/>
      <c r="P26" s="297"/>
      <c r="Q26" s="21"/>
      <c r="R26" s="13"/>
    </row>
    <row r="27" spans="1:20" ht="15.75" customHeight="1" x14ac:dyDescent="0.3">
      <c r="A27" s="234" t="s">
        <v>2011</v>
      </c>
      <c r="B27" s="10">
        <f>B25</f>
        <v>97</v>
      </c>
      <c r="C27" s="10">
        <f>C25</f>
        <v>148</v>
      </c>
      <c r="D27" s="10">
        <f>D25</f>
        <v>274</v>
      </c>
      <c r="E27" s="14">
        <f>SUM(B27:D27)</f>
        <v>519</v>
      </c>
      <c r="F27" s="10">
        <f>F25</f>
        <v>367</v>
      </c>
      <c r="G27" s="10">
        <f>G25</f>
        <v>425</v>
      </c>
      <c r="H27" s="10">
        <f>H25</f>
        <v>417</v>
      </c>
      <c r="I27" s="14">
        <f>SUM(F27:H27)</f>
        <v>1209</v>
      </c>
      <c r="J27" s="10">
        <f>J25</f>
        <v>416</v>
      </c>
      <c r="K27" s="10">
        <f>K25</f>
        <v>334</v>
      </c>
      <c r="L27" s="10">
        <f>L25</f>
        <v>316</v>
      </c>
      <c r="M27" s="14">
        <f>SUM(J27:L27)</f>
        <v>1066</v>
      </c>
      <c r="N27" s="10">
        <f>N25</f>
        <v>285</v>
      </c>
      <c r="O27" s="10">
        <f>O25</f>
        <v>235</v>
      </c>
      <c r="P27" s="10">
        <f>P25</f>
        <v>186</v>
      </c>
      <c r="Q27" s="739">
        <f>SUM(N27:P27)</f>
        <v>706</v>
      </c>
      <c r="R27" s="14">
        <f>+E27+I27+M27+Q27</f>
        <v>3500</v>
      </c>
    </row>
    <row r="28" spans="1:20" ht="15.75" customHeight="1" x14ac:dyDescent="0.3">
      <c r="A28" s="234" t="s">
        <v>1897</v>
      </c>
      <c r="B28" s="10">
        <f>(B27/B10)/1.983</f>
        <v>1.5779285214647079</v>
      </c>
      <c r="C28" s="10">
        <f>(C27/C10)/1.983</f>
        <v>2.6655140119587926</v>
      </c>
      <c r="D28" s="10">
        <f>(D27/D10)/1.983</f>
        <v>4.457241390529175</v>
      </c>
      <c r="E28" s="15"/>
      <c r="F28" s="10">
        <f>(F27/F10)/1.983</f>
        <v>6.1691040511010247</v>
      </c>
      <c r="G28" s="10">
        <f>(G27/G10)/1.983</f>
        <v>6.9136043466237203</v>
      </c>
      <c r="H28" s="10">
        <f>(H27/H10)/1.983</f>
        <v>7.0095814422592033</v>
      </c>
      <c r="I28" s="15"/>
      <c r="J28" s="10">
        <f>(J27/J10)/1.983</f>
        <v>6.7671986075187478</v>
      </c>
      <c r="K28" s="10">
        <f>(K27/K10)/1.983</f>
        <v>5.433279651228994</v>
      </c>
      <c r="L28" s="10">
        <f>(L27/L10)/1.983</f>
        <v>5.3118171121196838</v>
      </c>
      <c r="M28" s="15"/>
      <c r="N28" s="10">
        <f>(N27/N10)/1.983</f>
        <v>4.6361817383241419</v>
      </c>
      <c r="O28" s="10">
        <f>(O27/O10)/1.983</f>
        <v>3.9502437384434357</v>
      </c>
      <c r="P28" s="10">
        <f>(P27/P10)/1.983</f>
        <v>3.02571860816944</v>
      </c>
      <c r="Q28" s="29"/>
      <c r="R28" s="15"/>
    </row>
    <row r="29" spans="1:20" ht="15.75" customHeight="1" x14ac:dyDescent="0.3">
      <c r="A29" s="234" t="s">
        <v>1119</v>
      </c>
      <c r="B29" s="10">
        <f>B27+B64</f>
        <v>123231</v>
      </c>
      <c r="C29" s="10">
        <f>C27+C64</f>
        <v>135476</v>
      </c>
      <c r="D29" s="10">
        <f>D27+D64</f>
        <v>144974</v>
      </c>
      <c r="E29" s="15">
        <f>SUM(B29:D29)</f>
        <v>403681</v>
      </c>
      <c r="F29" s="10">
        <f>F27+F64</f>
        <v>147069</v>
      </c>
      <c r="G29" s="10">
        <f>G27+G64</f>
        <v>172980</v>
      </c>
      <c r="H29" s="10">
        <f>H27+H64</f>
        <v>74632</v>
      </c>
      <c r="I29" s="15">
        <f>SUM(F29:H29)</f>
        <v>394681</v>
      </c>
      <c r="J29" s="10">
        <f>J27+J64</f>
        <v>51892</v>
      </c>
      <c r="K29" s="10">
        <f>K27+K64</f>
        <v>52247</v>
      </c>
      <c r="L29" s="10">
        <f>L27+L64</f>
        <v>130392</v>
      </c>
      <c r="M29" s="15">
        <f>SUM(J29:L29)</f>
        <v>234531</v>
      </c>
      <c r="N29" s="10">
        <f>N27+N64</f>
        <v>144539</v>
      </c>
      <c r="O29" s="10">
        <f>O27+O64</f>
        <v>138774</v>
      </c>
      <c r="P29" s="10">
        <f>P27+P64</f>
        <v>107980</v>
      </c>
      <c r="Q29" s="29">
        <f>SUM(N29:P29)</f>
        <v>391293</v>
      </c>
      <c r="R29" s="15">
        <f>+E29+I29+M29+Q29</f>
        <v>1424186</v>
      </c>
    </row>
    <row r="30" spans="1:20" s="574" customFormat="1" ht="16.5" customHeight="1" thickBot="1" x14ac:dyDescent="0.35">
      <c r="A30" s="570" t="s">
        <v>1968</v>
      </c>
      <c r="B30" s="740">
        <f>(B29/B10)/1.983</f>
        <v>2004.636181738324</v>
      </c>
      <c r="C30" s="740">
        <f>(C29/C10)/1.983</f>
        <v>2439.9538938116848</v>
      </c>
      <c r="D30" s="740">
        <f>(D29/D10)/1.983</f>
        <v>2358.3361801115939</v>
      </c>
      <c r="E30" s="572"/>
      <c r="F30" s="740">
        <f>(F29/F10)/1.983</f>
        <v>2472.1633888048409</v>
      </c>
      <c r="G30" s="740">
        <f>(G29/G10)/1.983</f>
        <v>2813.9183055975791</v>
      </c>
      <c r="H30" s="740">
        <f>(H29/H10)/1.983</f>
        <v>1254.5301731383424</v>
      </c>
      <c r="I30" s="572"/>
      <c r="J30" s="740">
        <f>(J29/J10)/1.983</f>
        <v>844.14295707058386</v>
      </c>
      <c r="K30" s="740">
        <f>(K29/K10)/1.983</f>
        <v>849.91785011305774</v>
      </c>
      <c r="L30" s="740">
        <f>(L29/L10)/1.983</f>
        <v>2191.8305597579424</v>
      </c>
      <c r="M30" s="572"/>
      <c r="N30" s="740">
        <f>(N29/N10)/1.983</f>
        <v>2351.2599027215201</v>
      </c>
      <c r="O30" s="740">
        <f>(O29/O10)/1.983</f>
        <v>2332.7281896116992</v>
      </c>
      <c r="P30" s="740">
        <f>(P29/P10)/1.983</f>
        <v>1756.5435231727749</v>
      </c>
      <c r="Q30" s="573"/>
      <c r="R30" s="572"/>
      <c r="T30" s="575" t="s">
        <v>2172</v>
      </c>
    </row>
    <row r="31" spans="1:20" ht="15.75" customHeight="1" x14ac:dyDescent="0.3">
      <c r="A31" s="17"/>
      <c r="B31" s="10"/>
      <c r="C31" s="10"/>
      <c r="D31" s="10"/>
      <c r="E31" s="10"/>
      <c r="F31" s="10"/>
      <c r="G31" s="10"/>
      <c r="H31" s="10"/>
      <c r="I31" s="10"/>
      <c r="J31" s="10"/>
      <c r="K31" s="10"/>
      <c r="L31" s="10"/>
      <c r="M31" s="10"/>
      <c r="N31" s="10"/>
      <c r="O31" s="10"/>
      <c r="P31" s="10"/>
      <c r="Q31" s="10"/>
      <c r="R31" s="17"/>
      <c r="T31" s="350" t="s">
        <v>2173</v>
      </c>
    </row>
    <row r="32" spans="1:20" ht="15.75" customHeight="1" thickBot="1" x14ac:dyDescent="0.35">
      <c r="A32" s="17"/>
      <c r="B32" s="10"/>
      <c r="C32" s="10"/>
      <c r="D32" s="10"/>
      <c r="E32" s="10"/>
      <c r="F32" s="10"/>
      <c r="G32" s="10"/>
      <c r="H32" s="10"/>
      <c r="I32" s="10"/>
      <c r="J32" s="10"/>
      <c r="K32" s="10"/>
      <c r="L32" s="10"/>
      <c r="M32" s="10"/>
      <c r="N32" s="10"/>
      <c r="O32" s="10"/>
      <c r="P32" s="10"/>
      <c r="Q32" s="10"/>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300"/>
      <c r="C34" s="301"/>
      <c r="D34" s="301"/>
      <c r="E34" s="302"/>
      <c r="F34" s="301"/>
      <c r="G34" s="301"/>
      <c r="H34" s="301"/>
      <c r="I34" s="302"/>
      <c r="J34" s="301"/>
      <c r="K34" s="301"/>
      <c r="L34" s="301"/>
      <c r="M34" s="302"/>
      <c r="N34" s="301"/>
      <c r="O34" s="301"/>
      <c r="P34" s="301"/>
      <c r="Q34" s="302"/>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0"/>
      <c r="C38" s="10"/>
      <c r="D38" s="10"/>
      <c r="E38" s="38">
        <f>SUM(B38:D38)</f>
        <v>0</v>
      </c>
      <c r="F38" s="10"/>
      <c r="G38" s="10"/>
      <c r="H38" s="10"/>
      <c r="I38" s="38">
        <f>SUM(F38:H38)</f>
        <v>0</v>
      </c>
      <c r="J38" s="10"/>
      <c r="K38" s="10"/>
      <c r="L38" s="10"/>
      <c r="M38" s="38">
        <f>SUM(J38:L38)</f>
        <v>0</v>
      </c>
      <c r="N38" s="10"/>
      <c r="O38" s="10"/>
      <c r="P38" s="10"/>
      <c r="Q38" s="38">
        <f>SUM(N38:P38)</f>
        <v>0</v>
      </c>
      <c r="R38" s="38">
        <f>+E38+I38+M38+Q38</f>
        <v>0</v>
      </c>
    </row>
    <row r="39" spans="1:18" ht="15.75" customHeight="1" x14ac:dyDescent="0.3">
      <c r="A39" s="235" t="s">
        <v>3245</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0"/>
      <c r="C54" s="10"/>
      <c r="D54" s="10"/>
      <c r="E54" s="38">
        <f>SUM(B54:D54)</f>
        <v>0</v>
      </c>
      <c r="F54" s="10"/>
      <c r="G54" s="10"/>
      <c r="H54" s="10"/>
      <c r="I54" s="38">
        <f>SUM(F54:H54)</f>
        <v>0</v>
      </c>
      <c r="J54" s="10"/>
      <c r="K54" s="10"/>
      <c r="L54" s="10"/>
      <c r="M54" s="38">
        <f>SUM(J54:L54)</f>
        <v>0</v>
      </c>
      <c r="N54" s="10"/>
      <c r="O54" s="10"/>
      <c r="P54" s="10"/>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customHeight="1" thickBot="1" x14ac:dyDescent="0.35">
      <c r="A60" s="304" t="s">
        <v>853</v>
      </c>
      <c r="B60" s="305">
        <v>96</v>
      </c>
      <c r="C60" s="305">
        <v>145</v>
      </c>
      <c r="D60" s="305">
        <v>261</v>
      </c>
      <c r="E60" s="21">
        <f>SUM(B60:D60)</f>
        <v>502</v>
      </c>
      <c r="F60" s="305">
        <v>350</v>
      </c>
      <c r="G60" s="305">
        <v>402</v>
      </c>
      <c r="H60" s="305">
        <v>396</v>
      </c>
      <c r="I60" s="21">
        <f>SUM(F60:H60)</f>
        <v>1148</v>
      </c>
      <c r="J60" s="305">
        <v>394</v>
      </c>
      <c r="K60" s="305">
        <v>318</v>
      </c>
      <c r="L60" s="305">
        <v>301</v>
      </c>
      <c r="M60" s="21">
        <f>SUM(J60:L60)</f>
        <v>1013</v>
      </c>
      <c r="N60" s="305">
        <v>272</v>
      </c>
      <c r="O60" s="305">
        <v>226</v>
      </c>
      <c r="P60" s="305">
        <v>179</v>
      </c>
      <c r="Q60" s="21">
        <f>SUM(N60:P60)</f>
        <v>677</v>
      </c>
      <c r="R60" s="21">
        <f>+E60+I60+M60+Q60</f>
        <v>3340</v>
      </c>
    </row>
    <row r="61" spans="1:18" ht="16.5" customHeight="1" thickBot="1" x14ac:dyDescent="0.35">
      <c r="A61" s="22"/>
      <c r="B61" s="297"/>
      <c r="C61" s="297"/>
      <c r="D61" s="297"/>
      <c r="E61" s="16"/>
      <c r="F61" s="297"/>
      <c r="G61" s="297"/>
      <c r="H61" s="297"/>
      <c r="I61" s="16"/>
      <c r="J61" s="297"/>
      <c r="K61" s="297"/>
      <c r="L61" s="297"/>
      <c r="M61" s="16"/>
      <c r="N61" s="297"/>
      <c r="O61" s="297"/>
      <c r="P61" s="297"/>
      <c r="Q61" s="16"/>
      <c r="R61" s="22"/>
    </row>
    <row r="62" spans="1:18" ht="15.75" customHeight="1" x14ac:dyDescent="0.3">
      <c r="A62" s="234" t="s">
        <v>2011</v>
      </c>
      <c r="B62" s="10">
        <f>+B59+B60</f>
        <v>96</v>
      </c>
      <c r="C62" s="10">
        <f>+C59+C60</f>
        <v>145</v>
      </c>
      <c r="D62" s="10">
        <f>+D59+D60</f>
        <v>261</v>
      </c>
      <c r="E62" s="14">
        <f>SUM(B62:D62)</f>
        <v>502</v>
      </c>
      <c r="F62" s="10">
        <f>+F59+F60</f>
        <v>350</v>
      </c>
      <c r="G62" s="10">
        <f>+G59+G60</f>
        <v>402</v>
      </c>
      <c r="H62" s="10">
        <f>+H59+H60</f>
        <v>396</v>
      </c>
      <c r="I62" s="14">
        <f>SUM(F62:H62)</f>
        <v>1148</v>
      </c>
      <c r="J62" s="10">
        <f>+J59+J60</f>
        <v>394</v>
      </c>
      <c r="K62" s="10">
        <f>+K59+K60</f>
        <v>318</v>
      </c>
      <c r="L62" s="10">
        <f>+L59+L60</f>
        <v>301</v>
      </c>
      <c r="M62" s="14">
        <f>SUM(J62:L62)</f>
        <v>1013</v>
      </c>
      <c r="N62" s="10">
        <f>+N59+N60</f>
        <v>272</v>
      </c>
      <c r="O62" s="10">
        <f>+O59+O60</f>
        <v>226</v>
      </c>
      <c r="P62" s="10">
        <f>+P59+P60</f>
        <v>179</v>
      </c>
      <c r="Q62" s="739">
        <f>SUM(N62:P62)</f>
        <v>677</v>
      </c>
      <c r="R62" s="15">
        <f>+E62+I62+M62+Q62</f>
        <v>3340</v>
      </c>
    </row>
    <row r="63" spans="1:18" ht="15.75" customHeight="1" x14ac:dyDescent="0.3">
      <c r="A63" s="234" t="s">
        <v>1897</v>
      </c>
      <c r="B63" s="10">
        <f>(B62/B10)/1.983</f>
        <v>1.5616612171197111</v>
      </c>
      <c r="C63" s="10">
        <f>(C62/C10)/1.983</f>
        <v>2.6114833225271954</v>
      </c>
      <c r="D63" s="10">
        <f>(D62/D10)/1.983</f>
        <v>4.2457664340442145</v>
      </c>
      <c r="E63" s="15"/>
      <c r="F63" s="10">
        <f>(F62/F10)/1.983</f>
        <v>5.8833417381072444</v>
      </c>
      <c r="G63" s="10">
        <f>(G62/G10)/1.983</f>
        <v>6.5394563466887892</v>
      </c>
      <c r="H63" s="10">
        <f>(H62/H10)/1.983</f>
        <v>6.6565809379727678</v>
      </c>
      <c r="I63" s="15"/>
      <c r="J63" s="10">
        <f>(J62/J10)/1.983</f>
        <v>6.4093179119288139</v>
      </c>
      <c r="K63" s="10">
        <f>(K62/K10)/1.983</f>
        <v>5.1730027817090427</v>
      </c>
      <c r="L63" s="10">
        <f>(L62/L10)/1.983</f>
        <v>5.0596738947722306</v>
      </c>
      <c r="M63" s="15"/>
      <c r="N63" s="10">
        <f>(N62/N10)/1.983</f>
        <v>4.4247067818391805</v>
      </c>
      <c r="O63" s="10">
        <f>(O62/O10)/1.983</f>
        <v>3.7989578080349635</v>
      </c>
      <c r="P63" s="10">
        <f>(P62/P10)/1.983</f>
        <v>2.9118474777544612</v>
      </c>
      <c r="Q63" s="29"/>
      <c r="R63" s="20"/>
    </row>
    <row r="64" spans="1:18" ht="15.75" customHeight="1" x14ac:dyDescent="0.3">
      <c r="A64" s="234" t="s">
        <v>1969</v>
      </c>
      <c r="B64" s="10">
        <f>B62+B134</f>
        <v>123134</v>
      </c>
      <c r="C64" s="10">
        <f>C62+C134</f>
        <v>135328</v>
      </c>
      <c r="D64" s="10">
        <f>D62+D134</f>
        <v>144700</v>
      </c>
      <c r="E64" s="15">
        <f>SUM(B64:D64)</f>
        <v>403162</v>
      </c>
      <c r="F64" s="10">
        <f>F62+F134</f>
        <v>146702</v>
      </c>
      <c r="G64" s="10">
        <f>G62+G134</f>
        <v>172555</v>
      </c>
      <c r="H64" s="10">
        <f>H62+H134</f>
        <v>74215</v>
      </c>
      <c r="I64" s="15">
        <f>SUM(F64:H64)</f>
        <v>393472</v>
      </c>
      <c r="J64" s="10">
        <f>J62+J134</f>
        <v>51476</v>
      </c>
      <c r="K64" s="10">
        <f>K62+K134</f>
        <v>51913</v>
      </c>
      <c r="L64" s="10">
        <f>L62+L134</f>
        <v>130076</v>
      </c>
      <c r="M64" s="15">
        <f>SUM(J64:L64)</f>
        <v>233465</v>
      </c>
      <c r="N64" s="10">
        <f>N62+N134</f>
        <v>144254</v>
      </c>
      <c r="O64" s="10">
        <f>O62+O134</f>
        <v>138539</v>
      </c>
      <c r="P64" s="10">
        <f>P62+P134</f>
        <v>107794</v>
      </c>
      <c r="Q64" s="29">
        <f>SUM(N64:P64)</f>
        <v>390587</v>
      </c>
      <c r="R64" s="15">
        <f>+E64+I64+M64+Q64</f>
        <v>1420686</v>
      </c>
    </row>
    <row r="65" spans="1:20" ht="16.5" customHeight="1" thickBot="1" x14ac:dyDescent="0.35">
      <c r="A65" s="237" t="s">
        <v>1970</v>
      </c>
      <c r="B65" s="294">
        <f>(B64/B10)/1.983</f>
        <v>2003.0582532168594</v>
      </c>
      <c r="C65" s="294">
        <f>(C64/C10)/1.983</f>
        <v>2437.288379799726</v>
      </c>
      <c r="D65" s="294">
        <f>(D64/D10)/1.983</f>
        <v>2353.8789387210645</v>
      </c>
      <c r="E65" s="16"/>
      <c r="F65" s="294">
        <f>(F64/F10)/1.983</f>
        <v>2465.99428475374</v>
      </c>
      <c r="G65" s="294">
        <f>(G64/G10)/1.983</f>
        <v>2807.0047012509553</v>
      </c>
      <c r="H65" s="294">
        <f>(H64/H10)/1.983</f>
        <v>1247.5205916960833</v>
      </c>
      <c r="I65" s="16"/>
      <c r="J65" s="294">
        <f>(J64/J10)/1.983</f>
        <v>837.37575846306504</v>
      </c>
      <c r="K65" s="294">
        <f>(K64/K10)/1.983</f>
        <v>844.48457046182864</v>
      </c>
      <c r="L65" s="294">
        <f>(L64/L10)/1.983</f>
        <v>2186.5187426458228</v>
      </c>
      <c r="M65" s="16"/>
      <c r="N65" s="294">
        <f>(N64/N10)/1.983</f>
        <v>2346.6237209831957</v>
      </c>
      <c r="O65" s="294">
        <f>(O64/O10)/1.983</f>
        <v>2328.7779458732557</v>
      </c>
      <c r="P65" s="294">
        <f>(P64/P10)/1.983</f>
        <v>1753.5178045646055</v>
      </c>
      <c r="Q65" s="30"/>
      <c r="R65" s="23" t="s">
        <v>852</v>
      </c>
    </row>
    <row r="66" spans="1:20" ht="15.75" customHeight="1" x14ac:dyDescent="0.3">
      <c r="A66" s="17"/>
      <c r="B66" s="10"/>
      <c r="C66" s="10"/>
      <c r="D66" s="10"/>
      <c r="E66" s="10"/>
      <c r="F66" s="10"/>
      <c r="G66" s="10"/>
      <c r="H66" s="10"/>
      <c r="I66" s="10"/>
      <c r="J66" s="10"/>
      <c r="K66" s="10"/>
      <c r="L66" s="10"/>
      <c r="M66" s="10"/>
      <c r="N66" s="10"/>
      <c r="O66" s="10"/>
      <c r="P66" s="10"/>
      <c r="Q66" s="10"/>
      <c r="R66" s="17"/>
    </row>
    <row r="67" spans="1:20" ht="15.75" customHeight="1" thickBot="1" x14ac:dyDescent="0.35">
      <c r="A67" s="17"/>
      <c r="B67" s="10"/>
      <c r="C67" s="10"/>
      <c r="D67" s="10"/>
      <c r="E67" s="10"/>
      <c r="F67" s="10"/>
      <c r="G67" s="10"/>
      <c r="H67" s="10"/>
      <c r="I67" s="10"/>
      <c r="J67" s="10"/>
      <c r="K67" s="10"/>
      <c r="L67" s="10"/>
      <c r="M67" s="10"/>
      <c r="N67" s="10"/>
      <c r="O67" s="10"/>
      <c r="P67" s="10"/>
      <c r="Q67" s="10"/>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306"/>
      <c r="C69" s="307"/>
      <c r="D69" s="307"/>
      <c r="E69" s="308"/>
      <c r="F69" s="307"/>
      <c r="G69" s="307"/>
      <c r="H69" s="307"/>
      <c r="I69" s="308"/>
      <c r="J69" s="307"/>
      <c r="K69" s="307"/>
      <c r="L69" s="307"/>
      <c r="M69" s="308"/>
      <c r="N69" s="307"/>
      <c r="O69" s="307"/>
      <c r="P69" s="309"/>
      <c r="Q69" s="308"/>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0"/>
      <c r="C72" s="10"/>
      <c r="D72" s="10"/>
      <c r="E72" s="38">
        <f t="shared" ref="E72:E82" si="5">SUM(B72:D72)</f>
        <v>0</v>
      </c>
      <c r="F72" s="10"/>
      <c r="G72" s="10"/>
      <c r="H72" s="10"/>
      <c r="I72" s="38">
        <f t="shared" ref="I72:I82" si="6">SUM(F72:H72)</f>
        <v>0</v>
      </c>
      <c r="J72" s="10"/>
      <c r="K72" s="10"/>
      <c r="L72" s="10"/>
      <c r="M72" s="38">
        <f t="shared" ref="M72:M82" si="7">SUM(J72:L72)</f>
        <v>0</v>
      </c>
      <c r="N72" s="10"/>
      <c r="O72" s="10"/>
      <c r="P72" s="10"/>
      <c r="Q72" s="38">
        <f t="shared" ref="Q72:Q82" si="8">SUM(N72:P72)</f>
        <v>0</v>
      </c>
      <c r="R72" s="38">
        <f t="shared" ref="R72:R82" si="9">+E72+I72+M72+Q72</f>
        <v>0</v>
      </c>
    </row>
    <row r="73" spans="1:20" ht="15.75" customHeight="1" x14ac:dyDescent="0.3">
      <c r="A73" s="539" t="s">
        <v>2732</v>
      </c>
      <c r="B73" s="10"/>
      <c r="C73" s="10"/>
      <c r="D73" s="10"/>
      <c r="E73" s="38">
        <f>SUM(B73:D73)</f>
        <v>0</v>
      </c>
      <c r="F73" s="10"/>
      <c r="G73" s="10"/>
      <c r="H73" s="10"/>
      <c r="I73" s="38">
        <f>SUM(F73:H73)</f>
        <v>0</v>
      </c>
      <c r="J73" s="10"/>
      <c r="K73" s="10"/>
      <c r="L73" s="10"/>
      <c r="M73" s="38">
        <f>SUM(J73:L73)</f>
        <v>0</v>
      </c>
      <c r="N73" s="10"/>
      <c r="O73" s="10"/>
      <c r="P73" s="10"/>
      <c r="Q73" s="38">
        <f>SUM(N73:P73)</f>
        <v>0</v>
      </c>
      <c r="R73" s="38">
        <f>+E73+I73+M73+Q73</f>
        <v>0</v>
      </c>
    </row>
    <row r="74" spans="1:20" ht="15.75" customHeight="1" x14ac:dyDescent="0.3">
      <c r="A74" s="539" t="s">
        <v>2060</v>
      </c>
      <c r="B74" s="10"/>
      <c r="C74" s="10"/>
      <c r="D74" s="10"/>
      <c r="E74" s="38">
        <f t="shared" si="5"/>
        <v>0</v>
      </c>
      <c r="F74" s="10"/>
      <c r="G74" s="10"/>
      <c r="H74" s="10"/>
      <c r="I74" s="38">
        <f t="shared" si="6"/>
        <v>0</v>
      </c>
      <c r="J74" s="10"/>
      <c r="K74" s="10"/>
      <c r="L74" s="10"/>
      <c r="M74" s="38">
        <f t="shared" si="7"/>
        <v>0</v>
      </c>
      <c r="N74" s="10"/>
      <c r="O74" s="10"/>
      <c r="P74" s="10"/>
      <c r="Q74" s="38">
        <f t="shared" si="8"/>
        <v>0</v>
      </c>
      <c r="R74" s="38">
        <f t="shared" si="9"/>
        <v>0</v>
      </c>
    </row>
    <row r="75" spans="1:20" ht="15.75" customHeight="1" x14ac:dyDescent="0.3">
      <c r="A75" s="539" t="s">
        <v>2773</v>
      </c>
      <c r="B75" s="10"/>
      <c r="C75" s="10"/>
      <c r="D75" s="10"/>
      <c r="E75" s="38">
        <f t="shared" si="5"/>
        <v>0</v>
      </c>
      <c r="F75" s="10"/>
      <c r="G75" s="10"/>
      <c r="H75" s="10"/>
      <c r="I75" s="38">
        <f t="shared" si="6"/>
        <v>0</v>
      </c>
      <c r="K75" s="10"/>
      <c r="L75" s="10"/>
      <c r="M75" s="38">
        <f t="shared" si="7"/>
        <v>0</v>
      </c>
      <c r="N75" s="10"/>
      <c r="O75" s="10"/>
      <c r="P75" s="10"/>
      <c r="Q75" s="38">
        <f t="shared" si="8"/>
        <v>0</v>
      </c>
      <c r="R75" s="38">
        <f t="shared" si="9"/>
        <v>0</v>
      </c>
      <c r="T75" t="s">
        <v>2774</v>
      </c>
    </row>
    <row r="76" spans="1:20" ht="15.75" customHeight="1" x14ac:dyDescent="0.3">
      <c r="A76" s="539" t="s">
        <v>3240</v>
      </c>
      <c r="B76" s="10"/>
      <c r="C76" s="10"/>
      <c r="D76" s="10"/>
      <c r="E76" s="38">
        <f t="shared" si="5"/>
        <v>0</v>
      </c>
      <c r="F76" s="10"/>
      <c r="G76" s="10"/>
      <c r="H76" s="10"/>
      <c r="I76" s="38">
        <f t="shared" si="6"/>
        <v>0</v>
      </c>
      <c r="J76" s="10"/>
      <c r="K76" s="10"/>
      <c r="L76" s="10"/>
      <c r="M76" s="38">
        <f t="shared" si="7"/>
        <v>0</v>
      </c>
      <c r="N76" s="10"/>
      <c r="O76" s="10"/>
      <c r="P76" s="10"/>
      <c r="Q76" s="38">
        <f t="shared" si="8"/>
        <v>0</v>
      </c>
      <c r="R76" s="38">
        <f t="shared" si="9"/>
        <v>0</v>
      </c>
      <c r="S76" s="736" t="s">
        <v>3213</v>
      </c>
      <c r="T76" t="s">
        <v>2774</v>
      </c>
    </row>
    <row r="77" spans="1:20" ht="15.75" customHeight="1" x14ac:dyDescent="0.3">
      <c r="A77" s="539" t="s">
        <v>2262</v>
      </c>
      <c r="B77" s="10"/>
      <c r="C77" s="10"/>
      <c r="D77" s="10"/>
      <c r="E77" s="38">
        <f t="shared" si="5"/>
        <v>0</v>
      </c>
      <c r="F77" s="10"/>
      <c r="G77" s="10"/>
      <c r="H77" s="10"/>
      <c r="I77" s="38">
        <f t="shared" si="6"/>
        <v>0</v>
      </c>
      <c r="J77" s="10"/>
      <c r="K77" s="10"/>
      <c r="L77" s="10"/>
      <c r="M77" s="38">
        <f t="shared" si="7"/>
        <v>0</v>
      </c>
      <c r="N77" s="10"/>
      <c r="O77" s="10"/>
      <c r="P77" s="10"/>
      <c r="Q77" s="38">
        <f t="shared" si="8"/>
        <v>0</v>
      </c>
      <c r="R77" s="38">
        <f t="shared" si="9"/>
        <v>0</v>
      </c>
    </row>
    <row r="78" spans="1:20" ht="15.75" customHeight="1" x14ac:dyDescent="0.3">
      <c r="A78" s="539" t="s">
        <v>789</v>
      </c>
      <c r="B78" s="10"/>
      <c r="C78" s="10"/>
      <c r="D78" s="10"/>
      <c r="E78" s="38">
        <f t="shared" si="5"/>
        <v>0</v>
      </c>
      <c r="F78" s="10"/>
      <c r="G78" s="10"/>
      <c r="H78" s="10"/>
      <c r="I78" s="38">
        <f t="shared" si="6"/>
        <v>0</v>
      </c>
      <c r="J78" s="10"/>
      <c r="K78" s="10"/>
      <c r="L78" s="10"/>
      <c r="M78" s="38">
        <f t="shared" si="7"/>
        <v>0</v>
      </c>
      <c r="N78" s="10"/>
      <c r="O78" s="10"/>
      <c r="P78" s="10"/>
      <c r="Q78" s="38">
        <f t="shared" si="8"/>
        <v>0</v>
      </c>
      <c r="R78" s="38">
        <f t="shared" si="9"/>
        <v>0</v>
      </c>
      <c r="T78" t="s">
        <v>2799</v>
      </c>
    </row>
    <row r="79" spans="1:20" ht="15.75" customHeight="1" x14ac:dyDescent="0.3">
      <c r="A79" s="410" t="s">
        <v>3130</v>
      </c>
      <c r="B79" s="10"/>
      <c r="C79" s="10"/>
      <c r="D79" s="10"/>
      <c r="E79" s="38">
        <f t="shared" si="5"/>
        <v>0</v>
      </c>
      <c r="F79" s="10"/>
      <c r="G79" s="10">
        <v>512</v>
      </c>
      <c r="H79" s="10">
        <v>512</v>
      </c>
      <c r="I79" s="38">
        <f t="shared" si="6"/>
        <v>1024</v>
      </c>
      <c r="J79" s="10">
        <v>512</v>
      </c>
      <c r="K79" s="10">
        <v>512</v>
      </c>
      <c r="L79" s="10"/>
      <c r="M79" s="38">
        <f t="shared" si="7"/>
        <v>1024</v>
      </c>
      <c r="N79" s="10"/>
      <c r="O79" s="10"/>
      <c r="P79" s="10"/>
      <c r="Q79" s="38">
        <f t="shared" si="8"/>
        <v>0</v>
      </c>
      <c r="R79" s="38">
        <f t="shared" si="9"/>
        <v>2048</v>
      </c>
    </row>
    <row r="80" spans="1:20" ht="15.75" customHeight="1" x14ac:dyDescent="0.3">
      <c r="A80" s="410" t="s">
        <v>2183</v>
      </c>
      <c r="B80" s="10"/>
      <c r="C80" s="10"/>
      <c r="D80" s="10"/>
      <c r="E80" s="38">
        <f t="shared" si="5"/>
        <v>0</v>
      </c>
      <c r="F80" s="10"/>
      <c r="G80" s="10"/>
      <c r="H80" s="10"/>
      <c r="I80" s="38">
        <f t="shared" si="6"/>
        <v>0</v>
      </c>
      <c r="J80" s="10"/>
      <c r="K80" s="10"/>
      <c r="L80" s="10"/>
      <c r="M80" s="38">
        <f t="shared" si="7"/>
        <v>0</v>
      </c>
      <c r="N80" s="10"/>
      <c r="O80" s="10"/>
      <c r="P80" s="10"/>
      <c r="Q80" s="38">
        <f t="shared" si="8"/>
        <v>0</v>
      </c>
      <c r="R80" s="38">
        <f t="shared" si="9"/>
        <v>0</v>
      </c>
    </row>
    <row r="81" spans="1:20" ht="15.75" customHeight="1" x14ac:dyDescent="0.3">
      <c r="A81" s="410" t="s">
        <v>2947</v>
      </c>
      <c r="B81" s="10"/>
      <c r="C81" s="10"/>
      <c r="D81" s="10"/>
      <c r="E81" s="38">
        <f>SUM(B81:D81)</f>
        <v>0</v>
      </c>
      <c r="F81" s="10"/>
      <c r="G81" s="10"/>
      <c r="H81" s="10"/>
      <c r="I81" s="38">
        <f>SUM(F81:H81)</f>
        <v>0</v>
      </c>
      <c r="J81" s="10"/>
      <c r="K81" s="10"/>
      <c r="L81" s="10"/>
      <c r="M81" s="38">
        <f>SUM(J81:L81)</f>
        <v>0</v>
      </c>
      <c r="N81" s="10"/>
      <c r="O81" s="10"/>
      <c r="P81" s="10"/>
      <c r="Q81" s="38">
        <f>SUM(N81:P81)</f>
        <v>0</v>
      </c>
      <c r="R81" s="38">
        <f t="shared" si="9"/>
        <v>0</v>
      </c>
    </row>
    <row r="82" spans="1:20" ht="15.75" customHeight="1" x14ac:dyDescent="0.3">
      <c r="A82" s="410" t="s">
        <v>86</v>
      </c>
      <c r="B82" s="10"/>
      <c r="C82" s="10"/>
      <c r="D82" s="10"/>
      <c r="E82" s="38">
        <f t="shared" si="5"/>
        <v>0</v>
      </c>
      <c r="F82" s="10"/>
      <c r="G82" s="10"/>
      <c r="H82" s="10"/>
      <c r="I82" s="38">
        <f t="shared" si="6"/>
        <v>0</v>
      </c>
      <c r="J82" s="10"/>
      <c r="K82" s="10"/>
      <c r="L82" s="10"/>
      <c r="M82" s="38">
        <f t="shared" si="7"/>
        <v>0</v>
      </c>
      <c r="N82" s="10"/>
      <c r="O82" s="10"/>
      <c r="P82" s="10"/>
      <c r="Q82" s="38">
        <f t="shared" si="8"/>
        <v>0</v>
      </c>
      <c r="R82" s="38">
        <f t="shared" si="9"/>
        <v>0</v>
      </c>
      <c r="S82">
        <f>SUM(R72:R82)</f>
        <v>2048</v>
      </c>
    </row>
    <row r="83" spans="1:20" ht="15.75" customHeight="1" x14ac:dyDescent="0.3">
      <c r="A83" s="235" t="s">
        <v>2161</v>
      </c>
      <c r="B83" s="18"/>
      <c r="C83" s="18"/>
      <c r="D83" s="18"/>
      <c r="E83" s="38" t="s">
        <v>852</v>
      </c>
      <c r="F83" s="18"/>
      <c r="G83" s="18"/>
      <c r="H83" s="18"/>
      <c r="I83" s="38" t="s">
        <v>852</v>
      </c>
      <c r="J83" s="18"/>
      <c r="K83" s="18"/>
      <c r="L83" s="18"/>
      <c r="M83" s="38" t="s">
        <v>852</v>
      </c>
      <c r="N83" s="18"/>
      <c r="O83" s="18"/>
      <c r="P83" s="18"/>
      <c r="Q83" s="38" t="s">
        <v>852</v>
      </c>
      <c r="R83" s="38" t="s">
        <v>852</v>
      </c>
    </row>
    <row r="84" spans="1:20" ht="15.75" customHeight="1" x14ac:dyDescent="0.3">
      <c r="A84" s="410" t="s">
        <v>2419</v>
      </c>
      <c r="B84" s="10"/>
      <c r="C84" s="10"/>
      <c r="D84" s="10"/>
      <c r="E84" s="38">
        <f>SUM(B84:D84)</f>
        <v>0</v>
      </c>
      <c r="F84" s="10"/>
      <c r="G84" s="10"/>
      <c r="H84" s="10"/>
      <c r="I84" s="38">
        <f>SUM(F84:H84)</f>
        <v>0</v>
      </c>
      <c r="J84" s="10"/>
      <c r="K84" s="10"/>
      <c r="L84" s="10"/>
      <c r="M84" s="38">
        <f>SUM(J84:L84)</f>
        <v>0</v>
      </c>
      <c r="N84" s="10"/>
      <c r="O84" s="10"/>
      <c r="P84" s="10"/>
      <c r="Q84" s="38">
        <f>SUM(N84:P84)</f>
        <v>0</v>
      </c>
      <c r="R84" s="38">
        <f>+E84+I84+M84+Q84</f>
        <v>0</v>
      </c>
    </row>
    <row r="85" spans="1:20" ht="15.75" customHeight="1" x14ac:dyDescent="0.3">
      <c r="A85" s="235" t="s">
        <v>3245</v>
      </c>
      <c r="B85" s="18"/>
      <c r="C85" s="18"/>
      <c r="D85" s="18"/>
      <c r="E85" s="38" t="s">
        <v>1598</v>
      </c>
      <c r="F85" s="18"/>
      <c r="G85" s="18"/>
      <c r="H85" s="18"/>
      <c r="I85" s="38" t="s">
        <v>1598</v>
      </c>
      <c r="J85" s="18"/>
      <c r="K85" s="18"/>
      <c r="L85" s="18"/>
      <c r="M85" s="38" t="s">
        <v>1598</v>
      </c>
      <c r="N85" s="18"/>
      <c r="O85" s="18"/>
      <c r="P85" s="18"/>
      <c r="Q85" s="38" t="s">
        <v>1598</v>
      </c>
      <c r="R85" s="38" t="s">
        <v>1598</v>
      </c>
    </row>
    <row r="86" spans="1:20" ht="15.75" customHeight="1" x14ac:dyDescent="0.3">
      <c r="A86" s="422" t="s">
        <v>3241</v>
      </c>
      <c r="B86" s="10"/>
      <c r="C86" s="10"/>
      <c r="D86" s="10"/>
      <c r="E86" s="38">
        <f>SUM(B86:D86)</f>
        <v>0</v>
      </c>
      <c r="F86" s="10"/>
      <c r="G86" s="10"/>
      <c r="H86" s="10"/>
      <c r="I86" s="38">
        <f>SUM(F86:H86)</f>
        <v>0</v>
      </c>
      <c r="J86" s="10"/>
      <c r="K86" s="10"/>
      <c r="L86" s="10"/>
      <c r="M86" s="38">
        <f>SUM(J86:L86)</f>
        <v>0</v>
      </c>
      <c r="N86" s="10"/>
      <c r="O86" s="10"/>
      <c r="P86" s="10"/>
      <c r="Q86" s="38">
        <f>SUM(N86:P86)</f>
        <v>0</v>
      </c>
      <c r="R86" s="38">
        <f>+E86+I86+M86+Q86</f>
        <v>0</v>
      </c>
      <c r="S86" s="735" t="s">
        <v>3214</v>
      </c>
    </row>
    <row r="87" spans="1:20" ht="15.75" customHeight="1" x14ac:dyDescent="0.3">
      <c r="A87" s="422" t="s">
        <v>3242</v>
      </c>
      <c r="B87" s="10"/>
      <c r="C87" s="10"/>
      <c r="D87" s="10"/>
      <c r="E87" s="38">
        <f>SUM(B87:D87)</f>
        <v>0</v>
      </c>
      <c r="F87" s="10"/>
      <c r="G87" s="10"/>
      <c r="H87" s="10"/>
      <c r="I87" s="38">
        <f>SUM(F87:H87)</f>
        <v>0</v>
      </c>
      <c r="J87" s="10"/>
      <c r="K87" s="10"/>
      <c r="L87" s="10"/>
      <c r="M87" s="38">
        <f>SUM(J87:L87)</f>
        <v>0</v>
      </c>
      <c r="N87" s="10"/>
      <c r="O87" s="10"/>
      <c r="P87" s="10"/>
      <c r="Q87" s="38">
        <f>SUM(N87:P87)</f>
        <v>0</v>
      </c>
      <c r="R87" s="38">
        <f>+E87+I87+M87+Q87</f>
        <v>0</v>
      </c>
      <c r="S87" s="735" t="s">
        <v>3214</v>
      </c>
      <c r="T87" t="s">
        <v>2774</v>
      </c>
    </row>
    <row r="88" spans="1:20" ht="15.75"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20" ht="16.5" customHeight="1" thickBot="1" x14ac:dyDescent="0.35">
      <c r="A89" s="43" t="s">
        <v>1218</v>
      </c>
      <c r="B89" s="42">
        <f>SUM(B70:B88)</f>
        <v>0</v>
      </c>
      <c r="C89" s="42">
        <f>SUM(C70:C88)</f>
        <v>0</v>
      </c>
      <c r="D89" s="42">
        <f>SUM(D70:D88)</f>
        <v>0</v>
      </c>
      <c r="E89" s="37">
        <f>SUM(B89:D89)</f>
        <v>0</v>
      </c>
      <c r="F89" s="42">
        <f>SUM(F70:F88)</f>
        <v>0</v>
      </c>
      <c r="G89" s="42">
        <f>SUM(G70:G88)</f>
        <v>512</v>
      </c>
      <c r="H89" s="42">
        <f>SUM(H70:H88)</f>
        <v>512</v>
      </c>
      <c r="I89" s="37">
        <f>SUM(F89:H89)</f>
        <v>1024</v>
      </c>
      <c r="J89" s="42">
        <f>SUM(J70:J88)</f>
        <v>512</v>
      </c>
      <c r="K89" s="42">
        <f>SUM(K70:K88)</f>
        <v>512</v>
      </c>
      <c r="L89" s="42">
        <f>SUM(L70:L88)</f>
        <v>0</v>
      </c>
      <c r="M89" s="37">
        <f>SUM(J89:L89)</f>
        <v>1024</v>
      </c>
      <c r="N89" s="42">
        <f>SUM(N70:N88)</f>
        <v>0</v>
      </c>
      <c r="O89" s="42">
        <f>SUM(O70:O88)</f>
        <v>0</v>
      </c>
      <c r="P89" s="42">
        <f>SUM(P70:P88)</f>
        <v>0</v>
      </c>
      <c r="Q89" s="37">
        <f>SUM(N89:P89)</f>
        <v>0</v>
      </c>
      <c r="R89" s="37">
        <f>+E89+I89+M89+Q89</f>
        <v>2048</v>
      </c>
    </row>
    <row r="90" spans="1:20" ht="15.75"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20" ht="15.75"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20" ht="15.75" customHeight="1" x14ac:dyDescent="0.3">
      <c r="A93" s="410" t="s">
        <v>701</v>
      </c>
      <c r="B93" s="10">
        <v>500</v>
      </c>
      <c r="C93" s="10">
        <v>500</v>
      </c>
      <c r="D93" s="10">
        <v>2000</v>
      </c>
      <c r="E93" s="38">
        <f>SUM(B93:D93)</f>
        <v>3000</v>
      </c>
      <c r="F93" s="10">
        <v>3141</v>
      </c>
      <c r="G93" s="10">
        <v>4500</v>
      </c>
      <c r="H93" s="10">
        <v>4406</v>
      </c>
      <c r="I93" s="38">
        <f>SUM(F93:H93)</f>
        <v>12047</v>
      </c>
      <c r="J93" s="10">
        <v>4000</v>
      </c>
      <c r="K93" s="10">
        <v>3000</v>
      </c>
      <c r="L93" s="10">
        <v>1500</v>
      </c>
      <c r="M93" s="38">
        <f>SUM(J93:L93)</f>
        <v>8500</v>
      </c>
      <c r="N93" s="10">
        <v>1000</v>
      </c>
      <c r="O93" s="10">
        <v>403</v>
      </c>
      <c r="P93" s="10">
        <v>600</v>
      </c>
      <c r="Q93" s="38">
        <f>SUM(N93:P93)</f>
        <v>2003</v>
      </c>
      <c r="R93" s="38">
        <f>+E93+I93+M93+Q93</f>
        <v>25550</v>
      </c>
      <c r="T93" t="s">
        <v>2810</v>
      </c>
    </row>
    <row r="94" spans="1:20" ht="15.75" customHeight="1" x14ac:dyDescent="0.3">
      <c r="A94" s="410" t="s">
        <v>702</v>
      </c>
      <c r="B94" s="10">
        <v>100</v>
      </c>
      <c r="C94" s="10">
        <v>100</v>
      </c>
      <c r="D94" s="10">
        <v>150</v>
      </c>
      <c r="E94" s="38">
        <f>SUM(B94:D94)</f>
        <v>350</v>
      </c>
      <c r="F94" s="10">
        <v>150</v>
      </c>
      <c r="G94" s="10">
        <f>200+200</f>
        <v>400</v>
      </c>
      <c r="H94" s="10">
        <f>250+200</f>
        <v>450</v>
      </c>
      <c r="I94" s="38">
        <f>SUM(F94:H94)</f>
        <v>1000</v>
      </c>
      <c r="J94" s="10">
        <f>335+200</f>
        <v>535</v>
      </c>
      <c r="K94" s="10">
        <f>335+150</f>
        <v>485</v>
      </c>
      <c r="L94" s="10">
        <f>515+186</f>
        <v>701</v>
      </c>
      <c r="M94" s="38">
        <f>SUM(J94:L94)</f>
        <v>1721</v>
      </c>
      <c r="N94" s="10">
        <f>715+22</f>
        <v>737</v>
      </c>
      <c r="O94" s="10">
        <v>245</v>
      </c>
      <c r="P94" s="10">
        <v>0</v>
      </c>
      <c r="Q94" s="38">
        <f>SUM(N94:P94)</f>
        <v>982</v>
      </c>
      <c r="R94" s="38">
        <f>+E94+I94+M94+Q94</f>
        <v>4053</v>
      </c>
      <c r="T94" t="s">
        <v>2774</v>
      </c>
    </row>
    <row r="95" spans="1:20" ht="15.75"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20" ht="16.5" customHeight="1" thickBot="1" x14ac:dyDescent="0.35">
      <c r="A96" s="43" t="s">
        <v>1219</v>
      </c>
      <c r="B96" s="42">
        <f>SUM(B90:B95)</f>
        <v>600</v>
      </c>
      <c r="C96" s="42">
        <f>SUM(C90:C95)</f>
        <v>600</v>
      </c>
      <c r="D96" s="42">
        <f>SUM(D90:D95)</f>
        <v>2150</v>
      </c>
      <c r="E96" s="37">
        <f>SUM(B96:D96)</f>
        <v>3350</v>
      </c>
      <c r="F96" s="42">
        <f>SUM(F90:F95)</f>
        <v>3291</v>
      </c>
      <c r="G96" s="42">
        <f>SUM(G90:G95)</f>
        <v>4900</v>
      </c>
      <c r="H96" s="42">
        <f>SUM(H90:H95)</f>
        <v>4856</v>
      </c>
      <c r="I96" s="37">
        <f>SUM(F96:H96)</f>
        <v>13047</v>
      </c>
      <c r="J96" s="42">
        <f>SUM(J90:J95)</f>
        <v>4535</v>
      </c>
      <c r="K96" s="42">
        <f>SUM(K90:K95)</f>
        <v>3485</v>
      </c>
      <c r="L96" s="42">
        <f>SUM(L90:L95)</f>
        <v>2201</v>
      </c>
      <c r="M96" s="37">
        <f>SUM(J96:L96)</f>
        <v>10221</v>
      </c>
      <c r="N96" s="42">
        <f>SUM(N90:N95)</f>
        <v>1737</v>
      </c>
      <c r="O96" s="42">
        <f>SUM(O90:O95)</f>
        <v>648</v>
      </c>
      <c r="P96" s="42">
        <f>SUM(P90:P95)</f>
        <v>600</v>
      </c>
      <c r="Q96" s="37">
        <f>SUM(N96:P96)</f>
        <v>2985</v>
      </c>
      <c r="R96" s="37">
        <f>+E96+I96+M96+Q96</f>
        <v>29603</v>
      </c>
    </row>
    <row r="97" spans="1:20" ht="15.75"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20" ht="15.75" customHeight="1" x14ac:dyDescent="0.3">
      <c r="A99" s="235" t="s">
        <v>1711</v>
      </c>
      <c r="B99" s="248"/>
      <c r="C99" s="248"/>
      <c r="D99" s="248"/>
      <c r="E99" s="38"/>
      <c r="F99" s="248"/>
      <c r="G99" s="248"/>
      <c r="H99" s="248"/>
      <c r="I99" s="38"/>
      <c r="J99" s="248"/>
      <c r="K99" s="248"/>
      <c r="L99" s="248"/>
      <c r="M99" s="38"/>
      <c r="N99" s="248"/>
      <c r="O99" s="248"/>
      <c r="P99" s="248"/>
      <c r="Q99" s="38"/>
      <c r="R99" s="38"/>
    </row>
    <row r="100" spans="1:20" ht="15.75" customHeight="1" x14ac:dyDescent="0.3">
      <c r="A100" s="410" t="s">
        <v>1584</v>
      </c>
      <c r="B100" s="10"/>
      <c r="C100" s="10"/>
      <c r="D100" s="10"/>
      <c r="E100" s="38">
        <f t="shared" ref="E100:E108" si="10">SUM(B100:D100)</f>
        <v>0</v>
      </c>
      <c r="F100" s="10"/>
      <c r="G100" s="10"/>
      <c r="H100" s="10"/>
      <c r="I100" s="38">
        <f t="shared" ref="I100:I108" si="11">SUM(F100:H100)</f>
        <v>0</v>
      </c>
      <c r="J100" s="10"/>
      <c r="K100" s="10"/>
      <c r="L100" s="10"/>
      <c r="M100" s="38">
        <f t="shared" ref="M100:M108" si="12">SUM(J100:L100)</f>
        <v>0</v>
      </c>
      <c r="N100" s="10"/>
      <c r="O100" s="10"/>
      <c r="P100" s="10"/>
      <c r="Q100" s="38">
        <f t="shared" ref="Q100:Q108" si="13">SUM(N100:P100)</f>
        <v>0</v>
      </c>
      <c r="R100" s="38">
        <f t="shared" ref="R100:R108" si="14">+E100+I100+M100+Q100</f>
        <v>0</v>
      </c>
    </row>
    <row r="101" spans="1:20" ht="15.75" customHeight="1" x14ac:dyDescent="0.3">
      <c r="A101" s="410" t="s">
        <v>1977</v>
      </c>
      <c r="B101" s="10"/>
      <c r="C101" s="10"/>
      <c r="D101" s="10"/>
      <c r="E101" s="38">
        <f t="shared" si="10"/>
        <v>0</v>
      </c>
      <c r="F101" s="10"/>
      <c r="G101" s="10"/>
      <c r="H101" s="10"/>
      <c r="I101" s="38">
        <f t="shared" si="11"/>
        <v>0</v>
      </c>
      <c r="J101" s="10"/>
      <c r="K101" s="10"/>
      <c r="L101" s="10"/>
      <c r="M101" s="38">
        <f t="shared" si="12"/>
        <v>0</v>
      </c>
      <c r="N101" s="10"/>
      <c r="O101" s="10"/>
      <c r="P101" s="10"/>
      <c r="Q101" s="38">
        <f t="shared" si="13"/>
        <v>0</v>
      </c>
      <c r="R101" s="38">
        <f t="shared" si="14"/>
        <v>0</v>
      </c>
    </row>
    <row r="102" spans="1:20" ht="15.75" customHeight="1" x14ac:dyDescent="0.3">
      <c r="A102" s="410" t="s">
        <v>3287</v>
      </c>
      <c r="B102" s="10"/>
      <c r="C102" s="10"/>
      <c r="D102" s="10"/>
      <c r="E102" s="38">
        <f>SUM(B102:D102)</f>
        <v>0</v>
      </c>
      <c r="F102" s="10"/>
      <c r="G102" s="10"/>
      <c r="H102" s="10"/>
      <c r="I102" s="38">
        <f>SUM(F102:H102)</f>
        <v>0</v>
      </c>
      <c r="J102" s="10"/>
      <c r="K102" s="10"/>
      <c r="L102" s="10"/>
      <c r="M102" s="38">
        <f>SUM(J102:L102)</f>
        <v>0</v>
      </c>
      <c r="N102" s="10"/>
      <c r="O102" s="10"/>
      <c r="P102" s="10"/>
      <c r="Q102" s="38">
        <f>SUM(N102:P102)</f>
        <v>0</v>
      </c>
      <c r="R102" s="38">
        <f>+E102+I102+M102+Q102</f>
        <v>0</v>
      </c>
    </row>
    <row r="103" spans="1:20" ht="15.75" customHeight="1" x14ac:dyDescent="0.3">
      <c r="A103" s="410" t="s">
        <v>3155</v>
      </c>
      <c r="B103" s="10"/>
      <c r="C103" s="10"/>
      <c r="D103" s="10"/>
      <c r="E103" s="38">
        <f>SUM(B103:D103)</f>
        <v>0</v>
      </c>
      <c r="F103" s="10"/>
      <c r="G103" s="10"/>
      <c r="H103" s="10"/>
      <c r="I103" s="38">
        <f>SUM(F103:H103)</f>
        <v>0</v>
      </c>
      <c r="J103" s="10"/>
      <c r="K103" s="10"/>
      <c r="L103" s="10"/>
      <c r="M103" s="38">
        <f>SUM(J103:L103)</f>
        <v>0</v>
      </c>
      <c r="N103" s="10"/>
      <c r="O103" s="10"/>
      <c r="P103" s="10"/>
      <c r="Q103" s="38">
        <f>SUM(N103:P103)</f>
        <v>0</v>
      </c>
      <c r="R103" s="38">
        <f>+E103+I103+M103+Q103</f>
        <v>0</v>
      </c>
      <c r="T103" t="s">
        <v>2799</v>
      </c>
    </row>
    <row r="104" spans="1:20" ht="15.75" customHeight="1" x14ac:dyDescent="0.3">
      <c r="A104" s="410" t="s">
        <v>436</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customHeight="1" x14ac:dyDescent="0.3">
      <c r="A105" s="410" t="s">
        <v>3288</v>
      </c>
      <c r="B105" s="10"/>
      <c r="C105" s="10"/>
      <c r="D105" s="10"/>
      <c r="E105" s="38">
        <f t="shared" si="10"/>
        <v>0</v>
      </c>
      <c r="F105" s="10"/>
      <c r="G105" s="10"/>
      <c r="H105" s="10"/>
      <c r="I105" s="38">
        <f t="shared" si="11"/>
        <v>0</v>
      </c>
      <c r="J105" s="10"/>
      <c r="K105" s="10"/>
      <c r="L105" s="10"/>
      <c r="M105" s="38">
        <f t="shared" si="12"/>
        <v>0</v>
      </c>
      <c r="N105" s="10"/>
      <c r="O105" s="10"/>
      <c r="P105" s="10"/>
      <c r="Q105" s="38">
        <f t="shared" si="13"/>
        <v>0</v>
      </c>
      <c r="R105" s="38">
        <f t="shared" si="14"/>
        <v>0</v>
      </c>
    </row>
    <row r="106" spans="1:20" ht="15.75" customHeight="1" x14ac:dyDescent="0.3">
      <c r="A106" s="410" t="s">
        <v>2261</v>
      </c>
      <c r="B106" s="10"/>
      <c r="C106" s="10"/>
      <c r="D106" s="10"/>
      <c r="E106" s="38">
        <f t="shared" si="10"/>
        <v>0</v>
      </c>
      <c r="F106" s="10"/>
      <c r="G106" s="10"/>
      <c r="H106" s="10"/>
      <c r="I106" s="38">
        <f t="shared" si="11"/>
        <v>0</v>
      </c>
      <c r="J106" s="10"/>
      <c r="K106" s="10"/>
      <c r="L106" s="10"/>
      <c r="M106" s="38">
        <f t="shared" si="12"/>
        <v>0</v>
      </c>
      <c r="N106" s="10"/>
      <c r="O106" s="10"/>
      <c r="P106" s="10"/>
      <c r="Q106" s="38">
        <f t="shared" ref="Q106" si="15">SUM(N106:P106)</f>
        <v>0</v>
      </c>
      <c r="R106" s="38">
        <f t="shared" si="14"/>
        <v>0</v>
      </c>
    </row>
    <row r="107" spans="1:20" ht="15.75" customHeight="1" thickBot="1" x14ac:dyDescent="0.35">
      <c r="A107" s="410" t="s">
        <v>3366</v>
      </c>
      <c r="B107" s="10">
        <v>200</v>
      </c>
      <c r="C107" s="10">
        <v>200</v>
      </c>
      <c r="D107" s="10">
        <v>1100</v>
      </c>
      <c r="E107" s="38">
        <f t="shared" si="10"/>
        <v>1500</v>
      </c>
      <c r="F107" s="10">
        <v>1700</v>
      </c>
      <c r="G107" s="10">
        <v>1200</v>
      </c>
      <c r="H107" s="10">
        <v>1300</v>
      </c>
      <c r="I107" s="38">
        <f t="shared" si="11"/>
        <v>4200</v>
      </c>
      <c r="J107" s="10">
        <v>1100</v>
      </c>
      <c r="K107" s="10">
        <v>1200</v>
      </c>
      <c r="L107" s="10">
        <v>900</v>
      </c>
      <c r="M107" s="38">
        <f t="shared" si="12"/>
        <v>3200</v>
      </c>
      <c r="N107" s="10">
        <v>300</v>
      </c>
      <c r="O107" s="10">
        <v>100</v>
      </c>
      <c r="P107" s="10">
        <v>200</v>
      </c>
      <c r="Q107" s="38">
        <f t="shared" si="13"/>
        <v>600</v>
      </c>
      <c r="R107" s="38">
        <f t="shared" si="14"/>
        <v>9500</v>
      </c>
    </row>
    <row r="108" spans="1:20" ht="16.5" customHeight="1" thickBot="1" x14ac:dyDescent="0.35">
      <c r="A108" s="43" t="s">
        <v>1220</v>
      </c>
      <c r="B108" s="42">
        <f>SUM(B97:B107)</f>
        <v>200</v>
      </c>
      <c r="C108" s="42">
        <f>SUM(C97:C107)</f>
        <v>200</v>
      </c>
      <c r="D108" s="42">
        <f>SUM(D97:D107)</f>
        <v>1100</v>
      </c>
      <c r="E108" s="37">
        <f t="shared" si="10"/>
        <v>1500</v>
      </c>
      <c r="F108" s="42">
        <f>SUM(F97:F107)</f>
        <v>1700</v>
      </c>
      <c r="G108" s="42">
        <f>SUM(G97:G107)</f>
        <v>1200</v>
      </c>
      <c r="H108" s="42">
        <f>SUM(H97:H107)</f>
        <v>1300</v>
      </c>
      <c r="I108" s="37">
        <f t="shared" si="11"/>
        <v>4200</v>
      </c>
      <c r="J108" s="42">
        <f>SUM(J97:J107)</f>
        <v>1100</v>
      </c>
      <c r="K108" s="42">
        <f>SUM(K97:K107)</f>
        <v>1200</v>
      </c>
      <c r="L108" s="42">
        <f>SUM(L97:L107)</f>
        <v>900</v>
      </c>
      <c r="M108" s="37">
        <f t="shared" si="12"/>
        <v>3200</v>
      </c>
      <c r="N108" s="42">
        <f>SUM(N97:N107)</f>
        <v>300</v>
      </c>
      <c r="O108" s="42">
        <f>SUM(O97:O107)</f>
        <v>100</v>
      </c>
      <c r="P108" s="42">
        <f>SUM(P97:P107)</f>
        <v>200</v>
      </c>
      <c r="Q108" s="37">
        <f t="shared" si="13"/>
        <v>600</v>
      </c>
      <c r="R108" s="37">
        <f t="shared" si="14"/>
        <v>9500</v>
      </c>
    </row>
    <row r="109" spans="1:20" ht="15.75" customHeight="1" x14ac:dyDescent="0.3">
      <c r="A109" s="235" t="s">
        <v>1712</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20" ht="15.75" customHeight="1" x14ac:dyDescent="0.3">
      <c r="A110" s="235" t="s">
        <v>1021</v>
      </c>
      <c r="B110" s="248"/>
      <c r="C110" s="248"/>
      <c r="D110" s="248"/>
      <c r="E110" s="38" t="s">
        <v>852</v>
      </c>
      <c r="F110" s="248"/>
      <c r="G110" s="248"/>
      <c r="H110" s="248"/>
      <c r="I110" s="38" t="s">
        <v>852</v>
      </c>
      <c r="J110" s="248"/>
      <c r="K110" s="248"/>
      <c r="L110" s="248"/>
      <c r="M110" s="38" t="s">
        <v>852</v>
      </c>
      <c r="N110" s="248"/>
      <c r="O110" s="248"/>
      <c r="P110" s="248"/>
      <c r="Q110" s="38" t="s">
        <v>852</v>
      </c>
      <c r="R110" s="38" t="s">
        <v>852</v>
      </c>
    </row>
    <row r="111" spans="1:20" ht="15.75" customHeight="1" x14ac:dyDescent="0.3">
      <c r="A111" s="422" t="s">
        <v>2751</v>
      </c>
      <c r="B111" s="10"/>
      <c r="C111" s="10"/>
      <c r="D111" s="10"/>
      <c r="E111" s="38">
        <f t="shared" ref="E111:E116" si="16">SUM(B111:D111)</f>
        <v>0</v>
      </c>
      <c r="F111" s="10"/>
      <c r="G111" s="10"/>
      <c r="H111" s="10"/>
      <c r="I111" s="38">
        <f t="shared" ref="I111:I116" si="17">SUM(F111:H111)</f>
        <v>0</v>
      </c>
      <c r="J111" s="10"/>
      <c r="K111" s="10"/>
      <c r="L111" s="10"/>
      <c r="M111" s="38">
        <f t="shared" ref="M111:M116" si="18">SUM(J111:L111)</f>
        <v>0</v>
      </c>
      <c r="N111" s="10"/>
      <c r="O111" s="10"/>
      <c r="P111" s="10"/>
      <c r="Q111" s="38">
        <f t="shared" ref="Q111:Q116" si="19">SUM(N111:P111)</f>
        <v>0</v>
      </c>
      <c r="R111" s="38">
        <f t="shared" ref="R111:R116" si="20">+E111+I111+M111+Q111</f>
        <v>0</v>
      </c>
    </row>
    <row r="112" spans="1:20" ht="15.75" customHeight="1" x14ac:dyDescent="0.3">
      <c r="A112" s="422" t="s">
        <v>3243</v>
      </c>
      <c r="B112" s="10"/>
      <c r="C112" s="10"/>
      <c r="D112" s="10"/>
      <c r="E112" s="38">
        <f t="shared" si="16"/>
        <v>0</v>
      </c>
      <c r="F112" s="10"/>
      <c r="G112" s="10"/>
      <c r="H112" s="10"/>
      <c r="I112" s="38">
        <f t="shared" si="17"/>
        <v>0</v>
      </c>
      <c r="J112" s="10"/>
      <c r="K112" s="10"/>
      <c r="L112" s="10"/>
      <c r="M112" s="38">
        <f t="shared" si="18"/>
        <v>0</v>
      </c>
      <c r="N112" s="10"/>
      <c r="O112" s="10"/>
      <c r="P112" s="10"/>
      <c r="Q112" s="38">
        <f t="shared" si="19"/>
        <v>0</v>
      </c>
      <c r="R112" s="38">
        <f t="shared" si="20"/>
        <v>0</v>
      </c>
    </row>
    <row r="113" spans="1:20" ht="15.75" customHeight="1" x14ac:dyDescent="0.3">
      <c r="A113" s="422" t="s">
        <v>320</v>
      </c>
      <c r="B113" s="10"/>
      <c r="C113" s="10"/>
      <c r="D113" s="10"/>
      <c r="E113" s="38">
        <f t="shared" si="16"/>
        <v>0</v>
      </c>
      <c r="F113" s="10"/>
      <c r="G113" s="10"/>
      <c r="H113" s="10"/>
      <c r="I113" s="38">
        <f t="shared" si="17"/>
        <v>0</v>
      </c>
      <c r="J113" s="10"/>
      <c r="K113" s="10"/>
      <c r="L113" s="10"/>
      <c r="M113" s="38">
        <f t="shared" si="18"/>
        <v>0</v>
      </c>
      <c r="N113" s="10"/>
      <c r="O113" s="10"/>
      <c r="P113" s="10"/>
      <c r="Q113" s="38">
        <f t="shared" si="19"/>
        <v>0</v>
      </c>
      <c r="R113" s="38">
        <f t="shared" si="20"/>
        <v>0</v>
      </c>
    </row>
    <row r="114" spans="1:20" ht="15.75" customHeight="1" x14ac:dyDescent="0.3">
      <c r="A114" s="422" t="s">
        <v>563</v>
      </c>
      <c r="B114" s="10"/>
      <c r="C114" s="10"/>
      <c r="D114" s="10"/>
      <c r="E114" s="38">
        <f t="shared" si="16"/>
        <v>0</v>
      </c>
      <c r="F114" s="10"/>
      <c r="G114" s="10"/>
      <c r="H114" s="10"/>
      <c r="I114" s="38">
        <f t="shared" si="17"/>
        <v>0</v>
      </c>
      <c r="J114" s="10"/>
      <c r="K114" s="10"/>
      <c r="L114" s="10"/>
      <c r="M114" s="38">
        <f t="shared" si="18"/>
        <v>0</v>
      </c>
      <c r="N114" s="10"/>
      <c r="O114" s="10"/>
      <c r="P114" s="10"/>
      <c r="Q114" s="38">
        <f t="shared" si="19"/>
        <v>0</v>
      </c>
      <c r="R114" s="38">
        <f t="shared" si="20"/>
        <v>0</v>
      </c>
    </row>
    <row r="115" spans="1:20" ht="15.75" customHeight="1" x14ac:dyDescent="0.3">
      <c r="A115" s="422" t="s">
        <v>2123</v>
      </c>
      <c r="B115" s="10"/>
      <c r="C115" s="10"/>
      <c r="D115" s="10"/>
      <c r="E115" s="38">
        <f t="shared" si="16"/>
        <v>0</v>
      </c>
      <c r="F115" s="10"/>
      <c r="G115" s="10"/>
      <c r="H115" s="10"/>
      <c r="I115" s="38">
        <f t="shared" si="17"/>
        <v>0</v>
      </c>
      <c r="J115" s="10"/>
      <c r="K115" s="10"/>
      <c r="L115" s="10"/>
      <c r="M115" s="38">
        <f t="shared" si="18"/>
        <v>0</v>
      </c>
      <c r="N115" s="10"/>
      <c r="O115" s="10"/>
      <c r="P115" s="10"/>
      <c r="Q115" s="38">
        <f t="shared" si="19"/>
        <v>0</v>
      </c>
      <c r="R115" s="38">
        <f t="shared" si="20"/>
        <v>0</v>
      </c>
    </row>
    <row r="116" spans="1:20" ht="15.75" customHeight="1" x14ac:dyDescent="0.3">
      <c r="A116" s="422" t="s">
        <v>2752</v>
      </c>
      <c r="B116" s="10"/>
      <c r="C116" s="10"/>
      <c r="D116" s="10"/>
      <c r="E116" s="38">
        <f t="shared" si="16"/>
        <v>0</v>
      </c>
      <c r="F116" s="10"/>
      <c r="G116" s="10"/>
      <c r="H116" s="10"/>
      <c r="I116" s="38">
        <f t="shared" si="17"/>
        <v>0</v>
      </c>
      <c r="J116" s="10"/>
      <c r="K116" s="10"/>
      <c r="L116" s="10"/>
      <c r="M116" s="38">
        <f t="shared" si="18"/>
        <v>0</v>
      </c>
      <c r="N116" s="10"/>
      <c r="O116" s="10"/>
      <c r="P116" s="10"/>
      <c r="Q116" s="38">
        <f t="shared" si="19"/>
        <v>0</v>
      </c>
      <c r="R116" s="38">
        <f t="shared" si="20"/>
        <v>0</v>
      </c>
    </row>
    <row r="117" spans="1:20" ht="15.75" customHeight="1" x14ac:dyDescent="0.3">
      <c r="A117" s="422" t="s">
        <v>2690</v>
      </c>
      <c r="B117" s="10"/>
      <c r="C117" s="10"/>
      <c r="D117" s="10"/>
      <c r="E117" s="38">
        <f>SUM(B117:D117)</f>
        <v>0</v>
      </c>
      <c r="F117" s="10"/>
      <c r="G117" s="10"/>
      <c r="H117" s="10"/>
      <c r="I117" s="38">
        <f>SUM(F117:H117)</f>
        <v>0</v>
      </c>
      <c r="J117" s="10"/>
      <c r="K117" s="10"/>
      <c r="L117" s="10"/>
      <c r="M117" s="38">
        <f>SUM(J117:L117)</f>
        <v>0</v>
      </c>
      <c r="N117" s="10"/>
      <c r="O117" s="10"/>
      <c r="P117" s="10"/>
      <c r="Q117" s="38">
        <f>SUM(N117:P117)</f>
        <v>0</v>
      </c>
      <c r="R117" s="38">
        <f>+E117+I117+M117+Q117</f>
        <v>0</v>
      </c>
    </row>
    <row r="118" spans="1:20" ht="15.75" customHeight="1" x14ac:dyDescent="0.3">
      <c r="A118" s="618" t="s">
        <v>2503</v>
      </c>
      <c r="B118" s="10"/>
      <c r="C118" s="10"/>
      <c r="D118" s="10"/>
      <c r="E118" s="38">
        <f>SUM(B118:D118)</f>
        <v>0</v>
      </c>
      <c r="F118" s="10"/>
      <c r="G118" s="10"/>
      <c r="H118" s="10"/>
      <c r="I118" s="38">
        <f>SUM(F118:H118)</f>
        <v>0</v>
      </c>
      <c r="J118" s="10"/>
      <c r="K118" s="10"/>
      <c r="L118" s="10"/>
      <c r="M118" s="38">
        <f>SUM(J118:L118)</f>
        <v>0</v>
      </c>
      <c r="N118" s="10"/>
      <c r="O118" s="10"/>
      <c r="P118" s="10"/>
      <c r="Q118" s="38">
        <f>SUM(N118:P118)</f>
        <v>0</v>
      </c>
      <c r="R118" s="38">
        <f>+E118+I118+M118+Q118</f>
        <v>0</v>
      </c>
      <c r="T118" t="s">
        <v>2811</v>
      </c>
    </row>
    <row r="119" spans="1:20" ht="15.75" customHeight="1" x14ac:dyDescent="0.3">
      <c r="A119" s="235" t="s">
        <v>557</v>
      </c>
      <c r="B119" s="248"/>
      <c r="C119" s="248"/>
      <c r="D119" s="248"/>
      <c r="E119" s="38" t="s">
        <v>852</v>
      </c>
      <c r="F119" s="248"/>
      <c r="G119" s="248"/>
      <c r="H119" s="248"/>
      <c r="I119" s="38" t="s">
        <v>852</v>
      </c>
      <c r="J119" s="248"/>
      <c r="K119" s="248"/>
      <c r="L119" s="248"/>
      <c r="M119" s="38" t="s">
        <v>852</v>
      </c>
      <c r="N119" s="248"/>
      <c r="O119" s="248"/>
      <c r="P119" s="248"/>
      <c r="Q119" s="38" t="s">
        <v>852</v>
      </c>
      <c r="R119" s="38" t="s">
        <v>852</v>
      </c>
    </row>
    <row r="120" spans="1:20" ht="15.75" customHeight="1" x14ac:dyDescent="0.3">
      <c r="A120" s="422" t="s">
        <v>2606</v>
      </c>
      <c r="B120" s="10"/>
      <c r="C120" s="10"/>
      <c r="D120" s="10"/>
      <c r="E120" s="38">
        <f>SUM(B120:D120)</f>
        <v>0</v>
      </c>
      <c r="F120" s="10"/>
      <c r="G120" s="10"/>
      <c r="H120" s="10"/>
      <c r="I120" s="38">
        <f>SUM(F120:H120)</f>
        <v>0</v>
      </c>
      <c r="J120" s="10"/>
      <c r="K120" s="10"/>
      <c r="L120" s="10"/>
      <c r="M120" s="38">
        <f>SUM(J120:L120)</f>
        <v>0</v>
      </c>
      <c r="N120" s="10"/>
      <c r="O120" s="10"/>
      <c r="P120" s="10"/>
      <c r="Q120" s="38">
        <f>SUM(N120:P120)</f>
        <v>0</v>
      </c>
      <c r="R120" s="38">
        <f>+E120+I120+M120+Q120</f>
        <v>0</v>
      </c>
    </row>
    <row r="121" spans="1:20" ht="15.75" customHeight="1" x14ac:dyDescent="0.3">
      <c r="A121" s="422" t="s">
        <v>2548</v>
      </c>
      <c r="B121" s="10"/>
      <c r="C121" s="10"/>
      <c r="D121" s="10"/>
      <c r="E121" s="38">
        <f>SUM(B121:D121)</f>
        <v>0</v>
      </c>
      <c r="F121" s="10"/>
      <c r="G121" s="10"/>
      <c r="H121" s="10"/>
      <c r="I121" s="38">
        <f>SUM(F121:H121)</f>
        <v>0</v>
      </c>
      <c r="J121" s="10"/>
      <c r="K121" s="10"/>
      <c r="L121" s="10"/>
      <c r="M121" s="38">
        <f>SUM(J121:L121)</f>
        <v>0</v>
      </c>
      <c r="N121" s="10"/>
      <c r="O121" s="10"/>
      <c r="P121" s="10"/>
      <c r="Q121" s="38">
        <f>SUM(N121:P121)</f>
        <v>0</v>
      </c>
      <c r="R121" s="38">
        <f>+E121+I121+M121+Q121</f>
        <v>0</v>
      </c>
    </row>
    <row r="122" spans="1:20" ht="15.75" customHeight="1" x14ac:dyDescent="0.3">
      <c r="A122" s="235" t="s">
        <v>1022</v>
      </c>
      <c r="B122" s="248"/>
      <c r="C122" s="248"/>
      <c r="D122" s="248"/>
      <c r="E122" s="38" t="s">
        <v>852</v>
      </c>
      <c r="F122" s="248"/>
      <c r="G122" s="248"/>
      <c r="H122" s="248"/>
      <c r="I122" s="38" t="s">
        <v>852</v>
      </c>
      <c r="J122" s="248"/>
      <c r="K122" s="248"/>
      <c r="L122" s="248"/>
      <c r="M122" s="38" t="s">
        <v>852</v>
      </c>
      <c r="N122" s="248"/>
      <c r="O122" s="248"/>
      <c r="P122" s="248"/>
      <c r="Q122" s="38" t="s">
        <v>852</v>
      </c>
      <c r="R122" s="38" t="s">
        <v>852</v>
      </c>
    </row>
    <row r="123" spans="1:20" ht="15.75" customHeight="1" x14ac:dyDescent="0.3">
      <c r="A123" s="422" t="s">
        <v>3244</v>
      </c>
      <c r="B123" s="10"/>
      <c r="C123" s="10"/>
      <c r="D123" s="10"/>
      <c r="E123" s="38">
        <f>SUM(B123:D123)</f>
        <v>0</v>
      </c>
      <c r="F123" s="10"/>
      <c r="G123" s="10"/>
      <c r="H123" s="10"/>
      <c r="I123" s="38">
        <f>SUM(F123:H123)</f>
        <v>0</v>
      </c>
      <c r="J123" s="10"/>
      <c r="K123" s="10"/>
      <c r="L123" s="10"/>
      <c r="M123" s="38">
        <f>SUM(J123:L123)</f>
        <v>0</v>
      </c>
      <c r="N123" s="10"/>
      <c r="O123" s="10"/>
      <c r="P123" s="10"/>
      <c r="Q123" s="38">
        <f>SUM(N123:P123)</f>
        <v>0</v>
      </c>
      <c r="R123" s="38">
        <f>+E123+I123+M123+Q123</f>
        <v>0</v>
      </c>
      <c r="T123" t="s">
        <v>2774</v>
      </c>
    </row>
    <row r="124" spans="1:20" ht="15.75" customHeight="1" x14ac:dyDescent="0.3">
      <c r="A124" s="235" t="s">
        <v>559</v>
      </c>
      <c r="B124" s="248"/>
      <c r="C124" s="248"/>
      <c r="D124" s="248"/>
      <c r="E124" s="38" t="s">
        <v>852</v>
      </c>
      <c r="F124" s="248"/>
      <c r="G124" s="248"/>
      <c r="H124" s="248"/>
      <c r="I124" s="38" t="s">
        <v>852</v>
      </c>
      <c r="J124" s="248"/>
      <c r="K124" s="248"/>
      <c r="L124" s="248"/>
      <c r="M124" s="38" t="s">
        <v>852</v>
      </c>
      <c r="N124" s="248"/>
      <c r="O124" s="248"/>
      <c r="P124" s="248"/>
      <c r="Q124" s="38" t="s">
        <v>852</v>
      </c>
      <c r="R124" s="38" t="s">
        <v>852</v>
      </c>
    </row>
    <row r="125" spans="1:20" ht="15.75" customHeight="1" x14ac:dyDescent="0.3">
      <c r="A125" s="422" t="s">
        <v>3236</v>
      </c>
      <c r="B125" s="10"/>
      <c r="C125" s="10"/>
      <c r="D125" s="10"/>
      <c r="E125" s="38">
        <f t="shared" ref="E125:E130" si="21">SUM(B125:D125)</f>
        <v>0</v>
      </c>
      <c r="F125" s="10"/>
      <c r="G125" s="10"/>
      <c r="H125" s="10"/>
      <c r="I125" s="38">
        <f t="shared" ref="I125:I130" si="22">SUM(F125:H125)</f>
        <v>0</v>
      </c>
      <c r="J125" s="10"/>
      <c r="K125" s="10"/>
      <c r="L125" s="10"/>
      <c r="M125" s="38">
        <f t="shared" ref="M125:M130" si="23">SUM(J125:L125)</f>
        <v>0</v>
      </c>
      <c r="N125" s="10"/>
      <c r="O125" s="10"/>
      <c r="P125" s="10"/>
      <c r="Q125" s="38">
        <f t="shared" ref="Q125:Q130" si="24">SUM(N125:P125)</f>
        <v>0</v>
      </c>
      <c r="R125" s="38">
        <f t="shared" ref="R125:R130" si="25">+E125+I125+M125+Q125</f>
        <v>0</v>
      </c>
    </row>
    <row r="126" spans="1:20" ht="15.75" customHeight="1" thickBot="1" x14ac:dyDescent="0.35">
      <c r="A126" s="422" t="s">
        <v>3237</v>
      </c>
      <c r="B126" s="10"/>
      <c r="C126" s="10"/>
      <c r="D126" s="10"/>
      <c r="E126" s="38">
        <f t="shared" si="21"/>
        <v>0</v>
      </c>
      <c r="F126" s="10"/>
      <c r="G126" s="10"/>
      <c r="H126" s="10"/>
      <c r="I126" s="38">
        <f t="shared" si="22"/>
        <v>0</v>
      </c>
      <c r="J126" s="10"/>
      <c r="K126" s="10"/>
      <c r="L126" s="10"/>
      <c r="M126" s="38">
        <f t="shared" si="23"/>
        <v>0</v>
      </c>
      <c r="N126" s="10"/>
      <c r="O126" s="10"/>
      <c r="P126" s="10"/>
      <c r="Q126" s="38">
        <f t="shared" si="24"/>
        <v>0</v>
      </c>
      <c r="R126" s="38">
        <f t="shared" si="25"/>
        <v>0</v>
      </c>
    </row>
    <row r="127" spans="1:20" ht="16.5" customHeight="1" thickBot="1" x14ac:dyDescent="0.35">
      <c r="A127" s="43" t="s">
        <v>1019</v>
      </c>
      <c r="B127" s="42">
        <f>SUM(B122:B126)</f>
        <v>0</v>
      </c>
      <c r="C127" s="42">
        <f>SUM(C122:C126)</f>
        <v>0</v>
      </c>
      <c r="D127" s="42">
        <f>SUM(D122:D126)</f>
        <v>0</v>
      </c>
      <c r="E127" s="39">
        <f t="shared" si="21"/>
        <v>0</v>
      </c>
      <c r="F127" s="42">
        <f>SUM(F122:F126)</f>
        <v>0</v>
      </c>
      <c r="G127" s="42">
        <f>SUM(G122:G126)</f>
        <v>0</v>
      </c>
      <c r="H127" s="42">
        <f>SUM(H122:H126)</f>
        <v>0</v>
      </c>
      <c r="I127" s="39">
        <f t="shared" si="22"/>
        <v>0</v>
      </c>
      <c r="J127" s="42">
        <f>SUM(J122:J126)</f>
        <v>0</v>
      </c>
      <c r="K127" s="42">
        <f>SUM(K122:K126)</f>
        <v>0</v>
      </c>
      <c r="L127" s="42">
        <f>SUM(L122:L126)</f>
        <v>0</v>
      </c>
      <c r="M127" s="39">
        <f t="shared" si="23"/>
        <v>0</v>
      </c>
      <c r="N127" s="42">
        <f>SUM(N122:N126)</f>
        <v>0</v>
      </c>
      <c r="O127" s="42">
        <f>SUM(O122:O126)</f>
        <v>0</v>
      </c>
      <c r="P127" s="42">
        <f>SUM(P122:P126)</f>
        <v>0</v>
      </c>
      <c r="Q127" s="39">
        <f t="shared" si="24"/>
        <v>0</v>
      </c>
      <c r="R127" s="37">
        <f t="shared" si="25"/>
        <v>0</v>
      </c>
    </row>
    <row r="128" spans="1:20" ht="16.5" customHeight="1" thickBot="1" x14ac:dyDescent="0.35">
      <c r="A128" s="43" t="s">
        <v>1221</v>
      </c>
      <c r="B128" s="42">
        <f>SUM(B109:B126)</f>
        <v>0</v>
      </c>
      <c r="C128" s="42">
        <f>SUM(C109:C126)</f>
        <v>0</v>
      </c>
      <c r="D128" s="42">
        <f>SUM(D109:D126)</f>
        <v>0</v>
      </c>
      <c r="E128" s="39">
        <f t="shared" si="21"/>
        <v>0</v>
      </c>
      <c r="F128" s="42">
        <f>SUM(F109:F126)</f>
        <v>0</v>
      </c>
      <c r="G128" s="42">
        <f>SUM(G109:G126)</f>
        <v>0</v>
      </c>
      <c r="H128" s="42">
        <f>SUM(H109:H126)</f>
        <v>0</v>
      </c>
      <c r="I128" s="39">
        <f t="shared" si="22"/>
        <v>0</v>
      </c>
      <c r="J128" s="42">
        <f>SUM(J109:J126)</f>
        <v>0</v>
      </c>
      <c r="K128" s="42">
        <f>SUM(K109:K126)</f>
        <v>0</v>
      </c>
      <c r="L128" s="42">
        <f>SUM(L109:L126)</f>
        <v>0</v>
      </c>
      <c r="M128" s="39">
        <f t="shared" si="23"/>
        <v>0</v>
      </c>
      <c r="N128" s="42">
        <f>SUM(N109:N126)</f>
        <v>0</v>
      </c>
      <c r="O128" s="42">
        <f>SUM(O109:O126)</f>
        <v>0</v>
      </c>
      <c r="P128" s="42">
        <f>SUM(P109:P126)</f>
        <v>0</v>
      </c>
      <c r="Q128" s="39">
        <f t="shared" si="24"/>
        <v>0</v>
      </c>
      <c r="R128" s="37">
        <f t="shared" si="25"/>
        <v>0</v>
      </c>
    </row>
    <row r="129" spans="1:20" ht="16.5" customHeight="1" thickBot="1" x14ac:dyDescent="0.35">
      <c r="A129" s="43" t="s">
        <v>1222</v>
      </c>
      <c r="B129" s="42">
        <f>+B89+B96+B108+B128</f>
        <v>800</v>
      </c>
      <c r="C129" s="42">
        <f>+C89+C96+C108+C128</f>
        <v>800</v>
      </c>
      <c r="D129" s="42">
        <f>+D89+D96+D108+D128</f>
        <v>3250</v>
      </c>
      <c r="E129" s="37">
        <f t="shared" si="21"/>
        <v>4850</v>
      </c>
      <c r="F129" s="42">
        <f>+F89+F96+F108+F128</f>
        <v>4991</v>
      </c>
      <c r="G129" s="42">
        <f>+G89+G96+G108+G128</f>
        <v>6612</v>
      </c>
      <c r="H129" s="42">
        <f>+H89+H96+H108+H128</f>
        <v>6668</v>
      </c>
      <c r="I129" s="37">
        <f t="shared" si="22"/>
        <v>18271</v>
      </c>
      <c r="J129" s="42">
        <f>+J89+J96+J108+J128</f>
        <v>6147</v>
      </c>
      <c r="K129" s="42">
        <f>+K89+K96+K108+K128</f>
        <v>5197</v>
      </c>
      <c r="L129" s="42">
        <f>+L89+L96+L108+L128</f>
        <v>3101</v>
      </c>
      <c r="M129" s="37">
        <f t="shared" si="23"/>
        <v>14445</v>
      </c>
      <c r="N129" s="42">
        <f>+N89+N96+N108+N128</f>
        <v>2037</v>
      </c>
      <c r="O129" s="42">
        <f>+O89+O96+O108+O128</f>
        <v>748</v>
      </c>
      <c r="P129" s="42">
        <f>+P89+P96+P108+P128</f>
        <v>800</v>
      </c>
      <c r="Q129" s="37">
        <f t="shared" si="24"/>
        <v>3585</v>
      </c>
      <c r="R129" s="37">
        <f t="shared" si="25"/>
        <v>41151</v>
      </c>
    </row>
    <row r="130" spans="1:20" ht="16.5" customHeight="1" thickBot="1" x14ac:dyDescent="0.35">
      <c r="A130" s="312" t="s">
        <v>853</v>
      </c>
      <c r="B130" s="294">
        <v>173</v>
      </c>
      <c r="C130" s="294">
        <v>260</v>
      </c>
      <c r="D130" s="294">
        <v>471</v>
      </c>
      <c r="E130" s="38">
        <f t="shared" si="21"/>
        <v>904</v>
      </c>
      <c r="F130" s="294">
        <v>629</v>
      </c>
      <c r="G130" s="294">
        <v>725</v>
      </c>
      <c r="H130" s="294">
        <v>712</v>
      </c>
      <c r="I130" s="38">
        <f t="shared" si="22"/>
        <v>2066</v>
      </c>
      <c r="J130" s="294">
        <v>711</v>
      </c>
      <c r="K130" s="294">
        <v>573</v>
      </c>
      <c r="L130" s="294">
        <v>542</v>
      </c>
      <c r="M130" s="38">
        <f t="shared" si="23"/>
        <v>1826</v>
      </c>
      <c r="N130" s="294">
        <v>490</v>
      </c>
      <c r="O130" s="294">
        <v>407</v>
      </c>
      <c r="P130" s="294">
        <v>323</v>
      </c>
      <c r="Q130" s="38">
        <f t="shared" si="24"/>
        <v>1220</v>
      </c>
      <c r="R130" s="38">
        <f t="shared" si="25"/>
        <v>6016</v>
      </c>
    </row>
    <row r="131" spans="1:20" ht="16.5" customHeight="1" thickBot="1" x14ac:dyDescent="0.35">
      <c r="A131" s="44"/>
      <c r="B131" s="313"/>
      <c r="C131" s="313"/>
      <c r="D131" s="313"/>
      <c r="E131" s="37" t="s">
        <v>852</v>
      </c>
      <c r="F131" s="313"/>
      <c r="G131" s="313"/>
      <c r="H131" s="313"/>
      <c r="I131" s="37" t="s">
        <v>852</v>
      </c>
      <c r="J131" s="313"/>
      <c r="K131" s="313"/>
      <c r="L131" s="313"/>
      <c r="M131" s="37" t="s">
        <v>852</v>
      </c>
      <c r="N131" s="313"/>
      <c r="O131" s="313"/>
      <c r="P131" s="313"/>
      <c r="Q131" s="37" t="s">
        <v>852</v>
      </c>
      <c r="R131" s="37" t="s">
        <v>852</v>
      </c>
    </row>
    <row r="132" spans="1:20" ht="15.75" customHeight="1" x14ac:dyDescent="0.3">
      <c r="A132" s="259" t="s">
        <v>2011</v>
      </c>
      <c r="B132" s="741">
        <f>+B129+B130</f>
        <v>973</v>
      </c>
      <c r="C132" s="741">
        <f>+C129+C130</f>
        <v>1060</v>
      </c>
      <c r="D132" s="741">
        <f>+D129+D130</f>
        <v>3721</v>
      </c>
      <c r="E132" s="38">
        <f>SUM(B132:D132)</f>
        <v>5754</v>
      </c>
      <c r="F132" s="741">
        <f>+F129+F130</f>
        <v>5620</v>
      </c>
      <c r="G132" s="741">
        <f>+G129+G130</f>
        <v>7337</v>
      </c>
      <c r="H132" s="741">
        <f>+H129+H130</f>
        <v>7380</v>
      </c>
      <c r="I132" s="38">
        <f>SUM(F132:H132)</f>
        <v>20337</v>
      </c>
      <c r="J132" s="741">
        <f>+J129+J130</f>
        <v>6858</v>
      </c>
      <c r="K132" s="741">
        <f>+K129+K130</f>
        <v>5770</v>
      </c>
      <c r="L132" s="741">
        <f>+L129+L130</f>
        <v>3643</v>
      </c>
      <c r="M132" s="38">
        <f>SUM(J132:L132)</f>
        <v>16271</v>
      </c>
      <c r="N132" s="741">
        <f>+N129+N130</f>
        <v>2527</v>
      </c>
      <c r="O132" s="741">
        <f>+O129+O130</f>
        <v>1155</v>
      </c>
      <c r="P132" s="741">
        <f>+P129+P130</f>
        <v>1123</v>
      </c>
      <c r="Q132" s="38">
        <f>SUM(N132:P132)</f>
        <v>4805</v>
      </c>
      <c r="R132" s="38">
        <f>+E132+I132+M132+Q132</f>
        <v>47167</v>
      </c>
    </row>
    <row r="133" spans="1:20" ht="15.75" customHeight="1" x14ac:dyDescent="0.3">
      <c r="A133" s="261" t="s">
        <v>1897</v>
      </c>
      <c r="B133" s="10">
        <f>(B132/B10)/1.983</f>
        <v>15.828087127682071</v>
      </c>
      <c r="C133" s="10">
        <f>(C132/C10)/1.983</f>
        <v>19.090843599164323</v>
      </c>
      <c r="D133" s="10">
        <f>(D132/D10)/1.983</f>
        <v>60.530639467733799</v>
      </c>
      <c r="E133" s="38" t="s">
        <v>852</v>
      </c>
      <c r="F133" s="10">
        <f>(F132/F10)/1.983</f>
        <v>94.469658766179194</v>
      </c>
      <c r="G133" s="10">
        <f>(G132/G10)/1.983</f>
        <v>119.35321197924291</v>
      </c>
      <c r="H133" s="10">
        <f>(H132/H10)/1.983</f>
        <v>124.05446293494704</v>
      </c>
      <c r="I133" s="38" t="s">
        <v>852</v>
      </c>
      <c r="J133" s="10">
        <f>(J132/J10)/1.983</f>
        <v>111.56117319798935</v>
      </c>
      <c r="K133" s="10">
        <f>(K132/K10)/1.983</f>
        <v>93.862346070632626</v>
      </c>
      <c r="L133" s="10">
        <f>(L132/L10)/1.983</f>
        <v>61.237182719784833</v>
      </c>
      <c r="M133" s="38" t="s">
        <v>852</v>
      </c>
      <c r="N133" s="10">
        <f>(N132/N10)/1.983</f>
        <v>41.107478079807393</v>
      </c>
      <c r="O133" s="10">
        <f>(O132/O10)/1.983</f>
        <v>19.415027735753906</v>
      </c>
      <c r="P133" s="10">
        <f>(P132/P10)/1.983</f>
        <v>18.268182779431619</v>
      </c>
      <c r="Q133" s="38" t="s">
        <v>852</v>
      </c>
      <c r="R133" s="38" t="s">
        <v>852</v>
      </c>
    </row>
    <row r="134" spans="1:20" ht="15.75" customHeight="1" x14ac:dyDescent="0.3">
      <c r="A134" s="262" t="s">
        <v>1679</v>
      </c>
      <c r="B134" s="10">
        <f>B132+B322</f>
        <v>123038</v>
      </c>
      <c r="C134" s="10">
        <f>C132+C322</f>
        <v>135183</v>
      </c>
      <c r="D134" s="10">
        <f>D132+D322</f>
        <v>144439</v>
      </c>
      <c r="E134" s="38">
        <f>SUM(B134:D134)</f>
        <v>402660</v>
      </c>
      <c r="F134" s="10">
        <f>F132+F322</f>
        <v>146352</v>
      </c>
      <c r="G134" s="10">
        <f>G132+G322</f>
        <v>172153</v>
      </c>
      <c r="H134" s="10">
        <f>H132+H322</f>
        <v>73819</v>
      </c>
      <c r="I134" s="38">
        <f>SUM(F134:H134)</f>
        <v>392324</v>
      </c>
      <c r="J134" s="10">
        <f>J132+J322</f>
        <v>51082</v>
      </c>
      <c r="K134" s="10">
        <f>K132+K322</f>
        <v>51595</v>
      </c>
      <c r="L134" s="10">
        <f>L132+L322</f>
        <v>129775</v>
      </c>
      <c r="M134" s="38">
        <f>SUM(J134:L134)</f>
        <v>232452</v>
      </c>
      <c r="N134" s="10">
        <f>N132+N322</f>
        <v>143982</v>
      </c>
      <c r="O134" s="10">
        <f>O132+O322</f>
        <v>138313</v>
      </c>
      <c r="P134" s="10">
        <f>P132+P322</f>
        <v>107615</v>
      </c>
      <c r="Q134" s="38">
        <f>SUM(N134:P134)</f>
        <v>389910</v>
      </c>
      <c r="R134" s="38">
        <f>+E134+I134+M134+Q134</f>
        <v>1417346</v>
      </c>
    </row>
    <row r="135" spans="1:20" ht="16.5" customHeight="1" thickBot="1" x14ac:dyDescent="0.35">
      <c r="A135" s="263" t="s">
        <v>6</v>
      </c>
      <c r="B135" s="315">
        <f>(B134/B10)/1.983</f>
        <v>2001.4965919997396</v>
      </c>
      <c r="C135" s="315">
        <f>(C134/C10)/1.983</f>
        <v>2434.6768964771986</v>
      </c>
      <c r="D135" s="315">
        <f>(D134/D10)/1.983</f>
        <v>2349.63317228702</v>
      </c>
      <c r="E135" s="40" t="s">
        <v>852</v>
      </c>
      <c r="F135" s="315">
        <f>(F134/F10)/1.983</f>
        <v>2460.1109430156325</v>
      </c>
      <c r="G135" s="315">
        <f>(G134/G10)/1.983</f>
        <v>2800.4652449042665</v>
      </c>
      <c r="H135" s="315">
        <f>(H134/H10)/1.983</f>
        <v>1240.8640107581105</v>
      </c>
      <c r="I135" s="40" t="s">
        <v>852</v>
      </c>
      <c r="J135" s="315">
        <f>(J134/J10)/1.983</f>
        <v>830.9664405511362</v>
      </c>
      <c r="K135" s="315">
        <f>(K134/K10)/1.983</f>
        <v>839.31156768011965</v>
      </c>
      <c r="L135" s="315">
        <f>(L134/L10)/1.983</f>
        <v>2181.4590687510504</v>
      </c>
      <c r="M135" s="40" t="s">
        <v>852</v>
      </c>
      <c r="N135" s="315">
        <f>(N134/N10)/1.983</f>
        <v>2342.1990142013569</v>
      </c>
      <c r="O135" s="315">
        <f>(O134/O10)/1.983</f>
        <v>2324.9789880652211</v>
      </c>
      <c r="P135" s="315">
        <f>(P134/P10)/1.983</f>
        <v>1750.605957086851</v>
      </c>
      <c r="Q135" s="40" t="s">
        <v>852</v>
      </c>
      <c r="R135" s="40" t="s">
        <v>852</v>
      </c>
    </row>
    <row r="136" spans="1:20" ht="15.75" customHeight="1" x14ac:dyDescent="0.3">
      <c r="A136" s="18"/>
      <c r="B136" s="10"/>
      <c r="C136" s="10"/>
      <c r="D136" s="10"/>
      <c r="E136" s="10"/>
      <c r="F136" s="10"/>
      <c r="G136" s="10"/>
      <c r="H136" s="10"/>
      <c r="I136" s="10"/>
      <c r="J136" s="10"/>
      <c r="K136" s="10"/>
      <c r="L136" s="10"/>
      <c r="M136" s="10"/>
      <c r="N136" s="10"/>
      <c r="O136" s="10"/>
      <c r="P136" s="10"/>
      <c r="Q136" s="10"/>
      <c r="R136" s="17"/>
    </row>
    <row r="137" spans="1:20" ht="15.75" customHeight="1" thickBot="1" x14ac:dyDescent="0.35">
      <c r="A137" s="18" t="s">
        <v>852</v>
      </c>
      <c r="B137" s="10"/>
      <c r="C137" s="10"/>
      <c r="D137" s="10"/>
      <c r="E137" s="10"/>
      <c r="F137" s="10"/>
      <c r="G137" s="10"/>
      <c r="H137" s="10"/>
      <c r="I137" s="10"/>
      <c r="J137" s="10"/>
      <c r="K137" s="10"/>
      <c r="L137" s="10"/>
      <c r="M137" s="10"/>
      <c r="N137" s="10"/>
      <c r="O137" s="10"/>
      <c r="P137" s="10"/>
      <c r="Q137" s="10"/>
      <c r="R137" s="17"/>
    </row>
    <row r="138" spans="1:20" ht="16.5" customHeight="1" thickBot="1" x14ac:dyDescent="0.35">
      <c r="A138" s="240" t="s">
        <v>1446</v>
      </c>
      <c r="B138" s="4" t="s">
        <v>2090</v>
      </c>
      <c r="C138" s="5" t="s">
        <v>2091</v>
      </c>
      <c r="D138" s="5" t="s">
        <v>2234</v>
      </c>
      <c r="E138" s="33" t="s">
        <v>1594</v>
      </c>
      <c r="F138" s="5" t="s">
        <v>2235</v>
      </c>
      <c r="G138" s="5" t="s">
        <v>2236</v>
      </c>
      <c r="H138" s="5" t="s">
        <v>2237</v>
      </c>
      <c r="I138" s="35" t="s">
        <v>1595</v>
      </c>
      <c r="J138" s="5" t="s">
        <v>1504</v>
      </c>
      <c r="K138" s="5" t="s">
        <v>1505</v>
      </c>
      <c r="L138" s="5" t="s">
        <v>1506</v>
      </c>
      <c r="M138" s="35" t="s">
        <v>1596</v>
      </c>
      <c r="N138" s="5" t="s">
        <v>1507</v>
      </c>
      <c r="O138" s="5" t="s">
        <v>1508</v>
      </c>
      <c r="P138" s="5" t="s">
        <v>1509</v>
      </c>
      <c r="Q138" s="35" t="s">
        <v>1597</v>
      </c>
      <c r="R138" s="36" t="s">
        <v>1510</v>
      </c>
    </row>
    <row r="139" spans="1:20" ht="16.5" customHeight="1" thickBot="1" x14ac:dyDescent="0.35">
      <c r="A139" s="44"/>
      <c r="B139" s="313"/>
      <c r="C139" s="313"/>
      <c r="D139" s="313"/>
      <c r="E139" s="316"/>
      <c r="F139" s="313"/>
      <c r="G139" s="313"/>
      <c r="H139" s="313"/>
      <c r="I139" s="316"/>
      <c r="J139" s="313"/>
      <c r="K139" s="313"/>
      <c r="L139" s="313"/>
      <c r="M139" s="316"/>
      <c r="N139" s="313"/>
      <c r="O139" s="313"/>
      <c r="P139" s="313"/>
      <c r="Q139" s="316"/>
      <c r="R139" s="44"/>
    </row>
    <row r="140" spans="1:20" ht="15.75" customHeight="1" x14ac:dyDescent="0.3">
      <c r="A140" s="234" t="s">
        <v>2417</v>
      </c>
      <c r="B140" s="10" t="s">
        <v>852</v>
      </c>
      <c r="C140" s="10" t="s">
        <v>852</v>
      </c>
      <c r="D140" s="10" t="s">
        <v>852</v>
      </c>
      <c r="E140" s="38" t="s">
        <v>852</v>
      </c>
      <c r="F140" s="10" t="s">
        <v>852</v>
      </c>
      <c r="G140" s="10" t="s">
        <v>852</v>
      </c>
      <c r="H140" s="10" t="s">
        <v>852</v>
      </c>
      <c r="I140" s="38" t="s">
        <v>852</v>
      </c>
      <c r="J140" s="10" t="s">
        <v>852</v>
      </c>
      <c r="K140" s="10" t="s">
        <v>852</v>
      </c>
      <c r="L140" s="10" t="s">
        <v>852</v>
      </c>
      <c r="M140" s="38" t="s">
        <v>852</v>
      </c>
      <c r="N140" s="10" t="s">
        <v>852</v>
      </c>
      <c r="O140" s="10" t="s">
        <v>852</v>
      </c>
      <c r="P140" s="10" t="s">
        <v>852</v>
      </c>
      <c r="Q140" s="38" t="s">
        <v>852</v>
      </c>
      <c r="R140" s="48" t="s">
        <v>852</v>
      </c>
    </row>
    <row r="141" spans="1:20" ht="15.75" customHeight="1" x14ac:dyDescent="0.3">
      <c r="A141" s="234" t="s">
        <v>2160</v>
      </c>
      <c r="B141" s="10"/>
      <c r="C141" s="10"/>
      <c r="D141" s="10"/>
      <c r="E141" s="38" t="s">
        <v>852</v>
      </c>
      <c r="F141" s="10"/>
      <c r="G141" s="10"/>
      <c r="H141" s="10"/>
      <c r="I141" s="38" t="s">
        <v>852</v>
      </c>
      <c r="J141" s="10"/>
      <c r="K141" s="10"/>
      <c r="L141" s="10"/>
      <c r="M141" s="38" t="s">
        <v>852</v>
      </c>
      <c r="N141" s="10"/>
      <c r="O141" s="10"/>
      <c r="P141" s="10"/>
      <c r="Q141" s="38" t="s">
        <v>852</v>
      </c>
      <c r="R141" s="48"/>
    </row>
    <row r="142" spans="1:20" ht="15.75" customHeight="1" x14ac:dyDescent="0.3">
      <c r="A142" s="569" t="s">
        <v>2730</v>
      </c>
      <c r="B142" s="10"/>
      <c r="C142" s="10"/>
      <c r="D142" s="10">
        <v>599</v>
      </c>
      <c r="E142" s="38">
        <f t="shared" ref="E142:E146" si="26">SUM(B142:D142)</f>
        <v>599</v>
      </c>
      <c r="F142" s="10">
        <v>599</v>
      </c>
      <c r="G142" s="10">
        <v>599</v>
      </c>
      <c r="H142" s="10">
        <v>598</v>
      </c>
      <c r="I142" s="38">
        <f t="shared" ref="I142:I191" si="27">SUM(F142:H142)</f>
        <v>1796</v>
      </c>
      <c r="J142" s="10">
        <v>598</v>
      </c>
      <c r="K142" s="10">
        <v>598</v>
      </c>
      <c r="L142" s="10">
        <v>598</v>
      </c>
      <c r="M142" s="38">
        <f t="shared" ref="M142:M191" si="28">SUM(J142:L142)</f>
        <v>1794</v>
      </c>
      <c r="N142" s="10"/>
      <c r="O142" s="10"/>
      <c r="P142" s="10"/>
      <c r="Q142" s="38">
        <f t="shared" ref="Q142:Q197" si="29">SUM(N142:P142)</f>
        <v>0</v>
      </c>
      <c r="R142" s="38">
        <f>+E142+I142+M142+Q142</f>
        <v>4189</v>
      </c>
      <c r="T142" t="s">
        <v>2764</v>
      </c>
    </row>
    <row r="143" spans="1:20" ht="15.75" customHeight="1" x14ac:dyDescent="0.3">
      <c r="A143" s="569" t="s">
        <v>2733</v>
      </c>
      <c r="B143" s="10"/>
      <c r="C143" s="10">
        <v>150</v>
      </c>
      <c r="D143" s="10">
        <v>600</v>
      </c>
      <c r="E143" s="38">
        <f t="shared" si="26"/>
        <v>750</v>
      </c>
      <c r="F143" s="10">
        <v>1400</v>
      </c>
      <c r="G143" s="10">
        <v>1600</v>
      </c>
      <c r="H143" s="10">
        <v>1650</v>
      </c>
      <c r="I143" s="38">
        <f t="shared" si="27"/>
        <v>4650</v>
      </c>
      <c r="J143" s="10">
        <v>1600</v>
      </c>
      <c r="K143" s="10">
        <v>1500</v>
      </c>
      <c r="L143" s="10">
        <v>1400</v>
      </c>
      <c r="M143" s="38">
        <f>SUM(J143:L143)</f>
        <v>4500</v>
      </c>
      <c r="N143" s="10">
        <v>1193</v>
      </c>
      <c r="O143" s="10"/>
      <c r="P143" s="10"/>
      <c r="Q143" s="38">
        <f t="shared" si="29"/>
        <v>1193</v>
      </c>
      <c r="R143" s="38">
        <f t="shared" ref="R143:R194" si="30">+E143+I143+M143+Q143</f>
        <v>11093</v>
      </c>
      <c r="S143" s="574"/>
      <c r="T143" t="s">
        <v>2764</v>
      </c>
    </row>
    <row r="144" spans="1:20" ht="15.75" customHeight="1" x14ac:dyDescent="0.3">
      <c r="A144" s="569" t="s">
        <v>2734</v>
      </c>
      <c r="B144" s="10"/>
      <c r="C144" s="10"/>
      <c r="D144" s="10">
        <v>339</v>
      </c>
      <c r="E144" s="38">
        <f t="shared" si="26"/>
        <v>339</v>
      </c>
      <c r="F144" s="10">
        <v>339</v>
      </c>
      <c r="G144" s="10">
        <v>339</v>
      </c>
      <c r="H144" s="10">
        <v>339</v>
      </c>
      <c r="I144" s="38">
        <f t="shared" si="27"/>
        <v>1017</v>
      </c>
      <c r="J144" s="10">
        <v>339</v>
      </c>
      <c r="K144" s="10">
        <v>339</v>
      </c>
      <c r="L144" s="10">
        <v>338</v>
      </c>
      <c r="M144" s="38">
        <f t="shared" si="28"/>
        <v>1016</v>
      </c>
      <c r="N144" s="10"/>
      <c r="O144" s="10"/>
      <c r="P144" s="10"/>
      <c r="Q144" s="38">
        <f t="shared" si="29"/>
        <v>0</v>
      </c>
      <c r="R144" s="38">
        <f t="shared" si="30"/>
        <v>2372</v>
      </c>
      <c r="T144" t="s">
        <v>2764</v>
      </c>
    </row>
    <row r="145" spans="1:20" ht="15.75" customHeight="1" x14ac:dyDescent="0.3">
      <c r="A145" s="569" t="s">
        <v>2735</v>
      </c>
      <c r="B145" s="10"/>
      <c r="C145" s="10"/>
      <c r="D145" s="10">
        <v>370</v>
      </c>
      <c r="E145" s="38">
        <f t="shared" si="26"/>
        <v>370</v>
      </c>
      <c r="F145" s="10">
        <v>375</v>
      </c>
      <c r="G145" s="10">
        <v>375</v>
      </c>
      <c r="H145" s="10">
        <v>375</v>
      </c>
      <c r="I145" s="38">
        <f t="shared" si="27"/>
        <v>1125</v>
      </c>
      <c r="J145" s="10">
        <v>375</v>
      </c>
      <c r="K145" s="10">
        <v>375</v>
      </c>
      <c r="L145" s="10">
        <v>366</v>
      </c>
      <c r="M145" s="38">
        <f t="shared" si="28"/>
        <v>1116</v>
      </c>
      <c r="N145" s="10"/>
      <c r="O145" s="10"/>
      <c r="P145" s="10"/>
      <c r="Q145" s="38">
        <f t="shared" si="29"/>
        <v>0</v>
      </c>
      <c r="R145" s="38">
        <f t="shared" si="30"/>
        <v>2611</v>
      </c>
      <c r="T145" t="s">
        <v>2764</v>
      </c>
    </row>
    <row r="146" spans="1:20" ht="15.75" customHeight="1" x14ac:dyDescent="0.3">
      <c r="A146" s="569" t="s">
        <v>3399</v>
      </c>
      <c r="B146" s="10"/>
      <c r="C146" s="10"/>
      <c r="D146" s="10"/>
      <c r="E146" s="38">
        <f t="shared" si="26"/>
        <v>0</v>
      </c>
      <c r="F146" s="10"/>
      <c r="G146" s="10"/>
      <c r="H146" s="10">
        <v>92</v>
      </c>
      <c r="I146" s="38">
        <f t="shared" si="27"/>
        <v>92</v>
      </c>
      <c r="J146" s="10"/>
      <c r="K146" s="10"/>
      <c r="L146" s="10"/>
      <c r="M146" s="38">
        <f t="shared" si="28"/>
        <v>0</v>
      </c>
      <c r="N146" s="10"/>
      <c r="O146" s="10"/>
      <c r="P146" s="10"/>
      <c r="Q146" s="38">
        <f t="shared" ref="Q146" si="31">SUM(N146:P146)</f>
        <v>0</v>
      </c>
      <c r="R146" s="38">
        <f t="shared" si="30"/>
        <v>92</v>
      </c>
    </row>
    <row r="147" spans="1:20" ht="15.75" customHeight="1" x14ac:dyDescent="0.3">
      <c r="A147" s="539" t="s">
        <v>2238</v>
      </c>
      <c r="B147" s="10">
        <v>108</v>
      </c>
      <c r="C147" s="10">
        <v>108</v>
      </c>
      <c r="D147" s="10">
        <v>108</v>
      </c>
      <c r="E147" s="38">
        <f t="shared" ref="E147:E148" si="32">SUM(B147:D147)</f>
        <v>324</v>
      </c>
      <c r="F147" s="10">
        <v>108</v>
      </c>
      <c r="G147" s="10">
        <v>108</v>
      </c>
      <c r="H147" s="10">
        <v>108</v>
      </c>
      <c r="I147" s="38">
        <f t="shared" si="27"/>
        <v>324</v>
      </c>
      <c r="J147" s="10">
        <v>108</v>
      </c>
      <c r="K147" s="10">
        <v>108</v>
      </c>
      <c r="L147" s="10">
        <v>109</v>
      </c>
      <c r="M147" s="38">
        <f t="shared" si="28"/>
        <v>325</v>
      </c>
      <c r="N147" s="10">
        <v>109</v>
      </c>
      <c r="O147" s="10">
        <v>109</v>
      </c>
      <c r="P147" s="10">
        <v>109</v>
      </c>
      <c r="Q147" s="38">
        <f t="shared" si="29"/>
        <v>327</v>
      </c>
      <c r="R147" s="38">
        <f t="shared" si="30"/>
        <v>1300</v>
      </c>
      <c r="T147" t="s">
        <v>1193</v>
      </c>
    </row>
    <row r="148" spans="1:20" ht="15.75" customHeight="1" x14ac:dyDescent="0.3">
      <c r="A148" s="539" t="s">
        <v>3318</v>
      </c>
      <c r="B148" s="10"/>
      <c r="C148" s="10"/>
      <c r="D148" s="10"/>
      <c r="E148" s="38">
        <f t="shared" si="32"/>
        <v>0</v>
      </c>
      <c r="F148" s="10"/>
      <c r="G148" s="10"/>
      <c r="H148" s="10"/>
      <c r="I148" s="38">
        <f t="shared" si="27"/>
        <v>0</v>
      </c>
      <c r="J148" s="10"/>
      <c r="K148" s="10"/>
      <c r="L148" s="10"/>
      <c r="M148" s="38">
        <f t="shared" si="28"/>
        <v>0</v>
      </c>
      <c r="N148" s="10"/>
      <c r="O148" s="10"/>
      <c r="P148" s="10"/>
      <c r="Q148" s="38">
        <f t="shared" si="29"/>
        <v>0</v>
      </c>
      <c r="R148" s="38">
        <f t="shared" si="30"/>
        <v>0</v>
      </c>
    </row>
    <row r="149" spans="1:20" ht="15.75" customHeight="1" x14ac:dyDescent="0.3">
      <c r="A149" s="569" t="s">
        <v>3046</v>
      </c>
      <c r="C149" s="10">
        <v>251</v>
      </c>
      <c r="D149" s="10"/>
      <c r="E149" s="38">
        <f>SUM(C149:D149)</f>
        <v>251</v>
      </c>
      <c r="F149" s="10"/>
      <c r="G149" s="10"/>
      <c r="H149" s="10">
        <v>717</v>
      </c>
      <c r="I149" s="38">
        <f t="shared" si="27"/>
        <v>717</v>
      </c>
      <c r="J149" s="10"/>
      <c r="K149" s="10"/>
      <c r="L149" s="10"/>
      <c r="M149" s="38">
        <f t="shared" si="28"/>
        <v>0</v>
      </c>
      <c r="N149" s="10"/>
      <c r="O149" s="10"/>
      <c r="P149" s="10"/>
      <c r="Q149" s="38">
        <f t="shared" si="29"/>
        <v>0</v>
      </c>
      <c r="R149" s="38">
        <f t="shared" si="30"/>
        <v>968</v>
      </c>
      <c r="T149" t="s">
        <v>2764</v>
      </c>
    </row>
    <row r="150" spans="1:20" ht="15.75" customHeight="1" x14ac:dyDescent="0.3">
      <c r="A150" s="539" t="s">
        <v>3326</v>
      </c>
      <c r="C150" s="10"/>
      <c r="D150" s="10"/>
      <c r="E150" s="38">
        <f>SUM(C150:D150)</f>
        <v>0</v>
      </c>
      <c r="F150" s="10">
        <v>3720</v>
      </c>
      <c r="G150" s="10">
        <v>3844</v>
      </c>
      <c r="H150" s="10">
        <v>3720</v>
      </c>
      <c r="I150" s="38">
        <f t="shared" si="27"/>
        <v>11284</v>
      </c>
      <c r="J150" s="10">
        <v>3844</v>
      </c>
      <c r="K150" s="10">
        <v>3844</v>
      </c>
      <c r="L150" s="10">
        <v>2028</v>
      </c>
      <c r="M150" s="38">
        <f t="shared" si="28"/>
        <v>9716</v>
      </c>
      <c r="N150" s="10"/>
      <c r="O150" s="10"/>
      <c r="P150" s="10"/>
      <c r="Q150" s="38">
        <f t="shared" si="29"/>
        <v>0</v>
      </c>
      <c r="R150" s="38">
        <f t="shared" si="30"/>
        <v>21000</v>
      </c>
    </row>
    <row r="151" spans="1:20" ht="15.75" customHeight="1" x14ac:dyDescent="0.3">
      <c r="A151" s="569" t="s">
        <v>2736</v>
      </c>
      <c r="B151" s="10"/>
      <c r="C151" s="10"/>
      <c r="D151" s="10"/>
      <c r="E151" s="38">
        <f t="shared" ref="E151:E190" si="33">SUM(B151:D151)</f>
        <v>0</v>
      </c>
      <c r="F151" s="10"/>
      <c r="G151" s="10"/>
      <c r="H151" s="10"/>
      <c r="I151" s="38">
        <f t="shared" si="27"/>
        <v>0</v>
      </c>
      <c r="J151" s="10"/>
      <c r="K151" s="10"/>
      <c r="L151" s="10"/>
      <c r="M151" s="38">
        <f t="shared" si="28"/>
        <v>0</v>
      </c>
      <c r="N151" s="10"/>
      <c r="O151" s="10"/>
      <c r="P151" s="10"/>
      <c r="Q151" s="38">
        <f t="shared" si="29"/>
        <v>0</v>
      </c>
      <c r="R151" s="38">
        <f t="shared" si="30"/>
        <v>0</v>
      </c>
      <c r="T151" t="s">
        <v>2769</v>
      </c>
    </row>
    <row r="152" spans="1:20" ht="15.75" customHeight="1" x14ac:dyDescent="0.3">
      <c r="A152" s="569" t="s">
        <v>917</v>
      </c>
      <c r="B152" s="10">
        <v>565</v>
      </c>
      <c r="C152" s="10">
        <v>565</v>
      </c>
      <c r="D152" s="10">
        <v>565</v>
      </c>
      <c r="E152" s="38">
        <f t="shared" si="33"/>
        <v>1695</v>
      </c>
      <c r="F152" s="10">
        <v>565</v>
      </c>
      <c r="G152" s="10">
        <v>565</v>
      </c>
      <c r="H152" s="10">
        <v>565</v>
      </c>
      <c r="I152" s="38">
        <f t="shared" si="27"/>
        <v>1695</v>
      </c>
      <c r="J152" s="10">
        <v>566</v>
      </c>
      <c r="K152" s="10"/>
      <c r="L152" s="10"/>
      <c r="M152" s="38">
        <f t="shared" si="28"/>
        <v>566</v>
      </c>
      <c r="N152" s="10"/>
      <c r="O152" s="10"/>
      <c r="P152" s="10"/>
      <c r="Q152" s="38">
        <f t="shared" si="29"/>
        <v>0</v>
      </c>
      <c r="R152" s="38">
        <f t="shared" si="30"/>
        <v>3956</v>
      </c>
      <c r="T152" t="s">
        <v>2770</v>
      </c>
    </row>
    <row r="153" spans="1:20" ht="15.75" customHeight="1" x14ac:dyDescent="0.3">
      <c r="A153" s="539" t="s">
        <v>3001</v>
      </c>
      <c r="B153" s="10">
        <v>124</v>
      </c>
      <c r="C153" s="10">
        <v>112</v>
      </c>
      <c r="D153" s="10">
        <v>124</v>
      </c>
      <c r="E153" s="38">
        <f t="shared" si="33"/>
        <v>360</v>
      </c>
      <c r="F153" s="10">
        <v>120</v>
      </c>
      <c r="G153" s="10">
        <v>124</v>
      </c>
      <c r="H153" s="10">
        <v>120</v>
      </c>
      <c r="I153" s="38">
        <f t="shared" si="27"/>
        <v>364</v>
      </c>
      <c r="J153" s="10">
        <v>124</v>
      </c>
      <c r="K153" s="10">
        <v>124</v>
      </c>
      <c r="L153" s="10">
        <v>120</v>
      </c>
      <c r="M153" s="38">
        <f t="shared" si="28"/>
        <v>368</v>
      </c>
      <c r="N153" s="10">
        <v>124</v>
      </c>
      <c r="O153" s="10">
        <v>120</v>
      </c>
      <c r="P153" s="10">
        <v>124</v>
      </c>
      <c r="Q153" s="38">
        <f t="shared" si="29"/>
        <v>368</v>
      </c>
      <c r="R153" s="38">
        <f t="shared" si="30"/>
        <v>1460</v>
      </c>
      <c r="S153" t="s">
        <v>3020</v>
      </c>
      <c r="T153" t="s">
        <v>2760</v>
      </c>
    </row>
    <row r="154" spans="1:20" ht="15.75" customHeight="1" x14ac:dyDescent="0.3">
      <c r="A154" s="410" t="s">
        <v>3212</v>
      </c>
      <c r="B154" s="10">
        <v>25</v>
      </c>
      <c r="C154" s="10">
        <v>23</v>
      </c>
      <c r="D154" s="10">
        <v>49</v>
      </c>
      <c r="E154" s="38">
        <f>SUM(B154:D154)</f>
        <v>97</v>
      </c>
      <c r="F154" s="10">
        <v>72</v>
      </c>
      <c r="G154" s="10">
        <v>80</v>
      </c>
      <c r="H154" s="10">
        <v>2</v>
      </c>
      <c r="I154" s="38">
        <f>SUM(F154:H154)</f>
        <v>154</v>
      </c>
      <c r="K154" s="10"/>
      <c r="L154" s="10"/>
      <c r="M154" s="38">
        <f>SUM(J154:L154)</f>
        <v>0</v>
      </c>
      <c r="N154" s="10"/>
      <c r="O154" s="10"/>
      <c r="P154" s="10"/>
      <c r="Q154" s="38">
        <f>SUM(N154:P154)</f>
        <v>0</v>
      </c>
      <c r="R154" s="38">
        <f>+E154+I154+M154+Q154</f>
        <v>251</v>
      </c>
      <c r="S154" s="709"/>
    </row>
    <row r="155" spans="1:20" ht="15.75" customHeight="1" x14ac:dyDescent="0.3">
      <c r="A155" s="569" t="s">
        <v>3246</v>
      </c>
      <c r="B155" s="10">
        <v>944</v>
      </c>
      <c r="C155" s="10"/>
      <c r="D155" s="10"/>
      <c r="E155" s="38">
        <f t="shared" si="33"/>
        <v>944</v>
      </c>
      <c r="F155" s="10"/>
      <c r="G155" s="10"/>
      <c r="H155" s="10"/>
      <c r="I155" s="38">
        <f t="shared" si="27"/>
        <v>0</v>
      </c>
      <c r="J155" s="10"/>
      <c r="K155" s="10"/>
      <c r="L155" s="10"/>
      <c r="M155" s="38">
        <f t="shared" si="28"/>
        <v>0</v>
      </c>
      <c r="N155" s="10">
        <v>685</v>
      </c>
      <c r="O155" s="10">
        <v>600</v>
      </c>
      <c r="P155" s="10">
        <v>600</v>
      </c>
      <c r="Q155" s="38">
        <f t="shared" si="29"/>
        <v>1885</v>
      </c>
      <c r="R155" s="38">
        <f t="shared" si="30"/>
        <v>2829</v>
      </c>
      <c r="S155" s="736" t="s">
        <v>3213</v>
      </c>
      <c r="T155" t="s">
        <v>2769</v>
      </c>
    </row>
    <row r="156" spans="1:20" ht="15.75" customHeight="1" x14ac:dyDescent="0.3">
      <c r="A156" s="569" t="s">
        <v>3247</v>
      </c>
      <c r="B156" s="10">
        <v>157</v>
      </c>
      <c r="C156" s="10"/>
      <c r="D156" s="700"/>
      <c r="E156" s="38">
        <f t="shared" si="33"/>
        <v>157</v>
      </c>
      <c r="F156" s="10"/>
      <c r="G156" s="10"/>
      <c r="H156" s="10"/>
      <c r="I156" s="38">
        <f t="shared" si="27"/>
        <v>0</v>
      </c>
      <c r="J156" s="10"/>
      <c r="K156" s="10"/>
      <c r="L156" s="10"/>
      <c r="M156" s="38">
        <f t="shared" si="28"/>
        <v>0</v>
      </c>
      <c r="N156" s="10"/>
      <c r="O156" s="10"/>
      <c r="P156" s="10"/>
      <c r="Q156" s="38">
        <f t="shared" si="29"/>
        <v>0</v>
      </c>
      <c r="R156" s="38">
        <f t="shared" si="30"/>
        <v>157</v>
      </c>
      <c r="S156" s="736" t="s">
        <v>3213</v>
      </c>
      <c r="T156" t="s">
        <v>2770</v>
      </c>
    </row>
    <row r="157" spans="1:20" ht="15.75" customHeight="1" x14ac:dyDescent="0.3">
      <c r="A157" s="569" t="s">
        <v>3248</v>
      </c>
      <c r="B157" s="10"/>
      <c r="C157" s="10"/>
      <c r="D157" s="10"/>
      <c r="E157" s="38">
        <f t="shared" si="33"/>
        <v>0</v>
      </c>
      <c r="F157" s="10"/>
      <c r="G157" s="10"/>
      <c r="H157" s="10"/>
      <c r="I157" s="38">
        <f t="shared" si="27"/>
        <v>0</v>
      </c>
      <c r="J157" s="10"/>
      <c r="K157" s="10"/>
      <c r="L157" s="10"/>
      <c r="M157" s="38">
        <f t="shared" si="28"/>
        <v>0</v>
      </c>
      <c r="N157" s="10"/>
      <c r="O157" s="10"/>
      <c r="P157" s="10"/>
      <c r="Q157" s="38">
        <f t="shared" si="29"/>
        <v>0</v>
      </c>
      <c r="R157" s="38">
        <f t="shared" si="30"/>
        <v>0</v>
      </c>
      <c r="S157" s="736" t="s">
        <v>3213</v>
      </c>
      <c r="T157" t="s">
        <v>2764</v>
      </c>
    </row>
    <row r="158" spans="1:20" ht="15.75" customHeight="1" x14ac:dyDescent="0.3">
      <c r="A158" s="539" t="s">
        <v>1880</v>
      </c>
      <c r="B158" s="10">
        <f>0+45</f>
        <v>45</v>
      </c>
      <c r="C158" s="10">
        <f>0+45</f>
        <v>45</v>
      </c>
      <c r="D158" s="10">
        <f>0+54</f>
        <v>54</v>
      </c>
      <c r="E158" s="38">
        <f t="shared" si="33"/>
        <v>144</v>
      </c>
      <c r="F158" s="10">
        <f>0+55</f>
        <v>55</v>
      </c>
      <c r="G158" s="10">
        <f>0+55</f>
        <v>55</v>
      </c>
      <c r="H158" s="10">
        <f>0+63</f>
        <v>63</v>
      </c>
      <c r="I158" s="38">
        <f t="shared" si="27"/>
        <v>173</v>
      </c>
      <c r="J158" s="10">
        <f>6+56</f>
        <v>62</v>
      </c>
      <c r="K158" s="10">
        <f>6+56</f>
        <v>62</v>
      </c>
      <c r="L158" s="10">
        <f>6+48</f>
        <v>54</v>
      </c>
      <c r="M158" s="38">
        <f t="shared" si="28"/>
        <v>178</v>
      </c>
      <c r="N158" s="10">
        <f>10+48</f>
        <v>58</v>
      </c>
      <c r="O158" s="10">
        <f>10+48</f>
        <v>58</v>
      </c>
      <c r="P158" s="10">
        <f>10+39</f>
        <v>49</v>
      </c>
      <c r="Q158" s="38">
        <f t="shared" si="29"/>
        <v>165</v>
      </c>
      <c r="R158" s="38">
        <f t="shared" si="30"/>
        <v>660</v>
      </c>
      <c r="T158" t="s">
        <v>2761</v>
      </c>
    </row>
    <row r="159" spans="1:20" ht="15.75" customHeight="1" x14ac:dyDescent="0.3">
      <c r="A159" s="539" t="s">
        <v>703</v>
      </c>
      <c r="B159" s="10">
        <v>150</v>
      </c>
      <c r="C159" s="10">
        <v>140</v>
      </c>
      <c r="D159" s="10">
        <v>140</v>
      </c>
      <c r="E159" s="38">
        <f t="shared" si="33"/>
        <v>430</v>
      </c>
      <c r="F159" s="10">
        <v>180</v>
      </c>
      <c r="G159" s="10">
        <v>260</v>
      </c>
      <c r="H159" s="10">
        <v>235</v>
      </c>
      <c r="I159" s="38">
        <f t="shared" si="27"/>
        <v>675</v>
      </c>
      <c r="J159" s="10">
        <v>220</v>
      </c>
      <c r="K159" s="10">
        <v>225</v>
      </c>
      <c r="L159" s="10">
        <v>210</v>
      </c>
      <c r="M159" s="38">
        <f t="shared" si="28"/>
        <v>655</v>
      </c>
      <c r="N159" s="10">
        <v>200</v>
      </c>
      <c r="O159" s="10">
        <v>165</v>
      </c>
      <c r="P159" s="10">
        <v>175</v>
      </c>
      <c r="Q159" s="38">
        <f t="shared" si="29"/>
        <v>540</v>
      </c>
      <c r="R159" s="38">
        <f t="shared" si="30"/>
        <v>2300</v>
      </c>
      <c r="T159" t="s">
        <v>2874</v>
      </c>
    </row>
    <row r="160" spans="1:20" ht="15.75" customHeight="1" x14ac:dyDescent="0.3">
      <c r="A160" s="569" t="s">
        <v>3424</v>
      </c>
      <c r="B160" s="10"/>
      <c r="C160" s="10"/>
      <c r="D160" s="10"/>
      <c r="E160" s="38">
        <f t="shared" si="33"/>
        <v>0</v>
      </c>
      <c r="F160" s="10"/>
      <c r="G160" s="10"/>
      <c r="H160" s="10"/>
      <c r="I160" s="38">
        <f t="shared" si="27"/>
        <v>0</v>
      </c>
      <c r="J160" s="10"/>
      <c r="K160" s="10"/>
      <c r="L160" s="10"/>
      <c r="M160" s="38">
        <f t="shared" si="28"/>
        <v>0</v>
      </c>
      <c r="N160" s="10"/>
      <c r="O160" s="10"/>
      <c r="P160" s="10"/>
      <c r="Q160" s="38">
        <f t="shared" ref="Q160" si="34">SUM(N160:P160)</f>
        <v>0</v>
      </c>
      <c r="R160" s="38">
        <f t="shared" si="30"/>
        <v>0</v>
      </c>
    </row>
    <row r="161" spans="1:20" ht="15.75" customHeight="1" x14ac:dyDescent="0.3">
      <c r="A161" s="539" t="s">
        <v>2967</v>
      </c>
      <c r="B161" s="10"/>
      <c r="C161" s="10"/>
      <c r="D161" s="10"/>
      <c r="E161" s="38">
        <f t="shared" si="33"/>
        <v>0</v>
      </c>
      <c r="F161" s="10"/>
      <c r="G161" s="10"/>
      <c r="H161" s="10"/>
      <c r="I161" s="38">
        <f t="shared" si="27"/>
        <v>0</v>
      </c>
      <c r="J161" s="10"/>
      <c r="K161" s="10">
        <v>500</v>
      </c>
      <c r="L161" s="10"/>
      <c r="M161" s="38">
        <f t="shared" si="28"/>
        <v>500</v>
      </c>
      <c r="N161" s="10"/>
      <c r="O161" s="10">
        <v>800</v>
      </c>
      <c r="P161" s="10"/>
      <c r="Q161" s="38">
        <f t="shared" si="29"/>
        <v>800</v>
      </c>
      <c r="R161" s="38">
        <f t="shared" si="30"/>
        <v>1300</v>
      </c>
      <c r="S161" t="s">
        <v>3020</v>
      </c>
    </row>
    <row r="162" spans="1:20" ht="15.75" customHeight="1" x14ac:dyDescent="0.3">
      <c r="A162" s="569" t="s">
        <v>3336</v>
      </c>
      <c r="B162" s="10"/>
      <c r="C162" s="10">
        <v>300</v>
      </c>
      <c r="D162" s="10">
        <v>300</v>
      </c>
      <c r="E162" s="38">
        <f>SUM(B162:D162)</f>
        <v>600</v>
      </c>
      <c r="F162" s="10">
        <v>300</v>
      </c>
      <c r="G162" s="10">
        <v>375</v>
      </c>
      <c r="H162" s="10">
        <v>450</v>
      </c>
      <c r="I162" s="38">
        <f t="shared" si="27"/>
        <v>1125</v>
      </c>
      <c r="J162" s="10">
        <v>450</v>
      </c>
      <c r="K162" s="10">
        <v>450</v>
      </c>
      <c r="L162" s="10">
        <v>375</v>
      </c>
      <c r="M162" s="38">
        <f t="shared" si="28"/>
        <v>1275</v>
      </c>
      <c r="N162" s="10">
        <v>300</v>
      </c>
      <c r="O162" s="10">
        <v>300</v>
      </c>
      <c r="P162" s="10"/>
      <c r="Q162" s="38">
        <f t="shared" si="29"/>
        <v>600</v>
      </c>
      <c r="R162" s="38">
        <f t="shared" si="30"/>
        <v>3600</v>
      </c>
      <c r="T162" t="s">
        <v>2764</v>
      </c>
    </row>
    <row r="163" spans="1:20" ht="15.75" customHeight="1" x14ac:dyDescent="0.3">
      <c r="A163" s="539" t="s">
        <v>3337</v>
      </c>
      <c r="B163" s="10">
        <v>498</v>
      </c>
      <c r="C163" s="10">
        <v>427</v>
      </c>
      <c r="D163" s="10">
        <v>512</v>
      </c>
      <c r="E163" s="38">
        <f t="shared" si="33"/>
        <v>1437</v>
      </c>
      <c r="F163" s="10">
        <v>517</v>
      </c>
      <c r="G163" s="10">
        <v>573</v>
      </c>
      <c r="H163" s="10">
        <v>545</v>
      </c>
      <c r="I163" s="38">
        <f t="shared" si="27"/>
        <v>1635</v>
      </c>
      <c r="J163" s="10">
        <v>494</v>
      </c>
      <c r="K163" s="10">
        <v>494</v>
      </c>
      <c r="L163" s="10">
        <v>598</v>
      </c>
      <c r="M163" s="38">
        <f t="shared" si="28"/>
        <v>1586</v>
      </c>
      <c r="N163" s="10">
        <v>377</v>
      </c>
      <c r="O163" s="10">
        <v>96</v>
      </c>
      <c r="P163" s="10">
        <v>178</v>
      </c>
      <c r="Q163" s="38">
        <f t="shared" si="29"/>
        <v>651</v>
      </c>
      <c r="R163" s="38">
        <f t="shared" si="30"/>
        <v>5309</v>
      </c>
      <c r="T163" t="s">
        <v>2762</v>
      </c>
    </row>
    <row r="164" spans="1:20" ht="15.75" customHeight="1" x14ac:dyDescent="0.3">
      <c r="A164" s="539" t="s">
        <v>3400</v>
      </c>
      <c r="B164" s="10">
        <v>14</v>
      </c>
      <c r="C164" s="10">
        <v>18</v>
      </c>
      <c r="D164" s="10">
        <v>39</v>
      </c>
      <c r="E164" s="38">
        <f t="shared" si="33"/>
        <v>71</v>
      </c>
      <c r="F164" s="10">
        <v>64</v>
      </c>
      <c r="G164" s="10">
        <v>83</v>
      </c>
      <c r="H164" s="10">
        <v>93</v>
      </c>
      <c r="I164" s="38">
        <f t="shared" si="27"/>
        <v>240</v>
      </c>
      <c r="J164" s="10">
        <v>82</v>
      </c>
      <c r="K164" s="10">
        <v>73</v>
      </c>
      <c r="L164" s="10">
        <v>56</v>
      </c>
      <c r="M164" s="38">
        <f t="shared" si="28"/>
        <v>211</v>
      </c>
      <c r="N164" s="10">
        <v>58</v>
      </c>
      <c r="O164" s="10">
        <v>27</v>
      </c>
      <c r="P164" s="10">
        <v>13</v>
      </c>
      <c r="Q164" s="38">
        <f t="shared" si="29"/>
        <v>98</v>
      </c>
      <c r="R164" s="38">
        <f t="shared" si="30"/>
        <v>620</v>
      </c>
    </row>
    <row r="165" spans="1:20" ht="15.75" customHeight="1" x14ac:dyDescent="0.3">
      <c r="A165" s="569" t="s">
        <v>2845</v>
      </c>
      <c r="B165" s="10"/>
      <c r="C165" s="10"/>
      <c r="D165" s="10"/>
      <c r="E165" s="38">
        <f t="shared" si="33"/>
        <v>0</v>
      </c>
      <c r="F165" s="10"/>
      <c r="G165" s="10"/>
      <c r="H165" s="10"/>
      <c r="I165" s="38">
        <f t="shared" si="27"/>
        <v>0</v>
      </c>
      <c r="J165" s="10">
        <v>85</v>
      </c>
      <c r="K165" s="10">
        <v>85</v>
      </c>
      <c r="L165" s="10">
        <v>85</v>
      </c>
      <c r="M165" s="38">
        <f t="shared" si="28"/>
        <v>255</v>
      </c>
      <c r="N165" s="10">
        <v>85</v>
      </c>
      <c r="O165" s="10">
        <v>84</v>
      </c>
      <c r="P165" s="10">
        <v>84</v>
      </c>
      <c r="Q165" s="38">
        <f t="shared" si="29"/>
        <v>253</v>
      </c>
      <c r="R165" s="38">
        <f t="shared" si="30"/>
        <v>508</v>
      </c>
      <c r="T165" t="s">
        <v>2770</v>
      </c>
    </row>
    <row r="166" spans="1:20" ht="15.75" customHeight="1" x14ac:dyDescent="0.3">
      <c r="A166" s="410" t="s">
        <v>3274</v>
      </c>
      <c r="B166" s="10"/>
      <c r="C166" s="10"/>
      <c r="D166" s="10"/>
      <c r="E166" s="38">
        <f t="shared" ref="E166" si="35">SUM(B166:D166)</f>
        <v>0</v>
      </c>
      <c r="F166" s="10"/>
      <c r="G166" s="10"/>
      <c r="H166" s="10"/>
      <c r="I166" s="38">
        <f t="shared" si="27"/>
        <v>0</v>
      </c>
      <c r="J166" s="10"/>
      <c r="K166" s="10"/>
      <c r="L166" s="10"/>
      <c r="M166" s="38">
        <f t="shared" si="28"/>
        <v>0</v>
      </c>
      <c r="N166" s="10"/>
      <c r="O166" s="10"/>
      <c r="P166" s="10"/>
      <c r="Q166" s="38">
        <f t="shared" si="29"/>
        <v>0</v>
      </c>
      <c r="R166" s="38">
        <f t="shared" si="30"/>
        <v>0</v>
      </c>
    </row>
    <row r="167" spans="1:20" ht="15.75" customHeight="1" x14ac:dyDescent="0.3">
      <c r="A167" s="410" t="s">
        <v>3403</v>
      </c>
      <c r="B167" s="10"/>
      <c r="C167" s="10"/>
      <c r="D167" s="10"/>
      <c r="E167" s="38">
        <f t="shared" si="33"/>
        <v>0</v>
      </c>
      <c r="F167" s="10"/>
      <c r="G167" s="10"/>
      <c r="H167" s="10"/>
      <c r="I167" s="38">
        <f t="shared" si="27"/>
        <v>0</v>
      </c>
      <c r="J167" s="10"/>
      <c r="K167" s="10"/>
      <c r="L167" s="10"/>
      <c r="M167" s="38">
        <f t="shared" si="28"/>
        <v>0</v>
      </c>
      <c r="N167" s="10"/>
      <c r="O167" s="10"/>
      <c r="P167" s="10"/>
      <c r="Q167" s="38">
        <f t="shared" si="29"/>
        <v>0</v>
      </c>
      <c r="R167" s="38">
        <f t="shared" si="30"/>
        <v>0</v>
      </c>
    </row>
    <row r="168" spans="1:20" ht="15.75" customHeight="1" x14ac:dyDescent="0.3">
      <c r="A168" s="539" t="s">
        <v>2809</v>
      </c>
      <c r="B168" s="10"/>
      <c r="C168" s="10"/>
      <c r="D168" s="10"/>
      <c r="E168" s="38">
        <f t="shared" si="33"/>
        <v>0</v>
      </c>
      <c r="F168" s="10"/>
      <c r="G168" s="10"/>
      <c r="H168" s="10"/>
      <c r="I168" s="38">
        <f t="shared" si="27"/>
        <v>0</v>
      </c>
      <c r="J168" s="10"/>
      <c r="K168" s="10"/>
      <c r="L168" s="10"/>
      <c r="M168" s="38">
        <f t="shared" si="28"/>
        <v>0</v>
      </c>
      <c r="N168" s="10"/>
      <c r="O168" s="10"/>
      <c r="P168" s="10"/>
      <c r="Q168" s="38">
        <f t="shared" si="29"/>
        <v>0</v>
      </c>
      <c r="R168" s="38">
        <f t="shared" si="30"/>
        <v>0</v>
      </c>
      <c r="S168" t="s">
        <v>3020</v>
      </c>
      <c r="T168" t="s">
        <v>2760</v>
      </c>
    </row>
    <row r="169" spans="1:20" s="353" customFormat="1" ht="15.75" customHeight="1" x14ac:dyDescent="0.3">
      <c r="A169" s="535" t="s">
        <v>1242</v>
      </c>
      <c r="B169" s="542"/>
      <c r="C169" s="542"/>
      <c r="D169" s="542"/>
      <c r="E169" s="331">
        <f t="shared" si="33"/>
        <v>0</v>
      </c>
      <c r="F169" s="542"/>
      <c r="G169" s="542"/>
      <c r="H169" s="542"/>
      <c r="I169" s="331">
        <f t="shared" si="27"/>
        <v>0</v>
      </c>
      <c r="J169" s="542"/>
      <c r="K169" s="542"/>
      <c r="L169" s="542"/>
      <c r="M169" s="331">
        <f t="shared" si="28"/>
        <v>0</v>
      </c>
      <c r="N169" s="542"/>
      <c r="O169" s="542"/>
      <c r="P169" s="542"/>
      <c r="Q169" s="331">
        <f t="shared" si="29"/>
        <v>0</v>
      </c>
      <c r="R169" s="331">
        <f t="shared" si="30"/>
        <v>0</v>
      </c>
    </row>
    <row r="170" spans="1:20" ht="15.75" customHeight="1" x14ac:dyDescent="0.3">
      <c r="A170" s="539" t="s">
        <v>1379</v>
      </c>
      <c r="B170" s="10"/>
      <c r="C170" s="10"/>
      <c r="D170" s="10">
        <v>654</v>
      </c>
      <c r="E170" s="38">
        <f t="shared" si="33"/>
        <v>654</v>
      </c>
      <c r="F170" s="10">
        <v>2000</v>
      </c>
      <c r="G170" s="10">
        <v>2000</v>
      </c>
      <c r="H170" s="10">
        <v>2082</v>
      </c>
      <c r="I170" s="38">
        <f t="shared" si="27"/>
        <v>6082</v>
      </c>
      <c r="J170" s="10">
        <v>1900</v>
      </c>
      <c r="K170" s="10">
        <v>1900</v>
      </c>
      <c r="L170" s="10">
        <v>1900</v>
      </c>
      <c r="M170" s="38">
        <f t="shared" si="28"/>
        <v>5700</v>
      </c>
      <c r="N170" s="10">
        <v>1100</v>
      </c>
      <c r="O170" s="10">
        <v>1600</v>
      </c>
      <c r="P170" s="10">
        <v>1600</v>
      </c>
      <c r="Q170" s="38">
        <f t="shared" si="29"/>
        <v>4300</v>
      </c>
      <c r="R170" s="38">
        <f>+E170+I170+M170+Q170</f>
        <v>16736</v>
      </c>
      <c r="T170" t="s">
        <v>2775</v>
      </c>
    </row>
    <row r="171" spans="1:20" ht="15.75" customHeight="1" x14ac:dyDescent="0.3">
      <c r="A171" s="569" t="s">
        <v>2984</v>
      </c>
      <c r="B171" s="10"/>
      <c r="C171" s="10"/>
      <c r="D171" s="10"/>
      <c r="E171" s="38">
        <f t="shared" si="33"/>
        <v>0</v>
      </c>
      <c r="F171" s="10"/>
      <c r="G171" s="10"/>
      <c r="H171" s="10"/>
      <c r="I171" s="38">
        <f t="shared" si="27"/>
        <v>0</v>
      </c>
      <c r="J171" s="10"/>
      <c r="K171" s="10"/>
      <c r="L171" s="10">
        <v>500</v>
      </c>
      <c r="M171" s="38">
        <f t="shared" si="28"/>
        <v>500</v>
      </c>
      <c r="N171" s="10"/>
      <c r="O171" s="10"/>
      <c r="P171" s="10"/>
      <c r="Q171" s="38">
        <f t="shared" si="29"/>
        <v>0</v>
      </c>
      <c r="R171" s="38">
        <f t="shared" ref="R171:R177" si="36">+E171+I171+M171+Q171</f>
        <v>500</v>
      </c>
      <c r="T171" t="s">
        <v>2764</v>
      </c>
    </row>
    <row r="172" spans="1:20" ht="15.75" customHeight="1" x14ac:dyDescent="0.3">
      <c r="A172" s="569" t="s">
        <v>2987</v>
      </c>
      <c r="B172" s="10"/>
      <c r="C172" s="10"/>
      <c r="D172" s="10"/>
      <c r="E172" s="38">
        <f t="shared" si="33"/>
        <v>0</v>
      </c>
      <c r="F172" s="10"/>
      <c r="G172" s="10"/>
      <c r="H172" s="10"/>
      <c r="I172" s="38">
        <f t="shared" si="27"/>
        <v>0</v>
      </c>
      <c r="J172" s="10"/>
      <c r="K172" s="10"/>
      <c r="L172" s="10"/>
      <c r="M172" s="38">
        <f t="shared" si="28"/>
        <v>0</v>
      </c>
      <c r="N172" s="10"/>
      <c r="O172" s="10"/>
      <c r="P172" s="10"/>
      <c r="Q172" s="38">
        <f t="shared" si="29"/>
        <v>0</v>
      </c>
      <c r="R172" s="38">
        <f t="shared" si="36"/>
        <v>0</v>
      </c>
      <c r="T172" t="s">
        <v>2770</v>
      </c>
    </row>
    <row r="173" spans="1:20" ht="15.75" customHeight="1" x14ac:dyDescent="0.3">
      <c r="A173" s="539" t="s">
        <v>2985</v>
      </c>
      <c r="B173" s="10"/>
      <c r="C173" s="10"/>
      <c r="D173" s="10"/>
      <c r="E173" s="38">
        <f t="shared" si="33"/>
        <v>0</v>
      </c>
      <c r="F173" s="10"/>
      <c r="G173" s="10"/>
      <c r="H173" s="10"/>
      <c r="I173" s="38">
        <f t="shared" si="27"/>
        <v>0</v>
      </c>
      <c r="J173" s="10"/>
      <c r="K173" s="10"/>
      <c r="L173" s="10"/>
      <c r="M173" s="38">
        <f t="shared" si="28"/>
        <v>0</v>
      </c>
      <c r="N173" s="10"/>
      <c r="O173" s="10"/>
      <c r="P173" s="10"/>
      <c r="Q173" s="38">
        <f t="shared" si="29"/>
        <v>0</v>
      </c>
      <c r="R173" s="38">
        <f t="shared" si="36"/>
        <v>0</v>
      </c>
      <c r="S173" s="709" t="s">
        <v>3020</v>
      </c>
      <c r="T173" t="s">
        <v>2986</v>
      </c>
    </row>
    <row r="174" spans="1:20" ht="15.75" customHeight="1" x14ac:dyDescent="0.3">
      <c r="A174" s="539" t="s">
        <v>3405</v>
      </c>
      <c r="B174" s="10"/>
      <c r="C174" s="10"/>
      <c r="D174" s="10"/>
      <c r="E174" s="38">
        <f t="shared" si="33"/>
        <v>0</v>
      </c>
      <c r="F174" s="10"/>
      <c r="G174" s="10">
        <v>173</v>
      </c>
      <c r="H174" s="10">
        <v>2391</v>
      </c>
      <c r="I174" s="38">
        <f t="shared" si="27"/>
        <v>2564</v>
      </c>
      <c r="J174" s="10">
        <v>2396</v>
      </c>
      <c r="K174" s="10">
        <v>2391</v>
      </c>
      <c r="L174" s="10">
        <f>249+2391</f>
        <v>2640</v>
      </c>
      <c r="M174" s="38">
        <f t="shared" si="28"/>
        <v>7427</v>
      </c>
      <c r="N174" s="10">
        <v>251</v>
      </c>
      <c r="O174" s="10">
        <v>249</v>
      </c>
      <c r="P174" s="10">
        <v>251</v>
      </c>
      <c r="Q174" s="38">
        <f t="shared" ref="Q174" si="37">SUM(N174:P174)</f>
        <v>751</v>
      </c>
      <c r="R174" s="38">
        <f t="shared" si="36"/>
        <v>10742</v>
      </c>
      <c r="S174" s="709"/>
    </row>
    <row r="175" spans="1:20" ht="15.75" customHeight="1" x14ac:dyDescent="0.3">
      <c r="A175" s="569" t="s">
        <v>2767</v>
      </c>
      <c r="B175" s="10"/>
      <c r="C175" s="10"/>
      <c r="D175" s="10"/>
      <c r="E175" s="38">
        <f t="shared" si="33"/>
        <v>0</v>
      </c>
      <c r="F175" s="10"/>
      <c r="G175" s="10"/>
      <c r="H175" s="10"/>
      <c r="I175" s="38">
        <f t="shared" si="27"/>
        <v>0</v>
      </c>
      <c r="J175" s="10"/>
      <c r="K175" s="10"/>
      <c r="L175" s="10"/>
      <c r="M175" s="38">
        <f t="shared" si="28"/>
        <v>0</v>
      </c>
      <c r="N175" s="10"/>
      <c r="O175" s="10"/>
      <c r="P175" s="10"/>
      <c r="Q175" s="38">
        <f t="shared" si="29"/>
        <v>0</v>
      </c>
      <c r="R175" s="38">
        <f t="shared" si="36"/>
        <v>0</v>
      </c>
      <c r="T175" t="s">
        <v>2769</v>
      </c>
    </row>
    <row r="176" spans="1:20" ht="15.75" customHeight="1" x14ac:dyDescent="0.3">
      <c r="A176" s="569" t="s">
        <v>2768</v>
      </c>
      <c r="B176" s="10"/>
      <c r="C176" s="10"/>
      <c r="D176" s="10"/>
      <c r="E176" s="38">
        <f t="shared" si="33"/>
        <v>0</v>
      </c>
      <c r="F176" s="10"/>
      <c r="G176" s="10"/>
      <c r="H176" s="10"/>
      <c r="I176" s="38">
        <f t="shared" si="27"/>
        <v>0</v>
      </c>
      <c r="J176" s="10"/>
      <c r="K176" s="10"/>
      <c r="L176" s="10"/>
      <c r="M176" s="38">
        <f t="shared" si="28"/>
        <v>0</v>
      </c>
      <c r="N176" s="10"/>
      <c r="O176" s="10"/>
      <c r="P176" s="10"/>
      <c r="Q176" s="38">
        <f t="shared" si="29"/>
        <v>0</v>
      </c>
      <c r="R176" s="38">
        <f t="shared" si="36"/>
        <v>0</v>
      </c>
      <c r="T176" t="s">
        <v>2770</v>
      </c>
    </row>
    <row r="177" spans="1:21" ht="15.75" customHeight="1" x14ac:dyDescent="0.3">
      <c r="A177" s="539" t="s">
        <v>1879</v>
      </c>
      <c r="B177" s="10">
        <v>25</v>
      </c>
      <c r="C177" s="10">
        <v>25</v>
      </c>
      <c r="D177" s="10">
        <v>50</v>
      </c>
      <c r="E177" s="38">
        <f t="shared" si="33"/>
        <v>100</v>
      </c>
      <c r="F177" s="10">
        <v>70</v>
      </c>
      <c r="G177" s="10">
        <v>70</v>
      </c>
      <c r="H177" s="10">
        <v>70</v>
      </c>
      <c r="I177" s="38">
        <f t="shared" si="27"/>
        <v>210</v>
      </c>
      <c r="J177" s="10">
        <v>70</v>
      </c>
      <c r="K177" s="10">
        <v>70</v>
      </c>
      <c r="L177" s="10">
        <v>70</v>
      </c>
      <c r="M177" s="38">
        <f t="shared" si="28"/>
        <v>210</v>
      </c>
      <c r="N177" s="10">
        <v>75</v>
      </c>
      <c r="O177" s="10">
        <v>35</v>
      </c>
      <c r="P177" s="10">
        <v>35</v>
      </c>
      <c r="Q177" s="38">
        <f t="shared" si="29"/>
        <v>145</v>
      </c>
      <c r="R177" s="38">
        <f t="shared" si="36"/>
        <v>665</v>
      </c>
      <c r="T177" t="s">
        <v>1193</v>
      </c>
    </row>
    <row r="178" spans="1:21" ht="15.75" customHeight="1" x14ac:dyDescent="0.3">
      <c r="A178" s="569" t="s">
        <v>2737</v>
      </c>
      <c r="B178" s="10">
        <v>0</v>
      </c>
      <c r="C178" s="10">
        <v>0</v>
      </c>
      <c r="D178" s="10">
        <v>0</v>
      </c>
      <c r="E178" s="38">
        <f t="shared" si="33"/>
        <v>0</v>
      </c>
      <c r="F178" s="10">
        <v>0</v>
      </c>
      <c r="G178" s="10">
        <v>0</v>
      </c>
      <c r="H178" s="10">
        <v>1165</v>
      </c>
      <c r="I178" s="38">
        <f t="shared" si="27"/>
        <v>1165</v>
      </c>
      <c r="J178" s="10">
        <v>1360</v>
      </c>
      <c r="K178" s="10">
        <v>1360</v>
      </c>
      <c r="L178" s="10">
        <v>1360</v>
      </c>
      <c r="M178" s="38">
        <f t="shared" si="28"/>
        <v>4080</v>
      </c>
      <c r="N178" s="10">
        <v>1360</v>
      </c>
      <c r="O178" s="10">
        <v>1360</v>
      </c>
      <c r="P178" s="10">
        <v>1360</v>
      </c>
      <c r="Q178" s="38">
        <f t="shared" si="29"/>
        <v>4080</v>
      </c>
      <c r="R178" s="38">
        <f t="shared" si="30"/>
        <v>9325</v>
      </c>
      <c r="T178" t="s">
        <v>2769</v>
      </c>
    </row>
    <row r="179" spans="1:21" ht="15.75" customHeight="1" x14ac:dyDescent="0.3">
      <c r="A179" s="569" t="s">
        <v>2738</v>
      </c>
      <c r="B179" s="10">
        <v>292</v>
      </c>
      <c r="C179" s="10">
        <v>292</v>
      </c>
      <c r="D179" s="10">
        <v>292</v>
      </c>
      <c r="E179" s="38">
        <f t="shared" si="33"/>
        <v>876</v>
      </c>
      <c r="F179" s="10">
        <v>292</v>
      </c>
      <c r="G179" s="10">
        <v>292</v>
      </c>
      <c r="H179" s="10">
        <v>292</v>
      </c>
      <c r="I179" s="38">
        <f t="shared" si="27"/>
        <v>876</v>
      </c>
      <c r="J179" s="10">
        <v>292</v>
      </c>
      <c r="K179" s="10">
        <v>292</v>
      </c>
      <c r="L179" s="10">
        <v>291</v>
      </c>
      <c r="M179" s="38">
        <f t="shared" si="28"/>
        <v>875</v>
      </c>
      <c r="N179" s="10">
        <v>291</v>
      </c>
      <c r="O179" s="10">
        <v>291</v>
      </c>
      <c r="P179" s="10">
        <v>291</v>
      </c>
      <c r="Q179" s="38">
        <f t="shared" si="29"/>
        <v>873</v>
      </c>
      <c r="R179" s="38">
        <f t="shared" si="30"/>
        <v>3500</v>
      </c>
      <c r="T179" t="s">
        <v>2770</v>
      </c>
    </row>
    <row r="180" spans="1:21" ht="15.75" customHeight="1" x14ac:dyDescent="0.3">
      <c r="A180" s="569" t="s">
        <v>2816</v>
      </c>
      <c r="B180" s="10">
        <v>22</v>
      </c>
      <c r="C180" s="10">
        <v>22</v>
      </c>
      <c r="D180" s="10">
        <v>30</v>
      </c>
      <c r="E180" s="38">
        <f t="shared" si="33"/>
        <v>74</v>
      </c>
      <c r="F180" s="10">
        <v>48</v>
      </c>
      <c r="G180" s="10">
        <v>71</v>
      </c>
      <c r="H180" s="10">
        <v>85</v>
      </c>
      <c r="I180" s="38">
        <f>SUM(F180:H180)</f>
        <v>204</v>
      </c>
      <c r="J180" s="10">
        <v>81</v>
      </c>
      <c r="K180" s="10">
        <v>71</v>
      </c>
      <c r="L180" s="10">
        <v>64</v>
      </c>
      <c r="M180" s="38">
        <f t="shared" si="28"/>
        <v>216</v>
      </c>
      <c r="N180" s="10">
        <v>62</v>
      </c>
      <c r="O180" s="10">
        <v>33</v>
      </c>
      <c r="P180" s="10">
        <v>27</v>
      </c>
      <c r="Q180" s="38">
        <f t="shared" si="29"/>
        <v>122</v>
      </c>
      <c r="R180" s="38">
        <f t="shared" si="30"/>
        <v>616</v>
      </c>
      <c r="T180" t="s">
        <v>2819</v>
      </c>
    </row>
    <row r="181" spans="1:21" ht="15.75" customHeight="1" x14ac:dyDescent="0.3">
      <c r="A181" s="569" t="s">
        <v>2817</v>
      </c>
      <c r="B181" s="10">
        <v>1</v>
      </c>
      <c r="C181" s="10">
        <v>1</v>
      </c>
      <c r="D181" s="10">
        <v>2</v>
      </c>
      <c r="E181" s="38">
        <f t="shared" si="33"/>
        <v>4</v>
      </c>
      <c r="F181" s="10">
        <v>20</v>
      </c>
      <c r="G181" s="10">
        <v>60</v>
      </c>
      <c r="H181" s="10">
        <v>107</v>
      </c>
      <c r="I181" s="38">
        <f t="shared" si="27"/>
        <v>187</v>
      </c>
      <c r="J181" s="10">
        <v>103</v>
      </c>
      <c r="K181" s="10">
        <v>78</v>
      </c>
      <c r="L181" s="10">
        <v>57</v>
      </c>
      <c r="M181" s="38">
        <f t="shared" si="28"/>
        <v>238</v>
      </c>
      <c r="N181" s="10">
        <v>66</v>
      </c>
      <c r="O181" s="10">
        <v>26</v>
      </c>
      <c r="P181" s="10">
        <v>0</v>
      </c>
      <c r="Q181" s="38">
        <f t="shared" si="29"/>
        <v>92</v>
      </c>
      <c r="R181" s="38">
        <f t="shared" si="30"/>
        <v>521</v>
      </c>
      <c r="T181" t="s">
        <v>1193</v>
      </c>
    </row>
    <row r="182" spans="1:21" ht="15.75" customHeight="1" x14ac:dyDescent="0.3">
      <c r="A182" s="569" t="s">
        <v>2818</v>
      </c>
      <c r="B182" s="10"/>
      <c r="C182" s="10"/>
      <c r="D182" s="10">
        <v>1</v>
      </c>
      <c r="E182" s="38">
        <f t="shared" si="33"/>
        <v>1</v>
      </c>
      <c r="F182" s="10">
        <v>3</v>
      </c>
      <c r="G182" s="10">
        <v>5</v>
      </c>
      <c r="H182" s="10">
        <v>12</v>
      </c>
      <c r="I182" s="38">
        <f t="shared" si="27"/>
        <v>20</v>
      </c>
      <c r="J182" s="10">
        <v>15</v>
      </c>
      <c r="K182" s="10">
        <v>20</v>
      </c>
      <c r="L182" s="10">
        <v>25</v>
      </c>
      <c r="M182" s="38">
        <f t="shared" si="28"/>
        <v>60</v>
      </c>
      <c r="N182" s="10">
        <v>25</v>
      </c>
      <c r="O182" s="10">
        <v>5</v>
      </c>
      <c r="P182" s="10">
        <v>1</v>
      </c>
      <c r="Q182" s="38">
        <f t="shared" si="29"/>
        <v>31</v>
      </c>
      <c r="R182" s="38">
        <f t="shared" si="30"/>
        <v>112</v>
      </c>
      <c r="S182" s="574"/>
      <c r="T182" t="s">
        <v>2764</v>
      </c>
    </row>
    <row r="183" spans="1:21" ht="15.75" customHeight="1" x14ac:dyDescent="0.3">
      <c r="A183" s="539" t="s">
        <v>2758</v>
      </c>
      <c r="B183" s="10">
        <v>801</v>
      </c>
      <c r="C183" s="10">
        <v>745</v>
      </c>
      <c r="D183" s="10">
        <v>833</v>
      </c>
      <c r="E183" s="38">
        <f t="shared" si="33"/>
        <v>2379</v>
      </c>
      <c r="F183" s="10">
        <v>918</v>
      </c>
      <c r="G183" s="10">
        <v>1044</v>
      </c>
      <c r="H183" s="10">
        <v>1051</v>
      </c>
      <c r="I183" s="38">
        <f t="shared" si="27"/>
        <v>3013</v>
      </c>
      <c r="J183" s="10">
        <v>1090</v>
      </c>
      <c r="K183" s="10">
        <v>1050</v>
      </c>
      <c r="L183" s="10">
        <v>996</v>
      </c>
      <c r="M183" s="38">
        <f t="shared" si="28"/>
        <v>3136</v>
      </c>
      <c r="N183" s="10">
        <v>980</v>
      </c>
      <c r="O183" s="10">
        <v>891</v>
      </c>
      <c r="P183" s="10">
        <v>763</v>
      </c>
      <c r="Q183" s="38">
        <f t="shared" si="29"/>
        <v>2634</v>
      </c>
      <c r="R183" s="38">
        <f t="shared" si="30"/>
        <v>11162</v>
      </c>
      <c r="T183" t="s">
        <v>2775</v>
      </c>
    </row>
    <row r="184" spans="1:21" ht="15.75" customHeight="1" x14ac:dyDescent="0.3">
      <c r="A184" s="539" t="s">
        <v>2813</v>
      </c>
      <c r="B184" s="10"/>
      <c r="C184" s="10"/>
      <c r="D184" s="10"/>
      <c r="E184" s="38">
        <f t="shared" si="33"/>
        <v>0</v>
      </c>
      <c r="F184" s="10"/>
      <c r="G184" s="10"/>
      <c r="H184" s="10"/>
      <c r="I184" s="38">
        <f t="shared" si="27"/>
        <v>0</v>
      </c>
      <c r="J184" s="10"/>
      <c r="K184" s="10"/>
      <c r="L184" s="10"/>
      <c r="M184" s="38">
        <f t="shared" si="28"/>
        <v>0</v>
      </c>
      <c r="N184" s="10"/>
      <c r="O184" s="10"/>
      <c r="P184" s="10"/>
      <c r="Q184" s="38">
        <f t="shared" si="29"/>
        <v>0</v>
      </c>
      <c r="R184" s="38">
        <f t="shared" si="30"/>
        <v>0</v>
      </c>
      <c r="S184" s="709" t="s">
        <v>3020</v>
      </c>
      <c r="T184" t="s">
        <v>2760</v>
      </c>
    </row>
    <row r="185" spans="1:21" ht="15.75" customHeight="1" x14ac:dyDescent="0.3">
      <c r="A185" s="539" t="s">
        <v>2820</v>
      </c>
      <c r="B185" s="10"/>
      <c r="C185" s="10"/>
      <c r="D185" s="10"/>
      <c r="E185" s="38">
        <f t="shared" si="33"/>
        <v>0</v>
      </c>
      <c r="F185" s="10"/>
      <c r="G185" s="10"/>
      <c r="H185" s="10"/>
      <c r="I185" s="38">
        <f t="shared" si="27"/>
        <v>0</v>
      </c>
      <c r="J185" s="10"/>
      <c r="K185" s="10"/>
      <c r="L185" s="10"/>
      <c r="M185" s="38">
        <f t="shared" si="28"/>
        <v>0</v>
      </c>
      <c r="N185" s="10"/>
      <c r="O185" s="10"/>
      <c r="P185" s="10"/>
      <c r="Q185" s="38">
        <f t="shared" si="29"/>
        <v>0</v>
      </c>
      <c r="R185" s="38">
        <f t="shared" si="30"/>
        <v>0</v>
      </c>
      <c r="T185" t="s">
        <v>2760</v>
      </c>
    </row>
    <row r="186" spans="1:21" ht="15.75" customHeight="1" x14ac:dyDescent="0.3">
      <c r="A186" s="539" t="s">
        <v>2426</v>
      </c>
      <c r="B186" s="10">
        <f>9514+1+2521+2+26</f>
        <v>12064</v>
      </c>
      <c r="C186" s="10">
        <f>6296+1+2277+2+28</f>
        <v>8604</v>
      </c>
      <c r="D186" s="10">
        <f>6281+1+2521+2+45</f>
        <v>8850</v>
      </c>
      <c r="E186" s="38">
        <f t="shared" si="33"/>
        <v>29518</v>
      </c>
      <c r="F186" s="10">
        <f>6143+2440+1+2+83</f>
        <v>8669</v>
      </c>
      <c r="G186" s="10">
        <f>6757+1+2521+2+105</f>
        <v>9386</v>
      </c>
      <c r="H186" s="10">
        <f>8445+1+2440+2+117</f>
        <v>11005</v>
      </c>
      <c r="I186" s="38">
        <f t="shared" si="27"/>
        <v>29060</v>
      </c>
      <c r="J186" s="10">
        <f>10464+2521+1+3+94</f>
        <v>13083</v>
      </c>
      <c r="K186" s="10">
        <f>9100+1+2521</f>
        <v>11622</v>
      </c>
      <c r="L186" s="356">
        <f>8445+1+2440</f>
        <v>10886</v>
      </c>
      <c r="M186" s="38">
        <f t="shared" si="28"/>
        <v>35591</v>
      </c>
      <c r="N186" s="10">
        <f>8660+1+2521</f>
        <v>11182</v>
      </c>
      <c r="O186" s="10">
        <f>8445+1+2311</f>
        <v>10757</v>
      </c>
      <c r="P186" s="10">
        <f>6608+1</f>
        <v>6609</v>
      </c>
      <c r="Q186" s="38">
        <f t="shared" si="29"/>
        <v>28548</v>
      </c>
      <c r="R186" s="38">
        <f t="shared" si="30"/>
        <v>122717</v>
      </c>
      <c r="S186" t="s">
        <v>3020</v>
      </c>
      <c r="U186">
        <f>122204-R186</f>
        <v>-513</v>
      </c>
    </row>
    <row r="187" spans="1:21" ht="15.75" customHeight="1" x14ac:dyDescent="0.3">
      <c r="A187" s="539" t="s">
        <v>3059</v>
      </c>
      <c r="B187" s="10">
        <v>104</v>
      </c>
      <c r="C187" s="10">
        <v>311</v>
      </c>
      <c r="D187" s="10">
        <v>516</v>
      </c>
      <c r="E187" s="38">
        <f t="shared" si="33"/>
        <v>931</v>
      </c>
      <c r="F187" s="10">
        <v>575</v>
      </c>
      <c r="G187" s="10">
        <f>492+225</f>
        <v>717</v>
      </c>
      <c r="H187" s="10">
        <v>458</v>
      </c>
      <c r="I187" s="38">
        <f t="shared" si="27"/>
        <v>1750</v>
      </c>
      <c r="J187" s="10">
        <v>435</v>
      </c>
      <c r="K187" s="10"/>
      <c r="L187" s="10"/>
      <c r="M187" s="38">
        <f t="shared" si="28"/>
        <v>435</v>
      </c>
      <c r="N187" s="10"/>
      <c r="O187" s="10"/>
      <c r="P187" s="10"/>
      <c r="Q187" s="38">
        <f t="shared" si="29"/>
        <v>0</v>
      </c>
      <c r="R187" s="38">
        <f>+E187+I187+M187+Q187</f>
        <v>3116</v>
      </c>
      <c r="S187" s="709"/>
      <c r="T187" t="s">
        <v>2760</v>
      </c>
    </row>
    <row r="188" spans="1:21" ht="15.75" customHeight="1" x14ac:dyDescent="0.3">
      <c r="A188" s="539" t="s">
        <v>3398</v>
      </c>
      <c r="B188" s="10">
        <v>45</v>
      </c>
      <c r="C188" s="10">
        <v>50</v>
      </c>
      <c r="D188" s="10">
        <v>60</v>
      </c>
      <c r="E188" s="38">
        <f t="shared" si="33"/>
        <v>155</v>
      </c>
      <c r="F188" s="10">
        <v>65</v>
      </c>
      <c r="G188" s="10">
        <v>65</v>
      </c>
      <c r="H188" s="10">
        <v>65</v>
      </c>
      <c r="I188" s="38">
        <f t="shared" si="27"/>
        <v>195</v>
      </c>
      <c r="J188" s="10">
        <v>75</v>
      </c>
      <c r="K188" s="10">
        <v>75</v>
      </c>
      <c r="L188" s="10">
        <v>60</v>
      </c>
      <c r="M188" s="38">
        <f t="shared" si="28"/>
        <v>210</v>
      </c>
      <c r="N188" s="10">
        <v>60</v>
      </c>
      <c r="O188" s="10">
        <v>50</v>
      </c>
      <c r="P188" s="10">
        <v>50</v>
      </c>
      <c r="Q188" s="38">
        <f t="shared" si="29"/>
        <v>160</v>
      </c>
      <c r="R188" s="38">
        <f t="shared" si="30"/>
        <v>720</v>
      </c>
      <c r="S188" t="s">
        <v>3020</v>
      </c>
      <c r="T188" t="s">
        <v>2760</v>
      </c>
    </row>
    <row r="189" spans="1:21" ht="15.75" customHeight="1" x14ac:dyDescent="0.3">
      <c r="A189" s="569" t="s">
        <v>3425</v>
      </c>
      <c r="B189" s="10"/>
      <c r="C189" s="10"/>
      <c r="D189" s="10"/>
      <c r="E189" s="38">
        <f t="shared" si="33"/>
        <v>0</v>
      </c>
      <c r="F189" s="10"/>
      <c r="G189" s="10"/>
      <c r="H189" s="10"/>
      <c r="I189" s="38">
        <f t="shared" si="27"/>
        <v>0</v>
      </c>
      <c r="J189" s="10">
        <v>500</v>
      </c>
      <c r="K189" s="10"/>
      <c r="L189" s="10"/>
      <c r="M189" s="38">
        <f t="shared" si="28"/>
        <v>500</v>
      </c>
      <c r="N189" s="10"/>
      <c r="O189" s="10"/>
      <c r="P189" s="10"/>
      <c r="Q189" s="38">
        <f t="shared" ref="Q189" si="38">SUM(N189:P189)</f>
        <v>0</v>
      </c>
      <c r="R189" s="38">
        <f t="shared" si="30"/>
        <v>500</v>
      </c>
    </row>
    <row r="190" spans="1:21" ht="15.75" customHeight="1" x14ac:dyDescent="0.3">
      <c r="A190" s="539" t="s">
        <v>1520</v>
      </c>
      <c r="B190" s="10">
        <v>3283</v>
      </c>
      <c r="C190" s="10"/>
      <c r="D190" s="10"/>
      <c r="E190" s="38">
        <f t="shared" si="33"/>
        <v>3283</v>
      </c>
      <c r="F190" s="10"/>
      <c r="G190" s="10"/>
      <c r="H190" s="10">
        <f>3497+740+120+60</f>
        <v>4417</v>
      </c>
      <c r="I190" s="38">
        <f t="shared" si="27"/>
        <v>4417</v>
      </c>
      <c r="J190" s="10">
        <f>5900+670+120+50</f>
        <v>6740</v>
      </c>
      <c r="K190" s="10">
        <f>5870+380+120+40</f>
        <v>6410</v>
      </c>
      <c r="L190" s="10">
        <f>6040+370+100+30</f>
        <v>6540</v>
      </c>
      <c r="M190" s="38">
        <f t="shared" si="28"/>
        <v>19690</v>
      </c>
      <c r="N190" s="10">
        <f>6330+190+110+50</f>
        <v>6680</v>
      </c>
      <c r="O190" s="10">
        <f>5290+80+30</f>
        <v>5400</v>
      </c>
      <c r="P190" s="10">
        <f>5130+80+20</f>
        <v>5230</v>
      </c>
      <c r="Q190" s="38">
        <f t="shared" si="29"/>
        <v>17310</v>
      </c>
      <c r="R190" s="38">
        <f>+E190+I190+M190+Q190</f>
        <v>44700</v>
      </c>
    </row>
    <row r="191" spans="1:21" ht="15.75" customHeight="1" x14ac:dyDescent="0.3">
      <c r="A191" s="539" t="s">
        <v>3062</v>
      </c>
      <c r="B191" s="10"/>
      <c r="C191" s="10"/>
      <c r="D191" s="10"/>
      <c r="E191" s="38">
        <f t="shared" ref="E191" si="39">SUM(B191:D191)</f>
        <v>0</v>
      </c>
      <c r="F191" s="10"/>
      <c r="G191" s="10"/>
      <c r="H191" s="10">
        <v>98</v>
      </c>
      <c r="I191" s="38">
        <f t="shared" si="27"/>
        <v>98</v>
      </c>
      <c r="J191" s="10">
        <f>98+500</f>
        <v>598</v>
      </c>
      <c r="K191" s="10">
        <v>98</v>
      </c>
      <c r="L191" s="10">
        <v>98</v>
      </c>
      <c r="M191" s="38">
        <f t="shared" si="28"/>
        <v>794</v>
      </c>
      <c r="N191" s="10">
        <v>98</v>
      </c>
      <c r="O191" s="10">
        <v>98</v>
      </c>
      <c r="P191" s="10">
        <v>98</v>
      </c>
      <c r="Q191" s="38">
        <f t="shared" si="29"/>
        <v>294</v>
      </c>
      <c r="R191" s="38">
        <f t="shared" si="30"/>
        <v>1186</v>
      </c>
      <c r="S191" t="s">
        <v>3020</v>
      </c>
    </row>
    <row r="192" spans="1:21" ht="15.75" customHeight="1" x14ac:dyDescent="0.3">
      <c r="A192" s="569" t="s">
        <v>2739</v>
      </c>
      <c r="B192" s="10"/>
      <c r="C192" s="10"/>
      <c r="D192" s="10"/>
      <c r="E192" s="38">
        <f t="shared" ref="E192:E197" si="40">SUM(B192:D192)</f>
        <v>0</v>
      </c>
      <c r="F192" s="10"/>
      <c r="G192" s="10"/>
      <c r="H192" s="10"/>
      <c r="I192" s="38">
        <f t="shared" ref="I192:I197" si="41">SUM(F192:H192)</f>
        <v>0</v>
      </c>
      <c r="J192" s="10"/>
      <c r="K192" s="10"/>
      <c r="L192" s="10"/>
      <c r="M192" s="38">
        <f t="shared" ref="M192:M197" si="42">SUM(J192:L192)</f>
        <v>0</v>
      </c>
      <c r="N192" s="10"/>
      <c r="O192" s="10"/>
      <c r="P192" s="10"/>
      <c r="Q192" s="38">
        <f t="shared" si="29"/>
        <v>0</v>
      </c>
      <c r="R192" s="38">
        <f t="shared" si="30"/>
        <v>0</v>
      </c>
      <c r="T192" t="s">
        <v>2769</v>
      </c>
    </row>
    <row r="193" spans="1:20" ht="15.75" customHeight="1" x14ac:dyDescent="0.3">
      <c r="A193" s="569" t="s">
        <v>2740</v>
      </c>
      <c r="B193" s="10"/>
      <c r="C193" s="10"/>
      <c r="D193" s="10"/>
      <c r="E193" s="38">
        <f t="shared" si="40"/>
        <v>0</v>
      </c>
      <c r="F193" s="10"/>
      <c r="G193" s="10"/>
      <c r="H193" s="10"/>
      <c r="I193" s="38">
        <f t="shared" si="41"/>
        <v>0</v>
      </c>
      <c r="J193" s="10"/>
      <c r="K193" s="10"/>
      <c r="L193" s="10"/>
      <c r="M193" s="38">
        <f t="shared" si="42"/>
        <v>0</v>
      </c>
      <c r="N193" s="10"/>
      <c r="O193" s="10"/>
      <c r="P193" s="10"/>
      <c r="Q193" s="38">
        <f t="shared" si="29"/>
        <v>0</v>
      </c>
      <c r="R193" s="38">
        <f>+E193+I193+M193+Q193</f>
        <v>0</v>
      </c>
    </row>
    <row r="194" spans="1:20" ht="15.75" customHeight="1" x14ac:dyDescent="0.3">
      <c r="A194" s="569" t="s">
        <v>3055</v>
      </c>
      <c r="B194" s="10"/>
      <c r="C194" s="10"/>
      <c r="D194" s="10"/>
      <c r="E194" s="38">
        <f t="shared" si="40"/>
        <v>0</v>
      </c>
      <c r="F194" s="10">
        <v>1000</v>
      </c>
      <c r="G194" s="10">
        <v>1000</v>
      </c>
      <c r="H194" s="10">
        <v>1000</v>
      </c>
      <c r="I194" s="38">
        <f t="shared" si="41"/>
        <v>3000</v>
      </c>
      <c r="J194" s="10">
        <v>1000</v>
      </c>
      <c r="K194" s="10">
        <v>799</v>
      </c>
      <c r="L194" s="10">
        <v>201</v>
      </c>
      <c r="M194" s="38">
        <f t="shared" si="42"/>
        <v>2000</v>
      </c>
      <c r="N194" s="10"/>
      <c r="O194" s="10"/>
      <c r="P194" s="10"/>
      <c r="Q194" s="38">
        <f t="shared" si="29"/>
        <v>0</v>
      </c>
      <c r="R194" s="38">
        <f t="shared" si="30"/>
        <v>5000</v>
      </c>
    </row>
    <row r="195" spans="1:20" ht="15.75" customHeight="1" x14ac:dyDescent="0.3">
      <c r="A195" s="539" t="s">
        <v>2821</v>
      </c>
      <c r="B195" s="10">
        <v>122</v>
      </c>
      <c r="C195" s="10">
        <v>300</v>
      </c>
      <c r="D195" s="10">
        <v>350</v>
      </c>
      <c r="E195" s="38">
        <f t="shared" si="40"/>
        <v>772</v>
      </c>
      <c r="F195" s="10">
        <v>350</v>
      </c>
      <c r="G195" s="10">
        <v>400</v>
      </c>
      <c r="H195" s="10">
        <v>450</v>
      </c>
      <c r="I195" s="38">
        <f t="shared" si="41"/>
        <v>1200</v>
      </c>
      <c r="J195" s="10">
        <v>493</v>
      </c>
      <c r="K195" s="10">
        <v>500</v>
      </c>
      <c r="L195" s="10">
        <v>400</v>
      </c>
      <c r="M195" s="38">
        <f t="shared" si="42"/>
        <v>1393</v>
      </c>
      <c r="N195" s="10">
        <v>400</v>
      </c>
      <c r="O195" s="10">
        <v>300</v>
      </c>
      <c r="P195" s="10">
        <v>250</v>
      </c>
      <c r="Q195" s="38">
        <f t="shared" si="29"/>
        <v>950</v>
      </c>
      <c r="R195" s="38">
        <f>+E195+I195+M195+Q195</f>
        <v>4315</v>
      </c>
      <c r="S195" t="s">
        <v>3020</v>
      </c>
      <c r="T195" t="s">
        <v>2760</v>
      </c>
    </row>
    <row r="196" spans="1:20" ht="15.75" customHeight="1" x14ac:dyDescent="0.3">
      <c r="A196" s="539" t="s">
        <v>1574</v>
      </c>
      <c r="B196" s="10">
        <v>3</v>
      </c>
      <c r="C196" s="10">
        <v>2</v>
      </c>
      <c r="D196" s="10">
        <v>2</v>
      </c>
      <c r="E196" s="38">
        <f t="shared" si="40"/>
        <v>7</v>
      </c>
      <c r="F196" s="10">
        <f>4+5</f>
        <v>9</v>
      </c>
      <c r="G196" s="10">
        <v>4</v>
      </c>
      <c r="H196" s="10">
        <v>4</v>
      </c>
      <c r="I196" s="38">
        <f t="shared" si="41"/>
        <v>17</v>
      </c>
      <c r="J196" s="10">
        <v>4</v>
      </c>
      <c r="K196" s="10">
        <v>4</v>
      </c>
      <c r="L196" s="10">
        <v>3</v>
      </c>
      <c r="M196" s="38">
        <f t="shared" si="42"/>
        <v>11</v>
      </c>
      <c r="N196" s="10">
        <v>3</v>
      </c>
      <c r="O196" s="10">
        <v>3</v>
      </c>
      <c r="P196" s="10">
        <v>3</v>
      </c>
      <c r="Q196" s="38">
        <f t="shared" si="29"/>
        <v>9</v>
      </c>
      <c r="R196" s="38">
        <f>+E196+I196+M196+Q196</f>
        <v>44</v>
      </c>
      <c r="S196">
        <f>SUM(R142:R196)</f>
        <v>302752</v>
      </c>
    </row>
    <row r="197" spans="1:20" ht="15.75" customHeight="1" x14ac:dyDescent="0.3">
      <c r="A197" s="539" t="s">
        <v>3008</v>
      </c>
      <c r="B197" s="10"/>
      <c r="C197" s="10"/>
      <c r="D197" s="10"/>
      <c r="E197" s="38">
        <f t="shared" si="40"/>
        <v>0</v>
      </c>
      <c r="F197" s="10"/>
      <c r="G197" s="10"/>
      <c r="H197" s="10"/>
      <c r="I197" s="38">
        <f t="shared" si="41"/>
        <v>0</v>
      </c>
      <c r="J197" s="10"/>
      <c r="K197" s="10"/>
      <c r="L197" s="10"/>
      <c r="M197" s="38">
        <f t="shared" si="42"/>
        <v>0</v>
      </c>
      <c r="N197" s="10"/>
      <c r="O197" s="10"/>
      <c r="P197" s="10"/>
      <c r="Q197" s="38">
        <f t="shared" si="29"/>
        <v>0</v>
      </c>
      <c r="R197" s="38">
        <f>+E197+I197+M197+Q197</f>
        <v>0</v>
      </c>
      <c r="S197" s="709" t="s">
        <v>3020</v>
      </c>
      <c r="T197" t="s">
        <v>2760</v>
      </c>
    </row>
    <row r="198" spans="1:20" ht="15.75" customHeight="1" x14ac:dyDescent="0.3">
      <c r="A198" s="234" t="s">
        <v>2161</v>
      </c>
      <c r="B198" s="10"/>
      <c r="C198" s="10"/>
      <c r="D198" s="10"/>
      <c r="E198" s="38" t="s">
        <v>852</v>
      </c>
      <c r="F198" s="10"/>
      <c r="G198" s="10"/>
      <c r="H198" s="10"/>
      <c r="I198" s="38" t="s">
        <v>852</v>
      </c>
      <c r="J198" s="10"/>
      <c r="K198" s="10"/>
      <c r="L198" s="10"/>
      <c r="M198" s="38" t="s">
        <v>852</v>
      </c>
      <c r="N198" s="10"/>
      <c r="O198" s="10"/>
      <c r="P198" s="10"/>
      <c r="Q198" s="38" t="s">
        <v>852</v>
      </c>
      <c r="R198" s="38" t="s">
        <v>852</v>
      </c>
    </row>
    <row r="199" spans="1:20" ht="15.75" customHeight="1" x14ac:dyDescent="0.3">
      <c r="A199" s="539" t="s">
        <v>2515</v>
      </c>
      <c r="B199" s="10"/>
      <c r="C199" s="10"/>
      <c r="D199" s="10"/>
      <c r="E199" s="38">
        <f t="shared" ref="E199:E208" si="43">SUM(B199:D199)</f>
        <v>0</v>
      </c>
      <c r="F199" s="10"/>
      <c r="G199" s="10"/>
      <c r="H199" s="10"/>
      <c r="I199" s="38">
        <f t="shared" ref="I199:I208" si="44">SUM(F199:H199)</f>
        <v>0</v>
      </c>
      <c r="J199" s="10"/>
      <c r="K199" s="10"/>
      <c r="L199" s="10"/>
      <c r="M199" s="38">
        <f t="shared" ref="M199:M208" si="45">SUM(J199:L199)</f>
        <v>0</v>
      </c>
      <c r="N199" s="10"/>
      <c r="O199" s="10"/>
      <c r="P199" s="10"/>
      <c r="Q199" s="38">
        <f t="shared" ref="Q199:Q208" si="46">SUM(N199:P199)</f>
        <v>0</v>
      </c>
      <c r="R199" s="38">
        <f t="shared" ref="R199:R208" si="47">+E199+I199+M199+Q199</f>
        <v>0</v>
      </c>
    </row>
    <row r="200" spans="1:20" ht="15.75" customHeight="1" x14ac:dyDescent="0.3">
      <c r="A200" s="310" t="s">
        <v>2368</v>
      </c>
      <c r="B200" s="10"/>
      <c r="C200" s="10"/>
      <c r="D200" s="10"/>
      <c r="E200" s="38">
        <f>SUM(B200:D200)</f>
        <v>0</v>
      </c>
      <c r="F200" s="10"/>
      <c r="G200" s="10"/>
      <c r="H200" s="10"/>
      <c r="I200" s="38">
        <f>SUM(F200:H200)</f>
        <v>0</v>
      </c>
      <c r="J200" s="10"/>
      <c r="K200" s="10"/>
      <c r="L200" s="10"/>
      <c r="M200" s="38">
        <f>SUM(J200:L200)</f>
        <v>0</v>
      </c>
      <c r="N200" s="10"/>
      <c r="O200" s="10"/>
      <c r="P200" s="10"/>
      <c r="Q200" s="38">
        <f>SUM(N200:P200)</f>
        <v>0</v>
      </c>
      <c r="R200" s="38">
        <f>+E200+I200+M200+Q200</f>
        <v>0</v>
      </c>
      <c r="T200" t="s">
        <v>1193</v>
      </c>
    </row>
    <row r="201" spans="1:20" ht="15.75" customHeight="1" x14ac:dyDescent="0.3">
      <c r="A201" s="310" t="s">
        <v>1747</v>
      </c>
      <c r="B201" s="10"/>
      <c r="C201" s="10"/>
      <c r="D201" s="10"/>
      <c r="E201" s="38">
        <f t="shared" si="43"/>
        <v>0</v>
      </c>
      <c r="F201" s="10"/>
      <c r="G201" s="10"/>
      <c r="H201" s="10"/>
      <c r="I201" s="38">
        <f t="shared" si="44"/>
        <v>0</v>
      </c>
      <c r="J201" s="10"/>
      <c r="K201" s="10"/>
      <c r="L201" s="10"/>
      <c r="M201" s="38">
        <f t="shared" si="45"/>
        <v>0</v>
      </c>
      <c r="N201" s="10"/>
      <c r="O201" s="10"/>
      <c r="P201" s="10"/>
      <c r="Q201" s="38">
        <f t="shared" si="46"/>
        <v>0</v>
      </c>
      <c r="R201" s="38">
        <f t="shared" si="47"/>
        <v>0</v>
      </c>
    </row>
    <row r="202" spans="1:20" ht="15.75" customHeight="1" x14ac:dyDescent="0.3">
      <c r="A202" s="539" t="s">
        <v>2822</v>
      </c>
      <c r="B202" s="10"/>
      <c r="C202" s="10"/>
      <c r="D202" s="10"/>
      <c r="E202" s="38">
        <f t="shared" si="43"/>
        <v>0</v>
      </c>
      <c r="F202" s="10"/>
      <c r="G202" s="10"/>
      <c r="H202" s="10"/>
      <c r="I202" s="38">
        <f t="shared" si="44"/>
        <v>0</v>
      </c>
      <c r="J202" s="10"/>
      <c r="K202" s="10"/>
      <c r="L202" s="10"/>
      <c r="M202" s="38">
        <f t="shared" si="45"/>
        <v>0</v>
      </c>
      <c r="N202" s="10"/>
      <c r="O202" s="10"/>
      <c r="P202" s="10"/>
      <c r="Q202" s="38">
        <f t="shared" si="46"/>
        <v>0</v>
      </c>
      <c r="R202" s="38">
        <f t="shared" si="47"/>
        <v>0</v>
      </c>
      <c r="T202" t="s">
        <v>2760</v>
      </c>
    </row>
    <row r="203" spans="1:20" ht="15.75" customHeight="1" x14ac:dyDescent="0.3">
      <c r="A203" s="310" t="s">
        <v>1824</v>
      </c>
      <c r="B203" s="10"/>
      <c r="C203" s="10"/>
      <c r="D203" s="10"/>
      <c r="E203" s="38">
        <f t="shared" si="43"/>
        <v>0</v>
      </c>
      <c r="F203" s="10"/>
      <c r="G203" s="10"/>
      <c r="H203" s="10"/>
      <c r="I203" s="38">
        <f t="shared" si="44"/>
        <v>0</v>
      </c>
      <c r="J203" s="10"/>
      <c r="K203" s="10"/>
      <c r="L203" s="10"/>
      <c r="M203" s="38">
        <f t="shared" si="45"/>
        <v>0</v>
      </c>
      <c r="N203" s="10"/>
      <c r="O203" s="10"/>
      <c r="P203" s="10"/>
      <c r="Q203" s="38">
        <f t="shared" si="46"/>
        <v>0</v>
      </c>
      <c r="R203" s="38">
        <f t="shared" si="47"/>
        <v>0</v>
      </c>
    </row>
    <row r="204" spans="1:20" ht="15.75" customHeight="1" x14ac:dyDescent="0.3">
      <c r="A204" s="310" t="s">
        <v>1746</v>
      </c>
      <c r="B204" s="10"/>
      <c r="C204" s="10"/>
      <c r="D204" s="10"/>
      <c r="E204" s="38">
        <f t="shared" si="43"/>
        <v>0</v>
      </c>
      <c r="F204" s="10"/>
      <c r="G204" s="10"/>
      <c r="H204" s="10"/>
      <c r="I204" s="38">
        <f t="shared" si="44"/>
        <v>0</v>
      </c>
      <c r="J204" s="10"/>
      <c r="K204" s="10"/>
      <c r="L204" s="10"/>
      <c r="M204" s="38">
        <f t="shared" si="45"/>
        <v>0</v>
      </c>
      <c r="N204" s="10"/>
      <c r="O204" s="10"/>
      <c r="P204" s="10"/>
      <c r="Q204" s="38">
        <f t="shared" si="46"/>
        <v>0</v>
      </c>
      <c r="R204" s="38">
        <f t="shared" si="47"/>
        <v>0</v>
      </c>
    </row>
    <row r="205" spans="1:20" ht="15.75" customHeight="1" x14ac:dyDescent="0.3">
      <c r="A205" s="317" t="s">
        <v>1546</v>
      </c>
      <c r="B205" s="10"/>
      <c r="C205" s="10"/>
      <c r="D205" s="10"/>
      <c r="E205" s="38">
        <f t="shared" si="43"/>
        <v>0</v>
      </c>
      <c r="F205" s="10"/>
      <c r="G205" s="10"/>
      <c r="H205" s="10"/>
      <c r="I205" s="38">
        <f t="shared" si="44"/>
        <v>0</v>
      </c>
      <c r="J205" s="10"/>
      <c r="K205" s="10"/>
      <c r="L205" s="10"/>
      <c r="M205" s="38">
        <f t="shared" si="45"/>
        <v>0</v>
      </c>
      <c r="N205" s="10"/>
      <c r="O205" s="10"/>
      <c r="P205" s="10"/>
      <c r="Q205" s="38">
        <f t="shared" si="46"/>
        <v>0</v>
      </c>
      <c r="R205" s="38">
        <f t="shared" si="47"/>
        <v>0</v>
      </c>
      <c r="T205" t="s">
        <v>2764</v>
      </c>
    </row>
    <row r="206" spans="1:20" ht="15.75" customHeight="1" x14ac:dyDescent="0.3">
      <c r="A206" s="539" t="s">
        <v>2823</v>
      </c>
      <c r="B206" s="10"/>
      <c r="C206" s="10"/>
      <c r="D206" s="10"/>
      <c r="E206" s="38">
        <f t="shared" si="43"/>
        <v>0</v>
      </c>
      <c r="F206" s="10"/>
      <c r="G206" s="10"/>
      <c r="H206" s="10"/>
      <c r="I206" s="38">
        <f t="shared" si="44"/>
        <v>0</v>
      </c>
      <c r="J206" s="10"/>
      <c r="K206" s="10"/>
      <c r="L206" s="10"/>
      <c r="M206" s="38">
        <f t="shared" si="45"/>
        <v>0</v>
      </c>
      <c r="N206" s="10"/>
      <c r="O206" s="10"/>
      <c r="P206" s="10"/>
      <c r="Q206" s="38">
        <f t="shared" si="46"/>
        <v>0</v>
      </c>
      <c r="R206" s="38">
        <f t="shared" si="47"/>
        <v>0</v>
      </c>
      <c r="T206" t="s">
        <v>2760</v>
      </c>
    </row>
    <row r="207" spans="1:20" ht="15.75" customHeight="1" x14ac:dyDescent="0.3">
      <c r="A207" s="539" t="s">
        <v>2815</v>
      </c>
      <c r="B207" s="10"/>
      <c r="C207" s="10"/>
      <c r="D207" s="10"/>
      <c r="E207" s="38">
        <f t="shared" si="43"/>
        <v>0</v>
      </c>
      <c r="F207" s="10"/>
      <c r="G207" s="10"/>
      <c r="H207" s="10"/>
      <c r="I207" s="38">
        <f t="shared" si="44"/>
        <v>0</v>
      </c>
      <c r="J207" s="10"/>
      <c r="K207" s="10"/>
      <c r="L207" s="10"/>
      <c r="M207" s="38">
        <f t="shared" si="45"/>
        <v>0</v>
      </c>
      <c r="N207" s="10"/>
      <c r="O207" s="10"/>
      <c r="P207" s="10"/>
      <c r="Q207" s="38">
        <f t="shared" si="46"/>
        <v>0</v>
      </c>
      <c r="R207" s="38">
        <f t="shared" si="47"/>
        <v>0</v>
      </c>
      <c r="T207" t="s">
        <v>2631</v>
      </c>
    </row>
    <row r="208" spans="1:20" ht="15.75" customHeight="1" x14ac:dyDescent="0.3">
      <c r="A208" s="317" t="s">
        <v>5</v>
      </c>
      <c r="B208" s="10"/>
      <c r="C208" s="10"/>
      <c r="D208" s="10"/>
      <c r="E208" s="38">
        <f t="shared" si="43"/>
        <v>0</v>
      </c>
      <c r="F208" s="10"/>
      <c r="G208" s="10"/>
      <c r="H208" s="10"/>
      <c r="I208" s="38">
        <f t="shared" si="44"/>
        <v>0</v>
      </c>
      <c r="J208" s="10"/>
      <c r="K208" s="10"/>
      <c r="L208" s="10"/>
      <c r="M208" s="38">
        <f t="shared" si="45"/>
        <v>0</v>
      </c>
      <c r="N208" s="10"/>
      <c r="O208" s="10"/>
      <c r="P208" s="10"/>
      <c r="Q208" s="38">
        <f t="shared" si="46"/>
        <v>0</v>
      </c>
      <c r="R208" s="38">
        <f t="shared" si="47"/>
        <v>0</v>
      </c>
    </row>
    <row r="209" spans="1:20" ht="15.75" customHeight="1" x14ac:dyDescent="0.3">
      <c r="A209" s="234" t="s">
        <v>3245</v>
      </c>
      <c r="B209" s="10"/>
      <c r="C209" s="10"/>
      <c r="D209" s="10"/>
      <c r="E209" s="38" t="s">
        <v>852</v>
      </c>
      <c r="F209" s="10"/>
      <c r="G209" s="10"/>
      <c r="H209" s="10"/>
      <c r="I209" s="38" t="s">
        <v>852</v>
      </c>
      <c r="J209" s="10"/>
      <c r="K209" s="10"/>
      <c r="L209" s="10"/>
      <c r="M209" s="38" t="s">
        <v>852</v>
      </c>
      <c r="N209" s="10"/>
      <c r="O209" s="10"/>
      <c r="P209" s="10"/>
      <c r="Q209" s="38" t="s">
        <v>852</v>
      </c>
      <c r="R209" s="38" t="s">
        <v>852</v>
      </c>
    </row>
    <row r="210" spans="1:20" ht="15.75" customHeight="1" x14ac:dyDescent="0.3">
      <c r="A210" s="568" t="s">
        <v>3249</v>
      </c>
      <c r="B210" s="10"/>
      <c r="C210" s="10"/>
      <c r="D210" s="10"/>
      <c r="E210" s="38">
        <f>SUM(B210:D210)</f>
        <v>0</v>
      </c>
      <c r="F210" s="10"/>
      <c r="G210" s="10"/>
      <c r="H210" s="10"/>
      <c r="I210" s="38">
        <f>SUM(F210:H210)</f>
        <v>0</v>
      </c>
      <c r="J210" s="10"/>
      <c r="K210" s="10"/>
      <c r="L210" s="10"/>
      <c r="M210" s="38">
        <f>SUM(J210:L210)</f>
        <v>0</v>
      </c>
      <c r="N210" s="10"/>
      <c r="O210" s="10"/>
      <c r="P210" s="10"/>
      <c r="Q210" s="38">
        <f>SUM(N210:P210)</f>
        <v>0</v>
      </c>
      <c r="R210" s="38">
        <f>+E210+I210+M210+Q210</f>
        <v>0</v>
      </c>
      <c r="S210" s="735" t="s">
        <v>3214</v>
      </c>
      <c r="T210" t="s">
        <v>2769</v>
      </c>
    </row>
    <row r="211" spans="1:20" ht="15.75" customHeight="1" x14ac:dyDescent="0.3">
      <c r="A211" s="568" t="s">
        <v>3250</v>
      </c>
      <c r="B211" s="10"/>
      <c r="C211" s="10"/>
      <c r="D211" s="10"/>
      <c r="E211" s="38">
        <f>SUM(B211:D211)</f>
        <v>0</v>
      </c>
      <c r="F211" s="10"/>
      <c r="G211" s="10"/>
      <c r="H211" s="10"/>
      <c r="I211" s="38">
        <f>SUM(F211:H211)</f>
        <v>0</v>
      </c>
      <c r="J211" s="10"/>
      <c r="K211" s="10"/>
      <c r="L211" s="10"/>
      <c r="M211" s="38">
        <f>SUM(J211:L211)</f>
        <v>0</v>
      </c>
      <c r="N211" s="10"/>
      <c r="O211" s="10"/>
      <c r="P211" s="10"/>
      <c r="Q211" s="38">
        <f>SUM(N211:P211)</f>
        <v>0</v>
      </c>
      <c r="R211" s="38">
        <f>+E211+I211+M211+Q211</f>
        <v>0</v>
      </c>
      <c r="S211" s="735" t="s">
        <v>3214</v>
      </c>
      <c r="T211" t="s">
        <v>2770</v>
      </c>
    </row>
    <row r="212" spans="1:20" ht="15.75" customHeight="1" x14ac:dyDescent="0.3">
      <c r="A212" s="422" t="s">
        <v>3251</v>
      </c>
      <c r="B212" s="10"/>
      <c r="C212" s="10"/>
      <c r="D212" s="10"/>
      <c r="E212" s="38">
        <f>SUM(B212:D212)</f>
        <v>0</v>
      </c>
      <c r="F212" s="10"/>
      <c r="G212" s="10"/>
      <c r="H212" s="10"/>
      <c r="I212" s="38">
        <f>SUM(F212:H212)</f>
        <v>0</v>
      </c>
      <c r="J212" s="10"/>
      <c r="K212" s="10"/>
      <c r="L212" s="10"/>
      <c r="M212" s="38">
        <f>SUM(J212:L212)</f>
        <v>0</v>
      </c>
      <c r="N212" s="10"/>
      <c r="O212" s="10"/>
      <c r="P212" s="10"/>
      <c r="Q212" s="38">
        <f>SUM(N212:P212)</f>
        <v>0</v>
      </c>
      <c r="R212" s="38">
        <f>+E212+I212+M212+Q212</f>
        <v>0</v>
      </c>
      <c r="S212" s="735" t="s">
        <v>3214</v>
      </c>
      <c r="T212" t="s">
        <v>2793</v>
      </c>
    </row>
    <row r="213" spans="1:20" ht="15.75" customHeight="1" thickBot="1" x14ac:dyDescent="0.35">
      <c r="A213" s="234" t="s">
        <v>2164</v>
      </c>
      <c r="B213" s="10"/>
      <c r="C213" s="10"/>
      <c r="D213" s="10"/>
      <c r="E213" s="38" t="s">
        <v>852</v>
      </c>
      <c r="F213" s="10"/>
      <c r="G213" s="10"/>
      <c r="H213" s="10"/>
      <c r="I213" s="38" t="s">
        <v>852</v>
      </c>
      <c r="J213" s="10"/>
      <c r="K213" s="10"/>
      <c r="L213" s="10"/>
      <c r="M213" s="38" t="s">
        <v>852</v>
      </c>
      <c r="N213" s="10"/>
      <c r="O213" s="10"/>
      <c r="P213" s="10"/>
      <c r="Q213" s="38" t="s">
        <v>852</v>
      </c>
      <c r="R213" s="38" t="s">
        <v>852</v>
      </c>
    </row>
    <row r="214" spans="1:20" ht="16.5" customHeight="1" thickBot="1" x14ac:dyDescent="0.35">
      <c r="A214" s="43" t="s">
        <v>1218</v>
      </c>
      <c r="B214" s="45">
        <f>SUM(B140:B213)</f>
        <v>19392</v>
      </c>
      <c r="C214" s="46">
        <f>SUM(C140:C213)</f>
        <v>12491</v>
      </c>
      <c r="D214" s="46">
        <f>SUM(D140:D213)</f>
        <v>15439</v>
      </c>
      <c r="E214" s="37">
        <f>SUM(B214:D214)</f>
        <v>47322</v>
      </c>
      <c r="F214" s="46">
        <f>SUM(F140:F213)</f>
        <v>22433</v>
      </c>
      <c r="G214" s="46">
        <f t="shared" ref="G214:H214" si="48">SUM(G140:G213)</f>
        <v>24267</v>
      </c>
      <c r="H214" s="46">
        <f t="shared" si="48"/>
        <v>34424</v>
      </c>
      <c r="I214" s="37">
        <f>SUM(F214:H214)</f>
        <v>81124</v>
      </c>
      <c r="J214" s="46">
        <f>SUM(J140:J213)</f>
        <v>39182</v>
      </c>
      <c r="K214" s="46">
        <f>SUM(K140:K213)</f>
        <v>35517</v>
      </c>
      <c r="L214" s="46">
        <f>SUM(L140:L213)</f>
        <v>32428</v>
      </c>
      <c r="M214" s="37">
        <f>SUM(J214:L214)</f>
        <v>107127</v>
      </c>
      <c r="N214" s="46">
        <f>SUM(N140:N213)</f>
        <v>25822</v>
      </c>
      <c r="O214" s="46">
        <f>SUM(O140:O213)</f>
        <v>23457</v>
      </c>
      <c r="P214" s="46">
        <f>SUM(P140:P213)</f>
        <v>17900</v>
      </c>
      <c r="Q214" s="37">
        <f>SUM(N214:P214)</f>
        <v>67179</v>
      </c>
      <c r="R214" s="37">
        <f>+E214+I214+M214+Q214</f>
        <v>302752</v>
      </c>
    </row>
    <row r="215" spans="1:20" ht="15.75" customHeight="1" x14ac:dyDescent="0.3">
      <c r="A215" s="234" t="s">
        <v>1172</v>
      </c>
      <c r="B215" s="10"/>
      <c r="C215" s="10"/>
      <c r="D215" s="10"/>
      <c r="E215" s="38" t="s">
        <v>852</v>
      </c>
      <c r="F215" s="10"/>
      <c r="G215" s="10"/>
      <c r="H215" s="10"/>
      <c r="I215" s="38" t="s">
        <v>852</v>
      </c>
      <c r="J215" s="10"/>
      <c r="K215" s="10"/>
      <c r="L215" s="10"/>
      <c r="M215" s="38" t="s">
        <v>852</v>
      </c>
      <c r="N215" s="10"/>
      <c r="O215" s="10"/>
      <c r="P215" s="10"/>
      <c r="Q215" s="38" t="s">
        <v>852</v>
      </c>
      <c r="R215" s="38" t="s">
        <v>852</v>
      </c>
    </row>
    <row r="216" spans="1:20" ht="15.75" customHeight="1" x14ac:dyDescent="0.3">
      <c r="A216" s="234" t="s">
        <v>1658</v>
      </c>
      <c r="B216" s="10"/>
      <c r="C216" s="10"/>
      <c r="D216" s="10"/>
      <c r="E216" s="38" t="s">
        <v>852</v>
      </c>
      <c r="F216" s="10"/>
      <c r="G216" s="10"/>
      <c r="H216" s="10"/>
      <c r="I216" s="38" t="s">
        <v>852</v>
      </c>
      <c r="J216" s="10"/>
      <c r="K216" s="10"/>
      <c r="L216" s="10"/>
      <c r="M216" s="38" t="s">
        <v>852</v>
      </c>
      <c r="N216" s="10"/>
      <c r="O216" s="10"/>
      <c r="P216" s="10"/>
      <c r="Q216" s="38" t="s">
        <v>852</v>
      </c>
      <c r="R216" s="38" t="s">
        <v>852</v>
      </c>
    </row>
    <row r="217" spans="1:20" ht="15.75" customHeight="1" x14ac:dyDescent="0.3">
      <c r="A217" s="234" t="s">
        <v>2409</v>
      </c>
      <c r="B217" s="10"/>
      <c r="C217" s="10"/>
      <c r="D217" s="10"/>
      <c r="E217" s="38" t="s">
        <v>852</v>
      </c>
      <c r="F217" s="10"/>
      <c r="G217" s="10"/>
      <c r="H217" s="10"/>
      <c r="I217" s="38" t="s">
        <v>852</v>
      </c>
      <c r="J217" s="10"/>
      <c r="K217" s="10"/>
      <c r="L217" s="10"/>
      <c r="M217" s="38" t="s">
        <v>852</v>
      </c>
      <c r="N217" s="10"/>
      <c r="O217" s="10"/>
      <c r="P217" s="10"/>
      <c r="Q217" s="38" t="s">
        <v>852</v>
      </c>
      <c r="R217" s="38" t="s">
        <v>852</v>
      </c>
    </row>
    <row r="218" spans="1:20" ht="15.75" customHeight="1" x14ac:dyDescent="0.3">
      <c r="A218" s="568" t="s">
        <v>1645</v>
      </c>
      <c r="B218" s="10"/>
      <c r="C218" s="10"/>
      <c r="D218" s="10"/>
      <c r="E218" s="38">
        <f>SUM(B218:D218)</f>
        <v>0</v>
      </c>
      <c r="F218" s="10"/>
      <c r="G218" s="10"/>
      <c r="H218" s="10"/>
      <c r="I218" s="38">
        <f>SUM(F218:H218)</f>
        <v>0</v>
      </c>
      <c r="J218" s="10"/>
      <c r="K218" s="10"/>
      <c r="L218" s="10"/>
      <c r="M218" s="38">
        <f>SUM(J218:L218)</f>
        <v>0</v>
      </c>
      <c r="N218" s="10"/>
      <c r="O218" s="10"/>
      <c r="P218" s="10"/>
      <c r="Q218" s="38">
        <f>SUM(N218:P218)</f>
        <v>0</v>
      </c>
      <c r="R218" s="38">
        <f>+E218+I218+M218+Q218</f>
        <v>0</v>
      </c>
      <c r="T218" t="s">
        <v>2764</v>
      </c>
    </row>
    <row r="219" spans="1:20" ht="15.75" customHeight="1" x14ac:dyDescent="0.3">
      <c r="A219" s="410" t="s">
        <v>2824</v>
      </c>
      <c r="B219" s="10"/>
      <c r="C219" s="10"/>
      <c r="D219" s="10"/>
      <c r="E219" s="38">
        <f>SUM(B219:D219)</f>
        <v>0</v>
      </c>
      <c r="F219" s="10"/>
      <c r="G219" s="10"/>
      <c r="H219" s="10"/>
      <c r="I219" s="38">
        <f>SUM(F219:H219)</f>
        <v>0</v>
      </c>
      <c r="J219" s="10"/>
      <c r="K219" s="10"/>
      <c r="L219" s="10"/>
      <c r="M219" s="38">
        <f>SUM(J219:L219)</f>
        <v>0</v>
      </c>
      <c r="N219" s="10"/>
      <c r="O219" s="10"/>
      <c r="P219" s="10"/>
      <c r="Q219" s="38">
        <f>SUM(N219:P219)</f>
        <v>0</v>
      </c>
      <c r="R219" s="38">
        <f>+E219+I219+M219+Q219</f>
        <v>0</v>
      </c>
      <c r="S219" t="s">
        <v>3020</v>
      </c>
      <c r="T219" t="s">
        <v>2760</v>
      </c>
    </row>
    <row r="220" spans="1:20" ht="15.75" customHeight="1" thickBot="1" x14ac:dyDescent="0.35">
      <c r="A220" s="234" t="s">
        <v>2165</v>
      </c>
      <c r="B220" s="10"/>
      <c r="C220" s="10"/>
      <c r="D220" s="10"/>
      <c r="E220" s="38" t="s">
        <v>852</v>
      </c>
      <c r="F220" s="10"/>
      <c r="G220" s="10"/>
      <c r="H220" s="10"/>
      <c r="I220" s="38" t="s">
        <v>852</v>
      </c>
      <c r="J220" s="10"/>
      <c r="K220" s="10"/>
      <c r="L220" s="10"/>
      <c r="M220" s="38" t="s">
        <v>852</v>
      </c>
      <c r="N220" s="10"/>
      <c r="O220" s="10"/>
      <c r="P220" s="10"/>
      <c r="Q220" s="38" t="s">
        <v>852</v>
      </c>
      <c r="R220" s="38" t="s">
        <v>852</v>
      </c>
    </row>
    <row r="221" spans="1:20" ht="16.5" customHeight="1" thickBot="1" x14ac:dyDescent="0.35">
      <c r="A221" s="43" t="s">
        <v>1219</v>
      </c>
      <c r="B221" s="45">
        <f>SUM(B215:B220)</f>
        <v>0</v>
      </c>
      <c r="C221" s="46">
        <f>SUM(C215:C220)</f>
        <v>0</v>
      </c>
      <c r="D221" s="46">
        <f>SUM(D215:D220)</f>
        <v>0</v>
      </c>
      <c r="E221" s="37">
        <f>SUM(B221:D221)</f>
        <v>0</v>
      </c>
      <c r="F221" s="46"/>
      <c r="G221" s="46"/>
      <c r="H221" s="46"/>
      <c r="I221" s="37">
        <f>SUM(F221:H221)</f>
        <v>0</v>
      </c>
      <c r="J221" s="46">
        <f>SUM(J215:J220)</f>
        <v>0</v>
      </c>
      <c r="K221" s="46">
        <f>SUM(K215:K220)</f>
        <v>0</v>
      </c>
      <c r="L221" s="46">
        <f>SUM(L215:L220)</f>
        <v>0</v>
      </c>
      <c r="M221" s="37">
        <f>SUM(J221:L221)</f>
        <v>0</v>
      </c>
      <c r="N221" s="46">
        <f>SUM(N215:N220)</f>
        <v>0</v>
      </c>
      <c r="O221" s="46">
        <f>SUM(O215:O220)</f>
        <v>0</v>
      </c>
      <c r="P221" s="46">
        <f>SUM(P215:P220)</f>
        <v>0</v>
      </c>
      <c r="Q221" s="37">
        <f>SUM(N221:P221)</f>
        <v>0</v>
      </c>
      <c r="R221" s="37">
        <f>+E221+I221+M221+Q221</f>
        <v>0</v>
      </c>
    </row>
    <row r="222" spans="1:20" ht="15.75" customHeight="1" x14ac:dyDescent="0.3">
      <c r="A222" s="234" t="s">
        <v>2166</v>
      </c>
      <c r="B222" s="10"/>
      <c r="C222" s="10"/>
      <c r="D222" s="10"/>
      <c r="E222" s="38" t="s">
        <v>852</v>
      </c>
      <c r="F222" s="10"/>
      <c r="G222" s="10"/>
      <c r="H222" s="10"/>
      <c r="I222" s="38" t="s">
        <v>852</v>
      </c>
      <c r="J222" s="10"/>
      <c r="K222" s="10"/>
      <c r="L222" s="10"/>
      <c r="M222" s="38" t="s">
        <v>852</v>
      </c>
      <c r="N222" s="10"/>
      <c r="O222" s="10"/>
      <c r="P222" s="10"/>
      <c r="Q222" s="38" t="s">
        <v>852</v>
      </c>
      <c r="R222" s="38" t="s">
        <v>852</v>
      </c>
    </row>
    <row r="223" spans="1:20" ht="15.75" customHeight="1" x14ac:dyDescent="0.3">
      <c r="A223" s="234" t="s">
        <v>1245</v>
      </c>
      <c r="B223" s="10"/>
      <c r="C223" s="10"/>
      <c r="D223" s="10"/>
      <c r="E223" s="38" t="s">
        <v>852</v>
      </c>
      <c r="F223" s="10"/>
      <c r="G223" s="10"/>
      <c r="H223" s="10"/>
      <c r="I223" s="38" t="s">
        <v>852</v>
      </c>
      <c r="J223" s="10"/>
      <c r="K223" s="10"/>
      <c r="L223" s="10"/>
      <c r="M223" s="38" t="s">
        <v>852</v>
      </c>
      <c r="N223" s="10"/>
      <c r="O223" s="10"/>
      <c r="P223" s="10"/>
      <c r="Q223" s="38" t="s">
        <v>852</v>
      </c>
      <c r="R223" s="38" t="s">
        <v>852</v>
      </c>
    </row>
    <row r="224" spans="1:20" ht="15.75" customHeight="1" x14ac:dyDescent="0.3">
      <c r="A224" s="234" t="s">
        <v>1711</v>
      </c>
      <c r="B224" s="10"/>
      <c r="C224" s="10"/>
      <c r="D224" s="10"/>
      <c r="E224" s="38" t="s">
        <v>852</v>
      </c>
      <c r="F224" s="10"/>
      <c r="G224" s="10"/>
      <c r="H224" s="10"/>
      <c r="I224" s="38" t="s">
        <v>852</v>
      </c>
      <c r="J224" s="10"/>
      <c r="K224" s="10"/>
      <c r="L224" s="10"/>
      <c r="M224" s="38" t="s">
        <v>852</v>
      </c>
      <c r="N224" s="10"/>
      <c r="O224" s="10"/>
      <c r="P224" s="10"/>
      <c r="Q224" s="38" t="s">
        <v>852</v>
      </c>
      <c r="R224" s="38" t="s">
        <v>852</v>
      </c>
    </row>
    <row r="225" spans="1:20" ht="15.75" customHeight="1" x14ac:dyDescent="0.3">
      <c r="A225" s="540" t="s">
        <v>1364</v>
      </c>
      <c r="B225" s="10">
        <v>339</v>
      </c>
      <c r="C225" s="10">
        <v>308</v>
      </c>
      <c r="D225" s="10">
        <v>368</v>
      </c>
      <c r="E225" s="38">
        <f t="shared" ref="E225:E232" si="49">SUM(B225:D225)</f>
        <v>1015</v>
      </c>
      <c r="F225" s="10">
        <v>433</v>
      </c>
      <c r="G225" s="10">
        <v>570</v>
      </c>
      <c r="H225" s="10">
        <v>640</v>
      </c>
      <c r="I225" s="38">
        <f t="shared" ref="I225:I232" si="50">SUM(F225:H225)</f>
        <v>1643</v>
      </c>
      <c r="J225" s="10">
        <v>621</v>
      </c>
      <c r="K225" s="10">
        <v>575</v>
      </c>
      <c r="L225" s="10">
        <v>495</v>
      </c>
      <c r="M225" s="38">
        <f t="shared" ref="M225:M232" si="51">SUM(J225:L225)</f>
        <v>1691</v>
      </c>
      <c r="N225" s="10">
        <v>519</v>
      </c>
      <c r="O225" s="10">
        <v>394</v>
      </c>
      <c r="P225" s="10">
        <v>310</v>
      </c>
      <c r="Q225" s="38">
        <f t="shared" ref="Q225:Q231" si="52">SUM(N225:P225)</f>
        <v>1223</v>
      </c>
      <c r="R225" s="38">
        <f t="shared" ref="R225:R292" si="53">+E225+I225+M225+Q225</f>
        <v>5572</v>
      </c>
      <c r="T225" t="s">
        <v>2800</v>
      </c>
    </row>
    <row r="226" spans="1:20" ht="15.75" customHeight="1" x14ac:dyDescent="0.3">
      <c r="A226" s="540" t="s">
        <v>1388</v>
      </c>
      <c r="B226" s="10"/>
      <c r="C226" s="10"/>
      <c r="D226" s="10">
        <v>357</v>
      </c>
      <c r="E226" s="38">
        <f t="shared" si="49"/>
        <v>357</v>
      </c>
      <c r="F226" s="10"/>
      <c r="G226" s="10"/>
      <c r="H226" s="10"/>
      <c r="I226" s="38">
        <f t="shared" si="50"/>
        <v>0</v>
      </c>
      <c r="J226" s="10"/>
      <c r="K226" s="10"/>
      <c r="L226" s="10"/>
      <c r="M226" s="38">
        <f t="shared" si="51"/>
        <v>0</v>
      </c>
      <c r="N226" s="10"/>
      <c r="O226" s="10"/>
      <c r="P226" s="10"/>
      <c r="Q226" s="38">
        <f t="shared" si="52"/>
        <v>0</v>
      </c>
      <c r="R226" s="38">
        <f t="shared" si="53"/>
        <v>357</v>
      </c>
      <c r="T226" t="s">
        <v>2764</v>
      </c>
    </row>
    <row r="227" spans="1:20" ht="15.75" customHeight="1" x14ac:dyDescent="0.3">
      <c r="A227" s="410" t="s">
        <v>3133</v>
      </c>
      <c r="B227" s="10"/>
      <c r="C227" s="10"/>
      <c r="D227" s="10"/>
      <c r="E227" s="38">
        <f t="shared" si="49"/>
        <v>0</v>
      </c>
      <c r="F227" s="10"/>
      <c r="G227" s="10"/>
      <c r="H227" s="10"/>
      <c r="I227" s="38">
        <f t="shared" si="50"/>
        <v>0</v>
      </c>
      <c r="J227" s="10"/>
      <c r="K227" s="10"/>
      <c r="L227" s="10"/>
      <c r="M227" s="38">
        <f t="shared" si="51"/>
        <v>0</v>
      </c>
      <c r="N227" s="10"/>
      <c r="O227" s="10"/>
      <c r="P227" s="10"/>
      <c r="Q227" s="38">
        <f t="shared" si="52"/>
        <v>0</v>
      </c>
      <c r="R227" s="38">
        <f t="shared" si="53"/>
        <v>0</v>
      </c>
    </row>
    <row r="228" spans="1:20" ht="15.75" customHeight="1" x14ac:dyDescent="0.3">
      <c r="A228" s="540" t="s">
        <v>3328</v>
      </c>
      <c r="B228" s="10"/>
      <c r="C228" s="10"/>
      <c r="D228" s="10"/>
      <c r="E228" s="38">
        <f t="shared" si="49"/>
        <v>0</v>
      </c>
      <c r="F228" s="10"/>
      <c r="G228" s="10"/>
      <c r="H228" s="10">
        <v>125</v>
      </c>
      <c r="I228" s="38">
        <f t="shared" si="50"/>
        <v>125</v>
      </c>
      <c r="J228" s="10">
        <v>133</v>
      </c>
      <c r="K228" s="10">
        <v>128</v>
      </c>
      <c r="L228" s="10">
        <v>81</v>
      </c>
      <c r="M228" s="38">
        <f t="shared" si="51"/>
        <v>342</v>
      </c>
      <c r="N228" s="10">
        <v>116</v>
      </c>
      <c r="O228" s="10">
        <v>42</v>
      </c>
      <c r="P228" s="10">
        <v>14</v>
      </c>
      <c r="Q228" s="38">
        <f t="shared" si="52"/>
        <v>172</v>
      </c>
      <c r="R228" s="38">
        <f t="shared" si="53"/>
        <v>639</v>
      </c>
      <c r="T228" t="s">
        <v>1193</v>
      </c>
    </row>
    <row r="229" spans="1:20" ht="15.75" customHeight="1" x14ac:dyDescent="0.3">
      <c r="A229" s="540" t="s">
        <v>3072</v>
      </c>
      <c r="B229" s="10"/>
      <c r="C229" s="10"/>
      <c r="D229" s="10"/>
      <c r="E229" s="38">
        <f t="shared" si="49"/>
        <v>0</v>
      </c>
      <c r="F229" s="10"/>
      <c r="G229" s="10"/>
      <c r="H229" s="10"/>
      <c r="I229" s="38">
        <f t="shared" si="50"/>
        <v>0</v>
      </c>
      <c r="J229" s="10"/>
      <c r="K229" s="10"/>
      <c r="L229" s="10"/>
      <c r="M229" s="38">
        <f t="shared" si="51"/>
        <v>0</v>
      </c>
      <c r="N229" s="10"/>
      <c r="O229" s="10"/>
      <c r="P229" s="10"/>
      <c r="Q229" s="38">
        <f t="shared" si="52"/>
        <v>0</v>
      </c>
      <c r="R229" s="38">
        <f>+E229+I229+M229+Q229</f>
        <v>0</v>
      </c>
      <c r="T229" t="s">
        <v>2770</v>
      </c>
    </row>
    <row r="230" spans="1:20" ht="15.75" customHeight="1" x14ac:dyDescent="0.3">
      <c r="A230" s="540" t="s">
        <v>3189</v>
      </c>
      <c r="B230" s="10"/>
      <c r="C230" s="10"/>
      <c r="D230" s="10"/>
      <c r="E230" s="38">
        <f t="shared" si="49"/>
        <v>0</v>
      </c>
      <c r="F230" s="10"/>
      <c r="G230" s="10"/>
      <c r="H230" s="10"/>
      <c r="I230" s="38">
        <f t="shared" si="50"/>
        <v>0</v>
      </c>
      <c r="J230" s="10"/>
      <c r="K230" s="10"/>
      <c r="L230" s="10"/>
      <c r="M230" s="38">
        <f t="shared" si="51"/>
        <v>0</v>
      </c>
      <c r="N230" s="10"/>
      <c r="O230" s="10"/>
      <c r="P230" s="10"/>
      <c r="Q230" s="38">
        <f t="shared" si="52"/>
        <v>0</v>
      </c>
      <c r="R230" s="38">
        <f>+E230+I230+M230+Q230</f>
        <v>0</v>
      </c>
      <c r="T230" t="s">
        <v>2770</v>
      </c>
    </row>
    <row r="231" spans="1:20" ht="15.75" customHeight="1" x14ac:dyDescent="0.3">
      <c r="A231" s="410" t="s">
        <v>3063</v>
      </c>
      <c r="B231" s="10"/>
      <c r="C231" s="10"/>
      <c r="D231" s="10"/>
      <c r="E231" s="38">
        <f t="shared" si="49"/>
        <v>0</v>
      </c>
      <c r="F231" s="10"/>
      <c r="G231" s="10"/>
      <c r="H231" s="10"/>
      <c r="I231" s="38">
        <f t="shared" si="50"/>
        <v>0</v>
      </c>
      <c r="J231" s="10"/>
      <c r="K231" s="10"/>
      <c r="L231" s="10"/>
      <c r="M231" s="38">
        <f t="shared" si="51"/>
        <v>0</v>
      </c>
      <c r="N231" s="10"/>
      <c r="O231" s="10"/>
      <c r="P231" s="10"/>
      <c r="Q231" s="38">
        <f t="shared" si="52"/>
        <v>0</v>
      </c>
      <c r="R231" s="38">
        <f>+E231+I231+M231+Q231</f>
        <v>0</v>
      </c>
      <c r="S231" s="709"/>
      <c r="T231" t="s">
        <v>2760</v>
      </c>
    </row>
    <row r="232" spans="1:20" ht="15.75" customHeight="1" x14ac:dyDescent="0.3">
      <c r="A232" s="410" t="s">
        <v>3325</v>
      </c>
      <c r="B232" s="10"/>
      <c r="C232" s="10"/>
      <c r="D232" s="10"/>
      <c r="E232" s="38">
        <f t="shared" si="49"/>
        <v>0</v>
      </c>
      <c r="F232" s="10"/>
      <c r="G232" s="10"/>
      <c r="H232" s="10"/>
      <c r="I232" s="38">
        <f t="shared" si="50"/>
        <v>0</v>
      </c>
      <c r="J232" s="10"/>
      <c r="K232" s="10"/>
      <c r="L232" s="10"/>
      <c r="M232" s="38">
        <f t="shared" si="51"/>
        <v>0</v>
      </c>
      <c r="N232" s="10"/>
      <c r="O232" s="10"/>
      <c r="P232" s="10"/>
      <c r="Q232" s="38">
        <f t="shared" ref="Q232" si="54">SUM(N232:P232)</f>
        <v>0</v>
      </c>
      <c r="R232" s="38">
        <f>+E232+I232+M232+Q232</f>
        <v>0</v>
      </c>
      <c r="S232" s="709"/>
    </row>
    <row r="233" spans="1:20" ht="15.75" customHeight="1" x14ac:dyDescent="0.3">
      <c r="A233" s="410" t="s">
        <v>2965</v>
      </c>
      <c r="B233" s="10">
        <v>800</v>
      </c>
      <c r="C233" s="10">
        <v>172</v>
      </c>
      <c r="D233" s="10"/>
      <c r="E233" s="38">
        <f>SUM(B233:D233)</f>
        <v>972</v>
      </c>
      <c r="F233" s="10"/>
      <c r="G233" s="10"/>
      <c r="H233" s="10"/>
      <c r="I233" s="38">
        <f t="shared" ref="I233:I290" si="55">SUM(F233:H233)</f>
        <v>0</v>
      </c>
      <c r="J233" s="10"/>
      <c r="K233" s="10"/>
      <c r="L233" s="10"/>
      <c r="M233" s="38">
        <f t="shared" ref="M233:M290" si="56">SUM(J233:L233)</f>
        <v>0</v>
      </c>
      <c r="N233" s="10"/>
      <c r="O233" s="10"/>
      <c r="P233" s="10"/>
      <c r="Q233" s="38">
        <f t="shared" ref="Q233:Q290" si="57">SUM(N233:P233)</f>
        <v>0</v>
      </c>
      <c r="R233" s="38">
        <f t="shared" si="53"/>
        <v>972</v>
      </c>
      <c r="S233" t="s">
        <v>3020</v>
      </c>
    </row>
    <row r="234" spans="1:20" ht="15.75" customHeight="1" x14ac:dyDescent="0.3">
      <c r="A234" s="689" t="s">
        <v>2940</v>
      </c>
      <c r="B234" s="10"/>
      <c r="C234" s="10"/>
      <c r="D234" s="10"/>
      <c r="E234" s="38">
        <f t="shared" ref="E234" si="58">SUM(B234:D234)</f>
        <v>0</v>
      </c>
      <c r="F234" s="10"/>
      <c r="G234" s="10"/>
      <c r="H234" s="10"/>
      <c r="I234" s="38">
        <f t="shared" si="55"/>
        <v>0</v>
      </c>
      <c r="J234" s="10"/>
      <c r="K234" s="10"/>
      <c r="L234" s="10"/>
      <c r="M234" s="38">
        <f t="shared" si="56"/>
        <v>0</v>
      </c>
      <c r="N234" s="10"/>
      <c r="O234" s="10"/>
      <c r="P234" s="10"/>
      <c r="Q234" s="38">
        <f t="shared" si="57"/>
        <v>0</v>
      </c>
      <c r="R234" s="38">
        <f>+E234+I234+M234+Q234</f>
        <v>0</v>
      </c>
      <c r="T234" t="s">
        <v>2780</v>
      </c>
    </row>
    <row r="235" spans="1:20" ht="15.75" customHeight="1" x14ac:dyDescent="0.3">
      <c r="A235" s="410" t="s">
        <v>568</v>
      </c>
      <c r="B235" s="10">
        <v>682</v>
      </c>
      <c r="C235" s="10"/>
      <c r="D235" s="10"/>
      <c r="E235" s="38">
        <f>SUM(B235:D235)</f>
        <v>682</v>
      </c>
      <c r="F235" s="10"/>
      <c r="G235" s="10"/>
      <c r="H235" s="10"/>
      <c r="I235" s="38">
        <f>SUM(F235:H235)</f>
        <v>0</v>
      </c>
      <c r="J235" s="10"/>
      <c r="K235" s="10"/>
      <c r="L235" s="10"/>
      <c r="M235" s="38">
        <f>SUM(J235:L235)</f>
        <v>0</v>
      </c>
      <c r="N235" s="10"/>
      <c r="O235" s="10"/>
      <c r="P235" s="10"/>
      <c r="Q235" s="38">
        <f>SUM(N235:P235)</f>
        <v>0</v>
      </c>
      <c r="R235" s="38">
        <f t="shared" si="53"/>
        <v>682</v>
      </c>
      <c r="T235" t="s">
        <v>2775</v>
      </c>
    </row>
    <row r="236" spans="1:20" ht="15.75" customHeight="1" x14ac:dyDescent="0.3">
      <c r="A236" s="540" t="s">
        <v>3317</v>
      </c>
      <c r="B236" s="10"/>
      <c r="C236" s="10"/>
      <c r="D236" s="10"/>
      <c r="E236" s="38">
        <f>SUM(B236:D236)</f>
        <v>0</v>
      </c>
      <c r="F236" s="10"/>
      <c r="G236" s="10"/>
      <c r="H236" s="10"/>
      <c r="I236" s="38">
        <f>SUM(F236:H236)</f>
        <v>0</v>
      </c>
      <c r="J236" s="10"/>
      <c r="K236" s="10"/>
      <c r="L236" s="10"/>
      <c r="M236" s="38">
        <f>SUM(J236:L236)</f>
        <v>0</v>
      </c>
      <c r="N236" s="10"/>
      <c r="O236" s="10"/>
      <c r="P236" s="10"/>
      <c r="Q236" s="38">
        <f>SUM(N236:P236)</f>
        <v>0</v>
      </c>
      <c r="R236" s="38">
        <f t="shared" si="53"/>
        <v>0</v>
      </c>
    </row>
    <row r="237" spans="1:20" ht="15.75" customHeight="1" x14ac:dyDescent="0.3">
      <c r="A237" s="410" t="s">
        <v>1973</v>
      </c>
      <c r="B237" s="10"/>
      <c r="C237" s="10"/>
      <c r="D237" s="10"/>
      <c r="E237" s="38">
        <f t="shared" ref="E237:E278" si="59">SUM(B237:D237)</f>
        <v>0</v>
      </c>
      <c r="F237" s="10"/>
      <c r="G237" s="10"/>
      <c r="H237" s="10"/>
      <c r="I237" s="38">
        <f t="shared" si="55"/>
        <v>0</v>
      </c>
      <c r="J237" s="10"/>
      <c r="K237" s="10"/>
      <c r="L237" s="10"/>
      <c r="M237" s="38">
        <f t="shared" si="56"/>
        <v>0</v>
      </c>
      <c r="N237" s="10"/>
      <c r="O237" s="10"/>
      <c r="P237" s="10"/>
      <c r="Q237" s="38">
        <f t="shared" si="57"/>
        <v>0</v>
      </c>
      <c r="R237" s="38">
        <f t="shared" si="53"/>
        <v>0</v>
      </c>
    </row>
    <row r="238" spans="1:20" ht="15.75" customHeight="1" x14ac:dyDescent="0.3">
      <c r="A238" s="410" t="s">
        <v>1974</v>
      </c>
      <c r="B238" s="10">
        <v>23</v>
      </c>
      <c r="C238" s="10"/>
      <c r="D238" s="10"/>
      <c r="E238" s="38">
        <f t="shared" si="59"/>
        <v>23</v>
      </c>
      <c r="F238" s="10"/>
      <c r="G238" s="10"/>
      <c r="H238" s="10"/>
      <c r="I238" s="38">
        <f t="shared" si="55"/>
        <v>0</v>
      </c>
      <c r="J238" s="10"/>
      <c r="K238" s="10"/>
      <c r="L238" s="10"/>
      <c r="M238" s="38">
        <f t="shared" si="56"/>
        <v>0</v>
      </c>
      <c r="N238" s="10"/>
      <c r="O238" s="10"/>
      <c r="P238" s="10"/>
      <c r="Q238" s="38">
        <f t="shared" si="57"/>
        <v>0</v>
      </c>
      <c r="R238" s="38">
        <f t="shared" si="53"/>
        <v>23</v>
      </c>
    </row>
    <row r="239" spans="1:20" ht="15.75" customHeight="1" x14ac:dyDescent="0.3">
      <c r="A239" s="410" t="s">
        <v>2848</v>
      </c>
      <c r="B239" s="10">
        <v>23</v>
      </c>
      <c r="C239" s="10"/>
      <c r="D239" s="10"/>
      <c r="E239" s="38">
        <f t="shared" si="59"/>
        <v>23</v>
      </c>
      <c r="F239" s="10"/>
      <c r="G239" s="10"/>
      <c r="H239" s="10"/>
      <c r="I239" s="38">
        <f t="shared" si="55"/>
        <v>0</v>
      </c>
      <c r="J239" s="10"/>
      <c r="K239" s="10"/>
      <c r="L239" s="10"/>
      <c r="M239" s="38">
        <f t="shared" si="56"/>
        <v>0</v>
      </c>
      <c r="N239" s="10"/>
      <c r="O239" s="10"/>
      <c r="P239" s="10"/>
      <c r="Q239" s="38">
        <f t="shared" si="57"/>
        <v>0</v>
      </c>
      <c r="R239" s="38">
        <f t="shared" si="53"/>
        <v>23</v>
      </c>
      <c r="S239" t="s">
        <v>3020</v>
      </c>
      <c r="T239" t="s">
        <v>2760</v>
      </c>
    </row>
    <row r="240" spans="1:20" ht="15.75" customHeight="1" x14ac:dyDescent="0.3">
      <c r="A240" s="410" t="s">
        <v>3156</v>
      </c>
      <c r="B240" s="10"/>
      <c r="C240" s="10"/>
      <c r="D240" s="10"/>
      <c r="E240" s="38">
        <f t="shared" si="59"/>
        <v>0</v>
      </c>
      <c r="F240" s="10"/>
      <c r="G240" s="10"/>
      <c r="H240" s="10"/>
      <c r="I240" s="38">
        <f t="shared" si="55"/>
        <v>0</v>
      </c>
      <c r="J240" s="10"/>
      <c r="K240" s="10"/>
      <c r="L240" s="10"/>
      <c r="M240" s="38">
        <f t="shared" si="56"/>
        <v>0</v>
      </c>
      <c r="N240" s="10"/>
      <c r="O240" s="10"/>
      <c r="P240" s="10"/>
      <c r="Q240" s="38">
        <f t="shared" si="57"/>
        <v>0</v>
      </c>
      <c r="R240" s="38">
        <f t="shared" si="53"/>
        <v>0</v>
      </c>
      <c r="S240" t="s">
        <v>3020</v>
      </c>
      <c r="T240" t="s">
        <v>2760</v>
      </c>
    </row>
    <row r="241" spans="1:20" ht="15.75" customHeight="1" x14ac:dyDescent="0.3">
      <c r="A241" s="410" t="s">
        <v>3157</v>
      </c>
      <c r="B241" s="10"/>
      <c r="C241" s="10"/>
      <c r="D241" s="10"/>
      <c r="E241" s="38">
        <f t="shared" si="59"/>
        <v>0</v>
      </c>
      <c r="F241" s="10"/>
      <c r="G241" s="10"/>
      <c r="H241" s="10"/>
      <c r="I241" s="38">
        <f t="shared" si="55"/>
        <v>0</v>
      </c>
      <c r="J241" s="10"/>
      <c r="K241" s="10"/>
      <c r="L241" s="10"/>
      <c r="M241" s="38">
        <f t="shared" si="56"/>
        <v>0</v>
      </c>
      <c r="N241" s="10"/>
      <c r="O241" s="10">
        <v>171</v>
      </c>
      <c r="P241" s="10">
        <v>518</v>
      </c>
      <c r="Q241" s="38">
        <f t="shared" si="57"/>
        <v>689</v>
      </c>
      <c r="R241" s="38">
        <f t="shared" si="53"/>
        <v>689</v>
      </c>
    </row>
    <row r="242" spans="1:20" ht="15.75" customHeight="1" x14ac:dyDescent="0.3">
      <c r="A242" s="410" t="s">
        <v>3161</v>
      </c>
      <c r="B242" s="10"/>
      <c r="C242" s="10"/>
      <c r="D242" s="10"/>
      <c r="E242" s="38">
        <f t="shared" si="59"/>
        <v>0</v>
      </c>
      <c r="F242" s="10"/>
      <c r="H242" s="10"/>
      <c r="I242" s="38">
        <f t="shared" si="55"/>
        <v>0</v>
      </c>
      <c r="J242" s="10"/>
      <c r="K242" s="10"/>
      <c r="L242" s="10"/>
      <c r="M242" s="38">
        <f t="shared" si="56"/>
        <v>0</v>
      </c>
      <c r="N242" s="10"/>
      <c r="O242" s="10">
        <f>129+2+41</f>
        <v>172</v>
      </c>
      <c r="P242" s="10">
        <f>2521+2+16</f>
        <v>2539</v>
      </c>
      <c r="Q242" s="38">
        <f t="shared" si="57"/>
        <v>2711</v>
      </c>
      <c r="R242" s="38">
        <f t="shared" si="53"/>
        <v>2711</v>
      </c>
    </row>
    <row r="243" spans="1:20" ht="15.75" customHeight="1" x14ac:dyDescent="0.3">
      <c r="A243" s="540" t="s">
        <v>2938</v>
      </c>
      <c r="B243" s="10"/>
      <c r="C243" s="10"/>
      <c r="D243" s="10"/>
      <c r="E243" s="38">
        <f t="shared" si="59"/>
        <v>0</v>
      </c>
      <c r="F243" s="10"/>
      <c r="G243" s="10"/>
      <c r="H243" s="10"/>
      <c r="I243" s="38">
        <f t="shared" si="55"/>
        <v>0</v>
      </c>
      <c r="J243" s="10"/>
      <c r="K243" s="10"/>
      <c r="L243" s="10"/>
      <c r="M243" s="38">
        <f t="shared" si="56"/>
        <v>0</v>
      </c>
      <c r="N243" s="10"/>
      <c r="O243" s="10"/>
      <c r="P243" s="10"/>
      <c r="Q243" s="38">
        <f t="shared" si="57"/>
        <v>0</v>
      </c>
      <c r="R243" s="38">
        <f t="shared" si="53"/>
        <v>0</v>
      </c>
      <c r="T243" t="s">
        <v>2764</v>
      </c>
    </row>
    <row r="244" spans="1:20" ht="15.75" customHeight="1" x14ac:dyDescent="0.3">
      <c r="A244" s="410" t="s">
        <v>3051</v>
      </c>
      <c r="B244" s="10"/>
      <c r="C244" s="10"/>
      <c r="D244" s="10"/>
      <c r="E244" s="38">
        <f t="shared" si="59"/>
        <v>0</v>
      </c>
      <c r="F244" s="10"/>
      <c r="G244" s="10"/>
      <c r="H244" s="10"/>
      <c r="I244" s="38">
        <f t="shared" si="55"/>
        <v>0</v>
      </c>
      <c r="J244" s="10"/>
      <c r="K244" s="10"/>
      <c r="L244" s="10"/>
      <c r="M244" s="38">
        <f t="shared" si="56"/>
        <v>0</v>
      </c>
      <c r="N244" s="10"/>
      <c r="O244" s="10"/>
      <c r="P244" s="10"/>
      <c r="Q244" s="38">
        <f>SUM(N244:P244)</f>
        <v>0</v>
      </c>
      <c r="R244" s="38">
        <f>+E244+I244+M244+Q244</f>
        <v>0</v>
      </c>
      <c r="S244" s="709"/>
      <c r="T244" t="s">
        <v>2760</v>
      </c>
    </row>
    <row r="245" spans="1:20" ht="15.75" customHeight="1" x14ac:dyDescent="0.3">
      <c r="A245" s="540" t="s">
        <v>3049</v>
      </c>
      <c r="B245" s="10"/>
      <c r="C245" s="10"/>
      <c r="D245" s="10"/>
      <c r="E245" s="38">
        <f>SUM(B245:D245)</f>
        <v>0</v>
      </c>
      <c r="F245" s="10"/>
      <c r="G245" s="10"/>
      <c r="H245" s="10"/>
      <c r="I245" s="38">
        <f t="shared" si="55"/>
        <v>0</v>
      </c>
      <c r="J245" s="10"/>
      <c r="K245" s="10"/>
      <c r="L245" s="10"/>
      <c r="M245" s="38">
        <f t="shared" si="56"/>
        <v>0</v>
      </c>
      <c r="N245" s="10"/>
      <c r="O245" s="10"/>
      <c r="P245" s="10"/>
      <c r="Q245" s="38">
        <f t="shared" si="57"/>
        <v>0</v>
      </c>
      <c r="R245" s="38">
        <f t="shared" si="53"/>
        <v>0</v>
      </c>
    </row>
    <row r="246" spans="1:20" ht="15.75" customHeight="1" x14ac:dyDescent="0.3">
      <c r="A246" s="540" t="s">
        <v>3050</v>
      </c>
      <c r="B246" s="10"/>
      <c r="C246" s="10"/>
      <c r="D246" s="10"/>
      <c r="E246" s="38">
        <f t="shared" si="59"/>
        <v>0</v>
      </c>
      <c r="F246" s="10"/>
      <c r="G246" s="10"/>
      <c r="H246" s="10"/>
      <c r="I246" s="38">
        <f t="shared" si="55"/>
        <v>0</v>
      </c>
      <c r="J246" s="10"/>
      <c r="K246" s="10"/>
      <c r="L246" s="10"/>
      <c r="M246" s="38">
        <f t="shared" si="56"/>
        <v>0</v>
      </c>
      <c r="N246" s="10"/>
      <c r="O246" s="10"/>
      <c r="P246" s="10"/>
      <c r="Q246" s="38">
        <f t="shared" si="57"/>
        <v>0</v>
      </c>
      <c r="R246" s="38">
        <f t="shared" si="53"/>
        <v>0</v>
      </c>
    </row>
    <row r="247" spans="1:20" ht="15.75" customHeight="1" x14ac:dyDescent="0.3">
      <c r="A247" s="410" t="s">
        <v>3442</v>
      </c>
      <c r="B247" s="10"/>
      <c r="C247" s="10"/>
      <c r="D247" s="10">
        <v>2391</v>
      </c>
      <c r="E247" s="38">
        <f t="shared" si="59"/>
        <v>2391</v>
      </c>
      <c r="F247" s="10">
        <v>2391</v>
      </c>
      <c r="G247" s="10">
        <v>2218</v>
      </c>
      <c r="H247" s="10"/>
      <c r="I247" s="38">
        <f t="shared" si="55"/>
        <v>4609</v>
      </c>
      <c r="J247" s="10"/>
      <c r="K247" s="10"/>
      <c r="L247" s="10"/>
      <c r="M247" s="38">
        <f t="shared" si="56"/>
        <v>0</v>
      </c>
      <c r="N247" s="10"/>
      <c r="O247" s="10"/>
      <c r="P247" s="10"/>
      <c r="Q247" s="38">
        <f t="shared" ref="Q247" si="60">SUM(N247:P247)</f>
        <v>0</v>
      </c>
      <c r="R247" s="38">
        <f t="shared" ref="R247" si="61">+E247+I247+M247+Q247</f>
        <v>7000</v>
      </c>
    </row>
    <row r="248" spans="1:20" ht="15.75" customHeight="1" x14ac:dyDescent="0.3">
      <c r="A248" s="540" t="s">
        <v>2753</v>
      </c>
      <c r="B248" s="10">
        <v>1361</v>
      </c>
      <c r="C248" s="10">
        <v>1361</v>
      </c>
      <c r="D248" s="10">
        <v>1361</v>
      </c>
      <c r="E248" s="38">
        <f t="shared" ref="E248:E249" si="62">SUM(B248:D248)</f>
        <v>4083</v>
      </c>
      <c r="F248" s="10">
        <v>1361</v>
      </c>
      <c r="G248" s="10">
        <v>1361</v>
      </c>
      <c r="H248" s="10">
        <v>195</v>
      </c>
      <c r="I248" s="38">
        <f t="shared" si="55"/>
        <v>2917</v>
      </c>
      <c r="J248" s="10"/>
      <c r="K248" s="10"/>
      <c r="L248" s="10"/>
      <c r="M248" s="38">
        <f t="shared" si="56"/>
        <v>0</v>
      </c>
      <c r="N248" s="10"/>
      <c r="O248" s="10"/>
      <c r="P248" s="10"/>
      <c r="Q248" s="38">
        <f t="shared" si="57"/>
        <v>0</v>
      </c>
      <c r="R248" s="38">
        <f t="shared" si="53"/>
        <v>7000</v>
      </c>
    </row>
    <row r="249" spans="1:20" ht="15.75" customHeight="1" x14ac:dyDescent="0.3">
      <c r="A249" s="540" t="s">
        <v>2754</v>
      </c>
      <c r="B249" s="10"/>
      <c r="C249" s="10"/>
      <c r="D249" s="10"/>
      <c r="E249" s="38">
        <f t="shared" si="62"/>
        <v>0</v>
      </c>
      <c r="F249" s="10"/>
      <c r="G249" s="10"/>
      <c r="H249" s="10"/>
      <c r="I249" s="38">
        <f t="shared" si="55"/>
        <v>0</v>
      </c>
      <c r="J249" s="10"/>
      <c r="K249" s="10"/>
      <c r="L249" s="10"/>
      <c r="M249" s="38">
        <f t="shared" si="56"/>
        <v>0</v>
      </c>
      <c r="N249" s="10"/>
      <c r="O249" s="10"/>
      <c r="P249" s="10"/>
      <c r="Q249" s="38">
        <f t="shared" si="57"/>
        <v>0</v>
      </c>
      <c r="R249" s="38">
        <f t="shared" si="53"/>
        <v>0</v>
      </c>
    </row>
    <row r="250" spans="1:20" ht="15.75" customHeight="1" x14ac:dyDescent="0.3">
      <c r="A250" s="410" t="s">
        <v>2755</v>
      </c>
      <c r="B250" s="10"/>
      <c r="C250" s="10"/>
      <c r="D250" s="10"/>
      <c r="E250" s="38">
        <f>SUM(B250:D250)</f>
        <v>0</v>
      </c>
      <c r="F250" s="10"/>
      <c r="G250" s="10"/>
      <c r="H250" s="10"/>
      <c r="I250" s="38">
        <f t="shared" ref="I250" si="63">SUM(F250:H250)</f>
        <v>0</v>
      </c>
      <c r="J250" s="10"/>
      <c r="K250" s="10"/>
      <c r="L250" s="10"/>
      <c r="M250" s="38">
        <f t="shared" si="56"/>
        <v>0</v>
      </c>
      <c r="N250" s="10"/>
      <c r="O250" s="10"/>
      <c r="P250" s="10"/>
      <c r="Q250" s="38">
        <f t="shared" si="57"/>
        <v>0</v>
      </c>
      <c r="R250" s="38">
        <f t="shared" si="53"/>
        <v>0</v>
      </c>
    </row>
    <row r="251" spans="1:20" ht="15.75" customHeight="1" x14ac:dyDescent="0.3">
      <c r="A251" s="569" t="s">
        <v>2989</v>
      </c>
      <c r="B251" s="10"/>
      <c r="C251" s="10"/>
      <c r="D251" s="10"/>
      <c r="E251" s="38">
        <f>SUM(B251:D251)</f>
        <v>0</v>
      </c>
      <c r="F251" s="10"/>
      <c r="G251" s="10"/>
      <c r="H251" s="10"/>
      <c r="I251" s="38">
        <f t="shared" si="55"/>
        <v>0</v>
      </c>
      <c r="J251" s="10"/>
      <c r="K251" s="10"/>
      <c r="L251" s="10"/>
      <c r="M251" s="38">
        <f t="shared" si="56"/>
        <v>0</v>
      </c>
      <c r="N251" s="10"/>
      <c r="O251" s="10"/>
      <c r="P251" s="10"/>
      <c r="Q251" s="38">
        <f t="shared" si="57"/>
        <v>0</v>
      </c>
      <c r="R251" s="38">
        <f t="shared" si="53"/>
        <v>0</v>
      </c>
    </row>
    <row r="252" spans="1:20" ht="15.75" customHeight="1" x14ac:dyDescent="0.3">
      <c r="A252" s="569" t="s">
        <v>2990</v>
      </c>
      <c r="B252" s="10"/>
      <c r="C252" s="10"/>
      <c r="D252" s="10"/>
      <c r="E252" s="38">
        <f>SUM(B252:D252)</f>
        <v>0</v>
      </c>
      <c r="F252" s="10"/>
      <c r="G252" s="10"/>
      <c r="H252" s="10"/>
      <c r="I252" s="38">
        <f t="shared" si="55"/>
        <v>0</v>
      </c>
      <c r="J252" s="10"/>
      <c r="K252" s="10"/>
      <c r="L252" s="10"/>
      <c r="M252" s="38">
        <f t="shared" si="56"/>
        <v>0</v>
      </c>
      <c r="N252" s="10"/>
      <c r="O252" s="10"/>
      <c r="P252" s="10"/>
      <c r="Q252" s="38">
        <f t="shared" si="57"/>
        <v>0</v>
      </c>
      <c r="R252" s="38">
        <f t="shared" si="53"/>
        <v>0</v>
      </c>
    </row>
    <row r="253" spans="1:20" ht="15.75" customHeight="1" x14ac:dyDescent="0.3">
      <c r="A253" s="569" t="s">
        <v>2991</v>
      </c>
      <c r="B253" s="10"/>
      <c r="C253" s="10"/>
      <c r="D253" s="10"/>
      <c r="E253" s="38">
        <f>SUM(B253:D253)</f>
        <v>0</v>
      </c>
      <c r="F253" s="10"/>
      <c r="G253" s="10"/>
      <c r="H253" s="10"/>
      <c r="I253" s="38">
        <f t="shared" si="55"/>
        <v>0</v>
      </c>
      <c r="J253" s="10"/>
      <c r="K253" s="10"/>
      <c r="L253" s="10"/>
      <c r="M253" s="38">
        <f t="shared" si="56"/>
        <v>0</v>
      </c>
      <c r="N253" s="10"/>
      <c r="O253" s="10"/>
      <c r="P253" s="10"/>
      <c r="Q253" s="38">
        <f t="shared" si="57"/>
        <v>0</v>
      </c>
      <c r="R253" s="38">
        <f t="shared" si="53"/>
        <v>0</v>
      </c>
      <c r="T253" t="s">
        <v>2764</v>
      </c>
    </row>
    <row r="254" spans="1:20" ht="15.75" customHeight="1" x14ac:dyDescent="0.3">
      <c r="A254" s="410" t="s">
        <v>3134</v>
      </c>
      <c r="B254" s="10"/>
      <c r="C254" s="10"/>
      <c r="D254" s="10"/>
      <c r="E254" s="38">
        <f t="shared" ref="E254:E257" si="64">SUM(B254:D254)</f>
        <v>0</v>
      </c>
      <c r="F254" s="10"/>
      <c r="G254" s="10"/>
      <c r="H254" s="10"/>
      <c r="I254" s="38">
        <f>SUM(F254:H254)</f>
        <v>0</v>
      </c>
      <c r="J254" s="10"/>
      <c r="K254" s="10">
        <v>435</v>
      </c>
      <c r="L254" s="10">
        <v>430</v>
      </c>
      <c r="M254" s="38">
        <f t="shared" ref="M254:M255" si="65">SUM(J254:L254)</f>
        <v>865</v>
      </c>
      <c r="N254" s="10"/>
      <c r="O254" s="10"/>
      <c r="P254" s="10"/>
      <c r="Q254" s="38">
        <f t="shared" ref="Q254:Q255" si="66">SUM(N254:P254)</f>
        <v>0</v>
      </c>
      <c r="R254" s="38">
        <f t="shared" si="53"/>
        <v>865</v>
      </c>
      <c r="S254" s="717" t="s">
        <v>3020</v>
      </c>
    </row>
    <row r="255" spans="1:20" ht="15.75" customHeight="1" x14ac:dyDescent="0.3">
      <c r="A255" s="410" t="s">
        <v>1851</v>
      </c>
      <c r="B255" s="10"/>
      <c r="C255" s="10"/>
      <c r="D255" s="10"/>
      <c r="E255" s="38">
        <f t="shared" si="64"/>
        <v>0</v>
      </c>
      <c r="F255" s="10"/>
      <c r="G255" s="10"/>
      <c r="H255" s="10"/>
      <c r="I255" s="38">
        <f>SUM(F255:H255)</f>
        <v>0</v>
      </c>
      <c r="J255" s="10"/>
      <c r="K255" s="10">
        <f>2+85</f>
        <v>87</v>
      </c>
      <c r="L255" s="10">
        <f>2+59</f>
        <v>61</v>
      </c>
      <c r="M255" s="38">
        <f t="shared" si="65"/>
        <v>148</v>
      </c>
      <c r="N255" s="10"/>
      <c r="O255" s="10"/>
      <c r="P255" s="10"/>
      <c r="Q255" s="38">
        <f t="shared" si="66"/>
        <v>0</v>
      </c>
      <c r="R255" s="38">
        <f t="shared" si="53"/>
        <v>148</v>
      </c>
      <c r="S255" t="s">
        <v>3020</v>
      </c>
    </row>
    <row r="256" spans="1:20" ht="15.75" customHeight="1" x14ac:dyDescent="0.3">
      <c r="A256" s="410" t="s">
        <v>1850</v>
      </c>
      <c r="B256" s="10"/>
      <c r="C256" s="10"/>
      <c r="D256" s="10"/>
      <c r="E256" s="38">
        <f t="shared" si="64"/>
        <v>0</v>
      </c>
      <c r="F256" s="356">
        <f>1579+640+100+50</f>
        <v>2369</v>
      </c>
      <c r="G256" s="10">
        <f>6050+760+110+50</f>
        <v>6970</v>
      </c>
      <c r="H256" s="10">
        <v>2563</v>
      </c>
      <c r="I256" s="38">
        <f t="shared" si="55"/>
        <v>11902</v>
      </c>
      <c r="J256" s="10"/>
      <c r="K256" s="10"/>
      <c r="L256" s="10"/>
      <c r="M256" s="38">
        <f t="shared" si="56"/>
        <v>0</v>
      </c>
      <c r="N256" s="10"/>
      <c r="O256" s="10"/>
      <c r="P256" s="10"/>
      <c r="Q256" s="38">
        <f t="shared" si="57"/>
        <v>0</v>
      </c>
      <c r="R256" s="38">
        <f t="shared" si="53"/>
        <v>11902</v>
      </c>
      <c r="S256" t="s">
        <v>3020</v>
      </c>
    </row>
    <row r="257" spans="1:21" ht="15.75" customHeight="1" x14ac:dyDescent="0.3">
      <c r="A257" s="410" t="s">
        <v>3081</v>
      </c>
      <c r="B257" s="10"/>
      <c r="C257" s="10"/>
      <c r="D257" s="10"/>
      <c r="E257" s="38">
        <f t="shared" si="64"/>
        <v>0</v>
      </c>
      <c r="F257" s="10"/>
      <c r="G257" s="10">
        <v>98</v>
      </c>
      <c r="H257" s="10"/>
      <c r="I257" s="38">
        <f t="shared" si="55"/>
        <v>98</v>
      </c>
      <c r="J257" s="10"/>
      <c r="K257" s="10"/>
      <c r="L257" s="10"/>
      <c r="M257" s="38">
        <f t="shared" si="56"/>
        <v>0</v>
      </c>
      <c r="N257" s="10"/>
      <c r="O257" s="10"/>
      <c r="P257" s="10"/>
      <c r="Q257" s="38">
        <f>SUM(N257:P257)</f>
        <v>0</v>
      </c>
      <c r="R257" s="38">
        <f t="shared" si="53"/>
        <v>98</v>
      </c>
    </row>
    <row r="258" spans="1:21" ht="15.75" customHeight="1" x14ac:dyDescent="0.3">
      <c r="A258" s="410" t="s">
        <v>2979</v>
      </c>
      <c r="B258" s="10"/>
      <c r="C258" s="10">
        <v>628</v>
      </c>
      <c r="D258" s="10"/>
      <c r="E258" s="38">
        <f>SUM(B258:D258)</f>
        <v>628</v>
      </c>
      <c r="F258" s="10">
        <v>800</v>
      </c>
      <c r="G258" s="10"/>
      <c r="H258" s="10"/>
      <c r="I258" s="38">
        <f t="shared" si="55"/>
        <v>800</v>
      </c>
      <c r="J258" s="10"/>
      <c r="K258" s="10"/>
      <c r="L258" s="10"/>
      <c r="M258" s="38">
        <f t="shared" si="56"/>
        <v>0</v>
      </c>
      <c r="N258" s="10"/>
      <c r="O258" s="10"/>
      <c r="P258" s="10"/>
      <c r="Q258" s="38">
        <f t="shared" si="57"/>
        <v>0</v>
      </c>
      <c r="R258" s="38">
        <f t="shared" si="53"/>
        <v>1428</v>
      </c>
      <c r="S258" t="s">
        <v>3020</v>
      </c>
      <c r="T258" t="s">
        <v>2760</v>
      </c>
    </row>
    <row r="259" spans="1:21" ht="15.75" customHeight="1" x14ac:dyDescent="0.3">
      <c r="A259" s="410" t="s">
        <v>2807</v>
      </c>
      <c r="B259" s="10"/>
      <c r="C259" s="10"/>
      <c r="D259" s="10"/>
      <c r="E259" s="38">
        <f t="shared" ref="E259" si="67">SUM(B259:D259)</f>
        <v>0</v>
      </c>
      <c r="F259" s="10"/>
      <c r="G259" s="10"/>
      <c r="H259" s="10"/>
      <c r="I259" s="38">
        <f t="shared" si="55"/>
        <v>0</v>
      </c>
      <c r="J259" s="10"/>
      <c r="K259" s="10"/>
      <c r="L259" s="10"/>
      <c r="M259" s="38">
        <f t="shared" si="56"/>
        <v>0</v>
      </c>
      <c r="N259" s="10"/>
      <c r="O259" s="10"/>
      <c r="P259" s="10"/>
      <c r="Q259" s="38">
        <f t="shared" si="57"/>
        <v>0</v>
      </c>
      <c r="R259" s="38">
        <f t="shared" si="53"/>
        <v>0</v>
      </c>
      <c r="S259" s="230" t="s">
        <v>3020</v>
      </c>
      <c r="T259" s="230" t="s">
        <v>2760</v>
      </c>
      <c r="U259" s="230"/>
    </row>
    <row r="260" spans="1:21" ht="15.75" customHeight="1" x14ac:dyDescent="0.3">
      <c r="A260" s="410" t="s">
        <v>1163</v>
      </c>
      <c r="B260" s="10"/>
      <c r="C260" s="10">
        <v>468</v>
      </c>
      <c r="D260" s="10">
        <v>1346</v>
      </c>
      <c r="E260" s="38">
        <f>SUM(B260:D260)</f>
        <v>1814</v>
      </c>
      <c r="F260" s="10"/>
      <c r="G260" s="10"/>
      <c r="H260" s="10"/>
      <c r="I260" s="38">
        <f>SUM(F260:H260)</f>
        <v>0</v>
      </c>
      <c r="J260" s="10"/>
      <c r="K260" s="10"/>
      <c r="L260" s="10"/>
      <c r="M260" s="38">
        <f t="shared" si="56"/>
        <v>0</v>
      </c>
      <c r="N260" s="10"/>
      <c r="O260" s="10"/>
      <c r="P260" s="10"/>
      <c r="Q260" s="38">
        <f t="shared" si="57"/>
        <v>0</v>
      </c>
      <c r="R260" s="38">
        <f t="shared" si="53"/>
        <v>1814</v>
      </c>
      <c r="T260" t="s">
        <v>3030</v>
      </c>
    </row>
    <row r="261" spans="1:21" ht="15.75" customHeight="1" x14ac:dyDescent="0.3">
      <c r="A261" s="569" t="s">
        <v>3054</v>
      </c>
      <c r="B261" s="10"/>
      <c r="C261" s="10"/>
      <c r="D261" s="10"/>
      <c r="E261" s="38">
        <f>SUM(B261:D261)</f>
        <v>0</v>
      </c>
      <c r="F261" s="10"/>
      <c r="G261" s="10"/>
      <c r="H261" s="10"/>
      <c r="I261" s="38">
        <f>SUM(F261:H261)</f>
        <v>0</v>
      </c>
      <c r="J261" s="10"/>
      <c r="K261" s="10"/>
      <c r="L261" s="10"/>
      <c r="M261" s="38">
        <f t="shared" si="56"/>
        <v>0</v>
      </c>
      <c r="N261" s="10"/>
      <c r="O261" s="10"/>
      <c r="P261" s="10"/>
      <c r="Q261" s="38">
        <f>SUM(N261:P261)</f>
        <v>0</v>
      </c>
      <c r="R261" s="38">
        <f>+E261+I261+M261+Q261</f>
        <v>0</v>
      </c>
      <c r="T261" t="s">
        <v>2770</v>
      </c>
    </row>
    <row r="262" spans="1:21" ht="15.75" customHeight="1" x14ac:dyDescent="0.3">
      <c r="A262" s="410" t="s">
        <v>14</v>
      </c>
      <c r="B262" s="10"/>
      <c r="C262" s="10"/>
      <c r="D262" s="10"/>
      <c r="E262" s="38">
        <f t="shared" si="59"/>
        <v>0</v>
      </c>
      <c r="F262" s="10"/>
      <c r="G262" s="10"/>
      <c r="H262" s="10"/>
      <c r="I262" s="38">
        <f t="shared" si="55"/>
        <v>0</v>
      </c>
      <c r="J262" s="10"/>
      <c r="K262" s="10"/>
      <c r="L262" s="10"/>
      <c r="M262" s="38">
        <f t="shared" si="56"/>
        <v>0</v>
      </c>
      <c r="N262" s="10">
        <f>2+73</f>
        <v>75</v>
      </c>
      <c r="O262" s="10"/>
      <c r="P262" s="10"/>
      <c r="Q262" s="38">
        <f t="shared" si="57"/>
        <v>75</v>
      </c>
      <c r="R262" s="38">
        <f t="shared" si="53"/>
        <v>75</v>
      </c>
    </row>
    <row r="263" spans="1:21" ht="15.75" customHeight="1" x14ac:dyDescent="0.3">
      <c r="A263" s="410" t="s">
        <v>3204</v>
      </c>
      <c r="B263" s="10"/>
      <c r="C263" s="10"/>
      <c r="D263" s="10"/>
      <c r="E263" s="38">
        <f t="shared" si="59"/>
        <v>0</v>
      </c>
      <c r="F263" s="10"/>
      <c r="G263" s="10"/>
      <c r="H263" s="10"/>
      <c r="I263" s="38">
        <f t="shared" si="55"/>
        <v>0</v>
      </c>
      <c r="J263" s="10"/>
      <c r="K263" s="10"/>
      <c r="L263" s="10"/>
      <c r="M263" s="38">
        <f t="shared" si="56"/>
        <v>0</v>
      </c>
      <c r="N263" s="10">
        <v>435</v>
      </c>
      <c r="O263" s="10">
        <v>301</v>
      </c>
      <c r="P263" s="10"/>
      <c r="Q263" s="38">
        <f t="shared" si="57"/>
        <v>736</v>
      </c>
      <c r="R263" s="38">
        <f t="shared" si="53"/>
        <v>736</v>
      </c>
    </row>
    <row r="264" spans="1:21" ht="15.75" customHeight="1" x14ac:dyDescent="0.3">
      <c r="A264" s="410" t="s">
        <v>2410</v>
      </c>
      <c r="B264" s="10">
        <v>60</v>
      </c>
      <c r="C264" s="10"/>
      <c r="D264" s="10"/>
      <c r="E264" s="38">
        <f t="shared" si="59"/>
        <v>60</v>
      </c>
      <c r="F264" s="10"/>
      <c r="G264" s="10"/>
      <c r="H264" s="10"/>
      <c r="I264" s="38">
        <f t="shared" si="55"/>
        <v>0</v>
      </c>
      <c r="J264" s="10"/>
      <c r="K264" s="10"/>
      <c r="L264" s="10"/>
      <c r="M264" s="38">
        <f t="shared" si="56"/>
        <v>0</v>
      </c>
      <c r="N264" s="10"/>
      <c r="O264" s="10"/>
      <c r="P264" s="10"/>
      <c r="Q264" s="38">
        <f t="shared" si="57"/>
        <v>0</v>
      </c>
      <c r="R264" s="38">
        <f t="shared" si="53"/>
        <v>60</v>
      </c>
    </row>
    <row r="265" spans="1:21" ht="15.75" customHeight="1" x14ac:dyDescent="0.3">
      <c r="A265" s="410" t="s">
        <v>2849</v>
      </c>
      <c r="B265" s="10">
        <v>60</v>
      </c>
      <c r="C265" s="10"/>
      <c r="D265" s="10"/>
      <c r="E265" s="38">
        <f t="shared" si="59"/>
        <v>60</v>
      </c>
      <c r="F265" s="10"/>
      <c r="G265" s="10"/>
      <c r="H265" s="10"/>
      <c r="I265" s="38">
        <f t="shared" si="55"/>
        <v>0</v>
      </c>
      <c r="J265" s="10"/>
      <c r="K265" s="10"/>
      <c r="L265" s="10"/>
      <c r="M265" s="38">
        <f t="shared" si="56"/>
        <v>0</v>
      </c>
      <c r="N265" s="10"/>
      <c r="O265" s="10"/>
      <c r="P265" s="10"/>
      <c r="Q265" s="38">
        <f t="shared" si="57"/>
        <v>0</v>
      </c>
      <c r="R265" s="38">
        <f t="shared" si="53"/>
        <v>60</v>
      </c>
      <c r="S265" t="s">
        <v>3020</v>
      </c>
      <c r="T265" t="s">
        <v>2760</v>
      </c>
    </row>
    <row r="266" spans="1:21" ht="15.75" customHeight="1" x14ac:dyDescent="0.3">
      <c r="A266" s="410" t="s">
        <v>3158</v>
      </c>
      <c r="B266" s="10"/>
      <c r="C266" s="10"/>
      <c r="D266" s="10"/>
      <c r="E266" s="38">
        <f t="shared" si="59"/>
        <v>0</v>
      </c>
      <c r="F266" s="10"/>
      <c r="G266" s="10"/>
      <c r="H266" s="10"/>
      <c r="I266" s="38">
        <f t="shared" si="55"/>
        <v>0</v>
      </c>
      <c r="J266" s="10"/>
      <c r="K266" s="10"/>
      <c r="L266" s="10"/>
      <c r="M266" s="38">
        <f t="shared" si="56"/>
        <v>0</v>
      </c>
      <c r="N266" s="10"/>
      <c r="O266" s="10"/>
      <c r="P266" s="10"/>
      <c r="Q266" s="38">
        <f t="shared" si="57"/>
        <v>0</v>
      </c>
      <c r="R266" s="38">
        <f t="shared" si="53"/>
        <v>0</v>
      </c>
      <c r="T266" t="s">
        <v>2760</v>
      </c>
    </row>
    <row r="267" spans="1:21" ht="15.75" customHeight="1" x14ac:dyDescent="0.3">
      <c r="A267" s="410" t="s">
        <v>3276</v>
      </c>
      <c r="B267" s="10">
        <v>4143</v>
      </c>
      <c r="C267" s="10"/>
      <c r="D267" s="10"/>
      <c r="E267" s="38">
        <f t="shared" ref="E267" si="68">SUM(B267:D267)</f>
        <v>4143</v>
      </c>
      <c r="F267" s="10"/>
      <c r="G267" s="10"/>
      <c r="H267" s="10"/>
      <c r="I267" s="38">
        <f t="shared" ref="I267:I268" si="69">SUM(F267:H267)</f>
        <v>0</v>
      </c>
      <c r="J267" s="10"/>
      <c r="K267" s="10"/>
      <c r="L267" s="10"/>
      <c r="M267" s="38">
        <f t="shared" ref="M267:M268" si="70">SUM(J267:L267)</f>
        <v>0</v>
      </c>
      <c r="N267" s="10"/>
      <c r="O267" s="10"/>
      <c r="P267" s="10"/>
      <c r="Q267" s="38">
        <f t="shared" ref="Q267" si="71">SUM(N267:P267)</f>
        <v>0</v>
      </c>
      <c r="R267" s="38">
        <f t="shared" si="53"/>
        <v>4143</v>
      </c>
      <c r="S267" t="s">
        <v>3020</v>
      </c>
      <c r="T267" t="s">
        <v>2760</v>
      </c>
    </row>
    <row r="268" spans="1:21" ht="15.75" customHeight="1" x14ac:dyDescent="0.3">
      <c r="A268" s="410" t="s">
        <v>2939</v>
      </c>
      <c r="B268" s="10"/>
      <c r="C268" s="10"/>
      <c r="D268" s="10"/>
      <c r="E268" s="38">
        <f t="shared" si="59"/>
        <v>0</v>
      </c>
      <c r="F268" s="10"/>
      <c r="G268" s="10"/>
      <c r="H268" s="10">
        <v>400</v>
      </c>
      <c r="I268" s="38">
        <f t="shared" si="69"/>
        <v>400</v>
      </c>
      <c r="J268" s="10">
        <v>400</v>
      </c>
      <c r="K268" s="10">
        <v>400</v>
      </c>
      <c r="L268" s="10">
        <v>75</v>
      </c>
      <c r="M268" s="38">
        <f t="shared" si="70"/>
        <v>875</v>
      </c>
      <c r="N268" s="10"/>
      <c r="O268" s="10"/>
      <c r="P268" s="10"/>
      <c r="Q268" s="38">
        <f t="shared" si="57"/>
        <v>0</v>
      </c>
      <c r="R268" s="38">
        <f>+E268+I268+M268+Q268</f>
        <v>1275</v>
      </c>
      <c r="S268" s="709" t="s">
        <v>3020</v>
      </c>
      <c r="T268" t="s">
        <v>2760</v>
      </c>
    </row>
    <row r="269" spans="1:21" ht="15.75" customHeight="1" x14ac:dyDescent="0.3">
      <c r="A269" s="569" t="s">
        <v>2741</v>
      </c>
      <c r="B269" s="10"/>
      <c r="C269" s="10"/>
      <c r="D269" s="10"/>
      <c r="E269" s="38">
        <f t="shared" si="59"/>
        <v>0</v>
      </c>
      <c r="F269" s="10"/>
      <c r="G269" s="10"/>
      <c r="H269" s="10"/>
      <c r="I269" s="38">
        <f t="shared" si="55"/>
        <v>0</v>
      </c>
      <c r="J269" s="10"/>
      <c r="K269" s="10"/>
      <c r="L269" s="10"/>
      <c r="M269" s="38">
        <f t="shared" si="56"/>
        <v>0</v>
      </c>
      <c r="N269" s="10"/>
      <c r="O269" s="10"/>
      <c r="P269" s="10"/>
      <c r="Q269" s="38">
        <f>SUM(N269:P269)</f>
        <v>0</v>
      </c>
      <c r="R269" s="38">
        <f t="shared" si="53"/>
        <v>0</v>
      </c>
      <c r="T269" t="s">
        <v>2769</v>
      </c>
    </row>
    <row r="270" spans="1:21" ht="15.75" customHeight="1" x14ac:dyDescent="0.3">
      <c r="A270" s="569" t="s">
        <v>2742</v>
      </c>
      <c r="B270" s="10">
        <v>781</v>
      </c>
      <c r="C270" s="10">
        <v>781</v>
      </c>
      <c r="D270" s="10">
        <v>781</v>
      </c>
      <c r="E270" s="38">
        <f>SUM(B270:D270)</f>
        <v>2343</v>
      </c>
      <c r="F270" s="10">
        <v>781</v>
      </c>
      <c r="G270" s="10">
        <v>782</v>
      </c>
      <c r="H270" s="10">
        <v>782</v>
      </c>
      <c r="I270" s="38">
        <f t="shared" ref="I270:I271" si="72">SUM(F270:H270)</f>
        <v>2345</v>
      </c>
      <c r="J270" s="10">
        <v>782</v>
      </c>
      <c r="K270" s="10">
        <v>782</v>
      </c>
      <c r="L270" s="10">
        <v>782</v>
      </c>
      <c r="M270" s="38">
        <f t="shared" ref="M270" si="73">SUM(J270:L270)</f>
        <v>2346</v>
      </c>
      <c r="N270" s="10">
        <v>782</v>
      </c>
      <c r="O270" s="10">
        <v>782</v>
      </c>
      <c r="P270" s="10">
        <v>782</v>
      </c>
      <c r="Q270" s="38">
        <f>SUM(N270:P270)</f>
        <v>2346</v>
      </c>
      <c r="R270" s="38">
        <f t="shared" si="53"/>
        <v>9380</v>
      </c>
      <c r="T270" t="s">
        <v>2770</v>
      </c>
    </row>
    <row r="271" spans="1:21" ht="15.75" customHeight="1" x14ac:dyDescent="0.3">
      <c r="A271" s="410" t="s">
        <v>3289</v>
      </c>
      <c r="B271" s="10"/>
      <c r="C271" s="10"/>
      <c r="D271" s="10"/>
      <c r="E271" s="38">
        <f>SUM(B271:D271)</f>
        <v>0</v>
      </c>
      <c r="F271" s="10"/>
      <c r="G271" s="10"/>
      <c r="H271" s="10">
        <v>500</v>
      </c>
      <c r="I271" s="38">
        <f t="shared" si="72"/>
        <v>500</v>
      </c>
      <c r="J271" s="10"/>
      <c r="K271" s="10"/>
      <c r="L271" s="10"/>
      <c r="M271" s="38">
        <f>SUM(J271:L271)</f>
        <v>0</v>
      </c>
      <c r="N271" s="10"/>
      <c r="O271" s="10"/>
      <c r="P271" s="10"/>
      <c r="Q271" s="38">
        <f t="shared" si="57"/>
        <v>0</v>
      </c>
      <c r="R271" s="38">
        <f t="shared" si="53"/>
        <v>500</v>
      </c>
      <c r="S271" t="s">
        <v>3020</v>
      </c>
      <c r="T271" t="s">
        <v>2760</v>
      </c>
    </row>
    <row r="272" spans="1:21" ht="15.75" customHeight="1" x14ac:dyDescent="0.3">
      <c r="A272" s="410" t="s">
        <v>3290</v>
      </c>
      <c r="B272" s="10"/>
      <c r="C272" s="10"/>
      <c r="D272" s="10"/>
      <c r="E272" s="38">
        <f t="shared" ref="E272:E273" si="74">SUM(B272:D272)</f>
        <v>0</v>
      </c>
      <c r="F272" s="10"/>
      <c r="G272" s="10"/>
      <c r="H272" s="10"/>
      <c r="I272" s="38">
        <f t="shared" si="55"/>
        <v>0</v>
      </c>
      <c r="J272" s="10"/>
      <c r="K272" s="10"/>
      <c r="L272" s="10"/>
      <c r="M272" s="38">
        <f t="shared" si="56"/>
        <v>0</v>
      </c>
      <c r="N272" s="10"/>
      <c r="O272" s="10"/>
      <c r="P272" s="10"/>
      <c r="Q272" s="38">
        <f t="shared" si="57"/>
        <v>0</v>
      </c>
      <c r="R272" s="38">
        <f t="shared" si="53"/>
        <v>0</v>
      </c>
      <c r="T272" t="s">
        <v>2760</v>
      </c>
    </row>
    <row r="273" spans="1:20" ht="15.75" customHeight="1" x14ac:dyDescent="0.3">
      <c r="A273" s="569" t="s">
        <v>3314</v>
      </c>
      <c r="B273" s="10"/>
      <c r="C273" s="10"/>
      <c r="D273" s="10"/>
      <c r="E273" s="38">
        <f t="shared" si="74"/>
        <v>0</v>
      </c>
      <c r="F273" s="10"/>
      <c r="G273" s="10"/>
      <c r="H273" s="10"/>
      <c r="I273" s="38">
        <f t="shared" si="55"/>
        <v>0</v>
      </c>
      <c r="J273" s="10"/>
      <c r="K273" s="10"/>
      <c r="L273" s="10"/>
      <c r="M273" s="38">
        <f t="shared" si="56"/>
        <v>0</v>
      </c>
      <c r="N273" s="10"/>
      <c r="O273" s="10"/>
      <c r="P273" s="10"/>
      <c r="Q273" s="38">
        <f t="shared" ref="Q273" si="75">SUM(N273:P273)</f>
        <v>0</v>
      </c>
      <c r="R273" s="38">
        <f t="shared" si="53"/>
        <v>0</v>
      </c>
    </row>
    <row r="274" spans="1:20" ht="15.75" customHeight="1" x14ac:dyDescent="0.3">
      <c r="A274" s="410" t="s">
        <v>3291</v>
      </c>
      <c r="B274" s="10">
        <v>1318</v>
      </c>
      <c r="C274" s="10">
        <v>1532</v>
      </c>
      <c r="D274" s="10"/>
      <c r="E274" s="38">
        <f t="shared" si="59"/>
        <v>2850</v>
      </c>
      <c r="F274" s="10"/>
      <c r="G274" s="10"/>
      <c r="H274" s="10"/>
      <c r="I274" s="38">
        <f t="shared" si="55"/>
        <v>0</v>
      </c>
      <c r="J274" s="10"/>
      <c r="K274" s="10"/>
      <c r="L274" s="10"/>
      <c r="M274" s="38">
        <f t="shared" si="56"/>
        <v>0</v>
      </c>
      <c r="N274" s="10"/>
      <c r="O274" s="10"/>
      <c r="P274" s="10"/>
      <c r="Q274" s="38">
        <f t="shared" si="57"/>
        <v>0</v>
      </c>
      <c r="R274" s="38">
        <f t="shared" si="53"/>
        <v>2850</v>
      </c>
      <c r="T274" t="s">
        <v>2775</v>
      </c>
    </row>
    <row r="275" spans="1:20" ht="15.75" customHeight="1" x14ac:dyDescent="0.3">
      <c r="A275" s="410" t="s">
        <v>3293</v>
      </c>
      <c r="B275" s="10"/>
      <c r="C275" s="10"/>
      <c r="D275" s="10"/>
      <c r="E275" s="38">
        <f t="shared" si="59"/>
        <v>0</v>
      </c>
      <c r="F275" s="10"/>
      <c r="G275" s="10"/>
      <c r="H275" s="10"/>
      <c r="I275" s="38">
        <f>SUM(F275:H275)</f>
        <v>0</v>
      </c>
      <c r="J275" s="10"/>
      <c r="K275" s="10"/>
      <c r="L275" s="10"/>
      <c r="M275" s="38">
        <f t="shared" si="56"/>
        <v>0</v>
      </c>
      <c r="N275" s="10"/>
      <c r="O275" s="10"/>
      <c r="P275" s="10"/>
      <c r="Q275" s="38">
        <f t="shared" si="57"/>
        <v>0</v>
      </c>
      <c r="R275" s="38">
        <f t="shared" si="53"/>
        <v>0</v>
      </c>
      <c r="S275" t="s">
        <v>3020</v>
      </c>
    </row>
    <row r="276" spans="1:20" ht="15.75" customHeight="1" x14ac:dyDescent="0.3">
      <c r="A276" s="410" t="s">
        <v>3313</v>
      </c>
      <c r="B276" s="10"/>
      <c r="C276" s="10"/>
      <c r="D276" s="10"/>
      <c r="E276" s="38">
        <f t="shared" si="59"/>
        <v>0</v>
      </c>
      <c r="F276" s="10"/>
      <c r="G276" s="10"/>
      <c r="H276" s="10"/>
      <c r="I276" s="38">
        <f>SUM(F276:H276)</f>
        <v>0</v>
      </c>
      <c r="J276" s="10"/>
      <c r="K276" s="10"/>
      <c r="L276" s="10"/>
      <c r="M276" s="38">
        <f t="shared" si="56"/>
        <v>0</v>
      </c>
      <c r="N276" s="10"/>
      <c r="O276" s="10"/>
      <c r="P276" s="10"/>
      <c r="Q276" s="38">
        <f t="shared" ref="Q276" si="76">SUM(N276:P276)</f>
        <v>0</v>
      </c>
      <c r="R276" s="38">
        <f t="shared" si="53"/>
        <v>0</v>
      </c>
    </row>
    <row r="277" spans="1:20" ht="15.75" customHeight="1" x14ac:dyDescent="0.3">
      <c r="A277" s="410" t="s">
        <v>3294</v>
      </c>
      <c r="B277" s="10">
        <v>95</v>
      </c>
      <c r="C277" s="10"/>
      <c r="D277" s="10"/>
      <c r="E277" s="38">
        <f t="shared" si="59"/>
        <v>95</v>
      </c>
      <c r="F277" s="10"/>
      <c r="G277" s="10"/>
      <c r="H277" s="10"/>
      <c r="I277" s="38">
        <f t="shared" si="55"/>
        <v>0</v>
      </c>
      <c r="J277" s="10"/>
      <c r="K277" s="10"/>
      <c r="L277" s="10"/>
      <c r="M277" s="38">
        <f t="shared" si="56"/>
        <v>0</v>
      </c>
      <c r="N277" s="10"/>
      <c r="O277" s="10"/>
      <c r="P277" s="10"/>
      <c r="Q277" s="38">
        <f t="shared" si="57"/>
        <v>0</v>
      </c>
      <c r="R277" s="38">
        <f t="shared" si="53"/>
        <v>95</v>
      </c>
    </row>
    <row r="278" spans="1:20" ht="15.75" customHeight="1" x14ac:dyDescent="0.3">
      <c r="A278" s="410" t="s">
        <v>3295</v>
      </c>
      <c r="B278" s="10">
        <v>95</v>
      </c>
      <c r="C278" s="10"/>
      <c r="D278" s="10"/>
      <c r="E278" s="38">
        <f t="shared" si="59"/>
        <v>95</v>
      </c>
      <c r="F278" s="10"/>
      <c r="G278" s="10"/>
      <c r="H278" s="10"/>
      <c r="I278" s="38">
        <f t="shared" si="55"/>
        <v>0</v>
      </c>
      <c r="J278" s="10"/>
      <c r="K278" s="10"/>
      <c r="L278" s="10"/>
      <c r="M278" s="38">
        <f t="shared" si="56"/>
        <v>0</v>
      </c>
      <c r="N278" s="10"/>
      <c r="O278" s="10"/>
      <c r="P278" s="10"/>
      <c r="Q278" s="38">
        <f t="shared" si="57"/>
        <v>0</v>
      </c>
      <c r="R278" s="38">
        <f t="shared" si="53"/>
        <v>95</v>
      </c>
      <c r="S278" t="s">
        <v>3020</v>
      </c>
      <c r="T278" t="s">
        <v>2760</v>
      </c>
    </row>
    <row r="279" spans="1:20" ht="15.75" customHeight="1" x14ac:dyDescent="0.3">
      <c r="A279" s="410" t="s">
        <v>3053</v>
      </c>
      <c r="B279" s="10"/>
      <c r="C279" s="10">
        <v>1700</v>
      </c>
      <c r="D279" s="10">
        <v>1900</v>
      </c>
      <c r="E279" s="38">
        <f>SUM(B279:D279)</f>
        <v>3600</v>
      </c>
      <c r="F279" s="10">
        <v>1200</v>
      </c>
      <c r="G279" s="10">
        <v>1100</v>
      </c>
      <c r="H279" s="10">
        <v>200</v>
      </c>
      <c r="I279" s="38">
        <f>SUM(F279:H279)</f>
        <v>2500</v>
      </c>
      <c r="J279" s="10">
        <v>200</v>
      </c>
      <c r="K279" s="10">
        <v>700</v>
      </c>
      <c r="L279" s="10">
        <v>900</v>
      </c>
      <c r="M279" s="38">
        <f>SUM(J279:L279)</f>
        <v>1800</v>
      </c>
      <c r="N279" s="10">
        <v>1100</v>
      </c>
      <c r="O279" s="10">
        <v>1000</v>
      </c>
      <c r="P279" s="10">
        <v>1300</v>
      </c>
      <c r="Q279" s="38">
        <f>SUM(N279:P279)</f>
        <v>3400</v>
      </c>
      <c r="R279" s="38">
        <f t="shared" ref="R279:R284" si="77">+E279+I279+M279+Q279</f>
        <v>11300</v>
      </c>
      <c r="S279" t="s">
        <v>3020</v>
      </c>
      <c r="T279" t="s">
        <v>2760</v>
      </c>
    </row>
    <row r="280" spans="1:20" ht="15.75" customHeight="1" x14ac:dyDescent="0.3">
      <c r="A280" s="410" t="s">
        <v>3428</v>
      </c>
      <c r="B280" s="10"/>
      <c r="C280" s="10"/>
      <c r="D280" s="10"/>
      <c r="E280" s="38">
        <f>SUM(B280:D280)</f>
        <v>0</v>
      </c>
      <c r="F280" s="10"/>
      <c r="G280" s="10">
        <v>2700</v>
      </c>
      <c r="H280" s="10"/>
      <c r="I280" s="38">
        <f>SUM(F280:H280)</f>
        <v>2700</v>
      </c>
      <c r="J280" s="10">
        <v>6000</v>
      </c>
      <c r="K280" s="10"/>
      <c r="L280" s="10"/>
      <c r="M280" s="38">
        <f>SUM(J280:L280)</f>
        <v>6000</v>
      </c>
      <c r="N280" s="10"/>
      <c r="O280" s="10"/>
      <c r="P280" s="10"/>
      <c r="Q280" s="38">
        <f>SUM(N280:P280)</f>
        <v>0</v>
      </c>
      <c r="R280" s="38">
        <f t="shared" si="77"/>
        <v>8700</v>
      </c>
    </row>
    <row r="281" spans="1:20" ht="15.75" customHeight="1" x14ac:dyDescent="0.3">
      <c r="A281" s="410" t="s">
        <v>3275</v>
      </c>
      <c r="B281" s="10"/>
      <c r="C281" s="10"/>
      <c r="D281" s="10"/>
      <c r="E281" s="38">
        <f>SUM(B281:D281)</f>
        <v>0</v>
      </c>
      <c r="F281" s="10"/>
      <c r="G281" s="10"/>
      <c r="H281" s="10"/>
      <c r="I281" s="38">
        <f>SUM(F281:H281)</f>
        <v>0</v>
      </c>
      <c r="J281" s="10"/>
      <c r="K281" s="10"/>
      <c r="L281" s="10"/>
      <c r="M281" s="38">
        <f>SUM(J281:L281)</f>
        <v>0</v>
      </c>
      <c r="N281" s="10"/>
      <c r="O281" s="10"/>
      <c r="P281" s="10"/>
      <c r="Q281" s="38">
        <f t="shared" ref="Q281" si="78">SUM(N281:P281)</f>
        <v>0</v>
      </c>
      <c r="R281" s="38">
        <f t="shared" si="77"/>
        <v>0</v>
      </c>
      <c r="T281" t="s">
        <v>2760</v>
      </c>
    </row>
    <row r="282" spans="1:20" ht="15.75" customHeight="1" x14ac:dyDescent="0.3">
      <c r="A282" s="410" t="s">
        <v>3154</v>
      </c>
      <c r="B282" s="10"/>
      <c r="C282" s="10"/>
      <c r="D282" s="10"/>
      <c r="E282" s="38">
        <f t="shared" ref="E282:E284" si="79">SUM(B282:D282)</f>
        <v>0</v>
      </c>
      <c r="F282" s="10"/>
      <c r="G282" s="10"/>
      <c r="H282" s="10"/>
      <c r="I282" s="38">
        <f t="shared" ref="I282:I284" si="80">SUM(F282:H282)</f>
        <v>0</v>
      </c>
      <c r="J282" s="10"/>
      <c r="K282" s="10"/>
      <c r="L282" s="10"/>
      <c r="M282" s="38">
        <f t="shared" ref="M282:M284" si="81">SUM(J282:L282)</f>
        <v>0</v>
      </c>
      <c r="N282" s="10"/>
      <c r="O282" s="10"/>
      <c r="P282" s="10"/>
      <c r="Q282" s="38">
        <f t="shared" ref="Q282" si="82">SUM(N282:P282)</f>
        <v>0</v>
      </c>
      <c r="R282" s="38">
        <f t="shared" si="77"/>
        <v>0</v>
      </c>
      <c r="T282" t="s">
        <v>2760</v>
      </c>
    </row>
    <row r="283" spans="1:20" ht="15.75" customHeight="1" x14ac:dyDescent="0.3">
      <c r="A283" s="569" t="s">
        <v>3426</v>
      </c>
      <c r="B283" s="10"/>
      <c r="C283" s="10"/>
      <c r="D283" s="10"/>
      <c r="E283" s="38">
        <f t="shared" si="79"/>
        <v>0</v>
      </c>
      <c r="F283" s="10"/>
      <c r="G283" s="10"/>
      <c r="H283" s="10"/>
      <c r="I283" s="38">
        <f t="shared" si="80"/>
        <v>0</v>
      </c>
      <c r="J283" s="10"/>
      <c r="K283" s="10"/>
      <c r="L283" s="10"/>
      <c r="M283" s="38">
        <f t="shared" si="81"/>
        <v>0</v>
      </c>
      <c r="N283" s="10"/>
      <c r="O283" s="10"/>
      <c r="P283" s="10"/>
      <c r="Q283" s="38">
        <f t="shared" ref="Q283" si="83">SUM(N283:P283)</f>
        <v>0</v>
      </c>
      <c r="R283" s="38">
        <f t="shared" si="77"/>
        <v>0</v>
      </c>
    </row>
    <row r="284" spans="1:20" ht="15.75" customHeight="1" x14ac:dyDescent="0.3">
      <c r="A284" s="410" t="s">
        <v>3462</v>
      </c>
      <c r="B284" s="10"/>
      <c r="C284" s="10"/>
      <c r="D284" s="10"/>
      <c r="E284" s="38">
        <f t="shared" si="79"/>
        <v>0</v>
      </c>
      <c r="F284" s="10"/>
      <c r="G284" s="10"/>
      <c r="H284" s="10"/>
      <c r="I284" s="38">
        <f t="shared" si="80"/>
        <v>0</v>
      </c>
      <c r="J284" s="10"/>
      <c r="K284" s="10"/>
      <c r="L284" s="10"/>
      <c r="M284" s="38">
        <f t="shared" si="81"/>
        <v>0</v>
      </c>
      <c r="N284" s="10"/>
      <c r="O284" s="10"/>
      <c r="P284" s="10"/>
      <c r="Q284" s="38">
        <f t="shared" ref="Q284" si="84">SUM(N284:P284)</f>
        <v>0</v>
      </c>
      <c r="R284" s="38">
        <f t="shared" si="77"/>
        <v>0</v>
      </c>
    </row>
    <row r="285" spans="1:20" ht="15.75" customHeight="1" x14ac:dyDescent="0.3">
      <c r="A285" s="410" t="s">
        <v>3385</v>
      </c>
      <c r="B285" s="10"/>
      <c r="C285" s="10"/>
      <c r="D285" s="10"/>
      <c r="E285" s="38">
        <f t="shared" ref="E285" si="85">SUM(B285:D285)</f>
        <v>0</v>
      </c>
      <c r="F285" s="10"/>
      <c r="G285" s="10">
        <v>570</v>
      </c>
      <c r="H285" s="10">
        <v>570</v>
      </c>
      <c r="I285" s="38">
        <f t="shared" ref="I285" si="86">SUM(F285:H285)</f>
        <v>1140</v>
      </c>
      <c r="J285" s="10">
        <v>951</v>
      </c>
      <c r="K285" s="10">
        <v>951</v>
      </c>
      <c r="L285" s="10">
        <v>951</v>
      </c>
      <c r="M285" s="38">
        <f t="shared" ref="M285" si="87">SUM(J285:L285)</f>
        <v>2853</v>
      </c>
      <c r="N285" s="10">
        <v>761</v>
      </c>
      <c r="O285" s="10">
        <v>761</v>
      </c>
      <c r="P285" s="10">
        <v>285</v>
      </c>
      <c r="Q285" s="38">
        <f t="shared" si="57"/>
        <v>1807</v>
      </c>
      <c r="R285" s="38">
        <f t="shared" si="53"/>
        <v>5800</v>
      </c>
      <c r="S285" t="s">
        <v>3020</v>
      </c>
    </row>
    <row r="286" spans="1:20" ht="15.75" customHeight="1" x14ac:dyDescent="0.3">
      <c r="A286" s="410" t="s">
        <v>1453</v>
      </c>
      <c r="B286" s="10">
        <f>439+80+10</f>
        <v>529</v>
      </c>
      <c r="C286" s="10">
        <f>3360+70+20</f>
        <v>3450</v>
      </c>
      <c r="D286" s="10">
        <f>4630+290+80+40</f>
        <v>5040</v>
      </c>
      <c r="E286" s="38">
        <f>SUM(B286:D286)</f>
        <v>9019</v>
      </c>
      <c r="F286" s="10">
        <f>3481</f>
        <v>3481</v>
      </c>
      <c r="G286" s="10"/>
      <c r="H286" s="10"/>
      <c r="I286" s="38">
        <f>SUM(F286:H286)</f>
        <v>3481</v>
      </c>
      <c r="J286" s="10"/>
      <c r="K286" s="10"/>
      <c r="L286" s="10"/>
      <c r="M286" s="38">
        <f>SUM(J286:L286)</f>
        <v>0</v>
      </c>
      <c r="N286" s="10"/>
      <c r="O286" s="10"/>
      <c r="P286" s="10"/>
      <c r="Q286" s="38">
        <f>SUM(N286:P286)</f>
        <v>0</v>
      </c>
      <c r="R286" s="38">
        <f>+E286+I286+M286+Q286</f>
        <v>12500</v>
      </c>
      <c r="S286" t="s">
        <v>3020</v>
      </c>
    </row>
    <row r="287" spans="1:20" ht="15.75" customHeight="1" x14ac:dyDescent="0.3">
      <c r="A287" s="410" t="s">
        <v>3080</v>
      </c>
      <c r="B287" s="10"/>
      <c r="C287" s="10"/>
      <c r="D287" s="10"/>
      <c r="E287" s="38">
        <f>SUM(B287:D287)</f>
        <v>0</v>
      </c>
      <c r="F287" s="10"/>
      <c r="G287" s="10"/>
      <c r="H287" s="10"/>
      <c r="I287" s="38">
        <f>SUM(F287:H287)</f>
        <v>0</v>
      </c>
      <c r="J287" s="10"/>
      <c r="K287" s="10"/>
      <c r="L287" s="10"/>
      <c r="M287" s="38">
        <f>SUM(J287:L287)</f>
        <v>0</v>
      </c>
      <c r="N287" s="10"/>
      <c r="O287" s="10"/>
      <c r="P287" s="10"/>
      <c r="Q287" s="38">
        <f>SUM(N287:P287)</f>
        <v>0</v>
      </c>
      <c r="R287" s="38">
        <f>+E287+I287+M287+Q287</f>
        <v>0</v>
      </c>
    </row>
    <row r="288" spans="1:20" ht="15.75" customHeight="1" x14ac:dyDescent="0.3">
      <c r="A288" s="410" t="s">
        <v>3136</v>
      </c>
      <c r="B288" s="10"/>
      <c r="C288" s="10"/>
      <c r="D288" s="10"/>
      <c r="E288" s="38">
        <f t="shared" ref="E288" si="88">SUM(B288:D288)</f>
        <v>0</v>
      </c>
      <c r="F288" s="10"/>
      <c r="G288" s="10"/>
      <c r="H288" s="10"/>
      <c r="I288" s="38">
        <f t="shared" ref="I288" si="89">SUM(F288:H288)</f>
        <v>0</v>
      </c>
      <c r="J288" s="10"/>
      <c r="K288" s="10"/>
      <c r="L288" s="10"/>
      <c r="M288" s="38">
        <f t="shared" ref="M288" si="90">SUM(J288:L288)</f>
        <v>0</v>
      </c>
      <c r="N288" s="10"/>
      <c r="O288" s="10"/>
      <c r="P288" s="10"/>
      <c r="Q288" s="38">
        <f t="shared" ref="Q288" si="91">SUM(N288:P288)</f>
        <v>0</v>
      </c>
      <c r="R288" s="38">
        <f t="shared" ref="R288" si="92">+E288+I288+M288+Q288</f>
        <v>0</v>
      </c>
    </row>
    <row r="289" spans="1:20" ht="15.75" customHeight="1" x14ac:dyDescent="0.3">
      <c r="A289" s="410" t="s">
        <v>1410</v>
      </c>
      <c r="B289" s="10">
        <v>500</v>
      </c>
      <c r="C289" s="10"/>
      <c r="D289" s="10"/>
      <c r="E289" s="38">
        <f t="shared" ref="E289:E290" si="93">SUM(B289:D289)</f>
        <v>500</v>
      </c>
      <c r="F289" s="10"/>
      <c r="G289" s="10"/>
      <c r="H289" s="10"/>
      <c r="I289" s="38">
        <f t="shared" si="55"/>
        <v>0</v>
      </c>
      <c r="J289" s="10"/>
      <c r="K289" s="10"/>
      <c r="L289" s="10"/>
      <c r="M289" s="38">
        <f t="shared" si="56"/>
        <v>0</v>
      </c>
      <c r="N289" s="10"/>
      <c r="O289" s="10"/>
      <c r="P289" s="10"/>
      <c r="Q289" s="38">
        <f t="shared" si="57"/>
        <v>0</v>
      </c>
      <c r="R289" s="38">
        <f t="shared" si="53"/>
        <v>500</v>
      </c>
    </row>
    <row r="290" spans="1:20" ht="15.75" customHeight="1" x14ac:dyDescent="0.3">
      <c r="A290" s="410" t="s">
        <v>3423</v>
      </c>
      <c r="B290" s="10"/>
      <c r="C290" s="10"/>
      <c r="D290" s="10"/>
      <c r="E290" s="38">
        <f t="shared" si="93"/>
        <v>0</v>
      </c>
      <c r="F290" s="10"/>
      <c r="G290" s="10"/>
      <c r="H290" s="10"/>
      <c r="I290" s="38">
        <f t="shared" si="55"/>
        <v>0</v>
      </c>
      <c r="J290" s="10"/>
      <c r="K290" s="10"/>
      <c r="L290" s="10"/>
      <c r="M290" s="38">
        <f t="shared" si="56"/>
        <v>0</v>
      </c>
      <c r="N290" s="10"/>
      <c r="O290" s="10"/>
      <c r="P290" s="10"/>
      <c r="Q290" s="38">
        <f t="shared" si="57"/>
        <v>0</v>
      </c>
      <c r="R290" s="38">
        <f t="shared" si="53"/>
        <v>0</v>
      </c>
    </row>
    <row r="291" spans="1:20" ht="15.75" customHeight="1" thickBot="1" x14ac:dyDescent="0.35">
      <c r="A291" s="410" t="s">
        <v>3025</v>
      </c>
      <c r="B291" s="10"/>
      <c r="C291" s="10"/>
      <c r="D291" s="10"/>
      <c r="E291" s="38">
        <f>SUM(B291:D291)</f>
        <v>0</v>
      </c>
      <c r="F291" s="10"/>
      <c r="G291" s="10"/>
      <c r="H291" s="10"/>
      <c r="I291" s="38">
        <f>SUM(F291:H291)</f>
        <v>0</v>
      </c>
      <c r="J291" s="10"/>
      <c r="K291" s="10"/>
      <c r="L291" s="10"/>
      <c r="M291" s="38">
        <f>SUM(J291:L291)</f>
        <v>0</v>
      </c>
      <c r="N291" s="10"/>
      <c r="O291" s="10"/>
      <c r="P291" s="10">
        <v>128</v>
      </c>
      <c r="Q291" s="38">
        <f>SUM(N291:P291)</f>
        <v>128</v>
      </c>
      <c r="R291" s="38">
        <f t="shared" si="53"/>
        <v>128</v>
      </c>
      <c r="S291" s="709" t="s">
        <v>3020</v>
      </c>
    </row>
    <row r="292" spans="1:20" ht="16.5" customHeight="1" thickBot="1" x14ac:dyDescent="0.35">
      <c r="A292" s="43" t="s">
        <v>1220</v>
      </c>
      <c r="B292" s="46">
        <f>SUM(B222:B291)</f>
        <v>10809</v>
      </c>
      <c r="C292" s="46">
        <f>SUM(C222:C291)</f>
        <v>10400</v>
      </c>
      <c r="D292" s="46">
        <f>SUM(D222:D291)</f>
        <v>13544</v>
      </c>
      <c r="E292" s="37">
        <f t="shared" ref="E292" si="94">SUM(B292:D292)</f>
        <v>34753</v>
      </c>
      <c r="F292" s="46">
        <f>SUM(F222:F291)</f>
        <v>12816</v>
      </c>
      <c r="G292" s="46">
        <f>SUM(G222:G291)</f>
        <v>16369</v>
      </c>
      <c r="H292" s="46">
        <f>SUM(H222:H291)</f>
        <v>5975</v>
      </c>
      <c r="I292" s="37">
        <f t="shared" ref="I292" si="95">SUM(F292:H292)</f>
        <v>35160</v>
      </c>
      <c r="J292" s="46">
        <f>SUM(J222:J291)</f>
        <v>9087</v>
      </c>
      <c r="K292" s="46">
        <f>SUM(K222:K291)</f>
        <v>4058</v>
      </c>
      <c r="L292" s="46">
        <f>SUM(L222:L291)</f>
        <v>3775</v>
      </c>
      <c r="M292" s="37">
        <f t="shared" ref="M292" si="96">SUM(J292:L292)</f>
        <v>16920</v>
      </c>
      <c r="N292" s="46">
        <f>SUM(N222:N291)</f>
        <v>3788</v>
      </c>
      <c r="O292" s="46">
        <f>SUM(O222:O291)</f>
        <v>3623</v>
      </c>
      <c r="P292" s="46">
        <f>SUM(P222:P291)</f>
        <v>5876</v>
      </c>
      <c r="Q292" s="37">
        <f t="shared" ref="Q292" si="97">SUM(N292:P292)</f>
        <v>13287</v>
      </c>
      <c r="R292" s="37">
        <f t="shared" si="53"/>
        <v>100120</v>
      </c>
    </row>
    <row r="293" spans="1:20" ht="15.75" customHeight="1" x14ac:dyDescent="0.3">
      <c r="A293" s="234" t="s">
        <v>1712</v>
      </c>
      <c r="B293" s="10"/>
      <c r="C293" s="10"/>
      <c r="D293" s="10"/>
      <c r="E293" s="38" t="s">
        <v>852</v>
      </c>
      <c r="F293" s="10"/>
      <c r="G293" s="10"/>
      <c r="H293" s="10"/>
      <c r="I293" s="38" t="s">
        <v>852</v>
      </c>
      <c r="J293" s="10"/>
      <c r="K293" s="10"/>
      <c r="L293" s="10"/>
      <c r="M293" s="38" t="s">
        <v>852</v>
      </c>
      <c r="N293" s="10"/>
      <c r="O293" s="10"/>
      <c r="P293" s="10"/>
      <c r="Q293" s="38" t="s">
        <v>852</v>
      </c>
      <c r="R293" s="38" t="s">
        <v>852</v>
      </c>
    </row>
    <row r="294" spans="1:20" ht="15.75" customHeight="1" x14ac:dyDescent="0.3">
      <c r="A294" s="234" t="s">
        <v>1021</v>
      </c>
      <c r="B294" s="10"/>
      <c r="C294" s="10"/>
      <c r="D294" s="10"/>
      <c r="E294" s="38" t="s">
        <v>852</v>
      </c>
      <c r="F294" s="10"/>
      <c r="G294" s="10"/>
      <c r="H294" s="10"/>
      <c r="I294" s="38" t="s">
        <v>852</v>
      </c>
      <c r="J294" s="10"/>
      <c r="K294" s="10"/>
      <c r="L294" s="10"/>
      <c r="M294" s="38" t="s">
        <v>852</v>
      </c>
      <c r="N294" s="10"/>
      <c r="O294" s="10"/>
      <c r="P294" s="10"/>
      <c r="Q294" s="38" t="s">
        <v>852</v>
      </c>
      <c r="R294" s="38" t="s">
        <v>852</v>
      </c>
    </row>
    <row r="295" spans="1:20" ht="15.75" customHeight="1" x14ac:dyDescent="0.3">
      <c r="A295" s="568" t="s">
        <v>3252</v>
      </c>
      <c r="B295" s="10"/>
      <c r="C295" s="10"/>
      <c r="D295" s="10"/>
      <c r="E295" s="38">
        <f>SUM(B295:D295)</f>
        <v>0</v>
      </c>
      <c r="F295" s="10"/>
      <c r="G295" s="10"/>
      <c r="H295" s="10"/>
      <c r="I295" s="38">
        <f>SUM(F295:H295)</f>
        <v>0</v>
      </c>
      <c r="J295" s="10"/>
      <c r="K295" s="10"/>
      <c r="L295" s="10"/>
      <c r="M295" s="38">
        <f>SUM(J295:L295)</f>
        <v>0</v>
      </c>
      <c r="N295" s="10"/>
      <c r="O295" s="10"/>
      <c r="P295" s="10"/>
      <c r="Q295" s="38">
        <f>SUM(N295:P295)</f>
        <v>0</v>
      </c>
      <c r="R295" s="38">
        <f>+E295+I295+M295+Q295</f>
        <v>0</v>
      </c>
      <c r="T295" t="s">
        <v>2769</v>
      </c>
    </row>
    <row r="296" spans="1:20" ht="15.75" customHeight="1" x14ac:dyDescent="0.3">
      <c r="A296" s="568" t="s">
        <v>3253</v>
      </c>
      <c r="B296" s="10"/>
      <c r="C296" s="10"/>
      <c r="D296" s="10"/>
      <c r="E296" s="38">
        <f>SUM(B296:D296)</f>
        <v>0</v>
      </c>
      <c r="F296" s="10"/>
      <c r="G296" s="10"/>
      <c r="H296" s="10"/>
      <c r="I296" s="38">
        <f>SUM(F296:H296)</f>
        <v>0</v>
      </c>
      <c r="J296" s="10"/>
      <c r="K296" s="10"/>
      <c r="L296" s="10"/>
      <c r="M296" s="38">
        <f>SUM(J296:L296)</f>
        <v>0</v>
      </c>
      <c r="N296" s="10"/>
      <c r="O296" s="10"/>
      <c r="P296" s="10"/>
      <c r="Q296" s="38">
        <f>SUM(N296:P296)</f>
        <v>0</v>
      </c>
      <c r="R296" s="38">
        <f>+E296+I296+M296+Q296</f>
        <v>0</v>
      </c>
      <c r="T296" t="s">
        <v>2770</v>
      </c>
    </row>
    <row r="297" spans="1:20" ht="15.75" customHeight="1" x14ac:dyDescent="0.3">
      <c r="A297" s="234" t="s">
        <v>557</v>
      </c>
      <c r="B297" s="10"/>
      <c r="C297" s="10"/>
      <c r="D297" s="10"/>
      <c r="E297" s="38" t="s">
        <v>852</v>
      </c>
      <c r="F297" s="10"/>
      <c r="G297" s="10"/>
      <c r="H297" s="10"/>
      <c r="I297" s="38" t="s">
        <v>852</v>
      </c>
      <c r="J297" s="10"/>
      <c r="K297" s="10"/>
      <c r="L297" s="10"/>
      <c r="M297" s="38" t="s">
        <v>852</v>
      </c>
      <c r="N297" s="10"/>
      <c r="O297" s="10"/>
      <c r="P297" s="10"/>
      <c r="Q297" s="38" t="s">
        <v>852</v>
      </c>
      <c r="R297" s="38" t="s">
        <v>852</v>
      </c>
    </row>
    <row r="298" spans="1:20" ht="15.75" customHeight="1" x14ac:dyDescent="0.3">
      <c r="A298" s="568" t="s">
        <v>3006</v>
      </c>
      <c r="B298" s="10"/>
      <c r="C298" s="10"/>
      <c r="D298" s="10"/>
      <c r="E298" s="38">
        <f>SUM(B298:D298)</f>
        <v>0</v>
      </c>
      <c r="F298" s="10"/>
      <c r="G298" s="10"/>
      <c r="H298" s="10"/>
      <c r="I298" s="38">
        <f>SUM(F298:H298)</f>
        <v>0</v>
      </c>
      <c r="J298" s="10"/>
      <c r="K298" s="10"/>
      <c r="L298" s="10"/>
      <c r="M298" s="38">
        <f>SUM(J298:L298)</f>
        <v>0</v>
      </c>
      <c r="N298" s="10"/>
      <c r="O298" s="10"/>
      <c r="P298" s="10"/>
      <c r="Q298" s="38">
        <f>SUM(N298:P298)</f>
        <v>0</v>
      </c>
      <c r="R298" s="38">
        <f>+E298+I298+M298+Q298</f>
        <v>0</v>
      </c>
    </row>
    <row r="299" spans="1:20" ht="15.75" customHeight="1" x14ac:dyDescent="0.3">
      <c r="A299" s="568" t="s">
        <v>3010</v>
      </c>
      <c r="B299" s="10"/>
      <c r="C299" s="10"/>
      <c r="D299" s="10"/>
      <c r="E299" s="38">
        <f>SUM(B299:D299)</f>
        <v>0</v>
      </c>
      <c r="F299" s="10"/>
      <c r="G299" s="10"/>
      <c r="H299" s="10"/>
      <c r="I299" s="38">
        <f>SUM(F299:H299)</f>
        <v>0</v>
      </c>
      <c r="J299" s="10"/>
      <c r="K299" s="10"/>
      <c r="L299" s="10"/>
      <c r="M299" s="38">
        <f>SUM(J299:L299)</f>
        <v>0</v>
      </c>
      <c r="N299" s="10"/>
      <c r="O299" s="10"/>
      <c r="P299" s="10"/>
      <c r="Q299" s="38">
        <f>SUM(N299:P299)</f>
        <v>0</v>
      </c>
      <c r="R299" s="38">
        <f>+E299+I299+M299+Q299</f>
        <v>0</v>
      </c>
      <c r="T299">
        <f>24000-SUM(R151,R155,R175,R178,R192,R210,R246,R248,R269,R295,R298,R299)</f>
        <v>4846</v>
      </c>
    </row>
    <row r="300" spans="1:20" ht="15.75" customHeight="1" x14ac:dyDescent="0.3">
      <c r="A300" s="539" t="s">
        <v>3021</v>
      </c>
      <c r="B300" s="10"/>
      <c r="C300" s="10"/>
      <c r="D300" s="10"/>
      <c r="E300" s="38">
        <f t="shared" ref="E300:E305" si="98">SUM(B300:D300)</f>
        <v>0</v>
      </c>
      <c r="F300" s="10"/>
      <c r="G300" s="10"/>
      <c r="H300" s="10"/>
      <c r="I300" s="38">
        <f t="shared" ref="I300:I305" si="99">SUM(F300:H300)</f>
        <v>0</v>
      </c>
      <c r="J300" s="10"/>
      <c r="K300" s="10"/>
      <c r="L300" s="10"/>
      <c r="M300" s="38">
        <f t="shared" ref="M300:M305" si="100">SUM(J300:L300)</f>
        <v>0</v>
      </c>
      <c r="N300" s="10"/>
      <c r="O300" s="10"/>
      <c r="P300" s="10"/>
      <c r="Q300" s="38">
        <f t="shared" ref="Q300:Q305" si="101">SUM(N300:P300)</f>
        <v>0</v>
      </c>
      <c r="R300" s="38">
        <f t="shared" ref="R300:R305" si="102">+E300+I300+M300+Q300</f>
        <v>0</v>
      </c>
      <c r="S300" t="s">
        <v>3020</v>
      </c>
    </row>
    <row r="301" spans="1:20" ht="15.75" customHeight="1" x14ac:dyDescent="0.3">
      <c r="A301" s="539" t="s">
        <v>2561</v>
      </c>
      <c r="B301" s="10"/>
      <c r="C301" s="10"/>
      <c r="D301" s="10"/>
      <c r="E301" s="38">
        <f t="shared" si="98"/>
        <v>0</v>
      </c>
      <c r="F301" s="10"/>
      <c r="G301" s="10"/>
      <c r="H301" s="10"/>
      <c r="I301" s="38">
        <f t="shared" si="99"/>
        <v>0</v>
      </c>
      <c r="J301" s="10"/>
      <c r="K301" s="10"/>
      <c r="L301" s="10"/>
      <c r="M301" s="38">
        <f t="shared" si="100"/>
        <v>0</v>
      </c>
      <c r="N301" s="10"/>
      <c r="O301" s="10"/>
      <c r="P301" s="10"/>
      <c r="Q301" s="38">
        <f t="shared" si="101"/>
        <v>0</v>
      </c>
      <c r="R301" s="38">
        <f t="shared" si="102"/>
        <v>0</v>
      </c>
    </row>
    <row r="302" spans="1:20" ht="15.75" customHeight="1" x14ac:dyDescent="0.3">
      <c r="A302" s="569" t="s">
        <v>2828</v>
      </c>
      <c r="B302" s="10"/>
      <c r="C302" s="10"/>
      <c r="D302" s="10"/>
      <c r="E302" s="38">
        <f t="shared" si="98"/>
        <v>0</v>
      </c>
      <c r="F302" s="10"/>
      <c r="G302" s="10"/>
      <c r="H302" s="10"/>
      <c r="I302" s="38">
        <f t="shared" si="99"/>
        <v>0</v>
      </c>
      <c r="J302" s="10"/>
      <c r="K302" s="10"/>
      <c r="L302" s="10"/>
      <c r="M302" s="38">
        <f t="shared" si="100"/>
        <v>0</v>
      </c>
      <c r="N302" s="10"/>
      <c r="O302" s="10"/>
      <c r="P302" s="10"/>
      <c r="Q302" s="38">
        <f t="shared" si="101"/>
        <v>0</v>
      </c>
      <c r="R302" s="38">
        <f t="shared" si="102"/>
        <v>0</v>
      </c>
    </row>
    <row r="303" spans="1:20" ht="15.75" customHeight="1" x14ac:dyDescent="0.3">
      <c r="A303" s="569" t="s">
        <v>2563</v>
      </c>
      <c r="B303" s="10"/>
      <c r="C303" s="10"/>
      <c r="D303" s="10"/>
      <c r="E303" s="38">
        <f t="shared" si="98"/>
        <v>0</v>
      </c>
      <c r="F303" s="10"/>
      <c r="G303" s="10"/>
      <c r="H303" s="10"/>
      <c r="I303" s="38">
        <f t="shared" si="99"/>
        <v>0</v>
      </c>
      <c r="J303" s="10"/>
      <c r="K303" s="10"/>
      <c r="L303" s="10"/>
      <c r="M303" s="38">
        <f t="shared" si="100"/>
        <v>0</v>
      </c>
      <c r="N303" s="10"/>
      <c r="O303" s="10"/>
      <c r="P303" s="10"/>
      <c r="Q303" s="38">
        <f t="shared" si="101"/>
        <v>0</v>
      </c>
      <c r="R303" s="38">
        <f t="shared" si="102"/>
        <v>0</v>
      </c>
    </row>
    <row r="304" spans="1:20" ht="15.75" customHeight="1" x14ac:dyDescent="0.3">
      <c r="A304" s="422" t="s">
        <v>2564</v>
      </c>
      <c r="B304" s="10"/>
      <c r="C304" s="10"/>
      <c r="D304" s="10"/>
      <c r="E304" s="38">
        <f t="shared" si="98"/>
        <v>0</v>
      </c>
      <c r="F304" s="10"/>
      <c r="G304" s="10"/>
      <c r="H304" s="10"/>
      <c r="I304" s="38">
        <f t="shared" si="99"/>
        <v>0</v>
      </c>
      <c r="J304" s="10"/>
      <c r="K304" s="10"/>
      <c r="L304" s="10"/>
      <c r="M304" s="38">
        <f t="shared" si="100"/>
        <v>0</v>
      </c>
      <c r="N304" s="10"/>
      <c r="O304" s="10"/>
      <c r="P304" s="10"/>
      <c r="Q304" s="38">
        <f t="shared" si="101"/>
        <v>0</v>
      </c>
      <c r="R304" s="38">
        <f t="shared" si="102"/>
        <v>0</v>
      </c>
    </row>
    <row r="305" spans="1:20" ht="15.75" customHeight="1" x14ac:dyDescent="0.3">
      <c r="A305" s="422" t="s">
        <v>2565</v>
      </c>
      <c r="B305" s="10"/>
      <c r="C305" s="10"/>
      <c r="D305" s="10"/>
      <c r="E305" s="38">
        <f t="shared" si="98"/>
        <v>0</v>
      </c>
      <c r="F305" s="10"/>
      <c r="G305" s="10"/>
      <c r="H305" s="10"/>
      <c r="I305" s="38">
        <f t="shared" si="99"/>
        <v>0</v>
      </c>
      <c r="J305" s="10"/>
      <c r="K305" s="10"/>
      <c r="L305" s="10"/>
      <c r="M305" s="38">
        <f t="shared" si="100"/>
        <v>0</v>
      </c>
      <c r="N305" s="10"/>
      <c r="O305" s="10"/>
      <c r="P305" s="10"/>
      <c r="Q305" s="38">
        <f t="shared" si="101"/>
        <v>0</v>
      </c>
      <c r="R305" s="38">
        <f t="shared" si="102"/>
        <v>0</v>
      </c>
    </row>
    <row r="306" spans="1:20" ht="15.75" customHeight="1" x14ac:dyDescent="0.3">
      <c r="A306" s="234" t="s">
        <v>1022</v>
      </c>
      <c r="B306" s="10"/>
      <c r="C306" s="10"/>
      <c r="D306" s="10"/>
      <c r="E306" s="38" t="s">
        <v>852</v>
      </c>
      <c r="F306" s="10"/>
      <c r="G306" s="10"/>
      <c r="H306" s="10"/>
      <c r="I306" s="38" t="s">
        <v>852</v>
      </c>
      <c r="J306" s="10"/>
      <c r="K306" s="10"/>
      <c r="L306" s="10"/>
      <c r="M306" s="38" t="s">
        <v>852</v>
      </c>
      <c r="N306" s="10"/>
      <c r="O306" s="10"/>
      <c r="P306" s="10"/>
      <c r="Q306" s="38" t="s">
        <v>852</v>
      </c>
      <c r="R306" s="38" t="s">
        <v>852</v>
      </c>
    </row>
    <row r="307" spans="1:20" ht="15.75" customHeight="1" x14ac:dyDescent="0.3">
      <c r="A307" s="568" t="s">
        <v>3254</v>
      </c>
      <c r="B307" s="10"/>
      <c r="C307" s="10"/>
      <c r="D307" s="10"/>
      <c r="E307" s="38">
        <f t="shared" ref="E307" si="103">SUM(B307:D307)</f>
        <v>0</v>
      </c>
      <c r="F307" s="10"/>
      <c r="G307" s="10"/>
      <c r="H307" s="10"/>
      <c r="I307" s="38">
        <f t="shared" ref="I307" si="104">SUM(F307:H307)</f>
        <v>0</v>
      </c>
      <c r="J307" s="10"/>
      <c r="K307" s="10"/>
      <c r="L307" s="10"/>
      <c r="M307" s="38">
        <f t="shared" ref="M307" si="105">SUM(J307:L307)</f>
        <v>0</v>
      </c>
      <c r="N307" s="10"/>
      <c r="O307" s="10"/>
      <c r="P307" s="10"/>
      <c r="Q307" s="38">
        <f t="shared" ref="Q307" si="106">SUM(N307:P307)</f>
        <v>0</v>
      </c>
      <c r="R307" s="38">
        <f t="shared" ref="R307" si="107">+E307+I307+M307+Q307</f>
        <v>0</v>
      </c>
    </row>
    <row r="308" spans="1:20" ht="15.75" customHeight="1" x14ac:dyDescent="0.3">
      <c r="A308" s="234" t="s">
        <v>559</v>
      </c>
      <c r="B308" s="10"/>
      <c r="C308" s="10"/>
      <c r="D308" s="10"/>
      <c r="E308" s="38" t="s">
        <v>852</v>
      </c>
      <c r="F308" s="10"/>
      <c r="G308" s="10"/>
      <c r="H308" s="10"/>
      <c r="I308" s="38" t="s">
        <v>852</v>
      </c>
      <c r="J308" s="10"/>
      <c r="K308" s="10"/>
      <c r="L308" s="10"/>
      <c r="M308" s="38" t="s">
        <v>852</v>
      </c>
      <c r="N308" s="10"/>
      <c r="O308" s="10"/>
      <c r="P308" s="10"/>
      <c r="Q308" s="38" t="s">
        <v>852</v>
      </c>
      <c r="R308" s="38" t="s">
        <v>852</v>
      </c>
    </row>
    <row r="309" spans="1:20" ht="15.75" customHeight="1" thickBot="1" x14ac:dyDescent="0.35">
      <c r="A309" s="539" t="s">
        <v>3074</v>
      </c>
      <c r="B309" s="10"/>
      <c r="C309" s="10"/>
      <c r="D309" s="10"/>
      <c r="E309" s="38">
        <f t="shared" ref="E309" si="108">SUM(B309:D309)</f>
        <v>0</v>
      </c>
      <c r="F309" s="10"/>
      <c r="G309" s="10"/>
      <c r="H309" s="10"/>
      <c r="I309" s="38">
        <f t="shared" ref="I309:I318" si="109">SUM(F309:H309)</f>
        <v>0</v>
      </c>
      <c r="J309" s="10"/>
      <c r="K309" s="10"/>
      <c r="L309" s="10"/>
      <c r="M309" s="38">
        <f t="shared" ref="M309:M318" si="110">SUM(J309:L309)</f>
        <v>0</v>
      </c>
      <c r="N309" s="10"/>
      <c r="O309" s="10"/>
      <c r="P309" s="10"/>
      <c r="Q309" s="38">
        <f t="shared" ref="Q309:Q318" si="111">SUM(N309:P309)</f>
        <v>0</v>
      </c>
      <c r="R309" s="38">
        <f t="shared" ref="R309:R318" si="112">+E309+I309+M309+Q309</f>
        <v>0</v>
      </c>
      <c r="S309" t="s">
        <v>3020</v>
      </c>
    </row>
    <row r="310" spans="1:20" ht="16.5" customHeight="1" thickBot="1" x14ac:dyDescent="0.35">
      <c r="A310" s="43" t="s">
        <v>1019</v>
      </c>
      <c r="B310" s="42">
        <f>SUM(B306:B309)</f>
        <v>0</v>
      </c>
      <c r="C310" s="42">
        <f>SUM(C306:C309)</f>
        <v>0</v>
      </c>
      <c r="D310" s="42">
        <f>SUM(D306:D309)</f>
        <v>0</v>
      </c>
      <c r="E310" s="39">
        <f t="shared" ref="E310:E315" si="113">SUM(B310:D310)</f>
        <v>0</v>
      </c>
      <c r="F310" s="42">
        <f>SUM(F306:F309)</f>
        <v>0</v>
      </c>
      <c r="G310" s="42">
        <f>SUM(G306:G309)</f>
        <v>0</v>
      </c>
      <c r="H310" s="42">
        <f>SUM(H306:H309)</f>
        <v>0</v>
      </c>
      <c r="I310" s="39">
        <f t="shared" si="109"/>
        <v>0</v>
      </c>
      <c r="J310" s="42">
        <f>SUM(J306:J309)</f>
        <v>0</v>
      </c>
      <c r="K310" s="42">
        <f>SUM(K306:K309)</f>
        <v>0</v>
      </c>
      <c r="L310" s="42">
        <f>SUM(L306:L309)</f>
        <v>0</v>
      </c>
      <c r="M310" s="39">
        <f t="shared" si="110"/>
        <v>0</v>
      </c>
      <c r="N310" s="42">
        <f>SUM(N306:N309)</f>
        <v>0</v>
      </c>
      <c r="O310" s="42">
        <f>SUM(O306:O309)</f>
        <v>0</v>
      </c>
      <c r="P310" s="42">
        <f>SUM(P306:P309)</f>
        <v>0</v>
      </c>
      <c r="Q310" s="39">
        <f t="shared" si="111"/>
        <v>0</v>
      </c>
      <c r="R310" s="37">
        <f t="shared" si="112"/>
        <v>0</v>
      </c>
    </row>
    <row r="311" spans="1:20" ht="16.5" customHeight="1" thickBot="1" x14ac:dyDescent="0.35">
      <c r="A311" s="43" t="s">
        <v>1221</v>
      </c>
      <c r="B311" s="45">
        <f>SUM(B293:B309)</f>
        <v>0</v>
      </c>
      <c r="C311" s="46">
        <f>SUM(C293:C309)</f>
        <v>0</v>
      </c>
      <c r="D311" s="46">
        <f>SUM(D293:D309)</f>
        <v>0</v>
      </c>
      <c r="E311" s="37">
        <f t="shared" si="113"/>
        <v>0</v>
      </c>
      <c r="F311" s="46">
        <f>SUM(F293:F309)</f>
        <v>0</v>
      </c>
      <c r="G311" s="46">
        <f>SUM(G293:G309)</f>
        <v>0</v>
      </c>
      <c r="H311" s="46">
        <f>SUM(H293:H309)</f>
        <v>0</v>
      </c>
      <c r="I311" s="37">
        <f t="shared" si="109"/>
        <v>0</v>
      </c>
      <c r="J311" s="46">
        <f>SUM(J293:J309)</f>
        <v>0</v>
      </c>
      <c r="K311" s="46">
        <f>SUM(K293:K309)</f>
        <v>0</v>
      </c>
      <c r="L311" s="46">
        <f>SUM(L293:L309)</f>
        <v>0</v>
      </c>
      <c r="M311" s="37">
        <f t="shared" si="110"/>
        <v>0</v>
      </c>
      <c r="N311" s="46">
        <f>SUM(N293:N309)</f>
        <v>0</v>
      </c>
      <c r="O311" s="46">
        <f>SUM(O293:O309)</f>
        <v>0</v>
      </c>
      <c r="P311" s="46">
        <f>SUM(P293:P309)</f>
        <v>0</v>
      </c>
      <c r="Q311" s="37">
        <f t="shared" si="111"/>
        <v>0</v>
      </c>
      <c r="R311" s="37">
        <f t="shared" si="112"/>
        <v>0</v>
      </c>
    </row>
    <row r="312" spans="1:20" ht="16.5" customHeight="1" thickBot="1" x14ac:dyDescent="0.35">
      <c r="A312" s="43" t="s">
        <v>1222</v>
      </c>
      <c r="B312" s="47">
        <f>+B214+B221+B292+B311</f>
        <v>30201</v>
      </c>
      <c r="C312" s="42">
        <f>+C214+C221+C292+C311</f>
        <v>22891</v>
      </c>
      <c r="D312" s="42">
        <f>+D214+D221+D292+D311</f>
        <v>28983</v>
      </c>
      <c r="E312" s="40">
        <f t="shared" si="113"/>
        <v>82075</v>
      </c>
      <c r="F312" s="42">
        <f>+F214+F221+F292+F311</f>
        <v>35249</v>
      </c>
      <c r="G312" s="42">
        <f>+G214+G221+G292+G311</f>
        <v>40636</v>
      </c>
      <c r="H312" s="42">
        <f>+H214+H221+H292+H311</f>
        <v>40399</v>
      </c>
      <c r="I312" s="40">
        <f t="shared" si="109"/>
        <v>116284</v>
      </c>
      <c r="J312" s="42">
        <f>+J214+J221+J292+J311</f>
        <v>48269</v>
      </c>
      <c r="K312" s="42">
        <f>+K214+K221+K292+K311</f>
        <v>39575</v>
      </c>
      <c r="L312" s="42">
        <f>+L214+L221+L292+L311</f>
        <v>36203</v>
      </c>
      <c r="M312" s="40">
        <f t="shared" si="110"/>
        <v>124047</v>
      </c>
      <c r="N312" s="42">
        <f>+N214+N221+N292+N311</f>
        <v>29610</v>
      </c>
      <c r="O312" s="42">
        <f>+O214+O221+O292+O311</f>
        <v>27080</v>
      </c>
      <c r="P312" s="42">
        <f>+P214+P221+P292+P311</f>
        <v>23776</v>
      </c>
      <c r="Q312" s="40">
        <f t="shared" si="111"/>
        <v>80466</v>
      </c>
      <c r="R312" s="40">
        <f t="shared" si="112"/>
        <v>402872</v>
      </c>
    </row>
    <row r="313" spans="1:20" ht="15.75" customHeight="1" x14ac:dyDescent="0.3">
      <c r="A313" s="540" t="s">
        <v>2827</v>
      </c>
      <c r="B313" s="10"/>
      <c r="C313" s="10">
        <v>588</v>
      </c>
      <c r="D313" s="10">
        <v>235</v>
      </c>
      <c r="E313" s="38">
        <f t="shared" si="113"/>
        <v>823</v>
      </c>
      <c r="F313" s="10">
        <v>1652</v>
      </c>
      <c r="G313" s="10">
        <v>3027</v>
      </c>
      <c r="H313" s="10">
        <v>3007</v>
      </c>
      <c r="I313" s="38">
        <f t="shared" si="109"/>
        <v>7686</v>
      </c>
      <c r="J313" s="10">
        <v>1898</v>
      </c>
      <c r="K313" s="10">
        <v>1984</v>
      </c>
      <c r="L313" s="10">
        <v>1977</v>
      </c>
      <c r="M313" s="38">
        <f t="shared" si="110"/>
        <v>5859</v>
      </c>
      <c r="N313" s="10">
        <v>2881</v>
      </c>
      <c r="O313" s="10">
        <v>3310</v>
      </c>
      <c r="P313" s="10">
        <v>941</v>
      </c>
      <c r="Q313" s="38">
        <f t="shared" si="111"/>
        <v>7132</v>
      </c>
      <c r="R313" s="38">
        <f t="shared" si="112"/>
        <v>21500</v>
      </c>
      <c r="S313" s="574"/>
      <c r="T313" t="s">
        <v>2764</v>
      </c>
    </row>
    <row r="314" spans="1:20" ht="15.75" customHeight="1" x14ac:dyDescent="0.3">
      <c r="A314" s="320" t="s">
        <v>899</v>
      </c>
      <c r="B314" s="10"/>
      <c r="C314" s="10"/>
      <c r="D314" s="10"/>
      <c r="E314" s="38">
        <f t="shared" si="113"/>
        <v>0</v>
      </c>
      <c r="F314" s="10"/>
      <c r="G314" s="10"/>
      <c r="H314" s="10"/>
      <c r="I314" s="38">
        <f t="shared" si="109"/>
        <v>0</v>
      </c>
      <c r="J314" s="10"/>
      <c r="K314" s="10"/>
      <c r="L314" s="10"/>
      <c r="M314" s="38">
        <f t="shared" si="110"/>
        <v>0</v>
      </c>
      <c r="N314" s="10"/>
      <c r="O314" s="10"/>
      <c r="P314" s="10"/>
      <c r="Q314" s="38">
        <f t="shared" si="111"/>
        <v>0</v>
      </c>
      <c r="R314" s="38">
        <f t="shared" si="112"/>
        <v>0</v>
      </c>
    </row>
    <row r="315" spans="1:20" ht="15.75" customHeight="1" x14ac:dyDescent="0.3">
      <c r="A315" s="539" t="s">
        <v>2271</v>
      </c>
      <c r="B315" s="10"/>
      <c r="C315" s="10"/>
      <c r="D315" s="10"/>
      <c r="E315" s="38">
        <f t="shared" si="113"/>
        <v>0</v>
      </c>
      <c r="F315" s="10"/>
      <c r="G315" s="10"/>
      <c r="H315" s="10"/>
      <c r="I315" s="38">
        <f t="shared" si="109"/>
        <v>0</v>
      </c>
      <c r="J315" s="10"/>
      <c r="K315" s="10"/>
      <c r="L315" s="10"/>
      <c r="M315" s="38">
        <f t="shared" si="110"/>
        <v>0</v>
      </c>
      <c r="N315" s="10"/>
      <c r="O315" s="10"/>
      <c r="P315" s="10"/>
      <c r="Q315" s="38">
        <f t="shared" si="111"/>
        <v>0</v>
      </c>
      <c r="R315" s="38">
        <f t="shared" si="112"/>
        <v>0</v>
      </c>
    </row>
    <row r="316" spans="1:20" ht="15.75" customHeight="1" x14ac:dyDescent="0.3">
      <c r="A316" s="320" t="s">
        <v>2475</v>
      </c>
      <c r="B316" s="10">
        <v>42</v>
      </c>
      <c r="C316" s="10">
        <v>43</v>
      </c>
      <c r="D316" s="10">
        <v>47</v>
      </c>
      <c r="E316" s="38">
        <f>SUM(B316:D316)</f>
        <v>132</v>
      </c>
      <c r="F316" s="10">
        <v>52</v>
      </c>
      <c r="G316" s="10">
        <v>52</v>
      </c>
      <c r="H316" s="10">
        <v>57</v>
      </c>
      <c r="I316" s="38">
        <f>SUM(F316:H316)</f>
        <v>161</v>
      </c>
      <c r="J316" s="10">
        <v>62</v>
      </c>
      <c r="K316" s="10">
        <v>62</v>
      </c>
      <c r="L316" s="10">
        <v>62</v>
      </c>
      <c r="M316" s="38">
        <f>SUM(J316:L316)</f>
        <v>186</v>
      </c>
      <c r="N316" s="10">
        <v>57</v>
      </c>
      <c r="O316" s="10">
        <v>42</v>
      </c>
      <c r="P316" s="10">
        <v>47</v>
      </c>
      <c r="Q316" s="38">
        <f>SUM(N316:P316)</f>
        <v>146</v>
      </c>
      <c r="R316" s="38">
        <f t="shared" si="112"/>
        <v>625</v>
      </c>
    </row>
    <row r="317" spans="1:20" ht="15.75" customHeight="1" x14ac:dyDescent="0.3">
      <c r="A317" s="317" t="s">
        <v>2096</v>
      </c>
      <c r="B317" s="10">
        <v>54000</v>
      </c>
      <c r="C317" s="10">
        <v>57000</v>
      </c>
      <c r="D317" s="10">
        <v>29000</v>
      </c>
      <c r="E317" s="38">
        <f t="shared" ref="E317" si="114">SUM(B317:D317)</f>
        <v>140000</v>
      </c>
      <c r="F317" s="10">
        <v>0</v>
      </c>
      <c r="G317" s="10">
        <v>0</v>
      </c>
      <c r="H317" s="10"/>
      <c r="I317" s="38">
        <f t="shared" ref="I317" si="115">SUM(F317:H317)</f>
        <v>0</v>
      </c>
      <c r="J317" s="10"/>
      <c r="K317" s="10"/>
      <c r="L317" s="10">
        <v>17000</v>
      </c>
      <c r="M317" s="38">
        <f t="shared" ref="M317" si="116">SUM(J317:L317)</f>
        <v>17000</v>
      </c>
      <c r="N317" s="10">
        <v>60000</v>
      </c>
      <c r="O317" s="10">
        <v>82000</v>
      </c>
      <c r="P317" s="10">
        <v>50000</v>
      </c>
      <c r="Q317" s="38">
        <f t="shared" si="111"/>
        <v>192000</v>
      </c>
      <c r="R317" s="38">
        <f t="shared" si="112"/>
        <v>349000</v>
      </c>
    </row>
    <row r="318" spans="1:20" ht="16.5" customHeight="1" thickBot="1" x14ac:dyDescent="0.35">
      <c r="A318" s="299" t="s">
        <v>853</v>
      </c>
      <c r="B318" s="294">
        <v>104</v>
      </c>
      <c r="C318" s="294">
        <v>268</v>
      </c>
      <c r="D318" s="294">
        <v>474</v>
      </c>
      <c r="E318" s="38">
        <f>SUM(B318:D318)</f>
        <v>846</v>
      </c>
      <c r="F318" s="294">
        <v>647</v>
      </c>
      <c r="G318" s="294">
        <v>742</v>
      </c>
      <c r="H318" s="294">
        <v>781</v>
      </c>
      <c r="I318" s="38">
        <f t="shared" si="109"/>
        <v>2170</v>
      </c>
      <c r="J318" s="294">
        <v>774</v>
      </c>
      <c r="K318" s="294">
        <v>596</v>
      </c>
      <c r="L318" s="294">
        <v>546</v>
      </c>
      <c r="M318" s="38">
        <f t="shared" si="110"/>
        <v>1916</v>
      </c>
      <c r="N318" s="294">
        <v>517</v>
      </c>
      <c r="O318" s="294">
        <v>413</v>
      </c>
      <c r="P318" s="294">
        <v>302</v>
      </c>
      <c r="Q318" s="38">
        <f t="shared" si="111"/>
        <v>1232</v>
      </c>
      <c r="R318" s="38">
        <f t="shared" si="112"/>
        <v>6164</v>
      </c>
    </row>
    <row r="319" spans="1:20" ht="16.5" customHeight="1" thickBot="1" x14ac:dyDescent="0.35">
      <c r="A319" s="44"/>
      <c r="B319" s="313"/>
      <c r="C319" s="313"/>
      <c r="D319" s="313"/>
      <c r="E319" s="39"/>
      <c r="F319" s="313"/>
      <c r="G319" s="313"/>
      <c r="H319" s="313"/>
      <c r="I319" s="37"/>
      <c r="J319" s="313"/>
      <c r="K319" s="313"/>
      <c r="L319" s="313"/>
      <c r="M319" s="37"/>
      <c r="N319" s="313"/>
      <c r="O319" s="313"/>
      <c r="P319" s="313"/>
      <c r="Q319" s="37"/>
      <c r="R319" s="37" t="s">
        <v>852</v>
      </c>
    </row>
    <row r="320" spans="1:20" ht="15.75" customHeight="1" x14ac:dyDescent="0.3">
      <c r="A320" s="259" t="s">
        <v>2011</v>
      </c>
      <c r="B320" s="741">
        <f>SUM(B312:B318)</f>
        <v>84347</v>
      </c>
      <c r="C320" s="741">
        <f>SUM(C312:C318)</f>
        <v>80790</v>
      </c>
      <c r="D320" s="741">
        <f>SUM(D312:D318)</f>
        <v>58739</v>
      </c>
      <c r="E320" s="39">
        <f>SUM(B320:D320)</f>
        <v>223876</v>
      </c>
      <c r="F320" s="741">
        <f>SUM(F312:F318)</f>
        <v>37600</v>
      </c>
      <c r="G320" s="741">
        <f>SUM(G312:G318)</f>
        <v>44457</v>
      </c>
      <c r="H320" s="741">
        <f>SUM(H312:H318)</f>
        <v>44244</v>
      </c>
      <c r="I320" s="39">
        <f>SUM(F320:H320)</f>
        <v>126301</v>
      </c>
      <c r="J320" s="741">
        <f>SUM(J312:J318)</f>
        <v>51003</v>
      </c>
      <c r="K320" s="741">
        <f>SUM(K312:K318)</f>
        <v>42217</v>
      </c>
      <c r="L320" s="741">
        <f>SUM(L312:L318)</f>
        <v>55788</v>
      </c>
      <c r="M320" s="39">
        <f>SUM(J320:L320)</f>
        <v>149008</v>
      </c>
      <c r="N320" s="741">
        <f>SUM(N312:N318)</f>
        <v>93065</v>
      </c>
      <c r="O320" s="741">
        <f>SUM(O312:O318)</f>
        <v>112845</v>
      </c>
      <c r="P320" s="741">
        <f>SUM(P312:P318)</f>
        <v>75066</v>
      </c>
      <c r="Q320" s="742">
        <f>SUM(N320:P320)</f>
        <v>280976</v>
      </c>
      <c r="R320" s="39">
        <f>+E320+I320+M320+Q320</f>
        <v>780161</v>
      </c>
    </row>
    <row r="321" spans="1:18" ht="15.75" customHeight="1" x14ac:dyDescent="0.3">
      <c r="A321" s="262" t="s">
        <v>1897</v>
      </c>
      <c r="B321" s="10">
        <f>(B320/B10)/1.983</f>
        <v>1372.0983195874612</v>
      </c>
      <c r="C321" s="10">
        <f>(C320/C10)/1.983</f>
        <v>1455.046466392911</v>
      </c>
      <c r="D321" s="10">
        <f>(D320/D10)/1.983</f>
        <v>955.52518992077819</v>
      </c>
      <c r="E321" s="38" t="s">
        <v>852</v>
      </c>
      <c r="F321" s="10">
        <f>(F320/F10)/1.983</f>
        <v>632.03899815094962</v>
      </c>
      <c r="G321" s="10">
        <f>(G320/G10)/1.983</f>
        <v>723.1955492655311</v>
      </c>
      <c r="H321" s="10">
        <f>(H320/H10)/1.983</f>
        <v>743.72163388804836</v>
      </c>
      <c r="I321" s="38" t="s">
        <v>852</v>
      </c>
      <c r="J321" s="10">
        <f>(J320/J10)/1.983</f>
        <v>829.68132350788142</v>
      </c>
      <c r="K321" s="10">
        <f>(K320/K10)/1.983</f>
        <v>686.75678753273792</v>
      </c>
      <c r="L321" s="10">
        <f>(L320/L10)/1.983</f>
        <v>937.77105395864839</v>
      </c>
      <c r="M321" s="38" t="s">
        <v>852</v>
      </c>
      <c r="N321" s="10">
        <f>(N320/N10)/1.983</f>
        <v>1513.9166788671448</v>
      </c>
      <c r="O321" s="10">
        <f>(O320/O10)/1.983</f>
        <v>1896.8734241048915</v>
      </c>
      <c r="P321" s="10">
        <f>(P320/P10)/1.983</f>
        <v>1221.1214679615441</v>
      </c>
      <c r="Q321" s="50" t="s">
        <v>852</v>
      </c>
      <c r="R321" s="38" t="s">
        <v>852</v>
      </c>
    </row>
    <row r="322" spans="1:18" ht="15.75" customHeight="1" x14ac:dyDescent="0.3">
      <c r="A322" s="262" t="s">
        <v>154</v>
      </c>
      <c r="B322" s="10">
        <f>(+B320+B514)+B329</f>
        <v>122065</v>
      </c>
      <c r="C322" s="10">
        <f>(+C320+C514)+C329</f>
        <v>134123</v>
      </c>
      <c r="D322" s="10">
        <f>(+D320+D514)+D329</f>
        <v>140718</v>
      </c>
      <c r="E322" s="38">
        <f>SUM(B322:D322)</f>
        <v>396906</v>
      </c>
      <c r="F322" s="10">
        <f>(+F320+F514)+F329</f>
        <v>140732</v>
      </c>
      <c r="G322" s="10">
        <f>(+G320+G514)+G329</f>
        <v>164816</v>
      </c>
      <c r="H322" s="10">
        <f>(+H320+H514)+H329</f>
        <v>66439</v>
      </c>
      <c r="I322" s="38">
        <f>SUM(F322:H322)</f>
        <v>371987</v>
      </c>
      <c r="J322" s="10">
        <f>(+J320+J514)+J329</f>
        <v>44224</v>
      </c>
      <c r="K322" s="10">
        <f>(+K320+K514)+K329</f>
        <v>45825</v>
      </c>
      <c r="L322" s="10">
        <f>(+L320+L514)+L329</f>
        <v>126132</v>
      </c>
      <c r="M322" s="38">
        <f>SUM(J322:L322)</f>
        <v>216181</v>
      </c>
      <c r="N322" s="10">
        <f>(+N320+N514)+N329</f>
        <v>141455</v>
      </c>
      <c r="O322" s="10">
        <f>(+O320+O514)+O329</f>
        <v>137158</v>
      </c>
      <c r="P322" s="10">
        <f>(+P320+P514)+P329</f>
        <v>106492</v>
      </c>
      <c r="Q322" s="50">
        <f>SUM(N322:P322)</f>
        <v>385105</v>
      </c>
      <c r="R322" s="38">
        <f>+E322+I322+M322+Q322</f>
        <v>1370179</v>
      </c>
    </row>
    <row r="323" spans="1:18" ht="16.5" customHeight="1" thickBot="1" x14ac:dyDescent="0.35">
      <c r="A323" s="263" t="s">
        <v>2110</v>
      </c>
      <c r="B323" s="315">
        <f>(B322/B10)/1.983</f>
        <v>1985.6685048720576</v>
      </c>
      <c r="C323" s="315">
        <f>(C322/C10)/1.983</f>
        <v>2415.5860528780349</v>
      </c>
      <c r="D323" s="315">
        <f>(D322/D10)/1.983</f>
        <v>2289.1025328192864</v>
      </c>
      <c r="E323" s="40" t="s">
        <v>852</v>
      </c>
      <c r="F323" s="315">
        <f>(F322/F10)/1.983</f>
        <v>2365.6412842494537</v>
      </c>
      <c r="G323" s="315">
        <f>(G322/G10)/1.983</f>
        <v>2681.1120329250239</v>
      </c>
      <c r="H323" s="315">
        <f>(H322/H10)/1.983</f>
        <v>1116.8095478231635</v>
      </c>
      <c r="I323" s="40" t="s">
        <v>852</v>
      </c>
      <c r="J323" s="315">
        <f>(J322/J10)/1.983</f>
        <v>719.40526735314688</v>
      </c>
      <c r="K323" s="315">
        <f>(K322/K10)/1.983</f>
        <v>745.44922160948704</v>
      </c>
      <c r="L323" s="315">
        <f>(L322/L10)/1.983</f>
        <v>2120.2218860312655</v>
      </c>
      <c r="M323" s="40" t="s">
        <v>852</v>
      </c>
      <c r="N323" s="315">
        <f>(N322/N10)/1.983</f>
        <v>2301.0915361215493</v>
      </c>
      <c r="O323" s="315">
        <f>(O322/O10)/1.983</f>
        <v>2305.5639603294671</v>
      </c>
      <c r="P323" s="315">
        <f>(P322/P10)/1.983</f>
        <v>1732.3377743074193</v>
      </c>
      <c r="Q323" s="51" t="s">
        <v>852</v>
      </c>
      <c r="R323" s="40" t="s">
        <v>852</v>
      </c>
    </row>
    <row r="324" spans="1:18" ht="16.5" customHeight="1" thickBot="1" x14ac:dyDescent="0.35">
      <c r="A324" s="271" t="s">
        <v>1700</v>
      </c>
      <c r="B324" s="229">
        <f>+(B322-(B142+B143+B144+B145+B146+B149+B151+B152+B155+B156+B157+B160+B162+B165++B171+B172+B175+B176+B178+B179+B180+B181+B182+B189+B192+B193+B194+B205+B208+B210+B211+B218+B225+B226+B228+B229+B230+B236+B243+B245+B246+B248+B249+B251+B252+B253+B261+B269+B270+B273+B283+B295+B296+B298+B299+B302+B303+B307+B313+B317+B325)-B329)/(B10*1.983)</f>
        <v>993.6394840011061</v>
      </c>
      <c r="C324" s="229">
        <f>+(C322-(C142+C143+C144+C145+C146+C149+C151+C152+C155+C156+C157+C160+C162+C165++C171+C172+C175+C176+C178+C179+C180+C181+C182+C189+C192+C193+C194+C205+C208+C210+C211+C218+C225+C226+C228+C229+C230+C236+C243+C245+C246+C248+C249+C251+C252+C253+C261+C269+C270+C273+C283+C295+C296+C298+C299+C302+C303+C307+C313+C317+C325)-C329)/(C10*1.983)</f>
        <v>1264.8044089042576</v>
      </c>
      <c r="D324" s="229">
        <f>+(D322-(D142+D143+D144+D145+D146+D149+D151+D152+D155+D156+D157+D160+D162+D165++D171+D172+D175+D176+D178+D179+D180+D181+D182+D189+D192+D193+D194+D205+D208+D210+D211+D218+D225+D226+D228+D229+D230+D236+D243+D245+D246+D248+D249+D251+D252+D253+D261+D269+D270+D273+D283+D295+D296+D298+D299+D302+D303+D307+D313+D317+D325)-D329)/(D10*1.983)</f>
        <v>1675.4835456216549</v>
      </c>
      <c r="E324" s="227"/>
      <c r="F324" s="229">
        <f>+(F322-(F142+F143+F144+F145+F146+F149+F151+F152+F155+F156+F157+F160+F162+F165++F171+F172+F175+F176+F178+F179+F180+F181+F182+F189+F192+F193+F194+F205+F208+F210+F211+F218+F225+F226+F228+F229+F230+F236+F243+F245+F246+F248+F249+F251+F252+F253+F261+F269+F270+F273+F283+F295+F296+F298+F299+F302+F303+F307+F313+F317+F325)-F329)/(F10*1.983)</f>
        <v>2338.6115313498067</v>
      </c>
      <c r="G324" s="229">
        <f>+(G322-(G142+G143+G144+G145+G146+G149+G151+G152+G155+G156+G157+G160+G162+G165++G171+G172+G175+G176+G178+G179+G180+G181+G182+G189+G192+G193+G194+G205+G208+G210+G211+G218+G225+G226+G228+G229+G230+G236+G243+G245+G246+G248+G249+G251+G252+G253+G261+G269+G270+G273+G283+G295+G296+G298+G299+G302+G303+G307+G313+G317+G325)-G329)/(G10*1.983)</f>
        <v>2460.8201974850745</v>
      </c>
      <c r="H324" s="229">
        <f>+(H322-(H142+H143+H144+H145+H146+H149+H151+H152+H155+H156+H157+H160+H162+H165++H171+H172+H175+H176+H178+H179+H180+H181+H182+H189+H192+H193+H194+H205+H208+H210+H211+H218+H225+H226+H228+H229+H230+H236+H243+H245+H246+H248+H249+H251+H252+H253+H261+H269+H270+H273+H283+H295+H296+H298+H299+H302+H303+H307+H313+H317+H325)-H329)/(H10*1.983)</f>
        <v>2871.1211968398047</v>
      </c>
      <c r="I324" s="227"/>
      <c r="J324" s="229">
        <f>+(J322-(J142+J143+J144+J145+J146+J149+J151+J152+J155+J156+J157+J160+J162+J165++J171+J172+J175+J176+J178+J179+J180+J181+J182+J189+J192+J193+J194+J205+J208+J210+J211+J218+J225+J226+J228+J229+J230+J236+J243+J245+J246+J248+J249+J251+J252+J253+J261+J269+J270+J273+J283+J295+J296+J298+J299+J302+J303+J307+J313+J317+J325)-J329)/(J10*1.983)</f>
        <v>2796.4309534267072</v>
      </c>
      <c r="K324" s="229">
        <f>+(K322-(K142+K143+K144+K145+K146+K149+K151+K152+K155+K156+K157+K160+K162+K165++K171+K172+K175+K176+K178+K179+K180+K181+K182+K189+K192+K193+K194+K205+K208+K210+K211+K218+K225+K226+K228+K229+K230+K236+K243+K245+K246+K248+K249+K251+K252+K253+K261+K269+K270+K273+K283+K295+K296+K298+K299+K302+K303+K307+K313+K317+K325)-K329)/(K10*1.983)</f>
        <v>2145.1368893660629</v>
      </c>
      <c r="L324" s="229">
        <f>+(L322-(L142+L143+L144+L145+L146+L149+L151+L152+L155+L156+L157+L160+L162+L165++L171+L172+L175+L176+L178+L179+L180+L181+L182+L189+L192+L193+L194+L205+L208+L210+L211+L218+L225+L226+L228+L229+L230+L236+L243+L245+L246+L248+L249+L251+L252+L253+L261+L269+L270+L273+L283+L295+L296+L298+L299+L302+L303+L307+L313+L317+L325)-L329)/(L10*1.983)</f>
        <v>1642.2423936796099</v>
      </c>
      <c r="M324" s="227"/>
      <c r="N324" s="229">
        <f>+(N322-(N142+N143+N144+N145+N146+N149+N151+N152+N155+N156+N157+N160+N162+N165++N171+N172+N175+N176+N178+N179+N180+N181+N182+N189+N192+N193+N194+N205+N208+N210+N211+N218+N225+N226+N228+N229+N230+N236+N243+N245+N246+N248+N249+N251+N252+N253+N261+N269+N270+N273+N283+N295+N296+N298+N299+N302+N303+N307+N313+N317+N325)-N329)/(N10*1.983)</f>
        <v>1147.9674003220925</v>
      </c>
      <c r="O324" s="229">
        <f>+(O322-(O142+O143+O144+O145+O146+O149+O151+O152+O155+O156+O157+O160+O162+O165++O171+O172+O175+O176+O178+O179+O180+O181+O182+O189+O192+O193+O194+O205+O208+O210+O211+O218+O225+O226+O228+O229+O230+O236+O243+O245+O246+O248+O249+O251+O252+O253+O261+O269+O270+O273+O283+O295+O296+O298+O299+O302+O303+O307+O313+O317+O325)-O329)/(O10*1.983)</f>
        <v>764.68314002353338</v>
      </c>
      <c r="P324" s="229">
        <f>+(P322-(P142+P143+P144+P145+P146+P149+P151+P152+P155+P156+P157+P160+P162+P165++P171+P172+P175+P176+P178+P179+P180+P181+P182+P189+P192+P193+P194+P205+P208+P210+P211+P218+P225+P226+P228+P229+P230+P236+P243+P245+P246+P248+P249+P251+P252+P253+P261+P269+P270+P273+P283+P295+P296+P298+P299+P302+P303+P307+P313+P317+P325)-P329)/(P10*1.983)</f>
        <v>806.22387064239581</v>
      </c>
      <c r="Q324" s="228"/>
      <c r="R324" s="227"/>
    </row>
    <row r="325" spans="1:18" ht="15.75" customHeight="1" x14ac:dyDescent="0.3">
      <c r="A325" s="541" t="s">
        <v>2272</v>
      </c>
      <c r="B325" s="10">
        <v>2521</v>
      </c>
      <c r="C325" s="10">
        <v>2277</v>
      </c>
      <c r="D325" s="10">
        <v>2521</v>
      </c>
      <c r="E325" s="17">
        <f>SUM(B325:D325)</f>
        <v>7319</v>
      </c>
      <c r="F325" s="10">
        <v>2440</v>
      </c>
      <c r="G325" s="10">
        <v>2521</v>
      </c>
      <c r="H325" s="10">
        <v>2440</v>
      </c>
      <c r="I325" s="17">
        <f>SUM(F325:H325)</f>
        <v>7401</v>
      </c>
      <c r="J325" s="10">
        <v>2521</v>
      </c>
      <c r="K325" s="10">
        <v>2521</v>
      </c>
      <c r="L325" s="10">
        <v>2440</v>
      </c>
      <c r="M325" s="17">
        <f t="shared" ref="M325" si="117">SUM(J325:L325)</f>
        <v>7482</v>
      </c>
      <c r="N325" s="10">
        <v>2521</v>
      </c>
      <c r="O325" s="10">
        <v>2440</v>
      </c>
      <c r="P325" s="10">
        <v>2521</v>
      </c>
      <c r="Q325" s="17">
        <f t="shared" ref="Q325" si="118">SUM(N325:P325)</f>
        <v>7482</v>
      </c>
      <c r="R325" s="17">
        <f t="shared" ref="R325" si="119">+E325+I325+M325+Q325</f>
        <v>29684</v>
      </c>
    </row>
    <row r="326" spans="1:18" ht="15.75" customHeight="1" thickBot="1" x14ac:dyDescent="0.35">
      <c r="A326" s="18"/>
      <c r="B326" s="10"/>
      <c r="C326" s="10"/>
      <c r="D326" s="10"/>
      <c r="E326" s="10"/>
      <c r="F326" s="10"/>
      <c r="G326" s="10"/>
      <c r="H326" s="10"/>
      <c r="I326" s="10"/>
      <c r="J326" s="10"/>
      <c r="K326" s="10"/>
      <c r="L326" s="10"/>
      <c r="M326" s="10"/>
      <c r="N326" s="10"/>
      <c r="O326" s="10"/>
      <c r="P326" s="10"/>
      <c r="Q326" s="10"/>
      <c r="R326" s="17"/>
    </row>
    <row r="327" spans="1:18" ht="16.5" customHeight="1" thickBot="1" x14ac:dyDescent="0.35">
      <c r="A327" s="240" t="s">
        <v>1754</v>
      </c>
      <c r="B327" s="4" t="s">
        <v>2090</v>
      </c>
      <c r="C327" s="5" t="s">
        <v>2091</v>
      </c>
      <c r="D327" s="5" t="s">
        <v>2234</v>
      </c>
      <c r="E327" s="33" t="s">
        <v>1594</v>
      </c>
      <c r="F327" s="5" t="s">
        <v>2235</v>
      </c>
      <c r="G327" s="5" t="s">
        <v>2236</v>
      </c>
      <c r="H327" s="5" t="s">
        <v>2237</v>
      </c>
      <c r="I327" s="35" t="s">
        <v>1595</v>
      </c>
      <c r="J327" s="5" t="s">
        <v>1504</v>
      </c>
      <c r="K327" s="5" t="s">
        <v>1505</v>
      </c>
      <c r="L327" s="5" t="s">
        <v>1506</v>
      </c>
      <c r="M327" s="35" t="s">
        <v>1596</v>
      </c>
      <c r="N327" s="5" t="s">
        <v>1507</v>
      </c>
      <c r="O327" s="5" t="s">
        <v>1508</v>
      </c>
      <c r="P327" s="5" t="s">
        <v>1509</v>
      </c>
      <c r="Q327" s="35" t="s">
        <v>1597</v>
      </c>
      <c r="R327" s="36" t="s">
        <v>1510</v>
      </c>
    </row>
    <row r="328" spans="1:18" ht="16.5" customHeight="1" thickBot="1" x14ac:dyDescent="0.35">
      <c r="A328" s="44"/>
      <c r="B328" s="313"/>
      <c r="C328" s="313"/>
      <c r="D328" s="313"/>
      <c r="E328" s="316"/>
      <c r="F328" s="313"/>
      <c r="G328" s="313"/>
      <c r="H328" s="313"/>
      <c r="I328" s="316"/>
      <c r="J328" s="313"/>
      <c r="K328" s="313"/>
      <c r="L328" s="313"/>
      <c r="M328" s="316"/>
      <c r="N328" s="313"/>
      <c r="O328" s="313"/>
      <c r="P328" s="313"/>
      <c r="Q328" s="316"/>
      <c r="R328" s="52"/>
    </row>
    <row r="329" spans="1:18" ht="15.75" customHeight="1" thickBot="1" x14ac:dyDescent="0.35">
      <c r="A329" s="310" t="s">
        <v>1000</v>
      </c>
      <c r="B329" s="10"/>
      <c r="C329" s="10"/>
      <c r="D329" s="10"/>
      <c r="E329" s="38">
        <f>SUM(B329:D329)</f>
        <v>0</v>
      </c>
      <c r="F329" s="10">
        <v>-10000</v>
      </c>
      <c r="G329" s="10"/>
      <c r="H329" s="10">
        <v>-119000</v>
      </c>
      <c r="I329" s="38">
        <f>SUM(F329:H329)</f>
        <v>-129000</v>
      </c>
      <c r="J329" s="356">
        <v>-141000</v>
      </c>
      <c r="K329" s="10">
        <v>-98000</v>
      </c>
      <c r="L329" s="356"/>
      <c r="M329" s="38">
        <f>SUM(J329:L329)</f>
        <v>-239000</v>
      </c>
      <c r="N329" s="10"/>
      <c r="O329" s="10"/>
      <c r="P329" s="10"/>
      <c r="Q329" s="38">
        <f>SUM(N329:P329)</f>
        <v>0</v>
      </c>
      <c r="R329" s="38">
        <f>+E329+I329+M329+Q329</f>
        <v>-368000</v>
      </c>
    </row>
    <row r="330" spans="1:18" ht="16.5" customHeight="1" thickBot="1" x14ac:dyDescent="0.35">
      <c r="A330" s="272"/>
      <c r="B330" s="321"/>
      <c r="C330" s="321"/>
      <c r="D330" s="321"/>
      <c r="E330" s="53"/>
      <c r="F330" s="321"/>
      <c r="G330" s="321"/>
      <c r="H330" s="321"/>
      <c r="I330" s="53"/>
      <c r="J330" s="321"/>
      <c r="K330" s="321"/>
      <c r="L330" s="321"/>
      <c r="M330" s="53"/>
      <c r="N330" s="321"/>
      <c r="O330" s="321"/>
      <c r="P330" s="321"/>
      <c r="Q330" s="53"/>
      <c r="R330" s="54"/>
    </row>
    <row r="331" spans="1:18" ht="15.75" customHeight="1" x14ac:dyDescent="0.3">
      <c r="A331" s="234" t="s">
        <v>662</v>
      </c>
      <c r="B331" s="10">
        <f>B329</f>
        <v>0</v>
      </c>
      <c r="C331" s="10">
        <f>C329</f>
        <v>0</v>
      </c>
      <c r="D331" s="10">
        <f>D329</f>
        <v>0</v>
      </c>
      <c r="E331" s="38">
        <f>SUM(B331:D331)</f>
        <v>0</v>
      </c>
      <c r="F331" s="10">
        <f>F329</f>
        <v>-10000</v>
      </c>
      <c r="G331" s="10">
        <f>G329</f>
        <v>0</v>
      </c>
      <c r="H331" s="10">
        <f>H329</f>
        <v>-119000</v>
      </c>
      <c r="I331" s="38">
        <f>SUM(F331:H331)</f>
        <v>-129000</v>
      </c>
      <c r="J331" s="10">
        <f>J329</f>
        <v>-141000</v>
      </c>
      <c r="K331" s="10">
        <f>K329</f>
        <v>-98000</v>
      </c>
      <c r="L331" s="10">
        <f>L329</f>
        <v>0</v>
      </c>
      <c r="M331" s="38">
        <f>SUM(J331:L331)</f>
        <v>-239000</v>
      </c>
      <c r="N331" s="10">
        <f>N329</f>
        <v>0</v>
      </c>
      <c r="O331" s="10">
        <f>O329</f>
        <v>0</v>
      </c>
      <c r="P331" s="10">
        <f>P329</f>
        <v>0</v>
      </c>
      <c r="Q331" s="38">
        <f>SUM(N331:P331)</f>
        <v>0</v>
      </c>
      <c r="R331" s="55">
        <f>R329</f>
        <v>-368000</v>
      </c>
    </row>
    <row r="332" spans="1:18" ht="16.5" customHeight="1" thickBot="1" x14ac:dyDescent="0.35">
      <c r="A332" s="237" t="s">
        <v>1897</v>
      </c>
      <c r="B332" s="294">
        <f>(B331/B10)/1.983</f>
        <v>0</v>
      </c>
      <c r="C332" s="294">
        <f>(C331/C10)/1.983</f>
        <v>0</v>
      </c>
      <c r="D332" s="294">
        <f>(D331/D10)/1.983</f>
        <v>0</v>
      </c>
      <c r="E332" s="40"/>
      <c r="F332" s="294">
        <f>(F331/F10)/1.983</f>
        <v>-168.09547823163555</v>
      </c>
      <c r="G332" s="294">
        <f>(G331/G10)/1.983</f>
        <v>0</v>
      </c>
      <c r="H332" s="294">
        <f>(H331/H10)/1.983</f>
        <v>-2000.336190956463</v>
      </c>
      <c r="I332" s="40"/>
      <c r="J332" s="294">
        <f>(J331/J10)/1.983</f>
        <v>-2293.6899126445755</v>
      </c>
      <c r="K332" s="294">
        <f>(K331/K10)/1.983</f>
        <v>-1594.1958258097052</v>
      </c>
      <c r="L332" s="294">
        <f>(L331/L10)/1.983</f>
        <v>0</v>
      </c>
      <c r="M332" s="40"/>
      <c r="N332" s="294">
        <f>(N331/N10)/1.983</f>
        <v>0</v>
      </c>
      <c r="O332" s="294">
        <f>(O331/O10)/1.983</f>
        <v>0</v>
      </c>
      <c r="P332" s="294">
        <f>(P331/P10)/1.983</f>
        <v>0</v>
      </c>
      <c r="Q332" s="40"/>
      <c r="R332" s="52" t="s">
        <v>852</v>
      </c>
    </row>
    <row r="333" spans="1:18" ht="15.75" customHeight="1" x14ac:dyDescent="0.3">
      <c r="A333" s="17"/>
      <c r="B333" s="10"/>
      <c r="C333" s="10"/>
      <c r="D333" s="10"/>
      <c r="E333" s="10"/>
      <c r="F333" s="10"/>
      <c r="G333" s="10"/>
      <c r="H333" s="10"/>
      <c r="I333" s="10"/>
      <c r="J333" s="10"/>
      <c r="K333" s="10"/>
      <c r="L333" s="10"/>
      <c r="M333" s="10"/>
      <c r="N333" s="10"/>
      <c r="O333" s="10"/>
      <c r="P333" s="10"/>
      <c r="Q333" s="10"/>
      <c r="R333" s="17"/>
    </row>
    <row r="334" spans="1:18" ht="16.5" customHeight="1" thickBot="1" x14ac:dyDescent="0.35">
      <c r="A334" s="24"/>
      <c r="B334" s="294"/>
      <c r="C334" s="294"/>
      <c r="D334" s="294"/>
      <c r="E334" s="294"/>
      <c r="F334" s="294"/>
      <c r="G334" s="294"/>
      <c r="H334" s="294"/>
      <c r="I334" s="294"/>
      <c r="J334" s="294"/>
      <c r="K334" s="294"/>
      <c r="L334" s="294"/>
      <c r="M334" s="294"/>
      <c r="N334" s="294"/>
      <c r="O334" s="294"/>
      <c r="P334" s="294"/>
      <c r="Q334" s="294"/>
      <c r="R334" s="24"/>
    </row>
    <row r="335" spans="1:18" ht="16.5" customHeight="1" thickBot="1" x14ac:dyDescent="0.35">
      <c r="A335" s="274" t="s">
        <v>89</v>
      </c>
      <c r="B335" s="4" t="s">
        <v>2090</v>
      </c>
      <c r="C335" s="5" t="s">
        <v>2091</v>
      </c>
      <c r="D335" s="5" t="s">
        <v>2234</v>
      </c>
      <c r="E335" s="33" t="s">
        <v>1594</v>
      </c>
      <c r="F335" s="5" t="s">
        <v>2235</v>
      </c>
      <c r="G335" s="5" t="s">
        <v>2236</v>
      </c>
      <c r="H335" s="5" t="s">
        <v>2237</v>
      </c>
      <c r="I335" s="35" t="s">
        <v>1595</v>
      </c>
      <c r="J335" s="5" t="s">
        <v>1504</v>
      </c>
      <c r="K335" s="5" t="s">
        <v>1505</v>
      </c>
      <c r="L335" s="5" t="s">
        <v>1506</v>
      </c>
      <c r="M335" s="35" t="s">
        <v>1596</v>
      </c>
      <c r="N335" s="5" t="s">
        <v>1507</v>
      </c>
      <c r="O335" s="5" t="s">
        <v>1508</v>
      </c>
      <c r="P335" s="5" t="s">
        <v>1509</v>
      </c>
      <c r="Q335" s="35" t="s">
        <v>1597</v>
      </c>
      <c r="R335" s="36" t="s">
        <v>1510</v>
      </c>
    </row>
    <row r="336" spans="1:18" ht="16.5" customHeight="1" thickBot="1" x14ac:dyDescent="0.35">
      <c r="A336" s="37"/>
      <c r="B336" s="313"/>
      <c r="C336" s="313"/>
      <c r="D336" s="313"/>
      <c r="E336" s="308"/>
      <c r="F336" s="313"/>
      <c r="G336" s="313"/>
      <c r="H336" s="313"/>
      <c r="I336" s="316"/>
      <c r="J336" s="313"/>
      <c r="K336" s="313"/>
      <c r="L336" s="313"/>
      <c r="M336" s="316"/>
      <c r="N336" s="313"/>
      <c r="O336" s="313"/>
      <c r="P336" s="313"/>
      <c r="Q336" s="316"/>
      <c r="R336" s="55"/>
    </row>
    <row r="337" spans="1:20" ht="15.75" customHeight="1" x14ac:dyDescent="0.3">
      <c r="A337" s="234" t="s">
        <v>2417</v>
      </c>
      <c r="B337" s="10"/>
      <c r="C337" s="10"/>
      <c r="D337" s="10"/>
      <c r="E337" s="38" t="s">
        <v>852</v>
      </c>
      <c r="F337" s="10" t="s">
        <v>852</v>
      </c>
      <c r="G337" s="10" t="s">
        <v>852</v>
      </c>
      <c r="H337" s="10" t="s">
        <v>852</v>
      </c>
      <c r="I337" s="38" t="s">
        <v>852</v>
      </c>
      <c r="J337" s="10" t="s">
        <v>852</v>
      </c>
      <c r="K337" s="10" t="s">
        <v>852</v>
      </c>
      <c r="L337" s="10" t="s">
        <v>852</v>
      </c>
      <c r="M337" s="38" t="s">
        <v>852</v>
      </c>
      <c r="N337" s="10" t="s">
        <v>852</v>
      </c>
      <c r="O337" s="10" t="s">
        <v>852</v>
      </c>
      <c r="P337" s="10" t="s">
        <v>852</v>
      </c>
      <c r="Q337" s="38" t="s">
        <v>852</v>
      </c>
      <c r="R337" s="39" t="s">
        <v>852</v>
      </c>
    </row>
    <row r="338" spans="1:20" ht="15.75" customHeight="1" x14ac:dyDescent="0.3">
      <c r="A338" s="234" t="s">
        <v>2160</v>
      </c>
      <c r="B338" s="10"/>
      <c r="C338" s="10"/>
      <c r="D338" s="10"/>
      <c r="E338" s="38" t="s">
        <v>852</v>
      </c>
      <c r="F338" s="10"/>
      <c r="G338" s="10"/>
      <c r="H338" s="10"/>
      <c r="I338" s="38" t="s">
        <v>852</v>
      </c>
      <c r="J338" s="10"/>
      <c r="K338" s="10"/>
      <c r="L338" s="10"/>
      <c r="M338" s="38" t="s">
        <v>852</v>
      </c>
      <c r="N338" s="10"/>
      <c r="O338" s="10"/>
      <c r="P338" s="10"/>
      <c r="Q338" s="38" t="s">
        <v>852</v>
      </c>
      <c r="R338" s="38" t="s">
        <v>852</v>
      </c>
    </row>
    <row r="339" spans="1:20" ht="15.75" customHeight="1" x14ac:dyDescent="0.3">
      <c r="A339" s="410" t="s">
        <v>2869</v>
      </c>
      <c r="B339" s="10"/>
      <c r="C339" s="10"/>
      <c r="D339" s="10"/>
      <c r="E339" s="38">
        <f t="shared" ref="E339:E371" si="120">SUM(B339:D339)</f>
        <v>0</v>
      </c>
      <c r="F339" s="10"/>
      <c r="G339" s="10"/>
      <c r="H339" s="10"/>
      <c r="I339" s="38">
        <f t="shared" ref="I339:I371" si="121">SUM(F339:H339)</f>
        <v>0</v>
      </c>
      <c r="J339" s="10">
        <f>1+2+130</f>
        <v>133</v>
      </c>
      <c r="K339" s="10">
        <f>1+2+130</f>
        <v>133</v>
      </c>
      <c r="L339" s="10">
        <f>1+2+125</f>
        <v>128</v>
      </c>
      <c r="M339" s="38">
        <f t="shared" ref="M339:M371" si="122">SUM(J339:L339)</f>
        <v>394</v>
      </c>
      <c r="N339" s="10">
        <f>1+2+130</f>
        <v>133</v>
      </c>
      <c r="O339" s="10">
        <f>1+2+125</f>
        <v>128</v>
      </c>
      <c r="P339" s="10">
        <f>1+2+130</f>
        <v>133</v>
      </c>
      <c r="Q339" s="38">
        <f t="shared" ref="Q339:Q374" si="123">SUM(N339:P339)</f>
        <v>394</v>
      </c>
      <c r="R339" s="38">
        <f t="shared" ref="R339:R374" si="124">+E339+I339+M339+Q339</f>
        <v>788</v>
      </c>
      <c r="T339" t="s">
        <v>2870</v>
      </c>
    </row>
    <row r="340" spans="1:20" ht="15.75" customHeight="1" x14ac:dyDescent="0.3">
      <c r="A340" s="410" t="s">
        <v>3451</v>
      </c>
      <c r="B340" s="10"/>
      <c r="C340" s="10"/>
      <c r="D340" s="10"/>
      <c r="E340" s="38">
        <f t="shared" si="120"/>
        <v>0</v>
      </c>
      <c r="F340" s="10"/>
      <c r="G340" s="10"/>
      <c r="H340" s="10"/>
      <c r="I340" s="38">
        <f t="shared" si="121"/>
        <v>0</v>
      </c>
      <c r="J340" s="10"/>
      <c r="K340" s="10"/>
      <c r="L340" s="10">
        <v>400</v>
      </c>
      <c r="M340" s="38">
        <f t="shared" si="122"/>
        <v>400</v>
      </c>
      <c r="N340" s="10"/>
      <c r="O340" s="10"/>
      <c r="P340" s="10"/>
      <c r="Q340" s="38">
        <f t="shared" ref="Q340" si="125">SUM(N340:P340)</f>
        <v>0</v>
      </c>
      <c r="R340" s="38">
        <f t="shared" ref="R340" si="126">+E340+I340+M340+Q340</f>
        <v>400</v>
      </c>
    </row>
    <row r="341" spans="1:20" ht="15.75" customHeight="1" x14ac:dyDescent="0.3">
      <c r="A341" s="410" t="s">
        <v>2993</v>
      </c>
      <c r="B341" s="10"/>
      <c r="C341" s="10"/>
      <c r="D341" s="10"/>
      <c r="E341" s="38">
        <f t="shared" si="120"/>
        <v>0</v>
      </c>
      <c r="F341" s="10"/>
      <c r="G341" s="10"/>
      <c r="H341" s="10">
        <v>378</v>
      </c>
      <c r="I341" s="38">
        <f t="shared" si="121"/>
        <v>378</v>
      </c>
      <c r="J341" s="10"/>
      <c r="K341" s="10"/>
      <c r="L341" s="10"/>
      <c r="M341" s="38">
        <f t="shared" si="122"/>
        <v>0</v>
      </c>
      <c r="N341" s="10"/>
      <c r="O341" s="10"/>
      <c r="P341" s="10"/>
      <c r="Q341" s="38">
        <f t="shared" si="123"/>
        <v>0</v>
      </c>
      <c r="R341" s="38">
        <f t="shared" si="124"/>
        <v>378</v>
      </c>
    </row>
    <row r="342" spans="1:20" ht="15.75" customHeight="1" x14ac:dyDescent="0.3">
      <c r="A342" s="410" t="s">
        <v>349</v>
      </c>
      <c r="B342" s="10"/>
      <c r="C342" s="10"/>
      <c r="D342" s="10"/>
      <c r="E342" s="38">
        <f t="shared" si="120"/>
        <v>0</v>
      </c>
      <c r="F342" s="10"/>
      <c r="G342" s="10"/>
      <c r="H342" s="10"/>
      <c r="I342" s="38">
        <f t="shared" si="121"/>
        <v>0</v>
      </c>
      <c r="J342" s="10"/>
      <c r="K342" s="10"/>
      <c r="L342" s="10"/>
      <c r="M342" s="38">
        <f t="shared" si="122"/>
        <v>0</v>
      </c>
      <c r="N342" s="10"/>
      <c r="O342" s="10"/>
      <c r="P342" s="10"/>
      <c r="Q342" s="38">
        <f t="shared" si="123"/>
        <v>0</v>
      </c>
      <c r="R342" s="38">
        <f t="shared" si="124"/>
        <v>0</v>
      </c>
      <c r="T342" t="s">
        <v>2174</v>
      </c>
    </row>
    <row r="343" spans="1:20" ht="15.75" customHeight="1" x14ac:dyDescent="0.3">
      <c r="A343" s="410" t="s">
        <v>3238</v>
      </c>
      <c r="B343" s="10">
        <v>175</v>
      </c>
      <c r="C343" s="10">
        <v>175</v>
      </c>
      <c r="D343" s="10">
        <v>0</v>
      </c>
      <c r="E343" s="38">
        <f>SUM(B343:D343)</f>
        <v>350</v>
      </c>
      <c r="F343" s="10">
        <v>0</v>
      </c>
      <c r="G343" s="10">
        <v>0</v>
      </c>
      <c r="H343" s="10">
        <v>0</v>
      </c>
      <c r="I343" s="38">
        <f t="shared" ref="I343" si="127">SUM(F343:H343)</f>
        <v>0</v>
      </c>
      <c r="J343" s="10">
        <v>0</v>
      </c>
      <c r="K343" s="10">
        <v>0</v>
      </c>
      <c r="L343" s="10">
        <v>0</v>
      </c>
      <c r="M343" s="38">
        <f t="shared" ref="M343" si="128">SUM(J343:L343)</f>
        <v>0</v>
      </c>
      <c r="N343" s="10">
        <v>0</v>
      </c>
      <c r="O343" s="10">
        <v>0</v>
      </c>
      <c r="P343" s="10">
        <v>0</v>
      </c>
      <c r="Q343" s="38">
        <f t="shared" ref="Q343" si="129">SUM(N343:P343)</f>
        <v>0</v>
      </c>
      <c r="R343" s="38">
        <f t="shared" si="124"/>
        <v>350</v>
      </c>
      <c r="T343" t="s">
        <v>2776</v>
      </c>
    </row>
    <row r="344" spans="1:20" ht="15.75" customHeight="1" x14ac:dyDescent="0.3">
      <c r="A344" s="410" t="s">
        <v>3065</v>
      </c>
      <c r="B344" s="10"/>
      <c r="C344" s="10"/>
      <c r="D344" s="10"/>
      <c r="E344" s="38">
        <f t="shared" si="120"/>
        <v>0</v>
      </c>
      <c r="F344" s="10"/>
      <c r="G344" s="10"/>
      <c r="H344" s="10"/>
      <c r="I344" s="38">
        <f t="shared" si="121"/>
        <v>0</v>
      </c>
      <c r="J344" s="10">
        <v>800</v>
      </c>
      <c r="K344" s="10"/>
      <c r="L344" s="10"/>
      <c r="M344" s="38">
        <f t="shared" si="122"/>
        <v>800</v>
      </c>
      <c r="N344" s="10"/>
      <c r="O344" s="10"/>
      <c r="P344" s="10"/>
      <c r="Q344" s="38">
        <f t="shared" si="123"/>
        <v>0</v>
      </c>
      <c r="R344" s="38">
        <f t="shared" si="124"/>
        <v>800</v>
      </c>
      <c r="T344" t="s">
        <v>2776</v>
      </c>
    </row>
    <row r="345" spans="1:20" ht="15.75" customHeight="1" x14ac:dyDescent="0.3">
      <c r="A345" s="410" t="s">
        <v>2983</v>
      </c>
      <c r="B345">
        <f>66</f>
        <v>66</v>
      </c>
      <c r="C345" s="10">
        <v>58</v>
      </c>
      <c r="D345" s="10">
        <v>170</v>
      </c>
      <c r="E345" s="38">
        <f>SUM(B345:D345)</f>
        <v>294</v>
      </c>
      <c r="F345" s="10">
        <v>281</v>
      </c>
      <c r="G345" s="10">
        <v>263</v>
      </c>
      <c r="H345" s="10">
        <v>417</v>
      </c>
      <c r="I345" s="38">
        <f>SUM(F345:H345)</f>
        <v>961</v>
      </c>
      <c r="J345" s="10">
        <f>415+2467</f>
        <v>2882</v>
      </c>
      <c r="K345" s="10">
        <v>360</v>
      </c>
      <c r="L345" s="10">
        <v>297</v>
      </c>
      <c r="M345" s="38">
        <f t="shared" ref="M345:M352" si="130">SUM(J345:L345)</f>
        <v>3539</v>
      </c>
      <c r="N345" s="10">
        <v>249</v>
      </c>
      <c r="O345" s="10">
        <v>138</v>
      </c>
      <c r="P345" s="10">
        <v>86</v>
      </c>
      <c r="Q345" s="38">
        <f t="shared" ref="Q345:Q350" si="131">SUM(N345:P345)</f>
        <v>473</v>
      </c>
      <c r="R345" s="38">
        <f t="shared" si="124"/>
        <v>5267</v>
      </c>
      <c r="T345" t="s">
        <v>2174</v>
      </c>
    </row>
    <row r="346" spans="1:20" ht="15.75" customHeight="1" x14ac:dyDescent="0.3">
      <c r="A346" s="410" t="s">
        <v>3066</v>
      </c>
      <c r="B346" s="10"/>
      <c r="C346" s="10"/>
      <c r="D346" s="10"/>
      <c r="E346" s="38">
        <f t="shared" ref="E346:E352" si="132">SUM(B346:D346)</f>
        <v>0</v>
      </c>
      <c r="F346" s="10"/>
      <c r="G346" s="10"/>
      <c r="H346" s="10"/>
      <c r="I346" s="38">
        <f t="shared" ref="I346:I352" si="133">SUM(F346:H346)</f>
        <v>0</v>
      </c>
      <c r="J346" s="10">
        <v>1650</v>
      </c>
      <c r="K346" s="10"/>
      <c r="L346" s="10"/>
      <c r="M346" s="38">
        <f t="shared" si="130"/>
        <v>1650</v>
      </c>
      <c r="N346" s="10"/>
      <c r="O346" s="10"/>
      <c r="P346" s="10"/>
      <c r="Q346" s="38">
        <f t="shared" si="131"/>
        <v>0</v>
      </c>
      <c r="R346" s="38">
        <f t="shared" si="124"/>
        <v>1650</v>
      </c>
      <c r="T346" t="s">
        <v>2776</v>
      </c>
    </row>
    <row r="347" spans="1:20" ht="15.75" customHeight="1" x14ac:dyDescent="0.3">
      <c r="A347" s="410" t="s">
        <v>3393</v>
      </c>
      <c r="B347" s="10">
        <v>0</v>
      </c>
      <c r="C347" s="10">
        <v>0</v>
      </c>
      <c r="D347" s="10">
        <v>175</v>
      </c>
      <c r="E347" s="38">
        <f t="shared" si="132"/>
        <v>175</v>
      </c>
      <c r="F347" s="10">
        <v>175</v>
      </c>
      <c r="G347" s="10">
        <v>0</v>
      </c>
      <c r="H347" s="10">
        <v>0</v>
      </c>
      <c r="I347" s="38">
        <f t="shared" si="133"/>
        <v>175</v>
      </c>
      <c r="J347" s="10">
        <v>0</v>
      </c>
      <c r="K347" s="10">
        <v>0</v>
      </c>
      <c r="L347" s="10">
        <v>0</v>
      </c>
      <c r="M347" s="38">
        <f t="shared" si="130"/>
        <v>0</v>
      </c>
      <c r="N347" s="10">
        <v>0</v>
      </c>
      <c r="O347" s="10">
        <v>0</v>
      </c>
      <c r="P347" s="10">
        <v>0</v>
      </c>
      <c r="Q347" s="38">
        <f t="shared" si="131"/>
        <v>0</v>
      </c>
      <c r="R347" s="38">
        <f t="shared" si="124"/>
        <v>350</v>
      </c>
    </row>
    <row r="348" spans="1:20" ht="15.75" customHeight="1" x14ac:dyDescent="0.3">
      <c r="A348" s="410" t="s">
        <v>2873</v>
      </c>
      <c r="B348" s="10">
        <f>15+63</f>
        <v>78</v>
      </c>
      <c r="C348" s="10">
        <f>15+75</f>
        <v>90</v>
      </c>
      <c r="D348" s="10">
        <f>30+130</f>
        <v>160</v>
      </c>
      <c r="E348" s="38">
        <f t="shared" si="132"/>
        <v>328</v>
      </c>
      <c r="F348" s="10">
        <f>35+205</f>
        <v>240</v>
      </c>
      <c r="G348" s="10">
        <f>40+340</f>
        <v>380</v>
      </c>
      <c r="H348" s="10">
        <f>60+350</f>
        <v>410</v>
      </c>
      <c r="I348" s="38">
        <f t="shared" si="133"/>
        <v>1030</v>
      </c>
      <c r="J348" s="10">
        <f>60+330</f>
        <v>390</v>
      </c>
      <c r="K348" s="10">
        <f>50+315</f>
        <v>365</v>
      </c>
      <c r="L348" s="10">
        <f>40+280</f>
        <v>320</v>
      </c>
      <c r="M348" s="38">
        <f t="shared" si="130"/>
        <v>1075</v>
      </c>
      <c r="N348" s="10">
        <f>35+330</f>
        <v>365</v>
      </c>
      <c r="O348" s="10">
        <f>30+130</f>
        <v>160</v>
      </c>
      <c r="P348" s="10">
        <f>15+108</f>
        <v>123</v>
      </c>
      <c r="Q348" s="38">
        <f t="shared" si="131"/>
        <v>648</v>
      </c>
      <c r="R348" s="38">
        <f>+E348+I348+M348+Q348</f>
        <v>3081</v>
      </c>
      <c r="T348" t="s">
        <v>2871</v>
      </c>
    </row>
    <row r="349" spans="1:20" ht="15.75" customHeight="1" x14ac:dyDescent="0.3">
      <c r="A349" s="410" t="s">
        <v>3467</v>
      </c>
      <c r="B349" s="10">
        <v>0</v>
      </c>
      <c r="C349" s="10">
        <v>560</v>
      </c>
      <c r="D349" s="10">
        <v>560</v>
      </c>
      <c r="E349" s="38">
        <f t="shared" si="132"/>
        <v>1120</v>
      </c>
      <c r="F349" s="10">
        <v>480</v>
      </c>
      <c r="G349" s="10">
        <v>0</v>
      </c>
      <c r="H349" s="10">
        <v>0</v>
      </c>
      <c r="I349" s="38">
        <f t="shared" si="133"/>
        <v>480</v>
      </c>
      <c r="J349" s="10">
        <v>0</v>
      </c>
      <c r="K349" s="10">
        <v>0</v>
      </c>
      <c r="L349" s="10">
        <v>0</v>
      </c>
      <c r="M349" s="38">
        <f t="shared" si="130"/>
        <v>0</v>
      </c>
      <c r="N349" s="10">
        <v>0</v>
      </c>
      <c r="O349" s="10">
        <v>0</v>
      </c>
      <c r="P349" s="10">
        <v>0</v>
      </c>
      <c r="Q349" s="38">
        <f t="shared" si="131"/>
        <v>0</v>
      </c>
      <c r="R349" s="38">
        <f>+E349+I349+M349+Q349</f>
        <v>1600</v>
      </c>
      <c r="T349" t="s">
        <v>1358</v>
      </c>
    </row>
    <row r="350" spans="1:20" ht="15.75" customHeight="1" x14ac:dyDescent="0.3">
      <c r="A350" s="410" t="s">
        <v>3045</v>
      </c>
      <c r="B350" s="10"/>
      <c r="C350" s="10"/>
      <c r="D350" s="10"/>
      <c r="E350" s="38">
        <f t="shared" si="132"/>
        <v>0</v>
      </c>
      <c r="F350" s="10"/>
      <c r="G350" s="10"/>
      <c r="H350" s="10">
        <v>1604</v>
      </c>
      <c r="I350" s="38">
        <f t="shared" si="133"/>
        <v>1604</v>
      </c>
      <c r="J350" s="10"/>
      <c r="K350" s="10"/>
      <c r="L350" s="10"/>
      <c r="M350" s="38">
        <f t="shared" si="130"/>
        <v>0</v>
      </c>
      <c r="N350" s="10"/>
      <c r="O350" s="10"/>
      <c r="P350" s="10"/>
      <c r="Q350" s="38">
        <f t="shared" si="131"/>
        <v>0</v>
      </c>
      <c r="R350" s="38">
        <f>+E350+I350+M350+Q350</f>
        <v>1604</v>
      </c>
      <c r="T350" t="s">
        <v>2178</v>
      </c>
    </row>
    <row r="351" spans="1:20" ht="15.75" customHeight="1" x14ac:dyDescent="0.3">
      <c r="A351" s="410" t="s">
        <v>3137</v>
      </c>
      <c r="B351" s="10"/>
      <c r="C351" s="10"/>
      <c r="D351" s="10"/>
      <c r="E351" s="38">
        <f t="shared" si="132"/>
        <v>0</v>
      </c>
      <c r="F351" s="10"/>
      <c r="G351" s="10"/>
      <c r="H351" s="10"/>
      <c r="I351" s="38">
        <f t="shared" si="133"/>
        <v>0</v>
      </c>
      <c r="J351" s="10"/>
      <c r="K351" s="10"/>
      <c r="L351" s="10"/>
      <c r="M351" s="38">
        <f t="shared" si="130"/>
        <v>0</v>
      </c>
      <c r="N351" s="10"/>
      <c r="O351" s="10"/>
      <c r="P351" s="10"/>
      <c r="Q351" s="38">
        <f t="shared" ref="Q351" si="134">SUM(N351:P351)</f>
        <v>0</v>
      </c>
      <c r="R351" s="38">
        <f>+E351+I351+M351+Q351</f>
        <v>0</v>
      </c>
    </row>
    <row r="352" spans="1:20" ht="15.75" customHeight="1" x14ac:dyDescent="0.3">
      <c r="A352" s="410" t="s">
        <v>3255</v>
      </c>
      <c r="B352" s="10">
        <v>325</v>
      </c>
      <c r="C352" s="10"/>
      <c r="D352" s="10"/>
      <c r="E352" s="38">
        <f t="shared" si="132"/>
        <v>325</v>
      </c>
      <c r="F352" s="10"/>
      <c r="G352" s="10"/>
      <c r="H352" s="10"/>
      <c r="I352" s="38">
        <f t="shared" si="133"/>
        <v>0</v>
      </c>
      <c r="J352" s="10"/>
      <c r="K352" s="10"/>
      <c r="L352" s="10"/>
      <c r="M352" s="38">
        <f t="shared" si="130"/>
        <v>0</v>
      </c>
      <c r="N352" s="10"/>
      <c r="O352" s="10"/>
      <c r="P352" s="10"/>
      <c r="Q352" s="38">
        <f>SUM(N352:P352)</f>
        <v>0</v>
      </c>
      <c r="R352" s="38">
        <f>+E352+I352+M352+Q352</f>
        <v>325</v>
      </c>
      <c r="S352" s="736" t="s">
        <v>3213</v>
      </c>
    </row>
    <row r="353" spans="1:20" ht="15.75" customHeight="1" x14ac:dyDescent="0.3">
      <c r="A353" s="410" t="s">
        <v>3147</v>
      </c>
      <c r="B353" s="10"/>
      <c r="C353" s="10"/>
      <c r="D353" s="10"/>
      <c r="E353" s="38">
        <f>SUM(B353:D353)</f>
        <v>0</v>
      </c>
      <c r="F353" s="10"/>
      <c r="G353" s="10"/>
      <c r="H353" s="10"/>
      <c r="I353" s="38">
        <f t="shared" ref="I353:I354" si="135">SUM(F353:H353)</f>
        <v>0</v>
      </c>
      <c r="J353" s="10">
        <v>678</v>
      </c>
      <c r="K353" s="10">
        <v>1000</v>
      </c>
      <c r="L353" s="10">
        <v>600</v>
      </c>
      <c r="M353" s="38">
        <f t="shared" ref="M353:M354" si="136">SUM(J353:L353)</f>
        <v>2278</v>
      </c>
      <c r="N353" s="10"/>
      <c r="O353" s="10"/>
      <c r="P353" s="10"/>
      <c r="Q353" s="38">
        <f t="shared" ref="Q353:Q354" si="137">SUM(N353:P353)</f>
        <v>0</v>
      </c>
      <c r="R353" s="38">
        <f t="shared" ref="R353:R354" si="138">+E353+I353+M353+Q353</f>
        <v>2278</v>
      </c>
    </row>
    <row r="354" spans="1:20" ht="15.75" customHeight="1" x14ac:dyDescent="0.3">
      <c r="A354" s="410" t="s">
        <v>2743</v>
      </c>
      <c r="B354" s="10"/>
      <c r="C354" s="10"/>
      <c r="D354" s="10"/>
      <c r="E354" s="38">
        <f>SUM(B354:D354)</f>
        <v>0</v>
      </c>
      <c r="F354" s="10"/>
      <c r="G354" s="10"/>
      <c r="H354" s="10"/>
      <c r="I354" s="38">
        <f t="shared" si="135"/>
        <v>0</v>
      </c>
      <c r="J354" s="10"/>
      <c r="K354" s="10"/>
      <c r="L354" s="10"/>
      <c r="M354" s="38">
        <f t="shared" si="136"/>
        <v>0</v>
      </c>
      <c r="N354" s="10">
        <v>300</v>
      </c>
      <c r="O354" s="10"/>
      <c r="P354" s="10">
        <v>1000</v>
      </c>
      <c r="Q354" s="38">
        <f t="shared" si="137"/>
        <v>1300</v>
      </c>
      <c r="R354" s="38">
        <f t="shared" si="138"/>
        <v>1300</v>
      </c>
      <c r="T354" t="s">
        <v>1358</v>
      </c>
    </row>
    <row r="355" spans="1:20" ht="15.75" customHeight="1" x14ac:dyDescent="0.3">
      <c r="A355" s="410" t="s">
        <v>2744</v>
      </c>
      <c r="B355" s="10"/>
      <c r="C355" s="10"/>
      <c r="D355" s="10"/>
      <c r="E355" s="38">
        <f t="shared" ref="E355" si="139">SUM(B355:D355)</f>
        <v>0</v>
      </c>
      <c r="F355" s="10"/>
      <c r="G355" s="10"/>
      <c r="H355" s="10"/>
      <c r="I355" s="38">
        <f t="shared" ref="I355" si="140">SUM(F355:H355)</f>
        <v>0</v>
      </c>
      <c r="J355" s="10"/>
      <c r="K355" s="10"/>
      <c r="L355" s="10">
        <v>636</v>
      </c>
      <c r="M355" s="38">
        <f t="shared" ref="M355:M357" si="141">SUM(J355:L355)</f>
        <v>636</v>
      </c>
      <c r="N355" s="10">
        <v>1617</v>
      </c>
      <c r="O355" s="10">
        <v>1289</v>
      </c>
      <c r="P355" s="10">
        <v>1332</v>
      </c>
      <c r="Q355" s="38">
        <f t="shared" si="123"/>
        <v>4238</v>
      </c>
      <c r="R355" s="38">
        <f t="shared" si="124"/>
        <v>4874</v>
      </c>
      <c r="T355" t="s">
        <v>2780</v>
      </c>
    </row>
    <row r="356" spans="1:20" ht="15.75" customHeight="1" x14ac:dyDescent="0.3">
      <c r="A356" s="410" t="s">
        <v>331</v>
      </c>
      <c r="B356" s="10"/>
      <c r="C356" s="10"/>
      <c r="D356" s="10"/>
      <c r="E356" s="38">
        <f>SUM(B356:D356)</f>
        <v>0</v>
      </c>
      <c r="F356" s="10"/>
      <c r="G356" s="10"/>
      <c r="H356" s="10"/>
      <c r="I356" s="38">
        <f>SUM(F356:H356)</f>
        <v>0</v>
      </c>
      <c r="J356" s="10"/>
      <c r="K356" s="10"/>
      <c r="L356" s="10"/>
      <c r="M356" s="38">
        <f>SUM(J356:L356)</f>
        <v>0</v>
      </c>
      <c r="N356" s="10"/>
      <c r="O356" s="10"/>
      <c r="P356" s="10"/>
      <c r="Q356" s="38">
        <f t="shared" ref="Q356" si="142">SUM(N356:P356)</f>
        <v>0</v>
      </c>
      <c r="R356" s="38">
        <f t="shared" si="124"/>
        <v>0</v>
      </c>
    </row>
    <row r="357" spans="1:20" ht="15.75" customHeight="1" x14ac:dyDescent="0.3">
      <c r="A357" s="410" t="s">
        <v>3330</v>
      </c>
      <c r="B357" s="10">
        <v>200</v>
      </c>
      <c r="C357" s="10">
        <v>200</v>
      </c>
      <c r="D357" s="10">
        <v>200</v>
      </c>
      <c r="E357" s="38">
        <f>SUM(B357:D357)</f>
        <v>600</v>
      </c>
      <c r="F357" s="10">
        <v>200</v>
      </c>
      <c r="G357" s="10">
        <v>200</v>
      </c>
      <c r="H357" s="10">
        <v>200</v>
      </c>
      <c r="I357" s="38">
        <f>SUM(F357:H357)</f>
        <v>600</v>
      </c>
      <c r="J357" s="10">
        <v>200</v>
      </c>
      <c r="K357" s="10">
        <v>200</v>
      </c>
      <c r="L357" s="10">
        <v>320</v>
      </c>
      <c r="M357" s="38">
        <f t="shared" si="141"/>
        <v>720</v>
      </c>
      <c r="N357" s="10">
        <v>200</v>
      </c>
      <c r="O357" s="10"/>
      <c r="P357" s="10"/>
      <c r="Q357" s="38">
        <f t="shared" si="123"/>
        <v>200</v>
      </c>
      <c r="R357" s="38">
        <f t="shared" si="124"/>
        <v>2120</v>
      </c>
    </row>
    <row r="358" spans="1:20" ht="15.75" customHeight="1" x14ac:dyDescent="0.3">
      <c r="A358" s="410" t="s">
        <v>2607</v>
      </c>
      <c r="B358" s="10"/>
      <c r="C358" s="10"/>
      <c r="D358" s="10"/>
      <c r="E358" s="38">
        <f t="shared" si="120"/>
        <v>0</v>
      </c>
      <c r="F358" s="10"/>
      <c r="G358" s="10"/>
      <c r="H358" s="10"/>
      <c r="I358" s="38">
        <f t="shared" si="121"/>
        <v>0</v>
      </c>
      <c r="J358" s="10"/>
      <c r="K358" s="10"/>
      <c r="L358" s="10"/>
      <c r="M358" s="38">
        <f t="shared" si="122"/>
        <v>0</v>
      </c>
      <c r="N358" s="10"/>
      <c r="O358" s="10"/>
      <c r="P358" s="10"/>
      <c r="Q358" s="38">
        <f t="shared" si="123"/>
        <v>0</v>
      </c>
      <c r="R358" s="38">
        <f t="shared" si="124"/>
        <v>0</v>
      </c>
      <c r="T358" t="s">
        <v>2174</v>
      </c>
    </row>
    <row r="359" spans="1:20" ht="15.75" customHeight="1" x14ac:dyDescent="0.3">
      <c r="A359" s="410" t="s">
        <v>3205</v>
      </c>
      <c r="B359" s="10">
        <v>1500</v>
      </c>
      <c r="C359" s="10">
        <v>1406</v>
      </c>
      <c r="D359" s="10"/>
      <c r="E359" s="38">
        <f t="shared" si="120"/>
        <v>2906</v>
      </c>
      <c r="F359" s="10"/>
      <c r="G359" s="10"/>
      <c r="H359" s="10"/>
      <c r="I359" s="38">
        <f t="shared" si="121"/>
        <v>0</v>
      </c>
      <c r="J359" s="10"/>
      <c r="K359" s="10"/>
      <c r="L359" s="10"/>
      <c r="M359" s="38">
        <f t="shared" si="122"/>
        <v>0</v>
      </c>
      <c r="N359" s="10"/>
      <c r="O359" s="10"/>
      <c r="P359" s="10"/>
      <c r="Q359" s="38">
        <f t="shared" si="123"/>
        <v>0</v>
      </c>
      <c r="R359" s="38">
        <f t="shared" si="124"/>
        <v>2906</v>
      </c>
    </row>
    <row r="360" spans="1:20" ht="15.75" customHeight="1" x14ac:dyDescent="0.3">
      <c r="A360" s="410" t="s">
        <v>2692</v>
      </c>
      <c r="B360" s="10"/>
      <c r="C360" s="10"/>
      <c r="D360" s="10"/>
      <c r="E360" s="38">
        <f>SUM(B360:D360)</f>
        <v>0</v>
      </c>
      <c r="F360" s="10"/>
      <c r="G360" s="10"/>
      <c r="H360" s="10"/>
      <c r="I360" s="38">
        <f>SUM(F360:H360)</f>
        <v>0</v>
      </c>
      <c r="J360" s="10"/>
      <c r="K360" s="10"/>
      <c r="L360" s="10"/>
      <c r="M360" s="38">
        <f t="shared" si="122"/>
        <v>0</v>
      </c>
      <c r="N360" s="10"/>
      <c r="O360" s="10"/>
      <c r="P360" s="10"/>
      <c r="Q360" s="38">
        <f>SUM(N360:P360)</f>
        <v>0</v>
      </c>
      <c r="R360" s="38">
        <f t="shared" si="124"/>
        <v>0</v>
      </c>
      <c r="T360" t="s">
        <v>1358</v>
      </c>
    </row>
    <row r="361" spans="1:20" ht="15.75" customHeight="1" x14ac:dyDescent="0.3">
      <c r="A361" s="410" t="s">
        <v>347</v>
      </c>
      <c r="B361" s="10"/>
      <c r="C361" s="10"/>
      <c r="D361" s="10"/>
      <c r="E361" s="38">
        <f t="shared" ref="E361" si="143">SUM(B361:D361)</f>
        <v>0</v>
      </c>
      <c r="F361" s="10"/>
      <c r="G361" s="10"/>
      <c r="H361" s="10"/>
      <c r="I361" s="38">
        <f t="shared" ref="I361" si="144">SUM(F361:H361)</f>
        <v>0</v>
      </c>
      <c r="J361" s="10">
        <v>985</v>
      </c>
      <c r="K361" s="10">
        <v>2283</v>
      </c>
      <c r="L361" s="10">
        <v>2025</v>
      </c>
      <c r="M361" s="38">
        <f t="shared" si="122"/>
        <v>5293</v>
      </c>
      <c r="N361" s="10">
        <v>1712</v>
      </c>
      <c r="O361" s="10">
        <v>230</v>
      </c>
      <c r="P361" s="10"/>
      <c r="Q361" s="38">
        <f t="shared" si="123"/>
        <v>1942</v>
      </c>
      <c r="R361" s="38">
        <f t="shared" si="124"/>
        <v>7235</v>
      </c>
      <c r="T361" t="s">
        <v>2780</v>
      </c>
    </row>
    <row r="362" spans="1:20" ht="15.75" customHeight="1" x14ac:dyDescent="0.3">
      <c r="A362" s="410" t="s">
        <v>2954</v>
      </c>
      <c r="B362" s="10"/>
      <c r="C362" s="10"/>
      <c r="D362" s="10"/>
      <c r="E362" s="38">
        <f>SUM(B362:D362)</f>
        <v>0</v>
      </c>
      <c r="F362" s="10"/>
      <c r="G362" s="10"/>
      <c r="H362" s="10"/>
      <c r="I362" s="38">
        <f>SUM(F362:H362)</f>
        <v>0</v>
      </c>
      <c r="J362" s="10"/>
      <c r="K362" s="10"/>
      <c r="L362" s="10"/>
      <c r="M362" s="38">
        <f>SUM(J362:L362)</f>
        <v>0</v>
      </c>
      <c r="N362" s="10"/>
      <c r="O362" s="10"/>
      <c r="P362" s="10"/>
      <c r="Q362" s="38">
        <f>SUM(N362:P362)</f>
        <v>0</v>
      </c>
      <c r="R362" s="38">
        <f t="shared" si="124"/>
        <v>0</v>
      </c>
      <c r="T362" t="s">
        <v>1358</v>
      </c>
    </row>
    <row r="363" spans="1:20" ht="15.75" customHeight="1" x14ac:dyDescent="0.3">
      <c r="A363" s="410" t="s">
        <v>2593</v>
      </c>
      <c r="B363" s="10"/>
      <c r="C363" s="10"/>
      <c r="D363" s="10"/>
      <c r="E363" s="38">
        <f t="shared" si="120"/>
        <v>0</v>
      </c>
      <c r="F363" s="10"/>
      <c r="G363" s="10"/>
      <c r="H363" s="10"/>
      <c r="I363" s="38">
        <f t="shared" si="121"/>
        <v>0</v>
      </c>
      <c r="J363" s="10"/>
      <c r="K363" s="10"/>
      <c r="L363" s="10"/>
      <c r="M363" s="38">
        <f t="shared" si="122"/>
        <v>0</v>
      </c>
      <c r="N363" s="10"/>
      <c r="O363" s="10"/>
      <c r="P363" s="10"/>
      <c r="Q363" s="38">
        <f t="shared" si="123"/>
        <v>0</v>
      </c>
      <c r="R363" s="38">
        <f t="shared" si="124"/>
        <v>0</v>
      </c>
      <c r="S363" s="538"/>
      <c r="T363" t="s">
        <v>2175</v>
      </c>
    </row>
    <row r="364" spans="1:20" ht="15.75" customHeight="1" x14ac:dyDescent="0.3">
      <c r="A364" s="410" t="s">
        <v>3056</v>
      </c>
      <c r="B364" s="10">
        <v>7</v>
      </c>
      <c r="C364" s="10">
        <v>15</v>
      </c>
      <c r="D364" s="10">
        <v>37</v>
      </c>
      <c r="E364" s="38">
        <f t="shared" si="120"/>
        <v>59</v>
      </c>
      <c r="F364" s="10"/>
      <c r="G364" s="10">
        <v>73</v>
      </c>
      <c r="H364" s="10">
        <v>66</v>
      </c>
      <c r="I364" s="38">
        <f>SUM(F364:H364)</f>
        <v>139</v>
      </c>
      <c r="J364" s="10">
        <v>39</v>
      </c>
      <c r="K364" s="10">
        <v>21</v>
      </c>
      <c r="L364" s="10">
        <v>12</v>
      </c>
      <c r="M364" s="38">
        <f>SUM(J364:L364)</f>
        <v>72</v>
      </c>
      <c r="N364" s="10">
        <v>15</v>
      </c>
      <c r="O364" s="10">
        <v>25</v>
      </c>
      <c r="P364" s="10">
        <v>25</v>
      </c>
      <c r="Q364" s="38">
        <f>SUM(N364:P364)</f>
        <v>65</v>
      </c>
      <c r="R364" s="38">
        <f>+E364+I364+M364+Q364</f>
        <v>335</v>
      </c>
      <c r="T364" t="s">
        <v>1193</v>
      </c>
    </row>
    <row r="365" spans="1:20" ht="15.75" customHeight="1" x14ac:dyDescent="0.3">
      <c r="A365" s="311" t="s">
        <v>92</v>
      </c>
      <c r="B365" s="10">
        <v>256</v>
      </c>
      <c r="C365" s="10">
        <v>899</v>
      </c>
      <c r="D365" s="10">
        <f>976+1121</f>
        <v>2097</v>
      </c>
      <c r="E365" s="38">
        <f t="shared" ref="E365" si="145">SUM(B365:D365)</f>
        <v>3252</v>
      </c>
      <c r="F365" s="10">
        <v>1454</v>
      </c>
      <c r="G365" s="10">
        <f>98+1453</f>
        <v>1551</v>
      </c>
      <c r="H365" s="10">
        <f>3918+1692</f>
        <v>5610</v>
      </c>
      <c r="I365" s="38">
        <f t="shared" ref="I365" si="146">SUM(F365:H365)</f>
        <v>8615</v>
      </c>
      <c r="J365" s="10">
        <f>4434+1738</f>
        <v>6172</v>
      </c>
      <c r="K365" s="10">
        <f>4120+1833</f>
        <v>5953</v>
      </c>
      <c r="L365" s="10">
        <f>3807+1462</f>
        <v>5269</v>
      </c>
      <c r="M365" s="38">
        <f t="shared" ref="M365" si="147">SUM(J365:L365)</f>
        <v>17394</v>
      </c>
      <c r="N365" s="10">
        <f>3504+1263</f>
        <v>4767</v>
      </c>
      <c r="O365" s="10">
        <f>2940+1048</f>
        <v>3988</v>
      </c>
      <c r="P365" s="10">
        <f>2131+1170</f>
        <v>3301</v>
      </c>
      <c r="Q365" s="38">
        <f t="shared" si="123"/>
        <v>12056</v>
      </c>
      <c r="R365" s="38">
        <f t="shared" si="124"/>
        <v>41317</v>
      </c>
      <c r="T365" t="s">
        <v>2177</v>
      </c>
    </row>
    <row r="366" spans="1:20" ht="15.75" customHeight="1" x14ac:dyDescent="0.3">
      <c r="A366" s="410" t="s">
        <v>3164</v>
      </c>
      <c r="B366" s="10"/>
      <c r="C366" s="10"/>
      <c r="D366" s="10"/>
      <c r="E366" s="38">
        <f t="shared" si="120"/>
        <v>0</v>
      </c>
      <c r="F366" s="10"/>
      <c r="G366" s="10"/>
      <c r="H366" s="10"/>
      <c r="I366" s="38">
        <f t="shared" si="121"/>
        <v>0</v>
      </c>
      <c r="J366" s="10"/>
      <c r="K366" s="10"/>
      <c r="L366" s="10"/>
      <c r="M366" s="38">
        <f t="shared" si="122"/>
        <v>0</v>
      </c>
      <c r="N366" s="10"/>
      <c r="O366" s="10"/>
      <c r="P366" s="10"/>
      <c r="Q366" s="38">
        <f t="shared" si="123"/>
        <v>0</v>
      </c>
      <c r="R366" s="38">
        <f t="shared" si="124"/>
        <v>0</v>
      </c>
      <c r="T366" t="s">
        <v>2176</v>
      </c>
    </row>
    <row r="367" spans="1:20" ht="15.75" customHeight="1" x14ac:dyDescent="0.3">
      <c r="A367" s="410" t="s">
        <v>3409</v>
      </c>
      <c r="B367" s="10"/>
      <c r="C367" s="10"/>
      <c r="D367" s="10"/>
      <c r="E367" s="38">
        <f t="shared" si="120"/>
        <v>0</v>
      </c>
      <c r="F367" s="10">
        <v>1000</v>
      </c>
      <c r="G367" s="10">
        <v>1000</v>
      </c>
      <c r="H367" s="10">
        <v>1000</v>
      </c>
      <c r="I367" s="38">
        <f t="shared" si="121"/>
        <v>3000</v>
      </c>
      <c r="J367" s="10">
        <v>1000</v>
      </c>
      <c r="K367" s="10"/>
      <c r="L367" s="10"/>
      <c r="M367" s="38">
        <f t="shared" si="122"/>
        <v>1000</v>
      </c>
      <c r="N367" s="10"/>
      <c r="O367" s="10"/>
      <c r="P367" s="10"/>
      <c r="Q367" s="38">
        <f t="shared" ref="Q367:Q368" si="148">SUM(N367:P367)</f>
        <v>0</v>
      </c>
      <c r="R367" s="38">
        <f t="shared" si="124"/>
        <v>4000</v>
      </c>
    </row>
    <row r="368" spans="1:20" ht="15.75" customHeight="1" x14ac:dyDescent="0.3">
      <c r="A368" s="410" t="s">
        <v>3410</v>
      </c>
      <c r="B368" s="10"/>
      <c r="C368" s="10"/>
      <c r="D368" s="10"/>
      <c r="E368" s="38">
        <f t="shared" si="120"/>
        <v>0</v>
      </c>
      <c r="F368" s="10"/>
      <c r="G368" s="10"/>
      <c r="H368" s="10"/>
      <c r="I368" s="38">
        <f t="shared" si="121"/>
        <v>0</v>
      </c>
      <c r="J368" s="10">
        <v>1000</v>
      </c>
      <c r="K368" s="10"/>
      <c r="L368" s="10"/>
      <c r="M368" s="38">
        <f t="shared" si="122"/>
        <v>1000</v>
      </c>
      <c r="N368" s="10"/>
      <c r="O368" s="10"/>
      <c r="P368" s="10"/>
      <c r="Q368" s="38">
        <f t="shared" si="148"/>
        <v>0</v>
      </c>
      <c r="R368" s="38">
        <f t="shared" si="124"/>
        <v>1000</v>
      </c>
    </row>
    <row r="369" spans="1:20" ht="15.75" customHeight="1" x14ac:dyDescent="0.3">
      <c r="A369" s="410" t="s">
        <v>3138</v>
      </c>
      <c r="B369" s="10"/>
      <c r="C369" s="10"/>
      <c r="D369" s="10"/>
      <c r="E369" s="38">
        <f t="shared" si="120"/>
        <v>0</v>
      </c>
      <c r="F369" s="10"/>
      <c r="G369" s="10"/>
      <c r="H369" s="10"/>
      <c r="I369" s="38">
        <f t="shared" si="121"/>
        <v>0</v>
      </c>
      <c r="J369" s="10"/>
      <c r="K369" s="10">
        <v>2249</v>
      </c>
      <c r="L369" s="10">
        <v>1000</v>
      </c>
      <c r="M369" s="38">
        <f t="shared" si="122"/>
        <v>3249</v>
      </c>
      <c r="N369" s="10">
        <v>1000</v>
      </c>
      <c r="O369" s="10">
        <v>1000</v>
      </c>
      <c r="P369" s="10"/>
      <c r="Q369" s="38">
        <f t="shared" si="123"/>
        <v>2000</v>
      </c>
      <c r="R369" s="38">
        <f t="shared" si="124"/>
        <v>5249</v>
      </c>
    </row>
    <row r="370" spans="1:20" ht="15.75" customHeight="1" x14ac:dyDescent="0.3">
      <c r="A370" s="410" t="s">
        <v>3268</v>
      </c>
      <c r="B370" s="10"/>
      <c r="C370" s="10"/>
      <c r="D370" s="10"/>
      <c r="E370" s="38">
        <f t="shared" si="120"/>
        <v>0</v>
      </c>
      <c r="F370" s="10"/>
      <c r="G370" s="10">
        <v>2000</v>
      </c>
      <c r="H370" s="10">
        <v>2000</v>
      </c>
      <c r="I370" s="38">
        <f t="shared" si="121"/>
        <v>4000</v>
      </c>
      <c r="J370" s="10">
        <v>1000</v>
      </c>
      <c r="K370" s="10"/>
      <c r="L370" s="10"/>
      <c r="M370" s="38">
        <f t="shared" si="122"/>
        <v>1000</v>
      </c>
      <c r="N370" s="10"/>
      <c r="O370" s="10"/>
      <c r="P370" s="10"/>
      <c r="Q370" s="38">
        <f t="shared" si="123"/>
        <v>0</v>
      </c>
      <c r="R370" s="38">
        <f t="shared" si="124"/>
        <v>5000</v>
      </c>
      <c r="S370" s="736" t="s">
        <v>3213</v>
      </c>
    </row>
    <row r="371" spans="1:20" ht="15.75" customHeight="1" x14ac:dyDescent="0.3">
      <c r="A371" s="410" t="s">
        <v>3060</v>
      </c>
      <c r="B371" s="10"/>
      <c r="C371" s="10"/>
      <c r="D371" s="10"/>
      <c r="E371" s="38">
        <f t="shared" si="120"/>
        <v>0</v>
      </c>
      <c r="F371" s="10"/>
      <c r="G371" s="10"/>
      <c r="H371" s="10"/>
      <c r="I371" s="38">
        <f t="shared" si="121"/>
        <v>0</v>
      </c>
      <c r="J371" s="10">
        <v>450</v>
      </c>
      <c r="K371" s="10">
        <v>450</v>
      </c>
      <c r="L371" s="10">
        <v>450</v>
      </c>
      <c r="M371" s="38">
        <f t="shared" si="122"/>
        <v>1350</v>
      </c>
      <c r="N371" s="10">
        <v>450</v>
      </c>
      <c r="O371" s="10">
        <v>400</v>
      </c>
      <c r="P371" s="10">
        <v>300</v>
      </c>
      <c r="Q371" s="38">
        <f>SUM(N371:P371)</f>
        <v>1150</v>
      </c>
      <c r="R371" s="38">
        <f>+E371+I371+M371+Q371</f>
        <v>2500</v>
      </c>
      <c r="T371" t="s">
        <v>1358</v>
      </c>
    </row>
    <row r="372" spans="1:20" ht="15.75" customHeight="1" x14ac:dyDescent="0.3">
      <c r="A372" s="410" t="s">
        <v>3057</v>
      </c>
      <c r="B372" s="10">
        <v>20</v>
      </c>
      <c r="C372" s="10">
        <v>30</v>
      </c>
      <c r="D372" s="10">
        <v>35</v>
      </c>
      <c r="E372" s="38">
        <f>SUM(B372:D372)</f>
        <v>85</v>
      </c>
      <c r="F372" s="10"/>
      <c r="G372" s="10">
        <v>62</v>
      </c>
      <c r="H372" s="10">
        <v>60</v>
      </c>
      <c r="I372" s="38">
        <f>SUM(F372:H372)</f>
        <v>122</v>
      </c>
      <c r="J372" s="10">
        <v>76</v>
      </c>
      <c r="K372" s="10">
        <v>56</v>
      </c>
      <c r="L372" s="10">
        <v>40</v>
      </c>
      <c r="M372" s="38">
        <f>SUM(J372:L372)</f>
        <v>172</v>
      </c>
      <c r="N372" s="10">
        <v>64</v>
      </c>
      <c r="O372" s="10">
        <v>79</v>
      </c>
      <c r="P372" s="10">
        <v>38</v>
      </c>
      <c r="Q372" s="38">
        <f>SUM(N372:P372)</f>
        <v>181</v>
      </c>
      <c r="R372" s="38">
        <f>+E372+I372+M372+Q372</f>
        <v>560</v>
      </c>
      <c r="T372" t="s">
        <v>1193</v>
      </c>
    </row>
    <row r="373" spans="1:20" ht="15.75" customHeight="1" x14ac:dyDescent="0.3">
      <c r="A373" s="539" t="s">
        <v>2944</v>
      </c>
      <c r="B373" s="10"/>
      <c r="C373" s="10"/>
      <c r="D373" s="10"/>
      <c r="E373" s="38">
        <f>SUM(B373:D373)</f>
        <v>0</v>
      </c>
      <c r="F373" s="10"/>
      <c r="G373" s="10"/>
      <c r="H373" s="10">
        <v>27</v>
      </c>
      <c r="I373" s="38">
        <f>SUM(F373:H373)</f>
        <v>27</v>
      </c>
      <c r="J373" s="10"/>
      <c r="K373" s="10"/>
      <c r="L373" s="10"/>
      <c r="M373" s="38">
        <f>SUM(J373:L373)</f>
        <v>0</v>
      </c>
      <c r="N373" s="10"/>
      <c r="O373" s="10"/>
      <c r="P373" s="10"/>
      <c r="Q373" s="38">
        <f>SUM(N373:P373)</f>
        <v>0</v>
      </c>
      <c r="R373" s="38">
        <f t="shared" si="124"/>
        <v>27</v>
      </c>
    </row>
    <row r="374" spans="1:20" ht="15.75" customHeight="1" x14ac:dyDescent="0.3">
      <c r="A374" s="410" t="s">
        <v>2609</v>
      </c>
      <c r="B374" s="10">
        <v>20</v>
      </c>
      <c r="C374" s="10">
        <v>20</v>
      </c>
      <c r="D374" s="10">
        <v>20</v>
      </c>
      <c r="E374" s="38">
        <f t="shared" ref="E374" si="149">SUM(B374:D374)</f>
        <v>60</v>
      </c>
      <c r="F374" s="10">
        <v>60</v>
      </c>
      <c r="G374" s="10">
        <v>75</v>
      </c>
      <c r="H374" s="10">
        <v>75</v>
      </c>
      <c r="I374" s="38">
        <f t="shared" ref="I374" si="150">SUM(F374:H374)</f>
        <v>210</v>
      </c>
      <c r="J374" s="10">
        <v>75</v>
      </c>
      <c r="K374" s="10">
        <v>75</v>
      </c>
      <c r="L374" s="10">
        <v>30</v>
      </c>
      <c r="M374" s="38">
        <f t="shared" ref="M374" si="151">SUM(J374:L374)</f>
        <v>180</v>
      </c>
      <c r="N374" s="10">
        <v>20</v>
      </c>
      <c r="O374" s="10">
        <v>20</v>
      </c>
      <c r="P374" s="10">
        <v>5</v>
      </c>
      <c r="Q374" s="38">
        <f t="shared" si="123"/>
        <v>45</v>
      </c>
      <c r="R374" s="38">
        <f t="shared" si="124"/>
        <v>495</v>
      </c>
      <c r="S374">
        <f>SUM(R339:R374)</f>
        <v>97789</v>
      </c>
      <c r="T374" t="s">
        <v>2175</v>
      </c>
    </row>
    <row r="375" spans="1:20" ht="15.75" customHeight="1" x14ac:dyDescent="0.3">
      <c r="A375" s="410" t="s">
        <v>3058</v>
      </c>
      <c r="B375" s="10">
        <v>15</v>
      </c>
      <c r="C375" s="10">
        <v>19</v>
      </c>
      <c r="D375" s="10">
        <v>40</v>
      </c>
      <c r="E375" s="38">
        <f>SUM(B375:D375)</f>
        <v>74</v>
      </c>
      <c r="F375" s="10"/>
      <c r="G375" s="10">
        <v>58</v>
      </c>
      <c r="H375" s="10">
        <v>57</v>
      </c>
      <c r="I375" s="38">
        <f>SUM(F375:H375)</f>
        <v>115</v>
      </c>
      <c r="J375" s="10">
        <v>49</v>
      </c>
      <c r="K375" s="10">
        <v>53</v>
      </c>
      <c r="L375" s="10">
        <v>63</v>
      </c>
      <c r="M375" s="38">
        <f>SUM(J375:L375)</f>
        <v>165</v>
      </c>
      <c r="N375" s="10">
        <v>47</v>
      </c>
      <c r="O375" s="10">
        <v>36</v>
      </c>
      <c r="P375" s="10">
        <v>16</v>
      </c>
      <c r="Q375" s="38">
        <f>SUM(N375:P375)</f>
        <v>99</v>
      </c>
      <c r="R375" s="38">
        <f>+E375+I375+M375+Q375</f>
        <v>453</v>
      </c>
      <c r="T375" t="s">
        <v>1193</v>
      </c>
    </row>
    <row r="376" spans="1:20" ht="15.75" customHeight="1" x14ac:dyDescent="0.3">
      <c r="A376" s="234" t="s">
        <v>2161</v>
      </c>
      <c r="B376" s="10"/>
      <c r="C376" s="10"/>
      <c r="D376" s="10"/>
      <c r="E376" s="38" t="s">
        <v>852</v>
      </c>
      <c r="F376" s="10"/>
      <c r="G376" s="10"/>
      <c r="H376" s="10"/>
      <c r="I376" s="38" t="s">
        <v>852</v>
      </c>
      <c r="J376" s="10"/>
      <c r="K376" s="10"/>
      <c r="L376" s="10"/>
      <c r="M376" s="38" t="s">
        <v>852</v>
      </c>
      <c r="N376" s="10"/>
      <c r="O376" s="10"/>
      <c r="P376" s="10"/>
      <c r="Q376" s="38" t="s">
        <v>852</v>
      </c>
      <c r="R376" s="38" t="s">
        <v>852</v>
      </c>
    </row>
    <row r="377" spans="1:20" ht="15.75" customHeight="1" x14ac:dyDescent="0.3">
      <c r="A377" s="311" t="s">
        <v>754</v>
      </c>
      <c r="B377" s="10"/>
      <c r="C377" s="10"/>
      <c r="D377" s="10"/>
      <c r="E377" s="38">
        <f t="shared" ref="E377:E387" si="152">SUM(B377:D377)</f>
        <v>0</v>
      </c>
      <c r="F377" s="10"/>
      <c r="G377" s="10"/>
      <c r="H377" s="10"/>
      <c r="I377" s="38">
        <f t="shared" ref="I377:I387" si="153">SUM(F377:H377)</f>
        <v>0</v>
      </c>
      <c r="J377" s="10"/>
      <c r="K377" s="10"/>
      <c r="L377" s="10"/>
      <c r="M377" s="38">
        <f t="shared" ref="M377:M387" si="154">SUM(J377:L377)</f>
        <v>0</v>
      </c>
      <c r="N377" s="10"/>
      <c r="O377" s="10"/>
      <c r="P377" s="10"/>
      <c r="Q377" s="38">
        <f t="shared" ref="Q377:Q387" si="155">SUM(N377:P377)</f>
        <v>0</v>
      </c>
      <c r="R377" s="38">
        <f t="shared" ref="R377:R387" si="156">+E377+I377+M377+Q377</f>
        <v>0</v>
      </c>
    </row>
    <row r="378" spans="1:20" ht="15.75" customHeight="1" x14ac:dyDescent="0.3">
      <c r="A378" s="410" t="s">
        <v>2759</v>
      </c>
      <c r="B378" s="10"/>
      <c r="C378" s="10"/>
      <c r="D378" s="10"/>
      <c r="E378" s="38">
        <f>SUM(B378:D378)</f>
        <v>0</v>
      </c>
      <c r="F378" s="10"/>
      <c r="G378" s="10"/>
      <c r="H378" s="10"/>
      <c r="I378" s="38">
        <f>SUM(F378:H378)</f>
        <v>0</v>
      </c>
      <c r="J378" s="10"/>
      <c r="K378" s="10"/>
      <c r="L378" s="10"/>
      <c r="M378" s="38">
        <f>SUM(J378:L378)</f>
        <v>0</v>
      </c>
      <c r="N378" s="10"/>
      <c r="O378" s="10"/>
      <c r="P378" s="10"/>
      <c r="Q378" s="38">
        <f>SUM(N378:P378)</f>
        <v>0</v>
      </c>
      <c r="R378" s="38">
        <f>+E378+I378+M378+Q378</f>
        <v>0</v>
      </c>
      <c r="T378" t="s">
        <v>131</v>
      </c>
    </row>
    <row r="379" spans="1:20" ht="15.75" customHeight="1" x14ac:dyDescent="0.3">
      <c r="A379" s="311" t="s">
        <v>970</v>
      </c>
      <c r="B379" s="10"/>
      <c r="C379" s="10"/>
      <c r="D379" s="10"/>
      <c r="E379" s="38">
        <f>SUM(B379:D379)</f>
        <v>0</v>
      </c>
      <c r="F379" s="10"/>
      <c r="G379" s="10"/>
      <c r="H379" s="10"/>
      <c r="I379" s="38">
        <f>SUM(F379:H379)</f>
        <v>0</v>
      </c>
      <c r="J379" s="10"/>
      <c r="K379" s="10"/>
      <c r="L379" s="10"/>
      <c r="M379" s="38">
        <f>SUM(J379:L379)</f>
        <v>0</v>
      </c>
      <c r="N379" s="10"/>
      <c r="O379" s="10"/>
      <c r="P379" s="10"/>
      <c r="Q379" s="38">
        <f>SUM(N379:P379)</f>
        <v>0</v>
      </c>
      <c r="R379" s="38">
        <f>+E379+I379+M379+Q379</f>
        <v>0</v>
      </c>
      <c r="T379" t="s">
        <v>2176</v>
      </c>
    </row>
    <row r="380" spans="1:20" ht="15.75" customHeight="1" x14ac:dyDescent="0.3">
      <c r="A380" s="410" t="s">
        <v>2593</v>
      </c>
      <c r="B380" s="10"/>
      <c r="C380" s="10"/>
      <c r="D380" s="10"/>
      <c r="E380" s="38">
        <f t="shared" si="152"/>
        <v>0</v>
      </c>
      <c r="F380" s="10"/>
      <c r="G380" s="10"/>
      <c r="H380" s="10"/>
      <c r="I380" s="38">
        <f t="shared" si="153"/>
        <v>0</v>
      </c>
      <c r="J380" s="10"/>
      <c r="K380" s="10"/>
      <c r="L380" s="10"/>
      <c r="M380" s="38">
        <f t="shared" si="154"/>
        <v>0</v>
      </c>
      <c r="N380" s="10"/>
      <c r="O380" s="10"/>
      <c r="P380" s="10"/>
      <c r="Q380" s="38">
        <f t="shared" si="155"/>
        <v>0</v>
      </c>
      <c r="R380" s="38">
        <f>+E380+I380+M380+Q380</f>
        <v>0</v>
      </c>
      <c r="T380" t="s">
        <v>2175</v>
      </c>
    </row>
    <row r="381" spans="1:20" ht="15.75" customHeight="1" x14ac:dyDescent="0.3">
      <c r="A381" s="410" t="s">
        <v>2517</v>
      </c>
      <c r="B381" s="10"/>
      <c r="C381" s="10"/>
      <c r="D381" s="10"/>
      <c r="E381" s="38">
        <f>SUM(B381:D381)</f>
        <v>0</v>
      </c>
      <c r="F381" s="10"/>
      <c r="G381" s="10"/>
      <c r="H381" s="10"/>
      <c r="I381" s="38">
        <f>SUM(F381:H381)</f>
        <v>0</v>
      </c>
      <c r="J381" s="10"/>
      <c r="K381" s="10"/>
      <c r="L381" s="10"/>
      <c r="M381" s="38">
        <f>SUM(J381:L381)</f>
        <v>0</v>
      </c>
      <c r="N381" s="10"/>
      <c r="O381" s="10"/>
      <c r="P381" s="10"/>
      <c r="Q381" s="38">
        <f>SUM(N381:P381)</f>
        <v>0</v>
      </c>
      <c r="R381" s="38">
        <f>+E381+I381+M381+Q381</f>
        <v>0</v>
      </c>
      <c r="T381" t="s">
        <v>2229</v>
      </c>
    </row>
    <row r="382" spans="1:20" ht="15.75" customHeight="1" x14ac:dyDescent="0.3">
      <c r="A382" s="311" t="s">
        <v>1732</v>
      </c>
      <c r="B382" s="10"/>
      <c r="C382" s="10"/>
      <c r="D382" s="10"/>
      <c r="E382" s="38">
        <f t="shared" si="152"/>
        <v>0</v>
      </c>
      <c r="F382" s="10"/>
      <c r="G382" s="10"/>
      <c r="H382" s="10"/>
      <c r="I382" s="38">
        <f t="shared" si="153"/>
        <v>0</v>
      </c>
      <c r="J382" s="10"/>
      <c r="K382" s="10"/>
      <c r="L382" s="10"/>
      <c r="M382" s="38">
        <f t="shared" si="154"/>
        <v>0</v>
      </c>
      <c r="N382" s="10"/>
      <c r="O382" s="10"/>
      <c r="P382" s="10"/>
      <c r="Q382" s="38">
        <f t="shared" si="155"/>
        <v>0</v>
      </c>
      <c r="R382" s="38">
        <f t="shared" si="156"/>
        <v>0</v>
      </c>
    </row>
    <row r="383" spans="1:20" ht="15.75" customHeight="1" x14ac:dyDescent="0.3">
      <c r="A383" s="410" t="s">
        <v>2771</v>
      </c>
      <c r="B383" s="10"/>
      <c r="C383" s="10"/>
      <c r="D383" s="10"/>
      <c r="E383" s="38">
        <f t="shared" si="152"/>
        <v>0</v>
      </c>
      <c r="F383" s="10"/>
      <c r="G383" s="10"/>
      <c r="H383" s="10"/>
      <c r="I383" s="38">
        <f t="shared" si="153"/>
        <v>0</v>
      </c>
      <c r="J383" s="10"/>
      <c r="K383" s="10"/>
      <c r="L383" s="10"/>
      <c r="M383" s="38">
        <f t="shared" si="154"/>
        <v>0</v>
      </c>
      <c r="N383" s="10"/>
      <c r="O383" s="10"/>
      <c r="P383" s="10"/>
      <c r="Q383" s="38">
        <f t="shared" si="155"/>
        <v>0</v>
      </c>
      <c r="R383" s="38">
        <f t="shared" si="156"/>
        <v>0</v>
      </c>
      <c r="T383" t="s">
        <v>2230</v>
      </c>
    </row>
    <row r="384" spans="1:20" ht="15.75" customHeight="1" x14ac:dyDescent="0.3">
      <c r="A384" s="311" t="s">
        <v>1138</v>
      </c>
      <c r="B384" s="10"/>
      <c r="C384" s="10"/>
      <c r="D384" s="10"/>
      <c r="E384" s="38">
        <f t="shared" si="152"/>
        <v>0</v>
      </c>
      <c r="F384" s="10"/>
      <c r="G384" s="10"/>
      <c r="H384" s="10"/>
      <c r="I384" s="38">
        <f t="shared" si="153"/>
        <v>0</v>
      </c>
      <c r="J384" s="10"/>
      <c r="K384" s="10"/>
      <c r="L384" s="10"/>
      <c r="M384" s="38">
        <f t="shared" si="154"/>
        <v>0</v>
      </c>
      <c r="N384" s="10"/>
      <c r="O384" s="10"/>
      <c r="P384" s="10"/>
      <c r="Q384" s="38">
        <f t="shared" si="155"/>
        <v>0</v>
      </c>
      <c r="R384" s="38">
        <f t="shared" si="156"/>
        <v>0</v>
      </c>
      <c r="T384" t="s">
        <v>2230</v>
      </c>
    </row>
    <row r="385" spans="1:39" ht="15.75" customHeight="1" x14ac:dyDescent="0.3">
      <c r="A385" s="410" t="s">
        <v>2951</v>
      </c>
      <c r="B385" s="10"/>
      <c r="C385" s="10"/>
      <c r="D385" s="10"/>
      <c r="E385" s="38">
        <f t="shared" si="152"/>
        <v>0</v>
      </c>
      <c r="F385" s="10"/>
      <c r="G385" s="10"/>
      <c r="H385" s="10"/>
      <c r="I385" s="38">
        <f t="shared" si="153"/>
        <v>0</v>
      </c>
      <c r="J385" s="10"/>
      <c r="K385" s="10"/>
      <c r="L385" s="10"/>
      <c r="M385" s="38">
        <f t="shared" si="154"/>
        <v>0</v>
      </c>
      <c r="N385" s="10"/>
      <c r="O385" s="10"/>
      <c r="P385" s="10"/>
      <c r="Q385" s="38">
        <f t="shared" si="155"/>
        <v>0</v>
      </c>
      <c r="R385" s="38">
        <f t="shared" si="156"/>
        <v>0</v>
      </c>
      <c r="T385" t="s">
        <v>1193</v>
      </c>
    </row>
    <row r="386" spans="1:39" ht="15.75" customHeight="1" x14ac:dyDescent="0.3">
      <c r="A386" s="311" t="s">
        <v>644</v>
      </c>
      <c r="B386" s="10"/>
      <c r="C386" s="10"/>
      <c r="D386" s="10"/>
      <c r="E386" s="38">
        <f>SUM(B386:D386)</f>
        <v>0</v>
      </c>
      <c r="F386" s="10"/>
      <c r="G386" s="10"/>
      <c r="H386" s="10"/>
      <c r="I386" s="38">
        <f>SUM(F386:H386)</f>
        <v>0</v>
      </c>
      <c r="J386" s="10"/>
      <c r="K386" s="10"/>
      <c r="L386" s="10"/>
      <c r="M386" s="38">
        <f>SUM(J386:L386)</f>
        <v>0</v>
      </c>
      <c r="N386" s="10"/>
      <c r="O386" s="10"/>
      <c r="P386" s="10"/>
      <c r="Q386" s="38">
        <f>SUM(N386:P386)</f>
        <v>0</v>
      </c>
      <c r="R386" s="38">
        <f>+E386+I386+M386+Q386</f>
        <v>0</v>
      </c>
      <c r="T386" t="s">
        <v>1193</v>
      </c>
    </row>
    <row r="387" spans="1:39" ht="15.75" customHeight="1" x14ac:dyDescent="0.3">
      <c r="A387" s="311" t="s">
        <v>231</v>
      </c>
      <c r="B387" s="10"/>
      <c r="C387" s="10"/>
      <c r="D387" s="10"/>
      <c r="E387" s="38">
        <f t="shared" si="152"/>
        <v>0</v>
      </c>
      <c r="F387" s="10"/>
      <c r="G387" s="10"/>
      <c r="H387" s="10"/>
      <c r="I387" s="38">
        <f t="shared" si="153"/>
        <v>0</v>
      </c>
      <c r="J387" s="10"/>
      <c r="K387" s="10"/>
      <c r="L387" s="10"/>
      <c r="M387" s="38">
        <f t="shared" si="154"/>
        <v>0</v>
      </c>
      <c r="N387" s="10"/>
      <c r="O387" s="10"/>
      <c r="P387" s="10"/>
      <c r="Q387" s="38">
        <f t="shared" si="155"/>
        <v>0</v>
      </c>
      <c r="R387" s="38">
        <f t="shared" si="156"/>
        <v>0</v>
      </c>
      <c r="T387" t="s">
        <v>2179</v>
      </c>
    </row>
    <row r="388" spans="1:39" ht="15.75" customHeight="1" x14ac:dyDescent="0.3">
      <c r="A388" s="234" t="s">
        <v>3245</v>
      </c>
      <c r="B388" s="10"/>
      <c r="C388" s="10"/>
      <c r="D388" s="10"/>
      <c r="E388" s="38" t="s">
        <v>852</v>
      </c>
      <c r="F388" s="10"/>
      <c r="G388" s="10"/>
      <c r="H388" s="10"/>
      <c r="I388" s="38" t="s">
        <v>852</v>
      </c>
      <c r="J388" s="10"/>
      <c r="K388" s="10"/>
      <c r="L388" s="10"/>
      <c r="M388" s="38" t="s">
        <v>852</v>
      </c>
      <c r="N388" s="10"/>
      <c r="O388" s="10"/>
      <c r="P388" s="10"/>
      <c r="Q388" s="38" t="s">
        <v>852</v>
      </c>
      <c r="R388" s="38" t="s">
        <v>852</v>
      </c>
    </row>
    <row r="389" spans="1:39" ht="15.75" customHeight="1" x14ac:dyDescent="0.3">
      <c r="A389" s="410" t="s">
        <v>3256</v>
      </c>
      <c r="B389" s="10"/>
      <c r="C389" s="10"/>
      <c r="D389" s="10"/>
      <c r="E389" s="38">
        <f>SUM(B389:D389)</f>
        <v>0</v>
      </c>
      <c r="F389" s="10"/>
      <c r="G389" s="10"/>
      <c r="H389" s="10"/>
      <c r="I389" s="38">
        <f>SUM(F389:H389)</f>
        <v>0</v>
      </c>
      <c r="J389" s="10"/>
      <c r="K389" s="10"/>
      <c r="L389" s="10"/>
      <c r="M389" s="38">
        <f>SUM(J389:L389)</f>
        <v>0</v>
      </c>
      <c r="N389" s="10"/>
      <c r="O389" s="10"/>
      <c r="P389" s="10"/>
      <c r="Q389" s="38">
        <f>SUM(N389:P389)</f>
        <v>0</v>
      </c>
      <c r="R389" s="38">
        <f>+E389+I389+M389+Q389</f>
        <v>0</v>
      </c>
      <c r="S389" s="735" t="s">
        <v>3214</v>
      </c>
      <c r="T389" t="s">
        <v>2174</v>
      </c>
    </row>
    <row r="390" spans="1:39" ht="15.75" customHeight="1" x14ac:dyDescent="0.3">
      <c r="A390" s="410" t="s">
        <v>3257</v>
      </c>
      <c r="B390" s="10"/>
      <c r="C390" s="10"/>
      <c r="D390" s="10"/>
      <c r="E390" s="38">
        <f>SUM(B390:D390)</f>
        <v>0</v>
      </c>
      <c r="F390" s="10"/>
      <c r="G390" s="10"/>
      <c r="H390" s="10"/>
      <c r="I390" s="38">
        <f>SUM(F390:H390)</f>
        <v>0</v>
      </c>
      <c r="J390" s="10"/>
      <c r="K390" s="10"/>
      <c r="L390" s="10"/>
      <c r="M390" s="38">
        <f>SUM(J390:L390)</f>
        <v>0</v>
      </c>
      <c r="N390" s="10"/>
      <c r="O390" s="10"/>
      <c r="P390" s="10"/>
      <c r="Q390" s="38">
        <f>SUM(N390:P390)</f>
        <v>0</v>
      </c>
      <c r="R390" s="38">
        <f>+E390+I390+M390+Q390</f>
        <v>0</v>
      </c>
      <c r="S390" s="735" t="s">
        <v>3214</v>
      </c>
    </row>
    <row r="391" spans="1:39" ht="15.75" customHeight="1" x14ac:dyDescent="0.3">
      <c r="A391" s="410" t="s">
        <v>3258</v>
      </c>
      <c r="B391" s="10"/>
      <c r="C391" s="10"/>
      <c r="D391" s="10"/>
      <c r="E391" s="38">
        <f>SUM(B391:D391)</f>
        <v>0</v>
      </c>
      <c r="F391" s="10"/>
      <c r="G391" s="10"/>
      <c r="H391" s="10"/>
      <c r="I391" s="38">
        <f>SUM(F391:H391)</f>
        <v>0</v>
      </c>
      <c r="J391" s="10"/>
      <c r="K391" s="10"/>
      <c r="L391" s="10"/>
      <c r="M391" s="38">
        <f>SUM(J391:L391)</f>
        <v>0</v>
      </c>
      <c r="N391" s="10"/>
      <c r="O391" s="10"/>
      <c r="P391" s="10"/>
      <c r="Q391" s="38">
        <f>SUM(N391:P391)</f>
        <v>0</v>
      </c>
      <c r="R391" s="38">
        <f>+E391+I391+M391+Q391</f>
        <v>0</v>
      </c>
      <c r="S391" s="735" t="s">
        <v>3214</v>
      </c>
      <c r="T391" t="s">
        <v>2175</v>
      </c>
    </row>
    <row r="392" spans="1:39" ht="15.75" customHeight="1" x14ac:dyDescent="0.3">
      <c r="A392" s="410" t="s">
        <v>3259</v>
      </c>
      <c r="B392" s="10"/>
      <c r="C392" s="10"/>
      <c r="D392" s="10"/>
      <c r="E392" s="38">
        <f>SUM(B392:D392)</f>
        <v>0</v>
      </c>
      <c r="F392" s="10"/>
      <c r="G392" s="10"/>
      <c r="H392" s="10"/>
      <c r="I392" s="38">
        <f>SUM(F392:H392)</f>
        <v>0</v>
      </c>
      <c r="J392" s="10"/>
      <c r="K392" s="10"/>
      <c r="L392" s="10"/>
      <c r="M392" s="38">
        <f>SUM(J392:L392)</f>
        <v>0</v>
      </c>
      <c r="N392" s="10"/>
      <c r="O392" s="10"/>
      <c r="P392" s="10"/>
      <c r="Q392" s="38">
        <f>SUM(N392:P392)</f>
        <v>0</v>
      </c>
      <c r="R392" s="38">
        <f>+E392+I392+M392+Q392</f>
        <v>0</v>
      </c>
      <c r="S392" s="735" t="s">
        <v>3214</v>
      </c>
      <c r="T392" t="s">
        <v>1358</v>
      </c>
    </row>
    <row r="393" spans="1:39" ht="16.5" customHeight="1" thickBot="1" x14ac:dyDescent="0.35">
      <c r="A393" s="234" t="s">
        <v>2164</v>
      </c>
      <c r="B393" s="10"/>
      <c r="C393" s="10"/>
      <c r="D393" s="10"/>
      <c r="E393" s="38" t="s">
        <v>852</v>
      </c>
      <c r="F393" s="10"/>
      <c r="G393" s="10"/>
      <c r="H393" s="10"/>
      <c r="I393" s="38" t="s">
        <v>852</v>
      </c>
      <c r="J393" s="10"/>
      <c r="K393" s="10"/>
      <c r="L393" s="10"/>
      <c r="M393" s="38" t="s">
        <v>852</v>
      </c>
      <c r="N393" s="10"/>
      <c r="O393" s="10"/>
      <c r="P393" s="10"/>
      <c r="Q393" s="38" t="s">
        <v>852</v>
      </c>
      <c r="R393" s="40" t="s">
        <v>852</v>
      </c>
      <c r="V393" t="s">
        <v>3012</v>
      </c>
      <c r="W393" t="s">
        <v>3013</v>
      </c>
    </row>
    <row r="394" spans="1:39" ht="16.5" customHeight="1" thickBot="1" x14ac:dyDescent="0.35">
      <c r="A394" s="322" t="s">
        <v>1218</v>
      </c>
      <c r="B394" s="45">
        <f>SUM(B337:B393)</f>
        <v>2662</v>
      </c>
      <c r="C394" s="46">
        <f>SUM(C337:C393)</f>
        <v>3472</v>
      </c>
      <c r="D394" s="46">
        <f>SUM(D337:D393)</f>
        <v>3494</v>
      </c>
      <c r="E394" s="37">
        <f>SUM(B394:D394)</f>
        <v>9628</v>
      </c>
      <c r="F394" s="46">
        <f>SUM(F337:F393)</f>
        <v>3890</v>
      </c>
      <c r="G394" s="46">
        <f>SUM(G337:G393)</f>
        <v>5662</v>
      </c>
      <c r="H394" s="46">
        <f>SUM(H337:H393)</f>
        <v>11904</v>
      </c>
      <c r="I394" s="37">
        <f>SUM(F394:H394)</f>
        <v>21456</v>
      </c>
      <c r="J394" s="46">
        <f>SUM(J337:J393)</f>
        <v>17579</v>
      </c>
      <c r="K394" s="46">
        <f>SUM(K337:K393)</f>
        <v>13198</v>
      </c>
      <c r="L394" s="46">
        <f>SUM(L337:L393)</f>
        <v>11590</v>
      </c>
      <c r="M394" s="37">
        <f>SUM(J394:L394)</f>
        <v>42367</v>
      </c>
      <c r="N394" s="46">
        <f>SUM(N337:N393)</f>
        <v>10939</v>
      </c>
      <c r="O394" s="46">
        <f>SUM(O337:O393)</f>
        <v>7493</v>
      </c>
      <c r="P394" s="46">
        <f>SUM(P337:P393)</f>
        <v>6359</v>
      </c>
      <c r="Q394" s="37">
        <f>SUM(N394:P394)</f>
        <v>24791</v>
      </c>
      <c r="R394" s="37">
        <f>+E394+I394+M394+Q394</f>
        <v>98242</v>
      </c>
      <c r="T394" s="230"/>
      <c r="V394" t="s">
        <v>2174</v>
      </c>
      <c r="W394" s="695">
        <v>0.18</v>
      </c>
    </row>
    <row r="395" spans="1:39" ht="15.75" customHeight="1" x14ac:dyDescent="0.3">
      <c r="A395" s="234" t="s">
        <v>1172</v>
      </c>
      <c r="B395" s="10"/>
      <c r="C395" s="10"/>
      <c r="D395" s="10"/>
      <c r="E395" s="38" t="s">
        <v>852</v>
      </c>
      <c r="F395" s="10"/>
      <c r="G395" s="10"/>
      <c r="H395" s="10"/>
      <c r="I395" s="38" t="s">
        <v>852</v>
      </c>
      <c r="J395" s="10"/>
      <c r="K395" s="10"/>
      <c r="L395" s="10"/>
      <c r="M395" s="38" t="s">
        <v>852</v>
      </c>
      <c r="N395" s="10"/>
      <c r="O395" s="10"/>
      <c r="P395" s="10"/>
      <c r="Q395" s="38" t="s">
        <v>852</v>
      </c>
      <c r="R395" s="38" t="s">
        <v>852</v>
      </c>
      <c r="V395" t="s">
        <v>500</v>
      </c>
      <c r="W395" s="695">
        <v>0.52</v>
      </c>
    </row>
    <row r="396" spans="1:39" ht="15.75" customHeight="1" x14ac:dyDescent="0.3">
      <c r="A396" s="234" t="s">
        <v>1025</v>
      </c>
      <c r="B396" s="10"/>
      <c r="C396" s="10"/>
      <c r="D396" s="10"/>
      <c r="E396" s="38"/>
      <c r="F396" s="10"/>
      <c r="G396" s="10"/>
      <c r="H396" s="10"/>
      <c r="I396" s="38"/>
      <c r="J396" s="10"/>
      <c r="K396" s="10"/>
      <c r="L396" s="10"/>
      <c r="M396" s="38"/>
      <c r="N396" s="10"/>
      <c r="O396" s="10"/>
      <c r="P396" s="10"/>
      <c r="Q396" s="38"/>
      <c r="R396" s="38"/>
      <c r="V396" t="s">
        <v>505</v>
      </c>
      <c r="W396" s="695">
        <v>0.3</v>
      </c>
    </row>
    <row r="397" spans="1:39" ht="15.75" customHeight="1" x14ac:dyDescent="0.3">
      <c r="A397" s="234" t="s">
        <v>2409</v>
      </c>
      <c r="B397" s="10"/>
      <c r="C397" s="10"/>
      <c r="D397" s="10"/>
      <c r="E397" s="38" t="s">
        <v>852</v>
      </c>
      <c r="F397" s="10"/>
      <c r="G397" s="10"/>
      <c r="H397" s="10"/>
      <c r="I397" s="38" t="s">
        <v>852</v>
      </c>
      <c r="J397" s="10"/>
      <c r="K397" s="10"/>
      <c r="L397" s="10"/>
      <c r="M397" s="38" t="s">
        <v>852</v>
      </c>
      <c r="N397" s="10"/>
      <c r="O397" s="10"/>
      <c r="P397" s="10"/>
      <c r="Q397" s="38" t="s">
        <v>852</v>
      </c>
      <c r="R397" s="38" t="s">
        <v>852</v>
      </c>
      <c r="W397" s="691">
        <f>+SUM(W394:W396)</f>
        <v>1</v>
      </c>
    </row>
    <row r="398" spans="1:39" ht="15.75" customHeight="1" x14ac:dyDescent="0.3">
      <c r="A398" s="311" t="s">
        <v>2099</v>
      </c>
      <c r="B398" s="10">
        <v>12</v>
      </c>
      <c r="C398" s="10">
        <v>12</v>
      </c>
      <c r="D398" s="10">
        <v>660</v>
      </c>
      <c r="E398" s="38">
        <f>SUM(B398:D398)</f>
        <v>684</v>
      </c>
      <c r="F398" s="10">
        <v>1400</v>
      </c>
      <c r="G398" s="10">
        <f>1080+1500</f>
        <v>2580</v>
      </c>
      <c r="H398" s="10">
        <v>3895</v>
      </c>
      <c r="I398" s="38">
        <f>SUM(F398:H398)</f>
        <v>7875</v>
      </c>
      <c r="J398" s="10">
        <v>3315</v>
      </c>
      <c r="K398" s="10">
        <v>2727</v>
      </c>
      <c r="L398" s="10">
        <v>120</v>
      </c>
      <c r="M398" s="38">
        <f>SUM(J398:L398)</f>
        <v>6162</v>
      </c>
      <c r="N398" s="10">
        <v>30</v>
      </c>
      <c r="O398" s="10">
        <v>70</v>
      </c>
      <c r="P398" s="10">
        <v>49</v>
      </c>
      <c r="Q398" s="38">
        <f>SUM(N398:P398)</f>
        <v>149</v>
      </c>
      <c r="R398" s="38">
        <f t="shared" ref="R398:R406" si="157">+E398+I398+M398+Q398</f>
        <v>14870</v>
      </c>
      <c r="T398" t="s">
        <v>2174</v>
      </c>
      <c r="V398" s="693" t="s">
        <v>2610</v>
      </c>
      <c r="W398" s="18" t="s">
        <v>2090</v>
      </c>
      <c r="X398" s="680" t="s">
        <v>2091</v>
      </c>
      <c r="Y398" s="680" t="s">
        <v>2234</v>
      </c>
      <c r="Z398" s="692" t="s">
        <v>1594</v>
      </c>
      <c r="AA398" s="680" t="s">
        <v>2235</v>
      </c>
      <c r="AB398" s="680" t="s">
        <v>2236</v>
      </c>
      <c r="AC398" s="680" t="s">
        <v>2237</v>
      </c>
      <c r="AD398" s="692" t="s">
        <v>1595</v>
      </c>
      <c r="AE398" s="680" t="s">
        <v>1504</v>
      </c>
      <c r="AF398" s="680" t="s">
        <v>1505</v>
      </c>
      <c r="AG398" s="680" t="s">
        <v>1506</v>
      </c>
      <c r="AH398" s="692" t="s">
        <v>1596</v>
      </c>
      <c r="AI398" s="680" t="s">
        <v>1507</v>
      </c>
      <c r="AJ398" s="680" t="s">
        <v>1508</v>
      </c>
      <c r="AK398" s="680" t="s">
        <v>1509</v>
      </c>
      <c r="AL398" s="692" t="s">
        <v>1597</v>
      </c>
      <c r="AM398" s="743" t="s">
        <v>1510</v>
      </c>
    </row>
    <row r="399" spans="1:39" ht="15.75" customHeight="1" x14ac:dyDescent="0.3">
      <c r="A399" s="311" t="s">
        <v>357</v>
      </c>
      <c r="B399" s="10"/>
      <c r="C399" s="10"/>
      <c r="D399" s="10"/>
      <c r="E399" s="38">
        <f>SUM(B399:D399)</f>
        <v>0</v>
      </c>
      <c r="F399" s="10"/>
      <c r="G399" s="10"/>
      <c r="H399" s="10"/>
      <c r="I399" s="38">
        <f>SUM(F399:H399)</f>
        <v>0</v>
      </c>
      <c r="J399" s="10">
        <v>20</v>
      </c>
      <c r="K399" s="10">
        <v>20</v>
      </c>
      <c r="L399" s="10">
        <v>20</v>
      </c>
      <c r="M399" s="38">
        <f>SUM(J399:L399)</f>
        <v>60</v>
      </c>
      <c r="N399" s="10">
        <v>20</v>
      </c>
      <c r="O399" s="10">
        <v>20</v>
      </c>
      <c r="P399" s="10">
        <v>20</v>
      </c>
      <c r="Q399" s="38">
        <f>SUM(N399:P399)</f>
        <v>60</v>
      </c>
      <c r="R399" s="38">
        <f t="shared" si="157"/>
        <v>120</v>
      </c>
      <c r="T399" t="s">
        <v>2175</v>
      </c>
      <c r="V399" s="579" t="s">
        <v>3014</v>
      </c>
      <c r="W399" s="696">
        <v>1500</v>
      </c>
      <c r="X399" s="696">
        <v>1500</v>
      </c>
      <c r="Y399" s="696">
        <v>6800</v>
      </c>
      <c r="Z399">
        <f>+SUM(W399:Y399)</f>
        <v>9800</v>
      </c>
      <c r="AA399" s="696">
        <f>8000+1500</f>
        <v>9500</v>
      </c>
      <c r="AB399" s="696">
        <f>10000+2000</f>
        <v>12000</v>
      </c>
      <c r="AC399" s="696">
        <f>12000+1500</f>
        <v>13500</v>
      </c>
      <c r="AD399">
        <f>+SUM(AA399:AC399)</f>
        <v>35000</v>
      </c>
      <c r="AE399" s="696">
        <v>25500</v>
      </c>
      <c r="AF399" s="696">
        <v>19000</v>
      </c>
      <c r="AG399" s="696">
        <v>4000</v>
      </c>
      <c r="AH399">
        <f>+SUM(AE399:AG399)</f>
        <v>48500</v>
      </c>
      <c r="AI399" s="696">
        <v>1500</v>
      </c>
      <c r="AJ399" s="696">
        <v>1000</v>
      </c>
      <c r="AK399" s="696">
        <v>1069</v>
      </c>
      <c r="AL399">
        <f>+SUM(AI399:AK399)</f>
        <v>3569</v>
      </c>
      <c r="AM399" s="727">
        <f>+Z399+AD399+AH399+AL399</f>
        <v>96869</v>
      </c>
    </row>
    <row r="400" spans="1:39" ht="15.75" customHeight="1" x14ac:dyDescent="0.3">
      <c r="A400" s="311" t="s">
        <v>909</v>
      </c>
      <c r="B400" s="10">
        <v>500</v>
      </c>
      <c r="C400" s="10">
        <v>700</v>
      </c>
      <c r="D400" s="10">
        <v>3000</v>
      </c>
      <c r="E400" s="38">
        <f t="shared" ref="E400:E401" si="158">SUM(B400:D400)</f>
        <v>4200</v>
      </c>
      <c r="F400" s="10">
        <v>7000</v>
      </c>
      <c r="G400" s="10">
        <v>7000</v>
      </c>
      <c r="H400" s="10">
        <v>8724</v>
      </c>
      <c r="I400" s="38">
        <f t="shared" ref="I400:I405" si="159">SUM(F400:H400)</f>
        <v>22724</v>
      </c>
      <c r="J400" s="10"/>
      <c r="K400" s="10"/>
      <c r="L400" s="10">
        <v>1267</v>
      </c>
      <c r="M400" s="38">
        <f t="shared" ref="M400:M405" si="160">SUM(J400:L400)</f>
        <v>1267</v>
      </c>
      <c r="N400" s="10"/>
      <c r="O400" s="10"/>
      <c r="P400" s="10"/>
      <c r="Q400" s="38">
        <f t="shared" ref="Q400:Q406" si="161">SUM(N400:P400)</f>
        <v>0</v>
      </c>
      <c r="R400" s="38">
        <f t="shared" si="157"/>
        <v>28191</v>
      </c>
      <c r="T400" t="s">
        <v>2776</v>
      </c>
      <c r="V400" s="579" t="s">
        <v>2174</v>
      </c>
      <c r="W400">
        <f>+$W$394*W399</f>
        <v>270</v>
      </c>
      <c r="X400">
        <f>+$W$394*X399</f>
        <v>270</v>
      </c>
      <c r="Y400">
        <f>+$W$394*Y399</f>
        <v>1224</v>
      </c>
      <c r="Z400">
        <f>+SUM(W400:Y400)</f>
        <v>1764</v>
      </c>
      <c r="AA400">
        <f>+$W$394*AA399</f>
        <v>1710</v>
      </c>
      <c r="AB400">
        <f>+$W$394*AB399</f>
        <v>2160</v>
      </c>
      <c r="AC400">
        <f>+$W$394*AC399</f>
        <v>2430</v>
      </c>
      <c r="AD400">
        <f>+SUM(AA400:AC400)</f>
        <v>6300</v>
      </c>
      <c r="AE400">
        <f>+$W$394*AE399</f>
        <v>4590</v>
      </c>
      <c r="AF400">
        <f>+$W$394*AF399</f>
        <v>3420</v>
      </c>
      <c r="AG400">
        <f>+$W$394*AG399</f>
        <v>720</v>
      </c>
      <c r="AH400">
        <f>+SUM(AE400:AG400)</f>
        <v>8730</v>
      </c>
      <c r="AI400">
        <f>+$W$394*AI399</f>
        <v>270</v>
      </c>
      <c r="AJ400">
        <f>+$W$394*AJ399</f>
        <v>180</v>
      </c>
      <c r="AK400">
        <f>+$W$394*AK399</f>
        <v>192.42</v>
      </c>
      <c r="AL400">
        <f>+SUM(AI400:AK400)</f>
        <v>642.41999999999996</v>
      </c>
      <c r="AM400" s="727">
        <f>+Z400+AD400+AH400+AL400</f>
        <v>17436.419999999998</v>
      </c>
    </row>
    <row r="401" spans="1:39" ht="15.75" customHeight="1" x14ac:dyDescent="0.3">
      <c r="A401" s="410" t="s">
        <v>2539</v>
      </c>
      <c r="B401" s="10">
        <v>1050</v>
      </c>
      <c r="C401" s="10">
        <f>3800+1652</f>
        <v>5452</v>
      </c>
      <c r="D401" s="10">
        <f>6500+400</f>
        <v>6900</v>
      </c>
      <c r="E401" s="38">
        <f t="shared" si="158"/>
        <v>13402</v>
      </c>
      <c r="F401" s="10">
        <f>15000+400</f>
        <v>15400</v>
      </c>
      <c r="G401" s="10">
        <f>17500+400</f>
        <v>17900</v>
      </c>
      <c r="H401" s="10">
        <v>19000</v>
      </c>
      <c r="I401" s="38">
        <f t="shared" ref="I401" si="162">SUM(F401:H401)</f>
        <v>52300</v>
      </c>
      <c r="J401" s="10">
        <v>8500</v>
      </c>
      <c r="K401" s="10">
        <f>5000+1000</f>
        <v>6000</v>
      </c>
      <c r="L401" s="10">
        <v>3100</v>
      </c>
      <c r="M401" s="38">
        <f t="shared" ref="M401" si="163">SUM(J401:L401)</f>
        <v>17600</v>
      </c>
      <c r="N401" s="10">
        <v>1600</v>
      </c>
      <c r="O401" s="10">
        <v>680</v>
      </c>
      <c r="P401" s="10">
        <v>156</v>
      </c>
      <c r="Q401" s="38">
        <f t="shared" si="161"/>
        <v>2436</v>
      </c>
      <c r="R401" s="38">
        <f t="shared" si="157"/>
        <v>85738</v>
      </c>
      <c r="T401" t="s">
        <v>2174</v>
      </c>
      <c r="V401" s="579" t="s">
        <v>500</v>
      </c>
      <c r="W401">
        <f>+$W$395*W399</f>
        <v>780</v>
      </c>
      <c r="X401">
        <f>+$W$395*X399</f>
        <v>780</v>
      </c>
      <c r="Y401">
        <f>+$W$395*Y399</f>
        <v>3536</v>
      </c>
      <c r="Z401">
        <f>+SUM(W401:Y401)</f>
        <v>5096</v>
      </c>
      <c r="AA401">
        <f>+$W$395*AA399</f>
        <v>4940</v>
      </c>
      <c r="AB401">
        <f>+$W$395*AB399</f>
        <v>6240</v>
      </c>
      <c r="AC401">
        <f>+$W$395*AC399</f>
        <v>7020</v>
      </c>
      <c r="AD401">
        <f>+SUM(AA401:AC401)</f>
        <v>18200</v>
      </c>
      <c r="AE401">
        <f>+$W$395*AE399</f>
        <v>13260</v>
      </c>
      <c r="AF401">
        <f>+$W$395*AF399</f>
        <v>9880</v>
      </c>
      <c r="AG401">
        <f>+$W$395*AG399</f>
        <v>2080</v>
      </c>
      <c r="AH401">
        <f>+SUM(AE401:AG401)</f>
        <v>25220</v>
      </c>
      <c r="AI401">
        <f>+$W$395*AI399</f>
        <v>780</v>
      </c>
      <c r="AJ401">
        <f>+$W$395*AJ399</f>
        <v>520</v>
      </c>
      <c r="AK401">
        <f>+$W$395*AK399</f>
        <v>555.88</v>
      </c>
      <c r="AL401">
        <f>+SUM(AI401:AK401)</f>
        <v>1855.88</v>
      </c>
      <c r="AM401" s="727">
        <f>+Z401+AD401+AH401+AL401</f>
        <v>50371.88</v>
      </c>
    </row>
    <row r="402" spans="1:39" ht="15.75" customHeight="1" x14ac:dyDescent="0.3">
      <c r="A402" s="410" t="s">
        <v>2728</v>
      </c>
      <c r="B402" s="10"/>
      <c r="C402" s="10"/>
      <c r="D402" s="10"/>
      <c r="E402" s="38">
        <f t="shared" ref="E402:E405" si="164">SUM(B402:D402)</f>
        <v>0</v>
      </c>
      <c r="F402" s="10"/>
      <c r="G402" s="10"/>
      <c r="H402" s="10"/>
      <c r="I402" s="38">
        <f t="shared" si="159"/>
        <v>0</v>
      </c>
      <c r="J402" s="10"/>
      <c r="K402" s="10"/>
      <c r="L402" s="10"/>
      <c r="M402" s="38">
        <f t="shared" si="160"/>
        <v>0</v>
      </c>
      <c r="N402" s="10"/>
      <c r="O402" s="10"/>
      <c r="P402" s="10"/>
      <c r="Q402" s="38">
        <f t="shared" si="161"/>
        <v>0</v>
      </c>
      <c r="R402" s="38">
        <f t="shared" si="157"/>
        <v>0</v>
      </c>
      <c r="T402" t="s">
        <v>2777</v>
      </c>
      <c r="V402" s="579" t="s">
        <v>505</v>
      </c>
      <c r="W402">
        <f>+$W$396*W399</f>
        <v>450</v>
      </c>
      <c r="X402">
        <f>+$W$396*X399</f>
        <v>450</v>
      </c>
      <c r="Y402">
        <f>+$W$396*Y399</f>
        <v>2040</v>
      </c>
      <c r="Z402">
        <f>+SUM(W402:Y402)</f>
        <v>2940</v>
      </c>
      <c r="AA402">
        <f>+$W$396*AA399</f>
        <v>2850</v>
      </c>
      <c r="AB402">
        <f>+$W$396*AB399</f>
        <v>3600</v>
      </c>
      <c r="AC402">
        <f>+$W$396*AC399</f>
        <v>4050</v>
      </c>
      <c r="AD402">
        <f>+SUM(AA402:AC402)</f>
        <v>10500</v>
      </c>
      <c r="AE402">
        <f>+$W$396*AE399</f>
        <v>7650</v>
      </c>
      <c r="AF402">
        <f>+$W$396*AF399</f>
        <v>5700</v>
      </c>
      <c r="AG402">
        <f>+$W$396*AG399</f>
        <v>1200</v>
      </c>
      <c r="AH402">
        <f>+SUM(AE402:AG402)</f>
        <v>14550</v>
      </c>
      <c r="AI402">
        <f>+$W$396*AI399</f>
        <v>450</v>
      </c>
      <c r="AJ402">
        <f>+$W$396*AJ399</f>
        <v>300</v>
      </c>
      <c r="AK402">
        <f>+$W$396*AK399</f>
        <v>320.7</v>
      </c>
      <c r="AL402">
        <f>+$W$396*AL399</f>
        <v>1070.7</v>
      </c>
      <c r="AM402" s="727">
        <f>+Z402+AD402+AH402+AL402</f>
        <v>29060.7</v>
      </c>
    </row>
    <row r="403" spans="1:39" ht="15.75" customHeight="1" thickBot="1" x14ac:dyDescent="0.35">
      <c r="A403" s="410" t="s">
        <v>2814</v>
      </c>
      <c r="B403" s="10"/>
      <c r="C403" s="10"/>
      <c r="D403" s="10"/>
      <c r="E403" s="38">
        <f t="shared" ref="E403" si="165">SUM(B403:D403)</f>
        <v>0</v>
      </c>
      <c r="F403" s="10"/>
      <c r="G403" s="10"/>
      <c r="H403" s="10"/>
      <c r="I403" s="38">
        <f t="shared" ref="I403" si="166">SUM(F403:H403)</f>
        <v>0</v>
      </c>
      <c r="J403" s="10"/>
      <c r="K403" s="10"/>
      <c r="L403" s="10"/>
      <c r="M403" s="38">
        <f t="shared" ref="M403" si="167">SUM(J403:L403)</f>
        <v>0</v>
      </c>
      <c r="N403" s="10"/>
      <c r="O403" s="10"/>
      <c r="P403" s="10"/>
      <c r="Q403" s="38">
        <f t="shared" si="161"/>
        <v>0</v>
      </c>
      <c r="R403" s="38">
        <f t="shared" si="157"/>
        <v>0</v>
      </c>
      <c r="T403" t="s">
        <v>2175</v>
      </c>
      <c r="V403" s="580"/>
      <c r="W403" s="581"/>
      <c r="X403" s="581"/>
      <c r="Y403" s="581"/>
      <c r="Z403" s="581"/>
      <c r="AA403" s="581"/>
      <c r="AB403" s="581"/>
      <c r="AC403" s="581"/>
      <c r="AD403" s="581"/>
      <c r="AE403" s="581"/>
      <c r="AF403" s="581"/>
      <c r="AG403" s="581"/>
      <c r="AH403" s="581"/>
      <c r="AI403" s="581"/>
      <c r="AJ403" s="581"/>
      <c r="AK403" s="581"/>
      <c r="AL403" s="581"/>
      <c r="AM403" s="565"/>
    </row>
    <row r="404" spans="1:39" s="707" customFormat="1" ht="15.75" customHeight="1" x14ac:dyDescent="0.3">
      <c r="A404" s="728" t="s">
        <v>3206</v>
      </c>
      <c r="B404" s="542"/>
      <c r="C404" s="542"/>
      <c r="D404" s="542"/>
      <c r="E404" s="543">
        <f t="shared" si="164"/>
        <v>0</v>
      </c>
      <c r="F404" s="542"/>
      <c r="G404" s="542"/>
      <c r="H404" s="542"/>
      <c r="I404" s="543">
        <f t="shared" si="159"/>
        <v>0</v>
      </c>
      <c r="J404" s="542"/>
      <c r="K404" s="542"/>
      <c r="L404" s="542"/>
      <c r="M404" s="543">
        <f t="shared" si="160"/>
        <v>0</v>
      </c>
      <c r="N404" s="542"/>
      <c r="O404" s="542"/>
      <c r="P404" s="542"/>
      <c r="Q404" s="543">
        <f t="shared" ref="Q404" si="168">SUM(N404:P404)</f>
        <v>0</v>
      </c>
      <c r="R404" s="543">
        <f t="shared" si="157"/>
        <v>0</v>
      </c>
    </row>
    <row r="405" spans="1:39" ht="15.75" customHeight="1" x14ac:dyDescent="0.3">
      <c r="A405" s="410" t="s">
        <v>2779</v>
      </c>
      <c r="B405" s="10"/>
      <c r="C405" s="10"/>
      <c r="D405" s="10"/>
      <c r="E405" s="38">
        <f t="shared" si="164"/>
        <v>0</v>
      </c>
      <c r="F405" s="10"/>
      <c r="G405" s="10"/>
      <c r="H405" s="10"/>
      <c r="I405" s="38">
        <f t="shared" si="159"/>
        <v>0</v>
      </c>
      <c r="J405" s="10"/>
      <c r="K405" s="10"/>
      <c r="L405" s="10"/>
      <c r="M405" s="38">
        <f t="shared" si="160"/>
        <v>0</v>
      </c>
      <c r="N405" s="10"/>
      <c r="O405" s="10"/>
      <c r="P405" s="10"/>
      <c r="Q405" s="38">
        <f t="shared" si="161"/>
        <v>0</v>
      </c>
      <c r="R405" s="38">
        <f t="shared" si="157"/>
        <v>0</v>
      </c>
      <c r="T405" t="s">
        <v>2178</v>
      </c>
    </row>
    <row r="406" spans="1:39" ht="15.75" customHeight="1" x14ac:dyDescent="0.3">
      <c r="A406" s="311" t="s">
        <v>1513</v>
      </c>
      <c r="B406" s="10"/>
      <c r="C406" s="10">
        <v>1000</v>
      </c>
      <c r="D406" s="10">
        <v>1000</v>
      </c>
      <c r="E406" s="38">
        <f t="shared" ref="E406" si="169">SUM(B406:D406)</f>
        <v>2000</v>
      </c>
      <c r="F406" s="10">
        <v>250</v>
      </c>
      <c r="G406" s="10">
        <v>250</v>
      </c>
      <c r="H406" s="10">
        <v>200</v>
      </c>
      <c r="I406" s="38">
        <f t="shared" ref="I406" si="170">SUM(F406:H406)</f>
        <v>700</v>
      </c>
      <c r="J406" s="10">
        <v>2500</v>
      </c>
      <c r="K406" s="10">
        <v>2500</v>
      </c>
      <c r="L406" s="10">
        <v>5000</v>
      </c>
      <c r="M406" s="38">
        <f t="shared" ref="M406" si="171">SUM(J406:L406)</f>
        <v>10000</v>
      </c>
      <c r="N406" s="10">
        <v>5000</v>
      </c>
      <c r="O406" s="10">
        <v>5000</v>
      </c>
      <c r="P406" s="10">
        <v>2537</v>
      </c>
      <c r="Q406" s="38">
        <f t="shared" si="161"/>
        <v>12537</v>
      </c>
      <c r="R406" s="38">
        <f t="shared" si="157"/>
        <v>25237</v>
      </c>
    </row>
    <row r="407" spans="1:39" ht="15.75" customHeight="1" thickBot="1" x14ac:dyDescent="0.35">
      <c r="A407" s="234" t="s">
        <v>2165</v>
      </c>
      <c r="B407" s="10"/>
      <c r="C407" s="10"/>
      <c r="D407" s="10"/>
      <c r="E407" s="38" t="s">
        <v>852</v>
      </c>
      <c r="F407" s="10"/>
      <c r="G407" s="10"/>
      <c r="H407" s="10"/>
      <c r="I407" s="38" t="s">
        <v>852</v>
      </c>
      <c r="J407" s="10"/>
      <c r="K407" s="10"/>
      <c r="L407" s="10"/>
      <c r="M407" s="38" t="s">
        <v>852</v>
      </c>
      <c r="N407" s="10"/>
      <c r="O407" s="10"/>
      <c r="P407" s="10"/>
      <c r="Q407" s="38" t="s">
        <v>852</v>
      </c>
      <c r="R407" s="38" t="s">
        <v>852</v>
      </c>
    </row>
    <row r="408" spans="1:39" ht="16.5" customHeight="1" thickBot="1" x14ac:dyDescent="0.35">
      <c r="A408" s="43" t="s">
        <v>1219</v>
      </c>
      <c r="B408" s="45">
        <f>SUM(B395:B407)</f>
        <v>1562</v>
      </c>
      <c r="C408" s="46">
        <f>SUM(C395:C407)</f>
        <v>7164</v>
      </c>
      <c r="D408" s="46">
        <f>SUM(D395:D407)</f>
        <v>11560</v>
      </c>
      <c r="E408" s="37">
        <f>SUM(B408:D408)</f>
        <v>20286</v>
      </c>
      <c r="F408" s="46">
        <f>SUM(F395:F407)</f>
        <v>24050</v>
      </c>
      <c r="G408" s="46">
        <f>SUM(G395:G407)</f>
        <v>27730</v>
      </c>
      <c r="H408" s="46">
        <f>SUM(H395:H407)</f>
        <v>31819</v>
      </c>
      <c r="I408" s="37">
        <f>SUM(F408:H408)</f>
        <v>83599</v>
      </c>
      <c r="J408" s="46">
        <f>SUM(J395:J407)</f>
        <v>14335</v>
      </c>
      <c r="K408" s="46">
        <f>SUM(K395:K407)</f>
        <v>11247</v>
      </c>
      <c r="L408" s="46">
        <f>SUM(L395:L407)</f>
        <v>9507</v>
      </c>
      <c r="M408" s="37">
        <f>SUM(J408:L408)</f>
        <v>35089</v>
      </c>
      <c r="N408" s="46">
        <f>SUM(N395:N407)</f>
        <v>6650</v>
      </c>
      <c r="O408" s="46">
        <f>SUM(O395:O407)</f>
        <v>5770</v>
      </c>
      <c r="P408" s="46">
        <f>SUM(P395:P407)</f>
        <v>2762</v>
      </c>
      <c r="Q408" s="37">
        <f>SUM(N408:P408)</f>
        <v>15182</v>
      </c>
      <c r="R408" s="37">
        <f>+E408+I408+M408+Q408</f>
        <v>154156</v>
      </c>
    </row>
    <row r="409" spans="1:39" ht="15.75" customHeight="1" x14ac:dyDescent="0.3">
      <c r="A409" s="234" t="s">
        <v>2166</v>
      </c>
      <c r="B409" s="10"/>
      <c r="C409" s="10"/>
      <c r="D409" s="10"/>
      <c r="E409" s="38" t="s">
        <v>852</v>
      </c>
      <c r="F409" s="10"/>
      <c r="G409" s="10"/>
      <c r="H409" s="10"/>
      <c r="I409" s="38" t="s">
        <v>852</v>
      </c>
      <c r="J409" s="10"/>
      <c r="K409" s="10"/>
      <c r="L409" s="10"/>
      <c r="M409" s="38" t="s">
        <v>852</v>
      </c>
      <c r="N409" s="10"/>
      <c r="O409" s="10"/>
      <c r="P409" s="10"/>
      <c r="Q409" s="38" t="s">
        <v>852</v>
      </c>
      <c r="R409" s="38" t="s">
        <v>852</v>
      </c>
    </row>
    <row r="410" spans="1:39" ht="15.75" customHeight="1" x14ac:dyDescent="0.3">
      <c r="A410" s="234" t="s">
        <v>1245</v>
      </c>
      <c r="B410" s="10"/>
      <c r="C410" s="10"/>
      <c r="D410" s="10"/>
      <c r="E410" s="38" t="s">
        <v>852</v>
      </c>
      <c r="F410" s="10"/>
      <c r="G410" s="10"/>
      <c r="H410" s="10"/>
      <c r="I410" s="38" t="s">
        <v>852</v>
      </c>
      <c r="J410" s="10"/>
      <c r="K410" s="10"/>
      <c r="L410" s="10"/>
      <c r="M410" s="38" t="s">
        <v>852</v>
      </c>
      <c r="N410" s="10"/>
      <c r="O410" s="10"/>
      <c r="P410" s="10"/>
      <c r="Q410" s="38" t="s">
        <v>852</v>
      </c>
      <c r="R410" s="38" t="s">
        <v>852</v>
      </c>
    </row>
    <row r="411" spans="1:39" ht="15.75" customHeight="1" x14ac:dyDescent="0.3">
      <c r="A411" s="311" t="s">
        <v>727</v>
      </c>
      <c r="B411" s="10">
        <v>2883</v>
      </c>
      <c r="C411" s="10">
        <v>3095</v>
      </c>
      <c r="D411" s="10">
        <v>8745</v>
      </c>
      <c r="E411" s="38">
        <f>SUM(B411:D411)</f>
        <v>14723</v>
      </c>
      <c r="F411" s="10">
        <v>9604</v>
      </c>
      <c r="G411" s="10">
        <v>12800</v>
      </c>
      <c r="H411" s="10">
        <v>12800</v>
      </c>
      <c r="I411" s="38">
        <f>SUM(F411:H411)</f>
        <v>35204</v>
      </c>
      <c r="J411" s="10">
        <v>10155</v>
      </c>
      <c r="K411" s="10">
        <v>5390</v>
      </c>
      <c r="L411" s="10">
        <v>5872</v>
      </c>
      <c r="M411" s="38">
        <f>SUM(J411:L411)</f>
        <v>21417</v>
      </c>
      <c r="N411" s="10">
        <v>4282</v>
      </c>
      <c r="O411" s="10">
        <v>2682</v>
      </c>
      <c r="P411" s="10">
        <v>2146</v>
      </c>
      <c r="Q411" s="38">
        <f>SUM(N411:P411)</f>
        <v>9110</v>
      </c>
      <c r="R411" s="38">
        <f>+E411+I411+M411+Q411</f>
        <v>80454</v>
      </c>
      <c r="T411" t="s">
        <v>2174</v>
      </c>
    </row>
    <row r="412" spans="1:39" ht="15.75" customHeight="1" x14ac:dyDescent="0.3">
      <c r="A412" s="410" t="s">
        <v>2618</v>
      </c>
      <c r="B412" s="542"/>
      <c r="C412" s="10">
        <v>4000</v>
      </c>
      <c r="D412" s="10">
        <v>4000</v>
      </c>
      <c r="E412" s="38">
        <f>SUM(B412:D412)</f>
        <v>8000</v>
      </c>
      <c r="F412" s="10">
        <v>3500</v>
      </c>
      <c r="G412" s="10">
        <v>3794</v>
      </c>
      <c r="H412" s="10">
        <v>8000</v>
      </c>
      <c r="I412" s="38">
        <f>SUM(F412:H412)</f>
        <v>15294</v>
      </c>
      <c r="J412" s="10">
        <v>7500</v>
      </c>
      <c r="K412" s="10">
        <v>8000</v>
      </c>
      <c r="L412" s="10">
        <v>7500</v>
      </c>
      <c r="M412" s="38">
        <f>SUM(J412:L412)</f>
        <v>23000</v>
      </c>
      <c r="N412" s="10">
        <v>7000</v>
      </c>
      <c r="O412" s="10"/>
      <c r="P412" s="10">
        <v>2245</v>
      </c>
      <c r="Q412" s="38">
        <f>SUM(N412:P412)</f>
        <v>9245</v>
      </c>
      <c r="R412" s="38">
        <f>+E412+I412+M412+Q412</f>
        <v>55539</v>
      </c>
    </row>
    <row r="413" spans="1:39" ht="15.75" customHeight="1" x14ac:dyDescent="0.3">
      <c r="A413" s="410" t="s">
        <v>3416</v>
      </c>
      <c r="B413" s="10">
        <f>5000+900</f>
        <v>5900</v>
      </c>
      <c r="C413" s="10">
        <v>910</v>
      </c>
      <c r="D413" s="10">
        <v>910</v>
      </c>
      <c r="E413" s="38">
        <f>SUM(B413:D413)</f>
        <v>7720</v>
      </c>
      <c r="F413" s="10">
        <v>910</v>
      </c>
      <c r="G413" s="10">
        <v>910</v>
      </c>
      <c r="H413" s="10">
        <v>910</v>
      </c>
      <c r="I413" s="38">
        <f>SUM(F413:H413)</f>
        <v>2730</v>
      </c>
      <c r="J413" s="10">
        <v>910</v>
      </c>
      <c r="K413" s="10">
        <v>910</v>
      </c>
      <c r="L413" s="10">
        <v>920</v>
      </c>
      <c r="M413" s="38">
        <f>SUM(J413:L413)</f>
        <v>2740</v>
      </c>
      <c r="N413" s="10">
        <v>910</v>
      </c>
      <c r="O413" s="10"/>
      <c r="P413" s="10">
        <v>900</v>
      </c>
      <c r="Q413" s="38">
        <f>SUM(N413:P413)</f>
        <v>1810</v>
      </c>
      <c r="R413" s="38">
        <f>+E413+I413+M413+Q413</f>
        <v>15000</v>
      </c>
    </row>
    <row r="414" spans="1:39" ht="15.75" customHeight="1" x14ac:dyDescent="0.3">
      <c r="A414" s="410" t="s">
        <v>3370</v>
      </c>
      <c r="B414" s="10"/>
      <c r="C414" s="10"/>
      <c r="D414" s="10">
        <v>2000</v>
      </c>
      <c r="E414" s="38">
        <f>SUM(B414:D414)</f>
        <v>2000</v>
      </c>
      <c r="F414" s="10">
        <v>2000</v>
      </c>
      <c r="G414" s="10">
        <v>2000</v>
      </c>
      <c r="H414" s="10">
        <v>2000</v>
      </c>
      <c r="I414" s="38">
        <f>SUM(F414:H414)</f>
        <v>6000</v>
      </c>
      <c r="J414" s="10">
        <v>2000</v>
      </c>
      <c r="K414" s="10">
        <v>2000</v>
      </c>
      <c r="L414" s="10">
        <v>2000</v>
      </c>
      <c r="M414" s="38">
        <f>SUM(J414:L414)</f>
        <v>6000</v>
      </c>
      <c r="N414" s="10">
        <v>2000</v>
      </c>
      <c r="O414" s="10"/>
      <c r="P414" s="10"/>
      <c r="Q414" s="38">
        <f>SUM(N414:P414)</f>
        <v>2000</v>
      </c>
      <c r="R414" s="38">
        <f>+E414+I414+M414+Q414</f>
        <v>16000</v>
      </c>
      <c r="T414" t="s">
        <v>2176</v>
      </c>
    </row>
    <row r="415" spans="1:39" ht="15.75" customHeight="1" x14ac:dyDescent="0.3">
      <c r="A415" s="234" t="s">
        <v>1711</v>
      </c>
      <c r="B415" s="10"/>
      <c r="C415" s="10"/>
      <c r="D415" s="10"/>
      <c r="E415" s="38" t="s">
        <v>852</v>
      </c>
      <c r="F415" s="10"/>
      <c r="G415" s="10"/>
      <c r="H415" s="10"/>
      <c r="I415" s="38" t="s">
        <v>852</v>
      </c>
      <c r="J415" s="10"/>
      <c r="K415" s="10"/>
      <c r="L415" s="10"/>
      <c r="M415" s="38" t="s">
        <v>852</v>
      </c>
      <c r="N415" s="10"/>
      <c r="O415" s="10"/>
      <c r="P415" s="10"/>
      <c r="Q415" s="38" t="s">
        <v>852</v>
      </c>
      <c r="R415" s="38" t="s">
        <v>852</v>
      </c>
    </row>
    <row r="416" spans="1:39" ht="15.75" customHeight="1" x14ac:dyDescent="0.3">
      <c r="A416" s="410" t="s">
        <v>3151</v>
      </c>
      <c r="B416" s="10"/>
      <c r="C416" s="10"/>
      <c r="D416" s="10"/>
      <c r="E416" s="38">
        <f>SUM(B416:D416)</f>
        <v>0</v>
      </c>
      <c r="F416" s="10"/>
      <c r="G416" s="10"/>
      <c r="H416" s="10">
        <v>1470</v>
      </c>
      <c r="I416" s="38">
        <f t="shared" ref="I416:I417" si="172">SUM(F416:H416)</f>
        <v>1470</v>
      </c>
      <c r="J416" s="10"/>
      <c r="K416" s="10"/>
      <c r="L416" s="10"/>
      <c r="M416" s="38">
        <f>SUM(J416:L416)</f>
        <v>0</v>
      </c>
      <c r="N416" s="10"/>
      <c r="O416" s="10"/>
      <c r="P416" s="10"/>
      <c r="Q416" s="38">
        <f>SUM(N416:P416)</f>
        <v>0</v>
      </c>
      <c r="R416" s="38">
        <f t="shared" ref="R416:R479" si="173">+E416+I416+M416+Q416</f>
        <v>1470</v>
      </c>
    </row>
    <row r="417" spans="1:20" ht="15.75" customHeight="1" x14ac:dyDescent="0.3">
      <c r="A417" s="410" t="s">
        <v>3329</v>
      </c>
      <c r="B417" s="10"/>
      <c r="C417" s="10"/>
      <c r="D417" s="10"/>
      <c r="E417" s="38">
        <f>SUM(B417:D417)</f>
        <v>0</v>
      </c>
      <c r="F417" s="10"/>
      <c r="G417" s="10">
        <v>1062</v>
      </c>
      <c r="H417" s="10"/>
      <c r="I417" s="38">
        <f t="shared" si="172"/>
        <v>1062</v>
      </c>
      <c r="J417" s="10"/>
      <c r="K417" s="10"/>
      <c r="L417" s="10"/>
      <c r="M417" s="38">
        <f>SUM(J417:L417)</f>
        <v>0</v>
      </c>
      <c r="N417" s="10"/>
      <c r="O417" s="10"/>
      <c r="P417" s="10"/>
      <c r="Q417" s="38">
        <f>SUM(N417:P417)</f>
        <v>0</v>
      </c>
      <c r="R417" s="38">
        <f t="shared" si="173"/>
        <v>1062</v>
      </c>
    </row>
    <row r="418" spans="1:20" ht="15.75" customHeight="1" x14ac:dyDescent="0.3">
      <c r="A418" s="410" t="s">
        <v>3384</v>
      </c>
      <c r="B418" s="10"/>
      <c r="C418" s="10"/>
      <c r="D418" s="10"/>
      <c r="E418" s="38">
        <f>SUM(B418:D418)</f>
        <v>0</v>
      </c>
      <c r="F418" s="10"/>
      <c r="G418" s="10"/>
      <c r="H418" s="10"/>
      <c r="I418" s="38">
        <f>SUM(F418:H418)</f>
        <v>0</v>
      </c>
      <c r="J418" s="10"/>
      <c r="K418" s="10"/>
      <c r="L418" s="10"/>
      <c r="M418" s="38">
        <f>SUM(J418:L418)</f>
        <v>0</v>
      </c>
      <c r="N418" s="10"/>
      <c r="O418" s="10"/>
      <c r="P418" s="10"/>
      <c r="Q418" s="38">
        <f>SUM(N418:P418)</f>
        <v>0</v>
      </c>
      <c r="R418" s="38">
        <f t="shared" si="173"/>
        <v>0</v>
      </c>
    </row>
    <row r="419" spans="1:20" ht="15.75" customHeight="1" x14ac:dyDescent="0.3">
      <c r="A419" s="410" t="s">
        <v>3148</v>
      </c>
      <c r="B419" s="10"/>
      <c r="C419" s="10"/>
      <c r="D419" s="10"/>
      <c r="E419" s="38">
        <f t="shared" ref="E419:E479" si="174">SUM(B419:D419)</f>
        <v>0</v>
      </c>
      <c r="F419" s="10"/>
      <c r="G419" s="10"/>
      <c r="H419" s="10"/>
      <c r="I419" s="38">
        <f t="shared" ref="I419:I479" si="175">SUM(F419:H419)</f>
        <v>0</v>
      </c>
      <c r="J419" s="10"/>
      <c r="K419" s="10"/>
      <c r="L419" s="10"/>
      <c r="M419" s="38">
        <f t="shared" ref="M419:M479" si="176">SUM(J419:L419)</f>
        <v>0</v>
      </c>
      <c r="N419" s="10"/>
      <c r="O419" s="10"/>
      <c r="P419" s="10"/>
      <c r="Q419" s="38">
        <f t="shared" ref="Q419:Q480" si="177">SUM(N419:P419)</f>
        <v>0</v>
      </c>
      <c r="R419" s="38">
        <f t="shared" si="173"/>
        <v>0</v>
      </c>
    </row>
    <row r="420" spans="1:20" ht="15.75" customHeight="1" x14ac:dyDescent="0.3">
      <c r="A420" s="410" t="s">
        <v>3048</v>
      </c>
      <c r="B420" s="10"/>
      <c r="C420" s="10"/>
      <c r="D420" s="10"/>
      <c r="E420" s="38">
        <f t="shared" si="174"/>
        <v>0</v>
      </c>
      <c r="F420" s="10"/>
      <c r="G420" s="10"/>
      <c r="H420" s="10"/>
      <c r="I420" s="38">
        <f t="shared" si="175"/>
        <v>0</v>
      </c>
      <c r="J420" s="10"/>
      <c r="K420" s="10"/>
      <c r="L420" s="10"/>
      <c r="M420" s="38">
        <f t="shared" si="176"/>
        <v>0</v>
      </c>
      <c r="N420" s="10"/>
      <c r="O420" s="10"/>
      <c r="P420" s="10"/>
      <c r="Q420" s="38">
        <f t="shared" si="177"/>
        <v>0</v>
      </c>
      <c r="R420" s="38">
        <f t="shared" si="173"/>
        <v>0</v>
      </c>
      <c r="T420" t="s">
        <v>1358</v>
      </c>
    </row>
    <row r="421" spans="1:20" ht="15.75" customHeight="1" x14ac:dyDescent="0.3">
      <c r="A421" s="410" t="s">
        <v>3396</v>
      </c>
      <c r="B421" s="10"/>
      <c r="C421" s="10"/>
      <c r="D421" s="10"/>
      <c r="E421" s="38">
        <f t="shared" si="174"/>
        <v>0</v>
      </c>
      <c r="F421" s="10"/>
      <c r="G421" s="10"/>
      <c r="H421" s="10"/>
      <c r="I421" s="38">
        <f t="shared" si="175"/>
        <v>0</v>
      </c>
      <c r="J421" s="10"/>
      <c r="K421" s="10">
        <v>1521</v>
      </c>
      <c r="L421" s="10">
        <v>929</v>
      </c>
      <c r="M421" s="38">
        <f t="shared" si="176"/>
        <v>2450</v>
      </c>
      <c r="N421" s="10"/>
      <c r="O421" s="10"/>
      <c r="P421" s="10"/>
      <c r="Q421" s="38">
        <f t="shared" si="177"/>
        <v>0</v>
      </c>
      <c r="R421" s="38">
        <f t="shared" si="173"/>
        <v>2450</v>
      </c>
    </row>
    <row r="422" spans="1:20" ht="15.75" customHeight="1" x14ac:dyDescent="0.3">
      <c r="A422" s="410" t="s">
        <v>2781</v>
      </c>
      <c r="B422" s="10">
        <v>1522</v>
      </c>
      <c r="C422" s="10">
        <v>15</v>
      </c>
      <c r="D422" s="10"/>
      <c r="E422" s="38">
        <f t="shared" si="174"/>
        <v>1537</v>
      </c>
      <c r="F422" s="10"/>
      <c r="G422" s="10"/>
      <c r="H422" s="10"/>
      <c r="I422" s="38">
        <f t="shared" si="175"/>
        <v>0</v>
      </c>
      <c r="J422" s="10"/>
      <c r="K422" s="10"/>
      <c r="L422" s="10"/>
      <c r="M422" s="38">
        <f t="shared" si="176"/>
        <v>0</v>
      </c>
      <c r="N422" s="10"/>
      <c r="O422" s="10"/>
      <c r="P422" s="10"/>
      <c r="Q422" s="38">
        <f t="shared" si="177"/>
        <v>0</v>
      </c>
      <c r="R422" s="38">
        <f t="shared" si="173"/>
        <v>1537</v>
      </c>
      <c r="T422" t="s">
        <v>2780</v>
      </c>
    </row>
    <row r="423" spans="1:20" ht="15.75" customHeight="1" x14ac:dyDescent="0.3">
      <c r="A423" s="410" t="s">
        <v>2782</v>
      </c>
      <c r="B423" s="10"/>
      <c r="C423" s="10"/>
      <c r="D423" s="10"/>
      <c r="E423" s="38">
        <f t="shared" si="174"/>
        <v>0</v>
      </c>
      <c r="F423" s="10"/>
      <c r="G423" s="10"/>
      <c r="H423" s="10"/>
      <c r="I423" s="38">
        <f t="shared" si="175"/>
        <v>0</v>
      </c>
      <c r="J423" s="10"/>
      <c r="K423" s="10"/>
      <c r="L423" s="10"/>
      <c r="M423" s="38">
        <f t="shared" si="176"/>
        <v>0</v>
      </c>
      <c r="N423" s="10"/>
      <c r="O423" s="10"/>
      <c r="P423" s="10"/>
      <c r="Q423" s="38">
        <f t="shared" si="177"/>
        <v>0</v>
      </c>
      <c r="R423" s="38">
        <f t="shared" si="173"/>
        <v>0</v>
      </c>
      <c r="T423" t="s">
        <v>1358</v>
      </c>
    </row>
    <row r="424" spans="1:20" ht="15.75" customHeight="1" x14ac:dyDescent="0.3">
      <c r="A424" s="311" t="s">
        <v>1150</v>
      </c>
      <c r="B424" s="10"/>
      <c r="C424" s="10"/>
      <c r="D424" s="10"/>
      <c r="E424" s="38">
        <f t="shared" si="174"/>
        <v>0</v>
      </c>
      <c r="F424" s="10">
        <f>16+611</f>
        <v>627</v>
      </c>
      <c r="G424" s="10"/>
      <c r="H424" s="10"/>
      <c r="I424" s="38">
        <f t="shared" si="175"/>
        <v>627</v>
      </c>
      <c r="J424" s="10"/>
      <c r="K424" s="10"/>
      <c r="L424" s="10"/>
      <c r="M424" s="38">
        <f t="shared" si="176"/>
        <v>0</v>
      </c>
      <c r="N424" s="10"/>
      <c r="O424" s="10"/>
      <c r="P424" s="10"/>
      <c r="Q424" s="38">
        <f t="shared" si="177"/>
        <v>0</v>
      </c>
      <c r="R424" s="38">
        <f t="shared" si="173"/>
        <v>627</v>
      </c>
    </row>
    <row r="425" spans="1:20" ht="15.75" customHeight="1" x14ac:dyDescent="0.3">
      <c r="A425" s="410" t="s">
        <v>3207</v>
      </c>
      <c r="B425" s="10"/>
      <c r="C425" s="10"/>
      <c r="D425" s="10"/>
      <c r="E425" s="38">
        <f t="shared" si="174"/>
        <v>0</v>
      </c>
      <c r="F425" s="10"/>
      <c r="G425" s="10"/>
      <c r="H425" s="10"/>
      <c r="I425" s="38">
        <f t="shared" si="175"/>
        <v>0</v>
      </c>
      <c r="J425" s="10"/>
      <c r="K425" s="10"/>
      <c r="L425" s="10"/>
      <c r="M425" s="38">
        <f t="shared" si="176"/>
        <v>0</v>
      </c>
      <c r="N425" s="10"/>
      <c r="O425" s="10"/>
      <c r="P425" s="10"/>
      <c r="Q425" s="38">
        <f t="shared" si="177"/>
        <v>0</v>
      </c>
      <c r="R425" s="38">
        <f t="shared" si="173"/>
        <v>0</v>
      </c>
    </row>
    <row r="426" spans="1:20" ht="15.75" customHeight="1" x14ac:dyDescent="0.3">
      <c r="A426" s="410" t="s">
        <v>2598</v>
      </c>
      <c r="B426" s="10"/>
      <c r="C426" s="10"/>
      <c r="D426" s="10"/>
      <c r="E426" s="38">
        <f t="shared" si="174"/>
        <v>0</v>
      </c>
      <c r="F426" s="10"/>
      <c r="G426" s="10"/>
      <c r="H426" s="10"/>
      <c r="I426" s="38">
        <f t="shared" si="175"/>
        <v>0</v>
      </c>
      <c r="J426" s="10"/>
      <c r="K426" s="10"/>
      <c r="L426" s="10"/>
      <c r="M426" s="38">
        <f t="shared" si="176"/>
        <v>0</v>
      </c>
      <c r="N426" s="10"/>
      <c r="O426" s="10"/>
      <c r="P426" s="10"/>
      <c r="Q426" s="38">
        <f t="shared" si="177"/>
        <v>0</v>
      </c>
      <c r="R426" s="38">
        <f>+E426+I426+M426+Q426</f>
        <v>0</v>
      </c>
      <c r="T426" t="s">
        <v>2178</v>
      </c>
    </row>
    <row r="427" spans="1:20" ht="15.75" customHeight="1" x14ac:dyDescent="0.3">
      <c r="A427" s="410" t="s">
        <v>2978</v>
      </c>
      <c r="B427" s="10"/>
      <c r="C427" s="10"/>
      <c r="D427" s="10"/>
      <c r="E427" s="38">
        <f t="shared" si="174"/>
        <v>0</v>
      </c>
      <c r="F427" s="10"/>
      <c r="G427" s="10"/>
      <c r="H427" s="10"/>
      <c r="I427" s="38">
        <f t="shared" si="175"/>
        <v>0</v>
      </c>
      <c r="J427" s="10"/>
      <c r="K427" s="10"/>
      <c r="L427" s="10"/>
      <c r="M427" s="38">
        <f t="shared" si="176"/>
        <v>0</v>
      </c>
      <c r="N427" s="10"/>
      <c r="O427" s="10"/>
      <c r="P427" s="10"/>
      <c r="Q427" s="38">
        <f t="shared" si="177"/>
        <v>0</v>
      </c>
      <c r="R427" s="38">
        <f t="shared" si="173"/>
        <v>0</v>
      </c>
      <c r="T427" t="s">
        <v>2174</v>
      </c>
    </row>
    <row r="428" spans="1:20" ht="15.75" customHeight="1" x14ac:dyDescent="0.3">
      <c r="A428" s="410" t="s">
        <v>2729</v>
      </c>
      <c r="B428" s="10"/>
      <c r="C428" s="10">
        <v>1000</v>
      </c>
      <c r="D428" s="10">
        <v>2000</v>
      </c>
      <c r="E428" s="38">
        <f t="shared" si="174"/>
        <v>3000</v>
      </c>
      <c r="F428" s="10">
        <v>3000</v>
      </c>
      <c r="G428" s="10">
        <v>2000</v>
      </c>
      <c r="H428" s="10">
        <v>2000</v>
      </c>
      <c r="I428" s="38">
        <f t="shared" si="175"/>
        <v>7000</v>
      </c>
      <c r="J428" s="10">
        <v>1000</v>
      </c>
      <c r="K428" s="10">
        <v>1000</v>
      </c>
      <c r="L428" s="10">
        <v>1000</v>
      </c>
      <c r="M428" s="38">
        <f t="shared" si="176"/>
        <v>3000</v>
      </c>
      <c r="N428" s="10"/>
      <c r="O428" s="10"/>
      <c r="P428" s="10"/>
      <c r="Q428" s="38">
        <f t="shared" si="177"/>
        <v>0</v>
      </c>
      <c r="R428" s="38">
        <f t="shared" si="173"/>
        <v>13000</v>
      </c>
    </row>
    <row r="429" spans="1:20" ht="15.75" customHeight="1" x14ac:dyDescent="0.3">
      <c r="A429" s="311" t="s">
        <v>464</v>
      </c>
      <c r="B429" s="10"/>
      <c r="C429" s="10"/>
      <c r="D429" s="10"/>
      <c r="E429" s="38">
        <f t="shared" si="174"/>
        <v>0</v>
      </c>
      <c r="F429" s="10"/>
      <c r="G429" s="10">
        <v>5000</v>
      </c>
      <c r="H429" s="10">
        <v>5000</v>
      </c>
      <c r="I429" s="38">
        <f t="shared" si="175"/>
        <v>10000</v>
      </c>
      <c r="J429" s="10">
        <v>5000</v>
      </c>
      <c r="K429" s="10"/>
      <c r="L429" s="10"/>
      <c r="M429" s="38">
        <f t="shared" si="176"/>
        <v>5000</v>
      </c>
      <c r="N429" s="10"/>
      <c r="O429" s="10"/>
      <c r="P429" s="10"/>
      <c r="Q429" s="38">
        <f t="shared" si="177"/>
        <v>0</v>
      </c>
      <c r="R429" s="38">
        <f t="shared" si="173"/>
        <v>15000</v>
      </c>
      <c r="T429" t="s">
        <v>2174</v>
      </c>
    </row>
    <row r="430" spans="1:20" ht="15.75" customHeight="1" x14ac:dyDescent="0.3">
      <c r="A430" s="410" t="s">
        <v>1381</v>
      </c>
      <c r="B430" s="10"/>
      <c r="C430" s="10"/>
      <c r="D430" s="10"/>
      <c r="E430" s="38">
        <f t="shared" si="174"/>
        <v>0</v>
      </c>
      <c r="F430" s="10"/>
      <c r="G430" s="10"/>
      <c r="H430" s="10"/>
      <c r="I430" s="38">
        <f t="shared" si="175"/>
        <v>0</v>
      </c>
      <c r="J430" s="10">
        <v>9000</v>
      </c>
      <c r="K430" s="10">
        <v>6000</v>
      </c>
      <c r="L430" s="10"/>
      <c r="M430" s="38">
        <f t="shared" si="176"/>
        <v>15000</v>
      </c>
      <c r="N430" s="10"/>
      <c r="O430" s="10"/>
      <c r="P430" s="10"/>
      <c r="Q430" s="38">
        <f t="shared" si="177"/>
        <v>0</v>
      </c>
      <c r="R430" s="38">
        <f t="shared" si="173"/>
        <v>15000</v>
      </c>
    </row>
    <row r="431" spans="1:20" ht="15.75" customHeight="1" x14ac:dyDescent="0.3">
      <c r="A431" s="410" t="s">
        <v>3392</v>
      </c>
      <c r="B431" s="10"/>
      <c r="C431" s="10"/>
      <c r="D431" s="10"/>
      <c r="E431" s="38">
        <f t="shared" si="174"/>
        <v>0</v>
      </c>
      <c r="F431" s="10">
        <v>2000</v>
      </c>
      <c r="G431" s="10">
        <v>1500</v>
      </c>
      <c r="H431" s="10">
        <v>1500</v>
      </c>
      <c r="I431" s="38">
        <f t="shared" si="175"/>
        <v>5000</v>
      </c>
      <c r="J431" s="10"/>
      <c r="K431" s="10"/>
      <c r="L431" s="10"/>
      <c r="M431" s="38">
        <f t="shared" si="176"/>
        <v>0</v>
      </c>
      <c r="N431" s="10"/>
      <c r="O431" s="10"/>
      <c r="P431" s="10"/>
      <c r="Q431" s="38">
        <f t="shared" ref="Q431" si="178">SUM(N431:P431)</f>
        <v>0</v>
      </c>
      <c r="R431" s="38">
        <f t="shared" si="173"/>
        <v>5000</v>
      </c>
    </row>
    <row r="432" spans="1:20" ht="15.75" customHeight="1" x14ac:dyDescent="0.3">
      <c r="A432" s="410" t="s">
        <v>3367</v>
      </c>
      <c r="B432" s="10"/>
      <c r="C432" s="10"/>
      <c r="D432" s="10"/>
      <c r="E432" s="38">
        <f t="shared" si="174"/>
        <v>0</v>
      </c>
      <c r="F432" s="10"/>
      <c r="G432" s="10"/>
      <c r="H432" s="10"/>
      <c r="I432" s="38">
        <f t="shared" si="175"/>
        <v>0</v>
      </c>
      <c r="J432" s="10">
        <v>2000</v>
      </c>
      <c r="K432" s="10"/>
      <c r="L432" s="10"/>
      <c r="M432" s="38">
        <f t="shared" si="176"/>
        <v>2000</v>
      </c>
      <c r="N432" s="10"/>
      <c r="O432" s="10"/>
      <c r="P432" s="10"/>
      <c r="Q432" s="38">
        <f t="shared" ref="Q432:Q436" si="179">SUM(N432:P432)</f>
        <v>0</v>
      </c>
      <c r="R432" s="38">
        <f t="shared" si="173"/>
        <v>2000</v>
      </c>
    </row>
    <row r="433" spans="1:20" ht="15.75" customHeight="1" x14ac:dyDescent="0.3">
      <c r="A433" s="410" t="s">
        <v>3368</v>
      </c>
      <c r="B433" s="10"/>
      <c r="C433" s="10"/>
      <c r="D433" s="10"/>
      <c r="E433" s="38">
        <f t="shared" si="174"/>
        <v>0</v>
      </c>
      <c r="F433" s="10"/>
      <c r="G433" s="10"/>
      <c r="H433" s="10"/>
      <c r="I433" s="38">
        <f t="shared" si="175"/>
        <v>0</v>
      </c>
      <c r="J433" s="10"/>
      <c r="K433" s="10"/>
      <c r="L433" s="10"/>
      <c r="M433" s="38">
        <f t="shared" si="176"/>
        <v>0</v>
      </c>
      <c r="N433" s="10">
        <v>840</v>
      </c>
      <c r="O433" s="10">
        <v>350</v>
      </c>
      <c r="P433" s="10">
        <v>310</v>
      </c>
      <c r="Q433" s="38">
        <f t="shared" si="179"/>
        <v>1500</v>
      </c>
      <c r="R433" s="38">
        <f t="shared" si="173"/>
        <v>1500</v>
      </c>
    </row>
    <row r="434" spans="1:20" ht="15.75" customHeight="1" x14ac:dyDescent="0.3">
      <c r="A434" s="410" t="s">
        <v>3470</v>
      </c>
      <c r="B434" s="10">
        <v>175</v>
      </c>
      <c r="C434" s="10">
        <v>500</v>
      </c>
      <c r="D434" s="10">
        <v>500</v>
      </c>
      <c r="E434" s="38">
        <f t="shared" si="174"/>
        <v>1175</v>
      </c>
      <c r="F434" s="10">
        <v>1000</v>
      </c>
      <c r="G434" s="10"/>
      <c r="H434" s="10"/>
      <c r="I434" s="38">
        <f t="shared" si="175"/>
        <v>1000</v>
      </c>
      <c r="J434" s="10"/>
      <c r="K434" s="10"/>
      <c r="L434" s="10"/>
      <c r="M434" s="38">
        <f t="shared" si="176"/>
        <v>0</v>
      </c>
      <c r="N434" s="10">
        <v>10</v>
      </c>
      <c r="O434" s="10"/>
      <c r="P434" s="10"/>
      <c r="Q434" s="38">
        <f t="shared" si="179"/>
        <v>10</v>
      </c>
      <c r="R434" s="38">
        <f t="shared" si="173"/>
        <v>2185</v>
      </c>
    </row>
    <row r="435" spans="1:20" ht="15.75" customHeight="1" x14ac:dyDescent="0.3">
      <c r="A435" s="410" t="s">
        <v>3052</v>
      </c>
      <c r="B435" s="10"/>
      <c r="C435" s="10">
        <v>594</v>
      </c>
      <c r="D435" s="10">
        <v>4000</v>
      </c>
      <c r="E435" s="38">
        <f t="shared" si="174"/>
        <v>4594</v>
      </c>
      <c r="F435" s="10">
        <v>6000</v>
      </c>
      <c r="G435" s="10">
        <f>1406+3000</f>
        <v>4406</v>
      </c>
      <c r="H435" s="10">
        <v>500</v>
      </c>
      <c r="I435" s="38">
        <f t="shared" si="175"/>
        <v>10906</v>
      </c>
      <c r="J435" s="10"/>
      <c r="K435" s="10"/>
      <c r="L435" s="10"/>
      <c r="M435" s="38">
        <f t="shared" si="176"/>
        <v>0</v>
      </c>
      <c r="N435" s="10"/>
      <c r="O435" s="10"/>
      <c r="P435" s="10"/>
      <c r="Q435" s="38">
        <f t="shared" si="179"/>
        <v>0</v>
      </c>
      <c r="R435" s="38">
        <f t="shared" si="173"/>
        <v>15500</v>
      </c>
    </row>
    <row r="436" spans="1:20" ht="15.75" customHeight="1" x14ac:dyDescent="0.3">
      <c r="A436" s="410" t="s">
        <v>3153</v>
      </c>
      <c r="B436" s="10"/>
      <c r="C436" s="10"/>
      <c r="D436" s="10"/>
      <c r="E436" s="38">
        <f t="shared" si="174"/>
        <v>0</v>
      </c>
      <c r="F436" s="10"/>
      <c r="G436" s="10"/>
      <c r="H436" s="10">
        <v>222</v>
      </c>
      <c r="I436" s="38">
        <f t="shared" si="175"/>
        <v>222</v>
      </c>
      <c r="J436" s="10"/>
      <c r="K436" s="10"/>
      <c r="L436" s="10"/>
      <c r="M436" s="38">
        <f t="shared" si="176"/>
        <v>0</v>
      </c>
      <c r="N436" s="10"/>
      <c r="O436" s="10"/>
      <c r="P436" s="10"/>
      <c r="Q436" s="38">
        <f t="shared" si="179"/>
        <v>0</v>
      </c>
      <c r="R436" s="38">
        <f t="shared" si="173"/>
        <v>222</v>
      </c>
    </row>
    <row r="437" spans="1:20" ht="15.75" customHeight="1" x14ac:dyDescent="0.3">
      <c r="A437" s="410" t="s">
        <v>3036</v>
      </c>
      <c r="B437" s="10">
        <f>1+2+130</f>
        <v>133</v>
      </c>
      <c r="C437" s="10">
        <f>1+2+120</f>
        <v>123</v>
      </c>
      <c r="D437" s="10">
        <f>1+2+130</f>
        <v>133</v>
      </c>
      <c r="E437" s="38">
        <f t="shared" si="174"/>
        <v>389</v>
      </c>
      <c r="F437" s="10">
        <f>1+2+125</f>
        <v>128</v>
      </c>
      <c r="G437" s="10">
        <f>1+2+130</f>
        <v>133</v>
      </c>
      <c r="H437" s="10">
        <f>1+2+125</f>
        <v>128</v>
      </c>
      <c r="I437" s="38">
        <f t="shared" si="175"/>
        <v>389</v>
      </c>
      <c r="J437" s="10"/>
      <c r="K437" s="10"/>
      <c r="L437" s="10"/>
      <c r="M437" s="38">
        <f t="shared" si="176"/>
        <v>0</v>
      </c>
      <c r="N437" s="10"/>
      <c r="O437" s="10"/>
      <c r="P437" s="10"/>
      <c r="Q437" s="38">
        <f t="shared" si="177"/>
        <v>0</v>
      </c>
      <c r="R437" s="38">
        <f t="shared" si="173"/>
        <v>778</v>
      </c>
    </row>
    <row r="438" spans="1:20" ht="15.75" customHeight="1" x14ac:dyDescent="0.3">
      <c r="A438" s="410" t="s">
        <v>2953</v>
      </c>
      <c r="B438" s="10">
        <v>1500</v>
      </c>
      <c r="C438" s="10">
        <v>1500</v>
      </c>
      <c r="D438" s="10">
        <v>1500</v>
      </c>
      <c r="E438" s="38">
        <f t="shared" si="174"/>
        <v>4500</v>
      </c>
      <c r="F438" s="10">
        <v>1500</v>
      </c>
      <c r="G438" s="10">
        <v>1500</v>
      </c>
      <c r="H438" s="10">
        <v>1500</v>
      </c>
      <c r="I438" s="38">
        <f t="shared" si="175"/>
        <v>4500</v>
      </c>
      <c r="J438" s="10">
        <v>1500</v>
      </c>
      <c r="K438" s="10">
        <v>1500</v>
      </c>
      <c r="L438" s="10">
        <v>1500</v>
      </c>
      <c r="M438" s="38">
        <f t="shared" si="176"/>
        <v>4500</v>
      </c>
      <c r="N438" s="10">
        <v>1500</v>
      </c>
      <c r="O438" s="10"/>
      <c r="P438" s="10"/>
      <c r="Q438" s="38">
        <f t="shared" si="177"/>
        <v>1500</v>
      </c>
      <c r="R438" s="38">
        <f t="shared" si="173"/>
        <v>15000</v>
      </c>
      <c r="T438" t="s">
        <v>1358</v>
      </c>
    </row>
    <row r="439" spans="1:20" ht="15.75" customHeight="1" x14ac:dyDescent="0.3">
      <c r="A439" s="410" t="s">
        <v>3031</v>
      </c>
      <c r="B439" s="10">
        <v>24</v>
      </c>
      <c r="C439" s="10">
        <v>26</v>
      </c>
      <c r="D439" s="10">
        <v>24</v>
      </c>
      <c r="E439" s="38">
        <f t="shared" si="174"/>
        <v>74</v>
      </c>
      <c r="F439" s="10">
        <v>29</v>
      </c>
      <c r="G439" s="10">
        <v>24</v>
      </c>
      <c r="H439" s="10">
        <v>31</v>
      </c>
      <c r="I439" s="38">
        <f t="shared" si="175"/>
        <v>84</v>
      </c>
      <c r="J439" s="10">
        <v>52</v>
      </c>
      <c r="K439" s="10">
        <v>47</v>
      </c>
      <c r="L439" s="10">
        <v>32</v>
      </c>
      <c r="M439" s="38">
        <f t="shared" si="176"/>
        <v>131</v>
      </c>
      <c r="N439" s="10">
        <v>23</v>
      </c>
      <c r="O439" s="10">
        <v>16</v>
      </c>
      <c r="P439" s="10">
        <v>22</v>
      </c>
      <c r="Q439" s="38">
        <f t="shared" si="177"/>
        <v>61</v>
      </c>
      <c r="R439" s="38">
        <f t="shared" si="173"/>
        <v>350</v>
      </c>
      <c r="T439" t="s">
        <v>131</v>
      </c>
    </row>
    <row r="440" spans="1:20" ht="15.75" customHeight="1" x14ac:dyDescent="0.3">
      <c r="A440" s="410" t="s">
        <v>2959</v>
      </c>
      <c r="B440" s="10">
        <v>1522</v>
      </c>
      <c r="C440" s="10">
        <v>1203</v>
      </c>
      <c r="D440" s="10">
        <v>1617</v>
      </c>
      <c r="E440" s="38">
        <f t="shared" si="174"/>
        <v>4342</v>
      </c>
      <c r="F440" s="10">
        <v>1565</v>
      </c>
      <c r="G440" s="10">
        <v>1617</v>
      </c>
      <c r="H440" s="10">
        <v>1565</v>
      </c>
      <c r="I440" s="38">
        <f t="shared" si="175"/>
        <v>4747</v>
      </c>
      <c r="J440" s="10">
        <v>1808</v>
      </c>
      <c r="K440" s="10">
        <v>287</v>
      </c>
      <c r="L440" s="10"/>
      <c r="M440" s="38">
        <f t="shared" si="176"/>
        <v>2095</v>
      </c>
      <c r="N440" s="10"/>
      <c r="O440" s="10"/>
      <c r="P440" s="10"/>
      <c r="Q440" s="38">
        <f t="shared" si="177"/>
        <v>0</v>
      </c>
      <c r="R440" s="38">
        <f t="shared" si="173"/>
        <v>11184</v>
      </c>
      <c r="T440" t="s">
        <v>2780</v>
      </c>
    </row>
    <row r="441" spans="1:20" ht="15.75" customHeight="1" x14ac:dyDescent="0.3">
      <c r="A441" s="311" t="s">
        <v>2362</v>
      </c>
      <c r="B441" s="10">
        <v>1668</v>
      </c>
      <c r="C441" s="10">
        <v>1668</v>
      </c>
      <c r="D441" s="10">
        <v>1669</v>
      </c>
      <c r="E441" s="38">
        <f t="shared" si="174"/>
        <v>5005</v>
      </c>
      <c r="F441" s="10">
        <v>1669</v>
      </c>
      <c r="G441" s="10"/>
      <c r="H441" s="10"/>
      <c r="I441" s="38">
        <f t="shared" si="175"/>
        <v>1669</v>
      </c>
      <c r="J441" s="10"/>
      <c r="K441" s="10"/>
      <c r="L441" s="10"/>
      <c r="M441" s="38">
        <f t="shared" si="176"/>
        <v>0</v>
      </c>
      <c r="N441" s="10"/>
      <c r="O441" s="10"/>
      <c r="P441" s="10"/>
      <c r="Q441" s="38">
        <f t="shared" si="177"/>
        <v>0</v>
      </c>
      <c r="R441" s="38">
        <f>+E441+I441+M441+Q441</f>
        <v>6674</v>
      </c>
    </row>
    <row r="442" spans="1:20" ht="15.75" customHeight="1" x14ac:dyDescent="0.3">
      <c r="A442" s="311" t="s">
        <v>2263</v>
      </c>
      <c r="B442" s="10"/>
      <c r="C442" s="10"/>
      <c r="D442" s="10"/>
      <c r="E442" s="38">
        <f t="shared" si="174"/>
        <v>0</v>
      </c>
      <c r="F442" s="10"/>
      <c r="G442" s="10"/>
      <c r="H442" s="10"/>
      <c r="I442" s="38">
        <f t="shared" si="175"/>
        <v>0</v>
      </c>
      <c r="J442" s="10"/>
      <c r="K442" s="10"/>
      <c r="L442" s="10"/>
      <c r="M442" s="38">
        <f t="shared" si="176"/>
        <v>0</v>
      </c>
      <c r="N442" s="10"/>
      <c r="O442" s="10"/>
      <c r="P442" s="10"/>
      <c r="Q442" s="38">
        <f t="shared" si="177"/>
        <v>0</v>
      </c>
      <c r="R442" s="38">
        <f>+E442+I442+M442+Q442</f>
        <v>0</v>
      </c>
    </row>
    <row r="443" spans="1:20" ht="15.75" customHeight="1" x14ac:dyDescent="0.3">
      <c r="A443" s="410" t="s">
        <v>3159</v>
      </c>
      <c r="B443" s="10"/>
      <c r="C443" s="10"/>
      <c r="D443" s="10"/>
      <c r="E443" s="38">
        <f t="shared" si="174"/>
        <v>0</v>
      </c>
      <c r="F443" s="10"/>
      <c r="G443" s="10"/>
      <c r="H443" s="10"/>
      <c r="I443" s="38">
        <f t="shared" si="175"/>
        <v>0</v>
      </c>
      <c r="J443" s="10"/>
      <c r="K443" s="10"/>
      <c r="L443" s="10"/>
      <c r="M443" s="38">
        <f t="shared" si="176"/>
        <v>0</v>
      </c>
      <c r="N443" s="10"/>
      <c r="O443" s="10"/>
      <c r="P443" s="10"/>
      <c r="Q443" s="38">
        <f t="shared" si="177"/>
        <v>0</v>
      </c>
      <c r="R443" s="38">
        <f>+E443+I443+M443+Q443</f>
        <v>0</v>
      </c>
    </row>
    <row r="444" spans="1:20" ht="15.75" customHeight="1" x14ac:dyDescent="0.3">
      <c r="A444" s="410" t="s">
        <v>3160</v>
      </c>
      <c r="B444" s="10"/>
      <c r="C444" s="10"/>
      <c r="D444" s="10"/>
      <c r="E444" s="38">
        <f t="shared" si="174"/>
        <v>0</v>
      </c>
      <c r="F444" s="10"/>
      <c r="G444" s="10"/>
      <c r="H444" s="10"/>
      <c r="I444" s="38">
        <f t="shared" si="175"/>
        <v>0</v>
      </c>
      <c r="J444" s="10"/>
      <c r="K444" s="10"/>
      <c r="L444" s="10"/>
      <c r="M444" s="38">
        <f t="shared" si="176"/>
        <v>0</v>
      </c>
      <c r="N444" s="10"/>
      <c r="O444" s="10"/>
      <c r="P444" s="10"/>
      <c r="Q444" s="38">
        <f t="shared" si="177"/>
        <v>0</v>
      </c>
      <c r="R444" s="38">
        <f>+E444+I444+M444+Q444</f>
        <v>0</v>
      </c>
      <c r="T444" t="s">
        <v>1358</v>
      </c>
    </row>
    <row r="445" spans="1:20" ht="15.75" customHeight="1" x14ac:dyDescent="0.3">
      <c r="A445" s="410" t="s">
        <v>3139</v>
      </c>
      <c r="B445" s="10"/>
      <c r="C445" s="10"/>
      <c r="D445" s="10"/>
      <c r="E445" s="38">
        <f t="shared" ref="E445" si="180">SUM(B445:D445)</f>
        <v>0</v>
      </c>
      <c r="F445" s="10"/>
      <c r="G445" s="10"/>
      <c r="H445" s="10"/>
      <c r="I445" s="38">
        <f t="shared" ref="I445" si="181">SUM(F445:H445)</f>
        <v>0</v>
      </c>
      <c r="J445" s="10"/>
      <c r="K445" s="10"/>
      <c r="L445" s="10"/>
      <c r="M445" s="38">
        <f t="shared" ref="M445" si="182">SUM(J445:L445)</f>
        <v>0</v>
      </c>
      <c r="N445" s="10"/>
      <c r="O445" s="10"/>
      <c r="P445" s="10"/>
      <c r="Q445" s="38">
        <f t="shared" ref="Q445" si="183">SUM(N445:P445)</f>
        <v>0</v>
      </c>
      <c r="R445" s="38">
        <f t="shared" ref="R445:R446" si="184">+E445+I445+M445+Q445</f>
        <v>0</v>
      </c>
      <c r="T445" t="s">
        <v>2178</v>
      </c>
    </row>
    <row r="446" spans="1:20" ht="16.5" customHeight="1" x14ac:dyDescent="0.3">
      <c r="A446" s="410" t="s">
        <v>3389</v>
      </c>
      <c r="B446" s="10"/>
      <c r="C446" s="10">
        <v>300</v>
      </c>
      <c r="D446" s="10">
        <v>800</v>
      </c>
      <c r="E446" s="38">
        <f t="shared" si="174"/>
        <v>1100</v>
      </c>
      <c r="F446" s="10">
        <v>700</v>
      </c>
      <c r="G446" s="10">
        <v>800</v>
      </c>
      <c r="H446" s="10">
        <v>800</v>
      </c>
      <c r="I446" s="38">
        <f t="shared" si="175"/>
        <v>2300</v>
      </c>
      <c r="J446" s="10">
        <v>800</v>
      </c>
      <c r="K446" s="10"/>
      <c r="L446" s="10"/>
      <c r="M446" s="38">
        <f t="shared" si="176"/>
        <v>800</v>
      </c>
      <c r="N446" s="10"/>
      <c r="O446" s="10"/>
      <c r="P446" s="10"/>
      <c r="Q446" s="38">
        <f t="shared" ref="Q446" si="185">SUM(N446:P446)</f>
        <v>0</v>
      </c>
      <c r="R446" s="38">
        <f t="shared" si="184"/>
        <v>4200</v>
      </c>
      <c r="T446" t="s">
        <v>2777</v>
      </c>
    </row>
    <row r="447" spans="1:20" ht="15.75" customHeight="1" x14ac:dyDescent="0.3">
      <c r="A447" s="410" t="s">
        <v>3140</v>
      </c>
      <c r="B447" s="10"/>
      <c r="C447" s="10"/>
      <c r="D447" s="10"/>
      <c r="E447" s="38">
        <f t="shared" si="174"/>
        <v>0</v>
      </c>
      <c r="F447" s="10"/>
      <c r="G447" s="10"/>
      <c r="H447" s="10"/>
      <c r="I447" s="38">
        <f t="shared" si="175"/>
        <v>0</v>
      </c>
      <c r="J447" s="10"/>
      <c r="K447" s="10"/>
      <c r="L447" s="10"/>
      <c r="M447" s="38">
        <f t="shared" si="176"/>
        <v>0</v>
      </c>
      <c r="N447" s="10"/>
      <c r="O447" s="10"/>
      <c r="P447" s="10"/>
      <c r="Q447" s="38">
        <f t="shared" ref="Q447" si="186">SUM(N447:P447)</f>
        <v>0</v>
      </c>
      <c r="R447" s="38">
        <f t="shared" si="173"/>
        <v>0</v>
      </c>
      <c r="T447" t="s">
        <v>2175</v>
      </c>
    </row>
    <row r="448" spans="1:20" ht="15.75" customHeight="1" x14ac:dyDescent="0.3">
      <c r="A448" s="410" t="s">
        <v>3388</v>
      </c>
      <c r="B448" s="10"/>
      <c r="C448" s="10"/>
      <c r="D448" s="10"/>
      <c r="E448" s="38">
        <f t="shared" si="174"/>
        <v>0</v>
      </c>
      <c r="F448" s="10"/>
      <c r="G448" s="10"/>
      <c r="H448" s="10">
        <v>2000</v>
      </c>
      <c r="I448" s="38">
        <f t="shared" si="175"/>
        <v>2000</v>
      </c>
      <c r="J448" s="10">
        <v>1300</v>
      </c>
      <c r="K448" s="10"/>
      <c r="L448" s="10"/>
      <c r="M448" s="38">
        <f t="shared" si="176"/>
        <v>1300</v>
      </c>
      <c r="N448" s="10"/>
      <c r="O448" s="10"/>
      <c r="P448" s="10"/>
      <c r="Q448" s="38">
        <f t="shared" si="177"/>
        <v>0</v>
      </c>
      <c r="R448" s="38">
        <f t="shared" si="173"/>
        <v>3300</v>
      </c>
      <c r="T448" t="s">
        <v>2175</v>
      </c>
    </row>
    <row r="449" spans="1:20" ht="15.75" customHeight="1" x14ac:dyDescent="0.3">
      <c r="A449" s="410" t="s">
        <v>3386</v>
      </c>
      <c r="B449" s="10"/>
      <c r="C449" s="10"/>
      <c r="D449" s="10"/>
      <c r="E449" s="38">
        <f t="shared" si="174"/>
        <v>0</v>
      </c>
      <c r="F449" s="10"/>
      <c r="G449" s="10"/>
      <c r="H449" s="10"/>
      <c r="I449" s="38">
        <f t="shared" si="175"/>
        <v>0</v>
      </c>
      <c r="J449" s="10"/>
      <c r="K449" s="10"/>
      <c r="L449" s="10"/>
      <c r="M449" s="38">
        <f t="shared" si="176"/>
        <v>0</v>
      </c>
      <c r="N449" s="10"/>
      <c r="O449" s="10"/>
      <c r="P449" s="10">
        <v>125</v>
      </c>
      <c r="Q449" s="38">
        <f t="shared" si="177"/>
        <v>125</v>
      </c>
      <c r="R449" s="38">
        <f t="shared" si="173"/>
        <v>125</v>
      </c>
      <c r="T449" t="s">
        <v>2780</v>
      </c>
    </row>
    <row r="450" spans="1:20" ht="15.75" customHeight="1" x14ac:dyDescent="0.3">
      <c r="A450" s="410" t="s">
        <v>3472</v>
      </c>
      <c r="B450" s="10"/>
      <c r="C450" s="10"/>
      <c r="D450" s="10"/>
      <c r="E450" s="38">
        <f t="shared" si="174"/>
        <v>0</v>
      </c>
      <c r="F450" s="10"/>
      <c r="G450" s="10"/>
      <c r="H450" s="10"/>
      <c r="I450" s="38">
        <f t="shared" si="175"/>
        <v>0</v>
      </c>
      <c r="J450" s="10"/>
      <c r="K450" s="10"/>
      <c r="L450" s="10"/>
      <c r="M450" s="38">
        <f t="shared" si="176"/>
        <v>0</v>
      </c>
      <c r="N450" s="10"/>
      <c r="O450" s="10">
        <v>1243</v>
      </c>
      <c r="P450" s="10">
        <v>1050</v>
      </c>
      <c r="Q450" s="38">
        <f t="shared" si="177"/>
        <v>2293</v>
      </c>
      <c r="R450" s="38">
        <f t="shared" si="173"/>
        <v>2293</v>
      </c>
      <c r="T450" t="s">
        <v>2780</v>
      </c>
    </row>
    <row r="451" spans="1:20" ht="15.75" customHeight="1" x14ac:dyDescent="0.3">
      <c r="A451" s="410" t="s">
        <v>3390</v>
      </c>
      <c r="B451" s="10"/>
      <c r="C451" s="10"/>
      <c r="D451" s="10"/>
      <c r="E451" s="38">
        <f t="shared" si="174"/>
        <v>0</v>
      </c>
      <c r="F451" s="10"/>
      <c r="G451" s="10"/>
      <c r="H451" s="10"/>
      <c r="I451" s="38">
        <f t="shared" si="175"/>
        <v>0</v>
      </c>
      <c r="J451" s="10"/>
      <c r="K451" s="10"/>
      <c r="L451" s="10"/>
      <c r="M451" s="38">
        <f t="shared" si="176"/>
        <v>0</v>
      </c>
      <c r="N451" s="10"/>
      <c r="O451" s="10"/>
      <c r="P451" s="10">
        <v>1653</v>
      </c>
      <c r="Q451" s="38">
        <f t="shared" si="177"/>
        <v>1653</v>
      </c>
      <c r="R451" s="38">
        <f t="shared" si="173"/>
        <v>1653</v>
      </c>
      <c r="T451" t="s">
        <v>1358</v>
      </c>
    </row>
    <row r="452" spans="1:20" ht="15.75" customHeight="1" x14ac:dyDescent="0.3">
      <c r="A452" s="410" t="s">
        <v>3234</v>
      </c>
      <c r="B452" s="10"/>
      <c r="C452" s="10"/>
      <c r="D452" s="10"/>
      <c r="E452" s="38">
        <f t="shared" si="174"/>
        <v>0</v>
      </c>
      <c r="F452" s="10"/>
      <c r="G452" s="10"/>
      <c r="H452" s="10"/>
      <c r="I452" s="38">
        <f t="shared" si="175"/>
        <v>0</v>
      </c>
      <c r="J452" s="10"/>
      <c r="K452" s="10"/>
      <c r="L452" s="10"/>
      <c r="M452" s="38">
        <f t="shared" si="176"/>
        <v>0</v>
      </c>
      <c r="N452" s="10"/>
      <c r="O452" s="10"/>
      <c r="P452" s="10"/>
      <c r="Q452" s="38">
        <f t="shared" si="177"/>
        <v>0</v>
      </c>
      <c r="R452" s="38">
        <f t="shared" si="173"/>
        <v>0</v>
      </c>
    </row>
    <row r="453" spans="1:20" ht="15.75" customHeight="1" x14ac:dyDescent="0.3">
      <c r="A453" s="410" t="s">
        <v>3415</v>
      </c>
      <c r="B453" s="10"/>
      <c r="C453" s="10"/>
      <c r="D453" s="10"/>
      <c r="E453" s="38">
        <f t="shared" si="174"/>
        <v>0</v>
      </c>
      <c r="F453" s="10"/>
      <c r="G453" s="10"/>
      <c r="H453" s="10"/>
      <c r="I453" s="38">
        <f t="shared" si="175"/>
        <v>0</v>
      </c>
      <c r="J453" s="10"/>
      <c r="K453" s="10"/>
      <c r="L453" s="10"/>
      <c r="M453" s="38">
        <f t="shared" si="176"/>
        <v>0</v>
      </c>
      <c r="N453" s="10"/>
      <c r="O453" s="10"/>
      <c r="P453" s="10"/>
      <c r="Q453" s="38">
        <f t="shared" si="177"/>
        <v>0</v>
      </c>
      <c r="R453" s="38">
        <f t="shared" si="173"/>
        <v>0</v>
      </c>
    </row>
    <row r="454" spans="1:20" ht="15.75" customHeight="1" x14ac:dyDescent="0.3">
      <c r="A454" s="410" t="s">
        <v>3427</v>
      </c>
      <c r="B454" s="10"/>
      <c r="C454" s="10"/>
      <c r="D454" s="10"/>
      <c r="E454" s="38">
        <f t="shared" si="174"/>
        <v>0</v>
      </c>
      <c r="F454" s="10"/>
      <c r="G454" s="10"/>
      <c r="H454" s="10"/>
      <c r="I454" s="38">
        <f t="shared" si="175"/>
        <v>0</v>
      </c>
      <c r="J454" s="10"/>
      <c r="K454" s="10"/>
      <c r="L454" s="10"/>
      <c r="M454" s="38">
        <f t="shared" si="176"/>
        <v>0</v>
      </c>
      <c r="N454" s="10"/>
      <c r="O454" s="10"/>
      <c r="P454" s="10">
        <v>500</v>
      </c>
      <c r="Q454" s="38">
        <f t="shared" si="177"/>
        <v>500</v>
      </c>
      <c r="R454" s="38">
        <f t="shared" si="173"/>
        <v>500</v>
      </c>
    </row>
    <row r="455" spans="1:20" ht="15.75" customHeight="1" x14ac:dyDescent="0.3">
      <c r="A455" s="410" t="s">
        <v>3411</v>
      </c>
      <c r="B455" s="10"/>
      <c r="C455" s="10"/>
      <c r="D455" s="10"/>
      <c r="E455" s="38">
        <f t="shared" si="174"/>
        <v>0</v>
      </c>
      <c r="F455" s="10"/>
      <c r="G455" s="10"/>
      <c r="H455" s="10"/>
      <c r="I455" s="38">
        <f t="shared" si="175"/>
        <v>0</v>
      </c>
      <c r="J455" s="10"/>
      <c r="K455" s="10">
        <v>1000</v>
      </c>
      <c r="L455" s="10"/>
      <c r="M455" s="38">
        <f t="shared" si="176"/>
        <v>1000</v>
      </c>
      <c r="N455" s="10"/>
      <c r="O455" s="10"/>
      <c r="P455" s="10"/>
      <c r="Q455" s="38">
        <f t="shared" si="177"/>
        <v>0</v>
      </c>
      <c r="R455" s="38">
        <f t="shared" si="173"/>
        <v>1000</v>
      </c>
    </row>
    <row r="456" spans="1:20" ht="15.75" customHeight="1" x14ac:dyDescent="0.3">
      <c r="A456" s="410" t="s">
        <v>3412</v>
      </c>
      <c r="B456" s="10"/>
      <c r="C456" s="10"/>
      <c r="D456" s="10"/>
      <c r="E456" s="38">
        <f t="shared" si="174"/>
        <v>0</v>
      </c>
      <c r="F456" s="10"/>
      <c r="G456" s="10"/>
      <c r="H456" s="10"/>
      <c r="I456" s="38">
        <f t="shared" si="175"/>
        <v>0</v>
      </c>
      <c r="J456" s="10"/>
      <c r="K456" s="10">
        <v>2500</v>
      </c>
      <c r="L456" s="10">
        <v>500</v>
      </c>
      <c r="M456" s="38">
        <f t="shared" si="176"/>
        <v>3000</v>
      </c>
      <c r="N456" s="10"/>
      <c r="O456" s="10"/>
      <c r="P456" s="10"/>
      <c r="Q456" s="38">
        <f t="shared" si="177"/>
        <v>0</v>
      </c>
      <c r="R456" s="38">
        <f t="shared" si="173"/>
        <v>3000</v>
      </c>
    </row>
    <row r="457" spans="1:20" ht="15.75" customHeight="1" x14ac:dyDescent="0.3">
      <c r="A457" s="410" t="s">
        <v>3413</v>
      </c>
      <c r="B457" s="10"/>
      <c r="C457" s="10"/>
      <c r="D457" s="10"/>
      <c r="E457" s="38">
        <f t="shared" si="174"/>
        <v>0</v>
      </c>
      <c r="F457" s="10"/>
      <c r="G457" s="10"/>
      <c r="H457" s="10"/>
      <c r="I457" s="38">
        <f t="shared" si="175"/>
        <v>0</v>
      </c>
      <c r="J457" s="10"/>
      <c r="K457" s="10"/>
      <c r="L457" s="10"/>
      <c r="M457" s="38">
        <f t="shared" si="176"/>
        <v>0</v>
      </c>
      <c r="N457" s="10"/>
      <c r="O457" s="10"/>
      <c r="P457" s="10"/>
      <c r="Q457" s="38">
        <f t="shared" si="177"/>
        <v>0</v>
      </c>
      <c r="R457" s="38">
        <f t="shared" si="173"/>
        <v>0</v>
      </c>
    </row>
    <row r="458" spans="1:20" ht="15.75" customHeight="1" x14ac:dyDescent="0.3">
      <c r="A458" s="410" t="s">
        <v>3414</v>
      </c>
      <c r="B458" s="10"/>
      <c r="C458" s="10"/>
      <c r="D458" s="10"/>
      <c r="E458" s="38">
        <f t="shared" si="174"/>
        <v>0</v>
      </c>
      <c r="F458" s="10"/>
      <c r="G458" s="10"/>
      <c r="H458" s="10"/>
      <c r="I458" s="38">
        <f t="shared" si="175"/>
        <v>0</v>
      </c>
      <c r="J458" s="10"/>
      <c r="K458" s="10"/>
      <c r="L458" s="10"/>
      <c r="M458" s="38">
        <f t="shared" si="176"/>
        <v>0</v>
      </c>
      <c r="N458" s="10"/>
      <c r="O458" s="10">
        <v>500</v>
      </c>
      <c r="P458" s="10"/>
      <c r="Q458" s="38">
        <f t="shared" si="177"/>
        <v>500</v>
      </c>
      <c r="R458" s="38">
        <f t="shared" si="173"/>
        <v>500</v>
      </c>
    </row>
    <row r="459" spans="1:20" ht="15.75" customHeight="1" x14ac:dyDescent="0.3">
      <c r="A459" s="410" t="s">
        <v>3073</v>
      </c>
      <c r="B459" s="10"/>
      <c r="C459" s="10"/>
      <c r="D459" s="10"/>
      <c r="E459" s="38">
        <f t="shared" si="174"/>
        <v>0</v>
      </c>
      <c r="F459" s="10"/>
      <c r="G459" s="10"/>
      <c r="H459" s="10"/>
      <c r="I459" s="38">
        <f t="shared" si="175"/>
        <v>0</v>
      </c>
      <c r="J459" s="10"/>
      <c r="K459" s="10"/>
      <c r="L459" s="10"/>
      <c r="M459" s="38">
        <f t="shared" si="176"/>
        <v>0</v>
      </c>
      <c r="N459" s="10"/>
      <c r="O459" s="10"/>
      <c r="P459" s="10"/>
      <c r="Q459" s="38">
        <f>SUM(N459:P459)</f>
        <v>0</v>
      </c>
      <c r="R459" s="38">
        <f t="shared" si="173"/>
        <v>0</v>
      </c>
    </row>
    <row r="460" spans="1:20" ht="15.75" customHeight="1" x14ac:dyDescent="0.3">
      <c r="A460" s="410" t="s">
        <v>3061</v>
      </c>
      <c r="B460" s="10"/>
      <c r="C460" s="10"/>
      <c r="D460" s="10"/>
      <c r="E460" s="38">
        <f t="shared" si="174"/>
        <v>0</v>
      </c>
      <c r="F460" s="10"/>
      <c r="G460" s="10"/>
      <c r="H460" s="10"/>
      <c r="I460" s="38">
        <f t="shared" si="175"/>
        <v>0</v>
      </c>
      <c r="J460" s="10"/>
      <c r="K460" s="10"/>
      <c r="L460" s="10"/>
      <c r="M460" s="38">
        <f t="shared" si="176"/>
        <v>0</v>
      </c>
      <c r="N460" s="10"/>
      <c r="O460" s="10"/>
      <c r="P460" s="10"/>
      <c r="Q460" s="38">
        <f t="shared" si="177"/>
        <v>0</v>
      </c>
      <c r="R460" s="38">
        <f t="shared" si="173"/>
        <v>0</v>
      </c>
    </row>
    <row r="461" spans="1:20" ht="15.75" customHeight="1" x14ac:dyDescent="0.3">
      <c r="A461" s="410" t="s">
        <v>3395</v>
      </c>
      <c r="B461" s="10"/>
      <c r="C461" s="10"/>
      <c r="D461" s="10"/>
      <c r="E461" s="38">
        <f t="shared" si="174"/>
        <v>0</v>
      </c>
      <c r="F461" s="10"/>
      <c r="G461" s="10"/>
      <c r="H461" s="10"/>
      <c r="I461" s="38">
        <f t="shared" si="175"/>
        <v>0</v>
      </c>
      <c r="J461" s="10"/>
      <c r="K461" s="10"/>
      <c r="L461" s="10"/>
      <c r="M461" s="38">
        <f t="shared" si="176"/>
        <v>0</v>
      </c>
      <c r="N461" s="10"/>
      <c r="O461" s="10"/>
      <c r="P461" s="10"/>
      <c r="Q461" s="38">
        <f t="shared" si="177"/>
        <v>0</v>
      </c>
      <c r="R461" s="38">
        <f t="shared" si="173"/>
        <v>0</v>
      </c>
    </row>
    <row r="462" spans="1:20" ht="15.75" customHeight="1" x14ac:dyDescent="0.3">
      <c r="A462" s="410" t="s">
        <v>3391</v>
      </c>
      <c r="B462" s="10"/>
      <c r="C462" s="10"/>
      <c r="D462" s="10"/>
      <c r="E462" s="38">
        <f t="shared" si="174"/>
        <v>0</v>
      </c>
      <c r="F462" s="10"/>
      <c r="G462" s="10"/>
      <c r="H462" s="10"/>
      <c r="I462" s="38">
        <f t="shared" si="175"/>
        <v>0</v>
      </c>
      <c r="J462" s="10"/>
      <c r="K462" s="10"/>
      <c r="L462" s="10"/>
      <c r="M462" s="38">
        <f t="shared" si="176"/>
        <v>0</v>
      </c>
      <c r="N462" s="10"/>
      <c r="O462" s="10"/>
      <c r="P462" s="10"/>
      <c r="Q462" s="38">
        <f t="shared" si="177"/>
        <v>0</v>
      </c>
      <c r="R462" s="38">
        <f t="shared" si="173"/>
        <v>0</v>
      </c>
    </row>
    <row r="463" spans="1:20" ht="15.75" customHeight="1" x14ac:dyDescent="0.3">
      <c r="A463" s="410" t="s">
        <v>3229</v>
      </c>
      <c r="B463" s="10"/>
      <c r="C463" s="10"/>
      <c r="D463" s="10"/>
      <c r="E463" s="38">
        <f t="shared" si="174"/>
        <v>0</v>
      </c>
      <c r="F463" s="10"/>
      <c r="G463" s="10"/>
      <c r="H463" s="10"/>
      <c r="I463" s="38">
        <f t="shared" si="175"/>
        <v>0</v>
      </c>
      <c r="J463" s="10"/>
      <c r="K463" s="10"/>
      <c r="L463" s="10"/>
      <c r="M463" s="38">
        <f t="shared" si="176"/>
        <v>0</v>
      </c>
      <c r="N463" s="10"/>
      <c r="O463" s="10"/>
      <c r="P463" s="10"/>
      <c r="Q463" s="38">
        <f t="shared" si="177"/>
        <v>0</v>
      </c>
      <c r="R463" s="38">
        <f t="shared" si="173"/>
        <v>0</v>
      </c>
      <c r="T463" t="s">
        <v>2780</v>
      </c>
    </row>
    <row r="464" spans="1:20" ht="15.75" customHeight="1" x14ac:dyDescent="0.3">
      <c r="A464" s="410" t="s">
        <v>3042</v>
      </c>
      <c r="B464" s="10"/>
      <c r="C464" s="10"/>
      <c r="D464" s="10"/>
      <c r="E464" s="38">
        <f t="shared" si="174"/>
        <v>0</v>
      </c>
      <c r="F464" s="10"/>
      <c r="G464" s="10"/>
      <c r="H464" s="10"/>
      <c r="I464" s="38">
        <f t="shared" si="175"/>
        <v>0</v>
      </c>
      <c r="J464" s="10"/>
      <c r="K464" s="10"/>
      <c r="L464" s="10"/>
      <c r="M464" s="38">
        <f t="shared" si="176"/>
        <v>0</v>
      </c>
      <c r="N464" s="10"/>
      <c r="O464" s="10"/>
      <c r="P464" s="10"/>
      <c r="Q464" s="38">
        <f t="shared" si="177"/>
        <v>0</v>
      </c>
      <c r="R464" s="38">
        <f t="shared" si="173"/>
        <v>0</v>
      </c>
      <c r="T464" t="s">
        <v>2780</v>
      </c>
    </row>
    <row r="465" spans="1:20" ht="15.75" customHeight="1" x14ac:dyDescent="0.3">
      <c r="A465" s="410" t="s">
        <v>2941</v>
      </c>
      <c r="B465" s="10"/>
      <c r="C465" s="10"/>
      <c r="D465" s="10"/>
      <c r="E465" s="38">
        <f t="shared" si="174"/>
        <v>0</v>
      </c>
      <c r="F465" s="10"/>
      <c r="G465" s="10">
        <v>581</v>
      </c>
      <c r="H465" s="356">
        <v>2209</v>
      </c>
      <c r="I465" s="38">
        <f t="shared" si="175"/>
        <v>2790</v>
      </c>
      <c r="J465" s="10">
        <v>1298</v>
      </c>
      <c r="K465" s="10"/>
      <c r="L465" s="10"/>
      <c r="M465" s="38">
        <f t="shared" si="176"/>
        <v>1298</v>
      </c>
      <c r="N465" s="10"/>
      <c r="O465" s="10"/>
      <c r="P465" s="10"/>
      <c r="Q465" s="38">
        <f t="shared" si="177"/>
        <v>0</v>
      </c>
      <c r="R465" s="38">
        <f t="shared" si="173"/>
        <v>4088</v>
      </c>
      <c r="T465" t="s">
        <v>2780</v>
      </c>
    </row>
    <row r="466" spans="1:20" ht="15.75" customHeight="1" x14ac:dyDescent="0.3">
      <c r="A466" s="410" t="s">
        <v>2711</v>
      </c>
      <c r="B466" s="10"/>
      <c r="C466" s="10"/>
      <c r="D466" s="10"/>
      <c r="E466" s="38">
        <f t="shared" si="174"/>
        <v>0</v>
      </c>
      <c r="F466" s="10"/>
      <c r="G466" s="10"/>
      <c r="H466" s="10"/>
      <c r="I466" s="38">
        <f t="shared" si="175"/>
        <v>0</v>
      </c>
      <c r="J466" s="10"/>
      <c r="K466" s="10"/>
      <c r="L466" s="10"/>
      <c r="M466" s="38">
        <f t="shared" si="176"/>
        <v>0</v>
      </c>
      <c r="N466" s="10"/>
      <c r="O466" s="10"/>
      <c r="P466" s="10"/>
      <c r="Q466" s="38">
        <f t="shared" si="177"/>
        <v>0</v>
      </c>
      <c r="R466" s="38">
        <f t="shared" si="173"/>
        <v>0</v>
      </c>
      <c r="T466" t="s">
        <v>1358</v>
      </c>
    </row>
    <row r="467" spans="1:20" ht="15.75" customHeight="1" x14ac:dyDescent="0.3">
      <c r="A467" s="311" t="s">
        <v>1097</v>
      </c>
      <c r="B467" s="10"/>
      <c r="C467" s="10"/>
      <c r="D467" s="10"/>
      <c r="E467" s="38">
        <f t="shared" si="174"/>
        <v>0</v>
      </c>
      <c r="F467" s="10">
        <v>805</v>
      </c>
      <c r="G467" s="10">
        <v>694</v>
      </c>
      <c r="H467" s="10"/>
      <c r="I467" s="38">
        <f t="shared" si="175"/>
        <v>1499</v>
      </c>
      <c r="J467" s="10"/>
      <c r="K467" s="10"/>
      <c r="L467" s="10"/>
      <c r="M467" s="38">
        <f t="shared" si="176"/>
        <v>0</v>
      </c>
      <c r="N467" s="10"/>
      <c r="O467" s="10"/>
      <c r="P467" s="10"/>
      <c r="Q467" s="38">
        <f t="shared" si="177"/>
        <v>0</v>
      </c>
      <c r="R467" s="38">
        <f t="shared" si="173"/>
        <v>1499</v>
      </c>
    </row>
    <row r="468" spans="1:20" ht="15.75" customHeight="1" x14ac:dyDescent="0.3">
      <c r="A468" s="410" t="s">
        <v>3397</v>
      </c>
      <c r="B468" s="10"/>
      <c r="C468" s="10"/>
      <c r="D468" s="10"/>
      <c r="E468" s="38">
        <f t="shared" si="174"/>
        <v>0</v>
      </c>
      <c r="F468" s="10"/>
      <c r="G468" s="10"/>
      <c r="H468" s="10"/>
      <c r="I468" s="38">
        <f t="shared" si="175"/>
        <v>0</v>
      </c>
      <c r="J468" s="10"/>
      <c r="K468" s="10"/>
      <c r="L468" s="10"/>
      <c r="M468" s="38">
        <f t="shared" si="176"/>
        <v>0</v>
      </c>
      <c r="N468" s="10"/>
      <c r="O468" s="10"/>
      <c r="P468" s="10"/>
      <c r="Q468" s="38">
        <f t="shared" si="177"/>
        <v>0</v>
      </c>
      <c r="R468" s="38">
        <f t="shared" si="173"/>
        <v>0</v>
      </c>
      <c r="T468" t="s">
        <v>1358</v>
      </c>
    </row>
    <row r="469" spans="1:20" ht="15.75" customHeight="1" x14ac:dyDescent="0.3">
      <c r="A469" s="410" t="s">
        <v>3441</v>
      </c>
      <c r="B469" s="10"/>
      <c r="C469" s="10">
        <v>1000</v>
      </c>
      <c r="D469" s="10"/>
      <c r="E469" s="38">
        <f t="shared" si="174"/>
        <v>1000</v>
      </c>
      <c r="F469" s="10">
        <v>158</v>
      </c>
      <c r="G469" s="10"/>
      <c r="H469" s="10"/>
      <c r="I469" s="38">
        <f t="shared" si="175"/>
        <v>158</v>
      </c>
      <c r="J469" s="10"/>
      <c r="K469" s="10"/>
      <c r="L469" s="10"/>
      <c r="M469" s="38">
        <f t="shared" si="176"/>
        <v>0</v>
      </c>
      <c r="N469" s="10"/>
      <c r="O469" s="10"/>
      <c r="P469" s="10"/>
      <c r="Q469" s="38">
        <f t="shared" si="177"/>
        <v>0</v>
      </c>
      <c r="R469" s="38">
        <f t="shared" si="173"/>
        <v>1158</v>
      </c>
    </row>
    <row r="470" spans="1:20" ht="15.75" customHeight="1" x14ac:dyDescent="0.3">
      <c r="A470" s="410" t="s">
        <v>3296</v>
      </c>
      <c r="B470" s="10"/>
      <c r="C470" s="10"/>
      <c r="D470" s="10"/>
      <c r="E470" s="38">
        <f t="shared" si="174"/>
        <v>0</v>
      </c>
      <c r="F470" s="10"/>
      <c r="G470" s="10"/>
      <c r="H470" s="10"/>
      <c r="I470" s="38">
        <f t="shared" si="175"/>
        <v>0</v>
      </c>
      <c r="J470" s="10"/>
      <c r="K470" s="10"/>
      <c r="L470" s="10"/>
      <c r="M470" s="38">
        <f t="shared" si="176"/>
        <v>0</v>
      </c>
      <c r="N470" s="10"/>
      <c r="O470" s="10"/>
      <c r="P470" s="10"/>
      <c r="Q470" s="38">
        <f t="shared" si="177"/>
        <v>0</v>
      </c>
      <c r="R470" s="38">
        <f t="shared" si="173"/>
        <v>0</v>
      </c>
      <c r="T470" t="s">
        <v>2780</v>
      </c>
    </row>
    <row r="471" spans="1:20" ht="15.75" customHeight="1" x14ac:dyDescent="0.3">
      <c r="A471" s="410" t="s">
        <v>3297</v>
      </c>
      <c r="B471" s="10"/>
      <c r="C471" s="10"/>
      <c r="D471" s="10"/>
      <c r="E471" s="38">
        <f t="shared" si="174"/>
        <v>0</v>
      </c>
      <c r="F471" s="10"/>
      <c r="G471" s="10">
        <v>1000</v>
      </c>
      <c r="H471" s="10">
        <v>1200</v>
      </c>
      <c r="I471" s="38">
        <f t="shared" si="175"/>
        <v>2200</v>
      </c>
      <c r="J471" s="10">
        <v>522</v>
      </c>
      <c r="K471" s="10"/>
      <c r="L471" s="10"/>
      <c r="M471" s="38">
        <f t="shared" si="176"/>
        <v>522</v>
      </c>
      <c r="N471" s="10"/>
      <c r="O471" s="10"/>
      <c r="P471" s="10"/>
      <c r="Q471" s="38">
        <f t="shared" si="177"/>
        <v>0</v>
      </c>
      <c r="R471" s="38">
        <f>+E471+I471+M471+Q471</f>
        <v>2722</v>
      </c>
    </row>
    <row r="472" spans="1:20" ht="15.75" customHeight="1" x14ac:dyDescent="0.3">
      <c r="A472" s="410" t="s">
        <v>3298</v>
      </c>
      <c r="B472" s="10"/>
      <c r="C472" s="10"/>
      <c r="D472" s="10"/>
      <c r="E472" s="38">
        <f t="shared" si="174"/>
        <v>0</v>
      </c>
      <c r="F472" s="10">
        <v>842</v>
      </c>
      <c r="G472" s="10"/>
      <c r="H472" s="10"/>
      <c r="I472" s="38">
        <f t="shared" si="175"/>
        <v>842</v>
      </c>
      <c r="J472" s="10"/>
      <c r="K472" s="10"/>
      <c r="L472" s="10"/>
      <c r="M472" s="38">
        <f t="shared" si="176"/>
        <v>0</v>
      </c>
      <c r="N472" s="10"/>
      <c r="O472" s="10"/>
      <c r="P472" s="10"/>
      <c r="Q472" s="38">
        <f t="shared" si="177"/>
        <v>0</v>
      </c>
      <c r="R472" s="38">
        <f>+E472+I472+M472+Q472</f>
        <v>842</v>
      </c>
      <c r="T472" t="s">
        <v>1358</v>
      </c>
    </row>
    <row r="473" spans="1:20" ht="15.75" customHeight="1" x14ac:dyDescent="0.3">
      <c r="A473" s="410" t="s">
        <v>3299</v>
      </c>
      <c r="B473" s="10"/>
      <c r="C473" s="10">
        <v>1360</v>
      </c>
      <c r="D473" s="10">
        <v>1712</v>
      </c>
      <c r="E473" s="38">
        <f t="shared" si="174"/>
        <v>3072</v>
      </c>
      <c r="F473" s="10">
        <v>1841</v>
      </c>
      <c r="G473" s="10">
        <v>1511</v>
      </c>
      <c r="H473" s="10"/>
      <c r="I473" s="38">
        <f t="shared" si="175"/>
        <v>3352</v>
      </c>
      <c r="J473" s="10"/>
      <c r="K473" s="10"/>
      <c r="L473" s="10"/>
      <c r="M473" s="38">
        <f t="shared" si="176"/>
        <v>0</v>
      </c>
      <c r="N473" s="10"/>
      <c r="O473" s="10"/>
      <c r="P473" s="10"/>
      <c r="Q473" s="38">
        <f t="shared" si="177"/>
        <v>0</v>
      </c>
      <c r="R473" s="38">
        <f t="shared" si="173"/>
        <v>6424</v>
      </c>
      <c r="T473" t="s">
        <v>2780</v>
      </c>
    </row>
    <row r="474" spans="1:20" ht="15.75" customHeight="1" x14ac:dyDescent="0.3">
      <c r="A474" s="410" t="s">
        <v>3300</v>
      </c>
      <c r="B474" s="10"/>
      <c r="C474" s="10"/>
      <c r="D474" s="10"/>
      <c r="E474" s="38">
        <f t="shared" si="174"/>
        <v>0</v>
      </c>
      <c r="F474" s="10"/>
      <c r="G474" s="10"/>
      <c r="H474" s="10"/>
      <c r="I474" s="38">
        <f t="shared" si="175"/>
        <v>0</v>
      </c>
      <c r="J474" s="10"/>
      <c r="K474" s="10"/>
      <c r="L474" s="10"/>
      <c r="M474" s="38">
        <f t="shared" si="176"/>
        <v>0</v>
      </c>
      <c r="N474" s="10"/>
      <c r="O474" s="10"/>
      <c r="P474" s="10"/>
      <c r="Q474" s="38">
        <f t="shared" si="177"/>
        <v>0</v>
      </c>
      <c r="R474" s="38">
        <f t="shared" si="173"/>
        <v>0</v>
      </c>
      <c r="T474" t="s">
        <v>1358</v>
      </c>
    </row>
    <row r="475" spans="1:20" ht="15.75" customHeight="1" x14ac:dyDescent="0.3">
      <c r="A475" s="410" t="s">
        <v>3406</v>
      </c>
      <c r="B475" s="10"/>
      <c r="C475" s="10"/>
      <c r="D475" s="10"/>
      <c r="E475" s="38">
        <f t="shared" ref="E475:E476" si="187">SUM(B475:D475)</f>
        <v>0</v>
      </c>
      <c r="F475" s="10">
        <v>45</v>
      </c>
      <c r="G475" s="10"/>
      <c r="H475" s="10"/>
      <c r="I475" s="38">
        <f t="shared" ref="I475:I477" si="188">SUM(F475:H475)</f>
        <v>45</v>
      </c>
      <c r="J475" s="10"/>
      <c r="K475" s="10"/>
      <c r="L475" s="10"/>
      <c r="M475" s="38">
        <f t="shared" ref="M475:M477" si="189">SUM(J475:L475)</f>
        <v>0</v>
      </c>
      <c r="N475" s="10"/>
      <c r="O475" s="10"/>
      <c r="P475" s="10"/>
      <c r="Q475" s="38">
        <f t="shared" ref="Q475:Q477" si="190">SUM(N475:P475)</f>
        <v>0</v>
      </c>
      <c r="R475" s="38">
        <f t="shared" si="173"/>
        <v>45</v>
      </c>
    </row>
    <row r="476" spans="1:20" ht="15.75" customHeight="1" x14ac:dyDescent="0.3">
      <c r="A476" s="410" t="s">
        <v>3407</v>
      </c>
      <c r="B476" s="10"/>
      <c r="C476" s="10"/>
      <c r="D476" s="10"/>
      <c r="E476" s="38">
        <f t="shared" si="187"/>
        <v>0</v>
      </c>
      <c r="F476" s="10">
        <v>66</v>
      </c>
      <c r="G476" s="10"/>
      <c r="H476" s="10"/>
      <c r="I476" s="38">
        <f t="shared" si="188"/>
        <v>66</v>
      </c>
      <c r="J476" s="10"/>
      <c r="K476" s="10"/>
      <c r="L476" s="10"/>
      <c r="M476" s="38">
        <f t="shared" si="189"/>
        <v>0</v>
      </c>
      <c r="N476" s="10"/>
      <c r="O476" s="10"/>
      <c r="P476" s="10"/>
      <c r="Q476" s="38">
        <f t="shared" si="190"/>
        <v>0</v>
      </c>
      <c r="R476" s="38">
        <f>+E476+I476+M476+Q476</f>
        <v>66</v>
      </c>
    </row>
    <row r="477" spans="1:20" ht="15.75" customHeight="1" x14ac:dyDescent="0.3">
      <c r="A477" s="410" t="s">
        <v>3408</v>
      </c>
      <c r="B477" s="10"/>
      <c r="C477" s="10"/>
      <c r="D477" s="10"/>
      <c r="E477" s="38">
        <f>SUM(B477:D477)</f>
        <v>0</v>
      </c>
      <c r="F477" s="10">
        <v>59</v>
      </c>
      <c r="G477" s="10"/>
      <c r="H477" s="10"/>
      <c r="I477" s="38">
        <f t="shared" si="188"/>
        <v>59</v>
      </c>
      <c r="J477" s="10"/>
      <c r="K477" s="10"/>
      <c r="L477" s="10"/>
      <c r="M477" s="38">
        <f t="shared" si="189"/>
        <v>0</v>
      </c>
      <c r="N477" s="10"/>
      <c r="O477" s="10"/>
      <c r="P477" s="10"/>
      <c r="Q477" s="38">
        <f t="shared" si="190"/>
        <v>0</v>
      </c>
      <c r="R477" s="38">
        <f t="shared" si="173"/>
        <v>59</v>
      </c>
    </row>
    <row r="478" spans="1:20" ht="15.75" customHeight="1" x14ac:dyDescent="0.3">
      <c r="A478" s="410" t="s">
        <v>3292</v>
      </c>
      <c r="B478" s="10"/>
      <c r="C478" s="10"/>
      <c r="D478" s="10"/>
      <c r="E478" s="38">
        <f t="shared" si="174"/>
        <v>0</v>
      </c>
      <c r="F478" s="10"/>
      <c r="G478" s="10">
        <v>2622</v>
      </c>
      <c r="H478" s="10"/>
      <c r="I478" s="38">
        <f t="shared" si="175"/>
        <v>2622</v>
      </c>
      <c r="J478" s="10"/>
      <c r="K478" s="10"/>
      <c r="L478" s="10"/>
      <c r="M478" s="38">
        <f t="shared" si="176"/>
        <v>0</v>
      </c>
      <c r="N478" s="10"/>
      <c r="O478" s="10"/>
      <c r="P478" s="10"/>
      <c r="Q478" s="38">
        <f t="shared" si="177"/>
        <v>0</v>
      </c>
      <c r="R478" s="38">
        <f t="shared" si="173"/>
        <v>2622</v>
      </c>
    </row>
    <row r="479" spans="1:20" ht="15.75" customHeight="1" thickBot="1" x14ac:dyDescent="0.35">
      <c r="A479" s="311" t="s">
        <v>2717</v>
      </c>
      <c r="B479" s="10">
        <v>2000</v>
      </c>
      <c r="C479" s="10">
        <v>2000</v>
      </c>
      <c r="D479" s="10">
        <v>2000</v>
      </c>
      <c r="E479" s="38">
        <f t="shared" si="174"/>
        <v>6000</v>
      </c>
      <c r="F479" s="10">
        <v>2000</v>
      </c>
      <c r="G479" s="10">
        <v>2000</v>
      </c>
      <c r="H479" s="10">
        <v>2000</v>
      </c>
      <c r="I479" s="38">
        <f t="shared" si="175"/>
        <v>6000</v>
      </c>
      <c r="J479" s="10">
        <v>2000</v>
      </c>
      <c r="K479" s="10">
        <v>3000</v>
      </c>
      <c r="L479" s="10">
        <v>2000</v>
      </c>
      <c r="M479" s="38">
        <f t="shared" si="176"/>
        <v>7000</v>
      </c>
      <c r="N479" s="10">
        <v>2000</v>
      </c>
      <c r="O479" s="10">
        <v>2000</v>
      </c>
      <c r="P479" s="10">
        <v>2000</v>
      </c>
      <c r="Q479" s="38">
        <f t="shared" si="177"/>
        <v>6000</v>
      </c>
      <c r="R479" s="38">
        <f t="shared" si="173"/>
        <v>25000</v>
      </c>
    </row>
    <row r="480" spans="1:20" ht="16.5" customHeight="1" thickBot="1" x14ac:dyDescent="0.35">
      <c r="A480" s="277" t="s">
        <v>1220</v>
      </c>
      <c r="B480" s="47">
        <f>SUM(B409:B479)</f>
        <v>17327</v>
      </c>
      <c r="C480" s="42">
        <f>SUM(C409:C479)</f>
        <v>19294</v>
      </c>
      <c r="D480" s="42">
        <f>SUM(D409:D479)</f>
        <v>31610</v>
      </c>
      <c r="E480" s="37">
        <f t="shared" ref="E480" si="191">SUM(B480:D480)</f>
        <v>68231</v>
      </c>
      <c r="F480" s="42">
        <f>SUM(F409:F479)</f>
        <v>40048</v>
      </c>
      <c r="G480" s="42">
        <f>SUM(G409:G479)</f>
        <v>45954</v>
      </c>
      <c r="H480" s="42">
        <f>SUM(H409:H479)</f>
        <v>45835</v>
      </c>
      <c r="I480" s="37">
        <f t="shared" ref="I480" si="192">SUM(F480:H480)</f>
        <v>131837</v>
      </c>
      <c r="J480" s="42">
        <f>SUM(J409:J479)</f>
        <v>46845</v>
      </c>
      <c r="K480" s="42">
        <f>SUM(K409:K479)</f>
        <v>33155</v>
      </c>
      <c r="L480" s="42">
        <f>SUM(L409:L479)</f>
        <v>22253</v>
      </c>
      <c r="M480" s="37">
        <f t="shared" ref="M480" si="193">SUM(J480:L480)</f>
        <v>102253</v>
      </c>
      <c r="N480" s="42">
        <f>SUM(N409:N479)</f>
        <v>18565</v>
      </c>
      <c r="O480" s="42">
        <f>SUM(O409:O479)</f>
        <v>6791</v>
      </c>
      <c r="P480" s="42">
        <f>SUM(P409:P479)</f>
        <v>10951</v>
      </c>
      <c r="Q480" s="37">
        <f t="shared" si="177"/>
        <v>36307</v>
      </c>
      <c r="R480" s="37">
        <f>+E480+I480+M480+Q480</f>
        <v>338628</v>
      </c>
      <c r="T480" s="230"/>
    </row>
    <row r="481" spans="1:21" ht="15.75" customHeight="1" x14ac:dyDescent="0.3">
      <c r="A481" s="234" t="s">
        <v>1712</v>
      </c>
      <c r="B481" s="10"/>
      <c r="C481" s="10"/>
      <c r="D481" s="10"/>
      <c r="E481" s="38" t="s">
        <v>852</v>
      </c>
      <c r="F481" s="10"/>
      <c r="G481" s="10"/>
      <c r="H481" s="10"/>
      <c r="I481" s="38" t="s">
        <v>852</v>
      </c>
      <c r="J481" s="10"/>
      <c r="K481" s="10"/>
      <c r="L481" s="10"/>
      <c r="M481" s="38" t="s">
        <v>852</v>
      </c>
      <c r="N481" s="10"/>
      <c r="O481" s="10"/>
      <c r="P481" s="10"/>
      <c r="Q481" s="38" t="s">
        <v>852</v>
      </c>
      <c r="R481" s="38" t="s">
        <v>852</v>
      </c>
    </row>
    <row r="482" spans="1:21" ht="15.75" customHeight="1" x14ac:dyDescent="0.3">
      <c r="A482" s="234" t="s">
        <v>1021</v>
      </c>
      <c r="B482" s="10"/>
      <c r="C482" s="10"/>
      <c r="D482" s="10"/>
      <c r="E482" s="38" t="s">
        <v>852</v>
      </c>
      <c r="F482" s="10"/>
      <c r="G482" s="10"/>
      <c r="H482" s="10"/>
      <c r="I482" s="38" t="s">
        <v>852</v>
      </c>
      <c r="J482" s="10"/>
      <c r="K482" s="10"/>
      <c r="L482" s="10"/>
      <c r="M482" s="38" t="s">
        <v>852</v>
      </c>
      <c r="N482" s="10"/>
      <c r="O482" s="10"/>
      <c r="P482" s="10"/>
      <c r="Q482" s="38" t="s">
        <v>852</v>
      </c>
      <c r="R482" s="38" t="s">
        <v>852</v>
      </c>
    </row>
    <row r="483" spans="1:21" ht="15.75" customHeight="1" x14ac:dyDescent="0.3">
      <c r="A483" s="410" t="s">
        <v>3260</v>
      </c>
      <c r="B483" s="10"/>
      <c r="C483" s="10"/>
      <c r="D483" s="10"/>
      <c r="E483" s="38">
        <f>SUM(B483:D483)</f>
        <v>0</v>
      </c>
      <c r="F483" s="10"/>
      <c r="G483" s="10"/>
      <c r="H483" s="10"/>
      <c r="I483" s="38">
        <f>SUM(F483:H483)</f>
        <v>0</v>
      </c>
      <c r="J483" s="10"/>
      <c r="K483" s="10"/>
      <c r="L483" s="10"/>
      <c r="M483" s="38">
        <f>SUM(J483:L483)</f>
        <v>0</v>
      </c>
      <c r="N483" s="10"/>
      <c r="O483" s="10"/>
      <c r="P483" s="10"/>
      <c r="Q483" s="38">
        <f>SUM(N483:P483)</f>
        <v>0</v>
      </c>
      <c r="R483" s="38">
        <f>+E483+I483+M483+Q483</f>
        <v>0</v>
      </c>
      <c r="U483" s="707"/>
    </row>
    <row r="484" spans="1:21" ht="15.75" customHeight="1" x14ac:dyDescent="0.3">
      <c r="A484" s="234" t="s">
        <v>557</v>
      </c>
      <c r="B484" s="10"/>
      <c r="C484" s="10"/>
      <c r="D484" s="10"/>
      <c r="E484" s="38" t="s">
        <v>852</v>
      </c>
      <c r="F484" s="10"/>
      <c r="G484" s="10"/>
      <c r="H484" s="10"/>
      <c r="I484" s="38" t="s">
        <v>852</v>
      </c>
      <c r="J484" s="10"/>
      <c r="K484" s="10"/>
      <c r="L484" s="10"/>
      <c r="M484" s="38" t="s">
        <v>852</v>
      </c>
      <c r="N484" s="10"/>
      <c r="O484" s="10"/>
      <c r="P484" s="10"/>
      <c r="Q484" s="38" t="s">
        <v>852</v>
      </c>
      <c r="R484" s="38" t="s">
        <v>852</v>
      </c>
    </row>
    <row r="485" spans="1:21" ht="15.75" customHeight="1" x14ac:dyDescent="0.3">
      <c r="A485" s="410" t="s">
        <v>2566</v>
      </c>
      <c r="B485" s="10"/>
      <c r="C485" s="10"/>
      <c r="D485" s="10"/>
      <c r="E485" s="38">
        <f>SUM(B485:D485)</f>
        <v>0</v>
      </c>
      <c r="F485" s="10"/>
      <c r="G485" s="10"/>
      <c r="H485" s="10"/>
      <c r="I485" s="38">
        <f>SUM(F485:H485)</f>
        <v>0</v>
      </c>
      <c r="J485" s="10"/>
      <c r="K485" s="10"/>
      <c r="L485" s="10"/>
      <c r="M485" s="38">
        <f>SUM(J485:L485)</f>
        <v>0</v>
      </c>
      <c r="N485" s="10"/>
      <c r="O485" s="10"/>
      <c r="P485" s="10"/>
      <c r="Q485" s="38">
        <f>SUM(N485:P485)</f>
        <v>0</v>
      </c>
      <c r="R485" s="38">
        <f>+E485+I485+M485+Q485</f>
        <v>0</v>
      </c>
    </row>
    <row r="486" spans="1:21" ht="15.75" customHeight="1" x14ac:dyDescent="0.3">
      <c r="A486" s="410" t="s">
        <v>2657</v>
      </c>
      <c r="B486" s="10"/>
      <c r="C486" s="10"/>
      <c r="D486" s="10"/>
      <c r="E486" s="38">
        <f>SUM(B486:D486)</f>
        <v>0</v>
      </c>
      <c r="F486" s="10"/>
      <c r="G486" s="10"/>
      <c r="H486" s="10"/>
      <c r="I486" s="38">
        <f>SUM(F486:H486)</f>
        <v>0</v>
      </c>
      <c r="J486" s="10"/>
      <c r="K486" s="10"/>
      <c r="L486" s="10"/>
      <c r="M486" s="38">
        <f>SUM(J486:L486)</f>
        <v>0</v>
      </c>
      <c r="N486" s="10"/>
      <c r="O486" s="10"/>
      <c r="P486" s="10"/>
      <c r="Q486" s="38">
        <f>SUM(N486:P486)</f>
        <v>0</v>
      </c>
      <c r="R486" s="38">
        <f>+E486+I486+M486+Q486</f>
        <v>0</v>
      </c>
    </row>
    <row r="487" spans="1:21" ht="15.75" customHeight="1" x14ac:dyDescent="0.3">
      <c r="A487" s="234" t="s">
        <v>1022</v>
      </c>
      <c r="B487" s="10"/>
      <c r="C487" s="10"/>
      <c r="D487" s="10"/>
      <c r="E487" s="38" t="s">
        <v>852</v>
      </c>
      <c r="F487" s="10"/>
      <c r="G487" s="10"/>
      <c r="H487" s="10"/>
      <c r="I487" s="38" t="s">
        <v>852</v>
      </c>
      <c r="J487" s="10"/>
      <c r="K487" s="10"/>
      <c r="L487" s="10"/>
      <c r="M487" s="38" t="s">
        <v>852</v>
      </c>
      <c r="N487" s="10"/>
      <c r="O487" s="10"/>
      <c r="P487" s="10"/>
      <c r="Q487" s="38" t="s">
        <v>852</v>
      </c>
      <c r="R487" s="38" t="s">
        <v>852</v>
      </c>
    </row>
    <row r="488" spans="1:21" ht="15.75" customHeight="1" x14ac:dyDescent="0.3">
      <c r="A488" s="311" t="s">
        <v>2486</v>
      </c>
      <c r="B488" s="10"/>
      <c r="C488" s="10"/>
      <c r="D488" s="10"/>
      <c r="E488" s="38">
        <f t="shared" ref="E488:E493" si="194">SUM(B488:D488)</f>
        <v>0</v>
      </c>
      <c r="F488" s="10"/>
      <c r="G488" s="10"/>
      <c r="H488" s="10"/>
      <c r="I488" s="38">
        <f t="shared" ref="I488:I493" si="195">SUM(F488:H488)</f>
        <v>0</v>
      </c>
      <c r="J488" s="10"/>
      <c r="K488" s="10"/>
      <c r="L488" s="10"/>
      <c r="M488" s="38">
        <f t="shared" ref="M488:M493" si="196">SUM(J488:L488)</f>
        <v>0</v>
      </c>
      <c r="N488" s="10"/>
      <c r="O488" s="10"/>
      <c r="P488" s="10"/>
      <c r="Q488" s="38">
        <f t="shared" ref="Q488:Q493" si="197">SUM(N488:P488)</f>
        <v>0</v>
      </c>
      <c r="R488" s="38">
        <f t="shared" ref="R488:R493" si="198">+E488+I488+M488+Q488</f>
        <v>0</v>
      </c>
      <c r="T488" t="s">
        <v>2178</v>
      </c>
    </row>
    <row r="489" spans="1:21" ht="15.75" customHeight="1" x14ac:dyDescent="0.3">
      <c r="A489" s="311" t="s">
        <v>1374</v>
      </c>
      <c r="B489" s="10"/>
      <c r="C489" s="10"/>
      <c r="D489" s="10"/>
      <c r="E489" s="38">
        <f t="shared" ref="E489" si="199">SUM(B489:D489)</f>
        <v>0</v>
      </c>
      <c r="F489" s="10"/>
      <c r="G489" s="10"/>
      <c r="H489" s="10"/>
      <c r="I489" s="38">
        <f t="shared" si="195"/>
        <v>0</v>
      </c>
      <c r="J489" s="10"/>
      <c r="K489" s="10"/>
      <c r="L489" s="10"/>
      <c r="M489" s="38">
        <f t="shared" si="196"/>
        <v>0</v>
      </c>
      <c r="N489" s="10"/>
      <c r="O489" s="10"/>
      <c r="P489" s="10"/>
      <c r="Q489" s="38">
        <f t="shared" si="197"/>
        <v>0</v>
      </c>
      <c r="R489" s="38">
        <f t="shared" si="198"/>
        <v>0</v>
      </c>
      <c r="T489" t="s">
        <v>2178</v>
      </c>
    </row>
    <row r="490" spans="1:21" ht="15.75" customHeight="1" x14ac:dyDescent="0.3">
      <c r="A490" s="410" t="s">
        <v>3261</v>
      </c>
      <c r="B490" s="10"/>
      <c r="C490" s="10"/>
      <c r="D490" s="10"/>
      <c r="E490" s="38">
        <f t="shared" si="194"/>
        <v>0</v>
      </c>
      <c r="F490" s="10"/>
      <c r="G490" s="10"/>
      <c r="H490" s="10"/>
      <c r="I490" s="38">
        <f t="shared" si="195"/>
        <v>0</v>
      </c>
      <c r="J490" s="10"/>
      <c r="K490" s="10"/>
      <c r="L490" s="10"/>
      <c r="M490" s="38">
        <f t="shared" si="196"/>
        <v>0</v>
      </c>
      <c r="N490" s="10"/>
      <c r="O490" s="10"/>
      <c r="P490" s="10"/>
      <c r="Q490" s="38">
        <f t="shared" si="197"/>
        <v>0</v>
      </c>
      <c r="R490" s="38">
        <f t="shared" si="198"/>
        <v>0</v>
      </c>
      <c r="T490" t="s">
        <v>2175</v>
      </c>
    </row>
    <row r="491" spans="1:21" ht="15.75" customHeight="1" x14ac:dyDescent="0.3">
      <c r="A491" s="410" t="s">
        <v>3262</v>
      </c>
      <c r="B491" s="10"/>
      <c r="C491" s="10"/>
      <c r="D491" s="10"/>
      <c r="E491" s="38">
        <f t="shared" si="194"/>
        <v>0</v>
      </c>
      <c r="F491" s="10"/>
      <c r="G491" s="10"/>
      <c r="H491" s="10"/>
      <c r="I491" s="38">
        <f t="shared" si="195"/>
        <v>0</v>
      </c>
      <c r="J491" s="10"/>
      <c r="K491" s="10"/>
      <c r="L491" s="10"/>
      <c r="M491" s="38">
        <f t="shared" si="196"/>
        <v>0</v>
      </c>
      <c r="N491" s="10"/>
      <c r="O491" s="10"/>
      <c r="P491" s="10"/>
      <c r="Q491" s="38">
        <f t="shared" si="197"/>
        <v>0</v>
      </c>
      <c r="R491" s="38">
        <f t="shared" si="198"/>
        <v>0</v>
      </c>
    </row>
    <row r="492" spans="1:21" ht="15.75" customHeight="1" x14ac:dyDescent="0.3">
      <c r="A492" s="311" t="s">
        <v>1376</v>
      </c>
      <c r="B492" s="10"/>
      <c r="C492" s="10"/>
      <c r="D492" s="10"/>
      <c r="E492" s="38">
        <f t="shared" si="194"/>
        <v>0</v>
      </c>
      <c r="F492" s="10"/>
      <c r="G492" s="10"/>
      <c r="H492" s="10"/>
      <c r="I492" s="38">
        <f t="shared" si="195"/>
        <v>0</v>
      </c>
      <c r="J492" s="10"/>
      <c r="K492" s="10"/>
      <c r="L492" s="10"/>
      <c r="M492" s="38">
        <f t="shared" si="196"/>
        <v>0</v>
      </c>
      <c r="N492" s="10"/>
      <c r="O492" s="10"/>
      <c r="P492" s="10"/>
      <c r="Q492" s="38">
        <f t="shared" si="197"/>
        <v>0</v>
      </c>
      <c r="R492" s="38">
        <f t="shared" si="198"/>
        <v>0</v>
      </c>
    </row>
    <row r="493" spans="1:21" ht="15.75" customHeight="1" x14ac:dyDescent="0.3">
      <c r="A493" s="311" t="s">
        <v>1227</v>
      </c>
      <c r="B493" s="10"/>
      <c r="C493" s="10"/>
      <c r="D493" s="10"/>
      <c r="E493" s="38">
        <f t="shared" si="194"/>
        <v>0</v>
      </c>
      <c r="F493" s="10"/>
      <c r="G493" s="10"/>
      <c r="H493" s="10"/>
      <c r="I493" s="38">
        <f t="shared" si="195"/>
        <v>0</v>
      </c>
      <c r="J493" s="10"/>
      <c r="K493" s="10"/>
      <c r="L493" s="10"/>
      <c r="M493" s="38">
        <f t="shared" si="196"/>
        <v>0</v>
      </c>
      <c r="N493" s="10"/>
      <c r="O493" s="10"/>
      <c r="P493" s="10"/>
      <c r="Q493" s="38">
        <f t="shared" si="197"/>
        <v>0</v>
      </c>
      <c r="R493" s="38">
        <f t="shared" si="198"/>
        <v>0</v>
      </c>
      <c r="T493" t="s">
        <v>2178</v>
      </c>
    </row>
    <row r="494" spans="1:21" ht="15.75" customHeight="1" x14ac:dyDescent="0.3">
      <c r="A494" s="234" t="s">
        <v>559</v>
      </c>
      <c r="B494" s="10"/>
      <c r="C494" s="10"/>
      <c r="D494" s="10"/>
      <c r="E494" s="38" t="s">
        <v>852</v>
      </c>
      <c r="F494" s="10"/>
      <c r="G494" s="10"/>
      <c r="H494" s="10"/>
      <c r="I494" s="38" t="s">
        <v>852</v>
      </c>
      <c r="J494" s="10"/>
      <c r="K494" s="10"/>
      <c r="L494" s="10"/>
      <c r="M494" s="38" t="s">
        <v>852</v>
      </c>
      <c r="N494" s="10"/>
      <c r="O494" s="10"/>
      <c r="P494" s="10"/>
      <c r="Q494" s="38" t="s">
        <v>852</v>
      </c>
      <c r="R494" s="38" t="s">
        <v>852</v>
      </c>
    </row>
    <row r="495" spans="1:21" ht="15.75" customHeight="1" x14ac:dyDescent="0.3">
      <c r="A495" s="410" t="s">
        <v>2936</v>
      </c>
      <c r="B495" s="10"/>
      <c r="C495" s="10"/>
      <c r="D495" s="10"/>
      <c r="E495" s="38">
        <f>SUM(B495:D495)</f>
        <v>0</v>
      </c>
      <c r="F495" s="10"/>
      <c r="G495" s="10"/>
      <c r="H495" s="10"/>
      <c r="I495" s="38">
        <f>SUM(F495:H495)</f>
        <v>0</v>
      </c>
      <c r="J495" s="10"/>
      <c r="K495" s="10"/>
      <c r="L495" s="10"/>
      <c r="M495" s="38">
        <f>SUM(J495:L495)</f>
        <v>0</v>
      </c>
      <c r="N495" s="10"/>
      <c r="O495" s="10"/>
      <c r="P495" s="10"/>
      <c r="Q495" s="38">
        <f>SUM(N495:P495)</f>
        <v>0</v>
      </c>
      <c r="R495" s="38">
        <f>+E495+I495+M495+Q495</f>
        <v>0</v>
      </c>
      <c r="T495" t="s">
        <v>2174</v>
      </c>
    </row>
    <row r="496" spans="1:21" ht="15.75" customHeight="1" x14ac:dyDescent="0.3">
      <c r="A496" s="410" t="s">
        <v>2832</v>
      </c>
      <c r="B496" s="10"/>
      <c r="C496" s="10"/>
      <c r="D496" s="10"/>
      <c r="E496" s="38">
        <f>SUM(B496:D496)</f>
        <v>0</v>
      </c>
      <c r="F496" s="10"/>
      <c r="G496" s="10"/>
      <c r="H496" s="10"/>
      <c r="I496" s="38">
        <f>SUM(F496:H496)</f>
        <v>0</v>
      </c>
      <c r="J496" s="10"/>
      <c r="K496" s="10"/>
      <c r="L496" s="10"/>
      <c r="M496" s="38">
        <f>SUM(J496:L496)</f>
        <v>0</v>
      </c>
      <c r="N496" s="10"/>
      <c r="O496" s="10"/>
      <c r="P496" s="10"/>
      <c r="Q496" s="38">
        <f>SUM(N496:P496)</f>
        <v>0</v>
      </c>
      <c r="R496" s="38">
        <f>+E496+I496+M496+Q496</f>
        <v>0</v>
      </c>
      <c r="T496" t="s">
        <v>2174</v>
      </c>
    </row>
    <row r="497" spans="1:21" ht="15.75" customHeight="1" x14ac:dyDescent="0.3">
      <c r="A497" s="410" t="s">
        <v>3225</v>
      </c>
      <c r="B497" s="10"/>
      <c r="C497" s="10"/>
      <c r="D497" s="10"/>
      <c r="E497" s="38">
        <f>SUM(B497:D497)</f>
        <v>0</v>
      </c>
      <c r="F497" s="10"/>
      <c r="G497" s="10"/>
      <c r="H497" s="10"/>
      <c r="I497" s="38">
        <f>SUM(F497:H497)</f>
        <v>0</v>
      </c>
      <c r="J497" s="10"/>
      <c r="K497" s="10"/>
      <c r="L497" s="10"/>
      <c r="M497" s="38">
        <f>SUM(J497:L497)</f>
        <v>0</v>
      </c>
      <c r="N497" s="10"/>
      <c r="O497" s="10"/>
      <c r="P497" s="10"/>
      <c r="Q497" s="38">
        <f>SUM(N497:P497)</f>
        <v>0</v>
      </c>
      <c r="R497" s="38">
        <f>+E497+I497+M497+Q497</f>
        <v>0</v>
      </c>
    </row>
    <row r="498" spans="1:21" ht="15.75" customHeight="1" x14ac:dyDescent="0.3">
      <c r="A498" s="410" t="s">
        <v>2569</v>
      </c>
      <c r="B498" s="10"/>
      <c r="C498" s="10"/>
      <c r="D498" s="10"/>
      <c r="E498" s="38">
        <f>SUM(B498:D498)</f>
        <v>0</v>
      </c>
      <c r="F498" s="10"/>
      <c r="G498" s="10"/>
      <c r="H498" s="10"/>
      <c r="I498" s="38">
        <f>SUM(F498:H498)</f>
        <v>0</v>
      </c>
      <c r="J498" s="10"/>
      <c r="K498" s="10"/>
      <c r="L498" s="10"/>
      <c r="M498" s="38">
        <f>SUM(J498:L498)</f>
        <v>0</v>
      </c>
      <c r="N498" s="10"/>
      <c r="O498" s="10"/>
      <c r="P498" s="10"/>
      <c r="Q498" s="38">
        <f>SUM(N498:P498)</f>
        <v>0</v>
      </c>
      <c r="R498" s="38">
        <f>+E498+I498+M498+Q498</f>
        <v>0</v>
      </c>
    </row>
    <row r="499" spans="1:21" ht="15.75" customHeight="1" x14ac:dyDescent="0.3">
      <c r="A499" s="410" t="s">
        <v>2570</v>
      </c>
      <c r="B499" s="10"/>
      <c r="C499" s="10"/>
      <c r="D499" s="10"/>
      <c r="E499" s="38">
        <f t="shared" ref="E499" si="200">SUM(B499:D499)</f>
        <v>0</v>
      </c>
      <c r="F499" s="10"/>
      <c r="G499" s="10"/>
      <c r="H499" s="10"/>
      <c r="I499" s="38">
        <f t="shared" ref="I499" si="201">SUM(F499:H499)</f>
        <v>0</v>
      </c>
      <c r="J499" s="10"/>
      <c r="K499" s="10"/>
      <c r="L499" s="10"/>
      <c r="M499" s="38">
        <f t="shared" ref="M499" si="202">SUM(J499:L499)</f>
        <v>0</v>
      </c>
      <c r="N499" s="10"/>
      <c r="O499" s="10"/>
      <c r="P499" s="10"/>
      <c r="Q499" s="38">
        <f t="shared" ref="Q499:Q510" si="203">SUM(N499:P499)</f>
        <v>0</v>
      </c>
      <c r="R499" s="38">
        <f t="shared" ref="R499:R510" si="204">+E499+I499+M499+Q499</f>
        <v>0</v>
      </c>
    </row>
    <row r="500" spans="1:21" ht="15.75" customHeight="1" x14ac:dyDescent="0.3">
      <c r="A500" s="410" t="s">
        <v>2571</v>
      </c>
      <c r="B500" s="10"/>
      <c r="C500" s="10"/>
      <c r="D500" s="10"/>
      <c r="E500" s="38">
        <f>SUM(B500:D500)</f>
        <v>0</v>
      </c>
      <c r="F500" s="10"/>
      <c r="G500" s="10"/>
      <c r="H500" s="10"/>
      <c r="I500" s="38">
        <f>SUM(F500:H500)</f>
        <v>0</v>
      </c>
      <c r="J500" s="10"/>
      <c r="K500" s="10"/>
      <c r="L500" s="10"/>
      <c r="M500" s="38">
        <f>SUM(J500:L500)</f>
        <v>0</v>
      </c>
      <c r="N500" s="10"/>
      <c r="O500" s="10"/>
      <c r="P500" s="10"/>
      <c r="Q500" s="38">
        <f>SUM(N500:P500)</f>
        <v>0</v>
      </c>
      <c r="R500" s="38">
        <f>+E500+I500+M500+Q500</f>
        <v>0</v>
      </c>
    </row>
    <row r="501" spans="1:21" ht="15.75" customHeight="1" x14ac:dyDescent="0.3">
      <c r="A501" s="410" t="s">
        <v>2572</v>
      </c>
      <c r="B501" s="10"/>
      <c r="C501" s="10"/>
      <c r="D501" s="10"/>
      <c r="E501" s="38">
        <f>SUM(B501:D501)</f>
        <v>0</v>
      </c>
      <c r="F501" s="10"/>
      <c r="G501" s="10"/>
      <c r="H501" s="10"/>
      <c r="I501" s="38">
        <f>SUM(F501:H501)</f>
        <v>0</v>
      </c>
      <c r="J501" s="10"/>
      <c r="K501" s="10"/>
      <c r="L501" s="10"/>
      <c r="M501" s="38">
        <f>SUM(J501:L501)</f>
        <v>0</v>
      </c>
      <c r="N501" s="10"/>
      <c r="O501" s="10"/>
      <c r="P501" s="10"/>
      <c r="Q501" s="38">
        <f>SUM(N501:P501)</f>
        <v>0</v>
      </c>
      <c r="R501" s="38">
        <f>+E501+I501+M501+Q501</f>
        <v>0</v>
      </c>
      <c r="T501" t="s">
        <v>2174</v>
      </c>
      <c r="U501" s="707"/>
    </row>
    <row r="502" spans="1:21" ht="15.75" customHeight="1" x14ac:dyDescent="0.3">
      <c r="A502" s="410" t="s">
        <v>2573</v>
      </c>
      <c r="B502" s="10"/>
      <c r="C502" s="10"/>
      <c r="D502" s="10"/>
      <c r="E502" s="38">
        <f>SUM(B502:D502)</f>
        <v>0</v>
      </c>
      <c r="F502" s="10"/>
      <c r="G502" s="10"/>
      <c r="H502" s="10"/>
      <c r="I502" s="38">
        <f>SUM(F502:H502)</f>
        <v>0</v>
      </c>
      <c r="J502" s="10"/>
      <c r="K502" s="10"/>
      <c r="L502" s="10"/>
      <c r="M502" s="38">
        <f>SUM(J502:L502)</f>
        <v>0</v>
      </c>
      <c r="N502" s="10"/>
      <c r="O502" s="10"/>
      <c r="P502" s="10"/>
      <c r="Q502" s="38">
        <f>SUM(N502:P502)</f>
        <v>0</v>
      </c>
      <c r="R502" s="38">
        <f>+E502+I502+M502+Q502</f>
        <v>0</v>
      </c>
    </row>
    <row r="503" spans="1:21" ht="15.75" customHeight="1" x14ac:dyDescent="0.3">
      <c r="A503" s="410" t="s">
        <v>3226</v>
      </c>
      <c r="B503" s="10"/>
      <c r="C503" s="10"/>
      <c r="D503" s="10"/>
      <c r="E503" s="38">
        <f>SUM(B503:D503)</f>
        <v>0</v>
      </c>
      <c r="F503" s="10"/>
      <c r="G503" s="10"/>
      <c r="H503" s="10"/>
      <c r="I503" s="38">
        <f>SUM(F503:H503)</f>
        <v>0</v>
      </c>
      <c r="J503" s="10"/>
      <c r="K503" s="10"/>
      <c r="L503" s="10"/>
      <c r="M503" s="38">
        <f>SUM(J503:L503)</f>
        <v>0</v>
      </c>
      <c r="N503" s="10"/>
      <c r="O503" s="10"/>
      <c r="P503" s="10"/>
      <c r="Q503" s="38">
        <f>SUM(N503:P503)</f>
        <v>0</v>
      </c>
      <c r="R503" s="38">
        <f>+E503+I503+M503+Q503</f>
        <v>0</v>
      </c>
      <c r="T503" t="s">
        <v>2175</v>
      </c>
    </row>
    <row r="504" spans="1:21" ht="15.75" customHeight="1" thickBot="1" x14ac:dyDescent="0.35">
      <c r="A504" s="410" t="s">
        <v>2574</v>
      </c>
      <c r="B504" s="10"/>
      <c r="C504" s="10"/>
      <c r="D504" s="10"/>
      <c r="E504" s="38">
        <f>SUM(B504:D504)</f>
        <v>0</v>
      </c>
      <c r="F504" s="10"/>
      <c r="G504" s="10"/>
      <c r="H504" s="10"/>
      <c r="I504" s="38">
        <f>SUM(F504:H504)</f>
        <v>0</v>
      </c>
      <c r="J504" s="10"/>
      <c r="K504" s="10"/>
      <c r="L504" s="10"/>
      <c r="M504" s="38">
        <f>SUM(J504:L504)</f>
        <v>0</v>
      </c>
      <c r="N504" s="10"/>
      <c r="O504" s="10"/>
      <c r="P504" s="10"/>
      <c r="Q504" s="38">
        <f>SUM(N504:P504)</f>
        <v>0</v>
      </c>
      <c r="R504" s="38">
        <f>+E504+I504+M504+Q504</f>
        <v>0</v>
      </c>
      <c r="T504" t="s">
        <v>2175</v>
      </c>
    </row>
    <row r="505" spans="1:21" ht="16.5" customHeight="1" thickBot="1" x14ac:dyDescent="0.35">
      <c r="A505" s="43" t="s">
        <v>1019</v>
      </c>
      <c r="B505" s="42">
        <f>SUM(B487:B504)</f>
        <v>0</v>
      </c>
      <c r="C505" s="42">
        <f>SUM(C487:C504)</f>
        <v>0</v>
      </c>
      <c r="D505" s="42">
        <f>SUM(D487:D504)</f>
        <v>0</v>
      </c>
      <c r="E505" s="39">
        <f t="shared" ref="E505:E510" si="205">SUM(B505:D505)</f>
        <v>0</v>
      </c>
      <c r="F505" s="42">
        <f>SUM(F487:F504)</f>
        <v>0</v>
      </c>
      <c r="G505" s="42">
        <f>SUM(G487:G504)</f>
        <v>0</v>
      </c>
      <c r="H505" s="42">
        <f>SUM(H487:H504)</f>
        <v>0</v>
      </c>
      <c r="I505" s="39">
        <f t="shared" ref="I505:I510" si="206">SUM(F505:H505)</f>
        <v>0</v>
      </c>
      <c r="J505" s="42">
        <f>SUM(J487:J504)</f>
        <v>0</v>
      </c>
      <c r="K505" s="42">
        <f>SUM(K487:K504)</f>
        <v>0</v>
      </c>
      <c r="L505" s="42">
        <f>SUM(L487:L504)</f>
        <v>0</v>
      </c>
      <c r="M505" s="39">
        <f t="shared" ref="M505:M510" si="207">SUM(J505:L505)</f>
        <v>0</v>
      </c>
      <c r="N505" s="42">
        <f>SUM(N487:N504)</f>
        <v>0</v>
      </c>
      <c r="O505" s="42">
        <f>SUM(O487:O504)</f>
        <v>0</v>
      </c>
      <c r="P505" s="42">
        <f>SUM(P487:P504)</f>
        <v>0</v>
      </c>
      <c r="Q505" s="39">
        <f t="shared" si="203"/>
        <v>0</v>
      </c>
      <c r="R505" s="37">
        <f t="shared" si="204"/>
        <v>0</v>
      </c>
    </row>
    <row r="506" spans="1:21" ht="16.5" customHeight="1" thickBot="1" x14ac:dyDescent="0.35">
      <c r="A506" s="277" t="s">
        <v>1221</v>
      </c>
      <c r="B506" s="45">
        <f>SUM(B481:B504)</f>
        <v>0</v>
      </c>
      <c r="C506" s="46">
        <f>SUM(C481:C504)</f>
        <v>0</v>
      </c>
      <c r="D506" s="58">
        <f>SUM(D481:D504)</f>
        <v>0</v>
      </c>
      <c r="E506" s="39">
        <f t="shared" si="205"/>
        <v>0</v>
      </c>
      <c r="F506" s="46">
        <f>SUM(F481:F504)</f>
        <v>0</v>
      </c>
      <c r="G506" s="46">
        <f>SUM(G481:G504)</f>
        <v>0</v>
      </c>
      <c r="H506" s="46">
        <f>SUM(H481:H504)</f>
        <v>0</v>
      </c>
      <c r="I506" s="39">
        <f t="shared" si="206"/>
        <v>0</v>
      </c>
      <c r="J506" s="46">
        <f>SUM(J481:J504)</f>
        <v>0</v>
      </c>
      <c r="K506" s="46">
        <f>SUM(K481:K504)</f>
        <v>0</v>
      </c>
      <c r="L506" s="46">
        <f>SUM(L481:L504)</f>
        <v>0</v>
      </c>
      <c r="M506" s="39">
        <f t="shared" si="207"/>
        <v>0</v>
      </c>
      <c r="N506" s="46">
        <f>SUM(N481:N504)</f>
        <v>0</v>
      </c>
      <c r="O506" s="46">
        <f>SUM(O481:O504)</f>
        <v>0</v>
      </c>
      <c r="P506" s="46">
        <f>SUM(P481:P504)</f>
        <v>0</v>
      </c>
      <c r="Q506" s="39">
        <f t="shared" si="203"/>
        <v>0</v>
      </c>
      <c r="R506" s="37">
        <f t="shared" si="204"/>
        <v>0</v>
      </c>
    </row>
    <row r="507" spans="1:21" ht="16.5" customHeight="1" thickBot="1" x14ac:dyDescent="0.35">
      <c r="A507" s="43" t="s">
        <v>1222</v>
      </c>
      <c r="B507" s="47">
        <f>+B394+B408+B480+B506</f>
        <v>21551</v>
      </c>
      <c r="C507" s="42">
        <f>+C394+C408+C480+C506</f>
        <v>29930</v>
      </c>
      <c r="D507" s="42">
        <f>+D394+D408+D480+D506</f>
        <v>46664</v>
      </c>
      <c r="E507" s="37">
        <f t="shared" si="205"/>
        <v>98145</v>
      </c>
      <c r="F507" s="42">
        <f>+F394+F408+F480+F506</f>
        <v>67988</v>
      </c>
      <c r="G507" s="42">
        <f>+G394+G408+G480+G506</f>
        <v>79346</v>
      </c>
      <c r="H507" s="42">
        <f>+H394+H408+H480+H506</f>
        <v>89558</v>
      </c>
      <c r="I507" s="37">
        <f t="shared" si="206"/>
        <v>236892</v>
      </c>
      <c r="J507" s="42">
        <f>+J394+J408+J480+J506</f>
        <v>78759</v>
      </c>
      <c r="K507" s="42">
        <f>+K394+K408+K480+K506</f>
        <v>57600</v>
      </c>
      <c r="L507" s="42">
        <f>+L394+L408+L480+L506</f>
        <v>43350</v>
      </c>
      <c r="M507" s="37">
        <f t="shared" si="207"/>
        <v>179709</v>
      </c>
      <c r="N507" s="42">
        <f>+N394+N408+N480+N506</f>
        <v>36154</v>
      </c>
      <c r="O507" s="42">
        <f>+O394+O408+O480+O506</f>
        <v>20054</v>
      </c>
      <c r="P507" s="42">
        <f>+P394+P408+P480+P506</f>
        <v>20072</v>
      </c>
      <c r="Q507" s="37">
        <f t="shared" si="203"/>
        <v>76280</v>
      </c>
      <c r="R507" s="40">
        <f t="shared" si="204"/>
        <v>591026</v>
      </c>
    </row>
    <row r="508" spans="1:21" ht="15.75" customHeight="1" x14ac:dyDescent="0.3">
      <c r="A508" s="539" t="s">
        <v>2273</v>
      </c>
      <c r="B508" s="10"/>
      <c r="C508" s="10"/>
      <c r="D508" s="10"/>
      <c r="E508" s="38">
        <f t="shared" si="205"/>
        <v>0</v>
      </c>
      <c r="F508" s="10"/>
      <c r="G508" s="10"/>
      <c r="H508" s="10"/>
      <c r="I508" s="38">
        <f t="shared" si="206"/>
        <v>0</v>
      </c>
      <c r="J508" s="10"/>
      <c r="K508" s="10"/>
      <c r="L508" s="10"/>
      <c r="M508" s="38">
        <f t="shared" si="207"/>
        <v>0</v>
      </c>
      <c r="N508" s="10"/>
      <c r="O508" s="10"/>
      <c r="P508" s="10"/>
      <c r="Q508" s="38">
        <f t="shared" si="203"/>
        <v>0</v>
      </c>
      <c r="R508" s="38">
        <f t="shared" si="204"/>
        <v>0</v>
      </c>
    </row>
    <row r="509" spans="1:21" ht="15.75" customHeight="1" x14ac:dyDescent="0.3">
      <c r="A509" s="539" t="s">
        <v>2274</v>
      </c>
      <c r="B509" s="10"/>
      <c r="C509" s="10"/>
      <c r="D509" s="10"/>
      <c r="E509" s="38">
        <f t="shared" si="205"/>
        <v>0</v>
      </c>
      <c r="F509" s="10"/>
      <c r="G509" s="10"/>
      <c r="H509" s="10"/>
      <c r="I509" s="38">
        <f t="shared" si="206"/>
        <v>0</v>
      </c>
      <c r="J509" s="10"/>
      <c r="K509" s="10"/>
      <c r="L509" s="10"/>
      <c r="M509" s="38">
        <f t="shared" si="207"/>
        <v>0</v>
      </c>
      <c r="N509" s="10"/>
      <c r="O509" s="10"/>
      <c r="P509" s="10"/>
      <c r="Q509" s="38">
        <f t="shared" si="203"/>
        <v>0</v>
      </c>
      <c r="R509" s="38">
        <f t="shared" si="204"/>
        <v>0</v>
      </c>
    </row>
    <row r="510" spans="1:21" ht="16.5" customHeight="1" thickBot="1" x14ac:dyDescent="0.35">
      <c r="A510" s="312" t="s">
        <v>853</v>
      </c>
      <c r="B510" s="294">
        <v>155</v>
      </c>
      <c r="C510" s="294">
        <v>283</v>
      </c>
      <c r="D510" s="294">
        <v>435</v>
      </c>
      <c r="E510" s="40">
        <f t="shared" si="205"/>
        <v>873</v>
      </c>
      <c r="F510" s="294">
        <v>602</v>
      </c>
      <c r="G510" s="294">
        <v>711</v>
      </c>
      <c r="H510" s="294">
        <v>722</v>
      </c>
      <c r="I510" s="40">
        <f t="shared" si="206"/>
        <v>2035</v>
      </c>
      <c r="J510" s="294">
        <v>686</v>
      </c>
      <c r="K510" s="294">
        <v>519</v>
      </c>
      <c r="L510" s="294">
        <v>531</v>
      </c>
      <c r="M510" s="40">
        <f t="shared" si="207"/>
        <v>1736</v>
      </c>
      <c r="N510" s="294">
        <v>489</v>
      </c>
      <c r="O510" s="294">
        <v>389</v>
      </c>
      <c r="P510" s="294">
        <v>275</v>
      </c>
      <c r="Q510" s="40">
        <f t="shared" si="203"/>
        <v>1153</v>
      </c>
      <c r="R510" s="38">
        <f t="shared" si="204"/>
        <v>5797</v>
      </c>
    </row>
    <row r="511" spans="1:21" ht="16.5" customHeight="1" thickBot="1" x14ac:dyDescent="0.35">
      <c r="A511" s="44"/>
      <c r="B511" s="313"/>
      <c r="C511" s="313"/>
      <c r="D511" s="313"/>
      <c r="E511" s="37"/>
      <c r="F511" s="313"/>
      <c r="G511" s="313"/>
      <c r="H511" s="313"/>
      <c r="I511" s="37"/>
      <c r="J511" s="313"/>
      <c r="K511" s="313"/>
      <c r="L511" s="313"/>
      <c r="M511" s="37"/>
      <c r="N511" s="313"/>
      <c r="O511" s="313"/>
      <c r="P511" s="313"/>
      <c r="Q511" s="37"/>
      <c r="R511" s="37" t="s">
        <v>852</v>
      </c>
    </row>
    <row r="512" spans="1:21" ht="15.75" customHeight="1" x14ac:dyDescent="0.3">
      <c r="A512" s="259" t="s">
        <v>2011</v>
      </c>
      <c r="B512" s="741">
        <f>SUM(B507:B510)</f>
        <v>21706</v>
      </c>
      <c r="C512" s="741">
        <f>SUM(C507:C510)</f>
        <v>30213</v>
      </c>
      <c r="D512" s="741">
        <f>SUM(D507:D510)</f>
        <v>47099</v>
      </c>
      <c r="E512" s="39">
        <f>SUM(B512:D512)</f>
        <v>99018</v>
      </c>
      <c r="F512" s="741">
        <f>SUM(F507:F510)</f>
        <v>68590</v>
      </c>
      <c r="G512" s="741">
        <f>SUM(G507:G510)</f>
        <v>80057</v>
      </c>
      <c r="H512" s="741">
        <f>SUM(H507:H510)</f>
        <v>90280</v>
      </c>
      <c r="I512" s="39">
        <f>SUM(F512:H512)</f>
        <v>238927</v>
      </c>
      <c r="J512" s="741">
        <f>SUM(J507:J510)</f>
        <v>79445</v>
      </c>
      <c r="K512" s="741">
        <f>SUM(K507:K510)</f>
        <v>58119</v>
      </c>
      <c r="L512" s="741">
        <f>SUM(L507:L510)</f>
        <v>43881</v>
      </c>
      <c r="M512" s="39">
        <f>SUM(J512:L512)</f>
        <v>181445</v>
      </c>
      <c r="N512" s="741">
        <f>SUM(N507:N510)</f>
        <v>36643</v>
      </c>
      <c r="O512" s="741">
        <f>SUM(O507:O510)</f>
        <v>20443</v>
      </c>
      <c r="P512" s="741">
        <f>SUM(P507:P510)</f>
        <v>20347</v>
      </c>
      <c r="Q512" s="39">
        <f>SUM(N512:P512)</f>
        <v>77433</v>
      </c>
      <c r="R512" s="39">
        <f>+E512+I512+M512+Q512</f>
        <v>596823</v>
      </c>
    </row>
    <row r="513" spans="1:20" ht="15.75" customHeight="1" x14ac:dyDescent="0.3">
      <c r="A513" s="262" t="s">
        <v>1897</v>
      </c>
      <c r="B513" s="10">
        <f>(B512/B10)/1.983</f>
        <v>353.09810811250469</v>
      </c>
      <c r="C513" s="10">
        <f>(C512/C10)/1.983</f>
        <v>544.14307326561482</v>
      </c>
      <c r="D513" s="10">
        <f>(D512/D10)/1.983</f>
        <v>766.17376734501318</v>
      </c>
      <c r="E513" s="38" t="s">
        <v>852</v>
      </c>
      <c r="F513" s="10">
        <f>(F512/F10)/1.983</f>
        <v>1152.9668851907884</v>
      </c>
      <c r="G513" s="10">
        <f>(G512/G10)/1.983</f>
        <v>1302.311583947424</v>
      </c>
      <c r="H513" s="10">
        <f>(H512/H10)/1.983</f>
        <v>1517.565977475206</v>
      </c>
      <c r="I513" s="38" t="s">
        <v>852</v>
      </c>
      <c r="J513" s="10">
        <f>(J512/J10)/1.983</f>
        <v>1292.3559936882857</v>
      </c>
      <c r="K513" s="10">
        <f>(K512/K10)/1.983</f>
        <v>945.43946122687998</v>
      </c>
      <c r="L513" s="10">
        <f>(L512/L10)/1.983</f>
        <v>737.61976802824006</v>
      </c>
      <c r="M513" s="38" t="s">
        <v>852</v>
      </c>
      <c r="N513" s="10">
        <f>(N512/N10)/1.983</f>
        <v>596.08283311372463</v>
      </c>
      <c r="O513" s="10">
        <f>(O512/O10)/1.983</f>
        <v>343.63758614893254</v>
      </c>
      <c r="P513" s="10">
        <f>(P512/P10)/1.983</f>
        <v>330.99084150765378</v>
      </c>
      <c r="Q513" s="38" t="s">
        <v>852</v>
      </c>
      <c r="R513" s="38" t="s">
        <v>852</v>
      </c>
    </row>
    <row r="514" spans="1:20" ht="15.75" customHeight="1" x14ac:dyDescent="0.3">
      <c r="A514" s="262" t="s">
        <v>2432</v>
      </c>
      <c r="B514" s="10">
        <f>B512+B565</f>
        <v>37718</v>
      </c>
      <c r="C514" s="10">
        <f>C512+C565</f>
        <v>53333</v>
      </c>
      <c r="D514" s="10">
        <f>D512+D565</f>
        <v>81979</v>
      </c>
      <c r="E514" s="38">
        <f>SUM(B514:D514)</f>
        <v>173030</v>
      </c>
      <c r="F514" s="10">
        <f>F512+F565</f>
        <v>113132</v>
      </c>
      <c r="G514" s="10">
        <f>G512+G565</f>
        <v>120359</v>
      </c>
      <c r="H514" s="10">
        <f>H512+H565</f>
        <v>141195</v>
      </c>
      <c r="I514" s="38">
        <f>SUM(F514:H514)</f>
        <v>374686</v>
      </c>
      <c r="J514" s="10">
        <f>J512+J565</f>
        <v>134221</v>
      </c>
      <c r="K514" s="10">
        <f>K512+K565</f>
        <v>101608</v>
      </c>
      <c r="L514" s="10">
        <f>L512+L565</f>
        <v>70344</v>
      </c>
      <c r="M514" s="38">
        <f>SUM(J514:L514)</f>
        <v>306173</v>
      </c>
      <c r="N514" s="10">
        <f>N512+N565</f>
        <v>48390</v>
      </c>
      <c r="O514" s="10">
        <f>O512+O565</f>
        <v>24313</v>
      </c>
      <c r="P514" s="10">
        <f>P512+P565</f>
        <v>31426</v>
      </c>
      <c r="Q514" s="38">
        <f>SUM(N514:P514)</f>
        <v>104129</v>
      </c>
      <c r="R514" s="38">
        <f>+E514+I514+M514+Q514</f>
        <v>958018</v>
      </c>
    </row>
    <row r="515" spans="1:20" s="574" customFormat="1" ht="16.5" customHeight="1" thickBot="1" x14ac:dyDescent="0.35">
      <c r="A515" s="576" t="s">
        <v>104</v>
      </c>
      <c r="B515" s="744">
        <f>(B514/B10)/1.983</f>
        <v>613.5701852845965</v>
      </c>
      <c r="C515" s="744">
        <f>(C514/C10)/1.983</f>
        <v>960.53958648512355</v>
      </c>
      <c r="D515" s="744">
        <f>(D514/D10)/1.983</f>
        <v>1333.5773428985083</v>
      </c>
      <c r="E515" s="578" t="s">
        <v>852</v>
      </c>
      <c r="F515" s="744">
        <f>(F514/F10)/1.983</f>
        <v>1901.6977643301393</v>
      </c>
      <c r="G515" s="744">
        <f>(G514/G10)/1.983</f>
        <v>1957.9164836594928</v>
      </c>
      <c r="H515" s="744">
        <f>(H514/H10)/1.983</f>
        <v>2373.4241048915783</v>
      </c>
      <c r="I515" s="578" t="s">
        <v>852</v>
      </c>
      <c r="J515" s="744">
        <f>(J514/J10)/1.983</f>
        <v>2183.4138564898412</v>
      </c>
      <c r="K515" s="744">
        <f>(K514/K10)/1.983</f>
        <v>1652.8882598864541</v>
      </c>
      <c r="L515" s="744">
        <f>(L514/L10)/1.983</f>
        <v>1182.4508320726172</v>
      </c>
      <c r="M515" s="578" t="s">
        <v>852</v>
      </c>
      <c r="N515" s="744">
        <f>(N514/N10)/1.983</f>
        <v>787.1748572544044</v>
      </c>
      <c r="O515" s="744">
        <f>(O514/O10)/1.983</f>
        <v>408.69053622457551</v>
      </c>
      <c r="P515" s="744">
        <f>(P514/P10)/1.983</f>
        <v>511.21630634587541</v>
      </c>
      <c r="Q515" s="578" t="s">
        <v>852</v>
      </c>
      <c r="R515" s="578" t="s">
        <v>852</v>
      </c>
    </row>
    <row r="516" spans="1:20" ht="15.75" customHeight="1" x14ac:dyDescent="0.3">
      <c r="A516" s="351" t="s">
        <v>1011</v>
      </c>
      <c r="B516" s="352">
        <f>B$517+(SUMIF($T$330:$T$491,"FLG",B$337:B$509)/B10/1.98)+(SUMIF($T$330:$T$491,"FCA",B$337:B$509)/B10/1.98)+(SUMIF($T$330:$T$491,"NSC",B$337:B$509)/B10/1.98)</f>
        <v>298.23682138844896</v>
      </c>
      <c r="C516" s="352">
        <f>C$517+(SUMIF($T$330:$T$491,"FLG",C$337:C$509)/C10/1.98)+(SUMIF($T$330:$T$491,"FCA",C$337:C$509)/C10/1.98)+(SUMIF($T$330:$T$491,"NSC",C$337:C$509)/C10/1.98)</f>
        <v>586.36404568704108</v>
      </c>
      <c r="D516" s="352">
        <f>D$517+(SUMIF($T$330:$T$491,"FLG",D$337:D$509)/D10/1.98)+(SUMIF($T$330:$T$491,"FCA",D$337:D$509)/D10/1.98)+(SUMIF($T$330:$T$491,"NSC",D$337:D$509)/D10/1.98)</f>
        <v>820.20579125893653</v>
      </c>
      <c r="E516" s="329"/>
      <c r="F516" s="352">
        <f>F$517+(SUMIF($T$330:$T$491,"FLG",F$337:F$509)/F10/1.98)+(SUMIF($T$330:$T$491,"FCA",F$337:F$509)/F10/1.98)+(SUMIF($T$330:$T$491,"NSC",F$337:F$509)/F10/1.98)</f>
        <v>1214.7914851999572</v>
      </c>
      <c r="G516" s="352">
        <f>G$517+(SUMIF($T$330:$T$491,"FLG",G$337:G$509)/G10/1.98)+(SUMIF($T$330:$T$491,"FCA",G$337:G$509)/G10/1.98)+(SUMIF($T$330:$T$491,"NSC",G$337:G$509)/G10/1.98)</f>
        <v>1145.6831010805925</v>
      </c>
      <c r="H516" s="352">
        <f>H$517+(SUMIF($T$330:$T$491,"FLG",H$337:H$509)/H10/1.98)+(SUMIF($T$330:$T$491,"FCA",H$337:H$509)/H10/1.98)+(SUMIF($T$330:$T$491,"NSC",H$337:H$509)/H10/1.98)</f>
        <v>1503.6359051941502</v>
      </c>
      <c r="I516" s="350"/>
      <c r="J516" s="352">
        <f>J$517+(SUMIF($T$330:$T$491,"FLG",J$337:J$509)/J10/1.98)+(SUMIF($T$330:$T$491,"FCA",J$337:J$509)/J10/1.98)+(SUMIF($T$330:$T$491,"NSC",J$337:J$509)/J10/1.98)</f>
        <v>1238.1904792890102</v>
      </c>
      <c r="K516" s="352">
        <f>K$517+(SUMIF($T$330:$T$491,"FLG",K$337:K$509)/K10/1.98)+(SUMIF($T$330:$T$491,"FCA",K$337:K$509)/K10/1.98)+(SUMIF($T$330:$T$491,"NSC",K$337:K$509)/K10/1.98)</f>
        <v>1012.4504278547515</v>
      </c>
      <c r="L516" s="352">
        <f>L$517+(SUMIF($T$330:$T$491,"FLG",L$337:L$509)/L10/1.98)+(SUMIF($T$330:$T$491,"FCA",L$337:L$509)/L10/1.98)+(SUMIF($T$330:$T$491,"NSC",L$337:L$509)/L10/1.98)</f>
        <v>709.22500343831655</v>
      </c>
      <c r="M516" s="350"/>
      <c r="N516" s="352">
        <f>N$517+(SUMIF($T$330:$T$491,"FLG",N$337:N$509)/N10/1.98)+(SUMIF($T$330:$T$491,"FCA",N$337:N$509)/N10/1.98)+(SUMIF($T$330:$T$491,"NSC",N$337:N$509)/N10/1.98)</f>
        <v>377.26015708300611</v>
      </c>
      <c r="O516" s="352">
        <f>O$517+(SUMIF($T$330:$T$491,"FLG",O$337:O$509)/O10/1.98)+(SUMIF($T$330:$T$491,"FCA",O$337:O$509)/O10/1.98)+(SUMIF($T$330:$T$491,"NSC",O$337:O$509)/O10/1.98)</f>
        <v>229.32904435173725</v>
      </c>
      <c r="P516" s="352">
        <f>P$517+(SUMIF($T$330:$T$491,"FLG",P$337:P$509)/P10/1.98)+(SUMIF($T$330:$T$491,"FCA",P$337:P$509)/P10/1.98)+(SUMIF($T$330:$T$491,"NSC",P$337:P$509)/P10/1.98)</f>
        <v>279.00356845503495</v>
      </c>
      <c r="Q516" s="350"/>
      <c r="R516" s="350"/>
    </row>
    <row r="517" spans="1:20" ht="15.75" customHeight="1" x14ac:dyDescent="0.3">
      <c r="A517" s="351" t="s">
        <v>1012</v>
      </c>
      <c r="B517" s="352">
        <f>B$518+(SUMIF($T$330:$T$491,"FCI",B$337:B$509)/B10/1.98)+(SUMIF($T$330:$T$491,"FCC",B$337:B$509)/B10/1.98)</f>
        <v>298.23682138844896</v>
      </c>
      <c r="C517" s="352">
        <f>C$518+(SUMIF($T$330:$T$491,"FCI",C$337:C$509)/C10/1.98)+(SUMIF($T$330:$T$491,"FCC",C$337:C$509)/C10/1.98)</f>
        <v>586.36404568704108</v>
      </c>
      <c r="D517" s="352">
        <f>D$518+(SUMIF($T$330:$T$491,"FCI",D$337:D$509)/D10/1.98)+(SUMIF($T$330:$T$491,"FCC",D$337:D$509)/D10/1.98)</f>
        <v>820.20579125893653</v>
      </c>
      <c r="E517" s="329"/>
      <c r="F517" s="352">
        <f>F$518+(SUMIF($T$330:$T$491,"FCI",F$337:F$509)/F10/1.98)+(SUMIF($T$330:$T$491,"FCC",F$337:F$509)/F10/1.98)</f>
        <v>1214.7914851999572</v>
      </c>
      <c r="G517" s="352">
        <f>G$518+(SUMIF($T$330:$T$491,"FCI",G$337:G$509)/G10/1.98)+(SUMIF($T$330:$T$491,"FCC",G$337:G$509)/G10/1.98)</f>
        <v>1145.6831010805925</v>
      </c>
      <c r="H517" s="352">
        <f>H$518+(SUMIF($T$330:$T$491,"FCI",H$337:H$509)/H10/1.98)+(SUMIF($T$330:$T$491,"FCC",H$337:H$509)/H10/1.98)</f>
        <v>1503.6359051941502</v>
      </c>
      <c r="I517" s="350"/>
      <c r="J517" s="352">
        <f>J$518+(SUMIF($T$330:$T$491,"FCI",J$337:J$509)/J10/1.98)+(SUMIF($T$330:$T$491,"FCC",J$337:J$509)/J10/1.98)</f>
        <v>1238.1904792890102</v>
      </c>
      <c r="K517" s="352">
        <f>K$518+(SUMIF($T$330:$T$491,"FCI",K$337:K$509)/K10/1.98)+(SUMIF($T$330:$T$491,"FCC",K$337:K$509)/K10/1.98)</f>
        <v>1012.4504278547515</v>
      </c>
      <c r="L517" s="352">
        <f>L$518+(SUMIF($T$330:$T$491,"FCI",L$337:L$509)/L10/1.98)+(SUMIF($T$330:$T$491,"FCC",L$337:L$509)/L10/1.98)</f>
        <v>709.22500343831655</v>
      </c>
      <c r="M517" s="350"/>
      <c r="N517" s="352">
        <f>N$518+(SUMIF($T$330:$T$491,"FCI",N$337:N$509)/N10/1.98)+(SUMIF($T$330:$T$491,"FCC",N$337:N$509)/N10/1.98)</f>
        <v>377.26015708300611</v>
      </c>
      <c r="O517" s="352">
        <f>O$518+(SUMIF($T$330:$T$491,"FCI",O$337:O$509)/O10/1.98)+(SUMIF($T$330:$T$491,"FCC",O$337:O$509)/O10/1.98)</f>
        <v>229.32904435173725</v>
      </c>
      <c r="P517" s="352">
        <f>P$518+(SUMIF($T$330:$T$491,"FCI",P$337:P$509)/P10/1.98)+(SUMIF($T$330:$T$491,"FCC",P$337:P$509)/P10/1.98)</f>
        <v>279.00356845503495</v>
      </c>
      <c r="Q517" s="350"/>
      <c r="R517" s="350"/>
    </row>
    <row r="518" spans="1:20" ht="15.75" customHeight="1" x14ac:dyDescent="0.3">
      <c r="A518" s="351" t="s">
        <v>1013</v>
      </c>
      <c r="B518" s="352">
        <f>B$519+(SUMIF($T$330:$T$491,"PIL",B$337:B$509)/B10/1.98)+(SUMIF($T$330:$T$491,"KLK",B$337:B$509)/B10/1.98)</f>
        <v>298.23682138844896</v>
      </c>
      <c r="C518" s="352">
        <f>C$519+(SUMIF($T$330:$T$491,"PIL",C$337:C$509)/C10/1.98)+(SUMIF($T$330:$T$491,"KLK",C$337:C$509)/C10/1.98)</f>
        <v>586.36404568704108</v>
      </c>
      <c r="D518" s="352">
        <f>D$519+(SUMIF($T$330:$T$491,"PIL",D$337:D$509)/D10/1.98)+(SUMIF($T$330:$T$491,"KLK",D$337:D$509)/D10/1.98)</f>
        <v>820.20579125893653</v>
      </c>
      <c r="E518" s="329"/>
      <c r="F518" s="352">
        <f>F$519+(SUMIF($T$330:$T$491,"PIL",F$337:F$509)/F10/1.98)+(SUMIF($T$330:$T$491,"KLK",F$337:F$509)/F10/1.98)</f>
        <v>1214.7914851999572</v>
      </c>
      <c r="G518" s="352">
        <f>G$519+(SUMIF($T$330:$T$491,"PIL",G$337:G$509)/G10/1.98)+(SUMIF($T$330:$T$491,"KLK",G$337:G$509)/G10/1.98)</f>
        <v>1145.6831010805925</v>
      </c>
      <c r="H518" s="352">
        <f>H$519+(SUMIF($T$330:$T$491,"PIL",H$337:H$509)/H10/1.98)+(SUMIF($T$330:$T$491,"KLK",H$337:H$509)/H10/1.98)</f>
        <v>1503.6359051941502</v>
      </c>
      <c r="I518" s="350"/>
      <c r="J518" s="352">
        <f>J$519+(SUMIF($T$330:$T$491,"PIL",J$337:J$509)/J10/1.98)+(SUMIF($T$330:$T$491,"KLK",J$337:J$509)/J10/1.98)</f>
        <v>1238.1904792890102</v>
      </c>
      <c r="K518" s="352">
        <f>K$519+(SUMIF($T$330:$T$491,"PIL",K$337:K$509)/K10/1.98)+(SUMIF($T$330:$T$491,"KLK",K$337:K$509)/K10/1.98)</f>
        <v>1012.4504278547515</v>
      </c>
      <c r="L518" s="352">
        <f>L$519+(SUMIF($T$330:$T$491,"PIL",L$337:L$509)/L10/1.98)+(SUMIF($T$330:$T$491,"KLK",L$337:L$509)/L10/1.98)</f>
        <v>709.22500343831655</v>
      </c>
      <c r="M518" s="350"/>
      <c r="N518" s="352">
        <f>N$519+(SUMIF($T$330:$T$491,"PIL",N$337:N$509)/N10/1.98)+(SUMIF($T$330:$T$491,"KLK",N$337:N$509)/N10/1.98)</f>
        <v>377.26015708300611</v>
      </c>
      <c r="O518" s="352">
        <f>O$519+(SUMIF($T$330:$T$491,"PIL",O$337:O$509)/O10/1.98)+(SUMIF($T$330:$T$491,"KLK",O$337:O$509)/O10/1.98)</f>
        <v>229.32904435173725</v>
      </c>
      <c r="P518" s="352">
        <f>P$519+(SUMIF($T$330:$T$491,"PIL",P$337:P$509)/P10/1.98)+(SUMIF($T$330:$T$491,"KLK",P$337:P$509)/P10/1.98)</f>
        <v>279.00356845503495</v>
      </c>
      <c r="Q518" s="350"/>
      <c r="R518" s="350"/>
    </row>
    <row r="519" spans="1:20" ht="15.75" customHeight="1" x14ac:dyDescent="0.3">
      <c r="A519" s="351" t="s">
        <v>1014</v>
      </c>
      <c r="B519" s="352">
        <f>B$520+(SUMIF($T$330:$T$491,"CGE",B$337:B$509)/B10/1.98)</f>
        <v>298.23682138844896</v>
      </c>
      <c r="C519" s="352">
        <f>C$520+(SUMIF($T$330:$T$491,"CGE",C$337:C$509)/C10/1.98)</f>
        <v>586.36404568704108</v>
      </c>
      <c r="D519" s="352">
        <f>D$520+(SUMIF($T$330:$T$491,"CGE",D$337:D$509)/D10/1.98)</f>
        <v>820.20579125893653</v>
      </c>
      <c r="E519" s="329"/>
      <c r="F519" s="352">
        <f>F$520+(SUMIF($T$330:$T$491,"CGE",F$337:F$509)/F10/1.98)</f>
        <v>1214.7914851999572</v>
      </c>
      <c r="G519" s="352">
        <f>G$520+(SUMIF($T$330:$T$491,"CGE",G$337:G$509)/G10/1.98)</f>
        <v>1145.6831010805925</v>
      </c>
      <c r="H519" s="352">
        <f>H$520+(SUMIF($T$330:$T$491,"CGE",H$337:H$509)/H10/1.98)</f>
        <v>1503.1813597396047</v>
      </c>
      <c r="I519" s="350"/>
      <c r="J519" s="352">
        <f>J$520+(SUMIF($T$330:$T$491,"CGE",J$337:J$509)/J10/1.98)</f>
        <v>1238.1904792890102</v>
      </c>
      <c r="K519" s="352">
        <f>K$520+(SUMIF($T$330:$T$491,"CGE",K$337:K$509)/K10/1.98)</f>
        <v>987.67036920372516</v>
      </c>
      <c r="L519" s="352">
        <f>L$520+(SUMIF($T$330:$T$491,"CGE",L$337:L$509)/L10/1.98)</f>
        <v>693.58527279858595</v>
      </c>
      <c r="M519" s="350"/>
      <c r="N519" s="352">
        <f>N$520+(SUMIF($T$330:$T$491,"CGE",N$337:N$509)/N10/1.98)</f>
        <v>377.26015708300611</v>
      </c>
      <c r="O519" s="352">
        <f>O$520+(SUMIF($T$330:$T$491,"CGE",O$337:O$509)/O10/1.98)</f>
        <v>229.32904435173725</v>
      </c>
      <c r="P519" s="352">
        <f>P$520+(SUMIF($T$330:$T$491,"CGE",P$337:P$509)/P10/1.98)</f>
        <v>279.00356845503495</v>
      </c>
      <c r="Q519" s="350"/>
      <c r="R519" s="350"/>
    </row>
    <row r="520" spans="1:20" ht="15.75" customHeight="1" x14ac:dyDescent="0.3">
      <c r="A520" s="351" t="s">
        <v>1015</v>
      </c>
      <c r="B520" s="352">
        <f>B$521+(SUMIF($T$330:$T$491,"SRO",B$337:B$509)/B10/1.98)</f>
        <v>298.23682138844896</v>
      </c>
      <c r="C520" s="352">
        <f>C$521+(SUMIF($T$330:$T$491,"SRO",C$337:C$509)/C10/1.98)</f>
        <v>580.95279027578567</v>
      </c>
      <c r="D520" s="352">
        <f>D$521+(SUMIF($T$330:$T$491,"SRO",D$337:D$509)/D10/1.98)</f>
        <v>807.17222983827833</v>
      </c>
      <c r="E520" s="329"/>
      <c r="F520" s="352">
        <f>F$521+(SUMIF($T$330:$T$491,"SRO",F$337:F$509)/F10/1.98)</f>
        <v>1203.0069734154454</v>
      </c>
      <c r="G520" s="352">
        <f>G$521+(SUMIF($T$330:$T$491,"SRO",G$337:G$509)/G10/1.98)</f>
        <v>1132.6495396599344</v>
      </c>
      <c r="H520" s="352">
        <f>H$521+(SUMIF($T$330:$T$491,"SRO",H$337:H$509)/H10/1.98)</f>
        <v>1489.7133462715913</v>
      </c>
      <c r="I520" s="350"/>
      <c r="J520" s="352">
        <f>J$521+(SUMIF($T$330:$T$491,"SRO",J$337:J$509)/J10/1.98)</f>
        <v>1225.1569178683521</v>
      </c>
      <c r="K520" s="352">
        <f>K$521+(SUMIF($T$330:$T$491,"SRO",K$337:K$509)/K10/1.98)</f>
        <v>987.67036920372516</v>
      </c>
      <c r="L520" s="352">
        <f>L$521+(SUMIF($T$330:$T$491,"SRO",L$337:L$509)/L10/1.98)</f>
        <v>693.58527279858595</v>
      </c>
      <c r="M520" s="350"/>
      <c r="N520" s="352">
        <f>N$521+(SUMIF($T$330:$T$491,"SRO",N$337:N$509)/N10/1.98)</f>
        <v>377.26015708300611</v>
      </c>
      <c r="O520" s="352">
        <f>O$521+(SUMIF($T$330:$T$491,"SRO",O$337:O$509)/O10/1.98)</f>
        <v>229.32904435173725</v>
      </c>
      <c r="P520" s="352">
        <f>P$521+(SUMIF($T$330:$T$491,"SRO",P$337:P$509)/P10/1.98)</f>
        <v>279.00356845503495</v>
      </c>
      <c r="Q520" s="350"/>
      <c r="R520" s="350"/>
    </row>
    <row r="521" spans="1:20" ht="15.75" customHeight="1" x14ac:dyDescent="0.3">
      <c r="A521" s="351" t="s">
        <v>130</v>
      </c>
      <c r="B521" s="352">
        <f>B$565/B10/1.983</f>
        <v>260.47207717209182</v>
      </c>
      <c r="C521" s="352">
        <f>C$565/C10/1.983</f>
        <v>416.39651321950862</v>
      </c>
      <c r="D521" s="352">
        <f>D$565/D10/1.983</f>
        <v>567.40357555349499</v>
      </c>
      <c r="E521" s="353"/>
      <c r="F521" s="352">
        <f>F$565/F10/1.983</f>
        <v>748.73087913935115</v>
      </c>
      <c r="G521" s="352">
        <f>G$565/G10/1.983</f>
        <v>655.60489971206869</v>
      </c>
      <c r="H521" s="352">
        <f>H$565/H10/1.983</f>
        <v>855.85812741637244</v>
      </c>
      <c r="I521" s="10"/>
      <c r="J521" s="352">
        <f>J$565/J10/1.983</f>
        <v>891.05786280155507</v>
      </c>
      <c r="K521" s="352">
        <f>K$565/K10/1.983</f>
        <v>707.44879865957398</v>
      </c>
      <c r="L521" s="352">
        <f>L$565/L10/1.983</f>
        <v>444.83106404437717</v>
      </c>
      <c r="M521" s="700"/>
      <c r="N521" s="352">
        <f>N$565/N10/1.983</f>
        <v>191.09202414067963</v>
      </c>
      <c r="O521" s="352">
        <f>O$565/O10/1.983</f>
        <v>65.052950075642968</v>
      </c>
      <c r="P521" s="352">
        <f>P$565/P10/1.983</f>
        <v>180.22546483822165</v>
      </c>
      <c r="Q521" s="700"/>
      <c r="R521" s="350"/>
    </row>
    <row r="522" spans="1:20" ht="15.75" customHeight="1" x14ac:dyDescent="0.3">
      <c r="A522" s="351"/>
      <c r="B522" s="352"/>
      <c r="C522" s="352"/>
      <c r="D522" s="352"/>
      <c r="E522" s="353"/>
      <c r="F522" s="352"/>
      <c r="G522" s="352"/>
      <c r="H522" s="352"/>
      <c r="I522" s="10"/>
      <c r="J522" s="352"/>
      <c r="K522" s="352"/>
      <c r="L522" s="352"/>
      <c r="M522" s="700"/>
      <c r="N522" s="352"/>
      <c r="O522" s="352"/>
      <c r="P522" s="352"/>
      <c r="Q522" s="700"/>
      <c r="R522" s="350"/>
    </row>
    <row r="523" spans="1:20" ht="15.75" customHeight="1" thickBot="1" x14ac:dyDescent="0.35">
      <c r="A523" s="18"/>
      <c r="B523" s="10"/>
      <c r="C523" s="10"/>
      <c r="D523" s="10"/>
      <c r="E523" s="10"/>
      <c r="F523" s="10"/>
      <c r="G523" s="10"/>
      <c r="H523" s="10"/>
      <c r="I523" s="10"/>
      <c r="J523" s="10"/>
      <c r="K523" s="10"/>
      <c r="L523" s="10"/>
      <c r="M523" s="10"/>
      <c r="N523" s="10"/>
      <c r="O523" s="10"/>
      <c r="P523" s="10"/>
      <c r="Q523" s="10"/>
      <c r="R523" s="17"/>
    </row>
    <row r="524" spans="1:20" ht="16.5" customHeight="1" thickBot="1" x14ac:dyDescent="0.35">
      <c r="A524" s="240" t="s">
        <v>813</v>
      </c>
      <c r="B524" s="4" t="s">
        <v>2090</v>
      </c>
      <c r="C524" s="5" t="s">
        <v>2091</v>
      </c>
      <c r="D524" s="5" t="s">
        <v>2234</v>
      </c>
      <c r="E524" s="33" t="s">
        <v>1594</v>
      </c>
      <c r="F524" s="5" t="s">
        <v>2235</v>
      </c>
      <c r="G524" s="5" t="s">
        <v>2236</v>
      </c>
      <c r="H524" s="5" t="s">
        <v>2237</v>
      </c>
      <c r="I524" s="35" t="s">
        <v>1595</v>
      </c>
      <c r="J524" s="5" t="s">
        <v>1504</v>
      </c>
      <c r="K524" s="5" t="s">
        <v>1505</v>
      </c>
      <c r="L524" s="5" t="s">
        <v>1506</v>
      </c>
      <c r="M524" s="35" t="s">
        <v>1596</v>
      </c>
      <c r="N524" s="5" t="s">
        <v>1507</v>
      </c>
      <c r="O524" s="5" t="s">
        <v>1508</v>
      </c>
      <c r="P524" s="5" t="s">
        <v>1509</v>
      </c>
      <c r="Q524" s="35" t="s">
        <v>1597</v>
      </c>
      <c r="R524" s="36" t="s">
        <v>1510</v>
      </c>
    </row>
    <row r="525" spans="1:20" ht="16.5" customHeight="1" thickBot="1" x14ac:dyDescent="0.35">
      <c r="A525" s="37"/>
      <c r="B525" s="313"/>
      <c r="C525" s="313"/>
      <c r="D525" s="313"/>
      <c r="E525" s="308"/>
      <c r="F525" s="313"/>
      <c r="G525" s="313"/>
      <c r="H525" s="313"/>
      <c r="I525" s="316"/>
      <c r="J525" s="313"/>
      <c r="K525" s="313"/>
      <c r="L525" s="313"/>
      <c r="M525" s="316"/>
      <c r="N525" s="313"/>
      <c r="O525" s="313"/>
      <c r="P525" s="313"/>
      <c r="Q525" s="316"/>
      <c r="R525" s="52"/>
    </row>
    <row r="526" spans="1:20" ht="15.75" customHeight="1" x14ac:dyDescent="0.3">
      <c r="A526" s="234" t="s">
        <v>2417</v>
      </c>
      <c r="B526" s="10" t="s">
        <v>852</v>
      </c>
      <c r="C526" s="10" t="s">
        <v>852</v>
      </c>
      <c r="D526" s="10" t="s">
        <v>852</v>
      </c>
      <c r="E526" s="38" t="s">
        <v>852</v>
      </c>
      <c r="F526" s="10"/>
      <c r="G526" s="10"/>
      <c r="H526" s="10"/>
      <c r="I526" s="38" t="s">
        <v>852</v>
      </c>
      <c r="J526" s="10" t="s">
        <v>852</v>
      </c>
      <c r="K526" s="10" t="s">
        <v>852</v>
      </c>
      <c r="L526" s="10" t="s">
        <v>852</v>
      </c>
      <c r="M526" s="38" t="s">
        <v>852</v>
      </c>
      <c r="N526" s="10" t="s">
        <v>852</v>
      </c>
      <c r="O526" s="10" t="s">
        <v>852</v>
      </c>
      <c r="P526" s="10" t="s">
        <v>852</v>
      </c>
      <c r="Q526" s="38" t="s">
        <v>852</v>
      </c>
      <c r="R526" s="38" t="s">
        <v>852</v>
      </c>
    </row>
    <row r="527" spans="1:20" ht="15.75" customHeight="1" x14ac:dyDescent="0.3">
      <c r="A527" s="234" t="s">
        <v>2160</v>
      </c>
      <c r="B527" s="10"/>
      <c r="C527" s="10"/>
      <c r="D527" s="10"/>
      <c r="E527" s="38" t="s">
        <v>852</v>
      </c>
      <c r="F527" s="10"/>
      <c r="G527" s="10"/>
      <c r="H527" s="10"/>
      <c r="I527" s="38" t="s">
        <v>852</v>
      </c>
      <c r="J527" s="10"/>
      <c r="K527" s="10"/>
      <c r="L527" s="10"/>
      <c r="M527" s="38" t="s">
        <v>852</v>
      </c>
      <c r="N527" s="10"/>
      <c r="O527" s="10"/>
      <c r="P527" s="10"/>
      <c r="Q527" s="38" t="s">
        <v>852</v>
      </c>
      <c r="R527" s="38" t="s">
        <v>852</v>
      </c>
    </row>
    <row r="528" spans="1:20" ht="15.75" customHeight="1" x14ac:dyDescent="0.3">
      <c r="A528" s="539" t="s">
        <v>3145</v>
      </c>
      <c r="B528" s="10"/>
      <c r="C528" s="10"/>
      <c r="D528" s="10"/>
      <c r="E528" s="38">
        <f t="shared" ref="E528:E532" si="208">SUM(B528:D528)</f>
        <v>0</v>
      </c>
      <c r="F528" s="10">
        <v>8</v>
      </c>
      <c r="G528" s="10">
        <v>8</v>
      </c>
      <c r="H528" s="10">
        <v>10</v>
      </c>
      <c r="I528" s="38">
        <f t="shared" ref="I528:I532" si="209">SUM(F528:H528)</f>
        <v>26</v>
      </c>
      <c r="J528" s="10">
        <v>10</v>
      </c>
      <c r="K528" s="10">
        <v>10</v>
      </c>
      <c r="L528" s="10">
        <v>3</v>
      </c>
      <c r="M528" s="38">
        <f t="shared" ref="M528:M532" si="210">SUM(J528:L528)</f>
        <v>23</v>
      </c>
      <c r="N528" s="10">
        <v>2</v>
      </c>
      <c r="O528" s="10"/>
      <c r="P528" s="10"/>
      <c r="Q528" s="38">
        <f t="shared" ref="Q528:Q532" si="211">SUM(N528:P528)</f>
        <v>2</v>
      </c>
      <c r="R528" s="38">
        <f t="shared" ref="R528:R532" si="212">+E528+I528+M528+Q528</f>
        <v>51</v>
      </c>
      <c r="T528" t="s">
        <v>500</v>
      </c>
    </row>
    <row r="529" spans="1:20" ht="15.75" customHeight="1" x14ac:dyDescent="0.3">
      <c r="A529" s="539" t="s">
        <v>3141</v>
      </c>
      <c r="B529" s="10"/>
      <c r="C529" s="10"/>
      <c r="D529" s="10"/>
      <c r="E529" s="38">
        <f>SUM(B529:D529)</f>
        <v>0</v>
      </c>
      <c r="F529" s="10"/>
      <c r="G529" s="10"/>
      <c r="H529" s="10"/>
      <c r="I529" s="38">
        <f>SUM(F529:H529)</f>
        <v>0</v>
      </c>
      <c r="J529" s="10"/>
      <c r="K529" s="10"/>
      <c r="L529" s="10"/>
      <c r="M529" s="38">
        <f t="shared" si="210"/>
        <v>0</v>
      </c>
      <c r="N529" s="10"/>
      <c r="O529" s="10"/>
      <c r="P529" s="10"/>
      <c r="Q529" s="38">
        <f t="shared" si="211"/>
        <v>0</v>
      </c>
      <c r="R529" s="38">
        <f t="shared" si="212"/>
        <v>0</v>
      </c>
      <c r="T529" t="s">
        <v>500</v>
      </c>
    </row>
    <row r="530" spans="1:20" ht="15.75" customHeight="1" x14ac:dyDescent="0.3">
      <c r="A530" s="539" t="s">
        <v>3394</v>
      </c>
      <c r="B530" s="10"/>
      <c r="C530" s="10"/>
      <c r="D530" s="10"/>
      <c r="E530" s="38">
        <f t="shared" si="208"/>
        <v>0</v>
      </c>
      <c r="F530" s="10"/>
      <c r="G530" s="10"/>
      <c r="H530" s="10"/>
      <c r="I530" s="38">
        <f t="shared" si="209"/>
        <v>0</v>
      </c>
      <c r="J530" s="10"/>
      <c r="K530" s="10"/>
      <c r="L530" s="10"/>
      <c r="M530" s="38">
        <f t="shared" si="210"/>
        <v>0</v>
      </c>
      <c r="N530" s="10"/>
      <c r="O530" s="10"/>
      <c r="P530" s="10"/>
      <c r="Q530" s="38">
        <f t="shared" si="211"/>
        <v>0</v>
      </c>
      <c r="R530" s="38">
        <f t="shared" si="212"/>
        <v>0</v>
      </c>
    </row>
    <row r="531" spans="1:20" ht="15.75" customHeight="1" x14ac:dyDescent="0.3">
      <c r="A531" s="539" t="s">
        <v>2977</v>
      </c>
      <c r="C531" s="10"/>
      <c r="D531" s="10"/>
      <c r="E531" s="38">
        <f t="shared" si="208"/>
        <v>0</v>
      </c>
      <c r="F531" s="10"/>
      <c r="G531" s="10"/>
      <c r="H531" s="10">
        <v>2467</v>
      </c>
      <c r="I531" s="38">
        <f t="shared" si="209"/>
        <v>2467</v>
      </c>
      <c r="J531" s="10"/>
      <c r="K531" s="10"/>
      <c r="L531" s="10"/>
      <c r="M531" s="38">
        <f t="shared" si="210"/>
        <v>0</v>
      </c>
      <c r="N531" s="10"/>
      <c r="O531" s="10"/>
      <c r="P531" s="10"/>
      <c r="Q531" s="38">
        <f t="shared" si="211"/>
        <v>0</v>
      </c>
      <c r="R531" s="38">
        <f t="shared" si="212"/>
        <v>2467</v>
      </c>
      <c r="T531" t="s">
        <v>500</v>
      </c>
    </row>
    <row r="532" spans="1:20" ht="15.75" customHeight="1" x14ac:dyDescent="0.3">
      <c r="A532" s="410" t="s">
        <v>2795</v>
      </c>
      <c r="B532" s="10"/>
      <c r="C532" s="10"/>
      <c r="D532" s="10"/>
      <c r="E532" s="38">
        <f t="shared" si="208"/>
        <v>0</v>
      </c>
      <c r="F532" s="10"/>
      <c r="G532" s="10"/>
      <c r="H532" s="10"/>
      <c r="I532" s="38">
        <f t="shared" si="209"/>
        <v>0</v>
      </c>
      <c r="J532" s="10"/>
      <c r="K532" s="10"/>
      <c r="L532" s="10"/>
      <c r="M532" s="38">
        <f t="shared" si="210"/>
        <v>0</v>
      </c>
      <c r="N532" s="10"/>
      <c r="O532" s="10"/>
      <c r="P532" s="10"/>
      <c r="Q532" s="38">
        <f t="shared" si="211"/>
        <v>0</v>
      </c>
      <c r="R532" s="38">
        <f t="shared" si="212"/>
        <v>0</v>
      </c>
      <c r="T532" t="s">
        <v>500</v>
      </c>
    </row>
    <row r="533" spans="1:20" ht="15.75" customHeight="1" x14ac:dyDescent="0.3">
      <c r="A533" s="234" t="s">
        <v>2161</v>
      </c>
      <c r="B533" s="10"/>
      <c r="C533" s="10"/>
      <c r="D533" s="10"/>
      <c r="E533" s="38" t="s">
        <v>852</v>
      </c>
      <c r="F533" s="10"/>
      <c r="G533" s="10"/>
      <c r="H533" s="10"/>
      <c r="I533" s="38" t="s">
        <v>852</v>
      </c>
      <c r="J533" s="10"/>
      <c r="K533" s="10"/>
      <c r="L533" s="10"/>
      <c r="M533" s="38" t="s">
        <v>852</v>
      </c>
      <c r="N533" s="10"/>
      <c r="O533" s="10"/>
      <c r="P533" s="10"/>
      <c r="Q533" s="38" t="s">
        <v>852</v>
      </c>
      <c r="R533" s="38" t="s">
        <v>852</v>
      </c>
    </row>
    <row r="534" spans="1:20" ht="15.75" customHeight="1" x14ac:dyDescent="0.3">
      <c r="A534" s="310" t="s">
        <v>1065</v>
      </c>
      <c r="B534" s="10"/>
      <c r="C534" s="10"/>
      <c r="D534" s="10"/>
      <c r="E534" s="38">
        <f>SUM(B534:D534)</f>
        <v>0</v>
      </c>
      <c r="F534" s="10"/>
      <c r="G534" s="10"/>
      <c r="H534" s="10"/>
      <c r="I534" s="38">
        <f>SUM(F534:H534)</f>
        <v>0</v>
      </c>
      <c r="J534" s="10"/>
      <c r="K534" s="10"/>
      <c r="L534" s="10"/>
      <c r="M534" s="38">
        <f>SUM(J534:L534)</f>
        <v>0</v>
      </c>
      <c r="N534" s="10"/>
      <c r="O534" s="10"/>
      <c r="P534" s="10"/>
      <c r="Q534" s="38">
        <f>SUM(N534:P534)</f>
        <v>0</v>
      </c>
      <c r="R534" s="38">
        <f>+E534+I534+M534+Q534</f>
        <v>0</v>
      </c>
    </row>
    <row r="535" spans="1:20" ht="15.75" customHeight="1" x14ac:dyDescent="0.3">
      <c r="A535" s="310" t="s">
        <v>355</v>
      </c>
      <c r="B535" s="10"/>
      <c r="C535" s="10"/>
      <c r="D535" s="10"/>
      <c r="E535" s="38">
        <f>SUM(B535:D535)</f>
        <v>0</v>
      </c>
      <c r="F535" s="10"/>
      <c r="G535" s="10"/>
      <c r="H535" s="10"/>
      <c r="I535" s="38">
        <f>SUM(F535:H535)</f>
        <v>0</v>
      </c>
      <c r="J535" s="10"/>
      <c r="K535" s="10"/>
      <c r="L535" s="10"/>
      <c r="M535" s="38">
        <f>SUM(J535:L535)</f>
        <v>0</v>
      </c>
      <c r="N535" s="10"/>
      <c r="O535" s="10"/>
      <c r="P535" s="10"/>
      <c r="Q535" s="38">
        <f>SUM(N535:P535)</f>
        <v>0</v>
      </c>
      <c r="R535" s="38">
        <f>+E535+I535+M535+Q535</f>
        <v>0</v>
      </c>
    </row>
    <row r="536" spans="1:20" ht="15.75" customHeight="1" x14ac:dyDescent="0.3">
      <c r="A536" s="234" t="s">
        <v>3245</v>
      </c>
      <c r="B536" s="10"/>
      <c r="C536" s="10"/>
      <c r="D536" s="10"/>
      <c r="E536" s="38" t="s">
        <v>852</v>
      </c>
      <c r="F536" s="10"/>
      <c r="G536" s="10"/>
      <c r="H536" s="10"/>
      <c r="I536" s="38" t="s">
        <v>852</v>
      </c>
      <c r="J536" s="10"/>
      <c r="K536" s="10"/>
      <c r="L536" s="10"/>
      <c r="M536" s="38" t="s">
        <v>852</v>
      </c>
      <c r="N536" s="10"/>
      <c r="O536" s="10"/>
      <c r="P536" s="10"/>
      <c r="Q536" s="38" t="s">
        <v>852</v>
      </c>
      <c r="R536" s="38" t="s">
        <v>852</v>
      </c>
    </row>
    <row r="537" spans="1:20" ht="15.75" customHeight="1" thickBot="1" x14ac:dyDescent="0.35">
      <c r="A537" s="234" t="s">
        <v>2164</v>
      </c>
      <c r="B537" s="10"/>
      <c r="C537" s="10"/>
      <c r="D537" s="10"/>
      <c r="E537" s="38" t="s">
        <v>852</v>
      </c>
      <c r="F537" s="10"/>
      <c r="G537" s="10"/>
      <c r="H537" s="10"/>
      <c r="I537" s="38" t="s">
        <v>852</v>
      </c>
      <c r="J537" s="10"/>
      <c r="K537" s="10"/>
      <c r="L537" s="10"/>
      <c r="M537" s="38" t="s">
        <v>852</v>
      </c>
      <c r="N537" s="10"/>
      <c r="O537" s="10"/>
      <c r="P537" s="10"/>
      <c r="Q537" s="38" t="s">
        <v>852</v>
      </c>
      <c r="R537" s="38" t="s">
        <v>852</v>
      </c>
    </row>
    <row r="538" spans="1:20" ht="16.5" customHeight="1" thickBot="1" x14ac:dyDescent="0.35">
      <c r="A538" s="322" t="s">
        <v>1218</v>
      </c>
      <c r="B538" s="45">
        <f>SUM(B526:B537)</f>
        <v>0</v>
      </c>
      <c r="C538" s="46">
        <f>SUM(C526:C537)</f>
        <v>0</v>
      </c>
      <c r="D538" s="46">
        <f>SUM(D526:D537)</f>
        <v>0</v>
      </c>
      <c r="E538" s="37">
        <f>SUM(B538:D538)</f>
        <v>0</v>
      </c>
      <c r="F538" s="46">
        <f>SUM(F526:F537)</f>
        <v>8</v>
      </c>
      <c r="G538" s="46">
        <f>SUM(G526:G537)</f>
        <v>8</v>
      </c>
      <c r="H538" s="46">
        <f>SUM(H526:H537)</f>
        <v>2477</v>
      </c>
      <c r="I538" s="37">
        <f>SUM(F538:H538)</f>
        <v>2493</v>
      </c>
      <c r="J538" s="46">
        <f>SUM(J526:J537)</f>
        <v>10</v>
      </c>
      <c r="K538" s="46">
        <f>SUM(K526:K537)</f>
        <v>10</v>
      </c>
      <c r="L538" s="46">
        <f>SUM(L526:L537)</f>
        <v>3</v>
      </c>
      <c r="M538" s="37">
        <f>SUM(J538:L538)</f>
        <v>23</v>
      </c>
      <c r="N538" s="46">
        <f>SUM(N526:N537)</f>
        <v>2</v>
      </c>
      <c r="O538" s="46">
        <f>SUM(O526:O537)</f>
        <v>0</v>
      </c>
      <c r="P538" s="46">
        <f>SUM(P526:P537)</f>
        <v>0</v>
      </c>
      <c r="Q538" s="37">
        <f>SUM(N538:P538)</f>
        <v>2</v>
      </c>
      <c r="R538" s="37">
        <f>+E538+I538+M538+Q538</f>
        <v>2518</v>
      </c>
    </row>
    <row r="539" spans="1:20" ht="15.75" customHeight="1" x14ac:dyDescent="0.3">
      <c r="A539" s="234" t="s">
        <v>1172</v>
      </c>
      <c r="B539" s="10"/>
      <c r="C539" s="10"/>
      <c r="D539" s="10"/>
      <c r="E539" s="38" t="s">
        <v>852</v>
      </c>
      <c r="F539" s="10"/>
      <c r="G539" s="10"/>
      <c r="H539" s="10"/>
      <c r="I539" s="38" t="s">
        <v>852</v>
      </c>
      <c r="J539" s="10"/>
      <c r="K539" s="10"/>
      <c r="L539" s="10"/>
      <c r="M539" s="38" t="s">
        <v>852</v>
      </c>
      <c r="N539" s="10" t="s">
        <v>852</v>
      </c>
      <c r="O539" s="10"/>
      <c r="P539" s="10"/>
      <c r="Q539" s="38" t="s">
        <v>852</v>
      </c>
      <c r="R539" s="38" t="s">
        <v>852</v>
      </c>
    </row>
    <row r="540" spans="1:20" ht="15.75" customHeight="1" x14ac:dyDescent="0.3">
      <c r="A540" s="234" t="s">
        <v>2409</v>
      </c>
      <c r="B540" s="10"/>
      <c r="C540" s="10"/>
      <c r="D540" s="10"/>
      <c r="E540" s="38" t="s">
        <v>852</v>
      </c>
      <c r="F540" s="10"/>
      <c r="G540" s="10"/>
      <c r="H540" s="10"/>
      <c r="I540" s="38" t="s">
        <v>852</v>
      </c>
      <c r="J540" s="10"/>
      <c r="K540" s="10"/>
      <c r="L540" s="10"/>
      <c r="M540" s="38" t="s">
        <v>852</v>
      </c>
      <c r="N540" s="10"/>
      <c r="O540" s="10"/>
      <c r="P540" s="10"/>
      <c r="Q540" s="38" t="s">
        <v>852</v>
      </c>
      <c r="R540" s="38" t="s">
        <v>852</v>
      </c>
    </row>
    <row r="541" spans="1:20" ht="15.75" customHeight="1" x14ac:dyDescent="0.3">
      <c r="A541" s="310" t="s">
        <v>473</v>
      </c>
      <c r="B541" s="10">
        <v>165</v>
      </c>
      <c r="C541" s="10">
        <v>213</v>
      </c>
      <c r="D541" s="10">
        <v>3540</v>
      </c>
      <c r="E541" s="38">
        <f>SUM(B541:D541)</f>
        <v>3918</v>
      </c>
      <c r="F541" s="10">
        <v>9800</v>
      </c>
      <c r="G541" s="10">
        <v>6390</v>
      </c>
      <c r="H541" s="10">
        <v>8080</v>
      </c>
      <c r="I541" s="38">
        <f>SUM(F541:H541)</f>
        <v>24270</v>
      </c>
      <c r="J541" s="10">
        <v>10095</v>
      </c>
      <c r="K541" s="10">
        <v>9848</v>
      </c>
      <c r="L541" s="10">
        <v>1280</v>
      </c>
      <c r="M541" s="38">
        <f>SUM(J541:L541)</f>
        <v>21223</v>
      </c>
      <c r="N541" s="10">
        <v>620</v>
      </c>
      <c r="O541" s="10">
        <v>850</v>
      </c>
      <c r="P541" s="10">
        <v>597</v>
      </c>
      <c r="Q541" s="38">
        <f>SUM(N541:P541)</f>
        <v>2067</v>
      </c>
      <c r="R541" s="38">
        <f>+E541+I541+M541+Q541</f>
        <v>51478</v>
      </c>
    </row>
    <row r="542" spans="1:20" ht="15.75" customHeight="1" thickBot="1" x14ac:dyDescent="0.35">
      <c r="A542" s="234" t="s">
        <v>2165</v>
      </c>
      <c r="B542" s="10"/>
      <c r="C542" s="10"/>
      <c r="D542" s="10"/>
      <c r="E542" s="38" t="s">
        <v>852</v>
      </c>
      <c r="F542" s="10"/>
      <c r="G542" s="10"/>
      <c r="H542" s="10"/>
      <c r="I542" s="38" t="s">
        <v>852</v>
      </c>
      <c r="J542" s="10"/>
      <c r="K542" s="10"/>
      <c r="L542" s="10"/>
      <c r="M542" s="38" t="s">
        <v>852</v>
      </c>
      <c r="N542" s="10"/>
      <c r="O542" s="10"/>
      <c r="P542" s="10"/>
      <c r="Q542" s="38" t="s">
        <v>852</v>
      </c>
      <c r="R542" s="38" t="s">
        <v>852</v>
      </c>
    </row>
    <row r="543" spans="1:20" ht="16.5" customHeight="1" thickBot="1" x14ac:dyDescent="0.35">
      <c r="A543" s="43" t="s">
        <v>1219</v>
      </c>
      <c r="B543" s="45">
        <f>SUM(B539:B542)</f>
        <v>165</v>
      </c>
      <c r="C543" s="46">
        <f>SUM(C539:C542)</f>
        <v>213</v>
      </c>
      <c r="D543" s="46">
        <f>SUM(D539:D542)</f>
        <v>3540</v>
      </c>
      <c r="E543" s="37">
        <f>SUM(B543:D543)</f>
        <v>3918</v>
      </c>
      <c r="F543" s="46">
        <f>SUM(F539:F542)</f>
        <v>9800</v>
      </c>
      <c r="G543" s="46">
        <f>SUM(G539:G542)</f>
        <v>6390</v>
      </c>
      <c r="H543" s="46">
        <f>SUM(H539:H542)</f>
        <v>8080</v>
      </c>
      <c r="I543" s="37">
        <f>SUM(F543:H543)</f>
        <v>24270</v>
      </c>
      <c r="J543" s="46">
        <f>SUM(J539:J542)</f>
        <v>10095</v>
      </c>
      <c r="K543" s="46">
        <f>SUM(K539:K542)</f>
        <v>9848</v>
      </c>
      <c r="L543" s="46">
        <f>SUM(L539:L542)</f>
        <v>1280</v>
      </c>
      <c r="M543" s="37">
        <f>SUM(J543:L543)</f>
        <v>21223</v>
      </c>
      <c r="N543" s="46">
        <f>SUM(N539:N542)</f>
        <v>620</v>
      </c>
      <c r="O543" s="46">
        <f>SUM(O539:O542)</f>
        <v>850</v>
      </c>
      <c r="P543" s="46">
        <f>SUM(P539:P542)</f>
        <v>597</v>
      </c>
      <c r="Q543" s="37">
        <f>SUM(N543:P543)</f>
        <v>2067</v>
      </c>
      <c r="R543" s="37">
        <f>+E543+I543+M543+Q543</f>
        <v>51478</v>
      </c>
    </row>
    <row r="544" spans="1:20" ht="15.75" customHeight="1" x14ac:dyDescent="0.3">
      <c r="A544" s="234" t="s">
        <v>2166</v>
      </c>
      <c r="B544" s="10"/>
      <c r="C544" s="10"/>
      <c r="D544" s="10"/>
      <c r="E544" s="38" t="s">
        <v>852</v>
      </c>
      <c r="F544" s="10"/>
      <c r="G544" s="10"/>
      <c r="H544" s="10"/>
      <c r="I544" s="38" t="s">
        <v>852</v>
      </c>
      <c r="J544" s="10"/>
      <c r="K544" s="10"/>
      <c r="L544" s="10"/>
      <c r="M544" s="38" t="s">
        <v>852</v>
      </c>
      <c r="N544" s="10"/>
      <c r="O544" s="10"/>
      <c r="P544" s="10"/>
      <c r="Q544" s="38" t="s">
        <v>852</v>
      </c>
      <c r="R544" s="38" t="s">
        <v>852</v>
      </c>
    </row>
    <row r="545" spans="1:20" ht="15.75" customHeight="1" x14ac:dyDescent="0.3">
      <c r="A545" s="234" t="s">
        <v>1245</v>
      </c>
      <c r="B545" s="10"/>
      <c r="C545" s="10"/>
      <c r="D545" s="10"/>
      <c r="E545" s="38" t="s">
        <v>852</v>
      </c>
      <c r="F545" s="10"/>
      <c r="G545" s="10"/>
      <c r="H545" s="10"/>
      <c r="I545" s="38" t="s">
        <v>852</v>
      </c>
      <c r="J545" s="10"/>
      <c r="K545" s="10"/>
      <c r="L545" s="10"/>
      <c r="M545" s="38" t="s">
        <v>852</v>
      </c>
      <c r="N545" s="10"/>
      <c r="O545" s="10"/>
      <c r="P545" s="10"/>
      <c r="Q545" s="38" t="s">
        <v>852</v>
      </c>
      <c r="R545" s="38" t="s">
        <v>852</v>
      </c>
    </row>
    <row r="546" spans="1:20" ht="15.75" customHeight="1" x14ac:dyDescent="0.3">
      <c r="A546" s="234" t="s">
        <v>1711</v>
      </c>
      <c r="B546" s="10"/>
      <c r="C546" s="10"/>
      <c r="D546" s="10"/>
      <c r="E546" s="38" t="s">
        <v>852</v>
      </c>
      <c r="F546" s="10"/>
      <c r="G546" s="10"/>
      <c r="H546" s="10"/>
      <c r="I546" s="38" t="s">
        <v>852</v>
      </c>
      <c r="J546" s="10"/>
      <c r="K546" s="10"/>
      <c r="L546" s="10"/>
      <c r="M546" s="38" t="s">
        <v>852</v>
      </c>
      <c r="N546" s="10"/>
      <c r="O546" s="10"/>
      <c r="P546" s="10"/>
      <c r="Q546" s="38" t="s">
        <v>852</v>
      </c>
      <c r="R546" s="38" t="s">
        <v>852</v>
      </c>
    </row>
    <row r="547" spans="1:20" ht="15.75" customHeight="1" x14ac:dyDescent="0.3">
      <c r="A547" s="539" t="s">
        <v>3404</v>
      </c>
      <c r="B547" s="10"/>
      <c r="C547" s="10"/>
      <c r="D547" s="10"/>
      <c r="E547" s="38">
        <f>SUM(B547:D547)</f>
        <v>0</v>
      </c>
      <c r="F547" s="10"/>
      <c r="G547" s="10"/>
      <c r="H547" s="10"/>
      <c r="I547" s="38">
        <f>SUM(F547:H547)</f>
        <v>0</v>
      </c>
      <c r="J547" s="10"/>
      <c r="K547" s="10"/>
      <c r="L547" s="10"/>
      <c r="M547" s="38">
        <f>SUM(J547:L547)</f>
        <v>0</v>
      </c>
      <c r="N547" s="10"/>
      <c r="O547" s="10"/>
      <c r="P547" s="10"/>
      <c r="Q547" s="38">
        <f>SUM(N547:P547)</f>
        <v>0</v>
      </c>
      <c r="R547" s="38">
        <f>+E547+I547+M547+Q547</f>
        <v>0</v>
      </c>
      <c r="T547" t="s">
        <v>500</v>
      </c>
    </row>
    <row r="548" spans="1:20" ht="15.75" customHeight="1" x14ac:dyDescent="0.3">
      <c r="A548" s="371" t="s">
        <v>3461</v>
      </c>
      <c r="B548" s="10"/>
      <c r="C548" s="10"/>
      <c r="D548" s="10"/>
      <c r="E548" s="38">
        <f>SUM(B548:D548)</f>
        <v>0</v>
      </c>
      <c r="F548" s="10"/>
      <c r="G548" s="10"/>
      <c r="H548" s="10"/>
      <c r="I548" s="38">
        <f>SUM(F548:H548)</f>
        <v>0</v>
      </c>
      <c r="J548" s="10">
        <v>3500</v>
      </c>
      <c r="K548" s="10">
        <v>2000</v>
      </c>
      <c r="L548" s="10"/>
      <c r="M548" s="38">
        <f>SUM(J548:L548)</f>
        <v>5500</v>
      </c>
      <c r="N548" s="10"/>
      <c r="O548" s="10"/>
      <c r="P548" s="10"/>
      <c r="Q548" s="38">
        <f>SUM(N548:P548)</f>
        <v>0</v>
      </c>
      <c r="R548" s="38">
        <f>+E548+I548+M548+Q548</f>
        <v>5500</v>
      </c>
    </row>
    <row r="549" spans="1:20" ht="15.75" customHeight="1" thickBot="1" x14ac:dyDescent="0.35">
      <c r="A549" s="689" t="s">
        <v>2978</v>
      </c>
      <c r="B549" s="10"/>
      <c r="C549" s="10"/>
      <c r="D549" s="700"/>
      <c r="E549" s="38">
        <f>SUM(B549:D549)</f>
        <v>0</v>
      </c>
      <c r="F549" s="10"/>
      <c r="G549" s="10"/>
      <c r="H549" s="10">
        <v>7500</v>
      </c>
      <c r="I549" s="38">
        <f>SUM(F549:H549)</f>
        <v>7500</v>
      </c>
      <c r="J549" s="10">
        <v>7500</v>
      </c>
      <c r="K549" s="10"/>
      <c r="L549" s="10"/>
      <c r="M549" s="38">
        <f>SUM(J549:L549)</f>
        <v>7500</v>
      </c>
      <c r="N549" s="10"/>
      <c r="O549" s="10"/>
      <c r="P549" s="10"/>
      <c r="Q549" s="38">
        <f>SUM(N549:P549)</f>
        <v>0</v>
      </c>
      <c r="R549" s="38">
        <f>+E549+I549+M549+Q549</f>
        <v>15000</v>
      </c>
      <c r="T549" t="s">
        <v>500</v>
      </c>
    </row>
    <row r="550" spans="1:20" ht="16.5" customHeight="1" thickBot="1" x14ac:dyDescent="0.35">
      <c r="A550" s="277" t="s">
        <v>1220</v>
      </c>
      <c r="B550" s="45">
        <f>SUM(B544:B549)</f>
        <v>0</v>
      </c>
      <c r="C550" s="46">
        <f>SUM(C544:C549)</f>
        <v>0</v>
      </c>
      <c r="D550" s="46">
        <f>SUM(D544:D549)</f>
        <v>0</v>
      </c>
      <c r="E550" s="37">
        <f>SUM(B550:D550)</f>
        <v>0</v>
      </c>
      <c r="F550" s="46">
        <f>SUM(F544:F549)</f>
        <v>0</v>
      </c>
      <c r="G550" s="46">
        <f>SUM(G544:G549)</f>
        <v>0</v>
      </c>
      <c r="H550" s="46">
        <f>SUM(H544:H549)</f>
        <v>7500</v>
      </c>
      <c r="I550" s="37">
        <f>SUM(F550:H550)</f>
        <v>7500</v>
      </c>
      <c r="J550" s="46">
        <f>SUM(J544:J549)</f>
        <v>11000</v>
      </c>
      <c r="K550" s="46">
        <f>SUM(K544:K549)</f>
        <v>2000</v>
      </c>
      <c r="L550" s="46">
        <f>SUM(L544:L549)</f>
        <v>0</v>
      </c>
      <c r="M550" s="37">
        <f>SUM(J550:L550)</f>
        <v>13000</v>
      </c>
      <c r="N550" s="46">
        <f>SUM(N544:N549)</f>
        <v>0</v>
      </c>
      <c r="O550" s="46">
        <f>SUM(O544:O549)</f>
        <v>0</v>
      </c>
      <c r="P550" s="46">
        <f>SUM(P544:P549)</f>
        <v>0</v>
      </c>
      <c r="Q550" s="37">
        <f>SUM(N550:P550)</f>
        <v>0</v>
      </c>
      <c r="R550" s="37">
        <f>+E550+I550+M550+Q550</f>
        <v>20500</v>
      </c>
    </row>
    <row r="551" spans="1:20" ht="15.75" customHeight="1" x14ac:dyDescent="0.3">
      <c r="A551" s="234" t="s">
        <v>1712</v>
      </c>
      <c r="B551" s="10"/>
      <c r="C551" s="10"/>
      <c r="D551" s="10"/>
      <c r="E551" s="38" t="s">
        <v>852</v>
      </c>
      <c r="F551" s="10"/>
      <c r="G551" s="10"/>
      <c r="H551" s="10"/>
      <c r="I551" s="38" t="s">
        <v>852</v>
      </c>
      <c r="J551" s="10"/>
      <c r="K551" s="10"/>
      <c r="L551" s="10"/>
      <c r="M551" s="38" t="s">
        <v>852</v>
      </c>
      <c r="N551" s="10"/>
      <c r="O551" s="10"/>
      <c r="P551" s="10"/>
      <c r="Q551" s="38" t="s">
        <v>852</v>
      </c>
      <c r="R551" s="38" t="s">
        <v>852</v>
      </c>
    </row>
    <row r="552" spans="1:20" ht="15.75" customHeight="1" x14ac:dyDescent="0.3">
      <c r="A552" s="234" t="s">
        <v>1021</v>
      </c>
      <c r="B552" s="10"/>
      <c r="C552" s="10"/>
      <c r="D552" s="10"/>
      <c r="E552" s="38" t="s">
        <v>852</v>
      </c>
      <c r="F552" s="10"/>
      <c r="G552" s="10"/>
      <c r="H552" s="10"/>
      <c r="I552" s="38" t="s">
        <v>852</v>
      </c>
      <c r="J552" s="10"/>
      <c r="K552" s="10"/>
      <c r="L552" s="10"/>
      <c r="M552" s="38" t="s">
        <v>852</v>
      </c>
      <c r="N552" s="10"/>
      <c r="O552" s="10"/>
      <c r="P552" s="10"/>
      <c r="Q552" s="38" t="s">
        <v>852</v>
      </c>
      <c r="R552" s="38" t="s">
        <v>852</v>
      </c>
    </row>
    <row r="553" spans="1:20" ht="15.75" customHeight="1" x14ac:dyDescent="0.3">
      <c r="A553" s="234" t="s">
        <v>557</v>
      </c>
      <c r="B553" s="10"/>
      <c r="C553" s="10"/>
      <c r="D553" s="10"/>
      <c r="E553" s="38" t="s">
        <v>852</v>
      </c>
      <c r="F553" s="10"/>
      <c r="G553" s="10"/>
      <c r="H553" s="10"/>
      <c r="I553" s="38" t="s">
        <v>852</v>
      </c>
      <c r="J553" s="10"/>
      <c r="K553" s="10"/>
      <c r="L553" s="10"/>
      <c r="M553" s="38" t="s">
        <v>852</v>
      </c>
      <c r="N553" s="10"/>
      <c r="O553" s="10"/>
      <c r="P553" s="10"/>
      <c r="Q553" s="38" t="s">
        <v>852</v>
      </c>
      <c r="R553" s="38" t="s">
        <v>852</v>
      </c>
    </row>
    <row r="554" spans="1:20" ht="15.75" customHeight="1" x14ac:dyDescent="0.3">
      <c r="A554" s="234" t="s">
        <v>1022</v>
      </c>
      <c r="B554" s="10"/>
      <c r="C554" s="10"/>
      <c r="D554" s="10"/>
      <c r="E554" s="38" t="s">
        <v>852</v>
      </c>
      <c r="F554" s="10"/>
      <c r="G554" s="10"/>
      <c r="H554" s="10"/>
      <c r="I554" s="38" t="s">
        <v>852</v>
      </c>
      <c r="J554" s="10"/>
      <c r="K554" s="10"/>
      <c r="L554" s="10"/>
      <c r="M554" s="38" t="s">
        <v>852</v>
      </c>
      <c r="N554" s="10"/>
      <c r="O554" s="10"/>
      <c r="P554" s="10"/>
      <c r="Q554" s="38" t="s">
        <v>852</v>
      </c>
      <c r="R554" s="38" t="s">
        <v>852</v>
      </c>
    </row>
    <row r="555" spans="1:20" ht="15.75" customHeight="1" x14ac:dyDescent="0.3">
      <c r="A555" s="234" t="s">
        <v>559</v>
      </c>
      <c r="B555" s="10"/>
      <c r="C555" s="10"/>
      <c r="D555" s="10"/>
      <c r="E555" s="38" t="s">
        <v>852</v>
      </c>
      <c r="F555" s="10"/>
      <c r="G555" s="10"/>
      <c r="H555" s="10"/>
      <c r="I555" s="38" t="s">
        <v>852</v>
      </c>
      <c r="J555" s="10"/>
      <c r="K555" s="10"/>
      <c r="L555" s="10"/>
      <c r="M555" s="38" t="s">
        <v>852</v>
      </c>
      <c r="N555" s="10"/>
      <c r="O555" s="10"/>
      <c r="P555" s="10"/>
      <c r="Q555" s="38" t="s">
        <v>852</v>
      </c>
      <c r="R555" s="38" t="s">
        <v>852</v>
      </c>
    </row>
    <row r="556" spans="1:20" ht="15.75" customHeight="1" x14ac:dyDescent="0.3">
      <c r="A556" s="539" t="s">
        <v>2936</v>
      </c>
      <c r="B556" s="10"/>
      <c r="C556" s="10"/>
      <c r="D556" s="10"/>
      <c r="E556" s="38">
        <f t="shared" ref="E556:E557" si="213">SUM(B556:D556)</f>
        <v>0</v>
      </c>
      <c r="F556" s="10"/>
      <c r="G556" s="10"/>
      <c r="H556" s="10"/>
      <c r="I556" s="38">
        <f t="shared" ref="I556:I557" si="214">SUM(F556:H556)</f>
        <v>0</v>
      </c>
      <c r="J556" s="10"/>
      <c r="K556" s="10"/>
      <c r="L556" s="10"/>
      <c r="M556" s="38">
        <f t="shared" ref="M556:M557" si="215">SUM(J556:L556)</f>
        <v>0</v>
      </c>
      <c r="N556" s="10"/>
      <c r="O556" s="10"/>
      <c r="P556" s="10"/>
      <c r="Q556" s="38">
        <f t="shared" ref="Q556:Q557" si="216">SUM(N556:P556)</f>
        <v>0</v>
      </c>
      <c r="R556" s="38">
        <f t="shared" ref="R556:R561" si="217">+E556+I556+M556+Q556</f>
        <v>0</v>
      </c>
      <c r="T556" t="s">
        <v>500</v>
      </c>
    </row>
    <row r="557" spans="1:20" ht="15.75" customHeight="1" thickBot="1" x14ac:dyDescent="0.35">
      <c r="A557" s="539" t="s">
        <v>2834</v>
      </c>
      <c r="B557" s="10"/>
      <c r="C557" s="10"/>
      <c r="D557" s="10"/>
      <c r="E557" s="38">
        <f t="shared" si="213"/>
        <v>0</v>
      </c>
      <c r="F557" s="10"/>
      <c r="G557" s="10"/>
      <c r="H557" s="10"/>
      <c r="I557" s="38">
        <f t="shared" si="214"/>
        <v>0</v>
      </c>
      <c r="J557" s="10"/>
      <c r="K557" s="10"/>
      <c r="L557" s="10"/>
      <c r="M557" s="38">
        <f t="shared" si="215"/>
        <v>0</v>
      </c>
      <c r="N557" s="10"/>
      <c r="O557" s="10"/>
      <c r="P557" s="10"/>
      <c r="Q557" s="38">
        <f t="shared" si="216"/>
        <v>0</v>
      </c>
      <c r="R557" s="38">
        <f t="shared" si="217"/>
        <v>0</v>
      </c>
      <c r="T557" t="s">
        <v>500</v>
      </c>
    </row>
    <row r="558" spans="1:20" ht="16.5" customHeight="1" thickBot="1" x14ac:dyDescent="0.35">
      <c r="A558" s="43" t="s">
        <v>1019</v>
      </c>
      <c r="B558" s="42">
        <f>SUM(B554:B557)</f>
        <v>0</v>
      </c>
      <c r="C558" s="42">
        <f>SUM(C554:C557)</f>
        <v>0</v>
      </c>
      <c r="D558" s="42">
        <f>SUM(D554:D557)</f>
        <v>0</v>
      </c>
      <c r="E558" s="39">
        <f t="shared" ref="E558:E561" si="218">SUM(B558:D558)</f>
        <v>0</v>
      </c>
      <c r="F558" s="42">
        <f>SUM(F554:F557)</f>
        <v>0</v>
      </c>
      <c r="G558" s="42">
        <f>SUM(G554:G557)</f>
        <v>0</v>
      </c>
      <c r="H558" s="42">
        <f>SUM(H554:H557)</f>
        <v>0</v>
      </c>
      <c r="I558" s="39">
        <f t="shared" ref="I558:I561" si="219">SUM(F558:H558)</f>
        <v>0</v>
      </c>
      <c r="J558" s="42">
        <f>SUM(J554:J557)</f>
        <v>0</v>
      </c>
      <c r="K558" s="42">
        <f>SUM(K554:K557)</f>
        <v>0</v>
      </c>
      <c r="L558" s="42">
        <f>SUM(L554:L557)</f>
        <v>0</v>
      </c>
      <c r="M558" s="39">
        <f t="shared" ref="M558:M561" si="220">SUM(J558:L558)</f>
        <v>0</v>
      </c>
      <c r="N558" s="42">
        <f>SUM(N554:N557)</f>
        <v>0</v>
      </c>
      <c r="O558" s="42">
        <f>SUM(O554:O557)</f>
        <v>0</v>
      </c>
      <c r="P558" s="42">
        <f>SUM(P554:P557)</f>
        <v>0</v>
      </c>
      <c r="Q558" s="39">
        <f t="shared" ref="Q558:Q561" si="221">SUM(N558:P558)</f>
        <v>0</v>
      </c>
      <c r="R558" s="37">
        <f t="shared" si="217"/>
        <v>0</v>
      </c>
    </row>
    <row r="559" spans="1:20" ht="16.5" customHeight="1" thickBot="1" x14ac:dyDescent="0.35">
      <c r="A559" s="277" t="s">
        <v>1221</v>
      </c>
      <c r="B559" s="45">
        <f>SUM(B551:B557)</f>
        <v>0</v>
      </c>
      <c r="C559" s="46">
        <f>SUM(C551:C557)</f>
        <v>0</v>
      </c>
      <c r="D559" s="58">
        <f>SUM(D551:D557)</f>
        <v>0</v>
      </c>
      <c r="E559" s="39">
        <f t="shared" si="218"/>
        <v>0</v>
      </c>
      <c r="F559" s="46">
        <f>SUM(F551:F557)</f>
        <v>0</v>
      </c>
      <c r="G559" s="46">
        <f>SUM(G551:G557)</f>
        <v>0</v>
      </c>
      <c r="H559" s="46">
        <f>SUM(H551:H557)</f>
        <v>0</v>
      </c>
      <c r="I559" s="39">
        <f t="shared" si="219"/>
        <v>0</v>
      </c>
      <c r="J559" s="46">
        <f>SUM(J551:J557)</f>
        <v>0</v>
      </c>
      <c r="K559" s="46">
        <f>SUM(K551:K557)</f>
        <v>0</v>
      </c>
      <c r="L559" s="46">
        <f>SUM(L551:L557)</f>
        <v>0</v>
      </c>
      <c r="M559" s="39">
        <f t="shared" si="220"/>
        <v>0</v>
      </c>
      <c r="N559" s="46">
        <f>SUM(N551:N557)</f>
        <v>0</v>
      </c>
      <c r="O559" s="46">
        <f>SUM(O551:O557)</f>
        <v>0</v>
      </c>
      <c r="P559" s="46">
        <f>SUM(P551:P557)</f>
        <v>0</v>
      </c>
      <c r="Q559" s="39">
        <f t="shared" si="221"/>
        <v>0</v>
      </c>
      <c r="R559" s="37">
        <f t="shared" si="217"/>
        <v>0</v>
      </c>
    </row>
    <row r="560" spans="1:20" ht="16.5" customHeight="1" thickBot="1" x14ac:dyDescent="0.35">
      <c r="A560" s="43" t="s">
        <v>1222</v>
      </c>
      <c r="B560" s="47">
        <f>+B538+B543+B550+B559</f>
        <v>165</v>
      </c>
      <c r="C560" s="42">
        <f>+C538+C543+C550+C559</f>
        <v>213</v>
      </c>
      <c r="D560" s="42">
        <f>+D538+D543+D550+D559</f>
        <v>3540</v>
      </c>
      <c r="E560" s="37">
        <f t="shared" si="218"/>
        <v>3918</v>
      </c>
      <c r="F560" s="42">
        <f>+F538+F543+F550+F559</f>
        <v>9808</v>
      </c>
      <c r="G560" s="42">
        <f>+G538+G543+G550+G559</f>
        <v>6398</v>
      </c>
      <c r="H560" s="42">
        <f>+H538+H543+H550+H559</f>
        <v>18057</v>
      </c>
      <c r="I560" s="37">
        <f t="shared" si="219"/>
        <v>34263</v>
      </c>
      <c r="J560" s="42">
        <f>+J538+J543+J550+J559</f>
        <v>21105</v>
      </c>
      <c r="K560" s="42">
        <f>+K538+K543+K550+K559</f>
        <v>11858</v>
      </c>
      <c r="L560" s="42">
        <f>+L538+L543+L550+L559</f>
        <v>1283</v>
      </c>
      <c r="M560" s="37">
        <f t="shared" si="220"/>
        <v>34246</v>
      </c>
      <c r="N560" s="42">
        <f>+N538+N543+N550+N559</f>
        <v>622</v>
      </c>
      <c r="O560" s="42">
        <f>+O538+O543+O550+O559</f>
        <v>850</v>
      </c>
      <c r="P560" s="42">
        <f>+P538+P543+P550+P559</f>
        <v>597</v>
      </c>
      <c r="Q560" s="37">
        <f t="shared" si="221"/>
        <v>2069</v>
      </c>
      <c r="R560" s="40">
        <f>+E560+I560+M560+Q560</f>
        <v>74496</v>
      </c>
    </row>
    <row r="561" spans="1:20" ht="16.5" customHeight="1" thickBot="1" x14ac:dyDescent="0.35">
      <c r="A561" s="299" t="s">
        <v>853</v>
      </c>
      <c r="B561" s="294">
        <v>9</v>
      </c>
      <c r="C561" s="294">
        <v>16</v>
      </c>
      <c r="D561" s="294">
        <v>25</v>
      </c>
      <c r="E561" s="38">
        <f t="shared" si="218"/>
        <v>50</v>
      </c>
      <c r="F561" s="294">
        <v>34</v>
      </c>
      <c r="G561" s="294">
        <v>41</v>
      </c>
      <c r="H561" s="294">
        <v>41</v>
      </c>
      <c r="I561" s="38">
        <f t="shared" si="219"/>
        <v>116</v>
      </c>
      <c r="J561" s="294">
        <v>39</v>
      </c>
      <c r="K561" s="294">
        <v>30</v>
      </c>
      <c r="L561" s="294">
        <v>30</v>
      </c>
      <c r="M561" s="38">
        <f t="shared" si="220"/>
        <v>99</v>
      </c>
      <c r="N561" s="294">
        <v>28</v>
      </c>
      <c r="O561" s="294">
        <v>22</v>
      </c>
      <c r="P561" s="294">
        <v>16</v>
      </c>
      <c r="Q561" s="38">
        <f t="shared" si="221"/>
        <v>66</v>
      </c>
      <c r="R561" s="38">
        <f t="shared" si="217"/>
        <v>331</v>
      </c>
    </row>
    <row r="562" spans="1:20" ht="16.5" customHeight="1" thickBot="1" x14ac:dyDescent="0.35">
      <c r="A562" s="44"/>
      <c r="B562" s="313"/>
      <c r="C562" s="313"/>
      <c r="D562" s="313"/>
      <c r="E562" s="37"/>
      <c r="F562" s="313"/>
      <c r="G562" s="313"/>
      <c r="H562" s="313"/>
      <c r="I562" s="37"/>
      <c r="J562" s="313"/>
      <c r="K562" s="313"/>
      <c r="L562" s="313"/>
      <c r="M562" s="37"/>
      <c r="N562" s="313"/>
      <c r="O562" s="313"/>
      <c r="P562" s="313"/>
      <c r="Q562" s="37"/>
      <c r="R562" s="37" t="s">
        <v>852</v>
      </c>
    </row>
    <row r="563" spans="1:20" ht="15.75" customHeight="1" x14ac:dyDescent="0.3">
      <c r="A563" s="259" t="s">
        <v>2011</v>
      </c>
      <c r="B563" s="741">
        <f>SUM(B560:B561)</f>
        <v>174</v>
      </c>
      <c r="C563" s="741">
        <f>SUM(C560:C561)</f>
        <v>229</v>
      </c>
      <c r="D563" s="741">
        <f>SUM(D560:D561)</f>
        <v>3565</v>
      </c>
      <c r="E563" s="39">
        <f>SUM(B563:D563)</f>
        <v>3968</v>
      </c>
      <c r="F563" s="741">
        <f>SUM(F560:F561)</f>
        <v>9842</v>
      </c>
      <c r="G563" s="741">
        <f>SUM(G560:G561)</f>
        <v>6439</v>
      </c>
      <c r="H563" s="741">
        <f>SUM(H560:H561)</f>
        <v>18098</v>
      </c>
      <c r="I563" s="39">
        <f>SUM(F563:H563)</f>
        <v>34379</v>
      </c>
      <c r="J563" s="741">
        <f>SUM(J560:J561)</f>
        <v>21144</v>
      </c>
      <c r="K563" s="741">
        <f>SUM(K560:K561)</f>
        <v>11888</v>
      </c>
      <c r="L563" s="741">
        <f>SUM(L560:L561)</f>
        <v>1313</v>
      </c>
      <c r="M563" s="39">
        <f>SUM(J563:L563)</f>
        <v>34345</v>
      </c>
      <c r="N563" s="741">
        <f>SUM(N560:N561)</f>
        <v>650</v>
      </c>
      <c r="O563" s="741">
        <f>SUM(O560:O561)</f>
        <v>872</v>
      </c>
      <c r="P563" s="741">
        <f>SUM(P560:P561)</f>
        <v>613</v>
      </c>
      <c r="Q563" s="39">
        <f>SUM(N563:P563)</f>
        <v>2135</v>
      </c>
      <c r="R563" s="39">
        <f>+E563+I563+M563+Q563</f>
        <v>74827</v>
      </c>
    </row>
    <row r="564" spans="1:20" ht="15.75" customHeight="1" x14ac:dyDescent="0.3">
      <c r="A564" s="262" t="s">
        <v>1897</v>
      </c>
      <c r="B564" s="10">
        <f>(B563/B10)/1.983</f>
        <v>2.8305109560294763</v>
      </c>
      <c r="C564" s="10">
        <f>(C563/C10)/1.983</f>
        <v>4.1243426266119156</v>
      </c>
      <c r="D564" s="10">
        <f>(D563/D10)/1.983</f>
        <v>57.992939989914269</v>
      </c>
      <c r="E564" s="38" t="s">
        <v>852</v>
      </c>
      <c r="F564" s="10">
        <f>(F563/F10)/1.983</f>
        <v>165.43956967557571</v>
      </c>
      <c r="G564" s="10">
        <f>(G563/G10)/1.983</f>
        <v>104.74517267743562</v>
      </c>
      <c r="H564" s="10">
        <f>(H563/H10)/1.983</f>
        <v>304.21919650361406</v>
      </c>
      <c r="I564" s="38" t="s">
        <v>852</v>
      </c>
      <c r="J564" s="10">
        <f>(J563/J10)/1.983</f>
        <v>343.95588307061638</v>
      </c>
      <c r="K564" s="10">
        <f>(K563/K10)/1.983</f>
        <v>193.38571405332422</v>
      </c>
      <c r="L564" s="10">
        <f>(L563/L10)/1.983</f>
        <v>22.070936291813748</v>
      </c>
      <c r="M564" s="38" t="s">
        <v>852</v>
      </c>
      <c r="N564" s="10">
        <f>(N563/N10)/1.983</f>
        <v>10.573747824248043</v>
      </c>
      <c r="O564" s="10">
        <f>(O563/O10)/1.983</f>
        <v>14.657925701798622</v>
      </c>
      <c r="P564" s="10">
        <f>(P563/P10)/1.983</f>
        <v>9.9718575634831552</v>
      </c>
      <c r="Q564" s="38" t="s">
        <v>852</v>
      </c>
      <c r="R564" s="38" t="s">
        <v>852</v>
      </c>
    </row>
    <row r="565" spans="1:20" ht="15.75" customHeight="1" x14ac:dyDescent="0.3">
      <c r="A565" s="262" t="s">
        <v>575</v>
      </c>
      <c r="B565" s="10">
        <f>B563+B610</f>
        <v>16012</v>
      </c>
      <c r="C565" s="10">
        <f>C563+C610</f>
        <v>23120</v>
      </c>
      <c r="D565" s="10">
        <f>D563+D610</f>
        <v>34880</v>
      </c>
      <c r="E565" s="38">
        <f>SUM(B565:D565)</f>
        <v>74012</v>
      </c>
      <c r="F565" s="10">
        <f>F563+F610</f>
        <v>44542</v>
      </c>
      <c r="G565" s="10">
        <f>G563+G610</f>
        <v>40302</v>
      </c>
      <c r="H565" s="10">
        <f>H563+H610</f>
        <v>50915</v>
      </c>
      <c r="I565" s="38">
        <f>SUM(F565:H565)</f>
        <v>135759</v>
      </c>
      <c r="J565" s="10">
        <f>J563+J610</f>
        <v>54776</v>
      </c>
      <c r="K565" s="10">
        <f>K563+K610</f>
        <v>43489</v>
      </c>
      <c r="L565" s="10">
        <f>L563+L610</f>
        <v>26463</v>
      </c>
      <c r="M565" s="38">
        <f>SUM(J565:L565)</f>
        <v>124728</v>
      </c>
      <c r="N565" s="10">
        <f>N563+N610</f>
        <v>11747</v>
      </c>
      <c r="O565" s="10">
        <f>O563+O610</f>
        <v>3870</v>
      </c>
      <c r="P565" s="10">
        <f>P563+P610</f>
        <v>11079</v>
      </c>
      <c r="Q565" s="38">
        <f>SUM(N565:P565)</f>
        <v>26696</v>
      </c>
      <c r="R565" s="38">
        <f>+E565+I565+M565+Q565</f>
        <v>361195</v>
      </c>
    </row>
    <row r="566" spans="1:20" ht="16.5" customHeight="1" thickBot="1" x14ac:dyDescent="0.35">
      <c r="A566" s="263" t="s">
        <v>576</v>
      </c>
      <c r="B566" s="315">
        <f>(B565/B10)/1.983</f>
        <v>260.47207717209182</v>
      </c>
      <c r="C566" s="315">
        <f>(C565/C10)/1.983</f>
        <v>416.39651321950862</v>
      </c>
      <c r="D566" s="315">
        <f>(D565/D10)/1.983</f>
        <v>567.40357555349499</v>
      </c>
      <c r="E566" s="40" t="s">
        <v>852</v>
      </c>
      <c r="F566" s="315">
        <f>(F565/F10)/1.983</f>
        <v>748.73087913935115</v>
      </c>
      <c r="G566" s="315">
        <f>(G565/G10)/1.983</f>
        <v>655.60489971206869</v>
      </c>
      <c r="H566" s="315">
        <f>(H565/H10)/1.983</f>
        <v>855.85812741637244</v>
      </c>
      <c r="I566" s="40" t="s">
        <v>852</v>
      </c>
      <c r="J566" s="315">
        <f>(J565/J10)/1.983</f>
        <v>891.05786280155507</v>
      </c>
      <c r="K566" s="315">
        <f>(K565/K10)/1.983</f>
        <v>707.44879865957398</v>
      </c>
      <c r="L566" s="315">
        <f>(L565/L10)/1.983</f>
        <v>444.83106404437717</v>
      </c>
      <c r="M566" s="40" t="s">
        <v>852</v>
      </c>
      <c r="N566" s="315">
        <f>(N565/N10)/1.983</f>
        <v>191.09202414067963</v>
      </c>
      <c r="O566" s="315">
        <f>(O565/O10)/1.983</f>
        <v>65.052950075642968</v>
      </c>
      <c r="P566" s="315">
        <f>(P565/P10)/1.983</f>
        <v>180.22546483822165</v>
      </c>
      <c r="Q566" s="40" t="s">
        <v>852</v>
      </c>
      <c r="R566" s="40" t="s">
        <v>852</v>
      </c>
    </row>
    <row r="567" spans="1:20" ht="15.75" customHeight="1" x14ac:dyDescent="0.3">
      <c r="A567" s="17"/>
      <c r="B567" s="10"/>
      <c r="C567" s="10"/>
      <c r="D567" s="10"/>
      <c r="E567" s="10"/>
      <c r="F567" s="10"/>
      <c r="G567" s="10"/>
      <c r="H567" s="10"/>
      <c r="I567" s="10"/>
      <c r="J567" s="10"/>
      <c r="K567" s="10"/>
      <c r="L567" s="10"/>
      <c r="M567" s="10"/>
      <c r="N567" s="10"/>
      <c r="O567" s="10"/>
      <c r="P567" s="10"/>
      <c r="Q567" s="10"/>
      <c r="R567" s="17"/>
    </row>
    <row r="568" spans="1:20" ht="15.75" customHeight="1" thickBot="1" x14ac:dyDescent="0.35">
      <c r="A568" s="17"/>
      <c r="B568" s="10"/>
      <c r="C568" s="10"/>
      <c r="D568" s="10"/>
      <c r="E568" s="10"/>
      <c r="F568" s="10"/>
      <c r="G568" s="10"/>
      <c r="H568" s="10"/>
      <c r="I568" s="10"/>
      <c r="J568" s="10"/>
      <c r="K568" s="10"/>
      <c r="L568" s="10"/>
      <c r="M568" s="10"/>
      <c r="N568" s="10"/>
      <c r="O568" s="10"/>
      <c r="P568" s="10"/>
      <c r="Q568" s="10"/>
      <c r="R568" s="17"/>
    </row>
    <row r="569" spans="1:20" ht="16.5" customHeight="1" thickBot="1" x14ac:dyDescent="0.35">
      <c r="A569" s="278" t="s">
        <v>689</v>
      </c>
      <c r="B569" s="4" t="s">
        <v>2090</v>
      </c>
      <c r="C569" s="5" t="s">
        <v>2091</v>
      </c>
      <c r="D569" s="5" t="s">
        <v>2234</v>
      </c>
      <c r="E569" s="33" t="s">
        <v>1594</v>
      </c>
      <c r="F569" s="5" t="s">
        <v>2235</v>
      </c>
      <c r="G569" s="5" t="s">
        <v>2236</v>
      </c>
      <c r="H569" s="5" t="s">
        <v>2237</v>
      </c>
      <c r="I569" s="35" t="s">
        <v>1595</v>
      </c>
      <c r="J569" s="5" t="s">
        <v>1504</v>
      </c>
      <c r="K569" s="5" t="s">
        <v>1505</v>
      </c>
      <c r="L569" s="5" t="s">
        <v>1506</v>
      </c>
      <c r="M569" s="35" t="s">
        <v>1596</v>
      </c>
      <c r="N569" s="5" t="s">
        <v>1507</v>
      </c>
      <c r="O569" s="5" t="s">
        <v>1508</v>
      </c>
      <c r="P569" s="5" t="s">
        <v>1509</v>
      </c>
      <c r="Q569" s="35" t="s">
        <v>1597</v>
      </c>
      <c r="R569" s="36" t="s">
        <v>1510</v>
      </c>
    </row>
    <row r="570" spans="1:20" ht="16.5" customHeight="1" thickBot="1" x14ac:dyDescent="0.35">
      <c r="A570" s="37"/>
      <c r="B570" s="313"/>
      <c r="C570" s="313"/>
      <c r="D570" s="313"/>
      <c r="E570" s="308"/>
      <c r="F570" s="313"/>
      <c r="G570" s="313"/>
      <c r="H570" s="313"/>
      <c r="I570" s="316"/>
      <c r="J570" s="313"/>
      <c r="K570" s="313"/>
      <c r="L570" s="313"/>
      <c r="M570" s="316"/>
      <c r="N570" s="313"/>
      <c r="O570" s="313"/>
      <c r="P570" s="313"/>
      <c r="Q570" s="316"/>
      <c r="R570" s="52"/>
    </row>
    <row r="571" spans="1:20" ht="15.75" customHeight="1" x14ac:dyDescent="0.3">
      <c r="A571" s="234" t="s">
        <v>2417</v>
      </c>
      <c r="B571" s="10" t="s">
        <v>852</v>
      </c>
      <c r="C571" s="10" t="s">
        <v>852</v>
      </c>
      <c r="D571" s="10" t="s">
        <v>852</v>
      </c>
      <c r="E571" s="38" t="s">
        <v>852</v>
      </c>
      <c r="F571" s="10"/>
      <c r="G571" s="10"/>
      <c r="H571" s="10"/>
      <c r="I571" s="38" t="s">
        <v>852</v>
      </c>
      <c r="J571" s="10" t="s">
        <v>852</v>
      </c>
      <c r="K571" s="10" t="s">
        <v>852</v>
      </c>
      <c r="L571" s="10" t="s">
        <v>852</v>
      </c>
      <c r="M571" s="38" t="s">
        <v>852</v>
      </c>
      <c r="N571" s="10" t="s">
        <v>852</v>
      </c>
      <c r="O571" s="10" t="s">
        <v>852</v>
      </c>
      <c r="P571" s="10" t="s">
        <v>852</v>
      </c>
      <c r="Q571" s="38" t="s">
        <v>852</v>
      </c>
      <c r="R571" s="38" t="s">
        <v>852</v>
      </c>
    </row>
    <row r="572" spans="1:20" ht="15.75" customHeight="1" x14ac:dyDescent="0.3">
      <c r="A572" s="234" t="s">
        <v>2160</v>
      </c>
      <c r="B572" s="10"/>
      <c r="C572" s="10"/>
      <c r="D572" s="10"/>
      <c r="E572" s="38" t="s">
        <v>852</v>
      </c>
      <c r="F572" s="10"/>
      <c r="G572" s="10"/>
      <c r="H572" s="10"/>
      <c r="I572" s="38" t="s">
        <v>852</v>
      </c>
      <c r="J572" s="10"/>
      <c r="K572" s="10"/>
      <c r="L572" s="10"/>
      <c r="M572" s="38" t="s">
        <v>852</v>
      </c>
      <c r="N572" s="10"/>
      <c r="O572" s="10"/>
      <c r="P572" s="10"/>
      <c r="Q572" s="38" t="s">
        <v>852</v>
      </c>
      <c r="R572" s="38" t="s">
        <v>852</v>
      </c>
    </row>
    <row r="573" spans="1:20" ht="15.75" customHeight="1" x14ac:dyDescent="0.3">
      <c r="A573" s="234" t="s">
        <v>2976</v>
      </c>
      <c r="C573" s="10"/>
      <c r="D573" s="10"/>
      <c r="E573" s="38">
        <f>SUM(B573:D573)</f>
        <v>0</v>
      </c>
      <c r="F573" s="10"/>
      <c r="G573" s="10"/>
      <c r="H573" s="10"/>
      <c r="I573" s="38">
        <f>SUM(F573:H573)</f>
        <v>0</v>
      </c>
      <c r="J573" s="10"/>
      <c r="K573" s="10"/>
      <c r="L573" s="10"/>
      <c r="M573" s="38">
        <f>SUM(J573:L573)</f>
        <v>0</v>
      </c>
      <c r="N573" s="10"/>
      <c r="O573" s="10"/>
      <c r="P573" s="10"/>
      <c r="Q573" s="38">
        <f>SUM(N573:P573)</f>
        <v>0</v>
      </c>
      <c r="R573" s="38">
        <f>+E573+I573+M573+Q573</f>
        <v>0</v>
      </c>
      <c r="T573" t="s">
        <v>505</v>
      </c>
    </row>
    <row r="574" spans="1:20" ht="15.75" customHeight="1" x14ac:dyDescent="0.3">
      <c r="A574" s="310" t="s">
        <v>1478</v>
      </c>
      <c r="B574" s="10"/>
      <c r="C574" s="10">
        <v>500</v>
      </c>
      <c r="D574" s="10">
        <v>500</v>
      </c>
      <c r="E574" s="38">
        <f>SUM(B574:D574)</f>
        <v>1000</v>
      </c>
      <c r="F574" s="10"/>
      <c r="G574" s="10"/>
      <c r="H574" s="10"/>
      <c r="I574" s="38">
        <f>SUM(F574:H574)</f>
        <v>0</v>
      </c>
      <c r="J574" s="10"/>
      <c r="K574" s="10"/>
      <c r="L574" s="10"/>
      <c r="M574" s="38">
        <f>SUM(J574:L574)</f>
        <v>0</v>
      </c>
      <c r="N574" s="10"/>
      <c r="O574" s="10"/>
      <c r="P574" s="10"/>
      <c r="Q574" s="38">
        <f>SUM(N574:P574)</f>
        <v>0</v>
      </c>
      <c r="R574" s="38">
        <f>+E574+I574+M574+Q574</f>
        <v>1000</v>
      </c>
    </row>
    <row r="575" spans="1:20" ht="15.75" customHeight="1" x14ac:dyDescent="0.3">
      <c r="A575" s="310" t="s">
        <v>485</v>
      </c>
      <c r="B575" s="10"/>
      <c r="C575" s="10"/>
      <c r="D575" s="10">
        <v>250</v>
      </c>
      <c r="E575" s="38">
        <f>SUM(B575:D575)</f>
        <v>250</v>
      </c>
      <c r="F575" s="10">
        <v>250</v>
      </c>
      <c r="G575" s="10">
        <v>250</v>
      </c>
      <c r="H575" s="10">
        <v>1250</v>
      </c>
      <c r="I575" s="38">
        <f>SUM(F575:H575)</f>
        <v>1750</v>
      </c>
      <c r="J575" s="10">
        <v>1000</v>
      </c>
      <c r="K575" s="10">
        <v>500</v>
      </c>
      <c r="L575" s="10">
        <v>500</v>
      </c>
      <c r="M575" s="38">
        <f>SUM(J575:L575)</f>
        <v>2000</v>
      </c>
      <c r="N575" s="10"/>
      <c r="O575" s="10"/>
      <c r="P575" s="10"/>
      <c r="Q575" s="38">
        <f>SUM(N575:P575)</f>
        <v>0</v>
      </c>
      <c r="R575" s="38">
        <f>+E575+I575+M575+Q575</f>
        <v>4000</v>
      </c>
    </row>
    <row r="576" spans="1:20" ht="15.75" customHeight="1" x14ac:dyDescent="0.3">
      <c r="A576" s="539" t="s">
        <v>3142</v>
      </c>
      <c r="B576" s="10"/>
      <c r="C576" s="10"/>
      <c r="D576" s="10"/>
      <c r="E576" s="38">
        <f>SUM(B576:D576)</f>
        <v>0</v>
      </c>
      <c r="F576" s="10"/>
      <c r="G576" s="10"/>
      <c r="H576" s="10">
        <v>500</v>
      </c>
      <c r="I576" s="38">
        <f>SUM(F576:H576)</f>
        <v>500</v>
      </c>
      <c r="J576" s="10">
        <v>500</v>
      </c>
      <c r="K576" s="10"/>
      <c r="L576" s="10">
        <v>500</v>
      </c>
      <c r="M576" s="38">
        <f>SUM(J576:L576)</f>
        <v>1000</v>
      </c>
      <c r="N576" s="10">
        <v>500</v>
      </c>
      <c r="O576" s="10"/>
      <c r="P576" s="10">
        <v>500</v>
      </c>
      <c r="Q576" s="38">
        <f>SUM(N576:P576)</f>
        <v>1000</v>
      </c>
      <c r="R576" s="38">
        <f>+E576+I576+M576+Q576</f>
        <v>2500</v>
      </c>
    </row>
    <row r="577" spans="1:20" ht="15.75" customHeight="1" x14ac:dyDescent="0.3">
      <c r="A577" s="310" t="s">
        <v>1938</v>
      </c>
      <c r="B577" s="10"/>
      <c r="C577" s="10"/>
      <c r="D577" s="10"/>
      <c r="E577" s="38">
        <f>SUM(B577:D577)</f>
        <v>0</v>
      </c>
      <c r="F577" s="10"/>
      <c r="G577" s="10"/>
      <c r="H577" s="10"/>
      <c r="I577" s="38">
        <f>SUM(F577:H577)</f>
        <v>0</v>
      </c>
      <c r="J577" s="10">
        <v>237</v>
      </c>
      <c r="K577" s="10">
        <v>220</v>
      </c>
      <c r="L577" s="10"/>
      <c r="M577" s="38">
        <f>SUM(J577:L577)</f>
        <v>457</v>
      </c>
      <c r="N577" s="10"/>
      <c r="O577" s="10"/>
      <c r="P577" s="10"/>
      <c r="Q577" s="38">
        <f>SUM(N577:P577)</f>
        <v>0</v>
      </c>
      <c r="R577" s="38">
        <f>+E577+I577+M577+Q577</f>
        <v>457</v>
      </c>
    </row>
    <row r="578" spans="1:20" ht="15.75" customHeight="1" x14ac:dyDescent="0.3">
      <c r="A578" s="234" t="s">
        <v>2161</v>
      </c>
      <c r="B578" s="10"/>
      <c r="C578" s="10"/>
      <c r="D578" s="10"/>
      <c r="E578" s="38" t="s">
        <v>852</v>
      </c>
      <c r="F578" s="10"/>
      <c r="G578" s="10"/>
      <c r="H578" s="10"/>
      <c r="I578" s="38" t="s">
        <v>852</v>
      </c>
      <c r="J578" s="10"/>
      <c r="K578" s="10"/>
      <c r="L578" s="10"/>
      <c r="M578" s="38" t="s">
        <v>852</v>
      </c>
      <c r="N578" s="10"/>
      <c r="O578" s="10"/>
      <c r="P578" s="10"/>
      <c r="Q578" s="38" t="s">
        <v>852</v>
      </c>
      <c r="R578" s="38" t="s">
        <v>852</v>
      </c>
    </row>
    <row r="579" spans="1:20" ht="15.75" customHeight="1" x14ac:dyDescent="0.3">
      <c r="A579" s="234" t="s">
        <v>3245</v>
      </c>
      <c r="B579" s="10"/>
      <c r="C579" s="10"/>
      <c r="D579" s="10"/>
      <c r="E579" s="38" t="s">
        <v>852</v>
      </c>
      <c r="F579" s="10"/>
      <c r="G579" s="10"/>
      <c r="H579" s="10"/>
      <c r="I579" s="38" t="s">
        <v>852</v>
      </c>
      <c r="J579" s="10"/>
      <c r="K579" s="10"/>
      <c r="L579" s="10"/>
      <c r="M579" s="38" t="s">
        <v>852</v>
      </c>
      <c r="N579" s="10"/>
      <c r="O579" s="10"/>
      <c r="P579" s="10"/>
      <c r="Q579" s="38" t="s">
        <v>852</v>
      </c>
      <c r="R579" s="38" t="s">
        <v>852</v>
      </c>
    </row>
    <row r="580" spans="1:20" ht="15.75" customHeight="1" thickBot="1" x14ac:dyDescent="0.35">
      <c r="A580" s="234" t="s">
        <v>2164</v>
      </c>
      <c r="B580" s="10"/>
      <c r="C580" s="10"/>
      <c r="D580" s="10"/>
      <c r="E580" s="38" t="s">
        <v>852</v>
      </c>
      <c r="F580" s="10"/>
      <c r="G580" s="10"/>
      <c r="H580" s="10"/>
      <c r="I580" s="38" t="s">
        <v>852</v>
      </c>
      <c r="J580" s="10"/>
      <c r="K580" s="10"/>
      <c r="L580" s="10"/>
      <c r="M580" s="38" t="s">
        <v>852</v>
      </c>
      <c r="N580" s="10"/>
      <c r="O580" s="10"/>
      <c r="P580" s="10"/>
      <c r="Q580" s="38" t="s">
        <v>852</v>
      </c>
      <c r="R580" s="38" t="s">
        <v>852</v>
      </c>
    </row>
    <row r="581" spans="1:20" ht="16.5" customHeight="1" thickBot="1" x14ac:dyDescent="0.35">
      <c r="A581" s="322" t="s">
        <v>1218</v>
      </c>
      <c r="B581" s="45">
        <f>SUM(B571:B580)</f>
        <v>0</v>
      </c>
      <c r="C581" s="46">
        <f>SUM(C571:C580)</f>
        <v>500</v>
      </c>
      <c r="D581" s="46">
        <f>SUM(D571:D580)</f>
        <v>750</v>
      </c>
      <c r="E581" s="37">
        <f>SUM(B581:D581)</f>
        <v>1250</v>
      </c>
      <c r="F581" s="46">
        <f>SUM(F571:F580)</f>
        <v>250</v>
      </c>
      <c r="G581" s="46">
        <f>SUM(G571:G580)</f>
        <v>250</v>
      </c>
      <c r="H581" s="46">
        <f>SUM(H571:H580)</f>
        <v>1750</v>
      </c>
      <c r="I581" s="37">
        <f>SUM(F581:H581)</f>
        <v>2250</v>
      </c>
      <c r="J581" s="46">
        <f>SUM(J571:J580)</f>
        <v>1737</v>
      </c>
      <c r="K581" s="46">
        <f>SUM(K571:K580)</f>
        <v>720</v>
      </c>
      <c r="L581" s="46">
        <f>SUM(L571:L580)</f>
        <v>1000</v>
      </c>
      <c r="M581" s="37">
        <f>SUM(J581:L581)</f>
        <v>3457</v>
      </c>
      <c r="N581" s="46">
        <f>SUM(N571:N580)</f>
        <v>500</v>
      </c>
      <c r="O581" s="46">
        <f>SUM(O571:O580)</f>
        <v>0</v>
      </c>
      <c r="P581" s="46">
        <f>SUM(P571:P580)</f>
        <v>500</v>
      </c>
      <c r="Q581" s="37">
        <f>SUM(N581:P581)</f>
        <v>1000</v>
      </c>
      <c r="R581" s="37">
        <f>+E581+I581+M581+Q581</f>
        <v>7957</v>
      </c>
    </row>
    <row r="582" spans="1:20" ht="15.75" customHeight="1" x14ac:dyDescent="0.3">
      <c r="A582" s="234" t="s">
        <v>1172</v>
      </c>
      <c r="B582" s="10"/>
      <c r="C582" s="10"/>
      <c r="D582" s="10"/>
      <c r="E582" s="39" t="s">
        <v>852</v>
      </c>
      <c r="F582" s="10"/>
      <c r="G582" s="10"/>
      <c r="H582" s="10"/>
      <c r="I582" s="39" t="s">
        <v>852</v>
      </c>
      <c r="J582" s="10"/>
      <c r="K582" s="10"/>
      <c r="L582" s="10"/>
      <c r="M582" s="39" t="s">
        <v>852</v>
      </c>
      <c r="N582" s="10"/>
      <c r="O582" s="10"/>
      <c r="P582" s="10"/>
      <c r="Q582" s="39" t="s">
        <v>852</v>
      </c>
      <c r="R582" s="737" t="s">
        <v>852</v>
      </c>
    </row>
    <row r="583" spans="1:20" ht="15.75" customHeight="1" x14ac:dyDescent="0.3">
      <c r="A583" s="234" t="s">
        <v>2409</v>
      </c>
      <c r="B583" s="10"/>
      <c r="C583" s="10"/>
      <c r="D583" s="10"/>
      <c r="E583" s="38" t="s">
        <v>852</v>
      </c>
      <c r="F583" s="10"/>
      <c r="G583" s="10"/>
      <c r="H583" s="10"/>
      <c r="I583" s="38" t="s">
        <v>852</v>
      </c>
      <c r="J583" s="10"/>
      <c r="K583" s="10"/>
      <c r="L583" s="10"/>
      <c r="M583" s="38" t="s">
        <v>852</v>
      </c>
      <c r="N583" s="10"/>
      <c r="O583" s="10"/>
      <c r="P583" s="10"/>
      <c r="Q583" s="38" t="s">
        <v>852</v>
      </c>
      <c r="R583" s="737" t="s">
        <v>852</v>
      </c>
    </row>
    <row r="584" spans="1:20" ht="15.75" customHeight="1" x14ac:dyDescent="0.3">
      <c r="A584" s="310" t="s">
        <v>791</v>
      </c>
      <c r="B584" s="10">
        <v>123</v>
      </c>
      <c r="C584" s="10">
        <v>75</v>
      </c>
      <c r="D584" s="10">
        <v>1800</v>
      </c>
      <c r="E584" s="38">
        <f>SUM(B584:D584)</f>
        <v>1998</v>
      </c>
      <c r="F584" s="10">
        <v>2800</v>
      </c>
      <c r="G584" s="10">
        <f>1530+1000</f>
        <v>2530</v>
      </c>
      <c r="H584" s="10">
        <v>4025</v>
      </c>
      <c r="I584" s="38">
        <f>SUM(F584:H584)</f>
        <v>9355</v>
      </c>
      <c r="J584" s="10">
        <v>4590</v>
      </c>
      <c r="K584" s="10">
        <v>3844</v>
      </c>
      <c r="L584" s="10">
        <v>600</v>
      </c>
      <c r="M584" s="38">
        <f>SUM(J584:L584)</f>
        <v>9034</v>
      </c>
      <c r="N584" s="10">
        <v>350</v>
      </c>
      <c r="O584" s="10">
        <v>80</v>
      </c>
      <c r="P584" s="10">
        <v>56</v>
      </c>
      <c r="Q584" s="38">
        <f>SUM(N584:P584)</f>
        <v>486</v>
      </c>
      <c r="R584" s="38">
        <f>+E584+I584+M584+Q584</f>
        <v>20873</v>
      </c>
      <c r="S584">
        <f>+SUM(R584,R541,R398)</f>
        <v>87221</v>
      </c>
      <c r="T584" t="s">
        <v>2704</v>
      </c>
    </row>
    <row r="585" spans="1:20" ht="15.75" customHeight="1" x14ac:dyDescent="0.3">
      <c r="A585" s="310" t="s">
        <v>2300</v>
      </c>
      <c r="B585" s="10"/>
      <c r="C585" s="10"/>
      <c r="D585" s="10"/>
      <c r="E585" s="38">
        <f>SUM(B585:D585)</f>
        <v>0</v>
      </c>
      <c r="F585" s="10"/>
      <c r="G585" s="10"/>
      <c r="H585" s="10"/>
      <c r="I585" s="38">
        <f>SUM(F585:H585)</f>
        <v>0</v>
      </c>
      <c r="J585" s="10"/>
      <c r="K585" s="10"/>
      <c r="L585" s="10"/>
      <c r="M585" s="38">
        <f>SUM(J585:L585)</f>
        <v>0</v>
      </c>
      <c r="N585" s="10"/>
      <c r="O585" s="10"/>
      <c r="P585" s="10"/>
      <c r="Q585" s="38">
        <f>SUM(N585:P585)</f>
        <v>0</v>
      </c>
      <c r="R585" s="38">
        <f>+E585+I585+M585+Q585</f>
        <v>0</v>
      </c>
    </row>
    <row r="586" spans="1:20" ht="15.75" customHeight="1" thickBot="1" x14ac:dyDescent="0.35">
      <c r="A586" s="234" t="s">
        <v>2165</v>
      </c>
      <c r="B586" s="10"/>
      <c r="C586" s="10"/>
      <c r="D586" s="10"/>
      <c r="E586" s="38" t="s">
        <v>852</v>
      </c>
      <c r="F586" s="10"/>
      <c r="G586" s="10"/>
      <c r="H586" s="10"/>
      <c r="I586" s="38" t="s">
        <v>852</v>
      </c>
      <c r="J586" s="10"/>
      <c r="K586" s="10"/>
      <c r="L586" s="10"/>
      <c r="M586" s="38" t="s">
        <v>852</v>
      </c>
      <c r="N586" s="10"/>
      <c r="O586" s="10"/>
      <c r="P586" s="10"/>
      <c r="Q586" s="38" t="s">
        <v>852</v>
      </c>
      <c r="R586" s="737" t="s">
        <v>852</v>
      </c>
    </row>
    <row r="587" spans="1:20" ht="16.5" customHeight="1" thickBot="1" x14ac:dyDescent="0.35">
      <c r="A587" s="43" t="s">
        <v>1219</v>
      </c>
      <c r="B587" s="45">
        <f>SUM(B582:B586)</f>
        <v>123</v>
      </c>
      <c r="C587" s="46">
        <f>SUM(C582:C586)</f>
        <v>75</v>
      </c>
      <c r="D587" s="46">
        <f>SUM(D582:D586)</f>
        <v>1800</v>
      </c>
      <c r="E587" s="37">
        <f>SUM(B587:D587)</f>
        <v>1998</v>
      </c>
      <c r="F587" s="46">
        <f>SUM(F582:F586)</f>
        <v>2800</v>
      </c>
      <c r="G587" s="46">
        <f>SUM(G582:G586)</f>
        <v>2530</v>
      </c>
      <c r="H587" s="46">
        <f>SUM(H582:H586)</f>
        <v>4025</v>
      </c>
      <c r="I587" s="37">
        <f>SUM(F587:H587)</f>
        <v>9355</v>
      </c>
      <c r="J587" s="46">
        <f>SUM(J582:J586)</f>
        <v>4590</v>
      </c>
      <c r="K587" s="46">
        <f>SUM(K582:K586)</f>
        <v>3844</v>
      </c>
      <c r="L587" s="46">
        <f>SUM(L582:L586)</f>
        <v>600</v>
      </c>
      <c r="M587" s="37">
        <f>SUM(J587:L587)</f>
        <v>9034</v>
      </c>
      <c r="N587" s="46">
        <f>SUM(N582:N586)</f>
        <v>350</v>
      </c>
      <c r="O587" s="46">
        <f>SUM(O582:O586)</f>
        <v>80</v>
      </c>
      <c r="P587" s="46">
        <f>SUM(P582:P586)</f>
        <v>56</v>
      </c>
      <c r="Q587" s="37">
        <f>SUM(N587:P587)</f>
        <v>486</v>
      </c>
      <c r="R587" s="37">
        <f>+E587+I587+M587+Q587</f>
        <v>20873</v>
      </c>
    </row>
    <row r="588" spans="1:20" ht="15.75" customHeight="1" x14ac:dyDescent="0.3">
      <c r="A588" s="234" t="s">
        <v>2166</v>
      </c>
      <c r="B588" s="10"/>
      <c r="C588" s="10"/>
      <c r="D588" s="10"/>
      <c r="E588" s="38" t="s">
        <v>852</v>
      </c>
      <c r="F588" s="10"/>
      <c r="G588" s="10"/>
      <c r="H588" s="10"/>
      <c r="I588" s="38" t="s">
        <v>852</v>
      </c>
      <c r="J588" s="10"/>
      <c r="K588" s="10"/>
      <c r="L588" s="10"/>
      <c r="M588" s="38" t="s">
        <v>852</v>
      </c>
      <c r="N588" s="10"/>
      <c r="O588" s="10"/>
      <c r="P588" s="10"/>
      <c r="Q588" s="38" t="s">
        <v>852</v>
      </c>
      <c r="R588" s="38" t="s">
        <v>852</v>
      </c>
    </row>
    <row r="589" spans="1:20" ht="15.75" customHeight="1" x14ac:dyDescent="0.3">
      <c r="A589" s="234" t="s">
        <v>1245</v>
      </c>
      <c r="B589" s="10"/>
      <c r="C589" s="10"/>
      <c r="D589" s="10"/>
      <c r="E589" s="38" t="s">
        <v>852</v>
      </c>
      <c r="F589" s="10"/>
      <c r="G589" s="10"/>
      <c r="H589" s="10"/>
      <c r="I589" s="38" t="s">
        <v>852</v>
      </c>
      <c r="J589" s="10"/>
      <c r="K589" s="10"/>
      <c r="L589" s="10"/>
      <c r="M589" s="38" t="s">
        <v>852</v>
      </c>
      <c r="N589" s="10"/>
      <c r="O589" s="10"/>
      <c r="P589" s="10"/>
      <c r="Q589" s="38" t="s">
        <v>852</v>
      </c>
      <c r="R589" s="38" t="s">
        <v>852</v>
      </c>
    </row>
    <row r="590" spans="1:20" ht="15.75" customHeight="1" x14ac:dyDescent="0.3">
      <c r="A590" s="234" t="s">
        <v>1711</v>
      </c>
      <c r="B590" s="10"/>
      <c r="C590" s="10"/>
      <c r="D590" s="10"/>
      <c r="E590" s="38" t="s">
        <v>852</v>
      </c>
      <c r="F590" s="10"/>
      <c r="G590" s="10"/>
      <c r="H590" s="10"/>
      <c r="I590" s="38" t="s">
        <v>852</v>
      </c>
      <c r="J590" s="10"/>
      <c r="K590" s="10"/>
      <c r="L590" s="10"/>
      <c r="M590" s="38" t="s">
        <v>852</v>
      </c>
      <c r="N590" s="10"/>
      <c r="O590" s="10"/>
      <c r="P590" s="10"/>
      <c r="Q590" s="38" t="s">
        <v>852</v>
      </c>
      <c r="R590" s="38" t="s">
        <v>852</v>
      </c>
    </row>
    <row r="591" spans="1:20" ht="15.75" customHeight="1" thickBot="1" x14ac:dyDescent="0.35">
      <c r="A591" s="689" t="s">
        <v>2978</v>
      </c>
      <c r="B591" s="10"/>
      <c r="C591" s="10"/>
      <c r="D591" s="10"/>
      <c r="E591" s="38">
        <f>SUM(B591:D591)</f>
        <v>0</v>
      </c>
      <c r="F591" s="10"/>
      <c r="G591" s="10"/>
      <c r="H591" s="10"/>
      <c r="I591" s="38">
        <f>SUM(F591:H591)</f>
        <v>0</v>
      </c>
      <c r="J591" s="10"/>
      <c r="K591" s="10"/>
      <c r="L591" s="10"/>
      <c r="M591" s="38">
        <f>SUM(J591:L591)</f>
        <v>0</v>
      </c>
      <c r="N591" s="10"/>
      <c r="O591" s="10"/>
      <c r="P591" s="10"/>
      <c r="Q591" s="38">
        <f>SUM(N591:P591)</f>
        <v>0</v>
      </c>
      <c r="R591" s="38">
        <f>+E591+I591+M591+Q591</f>
        <v>0</v>
      </c>
      <c r="T591" t="s">
        <v>505</v>
      </c>
    </row>
    <row r="592" spans="1:20" ht="16.5" customHeight="1" thickBot="1" x14ac:dyDescent="0.35">
      <c r="A592" s="277" t="s">
        <v>1220</v>
      </c>
      <c r="B592" s="45">
        <f>SUM(B588:B591)</f>
        <v>0</v>
      </c>
      <c r="C592" s="46">
        <f>SUM(C588:C591)</f>
        <v>0</v>
      </c>
      <c r="D592" s="46">
        <f>SUM(D588:D591)</f>
        <v>0</v>
      </c>
      <c r="E592" s="37">
        <f>SUM(B592:D592)</f>
        <v>0</v>
      </c>
      <c r="F592" s="46">
        <f>SUM(F588:F591)</f>
        <v>0</v>
      </c>
      <c r="G592" s="46">
        <f>SUM(G588:G591)</f>
        <v>0</v>
      </c>
      <c r="H592" s="46">
        <f>SUM(H588:H591)</f>
        <v>0</v>
      </c>
      <c r="I592" s="37">
        <f>SUM(F592:H592)</f>
        <v>0</v>
      </c>
      <c r="J592" s="46">
        <f>SUM(J588:J591)</f>
        <v>0</v>
      </c>
      <c r="K592" s="46">
        <f>SUM(K588:K591)</f>
        <v>0</v>
      </c>
      <c r="L592" s="46">
        <f>SUM(L588:L591)</f>
        <v>0</v>
      </c>
      <c r="M592" s="37">
        <f>SUM(J592:L592)</f>
        <v>0</v>
      </c>
      <c r="N592" s="46">
        <f>SUM(N588:N591)</f>
        <v>0</v>
      </c>
      <c r="O592" s="46">
        <f>SUM(O588:O591)</f>
        <v>0</v>
      </c>
      <c r="P592" s="46">
        <f>SUM(P588:P591)</f>
        <v>0</v>
      </c>
      <c r="Q592" s="37">
        <f>SUM(N592:P592)</f>
        <v>0</v>
      </c>
      <c r="R592" s="37">
        <f>+E592+I592+M592+Q592</f>
        <v>0</v>
      </c>
    </row>
    <row r="593" spans="1:20" ht="15.75" customHeight="1" x14ac:dyDescent="0.3">
      <c r="A593" s="234" t="s">
        <v>1712</v>
      </c>
      <c r="B593" s="10"/>
      <c r="C593" s="10"/>
      <c r="D593" s="10"/>
      <c r="E593" s="38" t="s">
        <v>852</v>
      </c>
      <c r="F593" s="10"/>
      <c r="G593" s="10"/>
      <c r="H593" s="10"/>
      <c r="I593" s="38" t="s">
        <v>852</v>
      </c>
      <c r="J593" s="10"/>
      <c r="K593" s="10"/>
      <c r="L593" s="10"/>
      <c r="M593" s="38" t="s">
        <v>852</v>
      </c>
      <c r="N593" s="10"/>
      <c r="O593" s="10"/>
      <c r="P593" s="10"/>
      <c r="Q593" s="38" t="s">
        <v>852</v>
      </c>
      <c r="R593" s="38" t="s">
        <v>852</v>
      </c>
    </row>
    <row r="594" spans="1:20" ht="15.75" customHeight="1" x14ac:dyDescent="0.3">
      <c r="A594" s="234" t="s">
        <v>1021</v>
      </c>
      <c r="B594" s="10"/>
      <c r="C594" s="10"/>
      <c r="D594" s="10"/>
      <c r="E594" s="38" t="s">
        <v>852</v>
      </c>
      <c r="F594" s="10"/>
      <c r="G594" s="10"/>
      <c r="H594" s="10"/>
      <c r="I594" s="38" t="s">
        <v>852</v>
      </c>
      <c r="J594" s="10"/>
      <c r="K594" s="10"/>
      <c r="L594" s="10"/>
      <c r="M594" s="38" t="s">
        <v>852</v>
      </c>
      <c r="N594" s="10"/>
      <c r="O594" s="10"/>
      <c r="P594" s="10"/>
      <c r="Q594" s="38" t="s">
        <v>852</v>
      </c>
      <c r="R594" s="38" t="s">
        <v>852</v>
      </c>
    </row>
    <row r="595" spans="1:20" ht="15.75" customHeight="1" x14ac:dyDescent="0.3">
      <c r="A595" s="234" t="s">
        <v>557</v>
      </c>
      <c r="B595" s="10"/>
      <c r="C595" s="10"/>
      <c r="D595" s="10"/>
      <c r="E595" s="38" t="s">
        <v>852</v>
      </c>
      <c r="F595" s="10"/>
      <c r="G595" s="10"/>
      <c r="H595" s="10"/>
      <c r="I595" s="38" t="s">
        <v>852</v>
      </c>
      <c r="J595" s="10"/>
      <c r="K595" s="10"/>
      <c r="L595" s="10"/>
      <c r="M595" s="38" t="s">
        <v>852</v>
      </c>
      <c r="N595" s="10"/>
      <c r="O595" s="10"/>
      <c r="P595" s="10"/>
      <c r="Q595" s="38" t="s">
        <v>852</v>
      </c>
      <c r="R595" s="38" t="s">
        <v>852</v>
      </c>
    </row>
    <row r="596" spans="1:20" ht="15.75" customHeight="1" x14ac:dyDescent="0.3">
      <c r="A596" s="234" t="s">
        <v>1022</v>
      </c>
      <c r="B596" s="10"/>
      <c r="C596" s="10"/>
      <c r="D596" s="10"/>
      <c r="E596" s="38" t="s">
        <v>852</v>
      </c>
      <c r="F596" s="10"/>
      <c r="G596" s="10"/>
      <c r="H596" s="10"/>
      <c r="I596" s="38" t="s">
        <v>852</v>
      </c>
      <c r="J596" s="10"/>
      <c r="K596" s="10"/>
      <c r="L596" s="10"/>
      <c r="M596" s="38" t="s">
        <v>852</v>
      </c>
      <c r="N596" s="10"/>
      <c r="O596" s="10"/>
      <c r="P596" s="10"/>
      <c r="Q596" s="38" t="s">
        <v>852</v>
      </c>
      <c r="R596" s="38" t="s">
        <v>852</v>
      </c>
    </row>
    <row r="597" spans="1:20" ht="15.75" customHeight="1" x14ac:dyDescent="0.3">
      <c r="A597" s="539" t="s">
        <v>3263</v>
      </c>
      <c r="B597" s="10"/>
      <c r="C597" s="10"/>
      <c r="D597" s="10"/>
      <c r="E597" s="38">
        <f>SUM(B597:D597)</f>
        <v>0</v>
      </c>
      <c r="F597" s="10"/>
      <c r="G597" s="10"/>
      <c r="H597" s="10"/>
      <c r="I597" s="38">
        <f>SUM(F597:H597)</f>
        <v>0</v>
      </c>
      <c r="J597" s="10"/>
      <c r="K597" s="10"/>
      <c r="L597" s="10"/>
      <c r="M597" s="38">
        <f>SUM(J597:L597)</f>
        <v>0</v>
      </c>
      <c r="N597" s="10"/>
      <c r="O597" s="10"/>
      <c r="P597" s="10"/>
      <c r="Q597" s="38">
        <f>SUM(N597:P597)</f>
        <v>0</v>
      </c>
      <c r="R597" s="38">
        <f>+E597+I597+M597+Q597</f>
        <v>0</v>
      </c>
    </row>
    <row r="598" spans="1:20" ht="15.75" customHeight="1" x14ac:dyDescent="0.3">
      <c r="A598" s="234" t="s">
        <v>559</v>
      </c>
      <c r="B598" s="10"/>
      <c r="C598" s="10"/>
      <c r="D598" s="10"/>
      <c r="E598" s="38"/>
      <c r="F598" s="10"/>
      <c r="G598" s="10"/>
      <c r="H598" s="10"/>
      <c r="I598" s="38"/>
      <c r="J598" s="10"/>
      <c r="K598" s="10"/>
      <c r="L598" s="10"/>
      <c r="M598" s="38"/>
      <c r="N598" s="10"/>
      <c r="O598" s="10"/>
      <c r="P598" s="10"/>
      <c r="Q598" s="38"/>
      <c r="R598" s="38" t="s">
        <v>852</v>
      </c>
    </row>
    <row r="599" spans="1:20" ht="15.75" customHeight="1" x14ac:dyDescent="0.3">
      <c r="A599" s="539" t="s">
        <v>2936</v>
      </c>
      <c r="B599" s="10"/>
      <c r="C599" s="10"/>
      <c r="D599" s="10"/>
      <c r="E599" s="38">
        <f t="shared" ref="E599:E606" si="222">SUM(B599:D599)</f>
        <v>0</v>
      </c>
      <c r="F599" s="10"/>
      <c r="G599" s="10"/>
      <c r="H599" s="10"/>
      <c r="I599" s="38">
        <f t="shared" ref="I599:I606" si="223">SUM(F599:H599)</f>
        <v>0</v>
      </c>
      <c r="J599" s="10"/>
      <c r="K599" s="10"/>
      <c r="L599" s="10"/>
      <c r="M599" s="38">
        <f t="shared" ref="M599:M606" si="224">SUM(J599:L599)</f>
        <v>0</v>
      </c>
      <c r="N599" s="10"/>
      <c r="O599" s="10"/>
      <c r="P599" s="10"/>
      <c r="Q599" s="38">
        <f t="shared" ref="Q599:Q606" si="225">SUM(N599:P599)</f>
        <v>0</v>
      </c>
      <c r="R599" s="38">
        <f t="shared" ref="R599:R606" si="226">+E599+I599+M599+Q599</f>
        <v>0</v>
      </c>
      <c r="T599" t="s">
        <v>505</v>
      </c>
    </row>
    <row r="600" spans="1:20" ht="15.75" customHeight="1" x14ac:dyDescent="0.3">
      <c r="A600" s="539" t="s">
        <v>2836</v>
      </c>
      <c r="B600" s="10"/>
      <c r="C600" s="10"/>
      <c r="D600" s="10"/>
      <c r="E600" s="38">
        <f>SUM(B600:D600)</f>
        <v>0</v>
      </c>
      <c r="F600" s="10"/>
      <c r="G600" s="10"/>
      <c r="H600" s="10"/>
      <c r="I600" s="38">
        <f>SUM(F600:H600)</f>
        <v>0</v>
      </c>
      <c r="J600" s="10"/>
      <c r="K600" s="10"/>
      <c r="L600" s="10"/>
      <c r="M600" s="38">
        <f>SUM(J600:L600)</f>
        <v>0</v>
      </c>
      <c r="N600" s="10"/>
      <c r="O600" s="10"/>
      <c r="P600" s="10"/>
      <c r="Q600" s="38">
        <f>SUM(N600:P600)</f>
        <v>0</v>
      </c>
      <c r="R600" s="38">
        <f>+E600+I600+M600+Q600</f>
        <v>0</v>
      </c>
      <c r="T600" t="s">
        <v>505</v>
      </c>
    </row>
    <row r="601" spans="1:20" ht="15.75" customHeight="1" x14ac:dyDescent="0.3">
      <c r="A601" s="539" t="s">
        <v>3228</v>
      </c>
      <c r="B601" s="10"/>
      <c r="C601" s="10"/>
      <c r="D601" s="10"/>
      <c r="E601" s="38">
        <f t="shared" ref="E601" si="227">SUM(B601:D601)</f>
        <v>0</v>
      </c>
      <c r="F601" s="10"/>
      <c r="G601" s="10"/>
      <c r="H601" s="10"/>
      <c r="I601" s="38">
        <f t="shared" ref="I601" si="228">SUM(F601:H601)</f>
        <v>0</v>
      </c>
      <c r="J601" s="10"/>
      <c r="K601" s="10"/>
      <c r="L601" s="10"/>
      <c r="M601" s="38">
        <f t="shared" ref="M601" si="229">SUM(J601:L601)</f>
        <v>0</v>
      </c>
      <c r="N601" s="10"/>
      <c r="O601" s="10"/>
      <c r="P601" s="10"/>
      <c r="Q601" s="38">
        <f t="shared" ref="Q601" si="230">SUM(N601:P601)</f>
        <v>0</v>
      </c>
      <c r="R601" s="38">
        <f t="shared" ref="R601" si="231">+E601+I601+M601+Q601</f>
        <v>0</v>
      </c>
    </row>
    <row r="602" spans="1:20" ht="15.75" customHeight="1" thickBot="1" x14ac:dyDescent="0.35">
      <c r="A602" s="539" t="s">
        <v>2577</v>
      </c>
      <c r="B602" s="10"/>
      <c r="C602" s="10"/>
      <c r="D602" s="10"/>
      <c r="E602" s="38">
        <f t="shared" si="222"/>
        <v>0</v>
      </c>
      <c r="F602" s="10"/>
      <c r="G602" s="10"/>
      <c r="H602" s="10"/>
      <c r="I602" s="38">
        <f t="shared" si="223"/>
        <v>0</v>
      </c>
      <c r="J602" s="10"/>
      <c r="K602" s="10"/>
      <c r="L602" s="10"/>
      <c r="M602" s="38">
        <f t="shared" si="224"/>
        <v>0</v>
      </c>
      <c r="N602" s="10"/>
      <c r="O602" s="10"/>
      <c r="P602" s="10"/>
      <c r="Q602" s="38">
        <f t="shared" si="225"/>
        <v>0</v>
      </c>
      <c r="R602" s="38">
        <f t="shared" si="226"/>
        <v>0</v>
      </c>
    </row>
    <row r="603" spans="1:20" ht="16.5" customHeight="1" thickBot="1" x14ac:dyDescent="0.35">
      <c r="A603" s="43" t="s">
        <v>1019</v>
      </c>
      <c r="B603" s="42">
        <f>SUM(B596:B602)</f>
        <v>0</v>
      </c>
      <c r="C603" s="42">
        <f>SUM(C596:C602)</f>
        <v>0</v>
      </c>
      <c r="D603" s="42">
        <f>SUM(D596:D602)</f>
        <v>0</v>
      </c>
      <c r="E603" s="39">
        <f t="shared" si="222"/>
        <v>0</v>
      </c>
      <c r="F603" s="42">
        <f>SUM(F596:F602)</f>
        <v>0</v>
      </c>
      <c r="G603" s="42">
        <f>SUM(G596:G602)</f>
        <v>0</v>
      </c>
      <c r="H603" s="42">
        <f>SUM(H596:H602)</f>
        <v>0</v>
      </c>
      <c r="I603" s="39">
        <f t="shared" si="223"/>
        <v>0</v>
      </c>
      <c r="J603" s="42">
        <f>SUM(J596:J602)</f>
        <v>0</v>
      </c>
      <c r="K603" s="42">
        <f>SUM(K596:K602)</f>
        <v>0</v>
      </c>
      <c r="L603" s="42">
        <f>SUM(L596:L602)</f>
        <v>0</v>
      </c>
      <c r="M603" s="39">
        <f t="shared" si="224"/>
        <v>0</v>
      </c>
      <c r="N603" s="42">
        <f>SUM(N596:N602)</f>
        <v>0</v>
      </c>
      <c r="O603" s="42">
        <f>SUM(O596:O602)</f>
        <v>0</v>
      </c>
      <c r="P603" s="42">
        <f>SUM(P596:P602)</f>
        <v>0</v>
      </c>
      <c r="Q603" s="39">
        <f t="shared" si="225"/>
        <v>0</v>
      </c>
      <c r="R603" s="37">
        <f t="shared" si="226"/>
        <v>0</v>
      </c>
    </row>
    <row r="604" spans="1:20" ht="16.5" customHeight="1" thickBot="1" x14ac:dyDescent="0.35">
      <c r="A604" s="277" t="s">
        <v>1221</v>
      </c>
      <c r="B604" s="45">
        <f>SUM(B593:B602)</f>
        <v>0</v>
      </c>
      <c r="C604" s="46">
        <f>SUM(C593:C602)</f>
        <v>0</v>
      </c>
      <c r="D604" s="58">
        <f>SUM(D593:D602)</f>
        <v>0</v>
      </c>
      <c r="E604" s="39">
        <f t="shared" si="222"/>
        <v>0</v>
      </c>
      <c r="F604" s="46">
        <f>SUM(F593:F602)</f>
        <v>0</v>
      </c>
      <c r="G604" s="46">
        <f>SUM(G593:G602)</f>
        <v>0</v>
      </c>
      <c r="H604" s="46">
        <f>SUM(H593:H602)</f>
        <v>0</v>
      </c>
      <c r="I604" s="39">
        <f t="shared" si="223"/>
        <v>0</v>
      </c>
      <c r="J604" s="46">
        <f>SUM(J593:J602)</f>
        <v>0</v>
      </c>
      <c r="K604" s="46">
        <f>SUM(K593:K602)</f>
        <v>0</v>
      </c>
      <c r="L604" s="46">
        <f>SUM(L593:L602)</f>
        <v>0</v>
      </c>
      <c r="M604" s="39">
        <f t="shared" si="224"/>
        <v>0</v>
      </c>
      <c r="N604" s="46">
        <f>SUM(N593:N602)</f>
        <v>0</v>
      </c>
      <c r="O604" s="46">
        <f>SUM(O593:O602)</f>
        <v>0</v>
      </c>
      <c r="P604" s="46">
        <f>SUM(P593:P602)</f>
        <v>0</v>
      </c>
      <c r="Q604" s="39">
        <f t="shared" si="225"/>
        <v>0</v>
      </c>
      <c r="R604" s="37">
        <f t="shared" si="226"/>
        <v>0</v>
      </c>
    </row>
    <row r="605" spans="1:20" ht="16.5" customHeight="1" thickBot="1" x14ac:dyDescent="0.35">
      <c r="A605" s="43" t="s">
        <v>1222</v>
      </c>
      <c r="B605" s="47">
        <f>+B581+B587+B592+B604</f>
        <v>123</v>
      </c>
      <c r="C605" s="42">
        <f>+C581+C587+C592+C604</f>
        <v>575</v>
      </c>
      <c r="D605" s="42">
        <f>+D581+D587+D592+D604</f>
        <v>2550</v>
      </c>
      <c r="E605" s="37">
        <f t="shared" si="222"/>
        <v>3248</v>
      </c>
      <c r="F605" s="42">
        <f>+F581+F587+F592+F604</f>
        <v>3050</v>
      </c>
      <c r="G605" s="42">
        <f>+G581+G587+G592+G604</f>
        <v>2780</v>
      </c>
      <c r="H605" s="42">
        <f>+H581+H587+H592+H604</f>
        <v>5775</v>
      </c>
      <c r="I605" s="37">
        <f t="shared" si="223"/>
        <v>11605</v>
      </c>
      <c r="J605" s="42">
        <f>+J581+J587+J592+J604</f>
        <v>6327</v>
      </c>
      <c r="K605" s="42">
        <f>+K581+K587+K592+K604</f>
        <v>4564</v>
      </c>
      <c r="L605" s="42">
        <f>+L581+L587+L592+L604</f>
        <v>1600</v>
      </c>
      <c r="M605" s="37">
        <f t="shared" si="224"/>
        <v>12491</v>
      </c>
      <c r="N605" s="42">
        <f>+N581+N587+N592+N604</f>
        <v>850</v>
      </c>
      <c r="O605" s="42">
        <f>+O581+O587+O592+O604</f>
        <v>80</v>
      </c>
      <c r="P605" s="42">
        <f>+P581+P587+P592+P604</f>
        <v>556</v>
      </c>
      <c r="Q605" s="37">
        <f t="shared" si="225"/>
        <v>1486</v>
      </c>
      <c r="R605" s="40">
        <f t="shared" si="226"/>
        <v>28830</v>
      </c>
    </row>
    <row r="606" spans="1:20" ht="16.5" customHeight="1" thickBot="1" x14ac:dyDescent="0.35">
      <c r="A606" s="299" t="s">
        <v>853</v>
      </c>
      <c r="B606" s="294">
        <v>23</v>
      </c>
      <c r="C606" s="294">
        <v>43</v>
      </c>
      <c r="D606" s="294">
        <v>66</v>
      </c>
      <c r="E606" s="40">
        <f t="shared" si="222"/>
        <v>132</v>
      </c>
      <c r="F606" s="294">
        <v>91</v>
      </c>
      <c r="G606" s="294">
        <v>108</v>
      </c>
      <c r="H606" s="294">
        <v>109</v>
      </c>
      <c r="I606" s="40">
        <f t="shared" si="223"/>
        <v>308</v>
      </c>
      <c r="J606" s="294">
        <v>104</v>
      </c>
      <c r="K606" s="294">
        <v>79</v>
      </c>
      <c r="L606" s="294">
        <v>80</v>
      </c>
      <c r="M606" s="40">
        <f t="shared" si="224"/>
        <v>263</v>
      </c>
      <c r="N606" s="294">
        <v>74</v>
      </c>
      <c r="O606" s="294">
        <v>58</v>
      </c>
      <c r="P606" s="294">
        <v>42</v>
      </c>
      <c r="Q606" s="40">
        <f t="shared" si="225"/>
        <v>174</v>
      </c>
      <c r="R606" s="38">
        <f t="shared" si="226"/>
        <v>877</v>
      </c>
    </row>
    <row r="607" spans="1:20" ht="16.5" customHeight="1" thickBot="1" x14ac:dyDescent="0.35">
      <c r="A607" s="22"/>
      <c r="B607" s="297"/>
      <c r="C607" s="297"/>
      <c r="D607" s="297"/>
      <c r="E607" s="21"/>
      <c r="F607" s="297"/>
      <c r="G607" s="297"/>
      <c r="H607" s="297"/>
      <c r="I607" s="31"/>
      <c r="J607" s="297"/>
      <c r="K607" s="297"/>
      <c r="L607" s="297"/>
      <c r="M607" s="31"/>
      <c r="N607" s="297"/>
      <c r="O607" s="297"/>
      <c r="P607" s="297"/>
      <c r="Q607" s="31"/>
      <c r="R607" s="21"/>
    </row>
    <row r="608" spans="1:20" ht="15.75" customHeight="1" x14ac:dyDescent="0.3">
      <c r="A608" s="234" t="s">
        <v>120</v>
      </c>
      <c r="B608" s="741">
        <f>SUM(B605:B606)</f>
        <v>146</v>
      </c>
      <c r="C608" s="741">
        <f>SUM(C605:C606)</f>
        <v>618</v>
      </c>
      <c r="D608" s="741">
        <f>SUM(D605:D606)</f>
        <v>2616</v>
      </c>
      <c r="E608" s="39">
        <f>SUM(B608:D608)</f>
        <v>3380</v>
      </c>
      <c r="F608" s="741">
        <f>SUM(F605:F606)</f>
        <v>3141</v>
      </c>
      <c r="G608" s="741">
        <f>SUM(G605:G606)</f>
        <v>2888</v>
      </c>
      <c r="H608" s="741">
        <f>SUM(H605:H606)</f>
        <v>5884</v>
      </c>
      <c r="I608" s="39">
        <f>SUM(F608:H608)</f>
        <v>11913</v>
      </c>
      <c r="J608" s="741">
        <f>SUM(J605:J606)</f>
        <v>6431</v>
      </c>
      <c r="K608" s="741">
        <f>SUM(K605:K606)</f>
        <v>4643</v>
      </c>
      <c r="L608" s="741">
        <f>SUM(L605:L606)</f>
        <v>1680</v>
      </c>
      <c r="M608" s="39">
        <f>SUM(J608:L608)</f>
        <v>12754</v>
      </c>
      <c r="N608" s="741">
        <f>SUM(N605:N606)</f>
        <v>924</v>
      </c>
      <c r="O608" s="741">
        <f>SUM(O605:O606)</f>
        <v>138</v>
      </c>
      <c r="P608" s="741">
        <f>SUM(P605:P606)</f>
        <v>598</v>
      </c>
      <c r="Q608" s="39">
        <f>SUM(N608:P608)</f>
        <v>1660</v>
      </c>
      <c r="R608" s="39">
        <f>+E608+I608+M608+Q608</f>
        <v>29707</v>
      </c>
    </row>
    <row r="609" spans="1:20" ht="15.75" customHeight="1" x14ac:dyDescent="0.3">
      <c r="A609" s="234" t="s">
        <v>1897</v>
      </c>
      <c r="B609" s="10">
        <f>(B608/B10)/1.983</f>
        <v>2.3750264343695608</v>
      </c>
      <c r="C609" s="10">
        <f>(C608/C10)/1.983</f>
        <v>11.130322022909013</v>
      </c>
      <c r="D609" s="10">
        <f>(D608/D10)/1.983</f>
        <v>42.555268166512128</v>
      </c>
      <c r="E609" s="38" t="s">
        <v>852</v>
      </c>
      <c r="F609" s="10">
        <f>(F608/F10)/1.983</f>
        <v>52.798789712556733</v>
      </c>
      <c r="G609" s="10">
        <f>(G608/G10)/1.983</f>
        <v>46.979974948351305</v>
      </c>
      <c r="H609" s="10">
        <f>(H608/H10)/1.983</f>
        <v>98.907379391494359</v>
      </c>
      <c r="I609" s="38" t="s">
        <v>852</v>
      </c>
      <c r="J609" s="10">
        <f>(J608/J10)/1.983</f>
        <v>104.61503424267563</v>
      </c>
      <c r="K609" s="10">
        <f>(K608/K10)/1.983</f>
        <v>75.529094073821028</v>
      </c>
      <c r="L609" s="10">
        <f>(L608/L10)/1.983</f>
        <v>28.240040342914774</v>
      </c>
      <c r="M609" s="38" t="s">
        <v>852</v>
      </c>
      <c r="N609" s="10">
        <f>(N608/N10)/1.983</f>
        <v>15.030989214777218</v>
      </c>
      <c r="O609" s="10">
        <f>(O608/O10)/1.983</f>
        <v>2.3197175995965704</v>
      </c>
      <c r="P609" s="10">
        <f>(P608/P10)/1.983</f>
        <v>9.7278479983081994</v>
      </c>
      <c r="Q609" s="38" t="s">
        <v>852</v>
      </c>
      <c r="R609" s="38" t="s">
        <v>852</v>
      </c>
    </row>
    <row r="610" spans="1:20" ht="15.75" customHeight="1" x14ac:dyDescent="0.3">
      <c r="A610" s="234" t="s">
        <v>1433</v>
      </c>
      <c r="B610" s="10">
        <f>B608+B676</f>
        <v>15838</v>
      </c>
      <c r="C610" s="10">
        <f>C608+C676</f>
        <v>22891</v>
      </c>
      <c r="D610" s="10">
        <f>D608+D676</f>
        <v>31315</v>
      </c>
      <c r="E610" s="38">
        <f>SUM(B610:D610)</f>
        <v>70044</v>
      </c>
      <c r="F610" s="10">
        <f>F608+F676</f>
        <v>34700</v>
      </c>
      <c r="G610" s="10">
        <f>G608+G676</f>
        <v>33863</v>
      </c>
      <c r="H610" s="10">
        <f>H608+H676</f>
        <v>32817</v>
      </c>
      <c r="I610" s="38">
        <f>SUM(F610:H610)</f>
        <v>101380</v>
      </c>
      <c r="J610" s="10">
        <f>J608+J676</f>
        <v>33632</v>
      </c>
      <c r="K610" s="10">
        <f>K608+K676</f>
        <v>31601</v>
      </c>
      <c r="L610" s="10">
        <f>L608+L676</f>
        <v>25150</v>
      </c>
      <c r="M610" s="38">
        <f>SUM(J610:L610)</f>
        <v>90383</v>
      </c>
      <c r="N610" s="10">
        <f>N608+N676</f>
        <v>11097</v>
      </c>
      <c r="O610" s="10">
        <f>O608+O676</f>
        <v>2998</v>
      </c>
      <c r="P610" s="10">
        <f>P608+P676</f>
        <v>10466</v>
      </c>
      <c r="Q610" s="38">
        <f>SUM(N610:P610)</f>
        <v>24561</v>
      </c>
      <c r="R610" s="38">
        <f>+E610+I610+M610+Q610</f>
        <v>286368</v>
      </c>
    </row>
    <row r="611" spans="1:20" ht="16.5" customHeight="1" thickBot="1" x14ac:dyDescent="0.35">
      <c r="A611" s="237" t="s">
        <v>426</v>
      </c>
      <c r="B611" s="315">
        <f>(B610/B10)/1.983</f>
        <v>257.6415662160623</v>
      </c>
      <c r="C611" s="315">
        <f>(C610/C10)/1.983</f>
        <v>412.27217059289677</v>
      </c>
      <c r="D611" s="315">
        <f>(D610/D10)/1.983</f>
        <v>509.41063556358074</v>
      </c>
      <c r="E611" s="40" t="s">
        <v>852</v>
      </c>
      <c r="F611" s="315">
        <f>(F610/F10)/1.983</f>
        <v>583.29130946377541</v>
      </c>
      <c r="G611" s="315">
        <f>(G610/G10)/1.983</f>
        <v>550.85972703463301</v>
      </c>
      <c r="H611" s="315">
        <f>(H610/H10)/1.983</f>
        <v>551.6389309127585</v>
      </c>
      <c r="I611" s="40" t="s">
        <v>852</v>
      </c>
      <c r="J611" s="315">
        <f>(J610/J10)/1.983</f>
        <v>547.10197973093875</v>
      </c>
      <c r="K611" s="315">
        <f>(K610/K10)/1.983</f>
        <v>514.06308460624984</v>
      </c>
      <c r="L611" s="315">
        <f>(L610/L10)/1.983</f>
        <v>422.76012775256345</v>
      </c>
      <c r="M611" s="40" t="s">
        <v>852</v>
      </c>
      <c r="N611" s="315">
        <f>(N610/N10)/1.983</f>
        <v>180.51827631643158</v>
      </c>
      <c r="O611" s="315">
        <f>(O610/O10)/1.983</f>
        <v>50.395024373844343</v>
      </c>
      <c r="P611" s="315">
        <f>(P610/P10)/1.983</f>
        <v>170.2536072747385</v>
      </c>
      <c r="Q611" s="40" t="s">
        <v>852</v>
      </c>
      <c r="R611" s="40" t="s">
        <v>852</v>
      </c>
    </row>
    <row r="612" spans="1:20" ht="15.75" customHeight="1" x14ac:dyDescent="0.3">
      <c r="A612" s="17"/>
      <c r="B612" s="10"/>
      <c r="C612" s="10"/>
      <c r="D612" s="10"/>
      <c r="E612" s="10"/>
      <c r="F612" s="10"/>
      <c r="G612" s="10"/>
      <c r="H612" s="10"/>
      <c r="I612" s="10"/>
      <c r="J612" s="10"/>
      <c r="K612" s="10"/>
      <c r="L612" s="10"/>
      <c r="M612" s="10"/>
      <c r="N612" s="10"/>
      <c r="O612" s="10"/>
      <c r="P612" s="10"/>
      <c r="Q612" s="10"/>
      <c r="R612" s="17"/>
    </row>
    <row r="613" spans="1:20" ht="15.75" customHeight="1" thickBot="1" x14ac:dyDescent="0.35">
      <c r="A613" s="17"/>
      <c r="B613" s="10"/>
      <c r="C613" s="10"/>
      <c r="D613" s="10"/>
      <c r="E613" s="10"/>
      <c r="F613" s="10"/>
      <c r="G613" s="10"/>
      <c r="H613" s="10"/>
      <c r="I613" s="10"/>
      <c r="J613" s="10"/>
      <c r="K613" s="10"/>
      <c r="L613" s="10"/>
      <c r="M613" s="10"/>
      <c r="N613" s="10"/>
      <c r="O613" s="10"/>
      <c r="P613" s="10"/>
      <c r="Q613" s="10"/>
      <c r="R613" s="17"/>
    </row>
    <row r="614" spans="1:20" ht="16.5" customHeight="1" thickBot="1" x14ac:dyDescent="0.35">
      <c r="A614" s="278" t="s">
        <v>1069</v>
      </c>
      <c r="B614" s="4" t="s">
        <v>2090</v>
      </c>
      <c r="C614" s="5" t="s">
        <v>2091</v>
      </c>
      <c r="D614" s="5" t="s">
        <v>2234</v>
      </c>
      <c r="E614" s="33" t="s">
        <v>1594</v>
      </c>
      <c r="F614" s="5" t="s">
        <v>2235</v>
      </c>
      <c r="G614" s="5" t="s">
        <v>2236</v>
      </c>
      <c r="H614" s="5" t="s">
        <v>2237</v>
      </c>
      <c r="I614" s="35" t="s">
        <v>1595</v>
      </c>
      <c r="J614" s="5" t="s">
        <v>1504</v>
      </c>
      <c r="K614" s="5" t="s">
        <v>1505</v>
      </c>
      <c r="L614" s="5" t="s">
        <v>1506</v>
      </c>
      <c r="M614" s="35" t="s">
        <v>1596</v>
      </c>
      <c r="N614" s="5" t="s">
        <v>1507</v>
      </c>
      <c r="O614" s="5" t="s">
        <v>1508</v>
      </c>
      <c r="P614" s="5" t="s">
        <v>1509</v>
      </c>
      <c r="Q614" s="35" t="s">
        <v>1597</v>
      </c>
      <c r="R614" s="36" t="s">
        <v>1510</v>
      </c>
    </row>
    <row r="615" spans="1:20" ht="16.5" customHeight="1" thickBot="1" x14ac:dyDescent="0.35">
      <c r="A615" s="37"/>
      <c r="B615" s="313"/>
      <c r="C615" s="313"/>
      <c r="D615" s="313"/>
      <c r="E615" s="308"/>
      <c r="F615" s="313"/>
      <c r="G615" s="313"/>
      <c r="H615" s="313"/>
      <c r="I615" s="316"/>
      <c r="J615" s="313"/>
      <c r="K615" s="313"/>
      <c r="L615" s="313"/>
      <c r="M615" s="316"/>
      <c r="N615" s="313"/>
      <c r="O615" s="313"/>
      <c r="P615" s="313"/>
      <c r="Q615" s="316"/>
      <c r="R615" s="52"/>
    </row>
    <row r="616" spans="1:20" ht="15.75" customHeight="1" x14ac:dyDescent="0.3">
      <c r="A616" s="234" t="s">
        <v>2417</v>
      </c>
      <c r="B616" s="10"/>
      <c r="C616" s="10"/>
      <c r="D616" s="10"/>
      <c r="E616" s="38" t="s">
        <v>852</v>
      </c>
      <c r="F616" s="10"/>
      <c r="G616" s="10"/>
      <c r="H616" s="10"/>
      <c r="I616" s="38" t="s">
        <v>852</v>
      </c>
      <c r="J616" s="10" t="s">
        <v>852</v>
      </c>
      <c r="K616" s="10" t="s">
        <v>852</v>
      </c>
      <c r="L616" s="10" t="s">
        <v>852</v>
      </c>
      <c r="M616" s="38" t="s">
        <v>852</v>
      </c>
      <c r="N616" s="10" t="s">
        <v>852</v>
      </c>
      <c r="O616" s="10" t="s">
        <v>852</v>
      </c>
      <c r="P616" s="10" t="s">
        <v>852</v>
      </c>
      <c r="Q616" s="38" t="s">
        <v>852</v>
      </c>
      <c r="R616" s="38" t="s">
        <v>852</v>
      </c>
    </row>
    <row r="617" spans="1:20" ht="15.75" customHeight="1" x14ac:dyDescent="0.3">
      <c r="A617" s="234" t="s">
        <v>2160</v>
      </c>
      <c r="B617" s="10"/>
      <c r="C617" s="10"/>
      <c r="D617" s="10"/>
      <c r="E617" s="38" t="s">
        <v>852</v>
      </c>
      <c r="F617" s="10"/>
      <c r="G617" s="10"/>
      <c r="H617" s="10"/>
      <c r="I617" s="38" t="s">
        <v>852</v>
      </c>
      <c r="J617" s="10"/>
      <c r="K617" s="10"/>
      <c r="L617" s="10"/>
      <c r="M617" s="38" t="s">
        <v>852</v>
      </c>
      <c r="N617" s="10"/>
      <c r="O617" s="10"/>
      <c r="P617" s="10"/>
      <c r="Q617" s="38" t="s">
        <v>852</v>
      </c>
      <c r="R617" s="38" t="s">
        <v>852</v>
      </c>
    </row>
    <row r="618" spans="1:20" ht="15.75" customHeight="1" x14ac:dyDescent="0.3">
      <c r="A618" s="310" t="s">
        <v>746</v>
      </c>
      <c r="B618" s="10"/>
      <c r="C618" s="10"/>
      <c r="D618" s="10"/>
      <c r="E618" s="38">
        <f t="shared" ref="E618" si="232">SUM(B618:D618)</f>
        <v>0</v>
      </c>
      <c r="F618" s="10"/>
      <c r="G618" s="10"/>
      <c r="H618" s="10"/>
      <c r="I618" s="38">
        <f t="shared" ref="I618" si="233">SUM(F618:H618)</f>
        <v>0</v>
      </c>
      <c r="J618" s="10"/>
      <c r="K618" s="10"/>
      <c r="L618" s="10"/>
      <c r="M618" s="38">
        <f t="shared" ref="M618" si="234">SUM(J618:L618)</f>
        <v>0</v>
      </c>
      <c r="N618" s="10"/>
      <c r="O618" s="10"/>
      <c r="P618" s="10"/>
      <c r="Q618" s="38">
        <f t="shared" ref="Q618:Q626" si="235">SUM(N618:P618)</f>
        <v>0</v>
      </c>
      <c r="R618" s="38">
        <f t="shared" ref="R618:R628" si="236">+E618+I618+M618+Q618</f>
        <v>0</v>
      </c>
    </row>
    <row r="619" spans="1:20" ht="15.75" customHeight="1" x14ac:dyDescent="0.3">
      <c r="A619" s="310" t="s">
        <v>639</v>
      </c>
      <c r="B619" s="10"/>
      <c r="C619" s="10"/>
      <c r="D619" s="10"/>
      <c r="E619" s="38">
        <f>SUM(B619:D619)</f>
        <v>0</v>
      </c>
      <c r="F619" s="10"/>
      <c r="G619" s="10"/>
      <c r="H619" s="10"/>
      <c r="I619" s="38">
        <f>SUM(F619:H619)</f>
        <v>0</v>
      </c>
      <c r="J619" s="10">
        <v>500</v>
      </c>
      <c r="K619" s="10">
        <v>500</v>
      </c>
      <c r="L619" s="10"/>
      <c r="M619" s="38">
        <f>SUM(J619:L619)</f>
        <v>1000</v>
      </c>
      <c r="N619" s="10"/>
      <c r="O619" s="10"/>
      <c r="P619" s="10"/>
      <c r="Q619" s="38">
        <f>SUM(N619:P619)</f>
        <v>0</v>
      </c>
      <c r="R619" s="38">
        <f>+E619+I619+M619+Q619</f>
        <v>1000</v>
      </c>
    </row>
    <row r="620" spans="1:20" ht="15.75" customHeight="1" x14ac:dyDescent="0.3">
      <c r="A620" s="310" t="s">
        <v>1185</v>
      </c>
      <c r="B620" s="10"/>
      <c r="C620" s="10"/>
      <c r="D620" s="10">
        <v>1000</v>
      </c>
      <c r="E620" s="38">
        <f t="shared" ref="E620" si="237">SUM(B620:D620)</f>
        <v>1000</v>
      </c>
      <c r="F620" s="10">
        <v>1000</v>
      </c>
      <c r="G620" s="10">
        <v>1000</v>
      </c>
      <c r="H620" s="10">
        <v>1000</v>
      </c>
      <c r="I620" s="38">
        <f t="shared" ref="I620" si="238">SUM(F620:H620)</f>
        <v>3000</v>
      </c>
      <c r="J620" s="10">
        <v>1000</v>
      </c>
      <c r="K620" s="10">
        <v>1000</v>
      </c>
      <c r="L620" s="10">
        <v>1000</v>
      </c>
      <c r="M620" s="38">
        <f t="shared" ref="M620" si="239">SUM(J620:L620)</f>
        <v>3000</v>
      </c>
      <c r="N620" s="10">
        <v>960</v>
      </c>
      <c r="O620" s="10"/>
      <c r="P620" s="10"/>
      <c r="Q620" s="38">
        <f t="shared" si="235"/>
        <v>960</v>
      </c>
      <c r="R620" s="38">
        <f t="shared" si="236"/>
        <v>7960</v>
      </c>
      <c r="T620" t="s">
        <v>2763</v>
      </c>
    </row>
    <row r="621" spans="1:20" ht="15.75" customHeight="1" x14ac:dyDescent="0.3">
      <c r="A621" s="310" t="s">
        <v>745</v>
      </c>
      <c r="B621" s="10"/>
      <c r="C621" s="10"/>
      <c r="D621" s="10"/>
      <c r="E621" s="38">
        <f>SUM(B621:D621)</f>
        <v>0</v>
      </c>
      <c r="F621" s="10"/>
      <c r="G621" s="10"/>
      <c r="H621" s="10"/>
      <c r="I621" s="38">
        <f>SUM(F621:H621)</f>
        <v>0</v>
      </c>
      <c r="J621" s="10"/>
      <c r="K621" s="10"/>
      <c r="L621" s="10"/>
      <c r="M621" s="38">
        <f>SUM(J621:L621)</f>
        <v>0</v>
      </c>
      <c r="N621" s="10"/>
      <c r="O621" s="10"/>
      <c r="P621" s="10"/>
      <c r="Q621" s="38">
        <f>SUM(N621:P621)</f>
        <v>0</v>
      </c>
      <c r="R621" s="38">
        <f>+E621+I621+M621+Q621</f>
        <v>0</v>
      </c>
      <c r="T621" t="s">
        <v>2766</v>
      </c>
    </row>
    <row r="622" spans="1:20" ht="15.75" customHeight="1" x14ac:dyDescent="0.3">
      <c r="A622" s="310" t="s">
        <v>484</v>
      </c>
      <c r="B622" s="10">
        <v>300</v>
      </c>
      <c r="C622" s="10">
        <v>300</v>
      </c>
      <c r="D622" s="10">
        <v>300</v>
      </c>
      <c r="E622" s="38">
        <f t="shared" ref="E622" si="240">SUM(B622:D622)</f>
        <v>900</v>
      </c>
      <c r="F622" s="10">
        <v>300</v>
      </c>
      <c r="G622" s="10">
        <v>300</v>
      </c>
      <c r="H622" s="10">
        <v>200</v>
      </c>
      <c r="I622" s="38">
        <f t="shared" ref="I622" si="241">SUM(F622:H622)</f>
        <v>800</v>
      </c>
      <c r="J622" s="10">
        <v>200</v>
      </c>
      <c r="K622" s="10">
        <v>200</v>
      </c>
      <c r="L622" s="10">
        <v>200</v>
      </c>
      <c r="M622" s="38">
        <f t="shared" ref="M622" si="242">SUM(J622:L622)</f>
        <v>600</v>
      </c>
      <c r="N622" s="10">
        <v>200</v>
      </c>
      <c r="O622" s="10">
        <v>305</v>
      </c>
      <c r="P622" s="10">
        <v>0</v>
      </c>
      <c r="Q622" s="38">
        <f t="shared" si="235"/>
        <v>505</v>
      </c>
      <c r="R622" s="38">
        <f t="shared" si="236"/>
        <v>2805</v>
      </c>
      <c r="T622" t="s">
        <v>2766</v>
      </c>
    </row>
    <row r="623" spans="1:20" ht="15.75" customHeight="1" x14ac:dyDescent="0.3">
      <c r="A623" s="539" t="s">
        <v>2982</v>
      </c>
      <c r="B623" s="10"/>
      <c r="C623" s="10"/>
      <c r="D623" s="10"/>
      <c r="E623" s="38">
        <f>SUM(B623:D623)</f>
        <v>0</v>
      </c>
      <c r="F623" s="356"/>
      <c r="G623" s="356"/>
      <c r="H623" s="10"/>
      <c r="I623" s="38">
        <f>SUM(F623:H623)</f>
        <v>0</v>
      </c>
      <c r="J623" s="10">
        <v>700</v>
      </c>
      <c r="K623" s="10"/>
      <c r="L623" s="10"/>
      <c r="M623" s="38">
        <f>SUM(J623:L623)</f>
        <v>700</v>
      </c>
      <c r="N623" s="10"/>
      <c r="O623" s="10"/>
      <c r="P623" s="10"/>
      <c r="Q623" s="38">
        <f>SUM(N623:P623)</f>
        <v>0</v>
      </c>
      <c r="R623" s="38">
        <f t="shared" si="236"/>
        <v>700</v>
      </c>
    </row>
    <row r="624" spans="1:20" ht="15.75" customHeight="1" x14ac:dyDescent="0.3">
      <c r="A624" s="310" t="s">
        <v>1836</v>
      </c>
      <c r="B624" s="10"/>
      <c r="C624" s="10"/>
      <c r="D624" s="10"/>
      <c r="E624" s="38">
        <f t="shared" ref="E624:E628" si="243">SUM(B624:D624)</f>
        <v>0</v>
      </c>
      <c r="F624" s="10"/>
      <c r="G624" s="10"/>
      <c r="H624" s="10"/>
      <c r="I624" s="38">
        <f t="shared" ref="I624:I628" si="244">SUM(F624:H624)</f>
        <v>0</v>
      </c>
      <c r="J624" s="10">
        <v>800</v>
      </c>
      <c r="K624" s="10">
        <v>1000</v>
      </c>
      <c r="L624" s="10">
        <v>1000</v>
      </c>
      <c r="M624" s="38">
        <f t="shared" ref="M624:M628" si="245">SUM(J624:L624)</f>
        <v>2800</v>
      </c>
      <c r="N624" s="10"/>
      <c r="O624" s="10"/>
      <c r="P624" s="10"/>
      <c r="Q624" s="38">
        <f t="shared" si="235"/>
        <v>0</v>
      </c>
      <c r="R624" s="38">
        <f t="shared" si="236"/>
        <v>2800</v>
      </c>
      <c r="T624" t="s">
        <v>2766</v>
      </c>
    </row>
    <row r="625" spans="1:20" ht="15.75" customHeight="1" x14ac:dyDescent="0.3">
      <c r="A625" s="539" t="s">
        <v>3047</v>
      </c>
      <c r="B625" s="10"/>
      <c r="C625" s="10"/>
      <c r="D625" s="10">
        <v>300</v>
      </c>
      <c r="E625" s="38">
        <f t="shared" si="243"/>
        <v>300</v>
      </c>
      <c r="F625" s="10">
        <v>436</v>
      </c>
      <c r="G625" s="10">
        <v>400</v>
      </c>
      <c r="H625" s="10">
        <v>400</v>
      </c>
      <c r="I625" s="38">
        <f t="shared" si="244"/>
        <v>1236</v>
      </c>
      <c r="J625" s="10">
        <v>400</v>
      </c>
      <c r="K625" s="10">
        <v>400</v>
      </c>
      <c r="L625" s="10"/>
      <c r="M625" s="38">
        <f t="shared" si="245"/>
        <v>800</v>
      </c>
      <c r="N625" s="10"/>
      <c r="O625" s="10"/>
      <c r="P625" s="10"/>
      <c r="Q625" s="38">
        <f>SUM(N625:P625)</f>
        <v>0</v>
      </c>
      <c r="R625" s="38">
        <f>+E625+I625+M625+Q625</f>
        <v>2336</v>
      </c>
    </row>
    <row r="626" spans="1:20" ht="15.75" customHeight="1" x14ac:dyDescent="0.3">
      <c r="A626" s="539" t="s">
        <v>1295</v>
      </c>
      <c r="B626" s="10"/>
      <c r="C626" s="10"/>
      <c r="D626" s="10"/>
      <c r="E626" s="38">
        <f t="shared" si="243"/>
        <v>0</v>
      </c>
      <c r="F626" s="10"/>
      <c r="G626" s="10"/>
      <c r="H626" s="10"/>
      <c r="I626" s="38">
        <f t="shared" si="244"/>
        <v>0</v>
      </c>
      <c r="J626" s="10"/>
      <c r="K626" s="10"/>
      <c r="L626" s="10"/>
      <c r="M626" s="38">
        <f t="shared" si="245"/>
        <v>0</v>
      </c>
      <c r="N626" s="10"/>
      <c r="O626" s="10"/>
      <c r="P626" s="10"/>
      <c r="Q626" s="38">
        <f t="shared" si="235"/>
        <v>0</v>
      </c>
      <c r="R626" s="38">
        <f t="shared" si="236"/>
        <v>0</v>
      </c>
      <c r="T626" t="s">
        <v>2766</v>
      </c>
    </row>
    <row r="627" spans="1:20" ht="15.75" customHeight="1" x14ac:dyDescent="0.3">
      <c r="A627" s="539" t="s">
        <v>3338</v>
      </c>
      <c r="B627" s="10"/>
      <c r="C627" s="10">
        <v>250</v>
      </c>
      <c r="D627" s="10">
        <v>400</v>
      </c>
      <c r="E627" s="38">
        <f t="shared" si="243"/>
        <v>650</v>
      </c>
      <c r="F627" s="10">
        <v>650</v>
      </c>
      <c r="G627" s="10">
        <v>650</v>
      </c>
      <c r="H627" s="10">
        <v>340</v>
      </c>
      <c r="I627" s="38">
        <f t="shared" si="244"/>
        <v>1640</v>
      </c>
      <c r="J627" s="10">
        <v>380</v>
      </c>
      <c r="K627" s="10">
        <v>67</v>
      </c>
      <c r="L627" s="10"/>
      <c r="M627" s="38">
        <f t="shared" si="245"/>
        <v>447</v>
      </c>
      <c r="N627" s="10"/>
      <c r="O627" s="10"/>
      <c r="P627" s="10"/>
      <c r="Q627" s="38">
        <f t="shared" ref="Q627" si="246">SUM(N627:P627)</f>
        <v>0</v>
      </c>
      <c r="R627" s="38">
        <f t="shared" si="236"/>
        <v>2737</v>
      </c>
    </row>
    <row r="628" spans="1:20" ht="15.75" customHeight="1" x14ac:dyDescent="0.3">
      <c r="A628" s="539" t="s">
        <v>3331</v>
      </c>
      <c r="B628" s="10"/>
      <c r="C628" s="10"/>
      <c r="D628" s="10"/>
      <c r="E628" s="38">
        <f t="shared" si="243"/>
        <v>0</v>
      </c>
      <c r="F628" s="10"/>
      <c r="G628" s="10">
        <v>110</v>
      </c>
      <c r="H628" s="10">
        <v>390</v>
      </c>
      <c r="I628" s="38">
        <f t="shared" si="244"/>
        <v>500</v>
      </c>
      <c r="J628" s="10">
        <v>500</v>
      </c>
      <c r="K628" s="10">
        <v>500</v>
      </c>
      <c r="L628" s="10"/>
      <c r="M628" s="38">
        <f t="shared" si="245"/>
        <v>1000</v>
      </c>
      <c r="N628" s="10"/>
      <c r="O628" s="10"/>
      <c r="P628" s="10"/>
      <c r="Q628" s="38">
        <f t="shared" ref="Q628" si="247">SUM(N628:P628)</f>
        <v>0</v>
      </c>
      <c r="R628" s="38">
        <f t="shared" si="236"/>
        <v>1500</v>
      </c>
    </row>
    <row r="629" spans="1:20" ht="15.75" customHeight="1" x14ac:dyDescent="0.3">
      <c r="A629" s="539" t="s">
        <v>3321</v>
      </c>
      <c r="B629" s="10">
        <v>3655</v>
      </c>
      <c r="C629" s="10">
        <v>2515</v>
      </c>
      <c r="D629" s="10">
        <v>3837</v>
      </c>
      <c r="E629" s="38">
        <f>SUM(B629:D629)</f>
        <v>10007</v>
      </c>
      <c r="F629" s="10">
        <v>3493</v>
      </c>
      <c r="G629" s="10">
        <v>2561</v>
      </c>
      <c r="H629" s="10">
        <v>1500</v>
      </c>
      <c r="I629" s="38">
        <f>SUM(F629:H629)</f>
        <v>7554</v>
      </c>
      <c r="J629" s="10">
        <v>1000</v>
      </c>
      <c r="K629" s="10">
        <v>1000</v>
      </c>
      <c r="L629" s="10">
        <v>439</v>
      </c>
      <c r="M629" s="38">
        <f>SUM(J629:L629)</f>
        <v>2439</v>
      </c>
      <c r="N629" s="10"/>
      <c r="O629" s="10"/>
      <c r="P629" s="10"/>
      <c r="Q629" s="38">
        <f>SUM(N629:P629)</f>
        <v>0</v>
      </c>
      <c r="R629" s="38">
        <f>+E629+I629+M629+Q629</f>
        <v>20000</v>
      </c>
      <c r="T629" t="s">
        <v>2763</v>
      </c>
    </row>
    <row r="630" spans="1:20" ht="15.75" customHeight="1" x14ac:dyDescent="0.3">
      <c r="A630" s="234" t="s">
        <v>2161</v>
      </c>
      <c r="B630" s="10"/>
      <c r="C630" s="10"/>
      <c r="D630" s="10"/>
      <c r="E630" s="38" t="s">
        <v>852</v>
      </c>
      <c r="F630" s="10"/>
      <c r="G630" s="10"/>
      <c r="H630" s="10"/>
      <c r="I630" s="38" t="s">
        <v>852</v>
      </c>
      <c r="J630" s="10"/>
      <c r="K630" s="10"/>
      <c r="L630" s="10"/>
      <c r="M630" s="38" t="s">
        <v>852</v>
      </c>
      <c r="N630" s="10"/>
      <c r="O630" s="10"/>
      <c r="P630" s="10"/>
      <c r="Q630" s="38" t="s">
        <v>852</v>
      </c>
      <c r="R630" s="38" t="s">
        <v>852</v>
      </c>
    </row>
    <row r="631" spans="1:20" ht="15.75" customHeight="1" x14ac:dyDescent="0.3">
      <c r="A631" s="310" t="s">
        <v>1295</v>
      </c>
      <c r="B631" s="10"/>
      <c r="C631" s="10"/>
      <c r="D631" s="10"/>
      <c r="E631" s="38">
        <f>SUM(B631:D631)</f>
        <v>0</v>
      </c>
      <c r="F631" s="10"/>
      <c r="G631" s="10"/>
      <c r="H631" s="10"/>
      <c r="I631" s="38">
        <f>SUM(F631:H631)</f>
        <v>0</v>
      </c>
      <c r="J631" s="10"/>
      <c r="K631" s="10"/>
      <c r="L631" s="10"/>
      <c r="M631" s="38">
        <f>SUM(J631:L631)</f>
        <v>0</v>
      </c>
      <c r="N631" s="10"/>
      <c r="O631" s="10"/>
      <c r="P631" s="10"/>
      <c r="Q631" s="38">
        <f>SUM(N631:P631)</f>
        <v>0</v>
      </c>
      <c r="R631" s="38">
        <f>+E631+I631+M631+Q631</f>
        <v>0</v>
      </c>
      <c r="T631" t="s">
        <v>2766</v>
      </c>
    </row>
    <row r="632" spans="1:20" ht="15.75" customHeight="1" x14ac:dyDescent="0.3">
      <c r="A632" s="234" t="s">
        <v>3245</v>
      </c>
      <c r="B632" s="10"/>
      <c r="C632" s="10"/>
      <c r="D632" s="10"/>
      <c r="E632" s="38" t="s">
        <v>852</v>
      </c>
      <c r="F632" s="10"/>
      <c r="G632" s="10"/>
      <c r="H632" s="10"/>
      <c r="I632" s="38" t="s">
        <v>852</v>
      </c>
      <c r="J632" s="10"/>
      <c r="K632" s="10"/>
      <c r="L632" s="10"/>
      <c r="M632" s="38" t="s">
        <v>852</v>
      </c>
      <c r="N632" s="10"/>
      <c r="O632" s="10"/>
      <c r="P632" s="10"/>
      <c r="Q632" s="38" t="s">
        <v>852</v>
      </c>
      <c r="R632" s="38" t="s">
        <v>852</v>
      </c>
    </row>
    <row r="633" spans="1:20" ht="15.75" customHeight="1" x14ac:dyDescent="0.3">
      <c r="A633" s="539" t="s">
        <v>3264</v>
      </c>
      <c r="B633" s="10"/>
      <c r="C633" s="10"/>
      <c r="D633" s="10"/>
      <c r="E633" s="38">
        <f>SUM(B633:D633)</f>
        <v>0</v>
      </c>
      <c r="F633" s="10"/>
      <c r="G633" s="10"/>
      <c r="H633" s="10"/>
      <c r="I633" s="38">
        <f>SUM(F633:H633)</f>
        <v>0</v>
      </c>
      <c r="J633" s="10"/>
      <c r="K633" s="10"/>
      <c r="L633" s="10"/>
      <c r="M633" s="38">
        <f>SUM(J633:L633)</f>
        <v>0</v>
      </c>
      <c r="N633" s="10"/>
      <c r="O633" s="10"/>
      <c r="P633" s="10"/>
      <c r="Q633" s="38">
        <f>SUM(N633:P633)</f>
        <v>0</v>
      </c>
      <c r="R633" s="38">
        <f>+E633+I633+M633+Q633</f>
        <v>0</v>
      </c>
      <c r="S633" s="735" t="s">
        <v>3214</v>
      </c>
      <c r="T633" t="s">
        <v>2766</v>
      </c>
    </row>
    <row r="634" spans="1:20" ht="15.75" customHeight="1" thickBot="1" x14ac:dyDescent="0.35">
      <c r="A634" s="234" t="s">
        <v>2164</v>
      </c>
      <c r="B634" s="10"/>
      <c r="C634" s="10"/>
      <c r="D634" s="10"/>
      <c r="E634" s="38" t="s">
        <v>852</v>
      </c>
      <c r="F634" s="10"/>
      <c r="G634" s="10"/>
      <c r="H634" s="10"/>
      <c r="I634" s="38" t="s">
        <v>852</v>
      </c>
      <c r="J634" s="10"/>
      <c r="K634" s="10"/>
      <c r="L634" s="10"/>
      <c r="M634" s="38" t="s">
        <v>852</v>
      </c>
      <c r="N634" s="10"/>
      <c r="O634" s="10"/>
      <c r="P634" s="10"/>
      <c r="Q634" s="38" t="s">
        <v>852</v>
      </c>
      <c r="R634" s="38" t="s">
        <v>852</v>
      </c>
    </row>
    <row r="635" spans="1:20" ht="16.5" customHeight="1" thickBot="1" x14ac:dyDescent="0.35">
      <c r="A635" s="322" t="s">
        <v>1218</v>
      </c>
      <c r="B635" s="45">
        <f>SUM(B616:B634)</f>
        <v>3955</v>
      </c>
      <c r="C635" s="46">
        <f>SUM(C616:C634)</f>
        <v>3065</v>
      </c>
      <c r="D635" s="46">
        <f>SUM(D616:D634)</f>
        <v>5837</v>
      </c>
      <c r="E635" s="37">
        <f>SUM(B635:D635)</f>
        <v>12857</v>
      </c>
      <c r="F635" s="46">
        <f>SUM(F616:F634)</f>
        <v>5879</v>
      </c>
      <c r="G635" s="46">
        <f>SUM(G616:G634)</f>
        <v>5021</v>
      </c>
      <c r="H635" s="46">
        <f>SUM(H616:H634)</f>
        <v>3830</v>
      </c>
      <c r="I635" s="37">
        <f>SUM(F635:H635)</f>
        <v>14730</v>
      </c>
      <c r="J635" s="46">
        <f>SUM(J616:J634)</f>
        <v>5480</v>
      </c>
      <c r="K635" s="46">
        <f>SUM(K616:K634)</f>
        <v>4667</v>
      </c>
      <c r="L635" s="46">
        <f>SUM(L616:L634)</f>
        <v>2639</v>
      </c>
      <c r="M635" s="37">
        <f>SUM(J635:L635)</f>
        <v>12786</v>
      </c>
      <c r="N635" s="46">
        <f>SUM(N616:N634)</f>
        <v>1160</v>
      </c>
      <c r="O635" s="46">
        <f>SUM(O616:O634)</f>
        <v>305</v>
      </c>
      <c r="P635" s="46">
        <f>SUM(P616:P634)</f>
        <v>0</v>
      </c>
      <c r="Q635" s="37">
        <f>SUM(N635:P635)</f>
        <v>1465</v>
      </c>
      <c r="R635" s="37">
        <f>+E635+I635+M635+Q635</f>
        <v>41838</v>
      </c>
    </row>
    <row r="636" spans="1:20" ht="15.75" customHeight="1" x14ac:dyDescent="0.3">
      <c r="A636" s="234" t="s">
        <v>1172</v>
      </c>
      <c r="B636" s="10"/>
      <c r="C636" s="10"/>
      <c r="D636" s="10"/>
      <c r="E636" s="38" t="s">
        <v>852</v>
      </c>
      <c r="F636" s="10"/>
      <c r="G636" s="10"/>
      <c r="H636" s="10"/>
      <c r="I636" s="38" t="s">
        <v>852</v>
      </c>
      <c r="J636" s="10"/>
      <c r="K636" s="10"/>
      <c r="L636" s="10"/>
      <c r="M636" s="38" t="s">
        <v>852</v>
      </c>
      <c r="N636" s="10"/>
      <c r="O636" s="10"/>
      <c r="P636" s="10"/>
      <c r="Q636" s="38" t="s">
        <v>852</v>
      </c>
      <c r="R636" s="38" t="s">
        <v>852</v>
      </c>
    </row>
    <row r="637" spans="1:20" ht="15.75" customHeight="1" x14ac:dyDescent="0.3">
      <c r="A637" s="234" t="s">
        <v>2409</v>
      </c>
      <c r="B637" s="10"/>
      <c r="C637" s="10"/>
      <c r="D637" s="10"/>
      <c r="E637" s="38" t="s">
        <v>852</v>
      </c>
      <c r="F637" s="10"/>
      <c r="G637" s="10"/>
      <c r="H637" s="10"/>
      <c r="I637" s="38" t="s">
        <v>852</v>
      </c>
      <c r="J637" s="10"/>
      <c r="K637" s="10"/>
      <c r="L637" s="10"/>
      <c r="M637" s="38" t="s">
        <v>852</v>
      </c>
      <c r="N637" s="10"/>
      <c r="O637" s="10"/>
      <c r="P637" s="10"/>
      <c r="Q637" s="38" t="s">
        <v>852</v>
      </c>
      <c r="R637" s="38" t="s">
        <v>852</v>
      </c>
    </row>
    <row r="638" spans="1:20" ht="15.75" customHeight="1" x14ac:dyDescent="0.3">
      <c r="A638" s="310" t="s">
        <v>2478</v>
      </c>
      <c r="B638" s="10"/>
      <c r="C638" s="10"/>
      <c r="D638" s="10"/>
      <c r="E638" s="38">
        <f>SUM(B638:D638)</f>
        <v>0</v>
      </c>
      <c r="F638" s="10"/>
      <c r="G638" s="10"/>
      <c r="H638" s="10"/>
      <c r="I638" s="38">
        <f>SUM(F638:H638)</f>
        <v>0</v>
      </c>
      <c r="J638" s="10"/>
      <c r="K638" s="10"/>
      <c r="L638" s="10"/>
      <c r="M638" s="38">
        <f>SUM(J638:L638)</f>
        <v>0</v>
      </c>
      <c r="N638" s="10"/>
      <c r="O638" s="10"/>
      <c r="P638" s="10"/>
      <c r="Q638" s="38">
        <f>SUM(N638:P638)</f>
        <v>0</v>
      </c>
      <c r="R638" s="38">
        <f>+E638+I638+M638+Q638</f>
        <v>0</v>
      </c>
    </row>
    <row r="639" spans="1:20" ht="15.75" customHeight="1" x14ac:dyDescent="0.3">
      <c r="A639" s="310" t="s">
        <v>1958</v>
      </c>
      <c r="B639" s="10"/>
      <c r="C639" s="10"/>
      <c r="D639" s="10"/>
      <c r="E639" s="38">
        <f>SUM(B639:D639)</f>
        <v>0</v>
      </c>
      <c r="F639" s="10"/>
      <c r="G639" s="10"/>
      <c r="H639" s="10"/>
      <c r="I639" s="38">
        <f>SUM(F639:H639)</f>
        <v>0</v>
      </c>
      <c r="J639" s="10"/>
      <c r="K639" s="10"/>
      <c r="L639" s="10"/>
      <c r="M639" s="38">
        <f>SUM(J639:L639)</f>
        <v>0</v>
      </c>
      <c r="N639" s="10"/>
      <c r="O639" s="10"/>
      <c r="P639" s="10"/>
      <c r="Q639" s="38">
        <f>SUM(N639:P639)</f>
        <v>0</v>
      </c>
      <c r="R639" s="38">
        <f>+E639+I639+M639+Q639</f>
        <v>0</v>
      </c>
    </row>
    <row r="640" spans="1:20" ht="15.75" customHeight="1" thickBot="1" x14ac:dyDescent="0.35">
      <c r="A640" s="234" t="s">
        <v>2165</v>
      </c>
      <c r="B640" s="10"/>
      <c r="C640" s="10"/>
      <c r="D640" s="10"/>
      <c r="E640" s="38" t="s">
        <v>852</v>
      </c>
      <c r="F640" s="10"/>
      <c r="G640" s="10"/>
      <c r="H640" s="10"/>
      <c r="I640" s="38" t="s">
        <v>852</v>
      </c>
      <c r="J640" s="10"/>
      <c r="K640" s="10"/>
      <c r="L640" s="10"/>
      <c r="M640" s="38" t="s">
        <v>852</v>
      </c>
      <c r="N640" s="10"/>
      <c r="O640" s="10"/>
      <c r="P640" s="10"/>
      <c r="Q640" s="38" t="s">
        <v>852</v>
      </c>
      <c r="R640" s="38" t="s">
        <v>852</v>
      </c>
    </row>
    <row r="641" spans="1:20" ht="16.5" customHeight="1" thickBot="1" x14ac:dyDescent="0.35">
      <c r="A641" s="43" t="s">
        <v>1219</v>
      </c>
      <c r="B641" s="45">
        <f>SUM(B636:B640)</f>
        <v>0</v>
      </c>
      <c r="C641" s="46">
        <f>SUM(C636:C640)</f>
        <v>0</v>
      </c>
      <c r="D641" s="46">
        <f>SUM(D636:D640)</f>
        <v>0</v>
      </c>
      <c r="E641" s="37">
        <f>SUM(B641:D641)</f>
        <v>0</v>
      </c>
      <c r="F641" s="46">
        <f>SUM(F636:F640)</f>
        <v>0</v>
      </c>
      <c r="G641" s="46">
        <f>SUM(G636:G640)</f>
        <v>0</v>
      </c>
      <c r="H641" s="46">
        <f>SUM(H636:H640)</f>
        <v>0</v>
      </c>
      <c r="I641" s="37">
        <f>SUM(F641:H641)</f>
        <v>0</v>
      </c>
      <c r="J641" s="46">
        <f>SUM(J636:J640)</f>
        <v>0</v>
      </c>
      <c r="K641" s="46">
        <f>SUM(K636:K640)</f>
        <v>0</v>
      </c>
      <c r="L641" s="46">
        <f>SUM(L636:L640)</f>
        <v>0</v>
      </c>
      <c r="M641" s="37">
        <f>SUM(J641:L641)</f>
        <v>0</v>
      </c>
      <c r="N641" s="46">
        <f>SUM(N636:N640)</f>
        <v>0</v>
      </c>
      <c r="O641" s="46">
        <f>SUM(O636:O640)</f>
        <v>0</v>
      </c>
      <c r="P641" s="46">
        <f>SUM(P636:P640)</f>
        <v>0</v>
      </c>
      <c r="Q641" s="37">
        <f>SUM(N641:P641)</f>
        <v>0</v>
      </c>
      <c r="R641" s="37">
        <f>+E641+I641+M641+Q641</f>
        <v>0</v>
      </c>
    </row>
    <row r="642" spans="1:20" ht="15.75" customHeight="1" x14ac:dyDescent="0.3">
      <c r="A642" s="234" t="s">
        <v>2166</v>
      </c>
      <c r="B642" s="10"/>
      <c r="C642" s="10"/>
      <c r="D642" s="10"/>
      <c r="E642" s="38" t="s">
        <v>852</v>
      </c>
      <c r="F642" s="10"/>
      <c r="G642" s="10"/>
      <c r="H642" s="10"/>
      <c r="I642" s="38" t="s">
        <v>852</v>
      </c>
      <c r="J642" s="10"/>
      <c r="K642" s="10"/>
      <c r="L642" s="10"/>
      <c r="M642" s="38" t="s">
        <v>852</v>
      </c>
      <c r="N642" s="10"/>
      <c r="O642" s="10"/>
      <c r="P642" s="10"/>
      <c r="Q642" s="38" t="s">
        <v>852</v>
      </c>
      <c r="R642" s="38" t="s">
        <v>852</v>
      </c>
    </row>
    <row r="643" spans="1:20" ht="15.75" customHeight="1" x14ac:dyDescent="0.3">
      <c r="A643" s="234" t="s">
        <v>1245</v>
      </c>
      <c r="B643" s="10"/>
      <c r="C643" s="10"/>
      <c r="D643" s="10"/>
      <c r="E643" s="38" t="s">
        <v>852</v>
      </c>
      <c r="F643" s="10"/>
      <c r="G643" s="10"/>
      <c r="H643" s="10"/>
      <c r="I643" s="38" t="s">
        <v>852</v>
      </c>
      <c r="J643" s="10"/>
      <c r="K643" s="10"/>
      <c r="L643" s="10"/>
      <c r="M643" s="38" t="s">
        <v>852</v>
      </c>
      <c r="N643" s="10"/>
      <c r="O643" s="10"/>
      <c r="P643" s="10"/>
      <c r="Q643" s="38" t="s">
        <v>852</v>
      </c>
      <c r="R643" s="38" t="s">
        <v>852</v>
      </c>
    </row>
    <row r="644" spans="1:20" ht="15.75" customHeight="1" x14ac:dyDescent="0.3">
      <c r="A644" s="234" t="s">
        <v>1711</v>
      </c>
      <c r="B644" s="10"/>
      <c r="C644" s="10"/>
      <c r="D644" s="10"/>
      <c r="E644" s="38" t="s">
        <v>852</v>
      </c>
      <c r="F644" s="10"/>
      <c r="G644" s="10"/>
      <c r="H644" s="10"/>
      <c r="I644" s="38" t="s">
        <v>852</v>
      </c>
      <c r="J644" s="10"/>
      <c r="K644" s="10"/>
      <c r="L644" s="10"/>
      <c r="M644" s="38" t="s">
        <v>852</v>
      </c>
      <c r="N644" s="10"/>
      <c r="O644" s="10"/>
      <c r="P644" s="10"/>
      <c r="Q644" s="38" t="s">
        <v>852</v>
      </c>
      <c r="R644" s="38" t="s">
        <v>852</v>
      </c>
    </row>
    <row r="645" spans="1:20" ht="15.75" customHeight="1" x14ac:dyDescent="0.3">
      <c r="A645" s="539" t="s">
        <v>3202</v>
      </c>
      <c r="B645" s="10"/>
      <c r="C645" s="10"/>
      <c r="D645" s="10"/>
      <c r="E645" s="38">
        <f t="shared" ref="E645:E647" si="248">SUM(B645:D645)</f>
        <v>0</v>
      </c>
      <c r="F645" s="10"/>
      <c r="G645" s="10"/>
      <c r="H645" s="10"/>
      <c r="I645" s="38">
        <f t="shared" ref="I645:I646" si="249">SUM(F645:H645)</f>
        <v>0</v>
      </c>
      <c r="J645" s="10"/>
      <c r="K645" s="10"/>
      <c r="L645" s="10"/>
      <c r="M645" s="38">
        <f t="shared" ref="M645:M647" si="250">SUM(J645:L645)</f>
        <v>0</v>
      </c>
      <c r="N645" s="10"/>
      <c r="O645" s="10"/>
      <c r="P645" s="10"/>
      <c r="Q645" s="38">
        <f>SUM(N645:P645)</f>
        <v>0</v>
      </c>
      <c r="R645" s="38">
        <f>+E645+I645+M645+Q645</f>
        <v>0</v>
      </c>
      <c r="T645" t="s">
        <v>2766</v>
      </c>
    </row>
    <row r="646" spans="1:20" ht="15.75" customHeight="1" x14ac:dyDescent="0.3">
      <c r="A646" s="539" t="s">
        <v>3231</v>
      </c>
      <c r="B646" s="10"/>
      <c r="C646" s="10"/>
      <c r="D646" s="10"/>
      <c r="E646" s="38">
        <f t="shared" si="248"/>
        <v>0</v>
      </c>
      <c r="F646" s="10"/>
      <c r="G646" s="10"/>
      <c r="H646" s="10"/>
      <c r="I646" s="38">
        <f t="shared" si="249"/>
        <v>0</v>
      </c>
      <c r="J646" s="10"/>
      <c r="K646" s="10"/>
      <c r="L646" s="10"/>
      <c r="M646" s="38">
        <f t="shared" si="250"/>
        <v>0</v>
      </c>
      <c r="N646" s="10"/>
      <c r="O646" s="10"/>
      <c r="P646" s="10"/>
      <c r="Q646" s="38">
        <f t="shared" ref="Q646" si="251">SUM(N646:P646)</f>
        <v>0</v>
      </c>
      <c r="R646" s="38">
        <f t="shared" ref="R646:R650" si="252">+E646+I646+M646+Q646</f>
        <v>0</v>
      </c>
    </row>
    <row r="647" spans="1:20" ht="15.75" customHeight="1" x14ac:dyDescent="0.3">
      <c r="A647" s="539" t="s">
        <v>3369</v>
      </c>
      <c r="B647" s="10">
        <v>500</v>
      </c>
      <c r="C647" s="10">
        <v>500</v>
      </c>
      <c r="D647" s="10"/>
      <c r="E647" s="38">
        <f t="shared" si="248"/>
        <v>1000</v>
      </c>
      <c r="F647" s="10"/>
      <c r="G647" s="10"/>
      <c r="H647" s="10"/>
      <c r="I647" s="38">
        <f t="shared" ref="I647" si="253">SUM(F647:H647)</f>
        <v>0</v>
      </c>
      <c r="J647" s="10"/>
      <c r="K647" s="10"/>
      <c r="L647" s="10"/>
      <c r="M647" s="38">
        <f t="shared" si="250"/>
        <v>0</v>
      </c>
      <c r="N647" s="10"/>
      <c r="O647" s="10"/>
      <c r="P647" s="10"/>
      <c r="Q647" s="38">
        <f t="shared" ref="Q647:Q649" si="254">SUM(N647:P647)</f>
        <v>0</v>
      </c>
      <c r="R647" s="38">
        <f t="shared" si="252"/>
        <v>1000</v>
      </c>
    </row>
    <row r="648" spans="1:20" ht="15.75" customHeight="1" x14ac:dyDescent="0.3">
      <c r="A648" s="539" t="s">
        <v>3235</v>
      </c>
      <c r="B648" s="10"/>
      <c r="C648" s="10"/>
      <c r="D648" s="10"/>
      <c r="E648" s="38">
        <f>SUM(B648:D648)</f>
        <v>0</v>
      </c>
      <c r="F648" s="10"/>
      <c r="G648" s="10"/>
      <c r="H648" s="10"/>
      <c r="I648" s="38">
        <f>SUM(F648:H648)</f>
        <v>0</v>
      </c>
      <c r="J648" s="10"/>
      <c r="K648" s="10"/>
      <c r="L648" s="10"/>
      <c r="M648" s="38">
        <f>SUM(J648:L648)</f>
        <v>0</v>
      </c>
      <c r="N648" s="10">
        <v>500</v>
      </c>
      <c r="O648" s="10">
        <v>500</v>
      </c>
      <c r="P648" s="10"/>
      <c r="Q648" s="38">
        <f t="shared" si="254"/>
        <v>1000</v>
      </c>
      <c r="R648" s="38">
        <f t="shared" si="252"/>
        <v>1000</v>
      </c>
    </row>
    <row r="649" spans="1:20" ht="15.75" customHeight="1" x14ac:dyDescent="0.3">
      <c r="A649" s="539" t="s">
        <v>3468</v>
      </c>
      <c r="B649" s="10"/>
      <c r="C649" s="10"/>
      <c r="D649" s="10"/>
      <c r="E649" s="38">
        <f>SUM(B649:D649)</f>
        <v>0</v>
      </c>
      <c r="F649" s="10"/>
      <c r="G649" s="10"/>
      <c r="H649" s="10"/>
      <c r="I649" s="38">
        <f>SUM(F649:H649)</f>
        <v>0</v>
      </c>
      <c r="J649" s="10"/>
      <c r="K649" s="10"/>
      <c r="L649" s="10"/>
      <c r="M649" s="38">
        <f>SUM(J649:L649)</f>
        <v>0</v>
      </c>
      <c r="N649" s="10"/>
      <c r="O649" s="10"/>
      <c r="P649" s="10">
        <v>400</v>
      </c>
      <c r="Q649" s="38">
        <f t="shared" si="254"/>
        <v>400</v>
      </c>
      <c r="R649" s="38">
        <f t="shared" si="252"/>
        <v>400</v>
      </c>
    </row>
    <row r="650" spans="1:20" ht="15.75" customHeight="1" x14ac:dyDescent="0.3">
      <c r="A650" s="539" t="s">
        <v>3211</v>
      </c>
      <c r="B650" s="10"/>
      <c r="C650" s="10"/>
      <c r="D650" s="10"/>
      <c r="E650" s="38">
        <f>SUM(B650:D650)</f>
        <v>0</v>
      </c>
      <c r="F650" s="10"/>
      <c r="G650" s="10"/>
      <c r="H650" s="10"/>
      <c r="I650" s="38">
        <f>SUM(F650:H650)</f>
        <v>0</v>
      </c>
      <c r="J650" s="10"/>
      <c r="K650" s="10">
        <v>700</v>
      </c>
      <c r="L650" s="10">
        <v>700</v>
      </c>
      <c r="M650" s="38">
        <f>SUM(J650:L650)</f>
        <v>1400</v>
      </c>
      <c r="N650" s="10"/>
      <c r="O650" s="10"/>
      <c r="P650" s="10"/>
      <c r="Q650" s="38">
        <f>SUM(N650:P650)</f>
        <v>0</v>
      </c>
      <c r="R650" s="38">
        <f t="shared" si="252"/>
        <v>1400</v>
      </c>
    </row>
    <row r="651" spans="1:20" ht="15.75" customHeight="1" thickBot="1" x14ac:dyDescent="0.35">
      <c r="A651" s="539" t="s">
        <v>2079</v>
      </c>
      <c r="B651" s="10"/>
      <c r="C651" s="10"/>
      <c r="D651" s="10"/>
      <c r="E651" s="38">
        <f>SUM(B651:D651)</f>
        <v>0</v>
      </c>
      <c r="F651" s="10"/>
      <c r="G651" s="10"/>
      <c r="H651" s="10"/>
      <c r="I651" s="38">
        <f>SUM(F651:H651)</f>
        <v>0</v>
      </c>
      <c r="J651" s="10"/>
      <c r="K651" s="10"/>
      <c r="L651" s="10"/>
      <c r="M651" s="38">
        <f>SUM(J651:L651)</f>
        <v>0</v>
      </c>
      <c r="N651" s="10"/>
      <c r="O651" s="10"/>
      <c r="P651" s="10"/>
      <c r="Q651" s="38">
        <f>SUM(N651:P651)</f>
        <v>0</v>
      </c>
      <c r="R651" s="38">
        <f>+E651+I651+M651+Q651</f>
        <v>0</v>
      </c>
      <c r="T651" t="s">
        <v>2766</v>
      </c>
    </row>
    <row r="652" spans="1:20" ht="16.5" customHeight="1" thickBot="1" x14ac:dyDescent="0.35">
      <c r="A652" s="277" t="s">
        <v>1220</v>
      </c>
      <c r="B652" s="45">
        <f>SUM(B642:B651)</f>
        <v>500</v>
      </c>
      <c r="C652" s="46">
        <f>SUM(C642:C651)</f>
        <v>500</v>
      </c>
      <c r="D652" s="46">
        <f>SUM(D642:D651)</f>
        <v>0</v>
      </c>
      <c r="E652" s="37">
        <f>SUM(B652:D652)</f>
        <v>1000</v>
      </c>
      <c r="F652" s="46">
        <f>SUM(F642:F651)</f>
        <v>0</v>
      </c>
      <c r="G652" s="46">
        <f>SUM(G642:G651)</f>
        <v>0</v>
      </c>
      <c r="H652" s="46">
        <f>SUM(H642:H651)</f>
        <v>0</v>
      </c>
      <c r="I652" s="37">
        <f>SUM(F652:H652)</f>
        <v>0</v>
      </c>
      <c r="J652" s="46">
        <f>SUM(J642:J651)</f>
        <v>0</v>
      </c>
      <c r="K652" s="46">
        <f>SUM(K642:K651)</f>
        <v>700</v>
      </c>
      <c r="L652" s="46">
        <f>SUM(L642:L651)</f>
        <v>700</v>
      </c>
      <c r="M652" s="37">
        <f>SUM(J652:L652)</f>
        <v>1400</v>
      </c>
      <c r="N652" s="46">
        <f>SUM(N642:N651)</f>
        <v>500</v>
      </c>
      <c r="O652" s="46">
        <f>SUM(O642:O651)</f>
        <v>500</v>
      </c>
      <c r="P652" s="46">
        <f>SUM(P642:P651)</f>
        <v>400</v>
      </c>
      <c r="Q652" s="37">
        <f>SUM(N652:P652)</f>
        <v>1400</v>
      </c>
      <c r="R652" s="37">
        <f>+E652+I652+M652+Q652</f>
        <v>3800</v>
      </c>
    </row>
    <row r="653" spans="1:20" ht="15.75" customHeight="1" x14ac:dyDescent="0.3">
      <c r="A653" s="234" t="s">
        <v>1712</v>
      </c>
      <c r="B653" s="10"/>
      <c r="C653" s="10"/>
      <c r="D653" s="10"/>
      <c r="E653" s="38" t="s">
        <v>852</v>
      </c>
      <c r="F653" s="10"/>
      <c r="G653" s="10"/>
      <c r="H653" s="10"/>
      <c r="I653" s="38" t="s">
        <v>852</v>
      </c>
      <c r="J653" s="10"/>
      <c r="K653" s="10"/>
      <c r="L653" s="10"/>
      <c r="M653" s="38" t="s">
        <v>852</v>
      </c>
      <c r="N653" s="10"/>
      <c r="O653" s="10"/>
      <c r="P653" s="10"/>
      <c r="Q653" s="38" t="s">
        <v>852</v>
      </c>
      <c r="R653" s="38" t="s">
        <v>852</v>
      </c>
    </row>
    <row r="654" spans="1:20" ht="15.75" customHeight="1" x14ac:dyDescent="0.3">
      <c r="A654" s="234" t="s">
        <v>1021</v>
      </c>
      <c r="B654" s="10"/>
      <c r="C654" s="10"/>
      <c r="D654" s="10"/>
      <c r="E654" s="38" t="s">
        <v>852</v>
      </c>
      <c r="F654" s="10"/>
      <c r="G654" s="10"/>
      <c r="H654" s="10"/>
      <c r="I654" s="38" t="s">
        <v>852</v>
      </c>
      <c r="J654" s="10"/>
      <c r="K654" s="10"/>
      <c r="L654" s="10"/>
      <c r="M654" s="38" t="s">
        <v>852</v>
      </c>
      <c r="N654" s="10"/>
      <c r="O654" s="10"/>
      <c r="P654" s="10"/>
      <c r="Q654" s="38" t="s">
        <v>852</v>
      </c>
      <c r="R654" s="38" t="s">
        <v>852</v>
      </c>
    </row>
    <row r="655" spans="1:20" ht="15.75" customHeight="1" x14ac:dyDescent="0.3">
      <c r="A655" s="539" t="s">
        <v>3265</v>
      </c>
      <c r="B655" s="10"/>
      <c r="C655" s="10"/>
      <c r="D655" s="10"/>
      <c r="E655" s="38">
        <f>SUM(B655:D655)</f>
        <v>0</v>
      </c>
      <c r="F655" s="10"/>
      <c r="G655" s="10"/>
      <c r="H655" s="10"/>
      <c r="I655" s="38">
        <f>SUM(F655:H655)</f>
        <v>0</v>
      </c>
      <c r="J655" s="10"/>
      <c r="K655" s="10"/>
      <c r="L655" s="10"/>
      <c r="M655" s="38">
        <f>SUM(J655:L655)</f>
        <v>0</v>
      </c>
      <c r="N655" s="10"/>
      <c r="O655" s="10"/>
      <c r="P655" s="10"/>
      <c r="Q655" s="38">
        <f>SUM(N655:P655)</f>
        <v>0</v>
      </c>
      <c r="R655" s="38">
        <f>+E655+I655+M655+Q655</f>
        <v>0</v>
      </c>
      <c r="T655" t="s">
        <v>2766</v>
      </c>
    </row>
    <row r="656" spans="1:20" ht="15.75" customHeight="1" x14ac:dyDescent="0.3">
      <c r="A656" s="310" t="s">
        <v>1787</v>
      </c>
      <c r="B656" s="10"/>
      <c r="C656" s="10"/>
      <c r="D656" s="10"/>
      <c r="E656" s="38">
        <f>SUM(B656:D656)</f>
        <v>0</v>
      </c>
      <c r="F656" s="10"/>
      <c r="G656" s="10"/>
      <c r="H656" s="10"/>
      <c r="I656" s="38">
        <f>SUM(F656:H656)</f>
        <v>0</v>
      </c>
      <c r="J656" s="10"/>
      <c r="K656" s="10"/>
      <c r="L656" s="10"/>
      <c r="M656" s="38">
        <f>SUM(J656:L656)</f>
        <v>0</v>
      </c>
      <c r="N656" s="10"/>
      <c r="O656" s="10"/>
      <c r="P656" s="10"/>
      <c r="Q656" s="38">
        <f>SUM(N656:P656)</f>
        <v>0</v>
      </c>
      <c r="R656" s="38">
        <f>+E656+I656+M656+Q656</f>
        <v>0</v>
      </c>
      <c r="T656" t="s">
        <v>2766</v>
      </c>
    </row>
    <row r="657" spans="1:20" ht="15.75" customHeight="1" x14ac:dyDescent="0.3">
      <c r="A657" s="234" t="s">
        <v>557</v>
      </c>
      <c r="B657" s="10"/>
      <c r="C657" s="10"/>
      <c r="D657" s="10"/>
      <c r="E657" s="38" t="s">
        <v>852</v>
      </c>
      <c r="F657" s="10"/>
      <c r="G657" s="10"/>
      <c r="H657" s="10"/>
      <c r="I657" s="38" t="s">
        <v>852</v>
      </c>
      <c r="J657" s="10"/>
      <c r="K657" s="10"/>
      <c r="L657" s="10"/>
      <c r="M657" s="38" t="s">
        <v>852</v>
      </c>
      <c r="N657" s="10"/>
      <c r="O657" s="10"/>
      <c r="P657" s="10"/>
      <c r="Q657" s="38" t="s">
        <v>852</v>
      </c>
      <c r="R657" s="38" t="s">
        <v>852</v>
      </c>
    </row>
    <row r="658" spans="1:20" ht="15.75" customHeight="1" x14ac:dyDescent="0.3">
      <c r="A658" s="539" t="s">
        <v>2812</v>
      </c>
      <c r="B658" s="10"/>
      <c r="C658" s="10"/>
      <c r="D658" s="10"/>
      <c r="E658" s="38">
        <f>SUM(B658:D658)</f>
        <v>0</v>
      </c>
      <c r="F658" s="10"/>
      <c r="G658" s="10"/>
      <c r="H658" s="10"/>
      <c r="I658" s="38">
        <f>SUM(F658:H658)</f>
        <v>0</v>
      </c>
      <c r="J658" s="10"/>
      <c r="K658" s="10"/>
      <c r="L658" s="10"/>
      <c r="M658" s="38">
        <f>SUM(J658:L658)</f>
        <v>0</v>
      </c>
      <c r="N658" s="10"/>
      <c r="O658" s="10"/>
      <c r="P658" s="10"/>
      <c r="Q658" s="38">
        <f>SUM(N658:P658)</f>
        <v>0</v>
      </c>
      <c r="R658" s="38">
        <f>+E658+I658+M658+Q658</f>
        <v>0</v>
      </c>
    </row>
    <row r="659" spans="1:20" ht="15.75" customHeight="1" x14ac:dyDescent="0.3">
      <c r="A659" s="539" t="s">
        <v>2579</v>
      </c>
      <c r="B659" s="10"/>
      <c r="C659" s="10"/>
      <c r="D659" s="10"/>
      <c r="E659" s="38">
        <f>SUM(B659:D659)</f>
        <v>0</v>
      </c>
      <c r="F659" s="10"/>
      <c r="G659" s="10"/>
      <c r="H659" s="10"/>
      <c r="I659" s="38">
        <f>SUM(F659:H659)</f>
        <v>0</v>
      </c>
      <c r="J659" s="10"/>
      <c r="K659" s="10"/>
      <c r="L659" s="10"/>
      <c r="M659" s="38">
        <f>SUM(J659:L659)</f>
        <v>0</v>
      </c>
      <c r="N659" s="10"/>
      <c r="O659" s="10"/>
      <c r="P659" s="10"/>
      <c r="Q659" s="38">
        <f>SUM(N659:P659)</f>
        <v>0</v>
      </c>
      <c r="R659" s="38">
        <f>+E659+I659+M659+Q659</f>
        <v>0</v>
      </c>
    </row>
    <row r="660" spans="1:20" ht="15.75" customHeight="1" x14ac:dyDescent="0.3">
      <c r="A660" s="539" t="s">
        <v>2581</v>
      </c>
      <c r="B660" s="10"/>
      <c r="C660" s="10"/>
      <c r="D660" s="10"/>
      <c r="E660" s="38">
        <f>SUM(B660:D660)</f>
        <v>0</v>
      </c>
      <c r="F660" s="10"/>
      <c r="G660" s="10"/>
      <c r="H660" s="10"/>
      <c r="I660" s="38">
        <f>SUM(F660:H660)</f>
        <v>0</v>
      </c>
      <c r="J660" s="10"/>
      <c r="K660" s="10"/>
      <c r="L660" s="10"/>
      <c r="M660" s="38">
        <f>SUM(J660:L660)</f>
        <v>0</v>
      </c>
      <c r="N660" s="10"/>
      <c r="O660" s="10"/>
      <c r="P660" s="10"/>
      <c r="Q660" s="38">
        <f>SUM(N660:P660)</f>
        <v>0</v>
      </c>
      <c r="R660" s="38">
        <f>+E660+I660+M660+Q660</f>
        <v>0</v>
      </c>
      <c r="T660" t="s">
        <v>2766</v>
      </c>
    </row>
    <row r="661" spans="1:20" ht="15.75" customHeight="1" x14ac:dyDescent="0.3">
      <c r="A661" s="539" t="s">
        <v>2582</v>
      </c>
      <c r="B661" s="10"/>
      <c r="C661" s="10"/>
      <c r="D661" s="10"/>
      <c r="E661" s="38">
        <f>SUM(B661:D661)</f>
        <v>0</v>
      </c>
      <c r="F661" s="10"/>
      <c r="G661" s="10"/>
      <c r="H661" s="10"/>
      <c r="I661" s="38">
        <f>SUM(F661:H661)</f>
        <v>0</v>
      </c>
      <c r="J661" s="10"/>
      <c r="K661" s="10"/>
      <c r="L661" s="10"/>
      <c r="M661" s="38">
        <f>SUM(J661:L661)</f>
        <v>0</v>
      </c>
      <c r="N661" s="10"/>
      <c r="O661" s="10"/>
      <c r="P661" s="10"/>
      <c r="Q661" s="38">
        <f>SUM(N661:P661)</f>
        <v>0</v>
      </c>
      <c r="R661" s="38">
        <f>+E661+I661+M661+Q661</f>
        <v>0</v>
      </c>
      <c r="T661" t="s">
        <v>2766</v>
      </c>
    </row>
    <row r="662" spans="1:20" ht="15.75" customHeight="1" x14ac:dyDescent="0.3">
      <c r="A662" s="234" t="s">
        <v>1022</v>
      </c>
      <c r="B662" s="10"/>
      <c r="C662" s="10"/>
      <c r="D662" s="10"/>
      <c r="E662" s="38" t="s">
        <v>852</v>
      </c>
      <c r="F662" s="10"/>
      <c r="G662" s="10"/>
      <c r="H662" s="10"/>
      <c r="I662" s="38" t="s">
        <v>852</v>
      </c>
      <c r="J662" s="10"/>
      <c r="K662" s="10"/>
      <c r="L662" s="10"/>
      <c r="M662" s="38" t="s">
        <v>852</v>
      </c>
      <c r="N662" s="10"/>
      <c r="O662" s="10"/>
      <c r="P662" s="10"/>
      <c r="Q662" s="38" t="s">
        <v>852</v>
      </c>
      <c r="R662" s="38" t="s">
        <v>852</v>
      </c>
    </row>
    <row r="663" spans="1:20" ht="15.75" customHeight="1" x14ac:dyDescent="0.3">
      <c r="A663" s="539" t="s">
        <v>3273</v>
      </c>
      <c r="B663" s="10"/>
      <c r="C663" s="10"/>
      <c r="D663" s="10"/>
      <c r="E663" s="38">
        <f>SUM(B663:D663)</f>
        <v>0</v>
      </c>
      <c r="F663" s="10"/>
      <c r="G663" s="10"/>
      <c r="H663" s="10"/>
      <c r="I663" s="38">
        <f>SUM(F663:H663)</f>
        <v>0</v>
      </c>
      <c r="J663" s="10"/>
      <c r="K663" s="10"/>
      <c r="L663" s="10"/>
      <c r="M663" s="38">
        <f>SUM(J663:L663)</f>
        <v>0</v>
      </c>
      <c r="N663" s="10"/>
      <c r="O663" s="10"/>
      <c r="P663" s="10"/>
      <c r="Q663" s="38">
        <f>SUM(N663:P663)</f>
        <v>0</v>
      </c>
      <c r="R663" s="38">
        <f>+E663+I663+M663+Q663</f>
        <v>0</v>
      </c>
    </row>
    <row r="664" spans="1:20" ht="15.75" customHeight="1" x14ac:dyDescent="0.3">
      <c r="A664" s="539" t="s">
        <v>3230</v>
      </c>
      <c r="B664" s="10"/>
      <c r="C664" s="10"/>
      <c r="D664" s="10"/>
      <c r="E664" s="38">
        <f>SUM(B664:D664)</f>
        <v>0</v>
      </c>
      <c r="F664" s="10"/>
      <c r="G664" s="10"/>
      <c r="H664" s="10"/>
      <c r="I664" s="38">
        <f>SUM(F664:H664)</f>
        <v>0</v>
      </c>
      <c r="J664" s="10"/>
      <c r="K664" s="10"/>
      <c r="L664" s="10"/>
      <c r="M664" s="38">
        <f>SUM(J664:L664)</f>
        <v>0</v>
      </c>
      <c r="N664" s="10"/>
      <c r="O664" s="10"/>
      <c r="P664" s="10"/>
      <c r="Q664" s="38">
        <f>SUM(N664:P664)</f>
        <v>0</v>
      </c>
      <c r="R664" s="38">
        <f>+E664+I664+M664+Q664</f>
        <v>0</v>
      </c>
    </row>
    <row r="665" spans="1:20" ht="15.75" customHeight="1" x14ac:dyDescent="0.3">
      <c r="A665" s="234" t="s">
        <v>559</v>
      </c>
      <c r="B665" s="10"/>
      <c r="C665" s="10"/>
      <c r="D665" s="10"/>
      <c r="E665" s="38" t="s">
        <v>852</v>
      </c>
      <c r="F665" s="10"/>
      <c r="G665" s="10"/>
      <c r="H665" s="10"/>
      <c r="I665" s="38" t="s">
        <v>852</v>
      </c>
      <c r="J665" s="10"/>
      <c r="K665" s="10"/>
      <c r="L665" s="10"/>
      <c r="M665" s="38" t="s">
        <v>852</v>
      </c>
      <c r="N665" s="10"/>
      <c r="O665" s="10"/>
      <c r="P665" s="10"/>
      <c r="Q665" s="38" t="s">
        <v>852</v>
      </c>
      <c r="R665" s="38" t="s">
        <v>852</v>
      </c>
    </row>
    <row r="666" spans="1:20" ht="15.75" customHeight="1" x14ac:dyDescent="0.3">
      <c r="A666" s="539" t="s">
        <v>2597</v>
      </c>
      <c r="B666" s="10"/>
      <c r="C666" s="10"/>
      <c r="D666" s="10"/>
      <c r="E666" s="38">
        <f t="shared" ref="E666:E668" si="255">SUM(B666:D666)</f>
        <v>0</v>
      </c>
      <c r="F666" s="10"/>
      <c r="G666" s="10"/>
      <c r="H666" s="10"/>
      <c r="I666" s="38">
        <f t="shared" ref="I666:I668" si="256">SUM(F666:H666)</f>
        <v>0</v>
      </c>
      <c r="J666" s="10"/>
      <c r="K666" s="10"/>
      <c r="L666" s="10"/>
      <c r="M666" s="38">
        <f t="shared" ref="M666:M668" si="257">SUM(J666:L666)</f>
        <v>0</v>
      </c>
      <c r="N666" s="10"/>
      <c r="O666" s="10"/>
      <c r="P666" s="10"/>
      <c r="Q666" s="38">
        <f t="shared" ref="Q666:Q672" si="258">SUM(N666:P666)</f>
        <v>0</v>
      </c>
      <c r="R666" s="38">
        <f t="shared" ref="R666:R672" si="259">+E666+I666+M666+Q666</f>
        <v>0</v>
      </c>
    </row>
    <row r="667" spans="1:20" ht="15.75" customHeight="1" x14ac:dyDescent="0.3">
      <c r="A667" s="539" t="s">
        <v>3227</v>
      </c>
      <c r="B667" s="10"/>
      <c r="C667" s="10"/>
      <c r="D667" s="10"/>
      <c r="E667" s="38">
        <f t="shared" ref="E667" si="260">SUM(B667:D667)</f>
        <v>0</v>
      </c>
      <c r="F667" s="10"/>
      <c r="G667" s="10"/>
      <c r="H667" s="10"/>
      <c r="I667" s="38">
        <f t="shared" ref="I667" si="261">SUM(F667:H667)</f>
        <v>0</v>
      </c>
      <c r="J667" s="10"/>
      <c r="K667" s="10"/>
      <c r="L667" s="10"/>
      <c r="M667" s="38">
        <f t="shared" ref="M667" si="262">SUM(J667:L667)</f>
        <v>0</v>
      </c>
      <c r="N667" s="10"/>
      <c r="O667" s="10"/>
      <c r="P667" s="10"/>
      <c r="Q667" s="38">
        <f t="shared" ref="Q667" si="263">SUM(N667:P667)</f>
        <v>0</v>
      </c>
      <c r="R667" s="38">
        <f t="shared" si="259"/>
        <v>0</v>
      </c>
    </row>
    <row r="668" spans="1:20" ht="15.75" customHeight="1" thickBot="1" x14ac:dyDescent="0.35">
      <c r="A668" s="539" t="s">
        <v>2583</v>
      </c>
      <c r="B668" s="10"/>
      <c r="C668" s="10"/>
      <c r="D668" s="10"/>
      <c r="E668" s="38">
        <f t="shared" si="255"/>
        <v>0</v>
      </c>
      <c r="F668" s="10"/>
      <c r="G668" s="10"/>
      <c r="H668" s="10"/>
      <c r="I668" s="38">
        <f t="shared" si="256"/>
        <v>0</v>
      </c>
      <c r="J668" s="10"/>
      <c r="K668" s="10"/>
      <c r="L668" s="10"/>
      <c r="M668" s="38">
        <f t="shared" si="257"/>
        <v>0</v>
      </c>
      <c r="N668" s="10"/>
      <c r="O668" s="10"/>
      <c r="P668" s="10"/>
      <c r="Q668" s="38">
        <f t="shared" si="258"/>
        <v>0</v>
      </c>
      <c r="R668" s="38">
        <f t="shared" si="259"/>
        <v>0</v>
      </c>
    </row>
    <row r="669" spans="1:20" ht="16.5" customHeight="1" thickBot="1" x14ac:dyDescent="0.35">
      <c r="A669" s="43" t="s">
        <v>1019</v>
      </c>
      <c r="B669" s="745">
        <f>SUM(B662:B668)</f>
        <v>0</v>
      </c>
      <c r="C669" s="745">
        <f>SUM(C662:C668)</f>
        <v>0</v>
      </c>
      <c r="D669" s="745">
        <f>SUM(D662:D668)</f>
        <v>0</v>
      </c>
      <c r="E669" s="39">
        <f t="shared" ref="E669:E672" si="264">SUM(B669:D669)</f>
        <v>0</v>
      </c>
      <c r="F669" s="745">
        <f>SUM(F662:F668)</f>
        <v>0</v>
      </c>
      <c r="G669" s="745">
        <f>SUM(G662:G668)</f>
        <v>0</v>
      </c>
      <c r="H669" s="745">
        <f>SUM(H662:H668)</f>
        <v>0</v>
      </c>
      <c r="I669" s="39">
        <f t="shared" ref="I669:I672" si="265">SUM(F669:H669)</f>
        <v>0</v>
      </c>
      <c r="J669" s="745">
        <f>SUM(J662:J668)</f>
        <v>0</v>
      </c>
      <c r="K669" s="745">
        <f>SUM(K662:K668)</f>
        <v>0</v>
      </c>
      <c r="L669" s="745">
        <f>SUM(L662:L668)</f>
        <v>0</v>
      </c>
      <c r="M669" s="39">
        <f t="shared" ref="M669:M672" si="266">SUM(J669:L669)</f>
        <v>0</v>
      </c>
      <c r="N669" s="745">
        <f>SUM(N662:N668)</f>
        <v>0</v>
      </c>
      <c r="O669" s="745">
        <f>SUM(O662:O668)</f>
        <v>0</v>
      </c>
      <c r="P669" s="745">
        <f>SUM(P662:P668)</f>
        <v>0</v>
      </c>
      <c r="Q669" s="39">
        <f t="shared" si="258"/>
        <v>0</v>
      </c>
      <c r="R669" s="37">
        <f t="shared" si="259"/>
        <v>0</v>
      </c>
    </row>
    <row r="670" spans="1:20" ht="16.5" customHeight="1" thickBot="1" x14ac:dyDescent="0.35">
      <c r="A670" s="277" t="s">
        <v>1221</v>
      </c>
      <c r="B670" s="45">
        <f>SUM(B653:B668)</f>
        <v>0</v>
      </c>
      <c r="C670" s="46">
        <f>SUM(C653:C668)</f>
        <v>0</v>
      </c>
      <c r="D670" s="58">
        <f>SUM(D653:D668)</f>
        <v>0</v>
      </c>
      <c r="E670" s="39">
        <f t="shared" si="264"/>
        <v>0</v>
      </c>
      <c r="F670" s="45">
        <f>SUM(F653:F668)</f>
        <v>0</v>
      </c>
      <c r="G670" s="46">
        <f>SUM(G653:G668)</f>
        <v>0</v>
      </c>
      <c r="H670" s="58">
        <f>SUM(H653:H668)</f>
        <v>0</v>
      </c>
      <c r="I670" s="39">
        <f t="shared" si="265"/>
        <v>0</v>
      </c>
      <c r="J670" s="45">
        <f>SUM(J653:J668)</f>
        <v>0</v>
      </c>
      <c r="K670" s="46">
        <f>SUM(K653:K668)</f>
        <v>0</v>
      </c>
      <c r="L670" s="58">
        <f>SUM(L653:L668)</f>
        <v>0</v>
      </c>
      <c r="M670" s="39">
        <f t="shared" si="266"/>
        <v>0</v>
      </c>
      <c r="N670" s="45">
        <f>SUM(N653:N668)</f>
        <v>0</v>
      </c>
      <c r="O670" s="46">
        <f>SUM(O653:O668)</f>
        <v>0</v>
      </c>
      <c r="P670" s="58">
        <f>SUM(P653:P668)</f>
        <v>0</v>
      </c>
      <c r="Q670" s="39">
        <f t="shared" si="258"/>
        <v>0</v>
      </c>
      <c r="R670" s="37">
        <f t="shared" si="259"/>
        <v>0</v>
      </c>
    </row>
    <row r="671" spans="1:20" ht="16.5" customHeight="1" thickBot="1" x14ac:dyDescent="0.35">
      <c r="A671" s="43" t="s">
        <v>1222</v>
      </c>
      <c r="B671" s="337">
        <f>+B635+B641+B652+B670</f>
        <v>4455</v>
      </c>
      <c r="C671" s="338">
        <f>+C635+C641+C652+C670</f>
        <v>3565</v>
      </c>
      <c r="D671" s="338">
        <f>+D635+D641+D652+D670</f>
        <v>5837</v>
      </c>
      <c r="E671" s="37">
        <f t="shared" si="264"/>
        <v>13857</v>
      </c>
      <c r="F671" s="42">
        <f>+F635+F641+F652+F670</f>
        <v>5879</v>
      </c>
      <c r="G671" s="42">
        <f>+G635+G641+G652+G670</f>
        <v>5021</v>
      </c>
      <c r="H671" s="42">
        <f>+H635+H641+H652+H670</f>
        <v>3830</v>
      </c>
      <c r="I671" s="37">
        <f t="shared" si="265"/>
        <v>14730</v>
      </c>
      <c r="J671" s="42">
        <f>+J635+J641+J652+J670</f>
        <v>5480</v>
      </c>
      <c r="K671" s="42">
        <f>+K635+K641+K652+K670</f>
        <v>5367</v>
      </c>
      <c r="L671" s="42">
        <f>+L635+L641+L652+L670</f>
        <v>3339</v>
      </c>
      <c r="M671" s="37">
        <f t="shared" si="266"/>
        <v>14186</v>
      </c>
      <c r="N671" s="42">
        <f>+N635+N641+N652+N670</f>
        <v>1660</v>
      </c>
      <c r="O671" s="42">
        <f>+O635+O641+O652+O670</f>
        <v>805</v>
      </c>
      <c r="P671" s="42">
        <f>+P635+P641+P652+P670</f>
        <v>400</v>
      </c>
      <c r="Q671" s="37">
        <f t="shared" si="258"/>
        <v>2865</v>
      </c>
      <c r="R671" s="40">
        <f t="shared" si="259"/>
        <v>45638</v>
      </c>
    </row>
    <row r="672" spans="1:20" ht="16.5" customHeight="1" thickBot="1" x14ac:dyDescent="0.35">
      <c r="A672" s="299" t="s">
        <v>853</v>
      </c>
      <c r="B672" s="294">
        <v>17</v>
      </c>
      <c r="C672" s="294">
        <v>47</v>
      </c>
      <c r="D672" s="294">
        <v>84</v>
      </c>
      <c r="E672" s="38">
        <f t="shared" si="264"/>
        <v>148</v>
      </c>
      <c r="F672" s="294">
        <v>116</v>
      </c>
      <c r="G672" s="294">
        <v>132</v>
      </c>
      <c r="H672" s="294">
        <v>138</v>
      </c>
      <c r="I672" s="38">
        <f t="shared" si="265"/>
        <v>386</v>
      </c>
      <c r="J672" s="294">
        <v>126</v>
      </c>
      <c r="K672" s="294">
        <v>95</v>
      </c>
      <c r="L672" s="294">
        <v>99</v>
      </c>
      <c r="M672" s="38">
        <f t="shared" si="266"/>
        <v>320</v>
      </c>
      <c r="N672" s="294">
        <v>91</v>
      </c>
      <c r="O672" s="294">
        <v>67</v>
      </c>
      <c r="P672" s="294">
        <v>38</v>
      </c>
      <c r="Q672" s="38">
        <f t="shared" si="258"/>
        <v>196</v>
      </c>
      <c r="R672" s="38">
        <f t="shared" si="259"/>
        <v>1050</v>
      </c>
    </row>
    <row r="673" spans="1:18" ht="16.5" customHeight="1" thickBot="1" x14ac:dyDescent="0.35">
      <c r="A673" s="22"/>
      <c r="B673" s="297"/>
      <c r="C673" s="297"/>
      <c r="D673" s="297"/>
      <c r="E673" s="21"/>
      <c r="F673" s="297"/>
      <c r="G673" s="297"/>
      <c r="H673" s="297"/>
      <c r="I673" s="21"/>
      <c r="J673" s="297"/>
      <c r="K673" s="297"/>
      <c r="L673" s="297"/>
      <c r="M673" s="21"/>
      <c r="N673" s="297"/>
      <c r="O673" s="297"/>
      <c r="P673" s="297"/>
      <c r="Q673" s="21"/>
      <c r="R673" s="21"/>
    </row>
    <row r="674" spans="1:18" ht="15.75" customHeight="1" x14ac:dyDescent="0.3">
      <c r="A674" s="259" t="s">
        <v>120</v>
      </c>
      <c r="B674" s="741">
        <f>SUM(B671:B672)</f>
        <v>4472</v>
      </c>
      <c r="C674" s="741">
        <f>SUM(C671:C672)</f>
        <v>3612</v>
      </c>
      <c r="D674" s="741">
        <f>SUM(D671:D672)</f>
        <v>5921</v>
      </c>
      <c r="E674" s="39">
        <f>SUM(B674:D674)</f>
        <v>14005</v>
      </c>
      <c r="F674" s="741">
        <f>SUM(F671:F672)</f>
        <v>5995</v>
      </c>
      <c r="G674" s="741">
        <f>SUM(G671:G672)</f>
        <v>5153</v>
      </c>
      <c r="H674" s="741">
        <f>SUM(H671:H672)</f>
        <v>3968</v>
      </c>
      <c r="I674" s="39">
        <f>SUM(F674:H674)</f>
        <v>15116</v>
      </c>
      <c r="J674" s="741">
        <f>SUM(J671:J672)</f>
        <v>5606</v>
      </c>
      <c r="K674" s="741">
        <f>SUM(K671:K672)</f>
        <v>5462</v>
      </c>
      <c r="L674" s="741">
        <f>SUM(L671:L672)</f>
        <v>3438</v>
      </c>
      <c r="M674" s="39">
        <f>SUM(J674:L674)</f>
        <v>14506</v>
      </c>
      <c r="N674" s="741">
        <f>SUM(N671:N672)</f>
        <v>1751</v>
      </c>
      <c r="O674" s="741">
        <f>SUM(O671:O672)</f>
        <v>872</v>
      </c>
      <c r="P674" s="741">
        <f>SUM(P671:P672)</f>
        <v>438</v>
      </c>
      <c r="Q674" s="39">
        <f>SUM(N674:P674)</f>
        <v>3061</v>
      </c>
      <c r="R674" s="39">
        <f>+E674+I674+M674+Q674</f>
        <v>46688</v>
      </c>
    </row>
    <row r="675" spans="1:18" ht="15.75" customHeight="1" x14ac:dyDescent="0.3">
      <c r="A675" s="262" t="s">
        <v>1897</v>
      </c>
      <c r="B675" s="10">
        <f>(B674/B10)/1.983</f>
        <v>72.747385030826536</v>
      </c>
      <c r="C675" s="10">
        <f>(C674/C10)/1.983</f>
        <v>65.052950075642968</v>
      </c>
      <c r="D675" s="10">
        <f>(D674/D10)/1.983</f>
        <v>96.318709026727177</v>
      </c>
      <c r="E675" s="38" t="s">
        <v>852</v>
      </c>
      <c r="F675" s="10">
        <f>(F674/F10)/1.983</f>
        <v>100.77323919986553</v>
      </c>
      <c r="G675" s="10">
        <f>(G674/G10)/1.983</f>
        <v>83.825419289769485</v>
      </c>
      <c r="H675" s="10">
        <f>(H674/H10)/1.983</f>
        <v>66.700285762313001</v>
      </c>
      <c r="I675" s="38" t="s">
        <v>852</v>
      </c>
      <c r="J675" s="10">
        <f>(J674/J10)/1.983</f>
        <v>91.194508158053125</v>
      </c>
      <c r="K675" s="10">
        <f>(K674/K10)/1.983</f>
        <v>88.852016332373552</v>
      </c>
      <c r="L675" s="10">
        <f>(L674/L10)/1.983</f>
        <v>57.791225416036305</v>
      </c>
      <c r="M675" s="38" t="s">
        <v>852</v>
      </c>
      <c r="N675" s="10">
        <f>(N674/N10)/1.983</f>
        <v>28.48404990808973</v>
      </c>
      <c r="O675" s="10">
        <f>(O674/O10)/1.983</f>
        <v>14.657925701798622</v>
      </c>
      <c r="P675" s="10">
        <f>(P674/P10)/1.983</f>
        <v>7.1250793031086816</v>
      </c>
      <c r="Q675" s="38" t="s">
        <v>852</v>
      </c>
      <c r="R675" s="38" t="s">
        <v>852</v>
      </c>
    </row>
    <row r="676" spans="1:18" ht="15.75" customHeight="1" x14ac:dyDescent="0.3">
      <c r="A676" s="262" t="s">
        <v>1535</v>
      </c>
      <c r="B676" s="10">
        <f>B674+B686</f>
        <v>15692</v>
      </c>
      <c r="C676" s="10">
        <f>C674+C686</f>
        <v>22273</v>
      </c>
      <c r="D676" s="10">
        <f>D674+D686</f>
        <v>28699</v>
      </c>
      <c r="E676" s="38">
        <f>SUM(B676:D676)</f>
        <v>66664</v>
      </c>
      <c r="F676" s="10">
        <f>F674+F686</f>
        <v>31559</v>
      </c>
      <c r="G676" s="10">
        <f>G674+G686</f>
        <v>30975</v>
      </c>
      <c r="H676" s="10">
        <f>H674+H686</f>
        <v>26933</v>
      </c>
      <c r="I676" s="38">
        <f>SUM(F676:H676)</f>
        <v>89467</v>
      </c>
      <c r="J676" s="10">
        <f>J674+J686</f>
        <v>27201</v>
      </c>
      <c r="K676" s="10">
        <f>K674+K686</f>
        <v>26958</v>
      </c>
      <c r="L676" s="10">
        <f>L674+L686</f>
        <v>23470</v>
      </c>
      <c r="M676" s="38">
        <f>SUM(J676:L676)</f>
        <v>77629</v>
      </c>
      <c r="N676" s="10">
        <f>N674+N686</f>
        <v>10173</v>
      </c>
      <c r="O676" s="10">
        <f>O674+O686</f>
        <v>2860</v>
      </c>
      <c r="P676" s="10">
        <f>P674+P686</f>
        <v>9868</v>
      </c>
      <c r="Q676" s="38">
        <f>SUM(N676:P676)</f>
        <v>22901</v>
      </c>
      <c r="R676" s="38">
        <f>+E676+I676+M676+Q676</f>
        <v>256661</v>
      </c>
    </row>
    <row r="677" spans="1:18" ht="16.5" customHeight="1" thickBot="1" x14ac:dyDescent="0.35">
      <c r="A677" s="263" t="s">
        <v>1536</v>
      </c>
      <c r="B677" s="315">
        <f>(B676/B10)/1.983</f>
        <v>255.26653978169276</v>
      </c>
      <c r="C677" s="315">
        <f>(C676/C10)/1.983</f>
        <v>401.1418485699877</v>
      </c>
      <c r="D677" s="315">
        <f>(D676/D10)/1.983</f>
        <v>466.85536739706862</v>
      </c>
      <c r="E677" s="40" t="s">
        <v>852</v>
      </c>
      <c r="F677" s="315">
        <f>(F676/F10)/1.983</f>
        <v>530.49251975121865</v>
      </c>
      <c r="G677" s="315">
        <f>(G676/G10)/1.983</f>
        <v>503.87975208628177</v>
      </c>
      <c r="H677" s="315">
        <f>(H676/H10)/1.983</f>
        <v>452.73155152126407</v>
      </c>
      <c r="I677" s="40" t="s">
        <v>852</v>
      </c>
      <c r="J677" s="315">
        <f>(J676/J10)/1.983</f>
        <v>442.48694548826313</v>
      </c>
      <c r="K677" s="315">
        <f>(K676/K10)/1.983</f>
        <v>438.53399053242885</v>
      </c>
      <c r="L677" s="315">
        <f>(L676/L10)/1.983</f>
        <v>394.52008740964868</v>
      </c>
      <c r="M677" s="40" t="s">
        <v>852</v>
      </c>
      <c r="N677" s="315">
        <f>(N676/N10)/1.983</f>
        <v>165.4872871016544</v>
      </c>
      <c r="O677" s="315">
        <f>(O676/O10)/1.983</f>
        <v>48.075306774247771</v>
      </c>
      <c r="P677" s="315">
        <f>(P676/P10)/1.983</f>
        <v>160.52575927643028</v>
      </c>
      <c r="Q677" s="40" t="s">
        <v>852</v>
      </c>
      <c r="R677" s="40" t="s">
        <v>852</v>
      </c>
    </row>
    <row r="678" spans="1:18" ht="15.75" customHeight="1" x14ac:dyDescent="0.3">
      <c r="A678" s="17"/>
      <c r="B678" s="10"/>
      <c r="C678" s="10"/>
      <c r="D678" s="10"/>
      <c r="E678" s="10"/>
      <c r="F678" s="10"/>
      <c r="G678" s="10"/>
      <c r="H678" s="10"/>
      <c r="I678" s="10"/>
      <c r="J678" s="10"/>
      <c r="K678" s="10"/>
      <c r="L678" s="10"/>
      <c r="M678" s="10"/>
      <c r="N678" s="10"/>
      <c r="O678" s="10"/>
      <c r="P678" s="10"/>
      <c r="Q678" s="10"/>
      <c r="R678" s="17"/>
    </row>
    <row r="679" spans="1:18" ht="16.5" customHeight="1" thickBot="1" x14ac:dyDescent="0.35">
      <c r="A679" s="24"/>
      <c r="B679" s="294"/>
      <c r="C679" s="294"/>
      <c r="D679" s="294"/>
      <c r="E679" s="294"/>
      <c r="F679" s="294"/>
      <c r="G679" s="294"/>
      <c r="H679" s="294"/>
      <c r="I679" s="294"/>
      <c r="J679" s="294"/>
      <c r="K679" s="294"/>
      <c r="L679" s="294"/>
      <c r="M679" s="294"/>
      <c r="N679" s="294"/>
      <c r="O679" s="294"/>
      <c r="P679" s="294"/>
      <c r="Q679" s="294"/>
      <c r="R679" s="24"/>
    </row>
    <row r="680" spans="1:18" ht="16.5" customHeight="1" thickBot="1" x14ac:dyDescent="0.35">
      <c r="A680" s="278" t="s">
        <v>1537</v>
      </c>
      <c r="B680" s="4" t="s">
        <v>2090</v>
      </c>
      <c r="C680" s="5" t="s">
        <v>2091</v>
      </c>
      <c r="D680" s="5" t="s">
        <v>2234</v>
      </c>
      <c r="E680" s="33" t="s">
        <v>1594</v>
      </c>
      <c r="F680" s="5" t="s">
        <v>2235</v>
      </c>
      <c r="G680" s="5" t="s">
        <v>2236</v>
      </c>
      <c r="H680" s="5" t="s">
        <v>2237</v>
      </c>
      <c r="I680" s="35" t="s">
        <v>1595</v>
      </c>
      <c r="J680" s="5" t="s">
        <v>1504</v>
      </c>
      <c r="K680" s="5" t="s">
        <v>1505</v>
      </c>
      <c r="L680" s="5" t="s">
        <v>1506</v>
      </c>
      <c r="M680" s="35" t="s">
        <v>1596</v>
      </c>
      <c r="N680" s="5" t="s">
        <v>1507</v>
      </c>
      <c r="O680" s="5" t="s">
        <v>1508</v>
      </c>
      <c r="P680" s="5" t="s">
        <v>1509</v>
      </c>
      <c r="Q680" s="33" t="s">
        <v>1597</v>
      </c>
      <c r="R680" s="34" t="s">
        <v>1510</v>
      </c>
    </row>
    <row r="681" spans="1:18" ht="16.5" customHeight="1" thickBot="1" x14ac:dyDescent="0.35">
      <c r="A681" s="22"/>
      <c r="B681" s="297"/>
      <c r="C681" s="297"/>
      <c r="D681" s="297"/>
      <c r="E681" s="298"/>
      <c r="F681" s="297"/>
      <c r="G681" s="297"/>
      <c r="H681" s="297"/>
      <c r="I681" s="298"/>
      <c r="J681" s="297"/>
      <c r="K681" s="297"/>
      <c r="L681" s="297"/>
      <c r="M681" s="298"/>
      <c r="N681" s="297"/>
      <c r="O681" s="297"/>
      <c r="P681" s="297"/>
      <c r="Q681" s="323"/>
      <c r="R681" s="32"/>
    </row>
    <row r="682" spans="1:18" ht="16.5" customHeight="1" thickBot="1" x14ac:dyDescent="0.35">
      <c r="A682" s="299" t="s">
        <v>853</v>
      </c>
      <c r="B682" s="294">
        <v>20</v>
      </c>
      <c r="C682" s="294">
        <v>22</v>
      </c>
      <c r="D682" s="294">
        <v>28</v>
      </c>
      <c r="E682" s="38">
        <f>SUM(B682:D682)</f>
        <v>70</v>
      </c>
      <c r="F682" s="294">
        <v>37</v>
      </c>
      <c r="G682" s="294">
        <v>42</v>
      </c>
      <c r="H682" s="294">
        <v>44</v>
      </c>
      <c r="I682" s="38">
        <f>SUM(F682:H682)</f>
        <v>123</v>
      </c>
      <c r="J682" s="294">
        <v>39</v>
      </c>
      <c r="K682" s="294">
        <v>36</v>
      </c>
      <c r="L682" s="294">
        <v>34</v>
      </c>
      <c r="M682" s="38">
        <f>SUM(J682:L682)</f>
        <v>109</v>
      </c>
      <c r="N682" s="294">
        <v>29</v>
      </c>
      <c r="O682" s="294">
        <v>23</v>
      </c>
      <c r="P682" s="294">
        <v>19</v>
      </c>
      <c r="Q682" s="38">
        <f>SUM(N682:P682)</f>
        <v>71</v>
      </c>
      <c r="R682" s="38">
        <f>+E682+I682+M682+Q682</f>
        <v>373</v>
      </c>
    </row>
    <row r="683" spans="1:18" ht="16.5" customHeight="1" thickBot="1" x14ac:dyDescent="0.35">
      <c r="A683" s="22"/>
      <c r="B683" s="297"/>
      <c r="C683" s="297"/>
      <c r="D683" s="297"/>
      <c r="E683" s="302"/>
      <c r="F683" s="297"/>
      <c r="G683" s="297"/>
      <c r="H683" s="297"/>
      <c r="I683" s="302"/>
      <c r="J683" s="297"/>
      <c r="K683" s="297"/>
      <c r="L683" s="297"/>
      <c r="M683" s="302"/>
      <c r="N683" s="297"/>
      <c r="O683" s="297"/>
      <c r="P683" s="297"/>
      <c r="Q683" s="302"/>
      <c r="R683" s="21"/>
    </row>
    <row r="684" spans="1:18" ht="15.75" customHeight="1" x14ac:dyDescent="0.3">
      <c r="A684" s="259" t="s">
        <v>120</v>
      </c>
      <c r="B684" s="741">
        <f>B682</f>
        <v>20</v>
      </c>
      <c r="C684" s="741">
        <f>C682</f>
        <v>22</v>
      </c>
      <c r="D684" s="741">
        <f>D682</f>
        <v>28</v>
      </c>
      <c r="E684" s="39">
        <f>SUM(B684:D684)</f>
        <v>70</v>
      </c>
      <c r="F684" s="741">
        <f>F682</f>
        <v>37</v>
      </c>
      <c r="G684" s="741">
        <f>G682</f>
        <v>42</v>
      </c>
      <c r="H684" s="741">
        <f>H682</f>
        <v>44</v>
      </c>
      <c r="I684" s="39">
        <f>SUM(F684:H684)</f>
        <v>123</v>
      </c>
      <c r="J684" s="741">
        <f>J682</f>
        <v>39</v>
      </c>
      <c r="K684" s="741">
        <f>K682</f>
        <v>36</v>
      </c>
      <c r="L684" s="741">
        <f>L682</f>
        <v>34</v>
      </c>
      <c r="M684" s="39">
        <f>SUM(J684:L684)</f>
        <v>109</v>
      </c>
      <c r="N684" s="741">
        <f>N682</f>
        <v>29</v>
      </c>
      <c r="O684" s="741">
        <f>O682</f>
        <v>23</v>
      </c>
      <c r="P684" s="741">
        <f>P682</f>
        <v>19</v>
      </c>
      <c r="Q684" s="39">
        <f>SUM(N684:P684)</f>
        <v>71</v>
      </c>
      <c r="R684" s="39">
        <f>+E684+I684+M684+Q684</f>
        <v>373</v>
      </c>
    </row>
    <row r="685" spans="1:18" ht="15.75" customHeight="1" x14ac:dyDescent="0.3">
      <c r="A685" s="262" t="s">
        <v>1897</v>
      </c>
      <c r="B685" s="10">
        <f>(B684/B10)/1.983</f>
        <v>0.32534608689993977</v>
      </c>
      <c r="C685" s="10">
        <f>(C684/C10)/1.983</f>
        <v>0.39622505583171236</v>
      </c>
      <c r="D685" s="10">
        <f>(D684/D10)/1.983</f>
        <v>0.45548452165991571</v>
      </c>
      <c r="E685" s="38" t="s">
        <v>852</v>
      </c>
      <c r="F685" s="10">
        <f>(F684/F10)/1.983</f>
        <v>0.62195326945705165</v>
      </c>
      <c r="G685" s="10">
        <f>(G684/G10)/1.983</f>
        <v>0.68322678248987356</v>
      </c>
      <c r="H685" s="10">
        <f>(H684/H10)/1.983</f>
        <v>0.73962010421919644</v>
      </c>
      <c r="I685" s="38" t="s">
        <v>852</v>
      </c>
      <c r="J685" s="10">
        <f>(J684/J10)/1.983</f>
        <v>0.63442486945488263</v>
      </c>
      <c r="K685" s="10">
        <f>(K684/K10)/1.983</f>
        <v>0.5856229564198917</v>
      </c>
      <c r="L685" s="10">
        <f>(L684/L10)/1.983</f>
        <v>0.57152462598756093</v>
      </c>
      <c r="M685" s="38" t="s">
        <v>852</v>
      </c>
      <c r="N685" s="10">
        <f>(N684/N10)/1.983</f>
        <v>0.47175182600491267</v>
      </c>
      <c r="O685" s="10">
        <f>(O684/O10)/1.983</f>
        <v>0.38661959993276179</v>
      </c>
      <c r="P685" s="10">
        <f>(P684/P10)/1.983</f>
        <v>0.30907878255494281</v>
      </c>
      <c r="Q685" s="38" t="s">
        <v>852</v>
      </c>
      <c r="R685" s="38" t="s">
        <v>852</v>
      </c>
    </row>
    <row r="686" spans="1:18" ht="15.75" customHeight="1" x14ac:dyDescent="0.3">
      <c r="A686" s="262" t="s">
        <v>2019</v>
      </c>
      <c r="B686" s="10">
        <f>B684+B722</f>
        <v>11220</v>
      </c>
      <c r="C686" s="10">
        <f>C684+C722</f>
        <v>18661</v>
      </c>
      <c r="D686" s="10">
        <f>D684+D722</f>
        <v>22778</v>
      </c>
      <c r="E686" s="38">
        <f>SUM(B686:D686)</f>
        <v>52659</v>
      </c>
      <c r="F686" s="10">
        <f>F684+F722</f>
        <v>25564</v>
      </c>
      <c r="G686" s="10">
        <f>G684+G722</f>
        <v>25822</v>
      </c>
      <c r="H686" s="10">
        <f>H684+H722</f>
        <v>22965</v>
      </c>
      <c r="I686" s="38">
        <f>SUM(F686:H686)</f>
        <v>74351</v>
      </c>
      <c r="J686" s="10">
        <f>J684+J722</f>
        <v>21595</v>
      </c>
      <c r="K686" s="10">
        <f>K684+K722</f>
        <v>21496</v>
      </c>
      <c r="L686" s="10">
        <f>L684+L722</f>
        <v>20032</v>
      </c>
      <c r="M686" s="38">
        <f>SUM(J686:L686)</f>
        <v>63123</v>
      </c>
      <c r="N686" s="10">
        <f>N684+N722</f>
        <v>8422</v>
      </c>
      <c r="O686" s="10">
        <f>O684+O722</f>
        <v>1988</v>
      </c>
      <c r="P686" s="10">
        <f>P684+P722</f>
        <v>9430</v>
      </c>
      <c r="Q686" s="38">
        <f>SUM(N686:P686)</f>
        <v>19840</v>
      </c>
      <c r="R686" s="38">
        <f>+E686+I686+M686+Q686</f>
        <v>209973</v>
      </c>
    </row>
    <row r="687" spans="1:18" ht="16.5" customHeight="1" thickBot="1" x14ac:dyDescent="0.35">
      <c r="A687" s="263" t="s">
        <v>1332</v>
      </c>
      <c r="B687" s="315">
        <f>(B686/B10)/1.983</f>
        <v>182.51915475086622</v>
      </c>
      <c r="C687" s="315">
        <f>(C686/C10)/1.983</f>
        <v>336.08889849434473</v>
      </c>
      <c r="D687" s="315">
        <f>(D686/D10)/1.983</f>
        <v>370.5366583703414</v>
      </c>
      <c r="E687" s="40" t="s">
        <v>852</v>
      </c>
      <c r="F687" s="315">
        <f>(F686/F10)/1.983</f>
        <v>429.71928055135317</v>
      </c>
      <c r="G687" s="315">
        <f>(G686/G10)/1.983</f>
        <v>420.05433279651231</v>
      </c>
      <c r="H687" s="315">
        <f>(H686/H10)/1.983</f>
        <v>386.03126575895106</v>
      </c>
      <c r="I687" s="40" t="s">
        <v>852</v>
      </c>
      <c r="J687" s="315">
        <f>(J686/J10)/1.983</f>
        <v>351.29243733021002</v>
      </c>
      <c r="K687" s="315">
        <f>(K686/K10)/1.983</f>
        <v>349.68197420005527</v>
      </c>
      <c r="L687" s="315">
        <f>(L686/L10)/1.983</f>
        <v>336.72886199361238</v>
      </c>
      <c r="M687" s="40" t="s">
        <v>852</v>
      </c>
      <c r="N687" s="315">
        <f>(N686/N10)/1.983</f>
        <v>137.00323719356464</v>
      </c>
      <c r="O687" s="315">
        <f>(O686/O10)/1.983</f>
        <v>33.417381072449146</v>
      </c>
      <c r="P687" s="315">
        <f>(P686/P10)/1.983</f>
        <v>153.40067997332162</v>
      </c>
      <c r="Q687" s="40" t="s">
        <v>852</v>
      </c>
      <c r="R687" s="40" t="s">
        <v>852</v>
      </c>
    </row>
    <row r="688" spans="1:18" ht="15.75" customHeight="1" x14ac:dyDescent="0.3">
      <c r="A688" s="18"/>
      <c r="B688" s="10"/>
      <c r="C688" s="10"/>
      <c r="D688" s="10"/>
      <c r="E688" s="10"/>
      <c r="F688" s="10"/>
      <c r="G688" s="10"/>
      <c r="H688" s="10"/>
      <c r="I688" s="10"/>
      <c r="J688" s="10"/>
      <c r="K688" s="10"/>
      <c r="L688" s="10"/>
      <c r="M688" s="10"/>
      <c r="N688" s="10"/>
      <c r="O688" s="10"/>
      <c r="P688" s="10"/>
      <c r="Q688" s="10"/>
      <c r="R688" s="17"/>
    </row>
    <row r="689" spans="1:18" ht="15.75" customHeight="1" thickBot="1" x14ac:dyDescent="0.35">
      <c r="A689" s="18"/>
      <c r="B689" s="10"/>
      <c r="C689" s="10"/>
      <c r="D689" s="10"/>
      <c r="E689" s="10"/>
      <c r="F689" s="10"/>
      <c r="G689" s="10"/>
      <c r="H689" s="10"/>
      <c r="I689" s="10"/>
      <c r="J689" s="10"/>
      <c r="K689" s="10"/>
      <c r="L689" s="10"/>
      <c r="M689" s="10"/>
      <c r="N689" s="10"/>
      <c r="O689" s="10"/>
      <c r="P689" s="10"/>
      <c r="Q689" s="10"/>
      <c r="R689" s="17"/>
    </row>
    <row r="690" spans="1:18" ht="16.5" customHeight="1" thickBot="1" x14ac:dyDescent="0.35">
      <c r="A690" s="240" t="s">
        <v>1333</v>
      </c>
      <c r="B690" s="4" t="s">
        <v>2090</v>
      </c>
      <c r="C690" s="5" t="s">
        <v>2091</v>
      </c>
      <c r="D690" s="5" t="s">
        <v>2234</v>
      </c>
      <c r="E690" s="33" t="s">
        <v>1594</v>
      </c>
      <c r="F690" s="5" t="s">
        <v>2235</v>
      </c>
      <c r="G690" s="5" t="s">
        <v>2236</v>
      </c>
      <c r="H690" s="5" t="s">
        <v>2237</v>
      </c>
      <c r="I690" s="35" t="s">
        <v>1595</v>
      </c>
      <c r="J690" s="5" t="s">
        <v>1504</v>
      </c>
      <c r="K690" s="5" t="s">
        <v>1505</v>
      </c>
      <c r="L690" s="5" t="s">
        <v>1506</v>
      </c>
      <c r="M690" s="35" t="s">
        <v>1596</v>
      </c>
      <c r="N690" s="5" t="s">
        <v>1507</v>
      </c>
      <c r="O690" s="5" t="s">
        <v>1508</v>
      </c>
      <c r="P690" s="5" t="s">
        <v>1509</v>
      </c>
      <c r="Q690" s="35" t="s">
        <v>1597</v>
      </c>
      <c r="R690" s="36" t="s">
        <v>1510</v>
      </c>
    </row>
    <row r="691" spans="1:18" ht="16.5" customHeight="1" thickBot="1" x14ac:dyDescent="0.35">
      <c r="A691" s="22"/>
      <c r="B691" s="297"/>
      <c r="C691" s="297"/>
      <c r="D691" s="297"/>
      <c r="E691" s="302"/>
      <c r="F691" s="297"/>
      <c r="G691" s="297"/>
      <c r="H691" s="297"/>
      <c r="I691" s="302"/>
      <c r="J691" s="297"/>
      <c r="K691" s="297"/>
      <c r="L691" s="297"/>
      <c r="M691" s="302"/>
      <c r="N691" s="297"/>
      <c r="O691" s="297"/>
      <c r="P691" s="297"/>
      <c r="Q691" s="302"/>
      <c r="R691" s="19"/>
    </row>
    <row r="692" spans="1:18" ht="15.75" customHeight="1" x14ac:dyDescent="0.3">
      <c r="A692" s="234" t="s">
        <v>2417</v>
      </c>
      <c r="B692" s="10" t="s">
        <v>852</v>
      </c>
      <c r="C692" s="10" t="s">
        <v>852</v>
      </c>
      <c r="D692" s="10" t="s">
        <v>852</v>
      </c>
      <c r="E692" s="38" t="s">
        <v>852</v>
      </c>
      <c r="F692" s="10" t="s">
        <v>852</v>
      </c>
      <c r="G692" s="10" t="s">
        <v>852</v>
      </c>
      <c r="H692" s="10" t="s">
        <v>852</v>
      </c>
      <c r="I692" s="38" t="s">
        <v>852</v>
      </c>
      <c r="J692" s="10" t="s">
        <v>852</v>
      </c>
      <c r="K692" s="10" t="s">
        <v>852</v>
      </c>
      <c r="L692" s="10" t="s">
        <v>852</v>
      </c>
      <c r="M692" s="38" t="s">
        <v>852</v>
      </c>
      <c r="N692" s="10" t="s">
        <v>852</v>
      </c>
      <c r="O692" s="10" t="s">
        <v>852</v>
      </c>
      <c r="P692" s="10" t="s">
        <v>852</v>
      </c>
      <c r="Q692" s="38" t="s">
        <v>852</v>
      </c>
      <c r="R692" s="38" t="s">
        <v>852</v>
      </c>
    </row>
    <row r="693" spans="1:18" ht="15.75" customHeight="1" x14ac:dyDescent="0.3">
      <c r="A693" s="234" t="s">
        <v>2160</v>
      </c>
      <c r="B693" s="10"/>
      <c r="C693" s="10"/>
      <c r="D693" s="10"/>
      <c r="E693" s="38" t="s">
        <v>852</v>
      </c>
      <c r="F693" s="10"/>
      <c r="G693" s="10"/>
      <c r="H693" s="10"/>
      <c r="I693" s="38" t="s">
        <v>852</v>
      </c>
      <c r="J693" s="10"/>
      <c r="K693" s="10"/>
      <c r="L693" s="10"/>
      <c r="M693" s="38" t="s">
        <v>852</v>
      </c>
      <c r="N693" s="10"/>
      <c r="O693" s="10"/>
      <c r="P693" s="10"/>
      <c r="Q693" s="38" t="s">
        <v>852</v>
      </c>
      <c r="R693" s="38" t="s">
        <v>852</v>
      </c>
    </row>
    <row r="694" spans="1:18" ht="15.75" customHeight="1" x14ac:dyDescent="0.3">
      <c r="A694" s="539" t="s">
        <v>2747</v>
      </c>
      <c r="B694" s="10">
        <v>200</v>
      </c>
      <c r="C694" s="10">
        <v>900</v>
      </c>
      <c r="D694" s="10">
        <v>400</v>
      </c>
      <c r="E694" s="38">
        <f>SUM(B694:D694)</f>
        <v>1500</v>
      </c>
      <c r="F694" s="10">
        <v>1800</v>
      </c>
      <c r="G694" s="10">
        <v>1400</v>
      </c>
      <c r="H694" s="10">
        <v>1300</v>
      </c>
      <c r="I694" s="38">
        <f>SUM(F694:H694)</f>
        <v>4500</v>
      </c>
      <c r="J694" s="10">
        <v>1000</v>
      </c>
      <c r="K694" s="10">
        <v>1200</v>
      </c>
      <c r="L694" s="10">
        <v>600</v>
      </c>
      <c r="M694" s="38">
        <f>SUM(J694:L694)</f>
        <v>2800</v>
      </c>
      <c r="N694" s="10">
        <v>400</v>
      </c>
      <c r="O694" s="10">
        <v>200</v>
      </c>
      <c r="P694" s="10">
        <v>300</v>
      </c>
      <c r="Q694" s="38">
        <f>SUM(N694:P694)</f>
        <v>900</v>
      </c>
      <c r="R694" s="38">
        <f>+E694+I694+M694+Q694</f>
        <v>9700</v>
      </c>
    </row>
    <row r="695" spans="1:18" ht="15.75" customHeight="1" x14ac:dyDescent="0.3">
      <c r="A695" s="539" t="s">
        <v>2748</v>
      </c>
      <c r="B695" s="356">
        <v>308</v>
      </c>
      <c r="C695" s="356">
        <v>690</v>
      </c>
      <c r="D695" s="356">
        <v>930</v>
      </c>
      <c r="E695" s="38">
        <f>SUM(B695:D695)</f>
        <v>1928</v>
      </c>
      <c r="F695" s="356">
        <v>955</v>
      </c>
      <c r="G695" s="356">
        <v>931</v>
      </c>
      <c r="H695" s="356">
        <v>579</v>
      </c>
      <c r="I695" s="38">
        <f>SUM(F695:H695)</f>
        <v>2465</v>
      </c>
      <c r="J695" s="356"/>
      <c r="K695" s="356"/>
      <c r="L695" s="10">
        <v>500</v>
      </c>
      <c r="M695" s="38">
        <f>SUM(J695:L695)</f>
        <v>500</v>
      </c>
      <c r="N695" s="10">
        <v>500</v>
      </c>
      <c r="O695" s="10"/>
      <c r="P695" s="10"/>
      <c r="Q695" s="38">
        <f>SUM(N695:P695)</f>
        <v>500</v>
      </c>
      <c r="R695" s="38">
        <f>+E695+I695+M695+Q695</f>
        <v>5393</v>
      </c>
    </row>
    <row r="696" spans="1:18" ht="15.75" customHeight="1" x14ac:dyDescent="0.3">
      <c r="A696" s="310" t="s">
        <v>537</v>
      </c>
      <c r="B696" s="10">
        <v>100</v>
      </c>
      <c r="C696" s="10">
        <v>60</v>
      </c>
      <c r="D696" s="10">
        <v>70</v>
      </c>
      <c r="E696" s="38">
        <f>SUM(B696:D696)</f>
        <v>230</v>
      </c>
      <c r="F696" s="10">
        <v>100</v>
      </c>
      <c r="G696" s="10">
        <v>85</v>
      </c>
      <c r="H696" s="10"/>
      <c r="I696" s="38">
        <f>SUM(F696:H696)</f>
        <v>185</v>
      </c>
      <c r="J696" s="10"/>
      <c r="K696" s="10"/>
      <c r="L696" s="10"/>
      <c r="M696" s="38">
        <f>SUM(J696:L696)</f>
        <v>0</v>
      </c>
      <c r="N696" s="10"/>
      <c r="O696" s="10"/>
      <c r="P696" s="10">
        <v>100</v>
      </c>
      <c r="Q696" s="38">
        <f>SUM(N696:P696)</f>
        <v>100</v>
      </c>
      <c r="R696" s="38">
        <f>+E696+I696+M696+Q696</f>
        <v>515</v>
      </c>
    </row>
    <row r="697" spans="1:18" ht="15.75" customHeight="1" x14ac:dyDescent="0.3">
      <c r="A697" s="234" t="s">
        <v>2161</v>
      </c>
      <c r="B697" s="10"/>
      <c r="C697" s="10"/>
      <c r="D697" s="10"/>
      <c r="E697" s="38" t="s">
        <v>852</v>
      </c>
      <c r="F697" s="10"/>
      <c r="G697" s="10"/>
      <c r="H697" s="10"/>
      <c r="I697" s="38" t="s">
        <v>852</v>
      </c>
      <c r="J697" s="10"/>
      <c r="K697" s="10"/>
      <c r="L697" s="10"/>
      <c r="M697" s="38" t="s">
        <v>852</v>
      </c>
      <c r="N697" s="10"/>
      <c r="O697" s="10"/>
      <c r="P697" s="10"/>
      <c r="Q697" s="38" t="s">
        <v>852</v>
      </c>
      <c r="R697" s="38" t="s">
        <v>852</v>
      </c>
    </row>
    <row r="698" spans="1:18" ht="15.75" customHeight="1" x14ac:dyDescent="0.3">
      <c r="A698" s="234" t="s">
        <v>3245</v>
      </c>
      <c r="B698" s="10"/>
      <c r="C698" s="10"/>
      <c r="D698" s="10"/>
      <c r="E698" s="38" t="s">
        <v>852</v>
      </c>
      <c r="F698" s="10"/>
      <c r="G698" s="10"/>
      <c r="H698" s="10"/>
      <c r="I698" s="38" t="s">
        <v>852</v>
      </c>
      <c r="J698" s="10"/>
      <c r="K698" s="10"/>
      <c r="L698" s="10"/>
      <c r="M698" s="38" t="s">
        <v>852</v>
      </c>
      <c r="N698" s="10"/>
      <c r="O698" s="10"/>
      <c r="P698" s="10"/>
      <c r="Q698" s="38" t="s">
        <v>852</v>
      </c>
      <c r="R698" s="38" t="s">
        <v>852</v>
      </c>
    </row>
    <row r="699" spans="1:18" ht="15.75" customHeight="1" thickBot="1" x14ac:dyDescent="0.35">
      <c r="A699" s="234" t="s">
        <v>2164</v>
      </c>
      <c r="B699" s="10"/>
      <c r="C699" s="10"/>
      <c r="D699" s="10"/>
      <c r="E699" s="38" t="s">
        <v>852</v>
      </c>
      <c r="F699" s="10"/>
      <c r="G699" s="10"/>
      <c r="H699" s="10"/>
      <c r="I699" s="38" t="s">
        <v>852</v>
      </c>
      <c r="J699" s="10"/>
      <c r="K699" s="10"/>
      <c r="L699" s="10"/>
      <c r="M699" s="38" t="s">
        <v>852</v>
      </c>
      <c r="N699" s="10"/>
      <c r="O699" s="10"/>
      <c r="P699" s="10"/>
      <c r="Q699" s="38" t="s">
        <v>852</v>
      </c>
      <c r="R699" s="38" t="s">
        <v>852</v>
      </c>
    </row>
    <row r="700" spans="1:18" ht="16.5" customHeight="1" thickBot="1" x14ac:dyDescent="0.35">
      <c r="A700" s="322" t="s">
        <v>1218</v>
      </c>
      <c r="B700" s="45">
        <f>SUM(B692:B699)</f>
        <v>608</v>
      </c>
      <c r="C700" s="46">
        <f>SUM(C692:C699)</f>
        <v>1650</v>
      </c>
      <c r="D700" s="46">
        <f>SUM(D692:D699)</f>
        <v>1400</v>
      </c>
      <c r="E700" s="37">
        <f>SUM(B700:D700)</f>
        <v>3658</v>
      </c>
      <c r="F700" s="46">
        <f>SUM(F692:F699)</f>
        <v>2855</v>
      </c>
      <c r="G700" s="46">
        <f>SUM(G692:G699)</f>
        <v>2416</v>
      </c>
      <c r="H700" s="46">
        <f>SUM(H692:H699)</f>
        <v>1879</v>
      </c>
      <c r="I700" s="37">
        <f>SUM(F700:H700)</f>
        <v>7150</v>
      </c>
      <c r="J700" s="46">
        <f>SUM(J692:J699)</f>
        <v>1000</v>
      </c>
      <c r="K700" s="46">
        <f>SUM(K692:K699)</f>
        <v>1200</v>
      </c>
      <c r="L700" s="46">
        <f>SUM(L692:L699)</f>
        <v>1100</v>
      </c>
      <c r="M700" s="37">
        <f>SUM(J700:L700)</f>
        <v>3300</v>
      </c>
      <c r="N700" s="46">
        <f>SUM(N692:N699)</f>
        <v>900</v>
      </c>
      <c r="O700" s="46">
        <f>SUM(O692:O699)</f>
        <v>200</v>
      </c>
      <c r="P700" s="46">
        <f>SUM(P692:P699)</f>
        <v>400</v>
      </c>
      <c r="Q700" s="37">
        <f>SUM(N700:P700)</f>
        <v>1500</v>
      </c>
      <c r="R700" s="37">
        <f>+E700+I700+M700+Q700</f>
        <v>15608</v>
      </c>
    </row>
    <row r="701" spans="1:18" ht="15.75" customHeight="1" x14ac:dyDescent="0.3">
      <c r="A701" s="234" t="s">
        <v>1172</v>
      </c>
      <c r="B701" s="10"/>
      <c r="C701" s="10"/>
      <c r="D701" s="10"/>
      <c r="E701" s="38" t="s">
        <v>852</v>
      </c>
      <c r="F701" s="10"/>
      <c r="G701" s="10"/>
      <c r="H701" s="10"/>
      <c r="I701" s="38" t="s">
        <v>852</v>
      </c>
      <c r="J701" s="10"/>
      <c r="K701" s="10"/>
      <c r="L701" s="10"/>
      <c r="M701" s="38" t="s">
        <v>852</v>
      </c>
      <c r="N701" s="10"/>
      <c r="O701" s="10"/>
      <c r="P701" s="10"/>
      <c r="Q701" s="38" t="s">
        <v>852</v>
      </c>
      <c r="R701" s="38" t="s">
        <v>852</v>
      </c>
    </row>
    <row r="702" spans="1:18" ht="15.75" customHeight="1" x14ac:dyDescent="0.3">
      <c r="A702" s="234" t="s">
        <v>2409</v>
      </c>
      <c r="B702" s="10"/>
      <c r="C702" s="10"/>
      <c r="D702" s="10"/>
      <c r="E702" s="38" t="s">
        <v>852</v>
      </c>
      <c r="F702" s="10"/>
      <c r="G702" s="10"/>
      <c r="H702" s="10"/>
      <c r="I702" s="38" t="s">
        <v>852</v>
      </c>
      <c r="J702" s="10"/>
      <c r="K702" s="10"/>
      <c r="L702" s="10"/>
      <c r="M702" s="38" t="s">
        <v>852</v>
      </c>
      <c r="N702" s="10"/>
      <c r="O702" s="10"/>
      <c r="P702" s="10"/>
      <c r="Q702" s="38" t="s">
        <v>852</v>
      </c>
      <c r="R702" s="38" t="s">
        <v>852</v>
      </c>
    </row>
    <row r="703" spans="1:18" ht="15.75" customHeight="1" thickBot="1" x14ac:dyDescent="0.35">
      <c r="A703" s="234" t="s">
        <v>2165</v>
      </c>
      <c r="B703" s="10"/>
      <c r="C703" s="10"/>
      <c r="D703" s="10"/>
      <c r="E703" s="38" t="s">
        <v>852</v>
      </c>
      <c r="F703" s="10"/>
      <c r="G703" s="10"/>
      <c r="H703" s="10"/>
      <c r="I703" s="38" t="s">
        <v>852</v>
      </c>
      <c r="J703" s="10"/>
      <c r="K703" s="10"/>
      <c r="L703" s="10"/>
      <c r="M703" s="38" t="s">
        <v>852</v>
      </c>
      <c r="N703" s="10"/>
      <c r="O703" s="10"/>
      <c r="P703" s="10"/>
      <c r="Q703" s="38" t="s">
        <v>852</v>
      </c>
      <c r="R703" s="38" t="s">
        <v>852</v>
      </c>
    </row>
    <row r="704" spans="1:18" ht="16.5" customHeight="1" thickBot="1" x14ac:dyDescent="0.35">
      <c r="A704" s="43" t="s">
        <v>1219</v>
      </c>
      <c r="B704" s="45">
        <f>SUM(B701:B703)</f>
        <v>0</v>
      </c>
      <c r="C704" s="46">
        <f>SUM(C701:C703)</f>
        <v>0</v>
      </c>
      <c r="D704" s="46">
        <f>SUM(D701:D703)</f>
        <v>0</v>
      </c>
      <c r="E704" s="37">
        <f>SUM(B704:D704)</f>
        <v>0</v>
      </c>
      <c r="F704" s="46">
        <f>SUM(F701:F703)</f>
        <v>0</v>
      </c>
      <c r="G704" s="46">
        <f>SUM(G701:G703)</f>
        <v>0</v>
      </c>
      <c r="H704" s="46">
        <f>SUM(H701:H703)</f>
        <v>0</v>
      </c>
      <c r="I704" s="37">
        <f>SUM(F704:H704)</f>
        <v>0</v>
      </c>
      <c r="J704" s="46">
        <f>SUM(J701:J703)</f>
        <v>0</v>
      </c>
      <c r="K704" s="46">
        <f>SUM(K701:K703)</f>
        <v>0</v>
      </c>
      <c r="L704" s="46">
        <f>SUM(L701:L703)</f>
        <v>0</v>
      </c>
      <c r="M704" s="37">
        <f>SUM(J704:L704)</f>
        <v>0</v>
      </c>
      <c r="N704" s="46">
        <f>SUM(N701:N703)</f>
        <v>0</v>
      </c>
      <c r="O704" s="46">
        <f>SUM(O701:O703)</f>
        <v>0</v>
      </c>
      <c r="P704" s="46">
        <f>SUM(P701:P703)</f>
        <v>0</v>
      </c>
      <c r="Q704" s="37">
        <f>SUM(N704:P704)</f>
        <v>0</v>
      </c>
      <c r="R704" s="37">
        <f>+E704+I704+M704+Q704</f>
        <v>0</v>
      </c>
    </row>
    <row r="705" spans="1:18" ht="15.75" customHeight="1" x14ac:dyDescent="0.3">
      <c r="A705" s="234" t="s">
        <v>2166</v>
      </c>
      <c r="B705" s="10"/>
      <c r="C705" s="10"/>
      <c r="D705" s="10"/>
      <c r="E705" s="38" t="s">
        <v>852</v>
      </c>
      <c r="F705" s="10"/>
      <c r="G705" s="10"/>
      <c r="H705" s="10"/>
      <c r="I705" s="38" t="s">
        <v>852</v>
      </c>
      <c r="J705" s="10"/>
      <c r="K705" s="10"/>
      <c r="L705" s="10"/>
      <c r="M705" s="38" t="s">
        <v>852</v>
      </c>
      <c r="N705" s="10"/>
      <c r="O705" s="10"/>
      <c r="P705" s="10"/>
      <c r="Q705" s="38" t="s">
        <v>852</v>
      </c>
      <c r="R705" s="38" t="s">
        <v>852</v>
      </c>
    </row>
    <row r="706" spans="1:18" ht="15.75" customHeight="1" x14ac:dyDescent="0.3">
      <c r="A706" s="234" t="s">
        <v>1245</v>
      </c>
      <c r="B706" s="10"/>
      <c r="C706" s="10"/>
      <c r="D706" s="10"/>
      <c r="E706" s="38" t="s">
        <v>852</v>
      </c>
      <c r="F706" s="10"/>
      <c r="G706" s="10"/>
      <c r="H706" s="10"/>
      <c r="I706" s="38" t="s">
        <v>852</v>
      </c>
      <c r="J706" s="10"/>
      <c r="K706" s="10"/>
      <c r="L706" s="10"/>
      <c r="M706" s="38" t="s">
        <v>852</v>
      </c>
      <c r="N706" s="10"/>
      <c r="O706" s="10"/>
      <c r="P706" s="10"/>
      <c r="Q706" s="38" t="s">
        <v>852</v>
      </c>
      <c r="R706" s="38" t="s">
        <v>852</v>
      </c>
    </row>
    <row r="707" spans="1:18" ht="15.75" customHeight="1" thickBot="1" x14ac:dyDescent="0.35">
      <c r="A707" s="234" t="s">
        <v>1711</v>
      </c>
      <c r="B707" s="10"/>
      <c r="C707" s="10"/>
      <c r="D707" s="10"/>
      <c r="E707" s="38" t="s">
        <v>852</v>
      </c>
      <c r="F707" s="10"/>
      <c r="G707" s="10"/>
      <c r="H707" s="10"/>
      <c r="I707" s="38" t="s">
        <v>852</v>
      </c>
      <c r="J707" s="10"/>
      <c r="K707" s="10"/>
      <c r="L707" s="10"/>
      <c r="M707" s="38" t="s">
        <v>852</v>
      </c>
      <c r="N707" s="10"/>
      <c r="O707" s="10"/>
      <c r="P707" s="10"/>
      <c r="Q707" s="38" t="s">
        <v>852</v>
      </c>
      <c r="R707" s="38" t="s">
        <v>852</v>
      </c>
    </row>
    <row r="708" spans="1:18" ht="16.5" customHeight="1" thickBot="1" x14ac:dyDescent="0.35">
      <c r="A708" s="277" t="s">
        <v>1220</v>
      </c>
      <c r="B708" s="45">
        <f>SUM(B705:B707)</f>
        <v>0</v>
      </c>
      <c r="C708" s="46">
        <f>SUM(C705:C707)</f>
        <v>0</v>
      </c>
      <c r="D708" s="46">
        <f>SUM(D705:D707)</f>
        <v>0</v>
      </c>
      <c r="E708" s="37">
        <f>SUM(B708:D708)</f>
        <v>0</v>
      </c>
      <c r="F708" s="46">
        <f>SUM(F705:F707)</f>
        <v>0</v>
      </c>
      <c r="G708" s="46">
        <f>SUM(G705:G707)</f>
        <v>0</v>
      </c>
      <c r="H708" s="46">
        <f>SUM(H705:H707)</f>
        <v>0</v>
      </c>
      <c r="I708" s="37">
        <f>SUM(F708:H708)</f>
        <v>0</v>
      </c>
      <c r="J708" s="46">
        <f>SUM(J705:J707)</f>
        <v>0</v>
      </c>
      <c r="K708" s="46">
        <f>SUM(K705:K707)</f>
        <v>0</v>
      </c>
      <c r="L708" s="46">
        <f>SUM(L705:L707)</f>
        <v>0</v>
      </c>
      <c r="M708" s="37">
        <f>SUM(J708:L708)</f>
        <v>0</v>
      </c>
      <c r="N708" s="46">
        <f>SUM(N705:N707)</f>
        <v>0</v>
      </c>
      <c r="O708" s="46">
        <f>SUM(O705:O707)</f>
        <v>0</v>
      </c>
      <c r="P708" s="46">
        <f>SUM(P705:P707)</f>
        <v>0</v>
      </c>
      <c r="Q708" s="37">
        <f>SUM(N708:P708)</f>
        <v>0</v>
      </c>
      <c r="R708" s="37">
        <f>+E708+I708+M708+Q708</f>
        <v>0</v>
      </c>
    </row>
    <row r="709" spans="1:18" ht="15.75" customHeight="1" x14ac:dyDescent="0.3">
      <c r="A709" s="234" t="s">
        <v>1712</v>
      </c>
      <c r="B709" s="10"/>
      <c r="C709" s="10"/>
      <c r="D709" s="10"/>
      <c r="E709" s="38" t="s">
        <v>852</v>
      </c>
      <c r="F709" s="10"/>
      <c r="G709" s="10"/>
      <c r="H709" s="10"/>
      <c r="I709" s="38" t="s">
        <v>852</v>
      </c>
      <c r="J709" s="10"/>
      <c r="K709" s="10"/>
      <c r="L709" s="10"/>
      <c r="M709" s="38" t="s">
        <v>852</v>
      </c>
      <c r="N709" s="10"/>
      <c r="O709" s="10"/>
      <c r="P709" s="10"/>
      <c r="Q709" s="38" t="s">
        <v>852</v>
      </c>
      <c r="R709" s="38" t="s">
        <v>852</v>
      </c>
    </row>
    <row r="710" spans="1:18" ht="15.75" customHeight="1" x14ac:dyDescent="0.3">
      <c r="A710" s="234" t="s">
        <v>1021</v>
      </c>
      <c r="B710" s="10"/>
      <c r="C710" s="10"/>
      <c r="D710" s="10"/>
      <c r="E710" s="38" t="s">
        <v>852</v>
      </c>
      <c r="F710" s="10"/>
      <c r="G710" s="10"/>
      <c r="H710" s="10"/>
      <c r="I710" s="38" t="s">
        <v>852</v>
      </c>
      <c r="J710" s="10"/>
      <c r="K710" s="10"/>
      <c r="L710" s="10"/>
      <c r="M710" s="38" t="s">
        <v>852</v>
      </c>
      <c r="N710" s="10"/>
      <c r="O710" s="10"/>
      <c r="P710" s="10"/>
      <c r="Q710" s="38" t="s">
        <v>852</v>
      </c>
      <c r="R710" s="38" t="s">
        <v>852</v>
      </c>
    </row>
    <row r="711" spans="1:18" ht="15.75" customHeight="1" x14ac:dyDescent="0.3">
      <c r="A711" s="234" t="s">
        <v>557</v>
      </c>
      <c r="B711" s="10"/>
      <c r="C711" s="10"/>
      <c r="D711" s="10"/>
      <c r="E711" s="38" t="s">
        <v>852</v>
      </c>
      <c r="F711" s="10"/>
      <c r="G711" s="10"/>
      <c r="H711" s="10"/>
      <c r="I711" s="38" t="s">
        <v>852</v>
      </c>
      <c r="J711" s="10"/>
      <c r="K711" s="10"/>
      <c r="L711" s="10"/>
      <c r="M711" s="38" t="s">
        <v>852</v>
      </c>
      <c r="N711" s="10"/>
      <c r="O711" s="10"/>
      <c r="P711" s="10"/>
      <c r="Q711" s="38" t="s">
        <v>852</v>
      </c>
      <c r="R711" s="38" t="s">
        <v>852</v>
      </c>
    </row>
    <row r="712" spans="1:18" ht="15.75" customHeight="1" x14ac:dyDescent="0.3">
      <c r="A712" s="539" t="s">
        <v>2584</v>
      </c>
      <c r="B712" s="10"/>
      <c r="C712" s="10"/>
      <c r="D712" s="10"/>
      <c r="E712" s="38">
        <f>SUM(B712:D712)</f>
        <v>0</v>
      </c>
      <c r="F712" s="10"/>
      <c r="G712" s="10"/>
      <c r="H712" s="10"/>
      <c r="I712" s="38">
        <f>SUM(F712:H712)</f>
        <v>0</v>
      </c>
      <c r="J712" s="10"/>
      <c r="K712" s="10"/>
      <c r="L712" s="10"/>
      <c r="M712" s="38">
        <f>SUM(J712:L712)</f>
        <v>0</v>
      </c>
      <c r="N712" s="10"/>
      <c r="O712" s="10"/>
      <c r="P712" s="10"/>
      <c r="Q712" s="38">
        <f>SUM(N712:P712)</f>
        <v>0</v>
      </c>
      <c r="R712" s="38">
        <f>+E712+I712+M712+Q712</f>
        <v>0</v>
      </c>
    </row>
    <row r="713" spans="1:18" ht="15.75" customHeight="1" x14ac:dyDescent="0.3">
      <c r="A713" s="234" t="s">
        <v>1022</v>
      </c>
      <c r="B713" s="10"/>
      <c r="C713" s="10"/>
      <c r="D713" s="10"/>
      <c r="E713" s="38" t="s">
        <v>852</v>
      </c>
      <c r="F713" s="10"/>
      <c r="G713" s="10"/>
      <c r="H713" s="10"/>
      <c r="I713" s="38" t="s">
        <v>852</v>
      </c>
      <c r="J713" s="10"/>
      <c r="K713" s="10"/>
      <c r="L713" s="10"/>
      <c r="M713" s="38" t="s">
        <v>852</v>
      </c>
      <c r="N713" s="10"/>
      <c r="O713" s="10"/>
      <c r="P713" s="10"/>
      <c r="Q713" s="38" t="s">
        <v>852</v>
      </c>
      <c r="R713" s="38" t="s">
        <v>852</v>
      </c>
    </row>
    <row r="714" spans="1:18" ht="15.75" customHeight="1" thickBot="1" x14ac:dyDescent="0.35">
      <c r="A714" s="234" t="s">
        <v>559</v>
      </c>
      <c r="B714" s="10"/>
      <c r="C714" s="10"/>
      <c r="D714" s="10"/>
      <c r="E714" s="38" t="s">
        <v>852</v>
      </c>
      <c r="F714" s="10"/>
      <c r="G714" s="10"/>
      <c r="H714" s="10"/>
      <c r="I714" s="38" t="s">
        <v>852</v>
      </c>
      <c r="J714" s="10"/>
      <c r="K714" s="10"/>
      <c r="L714" s="10"/>
      <c r="M714" s="38" t="s">
        <v>852</v>
      </c>
      <c r="N714" s="10"/>
      <c r="O714" s="10"/>
      <c r="P714" s="10"/>
      <c r="Q714" s="38" t="s">
        <v>852</v>
      </c>
      <c r="R714" s="38" t="s">
        <v>852</v>
      </c>
    </row>
    <row r="715" spans="1:18" ht="16.5" customHeight="1" thickBot="1" x14ac:dyDescent="0.35">
      <c r="A715" s="43" t="s">
        <v>1019</v>
      </c>
      <c r="B715" s="42">
        <f>SUM(B713:B714)</f>
        <v>0</v>
      </c>
      <c r="C715" s="42">
        <f>SUM(C713:C714)</f>
        <v>0</v>
      </c>
      <c r="D715" s="42">
        <f>SUM(D713:D714)</f>
        <v>0</v>
      </c>
      <c r="E715" s="39">
        <f>SUM(B715:D715)</f>
        <v>0</v>
      </c>
      <c r="F715" s="42">
        <f>SUM(F713:F714)</f>
        <v>0</v>
      </c>
      <c r="G715" s="42">
        <f>SUM(G713:G714)</f>
        <v>0</v>
      </c>
      <c r="H715" s="42">
        <f>SUM(H713:H714)</f>
        <v>0</v>
      </c>
      <c r="I715" s="39">
        <f>SUM(F715:H715)</f>
        <v>0</v>
      </c>
      <c r="J715" s="42">
        <f>SUM(J713:J714)</f>
        <v>0</v>
      </c>
      <c r="K715" s="42">
        <f>SUM(K713:K714)</f>
        <v>0</v>
      </c>
      <c r="L715" s="42">
        <f>SUM(L713:L714)</f>
        <v>0</v>
      </c>
      <c r="M715" s="39">
        <f>SUM(J715:L715)</f>
        <v>0</v>
      </c>
      <c r="N715" s="42">
        <f>SUM(N713:N714)</f>
        <v>0</v>
      </c>
      <c r="O715" s="42">
        <f>SUM(O713:O714)</f>
        <v>0</v>
      </c>
      <c r="P715" s="42">
        <f>SUM(P713:P714)</f>
        <v>0</v>
      </c>
      <c r="Q715" s="39">
        <f>SUM(N715:P715)</f>
        <v>0</v>
      </c>
      <c r="R715" s="37">
        <f>+E715+I715+M715+Q715</f>
        <v>0</v>
      </c>
    </row>
    <row r="716" spans="1:18" ht="16.5" customHeight="1" thickBot="1" x14ac:dyDescent="0.35">
      <c r="A716" s="277" t="s">
        <v>1221</v>
      </c>
      <c r="B716" s="45">
        <f>SUM(B709:B714)</f>
        <v>0</v>
      </c>
      <c r="C716" s="46">
        <f>SUM(C709:C714)</f>
        <v>0</v>
      </c>
      <c r="D716" s="58">
        <f>SUM(D709:D714)</f>
        <v>0</v>
      </c>
      <c r="E716" s="39">
        <f>SUM(B716:D716)</f>
        <v>0</v>
      </c>
      <c r="F716" s="46">
        <f>SUM(F709:F714)</f>
        <v>0</v>
      </c>
      <c r="G716" s="46">
        <f>SUM(G709:G714)</f>
        <v>0</v>
      </c>
      <c r="H716" s="46">
        <f>SUM(H709:H714)</f>
        <v>0</v>
      </c>
      <c r="I716" s="39">
        <f>SUM(F716:H716)</f>
        <v>0</v>
      </c>
      <c r="J716" s="46">
        <f>SUM(J709:J714)</f>
        <v>0</v>
      </c>
      <c r="K716" s="46">
        <f>SUM(K709:K714)</f>
        <v>0</v>
      </c>
      <c r="L716" s="46">
        <f>SUM(L709:L714)</f>
        <v>0</v>
      </c>
      <c r="M716" s="39">
        <f>SUM(J716:L716)</f>
        <v>0</v>
      </c>
      <c r="N716" s="46">
        <f>SUM(N709:N714)</f>
        <v>0</v>
      </c>
      <c r="O716" s="46">
        <f>SUM(O709:O714)</f>
        <v>0</v>
      </c>
      <c r="P716" s="46">
        <f>SUM(P709:P714)</f>
        <v>0</v>
      </c>
      <c r="Q716" s="39">
        <f>SUM(N716:P716)</f>
        <v>0</v>
      </c>
      <c r="R716" s="37">
        <f>+E716+I716+M716+Q716</f>
        <v>0</v>
      </c>
    </row>
    <row r="717" spans="1:18" ht="16.5" customHeight="1" thickBot="1" x14ac:dyDescent="0.35">
      <c r="A717" s="43" t="s">
        <v>1222</v>
      </c>
      <c r="B717" s="47">
        <f>+B700+B704+B708+B716</f>
        <v>608</v>
      </c>
      <c r="C717" s="42">
        <f>+C700+C704+C708+C716</f>
        <v>1650</v>
      </c>
      <c r="D717" s="42">
        <f>+D700+D704+D708+D716</f>
        <v>1400</v>
      </c>
      <c r="E717" s="37">
        <f>SUM(B717:D717)</f>
        <v>3658</v>
      </c>
      <c r="F717" s="42">
        <f>+F700+F704+F708+F716</f>
        <v>2855</v>
      </c>
      <c r="G717" s="42">
        <f>+G700+G704+G708+G716</f>
        <v>2416</v>
      </c>
      <c r="H717" s="42">
        <f>+H700+H704+H708+H716</f>
        <v>1879</v>
      </c>
      <c r="I717" s="37">
        <f>SUM(F717:H717)</f>
        <v>7150</v>
      </c>
      <c r="J717" s="42">
        <f>+J700+J704+J708+J716</f>
        <v>1000</v>
      </c>
      <c r="K717" s="42">
        <f>+K700+K704+K708+K716</f>
        <v>1200</v>
      </c>
      <c r="L717" s="42">
        <f>+L700+L704+L708+L716</f>
        <v>1100</v>
      </c>
      <c r="M717" s="37">
        <f>SUM(J717:L717)</f>
        <v>3300</v>
      </c>
      <c r="N717" s="42">
        <f>+N700+N704+N708+N716</f>
        <v>900</v>
      </c>
      <c r="O717" s="42">
        <f>+O700+O704+O708+O716</f>
        <v>200</v>
      </c>
      <c r="P717" s="42">
        <f>+P700+P704+P708+P716</f>
        <v>400</v>
      </c>
      <c r="Q717" s="37">
        <f>SUM(N717:P717)</f>
        <v>1500</v>
      </c>
      <c r="R717" s="40">
        <f>+E717+I717+M717+Q717</f>
        <v>15608</v>
      </c>
    </row>
    <row r="718" spans="1:18" ht="16.5" customHeight="1" thickBot="1" x14ac:dyDescent="0.35">
      <c r="A718" s="299" t="s">
        <v>853</v>
      </c>
      <c r="B718" s="294">
        <v>10</v>
      </c>
      <c r="C718" s="294">
        <v>11</v>
      </c>
      <c r="D718" s="294">
        <v>14</v>
      </c>
      <c r="E718" s="38">
        <f>SUM(B718:D718)</f>
        <v>35</v>
      </c>
      <c r="F718" s="294">
        <v>18</v>
      </c>
      <c r="G718" s="294">
        <v>21</v>
      </c>
      <c r="H718" s="294">
        <v>22</v>
      </c>
      <c r="I718" s="38">
        <f>SUM(F718:H718)</f>
        <v>61</v>
      </c>
      <c r="J718" s="294">
        <v>19</v>
      </c>
      <c r="K718" s="294">
        <v>17</v>
      </c>
      <c r="L718" s="294">
        <v>17</v>
      </c>
      <c r="M718" s="38">
        <f>SUM(J718:L718)</f>
        <v>53</v>
      </c>
      <c r="N718" s="294">
        <v>14</v>
      </c>
      <c r="O718" s="294">
        <v>11</v>
      </c>
      <c r="P718" s="294">
        <v>9</v>
      </c>
      <c r="Q718" s="38">
        <f>SUM(N718:P718)</f>
        <v>34</v>
      </c>
      <c r="R718" s="38">
        <f>+E718+I718+M718+Q718</f>
        <v>183</v>
      </c>
    </row>
    <row r="719" spans="1:18" ht="16.5" customHeight="1" thickBot="1" x14ac:dyDescent="0.35">
      <c r="A719" s="22"/>
      <c r="B719" s="297"/>
      <c r="C719" s="297"/>
      <c r="D719" s="297"/>
      <c r="E719" s="302"/>
      <c r="F719" s="297"/>
      <c r="G719" s="297"/>
      <c r="H719" s="297"/>
      <c r="I719" s="302"/>
      <c r="J719" s="297"/>
      <c r="K719" s="297"/>
      <c r="L719" s="297"/>
      <c r="M719" s="324"/>
      <c r="N719" s="297"/>
      <c r="O719" s="297"/>
      <c r="P719" s="297"/>
      <c r="Q719" s="324"/>
      <c r="R719" s="14"/>
    </row>
    <row r="720" spans="1:18" ht="15.75" customHeight="1" x14ac:dyDescent="0.3">
      <c r="A720" s="234" t="s">
        <v>120</v>
      </c>
      <c r="B720" s="10">
        <f>SUM(B717:B718)</f>
        <v>618</v>
      </c>
      <c r="C720" s="10">
        <f>SUM(C717:C718)</f>
        <v>1661</v>
      </c>
      <c r="D720" s="10">
        <f>SUM(D717:D718)</f>
        <v>1414</v>
      </c>
      <c r="E720" s="38">
        <f>SUM(B720:D720)</f>
        <v>3693</v>
      </c>
      <c r="F720" s="10">
        <f>SUM(F717:F718)</f>
        <v>2873</v>
      </c>
      <c r="G720" s="10">
        <f>SUM(G717:G718)</f>
        <v>2437</v>
      </c>
      <c r="H720" s="10">
        <f>SUM(H717:H718)</f>
        <v>1901</v>
      </c>
      <c r="I720" s="39">
        <f>SUM(F720:H720)</f>
        <v>7211</v>
      </c>
      <c r="J720" s="10">
        <f>SUM(J717:J718)</f>
        <v>1019</v>
      </c>
      <c r="K720" s="10">
        <f>SUM(K717:K718)</f>
        <v>1217</v>
      </c>
      <c r="L720" s="10">
        <f>SUM(L717:L718)</f>
        <v>1117</v>
      </c>
      <c r="M720" s="39">
        <f>SUM(J720:L720)</f>
        <v>3353</v>
      </c>
      <c r="N720" s="10">
        <f>SUM(N717:N718)</f>
        <v>914</v>
      </c>
      <c r="O720" s="10">
        <f>SUM(O717:O718)</f>
        <v>211</v>
      </c>
      <c r="P720" s="10">
        <f>SUM(P717:P718)</f>
        <v>409</v>
      </c>
      <c r="Q720" s="39">
        <f>SUM(N720:P720)</f>
        <v>1534</v>
      </c>
      <c r="R720" s="39">
        <f>+E720+I720+M720+Q720</f>
        <v>15791</v>
      </c>
    </row>
    <row r="721" spans="1:18" ht="15.75" customHeight="1" x14ac:dyDescent="0.3">
      <c r="A721" s="234" t="s">
        <v>1897</v>
      </c>
      <c r="B721" s="10">
        <f>(B720/B10)/1.983</f>
        <v>10.053194085208139</v>
      </c>
      <c r="C721" s="10">
        <f>(C720/C10)/1.983</f>
        <v>29.914991715294285</v>
      </c>
      <c r="D721" s="10">
        <f>(D720/D10)/1.983</f>
        <v>23.001968343825741</v>
      </c>
      <c r="E721" s="38" t="s">
        <v>852</v>
      </c>
      <c r="F721" s="10">
        <f>(F720/F10)/1.983</f>
        <v>48.293830895948894</v>
      </c>
      <c r="G721" s="10">
        <f>(G720/G10)/1.983</f>
        <v>39.643420688757665</v>
      </c>
      <c r="H721" s="10">
        <f>(H720/H10)/1.983</f>
        <v>31.95495041183392</v>
      </c>
      <c r="I721" s="38" t="s">
        <v>852</v>
      </c>
      <c r="J721" s="10">
        <f>(J720/J10)/1.983</f>
        <v>16.576383127551932</v>
      </c>
      <c r="K721" s="10">
        <f>(K720/K10)/1.983</f>
        <v>19.797309387861336</v>
      </c>
      <c r="L721" s="10">
        <f>(L720/L10)/1.983</f>
        <v>18.776264918473693</v>
      </c>
      <c r="M721" s="38" t="s">
        <v>852</v>
      </c>
      <c r="N721" s="10">
        <f>(N720/N10)/1.983</f>
        <v>14.868316171327249</v>
      </c>
      <c r="O721" s="10">
        <f>(O720/O10)/1.983</f>
        <v>3.5468145906875104</v>
      </c>
      <c r="P721" s="10">
        <f>(P720/P10)/1.983</f>
        <v>6.6533274771037689</v>
      </c>
      <c r="Q721" s="38" t="s">
        <v>852</v>
      </c>
      <c r="R721" s="38" t="s">
        <v>852</v>
      </c>
    </row>
    <row r="722" spans="1:18" ht="15.75" customHeight="1" x14ac:dyDescent="0.3">
      <c r="A722" s="234" t="s">
        <v>1334</v>
      </c>
      <c r="B722" s="10">
        <f>B720+B774</f>
        <v>11200</v>
      </c>
      <c r="C722" s="10">
        <f>C720+C774</f>
        <v>18639</v>
      </c>
      <c r="D722" s="10">
        <f>D720+D774</f>
        <v>22750</v>
      </c>
      <c r="E722" s="38">
        <f>SUM(B722:D722)</f>
        <v>52589</v>
      </c>
      <c r="F722" s="10">
        <f>F720+F774</f>
        <v>25527</v>
      </c>
      <c r="G722" s="10">
        <f>G720+G774</f>
        <v>25780</v>
      </c>
      <c r="H722" s="10">
        <f>H720+H774</f>
        <v>22921</v>
      </c>
      <c r="I722" s="38">
        <f>SUM(F722:H722)</f>
        <v>74228</v>
      </c>
      <c r="J722" s="10">
        <f>J720+J774</f>
        <v>21556</v>
      </c>
      <c r="K722" s="10">
        <f>K720+K774</f>
        <v>21460</v>
      </c>
      <c r="L722" s="10">
        <f>L720+L774</f>
        <v>19998</v>
      </c>
      <c r="M722" s="38">
        <f>SUM(J722:L722)</f>
        <v>63014</v>
      </c>
      <c r="N722" s="10">
        <f>N720+N774</f>
        <v>8393</v>
      </c>
      <c r="O722" s="10">
        <f>O720+O774</f>
        <v>1965</v>
      </c>
      <c r="P722" s="10">
        <f>P720+P774</f>
        <v>9411</v>
      </c>
      <c r="Q722" s="38">
        <f>SUM(N722:P722)</f>
        <v>19769</v>
      </c>
      <c r="R722" s="38">
        <f>+E722+I722+M722+Q722</f>
        <v>209600</v>
      </c>
    </row>
    <row r="723" spans="1:18" ht="16.5" customHeight="1" thickBot="1" x14ac:dyDescent="0.35">
      <c r="A723" s="237" t="s">
        <v>1335</v>
      </c>
      <c r="B723" s="294">
        <f>(B722/B10)/1.983</f>
        <v>182.19380866396631</v>
      </c>
      <c r="C723" s="294">
        <f>(C722/C10)/1.983</f>
        <v>335.69267343851305</v>
      </c>
      <c r="D723" s="294">
        <f>(D722/D10)/1.983</f>
        <v>370.08117384868154</v>
      </c>
      <c r="E723" s="40" t="s">
        <v>852</v>
      </c>
      <c r="F723" s="294">
        <f>(F722/F10)/1.983</f>
        <v>429.09732728189607</v>
      </c>
      <c r="G723" s="294">
        <f>(G722/G10)/1.983</f>
        <v>419.37110601402242</v>
      </c>
      <c r="H723" s="294">
        <f>(H722/H10)/1.983</f>
        <v>385.29164565473184</v>
      </c>
      <c r="I723" s="40" t="s">
        <v>852</v>
      </c>
      <c r="J723" s="294">
        <f>(J722/J10)/1.983</f>
        <v>350.65801246075512</v>
      </c>
      <c r="K723" s="294">
        <f>(K722/K10)/1.983</f>
        <v>349.09635124363541</v>
      </c>
      <c r="L723" s="294">
        <f>(L722/L10)/1.983</f>
        <v>336.15733736762479</v>
      </c>
      <c r="M723" s="40" t="s">
        <v>852</v>
      </c>
      <c r="N723" s="294">
        <f>(N722/N10)/1.983</f>
        <v>136.53148536755972</v>
      </c>
      <c r="O723" s="294">
        <f>(O722/O10)/1.983</f>
        <v>33.030761472516389</v>
      </c>
      <c r="P723" s="294">
        <f>(P722/P10)/1.983</f>
        <v>153.09160119076665</v>
      </c>
      <c r="Q723" s="40" t="s">
        <v>852</v>
      </c>
      <c r="R723" s="40" t="s">
        <v>852</v>
      </c>
    </row>
    <row r="724" spans="1:18" ht="15.75" customHeight="1" x14ac:dyDescent="0.3">
      <c r="A724" s="17"/>
      <c r="B724" s="10"/>
      <c r="C724" s="10"/>
      <c r="D724" s="10"/>
      <c r="E724" s="10"/>
      <c r="F724" s="10"/>
      <c r="G724" s="10"/>
      <c r="H724" s="10"/>
      <c r="I724" s="10"/>
      <c r="J724" s="10"/>
      <c r="K724" s="10"/>
      <c r="L724" s="10"/>
      <c r="M724" s="10"/>
      <c r="N724" s="10"/>
      <c r="O724" s="10"/>
      <c r="P724" s="10"/>
      <c r="Q724" s="10"/>
      <c r="R724" s="17"/>
    </row>
    <row r="725" spans="1:18" ht="16.5" customHeight="1" thickBot="1" x14ac:dyDescent="0.35">
      <c r="A725" s="24"/>
      <c r="B725" s="294"/>
      <c r="C725" s="294"/>
      <c r="D725" s="294"/>
      <c r="E725" s="294"/>
      <c r="F725" s="294"/>
      <c r="G725" s="294"/>
      <c r="H725" s="294"/>
      <c r="I725" s="294"/>
      <c r="J725" s="294"/>
      <c r="K725" s="294"/>
      <c r="L725" s="294"/>
      <c r="M725" s="294"/>
      <c r="N725" s="294"/>
      <c r="O725" s="294"/>
      <c r="P725" s="294"/>
      <c r="Q725" s="294"/>
      <c r="R725" s="24"/>
    </row>
    <row r="726" spans="1:18" ht="15.75" customHeight="1" thickBot="1" x14ac:dyDescent="0.35">
      <c r="A726" s="274" t="s">
        <v>1772</v>
      </c>
      <c r="B726" s="25" t="s">
        <v>2090</v>
      </c>
      <c r="C726" s="26" t="s">
        <v>2091</v>
      </c>
      <c r="D726" s="26" t="s">
        <v>2234</v>
      </c>
      <c r="E726" s="33" t="s">
        <v>1594</v>
      </c>
      <c r="F726" s="26" t="s">
        <v>2235</v>
      </c>
      <c r="G726" s="26" t="s">
        <v>2236</v>
      </c>
      <c r="H726" s="26" t="s">
        <v>2237</v>
      </c>
      <c r="I726" s="33" t="s">
        <v>1595</v>
      </c>
      <c r="J726" s="26" t="s">
        <v>1504</v>
      </c>
      <c r="K726" s="26" t="s">
        <v>1505</v>
      </c>
      <c r="L726" s="26" t="s">
        <v>1506</v>
      </c>
      <c r="M726" s="33" t="s">
        <v>1596</v>
      </c>
      <c r="N726" s="26" t="s">
        <v>1507</v>
      </c>
      <c r="O726" s="26" t="s">
        <v>1508</v>
      </c>
      <c r="P726" s="26" t="s">
        <v>1509</v>
      </c>
      <c r="Q726" s="33" t="s">
        <v>1597</v>
      </c>
      <c r="R726" s="34" t="s">
        <v>1510</v>
      </c>
    </row>
    <row r="727" spans="1:18" ht="16.5" customHeight="1" thickBot="1" x14ac:dyDescent="0.35">
      <c r="A727" s="281"/>
      <c r="B727" s="301"/>
      <c r="C727" s="301"/>
      <c r="D727" s="301"/>
      <c r="E727" s="302"/>
      <c r="F727" s="301"/>
      <c r="G727" s="301"/>
      <c r="H727" s="301"/>
      <c r="I727" s="302"/>
      <c r="J727" s="301"/>
      <c r="K727" s="301"/>
      <c r="L727" s="301"/>
      <c r="M727" s="302"/>
      <c r="N727" s="301"/>
      <c r="O727" s="301"/>
      <c r="P727" s="301"/>
      <c r="Q727" s="302"/>
      <c r="R727" s="75"/>
    </row>
    <row r="728" spans="1:18" ht="15.75" customHeight="1" x14ac:dyDescent="0.3">
      <c r="A728" s="234" t="s">
        <v>2417</v>
      </c>
      <c r="B728" s="10" t="s">
        <v>852</v>
      </c>
      <c r="C728" s="10" t="s">
        <v>852</v>
      </c>
      <c r="D728" s="10" t="s">
        <v>852</v>
      </c>
      <c r="E728" s="38" t="s">
        <v>852</v>
      </c>
      <c r="F728" s="10" t="s">
        <v>852</v>
      </c>
      <c r="G728" s="10" t="s">
        <v>852</v>
      </c>
      <c r="H728" s="10" t="s">
        <v>852</v>
      </c>
      <c r="I728" s="38" t="s">
        <v>852</v>
      </c>
      <c r="J728" s="10" t="s">
        <v>852</v>
      </c>
      <c r="K728" s="10" t="s">
        <v>852</v>
      </c>
      <c r="L728" s="10" t="s">
        <v>852</v>
      </c>
      <c r="M728" s="38" t="s">
        <v>852</v>
      </c>
      <c r="N728" s="10" t="s">
        <v>852</v>
      </c>
      <c r="O728" s="10" t="s">
        <v>852</v>
      </c>
      <c r="P728" s="10" t="s">
        <v>852</v>
      </c>
      <c r="Q728" s="38" t="s">
        <v>852</v>
      </c>
      <c r="R728" s="38" t="s">
        <v>852</v>
      </c>
    </row>
    <row r="729" spans="1:18" ht="15.75" customHeight="1" x14ac:dyDescent="0.3">
      <c r="A729" s="234" t="s">
        <v>2160</v>
      </c>
      <c r="B729" s="10"/>
      <c r="C729" s="10"/>
      <c r="D729" s="10"/>
      <c r="E729" s="38" t="s">
        <v>852</v>
      </c>
      <c r="F729" s="10"/>
      <c r="G729" s="10"/>
      <c r="H729" s="10"/>
      <c r="I729" s="38" t="s">
        <v>852</v>
      </c>
      <c r="J729" s="10"/>
      <c r="K729" s="10"/>
      <c r="L729" s="10"/>
      <c r="M729" s="38" t="s">
        <v>852</v>
      </c>
      <c r="N729" s="10"/>
      <c r="O729" s="10"/>
      <c r="P729" s="10"/>
      <c r="Q729" s="38" t="s">
        <v>852</v>
      </c>
      <c r="R729" s="38" t="s">
        <v>852</v>
      </c>
    </row>
    <row r="730" spans="1:18" ht="15.75" customHeight="1" x14ac:dyDescent="0.3">
      <c r="A730" s="310" t="s">
        <v>2171</v>
      </c>
      <c r="B730" s="10">
        <f>1886</f>
        <v>1886</v>
      </c>
      <c r="C730" s="10">
        <f>5258</f>
        <v>5258</v>
      </c>
      <c r="D730" s="10">
        <f>7449</f>
        <v>7449</v>
      </c>
      <c r="E730" s="38">
        <f t="shared" ref="E730:E731" si="267">SUM(B730:D730)</f>
        <v>14593</v>
      </c>
      <c r="F730" s="10">
        <f>7215</f>
        <v>7215</v>
      </c>
      <c r="G730" s="10">
        <f>7243</f>
        <v>7243</v>
      </c>
      <c r="H730" s="10">
        <f>6700</f>
        <v>6700</v>
      </c>
      <c r="I730" s="38">
        <f t="shared" ref="I730:I731" si="268">SUM(F730:H730)</f>
        <v>21158</v>
      </c>
      <c r="J730" s="10">
        <f>5700</f>
        <v>5700</v>
      </c>
      <c r="K730" s="10">
        <f>5750</f>
        <v>5750</v>
      </c>
      <c r="L730" s="10">
        <f>5750</f>
        <v>5750</v>
      </c>
      <c r="M730" s="38">
        <f t="shared" ref="M730:M731" si="269">SUM(J730:L730)</f>
        <v>17200</v>
      </c>
      <c r="N730" s="10">
        <f>1000</f>
        <v>1000</v>
      </c>
      <c r="O730" s="10"/>
      <c r="P730" s="10">
        <f>2225</f>
        <v>2225</v>
      </c>
      <c r="Q730" s="38">
        <f t="shared" ref="Q730:Q735" si="270">SUM(N730:P730)</f>
        <v>3225</v>
      </c>
      <c r="R730" s="38">
        <f>+E730+I730+M730+Q730</f>
        <v>56176</v>
      </c>
    </row>
    <row r="731" spans="1:18" ht="15.75" customHeight="1" x14ac:dyDescent="0.3">
      <c r="A731" s="310" t="s">
        <v>2146</v>
      </c>
      <c r="B731" s="10">
        <v>1828</v>
      </c>
      <c r="C731" s="10">
        <v>3088</v>
      </c>
      <c r="D731" s="10">
        <v>4072</v>
      </c>
      <c r="E731" s="38">
        <f t="shared" si="267"/>
        <v>8988</v>
      </c>
      <c r="F731" s="10">
        <v>3467</v>
      </c>
      <c r="G731" s="10">
        <v>4959</v>
      </c>
      <c r="H731" s="10">
        <v>500</v>
      </c>
      <c r="I731" s="38">
        <f t="shared" si="268"/>
        <v>8926</v>
      </c>
      <c r="J731" s="10">
        <v>500</v>
      </c>
      <c r="K731" s="10">
        <v>500</v>
      </c>
      <c r="L731" s="10">
        <v>500</v>
      </c>
      <c r="M731" s="38">
        <f t="shared" si="269"/>
        <v>1500</v>
      </c>
      <c r="N731" s="10">
        <v>500</v>
      </c>
      <c r="O731" s="10"/>
      <c r="P731" s="10">
        <v>2993</v>
      </c>
      <c r="Q731" s="38">
        <f t="shared" si="270"/>
        <v>3493</v>
      </c>
      <c r="R731" s="38">
        <f t="shared" ref="R731:R735" si="271">+E731+I731+M731+Q731</f>
        <v>22907</v>
      </c>
    </row>
    <row r="732" spans="1:18" ht="15.75" customHeight="1" x14ac:dyDescent="0.3">
      <c r="A732" s="539" t="s">
        <v>3064</v>
      </c>
      <c r="B732" s="10"/>
      <c r="C732" s="10"/>
      <c r="D732" s="10"/>
      <c r="E732" s="38">
        <f t="shared" ref="E732:E735" si="272">SUM(B732:D732)</f>
        <v>0</v>
      </c>
      <c r="F732" s="10"/>
      <c r="G732" s="10"/>
      <c r="H732" s="10"/>
      <c r="I732" s="38">
        <f t="shared" ref="I732:I735" si="273">SUM(F732:H732)</f>
        <v>0</v>
      </c>
      <c r="J732" s="10"/>
      <c r="K732" s="10"/>
      <c r="L732" s="10"/>
      <c r="M732" s="38">
        <f t="shared" ref="M732:M735" si="274">SUM(J732:L732)</f>
        <v>0</v>
      </c>
      <c r="N732" s="10"/>
      <c r="O732" s="10"/>
      <c r="P732" s="10"/>
      <c r="Q732" s="38">
        <f t="shared" si="270"/>
        <v>0</v>
      </c>
      <c r="R732" s="38">
        <f t="shared" si="271"/>
        <v>0</v>
      </c>
    </row>
    <row r="733" spans="1:18" ht="15.75" customHeight="1" x14ac:dyDescent="0.3">
      <c r="A733" s="539" t="s">
        <v>2992</v>
      </c>
      <c r="B733" s="10">
        <v>264</v>
      </c>
      <c r="C733" s="10">
        <v>3500</v>
      </c>
      <c r="D733" s="10">
        <v>2800</v>
      </c>
      <c r="E733" s="38">
        <f t="shared" si="272"/>
        <v>6564</v>
      </c>
      <c r="F733" s="356">
        <v>4200</v>
      </c>
      <c r="G733" s="356">
        <v>3000</v>
      </c>
      <c r="H733" s="10">
        <v>6100</v>
      </c>
      <c r="I733" s="38">
        <f t="shared" si="273"/>
        <v>13300</v>
      </c>
      <c r="J733" s="10">
        <v>6100</v>
      </c>
      <c r="K733" s="10">
        <v>851</v>
      </c>
      <c r="L733" s="10"/>
      <c r="M733" s="38">
        <f t="shared" si="274"/>
        <v>6951</v>
      </c>
      <c r="N733" s="10"/>
      <c r="O733" s="10"/>
      <c r="P733" s="10"/>
      <c r="Q733" s="38">
        <f t="shared" si="270"/>
        <v>0</v>
      </c>
      <c r="R733" s="38">
        <f t="shared" si="271"/>
        <v>26815</v>
      </c>
    </row>
    <row r="734" spans="1:18" ht="15.75" customHeight="1" x14ac:dyDescent="0.3">
      <c r="A734" s="539" t="s">
        <v>2596</v>
      </c>
      <c r="B734" s="10">
        <v>350</v>
      </c>
      <c r="C734" s="10"/>
      <c r="D734" s="10">
        <v>350</v>
      </c>
      <c r="E734" s="38">
        <f t="shared" si="272"/>
        <v>700</v>
      </c>
      <c r="F734" s="10">
        <v>350</v>
      </c>
      <c r="G734" s="10">
        <v>350</v>
      </c>
      <c r="H734" s="10">
        <v>350</v>
      </c>
      <c r="I734" s="38">
        <f t="shared" si="273"/>
        <v>1050</v>
      </c>
      <c r="J734" s="10">
        <v>350</v>
      </c>
      <c r="K734" s="10">
        <v>350</v>
      </c>
      <c r="L734" s="10">
        <v>350</v>
      </c>
      <c r="M734" s="38">
        <f t="shared" si="274"/>
        <v>1050</v>
      </c>
      <c r="N734" s="10">
        <v>350</v>
      </c>
      <c r="O734" s="10"/>
      <c r="P734" s="10">
        <v>350</v>
      </c>
      <c r="Q734" s="38">
        <f t="shared" si="270"/>
        <v>700</v>
      </c>
      <c r="R734" s="38">
        <f t="shared" si="271"/>
        <v>3500</v>
      </c>
    </row>
    <row r="735" spans="1:18" ht="15.75" customHeight="1" x14ac:dyDescent="0.3">
      <c r="A735" s="539" t="s">
        <v>3015</v>
      </c>
      <c r="B735" s="10">
        <v>140</v>
      </c>
      <c r="C735" s="10">
        <v>140</v>
      </c>
      <c r="D735" s="10">
        <v>140</v>
      </c>
      <c r="E735" s="38">
        <f t="shared" si="272"/>
        <v>420</v>
      </c>
      <c r="F735" s="10">
        <v>140</v>
      </c>
      <c r="G735" s="10">
        <v>140</v>
      </c>
      <c r="H735" s="10">
        <v>140</v>
      </c>
      <c r="I735" s="38">
        <f t="shared" si="273"/>
        <v>420</v>
      </c>
      <c r="J735" s="10">
        <v>125</v>
      </c>
      <c r="K735" s="10">
        <v>125</v>
      </c>
      <c r="L735" s="10">
        <v>125</v>
      </c>
      <c r="M735" s="38">
        <f t="shared" si="274"/>
        <v>375</v>
      </c>
      <c r="N735" s="10">
        <v>125</v>
      </c>
      <c r="O735" s="10">
        <v>0</v>
      </c>
      <c r="P735" s="10">
        <v>60</v>
      </c>
      <c r="Q735" s="38">
        <f t="shared" si="270"/>
        <v>185</v>
      </c>
      <c r="R735" s="38">
        <f t="shared" si="271"/>
        <v>1400</v>
      </c>
    </row>
    <row r="736" spans="1:18" ht="15.75" customHeight="1" x14ac:dyDescent="0.3">
      <c r="A736" s="234" t="s">
        <v>2161</v>
      </c>
      <c r="B736" s="10"/>
      <c r="C736" s="10"/>
      <c r="D736" s="10"/>
      <c r="E736" s="38" t="s">
        <v>852</v>
      </c>
      <c r="F736" s="10"/>
      <c r="G736" s="10"/>
      <c r="H736" s="10"/>
      <c r="I736" s="38" t="s">
        <v>852</v>
      </c>
      <c r="J736" s="10"/>
      <c r="K736" s="10"/>
      <c r="L736" s="10"/>
      <c r="M736" s="38" t="s">
        <v>852</v>
      </c>
      <c r="N736" s="10"/>
      <c r="O736" s="10"/>
      <c r="P736" s="10"/>
      <c r="Q736" s="38" t="s">
        <v>852</v>
      </c>
      <c r="R736" s="38" t="s">
        <v>852</v>
      </c>
    </row>
    <row r="737" spans="1:20" ht="15.75" customHeight="1" x14ac:dyDescent="0.3">
      <c r="A737" s="234" t="s">
        <v>3245</v>
      </c>
      <c r="B737" s="10"/>
      <c r="C737" s="10"/>
      <c r="D737" s="10"/>
      <c r="E737" s="38" t="s">
        <v>852</v>
      </c>
      <c r="F737" s="10"/>
      <c r="G737" s="10"/>
      <c r="H737" s="10"/>
      <c r="I737" s="38" t="s">
        <v>852</v>
      </c>
      <c r="J737" s="10"/>
      <c r="K737" s="10"/>
      <c r="L737" s="10"/>
      <c r="M737" s="38" t="s">
        <v>852</v>
      </c>
      <c r="N737" s="10"/>
      <c r="O737" s="10"/>
      <c r="P737" s="10"/>
      <c r="Q737" s="38" t="s">
        <v>852</v>
      </c>
      <c r="R737" s="38" t="s">
        <v>852</v>
      </c>
    </row>
    <row r="738" spans="1:20" ht="15.75" customHeight="1" thickBot="1" x14ac:dyDescent="0.35">
      <c r="A738" s="234" t="s">
        <v>2164</v>
      </c>
      <c r="B738" s="10"/>
      <c r="C738" s="10"/>
      <c r="D738" s="10"/>
      <c r="E738" s="38" t="s">
        <v>852</v>
      </c>
      <c r="F738" s="10"/>
      <c r="G738" s="10"/>
      <c r="H738" s="10"/>
      <c r="I738" s="38" t="s">
        <v>852</v>
      </c>
      <c r="J738" s="10"/>
      <c r="K738" s="10"/>
      <c r="L738" s="10"/>
      <c r="M738" s="38" t="s">
        <v>852</v>
      </c>
      <c r="N738" s="10"/>
      <c r="O738" s="10"/>
      <c r="P738" s="10"/>
      <c r="Q738" s="38" t="s">
        <v>852</v>
      </c>
      <c r="R738" s="38" t="s">
        <v>852</v>
      </c>
    </row>
    <row r="739" spans="1:20" ht="16.5" customHeight="1" thickBot="1" x14ac:dyDescent="0.35">
      <c r="A739" s="322" t="s">
        <v>1218</v>
      </c>
      <c r="B739" s="45">
        <f>SUM(B728:B738)</f>
        <v>4468</v>
      </c>
      <c r="C739" s="46">
        <f>SUM(C728:C738)</f>
        <v>11986</v>
      </c>
      <c r="D739" s="46">
        <f>SUM(D728:D738)</f>
        <v>14811</v>
      </c>
      <c r="E739" s="37">
        <f>SUM(B739:D739)</f>
        <v>31265</v>
      </c>
      <c r="F739" s="46">
        <f>SUM(F728:F738)</f>
        <v>15372</v>
      </c>
      <c r="G739" s="46">
        <f>SUM(G728:G738)</f>
        <v>15692</v>
      </c>
      <c r="H739" s="46">
        <f>SUM(H728:H738)</f>
        <v>13790</v>
      </c>
      <c r="I739" s="37">
        <f>SUM(F739:H739)</f>
        <v>44854</v>
      </c>
      <c r="J739" s="46">
        <f>SUM(J728:J738)</f>
        <v>12775</v>
      </c>
      <c r="K739" s="46">
        <f>SUM(K728:K738)</f>
        <v>7576</v>
      </c>
      <c r="L739" s="46">
        <f>SUM(L728:L738)</f>
        <v>6725</v>
      </c>
      <c r="M739" s="37">
        <f>SUM(J739:L739)</f>
        <v>27076</v>
      </c>
      <c r="N739" s="46">
        <f>SUM(N728:N738)</f>
        <v>1975</v>
      </c>
      <c r="O739" s="46">
        <f>SUM(O728:O738)</f>
        <v>0</v>
      </c>
      <c r="P739" s="46">
        <f>SUM(P728:P738)</f>
        <v>5628</v>
      </c>
      <c r="Q739" s="37">
        <f>SUM(N739:P739)</f>
        <v>7603</v>
      </c>
      <c r="R739" s="37">
        <f>+E739+I739+M739+Q739</f>
        <v>110798</v>
      </c>
    </row>
    <row r="740" spans="1:20" ht="15.75" customHeight="1" x14ac:dyDescent="0.3">
      <c r="A740" s="234" t="s">
        <v>1172</v>
      </c>
      <c r="B740" s="10"/>
      <c r="C740" s="10"/>
      <c r="D740" s="10"/>
      <c r="E740" s="38" t="s">
        <v>852</v>
      </c>
      <c r="F740" s="10"/>
      <c r="G740" s="10"/>
      <c r="H740" s="10"/>
      <c r="I740" s="38" t="s">
        <v>852</v>
      </c>
      <c r="J740" s="10"/>
      <c r="K740" s="10"/>
      <c r="L740" s="10"/>
      <c r="M740" s="38" t="s">
        <v>852</v>
      </c>
      <c r="N740" s="10"/>
      <c r="O740" s="10"/>
      <c r="P740" s="10"/>
      <c r="Q740" s="38" t="s">
        <v>852</v>
      </c>
      <c r="R740" s="38" t="s">
        <v>852</v>
      </c>
    </row>
    <row r="741" spans="1:20" ht="15.75" customHeight="1" x14ac:dyDescent="0.3">
      <c r="A741" s="234" t="s">
        <v>2409</v>
      </c>
      <c r="B741" s="10"/>
      <c r="C741" s="10"/>
      <c r="D741" s="10"/>
      <c r="E741" s="38" t="s">
        <v>852</v>
      </c>
      <c r="F741" s="10"/>
      <c r="G741" s="10"/>
      <c r="H741" s="10"/>
      <c r="I741" s="38" t="s">
        <v>852</v>
      </c>
      <c r="J741" s="10"/>
      <c r="K741" s="10"/>
      <c r="L741" s="10"/>
      <c r="M741" s="38" t="s">
        <v>852</v>
      </c>
      <c r="N741" s="10"/>
      <c r="O741" s="10"/>
      <c r="P741" s="10"/>
      <c r="Q741" s="38" t="s">
        <v>852</v>
      </c>
      <c r="R741" s="38" t="s">
        <v>852</v>
      </c>
    </row>
    <row r="742" spans="1:20" ht="15.75" customHeight="1" thickBot="1" x14ac:dyDescent="0.35">
      <c r="A742" s="234" t="s">
        <v>2165</v>
      </c>
      <c r="B742" s="10"/>
      <c r="C742" s="10"/>
      <c r="D742" s="10"/>
      <c r="E742" s="38" t="s">
        <v>852</v>
      </c>
      <c r="F742" s="10"/>
      <c r="G742" s="10"/>
      <c r="H742" s="10"/>
      <c r="I742" s="38" t="s">
        <v>852</v>
      </c>
      <c r="J742" s="10"/>
      <c r="K742" s="10"/>
      <c r="L742" s="10"/>
      <c r="M742" s="38" t="s">
        <v>852</v>
      </c>
      <c r="N742" s="10"/>
      <c r="O742" s="10"/>
      <c r="P742" s="10"/>
      <c r="Q742" s="38" t="s">
        <v>852</v>
      </c>
      <c r="R742" s="38" t="s">
        <v>852</v>
      </c>
    </row>
    <row r="743" spans="1:20" ht="16.5" customHeight="1" thickBot="1" x14ac:dyDescent="0.35">
      <c r="A743" s="43" t="s">
        <v>1219</v>
      </c>
      <c r="B743" s="45">
        <f>SUM(B740:B742)</f>
        <v>0</v>
      </c>
      <c r="C743" s="46">
        <f>SUM(C740:C742)</f>
        <v>0</v>
      </c>
      <c r="D743" s="46">
        <f>SUM(D740:D742)</f>
        <v>0</v>
      </c>
      <c r="E743" s="37">
        <f>SUM(B743:D743)</f>
        <v>0</v>
      </c>
      <c r="F743" s="46">
        <f>SUM(F740:F742)</f>
        <v>0</v>
      </c>
      <c r="G743" s="46">
        <f>SUM(G740:G742)</f>
        <v>0</v>
      </c>
      <c r="H743" s="46">
        <f>SUM(H740:H742)</f>
        <v>0</v>
      </c>
      <c r="I743" s="37">
        <f>SUM(F743:H743)</f>
        <v>0</v>
      </c>
      <c r="J743" s="46">
        <f>SUM(J740:J742)</f>
        <v>0</v>
      </c>
      <c r="K743" s="46">
        <f>SUM(K740:K742)</f>
        <v>0</v>
      </c>
      <c r="L743" s="46">
        <f>SUM(L740:L742)</f>
        <v>0</v>
      </c>
      <c r="M743" s="37">
        <f>SUM(J743:L743)</f>
        <v>0</v>
      </c>
      <c r="N743" s="46">
        <f>SUM(N740:N742)</f>
        <v>0</v>
      </c>
      <c r="O743" s="46">
        <f>SUM(O740:O742)</f>
        <v>0</v>
      </c>
      <c r="P743" s="46">
        <f>SUM(P740:P742)</f>
        <v>0</v>
      </c>
      <c r="Q743" s="37">
        <f>SUM(N743:P743)</f>
        <v>0</v>
      </c>
      <c r="R743" s="37">
        <f>+E743+I743+M743+Q743</f>
        <v>0</v>
      </c>
    </row>
    <row r="744" spans="1:20" ht="15.75" customHeight="1" x14ac:dyDescent="0.3">
      <c r="A744" s="234" t="s">
        <v>2166</v>
      </c>
      <c r="B744" s="10"/>
      <c r="C744" s="10"/>
      <c r="D744" s="10"/>
      <c r="E744" s="38" t="s">
        <v>852</v>
      </c>
      <c r="F744" s="10"/>
      <c r="G744" s="10"/>
      <c r="H744" s="10"/>
      <c r="I744" s="38" t="s">
        <v>852</v>
      </c>
      <c r="J744" s="10"/>
      <c r="K744" s="10"/>
      <c r="L744" s="10"/>
      <c r="M744" s="38" t="s">
        <v>852</v>
      </c>
      <c r="N744" s="10"/>
      <c r="O744" s="10"/>
      <c r="P744" s="10"/>
      <c r="Q744" s="38" t="s">
        <v>852</v>
      </c>
      <c r="R744" s="38" t="s">
        <v>852</v>
      </c>
    </row>
    <row r="745" spans="1:20" ht="15.75" customHeight="1" x14ac:dyDescent="0.3">
      <c r="A745" s="234" t="s">
        <v>1245</v>
      </c>
      <c r="B745" s="10"/>
      <c r="C745" s="10"/>
      <c r="D745" s="10"/>
      <c r="E745" s="38" t="s">
        <v>852</v>
      </c>
      <c r="F745" s="10"/>
      <c r="G745" s="10"/>
      <c r="H745" s="10"/>
      <c r="I745" s="38" t="s">
        <v>852</v>
      </c>
      <c r="J745" s="10"/>
      <c r="K745" s="10"/>
      <c r="L745" s="10"/>
      <c r="M745" s="38" t="s">
        <v>852</v>
      </c>
      <c r="N745" s="10"/>
      <c r="O745" s="10"/>
      <c r="P745" s="10"/>
      <c r="Q745" s="38" t="s">
        <v>852</v>
      </c>
      <c r="R745" s="38" t="s">
        <v>852</v>
      </c>
    </row>
    <row r="746" spans="1:20" ht="15.75" customHeight="1" x14ac:dyDescent="0.3">
      <c r="A746" s="310" t="s">
        <v>641</v>
      </c>
      <c r="B746" s="10">
        <v>500</v>
      </c>
      <c r="C746" s="10">
        <v>480</v>
      </c>
      <c r="D746" s="10">
        <v>1350</v>
      </c>
      <c r="E746" s="38">
        <f>SUM(B746:D746)</f>
        <v>2330</v>
      </c>
      <c r="F746" s="10">
        <v>1500</v>
      </c>
      <c r="G746" s="10">
        <v>1950</v>
      </c>
      <c r="H746" s="10">
        <v>1600</v>
      </c>
      <c r="I746" s="38">
        <f>SUM(F746:H746)</f>
        <v>5050</v>
      </c>
      <c r="J746" s="10">
        <v>2000</v>
      </c>
      <c r="K746" s="10">
        <f>1420+80</f>
        <v>1500</v>
      </c>
      <c r="L746" s="10">
        <v>1220</v>
      </c>
      <c r="M746" s="38">
        <f>SUM(J746:L746)</f>
        <v>4720</v>
      </c>
      <c r="N746" s="10">
        <v>400</v>
      </c>
      <c r="O746" s="10">
        <v>150</v>
      </c>
      <c r="P746" s="10">
        <v>150</v>
      </c>
      <c r="Q746" s="38">
        <f>SUM(N746:P746)</f>
        <v>700</v>
      </c>
      <c r="R746" s="38">
        <f>+E746+I746+M746+Q746</f>
        <v>12800</v>
      </c>
      <c r="T746" t="s">
        <v>2804</v>
      </c>
    </row>
    <row r="747" spans="1:20" ht="15.75" customHeight="1" x14ac:dyDescent="0.3">
      <c r="A747" s="234" t="s">
        <v>1711</v>
      </c>
      <c r="B747" s="10"/>
      <c r="C747" s="10"/>
      <c r="D747" s="10"/>
      <c r="E747" s="38" t="s">
        <v>852</v>
      </c>
      <c r="F747" s="10"/>
      <c r="G747" s="10"/>
      <c r="H747" s="10"/>
      <c r="I747" s="38" t="s">
        <v>852</v>
      </c>
      <c r="J747" s="10"/>
      <c r="K747" s="10"/>
      <c r="L747" s="10"/>
      <c r="M747" s="38" t="s">
        <v>852</v>
      </c>
      <c r="N747" s="10"/>
      <c r="O747" s="10"/>
      <c r="P747" s="10"/>
      <c r="Q747" s="38" t="s">
        <v>852</v>
      </c>
      <c r="R747" s="38" t="s">
        <v>852</v>
      </c>
    </row>
    <row r="748" spans="1:20" ht="15.75" customHeight="1" x14ac:dyDescent="0.3">
      <c r="A748" s="539" t="s">
        <v>2699</v>
      </c>
      <c r="B748" s="10"/>
      <c r="C748" s="10"/>
      <c r="D748" s="10"/>
      <c r="E748" s="38">
        <f t="shared" ref="E748:E757" si="275">SUM(B748:D748)</f>
        <v>0</v>
      </c>
      <c r="F748" s="10"/>
      <c r="G748" s="10"/>
      <c r="H748" s="10"/>
      <c r="I748" s="38">
        <f t="shared" ref="I748:I757" si="276">SUM(F748:H748)</f>
        <v>0</v>
      </c>
      <c r="J748" s="10"/>
      <c r="K748" s="10"/>
      <c r="L748" s="10"/>
      <c r="M748" s="38">
        <f t="shared" ref="M748:M757" si="277">SUM(J748:L748)</f>
        <v>0</v>
      </c>
      <c r="N748" s="10"/>
      <c r="O748" s="10"/>
      <c r="P748" s="10"/>
      <c r="Q748" s="38">
        <f t="shared" ref="Q748:Q757" si="278">SUM(N748:P748)</f>
        <v>0</v>
      </c>
      <c r="R748" s="38">
        <f t="shared" ref="R748:R757" si="279">+E748+I748+M748+Q748</f>
        <v>0</v>
      </c>
      <c r="T748" t="s">
        <v>2801</v>
      </c>
    </row>
    <row r="749" spans="1:20" ht="15.75" customHeight="1" x14ac:dyDescent="0.3">
      <c r="A749" s="539" t="s">
        <v>2790</v>
      </c>
      <c r="B749" s="10"/>
      <c r="C749" s="10"/>
      <c r="D749" s="10"/>
      <c r="E749" s="38">
        <f t="shared" si="275"/>
        <v>0</v>
      </c>
      <c r="F749" s="10"/>
      <c r="G749" s="10"/>
      <c r="H749" s="10"/>
      <c r="I749" s="38">
        <f>SUM(F749:H749)</f>
        <v>0</v>
      </c>
      <c r="J749" s="10"/>
      <c r="K749" s="10"/>
      <c r="L749" s="10"/>
      <c r="M749" s="38">
        <f t="shared" si="277"/>
        <v>0</v>
      </c>
      <c r="N749" s="10"/>
      <c r="O749" s="10"/>
      <c r="P749" s="10"/>
      <c r="Q749" s="38">
        <f t="shared" si="278"/>
        <v>0</v>
      </c>
      <c r="R749" s="38">
        <f t="shared" si="279"/>
        <v>0</v>
      </c>
      <c r="T749" t="s">
        <v>2801</v>
      </c>
    </row>
    <row r="750" spans="1:20" ht="15.75" customHeight="1" x14ac:dyDescent="0.3">
      <c r="A750" s="539" t="s">
        <v>2701</v>
      </c>
      <c r="B750" s="10">
        <v>125</v>
      </c>
      <c r="C750" s="10">
        <v>125</v>
      </c>
      <c r="D750" s="10">
        <v>125</v>
      </c>
      <c r="E750" s="38">
        <f t="shared" si="275"/>
        <v>375</v>
      </c>
      <c r="F750" s="10">
        <v>125</v>
      </c>
      <c r="G750" s="10">
        <v>125</v>
      </c>
      <c r="H750" s="10">
        <v>125</v>
      </c>
      <c r="I750" s="38">
        <f t="shared" si="276"/>
        <v>375</v>
      </c>
      <c r="J750" s="10">
        <v>125</v>
      </c>
      <c r="K750" s="10">
        <v>125</v>
      </c>
      <c r="L750" s="10">
        <v>165</v>
      </c>
      <c r="M750" s="38">
        <f t="shared" si="277"/>
        <v>415</v>
      </c>
      <c r="N750" s="10">
        <v>250</v>
      </c>
      <c r="O750" s="10">
        <v>0</v>
      </c>
      <c r="P750" s="10">
        <v>110</v>
      </c>
      <c r="Q750" s="38">
        <f t="shared" si="278"/>
        <v>360</v>
      </c>
      <c r="R750" s="38">
        <f t="shared" si="279"/>
        <v>1525</v>
      </c>
      <c r="T750" t="s">
        <v>2801</v>
      </c>
    </row>
    <row r="751" spans="1:20" ht="15.75" customHeight="1" x14ac:dyDescent="0.3">
      <c r="A751" s="539" t="s">
        <v>3327</v>
      </c>
      <c r="B751" s="10">
        <v>1136</v>
      </c>
      <c r="C751" s="10"/>
      <c r="D751" s="10"/>
      <c r="E751" s="38">
        <f t="shared" si="275"/>
        <v>1136</v>
      </c>
      <c r="F751" s="10"/>
      <c r="G751" s="10"/>
      <c r="H751" s="10"/>
      <c r="I751" s="38">
        <f t="shared" si="276"/>
        <v>0</v>
      </c>
      <c r="J751" s="10"/>
      <c r="K751" s="10"/>
      <c r="L751" s="10"/>
      <c r="M751" s="38">
        <f t="shared" si="277"/>
        <v>0</v>
      </c>
      <c r="N751" s="10"/>
      <c r="O751" s="10"/>
      <c r="P751" s="10"/>
      <c r="Q751" s="38">
        <f t="shared" ref="Q751" si="280">SUM(N751:P751)</f>
        <v>0</v>
      </c>
      <c r="R751" s="38">
        <f t="shared" si="279"/>
        <v>1136</v>
      </c>
    </row>
    <row r="752" spans="1:20" ht="15.75" customHeight="1" x14ac:dyDescent="0.3">
      <c r="A752" s="539" t="s">
        <v>3208</v>
      </c>
      <c r="B752" s="10"/>
      <c r="C752" s="10"/>
      <c r="D752" s="10"/>
      <c r="E752" s="38">
        <f t="shared" si="275"/>
        <v>0</v>
      </c>
      <c r="F752" s="10"/>
      <c r="G752" s="10"/>
      <c r="H752" s="10"/>
      <c r="I752" s="38">
        <f t="shared" si="276"/>
        <v>0</v>
      </c>
      <c r="J752" s="10"/>
      <c r="K752" s="10">
        <v>4750</v>
      </c>
      <c r="L752" s="10"/>
      <c r="M752" s="38">
        <f t="shared" si="277"/>
        <v>4750</v>
      </c>
      <c r="N752" s="10"/>
      <c r="O752" s="10"/>
      <c r="P752" s="10"/>
      <c r="Q752" s="38">
        <f t="shared" si="278"/>
        <v>0</v>
      </c>
      <c r="R752" s="38">
        <f t="shared" si="279"/>
        <v>4750</v>
      </c>
    </row>
    <row r="753" spans="1:20" ht="15.75" customHeight="1" x14ac:dyDescent="0.3">
      <c r="A753" s="539" t="s">
        <v>3209</v>
      </c>
      <c r="B753" s="10"/>
      <c r="C753" s="10"/>
      <c r="D753" s="10"/>
      <c r="E753" s="38">
        <f t="shared" si="275"/>
        <v>0</v>
      </c>
      <c r="F753" s="10"/>
      <c r="G753" s="10"/>
      <c r="H753" s="10"/>
      <c r="I753" s="38">
        <f t="shared" si="276"/>
        <v>0</v>
      </c>
      <c r="J753" s="10"/>
      <c r="K753" s="10">
        <v>599</v>
      </c>
      <c r="L753" s="10">
        <v>6200</v>
      </c>
      <c r="M753" s="38">
        <f t="shared" si="277"/>
        <v>6799</v>
      </c>
      <c r="N753" s="10">
        <v>1788</v>
      </c>
      <c r="O753" s="10"/>
      <c r="P753" s="10"/>
      <c r="Q753" s="38">
        <f t="shared" si="278"/>
        <v>1788</v>
      </c>
      <c r="R753" s="38">
        <f t="shared" si="279"/>
        <v>8587</v>
      </c>
    </row>
    <row r="754" spans="1:20" ht="15.75" customHeight="1" x14ac:dyDescent="0.3">
      <c r="A754" s="539" t="s">
        <v>3210</v>
      </c>
      <c r="B754" s="10"/>
      <c r="C754" s="10"/>
      <c r="D754" s="10"/>
      <c r="E754" s="38">
        <f t="shared" si="275"/>
        <v>0</v>
      </c>
      <c r="F754" s="10"/>
      <c r="G754" s="10"/>
      <c r="H754" s="10"/>
      <c r="I754" s="38">
        <f t="shared" si="276"/>
        <v>0</v>
      </c>
      <c r="J754" s="10"/>
      <c r="K754" s="10"/>
      <c r="L754" s="10"/>
      <c r="M754" s="38">
        <f t="shared" si="277"/>
        <v>0</v>
      </c>
      <c r="N754" s="10"/>
      <c r="O754" s="10"/>
      <c r="P754" s="10"/>
      <c r="Q754" s="38">
        <f t="shared" si="278"/>
        <v>0</v>
      </c>
      <c r="R754" s="38">
        <f t="shared" si="279"/>
        <v>0</v>
      </c>
    </row>
    <row r="755" spans="1:20" ht="15.75" customHeight="1" x14ac:dyDescent="0.3">
      <c r="A755" s="539" t="s">
        <v>3316</v>
      </c>
      <c r="B755" s="10"/>
      <c r="C755" s="10"/>
      <c r="D755" s="10"/>
      <c r="E755" s="38">
        <f t="shared" si="275"/>
        <v>0</v>
      </c>
      <c r="F755" s="10"/>
      <c r="G755" s="10"/>
      <c r="H755" s="10"/>
      <c r="I755" s="38">
        <f t="shared" si="276"/>
        <v>0</v>
      </c>
      <c r="J755" s="10"/>
      <c r="K755" s="10"/>
      <c r="L755" s="10"/>
      <c r="M755" s="38">
        <f t="shared" si="277"/>
        <v>0</v>
      </c>
      <c r="N755" s="10">
        <v>712</v>
      </c>
      <c r="O755" s="10"/>
      <c r="P755" s="10"/>
      <c r="Q755" s="38">
        <f t="shared" ref="Q755" si="281">SUM(N755:P755)</f>
        <v>712</v>
      </c>
      <c r="R755" s="38">
        <f t="shared" si="279"/>
        <v>712</v>
      </c>
    </row>
    <row r="756" spans="1:20" ht="15.75" customHeight="1" thickBot="1" x14ac:dyDescent="0.35">
      <c r="A756" s="310" t="s">
        <v>40</v>
      </c>
      <c r="B756" s="10"/>
      <c r="C756" s="10"/>
      <c r="D756" s="10"/>
      <c r="E756" s="38">
        <f t="shared" si="275"/>
        <v>0</v>
      </c>
      <c r="F756" s="10"/>
      <c r="G756" s="10"/>
      <c r="H756" s="10"/>
      <c r="I756" s="38">
        <f t="shared" si="276"/>
        <v>0</v>
      </c>
      <c r="J756" s="10"/>
      <c r="K756" s="10"/>
      <c r="L756" s="10"/>
      <c r="M756" s="38">
        <f t="shared" si="277"/>
        <v>0</v>
      </c>
      <c r="N756" s="10"/>
      <c r="O756" s="10"/>
      <c r="P756" s="10"/>
      <c r="Q756" s="38">
        <f t="shared" si="278"/>
        <v>0</v>
      </c>
      <c r="R756" s="38">
        <f t="shared" si="279"/>
        <v>0</v>
      </c>
      <c r="T756" t="s">
        <v>2801</v>
      </c>
    </row>
    <row r="757" spans="1:20" ht="16.5" customHeight="1" thickBot="1" x14ac:dyDescent="0.35">
      <c r="A757" s="43" t="s">
        <v>1220</v>
      </c>
      <c r="B757" s="45">
        <f>SUM(B744:B756)</f>
        <v>1761</v>
      </c>
      <c r="C757" s="46">
        <f>SUM(C744:C756)</f>
        <v>605</v>
      </c>
      <c r="D757" s="46">
        <f>SUM(D744:D756)</f>
        <v>1475</v>
      </c>
      <c r="E757" s="37">
        <f t="shared" si="275"/>
        <v>3841</v>
      </c>
      <c r="F757" s="46">
        <f>SUM(F744:F756)</f>
        <v>1625</v>
      </c>
      <c r="G757" s="46">
        <f>SUM(G744:G756)</f>
        <v>2075</v>
      </c>
      <c r="H757" s="46">
        <f>SUM(H744:H756)</f>
        <v>1725</v>
      </c>
      <c r="I757" s="37">
        <f t="shared" si="276"/>
        <v>5425</v>
      </c>
      <c r="J757" s="46">
        <f>SUM(J744:J756)</f>
        <v>2125</v>
      </c>
      <c r="K757" s="46">
        <f>SUM(K744:K756)</f>
        <v>6974</v>
      </c>
      <c r="L757" s="46">
        <f>SUM(L744:L756)</f>
        <v>7585</v>
      </c>
      <c r="M757" s="37">
        <f t="shared" si="277"/>
        <v>16684</v>
      </c>
      <c r="N757" s="46">
        <f>SUM(N744:N756)</f>
        <v>3150</v>
      </c>
      <c r="O757" s="46">
        <f>SUM(O744:O756)</f>
        <v>150</v>
      </c>
      <c r="P757" s="46">
        <f>SUM(P744:P756)</f>
        <v>260</v>
      </c>
      <c r="Q757" s="37">
        <f t="shared" si="278"/>
        <v>3560</v>
      </c>
      <c r="R757" s="58">
        <f t="shared" si="279"/>
        <v>29510</v>
      </c>
    </row>
    <row r="758" spans="1:20" ht="15.75" customHeight="1" x14ac:dyDescent="0.3">
      <c r="A758" s="234" t="s">
        <v>1712</v>
      </c>
      <c r="B758" s="10"/>
      <c r="C758" s="10"/>
      <c r="D758" s="10"/>
      <c r="E758" s="38" t="s">
        <v>852</v>
      </c>
      <c r="F758" s="10"/>
      <c r="G758" s="10"/>
      <c r="H758" s="10"/>
      <c r="I758" s="38" t="s">
        <v>852</v>
      </c>
      <c r="J758" s="10"/>
      <c r="K758" s="10"/>
      <c r="L758" s="10"/>
      <c r="M758" s="38" t="s">
        <v>852</v>
      </c>
      <c r="N758" s="10"/>
      <c r="O758" s="10"/>
      <c r="P758" s="10"/>
      <c r="Q758" s="38" t="s">
        <v>852</v>
      </c>
      <c r="R758" s="38" t="s">
        <v>852</v>
      </c>
    </row>
    <row r="759" spans="1:20" ht="15.75" customHeight="1" x14ac:dyDescent="0.3">
      <c r="A759" s="234" t="s">
        <v>1021</v>
      </c>
      <c r="B759" s="10"/>
      <c r="C759" s="10"/>
      <c r="D759" s="10"/>
      <c r="E759" s="38" t="s">
        <v>852</v>
      </c>
      <c r="F759" s="10"/>
      <c r="G759" s="10"/>
      <c r="H759" s="10"/>
      <c r="I759" s="38" t="s">
        <v>852</v>
      </c>
      <c r="J759" s="10"/>
      <c r="K759" s="10"/>
      <c r="L759" s="10"/>
      <c r="M759" s="38" t="s">
        <v>852</v>
      </c>
      <c r="N759" s="10"/>
      <c r="O759" s="10"/>
      <c r="P759" s="10"/>
      <c r="Q759" s="38" t="s">
        <v>852</v>
      </c>
      <c r="R759" s="38" t="s">
        <v>852</v>
      </c>
    </row>
    <row r="760" spans="1:20" ht="15.75" customHeight="1" x14ac:dyDescent="0.3">
      <c r="A760" s="234" t="s">
        <v>557</v>
      </c>
      <c r="B760" s="10"/>
      <c r="C760" s="10"/>
      <c r="D760" s="10"/>
      <c r="E760" s="38" t="s">
        <v>852</v>
      </c>
      <c r="F760" s="10"/>
      <c r="G760" s="10"/>
      <c r="H760" s="10"/>
      <c r="I760" s="38" t="s">
        <v>852</v>
      </c>
      <c r="J760" s="10"/>
      <c r="K760" s="10"/>
      <c r="L760" s="10"/>
      <c r="M760" s="38" t="s">
        <v>852</v>
      </c>
      <c r="N760" s="10"/>
      <c r="O760" s="10"/>
      <c r="P760" s="10"/>
      <c r="Q760" s="38" t="s">
        <v>852</v>
      </c>
      <c r="R760" s="38" t="s">
        <v>852</v>
      </c>
    </row>
    <row r="761" spans="1:20" ht="15.75" customHeight="1" x14ac:dyDescent="0.3">
      <c r="A761" s="539" t="s">
        <v>2585</v>
      </c>
      <c r="B761" s="10"/>
      <c r="C761" s="10"/>
      <c r="D761" s="10"/>
      <c r="E761" s="38">
        <f>SUM(B761:D761)</f>
        <v>0</v>
      </c>
      <c r="F761" s="10"/>
      <c r="G761" s="10"/>
      <c r="H761" s="10"/>
      <c r="I761" s="38">
        <f>SUM(F761:H761)</f>
        <v>0</v>
      </c>
      <c r="J761" s="10"/>
      <c r="K761" s="10"/>
      <c r="L761" s="10"/>
      <c r="M761" s="38">
        <f>SUM(J761:L761)</f>
        <v>0</v>
      </c>
      <c r="N761" s="10"/>
      <c r="O761" s="10"/>
      <c r="P761" s="10"/>
      <c r="Q761" s="38">
        <f>SUM(N761:P761)</f>
        <v>0</v>
      </c>
      <c r="R761" s="38">
        <f>+E761+I761+M761+Q761</f>
        <v>0</v>
      </c>
    </row>
    <row r="762" spans="1:20" ht="15.75" customHeight="1" x14ac:dyDescent="0.3">
      <c r="A762" s="539" t="s">
        <v>2586</v>
      </c>
      <c r="B762" s="10"/>
      <c r="C762" s="10"/>
      <c r="D762" s="10"/>
      <c r="E762" s="38">
        <f>SUM(B762:D762)</f>
        <v>0</v>
      </c>
      <c r="F762" s="10"/>
      <c r="G762" s="10"/>
      <c r="H762" s="10"/>
      <c r="I762" s="38">
        <f>SUM(F762:H762)</f>
        <v>0</v>
      </c>
      <c r="J762" s="10"/>
      <c r="K762" s="10"/>
      <c r="L762" s="10"/>
      <c r="M762" s="38">
        <f>SUM(J762:L762)</f>
        <v>0</v>
      </c>
      <c r="N762" s="10"/>
      <c r="O762" s="10"/>
      <c r="P762" s="10"/>
      <c r="Q762" s="38">
        <f>SUM(N762:P762)</f>
        <v>0</v>
      </c>
      <c r="R762" s="38">
        <f>+E762+I762+M762+Q762</f>
        <v>0</v>
      </c>
    </row>
    <row r="763" spans="1:20" ht="15.75" customHeight="1" x14ac:dyDescent="0.3">
      <c r="A763" s="539" t="s">
        <v>2587</v>
      </c>
      <c r="B763" s="10"/>
      <c r="C763" s="10"/>
      <c r="D763" s="10"/>
      <c r="E763" s="38">
        <f>SUM(B763:D763)</f>
        <v>0</v>
      </c>
      <c r="F763" s="10"/>
      <c r="G763" s="10"/>
      <c r="H763" s="10"/>
      <c r="I763" s="38">
        <f>SUM(F763:H763)</f>
        <v>0</v>
      </c>
      <c r="J763" s="10"/>
      <c r="K763" s="10"/>
      <c r="L763" s="10"/>
      <c r="M763" s="38">
        <f>SUM(J763:L763)</f>
        <v>0</v>
      </c>
      <c r="N763" s="10"/>
      <c r="O763" s="10"/>
      <c r="P763" s="10"/>
      <c r="Q763" s="38">
        <f>SUM(N763:P763)</f>
        <v>0</v>
      </c>
      <c r="R763" s="38">
        <f>+E763+I763+M763+Q763</f>
        <v>0</v>
      </c>
    </row>
    <row r="764" spans="1:20" ht="15.75" customHeight="1" x14ac:dyDescent="0.3">
      <c r="A764" s="539" t="s">
        <v>2588</v>
      </c>
      <c r="B764" s="10"/>
      <c r="C764" s="10"/>
      <c r="D764" s="10"/>
      <c r="E764" s="38">
        <f>SUM(B764:D764)</f>
        <v>0</v>
      </c>
      <c r="F764" s="10"/>
      <c r="G764" s="10"/>
      <c r="H764" s="10"/>
      <c r="I764" s="38">
        <f>SUM(F764:H764)</f>
        <v>0</v>
      </c>
      <c r="J764" s="10"/>
      <c r="K764" s="10"/>
      <c r="L764" s="10"/>
      <c r="M764" s="38">
        <f>SUM(J764:L764)</f>
        <v>0</v>
      </c>
      <c r="N764" s="10"/>
      <c r="O764" s="10"/>
      <c r="P764" s="10"/>
      <c r="Q764" s="38">
        <f>SUM(N764:P764)</f>
        <v>0</v>
      </c>
      <c r="R764" s="38">
        <f>+E764+I764+M764+Q764</f>
        <v>0</v>
      </c>
    </row>
    <row r="765" spans="1:20" ht="15.75" customHeight="1" x14ac:dyDescent="0.3">
      <c r="A765" s="234" t="s">
        <v>1022</v>
      </c>
      <c r="B765" s="10"/>
      <c r="C765" s="10"/>
      <c r="D765" s="10"/>
      <c r="E765" s="38" t="s">
        <v>852</v>
      </c>
      <c r="F765" s="10"/>
      <c r="G765" s="10"/>
      <c r="H765" s="10"/>
      <c r="I765" s="38" t="s">
        <v>852</v>
      </c>
      <c r="J765" s="10"/>
      <c r="K765" s="10"/>
      <c r="L765" s="10"/>
      <c r="M765" s="38" t="s">
        <v>852</v>
      </c>
      <c r="N765" s="10"/>
      <c r="O765" s="10"/>
      <c r="P765" s="10"/>
      <c r="Q765" s="38" t="s">
        <v>852</v>
      </c>
      <c r="R765" s="38" t="s">
        <v>852</v>
      </c>
    </row>
    <row r="766" spans="1:20" ht="15.75" customHeight="1" thickBot="1" x14ac:dyDescent="0.35">
      <c r="A766" s="234" t="s">
        <v>559</v>
      </c>
      <c r="B766" s="10"/>
      <c r="C766" s="10"/>
      <c r="D766" s="10"/>
      <c r="E766" s="38" t="s">
        <v>852</v>
      </c>
      <c r="F766" s="10"/>
      <c r="G766" s="10"/>
      <c r="H766" s="10"/>
      <c r="I766" s="38" t="s">
        <v>852</v>
      </c>
      <c r="J766" s="10"/>
      <c r="K766" s="10"/>
      <c r="L766" s="10"/>
      <c r="M766" s="38" t="s">
        <v>852</v>
      </c>
      <c r="N766" s="10"/>
      <c r="O766" s="10"/>
      <c r="P766" s="10"/>
      <c r="Q766" s="38" t="s">
        <v>852</v>
      </c>
      <c r="R766" s="38" t="s">
        <v>852</v>
      </c>
    </row>
    <row r="767" spans="1:20" ht="16.5" customHeight="1" thickBot="1" x14ac:dyDescent="0.35">
      <c r="A767" s="43" t="s">
        <v>1019</v>
      </c>
      <c r="B767" s="42">
        <f>SUM(B765:B766)</f>
        <v>0</v>
      </c>
      <c r="C767" s="42">
        <f>SUM(C765:C766)</f>
        <v>0</v>
      </c>
      <c r="D767" s="42">
        <f>SUM(D765:D766)</f>
        <v>0</v>
      </c>
      <c r="E767" s="39">
        <f>SUM(B767:D767)</f>
        <v>0</v>
      </c>
      <c r="F767" s="42">
        <f>SUM(F765:F766)</f>
        <v>0</v>
      </c>
      <c r="G767" s="42">
        <f>SUM(G765:G766)</f>
        <v>0</v>
      </c>
      <c r="H767" s="42">
        <f>SUM(H765:H766)</f>
        <v>0</v>
      </c>
      <c r="I767" s="39">
        <f>SUM(F767:H767)</f>
        <v>0</v>
      </c>
      <c r="J767" s="42">
        <f>SUM(J765:J766)</f>
        <v>0</v>
      </c>
      <c r="K767" s="42">
        <f>SUM(K765:K766)</f>
        <v>0</v>
      </c>
      <c r="L767" s="42">
        <f>SUM(L765:L766)</f>
        <v>0</v>
      </c>
      <c r="M767" s="39">
        <f>SUM(J767:L767)</f>
        <v>0</v>
      </c>
      <c r="N767" s="42">
        <f>SUM(N765:N766)</f>
        <v>0</v>
      </c>
      <c r="O767" s="42">
        <f>SUM(O765:O766)</f>
        <v>0</v>
      </c>
      <c r="P767" s="42">
        <f>SUM(P765:P766)</f>
        <v>0</v>
      </c>
      <c r="Q767" s="39">
        <f>SUM(N767:P767)</f>
        <v>0</v>
      </c>
      <c r="R767" s="37">
        <f>+E767+I767+M767+Q767</f>
        <v>0</v>
      </c>
    </row>
    <row r="768" spans="1:20" ht="16.5" customHeight="1" thickBot="1" x14ac:dyDescent="0.35">
      <c r="A768" s="277" t="s">
        <v>1221</v>
      </c>
      <c r="B768" s="45">
        <f>SUM(B758:B766)</f>
        <v>0</v>
      </c>
      <c r="C768" s="46">
        <f>SUM(C758:C766)</f>
        <v>0</v>
      </c>
      <c r="D768" s="58">
        <f>SUM(D758:D766)</f>
        <v>0</v>
      </c>
      <c r="E768" s="39">
        <f>SUM(B768:D768)</f>
        <v>0</v>
      </c>
      <c r="F768" s="46">
        <f>SUM(F758:F766)</f>
        <v>0</v>
      </c>
      <c r="G768" s="46">
        <f>SUM(G758:G766)</f>
        <v>0</v>
      </c>
      <c r="H768" s="46">
        <f>SUM(H758:H766)</f>
        <v>0</v>
      </c>
      <c r="I768" s="39">
        <f>SUM(F768:H768)</f>
        <v>0</v>
      </c>
      <c r="J768" s="46">
        <f>SUM(J758:J766)</f>
        <v>0</v>
      </c>
      <c r="K768" s="46">
        <f>SUM(K758:K766)</f>
        <v>0</v>
      </c>
      <c r="L768" s="46">
        <f>SUM(L758:L766)</f>
        <v>0</v>
      </c>
      <c r="M768" s="39">
        <f>SUM(J768:L768)</f>
        <v>0</v>
      </c>
      <c r="N768" s="46">
        <f>SUM(N758:N766)</f>
        <v>0</v>
      </c>
      <c r="O768" s="46">
        <f>SUM(O758:O766)</f>
        <v>0</v>
      </c>
      <c r="P768" s="46">
        <f>SUM(P758:P766)</f>
        <v>0</v>
      </c>
      <c r="Q768" s="39">
        <f>SUM(N768:P768)</f>
        <v>0</v>
      </c>
      <c r="R768" s="37">
        <f>+E768+I768+M768+Q768</f>
        <v>0</v>
      </c>
    </row>
    <row r="769" spans="1:18" ht="16.5" customHeight="1" thickBot="1" x14ac:dyDescent="0.35">
      <c r="A769" s="43" t="s">
        <v>1222</v>
      </c>
      <c r="B769" s="47">
        <f>+B739+B743+B757+B768</f>
        <v>6229</v>
      </c>
      <c r="C769" s="42">
        <f>+C739+C743+C757+C768</f>
        <v>12591</v>
      </c>
      <c r="D769" s="42">
        <f>+D739+D743+D757+D768</f>
        <v>16286</v>
      </c>
      <c r="E769" s="37">
        <f>SUM(B769:D769)</f>
        <v>35106</v>
      </c>
      <c r="F769" s="42">
        <f>+F739+F743+F757+F768</f>
        <v>16997</v>
      </c>
      <c r="G769" s="42">
        <f>+G739+G743+G757+G768</f>
        <v>17767</v>
      </c>
      <c r="H769" s="42">
        <f>+H739+H743+H757+H768</f>
        <v>15515</v>
      </c>
      <c r="I769" s="37">
        <f>SUM(F769:H769)</f>
        <v>50279</v>
      </c>
      <c r="J769" s="42">
        <f>+J739+J743+J757+J768</f>
        <v>14900</v>
      </c>
      <c r="K769" s="42">
        <f>+K739+K743+K757+K768</f>
        <v>14550</v>
      </c>
      <c r="L769" s="42">
        <f>+L739+L743+L757+L768</f>
        <v>14310</v>
      </c>
      <c r="M769" s="37">
        <f>SUM(J769:L769)</f>
        <v>43760</v>
      </c>
      <c r="N769" s="42">
        <f>+N739+N743+N757+N768</f>
        <v>5125</v>
      </c>
      <c r="O769" s="42">
        <f>+O739+O743+O757+O768</f>
        <v>150</v>
      </c>
      <c r="P769" s="42">
        <f>+P739+P743+P757+P768</f>
        <v>5888</v>
      </c>
      <c r="Q769" s="37">
        <f>SUM(N769:P769)</f>
        <v>11163</v>
      </c>
      <c r="R769" s="40">
        <f>+E769+I769+M769+Q769</f>
        <v>140308</v>
      </c>
    </row>
    <row r="770" spans="1:18" ht="16.5" customHeight="1" thickBot="1" x14ac:dyDescent="0.35">
      <c r="A770" s="304" t="s">
        <v>853</v>
      </c>
      <c r="B770" s="294">
        <v>22</v>
      </c>
      <c r="C770" s="294">
        <v>24</v>
      </c>
      <c r="D770" s="294">
        <v>31</v>
      </c>
      <c r="E770" s="37">
        <f>SUM(B770:D770)</f>
        <v>77</v>
      </c>
      <c r="F770" s="294">
        <v>40</v>
      </c>
      <c r="G770" s="294">
        <v>45</v>
      </c>
      <c r="H770" s="294">
        <v>48</v>
      </c>
      <c r="I770" s="37">
        <f>SUM(F770:H770)</f>
        <v>133</v>
      </c>
      <c r="J770" s="294">
        <v>42</v>
      </c>
      <c r="K770" s="294">
        <v>39</v>
      </c>
      <c r="L770" s="294">
        <v>38</v>
      </c>
      <c r="M770" s="37">
        <f>SUM(J770:L770)</f>
        <v>119</v>
      </c>
      <c r="N770" s="294">
        <v>32</v>
      </c>
      <c r="O770" s="294">
        <v>25</v>
      </c>
      <c r="P770" s="294">
        <v>21</v>
      </c>
      <c r="Q770" s="37">
        <f>SUM(N770:P770)</f>
        <v>78</v>
      </c>
      <c r="R770" s="39">
        <f>+E770+I770+M770+Q770</f>
        <v>407</v>
      </c>
    </row>
    <row r="771" spans="1:18" ht="16.5" customHeight="1" thickBot="1" x14ac:dyDescent="0.35">
      <c r="A771" s="22"/>
      <c r="B771" s="297"/>
      <c r="C771" s="297"/>
      <c r="D771" s="297"/>
      <c r="E771" s="302"/>
      <c r="F771" s="297"/>
      <c r="G771" s="297"/>
      <c r="H771" s="297"/>
      <c r="I771" s="302"/>
      <c r="J771" s="297"/>
      <c r="K771" s="297"/>
      <c r="L771" s="297"/>
      <c r="M771" s="302"/>
      <c r="N771" s="297"/>
      <c r="O771" s="297"/>
      <c r="P771" s="297"/>
      <c r="Q771" s="302"/>
      <c r="R771" s="21"/>
    </row>
    <row r="772" spans="1:18" ht="15.75" customHeight="1" x14ac:dyDescent="0.3">
      <c r="A772" s="234" t="s">
        <v>120</v>
      </c>
      <c r="B772" s="10">
        <f>+SUM(B769:B770)</f>
        <v>6251</v>
      </c>
      <c r="C772" s="10">
        <f>+SUM(C769:C770)</f>
        <v>12615</v>
      </c>
      <c r="D772" s="10">
        <f>+SUM(D769:D770)</f>
        <v>16317</v>
      </c>
      <c r="E772" s="39">
        <f>SUM(B772:D772)</f>
        <v>35183</v>
      </c>
      <c r="F772" s="10">
        <f>+SUM(F769:F770)</f>
        <v>17037</v>
      </c>
      <c r="G772" s="10">
        <f>+SUM(G769:G770)</f>
        <v>17812</v>
      </c>
      <c r="H772" s="10">
        <f>+SUM(H769:H770)</f>
        <v>15563</v>
      </c>
      <c r="I772" s="39">
        <f>SUM(F772:H772)</f>
        <v>50412</v>
      </c>
      <c r="J772" s="10">
        <f>+SUM(J769:J770)</f>
        <v>14942</v>
      </c>
      <c r="K772" s="10">
        <f>+SUM(K769:K770)</f>
        <v>14589</v>
      </c>
      <c r="L772" s="10">
        <f>+SUM(L769:L770)</f>
        <v>14348</v>
      </c>
      <c r="M772" s="39">
        <f>SUM(J772:L772)</f>
        <v>43879</v>
      </c>
      <c r="N772" s="10">
        <f>+SUM(N769:N770)</f>
        <v>5157</v>
      </c>
      <c r="O772" s="10">
        <f>+SUM(O769:O770)</f>
        <v>175</v>
      </c>
      <c r="P772" s="10">
        <f>+SUM(P769:P770)</f>
        <v>5909</v>
      </c>
      <c r="Q772" s="39">
        <f>SUM(N772:P772)</f>
        <v>11241</v>
      </c>
      <c r="R772" s="39">
        <f>+E772+I772+M772+Q772</f>
        <v>140715</v>
      </c>
    </row>
    <row r="773" spans="1:18" ht="15.75" customHeight="1" x14ac:dyDescent="0.3">
      <c r="A773" s="234" t="s">
        <v>1897</v>
      </c>
      <c r="B773" s="10">
        <f>(B772/B10)/1.983</f>
        <v>101.68691946057619</v>
      </c>
      <c r="C773" s="10">
        <f>(C772/C10)/1.983</f>
        <v>227.19904905986598</v>
      </c>
      <c r="D773" s="10">
        <f>(D772/D10)/1.983</f>
        <v>265.43360499731591</v>
      </c>
      <c r="E773" s="38" t="s">
        <v>852</v>
      </c>
      <c r="F773" s="10">
        <f>(F772/F10)/1.983</f>
        <v>286.38426626323752</v>
      </c>
      <c r="G773" s="10">
        <f>(G772/G10)/1.983</f>
        <v>289.75322499308641</v>
      </c>
      <c r="H773" s="10">
        <f>(H772/H10)/1.983</f>
        <v>261.6069927718944</v>
      </c>
      <c r="I773" s="38" t="s">
        <v>852</v>
      </c>
      <c r="J773" s="10">
        <f>(J772/J10)/1.983</f>
        <v>243.06606152294503</v>
      </c>
      <c r="K773" s="10">
        <f>(K772/K10)/1.983</f>
        <v>237.32370308916109</v>
      </c>
      <c r="L773" s="10">
        <f>(L772/L10)/1.983</f>
        <v>241.18339216675071</v>
      </c>
      <c r="M773" s="38" t="s">
        <v>852</v>
      </c>
      <c r="N773" s="10">
        <f>(N772/N10)/1.983</f>
        <v>83.89048850714947</v>
      </c>
      <c r="O773" s="10">
        <f>(O772/O10)/1.983</f>
        <v>2.9416708690536222</v>
      </c>
      <c r="P773" s="10">
        <f>(P772/P10)/1.983</f>
        <v>96.123501374587221</v>
      </c>
      <c r="Q773" s="38" t="s">
        <v>852</v>
      </c>
      <c r="R773" s="38" t="s">
        <v>852</v>
      </c>
    </row>
    <row r="774" spans="1:18" ht="15.75" customHeight="1" x14ac:dyDescent="0.3">
      <c r="A774" s="234" t="s">
        <v>2390</v>
      </c>
      <c r="B774" s="10">
        <f>B772+B784</f>
        <v>10582</v>
      </c>
      <c r="C774" s="10">
        <f>C772+C784</f>
        <v>16978</v>
      </c>
      <c r="D774" s="10">
        <f>D772+D784</f>
        <v>21336</v>
      </c>
      <c r="E774" s="38">
        <f>SUM(B774:D774)</f>
        <v>48896</v>
      </c>
      <c r="F774" s="10">
        <f>F772+F784</f>
        <v>22654</v>
      </c>
      <c r="G774" s="10">
        <f>G772+G784</f>
        <v>23343</v>
      </c>
      <c r="H774" s="10">
        <f>H772+H784</f>
        <v>21020</v>
      </c>
      <c r="I774" s="38">
        <f>SUM(F774:H774)</f>
        <v>67017</v>
      </c>
      <c r="J774" s="10">
        <f>J772+J784</f>
        <v>20537</v>
      </c>
      <c r="K774" s="10">
        <f>K772+K784</f>
        <v>20243</v>
      </c>
      <c r="L774" s="10">
        <f>L772+L784</f>
        <v>18881</v>
      </c>
      <c r="M774" s="38">
        <f>SUM(J774:L774)</f>
        <v>59661</v>
      </c>
      <c r="N774" s="10">
        <f>N772+N784</f>
        <v>7479</v>
      </c>
      <c r="O774" s="10">
        <f>O772+O784</f>
        <v>1754</v>
      </c>
      <c r="P774" s="10">
        <f>P772+P784</f>
        <v>9002</v>
      </c>
      <c r="Q774" s="38">
        <f>SUM(N774:P774)</f>
        <v>18235</v>
      </c>
      <c r="R774" s="38">
        <f>+E774+I774+M774+Q774</f>
        <v>193809</v>
      </c>
    </row>
    <row r="775" spans="1:18" ht="16.5" customHeight="1" thickBot="1" x14ac:dyDescent="0.35">
      <c r="A775" s="237" t="s">
        <v>1716</v>
      </c>
      <c r="B775" s="294">
        <f>(B774/B10)/1.983</f>
        <v>172.14061457875815</v>
      </c>
      <c r="C775" s="294">
        <f>(C774/C10)/1.983</f>
        <v>305.77768172321879</v>
      </c>
      <c r="D775" s="294">
        <f>(D774/D10)/1.983</f>
        <v>347.07920550485579</v>
      </c>
      <c r="E775" s="40" t="s">
        <v>852</v>
      </c>
      <c r="F775" s="294">
        <f>(F774/F10)/1.983</f>
        <v>380.8034963859472</v>
      </c>
      <c r="G775" s="294">
        <f>(G774/G10)/1.983</f>
        <v>379.72768532526476</v>
      </c>
      <c r="H775" s="294">
        <f>(H774/H10)/1.983</f>
        <v>353.33669524289792</v>
      </c>
      <c r="I775" s="40" t="s">
        <v>852</v>
      </c>
      <c r="J775" s="294">
        <f>(J774/J10)/1.983</f>
        <v>334.08162933320318</v>
      </c>
      <c r="K775" s="294">
        <f>(K774/K10)/1.983</f>
        <v>329.29904185577408</v>
      </c>
      <c r="L775" s="294">
        <f>(L774/L10)/1.983</f>
        <v>317.38107244915113</v>
      </c>
      <c r="M775" s="40" t="s">
        <v>852</v>
      </c>
      <c r="N775" s="294">
        <f>(N774/N10)/1.983</f>
        <v>121.66316919623249</v>
      </c>
      <c r="O775" s="294">
        <f>(O774/O10)/1.983</f>
        <v>29.483946881828878</v>
      </c>
      <c r="P775" s="294">
        <f>(P774/P10)/1.983</f>
        <v>146.43827371366291</v>
      </c>
      <c r="Q775" s="40" t="s">
        <v>852</v>
      </c>
      <c r="R775" s="40" t="s">
        <v>852</v>
      </c>
    </row>
    <row r="776" spans="1:18" ht="15.75" customHeight="1" x14ac:dyDescent="0.3">
      <c r="A776" s="17"/>
      <c r="B776" s="10"/>
      <c r="C776" s="10"/>
      <c r="D776" s="10"/>
      <c r="E776" s="10"/>
      <c r="F776" s="10"/>
      <c r="G776" s="10"/>
      <c r="H776" s="10"/>
      <c r="I776" s="10"/>
      <c r="J776" s="10"/>
      <c r="K776" s="10"/>
      <c r="L776" s="10"/>
      <c r="M776" s="10"/>
      <c r="N776" s="10"/>
      <c r="O776" s="10"/>
      <c r="P776" s="10"/>
      <c r="Q776" s="10"/>
      <c r="R776" s="17"/>
    </row>
    <row r="777" spans="1:18" ht="15.75" customHeight="1" thickBot="1" x14ac:dyDescent="0.35">
      <c r="A777" s="17"/>
      <c r="B777" s="10"/>
      <c r="C777" s="10"/>
      <c r="D777" s="10"/>
      <c r="E777" s="10"/>
      <c r="F777" s="10"/>
      <c r="G777" s="10"/>
      <c r="H777" s="10"/>
      <c r="I777" s="10"/>
      <c r="J777" s="10"/>
      <c r="K777" s="10"/>
      <c r="L777" s="10"/>
      <c r="M777" s="10"/>
      <c r="N777" s="10"/>
      <c r="O777" s="10"/>
      <c r="P777" s="10"/>
      <c r="Q777" s="10"/>
      <c r="R777" s="17"/>
    </row>
    <row r="778" spans="1:18" ht="16.5" customHeight="1" thickBot="1" x14ac:dyDescent="0.35">
      <c r="A778" s="278" t="s">
        <v>374</v>
      </c>
      <c r="B778" s="4" t="s">
        <v>2090</v>
      </c>
      <c r="C778" s="5" t="s">
        <v>2091</v>
      </c>
      <c r="D778" s="5" t="s">
        <v>2234</v>
      </c>
      <c r="E778" s="33" t="s">
        <v>1594</v>
      </c>
      <c r="F778" s="5" t="s">
        <v>2235</v>
      </c>
      <c r="G778" s="5" t="s">
        <v>2236</v>
      </c>
      <c r="H778" s="5" t="s">
        <v>2237</v>
      </c>
      <c r="I778" s="35" t="s">
        <v>1595</v>
      </c>
      <c r="J778" s="5" t="s">
        <v>1504</v>
      </c>
      <c r="K778" s="5" t="s">
        <v>1505</v>
      </c>
      <c r="L778" s="5" t="s">
        <v>1506</v>
      </c>
      <c r="M778" s="35" t="s">
        <v>1596</v>
      </c>
      <c r="N778" s="5" t="s">
        <v>1507</v>
      </c>
      <c r="O778" s="5" t="s">
        <v>1508</v>
      </c>
      <c r="P778" s="5" t="s">
        <v>1509</v>
      </c>
      <c r="Q778" s="35" t="s">
        <v>1597</v>
      </c>
      <c r="R778" s="36" t="s">
        <v>1510</v>
      </c>
    </row>
    <row r="779" spans="1:18" ht="16.5" customHeight="1" thickBot="1" x14ac:dyDescent="0.35">
      <c r="A779" s="22"/>
      <c r="B779" s="297"/>
      <c r="C779" s="297"/>
      <c r="D779" s="297"/>
      <c r="E779" s="298"/>
      <c r="F779" s="297"/>
      <c r="G779" s="297"/>
      <c r="H779" s="297"/>
      <c r="I779" s="298"/>
      <c r="J779" s="297"/>
      <c r="K779" s="297"/>
      <c r="L779" s="297"/>
      <c r="M779" s="298"/>
      <c r="N779" s="297"/>
      <c r="O779" s="297"/>
      <c r="P779" s="297"/>
      <c r="Q779" s="298"/>
      <c r="R779" s="22"/>
    </row>
    <row r="780" spans="1:18" ht="16.5" customHeight="1" thickBot="1" x14ac:dyDescent="0.35">
      <c r="A780" s="299" t="s">
        <v>853</v>
      </c>
      <c r="B780" s="294">
        <v>2</v>
      </c>
      <c r="C780" s="294">
        <v>3</v>
      </c>
      <c r="D780" s="294">
        <v>5</v>
      </c>
      <c r="E780" s="38">
        <f>SUM(B780:D780)</f>
        <v>10</v>
      </c>
      <c r="F780" s="294">
        <v>7</v>
      </c>
      <c r="G780" s="294">
        <v>8</v>
      </c>
      <c r="H780" s="294">
        <v>9</v>
      </c>
      <c r="I780" s="38">
        <f>SUM(F780:H780)</f>
        <v>24</v>
      </c>
      <c r="J780" s="294">
        <v>7</v>
      </c>
      <c r="K780" s="294">
        <v>6</v>
      </c>
      <c r="L780" s="294">
        <v>6</v>
      </c>
      <c r="M780" s="38">
        <f>SUM(J780:L780)</f>
        <v>19</v>
      </c>
      <c r="N780" s="294">
        <v>5</v>
      </c>
      <c r="O780" s="294">
        <v>3</v>
      </c>
      <c r="P780" s="294">
        <v>2</v>
      </c>
      <c r="Q780" s="38">
        <f>SUM(N780:P780)</f>
        <v>10</v>
      </c>
      <c r="R780" s="39">
        <f>+E780+I780+M780+Q780</f>
        <v>63</v>
      </c>
    </row>
    <row r="781" spans="1:18" ht="16.5" customHeight="1" thickBot="1" x14ac:dyDescent="0.35">
      <c r="A781" s="22"/>
      <c r="B781" s="297"/>
      <c r="C781" s="297"/>
      <c r="D781" s="297"/>
      <c r="E781" s="302"/>
      <c r="F781" s="297"/>
      <c r="G781" s="297"/>
      <c r="H781" s="297"/>
      <c r="I781" s="302"/>
      <c r="J781" s="297"/>
      <c r="K781" s="297"/>
      <c r="L781" s="297"/>
      <c r="M781" s="302"/>
      <c r="N781" s="297"/>
      <c r="O781" s="297"/>
      <c r="P781" s="297"/>
      <c r="Q781" s="302"/>
      <c r="R781" s="21"/>
    </row>
    <row r="782" spans="1:18" ht="15.75" customHeight="1" x14ac:dyDescent="0.3">
      <c r="A782" s="234" t="s">
        <v>120</v>
      </c>
      <c r="B782" s="10">
        <f>B780</f>
        <v>2</v>
      </c>
      <c r="C782" s="10">
        <f>C780</f>
        <v>3</v>
      </c>
      <c r="D782" s="10">
        <f>D780</f>
        <v>5</v>
      </c>
      <c r="E782" s="39">
        <f>SUM(B782:D782)</f>
        <v>10</v>
      </c>
      <c r="F782" s="10">
        <f>F780</f>
        <v>7</v>
      </c>
      <c r="G782" s="10">
        <f>G780</f>
        <v>8</v>
      </c>
      <c r="H782" s="10">
        <f>H780</f>
        <v>9</v>
      </c>
      <c r="I782" s="39">
        <f>SUM(F782:H782)</f>
        <v>24</v>
      </c>
      <c r="J782" s="10">
        <f>J780</f>
        <v>7</v>
      </c>
      <c r="K782" s="10">
        <f>K780</f>
        <v>6</v>
      </c>
      <c r="L782" s="10">
        <f>L780</f>
        <v>6</v>
      </c>
      <c r="M782" s="39">
        <f>SUM(J782:L782)</f>
        <v>19</v>
      </c>
      <c r="N782" s="10">
        <f>N780</f>
        <v>5</v>
      </c>
      <c r="O782" s="10">
        <f>O780</f>
        <v>3</v>
      </c>
      <c r="P782" s="10">
        <f>P780</f>
        <v>2</v>
      </c>
      <c r="Q782" s="39">
        <f>SUM(N782:P782)</f>
        <v>10</v>
      </c>
      <c r="R782" s="39">
        <f>+E782+I782+M782+Q782</f>
        <v>63</v>
      </c>
    </row>
    <row r="783" spans="1:18" ht="15.75" customHeight="1" x14ac:dyDescent="0.3">
      <c r="A783" s="234" t="s">
        <v>1897</v>
      </c>
      <c r="B783" s="10">
        <f>(B782/B10)/1.983</f>
        <v>3.2534608689993978E-2</v>
      </c>
      <c r="C783" s="10">
        <f>(C782/C10)/1.983</f>
        <v>5.403068943159714E-2</v>
      </c>
      <c r="D783" s="10">
        <f>(D782/D10)/1.983</f>
        <v>8.1336521724984942E-2</v>
      </c>
      <c r="E783" s="38" t="s">
        <v>852</v>
      </c>
      <c r="F783" s="10">
        <f>(F782/F10)/1.983</f>
        <v>0.1176668347621449</v>
      </c>
      <c r="G783" s="10">
        <f>(G782/G10)/1.983</f>
        <v>0.13013843475997591</v>
      </c>
      <c r="H783" s="10">
        <f>(H782/H10)/1.983</f>
        <v>0.15128593040847199</v>
      </c>
      <c r="I783" s="38" t="s">
        <v>852</v>
      </c>
      <c r="J783" s="10">
        <f>(J782/J10)/1.983</f>
        <v>0.11387113041497893</v>
      </c>
      <c r="K783" s="10">
        <f>(K782/K10)/1.983</f>
        <v>9.7603826069981942E-2</v>
      </c>
      <c r="L783" s="10">
        <f>(L782/L10)/1.983</f>
        <v>0.10085728693898134</v>
      </c>
      <c r="M783" s="38" t="s">
        <v>852</v>
      </c>
      <c r="N783" s="10">
        <f>(N782/N10)/1.983</f>
        <v>8.1336521724984942E-2</v>
      </c>
      <c r="O783" s="10">
        <f>(O782/O10)/1.983</f>
        <v>5.0428643469490671E-2</v>
      </c>
      <c r="P783" s="10">
        <f>(P782/P10)/1.983</f>
        <v>3.2534608689993978E-2</v>
      </c>
      <c r="Q783" s="38" t="s">
        <v>852</v>
      </c>
      <c r="R783" s="38" t="s">
        <v>852</v>
      </c>
    </row>
    <row r="784" spans="1:18" ht="15.75" customHeight="1" x14ac:dyDescent="0.3">
      <c r="A784" s="234" t="s">
        <v>585</v>
      </c>
      <c r="B784" s="10">
        <f>B782+B818+B870-B813</f>
        <v>4331</v>
      </c>
      <c r="C784" s="10">
        <f>C782+C818+C870-C813</f>
        <v>4363</v>
      </c>
      <c r="D784" s="10">
        <f>D782+D818+D870-D813</f>
        <v>5019</v>
      </c>
      <c r="E784" s="38">
        <f>SUM(B784:D784)</f>
        <v>13713</v>
      </c>
      <c r="F784" s="10">
        <f>F782+F818+F870-F813</f>
        <v>5617</v>
      </c>
      <c r="G784" s="10">
        <f>G782+G818+G870-G813</f>
        <v>5531</v>
      </c>
      <c r="H784" s="10">
        <f>H782+H818+H870-H813</f>
        <v>5457</v>
      </c>
      <c r="I784" s="38">
        <f>SUM(F784:H784)</f>
        <v>16605</v>
      </c>
      <c r="J784" s="10">
        <f>J782+J818+J870-J813</f>
        <v>5595</v>
      </c>
      <c r="K784" s="10">
        <f>K782+K818+K870-K813</f>
        <v>5654</v>
      </c>
      <c r="L784" s="10">
        <f>L782+L818+L870-L813</f>
        <v>4533</v>
      </c>
      <c r="M784" s="38">
        <f>SUM(J784:L784)</f>
        <v>15782</v>
      </c>
      <c r="N784" s="10">
        <f>N782+N818+N870-N813</f>
        <v>2322</v>
      </c>
      <c r="O784" s="10">
        <f>O782+O818+O870-O813</f>
        <v>1579</v>
      </c>
      <c r="P784" s="10">
        <f>P782+P818+P870-P813</f>
        <v>3093</v>
      </c>
      <c r="Q784" s="38">
        <f>SUM(N784:P784)</f>
        <v>6994</v>
      </c>
      <c r="R784" s="38">
        <f>+E784+I784+M784+Q784</f>
        <v>53094</v>
      </c>
    </row>
    <row r="785" spans="1:18" ht="16.5" customHeight="1" thickBot="1" x14ac:dyDescent="0.35">
      <c r="A785" s="237" t="s">
        <v>57</v>
      </c>
      <c r="B785" s="294">
        <f>(B784/B10)/1.983</f>
        <v>70.453695118181969</v>
      </c>
      <c r="C785" s="294">
        <f>(C784/C10)/1.983</f>
        <v>78.578632663352792</v>
      </c>
      <c r="D785" s="294">
        <f>(D784/D10)/1.983</f>
        <v>81.645600507539896</v>
      </c>
      <c r="E785" s="40" t="s">
        <v>852</v>
      </c>
      <c r="F785" s="294">
        <f>(F784/F10)/1.983</f>
        <v>94.419230122709692</v>
      </c>
      <c r="G785" s="294">
        <f>(G784/G10)/1.983</f>
        <v>89.974460332178339</v>
      </c>
      <c r="H785" s="294">
        <f>(H784/H10)/1.983</f>
        <v>91.729702471003534</v>
      </c>
      <c r="I785" s="40" t="s">
        <v>852</v>
      </c>
      <c r="J785" s="294">
        <f>(J784/J10)/1.983</f>
        <v>91.015567810258148</v>
      </c>
      <c r="K785" s="294">
        <f>(K784/K10)/1.983</f>
        <v>91.975338766612978</v>
      </c>
      <c r="L785" s="294">
        <f>(L784/L10)/1.983</f>
        <v>76.197680282400398</v>
      </c>
      <c r="M785" s="40" t="s">
        <v>852</v>
      </c>
      <c r="N785" s="294">
        <f>(N784/N10)/1.983</f>
        <v>37.77268068908301</v>
      </c>
      <c r="O785" s="294">
        <f>(O784/O10)/1.983</f>
        <v>26.542276012775254</v>
      </c>
      <c r="P785" s="294">
        <f>(P784/P10)/1.983</f>
        <v>50.314772339075695</v>
      </c>
      <c r="Q785" s="40" t="s">
        <v>852</v>
      </c>
      <c r="R785" s="40" t="s">
        <v>852</v>
      </c>
    </row>
    <row r="786" spans="1:18" ht="15.75" customHeight="1" x14ac:dyDescent="0.3">
      <c r="A786" s="17"/>
      <c r="B786" s="10"/>
      <c r="C786" s="10"/>
      <c r="D786" s="10"/>
      <c r="E786" s="10"/>
      <c r="F786" s="10"/>
      <c r="G786" s="10"/>
      <c r="H786" s="10"/>
      <c r="I786" s="10"/>
      <c r="J786" s="10"/>
      <c r="K786" s="10"/>
      <c r="L786" s="10"/>
      <c r="M786" s="10"/>
      <c r="N786" s="10"/>
      <c r="O786" s="10"/>
      <c r="P786" s="10"/>
      <c r="Q786" s="10"/>
      <c r="R786" s="17"/>
    </row>
    <row r="787" spans="1:18" ht="15.75" customHeight="1" thickBot="1" x14ac:dyDescent="0.35">
      <c r="A787" s="17"/>
      <c r="B787" s="10"/>
      <c r="C787" s="10"/>
      <c r="D787" s="10"/>
      <c r="E787" s="10"/>
      <c r="F787" s="10"/>
      <c r="G787" s="10"/>
      <c r="H787" s="10"/>
      <c r="I787" s="10"/>
      <c r="J787" s="10"/>
      <c r="K787" s="10"/>
      <c r="L787" s="10"/>
      <c r="M787" s="10"/>
      <c r="N787" s="10"/>
      <c r="O787" s="10"/>
      <c r="P787" s="10"/>
      <c r="Q787" s="10"/>
      <c r="R787" s="17"/>
    </row>
    <row r="788" spans="1:18" ht="16.5" customHeight="1" thickBot="1" x14ac:dyDescent="0.35">
      <c r="A788" s="278" t="s">
        <v>1709</v>
      </c>
      <c r="B788" s="4" t="s">
        <v>2090</v>
      </c>
      <c r="C788" s="5" t="s">
        <v>2091</v>
      </c>
      <c r="D788" s="5" t="s">
        <v>2234</v>
      </c>
      <c r="E788" s="35" t="s">
        <v>1594</v>
      </c>
      <c r="F788" s="5" t="s">
        <v>2235</v>
      </c>
      <c r="G788" s="5" t="s">
        <v>2236</v>
      </c>
      <c r="H788" s="5" t="s">
        <v>2237</v>
      </c>
      <c r="I788" s="35" t="s">
        <v>1595</v>
      </c>
      <c r="J788" s="5" t="s">
        <v>1504</v>
      </c>
      <c r="K788" s="5" t="s">
        <v>1505</v>
      </c>
      <c r="L788" s="5" t="s">
        <v>1506</v>
      </c>
      <c r="M788" s="35" t="s">
        <v>1596</v>
      </c>
      <c r="N788" s="5" t="s">
        <v>1507</v>
      </c>
      <c r="O788" s="5" t="s">
        <v>1508</v>
      </c>
      <c r="P788" s="5" t="s">
        <v>1509</v>
      </c>
      <c r="Q788" s="35" t="s">
        <v>1597</v>
      </c>
      <c r="R788" s="59" t="s">
        <v>1510</v>
      </c>
    </row>
    <row r="789" spans="1:18" ht="16.5" customHeight="1" thickBot="1" x14ac:dyDescent="0.35">
      <c r="A789" s="22"/>
      <c r="B789" s="297"/>
      <c r="C789" s="297"/>
      <c r="D789" s="297"/>
      <c r="E789" s="325"/>
      <c r="F789" s="297"/>
      <c r="G789" s="297"/>
      <c r="H789" s="297"/>
      <c r="I789" s="325"/>
      <c r="J789" s="297"/>
      <c r="K789" s="297"/>
      <c r="L789" s="297"/>
      <c r="M789" s="325"/>
      <c r="N789" s="297"/>
      <c r="O789" s="297"/>
      <c r="P789" s="297"/>
      <c r="Q789" s="325"/>
      <c r="R789" s="19"/>
    </row>
    <row r="790" spans="1:18" ht="15.75" customHeight="1" x14ac:dyDescent="0.3">
      <c r="A790" s="234" t="s">
        <v>2417</v>
      </c>
      <c r="B790" s="10" t="s">
        <v>852</v>
      </c>
      <c r="C790" s="10" t="s">
        <v>852</v>
      </c>
      <c r="D790" s="10" t="s">
        <v>852</v>
      </c>
      <c r="E790" s="38" t="s">
        <v>852</v>
      </c>
      <c r="F790" s="10" t="s">
        <v>852</v>
      </c>
      <c r="G790" s="10" t="s">
        <v>852</v>
      </c>
      <c r="H790" s="10" t="s">
        <v>852</v>
      </c>
      <c r="I790" s="38" t="s">
        <v>852</v>
      </c>
      <c r="J790" s="10" t="s">
        <v>852</v>
      </c>
      <c r="K790" s="10" t="s">
        <v>852</v>
      </c>
      <c r="L790" s="10" t="s">
        <v>852</v>
      </c>
      <c r="M790" s="38" t="s">
        <v>852</v>
      </c>
      <c r="N790" s="10" t="s">
        <v>852</v>
      </c>
      <c r="O790" s="10" t="s">
        <v>852</v>
      </c>
      <c r="P790" s="10" t="s">
        <v>852</v>
      </c>
      <c r="Q790" s="38" t="s">
        <v>852</v>
      </c>
      <c r="R790" s="38" t="s">
        <v>852</v>
      </c>
    </row>
    <row r="791" spans="1:18" ht="15.75" customHeight="1" x14ac:dyDescent="0.3">
      <c r="A791" s="234" t="s">
        <v>2160</v>
      </c>
      <c r="B791" s="10"/>
      <c r="C791" s="10"/>
      <c r="D791" s="10"/>
      <c r="E791" s="38" t="s">
        <v>852</v>
      </c>
      <c r="F791" s="10"/>
      <c r="G791" s="10"/>
      <c r="H791" s="10"/>
      <c r="I791" s="38" t="s">
        <v>852</v>
      </c>
      <c r="J791" s="10"/>
      <c r="K791" s="10"/>
      <c r="L791" s="10"/>
      <c r="M791" s="38" t="s">
        <v>852</v>
      </c>
      <c r="N791" s="10"/>
      <c r="O791" s="10"/>
      <c r="P791" s="10"/>
      <c r="Q791" s="38" t="s">
        <v>852</v>
      </c>
      <c r="R791" s="38" t="s">
        <v>852</v>
      </c>
    </row>
    <row r="792" spans="1:18" ht="15.75" customHeight="1" x14ac:dyDescent="0.3">
      <c r="A792" s="310" t="s">
        <v>573</v>
      </c>
      <c r="B792" s="10"/>
      <c r="C792" s="10"/>
      <c r="D792" s="10"/>
      <c r="E792" s="38">
        <f>SUM(B792:D792)</f>
        <v>0</v>
      </c>
      <c r="F792" s="10"/>
      <c r="G792" s="10"/>
      <c r="H792" s="10"/>
      <c r="I792" s="38">
        <f>SUM(F792:H792)</f>
        <v>0</v>
      </c>
      <c r="J792" s="10"/>
      <c r="K792" s="10"/>
      <c r="L792" s="10"/>
      <c r="M792" s="38">
        <f>SUM(J792:L792)</f>
        <v>0</v>
      </c>
      <c r="N792" s="10"/>
      <c r="O792" s="10"/>
      <c r="P792" s="10"/>
      <c r="Q792" s="38">
        <f>SUM(N792:P792)</f>
        <v>0</v>
      </c>
      <c r="R792" s="38">
        <f>+E792+I792+M792+Q792</f>
        <v>0</v>
      </c>
    </row>
    <row r="793" spans="1:18" ht="15.75" customHeight="1" x14ac:dyDescent="0.3">
      <c r="A793" s="234" t="s">
        <v>2161</v>
      </c>
      <c r="B793" s="10"/>
      <c r="C793" s="10"/>
      <c r="D793" s="10"/>
      <c r="E793" s="38" t="s">
        <v>852</v>
      </c>
      <c r="F793" s="10"/>
      <c r="G793" s="10"/>
      <c r="H793" s="10"/>
      <c r="I793" s="38" t="s">
        <v>852</v>
      </c>
      <c r="J793" s="10"/>
      <c r="K793" s="10"/>
      <c r="L793" s="10"/>
      <c r="M793" s="38" t="s">
        <v>852</v>
      </c>
      <c r="N793" s="10"/>
      <c r="O793" s="10"/>
      <c r="P793" s="10"/>
      <c r="Q793" s="38" t="s">
        <v>852</v>
      </c>
      <c r="R793" s="38" t="s">
        <v>852</v>
      </c>
    </row>
    <row r="794" spans="1:18" ht="15.75" customHeight="1" x14ac:dyDescent="0.3">
      <c r="A794" s="234" t="s">
        <v>3245</v>
      </c>
      <c r="B794" s="10"/>
      <c r="C794" s="10"/>
      <c r="D794" s="10"/>
      <c r="E794" s="38" t="s">
        <v>852</v>
      </c>
      <c r="F794" s="10"/>
      <c r="G794" s="10"/>
      <c r="H794" s="10"/>
      <c r="I794" s="38" t="s">
        <v>852</v>
      </c>
      <c r="J794" s="10"/>
      <c r="K794" s="10"/>
      <c r="L794" s="10"/>
      <c r="M794" s="38" t="s">
        <v>852</v>
      </c>
      <c r="N794" s="10"/>
      <c r="O794" s="10"/>
      <c r="P794" s="10"/>
      <c r="Q794" s="38" t="s">
        <v>852</v>
      </c>
      <c r="R794" s="38" t="s">
        <v>852</v>
      </c>
    </row>
    <row r="795" spans="1:18" ht="15.75" customHeight="1" thickBot="1" x14ac:dyDescent="0.35">
      <c r="A795" s="234" t="s">
        <v>2164</v>
      </c>
      <c r="B795" s="10"/>
      <c r="C795" s="10"/>
      <c r="D795" s="10"/>
      <c r="E795" s="38" t="s">
        <v>852</v>
      </c>
      <c r="F795" s="10"/>
      <c r="G795" s="10"/>
      <c r="H795" s="10"/>
      <c r="I795" s="38" t="s">
        <v>852</v>
      </c>
      <c r="J795" s="10"/>
      <c r="K795" s="10"/>
      <c r="L795" s="10"/>
      <c r="M795" s="38" t="s">
        <v>852</v>
      </c>
      <c r="N795" s="10"/>
      <c r="O795" s="10"/>
      <c r="P795" s="10"/>
      <c r="Q795" s="38" t="s">
        <v>852</v>
      </c>
      <c r="R795" s="38" t="s">
        <v>852</v>
      </c>
    </row>
    <row r="796" spans="1:18" ht="16.5" customHeight="1" thickBot="1" x14ac:dyDescent="0.35">
      <c r="A796" s="43" t="s">
        <v>1218</v>
      </c>
      <c r="B796" s="45">
        <f>SUM(B790:B795)</f>
        <v>0</v>
      </c>
      <c r="C796" s="46">
        <f>SUM(C790:C795)</f>
        <v>0</v>
      </c>
      <c r="D796" s="46">
        <f>SUM(D790:D795)</f>
        <v>0</v>
      </c>
      <c r="E796" s="37">
        <f>SUM(B796:D796)</f>
        <v>0</v>
      </c>
      <c r="F796" s="46">
        <f>SUM(F790:F795)</f>
        <v>0</v>
      </c>
      <c r="G796" s="46">
        <f>SUM(G790:G795)</f>
        <v>0</v>
      </c>
      <c r="H796" s="46">
        <f>SUM(H790:H795)</f>
        <v>0</v>
      </c>
      <c r="I796" s="37">
        <f>SUM(F796:H796)</f>
        <v>0</v>
      </c>
      <c r="J796" s="46">
        <f>SUM(J790:J795)</f>
        <v>0</v>
      </c>
      <c r="K796" s="46">
        <f>SUM(K790:K795)</f>
        <v>0</v>
      </c>
      <c r="L796" s="46">
        <f>SUM(L790:L795)</f>
        <v>0</v>
      </c>
      <c r="M796" s="37">
        <f>SUM(J796:L796)</f>
        <v>0</v>
      </c>
      <c r="N796" s="46">
        <f>SUM(N790:N795)</f>
        <v>0</v>
      </c>
      <c r="O796" s="46">
        <f>SUM(O790:O795)</f>
        <v>0</v>
      </c>
      <c r="P796" s="46">
        <f>SUM(P790:P795)</f>
        <v>0</v>
      </c>
      <c r="Q796" s="37">
        <f>SUM(N796:P796)</f>
        <v>0</v>
      </c>
      <c r="R796" s="37">
        <f>+E796+I796+M796+Q796</f>
        <v>0</v>
      </c>
    </row>
    <row r="797" spans="1:18" ht="15.75" customHeight="1" x14ac:dyDescent="0.3">
      <c r="A797" s="234" t="s">
        <v>1172</v>
      </c>
      <c r="B797" s="10"/>
      <c r="C797" s="10"/>
      <c r="D797" s="10"/>
      <c r="E797" s="38" t="s">
        <v>852</v>
      </c>
      <c r="F797" s="10"/>
      <c r="G797" s="10"/>
      <c r="H797" s="10"/>
      <c r="I797" s="38" t="s">
        <v>852</v>
      </c>
      <c r="J797" s="10"/>
      <c r="K797" s="10"/>
      <c r="L797" s="10"/>
      <c r="M797" s="38" t="s">
        <v>852</v>
      </c>
      <c r="N797" s="10"/>
      <c r="O797" s="10"/>
      <c r="P797" s="10"/>
      <c r="Q797" s="38" t="s">
        <v>852</v>
      </c>
      <c r="R797" s="38" t="s">
        <v>852</v>
      </c>
    </row>
    <row r="798" spans="1:18" ht="15.75" customHeight="1" x14ac:dyDescent="0.3">
      <c r="A798" s="234" t="s">
        <v>2409</v>
      </c>
      <c r="B798" s="10"/>
      <c r="C798" s="10"/>
      <c r="D798" s="10"/>
      <c r="E798" s="38" t="s">
        <v>852</v>
      </c>
      <c r="F798" s="10"/>
      <c r="G798" s="10"/>
      <c r="H798" s="10"/>
      <c r="I798" s="38" t="s">
        <v>852</v>
      </c>
      <c r="J798" s="10"/>
      <c r="K798" s="10"/>
      <c r="L798" s="10"/>
      <c r="M798" s="38" t="s">
        <v>852</v>
      </c>
      <c r="N798" s="10"/>
      <c r="O798" s="10"/>
      <c r="P798" s="10"/>
      <c r="Q798" s="38" t="s">
        <v>852</v>
      </c>
      <c r="R798" s="38" t="s">
        <v>852</v>
      </c>
    </row>
    <row r="799" spans="1:18" ht="15.75" customHeight="1" thickBot="1" x14ac:dyDescent="0.35">
      <c r="A799" s="234" t="s">
        <v>2165</v>
      </c>
      <c r="B799" s="10"/>
      <c r="C799" s="10"/>
      <c r="D799" s="10"/>
      <c r="E799" s="38" t="s">
        <v>852</v>
      </c>
      <c r="F799" s="10"/>
      <c r="G799" s="10"/>
      <c r="H799" s="10"/>
      <c r="I799" s="38" t="s">
        <v>852</v>
      </c>
      <c r="J799" s="10"/>
      <c r="K799" s="10"/>
      <c r="L799" s="10"/>
      <c r="M799" s="38" t="s">
        <v>852</v>
      </c>
      <c r="N799" s="10"/>
      <c r="O799" s="10"/>
      <c r="P799" s="10"/>
      <c r="Q799" s="38" t="s">
        <v>852</v>
      </c>
      <c r="R799" s="38" t="s">
        <v>852</v>
      </c>
    </row>
    <row r="800" spans="1:18" ht="16.5" customHeight="1" thickBot="1" x14ac:dyDescent="0.35">
      <c r="A800" s="43" t="s">
        <v>1219</v>
      </c>
      <c r="B800" s="45">
        <f>SUM(B797:B799)</f>
        <v>0</v>
      </c>
      <c r="C800" s="46">
        <f>SUM(C797:C799)</f>
        <v>0</v>
      </c>
      <c r="D800" s="46">
        <f>SUM(D797:D799)</f>
        <v>0</v>
      </c>
      <c r="E800" s="37">
        <f>SUM(B800:D800)</f>
        <v>0</v>
      </c>
      <c r="F800" s="46">
        <f>SUM(F797:F799)</f>
        <v>0</v>
      </c>
      <c r="G800" s="46">
        <f>SUM(G797:G799)</f>
        <v>0</v>
      </c>
      <c r="H800" s="46">
        <f>SUM(H797:H799)</f>
        <v>0</v>
      </c>
      <c r="I800" s="37">
        <f>SUM(F800:H800)</f>
        <v>0</v>
      </c>
      <c r="J800" s="46">
        <f>SUM(J797:J799)</f>
        <v>0</v>
      </c>
      <c r="K800" s="46">
        <f>SUM(K797:K799)</f>
        <v>0</v>
      </c>
      <c r="L800" s="46">
        <f>SUM(L797:L799)</f>
        <v>0</v>
      </c>
      <c r="M800" s="37">
        <f>SUM(J800:L800)</f>
        <v>0</v>
      </c>
      <c r="N800" s="46">
        <f>SUM(N797:N799)</f>
        <v>0</v>
      </c>
      <c r="O800" s="46">
        <f>SUM(O797:O799)</f>
        <v>0</v>
      </c>
      <c r="P800" s="46">
        <f>SUM(P797:P799)</f>
        <v>0</v>
      </c>
      <c r="Q800" s="37">
        <f>SUM(N800:P800)</f>
        <v>0</v>
      </c>
      <c r="R800" s="37">
        <f>+E800+I800+M800+Q800</f>
        <v>0</v>
      </c>
    </row>
    <row r="801" spans="1:18" ht="15.75" customHeight="1" x14ac:dyDescent="0.3">
      <c r="A801" s="234" t="s">
        <v>2166</v>
      </c>
      <c r="B801" s="10"/>
      <c r="C801" s="10"/>
      <c r="D801" s="10"/>
      <c r="E801" s="38" t="s">
        <v>852</v>
      </c>
      <c r="F801" s="10"/>
      <c r="G801" s="10"/>
      <c r="H801" s="10"/>
      <c r="I801" s="38" t="s">
        <v>852</v>
      </c>
      <c r="J801" s="10"/>
      <c r="K801" s="10"/>
      <c r="L801" s="10"/>
      <c r="M801" s="38" t="s">
        <v>852</v>
      </c>
      <c r="N801" s="10"/>
      <c r="O801" s="10"/>
      <c r="P801" s="10"/>
      <c r="Q801" s="38" t="s">
        <v>852</v>
      </c>
      <c r="R801" s="38" t="s">
        <v>852</v>
      </c>
    </row>
    <row r="802" spans="1:18" ht="15.75" customHeight="1" x14ac:dyDescent="0.3">
      <c r="A802" s="234" t="s">
        <v>1245</v>
      </c>
      <c r="B802" s="10"/>
      <c r="C802" s="10"/>
      <c r="D802" s="10"/>
      <c r="E802" s="38" t="s">
        <v>852</v>
      </c>
      <c r="F802" s="10"/>
      <c r="G802" s="10"/>
      <c r="H802" s="10"/>
      <c r="I802" s="38" t="s">
        <v>852</v>
      </c>
      <c r="J802" s="10"/>
      <c r="K802" s="10"/>
      <c r="L802" s="10"/>
      <c r="M802" s="38" t="s">
        <v>852</v>
      </c>
      <c r="N802" s="10"/>
      <c r="O802" s="10"/>
      <c r="P802" s="10"/>
      <c r="Q802" s="38" t="s">
        <v>852</v>
      </c>
      <c r="R802" s="38" t="s">
        <v>852</v>
      </c>
    </row>
    <row r="803" spans="1:18" ht="15.75" customHeight="1" thickBot="1" x14ac:dyDescent="0.35">
      <c r="A803" s="234" t="s">
        <v>1711</v>
      </c>
      <c r="B803" s="10"/>
      <c r="C803" s="10"/>
      <c r="D803" s="10"/>
      <c r="E803" s="38" t="s">
        <v>852</v>
      </c>
      <c r="F803" s="10"/>
      <c r="G803" s="10"/>
      <c r="H803" s="10"/>
      <c r="I803" s="38" t="s">
        <v>852</v>
      </c>
      <c r="J803" s="10"/>
      <c r="K803" s="10"/>
      <c r="L803" s="10"/>
      <c r="M803" s="38" t="s">
        <v>852</v>
      </c>
      <c r="N803" s="10"/>
      <c r="O803" s="10"/>
      <c r="P803" s="10"/>
      <c r="Q803" s="38" t="s">
        <v>852</v>
      </c>
      <c r="R803" s="38" t="s">
        <v>852</v>
      </c>
    </row>
    <row r="804" spans="1:18" ht="16.5" customHeight="1" thickBot="1" x14ac:dyDescent="0.35">
      <c r="A804" s="43" t="s">
        <v>1220</v>
      </c>
      <c r="B804" s="45">
        <f>SUM(B801:B803)</f>
        <v>0</v>
      </c>
      <c r="C804" s="46">
        <f>SUM(C801:C803)</f>
        <v>0</v>
      </c>
      <c r="D804" s="46">
        <f>SUM(D801:D803)</f>
        <v>0</v>
      </c>
      <c r="E804" s="37">
        <f>SUM(B804:D804)</f>
        <v>0</v>
      </c>
      <c r="F804" s="46">
        <f>SUM(F801:F803)</f>
        <v>0</v>
      </c>
      <c r="G804" s="46">
        <f>SUM(G801:G803)</f>
        <v>0</v>
      </c>
      <c r="H804" s="46">
        <f>SUM(H801:H803)</f>
        <v>0</v>
      </c>
      <c r="I804" s="37">
        <f>SUM(F804:H804)</f>
        <v>0</v>
      </c>
      <c r="J804" s="46">
        <f>SUM(J801:J803)</f>
        <v>0</v>
      </c>
      <c r="K804" s="46">
        <f>SUM(K801:K803)</f>
        <v>0</v>
      </c>
      <c r="L804" s="46">
        <f>SUM(L801:L803)</f>
        <v>0</v>
      </c>
      <c r="M804" s="37">
        <f>SUM(J804:L804)</f>
        <v>0</v>
      </c>
      <c r="N804" s="46">
        <f>SUM(N801:N803)</f>
        <v>0</v>
      </c>
      <c r="O804" s="46">
        <f>SUM(O801:O803)</f>
        <v>0</v>
      </c>
      <c r="P804" s="46">
        <f>SUM(P801:P803)</f>
        <v>0</v>
      </c>
      <c r="Q804" s="37">
        <f>SUM(N804:P804)</f>
        <v>0</v>
      </c>
      <c r="R804" s="37">
        <f>+E804+I804+M804+Q804</f>
        <v>0</v>
      </c>
    </row>
    <row r="805" spans="1:18" ht="15.75" customHeight="1" x14ac:dyDescent="0.3">
      <c r="A805" s="234" t="s">
        <v>1712</v>
      </c>
      <c r="B805" s="10"/>
      <c r="C805" s="10"/>
      <c r="D805" s="10"/>
      <c r="E805" s="38" t="s">
        <v>852</v>
      </c>
      <c r="F805" s="10"/>
      <c r="G805" s="10"/>
      <c r="H805" s="10"/>
      <c r="I805" s="38" t="s">
        <v>852</v>
      </c>
      <c r="J805" s="10"/>
      <c r="K805" s="10"/>
      <c r="L805" s="10"/>
      <c r="M805" s="38" t="s">
        <v>852</v>
      </c>
      <c r="N805" s="10"/>
      <c r="O805" s="10"/>
      <c r="P805" s="10"/>
      <c r="Q805" s="38" t="s">
        <v>852</v>
      </c>
      <c r="R805" s="38" t="s">
        <v>852</v>
      </c>
    </row>
    <row r="806" spans="1:18" ht="15.75" customHeight="1" x14ac:dyDescent="0.3">
      <c r="A806" s="234" t="s">
        <v>1021</v>
      </c>
      <c r="B806" s="10"/>
      <c r="C806" s="10"/>
      <c r="D806" s="10"/>
      <c r="E806" s="38" t="s">
        <v>852</v>
      </c>
      <c r="F806" s="10"/>
      <c r="G806" s="10"/>
      <c r="H806" s="10"/>
      <c r="I806" s="38" t="s">
        <v>852</v>
      </c>
      <c r="J806" s="10"/>
      <c r="K806" s="10"/>
      <c r="L806" s="10"/>
      <c r="M806" s="38" t="s">
        <v>852</v>
      </c>
      <c r="N806" s="10"/>
      <c r="O806" s="10"/>
      <c r="P806" s="10"/>
      <c r="Q806" s="38" t="s">
        <v>852</v>
      </c>
      <c r="R806" s="38" t="s">
        <v>852</v>
      </c>
    </row>
    <row r="807" spans="1:18" ht="15.75" customHeight="1" x14ac:dyDescent="0.3">
      <c r="A807" s="234" t="s">
        <v>557</v>
      </c>
      <c r="B807" s="10"/>
      <c r="C807" s="10"/>
      <c r="D807" s="10"/>
      <c r="E807" s="38" t="s">
        <v>852</v>
      </c>
      <c r="F807" s="10"/>
      <c r="G807" s="10"/>
      <c r="H807" s="10"/>
      <c r="I807" s="38" t="s">
        <v>852</v>
      </c>
      <c r="J807" s="10"/>
      <c r="K807" s="10"/>
      <c r="L807" s="10"/>
      <c r="M807" s="38" t="s">
        <v>852</v>
      </c>
      <c r="N807" s="10"/>
      <c r="O807" s="10"/>
      <c r="P807" s="10"/>
      <c r="Q807" s="38" t="s">
        <v>852</v>
      </c>
      <c r="R807" s="38" t="s">
        <v>852</v>
      </c>
    </row>
    <row r="808" spans="1:18" ht="15.75" customHeight="1" x14ac:dyDescent="0.3">
      <c r="A808" s="234" t="s">
        <v>1022</v>
      </c>
      <c r="B808" s="10"/>
      <c r="C808" s="10"/>
      <c r="D808" s="10"/>
      <c r="E808" s="38" t="s">
        <v>852</v>
      </c>
      <c r="F808" s="10"/>
      <c r="G808" s="10"/>
      <c r="H808" s="10"/>
      <c r="I808" s="38" t="s">
        <v>852</v>
      </c>
      <c r="J808" s="10"/>
      <c r="K808" s="10"/>
      <c r="L808" s="10"/>
      <c r="M808" s="38" t="s">
        <v>852</v>
      </c>
      <c r="N808" s="10"/>
      <c r="O808" s="10"/>
      <c r="P808" s="10"/>
      <c r="Q808" s="38" t="s">
        <v>852</v>
      </c>
      <c r="R808" s="38" t="s">
        <v>852</v>
      </c>
    </row>
    <row r="809" spans="1:18" ht="15.75" customHeight="1" thickBot="1" x14ac:dyDescent="0.35">
      <c r="A809" s="234" t="s">
        <v>559</v>
      </c>
      <c r="B809" s="10"/>
      <c r="C809" s="10"/>
      <c r="D809" s="10"/>
      <c r="E809" s="38" t="s">
        <v>852</v>
      </c>
      <c r="F809" s="10"/>
      <c r="G809" s="10"/>
      <c r="H809" s="10"/>
      <c r="I809" s="38" t="s">
        <v>852</v>
      </c>
      <c r="J809" s="10"/>
      <c r="K809" s="10"/>
      <c r="L809" s="10"/>
      <c r="M809" s="38" t="s">
        <v>852</v>
      </c>
      <c r="N809" s="10"/>
      <c r="O809" s="10"/>
      <c r="P809" s="10"/>
      <c r="Q809" s="38" t="s">
        <v>852</v>
      </c>
      <c r="R809" s="38" t="s">
        <v>852</v>
      </c>
    </row>
    <row r="810" spans="1:18" ht="16.5" customHeight="1" thickBot="1" x14ac:dyDescent="0.35">
      <c r="A810" s="43" t="s">
        <v>1019</v>
      </c>
      <c r="B810" s="42">
        <f>SUM(B808:B809)</f>
        <v>0</v>
      </c>
      <c r="C810" s="42">
        <f>SUM(C808:C809)</f>
        <v>0</v>
      </c>
      <c r="D810" s="42">
        <f>SUM(D808:D809)</f>
        <v>0</v>
      </c>
      <c r="E810" s="39">
        <f>SUM(B810:D810)</f>
        <v>0</v>
      </c>
      <c r="F810" s="42">
        <f>SUM(F808:F809)</f>
        <v>0</v>
      </c>
      <c r="G810" s="42">
        <f>SUM(G808:G809)</f>
        <v>0</v>
      </c>
      <c r="H810" s="42">
        <f>SUM(H808:H809)</f>
        <v>0</v>
      </c>
      <c r="I810" s="39">
        <f>SUM(F810:H810)</f>
        <v>0</v>
      </c>
      <c r="J810" s="42">
        <f>SUM(J808:J809)</f>
        <v>0</v>
      </c>
      <c r="K810" s="42">
        <f>SUM(K808:K809)</f>
        <v>0</v>
      </c>
      <c r="L810" s="42">
        <f>SUM(L808:L809)</f>
        <v>0</v>
      </c>
      <c r="M810" s="39">
        <f>SUM(J810:L810)</f>
        <v>0</v>
      </c>
      <c r="N810" s="42">
        <f>SUM(N808:N809)</f>
        <v>0</v>
      </c>
      <c r="O810" s="42">
        <f>SUM(O808:O809)</f>
        <v>0</v>
      </c>
      <c r="P810" s="42">
        <f>SUM(P808:P809)</f>
        <v>0</v>
      </c>
      <c r="Q810" s="39">
        <f>SUM(N810:P810)</f>
        <v>0</v>
      </c>
      <c r="R810" s="37">
        <f>+E810+I810+M810+Q810</f>
        <v>0</v>
      </c>
    </row>
    <row r="811" spans="1:18" ht="16.5" customHeight="1" thickBot="1" x14ac:dyDescent="0.35">
      <c r="A811" s="43" t="s">
        <v>1221</v>
      </c>
      <c r="B811" s="45">
        <f>SUM(B805:B809)</f>
        <v>0</v>
      </c>
      <c r="C811" s="46">
        <f>SUM(C805:C809)</f>
        <v>0</v>
      </c>
      <c r="D811" s="58">
        <f>SUM(D805:D809)</f>
        <v>0</v>
      </c>
      <c r="E811" s="39">
        <f>SUM(B811:D811)</f>
        <v>0</v>
      </c>
      <c r="F811" s="46">
        <f>SUM(F805:F809)</f>
        <v>0</v>
      </c>
      <c r="G811" s="46">
        <f>SUM(G805:G809)</f>
        <v>0</v>
      </c>
      <c r="H811" s="46">
        <f>SUM(H805:H809)</f>
        <v>0</v>
      </c>
      <c r="I811" s="39">
        <f>SUM(F811:H811)</f>
        <v>0</v>
      </c>
      <c r="J811" s="46">
        <f>SUM(J805:J809)</f>
        <v>0</v>
      </c>
      <c r="K811" s="46">
        <f>SUM(K805:K809)</f>
        <v>0</v>
      </c>
      <c r="L811" s="46">
        <f>SUM(L805:L809)</f>
        <v>0</v>
      </c>
      <c r="M811" s="39">
        <f>SUM(J811:L811)</f>
        <v>0</v>
      </c>
      <c r="N811" s="46">
        <f>SUM(N805:N809)</f>
        <v>0</v>
      </c>
      <c r="O811" s="46">
        <f>SUM(O805:O809)</f>
        <v>0</v>
      </c>
      <c r="P811" s="46">
        <f>SUM(P805:P809)</f>
        <v>0</v>
      </c>
      <c r="Q811" s="39">
        <f>SUM(N811:P811)</f>
        <v>0</v>
      </c>
      <c r="R811" s="37">
        <f>+E811+I811+M811+Q811</f>
        <v>0</v>
      </c>
    </row>
    <row r="812" spans="1:18" ht="16.5" customHeight="1" thickBot="1" x14ac:dyDescent="0.35">
      <c r="A812" s="43" t="s">
        <v>1222</v>
      </c>
      <c r="B812" s="47">
        <f>+B796+B800+B804+B811</f>
        <v>0</v>
      </c>
      <c r="C812" s="42">
        <f>+C796+C800+C804+C811</f>
        <v>0</v>
      </c>
      <c r="D812" s="42">
        <f>+D796+D800+D804+D811</f>
        <v>0</v>
      </c>
      <c r="E812" s="37">
        <f>SUM(B812:D812)</f>
        <v>0</v>
      </c>
      <c r="F812" s="42">
        <f>+F796+F800+F804+F811</f>
        <v>0</v>
      </c>
      <c r="G812" s="42">
        <f>+G796+G800+G804+G811</f>
        <v>0</v>
      </c>
      <c r="H812" s="42">
        <f>+H796+H800+H804+H811</f>
        <v>0</v>
      </c>
      <c r="I812" s="37">
        <f>SUM(F812:H812)</f>
        <v>0</v>
      </c>
      <c r="J812" s="42">
        <f>+J796+J800+J804+J811</f>
        <v>0</v>
      </c>
      <c r="K812" s="42">
        <f>+K796+K800+K804+K811</f>
        <v>0</v>
      </c>
      <c r="L812" s="42">
        <f>+L796+L800+L804+L811</f>
        <v>0</v>
      </c>
      <c r="M812" s="37">
        <f>SUM(J812:L812)</f>
        <v>0</v>
      </c>
      <c r="N812" s="42">
        <f>+N796+N800+N804+N811</f>
        <v>0</v>
      </c>
      <c r="O812" s="42">
        <f>+O796+O800+O804+O811</f>
        <v>0</v>
      </c>
      <c r="P812" s="42">
        <f>+P796+P800+P804+P811</f>
        <v>0</v>
      </c>
      <c r="Q812" s="37">
        <f>SUM(N812:P812)</f>
        <v>0</v>
      </c>
      <c r="R812" s="40">
        <f>+E812+I812+M812+Q812</f>
        <v>0</v>
      </c>
    </row>
    <row r="813" spans="1:18" ht="15.75" customHeight="1" x14ac:dyDescent="0.3">
      <c r="A813" s="310" t="s">
        <v>2117</v>
      </c>
      <c r="B813" s="10">
        <v>3805</v>
      </c>
      <c r="C813" s="10">
        <v>3805</v>
      </c>
      <c r="D813" s="10">
        <v>4757</v>
      </c>
      <c r="E813" s="38">
        <f>SUM(B813:D813)</f>
        <v>12367</v>
      </c>
      <c r="F813" s="10">
        <v>5708</v>
      </c>
      <c r="G813" s="10">
        <v>6659</v>
      </c>
      <c r="H813" s="10">
        <v>6850</v>
      </c>
      <c r="I813" s="38">
        <f>SUM(F813:H813)</f>
        <v>19217</v>
      </c>
      <c r="J813" s="10">
        <v>6184</v>
      </c>
      <c r="K813" s="10">
        <v>5708</v>
      </c>
      <c r="L813" s="10">
        <v>5232</v>
      </c>
      <c r="M813" s="38">
        <f>SUM(J813:L813)</f>
        <v>17124</v>
      </c>
      <c r="N813" s="10">
        <v>4757</v>
      </c>
      <c r="O813" s="10">
        <v>4281</v>
      </c>
      <c r="P813" s="10">
        <v>3805</v>
      </c>
      <c r="Q813" s="38">
        <f>SUM(N813:P813)</f>
        <v>12843</v>
      </c>
      <c r="R813" s="38">
        <f>+E813+I813+M813+Q813</f>
        <v>61551</v>
      </c>
    </row>
    <row r="814" spans="1:18" ht="15.75" customHeight="1" thickBot="1" x14ac:dyDescent="0.35">
      <c r="A814" s="310" t="s">
        <v>853</v>
      </c>
      <c r="B814" s="10">
        <v>0</v>
      </c>
      <c r="C814" s="10">
        <v>0</v>
      </c>
      <c r="D814" s="10">
        <v>0</v>
      </c>
      <c r="E814" s="38">
        <f>SUM(B814:D814)</f>
        <v>0</v>
      </c>
      <c r="F814" s="10">
        <v>0</v>
      </c>
      <c r="G814" s="10">
        <v>0</v>
      </c>
      <c r="H814" s="10">
        <v>0</v>
      </c>
      <c r="I814" s="38">
        <f>SUM(F814:H814)</f>
        <v>0</v>
      </c>
      <c r="J814" s="10">
        <v>0</v>
      </c>
      <c r="K814" s="10">
        <v>0</v>
      </c>
      <c r="L814" s="10">
        <v>0</v>
      </c>
      <c r="M814" s="38">
        <f>SUM(J814:L814)</f>
        <v>0</v>
      </c>
      <c r="N814" s="10">
        <v>0</v>
      </c>
      <c r="O814" s="10">
        <v>0</v>
      </c>
      <c r="P814" s="10">
        <v>0</v>
      </c>
      <c r="Q814" s="38">
        <f>SUM(N814:P814)</f>
        <v>0</v>
      </c>
      <c r="R814" s="38">
        <f>+E814+I814+M814+Q814</f>
        <v>0</v>
      </c>
    </row>
    <row r="815" spans="1:18" ht="16.5" customHeight="1" thickBot="1" x14ac:dyDescent="0.35">
      <c r="A815" s="281"/>
      <c r="B815" s="301"/>
      <c r="C815" s="301"/>
      <c r="D815" s="301"/>
      <c r="E815" s="37" t="s">
        <v>852</v>
      </c>
      <c r="F815" s="301"/>
      <c r="G815" s="301"/>
      <c r="H815" s="301"/>
      <c r="I815" s="37" t="s">
        <v>852</v>
      </c>
      <c r="J815" s="301"/>
      <c r="K815" s="301"/>
      <c r="L815" s="301"/>
      <c r="M815" s="37" t="s">
        <v>852</v>
      </c>
      <c r="N815" s="301"/>
      <c r="O815" s="301"/>
      <c r="P815" s="301"/>
      <c r="Q815" s="37"/>
      <c r="R815" s="37"/>
    </row>
    <row r="816" spans="1:18" ht="15.75" customHeight="1" x14ac:dyDescent="0.3">
      <c r="A816" s="234" t="s">
        <v>2011</v>
      </c>
      <c r="B816" s="10">
        <f>SUM(B812:B814)</f>
        <v>3805</v>
      </c>
      <c r="C816" s="10">
        <f>SUM(C812:C814)</f>
        <v>3805</v>
      </c>
      <c r="D816" s="10">
        <f>SUM(D812:D814)</f>
        <v>4757</v>
      </c>
      <c r="E816" s="39">
        <f>SUM(B816:D816)</f>
        <v>12367</v>
      </c>
      <c r="F816" s="10">
        <f>SUM(F812:F814)</f>
        <v>5708</v>
      </c>
      <c r="G816" s="10">
        <f>SUM(G812:G814)</f>
        <v>6659</v>
      </c>
      <c r="H816" s="10">
        <f>SUM(H812:H814)</f>
        <v>6850</v>
      </c>
      <c r="I816" s="39">
        <f>SUM(F816:H816)</f>
        <v>19217</v>
      </c>
      <c r="J816" s="10">
        <f>SUM(J812:J814)</f>
        <v>6184</v>
      </c>
      <c r="K816" s="10">
        <f>SUM(K812:K814)</f>
        <v>5708</v>
      </c>
      <c r="L816" s="10">
        <f>SUM(L812:L814)</f>
        <v>5232</v>
      </c>
      <c r="M816" s="39">
        <f>SUM(J816:L816)</f>
        <v>17124</v>
      </c>
      <c r="N816" s="10">
        <f>SUM(N812:N814)</f>
        <v>4757</v>
      </c>
      <c r="O816" s="10">
        <f>SUM(O812:O814)</f>
        <v>4281</v>
      </c>
      <c r="P816" s="10">
        <f>SUM(P812:P814)</f>
        <v>3805</v>
      </c>
      <c r="Q816" s="39">
        <f>SUM(N816:P816)</f>
        <v>12843</v>
      </c>
      <c r="R816" s="39">
        <f>+E816+I816+M816+Q816</f>
        <v>61551</v>
      </c>
    </row>
    <row r="817" spans="1:20" ht="15.75" customHeight="1" x14ac:dyDescent="0.3">
      <c r="A817" s="234" t="s">
        <v>1897</v>
      </c>
      <c r="B817" s="10">
        <f>(B816/B10)/1.983</f>
        <v>61.897093032713542</v>
      </c>
      <c r="C817" s="10">
        <f>(C816/C10)/1.983</f>
        <v>68.528924429075715</v>
      </c>
      <c r="D817" s="10">
        <f>(D816/D10)/1.983</f>
        <v>77.383566769150676</v>
      </c>
      <c r="E817" s="38" t="s">
        <v>852</v>
      </c>
      <c r="F817" s="10">
        <f>(F816/F10)/1.983</f>
        <v>95.948898974617592</v>
      </c>
      <c r="G817" s="10">
        <f>(G816/G10)/1.983</f>
        <v>108.32397963333496</v>
      </c>
      <c r="H817" s="10">
        <f>(H816/H10)/1.983</f>
        <v>115.14540258867036</v>
      </c>
      <c r="I817" s="38" t="s">
        <v>852</v>
      </c>
      <c r="J817" s="10">
        <f>(J816/J10)/1.983</f>
        <v>100.59701006946138</v>
      </c>
      <c r="K817" s="10">
        <f>(K816/K10)/1.983</f>
        <v>92.853773201242817</v>
      </c>
      <c r="L817" s="10">
        <f>(L816/L10)/1.983</f>
        <v>87.947554210791722</v>
      </c>
      <c r="M817" s="38" t="s">
        <v>852</v>
      </c>
      <c r="N817" s="10">
        <f>(N816/N10)/1.983</f>
        <v>77.383566769150676</v>
      </c>
      <c r="O817" s="10">
        <f>(O816/O10)/1.983</f>
        <v>71.961674230963183</v>
      </c>
      <c r="P817" s="10">
        <f>(P816/P10)/1.983</f>
        <v>61.897093032713542</v>
      </c>
      <c r="Q817" s="38" t="s">
        <v>852</v>
      </c>
      <c r="R817" s="38" t="s">
        <v>852</v>
      </c>
    </row>
    <row r="818" spans="1:20" ht="15.75" customHeight="1" x14ac:dyDescent="0.3">
      <c r="A818" s="234" t="s">
        <v>647</v>
      </c>
      <c r="B818" s="10">
        <f>B816</f>
        <v>3805</v>
      </c>
      <c r="C818" s="10">
        <f>C816</f>
        <v>3805</v>
      </c>
      <c r="D818" s="10">
        <f>D816</f>
        <v>4757</v>
      </c>
      <c r="E818" s="38">
        <f>SUM(B818:D818)</f>
        <v>12367</v>
      </c>
      <c r="F818" s="10">
        <f>F816</f>
        <v>5708</v>
      </c>
      <c r="G818" s="10">
        <f>G816</f>
        <v>6659</v>
      </c>
      <c r="H818" s="10">
        <f>H816</f>
        <v>6850</v>
      </c>
      <c r="I818" s="38">
        <f>SUM(F818:H818)</f>
        <v>19217</v>
      </c>
      <c r="J818" s="10">
        <f>J816</f>
        <v>6184</v>
      </c>
      <c r="K818" s="10">
        <f>K816</f>
        <v>5708</v>
      </c>
      <c r="L818" s="10">
        <f>L816</f>
        <v>5232</v>
      </c>
      <c r="M818" s="38">
        <f>SUM(J818:L818)</f>
        <v>17124</v>
      </c>
      <c r="N818" s="10">
        <f>N816</f>
        <v>4757</v>
      </c>
      <c r="O818" s="10">
        <f>O816</f>
        <v>4281</v>
      </c>
      <c r="P818" s="10">
        <f>P816</f>
        <v>3805</v>
      </c>
      <c r="Q818" s="38">
        <f>SUM(N818:P818)</f>
        <v>12843</v>
      </c>
      <c r="R818" s="38">
        <f>+E818+I818+M818+Q818</f>
        <v>61551</v>
      </c>
    </row>
    <row r="819" spans="1:20" ht="16.5" customHeight="1" thickBot="1" x14ac:dyDescent="0.35">
      <c r="A819" s="237" t="s">
        <v>2191</v>
      </c>
      <c r="B819" s="294">
        <f>(B818/B10)/1.983</f>
        <v>61.897093032713542</v>
      </c>
      <c r="C819" s="294">
        <f>(C818/C10)/1.983</f>
        <v>68.528924429075715</v>
      </c>
      <c r="D819" s="294">
        <f>(D818/D10)/1.983</f>
        <v>77.383566769150676</v>
      </c>
      <c r="E819" s="40" t="s">
        <v>852</v>
      </c>
      <c r="F819" s="294">
        <f>(F818/F10)/1.983</f>
        <v>95.948898974617592</v>
      </c>
      <c r="G819" s="294">
        <f>(G818/G10)/1.983</f>
        <v>108.32397963333496</v>
      </c>
      <c r="H819" s="294">
        <f>(H818/H10)/1.983</f>
        <v>115.14540258867036</v>
      </c>
      <c r="I819" s="40" t="s">
        <v>852</v>
      </c>
      <c r="J819" s="294">
        <f>(J818/J10)/1.983</f>
        <v>100.59701006946138</v>
      </c>
      <c r="K819" s="294">
        <f>(K818/K10)/1.983</f>
        <v>92.853773201242817</v>
      </c>
      <c r="L819" s="294">
        <f>(L818/L10)/1.983</f>
        <v>87.947554210791722</v>
      </c>
      <c r="M819" s="40" t="s">
        <v>852</v>
      </c>
      <c r="N819" s="294">
        <f>(N818/N10)/1.983</f>
        <v>77.383566769150676</v>
      </c>
      <c r="O819" s="294">
        <f>(O818/O10)/1.983</f>
        <v>71.961674230963183</v>
      </c>
      <c r="P819" s="294">
        <f>(P818/P10)/1.983</f>
        <v>61.897093032713542</v>
      </c>
      <c r="Q819" s="40" t="s">
        <v>852</v>
      </c>
      <c r="R819" s="40" t="s">
        <v>852</v>
      </c>
    </row>
    <row r="820" spans="1:20" ht="15.75" customHeight="1" x14ac:dyDescent="0.3">
      <c r="A820" s="17"/>
      <c r="B820" s="10"/>
      <c r="C820" s="10"/>
      <c r="D820" s="10"/>
      <c r="E820" s="10"/>
      <c r="F820" s="10"/>
      <c r="G820" s="10"/>
      <c r="H820" s="10"/>
      <c r="I820" s="10"/>
      <c r="J820" s="10"/>
      <c r="K820" s="10"/>
      <c r="L820" s="10"/>
      <c r="M820" s="10"/>
      <c r="N820" s="10"/>
      <c r="O820" s="10"/>
      <c r="P820" s="10"/>
      <c r="Q820" s="10"/>
      <c r="R820" s="17"/>
    </row>
    <row r="821" spans="1:20" ht="15.75" customHeight="1" thickBot="1" x14ac:dyDescent="0.35">
      <c r="A821" s="17"/>
      <c r="B821" s="10"/>
      <c r="C821" s="10"/>
      <c r="D821" s="10"/>
      <c r="E821" s="10"/>
      <c r="F821" s="10"/>
      <c r="G821" s="10"/>
      <c r="H821" s="10"/>
      <c r="I821" s="10"/>
      <c r="J821" s="10"/>
      <c r="K821" s="10"/>
      <c r="L821" s="10"/>
      <c r="M821" s="10"/>
      <c r="N821" s="10"/>
      <c r="O821" s="10"/>
      <c r="P821" s="10"/>
      <c r="Q821" s="10"/>
      <c r="R821" s="17"/>
    </row>
    <row r="822" spans="1:20" ht="16.5" customHeight="1" thickBot="1" x14ac:dyDescent="0.35">
      <c r="A822" s="278" t="s">
        <v>2192</v>
      </c>
      <c r="B822" s="4" t="s">
        <v>2090</v>
      </c>
      <c r="C822" s="5" t="s">
        <v>2091</v>
      </c>
      <c r="D822" s="5" t="s">
        <v>2234</v>
      </c>
      <c r="E822" s="33" t="s">
        <v>1594</v>
      </c>
      <c r="F822" s="5" t="s">
        <v>2235</v>
      </c>
      <c r="G822" s="5" t="s">
        <v>2236</v>
      </c>
      <c r="H822" s="5" t="s">
        <v>2237</v>
      </c>
      <c r="I822" s="35" t="s">
        <v>1595</v>
      </c>
      <c r="J822" s="5" t="s">
        <v>1504</v>
      </c>
      <c r="K822" s="5" t="s">
        <v>1505</v>
      </c>
      <c r="L822" s="5" t="s">
        <v>1506</v>
      </c>
      <c r="M822" s="35" t="s">
        <v>1596</v>
      </c>
      <c r="N822" s="5" t="s">
        <v>1507</v>
      </c>
      <c r="O822" s="5" t="s">
        <v>1508</v>
      </c>
      <c r="P822" s="5" t="s">
        <v>1509</v>
      </c>
      <c r="Q822" s="35" t="s">
        <v>1597</v>
      </c>
      <c r="R822" s="60" t="s">
        <v>1510</v>
      </c>
    </row>
    <row r="823" spans="1:20" ht="16.5" customHeight="1" thickBot="1" x14ac:dyDescent="0.35">
      <c r="A823" s="22"/>
      <c r="B823" s="297"/>
      <c r="C823" s="297"/>
      <c r="D823" s="297"/>
      <c r="E823" s="302"/>
      <c r="F823" s="297"/>
      <c r="G823" s="297"/>
      <c r="H823" s="297"/>
      <c r="I823" s="325"/>
      <c r="J823" s="297"/>
      <c r="K823" s="297"/>
      <c r="L823" s="297"/>
      <c r="M823" s="325"/>
      <c r="N823" s="297"/>
      <c r="O823" s="297"/>
      <c r="P823" s="297"/>
      <c r="Q823" s="326"/>
      <c r="R823" s="61"/>
    </row>
    <row r="824" spans="1:20" ht="15.75" customHeight="1" x14ac:dyDescent="0.3">
      <c r="A824" s="234" t="s">
        <v>2417</v>
      </c>
      <c r="B824" s="10" t="s">
        <v>852</v>
      </c>
      <c r="C824" s="10" t="s">
        <v>852</v>
      </c>
      <c r="D824" s="10" t="s">
        <v>852</v>
      </c>
      <c r="E824" s="327"/>
      <c r="F824" s="10" t="s">
        <v>852</v>
      </c>
      <c r="G824" s="10" t="s">
        <v>852</v>
      </c>
      <c r="H824" s="10" t="s">
        <v>852</v>
      </c>
      <c r="I824" s="327"/>
      <c r="J824" s="10" t="s">
        <v>852</v>
      </c>
      <c r="K824" s="10" t="s">
        <v>852</v>
      </c>
      <c r="L824" s="10" t="s">
        <v>852</v>
      </c>
      <c r="M824" s="327"/>
      <c r="N824" s="10" t="s">
        <v>852</v>
      </c>
      <c r="O824" s="10" t="s">
        <v>852</v>
      </c>
      <c r="P824" s="10" t="s">
        <v>852</v>
      </c>
      <c r="Q824" s="328"/>
      <c r="R824" s="62" t="s">
        <v>852</v>
      </c>
    </row>
    <row r="825" spans="1:20" ht="15.75" customHeight="1" x14ac:dyDescent="0.3">
      <c r="A825" s="234" t="s">
        <v>2160</v>
      </c>
      <c r="B825" s="10"/>
      <c r="C825" s="10"/>
      <c r="D825" s="10"/>
      <c r="E825" s="38" t="s">
        <v>852</v>
      </c>
      <c r="F825" s="10"/>
      <c r="G825" s="10"/>
      <c r="H825" s="10"/>
      <c r="I825" s="38" t="s">
        <v>852</v>
      </c>
      <c r="J825" s="10"/>
      <c r="K825" s="10"/>
      <c r="L825" s="10"/>
      <c r="M825" s="38" t="s">
        <v>852</v>
      </c>
      <c r="N825" s="10"/>
      <c r="O825" s="10"/>
      <c r="P825" s="10"/>
      <c r="Q825" s="38" t="s">
        <v>852</v>
      </c>
      <c r="R825" s="38" t="s">
        <v>852</v>
      </c>
    </row>
    <row r="826" spans="1:20" ht="15.75" customHeight="1" x14ac:dyDescent="0.3">
      <c r="A826" s="539" t="s">
        <v>3095</v>
      </c>
      <c r="B826" s="10"/>
      <c r="C826" s="10"/>
      <c r="D826" s="10"/>
      <c r="E826" s="38">
        <f t="shared" ref="E826:E831" si="282">SUM(B826:D826)</f>
        <v>0</v>
      </c>
      <c r="F826" s="10"/>
      <c r="G826" s="10"/>
      <c r="H826" s="10"/>
      <c r="I826" s="38">
        <f t="shared" ref="I826:I831" si="283">SUM(F826:H826)</f>
        <v>0</v>
      </c>
      <c r="J826" s="10"/>
      <c r="K826" s="10"/>
      <c r="L826" s="10"/>
      <c r="M826" s="38">
        <f t="shared" ref="M826:M831" si="284">SUM(J826:L826)</f>
        <v>0</v>
      </c>
      <c r="N826" s="10"/>
      <c r="O826" s="10"/>
      <c r="P826" s="10"/>
      <c r="Q826" s="38">
        <f t="shared" ref="Q826:Q831" si="285">SUM(N826:P826)</f>
        <v>0</v>
      </c>
      <c r="R826" s="38">
        <f t="shared" ref="R826:R831" si="286">+E826+I826+M826+Q826</f>
        <v>0</v>
      </c>
      <c r="T826" t="s">
        <v>2765</v>
      </c>
    </row>
    <row r="827" spans="1:20" ht="15.75" customHeight="1" x14ac:dyDescent="0.3">
      <c r="A827" s="310" t="s">
        <v>1910</v>
      </c>
      <c r="B827" s="10"/>
      <c r="C827" s="10"/>
      <c r="D827" s="10"/>
      <c r="E827" s="38">
        <f t="shared" si="282"/>
        <v>0</v>
      </c>
      <c r="F827" s="10"/>
      <c r="G827" s="10"/>
      <c r="H827" s="10"/>
      <c r="I827" s="38">
        <f t="shared" si="283"/>
        <v>0</v>
      </c>
      <c r="J827" s="10"/>
      <c r="K827" s="10"/>
      <c r="L827" s="10"/>
      <c r="M827" s="38">
        <f t="shared" si="284"/>
        <v>0</v>
      </c>
      <c r="N827" s="10"/>
      <c r="O827" s="10"/>
      <c r="P827" s="10"/>
      <c r="Q827" s="38">
        <f t="shared" si="285"/>
        <v>0</v>
      </c>
      <c r="R827" s="38">
        <f t="shared" si="286"/>
        <v>0</v>
      </c>
    </row>
    <row r="828" spans="1:20" ht="15.75" customHeight="1" x14ac:dyDescent="0.3">
      <c r="A828" s="539" t="s">
        <v>604</v>
      </c>
      <c r="B828" s="10"/>
      <c r="C828" s="10"/>
      <c r="D828" s="10"/>
      <c r="E828" s="38">
        <f t="shared" si="282"/>
        <v>0</v>
      </c>
      <c r="F828" s="10"/>
      <c r="G828" s="10"/>
      <c r="H828" s="10"/>
      <c r="I828" s="38">
        <f t="shared" si="283"/>
        <v>0</v>
      </c>
      <c r="J828" s="10"/>
      <c r="K828" s="10"/>
      <c r="L828" s="10"/>
      <c r="M828" s="38">
        <f t="shared" si="284"/>
        <v>0</v>
      </c>
      <c r="N828" s="10"/>
      <c r="O828" s="10"/>
      <c r="P828" s="10"/>
      <c r="Q828" s="38">
        <f t="shared" si="285"/>
        <v>0</v>
      </c>
      <c r="R828" s="38">
        <f t="shared" si="286"/>
        <v>0</v>
      </c>
    </row>
    <row r="829" spans="1:20" ht="15.75" customHeight="1" x14ac:dyDescent="0.3">
      <c r="A829" s="539" t="s">
        <v>2996</v>
      </c>
      <c r="B829" s="10">
        <v>300</v>
      </c>
      <c r="C829" s="10"/>
      <c r="D829" s="10"/>
      <c r="E829" s="38">
        <f t="shared" si="282"/>
        <v>300</v>
      </c>
      <c r="F829" s="10"/>
      <c r="G829" s="10"/>
      <c r="H829" s="10"/>
      <c r="I829" s="38">
        <f t="shared" si="283"/>
        <v>0</v>
      </c>
      <c r="J829" s="10"/>
      <c r="K829" s="10"/>
      <c r="L829" s="10"/>
      <c r="M829" s="38">
        <f t="shared" si="284"/>
        <v>0</v>
      </c>
      <c r="N829" s="10"/>
      <c r="O829" s="10"/>
      <c r="P829" s="10"/>
      <c r="Q829" s="38">
        <f t="shared" si="285"/>
        <v>0</v>
      </c>
      <c r="R829" s="38">
        <f t="shared" si="286"/>
        <v>300</v>
      </c>
    </row>
    <row r="830" spans="1:20" ht="15.75" customHeight="1" x14ac:dyDescent="0.3">
      <c r="A830" s="539" t="s">
        <v>3401</v>
      </c>
      <c r="B830" s="10"/>
      <c r="C830" s="10"/>
      <c r="D830" s="10"/>
      <c r="E830" s="38">
        <f t="shared" si="282"/>
        <v>0</v>
      </c>
      <c r="F830" s="10"/>
      <c r="G830" s="10"/>
      <c r="H830" s="10"/>
      <c r="I830" s="38">
        <f t="shared" si="283"/>
        <v>0</v>
      </c>
      <c r="J830" s="10"/>
      <c r="K830" s="10">
        <v>1400</v>
      </c>
      <c r="L830" s="10">
        <v>1300</v>
      </c>
      <c r="M830" s="38">
        <f t="shared" si="284"/>
        <v>2700</v>
      </c>
      <c r="N830" s="10">
        <v>800</v>
      </c>
      <c r="O830" s="10"/>
      <c r="P830" s="10"/>
      <c r="Q830" s="38">
        <f t="shared" si="285"/>
        <v>800</v>
      </c>
      <c r="R830" s="38">
        <f t="shared" si="286"/>
        <v>3500</v>
      </c>
    </row>
    <row r="831" spans="1:20" ht="15.75" customHeight="1" x14ac:dyDescent="0.3">
      <c r="A831" s="539" t="s">
        <v>715</v>
      </c>
      <c r="B831" s="10">
        <v>2143</v>
      </c>
      <c r="C831" s="10">
        <v>2549</v>
      </c>
      <c r="D831" s="10">
        <v>2713</v>
      </c>
      <c r="E831" s="38">
        <f t="shared" si="282"/>
        <v>7405</v>
      </c>
      <c r="F831" s="10">
        <v>2536</v>
      </c>
      <c r="G831" s="10">
        <v>1947</v>
      </c>
      <c r="H831" s="10">
        <v>1792</v>
      </c>
      <c r="I831" s="38">
        <f t="shared" si="283"/>
        <v>6275</v>
      </c>
      <c r="J831" s="10">
        <v>2300</v>
      </c>
      <c r="K831" s="10">
        <v>2100</v>
      </c>
      <c r="L831" s="10">
        <v>1820</v>
      </c>
      <c r="M831" s="38">
        <f t="shared" si="284"/>
        <v>6220</v>
      </c>
      <c r="N831" s="10">
        <v>200</v>
      </c>
      <c r="O831" s="10">
        <v>200</v>
      </c>
      <c r="P831" s="10">
        <v>1700</v>
      </c>
      <c r="Q831" s="38">
        <f t="shared" si="285"/>
        <v>2100</v>
      </c>
      <c r="R831" s="38">
        <f t="shared" si="286"/>
        <v>22000</v>
      </c>
    </row>
    <row r="832" spans="1:20" ht="15.75" customHeight="1" x14ac:dyDescent="0.3">
      <c r="A832" s="234" t="s">
        <v>2161</v>
      </c>
      <c r="B832" s="10"/>
      <c r="C832" s="10"/>
      <c r="D832" s="10"/>
      <c r="E832" s="38" t="s">
        <v>852</v>
      </c>
      <c r="F832" s="10"/>
      <c r="G832" s="10"/>
      <c r="H832" s="10"/>
      <c r="I832" s="38" t="s">
        <v>852</v>
      </c>
      <c r="J832" s="10"/>
      <c r="K832" s="10"/>
      <c r="L832" s="10"/>
      <c r="M832" s="38" t="s">
        <v>852</v>
      </c>
      <c r="N832" s="10"/>
      <c r="O832" s="10"/>
      <c r="P832" s="10"/>
      <c r="Q832" s="38" t="s">
        <v>852</v>
      </c>
      <c r="R832" s="38" t="s">
        <v>852</v>
      </c>
    </row>
    <row r="833" spans="1:20" ht="15.75" customHeight="1" x14ac:dyDescent="0.3">
      <c r="A833" s="234" t="s">
        <v>3245</v>
      </c>
      <c r="B833" s="10"/>
      <c r="C833" s="10"/>
      <c r="D833" s="10"/>
      <c r="E833" s="38" t="s">
        <v>852</v>
      </c>
      <c r="F833" s="10"/>
      <c r="G833" s="10"/>
      <c r="H833" s="10"/>
      <c r="I833" s="38" t="s">
        <v>852</v>
      </c>
      <c r="J833" s="10"/>
      <c r="K833" s="10"/>
      <c r="L833" s="10"/>
      <c r="M833" s="38" t="s">
        <v>852</v>
      </c>
      <c r="N833" s="10"/>
      <c r="O833" s="10"/>
      <c r="P833" s="10"/>
      <c r="Q833" s="38" t="s">
        <v>852</v>
      </c>
      <c r="R833" s="38" t="s">
        <v>852</v>
      </c>
    </row>
    <row r="834" spans="1:20" ht="15.75" customHeight="1" x14ac:dyDescent="0.3">
      <c r="A834" s="539" t="s">
        <v>3266</v>
      </c>
      <c r="B834" s="10"/>
      <c r="C834" s="10"/>
      <c r="D834" s="10"/>
      <c r="E834" s="38">
        <f>SUM(B834:D834)</f>
        <v>0</v>
      </c>
      <c r="F834" s="10"/>
      <c r="G834" s="10"/>
      <c r="H834" s="10"/>
      <c r="I834" s="38">
        <f>SUM(F834:H834)</f>
        <v>0</v>
      </c>
      <c r="J834" s="10"/>
      <c r="K834" s="10"/>
      <c r="L834" s="10"/>
      <c r="M834" s="38">
        <f>SUM(J834:L834)</f>
        <v>0</v>
      </c>
      <c r="N834" s="10"/>
      <c r="O834" s="10"/>
      <c r="P834" s="10"/>
      <c r="Q834" s="38">
        <f>SUM(N834:P834)</f>
        <v>0</v>
      </c>
      <c r="R834" s="38">
        <f>+E834+I834+M834+Q834</f>
        <v>0</v>
      </c>
      <c r="S834" s="735" t="s">
        <v>3214</v>
      </c>
    </row>
    <row r="835" spans="1:20" ht="15.75" customHeight="1" thickBot="1" x14ac:dyDescent="0.35">
      <c r="A835" s="234" t="s">
        <v>2164</v>
      </c>
      <c r="B835" s="10"/>
      <c r="C835" s="10"/>
      <c r="D835" s="10"/>
      <c r="E835" s="38" t="s">
        <v>852</v>
      </c>
      <c r="F835" s="10"/>
      <c r="G835" s="10"/>
      <c r="H835" s="10"/>
      <c r="I835" s="38" t="s">
        <v>852</v>
      </c>
      <c r="J835" s="10"/>
      <c r="K835" s="10"/>
      <c r="L835" s="10"/>
      <c r="M835" s="38" t="s">
        <v>852</v>
      </c>
      <c r="N835" s="10"/>
      <c r="O835" s="10"/>
      <c r="P835" s="10"/>
      <c r="Q835" s="38" t="s">
        <v>852</v>
      </c>
      <c r="R835" s="38" t="s">
        <v>852</v>
      </c>
    </row>
    <row r="836" spans="1:20" ht="16.5" customHeight="1" thickBot="1" x14ac:dyDescent="0.35">
      <c r="A836" s="43" t="s">
        <v>1218</v>
      </c>
      <c r="B836" s="45">
        <f>SUM(B824:B835)</f>
        <v>2443</v>
      </c>
      <c r="C836" s="46">
        <f>SUM(C824:C835)</f>
        <v>2549</v>
      </c>
      <c r="D836" s="46">
        <f>SUM(D824:D835)</f>
        <v>2713</v>
      </c>
      <c r="E836" s="37">
        <f>SUM(B836:D836)</f>
        <v>7705</v>
      </c>
      <c r="F836" s="46">
        <f>SUM(F824:F835)</f>
        <v>2536</v>
      </c>
      <c r="G836" s="46">
        <f>SUM(G824:G835)</f>
        <v>1947</v>
      </c>
      <c r="H836" s="46">
        <f>SUM(H824:H835)</f>
        <v>1792</v>
      </c>
      <c r="I836" s="37">
        <f>SUM(F836:H836)</f>
        <v>6275</v>
      </c>
      <c r="J836" s="46">
        <f>SUM(J824:J835)</f>
        <v>2300</v>
      </c>
      <c r="K836" s="46">
        <f>SUM(K824:K835)</f>
        <v>3500</v>
      </c>
      <c r="L836" s="46">
        <f>SUM(L824:L835)</f>
        <v>3120</v>
      </c>
      <c r="M836" s="37">
        <f>SUM(J836:L836)</f>
        <v>8920</v>
      </c>
      <c r="N836" s="46">
        <f>SUM(N824:N835)</f>
        <v>1000</v>
      </c>
      <c r="O836" s="46">
        <f>SUM(O824:O835)</f>
        <v>200</v>
      </c>
      <c r="P836" s="46">
        <f>SUM(P824:P835)</f>
        <v>1700</v>
      </c>
      <c r="Q836" s="37">
        <f>SUM(N836:P836)</f>
        <v>2900</v>
      </c>
      <c r="R836" s="37">
        <f>+E836+I836+M836+Q836</f>
        <v>25800</v>
      </c>
    </row>
    <row r="837" spans="1:20" ht="15.75" customHeight="1" x14ac:dyDescent="0.3">
      <c r="A837" s="234" t="s">
        <v>1172</v>
      </c>
      <c r="B837" s="10"/>
      <c r="C837" s="10"/>
      <c r="D837" s="10"/>
      <c r="E837" s="38" t="s">
        <v>852</v>
      </c>
      <c r="F837" s="10"/>
      <c r="G837" s="10"/>
      <c r="H837" s="10"/>
      <c r="I837" s="38" t="s">
        <v>852</v>
      </c>
      <c r="J837" s="10"/>
      <c r="K837" s="10"/>
      <c r="L837" s="10"/>
      <c r="M837" s="38" t="s">
        <v>852</v>
      </c>
      <c r="N837" s="10"/>
      <c r="O837" s="10"/>
      <c r="P837" s="10"/>
      <c r="Q837" s="38" t="s">
        <v>852</v>
      </c>
      <c r="R837" s="38" t="s">
        <v>852</v>
      </c>
    </row>
    <row r="838" spans="1:20" ht="15.75" customHeight="1" x14ac:dyDescent="0.3">
      <c r="A838" s="234" t="s">
        <v>2409</v>
      </c>
      <c r="B838" s="10"/>
      <c r="C838" s="10"/>
      <c r="D838" s="10"/>
      <c r="E838" s="38" t="s">
        <v>852</v>
      </c>
      <c r="F838" s="10"/>
      <c r="G838" s="10"/>
      <c r="H838" s="10"/>
      <c r="I838" s="38" t="s">
        <v>852</v>
      </c>
      <c r="J838" s="10"/>
      <c r="K838" s="10"/>
      <c r="L838" s="10"/>
      <c r="M838" s="38" t="s">
        <v>852</v>
      </c>
      <c r="N838" s="10"/>
      <c r="O838" s="10"/>
      <c r="P838" s="10"/>
      <c r="Q838" s="38" t="s">
        <v>852</v>
      </c>
      <c r="R838" s="38" t="s">
        <v>852</v>
      </c>
    </row>
    <row r="839" spans="1:20" ht="15.75" customHeight="1" x14ac:dyDescent="0.3">
      <c r="A839" s="539" t="s">
        <v>1648</v>
      </c>
      <c r="B839" s="10"/>
      <c r="C839" s="10"/>
      <c r="D839" s="10"/>
      <c r="E839" s="38">
        <f>SUM(B839:D839)</f>
        <v>0</v>
      </c>
      <c r="F839" s="10"/>
      <c r="G839" s="10"/>
      <c r="H839" s="10"/>
      <c r="I839" s="38">
        <f>SUM(F839:H839)</f>
        <v>0</v>
      </c>
      <c r="J839" s="10"/>
      <c r="K839" s="10"/>
      <c r="L839" s="10"/>
      <c r="M839" s="38">
        <f>SUM(J839:L839)</f>
        <v>0</v>
      </c>
      <c r="N839" s="10"/>
      <c r="O839" s="10"/>
      <c r="P839" s="10"/>
      <c r="Q839" s="38">
        <f>SUM(N839:P839)</f>
        <v>0</v>
      </c>
      <c r="R839" s="38">
        <f>+E839+I839+M839+Q839</f>
        <v>0</v>
      </c>
    </row>
    <row r="840" spans="1:20" ht="15.75" customHeight="1" thickBot="1" x14ac:dyDescent="0.35">
      <c r="A840" s="234" t="s">
        <v>2165</v>
      </c>
      <c r="B840" s="10"/>
      <c r="C840" s="10"/>
      <c r="D840" s="10"/>
      <c r="E840" s="38" t="s">
        <v>852</v>
      </c>
      <c r="F840" s="10"/>
      <c r="G840" s="10"/>
      <c r="H840" s="10"/>
      <c r="I840" s="38" t="s">
        <v>852</v>
      </c>
      <c r="J840" s="10"/>
      <c r="K840" s="10"/>
      <c r="L840" s="10"/>
      <c r="M840" s="38" t="s">
        <v>852</v>
      </c>
      <c r="N840" s="10"/>
      <c r="O840" s="10"/>
      <c r="P840" s="10"/>
      <c r="Q840" s="38" t="s">
        <v>852</v>
      </c>
      <c r="R840" s="38" t="s">
        <v>852</v>
      </c>
    </row>
    <row r="841" spans="1:20" ht="16.5" customHeight="1" thickBot="1" x14ac:dyDescent="0.35">
      <c r="A841" s="43" t="s">
        <v>1219</v>
      </c>
      <c r="B841" s="45">
        <f>SUM(B837:B840)</f>
        <v>0</v>
      </c>
      <c r="C841" s="46">
        <f>SUM(C837:C840)</f>
        <v>0</v>
      </c>
      <c r="D841" s="46">
        <f>SUM(D837:D840)</f>
        <v>0</v>
      </c>
      <c r="E841" s="37">
        <f>SUM(B841:D841)</f>
        <v>0</v>
      </c>
      <c r="F841" s="46">
        <f>SUM(F837:F840)</f>
        <v>0</v>
      </c>
      <c r="G841" s="46">
        <f>SUM(G837:G840)</f>
        <v>0</v>
      </c>
      <c r="H841" s="46">
        <f>SUM(H837:H840)</f>
        <v>0</v>
      </c>
      <c r="I841" s="37">
        <f>SUM(F841:H841)</f>
        <v>0</v>
      </c>
      <c r="J841" s="46">
        <f>SUM(J837:J840)</f>
        <v>0</v>
      </c>
      <c r="K841" s="46">
        <f>SUM(K837:K840)</f>
        <v>0</v>
      </c>
      <c r="L841" s="46">
        <f>SUM(L837:L840)</f>
        <v>0</v>
      </c>
      <c r="M841" s="37">
        <f>SUM(J841:L841)</f>
        <v>0</v>
      </c>
      <c r="N841" s="46">
        <f>SUM(N837:N840)</f>
        <v>0</v>
      </c>
      <c r="O841" s="46">
        <f>SUM(O837:O840)</f>
        <v>0</v>
      </c>
      <c r="P841" s="46">
        <f>SUM(P837:P840)</f>
        <v>0</v>
      </c>
      <c r="Q841" s="37">
        <f>SUM(N841:P841)</f>
        <v>0</v>
      </c>
      <c r="R841" s="37">
        <f>+E841+I841+M841+Q841</f>
        <v>0</v>
      </c>
    </row>
    <row r="842" spans="1:20" ht="15.75" customHeight="1" x14ac:dyDescent="0.3">
      <c r="A842" s="234" t="s">
        <v>2166</v>
      </c>
      <c r="B842" s="10"/>
      <c r="C842" s="10"/>
      <c r="D842" s="10"/>
      <c r="E842" s="38" t="s">
        <v>852</v>
      </c>
      <c r="F842" s="10"/>
      <c r="G842" s="10"/>
      <c r="H842" s="10"/>
      <c r="I842" s="38" t="s">
        <v>852</v>
      </c>
      <c r="J842" s="10" t="s">
        <v>852</v>
      </c>
      <c r="K842" s="10"/>
      <c r="L842" s="10"/>
      <c r="M842" s="38" t="s">
        <v>852</v>
      </c>
      <c r="N842" s="10"/>
      <c r="O842" s="10"/>
      <c r="P842" s="10"/>
      <c r="Q842" s="38" t="s">
        <v>852</v>
      </c>
      <c r="R842" s="38" t="s">
        <v>852</v>
      </c>
    </row>
    <row r="843" spans="1:20" ht="18" customHeight="1" x14ac:dyDescent="0.3">
      <c r="A843" s="234" t="s">
        <v>1245</v>
      </c>
      <c r="B843" s="10"/>
      <c r="C843" s="10"/>
      <c r="D843" s="10"/>
      <c r="E843" s="38" t="s">
        <v>852</v>
      </c>
      <c r="F843" s="10"/>
      <c r="G843" s="10"/>
      <c r="H843" s="10"/>
      <c r="I843" s="38" t="s">
        <v>852</v>
      </c>
      <c r="J843" s="10"/>
      <c r="K843" s="10"/>
      <c r="L843" s="10"/>
      <c r="M843" s="38" t="s">
        <v>852</v>
      </c>
      <c r="N843" s="10"/>
      <c r="O843" s="10"/>
      <c r="P843" s="10"/>
      <c r="Q843" s="38" t="s">
        <v>852</v>
      </c>
      <c r="R843" s="38" t="s">
        <v>852</v>
      </c>
    </row>
    <row r="844" spans="1:20" ht="15.75" customHeight="1" x14ac:dyDescent="0.3">
      <c r="A844" s="539" t="s">
        <v>2750</v>
      </c>
      <c r="B844" s="10">
        <v>501</v>
      </c>
      <c r="C844" s="10">
        <v>504</v>
      </c>
      <c r="D844" s="10">
        <v>605</v>
      </c>
      <c r="E844" s="38">
        <f>SUM(B844:D844)</f>
        <v>1610</v>
      </c>
      <c r="F844" s="10">
        <v>956</v>
      </c>
      <c r="G844" s="10">
        <v>1214</v>
      </c>
      <c r="H844" s="10">
        <v>1209</v>
      </c>
      <c r="I844" s="38">
        <f>SUM(F844:H844)</f>
        <v>3379</v>
      </c>
      <c r="J844" s="10">
        <v>814</v>
      </c>
      <c r="K844" s="10">
        <v>1108</v>
      </c>
      <c r="L844" s="10">
        <v>506</v>
      </c>
      <c r="M844" s="38">
        <f>SUM(J844:L844)</f>
        <v>2428</v>
      </c>
      <c r="N844" s="10">
        <v>401</v>
      </c>
      <c r="O844" s="10">
        <v>501</v>
      </c>
      <c r="P844" s="10">
        <v>501</v>
      </c>
      <c r="Q844" s="38">
        <f>SUM(N844:P844)</f>
        <v>1403</v>
      </c>
      <c r="R844" s="38">
        <f>+E844+I844+M844+Q844</f>
        <v>8820</v>
      </c>
      <c r="T844" t="s">
        <v>2805</v>
      </c>
    </row>
    <row r="845" spans="1:20" ht="15.75" customHeight="1" x14ac:dyDescent="0.3">
      <c r="A845" s="539" t="s">
        <v>2702</v>
      </c>
      <c r="B845" s="10">
        <v>25</v>
      </c>
      <c r="C845" s="10">
        <v>25</v>
      </c>
      <c r="D845" s="10">
        <v>30</v>
      </c>
      <c r="E845" s="38">
        <f>SUM(B845:D845)</f>
        <v>80</v>
      </c>
      <c r="F845" s="10">
        <v>75</v>
      </c>
      <c r="G845" s="10">
        <v>90</v>
      </c>
      <c r="H845" s="10">
        <v>100</v>
      </c>
      <c r="I845" s="38">
        <f t="shared" ref="I845" si="287">SUM(F845:H845)</f>
        <v>265</v>
      </c>
      <c r="J845" s="10">
        <v>100</v>
      </c>
      <c r="K845" s="10">
        <v>55</v>
      </c>
      <c r="L845" s="10"/>
      <c r="M845" s="38">
        <f>SUM(J845:L845)</f>
        <v>155</v>
      </c>
      <c r="N845" s="10"/>
      <c r="O845" s="10"/>
      <c r="P845" s="10"/>
      <c r="Q845" s="38">
        <f>SUM(N845:P845)</f>
        <v>0</v>
      </c>
      <c r="R845" s="38">
        <f>+E845+I845+M845+Q845</f>
        <v>500</v>
      </c>
      <c r="T845" t="s">
        <v>2785</v>
      </c>
    </row>
    <row r="846" spans="1:20" ht="15.75" customHeight="1" x14ac:dyDescent="0.3">
      <c r="A846" s="234" t="s">
        <v>1711</v>
      </c>
      <c r="B846" s="10"/>
      <c r="C846" s="10"/>
      <c r="D846" s="10"/>
      <c r="E846" s="38" t="s">
        <v>852</v>
      </c>
      <c r="F846" s="10"/>
      <c r="G846" s="10"/>
      <c r="H846" s="10"/>
      <c r="I846" s="38" t="s">
        <v>852</v>
      </c>
      <c r="J846" s="10"/>
      <c r="K846" s="10"/>
      <c r="L846" s="10"/>
      <c r="M846" s="38" t="s">
        <v>852</v>
      </c>
      <c r="N846" s="10"/>
      <c r="O846" s="10"/>
      <c r="P846" s="10"/>
      <c r="Q846" s="38" t="s">
        <v>852</v>
      </c>
      <c r="R846" s="38" t="s">
        <v>852</v>
      </c>
    </row>
    <row r="847" spans="1:20" ht="15.75" customHeight="1" x14ac:dyDescent="0.3">
      <c r="A847" s="539" t="s">
        <v>3402</v>
      </c>
      <c r="B847" s="10"/>
      <c r="C847" s="10"/>
      <c r="D847" s="10">
        <v>800</v>
      </c>
      <c r="E847" s="38">
        <f t="shared" ref="E847:E853" si="288">SUM(B847:D847)</f>
        <v>800</v>
      </c>
      <c r="F847" s="10">
        <v>1200</v>
      </c>
      <c r="G847" s="10">
        <v>1400</v>
      </c>
      <c r="H847" s="10">
        <v>1500</v>
      </c>
      <c r="I847" s="38">
        <f t="shared" ref="I847:I853" si="289">SUM(F847:H847)</f>
        <v>4100</v>
      </c>
      <c r="J847" s="10">
        <v>1500</v>
      </c>
      <c r="K847" s="10">
        <v>100</v>
      </c>
      <c r="L847" s="10"/>
      <c r="M847" s="38">
        <f t="shared" ref="M847:M853" si="290">SUM(J847:L847)</f>
        <v>1600</v>
      </c>
      <c r="N847" s="10"/>
      <c r="O847" s="10"/>
      <c r="P847" s="10"/>
      <c r="Q847" s="38">
        <f t="shared" ref="Q847:Q853" si="291">SUM(N847:P847)</f>
        <v>0</v>
      </c>
      <c r="R847" s="38">
        <f t="shared" ref="R847:R853" si="292">+E847+I847+M847+Q847</f>
        <v>6500</v>
      </c>
      <c r="T847" t="s">
        <v>2785</v>
      </c>
    </row>
    <row r="848" spans="1:20" ht="15.75" customHeight="1" x14ac:dyDescent="0.3">
      <c r="A848" s="539" t="s">
        <v>2935</v>
      </c>
      <c r="B848" s="10"/>
      <c r="C848" s="10"/>
      <c r="D848" s="10"/>
      <c r="E848" s="38">
        <f t="shared" si="288"/>
        <v>0</v>
      </c>
      <c r="F848" s="10"/>
      <c r="G848" s="10"/>
      <c r="H848" s="10"/>
      <c r="I848" s="38">
        <f t="shared" si="289"/>
        <v>0</v>
      </c>
      <c r="J848" s="10"/>
      <c r="K848" s="10"/>
      <c r="L848" s="10"/>
      <c r="M848" s="38">
        <f t="shared" si="290"/>
        <v>0</v>
      </c>
      <c r="N848" s="10"/>
      <c r="O848" s="10"/>
      <c r="P848" s="10"/>
      <c r="Q848" s="38">
        <f t="shared" si="291"/>
        <v>0</v>
      </c>
      <c r="R848" s="38">
        <f t="shared" si="292"/>
        <v>0</v>
      </c>
    </row>
    <row r="849" spans="1:20" ht="15.75" customHeight="1" x14ac:dyDescent="0.3">
      <c r="A849" s="539" t="s">
        <v>2749</v>
      </c>
      <c r="B849" s="10"/>
      <c r="C849" s="10"/>
      <c r="D849" s="10"/>
      <c r="E849" s="38">
        <f t="shared" si="288"/>
        <v>0</v>
      </c>
      <c r="F849" s="10"/>
      <c r="G849" s="10"/>
      <c r="H849" s="10"/>
      <c r="I849" s="38">
        <f t="shared" si="289"/>
        <v>0</v>
      </c>
      <c r="J849" s="10"/>
      <c r="K849" s="10">
        <v>15</v>
      </c>
      <c r="L849" s="10">
        <v>60</v>
      </c>
      <c r="M849" s="38">
        <f t="shared" si="290"/>
        <v>75</v>
      </c>
      <c r="N849" s="10">
        <v>50</v>
      </c>
      <c r="O849" s="10">
        <v>40</v>
      </c>
      <c r="P849" s="10">
        <v>30</v>
      </c>
      <c r="Q849" s="38">
        <f t="shared" si="291"/>
        <v>120</v>
      </c>
      <c r="R849" s="38">
        <f t="shared" si="292"/>
        <v>195</v>
      </c>
    </row>
    <row r="850" spans="1:20" ht="15.75" customHeight="1" x14ac:dyDescent="0.3">
      <c r="A850" s="539" t="s">
        <v>3469</v>
      </c>
      <c r="B850" s="10">
        <v>500</v>
      </c>
      <c r="C850" s="10">
        <v>500</v>
      </c>
      <c r="D850" s="10"/>
      <c r="E850" s="38">
        <f t="shared" si="288"/>
        <v>1000</v>
      </c>
      <c r="F850" s="10"/>
      <c r="G850" s="10"/>
      <c r="H850" s="10"/>
      <c r="I850" s="38">
        <f t="shared" si="289"/>
        <v>0</v>
      </c>
      <c r="J850" s="10"/>
      <c r="K850" s="10"/>
      <c r="L850" s="10"/>
      <c r="M850" s="38">
        <f t="shared" si="290"/>
        <v>0</v>
      </c>
      <c r="N850" s="10"/>
      <c r="O850" s="10"/>
      <c r="P850" s="10"/>
      <c r="Q850" s="38">
        <f t="shared" si="291"/>
        <v>0</v>
      </c>
      <c r="R850" s="38">
        <f t="shared" si="292"/>
        <v>1000</v>
      </c>
      <c r="T850" t="s">
        <v>2765</v>
      </c>
    </row>
    <row r="851" spans="1:20" ht="15.75" customHeight="1" x14ac:dyDescent="0.3">
      <c r="A851" s="310" t="s">
        <v>783</v>
      </c>
      <c r="B851" s="10"/>
      <c r="C851" s="10"/>
      <c r="D851" s="10"/>
      <c r="E851" s="38">
        <f t="shared" si="288"/>
        <v>0</v>
      </c>
      <c r="F851" s="10"/>
      <c r="G851" s="10"/>
      <c r="H851" s="10"/>
      <c r="I851" s="38">
        <f t="shared" si="289"/>
        <v>0</v>
      </c>
      <c r="J851" s="10"/>
      <c r="K851" s="10"/>
      <c r="L851" s="10"/>
      <c r="M851" s="38">
        <f t="shared" si="290"/>
        <v>0</v>
      </c>
      <c r="N851" s="10"/>
      <c r="O851" s="10"/>
      <c r="P851" s="10"/>
      <c r="Q851" s="38">
        <f t="shared" si="291"/>
        <v>0</v>
      </c>
      <c r="R851" s="38">
        <f t="shared" si="292"/>
        <v>0</v>
      </c>
      <c r="T851" t="s">
        <v>2765</v>
      </c>
    </row>
    <row r="852" spans="1:20" ht="15.75" customHeight="1" thickBot="1" x14ac:dyDescent="0.35">
      <c r="A852" s="539" t="s">
        <v>2540</v>
      </c>
      <c r="B852" s="10">
        <v>849</v>
      </c>
      <c r="C852" s="10">
        <v>769</v>
      </c>
      <c r="D852" s="10">
        <v>849</v>
      </c>
      <c r="E852" s="38">
        <f t="shared" si="288"/>
        <v>2467</v>
      </c>
      <c r="F852" s="10">
        <v>822</v>
      </c>
      <c r="G852" s="10">
        <v>849</v>
      </c>
      <c r="H852" s="10">
        <v>822</v>
      </c>
      <c r="I852" s="38">
        <f t="shared" si="289"/>
        <v>2493</v>
      </c>
      <c r="J852" s="10">
        <v>849</v>
      </c>
      <c r="K852" s="10">
        <v>849</v>
      </c>
      <c r="L852" s="10">
        <v>822</v>
      </c>
      <c r="M852" s="38">
        <f t="shared" si="290"/>
        <v>2520</v>
      </c>
      <c r="N852" s="10">
        <v>849</v>
      </c>
      <c r="O852" s="10">
        <v>822</v>
      </c>
      <c r="P852" s="10">
        <v>849</v>
      </c>
      <c r="Q852" s="38">
        <f t="shared" si="291"/>
        <v>2520</v>
      </c>
      <c r="R852" s="38">
        <f t="shared" si="292"/>
        <v>10000</v>
      </c>
      <c r="T852" t="s">
        <v>2806</v>
      </c>
    </row>
    <row r="853" spans="1:20" ht="16.5" customHeight="1" thickBot="1" x14ac:dyDescent="0.35">
      <c r="A853" s="43" t="s">
        <v>1220</v>
      </c>
      <c r="B853" s="45">
        <f>SUM(B842:B852)</f>
        <v>1875</v>
      </c>
      <c r="C853" s="46">
        <f>SUM(C842:C852)</f>
        <v>1798</v>
      </c>
      <c r="D853" s="46">
        <f>SUM(D842:D852)</f>
        <v>2284</v>
      </c>
      <c r="E853" s="37">
        <f t="shared" si="288"/>
        <v>5957</v>
      </c>
      <c r="F853" s="46">
        <f>SUM(F842:F852)</f>
        <v>3053</v>
      </c>
      <c r="G853" s="46">
        <f>SUM(G842:G852)</f>
        <v>3553</v>
      </c>
      <c r="H853" s="46">
        <f>SUM(H842:H852)</f>
        <v>3631</v>
      </c>
      <c r="I853" s="37">
        <f t="shared" si="289"/>
        <v>10237</v>
      </c>
      <c r="J853" s="46">
        <f>SUM(J842:J852)</f>
        <v>3263</v>
      </c>
      <c r="K853" s="46">
        <f>SUM(K842:K852)</f>
        <v>2127</v>
      </c>
      <c r="L853" s="46">
        <f>SUM(L842:L852)</f>
        <v>1388</v>
      </c>
      <c r="M853" s="37">
        <f t="shared" si="290"/>
        <v>6778</v>
      </c>
      <c r="N853" s="46">
        <f>SUM(N842:N852)</f>
        <v>1300</v>
      </c>
      <c r="O853" s="46">
        <f>SUM(O842:O852)</f>
        <v>1363</v>
      </c>
      <c r="P853" s="46">
        <f>SUM(P842:P852)</f>
        <v>1380</v>
      </c>
      <c r="Q853" s="37">
        <f t="shared" si="291"/>
        <v>4043</v>
      </c>
      <c r="R853" s="37">
        <f t="shared" si="292"/>
        <v>27015</v>
      </c>
    </row>
    <row r="854" spans="1:20" ht="15.75" customHeight="1" x14ac:dyDescent="0.3">
      <c r="A854" s="234" t="s">
        <v>1712</v>
      </c>
      <c r="B854" s="10"/>
      <c r="C854" s="10"/>
      <c r="D854" s="10"/>
      <c r="E854" s="38" t="s">
        <v>852</v>
      </c>
      <c r="F854" s="10"/>
      <c r="G854" s="10"/>
      <c r="H854" s="10"/>
      <c r="I854" s="38" t="s">
        <v>852</v>
      </c>
      <c r="J854" s="10"/>
      <c r="K854" s="10"/>
      <c r="L854" s="10"/>
      <c r="M854" s="38" t="s">
        <v>852</v>
      </c>
      <c r="N854" s="10"/>
      <c r="O854" s="10"/>
      <c r="P854" s="10"/>
      <c r="Q854" s="38" t="s">
        <v>852</v>
      </c>
      <c r="R854" s="38" t="s">
        <v>852</v>
      </c>
    </row>
    <row r="855" spans="1:20" ht="15.75" customHeight="1" x14ac:dyDescent="0.3">
      <c r="A855" s="234" t="s">
        <v>1021</v>
      </c>
      <c r="B855" s="10"/>
      <c r="C855" s="371"/>
      <c r="D855" s="10"/>
      <c r="E855" s="38" t="s">
        <v>852</v>
      </c>
      <c r="F855" s="10"/>
      <c r="G855" s="10"/>
      <c r="H855" s="10"/>
      <c r="I855" s="38" t="s">
        <v>852</v>
      </c>
      <c r="J855" s="10"/>
      <c r="K855" s="10"/>
      <c r="L855" s="10"/>
      <c r="M855" s="38" t="s">
        <v>852</v>
      </c>
      <c r="N855" s="10"/>
      <c r="O855" s="10"/>
      <c r="P855" s="10"/>
      <c r="Q855" s="38" t="s">
        <v>852</v>
      </c>
      <c r="R855" s="38" t="s">
        <v>852</v>
      </c>
    </row>
    <row r="856" spans="1:20" ht="15.75" customHeight="1" x14ac:dyDescent="0.3">
      <c r="A856" s="539" t="s">
        <v>3267</v>
      </c>
      <c r="B856" s="10"/>
      <c r="C856" s="10"/>
      <c r="D856" s="10"/>
      <c r="E856" s="38">
        <f>SUM(B856:D856)</f>
        <v>0</v>
      </c>
      <c r="F856" s="10"/>
      <c r="G856" s="10"/>
      <c r="H856" s="10"/>
      <c r="I856" s="38">
        <f>SUM(F856:H856)</f>
        <v>0</v>
      </c>
      <c r="J856" s="10"/>
      <c r="K856" s="10"/>
      <c r="L856" s="10"/>
      <c r="M856" s="38">
        <f>SUM(J856:L856)</f>
        <v>0</v>
      </c>
      <c r="N856" s="10"/>
      <c r="O856" s="10"/>
      <c r="P856" s="10"/>
      <c r="Q856" s="38">
        <f>SUM(N856:P856)</f>
        <v>0</v>
      </c>
      <c r="R856" s="38">
        <f>+E856+I856+M856+Q856</f>
        <v>0</v>
      </c>
    </row>
    <row r="857" spans="1:20" ht="15.75" customHeight="1" x14ac:dyDescent="0.3">
      <c r="A857" s="310" t="s">
        <v>2392</v>
      </c>
      <c r="B857" s="10"/>
      <c r="C857" s="10"/>
      <c r="D857" s="10"/>
      <c r="E857" s="38">
        <f>SUM(B857:D857)</f>
        <v>0</v>
      </c>
      <c r="F857" s="10"/>
      <c r="G857" s="10"/>
      <c r="H857" s="10"/>
      <c r="I857" s="38">
        <f>SUM(F857:H857)</f>
        <v>0</v>
      </c>
      <c r="J857" s="10"/>
      <c r="K857" s="10"/>
      <c r="L857" s="10"/>
      <c r="M857" s="38">
        <f>SUM(J857:L857)</f>
        <v>0</v>
      </c>
      <c r="N857" s="10"/>
      <c r="O857" s="10"/>
      <c r="P857" s="10"/>
      <c r="Q857" s="38">
        <f>SUM(N857:P857)</f>
        <v>0</v>
      </c>
      <c r="R857" s="38">
        <f>+E857+I857+M857+Q857</f>
        <v>0</v>
      </c>
    </row>
    <row r="858" spans="1:20" ht="15.75" customHeight="1" x14ac:dyDescent="0.3">
      <c r="A858" s="234" t="s">
        <v>557</v>
      </c>
      <c r="B858" s="10"/>
      <c r="C858" s="10"/>
      <c r="D858" s="10"/>
      <c r="E858" s="38" t="s">
        <v>852</v>
      </c>
      <c r="F858" s="10"/>
      <c r="G858" s="10"/>
      <c r="H858" s="10"/>
      <c r="I858" s="38" t="s">
        <v>852</v>
      </c>
      <c r="J858" s="10"/>
      <c r="K858" s="10"/>
      <c r="L858" s="10"/>
      <c r="M858" s="38" t="s">
        <v>852</v>
      </c>
      <c r="N858" s="10"/>
      <c r="O858" s="10"/>
      <c r="P858" s="10"/>
      <c r="Q858" s="38" t="s">
        <v>852</v>
      </c>
      <c r="R858" s="38" t="s">
        <v>852</v>
      </c>
    </row>
    <row r="859" spans="1:20" ht="15.75" customHeight="1" x14ac:dyDescent="0.3">
      <c r="A859" s="539" t="s">
        <v>2589</v>
      </c>
      <c r="B859" s="10"/>
      <c r="C859" s="10"/>
      <c r="D859" s="10"/>
      <c r="E859" s="38">
        <f>SUM(B859:D859)</f>
        <v>0</v>
      </c>
      <c r="F859" s="10"/>
      <c r="G859" s="10"/>
      <c r="H859" s="10"/>
      <c r="I859" s="38">
        <f>SUM(F859:H859)</f>
        <v>0</v>
      </c>
      <c r="J859" s="10"/>
      <c r="K859" s="10"/>
      <c r="L859" s="10"/>
      <c r="M859" s="38">
        <f>SUM(J859:L859)</f>
        <v>0</v>
      </c>
      <c r="N859" s="10"/>
      <c r="O859" s="10"/>
      <c r="P859" s="10"/>
      <c r="Q859" s="38">
        <f>SUM(N859:P859)</f>
        <v>0</v>
      </c>
      <c r="R859" s="38">
        <f>+E859+I859+M859+Q859</f>
        <v>0</v>
      </c>
    </row>
    <row r="860" spans="1:20" ht="15.75" customHeight="1" x14ac:dyDescent="0.3">
      <c r="A860" s="539" t="s">
        <v>2590</v>
      </c>
      <c r="B860" s="10"/>
      <c r="C860" s="10"/>
      <c r="D860" s="10"/>
      <c r="E860" s="38">
        <f>SUM(B860:D860)</f>
        <v>0</v>
      </c>
      <c r="F860" s="10"/>
      <c r="G860" s="10"/>
      <c r="H860" s="10"/>
      <c r="I860" s="38">
        <f>SUM(F860:H860)</f>
        <v>0</v>
      </c>
      <c r="J860" s="10"/>
      <c r="K860" s="10"/>
      <c r="L860" s="10"/>
      <c r="M860" s="38">
        <f>SUM(J860:L860)</f>
        <v>0</v>
      </c>
      <c r="N860" s="10"/>
      <c r="O860" s="10"/>
      <c r="P860" s="10"/>
      <c r="Q860" s="38">
        <f>SUM(N860:P860)</f>
        <v>0</v>
      </c>
      <c r="R860" s="38">
        <f>+E860+I860+M860+Q860</f>
        <v>0</v>
      </c>
    </row>
    <row r="861" spans="1:20" ht="15.75" customHeight="1" x14ac:dyDescent="0.3">
      <c r="A861" s="234" t="s">
        <v>1022</v>
      </c>
      <c r="B861" s="10"/>
      <c r="C861" s="10"/>
      <c r="D861" s="10"/>
      <c r="E861" s="38" t="s">
        <v>852</v>
      </c>
      <c r="F861" s="10"/>
      <c r="G861" s="10"/>
      <c r="H861" s="10"/>
      <c r="I861" s="38" t="s">
        <v>852</v>
      </c>
      <c r="J861" s="10"/>
      <c r="K861" s="10"/>
      <c r="L861" s="10"/>
      <c r="M861" s="38" t="s">
        <v>852</v>
      </c>
      <c r="N861" s="10"/>
      <c r="O861" s="10"/>
      <c r="P861" s="10"/>
      <c r="Q861" s="38" t="s">
        <v>852</v>
      </c>
      <c r="R861" s="38" t="s">
        <v>852</v>
      </c>
    </row>
    <row r="862" spans="1:20" ht="15.75" customHeight="1" thickBot="1" x14ac:dyDescent="0.35">
      <c r="A862" s="234" t="s">
        <v>559</v>
      </c>
      <c r="B862" s="10"/>
      <c r="C862" s="10"/>
      <c r="D862" s="10"/>
      <c r="E862" s="38" t="s">
        <v>852</v>
      </c>
      <c r="F862" s="10"/>
      <c r="G862" s="10"/>
      <c r="H862" s="10"/>
      <c r="I862" s="38" t="s">
        <v>852</v>
      </c>
      <c r="J862" s="10"/>
      <c r="K862" s="10"/>
      <c r="L862" s="10"/>
      <c r="M862" s="38" t="s">
        <v>852</v>
      </c>
      <c r="N862" s="10"/>
      <c r="O862" s="10"/>
      <c r="P862" s="10"/>
      <c r="Q862" s="38" t="s">
        <v>852</v>
      </c>
      <c r="R862" s="38" t="s">
        <v>852</v>
      </c>
    </row>
    <row r="863" spans="1:20" ht="16.5" customHeight="1" thickBot="1" x14ac:dyDescent="0.35">
      <c r="A863" s="43" t="s">
        <v>1019</v>
      </c>
      <c r="B863" s="42">
        <f>SUM(B861:B862)</f>
        <v>0</v>
      </c>
      <c r="C863" s="42">
        <f>SUM(C861:C862)</f>
        <v>0</v>
      </c>
      <c r="D863" s="42">
        <f>SUM(D861:D862)</f>
        <v>0</v>
      </c>
      <c r="E863" s="39">
        <f>SUM(B863:D863)</f>
        <v>0</v>
      </c>
      <c r="F863" s="42">
        <f>SUM(F861:F862)</f>
        <v>0</v>
      </c>
      <c r="G863" s="42">
        <f>SUM(G861:G862)</f>
        <v>0</v>
      </c>
      <c r="H863" s="42">
        <f>SUM(H861:H862)</f>
        <v>0</v>
      </c>
      <c r="I863" s="39">
        <f>SUM(F863:H863)</f>
        <v>0</v>
      </c>
      <c r="J863" s="42">
        <f>SUM(J861:J862)</f>
        <v>0</v>
      </c>
      <c r="K863" s="42">
        <f>SUM(K861:K862)</f>
        <v>0</v>
      </c>
      <c r="L863" s="42">
        <f>SUM(L861:L862)</f>
        <v>0</v>
      </c>
      <c r="M863" s="39">
        <f>SUM(J863:L863)</f>
        <v>0</v>
      </c>
      <c r="N863" s="42">
        <f>SUM(N861:N862)</f>
        <v>0</v>
      </c>
      <c r="O863" s="42">
        <f>SUM(O861:O862)</f>
        <v>0</v>
      </c>
      <c r="P863" s="42">
        <f>SUM(P861:P862)</f>
        <v>0</v>
      </c>
      <c r="Q863" s="39">
        <f>SUM(N863:P863)</f>
        <v>0</v>
      </c>
      <c r="R863" s="37">
        <f>+E863+I863+M863+Q863</f>
        <v>0</v>
      </c>
    </row>
    <row r="864" spans="1:20" ht="16.5" customHeight="1" thickBot="1" x14ac:dyDescent="0.35">
      <c r="A864" s="43" t="s">
        <v>1221</v>
      </c>
      <c r="B864" s="45">
        <f>SUM(B854:B862)</f>
        <v>0</v>
      </c>
      <c r="C864" s="46">
        <f>SUM(C854:C862)</f>
        <v>0</v>
      </c>
      <c r="D864" s="58">
        <f>SUM(D854:D862)</f>
        <v>0</v>
      </c>
      <c r="E864" s="39">
        <f>SUM(B864:D864)</f>
        <v>0</v>
      </c>
      <c r="F864" s="46">
        <f>SUM(F854:F862)</f>
        <v>0</v>
      </c>
      <c r="G864" s="46">
        <f>SUM(G854:G862)</f>
        <v>0</v>
      </c>
      <c r="H864" s="46">
        <f>SUM(H854:H862)</f>
        <v>0</v>
      </c>
      <c r="I864" s="39">
        <f>SUM(F864:H864)</f>
        <v>0</v>
      </c>
      <c r="J864" s="46">
        <f>SUM(J854:J862)</f>
        <v>0</v>
      </c>
      <c r="K864" s="46">
        <f>SUM(K854:K862)</f>
        <v>0</v>
      </c>
      <c r="L864" s="46">
        <f>SUM(L854:L862)</f>
        <v>0</v>
      </c>
      <c r="M864" s="39">
        <f>SUM(J864:L864)</f>
        <v>0</v>
      </c>
      <c r="N864" s="46">
        <f>SUM(N854:N862)</f>
        <v>0</v>
      </c>
      <c r="O864" s="46">
        <f>SUM(O854:O862)</f>
        <v>0</v>
      </c>
      <c r="P864" s="46">
        <f>SUM(P854:P862)</f>
        <v>0</v>
      </c>
      <c r="Q864" s="39">
        <f>SUM(N864:P864)</f>
        <v>0</v>
      </c>
      <c r="R864" s="37">
        <f>+E864+I864+M864+Q864</f>
        <v>0</v>
      </c>
    </row>
    <row r="865" spans="1:18" ht="16.5" customHeight="1" thickBot="1" x14ac:dyDescent="0.35">
      <c r="A865" s="43" t="s">
        <v>1222</v>
      </c>
      <c r="B865" s="47">
        <f>+B836+B841+B853+B864</f>
        <v>4318</v>
      </c>
      <c r="C865" s="42">
        <f>+C836+C841+C853+C864</f>
        <v>4347</v>
      </c>
      <c r="D865" s="42">
        <f>+D836+D841+D853+D864</f>
        <v>4997</v>
      </c>
      <c r="E865" s="37">
        <f>SUM(B865:D865)</f>
        <v>13662</v>
      </c>
      <c r="F865" s="42">
        <f>+F836+F841+F853+F864</f>
        <v>5589</v>
      </c>
      <c r="G865" s="42">
        <f>+G836+G841+G853+G864</f>
        <v>5500</v>
      </c>
      <c r="H865" s="42">
        <f>+H836+H841+H853+H864</f>
        <v>5423</v>
      </c>
      <c r="I865" s="37">
        <f>SUM(F865:H865)</f>
        <v>16512</v>
      </c>
      <c r="J865" s="42">
        <f>+J836+J841+J853+J864</f>
        <v>5563</v>
      </c>
      <c r="K865" s="42">
        <f>+K836+K841+K853+K864</f>
        <v>5627</v>
      </c>
      <c r="L865" s="42">
        <f>+L836+L841+L853+L864</f>
        <v>4508</v>
      </c>
      <c r="M865" s="37">
        <f>SUM(J865:L865)</f>
        <v>15698</v>
      </c>
      <c r="N865" s="42">
        <f>+N836+N841+N853+N864</f>
        <v>2300</v>
      </c>
      <c r="O865" s="42">
        <f>+O836+O841+O853+O864</f>
        <v>1563</v>
      </c>
      <c r="P865" s="42">
        <f>+P836+P841+P853+P864</f>
        <v>3080</v>
      </c>
      <c r="Q865" s="37">
        <f>SUM(N865:P865)</f>
        <v>6943</v>
      </c>
      <c r="R865" s="40">
        <f>+E865+I865+M865+Q865</f>
        <v>52815</v>
      </c>
    </row>
    <row r="866" spans="1:18" ht="16.5" customHeight="1" thickBot="1" x14ac:dyDescent="0.35">
      <c r="A866" s="299" t="s">
        <v>853</v>
      </c>
      <c r="B866" s="294">
        <v>11</v>
      </c>
      <c r="C866" s="294">
        <v>13</v>
      </c>
      <c r="D866" s="294">
        <v>17</v>
      </c>
      <c r="E866" s="38">
        <f>SUM(B866:D866)</f>
        <v>41</v>
      </c>
      <c r="F866" s="294">
        <v>21</v>
      </c>
      <c r="G866" s="294">
        <v>23</v>
      </c>
      <c r="H866" s="294">
        <v>25</v>
      </c>
      <c r="I866" s="38">
        <f>SUM(F866:H866)</f>
        <v>69</v>
      </c>
      <c r="J866" s="294">
        <v>25</v>
      </c>
      <c r="K866" s="294">
        <v>21</v>
      </c>
      <c r="L866" s="294">
        <v>19</v>
      </c>
      <c r="M866" s="38">
        <f>SUM(J866:L866)</f>
        <v>65</v>
      </c>
      <c r="N866" s="294">
        <v>17</v>
      </c>
      <c r="O866" s="294">
        <v>13</v>
      </c>
      <c r="P866" s="294">
        <v>11</v>
      </c>
      <c r="Q866" s="38">
        <f>SUM(N866:P866)</f>
        <v>41</v>
      </c>
      <c r="R866" s="38">
        <f>+E866+I866+M866+Q866</f>
        <v>216</v>
      </c>
    </row>
    <row r="867" spans="1:18" ht="16.5" customHeight="1" thickBot="1" x14ac:dyDescent="0.35">
      <c r="A867" s="22"/>
      <c r="B867" s="297"/>
      <c r="C867" s="297"/>
      <c r="D867" s="297"/>
      <c r="E867" s="37" t="s">
        <v>852</v>
      </c>
      <c r="F867" s="297"/>
      <c r="G867" s="297"/>
      <c r="H867" s="297"/>
      <c r="I867" s="37" t="s">
        <v>852</v>
      </c>
      <c r="J867" s="297"/>
      <c r="K867" s="297"/>
      <c r="L867" s="297"/>
      <c r="M867" s="37" t="s">
        <v>852</v>
      </c>
      <c r="N867" s="297"/>
      <c r="O867" s="297"/>
      <c r="P867" s="297"/>
      <c r="Q867" s="37" t="s">
        <v>852</v>
      </c>
      <c r="R867" s="37" t="s">
        <v>852</v>
      </c>
    </row>
    <row r="868" spans="1:18" ht="15.75" customHeight="1" x14ac:dyDescent="0.3">
      <c r="A868" s="234" t="s">
        <v>2011</v>
      </c>
      <c r="B868" s="10">
        <f>SUM(B865:B866)</f>
        <v>4329</v>
      </c>
      <c r="C868" s="10">
        <f>SUM(C865:C866)</f>
        <v>4360</v>
      </c>
      <c r="D868" s="10">
        <f>SUM(D865:D866)</f>
        <v>5014</v>
      </c>
      <c r="E868" s="39">
        <f>SUM(B868:D868)</f>
        <v>13703</v>
      </c>
      <c r="F868" s="10">
        <f>SUM(F865:F866)</f>
        <v>5610</v>
      </c>
      <c r="G868" s="10">
        <f>SUM(G865:G866)</f>
        <v>5523</v>
      </c>
      <c r="H868" s="10">
        <f>SUM(H865:H866)</f>
        <v>5448</v>
      </c>
      <c r="I868" s="39">
        <f>SUM(F868:H868)</f>
        <v>16581</v>
      </c>
      <c r="J868" s="10">
        <f>SUM(J865:J866)</f>
        <v>5588</v>
      </c>
      <c r="K868" s="10">
        <f>SUM(K865:K866)</f>
        <v>5648</v>
      </c>
      <c r="L868" s="10">
        <f>SUM(L865:L866)</f>
        <v>4527</v>
      </c>
      <c r="M868" s="39">
        <f>SUM(J868:L868)</f>
        <v>15763</v>
      </c>
      <c r="N868" s="10">
        <f>SUM(N865:N866)</f>
        <v>2317</v>
      </c>
      <c r="O868" s="10">
        <f>SUM(O865:O866)</f>
        <v>1576</v>
      </c>
      <c r="P868" s="10">
        <f>SUM(P865:P866)</f>
        <v>3091</v>
      </c>
      <c r="Q868" s="39">
        <f>SUM(N868:P868)</f>
        <v>6984</v>
      </c>
      <c r="R868" s="39">
        <f>+E868+I868+M868+Q868</f>
        <v>53031</v>
      </c>
    </row>
    <row r="869" spans="1:18" ht="15.75" customHeight="1" x14ac:dyDescent="0.3">
      <c r="A869" s="234" t="s">
        <v>1897</v>
      </c>
      <c r="B869" s="10">
        <f>(B868/B10)/1.983</f>
        <v>70.421160509491969</v>
      </c>
      <c r="C869" s="10">
        <f>(C868/C10)/1.983</f>
        <v>78.524601973921193</v>
      </c>
      <c r="D869" s="10">
        <f>(D868/D10)/1.983</f>
        <v>81.564263985814904</v>
      </c>
      <c r="E869" s="38" t="s">
        <v>852</v>
      </c>
      <c r="F869" s="10">
        <f>(F868/F10)/1.983</f>
        <v>94.301563287947545</v>
      </c>
      <c r="G869" s="10">
        <f>(G868/G10)/1.983</f>
        <v>89.844321897418368</v>
      </c>
      <c r="H869" s="10">
        <f>(H868/H10)/1.983</f>
        <v>91.578416540595057</v>
      </c>
      <c r="I869" s="38" t="s">
        <v>852</v>
      </c>
      <c r="J869" s="10">
        <f>(J868/J10)/1.983</f>
        <v>90.90169667984317</v>
      </c>
      <c r="K869" s="10">
        <f>(K868/K10)/1.983</f>
        <v>91.877734940542993</v>
      </c>
      <c r="L869" s="10">
        <f>(L868/L10)/1.983</f>
        <v>76.096822995461423</v>
      </c>
      <c r="M869" s="38" t="s">
        <v>852</v>
      </c>
      <c r="N869" s="10">
        <f>(N868/N10)/1.983</f>
        <v>37.691344167358025</v>
      </c>
      <c r="O869" s="10">
        <f>(O868/O10)/1.983</f>
        <v>26.491847369305763</v>
      </c>
      <c r="P869" s="10">
        <f>(P868/P10)/1.983</f>
        <v>50.282237730385695</v>
      </c>
      <c r="Q869" s="38" t="s">
        <v>852</v>
      </c>
      <c r="R869" s="38" t="s">
        <v>852</v>
      </c>
    </row>
    <row r="870" spans="1:18" ht="15.75" customHeight="1" x14ac:dyDescent="0.3">
      <c r="A870" s="234" t="s">
        <v>2050</v>
      </c>
      <c r="B870" s="10">
        <f>B868</f>
        <v>4329</v>
      </c>
      <c r="C870" s="10">
        <f>C868</f>
        <v>4360</v>
      </c>
      <c r="D870" s="10">
        <f>D868</f>
        <v>5014</v>
      </c>
      <c r="E870" s="38">
        <f>SUM(B870:D870)</f>
        <v>13703</v>
      </c>
      <c r="F870" s="10">
        <f>F868</f>
        <v>5610</v>
      </c>
      <c r="G870" s="10">
        <f>G868</f>
        <v>5523</v>
      </c>
      <c r="H870" s="10">
        <f>H868</f>
        <v>5448</v>
      </c>
      <c r="I870" s="38">
        <f>SUM(F870:H870)</f>
        <v>16581</v>
      </c>
      <c r="J870" s="10">
        <f>J868</f>
        <v>5588</v>
      </c>
      <c r="K870" s="10">
        <f>K868</f>
        <v>5648</v>
      </c>
      <c r="L870" s="10">
        <f>L868</f>
        <v>4527</v>
      </c>
      <c r="M870" s="38">
        <f>SUM(J870:L870)</f>
        <v>15763</v>
      </c>
      <c r="N870" s="10">
        <f>N868</f>
        <v>2317</v>
      </c>
      <c r="O870" s="10">
        <f>O868</f>
        <v>1576</v>
      </c>
      <c r="P870" s="10">
        <f>P868</f>
        <v>3091</v>
      </c>
      <c r="Q870" s="38">
        <f>SUM(N870:P870)</f>
        <v>6984</v>
      </c>
      <c r="R870" s="38">
        <f>+E870+I870+M870+Q870</f>
        <v>53031</v>
      </c>
    </row>
    <row r="871" spans="1:18" ht="16.5" customHeight="1" thickBot="1" x14ac:dyDescent="0.35">
      <c r="A871" s="237" t="s">
        <v>2051</v>
      </c>
      <c r="B871" s="294">
        <f>(B870/B10)/1.983</f>
        <v>70.421160509491969</v>
      </c>
      <c r="C871" s="294">
        <f>(C870/C10)/1.983</f>
        <v>78.524601973921193</v>
      </c>
      <c r="D871" s="294">
        <f>(D870/D10)/1.983</f>
        <v>81.564263985814904</v>
      </c>
      <c r="E871" s="40" t="s">
        <v>852</v>
      </c>
      <c r="F871" s="294">
        <f>(F870/F10)/1.983</f>
        <v>94.301563287947545</v>
      </c>
      <c r="G871" s="294">
        <f>(G870/G10)/1.983</f>
        <v>89.844321897418368</v>
      </c>
      <c r="H871" s="294">
        <f>(H870/H10)/1.983</f>
        <v>91.578416540595057</v>
      </c>
      <c r="I871" s="40" t="s">
        <v>852</v>
      </c>
      <c r="J871" s="294">
        <f>(J870/J10)/1.983</f>
        <v>90.90169667984317</v>
      </c>
      <c r="K871" s="294">
        <f>(K870/K10)/1.983</f>
        <v>91.877734940542993</v>
      </c>
      <c r="L871" s="294">
        <f>(L870/L10)/1.983</f>
        <v>76.096822995461423</v>
      </c>
      <c r="M871" s="40" t="s">
        <v>852</v>
      </c>
      <c r="N871" s="294">
        <f>(N870/N10)/1.983</f>
        <v>37.691344167358025</v>
      </c>
      <c r="O871" s="294">
        <f>(O870/O10)/1.983</f>
        <v>26.491847369305763</v>
      </c>
      <c r="P871" s="294">
        <f>(P870/P10)/1.983</f>
        <v>50.282237730385695</v>
      </c>
      <c r="Q871" s="40" t="s">
        <v>852</v>
      </c>
      <c r="R871" s="40" t="s">
        <v>852</v>
      </c>
    </row>
    <row r="872" spans="1:18" ht="15.75" customHeight="1" x14ac:dyDescent="0.3">
      <c r="A872" s="18"/>
      <c r="B872" s="10"/>
      <c r="C872" s="10"/>
      <c r="D872" s="10"/>
      <c r="E872" s="17"/>
      <c r="F872" s="10"/>
      <c r="G872" s="10"/>
      <c r="H872" s="10"/>
      <c r="I872" s="17"/>
      <c r="J872" s="10"/>
      <c r="K872" s="10"/>
      <c r="L872" s="10"/>
      <c r="M872" s="17"/>
      <c r="N872" s="10"/>
      <c r="O872" s="10"/>
      <c r="P872" s="10"/>
      <c r="Q872" s="17"/>
      <c r="R872" s="17"/>
    </row>
    <row r="873" spans="1:18" ht="15.75" customHeight="1" x14ac:dyDescent="0.3">
      <c r="A873" s="18"/>
      <c r="B873" s="10"/>
      <c r="C873" s="10"/>
      <c r="D873" s="10"/>
      <c r="E873" s="10"/>
      <c r="F873" s="10"/>
      <c r="G873" s="10"/>
      <c r="H873" s="10"/>
      <c r="I873" s="10"/>
      <c r="J873" s="10"/>
      <c r="K873" s="10"/>
      <c r="L873" s="10"/>
      <c r="M873" s="10"/>
      <c r="N873" s="10"/>
      <c r="O873" s="10"/>
      <c r="P873" s="10"/>
      <c r="Q873" s="680" t="str">
        <f>+Q1</f>
        <v xml:space="preserve">PRINTED:  </v>
      </c>
      <c r="R873" s="681">
        <f ca="1">+R1</f>
        <v>44881.729632754628</v>
      </c>
    </row>
    <row r="874" spans="1:18" ht="15.75" customHeight="1" x14ac:dyDescent="0.3">
      <c r="A874" s="778" t="s">
        <v>43</v>
      </c>
      <c r="B874" s="778"/>
      <c r="C874" s="778"/>
      <c r="D874" s="778"/>
      <c r="E874" s="778"/>
      <c r="F874" s="778"/>
      <c r="G874" s="778"/>
      <c r="H874" s="778"/>
      <c r="I874" s="778"/>
      <c r="J874" s="778"/>
      <c r="K874" s="778"/>
      <c r="L874" s="778"/>
      <c r="M874" s="778"/>
      <c r="N874" s="778"/>
      <c r="O874" s="778"/>
      <c r="P874" s="778"/>
      <c r="Q874" s="778"/>
      <c r="R874" s="778"/>
    </row>
    <row r="875" spans="1:18" ht="15.75" customHeight="1" x14ac:dyDescent="0.3">
      <c r="A875" s="778" t="s">
        <v>1988</v>
      </c>
      <c r="B875" s="778"/>
      <c r="C875" s="778"/>
      <c r="D875" s="778"/>
      <c r="E875" s="778"/>
      <c r="F875" s="778"/>
      <c r="G875" s="778"/>
      <c r="H875" s="778"/>
      <c r="I875" s="778"/>
      <c r="J875" s="778"/>
      <c r="K875" s="778"/>
      <c r="L875" s="778"/>
      <c r="M875" s="778"/>
      <c r="N875" s="778"/>
      <c r="O875" s="778"/>
      <c r="P875" s="778"/>
      <c r="Q875" s="778"/>
      <c r="R875" s="778"/>
    </row>
    <row r="876" spans="1:18" ht="15.75" customHeight="1" x14ac:dyDescent="0.3">
      <c r="A876" s="778" t="s">
        <v>544</v>
      </c>
      <c r="B876" s="778"/>
      <c r="C876" s="778"/>
      <c r="D876" s="778"/>
      <c r="E876" s="778"/>
      <c r="F876" s="778"/>
      <c r="G876" s="778"/>
      <c r="H876" s="778"/>
      <c r="I876" s="778"/>
      <c r="J876" s="778"/>
      <c r="K876" s="778"/>
      <c r="L876" s="778"/>
      <c r="M876" s="778"/>
      <c r="N876" s="778"/>
      <c r="O876" s="778"/>
      <c r="P876" s="778"/>
      <c r="Q876" s="778"/>
      <c r="R876" s="778"/>
    </row>
    <row r="877" spans="1:18" ht="15.75" customHeight="1" x14ac:dyDescent="0.3">
      <c r="A877" s="783">
        <f>+A5</f>
        <v>2021</v>
      </c>
      <c r="B877" s="783"/>
      <c r="C877" s="783"/>
      <c r="D877" s="783"/>
      <c r="E877" s="783"/>
      <c r="F877" s="783"/>
      <c r="G877" s="783"/>
      <c r="H877" s="783"/>
      <c r="I877" s="783"/>
      <c r="J877" s="783"/>
      <c r="K877" s="783"/>
      <c r="L877" s="783"/>
      <c r="M877" s="783"/>
      <c r="N877" s="783"/>
      <c r="O877" s="783"/>
      <c r="P877" s="783"/>
      <c r="Q877" s="783"/>
      <c r="R877" s="783"/>
    </row>
    <row r="878" spans="1:18" ht="15.75" customHeight="1" x14ac:dyDescent="0.3">
      <c r="A878" s="10"/>
      <c r="B878" s="10"/>
      <c r="C878" s="10"/>
      <c r="D878" s="1"/>
      <c r="E878" s="1"/>
      <c r="F878" s="1"/>
      <c r="G878" s="220"/>
      <c r="H878" s="1"/>
      <c r="I878" s="1"/>
      <c r="J878" s="220"/>
      <c r="K878" s="220"/>
      <c r="L878" s="220"/>
      <c r="M878" s="220"/>
      <c r="N878" s="10"/>
      <c r="O878" s="220"/>
      <c r="P878" s="220"/>
      <c r="Q878" s="220"/>
      <c r="R878" s="220"/>
    </row>
    <row r="879" spans="1:18" ht="15.75" customHeight="1" x14ac:dyDescent="0.3">
      <c r="A879" s="778" t="str">
        <f>+A8</f>
        <v>Revised:  2/5/2020</v>
      </c>
      <c r="B879" s="778"/>
      <c r="C879" s="778"/>
      <c r="D879" s="778"/>
      <c r="E879" s="778"/>
      <c r="F879" s="778"/>
      <c r="G879" s="778"/>
      <c r="H879" s="778"/>
      <c r="I879" s="778"/>
      <c r="J879" s="778"/>
      <c r="K879" s="778"/>
      <c r="L879" s="778"/>
      <c r="M879" s="778"/>
      <c r="N879" s="778"/>
      <c r="O879" s="778"/>
      <c r="P879" s="778"/>
      <c r="Q879" s="778"/>
      <c r="R879" s="778"/>
    </row>
    <row r="880" spans="1:18" ht="15.75" customHeight="1" x14ac:dyDescent="0.3">
      <c r="A880" s="448"/>
      <c r="B880" s="448"/>
      <c r="C880" s="448"/>
      <c r="D880" s="448"/>
      <c r="E880" s="448"/>
      <c r="F880" s="448"/>
      <c r="G880" s="448"/>
      <c r="H880" s="448"/>
      <c r="I880" s="448"/>
      <c r="J880" s="448"/>
      <c r="K880" s="448"/>
      <c r="L880" s="448"/>
      <c r="M880" s="448"/>
      <c r="N880" s="448"/>
      <c r="O880" s="448"/>
      <c r="P880" s="448"/>
      <c r="Q880" s="448"/>
      <c r="R880" s="448"/>
    </row>
    <row r="881" spans="1:20" ht="15.75" customHeight="1" x14ac:dyDescent="0.3">
      <c r="A881" s="448"/>
      <c r="B881" s="448"/>
      <c r="C881" s="448"/>
      <c r="D881" s="448"/>
      <c r="E881" s="448"/>
      <c r="F881" s="448"/>
      <c r="G881" s="448"/>
      <c r="H881" s="448"/>
      <c r="I881" s="448"/>
      <c r="J881" s="448"/>
      <c r="K881" s="448"/>
      <c r="L881" s="448"/>
      <c r="M881" s="448"/>
      <c r="N881" s="448"/>
      <c r="O881" s="448"/>
      <c r="P881" s="448"/>
      <c r="Q881" s="448"/>
      <c r="R881" s="448"/>
    </row>
    <row r="882" spans="1:20" ht="15.75" customHeight="1" thickBot="1" x14ac:dyDescent="0.35">
      <c r="A882" s="18"/>
      <c r="B882" s="10"/>
      <c r="C882" s="10"/>
      <c r="D882" s="10"/>
      <c r="E882" s="10"/>
      <c r="F882" s="10"/>
      <c r="G882" s="10"/>
      <c r="H882" s="10"/>
      <c r="I882" s="10"/>
      <c r="J882" s="10"/>
      <c r="K882" s="10"/>
      <c r="L882" s="10"/>
      <c r="M882" s="10"/>
      <c r="N882" s="10"/>
      <c r="O882" s="10"/>
      <c r="P882" s="10"/>
      <c r="Q882" s="10"/>
      <c r="R882" s="17"/>
    </row>
    <row r="883" spans="1:20" ht="16.5" customHeight="1" thickBot="1" x14ac:dyDescent="0.35">
      <c r="A883" s="278" t="s">
        <v>1661</v>
      </c>
      <c r="B883" s="4" t="s">
        <v>2090</v>
      </c>
      <c r="C883" s="5" t="s">
        <v>2091</v>
      </c>
      <c r="D883" s="5" t="s">
        <v>2234</v>
      </c>
      <c r="E883" s="33" t="s">
        <v>1594</v>
      </c>
      <c r="F883" s="5" t="s">
        <v>2235</v>
      </c>
      <c r="G883" s="5" t="s">
        <v>2236</v>
      </c>
      <c r="H883" s="5" t="s">
        <v>2237</v>
      </c>
      <c r="I883" s="35" t="s">
        <v>1595</v>
      </c>
      <c r="J883" s="5" t="s">
        <v>1504</v>
      </c>
      <c r="K883" s="5" t="s">
        <v>1505</v>
      </c>
      <c r="L883" s="5" t="s">
        <v>1506</v>
      </c>
      <c r="M883" s="35" t="s">
        <v>1596</v>
      </c>
      <c r="N883" s="5" t="s">
        <v>1507</v>
      </c>
      <c r="O883" s="5" t="s">
        <v>1508</v>
      </c>
      <c r="P883" s="5" t="s">
        <v>1509</v>
      </c>
      <c r="Q883" s="35" t="s">
        <v>1597</v>
      </c>
      <c r="R883" s="60" t="s">
        <v>1510</v>
      </c>
    </row>
    <row r="884" spans="1:20" ht="16.5" customHeight="1" thickBot="1" x14ac:dyDescent="0.35">
      <c r="A884" s="22"/>
      <c r="B884" s="297"/>
      <c r="C884" s="297"/>
      <c r="D884" s="297"/>
      <c r="E884" s="302"/>
      <c r="F884" s="297"/>
      <c r="G884" s="297"/>
      <c r="H884" s="297"/>
      <c r="I884" s="325"/>
      <c r="J884" s="297"/>
      <c r="K884" s="297"/>
      <c r="L884" s="297"/>
      <c r="M884" s="325"/>
      <c r="N884" s="297"/>
      <c r="O884" s="297"/>
      <c r="P884" s="297"/>
      <c r="Q884" s="326"/>
      <c r="R884" s="61"/>
    </row>
    <row r="885" spans="1:20" ht="15.75" customHeight="1" x14ac:dyDescent="0.3">
      <c r="A885" s="234" t="s">
        <v>2417</v>
      </c>
      <c r="B885" s="10" t="s">
        <v>852</v>
      </c>
      <c r="C885" s="10" t="s">
        <v>852</v>
      </c>
      <c r="D885" s="10" t="s">
        <v>852</v>
      </c>
      <c r="E885" s="327"/>
      <c r="F885" s="10" t="s">
        <v>852</v>
      </c>
      <c r="G885" s="10" t="s">
        <v>852</v>
      </c>
      <c r="H885" s="10" t="s">
        <v>852</v>
      </c>
      <c r="I885" s="327"/>
      <c r="J885" s="10" t="s">
        <v>852</v>
      </c>
      <c r="K885" s="10" t="s">
        <v>852</v>
      </c>
      <c r="L885" s="10" t="s">
        <v>852</v>
      </c>
      <c r="M885" s="327"/>
      <c r="N885" s="10" t="s">
        <v>852</v>
      </c>
      <c r="O885" s="10" t="s">
        <v>852</v>
      </c>
      <c r="P885" s="10" t="s">
        <v>852</v>
      </c>
      <c r="Q885" s="328"/>
      <c r="R885" s="62" t="s">
        <v>852</v>
      </c>
    </row>
    <row r="886" spans="1:20" ht="15.75" customHeight="1" x14ac:dyDescent="0.3">
      <c r="A886" s="545" t="s">
        <v>2160</v>
      </c>
      <c r="B886" s="10">
        <f>+SUM(B71:B82)+SUM(B141:B197)+SUM(B338:B375)+SUM(B527:B532)+SUM(B572:B577)+SUM(B617:B629)+SUM(B693:B696)+SUM(B729:B735)+SUM(B791:B792)+SUM(B825:B831)</f>
        <v>33528</v>
      </c>
      <c r="C886" s="10">
        <f>+SUM(C71:C82)+SUM(C141:C197)+SUM(C338:C375)+SUM(C527:C532)+SUM(C572:C577)+SUM(C617:C629)+SUM(C693:C696)+SUM(C729:C735)+SUM(C791:C792)+SUM(C825:C831)</f>
        <v>35713</v>
      </c>
      <c r="D886" s="10">
        <f>+SUM(D71:D82)+SUM(D141:D197)+SUM(D338:D375)+SUM(D527:D532)+SUM(D572:D577)+SUM(D617:D629)+SUM(D693:D696)+SUM(D729:D735)+SUM(D791:D792)+SUM(D825:D831)</f>
        <v>44444</v>
      </c>
      <c r="E886" s="38">
        <f t="shared" ref="E886:E892" si="293">SUM(B886:D886)</f>
        <v>113685</v>
      </c>
      <c r="F886" s="10">
        <f>+SUM(F71:F82)+SUM(F141:F197)+SUM(F338:F375)+SUM(F527:F532)+SUM(F572:F577)+SUM(F617:F629)+SUM(F693:F696)+SUM(F729:F735)+SUM(F791:F792)+SUM(F825:F831)</f>
        <v>53223</v>
      </c>
      <c r="G886" s="10">
        <f>+SUM(G71:G82)+SUM(G141:G197)+SUM(G338:G375)+SUM(G527:G532)+SUM(G572:G577)+SUM(G617:G629)+SUM(G693:G696)+SUM(G729:G735)+SUM(G791:G792)+SUM(G825:G831)</f>
        <v>55775</v>
      </c>
      <c r="H886" s="10">
        <f>+SUM(H71:H82)+SUM(H141:H197)+SUM(H338:H375)+SUM(H527:H532)+SUM(H572:H577)+SUM(H617:H629)+SUM(H693:H696)+SUM(H729:H735)+SUM(H791:H792)+SUM(H825:H831)</f>
        <v>72358</v>
      </c>
      <c r="I886" s="38">
        <f t="shared" ref="I886:I892" si="294">SUM(F886:H886)</f>
        <v>181356</v>
      </c>
      <c r="J886" s="10">
        <f>+SUM(J71:J82)+SUM(J141:J197)+SUM(J338:J375)+SUM(J527:J532)+SUM(J572:J577)+SUM(J617:J629)+SUM(J693:J696)+SUM(J729:J735)+SUM(J791:J792)+SUM(J825:J831)</f>
        <v>80575</v>
      </c>
      <c r="K886" s="10">
        <f>+SUM(K71:K82)+SUM(K141:K197)+SUM(K338:K375)+SUM(K527:K532)+SUM(K572:K577)+SUM(K617:K629)+SUM(K693:K696)+SUM(K729:K735)+SUM(K791:K792)+SUM(K825:K831)</f>
        <v>66900</v>
      </c>
      <c r="L886" s="10">
        <f>+SUM(L71:L82)+SUM(L141:L197)+SUM(L338:L375)+SUM(L527:L532)+SUM(L572:L577)+SUM(L617:L629)+SUM(L693:L696)+SUM(L729:L735)+SUM(L791:L792)+SUM(L825:L831)</f>
        <v>58605</v>
      </c>
      <c r="M886" s="38">
        <f t="shared" ref="M886:M892" si="295">SUM(J886:L886)</f>
        <v>206080</v>
      </c>
      <c r="N886" s="10">
        <f>+SUM(N71:N82)+SUM(N141:N197)+SUM(N338:N375)+SUM(N527:N532)+SUM(N572:N577)+SUM(N617:N629)+SUM(N693:N696)+SUM(N729:N735)+SUM(N791:N792)+SUM(N825:N831)</f>
        <v>42298</v>
      </c>
      <c r="O886" s="10">
        <f>+SUM(O71:O82)+SUM(O141:O197)+SUM(O338:O375)+SUM(O527:O532)+SUM(O572:O577)+SUM(O617:O629)+SUM(O693:O696)+SUM(O729:O735)+SUM(O791:O792)+SUM(O825:O831)</f>
        <v>31655</v>
      </c>
      <c r="P886" s="10">
        <f>+SUM(P71:P82)+SUM(P141:P197)+SUM(P338:P375)+SUM(P527:P532)+SUM(P572:P577)+SUM(P617:P629)+SUM(P693:P696)+SUM(P729:P735)+SUM(P791:P792)+SUM(P825:P831)</f>
        <v>32487</v>
      </c>
      <c r="Q886" s="38">
        <f t="shared" ref="Q886:Q892" si="296">SUM(N886:P886)</f>
        <v>106440</v>
      </c>
      <c r="R886" s="38">
        <f t="shared" ref="R886:R892" si="297">+E886+I886+M886+Q886</f>
        <v>607561</v>
      </c>
    </row>
    <row r="887" spans="1:20" ht="15.75" customHeight="1" x14ac:dyDescent="0.3">
      <c r="A887" s="234" t="s">
        <v>2642</v>
      </c>
      <c r="B887" s="10">
        <f>+B38+SUM(B83:B84)+SUM(B199:B208)+SUM(B377:B387)+SUM(B534:B535)+B578+SUM(B630:B631)+B697+B736+B793+SUM(B832:B832)</f>
        <v>0</v>
      </c>
      <c r="C887" s="10">
        <f>+C38+SUM(C83:C84)+SUM(C199:C208)+SUM(C377:C387)+SUM(C534:C535)+C578+SUM(C630:C631)+C697+C736+C793+SUM(C832:C832)</f>
        <v>0</v>
      </c>
      <c r="D887" s="10">
        <f>+D38+SUM(D83:D84)+SUM(D199:D208)+SUM(D377:D387)+SUM(D534:D535)+D578+SUM(D630:D631)+D697+D736+D793+SUM(D832:D832)</f>
        <v>0</v>
      </c>
      <c r="E887" s="38">
        <f t="shared" si="293"/>
        <v>0</v>
      </c>
      <c r="F887" s="10">
        <f>+F38+SUM(F83:F84)+SUM(F199:F208)+SUM(F377:F387)+SUM(F534:F535)+F578+SUM(F630:F631)+F697+F736+F793+SUM(F832:F832)</f>
        <v>0</v>
      </c>
      <c r="G887" s="10">
        <f>+G38+SUM(G83:G84)+SUM(G199:G208)+SUM(G377:G387)+SUM(G534:G535)+G578+SUM(G630:G631)+G697+G736+G793+SUM(G832:G832)</f>
        <v>0</v>
      </c>
      <c r="H887" s="10">
        <f>+H38+SUM(H83:H84)+SUM(H199:H208)+SUM(H377:H387)+SUM(H534:H535)+H578+SUM(H630:H631)+H697+H736+H793+SUM(H832:H832)</f>
        <v>0</v>
      </c>
      <c r="I887" s="38">
        <f t="shared" si="294"/>
        <v>0</v>
      </c>
      <c r="J887" s="10">
        <f>+J38+SUM(J83:J84)+SUM(J199:J208)+SUM(J377:J387)+SUM(J534:J535)+J578+SUM(J630:J631)+J697+J736+J793+SUM(J832:J832)</f>
        <v>0</v>
      </c>
      <c r="K887" s="10">
        <f>+K38+SUM(K83:K84)+SUM(K199:K208)+SUM(K377:K387)+SUM(K534:K535)+K578+SUM(K630:K631)+K697+K736+K793+SUM(K832:K832)</f>
        <v>0</v>
      </c>
      <c r="L887" s="10">
        <f>+L38+SUM(L83:L84)+SUM(L199:L208)+SUM(L377:L387)+SUM(L534:L535)+L578+SUM(L630:L631)+L697+L736+L793+SUM(L832:L832)</f>
        <v>0</v>
      </c>
      <c r="M887" s="38">
        <f t="shared" si="295"/>
        <v>0</v>
      </c>
      <c r="N887" s="10">
        <f>+N38+SUM(N83:N84)+SUM(N199:N208)+SUM(N377:N387)+SUM(N534:N535)+N578+SUM(N630:N631)+N697+N736+N793+SUM(N832:N832)</f>
        <v>0</v>
      </c>
      <c r="O887" s="10">
        <f>+O38+SUM(O83:O84)+SUM(O199:O208)+SUM(O377:O387)+SUM(O534:O535)+O578+SUM(O630:O631)+O697+O736+O793+SUM(O832:O832)</f>
        <v>0</v>
      </c>
      <c r="P887" s="10">
        <f>+P38+SUM(P83:P84)+SUM(P199:P208)+SUM(P377:P387)+SUM(P534:P535)+P578+SUM(P630:P631)+P697+P736+P793+SUM(P832:P832)</f>
        <v>0</v>
      </c>
      <c r="Q887" s="38">
        <f t="shared" si="296"/>
        <v>0</v>
      </c>
      <c r="R887" s="38">
        <f t="shared" si="297"/>
        <v>0</v>
      </c>
    </row>
    <row r="888" spans="1:20" ht="15.75" customHeight="1" x14ac:dyDescent="0.3">
      <c r="A888" s="545" t="s">
        <v>2647</v>
      </c>
      <c r="B888" s="10">
        <f>+SUM(B85:B87)+SUM(B209:B212)+SUM(B388:B392)+B536+B579+SUM(B632:B633)+B698+B737+B794+SUM(B833:B834)</f>
        <v>0</v>
      </c>
      <c r="C888" s="10">
        <f>+SUM(C85:C87)+SUM(C209:C212)+SUM(C388:C392)+C536+C579+SUM(C632:C633)+C698+C737+C794+SUM(C833:C834)</f>
        <v>0</v>
      </c>
      <c r="D888" s="10">
        <f>+SUM(D85:D87)+SUM(D209:D212)+SUM(D388:D392)+D536+D579+SUM(D632:D633)+D698+D737+D794+SUM(D833:D834)</f>
        <v>0</v>
      </c>
      <c r="E888" s="38">
        <f t="shared" si="293"/>
        <v>0</v>
      </c>
      <c r="F888" s="10">
        <f>+SUM(F85:F87)+SUM(F209:F212)+SUM(F388:F392)+F536+F579+SUM(F632:F633)+F698+F737+F794+SUM(F833:F834)</f>
        <v>0</v>
      </c>
      <c r="G888" s="10">
        <f>+SUM(G85:G87)+SUM(G209:G212)+SUM(G388:G392)+G536+G579+SUM(G632:G633)+G698+G737+G794+SUM(G833:G834)</f>
        <v>0</v>
      </c>
      <c r="H888" s="10">
        <f>+SUM(H85:H87)+SUM(H209:H212)+SUM(H388:H392)+H536+H579+SUM(H632:H633)+H698+H737+H794+SUM(H833:H834)</f>
        <v>0</v>
      </c>
      <c r="I888" s="38">
        <f t="shared" si="294"/>
        <v>0</v>
      </c>
      <c r="J888" s="10">
        <f>+SUM(J85:J87)+SUM(J209:J212)+SUM(J388:J392)+J536+J579+SUM(J632:J633)+J698+J737+J794+SUM(J833:J834)</f>
        <v>0</v>
      </c>
      <c r="K888" s="10">
        <f>+SUM(K85:K87)+SUM(K209:K212)+SUM(K388:K392)+K536+K579+SUM(K632:K633)+K698+K737+K794+SUM(K833:K834)</f>
        <v>0</v>
      </c>
      <c r="L888" s="10">
        <f>+SUM(L85:L87)+SUM(L209:L212)+SUM(L388:L392)+L536+L579+SUM(L632:L633)+L698+L737+L794+SUM(L833:L834)</f>
        <v>0</v>
      </c>
      <c r="M888" s="38">
        <f t="shared" si="295"/>
        <v>0</v>
      </c>
      <c r="N888" s="10">
        <f>+SUM(N85:N87)+SUM(N209:N212)+SUM(N388:N392)+N536+N579+SUM(N632:N633)+N698+N737+N794+SUM(N833:N834)</f>
        <v>0</v>
      </c>
      <c r="O888" s="10">
        <f>+SUM(O85:O87)+SUM(O209:O212)+SUM(O388:O392)+O536+O579+SUM(O632:O633)+O698+O737+O794+SUM(O833:O834)</f>
        <v>0</v>
      </c>
      <c r="P888" s="10">
        <f>+SUM(P85:P87)+SUM(P209:P212)+SUM(P388:P392)+P536+P579+SUM(P632:P633)+P698+P737+P794+SUM(P833:P834)</f>
        <v>0</v>
      </c>
      <c r="Q888" s="38">
        <f t="shared" si="296"/>
        <v>0</v>
      </c>
      <c r="R888" s="38">
        <f>+E888+I888+M888+Q888</f>
        <v>0</v>
      </c>
    </row>
    <row r="889" spans="1:20" ht="15.75" customHeight="1" x14ac:dyDescent="0.3">
      <c r="A889" s="234" t="s">
        <v>2958</v>
      </c>
      <c r="B889" s="10">
        <f>+B315+B508+B509</f>
        <v>0</v>
      </c>
      <c r="C889" s="10">
        <f>+C315+C508+C509</f>
        <v>0</v>
      </c>
      <c r="D889" s="10">
        <f>+D315+D508+D509</f>
        <v>0</v>
      </c>
      <c r="E889" s="38">
        <f t="shared" si="293"/>
        <v>0</v>
      </c>
      <c r="F889" s="10">
        <f>+F315+F508+F509</f>
        <v>0</v>
      </c>
      <c r="G889" s="10">
        <f>+G315+G508+G509</f>
        <v>0</v>
      </c>
      <c r="H889" s="10">
        <f>+H315+H508+H509</f>
        <v>0</v>
      </c>
      <c r="I889" s="38">
        <f t="shared" si="294"/>
        <v>0</v>
      </c>
      <c r="J889" s="10">
        <f>+J315+J508+J509</f>
        <v>0</v>
      </c>
      <c r="K889" s="10">
        <f>+K315+K508+K509</f>
        <v>0</v>
      </c>
      <c r="L889" s="10">
        <f>+L315+L508+L509</f>
        <v>0</v>
      </c>
      <c r="M889" s="38">
        <f t="shared" si="295"/>
        <v>0</v>
      </c>
      <c r="N889" s="10">
        <f>+N315+N508+N509</f>
        <v>0</v>
      </c>
      <c r="O889" s="10">
        <f>+O315+O508+O509</f>
        <v>0</v>
      </c>
      <c r="P889" s="10">
        <f>+P315+P508+P509</f>
        <v>0</v>
      </c>
      <c r="Q889" s="38">
        <f t="shared" si="296"/>
        <v>0</v>
      </c>
      <c r="R889" s="38">
        <f t="shared" si="297"/>
        <v>0</v>
      </c>
    </row>
    <row r="890" spans="1:20" ht="15.75" customHeight="1" x14ac:dyDescent="0.3">
      <c r="A890" s="545" t="s">
        <v>2163</v>
      </c>
      <c r="B890" s="10">
        <f>+B316</f>
        <v>42</v>
      </c>
      <c r="C890" s="10">
        <f>+C316</f>
        <v>43</v>
      </c>
      <c r="D890" s="10">
        <f>+D316</f>
        <v>47</v>
      </c>
      <c r="E890" s="38">
        <f>SUM(B890:D890)</f>
        <v>132</v>
      </c>
      <c r="F890" s="10">
        <f>+F316</f>
        <v>52</v>
      </c>
      <c r="G890" s="10">
        <f>+G316</f>
        <v>52</v>
      </c>
      <c r="H890" s="10">
        <f>+H316</f>
        <v>57</v>
      </c>
      <c r="I890" s="38">
        <f>SUM(F890:H890)</f>
        <v>161</v>
      </c>
      <c r="J890" s="10">
        <f>+J316</f>
        <v>62</v>
      </c>
      <c r="K890" s="10">
        <f>+K316</f>
        <v>62</v>
      </c>
      <c r="L890" s="10">
        <f>+L316</f>
        <v>62</v>
      </c>
      <c r="M890" s="38">
        <f>SUM(J890:L890)</f>
        <v>186</v>
      </c>
      <c r="N890" s="10">
        <f>+N316</f>
        <v>57</v>
      </c>
      <c r="O890" s="10">
        <f>+O316</f>
        <v>42</v>
      </c>
      <c r="P890" s="10">
        <f>+P316</f>
        <v>47</v>
      </c>
      <c r="Q890" s="38">
        <f t="shared" si="296"/>
        <v>146</v>
      </c>
      <c r="R890" s="38">
        <f>+E890+I890+M890+Q890</f>
        <v>625</v>
      </c>
    </row>
    <row r="891" spans="1:20" ht="15.75" customHeight="1" thickBot="1" x14ac:dyDescent="0.35">
      <c r="A891" s="234" t="s">
        <v>2164</v>
      </c>
      <c r="B891" s="10">
        <f>+B88+B537+B580+B634+B699+B738+B795+B835</f>
        <v>0</v>
      </c>
      <c r="C891" s="10">
        <f>+C88+C537+C580+C634+C699+C738+C795+C835</f>
        <v>0</v>
      </c>
      <c r="D891" s="10">
        <f>+D88+D537+D580+D634+D699+D738+D795+D835</f>
        <v>0</v>
      </c>
      <c r="E891" s="38">
        <f t="shared" si="293"/>
        <v>0</v>
      </c>
      <c r="F891" s="10">
        <f>+F88+F537+F580+F634+F699+F738+F795+F835</f>
        <v>0</v>
      </c>
      <c r="G891" s="10">
        <f>+G88+G537+G580+G634+G699+G738+G795+G835</f>
        <v>0</v>
      </c>
      <c r="H891" s="10">
        <f>+H88+H537+H580+H634+H699+H738+H795+H835</f>
        <v>0</v>
      </c>
      <c r="I891" s="38">
        <f t="shared" si="294"/>
        <v>0</v>
      </c>
      <c r="J891" s="10">
        <f>+J88+J537+J580+J634+J699+J738+J795+J835</f>
        <v>0</v>
      </c>
      <c r="K891" s="10">
        <f>+K88+K537+K580+K634+K699+K738+K795+K835</f>
        <v>0</v>
      </c>
      <c r="L891" s="10">
        <f>+L88+L537+L580+L634+L699+L738+L795+L835</f>
        <v>0</v>
      </c>
      <c r="M891" s="38">
        <f t="shared" si="295"/>
        <v>0</v>
      </c>
      <c r="N891" s="10">
        <f>+N88+N537+N580+N634+N699+N738+N795+N835</f>
        <v>0</v>
      </c>
      <c r="O891" s="10">
        <f>+O88+O537+O580+O634+O699+O738+O795+O835</f>
        <v>0</v>
      </c>
      <c r="P891" s="10">
        <f>+P88+P537+P580+P634+P699+P738+P795+P835</f>
        <v>0</v>
      </c>
      <c r="Q891" s="38">
        <f t="shared" si="296"/>
        <v>0</v>
      </c>
      <c r="R891" s="38">
        <f t="shared" si="297"/>
        <v>0</v>
      </c>
    </row>
    <row r="892" spans="1:20" ht="16.5" customHeight="1" thickBot="1" x14ac:dyDescent="0.35">
      <c r="A892" s="43" t="s">
        <v>1218</v>
      </c>
      <c r="B892" s="45">
        <f>SUM(B885:B891)</f>
        <v>33570</v>
      </c>
      <c r="C892" s="46">
        <f>SUM(C885:C891)</f>
        <v>35756</v>
      </c>
      <c r="D892" s="46">
        <f>SUM(D885:D891)</f>
        <v>44491</v>
      </c>
      <c r="E892" s="37">
        <f t="shared" si="293"/>
        <v>113817</v>
      </c>
      <c r="F892" s="46">
        <f>SUM(F885:F891)</f>
        <v>53275</v>
      </c>
      <c r="G892" s="46">
        <f>SUM(G885:G891)</f>
        <v>55827</v>
      </c>
      <c r="H892" s="46">
        <f>SUM(H885:H891)</f>
        <v>72415</v>
      </c>
      <c r="I892" s="37">
        <f t="shared" si="294"/>
        <v>181517</v>
      </c>
      <c r="J892" s="46">
        <f>SUM(J885:J891)</f>
        <v>80637</v>
      </c>
      <c r="K892" s="46">
        <f>SUM(K885:K891)</f>
        <v>66962</v>
      </c>
      <c r="L892" s="46">
        <f>SUM(L885:L891)</f>
        <v>58667</v>
      </c>
      <c r="M892" s="37">
        <f t="shared" si="295"/>
        <v>206266</v>
      </c>
      <c r="N892" s="46">
        <f>SUM(N885:N891)</f>
        <v>42355</v>
      </c>
      <c r="O892" s="46">
        <f>SUM(O885:O891)</f>
        <v>31697</v>
      </c>
      <c r="P892" s="46">
        <f>SUM(P885:P891)</f>
        <v>32534</v>
      </c>
      <c r="Q892" s="37">
        <f t="shared" si="296"/>
        <v>106586</v>
      </c>
      <c r="R892" s="37">
        <f t="shared" si="297"/>
        <v>608186</v>
      </c>
      <c r="T892">
        <f>+R892-R889-R888</f>
        <v>608186</v>
      </c>
    </row>
    <row r="893" spans="1:20" ht="15.75" customHeight="1" x14ac:dyDescent="0.3">
      <c r="A893" s="234" t="s">
        <v>1172</v>
      </c>
      <c r="B893" s="10"/>
      <c r="C893" s="10"/>
      <c r="D893" s="10"/>
      <c r="E893" s="38" t="s">
        <v>852</v>
      </c>
      <c r="F893" s="10"/>
      <c r="G893" s="10"/>
      <c r="H893" s="10"/>
      <c r="I893" s="38" t="s">
        <v>852</v>
      </c>
      <c r="J893" s="10"/>
      <c r="K893" s="10"/>
      <c r="L893" s="10"/>
      <c r="M893" s="38" t="s">
        <v>852</v>
      </c>
      <c r="N893" s="10"/>
      <c r="O893" s="10"/>
      <c r="P893" s="10"/>
      <c r="Q893" s="38" t="s">
        <v>852</v>
      </c>
      <c r="R893" s="38" t="s">
        <v>852</v>
      </c>
    </row>
    <row r="894" spans="1:20" ht="15.75" customHeight="1" x14ac:dyDescent="0.3">
      <c r="A894" s="234" t="s">
        <v>1658</v>
      </c>
      <c r="B894" s="10">
        <f>SUM(B43:B43)+SUM(B216:B216)+SUM(B91:B91)+SUM(B396:B396)</f>
        <v>0</v>
      </c>
      <c r="C894" s="10">
        <f>SUM(C43:C43)+SUM(C216:C216)+SUM(C91:C91)+SUM(C396:C396)</f>
        <v>0</v>
      </c>
      <c r="D894" s="10">
        <f>SUM(D43:D43)+SUM(D216:D216)+SUM(D91:D91)+SUM(D396:D396)</f>
        <v>0</v>
      </c>
      <c r="E894" s="38">
        <f>SUM(B894:D894)</f>
        <v>0</v>
      </c>
      <c r="F894" s="10">
        <f>SUM(F43:F43)+SUM(F216:F216)+SUM(F91:F91)+SUM(F396:F396)</f>
        <v>0</v>
      </c>
      <c r="G894" s="10">
        <f>SUM(G43:G43)+SUM(G216:G216)+SUM(G91:G91)+SUM(G396:G396)</f>
        <v>0</v>
      </c>
      <c r="H894" s="10">
        <f>SUM(H43:H43)+SUM(H216:H216)+SUM(H91:H91)+SUM(H396:H396)</f>
        <v>0</v>
      </c>
      <c r="I894" s="38">
        <f>SUM(F894:H894)</f>
        <v>0</v>
      </c>
      <c r="J894" s="10">
        <f>SUM(J43:J43)+SUM(J216:J216)+SUM(J91:J91)+SUM(J396:J396)</f>
        <v>0</v>
      </c>
      <c r="K894" s="10">
        <f>SUM(K43:K43)+SUM(K216:K216)+SUM(K91:K91)+SUM(K396:K396)</f>
        <v>0</v>
      </c>
      <c r="L894" s="10">
        <f>SUM(L43:L43)+SUM(L216:L216)+SUM(L91:L91)+SUM(L396:L396)</f>
        <v>0</v>
      </c>
      <c r="M894" s="38">
        <f>SUM(J894:L894)</f>
        <v>0</v>
      </c>
      <c r="N894" s="10">
        <f>SUM(N43:N43)+SUM(N216:N216)+SUM(N91:N91)+SUM(N396:N396)</f>
        <v>0</v>
      </c>
      <c r="O894" s="10">
        <f>SUM(O43:O43)+SUM(O216:O216)+SUM(O91:O91)+SUM(O396:O396)</f>
        <v>0</v>
      </c>
      <c r="P894" s="10">
        <f>SUM(P43:P43)+SUM(P216:P216)+SUM(P91:P91)+SUM(P396:P396)</f>
        <v>0</v>
      </c>
      <c r="Q894" s="38">
        <f>SUM(N894:P894)</f>
        <v>0</v>
      </c>
      <c r="R894" s="38">
        <f>+E894+I894+M894+Q894</f>
        <v>0</v>
      </c>
    </row>
    <row r="895" spans="1:20" ht="15.75" customHeight="1" x14ac:dyDescent="0.3">
      <c r="A895" s="545" t="s">
        <v>2409</v>
      </c>
      <c r="B895" s="10">
        <f>+SUM(B93:B94)+SUM(B217:B219)+SUM(B397:B406)+B541+SUM(B583:B585)+SUM(B637:B639)+SUM(B702:B702)+B741+B798+SUM(B838:B839)</f>
        <v>2450</v>
      </c>
      <c r="C895" s="10">
        <f>+SUM(C93:C94)+SUM(C217:C219)+SUM(C397:C406)+C541+SUM(C583:C585)+SUM(C637:C639)+SUM(C702:C702)+C741+C798+SUM(C838:C839)</f>
        <v>8052</v>
      </c>
      <c r="D895" s="10">
        <f>+SUM(D93:D94)+SUM(D217:D219)+SUM(D397:D406)+D541+SUM(D583:D585)+SUM(D637:D639)+SUM(D702:D702)+D741+D798+SUM(D838:D839)</f>
        <v>19050</v>
      </c>
      <c r="E895" s="38">
        <f>SUM(B895:D895)</f>
        <v>29552</v>
      </c>
      <c r="F895" s="10">
        <f>+SUM(F93:F94)+SUM(F217:F219)+SUM(F397:F406)+F541+SUM(F583:F585)+SUM(F637:F639)+SUM(F702:F702)+F741+F798+SUM(F838:F839)</f>
        <v>39941</v>
      </c>
      <c r="G895" s="10">
        <f>+SUM(G93:G94)+SUM(G217:G219)+SUM(G397:G406)+G541+SUM(G583:G585)+SUM(G637:G639)+SUM(G702:G702)+G741+G798+SUM(G838:G839)</f>
        <v>41550</v>
      </c>
      <c r="H895" s="10">
        <f>+SUM(H93:H94)+SUM(H217:H219)+SUM(H397:H406)+H541+SUM(H583:H585)+SUM(H637:H639)+SUM(H702:H702)+H741+H798+SUM(H838:H839)</f>
        <v>48780</v>
      </c>
      <c r="I895" s="38">
        <f>SUM(F895:H895)</f>
        <v>130271</v>
      </c>
      <c r="J895" s="10">
        <f>+SUM(J93:J94)+SUM(J217:J219)+SUM(J397:J406)+J541+SUM(J583:J585)+SUM(J637:J639)+SUM(J702:J702)+J741+J798+SUM(J838:J839)</f>
        <v>33555</v>
      </c>
      <c r="K895" s="10">
        <f>+SUM(K93:K94)+SUM(K217:K219)+SUM(K397:K406)+K541+SUM(K583:K585)+SUM(K637:K639)+SUM(K702:K702)+K741+K798+SUM(K838:K839)</f>
        <v>28424</v>
      </c>
      <c r="L895" s="10">
        <f>+SUM(L93:L94)+SUM(L217:L219)+SUM(L397:L406)+L541+SUM(L583:L585)+SUM(L637:L639)+SUM(L702:L702)+L741+L798+SUM(L838:L839)</f>
        <v>13588</v>
      </c>
      <c r="M895" s="38">
        <f>SUM(J895:L895)</f>
        <v>75567</v>
      </c>
      <c r="N895" s="10">
        <f>+SUM(N93:N94)+SUM(N217:N219)+SUM(N397:N406)+N541+SUM(N583:N585)+SUM(N637:N639)+SUM(N702:N702)+N741+N798+SUM(N838:N839)</f>
        <v>9357</v>
      </c>
      <c r="O895" s="10">
        <f>+SUM(O93:O94)+SUM(O217:O219)+SUM(O397:O406)+O541+SUM(O583:O585)+SUM(O637:O639)+SUM(O702:O702)+O741+O798+SUM(O838:O839)</f>
        <v>7348</v>
      </c>
      <c r="P895" s="10">
        <f>+SUM(P93:P94)+SUM(P217:P219)+SUM(P397:P406)+P541+SUM(P583:P585)+SUM(P637:P639)+SUM(P702:P702)+P741+P798+SUM(P838:P839)</f>
        <v>4015</v>
      </c>
      <c r="Q895" s="38">
        <f>SUM(N895:P895)</f>
        <v>20720</v>
      </c>
      <c r="R895" s="38">
        <f>+E895+I895+M895+Q895</f>
        <v>256110</v>
      </c>
    </row>
    <row r="896" spans="1:20" ht="15.75" customHeight="1" thickBot="1" x14ac:dyDescent="0.35">
      <c r="A896" s="234" t="s">
        <v>2165</v>
      </c>
      <c r="B896" s="10">
        <f>+B95+B542+B586+B640+B703+B742+B799+B840+B407+B220+B45</f>
        <v>0</v>
      </c>
      <c r="C896" s="10">
        <f>+C95+C542+C586+C640+C703+C742+C799+C840+C407+C220+C45</f>
        <v>0</v>
      </c>
      <c r="D896" s="10">
        <f>+D95+D542+D586+D640+D703+D742+D799+D840+D407+D220+D45</f>
        <v>0</v>
      </c>
      <c r="E896" s="38">
        <f>SUM(B896:D896)</f>
        <v>0</v>
      </c>
      <c r="F896" s="10">
        <f>+F95+F542+F586+F640+F703+F742+F799+F840+F407+F220+F45</f>
        <v>0</v>
      </c>
      <c r="G896" s="10">
        <f>+G95+G542+G586+G640+G703+G742+G799+G840+G407+G220+G45</f>
        <v>0</v>
      </c>
      <c r="H896" s="10">
        <f>+H95+H542+H586+H640+H703+H742+H799+H840+H407+H220+H45</f>
        <v>0</v>
      </c>
      <c r="I896" s="38">
        <f>SUM(F896:H896)</f>
        <v>0</v>
      </c>
      <c r="J896" s="10">
        <f>+J95+J542+J586+J640+J703+J742+J799+J840+J407+J220+J45</f>
        <v>0</v>
      </c>
      <c r="K896" s="10">
        <f>+K95+K542+K586+K640+K703+K742+K799+K840+K407+K220+K45</f>
        <v>0</v>
      </c>
      <c r="L896" s="10">
        <f>+L95+L542+L586+L640+L703+L742+L799+L840+L407+L220+L45</f>
        <v>0</v>
      </c>
      <c r="M896" s="38">
        <f>SUM(J896:L896)</f>
        <v>0</v>
      </c>
      <c r="N896" s="10">
        <f>+N95+N542+N586+N640+N703+N742+N799+N840+N407+N220+N45</f>
        <v>0</v>
      </c>
      <c r="O896" s="10">
        <f>+O95+O542+O586+O640+O703+O742+O799+O840+O407+O220+O45</f>
        <v>0</v>
      </c>
      <c r="P896" s="10">
        <f>+P95+P542+P586+P640+P703+P742+P799+P840+P407+P220+P45</f>
        <v>0</v>
      </c>
      <c r="Q896" s="38">
        <f>SUM(N896:P896)</f>
        <v>0</v>
      </c>
      <c r="R896" s="38">
        <f>+E896+I896+M896+Q896</f>
        <v>0</v>
      </c>
    </row>
    <row r="897" spans="1:20" ht="16.5" customHeight="1" thickBot="1" x14ac:dyDescent="0.35">
      <c r="A897" s="43" t="s">
        <v>1219</v>
      </c>
      <c r="B897" s="45">
        <f>SUM(B893:B896)</f>
        <v>2450</v>
      </c>
      <c r="C897" s="46">
        <f>SUM(C893:C896)</f>
        <v>8052</v>
      </c>
      <c r="D897" s="46">
        <f>SUM(D893:D896)</f>
        <v>19050</v>
      </c>
      <c r="E897" s="37">
        <f>SUM(B897:D897)</f>
        <v>29552</v>
      </c>
      <c r="F897" s="46">
        <f>SUM(F893:F896)</f>
        <v>39941</v>
      </c>
      <c r="G897" s="46">
        <f>SUM(G893:G896)</f>
        <v>41550</v>
      </c>
      <c r="H897" s="46">
        <f>SUM(H893:H896)</f>
        <v>48780</v>
      </c>
      <c r="I897" s="37">
        <f>SUM(F897:H897)</f>
        <v>130271</v>
      </c>
      <c r="J897" s="46">
        <f>SUM(J893:J896)</f>
        <v>33555</v>
      </c>
      <c r="K897" s="46">
        <f>SUM(K893:K896)</f>
        <v>28424</v>
      </c>
      <c r="L897" s="46">
        <f>SUM(L893:L896)</f>
        <v>13588</v>
      </c>
      <c r="M897" s="37">
        <f>SUM(J897:L897)</f>
        <v>75567</v>
      </c>
      <c r="N897" s="46">
        <f>SUM(N893:N896)</f>
        <v>9357</v>
      </c>
      <c r="O897" s="46">
        <f>SUM(O893:O896)</f>
        <v>7348</v>
      </c>
      <c r="P897" s="46">
        <f>SUM(P893:P896)</f>
        <v>4015</v>
      </c>
      <c r="Q897" s="37">
        <f>SUM(N897:P897)</f>
        <v>20720</v>
      </c>
      <c r="R897" s="37">
        <f>+E897+I897+M897+Q897</f>
        <v>256110</v>
      </c>
    </row>
    <row r="898" spans="1:20" ht="15.75" customHeight="1" x14ac:dyDescent="0.3">
      <c r="A898" s="234" t="s">
        <v>2166</v>
      </c>
      <c r="B898" s="10"/>
      <c r="C898" s="10"/>
      <c r="D898" s="10"/>
      <c r="E898" s="38" t="s">
        <v>852</v>
      </c>
      <c r="F898" s="10"/>
      <c r="G898" s="10"/>
      <c r="H898" s="10"/>
      <c r="I898" s="38" t="s">
        <v>852</v>
      </c>
      <c r="J898" s="10"/>
      <c r="K898" s="10"/>
      <c r="L898" s="10"/>
      <c r="M898" s="38" t="s">
        <v>852</v>
      </c>
      <c r="N898" s="10"/>
      <c r="O898" s="10"/>
      <c r="P898" s="10"/>
      <c r="Q898" s="38" t="s">
        <v>852</v>
      </c>
      <c r="R898" s="38" t="s">
        <v>852</v>
      </c>
    </row>
    <row r="899" spans="1:20" ht="15.75" customHeight="1" x14ac:dyDescent="0.3">
      <c r="A899" s="545" t="s">
        <v>1245</v>
      </c>
      <c r="B899" s="10">
        <f>+B48+B98+B223+SUM(B410:B414)+B545+B589+B643+B706+SUM(B745:B746)+B802+SUM(B843:B845)</f>
        <v>9809</v>
      </c>
      <c r="C899" s="10">
        <f>+C48+C98+C223+SUM(C410:C414)+C545+C589+C643+C706+SUM(C745:C746)+C802+SUM(C843:C845)</f>
        <v>9014</v>
      </c>
      <c r="D899" s="10">
        <f>+D48+D98+D223+SUM(D410:D414)+D545+D589+D643+D706+SUM(D745:D746)+D802+SUM(D843:D845)</f>
        <v>17640</v>
      </c>
      <c r="E899" s="38">
        <f>SUM(B899:D899)</f>
        <v>36463</v>
      </c>
      <c r="F899" s="10">
        <f>+F48+F98+F223+SUM(F410:F414)+F545+F589+F643+F706+SUM(F745:F746)+F802+SUM(F843:F845)</f>
        <v>18545</v>
      </c>
      <c r="G899" s="10">
        <f>+G48+G98+G223+SUM(G410:G414)+G545+G589+G643+G706+SUM(G745:G746)+G802+SUM(G843:G845)</f>
        <v>22758</v>
      </c>
      <c r="H899" s="10">
        <f>+H48+H98+H223+SUM(H410:H414)+H545+H589+H643+H706+SUM(H745:H746)+H802+SUM(H843:H845)</f>
        <v>26619</v>
      </c>
      <c r="I899" s="38">
        <f>SUM(F899:H899)</f>
        <v>67922</v>
      </c>
      <c r="J899" s="10">
        <f>+J48+J98+J223+SUM(J410:J414)+J545+J589+J643+J706+SUM(J745:J746)+J802+SUM(J843:J845)</f>
        <v>23479</v>
      </c>
      <c r="K899" s="10">
        <f>+K48+K98+K223+SUM(K410:K414)+K545+K589+K643+K706+SUM(K745:K746)+K802+SUM(K843:K845)</f>
        <v>18963</v>
      </c>
      <c r="L899" s="10">
        <f>+L48+L98+L223+SUM(L410:L414)+L545+L589+L643+L706+SUM(L745:L746)+L802+SUM(L843:L845)</f>
        <v>18018</v>
      </c>
      <c r="M899" s="38">
        <f>SUM(J899:L899)</f>
        <v>60460</v>
      </c>
      <c r="N899" s="10">
        <f>+N48+N98+N223+SUM(N410:N414)+N545+N589+N643+N706+SUM(N745:N746)+N802+SUM(N843:N845)</f>
        <v>14993</v>
      </c>
      <c r="O899" s="10">
        <f>+O48+O98+O223+SUM(O410:O414)+O545+O589+O643+O706+SUM(O745:O746)+O802+SUM(O843:O845)</f>
        <v>3333</v>
      </c>
      <c r="P899" s="10">
        <f>+P48+P98+P223+SUM(P410:P414)+P545+P589+P643+P706+SUM(P745:P746)+P802+SUM(P843:P845)</f>
        <v>5942</v>
      </c>
      <c r="Q899" s="38">
        <f>SUM(N899:P899)</f>
        <v>24268</v>
      </c>
      <c r="R899" s="38">
        <f>+E899+I899+M899+Q899</f>
        <v>189113</v>
      </c>
    </row>
    <row r="900" spans="1:20" ht="15.75" customHeight="1" thickBot="1" x14ac:dyDescent="0.35">
      <c r="A900" s="545" t="s">
        <v>1711</v>
      </c>
      <c r="B900" s="10">
        <f>+B49+SUM(B99:B107)+SUM(B224:B291)+SUM(B415:B479)+SUM(B546:B549)+SUM(B590:B591)+SUM(B644:B651)+B707+SUM(B747:B756)+B803+SUM(B846:B852)</f>
        <v>22663</v>
      </c>
      <c r="C900" s="10">
        <f>+C49+SUM(C99:C107)+SUM(C224:C291)+SUM(C415:C479)+SUM(C546:C549)+SUM(C590:C591)+SUM(C644:C651)+C707+SUM(C747:C756)+C803+SUM(C846:C852)</f>
        <v>23783</v>
      </c>
      <c r="D900" s="10">
        <f>+D49+SUM(D99:D107)+SUM(D224:D291)+SUM(D415:D479)+SUM(D546:D549)+SUM(D590:D591)+SUM(D644:D651)+D707+SUM(D747:D756)+D803+SUM(D846:D852)</f>
        <v>32373</v>
      </c>
      <c r="E900" s="38">
        <f>SUM(B900:D900)</f>
        <v>78819</v>
      </c>
      <c r="F900" s="10">
        <f>+F49+SUM(F99:F107)+SUM(F224:F291)+SUM(F415:F479)+SUM(F546:F549)+SUM(F590:F591)+SUM(F644:F651)+F707+SUM(F747:F756)+F803+SUM(F846:F852)</f>
        <v>40697</v>
      </c>
      <c r="G900" s="10">
        <f>+G49+SUM(G99:G107)+SUM(G224:G291)+SUM(G415:G479)+SUM(G546:G549)+SUM(G590:G591)+SUM(G644:G651)+G707+SUM(G747:G756)+G803+SUM(G846:G852)</f>
        <v>46393</v>
      </c>
      <c r="H900" s="10">
        <f>+H49+SUM(H99:H107)+SUM(H224:H291)+SUM(H415:H479)+SUM(H546:H549)+SUM(H590:H591)+SUM(H644:H651)+H707+SUM(H747:H756)+H803+SUM(H846:H852)</f>
        <v>39347</v>
      </c>
      <c r="I900" s="38">
        <f>SUM(F900:H900)</f>
        <v>126437</v>
      </c>
      <c r="J900" s="10">
        <f>+J49+SUM(J99:J107)+SUM(J224:J291)+SUM(J415:J479)+SUM(J546:J549)+SUM(J590:J591)+SUM(J644:J651)+J707+SUM(J747:J756)+J803+SUM(J846:J852)</f>
        <v>49941</v>
      </c>
      <c r="K900" s="10">
        <f>+K49+SUM(K99:K107)+SUM(K224:K291)+SUM(K415:K479)+SUM(K546:K549)+SUM(K590:K591)+SUM(K644:K651)+K707+SUM(K747:K756)+K803+SUM(K846:K852)</f>
        <v>31251</v>
      </c>
      <c r="L900" s="10">
        <f>+L49+SUM(L99:L107)+SUM(L224:L291)+SUM(L415:L479)+SUM(L546:L549)+SUM(L590:L591)+SUM(L644:L651)+L707+SUM(L747:L756)+L803+SUM(L846:L852)</f>
        <v>18583</v>
      </c>
      <c r="M900" s="38">
        <f>SUM(J900:L900)</f>
        <v>99775</v>
      </c>
      <c r="N900" s="10">
        <f>+N49+SUM(N99:N107)+SUM(N224:N291)+SUM(N415:N479)+SUM(N546:N549)+SUM(N590:N591)+SUM(N644:N651)+N707+SUM(N747:N756)+N803+SUM(N846:N852)</f>
        <v>12610</v>
      </c>
      <c r="O900" s="10">
        <f>+O49+SUM(O99:O107)+SUM(O224:O291)+SUM(O415:O479)+SUM(O546:O549)+SUM(O590:O591)+SUM(O644:O651)+O707+SUM(O747:O756)+O803+SUM(O846:O852)</f>
        <v>9194</v>
      </c>
      <c r="P900" s="10">
        <f>+P49+SUM(P99:P107)+SUM(P224:P291)+SUM(P415:P479)+SUM(P546:P549)+SUM(P590:P591)+SUM(P644:P651)+P707+SUM(P747:P756)+P803+SUM(P846:P852)</f>
        <v>13125</v>
      </c>
      <c r="Q900" s="38">
        <f>SUM(N900:P900)</f>
        <v>34929</v>
      </c>
      <c r="R900" s="38">
        <f>+E900+I900+M900+Q900</f>
        <v>339960</v>
      </c>
    </row>
    <row r="901" spans="1:20" ht="16.5" customHeight="1" thickBot="1" x14ac:dyDescent="0.35">
      <c r="A901" s="43" t="s">
        <v>1220</v>
      </c>
      <c r="B901" s="45">
        <f>SUM(B898:B900)</f>
        <v>32472</v>
      </c>
      <c r="C901" s="46">
        <f>SUM(C898:C900)</f>
        <v>32797</v>
      </c>
      <c r="D901" s="58">
        <f>SUM(D898:D900)</f>
        <v>50013</v>
      </c>
      <c r="E901" s="37">
        <f>SUM(B901:D901)</f>
        <v>115282</v>
      </c>
      <c r="F901" s="46">
        <f>SUM(F898:F900)</f>
        <v>59242</v>
      </c>
      <c r="G901" s="46">
        <f>SUM(G898:G900)</f>
        <v>69151</v>
      </c>
      <c r="H901" s="46">
        <f>SUM(H898:H900)</f>
        <v>65966</v>
      </c>
      <c r="I901" s="37">
        <f>SUM(F901:H901)</f>
        <v>194359</v>
      </c>
      <c r="J901" s="46">
        <f>SUM(J898:J900)</f>
        <v>73420</v>
      </c>
      <c r="K901" s="46">
        <f>SUM(K898:K900)</f>
        <v>50214</v>
      </c>
      <c r="L901" s="46">
        <f>SUM(L898:L900)</f>
        <v>36601</v>
      </c>
      <c r="M901" s="37">
        <f>SUM(J901:L901)</f>
        <v>160235</v>
      </c>
      <c r="N901" s="46">
        <f>SUM(N898:N900)</f>
        <v>27603</v>
      </c>
      <c r="O901" s="46">
        <f>SUM(O898:O900)</f>
        <v>12527</v>
      </c>
      <c r="P901" s="46">
        <f>SUM(P898:P900)</f>
        <v>19067</v>
      </c>
      <c r="Q901" s="37">
        <f>SUM(N901:P901)</f>
        <v>59197</v>
      </c>
      <c r="R901" s="37">
        <f>+E901+I901+M901+Q901</f>
        <v>529073</v>
      </c>
      <c r="T901">
        <v>1600000</v>
      </c>
    </row>
    <row r="902" spans="1:20" ht="20.25" customHeight="1" x14ac:dyDescent="0.3">
      <c r="A902" s="234" t="s">
        <v>2645</v>
      </c>
      <c r="B902" s="10"/>
      <c r="C902" s="10"/>
      <c r="D902" s="10"/>
      <c r="E902" s="38" t="s">
        <v>852</v>
      </c>
      <c r="F902" s="10"/>
      <c r="G902" s="10"/>
      <c r="H902" s="10"/>
      <c r="I902" s="38" t="s">
        <v>852</v>
      </c>
      <c r="J902" s="10"/>
      <c r="K902" s="10"/>
      <c r="L902" s="10"/>
      <c r="M902" s="38" t="s">
        <v>852</v>
      </c>
      <c r="N902" s="10"/>
      <c r="O902" s="10"/>
      <c r="P902" s="10"/>
      <c r="Q902" s="38" t="s">
        <v>852</v>
      </c>
      <c r="R902" s="38" t="s">
        <v>852</v>
      </c>
      <c r="T902">
        <f>+T901-28000-R886-R887-400000-R899-R900+12000</f>
        <v>47366</v>
      </c>
    </row>
    <row r="903" spans="1:20" ht="15.75" customHeight="1" x14ac:dyDescent="0.3">
      <c r="A903" s="234" t="s">
        <v>2643</v>
      </c>
      <c r="B903" s="10">
        <f>SUM(B52:B52)+SUM(B110:B118)+SUM(B294:B296)+SUM(B482:B483)+SUM(B552:B552)+B594+SUM(B654:B656)+B710+B759+B806+SUM(B855:B857)</f>
        <v>0</v>
      </c>
      <c r="C903" s="10">
        <f>SUM(C52:C52)+SUM(C110:C118)+SUM(C294:C296)+SUM(C482:C483)+SUM(C552:C552)+C594+SUM(C654:C656)+C710+C759+C806+SUM(C855:C857)</f>
        <v>0</v>
      </c>
      <c r="D903" s="10">
        <f>SUM(D52:D52)+SUM(D110:D118)+SUM(D294:D296)+SUM(D482:D483)+SUM(D552:D552)+D594+SUM(D654:D656)+D710+D759+D806+SUM(D855:D857)</f>
        <v>0</v>
      </c>
      <c r="E903" s="38">
        <f t="shared" ref="E903:E911" si="298">SUM(B903:D903)</f>
        <v>0</v>
      </c>
      <c r="F903" s="10">
        <f>SUM(F52:F52)+SUM(F110:F118)+SUM(F294:F296)+SUM(F482:F483)+SUM(F552:F552)+F594+SUM(F654:F656)+F710+F759+F806+SUM(F855:F857)</f>
        <v>0</v>
      </c>
      <c r="G903" s="10">
        <f>SUM(G52:G52)+SUM(G110:G118)+SUM(G294:G296)+SUM(G482:G483)+SUM(G552:G552)+G594+SUM(G654:G656)+G710+G759+G806+SUM(G855:G857)</f>
        <v>0</v>
      </c>
      <c r="H903" s="10">
        <f>SUM(H52:H52)+SUM(H110:H118)+SUM(H294:H296)+SUM(H482:H483)+SUM(H552:H552)+H594+SUM(H654:H656)+H710+H759+H806+SUM(H855:H857)</f>
        <v>0</v>
      </c>
      <c r="I903" s="38">
        <f t="shared" ref="I903:I911" si="299">SUM(F903:H903)</f>
        <v>0</v>
      </c>
      <c r="J903" s="10">
        <f>SUM(J52:J52)+SUM(J110:J118)+SUM(J294:J296)+SUM(J482:J483)+SUM(J552:J552)+J594+SUM(J654:J656)+J710+J759+J806+SUM(J855:J857)</f>
        <v>0</v>
      </c>
      <c r="K903" s="10">
        <f>SUM(K52:K52)+SUM(K110:K118)+SUM(K294:K296)+SUM(K482:K483)+SUM(K552:K552)+K594+SUM(K654:K656)+K710+K759+K806+SUM(K855:K857)</f>
        <v>0</v>
      </c>
      <c r="L903" s="10">
        <f>SUM(L52:L52)+SUM(L110:L118)+SUM(L294:L296)+SUM(L482:L483)+SUM(L552:L552)+L594+SUM(L654:L656)+L710+L759+L806+SUM(L855:L857)</f>
        <v>0</v>
      </c>
      <c r="M903" s="38">
        <f t="shared" ref="M903:M911" si="300">SUM(J903:L903)</f>
        <v>0</v>
      </c>
      <c r="N903" s="10">
        <f>SUM(N52:N52)+SUM(N110:N118)+SUM(N294:N296)+SUM(N482:N483)+SUM(N552:N552)+N594+SUM(N654:N656)+N710+N759+N806+SUM(N855:N857)</f>
        <v>0</v>
      </c>
      <c r="O903" s="10">
        <f>SUM(O52:O52)+SUM(O110:O118)+SUM(O294:O296)+SUM(O482:O483)+SUM(O552:O552)+O594+SUM(O654:O656)+O710+O759+O806+SUM(O855:O857)</f>
        <v>0</v>
      </c>
      <c r="P903" s="10">
        <f>SUM(P52:P52)+SUM(P110:P118)+SUM(P294:P296)+SUM(P482:P483)+SUM(P552:P552)+P594+SUM(P654:P656)+P710+P759+P806+SUM(P855:P857)</f>
        <v>0</v>
      </c>
      <c r="Q903" s="38">
        <f t="shared" ref="Q903:Q911" si="301">SUM(N903:P903)</f>
        <v>0</v>
      </c>
      <c r="R903" s="38">
        <f>+E903+I903+M903+Q903</f>
        <v>0</v>
      </c>
    </row>
    <row r="904" spans="1:20" ht="15.75" customHeight="1" x14ac:dyDescent="0.3">
      <c r="A904" s="234" t="s">
        <v>557</v>
      </c>
      <c r="B904" s="10">
        <f>SUM(B53:B54)+SUM(B119:B120)+SUM(B297:B298)+B300+B302+B304+B305+SUM(B484:B486)+B553+B595+SUM(B657:B658)+B660+SUM(B711:B712)+B761+B763+B807+SUM(B858:B859)</f>
        <v>0</v>
      </c>
      <c r="C904" s="10">
        <f>SUM(C53:C54)+SUM(C119:C120)+SUM(C297:C298)+C300+C302+C304+C305+SUM(C484:C486)+C553+C595+SUM(C657:C658)+C660+SUM(C711:C712)+C761+C763+C807+SUM(C858:C859)</f>
        <v>0</v>
      </c>
      <c r="D904" s="10">
        <f>SUM(D53:D54)+SUM(D119:D120)+SUM(D297:D298)+D300+D302+D304+D305+SUM(D484:D486)+D553+D595+SUM(D657:D658)+D660+SUM(D711:D712)+D761+D763+D807+SUM(D858:D859)</f>
        <v>0</v>
      </c>
      <c r="E904" s="38">
        <f t="shared" si="298"/>
        <v>0</v>
      </c>
      <c r="F904" s="10">
        <f>SUM(F53:F54)+SUM(F119:F120)+SUM(F297:F298)+F300+F302+F304+F305+SUM(F484:F486)+F553+F595+SUM(F657:F658)+F660+SUM(F711:F712)+F761+F763+F807+SUM(F858:F859)</f>
        <v>0</v>
      </c>
      <c r="G904" s="10">
        <f>SUM(G53:G54)+SUM(G119:G120)+SUM(G297:G298)+G300+G302+G304+G305+SUM(G484:G486)+G553+G595+SUM(G657:G658)+G660+SUM(G711:G712)+G761+G763+G807+SUM(G858:G859)</f>
        <v>0</v>
      </c>
      <c r="H904" s="10">
        <f>SUM(H53:H54)+SUM(H119:H120)+SUM(H297:H298)+H300+H302+H304+H305+SUM(H484:H486)+H553+H595+SUM(H657:H658)+H660+SUM(H711:H712)+H761+H763+H807+SUM(H858:H859)</f>
        <v>0</v>
      </c>
      <c r="I904" s="38">
        <f t="shared" si="299"/>
        <v>0</v>
      </c>
      <c r="J904" s="10">
        <f>SUM(J53:J54)+SUM(J119:J120)+SUM(J297:J298)+J300+J302+J304+J305+SUM(J484:J486)+J553+J595+SUM(J657:J658)+J660+SUM(J711:J712)+J761+J763+J807+SUM(J858:J859)</f>
        <v>0</v>
      </c>
      <c r="K904" s="10">
        <f>SUM(K53:K54)+SUM(K119:K120)+SUM(K297:K298)+K300+K302+K304+K305+SUM(K484:K486)+K553+K595+SUM(K657:K658)+K660+SUM(K711:K712)+K761+K763+K807+SUM(K858:K859)</f>
        <v>0</v>
      </c>
      <c r="L904" s="10">
        <f>SUM(L53:L54)+SUM(L119:L120)+SUM(L297:L298)+L300+L302+L304+L305+SUM(L484:L486)+L553+L595+SUM(L657:L658)+L660+SUM(L711:L712)+L761+L763+L807+SUM(L858:L859)</f>
        <v>0</v>
      </c>
      <c r="M904" s="38">
        <f t="shared" si="300"/>
        <v>0</v>
      </c>
      <c r="N904" s="10">
        <f>SUM(N53:N54)+SUM(N119:N120)+SUM(N297:N298)+N300+N302+N304+N305+SUM(N484:N486)+N553+N595+SUM(N657:N658)+N660+SUM(N711:N712)+N761+N763+N807+SUM(N858:N859)</f>
        <v>0</v>
      </c>
      <c r="O904" s="10">
        <f>SUM(O53:O54)+SUM(O119:O120)+SUM(O297:O298)+O300+O302+O304+O305+SUM(O484:O486)+O553+O595+SUM(O657:O658)+O660+SUM(O711:O712)+O761+O763+O807+SUM(O858:O859)</f>
        <v>0</v>
      </c>
      <c r="P904" s="10">
        <f>SUM(P53:P54)+SUM(P119:P120)+SUM(P297:P298)+P300+P302+P304+P305+SUM(P484:P486)+P553+P595+SUM(P657:P658)+P660+SUM(P711:P712)+P761+P763+P807+SUM(P858:P859)</f>
        <v>0</v>
      </c>
      <c r="Q904" s="38">
        <f t="shared" si="301"/>
        <v>0</v>
      </c>
      <c r="R904" s="38">
        <f t="shared" ref="R904:R911" si="302">+E904+I904+M904+Q904</f>
        <v>0</v>
      </c>
    </row>
    <row r="905" spans="1:20" ht="17.399999999999999" x14ac:dyDescent="0.3">
      <c r="A905" s="539" t="s">
        <v>3281</v>
      </c>
      <c r="B905" s="10">
        <f>B121+B299+B301+B303+B659+B661+B762+B764+B860</f>
        <v>0</v>
      </c>
      <c r="C905" s="10">
        <f>C121+C299+C301+C303+C659+C661+C762+C764+C860</f>
        <v>0</v>
      </c>
      <c r="D905" s="10">
        <f>D121+D299+D301+D303+D659+D661+D762+D764+D860</f>
        <v>0</v>
      </c>
      <c r="E905" s="38">
        <f t="shared" si="298"/>
        <v>0</v>
      </c>
      <c r="F905" s="10">
        <f>F121+F299+F301+F303+F659+F661+F762+F764+F860</f>
        <v>0</v>
      </c>
      <c r="G905" s="10">
        <f>G121+G299+G301+G303+G659+G661+G762+G764+G860</f>
        <v>0</v>
      </c>
      <c r="H905" s="10">
        <f>H121+H299+H301+H303+H659+H661+H762+H764+H860</f>
        <v>0</v>
      </c>
      <c r="I905" s="38">
        <f t="shared" si="299"/>
        <v>0</v>
      </c>
      <c r="J905" s="10">
        <f>J121+J299+J301+J303+J659+J661+J762+J764+J860</f>
        <v>0</v>
      </c>
      <c r="K905" s="10">
        <f>K121+K299+K301+K303+K659+K661+K762+K764+K860</f>
        <v>0</v>
      </c>
      <c r="L905" s="10">
        <f>L121+L299+L301+L303+L659+L661+L762+L764+L860</f>
        <v>0</v>
      </c>
      <c r="M905" s="38">
        <f t="shared" si="300"/>
        <v>0</v>
      </c>
      <c r="N905" s="10">
        <f>N121+N299+N301+N303+N659+N661+N762+N764+N860</f>
        <v>0</v>
      </c>
      <c r="O905" s="10">
        <f>O121+O299+O301+O303+O659+O661+O762+O764+O860</f>
        <v>0</v>
      </c>
      <c r="P905" s="10">
        <f>P121+P299+P301+P303+P659+P661+P762+P764+P860</f>
        <v>0</v>
      </c>
      <c r="Q905" s="38">
        <f t="shared" si="301"/>
        <v>0</v>
      </c>
      <c r="R905" s="38">
        <f t="shared" si="302"/>
        <v>0</v>
      </c>
    </row>
    <row r="906" spans="1:20" ht="15.75" customHeight="1" x14ac:dyDescent="0.3">
      <c r="A906" s="234" t="s">
        <v>2644</v>
      </c>
      <c r="B906" s="10">
        <f>+B55+SUM(B122:B123)+SUM(B306:B307)+SUM(B487:B493)+SUM(B554:B554)+SUM(B596:B597)+SUM(B662:B664)+B713+B765+B861+B861+B808</f>
        <v>0</v>
      </c>
      <c r="C906" s="10">
        <f>+C55+SUM(C122:C123)+SUM(C306:C307)+SUM(C487:C493)+SUM(C554:C554)+SUM(C596:C597)+SUM(C662:C664)+C713+C765+C861+C861+C808</f>
        <v>0</v>
      </c>
      <c r="D906" s="10">
        <f>+D55+SUM(D122:D123)+SUM(D306:D307)+SUM(D487:D493)+SUM(D554:D554)+SUM(D596:D597)+SUM(D662:D664)+D713+D765+D861+D861+D808</f>
        <v>0</v>
      </c>
      <c r="E906" s="38">
        <f t="shared" si="298"/>
        <v>0</v>
      </c>
      <c r="F906" s="10">
        <f>+F55+SUM(F122:F123)+SUM(F306:F307)+SUM(F487:F493)+SUM(F554:F554)+SUM(F596:F597)+SUM(F662:F664)+F713+F765+F861+F861+F808</f>
        <v>0</v>
      </c>
      <c r="G906" s="10">
        <f>+G55+SUM(G122:G123)+SUM(G306:G307)+SUM(G487:G493)+SUM(G554:G554)+SUM(G596:G597)+SUM(G662:G664)+G713+G765+G861+G861+G808</f>
        <v>0</v>
      </c>
      <c r="H906" s="10">
        <f>+H55+SUM(H122:H123)+SUM(H306:H307)+SUM(H487:H493)+SUM(H554:H554)+SUM(H596:H597)+SUM(H662:H664)+H713+H765+H861+H861+H808</f>
        <v>0</v>
      </c>
      <c r="I906" s="38">
        <f t="shared" si="299"/>
        <v>0</v>
      </c>
      <c r="J906" s="10">
        <f>+J55+SUM(J122:J123)+SUM(J306:J307)+SUM(J487:J493)+SUM(J554:J554)+SUM(J596:J597)+SUM(J662:J664)+J713+J765+J861+J861+J808</f>
        <v>0</v>
      </c>
      <c r="K906" s="10">
        <f>+K55+SUM(K122:K123)+SUM(K306:K307)+SUM(K487:K493)+SUM(K554:K554)+SUM(K596:K597)+SUM(K662:K664)+K713+K765+K861+K861+K808</f>
        <v>0</v>
      </c>
      <c r="L906" s="10">
        <f>+L55+SUM(L122:L123)+SUM(L306:L307)+SUM(L487:L493)+SUM(L554:L554)+SUM(L596:L597)+SUM(L662:L664)+L713+L765+L861+L861+L808</f>
        <v>0</v>
      </c>
      <c r="M906" s="38">
        <f t="shared" si="300"/>
        <v>0</v>
      </c>
      <c r="N906" s="10">
        <f>+N55+SUM(N122:N123)+SUM(N306:N307)+SUM(N487:N493)+SUM(N554:N554)+SUM(N596:N597)+SUM(N662:N664)+N713+N765+N861+N861+N808</f>
        <v>0</v>
      </c>
      <c r="O906" s="10">
        <f>+O55+SUM(O122:O123)+SUM(O306:O307)+SUM(O487:O493)+SUM(O554:O554)+SUM(O596:O597)+SUM(O662:O664)+O713+O765+O861+O861+O808</f>
        <v>0</v>
      </c>
      <c r="P906" s="10">
        <f>+P55+SUM(P122:P123)+SUM(P306:P307)+SUM(P487:P493)+SUM(P554:P554)+SUM(P596:P597)+SUM(P662:P664)+P713+P765+P861+P861+P808</f>
        <v>0</v>
      </c>
      <c r="Q906" s="38">
        <f t="shared" si="301"/>
        <v>0</v>
      </c>
      <c r="R906" s="38">
        <f>+E906+I906+M906+Q906</f>
        <v>0</v>
      </c>
    </row>
    <row r="907" spans="1:20" ht="22.5" customHeight="1" x14ac:dyDescent="0.3">
      <c r="A907" s="234" t="s">
        <v>559</v>
      </c>
      <c r="B907" s="10">
        <f>SUM(B126:B126)+SUM(B308:B309)+B495+B498+B499+B501+B504+SUM(B555:B556)+B599+B602+B665+B666+B668+B714+B766+B809+B862</f>
        <v>0</v>
      </c>
      <c r="C907" s="10">
        <f>SUM(C126:C126)+SUM(C308:C309)+C495+C498+C499+C501+C504+SUM(C555:C556)+C599+C602+C665+C666+C668+C714+C766+C809+C862</f>
        <v>0</v>
      </c>
      <c r="D907" s="10">
        <f>SUM(D126:D126)+SUM(D308:D309)+D495+D498+D499+D501+D504+SUM(D555:D556)+D599+D602+D665+D666+D668+D714+D766+D809+D862</f>
        <v>0</v>
      </c>
      <c r="E907" s="38">
        <f t="shared" si="298"/>
        <v>0</v>
      </c>
      <c r="F907" s="10">
        <f>SUM(F126:F126)+SUM(F308:F309)+F495+F498+F499+F501+F504+SUM(F555:F556)+F599+F602+F665+F666+F668+F714+F766+F809+F862</f>
        <v>0</v>
      </c>
      <c r="G907" s="10">
        <f>SUM(G126:G126)+SUM(G308:G309)+G495+G498+G499+G501+G504+SUM(G555:G556)+G599+G602+G665+G666+G668+G714+G766+G809+G862</f>
        <v>0</v>
      </c>
      <c r="H907" s="10">
        <f>SUM(H126:H126)+SUM(H308:H309)+H495+H498+H499+H501+H504+SUM(H555:H556)+H599+H602+H665+H666+H668+H714+H766+H809+H862</f>
        <v>0</v>
      </c>
      <c r="I907" s="38">
        <f t="shared" si="299"/>
        <v>0</v>
      </c>
      <c r="J907" s="10">
        <f>SUM(J126:J126)+SUM(J308:J309)+J495+J498+J499+J501+J504+SUM(J555:J556)+J599+J602+J665+J666+J668+J714+J766+J809+J862</f>
        <v>0</v>
      </c>
      <c r="K907" s="10">
        <f>SUM(K126:K126)+SUM(K308:K309)+K495+K498+K499+K501+K504+SUM(K555:K556)+K599+K602+K665+K666+K668+K714+K766+K809+K862</f>
        <v>0</v>
      </c>
      <c r="L907" s="10">
        <f>SUM(L126:L126)+SUM(L308:L309)+L495+L498+L499+L501+L504+SUM(L555:L556)+L599+L602+L665+L666+L668+L714+L766+L809+L862</f>
        <v>0</v>
      </c>
      <c r="M907" s="38">
        <f t="shared" si="300"/>
        <v>0</v>
      </c>
      <c r="N907" s="10">
        <f>SUM(N126:N126)+SUM(N308:N309)+N495+N498+N499+N501+N504+SUM(N555:N556)+N599+N602+N665+N666+N668+N714+N766+N809+N862</f>
        <v>0</v>
      </c>
      <c r="O907" s="10">
        <f>SUM(O126:O126)+SUM(O308:O309)+O495+O498+O499+O501+O504+SUM(O555:O556)+O599+O602+O665+O666+O668+O714+O766+O809+O862</f>
        <v>0</v>
      </c>
      <c r="P907" s="10">
        <f>SUM(P126:P126)+SUM(P308:P309)+P495+P498+P499+P501+P504+SUM(P555:P556)+P599+P602+P665+P666+P668+P714+P766+P809+P862</f>
        <v>0</v>
      </c>
      <c r="Q907" s="38">
        <f t="shared" si="301"/>
        <v>0</v>
      </c>
      <c r="R907" s="38">
        <f>+E907+I907+M907+Q907</f>
        <v>0</v>
      </c>
    </row>
    <row r="908" spans="1:20" ht="18" thickBot="1" x14ac:dyDescent="0.35">
      <c r="A908" s="539" t="s">
        <v>3280</v>
      </c>
      <c r="B908" s="10">
        <f>+B496+B500+B502+B557+B125+B497+B503+B600+B601+B667</f>
        <v>0</v>
      </c>
      <c r="C908" s="10">
        <f>+C496+C500+C502+C557+C125+C497+C503+C600+C601+C667</f>
        <v>0</v>
      </c>
      <c r="D908" s="10">
        <f>+D496+D500+D502+D557+D125+D497+D503+D600+D601+D667</f>
        <v>0</v>
      </c>
      <c r="E908" s="38">
        <f>SUM(B908:D908)</f>
        <v>0</v>
      </c>
      <c r="F908" s="10">
        <f>+F496+F500+F502+F557+F125+F497+F503+F600+F601+F667</f>
        <v>0</v>
      </c>
      <c r="G908" s="10">
        <f>+G496+G500+G502+G557+G125+G497+G503+G600+G601+G667</f>
        <v>0</v>
      </c>
      <c r="H908" s="10">
        <f>+H496+H500+H502+H557+H125+H497+H503+H600+H601+H667</f>
        <v>0</v>
      </c>
      <c r="I908" s="38">
        <f>SUM(F908:H908)</f>
        <v>0</v>
      </c>
      <c r="J908" s="10">
        <f>+J496+J500+J502+J557+J125+J497+J503+J600+J601+J667</f>
        <v>0</v>
      </c>
      <c r="K908" s="10">
        <f>+K496+K500+K502+K557+K125+K497+K503+K600+K601+K667</f>
        <v>0</v>
      </c>
      <c r="L908" s="10">
        <f>+L496+L500+L502+L557+L125+L497+L503+L600+L601+L667</f>
        <v>0</v>
      </c>
      <c r="M908" s="38">
        <f>SUM(J908:L908)</f>
        <v>0</v>
      </c>
      <c r="N908" s="10">
        <f>+N496+N500+N502+N557+N125+N497+N503+N600+N601+N667</f>
        <v>0</v>
      </c>
      <c r="O908" s="10">
        <f>+O496+O500+O502+O557+O125+O497+O503+O600+O601+O667</f>
        <v>0</v>
      </c>
      <c r="P908" s="10">
        <f>+P496+P500+P502+P557+P125+P497+P503+P600+P601+P667</f>
        <v>0</v>
      </c>
      <c r="Q908" s="38">
        <f>SUM(N908:P908)</f>
        <v>0</v>
      </c>
      <c r="R908" s="38">
        <f>+E908+I908+M908+Q908</f>
        <v>0</v>
      </c>
    </row>
    <row r="909" spans="1:20" ht="16.5" customHeight="1" thickBot="1" x14ac:dyDescent="0.35">
      <c r="A909" s="43" t="s">
        <v>1019</v>
      </c>
      <c r="B909" s="745">
        <f>SUM(B906:B908)</f>
        <v>0</v>
      </c>
      <c r="C909" s="745">
        <f>SUM(C906:C908)</f>
        <v>0</v>
      </c>
      <c r="D909" s="745">
        <f>SUM(D906:D908)</f>
        <v>0</v>
      </c>
      <c r="E909" s="39">
        <f t="shared" si="298"/>
        <v>0</v>
      </c>
      <c r="F909" s="745">
        <f>SUM(F906:F908)</f>
        <v>0</v>
      </c>
      <c r="G909" s="745">
        <f>SUM(G906:G908)</f>
        <v>0</v>
      </c>
      <c r="H909" s="745">
        <f>SUM(H906:H908)</f>
        <v>0</v>
      </c>
      <c r="I909" s="39">
        <f t="shared" si="299"/>
        <v>0</v>
      </c>
      <c r="J909" s="745">
        <f>SUM(J906:J908)</f>
        <v>0</v>
      </c>
      <c r="K909" s="745">
        <f>SUM(K906:K908)</f>
        <v>0</v>
      </c>
      <c r="L909" s="745">
        <f>SUM(L906:L908)</f>
        <v>0</v>
      </c>
      <c r="M909" s="39">
        <f t="shared" si="300"/>
        <v>0</v>
      </c>
      <c r="N909" s="745">
        <f>SUM(N906:N908)</f>
        <v>0</v>
      </c>
      <c r="O909" s="745">
        <f>SUM(O906:O908)</f>
        <v>0</v>
      </c>
      <c r="P909" s="745">
        <f>SUM(P906:P908)</f>
        <v>0</v>
      </c>
      <c r="Q909" s="39">
        <f t="shared" si="301"/>
        <v>0</v>
      </c>
      <c r="R909" s="37">
        <f t="shared" si="302"/>
        <v>0</v>
      </c>
    </row>
    <row r="910" spans="1:20" ht="16.5" customHeight="1" thickBot="1" x14ac:dyDescent="0.35">
      <c r="A910" s="277" t="s">
        <v>1221</v>
      </c>
      <c r="B910" s="45">
        <f>SUM(B902:B908)</f>
        <v>0</v>
      </c>
      <c r="C910" s="46">
        <f>SUM(C902:C908)</f>
        <v>0</v>
      </c>
      <c r="D910" s="58">
        <f>SUM(D902:D908)</f>
        <v>0</v>
      </c>
      <c r="E910" s="746">
        <f t="shared" si="298"/>
        <v>0</v>
      </c>
      <c r="F910" s="45">
        <f>SUM(F902:F908)</f>
        <v>0</v>
      </c>
      <c r="G910" s="46">
        <f>SUM(G902:G908)</f>
        <v>0</v>
      </c>
      <c r="H910" s="58">
        <f>SUM(H902:H908)</f>
        <v>0</v>
      </c>
      <c r="I910" s="39">
        <f t="shared" si="299"/>
        <v>0</v>
      </c>
      <c r="J910" s="45">
        <f>SUM(J902:J908)</f>
        <v>0</v>
      </c>
      <c r="K910" s="46">
        <f>SUM(K902:K908)</f>
        <v>0</v>
      </c>
      <c r="L910" s="58">
        <f>SUM(L902:L908)</f>
        <v>0</v>
      </c>
      <c r="M910" s="39">
        <f t="shared" si="300"/>
        <v>0</v>
      </c>
      <c r="N910" s="45">
        <f>SUM(N902:N908)</f>
        <v>0</v>
      </c>
      <c r="O910" s="46">
        <f>SUM(O902:O908)</f>
        <v>0</v>
      </c>
      <c r="P910" s="58">
        <f>SUM(P902:P908)</f>
        <v>0</v>
      </c>
      <c r="Q910" s="39">
        <f t="shared" si="301"/>
        <v>0</v>
      </c>
      <c r="R910" s="37">
        <f t="shared" si="302"/>
        <v>0</v>
      </c>
    </row>
    <row r="911" spans="1:20" ht="16.5" customHeight="1" thickBot="1" x14ac:dyDescent="0.35">
      <c r="A911" s="43" t="s">
        <v>1222</v>
      </c>
      <c r="B911" s="337">
        <f>+B892+B897+B901+B910</f>
        <v>68492</v>
      </c>
      <c r="C911" s="338">
        <f>+C892+C897+C901+C910</f>
        <v>76605</v>
      </c>
      <c r="D911" s="338">
        <f>+D892+D897+D901+D910</f>
        <v>113554</v>
      </c>
      <c r="E911" s="37">
        <f t="shared" si="298"/>
        <v>258651</v>
      </c>
      <c r="F911" s="42">
        <f>+F892+F897+F901+F910</f>
        <v>152458</v>
      </c>
      <c r="G911" s="42">
        <f>+G892+G897+G901+G910</f>
        <v>166528</v>
      </c>
      <c r="H911" s="42">
        <f>+H892+H897+H901+H910</f>
        <v>187161</v>
      </c>
      <c r="I911" s="37">
        <f t="shared" si="299"/>
        <v>506147</v>
      </c>
      <c r="J911" s="42">
        <f>+J892+J897+J901+J910</f>
        <v>187612</v>
      </c>
      <c r="K911" s="42">
        <f>+K892+K897+K901+K910</f>
        <v>145600</v>
      </c>
      <c r="L911" s="42">
        <f>+L892+L897+L901+L910</f>
        <v>108856</v>
      </c>
      <c r="M911" s="37">
        <f t="shared" si="300"/>
        <v>442068</v>
      </c>
      <c r="N911" s="42">
        <f>+N892+N897+N901+N910</f>
        <v>79315</v>
      </c>
      <c r="O911" s="42">
        <f>+O892+O897+O901+O910</f>
        <v>51572</v>
      </c>
      <c r="P911" s="42">
        <f>+P892+P897+P901+P910</f>
        <v>55616</v>
      </c>
      <c r="Q911" s="37">
        <f t="shared" si="301"/>
        <v>186503</v>
      </c>
      <c r="R911" s="40">
        <f t="shared" si="302"/>
        <v>1393369</v>
      </c>
    </row>
    <row r="912" spans="1:20" ht="15.75" customHeight="1" x14ac:dyDescent="0.3">
      <c r="A912" s="356" t="s">
        <v>3282</v>
      </c>
      <c r="B912" s="10"/>
      <c r="C912" s="10"/>
      <c r="D912" s="10"/>
      <c r="E912" s="10"/>
      <c r="F912" s="10"/>
      <c r="G912" s="10"/>
      <c r="H912" s="10"/>
      <c r="I912" s="10"/>
      <c r="J912" s="10"/>
      <c r="K912" s="10"/>
      <c r="L912" s="10"/>
      <c r="M912" s="10"/>
      <c r="N912" s="10"/>
      <c r="O912" s="747"/>
      <c r="P912" s="10"/>
      <c r="Q912" s="10"/>
      <c r="R912" s="17"/>
    </row>
    <row r="913" spans="1:18" ht="15.75" customHeight="1" x14ac:dyDescent="0.3">
      <c r="A913" s="356" t="s">
        <v>3279</v>
      </c>
      <c r="B913" s="10"/>
      <c r="C913" s="10"/>
      <c r="D913" s="10"/>
      <c r="E913" s="10"/>
      <c r="F913" s="10"/>
      <c r="G913" s="10"/>
      <c r="H913" s="10"/>
      <c r="I913" s="10"/>
      <c r="J913" s="10"/>
      <c r="K913" s="10"/>
      <c r="L913" s="10"/>
      <c r="M913" s="10"/>
      <c r="N913" s="10"/>
      <c r="O913" s="747"/>
      <c r="P913" s="10"/>
      <c r="Q913" s="10"/>
      <c r="R913" s="17"/>
    </row>
    <row r="914" spans="1:18" ht="15.75" customHeight="1" x14ac:dyDescent="0.3">
      <c r="A914" s="10"/>
      <c r="B914" s="10"/>
      <c r="C914" s="10"/>
      <c r="D914" s="10"/>
      <c r="E914" s="10"/>
      <c r="F914" s="10"/>
      <c r="G914" s="10"/>
      <c r="H914" s="10"/>
      <c r="I914" s="10"/>
      <c r="J914" s="10"/>
      <c r="K914" s="10"/>
      <c r="L914" s="10"/>
      <c r="M914" s="10"/>
      <c r="N914" s="10"/>
      <c r="O914" s="747"/>
      <c r="P914" s="10"/>
      <c r="Q914" s="680" t="str">
        <f>+Q1</f>
        <v xml:space="preserve">PRINTED:  </v>
      </c>
      <c r="R914" s="681">
        <f ca="1">+R1</f>
        <v>44881.729632754628</v>
      </c>
    </row>
    <row r="915" spans="1:18" ht="15.75" customHeight="1" x14ac:dyDescent="0.3">
      <c r="A915" s="778" t="s">
        <v>43</v>
      </c>
      <c r="B915" s="778"/>
      <c r="C915" s="778"/>
      <c r="D915" s="778"/>
      <c r="E915" s="778"/>
      <c r="F915" s="778"/>
      <c r="G915" s="778"/>
      <c r="H915" s="778"/>
      <c r="I915" s="778"/>
      <c r="J915" s="778"/>
      <c r="K915" s="778"/>
      <c r="L915" s="778"/>
      <c r="M915" s="778"/>
      <c r="N915" s="778"/>
      <c r="O915" s="778"/>
      <c r="P915" s="778"/>
      <c r="Q915" s="778"/>
      <c r="R915" s="778"/>
    </row>
    <row r="916" spans="1:18" ht="15.75" customHeight="1" x14ac:dyDescent="0.3">
      <c r="A916" s="778" t="s">
        <v>1988</v>
      </c>
      <c r="B916" s="778"/>
      <c r="C916" s="778"/>
      <c r="D916" s="778"/>
      <c r="E916" s="778"/>
      <c r="F916" s="778"/>
      <c r="G916" s="778"/>
      <c r="H916" s="778"/>
      <c r="I916" s="778"/>
      <c r="J916" s="778"/>
      <c r="K916" s="778"/>
      <c r="L916" s="778"/>
      <c r="M916" s="778"/>
      <c r="N916" s="778"/>
      <c r="O916" s="778"/>
      <c r="P916" s="778"/>
      <c r="Q916" s="778"/>
      <c r="R916" s="778"/>
    </row>
    <row r="917" spans="1:18" ht="15.75" customHeight="1" x14ac:dyDescent="0.3">
      <c r="A917" s="778" t="s">
        <v>544</v>
      </c>
      <c r="B917" s="778"/>
      <c r="C917" s="778"/>
      <c r="D917" s="778"/>
      <c r="E917" s="778"/>
      <c r="F917" s="778"/>
      <c r="G917" s="778"/>
      <c r="H917" s="778"/>
      <c r="I917" s="778"/>
      <c r="J917" s="778"/>
      <c r="K917" s="778"/>
      <c r="L917" s="778"/>
      <c r="M917" s="778"/>
      <c r="N917" s="778"/>
      <c r="O917" s="778"/>
      <c r="P917" s="778"/>
      <c r="Q917" s="778"/>
      <c r="R917" s="778"/>
    </row>
    <row r="918" spans="1:18" ht="15.75" customHeight="1" x14ac:dyDescent="0.3">
      <c r="A918" s="784">
        <f>+A5</f>
        <v>2021</v>
      </c>
      <c r="B918" s="784"/>
      <c r="C918" s="784"/>
      <c r="D918" s="784"/>
      <c r="E918" s="784"/>
      <c r="F918" s="784"/>
      <c r="G918" s="784"/>
      <c r="H918" s="784"/>
      <c r="I918" s="784"/>
      <c r="J918" s="784"/>
      <c r="K918" s="784"/>
      <c r="L918" s="784"/>
      <c r="M918" s="784"/>
      <c r="N918" s="784"/>
      <c r="O918" s="784"/>
      <c r="P918" s="784"/>
      <c r="Q918" s="784"/>
      <c r="R918" s="784"/>
    </row>
    <row r="919" spans="1:18" ht="15.75" customHeight="1" x14ac:dyDescent="0.3">
      <c r="A919" s="10"/>
      <c r="B919" s="10"/>
      <c r="C919" s="10"/>
      <c r="D919" s="1"/>
      <c r="E919" s="1"/>
      <c r="F919" s="1"/>
      <c r="G919" s="220"/>
      <c r="H919" s="1"/>
      <c r="I919" s="1"/>
      <c r="J919" s="220"/>
      <c r="K919" s="220"/>
      <c r="L919" s="220"/>
      <c r="M919" s="220"/>
      <c r="N919" s="10"/>
      <c r="O919" s="220"/>
      <c r="P919" s="220"/>
      <c r="Q919" s="220"/>
      <c r="R919" s="220"/>
    </row>
    <row r="920" spans="1:18" ht="15.75" customHeight="1" x14ac:dyDescent="0.3">
      <c r="A920" s="778" t="str">
        <f>+A8</f>
        <v>Revised:  2/5/2020</v>
      </c>
      <c r="B920" s="778"/>
      <c r="C920" s="778"/>
      <c r="D920" s="778"/>
      <c r="E920" s="778"/>
      <c r="F920" s="778"/>
      <c r="G920" s="778"/>
      <c r="H920" s="778"/>
      <c r="I920" s="778"/>
      <c r="J920" s="778"/>
      <c r="K920" s="778"/>
      <c r="L920" s="778"/>
      <c r="M920" s="778"/>
      <c r="N920" s="778"/>
      <c r="O920" s="778"/>
      <c r="P920" s="778"/>
      <c r="Q920" s="778"/>
      <c r="R920" s="778"/>
    </row>
    <row r="921" spans="1:18" ht="15.75" customHeight="1" x14ac:dyDescent="0.3">
      <c r="A921" s="448"/>
      <c r="B921" s="448"/>
      <c r="C921" s="448"/>
      <c r="D921" s="448"/>
      <c r="E921" s="448"/>
      <c r="F921" s="448"/>
      <c r="G921" s="448"/>
      <c r="H921" s="448"/>
      <c r="I921" s="448"/>
      <c r="J921" s="448"/>
      <c r="K921" s="448"/>
      <c r="L921" s="448"/>
      <c r="M921" s="448"/>
      <c r="N921" s="448"/>
      <c r="O921" s="448"/>
      <c r="P921" s="448"/>
      <c r="Q921" s="448"/>
      <c r="R921" s="448"/>
    </row>
    <row r="922" spans="1:18" ht="15.75" customHeight="1" x14ac:dyDescent="0.3">
      <c r="A922" s="18"/>
      <c r="B922" s="10"/>
      <c r="C922" s="10"/>
      <c r="D922" s="10"/>
      <c r="E922" s="10"/>
      <c r="F922" s="10"/>
      <c r="G922" s="10"/>
      <c r="H922" s="10"/>
      <c r="I922" s="10"/>
      <c r="J922" s="10"/>
      <c r="K922" s="10"/>
      <c r="L922" s="10"/>
      <c r="M922" s="10"/>
      <c r="N922" s="10"/>
      <c r="O922" s="10"/>
      <c r="P922" s="10"/>
      <c r="Q922" s="10"/>
      <c r="R922" s="17"/>
    </row>
    <row r="923" spans="1:18" ht="15.75" customHeight="1" thickBot="1" x14ac:dyDescent="0.35">
      <c r="A923" s="10"/>
      <c r="B923" s="10"/>
      <c r="C923" s="10"/>
      <c r="D923" s="10"/>
      <c r="E923" s="10"/>
      <c r="F923" s="10"/>
      <c r="G923" s="10"/>
      <c r="H923" s="10"/>
      <c r="I923" s="10"/>
      <c r="J923" s="10"/>
      <c r="K923" s="10"/>
      <c r="L923" s="10"/>
      <c r="M923" s="10"/>
      <c r="N923" s="10"/>
      <c r="O923" s="747"/>
      <c r="P923" s="10"/>
      <c r="Q923" s="10"/>
      <c r="R923" s="17"/>
    </row>
    <row r="924" spans="1:18" ht="15.75" customHeight="1" thickBot="1" x14ac:dyDescent="0.35">
      <c r="A924" s="274" t="s">
        <v>1088</v>
      </c>
      <c r="B924" s="25" t="s">
        <v>2090</v>
      </c>
      <c r="C924" s="26" t="s">
        <v>2091</v>
      </c>
      <c r="D924" s="26" t="s">
        <v>2234</v>
      </c>
      <c r="E924" s="33" t="s">
        <v>1594</v>
      </c>
      <c r="F924" s="26" t="s">
        <v>2235</v>
      </c>
      <c r="G924" s="26" t="s">
        <v>2236</v>
      </c>
      <c r="H924" s="26" t="s">
        <v>2237</v>
      </c>
      <c r="I924" s="33" t="s">
        <v>1595</v>
      </c>
      <c r="J924" s="26" t="s">
        <v>1504</v>
      </c>
      <c r="K924" s="26" t="s">
        <v>1505</v>
      </c>
      <c r="L924" s="26" t="s">
        <v>1506</v>
      </c>
      <c r="M924" s="33" t="s">
        <v>1596</v>
      </c>
      <c r="N924" s="26" t="s">
        <v>1507</v>
      </c>
      <c r="O924" s="26" t="s">
        <v>1508</v>
      </c>
      <c r="P924" s="26" t="s">
        <v>1509</v>
      </c>
      <c r="Q924" s="33" t="s">
        <v>1597</v>
      </c>
      <c r="R924" s="339" t="s">
        <v>1510</v>
      </c>
    </row>
    <row r="925" spans="1:18" ht="16.5" customHeight="1" thickBot="1" x14ac:dyDescent="0.35">
      <c r="A925" s="340"/>
      <c r="B925" s="748"/>
      <c r="C925" s="748"/>
      <c r="D925" s="748"/>
      <c r="E925" s="302"/>
      <c r="F925" s="748"/>
      <c r="G925" s="748"/>
      <c r="H925" s="748"/>
      <c r="I925" s="298"/>
      <c r="J925" s="748"/>
      <c r="K925" s="748"/>
      <c r="L925" s="748"/>
      <c r="M925" s="298"/>
      <c r="N925" s="748"/>
      <c r="O925" s="748"/>
      <c r="P925" s="748"/>
      <c r="Q925" s="323"/>
      <c r="R925" s="342"/>
    </row>
    <row r="926" spans="1:18" ht="16.5" customHeight="1" thickBot="1" x14ac:dyDescent="0.35">
      <c r="A926" s="343" t="s">
        <v>673</v>
      </c>
      <c r="B926" s="344">
        <f>+B892</f>
        <v>33570</v>
      </c>
      <c r="C926" s="344">
        <f>+C892</f>
        <v>35756</v>
      </c>
      <c r="D926" s="344">
        <f>+D892</f>
        <v>44491</v>
      </c>
      <c r="E926" s="45">
        <f>+SUM(B926:D926)</f>
        <v>113817</v>
      </c>
      <c r="F926" s="344">
        <f>+F892</f>
        <v>53275</v>
      </c>
      <c r="G926" s="344">
        <f>+G892</f>
        <v>55827</v>
      </c>
      <c r="H926" s="344">
        <f>+H892</f>
        <v>72415</v>
      </c>
      <c r="I926" s="45">
        <f>+SUM(F926:H926)</f>
        <v>181517</v>
      </c>
      <c r="J926" s="344">
        <f>+J892</f>
        <v>80637</v>
      </c>
      <c r="K926" s="344">
        <f>+K892</f>
        <v>66962</v>
      </c>
      <c r="L926" s="344">
        <f>+L892</f>
        <v>58667</v>
      </c>
      <c r="M926" s="45">
        <f>+SUM(J926:L926)</f>
        <v>206266</v>
      </c>
      <c r="N926" s="344">
        <f>+N892</f>
        <v>42355</v>
      </c>
      <c r="O926" s="344">
        <f>+O892</f>
        <v>31697</v>
      </c>
      <c r="P926" s="344">
        <f>+P892</f>
        <v>32534</v>
      </c>
      <c r="Q926" s="45">
        <f>+SUM(N926:P926)</f>
        <v>106586</v>
      </c>
      <c r="R926" s="37">
        <f>+E926+I926+M926+Q926</f>
        <v>608186</v>
      </c>
    </row>
    <row r="927" spans="1:18" ht="16.5" customHeight="1" thickBot="1" x14ac:dyDescent="0.35">
      <c r="A927" s="35"/>
      <c r="B927" s="45"/>
      <c r="C927" s="45"/>
      <c r="D927" s="45"/>
      <c r="E927" s="45"/>
      <c r="F927" s="45"/>
      <c r="G927" s="45"/>
      <c r="H927" s="45"/>
      <c r="I927" s="45"/>
      <c r="J927" s="45"/>
      <c r="K927" s="45"/>
      <c r="L927" s="45"/>
      <c r="M927" s="45"/>
      <c r="N927" s="45"/>
      <c r="O927" s="45"/>
      <c r="P927" s="45"/>
      <c r="Q927" s="45"/>
      <c r="R927" s="37"/>
    </row>
    <row r="928" spans="1:18" ht="16.5" customHeight="1" thickBot="1" x14ac:dyDescent="0.35">
      <c r="A928" s="343" t="s">
        <v>672</v>
      </c>
      <c r="B928" s="344">
        <f>+B897</f>
        <v>2450</v>
      </c>
      <c r="C928" s="344">
        <f>+C897</f>
        <v>8052</v>
      </c>
      <c r="D928" s="344">
        <f>+D897</f>
        <v>19050</v>
      </c>
      <c r="E928" s="45">
        <f>+SUM(B928:D928)</f>
        <v>29552</v>
      </c>
      <c r="F928" s="344">
        <f>+F897</f>
        <v>39941</v>
      </c>
      <c r="G928" s="344">
        <f>+G897</f>
        <v>41550</v>
      </c>
      <c r="H928" s="344">
        <f>+H897</f>
        <v>48780</v>
      </c>
      <c r="I928" s="45">
        <f>+SUM(F928:H928)</f>
        <v>130271</v>
      </c>
      <c r="J928" s="344">
        <f>+J897</f>
        <v>33555</v>
      </c>
      <c r="K928" s="344">
        <f>+K897</f>
        <v>28424</v>
      </c>
      <c r="L928" s="344">
        <f>+L897</f>
        <v>13588</v>
      </c>
      <c r="M928" s="45">
        <f>+SUM(J928:L928)</f>
        <v>75567</v>
      </c>
      <c r="N928" s="344">
        <f>+N897</f>
        <v>9357</v>
      </c>
      <c r="O928" s="344">
        <f>+O897</f>
        <v>7348</v>
      </c>
      <c r="P928" s="344">
        <f>+P897</f>
        <v>4015</v>
      </c>
      <c r="Q928" s="45">
        <f>+SUM(N928:P928)</f>
        <v>20720</v>
      </c>
      <c r="R928" s="37">
        <f>+E928+I928+M928+Q928</f>
        <v>256110</v>
      </c>
    </row>
    <row r="929" spans="1:46" ht="16.5" customHeight="1" thickBot="1" x14ac:dyDescent="0.35">
      <c r="A929" s="35"/>
      <c r="B929" s="45"/>
      <c r="C929" s="45"/>
      <c r="D929" s="45"/>
      <c r="E929" s="45"/>
      <c r="F929" s="45"/>
      <c r="G929" s="45"/>
      <c r="H929" s="45"/>
      <c r="I929" s="45"/>
      <c r="J929" s="45"/>
      <c r="K929" s="45"/>
      <c r="L929" s="45"/>
      <c r="M929" s="45"/>
      <c r="N929" s="45"/>
      <c r="O929" s="45"/>
      <c r="P929" s="45"/>
      <c r="Q929" s="45"/>
      <c r="R929" s="37"/>
      <c r="AC929" s="749"/>
      <c r="AD929" s="701"/>
      <c r="AE929" s="750" t="s">
        <v>2434</v>
      </c>
      <c r="AF929" s="701"/>
      <c r="AG929" s="701"/>
      <c r="AH929" s="701"/>
      <c r="AI929" s="701"/>
      <c r="AJ929" s="701"/>
      <c r="AK929" s="701" t="s">
        <v>2435</v>
      </c>
      <c r="AL929" s="701"/>
      <c r="AM929" s="701" t="s">
        <v>852</v>
      </c>
      <c r="AN929" s="751" t="str">
        <f>+A8</f>
        <v>Revised:  2/5/2020</v>
      </c>
      <c r="AO929" s="701"/>
      <c r="AP929" s="701"/>
      <c r="AQ929" s="701"/>
      <c r="AR929" s="701"/>
      <c r="AS929" s="752" t="str">
        <f>+Q1</f>
        <v xml:space="preserve">PRINTED:  </v>
      </c>
      <c r="AT929" s="753">
        <f ca="1">+R1</f>
        <v>44881.729632754628</v>
      </c>
    </row>
    <row r="930" spans="1:46" ht="16.5" customHeight="1" thickBot="1" x14ac:dyDescent="0.35">
      <c r="A930" s="343" t="s">
        <v>1089</v>
      </c>
      <c r="B930" s="344">
        <f>+B901</f>
        <v>32472</v>
      </c>
      <c r="C930" s="344">
        <f>+C901</f>
        <v>32797</v>
      </c>
      <c r="D930" s="344">
        <f>+D901</f>
        <v>50013</v>
      </c>
      <c r="E930" s="45">
        <f>+SUM(B930:D930)</f>
        <v>115282</v>
      </c>
      <c r="F930" s="344">
        <f>+F901</f>
        <v>59242</v>
      </c>
      <c r="G930" s="344">
        <f>+G901</f>
        <v>69151</v>
      </c>
      <c r="H930" s="344">
        <f>+H901</f>
        <v>65966</v>
      </c>
      <c r="I930" s="45">
        <f>+SUM(F930:H930)</f>
        <v>194359</v>
      </c>
      <c r="J930" s="344">
        <f>+J901</f>
        <v>73420</v>
      </c>
      <c r="K930" s="344">
        <f>+K901</f>
        <v>50214</v>
      </c>
      <c r="L930" s="344">
        <f>+L901</f>
        <v>36601</v>
      </c>
      <c r="M930" s="45">
        <f>+SUM(J930:L930)</f>
        <v>160235</v>
      </c>
      <c r="N930" s="344">
        <f>+N901</f>
        <v>27603</v>
      </c>
      <c r="O930" s="344">
        <f>+O901</f>
        <v>12527</v>
      </c>
      <c r="P930" s="344">
        <f>+P901</f>
        <v>19067</v>
      </c>
      <c r="Q930" s="45">
        <f>+SUM(N930:P930)</f>
        <v>59197</v>
      </c>
      <c r="R930" s="37">
        <f>+E930+I930+M930+Q930</f>
        <v>529073</v>
      </c>
      <c r="AC930" s="551"/>
      <c r="AD930" s="67"/>
      <c r="AE930" s="67"/>
      <c r="AF930" s="67">
        <f>++A5</f>
        <v>2021</v>
      </c>
      <c r="AG930" s="67"/>
      <c r="AH930" s="67"/>
      <c r="AI930" s="67"/>
      <c r="AJ930" s="67"/>
      <c r="AK930" s="67"/>
      <c r="AL930" s="67"/>
      <c r="AM930" s="67"/>
      <c r="AN930" s="67"/>
      <c r="AO930" s="67"/>
      <c r="AP930" s="67"/>
      <c r="AQ930" s="67"/>
      <c r="AR930" s="67"/>
      <c r="AS930" s="67"/>
      <c r="AT930" s="754"/>
    </row>
    <row r="931" spans="1:46" ht="16.5" customHeight="1" thickBot="1" x14ac:dyDescent="0.35">
      <c r="A931" s="35"/>
      <c r="B931" s="45"/>
      <c r="C931" s="45"/>
      <c r="D931" s="45"/>
      <c r="E931" s="45"/>
      <c r="F931" s="45"/>
      <c r="G931" s="45"/>
      <c r="H931" s="45"/>
      <c r="I931" s="45"/>
      <c r="J931" s="45"/>
      <c r="K931" s="45"/>
      <c r="L931" s="45"/>
      <c r="M931" s="45"/>
      <c r="N931" s="45"/>
      <c r="O931" s="45"/>
      <c r="P931" s="45"/>
      <c r="Q931" s="45"/>
      <c r="R931" s="37"/>
      <c r="AC931" s="551"/>
      <c r="AD931" s="67"/>
      <c r="AE931" s="67"/>
      <c r="AF931" s="67"/>
      <c r="AG931" s="67"/>
      <c r="AH931" s="67"/>
      <c r="AI931" s="67"/>
      <c r="AJ931" s="67"/>
      <c r="AK931" s="67"/>
      <c r="AL931" s="67"/>
      <c r="AM931" s="67"/>
      <c r="AN931" s="67"/>
      <c r="AO931" s="67"/>
      <c r="AP931" s="67"/>
      <c r="AQ931" s="67"/>
      <c r="AR931" s="67"/>
      <c r="AS931" s="67"/>
      <c r="AT931" s="754"/>
    </row>
    <row r="932" spans="1:46" ht="16.5" customHeight="1" thickBot="1" x14ac:dyDescent="0.35">
      <c r="A932" s="343" t="s">
        <v>1090</v>
      </c>
      <c r="B932" s="344">
        <f>+B910</f>
        <v>0</v>
      </c>
      <c r="C932" s="344">
        <f>+C910</f>
        <v>0</v>
      </c>
      <c r="D932" s="344">
        <f>+D910</f>
        <v>0</v>
      </c>
      <c r="E932" s="45">
        <f>+SUM(B932:D932)</f>
        <v>0</v>
      </c>
      <c r="F932" s="344">
        <f>+F910</f>
        <v>0</v>
      </c>
      <c r="G932" s="344">
        <f>+G910</f>
        <v>0</v>
      </c>
      <c r="H932" s="344">
        <f>+H910</f>
        <v>0</v>
      </c>
      <c r="I932" s="45">
        <f>+SUM(F932:H932)</f>
        <v>0</v>
      </c>
      <c r="J932" s="344">
        <f>+J910</f>
        <v>0</v>
      </c>
      <c r="K932" s="344">
        <f>+K910</f>
        <v>0</v>
      </c>
      <c r="L932" s="344">
        <f>+L910</f>
        <v>0</v>
      </c>
      <c r="M932" s="45">
        <f>+SUM(J932:L932)</f>
        <v>0</v>
      </c>
      <c r="N932" s="344">
        <f>+N910</f>
        <v>0</v>
      </c>
      <c r="O932" s="344">
        <f>+O910</f>
        <v>0</v>
      </c>
      <c r="P932" s="344">
        <f>+P910</f>
        <v>0</v>
      </c>
      <c r="Q932" s="45">
        <f>+SUM(N932:P932)</f>
        <v>0</v>
      </c>
      <c r="R932" s="37">
        <f>+E932+I932+M932+Q932</f>
        <v>0</v>
      </c>
      <c r="AC932" s="551"/>
      <c r="AD932" s="67"/>
      <c r="AE932" s="67"/>
      <c r="AF932" s="67"/>
      <c r="AG932" s="67"/>
      <c r="AH932" s="67"/>
      <c r="AI932" s="70" t="s">
        <v>2438</v>
      </c>
      <c r="AJ932" s="67"/>
      <c r="AK932" s="67"/>
      <c r="AL932" s="67"/>
      <c r="AM932" s="67"/>
      <c r="AN932" s="67"/>
      <c r="AO932" s="67"/>
      <c r="AP932" s="67"/>
      <c r="AQ932" s="67"/>
      <c r="AR932" s="67"/>
      <c r="AS932" s="67"/>
      <c r="AT932" s="754"/>
    </row>
    <row r="933" spans="1:46" ht="16.5" customHeight="1" thickBot="1" x14ac:dyDescent="0.35">
      <c r="A933" s="35"/>
      <c r="B933" s="45"/>
      <c r="C933" s="45"/>
      <c r="D933" s="45"/>
      <c r="E933" s="45"/>
      <c r="F933" s="45"/>
      <c r="G933" s="45"/>
      <c r="H933" s="45"/>
      <c r="I933" s="45"/>
      <c r="J933" s="45"/>
      <c r="K933" s="45"/>
      <c r="L933" s="45"/>
      <c r="M933" s="45"/>
      <c r="N933" s="45"/>
      <c r="O933" s="45"/>
      <c r="P933" s="45"/>
      <c r="Q933" s="45"/>
      <c r="R933" s="37"/>
      <c r="AC933" s="551"/>
      <c r="AD933" s="67" t="s">
        <v>2435</v>
      </c>
      <c r="AE933" s="67"/>
      <c r="AF933" s="70" t="s">
        <v>2436</v>
      </c>
      <c r="AG933" s="70" t="s">
        <v>2436</v>
      </c>
      <c r="AH933" s="70" t="s">
        <v>2437</v>
      </c>
      <c r="AI933" s="70" t="s">
        <v>525</v>
      </c>
      <c r="AJ933" s="70" t="s">
        <v>2439</v>
      </c>
      <c r="AK933" s="70" t="s">
        <v>2463</v>
      </c>
      <c r="AL933" s="70" t="s">
        <v>2356</v>
      </c>
      <c r="AM933" s="67" t="s">
        <v>2435</v>
      </c>
      <c r="AN933" s="70" t="s">
        <v>2464</v>
      </c>
      <c r="AO933" s="70" t="s">
        <v>2464</v>
      </c>
      <c r="AP933" s="70" t="s">
        <v>2464</v>
      </c>
      <c r="AQ933" s="67"/>
      <c r="AR933" s="67"/>
      <c r="AS933" s="67"/>
      <c r="AT933" s="754"/>
    </row>
    <row r="934" spans="1:46" ht="16.5" customHeight="1" thickBot="1" x14ac:dyDescent="0.4">
      <c r="A934" s="35" t="s">
        <v>574</v>
      </c>
      <c r="B934" s="47">
        <f t="shared" ref="B934:Q934" si="303">+SUM(B926:B932)</f>
        <v>68492</v>
      </c>
      <c r="C934" s="47">
        <f t="shared" si="303"/>
        <v>76605</v>
      </c>
      <c r="D934" s="47">
        <f t="shared" si="303"/>
        <v>113554</v>
      </c>
      <c r="E934" s="47">
        <f t="shared" si="303"/>
        <v>258651</v>
      </c>
      <c r="F934" s="47">
        <f t="shared" si="303"/>
        <v>152458</v>
      </c>
      <c r="G934" s="47">
        <f t="shared" si="303"/>
        <v>166528</v>
      </c>
      <c r="H934" s="47">
        <f t="shared" si="303"/>
        <v>187161</v>
      </c>
      <c r="I934" s="47">
        <f t="shared" si="303"/>
        <v>506147</v>
      </c>
      <c r="J934" s="47">
        <f t="shared" si="303"/>
        <v>187612</v>
      </c>
      <c r="K934" s="47">
        <f t="shared" si="303"/>
        <v>145600</v>
      </c>
      <c r="L934" s="47">
        <f t="shared" si="303"/>
        <v>108856</v>
      </c>
      <c r="M934" s="47">
        <f t="shared" si="303"/>
        <v>442068</v>
      </c>
      <c r="N934" s="47">
        <f t="shared" si="303"/>
        <v>79315</v>
      </c>
      <c r="O934" s="47">
        <f t="shared" si="303"/>
        <v>51572</v>
      </c>
      <c r="P934" s="47">
        <f t="shared" si="303"/>
        <v>55616</v>
      </c>
      <c r="Q934" s="47">
        <f t="shared" si="303"/>
        <v>186503</v>
      </c>
      <c r="R934" s="345">
        <f>+SUM(R926:R932)</f>
        <v>1393369</v>
      </c>
      <c r="AC934" s="551"/>
      <c r="AD934" s="70" t="s">
        <v>284</v>
      </c>
      <c r="AE934" s="70" t="s">
        <v>2379</v>
      </c>
      <c r="AF934" s="70" t="s">
        <v>844</v>
      </c>
      <c r="AG934" s="70" t="s">
        <v>844</v>
      </c>
      <c r="AH934" s="70" t="s">
        <v>845</v>
      </c>
      <c r="AI934" s="214" t="s">
        <v>955</v>
      </c>
      <c r="AJ934" s="70" t="s">
        <v>275</v>
      </c>
      <c r="AK934" s="70" t="s">
        <v>276</v>
      </c>
      <c r="AL934" s="70" t="s">
        <v>1554</v>
      </c>
      <c r="AM934" s="67" t="s">
        <v>2435</v>
      </c>
      <c r="AN934" s="70" t="s">
        <v>1555</v>
      </c>
      <c r="AO934" s="70" t="s">
        <v>955</v>
      </c>
      <c r="AP934" s="70" t="s">
        <v>1194</v>
      </c>
      <c r="AQ934" s="67"/>
      <c r="AR934" s="67"/>
      <c r="AS934" s="67"/>
      <c r="AT934" s="754"/>
    </row>
    <row r="935" spans="1:46" ht="15.75" customHeight="1" x14ac:dyDescent="0.35">
      <c r="A935" s="201"/>
      <c r="B935" s="286"/>
      <c r="C935" s="286"/>
      <c r="D935" s="286"/>
      <c r="E935" s="286"/>
      <c r="F935" s="286"/>
      <c r="G935" s="286"/>
      <c r="H935" s="544" t="s">
        <v>2538</v>
      </c>
      <c r="I935" s="286"/>
      <c r="J935" s="286"/>
      <c r="K935" s="286"/>
      <c r="L935" s="286"/>
      <c r="M935" s="286"/>
      <c r="N935" s="286"/>
      <c r="O935" s="286"/>
      <c r="P935" s="286"/>
      <c r="Q935" s="286"/>
      <c r="R935" s="286"/>
      <c r="AC935" s="551"/>
      <c r="AD935" s="70" t="s">
        <v>1193</v>
      </c>
      <c r="AE935" s="70" t="s">
        <v>956</v>
      </c>
      <c r="AF935" s="70" t="s">
        <v>333</v>
      </c>
      <c r="AG935" s="70" t="s">
        <v>334</v>
      </c>
      <c r="AH935" s="70" t="s">
        <v>335</v>
      </c>
      <c r="AI935" s="70" t="s">
        <v>335</v>
      </c>
      <c r="AJ935" s="70" t="s">
        <v>335</v>
      </c>
      <c r="AK935" s="70" t="s">
        <v>335</v>
      </c>
      <c r="AL935" s="70" t="s">
        <v>1486</v>
      </c>
      <c r="AM935" s="67" t="s">
        <v>2435</v>
      </c>
      <c r="AN935" s="70" t="s">
        <v>1487</v>
      </c>
      <c r="AO935" s="70" t="s">
        <v>929</v>
      </c>
      <c r="AP935" s="70" t="s">
        <v>929</v>
      </c>
      <c r="AQ935" s="67"/>
      <c r="AR935" s="67"/>
      <c r="AS935" s="67"/>
      <c r="AT935" s="754"/>
    </row>
    <row r="936" spans="1:46" ht="15.75" customHeight="1" x14ac:dyDescent="0.35">
      <c r="A936" s="201"/>
      <c r="B936" s="286"/>
      <c r="C936" s="286"/>
      <c r="D936" s="286"/>
      <c r="E936" s="286"/>
      <c r="F936" s="286"/>
      <c r="G936" s="286"/>
      <c r="H936" s="286"/>
      <c r="I936" s="286"/>
      <c r="J936" s="286"/>
      <c r="K936" s="286"/>
      <c r="L936" s="286"/>
      <c r="M936" s="286"/>
      <c r="N936" s="286"/>
      <c r="O936" s="286"/>
      <c r="P936" s="286"/>
      <c r="Q936" s="286"/>
      <c r="R936" s="286"/>
      <c r="AC936" s="551"/>
      <c r="AD936" s="70" t="s">
        <v>930</v>
      </c>
      <c r="AE936" s="70" t="s">
        <v>931</v>
      </c>
      <c r="AF936" s="70" t="s">
        <v>932</v>
      </c>
      <c r="AG936" s="70" t="s">
        <v>932</v>
      </c>
      <c r="AH936" s="70" t="s">
        <v>932</v>
      </c>
      <c r="AI936" s="70" t="s">
        <v>932</v>
      </c>
      <c r="AJ936" s="70" t="s">
        <v>932</v>
      </c>
      <c r="AK936" s="70" t="s">
        <v>932</v>
      </c>
      <c r="AL936" s="70" t="s">
        <v>932</v>
      </c>
      <c r="AM936" s="67" t="s">
        <v>2435</v>
      </c>
      <c r="AN936" s="70" t="s">
        <v>946</v>
      </c>
      <c r="AO936" s="70" t="s">
        <v>946</v>
      </c>
      <c r="AP936" s="70" t="s">
        <v>946</v>
      </c>
      <c r="AQ936" s="67"/>
      <c r="AR936" s="67"/>
      <c r="AS936" s="67"/>
      <c r="AT936" s="754"/>
    </row>
    <row r="937" spans="1:46" ht="15.75" customHeight="1" thickBot="1" x14ac:dyDescent="0.4">
      <c r="A937" s="201"/>
      <c r="B937" s="286"/>
      <c r="C937" s="286"/>
      <c r="D937" s="286"/>
      <c r="E937" s="286"/>
      <c r="F937" s="286"/>
      <c r="G937" s="286"/>
      <c r="H937" s="544"/>
      <c r="I937" s="286"/>
      <c r="J937" s="286"/>
      <c r="K937" s="286"/>
      <c r="L937" s="286"/>
      <c r="M937" s="286"/>
      <c r="N937" s="286"/>
      <c r="O937" s="286"/>
      <c r="P937" s="286"/>
      <c r="Q937" s="286"/>
      <c r="R937" s="286"/>
      <c r="AC937" s="551"/>
      <c r="AD937" s="67" t="s">
        <v>1353</v>
      </c>
      <c r="AE937" s="67" t="s">
        <v>1353</v>
      </c>
      <c r="AF937" s="67" t="s">
        <v>1353</v>
      </c>
      <c r="AG937" s="67" t="s">
        <v>1353</v>
      </c>
      <c r="AH937" s="67" t="s">
        <v>1353</v>
      </c>
      <c r="AI937" s="67" t="s">
        <v>1353</v>
      </c>
      <c r="AJ937" s="67" t="s">
        <v>1353</v>
      </c>
      <c r="AK937" s="67" t="s">
        <v>1353</v>
      </c>
      <c r="AL937" s="67" t="s">
        <v>1353</v>
      </c>
      <c r="AM937" s="67" t="s">
        <v>2435</v>
      </c>
      <c r="AN937" s="67" t="s">
        <v>1353</v>
      </c>
      <c r="AO937" s="67" t="s">
        <v>1353</v>
      </c>
      <c r="AP937" s="67" t="s">
        <v>1353</v>
      </c>
      <c r="AQ937" s="67"/>
      <c r="AR937" s="67"/>
      <c r="AS937" s="67"/>
      <c r="AT937" s="754"/>
    </row>
    <row r="938" spans="1:46" ht="15.75" customHeight="1" x14ac:dyDescent="0.3">
      <c r="A938" s="755"/>
      <c r="B938" s="821" t="s">
        <v>864</v>
      </c>
      <c r="C938" s="821"/>
      <c r="D938" s="821"/>
      <c r="E938" s="821"/>
      <c r="F938" s="821"/>
      <c r="G938" s="821"/>
      <c r="H938" s="821"/>
      <c r="I938" s="821"/>
      <c r="J938" s="821"/>
      <c r="K938" s="821"/>
      <c r="L938" s="821"/>
      <c r="M938" s="821"/>
      <c r="N938" s="821"/>
      <c r="O938" s="821"/>
      <c r="P938" s="821"/>
      <c r="Q938" s="752" t="str">
        <f>+Q1</f>
        <v xml:space="preserve">PRINTED:  </v>
      </c>
      <c r="R938" s="753">
        <f ca="1">+R1</f>
        <v>44881.729632754628</v>
      </c>
      <c r="AC938" s="553" t="s">
        <v>1354</v>
      </c>
      <c r="AD938" s="67">
        <f t="shared" ref="AD938:AD949" si="304">(F947)</f>
        <v>54000</v>
      </c>
      <c r="AE938" s="67">
        <f t="shared" ref="AE938:AE949" si="305">SUM($B$1002:$E$1002)+(T947-1526.8)/0.7702</f>
        <v>1633.417956964503</v>
      </c>
      <c r="AF938" s="67">
        <f>(AD938*AE938/1000)</f>
        <v>88204.569676083163</v>
      </c>
      <c r="AG938" s="67">
        <f t="shared" ref="AG938:AG949" si="306">(((B947-F947)*B$1002)+((C947-F947)*C$1002)+((D947-F947)*D$1002)+((E947-F947)*E$1002))/1000</f>
        <v>98431.513999999996</v>
      </c>
      <c r="AH938" s="67">
        <f>(AF938+AG938)</f>
        <v>186636.08367608316</v>
      </c>
      <c r="AI938" s="67">
        <f t="shared" ref="AI938:AI949" si="307">SUM(H1004:Q1004)</f>
        <v>23416</v>
      </c>
      <c r="AJ938" s="67">
        <f>+AH938+AI938</f>
        <v>210052.08367608316</v>
      </c>
      <c r="AK938" s="67">
        <f t="shared" ref="AK938:AK945" si="308">(G1032)</f>
        <v>0</v>
      </c>
      <c r="AL938" s="67">
        <f t="shared" ref="AL938:AL949" si="309">(AJ938-AK938)</f>
        <v>210052.08367608316</v>
      </c>
      <c r="AM938" s="67" t="s">
        <v>2435</v>
      </c>
      <c r="AN938" s="67">
        <f>+B947/31/1.98</f>
        <v>2007.6735092864124</v>
      </c>
      <c r="AO938" s="67">
        <f>(AD938*43560/31/24/3600)</f>
        <v>878.22580645161281</v>
      </c>
      <c r="AP938" s="67">
        <f>+B332</f>
        <v>0</v>
      </c>
      <c r="AQ938" s="67"/>
      <c r="AR938" s="67"/>
      <c r="AS938" s="67"/>
      <c r="AT938" s="754"/>
    </row>
    <row r="939" spans="1:46" ht="15.75" customHeight="1" x14ac:dyDescent="0.3">
      <c r="A939" s="553"/>
      <c r="B939" s="786" t="str">
        <f>+A8</f>
        <v>Revised:  2/5/2020</v>
      </c>
      <c r="C939" s="786"/>
      <c r="D939" s="786"/>
      <c r="E939" s="786"/>
      <c r="F939" s="786"/>
      <c r="G939" s="786"/>
      <c r="H939" s="786"/>
      <c r="I939" s="786"/>
      <c r="J939" s="786"/>
      <c r="K939" s="786"/>
      <c r="L939" s="786"/>
      <c r="M939" s="786"/>
      <c r="N939" s="786"/>
      <c r="O939" s="786"/>
      <c r="P939" s="786"/>
      <c r="Q939" s="67"/>
      <c r="R939" s="754"/>
      <c r="AC939" s="553" t="s">
        <v>706</v>
      </c>
      <c r="AD939" s="67">
        <f t="shared" si="304"/>
        <v>57000</v>
      </c>
      <c r="AE939" s="67">
        <f t="shared" si="305"/>
        <v>1641.9669945609774</v>
      </c>
      <c r="AF939" s="67">
        <f>(AD939*AE939/1000)</f>
        <v>93592.118689975716</v>
      </c>
      <c r="AG939" s="67">
        <f t="shared" si="306"/>
        <v>111554.909</v>
      </c>
      <c r="AH939" s="67">
        <f t="shared" ref="AH939:AH949" si="310">(AF939+AG939)</f>
        <v>205147.02768997572</v>
      </c>
      <c r="AI939" s="67">
        <f t="shared" si="307"/>
        <v>32781</v>
      </c>
      <c r="AJ939" s="67">
        <f t="shared" ref="AJ939:AJ949" si="311">+AH939+AI939</f>
        <v>237928.02768997572</v>
      </c>
      <c r="AK939" s="67">
        <f t="shared" si="308"/>
        <v>0</v>
      </c>
      <c r="AL939" s="67">
        <f t="shared" si="309"/>
        <v>237928.02768997572</v>
      </c>
      <c r="AM939" s="67" t="s">
        <v>2435</v>
      </c>
      <c r="AN939" s="67">
        <f>+B948/28/1.98</f>
        <v>2443.6507936507937</v>
      </c>
      <c r="AO939" s="67">
        <f>(AD939*43560/29/24/3600)</f>
        <v>990.94827586206907</v>
      </c>
      <c r="AP939" s="67">
        <f>+C332</f>
        <v>0</v>
      </c>
      <c r="AQ939" s="67"/>
      <c r="AR939" s="67"/>
      <c r="AS939" s="67"/>
      <c r="AT939" s="754"/>
    </row>
    <row r="940" spans="1:46" ht="15.75" customHeight="1" x14ac:dyDescent="0.3">
      <c r="A940" s="553"/>
      <c r="B940" s="786" t="s">
        <v>2878</v>
      </c>
      <c r="C940" s="786"/>
      <c r="D940" s="786"/>
      <c r="E940" s="786"/>
      <c r="F940" s="786"/>
      <c r="G940" s="786"/>
      <c r="H940" s="786"/>
      <c r="I940" s="786"/>
      <c r="J940" s="786"/>
      <c r="K940" s="786"/>
      <c r="L940" s="786"/>
      <c r="M940" s="786"/>
      <c r="N940" s="786"/>
      <c r="O940" s="786"/>
      <c r="P940" s="786"/>
      <c r="Q940" s="67"/>
      <c r="R940" s="754"/>
      <c r="AC940" s="553" t="s">
        <v>707</v>
      </c>
      <c r="AD940" s="67">
        <f t="shared" si="304"/>
        <v>29000</v>
      </c>
      <c r="AE940" s="67">
        <f t="shared" si="305"/>
        <v>1645.8565577144309</v>
      </c>
      <c r="AF940" s="67">
        <f t="shared" ref="AF940:AF949" si="312">(AD940*AE940/1000)</f>
        <v>47729.840173718498</v>
      </c>
      <c r="AG940" s="67">
        <f t="shared" si="306"/>
        <v>164344.95199999999</v>
      </c>
      <c r="AH940" s="67">
        <f t="shared" si="310"/>
        <v>212074.79217371848</v>
      </c>
      <c r="AI940" s="67">
        <f t="shared" si="307"/>
        <v>43948</v>
      </c>
      <c r="AJ940" s="67">
        <f t="shared" si="311"/>
        <v>256022.79217371848</v>
      </c>
      <c r="AK940" s="67">
        <f t="shared" si="308"/>
        <v>0</v>
      </c>
      <c r="AL940" s="67">
        <f t="shared" si="309"/>
        <v>256022.79217371848</v>
      </c>
      <c r="AM940" s="67" t="s">
        <v>2435</v>
      </c>
      <c r="AN940" s="67">
        <f>+B949/31/1.98</f>
        <v>2361.9094167481267</v>
      </c>
      <c r="AO940" s="67">
        <f>(AD940*43560/31/24/3600)</f>
        <v>471.63978494623655</v>
      </c>
      <c r="AP940" s="67">
        <f>+D332</f>
        <v>0</v>
      </c>
      <c r="AQ940" s="67"/>
      <c r="AR940" s="67"/>
      <c r="AS940" s="67"/>
      <c r="AT940" s="754"/>
    </row>
    <row r="941" spans="1:46" ht="15.75" customHeight="1" x14ac:dyDescent="0.3">
      <c r="A941" s="553"/>
      <c r="B941" s="786"/>
      <c r="C941" s="786"/>
      <c r="D941" s="786"/>
      <c r="E941" s="786"/>
      <c r="F941" s="786"/>
      <c r="G941" s="786"/>
      <c r="H941" s="786"/>
      <c r="I941" s="786"/>
      <c r="J941" s="786"/>
      <c r="K941" s="786"/>
      <c r="L941" s="786"/>
      <c r="M941" s="786"/>
      <c r="N941" s="786"/>
      <c r="O941" s="786"/>
      <c r="P941" s="786"/>
      <c r="Q941" s="67"/>
      <c r="R941" s="754"/>
      <c r="AC941" s="553" t="s">
        <v>1321</v>
      </c>
      <c r="AD941" s="67">
        <f t="shared" si="304"/>
        <v>0</v>
      </c>
      <c r="AE941" s="67">
        <f t="shared" si="305"/>
        <v>1643.955448493638</v>
      </c>
      <c r="AF941" s="67">
        <f t="shared" si="312"/>
        <v>0</v>
      </c>
      <c r="AG941" s="67">
        <f t="shared" si="306"/>
        <v>208196.041</v>
      </c>
      <c r="AH941" s="67">
        <f t="shared" si="310"/>
        <v>208196.041</v>
      </c>
      <c r="AI941" s="67">
        <f t="shared" si="307"/>
        <v>51746</v>
      </c>
      <c r="AJ941" s="67">
        <f t="shared" si="311"/>
        <v>259942.041</v>
      </c>
      <c r="AK941" s="67">
        <f t="shared" si="308"/>
        <v>1556.4323501100207</v>
      </c>
      <c r="AL941" s="67">
        <f t="shared" si="309"/>
        <v>258385.60864988997</v>
      </c>
      <c r="AM941" s="67" t="s">
        <v>2435</v>
      </c>
      <c r="AN941" s="67">
        <f>+B950/30/1.98</f>
        <v>2475.909090909091</v>
      </c>
      <c r="AO941" s="67">
        <f>(AD941*43560/30/24/3600)</f>
        <v>0</v>
      </c>
      <c r="AP941" s="67">
        <f>+F332</f>
        <v>-168.09547823163555</v>
      </c>
      <c r="AQ941" s="67"/>
      <c r="AR941" s="67"/>
      <c r="AS941" s="67"/>
      <c r="AT941" s="754"/>
    </row>
    <row r="942" spans="1:46" ht="15.75" customHeight="1" x14ac:dyDescent="0.3">
      <c r="A942" s="553"/>
      <c r="B942" s="787">
        <f>+A5</f>
        <v>2021</v>
      </c>
      <c r="C942" s="787"/>
      <c r="D942" s="787"/>
      <c r="E942" s="787"/>
      <c r="F942" s="787"/>
      <c r="G942" s="787"/>
      <c r="H942" s="787"/>
      <c r="I942" s="787"/>
      <c r="J942" s="787"/>
      <c r="K942" s="787"/>
      <c r="L942" s="787"/>
      <c r="M942" s="787"/>
      <c r="N942" s="787"/>
      <c r="O942" s="787"/>
      <c r="P942" s="787"/>
      <c r="Q942" s="67"/>
      <c r="R942" s="754"/>
      <c r="AC942" s="553" t="s">
        <v>1905</v>
      </c>
      <c r="AD942" s="67">
        <f t="shared" si="304"/>
        <v>0</v>
      </c>
      <c r="AE942" s="67">
        <f t="shared" si="305"/>
        <v>1642.8698430885411</v>
      </c>
      <c r="AF942" s="67">
        <f t="shared" si="312"/>
        <v>0</v>
      </c>
      <c r="AG942" s="67">
        <f t="shared" si="306"/>
        <v>244723.85800000001</v>
      </c>
      <c r="AH942" s="67">
        <f t="shared" si="310"/>
        <v>244723.85800000001</v>
      </c>
      <c r="AI942" s="67">
        <f t="shared" si="307"/>
        <v>51903</v>
      </c>
      <c r="AJ942" s="67">
        <f t="shared" si="311"/>
        <v>296626.85800000001</v>
      </c>
      <c r="AK942" s="67">
        <f t="shared" si="308"/>
        <v>0</v>
      </c>
      <c r="AL942" s="67">
        <f t="shared" si="309"/>
        <v>296626.85800000001</v>
      </c>
      <c r="AM942" s="67" t="s">
        <v>2435</v>
      </c>
      <c r="AN942" s="67">
        <f>+B951/31/1.98</f>
        <v>2818.181818181818</v>
      </c>
      <c r="AO942" s="67">
        <f>(AD942*43560/31/24/3600)</f>
        <v>0</v>
      </c>
      <c r="AP942" s="67">
        <f>+G332</f>
        <v>0</v>
      </c>
      <c r="AQ942" s="67"/>
      <c r="AR942" s="67"/>
      <c r="AS942" s="67"/>
      <c r="AT942" s="754"/>
    </row>
    <row r="943" spans="1:46" ht="15.75" customHeight="1" x14ac:dyDescent="0.3">
      <c r="A943" s="553"/>
      <c r="B943" s="786" t="s">
        <v>2918</v>
      </c>
      <c r="C943" s="786"/>
      <c r="D943" s="786"/>
      <c r="E943" s="786"/>
      <c r="F943" s="786"/>
      <c r="G943" s="786"/>
      <c r="H943" s="786"/>
      <c r="I943" s="786"/>
      <c r="J943" s="786"/>
      <c r="K943" s="786"/>
      <c r="L943" s="786"/>
      <c r="M943" s="786"/>
      <c r="N943" s="786"/>
      <c r="O943" s="786"/>
      <c r="P943" s="786"/>
      <c r="Q943" s="67"/>
      <c r="R943" s="754"/>
      <c r="AC943" s="553" t="s">
        <v>1906</v>
      </c>
      <c r="AD943" s="67">
        <f t="shared" si="304"/>
        <v>0</v>
      </c>
      <c r="AE943" s="67">
        <f t="shared" si="305"/>
        <v>1624.3723379900016</v>
      </c>
      <c r="AF943" s="67">
        <f t="shared" si="312"/>
        <v>0</v>
      </c>
      <c r="AG943" s="67">
        <f t="shared" si="306"/>
        <v>104476.027</v>
      </c>
      <c r="AH943" s="67">
        <f t="shared" si="310"/>
        <v>104476.027</v>
      </c>
      <c r="AI943" s="67">
        <f t="shared" si="307"/>
        <v>53124</v>
      </c>
      <c r="AJ943" s="67">
        <f t="shared" si="311"/>
        <v>157600.027</v>
      </c>
      <c r="AK943" s="67">
        <f t="shared" si="308"/>
        <v>15816.395767397118</v>
      </c>
      <c r="AL943" s="67">
        <f t="shared" si="309"/>
        <v>141783.63123260287</v>
      </c>
      <c r="AM943" s="67" t="s">
        <v>2435</v>
      </c>
      <c r="AN943" s="67">
        <f>+B952/30/1.98</f>
        <v>1256.4309764309764</v>
      </c>
      <c r="AO943" s="67">
        <f t="shared" ref="AO943:AO948" si="313">(AD943*43560/30/24/3600)</f>
        <v>0</v>
      </c>
      <c r="AP943" s="67">
        <f>+H332</f>
        <v>-2000.336190956463</v>
      </c>
      <c r="AQ943" s="67"/>
      <c r="AR943" s="67"/>
      <c r="AS943" s="67"/>
      <c r="AT943" s="754"/>
    </row>
    <row r="944" spans="1:46" ht="15.75" customHeight="1" x14ac:dyDescent="0.3">
      <c r="A944" s="553"/>
      <c r="B944" s="67"/>
      <c r="C944" s="67"/>
      <c r="D944" s="67"/>
      <c r="E944" s="67"/>
      <c r="F944" s="67"/>
      <c r="G944" s="67"/>
      <c r="H944" s="67"/>
      <c r="I944" s="67"/>
      <c r="J944" s="67"/>
      <c r="K944" s="67"/>
      <c r="L944" s="67"/>
      <c r="M944" s="67"/>
      <c r="N944" s="67"/>
      <c r="O944" s="67"/>
      <c r="P944" s="67"/>
      <c r="Q944" s="67"/>
      <c r="R944" s="754"/>
      <c r="AC944" s="553" t="s">
        <v>1907</v>
      </c>
      <c r="AD944" s="67">
        <f t="shared" si="304"/>
        <v>0</v>
      </c>
      <c r="AE944" s="67">
        <f t="shared" si="305"/>
        <v>1600.1168045192444</v>
      </c>
      <c r="AF944" s="67">
        <f t="shared" si="312"/>
        <v>0</v>
      </c>
      <c r="AG944" s="67">
        <f t="shared" si="306"/>
        <v>72164.267999999996</v>
      </c>
      <c r="AH944" s="67">
        <f t="shared" si="310"/>
        <v>72164.267999999996</v>
      </c>
      <c r="AI944" s="67">
        <f t="shared" si="307"/>
        <v>52782</v>
      </c>
      <c r="AJ944" s="67">
        <f t="shared" si="311"/>
        <v>124946.268</v>
      </c>
      <c r="AK944" s="67">
        <f t="shared" si="308"/>
        <v>14770.416820711065</v>
      </c>
      <c r="AL944" s="67">
        <f t="shared" si="309"/>
        <v>110175.85117928893</v>
      </c>
      <c r="AM944" s="67" t="s">
        <v>2435</v>
      </c>
      <c r="AN944" s="67">
        <f>+B953/31/1.98</f>
        <v>845.42196155099384</v>
      </c>
      <c r="AO944" s="67">
        <f t="shared" si="313"/>
        <v>0</v>
      </c>
      <c r="AP944" s="67">
        <f>+J332</f>
        <v>-2293.6899126445755</v>
      </c>
      <c r="AQ944" s="67"/>
      <c r="AR944" s="67"/>
      <c r="AS944" s="67"/>
      <c r="AT944" s="754"/>
    </row>
    <row r="945" spans="1:46" ht="15.75" customHeight="1" thickBot="1" x14ac:dyDescent="0.35">
      <c r="A945" s="553" t="s">
        <v>845</v>
      </c>
      <c r="B945" s="634" t="s">
        <v>1308</v>
      </c>
      <c r="C945" s="634" t="s">
        <v>1309</v>
      </c>
      <c r="D945" s="634" t="s">
        <v>1029</v>
      </c>
      <c r="E945" s="634" t="s">
        <v>1030</v>
      </c>
      <c r="F945" s="634" t="s">
        <v>284</v>
      </c>
      <c r="G945" s="634" t="s">
        <v>284</v>
      </c>
      <c r="H945" s="634" t="s">
        <v>285</v>
      </c>
      <c r="I945" s="634" t="s">
        <v>286</v>
      </c>
      <c r="J945" s="634" t="s">
        <v>287</v>
      </c>
      <c r="K945" s="634" t="s">
        <v>288</v>
      </c>
      <c r="L945" s="634" t="s">
        <v>289</v>
      </c>
      <c r="M945" s="634" t="s">
        <v>633</v>
      </c>
      <c r="N945" s="634" t="s">
        <v>634</v>
      </c>
      <c r="O945" s="634" t="s">
        <v>1192</v>
      </c>
      <c r="P945" s="634" t="s">
        <v>524</v>
      </c>
      <c r="Q945" s="634" t="s">
        <v>525</v>
      </c>
      <c r="R945" s="754"/>
      <c r="T945" s="350" t="s">
        <v>2756</v>
      </c>
      <c r="AC945" s="553" t="s">
        <v>1908</v>
      </c>
      <c r="AD945" s="67">
        <f t="shared" si="304"/>
        <v>0</v>
      </c>
      <c r="AE945" s="67">
        <f t="shared" si="305"/>
        <v>1581.0255421077782</v>
      </c>
      <c r="AF945" s="67">
        <f t="shared" si="312"/>
        <v>0</v>
      </c>
      <c r="AG945" s="67">
        <f t="shared" si="306"/>
        <v>72973.600000000006</v>
      </c>
      <c r="AH945" s="67">
        <f t="shared" si="310"/>
        <v>72973.600000000006</v>
      </c>
      <c r="AI945" s="67">
        <f t="shared" si="307"/>
        <v>47023</v>
      </c>
      <c r="AJ945" s="67">
        <f t="shared" si="311"/>
        <v>119996.6</v>
      </c>
      <c r="AK945" s="67">
        <f t="shared" si="308"/>
        <v>8094.1460558827948</v>
      </c>
      <c r="AL945" s="67">
        <f t="shared" si="309"/>
        <v>111902.45394411721</v>
      </c>
      <c r="AM945" s="67" t="s">
        <v>2435</v>
      </c>
      <c r="AN945" s="67">
        <f>+B954/31/1.98</f>
        <v>851.20560443141096</v>
      </c>
      <c r="AO945" s="67">
        <f t="shared" si="313"/>
        <v>0</v>
      </c>
      <c r="AP945" s="67">
        <f>+K332</f>
        <v>-1594.1958258097052</v>
      </c>
      <c r="AQ945" s="67"/>
      <c r="AR945" s="67"/>
      <c r="AS945" s="67"/>
      <c r="AT945" s="754"/>
    </row>
    <row r="946" spans="1:46" ht="15.75" customHeight="1" x14ac:dyDescent="0.3">
      <c r="A946" s="553"/>
      <c r="B946" s="67"/>
      <c r="C946" s="67"/>
      <c r="D946" s="67"/>
      <c r="E946" s="67"/>
      <c r="F946" s="70" t="s">
        <v>1193</v>
      </c>
      <c r="G946" s="70" t="s">
        <v>1194</v>
      </c>
      <c r="H946" s="67"/>
      <c r="I946" s="67"/>
      <c r="J946" s="67"/>
      <c r="K946" s="67"/>
      <c r="L946" s="67"/>
      <c r="M946" s="67"/>
      <c r="N946" s="67"/>
      <c r="O946" s="67"/>
      <c r="P946" s="67"/>
      <c r="Q946" s="67"/>
      <c r="R946" s="754"/>
      <c r="AC946" s="553" t="s">
        <v>2352</v>
      </c>
      <c r="AD946" s="67">
        <f t="shared" si="304"/>
        <v>17000</v>
      </c>
      <c r="AE946" s="67">
        <f t="shared" si="305"/>
        <v>1584.4101397954946</v>
      </c>
      <c r="AF946" s="67">
        <f t="shared" si="312"/>
        <v>26934.972376523408</v>
      </c>
      <c r="AG946" s="67">
        <f t="shared" si="306"/>
        <v>160646.524</v>
      </c>
      <c r="AH946" s="67">
        <f t="shared" si="310"/>
        <v>187581.4963765234</v>
      </c>
      <c r="AI946" s="67">
        <f t="shared" si="307"/>
        <v>37207</v>
      </c>
      <c r="AJ946" s="67">
        <f t="shared" si="311"/>
        <v>224788.4963765234</v>
      </c>
      <c r="AK946" s="67">
        <v>0</v>
      </c>
      <c r="AL946" s="67">
        <f t="shared" si="309"/>
        <v>224788.4963765234</v>
      </c>
      <c r="AM946" s="67" t="s">
        <v>2435</v>
      </c>
      <c r="AN946" s="67">
        <f>+B955/30/1.98</f>
        <v>2195.151515151515</v>
      </c>
      <c r="AO946" s="67">
        <f t="shared" si="313"/>
        <v>285.69444444444446</v>
      </c>
      <c r="AP946" s="67">
        <f>+L332</f>
        <v>0</v>
      </c>
      <c r="AQ946" s="67"/>
      <c r="AR946" s="67"/>
      <c r="AS946" s="67"/>
      <c r="AT946" s="754"/>
    </row>
    <row r="947" spans="1:46" ht="15.75" customHeight="1" x14ac:dyDescent="0.3">
      <c r="A947" s="139" t="s">
        <v>2843</v>
      </c>
      <c r="B947" s="67">
        <f>+B29</f>
        <v>123231</v>
      </c>
      <c r="C947" s="67">
        <f>+B64</f>
        <v>123134</v>
      </c>
      <c r="D947" s="67">
        <f>+B134</f>
        <v>123038</v>
      </c>
      <c r="E947" s="67">
        <f>+B322</f>
        <v>122065</v>
      </c>
      <c r="F947" s="67">
        <f>+B317</f>
        <v>54000</v>
      </c>
      <c r="G947" s="67">
        <f>+B329</f>
        <v>0</v>
      </c>
      <c r="H947" s="67">
        <f>+B514</f>
        <v>37718</v>
      </c>
      <c r="I947" s="67">
        <f>+B565</f>
        <v>16012</v>
      </c>
      <c r="J947" s="67">
        <f>+B610</f>
        <v>15838</v>
      </c>
      <c r="K947" s="67">
        <f>+B676</f>
        <v>15692</v>
      </c>
      <c r="L947" s="67">
        <f>+B686</f>
        <v>11220</v>
      </c>
      <c r="M947" s="67">
        <f>+B722</f>
        <v>11200</v>
      </c>
      <c r="N947" s="67">
        <f>+B774</f>
        <v>10582</v>
      </c>
      <c r="O947" s="67">
        <f>+B784</f>
        <v>4331</v>
      </c>
      <c r="P947" s="67">
        <f>+B818</f>
        <v>3805</v>
      </c>
      <c r="Q947" s="67">
        <f>+B870</f>
        <v>4329</v>
      </c>
      <c r="R947" s="754"/>
      <c r="T947" s="619">
        <f>'Lake Pleasant Forecast'!B83</f>
        <v>1686.5533104540602</v>
      </c>
      <c r="AC947" s="553" t="s">
        <v>2353</v>
      </c>
      <c r="AD947" s="67">
        <f t="shared" si="304"/>
        <v>60000</v>
      </c>
      <c r="AE947" s="67">
        <f t="shared" si="305"/>
        <v>1595.979563906973</v>
      </c>
      <c r="AF947" s="67">
        <f t="shared" si="312"/>
        <v>95758.773834418389</v>
      </c>
      <c r="AG947" s="67">
        <f t="shared" si="306"/>
        <v>119771.152</v>
      </c>
      <c r="AH947" s="67">
        <f t="shared" si="310"/>
        <v>215529.92583441839</v>
      </c>
      <c r="AI947" s="67">
        <f t="shared" si="307"/>
        <v>18796</v>
      </c>
      <c r="AJ947" s="67">
        <f t="shared" si="311"/>
        <v>234325.92583441839</v>
      </c>
      <c r="AK947" s="67">
        <v>0</v>
      </c>
      <c r="AL947" s="67">
        <f t="shared" si="309"/>
        <v>234325.92583441839</v>
      </c>
      <c r="AM947" s="67" t="s">
        <v>2435</v>
      </c>
      <c r="AN947" s="67">
        <f>+B956/31/1.98</f>
        <v>2354.8224177256438</v>
      </c>
      <c r="AO947" s="67">
        <f t="shared" si="313"/>
        <v>1008.3333333333334</v>
      </c>
      <c r="AP947" s="67">
        <f>+N332</f>
        <v>0</v>
      </c>
      <c r="AQ947" s="67"/>
      <c r="AR947" s="67"/>
      <c r="AS947" s="67"/>
      <c r="AT947" s="754"/>
    </row>
    <row r="948" spans="1:46" ht="15.75" customHeight="1" x14ac:dyDescent="0.3">
      <c r="A948" s="139" t="s">
        <v>2091</v>
      </c>
      <c r="B948" s="67">
        <f>+C29</f>
        <v>135476</v>
      </c>
      <c r="C948" s="67">
        <f>+C64</f>
        <v>135328</v>
      </c>
      <c r="D948" s="67">
        <f>+C134</f>
        <v>135183</v>
      </c>
      <c r="E948" s="67">
        <f>+C322</f>
        <v>134123</v>
      </c>
      <c r="F948" s="67">
        <f>+C317</f>
        <v>57000</v>
      </c>
      <c r="G948" s="67">
        <f>+C329</f>
        <v>0</v>
      </c>
      <c r="H948" s="67">
        <f>+C514</f>
        <v>53333</v>
      </c>
      <c r="I948" s="67">
        <f>+C565</f>
        <v>23120</v>
      </c>
      <c r="J948" s="67">
        <f>+C610</f>
        <v>22891</v>
      </c>
      <c r="K948" s="67">
        <f>+C676</f>
        <v>22273</v>
      </c>
      <c r="L948" s="67">
        <f>+C686</f>
        <v>18661</v>
      </c>
      <c r="M948" s="67">
        <f>+C722</f>
        <v>18639</v>
      </c>
      <c r="N948" s="67">
        <f>+C774</f>
        <v>16978</v>
      </c>
      <c r="O948" s="67">
        <f>+C784</f>
        <v>4363</v>
      </c>
      <c r="P948" s="67">
        <f>+C818</f>
        <v>3805</v>
      </c>
      <c r="Q948" s="67">
        <f>+C870</f>
        <v>4360</v>
      </c>
      <c r="R948" s="754"/>
      <c r="T948" s="619">
        <f>'Lake Pleasant Forecast'!B85</f>
        <v>1693.1377792108647</v>
      </c>
      <c r="AC948" s="553" t="s">
        <v>2354</v>
      </c>
      <c r="AD948" s="67">
        <f t="shared" si="304"/>
        <v>82000</v>
      </c>
      <c r="AE948" s="67">
        <f t="shared" si="305"/>
        <v>1610.5024657252754</v>
      </c>
      <c r="AF948" s="67">
        <f t="shared" si="312"/>
        <v>132061.20218947259</v>
      </c>
      <c r="AG948" s="67">
        <f t="shared" si="306"/>
        <v>80518.142000000007</v>
      </c>
      <c r="AH948" s="67">
        <f t="shared" si="310"/>
        <v>212579.34418947261</v>
      </c>
      <c r="AI948" s="67">
        <f t="shared" si="307"/>
        <v>7806</v>
      </c>
      <c r="AJ948" s="67">
        <f t="shared" si="311"/>
        <v>220385.34418947261</v>
      </c>
      <c r="AK948" s="67">
        <f>(G1042)</f>
        <v>0</v>
      </c>
      <c r="AL948" s="67">
        <f t="shared" si="309"/>
        <v>220385.34418947261</v>
      </c>
      <c r="AM948" s="67" t="s">
        <v>2435</v>
      </c>
      <c r="AN948" s="67">
        <f>+B957/30/1.98</f>
        <v>2336.2626262626263</v>
      </c>
      <c r="AO948" s="67">
        <f t="shared" si="313"/>
        <v>1378.0555555555557</v>
      </c>
      <c r="AP948" s="67">
        <f>+O332</f>
        <v>0</v>
      </c>
      <c r="AQ948" s="67"/>
      <c r="AR948" s="67"/>
      <c r="AS948" s="67"/>
      <c r="AT948" s="754"/>
    </row>
    <row r="949" spans="1:46" ht="15.75" customHeight="1" x14ac:dyDescent="0.3">
      <c r="A949" s="139" t="s">
        <v>2234</v>
      </c>
      <c r="B949" s="67">
        <f>+D29</f>
        <v>144974</v>
      </c>
      <c r="C949" s="67">
        <f>+D64</f>
        <v>144700</v>
      </c>
      <c r="D949" s="67">
        <f>+D134</f>
        <v>144439</v>
      </c>
      <c r="E949" s="67">
        <f>+D322</f>
        <v>140718</v>
      </c>
      <c r="F949" s="67">
        <f>+D317</f>
        <v>29000</v>
      </c>
      <c r="G949" s="67">
        <f>+D329</f>
        <v>0</v>
      </c>
      <c r="H949" s="67">
        <f>+D514</f>
        <v>81979</v>
      </c>
      <c r="I949" s="67">
        <f>+D565</f>
        <v>34880</v>
      </c>
      <c r="J949" s="67">
        <f>+D610</f>
        <v>31315</v>
      </c>
      <c r="K949" s="67">
        <f>+D676</f>
        <v>28699</v>
      </c>
      <c r="L949" s="67">
        <f>+D686</f>
        <v>22778</v>
      </c>
      <c r="M949" s="67">
        <f>+D722</f>
        <v>22750</v>
      </c>
      <c r="N949" s="67">
        <f>+D774</f>
        <v>21336</v>
      </c>
      <c r="O949" s="67">
        <f>+D784</f>
        <v>5019</v>
      </c>
      <c r="P949" s="67">
        <f>+D818</f>
        <v>4757</v>
      </c>
      <c r="Q949" s="67">
        <f>+D870</f>
        <v>5014</v>
      </c>
      <c r="R949" s="754"/>
      <c r="T949" s="619">
        <f>'Lake Pleasant Forecast'!B87</f>
        <v>1696.1335207516547</v>
      </c>
      <c r="AC949" s="553" t="s">
        <v>2355</v>
      </c>
      <c r="AD949" s="67">
        <f t="shared" si="304"/>
        <v>50000</v>
      </c>
      <c r="AE949" s="67">
        <f t="shared" si="305"/>
        <v>1618.9547533206844</v>
      </c>
      <c r="AF949" s="67">
        <f t="shared" si="312"/>
        <v>80947.737666034227</v>
      </c>
      <c r="AG949" s="67">
        <f t="shared" si="306"/>
        <v>82284.195999999996</v>
      </c>
      <c r="AH949" s="67">
        <f t="shared" si="310"/>
        <v>163231.93366603422</v>
      </c>
      <c r="AI949" s="67">
        <f t="shared" si="307"/>
        <v>17581</v>
      </c>
      <c r="AJ949" s="67">
        <f t="shared" si="311"/>
        <v>180812.93366603422</v>
      </c>
      <c r="AK949" s="67">
        <f>(G1043)</f>
        <v>0</v>
      </c>
      <c r="AL949" s="67">
        <f t="shared" si="309"/>
        <v>180812.93366603422</v>
      </c>
      <c r="AM949" s="67" t="s">
        <v>2435</v>
      </c>
      <c r="AN949" s="67">
        <f>+B958/31/1.98</f>
        <v>1759.2049527533397</v>
      </c>
      <c r="AO949" s="67">
        <f>(AD949*43560/31/24/3600)</f>
        <v>813.17204301075276</v>
      </c>
      <c r="AP949" s="67">
        <f>+P332</f>
        <v>0</v>
      </c>
      <c r="AQ949" s="67"/>
      <c r="AR949" s="67"/>
      <c r="AS949" s="67"/>
      <c r="AT949" s="754"/>
    </row>
    <row r="950" spans="1:46" ht="15.75" customHeight="1" x14ac:dyDescent="0.3">
      <c r="A950" s="139" t="s">
        <v>2235</v>
      </c>
      <c r="B950" s="67">
        <f>+F29</f>
        <v>147069</v>
      </c>
      <c r="C950" s="67">
        <f>+F64</f>
        <v>146702</v>
      </c>
      <c r="D950" s="67">
        <f>+F134</f>
        <v>146352</v>
      </c>
      <c r="E950" s="67">
        <f>+F322</f>
        <v>140732</v>
      </c>
      <c r="F950" s="67">
        <f>+F317</f>
        <v>0</v>
      </c>
      <c r="G950" s="67">
        <f>+F329</f>
        <v>-10000</v>
      </c>
      <c r="H950" s="67">
        <f>+F514</f>
        <v>113132</v>
      </c>
      <c r="I950" s="67">
        <f>+F565</f>
        <v>44542</v>
      </c>
      <c r="J950" s="67">
        <f>+F610</f>
        <v>34700</v>
      </c>
      <c r="K950" s="67">
        <f>+F676</f>
        <v>31559</v>
      </c>
      <c r="L950" s="67">
        <f>+F686</f>
        <v>25564</v>
      </c>
      <c r="M950" s="67">
        <f>+F722</f>
        <v>25527</v>
      </c>
      <c r="N950" s="67">
        <f>+F774</f>
        <v>22654</v>
      </c>
      <c r="O950" s="67">
        <f>+F784</f>
        <v>5617</v>
      </c>
      <c r="P950" s="67">
        <f>+F818</f>
        <v>5708</v>
      </c>
      <c r="Q950" s="67">
        <f>+F870</f>
        <v>5610</v>
      </c>
      <c r="R950" s="754"/>
      <c r="T950" s="619">
        <f>'Lake Pleasant Forecast'!B89</f>
        <v>1694.6692864298</v>
      </c>
      <c r="AC950" s="551"/>
      <c r="AD950" s="67"/>
      <c r="AE950" s="67"/>
      <c r="AF950" s="67"/>
      <c r="AG950" s="67"/>
      <c r="AH950" s="67"/>
      <c r="AI950" s="67"/>
      <c r="AJ950" s="67"/>
      <c r="AK950" s="67"/>
      <c r="AL950" s="67"/>
      <c r="AM950" s="67" t="s">
        <v>2435</v>
      </c>
      <c r="AN950" s="67"/>
      <c r="AO950" s="67"/>
      <c r="AP950" s="67"/>
      <c r="AQ950" s="67"/>
      <c r="AR950" s="67"/>
      <c r="AS950" s="67"/>
      <c r="AT950" s="754"/>
    </row>
    <row r="951" spans="1:46" ht="15.75" customHeight="1" x14ac:dyDescent="0.3">
      <c r="A951" s="139" t="s">
        <v>2236</v>
      </c>
      <c r="B951" s="67">
        <f>+G29</f>
        <v>172980</v>
      </c>
      <c r="C951" s="67">
        <f>+G64</f>
        <v>172555</v>
      </c>
      <c r="D951" s="67">
        <f>+G134</f>
        <v>172153</v>
      </c>
      <c r="E951" s="67">
        <f>+G322</f>
        <v>164816</v>
      </c>
      <c r="F951" s="67">
        <f>+G317</f>
        <v>0</v>
      </c>
      <c r="G951" s="67">
        <f>+G329</f>
        <v>0</v>
      </c>
      <c r="H951" s="67">
        <f>+G514</f>
        <v>120359</v>
      </c>
      <c r="I951" s="67">
        <f>+G565</f>
        <v>40302</v>
      </c>
      <c r="J951" s="67">
        <f>+G610</f>
        <v>33863</v>
      </c>
      <c r="K951" s="67">
        <f>+G676</f>
        <v>30975</v>
      </c>
      <c r="L951" s="67">
        <f>+G686</f>
        <v>25822</v>
      </c>
      <c r="M951" s="67">
        <f>+G722</f>
        <v>25780</v>
      </c>
      <c r="N951" s="67">
        <f>+G774</f>
        <v>23343</v>
      </c>
      <c r="O951" s="67">
        <f>+G784</f>
        <v>5531</v>
      </c>
      <c r="P951" s="67">
        <f>+G818</f>
        <v>6659</v>
      </c>
      <c r="Q951" s="67">
        <f>+G870</f>
        <v>5523</v>
      </c>
      <c r="R951" s="754"/>
      <c r="T951" s="619">
        <f>'Lake Pleasant Forecast'!B91</f>
        <v>1693.8331531467943</v>
      </c>
      <c r="AC951" s="551" t="s">
        <v>2356</v>
      </c>
      <c r="AD951" s="67">
        <f>SUM(AD938:AD949)</f>
        <v>349000</v>
      </c>
      <c r="AE951" s="67"/>
      <c r="AF951" s="67">
        <f t="shared" ref="AF951:AL951" si="314">SUM(AF938:AF949)</f>
        <v>565229.21460622596</v>
      </c>
      <c r="AG951" s="67">
        <f t="shared" si="314"/>
        <v>1520085.183</v>
      </c>
      <c r="AH951" s="67">
        <f t="shared" si="314"/>
        <v>2085314.3976062257</v>
      </c>
      <c r="AI951" s="67">
        <f t="shared" si="314"/>
        <v>438113</v>
      </c>
      <c r="AJ951" s="67">
        <f t="shared" si="314"/>
        <v>2523427.3976062257</v>
      </c>
      <c r="AK951" s="67">
        <f t="shared" si="314"/>
        <v>40237.390994100999</v>
      </c>
      <c r="AL951" s="67">
        <f t="shared" si="314"/>
        <v>2483190.0066121249</v>
      </c>
      <c r="AM951" s="67"/>
      <c r="AN951" s="67"/>
      <c r="AO951" s="67"/>
      <c r="AP951" s="67"/>
      <c r="AQ951" s="67"/>
      <c r="AR951" s="67"/>
      <c r="AS951" s="67"/>
      <c r="AT951" s="754"/>
    </row>
    <row r="952" spans="1:46" ht="15.75" customHeight="1" x14ac:dyDescent="0.3">
      <c r="A952" s="139" t="s">
        <v>2237</v>
      </c>
      <c r="B952" s="67">
        <f>+H29</f>
        <v>74632</v>
      </c>
      <c r="C952" s="67">
        <f>+H64</f>
        <v>74215</v>
      </c>
      <c r="D952" s="67">
        <f>+H134</f>
        <v>73819</v>
      </c>
      <c r="E952" s="67">
        <f>+H322</f>
        <v>66439</v>
      </c>
      <c r="F952" s="67">
        <f>+H317</f>
        <v>0</v>
      </c>
      <c r="G952" s="67">
        <f>+H329</f>
        <v>-119000</v>
      </c>
      <c r="H952" s="67">
        <f>+H514</f>
        <v>141195</v>
      </c>
      <c r="I952" s="67">
        <f>+H565</f>
        <v>50915</v>
      </c>
      <c r="J952" s="67">
        <f>+H610</f>
        <v>32817</v>
      </c>
      <c r="K952" s="67">
        <f>+H676</f>
        <v>26933</v>
      </c>
      <c r="L952" s="67">
        <f>+H686</f>
        <v>22965</v>
      </c>
      <c r="M952" s="67">
        <f>+H722</f>
        <v>22921</v>
      </c>
      <c r="N952" s="67">
        <f>+H774</f>
        <v>21020</v>
      </c>
      <c r="O952" s="67">
        <f>+H784</f>
        <v>5457</v>
      </c>
      <c r="P952" s="67">
        <f>+H818</f>
        <v>6850</v>
      </c>
      <c r="Q952" s="67">
        <f>+H870</f>
        <v>5448</v>
      </c>
      <c r="R952" s="754"/>
      <c r="T952" s="619">
        <f>'Lake Pleasant Forecast'!B93</f>
        <v>1679.5863747198991</v>
      </c>
      <c r="AC952" s="551"/>
      <c r="AD952" s="67"/>
      <c r="AE952" s="67"/>
      <c r="AF952" s="67"/>
      <c r="AG952" s="67"/>
      <c r="AH952" s="67"/>
      <c r="AI952" s="67"/>
      <c r="AJ952" s="67"/>
      <c r="AK952" s="67"/>
      <c r="AL952" s="67"/>
      <c r="AM952" s="67"/>
      <c r="AN952" s="67"/>
      <c r="AO952" s="67"/>
      <c r="AP952" s="67"/>
      <c r="AQ952" s="67"/>
      <c r="AR952" s="67"/>
      <c r="AS952" s="67"/>
      <c r="AT952" s="754"/>
    </row>
    <row r="953" spans="1:46" ht="15.75" customHeight="1" x14ac:dyDescent="0.3">
      <c r="A953" s="139" t="s">
        <v>1504</v>
      </c>
      <c r="B953" s="67">
        <f>+J29</f>
        <v>51892</v>
      </c>
      <c r="C953" s="67">
        <f>+J64</f>
        <v>51476</v>
      </c>
      <c r="D953" s="67">
        <f>+J134</f>
        <v>51082</v>
      </c>
      <c r="E953" s="67">
        <f>+J322</f>
        <v>44224</v>
      </c>
      <c r="F953" s="67">
        <f>+J317</f>
        <v>0</v>
      </c>
      <c r="G953" s="67">
        <f>+J329</f>
        <v>-141000</v>
      </c>
      <c r="H953" s="67">
        <f>+J514</f>
        <v>134221</v>
      </c>
      <c r="I953" s="67">
        <f>+J565</f>
        <v>54776</v>
      </c>
      <c r="J953" s="67">
        <f>+J610</f>
        <v>33632</v>
      </c>
      <c r="K953" s="67">
        <f>+J676</f>
        <v>27201</v>
      </c>
      <c r="L953" s="67">
        <f>+J686</f>
        <v>21595</v>
      </c>
      <c r="M953" s="67">
        <f>+J722</f>
        <v>21556</v>
      </c>
      <c r="N953" s="67">
        <f>+J774</f>
        <v>20537</v>
      </c>
      <c r="O953" s="67">
        <f>+J784</f>
        <v>5595</v>
      </c>
      <c r="P953" s="67">
        <f>+J818</f>
        <v>6184</v>
      </c>
      <c r="Q953" s="67">
        <f>+J870</f>
        <v>5588</v>
      </c>
      <c r="R953" s="754"/>
      <c r="T953" s="619">
        <f>'Lake Pleasant Forecast'!B95</f>
        <v>1660.904762840722</v>
      </c>
      <c r="AC953" s="551" t="s">
        <v>1696</v>
      </c>
      <c r="AD953" s="67"/>
      <c r="AE953" s="67"/>
      <c r="AF953" s="67"/>
      <c r="AG953" s="67"/>
      <c r="AH953" s="67"/>
      <c r="AI953" s="67"/>
      <c r="AJ953" s="67"/>
      <c r="AK953" s="67"/>
      <c r="AL953" s="67"/>
      <c r="AM953" s="67"/>
      <c r="AN953" s="67"/>
      <c r="AO953" s="67"/>
      <c r="AP953" s="67"/>
      <c r="AQ953" s="67"/>
      <c r="AR953" s="67"/>
      <c r="AS953" s="67"/>
      <c r="AT953" s="754"/>
    </row>
    <row r="954" spans="1:46" ht="15.75" customHeight="1" x14ac:dyDescent="0.3">
      <c r="A954" s="139" t="s">
        <v>1505</v>
      </c>
      <c r="B954" s="67">
        <f>+K29</f>
        <v>52247</v>
      </c>
      <c r="C954" s="67">
        <f>+K64</f>
        <v>51913</v>
      </c>
      <c r="D954" s="67">
        <f>+K134</f>
        <v>51595</v>
      </c>
      <c r="E954" s="67">
        <f>+K322</f>
        <v>45825</v>
      </c>
      <c r="F954" s="67">
        <f>+K317</f>
        <v>0</v>
      </c>
      <c r="G954" s="67">
        <f>+K329</f>
        <v>-98000</v>
      </c>
      <c r="H954" s="67">
        <f>+K514</f>
        <v>101608</v>
      </c>
      <c r="I954" s="67">
        <f>+K565</f>
        <v>43489</v>
      </c>
      <c r="J954" s="67">
        <f>+K610</f>
        <v>31601</v>
      </c>
      <c r="K954" s="67">
        <f>+K676</f>
        <v>26958</v>
      </c>
      <c r="L954" s="67">
        <f>+K686</f>
        <v>21496</v>
      </c>
      <c r="M954" s="67">
        <f>+K722</f>
        <v>21460</v>
      </c>
      <c r="N954" s="67">
        <f>+K774</f>
        <v>20243</v>
      </c>
      <c r="O954" s="67">
        <f>+K784</f>
        <v>5654</v>
      </c>
      <c r="P954" s="67">
        <f>+K818</f>
        <v>5708</v>
      </c>
      <c r="Q954" s="67">
        <f>+K870</f>
        <v>5648</v>
      </c>
      <c r="R954" s="754"/>
      <c r="T954" s="619">
        <f>'Lake Pleasant Forecast'!B97</f>
        <v>1646.2006725314106</v>
      </c>
      <c r="AC954" s="551" t="s">
        <v>785</v>
      </c>
      <c r="AD954" s="67"/>
      <c r="AE954" s="67"/>
      <c r="AF954" s="67"/>
      <c r="AG954" s="67"/>
      <c r="AH954" s="67"/>
      <c r="AI954" s="67"/>
      <c r="AJ954" s="67"/>
      <c r="AK954" s="67"/>
      <c r="AL954" s="67"/>
      <c r="AM954" s="67"/>
      <c r="AN954" s="67"/>
      <c r="AO954" s="67"/>
      <c r="AP954" s="67"/>
      <c r="AQ954" s="67"/>
      <c r="AR954" s="67"/>
      <c r="AS954" s="67"/>
      <c r="AT954" s="754"/>
    </row>
    <row r="955" spans="1:46" ht="15.75" customHeight="1" x14ac:dyDescent="0.3">
      <c r="A955" s="139" t="s">
        <v>1506</v>
      </c>
      <c r="B955" s="67">
        <f>+L29</f>
        <v>130392</v>
      </c>
      <c r="C955" s="67">
        <f>+L64</f>
        <v>130076</v>
      </c>
      <c r="D955" s="67">
        <f>+L134</f>
        <v>129775</v>
      </c>
      <c r="E955" s="67">
        <f>+L322</f>
        <v>126132</v>
      </c>
      <c r="F955" s="67">
        <f>+L317</f>
        <v>17000</v>
      </c>
      <c r="G955" s="67">
        <f>+L329</f>
        <v>0</v>
      </c>
      <c r="H955" s="67">
        <f>+L514</f>
        <v>70344</v>
      </c>
      <c r="I955" s="67">
        <f>+L565</f>
        <v>26463</v>
      </c>
      <c r="J955" s="67">
        <f>+L610</f>
        <v>25150</v>
      </c>
      <c r="K955" s="67">
        <f>+L676</f>
        <v>23470</v>
      </c>
      <c r="L955" s="67">
        <f>+L686</f>
        <v>20032</v>
      </c>
      <c r="M955" s="67">
        <f>+L722</f>
        <v>19998</v>
      </c>
      <c r="N955" s="67">
        <f>+L774</f>
        <v>18881</v>
      </c>
      <c r="O955" s="67">
        <f>+L784</f>
        <v>4533</v>
      </c>
      <c r="P955" s="67">
        <f>+L818</f>
        <v>5232</v>
      </c>
      <c r="Q955" s="67">
        <f>+L870</f>
        <v>4527</v>
      </c>
      <c r="R955" s="754"/>
      <c r="T955" s="619">
        <f>'Lake Pleasant Forecast'!B99</f>
        <v>1648.80748967049</v>
      </c>
      <c r="AC955" s="551"/>
      <c r="AD955" s="67"/>
      <c r="AE955" s="67"/>
      <c r="AF955" s="67"/>
      <c r="AG955" s="67"/>
      <c r="AH955" s="67"/>
      <c r="AI955" s="67"/>
      <c r="AJ955" s="67"/>
      <c r="AK955" s="67"/>
      <c r="AL955" s="67"/>
      <c r="AM955" s="67"/>
      <c r="AN955" s="67"/>
      <c r="AO955" s="67"/>
      <c r="AP955" s="67"/>
      <c r="AQ955" s="67"/>
      <c r="AR955" s="67"/>
      <c r="AS955" s="67"/>
      <c r="AT955" s="754"/>
    </row>
    <row r="956" spans="1:46" ht="15.75" customHeight="1" x14ac:dyDescent="0.3">
      <c r="A956" s="139" t="s">
        <v>1507</v>
      </c>
      <c r="B956" s="67">
        <f>+N29</f>
        <v>144539</v>
      </c>
      <c r="C956" s="67">
        <f>+N64</f>
        <v>144254</v>
      </c>
      <c r="D956" s="67">
        <f>+N134</f>
        <v>143982</v>
      </c>
      <c r="E956" s="67">
        <f>+N322</f>
        <v>141455</v>
      </c>
      <c r="F956" s="67">
        <f>+N317</f>
        <v>60000</v>
      </c>
      <c r="G956" s="67">
        <f>+N329</f>
        <v>0</v>
      </c>
      <c r="H956" s="67">
        <f>+N514</f>
        <v>48390</v>
      </c>
      <c r="I956" s="67">
        <f>+N565</f>
        <v>11747</v>
      </c>
      <c r="J956" s="67">
        <f>+N610</f>
        <v>11097</v>
      </c>
      <c r="K956" s="67">
        <f>+N676</f>
        <v>10173</v>
      </c>
      <c r="L956" s="67">
        <f>+N686</f>
        <v>8422</v>
      </c>
      <c r="M956" s="67">
        <f>+N722</f>
        <v>8393</v>
      </c>
      <c r="N956" s="67">
        <f>+N774</f>
        <v>7479</v>
      </c>
      <c r="O956" s="67">
        <f>+N784</f>
        <v>2322</v>
      </c>
      <c r="P956" s="67">
        <f>+N818</f>
        <v>4757</v>
      </c>
      <c r="Q956" s="67">
        <f>+N870</f>
        <v>2317</v>
      </c>
      <c r="R956" s="754"/>
      <c r="T956" s="619">
        <f>'Lake Pleasant Forecast'!B101</f>
        <v>1657.7182601211505</v>
      </c>
      <c r="AC956" s="551" t="s">
        <v>440</v>
      </c>
      <c r="AD956" s="67"/>
      <c r="AE956" s="67"/>
      <c r="AF956" s="67"/>
      <c r="AG956" s="67"/>
      <c r="AH956" s="67"/>
      <c r="AI956" s="67"/>
      <c r="AJ956" s="67"/>
      <c r="AK956" s="67"/>
      <c r="AL956" s="67"/>
      <c r="AM956" s="67"/>
      <c r="AN956" s="67"/>
      <c r="AO956" s="67"/>
      <c r="AP956" s="67"/>
      <c r="AQ956" s="67"/>
      <c r="AR956" s="67"/>
      <c r="AS956" s="67"/>
      <c r="AT956" s="754"/>
    </row>
    <row r="957" spans="1:46" ht="15.75" customHeight="1" x14ac:dyDescent="0.3">
      <c r="A957" s="139" t="s">
        <v>1508</v>
      </c>
      <c r="B957" s="67">
        <f>+O29</f>
        <v>138774</v>
      </c>
      <c r="C957" s="67">
        <f>+O64</f>
        <v>138539</v>
      </c>
      <c r="D957" s="67">
        <f>+O134</f>
        <v>138313</v>
      </c>
      <c r="E957" s="67">
        <f>+O322</f>
        <v>137158</v>
      </c>
      <c r="F957" s="67">
        <f>+O317</f>
        <v>82000</v>
      </c>
      <c r="G957" s="67">
        <f>+O329</f>
        <v>0</v>
      </c>
      <c r="H957" s="67">
        <f>+O514</f>
        <v>24313</v>
      </c>
      <c r="I957" s="67">
        <f>+O565</f>
        <v>3870</v>
      </c>
      <c r="J957" s="67">
        <f>+O610</f>
        <v>2998</v>
      </c>
      <c r="K957" s="67">
        <f>+O676</f>
        <v>2860</v>
      </c>
      <c r="L957" s="67">
        <f>+O686</f>
        <v>1988</v>
      </c>
      <c r="M957" s="67">
        <f>+O722</f>
        <v>1965</v>
      </c>
      <c r="N957" s="67">
        <f>+O774</f>
        <v>1754</v>
      </c>
      <c r="O957" s="67">
        <f>+O784</f>
        <v>1579</v>
      </c>
      <c r="P957" s="67">
        <f>+O818</f>
        <v>4281</v>
      </c>
      <c r="Q957" s="67">
        <f>+O870</f>
        <v>1576</v>
      </c>
      <c r="R957" s="754"/>
      <c r="T957" s="619">
        <f>'Lake Pleasant Forecast'!B103</f>
        <v>1668.9037991016071</v>
      </c>
      <c r="AC957" s="551"/>
      <c r="AD957" s="67"/>
      <c r="AE957" s="67"/>
      <c r="AF957" s="67"/>
      <c r="AG957" s="67"/>
      <c r="AH957" s="67"/>
      <c r="AI957" s="67"/>
      <c r="AJ957" s="67"/>
      <c r="AK957" s="67"/>
      <c r="AL957" s="67"/>
      <c r="AM957" s="67"/>
      <c r="AN957" s="67"/>
      <c r="AO957" s="67"/>
      <c r="AP957" s="67"/>
      <c r="AQ957" s="67"/>
      <c r="AR957" s="67"/>
      <c r="AS957" s="67"/>
      <c r="AT957" s="754"/>
    </row>
    <row r="958" spans="1:46" ht="15.75" customHeight="1" thickBot="1" x14ac:dyDescent="0.35">
      <c r="A958" s="139" t="s">
        <v>1509</v>
      </c>
      <c r="B958" s="67">
        <f>+P29</f>
        <v>107980</v>
      </c>
      <c r="C958" s="67">
        <f>+P64</f>
        <v>107794</v>
      </c>
      <c r="D958" s="67">
        <f>+P134</f>
        <v>107615</v>
      </c>
      <c r="E958" s="67">
        <f>+P322</f>
        <v>106492</v>
      </c>
      <c r="F958" s="67">
        <f>+P317</f>
        <v>50000</v>
      </c>
      <c r="G958" s="67">
        <f>+P329</f>
        <v>0</v>
      </c>
      <c r="H958" s="67">
        <f>+P514</f>
        <v>31426</v>
      </c>
      <c r="I958" s="67">
        <f>+P565</f>
        <v>11079</v>
      </c>
      <c r="J958" s="67">
        <f>+P610</f>
        <v>10466</v>
      </c>
      <c r="K958" s="67">
        <f>+P676</f>
        <v>9868</v>
      </c>
      <c r="L958" s="67">
        <f>+P686</f>
        <v>9430</v>
      </c>
      <c r="M958" s="67">
        <f>+P722</f>
        <v>9411</v>
      </c>
      <c r="N958" s="67">
        <f>+P774</f>
        <v>9002</v>
      </c>
      <c r="O958" s="67">
        <f>+P784</f>
        <v>3093</v>
      </c>
      <c r="P958" s="67">
        <f>+P818</f>
        <v>3805</v>
      </c>
      <c r="Q958" s="67">
        <f>+P870</f>
        <v>3091</v>
      </c>
      <c r="R958" s="754"/>
      <c r="T958" s="619">
        <f>'Lake Pleasant Forecast'!B105</f>
        <v>1675.4137510075911</v>
      </c>
      <c r="AC958" s="554" t="s">
        <v>1480</v>
      </c>
      <c r="AD958" s="555"/>
      <c r="AE958" s="555"/>
      <c r="AF958" s="555"/>
      <c r="AG958" s="555"/>
      <c r="AH958" s="555"/>
      <c r="AI958" s="555"/>
      <c r="AJ958" s="555"/>
      <c r="AK958" s="555"/>
      <c r="AL958" s="555"/>
      <c r="AM958" s="555"/>
      <c r="AN958" s="555"/>
      <c r="AO958" s="555"/>
      <c r="AP958" s="555"/>
      <c r="AQ958" s="555"/>
      <c r="AR958" s="555"/>
      <c r="AS958" s="555"/>
      <c r="AT958" s="556"/>
    </row>
    <row r="959" spans="1:46" ht="15.75" customHeight="1" x14ac:dyDescent="0.3">
      <c r="A959" s="553"/>
      <c r="B959" s="67"/>
      <c r="C959" s="67"/>
      <c r="D959" s="67"/>
      <c r="E959" s="67"/>
      <c r="F959" s="67"/>
      <c r="G959" s="67"/>
      <c r="H959" s="67"/>
      <c r="I959" s="67"/>
      <c r="J959" s="67"/>
      <c r="K959" s="67"/>
      <c r="L959" s="67"/>
      <c r="M959" s="67"/>
      <c r="N959" s="67"/>
      <c r="O959" s="67"/>
      <c r="P959" s="67"/>
      <c r="Q959" s="67"/>
      <c r="R959" s="754"/>
    </row>
    <row r="960" spans="1:46" ht="15.75" customHeight="1" thickBot="1" x14ac:dyDescent="0.35">
      <c r="A960" s="553" t="s">
        <v>2356</v>
      </c>
      <c r="B960" s="67">
        <f t="shared" ref="B960:Q960" si="315">SUM(B947:B958)</f>
        <v>1424186</v>
      </c>
      <c r="C960" s="67">
        <f t="shared" si="315"/>
        <v>1420686</v>
      </c>
      <c r="D960" s="67">
        <f t="shared" si="315"/>
        <v>1417346</v>
      </c>
      <c r="E960" s="67">
        <f t="shared" si="315"/>
        <v>1370179</v>
      </c>
      <c r="F960" s="67">
        <f t="shared" si="315"/>
        <v>349000</v>
      </c>
      <c r="G960" s="67">
        <f t="shared" si="315"/>
        <v>-368000</v>
      </c>
      <c r="H960" s="67">
        <f t="shared" si="315"/>
        <v>958018</v>
      </c>
      <c r="I960" s="67">
        <f t="shared" si="315"/>
        <v>361195</v>
      </c>
      <c r="J960" s="67">
        <f t="shared" si="315"/>
        <v>286368</v>
      </c>
      <c r="K960" s="67">
        <f t="shared" si="315"/>
        <v>256661</v>
      </c>
      <c r="L960" s="67">
        <f t="shared" si="315"/>
        <v>209973</v>
      </c>
      <c r="M960" s="67">
        <f t="shared" si="315"/>
        <v>209600</v>
      </c>
      <c r="N960" s="67">
        <f t="shared" si="315"/>
        <v>193809</v>
      </c>
      <c r="O960" s="67">
        <f t="shared" si="315"/>
        <v>53094</v>
      </c>
      <c r="P960" s="67">
        <f t="shared" si="315"/>
        <v>61551</v>
      </c>
      <c r="Q960" s="67">
        <f t="shared" si="315"/>
        <v>53031</v>
      </c>
      <c r="R960" s="754"/>
    </row>
    <row r="961" spans="1:50" ht="15.75" customHeight="1" thickBot="1" x14ac:dyDescent="0.35">
      <c r="A961" s="581"/>
      <c r="B961" s="581"/>
      <c r="C961" s="581"/>
      <c r="D961" s="581"/>
      <c r="E961" s="581"/>
      <c r="F961" s="581"/>
      <c r="G961" s="581"/>
      <c r="H961" s="581"/>
      <c r="I961" s="581"/>
      <c r="J961" s="581"/>
      <c r="K961" s="581"/>
      <c r="L961" s="581"/>
      <c r="M961" s="581"/>
      <c r="N961" s="581"/>
      <c r="O961" s="581"/>
      <c r="P961" s="581"/>
      <c r="Q961" s="581"/>
      <c r="R961" s="556"/>
      <c r="AC961" s="749"/>
      <c r="AD961" s="701"/>
      <c r="AE961" s="701"/>
      <c r="AF961" s="701"/>
      <c r="AG961" s="701"/>
      <c r="AH961" s="701"/>
      <c r="AI961" s="701"/>
      <c r="AJ961" s="701"/>
      <c r="AK961" s="701"/>
      <c r="AL961" s="701"/>
      <c r="AM961" s="701"/>
      <c r="AN961" s="701"/>
      <c r="AO961" s="701"/>
      <c r="AP961" s="701"/>
      <c r="AQ961" s="701"/>
      <c r="AR961" s="701"/>
      <c r="AS961" s="752" t="str">
        <f>+Q1</f>
        <v xml:space="preserve">PRINTED:  </v>
      </c>
      <c r="AT961" s="756">
        <f ca="1">+R1</f>
        <v>44881.729632754628</v>
      </c>
      <c r="AU961" s="702"/>
      <c r="AW961" s="71" t="s">
        <v>253</v>
      </c>
      <c r="AX961" s="67"/>
    </row>
    <row r="962" spans="1:50" ht="15.75" customHeight="1" x14ac:dyDescent="0.35">
      <c r="A962" s="703"/>
      <c r="B962" s="703"/>
      <c r="C962" s="703"/>
      <c r="D962" s="703"/>
      <c r="E962" s="703"/>
      <c r="F962" s="703"/>
      <c r="G962" s="703"/>
      <c r="H962" s="703"/>
      <c r="I962" s="703"/>
      <c r="J962" s="703"/>
      <c r="K962" s="703"/>
      <c r="L962" s="703"/>
      <c r="M962" s="703"/>
      <c r="N962" s="703"/>
      <c r="O962" s="703"/>
      <c r="P962" s="703"/>
      <c r="Q962" s="703"/>
      <c r="R962" s="701"/>
      <c r="AC962" s="551"/>
      <c r="AD962" s="67"/>
      <c r="AE962" s="71" t="s">
        <v>2125</v>
      </c>
      <c r="AF962" s="67"/>
      <c r="AG962" s="67"/>
      <c r="AH962" s="67"/>
      <c r="AI962" s="67"/>
      <c r="AJ962" s="67"/>
      <c r="AK962" s="67"/>
      <c r="AL962" s="67"/>
      <c r="AM962" s="67"/>
      <c r="AN962" s="215"/>
      <c r="AO962" s="71" t="s">
        <v>1456</v>
      </c>
      <c r="AP962" s="67"/>
      <c r="AQ962" s="67"/>
      <c r="AR962" s="67"/>
      <c r="AS962" s="67"/>
      <c r="AT962" s="67"/>
      <c r="AU962" s="727"/>
      <c r="AW962" s="67" t="s">
        <v>254</v>
      </c>
      <c r="AX962" s="67"/>
    </row>
    <row r="963" spans="1:50" ht="16.5" customHeight="1" x14ac:dyDescent="0.3">
      <c r="A963" s="553" t="s">
        <v>852</v>
      </c>
      <c r="B963" s="67"/>
      <c r="C963" s="67"/>
      <c r="D963" s="67"/>
      <c r="E963" s="67"/>
      <c r="F963" s="67"/>
      <c r="G963" s="67"/>
      <c r="H963" s="67"/>
      <c r="I963" s="67"/>
      <c r="J963" s="67"/>
      <c r="K963" s="67"/>
      <c r="L963" s="67"/>
      <c r="M963" s="67"/>
      <c r="N963" s="67"/>
      <c r="O963" s="67"/>
      <c r="P963" s="67"/>
      <c r="Q963" s="67"/>
      <c r="R963" s="67"/>
      <c r="AC963" s="551"/>
      <c r="AD963" s="67"/>
      <c r="AE963" s="67"/>
      <c r="AF963" s="67"/>
      <c r="AG963" s="67" t="s">
        <v>852</v>
      </c>
      <c r="AH963" s="69" t="str">
        <f>+A8</f>
        <v>Revised:  2/5/2020</v>
      </c>
      <c r="AI963" s="67"/>
      <c r="AJ963" s="67"/>
      <c r="AK963" s="67"/>
      <c r="AL963" s="67"/>
      <c r="AM963" s="67"/>
      <c r="AN963" s="67"/>
      <c r="AO963" s="67"/>
      <c r="AP963" s="67"/>
      <c r="AQ963" s="67"/>
      <c r="AR963" s="67" t="s">
        <v>852</v>
      </c>
      <c r="AS963" s="69" t="str">
        <f>+A8</f>
        <v>Revised:  2/5/2020</v>
      </c>
      <c r="AT963" s="67"/>
      <c r="AU963" s="727"/>
      <c r="AW963" s="67"/>
      <c r="AX963" s="67"/>
    </row>
    <row r="964" spans="1:50" ht="15.75" customHeight="1" x14ac:dyDescent="0.3">
      <c r="A964" s="70"/>
      <c r="B964" s="67"/>
      <c r="C964" s="67"/>
      <c r="D964" s="67"/>
      <c r="E964" s="67"/>
      <c r="F964" s="67"/>
      <c r="G964" s="67"/>
      <c r="H964" s="67"/>
      <c r="I964" s="67"/>
      <c r="J964" s="67"/>
      <c r="K964" s="67"/>
      <c r="L964" s="67"/>
      <c r="M964" s="67"/>
      <c r="N964" s="67"/>
      <c r="O964" s="67"/>
      <c r="P964" s="67"/>
      <c r="Q964" s="67"/>
      <c r="R964" s="67"/>
      <c r="AC964" s="551"/>
      <c r="AD964" s="67"/>
      <c r="AE964" s="67"/>
      <c r="AF964" s="67" t="s">
        <v>2545</v>
      </c>
      <c r="AG964" s="67"/>
      <c r="AH964" s="67"/>
      <c r="AI964" s="67"/>
      <c r="AJ964" s="67"/>
      <c r="AK964" s="67"/>
      <c r="AL964" s="67"/>
      <c r="AM964" s="67"/>
      <c r="AN964" s="67"/>
      <c r="AO964" s="67"/>
      <c r="AP964" s="67" t="s">
        <v>2545</v>
      </c>
      <c r="AQ964" s="67"/>
      <c r="AR964" s="67"/>
      <c r="AS964" s="67"/>
      <c r="AT964" s="67"/>
      <c r="AU964" s="727"/>
      <c r="AW964" s="67" t="s">
        <v>2435</v>
      </c>
      <c r="AX964" s="70" t="s">
        <v>335</v>
      </c>
    </row>
    <row r="965" spans="1:50" ht="15.75" customHeight="1" x14ac:dyDescent="0.3">
      <c r="A965" s="139"/>
      <c r="AC965" s="551"/>
      <c r="AD965" s="67"/>
      <c r="AE965" s="67"/>
      <c r="AF965" s="67"/>
      <c r="AG965" s="67"/>
      <c r="AH965" s="67"/>
      <c r="AI965" s="67"/>
      <c r="AJ965" s="67"/>
      <c r="AK965" s="67"/>
      <c r="AL965" s="67"/>
      <c r="AM965" s="67"/>
      <c r="AN965" s="67"/>
      <c r="AO965" s="67"/>
      <c r="AP965" s="67"/>
      <c r="AQ965" s="67"/>
      <c r="AR965" s="67"/>
      <c r="AS965" s="67"/>
      <c r="AT965" s="67"/>
      <c r="AU965" s="727"/>
      <c r="AW965" s="70" t="s">
        <v>335</v>
      </c>
      <c r="AX965" s="70" t="s">
        <v>956</v>
      </c>
    </row>
    <row r="966" spans="1:50" ht="15.75" customHeight="1" thickBot="1" x14ac:dyDescent="0.35">
      <c r="A966" s="139"/>
      <c r="AC966" s="551"/>
      <c r="AD966" s="67"/>
      <c r="AE966" s="67"/>
      <c r="AF966" s="67"/>
      <c r="AG966" s="67">
        <f>+A5</f>
        <v>2021</v>
      </c>
      <c r="AH966" s="67"/>
      <c r="AI966" s="67"/>
      <c r="AJ966" s="67"/>
      <c r="AK966" s="67"/>
      <c r="AL966" s="67"/>
      <c r="AM966" s="67"/>
      <c r="AN966" s="67"/>
      <c r="AO966" s="67"/>
      <c r="AP966" s="67"/>
      <c r="AQ966" s="67"/>
      <c r="AR966" s="67">
        <f>+A5</f>
        <v>2021</v>
      </c>
      <c r="AS966" s="67"/>
      <c r="AT966" s="67"/>
      <c r="AU966" s="727"/>
      <c r="AW966" s="70" t="s">
        <v>998</v>
      </c>
      <c r="AX966" s="70" t="s">
        <v>2201</v>
      </c>
    </row>
    <row r="967" spans="1:50" ht="15.75" customHeight="1" x14ac:dyDescent="0.3">
      <c r="A967" s="755"/>
      <c r="B967" s="821" t="s">
        <v>1898</v>
      </c>
      <c r="C967" s="821"/>
      <c r="D967" s="821"/>
      <c r="E967" s="821"/>
      <c r="F967" s="821"/>
      <c r="G967" s="821"/>
      <c r="H967" s="821"/>
      <c r="I967" s="821"/>
      <c r="J967" s="821"/>
      <c r="K967" s="821"/>
      <c r="L967" s="821"/>
      <c r="M967" s="821"/>
      <c r="N967" s="821"/>
      <c r="O967" s="821"/>
      <c r="P967" s="821"/>
      <c r="Q967" s="752" t="str">
        <f>+Q1</f>
        <v xml:space="preserve">PRINTED:  </v>
      </c>
      <c r="R967" s="753">
        <f ca="1">+R1</f>
        <v>44881.729632754628</v>
      </c>
      <c r="AC967" s="551"/>
      <c r="AD967" s="67"/>
      <c r="AE967" s="67"/>
      <c r="AF967" s="67"/>
      <c r="AG967" s="67" t="s">
        <v>1199</v>
      </c>
      <c r="AH967" s="67"/>
      <c r="AI967" s="67"/>
      <c r="AJ967" s="67"/>
      <c r="AK967" s="67"/>
      <c r="AL967" s="67"/>
      <c r="AM967" s="67"/>
      <c r="AN967" s="67"/>
      <c r="AO967" s="67"/>
      <c r="AP967" s="67"/>
      <c r="AQ967" s="67"/>
      <c r="AR967" s="67" t="s">
        <v>1199</v>
      </c>
      <c r="AS967" s="67"/>
      <c r="AT967" s="67"/>
      <c r="AU967" s="727"/>
      <c r="AW967" s="70" t="s">
        <v>1353</v>
      </c>
      <c r="AX967" s="70" t="s">
        <v>1353</v>
      </c>
    </row>
    <row r="968" spans="1:50" ht="15.75" customHeight="1" x14ac:dyDescent="0.3">
      <c r="A968" s="553"/>
      <c r="B968" s="786" t="str">
        <f>+A8</f>
        <v>Revised:  2/5/2020</v>
      </c>
      <c r="C968" s="786"/>
      <c r="D968" s="786"/>
      <c r="E968" s="786"/>
      <c r="F968" s="786"/>
      <c r="G968" s="786"/>
      <c r="H968" s="786"/>
      <c r="I968" s="786"/>
      <c r="J968" s="786"/>
      <c r="K968" s="786"/>
      <c r="L968" s="786"/>
      <c r="M968" s="786"/>
      <c r="N968" s="786"/>
      <c r="O968" s="786"/>
      <c r="P968" s="786"/>
      <c r="Q968" s="67"/>
      <c r="R968" s="754"/>
      <c r="AC968" s="551"/>
      <c r="AD968" s="67"/>
      <c r="AE968" s="67"/>
      <c r="AF968" s="67"/>
      <c r="AG968" s="67"/>
      <c r="AH968" s="67"/>
      <c r="AI968" s="67"/>
      <c r="AJ968" s="67"/>
      <c r="AK968" s="67"/>
      <c r="AL968" s="67"/>
      <c r="AM968" s="67"/>
      <c r="AN968" s="67"/>
      <c r="AO968" s="67"/>
      <c r="AP968" s="67"/>
      <c r="AQ968" s="67"/>
      <c r="AR968" s="67"/>
      <c r="AS968" s="67"/>
      <c r="AT968" s="67"/>
      <c r="AU968" s="727"/>
      <c r="AW968" s="67">
        <f t="shared" ref="AW968:AW979" si="316">SUM(L1004:Q1004)</f>
        <v>9155</v>
      </c>
      <c r="AX968" s="72">
        <v>2.4700000000000002</v>
      </c>
    </row>
    <row r="969" spans="1:50" ht="15.75" customHeight="1" x14ac:dyDescent="0.3">
      <c r="A969" s="553"/>
      <c r="B969" s="786" t="s">
        <v>2878</v>
      </c>
      <c r="C969" s="786"/>
      <c r="D969" s="786"/>
      <c r="E969" s="786"/>
      <c r="F969" s="786"/>
      <c r="G969" s="786"/>
      <c r="H969" s="786"/>
      <c r="I969" s="786"/>
      <c r="J969" s="786"/>
      <c r="K969" s="786"/>
      <c r="L969" s="786"/>
      <c r="M969" s="786"/>
      <c r="N969" s="786"/>
      <c r="O969" s="786"/>
      <c r="P969" s="786"/>
      <c r="Q969" s="67"/>
      <c r="R969" s="754"/>
      <c r="AC969" s="551" t="s">
        <v>1307</v>
      </c>
      <c r="AD969" s="70" t="s">
        <v>1308</v>
      </c>
      <c r="AE969" s="70" t="s">
        <v>1309</v>
      </c>
      <c r="AF969" s="70" t="s">
        <v>1029</v>
      </c>
      <c r="AG969" s="70" t="s">
        <v>1030</v>
      </c>
      <c r="AH969" s="70" t="s">
        <v>284</v>
      </c>
      <c r="AI969" s="67"/>
      <c r="AJ969" s="70" t="s">
        <v>2356</v>
      </c>
      <c r="AK969" s="67"/>
      <c r="AL969" s="67"/>
      <c r="AM969" s="67"/>
      <c r="AN969" s="67" t="s">
        <v>1307</v>
      </c>
      <c r="AO969" s="70" t="s">
        <v>1308</v>
      </c>
      <c r="AP969" s="70" t="s">
        <v>1309</v>
      </c>
      <c r="AQ969" s="70" t="s">
        <v>1029</v>
      </c>
      <c r="AR969" s="70" t="s">
        <v>1030</v>
      </c>
      <c r="AS969" s="70" t="s">
        <v>284</v>
      </c>
      <c r="AT969" s="70" t="s">
        <v>2356</v>
      </c>
      <c r="AU969" s="727"/>
      <c r="AW969" s="67">
        <f t="shared" si="316"/>
        <v>12395</v>
      </c>
      <c r="AX969" s="72">
        <v>2.4700000000000002</v>
      </c>
    </row>
    <row r="970" spans="1:50" ht="15.75" customHeight="1" x14ac:dyDescent="0.3">
      <c r="A970" s="553"/>
      <c r="B970" s="786"/>
      <c r="C970" s="786"/>
      <c r="D970" s="786"/>
      <c r="E970" s="786"/>
      <c r="F970" s="786"/>
      <c r="G970" s="786"/>
      <c r="H970" s="786"/>
      <c r="I970" s="786"/>
      <c r="J970" s="786"/>
      <c r="K970" s="786"/>
      <c r="L970" s="786"/>
      <c r="M970" s="786"/>
      <c r="N970" s="786"/>
      <c r="O970" s="786"/>
      <c r="P970" s="786"/>
      <c r="Q970" s="67"/>
      <c r="R970" s="754"/>
      <c r="AC970" s="551" t="s">
        <v>526</v>
      </c>
      <c r="AD970" s="67"/>
      <c r="AE970" s="67"/>
      <c r="AF970" s="67"/>
      <c r="AG970" s="67"/>
      <c r="AH970" s="70" t="s">
        <v>1193</v>
      </c>
      <c r="AI970" s="67"/>
      <c r="AJ970" s="70" t="s">
        <v>252</v>
      </c>
      <c r="AK970" s="67"/>
      <c r="AL970" s="67"/>
      <c r="AM970" s="67"/>
      <c r="AN970" s="67" t="s">
        <v>526</v>
      </c>
      <c r="AO970" s="67"/>
      <c r="AP970" s="67"/>
      <c r="AQ970" s="67"/>
      <c r="AR970" s="67"/>
      <c r="AS970" s="70" t="s">
        <v>1193</v>
      </c>
      <c r="AT970" s="70" t="s">
        <v>252</v>
      </c>
      <c r="AU970" s="727"/>
      <c r="AW970" s="67">
        <f t="shared" si="316"/>
        <v>15124</v>
      </c>
      <c r="AX970" s="72">
        <v>2.4700000000000002</v>
      </c>
    </row>
    <row r="971" spans="1:50" ht="15.75" customHeight="1" x14ac:dyDescent="0.3">
      <c r="A971" s="553"/>
      <c r="B971" s="787">
        <f>+A5</f>
        <v>2021</v>
      </c>
      <c r="C971" s="787"/>
      <c r="D971" s="787"/>
      <c r="E971" s="787"/>
      <c r="F971" s="787"/>
      <c r="G971" s="787"/>
      <c r="H971" s="787"/>
      <c r="I971" s="787"/>
      <c r="J971" s="787"/>
      <c r="K971" s="787"/>
      <c r="L971" s="787"/>
      <c r="M971" s="787"/>
      <c r="N971" s="787"/>
      <c r="O971" s="787"/>
      <c r="P971" s="787"/>
      <c r="Q971" s="67"/>
      <c r="R971" s="754"/>
      <c r="AC971" s="551" t="s">
        <v>1195</v>
      </c>
      <c r="AD971" s="67">
        <f>+$B$1002</f>
        <v>957</v>
      </c>
      <c r="AE971" s="67">
        <f>+C$1002</f>
        <v>122</v>
      </c>
      <c r="AF971" s="67">
        <f>+D$1002</f>
        <v>128</v>
      </c>
      <c r="AG971" s="67">
        <f>+E$1002</f>
        <v>219</v>
      </c>
      <c r="AH971" s="67"/>
      <c r="AI971" s="67"/>
      <c r="AJ971" s="70" t="s">
        <v>335</v>
      </c>
      <c r="AK971" s="67"/>
      <c r="AL971" s="67"/>
      <c r="AM971" s="67"/>
      <c r="AN971" s="67" t="s">
        <v>1195</v>
      </c>
      <c r="AO971" s="67">
        <f>+$B$1002</f>
        <v>957</v>
      </c>
      <c r="AP971" s="67">
        <f>+C$1002</f>
        <v>122</v>
      </c>
      <c r="AQ971" s="67">
        <f>+D$1002</f>
        <v>128</v>
      </c>
      <c r="AR971" s="67">
        <f>+E$1002</f>
        <v>219</v>
      </c>
      <c r="AS971" s="67"/>
      <c r="AT971" s="70" t="s">
        <v>335</v>
      </c>
      <c r="AU971" s="727"/>
      <c r="AW971" s="67">
        <f t="shared" si="316"/>
        <v>16765</v>
      </c>
      <c r="AX971" s="72">
        <v>2.4700000000000002</v>
      </c>
    </row>
    <row r="972" spans="1:50" ht="15.75" customHeight="1" x14ac:dyDescent="0.3">
      <c r="A972" s="553"/>
      <c r="B972" s="786" t="s">
        <v>2879</v>
      </c>
      <c r="C972" s="786"/>
      <c r="D972" s="786"/>
      <c r="E972" s="786"/>
      <c r="F972" s="786"/>
      <c r="G972" s="786"/>
      <c r="H972" s="786"/>
      <c r="I972" s="786"/>
      <c r="J972" s="786"/>
      <c r="K972" s="786"/>
      <c r="L972" s="786"/>
      <c r="M972" s="786"/>
      <c r="N972" s="786"/>
      <c r="O972" s="786"/>
      <c r="P972" s="786"/>
      <c r="Q972" s="67"/>
      <c r="R972" s="754"/>
      <c r="AC972" s="551"/>
      <c r="AD972" s="67" t="s">
        <v>1353</v>
      </c>
      <c r="AE972" s="67" t="s">
        <v>1353</v>
      </c>
      <c r="AF972" s="67" t="s">
        <v>1353</v>
      </c>
      <c r="AG972" s="67" t="s">
        <v>1353</v>
      </c>
      <c r="AH972" s="67" t="s">
        <v>1353</v>
      </c>
      <c r="AI972" s="67"/>
      <c r="AJ972" s="67" t="s">
        <v>251</v>
      </c>
      <c r="AK972" s="67"/>
      <c r="AL972" s="67"/>
      <c r="AM972" s="67"/>
      <c r="AN972" s="67"/>
      <c r="AO972" s="67" t="s">
        <v>1353</v>
      </c>
      <c r="AP972" s="67" t="s">
        <v>1353</v>
      </c>
      <c r="AQ972" s="67" t="s">
        <v>1353</v>
      </c>
      <c r="AR972" s="67" t="s">
        <v>1353</v>
      </c>
      <c r="AS972" s="67" t="s">
        <v>1353</v>
      </c>
      <c r="AT972" s="67" t="s">
        <v>251</v>
      </c>
      <c r="AU972" s="727"/>
      <c r="AW972" s="67">
        <f t="shared" si="316"/>
        <v>17260</v>
      </c>
      <c r="AX972" s="72">
        <v>2.4700000000000002</v>
      </c>
    </row>
    <row r="973" spans="1:50" ht="15.75" customHeight="1" x14ac:dyDescent="0.3">
      <c r="A973" s="553"/>
      <c r="B973" s="67"/>
      <c r="C973" s="67"/>
      <c r="D973" s="67"/>
      <c r="E973" s="67"/>
      <c r="F973" s="67"/>
      <c r="G973" s="67"/>
      <c r="H973" s="67"/>
      <c r="I973" s="67"/>
      <c r="J973" s="67"/>
      <c r="K973" s="67"/>
      <c r="L973" s="67"/>
      <c r="M973" s="67"/>
      <c r="N973" s="67"/>
      <c r="O973" s="67"/>
      <c r="P973" s="67"/>
      <c r="Q973" s="67"/>
      <c r="R973" s="754"/>
      <c r="AC973" s="553" t="s">
        <v>1354</v>
      </c>
      <c r="AD973" s="67">
        <f t="shared" ref="AD973:AD984" si="317">ROUND($F947*$AD$971/1000,0)</f>
        <v>51678</v>
      </c>
      <c r="AE973" s="67">
        <f t="shared" ref="AE973:AE984" si="318">ROUND($F947*$AE$971/1000,0)</f>
        <v>6588</v>
      </c>
      <c r="AF973" s="67">
        <f t="shared" ref="AF973:AF984" si="319">ROUND($F947*$AF$971/1000,0)</f>
        <v>6912</v>
      </c>
      <c r="AG973" s="67">
        <f t="shared" ref="AG973:AG984" si="320">ROUND($F947*$AG$971/1000,0)</f>
        <v>11826</v>
      </c>
      <c r="AH973" s="67">
        <f t="shared" ref="AH973:AH984" si="321">(F947*((T947-1526.8)/0.7702))/1000</f>
        <v>11200.569676083169</v>
      </c>
      <c r="AI973" s="67"/>
      <c r="AJ973" s="67">
        <f t="shared" ref="AJ973:AJ984" si="322">SUM(AD973:AH973)</f>
        <v>88204.569676083163</v>
      </c>
      <c r="AK973" s="67"/>
      <c r="AL973" s="67"/>
      <c r="AM973" s="67"/>
      <c r="AN973" s="70" t="s">
        <v>1354</v>
      </c>
      <c r="AO973" s="67">
        <f t="shared" ref="AO973:AO984" si="323">ROUND((B947-$F947)*$AO$971/1000,0)</f>
        <v>66254</v>
      </c>
      <c r="AP973" s="67">
        <f t="shared" ref="AP973:AP984" si="324">ROUND((C947-$F947)*$AP$971/1000,0)</f>
        <v>8434</v>
      </c>
      <c r="AQ973" s="67">
        <f t="shared" ref="AQ973:AQ984" si="325">ROUND((D947-$F947)*$AQ$971/1000,0)</f>
        <v>8837</v>
      </c>
      <c r="AR973" s="67">
        <f t="shared" ref="AR973:AR984" si="326">ROUND((E947-$F947)*$AR$971/1000,0)</f>
        <v>14906</v>
      </c>
      <c r="AS973" s="67">
        <f>((F947-$F947)*((T947-1526.8)/0.7702))/1000</f>
        <v>0</v>
      </c>
      <c r="AT973" s="67">
        <f t="shared" ref="AT973:AT984" si="327">SUM(AN973:AR973)</f>
        <v>98431</v>
      </c>
      <c r="AU973" s="727"/>
      <c r="AW973" s="67">
        <f t="shared" si="316"/>
        <v>16075</v>
      </c>
      <c r="AX973" s="72">
        <v>2.4700000000000002</v>
      </c>
    </row>
    <row r="974" spans="1:50" ht="15.75" customHeight="1" thickBot="1" x14ac:dyDescent="0.35">
      <c r="A974" s="553" t="s">
        <v>845</v>
      </c>
      <c r="B974" s="634" t="s">
        <v>1308</v>
      </c>
      <c r="C974" s="634" t="s">
        <v>1309</v>
      </c>
      <c r="D974" s="634" t="s">
        <v>1029</v>
      </c>
      <c r="E974" s="634" t="s">
        <v>1030</v>
      </c>
      <c r="F974" s="634" t="s">
        <v>284</v>
      </c>
      <c r="G974" s="634" t="s">
        <v>284</v>
      </c>
      <c r="H974" s="634" t="s">
        <v>285</v>
      </c>
      <c r="I974" s="634" t="s">
        <v>286</v>
      </c>
      <c r="J974" s="634" t="s">
        <v>287</v>
      </c>
      <c r="K974" s="634" t="s">
        <v>288</v>
      </c>
      <c r="L974" s="634" t="s">
        <v>289</v>
      </c>
      <c r="M974" s="634" t="s">
        <v>633</v>
      </c>
      <c r="N974" s="634" t="s">
        <v>634</v>
      </c>
      <c r="O974" s="634" t="s">
        <v>1192</v>
      </c>
      <c r="P974" s="634" t="s">
        <v>524</v>
      </c>
      <c r="Q974" s="634" t="s">
        <v>525</v>
      </c>
      <c r="R974" s="754"/>
      <c r="AC974" s="553" t="s">
        <v>706</v>
      </c>
      <c r="AD974" s="67">
        <f t="shared" si="317"/>
        <v>54549</v>
      </c>
      <c r="AE974" s="67">
        <f t="shared" si="318"/>
        <v>6954</v>
      </c>
      <c r="AF974" s="67">
        <f t="shared" si="319"/>
        <v>7296</v>
      </c>
      <c r="AG974" s="67">
        <f t="shared" si="320"/>
        <v>12483</v>
      </c>
      <c r="AH974" s="67">
        <f t="shared" si="321"/>
        <v>12310.118689975707</v>
      </c>
      <c r="AI974" s="67"/>
      <c r="AJ974" s="67">
        <f t="shared" si="322"/>
        <v>93592.118689975701</v>
      </c>
      <c r="AK974" s="67"/>
      <c r="AL974" s="67"/>
      <c r="AM974" s="67"/>
      <c r="AN974" s="70" t="s">
        <v>706</v>
      </c>
      <c r="AO974" s="67">
        <f t="shared" si="323"/>
        <v>75102</v>
      </c>
      <c r="AP974" s="67">
        <f t="shared" si="324"/>
        <v>9556</v>
      </c>
      <c r="AQ974" s="67">
        <f t="shared" si="325"/>
        <v>10007</v>
      </c>
      <c r="AR974" s="67">
        <f t="shared" si="326"/>
        <v>16890</v>
      </c>
      <c r="AS974" s="67">
        <f t="shared" ref="AS974:AS984" si="328">((F948-$F948)*((T948-1526.8)/0.7702))/1000</f>
        <v>0</v>
      </c>
      <c r="AT974" s="67">
        <f t="shared" si="327"/>
        <v>111555</v>
      </c>
      <c r="AU974" s="727"/>
      <c r="AW974" s="67">
        <f t="shared" si="316"/>
        <v>15519</v>
      </c>
      <c r="AX974" s="72">
        <v>2.4700000000000002</v>
      </c>
    </row>
    <row r="975" spans="1:50" ht="15.75" customHeight="1" x14ac:dyDescent="0.3">
      <c r="A975" s="553"/>
      <c r="B975" s="67"/>
      <c r="C975" s="67"/>
      <c r="D975" s="67"/>
      <c r="E975" s="67"/>
      <c r="F975" s="70" t="s">
        <v>1193</v>
      </c>
      <c r="G975" s="70" t="s">
        <v>1194</v>
      </c>
      <c r="H975" s="67"/>
      <c r="I975" s="67"/>
      <c r="J975" s="67"/>
      <c r="K975" s="67"/>
      <c r="L975" s="67"/>
      <c r="M975" s="67"/>
      <c r="N975" s="67"/>
      <c r="O975" s="67"/>
      <c r="P975" s="67"/>
      <c r="Q975" s="67"/>
      <c r="R975" s="754"/>
      <c r="AC975" s="553" t="s">
        <v>707</v>
      </c>
      <c r="AD975" s="67">
        <f t="shared" si="317"/>
        <v>27753</v>
      </c>
      <c r="AE975" s="67">
        <f t="shared" si="318"/>
        <v>3538</v>
      </c>
      <c r="AF975" s="67">
        <f t="shared" si="319"/>
        <v>3712</v>
      </c>
      <c r="AG975" s="67">
        <f t="shared" si="320"/>
        <v>6351</v>
      </c>
      <c r="AH975" s="67">
        <f t="shared" si="321"/>
        <v>6375.8401737184986</v>
      </c>
      <c r="AI975" s="67"/>
      <c r="AJ975" s="67">
        <f t="shared" si="322"/>
        <v>47729.840173718498</v>
      </c>
      <c r="AK975" s="67"/>
      <c r="AL975" s="67"/>
      <c r="AM975" s="67"/>
      <c r="AN975" s="70" t="s">
        <v>707</v>
      </c>
      <c r="AO975" s="67">
        <f t="shared" si="323"/>
        <v>110987</v>
      </c>
      <c r="AP975" s="67">
        <f t="shared" si="324"/>
        <v>14115</v>
      </c>
      <c r="AQ975" s="67">
        <f t="shared" si="325"/>
        <v>14776</v>
      </c>
      <c r="AR975" s="67">
        <f t="shared" si="326"/>
        <v>24466</v>
      </c>
      <c r="AS975" s="67">
        <f t="shared" si="328"/>
        <v>0</v>
      </c>
      <c r="AT975" s="67">
        <f t="shared" si="327"/>
        <v>164344</v>
      </c>
      <c r="AU975" s="727"/>
      <c r="AW975" s="67">
        <f t="shared" si="316"/>
        <v>15300</v>
      </c>
      <c r="AX975" s="72">
        <v>2.4700000000000002</v>
      </c>
    </row>
    <row r="976" spans="1:50" ht="15.75" customHeight="1" x14ac:dyDescent="0.3">
      <c r="A976" s="139" t="s">
        <v>2843</v>
      </c>
      <c r="B976" s="67">
        <f t="shared" ref="B976:Q976" si="329">(B947/$B$10/1.983)</f>
        <v>2004.636181738324</v>
      </c>
      <c r="C976" s="67">
        <f t="shared" si="329"/>
        <v>2003.0582532168594</v>
      </c>
      <c r="D976" s="67">
        <f t="shared" si="329"/>
        <v>2001.4965919997396</v>
      </c>
      <c r="E976" s="67">
        <f t="shared" si="329"/>
        <v>1985.6685048720576</v>
      </c>
      <c r="F976" s="67">
        <f t="shared" si="329"/>
        <v>878.43443462983748</v>
      </c>
      <c r="G976" s="67">
        <f t="shared" si="329"/>
        <v>0</v>
      </c>
      <c r="H976" s="67">
        <f t="shared" si="329"/>
        <v>613.5701852845965</v>
      </c>
      <c r="I976" s="67">
        <f t="shared" si="329"/>
        <v>260.47207717209182</v>
      </c>
      <c r="J976" s="67">
        <f t="shared" si="329"/>
        <v>257.6415662160623</v>
      </c>
      <c r="K976" s="67">
        <f t="shared" si="329"/>
        <v>255.26653978169276</v>
      </c>
      <c r="L976" s="67">
        <f t="shared" si="329"/>
        <v>182.51915475086622</v>
      </c>
      <c r="M976" s="67">
        <f t="shared" si="329"/>
        <v>182.19380866396631</v>
      </c>
      <c r="N976" s="67">
        <f t="shared" si="329"/>
        <v>172.14061457875815</v>
      </c>
      <c r="O976" s="67">
        <f t="shared" si="329"/>
        <v>70.453695118181969</v>
      </c>
      <c r="P976" s="67">
        <f t="shared" si="329"/>
        <v>61.897093032713542</v>
      </c>
      <c r="Q976" s="67">
        <f t="shared" si="329"/>
        <v>70.421160509491969</v>
      </c>
      <c r="R976" s="754"/>
      <c r="AC976" s="553" t="s">
        <v>1321</v>
      </c>
      <c r="AD976" s="67">
        <f t="shared" si="317"/>
        <v>0</v>
      </c>
      <c r="AE976" s="67">
        <f t="shared" si="318"/>
        <v>0</v>
      </c>
      <c r="AF976" s="67">
        <f t="shared" si="319"/>
        <v>0</v>
      </c>
      <c r="AG976" s="67">
        <f t="shared" si="320"/>
        <v>0</v>
      </c>
      <c r="AH976" s="67">
        <f t="shared" si="321"/>
        <v>0</v>
      </c>
      <c r="AI976" s="67"/>
      <c r="AJ976" s="67">
        <f t="shared" si="322"/>
        <v>0</v>
      </c>
      <c r="AK976" s="67"/>
      <c r="AL976" s="67"/>
      <c r="AM976" s="67"/>
      <c r="AN976" s="70" t="s">
        <v>1321</v>
      </c>
      <c r="AO976" s="67">
        <f t="shared" si="323"/>
        <v>140745</v>
      </c>
      <c r="AP976" s="67">
        <f t="shared" si="324"/>
        <v>17898</v>
      </c>
      <c r="AQ976" s="67">
        <f t="shared" si="325"/>
        <v>18733</v>
      </c>
      <c r="AR976" s="67">
        <f t="shared" si="326"/>
        <v>30820</v>
      </c>
      <c r="AS976" s="67">
        <f t="shared" si="328"/>
        <v>0</v>
      </c>
      <c r="AT976" s="67">
        <f t="shared" si="327"/>
        <v>208196</v>
      </c>
      <c r="AU976" s="727"/>
      <c r="AW976" s="67">
        <f t="shared" si="316"/>
        <v>13760</v>
      </c>
      <c r="AX976" s="72">
        <v>2.4700000000000002</v>
      </c>
    </row>
    <row r="977" spans="1:50" ht="15.75" customHeight="1" x14ac:dyDescent="0.3">
      <c r="A977" s="139" t="s">
        <v>2091</v>
      </c>
      <c r="B977" s="67">
        <f t="shared" ref="B977:Q977" si="330">(B948/$C$10/1.983)</f>
        <v>2439.9538938116848</v>
      </c>
      <c r="C977" s="67">
        <f t="shared" si="330"/>
        <v>2437.288379799726</v>
      </c>
      <c r="D977" s="67">
        <f t="shared" si="330"/>
        <v>2434.6768964771986</v>
      </c>
      <c r="E977" s="67">
        <f t="shared" si="330"/>
        <v>2415.5860528780349</v>
      </c>
      <c r="F977" s="67">
        <f t="shared" si="330"/>
        <v>1026.5830992003457</v>
      </c>
      <c r="G977" s="67">
        <f t="shared" si="330"/>
        <v>0</v>
      </c>
      <c r="H977" s="67">
        <f t="shared" si="330"/>
        <v>960.53958648512355</v>
      </c>
      <c r="I977" s="67">
        <f t="shared" si="330"/>
        <v>416.39651321950862</v>
      </c>
      <c r="J977" s="67">
        <f t="shared" si="330"/>
        <v>412.27217059289677</v>
      </c>
      <c r="K977" s="67">
        <f t="shared" si="330"/>
        <v>401.1418485699877</v>
      </c>
      <c r="L977" s="67">
        <f t="shared" si="330"/>
        <v>336.08889849434473</v>
      </c>
      <c r="M977" s="67">
        <f t="shared" si="330"/>
        <v>335.69267343851305</v>
      </c>
      <c r="N977" s="67">
        <f t="shared" si="330"/>
        <v>305.77768172321879</v>
      </c>
      <c r="O977" s="67">
        <f t="shared" si="330"/>
        <v>78.578632663352792</v>
      </c>
      <c r="P977" s="67">
        <f t="shared" si="330"/>
        <v>68.528924429075715</v>
      </c>
      <c r="Q977" s="67">
        <f t="shared" si="330"/>
        <v>78.524601973921193</v>
      </c>
      <c r="R977" s="754"/>
      <c r="AC977" s="553" t="s">
        <v>1905</v>
      </c>
      <c r="AD977" s="67">
        <f t="shared" si="317"/>
        <v>0</v>
      </c>
      <c r="AE977" s="67">
        <f t="shared" si="318"/>
        <v>0</v>
      </c>
      <c r="AF977" s="67">
        <f t="shared" si="319"/>
        <v>0</v>
      </c>
      <c r="AG977" s="67">
        <f t="shared" si="320"/>
        <v>0</v>
      </c>
      <c r="AH977" s="67">
        <f t="shared" si="321"/>
        <v>0</v>
      </c>
      <c r="AI977" s="67"/>
      <c r="AJ977" s="67">
        <f t="shared" si="322"/>
        <v>0</v>
      </c>
      <c r="AK977" s="67"/>
      <c r="AL977" s="67"/>
      <c r="AM977" s="67"/>
      <c r="AN977" s="70" t="s">
        <v>1905</v>
      </c>
      <c r="AO977" s="67">
        <f t="shared" si="323"/>
        <v>165542</v>
      </c>
      <c r="AP977" s="67">
        <f t="shared" si="324"/>
        <v>21052</v>
      </c>
      <c r="AQ977" s="67">
        <f t="shared" si="325"/>
        <v>22036</v>
      </c>
      <c r="AR977" s="67">
        <f t="shared" si="326"/>
        <v>36095</v>
      </c>
      <c r="AS977" s="67">
        <f t="shared" si="328"/>
        <v>0</v>
      </c>
      <c r="AT977" s="67">
        <f t="shared" si="327"/>
        <v>244725</v>
      </c>
      <c r="AU977" s="727"/>
      <c r="AW977" s="67">
        <f t="shared" si="316"/>
        <v>6803</v>
      </c>
      <c r="AX977" s="72">
        <v>2.4700000000000002</v>
      </c>
    </row>
    <row r="978" spans="1:50" ht="15.75" customHeight="1" x14ac:dyDescent="0.3">
      <c r="A978" s="139" t="s">
        <v>2234</v>
      </c>
      <c r="B978" s="67">
        <f t="shared" ref="B978:Q978" si="331">(B949/$D$10/1.983)</f>
        <v>2358.3361801115939</v>
      </c>
      <c r="C978" s="67">
        <f t="shared" si="331"/>
        <v>2353.8789387210645</v>
      </c>
      <c r="D978" s="67">
        <f t="shared" si="331"/>
        <v>2349.63317228702</v>
      </c>
      <c r="E978" s="67">
        <f t="shared" si="331"/>
        <v>2289.1025328192864</v>
      </c>
      <c r="F978" s="67">
        <f t="shared" si="331"/>
        <v>471.75182600491269</v>
      </c>
      <c r="G978" s="67">
        <f t="shared" si="331"/>
        <v>0</v>
      </c>
      <c r="H978" s="67">
        <f t="shared" si="331"/>
        <v>1333.5773428985083</v>
      </c>
      <c r="I978" s="67">
        <f t="shared" si="331"/>
        <v>567.40357555349499</v>
      </c>
      <c r="J978" s="67">
        <f t="shared" si="331"/>
        <v>509.41063556358074</v>
      </c>
      <c r="K978" s="67">
        <f t="shared" si="331"/>
        <v>466.85536739706862</v>
      </c>
      <c r="L978" s="67">
        <f t="shared" si="331"/>
        <v>370.5366583703414</v>
      </c>
      <c r="M978" s="67">
        <f t="shared" si="331"/>
        <v>370.08117384868154</v>
      </c>
      <c r="N978" s="67">
        <f t="shared" si="331"/>
        <v>347.07920550485579</v>
      </c>
      <c r="O978" s="67">
        <f t="shared" si="331"/>
        <v>81.645600507539896</v>
      </c>
      <c r="P978" s="67">
        <f t="shared" si="331"/>
        <v>77.383566769150676</v>
      </c>
      <c r="Q978" s="67">
        <f t="shared" si="331"/>
        <v>81.564263985814904</v>
      </c>
      <c r="R978" s="754"/>
      <c r="AC978" s="553" t="s">
        <v>1906</v>
      </c>
      <c r="AD978" s="67">
        <f t="shared" si="317"/>
        <v>0</v>
      </c>
      <c r="AE978" s="67">
        <f t="shared" si="318"/>
        <v>0</v>
      </c>
      <c r="AF978" s="67">
        <f t="shared" si="319"/>
        <v>0</v>
      </c>
      <c r="AG978" s="67">
        <f t="shared" si="320"/>
        <v>0</v>
      </c>
      <c r="AH978" s="67">
        <f t="shared" si="321"/>
        <v>0</v>
      </c>
      <c r="AI978" s="67"/>
      <c r="AJ978" s="67">
        <f t="shared" si="322"/>
        <v>0</v>
      </c>
      <c r="AK978" s="67"/>
      <c r="AL978" s="67"/>
      <c r="AM978" s="67"/>
      <c r="AN978" s="70" t="s">
        <v>1906</v>
      </c>
      <c r="AO978" s="67">
        <f t="shared" si="323"/>
        <v>71423</v>
      </c>
      <c r="AP978" s="67">
        <f t="shared" si="324"/>
        <v>9054</v>
      </c>
      <c r="AQ978" s="67">
        <f t="shared" si="325"/>
        <v>9449</v>
      </c>
      <c r="AR978" s="67">
        <f t="shared" si="326"/>
        <v>14550</v>
      </c>
      <c r="AS978" s="67">
        <f t="shared" si="328"/>
        <v>0</v>
      </c>
      <c r="AT978" s="67">
        <f t="shared" si="327"/>
        <v>104476</v>
      </c>
      <c r="AU978" s="727"/>
      <c r="AW978" s="67">
        <f t="shared" si="316"/>
        <v>3335</v>
      </c>
      <c r="AX978" s="72">
        <v>2.4700000000000002</v>
      </c>
    </row>
    <row r="979" spans="1:50" ht="15.75" customHeight="1" x14ac:dyDescent="0.3">
      <c r="A979" s="139" t="s">
        <v>2235</v>
      </c>
      <c r="B979" s="67">
        <f t="shared" ref="B979:Q979" si="332">(B950/$F$10/1.983)</f>
        <v>2472.1633888048409</v>
      </c>
      <c r="C979" s="67">
        <f t="shared" si="332"/>
        <v>2465.99428475374</v>
      </c>
      <c r="D979" s="67">
        <f t="shared" si="332"/>
        <v>2460.1109430156325</v>
      </c>
      <c r="E979" s="67">
        <f t="shared" si="332"/>
        <v>2365.6412842494537</v>
      </c>
      <c r="F979" s="67">
        <f t="shared" si="332"/>
        <v>0</v>
      </c>
      <c r="G979" s="67">
        <f t="shared" si="332"/>
        <v>-168.09547823163555</v>
      </c>
      <c r="H979" s="67">
        <f t="shared" si="332"/>
        <v>1901.6977643301393</v>
      </c>
      <c r="I979" s="67">
        <f t="shared" si="332"/>
        <v>748.73087913935115</v>
      </c>
      <c r="J979" s="67">
        <f t="shared" si="332"/>
        <v>583.29130946377541</v>
      </c>
      <c r="K979" s="67">
        <f t="shared" si="332"/>
        <v>530.49251975121865</v>
      </c>
      <c r="L979" s="67">
        <f t="shared" si="332"/>
        <v>429.71928055135317</v>
      </c>
      <c r="M979" s="67">
        <f t="shared" si="332"/>
        <v>429.09732728189607</v>
      </c>
      <c r="N979" s="67">
        <f t="shared" si="332"/>
        <v>380.8034963859472</v>
      </c>
      <c r="O979" s="67">
        <f t="shared" si="332"/>
        <v>94.419230122709692</v>
      </c>
      <c r="P979" s="67">
        <f t="shared" si="332"/>
        <v>95.948898974617592</v>
      </c>
      <c r="Q979" s="67">
        <f t="shared" si="332"/>
        <v>94.301563287947545</v>
      </c>
      <c r="R979" s="754"/>
      <c r="AC979" s="553" t="s">
        <v>1907</v>
      </c>
      <c r="AD979" s="67">
        <f t="shared" si="317"/>
        <v>0</v>
      </c>
      <c r="AE979" s="67">
        <f t="shared" si="318"/>
        <v>0</v>
      </c>
      <c r="AF979" s="67">
        <f t="shared" si="319"/>
        <v>0</v>
      </c>
      <c r="AG979" s="67">
        <f t="shared" si="320"/>
        <v>0</v>
      </c>
      <c r="AH979" s="67">
        <f t="shared" si="321"/>
        <v>0</v>
      </c>
      <c r="AI979" s="67"/>
      <c r="AJ979" s="67">
        <f t="shared" si="322"/>
        <v>0</v>
      </c>
      <c r="AK979" s="67"/>
      <c r="AL979" s="67"/>
      <c r="AM979" s="67"/>
      <c r="AN979" s="70" t="s">
        <v>1907</v>
      </c>
      <c r="AO979" s="67">
        <f t="shared" si="323"/>
        <v>49661</v>
      </c>
      <c r="AP979" s="67">
        <f t="shared" si="324"/>
        <v>6280</v>
      </c>
      <c r="AQ979" s="67">
        <f t="shared" si="325"/>
        <v>6538</v>
      </c>
      <c r="AR979" s="67">
        <f t="shared" si="326"/>
        <v>9685</v>
      </c>
      <c r="AS979" s="67">
        <f t="shared" si="328"/>
        <v>0</v>
      </c>
      <c r="AT979" s="67">
        <f t="shared" si="327"/>
        <v>72164</v>
      </c>
      <c r="AU979" s="727"/>
      <c r="AW979" s="67">
        <f t="shared" si="316"/>
        <v>7577</v>
      </c>
      <c r="AX979" s="72">
        <v>2.4700000000000002</v>
      </c>
    </row>
    <row r="980" spans="1:50" ht="15.75" customHeight="1" x14ac:dyDescent="0.3">
      <c r="A980" s="139" t="s">
        <v>2236</v>
      </c>
      <c r="B980" s="67">
        <f t="shared" ref="B980:Q980" si="333">(B951/$G$10/1.983)</f>
        <v>2813.9183055975791</v>
      </c>
      <c r="C980" s="67">
        <f t="shared" si="333"/>
        <v>2807.0047012509553</v>
      </c>
      <c r="D980" s="67">
        <f t="shared" si="333"/>
        <v>2800.4652449042665</v>
      </c>
      <c r="E980" s="67">
        <f t="shared" si="333"/>
        <v>2681.1120329250239</v>
      </c>
      <c r="F980" s="67">
        <f t="shared" si="333"/>
        <v>0</v>
      </c>
      <c r="G980" s="67">
        <f>(G951/$G$10/1.983)</f>
        <v>0</v>
      </c>
      <c r="H980" s="67">
        <f t="shared" si="333"/>
        <v>1957.9164836594928</v>
      </c>
      <c r="I980" s="67">
        <f t="shared" si="333"/>
        <v>655.60489971206869</v>
      </c>
      <c r="J980" s="67">
        <f t="shared" si="333"/>
        <v>550.85972703463301</v>
      </c>
      <c r="K980" s="67">
        <f t="shared" si="333"/>
        <v>503.87975208628177</v>
      </c>
      <c r="L980" s="67">
        <f t="shared" si="333"/>
        <v>420.05433279651231</v>
      </c>
      <c r="M980" s="67">
        <f t="shared" si="333"/>
        <v>419.37110601402242</v>
      </c>
      <c r="N980" s="67">
        <f t="shared" si="333"/>
        <v>379.72768532526476</v>
      </c>
      <c r="O980" s="67">
        <f t="shared" si="333"/>
        <v>89.974460332178339</v>
      </c>
      <c r="P980" s="67">
        <f t="shared" si="333"/>
        <v>108.32397963333496</v>
      </c>
      <c r="Q980" s="67">
        <f t="shared" si="333"/>
        <v>89.844321897418368</v>
      </c>
      <c r="R980" s="754"/>
      <c r="AC980" s="553" t="s">
        <v>1908</v>
      </c>
      <c r="AD980" s="67">
        <f t="shared" si="317"/>
        <v>0</v>
      </c>
      <c r="AE980" s="67">
        <f t="shared" si="318"/>
        <v>0</v>
      </c>
      <c r="AF980" s="67">
        <f t="shared" si="319"/>
        <v>0</v>
      </c>
      <c r="AG980" s="67">
        <f t="shared" si="320"/>
        <v>0</v>
      </c>
      <c r="AH980" s="67">
        <f t="shared" si="321"/>
        <v>0</v>
      </c>
      <c r="AI980" s="67"/>
      <c r="AJ980" s="67">
        <f t="shared" si="322"/>
        <v>0</v>
      </c>
      <c r="AK980" s="67"/>
      <c r="AL980" s="67"/>
      <c r="AM980" s="67"/>
      <c r="AN980" s="70" t="s">
        <v>1908</v>
      </c>
      <c r="AO980" s="67">
        <f t="shared" si="323"/>
        <v>50000</v>
      </c>
      <c r="AP980" s="67">
        <f t="shared" si="324"/>
        <v>6333</v>
      </c>
      <c r="AQ980" s="67">
        <f t="shared" si="325"/>
        <v>6604</v>
      </c>
      <c r="AR980" s="67">
        <f t="shared" si="326"/>
        <v>10036</v>
      </c>
      <c r="AS980" s="67">
        <f t="shared" si="328"/>
        <v>0</v>
      </c>
      <c r="AT980" s="67">
        <f t="shared" si="327"/>
        <v>72973</v>
      </c>
      <c r="AU980" s="727"/>
      <c r="AW980" s="67"/>
      <c r="AX980" s="72"/>
    </row>
    <row r="981" spans="1:50" ht="15.75" customHeight="1" x14ac:dyDescent="0.3">
      <c r="A981" s="139" t="s">
        <v>2237</v>
      </c>
      <c r="B981" s="67">
        <f t="shared" ref="B981:Q981" si="334">(B952/$H$10/1.983)</f>
        <v>1254.5301731383424</v>
      </c>
      <c r="C981" s="67">
        <f t="shared" si="334"/>
        <v>1247.5205916960833</v>
      </c>
      <c r="D981" s="67">
        <f t="shared" si="334"/>
        <v>1240.8640107581105</v>
      </c>
      <c r="E981" s="67">
        <f t="shared" si="334"/>
        <v>1116.8095478231635</v>
      </c>
      <c r="F981" s="67">
        <f t="shared" si="334"/>
        <v>0</v>
      </c>
      <c r="G981" s="67">
        <f t="shared" si="334"/>
        <v>-2000.336190956463</v>
      </c>
      <c r="H981" s="67">
        <f t="shared" si="334"/>
        <v>2373.4241048915783</v>
      </c>
      <c r="I981" s="67">
        <f t="shared" si="334"/>
        <v>855.85812741637244</v>
      </c>
      <c r="J981" s="67">
        <f t="shared" si="334"/>
        <v>551.6389309127585</v>
      </c>
      <c r="K981" s="67">
        <f t="shared" si="334"/>
        <v>452.73155152126407</v>
      </c>
      <c r="L981" s="67">
        <f t="shared" si="334"/>
        <v>386.03126575895106</v>
      </c>
      <c r="M981" s="67">
        <f t="shared" si="334"/>
        <v>385.29164565473184</v>
      </c>
      <c r="N981" s="67">
        <f t="shared" si="334"/>
        <v>353.33669524289792</v>
      </c>
      <c r="O981" s="67">
        <f t="shared" si="334"/>
        <v>91.729702471003534</v>
      </c>
      <c r="P981" s="67">
        <f t="shared" si="334"/>
        <v>115.14540258867036</v>
      </c>
      <c r="Q981" s="67">
        <f t="shared" si="334"/>
        <v>91.578416540595057</v>
      </c>
      <c r="R981" s="754"/>
      <c r="AC981" s="553" t="s">
        <v>2352</v>
      </c>
      <c r="AD981" s="67">
        <f t="shared" si="317"/>
        <v>16269</v>
      </c>
      <c r="AE981" s="67">
        <f t="shared" si="318"/>
        <v>2074</v>
      </c>
      <c r="AF981" s="67">
        <f t="shared" si="319"/>
        <v>2176</v>
      </c>
      <c r="AG981" s="67">
        <f t="shared" si="320"/>
        <v>3723</v>
      </c>
      <c r="AH981" s="67">
        <f t="shared" si="321"/>
        <v>2692.9723765234103</v>
      </c>
      <c r="AI981" s="67"/>
      <c r="AJ981" s="67">
        <f t="shared" si="322"/>
        <v>26934.972376523408</v>
      </c>
      <c r="AK981" s="67"/>
      <c r="AL981" s="67"/>
      <c r="AM981" s="67"/>
      <c r="AN981" s="70" t="s">
        <v>2352</v>
      </c>
      <c r="AO981" s="67">
        <f t="shared" si="323"/>
        <v>108516</v>
      </c>
      <c r="AP981" s="67">
        <f t="shared" si="324"/>
        <v>13795</v>
      </c>
      <c r="AQ981" s="67">
        <f t="shared" si="325"/>
        <v>14435</v>
      </c>
      <c r="AR981" s="67">
        <f t="shared" si="326"/>
        <v>23900</v>
      </c>
      <c r="AS981" s="67">
        <f t="shared" si="328"/>
        <v>0</v>
      </c>
      <c r="AT981" s="67">
        <f t="shared" si="327"/>
        <v>160646</v>
      </c>
      <c r="AU981" s="727"/>
      <c r="AW981" s="67">
        <f>(SUM(AW968:AW979))</f>
        <v>149068</v>
      </c>
      <c r="AX981" s="72"/>
    </row>
    <row r="982" spans="1:50" ht="15.75" customHeight="1" x14ac:dyDescent="0.3">
      <c r="A982" s="139" t="s">
        <v>1504</v>
      </c>
      <c r="B982" s="67">
        <f t="shared" ref="B982:Q982" si="335">(B953/$J$10/1.983)</f>
        <v>844.14295707058386</v>
      </c>
      <c r="C982" s="67">
        <f t="shared" si="335"/>
        <v>837.37575846306504</v>
      </c>
      <c r="D982" s="67">
        <f t="shared" si="335"/>
        <v>830.9664405511362</v>
      </c>
      <c r="E982" s="67">
        <f t="shared" si="335"/>
        <v>719.40526735314688</v>
      </c>
      <c r="F982" s="67">
        <f t="shared" si="335"/>
        <v>0</v>
      </c>
      <c r="G982" s="67">
        <f t="shared" si="335"/>
        <v>-2293.6899126445755</v>
      </c>
      <c r="H982" s="67">
        <f t="shared" si="335"/>
        <v>2183.4138564898412</v>
      </c>
      <c r="I982" s="67">
        <f t="shared" si="335"/>
        <v>891.05786280155507</v>
      </c>
      <c r="J982" s="67">
        <f t="shared" si="335"/>
        <v>547.10197973093875</v>
      </c>
      <c r="K982" s="67">
        <f t="shared" si="335"/>
        <v>442.48694548826313</v>
      </c>
      <c r="L982" s="67">
        <f t="shared" si="335"/>
        <v>351.29243733021002</v>
      </c>
      <c r="M982" s="67">
        <f t="shared" si="335"/>
        <v>350.65801246075512</v>
      </c>
      <c r="N982" s="67">
        <f t="shared" si="335"/>
        <v>334.08162933320318</v>
      </c>
      <c r="O982" s="67">
        <f t="shared" si="335"/>
        <v>91.015567810258148</v>
      </c>
      <c r="P982" s="67">
        <f t="shared" si="335"/>
        <v>100.59701006946138</v>
      </c>
      <c r="Q982" s="67">
        <f t="shared" si="335"/>
        <v>90.90169667984317</v>
      </c>
      <c r="R982" s="754"/>
      <c r="AC982" s="553" t="s">
        <v>2353</v>
      </c>
      <c r="AD982" s="67">
        <f t="shared" si="317"/>
        <v>57420</v>
      </c>
      <c r="AE982" s="67">
        <f t="shared" si="318"/>
        <v>7320</v>
      </c>
      <c r="AF982" s="67">
        <f t="shared" si="319"/>
        <v>7680</v>
      </c>
      <c r="AG982" s="67">
        <f t="shared" si="320"/>
        <v>13140</v>
      </c>
      <c r="AH982" s="67">
        <f t="shared" si="321"/>
        <v>10198.773834418373</v>
      </c>
      <c r="AI982" s="67"/>
      <c r="AJ982" s="67">
        <f t="shared" si="322"/>
        <v>95758.773834418374</v>
      </c>
      <c r="AK982" s="67"/>
      <c r="AL982" s="67"/>
      <c r="AM982" s="67"/>
      <c r="AN982" s="70" t="s">
        <v>2353</v>
      </c>
      <c r="AO982" s="67">
        <f t="shared" si="323"/>
        <v>80904</v>
      </c>
      <c r="AP982" s="67">
        <f t="shared" si="324"/>
        <v>10279</v>
      </c>
      <c r="AQ982" s="67">
        <f t="shared" si="325"/>
        <v>10750</v>
      </c>
      <c r="AR982" s="67">
        <f t="shared" si="326"/>
        <v>17839</v>
      </c>
      <c r="AS982" s="67">
        <f t="shared" si="328"/>
        <v>0</v>
      </c>
      <c r="AT982" s="67">
        <f t="shared" si="327"/>
        <v>119772</v>
      </c>
      <c r="AU982" s="727"/>
    </row>
    <row r="983" spans="1:50" ht="15.75" customHeight="1" x14ac:dyDescent="0.3">
      <c r="A983" s="139" t="s">
        <v>1505</v>
      </c>
      <c r="B983" s="67">
        <f t="shared" ref="B983:Q983" si="336">(B954/$K$10/1.983)</f>
        <v>849.91785011305774</v>
      </c>
      <c r="C983" s="67">
        <f t="shared" si="336"/>
        <v>844.48457046182864</v>
      </c>
      <c r="D983" s="67">
        <f t="shared" si="336"/>
        <v>839.31156768011965</v>
      </c>
      <c r="E983" s="67">
        <f t="shared" si="336"/>
        <v>745.44922160948704</v>
      </c>
      <c r="F983" s="67">
        <f t="shared" si="336"/>
        <v>0</v>
      </c>
      <c r="G983" s="67">
        <f t="shared" si="336"/>
        <v>-1594.1958258097052</v>
      </c>
      <c r="H983" s="67">
        <f t="shared" si="336"/>
        <v>1652.8882598864541</v>
      </c>
      <c r="I983" s="67">
        <f t="shared" si="336"/>
        <v>707.44879865957398</v>
      </c>
      <c r="J983" s="67">
        <f t="shared" si="336"/>
        <v>514.06308460624984</v>
      </c>
      <c r="K983" s="67">
        <f t="shared" si="336"/>
        <v>438.53399053242885</v>
      </c>
      <c r="L983" s="67">
        <f t="shared" si="336"/>
        <v>349.68197420005527</v>
      </c>
      <c r="M983" s="67">
        <f t="shared" si="336"/>
        <v>349.09635124363541</v>
      </c>
      <c r="N983" s="67">
        <f t="shared" si="336"/>
        <v>329.29904185577408</v>
      </c>
      <c r="O983" s="67">
        <f t="shared" si="336"/>
        <v>91.975338766612978</v>
      </c>
      <c r="P983" s="67">
        <f t="shared" si="336"/>
        <v>92.853773201242817</v>
      </c>
      <c r="Q983" s="67">
        <f t="shared" si="336"/>
        <v>91.877734940542993</v>
      </c>
      <c r="R983" s="754"/>
      <c r="AC983" s="553" t="s">
        <v>2354</v>
      </c>
      <c r="AD983" s="67">
        <f t="shared" si="317"/>
        <v>78474</v>
      </c>
      <c r="AE983" s="67">
        <f t="shared" si="318"/>
        <v>10004</v>
      </c>
      <c r="AF983" s="67">
        <f t="shared" si="319"/>
        <v>10496</v>
      </c>
      <c r="AG983" s="67">
        <f t="shared" si="320"/>
        <v>17958</v>
      </c>
      <c r="AH983" s="67">
        <f t="shared" si="321"/>
        <v>15129.202189472586</v>
      </c>
      <c r="AI983" s="67"/>
      <c r="AJ983" s="67">
        <f t="shared" si="322"/>
        <v>132061.20218947259</v>
      </c>
      <c r="AK983" s="67"/>
      <c r="AL983" s="67"/>
      <c r="AM983" s="67"/>
      <c r="AN983" s="70" t="s">
        <v>2354</v>
      </c>
      <c r="AO983" s="67">
        <f t="shared" si="323"/>
        <v>54333</v>
      </c>
      <c r="AP983" s="67">
        <f t="shared" si="324"/>
        <v>6898</v>
      </c>
      <c r="AQ983" s="67">
        <f t="shared" si="325"/>
        <v>7208</v>
      </c>
      <c r="AR983" s="67">
        <f t="shared" si="326"/>
        <v>12080</v>
      </c>
      <c r="AS983" s="67">
        <f t="shared" si="328"/>
        <v>0</v>
      </c>
      <c r="AT983" s="67">
        <f t="shared" si="327"/>
        <v>80519</v>
      </c>
      <c r="AU983" s="727"/>
    </row>
    <row r="984" spans="1:50" ht="15.75" customHeight="1" x14ac:dyDescent="0.3">
      <c r="A984" s="139" t="s">
        <v>1506</v>
      </c>
      <c r="B984" s="67">
        <f t="shared" ref="B984:Q984" si="337">(B955/$L$10/1.983)</f>
        <v>2191.8305597579424</v>
      </c>
      <c r="C984" s="67">
        <f t="shared" si="337"/>
        <v>2186.5187426458228</v>
      </c>
      <c r="D984" s="67">
        <f t="shared" si="337"/>
        <v>2181.4590687510504</v>
      </c>
      <c r="E984" s="67">
        <f t="shared" si="337"/>
        <v>2120.2218860312655</v>
      </c>
      <c r="F984" s="67">
        <f t="shared" si="337"/>
        <v>285.76231299378043</v>
      </c>
      <c r="G984" s="67">
        <f t="shared" si="337"/>
        <v>0</v>
      </c>
      <c r="H984" s="67">
        <f t="shared" si="337"/>
        <v>1182.4508320726172</v>
      </c>
      <c r="I984" s="67">
        <f t="shared" si="337"/>
        <v>444.83106404437717</v>
      </c>
      <c r="J984" s="67">
        <f t="shared" si="337"/>
        <v>422.76012775256345</v>
      </c>
      <c r="K984" s="67">
        <f t="shared" si="337"/>
        <v>394.52008740964868</v>
      </c>
      <c r="L984" s="67">
        <f t="shared" si="337"/>
        <v>336.72886199361238</v>
      </c>
      <c r="M984" s="67">
        <f t="shared" si="337"/>
        <v>336.15733736762479</v>
      </c>
      <c r="N984" s="67">
        <f t="shared" si="337"/>
        <v>317.38107244915113</v>
      </c>
      <c r="O984" s="67">
        <f t="shared" si="337"/>
        <v>76.197680282400398</v>
      </c>
      <c r="P984" s="67">
        <f t="shared" si="337"/>
        <v>87.947554210791722</v>
      </c>
      <c r="Q984" s="67">
        <f t="shared" si="337"/>
        <v>76.096822995461423</v>
      </c>
      <c r="R984" s="754"/>
      <c r="AC984" s="553" t="s">
        <v>2355</v>
      </c>
      <c r="AD984" s="67">
        <f t="shared" si="317"/>
        <v>47850</v>
      </c>
      <c r="AE984" s="67">
        <f t="shared" si="318"/>
        <v>6100</v>
      </c>
      <c r="AF984" s="67">
        <f t="shared" si="319"/>
        <v>6400</v>
      </c>
      <c r="AG984" s="67">
        <f t="shared" si="320"/>
        <v>10950</v>
      </c>
      <c r="AH984" s="67">
        <f t="shared" si="321"/>
        <v>9647.7376660342252</v>
      </c>
      <c r="AI984" s="67"/>
      <c r="AJ984" s="67">
        <f t="shared" si="322"/>
        <v>80947.737666034227</v>
      </c>
      <c r="AK984" s="67"/>
      <c r="AL984" s="67"/>
      <c r="AM984" s="67"/>
      <c r="AN984" s="70" t="s">
        <v>2355</v>
      </c>
      <c r="AO984" s="67">
        <f t="shared" si="323"/>
        <v>55487</v>
      </c>
      <c r="AP984" s="67">
        <f t="shared" si="324"/>
        <v>7051</v>
      </c>
      <c r="AQ984" s="67">
        <f t="shared" si="325"/>
        <v>7375</v>
      </c>
      <c r="AR984" s="67">
        <f t="shared" si="326"/>
        <v>12372</v>
      </c>
      <c r="AS984" s="67">
        <f t="shared" si="328"/>
        <v>0</v>
      </c>
      <c r="AT984" s="67">
        <f t="shared" si="327"/>
        <v>82285</v>
      </c>
      <c r="AU984" s="727"/>
    </row>
    <row r="985" spans="1:50" ht="15.75" customHeight="1" x14ac:dyDescent="0.3">
      <c r="A985" s="139" t="s">
        <v>1507</v>
      </c>
      <c r="B985" s="67">
        <f t="shared" ref="B985:Q985" si="338">(B956/$N$10/1.983)</f>
        <v>2351.2599027215201</v>
      </c>
      <c r="C985" s="67">
        <f t="shared" si="338"/>
        <v>2346.6237209831957</v>
      </c>
      <c r="D985" s="67">
        <f t="shared" si="338"/>
        <v>2342.1990142013569</v>
      </c>
      <c r="E985" s="67">
        <f t="shared" si="338"/>
        <v>2301.0915361215493</v>
      </c>
      <c r="F985" s="67">
        <f t="shared" si="338"/>
        <v>976.03826069981938</v>
      </c>
      <c r="G985" s="67">
        <f t="shared" si="338"/>
        <v>0</v>
      </c>
      <c r="H985" s="67">
        <f t="shared" si="338"/>
        <v>787.1748572544044</v>
      </c>
      <c r="I985" s="67">
        <f t="shared" si="338"/>
        <v>191.09202414067963</v>
      </c>
      <c r="J985" s="67">
        <f t="shared" si="338"/>
        <v>180.51827631643158</v>
      </c>
      <c r="K985" s="67">
        <f t="shared" si="338"/>
        <v>165.4872871016544</v>
      </c>
      <c r="L985" s="67">
        <f t="shared" si="338"/>
        <v>137.00323719356464</v>
      </c>
      <c r="M985" s="67">
        <f t="shared" si="338"/>
        <v>136.53148536755972</v>
      </c>
      <c r="N985" s="67">
        <f t="shared" si="338"/>
        <v>121.66316919623249</v>
      </c>
      <c r="O985" s="67">
        <f t="shared" si="338"/>
        <v>37.77268068908301</v>
      </c>
      <c r="P985" s="67">
        <f t="shared" si="338"/>
        <v>77.383566769150676</v>
      </c>
      <c r="Q985" s="67">
        <f t="shared" si="338"/>
        <v>37.691344167358025</v>
      </c>
      <c r="R985" s="754"/>
      <c r="AC985" s="551"/>
      <c r="AD985" s="67"/>
      <c r="AE985" s="67"/>
      <c r="AF985" s="67"/>
      <c r="AG985" s="67"/>
      <c r="AH985" s="67"/>
      <c r="AI985" s="67"/>
      <c r="AJ985" s="67"/>
      <c r="AK985" s="67"/>
      <c r="AL985" s="67"/>
      <c r="AM985" s="67"/>
      <c r="AN985" s="67"/>
      <c r="AO985" s="67"/>
      <c r="AP985" s="67"/>
      <c r="AQ985" s="67"/>
      <c r="AR985" s="67"/>
      <c r="AS985" s="67"/>
      <c r="AT985" s="67"/>
      <c r="AU985" s="727"/>
    </row>
    <row r="986" spans="1:50" ht="15.75" customHeight="1" thickBot="1" x14ac:dyDescent="0.35">
      <c r="A986" s="139" t="s">
        <v>1508</v>
      </c>
      <c r="B986" s="67">
        <f t="shared" ref="B986:Q986" si="339">(B957/$O$10/1.983)</f>
        <v>2332.7281896116992</v>
      </c>
      <c r="C986" s="67">
        <f t="shared" si="339"/>
        <v>2328.7779458732557</v>
      </c>
      <c r="D986" s="67">
        <f t="shared" si="339"/>
        <v>2324.9789880652211</v>
      </c>
      <c r="E986" s="67">
        <f t="shared" si="339"/>
        <v>2305.5639603294671</v>
      </c>
      <c r="F986" s="67">
        <f t="shared" si="339"/>
        <v>1378.3829214994116</v>
      </c>
      <c r="G986" s="67">
        <f t="shared" si="339"/>
        <v>0</v>
      </c>
      <c r="H986" s="67">
        <f t="shared" si="339"/>
        <v>408.69053622457551</v>
      </c>
      <c r="I986" s="67">
        <f t="shared" si="339"/>
        <v>65.052950075642968</v>
      </c>
      <c r="J986" s="67">
        <f t="shared" si="339"/>
        <v>50.395024373844343</v>
      </c>
      <c r="K986" s="67">
        <f t="shared" si="339"/>
        <v>48.075306774247771</v>
      </c>
      <c r="L986" s="67">
        <f t="shared" si="339"/>
        <v>33.417381072449146</v>
      </c>
      <c r="M986" s="67">
        <f t="shared" si="339"/>
        <v>33.030761472516389</v>
      </c>
      <c r="N986" s="67">
        <f t="shared" si="339"/>
        <v>29.483946881828878</v>
      </c>
      <c r="O986" s="67">
        <f t="shared" si="339"/>
        <v>26.542276012775254</v>
      </c>
      <c r="P986" s="67">
        <f t="shared" si="339"/>
        <v>71.961674230963183</v>
      </c>
      <c r="Q986" s="67">
        <f t="shared" si="339"/>
        <v>26.491847369305763</v>
      </c>
      <c r="R986" s="754"/>
      <c r="AC986" s="558" t="s">
        <v>2356</v>
      </c>
      <c r="AD986" s="555">
        <f>SUM(AD973:AD984)</f>
        <v>333993</v>
      </c>
      <c r="AE986" s="555">
        <f>SUM(AE973:AE984)</f>
        <v>42578</v>
      </c>
      <c r="AF986" s="555">
        <f>SUM(AF973:AF984)</f>
        <v>44672</v>
      </c>
      <c r="AG986" s="555">
        <f>SUM(AG973:AG984)</f>
        <v>76431</v>
      </c>
      <c r="AH986" s="555">
        <f>SUM(AH973:AH984)</f>
        <v>67555.214606225971</v>
      </c>
      <c r="AI986" s="555"/>
      <c r="AJ986" s="555">
        <f>SUM(AJ973:AJ984)</f>
        <v>565229.21460622596</v>
      </c>
      <c r="AK986" s="555"/>
      <c r="AL986" s="555"/>
      <c r="AM986" s="555"/>
      <c r="AN986" s="564" t="s">
        <v>2356</v>
      </c>
      <c r="AO986" s="555">
        <f t="shared" ref="AO986:AT986" si="340">SUM(AO973:AO984)</f>
        <v>1028954</v>
      </c>
      <c r="AP986" s="555">
        <f t="shared" si="340"/>
        <v>130745</v>
      </c>
      <c r="AQ986" s="555">
        <f t="shared" si="340"/>
        <v>136748</v>
      </c>
      <c r="AR986" s="555">
        <f t="shared" si="340"/>
        <v>223639</v>
      </c>
      <c r="AS986" s="555">
        <f t="shared" si="340"/>
        <v>0</v>
      </c>
      <c r="AT986" s="555">
        <f t="shared" si="340"/>
        <v>1520086</v>
      </c>
      <c r="AU986" s="565"/>
    </row>
    <row r="987" spans="1:50" ht="15.75" customHeight="1" thickBot="1" x14ac:dyDescent="0.35">
      <c r="A987" s="645" t="s">
        <v>1509</v>
      </c>
      <c r="B987" s="555">
        <f t="shared" ref="B987:Q987" si="341">(B958/$P$10/1.983)</f>
        <v>1756.5435231727749</v>
      </c>
      <c r="C987" s="555">
        <f t="shared" si="341"/>
        <v>1753.5178045646055</v>
      </c>
      <c r="D987" s="555">
        <f t="shared" si="341"/>
        <v>1750.605957086851</v>
      </c>
      <c r="E987" s="555">
        <f t="shared" si="341"/>
        <v>1732.3377743074193</v>
      </c>
      <c r="F987" s="555">
        <f t="shared" si="341"/>
        <v>813.36521724984948</v>
      </c>
      <c r="G987" s="555">
        <f t="shared" si="341"/>
        <v>0</v>
      </c>
      <c r="H987" s="555">
        <f t="shared" si="341"/>
        <v>511.21630634587541</v>
      </c>
      <c r="I987" s="555">
        <f t="shared" si="341"/>
        <v>180.22546483822165</v>
      </c>
      <c r="J987" s="555">
        <f t="shared" si="341"/>
        <v>170.2536072747385</v>
      </c>
      <c r="K987" s="555">
        <f t="shared" si="341"/>
        <v>160.52575927643028</v>
      </c>
      <c r="L987" s="555">
        <f t="shared" si="341"/>
        <v>153.40067997332162</v>
      </c>
      <c r="M987" s="555">
        <f t="shared" si="341"/>
        <v>153.09160119076665</v>
      </c>
      <c r="N987" s="555">
        <f t="shared" si="341"/>
        <v>146.43827371366291</v>
      </c>
      <c r="O987" s="555">
        <f t="shared" si="341"/>
        <v>50.314772339075695</v>
      </c>
      <c r="P987" s="555">
        <f t="shared" si="341"/>
        <v>61.897093032713542</v>
      </c>
      <c r="Q987" s="555">
        <f t="shared" si="341"/>
        <v>50.282237730385695</v>
      </c>
      <c r="R987" s="556"/>
    </row>
    <row r="988" spans="1:50" ht="15.75" customHeight="1" x14ac:dyDescent="0.3">
      <c r="R988" s="701"/>
      <c r="AC988" s="704"/>
      <c r="AD988" s="821" t="s">
        <v>2922</v>
      </c>
      <c r="AE988" s="823"/>
      <c r="AF988" s="823"/>
      <c r="AG988" s="823"/>
      <c r="AH988" s="823"/>
      <c r="AI988" s="823"/>
      <c r="AJ988" s="823"/>
      <c r="AK988" s="823"/>
      <c r="AL988" s="823"/>
      <c r="AM988" s="823"/>
      <c r="AN988" s="823"/>
      <c r="AO988" s="823"/>
      <c r="AP988" s="823"/>
      <c r="AQ988" s="823"/>
      <c r="AR988" s="752" t="str">
        <f>$Q$1</f>
        <v xml:space="preserve">PRINTED:  </v>
      </c>
      <c r="AS988" s="757">
        <f ca="1">$R$1</f>
        <v>44881.729632754628</v>
      </c>
    </row>
    <row r="989" spans="1:50" ht="15.75" customHeight="1" x14ac:dyDescent="0.3">
      <c r="R989" s="67"/>
      <c r="AC989" s="579"/>
      <c r="AD989" s="786" t="str">
        <f>+$A$8</f>
        <v>Revised:  2/5/2020</v>
      </c>
      <c r="AE989" s="788"/>
      <c r="AF989" s="788"/>
      <c r="AG989" s="788"/>
      <c r="AH989" s="788"/>
      <c r="AI989" s="788"/>
      <c r="AJ989" s="788"/>
      <c r="AK989" s="788"/>
      <c r="AL989" s="788"/>
      <c r="AM989" s="788"/>
      <c r="AN989" s="788"/>
      <c r="AO989" s="788"/>
      <c r="AP989" s="788"/>
      <c r="AQ989" s="788"/>
      <c r="AR989" s="139"/>
      <c r="AS989" s="727"/>
    </row>
    <row r="990" spans="1:50" ht="15.75" customHeight="1" x14ac:dyDescent="0.3">
      <c r="A990" s="139"/>
      <c r="AC990" s="579"/>
      <c r="AD990" s="786" t="s">
        <v>2878</v>
      </c>
      <c r="AE990" s="789"/>
      <c r="AF990" s="789"/>
      <c r="AG990" s="789"/>
      <c r="AH990" s="789"/>
      <c r="AI990" s="789"/>
      <c r="AJ990" s="789"/>
      <c r="AK990" s="789"/>
      <c r="AL990" s="789"/>
      <c r="AM990" s="789"/>
      <c r="AN990" s="789"/>
      <c r="AO990" s="789"/>
      <c r="AP990" s="789"/>
      <c r="AQ990" s="789"/>
      <c r="AS990" s="727"/>
    </row>
    <row r="991" spans="1:50" ht="15.75" customHeight="1" x14ac:dyDescent="0.3">
      <c r="A991" s="139"/>
      <c r="AC991" s="579"/>
      <c r="AS991" s="727"/>
    </row>
    <row r="992" spans="1:50" ht="15.75" customHeight="1" thickBot="1" x14ac:dyDescent="0.35">
      <c r="A992" s="139"/>
      <c r="AC992" s="579"/>
      <c r="AD992" s="787">
        <f>$A$5</f>
        <v>2021</v>
      </c>
      <c r="AE992" s="789"/>
      <c r="AF992" s="789"/>
      <c r="AG992" s="789"/>
      <c r="AH992" s="789"/>
      <c r="AI992" s="789"/>
      <c r="AJ992" s="789"/>
      <c r="AK992" s="789"/>
      <c r="AL992" s="789"/>
      <c r="AM992" s="789"/>
      <c r="AN992" s="789"/>
      <c r="AO992" s="789"/>
      <c r="AP992" s="789"/>
      <c r="AQ992" s="789"/>
      <c r="AS992" s="727"/>
    </row>
    <row r="993" spans="1:48" ht="15.75" customHeight="1" x14ac:dyDescent="0.3">
      <c r="A993" s="755"/>
      <c r="B993" s="821" t="s">
        <v>1198</v>
      </c>
      <c r="C993" s="821"/>
      <c r="D993" s="821"/>
      <c r="E993" s="821"/>
      <c r="F993" s="821"/>
      <c r="G993" s="821"/>
      <c r="H993" s="821"/>
      <c r="I993" s="821"/>
      <c r="J993" s="821"/>
      <c r="K993" s="821"/>
      <c r="L993" s="821"/>
      <c r="M993" s="821"/>
      <c r="N993" s="821"/>
      <c r="O993" s="821"/>
      <c r="P993" s="821"/>
      <c r="Q993" s="752" t="str">
        <f>+Q1</f>
        <v xml:space="preserve">PRINTED:  </v>
      </c>
      <c r="R993" s="753">
        <f ca="1">+R1</f>
        <v>44881.729632754628</v>
      </c>
      <c r="AC993" s="579"/>
      <c r="AD993" s="786" t="s">
        <v>2919</v>
      </c>
      <c r="AE993" s="788"/>
      <c r="AF993" s="788"/>
      <c r="AG993" s="788"/>
      <c r="AH993" s="788"/>
      <c r="AI993" s="788"/>
      <c r="AJ993" s="788"/>
      <c r="AK993" s="788"/>
      <c r="AL993" s="788"/>
      <c r="AM993" s="788"/>
      <c r="AN993" s="788"/>
      <c r="AO993" s="788"/>
      <c r="AP993" s="788"/>
      <c r="AQ993" s="788"/>
      <c r="AR993" s="70"/>
      <c r="AS993" s="727"/>
    </row>
    <row r="994" spans="1:48" ht="16.5" customHeight="1" x14ac:dyDescent="0.3">
      <c r="A994" s="553"/>
      <c r="B994" s="786" t="str">
        <f>+A8</f>
        <v>Revised:  2/5/2020</v>
      </c>
      <c r="C994" s="786"/>
      <c r="D994" s="786"/>
      <c r="E994" s="786"/>
      <c r="F994" s="786"/>
      <c r="G994" s="786"/>
      <c r="H994" s="786"/>
      <c r="I994" s="786"/>
      <c r="J994" s="786"/>
      <c r="K994" s="786"/>
      <c r="L994" s="786"/>
      <c r="M994" s="786"/>
      <c r="N994" s="786"/>
      <c r="O994" s="786"/>
      <c r="P994" s="786"/>
      <c r="Q994" s="67"/>
      <c r="R994" s="754"/>
      <c r="AC994" s="579"/>
      <c r="AK994" s="670"/>
      <c r="AS994" s="727"/>
    </row>
    <row r="995" spans="1:48" ht="15.75" customHeight="1" thickBot="1" x14ac:dyDescent="0.35">
      <c r="A995" s="553"/>
      <c r="B995" s="786" t="s">
        <v>2878</v>
      </c>
      <c r="C995" s="786"/>
      <c r="D995" s="786"/>
      <c r="E995" s="786"/>
      <c r="F995" s="786"/>
      <c r="G995" s="786"/>
      <c r="H995" s="786"/>
      <c r="I995" s="786"/>
      <c r="J995" s="786"/>
      <c r="K995" s="786"/>
      <c r="L995" s="786"/>
      <c r="M995" s="786"/>
      <c r="N995" s="786"/>
      <c r="O995" s="786"/>
      <c r="P995" s="786"/>
      <c r="Q995" s="67"/>
      <c r="R995" s="754"/>
      <c r="AC995" s="579"/>
      <c r="AD995" s="634" t="s">
        <v>1308</v>
      </c>
      <c r="AE995" s="634" t="s">
        <v>1309</v>
      </c>
      <c r="AF995" s="634" t="s">
        <v>1029</v>
      </c>
      <c r="AG995" s="634" t="s">
        <v>1030</v>
      </c>
      <c r="AH995" s="634" t="s">
        <v>284</v>
      </c>
      <c r="AI995" s="634" t="s">
        <v>285</v>
      </c>
      <c r="AJ995" s="634" t="s">
        <v>286</v>
      </c>
      <c r="AK995" s="634" t="s">
        <v>287</v>
      </c>
      <c r="AL995" s="634" t="s">
        <v>288</v>
      </c>
      <c r="AM995" s="634" t="s">
        <v>289</v>
      </c>
      <c r="AN995" s="634" t="s">
        <v>633</v>
      </c>
      <c r="AO995" s="634" t="s">
        <v>634</v>
      </c>
      <c r="AP995" s="634" t="s">
        <v>1192</v>
      </c>
      <c r="AQ995" s="634" t="s">
        <v>524</v>
      </c>
      <c r="AR995" s="634" t="s">
        <v>525</v>
      </c>
      <c r="AS995" s="684" t="s">
        <v>2356</v>
      </c>
    </row>
    <row r="996" spans="1:48" ht="15.75" customHeight="1" x14ac:dyDescent="0.3">
      <c r="A996" s="553"/>
      <c r="B996" s="67"/>
      <c r="C996" s="67"/>
      <c r="D996" s="67"/>
      <c r="E996" s="67"/>
      <c r="F996" s="67"/>
      <c r="G996" s="67"/>
      <c r="H996" s="67"/>
      <c r="I996" s="67"/>
      <c r="J996" s="67"/>
      <c r="K996" s="67"/>
      <c r="L996" s="67"/>
      <c r="M996" s="67"/>
      <c r="N996" s="67"/>
      <c r="O996" s="67"/>
      <c r="P996" s="67"/>
      <c r="Q996" s="67"/>
      <c r="R996" s="754"/>
      <c r="AC996" s="579"/>
      <c r="AD996" s="67"/>
      <c r="AE996" s="67"/>
      <c r="AF996" s="67"/>
      <c r="AG996" s="67"/>
      <c r="AH996" s="70" t="s">
        <v>2910</v>
      </c>
      <c r="AI996" s="67"/>
      <c r="AJ996" s="67"/>
      <c r="AK996" s="67"/>
      <c r="AL996" s="67"/>
      <c r="AM996" s="67"/>
      <c r="AN996" s="67"/>
      <c r="AO996" s="67"/>
      <c r="AP996" s="67"/>
      <c r="AQ996" s="67"/>
      <c r="AR996" s="67"/>
      <c r="AS996" s="636"/>
    </row>
    <row r="997" spans="1:48" ht="15.75" customHeight="1" x14ac:dyDescent="0.3">
      <c r="A997" s="553"/>
      <c r="B997" s="787">
        <f>A5</f>
        <v>2021</v>
      </c>
      <c r="C997" s="787"/>
      <c r="D997" s="787"/>
      <c r="E997" s="787"/>
      <c r="F997" s="787"/>
      <c r="G997" s="787"/>
      <c r="H997" s="787"/>
      <c r="I997" s="787"/>
      <c r="J997" s="787"/>
      <c r="K997" s="787"/>
      <c r="L997" s="787"/>
      <c r="M997" s="787"/>
      <c r="N997" s="787"/>
      <c r="O997" s="787"/>
      <c r="P997" s="787"/>
      <c r="Q997" s="67"/>
      <c r="R997" s="754"/>
      <c r="S997" s="67"/>
      <c r="AC997" s="642" t="s">
        <v>3040</v>
      </c>
      <c r="AD997" s="687">
        <v>1.7000000000000001E-2</v>
      </c>
      <c r="AE997" s="687">
        <v>1.7000000000000001E-2</v>
      </c>
      <c r="AF997" s="687">
        <v>1.7000000000000001E-2</v>
      </c>
      <c r="AG997" s="687">
        <v>1.7000000000000001E-2</v>
      </c>
      <c r="AH997" s="687"/>
      <c r="AI997" s="687"/>
      <c r="AJ997" s="687"/>
      <c r="AK997" s="687"/>
      <c r="AL997" s="687"/>
      <c r="AM997" s="687"/>
      <c r="AN997" s="687"/>
      <c r="AO997" s="687"/>
      <c r="AP997" s="687"/>
      <c r="AQ997" s="687"/>
      <c r="AR997" s="687"/>
      <c r="AS997" s="592"/>
    </row>
    <row r="998" spans="1:48" ht="15.75" customHeight="1" x14ac:dyDescent="0.3">
      <c r="A998" s="553"/>
      <c r="B998" s="786" t="s">
        <v>2919</v>
      </c>
      <c r="C998" s="786"/>
      <c r="D998" s="786"/>
      <c r="E998" s="786"/>
      <c r="F998" s="786"/>
      <c r="G998" s="786"/>
      <c r="H998" s="786"/>
      <c r="I998" s="786"/>
      <c r="J998" s="786"/>
      <c r="K998" s="786"/>
      <c r="L998" s="786"/>
      <c r="M998" s="786"/>
      <c r="N998" s="786"/>
      <c r="O998" s="786"/>
      <c r="P998" s="786"/>
      <c r="Q998" s="67"/>
      <c r="R998" s="754"/>
      <c r="S998" s="67"/>
      <c r="AC998" s="642" t="s">
        <v>2908</v>
      </c>
      <c r="AD998" s="687"/>
      <c r="AE998" s="687">
        <v>0.03</v>
      </c>
      <c r="AF998" s="687"/>
      <c r="AG998" s="687"/>
      <c r="AH998" s="687"/>
      <c r="AI998" s="687"/>
      <c r="AJ998" s="687"/>
      <c r="AK998" s="687"/>
      <c r="AL998" s="687"/>
      <c r="AM998" s="687">
        <v>0.03</v>
      </c>
      <c r="AN998" s="687">
        <v>0.03</v>
      </c>
      <c r="AO998" s="687">
        <v>0.03</v>
      </c>
      <c r="AP998" s="687">
        <v>0.03</v>
      </c>
      <c r="AQ998" s="687">
        <v>0.03</v>
      </c>
      <c r="AR998" s="687">
        <v>0.03</v>
      </c>
      <c r="AS998" s="592"/>
    </row>
    <row r="999" spans="1:48" ht="15.75" customHeight="1" x14ac:dyDescent="0.3">
      <c r="A999" s="553"/>
      <c r="B999" s="67"/>
      <c r="C999" s="67"/>
      <c r="D999" s="67"/>
      <c r="E999" s="67"/>
      <c r="F999" s="67"/>
      <c r="G999" s="67"/>
      <c r="H999" s="67"/>
      <c r="I999" s="67"/>
      <c r="J999" s="67"/>
      <c r="K999" s="67"/>
      <c r="L999" s="67"/>
      <c r="M999" s="67"/>
      <c r="N999" s="67"/>
      <c r="O999" s="67"/>
      <c r="P999" s="67"/>
      <c r="Q999" s="67"/>
      <c r="R999" s="754"/>
      <c r="S999" s="67"/>
      <c r="AC999" s="642" t="s">
        <v>2909</v>
      </c>
      <c r="AD999" s="687"/>
      <c r="AE999" s="687"/>
      <c r="AF999" s="687">
        <v>0.03</v>
      </c>
      <c r="AG999" s="687">
        <v>0.03</v>
      </c>
      <c r="AH999" s="687"/>
      <c r="AI999" s="687"/>
      <c r="AJ999" s="687"/>
      <c r="AK999" s="687"/>
      <c r="AL999" s="687"/>
      <c r="AM999" s="687"/>
      <c r="AN999" s="687"/>
      <c r="AO999" s="687"/>
      <c r="AP999" s="687"/>
      <c r="AQ999" s="687"/>
      <c r="AR999" s="687"/>
      <c r="AS999" s="592"/>
    </row>
    <row r="1000" spans="1:48" ht="15.75" customHeight="1" thickBot="1" x14ac:dyDescent="0.35">
      <c r="A1000" s="553" t="s">
        <v>845</v>
      </c>
      <c r="B1000" s="634" t="s">
        <v>1308</v>
      </c>
      <c r="C1000" s="634" t="s">
        <v>1309</v>
      </c>
      <c r="D1000" s="634" t="s">
        <v>1029</v>
      </c>
      <c r="E1000" s="634" t="s">
        <v>1030</v>
      </c>
      <c r="F1000" s="634" t="s">
        <v>284</v>
      </c>
      <c r="G1000" s="634" t="s">
        <v>284</v>
      </c>
      <c r="H1000" s="634" t="s">
        <v>285</v>
      </c>
      <c r="I1000" s="634" t="s">
        <v>286</v>
      </c>
      <c r="J1000" s="634" t="s">
        <v>287</v>
      </c>
      <c r="K1000" s="634" t="s">
        <v>288</v>
      </c>
      <c r="L1000" s="634" t="s">
        <v>289</v>
      </c>
      <c r="M1000" s="634" t="s">
        <v>633</v>
      </c>
      <c r="N1000" s="634" t="s">
        <v>634</v>
      </c>
      <c r="O1000" s="634" t="s">
        <v>1192</v>
      </c>
      <c r="P1000" s="634" t="s">
        <v>524</v>
      </c>
      <c r="Q1000" s="634" t="s">
        <v>525</v>
      </c>
      <c r="R1000" s="684" t="s">
        <v>2356</v>
      </c>
      <c r="S1000" s="70"/>
      <c r="AC1000" s="642" t="s">
        <v>2760</v>
      </c>
      <c r="AD1000" s="687"/>
      <c r="AE1000" s="687"/>
      <c r="AF1000" s="687"/>
      <c r="AG1000" s="687"/>
      <c r="AH1000" s="687"/>
      <c r="AI1000" s="687">
        <v>0.03</v>
      </c>
      <c r="AJ1000" s="687"/>
      <c r="AK1000" s="687"/>
      <c r="AL1000" s="687"/>
      <c r="AM1000" s="687"/>
      <c r="AN1000" s="687"/>
      <c r="AO1000" s="687"/>
      <c r="AP1000" s="687"/>
      <c r="AQ1000" s="687"/>
      <c r="AR1000" s="687"/>
      <c r="AS1000" s="592"/>
    </row>
    <row r="1001" spans="1:48" ht="15.75" customHeight="1" x14ac:dyDescent="0.3">
      <c r="A1001" s="553"/>
      <c r="B1001" s="67"/>
      <c r="C1001" s="67"/>
      <c r="D1001" s="67"/>
      <c r="E1001" s="67"/>
      <c r="F1001" s="70" t="s">
        <v>1193</v>
      </c>
      <c r="G1001" s="70" t="s">
        <v>1194</v>
      </c>
      <c r="H1001" s="67"/>
      <c r="I1001" s="67"/>
      <c r="J1001" s="67"/>
      <c r="K1001" s="67"/>
      <c r="L1001" s="67"/>
      <c r="M1001" s="67"/>
      <c r="N1001" s="67"/>
      <c r="O1001" s="67"/>
      <c r="P1001" s="67"/>
      <c r="Q1001" s="67"/>
      <c r="R1001" s="592" t="s">
        <v>1236</v>
      </c>
      <c r="S1001" s="70"/>
      <c r="AC1001" s="642" t="s">
        <v>2634</v>
      </c>
      <c r="AD1001" s="687">
        <v>0.03</v>
      </c>
      <c r="AE1001" s="687"/>
      <c r="AF1001" s="687"/>
      <c r="AG1001" s="687"/>
      <c r="AH1001" s="687"/>
      <c r="AI1001" s="687"/>
      <c r="AJ1001" s="687">
        <v>0.03</v>
      </c>
      <c r="AK1001" s="687">
        <v>0.03</v>
      </c>
      <c r="AL1001" s="687">
        <v>0.03</v>
      </c>
      <c r="AM1001" s="687"/>
      <c r="AN1001" s="687"/>
      <c r="AO1001" s="687"/>
      <c r="AP1001" s="687"/>
      <c r="AQ1001" s="687"/>
      <c r="AR1001" s="687"/>
      <c r="AS1001" s="592"/>
    </row>
    <row r="1002" spans="1:48" ht="15.75" customHeight="1" x14ac:dyDescent="0.3">
      <c r="A1002" s="553" t="s">
        <v>2917</v>
      </c>
      <c r="B1002" s="677">
        <v>957</v>
      </c>
      <c r="C1002" s="677">
        <v>122</v>
      </c>
      <c r="D1002" s="677">
        <v>128</v>
      </c>
      <c r="E1002" s="677">
        <v>219</v>
      </c>
      <c r="F1002" s="677"/>
      <c r="G1002" s="677"/>
      <c r="H1002" s="677">
        <v>97</v>
      </c>
      <c r="I1002" s="677">
        <v>160</v>
      </c>
      <c r="J1002" s="677">
        <v>250</v>
      </c>
      <c r="K1002" s="677">
        <v>260</v>
      </c>
      <c r="L1002" s="677">
        <v>100</v>
      </c>
      <c r="M1002" s="677">
        <v>118</v>
      </c>
      <c r="N1002" s="677">
        <v>250</v>
      </c>
      <c r="O1002" s="677">
        <v>190</v>
      </c>
      <c r="P1002" s="677">
        <v>340</v>
      </c>
      <c r="Q1002" s="677">
        <v>450</v>
      </c>
      <c r="R1002" s="592" t="s">
        <v>335</v>
      </c>
      <c r="S1002" s="70"/>
      <c r="AC1002" s="642" t="s">
        <v>2356</v>
      </c>
      <c r="AD1002" s="217">
        <f>SUM(AD997:AD1001)</f>
        <v>4.7E-2</v>
      </c>
      <c r="AE1002" s="217">
        <f t="shared" ref="AE1002:AR1002" si="342">SUM(AE997:AE1001)</f>
        <v>4.7E-2</v>
      </c>
      <c r="AF1002" s="217">
        <f t="shared" si="342"/>
        <v>4.7E-2</v>
      </c>
      <c r="AG1002" s="217">
        <f t="shared" si="342"/>
        <v>4.7E-2</v>
      </c>
      <c r="AH1002" s="217">
        <f t="shared" si="342"/>
        <v>0</v>
      </c>
      <c r="AI1002" s="217">
        <f t="shared" si="342"/>
        <v>0.03</v>
      </c>
      <c r="AJ1002" s="217">
        <f t="shared" si="342"/>
        <v>0.03</v>
      </c>
      <c r="AK1002" s="217">
        <f t="shared" si="342"/>
        <v>0.03</v>
      </c>
      <c r="AL1002" s="217">
        <f t="shared" si="342"/>
        <v>0.03</v>
      </c>
      <c r="AM1002" s="217">
        <f t="shared" si="342"/>
        <v>0.03</v>
      </c>
      <c r="AN1002" s="217">
        <f t="shared" si="342"/>
        <v>0.03</v>
      </c>
      <c r="AO1002" s="217">
        <f t="shared" si="342"/>
        <v>0.03</v>
      </c>
      <c r="AP1002" s="217">
        <f t="shared" si="342"/>
        <v>0.03</v>
      </c>
      <c r="AQ1002" s="217">
        <f t="shared" si="342"/>
        <v>0.03</v>
      </c>
      <c r="AR1002" s="217">
        <f t="shared" si="342"/>
        <v>0.03</v>
      </c>
      <c r="AS1002" s="592"/>
      <c r="AU1002" s="139" t="s">
        <v>3084</v>
      </c>
      <c r="AV1002" t="s">
        <v>3085</v>
      </c>
    </row>
    <row r="1003" spans="1:48" ht="15.75" customHeight="1" x14ac:dyDescent="0.3">
      <c r="A1003" s="553"/>
      <c r="B1003" s="70" t="s">
        <v>1353</v>
      </c>
      <c r="C1003" s="70" t="s">
        <v>1353</v>
      </c>
      <c r="D1003" s="70" t="s">
        <v>1353</v>
      </c>
      <c r="E1003" s="70" t="s">
        <v>1353</v>
      </c>
      <c r="F1003" s="70" t="s">
        <v>1353</v>
      </c>
      <c r="G1003" s="70" t="s">
        <v>1353</v>
      </c>
      <c r="H1003" s="70" t="s">
        <v>1353</v>
      </c>
      <c r="I1003" s="70" t="s">
        <v>1353</v>
      </c>
      <c r="J1003" s="70" t="s">
        <v>1353</v>
      </c>
      <c r="K1003" s="70" t="s">
        <v>1353</v>
      </c>
      <c r="L1003" s="70" t="s">
        <v>1353</v>
      </c>
      <c r="M1003" s="70" t="s">
        <v>1353</v>
      </c>
      <c r="N1003" s="70" t="s">
        <v>1353</v>
      </c>
      <c r="O1003" s="70" t="s">
        <v>1353</v>
      </c>
      <c r="P1003" s="70" t="s">
        <v>1353</v>
      </c>
      <c r="Q1003" s="70" t="s">
        <v>1353</v>
      </c>
      <c r="R1003" s="592" t="s">
        <v>251</v>
      </c>
      <c r="S1003" s="70"/>
      <c r="T1003" s="70"/>
      <c r="AC1003" s="553" t="s">
        <v>1353</v>
      </c>
      <c r="AD1003" s="70" t="s">
        <v>1353</v>
      </c>
      <c r="AE1003" s="70" t="s">
        <v>1353</v>
      </c>
      <c r="AF1003" s="70" t="s">
        <v>1353</v>
      </c>
      <c r="AG1003" s="70" t="s">
        <v>1353</v>
      </c>
      <c r="AH1003" s="70" t="s">
        <v>1353</v>
      </c>
      <c r="AI1003" s="70" t="s">
        <v>1353</v>
      </c>
      <c r="AJ1003" s="70" t="s">
        <v>1353</v>
      </c>
      <c r="AK1003" s="70" t="s">
        <v>1353</v>
      </c>
      <c r="AL1003" s="70" t="s">
        <v>1353</v>
      </c>
      <c r="AM1003" s="70" t="s">
        <v>1353</v>
      </c>
      <c r="AN1003" s="70" t="s">
        <v>1353</v>
      </c>
      <c r="AO1003" s="70" t="s">
        <v>1353</v>
      </c>
      <c r="AP1003" s="70" t="s">
        <v>1353</v>
      </c>
      <c r="AQ1003" s="70" t="s">
        <v>1353</v>
      </c>
      <c r="AR1003" s="70" t="s">
        <v>1353</v>
      </c>
      <c r="AS1003" s="592" t="s">
        <v>1353</v>
      </c>
    </row>
    <row r="1004" spans="1:48" ht="15.75" customHeight="1" x14ac:dyDescent="0.3">
      <c r="A1004" s="139" t="s">
        <v>2843</v>
      </c>
      <c r="B1004" s="67">
        <f>ROUND((B947*$B$1002)/1000,0)</f>
        <v>117932</v>
      </c>
      <c r="C1004" s="67">
        <f t="shared" ref="C1004:C1015" si="343">ROUND((C947*$C$1002)/1000,0)</f>
        <v>15022</v>
      </c>
      <c r="D1004" s="67">
        <f t="shared" ref="D1004:D1015" si="344">ROUND((D947*$D$1002)/1000,0)</f>
        <v>15749</v>
      </c>
      <c r="E1004" s="67">
        <f t="shared" ref="E1004:E1015" si="345">ROUND((E947*$E$1002)/1000,0)</f>
        <v>26732</v>
      </c>
      <c r="F1004" s="67">
        <f>(F947*((T947-1526.8)/0.7702))/1000</f>
        <v>11200.569676083169</v>
      </c>
      <c r="G1004" s="67">
        <f t="shared" ref="G1004:G1015" si="346">(G947*((T947-1591.4)/0.6635))/1000</f>
        <v>0</v>
      </c>
      <c r="H1004" s="67">
        <f t="shared" ref="H1004:H1015" si="347">ROUND((H947*$H$1002)/1000,0)</f>
        <v>3659</v>
      </c>
      <c r="I1004" s="67">
        <f t="shared" ref="I1004:I1015" si="348">ROUND((I947*$I$1002)/1000,0)</f>
        <v>2562</v>
      </c>
      <c r="J1004" s="67">
        <f t="shared" ref="J1004:J1015" si="349">ROUND((J947*$J$1002)/1000,0)</f>
        <v>3960</v>
      </c>
      <c r="K1004" s="67">
        <f t="shared" ref="K1004:K1015" si="350">ROUND((K947*$K$1002)/1000,0)</f>
        <v>4080</v>
      </c>
      <c r="L1004" s="67">
        <f t="shared" ref="L1004:L1015" si="351">ROUND((L947*$L$1002)/1000,0)</f>
        <v>1122</v>
      </c>
      <c r="M1004" s="67">
        <f t="shared" ref="M1004:M1015" si="352">ROUND((M947*$M$1002)/1000,0)</f>
        <v>1322</v>
      </c>
      <c r="N1004" s="67">
        <f t="shared" ref="N1004:N1015" si="353">ROUND((N947*$N$1002)/1000,0)</f>
        <v>2646</v>
      </c>
      <c r="O1004" s="67">
        <f t="shared" ref="O1004:O1015" si="354">ROUND((O947*$O$1002)/1000,0)</f>
        <v>823</v>
      </c>
      <c r="P1004" s="67">
        <f t="shared" ref="P1004:P1015" si="355">ROUND((P947*$P$1002)/1000,0)</f>
        <v>1294</v>
      </c>
      <c r="Q1004" s="67">
        <f t="shared" ref="Q1004:Q1015" si="356">ROUND((Q947*$Q$1002)/1000,0)</f>
        <v>1948</v>
      </c>
      <c r="R1004" s="638">
        <f>(SUM(B1004:Q1004))</f>
        <v>210051.56967608316</v>
      </c>
      <c r="S1004" s="73"/>
      <c r="AC1004" s="642" t="s">
        <v>2843</v>
      </c>
      <c r="AD1004" s="67">
        <f>ROUND(B1004*$AD$1002, 0)</f>
        <v>5543</v>
      </c>
      <c r="AE1004" s="67">
        <f>ROUND(C1004*$AE$1002,0)</f>
        <v>706</v>
      </c>
      <c r="AF1004" s="67">
        <f>ROUND(D1004*$AF$1002,0)</f>
        <v>740</v>
      </c>
      <c r="AG1004" s="67">
        <f>ROUND(E1004*$AG$1002,0)</f>
        <v>1256</v>
      </c>
      <c r="AH1004" s="67">
        <f>ROUND(F1004*$AH$1002,0)</f>
        <v>0</v>
      </c>
      <c r="AI1004" s="67">
        <f>ROUND(H1004*$AI$1002,0)</f>
        <v>110</v>
      </c>
      <c r="AJ1004" s="67">
        <f>ROUND(I1004*$AJ$1002,0)</f>
        <v>77</v>
      </c>
      <c r="AK1004" s="67">
        <f>ROUND(J1004*$AK$1002,0)</f>
        <v>119</v>
      </c>
      <c r="AL1004" s="67">
        <f>ROUND(K1004*$AL$1002,0)</f>
        <v>122</v>
      </c>
      <c r="AM1004" s="67">
        <f>ROUND(L1004*$AM$1002,0)</f>
        <v>34</v>
      </c>
      <c r="AN1004" s="67">
        <f>ROUND(M1004*$AN$1002,0)</f>
        <v>40</v>
      </c>
      <c r="AO1004" s="67">
        <f>ROUND(N1004*$AO$1002,0)</f>
        <v>79</v>
      </c>
      <c r="AP1004" s="67">
        <f>ROUND(O1004*$AP$1002,0)</f>
        <v>25</v>
      </c>
      <c r="AQ1004" s="67">
        <f>ROUND(P1004*$AQ$1002,0)</f>
        <v>39</v>
      </c>
      <c r="AR1004" s="67">
        <f>ROUND(Q1004*$AR$1002,0)</f>
        <v>58</v>
      </c>
      <c r="AS1004" s="636">
        <f>SUM(AD1004:AR1004)</f>
        <v>8948</v>
      </c>
      <c r="AU1004" s="708">
        <f>AS1004/R1004</f>
        <v>4.2599062762532808E-2</v>
      </c>
    </row>
    <row r="1005" spans="1:48" ht="15.75" customHeight="1" x14ac:dyDescent="0.3">
      <c r="A1005" s="139" t="s">
        <v>2091</v>
      </c>
      <c r="B1005" s="67">
        <f t="shared" ref="B1005:B1015" si="357">ROUND((B948*$B$1002)/1000,0)</f>
        <v>129651</v>
      </c>
      <c r="C1005" s="67">
        <f t="shared" si="343"/>
        <v>16510</v>
      </c>
      <c r="D1005" s="67">
        <f t="shared" si="344"/>
        <v>17303</v>
      </c>
      <c r="E1005" s="67">
        <f t="shared" si="345"/>
        <v>29373</v>
      </c>
      <c r="F1005" s="67">
        <f t="shared" ref="F1005:F1015" si="358">(F948*((T948-1526.8)/0.7702))/1000</f>
        <v>12310.118689975707</v>
      </c>
      <c r="G1005" s="67">
        <f>(G948*((T948-1591.4)/0.6635))/1000</f>
        <v>0</v>
      </c>
      <c r="H1005" s="67">
        <f t="shared" si="347"/>
        <v>5173</v>
      </c>
      <c r="I1005" s="67">
        <f t="shared" si="348"/>
        <v>3699</v>
      </c>
      <c r="J1005" s="67">
        <f t="shared" si="349"/>
        <v>5723</v>
      </c>
      <c r="K1005" s="67">
        <f t="shared" si="350"/>
        <v>5791</v>
      </c>
      <c r="L1005" s="67">
        <f t="shared" si="351"/>
        <v>1866</v>
      </c>
      <c r="M1005" s="67">
        <f t="shared" si="352"/>
        <v>2199</v>
      </c>
      <c r="N1005" s="67">
        <f t="shared" si="353"/>
        <v>4245</v>
      </c>
      <c r="O1005" s="67">
        <f t="shared" si="354"/>
        <v>829</v>
      </c>
      <c r="P1005" s="67">
        <f t="shared" si="355"/>
        <v>1294</v>
      </c>
      <c r="Q1005" s="67">
        <f t="shared" si="356"/>
        <v>1962</v>
      </c>
      <c r="R1005" s="638">
        <f>(SUM(B1005:Q1005))</f>
        <v>237928.1186899757</v>
      </c>
      <c r="S1005" s="73"/>
      <c r="AC1005" s="642" t="s">
        <v>2091</v>
      </c>
      <c r="AD1005" s="67">
        <f t="shared" ref="AD1005:AD1015" si="359">ROUND(B1005*$AD$1002, 0)</f>
        <v>6094</v>
      </c>
      <c r="AE1005" s="67">
        <f t="shared" ref="AE1005:AE1015" si="360">ROUND(C1005*$AE$1002,0)</f>
        <v>776</v>
      </c>
      <c r="AF1005" s="67">
        <f t="shared" ref="AF1005:AF1015" si="361">ROUND(D1005*$AF$1002,0)</f>
        <v>813</v>
      </c>
      <c r="AG1005" s="67">
        <f t="shared" ref="AG1005:AG1015" si="362">ROUND(E1005*$AG$1002,0)</f>
        <v>1381</v>
      </c>
      <c r="AH1005" s="67">
        <f t="shared" ref="AH1005:AH1015" si="363">ROUND(F1005*$AH$1002,0)</f>
        <v>0</v>
      </c>
      <c r="AI1005" s="67">
        <f t="shared" ref="AI1005:AI1015" si="364">ROUND(H1005*$AI$1002,0)</f>
        <v>155</v>
      </c>
      <c r="AJ1005" s="67">
        <f t="shared" ref="AJ1005:AJ1015" si="365">ROUND(I1005*$AJ$1002,0)</f>
        <v>111</v>
      </c>
      <c r="AK1005" s="67">
        <f t="shared" ref="AK1005:AK1015" si="366">ROUND(J1005*$AK$1002,0)</f>
        <v>172</v>
      </c>
      <c r="AL1005" s="67">
        <f t="shared" ref="AL1005:AL1015" si="367">ROUND(K1005*$AL$1002,0)</f>
        <v>174</v>
      </c>
      <c r="AM1005" s="67">
        <f t="shared" ref="AM1005:AM1015" si="368">ROUND(L1005*$AM$1002,0)</f>
        <v>56</v>
      </c>
      <c r="AN1005" s="67">
        <f t="shared" ref="AN1005:AN1015" si="369">ROUND(M1005*$AN$1002,0)</f>
        <v>66</v>
      </c>
      <c r="AO1005" s="67">
        <f t="shared" ref="AO1005:AO1015" si="370">ROUND(N1005*$AO$1002,0)</f>
        <v>127</v>
      </c>
      <c r="AP1005" s="67">
        <f t="shared" ref="AP1005:AP1015" si="371">ROUND(O1005*$AP$1002,0)</f>
        <v>25</v>
      </c>
      <c r="AQ1005" s="67">
        <f t="shared" ref="AQ1005:AQ1015" si="372">ROUND(P1005*$AQ$1002,0)</f>
        <v>39</v>
      </c>
      <c r="AR1005" s="67">
        <f t="shared" ref="AR1005:AR1015" si="373">ROUND(Q1005*$AR$1002,0)</f>
        <v>59</v>
      </c>
      <c r="AS1005" s="636">
        <f t="shared" ref="AS1005:AS1015" si="374">SUM(AD1005:AR1005)</f>
        <v>10048</v>
      </c>
      <c r="AU1005" s="708">
        <f t="shared" ref="AU1005:AU1017" si="375">AS1005/R1005</f>
        <v>4.2231242172316386E-2</v>
      </c>
    </row>
    <row r="1006" spans="1:48" ht="15.75" customHeight="1" x14ac:dyDescent="0.3">
      <c r="A1006" s="139" t="s">
        <v>2234</v>
      </c>
      <c r="B1006" s="67">
        <f t="shared" si="357"/>
        <v>138740</v>
      </c>
      <c r="C1006" s="67">
        <f t="shared" si="343"/>
        <v>17653</v>
      </c>
      <c r="D1006" s="67">
        <f t="shared" si="344"/>
        <v>18488</v>
      </c>
      <c r="E1006" s="67">
        <f t="shared" si="345"/>
        <v>30817</v>
      </c>
      <c r="F1006" s="67">
        <f t="shared" si="358"/>
        <v>6375.8401737184986</v>
      </c>
      <c r="G1006" s="67">
        <f t="shared" si="346"/>
        <v>0</v>
      </c>
      <c r="H1006" s="67">
        <f t="shared" si="347"/>
        <v>7952</v>
      </c>
      <c r="I1006" s="67">
        <f t="shared" si="348"/>
        <v>5581</v>
      </c>
      <c r="J1006" s="67">
        <f t="shared" si="349"/>
        <v>7829</v>
      </c>
      <c r="K1006" s="67">
        <f t="shared" si="350"/>
        <v>7462</v>
      </c>
      <c r="L1006" s="67">
        <f t="shared" si="351"/>
        <v>2278</v>
      </c>
      <c r="M1006" s="67">
        <f t="shared" si="352"/>
        <v>2685</v>
      </c>
      <c r="N1006" s="67">
        <f t="shared" si="353"/>
        <v>5334</v>
      </c>
      <c r="O1006" s="67">
        <f t="shared" si="354"/>
        <v>954</v>
      </c>
      <c r="P1006" s="67">
        <f t="shared" si="355"/>
        <v>1617</v>
      </c>
      <c r="Q1006" s="67">
        <f t="shared" si="356"/>
        <v>2256</v>
      </c>
      <c r="R1006" s="638">
        <f t="shared" ref="R1006:R1015" si="376">(SUM(B1006:Q1006))</f>
        <v>256021.84017371849</v>
      </c>
      <c r="S1006" s="73"/>
      <c r="AC1006" s="642" t="s">
        <v>2234</v>
      </c>
      <c r="AD1006" s="67">
        <f t="shared" si="359"/>
        <v>6521</v>
      </c>
      <c r="AE1006" s="67">
        <f t="shared" si="360"/>
        <v>830</v>
      </c>
      <c r="AF1006" s="67">
        <f t="shared" si="361"/>
        <v>869</v>
      </c>
      <c r="AG1006" s="67">
        <f t="shared" si="362"/>
        <v>1448</v>
      </c>
      <c r="AH1006" s="67">
        <f t="shared" si="363"/>
        <v>0</v>
      </c>
      <c r="AI1006" s="67">
        <f t="shared" si="364"/>
        <v>239</v>
      </c>
      <c r="AJ1006" s="67">
        <f t="shared" si="365"/>
        <v>167</v>
      </c>
      <c r="AK1006" s="67">
        <f t="shared" si="366"/>
        <v>235</v>
      </c>
      <c r="AL1006" s="67">
        <f t="shared" si="367"/>
        <v>224</v>
      </c>
      <c r="AM1006" s="67">
        <f t="shared" si="368"/>
        <v>68</v>
      </c>
      <c r="AN1006" s="67">
        <f t="shared" si="369"/>
        <v>81</v>
      </c>
      <c r="AO1006" s="67">
        <f t="shared" si="370"/>
        <v>160</v>
      </c>
      <c r="AP1006" s="67">
        <f t="shared" si="371"/>
        <v>29</v>
      </c>
      <c r="AQ1006" s="67">
        <f t="shared" si="372"/>
        <v>49</v>
      </c>
      <c r="AR1006" s="67">
        <f t="shared" si="373"/>
        <v>68</v>
      </c>
      <c r="AS1006" s="636">
        <f t="shared" si="374"/>
        <v>10988</v>
      </c>
      <c r="AU1006" s="708">
        <f t="shared" si="375"/>
        <v>4.2918213510786084E-2</v>
      </c>
    </row>
    <row r="1007" spans="1:48" ht="15.75" customHeight="1" x14ac:dyDescent="0.3">
      <c r="A1007" s="139" t="s">
        <v>2235</v>
      </c>
      <c r="B1007" s="67">
        <f t="shared" si="357"/>
        <v>140745</v>
      </c>
      <c r="C1007" s="67">
        <f t="shared" si="343"/>
        <v>17898</v>
      </c>
      <c r="D1007" s="67">
        <f t="shared" si="344"/>
        <v>18733</v>
      </c>
      <c r="E1007" s="67">
        <f t="shared" si="345"/>
        <v>30820</v>
      </c>
      <c r="F1007" s="67">
        <f t="shared" si="358"/>
        <v>0</v>
      </c>
      <c r="G1007" s="67">
        <f t="shared" si="346"/>
        <v>-1556.4323501100207</v>
      </c>
      <c r="H1007" s="67">
        <f t="shared" si="347"/>
        <v>10974</v>
      </c>
      <c r="I1007" s="67">
        <f t="shared" si="348"/>
        <v>7127</v>
      </c>
      <c r="J1007" s="67">
        <f t="shared" si="349"/>
        <v>8675</v>
      </c>
      <c r="K1007" s="67">
        <f t="shared" si="350"/>
        <v>8205</v>
      </c>
      <c r="L1007" s="67">
        <f t="shared" si="351"/>
        <v>2556</v>
      </c>
      <c r="M1007" s="67">
        <f t="shared" si="352"/>
        <v>3012</v>
      </c>
      <c r="N1007" s="67">
        <f t="shared" si="353"/>
        <v>5664</v>
      </c>
      <c r="O1007" s="67">
        <f t="shared" si="354"/>
        <v>1067</v>
      </c>
      <c r="P1007" s="67">
        <f t="shared" si="355"/>
        <v>1941</v>
      </c>
      <c r="Q1007" s="67">
        <f t="shared" si="356"/>
        <v>2525</v>
      </c>
      <c r="R1007" s="638">
        <f t="shared" si="376"/>
        <v>258385.56764988997</v>
      </c>
      <c r="S1007" s="73"/>
      <c r="AC1007" s="642" t="s">
        <v>2235</v>
      </c>
      <c r="AD1007" s="67">
        <f t="shared" si="359"/>
        <v>6615</v>
      </c>
      <c r="AE1007" s="67">
        <f t="shared" si="360"/>
        <v>841</v>
      </c>
      <c r="AF1007" s="67">
        <f t="shared" si="361"/>
        <v>880</v>
      </c>
      <c r="AG1007" s="67">
        <f t="shared" si="362"/>
        <v>1449</v>
      </c>
      <c r="AH1007" s="67">
        <f t="shared" si="363"/>
        <v>0</v>
      </c>
      <c r="AI1007" s="67">
        <f t="shared" si="364"/>
        <v>329</v>
      </c>
      <c r="AJ1007" s="67">
        <f t="shared" si="365"/>
        <v>214</v>
      </c>
      <c r="AK1007" s="67">
        <f t="shared" si="366"/>
        <v>260</v>
      </c>
      <c r="AL1007" s="67">
        <f t="shared" si="367"/>
        <v>246</v>
      </c>
      <c r="AM1007" s="67">
        <f t="shared" si="368"/>
        <v>77</v>
      </c>
      <c r="AN1007" s="67">
        <f t="shared" si="369"/>
        <v>90</v>
      </c>
      <c r="AO1007" s="67">
        <f t="shared" si="370"/>
        <v>170</v>
      </c>
      <c r="AP1007" s="67">
        <f t="shared" si="371"/>
        <v>32</v>
      </c>
      <c r="AQ1007" s="67">
        <f t="shared" si="372"/>
        <v>58</v>
      </c>
      <c r="AR1007" s="67">
        <f t="shared" si="373"/>
        <v>76</v>
      </c>
      <c r="AS1007" s="636">
        <f t="shared" si="374"/>
        <v>11337</v>
      </c>
      <c r="AU1007" s="708">
        <f t="shared" si="375"/>
        <v>4.3876289620639837E-2</v>
      </c>
    </row>
    <row r="1008" spans="1:48" ht="15.75" customHeight="1" x14ac:dyDescent="0.3">
      <c r="A1008" s="139" t="s">
        <v>2236</v>
      </c>
      <c r="B1008" s="67">
        <f t="shared" si="357"/>
        <v>165542</v>
      </c>
      <c r="C1008" s="67">
        <f t="shared" si="343"/>
        <v>21052</v>
      </c>
      <c r="D1008" s="67">
        <f t="shared" si="344"/>
        <v>22036</v>
      </c>
      <c r="E1008" s="67">
        <f t="shared" si="345"/>
        <v>36095</v>
      </c>
      <c r="F1008" s="67">
        <f t="shared" si="358"/>
        <v>0</v>
      </c>
      <c r="G1008" s="67">
        <f t="shared" si="346"/>
        <v>0</v>
      </c>
      <c r="H1008" s="67">
        <f t="shared" si="347"/>
        <v>11675</v>
      </c>
      <c r="I1008" s="67">
        <f t="shared" si="348"/>
        <v>6448</v>
      </c>
      <c r="J1008" s="67">
        <f t="shared" si="349"/>
        <v>8466</v>
      </c>
      <c r="K1008" s="67">
        <f t="shared" si="350"/>
        <v>8054</v>
      </c>
      <c r="L1008" s="67">
        <f t="shared" si="351"/>
        <v>2582</v>
      </c>
      <c r="M1008" s="67">
        <f t="shared" si="352"/>
        <v>3042</v>
      </c>
      <c r="N1008" s="67">
        <f t="shared" si="353"/>
        <v>5836</v>
      </c>
      <c r="O1008" s="67">
        <f t="shared" si="354"/>
        <v>1051</v>
      </c>
      <c r="P1008" s="67">
        <f t="shared" si="355"/>
        <v>2264</v>
      </c>
      <c r="Q1008" s="67">
        <f t="shared" si="356"/>
        <v>2485</v>
      </c>
      <c r="R1008" s="638">
        <f t="shared" si="376"/>
        <v>296628</v>
      </c>
      <c r="S1008" s="73"/>
      <c r="AC1008" s="642" t="s">
        <v>2236</v>
      </c>
      <c r="AD1008" s="67">
        <f t="shared" si="359"/>
        <v>7780</v>
      </c>
      <c r="AE1008" s="67">
        <f t="shared" si="360"/>
        <v>989</v>
      </c>
      <c r="AF1008" s="67">
        <f t="shared" si="361"/>
        <v>1036</v>
      </c>
      <c r="AG1008" s="67">
        <f t="shared" si="362"/>
        <v>1696</v>
      </c>
      <c r="AH1008" s="67">
        <f t="shared" si="363"/>
        <v>0</v>
      </c>
      <c r="AI1008" s="67">
        <f t="shared" si="364"/>
        <v>350</v>
      </c>
      <c r="AJ1008" s="67">
        <f t="shared" si="365"/>
        <v>193</v>
      </c>
      <c r="AK1008" s="67">
        <f t="shared" si="366"/>
        <v>254</v>
      </c>
      <c r="AL1008" s="67">
        <f t="shared" si="367"/>
        <v>242</v>
      </c>
      <c r="AM1008" s="67">
        <f t="shared" si="368"/>
        <v>77</v>
      </c>
      <c r="AN1008" s="67">
        <f t="shared" si="369"/>
        <v>91</v>
      </c>
      <c r="AO1008" s="67">
        <f t="shared" si="370"/>
        <v>175</v>
      </c>
      <c r="AP1008" s="67">
        <f t="shared" si="371"/>
        <v>32</v>
      </c>
      <c r="AQ1008" s="67">
        <f t="shared" si="372"/>
        <v>68</v>
      </c>
      <c r="AR1008" s="67">
        <f t="shared" si="373"/>
        <v>75</v>
      </c>
      <c r="AS1008" s="636">
        <f t="shared" si="374"/>
        <v>13058</v>
      </c>
      <c r="AU1008" s="708">
        <f t="shared" si="375"/>
        <v>4.4021467966611376E-2</v>
      </c>
    </row>
    <row r="1009" spans="1:47" ht="15.75" customHeight="1" x14ac:dyDescent="0.3">
      <c r="A1009" s="139" t="s">
        <v>2237</v>
      </c>
      <c r="B1009" s="67">
        <f t="shared" si="357"/>
        <v>71423</v>
      </c>
      <c r="C1009" s="67">
        <f t="shared" si="343"/>
        <v>9054</v>
      </c>
      <c r="D1009" s="67">
        <f t="shared" si="344"/>
        <v>9449</v>
      </c>
      <c r="E1009" s="67">
        <f t="shared" si="345"/>
        <v>14550</v>
      </c>
      <c r="F1009" s="67">
        <f t="shared" si="358"/>
        <v>0</v>
      </c>
      <c r="G1009" s="67">
        <f t="shared" si="346"/>
        <v>-15816.395767397118</v>
      </c>
      <c r="H1009" s="67">
        <f t="shared" si="347"/>
        <v>13696</v>
      </c>
      <c r="I1009" s="67">
        <f t="shared" si="348"/>
        <v>8146</v>
      </c>
      <c r="J1009" s="67">
        <f t="shared" si="349"/>
        <v>8204</v>
      </c>
      <c r="K1009" s="67">
        <f t="shared" si="350"/>
        <v>7003</v>
      </c>
      <c r="L1009" s="67">
        <f t="shared" si="351"/>
        <v>2297</v>
      </c>
      <c r="M1009" s="67">
        <f t="shared" si="352"/>
        <v>2705</v>
      </c>
      <c r="N1009" s="67">
        <f t="shared" si="353"/>
        <v>5255</v>
      </c>
      <c r="O1009" s="67">
        <f t="shared" si="354"/>
        <v>1037</v>
      </c>
      <c r="P1009" s="67">
        <f t="shared" si="355"/>
        <v>2329</v>
      </c>
      <c r="Q1009" s="67">
        <f t="shared" si="356"/>
        <v>2452</v>
      </c>
      <c r="R1009" s="638">
        <f>(SUM(B1009:Q1009))</f>
        <v>141783.60423260287</v>
      </c>
      <c r="S1009" s="73"/>
      <c r="AC1009" s="642" t="s">
        <v>2237</v>
      </c>
      <c r="AD1009" s="67">
        <f t="shared" si="359"/>
        <v>3357</v>
      </c>
      <c r="AE1009" s="67">
        <f t="shared" si="360"/>
        <v>426</v>
      </c>
      <c r="AF1009" s="67">
        <f t="shared" si="361"/>
        <v>444</v>
      </c>
      <c r="AG1009" s="67">
        <f t="shared" si="362"/>
        <v>684</v>
      </c>
      <c r="AH1009" s="67">
        <f t="shared" si="363"/>
        <v>0</v>
      </c>
      <c r="AI1009" s="67">
        <f t="shared" si="364"/>
        <v>411</v>
      </c>
      <c r="AJ1009" s="67">
        <f t="shared" si="365"/>
        <v>244</v>
      </c>
      <c r="AK1009" s="67">
        <f t="shared" si="366"/>
        <v>246</v>
      </c>
      <c r="AL1009" s="67">
        <f t="shared" si="367"/>
        <v>210</v>
      </c>
      <c r="AM1009" s="67">
        <f t="shared" si="368"/>
        <v>69</v>
      </c>
      <c r="AN1009" s="67">
        <f t="shared" si="369"/>
        <v>81</v>
      </c>
      <c r="AO1009" s="67">
        <f t="shared" si="370"/>
        <v>158</v>
      </c>
      <c r="AP1009" s="67">
        <f t="shared" si="371"/>
        <v>31</v>
      </c>
      <c r="AQ1009" s="67">
        <f t="shared" si="372"/>
        <v>70</v>
      </c>
      <c r="AR1009" s="67">
        <f t="shared" si="373"/>
        <v>74</v>
      </c>
      <c r="AS1009" s="636">
        <f t="shared" si="374"/>
        <v>6505</v>
      </c>
      <c r="AU1009" s="708">
        <f t="shared" si="375"/>
        <v>4.5879775981207481E-2</v>
      </c>
    </row>
    <row r="1010" spans="1:47" ht="15.75" customHeight="1" x14ac:dyDescent="0.3">
      <c r="A1010" s="139" t="s">
        <v>1504</v>
      </c>
      <c r="B1010" s="67">
        <f t="shared" si="357"/>
        <v>49661</v>
      </c>
      <c r="C1010" s="67">
        <f t="shared" si="343"/>
        <v>6280</v>
      </c>
      <c r="D1010" s="67">
        <f t="shared" si="344"/>
        <v>6538</v>
      </c>
      <c r="E1010" s="67">
        <f t="shared" si="345"/>
        <v>9685</v>
      </c>
      <c r="F1010" s="67">
        <f t="shared" si="358"/>
        <v>0</v>
      </c>
      <c r="G1010" s="67">
        <f t="shared" si="346"/>
        <v>-14770.416820711065</v>
      </c>
      <c r="H1010" s="67">
        <f t="shared" si="347"/>
        <v>13019</v>
      </c>
      <c r="I1010" s="67">
        <f t="shared" si="348"/>
        <v>8764</v>
      </c>
      <c r="J1010" s="67">
        <f t="shared" si="349"/>
        <v>8408</v>
      </c>
      <c r="K1010" s="67">
        <f t="shared" si="350"/>
        <v>7072</v>
      </c>
      <c r="L1010" s="67">
        <f t="shared" si="351"/>
        <v>2160</v>
      </c>
      <c r="M1010" s="67">
        <f t="shared" si="352"/>
        <v>2544</v>
      </c>
      <c r="N1010" s="67">
        <f t="shared" si="353"/>
        <v>5134</v>
      </c>
      <c r="O1010" s="67">
        <f t="shared" si="354"/>
        <v>1063</v>
      </c>
      <c r="P1010" s="67">
        <f t="shared" si="355"/>
        <v>2103</v>
      </c>
      <c r="Q1010" s="67">
        <f t="shared" si="356"/>
        <v>2515</v>
      </c>
      <c r="R1010" s="638">
        <f t="shared" si="376"/>
        <v>110175.58317928894</v>
      </c>
      <c r="S1010" s="73"/>
      <c r="AC1010" s="642" t="s">
        <v>1504</v>
      </c>
      <c r="AD1010" s="67">
        <f t="shared" si="359"/>
        <v>2334</v>
      </c>
      <c r="AE1010" s="67">
        <f t="shared" si="360"/>
        <v>295</v>
      </c>
      <c r="AF1010" s="67">
        <f t="shared" si="361"/>
        <v>307</v>
      </c>
      <c r="AG1010" s="67">
        <f t="shared" si="362"/>
        <v>455</v>
      </c>
      <c r="AH1010" s="67">
        <f t="shared" si="363"/>
        <v>0</v>
      </c>
      <c r="AI1010" s="67">
        <f t="shared" si="364"/>
        <v>391</v>
      </c>
      <c r="AJ1010" s="67">
        <f t="shared" si="365"/>
        <v>263</v>
      </c>
      <c r="AK1010" s="67">
        <f t="shared" si="366"/>
        <v>252</v>
      </c>
      <c r="AL1010" s="67">
        <f t="shared" si="367"/>
        <v>212</v>
      </c>
      <c r="AM1010" s="67">
        <f t="shared" si="368"/>
        <v>65</v>
      </c>
      <c r="AN1010" s="67">
        <f t="shared" si="369"/>
        <v>76</v>
      </c>
      <c r="AO1010" s="67">
        <f t="shared" si="370"/>
        <v>154</v>
      </c>
      <c r="AP1010" s="67">
        <f t="shared" si="371"/>
        <v>32</v>
      </c>
      <c r="AQ1010" s="67">
        <f t="shared" si="372"/>
        <v>63</v>
      </c>
      <c r="AR1010" s="67">
        <f t="shared" si="373"/>
        <v>75</v>
      </c>
      <c r="AS1010" s="636">
        <f t="shared" si="374"/>
        <v>4974</v>
      </c>
      <c r="AU1010" s="708">
        <f t="shared" si="375"/>
        <v>4.5146119098873297E-2</v>
      </c>
    </row>
    <row r="1011" spans="1:47" ht="15.75" customHeight="1" x14ac:dyDescent="0.3">
      <c r="A1011" s="139" t="s">
        <v>1505</v>
      </c>
      <c r="B1011" s="67">
        <f t="shared" si="357"/>
        <v>50000</v>
      </c>
      <c r="C1011" s="67">
        <f t="shared" si="343"/>
        <v>6333</v>
      </c>
      <c r="D1011" s="67">
        <f t="shared" si="344"/>
        <v>6604</v>
      </c>
      <c r="E1011" s="67">
        <f t="shared" si="345"/>
        <v>10036</v>
      </c>
      <c r="F1011" s="67">
        <f t="shared" si="358"/>
        <v>0</v>
      </c>
      <c r="G1011" s="67">
        <f t="shared" si="346"/>
        <v>-8094.1460558827948</v>
      </c>
      <c r="H1011" s="67">
        <f t="shared" si="347"/>
        <v>9856</v>
      </c>
      <c r="I1011" s="67">
        <f t="shared" si="348"/>
        <v>6958</v>
      </c>
      <c r="J1011" s="67">
        <f t="shared" si="349"/>
        <v>7900</v>
      </c>
      <c r="K1011" s="67">
        <f t="shared" si="350"/>
        <v>7009</v>
      </c>
      <c r="L1011" s="67">
        <f t="shared" si="351"/>
        <v>2150</v>
      </c>
      <c r="M1011" s="67">
        <f t="shared" si="352"/>
        <v>2532</v>
      </c>
      <c r="N1011" s="67">
        <f t="shared" si="353"/>
        <v>5061</v>
      </c>
      <c r="O1011" s="67">
        <f t="shared" si="354"/>
        <v>1074</v>
      </c>
      <c r="P1011" s="67">
        <f t="shared" si="355"/>
        <v>1941</v>
      </c>
      <c r="Q1011" s="67">
        <f t="shared" si="356"/>
        <v>2542</v>
      </c>
      <c r="R1011" s="638">
        <f t="shared" si="376"/>
        <v>111901.8539441172</v>
      </c>
      <c r="S1011" s="73"/>
      <c r="AC1011" s="642" t="s">
        <v>1505</v>
      </c>
      <c r="AD1011" s="67">
        <f t="shared" si="359"/>
        <v>2350</v>
      </c>
      <c r="AE1011" s="67">
        <f t="shared" si="360"/>
        <v>298</v>
      </c>
      <c r="AF1011" s="67">
        <f t="shared" si="361"/>
        <v>310</v>
      </c>
      <c r="AG1011" s="67">
        <f t="shared" si="362"/>
        <v>472</v>
      </c>
      <c r="AH1011" s="67">
        <f t="shared" si="363"/>
        <v>0</v>
      </c>
      <c r="AI1011" s="67">
        <f t="shared" si="364"/>
        <v>296</v>
      </c>
      <c r="AJ1011" s="67">
        <f t="shared" si="365"/>
        <v>209</v>
      </c>
      <c r="AK1011" s="67">
        <f t="shared" si="366"/>
        <v>237</v>
      </c>
      <c r="AL1011" s="67">
        <f t="shared" si="367"/>
        <v>210</v>
      </c>
      <c r="AM1011" s="67">
        <f t="shared" si="368"/>
        <v>65</v>
      </c>
      <c r="AN1011" s="67">
        <f t="shared" si="369"/>
        <v>76</v>
      </c>
      <c r="AO1011" s="67">
        <f t="shared" si="370"/>
        <v>152</v>
      </c>
      <c r="AP1011" s="67">
        <f t="shared" si="371"/>
        <v>32</v>
      </c>
      <c r="AQ1011" s="67">
        <f t="shared" si="372"/>
        <v>58</v>
      </c>
      <c r="AR1011" s="67">
        <f t="shared" si="373"/>
        <v>76</v>
      </c>
      <c r="AS1011" s="636">
        <f t="shared" si="374"/>
        <v>4841</v>
      </c>
      <c r="AU1011" s="708">
        <f t="shared" si="375"/>
        <v>4.3261124184926843E-2</v>
      </c>
    </row>
    <row r="1012" spans="1:47" ht="15.75" customHeight="1" x14ac:dyDescent="0.3">
      <c r="A1012" s="139" t="s">
        <v>1506</v>
      </c>
      <c r="B1012" s="67">
        <f t="shared" si="357"/>
        <v>124785</v>
      </c>
      <c r="C1012" s="67">
        <f t="shared" si="343"/>
        <v>15869</v>
      </c>
      <c r="D1012" s="67">
        <f t="shared" si="344"/>
        <v>16611</v>
      </c>
      <c r="E1012" s="67">
        <f t="shared" si="345"/>
        <v>27623</v>
      </c>
      <c r="F1012" s="67">
        <f t="shared" si="358"/>
        <v>2692.9723765234103</v>
      </c>
      <c r="G1012" s="67">
        <f t="shared" si="346"/>
        <v>0</v>
      </c>
      <c r="H1012" s="67">
        <f t="shared" si="347"/>
        <v>6823</v>
      </c>
      <c r="I1012" s="67">
        <f t="shared" si="348"/>
        <v>4234</v>
      </c>
      <c r="J1012" s="67">
        <f t="shared" si="349"/>
        <v>6288</v>
      </c>
      <c r="K1012" s="67">
        <f t="shared" si="350"/>
        <v>6102</v>
      </c>
      <c r="L1012" s="67">
        <f t="shared" si="351"/>
        <v>2003</v>
      </c>
      <c r="M1012" s="67">
        <f t="shared" si="352"/>
        <v>2360</v>
      </c>
      <c r="N1012" s="67">
        <f t="shared" si="353"/>
        <v>4720</v>
      </c>
      <c r="O1012" s="67">
        <f t="shared" si="354"/>
        <v>861</v>
      </c>
      <c r="P1012" s="67">
        <f t="shared" si="355"/>
        <v>1779</v>
      </c>
      <c r="Q1012" s="67">
        <f t="shared" si="356"/>
        <v>2037</v>
      </c>
      <c r="R1012" s="638">
        <f t="shared" si="376"/>
        <v>224787.97237652342</v>
      </c>
      <c r="S1012" s="73"/>
      <c r="AC1012" s="642" t="s">
        <v>1506</v>
      </c>
      <c r="AD1012" s="67">
        <f t="shared" si="359"/>
        <v>5865</v>
      </c>
      <c r="AE1012" s="67">
        <f t="shared" si="360"/>
        <v>746</v>
      </c>
      <c r="AF1012" s="67">
        <f t="shared" si="361"/>
        <v>781</v>
      </c>
      <c r="AG1012" s="67">
        <f t="shared" si="362"/>
        <v>1298</v>
      </c>
      <c r="AH1012" s="67">
        <f t="shared" si="363"/>
        <v>0</v>
      </c>
      <c r="AI1012" s="67">
        <f t="shared" si="364"/>
        <v>205</v>
      </c>
      <c r="AJ1012" s="67">
        <f t="shared" si="365"/>
        <v>127</v>
      </c>
      <c r="AK1012" s="67">
        <f t="shared" si="366"/>
        <v>189</v>
      </c>
      <c r="AL1012" s="67">
        <f t="shared" si="367"/>
        <v>183</v>
      </c>
      <c r="AM1012" s="67">
        <f t="shared" si="368"/>
        <v>60</v>
      </c>
      <c r="AN1012" s="67">
        <f t="shared" si="369"/>
        <v>71</v>
      </c>
      <c r="AO1012" s="67">
        <f t="shared" si="370"/>
        <v>142</v>
      </c>
      <c r="AP1012" s="67">
        <f t="shared" si="371"/>
        <v>26</v>
      </c>
      <c r="AQ1012" s="67">
        <f t="shared" si="372"/>
        <v>53</v>
      </c>
      <c r="AR1012" s="67">
        <f t="shared" si="373"/>
        <v>61</v>
      </c>
      <c r="AS1012" s="636">
        <f t="shared" si="374"/>
        <v>9807</v>
      </c>
      <c r="AU1012" s="708">
        <f t="shared" si="375"/>
        <v>4.3627779085853934E-2</v>
      </c>
    </row>
    <row r="1013" spans="1:47" ht="15.75" customHeight="1" x14ac:dyDescent="0.3">
      <c r="A1013" s="139" t="s">
        <v>1507</v>
      </c>
      <c r="B1013" s="67">
        <f t="shared" si="357"/>
        <v>138324</v>
      </c>
      <c r="C1013" s="67">
        <f t="shared" si="343"/>
        <v>17599</v>
      </c>
      <c r="D1013" s="67">
        <f t="shared" si="344"/>
        <v>18430</v>
      </c>
      <c r="E1013" s="67">
        <f t="shared" si="345"/>
        <v>30979</v>
      </c>
      <c r="F1013" s="67">
        <f t="shared" si="358"/>
        <v>10198.773834418373</v>
      </c>
      <c r="G1013" s="67">
        <f t="shared" si="346"/>
        <v>0</v>
      </c>
      <c r="H1013" s="67">
        <f t="shared" si="347"/>
        <v>4694</v>
      </c>
      <c r="I1013" s="67">
        <f t="shared" si="348"/>
        <v>1880</v>
      </c>
      <c r="J1013" s="67">
        <f t="shared" si="349"/>
        <v>2774</v>
      </c>
      <c r="K1013" s="67">
        <f t="shared" si="350"/>
        <v>2645</v>
      </c>
      <c r="L1013" s="67">
        <f t="shared" si="351"/>
        <v>842</v>
      </c>
      <c r="M1013" s="67">
        <f t="shared" si="352"/>
        <v>990</v>
      </c>
      <c r="N1013" s="67">
        <f t="shared" si="353"/>
        <v>1870</v>
      </c>
      <c r="O1013" s="67">
        <f t="shared" si="354"/>
        <v>441</v>
      </c>
      <c r="P1013" s="67">
        <f t="shared" si="355"/>
        <v>1617</v>
      </c>
      <c r="Q1013" s="67">
        <f t="shared" si="356"/>
        <v>1043</v>
      </c>
      <c r="R1013" s="638">
        <f t="shared" si="376"/>
        <v>234326.77383441836</v>
      </c>
      <c r="S1013" s="73"/>
      <c r="AC1013" s="642" t="s">
        <v>1507</v>
      </c>
      <c r="AD1013" s="67">
        <f t="shared" si="359"/>
        <v>6501</v>
      </c>
      <c r="AE1013" s="67">
        <f t="shared" si="360"/>
        <v>827</v>
      </c>
      <c r="AF1013" s="67">
        <f t="shared" si="361"/>
        <v>866</v>
      </c>
      <c r="AG1013" s="67">
        <f t="shared" si="362"/>
        <v>1456</v>
      </c>
      <c r="AH1013" s="67">
        <f t="shared" si="363"/>
        <v>0</v>
      </c>
      <c r="AI1013" s="67">
        <f t="shared" si="364"/>
        <v>141</v>
      </c>
      <c r="AJ1013" s="67">
        <f t="shared" si="365"/>
        <v>56</v>
      </c>
      <c r="AK1013" s="67">
        <f t="shared" si="366"/>
        <v>83</v>
      </c>
      <c r="AL1013" s="67">
        <f t="shared" si="367"/>
        <v>79</v>
      </c>
      <c r="AM1013" s="67">
        <f t="shared" si="368"/>
        <v>25</v>
      </c>
      <c r="AN1013" s="67">
        <f t="shared" si="369"/>
        <v>30</v>
      </c>
      <c r="AO1013" s="67">
        <f t="shared" si="370"/>
        <v>56</v>
      </c>
      <c r="AP1013" s="67">
        <f t="shared" si="371"/>
        <v>13</v>
      </c>
      <c r="AQ1013" s="67">
        <f t="shared" si="372"/>
        <v>49</v>
      </c>
      <c r="AR1013" s="67">
        <f t="shared" si="373"/>
        <v>31</v>
      </c>
      <c r="AS1013" s="636">
        <f t="shared" si="374"/>
        <v>10213</v>
      </c>
      <c r="AU1013" s="708">
        <f t="shared" si="375"/>
        <v>4.3584434816726414E-2</v>
      </c>
    </row>
    <row r="1014" spans="1:47" ht="15.75" customHeight="1" x14ac:dyDescent="0.3">
      <c r="A1014" s="139" t="s">
        <v>1508</v>
      </c>
      <c r="B1014" s="67">
        <f t="shared" si="357"/>
        <v>132807</v>
      </c>
      <c r="C1014" s="67">
        <f t="shared" si="343"/>
        <v>16902</v>
      </c>
      <c r="D1014" s="67">
        <f t="shared" si="344"/>
        <v>17704</v>
      </c>
      <c r="E1014" s="67">
        <f t="shared" si="345"/>
        <v>30038</v>
      </c>
      <c r="F1014" s="67">
        <f t="shared" si="358"/>
        <v>15129.202189472586</v>
      </c>
      <c r="G1014" s="67">
        <f t="shared" si="346"/>
        <v>0</v>
      </c>
      <c r="H1014" s="67">
        <f t="shared" si="347"/>
        <v>2358</v>
      </c>
      <c r="I1014" s="67">
        <f t="shared" si="348"/>
        <v>619</v>
      </c>
      <c r="J1014" s="67">
        <f t="shared" si="349"/>
        <v>750</v>
      </c>
      <c r="K1014" s="67">
        <f t="shared" si="350"/>
        <v>744</v>
      </c>
      <c r="L1014" s="67">
        <f t="shared" si="351"/>
        <v>199</v>
      </c>
      <c r="M1014" s="67">
        <f t="shared" si="352"/>
        <v>232</v>
      </c>
      <c r="N1014" s="67">
        <f t="shared" si="353"/>
        <v>439</v>
      </c>
      <c r="O1014" s="67">
        <f t="shared" si="354"/>
        <v>300</v>
      </c>
      <c r="P1014" s="67">
        <f t="shared" si="355"/>
        <v>1456</v>
      </c>
      <c r="Q1014" s="67">
        <f t="shared" si="356"/>
        <v>709</v>
      </c>
      <c r="R1014" s="638">
        <f t="shared" si="376"/>
        <v>220386.20218947259</v>
      </c>
      <c r="S1014" s="73"/>
      <c r="AC1014" s="642" t="s">
        <v>1508</v>
      </c>
      <c r="AD1014" s="67">
        <f t="shared" si="359"/>
        <v>6242</v>
      </c>
      <c r="AE1014" s="67">
        <f t="shared" si="360"/>
        <v>794</v>
      </c>
      <c r="AF1014" s="67">
        <f t="shared" si="361"/>
        <v>832</v>
      </c>
      <c r="AG1014" s="67">
        <f t="shared" si="362"/>
        <v>1412</v>
      </c>
      <c r="AH1014" s="67">
        <f t="shared" si="363"/>
        <v>0</v>
      </c>
      <c r="AI1014" s="67">
        <f t="shared" si="364"/>
        <v>71</v>
      </c>
      <c r="AJ1014" s="67">
        <f t="shared" si="365"/>
        <v>19</v>
      </c>
      <c r="AK1014" s="67">
        <f t="shared" si="366"/>
        <v>23</v>
      </c>
      <c r="AL1014" s="67">
        <f t="shared" si="367"/>
        <v>22</v>
      </c>
      <c r="AM1014" s="67">
        <f t="shared" si="368"/>
        <v>6</v>
      </c>
      <c r="AN1014" s="67">
        <f t="shared" si="369"/>
        <v>7</v>
      </c>
      <c r="AO1014" s="67">
        <f t="shared" si="370"/>
        <v>13</v>
      </c>
      <c r="AP1014" s="67">
        <f t="shared" si="371"/>
        <v>9</v>
      </c>
      <c r="AQ1014" s="67">
        <f t="shared" si="372"/>
        <v>44</v>
      </c>
      <c r="AR1014" s="67">
        <f t="shared" si="373"/>
        <v>21</v>
      </c>
      <c r="AS1014" s="636">
        <f t="shared" si="374"/>
        <v>9515</v>
      </c>
      <c r="AU1014" s="708">
        <f t="shared" si="375"/>
        <v>4.3174209208522371E-2</v>
      </c>
    </row>
    <row r="1015" spans="1:47" ht="15.75" customHeight="1" x14ac:dyDescent="0.3">
      <c r="A1015" s="139" t="s">
        <v>1509</v>
      </c>
      <c r="B1015" s="67">
        <f t="shared" si="357"/>
        <v>103337</v>
      </c>
      <c r="C1015" s="67">
        <f t="shared" si="343"/>
        <v>13151</v>
      </c>
      <c r="D1015" s="67">
        <f t="shared" si="344"/>
        <v>13775</v>
      </c>
      <c r="E1015" s="67">
        <f t="shared" si="345"/>
        <v>23322</v>
      </c>
      <c r="F1015" s="67">
        <f t="shared" si="358"/>
        <v>9647.7376660342252</v>
      </c>
      <c r="G1015" s="67">
        <f t="shared" si="346"/>
        <v>0</v>
      </c>
      <c r="H1015" s="67">
        <f t="shared" si="347"/>
        <v>3048</v>
      </c>
      <c r="I1015" s="67">
        <f t="shared" si="348"/>
        <v>1773</v>
      </c>
      <c r="J1015" s="67">
        <f t="shared" si="349"/>
        <v>2617</v>
      </c>
      <c r="K1015" s="67">
        <f t="shared" si="350"/>
        <v>2566</v>
      </c>
      <c r="L1015" s="67">
        <f t="shared" si="351"/>
        <v>943</v>
      </c>
      <c r="M1015" s="67">
        <f t="shared" si="352"/>
        <v>1110</v>
      </c>
      <c r="N1015" s="67">
        <f t="shared" si="353"/>
        <v>2251</v>
      </c>
      <c r="O1015" s="67">
        <f t="shared" si="354"/>
        <v>588</v>
      </c>
      <c r="P1015" s="67">
        <f t="shared" si="355"/>
        <v>1294</v>
      </c>
      <c r="Q1015" s="67">
        <f t="shared" si="356"/>
        <v>1391</v>
      </c>
      <c r="R1015" s="638">
        <f t="shared" si="376"/>
        <v>180813.73766603423</v>
      </c>
      <c r="S1015" s="73"/>
      <c r="AC1015" s="642" t="s">
        <v>1509</v>
      </c>
      <c r="AD1015" s="67">
        <f t="shared" si="359"/>
        <v>4857</v>
      </c>
      <c r="AE1015" s="67">
        <f t="shared" si="360"/>
        <v>618</v>
      </c>
      <c r="AF1015" s="67">
        <f t="shared" si="361"/>
        <v>647</v>
      </c>
      <c r="AG1015" s="67">
        <f t="shared" si="362"/>
        <v>1096</v>
      </c>
      <c r="AH1015" s="67">
        <f t="shared" si="363"/>
        <v>0</v>
      </c>
      <c r="AI1015" s="67">
        <f t="shared" si="364"/>
        <v>91</v>
      </c>
      <c r="AJ1015" s="67">
        <f t="shared" si="365"/>
        <v>53</v>
      </c>
      <c r="AK1015" s="67">
        <f t="shared" si="366"/>
        <v>79</v>
      </c>
      <c r="AL1015" s="67">
        <f t="shared" si="367"/>
        <v>77</v>
      </c>
      <c r="AM1015" s="67">
        <f t="shared" si="368"/>
        <v>28</v>
      </c>
      <c r="AN1015" s="67">
        <f t="shared" si="369"/>
        <v>33</v>
      </c>
      <c r="AO1015" s="67">
        <f t="shared" si="370"/>
        <v>68</v>
      </c>
      <c r="AP1015" s="67">
        <f t="shared" si="371"/>
        <v>18</v>
      </c>
      <c r="AQ1015" s="67">
        <f t="shared" si="372"/>
        <v>39</v>
      </c>
      <c r="AR1015" s="67">
        <f t="shared" si="373"/>
        <v>42</v>
      </c>
      <c r="AS1015" s="636">
        <f t="shared" si="374"/>
        <v>7746</v>
      </c>
      <c r="AU1015" s="708">
        <f t="shared" si="375"/>
        <v>4.2839665281998549E-2</v>
      </c>
    </row>
    <row r="1016" spans="1:47" ht="15.75" customHeight="1" x14ac:dyDescent="0.3">
      <c r="A1016" s="553"/>
      <c r="B1016" s="67"/>
      <c r="C1016" s="67"/>
      <c r="D1016" s="67"/>
      <c r="E1016" s="67"/>
      <c r="F1016" s="67"/>
      <c r="G1016" s="67"/>
      <c r="H1016" s="67"/>
      <c r="I1016" s="67"/>
      <c r="J1016" s="67"/>
      <c r="K1016" s="67"/>
      <c r="L1016" s="67"/>
      <c r="M1016" s="67"/>
      <c r="N1016" s="67"/>
      <c r="O1016" s="67"/>
      <c r="P1016" s="67"/>
      <c r="Q1016" s="67"/>
      <c r="R1016" s="636"/>
      <c r="S1016" s="73"/>
      <c r="AC1016" s="579"/>
      <c r="AD1016" s="67"/>
      <c r="AE1016" s="67"/>
      <c r="AF1016" s="67"/>
      <c r="AG1016" s="67"/>
      <c r="AH1016" s="67"/>
      <c r="AI1016" s="67"/>
      <c r="AJ1016" s="67"/>
      <c r="AK1016" s="67"/>
      <c r="AL1016" s="67"/>
      <c r="AM1016" s="67"/>
      <c r="AN1016" s="67"/>
      <c r="AO1016" s="67"/>
      <c r="AP1016" s="67"/>
      <c r="AQ1016" s="67"/>
      <c r="AR1016" s="67"/>
      <c r="AS1016" s="636"/>
    </row>
    <row r="1017" spans="1:47" ht="15.75" customHeight="1" thickBot="1" x14ac:dyDescent="0.35">
      <c r="A1017" s="553" t="s">
        <v>2356</v>
      </c>
      <c r="B1017" s="67">
        <f>SUM(B1004:B1015)</f>
        <v>1362947</v>
      </c>
      <c r="C1017" s="67">
        <f t="shared" ref="C1017:Q1017" si="377">SUM(C1004:C1015)</f>
        <v>173323</v>
      </c>
      <c r="D1017" s="67">
        <f t="shared" si="377"/>
        <v>181420</v>
      </c>
      <c r="E1017" s="67">
        <f t="shared" si="377"/>
        <v>300070</v>
      </c>
      <c r="F1017" s="67">
        <f t="shared" si="377"/>
        <v>67555.214606225971</v>
      </c>
      <c r="G1017" s="67">
        <f t="shared" si="377"/>
        <v>-40237.390994100999</v>
      </c>
      <c r="H1017" s="67">
        <f t="shared" si="377"/>
        <v>92927</v>
      </c>
      <c r="I1017" s="67">
        <f t="shared" si="377"/>
        <v>57791</v>
      </c>
      <c r="J1017" s="67">
        <f t="shared" si="377"/>
        <v>71594</v>
      </c>
      <c r="K1017" s="67">
        <f t="shared" si="377"/>
        <v>66733</v>
      </c>
      <c r="L1017" s="67">
        <f t="shared" si="377"/>
        <v>20998</v>
      </c>
      <c r="M1017" s="67">
        <f t="shared" si="377"/>
        <v>24733</v>
      </c>
      <c r="N1017" s="67">
        <f t="shared" si="377"/>
        <v>48455</v>
      </c>
      <c r="O1017" s="67">
        <f t="shared" si="377"/>
        <v>10088</v>
      </c>
      <c r="P1017" s="67">
        <f t="shared" si="377"/>
        <v>20929</v>
      </c>
      <c r="Q1017" s="67">
        <f t="shared" si="377"/>
        <v>23865</v>
      </c>
      <c r="R1017" s="639">
        <f>SUM(R1004:R1015)</f>
        <v>2483190.8236121251</v>
      </c>
      <c r="S1017" s="73"/>
      <c r="AC1017" s="644" t="s">
        <v>2356</v>
      </c>
      <c r="AD1017" s="555">
        <f>SUM(AD1004:AD1015)</f>
        <v>64059</v>
      </c>
      <c r="AE1017" s="555">
        <f t="shared" ref="AE1017:AS1017" si="378">SUM(AE1004:AE1015)</f>
        <v>8146</v>
      </c>
      <c r="AF1017" s="555">
        <f t="shared" si="378"/>
        <v>8525</v>
      </c>
      <c r="AG1017" s="555">
        <f t="shared" si="378"/>
        <v>14103</v>
      </c>
      <c r="AH1017" s="555">
        <f t="shared" si="378"/>
        <v>0</v>
      </c>
      <c r="AI1017" s="555">
        <f t="shared" si="378"/>
        <v>2789</v>
      </c>
      <c r="AJ1017" s="555">
        <f t="shared" si="378"/>
        <v>1733</v>
      </c>
      <c r="AK1017" s="555">
        <f t="shared" si="378"/>
        <v>2149</v>
      </c>
      <c r="AL1017" s="555">
        <f t="shared" si="378"/>
        <v>2001</v>
      </c>
      <c r="AM1017" s="555">
        <f t="shared" si="378"/>
        <v>630</v>
      </c>
      <c r="AN1017" s="555">
        <f t="shared" si="378"/>
        <v>742</v>
      </c>
      <c r="AO1017" s="555">
        <f t="shared" si="378"/>
        <v>1454</v>
      </c>
      <c r="AP1017" s="555">
        <f t="shared" si="378"/>
        <v>304</v>
      </c>
      <c r="AQ1017" s="555">
        <f t="shared" si="378"/>
        <v>629</v>
      </c>
      <c r="AR1017" s="555">
        <f t="shared" si="378"/>
        <v>716</v>
      </c>
      <c r="AS1017" s="637">
        <f t="shared" si="378"/>
        <v>107980</v>
      </c>
      <c r="AU1017" s="708">
        <f t="shared" si="375"/>
        <v>4.3484374609168777E-2</v>
      </c>
    </row>
    <row r="1018" spans="1:47" ht="16.5" customHeight="1" thickBot="1" x14ac:dyDescent="0.35">
      <c r="A1018" s="558" t="s">
        <v>852</v>
      </c>
      <c r="B1018" s="555"/>
      <c r="C1018" s="555"/>
      <c r="D1018" s="555"/>
      <c r="E1018" s="555"/>
      <c r="F1018" s="555"/>
      <c r="G1018" s="555"/>
      <c r="H1018" s="555"/>
      <c r="I1018" s="555"/>
      <c r="J1018" s="555"/>
      <c r="K1018" s="555"/>
      <c r="L1018" s="555"/>
      <c r="M1018" s="555"/>
      <c r="N1018" s="555"/>
      <c r="O1018" s="555"/>
      <c r="P1018" s="555"/>
      <c r="Q1018" s="555"/>
      <c r="R1018" s="637"/>
      <c r="S1018" s="67"/>
    </row>
    <row r="1019" spans="1:47" ht="15.75" customHeight="1" x14ac:dyDescent="0.3">
      <c r="A1019" s="67"/>
      <c r="B1019" s="67"/>
      <c r="C1019" s="67"/>
      <c r="D1019" s="67"/>
      <c r="E1019" s="67"/>
      <c r="F1019" s="67"/>
      <c r="G1019" s="67"/>
      <c r="H1019" s="67"/>
      <c r="I1019" s="67"/>
      <c r="J1019" s="67"/>
      <c r="K1019" s="67"/>
      <c r="L1019" s="67"/>
      <c r="M1019" s="67"/>
      <c r="N1019" s="67"/>
      <c r="O1019" s="67"/>
      <c r="P1019" s="67"/>
      <c r="Q1019" s="67"/>
      <c r="R1019" s="67"/>
    </row>
    <row r="1020" spans="1:47" ht="15.75" customHeight="1" x14ac:dyDescent="0.3"/>
    <row r="1021" spans="1:47" ht="15.75" customHeight="1" thickBot="1" x14ac:dyDescent="0.35"/>
    <row r="1022" spans="1:47" ht="15.75" customHeight="1" thickBot="1" x14ac:dyDescent="0.35">
      <c r="B1022" s="822" t="s">
        <v>2921</v>
      </c>
      <c r="C1022" s="821"/>
      <c r="D1022" s="821"/>
      <c r="E1022" s="821"/>
      <c r="F1022" s="821"/>
      <c r="G1022" s="821"/>
      <c r="H1022" s="821"/>
      <c r="I1022" s="821"/>
      <c r="J1022" s="821"/>
      <c r="K1022" s="821"/>
      <c r="L1022" s="821"/>
      <c r="M1022" s="821"/>
      <c r="N1022" s="821"/>
      <c r="O1022" s="821"/>
      <c r="P1022" s="821"/>
      <c r="Q1022" s="752" t="str">
        <f>+Q1</f>
        <v xml:space="preserve">PRINTED:  </v>
      </c>
      <c r="R1022" s="756">
        <f ca="1">+R1</f>
        <v>44881.729632754628</v>
      </c>
      <c r="S1022" s="701"/>
      <c r="T1022" s="703"/>
      <c r="U1022" s="703"/>
      <c r="V1022" s="702"/>
    </row>
    <row r="1023" spans="1:47" ht="15.75" customHeight="1" x14ac:dyDescent="0.3">
      <c r="B1023" s="791">
        <f>+A5</f>
        <v>2021</v>
      </c>
      <c r="C1023" s="787"/>
      <c r="D1023" s="787"/>
      <c r="E1023" s="787"/>
      <c r="F1023" s="787"/>
      <c r="G1023" s="787"/>
      <c r="H1023" s="787"/>
      <c r="I1023" s="787"/>
      <c r="J1023" s="787"/>
      <c r="K1023" s="787"/>
      <c r="L1023" s="787"/>
      <c r="M1023" s="787"/>
      <c r="N1023" s="787"/>
      <c r="O1023" s="787"/>
      <c r="P1023" s="787"/>
      <c r="Q1023" s="67"/>
      <c r="R1023" s="67"/>
      <c r="S1023" s="67"/>
      <c r="V1023" s="727"/>
      <c r="AC1023" s="704"/>
      <c r="AD1023" s="821" t="s">
        <v>2923</v>
      </c>
      <c r="AE1023" s="823"/>
      <c r="AF1023" s="823"/>
      <c r="AG1023" s="823"/>
      <c r="AH1023" s="823"/>
      <c r="AI1023" s="823"/>
      <c r="AJ1023" s="823"/>
      <c r="AK1023" s="823"/>
      <c r="AL1023" s="823"/>
      <c r="AM1023" s="823"/>
      <c r="AN1023" s="823"/>
      <c r="AO1023" s="823"/>
      <c r="AP1023" s="823"/>
      <c r="AQ1023" s="823"/>
      <c r="AR1023" s="752" t="str">
        <f>$Q$1</f>
        <v xml:space="preserve">PRINTED:  </v>
      </c>
      <c r="AS1023" s="757">
        <f ca="1">$R$1</f>
        <v>44881.729632754628</v>
      </c>
    </row>
    <row r="1024" spans="1:47" ht="15.75" customHeight="1" x14ac:dyDescent="0.3">
      <c r="B1024" s="792" t="str">
        <f>+A8</f>
        <v>Revised:  2/5/2020</v>
      </c>
      <c r="C1024" s="786"/>
      <c r="D1024" s="786"/>
      <c r="E1024" s="786"/>
      <c r="F1024" s="786"/>
      <c r="G1024" s="786"/>
      <c r="H1024" s="786"/>
      <c r="I1024" s="786"/>
      <c r="J1024" s="786"/>
      <c r="K1024" s="786"/>
      <c r="L1024" s="786"/>
      <c r="M1024" s="786"/>
      <c r="N1024" s="786"/>
      <c r="O1024" s="786"/>
      <c r="P1024" s="786"/>
      <c r="Q1024" s="67"/>
      <c r="R1024" s="67"/>
      <c r="S1024" s="67"/>
      <c r="V1024" s="727"/>
      <c r="AC1024" s="579"/>
      <c r="AD1024" s="786" t="str">
        <f>+$A$8</f>
        <v>Revised:  2/5/2020</v>
      </c>
      <c r="AE1024" s="788"/>
      <c r="AF1024" s="788"/>
      <c r="AG1024" s="788"/>
      <c r="AH1024" s="788"/>
      <c r="AI1024" s="788"/>
      <c r="AJ1024" s="788"/>
      <c r="AK1024" s="788"/>
      <c r="AL1024" s="788"/>
      <c r="AM1024" s="788"/>
      <c r="AN1024" s="788"/>
      <c r="AO1024" s="788"/>
      <c r="AP1024" s="788"/>
      <c r="AQ1024" s="788"/>
      <c r="AR1024" s="139"/>
      <c r="AS1024" s="727"/>
    </row>
    <row r="1025" spans="1:45" ht="15.75" customHeight="1" thickBot="1" x14ac:dyDescent="0.35">
      <c r="B1025" s="793" t="s">
        <v>2676</v>
      </c>
      <c r="C1025" s="794"/>
      <c r="D1025" s="794"/>
      <c r="E1025" s="794"/>
      <c r="F1025" s="794"/>
      <c r="G1025" s="794"/>
      <c r="H1025" s="794"/>
      <c r="I1025" s="794"/>
      <c r="J1025" s="794"/>
      <c r="K1025" s="794"/>
      <c r="L1025" s="794"/>
      <c r="M1025" s="794"/>
      <c r="N1025" s="794"/>
      <c r="O1025" s="794"/>
      <c r="P1025" s="794"/>
      <c r="Q1025" s="67"/>
      <c r="R1025" s="67"/>
      <c r="S1025" s="555"/>
      <c r="V1025" s="727"/>
      <c r="AC1025" s="579"/>
      <c r="AD1025" s="786" t="s">
        <v>2878</v>
      </c>
      <c r="AE1025" s="789"/>
      <c r="AF1025" s="789"/>
      <c r="AG1025" s="789"/>
      <c r="AH1025" s="789"/>
      <c r="AI1025" s="789"/>
      <c r="AJ1025" s="789"/>
      <c r="AK1025" s="789"/>
      <c r="AL1025" s="789"/>
      <c r="AM1025" s="789"/>
      <c r="AN1025" s="789"/>
      <c r="AO1025" s="789"/>
      <c r="AP1025" s="789"/>
      <c r="AQ1025" s="789"/>
      <c r="AS1025" s="727"/>
    </row>
    <row r="1026" spans="1:45" ht="15.75" customHeight="1" thickBot="1" x14ac:dyDescent="0.35">
      <c r="A1026" s="649"/>
      <c r="B1026" s="795" t="s">
        <v>2633</v>
      </c>
      <c r="C1026" s="796"/>
      <c r="D1026" s="796"/>
      <c r="E1026" s="796"/>
      <c r="F1026" s="797"/>
      <c r="G1026" s="795" t="s">
        <v>2674</v>
      </c>
      <c r="H1026" s="796"/>
      <c r="I1026" s="796"/>
      <c r="J1026" s="796"/>
      <c r="K1026" s="796"/>
      <c r="L1026" s="796"/>
      <c r="M1026" s="798" t="s">
        <v>2677</v>
      </c>
      <c r="N1026" s="799"/>
      <c r="O1026" s="799"/>
      <c r="P1026" s="799"/>
      <c r="Q1026" s="799"/>
      <c r="R1026" s="800"/>
      <c r="S1026" s="795" t="s">
        <v>2682</v>
      </c>
      <c r="T1026" s="801"/>
      <c r="U1026" s="802"/>
      <c r="V1026" s="727"/>
      <c r="AC1026" s="579"/>
      <c r="AS1026" s="727"/>
    </row>
    <row r="1027" spans="1:45" ht="15.75" customHeight="1" x14ac:dyDescent="0.3">
      <c r="A1027" s="649"/>
      <c r="B1027" s="553" t="s">
        <v>2439</v>
      </c>
      <c r="C1027" s="70"/>
      <c r="D1027" s="70" t="s">
        <v>336</v>
      </c>
      <c r="E1027" s="70" t="s">
        <v>596</v>
      </c>
      <c r="F1027" s="758" t="s">
        <v>2652</v>
      </c>
      <c r="G1027" s="553" t="s">
        <v>228</v>
      </c>
      <c r="H1027" s="70"/>
      <c r="I1027" s="70"/>
      <c r="J1027" s="70" t="s">
        <v>229</v>
      </c>
      <c r="K1027" s="70" t="s">
        <v>2638</v>
      </c>
      <c r="L1027" s="70" t="s">
        <v>2639</v>
      </c>
      <c r="M1027" s="803" t="s">
        <v>3116</v>
      </c>
      <c r="N1027" s="804"/>
      <c r="O1027" s="805"/>
      <c r="P1027" s="604"/>
      <c r="Q1027" s="599"/>
      <c r="R1027" s="713"/>
      <c r="S1027" s="70" t="s">
        <v>2683</v>
      </c>
      <c r="T1027" s="610" t="s">
        <v>134</v>
      </c>
      <c r="U1027" s="759" t="s">
        <v>2685</v>
      </c>
      <c r="V1027" s="727"/>
      <c r="AC1027" s="579"/>
      <c r="AD1027" s="787">
        <f>$A$5</f>
        <v>2021</v>
      </c>
      <c r="AE1027" s="789"/>
      <c r="AF1027" s="789"/>
      <c r="AG1027" s="789"/>
      <c r="AH1027" s="789"/>
      <c r="AI1027" s="789"/>
      <c r="AJ1027" s="789"/>
      <c r="AK1027" s="789"/>
      <c r="AL1027" s="789"/>
      <c r="AM1027" s="789"/>
      <c r="AN1027" s="789"/>
      <c r="AO1027" s="789"/>
      <c r="AP1027" s="789"/>
      <c r="AQ1027" s="789"/>
      <c r="AS1027" s="727"/>
    </row>
    <row r="1028" spans="1:45" ht="15.75" customHeight="1" x14ac:dyDescent="0.3">
      <c r="A1028" s="649"/>
      <c r="B1028" s="593" t="s">
        <v>2648</v>
      </c>
      <c r="C1028" s="588" t="s">
        <v>2656</v>
      </c>
      <c r="D1028" s="588" t="s">
        <v>2651</v>
      </c>
      <c r="E1028" s="70" t="s">
        <v>335</v>
      </c>
      <c r="F1028" s="760" t="s">
        <v>2653</v>
      </c>
      <c r="G1028" s="553" t="s">
        <v>2463</v>
      </c>
      <c r="H1028" s="70" t="s">
        <v>1416</v>
      </c>
      <c r="I1028" s="70" t="s">
        <v>1417</v>
      </c>
      <c r="J1028" s="588" t="s">
        <v>2632</v>
      </c>
      <c r="K1028" s="70" t="s">
        <v>2634</v>
      </c>
      <c r="L1028" s="588" t="s">
        <v>2637</v>
      </c>
      <c r="M1028" s="603" t="s">
        <v>2679</v>
      </c>
      <c r="N1028" s="604" t="s">
        <v>2680</v>
      </c>
      <c r="O1028" s="761" t="s">
        <v>2356</v>
      </c>
      <c r="P1028" s="604" t="s">
        <v>3112</v>
      </c>
      <c r="Q1028" s="604" t="s">
        <v>3112</v>
      </c>
      <c r="R1028" s="761" t="s">
        <v>3117</v>
      </c>
      <c r="S1028" s="70" t="s">
        <v>2684</v>
      </c>
      <c r="T1028" s="70" t="s">
        <v>2686</v>
      </c>
      <c r="U1028" s="758" t="s">
        <v>2687</v>
      </c>
      <c r="V1028" s="727"/>
      <c r="AC1028" s="579"/>
      <c r="AD1028" s="786" t="s">
        <v>2919</v>
      </c>
      <c r="AE1028" s="788"/>
      <c r="AF1028" s="788"/>
      <c r="AG1028" s="788"/>
      <c r="AH1028" s="788"/>
      <c r="AI1028" s="788"/>
      <c r="AJ1028" s="788"/>
      <c r="AK1028" s="788"/>
      <c r="AL1028" s="788"/>
      <c r="AM1028" s="788"/>
      <c r="AN1028" s="788"/>
      <c r="AO1028" s="788"/>
      <c r="AP1028" s="788"/>
      <c r="AQ1028" s="788"/>
      <c r="AR1028" s="70"/>
      <c r="AS1028" s="727"/>
    </row>
    <row r="1029" spans="1:45" ht="15.75" customHeight="1" x14ac:dyDescent="0.3">
      <c r="A1029" s="649"/>
      <c r="B1029" s="594" t="s">
        <v>2654</v>
      </c>
      <c r="C1029" s="217">
        <v>0</v>
      </c>
      <c r="D1029" s="217"/>
      <c r="E1029" s="70" t="s">
        <v>133</v>
      </c>
      <c r="F1029" s="762" t="s">
        <v>2649</v>
      </c>
      <c r="G1029" s="553" t="s">
        <v>2650</v>
      </c>
      <c r="H1029" s="70" t="s">
        <v>335</v>
      </c>
      <c r="I1029" s="70" t="s">
        <v>335</v>
      </c>
      <c r="J1029" s="70" t="s">
        <v>335</v>
      </c>
      <c r="K1029" s="70" t="s">
        <v>134</v>
      </c>
      <c r="L1029" s="70" t="s">
        <v>2636</v>
      </c>
      <c r="M1029" s="605" t="s">
        <v>955</v>
      </c>
      <c r="N1029" s="599" t="s">
        <v>2681</v>
      </c>
      <c r="O1029" s="761" t="s">
        <v>2688</v>
      </c>
      <c r="P1029" s="599" t="s">
        <v>3113</v>
      </c>
      <c r="Q1029" s="604" t="s">
        <v>3113</v>
      </c>
      <c r="R1029" s="761" t="s">
        <v>2688</v>
      </c>
      <c r="S1029" s="70" t="s">
        <v>335</v>
      </c>
      <c r="T1029" s="70" t="s">
        <v>335</v>
      </c>
      <c r="U1029" s="758" t="s">
        <v>335</v>
      </c>
      <c r="V1029" s="727"/>
      <c r="AC1029" s="579"/>
      <c r="AK1029" s="670"/>
      <c r="AS1029" s="727"/>
    </row>
    <row r="1030" spans="1:45" ht="15.75" customHeight="1" thickBot="1" x14ac:dyDescent="0.35">
      <c r="A1030" s="592" t="s">
        <v>249</v>
      </c>
      <c r="B1030" s="553" t="s">
        <v>998</v>
      </c>
      <c r="C1030" s="70" t="s">
        <v>998</v>
      </c>
      <c r="D1030" s="70" t="s">
        <v>998</v>
      </c>
      <c r="E1030" s="70" t="s">
        <v>998</v>
      </c>
      <c r="F1030" s="758" t="s">
        <v>998</v>
      </c>
      <c r="G1030" s="553" t="s">
        <v>998</v>
      </c>
      <c r="H1030" s="70" t="s">
        <v>998</v>
      </c>
      <c r="I1030" s="70" t="s">
        <v>998</v>
      </c>
      <c r="J1030" s="70" t="s">
        <v>998</v>
      </c>
      <c r="K1030" s="70" t="s">
        <v>998</v>
      </c>
      <c r="L1030" s="70" t="s">
        <v>998</v>
      </c>
      <c r="M1030" s="605" t="s">
        <v>998</v>
      </c>
      <c r="N1030" s="599" t="s">
        <v>998</v>
      </c>
      <c r="O1030" s="761" t="s">
        <v>998</v>
      </c>
      <c r="P1030" s="599" t="s">
        <v>3013</v>
      </c>
      <c r="Q1030" s="604" t="s">
        <v>998</v>
      </c>
      <c r="R1030" s="761" t="s">
        <v>998</v>
      </c>
      <c r="S1030" s="70" t="s">
        <v>998</v>
      </c>
      <c r="T1030" s="70" t="s">
        <v>998</v>
      </c>
      <c r="U1030" s="758" t="s">
        <v>998</v>
      </c>
      <c r="V1030" s="727"/>
      <c r="AC1030" s="579"/>
      <c r="AD1030" s="634" t="s">
        <v>1308</v>
      </c>
      <c r="AE1030" s="634" t="s">
        <v>1309</v>
      </c>
      <c r="AF1030" s="634" t="s">
        <v>1029</v>
      </c>
      <c r="AG1030" s="634" t="s">
        <v>1030</v>
      </c>
      <c r="AH1030" s="634" t="s">
        <v>284</v>
      </c>
      <c r="AI1030" s="634" t="s">
        <v>285</v>
      </c>
      <c r="AJ1030" s="634" t="s">
        <v>286</v>
      </c>
      <c r="AK1030" s="634" t="s">
        <v>287</v>
      </c>
      <c r="AL1030" s="634" t="s">
        <v>288</v>
      </c>
      <c r="AM1030" s="634" t="s">
        <v>289</v>
      </c>
      <c r="AN1030" s="634" t="s">
        <v>633</v>
      </c>
      <c r="AO1030" s="634" t="s">
        <v>634</v>
      </c>
      <c r="AP1030" s="634" t="s">
        <v>1192</v>
      </c>
      <c r="AQ1030" s="634" t="s">
        <v>524</v>
      </c>
      <c r="AR1030" s="634" t="s">
        <v>525</v>
      </c>
      <c r="AS1030" s="684" t="s">
        <v>2356</v>
      </c>
    </row>
    <row r="1031" spans="1:45" ht="15.75" customHeight="1" x14ac:dyDescent="0.3">
      <c r="A1031" s="592" t="s">
        <v>1353</v>
      </c>
      <c r="B1031" s="553" t="s">
        <v>1353</v>
      </c>
      <c r="C1031" s="70" t="s">
        <v>1353</v>
      </c>
      <c r="D1031" s="70" t="s">
        <v>1353</v>
      </c>
      <c r="E1031" s="70" t="s">
        <v>2202</v>
      </c>
      <c r="F1031" s="758" t="s">
        <v>1353</v>
      </c>
      <c r="G1031" s="553" t="s">
        <v>1353</v>
      </c>
      <c r="H1031" s="70" t="s">
        <v>2119</v>
      </c>
      <c r="I1031" s="70" t="s">
        <v>2119</v>
      </c>
      <c r="J1031" s="70" t="s">
        <v>1353</v>
      </c>
      <c r="K1031" s="70" t="s">
        <v>1353</v>
      </c>
      <c r="L1031" s="70" t="s">
        <v>1353</v>
      </c>
      <c r="M1031" s="605" t="s">
        <v>1353</v>
      </c>
      <c r="N1031" s="599" t="s">
        <v>1353</v>
      </c>
      <c r="O1031" s="761" t="s">
        <v>1353</v>
      </c>
      <c r="P1031" s="605" t="s">
        <v>1353</v>
      </c>
      <c r="Q1031" s="599" t="s">
        <v>1353</v>
      </c>
      <c r="R1031" s="761" t="s">
        <v>1353</v>
      </c>
      <c r="S1031" s="70" t="s">
        <v>1353</v>
      </c>
      <c r="T1031" s="70" t="s">
        <v>1353</v>
      </c>
      <c r="U1031" s="758" t="s">
        <v>1353</v>
      </c>
      <c r="V1031" s="727"/>
      <c r="AC1031" s="579"/>
      <c r="AD1031" s="67"/>
      <c r="AE1031" s="67"/>
      <c r="AF1031" s="67"/>
      <c r="AG1031" s="67"/>
      <c r="AH1031" s="70" t="s">
        <v>2910</v>
      </c>
      <c r="AI1031" s="67"/>
      <c r="AJ1031" s="67"/>
      <c r="AK1031" s="67"/>
      <c r="AL1031" s="67"/>
      <c r="AM1031" s="67"/>
      <c r="AN1031" s="67"/>
      <c r="AO1031" s="67"/>
      <c r="AP1031" s="67"/>
      <c r="AQ1031" s="67"/>
      <c r="AR1031" s="67"/>
      <c r="AS1031" s="636"/>
    </row>
    <row r="1032" spans="1:45" ht="15.75" customHeight="1" x14ac:dyDescent="0.3">
      <c r="A1032" s="139" t="s">
        <v>2843</v>
      </c>
      <c r="B1032" s="553">
        <f>ROUND(R1004-G1004,0)</f>
        <v>210052</v>
      </c>
      <c r="C1032" s="70">
        <f>+ROUND(B1032*$C$1029,0)</f>
        <v>0</v>
      </c>
      <c r="D1032" s="70">
        <f>AS1004</f>
        <v>8948</v>
      </c>
      <c r="E1032" s="70">
        <f>+B1032+C1032</f>
        <v>210052</v>
      </c>
      <c r="F1032" s="758">
        <f>(D1032+E1032)</f>
        <v>219000</v>
      </c>
      <c r="G1032" s="553">
        <f>ABS(G1004)</f>
        <v>0</v>
      </c>
      <c r="H1032" s="600">
        <v>9026</v>
      </c>
      <c r="I1032" s="600">
        <v>0</v>
      </c>
      <c r="J1032" s="70">
        <f>(H1032+I1032)</f>
        <v>9026</v>
      </c>
      <c r="K1032" s="600">
        <v>0</v>
      </c>
      <c r="L1032" s="600">
        <v>0</v>
      </c>
      <c r="M1032" s="606">
        <f>D1032+E1032-G1032-J1032-K1032-L1032</f>
        <v>209974</v>
      </c>
      <c r="N1032" s="607">
        <v>0</v>
      </c>
      <c r="O1032" s="761">
        <f>M1032+N1032</f>
        <v>209974</v>
      </c>
      <c r="P1032" s="710">
        <v>0.2</v>
      </c>
      <c r="Q1032" s="599">
        <f>-O1032*P1032</f>
        <v>-41994.8</v>
      </c>
      <c r="R1032" s="761">
        <f>O1032+Q1032</f>
        <v>167979.2</v>
      </c>
      <c r="S1032" s="628">
        <f t="shared" ref="S1032:S1043" si="379">(F1032-G1032-J1032-K1032-L1032-R1032)</f>
        <v>41994.799999999988</v>
      </c>
      <c r="T1032" s="70">
        <f>+IF(S1032&gt;=0,ABS(S1032),"")</f>
        <v>41994.799999999988</v>
      </c>
      <c r="U1032" s="758" t="str">
        <f>+IF(S1032&lt;=0,ABS(S1032),"")</f>
        <v/>
      </c>
      <c r="V1032" s="727"/>
      <c r="AC1032" s="642" t="s">
        <v>3041</v>
      </c>
      <c r="AD1032" s="687"/>
      <c r="AE1032" s="687"/>
      <c r="AF1032" s="687"/>
      <c r="AG1032" s="687"/>
      <c r="AH1032" s="687">
        <v>1.6E-2</v>
      </c>
      <c r="AI1032" s="687">
        <v>1.6E-2</v>
      </c>
      <c r="AJ1032" s="687">
        <v>1.6E-2</v>
      </c>
      <c r="AK1032" s="687">
        <v>1.6E-2</v>
      </c>
      <c r="AL1032" s="687">
        <v>1.6E-2</v>
      </c>
      <c r="AM1032" s="687">
        <v>1.6E-2</v>
      </c>
      <c r="AN1032" s="687">
        <v>1.6E-2</v>
      </c>
      <c r="AO1032" s="687">
        <v>1.6E-2</v>
      </c>
      <c r="AP1032" s="687">
        <v>1.6E-2</v>
      </c>
      <c r="AQ1032" s="687">
        <v>1.6E-2</v>
      </c>
      <c r="AR1032" s="687">
        <v>1.6E-2</v>
      </c>
      <c r="AS1032" s="592"/>
    </row>
    <row r="1033" spans="1:45" ht="15.75" customHeight="1" x14ac:dyDescent="0.3">
      <c r="A1033" s="139" t="s">
        <v>2091</v>
      </c>
      <c r="B1033" s="553">
        <f>ROUND(R1005-G1005,0)</f>
        <v>237928</v>
      </c>
      <c r="C1033" s="70">
        <f t="shared" ref="C1033:C1043" si="380">+ROUND(B1033*$C$1029,0)</f>
        <v>0</v>
      </c>
      <c r="D1033" s="70">
        <f t="shared" ref="D1033:D1043" si="381">AS1005</f>
        <v>10048</v>
      </c>
      <c r="E1033" s="70">
        <f t="shared" ref="E1033:E1045" si="382">+B1033+C1033</f>
        <v>237928</v>
      </c>
      <c r="F1033" s="758">
        <f t="shared" ref="F1033:F1043" si="383">(D1033+E1033)</f>
        <v>247976</v>
      </c>
      <c r="G1033" s="553">
        <f t="shared" ref="G1033:G1043" si="384">ABS(G1005)</f>
        <v>0</v>
      </c>
      <c r="H1033" s="600">
        <v>10267</v>
      </c>
      <c r="I1033" s="600">
        <v>0</v>
      </c>
      <c r="J1033" s="70">
        <f t="shared" ref="J1033:J1042" si="385">(H1033+I1033)</f>
        <v>10267</v>
      </c>
      <c r="K1033" s="600">
        <v>0</v>
      </c>
      <c r="L1033" s="600">
        <v>0</v>
      </c>
      <c r="M1033" s="606">
        <f t="shared" ref="M1033:M1043" si="386">D1033+E1033-G1033-J1033-K1033-L1033</f>
        <v>237709</v>
      </c>
      <c r="N1033" s="607">
        <v>0</v>
      </c>
      <c r="O1033" s="761">
        <f t="shared" ref="O1033:O1043" si="387">M1033+N1033</f>
        <v>237709</v>
      </c>
      <c r="P1033" s="710">
        <v>0.25</v>
      </c>
      <c r="Q1033" s="599">
        <f t="shared" ref="Q1033:Q1043" si="388">-O1033*P1033</f>
        <v>-59427.25</v>
      </c>
      <c r="R1033" s="761">
        <f t="shared" ref="R1033:R1043" si="389">O1033+Q1033</f>
        <v>178281.75</v>
      </c>
      <c r="S1033" s="628">
        <f t="shared" si="379"/>
        <v>59427.25</v>
      </c>
      <c r="T1033" s="70">
        <f t="shared" ref="T1033:T1043" si="390">+IF(S1033&gt;=0,ABS(S1033),"")</f>
        <v>59427.25</v>
      </c>
      <c r="U1033" s="758" t="str">
        <f t="shared" ref="U1033:U1043" si="391">+IF(S1033&lt;=0,ABS(S1033),"")</f>
        <v/>
      </c>
      <c r="V1033" s="727"/>
      <c r="AC1033" s="642" t="s">
        <v>2908</v>
      </c>
      <c r="AD1033" s="687"/>
      <c r="AE1033" s="687"/>
      <c r="AF1033" s="687"/>
      <c r="AG1033" s="687"/>
      <c r="AH1033" s="687"/>
      <c r="AI1033" s="687"/>
      <c r="AJ1033" s="687"/>
      <c r="AK1033" s="687"/>
      <c r="AL1033" s="687"/>
      <c r="AM1033" s="687"/>
      <c r="AN1033" s="687"/>
      <c r="AO1033" s="687"/>
      <c r="AP1033" s="687"/>
      <c r="AQ1033" s="687"/>
      <c r="AR1033" s="687"/>
      <c r="AS1033" s="592"/>
    </row>
    <row r="1034" spans="1:45" ht="15.75" customHeight="1" x14ac:dyDescent="0.3">
      <c r="A1034" s="139" t="s">
        <v>2234</v>
      </c>
      <c r="B1034" s="553">
        <f t="shared" ref="B1034:B1043" si="392">ROUND(R1006-G1006,0)</f>
        <v>256022</v>
      </c>
      <c r="C1034" s="70">
        <f t="shared" si="380"/>
        <v>0</v>
      </c>
      <c r="D1034" s="70">
        <f t="shared" si="381"/>
        <v>10988</v>
      </c>
      <c r="E1034" s="70">
        <f t="shared" si="382"/>
        <v>256022</v>
      </c>
      <c r="F1034" s="758">
        <f t="shared" si="383"/>
        <v>267010</v>
      </c>
      <c r="G1034" s="553">
        <f t="shared" si="384"/>
        <v>0</v>
      </c>
      <c r="H1034" s="600">
        <v>15833</v>
      </c>
      <c r="I1034" s="600">
        <v>0</v>
      </c>
      <c r="J1034" s="70">
        <f t="shared" si="385"/>
        <v>15833</v>
      </c>
      <c r="K1034" s="600">
        <v>0</v>
      </c>
      <c r="L1034" s="600">
        <v>0</v>
      </c>
      <c r="M1034" s="606">
        <f t="shared" si="386"/>
        <v>251177</v>
      </c>
      <c r="N1034" s="607">
        <v>0</v>
      </c>
      <c r="O1034" s="761">
        <f t="shared" si="387"/>
        <v>251177</v>
      </c>
      <c r="P1034" s="710">
        <v>0.3</v>
      </c>
      <c r="Q1034" s="599">
        <f t="shared" si="388"/>
        <v>-75353.099999999991</v>
      </c>
      <c r="R1034" s="761">
        <f t="shared" si="389"/>
        <v>175823.90000000002</v>
      </c>
      <c r="S1034" s="628">
        <f t="shared" si="379"/>
        <v>75353.099999999977</v>
      </c>
      <c r="T1034" s="70">
        <f t="shared" si="390"/>
        <v>75353.099999999977</v>
      </c>
      <c r="U1034" s="758" t="str">
        <f t="shared" si="391"/>
        <v/>
      </c>
      <c r="V1034" s="727"/>
      <c r="AC1034" s="642" t="s">
        <v>2909</v>
      </c>
      <c r="AD1034" s="687"/>
      <c r="AE1034" s="687"/>
      <c r="AF1034" s="687"/>
      <c r="AG1034" s="687"/>
      <c r="AH1034" s="687"/>
      <c r="AI1034" s="687"/>
      <c r="AJ1034" s="687"/>
      <c r="AK1034" s="687"/>
      <c r="AL1034" s="687"/>
      <c r="AM1034" s="687"/>
      <c r="AN1034" s="687"/>
      <c r="AO1034" s="687"/>
      <c r="AP1034" s="687"/>
      <c r="AQ1034" s="687"/>
      <c r="AR1034" s="687"/>
      <c r="AS1034" s="592"/>
    </row>
    <row r="1035" spans="1:45" ht="15.75" customHeight="1" x14ac:dyDescent="0.3">
      <c r="A1035" s="139" t="s">
        <v>2235</v>
      </c>
      <c r="B1035" s="553">
        <f t="shared" si="392"/>
        <v>259942</v>
      </c>
      <c r="C1035" s="70">
        <f t="shared" si="380"/>
        <v>0</v>
      </c>
      <c r="D1035" s="70">
        <f t="shared" si="381"/>
        <v>11337</v>
      </c>
      <c r="E1035" s="70">
        <f t="shared" si="382"/>
        <v>259942</v>
      </c>
      <c r="F1035" s="758">
        <f t="shared" si="383"/>
        <v>271279</v>
      </c>
      <c r="G1035" s="553">
        <f t="shared" si="384"/>
        <v>1556.4323501100207</v>
      </c>
      <c r="H1035" s="600">
        <v>15927</v>
      </c>
      <c r="I1035" s="600">
        <v>0</v>
      </c>
      <c r="J1035" s="70">
        <f t="shared" si="385"/>
        <v>15927</v>
      </c>
      <c r="K1035" s="600">
        <v>0</v>
      </c>
      <c r="L1035" s="600">
        <v>0</v>
      </c>
      <c r="M1035" s="606">
        <f t="shared" si="386"/>
        <v>253795.56764988997</v>
      </c>
      <c r="N1035" s="607">
        <v>-22320</v>
      </c>
      <c r="O1035" s="761">
        <f t="shared" si="387"/>
        <v>231475.56764988997</v>
      </c>
      <c r="P1035" s="710">
        <v>0.35</v>
      </c>
      <c r="Q1035" s="599">
        <f t="shared" si="388"/>
        <v>-81016.448677461478</v>
      </c>
      <c r="R1035" s="761">
        <f t="shared" si="389"/>
        <v>150459.11897242849</v>
      </c>
      <c r="S1035" s="628">
        <f t="shared" si="379"/>
        <v>103336.44867746148</v>
      </c>
      <c r="T1035" s="70">
        <f t="shared" si="390"/>
        <v>103336.44867746148</v>
      </c>
      <c r="U1035" s="758" t="str">
        <f t="shared" si="391"/>
        <v/>
      </c>
      <c r="V1035" s="727"/>
      <c r="AC1035" s="642" t="s">
        <v>2760</v>
      </c>
      <c r="AD1035" s="687"/>
      <c r="AE1035" s="687"/>
      <c r="AF1035" s="687"/>
      <c r="AG1035" s="687"/>
      <c r="AH1035" s="687"/>
      <c r="AI1035" s="687"/>
      <c r="AJ1035" s="687"/>
      <c r="AK1035" s="687"/>
      <c r="AL1035" s="687"/>
      <c r="AM1035" s="687"/>
      <c r="AN1035" s="687"/>
      <c r="AO1035" s="687"/>
      <c r="AP1035" s="687"/>
      <c r="AQ1035" s="687"/>
      <c r="AR1035" s="687"/>
      <c r="AS1035" s="592"/>
    </row>
    <row r="1036" spans="1:45" ht="15.75" customHeight="1" x14ac:dyDescent="0.3">
      <c r="A1036" s="139" t="s">
        <v>2236</v>
      </c>
      <c r="B1036" s="553">
        <f t="shared" si="392"/>
        <v>296628</v>
      </c>
      <c r="C1036" s="70">
        <f t="shared" si="380"/>
        <v>0</v>
      </c>
      <c r="D1036" s="70">
        <f t="shared" si="381"/>
        <v>13058</v>
      </c>
      <c r="E1036" s="70">
        <f t="shared" si="382"/>
        <v>296628</v>
      </c>
      <c r="F1036" s="758">
        <f t="shared" si="383"/>
        <v>309686</v>
      </c>
      <c r="G1036" s="553">
        <f t="shared" si="384"/>
        <v>0</v>
      </c>
      <c r="H1036" s="600">
        <v>14250</v>
      </c>
      <c r="I1036" s="600">
        <v>0</v>
      </c>
      <c r="J1036" s="70">
        <f t="shared" si="385"/>
        <v>14250</v>
      </c>
      <c r="K1036" s="600">
        <v>0</v>
      </c>
      <c r="L1036" s="600">
        <v>0</v>
      </c>
      <c r="M1036" s="606">
        <f t="shared" si="386"/>
        <v>295436</v>
      </c>
      <c r="N1036" s="607">
        <v>0</v>
      </c>
      <c r="O1036" s="761">
        <f t="shared" si="387"/>
        <v>295436</v>
      </c>
      <c r="P1036" s="710">
        <v>0.35</v>
      </c>
      <c r="Q1036" s="599">
        <f t="shared" si="388"/>
        <v>-103402.59999999999</v>
      </c>
      <c r="R1036" s="761">
        <f t="shared" si="389"/>
        <v>192033.40000000002</v>
      </c>
      <c r="S1036" s="628">
        <f t="shared" si="379"/>
        <v>103402.59999999998</v>
      </c>
      <c r="T1036" s="70">
        <f t="shared" si="390"/>
        <v>103402.59999999998</v>
      </c>
      <c r="U1036" s="758" t="str">
        <f t="shared" si="391"/>
        <v/>
      </c>
      <c r="V1036" s="727"/>
      <c r="AC1036" s="642" t="s">
        <v>1114</v>
      </c>
      <c r="AD1036" s="687"/>
      <c r="AE1036" s="687"/>
      <c r="AF1036" s="687"/>
      <c r="AG1036" s="687"/>
      <c r="AH1036" s="687"/>
      <c r="AI1036" s="687"/>
      <c r="AJ1036" s="687">
        <v>2.5000000000000001E-2</v>
      </c>
      <c r="AK1036" s="687">
        <v>2.5000000000000001E-2</v>
      </c>
      <c r="AL1036" s="687">
        <v>2.5000000000000001E-2</v>
      </c>
      <c r="AM1036" s="687">
        <v>2.5000000000000001E-2</v>
      </c>
      <c r="AN1036" s="687">
        <v>2.5000000000000001E-2</v>
      </c>
      <c r="AO1036" s="687">
        <v>2.5000000000000001E-2</v>
      </c>
      <c r="AP1036" s="687">
        <v>2.5000000000000001E-2</v>
      </c>
      <c r="AQ1036" s="687">
        <v>2.5000000000000001E-2</v>
      </c>
      <c r="AR1036" s="687">
        <v>2.5000000000000001E-2</v>
      </c>
      <c r="AS1036" s="592"/>
    </row>
    <row r="1037" spans="1:45" ht="15.75" customHeight="1" x14ac:dyDescent="0.3">
      <c r="A1037" s="139" t="s">
        <v>2237</v>
      </c>
      <c r="B1037" s="553">
        <f>ROUND(R1009-G1009,0)</f>
        <v>157600</v>
      </c>
      <c r="C1037" s="70">
        <f t="shared" si="380"/>
        <v>0</v>
      </c>
      <c r="D1037" s="70">
        <f t="shared" si="381"/>
        <v>6505</v>
      </c>
      <c r="E1037" s="70">
        <f t="shared" si="382"/>
        <v>157600</v>
      </c>
      <c r="F1037" s="758">
        <f t="shared" si="383"/>
        <v>164105</v>
      </c>
      <c r="G1037" s="553">
        <f t="shared" si="384"/>
        <v>15816.395767397118</v>
      </c>
      <c r="H1037" s="600">
        <v>12696</v>
      </c>
      <c r="I1037" s="600">
        <v>0</v>
      </c>
      <c r="J1037" s="70">
        <f t="shared" si="385"/>
        <v>12696</v>
      </c>
      <c r="K1037" s="600">
        <v>0</v>
      </c>
      <c r="L1037" s="600">
        <v>0</v>
      </c>
      <c r="M1037" s="606">
        <f t="shared" si="386"/>
        <v>135592.60423260287</v>
      </c>
      <c r="N1037" s="607">
        <v>47280</v>
      </c>
      <c r="O1037" s="761">
        <f t="shared" si="387"/>
        <v>182872.60423260287</v>
      </c>
      <c r="P1037" s="710">
        <v>7.4999999999999997E-2</v>
      </c>
      <c r="Q1037" s="599">
        <f t="shared" si="388"/>
        <v>-13715.445317445216</v>
      </c>
      <c r="R1037" s="761">
        <f t="shared" si="389"/>
        <v>169157.15891515766</v>
      </c>
      <c r="S1037" s="628">
        <f t="shared" si="379"/>
        <v>-33564.554682554794</v>
      </c>
      <c r="T1037" s="70" t="str">
        <f t="shared" si="390"/>
        <v/>
      </c>
      <c r="U1037" s="758">
        <f t="shared" si="391"/>
        <v>33564.554682554794</v>
      </c>
      <c r="V1037" s="727"/>
      <c r="AC1037" s="642" t="s">
        <v>2356</v>
      </c>
      <c r="AD1037" s="217">
        <f>SUM(AD1032:AD1036)</f>
        <v>0</v>
      </c>
      <c r="AE1037" s="217">
        <f t="shared" ref="AE1037:AR1037" si="393">SUM(AE1032:AE1036)</f>
        <v>0</v>
      </c>
      <c r="AF1037" s="217">
        <f t="shared" si="393"/>
        <v>0</v>
      </c>
      <c r="AG1037" s="217">
        <f t="shared" si="393"/>
        <v>0</v>
      </c>
      <c r="AH1037" s="217">
        <f t="shared" si="393"/>
        <v>1.6E-2</v>
      </c>
      <c r="AI1037" s="217">
        <f t="shared" si="393"/>
        <v>1.6E-2</v>
      </c>
      <c r="AJ1037" s="217">
        <f t="shared" si="393"/>
        <v>4.1000000000000002E-2</v>
      </c>
      <c r="AK1037" s="217">
        <f t="shared" si="393"/>
        <v>4.1000000000000002E-2</v>
      </c>
      <c r="AL1037" s="217">
        <f t="shared" si="393"/>
        <v>4.1000000000000002E-2</v>
      </c>
      <c r="AM1037" s="217">
        <f t="shared" si="393"/>
        <v>4.1000000000000002E-2</v>
      </c>
      <c r="AN1037" s="217">
        <f t="shared" si="393"/>
        <v>4.1000000000000002E-2</v>
      </c>
      <c r="AO1037" s="217">
        <f t="shared" si="393"/>
        <v>4.1000000000000002E-2</v>
      </c>
      <c r="AP1037" s="217">
        <f t="shared" si="393"/>
        <v>4.1000000000000002E-2</v>
      </c>
      <c r="AQ1037" s="217">
        <f t="shared" si="393"/>
        <v>4.1000000000000002E-2</v>
      </c>
      <c r="AR1037" s="217">
        <f t="shared" si="393"/>
        <v>4.1000000000000002E-2</v>
      </c>
      <c r="AS1037" s="592"/>
    </row>
    <row r="1038" spans="1:45" ht="15.75" customHeight="1" x14ac:dyDescent="0.3">
      <c r="A1038" s="139" t="s">
        <v>1504</v>
      </c>
      <c r="B1038" s="553">
        <f t="shared" si="392"/>
        <v>124946</v>
      </c>
      <c r="C1038" s="70">
        <f t="shared" si="380"/>
        <v>0</v>
      </c>
      <c r="D1038" s="70">
        <f t="shared" si="381"/>
        <v>4974</v>
      </c>
      <c r="E1038" s="70">
        <f t="shared" si="382"/>
        <v>124946</v>
      </c>
      <c r="F1038" s="758">
        <f t="shared" si="383"/>
        <v>129920</v>
      </c>
      <c r="G1038" s="553">
        <f t="shared" si="384"/>
        <v>14770.416820711065</v>
      </c>
      <c r="H1038" s="600">
        <v>11620</v>
      </c>
      <c r="I1038" s="600">
        <v>0</v>
      </c>
      <c r="J1038" s="70">
        <f t="shared" si="385"/>
        <v>11620</v>
      </c>
      <c r="K1038" s="600">
        <v>0</v>
      </c>
      <c r="L1038" s="600">
        <v>0</v>
      </c>
      <c r="M1038" s="606">
        <f t="shared" si="386"/>
        <v>103529.58317928894</v>
      </c>
      <c r="N1038" s="607">
        <v>47120</v>
      </c>
      <c r="O1038" s="761">
        <f t="shared" si="387"/>
        <v>150649.58317928895</v>
      </c>
      <c r="P1038" s="710">
        <v>0.05</v>
      </c>
      <c r="Q1038" s="599">
        <f t="shared" si="388"/>
        <v>-7532.4791589644483</v>
      </c>
      <c r="R1038" s="761">
        <f t="shared" si="389"/>
        <v>143117.10402032451</v>
      </c>
      <c r="S1038" s="628">
        <f t="shared" si="379"/>
        <v>-39587.52084103557</v>
      </c>
      <c r="T1038" s="70" t="str">
        <f t="shared" si="390"/>
        <v/>
      </c>
      <c r="U1038" s="758">
        <f t="shared" si="391"/>
        <v>39587.52084103557</v>
      </c>
      <c r="V1038" s="727"/>
      <c r="AC1038" s="553" t="s">
        <v>1353</v>
      </c>
      <c r="AD1038" s="70" t="s">
        <v>1353</v>
      </c>
      <c r="AE1038" s="70" t="s">
        <v>1353</v>
      </c>
      <c r="AF1038" s="70" t="s">
        <v>1353</v>
      </c>
      <c r="AG1038" s="70" t="s">
        <v>1353</v>
      </c>
      <c r="AH1038" s="70" t="s">
        <v>1353</v>
      </c>
      <c r="AI1038" s="70" t="s">
        <v>1353</v>
      </c>
      <c r="AJ1038" s="70" t="s">
        <v>1353</v>
      </c>
      <c r="AK1038" s="70" t="s">
        <v>1353</v>
      </c>
      <c r="AL1038" s="70" t="s">
        <v>1353</v>
      </c>
      <c r="AM1038" s="70" t="s">
        <v>1353</v>
      </c>
      <c r="AN1038" s="70" t="s">
        <v>1353</v>
      </c>
      <c r="AO1038" s="70" t="s">
        <v>1353</v>
      </c>
      <c r="AP1038" s="70" t="s">
        <v>1353</v>
      </c>
      <c r="AQ1038" s="70" t="s">
        <v>1353</v>
      </c>
      <c r="AR1038" s="70" t="s">
        <v>1353</v>
      </c>
      <c r="AS1038" s="592" t="s">
        <v>1353</v>
      </c>
    </row>
    <row r="1039" spans="1:45" ht="15.75" customHeight="1" x14ac:dyDescent="0.3">
      <c r="A1039" s="139" t="s">
        <v>1505</v>
      </c>
      <c r="B1039" s="553">
        <f t="shared" si="392"/>
        <v>119996</v>
      </c>
      <c r="C1039" s="70">
        <f t="shared" si="380"/>
        <v>0</v>
      </c>
      <c r="D1039" s="70">
        <f t="shared" si="381"/>
        <v>4841</v>
      </c>
      <c r="E1039" s="70">
        <f t="shared" si="382"/>
        <v>119996</v>
      </c>
      <c r="F1039" s="758">
        <f t="shared" si="383"/>
        <v>124837</v>
      </c>
      <c r="G1039" s="553">
        <f t="shared" si="384"/>
        <v>8094.1460558827948</v>
      </c>
      <c r="H1039" s="600">
        <v>10241</v>
      </c>
      <c r="I1039" s="600">
        <v>0</v>
      </c>
      <c r="J1039" s="70">
        <f t="shared" si="385"/>
        <v>10241</v>
      </c>
      <c r="K1039" s="600">
        <v>0</v>
      </c>
      <c r="L1039" s="600">
        <v>0</v>
      </c>
      <c r="M1039" s="606">
        <f t="shared" si="386"/>
        <v>106501.8539441172</v>
      </c>
      <c r="N1039" s="607">
        <v>58776</v>
      </c>
      <c r="O1039" s="761">
        <f t="shared" si="387"/>
        <v>165277.8539441172</v>
      </c>
      <c r="P1039" s="710">
        <v>0</v>
      </c>
      <c r="Q1039" s="599">
        <f t="shared" si="388"/>
        <v>0</v>
      </c>
      <c r="R1039" s="761">
        <f t="shared" si="389"/>
        <v>165277.8539441172</v>
      </c>
      <c r="S1039" s="628">
        <f t="shared" si="379"/>
        <v>-58776</v>
      </c>
      <c r="T1039" s="70" t="str">
        <f t="shared" si="390"/>
        <v/>
      </c>
      <c r="U1039" s="758">
        <f t="shared" si="391"/>
        <v>58776</v>
      </c>
      <c r="V1039" s="727"/>
      <c r="AC1039" s="642" t="s">
        <v>2843</v>
      </c>
      <c r="AD1039" s="67">
        <f>ROUND(B1004*$AD$1037, 0)</f>
        <v>0</v>
      </c>
      <c r="AE1039" s="67">
        <f>ROUND(C1004*$AE$1037,0)</f>
        <v>0</v>
      </c>
      <c r="AF1039" s="67">
        <f>ROUND(D1004*$AF$1037,0)</f>
        <v>0</v>
      </c>
      <c r="AG1039" s="67">
        <f>ROUND(E1004*$AG$1037,0)</f>
        <v>0</v>
      </c>
      <c r="AH1039" s="67">
        <f>ROUND(F1004*$AH$1037,0)</f>
        <v>179</v>
      </c>
      <c r="AI1039" s="67">
        <f>ROUND(H1004*$AI$1037,0)</f>
        <v>59</v>
      </c>
      <c r="AJ1039" s="67">
        <f>ROUND(I1004*$AJ$1037,0)</f>
        <v>105</v>
      </c>
      <c r="AK1039" s="67">
        <f>ROUND(J1004*$AK$1037,0)</f>
        <v>162</v>
      </c>
      <c r="AL1039" s="67">
        <f>ROUND(K1004*$AL$1037,0)</f>
        <v>167</v>
      </c>
      <c r="AM1039" s="67">
        <f>ROUND(L1004*$AM$1037,0)</f>
        <v>46</v>
      </c>
      <c r="AN1039" s="67">
        <f>ROUND(M1004*$AN$1037,0)</f>
        <v>54</v>
      </c>
      <c r="AO1039" s="67">
        <f>ROUND(N1004*$AO$1037,0)</f>
        <v>108</v>
      </c>
      <c r="AP1039" s="67">
        <f>ROUND(O1004*$AP$1037,0)</f>
        <v>34</v>
      </c>
      <c r="AQ1039" s="67">
        <f>ROUND(P1004*$AQ$1037,0)</f>
        <v>53</v>
      </c>
      <c r="AR1039" s="67">
        <f>ROUND(Q1004*$AR$1037,0)</f>
        <v>80</v>
      </c>
      <c r="AS1039" s="636">
        <f>SUM(AD1039:AR1039)</f>
        <v>1047</v>
      </c>
    </row>
    <row r="1040" spans="1:45" ht="15.75" customHeight="1" x14ac:dyDescent="0.3">
      <c r="A1040" s="139" t="s">
        <v>1506</v>
      </c>
      <c r="B1040" s="553">
        <f t="shared" si="392"/>
        <v>224788</v>
      </c>
      <c r="C1040" s="70">
        <f t="shared" si="380"/>
        <v>0</v>
      </c>
      <c r="D1040" s="70">
        <f t="shared" si="381"/>
        <v>9807</v>
      </c>
      <c r="E1040" s="70">
        <f t="shared" si="382"/>
        <v>224788</v>
      </c>
      <c r="F1040" s="758">
        <f t="shared" si="383"/>
        <v>234595</v>
      </c>
      <c r="G1040" s="553">
        <f t="shared" si="384"/>
        <v>0</v>
      </c>
      <c r="H1040" s="600">
        <v>10229</v>
      </c>
      <c r="I1040" s="600">
        <v>0</v>
      </c>
      <c r="J1040" s="70">
        <f t="shared" si="385"/>
        <v>10229</v>
      </c>
      <c r="K1040" s="600">
        <v>0</v>
      </c>
      <c r="L1040" s="600">
        <v>0</v>
      </c>
      <c r="M1040" s="606">
        <f t="shared" si="386"/>
        <v>224366</v>
      </c>
      <c r="N1040" s="607">
        <v>0</v>
      </c>
      <c r="O1040" s="761">
        <f t="shared" si="387"/>
        <v>224366</v>
      </c>
      <c r="P1040" s="710">
        <v>0.05</v>
      </c>
      <c r="Q1040" s="599">
        <f t="shared" si="388"/>
        <v>-11218.300000000001</v>
      </c>
      <c r="R1040" s="761">
        <f t="shared" si="389"/>
        <v>213147.7</v>
      </c>
      <c r="S1040" s="628">
        <f t="shared" si="379"/>
        <v>11218.299999999988</v>
      </c>
      <c r="T1040" s="70">
        <f t="shared" si="390"/>
        <v>11218.299999999988</v>
      </c>
      <c r="U1040" s="758" t="str">
        <f t="shared" si="391"/>
        <v/>
      </c>
      <c r="V1040" s="727"/>
      <c r="AC1040" s="642" t="s">
        <v>2091</v>
      </c>
      <c r="AD1040" s="67">
        <f t="shared" ref="AD1040:AD1050" si="394">ROUND(B1005*$AD$1037, 0)</f>
        <v>0</v>
      </c>
      <c r="AE1040" s="67">
        <f t="shared" ref="AE1040:AE1050" si="395">ROUND(C1005*$AE$1037,0)</f>
        <v>0</v>
      </c>
      <c r="AF1040" s="67">
        <f t="shared" ref="AF1040:AF1050" si="396">ROUND(D1005*$AF$1037,0)</f>
        <v>0</v>
      </c>
      <c r="AG1040" s="67">
        <f t="shared" ref="AG1040:AG1050" si="397">ROUND(E1005*$AG$1037,0)</f>
        <v>0</v>
      </c>
      <c r="AH1040" s="67">
        <f t="shared" ref="AH1040:AH1050" si="398">ROUND(F1005*$AH$1037,0)</f>
        <v>197</v>
      </c>
      <c r="AI1040" s="67">
        <f t="shared" ref="AI1040:AI1050" si="399">ROUND(H1005*$AI$1037,0)</f>
        <v>83</v>
      </c>
      <c r="AJ1040" s="67">
        <f t="shared" ref="AJ1040:AJ1050" si="400">ROUND(I1005*$AJ$1037,0)</f>
        <v>152</v>
      </c>
      <c r="AK1040" s="67">
        <f t="shared" ref="AK1040:AK1050" si="401">ROUND(J1005*$AK$1037,0)</f>
        <v>235</v>
      </c>
      <c r="AL1040" s="67">
        <f t="shared" ref="AL1040:AL1050" si="402">ROUND(K1005*$AL$1037,0)</f>
        <v>237</v>
      </c>
      <c r="AM1040" s="67">
        <f t="shared" ref="AM1040:AM1050" si="403">ROUND(L1005*$AM$1037,0)</f>
        <v>77</v>
      </c>
      <c r="AN1040" s="67">
        <f t="shared" ref="AN1040:AN1050" si="404">ROUND(M1005*$AN$1037,0)</f>
        <v>90</v>
      </c>
      <c r="AO1040" s="67">
        <f t="shared" ref="AO1040:AO1050" si="405">ROUND(N1005*$AO$1037,0)</f>
        <v>174</v>
      </c>
      <c r="AP1040" s="67">
        <f t="shared" ref="AP1040:AP1050" si="406">ROUND(O1005*$AP$1037,0)</f>
        <v>34</v>
      </c>
      <c r="AQ1040" s="67">
        <f t="shared" ref="AQ1040:AQ1050" si="407">ROUND(P1005*$AQ$1037,0)</f>
        <v>53</v>
      </c>
      <c r="AR1040" s="67">
        <f t="shared" ref="AR1040:AR1050" si="408">ROUND(Q1005*$AR$1037,0)</f>
        <v>80</v>
      </c>
      <c r="AS1040" s="636">
        <f t="shared" ref="AS1040:AS1050" si="409">SUM(AD1040:AR1040)</f>
        <v>1412</v>
      </c>
    </row>
    <row r="1041" spans="1:45" ht="15.75" customHeight="1" x14ac:dyDescent="0.3">
      <c r="A1041" s="139" t="s">
        <v>1507</v>
      </c>
      <c r="B1041" s="553">
        <f t="shared" si="392"/>
        <v>234327</v>
      </c>
      <c r="C1041" s="70">
        <f t="shared" si="380"/>
        <v>0</v>
      </c>
      <c r="D1041" s="70">
        <f t="shared" si="381"/>
        <v>10213</v>
      </c>
      <c r="E1041" s="70">
        <f t="shared" si="382"/>
        <v>234327</v>
      </c>
      <c r="F1041" s="758">
        <f t="shared" si="383"/>
        <v>244540</v>
      </c>
      <c r="G1041" s="553">
        <f t="shared" si="384"/>
        <v>0</v>
      </c>
      <c r="H1041" s="600">
        <v>10104</v>
      </c>
      <c r="I1041" s="600">
        <v>0</v>
      </c>
      <c r="J1041" s="70">
        <f t="shared" si="385"/>
        <v>10104</v>
      </c>
      <c r="K1041" s="600">
        <v>0</v>
      </c>
      <c r="L1041" s="600">
        <v>0</v>
      </c>
      <c r="M1041" s="606">
        <f t="shared" si="386"/>
        <v>234436</v>
      </c>
      <c r="N1041" s="607">
        <v>0</v>
      </c>
      <c r="O1041" s="761">
        <f t="shared" si="387"/>
        <v>234436</v>
      </c>
      <c r="P1041" s="710">
        <v>0.2</v>
      </c>
      <c r="Q1041" s="599">
        <f t="shared" si="388"/>
        <v>-46887.200000000004</v>
      </c>
      <c r="R1041" s="761">
        <f t="shared" si="389"/>
        <v>187548.79999999999</v>
      </c>
      <c r="S1041" s="628">
        <f t="shared" si="379"/>
        <v>46887.200000000012</v>
      </c>
      <c r="T1041" s="70">
        <f t="shared" si="390"/>
        <v>46887.200000000012</v>
      </c>
      <c r="U1041" s="758" t="str">
        <f t="shared" si="391"/>
        <v/>
      </c>
      <c r="V1041" s="727"/>
      <c r="AC1041" s="642" t="s">
        <v>2234</v>
      </c>
      <c r="AD1041" s="67">
        <f t="shared" si="394"/>
        <v>0</v>
      </c>
      <c r="AE1041" s="67">
        <f t="shared" si="395"/>
        <v>0</v>
      </c>
      <c r="AF1041" s="67">
        <f t="shared" si="396"/>
        <v>0</v>
      </c>
      <c r="AG1041" s="67">
        <f t="shared" si="397"/>
        <v>0</v>
      </c>
      <c r="AH1041" s="67">
        <f t="shared" si="398"/>
        <v>102</v>
      </c>
      <c r="AI1041" s="67">
        <f t="shared" si="399"/>
        <v>127</v>
      </c>
      <c r="AJ1041" s="67">
        <f t="shared" si="400"/>
        <v>229</v>
      </c>
      <c r="AK1041" s="67">
        <f t="shared" si="401"/>
        <v>321</v>
      </c>
      <c r="AL1041" s="67">
        <f t="shared" si="402"/>
        <v>306</v>
      </c>
      <c r="AM1041" s="67">
        <f t="shared" si="403"/>
        <v>93</v>
      </c>
      <c r="AN1041" s="67">
        <f t="shared" si="404"/>
        <v>110</v>
      </c>
      <c r="AO1041" s="67">
        <f t="shared" si="405"/>
        <v>219</v>
      </c>
      <c r="AP1041" s="67">
        <f t="shared" si="406"/>
        <v>39</v>
      </c>
      <c r="AQ1041" s="67">
        <f t="shared" si="407"/>
        <v>66</v>
      </c>
      <c r="AR1041" s="67">
        <f t="shared" si="408"/>
        <v>92</v>
      </c>
      <c r="AS1041" s="636">
        <f t="shared" si="409"/>
        <v>1704</v>
      </c>
    </row>
    <row r="1042" spans="1:45" ht="15.75" customHeight="1" x14ac:dyDescent="0.3">
      <c r="A1042" s="139" t="s">
        <v>1508</v>
      </c>
      <c r="B1042" s="553">
        <f t="shared" si="392"/>
        <v>220386</v>
      </c>
      <c r="C1042" s="70">
        <f t="shared" si="380"/>
        <v>0</v>
      </c>
      <c r="D1042" s="70">
        <f t="shared" si="381"/>
        <v>9515</v>
      </c>
      <c r="E1042" s="70">
        <f t="shared" si="382"/>
        <v>220386</v>
      </c>
      <c r="F1042" s="758">
        <f t="shared" si="383"/>
        <v>229901</v>
      </c>
      <c r="G1042" s="553">
        <f t="shared" si="384"/>
        <v>0</v>
      </c>
      <c r="H1042" s="600">
        <v>10826</v>
      </c>
      <c r="I1042" s="600">
        <v>0</v>
      </c>
      <c r="J1042" s="70">
        <f t="shared" si="385"/>
        <v>10826</v>
      </c>
      <c r="K1042" s="600">
        <v>0</v>
      </c>
      <c r="L1042" s="600">
        <v>0</v>
      </c>
      <c r="M1042" s="606">
        <f t="shared" si="386"/>
        <v>219075</v>
      </c>
      <c r="N1042" s="607">
        <v>0</v>
      </c>
      <c r="O1042" s="761">
        <f t="shared" si="387"/>
        <v>219075</v>
      </c>
      <c r="P1042" s="710">
        <v>0.2</v>
      </c>
      <c r="Q1042" s="599">
        <f t="shared" si="388"/>
        <v>-43815</v>
      </c>
      <c r="R1042" s="761">
        <f t="shared" si="389"/>
        <v>175260</v>
      </c>
      <c r="S1042" s="628">
        <f t="shared" si="379"/>
        <v>43815</v>
      </c>
      <c r="T1042" s="70">
        <f t="shared" si="390"/>
        <v>43815</v>
      </c>
      <c r="U1042" s="758" t="str">
        <f t="shared" si="391"/>
        <v/>
      </c>
      <c r="V1042" s="727"/>
      <c r="AC1042" s="642" t="s">
        <v>2235</v>
      </c>
      <c r="AD1042" s="67">
        <f t="shared" si="394"/>
        <v>0</v>
      </c>
      <c r="AE1042" s="67">
        <f t="shared" si="395"/>
        <v>0</v>
      </c>
      <c r="AF1042" s="67">
        <f t="shared" si="396"/>
        <v>0</v>
      </c>
      <c r="AG1042" s="67">
        <f t="shared" si="397"/>
        <v>0</v>
      </c>
      <c r="AH1042" s="67">
        <f t="shared" si="398"/>
        <v>0</v>
      </c>
      <c r="AI1042" s="67">
        <f t="shared" si="399"/>
        <v>176</v>
      </c>
      <c r="AJ1042" s="67">
        <f t="shared" si="400"/>
        <v>292</v>
      </c>
      <c r="AK1042" s="67">
        <f t="shared" si="401"/>
        <v>356</v>
      </c>
      <c r="AL1042" s="67">
        <f t="shared" si="402"/>
        <v>336</v>
      </c>
      <c r="AM1042" s="67">
        <f t="shared" si="403"/>
        <v>105</v>
      </c>
      <c r="AN1042" s="67">
        <f t="shared" si="404"/>
        <v>123</v>
      </c>
      <c r="AO1042" s="67">
        <f t="shared" si="405"/>
        <v>232</v>
      </c>
      <c r="AP1042" s="67">
        <f t="shared" si="406"/>
        <v>44</v>
      </c>
      <c r="AQ1042" s="67">
        <f t="shared" si="407"/>
        <v>80</v>
      </c>
      <c r="AR1042" s="67">
        <f t="shared" si="408"/>
        <v>104</v>
      </c>
      <c r="AS1042" s="636">
        <f t="shared" si="409"/>
        <v>1848</v>
      </c>
    </row>
    <row r="1043" spans="1:45" ht="15.75" customHeight="1" x14ac:dyDescent="0.3">
      <c r="A1043" s="139" t="s">
        <v>1509</v>
      </c>
      <c r="B1043" s="553">
        <f t="shared" si="392"/>
        <v>180814</v>
      </c>
      <c r="C1043" s="70">
        <f t="shared" si="380"/>
        <v>0</v>
      </c>
      <c r="D1043" s="70">
        <f t="shared" si="381"/>
        <v>7746</v>
      </c>
      <c r="E1043" s="70">
        <f t="shared" si="382"/>
        <v>180814</v>
      </c>
      <c r="F1043" s="758">
        <f t="shared" si="383"/>
        <v>188560</v>
      </c>
      <c r="G1043" s="553">
        <f t="shared" si="384"/>
        <v>0</v>
      </c>
      <c r="H1043" s="600">
        <v>6676</v>
      </c>
      <c r="I1043" s="600">
        <v>0</v>
      </c>
      <c r="J1043" s="70">
        <f>(H1043+I1043)</f>
        <v>6676</v>
      </c>
      <c r="K1043" s="600">
        <v>0</v>
      </c>
      <c r="L1043" s="600">
        <v>0</v>
      </c>
      <c r="M1043" s="606">
        <f t="shared" si="386"/>
        <v>181884</v>
      </c>
      <c r="N1043" s="607">
        <v>0</v>
      </c>
      <c r="O1043" s="761">
        <f t="shared" si="387"/>
        <v>181884</v>
      </c>
      <c r="P1043" s="710">
        <v>0.2</v>
      </c>
      <c r="Q1043" s="599">
        <f t="shared" si="388"/>
        <v>-36376.800000000003</v>
      </c>
      <c r="R1043" s="761">
        <f t="shared" si="389"/>
        <v>145507.20000000001</v>
      </c>
      <c r="S1043" s="628">
        <f t="shared" si="379"/>
        <v>36376.799999999988</v>
      </c>
      <c r="T1043" s="70">
        <f t="shared" si="390"/>
        <v>36376.799999999988</v>
      </c>
      <c r="U1043" s="758" t="str">
        <f t="shared" si="391"/>
        <v/>
      </c>
      <c r="V1043" s="727"/>
      <c r="AC1043" s="642" t="s">
        <v>2236</v>
      </c>
      <c r="AD1043" s="67">
        <f t="shared" si="394"/>
        <v>0</v>
      </c>
      <c r="AE1043" s="67">
        <f t="shared" si="395"/>
        <v>0</v>
      </c>
      <c r="AF1043" s="67">
        <f t="shared" si="396"/>
        <v>0</v>
      </c>
      <c r="AG1043" s="67">
        <f t="shared" si="397"/>
        <v>0</v>
      </c>
      <c r="AH1043" s="67">
        <f t="shared" si="398"/>
        <v>0</v>
      </c>
      <c r="AI1043" s="67">
        <f t="shared" si="399"/>
        <v>187</v>
      </c>
      <c r="AJ1043" s="67">
        <f t="shared" si="400"/>
        <v>264</v>
      </c>
      <c r="AK1043" s="67">
        <f t="shared" si="401"/>
        <v>347</v>
      </c>
      <c r="AL1043" s="67">
        <f t="shared" si="402"/>
        <v>330</v>
      </c>
      <c r="AM1043" s="67">
        <f t="shared" si="403"/>
        <v>106</v>
      </c>
      <c r="AN1043" s="67">
        <f t="shared" si="404"/>
        <v>125</v>
      </c>
      <c r="AO1043" s="67">
        <f t="shared" si="405"/>
        <v>239</v>
      </c>
      <c r="AP1043" s="67">
        <f t="shared" si="406"/>
        <v>43</v>
      </c>
      <c r="AQ1043" s="67">
        <f t="shared" si="407"/>
        <v>93</v>
      </c>
      <c r="AR1043" s="67">
        <f t="shared" si="408"/>
        <v>102</v>
      </c>
      <c r="AS1043" s="636">
        <f t="shared" si="409"/>
        <v>1836</v>
      </c>
    </row>
    <row r="1044" spans="1:45" ht="15.75" customHeight="1" x14ac:dyDescent="0.3">
      <c r="A1044" s="592" t="s">
        <v>2435</v>
      </c>
      <c r="B1044" s="553" t="s">
        <v>2435</v>
      </c>
      <c r="C1044" s="70"/>
      <c r="D1044" s="70"/>
      <c r="E1044" s="70" t="s">
        <v>852</v>
      </c>
      <c r="F1044" s="758"/>
      <c r="G1044" s="553"/>
      <c r="H1044" s="70"/>
      <c r="I1044" s="70" t="s">
        <v>852</v>
      </c>
      <c r="J1044" s="70" t="s">
        <v>852</v>
      </c>
      <c r="K1044" s="601"/>
      <c r="L1044" s="70"/>
      <c r="M1044" s="606"/>
      <c r="N1044" s="607"/>
      <c r="O1044" s="761"/>
      <c r="P1044" s="710"/>
      <c r="Q1044" s="607"/>
      <c r="R1044" s="761"/>
      <c r="S1044" s="628"/>
      <c r="T1044" s="70"/>
      <c r="U1044" s="758"/>
      <c r="V1044" s="727"/>
      <c r="AC1044" s="642" t="s">
        <v>2237</v>
      </c>
      <c r="AD1044" s="67">
        <f t="shared" si="394"/>
        <v>0</v>
      </c>
      <c r="AE1044" s="67">
        <f t="shared" si="395"/>
        <v>0</v>
      </c>
      <c r="AF1044" s="67">
        <f t="shared" si="396"/>
        <v>0</v>
      </c>
      <c r="AG1044" s="67">
        <f t="shared" si="397"/>
        <v>0</v>
      </c>
      <c r="AH1044" s="67">
        <f t="shared" si="398"/>
        <v>0</v>
      </c>
      <c r="AI1044" s="67">
        <f t="shared" si="399"/>
        <v>219</v>
      </c>
      <c r="AJ1044" s="67">
        <f t="shared" si="400"/>
        <v>334</v>
      </c>
      <c r="AK1044" s="67">
        <f t="shared" si="401"/>
        <v>336</v>
      </c>
      <c r="AL1044" s="67">
        <f t="shared" si="402"/>
        <v>287</v>
      </c>
      <c r="AM1044" s="67">
        <f t="shared" si="403"/>
        <v>94</v>
      </c>
      <c r="AN1044" s="67">
        <f t="shared" si="404"/>
        <v>111</v>
      </c>
      <c r="AO1044" s="67">
        <f t="shared" si="405"/>
        <v>215</v>
      </c>
      <c r="AP1044" s="67">
        <f t="shared" si="406"/>
        <v>43</v>
      </c>
      <c r="AQ1044" s="67">
        <f t="shared" si="407"/>
        <v>95</v>
      </c>
      <c r="AR1044" s="67">
        <f t="shared" si="408"/>
        <v>101</v>
      </c>
      <c r="AS1044" s="636">
        <f t="shared" si="409"/>
        <v>1835</v>
      </c>
    </row>
    <row r="1045" spans="1:45" ht="16.5" customHeight="1" thickBot="1" x14ac:dyDescent="0.35">
      <c r="A1045" s="596" t="s">
        <v>2356</v>
      </c>
      <c r="B1045" s="558">
        <f>SUM(B1032:B1043)</f>
        <v>2523429</v>
      </c>
      <c r="C1045" s="564">
        <f>+SUM(C1032:C1043)</f>
        <v>0</v>
      </c>
      <c r="D1045" s="564">
        <f>SUM(D1032:D1043)</f>
        <v>107980</v>
      </c>
      <c r="E1045" s="564">
        <f t="shared" si="382"/>
        <v>2523429</v>
      </c>
      <c r="F1045" s="602">
        <f>SUM(F1032:F1043)</f>
        <v>2631409</v>
      </c>
      <c r="G1045" s="558">
        <f>SUM(G1032:G1043)</f>
        <v>40237.390994100999</v>
      </c>
      <c r="H1045" s="564">
        <f>SUM(H1032:H1043)</f>
        <v>137695</v>
      </c>
      <c r="I1045" s="564">
        <f>SUM(I1032:I1043)</f>
        <v>0</v>
      </c>
      <c r="J1045" s="564">
        <f>(H1045+I1045)</f>
        <v>137695</v>
      </c>
      <c r="K1045" s="564">
        <f>SUM(K1032:K1043)</f>
        <v>0</v>
      </c>
      <c r="L1045" s="564">
        <f>SUM(L1032:L1043)</f>
        <v>0</v>
      </c>
      <c r="M1045" s="608">
        <f>SUM(M1032:M1043)</f>
        <v>2453476.6090058992</v>
      </c>
      <c r="N1045" s="609">
        <f>SUM(N1032:N1043)</f>
        <v>130856</v>
      </c>
      <c r="O1045" s="631">
        <f>+M1045+N1045</f>
        <v>2584332.6090058992</v>
      </c>
      <c r="P1045" s="711">
        <f>Q1045/O1045</f>
        <v>-0.20149860793428639</v>
      </c>
      <c r="Q1045" s="616">
        <f>SUM(Q1032:Q1043)</f>
        <v>-520739.42315387115</v>
      </c>
      <c r="R1045" s="631">
        <f>SUM(R1032:R1043)</f>
        <v>2063593.1858520277</v>
      </c>
      <c r="S1045" s="629">
        <f>(F1045-G1045-J1045-K1045-L1045-R1045)</f>
        <v>389883.42315387144</v>
      </c>
      <c r="T1045" s="564">
        <f>+SUM(T1032:T1043)</f>
        <v>521811.49867746141</v>
      </c>
      <c r="U1045" s="602">
        <f>+SUM(U1032:U1043)</f>
        <v>131928.07552359038</v>
      </c>
      <c r="V1045" s="727"/>
      <c r="AC1045" s="642" t="s">
        <v>1504</v>
      </c>
      <c r="AD1045" s="67">
        <f t="shared" si="394"/>
        <v>0</v>
      </c>
      <c r="AE1045" s="67">
        <f t="shared" si="395"/>
        <v>0</v>
      </c>
      <c r="AF1045" s="67">
        <f t="shared" si="396"/>
        <v>0</v>
      </c>
      <c r="AG1045" s="67">
        <f t="shared" si="397"/>
        <v>0</v>
      </c>
      <c r="AH1045" s="67">
        <f t="shared" si="398"/>
        <v>0</v>
      </c>
      <c r="AI1045" s="67">
        <f t="shared" si="399"/>
        <v>208</v>
      </c>
      <c r="AJ1045" s="67">
        <f t="shared" si="400"/>
        <v>359</v>
      </c>
      <c r="AK1045" s="67">
        <f t="shared" si="401"/>
        <v>345</v>
      </c>
      <c r="AL1045" s="67">
        <f t="shared" si="402"/>
        <v>290</v>
      </c>
      <c r="AM1045" s="67">
        <f t="shared" si="403"/>
        <v>89</v>
      </c>
      <c r="AN1045" s="67">
        <f t="shared" si="404"/>
        <v>104</v>
      </c>
      <c r="AO1045" s="67">
        <f t="shared" si="405"/>
        <v>210</v>
      </c>
      <c r="AP1045" s="67">
        <f t="shared" si="406"/>
        <v>44</v>
      </c>
      <c r="AQ1045" s="67">
        <f t="shared" si="407"/>
        <v>86</v>
      </c>
      <c r="AR1045" s="67">
        <f t="shared" si="408"/>
        <v>103</v>
      </c>
      <c r="AS1045" s="636">
        <f t="shared" si="409"/>
        <v>1838</v>
      </c>
    </row>
    <row r="1046" spans="1:45" ht="15.75" customHeight="1" x14ac:dyDescent="0.3">
      <c r="A1046" s="579"/>
      <c r="B1046" s="67"/>
      <c r="C1046" s="67"/>
      <c r="D1046" s="67"/>
      <c r="E1046" s="67"/>
      <c r="F1046" s="67" t="s">
        <v>2435</v>
      </c>
      <c r="G1046" s="67"/>
      <c r="H1046" s="67"/>
      <c r="I1046" s="67"/>
      <c r="K1046" s="67"/>
      <c r="L1046" s="67"/>
      <c r="M1046" s="219"/>
      <c r="O1046" s="703"/>
      <c r="P1046" s="701"/>
      <c r="V1046" s="727"/>
      <c r="AC1046" s="642" t="s">
        <v>1505</v>
      </c>
      <c r="AD1046" s="67">
        <f t="shared" si="394"/>
        <v>0</v>
      </c>
      <c r="AE1046" s="67">
        <f t="shared" si="395"/>
        <v>0</v>
      </c>
      <c r="AF1046" s="67">
        <f t="shared" si="396"/>
        <v>0</v>
      </c>
      <c r="AG1046" s="67">
        <f t="shared" si="397"/>
        <v>0</v>
      </c>
      <c r="AH1046" s="67">
        <f t="shared" si="398"/>
        <v>0</v>
      </c>
      <c r="AI1046" s="67">
        <f t="shared" si="399"/>
        <v>158</v>
      </c>
      <c r="AJ1046" s="67">
        <f t="shared" si="400"/>
        <v>285</v>
      </c>
      <c r="AK1046" s="67">
        <f t="shared" si="401"/>
        <v>324</v>
      </c>
      <c r="AL1046" s="67">
        <f t="shared" si="402"/>
        <v>287</v>
      </c>
      <c r="AM1046" s="67">
        <f t="shared" si="403"/>
        <v>88</v>
      </c>
      <c r="AN1046" s="67">
        <f t="shared" si="404"/>
        <v>104</v>
      </c>
      <c r="AO1046" s="67">
        <f t="shared" si="405"/>
        <v>208</v>
      </c>
      <c r="AP1046" s="67">
        <f t="shared" si="406"/>
        <v>44</v>
      </c>
      <c r="AQ1046" s="67">
        <f t="shared" si="407"/>
        <v>80</v>
      </c>
      <c r="AR1046" s="67">
        <f t="shared" si="408"/>
        <v>104</v>
      </c>
      <c r="AS1046" s="636">
        <f t="shared" si="409"/>
        <v>1682</v>
      </c>
    </row>
    <row r="1047" spans="1:45" ht="15.75" customHeight="1" x14ac:dyDescent="0.3">
      <c r="A1047" s="551" t="s">
        <v>2640</v>
      </c>
      <c r="P1047" s="67"/>
      <c r="Q1047" s="67"/>
      <c r="R1047" s="67"/>
      <c r="V1047" s="727"/>
      <c r="AC1047" s="642" t="s">
        <v>1506</v>
      </c>
      <c r="AD1047" s="67">
        <f t="shared" si="394"/>
        <v>0</v>
      </c>
      <c r="AE1047" s="67">
        <f t="shared" si="395"/>
        <v>0</v>
      </c>
      <c r="AF1047" s="67">
        <f t="shared" si="396"/>
        <v>0</v>
      </c>
      <c r="AG1047" s="67">
        <f t="shared" si="397"/>
        <v>0</v>
      </c>
      <c r="AH1047" s="67">
        <f t="shared" si="398"/>
        <v>43</v>
      </c>
      <c r="AI1047" s="67">
        <f t="shared" si="399"/>
        <v>109</v>
      </c>
      <c r="AJ1047" s="67">
        <f t="shared" si="400"/>
        <v>174</v>
      </c>
      <c r="AK1047" s="67">
        <f t="shared" si="401"/>
        <v>258</v>
      </c>
      <c r="AL1047" s="67">
        <f t="shared" si="402"/>
        <v>250</v>
      </c>
      <c r="AM1047" s="67">
        <f t="shared" si="403"/>
        <v>82</v>
      </c>
      <c r="AN1047" s="67">
        <f t="shared" si="404"/>
        <v>97</v>
      </c>
      <c r="AO1047" s="67">
        <f t="shared" si="405"/>
        <v>194</v>
      </c>
      <c r="AP1047" s="67">
        <f t="shared" si="406"/>
        <v>35</v>
      </c>
      <c r="AQ1047" s="67">
        <f t="shared" si="407"/>
        <v>73</v>
      </c>
      <c r="AR1047" s="67">
        <f t="shared" si="408"/>
        <v>84</v>
      </c>
      <c r="AS1047" s="636">
        <f t="shared" si="409"/>
        <v>1399</v>
      </c>
    </row>
    <row r="1048" spans="1:45" ht="15.75" customHeight="1" x14ac:dyDescent="0.3">
      <c r="A1048" s="551" t="s">
        <v>1660</v>
      </c>
      <c r="D1048" s="67"/>
      <c r="E1048" s="67"/>
      <c r="F1048" s="67"/>
      <c r="G1048" s="67"/>
      <c r="H1048" s="67"/>
      <c r="I1048" s="67"/>
      <c r="J1048" s="67"/>
      <c r="K1048" s="67"/>
      <c r="L1048" s="67"/>
      <c r="M1048" s="67"/>
      <c r="N1048" s="67"/>
      <c r="O1048" s="67"/>
      <c r="P1048" s="67"/>
      <c r="Q1048" s="67"/>
      <c r="R1048" s="67"/>
      <c r="V1048" s="727"/>
      <c r="AC1048" s="642" t="s">
        <v>1507</v>
      </c>
      <c r="AD1048" s="67">
        <f t="shared" si="394"/>
        <v>0</v>
      </c>
      <c r="AE1048" s="67">
        <f t="shared" si="395"/>
        <v>0</v>
      </c>
      <c r="AF1048" s="67">
        <f t="shared" si="396"/>
        <v>0</v>
      </c>
      <c r="AG1048" s="67">
        <f t="shared" si="397"/>
        <v>0</v>
      </c>
      <c r="AH1048" s="67">
        <f t="shared" si="398"/>
        <v>163</v>
      </c>
      <c r="AI1048" s="67">
        <f t="shared" si="399"/>
        <v>75</v>
      </c>
      <c r="AJ1048" s="67">
        <f t="shared" si="400"/>
        <v>77</v>
      </c>
      <c r="AK1048" s="67">
        <f t="shared" si="401"/>
        <v>114</v>
      </c>
      <c r="AL1048" s="67">
        <f t="shared" si="402"/>
        <v>108</v>
      </c>
      <c r="AM1048" s="67">
        <f t="shared" si="403"/>
        <v>35</v>
      </c>
      <c r="AN1048" s="67">
        <f t="shared" si="404"/>
        <v>41</v>
      </c>
      <c r="AO1048" s="67">
        <f t="shared" si="405"/>
        <v>77</v>
      </c>
      <c r="AP1048" s="67">
        <f t="shared" si="406"/>
        <v>18</v>
      </c>
      <c r="AQ1048" s="67">
        <f t="shared" si="407"/>
        <v>66</v>
      </c>
      <c r="AR1048" s="67">
        <f t="shared" si="408"/>
        <v>43</v>
      </c>
      <c r="AS1048" s="636">
        <f t="shared" si="409"/>
        <v>817</v>
      </c>
    </row>
    <row r="1049" spans="1:45" ht="15.75" customHeight="1" x14ac:dyDescent="0.3">
      <c r="A1049" s="551" t="s">
        <v>2853</v>
      </c>
      <c r="D1049" s="67"/>
      <c r="E1049" s="67"/>
      <c r="F1049" s="67"/>
      <c r="G1049" s="67"/>
      <c r="H1049" s="67"/>
      <c r="I1049" s="67"/>
      <c r="J1049" s="67"/>
      <c r="K1049" s="67"/>
      <c r="L1049" s="67"/>
      <c r="M1049" s="67"/>
      <c r="N1049" s="67"/>
      <c r="O1049" s="67"/>
      <c r="P1049" s="67"/>
      <c r="Q1049" s="67"/>
      <c r="R1049" s="67"/>
      <c r="V1049" s="727"/>
      <c r="AC1049" s="642" t="s">
        <v>1508</v>
      </c>
      <c r="AD1049" s="67">
        <f t="shared" si="394"/>
        <v>0</v>
      </c>
      <c r="AE1049" s="67">
        <f t="shared" si="395"/>
        <v>0</v>
      </c>
      <c r="AF1049" s="67">
        <f t="shared" si="396"/>
        <v>0</v>
      </c>
      <c r="AG1049" s="67">
        <f t="shared" si="397"/>
        <v>0</v>
      </c>
      <c r="AH1049" s="67">
        <f t="shared" si="398"/>
        <v>242</v>
      </c>
      <c r="AI1049" s="67">
        <f t="shared" si="399"/>
        <v>38</v>
      </c>
      <c r="AJ1049" s="67">
        <f t="shared" si="400"/>
        <v>25</v>
      </c>
      <c r="AK1049" s="67">
        <f t="shared" si="401"/>
        <v>31</v>
      </c>
      <c r="AL1049" s="67">
        <f t="shared" si="402"/>
        <v>31</v>
      </c>
      <c r="AM1049" s="67">
        <f t="shared" si="403"/>
        <v>8</v>
      </c>
      <c r="AN1049" s="67">
        <f t="shared" si="404"/>
        <v>10</v>
      </c>
      <c r="AO1049" s="67">
        <f t="shared" si="405"/>
        <v>18</v>
      </c>
      <c r="AP1049" s="67">
        <f t="shared" si="406"/>
        <v>12</v>
      </c>
      <c r="AQ1049" s="67">
        <f t="shared" si="407"/>
        <v>60</v>
      </c>
      <c r="AR1049" s="67">
        <f t="shared" si="408"/>
        <v>29</v>
      </c>
      <c r="AS1049" s="636">
        <f t="shared" si="409"/>
        <v>504</v>
      </c>
    </row>
    <row r="1050" spans="1:45" ht="15.75" customHeight="1" thickBot="1" x14ac:dyDescent="0.35">
      <c r="A1050" s="554" t="s">
        <v>2626</v>
      </c>
      <c r="B1050" s="581"/>
      <c r="C1050" s="581"/>
      <c r="D1050" s="555"/>
      <c r="E1050" s="555"/>
      <c r="F1050" s="555"/>
      <c r="G1050" s="555"/>
      <c r="H1050" s="555"/>
      <c r="I1050" s="555"/>
      <c r="J1050" s="555"/>
      <c r="K1050" s="555"/>
      <c r="L1050" s="555"/>
      <c r="M1050" s="555"/>
      <c r="N1050" s="555"/>
      <c r="O1050" s="555"/>
      <c r="P1050" s="555"/>
      <c r="Q1050" s="555"/>
      <c r="R1050" s="555"/>
      <c r="S1050" s="581"/>
      <c r="T1050" s="581"/>
      <c r="U1050" s="581"/>
      <c r="V1050" s="565"/>
      <c r="AC1050" s="642" t="s">
        <v>1509</v>
      </c>
      <c r="AD1050" s="67">
        <f t="shared" si="394"/>
        <v>0</v>
      </c>
      <c r="AE1050" s="67">
        <f t="shared" si="395"/>
        <v>0</v>
      </c>
      <c r="AF1050" s="67">
        <f t="shared" si="396"/>
        <v>0</v>
      </c>
      <c r="AG1050" s="67">
        <f t="shared" si="397"/>
        <v>0</v>
      </c>
      <c r="AH1050" s="67">
        <f t="shared" si="398"/>
        <v>154</v>
      </c>
      <c r="AI1050" s="67">
        <f t="shared" si="399"/>
        <v>49</v>
      </c>
      <c r="AJ1050" s="67">
        <f t="shared" si="400"/>
        <v>73</v>
      </c>
      <c r="AK1050" s="67">
        <f t="shared" si="401"/>
        <v>107</v>
      </c>
      <c r="AL1050" s="67">
        <f t="shared" si="402"/>
        <v>105</v>
      </c>
      <c r="AM1050" s="67">
        <f t="shared" si="403"/>
        <v>39</v>
      </c>
      <c r="AN1050" s="67">
        <f t="shared" si="404"/>
        <v>46</v>
      </c>
      <c r="AO1050" s="67">
        <f t="shared" si="405"/>
        <v>92</v>
      </c>
      <c r="AP1050" s="67">
        <f t="shared" si="406"/>
        <v>24</v>
      </c>
      <c r="AQ1050" s="67">
        <f t="shared" si="407"/>
        <v>53</v>
      </c>
      <c r="AR1050" s="67">
        <f t="shared" si="408"/>
        <v>57</v>
      </c>
      <c r="AS1050" s="636">
        <f t="shared" si="409"/>
        <v>799</v>
      </c>
    </row>
    <row r="1051" spans="1:45" ht="15.75" customHeight="1" thickBot="1" x14ac:dyDescent="0.35">
      <c r="A1051" s="551"/>
      <c r="D1051" s="67"/>
      <c r="E1051" s="67"/>
      <c r="F1051" s="67"/>
      <c r="G1051" s="67"/>
      <c r="H1051" s="67"/>
      <c r="I1051" s="67"/>
      <c r="J1051" s="67"/>
      <c r="K1051" s="67"/>
      <c r="L1051" s="67"/>
      <c r="M1051" s="67"/>
      <c r="N1051" s="67"/>
      <c r="O1051" s="67"/>
      <c r="P1051" s="67"/>
      <c r="Q1051" s="67"/>
      <c r="R1051" s="67"/>
      <c r="S1051" s="703"/>
      <c r="V1051" s="705"/>
      <c r="AC1051" s="579"/>
      <c r="AD1051" s="67"/>
      <c r="AE1051" s="67"/>
      <c r="AF1051" s="67"/>
      <c r="AG1051" s="67"/>
      <c r="AH1051" s="67"/>
      <c r="AI1051" s="67"/>
      <c r="AJ1051" s="67"/>
      <c r="AK1051" s="67"/>
      <c r="AL1051" s="67"/>
      <c r="AM1051" s="67"/>
      <c r="AN1051" s="67"/>
      <c r="AO1051" s="67"/>
      <c r="AP1051" s="67"/>
      <c r="AQ1051" s="67"/>
      <c r="AR1051" s="67"/>
      <c r="AS1051" s="636"/>
    </row>
    <row r="1052" spans="1:45" ht="15.75" customHeight="1" thickBot="1" x14ac:dyDescent="0.35">
      <c r="A1052" s="139"/>
      <c r="B1052" s="806" t="s">
        <v>2689</v>
      </c>
      <c r="C1052" s="807"/>
      <c r="D1052" s="807"/>
      <c r="E1052" s="807"/>
      <c r="F1052" s="807"/>
      <c r="G1052" s="807"/>
      <c r="H1052" s="807"/>
      <c r="I1052" s="807"/>
      <c r="J1052" s="807"/>
      <c r="K1052" s="807"/>
      <c r="L1052" s="807"/>
      <c r="M1052" s="807"/>
      <c r="N1052" s="807"/>
      <c r="O1052" s="807"/>
      <c r="P1052" s="807"/>
      <c r="Q1052" s="701"/>
      <c r="R1052" s="701"/>
      <c r="S1052" s="705"/>
      <c r="T1052" s="703"/>
      <c r="U1052" s="703"/>
      <c r="V1052" s="702"/>
      <c r="AC1052" s="644" t="s">
        <v>2356</v>
      </c>
      <c r="AD1052" s="555">
        <f>SUM(AD1039:AD1050)</f>
        <v>0</v>
      </c>
      <c r="AE1052" s="555">
        <f t="shared" ref="AE1052:AS1052" si="410">SUM(AE1039:AE1050)</f>
        <v>0</v>
      </c>
      <c r="AF1052" s="555">
        <f t="shared" si="410"/>
        <v>0</v>
      </c>
      <c r="AG1052" s="555">
        <f t="shared" si="410"/>
        <v>0</v>
      </c>
      <c r="AH1052" s="555">
        <f t="shared" si="410"/>
        <v>1080</v>
      </c>
      <c r="AI1052" s="555">
        <f t="shared" si="410"/>
        <v>1488</v>
      </c>
      <c r="AJ1052" s="555">
        <f t="shared" si="410"/>
        <v>2369</v>
      </c>
      <c r="AK1052" s="555">
        <f t="shared" si="410"/>
        <v>2936</v>
      </c>
      <c r="AL1052" s="555">
        <f t="shared" si="410"/>
        <v>2734</v>
      </c>
      <c r="AM1052" s="555">
        <f t="shared" si="410"/>
        <v>862</v>
      </c>
      <c r="AN1052" s="555">
        <f t="shared" si="410"/>
        <v>1015</v>
      </c>
      <c r="AO1052" s="555">
        <f t="shared" si="410"/>
        <v>1986</v>
      </c>
      <c r="AP1052" s="555">
        <f t="shared" si="410"/>
        <v>414</v>
      </c>
      <c r="AQ1052" s="555">
        <f t="shared" si="410"/>
        <v>858</v>
      </c>
      <c r="AR1052" s="555">
        <f t="shared" si="410"/>
        <v>979</v>
      </c>
      <c r="AS1052" s="637">
        <f t="shared" si="410"/>
        <v>16721</v>
      </c>
    </row>
    <row r="1053" spans="1:45" ht="15.75" customHeight="1" thickBot="1" x14ac:dyDescent="0.35">
      <c r="A1053" s="139"/>
      <c r="B1053" s="795" t="s">
        <v>2633</v>
      </c>
      <c r="C1053" s="796"/>
      <c r="D1053" s="796"/>
      <c r="E1053" s="796"/>
      <c r="F1053" s="797"/>
      <c r="G1053" s="795" t="s">
        <v>2674</v>
      </c>
      <c r="H1053" s="796"/>
      <c r="I1053" s="796"/>
      <c r="J1053" s="796"/>
      <c r="K1053" s="796"/>
      <c r="L1053" s="796"/>
      <c r="M1053" s="798" t="s">
        <v>2677</v>
      </c>
      <c r="N1053" s="811"/>
      <c r="O1053" s="811"/>
      <c r="P1053" s="799"/>
      <c r="Q1053" s="799"/>
      <c r="R1053" s="800"/>
      <c r="S1053" s="795" t="s">
        <v>2682</v>
      </c>
      <c r="T1053" s="801"/>
      <c r="U1053" s="802"/>
      <c r="V1053" s="727"/>
    </row>
    <row r="1054" spans="1:45" ht="15.75" customHeight="1" x14ac:dyDescent="0.3">
      <c r="A1054" s="592"/>
      <c r="B1054" s="553" t="s">
        <v>2439</v>
      </c>
      <c r="C1054" s="70"/>
      <c r="D1054" s="70" t="s">
        <v>336</v>
      </c>
      <c r="E1054" s="70" t="s">
        <v>596</v>
      </c>
      <c r="F1054" s="758" t="s">
        <v>2652</v>
      </c>
      <c r="G1054" s="553" t="s">
        <v>228</v>
      </c>
      <c r="H1054" s="70"/>
      <c r="I1054" s="70"/>
      <c r="J1054" s="70" t="s">
        <v>229</v>
      </c>
      <c r="K1054" s="70" t="s">
        <v>2638</v>
      </c>
      <c r="L1054" s="70" t="s">
        <v>2639</v>
      </c>
      <c r="M1054" s="808" t="str">
        <f>+M1027</f>
        <v>(NE)* per WAPA</v>
      </c>
      <c r="N1054" s="809"/>
      <c r="O1054" s="809"/>
      <c r="P1054" s="715"/>
      <c r="Q1054" s="599"/>
      <c r="R1054" s="761"/>
      <c r="S1054" s="553" t="s">
        <v>2683</v>
      </c>
      <c r="T1054" s="610" t="s">
        <v>134</v>
      </c>
      <c r="U1054" s="759" t="s">
        <v>2685</v>
      </c>
      <c r="V1054" s="727"/>
    </row>
    <row r="1055" spans="1:45" ht="15.75" customHeight="1" x14ac:dyDescent="0.3">
      <c r="A1055" s="592"/>
      <c r="B1055" s="593" t="s">
        <v>2648</v>
      </c>
      <c r="C1055" s="588" t="s">
        <v>2656</v>
      </c>
      <c r="D1055" s="588" t="s">
        <v>2651</v>
      </c>
      <c r="E1055" s="70" t="s">
        <v>335</v>
      </c>
      <c r="F1055" s="760" t="s">
        <v>2653</v>
      </c>
      <c r="G1055" s="553" t="s">
        <v>2463</v>
      </c>
      <c r="H1055" s="70" t="s">
        <v>1416</v>
      </c>
      <c r="I1055" s="70" t="s">
        <v>1417</v>
      </c>
      <c r="J1055" s="588" t="s">
        <v>2632</v>
      </c>
      <c r="K1055" s="70" t="s">
        <v>2634</v>
      </c>
      <c r="L1055" s="588" t="s">
        <v>2637</v>
      </c>
      <c r="M1055" s="603" t="s">
        <v>2679</v>
      </c>
      <c r="N1055" s="604" t="s">
        <v>2680</v>
      </c>
      <c r="O1055" s="599" t="s">
        <v>2356</v>
      </c>
      <c r="P1055" s="603" t="s">
        <v>3112</v>
      </c>
      <c r="Q1055" s="604" t="s">
        <v>3112</v>
      </c>
      <c r="R1055" s="761" t="s">
        <v>3117</v>
      </c>
      <c r="S1055" s="553" t="s">
        <v>2684</v>
      </c>
      <c r="T1055" s="70" t="s">
        <v>2686</v>
      </c>
      <c r="U1055" s="758" t="s">
        <v>2687</v>
      </c>
      <c r="V1055" s="727"/>
    </row>
    <row r="1056" spans="1:45" ht="15.75" customHeight="1" x14ac:dyDescent="0.3">
      <c r="A1056" s="592"/>
      <c r="B1056" s="594" t="s">
        <v>2654</v>
      </c>
      <c r="C1056" s="217">
        <v>5.0000000000000001E-3</v>
      </c>
      <c r="D1056" s="217">
        <v>4.2999999999999997E-2</v>
      </c>
      <c r="E1056" s="70" t="s">
        <v>133</v>
      </c>
      <c r="F1056" s="762" t="s">
        <v>2649</v>
      </c>
      <c r="G1056" s="553" t="s">
        <v>2650</v>
      </c>
      <c r="H1056" s="70" t="s">
        <v>335</v>
      </c>
      <c r="I1056" s="70" t="s">
        <v>335</v>
      </c>
      <c r="J1056" s="70" t="s">
        <v>335</v>
      </c>
      <c r="K1056" s="70" t="s">
        <v>134</v>
      </c>
      <c r="L1056" s="70" t="s">
        <v>2636</v>
      </c>
      <c r="M1056" s="605" t="s">
        <v>955</v>
      </c>
      <c r="N1056" s="599" t="s">
        <v>2681</v>
      </c>
      <c r="O1056" s="599" t="s">
        <v>2688</v>
      </c>
      <c r="P1056" s="605" t="s">
        <v>3113</v>
      </c>
      <c r="Q1056" s="604" t="s">
        <v>3113</v>
      </c>
      <c r="R1056" s="761" t="s">
        <v>2688</v>
      </c>
      <c r="S1056" s="553" t="s">
        <v>335</v>
      </c>
      <c r="T1056" s="70" t="s">
        <v>335</v>
      </c>
      <c r="U1056" s="758" t="s">
        <v>335</v>
      </c>
      <c r="V1056" s="727"/>
    </row>
    <row r="1057" spans="1:22" ht="15.75" customHeight="1" x14ac:dyDescent="0.3">
      <c r="A1057" s="592" t="s">
        <v>249</v>
      </c>
      <c r="B1057" s="553" t="s">
        <v>2695</v>
      </c>
      <c r="C1057" s="70" t="s">
        <v>2695</v>
      </c>
      <c r="D1057" s="70" t="s">
        <v>2695</v>
      </c>
      <c r="E1057" s="70" t="s">
        <v>2695</v>
      </c>
      <c r="F1057" s="70" t="s">
        <v>2695</v>
      </c>
      <c r="G1057" s="553" t="s">
        <v>2695</v>
      </c>
      <c r="H1057" s="70" t="s">
        <v>2695</v>
      </c>
      <c r="I1057" s="70" t="s">
        <v>2695</v>
      </c>
      <c r="J1057" s="70" t="s">
        <v>2695</v>
      </c>
      <c r="K1057" s="70" t="s">
        <v>2695</v>
      </c>
      <c r="L1057" s="70" t="s">
        <v>2695</v>
      </c>
      <c r="M1057" s="605" t="s">
        <v>2695</v>
      </c>
      <c r="N1057" s="599" t="s">
        <v>2696</v>
      </c>
      <c r="O1057" s="599" t="s">
        <v>2695</v>
      </c>
      <c r="P1057" s="605" t="s">
        <v>3013</v>
      </c>
      <c r="Q1057" s="604" t="s">
        <v>998</v>
      </c>
      <c r="R1057" s="761" t="s">
        <v>998</v>
      </c>
      <c r="S1057" s="553" t="s">
        <v>2695</v>
      </c>
      <c r="T1057" s="70" t="s">
        <v>2695</v>
      </c>
      <c r="U1057" s="758" t="s">
        <v>2695</v>
      </c>
      <c r="V1057" s="727"/>
    </row>
    <row r="1058" spans="1:22" ht="15.75" customHeight="1" x14ac:dyDescent="0.3">
      <c r="A1058" s="592" t="s">
        <v>1353</v>
      </c>
      <c r="B1058" s="553" t="s">
        <v>1353</v>
      </c>
      <c r="C1058" s="70" t="s">
        <v>1353</v>
      </c>
      <c r="D1058" s="70" t="s">
        <v>1353</v>
      </c>
      <c r="E1058" s="70" t="s">
        <v>2202</v>
      </c>
      <c r="F1058" s="758" t="s">
        <v>1353</v>
      </c>
      <c r="G1058" s="553" t="s">
        <v>1353</v>
      </c>
      <c r="H1058" s="70" t="s">
        <v>2119</v>
      </c>
      <c r="I1058" s="70" t="s">
        <v>2119</v>
      </c>
      <c r="J1058" s="70" t="s">
        <v>1353</v>
      </c>
      <c r="K1058" s="70" t="s">
        <v>1353</v>
      </c>
      <c r="L1058" s="70" t="s">
        <v>1353</v>
      </c>
      <c r="M1058" s="605" t="s">
        <v>1353</v>
      </c>
      <c r="N1058" s="599" t="s">
        <v>1353</v>
      </c>
      <c r="O1058" s="599" t="s">
        <v>1353</v>
      </c>
      <c r="P1058" s="605" t="s">
        <v>1353</v>
      </c>
      <c r="Q1058" s="599" t="s">
        <v>1353</v>
      </c>
      <c r="R1058" s="761" t="s">
        <v>1353</v>
      </c>
      <c r="S1058" s="553" t="s">
        <v>1353</v>
      </c>
      <c r="T1058" s="70" t="s">
        <v>1353</v>
      </c>
      <c r="U1058" s="758" t="s">
        <v>1353</v>
      </c>
      <c r="V1058" s="727"/>
    </row>
    <row r="1059" spans="1:22" ht="15.75" customHeight="1" x14ac:dyDescent="0.3">
      <c r="A1059" s="139" t="s">
        <v>2843</v>
      </c>
      <c r="B1059" s="553">
        <f>+B1032/($B$10*24)</f>
        <v>282.3279569892473</v>
      </c>
      <c r="C1059" s="70">
        <f t="shared" ref="C1059:L1059" si="411">+C1032/($B$10*24)</f>
        <v>0</v>
      </c>
      <c r="D1059" s="70">
        <f t="shared" si="411"/>
        <v>12.026881720430108</v>
      </c>
      <c r="E1059" s="70">
        <f t="shared" si="411"/>
        <v>282.3279569892473</v>
      </c>
      <c r="F1059" s="758">
        <f t="shared" si="411"/>
        <v>294.35483870967744</v>
      </c>
      <c r="G1059" s="70">
        <f t="shared" si="411"/>
        <v>0</v>
      </c>
      <c r="H1059" s="70">
        <f t="shared" si="411"/>
        <v>12.131720430107526</v>
      </c>
      <c r="I1059" s="70">
        <f t="shared" si="411"/>
        <v>0</v>
      </c>
      <c r="J1059" s="70">
        <f t="shared" si="411"/>
        <v>12.131720430107526</v>
      </c>
      <c r="K1059" s="70">
        <f t="shared" si="411"/>
        <v>0</v>
      </c>
      <c r="L1059" s="70">
        <f t="shared" si="411"/>
        <v>0</v>
      </c>
      <c r="M1059" s="605">
        <f>+M1032/($B$10*24)</f>
        <v>282.22311827956992</v>
      </c>
      <c r="N1059" s="599">
        <f t="shared" ref="N1059" si="412">+N1032/($B$10*24)</f>
        <v>0</v>
      </c>
      <c r="O1059" s="599">
        <f>+O1032/($B$10*24)</f>
        <v>282.22311827956992</v>
      </c>
      <c r="P1059" s="716">
        <f>P1032</f>
        <v>0.2</v>
      </c>
      <c r="Q1059" s="599">
        <f>-O1059*P1059</f>
        <v>-56.444623655913986</v>
      </c>
      <c r="R1059" s="761">
        <f>O1059+Q1059</f>
        <v>225.77849462365594</v>
      </c>
      <c r="S1059" s="612">
        <f>+S1032/($B$10*24)</f>
        <v>56.444623655913965</v>
      </c>
      <c r="T1059" s="70">
        <f>+IF(S1059&gt;=0,ABS(S1059),"")</f>
        <v>56.444623655913965</v>
      </c>
      <c r="U1059" s="758" t="str">
        <f>+IF(S1059&lt;=0,ABS(S1059),"")</f>
        <v/>
      </c>
      <c r="V1059" s="727"/>
    </row>
    <row r="1060" spans="1:22" ht="15.75" customHeight="1" x14ac:dyDescent="0.3">
      <c r="A1060" s="139" t="s">
        <v>2091</v>
      </c>
      <c r="B1060" s="553">
        <f>+B1033/($C$10*24)</f>
        <v>354.0595238095238</v>
      </c>
      <c r="C1060" s="70">
        <f t="shared" ref="C1060:N1060" si="413">+C1033/($C$10*24)</f>
        <v>0</v>
      </c>
      <c r="D1060" s="70">
        <f t="shared" si="413"/>
        <v>14.952380952380953</v>
      </c>
      <c r="E1060" s="70">
        <f t="shared" si="413"/>
        <v>354.0595238095238</v>
      </c>
      <c r="F1060" s="758">
        <f t="shared" si="413"/>
        <v>369.01190476190476</v>
      </c>
      <c r="G1060" s="70">
        <f t="shared" si="413"/>
        <v>0</v>
      </c>
      <c r="H1060" s="70">
        <f t="shared" si="413"/>
        <v>15.27827380952381</v>
      </c>
      <c r="I1060" s="70">
        <f t="shared" si="413"/>
        <v>0</v>
      </c>
      <c r="J1060" s="70">
        <f t="shared" si="413"/>
        <v>15.27827380952381</v>
      </c>
      <c r="K1060" s="70">
        <f t="shared" si="413"/>
        <v>0</v>
      </c>
      <c r="L1060" s="70">
        <f t="shared" si="413"/>
        <v>0</v>
      </c>
      <c r="M1060" s="605">
        <f t="shared" si="413"/>
        <v>353.73363095238096</v>
      </c>
      <c r="N1060" s="599">
        <f t="shared" si="413"/>
        <v>0</v>
      </c>
      <c r="O1060" s="599">
        <f t="shared" ref="O1060:O1070" si="414">+O1033/($B$10*24)</f>
        <v>319.5013440860215</v>
      </c>
      <c r="P1060" s="716">
        <f t="shared" ref="P1060:P1070" si="415">P1033</f>
        <v>0.25</v>
      </c>
      <c r="Q1060" s="599">
        <f t="shared" ref="Q1060:Q1070" si="416">-O1060*P1060</f>
        <v>-79.875336021505376</v>
      </c>
      <c r="R1060" s="761">
        <f t="shared" ref="R1060:R1070" si="417">O1060+Q1060</f>
        <v>239.62600806451613</v>
      </c>
      <c r="S1060" s="612">
        <f>+S1033/($C$10*24)</f>
        <v>88.433407738095241</v>
      </c>
      <c r="T1060" s="70">
        <f t="shared" ref="T1060:T1070" si="418">+IF(S1060&gt;=0,ABS(S1060),"")</f>
        <v>88.433407738095241</v>
      </c>
      <c r="U1060" s="758" t="str">
        <f t="shared" ref="U1060:U1070" si="419">+IF(S1060&lt;=0,ABS(S1060),"")</f>
        <v/>
      </c>
      <c r="V1060" s="727"/>
    </row>
    <row r="1061" spans="1:22" ht="15.75" customHeight="1" x14ac:dyDescent="0.3">
      <c r="A1061" s="139" t="s">
        <v>2234</v>
      </c>
      <c r="B1061" s="553">
        <f>+B1034/($D$10*24)</f>
        <v>344.11559139784947</v>
      </c>
      <c r="C1061" s="70">
        <f t="shared" ref="C1061:N1061" si="420">+C1034/($D$10*24)</f>
        <v>0</v>
      </c>
      <c r="D1061" s="70">
        <f t="shared" si="420"/>
        <v>14.768817204301076</v>
      </c>
      <c r="E1061" s="70">
        <f t="shared" si="420"/>
        <v>344.11559139784947</v>
      </c>
      <c r="F1061" s="758">
        <f t="shared" si="420"/>
        <v>358.88440860215053</v>
      </c>
      <c r="G1061" s="70">
        <f t="shared" si="420"/>
        <v>0</v>
      </c>
      <c r="H1061" s="70">
        <f>+H1034/($D$10*24)</f>
        <v>21.280913978494624</v>
      </c>
      <c r="I1061" s="70">
        <f t="shared" si="420"/>
        <v>0</v>
      </c>
      <c r="J1061" s="70">
        <f t="shared" si="420"/>
        <v>21.280913978494624</v>
      </c>
      <c r="K1061" s="70">
        <f t="shared" si="420"/>
        <v>0</v>
      </c>
      <c r="L1061" s="70">
        <f t="shared" si="420"/>
        <v>0</v>
      </c>
      <c r="M1061" s="605">
        <f t="shared" si="420"/>
        <v>337.60349462365593</v>
      </c>
      <c r="N1061" s="599">
        <f t="shared" si="420"/>
        <v>0</v>
      </c>
      <c r="O1061" s="599">
        <f t="shared" si="414"/>
        <v>337.60349462365593</v>
      </c>
      <c r="P1061" s="716">
        <f t="shared" si="415"/>
        <v>0.3</v>
      </c>
      <c r="Q1061" s="599">
        <f t="shared" si="416"/>
        <v>-101.28104838709677</v>
      </c>
      <c r="R1061" s="761">
        <f t="shared" si="417"/>
        <v>236.32244623655916</v>
      </c>
      <c r="S1061" s="612">
        <f>+S1034/($D$10*24)</f>
        <v>101.28104838709675</v>
      </c>
      <c r="T1061" s="70">
        <f t="shared" si="418"/>
        <v>101.28104838709675</v>
      </c>
      <c r="U1061" s="758" t="str">
        <f t="shared" si="419"/>
        <v/>
      </c>
      <c r="V1061" s="727"/>
    </row>
    <row r="1062" spans="1:22" ht="15.75" customHeight="1" x14ac:dyDescent="0.3">
      <c r="A1062" s="139" t="s">
        <v>2235</v>
      </c>
      <c r="B1062" s="553">
        <f>+B1035/($F$10*24)</f>
        <v>361.03055555555557</v>
      </c>
      <c r="C1062" s="70">
        <f t="shared" ref="C1062:N1062" si="421">+C1035/($F$10*24)</f>
        <v>0</v>
      </c>
      <c r="D1062" s="70">
        <f t="shared" si="421"/>
        <v>15.745833333333334</v>
      </c>
      <c r="E1062" s="70">
        <f t="shared" si="421"/>
        <v>361.03055555555557</v>
      </c>
      <c r="F1062" s="758">
        <f t="shared" si="421"/>
        <v>376.7763888888889</v>
      </c>
      <c r="G1062" s="70">
        <f t="shared" si="421"/>
        <v>2.1617115973750289</v>
      </c>
      <c r="H1062" s="70">
        <f t="shared" si="421"/>
        <v>22.120833333333334</v>
      </c>
      <c r="I1062" s="70">
        <f t="shared" si="421"/>
        <v>0</v>
      </c>
      <c r="J1062" s="70">
        <f t="shared" si="421"/>
        <v>22.120833333333334</v>
      </c>
      <c r="K1062" s="70">
        <f t="shared" si="421"/>
        <v>0</v>
      </c>
      <c r="L1062" s="70">
        <f t="shared" si="421"/>
        <v>0</v>
      </c>
      <c r="M1062" s="605">
        <f t="shared" si="421"/>
        <v>352.49384395818049</v>
      </c>
      <c r="N1062" s="599">
        <f t="shared" si="421"/>
        <v>-31</v>
      </c>
      <c r="O1062" s="599">
        <f t="shared" si="414"/>
        <v>311.1230747982392</v>
      </c>
      <c r="P1062" s="716">
        <f t="shared" si="415"/>
        <v>0.35</v>
      </c>
      <c r="Q1062" s="599">
        <f t="shared" si="416"/>
        <v>-108.89307617938371</v>
      </c>
      <c r="R1062" s="761">
        <f t="shared" si="417"/>
        <v>202.22999861885549</v>
      </c>
      <c r="S1062" s="612">
        <f>+S1035/($F$10*24)</f>
        <v>143.52284538536315</v>
      </c>
      <c r="T1062" s="70">
        <f t="shared" si="418"/>
        <v>143.52284538536315</v>
      </c>
      <c r="U1062" s="758" t="str">
        <f t="shared" si="419"/>
        <v/>
      </c>
      <c r="V1062" s="727"/>
    </row>
    <row r="1063" spans="1:22" ht="15.75" customHeight="1" x14ac:dyDescent="0.3">
      <c r="A1063" s="139" t="s">
        <v>2236</v>
      </c>
      <c r="B1063" s="553">
        <f>+B1036/($G$10*24)</f>
        <v>398.69354838709677</v>
      </c>
      <c r="C1063" s="70">
        <f t="shared" ref="C1063:N1063" si="422">+C1036/($G$10*24)</f>
        <v>0</v>
      </c>
      <c r="D1063" s="70">
        <f t="shared" si="422"/>
        <v>17.551075268817204</v>
      </c>
      <c r="E1063" s="70">
        <f t="shared" si="422"/>
        <v>398.69354838709677</v>
      </c>
      <c r="F1063" s="758">
        <f t="shared" si="422"/>
        <v>416.24462365591398</v>
      </c>
      <c r="G1063" s="70">
        <f t="shared" si="422"/>
        <v>0</v>
      </c>
      <c r="H1063" s="70">
        <f t="shared" si="422"/>
        <v>19.153225806451612</v>
      </c>
      <c r="I1063" s="70">
        <f t="shared" si="422"/>
        <v>0</v>
      </c>
      <c r="J1063" s="70">
        <f t="shared" si="422"/>
        <v>19.153225806451612</v>
      </c>
      <c r="K1063" s="70">
        <f t="shared" si="422"/>
        <v>0</v>
      </c>
      <c r="L1063" s="70">
        <f t="shared" si="422"/>
        <v>0</v>
      </c>
      <c r="M1063" s="605">
        <f t="shared" si="422"/>
        <v>397.09139784946234</v>
      </c>
      <c r="N1063" s="599">
        <f t="shared" si="422"/>
        <v>0</v>
      </c>
      <c r="O1063" s="599">
        <f t="shared" si="414"/>
        <v>397.09139784946234</v>
      </c>
      <c r="P1063" s="716">
        <f t="shared" si="415"/>
        <v>0.35</v>
      </c>
      <c r="Q1063" s="599">
        <f t="shared" si="416"/>
        <v>-138.98198924731182</v>
      </c>
      <c r="R1063" s="761">
        <f t="shared" si="417"/>
        <v>258.10940860215055</v>
      </c>
      <c r="S1063" s="612">
        <f>+S1036/($G$10*24)</f>
        <v>138.98198924731179</v>
      </c>
      <c r="T1063" s="70">
        <f t="shared" si="418"/>
        <v>138.98198924731179</v>
      </c>
      <c r="U1063" s="758" t="str">
        <f t="shared" si="419"/>
        <v/>
      </c>
      <c r="V1063" s="727"/>
    </row>
    <row r="1064" spans="1:22" ht="15.75" customHeight="1" x14ac:dyDescent="0.3">
      <c r="A1064" s="139" t="s">
        <v>2237</v>
      </c>
      <c r="B1064" s="553">
        <f>+B1037/($H$10*24)</f>
        <v>218.88888888888889</v>
      </c>
      <c r="C1064" s="70">
        <f t="shared" ref="C1064:N1064" si="423">+C1037/($H$10*24)</f>
        <v>0</v>
      </c>
      <c r="D1064" s="70">
        <f t="shared" si="423"/>
        <v>9.0347222222222214</v>
      </c>
      <c r="E1064" s="70">
        <f t="shared" si="423"/>
        <v>218.88888888888889</v>
      </c>
      <c r="F1064" s="758">
        <f t="shared" si="423"/>
        <v>227.92361111111111</v>
      </c>
      <c r="G1064" s="70">
        <f t="shared" si="423"/>
        <v>21.96721634360711</v>
      </c>
      <c r="H1064" s="70">
        <f t="shared" si="423"/>
        <v>17.633333333333333</v>
      </c>
      <c r="I1064" s="70">
        <f t="shared" si="423"/>
        <v>0</v>
      </c>
      <c r="J1064" s="70">
        <f t="shared" si="423"/>
        <v>17.633333333333333</v>
      </c>
      <c r="K1064" s="70">
        <f t="shared" si="423"/>
        <v>0</v>
      </c>
      <c r="L1064" s="70">
        <f t="shared" si="423"/>
        <v>0</v>
      </c>
      <c r="M1064" s="605">
        <f t="shared" si="423"/>
        <v>188.32306143417065</v>
      </c>
      <c r="N1064" s="599">
        <f t="shared" si="423"/>
        <v>65.666666666666671</v>
      </c>
      <c r="O1064" s="599">
        <f t="shared" si="414"/>
        <v>245.79651106532643</v>
      </c>
      <c r="P1064" s="716">
        <f t="shared" si="415"/>
        <v>7.4999999999999997E-2</v>
      </c>
      <c r="Q1064" s="599">
        <f t="shared" si="416"/>
        <v>-18.434738329899481</v>
      </c>
      <c r="R1064" s="761">
        <f t="shared" si="417"/>
        <v>227.36177273542694</v>
      </c>
      <c r="S1064" s="612">
        <f>+S1037/($H$10*24)</f>
        <v>-46.617437059103878</v>
      </c>
      <c r="T1064" s="70" t="str">
        <f t="shared" si="418"/>
        <v/>
      </c>
      <c r="U1064" s="758">
        <f t="shared" si="419"/>
        <v>46.617437059103878</v>
      </c>
      <c r="V1064" s="727"/>
    </row>
    <row r="1065" spans="1:22" ht="15.75" customHeight="1" x14ac:dyDescent="0.3">
      <c r="A1065" s="139" t="s">
        <v>1504</v>
      </c>
      <c r="B1065" s="553">
        <f>+B1038/($J$10*24)</f>
        <v>167.93817204301075</v>
      </c>
      <c r="C1065" s="70">
        <f t="shared" ref="C1065:N1065" si="424">+C1038/($J$10*24)</f>
        <v>0</v>
      </c>
      <c r="D1065" s="70">
        <f t="shared" si="424"/>
        <v>6.685483870967742</v>
      </c>
      <c r="E1065" s="70">
        <f t="shared" si="424"/>
        <v>167.93817204301075</v>
      </c>
      <c r="F1065" s="758">
        <f t="shared" si="424"/>
        <v>174.6236559139785</v>
      </c>
      <c r="G1065" s="70">
        <f t="shared" si="424"/>
        <v>19.852710780525626</v>
      </c>
      <c r="H1065" s="70">
        <f t="shared" si="424"/>
        <v>15.618279569892474</v>
      </c>
      <c r="I1065" s="70">
        <f t="shared" si="424"/>
        <v>0</v>
      </c>
      <c r="J1065" s="70">
        <f t="shared" si="424"/>
        <v>15.618279569892474</v>
      </c>
      <c r="K1065" s="70">
        <f t="shared" si="424"/>
        <v>0</v>
      </c>
      <c r="L1065" s="70">
        <f t="shared" si="424"/>
        <v>0</v>
      </c>
      <c r="M1065" s="605">
        <f t="shared" si="424"/>
        <v>139.15266556356039</v>
      </c>
      <c r="N1065" s="599">
        <f t="shared" si="424"/>
        <v>63.333333333333336</v>
      </c>
      <c r="O1065" s="599">
        <f t="shared" si="414"/>
        <v>202.48599889689376</v>
      </c>
      <c r="P1065" s="716">
        <f t="shared" si="415"/>
        <v>0.05</v>
      </c>
      <c r="Q1065" s="599">
        <f t="shared" si="416"/>
        <v>-10.124299944844688</v>
      </c>
      <c r="R1065" s="761">
        <f t="shared" si="417"/>
        <v>192.36169895204907</v>
      </c>
      <c r="S1065" s="612">
        <f>+S1038/($J$10*24)</f>
        <v>-53.20903338848867</v>
      </c>
      <c r="T1065" s="70" t="str">
        <f t="shared" si="418"/>
        <v/>
      </c>
      <c r="U1065" s="758">
        <f t="shared" si="419"/>
        <v>53.20903338848867</v>
      </c>
      <c r="V1065" s="727"/>
    </row>
    <row r="1066" spans="1:22" ht="15.75" customHeight="1" x14ac:dyDescent="0.3">
      <c r="A1066" s="139" t="s">
        <v>1505</v>
      </c>
      <c r="B1066" s="553">
        <f>+B1039/($K$10*24)</f>
        <v>161.28494623655914</v>
      </c>
      <c r="C1066" s="70">
        <f t="shared" ref="C1066:N1066" si="425">+C1039/($K$10*24)</f>
        <v>0</v>
      </c>
      <c r="D1066" s="70">
        <f t="shared" si="425"/>
        <v>6.506720430107527</v>
      </c>
      <c r="E1066" s="70">
        <f t="shared" si="425"/>
        <v>161.28494623655914</v>
      </c>
      <c r="F1066" s="758">
        <f t="shared" si="425"/>
        <v>167.79166666666666</v>
      </c>
      <c r="G1066" s="70">
        <f t="shared" si="425"/>
        <v>10.87922856973494</v>
      </c>
      <c r="H1066" s="70">
        <f t="shared" si="425"/>
        <v>13.76478494623656</v>
      </c>
      <c r="I1066" s="70">
        <f t="shared" si="425"/>
        <v>0</v>
      </c>
      <c r="J1066" s="70">
        <f t="shared" si="425"/>
        <v>13.76478494623656</v>
      </c>
      <c r="K1066" s="70">
        <f t="shared" si="425"/>
        <v>0</v>
      </c>
      <c r="L1066" s="70">
        <f t="shared" si="425"/>
        <v>0</v>
      </c>
      <c r="M1066" s="605">
        <f t="shared" si="425"/>
        <v>143.14765315069516</v>
      </c>
      <c r="N1066" s="599">
        <f t="shared" si="425"/>
        <v>79</v>
      </c>
      <c r="O1066" s="599">
        <f t="shared" si="414"/>
        <v>222.14765315069516</v>
      </c>
      <c r="P1066" s="716">
        <f t="shared" si="415"/>
        <v>0</v>
      </c>
      <c r="Q1066" s="599">
        <f t="shared" si="416"/>
        <v>0</v>
      </c>
      <c r="R1066" s="761">
        <f t="shared" si="417"/>
        <v>222.14765315069516</v>
      </c>
      <c r="S1066" s="612">
        <f>+S1039/($K$10*24)</f>
        <v>-79</v>
      </c>
      <c r="T1066" s="70" t="str">
        <f t="shared" si="418"/>
        <v/>
      </c>
      <c r="U1066" s="758">
        <f t="shared" si="419"/>
        <v>79</v>
      </c>
      <c r="V1066" s="727"/>
    </row>
    <row r="1067" spans="1:22" ht="15.75" customHeight="1" x14ac:dyDescent="0.3">
      <c r="A1067" s="139" t="s">
        <v>1506</v>
      </c>
      <c r="B1067" s="553">
        <f>+B1040/($L$10*24)</f>
        <v>312.20555555555558</v>
      </c>
      <c r="C1067" s="70">
        <f t="shared" ref="C1067:N1067" si="426">+C1040/($L$10*24)</f>
        <v>0</v>
      </c>
      <c r="D1067" s="70">
        <f t="shared" si="426"/>
        <v>13.620833333333334</v>
      </c>
      <c r="E1067" s="70">
        <f t="shared" si="426"/>
        <v>312.20555555555558</v>
      </c>
      <c r="F1067" s="758">
        <f t="shared" si="426"/>
        <v>325.82638888888891</v>
      </c>
      <c r="G1067" s="70">
        <f t="shared" si="426"/>
        <v>0</v>
      </c>
      <c r="H1067" s="70">
        <f t="shared" si="426"/>
        <v>14.206944444444444</v>
      </c>
      <c r="I1067" s="70">
        <f t="shared" si="426"/>
        <v>0</v>
      </c>
      <c r="J1067" s="70">
        <f t="shared" si="426"/>
        <v>14.206944444444444</v>
      </c>
      <c r="K1067" s="70">
        <f t="shared" si="426"/>
        <v>0</v>
      </c>
      <c r="L1067" s="70">
        <f t="shared" si="426"/>
        <v>0</v>
      </c>
      <c r="M1067" s="605">
        <f t="shared" si="426"/>
        <v>311.61944444444447</v>
      </c>
      <c r="N1067" s="599">
        <f t="shared" si="426"/>
        <v>0</v>
      </c>
      <c r="O1067" s="599">
        <f t="shared" si="414"/>
        <v>301.56720430107526</v>
      </c>
      <c r="P1067" s="716">
        <f t="shared" si="415"/>
        <v>0.05</v>
      </c>
      <c r="Q1067" s="599">
        <f t="shared" si="416"/>
        <v>-15.078360215053763</v>
      </c>
      <c r="R1067" s="761">
        <f t="shared" si="417"/>
        <v>286.48884408602152</v>
      </c>
      <c r="S1067" s="612">
        <f>+S1040/($L$10*24)</f>
        <v>15.580972222222206</v>
      </c>
      <c r="T1067" s="70">
        <f t="shared" si="418"/>
        <v>15.580972222222206</v>
      </c>
      <c r="U1067" s="758" t="str">
        <f t="shared" si="419"/>
        <v/>
      </c>
      <c r="V1067" s="727"/>
    </row>
    <row r="1068" spans="1:22" ht="15.75" customHeight="1" x14ac:dyDescent="0.3">
      <c r="A1068" s="139" t="s">
        <v>1507</v>
      </c>
      <c r="B1068" s="553">
        <f>+B1041/($N$10*24)</f>
        <v>314.95564516129031</v>
      </c>
      <c r="C1068" s="70">
        <f t="shared" ref="C1068:N1068" si="427">+C1041/($N$10*24)</f>
        <v>0</v>
      </c>
      <c r="D1068" s="70">
        <f t="shared" si="427"/>
        <v>13.727150537634408</v>
      </c>
      <c r="E1068" s="70">
        <f t="shared" si="427"/>
        <v>314.95564516129031</v>
      </c>
      <c r="F1068" s="758">
        <f t="shared" si="427"/>
        <v>328.68279569892474</v>
      </c>
      <c r="G1068" s="70">
        <f t="shared" si="427"/>
        <v>0</v>
      </c>
      <c r="H1068" s="70">
        <f t="shared" si="427"/>
        <v>13.580645161290322</v>
      </c>
      <c r="I1068" s="70">
        <f t="shared" si="427"/>
        <v>0</v>
      </c>
      <c r="J1068" s="70">
        <f t="shared" si="427"/>
        <v>13.580645161290322</v>
      </c>
      <c r="K1068" s="70">
        <f t="shared" si="427"/>
        <v>0</v>
      </c>
      <c r="L1068" s="70">
        <f t="shared" si="427"/>
        <v>0</v>
      </c>
      <c r="M1068" s="605">
        <f t="shared" si="427"/>
        <v>315.10215053763443</v>
      </c>
      <c r="N1068" s="599">
        <f t="shared" si="427"/>
        <v>0</v>
      </c>
      <c r="O1068" s="599">
        <f t="shared" si="414"/>
        <v>315.10215053763443</v>
      </c>
      <c r="P1068" s="716">
        <f t="shared" si="415"/>
        <v>0.2</v>
      </c>
      <c r="Q1068" s="599">
        <f t="shared" si="416"/>
        <v>-63.020430107526892</v>
      </c>
      <c r="R1068" s="761">
        <f t="shared" si="417"/>
        <v>252.08172043010754</v>
      </c>
      <c r="S1068" s="612">
        <f>+S1041/($N$10*24)</f>
        <v>63.020430107526899</v>
      </c>
      <c r="T1068" s="70">
        <f t="shared" si="418"/>
        <v>63.020430107526899</v>
      </c>
      <c r="U1068" s="758" t="str">
        <f t="shared" si="419"/>
        <v/>
      </c>
      <c r="V1068" s="727"/>
    </row>
    <row r="1069" spans="1:22" ht="15.75" customHeight="1" x14ac:dyDescent="0.3">
      <c r="A1069" s="139" t="s">
        <v>1508</v>
      </c>
      <c r="B1069" s="553">
        <f>+B1042/($O$10*24)</f>
        <v>306.09166666666664</v>
      </c>
      <c r="C1069" s="70">
        <f t="shared" ref="C1069:N1069" si="428">+C1042/($O$10*24)</f>
        <v>0</v>
      </c>
      <c r="D1069" s="70">
        <f t="shared" si="428"/>
        <v>13.215277777777779</v>
      </c>
      <c r="E1069" s="70">
        <f t="shared" si="428"/>
        <v>306.09166666666664</v>
      </c>
      <c r="F1069" s="758">
        <f t="shared" si="428"/>
        <v>319.30694444444447</v>
      </c>
      <c r="G1069" s="70">
        <f t="shared" si="428"/>
        <v>0</v>
      </c>
      <c r="H1069" s="70">
        <f t="shared" si="428"/>
        <v>15.036111111111111</v>
      </c>
      <c r="I1069" s="70">
        <f t="shared" si="428"/>
        <v>0</v>
      </c>
      <c r="J1069" s="70">
        <f t="shared" si="428"/>
        <v>15.036111111111111</v>
      </c>
      <c r="K1069" s="70">
        <f t="shared" si="428"/>
        <v>0</v>
      </c>
      <c r="L1069" s="70">
        <f t="shared" si="428"/>
        <v>0</v>
      </c>
      <c r="M1069" s="605">
        <f t="shared" si="428"/>
        <v>304.27083333333331</v>
      </c>
      <c r="N1069" s="599">
        <f t="shared" si="428"/>
        <v>0</v>
      </c>
      <c r="O1069" s="599">
        <f t="shared" si="414"/>
        <v>294.45564516129031</v>
      </c>
      <c r="P1069" s="716">
        <f t="shared" si="415"/>
        <v>0.2</v>
      </c>
      <c r="Q1069" s="599">
        <f t="shared" si="416"/>
        <v>-58.891129032258064</v>
      </c>
      <c r="R1069" s="761">
        <f t="shared" si="417"/>
        <v>235.56451612903226</v>
      </c>
      <c r="S1069" s="612">
        <f>+S1042/($O$10*24)</f>
        <v>60.854166666666664</v>
      </c>
      <c r="T1069" s="70">
        <f t="shared" si="418"/>
        <v>60.854166666666664</v>
      </c>
      <c r="U1069" s="758" t="str">
        <f t="shared" si="419"/>
        <v/>
      </c>
      <c r="V1069" s="727"/>
    </row>
    <row r="1070" spans="1:22" ht="15.75" customHeight="1" thickBot="1" x14ac:dyDescent="0.35">
      <c r="A1070" s="139" t="s">
        <v>1509</v>
      </c>
      <c r="B1070" s="558">
        <f>+B1043/($P$10*24)</f>
        <v>243.02956989247312</v>
      </c>
      <c r="C1070" s="564">
        <f t="shared" ref="C1070:N1070" si="429">+C1043/($P$10*24)</f>
        <v>0</v>
      </c>
      <c r="D1070" s="564">
        <f t="shared" si="429"/>
        <v>10.411290322580646</v>
      </c>
      <c r="E1070" s="564">
        <f t="shared" si="429"/>
        <v>243.02956989247312</v>
      </c>
      <c r="F1070" s="602">
        <f t="shared" si="429"/>
        <v>253.44086021505376</v>
      </c>
      <c r="G1070" s="564">
        <f t="shared" si="429"/>
        <v>0</v>
      </c>
      <c r="H1070" s="564">
        <f t="shared" si="429"/>
        <v>8.9731182795698921</v>
      </c>
      <c r="I1070" s="564">
        <f t="shared" si="429"/>
        <v>0</v>
      </c>
      <c r="J1070" s="564">
        <f t="shared" si="429"/>
        <v>8.9731182795698921</v>
      </c>
      <c r="K1070" s="564">
        <f t="shared" si="429"/>
        <v>0</v>
      </c>
      <c r="L1070" s="564">
        <f t="shared" si="429"/>
        <v>0</v>
      </c>
      <c r="M1070" s="608">
        <f t="shared" si="429"/>
        <v>244.46774193548387</v>
      </c>
      <c r="N1070" s="609">
        <f t="shared" si="429"/>
        <v>0</v>
      </c>
      <c r="O1070" s="631">
        <f t="shared" si="414"/>
        <v>244.46774193548387</v>
      </c>
      <c r="P1070" s="711">
        <f t="shared" si="415"/>
        <v>0.2</v>
      </c>
      <c r="Q1070" s="609">
        <f t="shared" si="416"/>
        <v>-48.893548387096779</v>
      </c>
      <c r="R1070" s="631">
        <f t="shared" si="417"/>
        <v>195.57419354838709</v>
      </c>
      <c r="S1070" s="613">
        <f>+S1043/($P$10*24)</f>
        <v>48.893548387096757</v>
      </c>
      <c r="T1070" s="564">
        <f t="shared" si="418"/>
        <v>48.893548387096757</v>
      </c>
      <c r="U1070" s="602" t="str">
        <f t="shared" si="419"/>
        <v/>
      </c>
      <c r="V1070" s="727"/>
    </row>
    <row r="1071" spans="1:22" ht="15.75" customHeight="1" x14ac:dyDescent="0.3">
      <c r="A1071" s="647"/>
      <c r="V1071" s="727"/>
    </row>
    <row r="1072" spans="1:22" ht="16.5" customHeight="1" thickBot="1" x14ac:dyDescent="0.35">
      <c r="A1072" s="648"/>
      <c r="B1072" s="581"/>
      <c r="C1072" s="581"/>
      <c r="D1072" s="581"/>
      <c r="E1072" s="581"/>
      <c r="F1072" s="581"/>
      <c r="G1072" s="581"/>
      <c r="H1072" s="581"/>
      <c r="I1072" s="581"/>
      <c r="J1072" s="581"/>
      <c r="K1072" s="581"/>
      <c r="L1072" s="581"/>
      <c r="M1072" s="581"/>
      <c r="N1072" s="581"/>
      <c r="O1072" s="581"/>
      <c r="P1072" s="581"/>
      <c r="Q1072" s="581"/>
      <c r="R1072" s="581"/>
      <c r="S1072" s="581"/>
      <c r="T1072" s="581"/>
      <c r="U1072" s="581"/>
      <c r="V1072" s="565"/>
    </row>
    <row r="1073" spans="1:50" ht="15.75" customHeight="1" x14ac:dyDescent="0.3">
      <c r="A1073" s="74"/>
      <c r="B1073" s="67"/>
      <c r="C1073" s="67"/>
      <c r="D1073" s="67"/>
      <c r="E1073" s="67"/>
      <c r="F1073" s="67"/>
      <c r="G1073" s="67"/>
      <c r="H1073" s="67"/>
      <c r="I1073" s="67"/>
      <c r="J1073" s="67"/>
      <c r="K1073" s="67"/>
      <c r="L1073" s="67"/>
      <c r="M1073" s="67"/>
      <c r="N1073" s="67"/>
      <c r="O1073" s="67"/>
      <c r="P1073" s="67"/>
      <c r="Q1073" s="67"/>
      <c r="R1073" s="67"/>
    </row>
    <row r="1074" spans="1:50" ht="15.75" customHeight="1" x14ac:dyDescent="0.3">
      <c r="A1074" s="641"/>
    </row>
    <row r="1075" spans="1:50" ht="15.75" customHeight="1" thickBot="1" x14ac:dyDescent="0.35">
      <c r="A1075" s="641"/>
    </row>
    <row r="1076" spans="1:50" ht="15.75" customHeight="1" x14ac:dyDescent="0.3">
      <c r="A1076" s="763"/>
      <c r="B1076" s="821" t="s">
        <v>2880</v>
      </c>
      <c r="C1076" s="821"/>
      <c r="D1076" s="821"/>
      <c r="E1076" s="821"/>
      <c r="F1076" s="821"/>
      <c r="G1076" s="821"/>
      <c r="H1076" s="821"/>
      <c r="I1076" s="821"/>
      <c r="J1076" s="821"/>
      <c r="K1076" s="821"/>
      <c r="L1076" s="821"/>
      <c r="M1076" s="821"/>
      <c r="N1076" s="821"/>
      <c r="O1076" s="821"/>
      <c r="P1076" s="821"/>
      <c r="Q1076" s="752" t="str">
        <f>+Q1</f>
        <v xml:space="preserve">PRINTED:  </v>
      </c>
      <c r="R1076" s="756">
        <f ca="1">+R1</f>
        <v>44881.729632754628</v>
      </c>
      <c r="S1076" s="702"/>
    </row>
    <row r="1077" spans="1:50" ht="15.75" customHeight="1" x14ac:dyDescent="0.3">
      <c r="A1077" s="640"/>
      <c r="B1077" s="786" t="str">
        <f>+A8</f>
        <v>Revised:  2/5/2020</v>
      </c>
      <c r="C1077" s="786"/>
      <c r="D1077" s="786"/>
      <c r="E1077" s="786"/>
      <c r="F1077" s="786"/>
      <c r="G1077" s="786"/>
      <c r="H1077" s="786"/>
      <c r="I1077" s="786"/>
      <c r="J1077" s="786"/>
      <c r="K1077" s="786"/>
      <c r="L1077" s="786"/>
      <c r="M1077" s="786"/>
      <c r="N1077" s="786"/>
      <c r="O1077" s="786"/>
      <c r="P1077" s="786"/>
      <c r="Q1077" s="67"/>
      <c r="R1077" s="67"/>
      <c r="S1077" s="727"/>
    </row>
    <row r="1078" spans="1:50" ht="16.5" customHeight="1" x14ac:dyDescent="0.3">
      <c r="A1078" s="640"/>
      <c r="B1078" s="786" t="s">
        <v>2878</v>
      </c>
      <c r="C1078" s="786"/>
      <c r="D1078" s="786"/>
      <c r="E1078" s="786"/>
      <c r="F1078" s="786"/>
      <c r="G1078" s="786"/>
      <c r="H1078" s="786"/>
      <c r="I1078" s="786"/>
      <c r="J1078" s="786"/>
      <c r="K1078" s="786"/>
      <c r="L1078" s="786"/>
      <c r="M1078" s="786"/>
      <c r="N1078" s="786"/>
      <c r="O1078" s="786"/>
      <c r="P1078" s="786"/>
      <c r="Q1078" s="67"/>
      <c r="R1078" s="67"/>
      <c r="S1078" s="727"/>
    </row>
    <row r="1079" spans="1:50" ht="15.75" customHeight="1" x14ac:dyDescent="0.3">
      <c r="A1079" s="640"/>
      <c r="B1079" s="67"/>
      <c r="C1079" s="67"/>
      <c r="D1079" s="67"/>
      <c r="E1079" s="67"/>
      <c r="F1079" s="67"/>
      <c r="G1079" s="67"/>
      <c r="H1079" s="67"/>
      <c r="I1079" s="67"/>
      <c r="J1079" s="67"/>
      <c r="K1079" s="67"/>
      <c r="L1079" s="67"/>
      <c r="M1079" s="67"/>
      <c r="N1079" s="67"/>
      <c r="O1079" s="67"/>
      <c r="P1079" s="67"/>
      <c r="Q1079" s="67"/>
      <c r="R1079" s="67"/>
      <c r="S1079" s="727"/>
      <c r="AG1079" s="139"/>
    </row>
    <row r="1080" spans="1:50" ht="15.75" customHeight="1" x14ac:dyDescent="0.3">
      <c r="A1080" s="640"/>
      <c r="B1080" s="810">
        <f>+A5</f>
        <v>2021</v>
      </c>
      <c r="C1080" s="787"/>
      <c r="D1080" s="787"/>
      <c r="E1080" s="787"/>
      <c r="F1080" s="787"/>
      <c r="G1080" s="787"/>
      <c r="H1080" s="787"/>
      <c r="I1080" s="787"/>
      <c r="J1080" s="787"/>
      <c r="K1080" s="787"/>
      <c r="L1080" s="787"/>
      <c r="M1080" s="787"/>
      <c r="N1080" s="787"/>
      <c r="O1080" s="787"/>
      <c r="P1080" s="787"/>
      <c r="Q1080" s="67"/>
      <c r="R1080" s="67"/>
      <c r="S1080" s="727"/>
      <c r="AE1080" t="s">
        <v>2912</v>
      </c>
      <c r="AF1080" t="s">
        <v>2913</v>
      </c>
    </row>
    <row r="1081" spans="1:50" ht="15.75" customHeight="1" thickBot="1" x14ac:dyDescent="0.35">
      <c r="A1081" s="640"/>
      <c r="B1081" s="786" t="s">
        <v>1199</v>
      </c>
      <c r="C1081" s="786"/>
      <c r="D1081" s="786"/>
      <c r="E1081" s="786"/>
      <c r="F1081" s="786"/>
      <c r="G1081" s="786"/>
      <c r="H1081" s="786"/>
      <c r="I1081" s="786"/>
      <c r="J1081" s="786"/>
      <c r="K1081" s="786"/>
      <c r="L1081" s="786"/>
      <c r="M1081" s="786"/>
      <c r="N1081" s="786"/>
      <c r="O1081" s="786"/>
      <c r="P1081" s="786"/>
      <c r="Q1081" s="67"/>
      <c r="R1081" s="67"/>
      <c r="S1081" s="727"/>
      <c r="V1081" t="s">
        <v>3174</v>
      </c>
      <c r="AC1081" t="s">
        <v>2911</v>
      </c>
      <c r="AD1081" s="671" t="s">
        <v>3179</v>
      </c>
      <c r="AE1081">
        <f>DAY(DATE($A$5,MONTH(CONCATENATE(1,"-",AD1081,"-",$A$5))+1,1)-1)</f>
        <v>28</v>
      </c>
      <c r="AI1081" s="134"/>
      <c r="AJ1081" s="134"/>
    </row>
    <row r="1082" spans="1:50" ht="15.75" customHeight="1" x14ac:dyDescent="0.3">
      <c r="A1082" s="640"/>
      <c r="B1082" s="818" t="s">
        <v>2888</v>
      </c>
      <c r="C1082" s="819"/>
      <c r="D1082" s="820"/>
      <c r="E1082" s="70"/>
      <c r="F1082" s="70"/>
      <c r="G1082" s="70"/>
      <c r="H1082" s="70"/>
      <c r="I1082" s="70"/>
      <c r="J1082" s="70"/>
      <c r="K1082" s="70"/>
      <c r="L1082" s="70"/>
      <c r="M1082" s="70"/>
      <c r="N1082" s="70"/>
      <c r="O1082" s="70"/>
      <c r="P1082" s="70"/>
      <c r="Q1082" s="67"/>
      <c r="R1082" s="67"/>
      <c r="S1082" s="675"/>
      <c r="T1082" s="812" t="s">
        <v>3169</v>
      </c>
      <c r="U1082" s="813"/>
      <c r="V1082" s="813" t="s">
        <v>3171</v>
      </c>
      <c r="W1082" s="813"/>
      <c r="X1082" s="719" t="s">
        <v>2463</v>
      </c>
      <c r="Y1082" s="719" t="s">
        <v>3180</v>
      </c>
      <c r="Z1082" s="719" t="s">
        <v>3172</v>
      </c>
    </row>
    <row r="1083" spans="1:50" ht="15.75" customHeight="1" thickBot="1" x14ac:dyDescent="0.35">
      <c r="A1083" s="634" t="s">
        <v>249</v>
      </c>
      <c r="B1083" s="653" t="s">
        <v>2886</v>
      </c>
      <c r="C1083" s="654" t="s">
        <v>2885</v>
      </c>
      <c r="D1083" s="655" t="s">
        <v>2915</v>
      </c>
      <c r="E1083" s="654" t="s">
        <v>1309</v>
      </c>
      <c r="F1083" s="654" t="s">
        <v>1029</v>
      </c>
      <c r="G1083" s="654" t="s">
        <v>1030</v>
      </c>
      <c r="H1083" s="654" t="s">
        <v>2881</v>
      </c>
      <c r="I1083" s="654" t="s">
        <v>2882</v>
      </c>
      <c r="J1083" s="654" t="s">
        <v>285</v>
      </c>
      <c r="K1083" s="654" t="s">
        <v>286</v>
      </c>
      <c r="L1083" s="654" t="s">
        <v>287</v>
      </c>
      <c r="M1083" s="654" t="s">
        <v>288</v>
      </c>
      <c r="N1083" s="654" t="s">
        <v>289</v>
      </c>
      <c r="O1083" s="654" t="s">
        <v>633</v>
      </c>
      <c r="P1083" s="654" t="s">
        <v>634</v>
      </c>
      <c r="Q1083" s="654" t="s">
        <v>1192</v>
      </c>
      <c r="R1083" s="654" t="s">
        <v>524</v>
      </c>
      <c r="S1083" s="655" t="s">
        <v>525</v>
      </c>
      <c r="T1083" s="654" t="s">
        <v>3170</v>
      </c>
      <c r="U1083" s="654" t="s">
        <v>2885</v>
      </c>
      <c r="V1083" s="654" t="s">
        <v>3173</v>
      </c>
      <c r="W1083" s="654" t="s">
        <v>2885</v>
      </c>
      <c r="X1083" s="654" t="s">
        <v>1193</v>
      </c>
      <c r="Y1083" s="654" t="s">
        <v>3181</v>
      </c>
      <c r="Z1083" s="654" t="s">
        <v>3182</v>
      </c>
      <c r="AD1083" s="634" t="s">
        <v>1308</v>
      </c>
      <c r="AE1083" s="634" t="s">
        <v>1309</v>
      </c>
      <c r="AF1083" s="634" t="s">
        <v>1029</v>
      </c>
      <c r="AG1083" s="634" t="s">
        <v>1030</v>
      </c>
      <c r="AH1083" s="634" t="s">
        <v>284</v>
      </c>
      <c r="AI1083" s="634" t="s">
        <v>285</v>
      </c>
      <c r="AJ1083" s="634" t="s">
        <v>286</v>
      </c>
      <c r="AK1083" s="634" t="s">
        <v>287</v>
      </c>
      <c r="AL1083" s="634" t="s">
        <v>288</v>
      </c>
      <c r="AM1083" s="634" t="s">
        <v>289</v>
      </c>
      <c r="AN1083" s="634" t="s">
        <v>633</v>
      </c>
      <c r="AO1083" s="634" t="s">
        <v>634</v>
      </c>
      <c r="AP1083" s="634" t="s">
        <v>1192</v>
      </c>
      <c r="AQ1083" s="634" t="s">
        <v>524</v>
      </c>
      <c r="AR1083" s="634" t="s">
        <v>525</v>
      </c>
      <c r="AS1083" s="634" t="s">
        <v>2356</v>
      </c>
      <c r="AT1083" s="634" t="s">
        <v>1415</v>
      </c>
      <c r="AU1083" s="634" t="s">
        <v>2356</v>
      </c>
      <c r="AW1083" s="669" t="s">
        <v>2925</v>
      </c>
      <c r="AX1083" s="669" t="s">
        <v>2926</v>
      </c>
    </row>
    <row r="1084" spans="1:50" ht="15.75" customHeight="1" x14ac:dyDescent="0.3">
      <c r="A1084" s="642" t="s">
        <v>2843</v>
      </c>
      <c r="B1084" s="642">
        <f>+F1111</f>
        <v>196</v>
      </c>
      <c r="C1084" s="139">
        <f t="shared" ref="B1084:C1095" si="430">+G1111</f>
        <v>0</v>
      </c>
      <c r="D1084" s="764" t="s">
        <v>2916</v>
      </c>
      <c r="E1084" s="139">
        <f>+C1004/$B$10/24</f>
        <v>20.190860215053764</v>
      </c>
      <c r="F1084" s="139">
        <f t="shared" ref="F1084:S1084" si="431">+D1004/$B$10/24</f>
        <v>21.168010752688172</v>
      </c>
      <c r="G1084" s="139">
        <f t="shared" si="431"/>
        <v>35.93010752688172</v>
      </c>
      <c r="H1084" s="139">
        <f t="shared" si="431"/>
        <v>15.054529134520388</v>
      </c>
      <c r="I1084" s="139">
        <f t="shared" si="431"/>
        <v>0</v>
      </c>
      <c r="J1084" s="139">
        <f t="shared" si="431"/>
        <v>4.918010752688172</v>
      </c>
      <c r="K1084" s="139">
        <f t="shared" si="431"/>
        <v>3.443548387096774</v>
      </c>
      <c r="L1084" s="139">
        <f t="shared" si="431"/>
        <v>5.32258064516129</v>
      </c>
      <c r="M1084" s="139">
        <f t="shared" si="431"/>
        <v>5.4838709677419359</v>
      </c>
      <c r="N1084" s="139">
        <f t="shared" si="431"/>
        <v>1.5080645161290323</v>
      </c>
      <c r="O1084" s="139">
        <f t="shared" si="431"/>
        <v>1.7768817204301077</v>
      </c>
      <c r="P1084" s="139">
        <f t="shared" si="431"/>
        <v>3.556451612903226</v>
      </c>
      <c r="Q1084" s="139">
        <f t="shared" si="431"/>
        <v>1.1061827956989247</v>
      </c>
      <c r="R1084" s="139">
        <f t="shared" si="431"/>
        <v>1.739247311827957</v>
      </c>
      <c r="S1084" s="764">
        <f t="shared" si="431"/>
        <v>2.618279569892473</v>
      </c>
      <c r="T1084" s="139">
        <f>+B1084+SUM(E1084:S1084)</f>
        <v>319.81662590871395</v>
      </c>
      <c r="U1084" s="139">
        <f t="shared" ref="U1084:U1095" si="432">+C1084+SUM(E1084:S1084)</f>
        <v>123.81662590871396</v>
      </c>
      <c r="V1084" s="139">
        <f>+B1084+SUM(E1084:G1084)</f>
        <v>273.28897849462362</v>
      </c>
      <c r="W1084" s="139">
        <f>+C1084+SUM(E1084:G1084)</f>
        <v>77.288978494623649</v>
      </c>
      <c r="X1084" s="139">
        <f>+H1084</f>
        <v>15.054529134520388</v>
      </c>
      <c r="Y1084" s="139">
        <f>+I1084</f>
        <v>0</v>
      </c>
      <c r="Z1084" s="139">
        <f>+SUM(J1084:S1084)</f>
        <v>31.473118279569889</v>
      </c>
      <c r="AC1084">
        <v>1</v>
      </c>
      <c r="AD1084" s="139">
        <f>IF($AF$1081=1,VLOOKUP($AD$1081,$A$1111:$P$1122,12,FALSE),VLOOKUP($AD$1081,$A$1084:$S$1095,2,FALSE))</f>
        <v>98</v>
      </c>
      <c r="AE1084" s="139">
        <f>VLOOKUP($AD$1081,$A$1084:$S$1095,5,FALSE)</f>
        <v>24.56845238095238</v>
      </c>
      <c r="AF1084" s="139">
        <f>VLOOKUP($AD$1081,$A$1084:$S$1095,6,FALSE)</f>
        <v>25.748511904761902</v>
      </c>
      <c r="AG1084" s="139">
        <f>VLOOKUP($AD$1081,$A$1084:$S$1095,7,FALSE)</f>
        <v>43.709821428571423</v>
      </c>
      <c r="AH1084" s="139">
        <f>VLOOKUP($AD$1081,$A$1084:$S$1095,8,FALSE)</f>
        <v>18.318629002940039</v>
      </c>
      <c r="AI1084" s="139">
        <f>VLOOKUP($AD$1081,$A$1084:$S$1095,10,FALSE)</f>
        <v>7.697916666666667</v>
      </c>
      <c r="AJ1084" s="139">
        <f>VLOOKUP($AD$1081,$A$1084:$S$1095,11,FALSE)</f>
        <v>5.5044642857142856</v>
      </c>
      <c r="AK1084" s="139">
        <f>VLOOKUP($AD$1081,$A$1084:$S$1095,12,FALSE)</f>
        <v>8.5163690476190474</v>
      </c>
      <c r="AL1084" s="139">
        <f>VLOOKUP($AD$1081,$A$1084:$S$1095,13,FALSE)</f>
        <v>8.6175595238095237</v>
      </c>
      <c r="AM1084" s="139">
        <f>VLOOKUP($AD$1081,$A$1084:$S$1095,14,FALSE)</f>
        <v>2.776785714285714</v>
      </c>
      <c r="AN1084" s="139">
        <f>VLOOKUP($AD$1081,$A$1084:$S$1095,15,FALSE)</f>
        <v>3.2723214285714288</v>
      </c>
      <c r="AO1084" s="139">
        <f>VLOOKUP($AD$1081,$A$1084:$S$1095,16,FALSE)</f>
        <v>6.3169642857142856</v>
      </c>
      <c r="AP1084" s="139">
        <f>VLOOKUP($AD$1081,$A$1084:$S$1095,17,FALSE)</f>
        <v>1.2336309523809523</v>
      </c>
      <c r="AQ1084" s="139">
        <f>VLOOKUP($AD$1081,$A$1084:$S$1095,18,FALSE)</f>
        <v>1.9255952380952381</v>
      </c>
      <c r="AR1084" s="139">
        <f>VLOOKUP($AD$1081,$A$1084:$S$1095,19,FALSE)</f>
        <v>2.9196428571428572</v>
      </c>
      <c r="AS1084" s="139">
        <f>SUM(AD1084:AR1084)</f>
        <v>259.12666471722565</v>
      </c>
      <c r="AT1084" s="139">
        <f>VLOOKUP($AD$1081,$AC$1004:$AS$1015,17,FALSE)/$AE$1081*(AS1084/$AS$1108)</f>
        <v>19.99326074898104</v>
      </c>
      <c r="AU1084" s="139">
        <f>AS1084+AT1084</f>
        <v>279.11992546620667</v>
      </c>
      <c r="AW1084" s="139">
        <f>VLOOKUP($AD$1081,$A$1032:$O$1045,15,FALSE)/$AE$1081/24</f>
        <v>353.73363095238096</v>
      </c>
      <c r="AX1084" s="139">
        <f>AU1084-AW1084</f>
        <v>-74.613705486174297</v>
      </c>
    </row>
    <row r="1085" spans="1:50" ht="15.75" customHeight="1" x14ac:dyDescent="0.3">
      <c r="A1085" s="642" t="s">
        <v>2091</v>
      </c>
      <c r="B1085" s="642">
        <f t="shared" si="430"/>
        <v>98</v>
      </c>
      <c r="C1085" s="139">
        <f t="shared" si="430"/>
        <v>0</v>
      </c>
      <c r="D1085" s="764" t="s">
        <v>2916</v>
      </c>
      <c r="E1085" s="139">
        <f t="shared" ref="E1085:S1085" si="433">+C1005/$C$10/24</f>
        <v>24.56845238095238</v>
      </c>
      <c r="F1085" s="139">
        <f t="shared" si="433"/>
        <v>25.748511904761902</v>
      </c>
      <c r="G1085" s="139">
        <f t="shared" si="433"/>
        <v>43.709821428571423</v>
      </c>
      <c r="H1085" s="139">
        <f t="shared" si="433"/>
        <v>18.318629002940039</v>
      </c>
      <c r="I1085" s="139">
        <f t="shared" si="433"/>
        <v>0</v>
      </c>
      <c r="J1085" s="139">
        <f t="shared" si="433"/>
        <v>7.697916666666667</v>
      </c>
      <c r="K1085" s="139">
        <f t="shared" si="433"/>
        <v>5.5044642857142856</v>
      </c>
      <c r="L1085" s="139">
        <f t="shared" si="433"/>
        <v>8.5163690476190474</v>
      </c>
      <c r="M1085" s="139">
        <f t="shared" si="433"/>
        <v>8.6175595238095237</v>
      </c>
      <c r="N1085" s="139">
        <f t="shared" si="433"/>
        <v>2.776785714285714</v>
      </c>
      <c r="O1085" s="139">
        <f t="shared" si="433"/>
        <v>3.2723214285714288</v>
      </c>
      <c r="P1085" s="139">
        <f t="shared" si="433"/>
        <v>6.3169642857142856</v>
      </c>
      <c r="Q1085" s="139">
        <f t="shared" si="433"/>
        <v>1.2336309523809523</v>
      </c>
      <c r="R1085" s="139">
        <f t="shared" si="433"/>
        <v>1.9255952380952381</v>
      </c>
      <c r="S1085" s="764">
        <f t="shared" si="433"/>
        <v>2.9196428571428572</v>
      </c>
      <c r="T1085" s="139">
        <f t="shared" ref="T1085:T1095" si="434">+B1085+SUM(E1085:S1085)</f>
        <v>259.12666471722571</v>
      </c>
      <c r="U1085" s="139">
        <f t="shared" si="432"/>
        <v>161.12666471722574</v>
      </c>
      <c r="V1085" s="139">
        <f t="shared" ref="V1085:V1095" si="435">+B1085+SUM(E1085:G1085)</f>
        <v>192.02678571428569</v>
      </c>
      <c r="W1085" s="139">
        <f t="shared" ref="W1085:W1095" si="436">+C1085+SUM(E1085:G1085)</f>
        <v>94.026785714285694</v>
      </c>
      <c r="X1085" s="139">
        <f t="shared" ref="X1085:Y1095" si="437">+H1085</f>
        <v>18.318629002940039</v>
      </c>
      <c r="Y1085" s="139">
        <f t="shared" si="437"/>
        <v>0</v>
      </c>
      <c r="Z1085" s="139">
        <f t="shared" ref="Z1085:Z1095" si="438">+SUM(J1085:S1085)</f>
        <v>48.78125</v>
      </c>
      <c r="AC1085">
        <v>2</v>
      </c>
      <c r="AD1085" s="139">
        <f t="shared" ref="AD1085:AD1089" si="439">IF($AF$1081=1,VLOOKUP($AD$1081,$A$1111:$P$1122,12,FALSE),VLOOKUP($AD$1081,$A$1084:$S$1095,2,FALSE))</f>
        <v>98</v>
      </c>
      <c r="AE1085" s="139">
        <f t="shared" ref="AE1085:AE1107" si="440">VLOOKUP($AD$1081,$A$1084:$S$1095,5,FALSE)</f>
        <v>24.56845238095238</v>
      </c>
      <c r="AF1085" s="139">
        <f t="shared" ref="AF1085:AF1107" si="441">VLOOKUP($AD$1081,$A$1084:$S$1095,6,FALSE)</f>
        <v>25.748511904761902</v>
      </c>
      <c r="AG1085" s="139">
        <f t="shared" ref="AG1085:AG1107" si="442">VLOOKUP($AD$1081,$A$1084:$S$1095,7,FALSE)</f>
        <v>43.709821428571423</v>
      </c>
      <c r="AH1085" s="139">
        <f t="shared" ref="AH1085:AH1107" si="443">VLOOKUP($AD$1081,$A$1084:$S$1095,8,FALSE)</f>
        <v>18.318629002940039</v>
      </c>
      <c r="AI1085" s="139">
        <f t="shared" ref="AI1085:AI1107" si="444">VLOOKUP($AD$1081,$A$1084:$S$1095,10,FALSE)</f>
        <v>7.697916666666667</v>
      </c>
      <c r="AJ1085" s="139">
        <f t="shared" ref="AJ1085:AJ1107" si="445">VLOOKUP($AD$1081,$A$1084:$S$1095,11,FALSE)</f>
        <v>5.5044642857142856</v>
      </c>
      <c r="AK1085" s="139">
        <f t="shared" ref="AK1085:AK1107" si="446">VLOOKUP($AD$1081,$A$1084:$S$1095,12,FALSE)</f>
        <v>8.5163690476190474</v>
      </c>
      <c r="AL1085" s="139">
        <f t="shared" ref="AL1085:AL1107" si="447">VLOOKUP($AD$1081,$A$1084:$S$1095,13,FALSE)</f>
        <v>8.6175595238095237</v>
      </c>
      <c r="AM1085" s="139">
        <f t="shared" ref="AM1085:AM1107" si="448">VLOOKUP($AD$1081,$A$1084:$S$1095,14,FALSE)</f>
        <v>2.776785714285714</v>
      </c>
      <c r="AN1085" s="139">
        <f t="shared" ref="AN1085:AN1107" si="449">VLOOKUP($AD$1081,$A$1084:$S$1095,15,FALSE)</f>
        <v>3.2723214285714288</v>
      </c>
      <c r="AO1085" s="139">
        <f t="shared" ref="AO1085:AO1107" si="450">VLOOKUP($AD$1081,$A$1084:$S$1095,16,FALSE)</f>
        <v>6.3169642857142856</v>
      </c>
      <c r="AP1085" s="139">
        <f t="shared" ref="AP1085:AP1107" si="451">VLOOKUP($AD$1081,$A$1084:$S$1095,17,FALSE)</f>
        <v>1.2336309523809523</v>
      </c>
      <c r="AQ1085" s="139">
        <f t="shared" ref="AQ1085:AQ1107" si="452">VLOOKUP($AD$1081,$A$1084:$S$1095,18,FALSE)</f>
        <v>1.9255952380952381</v>
      </c>
      <c r="AR1085" s="139">
        <f t="shared" ref="AR1085:AR1107" si="453">VLOOKUP($AD$1081,$A$1084:$S$1095,19,FALSE)</f>
        <v>2.9196428571428572</v>
      </c>
      <c r="AS1085" s="139">
        <f t="shared" ref="AS1085:AS1107" si="454">SUM(AD1085:AR1085)</f>
        <v>259.12666471722565</v>
      </c>
      <c r="AT1085" s="139">
        <f t="shared" ref="AT1085:AT1107" si="455">VLOOKUP($AD$1081,$AC$1004:$AS$1015,17,FALSE)/$AE$1081*(AS1085/$AS$1108)</f>
        <v>19.99326074898104</v>
      </c>
      <c r="AU1085" s="139">
        <f t="shared" ref="AU1085:AU1107" si="456">AS1085+AT1085</f>
        <v>279.11992546620667</v>
      </c>
      <c r="AW1085" s="139">
        <f t="shared" ref="AW1085:AW1107" si="457">VLOOKUP($AD$1081,$A$1032:$O$1045,15,FALSE)/$AE$1081/24</f>
        <v>353.73363095238096</v>
      </c>
      <c r="AX1085" s="139">
        <f t="shared" ref="AX1085:AX1107" si="458">AU1085-AW1085</f>
        <v>-74.613705486174297</v>
      </c>
    </row>
    <row r="1086" spans="1:50" ht="15.75" customHeight="1" x14ac:dyDescent="0.3">
      <c r="A1086" s="642" t="s">
        <v>2234</v>
      </c>
      <c r="B1086" s="642">
        <f t="shared" si="430"/>
        <v>294</v>
      </c>
      <c r="C1086" s="139">
        <f t="shared" si="430"/>
        <v>0</v>
      </c>
      <c r="D1086" s="764" t="s">
        <v>2916</v>
      </c>
      <c r="E1086" s="139">
        <f t="shared" ref="E1086:S1086" si="459">+C1006/$D$10/24</f>
        <v>23.727150537634412</v>
      </c>
      <c r="F1086" s="139">
        <f t="shared" si="459"/>
        <v>24.849462365591396</v>
      </c>
      <c r="G1086" s="139">
        <f t="shared" si="459"/>
        <v>41.420698924731184</v>
      </c>
      <c r="H1086" s="139">
        <f t="shared" si="459"/>
        <v>8.5696776528474441</v>
      </c>
      <c r="I1086" s="139">
        <f t="shared" si="459"/>
        <v>0</v>
      </c>
      <c r="J1086" s="139">
        <f t="shared" si="459"/>
        <v>10.688172043010752</v>
      </c>
      <c r="K1086" s="139">
        <f t="shared" si="459"/>
        <v>7.501344086021505</v>
      </c>
      <c r="L1086" s="139">
        <f t="shared" si="459"/>
        <v>10.522849462365592</v>
      </c>
      <c r="M1086" s="139">
        <f t="shared" si="459"/>
        <v>10.029569892473118</v>
      </c>
      <c r="N1086" s="139">
        <f t="shared" si="459"/>
        <v>3.0618279569892475</v>
      </c>
      <c r="O1086" s="139">
        <f t="shared" si="459"/>
        <v>3.6088709677419355</v>
      </c>
      <c r="P1086" s="139">
        <f t="shared" si="459"/>
        <v>7.169354838709677</v>
      </c>
      <c r="Q1086" s="139">
        <f t="shared" si="459"/>
        <v>1.282258064516129</v>
      </c>
      <c r="R1086" s="139">
        <f t="shared" si="459"/>
        <v>2.1733870967741935</v>
      </c>
      <c r="S1086" s="764">
        <f t="shared" si="459"/>
        <v>3.0322580645161294</v>
      </c>
      <c r="T1086" s="139">
        <f t="shared" si="434"/>
        <v>451.63688195392274</v>
      </c>
      <c r="U1086" s="139">
        <f t="shared" si="432"/>
        <v>157.63688195392271</v>
      </c>
      <c r="V1086" s="139">
        <f t="shared" si="435"/>
        <v>383.99731182795699</v>
      </c>
      <c r="W1086" s="139">
        <f t="shared" si="436"/>
        <v>89.997311827956992</v>
      </c>
      <c r="X1086" s="139">
        <f t="shared" si="437"/>
        <v>8.5696776528474441</v>
      </c>
      <c r="Y1086" s="139">
        <f t="shared" si="437"/>
        <v>0</v>
      </c>
      <c r="Z1086" s="139">
        <f t="shared" si="438"/>
        <v>59.06989247311828</v>
      </c>
      <c r="AC1086">
        <v>3</v>
      </c>
      <c r="AD1086" s="139">
        <f t="shared" si="439"/>
        <v>98</v>
      </c>
      <c r="AE1086" s="139">
        <f t="shared" si="440"/>
        <v>24.56845238095238</v>
      </c>
      <c r="AF1086" s="139">
        <f t="shared" si="441"/>
        <v>25.748511904761902</v>
      </c>
      <c r="AG1086" s="139">
        <f t="shared" si="442"/>
        <v>43.709821428571423</v>
      </c>
      <c r="AH1086" s="139">
        <f t="shared" si="443"/>
        <v>18.318629002940039</v>
      </c>
      <c r="AI1086" s="139">
        <f t="shared" si="444"/>
        <v>7.697916666666667</v>
      </c>
      <c r="AJ1086" s="139">
        <f t="shared" si="445"/>
        <v>5.5044642857142856</v>
      </c>
      <c r="AK1086" s="139">
        <f t="shared" si="446"/>
        <v>8.5163690476190474</v>
      </c>
      <c r="AL1086" s="139">
        <f t="shared" si="447"/>
        <v>8.6175595238095237</v>
      </c>
      <c r="AM1086" s="139">
        <f t="shared" si="448"/>
        <v>2.776785714285714</v>
      </c>
      <c r="AN1086" s="139">
        <f t="shared" si="449"/>
        <v>3.2723214285714288</v>
      </c>
      <c r="AO1086" s="139">
        <f t="shared" si="450"/>
        <v>6.3169642857142856</v>
      </c>
      <c r="AP1086" s="139">
        <f t="shared" si="451"/>
        <v>1.2336309523809523</v>
      </c>
      <c r="AQ1086" s="139">
        <f t="shared" si="452"/>
        <v>1.9255952380952381</v>
      </c>
      <c r="AR1086" s="139">
        <f t="shared" si="453"/>
        <v>2.9196428571428572</v>
      </c>
      <c r="AS1086" s="139">
        <f t="shared" si="454"/>
        <v>259.12666471722565</v>
      </c>
      <c r="AT1086" s="139">
        <f t="shared" si="455"/>
        <v>19.99326074898104</v>
      </c>
      <c r="AU1086" s="139">
        <f t="shared" si="456"/>
        <v>279.11992546620667</v>
      </c>
      <c r="AW1086" s="139">
        <f t="shared" si="457"/>
        <v>353.73363095238096</v>
      </c>
      <c r="AX1086" s="139">
        <f t="shared" si="458"/>
        <v>-74.613705486174297</v>
      </c>
    </row>
    <row r="1087" spans="1:50" ht="15.75" customHeight="1" x14ac:dyDescent="0.3">
      <c r="A1087" s="642" t="s">
        <v>2235</v>
      </c>
      <c r="B1087" s="642">
        <f t="shared" si="430"/>
        <v>294</v>
      </c>
      <c r="C1087" s="139">
        <f t="shared" si="430"/>
        <v>0</v>
      </c>
      <c r="D1087" s="764" t="s">
        <v>2916</v>
      </c>
      <c r="E1087" s="139">
        <f t="shared" ref="E1087:S1087" si="460">+C1007/$F$10/24</f>
        <v>24.858333333333334</v>
      </c>
      <c r="F1087" s="139">
        <f t="shared" si="460"/>
        <v>26.018055555555552</v>
      </c>
      <c r="G1087" s="139">
        <f t="shared" si="460"/>
        <v>42.80555555555555</v>
      </c>
      <c r="H1087" s="139">
        <f t="shared" si="460"/>
        <v>0</v>
      </c>
      <c r="I1087" s="139">
        <f t="shared" si="460"/>
        <v>-2.1617115973750285</v>
      </c>
      <c r="J1087" s="139">
        <f t="shared" si="460"/>
        <v>15.241666666666667</v>
      </c>
      <c r="K1087" s="139">
        <f t="shared" si="460"/>
        <v>9.8986111111111104</v>
      </c>
      <c r="L1087" s="139">
        <f t="shared" si="460"/>
        <v>12.048611111111112</v>
      </c>
      <c r="M1087" s="139">
        <f t="shared" si="460"/>
        <v>11.395833333333334</v>
      </c>
      <c r="N1087" s="139">
        <f t="shared" si="460"/>
        <v>3.5500000000000003</v>
      </c>
      <c r="O1087" s="139">
        <f t="shared" si="460"/>
        <v>4.1833333333333336</v>
      </c>
      <c r="P1087" s="139">
        <f t="shared" si="460"/>
        <v>7.8666666666666671</v>
      </c>
      <c r="Q1087" s="139">
        <f t="shared" si="460"/>
        <v>1.4819444444444445</v>
      </c>
      <c r="R1087" s="139">
        <f t="shared" si="460"/>
        <v>2.6958333333333333</v>
      </c>
      <c r="S1087" s="764">
        <f t="shared" si="460"/>
        <v>3.5069444444444446</v>
      </c>
      <c r="T1087" s="139">
        <f t="shared" si="434"/>
        <v>457.38967729151386</v>
      </c>
      <c r="U1087" s="139">
        <f t="shared" si="432"/>
        <v>163.38967729151389</v>
      </c>
      <c r="V1087" s="139">
        <f t="shared" si="435"/>
        <v>387.68194444444441</v>
      </c>
      <c r="W1087" s="139">
        <f t="shared" si="436"/>
        <v>93.68194444444444</v>
      </c>
      <c r="X1087" s="139">
        <f t="shared" si="437"/>
        <v>0</v>
      </c>
      <c r="Y1087" s="139">
        <f t="shared" si="437"/>
        <v>-2.1617115973750285</v>
      </c>
      <c r="Z1087" s="139">
        <f t="shared" si="438"/>
        <v>71.869444444444468</v>
      </c>
      <c r="AC1087">
        <v>4</v>
      </c>
      <c r="AD1087" s="139">
        <f t="shared" si="439"/>
        <v>98</v>
      </c>
      <c r="AE1087" s="139">
        <f t="shared" si="440"/>
        <v>24.56845238095238</v>
      </c>
      <c r="AF1087" s="139">
        <f t="shared" si="441"/>
        <v>25.748511904761902</v>
      </c>
      <c r="AG1087" s="139">
        <f t="shared" si="442"/>
        <v>43.709821428571423</v>
      </c>
      <c r="AH1087" s="139">
        <f t="shared" si="443"/>
        <v>18.318629002940039</v>
      </c>
      <c r="AI1087" s="139">
        <f t="shared" si="444"/>
        <v>7.697916666666667</v>
      </c>
      <c r="AJ1087" s="139">
        <f t="shared" si="445"/>
        <v>5.5044642857142856</v>
      </c>
      <c r="AK1087" s="139">
        <f t="shared" si="446"/>
        <v>8.5163690476190474</v>
      </c>
      <c r="AL1087" s="139">
        <f t="shared" si="447"/>
        <v>8.6175595238095237</v>
      </c>
      <c r="AM1087" s="139">
        <f t="shared" si="448"/>
        <v>2.776785714285714</v>
      </c>
      <c r="AN1087" s="139">
        <f t="shared" si="449"/>
        <v>3.2723214285714288</v>
      </c>
      <c r="AO1087" s="139">
        <f t="shared" si="450"/>
        <v>6.3169642857142856</v>
      </c>
      <c r="AP1087" s="139">
        <f t="shared" si="451"/>
        <v>1.2336309523809523</v>
      </c>
      <c r="AQ1087" s="139">
        <f t="shared" si="452"/>
        <v>1.9255952380952381</v>
      </c>
      <c r="AR1087" s="139">
        <f t="shared" si="453"/>
        <v>2.9196428571428572</v>
      </c>
      <c r="AS1087" s="139">
        <f t="shared" si="454"/>
        <v>259.12666471722565</v>
      </c>
      <c r="AT1087" s="139">
        <f t="shared" si="455"/>
        <v>19.99326074898104</v>
      </c>
      <c r="AU1087" s="139">
        <f t="shared" si="456"/>
        <v>279.11992546620667</v>
      </c>
      <c r="AW1087" s="139">
        <f t="shared" si="457"/>
        <v>353.73363095238096</v>
      </c>
      <c r="AX1087" s="139">
        <f t="shared" si="458"/>
        <v>-74.613705486174297</v>
      </c>
    </row>
    <row r="1088" spans="1:50" ht="15.75" customHeight="1" x14ac:dyDescent="0.3">
      <c r="A1088" s="642" t="s">
        <v>2236</v>
      </c>
      <c r="B1088" s="642">
        <f t="shared" si="430"/>
        <v>294</v>
      </c>
      <c r="C1088" s="139">
        <f t="shared" si="430"/>
        <v>0</v>
      </c>
      <c r="D1088" s="764" t="s">
        <v>2916</v>
      </c>
      <c r="E1088" s="139">
        <f t="shared" ref="E1088:S1088" si="461">+C1008/$G$10/24</f>
        <v>28.295698924731184</v>
      </c>
      <c r="F1088" s="139">
        <f t="shared" si="461"/>
        <v>29.618279569892476</v>
      </c>
      <c r="G1088" s="139">
        <f t="shared" si="461"/>
        <v>48.514784946236553</v>
      </c>
      <c r="H1088" s="139">
        <f t="shared" si="461"/>
        <v>0</v>
      </c>
      <c r="I1088" s="139">
        <f t="shared" si="461"/>
        <v>0</v>
      </c>
      <c r="J1088" s="139">
        <f t="shared" si="461"/>
        <v>15.69220430107527</v>
      </c>
      <c r="K1088" s="139">
        <f t="shared" si="461"/>
        <v>8.6666666666666661</v>
      </c>
      <c r="L1088" s="139">
        <f t="shared" si="461"/>
        <v>11.379032258064518</v>
      </c>
      <c r="M1088" s="139">
        <f t="shared" si="461"/>
        <v>10.825268817204302</v>
      </c>
      <c r="N1088" s="139">
        <f t="shared" si="461"/>
        <v>3.470430107526882</v>
      </c>
      <c r="O1088" s="139">
        <f t="shared" si="461"/>
        <v>4.088709677419355</v>
      </c>
      <c r="P1088" s="139">
        <f t="shared" si="461"/>
        <v>7.844086021505376</v>
      </c>
      <c r="Q1088" s="139">
        <f t="shared" si="461"/>
        <v>1.4126344086021507</v>
      </c>
      <c r="R1088" s="139">
        <f t="shared" si="461"/>
        <v>3.043010752688172</v>
      </c>
      <c r="S1088" s="764">
        <f t="shared" si="461"/>
        <v>3.34005376344086</v>
      </c>
      <c r="T1088" s="139">
        <f t="shared" si="434"/>
        <v>470.1908602150537</v>
      </c>
      <c r="U1088" s="139">
        <f t="shared" si="432"/>
        <v>176.19086021505373</v>
      </c>
      <c r="V1088" s="139">
        <f t="shared" si="435"/>
        <v>400.42876344086022</v>
      </c>
      <c r="W1088" s="139">
        <f t="shared" si="436"/>
        <v>106.42876344086022</v>
      </c>
      <c r="X1088" s="139">
        <f t="shared" si="437"/>
        <v>0</v>
      </c>
      <c r="Y1088" s="139">
        <f t="shared" si="437"/>
        <v>0</v>
      </c>
      <c r="Z1088" s="139">
        <f t="shared" si="438"/>
        <v>69.762096774193552</v>
      </c>
      <c r="AC1088">
        <v>5</v>
      </c>
      <c r="AD1088" s="139">
        <f t="shared" si="439"/>
        <v>98</v>
      </c>
      <c r="AE1088" s="139">
        <f t="shared" si="440"/>
        <v>24.56845238095238</v>
      </c>
      <c r="AF1088" s="139">
        <f t="shared" si="441"/>
        <v>25.748511904761902</v>
      </c>
      <c r="AG1088" s="139">
        <f t="shared" si="442"/>
        <v>43.709821428571423</v>
      </c>
      <c r="AH1088" s="139">
        <f t="shared" si="443"/>
        <v>18.318629002940039</v>
      </c>
      <c r="AI1088" s="139">
        <f t="shared" si="444"/>
        <v>7.697916666666667</v>
      </c>
      <c r="AJ1088" s="139">
        <f t="shared" si="445"/>
        <v>5.5044642857142856</v>
      </c>
      <c r="AK1088" s="139">
        <f t="shared" si="446"/>
        <v>8.5163690476190474</v>
      </c>
      <c r="AL1088" s="139">
        <f t="shared" si="447"/>
        <v>8.6175595238095237</v>
      </c>
      <c r="AM1088" s="139">
        <f t="shared" si="448"/>
        <v>2.776785714285714</v>
      </c>
      <c r="AN1088" s="139">
        <f t="shared" si="449"/>
        <v>3.2723214285714288</v>
      </c>
      <c r="AO1088" s="139">
        <f t="shared" si="450"/>
        <v>6.3169642857142856</v>
      </c>
      <c r="AP1088" s="139">
        <f t="shared" si="451"/>
        <v>1.2336309523809523</v>
      </c>
      <c r="AQ1088" s="139">
        <f t="shared" si="452"/>
        <v>1.9255952380952381</v>
      </c>
      <c r="AR1088" s="139">
        <f t="shared" si="453"/>
        <v>2.9196428571428572</v>
      </c>
      <c r="AS1088" s="139">
        <f t="shared" si="454"/>
        <v>259.12666471722565</v>
      </c>
      <c r="AT1088" s="139">
        <f t="shared" si="455"/>
        <v>19.99326074898104</v>
      </c>
      <c r="AU1088" s="139">
        <f t="shared" si="456"/>
        <v>279.11992546620667</v>
      </c>
      <c r="AW1088" s="139">
        <f t="shared" si="457"/>
        <v>353.73363095238096</v>
      </c>
      <c r="AX1088" s="139">
        <f t="shared" si="458"/>
        <v>-74.613705486174297</v>
      </c>
    </row>
    <row r="1089" spans="1:50" ht="15.75" customHeight="1" x14ac:dyDescent="0.3">
      <c r="A1089" s="642" t="s">
        <v>2237</v>
      </c>
      <c r="B1089" s="642">
        <f t="shared" si="430"/>
        <v>147</v>
      </c>
      <c r="C1089" s="139">
        <f t="shared" si="430"/>
        <v>0</v>
      </c>
      <c r="D1089" s="764" t="str">
        <f>H1116</f>
        <v>n/a</v>
      </c>
      <c r="E1089" s="139">
        <f t="shared" ref="E1089:S1089" si="462">+C1009/$H$10/24</f>
        <v>12.575000000000001</v>
      </c>
      <c r="F1089" s="139">
        <f t="shared" si="462"/>
        <v>13.12361111111111</v>
      </c>
      <c r="G1089" s="139">
        <f t="shared" si="462"/>
        <v>20.208333333333332</v>
      </c>
      <c r="H1089" s="139">
        <f t="shared" si="462"/>
        <v>0</v>
      </c>
      <c r="I1089" s="139">
        <f t="shared" si="462"/>
        <v>-21.96721634360711</v>
      </c>
      <c r="J1089" s="139">
        <f t="shared" si="462"/>
        <v>19.022222222222222</v>
      </c>
      <c r="K1089" s="139">
        <f t="shared" si="462"/>
        <v>11.31388888888889</v>
      </c>
      <c r="L1089" s="139">
        <f t="shared" si="462"/>
        <v>11.394444444444444</v>
      </c>
      <c r="M1089" s="139">
        <f t="shared" si="462"/>
        <v>9.7263888888888896</v>
      </c>
      <c r="N1089" s="139">
        <f t="shared" si="462"/>
        <v>3.1902777777777778</v>
      </c>
      <c r="O1089" s="139">
        <f t="shared" si="462"/>
        <v>3.7569444444444446</v>
      </c>
      <c r="P1089" s="139">
        <f t="shared" si="462"/>
        <v>7.2986111111111107</v>
      </c>
      <c r="Q1089" s="139">
        <f t="shared" si="462"/>
        <v>1.440277777777778</v>
      </c>
      <c r="R1089" s="139">
        <f t="shared" si="462"/>
        <v>3.2347222222222225</v>
      </c>
      <c r="S1089" s="764">
        <f t="shared" si="462"/>
        <v>3.4055555555555554</v>
      </c>
      <c r="T1089" s="139">
        <f t="shared" si="434"/>
        <v>244.72306143417069</v>
      </c>
      <c r="U1089" s="139">
        <f t="shared" si="432"/>
        <v>97.723061434170674</v>
      </c>
      <c r="V1089" s="139">
        <f t="shared" si="435"/>
        <v>192.90694444444443</v>
      </c>
      <c r="W1089" s="139">
        <f t="shared" si="436"/>
        <v>45.906944444444449</v>
      </c>
      <c r="X1089" s="139">
        <f t="shared" si="437"/>
        <v>0</v>
      </c>
      <c r="Y1089" s="139">
        <f t="shared" si="437"/>
        <v>-21.96721634360711</v>
      </c>
      <c r="Z1089" s="139">
        <f t="shared" si="438"/>
        <v>73.783333333333331</v>
      </c>
      <c r="AC1089">
        <v>6</v>
      </c>
      <c r="AD1089" s="139">
        <f t="shared" si="439"/>
        <v>98</v>
      </c>
      <c r="AE1089" s="139">
        <f t="shared" si="440"/>
        <v>24.56845238095238</v>
      </c>
      <c r="AF1089" s="139">
        <f t="shared" si="441"/>
        <v>25.748511904761902</v>
      </c>
      <c r="AG1089" s="139">
        <f t="shared" si="442"/>
        <v>43.709821428571423</v>
      </c>
      <c r="AH1089" s="139">
        <f t="shared" si="443"/>
        <v>18.318629002940039</v>
      </c>
      <c r="AI1089" s="139">
        <f t="shared" si="444"/>
        <v>7.697916666666667</v>
      </c>
      <c r="AJ1089" s="139">
        <f t="shared" si="445"/>
        <v>5.5044642857142856</v>
      </c>
      <c r="AK1089" s="139">
        <f t="shared" si="446"/>
        <v>8.5163690476190474</v>
      </c>
      <c r="AL1089" s="139">
        <f t="shared" si="447"/>
        <v>8.6175595238095237</v>
      </c>
      <c r="AM1089" s="139">
        <f t="shared" si="448"/>
        <v>2.776785714285714</v>
      </c>
      <c r="AN1089" s="139">
        <f t="shared" si="449"/>
        <v>3.2723214285714288</v>
      </c>
      <c r="AO1089" s="139">
        <f t="shared" si="450"/>
        <v>6.3169642857142856</v>
      </c>
      <c r="AP1089" s="139">
        <f t="shared" si="451"/>
        <v>1.2336309523809523</v>
      </c>
      <c r="AQ1089" s="139">
        <f t="shared" si="452"/>
        <v>1.9255952380952381</v>
      </c>
      <c r="AR1089" s="139">
        <f t="shared" si="453"/>
        <v>2.9196428571428572</v>
      </c>
      <c r="AS1089" s="139">
        <f t="shared" si="454"/>
        <v>259.12666471722565</v>
      </c>
      <c r="AT1089" s="139">
        <f t="shared" si="455"/>
        <v>19.99326074898104</v>
      </c>
      <c r="AU1089" s="139">
        <f t="shared" si="456"/>
        <v>279.11992546620667</v>
      </c>
      <c r="AW1089" s="139">
        <f t="shared" si="457"/>
        <v>353.73363095238096</v>
      </c>
      <c r="AX1089" s="139">
        <f t="shared" si="458"/>
        <v>-74.613705486174297</v>
      </c>
    </row>
    <row r="1090" spans="1:50" ht="15.75" customHeight="1" x14ac:dyDescent="0.3">
      <c r="A1090" s="642" t="s">
        <v>1504</v>
      </c>
      <c r="B1090" s="642">
        <f t="shared" si="430"/>
        <v>147</v>
      </c>
      <c r="C1090" s="139">
        <f t="shared" si="430"/>
        <v>0</v>
      </c>
      <c r="D1090" s="764" t="str">
        <f>H1117</f>
        <v>n/a</v>
      </c>
      <c r="E1090" s="139">
        <f t="shared" ref="E1090:S1090" si="463">+C1010/$J$10/24</f>
        <v>8.4408602150537639</v>
      </c>
      <c r="F1090" s="139">
        <f t="shared" si="463"/>
        <v>8.7876344086021501</v>
      </c>
      <c r="G1090" s="139">
        <f t="shared" si="463"/>
        <v>13.01747311827957</v>
      </c>
      <c r="H1090" s="139">
        <f t="shared" si="463"/>
        <v>0</v>
      </c>
      <c r="I1090" s="139">
        <f t="shared" si="463"/>
        <v>-19.852710780525623</v>
      </c>
      <c r="J1090" s="139">
        <f t="shared" si="463"/>
        <v>17.498655913978492</v>
      </c>
      <c r="K1090" s="139">
        <f t="shared" si="463"/>
        <v>11.779569892473118</v>
      </c>
      <c r="L1090" s="139">
        <f t="shared" si="463"/>
        <v>11.301075268817206</v>
      </c>
      <c r="M1090" s="139">
        <f t="shared" si="463"/>
        <v>9.5053763440860219</v>
      </c>
      <c r="N1090" s="139">
        <f t="shared" si="463"/>
        <v>2.9032258064516125</v>
      </c>
      <c r="O1090" s="139">
        <f t="shared" si="463"/>
        <v>3.4193548387096775</v>
      </c>
      <c r="P1090" s="139">
        <f t="shared" si="463"/>
        <v>6.9005376344086029</v>
      </c>
      <c r="Q1090" s="139">
        <f t="shared" si="463"/>
        <v>1.428763440860215</v>
      </c>
      <c r="R1090" s="139">
        <f t="shared" si="463"/>
        <v>2.8266129032258065</v>
      </c>
      <c r="S1090" s="764">
        <f t="shared" si="463"/>
        <v>3.3803763440860215</v>
      </c>
      <c r="T1090" s="139">
        <f t="shared" si="434"/>
        <v>228.33680534850663</v>
      </c>
      <c r="U1090" s="139">
        <f t="shared" si="432"/>
        <v>81.33680534850663</v>
      </c>
      <c r="V1090" s="139">
        <f t="shared" si="435"/>
        <v>177.24596774193549</v>
      </c>
      <c r="W1090" s="139">
        <f t="shared" si="436"/>
        <v>30.24596774193548</v>
      </c>
      <c r="X1090" s="139">
        <f t="shared" si="437"/>
        <v>0</v>
      </c>
      <c r="Y1090" s="139">
        <f t="shared" si="437"/>
        <v>-19.852710780525623</v>
      </c>
      <c r="Z1090" s="139">
        <f t="shared" si="438"/>
        <v>70.943548387096769</v>
      </c>
      <c r="AC1090">
        <v>7</v>
      </c>
      <c r="AD1090" s="139">
        <f>IF($AF$1081=1,VLOOKUP($AD$1081,$A$1111:$P$1122,12,FALSE),IF(OR($AD$1081="JAN",$AD$1081="FEB",$AD$1081="NOV",$AD$1081="DEC"),VLOOKUP($AD$1081,$A$1084:$S$1095,2,FALSE),VLOOKUP($AD$1081,$A$1084:$S$1095,3,FALSE)))</f>
        <v>98</v>
      </c>
      <c r="AE1090" s="139">
        <f t="shared" si="440"/>
        <v>24.56845238095238</v>
      </c>
      <c r="AF1090" s="139">
        <f t="shared" si="441"/>
        <v>25.748511904761902</v>
      </c>
      <c r="AG1090" s="139">
        <f t="shared" si="442"/>
        <v>43.709821428571423</v>
      </c>
      <c r="AH1090" s="139">
        <f t="shared" si="443"/>
        <v>18.318629002940039</v>
      </c>
      <c r="AI1090" s="139">
        <f t="shared" si="444"/>
        <v>7.697916666666667</v>
      </c>
      <c r="AJ1090" s="139">
        <f t="shared" si="445"/>
        <v>5.5044642857142856</v>
      </c>
      <c r="AK1090" s="139">
        <f t="shared" si="446"/>
        <v>8.5163690476190474</v>
      </c>
      <c r="AL1090" s="139">
        <f t="shared" si="447"/>
        <v>8.6175595238095237</v>
      </c>
      <c r="AM1090" s="139">
        <f t="shared" si="448"/>
        <v>2.776785714285714</v>
      </c>
      <c r="AN1090" s="139">
        <f t="shared" si="449"/>
        <v>3.2723214285714288</v>
      </c>
      <c r="AO1090" s="139">
        <f t="shared" si="450"/>
        <v>6.3169642857142856</v>
      </c>
      <c r="AP1090" s="139">
        <f t="shared" si="451"/>
        <v>1.2336309523809523</v>
      </c>
      <c r="AQ1090" s="139">
        <f t="shared" si="452"/>
        <v>1.9255952380952381</v>
      </c>
      <c r="AR1090" s="139">
        <f t="shared" si="453"/>
        <v>2.9196428571428572</v>
      </c>
      <c r="AS1090" s="139">
        <f t="shared" si="454"/>
        <v>259.12666471722565</v>
      </c>
      <c r="AT1090" s="139">
        <f t="shared" si="455"/>
        <v>19.99326074898104</v>
      </c>
      <c r="AU1090" s="139">
        <f t="shared" si="456"/>
        <v>279.11992546620667</v>
      </c>
      <c r="AW1090" s="139">
        <f t="shared" si="457"/>
        <v>353.73363095238096</v>
      </c>
      <c r="AX1090" s="139">
        <f t="shared" si="458"/>
        <v>-74.613705486174297</v>
      </c>
    </row>
    <row r="1091" spans="1:50" ht="15.75" customHeight="1" x14ac:dyDescent="0.3">
      <c r="A1091" s="642" t="s">
        <v>1505</v>
      </c>
      <c r="B1091" s="642">
        <f t="shared" si="430"/>
        <v>147</v>
      </c>
      <c r="C1091" s="139">
        <f t="shared" si="430"/>
        <v>0</v>
      </c>
      <c r="D1091" s="764" t="str">
        <f>H1118</f>
        <v>n/a</v>
      </c>
      <c r="E1091" s="139">
        <f t="shared" ref="E1091:S1091" si="464">+C1011/$K$10/24</f>
        <v>8.512096774193548</v>
      </c>
      <c r="F1091" s="139">
        <f t="shared" si="464"/>
        <v>8.8763440860215059</v>
      </c>
      <c r="G1091" s="139">
        <f t="shared" si="464"/>
        <v>13.489247311827958</v>
      </c>
      <c r="H1091" s="139">
        <f t="shared" si="464"/>
        <v>0</v>
      </c>
      <c r="I1091" s="139">
        <f t="shared" si="464"/>
        <v>-10.87922856973494</v>
      </c>
      <c r="J1091" s="139">
        <f t="shared" si="464"/>
        <v>13.24731182795699</v>
      </c>
      <c r="K1091" s="139">
        <f t="shared" si="464"/>
        <v>9.3521505376344081</v>
      </c>
      <c r="L1091" s="139">
        <f t="shared" si="464"/>
        <v>10.618279569892474</v>
      </c>
      <c r="M1091" s="139">
        <f t="shared" si="464"/>
        <v>9.4206989247311821</v>
      </c>
      <c r="N1091" s="139">
        <f t="shared" si="464"/>
        <v>2.8897849462365595</v>
      </c>
      <c r="O1091" s="139">
        <f t="shared" si="464"/>
        <v>3.4032258064516125</v>
      </c>
      <c r="P1091" s="139">
        <f t="shared" si="464"/>
        <v>6.8024193548387091</v>
      </c>
      <c r="Q1091" s="139">
        <f t="shared" si="464"/>
        <v>1.4435483870967742</v>
      </c>
      <c r="R1091" s="139">
        <f t="shared" si="464"/>
        <v>2.6088709677419355</v>
      </c>
      <c r="S1091" s="764">
        <f t="shared" si="464"/>
        <v>3.4166666666666665</v>
      </c>
      <c r="T1091" s="139">
        <f t="shared" si="434"/>
        <v>230.20141659155539</v>
      </c>
      <c r="U1091" s="139">
        <f t="shared" si="432"/>
        <v>83.201416591555386</v>
      </c>
      <c r="V1091" s="139">
        <f t="shared" si="435"/>
        <v>177.87768817204301</v>
      </c>
      <c r="W1091" s="139">
        <f t="shared" si="436"/>
        <v>30.877688172043015</v>
      </c>
      <c r="X1091" s="139">
        <f t="shared" si="437"/>
        <v>0</v>
      </c>
      <c r="Y1091" s="139">
        <f t="shared" si="437"/>
        <v>-10.87922856973494</v>
      </c>
      <c r="Z1091" s="139">
        <f t="shared" si="438"/>
        <v>63.202956989247319</v>
      </c>
      <c r="AC1091">
        <v>8</v>
      </c>
      <c r="AD1091" s="139">
        <f>IF($AF$1081=1,VLOOKUP($AD$1081,$A$1111:$P$1122,12,FALSE),VLOOKUP($AD$1081,$A$1084:$S$1095,3,FALSE))</f>
        <v>0</v>
      </c>
      <c r="AE1091" s="139">
        <f t="shared" si="440"/>
        <v>24.56845238095238</v>
      </c>
      <c r="AF1091" s="139">
        <f t="shared" si="441"/>
        <v>25.748511904761902</v>
      </c>
      <c r="AG1091" s="139">
        <f t="shared" si="442"/>
        <v>43.709821428571423</v>
      </c>
      <c r="AH1091" s="139">
        <f t="shared" si="443"/>
        <v>18.318629002940039</v>
      </c>
      <c r="AI1091" s="139">
        <f t="shared" si="444"/>
        <v>7.697916666666667</v>
      </c>
      <c r="AJ1091" s="139">
        <f t="shared" si="445"/>
        <v>5.5044642857142856</v>
      </c>
      <c r="AK1091" s="139">
        <f t="shared" si="446"/>
        <v>8.5163690476190474</v>
      </c>
      <c r="AL1091" s="139">
        <f t="shared" si="447"/>
        <v>8.6175595238095237</v>
      </c>
      <c r="AM1091" s="139">
        <f t="shared" si="448"/>
        <v>2.776785714285714</v>
      </c>
      <c r="AN1091" s="139">
        <f t="shared" si="449"/>
        <v>3.2723214285714288</v>
      </c>
      <c r="AO1091" s="139">
        <f t="shared" si="450"/>
        <v>6.3169642857142856</v>
      </c>
      <c r="AP1091" s="139">
        <f t="shared" si="451"/>
        <v>1.2336309523809523</v>
      </c>
      <c r="AQ1091" s="139">
        <f t="shared" si="452"/>
        <v>1.9255952380952381</v>
      </c>
      <c r="AR1091" s="139">
        <f t="shared" si="453"/>
        <v>2.9196428571428572</v>
      </c>
      <c r="AS1091" s="139">
        <f t="shared" si="454"/>
        <v>161.12666471722574</v>
      </c>
      <c r="AT1091" s="139">
        <f t="shared" si="455"/>
        <v>12.431941054080911</v>
      </c>
      <c r="AU1091" s="139">
        <f t="shared" si="456"/>
        <v>173.55860577130665</v>
      </c>
      <c r="AW1091" s="139">
        <f t="shared" si="457"/>
        <v>353.73363095238096</v>
      </c>
      <c r="AX1091" s="139">
        <f t="shared" si="458"/>
        <v>-180.17502518107432</v>
      </c>
    </row>
    <row r="1092" spans="1:50" ht="15.75" customHeight="1" x14ac:dyDescent="0.3">
      <c r="A1092" s="642" t="s">
        <v>1506</v>
      </c>
      <c r="B1092" s="642">
        <f t="shared" si="430"/>
        <v>245</v>
      </c>
      <c r="C1092" s="139">
        <f t="shared" si="430"/>
        <v>0</v>
      </c>
      <c r="D1092" s="764" t="s">
        <v>2916</v>
      </c>
      <c r="E1092" s="139">
        <f t="shared" ref="E1092:S1092" si="465">+C1012/$L$10/24</f>
        <v>22.040277777777778</v>
      </c>
      <c r="F1092" s="139">
        <f t="shared" si="465"/>
        <v>23.070833333333336</v>
      </c>
      <c r="G1092" s="139">
        <f t="shared" si="465"/>
        <v>38.365277777777777</v>
      </c>
      <c r="H1092" s="139">
        <f t="shared" si="465"/>
        <v>3.7402394118380697</v>
      </c>
      <c r="I1092" s="139">
        <f t="shared" si="465"/>
        <v>0</v>
      </c>
      <c r="J1092" s="139">
        <f t="shared" si="465"/>
        <v>9.4763888888888896</v>
      </c>
      <c r="K1092" s="139">
        <f t="shared" si="465"/>
        <v>5.8805555555555555</v>
      </c>
      <c r="L1092" s="139">
        <f t="shared" si="465"/>
        <v>8.7333333333333325</v>
      </c>
      <c r="M1092" s="139">
        <f t="shared" si="465"/>
        <v>8.4749999999999996</v>
      </c>
      <c r="N1092" s="139">
        <f t="shared" si="465"/>
        <v>2.7819444444444446</v>
      </c>
      <c r="O1092" s="139">
        <f t="shared" si="465"/>
        <v>3.2777777777777781</v>
      </c>
      <c r="P1092" s="139">
        <f t="shared" si="465"/>
        <v>6.5555555555555562</v>
      </c>
      <c r="Q1092" s="139">
        <f t="shared" si="465"/>
        <v>1.1958333333333333</v>
      </c>
      <c r="R1092" s="139">
        <f t="shared" si="465"/>
        <v>2.4708333333333332</v>
      </c>
      <c r="S1092" s="764">
        <f t="shared" si="465"/>
        <v>2.8291666666666671</v>
      </c>
      <c r="T1092" s="139">
        <f t="shared" si="434"/>
        <v>383.89301718961588</v>
      </c>
      <c r="U1092" s="139">
        <f t="shared" si="432"/>
        <v>138.89301718961585</v>
      </c>
      <c r="V1092" s="139">
        <f t="shared" si="435"/>
        <v>328.47638888888889</v>
      </c>
      <c r="W1092" s="139">
        <f t="shared" si="436"/>
        <v>83.476388888888891</v>
      </c>
      <c r="X1092" s="139">
        <f t="shared" si="437"/>
        <v>3.7402394118380697</v>
      </c>
      <c r="Y1092" s="139">
        <f t="shared" si="437"/>
        <v>0</v>
      </c>
      <c r="Z1092" s="139">
        <f t="shared" si="438"/>
        <v>51.676388888888887</v>
      </c>
      <c r="AC1092">
        <v>9</v>
      </c>
      <c r="AD1092" s="139">
        <f>IF($AF$1081=1,VLOOKUP($AD$1081,$A$1111:$P$1122,12,FALSE),VLOOKUP($AD$1081,$A$1084:$S$1095,3,FALSE))</f>
        <v>0</v>
      </c>
      <c r="AE1092" s="139">
        <f t="shared" si="440"/>
        <v>24.56845238095238</v>
      </c>
      <c r="AF1092" s="139">
        <f t="shared" si="441"/>
        <v>25.748511904761902</v>
      </c>
      <c r="AG1092" s="139">
        <f t="shared" si="442"/>
        <v>43.709821428571423</v>
      </c>
      <c r="AH1092" s="139">
        <f t="shared" si="443"/>
        <v>18.318629002940039</v>
      </c>
      <c r="AI1092" s="139">
        <f t="shared" si="444"/>
        <v>7.697916666666667</v>
      </c>
      <c r="AJ1092" s="139">
        <f t="shared" si="445"/>
        <v>5.5044642857142856</v>
      </c>
      <c r="AK1092" s="139">
        <f t="shared" si="446"/>
        <v>8.5163690476190474</v>
      </c>
      <c r="AL1092" s="139">
        <f t="shared" si="447"/>
        <v>8.6175595238095237</v>
      </c>
      <c r="AM1092" s="139">
        <f t="shared" si="448"/>
        <v>2.776785714285714</v>
      </c>
      <c r="AN1092" s="139">
        <f t="shared" si="449"/>
        <v>3.2723214285714288</v>
      </c>
      <c r="AO1092" s="139">
        <f t="shared" si="450"/>
        <v>6.3169642857142856</v>
      </c>
      <c r="AP1092" s="139">
        <f t="shared" si="451"/>
        <v>1.2336309523809523</v>
      </c>
      <c r="AQ1092" s="139">
        <f t="shared" si="452"/>
        <v>1.9255952380952381</v>
      </c>
      <c r="AR1092" s="139">
        <f t="shared" si="453"/>
        <v>2.9196428571428572</v>
      </c>
      <c r="AS1092" s="139">
        <f t="shared" si="454"/>
        <v>161.12666471722574</v>
      </c>
      <c r="AT1092" s="139">
        <f t="shared" si="455"/>
        <v>12.431941054080911</v>
      </c>
      <c r="AU1092" s="139">
        <f t="shared" si="456"/>
        <v>173.55860577130665</v>
      </c>
      <c r="AW1092" s="139">
        <f t="shared" si="457"/>
        <v>353.73363095238096</v>
      </c>
      <c r="AX1092" s="139">
        <f t="shared" si="458"/>
        <v>-180.17502518107432</v>
      </c>
    </row>
    <row r="1093" spans="1:50" ht="15.75" customHeight="1" x14ac:dyDescent="0.3">
      <c r="A1093" s="642" t="s">
        <v>1507</v>
      </c>
      <c r="B1093" s="642">
        <f t="shared" si="430"/>
        <v>245</v>
      </c>
      <c r="C1093" s="139">
        <f t="shared" si="430"/>
        <v>0</v>
      </c>
      <c r="D1093" s="764" t="s">
        <v>2916</v>
      </c>
      <c r="E1093" s="139">
        <f t="shared" ref="E1093:S1093" si="466">+C1013/$N$10/24</f>
        <v>23.65456989247312</v>
      </c>
      <c r="F1093" s="139">
        <f t="shared" si="466"/>
        <v>24.771505376344084</v>
      </c>
      <c r="G1093" s="139">
        <f t="shared" si="466"/>
        <v>41.638440860215056</v>
      </c>
      <c r="H1093" s="139">
        <f t="shared" si="466"/>
        <v>13.708029347336522</v>
      </c>
      <c r="I1093" s="139">
        <f t="shared" si="466"/>
        <v>0</v>
      </c>
      <c r="J1093" s="139">
        <f t="shared" si="466"/>
        <v>6.3091397849462361</v>
      </c>
      <c r="K1093" s="139">
        <f t="shared" si="466"/>
        <v>2.5268817204301075</v>
      </c>
      <c r="L1093" s="139">
        <f t="shared" si="466"/>
        <v>3.728494623655914</v>
      </c>
      <c r="M1093" s="139">
        <f t="shared" si="466"/>
        <v>3.5551075268817205</v>
      </c>
      <c r="N1093" s="139">
        <f t="shared" si="466"/>
        <v>1.1317204301075268</v>
      </c>
      <c r="O1093" s="139">
        <f t="shared" si="466"/>
        <v>1.3306451612903225</v>
      </c>
      <c r="P1093" s="139">
        <f t="shared" si="466"/>
        <v>2.5134408602150535</v>
      </c>
      <c r="Q1093" s="139">
        <f t="shared" si="466"/>
        <v>0.592741935483871</v>
      </c>
      <c r="R1093" s="139">
        <f t="shared" si="466"/>
        <v>2.1733870967741935</v>
      </c>
      <c r="S1093" s="764">
        <f t="shared" si="466"/>
        <v>1.4018817204301077</v>
      </c>
      <c r="T1093" s="139">
        <f t="shared" si="434"/>
        <v>374.03598633658385</v>
      </c>
      <c r="U1093" s="139">
        <f t="shared" si="432"/>
        <v>129.03598633658385</v>
      </c>
      <c r="V1093" s="139">
        <f t="shared" si="435"/>
        <v>335.06451612903226</v>
      </c>
      <c r="W1093" s="139">
        <f t="shared" si="436"/>
        <v>90.064516129032256</v>
      </c>
      <c r="X1093" s="139">
        <f t="shared" si="437"/>
        <v>13.708029347336522</v>
      </c>
      <c r="Y1093" s="139">
        <f t="shared" si="437"/>
        <v>0</v>
      </c>
      <c r="Z1093" s="139">
        <f t="shared" si="438"/>
        <v>25.263440860215056</v>
      </c>
      <c r="AC1093">
        <v>10</v>
      </c>
      <c r="AD1093" s="139">
        <f>IF($AF$1081=1,VLOOKUP($AD$1081,$A$1111:$P$1122,12,FALSE),VLOOKUP($AD$1081,$A$1084:$S$1095,3,FALSE))</f>
        <v>0</v>
      </c>
      <c r="AE1093" s="139">
        <f t="shared" si="440"/>
        <v>24.56845238095238</v>
      </c>
      <c r="AF1093" s="139">
        <f t="shared" si="441"/>
        <v>25.748511904761902</v>
      </c>
      <c r="AG1093" s="139">
        <f t="shared" si="442"/>
        <v>43.709821428571423</v>
      </c>
      <c r="AH1093" s="139">
        <f t="shared" si="443"/>
        <v>18.318629002940039</v>
      </c>
      <c r="AI1093" s="139">
        <f t="shared" si="444"/>
        <v>7.697916666666667</v>
      </c>
      <c r="AJ1093" s="139">
        <f t="shared" si="445"/>
        <v>5.5044642857142856</v>
      </c>
      <c r="AK1093" s="139">
        <f t="shared" si="446"/>
        <v>8.5163690476190474</v>
      </c>
      <c r="AL1093" s="139">
        <f t="shared" si="447"/>
        <v>8.6175595238095237</v>
      </c>
      <c r="AM1093" s="139">
        <f t="shared" si="448"/>
        <v>2.776785714285714</v>
      </c>
      <c r="AN1093" s="139">
        <f t="shared" si="449"/>
        <v>3.2723214285714288</v>
      </c>
      <c r="AO1093" s="139">
        <f t="shared" si="450"/>
        <v>6.3169642857142856</v>
      </c>
      <c r="AP1093" s="139">
        <f t="shared" si="451"/>
        <v>1.2336309523809523</v>
      </c>
      <c r="AQ1093" s="139">
        <f t="shared" si="452"/>
        <v>1.9255952380952381</v>
      </c>
      <c r="AR1093" s="139">
        <f t="shared" si="453"/>
        <v>2.9196428571428572</v>
      </c>
      <c r="AS1093" s="139">
        <f t="shared" si="454"/>
        <v>161.12666471722574</v>
      </c>
      <c r="AT1093" s="139">
        <f t="shared" si="455"/>
        <v>12.431941054080911</v>
      </c>
      <c r="AU1093" s="139">
        <f t="shared" si="456"/>
        <v>173.55860577130665</v>
      </c>
      <c r="AW1093" s="139">
        <f t="shared" si="457"/>
        <v>353.73363095238096</v>
      </c>
      <c r="AX1093" s="139">
        <f t="shared" si="458"/>
        <v>-180.17502518107432</v>
      </c>
    </row>
    <row r="1094" spans="1:50" ht="15.75" customHeight="1" x14ac:dyDescent="0.3">
      <c r="A1094" s="642" t="s">
        <v>1508</v>
      </c>
      <c r="B1094" s="642">
        <f t="shared" si="430"/>
        <v>245</v>
      </c>
      <c r="C1094" s="139">
        <f t="shared" si="430"/>
        <v>0</v>
      </c>
      <c r="D1094" s="764" t="s">
        <v>2916</v>
      </c>
      <c r="E1094" s="139">
        <f t="shared" ref="E1094:S1094" si="467">+C1014/$O$10/24</f>
        <v>23.474999999999998</v>
      </c>
      <c r="F1094" s="139">
        <f t="shared" si="467"/>
        <v>24.588888888888889</v>
      </c>
      <c r="G1094" s="139">
        <f t="shared" si="467"/>
        <v>41.719444444444441</v>
      </c>
      <c r="H1094" s="139">
        <f t="shared" si="467"/>
        <v>21.012780818711924</v>
      </c>
      <c r="I1094" s="139">
        <f t="shared" si="467"/>
        <v>0</v>
      </c>
      <c r="J1094" s="139">
        <f t="shared" si="467"/>
        <v>3.2749999999999999</v>
      </c>
      <c r="K1094" s="139">
        <f t="shared" si="467"/>
        <v>0.85972222222222217</v>
      </c>
      <c r="L1094" s="139">
        <f t="shared" si="467"/>
        <v>1.0416666666666667</v>
      </c>
      <c r="M1094" s="139">
        <f t="shared" si="467"/>
        <v>1.0333333333333334</v>
      </c>
      <c r="N1094" s="139">
        <f t="shared" si="467"/>
        <v>0.27638888888888891</v>
      </c>
      <c r="O1094" s="139">
        <f t="shared" si="467"/>
        <v>0.32222222222222224</v>
      </c>
      <c r="P1094" s="139">
        <f t="shared" si="467"/>
        <v>0.60972222222222217</v>
      </c>
      <c r="Q1094" s="139">
        <f t="shared" si="467"/>
        <v>0.41666666666666669</v>
      </c>
      <c r="R1094" s="139">
        <f t="shared" si="467"/>
        <v>2.0222222222222221</v>
      </c>
      <c r="S1094" s="764">
        <f t="shared" si="467"/>
        <v>0.98472222222222217</v>
      </c>
      <c r="T1094" s="139">
        <f t="shared" si="434"/>
        <v>366.63778081871192</v>
      </c>
      <c r="U1094" s="139">
        <f t="shared" si="432"/>
        <v>121.63778081871192</v>
      </c>
      <c r="V1094" s="139">
        <f t="shared" si="435"/>
        <v>334.7833333333333</v>
      </c>
      <c r="W1094" s="139">
        <f t="shared" si="436"/>
        <v>89.783333333333331</v>
      </c>
      <c r="X1094" s="139">
        <f t="shared" si="437"/>
        <v>21.012780818711924</v>
      </c>
      <c r="Y1094" s="139">
        <f t="shared" si="437"/>
        <v>0</v>
      </c>
      <c r="Z1094" s="139">
        <f t="shared" si="438"/>
        <v>10.841666666666667</v>
      </c>
      <c r="AC1094">
        <v>11</v>
      </c>
      <c r="AD1094" s="139">
        <f>IF($AF$1081=1,VLOOKUP($AD$1081,$A$1111:$P$1122,12,FALSE),VLOOKUP($AD$1081,$A$1084:$S$1095,3,FALSE))</f>
        <v>0</v>
      </c>
      <c r="AE1094" s="139">
        <f t="shared" si="440"/>
        <v>24.56845238095238</v>
      </c>
      <c r="AF1094" s="139">
        <f t="shared" si="441"/>
        <v>25.748511904761902</v>
      </c>
      <c r="AG1094" s="139">
        <f t="shared" si="442"/>
        <v>43.709821428571423</v>
      </c>
      <c r="AH1094" s="139">
        <f t="shared" si="443"/>
        <v>18.318629002940039</v>
      </c>
      <c r="AI1094" s="139">
        <f t="shared" si="444"/>
        <v>7.697916666666667</v>
      </c>
      <c r="AJ1094" s="139">
        <f t="shared" si="445"/>
        <v>5.5044642857142856</v>
      </c>
      <c r="AK1094" s="139">
        <f t="shared" si="446"/>
        <v>8.5163690476190474</v>
      </c>
      <c r="AL1094" s="139">
        <f t="shared" si="447"/>
        <v>8.6175595238095237</v>
      </c>
      <c r="AM1094" s="139">
        <f t="shared" si="448"/>
        <v>2.776785714285714</v>
      </c>
      <c r="AN1094" s="139">
        <f t="shared" si="449"/>
        <v>3.2723214285714288</v>
      </c>
      <c r="AO1094" s="139">
        <f t="shared" si="450"/>
        <v>6.3169642857142856</v>
      </c>
      <c r="AP1094" s="139">
        <f t="shared" si="451"/>
        <v>1.2336309523809523</v>
      </c>
      <c r="AQ1094" s="139">
        <f t="shared" si="452"/>
        <v>1.9255952380952381</v>
      </c>
      <c r="AR1094" s="139">
        <f t="shared" si="453"/>
        <v>2.9196428571428572</v>
      </c>
      <c r="AS1094" s="139">
        <f t="shared" si="454"/>
        <v>161.12666471722574</v>
      </c>
      <c r="AT1094" s="139">
        <f t="shared" si="455"/>
        <v>12.431941054080911</v>
      </c>
      <c r="AU1094" s="139">
        <f t="shared" si="456"/>
        <v>173.55860577130665</v>
      </c>
      <c r="AW1094" s="139">
        <f t="shared" si="457"/>
        <v>353.73363095238096</v>
      </c>
      <c r="AX1094" s="139">
        <f t="shared" si="458"/>
        <v>-180.17502518107432</v>
      </c>
    </row>
    <row r="1095" spans="1:50" ht="15.75" customHeight="1" thickBot="1" x14ac:dyDescent="0.35">
      <c r="A1095" s="644" t="s">
        <v>1509</v>
      </c>
      <c r="B1095" s="644">
        <f t="shared" si="430"/>
        <v>245</v>
      </c>
      <c r="C1095" s="645">
        <f t="shared" si="430"/>
        <v>0</v>
      </c>
      <c r="D1095" s="646" t="s">
        <v>2916</v>
      </c>
      <c r="E1095" s="645">
        <f t="shared" ref="E1095:S1095" si="468">+C1015/$P$10/24</f>
        <v>17.676075268817204</v>
      </c>
      <c r="F1095" s="645">
        <f t="shared" si="468"/>
        <v>18.51478494623656</v>
      </c>
      <c r="G1095" s="645">
        <f t="shared" si="468"/>
        <v>31.346774193548388</v>
      </c>
      <c r="H1095" s="645">
        <f t="shared" si="468"/>
        <v>12.967389336067507</v>
      </c>
      <c r="I1095" s="645">
        <f t="shared" si="468"/>
        <v>0</v>
      </c>
      <c r="J1095" s="645">
        <f t="shared" si="468"/>
        <v>4.096774193548387</v>
      </c>
      <c r="K1095" s="645">
        <f t="shared" si="468"/>
        <v>2.3830645161290325</v>
      </c>
      <c r="L1095" s="645">
        <f t="shared" si="468"/>
        <v>3.51747311827957</v>
      </c>
      <c r="M1095" s="645">
        <f t="shared" si="468"/>
        <v>3.448924731182796</v>
      </c>
      <c r="N1095" s="645">
        <f t="shared" si="468"/>
        <v>1.2674731182795698</v>
      </c>
      <c r="O1095" s="645">
        <f t="shared" si="468"/>
        <v>1.4919354838709677</v>
      </c>
      <c r="P1095" s="645">
        <f t="shared" si="468"/>
        <v>3.025537634408602</v>
      </c>
      <c r="Q1095" s="645">
        <f t="shared" si="468"/>
        <v>0.79032258064516137</v>
      </c>
      <c r="R1095" s="645">
        <f t="shared" si="468"/>
        <v>1.739247311827957</v>
      </c>
      <c r="S1095" s="646">
        <f t="shared" si="468"/>
        <v>1.8696236559139783</v>
      </c>
      <c r="T1095" s="139">
        <f t="shared" si="434"/>
        <v>349.13540008875566</v>
      </c>
      <c r="U1095" s="139">
        <f t="shared" si="432"/>
        <v>104.13540008875569</v>
      </c>
      <c r="V1095" s="139">
        <f t="shared" si="435"/>
        <v>312.53763440860212</v>
      </c>
      <c r="W1095" s="139">
        <f t="shared" si="436"/>
        <v>67.537634408602145</v>
      </c>
      <c r="X1095" s="139">
        <f t="shared" si="437"/>
        <v>12.967389336067507</v>
      </c>
      <c r="Y1095" s="139">
        <f t="shared" si="437"/>
        <v>0</v>
      </c>
      <c r="Z1095" s="139">
        <f t="shared" si="438"/>
        <v>23.630376344086024</v>
      </c>
      <c r="AC1095">
        <v>12</v>
      </c>
      <c r="AD1095" s="139">
        <f>IF($AF$1081=1,VLOOKUP($AD$1081,$A$1111:$P$1122,12,FALSE),VLOOKUP($AD$1081,$A$1084:$S$1095,3,FALSE))</f>
        <v>0</v>
      </c>
      <c r="AE1095" s="139">
        <f t="shared" si="440"/>
        <v>24.56845238095238</v>
      </c>
      <c r="AF1095" s="139">
        <f t="shared" si="441"/>
        <v>25.748511904761902</v>
      </c>
      <c r="AG1095" s="139">
        <f t="shared" si="442"/>
        <v>43.709821428571423</v>
      </c>
      <c r="AH1095" s="139">
        <f t="shared" si="443"/>
        <v>18.318629002940039</v>
      </c>
      <c r="AI1095" s="139">
        <f t="shared" si="444"/>
        <v>7.697916666666667</v>
      </c>
      <c r="AJ1095" s="139">
        <f t="shared" si="445"/>
        <v>5.5044642857142856</v>
      </c>
      <c r="AK1095" s="139">
        <f t="shared" si="446"/>
        <v>8.5163690476190474</v>
      </c>
      <c r="AL1095" s="139">
        <f t="shared" si="447"/>
        <v>8.6175595238095237</v>
      </c>
      <c r="AM1095" s="139">
        <f t="shared" si="448"/>
        <v>2.776785714285714</v>
      </c>
      <c r="AN1095" s="139">
        <f t="shared" si="449"/>
        <v>3.2723214285714288</v>
      </c>
      <c r="AO1095" s="139">
        <f t="shared" si="450"/>
        <v>6.3169642857142856</v>
      </c>
      <c r="AP1095" s="139">
        <f t="shared" si="451"/>
        <v>1.2336309523809523</v>
      </c>
      <c r="AQ1095" s="139">
        <f t="shared" si="452"/>
        <v>1.9255952380952381</v>
      </c>
      <c r="AR1095" s="139">
        <f t="shared" si="453"/>
        <v>2.9196428571428572</v>
      </c>
      <c r="AS1095" s="139">
        <f t="shared" si="454"/>
        <v>161.12666471722574</v>
      </c>
      <c r="AT1095" s="139">
        <f t="shared" si="455"/>
        <v>12.431941054080911</v>
      </c>
      <c r="AU1095" s="139">
        <f t="shared" si="456"/>
        <v>173.55860577130665</v>
      </c>
      <c r="AW1095" s="139">
        <f t="shared" si="457"/>
        <v>353.73363095238096</v>
      </c>
      <c r="AX1095" s="139">
        <f t="shared" si="458"/>
        <v>-180.17502518107432</v>
      </c>
    </row>
    <row r="1096" spans="1:50" ht="15.75" customHeight="1" x14ac:dyDescent="0.3">
      <c r="A1096" s="641"/>
      <c r="AC1096">
        <v>13</v>
      </c>
      <c r="AD1096" s="139">
        <f>IF($AF$1081=1,VLOOKUP($AD$1081,$A$1111:$P$1122,12,FALSE),IF(OR($AD$1081="JUN",$AD$1081="JUL",$AD$1081="AUG"),VLOOKUP($AD$1081,$A$1084:$S$1095,4,FALSE),VLOOKUP($AD$1081,$A$1084:$S$1095,3,FALSE)))</f>
        <v>0</v>
      </c>
      <c r="AE1096" s="139">
        <f t="shared" si="440"/>
        <v>24.56845238095238</v>
      </c>
      <c r="AF1096" s="139">
        <f t="shared" si="441"/>
        <v>25.748511904761902</v>
      </c>
      <c r="AG1096" s="139">
        <f t="shared" si="442"/>
        <v>43.709821428571423</v>
      </c>
      <c r="AH1096" s="139">
        <f t="shared" si="443"/>
        <v>18.318629002940039</v>
      </c>
      <c r="AI1096" s="139">
        <f t="shared" si="444"/>
        <v>7.697916666666667</v>
      </c>
      <c r="AJ1096" s="139">
        <f t="shared" si="445"/>
        <v>5.5044642857142856</v>
      </c>
      <c r="AK1096" s="139">
        <f t="shared" si="446"/>
        <v>8.5163690476190474</v>
      </c>
      <c r="AL1096" s="139">
        <f t="shared" si="447"/>
        <v>8.6175595238095237</v>
      </c>
      <c r="AM1096" s="139">
        <f t="shared" si="448"/>
        <v>2.776785714285714</v>
      </c>
      <c r="AN1096" s="139">
        <f t="shared" si="449"/>
        <v>3.2723214285714288</v>
      </c>
      <c r="AO1096" s="139">
        <f t="shared" si="450"/>
        <v>6.3169642857142856</v>
      </c>
      <c r="AP1096" s="139">
        <f t="shared" si="451"/>
        <v>1.2336309523809523</v>
      </c>
      <c r="AQ1096" s="139">
        <f t="shared" si="452"/>
        <v>1.9255952380952381</v>
      </c>
      <c r="AR1096" s="139">
        <f t="shared" si="453"/>
        <v>2.9196428571428572</v>
      </c>
      <c r="AS1096" s="139">
        <f t="shared" si="454"/>
        <v>161.12666471722574</v>
      </c>
      <c r="AT1096" s="139">
        <f t="shared" si="455"/>
        <v>12.431941054080911</v>
      </c>
      <c r="AU1096" s="139">
        <f t="shared" si="456"/>
        <v>173.55860577130665</v>
      </c>
      <c r="AW1096" s="139">
        <f t="shared" si="457"/>
        <v>353.73363095238096</v>
      </c>
      <c r="AX1096" s="139">
        <f t="shared" si="458"/>
        <v>-180.17502518107432</v>
      </c>
    </row>
    <row r="1097" spans="1:50" ht="27.75" customHeight="1" x14ac:dyDescent="0.3">
      <c r="A1097" s="641" t="s">
        <v>2889</v>
      </c>
      <c r="AC1097">
        <v>14</v>
      </c>
      <c r="AD1097" s="139">
        <f t="shared" ref="AD1097:AD1103" si="469">IF($AF$1081=1,VLOOKUP($AD$1081,$A$1111:$P$1122,12,FALSE),IF(OR($AD$1081="JUN",$AD$1081="JUL",$AD$1081="AUG"),VLOOKUP($AD$1081,$A$1084:$S$1095,4,FALSE),VLOOKUP($AD$1081,$A$1084:$S$1095,3,FALSE)))</f>
        <v>0</v>
      </c>
      <c r="AE1097" s="139">
        <f t="shared" si="440"/>
        <v>24.56845238095238</v>
      </c>
      <c r="AF1097" s="139">
        <f t="shared" si="441"/>
        <v>25.748511904761902</v>
      </c>
      <c r="AG1097" s="139">
        <f t="shared" si="442"/>
        <v>43.709821428571423</v>
      </c>
      <c r="AH1097" s="139">
        <f t="shared" si="443"/>
        <v>18.318629002940039</v>
      </c>
      <c r="AI1097" s="139">
        <f t="shared" si="444"/>
        <v>7.697916666666667</v>
      </c>
      <c r="AJ1097" s="139">
        <f t="shared" si="445"/>
        <v>5.5044642857142856</v>
      </c>
      <c r="AK1097" s="139">
        <f t="shared" si="446"/>
        <v>8.5163690476190474</v>
      </c>
      <c r="AL1097" s="139">
        <f t="shared" si="447"/>
        <v>8.6175595238095237</v>
      </c>
      <c r="AM1097" s="139">
        <f t="shared" si="448"/>
        <v>2.776785714285714</v>
      </c>
      <c r="AN1097" s="139">
        <f t="shared" si="449"/>
        <v>3.2723214285714288</v>
      </c>
      <c r="AO1097" s="139">
        <f t="shared" si="450"/>
        <v>6.3169642857142856</v>
      </c>
      <c r="AP1097" s="139">
        <f t="shared" si="451"/>
        <v>1.2336309523809523</v>
      </c>
      <c r="AQ1097" s="139">
        <f t="shared" si="452"/>
        <v>1.9255952380952381</v>
      </c>
      <c r="AR1097" s="139">
        <f t="shared" si="453"/>
        <v>2.9196428571428572</v>
      </c>
      <c r="AS1097" s="139">
        <f t="shared" si="454"/>
        <v>161.12666471722574</v>
      </c>
      <c r="AT1097" s="139">
        <f t="shared" si="455"/>
        <v>12.431941054080911</v>
      </c>
      <c r="AU1097" s="139">
        <f t="shared" si="456"/>
        <v>173.55860577130665</v>
      </c>
      <c r="AW1097" s="139">
        <f t="shared" si="457"/>
        <v>353.73363095238096</v>
      </c>
      <c r="AX1097" s="139">
        <f t="shared" si="458"/>
        <v>-180.17502518107432</v>
      </c>
    </row>
    <row r="1098" spans="1:50" ht="15.75" customHeight="1" x14ac:dyDescent="0.3">
      <c r="A1098" s="641"/>
      <c r="AC1098">
        <v>15</v>
      </c>
      <c r="AD1098" s="139">
        <f t="shared" si="469"/>
        <v>0</v>
      </c>
      <c r="AE1098" s="139">
        <f t="shared" si="440"/>
        <v>24.56845238095238</v>
      </c>
      <c r="AF1098" s="139">
        <f t="shared" si="441"/>
        <v>25.748511904761902</v>
      </c>
      <c r="AG1098" s="139">
        <f t="shared" si="442"/>
        <v>43.709821428571423</v>
      </c>
      <c r="AH1098" s="139">
        <f t="shared" si="443"/>
        <v>18.318629002940039</v>
      </c>
      <c r="AI1098" s="139">
        <f t="shared" si="444"/>
        <v>7.697916666666667</v>
      </c>
      <c r="AJ1098" s="139">
        <f t="shared" si="445"/>
        <v>5.5044642857142856</v>
      </c>
      <c r="AK1098" s="139">
        <f t="shared" si="446"/>
        <v>8.5163690476190474</v>
      </c>
      <c r="AL1098" s="139">
        <f t="shared" si="447"/>
        <v>8.6175595238095237</v>
      </c>
      <c r="AM1098" s="139">
        <f t="shared" si="448"/>
        <v>2.776785714285714</v>
      </c>
      <c r="AN1098" s="139">
        <f t="shared" si="449"/>
        <v>3.2723214285714288</v>
      </c>
      <c r="AO1098" s="139">
        <f t="shared" si="450"/>
        <v>6.3169642857142856</v>
      </c>
      <c r="AP1098" s="139">
        <f t="shared" si="451"/>
        <v>1.2336309523809523</v>
      </c>
      <c r="AQ1098" s="139">
        <f t="shared" si="452"/>
        <v>1.9255952380952381</v>
      </c>
      <c r="AR1098" s="139">
        <f t="shared" si="453"/>
        <v>2.9196428571428572</v>
      </c>
      <c r="AS1098" s="139">
        <f t="shared" si="454"/>
        <v>161.12666471722574</v>
      </c>
      <c r="AT1098" s="139">
        <f t="shared" si="455"/>
        <v>12.431941054080911</v>
      </c>
      <c r="AU1098" s="139">
        <f t="shared" si="456"/>
        <v>173.55860577130665</v>
      </c>
      <c r="AW1098" s="139">
        <f t="shared" si="457"/>
        <v>353.73363095238096</v>
      </c>
      <c r="AX1098" s="139">
        <f t="shared" si="458"/>
        <v>-180.17502518107432</v>
      </c>
    </row>
    <row r="1099" spans="1:50" ht="15.75" customHeight="1" x14ac:dyDescent="0.3">
      <c r="A1099" s="641"/>
      <c r="AC1099">
        <v>16</v>
      </c>
      <c r="AD1099" s="139">
        <f t="shared" si="469"/>
        <v>0</v>
      </c>
      <c r="AE1099" s="139">
        <f t="shared" si="440"/>
        <v>24.56845238095238</v>
      </c>
      <c r="AF1099" s="139">
        <f t="shared" si="441"/>
        <v>25.748511904761902</v>
      </c>
      <c r="AG1099" s="139">
        <f t="shared" si="442"/>
        <v>43.709821428571423</v>
      </c>
      <c r="AH1099" s="139">
        <f t="shared" si="443"/>
        <v>18.318629002940039</v>
      </c>
      <c r="AI1099" s="139">
        <f t="shared" si="444"/>
        <v>7.697916666666667</v>
      </c>
      <c r="AJ1099" s="139">
        <f t="shared" si="445"/>
        <v>5.5044642857142856</v>
      </c>
      <c r="AK1099" s="139">
        <f t="shared" si="446"/>
        <v>8.5163690476190474</v>
      </c>
      <c r="AL1099" s="139">
        <f t="shared" si="447"/>
        <v>8.6175595238095237</v>
      </c>
      <c r="AM1099" s="139">
        <f t="shared" si="448"/>
        <v>2.776785714285714</v>
      </c>
      <c r="AN1099" s="139">
        <f t="shared" si="449"/>
        <v>3.2723214285714288</v>
      </c>
      <c r="AO1099" s="139">
        <f t="shared" si="450"/>
        <v>6.3169642857142856</v>
      </c>
      <c r="AP1099" s="139">
        <f t="shared" si="451"/>
        <v>1.2336309523809523</v>
      </c>
      <c r="AQ1099" s="139">
        <f t="shared" si="452"/>
        <v>1.9255952380952381</v>
      </c>
      <c r="AR1099" s="139">
        <f t="shared" si="453"/>
        <v>2.9196428571428572</v>
      </c>
      <c r="AS1099" s="139">
        <f t="shared" si="454"/>
        <v>161.12666471722574</v>
      </c>
      <c r="AT1099" s="139">
        <f t="shared" si="455"/>
        <v>12.431941054080911</v>
      </c>
      <c r="AU1099" s="139">
        <f t="shared" si="456"/>
        <v>173.55860577130665</v>
      </c>
      <c r="AW1099" s="139">
        <f t="shared" si="457"/>
        <v>353.73363095238096</v>
      </c>
      <c r="AX1099" s="139">
        <f t="shared" si="458"/>
        <v>-180.17502518107432</v>
      </c>
    </row>
    <row r="1100" spans="1:50" ht="15.75" customHeight="1" thickBot="1" x14ac:dyDescent="0.35">
      <c r="A1100" s="641"/>
      <c r="AC1100">
        <v>17</v>
      </c>
      <c r="AD1100" s="139">
        <f t="shared" si="469"/>
        <v>0</v>
      </c>
      <c r="AE1100" s="139">
        <f t="shared" si="440"/>
        <v>24.56845238095238</v>
      </c>
      <c r="AF1100" s="139">
        <f t="shared" si="441"/>
        <v>25.748511904761902</v>
      </c>
      <c r="AG1100" s="139">
        <f t="shared" si="442"/>
        <v>43.709821428571423</v>
      </c>
      <c r="AH1100" s="139">
        <f t="shared" si="443"/>
        <v>18.318629002940039</v>
      </c>
      <c r="AI1100" s="139">
        <f t="shared" si="444"/>
        <v>7.697916666666667</v>
      </c>
      <c r="AJ1100" s="139">
        <f t="shared" si="445"/>
        <v>5.5044642857142856</v>
      </c>
      <c r="AK1100" s="139">
        <f t="shared" si="446"/>
        <v>8.5163690476190474</v>
      </c>
      <c r="AL1100" s="139">
        <f t="shared" si="447"/>
        <v>8.6175595238095237</v>
      </c>
      <c r="AM1100" s="139">
        <f t="shared" si="448"/>
        <v>2.776785714285714</v>
      </c>
      <c r="AN1100" s="139">
        <f t="shared" si="449"/>
        <v>3.2723214285714288</v>
      </c>
      <c r="AO1100" s="139">
        <f t="shared" si="450"/>
        <v>6.3169642857142856</v>
      </c>
      <c r="AP1100" s="139">
        <f t="shared" si="451"/>
        <v>1.2336309523809523</v>
      </c>
      <c r="AQ1100" s="139">
        <f t="shared" si="452"/>
        <v>1.9255952380952381</v>
      </c>
      <c r="AR1100" s="139">
        <f t="shared" si="453"/>
        <v>2.9196428571428572</v>
      </c>
      <c r="AS1100" s="139">
        <f t="shared" si="454"/>
        <v>161.12666471722574</v>
      </c>
      <c r="AT1100" s="139">
        <f t="shared" si="455"/>
        <v>12.431941054080911</v>
      </c>
      <c r="AU1100" s="139">
        <f t="shared" si="456"/>
        <v>173.55860577130665</v>
      </c>
      <c r="AW1100" s="139">
        <f t="shared" si="457"/>
        <v>353.73363095238096</v>
      </c>
      <c r="AX1100" s="139">
        <f t="shared" si="458"/>
        <v>-180.17502518107432</v>
      </c>
    </row>
    <row r="1101" spans="1:50" ht="15.75" customHeight="1" x14ac:dyDescent="0.3">
      <c r="A1101" s="765"/>
      <c r="B1101" s="821" t="s">
        <v>2887</v>
      </c>
      <c r="C1101" s="821"/>
      <c r="D1101" s="821"/>
      <c r="E1101" s="821"/>
      <c r="F1101" s="821"/>
      <c r="G1101" s="821"/>
      <c r="H1101" s="821"/>
      <c r="I1101" s="821"/>
      <c r="J1101" s="821"/>
      <c r="K1101" s="821"/>
      <c r="L1101" s="821"/>
      <c r="M1101" s="821"/>
      <c r="N1101" s="821"/>
      <c r="O1101" s="821"/>
      <c r="P1101" s="821"/>
      <c r="Q1101" s="752" t="str">
        <f>+Q1</f>
        <v xml:space="preserve">PRINTED:  </v>
      </c>
      <c r="R1101" s="753">
        <f ca="1">+R1</f>
        <v>44881.729632754628</v>
      </c>
      <c r="AC1101">
        <v>18</v>
      </c>
      <c r="AD1101" s="139">
        <f t="shared" si="469"/>
        <v>0</v>
      </c>
      <c r="AE1101" s="139">
        <f t="shared" si="440"/>
        <v>24.56845238095238</v>
      </c>
      <c r="AF1101" s="139">
        <f t="shared" si="441"/>
        <v>25.748511904761902</v>
      </c>
      <c r="AG1101" s="139">
        <f t="shared" si="442"/>
        <v>43.709821428571423</v>
      </c>
      <c r="AH1101" s="139">
        <f t="shared" si="443"/>
        <v>18.318629002940039</v>
      </c>
      <c r="AI1101" s="139">
        <f t="shared" si="444"/>
        <v>7.697916666666667</v>
      </c>
      <c r="AJ1101" s="139">
        <f t="shared" si="445"/>
        <v>5.5044642857142856</v>
      </c>
      <c r="AK1101" s="139">
        <f t="shared" si="446"/>
        <v>8.5163690476190474</v>
      </c>
      <c r="AL1101" s="139">
        <f t="shared" si="447"/>
        <v>8.6175595238095237</v>
      </c>
      <c r="AM1101" s="139">
        <f t="shared" si="448"/>
        <v>2.776785714285714</v>
      </c>
      <c r="AN1101" s="139">
        <f t="shared" si="449"/>
        <v>3.2723214285714288</v>
      </c>
      <c r="AO1101" s="139">
        <f t="shared" si="450"/>
        <v>6.3169642857142856</v>
      </c>
      <c r="AP1101" s="139">
        <f t="shared" si="451"/>
        <v>1.2336309523809523</v>
      </c>
      <c r="AQ1101" s="139">
        <f t="shared" si="452"/>
        <v>1.9255952380952381</v>
      </c>
      <c r="AR1101" s="139">
        <f t="shared" si="453"/>
        <v>2.9196428571428572</v>
      </c>
      <c r="AS1101" s="139">
        <f t="shared" si="454"/>
        <v>161.12666471722574</v>
      </c>
      <c r="AT1101" s="139">
        <f t="shared" si="455"/>
        <v>12.431941054080911</v>
      </c>
      <c r="AU1101" s="139">
        <f t="shared" si="456"/>
        <v>173.55860577130665</v>
      </c>
      <c r="AW1101" s="139">
        <f t="shared" si="457"/>
        <v>353.73363095238096</v>
      </c>
      <c r="AX1101" s="139">
        <f t="shared" si="458"/>
        <v>-180.17502518107432</v>
      </c>
    </row>
    <row r="1102" spans="1:50" ht="16.5" customHeight="1" x14ac:dyDescent="0.3">
      <c r="A1102" s="647"/>
      <c r="B1102" s="786" t="str">
        <f>+A8</f>
        <v>Revised:  2/5/2020</v>
      </c>
      <c r="C1102" s="786"/>
      <c r="D1102" s="786"/>
      <c r="E1102" s="786"/>
      <c r="F1102" s="786"/>
      <c r="G1102" s="786"/>
      <c r="H1102" s="786"/>
      <c r="I1102" s="786"/>
      <c r="J1102" s="786"/>
      <c r="K1102" s="786"/>
      <c r="L1102" s="786"/>
      <c r="M1102" s="786"/>
      <c r="N1102" s="786"/>
      <c r="O1102" s="786"/>
      <c r="P1102" s="786"/>
      <c r="R1102" s="727"/>
      <c r="AC1102">
        <v>19</v>
      </c>
      <c r="AD1102" s="139">
        <f t="shared" si="469"/>
        <v>0</v>
      </c>
      <c r="AE1102" s="139">
        <f t="shared" si="440"/>
        <v>24.56845238095238</v>
      </c>
      <c r="AF1102" s="139">
        <f t="shared" si="441"/>
        <v>25.748511904761902</v>
      </c>
      <c r="AG1102" s="139">
        <f t="shared" si="442"/>
        <v>43.709821428571423</v>
      </c>
      <c r="AH1102" s="139">
        <f t="shared" si="443"/>
        <v>18.318629002940039</v>
      </c>
      <c r="AI1102" s="139">
        <f t="shared" si="444"/>
        <v>7.697916666666667</v>
      </c>
      <c r="AJ1102" s="139">
        <f t="shared" si="445"/>
        <v>5.5044642857142856</v>
      </c>
      <c r="AK1102" s="139">
        <f t="shared" si="446"/>
        <v>8.5163690476190474</v>
      </c>
      <c r="AL1102" s="139">
        <f t="shared" si="447"/>
        <v>8.6175595238095237</v>
      </c>
      <c r="AM1102" s="139">
        <f t="shared" si="448"/>
        <v>2.776785714285714</v>
      </c>
      <c r="AN1102" s="139">
        <f t="shared" si="449"/>
        <v>3.2723214285714288</v>
      </c>
      <c r="AO1102" s="139">
        <f t="shared" si="450"/>
        <v>6.3169642857142856</v>
      </c>
      <c r="AP1102" s="139">
        <f t="shared" si="451"/>
        <v>1.2336309523809523</v>
      </c>
      <c r="AQ1102" s="139">
        <f t="shared" si="452"/>
        <v>1.9255952380952381</v>
      </c>
      <c r="AR1102" s="139">
        <f t="shared" si="453"/>
        <v>2.9196428571428572</v>
      </c>
      <c r="AS1102" s="139">
        <f t="shared" si="454"/>
        <v>161.12666471722574</v>
      </c>
      <c r="AT1102" s="139">
        <f t="shared" si="455"/>
        <v>12.431941054080911</v>
      </c>
      <c r="AU1102" s="139">
        <f t="shared" si="456"/>
        <v>173.55860577130665</v>
      </c>
      <c r="AW1102" s="139">
        <f t="shared" si="457"/>
        <v>353.73363095238096</v>
      </c>
      <c r="AX1102" s="139">
        <f t="shared" si="458"/>
        <v>-180.17502518107432</v>
      </c>
    </row>
    <row r="1103" spans="1:50" ht="16.5" customHeight="1" x14ac:dyDescent="0.3">
      <c r="A1103" s="647"/>
      <c r="B1103" s="786" t="s">
        <v>2878</v>
      </c>
      <c r="C1103" s="786"/>
      <c r="D1103" s="786"/>
      <c r="E1103" s="786"/>
      <c r="F1103" s="786"/>
      <c r="G1103" s="786"/>
      <c r="H1103" s="786"/>
      <c r="I1103" s="786"/>
      <c r="J1103" s="786"/>
      <c r="K1103" s="786"/>
      <c r="L1103" s="786"/>
      <c r="M1103" s="786"/>
      <c r="N1103" s="786"/>
      <c r="O1103" s="786"/>
      <c r="P1103" s="786"/>
      <c r="R1103" s="727"/>
      <c r="AC1103">
        <v>20</v>
      </c>
      <c r="AD1103" s="139">
        <f t="shared" si="469"/>
        <v>0</v>
      </c>
      <c r="AE1103" s="139">
        <f t="shared" si="440"/>
        <v>24.56845238095238</v>
      </c>
      <c r="AF1103" s="139">
        <f t="shared" si="441"/>
        <v>25.748511904761902</v>
      </c>
      <c r="AG1103" s="139">
        <f t="shared" si="442"/>
        <v>43.709821428571423</v>
      </c>
      <c r="AH1103" s="139">
        <f t="shared" si="443"/>
        <v>18.318629002940039</v>
      </c>
      <c r="AI1103" s="139">
        <f t="shared" si="444"/>
        <v>7.697916666666667</v>
      </c>
      <c r="AJ1103" s="139">
        <f t="shared" si="445"/>
        <v>5.5044642857142856</v>
      </c>
      <c r="AK1103" s="139">
        <f t="shared" si="446"/>
        <v>8.5163690476190474</v>
      </c>
      <c r="AL1103" s="139">
        <f t="shared" si="447"/>
        <v>8.6175595238095237</v>
      </c>
      <c r="AM1103" s="139">
        <f t="shared" si="448"/>
        <v>2.776785714285714</v>
      </c>
      <c r="AN1103" s="139">
        <f t="shared" si="449"/>
        <v>3.2723214285714288</v>
      </c>
      <c r="AO1103" s="139">
        <f t="shared" si="450"/>
        <v>6.3169642857142856</v>
      </c>
      <c r="AP1103" s="139">
        <f t="shared" si="451"/>
        <v>1.2336309523809523</v>
      </c>
      <c r="AQ1103" s="139">
        <f t="shared" si="452"/>
        <v>1.9255952380952381</v>
      </c>
      <c r="AR1103" s="139">
        <f t="shared" si="453"/>
        <v>2.9196428571428572</v>
      </c>
      <c r="AS1103" s="139">
        <f t="shared" si="454"/>
        <v>161.12666471722574</v>
      </c>
      <c r="AT1103" s="139">
        <f t="shared" si="455"/>
        <v>12.431941054080911</v>
      </c>
      <c r="AU1103" s="139">
        <f t="shared" si="456"/>
        <v>173.55860577130665</v>
      </c>
      <c r="AW1103" s="139">
        <f t="shared" si="457"/>
        <v>353.73363095238096</v>
      </c>
      <c r="AX1103" s="139">
        <f t="shared" si="458"/>
        <v>-180.17502518107432</v>
      </c>
    </row>
    <row r="1104" spans="1:50" ht="16.5" customHeight="1" x14ac:dyDescent="0.3">
      <c r="A1104" s="647"/>
      <c r="B1104" s="67"/>
      <c r="C1104" s="67"/>
      <c r="D1104" s="67"/>
      <c r="E1104" s="67"/>
      <c r="F1104" s="67"/>
      <c r="G1104" s="67"/>
      <c r="H1104" s="67"/>
      <c r="I1104" s="67"/>
      <c r="J1104" s="67"/>
      <c r="K1104" s="67"/>
      <c r="L1104" s="67"/>
      <c r="M1104" s="67"/>
      <c r="N1104" s="67"/>
      <c r="O1104" s="67"/>
      <c r="P1104" s="67"/>
      <c r="R1104" s="727"/>
      <c r="AC1104">
        <v>21</v>
      </c>
      <c r="AD1104" s="139">
        <f>IF($AF$1081=1,VLOOKUP($AD$1081,$A$1111:$P$1122,12,FALSE),VLOOKUP($AD$1081,$A$1084:$S$1095,3,FALSE))</f>
        <v>0</v>
      </c>
      <c r="AE1104" s="139">
        <f t="shared" si="440"/>
        <v>24.56845238095238</v>
      </c>
      <c r="AF1104" s="139">
        <f t="shared" si="441"/>
        <v>25.748511904761902</v>
      </c>
      <c r="AG1104" s="139">
        <f t="shared" si="442"/>
        <v>43.709821428571423</v>
      </c>
      <c r="AH1104" s="139">
        <f t="shared" si="443"/>
        <v>18.318629002940039</v>
      </c>
      <c r="AI1104" s="139">
        <f t="shared" si="444"/>
        <v>7.697916666666667</v>
      </c>
      <c r="AJ1104" s="139">
        <f t="shared" si="445"/>
        <v>5.5044642857142856</v>
      </c>
      <c r="AK1104" s="139">
        <f t="shared" si="446"/>
        <v>8.5163690476190474</v>
      </c>
      <c r="AL1104" s="139">
        <f t="shared" si="447"/>
        <v>8.6175595238095237</v>
      </c>
      <c r="AM1104" s="139">
        <f t="shared" si="448"/>
        <v>2.776785714285714</v>
      </c>
      <c r="AN1104" s="139">
        <f t="shared" si="449"/>
        <v>3.2723214285714288</v>
      </c>
      <c r="AO1104" s="139">
        <f t="shared" si="450"/>
        <v>6.3169642857142856</v>
      </c>
      <c r="AP1104" s="139">
        <f t="shared" si="451"/>
        <v>1.2336309523809523</v>
      </c>
      <c r="AQ1104" s="139">
        <f t="shared" si="452"/>
        <v>1.9255952380952381</v>
      </c>
      <c r="AR1104" s="139">
        <f t="shared" si="453"/>
        <v>2.9196428571428572</v>
      </c>
      <c r="AS1104" s="139">
        <f t="shared" si="454"/>
        <v>161.12666471722574</v>
      </c>
      <c r="AT1104" s="139">
        <f t="shared" si="455"/>
        <v>12.431941054080911</v>
      </c>
      <c r="AU1104" s="139">
        <f t="shared" si="456"/>
        <v>173.55860577130665</v>
      </c>
      <c r="AW1104" s="139">
        <f t="shared" si="457"/>
        <v>353.73363095238096</v>
      </c>
      <c r="AX1104" s="139">
        <f t="shared" si="458"/>
        <v>-180.17502518107432</v>
      </c>
    </row>
    <row r="1105" spans="1:50" ht="16.5" customHeight="1" x14ac:dyDescent="0.3">
      <c r="A1105" s="647"/>
      <c r="B1105" s="810">
        <f>+A5</f>
        <v>2021</v>
      </c>
      <c r="C1105" s="787"/>
      <c r="D1105" s="787"/>
      <c r="E1105" s="787"/>
      <c r="F1105" s="787"/>
      <c r="G1105" s="787"/>
      <c r="H1105" s="787"/>
      <c r="I1105" s="787"/>
      <c r="J1105" s="787"/>
      <c r="K1105" s="787"/>
      <c r="L1105" s="787"/>
      <c r="M1105" s="787"/>
      <c r="N1105" s="787"/>
      <c r="O1105" s="787"/>
      <c r="P1105" s="787"/>
      <c r="R1105" s="727"/>
      <c r="AC1105">
        <v>22</v>
      </c>
      <c r="AD1105" s="139">
        <f>IF($AF$1081=1,VLOOKUP($AD$1081,$A$1111:$P$1122,12,FALSE),VLOOKUP($AD$1081,$A$1084:$S$1095,3,FALSE))</f>
        <v>0</v>
      </c>
      <c r="AE1105" s="139">
        <f t="shared" si="440"/>
        <v>24.56845238095238</v>
      </c>
      <c r="AF1105" s="139">
        <f t="shared" si="441"/>
        <v>25.748511904761902</v>
      </c>
      <c r="AG1105" s="139">
        <f t="shared" si="442"/>
        <v>43.709821428571423</v>
      </c>
      <c r="AH1105" s="139">
        <f t="shared" si="443"/>
        <v>18.318629002940039</v>
      </c>
      <c r="AI1105" s="139">
        <f t="shared" si="444"/>
        <v>7.697916666666667</v>
      </c>
      <c r="AJ1105" s="139">
        <f t="shared" si="445"/>
        <v>5.5044642857142856</v>
      </c>
      <c r="AK1105" s="139">
        <f t="shared" si="446"/>
        <v>8.5163690476190474</v>
      </c>
      <c r="AL1105" s="139">
        <f t="shared" si="447"/>
        <v>8.6175595238095237</v>
      </c>
      <c r="AM1105" s="139">
        <f t="shared" si="448"/>
        <v>2.776785714285714</v>
      </c>
      <c r="AN1105" s="139">
        <f t="shared" si="449"/>
        <v>3.2723214285714288</v>
      </c>
      <c r="AO1105" s="139">
        <f t="shared" si="450"/>
        <v>6.3169642857142856</v>
      </c>
      <c r="AP1105" s="139">
        <f t="shared" si="451"/>
        <v>1.2336309523809523</v>
      </c>
      <c r="AQ1105" s="139">
        <f t="shared" si="452"/>
        <v>1.9255952380952381</v>
      </c>
      <c r="AR1105" s="139">
        <f t="shared" si="453"/>
        <v>2.9196428571428572</v>
      </c>
      <c r="AS1105" s="139">
        <f t="shared" si="454"/>
        <v>161.12666471722574</v>
      </c>
      <c r="AT1105" s="139">
        <f t="shared" si="455"/>
        <v>12.431941054080911</v>
      </c>
      <c r="AU1105" s="139">
        <f t="shared" si="456"/>
        <v>173.55860577130665</v>
      </c>
      <c r="AW1105" s="139">
        <f t="shared" si="457"/>
        <v>353.73363095238096</v>
      </c>
      <c r="AX1105" s="139">
        <f t="shared" si="458"/>
        <v>-180.17502518107432</v>
      </c>
    </row>
    <row r="1106" spans="1:50" ht="15.75" customHeight="1" x14ac:dyDescent="0.3">
      <c r="A1106" s="647"/>
      <c r="B1106" s="786" t="s">
        <v>1199</v>
      </c>
      <c r="C1106" s="786"/>
      <c r="D1106" s="786"/>
      <c r="E1106" s="786"/>
      <c r="F1106" s="786"/>
      <c r="G1106" s="786"/>
      <c r="H1106" s="786"/>
      <c r="I1106" s="786"/>
      <c r="J1106" s="786"/>
      <c r="K1106" s="786"/>
      <c r="L1106" s="786"/>
      <c r="M1106" s="786"/>
      <c r="N1106" s="786"/>
      <c r="O1106" s="786"/>
      <c r="P1106" s="786"/>
      <c r="R1106" s="727"/>
      <c r="AC1106">
        <v>23</v>
      </c>
      <c r="AD1106" s="139">
        <f>IF($AF$1081=1,VLOOKUP($AD$1081,$A$1111:$P$1122,12,FALSE),IF(OR($AD$1081="JAN",$AD$1081="FEB",$AD$1081="NOV",$AD$1081="DEC"),VLOOKUP($AD$1081,$A$1084:$S$1095,3,FALSE),VLOOKUP($AD$1081,$A$1084:$S$1095,2,FALSE)))</f>
        <v>0</v>
      </c>
      <c r="AE1106" s="139">
        <f t="shared" si="440"/>
        <v>24.56845238095238</v>
      </c>
      <c r="AF1106" s="139">
        <f t="shared" si="441"/>
        <v>25.748511904761902</v>
      </c>
      <c r="AG1106" s="139">
        <f t="shared" si="442"/>
        <v>43.709821428571423</v>
      </c>
      <c r="AH1106" s="139">
        <f t="shared" si="443"/>
        <v>18.318629002940039</v>
      </c>
      <c r="AI1106" s="139">
        <f t="shared" si="444"/>
        <v>7.697916666666667</v>
      </c>
      <c r="AJ1106" s="139">
        <f t="shared" si="445"/>
        <v>5.5044642857142856</v>
      </c>
      <c r="AK1106" s="139">
        <f t="shared" si="446"/>
        <v>8.5163690476190474</v>
      </c>
      <c r="AL1106" s="139">
        <f t="shared" si="447"/>
        <v>8.6175595238095237</v>
      </c>
      <c r="AM1106" s="139">
        <f t="shared" si="448"/>
        <v>2.776785714285714</v>
      </c>
      <c r="AN1106" s="139">
        <f t="shared" si="449"/>
        <v>3.2723214285714288</v>
      </c>
      <c r="AO1106" s="139">
        <f t="shared" si="450"/>
        <v>6.3169642857142856</v>
      </c>
      <c r="AP1106" s="139">
        <f t="shared" si="451"/>
        <v>1.2336309523809523</v>
      </c>
      <c r="AQ1106" s="139">
        <f t="shared" si="452"/>
        <v>1.9255952380952381</v>
      </c>
      <c r="AR1106" s="139">
        <f t="shared" si="453"/>
        <v>2.9196428571428572</v>
      </c>
      <c r="AS1106" s="139">
        <f t="shared" si="454"/>
        <v>161.12666471722574</v>
      </c>
      <c r="AT1106" s="139">
        <f t="shared" si="455"/>
        <v>12.431941054080911</v>
      </c>
      <c r="AU1106" s="139">
        <f t="shared" si="456"/>
        <v>173.55860577130665</v>
      </c>
      <c r="AW1106" s="139">
        <f t="shared" si="457"/>
        <v>353.73363095238096</v>
      </c>
      <c r="AX1106" s="139">
        <f t="shared" si="458"/>
        <v>-180.17502518107432</v>
      </c>
    </row>
    <row r="1107" spans="1:50" ht="15.75" customHeight="1" thickBot="1" x14ac:dyDescent="0.35">
      <c r="A1107" s="647"/>
      <c r="R1107" s="727"/>
      <c r="AC1107">
        <v>24</v>
      </c>
      <c r="AD1107" s="139">
        <f>IF($AF$1081=1,VLOOKUP($AD$1081,$A$1111:$P$1122,12,FALSE),VLOOKUP($AD$1081,$A$1084:$S$1095,2,FALSE))</f>
        <v>98</v>
      </c>
      <c r="AE1107" s="139">
        <f t="shared" si="440"/>
        <v>24.56845238095238</v>
      </c>
      <c r="AF1107" s="139">
        <f t="shared" si="441"/>
        <v>25.748511904761902</v>
      </c>
      <c r="AG1107" s="139">
        <f t="shared" si="442"/>
        <v>43.709821428571423</v>
      </c>
      <c r="AH1107" s="139">
        <f t="shared" si="443"/>
        <v>18.318629002940039</v>
      </c>
      <c r="AI1107" s="139">
        <f t="shared" si="444"/>
        <v>7.697916666666667</v>
      </c>
      <c r="AJ1107" s="139">
        <f t="shared" si="445"/>
        <v>5.5044642857142856</v>
      </c>
      <c r="AK1107" s="139">
        <f t="shared" si="446"/>
        <v>8.5163690476190474</v>
      </c>
      <c r="AL1107" s="139">
        <f t="shared" si="447"/>
        <v>8.6175595238095237</v>
      </c>
      <c r="AM1107" s="139">
        <f t="shared" si="448"/>
        <v>2.776785714285714</v>
      </c>
      <c r="AN1107" s="139">
        <f t="shared" si="449"/>
        <v>3.2723214285714288</v>
      </c>
      <c r="AO1107" s="139">
        <f t="shared" si="450"/>
        <v>6.3169642857142856</v>
      </c>
      <c r="AP1107" s="139">
        <f t="shared" si="451"/>
        <v>1.2336309523809523</v>
      </c>
      <c r="AQ1107" s="139">
        <f t="shared" si="452"/>
        <v>1.9255952380952381</v>
      </c>
      <c r="AR1107" s="139">
        <f t="shared" si="453"/>
        <v>2.9196428571428572</v>
      </c>
      <c r="AS1107" s="139">
        <f t="shared" si="454"/>
        <v>259.12666471722565</v>
      </c>
      <c r="AT1107" s="139">
        <f t="shared" si="455"/>
        <v>19.99326074898104</v>
      </c>
      <c r="AU1107" s="139">
        <f t="shared" si="456"/>
        <v>279.11992546620667</v>
      </c>
      <c r="AW1107" s="139">
        <f t="shared" si="457"/>
        <v>353.73363095238096</v>
      </c>
      <c r="AX1107" s="139">
        <f t="shared" si="458"/>
        <v>-74.613705486174297</v>
      </c>
    </row>
    <row r="1108" spans="1:50" ht="15.75" customHeight="1" x14ac:dyDescent="0.3">
      <c r="A1108" s="647"/>
      <c r="B1108" s="814" t="s">
        <v>2883</v>
      </c>
      <c r="C1108" s="815"/>
      <c r="D1108" s="815"/>
      <c r="E1108" s="815"/>
      <c r="F1108" s="815"/>
      <c r="G1108" s="815"/>
      <c r="H1108" s="815"/>
      <c r="I1108" s="815"/>
      <c r="J1108" s="815"/>
      <c r="K1108" s="815"/>
      <c r="L1108" s="816"/>
      <c r="M1108" s="817" t="s">
        <v>2884</v>
      </c>
      <c r="N1108" s="815"/>
      <c r="O1108" s="815"/>
      <c r="P1108" s="815"/>
      <c r="Q1108" s="139" t="s">
        <v>2899</v>
      </c>
      <c r="R1108" s="764" t="s">
        <v>2898</v>
      </c>
      <c r="S1108" s="139" t="s">
        <v>3193</v>
      </c>
      <c r="T1108" s="139" t="s">
        <v>2913</v>
      </c>
      <c r="AC1108" t="s">
        <v>2356</v>
      </c>
      <c r="AD1108" s="139">
        <f>SUM(AD1084:AD1107)</f>
        <v>784</v>
      </c>
      <c r="AE1108" s="139">
        <f>SUM(AE1084:AE1107)</f>
        <v>589.64285714285745</v>
      </c>
      <c r="AF1108" s="139">
        <f t="shared" ref="AF1108:AW1108" si="470">SUM(AF1084:AF1107)</f>
        <v>617.96428571428601</v>
      </c>
      <c r="AG1108" s="139">
        <f t="shared" si="470"/>
        <v>1049.0357142857144</v>
      </c>
      <c r="AH1108" s="139">
        <f t="shared" si="470"/>
        <v>439.64709607056096</v>
      </c>
      <c r="AI1108" s="139">
        <f t="shared" si="470"/>
        <v>184.74999999999997</v>
      </c>
      <c r="AJ1108" s="139">
        <f t="shared" si="470"/>
        <v>132.10714285714292</v>
      </c>
      <c r="AK1108" s="139">
        <f t="shared" si="470"/>
        <v>204.39285714285708</v>
      </c>
      <c r="AL1108" s="139">
        <f t="shared" si="470"/>
        <v>206.8214285714285</v>
      </c>
      <c r="AM1108" s="139">
        <f t="shared" si="470"/>
        <v>66.642857142857153</v>
      </c>
      <c r="AN1108" s="139">
        <f t="shared" si="470"/>
        <v>78.53571428571432</v>
      </c>
      <c r="AO1108" s="139">
        <f t="shared" si="470"/>
        <v>151.60714285714289</v>
      </c>
      <c r="AP1108" s="139">
        <f t="shared" si="470"/>
        <v>29.607142857142858</v>
      </c>
      <c r="AQ1108" s="139">
        <f t="shared" si="470"/>
        <v>46.214285714285722</v>
      </c>
      <c r="AR1108" s="139">
        <f t="shared" si="470"/>
        <v>70.071428571428555</v>
      </c>
      <c r="AS1108" s="139">
        <f t="shared" si="470"/>
        <v>4651.0399532134161</v>
      </c>
      <c r="AT1108" s="139">
        <f t="shared" si="470"/>
        <v>358.857142857143</v>
      </c>
      <c r="AU1108" s="139">
        <f t="shared" si="470"/>
        <v>5009.8970960705592</v>
      </c>
      <c r="AW1108" s="139">
        <f t="shared" si="470"/>
        <v>8489.6071428571395</v>
      </c>
      <c r="AX1108" s="139">
        <f>SUMIF(AX1084:AX1107,"&gt;0")</f>
        <v>0</v>
      </c>
    </row>
    <row r="1109" spans="1:50" ht="15.75" customHeight="1" thickBot="1" x14ac:dyDescent="0.35">
      <c r="A1109" s="647" t="s">
        <v>249</v>
      </c>
      <c r="B1109" s="658" t="s">
        <v>2890</v>
      </c>
      <c r="C1109" s="659" t="s">
        <v>2886</v>
      </c>
      <c r="D1109" s="659" t="s">
        <v>2885</v>
      </c>
      <c r="E1109" s="659" t="s">
        <v>2914</v>
      </c>
      <c r="F1109" s="659" t="s">
        <v>2886</v>
      </c>
      <c r="G1109" s="659" t="s">
        <v>2885</v>
      </c>
      <c r="H1109" s="659" t="s">
        <v>2915</v>
      </c>
      <c r="I1109" s="659" t="s">
        <v>2886</v>
      </c>
      <c r="J1109" s="659" t="s">
        <v>2885</v>
      </c>
      <c r="K1109" s="659" t="s">
        <v>2915</v>
      </c>
      <c r="L1109" s="660" t="s">
        <v>2897</v>
      </c>
      <c r="M1109" s="658" t="s">
        <v>2893</v>
      </c>
      <c r="N1109" s="659" t="s">
        <v>2886</v>
      </c>
      <c r="O1109" s="659" t="s">
        <v>2886</v>
      </c>
      <c r="P1109" s="660" t="s">
        <v>2897</v>
      </c>
      <c r="Q1109" s="668" t="s">
        <v>2356</v>
      </c>
      <c r="R1109" s="766" t="s">
        <v>2900</v>
      </c>
      <c r="S1109" s="659" t="s">
        <v>3175</v>
      </c>
      <c r="T1109" s="659" t="s">
        <v>3175</v>
      </c>
      <c r="AU1109" s="139"/>
      <c r="AW1109" s="139"/>
      <c r="AX1109" s="139"/>
    </row>
    <row r="1110" spans="1:50" ht="15.75" customHeight="1" thickTop="1" thickBot="1" x14ac:dyDescent="0.35">
      <c r="A1110" s="647"/>
      <c r="B1110" s="661"/>
      <c r="C1110" s="664" t="s">
        <v>2895</v>
      </c>
      <c r="D1110" s="664" t="s">
        <v>2895</v>
      </c>
      <c r="E1110" s="664" t="s">
        <v>2895</v>
      </c>
      <c r="F1110" s="662" t="s">
        <v>2696</v>
      </c>
      <c r="G1110" s="662" t="s">
        <v>2696</v>
      </c>
      <c r="H1110" s="662" t="s">
        <v>2696</v>
      </c>
      <c r="I1110" s="662" t="s">
        <v>2896</v>
      </c>
      <c r="J1110" s="662" t="s">
        <v>2896</v>
      </c>
      <c r="K1110" s="662" t="s">
        <v>2896</v>
      </c>
      <c r="L1110" s="767" t="s">
        <v>2892</v>
      </c>
      <c r="M1110" s="665"/>
      <c r="N1110" s="664" t="s">
        <v>2895</v>
      </c>
      <c r="O1110" s="662" t="s">
        <v>2696</v>
      </c>
      <c r="P1110" s="767" t="s">
        <v>2896</v>
      </c>
      <c r="Q1110" s="668" t="s">
        <v>2896</v>
      </c>
      <c r="R1110" s="766" t="s">
        <v>2896</v>
      </c>
      <c r="S1110" s="662" t="s">
        <v>3192</v>
      </c>
      <c r="T1110" s="662" t="s">
        <v>3192</v>
      </c>
    </row>
    <row r="1111" spans="1:50" ht="15.75" customHeight="1" x14ac:dyDescent="0.3">
      <c r="A1111" s="647" t="s">
        <v>2843</v>
      </c>
      <c r="B1111" s="642">
        <f ca="1">+$B$10-M1111</f>
        <v>26</v>
      </c>
      <c r="C1111" s="656">
        <v>4</v>
      </c>
      <c r="D1111" s="656">
        <v>0</v>
      </c>
      <c r="E1111" s="656" t="s">
        <v>2916</v>
      </c>
      <c r="F1111" s="139">
        <f>+I1111/(24-S1111)</f>
        <v>196</v>
      </c>
      <c r="G1111" s="139">
        <f>+J1111/S1111</f>
        <v>0</v>
      </c>
      <c r="H1111" s="139" t="s">
        <v>2916</v>
      </c>
      <c r="I1111" s="139">
        <f>+C1111*49*(24-S1111)</f>
        <v>3724</v>
      </c>
      <c r="J1111" s="139">
        <f>+D1111*49*S1111</f>
        <v>0</v>
      </c>
      <c r="K1111" s="139" t="s">
        <v>2916</v>
      </c>
      <c r="L1111" s="764">
        <f>+J1111+I1111</f>
        <v>3724</v>
      </c>
      <c r="M1111" s="642">
        <f ca="1">SUMPRODUCT(--(WEEKDAY(ROW(INDIRECT(DATE($B$1105,MonthFromText(A1111),1)&amp;":"&amp;DATE($B$1105,MonthFromText(A1111),$B$10))),1)=1))</f>
        <v>5</v>
      </c>
      <c r="N1111" s="656">
        <v>4</v>
      </c>
      <c r="O1111">
        <f>+P1111/(24-T1111)</f>
        <v>196</v>
      </c>
      <c r="P1111" s="764">
        <f>+N1111*49*(24-T1111)</f>
        <v>3724</v>
      </c>
      <c r="Q1111" s="139">
        <f ca="1">+(L1111*B1111)+(M1111*P1111)</f>
        <v>115444</v>
      </c>
      <c r="R1111" s="764">
        <f ca="1">+Q1111-B1004</f>
        <v>-2488</v>
      </c>
      <c r="S1111" s="726">
        <v>5</v>
      </c>
      <c r="T1111" s="726">
        <v>5</v>
      </c>
      <c r="AD1111" s="704"/>
      <c r="AE1111" s="703"/>
      <c r="AF1111" s="725" t="s">
        <v>3186</v>
      </c>
      <c r="AG1111" s="720" t="s">
        <v>3183</v>
      </c>
      <c r="AH1111" s="720" t="s">
        <v>3184</v>
      </c>
      <c r="AI1111" s="720" t="s">
        <v>3185</v>
      </c>
      <c r="AJ1111" s="702"/>
    </row>
    <row r="1112" spans="1:50" ht="15.75" customHeight="1" x14ac:dyDescent="0.3">
      <c r="A1112" s="647" t="s">
        <v>2091</v>
      </c>
      <c r="B1112" s="642">
        <f ca="1">+$C$10-M1112</f>
        <v>24</v>
      </c>
      <c r="C1112" s="656">
        <v>2</v>
      </c>
      <c r="D1112" s="656">
        <v>0</v>
      </c>
      <c r="E1112" s="656" t="s">
        <v>2916</v>
      </c>
      <c r="F1112" s="139">
        <f t="shared" ref="F1112:F1122" si="471">+I1112/(24-S1112)</f>
        <v>98</v>
      </c>
      <c r="G1112" s="139">
        <f t="shared" ref="G1112:G1122" si="472">+J1112/S1112</f>
        <v>0</v>
      </c>
      <c r="H1112" s="139" t="s">
        <v>2916</v>
      </c>
      <c r="I1112" s="139">
        <f t="shared" ref="I1112:I1122" si="473">+C1112*49*(24-S1112)</f>
        <v>1862</v>
      </c>
      <c r="J1112" s="139">
        <f t="shared" ref="J1112:J1122" si="474">+D1112*49*S1112</f>
        <v>0</v>
      </c>
      <c r="K1112" s="139" t="s">
        <v>2916</v>
      </c>
      <c r="L1112" s="764">
        <f t="shared" ref="L1112:L1122" si="475">+J1112+I1112</f>
        <v>1862</v>
      </c>
      <c r="M1112" s="642">
        <f ca="1">SUMPRODUCT(--(WEEKDAY(ROW(INDIRECT(DATE($B$1105,MonthFromText(A1112),1)&amp;":"&amp;DATE($B$1105,MonthFromText(A1112),$C$10))),1)=1))</f>
        <v>4</v>
      </c>
      <c r="N1112" s="656">
        <f t="shared" ref="N1112:N1120" si="476">+C1112</f>
        <v>2</v>
      </c>
      <c r="O1112">
        <f t="shared" ref="O1112:O1122" si="477">+P1112/24</f>
        <v>98</v>
      </c>
      <c r="P1112" s="764">
        <f t="shared" ref="P1112:P1122" si="478">+N1112*49*24</f>
        <v>2352</v>
      </c>
      <c r="Q1112" s="139">
        <f ca="1">+(L1112*B1112)+(M1112*P1112)</f>
        <v>54096</v>
      </c>
      <c r="R1112" s="764">
        <f t="shared" ref="R1112:R1122" ca="1" si="479">+Q1112-B1005</f>
        <v>-75555</v>
      </c>
      <c r="S1112" s="726">
        <v>5</v>
      </c>
      <c r="T1112" s="726">
        <v>5</v>
      </c>
      <c r="AD1112" s="721" t="s">
        <v>1354</v>
      </c>
      <c r="AE1112" s="723" t="s">
        <v>3176</v>
      </c>
      <c r="AF1112">
        <f>V1084</f>
        <v>273.28897849462362</v>
      </c>
      <c r="AG1112">
        <f>X1084</f>
        <v>15.054529134520388</v>
      </c>
      <c r="AH1112">
        <f>Y1084</f>
        <v>0</v>
      </c>
      <c r="AI1112">
        <f>Z1084</f>
        <v>31.473118279569889</v>
      </c>
      <c r="AJ1112" s="727"/>
    </row>
    <row r="1113" spans="1:50" ht="16.5" customHeight="1" x14ac:dyDescent="0.3">
      <c r="A1113" s="647" t="s">
        <v>2234</v>
      </c>
      <c r="B1113" s="642">
        <f ca="1">+$D$10-M1113</f>
        <v>27</v>
      </c>
      <c r="C1113" s="656">
        <v>6</v>
      </c>
      <c r="D1113" s="656">
        <v>0</v>
      </c>
      <c r="E1113" s="656" t="s">
        <v>2916</v>
      </c>
      <c r="F1113" s="139">
        <f t="shared" si="471"/>
        <v>294</v>
      </c>
      <c r="G1113" s="139">
        <f t="shared" si="472"/>
        <v>0</v>
      </c>
      <c r="H1113" s="139" t="s">
        <v>2916</v>
      </c>
      <c r="I1113" s="139">
        <f t="shared" si="473"/>
        <v>5586</v>
      </c>
      <c r="J1113" s="139">
        <f t="shared" si="474"/>
        <v>0</v>
      </c>
      <c r="K1113" s="139" t="s">
        <v>2916</v>
      </c>
      <c r="L1113" s="764">
        <f t="shared" si="475"/>
        <v>5586</v>
      </c>
      <c r="M1113" s="642">
        <f ca="1">SUMPRODUCT(--(WEEKDAY(ROW(INDIRECT(DATE($B$1105,MonthFromText(A1113),1)&amp;":"&amp;DATE($B$1105,MonthFromText(A1113),$D$10))),1)=1))</f>
        <v>4</v>
      </c>
      <c r="N1113" s="656">
        <v>3</v>
      </c>
      <c r="O1113">
        <f t="shared" si="477"/>
        <v>147</v>
      </c>
      <c r="P1113" s="764">
        <f t="shared" si="478"/>
        <v>3528</v>
      </c>
      <c r="Q1113" s="139">
        <f t="shared" ref="Q1113:Q1122" ca="1" si="480">+(L1113*B1113)+(M1113*P1113)</f>
        <v>164934</v>
      </c>
      <c r="R1113" s="764">
        <f t="shared" ca="1" si="479"/>
        <v>26194</v>
      </c>
      <c r="S1113" s="726">
        <v>5</v>
      </c>
      <c r="T1113" s="726">
        <v>5</v>
      </c>
      <c r="AD1113" s="721"/>
      <c r="AE1113" s="723" t="s">
        <v>3175</v>
      </c>
      <c r="AF1113">
        <f>W1084</f>
        <v>77.288978494623649</v>
      </c>
      <c r="AG1113">
        <f>X1084</f>
        <v>15.054529134520388</v>
      </c>
      <c r="AH1113">
        <f>Y1084</f>
        <v>0</v>
      </c>
      <c r="AI1113">
        <f>Z1084</f>
        <v>31.473118279569889</v>
      </c>
      <c r="AJ1113" s="727"/>
    </row>
    <row r="1114" spans="1:50" ht="16.5" customHeight="1" x14ac:dyDescent="0.3">
      <c r="A1114" s="647" t="s">
        <v>2235</v>
      </c>
      <c r="B1114" s="642">
        <f ca="1">+$F$10-M1114</f>
        <v>26</v>
      </c>
      <c r="C1114" s="656">
        <v>6</v>
      </c>
      <c r="D1114" s="656">
        <v>0</v>
      </c>
      <c r="E1114" s="656" t="s">
        <v>2916</v>
      </c>
      <c r="F1114" s="139">
        <f t="shared" si="471"/>
        <v>294</v>
      </c>
      <c r="G1114" s="139">
        <f t="shared" si="472"/>
        <v>0</v>
      </c>
      <c r="H1114" s="139" t="s">
        <v>2916</v>
      </c>
      <c r="I1114" s="139">
        <f t="shared" si="473"/>
        <v>5586</v>
      </c>
      <c r="J1114" s="139">
        <f t="shared" si="474"/>
        <v>0</v>
      </c>
      <c r="K1114" s="139" t="s">
        <v>2916</v>
      </c>
      <c r="L1114" s="764">
        <f t="shared" si="475"/>
        <v>5586</v>
      </c>
      <c r="M1114" s="642">
        <f ca="1">SUMPRODUCT(--(WEEKDAY(ROW(INDIRECT(DATE($B$1105,MonthFromText(A1114),1)&amp;":"&amp;DATE($B$1105,MonthFromText(A1114),$F$10))),1)=1))</f>
        <v>4</v>
      </c>
      <c r="N1114" s="656">
        <v>5</v>
      </c>
      <c r="O1114">
        <f t="shared" si="477"/>
        <v>245</v>
      </c>
      <c r="P1114" s="764">
        <f t="shared" si="478"/>
        <v>5880</v>
      </c>
      <c r="Q1114" s="139">
        <f t="shared" ca="1" si="480"/>
        <v>168756</v>
      </c>
      <c r="R1114" s="764">
        <f t="shared" ca="1" si="479"/>
        <v>28011</v>
      </c>
      <c r="S1114" s="726">
        <v>5</v>
      </c>
      <c r="T1114" s="726">
        <v>5</v>
      </c>
      <c r="AD1114" s="721" t="s">
        <v>3178</v>
      </c>
      <c r="AE1114" s="723" t="s">
        <v>852</v>
      </c>
      <c r="AJ1114" s="727"/>
    </row>
    <row r="1115" spans="1:50" ht="15.75" customHeight="1" x14ac:dyDescent="0.3">
      <c r="A1115" s="647" t="s">
        <v>2236</v>
      </c>
      <c r="B1115" s="642">
        <f ca="1">+$G$10-M1115</f>
        <v>26</v>
      </c>
      <c r="C1115" s="656">
        <v>6</v>
      </c>
      <c r="D1115" s="656">
        <v>0</v>
      </c>
      <c r="E1115" s="656" t="s">
        <v>2916</v>
      </c>
      <c r="F1115" s="139">
        <f t="shared" si="471"/>
        <v>294</v>
      </c>
      <c r="G1115" s="139">
        <f t="shared" si="472"/>
        <v>0</v>
      </c>
      <c r="H1115" s="139" t="s">
        <v>2916</v>
      </c>
      <c r="I1115" s="139">
        <f t="shared" si="473"/>
        <v>5586</v>
      </c>
      <c r="J1115" s="139">
        <f t="shared" si="474"/>
        <v>0</v>
      </c>
      <c r="K1115" s="139" t="s">
        <v>2916</v>
      </c>
      <c r="L1115" s="764">
        <f t="shared" si="475"/>
        <v>5586</v>
      </c>
      <c r="M1115" s="642">
        <f ca="1">SUMPRODUCT(--(WEEKDAY(ROW(INDIRECT(DATE($B$1105,MonthFromText(A1115),1)&amp;":"&amp;DATE($B$1105,MonthFromText(A1115),$G$10))),1)=1))</f>
        <v>5</v>
      </c>
      <c r="N1115" s="656">
        <f t="shared" si="476"/>
        <v>6</v>
      </c>
      <c r="O1115">
        <f t="shared" si="477"/>
        <v>294</v>
      </c>
      <c r="P1115" s="764">
        <f t="shared" si="478"/>
        <v>7056</v>
      </c>
      <c r="Q1115" s="139">
        <f t="shared" ca="1" si="480"/>
        <v>180516</v>
      </c>
      <c r="R1115" s="764">
        <f t="shared" ca="1" si="479"/>
        <v>14974</v>
      </c>
      <c r="S1115" s="726">
        <v>5</v>
      </c>
      <c r="T1115" s="726">
        <v>5</v>
      </c>
      <c r="AD1115" s="721" t="s">
        <v>706</v>
      </c>
      <c r="AE1115" s="723" t="s">
        <v>3176</v>
      </c>
      <c r="AF1115">
        <f>V1085</f>
        <v>192.02678571428569</v>
      </c>
      <c r="AG1115">
        <f>X1085</f>
        <v>18.318629002940039</v>
      </c>
      <c r="AH1115">
        <f>Y1085</f>
        <v>0</v>
      </c>
      <c r="AI1115">
        <f>Z1085</f>
        <v>48.78125</v>
      </c>
      <c r="AJ1115" s="727"/>
    </row>
    <row r="1116" spans="1:50" ht="15.75" customHeight="1" x14ac:dyDescent="0.3">
      <c r="A1116" s="647" t="s">
        <v>2237</v>
      </c>
      <c r="B1116" s="642">
        <f ca="1">+$H$10-M1116</f>
        <v>26</v>
      </c>
      <c r="C1116" s="656">
        <v>3</v>
      </c>
      <c r="D1116" s="656">
        <v>0</v>
      </c>
      <c r="E1116" s="656">
        <v>0</v>
      </c>
      <c r="F1116" s="139">
        <f t="shared" si="471"/>
        <v>147</v>
      </c>
      <c r="G1116" s="139">
        <f t="shared" si="472"/>
        <v>0</v>
      </c>
      <c r="H1116" s="139" t="s">
        <v>2916</v>
      </c>
      <c r="I1116" s="139">
        <f t="shared" si="473"/>
        <v>2205</v>
      </c>
      <c r="J1116" s="139">
        <f t="shared" si="474"/>
        <v>0</v>
      </c>
      <c r="K1116" s="139" t="s">
        <v>2916</v>
      </c>
      <c r="L1116" s="764">
        <f t="shared" si="475"/>
        <v>2205</v>
      </c>
      <c r="M1116" s="642">
        <f ca="1">SUMPRODUCT(--(WEEKDAY(ROW(INDIRECT(DATE($B$1105,MonthFromText(A1116),1)&amp;":"&amp;DATE($B$1105,MonthFromText(A1116),$H$10))),1)=1))</f>
        <v>4</v>
      </c>
      <c r="N1116" s="656">
        <f t="shared" si="476"/>
        <v>3</v>
      </c>
      <c r="O1116">
        <f t="shared" si="477"/>
        <v>147</v>
      </c>
      <c r="P1116" s="764">
        <f t="shared" si="478"/>
        <v>3528</v>
      </c>
      <c r="Q1116" s="139">
        <f ca="1">+(L1116*B1116)+(M1116*P1116)</f>
        <v>71442</v>
      </c>
      <c r="R1116" s="764">
        <f t="shared" ca="1" si="479"/>
        <v>19</v>
      </c>
      <c r="S1116" s="726">
        <v>9</v>
      </c>
      <c r="T1116" s="726">
        <v>9</v>
      </c>
      <c r="AD1116" s="721"/>
      <c r="AE1116" s="723" t="s">
        <v>3175</v>
      </c>
      <c r="AF1116">
        <f>W1085</f>
        <v>94.026785714285694</v>
      </c>
      <c r="AG1116">
        <f>X1085</f>
        <v>18.318629002940039</v>
      </c>
      <c r="AH1116">
        <f>Y1085</f>
        <v>0</v>
      </c>
      <c r="AI1116">
        <f>Z1085</f>
        <v>48.78125</v>
      </c>
      <c r="AJ1116" s="727"/>
    </row>
    <row r="1117" spans="1:50" ht="15.75" customHeight="1" x14ac:dyDescent="0.3">
      <c r="A1117" s="647" t="s">
        <v>1504</v>
      </c>
      <c r="B1117" s="642">
        <f ca="1">+$J$10-M1117</f>
        <v>27</v>
      </c>
      <c r="C1117" s="656">
        <v>3</v>
      </c>
      <c r="D1117" s="656">
        <v>0</v>
      </c>
      <c r="E1117" s="656">
        <v>0</v>
      </c>
      <c r="F1117" s="139">
        <f t="shared" si="471"/>
        <v>147</v>
      </c>
      <c r="G1117" s="139">
        <f t="shared" si="472"/>
        <v>0</v>
      </c>
      <c r="H1117" s="139" t="s">
        <v>2916</v>
      </c>
      <c r="I1117" s="139">
        <f t="shared" si="473"/>
        <v>2205</v>
      </c>
      <c r="J1117" s="139">
        <f t="shared" si="474"/>
        <v>0</v>
      </c>
      <c r="K1117" s="139" t="s">
        <v>2916</v>
      </c>
      <c r="L1117" s="764">
        <f t="shared" si="475"/>
        <v>2205</v>
      </c>
      <c r="M1117" s="642">
        <f ca="1">SUMPRODUCT(--(WEEKDAY(ROW(INDIRECT(DATE($B$1105,MonthFromText(A1117),1)&amp;":"&amp;DATE($B$1105,MonthFromText(A1117),$J$10))),1)=1))</f>
        <v>4</v>
      </c>
      <c r="N1117" s="656">
        <f t="shared" si="476"/>
        <v>3</v>
      </c>
      <c r="O1117">
        <f t="shared" si="477"/>
        <v>147</v>
      </c>
      <c r="P1117" s="764">
        <f t="shared" si="478"/>
        <v>3528</v>
      </c>
      <c r="Q1117" s="139">
        <f t="shared" ca="1" si="480"/>
        <v>73647</v>
      </c>
      <c r="R1117" s="764">
        <f t="shared" ca="1" si="479"/>
        <v>23986</v>
      </c>
      <c r="S1117" s="726">
        <v>9</v>
      </c>
      <c r="T1117" s="726">
        <v>9</v>
      </c>
      <c r="AD1117" s="721" t="s">
        <v>3178</v>
      </c>
      <c r="AE1117" s="723" t="s">
        <v>852</v>
      </c>
      <c r="AJ1117" s="727"/>
    </row>
    <row r="1118" spans="1:50" ht="15.75" customHeight="1" x14ac:dyDescent="0.3">
      <c r="A1118" s="647" t="s">
        <v>1505</v>
      </c>
      <c r="B1118" s="642">
        <f ca="1">+$K$10-M1118</f>
        <v>26</v>
      </c>
      <c r="C1118" s="656">
        <v>3</v>
      </c>
      <c r="D1118" s="656">
        <v>0</v>
      </c>
      <c r="E1118" s="656">
        <v>0</v>
      </c>
      <c r="F1118" s="139">
        <f t="shared" si="471"/>
        <v>147</v>
      </c>
      <c r="G1118" s="139">
        <f t="shared" si="472"/>
        <v>0</v>
      </c>
      <c r="H1118" s="139" t="s">
        <v>2916</v>
      </c>
      <c r="I1118" s="139">
        <f t="shared" si="473"/>
        <v>2205</v>
      </c>
      <c r="J1118" s="139">
        <f t="shared" si="474"/>
        <v>0</v>
      </c>
      <c r="K1118" s="139" t="s">
        <v>2916</v>
      </c>
      <c r="L1118" s="764">
        <f t="shared" si="475"/>
        <v>2205</v>
      </c>
      <c r="M1118" s="642">
        <f ca="1">SUMPRODUCT(--(WEEKDAY(ROW(INDIRECT(DATE($B$1105,MonthFromText(A1118),1)&amp;":"&amp;DATE($B$1105,MonthFromText(A1118),$K$10))),1)=1))</f>
        <v>5</v>
      </c>
      <c r="N1118" s="656">
        <f t="shared" si="476"/>
        <v>3</v>
      </c>
      <c r="O1118">
        <f t="shared" si="477"/>
        <v>147</v>
      </c>
      <c r="P1118" s="764">
        <f t="shared" si="478"/>
        <v>3528</v>
      </c>
      <c r="Q1118" s="139">
        <f t="shared" ca="1" si="480"/>
        <v>74970</v>
      </c>
      <c r="R1118" s="764">
        <f t="shared" ca="1" si="479"/>
        <v>24970</v>
      </c>
      <c r="S1118" s="726">
        <v>9</v>
      </c>
      <c r="T1118" s="726">
        <v>9</v>
      </c>
      <c r="AD1118" s="721" t="s">
        <v>707</v>
      </c>
      <c r="AE1118" s="723" t="s">
        <v>3176</v>
      </c>
      <c r="AF1118">
        <f>V1086</f>
        <v>383.99731182795699</v>
      </c>
      <c r="AG1118">
        <f>X1086</f>
        <v>8.5696776528474441</v>
      </c>
      <c r="AH1118">
        <f>Y1086</f>
        <v>0</v>
      </c>
      <c r="AI1118">
        <f>Z1086</f>
        <v>59.06989247311828</v>
      </c>
      <c r="AJ1118" s="727"/>
    </row>
    <row r="1119" spans="1:50" ht="15.75" customHeight="1" x14ac:dyDescent="0.3">
      <c r="A1119" s="647" t="s">
        <v>1506</v>
      </c>
      <c r="B1119" s="642">
        <f ca="1">+$L$10-M1119</f>
        <v>26</v>
      </c>
      <c r="C1119" s="656">
        <v>5</v>
      </c>
      <c r="D1119" s="656">
        <v>0</v>
      </c>
      <c r="E1119" s="656" t="s">
        <v>2916</v>
      </c>
      <c r="F1119" s="139">
        <f t="shared" si="471"/>
        <v>245</v>
      </c>
      <c r="G1119" s="139">
        <f t="shared" si="472"/>
        <v>0</v>
      </c>
      <c r="H1119" s="139" t="s">
        <v>2916</v>
      </c>
      <c r="I1119" s="139">
        <f t="shared" si="473"/>
        <v>4410</v>
      </c>
      <c r="J1119" s="139">
        <f t="shared" si="474"/>
        <v>0</v>
      </c>
      <c r="K1119" s="139" t="s">
        <v>2916</v>
      </c>
      <c r="L1119" s="764">
        <f t="shared" si="475"/>
        <v>4410</v>
      </c>
      <c r="M1119" s="642">
        <f ca="1">SUMPRODUCT(--(WEEKDAY(ROW(INDIRECT(DATE($B$1105,MonthFromText(A1119),1)&amp;":"&amp;DATE($B$1105,MonthFromText(A1119),$L$10))),1)=1))</f>
        <v>4</v>
      </c>
      <c r="N1119" s="656">
        <f t="shared" si="476"/>
        <v>5</v>
      </c>
      <c r="O1119">
        <f t="shared" si="477"/>
        <v>245</v>
      </c>
      <c r="P1119" s="764">
        <f t="shared" si="478"/>
        <v>5880</v>
      </c>
      <c r="Q1119" s="139">
        <f t="shared" ca="1" si="480"/>
        <v>138180</v>
      </c>
      <c r="R1119" s="764">
        <f t="shared" ca="1" si="479"/>
        <v>13395</v>
      </c>
      <c r="S1119" s="726">
        <v>6</v>
      </c>
      <c r="T1119" s="726">
        <v>4</v>
      </c>
      <c r="AD1119" s="721"/>
      <c r="AE1119" s="723" t="s">
        <v>3175</v>
      </c>
      <c r="AF1119">
        <f>W1086</f>
        <v>89.997311827956992</v>
      </c>
      <c r="AG1119">
        <f>X1086</f>
        <v>8.5696776528474441</v>
      </c>
      <c r="AH1119">
        <f>Y1086</f>
        <v>0</v>
      </c>
      <c r="AI1119">
        <f>Z1086</f>
        <v>59.06989247311828</v>
      </c>
      <c r="AJ1119" s="727"/>
    </row>
    <row r="1120" spans="1:50" ht="15.75" customHeight="1" x14ac:dyDescent="0.3">
      <c r="A1120" s="647" t="s">
        <v>1507</v>
      </c>
      <c r="B1120" s="642">
        <f ca="1">+$N$10-M1120</f>
        <v>26</v>
      </c>
      <c r="C1120" s="656">
        <v>5</v>
      </c>
      <c r="D1120" s="656">
        <v>0</v>
      </c>
      <c r="E1120" s="656" t="s">
        <v>2916</v>
      </c>
      <c r="F1120" s="139">
        <f t="shared" si="471"/>
        <v>245</v>
      </c>
      <c r="G1120" s="139">
        <f t="shared" si="472"/>
        <v>0</v>
      </c>
      <c r="H1120" s="139" t="s">
        <v>2916</v>
      </c>
      <c r="I1120" s="139">
        <f t="shared" si="473"/>
        <v>4410</v>
      </c>
      <c r="J1120" s="139">
        <f t="shared" si="474"/>
        <v>0</v>
      </c>
      <c r="K1120" s="139" t="s">
        <v>2916</v>
      </c>
      <c r="L1120" s="764">
        <f t="shared" si="475"/>
        <v>4410</v>
      </c>
      <c r="M1120" s="642">
        <f ca="1">SUMPRODUCT(--(WEEKDAY(ROW(INDIRECT(DATE($B$1105,MonthFromText(A1120),1)&amp;":"&amp;DATE($B$1105,MonthFromText(A1120),$N$10))),1)=1))</f>
        <v>5</v>
      </c>
      <c r="N1120" s="656">
        <f t="shared" si="476"/>
        <v>5</v>
      </c>
      <c r="O1120">
        <f t="shared" si="477"/>
        <v>245</v>
      </c>
      <c r="P1120" s="764">
        <f t="shared" si="478"/>
        <v>5880</v>
      </c>
      <c r="Q1120" s="139">
        <f t="shared" ca="1" si="480"/>
        <v>144060</v>
      </c>
      <c r="R1120" s="764">
        <f t="shared" ca="1" si="479"/>
        <v>5736</v>
      </c>
      <c r="S1120" s="726">
        <v>6</v>
      </c>
      <c r="T1120" s="726">
        <v>4</v>
      </c>
      <c r="AD1120" s="721" t="s">
        <v>3178</v>
      </c>
      <c r="AE1120" s="723" t="s">
        <v>852</v>
      </c>
      <c r="AJ1120" s="727"/>
    </row>
    <row r="1121" spans="1:36" ht="15.75" customHeight="1" x14ac:dyDescent="0.3">
      <c r="A1121" s="647" t="s">
        <v>1508</v>
      </c>
      <c r="B1121" s="642">
        <f ca="1">+$O$10-M1121</f>
        <v>26</v>
      </c>
      <c r="C1121" s="656">
        <v>5</v>
      </c>
      <c r="D1121" s="656">
        <v>0</v>
      </c>
      <c r="E1121" s="656" t="s">
        <v>2916</v>
      </c>
      <c r="F1121" s="139">
        <f t="shared" si="471"/>
        <v>245</v>
      </c>
      <c r="G1121" s="139">
        <f t="shared" si="472"/>
        <v>0</v>
      </c>
      <c r="H1121" s="139" t="s">
        <v>2916</v>
      </c>
      <c r="I1121" s="139">
        <f t="shared" si="473"/>
        <v>4410</v>
      </c>
      <c r="J1121" s="139">
        <f t="shared" si="474"/>
        <v>0</v>
      </c>
      <c r="K1121" s="139" t="s">
        <v>2916</v>
      </c>
      <c r="L1121" s="764">
        <f t="shared" si="475"/>
        <v>4410</v>
      </c>
      <c r="M1121" s="642">
        <f ca="1">SUMPRODUCT(--(WEEKDAY(ROW(INDIRECT(DATE($B$1105,MonthFromText(A1121),1)&amp;":"&amp;DATE($B$1105,MonthFromText(A1121),$O$10))),1)=1))</f>
        <v>4</v>
      </c>
      <c r="N1121" s="656">
        <v>3</v>
      </c>
      <c r="O1121">
        <f t="shared" si="477"/>
        <v>147</v>
      </c>
      <c r="P1121" s="764">
        <f t="shared" si="478"/>
        <v>3528</v>
      </c>
      <c r="Q1121" s="139">
        <f t="shared" ca="1" si="480"/>
        <v>128772</v>
      </c>
      <c r="R1121" s="764">
        <f t="shared" ca="1" si="479"/>
        <v>-4035</v>
      </c>
      <c r="S1121" s="726">
        <v>6</v>
      </c>
      <c r="T1121" s="726">
        <v>4</v>
      </c>
      <c r="AD1121" s="721" t="s">
        <v>1321</v>
      </c>
      <c r="AE1121" s="723" t="s">
        <v>3176</v>
      </c>
      <c r="AF1121">
        <f>V1087</f>
        <v>387.68194444444441</v>
      </c>
      <c r="AG1121">
        <f>X1087</f>
        <v>0</v>
      </c>
      <c r="AH1121">
        <f>Y1087</f>
        <v>-2.1617115973750285</v>
      </c>
      <c r="AI1121">
        <f>Z1087</f>
        <v>71.869444444444468</v>
      </c>
      <c r="AJ1121" s="727"/>
    </row>
    <row r="1122" spans="1:36" ht="15.75" customHeight="1" thickBot="1" x14ac:dyDescent="0.35">
      <c r="A1122" s="647" t="s">
        <v>1509</v>
      </c>
      <c r="B1122" s="644">
        <f ca="1">+$P$10-M1122</f>
        <v>27</v>
      </c>
      <c r="C1122" s="657">
        <v>5</v>
      </c>
      <c r="D1122" s="657">
        <v>0</v>
      </c>
      <c r="E1122" s="656" t="s">
        <v>2916</v>
      </c>
      <c r="F1122" s="139">
        <f t="shared" si="471"/>
        <v>245</v>
      </c>
      <c r="G1122" s="139">
        <f t="shared" si="472"/>
        <v>0</v>
      </c>
      <c r="H1122" s="139" t="s">
        <v>2916</v>
      </c>
      <c r="I1122" s="139">
        <f t="shared" si="473"/>
        <v>4410</v>
      </c>
      <c r="J1122" s="139">
        <f t="shared" si="474"/>
        <v>0</v>
      </c>
      <c r="K1122" s="139" t="s">
        <v>2916</v>
      </c>
      <c r="L1122" s="764">
        <f t="shared" si="475"/>
        <v>4410</v>
      </c>
      <c r="M1122" s="644">
        <f ca="1">SUMPRODUCT(--(WEEKDAY(ROW(INDIRECT(DATE($B$1105,MonthFromText(A1122),1)&amp;":"&amp;DATE($B$1105,MonthFromText(A1122),$P$10))),1)=1))</f>
        <v>4</v>
      </c>
      <c r="N1122" s="656">
        <v>3</v>
      </c>
      <c r="O1122" s="581">
        <f t="shared" si="477"/>
        <v>147</v>
      </c>
      <c r="P1122" s="646">
        <f t="shared" si="478"/>
        <v>3528</v>
      </c>
      <c r="Q1122" s="666">
        <f t="shared" ca="1" si="480"/>
        <v>133182</v>
      </c>
      <c r="R1122" s="673">
        <f t="shared" ca="1" si="479"/>
        <v>29845</v>
      </c>
      <c r="S1122" s="726">
        <v>6</v>
      </c>
      <c r="T1122" s="726">
        <v>4</v>
      </c>
      <c r="AD1122" s="721"/>
      <c r="AE1122" s="723" t="s">
        <v>3175</v>
      </c>
      <c r="AF1122">
        <f>W1087</f>
        <v>93.68194444444444</v>
      </c>
      <c r="AG1122">
        <f>X1087</f>
        <v>0</v>
      </c>
      <c r="AH1122">
        <f>Y1087</f>
        <v>-2.1617115973750285</v>
      </c>
      <c r="AI1122">
        <f>Z1087</f>
        <v>71.869444444444468</v>
      </c>
      <c r="AJ1122" s="727"/>
    </row>
    <row r="1123" spans="1:36" ht="15.75" customHeight="1" thickBot="1" x14ac:dyDescent="0.35">
      <c r="A1123" s="580"/>
      <c r="B1123" s="581"/>
      <c r="C1123" s="581"/>
      <c r="D1123" s="581"/>
      <c r="E1123" s="705"/>
      <c r="F1123" s="705"/>
      <c r="G1123" s="705"/>
      <c r="H1123" s="705"/>
      <c r="I1123" s="705"/>
      <c r="J1123" s="705"/>
      <c r="K1123" s="705"/>
      <c r="L1123" s="705"/>
      <c r="M1123" s="581"/>
      <c r="N1123" s="581"/>
      <c r="O1123" s="581"/>
      <c r="P1123" s="581"/>
      <c r="Q1123" s="645">
        <f ca="1">+SUM(Q1111:Q1122)</f>
        <v>1447999</v>
      </c>
      <c r="R1123" s="646">
        <f ca="1">+Q1123-B1017</f>
        <v>85052</v>
      </c>
      <c r="AD1123" s="721" t="s">
        <v>3178</v>
      </c>
      <c r="AE1123" s="723" t="s">
        <v>852</v>
      </c>
      <c r="AJ1123" s="727"/>
    </row>
    <row r="1124" spans="1:36" ht="15.75" customHeight="1" x14ac:dyDescent="0.3">
      <c r="A1124" s="641" t="s">
        <v>2891</v>
      </c>
      <c r="J1124" s="139"/>
      <c r="AD1124" s="721" t="s">
        <v>1905</v>
      </c>
      <c r="AE1124" s="723" t="s">
        <v>3176</v>
      </c>
      <c r="AF1124">
        <f>V1088</f>
        <v>400.42876344086022</v>
      </c>
      <c r="AG1124">
        <f>X1088</f>
        <v>0</v>
      </c>
      <c r="AH1124">
        <f>Y1088</f>
        <v>0</v>
      </c>
      <c r="AI1124">
        <f>Z1088</f>
        <v>69.762096774193552</v>
      </c>
      <c r="AJ1124" s="727"/>
    </row>
    <row r="1125" spans="1:36" ht="15.75" customHeight="1" x14ac:dyDescent="0.3">
      <c r="A1125" s="641" t="s">
        <v>2894</v>
      </c>
      <c r="AD1125" s="721"/>
      <c r="AE1125" s="723" t="s">
        <v>3175</v>
      </c>
      <c r="AF1125">
        <f>W1088</f>
        <v>106.42876344086022</v>
      </c>
      <c r="AG1125">
        <f>X1088</f>
        <v>0</v>
      </c>
      <c r="AH1125">
        <f>Y1088</f>
        <v>0</v>
      </c>
      <c r="AI1125">
        <f>Z1088</f>
        <v>69.762096774193552</v>
      </c>
      <c r="AJ1125" s="727"/>
    </row>
    <row r="1126" spans="1:36" ht="15.75" customHeight="1" x14ac:dyDescent="0.3">
      <c r="A1126" s="641" t="s">
        <v>2901</v>
      </c>
      <c r="AD1126" s="721" t="s">
        <v>3178</v>
      </c>
      <c r="AE1126" s="723" t="s">
        <v>852</v>
      </c>
      <c r="AJ1126" s="727"/>
    </row>
    <row r="1127" spans="1:36" ht="15.75" customHeight="1" x14ac:dyDescent="0.3">
      <c r="AD1127" s="721" t="s">
        <v>1906</v>
      </c>
      <c r="AE1127" s="723" t="s">
        <v>3176</v>
      </c>
      <c r="AF1127">
        <f>V1089</f>
        <v>192.90694444444443</v>
      </c>
      <c r="AG1127">
        <f>X1089</f>
        <v>0</v>
      </c>
      <c r="AH1127">
        <f>Y1089</f>
        <v>-21.96721634360711</v>
      </c>
      <c r="AI1127">
        <f>Z1089</f>
        <v>73.783333333333331</v>
      </c>
      <c r="AJ1127" s="727"/>
    </row>
    <row r="1128" spans="1:36" ht="15.75" customHeight="1" x14ac:dyDescent="0.3">
      <c r="A1128" t="s">
        <v>3191</v>
      </c>
      <c r="AD1128" s="721"/>
      <c r="AE1128" s="723" t="s">
        <v>3175</v>
      </c>
      <c r="AF1128">
        <f>W1089</f>
        <v>45.906944444444449</v>
      </c>
      <c r="AG1128">
        <f>X1089</f>
        <v>0</v>
      </c>
      <c r="AH1128">
        <f>Y1089</f>
        <v>-21.96721634360711</v>
      </c>
      <c r="AI1128">
        <f>Z1089</f>
        <v>73.783333333333331</v>
      </c>
      <c r="AJ1128" s="727"/>
    </row>
    <row r="1129" spans="1:36" ht="15.75" customHeight="1" x14ac:dyDescent="0.3">
      <c r="AD1129" s="721" t="s">
        <v>3178</v>
      </c>
      <c r="AE1129" s="723" t="s">
        <v>852</v>
      </c>
      <c r="AJ1129" s="727"/>
    </row>
    <row r="1130" spans="1:36" ht="15.75" customHeight="1" x14ac:dyDescent="0.3">
      <c r="AD1130" s="721" t="s">
        <v>1907</v>
      </c>
      <c r="AE1130" s="723" t="s">
        <v>3176</v>
      </c>
      <c r="AF1130">
        <f>V1090</f>
        <v>177.24596774193549</v>
      </c>
      <c r="AG1130">
        <f>X1090</f>
        <v>0</v>
      </c>
      <c r="AH1130">
        <f>Y1090</f>
        <v>-19.852710780525623</v>
      </c>
      <c r="AI1130">
        <f>Z1090</f>
        <v>70.943548387096769</v>
      </c>
      <c r="AJ1130" s="727"/>
    </row>
    <row r="1131" spans="1:36" ht="16.5" customHeight="1" x14ac:dyDescent="0.3">
      <c r="AD1131" s="721"/>
      <c r="AE1131" s="723" t="s">
        <v>3175</v>
      </c>
      <c r="AF1131">
        <f>W1090</f>
        <v>30.24596774193548</v>
      </c>
      <c r="AG1131">
        <f>X1090</f>
        <v>0</v>
      </c>
      <c r="AH1131">
        <f>Y1090</f>
        <v>-19.852710780525623</v>
      </c>
      <c r="AI1131">
        <f>Z1090</f>
        <v>70.943548387096769</v>
      </c>
      <c r="AJ1131" s="727"/>
    </row>
    <row r="1132" spans="1:36" ht="15.75" customHeight="1" x14ac:dyDescent="0.3">
      <c r="AD1132" s="721" t="s">
        <v>3178</v>
      </c>
      <c r="AE1132" s="723" t="s">
        <v>852</v>
      </c>
      <c r="AJ1132" s="727"/>
    </row>
    <row r="1133" spans="1:36" ht="16.5" customHeight="1" x14ac:dyDescent="0.3">
      <c r="AD1133" s="721" t="s">
        <v>1908</v>
      </c>
      <c r="AE1133" s="723" t="s">
        <v>3176</v>
      </c>
      <c r="AF1133">
        <f>V1091</f>
        <v>177.87768817204301</v>
      </c>
      <c r="AG1133">
        <f>X1091</f>
        <v>0</v>
      </c>
      <c r="AH1133">
        <f>Y1091</f>
        <v>-10.87922856973494</v>
      </c>
      <c r="AI1133">
        <f>Z1091</f>
        <v>63.202956989247319</v>
      </c>
      <c r="AJ1133" s="727"/>
    </row>
    <row r="1134" spans="1:36" ht="15.75" customHeight="1" x14ac:dyDescent="0.3">
      <c r="AD1134" s="721"/>
      <c r="AE1134" s="723" t="s">
        <v>3175</v>
      </c>
      <c r="AF1134">
        <f>W1091</f>
        <v>30.877688172043015</v>
      </c>
      <c r="AG1134">
        <f>X1091</f>
        <v>0</v>
      </c>
      <c r="AH1134">
        <f>Y1091</f>
        <v>-10.87922856973494</v>
      </c>
      <c r="AI1134">
        <f>Z1091</f>
        <v>63.202956989247319</v>
      </c>
      <c r="AJ1134" s="727"/>
    </row>
    <row r="1135" spans="1:36" ht="15.75" customHeight="1" x14ac:dyDescent="0.3">
      <c r="AD1135" s="721" t="s">
        <v>3178</v>
      </c>
      <c r="AE1135" s="723" t="s">
        <v>852</v>
      </c>
      <c r="AJ1135" s="727"/>
    </row>
    <row r="1136" spans="1:36" ht="15.75" customHeight="1" x14ac:dyDescent="0.3">
      <c r="AD1136" s="721" t="s">
        <v>3177</v>
      </c>
      <c r="AE1136" s="723" t="s">
        <v>3176</v>
      </c>
      <c r="AF1136">
        <f>V1092</f>
        <v>328.47638888888889</v>
      </c>
      <c r="AG1136">
        <f>X1092</f>
        <v>3.7402394118380697</v>
      </c>
      <c r="AH1136">
        <f>Y1092</f>
        <v>0</v>
      </c>
      <c r="AI1136">
        <f>Z1092</f>
        <v>51.676388888888887</v>
      </c>
      <c r="AJ1136" s="727"/>
    </row>
    <row r="1137" spans="1:36" ht="15.75" customHeight="1" x14ac:dyDescent="0.3">
      <c r="AD1137" s="721"/>
      <c r="AE1137" s="723" t="s">
        <v>3175</v>
      </c>
      <c r="AF1137">
        <f>W1092</f>
        <v>83.476388888888891</v>
      </c>
      <c r="AG1137">
        <f>X1092</f>
        <v>3.7402394118380697</v>
      </c>
      <c r="AH1137">
        <f>Y1092</f>
        <v>0</v>
      </c>
      <c r="AI1137">
        <f>Z1092</f>
        <v>51.676388888888887</v>
      </c>
      <c r="AJ1137" s="727"/>
    </row>
    <row r="1138" spans="1:36" ht="15.75" customHeight="1" x14ac:dyDescent="0.3">
      <c r="I1138" s="139"/>
      <c r="J1138" s="139"/>
      <c r="AD1138" s="721" t="s">
        <v>3178</v>
      </c>
      <c r="AE1138" s="723" t="s">
        <v>852</v>
      </c>
      <c r="AJ1138" s="727"/>
    </row>
    <row r="1139" spans="1:36" ht="15.75" customHeight="1" x14ac:dyDescent="0.3">
      <c r="AD1139" s="721" t="s">
        <v>2353</v>
      </c>
      <c r="AE1139" s="723" t="s">
        <v>3176</v>
      </c>
      <c r="AF1139">
        <f>V1093</f>
        <v>335.06451612903226</v>
      </c>
      <c r="AG1139">
        <f>X1093</f>
        <v>13.708029347336522</v>
      </c>
      <c r="AH1139">
        <f>Y1093</f>
        <v>0</v>
      </c>
      <c r="AI1139">
        <f>Z1093</f>
        <v>25.263440860215056</v>
      </c>
      <c r="AJ1139" s="727"/>
    </row>
    <row r="1140" spans="1:36" ht="15.75" customHeight="1" x14ac:dyDescent="0.3">
      <c r="AD1140" s="721"/>
      <c r="AE1140" s="723" t="s">
        <v>3175</v>
      </c>
      <c r="AF1140">
        <f>W1093</f>
        <v>90.064516129032256</v>
      </c>
      <c r="AG1140">
        <f>X1093</f>
        <v>13.708029347336522</v>
      </c>
      <c r="AH1140">
        <f>Y1093</f>
        <v>0</v>
      </c>
      <c r="AI1140">
        <f>Z1093</f>
        <v>25.263440860215056</v>
      </c>
      <c r="AJ1140" s="727"/>
    </row>
    <row r="1141" spans="1:36" ht="15.75" customHeight="1" x14ac:dyDescent="0.3">
      <c r="AD1141" s="721" t="s">
        <v>3178</v>
      </c>
      <c r="AE1141" s="723" t="s">
        <v>852</v>
      </c>
      <c r="AJ1141" s="727"/>
    </row>
    <row r="1142" spans="1:36" ht="15.75" customHeight="1" x14ac:dyDescent="0.3">
      <c r="AD1142" s="721" t="s">
        <v>2354</v>
      </c>
      <c r="AE1142" s="723" t="s">
        <v>3176</v>
      </c>
      <c r="AF1142">
        <f>V1094</f>
        <v>334.7833333333333</v>
      </c>
      <c r="AG1142">
        <f>X1094</f>
        <v>21.012780818711924</v>
      </c>
      <c r="AH1142">
        <f>Y1094</f>
        <v>0</v>
      </c>
      <c r="AI1142">
        <f>Z1094</f>
        <v>10.841666666666667</v>
      </c>
      <c r="AJ1142" s="727"/>
    </row>
    <row r="1143" spans="1:36" ht="15.75" customHeight="1" x14ac:dyDescent="0.3">
      <c r="AD1143" s="721"/>
      <c r="AE1143" s="723" t="s">
        <v>3175</v>
      </c>
      <c r="AF1143">
        <f>W1094</f>
        <v>89.783333333333331</v>
      </c>
      <c r="AG1143">
        <f>X1094</f>
        <v>21.012780818711924</v>
      </c>
      <c r="AH1143">
        <f>Y1094</f>
        <v>0</v>
      </c>
      <c r="AI1143">
        <f>Z1094</f>
        <v>10.841666666666667</v>
      </c>
      <c r="AJ1143" s="727"/>
    </row>
    <row r="1144" spans="1:36" ht="15.75" customHeight="1" x14ac:dyDescent="0.3">
      <c r="AD1144" s="721" t="s">
        <v>3178</v>
      </c>
      <c r="AE1144" s="723" t="s">
        <v>852</v>
      </c>
      <c r="AJ1144" s="727"/>
    </row>
    <row r="1145" spans="1:36" ht="15.75" customHeight="1" thickBot="1" x14ac:dyDescent="0.35">
      <c r="AD1145" s="721" t="s">
        <v>2355</v>
      </c>
      <c r="AE1145" s="723" t="s">
        <v>3176</v>
      </c>
      <c r="AF1145">
        <f>V1095</f>
        <v>312.53763440860212</v>
      </c>
      <c r="AG1145">
        <f>X1095</f>
        <v>12.967389336067507</v>
      </c>
      <c r="AH1145">
        <f>Y1095</f>
        <v>0</v>
      </c>
      <c r="AI1145">
        <f>Z1095</f>
        <v>23.630376344086024</v>
      </c>
      <c r="AJ1145" s="727"/>
    </row>
    <row r="1146" spans="1:36" ht="15.75" customHeight="1" x14ac:dyDescent="0.35">
      <c r="A1146" s="749"/>
      <c r="B1146" s="701"/>
      <c r="C1146" s="768"/>
      <c r="D1146" s="768"/>
      <c r="E1146" s="768"/>
      <c r="F1146" s="768"/>
      <c r="G1146" s="768"/>
      <c r="H1146" s="750" t="s">
        <v>1623</v>
      </c>
      <c r="I1146" s="701"/>
      <c r="J1146" s="701"/>
      <c r="K1146" s="701"/>
      <c r="L1146" s="701"/>
      <c r="M1146" s="701"/>
      <c r="N1146" s="701"/>
      <c r="O1146" s="701"/>
      <c r="P1146" s="701"/>
      <c r="Q1146" s="752" t="str">
        <f>+Q1</f>
        <v xml:space="preserve">PRINTED:  </v>
      </c>
      <c r="R1146" s="756">
        <f ca="1">+R1</f>
        <v>44881.729632754628</v>
      </c>
      <c r="S1146" s="702"/>
      <c r="AD1146" s="721"/>
      <c r="AE1146" s="723" t="s">
        <v>3175</v>
      </c>
      <c r="AF1146">
        <f>W1095</f>
        <v>67.537634408602145</v>
      </c>
      <c r="AG1146">
        <f>X1095</f>
        <v>12.967389336067507</v>
      </c>
      <c r="AH1146">
        <f>Y1095</f>
        <v>0</v>
      </c>
      <c r="AI1146">
        <f>Z1095</f>
        <v>23.630376344086024</v>
      </c>
      <c r="AJ1146" s="727"/>
    </row>
    <row r="1147" spans="1:36" ht="15.75" customHeight="1" thickBot="1" x14ac:dyDescent="0.4">
      <c r="A1147" s="551"/>
      <c r="B1147" s="67"/>
      <c r="C1147" s="215"/>
      <c r="D1147" s="215"/>
      <c r="E1147" s="215"/>
      <c r="F1147" s="215"/>
      <c r="G1147" s="215"/>
      <c r="H1147" s="67" t="s">
        <v>2435</v>
      </c>
      <c r="I1147" s="67" t="s">
        <v>852</v>
      </c>
      <c r="J1147" s="69" t="str">
        <f>+A8</f>
        <v>Revised:  2/5/2020</v>
      </c>
      <c r="K1147" s="67"/>
      <c r="L1147" s="67"/>
      <c r="M1147" s="67"/>
      <c r="N1147" s="67"/>
      <c r="O1147" s="67"/>
      <c r="P1147" s="67"/>
      <c r="Q1147" s="67"/>
      <c r="R1147" s="67"/>
      <c r="S1147" s="727"/>
      <c r="AD1147" s="722" t="s">
        <v>3178</v>
      </c>
      <c r="AE1147" s="724" t="s">
        <v>852</v>
      </c>
      <c r="AF1147" s="581"/>
      <c r="AG1147" s="581"/>
      <c r="AH1147" s="581"/>
      <c r="AI1147" s="581"/>
      <c r="AJ1147" s="565"/>
    </row>
    <row r="1148" spans="1:36" ht="15.75" customHeight="1" x14ac:dyDescent="0.35">
      <c r="A1148" s="551"/>
      <c r="B1148" s="67"/>
      <c r="C1148" s="215"/>
      <c r="D1148" s="215"/>
      <c r="E1148" s="215"/>
      <c r="F1148" s="215"/>
      <c r="G1148" s="215"/>
      <c r="H1148" s="67" t="s">
        <v>2126</v>
      </c>
      <c r="I1148" s="67"/>
      <c r="J1148" s="67"/>
      <c r="K1148" s="67"/>
      <c r="L1148" s="67"/>
      <c r="M1148" s="67"/>
      <c r="N1148" s="67"/>
      <c r="O1148" s="67"/>
      <c r="P1148" s="67"/>
      <c r="Q1148" s="67"/>
      <c r="R1148" s="67"/>
      <c r="S1148" s="727"/>
    </row>
    <row r="1149" spans="1:36" ht="15.75" customHeight="1" x14ac:dyDescent="0.35">
      <c r="A1149" s="551"/>
      <c r="B1149" s="67"/>
      <c r="C1149" s="215"/>
      <c r="D1149" s="215"/>
      <c r="E1149" s="215"/>
      <c r="F1149" s="215"/>
      <c r="G1149" s="215"/>
      <c r="H1149" s="67"/>
      <c r="I1149" s="67"/>
      <c r="J1149" s="67"/>
      <c r="K1149" s="67"/>
      <c r="L1149" s="67"/>
      <c r="M1149" s="67"/>
      <c r="N1149" s="67"/>
      <c r="O1149" s="67"/>
      <c r="P1149" s="67"/>
      <c r="Q1149" s="67"/>
      <c r="R1149" s="67"/>
      <c r="S1149" s="727"/>
    </row>
    <row r="1150" spans="1:36" ht="15.75" customHeight="1" x14ac:dyDescent="0.35">
      <c r="A1150" s="551"/>
      <c r="B1150" s="67"/>
      <c r="C1150" s="215"/>
      <c r="D1150" s="215"/>
      <c r="E1150" s="215"/>
      <c r="F1150" s="215"/>
      <c r="G1150" s="215"/>
      <c r="H1150" s="67" t="s">
        <v>2435</v>
      </c>
      <c r="I1150" s="676">
        <f>+A5</f>
        <v>2021</v>
      </c>
      <c r="J1150" s="67"/>
      <c r="K1150" s="67"/>
      <c r="L1150" s="67"/>
      <c r="M1150" s="67"/>
      <c r="N1150" s="67"/>
      <c r="O1150" s="67"/>
      <c r="P1150" s="67"/>
      <c r="Q1150" s="67"/>
      <c r="R1150" s="67"/>
      <c r="S1150" s="727"/>
    </row>
    <row r="1151" spans="1:36" ht="15.75" customHeight="1" x14ac:dyDescent="0.3">
      <c r="A1151" s="551"/>
      <c r="B1151" s="67"/>
      <c r="C1151" s="67"/>
      <c r="D1151" s="67"/>
      <c r="E1151" s="67"/>
      <c r="F1151" s="67"/>
      <c r="G1151" s="67"/>
      <c r="H1151" s="67"/>
      <c r="I1151" s="67"/>
      <c r="J1151" s="67"/>
      <c r="K1151" s="67"/>
      <c r="L1151" s="67"/>
      <c r="M1151" s="67"/>
      <c r="N1151" s="67"/>
      <c r="O1151" s="67"/>
      <c r="P1151" s="67"/>
      <c r="Q1151" s="67"/>
      <c r="R1151" s="67"/>
      <c r="S1151" s="727"/>
    </row>
    <row r="1152" spans="1:36" ht="15.75" customHeight="1" x14ac:dyDescent="0.3">
      <c r="A1152" s="551"/>
      <c r="B1152" s="67"/>
      <c r="C1152" s="71" t="s">
        <v>1442</v>
      </c>
      <c r="D1152" s="67"/>
      <c r="E1152" s="67"/>
      <c r="F1152" s="67"/>
      <c r="G1152" s="71" t="s">
        <v>1409</v>
      </c>
      <c r="H1152" s="67"/>
      <c r="I1152" s="67"/>
      <c r="J1152" s="67"/>
      <c r="K1152" s="68" t="s">
        <v>234</v>
      </c>
      <c r="L1152" s="67"/>
      <c r="M1152" s="67"/>
      <c r="N1152" s="67"/>
      <c r="O1152" s="68" t="s">
        <v>1701</v>
      </c>
      <c r="P1152" s="67"/>
      <c r="Q1152" s="67"/>
      <c r="R1152" s="67"/>
      <c r="S1152" s="727"/>
    </row>
    <row r="1153" spans="1:19" ht="15.75" customHeight="1" x14ac:dyDescent="0.3">
      <c r="A1153" s="551"/>
      <c r="B1153" s="67"/>
      <c r="C1153" s="67">
        <f>+A5</f>
        <v>2021</v>
      </c>
      <c r="D1153" s="67"/>
      <c r="E1153" s="67"/>
      <c r="F1153" s="67" t="s">
        <v>2415</v>
      </c>
      <c r="G1153" s="67"/>
      <c r="H1153" s="67"/>
      <c r="I1153" s="67"/>
      <c r="J1153" s="67"/>
      <c r="K1153" s="67">
        <f>+A5</f>
        <v>2021</v>
      </c>
      <c r="L1153" s="67"/>
      <c r="M1153" s="67"/>
      <c r="N1153" s="67"/>
      <c r="O1153" s="67">
        <f>+A5</f>
        <v>2021</v>
      </c>
      <c r="P1153" s="67"/>
      <c r="Q1153" s="67"/>
      <c r="R1153" s="67"/>
      <c r="S1153" s="727"/>
    </row>
    <row r="1154" spans="1:19" ht="15.75" customHeight="1" x14ac:dyDescent="0.3">
      <c r="A1154" s="551"/>
      <c r="B1154" s="67"/>
      <c r="C1154" s="67"/>
      <c r="D1154" s="67"/>
      <c r="E1154" s="67"/>
      <c r="F1154" s="67"/>
      <c r="G1154" s="67">
        <f>+A5</f>
        <v>2021</v>
      </c>
      <c r="H1154" s="67"/>
      <c r="I1154" s="67"/>
      <c r="J1154" s="67"/>
      <c r="K1154" s="67"/>
      <c r="L1154" s="67"/>
      <c r="M1154" s="67"/>
      <c r="N1154" s="67"/>
      <c r="O1154" s="67"/>
      <c r="P1154" s="67"/>
      <c r="Q1154" s="67"/>
      <c r="R1154" s="67"/>
      <c r="S1154" s="727"/>
    </row>
    <row r="1155" spans="1:19" ht="15.75" customHeight="1" x14ac:dyDescent="0.3">
      <c r="A1155" s="551"/>
      <c r="B1155" s="67"/>
      <c r="C1155" s="70" t="s">
        <v>1413</v>
      </c>
      <c r="D1155" s="70" t="s">
        <v>31</v>
      </c>
      <c r="E1155" s="70" t="s">
        <v>32</v>
      </c>
      <c r="F1155" s="67"/>
      <c r="G1155" s="70" t="s">
        <v>1412</v>
      </c>
      <c r="H1155" s="70" t="s">
        <v>31</v>
      </c>
      <c r="I1155" s="70" t="s">
        <v>1077</v>
      </c>
      <c r="J1155" s="67"/>
      <c r="K1155" s="70" t="s">
        <v>229</v>
      </c>
      <c r="L1155" s="70" t="s">
        <v>31</v>
      </c>
      <c r="M1155" s="70" t="s">
        <v>1078</v>
      </c>
      <c r="N1155" s="67"/>
      <c r="O1155" s="70" t="s">
        <v>229</v>
      </c>
      <c r="P1155" s="70" t="s">
        <v>31</v>
      </c>
      <c r="Q1155" s="70" t="s">
        <v>1078</v>
      </c>
      <c r="R1155" s="67"/>
      <c r="S1155" s="727"/>
    </row>
    <row r="1156" spans="1:19" ht="15.75" customHeight="1" x14ac:dyDescent="0.3">
      <c r="A1156" s="551"/>
      <c r="B1156" s="67"/>
      <c r="C1156" s="70" t="s">
        <v>429</v>
      </c>
      <c r="D1156" s="70" t="s">
        <v>335</v>
      </c>
      <c r="E1156" s="70" t="s">
        <v>2000</v>
      </c>
      <c r="F1156" s="67"/>
      <c r="G1156" s="70" t="s">
        <v>1318</v>
      </c>
      <c r="H1156" s="70" t="s">
        <v>335</v>
      </c>
      <c r="I1156" s="70" t="s">
        <v>2000</v>
      </c>
      <c r="J1156" s="67"/>
      <c r="K1156" s="70" t="s">
        <v>1180</v>
      </c>
      <c r="L1156" s="70" t="s">
        <v>335</v>
      </c>
      <c r="M1156" s="70" t="s">
        <v>2000</v>
      </c>
      <c r="N1156" s="67"/>
      <c r="O1156" s="70" t="s">
        <v>1180</v>
      </c>
      <c r="P1156" s="70" t="s">
        <v>335</v>
      </c>
      <c r="Q1156" s="70" t="s">
        <v>2000</v>
      </c>
      <c r="R1156" s="67"/>
      <c r="S1156" s="727"/>
    </row>
    <row r="1157" spans="1:19" ht="15.75" customHeight="1" x14ac:dyDescent="0.3">
      <c r="A1157" s="551"/>
      <c r="B1157" s="67"/>
      <c r="C1157" s="70" t="s">
        <v>335</v>
      </c>
      <c r="D1157" s="70" t="s">
        <v>956</v>
      </c>
      <c r="E1157" s="70" t="s">
        <v>242</v>
      </c>
      <c r="F1157" s="67"/>
      <c r="G1157" s="70" t="s">
        <v>134</v>
      </c>
      <c r="H1157" s="70" t="s">
        <v>956</v>
      </c>
      <c r="I1157" s="70" t="s">
        <v>242</v>
      </c>
      <c r="J1157" s="67"/>
      <c r="K1157" s="70" t="s">
        <v>335</v>
      </c>
      <c r="L1157" s="70" t="s">
        <v>956</v>
      </c>
      <c r="M1157" s="70" t="s">
        <v>242</v>
      </c>
      <c r="N1157" s="67"/>
      <c r="O1157" s="70" t="s">
        <v>335</v>
      </c>
      <c r="P1157" s="70" t="s">
        <v>956</v>
      </c>
      <c r="Q1157" s="70" t="s">
        <v>242</v>
      </c>
      <c r="R1157" s="67"/>
      <c r="S1157" s="727"/>
    </row>
    <row r="1158" spans="1:19" ht="15.75" customHeight="1" x14ac:dyDescent="0.3">
      <c r="A1158" s="551"/>
      <c r="B1158" s="67"/>
      <c r="C1158" s="70" t="s">
        <v>932</v>
      </c>
      <c r="D1158" s="70" t="s">
        <v>1917</v>
      </c>
      <c r="E1158" s="70" t="s">
        <v>1481</v>
      </c>
      <c r="F1158" s="67"/>
      <c r="G1158" s="70" t="s">
        <v>932</v>
      </c>
      <c r="H1158" s="70" t="s">
        <v>1917</v>
      </c>
      <c r="I1158" s="70" t="s">
        <v>1481</v>
      </c>
      <c r="J1158" s="67"/>
      <c r="K1158" s="70" t="s">
        <v>932</v>
      </c>
      <c r="L1158" s="70" t="s">
        <v>1917</v>
      </c>
      <c r="M1158" s="70" t="s">
        <v>1481</v>
      </c>
      <c r="N1158" s="67"/>
      <c r="O1158" s="70" t="s">
        <v>932</v>
      </c>
      <c r="P1158" s="70" t="s">
        <v>1917</v>
      </c>
      <c r="Q1158" s="70" t="s">
        <v>1481</v>
      </c>
      <c r="R1158" s="67"/>
      <c r="S1158" s="727"/>
    </row>
    <row r="1159" spans="1:19" ht="15.75" customHeight="1" x14ac:dyDescent="0.3">
      <c r="A1159" s="551"/>
      <c r="B1159" s="67"/>
      <c r="C1159" s="67" t="s">
        <v>1353</v>
      </c>
      <c r="D1159" s="67" t="s">
        <v>1353</v>
      </c>
      <c r="E1159" s="67" t="s">
        <v>1353</v>
      </c>
      <c r="F1159" s="67"/>
      <c r="G1159" s="70" t="s">
        <v>1353</v>
      </c>
      <c r="H1159" s="70" t="s">
        <v>1353</v>
      </c>
      <c r="I1159" s="70" t="s">
        <v>1353</v>
      </c>
      <c r="J1159" s="67"/>
      <c r="K1159" s="67" t="s">
        <v>1353</v>
      </c>
      <c r="L1159" s="67" t="s">
        <v>1353</v>
      </c>
      <c r="M1159" s="67" t="s">
        <v>1353</v>
      </c>
      <c r="N1159" s="67"/>
      <c r="O1159" s="67" t="s">
        <v>1353</v>
      </c>
      <c r="P1159" s="67" t="s">
        <v>1353</v>
      </c>
      <c r="Q1159" s="67" t="s">
        <v>1353</v>
      </c>
      <c r="R1159" s="67"/>
      <c r="S1159" s="727"/>
    </row>
    <row r="1160" spans="1:19" ht="15.75" customHeight="1" x14ac:dyDescent="0.3">
      <c r="A1160" s="553" t="s">
        <v>1354</v>
      </c>
      <c r="B1160" s="67"/>
      <c r="C1160" s="67">
        <f t="shared" ref="C1160:C1171" si="481">(P1032)</f>
        <v>0.2</v>
      </c>
      <c r="D1160" s="72">
        <v>0</v>
      </c>
      <c r="E1160" s="73">
        <f t="shared" ref="E1160:E1171" si="482">(P1032*D1160/1000)</f>
        <v>0</v>
      </c>
      <c r="F1160" s="67"/>
      <c r="G1160" s="67">
        <v>0</v>
      </c>
      <c r="H1160" s="72">
        <v>0</v>
      </c>
      <c r="I1160" s="73">
        <f t="shared" ref="I1160:I1171" si="483">(G1160*H1160/1000)</f>
        <v>0</v>
      </c>
      <c r="J1160" s="67"/>
      <c r="K1160" s="589">
        <v>11848</v>
      </c>
      <c r="L1160" s="590">
        <v>0</v>
      </c>
      <c r="M1160" s="73">
        <f t="shared" ref="M1160:M1171" si="484">(K1160*L1160/1000)</f>
        <v>0</v>
      </c>
      <c r="N1160" s="67"/>
      <c r="O1160" s="589">
        <v>0</v>
      </c>
      <c r="P1160" s="72">
        <v>0</v>
      </c>
      <c r="Q1160" s="73">
        <f t="shared" ref="Q1160:Q1171" si="485">(O1160*P1160/1000)</f>
        <v>0</v>
      </c>
      <c r="R1160" s="67"/>
      <c r="S1160" s="727"/>
    </row>
    <row r="1161" spans="1:19" ht="15.75" customHeight="1" x14ac:dyDescent="0.3">
      <c r="A1161" s="553" t="s">
        <v>706</v>
      </c>
      <c r="B1161" s="67"/>
      <c r="C1161" s="67">
        <f t="shared" si="481"/>
        <v>0.25</v>
      </c>
      <c r="D1161" s="72">
        <v>0</v>
      </c>
      <c r="E1161" s="73">
        <f t="shared" si="482"/>
        <v>0</v>
      </c>
      <c r="F1161" s="67"/>
      <c r="G1161" s="67" t="e">
        <f>#REF!</f>
        <v>#REF!</v>
      </c>
      <c r="H1161" s="72">
        <v>0</v>
      </c>
      <c r="I1161" s="73" t="e">
        <f t="shared" si="483"/>
        <v>#REF!</v>
      </c>
      <c r="J1161" s="67"/>
      <c r="K1161" s="589">
        <v>11489</v>
      </c>
      <c r="L1161" s="590">
        <v>0</v>
      </c>
      <c r="M1161" s="73">
        <f t="shared" si="484"/>
        <v>0</v>
      </c>
      <c r="N1161" s="67"/>
      <c r="O1161" s="589">
        <v>0</v>
      </c>
      <c r="P1161" s="72">
        <v>0</v>
      </c>
      <c r="Q1161" s="73">
        <f t="shared" si="485"/>
        <v>0</v>
      </c>
      <c r="R1161" s="67"/>
      <c r="S1161" s="727"/>
    </row>
    <row r="1162" spans="1:19" ht="15.75" customHeight="1" x14ac:dyDescent="0.3">
      <c r="A1162" s="553" t="s">
        <v>707</v>
      </c>
      <c r="B1162" s="67"/>
      <c r="C1162" s="67">
        <f t="shared" si="481"/>
        <v>0.3</v>
      </c>
      <c r="D1162" s="72">
        <v>0</v>
      </c>
      <c r="E1162" s="73">
        <f t="shared" si="482"/>
        <v>0</v>
      </c>
      <c r="F1162" s="67">
        <f>SUM(E1160:E1162)</f>
        <v>0</v>
      </c>
      <c r="G1162" s="67" t="e">
        <f>#REF!</f>
        <v>#REF!</v>
      </c>
      <c r="H1162" s="72">
        <v>0</v>
      </c>
      <c r="I1162" s="73" t="e">
        <f t="shared" si="483"/>
        <v>#REF!</v>
      </c>
      <c r="J1162" s="67" t="e">
        <f>SUM(I1160:I1162)</f>
        <v>#REF!</v>
      </c>
      <c r="K1162" s="589">
        <v>16247</v>
      </c>
      <c r="L1162" s="590">
        <v>0</v>
      </c>
      <c r="M1162" s="73">
        <f t="shared" si="484"/>
        <v>0</v>
      </c>
      <c r="N1162" s="67">
        <f>SUM(M1160:M1162)</f>
        <v>0</v>
      </c>
      <c r="O1162" s="589">
        <v>0</v>
      </c>
      <c r="P1162" s="72">
        <v>0</v>
      </c>
      <c r="Q1162" s="73">
        <f t="shared" si="485"/>
        <v>0</v>
      </c>
      <c r="R1162" s="67">
        <f>SUM(Q1160:Q1162)</f>
        <v>0</v>
      </c>
      <c r="S1162" s="727"/>
    </row>
    <row r="1163" spans="1:19" ht="15.75" customHeight="1" x14ac:dyDescent="0.3">
      <c r="A1163" s="553" t="s">
        <v>1321</v>
      </c>
      <c r="B1163" s="67"/>
      <c r="C1163" s="67">
        <f t="shared" si="481"/>
        <v>0.35</v>
      </c>
      <c r="D1163" s="72">
        <v>0</v>
      </c>
      <c r="E1163" s="73">
        <f t="shared" si="482"/>
        <v>0</v>
      </c>
      <c r="F1163" s="67"/>
      <c r="G1163" s="67" t="e">
        <f>#REF!</f>
        <v>#REF!</v>
      </c>
      <c r="H1163" s="72">
        <v>0</v>
      </c>
      <c r="I1163" s="73" t="e">
        <f t="shared" si="483"/>
        <v>#REF!</v>
      </c>
      <c r="J1163" s="67"/>
      <c r="K1163" s="589">
        <v>17740</v>
      </c>
      <c r="L1163" s="590">
        <v>0</v>
      </c>
      <c r="M1163" s="73">
        <f t="shared" si="484"/>
        <v>0</v>
      </c>
      <c r="N1163" s="67"/>
      <c r="O1163" s="589">
        <v>0</v>
      </c>
      <c r="P1163" s="72">
        <v>0</v>
      </c>
      <c r="Q1163" s="73">
        <f t="shared" si="485"/>
        <v>0</v>
      </c>
      <c r="R1163" s="67"/>
      <c r="S1163" s="727"/>
    </row>
    <row r="1164" spans="1:19" ht="15.75" customHeight="1" x14ac:dyDescent="0.3">
      <c r="A1164" s="553" t="s">
        <v>1905</v>
      </c>
      <c r="B1164" s="67"/>
      <c r="C1164" s="67">
        <f t="shared" si="481"/>
        <v>0.35</v>
      </c>
      <c r="D1164" s="72">
        <v>0</v>
      </c>
      <c r="E1164" s="73">
        <f t="shared" si="482"/>
        <v>0</v>
      </c>
      <c r="F1164" s="67"/>
      <c r="G1164" s="67" t="e">
        <f>#REF!</f>
        <v>#REF!</v>
      </c>
      <c r="H1164" s="72">
        <v>0</v>
      </c>
      <c r="I1164" s="73" t="e">
        <f t="shared" si="483"/>
        <v>#REF!</v>
      </c>
      <c r="J1164" s="67"/>
      <c r="K1164" s="589">
        <v>15434</v>
      </c>
      <c r="L1164" s="590">
        <v>0</v>
      </c>
      <c r="M1164" s="73">
        <f t="shared" si="484"/>
        <v>0</v>
      </c>
      <c r="N1164" s="67"/>
      <c r="O1164" s="589">
        <v>0</v>
      </c>
      <c r="P1164" s="72">
        <v>0</v>
      </c>
      <c r="Q1164" s="73">
        <f t="shared" si="485"/>
        <v>0</v>
      </c>
      <c r="R1164" s="67"/>
      <c r="S1164" s="727"/>
    </row>
    <row r="1165" spans="1:19" ht="15.75" customHeight="1" x14ac:dyDescent="0.3">
      <c r="A1165" s="553" t="s">
        <v>1906</v>
      </c>
      <c r="B1165" s="67"/>
      <c r="C1165" s="67">
        <f t="shared" si="481"/>
        <v>7.4999999999999997E-2</v>
      </c>
      <c r="D1165" s="72">
        <v>0</v>
      </c>
      <c r="E1165" s="73">
        <f t="shared" si="482"/>
        <v>0</v>
      </c>
      <c r="F1165" s="67">
        <f>SUM(E1163:E1165)</f>
        <v>0</v>
      </c>
      <c r="G1165" s="67" t="e">
        <f>#REF!</f>
        <v>#REF!</v>
      </c>
      <c r="H1165" s="72">
        <v>0</v>
      </c>
      <c r="I1165" s="73" t="e">
        <f t="shared" si="483"/>
        <v>#REF!</v>
      </c>
      <c r="J1165" s="67" t="e">
        <f>SUM(I1163:I1165)</f>
        <v>#REF!</v>
      </c>
      <c r="K1165" s="589">
        <v>14355</v>
      </c>
      <c r="L1165" s="590">
        <v>0</v>
      </c>
      <c r="M1165" s="73">
        <f t="shared" si="484"/>
        <v>0</v>
      </c>
      <c r="N1165" s="67">
        <f>SUM(M1163:M1165)</f>
        <v>0</v>
      </c>
      <c r="O1165" s="589">
        <v>0</v>
      </c>
      <c r="P1165" s="72">
        <v>0</v>
      </c>
      <c r="Q1165" s="73">
        <f t="shared" si="485"/>
        <v>0</v>
      </c>
      <c r="R1165" s="67">
        <f>SUM(Q1163:Q1165)</f>
        <v>0</v>
      </c>
      <c r="S1165" s="727"/>
    </row>
    <row r="1166" spans="1:19" ht="15.75" customHeight="1" x14ac:dyDescent="0.3">
      <c r="A1166" s="553" t="s">
        <v>1907</v>
      </c>
      <c r="B1166" s="67"/>
      <c r="C1166" s="67">
        <f t="shared" si="481"/>
        <v>0.05</v>
      </c>
      <c r="D1166" s="72">
        <v>0</v>
      </c>
      <c r="E1166" s="73">
        <f t="shared" si="482"/>
        <v>0</v>
      </c>
      <c r="F1166" s="67"/>
      <c r="G1166" s="67" t="e">
        <f>#REF!</f>
        <v>#REF!</v>
      </c>
      <c r="H1166" s="72">
        <v>0</v>
      </c>
      <c r="I1166" s="73" t="e">
        <f t="shared" si="483"/>
        <v>#REF!</v>
      </c>
      <c r="J1166" s="67"/>
      <c r="K1166" s="589">
        <v>13129</v>
      </c>
      <c r="L1166" s="590">
        <v>0</v>
      </c>
      <c r="M1166" s="73">
        <f t="shared" si="484"/>
        <v>0</v>
      </c>
      <c r="N1166" s="67"/>
      <c r="O1166" s="589">
        <v>0</v>
      </c>
      <c r="P1166" s="72">
        <v>0</v>
      </c>
      <c r="Q1166" s="73">
        <f t="shared" si="485"/>
        <v>0</v>
      </c>
      <c r="R1166" s="67"/>
      <c r="S1166" s="727"/>
    </row>
    <row r="1167" spans="1:19" ht="15.75" customHeight="1" x14ac:dyDescent="0.3">
      <c r="A1167" s="553" t="s">
        <v>1908</v>
      </c>
      <c r="B1167" s="67"/>
      <c r="C1167" s="67">
        <f t="shared" si="481"/>
        <v>0</v>
      </c>
      <c r="D1167" s="72">
        <v>0</v>
      </c>
      <c r="E1167" s="73">
        <f t="shared" si="482"/>
        <v>0</v>
      </c>
      <c r="F1167" s="67"/>
      <c r="G1167" s="67" t="e">
        <f>#REF!</f>
        <v>#REF!</v>
      </c>
      <c r="H1167" s="72">
        <v>0</v>
      </c>
      <c r="I1167" s="73" t="e">
        <f t="shared" si="483"/>
        <v>#REF!</v>
      </c>
      <c r="J1167" s="67"/>
      <c r="K1167" s="589">
        <v>12545</v>
      </c>
      <c r="L1167" s="590">
        <v>0</v>
      </c>
      <c r="M1167" s="73">
        <f t="shared" si="484"/>
        <v>0</v>
      </c>
      <c r="N1167" s="67"/>
      <c r="O1167" s="589">
        <v>0</v>
      </c>
      <c r="P1167" s="72">
        <v>0</v>
      </c>
      <c r="Q1167" s="73">
        <f t="shared" si="485"/>
        <v>0</v>
      </c>
      <c r="R1167" s="67"/>
      <c r="S1167" s="727"/>
    </row>
    <row r="1168" spans="1:19" ht="15.75" customHeight="1" x14ac:dyDescent="0.3">
      <c r="A1168" s="553" t="s">
        <v>2352</v>
      </c>
      <c r="B1168" s="67"/>
      <c r="C1168" s="67">
        <f t="shared" si="481"/>
        <v>0.05</v>
      </c>
      <c r="D1168" s="72">
        <v>0</v>
      </c>
      <c r="E1168" s="73">
        <f t="shared" si="482"/>
        <v>0</v>
      </c>
      <c r="F1168" s="67">
        <f>SUM(E1166:E1168)</f>
        <v>0</v>
      </c>
      <c r="G1168" s="67" t="e">
        <f>#REF!</f>
        <v>#REF!</v>
      </c>
      <c r="H1168" s="72">
        <v>0</v>
      </c>
      <c r="I1168" s="73" t="e">
        <f t="shared" si="483"/>
        <v>#REF!</v>
      </c>
      <c r="J1168" s="67" t="e">
        <f>SUM(I1166:I1168)</f>
        <v>#REF!</v>
      </c>
      <c r="K1168" s="589">
        <v>9350</v>
      </c>
      <c r="L1168" s="590">
        <v>0</v>
      </c>
      <c r="M1168" s="73">
        <f t="shared" si="484"/>
        <v>0</v>
      </c>
      <c r="N1168" s="67">
        <f>SUM(M1166:M1168)</f>
        <v>0</v>
      </c>
      <c r="O1168" s="589">
        <v>0</v>
      </c>
      <c r="P1168" s="72">
        <v>0</v>
      </c>
      <c r="Q1168" s="73">
        <f t="shared" si="485"/>
        <v>0</v>
      </c>
      <c r="R1168" s="67">
        <f>SUM(Q1166:Q1168)</f>
        <v>0</v>
      </c>
      <c r="S1168" s="727"/>
    </row>
    <row r="1169" spans="1:19" ht="15.75" customHeight="1" x14ac:dyDescent="0.3">
      <c r="A1169" s="553" t="s">
        <v>2353</v>
      </c>
      <c r="B1169" s="67"/>
      <c r="C1169" s="67">
        <f t="shared" si="481"/>
        <v>0.2</v>
      </c>
      <c r="D1169" s="72">
        <v>0</v>
      </c>
      <c r="E1169" s="73">
        <f t="shared" si="482"/>
        <v>0</v>
      </c>
      <c r="F1169" s="67"/>
      <c r="G1169" s="67" t="e">
        <f>#REF!</f>
        <v>#REF!</v>
      </c>
      <c r="H1169" s="72">
        <v>0</v>
      </c>
      <c r="I1169" s="73" t="e">
        <f t="shared" si="483"/>
        <v>#REF!</v>
      </c>
      <c r="J1169" s="67"/>
      <c r="K1169" s="589">
        <v>11649</v>
      </c>
      <c r="L1169" s="590">
        <v>0</v>
      </c>
      <c r="M1169" s="73">
        <f t="shared" si="484"/>
        <v>0</v>
      </c>
      <c r="N1169" s="67"/>
      <c r="O1169" s="589">
        <v>0</v>
      </c>
      <c r="P1169" s="72">
        <v>0</v>
      </c>
      <c r="Q1169" s="73">
        <f t="shared" si="485"/>
        <v>0</v>
      </c>
      <c r="R1169" s="67"/>
      <c r="S1169" s="727"/>
    </row>
    <row r="1170" spans="1:19" ht="15.75" customHeight="1" x14ac:dyDescent="0.3">
      <c r="A1170" s="553" t="s">
        <v>2354</v>
      </c>
      <c r="B1170" s="67"/>
      <c r="C1170" s="67">
        <f t="shared" si="481"/>
        <v>0.2</v>
      </c>
      <c r="D1170" s="72">
        <v>0</v>
      </c>
      <c r="E1170" s="73">
        <f t="shared" si="482"/>
        <v>0</v>
      </c>
      <c r="F1170" s="67"/>
      <c r="G1170" s="67" t="e">
        <f>#REF!</f>
        <v>#REF!</v>
      </c>
      <c r="H1170" s="72">
        <v>0</v>
      </c>
      <c r="I1170" s="73" t="e">
        <f t="shared" si="483"/>
        <v>#REF!</v>
      </c>
      <c r="J1170" s="67"/>
      <c r="K1170" s="589">
        <v>8035</v>
      </c>
      <c r="L1170" s="590">
        <v>0</v>
      </c>
      <c r="M1170" s="73">
        <f t="shared" si="484"/>
        <v>0</v>
      </c>
      <c r="N1170" s="67"/>
      <c r="O1170" s="589">
        <v>0</v>
      </c>
      <c r="P1170" s="72">
        <v>0</v>
      </c>
      <c r="Q1170" s="73">
        <f t="shared" si="485"/>
        <v>0</v>
      </c>
      <c r="R1170" s="67"/>
      <c r="S1170" s="727"/>
    </row>
    <row r="1171" spans="1:19" ht="15.75" customHeight="1" x14ac:dyDescent="0.3">
      <c r="A1171" s="553" t="s">
        <v>2355</v>
      </c>
      <c r="B1171" s="67"/>
      <c r="C1171" s="67">
        <f t="shared" si="481"/>
        <v>0.2</v>
      </c>
      <c r="D1171" s="72">
        <v>0</v>
      </c>
      <c r="E1171" s="73">
        <f t="shared" si="482"/>
        <v>0</v>
      </c>
      <c r="F1171" s="67">
        <f>SUM(E1169:E1171)</f>
        <v>0</v>
      </c>
      <c r="G1171" s="67" t="e">
        <f>#REF!</f>
        <v>#REF!</v>
      </c>
      <c r="H1171" s="72">
        <v>0</v>
      </c>
      <c r="I1171" s="73" t="e">
        <f t="shared" si="483"/>
        <v>#REF!</v>
      </c>
      <c r="J1171" s="67" t="e">
        <f>SUM(I1169:I1171)</f>
        <v>#REF!</v>
      </c>
      <c r="K1171" s="589">
        <v>8092</v>
      </c>
      <c r="L1171" s="590">
        <v>0</v>
      </c>
      <c r="M1171" s="73">
        <f t="shared" si="484"/>
        <v>0</v>
      </c>
      <c r="N1171" s="67">
        <f>SUM(M1169:M1171)</f>
        <v>0</v>
      </c>
      <c r="O1171" s="589">
        <v>0</v>
      </c>
      <c r="P1171" s="72">
        <v>0</v>
      </c>
      <c r="Q1171" s="73">
        <f t="shared" si="485"/>
        <v>0</v>
      </c>
      <c r="R1171" s="67">
        <f>SUM(Q1169:Q1171)</f>
        <v>0</v>
      </c>
      <c r="S1171" s="727"/>
    </row>
    <row r="1172" spans="1:19" ht="15.75" customHeight="1" x14ac:dyDescent="0.3">
      <c r="A1172" s="551"/>
      <c r="B1172" s="67"/>
      <c r="C1172" s="67"/>
      <c r="D1172" s="67"/>
      <c r="E1172" s="67"/>
      <c r="F1172" s="67"/>
      <c r="G1172" s="67"/>
      <c r="H1172" s="67"/>
      <c r="I1172" s="67"/>
      <c r="J1172" s="67"/>
      <c r="K1172" s="67"/>
      <c r="L1172" s="67"/>
      <c r="M1172" s="67"/>
      <c r="N1172" s="67"/>
      <c r="O1172" s="67"/>
      <c r="P1172" s="67"/>
      <c r="Q1172" s="67"/>
      <c r="R1172" s="67"/>
      <c r="S1172" s="727"/>
    </row>
    <row r="1173" spans="1:19" ht="15.75" customHeight="1" x14ac:dyDescent="0.3">
      <c r="A1173" s="551"/>
      <c r="B1173" s="67"/>
      <c r="C1173" s="67"/>
      <c r="D1173" s="67"/>
      <c r="E1173" s="67"/>
      <c r="F1173" s="67"/>
      <c r="G1173" s="67"/>
      <c r="H1173" s="67"/>
      <c r="I1173" s="67"/>
      <c r="J1173" s="67"/>
      <c r="K1173" s="67"/>
      <c r="L1173" s="67"/>
      <c r="M1173" s="67"/>
      <c r="N1173" s="67"/>
      <c r="O1173" s="67"/>
      <c r="P1173" s="67"/>
      <c r="Q1173" s="67"/>
      <c r="R1173" s="67"/>
      <c r="S1173" s="727"/>
    </row>
    <row r="1174" spans="1:19" ht="16.5" customHeight="1" thickBot="1" x14ac:dyDescent="0.35">
      <c r="A1174" s="554" t="s">
        <v>2356</v>
      </c>
      <c r="B1174" s="555"/>
      <c r="C1174" s="555">
        <f>SUM(C1160:C1171)</f>
        <v>2.2250000000000005</v>
      </c>
      <c r="D1174" s="555"/>
      <c r="E1174" s="567">
        <f>SUM(E1160:E1171)</f>
        <v>0</v>
      </c>
      <c r="F1174" s="555"/>
      <c r="G1174" s="555" t="e">
        <f>SUM(G1160:G1171)</f>
        <v>#REF!</v>
      </c>
      <c r="H1174" s="555" t="s">
        <v>2435</v>
      </c>
      <c r="I1174" s="567" t="e">
        <f>SUM(I1160:I1171)</f>
        <v>#REF!</v>
      </c>
      <c r="J1174" s="555"/>
      <c r="K1174" s="555">
        <f>SUM(K1160:K1171)</f>
        <v>149913</v>
      </c>
      <c r="L1174" s="555" t="s">
        <v>2435</v>
      </c>
      <c r="M1174" s="567">
        <f>SUM(M1160:M1171)</f>
        <v>0</v>
      </c>
      <c r="N1174" s="555"/>
      <c r="O1174" s="555">
        <f>(SUM(O1160:O1171))</f>
        <v>0</v>
      </c>
      <c r="P1174" s="555" t="s">
        <v>2435</v>
      </c>
      <c r="Q1174" s="567">
        <f>SUM(Q1160:Q1171)</f>
        <v>0</v>
      </c>
      <c r="R1174" s="555"/>
      <c r="S1174" s="565"/>
    </row>
  </sheetData>
  <scenarios current="0">
    <scenario name="Jan" count="1" user="Windows User" comment="Created by Windows User on 4/11/2013">
      <inputCells r="B317" val="57771.3688407242" numFmtId="37"/>
    </scenario>
  </scenarios>
  <autoFilter ref="A31:R958" xr:uid="{00000000-0009-0000-0000-000004000000}"/>
  <mergeCells count="73">
    <mergeCell ref="B1105:P1105"/>
    <mergeCell ref="B1106:P1106"/>
    <mergeCell ref="B1108:L1108"/>
    <mergeCell ref="M1108:P1108"/>
    <mergeCell ref="B1082:D1082"/>
    <mergeCell ref="T1082:U1082"/>
    <mergeCell ref="V1082:W1082"/>
    <mergeCell ref="B1101:P1101"/>
    <mergeCell ref="B1102:P1102"/>
    <mergeCell ref="B1103:P1103"/>
    <mergeCell ref="B1081:P1081"/>
    <mergeCell ref="M1027:O1027"/>
    <mergeCell ref="AD1027:AQ1027"/>
    <mergeCell ref="AD1028:AQ1028"/>
    <mergeCell ref="B1052:P1052"/>
    <mergeCell ref="B1053:F1053"/>
    <mergeCell ref="G1053:L1053"/>
    <mergeCell ref="M1053:R1053"/>
    <mergeCell ref="S1053:U1053"/>
    <mergeCell ref="M1054:O1054"/>
    <mergeCell ref="B1076:P1076"/>
    <mergeCell ref="B1077:P1077"/>
    <mergeCell ref="B1078:P1078"/>
    <mergeCell ref="B1080:P1080"/>
    <mergeCell ref="B1025:P1025"/>
    <mergeCell ref="AD1025:AQ1025"/>
    <mergeCell ref="B1026:F1026"/>
    <mergeCell ref="G1026:L1026"/>
    <mergeCell ref="M1026:R1026"/>
    <mergeCell ref="S1026:U1026"/>
    <mergeCell ref="B1024:P1024"/>
    <mergeCell ref="AD1024:AQ1024"/>
    <mergeCell ref="AD990:AQ990"/>
    <mergeCell ref="AD992:AQ992"/>
    <mergeCell ref="B993:P993"/>
    <mergeCell ref="AD993:AQ993"/>
    <mergeCell ref="B994:P994"/>
    <mergeCell ref="B995:P995"/>
    <mergeCell ref="B997:P997"/>
    <mergeCell ref="B998:P998"/>
    <mergeCell ref="B1022:P1022"/>
    <mergeCell ref="B1023:P1023"/>
    <mergeCell ref="AD1023:AQ1023"/>
    <mergeCell ref="AD989:AQ989"/>
    <mergeCell ref="B940:P940"/>
    <mergeCell ref="B941:P941"/>
    <mergeCell ref="B942:P942"/>
    <mergeCell ref="B943:P943"/>
    <mergeCell ref="B967:P967"/>
    <mergeCell ref="B968:P968"/>
    <mergeCell ref="B969:P969"/>
    <mergeCell ref="B970:P970"/>
    <mergeCell ref="B971:P971"/>
    <mergeCell ref="B972:P972"/>
    <mergeCell ref="AD988:AQ988"/>
    <mergeCell ref="B939:P939"/>
    <mergeCell ref="A874:R874"/>
    <mergeCell ref="A875:R875"/>
    <mergeCell ref="A876:R876"/>
    <mergeCell ref="A877:R877"/>
    <mergeCell ref="A879:R879"/>
    <mergeCell ref="A915:R915"/>
    <mergeCell ref="A916:R916"/>
    <mergeCell ref="A917:R917"/>
    <mergeCell ref="A918:R918"/>
    <mergeCell ref="A920:R920"/>
    <mergeCell ref="B938:P938"/>
    <mergeCell ref="A8:R8"/>
    <mergeCell ref="A2:R2"/>
    <mergeCell ref="A3:R3"/>
    <mergeCell ref="A4:R4"/>
    <mergeCell ref="A5:R5"/>
    <mergeCell ref="A6:R6"/>
  </mergeCells>
  <conditionalFormatting sqref="S1032:S1043 S1045">
    <cfRule type="cellIs" dxfId="103" priority="3" operator="lessThan">
      <formula>0</formula>
    </cfRule>
    <cfRule type="cellIs" dxfId="102" priority="4" operator="greaterThan">
      <formula>0</formula>
    </cfRule>
  </conditionalFormatting>
  <conditionalFormatting sqref="S1059:S1070">
    <cfRule type="cellIs" dxfId="101" priority="1" operator="lessThan">
      <formula>0</formula>
    </cfRule>
    <cfRule type="cellIs" dxfId="100" priority="2" operator="greaterThan">
      <formula>0</formula>
    </cfRule>
  </conditionalFormatting>
  <printOptions horizontalCentered="1"/>
  <pageMargins left="0.25" right="0.25" top="0.25" bottom="0.25" header="0" footer="0"/>
  <pageSetup paperSize="17" scale="10" orientation="landscape" r:id="rId1"/>
  <headerFooter alignWithMargins="0"/>
  <rowBreaks count="5" manualBreakCount="5">
    <brk id="884" max="17" man="1"/>
    <brk id="924" max="17" man="1"/>
    <brk id="977" max="18" man="1"/>
    <brk id="1005" max="18" man="1"/>
    <brk id="973" min="28" max="4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AL162"/>
  <sheetViews>
    <sheetView topLeftCell="A121" zoomScale="70" zoomScaleNormal="70" workbookViewId="0">
      <selection activeCell="I151" sqref="I151"/>
    </sheetView>
  </sheetViews>
  <sheetFormatPr defaultColWidth="8.81640625" defaultRowHeight="13.2" x14ac:dyDescent="0.25"/>
  <cols>
    <col min="1" max="1" width="13" style="79" customWidth="1"/>
    <col min="2" max="18" width="10.81640625" style="79" customWidth="1"/>
    <col min="19" max="19" width="5.6328125" style="79" customWidth="1"/>
    <col min="20" max="22" width="10.81640625" style="79" customWidth="1"/>
    <col min="23" max="26" width="8.81640625" style="79"/>
    <col min="27" max="27" width="10.453125" style="79" customWidth="1"/>
    <col min="28" max="16384" width="8.81640625" style="79"/>
  </cols>
  <sheetData>
    <row r="1" spans="1:5" ht="17.399999999999999" x14ac:dyDescent="0.3">
      <c r="A1" s="224" t="s">
        <v>928</v>
      </c>
      <c r="B1" s="78" t="s">
        <v>2281</v>
      </c>
    </row>
    <row r="2" spans="1:5" ht="17.399999999999999" x14ac:dyDescent="0.3">
      <c r="A2" s="225" t="s">
        <v>2376</v>
      </c>
      <c r="B2" s="78" t="s">
        <v>770</v>
      </c>
    </row>
    <row r="3" spans="1:5" ht="17.399999999999999" x14ac:dyDescent="0.3">
      <c r="A3" s="226" t="s">
        <v>367</v>
      </c>
      <c r="B3" s="78" t="s">
        <v>143</v>
      </c>
    </row>
    <row r="5" spans="1:5" x14ac:dyDescent="0.25">
      <c r="C5" s="80" t="s">
        <v>160</v>
      </c>
      <c r="D5" s="81">
        <v>734885</v>
      </c>
      <c r="E5" s="79" t="s">
        <v>771</v>
      </c>
    </row>
    <row r="6" spans="1:5" x14ac:dyDescent="0.25">
      <c r="C6" s="80"/>
      <c r="D6" s="81"/>
    </row>
    <row r="7" spans="1:5" x14ac:dyDescent="0.25">
      <c r="C7" s="80"/>
      <c r="D7" s="81"/>
    </row>
    <row r="8" spans="1:5" x14ac:dyDescent="0.25">
      <c r="C8" s="80" t="s">
        <v>1502</v>
      </c>
      <c r="D8" s="81">
        <v>557600</v>
      </c>
      <c r="E8" s="79" t="s">
        <v>771</v>
      </c>
    </row>
    <row r="9" spans="1:5" x14ac:dyDescent="0.25">
      <c r="C9" s="80" t="s">
        <v>897</v>
      </c>
      <c r="D9" s="82">
        <f>+LookupElev(D5)</f>
        <v>1689.8800044483805</v>
      </c>
      <c r="E9" s="79" t="s">
        <v>772</v>
      </c>
    </row>
    <row r="10" spans="1:5" x14ac:dyDescent="0.25">
      <c r="C10" s="80" t="s">
        <v>2421</v>
      </c>
      <c r="D10" s="83">
        <f>LookupArea(D9)</f>
        <v>9000.2403247331058</v>
      </c>
      <c r="E10" s="79" t="s">
        <v>773</v>
      </c>
    </row>
    <row r="11" spans="1:5" x14ac:dyDescent="0.25">
      <c r="C11" s="80"/>
      <c r="D11" s="83"/>
    </row>
    <row r="12" spans="1:5" x14ac:dyDescent="0.25">
      <c r="C12" s="80"/>
      <c r="D12" s="83"/>
    </row>
    <row r="13" spans="1:5" x14ac:dyDescent="0.25">
      <c r="C13" s="80"/>
      <c r="D13" s="83"/>
    </row>
    <row r="14" spans="1:5" x14ac:dyDescent="0.25">
      <c r="C14" s="80"/>
      <c r="D14" s="83"/>
    </row>
    <row r="15" spans="1:5" x14ac:dyDescent="0.25">
      <c r="C15" s="80"/>
      <c r="D15" s="83"/>
    </row>
    <row r="16" spans="1:5" x14ac:dyDescent="0.25">
      <c r="C16" s="80"/>
      <c r="D16" s="83"/>
    </row>
    <row r="17" spans="1:38" x14ac:dyDescent="0.25">
      <c r="C17" s="80"/>
      <c r="D17" s="83"/>
    </row>
    <row r="18" spans="1:38" x14ac:dyDescent="0.25">
      <c r="C18" s="80"/>
      <c r="D18" s="83"/>
    </row>
    <row r="19" spans="1:38" ht="13.8" thickBot="1" x14ac:dyDescent="0.3">
      <c r="AB19" s="698" t="s">
        <v>3035</v>
      </c>
    </row>
    <row r="20" spans="1:38" ht="13.8" thickTop="1" x14ac:dyDescent="0.25">
      <c r="A20" s="84"/>
      <c r="B20" s="85"/>
      <c r="C20" s="85"/>
      <c r="D20" s="85"/>
      <c r="E20" s="85"/>
      <c r="F20" s="85"/>
      <c r="G20" s="85"/>
      <c r="H20" s="85"/>
      <c r="I20" s="85"/>
      <c r="J20" s="85"/>
      <c r="K20" s="85"/>
      <c r="L20" s="85"/>
      <c r="M20" s="85"/>
      <c r="N20" s="85"/>
      <c r="O20" s="85"/>
      <c r="P20" s="85"/>
      <c r="Q20" s="85"/>
      <c r="R20" s="86"/>
    </row>
    <row r="21" spans="1:38" x14ac:dyDescent="0.25">
      <c r="A21" s="87"/>
      <c r="I21" s="83" t="s">
        <v>1383</v>
      </c>
      <c r="R21" s="88"/>
      <c r="AB21" s="706" t="s">
        <v>3067</v>
      </c>
      <c r="AC21" s="699">
        <v>2013</v>
      </c>
      <c r="AD21" s="699">
        <v>2014</v>
      </c>
      <c r="AE21" s="706" t="s">
        <v>3125</v>
      </c>
      <c r="AF21" s="706" t="s">
        <v>3122</v>
      </c>
      <c r="AG21" s="706" t="s">
        <v>3123</v>
      </c>
      <c r="AH21" s="706" t="s">
        <v>3124</v>
      </c>
      <c r="AI21" s="706" t="s">
        <v>3350</v>
      </c>
      <c r="AJ21" s="734">
        <v>2020</v>
      </c>
      <c r="AK21" s="734">
        <v>2021</v>
      </c>
      <c r="AL21" s="734">
        <v>2022</v>
      </c>
    </row>
    <row r="22" spans="1:38" x14ac:dyDescent="0.25">
      <c r="A22" s="87"/>
      <c r="H22" s="83"/>
      <c r="R22" s="88"/>
      <c r="AA22" s="698" t="s">
        <v>1354</v>
      </c>
      <c r="AB22" s="82">
        <v>1684.58</v>
      </c>
      <c r="AC22" s="82">
        <v>1668.54</v>
      </c>
      <c r="AD22" s="82">
        <v>1676.01</v>
      </c>
      <c r="AE22" s="82">
        <v>1692.97</v>
      </c>
      <c r="AF22" s="82">
        <v>1691.4099999999999</v>
      </c>
      <c r="AG22" s="82">
        <v>1688.84</v>
      </c>
      <c r="AH22" s="82">
        <v>1684.54</v>
      </c>
      <c r="AI22" s="82">
        <v>1680.61</v>
      </c>
      <c r="AJ22" s="82">
        <f>$B$35</f>
        <v>1692.1</v>
      </c>
      <c r="AK22" s="79">
        <f>$B$83</f>
        <v>1686.5533104540602</v>
      </c>
      <c r="AL22" s="79">
        <f>$B$131</f>
        <v>1683.9090649807492</v>
      </c>
    </row>
    <row r="23" spans="1:38" x14ac:dyDescent="0.25">
      <c r="A23" s="87"/>
      <c r="I23" s="83" t="s">
        <v>1763</v>
      </c>
      <c r="R23" s="88"/>
      <c r="AA23" s="698" t="s">
        <v>706</v>
      </c>
      <c r="AB23" s="82">
        <v>1691.71</v>
      </c>
      <c r="AC23" s="82">
        <v>1679.39</v>
      </c>
      <c r="AD23" s="82">
        <v>1682.06</v>
      </c>
      <c r="AE23" s="82">
        <v>1695.21</v>
      </c>
      <c r="AF23" s="82">
        <v>1694.6000000000001</v>
      </c>
      <c r="AG23" s="82">
        <v>1693.6</v>
      </c>
      <c r="AH23" s="82">
        <v>1688.46</v>
      </c>
      <c r="AI23" s="82">
        <v>1694.83</v>
      </c>
      <c r="AJ23" s="82">
        <f>$B$37</f>
        <v>1692.6399999999999</v>
      </c>
      <c r="AK23" s="79">
        <f>$B$85</f>
        <v>1693.1377792108647</v>
      </c>
      <c r="AL23" s="79">
        <f>$B$133</f>
        <v>1688.9705695121313</v>
      </c>
    </row>
    <row r="24" spans="1:38" x14ac:dyDescent="0.25">
      <c r="A24" s="87"/>
      <c r="H24" s="83"/>
      <c r="R24" s="88"/>
      <c r="AA24" s="698" t="s">
        <v>707</v>
      </c>
      <c r="AB24" s="82">
        <v>1695.97</v>
      </c>
      <c r="AC24" s="82">
        <v>1686.95</v>
      </c>
      <c r="AD24" s="82">
        <v>1687.21</v>
      </c>
      <c r="AE24" s="82">
        <v>1696.1</v>
      </c>
      <c r="AF24" s="82">
        <v>1693.55</v>
      </c>
      <c r="AG24" s="82">
        <v>1696.84</v>
      </c>
      <c r="AH24" s="82">
        <v>1691.01</v>
      </c>
      <c r="AI24" s="82">
        <v>1696.57</v>
      </c>
      <c r="AJ24" s="82">
        <f>$B$39</f>
        <v>1698.210002846133</v>
      </c>
      <c r="AK24" s="79">
        <f>$B$87</f>
        <v>1696.1335207516547</v>
      </c>
      <c r="AL24" s="79">
        <f>$B$135</f>
        <v>1692.8421717966189</v>
      </c>
    </row>
    <row r="25" spans="1:38" x14ac:dyDescent="0.25">
      <c r="A25" s="87"/>
      <c r="I25" s="163">
        <v>2020</v>
      </c>
      <c r="R25" s="88"/>
      <c r="AA25" s="698" t="s">
        <v>1321</v>
      </c>
      <c r="AB25" s="82">
        <v>1695.87</v>
      </c>
      <c r="AC25" s="82">
        <v>1682.49</v>
      </c>
      <c r="AD25" s="82">
        <v>1687.74</v>
      </c>
      <c r="AE25" s="82">
        <v>1692.06</v>
      </c>
      <c r="AF25" s="82">
        <v>1696.16</v>
      </c>
      <c r="AG25" s="82">
        <v>1697.48</v>
      </c>
      <c r="AH25" s="82">
        <v>1690.89</v>
      </c>
      <c r="AI25" s="82">
        <v>1695.77</v>
      </c>
      <c r="AJ25" s="82">
        <f>$B$41</f>
        <v>1698.3100000000002</v>
      </c>
      <c r="AK25" s="79">
        <f>$B$89</f>
        <v>1694.6692864298</v>
      </c>
      <c r="AL25" s="79">
        <f>$B$137</f>
        <v>1692.4459653662382</v>
      </c>
    </row>
    <row r="26" spans="1:38" ht="15.75" customHeight="1" x14ac:dyDescent="0.25">
      <c r="A26" s="87"/>
      <c r="H26" s="83"/>
      <c r="Q26" s="824" t="s">
        <v>3032</v>
      </c>
      <c r="R26" s="825"/>
      <c r="X26" s="698" t="s">
        <v>3438</v>
      </c>
      <c r="Y26" s="79">
        <v>3488</v>
      </c>
      <c r="AA26" s="698" t="s">
        <v>1905</v>
      </c>
      <c r="AB26" s="82">
        <v>1693.14</v>
      </c>
      <c r="AC26" s="82">
        <v>1679.39</v>
      </c>
      <c r="AD26" s="82">
        <v>1686.17</v>
      </c>
      <c r="AE26" s="82">
        <v>1695.14</v>
      </c>
      <c r="AF26" s="82">
        <v>1697.04</v>
      </c>
      <c r="AG26" s="82">
        <v>1699.2</v>
      </c>
      <c r="AH26" s="82">
        <v>1690.06</v>
      </c>
      <c r="AI26" s="82">
        <v>1695.49</v>
      </c>
      <c r="AJ26" s="82">
        <f>$B$43</f>
        <v>1696.36</v>
      </c>
      <c r="AK26" s="79">
        <f>$B$91</f>
        <v>1693.8331531467943</v>
      </c>
      <c r="AL26" s="79">
        <f>$B$139</f>
        <v>1691.6096578784525</v>
      </c>
    </row>
    <row r="27" spans="1:38" ht="15.75" customHeight="1" x14ac:dyDescent="0.25">
      <c r="A27" s="87"/>
      <c r="I27" s="83" t="s">
        <v>586</v>
      </c>
      <c r="Q27" s="824"/>
      <c r="R27" s="825"/>
      <c r="X27" s="698" t="s">
        <v>3439</v>
      </c>
      <c r="Y27" s="79">
        <v>34353</v>
      </c>
      <c r="AA27" s="698" t="s">
        <v>1906</v>
      </c>
      <c r="AB27" s="82">
        <v>1683.69</v>
      </c>
      <c r="AC27" s="82">
        <v>1668.83</v>
      </c>
      <c r="AD27" s="82">
        <v>1677.62</v>
      </c>
      <c r="AE27" s="82">
        <v>1685.16</v>
      </c>
      <c r="AF27" s="82">
        <v>1683.71</v>
      </c>
      <c r="AG27" s="82">
        <v>1685.59</v>
      </c>
      <c r="AH27" s="82">
        <v>1676.82</v>
      </c>
      <c r="AI27" s="82">
        <v>1685.6</v>
      </c>
      <c r="AJ27" s="82">
        <f>$B$45</f>
        <v>1685.88</v>
      </c>
      <c r="AK27" s="79">
        <f>$B$93</f>
        <v>1679.5863747198991</v>
      </c>
      <c r="AL27" s="79">
        <f>$B$141</f>
        <v>1677.8437391869641</v>
      </c>
    </row>
    <row r="28" spans="1:38" ht="16.5" customHeight="1" thickBot="1" x14ac:dyDescent="0.3">
      <c r="A28" s="87"/>
      <c r="H28" s="83"/>
      <c r="Q28" s="826"/>
      <c r="R28" s="827"/>
      <c r="X28" s="698" t="s">
        <v>3437</v>
      </c>
      <c r="Y28" s="79">
        <v>50000</v>
      </c>
      <c r="AA28" s="698" t="s">
        <v>1907</v>
      </c>
      <c r="AB28" s="82">
        <v>1653.2</v>
      </c>
      <c r="AC28" s="82">
        <v>1655.42</v>
      </c>
      <c r="AD28" s="82">
        <v>1664.9</v>
      </c>
      <c r="AE28" s="82">
        <v>1673.81</v>
      </c>
      <c r="AF28" s="82">
        <v>1668.3399999999997</v>
      </c>
      <c r="AG28" s="82">
        <v>1672.97</v>
      </c>
      <c r="AH28" s="82">
        <v>1661.6</v>
      </c>
      <c r="AI28" s="82">
        <v>1673.7</v>
      </c>
      <c r="AJ28" s="82">
        <f>$B$47</f>
        <v>1671.42</v>
      </c>
      <c r="AK28" s="79">
        <f>$B$95</f>
        <v>1660.904762840722</v>
      </c>
      <c r="AL28" s="79">
        <f>$B$143</f>
        <v>1661.2869356564206</v>
      </c>
    </row>
    <row r="29" spans="1:38" x14ac:dyDescent="0.25">
      <c r="A29" s="89"/>
      <c r="B29" s="90" t="s">
        <v>587</v>
      </c>
      <c r="C29" s="91" t="s">
        <v>587</v>
      </c>
      <c r="D29" s="91" t="s">
        <v>587</v>
      </c>
      <c r="E29" s="90" t="s">
        <v>587</v>
      </c>
      <c r="F29" s="92"/>
      <c r="G29" s="92"/>
      <c r="H29" s="93"/>
      <c r="I29" s="92"/>
      <c r="J29" s="92"/>
      <c r="K29" s="94"/>
      <c r="L29" s="92"/>
      <c r="M29" s="93"/>
      <c r="N29" s="92"/>
      <c r="O29" s="92"/>
      <c r="P29" s="92"/>
      <c r="Q29" s="90" t="s">
        <v>587</v>
      </c>
      <c r="R29" s="95" t="s">
        <v>587</v>
      </c>
      <c r="S29" s="83"/>
      <c r="W29" s="83" t="s">
        <v>587</v>
      </c>
      <c r="X29" s="662"/>
      <c r="Y29" s="774">
        <f>SUM(Y26:Y28)</f>
        <v>87841</v>
      </c>
      <c r="Z29" s="83"/>
      <c r="AA29" s="698" t="s">
        <v>1908</v>
      </c>
      <c r="AB29" s="82">
        <v>1652.62</v>
      </c>
      <c r="AC29" s="82">
        <v>1641.57</v>
      </c>
      <c r="AD29" s="82">
        <v>1660.54</v>
      </c>
      <c r="AE29" s="82">
        <v>1660.2</v>
      </c>
      <c r="AF29" s="82">
        <v>1656.1100000000001</v>
      </c>
      <c r="AG29" s="82">
        <v>1659.82</v>
      </c>
      <c r="AH29" s="82">
        <v>1636.42</v>
      </c>
      <c r="AI29" s="82">
        <v>1663</v>
      </c>
      <c r="AJ29" s="82">
        <f>$B$49</f>
        <v>1654.0999551114837</v>
      </c>
      <c r="AK29" s="79">
        <f>$B$97</f>
        <v>1646.2006725314106</v>
      </c>
      <c r="AL29" s="79">
        <f>$B$145</f>
        <v>1645.2159347448808</v>
      </c>
    </row>
    <row r="30" spans="1:38" x14ac:dyDescent="0.25">
      <c r="A30" s="96"/>
      <c r="B30" s="97"/>
      <c r="C30" s="98"/>
      <c r="D30" s="98"/>
      <c r="E30" s="97"/>
      <c r="F30" s="98"/>
      <c r="G30" s="98"/>
      <c r="H30" s="99"/>
      <c r="I30" s="98"/>
      <c r="J30" s="98"/>
      <c r="K30" s="105" t="s">
        <v>588</v>
      </c>
      <c r="L30" s="98"/>
      <c r="M30" s="101" t="s">
        <v>589</v>
      </c>
      <c r="N30" s="98"/>
      <c r="O30" s="98"/>
      <c r="P30" s="98"/>
      <c r="Q30" s="102" t="s">
        <v>589</v>
      </c>
      <c r="R30" s="103" t="s">
        <v>590</v>
      </c>
      <c r="S30" s="83"/>
      <c r="V30" s="83"/>
      <c r="W30" s="83" t="s">
        <v>590</v>
      </c>
      <c r="X30" s="83"/>
      <c r="Y30" s="83"/>
      <c r="Z30" s="83"/>
      <c r="AA30" s="698" t="s">
        <v>2352</v>
      </c>
      <c r="AB30" s="82">
        <v>1638.68</v>
      </c>
      <c r="AC30" s="82">
        <v>1646.14</v>
      </c>
      <c r="AD30" s="82">
        <v>1663.61</v>
      </c>
      <c r="AE30" s="82">
        <v>1665.25</v>
      </c>
      <c r="AF30" s="82">
        <v>1655.21</v>
      </c>
      <c r="AG30" s="82">
        <v>1658.56</v>
      </c>
      <c r="AH30" s="82">
        <v>1637.44</v>
      </c>
      <c r="AI30" s="82">
        <v>1668</v>
      </c>
      <c r="AJ30" s="82">
        <f>$B$51</f>
        <v>1657.9899941811159</v>
      </c>
      <c r="AK30" s="79">
        <f>$B$99</f>
        <v>1648.80748967049</v>
      </c>
      <c r="AL30" s="79">
        <f>$B$147</f>
        <v>1645.1920166200891</v>
      </c>
    </row>
    <row r="31" spans="1:38" x14ac:dyDescent="0.25">
      <c r="A31" s="96" t="s">
        <v>852</v>
      </c>
      <c r="B31" s="102" t="s">
        <v>1524</v>
      </c>
      <c r="C31" s="104" t="s">
        <v>1525</v>
      </c>
      <c r="D31" s="104" t="s">
        <v>421</v>
      </c>
      <c r="E31" s="102" t="s">
        <v>901</v>
      </c>
      <c r="F31" s="98"/>
      <c r="G31" s="98"/>
      <c r="H31" s="101" t="s">
        <v>902</v>
      </c>
      <c r="I31" s="104" t="s">
        <v>1510</v>
      </c>
      <c r="J31" s="104" t="s">
        <v>1510</v>
      </c>
      <c r="K31" s="105" t="s">
        <v>903</v>
      </c>
      <c r="L31" s="104" t="s">
        <v>589</v>
      </c>
      <c r="M31" s="101" t="s">
        <v>904</v>
      </c>
      <c r="N31" s="104" t="s">
        <v>590</v>
      </c>
      <c r="O31" s="104" t="s">
        <v>590</v>
      </c>
      <c r="P31" s="104" t="s">
        <v>905</v>
      </c>
      <c r="Q31" s="102" t="s">
        <v>906</v>
      </c>
      <c r="R31" s="103" t="s">
        <v>906</v>
      </c>
      <c r="S31" s="83"/>
      <c r="T31" s="83" t="s">
        <v>907</v>
      </c>
      <c r="U31" s="83" t="s">
        <v>590</v>
      </c>
      <c r="V31" s="83" t="s">
        <v>1826</v>
      </c>
      <c r="W31" s="83" t="s">
        <v>906</v>
      </c>
      <c r="X31" s="662" t="s">
        <v>3354</v>
      </c>
      <c r="Y31" s="83"/>
      <c r="Z31" s="83"/>
      <c r="AA31" s="698" t="s">
        <v>2353</v>
      </c>
      <c r="AB31" s="82">
        <v>1640.34</v>
      </c>
      <c r="AC31" s="82">
        <v>1657.17</v>
      </c>
      <c r="AD31" s="82">
        <v>1666.06</v>
      </c>
      <c r="AE31" s="82">
        <v>1667.24</v>
      </c>
      <c r="AF31" s="82">
        <v>1660.29</v>
      </c>
      <c r="AG31" s="82">
        <v>1663.98</v>
      </c>
      <c r="AH31" s="82">
        <v>1654.22</v>
      </c>
      <c r="AI31" s="82">
        <v>1672.13</v>
      </c>
      <c r="AJ31" s="82">
        <f>$B$53</f>
        <v>1665.72</v>
      </c>
      <c r="AK31" s="79">
        <f>$B$101</f>
        <v>1657.7182601211505</v>
      </c>
      <c r="AL31" s="79">
        <f>$B$149</f>
        <v>1654.6586984158639</v>
      </c>
    </row>
    <row r="32" spans="1:38" x14ac:dyDescent="0.25">
      <c r="A32" s="106" t="s">
        <v>2168</v>
      </c>
      <c r="B32" s="102" t="s">
        <v>2169</v>
      </c>
      <c r="C32" s="104" t="s">
        <v>2170</v>
      </c>
      <c r="D32" s="104" t="s">
        <v>2170</v>
      </c>
      <c r="E32" s="102" t="s">
        <v>314</v>
      </c>
      <c r="F32" s="104" t="s">
        <v>2422</v>
      </c>
      <c r="G32" s="104" t="s">
        <v>2423</v>
      </c>
      <c r="H32" s="101" t="s">
        <v>2422</v>
      </c>
      <c r="I32" s="104" t="s">
        <v>2422</v>
      </c>
      <c r="J32" s="104" t="s">
        <v>591</v>
      </c>
      <c r="K32" s="105" t="s">
        <v>938</v>
      </c>
      <c r="L32" s="104" t="s">
        <v>939</v>
      </c>
      <c r="M32" s="101" t="s">
        <v>940</v>
      </c>
      <c r="N32" s="104" t="s">
        <v>941</v>
      </c>
      <c r="O32" s="104" t="s">
        <v>939</v>
      </c>
      <c r="P32" s="104" t="s">
        <v>821</v>
      </c>
      <c r="Q32" s="102" t="s">
        <v>822</v>
      </c>
      <c r="R32" s="103" t="s">
        <v>822</v>
      </c>
      <c r="S32" s="83"/>
      <c r="T32" s="83" t="s">
        <v>341</v>
      </c>
      <c r="U32" s="83" t="s">
        <v>341</v>
      </c>
      <c r="V32" s="83" t="s">
        <v>823</v>
      </c>
      <c r="W32" s="83" t="s">
        <v>822</v>
      </c>
      <c r="X32" s="662" t="s">
        <v>3351</v>
      </c>
      <c r="Y32" s="662" t="s">
        <v>3352</v>
      </c>
      <c r="Z32" s="662" t="s">
        <v>3353</v>
      </c>
      <c r="AA32" s="698" t="s">
        <v>2354</v>
      </c>
      <c r="AB32" s="82">
        <v>1656.7</v>
      </c>
      <c r="AC32" s="82">
        <v>1667.83</v>
      </c>
      <c r="AD32" s="82">
        <v>1672.78</v>
      </c>
      <c r="AE32" s="82">
        <v>1673.02</v>
      </c>
      <c r="AF32" s="82">
        <v>1669.95</v>
      </c>
      <c r="AG32" s="82">
        <v>1672.25</v>
      </c>
      <c r="AH32" s="82">
        <v>1665.14</v>
      </c>
      <c r="AI32" s="82">
        <v>1685.71</v>
      </c>
      <c r="AJ32" s="82">
        <f>$B$55</f>
        <v>1673.02</v>
      </c>
      <c r="AK32" s="79">
        <f>$B$103</f>
        <v>1668.9037991016071</v>
      </c>
      <c r="AL32" s="79">
        <f>$B$151</f>
        <v>1666.1128936701784</v>
      </c>
    </row>
    <row r="33" spans="1:38" ht="13.8" thickBot="1" x14ac:dyDescent="0.3">
      <c r="A33" s="107"/>
      <c r="B33" s="108" t="s">
        <v>599</v>
      </c>
      <c r="C33" s="109" t="s">
        <v>930</v>
      </c>
      <c r="D33" s="109" t="s">
        <v>930</v>
      </c>
      <c r="E33" s="108" t="s">
        <v>620</v>
      </c>
      <c r="F33" s="109" t="s">
        <v>1855</v>
      </c>
      <c r="G33" s="109" t="s">
        <v>1855</v>
      </c>
      <c r="H33" s="110" t="s">
        <v>1855</v>
      </c>
      <c r="I33" s="109" t="s">
        <v>930</v>
      </c>
      <c r="J33" s="109" t="s">
        <v>930</v>
      </c>
      <c r="K33" s="111" t="s">
        <v>930</v>
      </c>
      <c r="L33" s="109" t="s">
        <v>930</v>
      </c>
      <c r="M33" s="110" t="s">
        <v>930</v>
      </c>
      <c r="N33" s="109" t="s">
        <v>930</v>
      </c>
      <c r="O33" s="109" t="s">
        <v>930</v>
      </c>
      <c r="P33" s="109" t="s">
        <v>930</v>
      </c>
      <c r="Q33" s="108" t="s">
        <v>930</v>
      </c>
      <c r="R33" s="112" t="s">
        <v>930</v>
      </c>
      <c r="S33" s="83"/>
      <c r="T33" s="83" t="s">
        <v>1856</v>
      </c>
      <c r="U33" s="83" t="s">
        <v>1856</v>
      </c>
      <c r="V33" s="83" t="s">
        <v>930</v>
      </c>
      <c r="W33" s="83" t="s">
        <v>930</v>
      </c>
      <c r="X33" s="83"/>
      <c r="Y33" s="83"/>
      <c r="Z33" s="83"/>
      <c r="AA33" s="698" t="s">
        <v>2355</v>
      </c>
      <c r="AB33" s="82">
        <v>1664.26</v>
      </c>
      <c r="AC33" s="82">
        <v>1672.96</v>
      </c>
      <c r="AD33" s="82">
        <v>1679.81</v>
      </c>
      <c r="AE33" s="82">
        <v>1678.56</v>
      </c>
      <c r="AF33" s="82">
        <v>1676.8100000000002</v>
      </c>
      <c r="AG33" s="82">
        <v>1680.49</v>
      </c>
      <c r="AH33" s="82">
        <v>1674.98</v>
      </c>
      <c r="AI33" s="82">
        <v>1689.88</v>
      </c>
      <c r="AJ33" s="82">
        <f>$B$57</f>
        <v>1679.9390201045346</v>
      </c>
      <c r="AK33" s="79">
        <f>$B$105</f>
        <v>1675.4137510075911</v>
      </c>
      <c r="AL33" s="79">
        <f>$B$153</f>
        <v>1669.5462592419979</v>
      </c>
    </row>
    <row r="34" spans="1:38" x14ac:dyDescent="0.25">
      <c r="A34" s="87"/>
      <c r="B34" s="113"/>
      <c r="E34" s="113"/>
      <c r="H34" s="114"/>
      <c r="K34" s="115"/>
      <c r="L34" s="116"/>
      <c r="M34" s="117"/>
      <c r="Q34" s="113"/>
      <c r="R34" s="88"/>
    </row>
    <row r="35" spans="1:38" x14ac:dyDescent="0.25">
      <c r="A35" s="87" t="s">
        <v>1857</v>
      </c>
      <c r="B35" s="118">
        <f>+LookupElev(C35)</f>
        <v>1692.1</v>
      </c>
      <c r="C35" s="79">
        <f>(+D5+K35+N35)-(T35+O35+P35+V35)</f>
        <v>755050.80000018305</v>
      </c>
      <c r="D35" s="79">
        <f>(C35-37841)</f>
        <v>717209.80000018305</v>
      </c>
      <c r="E35" s="119">
        <f>+LookupArea(B35)</f>
        <v>9167.6000000015483</v>
      </c>
      <c r="F35" s="120">
        <v>3.12</v>
      </c>
      <c r="G35" s="120">
        <v>0</v>
      </c>
      <c r="H35" s="121">
        <f>(F35-G35)</f>
        <v>3.12</v>
      </c>
      <c r="I35" s="79">
        <f>(T35)</f>
        <v>2340.0624844306076</v>
      </c>
      <c r="J35" s="122">
        <v>62</v>
      </c>
      <c r="K35" s="123">
        <v>6048</v>
      </c>
      <c r="L35" s="122">
        <v>0</v>
      </c>
      <c r="M35" s="221">
        <f>'2020 T0'!B320</f>
        <v>0</v>
      </c>
      <c r="N35" s="222">
        <f>'2020 T0'!$B$17</f>
        <v>20718</v>
      </c>
      <c r="O35" s="222">
        <f>+ABS('2020 T0'!$B$18)</f>
        <v>0</v>
      </c>
      <c r="P35" s="122">
        <v>0</v>
      </c>
      <c r="Q35" s="113">
        <f>IF((D35-W35)&gt;157600,157600,(D35-W35))</f>
        <v>140546.84607793018</v>
      </c>
      <c r="R35" s="88">
        <f>D35-Q35</f>
        <v>576662.95392225287</v>
      </c>
      <c r="T35" s="633">
        <f>(D10*H35)/12</f>
        <v>2340.0624844306076</v>
      </c>
      <c r="U35" s="633">
        <f>T35*((D8-37841)/D5)</f>
        <v>1655.0460777470871</v>
      </c>
      <c r="V35" s="122">
        <v>4260.1375153863946</v>
      </c>
      <c r="W35" s="79">
        <f>(+$D$8+$N35-$O35-$P35+$M35-$U35)</f>
        <v>576662.95392225287</v>
      </c>
      <c r="X35" s="770">
        <f>'2020 T0'!C$331*60*60*24/43560*'2020 T0'!$C$10+'2020 T0'!C$230+'2020 T0'!C$332</f>
        <v>63448.443192758277</v>
      </c>
      <c r="Y35" s="770">
        <f>X35+X37</f>
        <v>142988.67208462011</v>
      </c>
      <c r="Z35" s="770">
        <f>X35+X37+X39</f>
        <v>273259.9548267714</v>
      </c>
    </row>
    <row r="36" spans="1:38" x14ac:dyDescent="0.25">
      <c r="A36" s="87"/>
      <c r="B36" s="118"/>
      <c r="E36" s="119"/>
      <c r="F36" s="120"/>
      <c r="G36" s="120"/>
      <c r="H36" s="121"/>
      <c r="J36" s="122"/>
      <c r="K36" s="123"/>
      <c r="L36" s="122"/>
      <c r="M36" s="223"/>
      <c r="N36" s="222"/>
      <c r="O36" s="222"/>
      <c r="P36" s="122"/>
      <c r="Q36" s="113"/>
      <c r="R36" s="88"/>
      <c r="V36" s="122"/>
      <c r="X36" s="772">
        <f>W35-X35</f>
        <v>513214.51072949462</v>
      </c>
      <c r="Y36" s="772">
        <f>W35-Y35</f>
        <v>433674.28183763276</v>
      </c>
      <c r="Z36" s="772">
        <f>W35-Z35</f>
        <v>303402.99909548147</v>
      </c>
      <c r="AA36" s="698" t="s">
        <v>1354</v>
      </c>
    </row>
    <row r="37" spans="1:38" x14ac:dyDescent="0.25">
      <c r="A37" s="87" t="s">
        <v>2049</v>
      </c>
      <c r="B37" s="118">
        <f>+LookupElev(C37)</f>
        <v>1692.6399999999999</v>
      </c>
      <c r="C37" s="79">
        <f>(C35+K37+N37)-(T37+O37+P37+V37)</f>
        <v>760012.52000018931</v>
      </c>
      <c r="D37" s="79">
        <f>(C37-37841)</f>
        <v>722171.52000018931</v>
      </c>
      <c r="E37" s="119">
        <f>+LookupArea(B37)</f>
        <v>9208.6400000015801</v>
      </c>
      <c r="F37" s="120">
        <v>3.14</v>
      </c>
      <c r="G37" s="120">
        <v>1.75</v>
      </c>
      <c r="H37" s="121">
        <f>(F37-G37)</f>
        <v>1.3900000000000001</v>
      </c>
      <c r="I37" s="79">
        <f>(T37)</f>
        <v>1061.9136666668462</v>
      </c>
      <c r="J37" s="122">
        <v>58</v>
      </c>
      <c r="K37" s="123">
        <v>2364</v>
      </c>
      <c r="L37" s="122">
        <v>0</v>
      </c>
      <c r="M37" s="223">
        <f>'2020 T0'!C320</f>
        <v>883</v>
      </c>
      <c r="N37" s="222">
        <f>'2020 T0'!$C$17</f>
        <v>2716</v>
      </c>
      <c r="O37" s="222">
        <f>+ABS('2020 T0'!$C$18)</f>
        <v>0</v>
      </c>
      <c r="P37" s="122">
        <v>0</v>
      </c>
      <c r="Q37" s="113">
        <f>IF((D37-W37)&gt;157600,157600,(D37-W37))</f>
        <v>142763.38356876036</v>
      </c>
      <c r="R37" s="88">
        <f>D37-Q37</f>
        <v>579408.13643142895</v>
      </c>
      <c r="T37" s="79">
        <f>(E35*H37/12)</f>
        <v>1061.9136666668462</v>
      </c>
      <c r="U37" s="79">
        <f>(T37*(R35/D35))</f>
        <v>853.81749082396516</v>
      </c>
      <c r="V37" s="122">
        <v>-943.63366667315563</v>
      </c>
      <c r="W37" s="79">
        <f>($R35+$N37-$O37-$P37+$M37-$U37)</f>
        <v>579408.13643142895</v>
      </c>
      <c r="X37" s="771">
        <f>'2020 T0'!D$331*60*60*24/43560*'2020 T0'!D$10+'2020 T0'!D$230+'2020 T0'!D$332</f>
        <v>79540.228891861814</v>
      </c>
      <c r="Y37" s="771">
        <f>X37+X39</f>
        <v>209811.51163401309</v>
      </c>
      <c r="Z37" s="771">
        <f>X37+X39+X41</f>
        <v>384762.34995811502</v>
      </c>
      <c r="AA37" s="775"/>
    </row>
    <row r="38" spans="1:38" x14ac:dyDescent="0.25">
      <c r="A38" s="87"/>
      <c r="B38" s="118"/>
      <c r="C38" s="79" t="s">
        <v>852</v>
      </c>
      <c r="D38" s="79" t="s">
        <v>852</v>
      </c>
      <c r="E38" s="119" t="s">
        <v>852</v>
      </c>
      <c r="F38" s="120"/>
      <c r="G38" s="120"/>
      <c r="H38" s="121" t="s">
        <v>852</v>
      </c>
      <c r="J38" s="122"/>
      <c r="K38" s="123"/>
      <c r="L38" s="122"/>
      <c r="M38" s="223" t="s">
        <v>2591</v>
      </c>
      <c r="N38" s="222"/>
      <c r="O38" s="222"/>
      <c r="P38" s="122"/>
      <c r="Q38" s="113"/>
      <c r="R38" s="88"/>
      <c r="V38" s="122"/>
      <c r="X38" s="773">
        <f>W37-X37</f>
        <v>499867.90753956715</v>
      </c>
      <c r="Y38" s="773">
        <f>W37-Y37</f>
        <v>369596.62479741586</v>
      </c>
      <c r="Z38" s="773">
        <f>W37-Z37</f>
        <v>194645.78647331393</v>
      </c>
      <c r="AA38" s="776" t="s">
        <v>706</v>
      </c>
    </row>
    <row r="39" spans="1:38" x14ac:dyDescent="0.25">
      <c r="A39" s="87" t="s">
        <v>542</v>
      </c>
      <c r="B39" s="118">
        <f>+LookupElev(C39)</f>
        <v>1698.210002846133</v>
      </c>
      <c r="C39" s="79">
        <f>(C37+K39+N39)-(T39+O39+P39+V39)</f>
        <v>812498.68745404645</v>
      </c>
      <c r="D39" s="79">
        <f>(C39-37841)</f>
        <v>774657.68745404645</v>
      </c>
      <c r="E39" s="119">
        <f>+LookupArea(B39)</f>
        <v>9642.5902248465518</v>
      </c>
      <c r="F39" s="120">
        <v>3.53</v>
      </c>
      <c r="G39" s="120">
        <v>1.95</v>
      </c>
      <c r="H39" s="121">
        <f>(F39-G39)</f>
        <v>1.5799999999999998</v>
      </c>
      <c r="I39" s="79">
        <f>(T39)</f>
        <v>1212.4709333335413</v>
      </c>
      <c r="J39" s="122">
        <v>62</v>
      </c>
      <c r="K39" s="123">
        <v>66399</v>
      </c>
      <c r="L39" s="122">
        <v>0</v>
      </c>
      <c r="M39" s="223">
        <f>'2020 T0'!D320</f>
        <v>640</v>
      </c>
      <c r="N39" s="222">
        <f>+'2020 T0'!$D$17</f>
        <v>23196</v>
      </c>
      <c r="O39" s="222">
        <f>+ABS('2020 T0'!$D$18)</f>
        <v>19258</v>
      </c>
      <c r="P39" s="122">
        <v>0</v>
      </c>
      <c r="Q39" s="113">
        <f>IF((D39-W39)&gt;157600,157600,(D39-W39))</f>
        <v>157600</v>
      </c>
      <c r="R39" s="88">
        <f>D39-Q39</f>
        <v>617057.68745404645</v>
      </c>
      <c r="T39" s="79">
        <f>(E37*H39/12)</f>
        <v>1212.4709333335413</v>
      </c>
      <c r="U39" s="79">
        <f>(T39*(R37/D37))</f>
        <v>972.78209470220918</v>
      </c>
      <c r="V39" s="122">
        <v>16638.361612809276</v>
      </c>
      <c r="W39" s="79">
        <f>($R37+$N39-$O39-$P39+$M39-$U39)</f>
        <v>583013.35433672671</v>
      </c>
      <c r="X39" s="770">
        <f>'2020 T0'!F$331*60*60*24/43560*'2020 T0'!F$10+'2020 T0'!F$230+'2020 T0'!F$332</f>
        <v>130271.28274215126</v>
      </c>
      <c r="Y39" s="770">
        <f>X39+X41</f>
        <v>305222.12106625317</v>
      </c>
      <c r="Z39" s="770">
        <f>X39+X41+X43</f>
        <v>480292.94038584153</v>
      </c>
    </row>
    <row r="40" spans="1:38" x14ac:dyDescent="0.25">
      <c r="A40" s="87"/>
      <c r="B40" s="118"/>
      <c r="C40" s="79" t="s">
        <v>852</v>
      </c>
      <c r="E40" s="119" t="s">
        <v>852</v>
      </c>
      <c r="F40" s="120"/>
      <c r="G40" s="120"/>
      <c r="H40" s="121" t="s">
        <v>852</v>
      </c>
      <c r="J40" s="122"/>
      <c r="K40" s="123"/>
      <c r="L40" s="122"/>
      <c r="M40" s="223"/>
      <c r="N40" s="222"/>
      <c r="O40" s="222"/>
      <c r="P40" s="122"/>
      <c r="Q40" s="113"/>
      <c r="R40" s="88"/>
      <c r="V40" s="122"/>
      <c r="X40" s="772">
        <f>W39-X39</f>
        <v>452742.07159457542</v>
      </c>
      <c r="Y40" s="772">
        <f>W39-Y39</f>
        <v>277791.23327047355</v>
      </c>
      <c r="Z40" s="772">
        <f>W39-Z39</f>
        <v>102720.41395088518</v>
      </c>
      <c r="AA40" s="698" t="s">
        <v>707</v>
      </c>
    </row>
    <row r="41" spans="1:38" x14ac:dyDescent="0.25">
      <c r="A41" s="87" t="s">
        <v>543</v>
      </c>
      <c r="B41" s="118">
        <f>+LookupElev(C41)</f>
        <v>1698.3100000000002</v>
      </c>
      <c r="C41" s="79">
        <f>(C39+K41+N41)-(T41+O41+P41+V41)</f>
        <v>813463.2600002496</v>
      </c>
      <c r="D41" s="79">
        <f>(C41-37841)</f>
        <v>775622.2600002496</v>
      </c>
      <c r="E41" s="119">
        <f>+LookupArea(B41)</f>
        <v>9650.4900000020607</v>
      </c>
      <c r="F41" s="120">
        <v>6.9</v>
      </c>
      <c r="G41" s="120">
        <v>0</v>
      </c>
      <c r="H41" s="121">
        <f>(F41-G41)</f>
        <v>6.9</v>
      </c>
      <c r="I41" s="79">
        <f>(T41)</f>
        <v>5544.489379286767</v>
      </c>
      <c r="J41" s="122">
        <v>60</v>
      </c>
      <c r="K41" s="123">
        <v>3047</v>
      </c>
      <c r="L41" s="122">
        <v>2233</v>
      </c>
      <c r="M41" s="223">
        <f>'2020 T0'!F320</f>
        <v>618</v>
      </c>
      <c r="N41" s="222">
        <f>+'2020 T0'!$F$17</f>
        <v>3618</v>
      </c>
      <c r="O41" s="222">
        <f>+ABS('2020 T0'!$F$18)</f>
        <v>0</v>
      </c>
      <c r="P41" s="122">
        <v>0</v>
      </c>
      <c r="Q41" s="113">
        <f>IF((D41-W41)&gt;157600,157600,(D41-W41))</f>
        <v>157600</v>
      </c>
      <c r="R41" s="88">
        <f>D41-Q41</f>
        <v>618022.2600002496</v>
      </c>
      <c r="T41" s="79">
        <f>(E39*H41/12)</f>
        <v>5544.489379286767</v>
      </c>
      <c r="U41" s="79">
        <f>(T41*(R39/D39))</f>
        <v>4416.4924067821476</v>
      </c>
      <c r="V41" s="122">
        <v>155.93807451010503</v>
      </c>
      <c r="W41" s="79">
        <f>($R39+$N41-$O41-$P41+$M41-$U41)</f>
        <v>616877.19504726434</v>
      </c>
      <c r="X41" s="771">
        <f>'2020 T0'!G$331*60*60*24/43560*'2020 T0'!G$10+'2020 T0'!G$230+'2020 T0'!G$332</f>
        <v>174950.8383241019</v>
      </c>
      <c r="Y41" s="771">
        <f>X41+X43</f>
        <v>350021.6576436903</v>
      </c>
      <c r="Z41" s="771">
        <f>X41+X43+X45</f>
        <v>511706.32292669499</v>
      </c>
      <c r="AA41" s="775"/>
    </row>
    <row r="42" spans="1:38" x14ac:dyDescent="0.25">
      <c r="A42" s="87"/>
      <c r="B42" s="118"/>
      <c r="C42" s="79" t="s">
        <v>852</v>
      </c>
      <c r="D42" s="79" t="s">
        <v>852</v>
      </c>
      <c r="E42" s="119" t="s">
        <v>852</v>
      </c>
      <c r="F42" s="120"/>
      <c r="G42" s="120"/>
      <c r="H42" s="121" t="s">
        <v>852</v>
      </c>
      <c r="J42" s="122"/>
      <c r="K42" s="123"/>
      <c r="L42" s="122"/>
      <c r="M42" s="223"/>
      <c r="N42" s="222"/>
      <c r="O42" s="222"/>
      <c r="P42" s="122"/>
      <c r="Q42" s="113"/>
      <c r="R42" s="88"/>
      <c r="V42" s="122"/>
      <c r="X42" s="773">
        <f>W41-X41</f>
        <v>441926.35672316246</v>
      </c>
      <c r="Y42" s="773">
        <f>W41-Y41</f>
        <v>266855.53740357404</v>
      </c>
      <c r="Z42" s="773">
        <f>W41-Z41</f>
        <v>105170.87212056934</v>
      </c>
      <c r="AA42" s="776" t="s">
        <v>1321</v>
      </c>
    </row>
    <row r="43" spans="1:38" x14ac:dyDescent="0.25">
      <c r="A43" s="87" t="s">
        <v>1757</v>
      </c>
      <c r="B43" s="118">
        <f>+LookupElev(C43)</f>
        <v>1696.36</v>
      </c>
      <c r="C43" s="79">
        <f>(C41+K43+N43)-(T43+O43+P43+V43)</f>
        <v>794795.68000022601</v>
      </c>
      <c r="D43" s="79">
        <f>(C43-37841)</f>
        <v>756954.68000022601</v>
      </c>
      <c r="E43" s="119">
        <f>+LookupArea(B43)</f>
        <v>9495.4400000018959</v>
      </c>
      <c r="F43" s="120">
        <v>9.81</v>
      </c>
      <c r="G43" s="120">
        <v>0</v>
      </c>
      <c r="H43" s="121">
        <f>(F43-G43)</f>
        <v>9.81</v>
      </c>
      <c r="I43" s="79">
        <f>(T43)</f>
        <v>7889.275575001685</v>
      </c>
      <c r="J43" s="122">
        <v>62</v>
      </c>
      <c r="K43" s="123">
        <v>363</v>
      </c>
      <c r="L43" s="122">
        <v>0</v>
      </c>
      <c r="M43" s="223">
        <f>'2020 T0'!G320</f>
        <v>1718</v>
      </c>
      <c r="N43" s="222">
        <f>+'2020 T0'!$G$17</f>
        <v>0</v>
      </c>
      <c r="O43" s="222">
        <f>+ABS('2020 T0'!$G$18)</f>
        <v>12620</v>
      </c>
      <c r="P43" s="122">
        <v>0</v>
      </c>
      <c r="Q43" s="113">
        <f>IF((D43-W43)&gt;157600,157600,(D43-W43))</f>
        <v>156120.66031575296</v>
      </c>
      <c r="R43" s="88">
        <f>D43-Q43</f>
        <v>600834.01968447305</v>
      </c>
      <c r="T43" s="79">
        <f>(E41*H43/12)</f>
        <v>7889.275575001685</v>
      </c>
      <c r="U43" s="79">
        <f>(T43*(R41/D41))</f>
        <v>6286.2403157765757</v>
      </c>
      <c r="V43" s="122">
        <v>-1478.6955749781059</v>
      </c>
      <c r="W43" s="79">
        <f>($R41+$N43-$O43-$P43+$M43-$U43)</f>
        <v>600834.01968447305</v>
      </c>
      <c r="X43" s="770">
        <f>'2020 T0'!H$331*60*60*24/43560*'2020 T0'!H$10+'2020 T0'!H$230+'2020 T0'!H$332</f>
        <v>175070.81931958839</v>
      </c>
      <c r="Y43" s="770">
        <f>X43+X45</f>
        <v>336755.48460259306</v>
      </c>
      <c r="Z43" s="770">
        <f>X43+X45+X47</f>
        <v>484959.93836036051</v>
      </c>
    </row>
    <row r="44" spans="1:38" x14ac:dyDescent="0.25">
      <c r="A44" s="87"/>
      <c r="B44" s="118"/>
      <c r="C44" s="79" t="s">
        <v>852</v>
      </c>
      <c r="D44" s="79" t="s">
        <v>852</v>
      </c>
      <c r="E44" s="119" t="s">
        <v>852</v>
      </c>
      <c r="F44" s="120"/>
      <c r="G44" s="120"/>
      <c r="H44" s="121" t="s">
        <v>852</v>
      </c>
      <c r="J44" s="122"/>
      <c r="K44" s="123"/>
      <c r="L44" s="122"/>
      <c r="M44" s="223"/>
      <c r="N44" s="222"/>
      <c r="O44" s="222"/>
      <c r="P44" s="122"/>
      <c r="Q44" s="113"/>
      <c r="R44" s="88"/>
      <c r="V44" s="122"/>
      <c r="X44" s="772">
        <f>W43-X43</f>
        <v>425763.20036488469</v>
      </c>
      <c r="Y44" s="772">
        <f>W43-Y43</f>
        <v>264078.53508187999</v>
      </c>
      <c r="Z44" s="772">
        <f>W43-Z43</f>
        <v>115874.08132411254</v>
      </c>
      <c r="AA44" s="698" t="s">
        <v>1905</v>
      </c>
    </row>
    <row r="45" spans="1:38" x14ac:dyDescent="0.25">
      <c r="A45" s="87" t="s">
        <v>1758</v>
      </c>
      <c r="B45" s="118">
        <f>+LookupElev(C45)</f>
        <v>1685.88</v>
      </c>
      <c r="C45" s="79">
        <f>(C43+K45+N45)-(T45+O45+P45+V45)</f>
        <v>699468.00000012678</v>
      </c>
      <c r="D45" s="79">
        <f>(C45-37841)</f>
        <v>661627.00000012678</v>
      </c>
      <c r="E45" s="119">
        <f>+LookupArea(B45)</f>
        <v>8708.2400000010712</v>
      </c>
      <c r="F45" s="120">
        <v>10.36</v>
      </c>
      <c r="G45" s="120">
        <v>0</v>
      </c>
      <c r="H45" s="121">
        <f>(F45-G45)</f>
        <v>10.36</v>
      </c>
      <c r="I45" s="79">
        <f>(T45)</f>
        <v>8197.7298666683037</v>
      </c>
      <c r="J45" s="122">
        <v>60</v>
      </c>
      <c r="K45" s="123">
        <v>101</v>
      </c>
      <c r="L45" s="122">
        <v>0</v>
      </c>
      <c r="M45" s="223">
        <f>'2020 T0'!H320</f>
        <v>2967</v>
      </c>
      <c r="N45" s="222">
        <f>+'2020 T0'!$H$17</f>
        <v>0</v>
      </c>
      <c r="O45" s="222">
        <f>+ABS('2020 T0'!$H$18)</f>
        <v>87156</v>
      </c>
      <c r="P45" s="122">
        <v>0</v>
      </c>
      <c r="Q45" s="113">
        <f>IF((D45-W45)&gt;157600,157600,(D45-W45))</f>
        <v>151488.9418527385</v>
      </c>
      <c r="R45" s="88">
        <f>D45-Q45</f>
        <v>510138.05814738828</v>
      </c>
      <c r="T45" s="79">
        <f>(E43*H45/12)</f>
        <v>8197.7298666683037</v>
      </c>
      <c r="U45" s="79">
        <f>(T45*(R43/D43))</f>
        <v>6506.9615370847641</v>
      </c>
      <c r="V45" s="122">
        <v>74.950133430969458</v>
      </c>
      <c r="W45" s="79">
        <f>($R43+$N45-$O45-$P45+$M45-$U45)</f>
        <v>510138.05814738828</v>
      </c>
      <c r="X45" s="771">
        <f>'2020 T0'!J$331*60*60*24/43560*'2020 T0'!J$10+'2020 T0'!J$230+'2020 T0'!J$332</f>
        <v>161684.66528300467</v>
      </c>
      <c r="Y45" s="771">
        <f>X45+X47</f>
        <v>309889.11904077209</v>
      </c>
      <c r="Z45" s="771">
        <f>X45+X47+X49</f>
        <v>412778.85377777211</v>
      </c>
      <c r="AA45" s="775"/>
    </row>
    <row r="46" spans="1:38" x14ac:dyDescent="0.25">
      <c r="A46" s="87"/>
      <c r="B46" s="118"/>
      <c r="C46" s="79" t="s">
        <v>852</v>
      </c>
      <c r="D46" s="79" t="s">
        <v>852</v>
      </c>
      <c r="E46" s="119" t="s">
        <v>852</v>
      </c>
      <c r="F46" s="120"/>
      <c r="G46" s="120"/>
      <c r="H46" s="121" t="s">
        <v>852</v>
      </c>
      <c r="J46" s="122"/>
      <c r="K46" s="123"/>
      <c r="L46" s="122"/>
      <c r="M46" s="223"/>
      <c r="N46" s="222"/>
      <c r="O46" s="222"/>
      <c r="P46" s="122"/>
      <c r="Q46" s="113"/>
      <c r="R46" s="88"/>
      <c r="V46" s="122"/>
      <c r="X46" s="773">
        <f>W45-X45</f>
        <v>348453.39286438364</v>
      </c>
      <c r="Y46" s="773">
        <f>W45-Y45</f>
        <v>200248.93910661619</v>
      </c>
      <c r="Z46" s="773">
        <f>W45-Z45</f>
        <v>97359.204369616171</v>
      </c>
      <c r="AA46" s="776" t="s">
        <v>1906</v>
      </c>
    </row>
    <row r="47" spans="1:38" x14ac:dyDescent="0.25">
      <c r="A47" s="87" t="s">
        <v>1045</v>
      </c>
      <c r="B47" s="118">
        <f>+LookupElev(C47)</f>
        <v>1671.42</v>
      </c>
      <c r="C47" s="79">
        <f>(C45+K47+N47)-(T47+O47+P47+V47)</f>
        <v>580422.12000000034</v>
      </c>
      <c r="D47" s="79">
        <f>(C47-37841)</f>
        <v>542581.12000000034</v>
      </c>
      <c r="E47" s="119">
        <f>+LookupArea(B47)</f>
        <v>7796.0200000000013</v>
      </c>
      <c r="F47" s="120">
        <v>11.86</v>
      </c>
      <c r="G47" s="120">
        <v>0.08</v>
      </c>
      <c r="H47" s="121">
        <f>(F47-G47)</f>
        <v>11.78</v>
      </c>
      <c r="I47" s="79">
        <f>(T47)</f>
        <v>8548.5889333343839</v>
      </c>
      <c r="J47" s="122">
        <v>62</v>
      </c>
      <c r="K47" s="123">
        <v>19</v>
      </c>
      <c r="L47" s="122">
        <v>0</v>
      </c>
      <c r="M47" s="223">
        <f>'2020 T0'!J320</f>
        <v>3280</v>
      </c>
      <c r="N47" s="222">
        <f>+'2020 T0'!$J$17</f>
        <v>0</v>
      </c>
      <c r="O47" s="222">
        <f>+ABS('2020 T0'!$J$18)</f>
        <v>112890</v>
      </c>
      <c r="P47" s="122">
        <v>0</v>
      </c>
      <c r="Q47" s="113">
        <f>IF((D47-W47)&gt;157600,157600,(D47-W47))</f>
        <v>148644.32937698852</v>
      </c>
      <c r="R47" s="88">
        <f>D47-Q47</f>
        <v>393936.79062301182</v>
      </c>
      <c r="T47" s="79">
        <f>(E45*H47/12)</f>
        <v>8548.5889333343839</v>
      </c>
      <c r="U47" s="79">
        <f>(T47*(R45/D45))</f>
        <v>6591.2675243764543</v>
      </c>
      <c r="V47" s="122">
        <v>-2373.7089332078917</v>
      </c>
      <c r="W47" s="79">
        <f>($R45+$N47-$O47-$P47+$M47-$U47)</f>
        <v>393936.79062301182</v>
      </c>
      <c r="X47" s="770">
        <f>'2020 T0'!K$331*60*60*24/43560*'2020 T0'!K$10+'2020 T0'!K$230+'2020 T0'!K$332</f>
        <v>148204.45375776745</v>
      </c>
      <c r="Y47" s="770">
        <f>X47+X49</f>
        <v>251094.18849476747</v>
      </c>
      <c r="Z47" s="770">
        <f>X47+X49+X51</f>
        <v>329220.03254522942</v>
      </c>
    </row>
    <row r="48" spans="1:38" x14ac:dyDescent="0.25">
      <c r="A48" s="87"/>
      <c r="B48" s="118"/>
      <c r="C48" s="79" t="s">
        <v>852</v>
      </c>
      <c r="D48" s="79" t="s">
        <v>852</v>
      </c>
      <c r="E48" s="119" t="s">
        <v>852</v>
      </c>
      <c r="F48" s="120"/>
      <c r="G48" s="120"/>
      <c r="H48" s="121" t="s">
        <v>852</v>
      </c>
      <c r="J48" s="122"/>
      <c r="K48" s="123"/>
      <c r="L48" s="122"/>
      <c r="M48" s="223"/>
      <c r="N48" s="222"/>
      <c r="O48" s="222"/>
      <c r="P48" s="122"/>
      <c r="Q48" s="113"/>
      <c r="R48" s="88"/>
      <c r="V48" s="122"/>
      <c r="X48" s="772">
        <f>W47-X47</f>
        <v>245732.33686524438</v>
      </c>
      <c r="Y48" s="772">
        <f>W47-Y47</f>
        <v>142842.60212824435</v>
      </c>
      <c r="Z48" s="772">
        <f>W47-Z47</f>
        <v>64716.758077782404</v>
      </c>
      <c r="AA48" s="698" t="s">
        <v>1907</v>
      </c>
    </row>
    <row r="49" spans="1:27" x14ac:dyDescent="0.25">
      <c r="A49" s="87" t="s">
        <v>1046</v>
      </c>
      <c r="B49" s="118">
        <f>+LookupElev(C49)</f>
        <v>1654.0999551114837</v>
      </c>
      <c r="C49" s="79">
        <f>(C47+K49+N49)-(T49+O49+P49+V49)</f>
        <v>453988.6943093536</v>
      </c>
      <c r="D49" s="79">
        <f>(C49-37841)</f>
        <v>416147.6943093536</v>
      </c>
      <c r="E49" s="119">
        <f>+LookupArea(B49)</f>
        <v>6801.3975760213243</v>
      </c>
      <c r="F49" s="120">
        <v>10.99</v>
      </c>
      <c r="G49" s="120">
        <v>0.64</v>
      </c>
      <c r="H49" s="121">
        <f>(F49-G49)</f>
        <v>10.35</v>
      </c>
      <c r="I49" s="79">
        <f>(T49)</f>
        <v>6724.067250000001</v>
      </c>
      <c r="J49" s="122">
        <v>62</v>
      </c>
      <c r="K49" s="123">
        <v>94</v>
      </c>
      <c r="L49" s="122">
        <v>86</v>
      </c>
      <c r="M49" s="223">
        <f>'2020 T0'!K320</f>
        <v>2540</v>
      </c>
      <c r="N49" s="222">
        <f>+'2020 T0'!$K$17</f>
        <v>5</v>
      </c>
      <c r="O49" s="222">
        <f>+ABS('2020 T0'!$K$18)</f>
        <v>121200</v>
      </c>
      <c r="P49" s="122">
        <v>0</v>
      </c>
      <c r="Q49" s="113">
        <f>IF((D49-W49)&gt;157600,157600,(D49-W49))</f>
        <v>145747.8602726644</v>
      </c>
      <c r="R49" s="88">
        <f>D49-Q49</f>
        <v>270399.83403668919</v>
      </c>
      <c r="T49" s="79">
        <f>(E47*H49/12)</f>
        <v>6724.067250000001</v>
      </c>
      <c r="U49" s="79">
        <f>(T49*(R47/D47))</f>
        <v>4881.9565863226126</v>
      </c>
      <c r="V49" s="122">
        <v>-1391.6415593532813</v>
      </c>
      <c r="W49" s="79">
        <f>($R47+$N49-$O49-$P49+$M49-$U49)</f>
        <v>270399.83403668919</v>
      </c>
      <c r="X49" s="771">
        <f>'2020 T0'!L$331*60*60*24/43560*'2020 T0'!L$10+'2020 T0'!L$230+'2020 T0'!L$332</f>
        <v>102889.73473700002</v>
      </c>
      <c r="Y49" s="771">
        <f>X49+X51</f>
        <v>181015.578787462</v>
      </c>
      <c r="Z49" s="771">
        <f>X49+X51+X53</f>
        <v>228717.24578337354</v>
      </c>
      <c r="AA49" s="775"/>
    </row>
    <row r="50" spans="1:27" x14ac:dyDescent="0.25">
      <c r="A50" s="87"/>
      <c r="B50" s="118"/>
      <c r="C50" s="79" t="s">
        <v>852</v>
      </c>
      <c r="D50" s="79" t="s">
        <v>852</v>
      </c>
      <c r="E50" s="119" t="s">
        <v>852</v>
      </c>
      <c r="F50" s="120"/>
      <c r="G50" s="120"/>
      <c r="H50" s="121" t="s">
        <v>852</v>
      </c>
      <c r="J50" s="122"/>
      <c r="K50" s="123"/>
      <c r="L50" s="122"/>
      <c r="M50" s="223"/>
      <c r="N50" s="222"/>
      <c r="O50" s="222"/>
      <c r="P50" s="122"/>
      <c r="Q50" s="113"/>
      <c r="R50" s="88"/>
      <c r="V50" s="122"/>
      <c r="X50" s="773">
        <f>W49-X49</f>
        <v>167510.09929968917</v>
      </c>
      <c r="Y50" s="773">
        <f>W49-Y49</f>
        <v>89384.255249227193</v>
      </c>
      <c r="Z50" s="773">
        <f>W49-Z49</f>
        <v>41682.588253315655</v>
      </c>
      <c r="AA50" s="776" t="s">
        <v>1908</v>
      </c>
    </row>
    <row r="51" spans="1:27" x14ac:dyDescent="0.25">
      <c r="A51" s="87" t="s">
        <v>1047</v>
      </c>
      <c r="B51" s="118">
        <f>+LookupElev(C51)</f>
        <v>1657.9899941811159</v>
      </c>
      <c r="C51" s="79">
        <f>(C49+K51+N51)-(T51+O51+P51+V51)</f>
        <v>480880.81918652524</v>
      </c>
      <c r="D51" s="79">
        <f>(C51-37841)</f>
        <v>443039.81918652524</v>
      </c>
      <c r="E51" s="119">
        <f>+LookupArea(B51)</f>
        <v>7029.3996508684813</v>
      </c>
      <c r="F51" s="120">
        <v>10.08</v>
      </c>
      <c r="G51" s="120">
        <v>0</v>
      </c>
      <c r="H51" s="121">
        <f>(F51-G51)</f>
        <v>10.08</v>
      </c>
      <c r="I51" s="79">
        <f>(T51)</f>
        <v>5713.1739638579129</v>
      </c>
      <c r="J51" s="122">
        <v>60</v>
      </c>
      <c r="K51" s="123">
        <v>14</v>
      </c>
      <c r="L51" s="122">
        <v>0</v>
      </c>
      <c r="M51" s="223">
        <f>'2020 T0'!L320</f>
        <v>2888</v>
      </c>
      <c r="N51" s="222">
        <f>+'2020 T0'!$L$17</f>
        <v>33393</v>
      </c>
      <c r="O51" s="222">
        <f>+ABS('2020 T0'!$L$18)</f>
        <v>3227</v>
      </c>
      <c r="P51" s="122">
        <v>0</v>
      </c>
      <c r="Q51" s="113">
        <f>IF((D51-W51)&gt;157600,157600,(D51-W51))</f>
        <v>143298.22797317733</v>
      </c>
      <c r="R51" s="88">
        <f>D51-Q51</f>
        <v>299741.59121334791</v>
      </c>
      <c r="T51" s="79">
        <f>(E49*H51/12)</f>
        <v>5713.1739638579129</v>
      </c>
      <c r="U51" s="79">
        <f>(T51*(R49/D49))</f>
        <v>3712.2428233412675</v>
      </c>
      <c r="V51" s="122">
        <v>-2425.2988410295889</v>
      </c>
      <c r="W51" s="79">
        <f>($R49+$N51-$O51-$P51+$M51-$U51)</f>
        <v>299741.59121334791</v>
      </c>
      <c r="X51" s="770">
        <f>'2020 T0'!N$331*60*60*24/43560*'2020 T0'!N$10+'2020 T0'!N$230+'2020 T0'!N$332</f>
        <v>78125.844050461979</v>
      </c>
      <c r="Y51" s="770">
        <f>X51+X53</f>
        <v>125827.51104637352</v>
      </c>
      <c r="Z51" s="770">
        <f>X51+X53+X55</f>
        <v>187869.48387742089</v>
      </c>
    </row>
    <row r="52" spans="1:27" x14ac:dyDescent="0.25">
      <c r="A52" s="87"/>
      <c r="B52" s="118"/>
      <c r="C52" s="79" t="s">
        <v>852</v>
      </c>
      <c r="D52" s="79" t="s">
        <v>852</v>
      </c>
      <c r="E52" s="119" t="s">
        <v>852</v>
      </c>
      <c r="F52" s="120"/>
      <c r="G52" s="120"/>
      <c r="H52" s="121" t="s">
        <v>852</v>
      </c>
      <c r="J52" s="122"/>
      <c r="K52" s="123"/>
      <c r="L52" s="122"/>
      <c r="M52" s="223"/>
      <c r="N52" s="222"/>
      <c r="O52" s="222"/>
      <c r="P52" s="122"/>
      <c r="Q52" s="113"/>
      <c r="R52" s="88"/>
      <c r="V52" s="122"/>
      <c r="X52" s="772">
        <f>W51-X51</f>
        <v>221615.74716288593</v>
      </c>
      <c r="Y52" s="772">
        <f>W51-Y51</f>
        <v>173914.0801669744</v>
      </c>
      <c r="Z52" s="772">
        <f>W51-Z51</f>
        <v>111872.10733592702</v>
      </c>
      <c r="AA52" s="698" t="s">
        <v>2352</v>
      </c>
    </row>
    <row r="53" spans="1:27" x14ac:dyDescent="0.25">
      <c r="A53" s="87" t="s">
        <v>1430</v>
      </c>
      <c r="B53" s="118">
        <f>+LookupElev(C53)</f>
        <v>1665.72</v>
      </c>
      <c r="C53" s="79">
        <f>(C51+K53+N53)-(T53+O53+P53+V53)</f>
        <v>536924.96000024315</v>
      </c>
      <c r="D53" s="79">
        <f>(C53-37841)</f>
        <v>499083.96000024315</v>
      </c>
      <c r="E53" s="119">
        <f>+LookupArea(B53)</f>
        <v>7464.7600000019011</v>
      </c>
      <c r="F53" s="120">
        <v>7.77</v>
      </c>
      <c r="G53" s="120">
        <v>0</v>
      </c>
      <c r="H53" s="121">
        <f>(F53-G53)</f>
        <v>7.77</v>
      </c>
      <c r="I53" s="79">
        <f>(T53)</f>
        <v>4551.5362739373413</v>
      </c>
      <c r="J53" s="122">
        <v>62</v>
      </c>
      <c r="K53" s="123">
        <v>0</v>
      </c>
      <c r="L53" s="122">
        <v>1605</v>
      </c>
      <c r="M53" s="223">
        <f>'2020 T0'!N320</f>
        <v>4479</v>
      </c>
      <c r="N53" s="222">
        <f>+'2020 T0'!$N$17</f>
        <v>61538</v>
      </c>
      <c r="O53" s="222">
        <f>+ABS('2020 T0'!$N$18)</f>
        <v>23</v>
      </c>
      <c r="P53" s="122">
        <v>0</v>
      </c>
      <c r="Q53" s="113">
        <f>IF((D53-W53)&gt;157600,157600,(D53-W53))</f>
        <v>136427.74148915085</v>
      </c>
      <c r="R53" s="88">
        <f>D53-Q53</f>
        <v>362656.2185110923</v>
      </c>
      <c r="T53" s="79">
        <f>(E51*H53/12)</f>
        <v>4551.5362739373413</v>
      </c>
      <c r="U53" s="79">
        <f>(T53*(R51/D51))</f>
        <v>3079.3727022556195</v>
      </c>
      <c r="V53" s="122">
        <v>919.32291234469585</v>
      </c>
      <c r="W53" s="79">
        <f>($R51+$N53-$O53-$P53+$M53-$U53)</f>
        <v>362656.2185110923</v>
      </c>
      <c r="X53" s="771">
        <f>'2020 T0'!O$331*60*60*24/43560*'2020 T0'!O$10+'2020 T0'!O$230+'2020 T0'!O$332</f>
        <v>47701.666995911532</v>
      </c>
      <c r="Y53" s="771">
        <f>X53+X55</f>
        <v>109743.6398269589</v>
      </c>
      <c r="Z53" s="771">
        <f>X53+X55+X57</f>
        <v>167528.43342793913</v>
      </c>
      <c r="AA53" s="775"/>
    </row>
    <row r="54" spans="1:27" x14ac:dyDescent="0.25">
      <c r="A54" s="87"/>
      <c r="B54" s="118"/>
      <c r="C54" s="79" t="s">
        <v>852</v>
      </c>
      <c r="D54" s="79" t="s">
        <v>852</v>
      </c>
      <c r="E54" s="119" t="s">
        <v>852</v>
      </c>
      <c r="F54" s="120"/>
      <c r="G54" s="120"/>
      <c r="H54" s="121" t="s">
        <v>852</v>
      </c>
      <c r="J54" s="122"/>
      <c r="K54" s="123"/>
      <c r="L54" s="122"/>
      <c r="M54" s="223"/>
      <c r="N54" s="222"/>
      <c r="O54" s="222"/>
      <c r="P54" s="122"/>
      <c r="Q54" s="113"/>
      <c r="R54" s="88"/>
      <c r="V54" s="122" t="s">
        <v>852</v>
      </c>
      <c r="X54" s="773">
        <f>W53-X53</f>
        <v>314954.55151518079</v>
      </c>
      <c r="Y54" s="773">
        <f>W53-Y53</f>
        <v>252912.57868413342</v>
      </c>
      <c r="Z54" s="773">
        <f>W53-Z53</f>
        <v>195127.78508315317</v>
      </c>
      <c r="AA54" s="776" t="s">
        <v>2353</v>
      </c>
    </row>
    <row r="55" spans="1:27" x14ac:dyDescent="0.25">
      <c r="A55" s="87" t="s">
        <v>534</v>
      </c>
      <c r="B55" s="118">
        <f>+LookupElev(C55)</f>
        <v>1673.02</v>
      </c>
      <c r="C55" s="79">
        <f>(C53+K55+N55)-(T55+O55+P55+V55)</f>
        <v>592967.99999999953</v>
      </c>
      <c r="D55" s="79">
        <f>(C55-37841)</f>
        <v>555126.99999999953</v>
      </c>
      <c r="E55" s="119">
        <f>+LookupArea(B55)</f>
        <v>7887.1399999999994</v>
      </c>
      <c r="F55" s="120">
        <v>4.74</v>
      </c>
      <c r="G55" s="120">
        <v>0</v>
      </c>
      <c r="H55" s="121">
        <f>(F55-G55)</f>
        <v>4.74</v>
      </c>
      <c r="I55" s="79">
        <f>(T55)</f>
        <v>2948.5802000007511</v>
      </c>
      <c r="J55" s="122">
        <v>60</v>
      </c>
      <c r="K55" s="123">
        <v>0</v>
      </c>
      <c r="L55" s="122">
        <v>692</v>
      </c>
      <c r="M55" s="223">
        <f>'2020 T0'!O320</f>
        <v>3570</v>
      </c>
      <c r="N55" s="222">
        <f>+'2020 T0'!$O$17</f>
        <v>65150</v>
      </c>
      <c r="O55" s="222">
        <f>+ABS('2020 T0'!$O$18)</f>
        <v>5290</v>
      </c>
      <c r="P55" s="122">
        <v>0</v>
      </c>
      <c r="Q55" s="113">
        <f>IF((D55-W55)&gt;157600,157600,(D55-W55))</f>
        <v>131183.3487341227</v>
      </c>
      <c r="R55" s="88">
        <f>D55-Q55</f>
        <v>423943.65126587683</v>
      </c>
      <c r="T55" s="79">
        <f>(E53*H55/12)</f>
        <v>2948.5802000007511</v>
      </c>
      <c r="U55" s="79">
        <f>(T55*(R53/D53))</f>
        <v>2142.5672452154777</v>
      </c>
      <c r="V55" s="122">
        <v>868.37980024281251</v>
      </c>
      <c r="W55" s="79">
        <f>($R53+$N55-$O55-$P55+$M55-$U55)</f>
        <v>423943.65126587683</v>
      </c>
      <c r="X55" s="770">
        <f>'2020 T0'!P$331*60*60*24/43560*'2020 T0'!P$10+'2020 T0'!P$230+'2020 T0'!P$332</f>
        <v>62041.972831047366</v>
      </c>
      <c r="Y55" s="770">
        <f>X55+X57</f>
        <v>119826.76643202759</v>
      </c>
      <c r="Z55" s="770">
        <f>X55+X57+X59</f>
        <v>186270.70635525935</v>
      </c>
    </row>
    <row r="56" spans="1:27" x14ac:dyDescent="0.25">
      <c r="A56" s="87"/>
      <c r="B56" s="118"/>
      <c r="C56" s="79" t="s">
        <v>852</v>
      </c>
      <c r="D56" s="79" t="s">
        <v>852</v>
      </c>
      <c r="E56" s="119" t="s">
        <v>852</v>
      </c>
      <c r="F56" s="120"/>
      <c r="G56" s="120"/>
      <c r="H56" s="121" t="s">
        <v>852</v>
      </c>
      <c r="J56" s="122"/>
      <c r="K56" s="123"/>
      <c r="L56" s="122"/>
      <c r="M56" s="223"/>
      <c r="N56" s="222"/>
      <c r="O56" s="222"/>
      <c r="P56" s="122"/>
      <c r="Q56" s="113"/>
      <c r="R56" s="88"/>
      <c r="V56" s="122"/>
      <c r="X56" s="772">
        <f>W55-X55</f>
        <v>361901.67843482946</v>
      </c>
      <c r="Y56" s="772">
        <f>W55-Y55</f>
        <v>304116.88483384927</v>
      </c>
      <c r="Z56" s="772">
        <f>W55-Z55</f>
        <v>237672.94491061749</v>
      </c>
      <c r="AA56" s="698" t="s">
        <v>2354</v>
      </c>
    </row>
    <row r="57" spans="1:27" x14ac:dyDescent="0.25">
      <c r="A57" s="87" t="s">
        <v>427</v>
      </c>
      <c r="B57" s="118">
        <f>+LookupElev(C57)</f>
        <v>1679.9390201045346</v>
      </c>
      <c r="C57" s="79">
        <f>(C55+K57+N57)-(T57+O57+P57+V57)</f>
        <v>648953.47666666622</v>
      </c>
      <c r="D57" s="79">
        <f>(C57-37841)</f>
        <v>611112.47666666622</v>
      </c>
      <c r="E57" s="119">
        <f>+LookupArea(B57)</f>
        <v>8301.2802263771664</v>
      </c>
      <c r="F57" s="120">
        <v>3</v>
      </c>
      <c r="G57" s="120">
        <v>1</v>
      </c>
      <c r="H57" s="121">
        <f>(F57-G57)</f>
        <v>2</v>
      </c>
      <c r="I57" s="79">
        <f>(T57)</f>
        <v>1314.5233333333333</v>
      </c>
      <c r="J57" s="122">
        <v>62</v>
      </c>
      <c r="K57" s="123">
        <v>2300</v>
      </c>
      <c r="L57" s="122">
        <v>0</v>
      </c>
      <c r="M57" s="223">
        <f>'2020 T0'!P320</f>
        <v>1401</v>
      </c>
      <c r="N57" s="222">
        <f>+'2020 T0'!$P$17</f>
        <v>55000</v>
      </c>
      <c r="O57" s="222">
        <f>+ABS('2020 T0'!$P$18)</f>
        <v>0</v>
      </c>
      <c r="P57" s="122">
        <v>0</v>
      </c>
      <c r="Q57" s="113">
        <f>IF((D57-W57)&gt;157600,157600,(D57-W57))</f>
        <v>131771.71067678486</v>
      </c>
      <c r="R57" s="88">
        <f>D57-Q57</f>
        <v>479340.76598988136</v>
      </c>
      <c r="T57" s="79">
        <f>(E55*H57/12)</f>
        <v>1314.5233333333333</v>
      </c>
      <c r="U57" s="79">
        <f>(T57*(R55/D55))</f>
        <v>1003.8852759954481</v>
      </c>
      <c r="V57" s="122">
        <v>0</v>
      </c>
      <c r="W57" s="79">
        <f>($R55+$N57-$O57-$P57+$M57-$U57)</f>
        <v>479340.76598988136</v>
      </c>
      <c r="X57" s="771">
        <f>'2021 T0 (2020 FC)'!B$323*60*60*24/43560*'2021 T0 (2020 FC)'!B$10+'2021 T0 (2020 FC)'!B$225+'2021 T0 (2020 FC)'!B$324</f>
        <v>57784.793600980229</v>
      </c>
      <c r="Y57" s="771">
        <f>X57+X59</f>
        <v>124228.733524212</v>
      </c>
      <c r="Z57" s="771">
        <f>X57+X59+X61</f>
        <v>214781.58503894677</v>
      </c>
      <c r="AA57" s="775"/>
    </row>
    <row r="58" spans="1:27" ht="13.8" thickBot="1" x14ac:dyDescent="0.3">
      <c r="A58" s="124"/>
      <c r="B58" s="125"/>
      <c r="C58" s="79" t="s">
        <v>852</v>
      </c>
      <c r="E58" s="113"/>
      <c r="F58" s="126" t="s">
        <v>852</v>
      </c>
      <c r="G58" s="126" t="s">
        <v>852</v>
      </c>
      <c r="H58" s="121" t="s">
        <v>852</v>
      </c>
      <c r="I58" s="79" t="s">
        <v>852</v>
      </c>
      <c r="K58" s="127" t="s">
        <v>852</v>
      </c>
      <c r="L58" s="128" t="s">
        <v>852</v>
      </c>
      <c r="M58" s="129"/>
      <c r="N58" s="79" t="s">
        <v>852</v>
      </c>
      <c r="O58" s="79" t="s">
        <v>852</v>
      </c>
      <c r="P58" s="79" t="s">
        <v>852</v>
      </c>
      <c r="Q58" s="113"/>
      <c r="R58" s="88"/>
      <c r="T58" s="79" t="s">
        <v>852</v>
      </c>
      <c r="U58" s="79" t="s">
        <v>852</v>
      </c>
      <c r="V58" s="79" t="s">
        <v>852</v>
      </c>
      <c r="X58" s="773">
        <f>W57-X57</f>
        <v>421555.97238890111</v>
      </c>
      <c r="Y58" s="773">
        <f>W57-Y57</f>
        <v>355112.03246566933</v>
      </c>
      <c r="Z58" s="773">
        <f>W57-Z57</f>
        <v>264559.18095093459</v>
      </c>
      <c r="AA58" s="776" t="s">
        <v>2355</v>
      </c>
    </row>
    <row r="59" spans="1:27" x14ac:dyDescent="0.25">
      <c r="A59" s="87"/>
      <c r="B59" s="116"/>
      <c r="C59" s="116"/>
      <c r="D59" s="116"/>
      <c r="E59" s="116"/>
      <c r="F59" s="116"/>
      <c r="G59" s="116"/>
      <c r="H59" s="116"/>
      <c r="I59" s="116"/>
      <c r="J59" s="116"/>
      <c r="K59" s="116"/>
      <c r="L59" s="116"/>
      <c r="M59" s="116"/>
      <c r="N59" s="116"/>
      <c r="O59" s="116"/>
      <c r="P59" s="116"/>
      <c r="Q59" s="116"/>
      <c r="R59" s="130"/>
      <c r="X59" s="770">
        <f>'2021 T0 (2020 FC)'!C$323*60*60*24/43560*'2021 T0 (2020 FC)'!C$10+'2021 T0 (2020 FC)'!C$225+'2021 T0 (2020 FC)'!C$324</f>
        <v>66443.939923231766</v>
      </c>
    </row>
    <row r="60" spans="1:27" x14ac:dyDescent="0.25">
      <c r="A60" s="87" t="s">
        <v>1687</v>
      </c>
      <c r="F60" s="79">
        <f t="shared" ref="F60:P60" si="0">SUM(F35:F57)</f>
        <v>85.3</v>
      </c>
      <c r="G60" s="79">
        <f t="shared" si="0"/>
        <v>5.42</v>
      </c>
      <c r="H60" s="79">
        <f t="shared" si="0"/>
        <v>79.88</v>
      </c>
      <c r="I60" s="79">
        <f t="shared" si="0"/>
        <v>56046.411859851461</v>
      </c>
      <c r="J60" s="79">
        <f t="shared" si="0"/>
        <v>732</v>
      </c>
      <c r="K60" s="79">
        <f t="shared" si="0"/>
        <v>80749</v>
      </c>
      <c r="L60" s="79">
        <f t="shared" si="0"/>
        <v>4616</v>
      </c>
      <c r="M60" s="79">
        <f t="shared" si="0"/>
        <v>24984</v>
      </c>
      <c r="N60" s="79">
        <f t="shared" si="0"/>
        <v>265334</v>
      </c>
      <c r="O60" s="79">
        <f t="shared" si="0"/>
        <v>361664</v>
      </c>
      <c r="P60" s="79">
        <f t="shared" si="0"/>
        <v>0</v>
      </c>
      <c r="R60" s="88"/>
      <c r="T60" s="79">
        <f>SUM(T35:T57)</f>
        <v>56046.411859851461</v>
      </c>
      <c r="U60" s="79">
        <f>SUM(U35:U57)</f>
        <v>42102.632080423624</v>
      </c>
      <c r="V60" s="79">
        <f>SUM(V35:V57)</f>
        <v>14304.111473482229</v>
      </c>
    </row>
    <row r="61" spans="1:27" ht="13.8" thickBot="1" x14ac:dyDescent="0.3">
      <c r="A61" s="131"/>
      <c r="B61" s="132"/>
      <c r="C61" s="132"/>
      <c r="D61" s="132"/>
      <c r="E61" s="132"/>
      <c r="F61" s="132"/>
      <c r="G61" s="132"/>
      <c r="H61" s="132"/>
      <c r="I61" s="132"/>
      <c r="J61" s="132"/>
      <c r="K61" s="132"/>
      <c r="L61" s="132"/>
      <c r="M61" s="132"/>
      <c r="N61" s="132"/>
      <c r="O61" s="132"/>
      <c r="P61" s="132"/>
      <c r="Q61" s="132"/>
      <c r="R61" s="133"/>
      <c r="X61" s="771">
        <f>'2021 T0 (2020 FC)'!D$323*60*60*24/43560*'2021 T0 (2020 FC)'!D$10+'2021 T0 (2020 FC)'!D$225+'2021 T0 (2020 FC)'!D$324</f>
        <v>90552.851514734764</v>
      </c>
    </row>
    <row r="62" spans="1:27" ht="13.8" thickTop="1" x14ac:dyDescent="0.25"/>
    <row r="63" spans="1:27" x14ac:dyDescent="0.25">
      <c r="A63" s="79" t="s">
        <v>1895</v>
      </c>
    </row>
    <row r="64" spans="1:27" x14ac:dyDescent="0.25">
      <c r="A64" s="79" t="s">
        <v>408</v>
      </c>
    </row>
    <row r="66" spans="1:26" x14ac:dyDescent="0.25">
      <c r="A66" s="79" t="s">
        <v>2141</v>
      </c>
    </row>
    <row r="67" spans="1:26" ht="13.8" thickBot="1" x14ac:dyDescent="0.3"/>
    <row r="68" spans="1:26" ht="13.8" thickTop="1" x14ac:dyDescent="0.25">
      <c r="A68" s="84"/>
      <c r="B68" s="85"/>
      <c r="C68" s="85"/>
      <c r="D68" s="85"/>
      <c r="E68" s="85"/>
      <c r="F68" s="85"/>
      <c r="G68" s="85"/>
      <c r="H68" s="85"/>
      <c r="I68" s="85"/>
      <c r="J68" s="85"/>
      <c r="K68" s="85"/>
      <c r="L68" s="85"/>
      <c r="M68" s="85"/>
      <c r="N68" s="85"/>
      <c r="O68" s="85"/>
      <c r="P68" s="85"/>
      <c r="Q68" s="85"/>
      <c r="R68" s="86"/>
    </row>
    <row r="69" spans="1:26" x14ac:dyDescent="0.25">
      <c r="A69" s="87"/>
      <c r="I69" s="83" t="s">
        <v>1383</v>
      </c>
      <c r="R69" s="88"/>
    </row>
    <row r="70" spans="1:26" x14ac:dyDescent="0.25">
      <c r="A70" s="87"/>
      <c r="H70" s="83"/>
      <c r="R70" s="88"/>
    </row>
    <row r="71" spans="1:26" x14ac:dyDescent="0.25">
      <c r="A71" s="87"/>
      <c r="I71" s="83" t="s">
        <v>1763</v>
      </c>
      <c r="R71" s="88"/>
    </row>
    <row r="72" spans="1:26" x14ac:dyDescent="0.25">
      <c r="A72" s="87"/>
      <c r="H72" s="83"/>
      <c r="R72" s="88"/>
    </row>
    <row r="73" spans="1:26" ht="12.75" customHeight="1" x14ac:dyDescent="0.25">
      <c r="A73" s="87"/>
      <c r="I73" s="163">
        <v>2021</v>
      </c>
      <c r="R73" s="88"/>
    </row>
    <row r="74" spans="1:26" x14ac:dyDescent="0.25">
      <c r="A74" s="87"/>
      <c r="H74" s="83"/>
      <c r="Q74" s="824" t="s">
        <v>3032</v>
      </c>
      <c r="R74" s="825"/>
    </row>
    <row r="75" spans="1:26" x14ac:dyDescent="0.25">
      <c r="A75" s="87"/>
      <c r="I75" s="83" t="s">
        <v>586</v>
      </c>
      <c r="Q75" s="824"/>
      <c r="R75" s="825"/>
    </row>
    <row r="76" spans="1:26" ht="13.8" thickBot="1" x14ac:dyDescent="0.3">
      <c r="A76" s="87"/>
      <c r="H76" s="83"/>
      <c r="Q76" s="826"/>
      <c r="R76" s="827"/>
    </row>
    <row r="77" spans="1:26" x14ac:dyDescent="0.25">
      <c r="A77" s="89"/>
      <c r="B77" s="90" t="s">
        <v>587</v>
      </c>
      <c r="C77" s="91" t="s">
        <v>587</v>
      </c>
      <c r="D77" s="91" t="s">
        <v>587</v>
      </c>
      <c r="E77" s="90" t="s">
        <v>587</v>
      </c>
      <c r="F77" s="92"/>
      <c r="G77" s="92"/>
      <c r="H77" s="93"/>
      <c r="I77" s="92"/>
      <c r="J77" s="92"/>
      <c r="K77" s="94"/>
      <c r="L77" s="92"/>
      <c r="M77" s="93"/>
      <c r="N77" s="92"/>
      <c r="O77" s="92"/>
      <c r="P77" s="92"/>
      <c r="Q77" s="90" t="s">
        <v>587</v>
      </c>
      <c r="R77" s="95" t="s">
        <v>587</v>
      </c>
      <c r="S77" s="83"/>
      <c r="W77" s="83" t="s">
        <v>587</v>
      </c>
      <c r="X77" s="83"/>
      <c r="Y77" s="83"/>
      <c r="Z77" s="83"/>
    </row>
    <row r="78" spans="1:26" x14ac:dyDescent="0.25">
      <c r="A78" s="96"/>
      <c r="B78" s="97"/>
      <c r="C78" s="98"/>
      <c r="D78" s="98"/>
      <c r="E78" s="97"/>
      <c r="F78" s="98"/>
      <c r="G78" s="98"/>
      <c r="H78" s="99"/>
      <c r="I78" s="98"/>
      <c r="J78" s="98"/>
      <c r="K78" s="100" t="s">
        <v>588</v>
      </c>
      <c r="L78" s="98"/>
      <c r="M78" s="101" t="s">
        <v>589</v>
      </c>
      <c r="N78" s="98"/>
      <c r="O78" s="98"/>
      <c r="P78" s="98"/>
      <c r="Q78" s="102" t="s">
        <v>589</v>
      </c>
      <c r="R78" s="103" t="s">
        <v>590</v>
      </c>
      <c r="S78" s="83"/>
      <c r="V78" s="83" t="s">
        <v>591</v>
      </c>
      <c r="W78" s="83" t="s">
        <v>590</v>
      </c>
      <c r="X78" s="83"/>
      <c r="Y78" s="83"/>
      <c r="Z78" s="83"/>
    </row>
    <row r="79" spans="1:26" x14ac:dyDescent="0.25">
      <c r="A79" s="96" t="s">
        <v>852</v>
      </c>
      <c r="B79" s="102" t="s">
        <v>1524</v>
      </c>
      <c r="C79" s="104" t="s">
        <v>1525</v>
      </c>
      <c r="D79" s="104" t="s">
        <v>421</v>
      </c>
      <c r="E79" s="102" t="s">
        <v>901</v>
      </c>
      <c r="F79" s="98"/>
      <c r="G79" s="98"/>
      <c r="H79" s="101" t="s">
        <v>902</v>
      </c>
      <c r="I79" s="104" t="s">
        <v>1510</v>
      </c>
      <c r="J79" s="104" t="s">
        <v>1510</v>
      </c>
      <c r="K79" s="105" t="s">
        <v>903</v>
      </c>
      <c r="L79" s="104" t="s">
        <v>589</v>
      </c>
      <c r="M79" s="101" t="s">
        <v>904</v>
      </c>
      <c r="N79" s="104" t="s">
        <v>590</v>
      </c>
      <c r="O79" s="104" t="s">
        <v>590</v>
      </c>
      <c r="P79" s="104" t="s">
        <v>905</v>
      </c>
      <c r="Q79" s="102" t="s">
        <v>906</v>
      </c>
      <c r="R79" s="103" t="s">
        <v>906</v>
      </c>
      <c r="S79" s="83"/>
      <c r="T79" s="83" t="s">
        <v>907</v>
      </c>
      <c r="U79" s="83" t="s">
        <v>590</v>
      </c>
      <c r="V79" s="83" t="s">
        <v>1826</v>
      </c>
      <c r="W79" s="83" t="s">
        <v>906</v>
      </c>
      <c r="X79" s="662" t="s">
        <v>3354</v>
      </c>
      <c r="Y79" s="83"/>
      <c r="Z79" s="83"/>
    </row>
    <row r="80" spans="1:26" x14ac:dyDescent="0.25">
      <c r="A80" s="106" t="s">
        <v>2168</v>
      </c>
      <c r="B80" s="102" t="s">
        <v>2169</v>
      </c>
      <c r="C80" s="104" t="s">
        <v>2170</v>
      </c>
      <c r="D80" s="104" t="s">
        <v>2170</v>
      </c>
      <c r="E80" s="102" t="s">
        <v>314</v>
      </c>
      <c r="F80" s="104" t="s">
        <v>2422</v>
      </c>
      <c r="G80" s="104" t="s">
        <v>2423</v>
      </c>
      <c r="H80" s="101" t="s">
        <v>2422</v>
      </c>
      <c r="I80" s="104" t="s">
        <v>2422</v>
      </c>
      <c r="J80" s="104" t="s">
        <v>591</v>
      </c>
      <c r="K80" s="105" t="s">
        <v>938</v>
      </c>
      <c r="L80" s="104" t="s">
        <v>939</v>
      </c>
      <c r="M80" s="101" t="s">
        <v>940</v>
      </c>
      <c r="N80" s="104" t="s">
        <v>941</v>
      </c>
      <c r="O80" s="104" t="s">
        <v>939</v>
      </c>
      <c r="P80" s="104" t="s">
        <v>821</v>
      </c>
      <c r="Q80" s="102" t="s">
        <v>822</v>
      </c>
      <c r="R80" s="103" t="s">
        <v>822</v>
      </c>
      <c r="S80" s="83"/>
      <c r="T80" s="83" t="s">
        <v>341</v>
      </c>
      <c r="U80" s="83" t="s">
        <v>341</v>
      </c>
      <c r="V80" s="83" t="s">
        <v>823</v>
      </c>
      <c r="W80" s="83" t="s">
        <v>822</v>
      </c>
      <c r="X80" s="662" t="s">
        <v>3351</v>
      </c>
      <c r="Y80" s="662" t="s">
        <v>3352</v>
      </c>
      <c r="Z80" s="662" t="s">
        <v>3353</v>
      </c>
    </row>
    <row r="81" spans="1:28" ht="13.8" thickBot="1" x14ac:dyDescent="0.3">
      <c r="A81" s="107"/>
      <c r="B81" s="108" t="s">
        <v>599</v>
      </c>
      <c r="C81" s="109" t="s">
        <v>930</v>
      </c>
      <c r="D81" s="109" t="s">
        <v>930</v>
      </c>
      <c r="E81" s="108" t="s">
        <v>620</v>
      </c>
      <c r="F81" s="109" t="s">
        <v>1855</v>
      </c>
      <c r="G81" s="109" t="s">
        <v>1855</v>
      </c>
      <c r="H81" s="110" t="s">
        <v>1855</v>
      </c>
      <c r="I81" s="109" t="s">
        <v>930</v>
      </c>
      <c r="J81" s="109" t="s">
        <v>930</v>
      </c>
      <c r="K81" s="111" t="s">
        <v>930</v>
      </c>
      <c r="L81" s="109" t="s">
        <v>930</v>
      </c>
      <c r="M81" s="110" t="s">
        <v>930</v>
      </c>
      <c r="N81" s="109" t="s">
        <v>930</v>
      </c>
      <c r="O81" s="109" t="s">
        <v>930</v>
      </c>
      <c r="P81" s="109" t="s">
        <v>930</v>
      </c>
      <c r="Q81" s="108" t="s">
        <v>930</v>
      </c>
      <c r="R81" s="112" t="s">
        <v>930</v>
      </c>
      <c r="S81" s="83"/>
      <c r="T81" s="83" t="s">
        <v>1856</v>
      </c>
      <c r="U81" s="83" t="s">
        <v>1856</v>
      </c>
      <c r="V81" s="83" t="s">
        <v>930</v>
      </c>
      <c r="W81" s="83" t="s">
        <v>930</v>
      </c>
      <c r="X81" s="83"/>
      <c r="Y81" s="83"/>
      <c r="Z81" s="83"/>
    </row>
    <row r="82" spans="1:28" x14ac:dyDescent="0.25">
      <c r="A82" s="87"/>
      <c r="B82" s="113"/>
      <c r="E82" s="113"/>
      <c r="H82" s="114"/>
      <c r="K82" s="115"/>
      <c r="L82" s="116"/>
      <c r="M82" s="117"/>
      <c r="Q82" s="113"/>
      <c r="R82" s="88"/>
    </row>
    <row r="83" spans="1:28" x14ac:dyDescent="0.25">
      <c r="A83" s="87" t="s">
        <v>1857</v>
      </c>
      <c r="B83" s="118">
        <f>+LookupElev(C83)</f>
        <v>1686.5533104540602</v>
      </c>
      <c r="C83" s="79">
        <f>(C57+K83+N83)-(T83+O83+P83+V83)</f>
        <v>705346.63930314931</v>
      </c>
      <c r="D83" s="79">
        <f>(C83-37841)</f>
        <v>667505.63930314931</v>
      </c>
      <c r="E83" s="119">
        <f>+LookupArea(B83)</f>
        <v>8757.3916631475258</v>
      </c>
      <c r="F83" s="120">
        <v>3</v>
      </c>
      <c r="G83" s="120">
        <v>1.4</v>
      </c>
      <c r="H83" s="121">
        <f>(F83-G83)</f>
        <v>1.6</v>
      </c>
      <c r="I83" s="79">
        <f>(T83)</f>
        <v>1106.8373635169555</v>
      </c>
      <c r="J83" s="122">
        <v>62</v>
      </c>
      <c r="K83" s="123">
        <v>3500</v>
      </c>
      <c r="L83" s="122">
        <v>0</v>
      </c>
      <c r="M83" s="221">
        <f>'2021 T0'!B313</f>
        <v>0</v>
      </c>
      <c r="N83" s="222">
        <f>'2021 T0'!$B$17</f>
        <v>54000</v>
      </c>
      <c r="O83" s="222">
        <f>+ABS('2021 T0'!$B$18)</f>
        <v>0</v>
      </c>
      <c r="P83" s="122">
        <v>0</v>
      </c>
      <c r="Q83" s="113">
        <f>IF((D83-W83)&gt;157600,157600,(D83-W83))</f>
        <v>135033.04781454534</v>
      </c>
      <c r="R83" s="88">
        <f>D83-Q83</f>
        <v>532472.59148860397</v>
      </c>
      <c r="T83" s="79">
        <f>(E57*H83/12)</f>
        <v>1106.8373635169555</v>
      </c>
      <c r="U83" s="79">
        <f>(T83*(R57/D57))</f>
        <v>868.17450127733218</v>
      </c>
      <c r="V83" s="122">
        <v>0</v>
      </c>
      <c r="W83" s="79">
        <f>($R57+$N83-$O83-$P83+$M83-$U83)</f>
        <v>532472.59148860397</v>
      </c>
      <c r="X83" s="770">
        <f>'2021 T0 (2020 FC)'!C$323*60*60*24/43560*'2021 T0 (2020 FC)'!$C$10+'2021 T0 (2020 FC)'!C$225+'2021 T0 (2020 FC)'!C$324</f>
        <v>66443.939923231766</v>
      </c>
      <c r="Y83" s="770">
        <f>X83+X85</f>
        <v>156996.79143796652</v>
      </c>
      <c r="Z83" s="770">
        <f>X83+X85+X87</f>
        <v>294036.68576286867</v>
      </c>
    </row>
    <row r="84" spans="1:28" x14ac:dyDescent="0.25">
      <c r="A84" s="87"/>
      <c r="B84" s="118"/>
      <c r="E84" s="119"/>
      <c r="F84" s="120"/>
      <c r="G84" s="120"/>
      <c r="H84" s="121"/>
      <c r="J84" s="122"/>
      <c r="K84" s="123"/>
      <c r="L84" s="122"/>
      <c r="M84" s="223"/>
      <c r="N84" s="222"/>
      <c r="O84" s="222"/>
      <c r="P84" s="122"/>
      <c r="Q84" s="113"/>
      <c r="R84" s="88"/>
      <c r="V84" s="122"/>
      <c r="X84" s="772">
        <f>W83-X83</f>
        <v>466028.65156537219</v>
      </c>
      <c r="Y84" s="772">
        <f>W83-Y83</f>
        <v>375475.80005063745</v>
      </c>
      <c r="Z84" s="772">
        <f>W83-Z83</f>
        <v>238435.9057257353</v>
      </c>
      <c r="AA84" s="698" t="s">
        <v>1354</v>
      </c>
    </row>
    <row r="85" spans="1:28" x14ac:dyDescent="0.25">
      <c r="A85" s="87" t="s">
        <v>2049</v>
      </c>
      <c r="B85" s="118">
        <f>+LookupElev(C85)</f>
        <v>1693.1377792108647</v>
      </c>
      <c r="C85" s="79">
        <f>(C83+K85+N85)-(T85+O85+P85+V85)</f>
        <v>764606.00881753676</v>
      </c>
      <c r="D85" s="79">
        <f>(C85-37841)</f>
        <v>726765.00881753676</v>
      </c>
      <c r="E85" s="119">
        <f>+LookupArea(B85)</f>
        <v>9246.3334408164519</v>
      </c>
      <c r="F85" s="120">
        <v>3</v>
      </c>
      <c r="G85" s="120">
        <v>1.3</v>
      </c>
      <c r="H85" s="121">
        <f>(F85-G85)</f>
        <v>1.7</v>
      </c>
      <c r="I85" s="79">
        <f>(T85)</f>
        <v>1240.6304856125662</v>
      </c>
      <c r="J85" s="122">
        <v>56</v>
      </c>
      <c r="K85" s="123">
        <v>3500</v>
      </c>
      <c r="L85" s="122">
        <v>0</v>
      </c>
      <c r="M85" s="221">
        <f>'2021 T0'!C313</f>
        <v>588</v>
      </c>
      <c r="N85" s="222">
        <f>'2021 T0'!$C$17</f>
        <v>57000</v>
      </c>
      <c r="O85" s="222">
        <f>+ABS('2021 T0'!$C$18)</f>
        <v>0</v>
      </c>
      <c r="P85" s="122">
        <v>0</v>
      </c>
      <c r="Q85" s="113">
        <f>IF((D85-W85)&gt;157600,157600,(D85-W85))</f>
        <v>137694.07448065898</v>
      </c>
      <c r="R85" s="88">
        <f>D85-Q85</f>
        <v>589070.93433687778</v>
      </c>
      <c r="T85" s="79">
        <f>(E83*H85/12)</f>
        <v>1240.6304856125662</v>
      </c>
      <c r="U85" s="79">
        <f>(T85*(R83/D83))</f>
        <v>989.65715172613602</v>
      </c>
      <c r="V85" s="122">
        <v>0</v>
      </c>
      <c r="W85" s="79">
        <f>($R83+$N85-$O85-$P85+$M85-$U85)</f>
        <v>589070.93433687778</v>
      </c>
      <c r="X85" s="771">
        <f>'2021 T0 (2020 FC)'!D$323*60*60*24/43560*'2021 T0 (2020 FC)'!D$10+'2021 T0 (2020 FC)'!D$225+'2021 T0 (2020 FC)'!D$324</f>
        <v>90552.851514734764</v>
      </c>
      <c r="Y85" s="771">
        <f>X85+X87</f>
        <v>227592.74583963692</v>
      </c>
      <c r="Z85" s="771">
        <f>X85+X87+X89</f>
        <v>369948.85122716648</v>
      </c>
      <c r="AA85" s="775"/>
    </row>
    <row r="86" spans="1:28" x14ac:dyDescent="0.25">
      <c r="A86" s="87"/>
      <c r="B86" s="118"/>
      <c r="C86" s="79" t="s">
        <v>852</v>
      </c>
      <c r="D86" s="79" t="s">
        <v>852</v>
      </c>
      <c r="E86" s="119" t="s">
        <v>852</v>
      </c>
      <c r="F86" s="120"/>
      <c r="G86" s="120"/>
      <c r="H86" s="121" t="s">
        <v>852</v>
      </c>
      <c r="J86" s="122"/>
      <c r="K86" s="123"/>
      <c r="L86" s="122"/>
      <c r="M86" s="223" t="s">
        <v>2591</v>
      </c>
      <c r="N86" s="222"/>
      <c r="O86" s="222"/>
      <c r="P86" s="122"/>
      <c r="Q86" s="113"/>
      <c r="R86" s="88"/>
      <c r="V86" s="122"/>
      <c r="X86" s="773">
        <f>W85-X85</f>
        <v>498518.08282214298</v>
      </c>
      <c r="Y86" s="773">
        <f>W85-Y85</f>
        <v>361478.18849724089</v>
      </c>
      <c r="Z86" s="773">
        <f>W85-Z85</f>
        <v>219122.0831097113</v>
      </c>
      <c r="AA86" s="776" t="s">
        <v>706</v>
      </c>
    </row>
    <row r="87" spans="1:28" x14ac:dyDescent="0.25">
      <c r="A87" s="87" t="s">
        <v>542</v>
      </c>
      <c r="B87" s="118">
        <f>+LookupElev(C87)</f>
        <v>1696.1335207516547</v>
      </c>
      <c r="C87" s="79">
        <f>(C85+K87+N87)-(T87+O87+P87+V87)</f>
        <v>792646.84489192441</v>
      </c>
      <c r="D87" s="79">
        <f>(C87-37841)</f>
        <v>754805.84489192441</v>
      </c>
      <c r="E87" s="119">
        <f>+LookupArea(B87)</f>
        <v>9477.5481393826267</v>
      </c>
      <c r="F87" s="120">
        <v>5</v>
      </c>
      <c r="G87" s="120">
        <v>0.9</v>
      </c>
      <c r="H87" s="121">
        <f>(F87-G87)</f>
        <v>4.0999999999999996</v>
      </c>
      <c r="I87" s="79">
        <f>(T87)</f>
        <v>3159.1639256122876</v>
      </c>
      <c r="J87" s="122">
        <v>62</v>
      </c>
      <c r="K87" s="123">
        <v>2200</v>
      </c>
      <c r="L87" s="122">
        <v>0</v>
      </c>
      <c r="M87" s="221">
        <f>'2021 T0'!D313</f>
        <v>235</v>
      </c>
      <c r="N87" s="222">
        <f>+'2021 T0'!$D$17</f>
        <v>29000</v>
      </c>
      <c r="O87" s="222">
        <f>+ABS('2021 T0'!$D$18)</f>
        <v>0</v>
      </c>
      <c r="P87" s="122">
        <v>0</v>
      </c>
      <c r="Q87" s="113">
        <f>IF((D87-W87)&gt;157600,157600,(D87-W87))</f>
        <v>139060.53417176649</v>
      </c>
      <c r="R87" s="88">
        <f>D87-Q87</f>
        <v>615745.31072015793</v>
      </c>
      <c r="T87" s="79">
        <f>(E85*H87/12)</f>
        <v>3159.1639256122876</v>
      </c>
      <c r="U87" s="79">
        <f>(T87*(R85/D85))</f>
        <v>2560.6236167198422</v>
      </c>
      <c r="V87" s="122">
        <v>0</v>
      </c>
      <c r="W87" s="79">
        <f>($R85+$N87-$O87-$P87+$M87-$U87)</f>
        <v>615745.31072015793</v>
      </c>
      <c r="X87" s="770">
        <f>'2021 T0 (2020 FC)'!F$323*60*60*24/43560*'2021 T0 (2020 FC)'!F$10+'2021 T0 (2020 FC)'!F$225+'2021 T0 (2020 FC)'!F$324</f>
        <v>137039.89432490215</v>
      </c>
      <c r="Y87" s="770">
        <f>X87+X89</f>
        <v>279395.99971243169</v>
      </c>
      <c r="Z87" s="770">
        <f>X87+X89+X91</f>
        <v>466488.73099861218</v>
      </c>
    </row>
    <row r="88" spans="1:28" x14ac:dyDescent="0.25">
      <c r="A88" s="87"/>
      <c r="B88" s="118"/>
      <c r="C88" s="79" t="s">
        <v>852</v>
      </c>
      <c r="D88" s="79" t="s">
        <v>852</v>
      </c>
      <c r="E88" s="119" t="s">
        <v>852</v>
      </c>
      <c r="F88" s="120"/>
      <c r="G88" s="120"/>
      <c r="H88" s="121" t="s">
        <v>852</v>
      </c>
      <c r="J88" s="122"/>
      <c r="K88" s="123"/>
      <c r="L88" s="122"/>
      <c r="M88" s="223"/>
      <c r="N88" s="222"/>
      <c r="O88" s="222"/>
      <c r="P88" s="122"/>
      <c r="Q88" s="113"/>
      <c r="R88" s="88"/>
      <c r="V88" s="122"/>
      <c r="X88" s="772">
        <f>W87-X87</f>
        <v>478705.41639525577</v>
      </c>
      <c r="Y88" s="772">
        <f>W87-Y87</f>
        <v>336349.31100772624</v>
      </c>
      <c r="Z88" s="772">
        <f>W87-Z87</f>
        <v>149256.57972154574</v>
      </c>
      <c r="AA88" s="698" t="s">
        <v>707</v>
      </c>
    </row>
    <row r="89" spans="1:28" x14ac:dyDescent="0.25">
      <c r="A89" s="87" t="s">
        <v>543</v>
      </c>
      <c r="B89" s="118">
        <f>+LookupElev(C89)</f>
        <v>1694.6692864298</v>
      </c>
      <c r="C89" s="79">
        <f>(C87+K89+N89)-(T89+O89+P89+V89)</f>
        <v>778855.21384743578</v>
      </c>
      <c r="D89" s="79">
        <f>(C89-37841)</f>
        <v>741014.21384743578</v>
      </c>
      <c r="E89" s="119">
        <f>+LookupArea(B89)</f>
        <v>9361.8657686665247</v>
      </c>
      <c r="F89" s="120">
        <v>7</v>
      </c>
      <c r="G89" s="120">
        <v>0.3</v>
      </c>
      <c r="H89" s="121">
        <f>(F89-G89)</f>
        <v>6.7</v>
      </c>
      <c r="I89" s="79">
        <f>(T89)</f>
        <v>5291.631044488634</v>
      </c>
      <c r="J89" s="122">
        <v>60</v>
      </c>
      <c r="K89" s="123">
        <v>1500</v>
      </c>
      <c r="L89" s="122">
        <v>0</v>
      </c>
      <c r="M89" s="221">
        <f>'2021 T0'!F313</f>
        <v>1652</v>
      </c>
      <c r="N89" s="222">
        <f>+'2021 T0'!$F$17</f>
        <v>0</v>
      </c>
      <c r="O89" s="222">
        <f>+ABS('2021 T0'!$F$18)</f>
        <v>10000</v>
      </c>
      <c r="P89" s="122">
        <v>0</v>
      </c>
      <c r="Q89" s="113">
        <f>IF((D89-W89)&gt;157600,157600,(D89-W89))</f>
        <v>137933.63838278141</v>
      </c>
      <c r="R89" s="88">
        <f>D89-Q89</f>
        <v>603080.57546465436</v>
      </c>
      <c r="T89" s="79">
        <f>(E87*H89/12)</f>
        <v>5291.631044488634</v>
      </c>
      <c r="U89" s="79">
        <f>(T89*(R87/D87))</f>
        <v>4316.735255503515</v>
      </c>
      <c r="V89" s="122">
        <v>0</v>
      </c>
      <c r="W89" s="79">
        <f>($R87+$N89-$O89-$P89+$M89-$U89)</f>
        <v>603080.57546465436</v>
      </c>
      <c r="X89" s="771">
        <f>'2021 T0 (2020 FC)'!G$323*60*60*24/43560*'2021 T0 (2020 FC)'!G$10+'2021 T0 (2020 FC)'!G$225+'2021 T0 (2020 FC)'!G$324</f>
        <v>142356.10538752953</v>
      </c>
      <c r="Y89" s="771">
        <f>X89+X91</f>
        <v>329448.83667371003</v>
      </c>
      <c r="Z89" s="771">
        <f>X89+X91+X93</f>
        <v>481526.2154761756</v>
      </c>
      <c r="AA89" s="775"/>
    </row>
    <row r="90" spans="1:28" x14ac:dyDescent="0.25">
      <c r="A90" s="87"/>
      <c r="B90" s="118"/>
      <c r="C90" s="79" t="s">
        <v>852</v>
      </c>
      <c r="D90" s="79" t="s">
        <v>852</v>
      </c>
      <c r="E90" s="119" t="s">
        <v>852</v>
      </c>
      <c r="F90" s="120"/>
      <c r="G90" s="120"/>
      <c r="H90" s="121" t="s">
        <v>852</v>
      </c>
      <c r="J90" s="122"/>
      <c r="K90" s="123"/>
      <c r="L90" s="122"/>
      <c r="M90" s="223"/>
      <c r="N90" s="222"/>
      <c r="O90" s="222"/>
      <c r="P90" s="122"/>
      <c r="Q90" s="113"/>
      <c r="R90" s="88"/>
      <c r="V90" s="122"/>
      <c r="X90" s="773">
        <f>W89-X89</f>
        <v>460724.47007712483</v>
      </c>
      <c r="Y90" s="773">
        <f>W89-Y89</f>
        <v>273631.73879094434</v>
      </c>
      <c r="Z90" s="773">
        <f>W89-Z89</f>
        <v>121554.35998847877</v>
      </c>
      <c r="AA90" s="776" t="s">
        <v>1321</v>
      </c>
    </row>
    <row r="91" spans="1:28" x14ac:dyDescent="0.25">
      <c r="A91" s="87" t="s">
        <v>1757</v>
      </c>
      <c r="B91" s="118">
        <f>+LookupElev(C91)</f>
        <v>1693.8331531467943</v>
      </c>
      <c r="C91" s="79">
        <f>(C89+K91+N91)-(T91+O91+P91+V91)</f>
        <v>771053.65904021368</v>
      </c>
      <c r="D91" s="79">
        <f>(C91-37841)</f>
        <v>733212.65904021368</v>
      </c>
      <c r="E91" s="119">
        <f>+LookupArea(B91)</f>
        <v>9298.4864860112102</v>
      </c>
      <c r="F91" s="120">
        <v>10</v>
      </c>
      <c r="G91" s="120">
        <v>0</v>
      </c>
      <c r="H91" s="121">
        <f>(F91-G91)</f>
        <v>10</v>
      </c>
      <c r="I91" s="79">
        <f>(T91)</f>
        <v>7801.5548072221036</v>
      </c>
      <c r="J91" s="122">
        <v>62</v>
      </c>
      <c r="K91" s="123">
        <v>0</v>
      </c>
      <c r="L91" s="122">
        <v>0</v>
      </c>
      <c r="M91" s="221">
        <f>'2021 T0'!G313</f>
        <v>3027</v>
      </c>
      <c r="N91" s="222">
        <f>+'2021 T0'!$G$17</f>
        <v>0</v>
      </c>
      <c r="O91" s="222">
        <f>+ABS('2021 T0'!$G$18)</f>
        <v>0</v>
      </c>
      <c r="P91" s="122">
        <v>0</v>
      </c>
      <c r="Q91" s="113">
        <f>IF((D91-W91)&gt;157600,157600,(D91-W91))</f>
        <v>133454.44378314528</v>
      </c>
      <c r="R91" s="88">
        <f>D91-Q91</f>
        <v>599758.2152570684</v>
      </c>
      <c r="T91" s="79">
        <f>(E89*H91/12)</f>
        <v>7801.5548072221036</v>
      </c>
      <c r="U91" s="79">
        <f>(T91*(R89/D89))</f>
        <v>6349.3602075860208</v>
      </c>
      <c r="V91" s="122">
        <v>0</v>
      </c>
      <c r="W91" s="79">
        <f>($R89+$N91-$O91-$P91+$M91-$U91)</f>
        <v>599758.2152570684</v>
      </c>
      <c r="X91" s="770">
        <f>'2021 T0 (2020 FC)'!H$323*60*60*24/43560*'2021 T0 (2020 FC)'!H$10+'2021 T0 (2020 FC)'!H$225+'2021 T0 (2020 FC)'!H$324</f>
        <v>187092.7312861805</v>
      </c>
      <c r="Y91" s="770">
        <f>X91+X93</f>
        <v>339170.11008864606</v>
      </c>
      <c r="Z91" s="770">
        <f>X91+X93+X95</f>
        <v>477252.17640439607</v>
      </c>
    </row>
    <row r="92" spans="1:28" x14ac:dyDescent="0.25">
      <c r="A92" s="87"/>
      <c r="B92" s="118"/>
      <c r="C92" s="79" t="s">
        <v>852</v>
      </c>
      <c r="D92" s="79" t="s">
        <v>852</v>
      </c>
      <c r="E92" s="119" t="s">
        <v>852</v>
      </c>
      <c r="F92" s="120"/>
      <c r="G92" s="120"/>
      <c r="H92" s="121" t="s">
        <v>852</v>
      </c>
      <c r="J92" s="122"/>
      <c r="K92" s="123"/>
      <c r="L92" s="122"/>
      <c r="M92" s="223"/>
      <c r="N92" s="222"/>
      <c r="O92" s="222"/>
      <c r="P92" s="122"/>
      <c r="Q92" s="113"/>
      <c r="R92" s="88"/>
      <c r="V92" s="122"/>
      <c r="X92" s="772">
        <f>W91-X91</f>
        <v>412665.4839708879</v>
      </c>
      <c r="Y92" s="772">
        <f>W91-Y91</f>
        <v>260588.10516842233</v>
      </c>
      <c r="Z92" s="772">
        <f>W91-Z91</f>
        <v>122506.03885267233</v>
      </c>
      <c r="AA92" s="698" t="s">
        <v>1905</v>
      </c>
    </row>
    <row r="93" spans="1:28" x14ac:dyDescent="0.25">
      <c r="A93" s="87" t="s">
        <v>1758</v>
      </c>
      <c r="B93" s="118">
        <f>+LookupElev(C93)</f>
        <v>1679.5863747198991</v>
      </c>
      <c r="C93" s="79">
        <f>(C91+K93+N93)-(T93+O93+P93+V93)</f>
        <v>646030.04642803676</v>
      </c>
      <c r="D93" s="79">
        <f>(C93-37841)</f>
        <v>608189.04642803676</v>
      </c>
      <c r="E93" s="119">
        <f>+LookupArea(B93)</f>
        <v>8279.7688579144015</v>
      </c>
      <c r="F93" s="120">
        <v>11</v>
      </c>
      <c r="G93" s="120">
        <v>0</v>
      </c>
      <c r="H93" s="121">
        <f>(F93-G93)</f>
        <v>11</v>
      </c>
      <c r="I93" s="79">
        <f>(T93)</f>
        <v>8523.612612176943</v>
      </c>
      <c r="J93" s="122">
        <v>60</v>
      </c>
      <c r="K93" s="123">
        <v>0</v>
      </c>
      <c r="L93" s="122">
        <v>0</v>
      </c>
      <c r="M93" s="221">
        <f>'2021 T0'!H313</f>
        <v>3007</v>
      </c>
      <c r="N93" s="222">
        <f>+'2021 T0'!$H$17</f>
        <v>0</v>
      </c>
      <c r="O93" s="222">
        <f>+ABS('2021 T0'!$H$18)</f>
        <v>119000</v>
      </c>
      <c r="P93" s="122">
        <v>0</v>
      </c>
      <c r="Q93" s="113">
        <f>IF((D93-W93)&gt;157600,157600,(D93-W93))</f>
        <v>131396.03306190914</v>
      </c>
      <c r="R93" s="88">
        <f>D93-Q93</f>
        <v>476793.01336612762</v>
      </c>
      <c r="T93" s="79">
        <f>(E91*H93/12)</f>
        <v>8523.612612176943</v>
      </c>
      <c r="U93" s="79">
        <f>(T93*(R91/D91))</f>
        <v>6972.2018909407625</v>
      </c>
      <c r="V93" s="122">
        <v>-2500</v>
      </c>
      <c r="W93" s="79">
        <f>($R91+$N93-$O93-$P93+$M93-$U93)</f>
        <v>476793.01336612762</v>
      </c>
      <c r="X93" s="771">
        <f>'2021 T0 (2020 FC)'!J$323*60*60*24/43560*'2021 T0 (2020 FC)'!J$10+'2021 T0 (2020 FC)'!J$225+'2021 T0 (2020 FC)'!J$324</f>
        <v>152077.37880246557</v>
      </c>
      <c r="Y93" s="771">
        <f>X93+X95</f>
        <v>290159.44511821552</v>
      </c>
      <c r="Z93" s="771">
        <f>X93+X95+X97</f>
        <v>388579.13009339711</v>
      </c>
      <c r="AA93" s="775"/>
    </row>
    <row r="94" spans="1:28" x14ac:dyDescent="0.25">
      <c r="A94" s="87"/>
      <c r="B94" s="118"/>
      <c r="C94" s="79" t="s">
        <v>852</v>
      </c>
      <c r="D94" s="79" t="s">
        <v>852</v>
      </c>
      <c r="E94" s="119" t="s">
        <v>852</v>
      </c>
      <c r="F94" s="120"/>
      <c r="G94" s="120"/>
      <c r="H94" s="121" t="s">
        <v>852</v>
      </c>
      <c r="J94" s="122"/>
      <c r="K94" s="123"/>
      <c r="L94" s="122"/>
      <c r="M94" s="223"/>
      <c r="N94" s="222"/>
      <c r="O94" s="222"/>
      <c r="P94" s="122"/>
      <c r="Q94" s="113"/>
      <c r="R94" s="88"/>
      <c r="V94" s="122"/>
      <c r="X94" s="773">
        <f>W93-X93</f>
        <v>324715.63456366205</v>
      </c>
      <c r="Y94" s="773">
        <f>W93-Y93</f>
        <v>186633.5682479121</v>
      </c>
      <c r="Z94" s="773">
        <f>W93-Z93</f>
        <v>88213.883272730513</v>
      </c>
      <c r="AA94" s="776" t="s">
        <v>1906</v>
      </c>
    </row>
    <row r="95" spans="1:28" x14ac:dyDescent="0.25">
      <c r="A95" s="87" t="s">
        <v>1045</v>
      </c>
      <c r="B95" s="118">
        <f>+LookupElev(C95)</f>
        <v>1660.904762840722</v>
      </c>
      <c r="C95" s="79">
        <f>(C93+K95+N95)-(T95+O95+P95+V95)</f>
        <v>501623.24482499354</v>
      </c>
      <c r="D95" s="79">
        <f>(C95-37841)</f>
        <v>463782.24482499354</v>
      </c>
      <c r="E95" s="119">
        <f>+LookupArea(B95)</f>
        <v>7199.6667190820117</v>
      </c>
      <c r="F95" s="120">
        <v>11</v>
      </c>
      <c r="G95" s="120">
        <v>0.7</v>
      </c>
      <c r="H95" s="121">
        <f>(F95-G95)</f>
        <v>10.3</v>
      </c>
      <c r="I95" s="79">
        <f>(T95)</f>
        <v>7106.8016030431945</v>
      </c>
      <c r="J95" s="122">
        <v>62</v>
      </c>
      <c r="K95" s="123">
        <v>1200</v>
      </c>
      <c r="L95" s="122">
        <v>0</v>
      </c>
      <c r="M95" s="221">
        <f>'2021 T0'!J313</f>
        <v>1898</v>
      </c>
      <c r="N95" s="222">
        <f>+'2021 T0'!$J$17</f>
        <v>0</v>
      </c>
      <c r="O95" s="222">
        <f>+ABS('2021 T0'!$J$18)</f>
        <v>141000</v>
      </c>
      <c r="P95" s="122">
        <v>0</v>
      </c>
      <c r="Q95" s="113">
        <f>IF((D95-W95)&gt;157600,157600,(D95-W95))</f>
        <v>131662.64608991047</v>
      </c>
      <c r="R95" s="88">
        <f>D95-Q95</f>
        <v>332119.59873508307</v>
      </c>
      <c r="T95" s="79">
        <f>(E93*H95/12)</f>
        <v>7106.8016030431945</v>
      </c>
      <c r="U95" s="79">
        <f>(T95*(R93/D93))</f>
        <v>5571.4146310445403</v>
      </c>
      <c r="V95" s="122">
        <v>-2500</v>
      </c>
      <c r="W95" s="79">
        <f>($R93+$N95-$O95-$P95+$M95-$U95)</f>
        <v>332119.59873508307</v>
      </c>
      <c r="X95" s="770">
        <f>'2021 T0 (2020 FC)'!K$323*60*60*24/43560*'2021 T0 (2020 FC)'!K$10+'2021 T0 (2020 FC)'!K$225+'2021 T0 (2020 FC)'!K$324</f>
        <v>138082.06631574998</v>
      </c>
      <c r="Y95" s="770">
        <f>X95+X97</f>
        <v>236501.75129093154</v>
      </c>
      <c r="Z95" s="770">
        <f>X95+X97+X99</f>
        <v>316310.99134794506</v>
      </c>
      <c r="AB95" s="79" t="s">
        <v>1085</v>
      </c>
    </row>
    <row r="96" spans="1:28" x14ac:dyDescent="0.25">
      <c r="A96" s="87"/>
      <c r="B96" s="118"/>
      <c r="C96" s="79" t="s">
        <v>852</v>
      </c>
      <c r="D96" s="79" t="s">
        <v>852</v>
      </c>
      <c r="E96" s="119" t="s">
        <v>852</v>
      </c>
      <c r="F96" s="120"/>
      <c r="G96" s="120"/>
      <c r="H96" s="121" t="s">
        <v>852</v>
      </c>
      <c r="J96" s="122"/>
      <c r="K96" s="123"/>
      <c r="L96" s="122"/>
      <c r="M96" s="223"/>
      <c r="N96" s="222"/>
      <c r="O96" s="222"/>
      <c r="P96" s="122"/>
      <c r="Q96" s="113"/>
      <c r="R96" s="88"/>
      <c r="V96" s="122"/>
      <c r="X96" s="772">
        <f>W95-X95</f>
        <v>194037.53241933309</v>
      </c>
      <c r="Y96" s="772">
        <f>W95-Y95</f>
        <v>95617.847444151528</v>
      </c>
      <c r="Z96" s="772">
        <f>W95-Z95</f>
        <v>15808.607387138007</v>
      </c>
      <c r="AA96" s="698" t="s">
        <v>1907</v>
      </c>
    </row>
    <row r="97" spans="1:28" x14ac:dyDescent="0.25">
      <c r="A97" s="87" t="s">
        <v>1046</v>
      </c>
      <c r="B97" s="118">
        <f>+LookupElev(C97)</f>
        <v>1646.2006725314106</v>
      </c>
      <c r="C97" s="79">
        <f>(C95+K97+N97)-(T97+O97+P97+V97)</f>
        <v>401923.49478568207</v>
      </c>
      <c r="D97" s="79">
        <f>(C97-37841)</f>
        <v>364082.49478568207</v>
      </c>
      <c r="E97" s="119">
        <f>+LookupArea(B97)</f>
        <v>6382.8363166969848</v>
      </c>
      <c r="F97" s="120">
        <v>10</v>
      </c>
      <c r="G97" s="120">
        <v>1</v>
      </c>
      <c r="H97" s="121">
        <f>(F97-G97)</f>
        <v>9</v>
      </c>
      <c r="I97" s="79">
        <f>(T97)</f>
        <v>5399.7500393115088</v>
      </c>
      <c r="J97" s="122">
        <v>62</v>
      </c>
      <c r="K97" s="123">
        <v>1200</v>
      </c>
      <c r="L97" s="122">
        <v>0</v>
      </c>
      <c r="M97" s="221">
        <f>'2021 T0'!K313</f>
        <v>1984</v>
      </c>
      <c r="N97" s="222">
        <f>+'2021 T0'!$K$17</f>
        <v>0</v>
      </c>
      <c r="O97" s="222">
        <f>+ABS('2021 T0'!$K$18)</f>
        <v>98000</v>
      </c>
      <c r="P97" s="122">
        <v>0</v>
      </c>
      <c r="Q97" s="113">
        <f>IF((D97-W97)&gt;157600,157600,(D97-W97))</f>
        <v>131845.71681904519</v>
      </c>
      <c r="R97" s="88">
        <f>D97-Q97</f>
        <v>232236.77796663687</v>
      </c>
      <c r="T97" s="79">
        <f>(E95*H97/12)</f>
        <v>5399.7500393115088</v>
      </c>
      <c r="U97" s="79">
        <f>(T97*(R95/D95))</f>
        <v>3866.8207684462045</v>
      </c>
      <c r="V97" s="122">
        <v>-2500</v>
      </c>
      <c r="W97" s="79">
        <f>($R95+$N97-$O97-$P97+$M97-$U97)</f>
        <v>232236.77796663687</v>
      </c>
      <c r="X97" s="771">
        <f>'2021 T0 (2020 FC)'!L$323*60*60*24/43560*'2021 T0 (2020 FC)'!L$10+'2021 T0 (2020 FC)'!L$225+'2021 T0 (2020 FC)'!L$324</f>
        <v>98419.684975181575</v>
      </c>
      <c r="Y97" s="771">
        <f>X97+X99</f>
        <v>178228.92503219511</v>
      </c>
      <c r="Z97" s="771">
        <f>X97+X99+X101</f>
        <v>237603.36146084691</v>
      </c>
      <c r="AA97" s="775"/>
      <c r="AB97" s="79" t="s">
        <v>418</v>
      </c>
    </row>
    <row r="98" spans="1:28" x14ac:dyDescent="0.25">
      <c r="A98" s="87"/>
      <c r="B98" s="118"/>
      <c r="C98" s="79" t="s">
        <v>852</v>
      </c>
      <c r="D98" s="79" t="s">
        <v>852</v>
      </c>
      <c r="E98" s="119" t="s">
        <v>852</v>
      </c>
      <c r="F98" s="120"/>
      <c r="G98" s="120"/>
      <c r="H98" s="121" t="s">
        <v>852</v>
      </c>
      <c r="J98" s="122"/>
      <c r="K98" s="123"/>
      <c r="L98" s="122"/>
      <c r="M98" s="223"/>
      <c r="N98" s="222"/>
      <c r="O98" s="222"/>
      <c r="P98" s="122"/>
      <c r="Q98" s="113"/>
      <c r="R98" s="88"/>
      <c r="V98" s="122"/>
      <c r="X98" s="773">
        <f>W97-X97</f>
        <v>133817.09299145528</v>
      </c>
      <c r="Y98" s="773">
        <f>W97-Y97</f>
        <v>54007.852934441762</v>
      </c>
      <c r="Z98" s="773">
        <f>W97-Z97</f>
        <v>-5366.5834942100337</v>
      </c>
      <c r="AA98" s="776" t="s">
        <v>1908</v>
      </c>
    </row>
    <row r="99" spans="1:28" x14ac:dyDescent="0.25">
      <c r="A99" s="87" t="s">
        <v>1047</v>
      </c>
      <c r="B99" s="118">
        <f>+LookupElev(C99)</f>
        <v>1648.80748967049</v>
      </c>
      <c r="C99" s="79">
        <f>(C97+K99+N99)-(T99+O99+P99+V99)</f>
        <v>418740.60269302473</v>
      </c>
      <c r="D99" s="79">
        <f>(C99-37841)</f>
        <v>380899.60269302473</v>
      </c>
      <c r="E99" s="119">
        <f>+LookupArea(B99)</f>
        <v>6519.6044422073919</v>
      </c>
      <c r="F99" s="120">
        <v>8</v>
      </c>
      <c r="G99" s="120">
        <v>0.7</v>
      </c>
      <c r="H99" s="121">
        <f>(F99-G99)</f>
        <v>7.3</v>
      </c>
      <c r="I99" s="79">
        <f>(T99)</f>
        <v>3882.8920926573323</v>
      </c>
      <c r="J99" s="122">
        <v>60</v>
      </c>
      <c r="K99" s="123">
        <v>1200</v>
      </c>
      <c r="L99" s="122">
        <v>0</v>
      </c>
      <c r="M99" s="221">
        <f>'2021 T0'!L313</f>
        <v>1977</v>
      </c>
      <c r="N99" s="222">
        <f>+'2021 T0'!$L$17</f>
        <v>17000</v>
      </c>
      <c r="O99" s="222">
        <f>+ABS('2021 T0'!$L$18)</f>
        <v>0</v>
      </c>
      <c r="P99" s="122">
        <v>0</v>
      </c>
      <c r="Q99" s="113">
        <f>IF((D99-W99)&gt;157600,157600,(D99-W99))</f>
        <v>132162.59952799344</v>
      </c>
      <c r="R99" s="88">
        <f>D99-Q99</f>
        <v>248737.00316503129</v>
      </c>
      <c r="T99" s="79">
        <f>(E97*H99/12)</f>
        <v>3882.8920926573323</v>
      </c>
      <c r="U99" s="79">
        <f>(T99*(R97/D97))</f>
        <v>2476.7748016055762</v>
      </c>
      <c r="V99" s="122">
        <v>-2500</v>
      </c>
      <c r="W99" s="79">
        <f>($R97+$N99-$O99-$P99+$M99-$U99)</f>
        <v>248737.00316503129</v>
      </c>
      <c r="X99" s="770">
        <f>'2021 T0 (2020 FC)'!N$323*60*60*24/43560*'2021 T0 (2020 FC)'!N$10+'2021 T0 (2020 FC)'!N$225+'2021 T0 (2020 FC)'!N$324</f>
        <v>79809.240057013536</v>
      </c>
      <c r="Y99" s="770">
        <f>X99+X101</f>
        <v>139183.67648566535</v>
      </c>
      <c r="Z99" s="770">
        <f>X99+X101+X103</f>
        <v>184539.78522399068</v>
      </c>
    </row>
    <row r="100" spans="1:28" x14ac:dyDescent="0.25">
      <c r="A100" s="87"/>
      <c r="B100" s="118"/>
      <c r="C100" s="79" t="s">
        <v>852</v>
      </c>
      <c r="D100" s="79" t="s">
        <v>852</v>
      </c>
      <c r="E100" s="119" t="s">
        <v>852</v>
      </c>
      <c r="F100" s="120"/>
      <c r="G100" s="120"/>
      <c r="H100" s="121" t="s">
        <v>852</v>
      </c>
      <c r="J100" s="122"/>
      <c r="K100" s="123"/>
      <c r="L100" s="122"/>
      <c r="M100" s="223"/>
      <c r="N100" s="222"/>
      <c r="O100" s="222"/>
      <c r="P100" s="122"/>
      <c r="Q100" s="113"/>
      <c r="R100" s="88"/>
      <c r="V100" s="122"/>
      <c r="X100" s="772">
        <f>W99-X99</f>
        <v>168927.76310801774</v>
      </c>
      <c r="Y100" s="772">
        <f>W99-Y99</f>
        <v>109553.32667936594</v>
      </c>
      <c r="Z100" s="772">
        <f>W99-Z99</f>
        <v>64197.21794104061</v>
      </c>
      <c r="AA100" s="698" t="s">
        <v>2352</v>
      </c>
    </row>
    <row r="101" spans="1:28" x14ac:dyDescent="0.25">
      <c r="A101" s="87" t="s">
        <v>1430</v>
      </c>
      <c r="B101" s="118">
        <f>+LookupElev(C101)</f>
        <v>1657.7182601211505</v>
      </c>
      <c r="C101" s="79">
        <f>(C99+K101+N101)-(T101+O101+P101+V101)</f>
        <v>478974.87648992689</v>
      </c>
      <c r="D101" s="79">
        <f>(C101-37841)</f>
        <v>441133.87648992689</v>
      </c>
      <c r="E101" s="119">
        <f>+LookupArea(B101)</f>
        <v>7013.0956072705567</v>
      </c>
      <c r="F101" s="120">
        <v>3.5</v>
      </c>
      <c r="G101" s="120">
        <v>0.25</v>
      </c>
      <c r="H101" s="121">
        <f>(F101-G101)</f>
        <v>3.25</v>
      </c>
      <c r="I101" s="79">
        <f>(T101)</f>
        <v>1765.7262030978354</v>
      </c>
      <c r="J101" s="122">
        <v>62</v>
      </c>
      <c r="K101" s="123">
        <v>2000</v>
      </c>
      <c r="L101" s="122">
        <v>0</v>
      </c>
      <c r="M101" s="221">
        <f>'2021 T0'!N313</f>
        <v>2881</v>
      </c>
      <c r="N101" s="222">
        <f>+'2021 T0'!$N$17</f>
        <v>60000</v>
      </c>
      <c r="O101" s="222">
        <f>+ABS('2021 T0'!$N$18)</f>
        <v>0</v>
      </c>
      <c r="P101" s="122">
        <v>0</v>
      </c>
      <c r="Q101" s="113">
        <f>IF((D101-W101)&gt;157600,157600,(D101-W101))</f>
        <v>130668.93686464016</v>
      </c>
      <c r="R101" s="88">
        <f>D101-Q101</f>
        <v>310464.93962528673</v>
      </c>
      <c r="T101" s="79">
        <f>(E99*H101/12)</f>
        <v>1765.7262030978354</v>
      </c>
      <c r="U101" s="79">
        <f>(T101*(R99/D99))</f>
        <v>1153.0635397445844</v>
      </c>
      <c r="V101" s="122">
        <v>0</v>
      </c>
      <c r="W101" s="79">
        <f>($R99+$N101-$O101-$P101+$M101-$U101)</f>
        <v>310464.93962528673</v>
      </c>
      <c r="X101" s="771">
        <f>'2021 T0 (2020 FC)'!O$323*60*60*24/43560*'2021 T0 (2020 FC)'!O$10+'2021 T0 (2020 FC)'!O$225+'2021 T0 (2020 FC)'!O$324</f>
        <v>59374.43642865181</v>
      </c>
      <c r="Y101" s="771">
        <f>X101+X103</f>
        <v>104730.54516697716</v>
      </c>
      <c r="Z101" s="771">
        <f>X101+X103+X105</f>
        <v>170604.25751115888</v>
      </c>
      <c r="AA101" s="775"/>
    </row>
    <row r="102" spans="1:28" x14ac:dyDescent="0.25">
      <c r="A102" s="87"/>
      <c r="B102" s="118"/>
      <c r="C102" s="79" t="s">
        <v>852</v>
      </c>
      <c r="D102" s="79" t="s">
        <v>852</v>
      </c>
      <c r="E102" s="119" t="s">
        <v>852</v>
      </c>
      <c r="F102" s="120"/>
      <c r="G102" s="120"/>
      <c r="H102" s="121" t="s">
        <v>852</v>
      </c>
      <c r="J102" s="122"/>
      <c r="K102" s="123"/>
      <c r="L102" s="122"/>
      <c r="M102" s="223"/>
      <c r="N102" s="222"/>
      <c r="O102" s="222"/>
      <c r="P102" s="122"/>
      <c r="Q102" s="113"/>
      <c r="R102" s="88"/>
      <c r="V102" s="122" t="s">
        <v>852</v>
      </c>
      <c r="X102" s="773">
        <f>W101-X101</f>
        <v>251090.50319663493</v>
      </c>
      <c r="Y102" s="773">
        <f>W101-Y101</f>
        <v>205734.39445830957</v>
      </c>
      <c r="Z102" s="773">
        <f>W101-Z101</f>
        <v>139860.68211412785</v>
      </c>
      <c r="AA102" s="776" t="s">
        <v>2353</v>
      </c>
    </row>
    <row r="103" spans="1:28" x14ac:dyDescent="0.25">
      <c r="A103" s="87" t="s">
        <v>534</v>
      </c>
      <c r="B103" s="118">
        <f>+LookupElev(C103)</f>
        <v>1668.9037991016071</v>
      </c>
      <c r="C103" s="79">
        <f>(C101+K103+N103)-(T103+O103+P103+V103)</f>
        <v>560987.83273453347</v>
      </c>
      <c r="D103" s="79">
        <f>(C103-37841)</f>
        <v>523146.83273453347</v>
      </c>
      <c r="E103" s="119">
        <f>+LookupArea(B103)</f>
        <v>7651.2279460964255</v>
      </c>
      <c r="F103" s="120">
        <v>4</v>
      </c>
      <c r="G103" s="120">
        <v>0.6</v>
      </c>
      <c r="H103" s="121">
        <f>(F103-G103)</f>
        <v>3.4</v>
      </c>
      <c r="I103" s="79">
        <f>(T103)</f>
        <v>1987.0437553933243</v>
      </c>
      <c r="J103" s="122">
        <v>60</v>
      </c>
      <c r="K103" s="123">
        <v>2000</v>
      </c>
      <c r="L103" s="122">
        <v>0</v>
      </c>
      <c r="M103" s="221">
        <f>'2021 T0'!O313</f>
        <v>3310</v>
      </c>
      <c r="N103" s="222">
        <f>+'2021 T0'!$O$17</f>
        <v>82000</v>
      </c>
      <c r="O103" s="222">
        <f>+ABS('2021 T0'!$O$18)</f>
        <v>0</v>
      </c>
      <c r="P103" s="122">
        <v>0</v>
      </c>
      <c r="Q103" s="113">
        <f>IF((D103-W103)&gt;157600,157600,(D103-W103))</f>
        <v>128770.35161000775</v>
      </c>
      <c r="R103" s="88">
        <f>D103-Q103</f>
        <v>394376.48112452572</v>
      </c>
      <c r="T103" s="79">
        <f>(E101*H103/12)</f>
        <v>1987.0437553933243</v>
      </c>
      <c r="U103" s="79">
        <f>(T103*(R101/D101))</f>
        <v>1398.4585007610003</v>
      </c>
      <c r="V103" s="122">
        <v>0</v>
      </c>
      <c r="W103" s="79">
        <f>($R101+$N103-$O103-$P103+$M103-$U103)</f>
        <v>394376.48112452572</v>
      </c>
      <c r="X103" s="770">
        <f>'2021 T0 (2020 FC)'!P$323*60*60*24/43560*'2021 T0 (2020 FC)'!P$10+'2021 T0 (2020 FC)'!P$225+'2021 T0 (2020 FC)'!P$324</f>
        <v>45356.108738325347</v>
      </c>
      <c r="Y103" s="770">
        <f>X103+X105</f>
        <v>111229.82108250709</v>
      </c>
      <c r="Z103" s="770">
        <f>X103+X105+X107</f>
        <v>188349.29430739797</v>
      </c>
    </row>
    <row r="104" spans="1:28" x14ac:dyDescent="0.25">
      <c r="A104" s="87"/>
      <c r="B104" s="118"/>
      <c r="C104" s="79" t="s">
        <v>852</v>
      </c>
      <c r="D104" s="79" t="s">
        <v>852</v>
      </c>
      <c r="E104" s="119" t="s">
        <v>852</v>
      </c>
      <c r="F104" s="120"/>
      <c r="G104" s="120"/>
      <c r="H104" s="121" t="s">
        <v>852</v>
      </c>
      <c r="J104" s="122"/>
      <c r="K104" s="123"/>
      <c r="L104" s="122"/>
      <c r="M104" s="223"/>
      <c r="N104" s="222"/>
      <c r="O104" s="222"/>
      <c r="P104" s="122"/>
      <c r="Q104" s="113"/>
      <c r="R104" s="88"/>
      <c r="V104" s="122"/>
      <c r="X104" s="772">
        <f>W103-X103</f>
        <v>349020.37238620035</v>
      </c>
      <c r="Y104" s="772">
        <f>W103-Y103</f>
        <v>283146.66004201863</v>
      </c>
      <c r="Z104" s="772">
        <f>W103-Z103</f>
        <v>206027.18681712775</v>
      </c>
      <c r="AA104" s="698" t="s">
        <v>2354</v>
      </c>
    </row>
    <row r="105" spans="1:28" x14ac:dyDescent="0.25">
      <c r="A105" s="87" t="s">
        <v>427</v>
      </c>
      <c r="B105" s="118">
        <f>+LookupElev(C105)</f>
        <v>1675.4137510075911</v>
      </c>
      <c r="C105" s="79">
        <f>(C103+K105+N105)-(T105+O105+P105+V105)</f>
        <v>612012.62807685079</v>
      </c>
      <c r="D105" s="79">
        <f>(C105-37841)</f>
        <v>574171.62807685079</v>
      </c>
      <c r="E105" s="119">
        <f>+LookupArea(B105)</f>
        <v>8025.2388114630594</v>
      </c>
      <c r="F105" s="120">
        <v>3</v>
      </c>
      <c r="G105" s="120">
        <v>1</v>
      </c>
      <c r="H105" s="121">
        <f>(F105-G105)</f>
        <v>2</v>
      </c>
      <c r="I105" s="79">
        <f>(T105)</f>
        <v>1275.2046576827377</v>
      </c>
      <c r="J105" s="122">
        <v>62</v>
      </c>
      <c r="K105" s="123">
        <v>2300</v>
      </c>
      <c r="L105" s="122">
        <v>0</v>
      </c>
      <c r="M105" s="221">
        <f>'2021 T0'!P313</f>
        <v>941</v>
      </c>
      <c r="N105" s="222">
        <f>+'2021 T0'!$P$17</f>
        <v>50000</v>
      </c>
      <c r="O105" s="222">
        <f>+ABS('2021 T0'!$P$18)</f>
        <v>0</v>
      </c>
      <c r="P105" s="122">
        <v>0</v>
      </c>
      <c r="Q105" s="113">
        <f>IF((D105-W105)&gt;157600,157600,(D105-W105))</f>
        <v>129815.4654467557</v>
      </c>
      <c r="R105" s="88">
        <f>D105-Q105</f>
        <v>444356.16263009509</v>
      </c>
      <c r="T105" s="79">
        <f>(E103*H105/12)</f>
        <v>1275.2046576827377</v>
      </c>
      <c r="U105" s="79">
        <f>(T105*(R103/D103))</f>
        <v>961.31849443064755</v>
      </c>
      <c r="V105" s="122">
        <v>0</v>
      </c>
      <c r="W105" s="79">
        <f>($R103+$N105-$O105-$P105+$M105-$U105)</f>
        <v>444356.16263009509</v>
      </c>
      <c r="X105" s="771">
        <f>'2022 T0 (2020 FC)'!B$326*60*60*24/43560*'2022 T0 (2020 FC)'!B$10+'2022 T0 (2020 FC)'!B$228+'2022 T0 (2020 FC)'!B$327</f>
        <v>65873.712344181738</v>
      </c>
      <c r="Y105" s="771">
        <f>X105+X107</f>
        <v>142993.18556907264</v>
      </c>
      <c r="Z105" s="771">
        <f>X105+X107+X109</f>
        <v>247961.45813380677</v>
      </c>
      <c r="AA105" s="775"/>
    </row>
    <row r="106" spans="1:28" ht="13.8" thickBot="1" x14ac:dyDescent="0.3">
      <c r="A106" s="124"/>
      <c r="B106" s="125"/>
      <c r="C106" s="79" t="s">
        <v>852</v>
      </c>
      <c r="E106" s="113"/>
      <c r="F106" s="126" t="s">
        <v>852</v>
      </c>
      <c r="G106" s="126" t="s">
        <v>852</v>
      </c>
      <c r="H106" s="121" t="s">
        <v>852</v>
      </c>
      <c r="I106" s="79" t="s">
        <v>852</v>
      </c>
      <c r="K106" s="127" t="s">
        <v>852</v>
      </c>
      <c r="L106" s="128" t="s">
        <v>852</v>
      </c>
      <c r="M106" s="129"/>
      <c r="N106" s="79" t="s">
        <v>852</v>
      </c>
      <c r="O106" s="79" t="s">
        <v>852</v>
      </c>
      <c r="P106" s="79" t="s">
        <v>852</v>
      </c>
      <c r="Q106" s="113"/>
      <c r="R106" s="88"/>
      <c r="T106" s="79" t="s">
        <v>852</v>
      </c>
      <c r="U106" s="79" t="s">
        <v>852</v>
      </c>
      <c r="V106" s="79" t="s">
        <v>852</v>
      </c>
      <c r="X106" s="773">
        <f>W105-X105</f>
        <v>378482.45028591336</v>
      </c>
      <c r="Y106" s="773">
        <f>W105-Y105</f>
        <v>301362.97706102242</v>
      </c>
      <c r="Z106" s="773">
        <f>W105-Z105</f>
        <v>196394.70449628832</v>
      </c>
      <c r="AA106" s="776" t="s">
        <v>2355</v>
      </c>
    </row>
    <row r="107" spans="1:28" x14ac:dyDescent="0.25">
      <c r="A107" s="87"/>
      <c r="B107" s="116"/>
      <c r="C107" s="116"/>
      <c r="D107" s="116"/>
      <c r="E107" s="116"/>
      <c r="F107" s="116"/>
      <c r="G107" s="116"/>
      <c r="H107" s="116"/>
      <c r="I107" s="116"/>
      <c r="J107" s="116"/>
      <c r="K107" s="116"/>
      <c r="L107" s="116"/>
      <c r="M107" s="116"/>
      <c r="N107" s="116"/>
      <c r="O107" s="116"/>
      <c r="P107" s="116"/>
      <c r="Q107" s="116"/>
      <c r="R107" s="130"/>
      <c r="X107" s="770">
        <f>'2022 T0 (2020 FC)'!C$326*60*60*24/43560*'2022 T0 (2020 FC)'!C$10+'2022 T0 (2020 FC)'!C$228+'2022 T0 (2020 FC)'!C$327</f>
        <v>77119.473224890899</v>
      </c>
    </row>
    <row r="108" spans="1:28" x14ac:dyDescent="0.25">
      <c r="A108" s="87" t="s">
        <v>1687</v>
      </c>
      <c r="F108" s="79">
        <f t="shared" ref="F108:P108" si="1">SUM(F83:F105)</f>
        <v>78.5</v>
      </c>
      <c r="G108" s="79">
        <f t="shared" si="1"/>
        <v>8.1499999999999986</v>
      </c>
      <c r="H108" s="79">
        <f t="shared" si="1"/>
        <v>70.350000000000009</v>
      </c>
      <c r="I108" s="79">
        <f t="shared" si="1"/>
        <v>48540.848589815425</v>
      </c>
      <c r="J108" s="79">
        <f t="shared" si="1"/>
        <v>730</v>
      </c>
      <c r="K108" s="79">
        <f t="shared" si="1"/>
        <v>20600</v>
      </c>
      <c r="L108" s="79">
        <f t="shared" si="1"/>
        <v>0</v>
      </c>
      <c r="M108" s="79">
        <f t="shared" si="1"/>
        <v>21500</v>
      </c>
      <c r="N108" s="79">
        <f t="shared" si="1"/>
        <v>349000</v>
      </c>
      <c r="O108" s="79">
        <f t="shared" si="1"/>
        <v>368000</v>
      </c>
      <c r="P108" s="79">
        <f t="shared" si="1"/>
        <v>0</v>
      </c>
      <c r="R108" s="88"/>
      <c r="T108" s="79">
        <f>SUM(T83:T105)</f>
        <v>48540.848589815425</v>
      </c>
      <c r="U108" s="79">
        <f>SUM(U83:U105)</f>
        <v>37484.603359786168</v>
      </c>
      <c r="V108" s="79">
        <f>SUM(V83:V105)</f>
        <v>-10000</v>
      </c>
    </row>
    <row r="109" spans="1:28" ht="13.8" thickBot="1" x14ac:dyDescent="0.3">
      <c r="A109" s="131"/>
      <c r="B109" s="132"/>
      <c r="C109" s="132"/>
      <c r="D109" s="132"/>
      <c r="E109" s="132"/>
      <c r="F109" s="132"/>
      <c r="G109" s="132"/>
      <c r="H109" s="132"/>
      <c r="I109" s="132"/>
      <c r="J109" s="132"/>
      <c r="K109" s="132"/>
      <c r="L109" s="132"/>
      <c r="M109" s="132"/>
      <c r="N109" s="132"/>
      <c r="O109" s="132"/>
      <c r="P109" s="132"/>
      <c r="Q109" s="132"/>
      <c r="R109" s="133"/>
      <c r="X109" s="771">
        <f>'2022 T0 (2020 FC)'!D$326*60*60*24/43560*'2022 T0 (2020 FC)'!D$10+'2022 T0 (2020 FC)'!D$228+'2022 T0 (2020 FC)'!D$327</f>
        <v>104968.27256473413</v>
      </c>
    </row>
    <row r="110" spans="1:28" ht="13.8" thickTop="1" x14ac:dyDescent="0.25"/>
    <row r="111" spans="1:28" x14ac:dyDescent="0.25">
      <c r="A111" s="79" t="s">
        <v>1895</v>
      </c>
    </row>
    <row r="112" spans="1:28" x14ac:dyDescent="0.25">
      <c r="A112" s="79" t="s">
        <v>408</v>
      </c>
    </row>
    <row r="114" spans="1:26" x14ac:dyDescent="0.25">
      <c r="A114" s="79" t="s">
        <v>2141</v>
      </c>
    </row>
    <row r="115" spans="1:26" ht="13.8" thickBot="1" x14ac:dyDescent="0.3"/>
    <row r="116" spans="1:26" ht="13.8" thickTop="1" x14ac:dyDescent="0.25">
      <c r="A116" s="84"/>
      <c r="B116" s="85"/>
      <c r="C116" s="85"/>
      <c r="D116" s="85"/>
      <c r="E116" s="85"/>
      <c r="F116" s="85"/>
      <c r="G116" s="85"/>
      <c r="H116" s="85"/>
      <c r="I116" s="85"/>
      <c r="J116" s="85"/>
      <c r="K116" s="85"/>
      <c r="L116" s="85"/>
      <c r="M116" s="85"/>
      <c r="N116" s="85"/>
      <c r="O116" s="85"/>
      <c r="P116" s="85"/>
      <c r="Q116" s="85"/>
      <c r="R116" s="86"/>
    </row>
    <row r="117" spans="1:26" x14ac:dyDescent="0.25">
      <c r="A117" s="87"/>
      <c r="I117" s="83" t="s">
        <v>1383</v>
      </c>
      <c r="R117" s="88"/>
    </row>
    <row r="118" spans="1:26" x14ac:dyDescent="0.25">
      <c r="A118" s="87"/>
      <c r="H118" s="83"/>
      <c r="R118" s="88"/>
    </row>
    <row r="119" spans="1:26" x14ac:dyDescent="0.25">
      <c r="A119" s="87"/>
      <c r="I119" s="83" t="s">
        <v>1763</v>
      </c>
      <c r="R119" s="88"/>
    </row>
    <row r="120" spans="1:26" x14ac:dyDescent="0.25">
      <c r="A120" s="87"/>
      <c r="H120" s="83"/>
      <c r="R120" s="88"/>
    </row>
    <row r="121" spans="1:26" x14ac:dyDescent="0.25">
      <c r="A121" s="87"/>
      <c r="I121" s="163">
        <v>2022</v>
      </c>
      <c r="R121" s="88"/>
    </row>
    <row r="122" spans="1:26" ht="12.75" customHeight="1" x14ac:dyDescent="0.25">
      <c r="A122" s="87"/>
      <c r="H122" s="83"/>
      <c r="Q122" s="824" t="s">
        <v>3032</v>
      </c>
      <c r="R122" s="825"/>
    </row>
    <row r="123" spans="1:26" x14ac:dyDescent="0.25">
      <c r="A123" s="87"/>
      <c r="I123" s="83" t="s">
        <v>586</v>
      </c>
      <c r="Q123" s="824"/>
      <c r="R123" s="825"/>
    </row>
    <row r="124" spans="1:26" ht="13.8" thickBot="1" x14ac:dyDescent="0.3">
      <c r="A124" s="87"/>
      <c r="H124" s="83"/>
      <c r="Q124" s="826"/>
      <c r="R124" s="827"/>
    </row>
    <row r="125" spans="1:26" x14ac:dyDescent="0.25">
      <c r="A125" s="89"/>
      <c r="B125" s="90" t="s">
        <v>587</v>
      </c>
      <c r="C125" s="91" t="s">
        <v>587</v>
      </c>
      <c r="D125" s="91" t="s">
        <v>587</v>
      </c>
      <c r="E125" s="90" t="s">
        <v>587</v>
      </c>
      <c r="F125" s="92"/>
      <c r="G125" s="92"/>
      <c r="H125" s="93"/>
      <c r="I125" s="92"/>
      <c r="J125" s="92"/>
      <c r="K125" s="94"/>
      <c r="L125" s="92"/>
      <c r="M125" s="93"/>
      <c r="N125" s="92"/>
      <c r="O125" s="92"/>
      <c r="P125" s="92"/>
      <c r="Q125" s="90" t="s">
        <v>587</v>
      </c>
      <c r="R125" s="95" t="s">
        <v>587</v>
      </c>
      <c r="S125" s="83"/>
      <c r="W125" s="83" t="s">
        <v>587</v>
      </c>
      <c r="X125" s="83"/>
      <c r="Y125" s="83"/>
      <c r="Z125" s="83"/>
    </row>
    <row r="126" spans="1:26" x14ac:dyDescent="0.25">
      <c r="A126" s="96"/>
      <c r="B126" s="97"/>
      <c r="C126" s="98"/>
      <c r="D126" s="98"/>
      <c r="E126" s="97"/>
      <c r="F126" s="98"/>
      <c r="G126" s="98"/>
      <c r="H126" s="99"/>
      <c r="I126" s="98"/>
      <c r="J126" s="98"/>
      <c r="K126" s="100" t="s">
        <v>588</v>
      </c>
      <c r="L126" s="98"/>
      <c r="M126" s="101" t="s">
        <v>589</v>
      </c>
      <c r="N126" s="98"/>
      <c r="O126" s="98"/>
      <c r="P126" s="98"/>
      <c r="Q126" s="102" t="s">
        <v>589</v>
      </c>
      <c r="R126" s="103" t="s">
        <v>590</v>
      </c>
      <c r="S126" s="83"/>
      <c r="V126" s="83" t="s">
        <v>591</v>
      </c>
      <c r="W126" s="83" t="s">
        <v>590</v>
      </c>
      <c r="X126" s="83"/>
      <c r="Y126" s="83"/>
      <c r="Z126" s="83"/>
    </row>
    <row r="127" spans="1:26" x14ac:dyDescent="0.25">
      <c r="A127" s="96" t="s">
        <v>852</v>
      </c>
      <c r="B127" s="102" t="s">
        <v>1524</v>
      </c>
      <c r="C127" s="104" t="s">
        <v>1525</v>
      </c>
      <c r="D127" s="104" t="s">
        <v>421</v>
      </c>
      <c r="E127" s="102" t="s">
        <v>901</v>
      </c>
      <c r="F127" s="98"/>
      <c r="G127" s="98"/>
      <c r="H127" s="101" t="s">
        <v>902</v>
      </c>
      <c r="I127" s="104" t="s">
        <v>1510</v>
      </c>
      <c r="J127" s="104" t="s">
        <v>1510</v>
      </c>
      <c r="K127" s="105" t="s">
        <v>903</v>
      </c>
      <c r="L127" s="104" t="s">
        <v>589</v>
      </c>
      <c r="M127" s="101" t="s">
        <v>904</v>
      </c>
      <c r="N127" s="104" t="s">
        <v>590</v>
      </c>
      <c r="O127" s="104" t="s">
        <v>590</v>
      </c>
      <c r="P127" s="104" t="s">
        <v>905</v>
      </c>
      <c r="Q127" s="102" t="s">
        <v>906</v>
      </c>
      <c r="R127" s="103" t="s">
        <v>906</v>
      </c>
      <c r="S127" s="83"/>
      <c r="T127" s="83" t="s">
        <v>907</v>
      </c>
      <c r="U127" s="83" t="s">
        <v>590</v>
      </c>
      <c r="V127" s="83" t="s">
        <v>1826</v>
      </c>
      <c r="W127" s="83" t="s">
        <v>906</v>
      </c>
      <c r="X127" s="662" t="s">
        <v>3354</v>
      </c>
      <c r="Y127" s="83"/>
      <c r="Z127" s="83"/>
    </row>
    <row r="128" spans="1:26" x14ac:dyDescent="0.25">
      <c r="A128" s="106" t="s">
        <v>2168</v>
      </c>
      <c r="B128" s="102" t="s">
        <v>2169</v>
      </c>
      <c r="C128" s="104" t="s">
        <v>2170</v>
      </c>
      <c r="D128" s="104" t="s">
        <v>2170</v>
      </c>
      <c r="E128" s="102" t="s">
        <v>314</v>
      </c>
      <c r="F128" s="104" t="s">
        <v>2422</v>
      </c>
      <c r="G128" s="104" t="s">
        <v>2423</v>
      </c>
      <c r="H128" s="101" t="s">
        <v>2422</v>
      </c>
      <c r="I128" s="104" t="s">
        <v>2422</v>
      </c>
      <c r="J128" s="104" t="s">
        <v>591</v>
      </c>
      <c r="K128" s="105" t="s">
        <v>938</v>
      </c>
      <c r="L128" s="104" t="s">
        <v>939</v>
      </c>
      <c r="M128" s="101" t="s">
        <v>940</v>
      </c>
      <c r="N128" s="104" t="s">
        <v>941</v>
      </c>
      <c r="O128" s="104" t="s">
        <v>939</v>
      </c>
      <c r="P128" s="104" t="s">
        <v>821</v>
      </c>
      <c r="Q128" s="102" t="s">
        <v>822</v>
      </c>
      <c r="R128" s="103" t="s">
        <v>822</v>
      </c>
      <c r="S128" s="83"/>
      <c r="T128" s="83" t="s">
        <v>341</v>
      </c>
      <c r="U128" s="83" t="s">
        <v>341</v>
      </c>
      <c r="V128" s="83" t="s">
        <v>823</v>
      </c>
      <c r="W128" s="83" t="s">
        <v>822</v>
      </c>
      <c r="X128" s="662" t="s">
        <v>3351</v>
      </c>
      <c r="Y128" s="662" t="s">
        <v>3352</v>
      </c>
      <c r="Z128" s="662" t="s">
        <v>3353</v>
      </c>
    </row>
    <row r="129" spans="1:27" ht="13.8" thickBot="1" x14ac:dyDescent="0.3">
      <c r="A129" s="107"/>
      <c r="B129" s="108" t="s">
        <v>599</v>
      </c>
      <c r="C129" s="109" t="s">
        <v>930</v>
      </c>
      <c r="D129" s="109" t="s">
        <v>930</v>
      </c>
      <c r="E129" s="108" t="s">
        <v>620</v>
      </c>
      <c r="F129" s="109" t="s">
        <v>1855</v>
      </c>
      <c r="G129" s="109" t="s">
        <v>1855</v>
      </c>
      <c r="H129" s="110" t="s">
        <v>1855</v>
      </c>
      <c r="I129" s="109" t="s">
        <v>930</v>
      </c>
      <c r="J129" s="109" t="s">
        <v>930</v>
      </c>
      <c r="K129" s="111" t="s">
        <v>930</v>
      </c>
      <c r="L129" s="109" t="s">
        <v>930</v>
      </c>
      <c r="M129" s="110" t="s">
        <v>930</v>
      </c>
      <c r="N129" s="109" t="s">
        <v>930</v>
      </c>
      <c r="O129" s="109" t="s">
        <v>930</v>
      </c>
      <c r="P129" s="109" t="s">
        <v>930</v>
      </c>
      <c r="Q129" s="108" t="s">
        <v>930</v>
      </c>
      <c r="R129" s="112" t="s">
        <v>930</v>
      </c>
      <c r="S129" s="83"/>
      <c r="T129" s="83" t="s">
        <v>1856</v>
      </c>
      <c r="U129" s="83" t="s">
        <v>1856</v>
      </c>
      <c r="V129" s="83" t="s">
        <v>930</v>
      </c>
      <c r="W129" s="83" t="s">
        <v>930</v>
      </c>
      <c r="X129" s="83"/>
      <c r="Y129" s="83"/>
      <c r="Z129" s="83"/>
    </row>
    <row r="130" spans="1:27" x14ac:dyDescent="0.25">
      <c r="A130" s="87"/>
      <c r="B130" s="113"/>
      <c r="E130" s="113"/>
      <c r="H130" s="114"/>
      <c r="K130" s="115"/>
      <c r="L130" s="116"/>
      <c r="M130" s="117"/>
      <c r="Q130" s="113"/>
      <c r="R130" s="88"/>
    </row>
    <row r="131" spans="1:27" x14ac:dyDescent="0.25">
      <c r="A131" s="87" t="s">
        <v>1857</v>
      </c>
      <c r="B131" s="118">
        <f>+LookupElev(C131)</f>
        <v>1683.9090649807492</v>
      </c>
      <c r="C131" s="79">
        <f>(C105+K131+N131)-(T131+O131+P131+V131)</f>
        <v>682442.59623532242</v>
      </c>
      <c r="D131" s="79">
        <f>(C131-37841)</f>
        <v>644601.59623532242</v>
      </c>
      <c r="E131" s="119">
        <f>+LookupArea(B131)</f>
        <v>8569.8164186918148</v>
      </c>
      <c r="F131" s="120">
        <v>3</v>
      </c>
      <c r="G131" s="120">
        <v>1.4</v>
      </c>
      <c r="H131" s="121">
        <f>(F131-G131)</f>
        <v>1.6</v>
      </c>
      <c r="I131" s="79">
        <f>(T131)</f>
        <v>1070.031841528408</v>
      </c>
      <c r="J131" s="122">
        <v>62</v>
      </c>
      <c r="K131" s="123">
        <v>3500</v>
      </c>
      <c r="L131" s="122">
        <v>0</v>
      </c>
      <c r="M131" s="221">
        <f>'2022 T0 (2020 FC)'!B315</f>
        <v>470</v>
      </c>
      <c r="N131" s="222">
        <f>'2022 T0 (2020 FC)'!$B$17</f>
        <v>68000</v>
      </c>
      <c r="O131" s="222">
        <f>+ABS('2022 T0 (2020 FC)'!$B$18)</f>
        <v>0</v>
      </c>
      <c r="P131" s="122">
        <v>0</v>
      </c>
      <c r="Q131" s="113">
        <f>IF((D131-W131)&gt;157600,157600,(D131-W131))</f>
        <v>132603.54008026537</v>
      </c>
      <c r="R131" s="88">
        <f>D131-Q131</f>
        <v>511998.05615505704</v>
      </c>
      <c r="T131" s="79">
        <f>(E105*H131/12)</f>
        <v>1070.031841528408</v>
      </c>
      <c r="U131" s="79">
        <f>(T131*(R105/D105))</f>
        <v>828.10647503804694</v>
      </c>
      <c r="V131" s="122">
        <v>0</v>
      </c>
      <c r="W131" s="79">
        <f>($R105+$N131-$O131-$P131+$M131-$U131)</f>
        <v>511998.05615505704</v>
      </c>
      <c r="X131" s="770">
        <f>'2022 T0 (2020 FC)'!C$326*60*60*24/43560*'2022 T0 (2020 FC)'!$C$10+'2022 T0 (2020 FC)'!C$228+'2022 T0 (2020 FC)'!C$327</f>
        <v>77119.473224890899</v>
      </c>
      <c r="Y131" s="770">
        <f>X131+X133</f>
        <v>182087.74578962504</v>
      </c>
      <c r="Z131" s="770">
        <f>X131+X133+X135</f>
        <v>320161.88265963166</v>
      </c>
    </row>
    <row r="132" spans="1:27" x14ac:dyDescent="0.25">
      <c r="A132" s="87"/>
      <c r="B132" s="118"/>
      <c r="E132" s="119"/>
      <c r="F132" s="120"/>
      <c r="G132" s="120"/>
      <c r="H132" s="121"/>
      <c r="J132" s="122"/>
      <c r="K132" s="123"/>
      <c r="L132" s="122"/>
      <c r="M132" s="223"/>
      <c r="N132" s="222"/>
      <c r="O132" s="222"/>
      <c r="P132" s="122"/>
      <c r="Q132" s="113"/>
      <c r="R132" s="88"/>
      <c r="V132" s="122"/>
      <c r="X132" s="772">
        <f>W131-X131</f>
        <v>434878.58293016616</v>
      </c>
      <c r="Y132" s="772">
        <f>W131-Y131</f>
        <v>329910.310365432</v>
      </c>
      <c r="Z132" s="772">
        <f>W131-Z131</f>
        <v>191836.17349542538</v>
      </c>
      <c r="AA132" s="698" t="s">
        <v>1354</v>
      </c>
    </row>
    <row r="133" spans="1:27" x14ac:dyDescent="0.25">
      <c r="A133" s="87" t="s">
        <v>2049</v>
      </c>
      <c r="B133" s="118">
        <f>+LookupElev(C133)</f>
        <v>1688.9705695121313</v>
      </c>
      <c r="C133" s="79">
        <f>(C131+K133+N133)-(T133+O133+P133+V133)</f>
        <v>726728.53890934109</v>
      </c>
      <c r="D133" s="79">
        <f>(C133-37841)</f>
        <v>688887.53890934109</v>
      </c>
      <c r="E133" s="119">
        <f>+LookupArea(B133)</f>
        <v>8933.8515743868466</v>
      </c>
      <c r="F133" s="120">
        <v>3</v>
      </c>
      <c r="G133" s="120">
        <v>1.3</v>
      </c>
      <c r="H133" s="121">
        <f>(F133-G133)</f>
        <v>1.7</v>
      </c>
      <c r="I133" s="79">
        <f>(T133)</f>
        <v>1214.0573259813405</v>
      </c>
      <c r="J133" s="122">
        <v>56</v>
      </c>
      <c r="K133" s="123">
        <v>3500</v>
      </c>
      <c r="L133" s="122">
        <v>0</v>
      </c>
      <c r="M133" s="221">
        <f>+'2022 T0 (2020 FC)'!C315</f>
        <v>635</v>
      </c>
      <c r="N133" s="222">
        <f>+'2022 T0 (2020 FC)'!$C$17</f>
        <v>42000</v>
      </c>
      <c r="O133" s="222">
        <f>+ABS('2022 T0 (2020 FC)'!$C$18)</f>
        <v>0</v>
      </c>
      <c r="P133" s="122">
        <v>0</v>
      </c>
      <c r="Q133" s="113">
        <f>IF((D133-W133)&gt;157600,157600,(D133-W133))</f>
        <v>135218.79155307321</v>
      </c>
      <c r="R133" s="88">
        <f>D133-Q133</f>
        <v>553668.74735626788</v>
      </c>
      <c r="T133" s="79">
        <f>(E131*H133/12)</f>
        <v>1214.0573259813405</v>
      </c>
      <c r="U133" s="79">
        <f>(T133*(R131/D131))</f>
        <v>964.3087987891505</v>
      </c>
      <c r="V133" s="122">
        <v>0</v>
      </c>
      <c r="W133" s="79">
        <f>($R131+$N133-$O133-$P133+$M133-$U133)</f>
        <v>553668.74735626788</v>
      </c>
      <c r="X133" s="771">
        <f>'2022 T0 (2020 FC)'!D$326*60*60*24/43560*'2022 T0 (2020 FC)'!D$10+'2022 T0 (2020 FC)'!D$228+'2022 T0 (2020 FC)'!D$327</f>
        <v>104968.27256473413</v>
      </c>
      <c r="Y133" s="771">
        <f>X133+X135</f>
        <v>243042.40943474075</v>
      </c>
      <c r="Z133" s="771">
        <f>X133+X135+X137</f>
        <v>392153.11500231305</v>
      </c>
      <c r="AA133" s="775"/>
    </row>
    <row r="134" spans="1:27" x14ac:dyDescent="0.25">
      <c r="A134" s="87"/>
      <c r="B134" s="118"/>
      <c r="C134" s="79" t="s">
        <v>852</v>
      </c>
      <c r="D134" s="79" t="s">
        <v>852</v>
      </c>
      <c r="E134" s="119" t="s">
        <v>852</v>
      </c>
      <c r="F134" s="120"/>
      <c r="G134" s="120"/>
      <c r="H134" s="121" t="s">
        <v>852</v>
      </c>
      <c r="J134" s="122"/>
      <c r="K134" s="123"/>
      <c r="L134" s="122"/>
      <c r="M134" s="223" t="s">
        <v>2591</v>
      </c>
      <c r="N134" s="222"/>
      <c r="O134" s="222"/>
      <c r="P134" s="122"/>
      <c r="Q134" s="113"/>
      <c r="R134" s="88"/>
      <c r="V134" s="122"/>
      <c r="X134" s="773">
        <f>W133-X133</f>
        <v>448700.47479153378</v>
      </c>
      <c r="Y134" s="773">
        <f>W133-Y133</f>
        <v>310626.3379215271</v>
      </c>
      <c r="Z134" s="773">
        <f>W133-Z133</f>
        <v>161515.63235395483</v>
      </c>
      <c r="AA134" s="776" t="s">
        <v>706</v>
      </c>
    </row>
    <row r="135" spans="1:27" x14ac:dyDescent="0.25">
      <c r="A135" s="87" t="s">
        <v>542</v>
      </c>
      <c r="B135" s="118">
        <f>+LookupElev(C135)</f>
        <v>1692.8421717966189</v>
      </c>
      <c r="C135" s="79">
        <f>(C133+K135+N135)-(T135+O135+P135+V135)</f>
        <v>761876.13962142554</v>
      </c>
      <c r="D135" s="79">
        <f>(C135-37841)</f>
        <v>724035.13962142554</v>
      </c>
      <c r="E135" s="119">
        <f>+LookupArea(B135)</f>
        <v>9224.0050565446272</v>
      </c>
      <c r="F135" s="120">
        <v>5</v>
      </c>
      <c r="G135" s="120">
        <v>0.9</v>
      </c>
      <c r="H135" s="121">
        <f>(F135-G135)</f>
        <v>4.0999999999999996</v>
      </c>
      <c r="I135" s="79">
        <f>(T135)</f>
        <v>3052.3992879155053</v>
      </c>
      <c r="J135" s="122">
        <v>62</v>
      </c>
      <c r="K135" s="123">
        <v>2200</v>
      </c>
      <c r="L135" s="122">
        <v>0</v>
      </c>
      <c r="M135" s="221">
        <f>+'2022 T0 (2020 FC)'!D315</f>
        <v>2235</v>
      </c>
      <c r="N135" s="222">
        <f>+'2022 T0 (2020 FC)'!$D$17</f>
        <v>36000</v>
      </c>
      <c r="O135" s="222">
        <f>+ABS('2022 T0 (2020 FC)'!$D$18)</f>
        <v>0</v>
      </c>
      <c r="P135" s="122">
        <v>0</v>
      </c>
      <c r="Q135" s="113">
        <f>IF((D135-W135)&gt;157600,157600,(D135-W135))</f>
        <v>134584.6491390547</v>
      </c>
      <c r="R135" s="88">
        <f>D135-Q135</f>
        <v>589450.49048237083</v>
      </c>
      <c r="T135" s="79">
        <f>(E133*H135/12)</f>
        <v>3052.3992879155053</v>
      </c>
      <c r="U135" s="79">
        <f>(T135*(R133/D133))</f>
        <v>2453.2568738970199</v>
      </c>
      <c r="V135" s="122">
        <v>0</v>
      </c>
      <c r="W135" s="79">
        <f>($R133+$N135-$O135-$P135+$M135-$U135)</f>
        <v>589450.49048237083</v>
      </c>
      <c r="X135" s="770">
        <f>'2022 T0 (2020 FC)'!F$326*60*60*24/43560*'2022 T0 (2020 FC)'!F$10+'2022 T0 (2020 FC)'!F$228+'2022 T0 (2020 FC)'!F$327</f>
        <v>138074.13687000662</v>
      </c>
      <c r="Y135" s="770">
        <f>X135+X137</f>
        <v>287184.84243757889</v>
      </c>
      <c r="Z135" s="770">
        <f>X135+X137+X139</f>
        <v>475403.83669871592</v>
      </c>
    </row>
    <row r="136" spans="1:27" x14ac:dyDescent="0.25">
      <c r="A136" s="87"/>
      <c r="B136" s="118"/>
      <c r="C136" s="79" t="s">
        <v>852</v>
      </c>
      <c r="D136" s="79" t="s">
        <v>852</v>
      </c>
      <c r="E136" s="119" t="s">
        <v>852</v>
      </c>
      <c r="F136" s="120"/>
      <c r="G136" s="120"/>
      <c r="H136" s="121" t="s">
        <v>852</v>
      </c>
      <c r="J136" s="122"/>
      <c r="K136" s="123"/>
      <c r="L136" s="122"/>
      <c r="M136" s="223"/>
      <c r="N136" s="222"/>
      <c r="O136" s="222"/>
      <c r="P136" s="122"/>
      <c r="Q136" s="113"/>
      <c r="R136" s="88"/>
      <c r="V136" s="122"/>
      <c r="X136" s="772">
        <f>W135-X135</f>
        <v>451376.35361236421</v>
      </c>
      <c r="Y136" s="772">
        <f>W135-Y135</f>
        <v>302265.64804479195</v>
      </c>
      <c r="Z136" s="772">
        <f>W135-Z135</f>
        <v>114046.65378365491</v>
      </c>
      <c r="AA136" s="698" t="s">
        <v>707</v>
      </c>
    </row>
    <row r="137" spans="1:27" x14ac:dyDescent="0.25">
      <c r="A137" s="87" t="s">
        <v>543</v>
      </c>
      <c r="B137" s="118">
        <f>+LookupElev(C137)</f>
        <v>1692.4459653662382</v>
      </c>
      <c r="C137" s="79">
        <f>(C135+K137+N137)-(T137+O137+P137+V137)</f>
        <v>758226.07013152144</v>
      </c>
      <c r="D137" s="79">
        <f>(C137-37841)</f>
        <v>720385.07013152144</v>
      </c>
      <c r="E137" s="119">
        <f>+LookupArea(B137)</f>
        <v>9193.8933678356552</v>
      </c>
      <c r="F137" s="120">
        <v>7</v>
      </c>
      <c r="G137" s="120">
        <v>0.3</v>
      </c>
      <c r="H137" s="121">
        <f>(F137-G137)</f>
        <v>6.7</v>
      </c>
      <c r="I137" s="79">
        <f>(T137)</f>
        <v>5150.0694899040836</v>
      </c>
      <c r="J137" s="122">
        <v>60</v>
      </c>
      <c r="K137" s="123">
        <v>1500</v>
      </c>
      <c r="L137" s="122">
        <v>0</v>
      </c>
      <c r="M137" s="221">
        <f>+'2022 T0 (2020 FC)'!F315</f>
        <v>3411</v>
      </c>
      <c r="N137" s="222">
        <f>+'2022 T0 (2020 FC)'!$F$17</f>
        <v>0</v>
      </c>
      <c r="O137" s="222">
        <f>+ABS('2022 T0 (2020 FC)'!$F$18)</f>
        <v>0</v>
      </c>
      <c r="P137" s="122">
        <v>0</v>
      </c>
      <c r="Q137" s="113">
        <f>IF((D137-W137)&gt;157600,157600,(D137-W137))</f>
        <v>131716.34712785273</v>
      </c>
      <c r="R137" s="88">
        <f>D137-Q137</f>
        <v>588668.72300366871</v>
      </c>
      <c r="T137" s="79">
        <f>(E135*H137/12)</f>
        <v>5150.0694899040836</v>
      </c>
      <c r="U137" s="79">
        <f>(T137*(R135/D135))</f>
        <v>4192.7674787021115</v>
      </c>
      <c r="V137" s="122">
        <v>0</v>
      </c>
      <c r="W137" s="79">
        <f>($R135+$N137-$O137-$P137+$M137-$U137)</f>
        <v>588668.72300366871</v>
      </c>
      <c r="X137" s="771">
        <f>'2022 T0 (2020 FC)'!G$326*60*60*24/43560*'2022 T0 (2020 FC)'!G$10+'2022 T0 (2020 FC)'!G$228+'2022 T0 (2020 FC)'!G$327</f>
        <v>149110.70556757227</v>
      </c>
      <c r="Y137" s="771">
        <f>X137+X139</f>
        <v>337329.69982870924</v>
      </c>
      <c r="Z137" s="771">
        <f>X137+X139+X141</f>
        <v>491869.6592190644</v>
      </c>
      <c r="AA137" s="775"/>
    </row>
    <row r="138" spans="1:27" x14ac:dyDescent="0.25">
      <c r="A138" s="87"/>
      <c r="B138" s="118"/>
      <c r="C138" s="79" t="s">
        <v>852</v>
      </c>
      <c r="D138" s="79" t="s">
        <v>852</v>
      </c>
      <c r="E138" s="119" t="s">
        <v>852</v>
      </c>
      <c r="F138" s="120"/>
      <c r="G138" s="120"/>
      <c r="H138" s="121" t="s">
        <v>852</v>
      </c>
      <c r="J138" s="122"/>
      <c r="K138" s="123"/>
      <c r="L138" s="122"/>
      <c r="M138" s="223"/>
      <c r="N138" s="222"/>
      <c r="O138" s="222"/>
      <c r="P138" s="122"/>
      <c r="Q138" s="113"/>
      <c r="R138" s="88"/>
      <c r="V138" s="122"/>
      <c r="X138" s="773">
        <f>W137-X137</f>
        <v>439558.01743609644</v>
      </c>
      <c r="Y138" s="773">
        <f>W137-Y137</f>
        <v>251339.02317495947</v>
      </c>
      <c r="Z138" s="773">
        <f>W137-Z137</f>
        <v>96799.06378460431</v>
      </c>
      <c r="AA138" s="776" t="s">
        <v>1321</v>
      </c>
    </row>
    <row r="139" spans="1:27" x14ac:dyDescent="0.25">
      <c r="A139" s="87" t="s">
        <v>1757</v>
      </c>
      <c r="B139" s="118">
        <f>+LookupElev(C139)</f>
        <v>1691.6096578784525</v>
      </c>
      <c r="C139" s="79">
        <f>(C137+K139+N139)-(T139+O139+P139+V139)</f>
        <v>750564.49232499173</v>
      </c>
      <c r="D139" s="79">
        <f>(C139-37841)</f>
        <v>712723.49232499173</v>
      </c>
      <c r="E139" s="119">
        <f>+LookupArea(B139)</f>
        <v>9130.7243408854374</v>
      </c>
      <c r="F139" s="120">
        <v>10</v>
      </c>
      <c r="G139" s="120">
        <v>0</v>
      </c>
      <c r="H139" s="121">
        <f>(F139-G139)</f>
        <v>10</v>
      </c>
      <c r="I139" s="79">
        <f>(T139)</f>
        <v>7661.5778065297127</v>
      </c>
      <c r="J139" s="122">
        <v>62</v>
      </c>
      <c r="K139" s="123">
        <v>0</v>
      </c>
      <c r="L139" s="122">
        <v>0</v>
      </c>
      <c r="M139" s="221">
        <f>+'2022 T0 (2020 FC)'!G315</f>
        <v>3529</v>
      </c>
      <c r="N139" s="222">
        <f>+'2022 T0 (2020 FC)'!$G$17</f>
        <v>0</v>
      </c>
      <c r="O139" s="222">
        <f>+ABS('2022 T0 (2020 FC)'!$G$18)</f>
        <v>0</v>
      </c>
      <c r="P139" s="122">
        <v>0</v>
      </c>
      <c r="Q139" s="113">
        <f>IF((D139-W139)&gt;157600,157600,(D139-W139))</f>
        <v>126786.49210773455</v>
      </c>
      <c r="R139" s="88">
        <f>D139-Q139</f>
        <v>585937.00021725718</v>
      </c>
      <c r="T139" s="79">
        <f>(E137*H139/12)</f>
        <v>7661.5778065297127</v>
      </c>
      <c r="U139" s="79">
        <f>(T139*(R137/D137))</f>
        <v>6260.7227864115448</v>
      </c>
      <c r="V139" s="122">
        <v>0</v>
      </c>
      <c r="W139" s="79">
        <f>($R137+$N139-$O139-$P139+$M139-$U139)</f>
        <v>585937.00021725718</v>
      </c>
      <c r="X139" s="770">
        <f>'2022 T0 (2020 FC)'!H$326*60*60*24/43560*'2022 T0 (2020 FC)'!H$10+'2022 T0 (2020 FC)'!H$228+'2022 T0 (2020 FC)'!H$327</f>
        <v>188218.99426113701</v>
      </c>
      <c r="Y139" s="770">
        <f>X139+X141</f>
        <v>342758.95365149219</v>
      </c>
      <c r="Z139" s="770">
        <f>X139+X141+X143</f>
        <v>483249.58796464151</v>
      </c>
    </row>
    <row r="140" spans="1:27" x14ac:dyDescent="0.25">
      <c r="A140" s="87"/>
      <c r="B140" s="118"/>
      <c r="C140" s="79" t="s">
        <v>852</v>
      </c>
      <c r="D140" s="79" t="s">
        <v>852</v>
      </c>
      <c r="E140" s="119" t="s">
        <v>852</v>
      </c>
      <c r="F140" s="120"/>
      <c r="G140" s="120"/>
      <c r="H140" s="121" t="s">
        <v>852</v>
      </c>
      <c r="J140" s="122"/>
      <c r="K140" s="123"/>
      <c r="L140" s="122"/>
      <c r="M140" s="223"/>
      <c r="N140" s="222"/>
      <c r="O140" s="222"/>
      <c r="P140" s="122"/>
      <c r="Q140" s="113"/>
      <c r="R140" s="88"/>
      <c r="V140" s="122"/>
      <c r="X140" s="772">
        <f>W139-X139</f>
        <v>397718.00595612021</v>
      </c>
      <c r="Y140" s="772">
        <f>W139-Y139</f>
        <v>243178.04656576499</v>
      </c>
      <c r="Z140" s="772">
        <f>W139-Z139</f>
        <v>102687.41225261567</v>
      </c>
      <c r="AA140" s="698" t="s">
        <v>1905</v>
      </c>
    </row>
    <row r="141" spans="1:27" x14ac:dyDescent="0.25">
      <c r="A141" s="87" t="s">
        <v>1758</v>
      </c>
      <c r="B141" s="118">
        <f>+LookupElev(C141)</f>
        <v>1677.8437391869641</v>
      </c>
      <c r="C141" s="79">
        <f>(C139+K141+N141)-(T141+O141+P141+V141)</f>
        <v>631694.66167918011</v>
      </c>
      <c r="D141" s="79">
        <f>(C141-37841)</f>
        <v>593853.66167918011</v>
      </c>
      <c r="E141" s="119">
        <f>+LookupArea(B141)</f>
        <v>8173.4680904052511</v>
      </c>
      <c r="F141" s="120">
        <v>11</v>
      </c>
      <c r="G141" s="120">
        <v>0</v>
      </c>
      <c r="H141" s="121">
        <f>(F141-G141)</f>
        <v>11</v>
      </c>
      <c r="I141" s="79">
        <f>(T141)</f>
        <v>8369.8306458116513</v>
      </c>
      <c r="J141" s="122">
        <v>60</v>
      </c>
      <c r="K141" s="123">
        <v>0</v>
      </c>
      <c r="L141" s="122">
        <v>0</v>
      </c>
      <c r="M141" s="221">
        <f>+'2022 T0 (2020 FC)'!H315</f>
        <v>2765</v>
      </c>
      <c r="N141" s="222">
        <f>+'2022 T0 (2020 FC)'!$H$17</f>
        <v>0</v>
      </c>
      <c r="O141" s="222">
        <f>+ABS('2022 T0 (2020 FC)'!$H$18)</f>
        <v>113000</v>
      </c>
      <c r="P141" s="122">
        <v>0</v>
      </c>
      <c r="Q141" s="113">
        <f>IF((D141-W141)&gt;157600,157600,(D141-W141))</f>
        <v>125032.58164169034</v>
      </c>
      <c r="R141" s="88">
        <f>D141-Q141</f>
        <v>468821.08003748977</v>
      </c>
      <c r="T141" s="79">
        <f>(E139*H141/12)</f>
        <v>8369.8306458116513</v>
      </c>
      <c r="U141" s="79">
        <f>(T141*(R139/D139))</f>
        <v>6880.9201797674223</v>
      </c>
      <c r="V141" s="122">
        <v>-2500</v>
      </c>
      <c r="W141" s="79">
        <f>($R139+$N141-$O141-$P141+$M141-$U141)</f>
        <v>468821.08003748977</v>
      </c>
      <c r="X141" s="771">
        <f>'2022 T0 (2020 FC)'!J$326*60*60*24/43560*'2022 T0 (2020 FC)'!J$10+'2022 T0 (2020 FC)'!J$228+'2022 T0 (2020 FC)'!J$327</f>
        <v>154539.95939035519</v>
      </c>
      <c r="Y141" s="771">
        <f>X141+X143</f>
        <v>295030.59370350454</v>
      </c>
      <c r="Z141" s="771">
        <f>X141+X143+X145</f>
        <v>399613.73893799772</v>
      </c>
      <c r="AA141" s="775"/>
    </row>
    <row r="142" spans="1:27" x14ac:dyDescent="0.25">
      <c r="A142" s="87"/>
      <c r="B142" s="118"/>
      <c r="C142" s="79" t="s">
        <v>852</v>
      </c>
      <c r="D142" s="79" t="s">
        <v>852</v>
      </c>
      <c r="E142" s="119" t="s">
        <v>852</v>
      </c>
      <c r="F142" s="120"/>
      <c r="G142" s="120"/>
      <c r="H142" s="121" t="s">
        <v>852</v>
      </c>
      <c r="J142" s="122"/>
      <c r="K142" s="123"/>
      <c r="L142" s="122"/>
      <c r="M142" s="223"/>
      <c r="N142" s="222"/>
      <c r="O142" s="222"/>
      <c r="P142" s="122"/>
      <c r="Q142" s="113"/>
      <c r="R142" s="88"/>
      <c r="V142" s="122"/>
      <c r="X142" s="773">
        <f>W141-X141</f>
        <v>314281.12064713461</v>
      </c>
      <c r="Y142" s="773">
        <f>W141-Y141</f>
        <v>173790.48633398523</v>
      </c>
      <c r="Z142" s="773">
        <f>W141-Z141</f>
        <v>69207.341099492041</v>
      </c>
      <c r="AA142" s="776" t="s">
        <v>1906</v>
      </c>
    </row>
    <row r="143" spans="1:27" x14ac:dyDescent="0.25">
      <c r="A143" s="87" t="s">
        <v>1045</v>
      </c>
      <c r="B143" s="118">
        <f>+LookupElev(C143)</f>
        <v>1661.2869356564206</v>
      </c>
      <c r="C143" s="79">
        <f>(C141+K143+N143)-(T143+O143+P143+V143)</f>
        <v>504379.10156824894</v>
      </c>
      <c r="D143" s="79">
        <f>(C143-37841)</f>
        <v>466538.10156824894</v>
      </c>
      <c r="E143" s="119">
        <f>+LookupArea(B143)</f>
        <v>7220.49452544826</v>
      </c>
      <c r="F143" s="120">
        <v>11</v>
      </c>
      <c r="G143" s="120">
        <v>0.7</v>
      </c>
      <c r="H143" s="121">
        <f>(F143-G143)</f>
        <v>10.3</v>
      </c>
      <c r="I143" s="79">
        <f>(T143)</f>
        <v>7015.5601109311747</v>
      </c>
      <c r="J143" s="122">
        <v>62</v>
      </c>
      <c r="K143" s="123">
        <v>1200</v>
      </c>
      <c r="L143" s="122">
        <v>0</v>
      </c>
      <c r="M143" s="221">
        <f>+'2022 T0 (2020 FC)'!J315</f>
        <v>3117</v>
      </c>
      <c r="N143" s="222">
        <f>+'2022 T0 (2020 FC)'!$J$17</f>
        <v>0</v>
      </c>
      <c r="O143" s="222">
        <f>+ABS('2022 T0 (2020 FC)'!$J$18)</f>
        <v>124000</v>
      </c>
      <c r="P143" s="122">
        <v>0</v>
      </c>
      <c r="Q143" s="113">
        <f>IF((D143-W143)&gt;157600,157600,(D143-W143))</f>
        <v>124138.49452589842</v>
      </c>
      <c r="R143" s="88">
        <f>D143-Q143</f>
        <v>342399.60704235052</v>
      </c>
      <c r="T143" s="79">
        <f>(E141*H143/12)</f>
        <v>7015.5601109311747</v>
      </c>
      <c r="U143" s="79">
        <f>(T143*(R141/D141))</f>
        <v>5538.4729951392255</v>
      </c>
      <c r="V143" s="122">
        <v>-2500</v>
      </c>
      <c r="W143" s="79">
        <f>($R141+$N143-$O143-$P143+$M143-$U143)</f>
        <v>342399.60704235052</v>
      </c>
      <c r="X143" s="770">
        <f>'2022 T0 (2020 FC)'!K$326*60*60*24/43560*'2022 T0 (2020 FC)'!K$10+'2022 T0 (2020 FC)'!K$228+'2022 T0 (2020 FC)'!K$327</f>
        <v>140490.63431314935</v>
      </c>
      <c r="Y143" s="770">
        <f>X143+X145</f>
        <v>245073.77954764254</v>
      </c>
      <c r="Z143" s="770">
        <f>X143+X145+X147</f>
        <v>330903.44589339965</v>
      </c>
    </row>
    <row r="144" spans="1:27" x14ac:dyDescent="0.25">
      <c r="A144" s="87"/>
      <c r="B144" s="118"/>
      <c r="C144" s="79" t="s">
        <v>852</v>
      </c>
      <c r="D144" s="79" t="s">
        <v>852</v>
      </c>
      <c r="E144" s="119" t="s">
        <v>852</v>
      </c>
      <c r="F144" s="120"/>
      <c r="G144" s="120"/>
      <c r="H144" s="121" t="s">
        <v>852</v>
      </c>
      <c r="J144" s="122"/>
      <c r="K144" s="123"/>
      <c r="L144" s="122"/>
      <c r="M144" s="223"/>
      <c r="N144" s="222"/>
      <c r="O144" s="222"/>
      <c r="P144" s="122"/>
      <c r="Q144" s="113"/>
      <c r="R144" s="88"/>
      <c r="V144" s="122"/>
      <c r="X144" s="772">
        <f>W143-X143</f>
        <v>201908.97272920117</v>
      </c>
      <c r="Y144" s="772">
        <f>W143-Y143</f>
        <v>97325.827494707977</v>
      </c>
      <c r="Z144" s="772">
        <f>W143-Z143</f>
        <v>11496.161148950865</v>
      </c>
      <c r="AA144" s="698" t="s">
        <v>1907</v>
      </c>
    </row>
    <row r="145" spans="1:27" x14ac:dyDescent="0.25">
      <c r="A145" s="87" t="s">
        <v>1046</v>
      </c>
      <c r="B145" s="118">
        <f>+LookupElev(C145)</f>
        <v>1645.2159347448808</v>
      </c>
      <c r="C145" s="79">
        <f>(C143+K145+N145)-(T145+O145+P145+V145)</f>
        <v>395663.73067416274</v>
      </c>
      <c r="D145" s="79">
        <f>(C145-37841)</f>
        <v>357822.73067416274</v>
      </c>
      <c r="E145" s="119">
        <f>+LookupArea(B145)</f>
        <v>6331.2286067345331</v>
      </c>
      <c r="F145" s="120">
        <v>10</v>
      </c>
      <c r="G145" s="120">
        <v>1</v>
      </c>
      <c r="H145" s="121">
        <f>(F145-G145)</f>
        <v>9</v>
      </c>
      <c r="I145" s="79">
        <f>(T145)</f>
        <v>5415.3708940861952</v>
      </c>
      <c r="J145" s="122">
        <v>62</v>
      </c>
      <c r="K145" s="123">
        <v>1200</v>
      </c>
      <c r="L145" s="122">
        <v>0</v>
      </c>
      <c r="M145" s="221">
        <f>+'2022 T0 (2020 FC)'!K315</f>
        <v>1529</v>
      </c>
      <c r="N145" s="222">
        <f>+'2022 T0 (2020 FC)'!$K$17</f>
        <v>0</v>
      </c>
      <c r="O145" s="222">
        <f>+ABS('2022 T0 (2020 FC)'!$K$18)</f>
        <v>107000</v>
      </c>
      <c r="P145" s="122">
        <v>0</v>
      </c>
      <c r="Q145" s="113">
        <f>IF((D145-W145)&gt;157600,157600,(D145-W145))</f>
        <v>124868.54900005291</v>
      </c>
      <c r="R145" s="88">
        <f>D145-Q145</f>
        <v>232954.18167410983</v>
      </c>
      <c r="T145" s="79">
        <f>(E143*H145/12)</f>
        <v>5415.3708940861952</v>
      </c>
      <c r="U145" s="79">
        <f>(T145*(R143/D143))</f>
        <v>3974.4253682406802</v>
      </c>
      <c r="V145" s="122">
        <v>-2500</v>
      </c>
      <c r="W145" s="79">
        <f>($R143+$N145-$O145-$P145+$M145-$U145)</f>
        <v>232954.18167410983</v>
      </c>
      <c r="X145" s="771">
        <f>'2022 T0 (2020 FC)'!L$326*60*60*24/43560*'2022 T0 (2020 FC)'!L$10+'2022 T0 (2020 FC)'!L$228+'2022 T0 (2020 FC)'!L$327</f>
        <v>104583.14523449319</v>
      </c>
      <c r="Y145" s="771">
        <f>X145+X147</f>
        <v>190412.81158025027</v>
      </c>
      <c r="Z145" s="771">
        <f>X145+X147+X149</f>
        <v>254832.44339280576</v>
      </c>
      <c r="AA145" s="775"/>
    </row>
    <row r="146" spans="1:27" x14ac:dyDescent="0.25">
      <c r="A146" s="87"/>
      <c r="B146" s="118"/>
      <c r="C146" s="79" t="s">
        <v>852</v>
      </c>
      <c r="D146" s="79" t="s">
        <v>852</v>
      </c>
      <c r="E146" s="119" t="s">
        <v>852</v>
      </c>
      <c r="F146" s="120"/>
      <c r="G146" s="120"/>
      <c r="H146" s="121" t="s">
        <v>852</v>
      </c>
      <c r="J146" s="122"/>
      <c r="K146" s="123"/>
      <c r="L146" s="122"/>
      <c r="M146" s="223"/>
      <c r="N146" s="222"/>
      <c r="O146" s="222"/>
      <c r="P146" s="122"/>
      <c r="Q146" s="113"/>
      <c r="R146" s="88"/>
      <c r="V146" s="122"/>
      <c r="X146" s="773">
        <f>W145-X145</f>
        <v>128371.03643961664</v>
      </c>
      <c r="Y146" s="773">
        <f>W145-Y145</f>
        <v>42541.370093859558</v>
      </c>
      <c r="Z146" s="773">
        <f>W145-Z145</f>
        <v>-21878.261718695925</v>
      </c>
      <c r="AA146" s="776" t="s">
        <v>1908</v>
      </c>
    </row>
    <row r="147" spans="1:27" x14ac:dyDescent="0.25">
      <c r="A147" s="87" t="s">
        <v>1047</v>
      </c>
      <c r="B147" s="118">
        <f>+LookupElev(C147)</f>
        <v>1645.1920166200891</v>
      </c>
      <c r="C147" s="79">
        <f>(C145+K147+N147)-(T147+O147+P147+V147)</f>
        <v>395512.23327173258</v>
      </c>
      <c r="D147" s="79">
        <f>(C147-37841)</f>
        <v>357671.23327173258</v>
      </c>
      <c r="E147" s="119">
        <f>+LookupArea(B147)</f>
        <v>6329.984864245368</v>
      </c>
      <c r="F147" s="120">
        <v>8</v>
      </c>
      <c r="G147" s="120">
        <v>0.7</v>
      </c>
      <c r="H147" s="121">
        <f>(F147-G147)</f>
        <v>7.3</v>
      </c>
      <c r="I147" s="79">
        <f>(T147)</f>
        <v>3851.4974024301741</v>
      </c>
      <c r="J147" s="122">
        <v>60</v>
      </c>
      <c r="K147" s="123">
        <v>1200</v>
      </c>
      <c r="L147" s="122">
        <v>0</v>
      </c>
      <c r="M147" s="221">
        <f>+'2022 T0 (2020 FC)'!L315</f>
        <v>2588</v>
      </c>
      <c r="N147" s="222">
        <f>+'2022 T0 (2020 FC)'!$L$17</f>
        <v>0</v>
      </c>
      <c r="O147" s="222">
        <f>+ABS('2022 T0 (2020 FC)'!$L$18)</f>
        <v>0</v>
      </c>
      <c r="P147" s="122">
        <v>0</v>
      </c>
      <c r="Q147" s="113">
        <f>IF((D147-W147)&gt;157600,157600,(D147-W147))</f>
        <v>124636.50109339025</v>
      </c>
      <c r="R147" s="88">
        <f>D147-Q147</f>
        <v>233034.73217834232</v>
      </c>
      <c r="T147" s="79">
        <f>(E145*H147/12)</f>
        <v>3851.4974024301741</v>
      </c>
      <c r="U147" s="79">
        <f>(T147*(R145/D145))</f>
        <v>2507.4494957675047</v>
      </c>
      <c r="V147" s="122">
        <v>-2500</v>
      </c>
      <c r="W147" s="79">
        <f>($R145+$N147-$O147-$P147+$M147-$U147)</f>
        <v>233034.73217834232</v>
      </c>
      <c r="X147" s="770">
        <f>'2022 T0 (2020 FC)'!N$326*60*60*24/43560*'2022 T0 (2020 FC)'!N$10+'2022 T0 (2020 FC)'!N$228+'2022 T0 (2020 FC)'!N$327</f>
        <v>85829.666345757098</v>
      </c>
      <c r="Y147" s="770">
        <f>X147+X149</f>
        <v>150249.29815831257</v>
      </c>
      <c r="Z147" s="770">
        <f>X147+X149+X151</f>
        <v>198510.09414735995</v>
      </c>
    </row>
    <row r="148" spans="1:27" x14ac:dyDescent="0.25">
      <c r="A148" s="87"/>
      <c r="B148" s="118"/>
      <c r="C148" s="79" t="s">
        <v>852</v>
      </c>
      <c r="D148" s="79" t="s">
        <v>852</v>
      </c>
      <c r="E148" s="119" t="s">
        <v>852</v>
      </c>
      <c r="F148" s="120"/>
      <c r="G148" s="120"/>
      <c r="H148" s="121" t="s">
        <v>852</v>
      </c>
      <c r="J148" s="122"/>
      <c r="K148" s="123"/>
      <c r="L148" s="122"/>
      <c r="M148" s="223"/>
      <c r="N148" s="222"/>
      <c r="O148" s="222"/>
      <c r="P148" s="122"/>
      <c r="Q148" s="113"/>
      <c r="R148" s="88"/>
      <c r="V148" s="122"/>
      <c r="X148" s="772">
        <f>W147-X147</f>
        <v>147205.06583258521</v>
      </c>
      <c r="Y148" s="772">
        <f>W147-Y147</f>
        <v>82785.434020029759</v>
      </c>
      <c r="Z148" s="772">
        <f>W147-Z147</f>
        <v>34524.638030982373</v>
      </c>
      <c r="AA148" s="698" t="s">
        <v>2352</v>
      </c>
    </row>
    <row r="149" spans="1:27" x14ac:dyDescent="0.25">
      <c r="A149" s="87" t="s">
        <v>1430</v>
      </c>
      <c r="B149" s="118">
        <f>+LookupElev(C149)</f>
        <v>1654.6586984158639</v>
      </c>
      <c r="C149" s="79">
        <f>(C147+K149+N149)-(T149+O149+P149+V149)</f>
        <v>457797.86237099947</v>
      </c>
      <c r="D149" s="79">
        <f>(C149-37841)</f>
        <v>419956.86237099947</v>
      </c>
      <c r="E149" s="119">
        <f>+LookupArea(B149)</f>
        <v>6831.5697144578789</v>
      </c>
      <c r="F149" s="120">
        <v>3.5</v>
      </c>
      <c r="G149" s="120">
        <v>0.25</v>
      </c>
      <c r="H149" s="121">
        <f>(F149-G149)</f>
        <v>3.25</v>
      </c>
      <c r="I149" s="79">
        <f>(T149)</f>
        <v>1714.3709007331206</v>
      </c>
      <c r="J149" s="122">
        <v>62</v>
      </c>
      <c r="K149" s="123">
        <v>2000</v>
      </c>
      <c r="L149" s="122">
        <v>0</v>
      </c>
      <c r="M149" s="221">
        <f>+'2022 T0 (2020 FC)'!N315</f>
        <v>3764</v>
      </c>
      <c r="N149" s="222">
        <f>+'2022 T0 (2020 FC)'!$N$17</f>
        <v>62000</v>
      </c>
      <c r="O149" s="222">
        <f>+ABS('2022 T0 (2020 FC)'!$N$18)</f>
        <v>0</v>
      </c>
      <c r="P149" s="122">
        <v>0</v>
      </c>
      <c r="Q149" s="113">
        <f>IF((D149-W149)&gt;157600,157600,(D149-W149))</f>
        <v>122275.09998654376</v>
      </c>
      <c r="R149" s="88">
        <f>D149-Q149</f>
        <v>297681.76238445571</v>
      </c>
      <c r="T149" s="79">
        <f>(E147*H149/12)</f>
        <v>1714.3709007331206</v>
      </c>
      <c r="U149" s="79">
        <f>(T149*(R147/D147))</f>
        <v>1116.9697938865806</v>
      </c>
      <c r="V149" s="122">
        <v>0</v>
      </c>
      <c r="W149" s="79">
        <f>($R147+$N149-$O149-$P149+$M149-$U149)</f>
        <v>297681.76238445571</v>
      </c>
      <c r="X149" s="771">
        <f>'2022 T0 (2020 FC)'!O$326*60*60*24/43560*'2022 T0 (2020 FC)'!O$10+'2022 T0 (2020 FC)'!O$228+'2022 T0 (2020 FC)'!O$327</f>
        <v>64419.631812555475</v>
      </c>
      <c r="Y149" s="771">
        <f>X149+X151</f>
        <v>112680.42780160287</v>
      </c>
      <c r="Z149" s="771">
        <f>X149+X151+X153</f>
        <v>178554.14014578459</v>
      </c>
      <c r="AA149" s="775"/>
    </row>
    <row r="150" spans="1:27" x14ac:dyDescent="0.25">
      <c r="A150" s="87"/>
      <c r="B150" s="118"/>
      <c r="C150" s="79" t="s">
        <v>852</v>
      </c>
      <c r="D150" s="79" t="s">
        <v>852</v>
      </c>
      <c r="E150" s="119" t="s">
        <v>852</v>
      </c>
      <c r="F150" s="120"/>
      <c r="G150" s="120"/>
      <c r="H150" s="121" t="s">
        <v>852</v>
      </c>
      <c r="J150" s="122"/>
      <c r="K150" s="123"/>
      <c r="L150" s="122"/>
      <c r="M150" s="223"/>
      <c r="N150" s="222"/>
      <c r="O150" s="222"/>
      <c r="P150" s="122"/>
      <c r="Q150" s="113"/>
      <c r="R150" s="88"/>
      <c r="V150" s="122" t="s">
        <v>852</v>
      </c>
      <c r="X150" s="773">
        <f>W149-X149</f>
        <v>233262.13057190023</v>
      </c>
      <c r="Y150" s="773">
        <f>W149-Y149</f>
        <v>185001.33458285284</v>
      </c>
      <c r="Z150" s="773">
        <f>W149-Z149</f>
        <v>119127.62223867112</v>
      </c>
      <c r="AA150" s="776" t="s">
        <v>2353</v>
      </c>
    </row>
    <row r="151" spans="1:27" x14ac:dyDescent="0.25">
      <c r="A151" s="87" t="s">
        <v>534</v>
      </c>
      <c r="B151" s="118">
        <f>+LookupElev(C151)</f>
        <v>1666.1128936701784</v>
      </c>
      <c r="C151" s="79">
        <f>(C149+K151+N151)-(T151+O151+P151+V151)</f>
        <v>539862.25095190317</v>
      </c>
      <c r="D151" s="79">
        <f>(C151-37841)</f>
        <v>502021.25095190317</v>
      </c>
      <c r="E151" s="119">
        <f>+LookupArea(B151)</f>
        <v>7487.773620212698</v>
      </c>
      <c r="F151" s="120">
        <v>4</v>
      </c>
      <c r="G151" s="120">
        <v>0.6</v>
      </c>
      <c r="H151" s="121">
        <f>(F151-G151)</f>
        <v>3.4</v>
      </c>
      <c r="I151" s="79">
        <f>(T151)</f>
        <v>1935.611419096399</v>
      </c>
      <c r="J151" s="122">
        <v>60</v>
      </c>
      <c r="K151" s="123">
        <v>2000</v>
      </c>
      <c r="L151" s="122">
        <v>0</v>
      </c>
      <c r="M151" s="221">
        <f>+'2022 T0 (2020 FC)'!O315</f>
        <v>941</v>
      </c>
      <c r="N151" s="222">
        <f>+'2022 T0 (2020 FC)'!$O$17</f>
        <v>82000</v>
      </c>
      <c r="O151" s="222">
        <f>+ABS('2022 T0 (2020 FC)'!$O$18)</f>
        <v>0</v>
      </c>
      <c r="P151" s="122">
        <v>0</v>
      </c>
      <c r="Q151" s="113">
        <f>IF((D151-W151)&gt;157600,157600,(D151-W151))</f>
        <v>122770.52524586959</v>
      </c>
      <c r="R151" s="88">
        <f>D151-Q151</f>
        <v>379250.72570603358</v>
      </c>
      <c r="T151" s="79">
        <f>(E149*H151/12)</f>
        <v>1935.611419096399</v>
      </c>
      <c r="U151" s="79">
        <f>(T151*(R149/D149))</f>
        <v>1372.0366784221483</v>
      </c>
      <c r="V151" s="122">
        <v>0</v>
      </c>
      <c r="W151" s="79">
        <f>($R149+$N151-$O151-$P151+$M151-$U151)</f>
        <v>379250.72570603358</v>
      </c>
      <c r="X151" s="770">
        <f>'2022 T0 (2020 FC)'!P$326*60*60*24/43560*'2022 T0 (2020 FC)'!P$10+'2022 T0 (2020 FC)'!P$228+'2022 T0 (2020 FC)'!P$327</f>
        <v>48260.795989047387</v>
      </c>
      <c r="Y151" s="770">
        <f>X151+X153</f>
        <v>114134.50833322913</v>
      </c>
      <c r="Z151" s="770">
        <f>X151+X153+X155</f>
        <v>191253.98155812002</v>
      </c>
    </row>
    <row r="152" spans="1:27" x14ac:dyDescent="0.25">
      <c r="A152" s="87"/>
      <c r="B152" s="118"/>
      <c r="C152" s="79" t="s">
        <v>852</v>
      </c>
      <c r="D152" s="79" t="s">
        <v>852</v>
      </c>
      <c r="E152" s="119" t="s">
        <v>852</v>
      </c>
      <c r="F152" s="120"/>
      <c r="G152" s="120"/>
      <c r="H152" s="121" t="s">
        <v>852</v>
      </c>
      <c r="J152" s="122"/>
      <c r="K152" s="123"/>
      <c r="L152" s="122"/>
      <c r="M152" s="223"/>
      <c r="N152" s="222"/>
      <c r="O152" s="222"/>
      <c r="P152" s="122"/>
      <c r="Q152" s="113"/>
      <c r="R152" s="88"/>
      <c r="V152" s="122"/>
      <c r="X152" s="772">
        <f>W151-X151</f>
        <v>330989.9297169862</v>
      </c>
      <c r="Y152" s="772">
        <f>W151-Y151</f>
        <v>265116.21737280447</v>
      </c>
      <c r="Z152" s="772">
        <f>W151-Z151</f>
        <v>187996.74414791356</v>
      </c>
      <c r="AA152" s="698" t="s">
        <v>2354</v>
      </c>
    </row>
    <row r="153" spans="1:27" x14ac:dyDescent="0.25">
      <c r="A153" s="87" t="s">
        <v>427</v>
      </c>
      <c r="B153" s="118">
        <f>+LookupElev(C153)</f>
        <v>1669.5462592419979</v>
      </c>
      <c r="C153" s="79">
        <f>(C151+K153+N153)-(T153+O153+P153+V153)</f>
        <v>565914.28868186777</v>
      </c>
      <c r="D153" s="79">
        <f>(C153-37841)</f>
        <v>528073.28868186777</v>
      </c>
      <c r="E153" s="119">
        <f>+LookupArea(B153)</f>
        <v>7688.6830360358754</v>
      </c>
      <c r="F153" s="120">
        <v>3</v>
      </c>
      <c r="G153" s="120">
        <v>1</v>
      </c>
      <c r="H153" s="121">
        <f>(F153-G153)</f>
        <v>2</v>
      </c>
      <c r="I153" s="79">
        <f>(T153)</f>
        <v>1247.9622700354496</v>
      </c>
      <c r="J153" s="122">
        <v>62</v>
      </c>
      <c r="K153" s="123">
        <v>2300</v>
      </c>
      <c r="L153" s="122">
        <v>0</v>
      </c>
      <c r="M153" s="221">
        <f>+'2022 T0 (2020 FC)'!P315</f>
        <v>0</v>
      </c>
      <c r="N153" s="222">
        <f>+'2022 T0 (2020 FC)'!$P$17</f>
        <v>25000</v>
      </c>
      <c r="O153" s="222">
        <f>+ABS('2022 T0 (2020 FC)'!$P$18)</f>
        <v>0</v>
      </c>
      <c r="P153" s="122">
        <v>0</v>
      </c>
      <c r="Q153" s="113">
        <f>IF((D153-W153)&gt;157600,157600,(D153-W153))</f>
        <v>124765.33301926812</v>
      </c>
      <c r="R153" s="88">
        <f>D153-Q153</f>
        <v>403307.95566259965</v>
      </c>
      <c r="T153" s="79">
        <f>(E151*H153/12)</f>
        <v>1247.9622700354496</v>
      </c>
      <c r="U153" s="79">
        <f>(T153*(R151/D151))</f>
        <v>942.77004343395322</v>
      </c>
      <c r="V153" s="122">
        <v>0</v>
      </c>
      <c r="W153" s="79">
        <f>($R151+$N153-$O153-$P153+$M153-$U153)</f>
        <v>403307.95566259965</v>
      </c>
      <c r="X153" s="771">
        <f>'2022 T0 (2020 FC)'!B$326*60*60*24/43560*'2022 T0 (2020 FC)'!B$10+'2022 T0 (2020 FC)'!B$228+'2022 T0 (2020 FC)'!B$327</f>
        <v>65873.712344181738</v>
      </c>
      <c r="Y153" s="771">
        <f>X153+X155</f>
        <v>142993.18556907264</v>
      </c>
      <c r="Z153" s="771">
        <f>X153+X155+X157</f>
        <v>247961.45813380677</v>
      </c>
      <c r="AA153" s="775"/>
    </row>
    <row r="154" spans="1:27" ht="13.8" thickBot="1" x14ac:dyDescent="0.3">
      <c r="A154" s="124"/>
      <c r="B154" s="125"/>
      <c r="C154" s="79" t="s">
        <v>852</v>
      </c>
      <c r="E154" s="113"/>
      <c r="F154" s="126" t="s">
        <v>852</v>
      </c>
      <c r="G154" s="126" t="s">
        <v>852</v>
      </c>
      <c r="H154" s="121" t="s">
        <v>852</v>
      </c>
      <c r="I154" s="79" t="s">
        <v>852</v>
      </c>
      <c r="K154" s="127" t="s">
        <v>852</v>
      </c>
      <c r="L154" s="128" t="s">
        <v>852</v>
      </c>
      <c r="M154" s="129"/>
      <c r="N154" s="79" t="s">
        <v>852</v>
      </c>
      <c r="O154" s="79" t="s">
        <v>852</v>
      </c>
      <c r="P154" s="79" t="s">
        <v>852</v>
      </c>
      <c r="Q154" s="113"/>
      <c r="R154" s="88"/>
      <c r="T154" s="79" t="s">
        <v>852</v>
      </c>
      <c r="U154" s="79" t="s">
        <v>852</v>
      </c>
      <c r="V154" s="79" t="s">
        <v>852</v>
      </c>
      <c r="X154" s="773">
        <f>W153-X153</f>
        <v>337434.24331841792</v>
      </c>
      <c r="Y154" s="773">
        <f>W153-Y153</f>
        <v>260314.77009352701</v>
      </c>
      <c r="Z154" s="773">
        <f>W153-Z153</f>
        <v>155346.49752879288</v>
      </c>
      <c r="AA154" s="776" t="s">
        <v>2355</v>
      </c>
    </row>
    <row r="155" spans="1:27" x14ac:dyDescent="0.25">
      <c r="A155" s="87"/>
      <c r="B155" s="116"/>
      <c r="C155" s="116"/>
      <c r="D155" s="116"/>
      <c r="E155" s="116"/>
      <c r="F155" s="116"/>
      <c r="G155" s="116"/>
      <c r="H155" s="116"/>
      <c r="I155" s="116"/>
      <c r="J155" s="116"/>
      <c r="K155" s="116"/>
      <c r="L155" s="116"/>
      <c r="M155" s="116"/>
      <c r="N155" s="116"/>
      <c r="O155" s="116"/>
      <c r="P155" s="116"/>
      <c r="Q155" s="116"/>
      <c r="R155" s="130"/>
      <c r="X155" s="770">
        <f>'2022 T0 (2020 FC)'!C$326*60*60*24/43560*'2022 T0 (2020 FC)'!C$10+'2022 T0 (2020 FC)'!C$228+'2022 T0 (2020 FC)'!C$327</f>
        <v>77119.473224890899</v>
      </c>
    </row>
    <row r="156" spans="1:27" x14ac:dyDescent="0.25">
      <c r="A156" s="87" t="s">
        <v>1687</v>
      </c>
      <c r="C156" s="777"/>
      <c r="F156" s="79">
        <f t="shared" ref="F156:M156" si="2">SUM(F131:F153)</f>
        <v>78.5</v>
      </c>
      <c r="G156" s="79">
        <f t="shared" si="2"/>
        <v>8.1499999999999986</v>
      </c>
      <c r="H156" s="79">
        <f t="shared" si="2"/>
        <v>70.350000000000009</v>
      </c>
      <c r="I156" s="79">
        <f t="shared" si="2"/>
        <v>47698.339394983224</v>
      </c>
      <c r="J156" s="79">
        <f t="shared" si="2"/>
        <v>730</v>
      </c>
      <c r="K156" s="79">
        <f t="shared" si="2"/>
        <v>20600</v>
      </c>
      <c r="L156" s="79">
        <f t="shared" si="2"/>
        <v>0</v>
      </c>
      <c r="M156" s="79">
        <f t="shared" si="2"/>
        <v>24984</v>
      </c>
      <c r="N156" s="79">
        <f>SUM(N131:N153)</f>
        <v>315000</v>
      </c>
      <c r="O156" s="79">
        <f>SUM(O131:O153)</f>
        <v>344000</v>
      </c>
      <c r="P156" s="79">
        <f>SUM(P131:P153)</f>
        <v>0</v>
      </c>
      <c r="R156" s="88"/>
      <c r="T156" s="79">
        <f>SUM(T131:T153)</f>
        <v>47698.339394983224</v>
      </c>
      <c r="U156" s="79">
        <f>SUM(U131:U153)</f>
        <v>37032.206967495389</v>
      </c>
      <c r="V156" s="79">
        <f>SUM(V131:V153)</f>
        <v>-10000</v>
      </c>
    </row>
    <row r="157" spans="1:27" ht="13.8" thickBot="1" x14ac:dyDescent="0.3">
      <c r="A157" s="131"/>
      <c r="B157" s="132"/>
      <c r="C157" s="132"/>
      <c r="D157" s="132"/>
      <c r="E157" s="132"/>
      <c r="F157" s="132"/>
      <c r="G157" s="132"/>
      <c r="H157" s="132"/>
      <c r="I157" s="132"/>
      <c r="J157" s="132"/>
      <c r="K157" s="132"/>
      <c r="L157" s="132"/>
      <c r="M157" s="132"/>
      <c r="N157" s="132"/>
      <c r="O157" s="132"/>
      <c r="P157" s="132"/>
      <c r="Q157" s="132"/>
      <c r="R157" s="133"/>
      <c r="X157" s="771">
        <f>'2022 T0 (2020 FC)'!D$326*60*60*24/43560*'2022 T0 (2020 FC)'!D$10+'2022 T0 (2020 FC)'!D$228+'2022 T0 (2020 FC)'!D$327</f>
        <v>104968.27256473413</v>
      </c>
    </row>
    <row r="158" spans="1:27" ht="13.8" thickTop="1" x14ac:dyDescent="0.25"/>
    <row r="159" spans="1:27" x14ac:dyDescent="0.25">
      <c r="A159" s="79" t="s">
        <v>1895</v>
      </c>
    </row>
    <row r="160" spans="1:27" x14ac:dyDescent="0.25">
      <c r="A160" s="79" t="s">
        <v>408</v>
      </c>
    </row>
    <row r="162" spans="1:1" x14ac:dyDescent="0.25">
      <c r="A162" s="79" t="s">
        <v>2141</v>
      </c>
    </row>
  </sheetData>
  <mergeCells count="3">
    <mergeCell ref="Q26:R28"/>
    <mergeCell ref="Q74:R76"/>
    <mergeCell ref="Q122:R124"/>
  </mergeCells>
  <phoneticPr fontId="0" type="noConversion"/>
  <conditionalFormatting sqref="X36">
    <cfRule type="cellIs" dxfId="99" priority="139" operator="lessThan">
      <formula>$Y$29</formula>
    </cfRule>
  </conditionalFormatting>
  <conditionalFormatting sqref="X132">
    <cfRule type="cellIs" dxfId="98" priority="24" operator="lessThan">
      <formula>$Y$29</formula>
    </cfRule>
  </conditionalFormatting>
  <conditionalFormatting sqref="Y36:Z36">
    <cfRule type="cellIs" dxfId="97" priority="119" operator="lessThan">
      <formula>$Y$29</formula>
    </cfRule>
  </conditionalFormatting>
  <conditionalFormatting sqref="X38">
    <cfRule type="cellIs" dxfId="96" priority="118" operator="lessThan">
      <formula>$Y$29</formula>
    </cfRule>
  </conditionalFormatting>
  <conditionalFormatting sqref="Y38:Z38">
    <cfRule type="cellIs" dxfId="95" priority="117" operator="lessThan">
      <formula>$Y$29</formula>
    </cfRule>
  </conditionalFormatting>
  <conditionalFormatting sqref="X40">
    <cfRule type="cellIs" dxfId="94" priority="116" operator="lessThan">
      <formula>$Y$29</formula>
    </cfRule>
  </conditionalFormatting>
  <conditionalFormatting sqref="Y40:Z40">
    <cfRule type="cellIs" dxfId="93" priority="115" operator="lessThan">
      <formula>$Y$29</formula>
    </cfRule>
  </conditionalFormatting>
  <conditionalFormatting sqref="X42">
    <cfRule type="cellIs" dxfId="92" priority="114" operator="lessThan">
      <formula>$Y$29</formula>
    </cfRule>
  </conditionalFormatting>
  <conditionalFormatting sqref="Y42:Z42">
    <cfRule type="cellIs" dxfId="91" priority="113" operator="lessThan">
      <formula>$Y$29</formula>
    </cfRule>
  </conditionalFormatting>
  <conditionalFormatting sqref="X44">
    <cfRule type="cellIs" dxfId="90" priority="112" operator="lessThan">
      <formula>$Y$29</formula>
    </cfRule>
  </conditionalFormatting>
  <conditionalFormatting sqref="Y44:Z44">
    <cfRule type="cellIs" dxfId="89" priority="111" operator="lessThan">
      <formula>$Y$29</formula>
    </cfRule>
  </conditionalFormatting>
  <conditionalFormatting sqref="X46">
    <cfRule type="cellIs" dxfId="88" priority="110" operator="lessThan">
      <formula>$Y$29</formula>
    </cfRule>
  </conditionalFormatting>
  <conditionalFormatting sqref="Y46:Z46">
    <cfRule type="cellIs" dxfId="87" priority="109" operator="lessThan">
      <formula>$Y$29</formula>
    </cfRule>
  </conditionalFormatting>
  <conditionalFormatting sqref="X48">
    <cfRule type="cellIs" dxfId="86" priority="108" operator="lessThan">
      <formula>$Y$29</formula>
    </cfRule>
  </conditionalFormatting>
  <conditionalFormatting sqref="Y48:Z48">
    <cfRule type="cellIs" dxfId="85" priority="107" operator="lessThan">
      <formula>$Y$29</formula>
    </cfRule>
  </conditionalFormatting>
  <conditionalFormatting sqref="X50">
    <cfRule type="cellIs" dxfId="84" priority="106" operator="lessThan">
      <formula>$Y$29</formula>
    </cfRule>
  </conditionalFormatting>
  <conditionalFormatting sqref="Y50:Z50">
    <cfRule type="cellIs" dxfId="83" priority="105" operator="lessThan">
      <formula>$Y$29</formula>
    </cfRule>
  </conditionalFormatting>
  <conditionalFormatting sqref="X52">
    <cfRule type="cellIs" dxfId="82" priority="104" operator="lessThan">
      <formula>$Y$29</formula>
    </cfRule>
  </conditionalFormatting>
  <conditionalFormatting sqref="Y52:Z52">
    <cfRule type="cellIs" dxfId="81" priority="103" operator="lessThan">
      <formula>$Y$29</formula>
    </cfRule>
  </conditionalFormatting>
  <conditionalFormatting sqref="X54">
    <cfRule type="cellIs" dxfId="80" priority="102" operator="lessThan">
      <formula>$Y$29</formula>
    </cfRule>
  </conditionalFormatting>
  <conditionalFormatting sqref="Y54:Z54">
    <cfRule type="cellIs" dxfId="79" priority="101" operator="lessThan">
      <formula>$Y$29</formula>
    </cfRule>
  </conditionalFormatting>
  <conditionalFormatting sqref="X56">
    <cfRule type="cellIs" dxfId="78" priority="100" operator="lessThan">
      <formula>$Y$29</formula>
    </cfRule>
  </conditionalFormatting>
  <conditionalFormatting sqref="Y56:Z56">
    <cfRule type="cellIs" dxfId="77" priority="99" operator="lessThan">
      <formula>$Y$29</formula>
    </cfRule>
  </conditionalFormatting>
  <conditionalFormatting sqref="X58">
    <cfRule type="cellIs" dxfId="76" priority="98" operator="lessThan">
      <formula>$Y$29</formula>
    </cfRule>
  </conditionalFormatting>
  <conditionalFormatting sqref="Y58:Z58">
    <cfRule type="cellIs" dxfId="75" priority="97" operator="lessThan">
      <formula>$Y$29</formula>
    </cfRule>
  </conditionalFormatting>
  <conditionalFormatting sqref="Y154:Z154">
    <cfRule type="cellIs" dxfId="74" priority="1" operator="lessThan">
      <formula>$Y$29</formula>
    </cfRule>
  </conditionalFormatting>
  <conditionalFormatting sqref="X84">
    <cfRule type="cellIs" dxfId="73" priority="48" operator="lessThan">
      <formula>$Y$29</formula>
    </cfRule>
  </conditionalFormatting>
  <conditionalFormatting sqref="Y84:Z84">
    <cfRule type="cellIs" dxfId="72" priority="47" operator="lessThan">
      <formula>$Y$29</formula>
    </cfRule>
  </conditionalFormatting>
  <conditionalFormatting sqref="X86">
    <cfRule type="cellIs" dxfId="71" priority="46" operator="lessThan">
      <formula>$Y$29</formula>
    </cfRule>
  </conditionalFormatting>
  <conditionalFormatting sqref="Y86:Z86">
    <cfRule type="cellIs" dxfId="70" priority="45" operator="lessThan">
      <formula>$Y$29</formula>
    </cfRule>
  </conditionalFormatting>
  <conditionalFormatting sqref="X88">
    <cfRule type="cellIs" dxfId="69" priority="44" operator="lessThan">
      <formula>$Y$29</formula>
    </cfRule>
  </conditionalFormatting>
  <conditionalFormatting sqref="Y88:Z88">
    <cfRule type="cellIs" dxfId="68" priority="43" operator="lessThan">
      <formula>$Y$29</formula>
    </cfRule>
  </conditionalFormatting>
  <conditionalFormatting sqref="X90">
    <cfRule type="cellIs" dxfId="67" priority="42" operator="lessThan">
      <formula>$Y$29</formula>
    </cfRule>
  </conditionalFormatting>
  <conditionalFormatting sqref="Y90:Z90">
    <cfRule type="cellIs" dxfId="66" priority="41" operator="lessThan">
      <formula>$Y$29</formula>
    </cfRule>
  </conditionalFormatting>
  <conditionalFormatting sqref="X92">
    <cfRule type="cellIs" dxfId="65" priority="40" operator="lessThan">
      <formula>$Y$29</formula>
    </cfRule>
  </conditionalFormatting>
  <conditionalFormatting sqref="Y92:Z92">
    <cfRule type="cellIs" dxfId="64" priority="39" operator="lessThan">
      <formula>$Y$29</formula>
    </cfRule>
  </conditionalFormatting>
  <conditionalFormatting sqref="X94">
    <cfRule type="cellIs" dxfId="63" priority="38" operator="lessThan">
      <formula>$Y$29</formula>
    </cfRule>
  </conditionalFormatting>
  <conditionalFormatting sqref="Y94:Z94">
    <cfRule type="cellIs" dxfId="62" priority="37" operator="lessThan">
      <formula>$Y$29</formula>
    </cfRule>
  </conditionalFormatting>
  <conditionalFormatting sqref="X96">
    <cfRule type="cellIs" dxfId="61" priority="36" operator="lessThan">
      <formula>$Y$29</formula>
    </cfRule>
  </conditionalFormatting>
  <conditionalFormatting sqref="Y96:Z96">
    <cfRule type="cellIs" dxfId="60" priority="35" operator="lessThan">
      <formula>$Y$29</formula>
    </cfRule>
  </conditionalFormatting>
  <conditionalFormatting sqref="X98">
    <cfRule type="cellIs" dxfId="59" priority="34" operator="lessThan">
      <formula>$Y$29</formula>
    </cfRule>
  </conditionalFormatting>
  <conditionalFormatting sqref="Y98:Z98">
    <cfRule type="cellIs" dxfId="58" priority="33" operator="lessThan">
      <formula>$Y$29</formula>
    </cfRule>
  </conditionalFormatting>
  <conditionalFormatting sqref="X100">
    <cfRule type="cellIs" dxfId="57" priority="32" operator="lessThan">
      <formula>$Y$29</formula>
    </cfRule>
  </conditionalFormatting>
  <conditionalFormatting sqref="Y100:Z100">
    <cfRule type="cellIs" dxfId="56" priority="31" operator="lessThan">
      <formula>$Y$29</formula>
    </cfRule>
  </conditionalFormatting>
  <conditionalFormatting sqref="X102">
    <cfRule type="cellIs" dxfId="55" priority="30" operator="lessThan">
      <formula>$Y$29</formula>
    </cfRule>
  </conditionalFormatting>
  <conditionalFormatting sqref="Y102:Z102">
    <cfRule type="cellIs" dxfId="54" priority="29" operator="lessThan">
      <formula>$Y$29</formula>
    </cfRule>
  </conditionalFormatting>
  <conditionalFormatting sqref="X104">
    <cfRule type="cellIs" dxfId="53" priority="28" operator="lessThan">
      <formula>$Y$29</formula>
    </cfRule>
  </conditionalFormatting>
  <conditionalFormatting sqref="Y104:Z104">
    <cfRule type="cellIs" dxfId="52" priority="27" operator="lessThan">
      <formula>$Y$29</formula>
    </cfRule>
  </conditionalFormatting>
  <conditionalFormatting sqref="X106">
    <cfRule type="cellIs" dxfId="51" priority="26" operator="lessThan">
      <formula>$Y$29</formula>
    </cfRule>
  </conditionalFormatting>
  <conditionalFormatting sqref="Y106:Z106">
    <cfRule type="cellIs" dxfId="50" priority="25" operator="lessThan">
      <formula>$Y$29</formula>
    </cfRule>
  </conditionalFormatting>
  <conditionalFormatting sqref="Y132:Z132">
    <cfRule type="cellIs" dxfId="49" priority="23" operator="lessThan">
      <formula>$Y$29</formula>
    </cfRule>
  </conditionalFormatting>
  <conditionalFormatting sqref="X134">
    <cfRule type="cellIs" dxfId="48" priority="22" operator="lessThan">
      <formula>$Y$29</formula>
    </cfRule>
  </conditionalFormatting>
  <conditionalFormatting sqref="Y134:Z134">
    <cfRule type="cellIs" dxfId="47" priority="21" operator="lessThan">
      <formula>$Y$29</formula>
    </cfRule>
  </conditionalFormatting>
  <conditionalFormatting sqref="X136">
    <cfRule type="cellIs" dxfId="46" priority="20" operator="lessThan">
      <formula>$Y$29</formula>
    </cfRule>
  </conditionalFormatting>
  <conditionalFormatting sqref="Y136:Z136">
    <cfRule type="cellIs" dxfId="45" priority="19" operator="lessThan">
      <formula>$Y$29</formula>
    </cfRule>
  </conditionalFormatting>
  <conditionalFormatting sqref="X138">
    <cfRule type="cellIs" dxfId="44" priority="18" operator="lessThan">
      <formula>$Y$29</formula>
    </cfRule>
  </conditionalFormatting>
  <conditionalFormatting sqref="Y138:Z138">
    <cfRule type="cellIs" dxfId="43" priority="17" operator="lessThan">
      <formula>$Y$29</formula>
    </cfRule>
  </conditionalFormatting>
  <conditionalFormatting sqref="X140">
    <cfRule type="cellIs" dxfId="42" priority="16" operator="lessThan">
      <formula>$Y$29</formula>
    </cfRule>
  </conditionalFormatting>
  <conditionalFormatting sqref="Y140:Z140">
    <cfRule type="cellIs" dxfId="41" priority="15" operator="lessThan">
      <formula>$Y$29</formula>
    </cfRule>
  </conditionalFormatting>
  <conditionalFormatting sqref="X142">
    <cfRule type="cellIs" dxfId="40" priority="14" operator="lessThan">
      <formula>$Y$29</formula>
    </cfRule>
  </conditionalFormatting>
  <conditionalFormatting sqref="Y142:Z142">
    <cfRule type="cellIs" dxfId="39" priority="13" operator="lessThan">
      <formula>$Y$29</formula>
    </cfRule>
  </conditionalFormatting>
  <conditionalFormatting sqref="X144">
    <cfRule type="cellIs" dxfId="38" priority="12" operator="lessThan">
      <formula>$Y$29</formula>
    </cfRule>
  </conditionalFormatting>
  <conditionalFormatting sqref="Y144:Z144">
    <cfRule type="cellIs" dxfId="37" priority="11" operator="lessThan">
      <formula>$Y$29</formula>
    </cfRule>
  </conditionalFormatting>
  <conditionalFormatting sqref="X146">
    <cfRule type="cellIs" dxfId="36" priority="10" operator="lessThan">
      <formula>$Y$29</formula>
    </cfRule>
  </conditionalFormatting>
  <conditionalFormatting sqref="Y146:Z146">
    <cfRule type="cellIs" dxfId="35" priority="9" operator="lessThan">
      <formula>$Y$29</formula>
    </cfRule>
  </conditionalFormatting>
  <conditionalFormatting sqref="X148">
    <cfRule type="cellIs" dxfId="34" priority="8" operator="lessThan">
      <formula>$Y$29</formula>
    </cfRule>
  </conditionalFormatting>
  <conditionalFormatting sqref="Y148:Z148">
    <cfRule type="cellIs" dxfId="33" priority="7" operator="lessThan">
      <formula>$Y$29</formula>
    </cfRule>
  </conditionalFormatting>
  <conditionalFormatting sqref="X150">
    <cfRule type="cellIs" dxfId="32" priority="6" operator="lessThan">
      <formula>$Y$29</formula>
    </cfRule>
  </conditionalFormatting>
  <conditionalFormatting sqref="Y150:Z150">
    <cfRule type="cellIs" dxfId="31" priority="5" operator="lessThan">
      <formula>$Y$29</formula>
    </cfRule>
  </conditionalFormatting>
  <conditionalFormatting sqref="X152">
    <cfRule type="cellIs" dxfId="30" priority="4" operator="lessThan">
      <formula>$Y$29</formula>
    </cfRule>
  </conditionalFormatting>
  <conditionalFormatting sqref="Y152:Z152">
    <cfRule type="cellIs" dxfId="29" priority="3" operator="lessThan">
      <formula>$Y$29</formula>
    </cfRule>
  </conditionalFormatting>
  <conditionalFormatting sqref="X154">
    <cfRule type="cellIs" dxfId="28" priority="2" operator="lessThan">
      <formula>$Y$29</formula>
    </cfRule>
  </conditionalFormatting>
  <pageMargins left="0.75" right="0.75" top="1" bottom="1" header="0.5" footer="0.5"/>
  <pageSetup paperSize="3" scale="84" orientation="landscape" r:id="rId1"/>
  <headerFooter alignWithMargins="0"/>
  <ignoredErrors>
    <ignoredError sqref="AE21" numberStoredAsText="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S119"/>
  <sheetViews>
    <sheetView topLeftCell="A56" zoomScale="80" zoomScaleNormal="80" workbookViewId="0">
      <selection activeCell="B81" sqref="B81"/>
    </sheetView>
  </sheetViews>
  <sheetFormatPr defaultRowHeight="15.6" x14ac:dyDescent="0.3"/>
  <cols>
    <col min="1" max="1" width="15.54296875" customWidth="1"/>
    <col min="2" max="10" width="9.81640625" customWidth="1"/>
    <col min="11" max="11" width="10.1796875" customWidth="1"/>
    <col min="12" max="18" width="9.81640625" customWidth="1"/>
    <col min="19" max="19" width="0" hidden="1" customWidth="1"/>
  </cols>
  <sheetData>
    <row r="1" spans="1:18" x14ac:dyDescent="0.3">
      <c r="A1" s="329" t="s">
        <v>951</v>
      </c>
      <c r="I1">
        <v>2020</v>
      </c>
      <c r="K1" s="829">
        <f ca="1">+TODAY()</f>
        <v>44881</v>
      </c>
      <c r="L1" s="829"/>
    </row>
    <row r="3" spans="1:18" x14ac:dyDescent="0.3">
      <c r="I3" t="s">
        <v>567</v>
      </c>
    </row>
    <row r="4" spans="1:18" x14ac:dyDescent="0.3">
      <c r="I4" t="str">
        <f ca="1">+"Operating Forecast Update -  "&amp;TEXT(K1,"mmmm d, yyyy")</f>
        <v>Operating Forecast Update -  November 16, 2022</v>
      </c>
    </row>
    <row r="6" spans="1:18" ht="16.2" thickBot="1" x14ac:dyDescent="0.35"/>
    <row r="7" spans="1:18" ht="16.2" thickTop="1" x14ac:dyDescent="0.3">
      <c r="A7" s="84"/>
      <c r="B7" s="85"/>
      <c r="C7" s="85"/>
      <c r="D7" s="85"/>
      <c r="E7" s="85"/>
      <c r="F7" s="85"/>
      <c r="G7" s="85"/>
      <c r="H7" s="85"/>
      <c r="I7" s="85"/>
      <c r="J7" s="85"/>
      <c r="K7" s="85"/>
      <c r="L7" s="85"/>
      <c r="M7" s="85"/>
      <c r="N7" s="85"/>
      <c r="O7" s="85"/>
      <c r="P7" s="85"/>
      <c r="Q7" s="85"/>
      <c r="R7" s="86"/>
    </row>
    <row r="8" spans="1:18" ht="17.399999999999999" x14ac:dyDescent="0.3">
      <c r="A8" s="87"/>
      <c r="B8" s="79"/>
      <c r="C8" s="79"/>
      <c r="D8" s="79"/>
      <c r="E8" s="79"/>
      <c r="F8" s="79"/>
      <c r="G8" s="79"/>
      <c r="H8" s="79"/>
      <c r="I8" s="166" t="s">
        <v>1383</v>
      </c>
      <c r="J8" s="79"/>
      <c r="K8" s="79"/>
      <c r="L8" s="79"/>
      <c r="M8" s="79"/>
      <c r="N8" s="79"/>
      <c r="O8" s="79"/>
      <c r="P8" s="79"/>
      <c r="Q8" s="79"/>
      <c r="R8" s="88"/>
    </row>
    <row r="9" spans="1:18" x14ac:dyDescent="0.3">
      <c r="A9" s="87"/>
      <c r="B9" s="79"/>
      <c r="C9" s="79"/>
      <c r="D9" s="79"/>
      <c r="E9" s="79"/>
      <c r="F9" s="79"/>
      <c r="G9" s="79"/>
      <c r="H9" s="83"/>
      <c r="I9" s="160"/>
      <c r="J9" s="79"/>
      <c r="K9" s="79"/>
      <c r="L9" s="79"/>
      <c r="M9" s="79"/>
      <c r="N9" s="79"/>
      <c r="O9" s="79"/>
      <c r="P9" s="79"/>
      <c r="Q9" s="79"/>
      <c r="R9" s="88"/>
    </row>
    <row r="10" spans="1:18" ht="17.399999999999999" x14ac:dyDescent="0.3">
      <c r="A10" s="87"/>
      <c r="B10" s="79"/>
      <c r="C10" s="79"/>
      <c r="D10" s="79"/>
      <c r="E10" s="79"/>
      <c r="F10" s="79"/>
      <c r="G10" s="79"/>
      <c r="H10" s="79"/>
      <c r="I10" s="166" t="s">
        <v>1669</v>
      </c>
      <c r="J10" s="79"/>
      <c r="K10" s="79"/>
      <c r="L10" s="79"/>
      <c r="M10" s="79"/>
      <c r="N10" s="79"/>
      <c r="O10" s="79"/>
      <c r="P10" s="79"/>
      <c r="Q10" s="79"/>
      <c r="R10" s="88"/>
    </row>
    <row r="11" spans="1:18" x14ac:dyDescent="0.3">
      <c r="A11" s="87"/>
      <c r="B11" s="79"/>
      <c r="C11" s="79"/>
      <c r="D11" s="79"/>
      <c r="E11" s="79"/>
      <c r="F11" s="79"/>
      <c r="G11" s="79"/>
      <c r="H11" s="83"/>
      <c r="I11" s="159"/>
      <c r="J11" s="79"/>
      <c r="K11" s="79"/>
      <c r="L11" s="79"/>
      <c r="M11" s="79"/>
      <c r="N11" s="79"/>
      <c r="O11" s="79"/>
      <c r="P11" s="79"/>
      <c r="Q11" s="79"/>
      <c r="R11" s="88"/>
    </row>
    <row r="12" spans="1:18" ht="17.399999999999999" x14ac:dyDescent="0.3">
      <c r="A12" s="87"/>
      <c r="B12" s="79"/>
      <c r="C12" s="79"/>
      <c r="D12" s="79"/>
      <c r="E12" s="79"/>
      <c r="F12" s="79"/>
      <c r="G12" s="79"/>
      <c r="H12" s="79"/>
      <c r="I12" s="171" t="s">
        <v>3446</v>
      </c>
      <c r="J12" s="79"/>
      <c r="K12" s="79"/>
      <c r="L12" s="79"/>
      <c r="M12" s="79"/>
      <c r="N12" s="79"/>
      <c r="O12" s="79"/>
      <c r="P12" s="79"/>
      <c r="Q12" s="79"/>
      <c r="R12" s="88"/>
    </row>
    <row r="13" spans="1:18" x14ac:dyDescent="0.3">
      <c r="A13" s="87"/>
      <c r="B13" s="79"/>
      <c r="C13" s="79"/>
      <c r="D13" s="79"/>
      <c r="E13" s="79"/>
      <c r="F13" s="79"/>
      <c r="G13" s="79"/>
      <c r="H13" s="83"/>
      <c r="I13" s="159"/>
      <c r="J13" s="79"/>
      <c r="K13" s="79"/>
      <c r="L13" s="79"/>
      <c r="M13" s="79"/>
      <c r="N13" s="79"/>
      <c r="O13" s="79"/>
      <c r="P13" s="79"/>
      <c r="Q13" s="79"/>
      <c r="R13" s="88"/>
    </row>
    <row r="14" spans="1:18" x14ac:dyDescent="0.3">
      <c r="A14" s="87"/>
      <c r="B14" s="79"/>
      <c r="C14" s="79"/>
      <c r="D14" s="79"/>
      <c r="E14" s="79"/>
      <c r="F14" s="79"/>
      <c r="G14" s="79"/>
      <c r="H14" s="79"/>
      <c r="I14" s="158" t="s">
        <v>1843</v>
      </c>
      <c r="J14" s="79"/>
      <c r="K14" s="79"/>
      <c r="L14" s="79"/>
      <c r="M14" s="79"/>
      <c r="N14" s="79"/>
      <c r="O14" s="79"/>
      <c r="P14" s="79"/>
      <c r="Q14" s="79"/>
      <c r="R14" s="88"/>
    </row>
    <row r="15" spans="1:18" ht="16.2" thickBot="1" x14ac:dyDescent="0.35">
      <c r="A15" s="87"/>
      <c r="B15" s="79"/>
      <c r="C15" s="79"/>
      <c r="D15" s="79"/>
      <c r="E15" s="79"/>
      <c r="F15" s="79"/>
      <c r="G15" s="79"/>
      <c r="H15" s="83"/>
      <c r="I15" s="79"/>
      <c r="J15" s="79"/>
      <c r="K15" s="79"/>
      <c r="L15" s="79"/>
      <c r="M15" s="79"/>
      <c r="N15" s="79"/>
      <c r="O15" s="79"/>
      <c r="P15" s="79"/>
      <c r="Q15" s="79"/>
      <c r="R15" s="88"/>
    </row>
    <row r="16" spans="1:18" x14ac:dyDescent="0.3">
      <c r="A16" s="89"/>
      <c r="B16" s="90" t="s">
        <v>587</v>
      </c>
      <c r="C16" s="91" t="s">
        <v>587</v>
      </c>
      <c r="D16" s="91" t="s">
        <v>587</v>
      </c>
      <c r="E16" s="90" t="s">
        <v>587</v>
      </c>
      <c r="F16" s="92"/>
      <c r="G16" s="92"/>
      <c r="H16" s="93"/>
      <c r="I16" s="92"/>
      <c r="J16" s="92"/>
      <c r="K16" s="94"/>
      <c r="L16" s="92"/>
      <c r="M16" s="93"/>
      <c r="N16" s="92"/>
      <c r="O16" s="92"/>
      <c r="P16" s="92"/>
      <c r="Q16" s="90" t="s">
        <v>587</v>
      </c>
      <c r="R16" s="95" t="s">
        <v>587</v>
      </c>
    </row>
    <row r="17" spans="1:19" x14ac:dyDescent="0.3">
      <c r="A17" s="96"/>
      <c r="B17" s="97"/>
      <c r="C17" s="98"/>
      <c r="D17" s="98"/>
      <c r="E17" s="97"/>
      <c r="F17" s="98"/>
      <c r="G17" s="98"/>
      <c r="H17" s="99"/>
      <c r="I17" s="98"/>
      <c r="J17" s="98"/>
      <c r="K17" s="105" t="s">
        <v>588</v>
      </c>
      <c r="L17" s="98"/>
      <c r="M17" s="101" t="s">
        <v>589</v>
      </c>
      <c r="N17" s="98"/>
      <c r="O17" s="98"/>
      <c r="P17" s="98"/>
      <c r="Q17" s="102" t="s">
        <v>589</v>
      </c>
      <c r="R17" s="103" t="s">
        <v>590</v>
      </c>
    </row>
    <row r="18" spans="1:19" x14ac:dyDescent="0.3">
      <c r="A18" s="96" t="s">
        <v>852</v>
      </c>
      <c r="B18" s="102" t="s">
        <v>1524</v>
      </c>
      <c r="C18" s="104" t="s">
        <v>1525</v>
      </c>
      <c r="D18" s="104" t="s">
        <v>421</v>
      </c>
      <c r="E18" s="102" t="s">
        <v>901</v>
      </c>
      <c r="F18" s="98"/>
      <c r="G18" s="98"/>
      <c r="H18" s="101" t="s">
        <v>902</v>
      </c>
      <c r="I18" s="104" t="s">
        <v>1510</v>
      </c>
      <c r="J18" s="104" t="s">
        <v>1510</v>
      </c>
      <c r="K18" s="105" t="s">
        <v>903</v>
      </c>
      <c r="L18" s="104" t="s">
        <v>589</v>
      </c>
      <c r="M18" s="101" t="s">
        <v>904</v>
      </c>
      <c r="N18" s="104" t="s">
        <v>590</v>
      </c>
      <c r="O18" s="104" t="s">
        <v>590</v>
      </c>
      <c r="P18" s="104" t="s">
        <v>905</v>
      </c>
      <c r="Q18" s="102" t="s">
        <v>906</v>
      </c>
      <c r="R18" s="103" t="s">
        <v>906</v>
      </c>
    </row>
    <row r="19" spans="1:19" x14ac:dyDescent="0.3">
      <c r="A19" s="106" t="s">
        <v>2168</v>
      </c>
      <c r="B19" s="102" t="s">
        <v>2169</v>
      </c>
      <c r="C19" s="104" t="s">
        <v>2170</v>
      </c>
      <c r="D19" s="104" t="s">
        <v>2170</v>
      </c>
      <c r="E19" s="102" t="s">
        <v>314</v>
      </c>
      <c r="F19" s="104" t="s">
        <v>2422</v>
      </c>
      <c r="G19" s="104" t="s">
        <v>2423</v>
      </c>
      <c r="H19" s="101" t="s">
        <v>2422</v>
      </c>
      <c r="I19" s="104" t="s">
        <v>2422</v>
      </c>
      <c r="J19" s="104" t="s">
        <v>591</v>
      </c>
      <c r="K19" s="105" t="s">
        <v>938</v>
      </c>
      <c r="L19" s="104" t="s">
        <v>939</v>
      </c>
      <c r="M19" s="101" t="s">
        <v>940</v>
      </c>
      <c r="N19" s="104" t="s">
        <v>941</v>
      </c>
      <c r="O19" s="104" t="s">
        <v>939</v>
      </c>
      <c r="P19" s="104" t="s">
        <v>821</v>
      </c>
      <c r="Q19" s="102" t="s">
        <v>822</v>
      </c>
      <c r="R19" s="103" t="s">
        <v>822</v>
      </c>
    </row>
    <row r="20" spans="1:19" ht="16.2" thickBot="1" x14ac:dyDescent="0.35">
      <c r="A20" s="107"/>
      <c r="B20" s="108" t="s">
        <v>599</v>
      </c>
      <c r="C20" s="109" t="s">
        <v>930</v>
      </c>
      <c r="D20" s="109" t="s">
        <v>930</v>
      </c>
      <c r="E20" s="108" t="s">
        <v>620</v>
      </c>
      <c r="F20" s="109" t="s">
        <v>1855</v>
      </c>
      <c r="G20" s="109" t="s">
        <v>1855</v>
      </c>
      <c r="H20" s="110" t="s">
        <v>1855</v>
      </c>
      <c r="I20" s="109" t="s">
        <v>930</v>
      </c>
      <c r="J20" s="109" t="s">
        <v>930</v>
      </c>
      <c r="K20" s="111" t="s">
        <v>930</v>
      </c>
      <c r="L20" s="109" t="s">
        <v>930</v>
      </c>
      <c r="M20" s="110" t="s">
        <v>930</v>
      </c>
      <c r="N20" s="109" t="s">
        <v>930</v>
      </c>
      <c r="O20" s="109" t="s">
        <v>930</v>
      </c>
      <c r="P20" s="109" t="s">
        <v>930</v>
      </c>
      <c r="Q20" s="108" t="s">
        <v>930</v>
      </c>
      <c r="R20" s="112" t="s">
        <v>930</v>
      </c>
    </row>
    <row r="21" spans="1:19" x14ac:dyDescent="0.3">
      <c r="A21" s="87"/>
      <c r="B21" s="113"/>
      <c r="C21" s="79"/>
      <c r="D21" s="79"/>
      <c r="E21" s="113"/>
      <c r="F21" s="79"/>
      <c r="G21" s="79"/>
      <c r="H21" s="114"/>
      <c r="I21" s="79"/>
      <c r="J21" s="79"/>
      <c r="K21" s="115"/>
      <c r="L21" s="116"/>
      <c r="M21" s="117"/>
      <c r="N21" s="79"/>
      <c r="O21" s="79"/>
      <c r="P21" s="79"/>
      <c r="Q21" s="113"/>
      <c r="R21" s="88"/>
    </row>
    <row r="22" spans="1:19" x14ac:dyDescent="0.3">
      <c r="A22" s="167" t="s">
        <v>1857</v>
      </c>
      <c r="B22" s="168">
        <v>1692.1</v>
      </c>
      <c r="C22" s="287">
        <v>755050.80000018305</v>
      </c>
      <c r="D22" s="287">
        <v>717209.80000018305</v>
      </c>
      <c r="E22" s="169">
        <v>9167.6000000015483</v>
      </c>
      <c r="F22" s="288">
        <v>3.12</v>
      </c>
      <c r="G22" s="288">
        <v>0</v>
      </c>
      <c r="H22" s="289">
        <v>3.12</v>
      </c>
      <c r="I22" s="287">
        <v>2340.0624844306076</v>
      </c>
      <c r="J22" s="287">
        <v>62</v>
      </c>
      <c r="K22" s="290">
        <v>6048</v>
      </c>
      <c r="L22" s="287">
        <v>0</v>
      </c>
      <c r="M22" s="291">
        <v>0</v>
      </c>
      <c r="N22" s="287">
        <v>20718</v>
      </c>
      <c r="O22" s="287">
        <v>0</v>
      </c>
      <c r="P22" s="287">
        <v>0</v>
      </c>
      <c r="Q22" s="169">
        <v>140546.84607793018</v>
      </c>
      <c r="R22" s="292">
        <v>576662.95392225287</v>
      </c>
      <c r="S22" s="161"/>
    </row>
    <row r="23" spans="1:19" x14ac:dyDescent="0.3">
      <c r="A23" s="167"/>
      <c r="B23" s="168"/>
      <c r="C23" s="287"/>
      <c r="D23" s="287"/>
      <c r="E23" s="169"/>
      <c r="F23" s="288"/>
      <c r="G23" s="288"/>
      <c r="H23" s="289"/>
      <c r="I23" s="287"/>
      <c r="J23" s="287"/>
      <c r="K23" s="290"/>
      <c r="L23" s="287"/>
      <c r="M23" s="291"/>
      <c r="N23" s="287"/>
      <c r="O23" s="287"/>
      <c r="P23" s="287"/>
      <c r="Q23" s="169"/>
      <c r="R23" s="292"/>
      <c r="S23" s="161"/>
    </row>
    <row r="24" spans="1:19" x14ac:dyDescent="0.3">
      <c r="A24" s="167" t="s">
        <v>2049</v>
      </c>
      <c r="B24" s="168">
        <v>1692.6399999999999</v>
      </c>
      <c r="C24" s="287">
        <v>760012.52000018931</v>
      </c>
      <c r="D24" s="287">
        <v>722171.52000018931</v>
      </c>
      <c r="E24" s="169">
        <v>9208.6400000015801</v>
      </c>
      <c r="F24" s="288">
        <v>3.14</v>
      </c>
      <c r="G24" s="288">
        <v>1.75</v>
      </c>
      <c r="H24" s="289">
        <v>1.3900000000000001</v>
      </c>
      <c r="I24" s="287">
        <v>1061.9136666668462</v>
      </c>
      <c r="J24" s="287">
        <v>58</v>
      </c>
      <c r="K24" s="290">
        <v>2364</v>
      </c>
      <c r="L24" s="287">
        <v>0</v>
      </c>
      <c r="M24" s="291">
        <v>883</v>
      </c>
      <c r="N24" s="287">
        <v>2716</v>
      </c>
      <c r="O24" s="287">
        <v>0</v>
      </c>
      <c r="P24" s="287">
        <v>0</v>
      </c>
      <c r="Q24" s="169">
        <v>142763.38356876036</v>
      </c>
      <c r="R24" s="292">
        <v>579408.13643142895</v>
      </c>
      <c r="S24" s="161"/>
    </row>
    <row r="25" spans="1:19" x14ac:dyDescent="0.3">
      <c r="A25" s="167"/>
      <c r="B25" s="168"/>
      <c r="C25" s="287"/>
      <c r="D25" s="287"/>
      <c r="E25" s="169"/>
      <c r="F25" s="288"/>
      <c r="G25" s="288"/>
      <c r="H25" s="289"/>
      <c r="I25" s="287"/>
      <c r="J25" s="287"/>
      <c r="K25" s="290"/>
      <c r="L25" s="287"/>
      <c r="M25" s="291"/>
      <c r="N25" s="287"/>
      <c r="O25" s="287"/>
      <c r="P25" s="287"/>
      <c r="Q25" s="169"/>
      <c r="R25" s="292"/>
      <c r="S25" s="161"/>
    </row>
    <row r="26" spans="1:19" x14ac:dyDescent="0.3">
      <c r="A26" s="167" t="s">
        <v>542</v>
      </c>
      <c r="B26" s="168">
        <v>1698.210002846133</v>
      </c>
      <c r="C26" s="287">
        <v>812498.68745404645</v>
      </c>
      <c r="D26" s="287">
        <v>774657.68745404645</v>
      </c>
      <c r="E26" s="169">
        <v>9642.5902248465518</v>
      </c>
      <c r="F26" s="288">
        <v>3.53</v>
      </c>
      <c r="G26" s="288">
        <v>1.95</v>
      </c>
      <c r="H26" s="289">
        <v>1.5799999999999998</v>
      </c>
      <c r="I26" s="287">
        <v>1212.4709333335413</v>
      </c>
      <c r="J26" s="287">
        <v>62</v>
      </c>
      <c r="K26" s="290">
        <v>66399</v>
      </c>
      <c r="L26" s="287">
        <v>0</v>
      </c>
      <c r="M26" s="291">
        <v>640</v>
      </c>
      <c r="N26" s="287">
        <v>23196</v>
      </c>
      <c r="O26" s="287">
        <v>19258</v>
      </c>
      <c r="P26" s="287">
        <v>0</v>
      </c>
      <c r="Q26" s="169">
        <v>157600</v>
      </c>
      <c r="R26" s="292">
        <v>617057.68745404645</v>
      </c>
      <c r="S26" s="161"/>
    </row>
    <row r="27" spans="1:19" x14ac:dyDescent="0.3">
      <c r="A27" s="167"/>
      <c r="B27" s="168"/>
      <c r="C27" s="287"/>
      <c r="D27" s="287"/>
      <c r="E27" s="169"/>
      <c r="F27" s="288"/>
      <c r="G27" s="288"/>
      <c r="H27" s="289"/>
      <c r="I27" s="287"/>
      <c r="J27" s="287"/>
      <c r="K27" s="290"/>
      <c r="L27" s="287"/>
      <c r="M27" s="291"/>
      <c r="N27" s="287"/>
      <c r="O27" s="287"/>
      <c r="P27" s="287"/>
      <c r="Q27" s="169"/>
      <c r="R27" s="292"/>
      <c r="S27" s="161"/>
    </row>
    <row r="28" spans="1:19" x14ac:dyDescent="0.3">
      <c r="A28" s="167" t="s">
        <v>543</v>
      </c>
      <c r="B28" s="168">
        <v>1698.3100000000002</v>
      </c>
      <c r="C28" s="287">
        <v>813463.2600002496</v>
      </c>
      <c r="D28" s="287">
        <v>775622.2600002496</v>
      </c>
      <c r="E28" s="169">
        <v>9650.4900000020607</v>
      </c>
      <c r="F28" s="288">
        <v>6.9</v>
      </c>
      <c r="G28" s="288">
        <v>0</v>
      </c>
      <c r="H28" s="289">
        <v>6.9</v>
      </c>
      <c r="I28" s="287">
        <v>5544.489379286767</v>
      </c>
      <c r="J28" s="287">
        <v>60</v>
      </c>
      <c r="K28" s="290">
        <v>3047</v>
      </c>
      <c r="L28" s="287">
        <v>2233</v>
      </c>
      <c r="M28" s="291">
        <v>618</v>
      </c>
      <c r="N28" s="287">
        <v>3618</v>
      </c>
      <c r="O28" s="287">
        <v>0</v>
      </c>
      <c r="P28" s="287">
        <v>0</v>
      </c>
      <c r="Q28" s="169">
        <v>157600</v>
      </c>
      <c r="R28" s="292">
        <v>618022.2600002496</v>
      </c>
      <c r="S28" s="161"/>
    </row>
    <row r="29" spans="1:19" x14ac:dyDescent="0.3">
      <c r="A29" s="167"/>
      <c r="B29" s="168"/>
      <c r="C29" s="287"/>
      <c r="D29" s="287"/>
      <c r="E29" s="169"/>
      <c r="F29" s="288"/>
      <c r="G29" s="288"/>
      <c r="H29" s="289"/>
      <c r="I29" s="287"/>
      <c r="J29" s="287"/>
      <c r="K29" s="290"/>
      <c r="L29" s="287"/>
      <c r="M29" s="291"/>
      <c r="N29" s="287"/>
      <c r="O29" s="287"/>
      <c r="P29" s="287"/>
      <c r="Q29" s="169"/>
      <c r="R29" s="292"/>
      <c r="S29" s="161"/>
    </row>
    <row r="30" spans="1:19" x14ac:dyDescent="0.3">
      <c r="A30" s="167" t="s">
        <v>1757</v>
      </c>
      <c r="B30" s="168">
        <v>1697.3224426818881</v>
      </c>
      <c r="C30" s="287">
        <v>803971.48669517902</v>
      </c>
      <c r="D30" s="287">
        <v>766130.48669517902</v>
      </c>
      <c r="E30" s="169">
        <v>9571.7954145530493</v>
      </c>
      <c r="F30" s="288">
        <v>10</v>
      </c>
      <c r="G30" s="288">
        <v>0</v>
      </c>
      <c r="H30" s="289">
        <v>10</v>
      </c>
      <c r="I30" s="287">
        <v>8042.0750000017169</v>
      </c>
      <c r="J30" s="287">
        <v>62</v>
      </c>
      <c r="K30" s="290">
        <v>0</v>
      </c>
      <c r="L30" s="287">
        <v>0</v>
      </c>
      <c r="M30" s="291">
        <v>3529</v>
      </c>
      <c r="N30" s="287">
        <v>3000</v>
      </c>
      <c r="O30" s="287">
        <v>5000</v>
      </c>
      <c r="P30" s="287">
        <v>0</v>
      </c>
      <c r="Q30" s="169">
        <v>152987.21886187803</v>
      </c>
      <c r="R30" s="292">
        <v>613143.26783330098</v>
      </c>
      <c r="S30" s="161"/>
    </row>
    <row r="31" spans="1:19" x14ac:dyDescent="0.3">
      <c r="A31" s="167"/>
      <c r="B31" s="168"/>
      <c r="C31" s="287"/>
      <c r="D31" s="287"/>
      <c r="E31" s="169"/>
      <c r="F31" s="288"/>
      <c r="G31" s="288"/>
      <c r="H31" s="289"/>
      <c r="I31" s="287"/>
      <c r="J31" s="287"/>
      <c r="K31" s="290"/>
      <c r="L31" s="287"/>
      <c r="M31" s="291"/>
      <c r="N31" s="287"/>
      <c r="O31" s="287"/>
      <c r="P31" s="287"/>
      <c r="Q31" s="169"/>
      <c r="R31" s="292"/>
      <c r="S31" s="161"/>
    </row>
    <row r="32" spans="1:19" x14ac:dyDescent="0.3">
      <c r="A32" s="167" t="s">
        <v>1758</v>
      </c>
      <c r="B32" s="168">
        <v>1685.1617002252592</v>
      </c>
      <c r="C32" s="287">
        <v>693231.64735131478</v>
      </c>
      <c r="D32" s="287">
        <v>655390.64735131478</v>
      </c>
      <c r="E32" s="169">
        <v>8655.8041164449514</v>
      </c>
      <c r="F32" s="288">
        <v>11</v>
      </c>
      <c r="G32" s="288">
        <v>0</v>
      </c>
      <c r="H32" s="289">
        <v>11</v>
      </c>
      <c r="I32" s="287">
        <v>8774.1457966736289</v>
      </c>
      <c r="J32" s="287">
        <v>60</v>
      </c>
      <c r="K32" s="290">
        <v>0</v>
      </c>
      <c r="L32" s="287">
        <v>0</v>
      </c>
      <c r="M32" s="291">
        <v>2765</v>
      </c>
      <c r="N32" s="287">
        <v>0</v>
      </c>
      <c r="O32" s="287">
        <v>103000</v>
      </c>
      <c r="P32" s="287">
        <v>0</v>
      </c>
      <c r="Q32" s="169">
        <v>149504.43192246114</v>
      </c>
      <c r="R32" s="292">
        <v>505886.21542885364</v>
      </c>
      <c r="S32" s="161"/>
    </row>
    <row r="33" spans="1:19" x14ac:dyDescent="0.3">
      <c r="A33" s="167"/>
      <c r="B33" s="168"/>
      <c r="C33" s="287"/>
      <c r="D33" s="287"/>
      <c r="E33" s="169"/>
      <c r="F33" s="288"/>
      <c r="G33" s="288"/>
      <c r="H33" s="289"/>
      <c r="I33" s="287"/>
      <c r="J33" s="287"/>
      <c r="K33" s="290"/>
      <c r="L33" s="287"/>
      <c r="M33" s="291"/>
      <c r="N33" s="287"/>
      <c r="O33" s="287"/>
      <c r="P33" s="287"/>
      <c r="Q33" s="169"/>
      <c r="R33" s="292"/>
      <c r="S33" s="161"/>
    </row>
    <row r="34" spans="1:19" x14ac:dyDescent="0.3">
      <c r="A34" s="167" t="s">
        <v>1045</v>
      </c>
      <c r="B34" s="168">
        <v>1670.9531269207582</v>
      </c>
      <c r="C34" s="287">
        <v>576788.35865124164</v>
      </c>
      <c r="D34" s="287">
        <v>538947.35865124164</v>
      </c>
      <c r="E34" s="169">
        <v>7769.828234483206</v>
      </c>
      <c r="F34" s="288">
        <v>11</v>
      </c>
      <c r="G34" s="288">
        <v>0.7</v>
      </c>
      <c r="H34" s="289">
        <v>10.3</v>
      </c>
      <c r="I34" s="287">
        <v>7429.5651999485844</v>
      </c>
      <c r="J34" s="287">
        <v>62</v>
      </c>
      <c r="K34" s="290">
        <v>1200</v>
      </c>
      <c r="L34" s="287">
        <v>0</v>
      </c>
      <c r="M34" s="291">
        <v>3117</v>
      </c>
      <c r="N34" s="287">
        <v>0</v>
      </c>
      <c r="O34" s="287">
        <v>112000</v>
      </c>
      <c r="P34" s="287">
        <v>0</v>
      </c>
      <c r="Q34" s="169">
        <v>147678.9132202107</v>
      </c>
      <c r="R34" s="292">
        <v>391268.44543103094</v>
      </c>
      <c r="S34" s="161"/>
    </row>
    <row r="35" spans="1:19" x14ac:dyDescent="0.3">
      <c r="A35" s="167"/>
      <c r="B35" s="168"/>
      <c r="C35" s="287"/>
      <c r="D35" s="287"/>
      <c r="E35" s="169"/>
      <c r="F35" s="288"/>
      <c r="G35" s="288"/>
      <c r="H35" s="289"/>
      <c r="I35" s="287"/>
      <c r="J35" s="287"/>
      <c r="K35" s="290"/>
      <c r="L35" s="287"/>
      <c r="M35" s="291"/>
      <c r="N35" s="287"/>
      <c r="O35" s="287"/>
      <c r="P35" s="287"/>
      <c r="Q35" s="169"/>
      <c r="R35" s="292"/>
      <c r="S35" s="161"/>
    </row>
    <row r="36" spans="1:19" x14ac:dyDescent="0.3">
      <c r="A36" s="167" t="s">
        <v>1046</v>
      </c>
      <c r="B36" s="168">
        <v>1655.9899167718938</v>
      </c>
      <c r="C36" s="287">
        <v>466941.48622559954</v>
      </c>
      <c r="D36" s="287">
        <v>429100.48622559954</v>
      </c>
      <c r="E36" s="169">
        <v>6909.3950063150487</v>
      </c>
      <c r="F36" s="288">
        <v>10</v>
      </c>
      <c r="G36" s="288">
        <v>1</v>
      </c>
      <c r="H36" s="289">
        <v>9</v>
      </c>
      <c r="I36" s="287">
        <v>5827.3711758624049</v>
      </c>
      <c r="J36" s="287">
        <v>62</v>
      </c>
      <c r="K36" s="290">
        <v>1200</v>
      </c>
      <c r="L36" s="287">
        <v>0</v>
      </c>
      <c r="M36" s="291">
        <v>1529</v>
      </c>
      <c r="N36" s="287">
        <v>0</v>
      </c>
      <c r="O36" s="287">
        <v>105000</v>
      </c>
      <c r="P36" s="287">
        <v>0</v>
      </c>
      <c r="Q36" s="169">
        <v>145533.6329374364</v>
      </c>
      <c r="R36" s="292">
        <v>283566.85328816314</v>
      </c>
      <c r="S36" s="161"/>
    </row>
    <row r="37" spans="1:19" x14ac:dyDescent="0.3">
      <c r="A37" s="167"/>
      <c r="B37" s="168"/>
      <c r="C37" s="287"/>
      <c r="D37" s="287"/>
      <c r="E37" s="169"/>
      <c r="F37" s="288"/>
      <c r="G37" s="288"/>
      <c r="H37" s="289"/>
      <c r="I37" s="287"/>
      <c r="J37" s="287"/>
      <c r="K37" s="290"/>
      <c r="L37" s="287"/>
      <c r="M37" s="291"/>
      <c r="N37" s="287"/>
      <c r="O37" s="287"/>
      <c r="P37" s="287"/>
      <c r="Q37" s="169"/>
      <c r="R37" s="292"/>
      <c r="S37" s="161"/>
    </row>
    <row r="38" spans="1:19" x14ac:dyDescent="0.3">
      <c r="A38" s="167" t="s">
        <v>1047</v>
      </c>
      <c r="B38" s="168">
        <v>1658.3678670068061</v>
      </c>
      <c r="C38" s="287">
        <v>483542.99093013833</v>
      </c>
      <c r="D38" s="287">
        <v>445701.99093013833</v>
      </c>
      <c r="E38" s="169">
        <v>7052.0720204099234</v>
      </c>
      <c r="F38" s="288">
        <v>8</v>
      </c>
      <c r="G38" s="288">
        <v>0.7</v>
      </c>
      <c r="H38" s="289">
        <v>7.3</v>
      </c>
      <c r="I38" s="287">
        <v>4203.2152955083211</v>
      </c>
      <c r="J38" s="287">
        <v>60</v>
      </c>
      <c r="K38" s="290">
        <v>1200</v>
      </c>
      <c r="L38" s="287">
        <v>0</v>
      </c>
      <c r="M38" s="291">
        <v>2588</v>
      </c>
      <c r="N38" s="287">
        <v>16000</v>
      </c>
      <c r="O38" s="287">
        <v>0</v>
      </c>
      <c r="P38" s="287">
        <v>0</v>
      </c>
      <c r="Q38" s="169">
        <v>146324.79129956936</v>
      </c>
      <c r="R38" s="292">
        <v>299377.19963056897</v>
      </c>
      <c r="S38" s="161"/>
    </row>
    <row r="39" spans="1:19" x14ac:dyDescent="0.3">
      <c r="A39" s="167"/>
      <c r="B39" s="168"/>
      <c r="C39" s="287"/>
      <c r="D39" s="287"/>
      <c r="E39" s="169"/>
      <c r="F39" s="288"/>
      <c r="G39" s="288"/>
      <c r="H39" s="289"/>
      <c r="I39" s="287"/>
      <c r="J39" s="287"/>
      <c r="K39" s="290"/>
      <c r="L39" s="287"/>
      <c r="M39" s="291"/>
      <c r="N39" s="287"/>
      <c r="O39" s="287"/>
      <c r="P39" s="287"/>
      <c r="Q39" s="169"/>
      <c r="R39" s="292"/>
      <c r="S39" s="161"/>
    </row>
    <row r="40" spans="1:19" x14ac:dyDescent="0.3">
      <c r="A40" s="167" t="s">
        <v>1430</v>
      </c>
      <c r="B40" s="168">
        <v>1668.9247318036535</v>
      </c>
      <c r="C40" s="287">
        <v>561147.80044356035</v>
      </c>
      <c r="D40" s="287">
        <v>523306.80044356035</v>
      </c>
      <c r="E40" s="169">
        <v>7652.4839082192075</v>
      </c>
      <c r="F40" s="288">
        <v>3.5</v>
      </c>
      <c r="G40" s="288">
        <v>0.25</v>
      </c>
      <c r="H40" s="289">
        <v>3.25</v>
      </c>
      <c r="I40" s="287">
        <v>1909.9361721943542</v>
      </c>
      <c r="J40" s="287">
        <v>62</v>
      </c>
      <c r="K40" s="290">
        <v>2000</v>
      </c>
      <c r="L40" s="287">
        <v>0</v>
      </c>
      <c r="M40" s="291">
        <v>3764</v>
      </c>
      <c r="N40" s="287">
        <v>80000</v>
      </c>
      <c r="O40" s="287">
        <v>0</v>
      </c>
      <c r="P40" s="287">
        <v>0</v>
      </c>
      <c r="Q40" s="169">
        <v>141448.50139306596</v>
      </c>
      <c r="R40" s="292">
        <v>381858.29905049439</v>
      </c>
      <c r="S40" s="161"/>
    </row>
    <row r="41" spans="1:19" x14ac:dyDescent="0.3">
      <c r="A41" s="167"/>
      <c r="B41" s="168"/>
      <c r="C41" s="287"/>
      <c r="D41" s="287"/>
      <c r="E41" s="169"/>
      <c r="F41" s="288"/>
      <c r="G41" s="288"/>
      <c r="H41" s="289"/>
      <c r="I41" s="287"/>
      <c r="J41" s="287"/>
      <c r="K41" s="290"/>
      <c r="L41" s="287"/>
      <c r="M41" s="291"/>
      <c r="N41" s="287"/>
      <c r="O41" s="287"/>
      <c r="P41" s="287"/>
      <c r="Q41" s="169"/>
      <c r="R41" s="292"/>
      <c r="S41" s="161"/>
    </row>
    <row r="42" spans="1:19" x14ac:dyDescent="0.3">
      <c r="A42" s="167" t="s">
        <v>534</v>
      </c>
      <c r="B42" s="168">
        <v>1681.0428630265039</v>
      </c>
      <c r="C42" s="287">
        <v>658156.6207924519</v>
      </c>
      <c r="D42" s="287">
        <v>620315.6207924519</v>
      </c>
      <c r="E42" s="169">
        <v>8375.9146858029781</v>
      </c>
      <c r="F42" s="288">
        <v>4</v>
      </c>
      <c r="G42" s="288">
        <v>0.6</v>
      </c>
      <c r="H42" s="289">
        <v>3.4</v>
      </c>
      <c r="I42" s="287">
        <v>2168.2037739954421</v>
      </c>
      <c r="J42" s="287">
        <v>60</v>
      </c>
      <c r="K42" s="290">
        <v>2000</v>
      </c>
      <c r="L42" s="287">
        <v>0</v>
      </c>
      <c r="M42" s="291">
        <v>941</v>
      </c>
      <c r="N42" s="287">
        <v>104000</v>
      </c>
      <c r="O42" s="287">
        <v>0</v>
      </c>
      <c r="P42" s="287">
        <v>0</v>
      </c>
      <c r="Q42" s="169">
        <v>135098.46553300129</v>
      </c>
      <c r="R42" s="292">
        <v>485217.15525945061</v>
      </c>
      <c r="S42" s="161"/>
    </row>
    <row r="43" spans="1:19" x14ac:dyDescent="0.3">
      <c r="A43" s="167"/>
      <c r="B43" s="168"/>
      <c r="C43" s="287"/>
      <c r="D43" s="287"/>
      <c r="E43" s="169"/>
      <c r="F43" s="288"/>
      <c r="G43" s="288"/>
      <c r="H43" s="289"/>
      <c r="I43" s="287"/>
      <c r="J43" s="287"/>
      <c r="K43" s="290"/>
      <c r="L43" s="287"/>
      <c r="M43" s="291"/>
      <c r="N43" s="287"/>
      <c r="O43" s="287"/>
      <c r="P43" s="287"/>
      <c r="Q43" s="169"/>
      <c r="R43" s="292"/>
      <c r="S43" s="161"/>
    </row>
    <row r="44" spans="1:19" x14ac:dyDescent="0.3">
      <c r="A44" s="167" t="s">
        <v>427</v>
      </c>
      <c r="B44" s="168">
        <v>1686.1525252512831</v>
      </c>
      <c r="C44" s="287">
        <v>701844.15554483421</v>
      </c>
      <c r="D44" s="287">
        <v>664003.15554483421</v>
      </c>
      <c r="E44" s="169">
        <v>8728.1343433447637</v>
      </c>
      <c r="F44" s="288">
        <v>3</v>
      </c>
      <c r="G44" s="288">
        <v>1</v>
      </c>
      <c r="H44" s="289">
        <v>2</v>
      </c>
      <c r="I44" s="287">
        <v>1395.985780967163</v>
      </c>
      <c r="J44" s="287">
        <v>62</v>
      </c>
      <c r="K44" s="290">
        <v>2300</v>
      </c>
      <c r="L44" s="287">
        <v>0</v>
      </c>
      <c r="M44" s="291">
        <v>4610</v>
      </c>
      <c r="N44" s="287">
        <v>56000</v>
      </c>
      <c r="O44" s="287">
        <v>0</v>
      </c>
      <c r="P44" s="287">
        <v>0</v>
      </c>
      <c r="Q44" s="169">
        <v>119267.95448856521</v>
      </c>
      <c r="R44" s="292">
        <v>544735.201056269</v>
      </c>
      <c r="S44" s="161"/>
    </row>
    <row r="45" spans="1:19" ht="16.2" thickBot="1" x14ac:dyDescent="0.35">
      <c r="A45" s="124"/>
      <c r="B45" s="125"/>
      <c r="C45" s="79"/>
      <c r="D45" s="79"/>
      <c r="E45" s="113"/>
      <c r="F45" s="126"/>
      <c r="G45" s="126"/>
      <c r="H45" s="121"/>
      <c r="I45" s="79"/>
      <c r="J45" s="79"/>
      <c r="K45" s="127"/>
      <c r="L45" s="128"/>
      <c r="M45" s="129"/>
      <c r="N45" s="79"/>
      <c r="O45" s="79"/>
      <c r="P45" s="79"/>
      <c r="Q45" s="113"/>
      <c r="R45" s="88"/>
    </row>
    <row r="46" spans="1:19" x14ac:dyDescent="0.3">
      <c r="A46" s="87"/>
      <c r="B46" s="116"/>
      <c r="C46" s="116"/>
      <c r="D46" s="116"/>
      <c r="E46" s="116"/>
      <c r="F46" s="116"/>
      <c r="G46" s="116"/>
      <c r="H46" s="116"/>
      <c r="I46" s="116"/>
      <c r="J46" s="116"/>
      <c r="K46" s="116"/>
      <c r="L46" s="116"/>
      <c r="M46" s="116"/>
      <c r="N46" s="116"/>
      <c r="O46" s="116"/>
      <c r="P46" s="116"/>
      <c r="Q46" s="116"/>
      <c r="R46" s="130"/>
    </row>
    <row r="47" spans="1:19" x14ac:dyDescent="0.3">
      <c r="A47" s="87" t="s">
        <v>1687</v>
      </c>
      <c r="B47" s="79"/>
      <c r="C47" s="79"/>
      <c r="D47" s="79"/>
      <c r="E47" s="79"/>
      <c r="F47" s="170">
        <f t="shared" ref="F47:P47" si="0">SUM(F22:F44)</f>
        <v>77.19</v>
      </c>
      <c r="G47" s="170">
        <f t="shared" si="0"/>
        <v>7.95</v>
      </c>
      <c r="H47" s="170">
        <f t="shared" si="0"/>
        <v>69.240000000000009</v>
      </c>
      <c r="I47" s="159">
        <f t="shared" si="0"/>
        <v>49909.434658869373</v>
      </c>
      <c r="J47" s="159">
        <f t="shared" si="0"/>
        <v>732</v>
      </c>
      <c r="K47" s="159">
        <f t="shared" si="0"/>
        <v>87758</v>
      </c>
      <c r="L47" s="159">
        <f t="shared" si="0"/>
        <v>2233</v>
      </c>
      <c r="M47" s="159">
        <f t="shared" si="0"/>
        <v>24984</v>
      </c>
      <c r="N47" s="159">
        <f t="shared" si="0"/>
        <v>309248</v>
      </c>
      <c r="O47" s="159">
        <f t="shared" si="0"/>
        <v>344258</v>
      </c>
      <c r="P47" s="159">
        <f t="shared" si="0"/>
        <v>0</v>
      </c>
      <c r="Q47" s="79"/>
      <c r="R47" s="88"/>
    </row>
    <row r="48" spans="1:19" ht="16.2" thickBot="1" x14ac:dyDescent="0.35">
      <c r="A48" s="131"/>
      <c r="B48" s="132"/>
      <c r="C48" s="132"/>
      <c r="D48" s="132"/>
      <c r="E48" s="132"/>
      <c r="F48" s="132"/>
      <c r="G48" s="132"/>
      <c r="H48" s="132"/>
      <c r="I48" s="132"/>
      <c r="J48" s="132"/>
      <c r="K48" s="132"/>
      <c r="L48" s="132"/>
      <c r="M48" s="132"/>
      <c r="N48" s="132"/>
      <c r="O48" s="132"/>
      <c r="P48" s="132"/>
      <c r="Q48" s="132"/>
      <c r="R48" s="133"/>
    </row>
    <row r="49" spans="1:2" ht="16.2" thickTop="1" x14ac:dyDescent="0.3"/>
    <row r="50" spans="1:2" x14ac:dyDescent="0.3">
      <c r="A50" s="79" t="s">
        <v>2489</v>
      </c>
    </row>
    <row r="51" spans="1:2" x14ac:dyDescent="0.3">
      <c r="A51" s="79" t="s">
        <v>1252</v>
      </c>
    </row>
    <row r="52" spans="1:2" x14ac:dyDescent="0.3">
      <c r="A52" s="79" t="s">
        <v>1143</v>
      </c>
    </row>
    <row r="53" spans="1:2" x14ac:dyDescent="0.3">
      <c r="A53" s="79"/>
    </row>
    <row r="54" spans="1:2" x14ac:dyDescent="0.3">
      <c r="A54" s="330" t="str">
        <f ca="1">+"Updated:   "&amp;TEXT(K1,"mmmmmm d, yyyy")</f>
        <v>Updated:   November 16, 2022</v>
      </c>
    </row>
    <row r="55" spans="1:2" x14ac:dyDescent="0.3">
      <c r="A55" s="79"/>
    </row>
    <row r="58" spans="1:2" x14ac:dyDescent="0.3">
      <c r="A58" s="828" t="s">
        <v>1399</v>
      </c>
      <c r="B58" s="828"/>
    </row>
    <row r="59" spans="1:2" x14ac:dyDescent="0.3">
      <c r="A59" s="162" t="s">
        <v>1857</v>
      </c>
      <c r="B59" s="293">
        <v>1692.1</v>
      </c>
    </row>
    <row r="60" spans="1:2" x14ac:dyDescent="0.3">
      <c r="A60" s="162"/>
      <c r="B60" s="293">
        <v>1692.37</v>
      </c>
    </row>
    <row r="61" spans="1:2" x14ac:dyDescent="0.3">
      <c r="A61" s="162" t="s">
        <v>2049</v>
      </c>
      <c r="B61" s="293">
        <v>1692.6399999999999</v>
      </c>
    </row>
    <row r="62" spans="1:2" x14ac:dyDescent="0.3">
      <c r="A62" s="162"/>
      <c r="B62" s="293">
        <v>1695.4250014230665</v>
      </c>
    </row>
    <row r="63" spans="1:2" x14ac:dyDescent="0.3">
      <c r="A63" s="162" t="s">
        <v>542</v>
      </c>
      <c r="B63" s="293">
        <v>1698.210002846133</v>
      </c>
    </row>
    <row r="64" spans="1:2" x14ac:dyDescent="0.3">
      <c r="A64" s="162"/>
      <c r="B64" s="293">
        <v>1698.2600014230666</v>
      </c>
    </row>
    <row r="65" spans="1:2" x14ac:dyDescent="0.3">
      <c r="A65" s="162" t="s">
        <v>543</v>
      </c>
      <c r="B65" s="293">
        <v>1698.3100000000002</v>
      </c>
    </row>
    <row r="66" spans="1:2" x14ac:dyDescent="0.3">
      <c r="A66" s="162"/>
      <c r="B66" s="293">
        <v>1697.8162213409441</v>
      </c>
    </row>
    <row r="67" spans="1:2" x14ac:dyDescent="0.3">
      <c r="A67" s="162" t="s">
        <v>1757</v>
      </c>
      <c r="B67" s="293">
        <v>1697.3224426818881</v>
      </c>
    </row>
    <row r="68" spans="1:2" x14ac:dyDescent="0.3">
      <c r="A68" s="162"/>
      <c r="B68" s="293">
        <v>1691.2420714535738</v>
      </c>
    </row>
    <row r="69" spans="1:2" x14ac:dyDescent="0.3">
      <c r="A69" s="162" t="s">
        <v>1758</v>
      </c>
      <c r="B69" s="293">
        <v>1685.1617002252592</v>
      </c>
    </row>
    <row r="70" spans="1:2" x14ac:dyDescent="0.3">
      <c r="A70" s="162"/>
      <c r="B70" s="293">
        <v>1678.0574135730087</v>
      </c>
    </row>
    <row r="71" spans="1:2" x14ac:dyDescent="0.3">
      <c r="A71" s="162" t="s">
        <v>1045</v>
      </c>
      <c r="B71" s="293">
        <v>1670.9531269207582</v>
      </c>
    </row>
    <row r="72" spans="1:2" x14ac:dyDescent="0.3">
      <c r="A72" s="162"/>
      <c r="B72" s="293">
        <v>1663.4715218463261</v>
      </c>
    </row>
    <row r="73" spans="1:2" x14ac:dyDescent="0.3">
      <c r="A73" s="162" t="s">
        <v>1046</v>
      </c>
      <c r="B73" s="293">
        <v>1655.9899167718938</v>
      </c>
    </row>
    <row r="74" spans="1:2" x14ac:dyDescent="0.3">
      <c r="A74" s="162"/>
      <c r="B74" s="293">
        <v>1657.1788918893499</v>
      </c>
    </row>
    <row r="75" spans="1:2" x14ac:dyDescent="0.3">
      <c r="A75" s="162" t="s">
        <v>1047</v>
      </c>
      <c r="B75" s="293">
        <v>1658.3678670068061</v>
      </c>
    </row>
    <row r="76" spans="1:2" x14ac:dyDescent="0.3">
      <c r="A76" s="162"/>
      <c r="B76" s="293">
        <v>1663.6462994052299</v>
      </c>
    </row>
    <row r="77" spans="1:2" x14ac:dyDescent="0.3">
      <c r="A77" s="162" t="s">
        <v>1430</v>
      </c>
      <c r="B77" s="293">
        <v>1668.9247318036535</v>
      </c>
    </row>
    <row r="78" spans="1:2" x14ac:dyDescent="0.3">
      <c r="A78" s="162"/>
      <c r="B78" s="293">
        <v>1674.9837974150787</v>
      </c>
    </row>
    <row r="79" spans="1:2" x14ac:dyDescent="0.3">
      <c r="A79" s="162" t="s">
        <v>534</v>
      </c>
      <c r="B79" s="293">
        <v>1681.0428630265039</v>
      </c>
    </row>
    <row r="80" spans="1:2" x14ac:dyDescent="0.3">
      <c r="A80" s="162"/>
      <c r="B80" s="293">
        <v>1683.5976941388935</v>
      </c>
    </row>
    <row r="81" spans="1:2" x14ac:dyDescent="0.3">
      <c r="A81" s="162" t="s">
        <v>427</v>
      </c>
      <c r="B81" s="293">
        <v>1686.1525252512831</v>
      </c>
    </row>
    <row r="82" spans="1:2" x14ac:dyDescent="0.3">
      <c r="A82" s="730"/>
      <c r="B82" s="731"/>
    </row>
    <row r="83" spans="1:2" x14ac:dyDescent="0.3">
      <c r="A83" s="729"/>
    </row>
    <row r="84" spans="1:2" x14ac:dyDescent="0.3">
      <c r="A84" s="729"/>
    </row>
    <row r="85" spans="1:2" x14ac:dyDescent="0.3">
      <c r="A85" s="729"/>
    </row>
    <row r="86" spans="1:2" x14ac:dyDescent="0.3">
      <c r="A86" s="729"/>
    </row>
    <row r="87" spans="1:2" x14ac:dyDescent="0.3">
      <c r="A87" s="729"/>
    </row>
    <row r="88" spans="1:2" x14ac:dyDescent="0.3">
      <c r="A88" s="729"/>
    </row>
    <row r="104" spans="1:2" x14ac:dyDescent="0.3">
      <c r="A104" s="732">
        <v>42735</v>
      </c>
      <c r="B104" s="733">
        <v>1676.81</v>
      </c>
    </row>
    <row r="105" spans="1:2" x14ac:dyDescent="0.3">
      <c r="A105" s="732">
        <v>42766</v>
      </c>
      <c r="B105" s="733">
        <f>B59</f>
        <v>1692.1</v>
      </c>
    </row>
    <row r="106" spans="1:2" x14ac:dyDescent="0.3">
      <c r="A106" s="732">
        <v>42794</v>
      </c>
      <c r="B106" s="733">
        <f>B61</f>
        <v>1692.6399999999999</v>
      </c>
    </row>
    <row r="107" spans="1:2" x14ac:dyDescent="0.3">
      <c r="A107" s="732">
        <v>42825</v>
      </c>
      <c r="B107" s="733">
        <f>B63</f>
        <v>1698.210002846133</v>
      </c>
    </row>
    <row r="108" spans="1:2" x14ac:dyDescent="0.3">
      <c r="A108" s="732">
        <v>42855</v>
      </c>
      <c r="B108" s="733">
        <f>B65</f>
        <v>1698.3100000000002</v>
      </c>
    </row>
    <row r="109" spans="1:2" x14ac:dyDescent="0.3">
      <c r="A109" s="732">
        <v>42886</v>
      </c>
      <c r="B109" s="733">
        <f>B67</f>
        <v>1697.3224426818881</v>
      </c>
    </row>
    <row r="110" spans="1:2" x14ac:dyDescent="0.3">
      <c r="A110" s="732">
        <v>42916</v>
      </c>
      <c r="B110" s="733">
        <f>B69</f>
        <v>1685.1617002252592</v>
      </c>
    </row>
    <row r="111" spans="1:2" x14ac:dyDescent="0.3">
      <c r="A111" s="732">
        <v>42947</v>
      </c>
      <c r="B111" s="733">
        <f>B71</f>
        <v>1670.9531269207582</v>
      </c>
    </row>
    <row r="112" spans="1:2" x14ac:dyDescent="0.3">
      <c r="A112" s="732">
        <v>42978</v>
      </c>
      <c r="B112" s="733">
        <f>B73</f>
        <v>1655.9899167718938</v>
      </c>
    </row>
    <row r="113" spans="1:2" x14ac:dyDescent="0.3">
      <c r="A113" s="732">
        <v>43008</v>
      </c>
      <c r="B113" s="733">
        <f>B75</f>
        <v>1658.3678670068061</v>
      </c>
    </row>
    <row r="114" spans="1:2" x14ac:dyDescent="0.3">
      <c r="A114" s="732">
        <v>43039</v>
      </c>
      <c r="B114" s="733">
        <f>B77</f>
        <v>1668.9247318036535</v>
      </c>
    </row>
    <row r="115" spans="1:2" x14ac:dyDescent="0.3">
      <c r="A115" s="732">
        <v>43069</v>
      </c>
      <c r="B115" s="733">
        <f>B79</f>
        <v>1681.0428630265039</v>
      </c>
    </row>
    <row r="116" spans="1:2" x14ac:dyDescent="0.3">
      <c r="A116" s="732">
        <v>43100</v>
      </c>
      <c r="B116" s="733">
        <f>B81</f>
        <v>1686.1525252512831</v>
      </c>
    </row>
    <row r="117" spans="1:2" x14ac:dyDescent="0.3">
      <c r="A117" s="732">
        <v>43101</v>
      </c>
      <c r="B117" s="733">
        <v>1679.41</v>
      </c>
    </row>
    <row r="118" spans="1:2" x14ac:dyDescent="0.3">
      <c r="A118" s="732">
        <v>43159</v>
      </c>
      <c r="B118" s="733">
        <v>1694</v>
      </c>
    </row>
    <row r="119" spans="1:2" x14ac:dyDescent="0.3">
      <c r="A119" s="732">
        <v>43190</v>
      </c>
      <c r="B119" s="733">
        <v>1697</v>
      </c>
    </row>
  </sheetData>
  <mergeCells count="2">
    <mergeCell ref="A58:B58"/>
    <mergeCell ref="K1:L1"/>
  </mergeCells>
  <phoneticPr fontId="0" type="noConversion"/>
  <printOptions horizontalCentered="1" verticalCentered="1"/>
  <pageMargins left="0.75" right="0.75" top="1" bottom="1" header="0.5" footer="0.5"/>
  <pageSetup scale="22" orientation="landscape" r:id="rId1"/>
  <headerFooter alignWithMargins="0">
    <oddHeader>&amp;L&amp;F&amp;RPrinted On = &amp;D</oddHeader>
  </headerFooter>
  <drawing r:id="rId2"/>
  <legacyDrawing r:id="rId3"/>
  <controls>
    <mc:AlternateContent xmlns:mc="http://schemas.openxmlformats.org/markup-compatibility/2006">
      <mc:Choice Requires="x14">
        <control shapeId="43010" r:id="rId4" name="CommandButton1">
          <controlPr defaultSize="0" autoLine="0" r:id="rId5">
            <anchor moveWithCells="1">
              <from>
                <xdr:col>0</xdr:col>
                <xdr:colOff>495300</xdr:colOff>
                <xdr:row>1</xdr:row>
                <xdr:rowOff>190500</xdr:rowOff>
              </from>
              <to>
                <xdr:col>6</xdr:col>
                <xdr:colOff>769620</xdr:colOff>
                <xdr:row>4</xdr:row>
                <xdr:rowOff>60960</xdr:rowOff>
              </to>
            </anchor>
          </controlPr>
        </control>
      </mc:Choice>
      <mc:Fallback>
        <control shapeId="43010" r:id="rId4"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C1452"/>
  <sheetViews>
    <sheetView zoomScale="70" zoomScaleNormal="70" workbookViewId="0">
      <pane ySplit="3" topLeftCell="A1422" activePane="bottomLeft" state="frozen"/>
      <selection activeCell="G154" sqref="G154"/>
      <selection pane="bottomLeft" activeCell="A1453" sqref="A1453"/>
    </sheetView>
  </sheetViews>
  <sheetFormatPr defaultRowHeight="15.6" x14ac:dyDescent="0.3"/>
  <cols>
    <col min="1" max="1" width="25.1796875" style="165" customWidth="1"/>
    <col min="2" max="2" width="13.81640625" customWidth="1"/>
    <col min="3" max="3" width="135.81640625" customWidth="1"/>
  </cols>
  <sheetData>
    <row r="1" spans="1:3" x14ac:dyDescent="0.3">
      <c r="A1"/>
    </row>
    <row r="2" spans="1:3" x14ac:dyDescent="0.3">
      <c r="A2"/>
    </row>
    <row r="3" spans="1:3" s="155" customFormat="1" ht="25.2" thickBot="1" x14ac:dyDescent="0.5">
      <c r="A3" s="156" t="s">
        <v>2424</v>
      </c>
      <c r="B3" s="156" t="s">
        <v>2425</v>
      </c>
      <c r="C3" s="156" t="s">
        <v>378</v>
      </c>
    </row>
    <row r="4" spans="1:3" ht="16.2" thickTop="1" x14ac:dyDescent="0.3">
      <c r="A4" s="157" t="s">
        <v>379</v>
      </c>
      <c r="B4" t="s">
        <v>380</v>
      </c>
      <c r="C4" t="s">
        <v>1330</v>
      </c>
    </row>
    <row r="5" spans="1:3" x14ac:dyDescent="0.3">
      <c r="A5" s="157" t="s">
        <v>1331</v>
      </c>
      <c r="B5" t="s">
        <v>380</v>
      </c>
      <c r="C5" t="s">
        <v>1016</v>
      </c>
    </row>
    <row r="6" spans="1:3" x14ac:dyDescent="0.3">
      <c r="A6" s="157" t="s">
        <v>1614</v>
      </c>
      <c r="B6" t="s">
        <v>380</v>
      </c>
      <c r="C6" t="s">
        <v>243</v>
      </c>
    </row>
    <row r="7" spans="1:3" x14ac:dyDescent="0.3">
      <c r="A7" s="157" t="s">
        <v>2455</v>
      </c>
      <c r="B7" t="s">
        <v>380</v>
      </c>
      <c r="C7" t="s">
        <v>1391</v>
      </c>
    </row>
    <row r="8" spans="1:3" x14ac:dyDescent="0.3">
      <c r="A8" s="157" t="s">
        <v>1392</v>
      </c>
      <c r="B8" t="s">
        <v>380</v>
      </c>
      <c r="C8" s="157" t="s">
        <v>889</v>
      </c>
    </row>
    <row r="9" spans="1:3" x14ac:dyDescent="0.3">
      <c r="A9" s="157" t="s">
        <v>1026</v>
      </c>
      <c r="B9" t="s">
        <v>380</v>
      </c>
      <c r="C9" t="s">
        <v>1890</v>
      </c>
    </row>
    <row r="10" spans="1:3" x14ac:dyDescent="0.3">
      <c r="A10" s="157" t="s">
        <v>82</v>
      </c>
      <c r="B10" t="s">
        <v>83</v>
      </c>
      <c r="C10" t="s">
        <v>765</v>
      </c>
    </row>
    <row r="11" spans="1:3" x14ac:dyDescent="0.3">
      <c r="A11" s="157" t="s">
        <v>2331</v>
      </c>
      <c r="B11" t="s">
        <v>83</v>
      </c>
      <c r="C11" t="s">
        <v>2494</v>
      </c>
    </row>
    <row r="12" spans="1:3" x14ac:dyDescent="0.3">
      <c r="A12" s="157" t="s">
        <v>2495</v>
      </c>
      <c r="B12" t="s">
        <v>380</v>
      </c>
      <c r="C12" t="s">
        <v>2061</v>
      </c>
    </row>
    <row r="13" spans="1:3" x14ac:dyDescent="0.3">
      <c r="A13" s="157" t="s">
        <v>2062</v>
      </c>
      <c r="B13" t="s">
        <v>380</v>
      </c>
      <c r="C13" t="s">
        <v>2371</v>
      </c>
    </row>
    <row r="14" spans="1:3" x14ac:dyDescent="0.3">
      <c r="A14" s="157" t="s">
        <v>2217</v>
      </c>
      <c r="B14" t="s">
        <v>380</v>
      </c>
      <c r="C14" t="s">
        <v>162</v>
      </c>
    </row>
    <row r="15" spans="1:3" x14ac:dyDescent="0.3">
      <c r="A15" s="157" t="s">
        <v>2217</v>
      </c>
      <c r="B15" t="s">
        <v>2207</v>
      </c>
      <c r="C15" t="s">
        <v>1168</v>
      </c>
    </row>
    <row r="16" spans="1:3" x14ac:dyDescent="0.3">
      <c r="A16" s="157" t="s">
        <v>2217</v>
      </c>
      <c r="B16" t="s">
        <v>2207</v>
      </c>
      <c r="C16" t="s">
        <v>1454</v>
      </c>
    </row>
    <row r="17" spans="1:3" x14ac:dyDescent="0.3">
      <c r="A17" s="157" t="s">
        <v>1691</v>
      </c>
      <c r="B17" t="s">
        <v>380</v>
      </c>
      <c r="C17" t="s">
        <v>2315</v>
      </c>
    </row>
    <row r="18" spans="1:3" x14ac:dyDescent="0.3">
      <c r="A18" s="157" t="s">
        <v>2316</v>
      </c>
      <c r="B18" t="s">
        <v>83</v>
      </c>
      <c r="C18" t="s">
        <v>584</v>
      </c>
    </row>
    <row r="19" spans="1:3" x14ac:dyDescent="0.3">
      <c r="A19" s="157" t="s">
        <v>1985</v>
      </c>
      <c r="B19" t="s">
        <v>380</v>
      </c>
      <c r="C19" t="s">
        <v>824</v>
      </c>
    </row>
    <row r="20" spans="1:3" x14ac:dyDescent="0.3">
      <c r="A20" s="157" t="s">
        <v>825</v>
      </c>
      <c r="B20" t="s">
        <v>380</v>
      </c>
      <c r="C20" t="s">
        <v>477</v>
      </c>
    </row>
    <row r="21" spans="1:3" x14ac:dyDescent="0.3">
      <c r="A21" s="157" t="s">
        <v>1461</v>
      </c>
      <c r="B21" t="s">
        <v>380</v>
      </c>
      <c r="C21" t="s">
        <v>413</v>
      </c>
    </row>
    <row r="22" spans="1:3" x14ac:dyDescent="0.3">
      <c r="A22" s="157" t="s">
        <v>414</v>
      </c>
      <c r="B22" t="s">
        <v>380</v>
      </c>
      <c r="C22" t="s">
        <v>364</v>
      </c>
    </row>
    <row r="23" spans="1:3" x14ac:dyDescent="0.3">
      <c r="A23" s="157" t="s">
        <v>365</v>
      </c>
      <c r="B23" t="s">
        <v>380</v>
      </c>
      <c r="C23" t="s">
        <v>366</v>
      </c>
    </row>
    <row r="24" spans="1:3" x14ac:dyDescent="0.3">
      <c r="A24" s="157" t="s">
        <v>741</v>
      </c>
      <c r="B24" t="s">
        <v>380</v>
      </c>
      <c r="C24" t="s">
        <v>857</v>
      </c>
    </row>
    <row r="25" spans="1:3" x14ac:dyDescent="0.3">
      <c r="A25" s="157" t="s">
        <v>858</v>
      </c>
      <c r="B25" t="s">
        <v>380</v>
      </c>
      <c r="C25" t="s">
        <v>642</v>
      </c>
    </row>
    <row r="26" spans="1:3" x14ac:dyDescent="0.3">
      <c r="A26" s="157" t="s">
        <v>643</v>
      </c>
      <c r="B26" t="s">
        <v>380</v>
      </c>
      <c r="C26" t="s">
        <v>1260</v>
      </c>
    </row>
    <row r="27" spans="1:3" x14ac:dyDescent="0.3">
      <c r="A27" s="157" t="s">
        <v>643</v>
      </c>
      <c r="B27" t="s">
        <v>83</v>
      </c>
      <c r="C27" t="s">
        <v>1803</v>
      </c>
    </row>
    <row r="28" spans="1:3" x14ac:dyDescent="0.3">
      <c r="A28" s="157" t="s">
        <v>1804</v>
      </c>
      <c r="B28" t="s">
        <v>380</v>
      </c>
      <c r="C28" t="s">
        <v>1805</v>
      </c>
    </row>
    <row r="29" spans="1:3" x14ac:dyDescent="0.3">
      <c r="A29" s="157" t="s">
        <v>1806</v>
      </c>
      <c r="B29" t="s">
        <v>380</v>
      </c>
      <c r="C29" t="s">
        <v>206</v>
      </c>
    </row>
    <row r="30" spans="1:3" x14ac:dyDescent="0.3">
      <c r="A30" s="157" t="s">
        <v>207</v>
      </c>
      <c r="B30" t="s">
        <v>380</v>
      </c>
      <c r="C30" t="s">
        <v>1776</v>
      </c>
    </row>
    <row r="31" spans="1:3" x14ac:dyDescent="0.3">
      <c r="A31" s="157" t="s">
        <v>1777</v>
      </c>
      <c r="B31" t="s">
        <v>380</v>
      </c>
      <c r="C31" t="s">
        <v>2466</v>
      </c>
    </row>
    <row r="32" spans="1:3" x14ac:dyDescent="0.3">
      <c r="A32" s="157" t="s">
        <v>2198</v>
      </c>
      <c r="B32" t="s">
        <v>380</v>
      </c>
      <c r="C32" t="s">
        <v>1464</v>
      </c>
    </row>
    <row r="33" spans="1:3" x14ac:dyDescent="0.3">
      <c r="A33" s="157" t="s">
        <v>1465</v>
      </c>
      <c r="B33" t="s">
        <v>380</v>
      </c>
      <c r="C33" t="s">
        <v>67</v>
      </c>
    </row>
    <row r="34" spans="1:3" x14ac:dyDescent="0.3">
      <c r="A34" s="157" t="s">
        <v>1265</v>
      </c>
      <c r="B34" t="s">
        <v>380</v>
      </c>
      <c r="C34" t="s">
        <v>1230</v>
      </c>
    </row>
    <row r="35" spans="1:3" x14ac:dyDescent="0.3">
      <c r="A35" s="157" t="s">
        <v>664</v>
      </c>
      <c r="B35" t="s">
        <v>380</v>
      </c>
      <c r="C35" t="s">
        <v>2450</v>
      </c>
    </row>
    <row r="36" spans="1:3" x14ac:dyDescent="0.3">
      <c r="A36" s="157" t="s">
        <v>664</v>
      </c>
      <c r="B36" t="s">
        <v>2207</v>
      </c>
      <c r="C36" t="s">
        <v>250</v>
      </c>
    </row>
    <row r="37" spans="1:3" x14ac:dyDescent="0.3">
      <c r="A37" s="157" t="s">
        <v>664</v>
      </c>
      <c r="B37" t="s">
        <v>2207</v>
      </c>
      <c r="C37" t="s">
        <v>2459</v>
      </c>
    </row>
    <row r="38" spans="1:3" x14ac:dyDescent="0.3">
      <c r="A38" s="157" t="s">
        <v>664</v>
      </c>
      <c r="B38" t="s">
        <v>380</v>
      </c>
      <c r="C38" t="s">
        <v>2067</v>
      </c>
    </row>
    <row r="39" spans="1:3" x14ac:dyDescent="0.3">
      <c r="A39" s="157" t="s">
        <v>1871</v>
      </c>
      <c r="B39" t="s">
        <v>380</v>
      </c>
      <c r="C39" t="s">
        <v>1313</v>
      </c>
    </row>
    <row r="40" spans="1:3" x14ac:dyDescent="0.3">
      <c r="A40" s="157" t="s">
        <v>861</v>
      </c>
      <c r="B40" t="s">
        <v>380</v>
      </c>
      <c r="C40" t="s">
        <v>1995</v>
      </c>
    </row>
    <row r="41" spans="1:3" x14ac:dyDescent="0.3">
      <c r="A41" s="157" t="s">
        <v>1314</v>
      </c>
      <c r="B41" t="s">
        <v>380</v>
      </c>
      <c r="C41" t="s">
        <v>860</v>
      </c>
    </row>
    <row r="42" spans="1:3" x14ac:dyDescent="0.3">
      <c r="A42" s="157" t="s">
        <v>1996</v>
      </c>
      <c r="B42" t="s">
        <v>380</v>
      </c>
      <c r="C42" t="s">
        <v>1385</v>
      </c>
    </row>
    <row r="43" spans="1:3" x14ac:dyDescent="0.3">
      <c r="A43" s="157" t="s">
        <v>417</v>
      </c>
      <c r="B43" t="s">
        <v>83</v>
      </c>
      <c r="C43" t="s">
        <v>1667</v>
      </c>
    </row>
    <row r="44" spans="1:3" x14ac:dyDescent="0.3">
      <c r="A44" s="157" t="s">
        <v>1668</v>
      </c>
      <c r="B44" t="s">
        <v>2207</v>
      </c>
      <c r="C44" t="s">
        <v>1563</v>
      </c>
    </row>
    <row r="45" spans="1:3" x14ac:dyDescent="0.3">
      <c r="A45" s="157" t="s">
        <v>1668</v>
      </c>
      <c r="B45" t="s">
        <v>83</v>
      </c>
      <c r="C45" t="s">
        <v>2447</v>
      </c>
    </row>
    <row r="46" spans="1:3" x14ac:dyDescent="0.3">
      <c r="A46" s="157" t="s">
        <v>1668</v>
      </c>
      <c r="B46" t="s">
        <v>380</v>
      </c>
      <c r="C46" t="s">
        <v>1608</v>
      </c>
    </row>
    <row r="47" spans="1:3" x14ac:dyDescent="0.3">
      <c r="A47" s="157" t="s">
        <v>1394</v>
      </c>
      <c r="B47" t="s">
        <v>380</v>
      </c>
      <c r="C47" t="s">
        <v>298</v>
      </c>
    </row>
    <row r="48" spans="1:3" x14ac:dyDescent="0.3">
      <c r="A48" s="157" t="s">
        <v>2095</v>
      </c>
      <c r="B48" t="s">
        <v>2207</v>
      </c>
      <c r="C48" t="s">
        <v>2325</v>
      </c>
    </row>
    <row r="49" spans="1:3" x14ac:dyDescent="0.3">
      <c r="A49" s="157" t="s">
        <v>2326</v>
      </c>
      <c r="B49" t="s">
        <v>380</v>
      </c>
      <c r="C49" t="s">
        <v>2327</v>
      </c>
    </row>
    <row r="50" spans="1:3" x14ac:dyDescent="0.3">
      <c r="A50" s="157" t="s">
        <v>56</v>
      </c>
      <c r="B50" t="s">
        <v>380</v>
      </c>
      <c r="C50" t="s">
        <v>1703</v>
      </c>
    </row>
    <row r="51" spans="1:3" x14ac:dyDescent="0.3">
      <c r="A51" s="157" t="s">
        <v>1704</v>
      </c>
      <c r="B51" t="s">
        <v>380</v>
      </c>
      <c r="C51" t="s">
        <v>982</v>
      </c>
    </row>
    <row r="52" spans="1:3" x14ac:dyDescent="0.3">
      <c r="A52" s="164" t="s">
        <v>2343</v>
      </c>
      <c r="B52" t="s">
        <v>2344</v>
      </c>
      <c r="C52" t="s">
        <v>1204</v>
      </c>
    </row>
    <row r="53" spans="1:3" x14ac:dyDescent="0.3">
      <c r="A53" s="164">
        <v>37033</v>
      </c>
      <c r="B53" t="s">
        <v>2207</v>
      </c>
      <c r="C53" t="s">
        <v>358</v>
      </c>
    </row>
    <row r="54" spans="1:3" x14ac:dyDescent="0.3">
      <c r="A54" s="164" t="s">
        <v>1798</v>
      </c>
      <c r="B54" t="s">
        <v>2344</v>
      </c>
      <c r="C54" t="s">
        <v>2054</v>
      </c>
    </row>
    <row r="55" spans="1:3" x14ac:dyDescent="0.3">
      <c r="A55" s="164" t="s">
        <v>709</v>
      </c>
      <c r="B55" t="s">
        <v>2207</v>
      </c>
      <c r="C55" t="s">
        <v>1281</v>
      </c>
    </row>
    <row r="56" spans="1:3" x14ac:dyDescent="0.3">
      <c r="A56" s="164" t="s">
        <v>1282</v>
      </c>
      <c r="B56" t="s">
        <v>380</v>
      </c>
      <c r="C56" t="s">
        <v>871</v>
      </c>
    </row>
    <row r="57" spans="1:3" x14ac:dyDescent="0.3">
      <c r="A57" s="165">
        <v>37049</v>
      </c>
      <c r="B57" t="s">
        <v>83</v>
      </c>
      <c r="C57" t="s">
        <v>528</v>
      </c>
    </row>
    <row r="58" spans="1:3" x14ac:dyDescent="0.3">
      <c r="A58" s="164" t="s">
        <v>529</v>
      </c>
      <c r="B58" t="s">
        <v>380</v>
      </c>
      <c r="C58" t="s">
        <v>854</v>
      </c>
    </row>
    <row r="59" spans="1:3" x14ac:dyDescent="0.3">
      <c r="A59" s="164" t="s">
        <v>855</v>
      </c>
      <c r="B59" t="s">
        <v>380</v>
      </c>
      <c r="C59" t="s">
        <v>8</v>
      </c>
    </row>
    <row r="60" spans="1:3" x14ac:dyDescent="0.3">
      <c r="A60" s="164" t="s">
        <v>9</v>
      </c>
      <c r="B60" t="s">
        <v>380</v>
      </c>
      <c r="C60" t="s">
        <v>935</v>
      </c>
    </row>
    <row r="61" spans="1:3" x14ac:dyDescent="0.3">
      <c r="A61" s="164" t="s">
        <v>936</v>
      </c>
      <c r="B61" t="s">
        <v>380</v>
      </c>
      <c r="C61" t="s">
        <v>937</v>
      </c>
    </row>
    <row r="62" spans="1:3" x14ac:dyDescent="0.3">
      <c r="A62" s="164" t="s">
        <v>2205</v>
      </c>
      <c r="B62" t="s">
        <v>380</v>
      </c>
      <c r="C62" t="s">
        <v>1484</v>
      </c>
    </row>
    <row r="63" spans="1:3" x14ac:dyDescent="0.3">
      <c r="A63" s="165">
        <v>37061</v>
      </c>
      <c r="B63" t="s">
        <v>83</v>
      </c>
      <c r="C63" t="s">
        <v>2394</v>
      </c>
    </row>
    <row r="64" spans="1:3" x14ac:dyDescent="0.3">
      <c r="A64" s="164" t="s">
        <v>893</v>
      </c>
      <c r="B64" t="s">
        <v>2344</v>
      </c>
      <c r="C64" t="s">
        <v>810</v>
      </c>
    </row>
    <row r="65" spans="1:3" x14ac:dyDescent="0.3">
      <c r="A65" s="164" t="s">
        <v>893</v>
      </c>
      <c r="B65" t="s">
        <v>2344</v>
      </c>
      <c r="C65" t="s">
        <v>399</v>
      </c>
    </row>
    <row r="66" spans="1:3" x14ac:dyDescent="0.3">
      <c r="A66" s="164" t="s">
        <v>125</v>
      </c>
      <c r="B66" t="s">
        <v>380</v>
      </c>
      <c r="C66" t="s">
        <v>2488</v>
      </c>
    </row>
    <row r="67" spans="1:3" x14ac:dyDescent="0.3">
      <c r="A67" s="164" t="s">
        <v>1675</v>
      </c>
      <c r="B67" t="s">
        <v>380</v>
      </c>
      <c r="C67" t="s">
        <v>995</v>
      </c>
    </row>
    <row r="68" spans="1:3" x14ac:dyDescent="0.3">
      <c r="A68" s="164" t="s">
        <v>996</v>
      </c>
      <c r="B68" t="s">
        <v>380</v>
      </c>
      <c r="C68" t="s">
        <v>554</v>
      </c>
    </row>
    <row r="69" spans="1:3" x14ac:dyDescent="0.3">
      <c r="A69" s="164" t="s">
        <v>555</v>
      </c>
      <c r="B69" t="s">
        <v>2344</v>
      </c>
      <c r="C69" t="s">
        <v>1034</v>
      </c>
    </row>
    <row r="70" spans="1:3" x14ac:dyDescent="0.3">
      <c r="A70" s="164" t="s">
        <v>555</v>
      </c>
      <c r="B70" t="s">
        <v>380</v>
      </c>
      <c r="C70" t="s">
        <v>1741</v>
      </c>
    </row>
    <row r="71" spans="1:3" x14ac:dyDescent="0.3">
      <c r="A71" s="164" t="s">
        <v>1742</v>
      </c>
      <c r="B71" t="s">
        <v>380</v>
      </c>
      <c r="C71" t="s">
        <v>1743</v>
      </c>
    </row>
    <row r="72" spans="1:3" x14ac:dyDescent="0.3">
      <c r="A72" s="164" t="s">
        <v>1744</v>
      </c>
      <c r="B72" t="s">
        <v>380</v>
      </c>
      <c r="C72" t="s">
        <v>2411</v>
      </c>
    </row>
    <row r="73" spans="1:3" x14ac:dyDescent="0.3">
      <c r="A73" s="164" t="s">
        <v>2412</v>
      </c>
      <c r="B73" t="s">
        <v>380</v>
      </c>
      <c r="C73" t="s">
        <v>442</v>
      </c>
    </row>
    <row r="74" spans="1:3" x14ac:dyDescent="0.3">
      <c r="A74" s="164" t="s">
        <v>443</v>
      </c>
      <c r="B74" t="s">
        <v>380</v>
      </c>
      <c r="C74" t="s">
        <v>444</v>
      </c>
    </row>
    <row r="75" spans="1:3" x14ac:dyDescent="0.3">
      <c r="A75" s="164" t="s">
        <v>2407</v>
      </c>
      <c r="B75" t="s">
        <v>380</v>
      </c>
      <c r="C75" t="s">
        <v>1009</v>
      </c>
    </row>
    <row r="76" spans="1:3" x14ac:dyDescent="0.3">
      <c r="A76" s="164" t="s">
        <v>1010</v>
      </c>
      <c r="B76" t="s">
        <v>380</v>
      </c>
      <c r="C76" t="s">
        <v>2120</v>
      </c>
    </row>
    <row r="77" spans="1:3" x14ac:dyDescent="0.3">
      <c r="A77" s="164" t="s">
        <v>1144</v>
      </c>
      <c r="B77" t="s">
        <v>83</v>
      </c>
      <c r="C77" t="s">
        <v>1773</v>
      </c>
    </row>
    <row r="78" spans="1:3" x14ac:dyDescent="0.3">
      <c r="A78" s="164" t="s">
        <v>1774</v>
      </c>
      <c r="B78" t="s">
        <v>380</v>
      </c>
      <c r="C78" t="s">
        <v>1189</v>
      </c>
    </row>
    <row r="79" spans="1:3" x14ac:dyDescent="0.3">
      <c r="A79" s="164" t="s">
        <v>1190</v>
      </c>
      <c r="B79" t="s">
        <v>380</v>
      </c>
      <c r="C79" t="s">
        <v>467</v>
      </c>
    </row>
    <row r="80" spans="1:3" x14ac:dyDescent="0.3">
      <c r="A80" s="164" t="s">
        <v>468</v>
      </c>
      <c r="B80" t="s">
        <v>380</v>
      </c>
      <c r="C80" t="s">
        <v>1654</v>
      </c>
    </row>
    <row r="81" spans="1:3" x14ac:dyDescent="0.3">
      <c r="A81" s="164" t="s">
        <v>1655</v>
      </c>
      <c r="B81" t="s">
        <v>380</v>
      </c>
      <c r="C81" t="s">
        <v>2253</v>
      </c>
    </row>
    <row r="82" spans="1:3" x14ac:dyDescent="0.3">
      <c r="A82" s="164" t="s">
        <v>894</v>
      </c>
      <c r="B82" t="s">
        <v>380</v>
      </c>
      <c r="C82" t="s">
        <v>2097</v>
      </c>
    </row>
    <row r="83" spans="1:3" x14ac:dyDescent="0.3">
      <c r="A83" s="164" t="s">
        <v>1727</v>
      </c>
      <c r="B83" t="s">
        <v>380</v>
      </c>
      <c r="C83" t="s">
        <v>278</v>
      </c>
    </row>
    <row r="84" spans="1:3" x14ac:dyDescent="0.3">
      <c r="A84" s="164" t="s">
        <v>820</v>
      </c>
      <c r="B84" t="s">
        <v>380</v>
      </c>
      <c r="C84" t="s">
        <v>1294</v>
      </c>
    </row>
    <row r="85" spans="1:3" x14ac:dyDescent="0.3">
      <c r="A85" s="164" t="s">
        <v>1733</v>
      </c>
      <c r="B85" t="s">
        <v>380</v>
      </c>
      <c r="C85" t="s">
        <v>2046</v>
      </c>
    </row>
    <row r="86" spans="1:3" x14ac:dyDescent="0.3">
      <c r="A86" s="164" t="s">
        <v>1630</v>
      </c>
      <c r="B86" t="s">
        <v>380</v>
      </c>
      <c r="C86" t="s">
        <v>1631</v>
      </c>
    </row>
    <row r="87" spans="1:3" x14ac:dyDescent="0.3">
      <c r="A87" s="164" t="s">
        <v>1632</v>
      </c>
      <c r="B87" t="s">
        <v>380</v>
      </c>
      <c r="C87" t="s">
        <v>1639</v>
      </c>
    </row>
    <row r="88" spans="1:3" x14ac:dyDescent="0.3">
      <c r="A88" s="164" t="s">
        <v>546</v>
      </c>
      <c r="B88" t="s">
        <v>380</v>
      </c>
      <c r="C88" t="s">
        <v>547</v>
      </c>
    </row>
    <row r="89" spans="1:3" x14ac:dyDescent="0.3">
      <c r="A89" s="164" t="s">
        <v>549</v>
      </c>
      <c r="B89" t="s">
        <v>380</v>
      </c>
      <c r="C89" t="s">
        <v>1435</v>
      </c>
    </row>
    <row r="90" spans="1:3" x14ac:dyDescent="0.3">
      <c r="A90" s="164" t="s">
        <v>1436</v>
      </c>
      <c r="B90" t="s">
        <v>83</v>
      </c>
      <c r="C90" t="s">
        <v>1903</v>
      </c>
    </row>
    <row r="91" spans="1:3" x14ac:dyDescent="0.3">
      <c r="A91" s="164" t="s">
        <v>1562</v>
      </c>
      <c r="B91" t="s">
        <v>83</v>
      </c>
      <c r="C91" t="s">
        <v>1960</v>
      </c>
    </row>
    <row r="92" spans="1:3" x14ac:dyDescent="0.3">
      <c r="A92" s="164" t="s">
        <v>1562</v>
      </c>
      <c r="B92" t="s">
        <v>83</v>
      </c>
      <c r="C92" t="s">
        <v>2397</v>
      </c>
    </row>
    <row r="93" spans="1:3" x14ac:dyDescent="0.3">
      <c r="A93" s="164" t="s">
        <v>1718</v>
      </c>
      <c r="B93" t="s">
        <v>380</v>
      </c>
      <c r="C93" t="s">
        <v>2186</v>
      </c>
    </row>
    <row r="94" spans="1:3" x14ac:dyDescent="0.3">
      <c r="A94" s="164" t="s">
        <v>2187</v>
      </c>
      <c r="B94" t="s">
        <v>380</v>
      </c>
      <c r="C94" t="s">
        <v>2092</v>
      </c>
    </row>
    <row r="95" spans="1:3" x14ac:dyDescent="0.3">
      <c r="A95" s="164" t="s">
        <v>2093</v>
      </c>
      <c r="B95" t="s">
        <v>380</v>
      </c>
      <c r="C95" t="s">
        <v>178</v>
      </c>
    </row>
    <row r="96" spans="1:3" x14ac:dyDescent="0.3">
      <c r="A96" s="164" t="s">
        <v>179</v>
      </c>
      <c r="B96" t="s">
        <v>380</v>
      </c>
      <c r="C96" t="s">
        <v>437</v>
      </c>
    </row>
    <row r="97" spans="1:3" x14ac:dyDescent="0.3">
      <c r="A97" s="164" t="s">
        <v>438</v>
      </c>
      <c r="B97" t="s">
        <v>380</v>
      </c>
      <c r="C97" t="s">
        <v>1457</v>
      </c>
    </row>
    <row r="98" spans="1:3" x14ac:dyDescent="0.3">
      <c r="A98" s="164" t="s">
        <v>1469</v>
      </c>
      <c r="B98" t="s">
        <v>380</v>
      </c>
      <c r="C98" t="s">
        <v>2388</v>
      </c>
    </row>
    <row r="99" spans="1:3" x14ac:dyDescent="0.3">
      <c r="A99" s="164" t="s">
        <v>2389</v>
      </c>
      <c r="B99" t="s">
        <v>380</v>
      </c>
      <c r="C99" t="s">
        <v>1438</v>
      </c>
    </row>
    <row r="100" spans="1:3" x14ac:dyDescent="0.3">
      <c r="A100" s="164" t="s">
        <v>2389</v>
      </c>
      <c r="B100" t="s">
        <v>83</v>
      </c>
      <c r="C100" t="s">
        <v>1117</v>
      </c>
    </row>
    <row r="101" spans="1:3" x14ac:dyDescent="0.3">
      <c r="A101" s="164" t="s">
        <v>1118</v>
      </c>
      <c r="B101" t="s">
        <v>380</v>
      </c>
      <c r="C101" t="s">
        <v>840</v>
      </c>
    </row>
    <row r="102" spans="1:3" x14ac:dyDescent="0.3">
      <c r="A102" s="164" t="s">
        <v>841</v>
      </c>
      <c r="B102" t="s">
        <v>380</v>
      </c>
      <c r="C102" t="s">
        <v>1930</v>
      </c>
    </row>
    <row r="103" spans="1:3" x14ac:dyDescent="0.3">
      <c r="A103" s="164" t="s">
        <v>60</v>
      </c>
      <c r="B103" t="s">
        <v>380</v>
      </c>
      <c r="C103" t="s">
        <v>1428</v>
      </c>
    </row>
    <row r="104" spans="1:3" x14ac:dyDescent="0.3">
      <c r="A104" s="164" t="s">
        <v>1429</v>
      </c>
      <c r="B104" t="s">
        <v>380</v>
      </c>
      <c r="C104" t="s">
        <v>1070</v>
      </c>
    </row>
    <row r="105" spans="1:3" x14ac:dyDescent="0.3">
      <c r="A105" s="164" t="s">
        <v>1060</v>
      </c>
      <c r="B105" t="s">
        <v>83</v>
      </c>
      <c r="C105" t="s">
        <v>1261</v>
      </c>
    </row>
    <row r="106" spans="1:3" x14ac:dyDescent="0.3">
      <c r="A106" s="164" t="s">
        <v>1262</v>
      </c>
      <c r="B106" t="s">
        <v>380</v>
      </c>
      <c r="C106" t="s">
        <v>1397</v>
      </c>
    </row>
    <row r="107" spans="1:3" x14ac:dyDescent="0.3">
      <c r="A107" s="164" t="s">
        <v>1398</v>
      </c>
      <c r="B107" t="s">
        <v>380</v>
      </c>
      <c r="C107" t="s">
        <v>1121</v>
      </c>
    </row>
    <row r="108" spans="1:3" x14ac:dyDescent="0.3">
      <c r="A108" s="164" t="s">
        <v>1217</v>
      </c>
      <c r="B108" t="s">
        <v>380</v>
      </c>
      <c r="C108" t="s">
        <v>1290</v>
      </c>
    </row>
    <row r="109" spans="1:3" x14ac:dyDescent="0.3">
      <c r="A109" s="164" t="s">
        <v>2481</v>
      </c>
      <c r="B109" t="s">
        <v>380</v>
      </c>
      <c r="C109" t="s">
        <v>1821</v>
      </c>
    </row>
    <row r="110" spans="1:3" x14ac:dyDescent="0.3">
      <c r="A110" s="164" t="s">
        <v>471</v>
      </c>
      <c r="B110" t="s">
        <v>380</v>
      </c>
      <c r="C110" t="s">
        <v>621</v>
      </c>
    </row>
    <row r="111" spans="1:3" x14ac:dyDescent="0.3">
      <c r="A111" s="164" t="s">
        <v>622</v>
      </c>
      <c r="B111" t="s">
        <v>380</v>
      </c>
      <c r="C111" t="s">
        <v>1706</v>
      </c>
    </row>
    <row r="112" spans="1:3" x14ac:dyDescent="0.3">
      <c r="A112" s="164" t="s">
        <v>608</v>
      </c>
      <c r="B112" t="s">
        <v>380</v>
      </c>
      <c r="C112" t="s">
        <v>1649</v>
      </c>
    </row>
    <row r="113" spans="1:3" x14ac:dyDescent="0.3">
      <c r="A113" s="164" t="s">
        <v>1650</v>
      </c>
      <c r="B113" t="s">
        <v>380</v>
      </c>
      <c r="C113" t="s">
        <v>1651</v>
      </c>
    </row>
    <row r="114" spans="1:3" x14ac:dyDescent="0.3">
      <c r="A114" s="164" t="s">
        <v>2218</v>
      </c>
      <c r="B114" t="s">
        <v>380</v>
      </c>
      <c r="C114" t="s">
        <v>2151</v>
      </c>
    </row>
    <row r="115" spans="1:3" x14ac:dyDescent="0.3">
      <c r="A115" s="164" t="s">
        <v>1842</v>
      </c>
      <c r="B115" t="s">
        <v>380</v>
      </c>
      <c r="C115" t="s">
        <v>2043</v>
      </c>
    </row>
    <row r="116" spans="1:3" x14ac:dyDescent="0.3">
      <c r="A116" s="164" t="s">
        <v>2044</v>
      </c>
      <c r="B116" t="s">
        <v>380</v>
      </c>
      <c r="C116" t="s">
        <v>2381</v>
      </c>
    </row>
    <row r="117" spans="1:3" x14ac:dyDescent="0.3">
      <c r="A117" s="164" t="s">
        <v>2382</v>
      </c>
      <c r="B117" t="s">
        <v>380</v>
      </c>
      <c r="C117" t="s">
        <v>1007</v>
      </c>
    </row>
    <row r="118" spans="1:3" x14ac:dyDescent="0.3">
      <c r="A118" s="164" t="s">
        <v>1008</v>
      </c>
      <c r="B118" t="s">
        <v>380</v>
      </c>
      <c r="C118" t="s">
        <v>732</v>
      </c>
    </row>
    <row r="119" spans="1:3" x14ac:dyDescent="0.3">
      <c r="A119" s="164" t="s">
        <v>733</v>
      </c>
      <c r="B119" t="s">
        <v>83</v>
      </c>
      <c r="C119" t="s">
        <v>1962</v>
      </c>
    </row>
    <row r="120" spans="1:3" x14ac:dyDescent="0.3">
      <c r="A120" s="164" t="s">
        <v>733</v>
      </c>
      <c r="B120" t="s">
        <v>380</v>
      </c>
      <c r="C120" t="s">
        <v>1440</v>
      </c>
    </row>
    <row r="121" spans="1:3" x14ac:dyDescent="0.3">
      <c r="A121" s="164" t="s">
        <v>1289</v>
      </c>
      <c r="B121" t="s">
        <v>380</v>
      </c>
      <c r="C121" t="s">
        <v>1191</v>
      </c>
    </row>
    <row r="122" spans="1:3" x14ac:dyDescent="0.3">
      <c r="A122" s="164" t="s">
        <v>517</v>
      </c>
      <c r="B122" t="s">
        <v>380</v>
      </c>
      <c r="C122" t="s">
        <v>22</v>
      </c>
    </row>
    <row r="123" spans="1:3" x14ac:dyDescent="0.3">
      <c r="A123" s="164" t="s">
        <v>23</v>
      </c>
      <c r="B123" t="s">
        <v>380</v>
      </c>
      <c r="C123" t="s">
        <v>376</v>
      </c>
    </row>
    <row r="124" spans="1:3" x14ac:dyDescent="0.3">
      <c r="A124" s="164" t="s">
        <v>950</v>
      </c>
      <c r="B124" t="s">
        <v>83</v>
      </c>
      <c r="C124" t="s">
        <v>842</v>
      </c>
    </row>
    <row r="125" spans="1:3" x14ac:dyDescent="0.3">
      <c r="A125" s="164" t="s">
        <v>843</v>
      </c>
      <c r="B125" t="s">
        <v>380</v>
      </c>
      <c r="C125" t="s">
        <v>1201</v>
      </c>
    </row>
    <row r="126" spans="1:3" x14ac:dyDescent="0.3">
      <c r="A126" s="164" t="s">
        <v>2320</v>
      </c>
      <c r="B126" t="s">
        <v>380</v>
      </c>
      <c r="C126" t="s">
        <v>2321</v>
      </c>
    </row>
    <row r="127" spans="1:3" x14ac:dyDescent="0.3">
      <c r="A127" s="164" t="s">
        <v>1834</v>
      </c>
      <c r="B127" t="s">
        <v>380</v>
      </c>
      <c r="C127" t="s">
        <v>966</v>
      </c>
    </row>
    <row r="128" spans="1:3" x14ac:dyDescent="0.3">
      <c r="A128" s="164" t="s">
        <v>1122</v>
      </c>
      <c r="B128" t="s">
        <v>380</v>
      </c>
      <c r="C128" t="s">
        <v>694</v>
      </c>
    </row>
    <row r="129" spans="1:3" x14ac:dyDescent="0.3">
      <c r="A129" s="165">
        <v>37203</v>
      </c>
      <c r="B129" t="s">
        <v>2207</v>
      </c>
      <c r="C129" t="s">
        <v>315</v>
      </c>
    </row>
    <row r="130" spans="1:3" x14ac:dyDescent="0.3">
      <c r="A130" s="164" t="s">
        <v>54</v>
      </c>
      <c r="B130" t="s">
        <v>380</v>
      </c>
      <c r="C130" t="s">
        <v>98</v>
      </c>
    </row>
    <row r="131" spans="1:3" x14ac:dyDescent="0.3">
      <c r="A131" s="164" t="s">
        <v>99</v>
      </c>
      <c r="B131" t="s">
        <v>380</v>
      </c>
      <c r="C131" t="s">
        <v>321</v>
      </c>
    </row>
    <row r="132" spans="1:3" x14ac:dyDescent="0.3">
      <c r="A132" s="164" t="s">
        <v>2429</v>
      </c>
      <c r="B132" t="s">
        <v>380</v>
      </c>
      <c r="C132" t="s">
        <v>945</v>
      </c>
    </row>
    <row r="133" spans="1:3" x14ac:dyDescent="0.3">
      <c r="A133" s="164" t="s">
        <v>2428</v>
      </c>
      <c r="B133" t="s">
        <v>380</v>
      </c>
      <c r="C133" t="s">
        <v>2255</v>
      </c>
    </row>
    <row r="134" spans="1:3" x14ac:dyDescent="0.3">
      <c r="A134" s="164" t="s">
        <v>2256</v>
      </c>
      <c r="B134" t="s">
        <v>380</v>
      </c>
      <c r="C134" t="s">
        <v>682</v>
      </c>
    </row>
    <row r="135" spans="1:3" x14ac:dyDescent="0.3">
      <c r="A135" s="164" t="s">
        <v>683</v>
      </c>
      <c r="B135" t="s">
        <v>380</v>
      </c>
      <c r="C135" t="s">
        <v>338</v>
      </c>
    </row>
    <row r="136" spans="1:3" x14ac:dyDescent="0.3">
      <c r="A136" s="164" t="s">
        <v>339</v>
      </c>
      <c r="B136" t="s">
        <v>380</v>
      </c>
      <c r="C136" t="s">
        <v>2254</v>
      </c>
    </row>
    <row r="137" spans="1:3" x14ac:dyDescent="0.3">
      <c r="A137" s="164" t="s">
        <v>717</v>
      </c>
      <c r="B137" t="s">
        <v>2344</v>
      </c>
      <c r="C137" t="s">
        <v>2010</v>
      </c>
    </row>
    <row r="138" spans="1:3" x14ac:dyDescent="0.3">
      <c r="A138" s="164" t="s">
        <v>323</v>
      </c>
      <c r="B138" t="s">
        <v>380</v>
      </c>
      <c r="C138" t="s">
        <v>451</v>
      </c>
    </row>
    <row r="139" spans="1:3" x14ac:dyDescent="0.3">
      <c r="A139" s="164" t="s">
        <v>742</v>
      </c>
      <c r="B139" t="s">
        <v>380</v>
      </c>
      <c r="C139" t="s">
        <v>949</v>
      </c>
    </row>
    <row r="140" spans="1:3" x14ac:dyDescent="0.3">
      <c r="A140" s="164" t="s">
        <v>1653</v>
      </c>
      <c r="B140" t="s">
        <v>380</v>
      </c>
      <c r="C140" t="s">
        <v>1887</v>
      </c>
    </row>
    <row r="141" spans="1:3" x14ac:dyDescent="0.3">
      <c r="A141" s="164" t="s">
        <v>900</v>
      </c>
      <c r="B141" t="s">
        <v>380</v>
      </c>
      <c r="C141" t="s">
        <v>1729</v>
      </c>
    </row>
    <row r="142" spans="1:3" x14ac:dyDescent="0.3">
      <c r="A142" s="164" t="s">
        <v>1253</v>
      </c>
      <c r="B142" t="s">
        <v>83</v>
      </c>
      <c r="C142" t="s">
        <v>1492</v>
      </c>
    </row>
    <row r="143" spans="1:3" x14ac:dyDescent="0.3">
      <c r="A143" s="164" t="s">
        <v>1253</v>
      </c>
      <c r="B143" t="s">
        <v>380</v>
      </c>
      <c r="C143" t="s">
        <v>2135</v>
      </c>
    </row>
    <row r="144" spans="1:3" x14ac:dyDescent="0.3">
      <c r="A144" s="164" t="s">
        <v>350</v>
      </c>
      <c r="B144" t="s">
        <v>380</v>
      </c>
      <c r="C144" t="s">
        <v>1940</v>
      </c>
    </row>
    <row r="145" spans="1:3" x14ac:dyDescent="0.3">
      <c r="A145" s="164" t="s">
        <v>1532</v>
      </c>
      <c r="B145" t="s">
        <v>380</v>
      </c>
      <c r="C145" t="s">
        <v>952</v>
      </c>
    </row>
    <row r="146" spans="1:3" x14ac:dyDescent="0.3">
      <c r="A146" s="164" t="s">
        <v>1807</v>
      </c>
      <c r="B146" t="s">
        <v>380</v>
      </c>
      <c r="C146" t="s">
        <v>731</v>
      </c>
    </row>
    <row r="147" spans="1:3" x14ac:dyDescent="0.3">
      <c r="A147" s="165">
        <v>36907</v>
      </c>
      <c r="B147" t="s">
        <v>2207</v>
      </c>
      <c r="C147" t="s">
        <v>2247</v>
      </c>
    </row>
    <row r="148" spans="1:3" x14ac:dyDescent="0.3">
      <c r="A148" s="164" t="s">
        <v>1443</v>
      </c>
      <c r="B148" t="s">
        <v>380</v>
      </c>
      <c r="C148" t="s">
        <v>1444</v>
      </c>
    </row>
    <row r="149" spans="1:3" x14ac:dyDescent="0.3">
      <c r="A149" s="164" t="s">
        <v>2260</v>
      </c>
      <c r="B149" t="s">
        <v>380</v>
      </c>
      <c r="C149" t="s">
        <v>1145</v>
      </c>
    </row>
    <row r="150" spans="1:3" x14ac:dyDescent="0.3">
      <c r="A150" s="164" t="s">
        <v>2469</v>
      </c>
      <c r="B150" t="s">
        <v>380</v>
      </c>
      <c r="C150" t="s">
        <v>2470</v>
      </c>
    </row>
    <row r="151" spans="1:3" x14ac:dyDescent="0.3">
      <c r="A151" s="164" t="s">
        <v>324</v>
      </c>
      <c r="B151" t="s">
        <v>380</v>
      </c>
      <c r="C151" t="s">
        <v>1346</v>
      </c>
    </row>
    <row r="152" spans="1:3" x14ac:dyDescent="0.3">
      <c r="A152" s="164" t="s">
        <v>325</v>
      </c>
      <c r="B152" t="s">
        <v>380</v>
      </c>
      <c r="C152" t="s">
        <v>2510</v>
      </c>
    </row>
    <row r="153" spans="1:3" x14ac:dyDescent="0.3">
      <c r="A153" s="164" t="s">
        <v>61</v>
      </c>
      <c r="B153" t="s">
        <v>380</v>
      </c>
      <c r="C153" t="s">
        <v>62</v>
      </c>
    </row>
    <row r="154" spans="1:3" x14ac:dyDescent="0.3">
      <c r="A154" s="164" t="s">
        <v>1734</v>
      </c>
      <c r="B154" t="s">
        <v>380</v>
      </c>
      <c r="C154" t="s">
        <v>1874</v>
      </c>
    </row>
    <row r="155" spans="1:3" x14ac:dyDescent="0.3">
      <c r="A155" s="164" t="s">
        <v>2136</v>
      </c>
      <c r="B155" t="s">
        <v>380</v>
      </c>
      <c r="C155" t="s">
        <v>2137</v>
      </c>
    </row>
    <row r="156" spans="1:3" x14ac:dyDescent="0.3">
      <c r="A156" s="164" t="s">
        <v>648</v>
      </c>
      <c r="B156" t="s">
        <v>380</v>
      </c>
      <c r="C156" t="s">
        <v>1640</v>
      </c>
    </row>
    <row r="157" spans="1:3" x14ac:dyDescent="0.3">
      <c r="A157" s="164" t="s">
        <v>648</v>
      </c>
      <c r="B157" t="s">
        <v>380</v>
      </c>
      <c r="C157" t="s">
        <v>2372</v>
      </c>
    </row>
    <row r="158" spans="1:3" x14ac:dyDescent="0.3">
      <c r="A158" s="164" t="s">
        <v>2285</v>
      </c>
      <c r="B158" t="s">
        <v>380</v>
      </c>
      <c r="C158" t="s">
        <v>1984</v>
      </c>
    </row>
    <row r="159" spans="1:3" x14ac:dyDescent="0.3">
      <c r="A159" s="164" t="s">
        <v>1694</v>
      </c>
      <c r="B159" t="s">
        <v>83</v>
      </c>
      <c r="C159" t="s">
        <v>761</v>
      </c>
    </row>
    <row r="160" spans="1:3" x14ac:dyDescent="0.3">
      <c r="A160" s="164" t="s">
        <v>1694</v>
      </c>
      <c r="B160" t="s">
        <v>83</v>
      </c>
      <c r="C160" t="s">
        <v>790</v>
      </c>
    </row>
    <row r="161" spans="1:3" x14ac:dyDescent="0.3">
      <c r="A161" s="164" t="s">
        <v>1694</v>
      </c>
      <c r="B161" t="s">
        <v>83</v>
      </c>
      <c r="C161" t="s">
        <v>1657</v>
      </c>
    </row>
    <row r="162" spans="1:3" x14ac:dyDescent="0.3">
      <c r="A162" s="164" t="s">
        <v>1993</v>
      </c>
      <c r="B162" t="s">
        <v>380</v>
      </c>
      <c r="C162" t="s">
        <v>1128</v>
      </c>
    </row>
    <row r="163" spans="1:3" x14ac:dyDescent="0.3">
      <c r="A163" s="164" t="s">
        <v>2037</v>
      </c>
      <c r="B163" t="s">
        <v>380</v>
      </c>
      <c r="C163" t="s">
        <v>2038</v>
      </c>
    </row>
    <row r="164" spans="1:3" x14ac:dyDescent="0.3">
      <c r="A164" s="164" t="s">
        <v>609</v>
      </c>
      <c r="B164" t="s">
        <v>380</v>
      </c>
      <c r="C164" t="s">
        <v>1267</v>
      </c>
    </row>
    <row r="165" spans="1:3" x14ac:dyDescent="0.3">
      <c r="A165" s="164" t="s">
        <v>2398</v>
      </c>
      <c r="B165" t="s">
        <v>380</v>
      </c>
      <c r="C165" t="s">
        <v>2082</v>
      </c>
    </row>
    <row r="166" spans="1:3" x14ac:dyDescent="0.3">
      <c r="A166" s="164" t="s">
        <v>784</v>
      </c>
      <c r="B166" t="s">
        <v>380</v>
      </c>
      <c r="C166" t="s">
        <v>1832</v>
      </c>
    </row>
    <row r="167" spans="1:3" x14ac:dyDescent="0.3">
      <c r="A167" s="164" t="s">
        <v>1472</v>
      </c>
      <c r="B167" t="s">
        <v>380</v>
      </c>
      <c r="C167" t="s">
        <v>1094</v>
      </c>
    </row>
    <row r="168" spans="1:3" x14ac:dyDescent="0.3">
      <c r="A168" s="164" t="s">
        <v>269</v>
      </c>
      <c r="B168" t="s">
        <v>380</v>
      </c>
      <c r="C168" t="s">
        <v>2351</v>
      </c>
    </row>
    <row r="169" spans="1:3" x14ac:dyDescent="0.3">
      <c r="A169" s="164" t="s">
        <v>1266</v>
      </c>
      <c r="B169" t="s">
        <v>380</v>
      </c>
      <c r="C169" t="s">
        <v>165</v>
      </c>
    </row>
    <row r="170" spans="1:3" x14ac:dyDescent="0.3">
      <c r="A170" s="164" t="s">
        <v>520</v>
      </c>
      <c r="B170" t="s">
        <v>380</v>
      </c>
      <c r="C170" t="s">
        <v>1182</v>
      </c>
    </row>
    <row r="171" spans="1:3" x14ac:dyDescent="0.3">
      <c r="A171" s="164" t="s">
        <v>948</v>
      </c>
      <c r="B171" t="s">
        <v>380</v>
      </c>
      <c r="C171" t="s">
        <v>2298</v>
      </c>
    </row>
    <row r="172" spans="1:3" x14ac:dyDescent="0.3">
      <c r="A172" s="164" t="s">
        <v>2460</v>
      </c>
      <c r="B172" t="s">
        <v>380</v>
      </c>
      <c r="C172" t="s">
        <v>2066</v>
      </c>
    </row>
    <row r="173" spans="1:3" x14ac:dyDescent="0.3">
      <c r="A173" s="164" t="s">
        <v>361</v>
      </c>
      <c r="B173" t="s">
        <v>380</v>
      </c>
      <c r="C173" t="s">
        <v>2290</v>
      </c>
    </row>
    <row r="174" spans="1:3" x14ac:dyDescent="0.3">
      <c r="A174" s="164" t="s">
        <v>518</v>
      </c>
      <c r="B174" t="s">
        <v>380</v>
      </c>
      <c r="C174" t="s">
        <v>1514</v>
      </c>
    </row>
    <row r="175" spans="1:3" x14ac:dyDescent="0.3">
      <c r="A175" s="164" t="s">
        <v>872</v>
      </c>
      <c r="B175" t="s">
        <v>380</v>
      </c>
      <c r="C175" t="s">
        <v>873</v>
      </c>
    </row>
    <row r="176" spans="1:3" x14ac:dyDescent="0.3">
      <c r="A176" s="164" t="s">
        <v>1096</v>
      </c>
      <c r="B176" t="s">
        <v>380</v>
      </c>
      <c r="C176" t="s">
        <v>199</v>
      </c>
    </row>
    <row r="177" spans="1:3" x14ac:dyDescent="0.3">
      <c r="A177" s="164" t="s">
        <v>1976</v>
      </c>
      <c r="B177" t="s">
        <v>380</v>
      </c>
      <c r="C177" t="s">
        <v>688</v>
      </c>
    </row>
    <row r="178" spans="1:3" x14ac:dyDescent="0.3">
      <c r="A178" s="164" t="s">
        <v>377</v>
      </c>
      <c r="B178" t="s">
        <v>380</v>
      </c>
      <c r="C178" t="s">
        <v>1966</v>
      </c>
    </row>
    <row r="179" spans="1:3" x14ac:dyDescent="0.3">
      <c r="A179" s="164" t="s">
        <v>1458</v>
      </c>
      <c r="B179" t="s">
        <v>380</v>
      </c>
      <c r="C179" t="s">
        <v>1396</v>
      </c>
    </row>
    <row r="180" spans="1:3" x14ac:dyDescent="0.3">
      <c r="A180" s="164" t="s">
        <v>1083</v>
      </c>
      <c r="B180" t="s">
        <v>83</v>
      </c>
      <c r="C180" t="s">
        <v>232</v>
      </c>
    </row>
    <row r="181" spans="1:3" x14ac:dyDescent="0.3">
      <c r="A181" s="164" t="s">
        <v>1083</v>
      </c>
      <c r="B181" t="s">
        <v>83</v>
      </c>
      <c r="C181" t="s">
        <v>1149</v>
      </c>
    </row>
    <row r="182" spans="1:3" x14ac:dyDescent="0.3">
      <c r="A182" s="164" t="s">
        <v>187</v>
      </c>
      <c r="B182" t="s">
        <v>380</v>
      </c>
      <c r="C182" t="s">
        <v>751</v>
      </c>
    </row>
    <row r="183" spans="1:3" x14ac:dyDescent="0.3">
      <c r="A183" s="164" t="s">
        <v>2408</v>
      </c>
      <c r="B183" t="s">
        <v>380</v>
      </c>
      <c r="C183" t="s">
        <v>140</v>
      </c>
    </row>
    <row r="184" spans="1:3" x14ac:dyDescent="0.3">
      <c r="A184" s="164" t="s">
        <v>2480</v>
      </c>
      <c r="B184" t="s">
        <v>2207</v>
      </c>
      <c r="C184" t="s">
        <v>2227</v>
      </c>
    </row>
    <row r="185" spans="1:3" x14ac:dyDescent="0.3">
      <c r="A185" s="164" t="s">
        <v>424</v>
      </c>
      <c r="B185" t="s">
        <v>83</v>
      </c>
      <c r="C185" t="s">
        <v>302</v>
      </c>
    </row>
    <row r="186" spans="1:3" x14ac:dyDescent="0.3">
      <c r="A186" s="164" t="s">
        <v>1872</v>
      </c>
      <c r="B186" t="s">
        <v>83</v>
      </c>
      <c r="C186" t="s">
        <v>1997</v>
      </c>
    </row>
    <row r="187" spans="1:3" x14ac:dyDescent="0.3">
      <c r="A187" s="164" t="s">
        <v>1872</v>
      </c>
      <c r="B187" t="s">
        <v>83</v>
      </c>
      <c r="C187" t="s">
        <v>2347</v>
      </c>
    </row>
    <row r="188" spans="1:3" x14ac:dyDescent="0.3">
      <c r="A188" s="164" t="s">
        <v>233</v>
      </c>
      <c r="B188" t="s">
        <v>83</v>
      </c>
      <c r="C188" t="s">
        <v>1368</v>
      </c>
    </row>
    <row r="189" spans="1:3" x14ac:dyDescent="0.3">
      <c r="A189" s="164" t="s">
        <v>2430</v>
      </c>
      <c r="B189" t="s">
        <v>380</v>
      </c>
      <c r="C189" t="s">
        <v>1305</v>
      </c>
    </row>
    <row r="190" spans="1:3" x14ac:dyDescent="0.3">
      <c r="A190" s="164" t="s">
        <v>630</v>
      </c>
      <c r="B190" t="s">
        <v>83</v>
      </c>
      <c r="C190" t="s">
        <v>722</v>
      </c>
    </row>
    <row r="191" spans="1:3" x14ac:dyDescent="0.3">
      <c r="A191" s="164" t="s">
        <v>630</v>
      </c>
      <c r="B191" t="s">
        <v>83</v>
      </c>
      <c r="C191" t="s">
        <v>1341</v>
      </c>
    </row>
    <row r="192" spans="1:3" x14ac:dyDescent="0.3">
      <c r="A192" s="165">
        <v>37429</v>
      </c>
      <c r="B192" t="s">
        <v>2344</v>
      </c>
      <c r="C192" t="s">
        <v>152</v>
      </c>
    </row>
    <row r="193" spans="1:3" x14ac:dyDescent="0.3">
      <c r="A193" s="165">
        <v>37433</v>
      </c>
      <c r="B193" t="s">
        <v>2344</v>
      </c>
      <c r="C193" t="s">
        <v>2243</v>
      </c>
    </row>
    <row r="194" spans="1:3" x14ac:dyDescent="0.3">
      <c r="A194" s="164" t="s">
        <v>2508</v>
      </c>
      <c r="B194" t="s">
        <v>83</v>
      </c>
      <c r="C194" t="s">
        <v>2053</v>
      </c>
    </row>
    <row r="195" spans="1:3" x14ac:dyDescent="0.3">
      <c r="A195" s="164" t="s">
        <v>2508</v>
      </c>
      <c r="B195" t="s">
        <v>83</v>
      </c>
      <c r="C195" t="s">
        <v>1673</v>
      </c>
    </row>
    <row r="196" spans="1:3" x14ac:dyDescent="0.3">
      <c r="A196" s="164" t="s">
        <v>33</v>
      </c>
      <c r="B196" t="s">
        <v>380</v>
      </c>
      <c r="C196" t="s">
        <v>144</v>
      </c>
    </row>
    <row r="197" spans="1:3" x14ac:dyDescent="0.3">
      <c r="A197" s="164" t="s">
        <v>2030</v>
      </c>
      <c r="B197" t="s">
        <v>380</v>
      </c>
      <c r="C197" t="s">
        <v>1688</v>
      </c>
    </row>
    <row r="198" spans="1:3" x14ac:dyDescent="0.3">
      <c r="A198" s="164" t="s">
        <v>2188</v>
      </c>
      <c r="B198" t="s">
        <v>380</v>
      </c>
      <c r="C198" t="s">
        <v>1635</v>
      </c>
    </row>
    <row r="199" spans="1:3" x14ac:dyDescent="0.3">
      <c r="A199" s="164" t="s">
        <v>1395</v>
      </c>
      <c r="B199" t="s">
        <v>380</v>
      </c>
      <c r="C199" t="s">
        <v>1909</v>
      </c>
    </row>
    <row r="200" spans="1:3" x14ac:dyDescent="0.3">
      <c r="A200" s="165">
        <v>37456</v>
      </c>
      <c r="B200" t="s">
        <v>2344</v>
      </c>
      <c r="C200" t="s">
        <v>1831</v>
      </c>
    </row>
    <row r="201" spans="1:3" x14ac:dyDescent="0.3">
      <c r="A201" s="165">
        <v>37459</v>
      </c>
      <c r="B201" t="s">
        <v>83</v>
      </c>
      <c r="C201" t="s">
        <v>572</v>
      </c>
    </row>
    <row r="202" spans="1:3" x14ac:dyDescent="0.3">
      <c r="A202" s="164" t="s">
        <v>1133</v>
      </c>
      <c r="B202" t="s">
        <v>380</v>
      </c>
      <c r="C202" t="s">
        <v>1731</v>
      </c>
    </row>
    <row r="203" spans="1:3" x14ac:dyDescent="0.3">
      <c r="A203" s="164" t="s">
        <v>1101</v>
      </c>
      <c r="B203" t="s">
        <v>380</v>
      </c>
      <c r="C203" t="s">
        <v>1947</v>
      </c>
    </row>
    <row r="204" spans="1:3" x14ac:dyDescent="0.3">
      <c r="A204" s="164" t="s">
        <v>1352</v>
      </c>
      <c r="B204" t="s">
        <v>380</v>
      </c>
      <c r="C204" t="s">
        <v>908</v>
      </c>
    </row>
    <row r="205" spans="1:3" x14ac:dyDescent="0.3">
      <c r="A205" s="164" t="s">
        <v>1115</v>
      </c>
      <c r="B205" t="s">
        <v>380</v>
      </c>
      <c r="C205" t="s">
        <v>1869</v>
      </c>
    </row>
    <row r="206" spans="1:3" x14ac:dyDescent="0.3">
      <c r="A206" s="164" t="s">
        <v>1759</v>
      </c>
      <c r="B206" t="s">
        <v>380</v>
      </c>
      <c r="C206" t="s">
        <v>835</v>
      </c>
    </row>
    <row r="207" spans="1:3" x14ac:dyDescent="0.3">
      <c r="A207" s="164" t="s">
        <v>1432</v>
      </c>
      <c r="B207" t="s">
        <v>380</v>
      </c>
      <c r="C207" t="s">
        <v>108</v>
      </c>
    </row>
    <row r="208" spans="1:3" x14ac:dyDescent="0.3">
      <c r="A208" s="164" t="s">
        <v>1998</v>
      </c>
      <c r="B208" t="s">
        <v>380</v>
      </c>
      <c r="C208" t="s">
        <v>657</v>
      </c>
    </row>
    <row r="209" spans="1:3" x14ac:dyDescent="0.3">
      <c r="A209" s="164" t="s">
        <v>743</v>
      </c>
      <c r="B209" t="s">
        <v>380</v>
      </c>
      <c r="C209" t="s">
        <v>914</v>
      </c>
    </row>
    <row r="210" spans="1:3" x14ac:dyDescent="0.3">
      <c r="A210" s="164" t="s">
        <v>2208</v>
      </c>
      <c r="B210" t="s">
        <v>380</v>
      </c>
      <c r="C210" t="s">
        <v>2209</v>
      </c>
    </row>
    <row r="211" spans="1:3" x14ac:dyDescent="0.3">
      <c r="A211" s="164" t="s">
        <v>1923</v>
      </c>
      <c r="B211" t="s">
        <v>380</v>
      </c>
      <c r="C211" t="s">
        <v>863</v>
      </c>
    </row>
    <row r="212" spans="1:3" x14ac:dyDescent="0.3">
      <c r="A212" s="164" t="s">
        <v>713</v>
      </c>
      <c r="B212" t="s">
        <v>380</v>
      </c>
      <c r="C212" t="s">
        <v>2104</v>
      </c>
    </row>
    <row r="213" spans="1:3" x14ac:dyDescent="0.3">
      <c r="A213" s="164" t="s">
        <v>2189</v>
      </c>
      <c r="B213" t="s">
        <v>380</v>
      </c>
      <c r="C213" t="s">
        <v>668</v>
      </c>
    </row>
    <row r="214" spans="1:3" x14ac:dyDescent="0.3">
      <c r="A214" s="164" t="s">
        <v>834</v>
      </c>
      <c r="B214" t="s">
        <v>380</v>
      </c>
      <c r="C214" t="s">
        <v>723</v>
      </c>
    </row>
    <row r="215" spans="1:3" x14ac:dyDescent="0.3">
      <c r="A215" s="164" t="s">
        <v>2406</v>
      </c>
      <c r="B215" t="s">
        <v>380</v>
      </c>
      <c r="C215" t="s">
        <v>1463</v>
      </c>
    </row>
    <row r="216" spans="1:3" x14ac:dyDescent="0.3">
      <c r="A216" s="164" t="s">
        <v>2039</v>
      </c>
      <c r="B216" t="s">
        <v>380</v>
      </c>
      <c r="C216" t="s">
        <v>1567</v>
      </c>
    </row>
    <row r="217" spans="1:3" x14ac:dyDescent="0.3">
      <c r="A217" s="164" t="s">
        <v>980</v>
      </c>
      <c r="B217" t="s">
        <v>380</v>
      </c>
      <c r="C217" t="s">
        <v>981</v>
      </c>
    </row>
    <row r="218" spans="1:3" x14ac:dyDescent="0.3">
      <c r="A218" s="164" t="s">
        <v>1203</v>
      </c>
      <c r="B218" t="s">
        <v>380</v>
      </c>
      <c r="C218" t="s">
        <v>1825</v>
      </c>
    </row>
    <row r="219" spans="1:3" x14ac:dyDescent="0.3">
      <c r="A219" s="164" t="s">
        <v>406</v>
      </c>
      <c r="B219" t="s">
        <v>380</v>
      </c>
      <c r="C219" t="s">
        <v>407</v>
      </c>
    </row>
    <row r="220" spans="1:3" x14ac:dyDescent="0.3">
      <c r="A220" s="164" t="s">
        <v>121</v>
      </c>
      <c r="B220" t="s">
        <v>380</v>
      </c>
      <c r="C220" t="s">
        <v>122</v>
      </c>
    </row>
    <row r="221" spans="1:3" x14ac:dyDescent="0.3">
      <c r="A221" s="164" t="s">
        <v>1877</v>
      </c>
      <c r="B221" t="s">
        <v>83</v>
      </c>
      <c r="C221" t="s">
        <v>146</v>
      </c>
    </row>
    <row r="222" spans="1:3" x14ac:dyDescent="0.3">
      <c r="A222" s="164" t="s">
        <v>713</v>
      </c>
      <c r="B222" t="s">
        <v>2344</v>
      </c>
      <c r="C222" t="s">
        <v>2378</v>
      </c>
    </row>
    <row r="223" spans="1:3" x14ac:dyDescent="0.3">
      <c r="A223" s="164" t="s">
        <v>2045</v>
      </c>
      <c r="B223" t="s">
        <v>83</v>
      </c>
      <c r="C223" t="s">
        <v>1243</v>
      </c>
    </row>
    <row r="224" spans="1:3" x14ac:dyDescent="0.3">
      <c r="A224" s="164" t="s">
        <v>2045</v>
      </c>
      <c r="B224" t="s">
        <v>83</v>
      </c>
      <c r="C224" t="s">
        <v>1020</v>
      </c>
    </row>
    <row r="225" spans="1:3" x14ac:dyDescent="0.3">
      <c r="A225" s="164" t="s">
        <v>2045</v>
      </c>
      <c r="B225" t="s">
        <v>83</v>
      </c>
      <c r="C225" t="s">
        <v>811</v>
      </c>
    </row>
    <row r="226" spans="1:3" x14ac:dyDescent="0.3">
      <c r="A226" s="164" t="s">
        <v>2373</v>
      </c>
      <c r="B226" t="s">
        <v>380</v>
      </c>
      <c r="C226" t="s">
        <v>469</v>
      </c>
    </row>
    <row r="227" spans="1:3" x14ac:dyDescent="0.3">
      <c r="A227" s="164" t="s">
        <v>1605</v>
      </c>
      <c r="B227" t="s">
        <v>380</v>
      </c>
      <c r="C227" t="s">
        <v>1447</v>
      </c>
    </row>
    <row r="228" spans="1:3" x14ac:dyDescent="0.3">
      <c r="A228" s="164" t="s">
        <v>695</v>
      </c>
      <c r="B228" t="s">
        <v>380</v>
      </c>
      <c r="C228" t="s">
        <v>1147</v>
      </c>
    </row>
    <row r="229" spans="1:3" x14ac:dyDescent="0.3">
      <c r="A229" s="164" t="s">
        <v>898</v>
      </c>
      <c r="B229" t="s">
        <v>380</v>
      </c>
      <c r="C229" t="s">
        <v>880</v>
      </c>
    </row>
    <row r="230" spans="1:3" x14ac:dyDescent="0.3">
      <c r="A230" s="164" t="s">
        <v>2083</v>
      </c>
      <c r="B230" t="s">
        <v>380</v>
      </c>
      <c r="C230" t="s">
        <v>1367</v>
      </c>
    </row>
    <row r="231" spans="1:3" x14ac:dyDescent="0.3">
      <c r="A231" s="164" t="s">
        <v>1891</v>
      </c>
      <c r="B231" t="s">
        <v>380</v>
      </c>
      <c r="C231" t="s">
        <v>1263</v>
      </c>
    </row>
    <row r="232" spans="1:3" x14ac:dyDescent="0.3">
      <c r="A232" s="164" t="s">
        <v>1952</v>
      </c>
      <c r="B232" t="s">
        <v>380</v>
      </c>
      <c r="C232" t="s">
        <v>919</v>
      </c>
    </row>
    <row r="233" spans="1:3" x14ac:dyDescent="0.3">
      <c r="A233" s="164" t="s">
        <v>2383</v>
      </c>
      <c r="B233" t="s">
        <v>380</v>
      </c>
      <c r="C233" t="s">
        <v>1913</v>
      </c>
    </row>
    <row r="234" spans="1:3" x14ac:dyDescent="0.3">
      <c r="A234" s="164">
        <v>37553</v>
      </c>
      <c r="B234" t="s">
        <v>83</v>
      </c>
      <c r="C234" t="s">
        <v>2511</v>
      </c>
    </row>
    <row r="235" spans="1:3" x14ac:dyDescent="0.3">
      <c r="A235" s="164">
        <v>37553</v>
      </c>
      <c r="B235" t="s">
        <v>83</v>
      </c>
      <c r="C235" t="s">
        <v>1123</v>
      </c>
    </row>
    <row r="236" spans="1:3" x14ac:dyDescent="0.3">
      <c r="A236" s="164" t="s">
        <v>837</v>
      </c>
      <c r="B236" t="s">
        <v>380</v>
      </c>
      <c r="C236" t="s">
        <v>1500</v>
      </c>
    </row>
    <row r="237" spans="1:3" x14ac:dyDescent="0.3">
      <c r="A237" s="164" t="s">
        <v>2509</v>
      </c>
      <c r="B237" t="s">
        <v>380</v>
      </c>
      <c r="C237" t="s">
        <v>2500</v>
      </c>
    </row>
    <row r="238" spans="1:3" x14ac:dyDescent="0.3">
      <c r="A238" s="164" t="s">
        <v>1689</v>
      </c>
      <c r="B238" t="s">
        <v>380</v>
      </c>
      <c r="C238" t="s">
        <v>38</v>
      </c>
    </row>
    <row r="239" spans="1:3" x14ac:dyDescent="0.3">
      <c r="A239" s="164">
        <v>37558</v>
      </c>
      <c r="B239" t="s">
        <v>83</v>
      </c>
      <c r="C239" t="s">
        <v>2387</v>
      </c>
    </row>
    <row r="240" spans="1:3" x14ac:dyDescent="0.3">
      <c r="A240" s="164">
        <v>37560</v>
      </c>
      <c r="B240" t="s">
        <v>83</v>
      </c>
      <c r="C240" t="s">
        <v>2490</v>
      </c>
    </row>
    <row r="241" spans="1:3" x14ac:dyDescent="0.3">
      <c r="A241" s="164">
        <v>37567</v>
      </c>
      <c r="B241" t="s">
        <v>83</v>
      </c>
      <c r="C241" t="s">
        <v>1225</v>
      </c>
    </row>
    <row r="242" spans="1:3" x14ac:dyDescent="0.3">
      <c r="A242" s="164">
        <v>37568</v>
      </c>
      <c r="B242" t="s">
        <v>83</v>
      </c>
      <c r="C242" t="s">
        <v>340</v>
      </c>
    </row>
    <row r="243" spans="1:3" x14ac:dyDescent="0.3">
      <c r="A243" s="164" t="s">
        <v>1686</v>
      </c>
      <c r="B243" t="s">
        <v>380</v>
      </c>
      <c r="C243" t="s">
        <v>492</v>
      </c>
    </row>
    <row r="244" spans="1:3" x14ac:dyDescent="0.3">
      <c r="A244" s="164" t="s">
        <v>2291</v>
      </c>
      <c r="B244" t="s">
        <v>380</v>
      </c>
      <c r="C244" t="s">
        <v>1057</v>
      </c>
    </row>
    <row r="245" spans="1:3" x14ac:dyDescent="0.3">
      <c r="A245" s="164" t="s">
        <v>838</v>
      </c>
      <c r="B245" t="s">
        <v>380</v>
      </c>
      <c r="C245" t="s">
        <v>712</v>
      </c>
    </row>
    <row r="246" spans="1:3" x14ac:dyDescent="0.3">
      <c r="A246" s="164" t="s">
        <v>1017</v>
      </c>
      <c r="B246" t="s">
        <v>380</v>
      </c>
      <c r="C246" t="s">
        <v>69</v>
      </c>
    </row>
    <row r="247" spans="1:3" x14ac:dyDescent="0.3">
      <c r="A247" s="165">
        <v>37578</v>
      </c>
      <c r="B247" t="s">
        <v>2207</v>
      </c>
      <c r="C247" t="s">
        <v>2047</v>
      </c>
    </row>
    <row r="248" spans="1:3" x14ac:dyDescent="0.3">
      <c r="A248" s="165">
        <v>37580</v>
      </c>
      <c r="B248" t="s">
        <v>83</v>
      </c>
      <c r="C248" t="s">
        <v>1216</v>
      </c>
    </row>
    <row r="249" spans="1:3" x14ac:dyDescent="0.3">
      <c r="A249" s="165">
        <v>37585</v>
      </c>
      <c r="B249" t="s">
        <v>83</v>
      </c>
      <c r="C249" t="s">
        <v>127</v>
      </c>
    </row>
    <row r="250" spans="1:3" x14ac:dyDescent="0.3">
      <c r="A250" s="165">
        <v>37585</v>
      </c>
      <c r="B250" t="s">
        <v>83</v>
      </c>
      <c r="C250" t="s">
        <v>1860</v>
      </c>
    </row>
    <row r="251" spans="1:3" x14ac:dyDescent="0.3">
      <c r="A251" s="165">
        <v>37585</v>
      </c>
      <c r="B251" t="s">
        <v>83</v>
      </c>
      <c r="C251" t="s">
        <v>1124</v>
      </c>
    </row>
    <row r="252" spans="1:3" x14ac:dyDescent="0.3">
      <c r="A252" s="165">
        <v>37586</v>
      </c>
      <c r="B252" t="s">
        <v>83</v>
      </c>
      <c r="C252" t="s">
        <v>2399</v>
      </c>
    </row>
    <row r="253" spans="1:3" x14ac:dyDescent="0.3">
      <c r="A253" s="165">
        <v>37591</v>
      </c>
      <c r="B253" t="s">
        <v>83</v>
      </c>
      <c r="C253" t="s">
        <v>629</v>
      </c>
    </row>
    <row r="254" spans="1:3" x14ac:dyDescent="0.3">
      <c r="A254" s="165">
        <v>37593</v>
      </c>
      <c r="B254" t="s">
        <v>2207</v>
      </c>
      <c r="C254" t="s">
        <v>2020</v>
      </c>
    </row>
    <row r="255" spans="1:3" x14ac:dyDescent="0.3">
      <c r="A255" s="165">
        <v>37593</v>
      </c>
      <c r="B255" t="s">
        <v>2207</v>
      </c>
      <c r="C255" t="s">
        <v>653</v>
      </c>
    </row>
    <row r="256" spans="1:3" x14ac:dyDescent="0.3">
      <c r="A256" s="164" t="s">
        <v>1098</v>
      </c>
      <c r="B256" t="s">
        <v>380</v>
      </c>
      <c r="C256" t="s">
        <v>1099</v>
      </c>
    </row>
    <row r="257" spans="1:3" x14ac:dyDescent="0.3">
      <c r="A257" s="164" t="s">
        <v>862</v>
      </c>
      <c r="B257" t="s">
        <v>380</v>
      </c>
      <c r="C257" t="s">
        <v>830</v>
      </c>
    </row>
    <row r="258" spans="1:3" x14ac:dyDescent="0.3">
      <c r="A258" s="164" t="s">
        <v>1768</v>
      </c>
      <c r="B258" t="s">
        <v>380</v>
      </c>
      <c r="C258" t="s">
        <v>912</v>
      </c>
    </row>
    <row r="259" spans="1:3" x14ac:dyDescent="0.3">
      <c r="A259" s="164" t="s">
        <v>2483</v>
      </c>
      <c r="B259" t="s">
        <v>83</v>
      </c>
      <c r="C259" t="s">
        <v>129</v>
      </c>
    </row>
    <row r="260" spans="1:3" x14ac:dyDescent="0.3">
      <c r="A260" s="164" t="s">
        <v>2445</v>
      </c>
      <c r="B260" t="s">
        <v>380</v>
      </c>
      <c r="C260" t="s">
        <v>1301</v>
      </c>
    </row>
    <row r="261" spans="1:3" x14ac:dyDescent="0.3">
      <c r="A261" s="164" t="s">
        <v>1063</v>
      </c>
      <c r="B261" t="s">
        <v>380</v>
      </c>
      <c r="C261" t="s">
        <v>1920</v>
      </c>
    </row>
    <row r="262" spans="1:3" x14ac:dyDescent="0.3">
      <c r="A262" s="164" t="s">
        <v>1325</v>
      </c>
      <c r="B262" t="s">
        <v>380</v>
      </c>
      <c r="C262" t="s">
        <v>1421</v>
      </c>
    </row>
    <row r="263" spans="1:3" x14ac:dyDescent="0.3">
      <c r="A263" s="164" t="s">
        <v>2155</v>
      </c>
      <c r="B263" t="s">
        <v>380</v>
      </c>
      <c r="C263" t="s">
        <v>1389</v>
      </c>
    </row>
    <row r="264" spans="1:3" x14ac:dyDescent="0.3">
      <c r="A264" s="164" t="s">
        <v>2156</v>
      </c>
      <c r="B264" t="s">
        <v>380</v>
      </c>
      <c r="C264" t="s">
        <v>28</v>
      </c>
    </row>
    <row r="265" spans="1:3" x14ac:dyDescent="0.3">
      <c r="A265" s="164" t="s">
        <v>671</v>
      </c>
      <c r="B265" t="s">
        <v>380</v>
      </c>
      <c r="C265" t="s">
        <v>1431</v>
      </c>
    </row>
    <row r="266" spans="1:3" x14ac:dyDescent="0.3">
      <c r="A266" s="164" t="s">
        <v>345</v>
      </c>
      <c r="B266" t="s">
        <v>380</v>
      </c>
      <c r="C266" t="s">
        <v>2402</v>
      </c>
    </row>
    <row r="267" spans="1:3" x14ac:dyDescent="0.3">
      <c r="A267" s="164" t="s">
        <v>802</v>
      </c>
      <c r="B267" t="s">
        <v>380</v>
      </c>
      <c r="C267" t="s">
        <v>595</v>
      </c>
    </row>
    <row r="268" spans="1:3" x14ac:dyDescent="0.3">
      <c r="A268" s="164" t="s">
        <v>1637</v>
      </c>
      <c r="B268" t="s">
        <v>380</v>
      </c>
      <c r="C268" t="s">
        <v>29</v>
      </c>
    </row>
    <row r="269" spans="1:3" x14ac:dyDescent="0.3">
      <c r="A269" s="164" t="s">
        <v>1319</v>
      </c>
      <c r="B269" t="s">
        <v>380</v>
      </c>
      <c r="C269" t="s">
        <v>1320</v>
      </c>
    </row>
    <row r="270" spans="1:3" x14ac:dyDescent="0.3">
      <c r="A270" s="164" t="s">
        <v>1061</v>
      </c>
      <c r="B270" t="s">
        <v>380</v>
      </c>
      <c r="C270" t="s">
        <v>1062</v>
      </c>
    </row>
    <row r="271" spans="1:3" x14ac:dyDescent="0.3">
      <c r="A271" s="164" t="s">
        <v>987</v>
      </c>
      <c r="B271" t="s">
        <v>380</v>
      </c>
      <c r="C271" t="s">
        <v>85</v>
      </c>
    </row>
    <row r="272" spans="1:3" x14ac:dyDescent="0.3">
      <c r="A272" s="164" t="s">
        <v>1781</v>
      </c>
      <c r="B272" t="s">
        <v>380</v>
      </c>
      <c r="C272" t="s">
        <v>1526</v>
      </c>
    </row>
    <row r="273" spans="1:3" x14ac:dyDescent="0.3">
      <c r="A273" s="164" t="s">
        <v>1197</v>
      </c>
      <c r="B273" t="s">
        <v>380</v>
      </c>
      <c r="C273" t="s">
        <v>2185</v>
      </c>
    </row>
    <row r="274" spans="1:3" x14ac:dyDescent="0.3">
      <c r="A274" s="164" t="s">
        <v>145</v>
      </c>
      <c r="B274" t="s">
        <v>83</v>
      </c>
      <c r="C274" t="s">
        <v>422</v>
      </c>
    </row>
    <row r="275" spans="1:3" x14ac:dyDescent="0.3">
      <c r="A275" s="164" t="s">
        <v>2484</v>
      </c>
      <c r="B275" t="s">
        <v>83</v>
      </c>
      <c r="C275" t="s">
        <v>1830</v>
      </c>
    </row>
    <row r="276" spans="1:3" x14ac:dyDescent="0.3">
      <c r="A276" s="165">
        <v>37706</v>
      </c>
      <c r="B276" t="s">
        <v>2207</v>
      </c>
      <c r="C276" t="s">
        <v>1426</v>
      </c>
    </row>
    <row r="277" spans="1:3" x14ac:dyDescent="0.3">
      <c r="A277" s="164" t="s">
        <v>1745</v>
      </c>
      <c r="B277" t="s">
        <v>380</v>
      </c>
      <c r="C277" t="s">
        <v>685</v>
      </c>
    </row>
    <row r="278" spans="1:3" x14ac:dyDescent="0.3">
      <c r="A278" s="164" t="s">
        <v>1348</v>
      </c>
      <c r="B278" t="s">
        <v>380</v>
      </c>
      <c r="C278" t="s">
        <v>1378</v>
      </c>
    </row>
    <row r="279" spans="1:3" x14ac:dyDescent="0.3">
      <c r="A279" s="164" t="s">
        <v>1205</v>
      </c>
      <c r="B279" t="s">
        <v>380</v>
      </c>
      <c r="C279" t="s">
        <v>80</v>
      </c>
    </row>
    <row r="280" spans="1:3" x14ac:dyDescent="0.3">
      <c r="A280" s="164" t="s">
        <v>478</v>
      </c>
      <c r="B280" t="s">
        <v>380</v>
      </c>
      <c r="C280" t="s">
        <v>1460</v>
      </c>
    </row>
    <row r="281" spans="1:3" x14ac:dyDescent="0.3">
      <c r="A281" s="164" t="s">
        <v>1223</v>
      </c>
      <c r="B281" t="s">
        <v>380</v>
      </c>
      <c r="C281" t="s">
        <v>1707</v>
      </c>
    </row>
    <row r="282" spans="1:3" x14ac:dyDescent="0.3">
      <c r="A282" s="164" t="s">
        <v>1652</v>
      </c>
      <c r="B282" t="s">
        <v>380</v>
      </c>
      <c r="C282" t="s">
        <v>1125</v>
      </c>
    </row>
    <row r="283" spans="1:3" x14ac:dyDescent="0.3">
      <c r="A283" s="164" t="s">
        <v>2121</v>
      </c>
      <c r="B283" t="s">
        <v>83</v>
      </c>
      <c r="C283" t="s">
        <v>959</v>
      </c>
    </row>
    <row r="284" spans="1:3" x14ac:dyDescent="0.3">
      <c r="A284" s="165">
        <v>37746</v>
      </c>
      <c r="B284" t="s">
        <v>2207</v>
      </c>
      <c r="C284" t="s">
        <v>606</v>
      </c>
    </row>
    <row r="285" spans="1:3" x14ac:dyDescent="0.3">
      <c r="A285" s="164" t="s">
        <v>669</v>
      </c>
      <c r="B285" t="s">
        <v>380</v>
      </c>
      <c r="C285" t="s">
        <v>670</v>
      </c>
    </row>
    <row r="286" spans="1:3" x14ac:dyDescent="0.3">
      <c r="A286" s="164" t="s">
        <v>213</v>
      </c>
      <c r="B286" t="s">
        <v>380</v>
      </c>
      <c r="C286" t="s">
        <v>828</v>
      </c>
    </row>
    <row r="287" spans="1:3" x14ac:dyDescent="0.3">
      <c r="A287" s="164" t="s">
        <v>1511</v>
      </c>
      <c r="B287" t="s">
        <v>380</v>
      </c>
      <c r="C287" t="s">
        <v>1992</v>
      </c>
    </row>
    <row r="288" spans="1:3" x14ac:dyDescent="0.3">
      <c r="A288" s="164" t="s">
        <v>1283</v>
      </c>
      <c r="B288" t="s">
        <v>380</v>
      </c>
      <c r="C288" t="s">
        <v>2342</v>
      </c>
    </row>
    <row r="289" spans="1:3" x14ac:dyDescent="0.3">
      <c r="A289" s="164" t="s">
        <v>1473</v>
      </c>
      <c r="B289" t="s">
        <v>380</v>
      </c>
      <c r="C289" t="s">
        <v>354</v>
      </c>
    </row>
    <row r="290" spans="1:3" x14ac:dyDescent="0.3">
      <c r="A290" s="164" t="s">
        <v>560</v>
      </c>
      <c r="B290" t="s">
        <v>380</v>
      </c>
      <c r="C290" t="s">
        <v>1512</v>
      </c>
    </row>
    <row r="291" spans="1:3" x14ac:dyDescent="0.3">
      <c r="A291" s="164" t="s">
        <v>965</v>
      </c>
      <c r="B291" t="s">
        <v>83</v>
      </c>
      <c r="C291" t="s">
        <v>726</v>
      </c>
    </row>
    <row r="292" spans="1:3" x14ac:dyDescent="0.3">
      <c r="A292" s="164" t="s">
        <v>538</v>
      </c>
      <c r="B292" t="s">
        <v>380</v>
      </c>
      <c r="C292" t="s">
        <v>645</v>
      </c>
    </row>
    <row r="293" spans="1:3" x14ac:dyDescent="0.3">
      <c r="A293" s="164" t="s">
        <v>538</v>
      </c>
      <c r="B293" t="s">
        <v>83</v>
      </c>
      <c r="C293" t="s">
        <v>910</v>
      </c>
    </row>
    <row r="294" spans="1:3" x14ac:dyDescent="0.3">
      <c r="A294" s="164" t="s">
        <v>1483</v>
      </c>
      <c r="B294" t="s">
        <v>380</v>
      </c>
      <c r="C294" t="s">
        <v>578</v>
      </c>
    </row>
    <row r="295" spans="1:3" x14ac:dyDescent="0.3">
      <c r="A295" s="165">
        <v>37783</v>
      </c>
      <c r="B295" t="s">
        <v>2207</v>
      </c>
      <c r="C295" t="s">
        <v>532</v>
      </c>
    </row>
    <row r="296" spans="1:3" x14ac:dyDescent="0.3">
      <c r="A296" s="165">
        <v>37783</v>
      </c>
      <c r="B296" t="s">
        <v>2207</v>
      </c>
      <c r="C296" t="s">
        <v>1617</v>
      </c>
    </row>
    <row r="297" spans="1:3" x14ac:dyDescent="0.3">
      <c r="A297" s="165">
        <v>37788</v>
      </c>
      <c r="B297" t="s">
        <v>2207</v>
      </c>
      <c r="C297" t="s">
        <v>1900</v>
      </c>
    </row>
    <row r="298" spans="1:3" x14ac:dyDescent="0.3">
      <c r="A298" s="164" t="s">
        <v>1863</v>
      </c>
      <c r="B298" t="s">
        <v>380</v>
      </c>
      <c r="C298" t="s">
        <v>977</v>
      </c>
    </row>
    <row r="299" spans="1:3" x14ac:dyDescent="0.3">
      <c r="A299" s="165">
        <v>37791</v>
      </c>
      <c r="B299" t="s">
        <v>2207</v>
      </c>
      <c r="C299" t="s">
        <v>1593</v>
      </c>
    </row>
    <row r="300" spans="1:3" x14ac:dyDescent="0.3">
      <c r="A300" s="165">
        <v>37791</v>
      </c>
      <c r="B300" t="s">
        <v>2344</v>
      </c>
      <c r="C300" t="s">
        <v>1043</v>
      </c>
    </row>
    <row r="301" spans="1:3" x14ac:dyDescent="0.3">
      <c r="A301" s="164" t="s">
        <v>1400</v>
      </c>
      <c r="B301" t="s">
        <v>380</v>
      </c>
      <c r="C301" t="s">
        <v>826</v>
      </c>
    </row>
    <row r="302" spans="1:3" x14ac:dyDescent="0.3">
      <c r="A302" s="164" t="s">
        <v>1369</v>
      </c>
      <c r="B302" t="s">
        <v>380</v>
      </c>
      <c r="C302" t="s">
        <v>363</v>
      </c>
    </row>
    <row r="303" spans="1:3" x14ac:dyDescent="0.3">
      <c r="A303" s="164" t="s">
        <v>425</v>
      </c>
      <c r="B303" t="s">
        <v>380</v>
      </c>
      <c r="C303" t="s">
        <v>351</v>
      </c>
    </row>
    <row r="304" spans="1:3" x14ac:dyDescent="0.3">
      <c r="A304" s="165">
        <v>37810</v>
      </c>
      <c r="B304" t="s">
        <v>380</v>
      </c>
      <c r="C304" t="s">
        <v>666</v>
      </c>
    </row>
    <row r="305" spans="1:3" x14ac:dyDescent="0.3">
      <c r="A305" s="164" t="s">
        <v>1370</v>
      </c>
      <c r="B305" t="s">
        <v>380</v>
      </c>
      <c r="C305" t="s">
        <v>201</v>
      </c>
    </row>
    <row r="306" spans="1:3" x14ac:dyDescent="0.3">
      <c r="A306" s="164" t="s">
        <v>1983</v>
      </c>
      <c r="B306" t="s">
        <v>380</v>
      </c>
      <c r="C306" t="s">
        <v>887</v>
      </c>
    </row>
    <row r="307" spans="1:3" x14ac:dyDescent="0.3">
      <c r="A307" s="164" t="s">
        <v>401</v>
      </c>
      <c r="B307" t="s">
        <v>380</v>
      </c>
      <c r="C307" t="s">
        <v>70</v>
      </c>
    </row>
    <row r="308" spans="1:3" x14ac:dyDescent="0.3">
      <c r="A308" s="164" t="s">
        <v>1585</v>
      </c>
      <c r="B308" t="s">
        <v>83</v>
      </c>
      <c r="C308" t="s">
        <v>1580</v>
      </c>
    </row>
    <row r="309" spans="1:3" x14ac:dyDescent="0.3">
      <c r="A309" s="164" t="s">
        <v>1585</v>
      </c>
      <c r="B309" t="s">
        <v>380</v>
      </c>
      <c r="C309" t="s">
        <v>1471</v>
      </c>
    </row>
    <row r="310" spans="1:3" x14ac:dyDescent="0.3">
      <c r="A310" s="164" t="s">
        <v>2021</v>
      </c>
      <c r="B310" t="s">
        <v>380</v>
      </c>
      <c r="C310" t="s">
        <v>2184</v>
      </c>
    </row>
    <row r="311" spans="1:3" x14ac:dyDescent="0.3">
      <c r="A311" s="164" t="s">
        <v>181</v>
      </c>
      <c r="B311" t="s">
        <v>83</v>
      </c>
      <c r="C311" t="s">
        <v>913</v>
      </c>
    </row>
    <row r="312" spans="1:3" x14ac:dyDescent="0.3">
      <c r="A312" s="164" t="s">
        <v>1254</v>
      </c>
      <c r="B312" t="s">
        <v>83</v>
      </c>
      <c r="C312" t="s">
        <v>102</v>
      </c>
    </row>
    <row r="313" spans="1:3" x14ac:dyDescent="0.3">
      <c r="A313" s="164" t="s">
        <v>944</v>
      </c>
      <c r="B313" t="s">
        <v>83</v>
      </c>
      <c r="C313" t="s">
        <v>1626</v>
      </c>
    </row>
    <row r="314" spans="1:3" x14ac:dyDescent="0.3">
      <c r="A314" s="164" t="s">
        <v>944</v>
      </c>
      <c r="B314" t="s">
        <v>380</v>
      </c>
      <c r="C314" t="s">
        <v>1570</v>
      </c>
    </row>
    <row r="315" spans="1:3" x14ac:dyDescent="0.3">
      <c r="A315" s="164" t="s">
        <v>2206</v>
      </c>
      <c r="B315" t="s">
        <v>380</v>
      </c>
      <c r="C315" t="s">
        <v>675</v>
      </c>
    </row>
    <row r="316" spans="1:3" x14ac:dyDescent="0.3">
      <c r="A316" s="164" t="s">
        <v>1636</v>
      </c>
      <c r="B316" t="s">
        <v>380</v>
      </c>
      <c r="C316" t="s">
        <v>1129</v>
      </c>
    </row>
    <row r="317" spans="1:3" x14ac:dyDescent="0.3">
      <c r="A317" s="164" t="s">
        <v>665</v>
      </c>
      <c r="B317" t="s">
        <v>380</v>
      </c>
      <c r="C317" t="s">
        <v>1246</v>
      </c>
    </row>
    <row r="318" spans="1:3" x14ac:dyDescent="0.3">
      <c r="A318" s="164" t="s">
        <v>850</v>
      </c>
      <c r="B318" t="s">
        <v>380</v>
      </c>
      <c r="C318" t="s">
        <v>1202</v>
      </c>
    </row>
    <row r="319" spans="1:3" x14ac:dyDescent="0.3">
      <c r="A319" s="164" t="s">
        <v>775</v>
      </c>
      <c r="B319" t="s">
        <v>83</v>
      </c>
      <c r="C319" t="s">
        <v>2330</v>
      </c>
    </row>
    <row r="320" spans="1:3" x14ac:dyDescent="0.3">
      <c r="A320" s="164" t="s">
        <v>774</v>
      </c>
      <c r="B320" t="s">
        <v>380</v>
      </c>
      <c r="C320" t="s">
        <v>159</v>
      </c>
    </row>
    <row r="321" spans="1:3" x14ac:dyDescent="0.3">
      <c r="A321" s="164" t="s">
        <v>209</v>
      </c>
      <c r="B321" t="s">
        <v>380</v>
      </c>
      <c r="C321" t="s">
        <v>577</v>
      </c>
    </row>
    <row r="322" spans="1:3" x14ac:dyDescent="0.3">
      <c r="A322" s="164" t="s">
        <v>470</v>
      </c>
      <c r="B322" t="s">
        <v>380</v>
      </c>
      <c r="C322" t="s">
        <v>1402</v>
      </c>
    </row>
    <row r="323" spans="1:3" x14ac:dyDescent="0.3">
      <c r="A323" s="164" t="s">
        <v>2427</v>
      </c>
      <c r="B323" t="s">
        <v>380</v>
      </c>
      <c r="C323" t="s">
        <v>360</v>
      </c>
    </row>
    <row r="324" spans="1:3" x14ac:dyDescent="0.3">
      <c r="A324" s="164" t="s">
        <v>1434</v>
      </c>
      <c r="B324" t="s">
        <v>380</v>
      </c>
      <c r="C324" t="s">
        <v>117</v>
      </c>
    </row>
    <row r="325" spans="1:3" x14ac:dyDescent="0.3">
      <c r="A325" s="165">
        <v>34214</v>
      </c>
      <c r="B325" t="s">
        <v>380</v>
      </c>
      <c r="C325" t="s">
        <v>548</v>
      </c>
    </row>
    <row r="326" spans="1:3" x14ac:dyDescent="0.3">
      <c r="A326" s="164" t="s">
        <v>2293</v>
      </c>
      <c r="B326" t="s">
        <v>380</v>
      </c>
      <c r="C326" t="s">
        <v>1033</v>
      </c>
    </row>
    <row r="327" spans="1:3" x14ac:dyDescent="0.3">
      <c r="A327" s="164" t="s">
        <v>1250</v>
      </c>
      <c r="B327" t="s">
        <v>380</v>
      </c>
      <c r="C327" t="s">
        <v>2216</v>
      </c>
    </row>
    <row r="328" spans="1:3" x14ac:dyDescent="0.3">
      <c r="A328" s="164" t="s">
        <v>1987</v>
      </c>
      <c r="B328" t="s">
        <v>380</v>
      </c>
      <c r="C328" t="s">
        <v>1269</v>
      </c>
    </row>
    <row r="329" spans="1:3" x14ac:dyDescent="0.3">
      <c r="A329" s="165">
        <v>37872</v>
      </c>
      <c r="B329" t="s">
        <v>2344</v>
      </c>
      <c r="C329" t="s">
        <v>580</v>
      </c>
    </row>
    <row r="330" spans="1:3" x14ac:dyDescent="0.3">
      <c r="A330" s="164" t="s">
        <v>55</v>
      </c>
      <c r="B330" t="s">
        <v>380</v>
      </c>
      <c r="C330" t="s">
        <v>2299</v>
      </c>
    </row>
    <row r="331" spans="1:3" x14ac:dyDescent="0.3">
      <c r="A331" s="164" t="s">
        <v>1561</v>
      </c>
      <c r="B331" t="s">
        <v>380</v>
      </c>
      <c r="C331" t="s">
        <v>1522</v>
      </c>
    </row>
    <row r="332" spans="1:3" x14ac:dyDescent="0.3">
      <c r="A332" s="164" t="s">
        <v>920</v>
      </c>
      <c r="B332" t="s">
        <v>380</v>
      </c>
      <c r="C332" t="s">
        <v>921</v>
      </c>
    </row>
    <row r="333" spans="1:3" x14ac:dyDescent="0.3">
      <c r="A333" s="164" t="s">
        <v>141</v>
      </c>
      <c r="B333" t="s">
        <v>380</v>
      </c>
      <c r="C333" t="s">
        <v>1715</v>
      </c>
    </row>
    <row r="334" spans="1:3" x14ac:dyDescent="0.3">
      <c r="A334" s="164" t="s">
        <v>1782</v>
      </c>
      <c r="B334" t="s">
        <v>380</v>
      </c>
      <c r="C334" t="s">
        <v>1349</v>
      </c>
    </row>
    <row r="335" spans="1:3" x14ac:dyDescent="0.3">
      <c r="A335" s="164" t="s">
        <v>1967</v>
      </c>
      <c r="B335" t="s">
        <v>83</v>
      </c>
      <c r="C335" t="s">
        <v>2443</v>
      </c>
    </row>
    <row r="336" spans="1:3" x14ac:dyDescent="0.3">
      <c r="A336" s="165">
        <v>37880</v>
      </c>
      <c r="B336" t="s">
        <v>380</v>
      </c>
      <c r="C336" t="s">
        <v>204</v>
      </c>
    </row>
    <row r="337" spans="1:3" x14ac:dyDescent="0.3">
      <c r="A337" s="164" t="s">
        <v>979</v>
      </c>
      <c r="B337" t="s">
        <v>380</v>
      </c>
      <c r="C337" t="s">
        <v>1553</v>
      </c>
    </row>
    <row r="338" spans="1:3" x14ac:dyDescent="0.3">
      <c r="A338" s="164" t="s">
        <v>690</v>
      </c>
      <c r="B338" t="s">
        <v>380</v>
      </c>
      <c r="C338" t="s">
        <v>2204</v>
      </c>
    </row>
    <row r="339" spans="1:3" x14ac:dyDescent="0.3">
      <c r="A339" s="164" t="s">
        <v>1775</v>
      </c>
      <c r="B339" t="s">
        <v>83</v>
      </c>
      <c r="C339" t="s">
        <v>1796</v>
      </c>
    </row>
    <row r="340" spans="1:3" x14ac:dyDescent="0.3">
      <c r="A340" s="164" t="s">
        <v>2094</v>
      </c>
      <c r="B340" t="s">
        <v>380</v>
      </c>
      <c r="C340" t="s">
        <v>972</v>
      </c>
    </row>
    <row r="341" spans="1:3" x14ac:dyDescent="0.3">
      <c r="A341" s="164" t="s">
        <v>1722</v>
      </c>
      <c r="B341" t="s">
        <v>380</v>
      </c>
      <c r="C341" t="s">
        <v>541</v>
      </c>
    </row>
    <row r="342" spans="1:3" x14ac:dyDescent="0.3">
      <c r="A342" s="164" t="s">
        <v>812</v>
      </c>
      <c r="B342" t="s">
        <v>380</v>
      </c>
      <c r="C342" t="s">
        <v>918</v>
      </c>
    </row>
    <row r="343" spans="1:3" x14ac:dyDescent="0.3">
      <c r="A343" s="164" t="s">
        <v>1892</v>
      </c>
      <c r="B343" t="s">
        <v>380</v>
      </c>
      <c r="C343" t="s">
        <v>1408</v>
      </c>
    </row>
    <row r="344" spans="1:3" x14ac:dyDescent="0.3">
      <c r="A344" s="164" t="s">
        <v>1174</v>
      </c>
      <c r="B344" t="s">
        <v>380</v>
      </c>
      <c r="C344" t="s">
        <v>2357</v>
      </c>
    </row>
    <row r="345" spans="1:3" x14ac:dyDescent="0.3">
      <c r="A345" s="164" t="s">
        <v>983</v>
      </c>
      <c r="B345" t="s">
        <v>380</v>
      </c>
      <c r="C345" t="s">
        <v>729</v>
      </c>
    </row>
    <row r="346" spans="1:3" x14ac:dyDescent="0.3">
      <c r="A346" s="164" t="s">
        <v>1620</v>
      </c>
      <c r="B346" t="s">
        <v>380</v>
      </c>
      <c r="C346" t="s">
        <v>968</v>
      </c>
    </row>
    <row r="347" spans="1:3" x14ac:dyDescent="0.3">
      <c r="A347" s="164" t="s">
        <v>1171</v>
      </c>
      <c r="B347" t="s">
        <v>380</v>
      </c>
      <c r="C347" t="s">
        <v>953</v>
      </c>
    </row>
    <row r="348" spans="1:3" x14ac:dyDescent="0.3">
      <c r="A348" s="164" t="s">
        <v>2203</v>
      </c>
      <c r="B348" t="s">
        <v>380</v>
      </c>
      <c r="C348" t="s">
        <v>2118</v>
      </c>
    </row>
    <row r="349" spans="1:3" x14ac:dyDescent="0.3">
      <c r="A349" s="164" t="s">
        <v>915</v>
      </c>
      <c r="B349" t="s">
        <v>380</v>
      </c>
      <c r="C349" t="s">
        <v>2100</v>
      </c>
    </row>
    <row r="350" spans="1:3" x14ac:dyDescent="0.3">
      <c r="A350" s="164" t="s">
        <v>915</v>
      </c>
      <c r="B350" t="s">
        <v>83</v>
      </c>
      <c r="C350" t="s">
        <v>107</v>
      </c>
    </row>
    <row r="351" spans="1:3" x14ac:dyDescent="0.3">
      <c r="A351" s="164" t="s">
        <v>383</v>
      </c>
      <c r="B351" t="s">
        <v>380</v>
      </c>
      <c r="C351" t="s">
        <v>384</v>
      </c>
    </row>
    <row r="352" spans="1:3" x14ac:dyDescent="0.3">
      <c r="A352" s="164" t="s">
        <v>383</v>
      </c>
      <c r="B352" t="s">
        <v>83</v>
      </c>
      <c r="C352" t="s">
        <v>2223</v>
      </c>
    </row>
    <row r="353" spans="1:3" x14ac:dyDescent="0.3">
      <c r="A353" s="164" t="s">
        <v>383</v>
      </c>
      <c r="B353" t="s">
        <v>83</v>
      </c>
      <c r="C353" t="s">
        <v>1994</v>
      </c>
    </row>
    <row r="354" spans="1:3" x14ac:dyDescent="0.3">
      <c r="A354" s="164" t="s">
        <v>103</v>
      </c>
      <c r="B354" t="s">
        <v>380</v>
      </c>
      <c r="C354" t="s">
        <v>1941</v>
      </c>
    </row>
    <row r="355" spans="1:3" x14ac:dyDescent="0.3">
      <c r="A355" s="164" t="s">
        <v>569</v>
      </c>
      <c r="B355" t="s">
        <v>83</v>
      </c>
      <c r="C355" t="s">
        <v>667</v>
      </c>
    </row>
    <row r="356" spans="1:3" x14ac:dyDescent="0.3">
      <c r="A356" s="164" t="s">
        <v>569</v>
      </c>
      <c r="B356" t="s">
        <v>83</v>
      </c>
      <c r="C356" t="s">
        <v>2404</v>
      </c>
    </row>
    <row r="357" spans="1:3" x14ac:dyDescent="0.3">
      <c r="A357" s="164" t="s">
        <v>569</v>
      </c>
      <c r="B357" t="s">
        <v>83</v>
      </c>
      <c r="C357" t="s">
        <v>1337</v>
      </c>
    </row>
    <row r="358" spans="1:3" x14ac:dyDescent="0.3">
      <c r="A358" s="164" t="s">
        <v>1942</v>
      </c>
      <c r="B358" t="s">
        <v>380</v>
      </c>
      <c r="C358" t="s">
        <v>1258</v>
      </c>
    </row>
    <row r="359" spans="1:3" x14ac:dyDescent="0.3">
      <c r="A359" s="164" t="s">
        <v>1342</v>
      </c>
      <c r="B359" t="s">
        <v>380</v>
      </c>
      <c r="C359" t="s">
        <v>2024</v>
      </c>
    </row>
    <row r="360" spans="1:3" x14ac:dyDescent="0.3">
      <c r="A360" s="164" t="s">
        <v>1259</v>
      </c>
      <c r="B360" t="s">
        <v>380</v>
      </c>
      <c r="C360" t="s">
        <v>497</v>
      </c>
    </row>
    <row r="361" spans="1:3" x14ac:dyDescent="0.3">
      <c r="A361" s="164" t="s">
        <v>1343</v>
      </c>
      <c r="B361" t="s">
        <v>380</v>
      </c>
      <c r="C361" t="s">
        <v>458</v>
      </c>
    </row>
    <row r="362" spans="1:3" x14ac:dyDescent="0.3">
      <c r="A362" s="164" t="s">
        <v>1344</v>
      </c>
      <c r="B362" t="s">
        <v>380</v>
      </c>
      <c r="C362" t="s">
        <v>767</v>
      </c>
    </row>
    <row r="363" spans="1:3" x14ac:dyDescent="0.3">
      <c r="A363" s="164" t="s">
        <v>491</v>
      </c>
      <c r="B363" t="s">
        <v>380</v>
      </c>
      <c r="C363" t="s">
        <v>1178</v>
      </c>
    </row>
    <row r="364" spans="1:3" x14ac:dyDescent="0.3">
      <c r="A364" s="164" t="s">
        <v>491</v>
      </c>
      <c r="B364" t="s">
        <v>83</v>
      </c>
      <c r="C364" t="s">
        <v>1949</v>
      </c>
    </row>
    <row r="365" spans="1:3" x14ac:dyDescent="0.3">
      <c r="A365" s="164" t="s">
        <v>119</v>
      </c>
      <c r="B365" t="s">
        <v>380</v>
      </c>
      <c r="C365" t="s">
        <v>1559</v>
      </c>
    </row>
    <row r="366" spans="1:3" x14ac:dyDescent="0.3">
      <c r="A366" s="164" t="s">
        <v>158</v>
      </c>
      <c r="B366" t="s">
        <v>83</v>
      </c>
      <c r="C366" t="s">
        <v>215</v>
      </c>
    </row>
    <row r="367" spans="1:3" x14ac:dyDescent="0.3">
      <c r="A367" s="164" t="s">
        <v>1001</v>
      </c>
      <c r="B367" t="s">
        <v>380</v>
      </c>
      <c r="C367" t="s">
        <v>1079</v>
      </c>
    </row>
    <row r="368" spans="1:3" x14ac:dyDescent="0.3">
      <c r="A368" s="164" t="s">
        <v>632</v>
      </c>
      <c r="B368" t="s">
        <v>380</v>
      </c>
      <c r="C368" t="s">
        <v>2133</v>
      </c>
    </row>
    <row r="369" spans="1:3" x14ac:dyDescent="0.3">
      <c r="A369" s="164" t="s">
        <v>1441</v>
      </c>
      <c r="B369" t="s">
        <v>380</v>
      </c>
      <c r="C369" t="s">
        <v>1599</v>
      </c>
    </row>
    <row r="370" spans="1:3" x14ac:dyDescent="0.3">
      <c r="A370" s="164" t="s">
        <v>2431</v>
      </c>
      <c r="B370" t="s">
        <v>380</v>
      </c>
      <c r="C370" t="s">
        <v>2048</v>
      </c>
    </row>
    <row r="371" spans="1:3" x14ac:dyDescent="0.3">
      <c r="A371" s="164" t="s">
        <v>1914</v>
      </c>
      <c r="B371" t="s">
        <v>380</v>
      </c>
      <c r="C371" t="s">
        <v>155</v>
      </c>
    </row>
    <row r="372" spans="1:3" x14ac:dyDescent="0.3">
      <c r="A372" s="164" t="s">
        <v>786</v>
      </c>
      <c r="B372" t="s">
        <v>83</v>
      </c>
      <c r="C372" t="s">
        <v>1468</v>
      </c>
    </row>
    <row r="373" spans="1:3" x14ac:dyDescent="0.3">
      <c r="A373" s="164" t="s">
        <v>1783</v>
      </c>
      <c r="B373" t="s">
        <v>380</v>
      </c>
      <c r="C373" t="s">
        <v>1618</v>
      </c>
    </row>
    <row r="374" spans="1:3" x14ac:dyDescent="0.3">
      <c r="A374" s="164" t="s">
        <v>371</v>
      </c>
      <c r="B374" t="s">
        <v>83</v>
      </c>
      <c r="C374" t="s">
        <v>2072</v>
      </c>
    </row>
    <row r="375" spans="1:3" x14ac:dyDescent="0.3">
      <c r="A375" s="164" t="s">
        <v>371</v>
      </c>
      <c r="B375" t="s">
        <v>83</v>
      </c>
      <c r="C375" t="s">
        <v>124</v>
      </c>
    </row>
    <row r="376" spans="1:3" x14ac:dyDescent="0.3">
      <c r="A376" s="164" t="s">
        <v>2138</v>
      </c>
      <c r="B376" t="s">
        <v>380</v>
      </c>
      <c r="C376" t="s">
        <v>2009</v>
      </c>
    </row>
    <row r="377" spans="1:3" x14ac:dyDescent="0.3">
      <c r="A377" s="164" t="s">
        <v>2467</v>
      </c>
      <c r="B377" t="s">
        <v>83</v>
      </c>
      <c r="C377" t="s">
        <v>1425</v>
      </c>
    </row>
    <row r="378" spans="1:3" x14ac:dyDescent="0.3">
      <c r="A378" s="164" t="s">
        <v>11</v>
      </c>
      <c r="B378" t="s">
        <v>380</v>
      </c>
      <c r="C378" t="s">
        <v>1302</v>
      </c>
    </row>
    <row r="379" spans="1:3" x14ac:dyDescent="0.3">
      <c r="A379" s="164" t="s">
        <v>787</v>
      </c>
      <c r="B379" t="s">
        <v>380</v>
      </c>
      <c r="C379" t="s">
        <v>490</v>
      </c>
    </row>
    <row r="380" spans="1:3" x14ac:dyDescent="0.3">
      <c r="A380" s="164" t="s">
        <v>1924</v>
      </c>
      <c r="B380" t="s">
        <v>380</v>
      </c>
      <c r="C380" t="s">
        <v>1925</v>
      </c>
    </row>
    <row r="381" spans="1:3" x14ac:dyDescent="0.3">
      <c r="A381" s="164" t="s">
        <v>45</v>
      </c>
      <c r="B381" t="s">
        <v>380</v>
      </c>
      <c r="C381" t="s">
        <v>1136</v>
      </c>
    </row>
    <row r="382" spans="1:3" x14ac:dyDescent="0.3">
      <c r="A382" s="164" t="s">
        <v>1833</v>
      </c>
      <c r="B382" t="s">
        <v>83</v>
      </c>
      <c r="C382" t="s">
        <v>1628</v>
      </c>
    </row>
    <row r="383" spans="1:3" x14ac:dyDescent="0.3">
      <c r="A383" s="164" t="s">
        <v>1833</v>
      </c>
      <c r="B383" t="s">
        <v>1641</v>
      </c>
      <c r="C383" t="s">
        <v>2222</v>
      </c>
    </row>
    <row r="384" spans="1:3" x14ac:dyDescent="0.3">
      <c r="A384" s="164" t="s">
        <v>1347</v>
      </c>
      <c r="B384" t="s">
        <v>380</v>
      </c>
      <c r="C384" t="s">
        <v>2283</v>
      </c>
    </row>
    <row r="385" spans="1:3" x14ac:dyDescent="0.3">
      <c r="A385" s="164" t="s">
        <v>607</v>
      </c>
      <c r="B385" t="s">
        <v>83</v>
      </c>
      <c r="C385" t="s">
        <v>1576</v>
      </c>
    </row>
    <row r="386" spans="1:3" x14ac:dyDescent="0.3">
      <c r="A386" s="164" t="s">
        <v>1303</v>
      </c>
      <c r="B386" t="s">
        <v>380</v>
      </c>
      <c r="C386" t="s">
        <v>1304</v>
      </c>
    </row>
    <row r="387" spans="1:3" x14ac:dyDescent="0.3">
      <c r="A387" s="164" t="s">
        <v>1373</v>
      </c>
      <c r="B387" t="s">
        <v>380</v>
      </c>
      <c r="C387" t="s">
        <v>53</v>
      </c>
    </row>
    <row r="388" spans="1:3" x14ac:dyDescent="0.3">
      <c r="A388" s="165">
        <v>38029</v>
      </c>
      <c r="B388" t="s">
        <v>380</v>
      </c>
      <c r="C388" t="s">
        <v>1286</v>
      </c>
    </row>
    <row r="389" spans="1:3" x14ac:dyDescent="0.3">
      <c r="A389" s="165">
        <v>38029</v>
      </c>
      <c r="B389" t="s">
        <v>83</v>
      </c>
      <c r="C389" t="s">
        <v>1800</v>
      </c>
    </row>
    <row r="390" spans="1:3" x14ac:dyDescent="0.3">
      <c r="A390" s="165">
        <v>38035</v>
      </c>
      <c r="B390" t="s">
        <v>2207</v>
      </c>
      <c r="C390" t="s">
        <v>994</v>
      </c>
    </row>
    <row r="391" spans="1:3" x14ac:dyDescent="0.3">
      <c r="A391" s="164" t="s">
        <v>724</v>
      </c>
      <c r="B391" t="s">
        <v>380</v>
      </c>
      <c r="C391" t="s">
        <v>1802</v>
      </c>
    </row>
    <row r="392" spans="1:3" x14ac:dyDescent="0.3">
      <c r="A392" s="164" t="s">
        <v>1519</v>
      </c>
      <c r="B392" t="s">
        <v>380</v>
      </c>
      <c r="C392" t="s">
        <v>2103</v>
      </c>
    </row>
    <row r="393" spans="1:3" x14ac:dyDescent="0.3">
      <c r="A393" s="164" t="s">
        <v>2319</v>
      </c>
      <c r="B393" t="s">
        <v>83</v>
      </c>
      <c r="C393" t="s">
        <v>2318</v>
      </c>
    </row>
    <row r="394" spans="1:3" x14ac:dyDescent="0.3">
      <c r="A394" s="164" t="s">
        <v>859</v>
      </c>
      <c r="B394" t="s">
        <v>380</v>
      </c>
      <c r="C394" t="s">
        <v>186</v>
      </c>
    </row>
    <row r="395" spans="1:3" x14ac:dyDescent="0.3">
      <c r="A395" s="164" t="s">
        <v>1076</v>
      </c>
      <c r="B395" t="s">
        <v>380</v>
      </c>
      <c r="C395" t="s">
        <v>1558</v>
      </c>
    </row>
    <row r="396" spans="1:3" x14ac:dyDescent="0.3">
      <c r="A396" s="164" t="s">
        <v>973</v>
      </c>
      <c r="B396" t="s">
        <v>380</v>
      </c>
      <c r="C396" t="s">
        <v>1634</v>
      </c>
    </row>
    <row r="397" spans="1:3" x14ac:dyDescent="0.3">
      <c r="A397" s="164" t="s">
        <v>698</v>
      </c>
      <c r="B397" t="s">
        <v>380</v>
      </c>
      <c r="C397" t="s">
        <v>699</v>
      </c>
    </row>
    <row r="398" spans="1:3" x14ac:dyDescent="0.3">
      <c r="A398" s="164" t="s">
        <v>15</v>
      </c>
      <c r="B398" t="s">
        <v>380</v>
      </c>
      <c r="C398" t="s">
        <v>1411</v>
      </c>
    </row>
    <row r="399" spans="1:3" x14ac:dyDescent="0.3">
      <c r="A399" s="164" t="s">
        <v>878</v>
      </c>
      <c r="B399" t="s">
        <v>380</v>
      </c>
      <c r="C399" t="s">
        <v>2111</v>
      </c>
    </row>
    <row r="400" spans="1:3" x14ac:dyDescent="0.3">
      <c r="A400" s="164" t="s">
        <v>878</v>
      </c>
      <c r="B400" t="s">
        <v>83</v>
      </c>
      <c r="C400" t="s">
        <v>637</v>
      </c>
    </row>
    <row r="401" spans="1:3" x14ac:dyDescent="0.3">
      <c r="A401" s="164" t="s">
        <v>1538</v>
      </c>
      <c r="B401" t="s">
        <v>380</v>
      </c>
      <c r="C401" t="s">
        <v>2482</v>
      </c>
    </row>
    <row r="402" spans="1:3" x14ac:dyDescent="0.3">
      <c r="A402" s="164" t="s">
        <v>2041</v>
      </c>
      <c r="B402" t="s">
        <v>380</v>
      </c>
      <c r="C402" t="s">
        <v>2042</v>
      </c>
    </row>
    <row r="403" spans="1:3" x14ac:dyDescent="0.3">
      <c r="A403" s="164" t="s">
        <v>2461</v>
      </c>
      <c r="B403" t="s">
        <v>380</v>
      </c>
      <c r="C403" t="s">
        <v>1280</v>
      </c>
    </row>
    <row r="404" spans="1:3" x14ac:dyDescent="0.3">
      <c r="A404" s="165">
        <v>38117</v>
      </c>
      <c r="B404" t="s">
        <v>2207</v>
      </c>
      <c r="C404" t="s">
        <v>1859</v>
      </c>
    </row>
    <row r="405" spans="1:3" x14ac:dyDescent="0.3">
      <c r="A405" s="165">
        <v>38118</v>
      </c>
      <c r="B405" t="s">
        <v>2207</v>
      </c>
      <c r="C405" t="s">
        <v>943</v>
      </c>
    </row>
    <row r="406" spans="1:3" x14ac:dyDescent="0.3">
      <c r="A406" s="164" t="s">
        <v>1979</v>
      </c>
      <c r="B406" t="s">
        <v>380</v>
      </c>
      <c r="C406" t="s">
        <v>329</v>
      </c>
    </row>
    <row r="407" spans="1:3" x14ac:dyDescent="0.3">
      <c r="A407" s="164" t="s">
        <v>1979</v>
      </c>
      <c r="B407" t="s">
        <v>83</v>
      </c>
      <c r="C407" t="s">
        <v>1795</v>
      </c>
    </row>
    <row r="408" spans="1:3" x14ac:dyDescent="0.3">
      <c r="A408" s="164" t="s">
        <v>2462</v>
      </c>
      <c r="B408" t="s">
        <v>380</v>
      </c>
      <c r="C408" t="s">
        <v>2279</v>
      </c>
    </row>
    <row r="409" spans="1:3" x14ac:dyDescent="0.3">
      <c r="A409" s="164" t="s">
        <v>652</v>
      </c>
      <c r="B409" t="s">
        <v>380</v>
      </c>
      <c r="C409" t="s">
        <v>1568</v>
      </c>
    </row>
    <row r="410" spans="1:3" x14ac:dyDescent="0.3">
      <c r="A410" s="164" t="s">
        <v>687</v>
      </c>
      <c r="B410" t="s">
        <v>380</v>
      </c>
      <c r="C410" t="s">
        <v>2456</v>
      </c>
    </row>
    <row r="411" spans="1:3" x14ac:dyDescent="0.3">
      <c r="A411" s="164" t="s">
        <v>2457</v>
      </c>
      <c r="B411" t="s">
        <v>380</v>
      </c>
      <c r="C411" t="s">
        <v>1053</v>
      </c>
    </row>
    <row r="412" spans="1:3" x14ac:dyDescent="0.3">
      <c r="A412" s="164" t="s">
        <v>227</v>
      </c>
      <c r="B412" t="s">
        <v>380</v>
      </c>
      <c r="C412" t="s">
        <v>2106</v>
      </c>
    </row>
    <row r="413" spans="1:3" x14ac:dyDescent="0.3">
      <c r="A413" s="164" t="s">
        <v>46</v>
      </c>
      <c r="B413" t="s">
        <v>380</v>
      </c>
      <c r="C413" t="s">
        <v>839</v>
      </c>
    </row>
    <row r="414" spans="1:3" x14ac:dyDescent="0.3">
      <c r="A414" s="164" t="s">
        <v>1896</v>
      </c>
      <c r="B414" t="s">
        <v>380</v>
      </c>
      <c r="C414" t="s">
        <v>1873</v>
      </c>
    </row>
    <row r="415" spans="1:3" x14ac:dyDescent="0.3">
      <c r="A415" s="164" t="s">
        <v>2033</v>
      </c>
      <c r="B415" t="s">
        <v>83</v>
      </c>
      <c r="C415" t="s">
        <v>1517</v>
      </c>
    </row>
    <row r="416" spans="1:3" x14ac:dyDescent="0.3">
      <c r="A416" s="164" t="s">
        <v>1721</v>
      </c>
      <c r="B416" t="s">
        <v>83</v>
      </c>
      <c r="C416" t="s">
        <v>2338</v>
      </c>
    </row>
    <row r="417" spans="1:3" x14ac:dyDescent="0.3">
      <c r="A417" s="164" t="s">
        <v>737</v>
      </c>
      <c r="B417" t="s">
        <v>83</v>
      </c>
      <c r="C417" t="s">
        <v>368</v>
      </c>
    </row>
    <row r="418" spans="1:3" x14ac:dyDescent="0.3">
      <c r="A418" s="164" t="s">
        <v>737</v>
      </c>
      <c r="B418" t="s">
        <v>83</v>
      </c>
      <c r="C418" t="s">
        <v>1196</v>
      </c>
    </row>
    <row r="419" spans="1:3" x14ac:dyDescent="0.3">
      <c r="A419" s="164" t="s">
        <v>1183</v>
      </c>
      <c r="B419" t="s">
        <v>2344</v>
      </c>
      <c r="C419" t="s">
        <v>59</v>
      </c>
    </row>
    <row r="420" spans="1:3" x14ac:dyDescent="0.3">
      <c r="A420" s="164" t="s">
        <v>2246</v>
      </c>
      <c r="B420" t="s">
        <v>2344</v>
      </c>
      <c r="C420" t="s">
        <v>565</v>
      </c>
    </row>
    <row r="421" spans="1:3" x14ac:dyDescent="0.3">
      <c r="A421" s="164" t="s">
        <v>498</v>
      </c>
      <c r="B421" t="s">
        <v>380</v>
      </c>
      <c r="C421" t="s">
        <v>2197</v>
      </c>
    </row>
    <row r="422" spans="1:3" x14ac:dyDescent="0.3">
      <c r="A422" s="164" t="s">
        <v>1231</v>
      </c>
      <c r="B422" t="s">
        <v>380</v>
      </c>
      <c r="C422" t="s">
        <v>1292</v>
      </c>
    </row>
    <row r="423" spans="1:3" x14ac:dyDescent="0.3">
      <c r="A423" s="164" t="s">
        <v>1717</v>
      </c>
      <c r="B423" t="s">
        <v>380</v>
      </c>
      <c r="C423" t="s">
        <v>1581</v>
      </c>
    </row>
    <row r="424" spans="1:3" x14ac:dyDescent="0.3">
      <c r="A424" s="164" t="s">
        <v>392</v>
      </c>
      <c r="B424" t="s">
        <v>380</v>
      </c>
      <c r="C424" t="s">
        <v>2284</v>
      </c>
    </row>
    <row r="425" spans="1:3" x14ac:dyDescent="0.3">
      <c r="A425" s="164" t="s">
        <v>2451</v>
      </c>
      <c r="B425" t="s">
        <v>380</v>
      </c>
      <c r="C425" t="s">
        <v>2324</v>
      </c>
    </row>
    <row r="426" spans="1:3" x14ac:dyDescent="0.3">
      <c r="A426" s="164" t="s">
        <v>1600</v>
      </c>
      <c r="B426" t="s">
        <v>380</v>
      </c>
      <c r="C426" t="s">
        <v>10</v>
      </c>
    </row>
    <row r="427" spans="1:3" x14ac:dyDescent="0.3">
      <c r="A427" s="164" t="s">
        <v>947</v>
      </c>
      <c r="B427" t="s">
        <v>380</v>
      </c>
      <c r="C427" t="s">
        <v>766</v>
      </c>
    </row>
    <row r="428" spans="1:3" x14ac:dyDescent="0.3">
      <c r="A428" s="164" t="s">
        <v>649</v>
      </c>
      <c r="B428" t="s">
        <v>83</v>
      </c>
      <c r="C428" t="s">
        <v>1270</v>
      </c>
    </row>
    <row r="429" spans="1:3" x14ac:dyDescent="0.3">
      <c r="A429" s="165" t="s">
        <v>663</v>
      </c>
      <c r="B429" t="s">
        <v>380</v>
      </c>
      <c r="C429" t="s">
        <v>1885</v>
      </c>
    </row>
    <row r="430" spans="1:3" x14ac:dyDescent="0.3">
      <c r="A430" s="164" t="s">
        <v>1765</v>
      </c>
      <c r="B430" t="s">
        <v>380</v>
      </c>
      <c r="C430" t="s">
        <v>2073</v>
      </c>
    </row>
    <row r="431" spans="1:3" x14ac:dyDescent="0.3">
      <c r="A431" s="164" t="s">
        <v>423</v>
      </c>
      <c r="B431" t="s">
        <v>380</v>
      </c>
      <c r="C431" t="s">
        <v>2190</v>
      </c>
    </row>
    <row r="432" spans="1:3" x14ac:dyDescent="0.3">
      <c r="A432" s="164" t="s">
        <v>716</v>
      </c>
      <c r="B432" t="s">
        <v>380</v>
      </c>
      <c r="C432" t="s">
        <v>1244</v>
      </c>
    </row>
    <row r="433" spans="1:3" x14ac:dyDescent="0.3">
      <c r="A433" s="164" t="s">
        <v>214</v>
      </c>
      <c r="B433" t="s">
        <v>380</v>
      </c>
      <c r="C433" t="s">
        <v>849</v>
      </c>
    </row>
    <row r="434" spans="1:3" x14ac:dyDescent="0.3">
      <c r="A434" s="164" t="s">
        <v>718</v>
      </c>
      <c r="B434" t="s">
        <v>380</v>
      </c>
      <c r="C434" t="s">
        <v>1552</v>
      </c>
    </row>
    <row r="435" spans="1:3" x14ac:dyDescent="0.3">
      <c r="A435" s="164" t="s">
        <v>1577</v>
      </c>
      <c r="B435" t="s">
        <v>380</v>
      </c>
      <c r="C435" t="s">
        <v>1578</v>
      </c>
    </row>
    <row r="436" spans="1:3" x14ac:dyDescent="0.3">
      <c r="A436" s="164" t="s">
        <v>974</v>
      </c>
      <c r="B436" t="s">
        <v>83</v>
      </c>
      <c r="C436" t="s">
        <v>942</v>
      </c>
    </row>
    <row r="437" spans="1:3" x14ac:dyDescent="0.3">
      <c r="A437" s="164" t="s">
        <v>974</v>
      </c>
      <c r="B437" t="s">
        <v>83</v>
      </c>
      <c r="C437" t="s">
        <v>1503</v>
      </c>
    </row>
    <row r="438" spans="1:3" x14ac:dyDescent="0.3">
      <c r="A438" s="164" t="s">
        <v>974</v>
      </c>
      <c r="B438" t="s">
        <v>380</v>
      </c>
      <c r="C438" t="s">
        <v>1680</v>
      </c>
    </row>
    <row r="439" spans="1:3" x14ac:dyDescent="0.3">
      <c r="A439" s="164" t="s">
        <v>1028</v>
      </c>
      <c r="B439" t="s">
        <v>380</v>
      </c>
      <c r="C439" t="s">
        <v>1356</v>
      </c>
    </row>
    <row r="440" spans="1:3" x14ac:dyDescent="0.3">
      <c r="A440" s="164" t="s">
        <v>1027</v>
      </c>
      <c r="B440" t="s">
        <v>380</v>
      </c>
      <c r="C440" t="s">
        <v>300</v>
      </c>
    </row>
    <row r="441" spans="1:3" x14ac:dyDescent="0.3">
      <c r="A441" s="164" t="s">
        <v>1527</v>
      </c>
      <c r="B441" t="s">
        <v>380</v>
      </c>
      <c r="C441" t="s">
        <v>1982</v>
      </c>
    </row>
    <row r="442" spans="1:3" x14ac:dyDescent="0.3">
      <c r="A442" s="164" t="s">
        <v>911</v>
      </c>
      <c r="B442" t="s">
        <v>380</v>
      </c>
      <c r="C442" t="s">
        <v>137</v>
      </c>
    </row>
    <row r="443" spans="1:3" x14ac:dyDescent="0.3">
      <c r="A443" s="164" t="s">
        <v>1602</v>
      </c>
      <c r="B443" t="s">
        <v>380</v>
      </c>
      <c r="C443" t="s">
        <v>631</v>
      </c>
    </row>
    <row r="444" spans="1:3" x14ac:dyDescent="0.3">
      <c r="A444" s="164" t="s">
        <v>1240</v>
      </c>
      <c r="B444" t="s">
        <v>380</v>
      </c>
      <c r="C444" t="s">
        <v>1839</v>
      </c>
    </row>
    <row r="445" spans="1:3" x14ac:dyDescent="0.3">
      <c r="A445" s="164" t="s">
        <v>1326</v>
      </c>
      <c r="B445" t="s">
        <v>380</v>
      </c>
      <c r="C445" t="s">
        <v>1327</v>
      </c>
    </row>
    <row r="446" spans="1:3" x14ac:dyDescent="0.3">
      <c r="A446" s="165">
        <v>38240</v>
      </c>
      <c r="B446" t="s">
        <v>380</v>
      </c>
      <c r="C446" t="s">
        <v>817</v>
      </c>
    </row>
    <row r="447" spans="1:3" x14ac:dyDescent="0.3">
      <c r="A447" s="165">
        <v>38243</v>
      </c>
      <c r="B447" t="s">
        <v>380</v>
      </c>
      <c r="C447" t="s">
        <v>814</v>
      </c>
    </row>
    <row r="448" spans="1:3" x14ac:dyDescent="0.3">
      <c r="A448" s="165">
        <v>38244</v>
      </c>
      <c r="B448" t="s">
        <v>380</v>
      </c>
      <c r="C448" t="s">
        <v>480</v>
      </c>
    </row>
    <row r="449" spans="1:3" x14ac:dyDescent="0.3">
      <c r="A449" s="165">
        <v>38245</v>
      </c>
      <c r="B449" t="s">
        <v>380</v>
      </c>
      <c r="C449" t="s">
        <v>691</v>
      </c>
    </row>
    <row r="450" spans="1:3" x14ac:dyDescent="0.3">
      <c r="A450" s="164" t="s">
        <v>156</v>
      </c>
      <c r="B450" t="s">
        <v>83</v>
      </c>
      <c r="C450" t="s">
        <v>2232</v>
      </c>
    </row>
    <row r="451" spans="1:3" x14ac:dyDescent="0.3">
      <c r="A451" s="165">
        <v>38247</v>
      </c>
      <c r="B451" t="s">
        <v>380</v>
      </c>
      <c r="C451" t="s">
        <v>1382</v>
      </c>
    </row>
    <row r="452" spans="1:3" x14ac:dyDescent="0.3">
      <c r="A452" s="165">
        <v>38250</v>
      </c>
      <c r="B452" t="s">
        <v>380</v>
      </c>
      <c r="C452" t="s">
        <v>1004</v>
      </c>
    </row>
    <row r="453" spans="1:3" x14ac:dyDescent="0.3">
      <c r="A453" s="165">
        <v>38251</v>
      </c>
      <c r="B453" t="s">
        <v>380</v>
      </c>
      <c r="C453" t="s">
        <v>886</v>
      </c>
    </row>
    <row r="454" spans="1:3" x14ac:dyDescent="0.3">
      <c r="A454" s="165">
        <v>38252</v>
      </c>
      <c r="B454" t="s">
        <v>380</v>
      </c>
      <c r="C454" t="s">
        <v>1738</v>
      </c>
    </row>
    <row r="455" spans="1:3" x14ac:dyDescent="0.3">
      <c r="A455" s="165">
        <v>38253</v>
      </c>
      <c r="B455" t="s">
        <v>380</v>
      </c>
      <c r="C455" t="s">
        <v>1485</v>
      </c>
    </row>
    <row r="456" spans="1:3" x14ac:dyDescent="0.3">
      <c r="A456" s="165">
        <v>38254</v>
      </c>
      <c r="B456" t="s">
        <v>380</v>
      </c>
      <c r="C456" t="s">
        <v>2008</v>
      </c>
    </row>
    <row r="457" spans="1:3" x14ac:dyDescent="0.3">
      <c r="A457" s="165">
        <v>38630</v>
      </c>
      <c r="B457" t="s">
        <v>380</v>
      </c>
      <c r="C457" t="s">
        <v>370</v>
      </c>
    </row>
    <row r="458" spans="1:3" x14ac:dyDescent="0.3">
      <c r="A458" s="165">
        <v>38266</v>
      </c>
      <c r="B458" t="s">
        <v>380</v>
      </c>
      <c r="C458" t="s">
        <v>1922</v>
      </c>
    </row>
    <row r="459" spans="1:3" x14ac:dyDescent="0.3">
      <c r="A459" s="165">
        <v>38267</v>
      </c>
      <c r="B459" t="s">
        <v>380</v>
      </c>
      <c r="C459" t="s">
        <v>2015</v>
      </c>
    </row>
    <row r="460" spans="1:3" x14ac:dyDescent="0.3">
      <c r="A460" s="165">
        <v>38268</v>
      </c>
      <c r="B460" t="s">
        <v>380</v>
      </c>
      <c r="C460" t="s">
        <v>1531</v>
      </c>
    </row>
    <row r="461" spans="1:3" x14ac:dyDescent="0.3">
      <c r="A461" s="165">
        <v>38274</v>
      </c>
      <c r="B461" t="s">
        <v>380</v>
      </c>
      <c r="C461" t="s">
        <v>545</v>
      </c>
    </row>
    <row r="462" spans="1:3" x14ac:dyDescent="0.3">
      <c r="A462" s="165">
        <v>38275</v>
      </c>
      <c r="B462" t="s">
        <v>380</v>
      </c>
      <c r="C462" t="s">
        <v>805</v>
      </c>
    </row>
    <row r="463" spans="1:3" x14ac:dyDescent="0.3">
      <c r="A463" s="164" t="s">
        <v>63</v>
      </c>
      <c r="B463" t="s">
        <v>83</v>
      </c>
      <c r="C463" t="s">
        <v>1228</v>
      </c>
    </row>
    <row r="464" spans="1:3" x14ac:dyDescent="0.3">
      <c r="A464" s="164" t="s">
        <v>280</v>
      </c>
      <c r="B464" t="s">
        <v>83</v>
      </c>
      <c r="C464" t="s">
        <v>489</v>
      </c>
    </row>
    <row r="465" spans="1:3" x14ac:dyDescent="0.3">
      <c r="A465" s="165">
        <v>38278</v>
      </c>
      <c r="B465" t="s">
        <v>380</v>
      </c>
      <c r="C465" t="s">
        <v>2251</v>
      </c>
    </row>
    <row r="466" spans="1:3" x14ac:dyDescent="0.3">
      <c r="A466" s="165">
        <v>38279</v>
      </c>
      <c r="B466" t="s">
        <v>380</v>
      </c>
      <c r="C466" t="s">
        <v>202</v>
      </c>
    </row>
    <row r="467" spans="1:3" x14ac:dyDescent="0.3">
      <c r="A467" s="165">
        <v>38280</v>
      </c>
      <c r="B467" t="s">
        <v>380</v>
      </c>
      <c r="C467" t="s">
        <v>1148</v>
      </c>
    </row>
    <row r="468" spans="1:3" x14ac:dyDescent="0.3">
      <c r="A468" s="165">
        <v>38281</v>
      </c>
      <c r="B468" t="s">
        <v>2207</v>
      </c>
      <c r="C468" t="s">
        <v>173</v>
      </c>
    </row>
    <row r="469" spans="1:3" x14ac:dyDescent="0.3">
      <c r="A469" s="165">
        <v>38281</v>
      </c>
      <c r="B469" t="s">
        <v>2207</v>
      </c>
      <c r="C469" t="s">
        <v>174</v>
      </c>
    </row>
    <row r="470" spans="1:3" x14ac:dyDescent="0.3">
      <c r="A470" s="165">
        <v>38281</v>
      </c>
      <c r="B470" t="s">
        <v>2207</v>
      </c>
      <c r="C470" t="s">
        <v>36</v>
      </c>
    </row>
    <row r="471" spans="1:3" x14ac:dyDescent="0.3">
      <c r="A471" s="165">
        <v>38287</v>
      </c>
      <c r="B471" t="s">
        <v>380</v>
      </c>
      <c r="C471" t="s">
        <v>1137</v>
      </c>
    </row>
    <row r="472" spans="1:3" x14ac:dyDescent="0.3">
      <c r="A472" s="165">
        <v>38288</v>
      </c>
      <c r="B472" t="s">
        <v>380</v>
      </c>
      <c r="C472" t="s">
        <v>964</v>
      </c>
    </row>
    <row r="473" spans="1:3" x14ac:dyDescent="0.3">
      <c r="A473" s="165">
        <v>38289</v>
      </c>
      <c r="B473" t="s">
        <v>380</v>
      </c>
      <c r="C473" t="s">
        <v>381</v>
      </c>
    </row>
    <row r="474" spans="1:3" x14ac:dyDescent="0.3">
      <c r="A474" s="165">
        <v>38290</v>
      </c>
      <c r="B474" t="s">
        <v>380</v>
      </c>
      <c r="C474" t="s">
        <v>1764</v>
      </c>
    </row>
    <row r="475" spans="1:3" x14ac:dyDescent="0.3">
      <c r="A475" s="165">
        <v>38294</v>
      </c>
      <c r="B475" t="s">
        <v>380</v>
      </c>
      <c r="C475" t="s">
        <v>1264</v>
      </c>
    </row>
    <row r="476" spans="1:3" x14ac:dyDescent="0.3">
      <c r="A476" s="165">
        <v>38295</v>
      </c>
      <c r="B476" t="s">
        <v>380</v>
      </c>
      <c r="C476" t="s">
        <v>2224</v>
      </c>
    </row>
    <row r="477" spans="1:3" x14ac:dyDescent="0.3">
      <c r="A477" s="165">
        <v>38300</v>
      </c>
      <c r="B477" t="s">
        <v>380</v>
      </c>
      <c r="C477" t="s">
        <v>1317</v>
      </c>
    </row>
    <row r="478" spans="1:3" x14ac:dyDescent="0.3">
      <c r="A478" s="165">
        <v>38301</v>
      </c>
      <c r="B478" t="s">
        <v>380</v>
      </c>
      <c r="C478" t="s">
        <v>2487</v>
      </c>
    </row>
    <row r="479" spans="1:3" x14ac:dyDescent="0.3">
      <c r="A479" s="165">
        <v>38303</v>
      </c>
      <c r="B479" t="s">
        <v>380</v>
      </c>
      <c r="C479" t="s">
        <v>495</v>
      </c>
    </row>
    <row r="480" spans="1:3" x14ac:dyDescent="0.3">
      <c r="A480" s="165">
        <v>38306</v>
      </c>
      <c r="B480" t="s">
        <v>380</v>
      </c>
      <c r="C480" t="s">
        <v>2107</v>
      </c>
    </row>
    <row r="481" spans="1:3" x14ac:dyDescent="0.3">
      <c r="A481" s="164" t="s">
        <v>316</v>
      </c>
      <c r="B481" t="s">
        <v>83</v>
      </c>
      <c r="C481" t="s">
        <v>313</v>
      </c>
    </row>
    <row r="482" spans="1:3" x14ac:dyDescent="0.3">
      <c r="A482" s="165">
        <v>38308</v>
      </c>
      <c r="B482" t="s">
        <v>380</v>
      </c>
      <c r="C482" t="s">
        <v>2433</v>
      </c>
    </row>
    <row r="483" spans="1:3" x14ac:dyDescent="0.3">
      <c r="A483" s="165">
        <v>38313</v>
      </c>
      <c r="B483" t="s">
        <v>380</v>
      </c>
      <c r="C483" t="s">
        <v>1084</v>
      </c>
    </row>
    <row r="484" spans="1:3" x14ac:dyDescent="0.3">
      <c r="A484" s="165">
        <v>38679</v>
      </c>
      <c r="B484" t="s">
        <v>380</v>
      </c>
      <c r="C484" t="s">
        <v>1539</v>
      </c>
    </row>
    <row r="485" spans="1:3" x14ac:dyDescent="0.3">
      <c r="A485" s="165">
        <v>38329</v>
      </c>
      <c r="B485" t="s">
        <v>380</v>
      </c>
      <c r="C485" t="s">
        <v>184</v>
      </c>
    </row>
    <row r="486" spans="1:3" x14ac:dyDescent="0.3">
      <c r="A486" s="165">
        <v>38695</v>
      </c>
      <c r="B486" t="s">
        <v>380</v>
      </c>
      <c r="C486" t="s">
        <v>391</v>
      </c>
    </row>
    <row r="487" spans="1:3" x14ac:dyDescent="0.3">
      <c r="A487" s="165">
        <v>38696</v>
      </c>
      <c r="B487" t="s">
        <v>83</v>
      </c>
      <c r="C487" t="s">
        <v>151</v>
      </c>
    </row>
    <row r="488" spans="1:3" x14ac:dyDescent="0.3">
      <c r="A488" s="165">
        <v>38334</v>
      </c>
      <c r="B488" t="s">
        <v>380</v>
      </c>
      <c r="C488" t="s">
        <v>566</v>
      </c>
    </row>
    <row r="489" spans="1:3" x14ac:dyDescent="0.3">
      <c r="A489" s="165">
        <v>38336</v>
      </c>
      <c r="B489" t="s">
        <v>380</v>
      </c>
      <c r="C489" t="s">
        <v>753</v>
      </c>
    </row>
    <row r="490" spans="1:3" x14ac:dyDescent="0.3">
      <c r="A490" s="164" t="s">
        <v>1518</v>
      </c>
      <c r="B490" t="s">
        <v>83</v>
      </c>
      <c r="C490" t="s">
        <v>244</v>
      </c>
    </row>
    <row r="491" spans="1:3" x14ac:dyDescent="0.3">
      <c r="A491" s="165">
        <v>38349</v>
      </c>
      <c r="B491" t="s">
        <v>2207</v>
      </c>
      <c r="C491" t="s">
        <v>1934</v>
      </c>
    </row>
    <row r="492" spans="1:3" x14ac:dyDescent="0.3">
      <c r="A492" s="165">
        <v>38357</v>
      </c>
      <c r="B492" t="s">
        <v>380</v>
      </c>
      <c r="C492" t="s">
        <v>81</v>
      </c>
    </row>
    <row r="493" spans="1:3" x14ac:dyDescent="0.3">
      <c r="A493" s="165">
        <v>38359</v>
      </c>
      <c r="B493" t="s">
        <v>380</v>
      </c>
      <c r="C493" t="s">
        <v>1933</v>
      </c>
    </row>
    <row r="494" spans="1:3" x14ac:dyDescent="0.3">
      <c r="A494" s="165">
        <v>38362</v>
      </c>
      <c r="B494" t="s">
        <v>380</v>
      </c>
      <c r="C494" t="s">
        <v>2465</v>
      </c>
    </row>
    <row r="495" spans="1:3" x14ac:dyDescent="0.3">
      <c r="A495" s="165">
        <v>37998</v>
      </c>
      <c r="B495" t="s">
        <v>380</v>
      </c>
      <c r="C495" t="s">
        <v>1449</v>
      </c>
    </row>
    <row r="496" spans="1:3" x14ac:dyDescent="0.3">
      <c r="A496" s="165">
        <v>38365</v>
      </c>
      <c r="B496" t="s">
        <v>380</v>
      </c>
      <c r="C496" t="s">
        <v>1336</v>
      </c>
    </row>
    <row r="497" spans="1:3" x14ac:dyDescent="0.3">
      <c r="A497" s="165">
        <v>38366</v>
      </c>
      <c r="B497" t="s">
        <v>380</v>
      </c>
      <c r="C497" t="s">
        <v>721</v>
      </c>
    </row>
    <row r="498" spans="1:3" x14ac:dyDescent="0.3">
      <c r="A498" s="164" t="s">
        <v>39</v>
      </c>
      <c r="B498" t="s">
        <v>83</v>
      </c>
      <c r="C498" t="s">
        <v>1226</v>
      </c>
    </row>
    <row r="499" spans="1:3" x14ac:dyDescent="0.3">
      <c r="A499" s="164" t="s">
        <v>39</v>
      </c>
      <c r="B499" t="s">
        <v>83</v>
      </c>
      <c r="C499" t="s">
        <v>2337</v>
      </c>
    </row>
    <row r="500" spans="1:3" x14ac:dyDescent="0.3">
      <c r="A500" s="165">
        <v>38377</v>
      </c>
      <c r="B500" t="s">
        <v>2207</v>
      </c>
      <c r="C500" t="s">
        <v>600</v>
      </c>
    </row>
    <row r="501" spans="1:3" x14ac:dyDescent="0.3">
      <c r="A501" s="165">
        <v>38377</v>
      </c>
      <c r="B501" t="s">
        <v>83</v>
      </c>
      <c r="C501" t="s">
        <v>1978</v>
      </c>
    </row>
    <row r="502" spans="1:3" x14ac:dyDescent="0.3">
      <c r="A502" s="165">
        <v>38387</v>
      </c>
      <c r="B502" t="s">
        <v>83</v>
      </c>
      <c r="C502" t="s">
        <v>806</v>
      </c>
    </row>
    <row r="503" spans="1:3" x14ac:dyDescent="0.3">
      <c r="A503" s="165">
        <v>38387</v>
      </c>
      <c r="B503" t="s">
        <v>83</v>
      </c>
      <c r="C503" t="s">
        <v>170</v>
      </c>
    </row>
    <row r="504" spans="1:3" x14ac:dyDescent="0.3">
      <c r="A504" s="165">
        <v>38398</v>
      </c>
      <c r="B504" t="s">
        <v>380</v>
      </c>
      <c r="C504" t="s">
        <v>659</v>
      </c>
    </row>
    <row r="505" spans="1:3" x14ac:dyDescent="0.3">
      <c r="A505" s="164" t="s">
        <v>1363</v>
      </c>
      <c r="B505" t="s">
        <v>380</v>
      </c>
      <c r="C505" t="s">
        <v>2358</v>
      </c>
    </row>
    <row r="506" spans="1:3" x14ac:dyDescent="0.3">
      <c r="A506" s="164" t="s">
        <v>1714</v>
      </c>
      <c r="B506" t="s">
        <v>83</v>
      </c>
      <c r="C506" t="s">
        <v>1674</v>
      </c>
    </row>
    <row r="507" spans="1:3" x14ac:dyDescent="0.3">
      <c r="A507" s="164" t="s">
        <v>157</v>
      </c>
      <c r="B507" t="s">
        <v>83</v>
      </c>
      <c r="C507" t="s">
        <v>1534</v>
      </c>
    </row>
    <row r="508" spans="1:3" x14ac:dyDescent="0.3">
      <c r="A508" s="164" t="s">
        <v>660</v>
      </c>
      <c r="B508" t="s">
        <v>83</v>
      </c>
      <c r="C508" t="s">
        <v>1159</v>
      </c>
    </row>
    <row r="509" spans="1:3" x14ac:dyDescent="0.3">
      <c r="A509" s="164" t="s">
        <v>2064</v>
      </c>
      <c r="B509" t="s">
        <v>83</v>
      </c>
      <c r="C509" t="s">
        <v>411</v>
      </c>
    </row>
    <row r="510" spans="1:3" x14ac:dyDescent="0.3">
      <c r="A510" s="164" t="s">
        <v>2064</v>
      </c>
      <c r="B510" t="s">
        <v>83</v>
      </c>
      <c r="C510" t="s">
        <v>1726</v>
      </c>
    </row>
    <row r="511" spans="1:3" x14ac:dyDescent="0.3">
      <c r="A511" s="164" t="s">
        <v>2064</v>
      </c>
      <c r="B511" t="s">
        <v>83</v>
      </c>
      <c r="C511" t="s">
        <v>1169</v>
      </c>
    </row>
    <row r="512" spans="1:3" x14ac:dyDescent="0.3">
      <c r="A512" s="165">
        <v>38412</v>
      </c>
      <c r="B512" t="s">
        <v>380</v>
      </c>
      <c r="C512" t="s">
        <v>827</v>
      </c>
    </row>
    <row r="513" spans="1:3" x14ac:dyDescent="0.3">
      <c r="A513" s="165">
        <v>38414</v>
      </c>
      <c r="B513" t="s">
        <v>380</v>
      </c>
      <c r="C513" t="s">
        <v>1521</v>
      </c>
    </row>
    <row r="514" spans="1:3" x14ac:dyDescent="0.3">
      <c r="A514" s="165">
        <v>38425</v>
      </c>
      <c r="B514" t="s">
        <v>380</v>
      </c>
      <c r="C514" t="s">
        <v>1586</v>
      </c>
    </row>
    <row r="515" spans="1:3" x14ac:dyDescent="0.3">
      <c r="A515" s="164" t="s">
        <v>203</v>
      </c>
      <c r="B515" t="s">
        <v>83</v>
      </c>
      <c r="C515" t="s">
        <v>1288</v>
      </c>
    </row>
    <row r="516" spans="1:3" x14ac:dyDescent="0.3">
      <c r="A516" s="165">
        <v>38428</v>
      </c>
      <c r="B516" t="s">
        <v>380</v>
      </c>
      <c r="C516" t="s">
        <v>456</v>
      </c>
    </row>
    <row r="517" spans="1:3" x14ac:dyDescent="0.3">
      <c r="A517" s="165">
        <v>38432</v>
      </c>
      <c r="B517" t="s">
        <v>380</v>
      </c>
      <c r="C517" t="s">
        <v>1170</v>
      </c>
    </row>
    <row r="518" spans="1:3" x14ac:dyDescent="0.3">
      <c r="A518" s="165">
        <v>38428</v>
      </c>
      <c r="B518" t="s">
        <v>83</v>
      </c>
      <c r="C518" t="s">
        <v>1766</v>
      </c>
    </row>
    <row r="519" spans="1:3" x14ac:dyDescent="0.3">
      <c r="A519" s="165">
        <v>38433</v>
      </c>
      <c r="B519" t="s">
        <v>83</v>
      </c>
      <c r="C519" t="s">
        <v>277</v>
      </c>
    </row>
    <row r="520" spans="1:3" x14ac:dyDescent="0.3">
      <c r="A520" s="165">
        <v>38433</v>
      </c>
      <c r="B520" t="s">
        <v>83</v>
      </c>
      <c r="C520" t="s">
        <v>758</v>
      </c>
    </row>
    <row r="521" spans="1:3" x14ac:dyDescent="0.3">
      <c r="A521" s="165">
        <v>38439</v>
      </c>
      <c r="B521" t="s">
        <v>380</v>
      </c>
      <c r="C521" t="s">
        <v>1663</v>
      </c>
    </row>
    <row r="522" spans="1:3" x14ac:dyDescent="0.3">
      <c r="A522" s="165">
        <v>38440</v>
      </c>
      <c r="B522" t="s">
        <v>380</v>
      </c>
      <c r="C522" t="s">
        <v>105</v>
      </c>
    </row>
    <row r="523" spans="1:3" x14ac:dyDescent="0.3">
      <c r="A523" s="165">
        <v>38442</v>
      </c>
      <c r="B523" t="s">
        <v>380</v>
      </c>
      <c r="C523" t="s">
        <v>2080</v>
      </c>
    </row>
    <row r="524" spans="1:3" x14ac:dyDescent="0.3">
      <c r="A524" s="165">
        <v>38443</v>
      </c>
      <c r="B524" t="s">
        <v>380</v>
      </c>
      <c r="C524" t="s">
        <v>1087</v>
      </c>
    </row>
    <row r="525" spans="1:3" x14ac:dyDescent="0.3">
      <c r="A525" s="165">
        <v>38446</v>
      </c>
      <c r="B525" t="s">
        <v>380</v>
      </c>
      <c r="C525" t="s">
        <v>884</v>
      </c>
    </row>
    <row r="526" spans="1:3" x14ac:dyDescent="0.3">
      <c r="A526" s="165">
        <v>38447</v>
      </c>
      <c r="B526" t="s">
        <v>380</v>
      </c>
      <c r="C526" t="s">
        <v>1515</v>
      </c>
    </row>
    <row r="527" spans="1:3" x14ac:dyDescent="0.3">
      <c r="A527" s="165">
        <v>38448</v>
      </c>
      <c r="B527" t="s">
        <v>380</v>
      </c>
      <c r="C527" t="s">
        <v>175</v>
      </c>
    </row>
    <row r="528" spans="1:3" x14ac:dyDescent="0.3">
      <c r="A528" s="165">
        <v>38450</v>
      </c>
      <c r="B528" t="s">
        <v>380</v>
      </c>
      <c r="C528" t="s">
        <v>1299</v>
      </c>
    </row>
    <row r="529" spans="1:3" x14ac:dyDescent="0.3">
      <c r="A529" s="165">
        <v>38450</v>
      </c>
      <c r="B529" t="s">
        <v>83</v>
      </c>
      <c r="C529" t="s">
        <v>2109</v>
      </c>
    </row>
    <row r="530" spans="1:3" x14ac:dyDescent="0.3">
      <c r="A530" s="165">
        <v>38478</v>
      </c>
      <c r="B530" t="s">
        <v>380</v>
      </c>
      <c r="C530" t="s">
        <v>449</v>
      </c>
    </row>
    <row r="531" spans="1:3" x14ac:dyDescent="0.3">
      <c r="A531" s="165">
        <v>38483</v>
      </c>
      <c r="B531" t="s">
        <v>380</v>
      </c>
      <c r="C531" t="s">
        <v>2405</v>
      </c>
    </row>
    <row r="532" spans="1:3" x14ac:dyDescent="0.3">
      <c r="A532" s="165">
        <v>38484</v>
      </c>
      <c r="B532" t="s">
        <v>380</v>
      </c>
      <c r="C532" t="s">
        <v>1556</v>
      </c>
    </row>
    <row r="533" spans="1:3" x14ac:dyDescent="0.3">
      <c r="A533" s="165">
        <v>38488</v>
      </c>
      <c r="B533" t="s">
        <v>380</v>
      </c>
      <c r="C533" t="s">
        <v>255</v>
      </c>
    </row>
    <row r="534" spans="1:3" x14ac:dyDescent="0.3">
      <c r="A534" s="165">
        <v>38490</v>
      </c>
      <c r="B534" t="s">
        <v>380</v>
      </c>
      <c r="C534" t="s">
        <v>1699</v>
      </c>
    </row>
    <row r="535" spans="1:3" x14ac:dyDescent="0.3">
      <c r="A535" s="165">
        <v>38491</v>
      </c>
      <c r="B535" t="s">
        <v>380</v>
      </c>
      <c r="C535" t="s">
        <v>303</v>
      </c>
    </row>
    <row r="536" spans="1:3" x14ac:dyDescent="0.3">
      <c r="A536" s="165">
        <v>38491</v>
      </c>
      <c r="B536" t="s">
        <v>83</v>
      </c>
      <c r="C536" t="s">
        <v>1587</v>
      </c>
    </row>
    <row r="537" spans="1:3" x14ac:dyDescent="0.3">
      <c r="A537" s="165">
        <v>38495</v>
      </c>
      <c r="B537" t="s">
        <v>380</v>
      </c>
      <c r="C537" t="s">
        <v>44</v>
      </c>
    </row>
    <row r="538" spans="1:3" x14ac:dyDescent="0.3">
      <c r="A538" s="165">
        <v>38498</v>
      </c>
      <c r="B538" t="s">
        <v>380</v>
      </c>
      <c r="C538" t="s">
        <v>450</v>
      </c>
    </row>
    <row r="539" spans="1:3" x14ac:dyDescent="0.3">
      <c r="A539" s="165">
        <v>38504</v>
      </c>
      <c r="B539" t="s">
        <v>380</v>
      </c>
      <c r="C539" t="s">
        <v>2323</v>
      </c>
    </row>
    <row r="540" spans="1:3" x14ac:dyDescent="0.3">
      <c r="A540" s="165">
        <v>38509</v>
      </c>
      <c r="B540" t="s">
        <v>380</v>
      </c>
      <c r="C540" t="s">
        <v>638</v>
      </c>
    </row>
    <row r="541" spans="1:3" x14ac:dyDescent="0.3">
      <c r="A541" s="165">
        <v>38512</v>
      </c>
      <c r="B541" t="s">
        <v>83</v>
      </c>
      <c r="C541" t="s">
        <v>1162</v>
      </c>
    </row>
    <row r="542" spans="1:3" x14ac:dyDescent="0.3">
      <c r="A542" s="165">
        <v>38512</v>
      </c>
      <c r="B542" t="s">
        <v>83</v>
      </c>
      <c r="C542" t="s">
        <v>1813</v>
      </c>
    </row>
    <row r="543" spans="1:3" x14ac:dyDescent="0.3">
      <c r="A543" s="165">
        <v>38512</v>
      </c>
      <c r="B543" t="s">
        <v>83</v>
      </c>
      <c r="C543" t="s">
        <v>1723</v>
      </c>
    </row>
    <row r="544" spans="1:3" x14ac:dyDescent="0.3">
      <c r="A544" s="165">
        <v>38512</v>
      </c>
      <c r="B544" t="s">
        <v>83</v>
      </c>
      <c r="C544" t="s">
        <v>833</v>
      </c>
    </row>
    <row r="545" spans="1:3" x14ac:dyDescent="0.3">
      <c r="A545" s="165">
        <v>38518</v>
      </c>
      <c r="B545" t="s">
        <v>380</v>
      </c>
      <c r="C545" t="s">
        <v>1921</v>
      </c>
    </row>
    <row r="546" spans="1:3" x14ac:dyDescent="0.3">
      <c r="A546" s="165">
        <v>38520</v>
      </c>
      <c r="B546" t="s">
        <v>380</v>
      </c>
      <c r="C546" t="s">
        <v>1293</v>
      </c>
    </row>
    <row r="547" spans="1:3" x14ac:dyDescent="0.3">
      <c r="A547" s="165">
        <v>38520</v>
      </c>
      <c r="B547" t="s">
        <v>83</v>
      </c>
      <c r="C547" t="s">
        <v>1209</v>
      </c>
    </row>
    <row r="548" spans="1:3" x14ac:dyDescent="0.3">
      <c r="A548" s="165">
        <v>38532</v>
      </c>
      <c r="B548" t="s">
        <v>380</v>
      </c>
      <c r="C548" t="s">
        <v>1003</v>
      </c>
    </row>
    <row r="549" spans="1:3" x14ac:dyDescent="0.3">
      <c r="A549" s="165">
        <v>38540</v>
      </c>
      <c r="B549" t="s">
        <v>380</v>
      </c>
      <c r="C549" t="s">
        <v>1274</v>
      </c>
    </row>
    <row r="550" spans="1:3" x14ac:dyDescent="0.3">
      <c r="A550" s="165">
        <v>38541</v>
      </c>
      <c r="B550" t="s">
        <v>380</v>
      </c>
      <c r="C550" t="s">
        <v>281</v>
      </c>
    </row>
    <row r="551" spans="1:3" x14ac:dyDescent="0.3">
      <c r="A551" s="165">
        <v>38546</v>
      </c>
      <c r="B551" t="s">
        <v>380</v>
      </c>
      <c r="C551" t="s">
        <v>1284</v>
      </c>
    </row>
    <row r="552" spans="1:3" x14ac:dyDescent="0.3">
      <c r="A552" s="165">
        <v>38551</v>
      </c>
      <c r="B552" t="s">
        <v>380</v>
      </c>
      <c r="C552" t="s">
        <v>1186</v>
      </c>
    </row>
    <row r="553" spans="1:3" x14ac:dyDescent="0.3">
      <c r="A553" s="165">
        <v>38551</v>
      </c>
      <c r="B553" t="s">
        <v>83</v>
      </c>
      <c r="C553" t="s">
        <v>410</v>
      </c>
    </row>
    <row r="554" spans="1:3" x14ac:dyDescent="0.3">
      <c r="A554" s="165">
        <v>38551</v>
      </c>
      <c r="B554" t="s">
        <v>83</v>
      </c>
      <c r="C554" t="s">
        <v>163</v>
      </c>
    </row>
    <row r="555" spans="1:3" x14ac:dyDescent="0.3">
      <c r="A555" s="165">
        <v>38552</v>
      </c>
      <c r="B555" t="s">
        <v>380</v>
      </c>
      <c r="C555" t="s">
        <v>891</v>
      </c>
    </row>
    <row r="556" spans="1:3" x14ac:dyDescent="0.3">
      <c r="A556" s="165">
        <v>38553</v>
      </c>
      <c r="B556" t="s">
        <v>380</v>
      </c>
      <c r="C556" t="s">
        <v>740</v>
      </c>
    </row>
    <row r="557" spans="1:3" x14ac:dyDescent="0.3">
      <c r="A557" s="165">
        <v>38555</v>
      </c>
      <c r="B557" t="s">
        <v>380</v>
      </c>
      <c r="C557" t="s">
        <v>1474</v>
      </c>
    </row>
    <row r="558" spans="1:3" x14ac:dyDescent="0.3">
      <c r="A558" s="165">
        <v>38566</v>
      </c>
      <c r="B558" t="s">
        <v>380</v>
      </c>
      <c r="C558" t="s">
        <v>2386</v>
      </c>
    </row>
    <row r="559" spans="1:3" x14ac:dyDescent="0.3">
      <c r="A559" s="165">
        <v>38572</v>
      </c>
      <c r="B559" t="s">
        <v>380</v>
      </c>
      <c r="C559" t="s">
        <v>1893</v>
      </c>
    </row>
    <row r="560" spans="1:3" x14ac:dyDescent="0.3">
      <c r="A560" s="165">
        <v>38573</v>
      </c>
      <c r="B560" t="s">
        <v>380</v>
      </c>
      <c r="C560" t="s">
        <v>1835</v>
      </c>
    </row>
    <row r="561" spans="1:3" x14ac:dyDescent="0.3">
      <c r="A561" s="165">
        <v>38574</v>
      </c>
      <c r="B561" t="s">
        <v>380</v>
      </c>
      <c r="C561" t="s">
        <v>684</v>
      </c>
    </row>
    <row r="562" spans="1:3" x14ac:dyDescent="0.3">
      <c r="A562" s="165">
        <v>38575</v>
      </c>
      <c r="B562" t="s">
        <v>380</v>
      </c>
      <c r="C562" t="s">
        <v>2105</v>
      </c>
    </row>
    <row r="563" spans="1:3" x14ac:dyDescent="0.3">
      <c r="A563" s="165">
        <v>38580</v>
      </c>
      <c r="B563" t="s">
        <v>380</v>
      </c>
      <c r="C563" t="s">
        <v>865</v>
      </c>
    </row>
    <row r="564" spans="1:3" x14ac:dyDescent="0.3">
      <c r="A564" s="165">
        <v>38579</v>
      </c>
      <c r="B564" t="s">
        <v>83</v>
      </c>
      <c r="C564" t="s">
        <v>1311</v>
      </c>
    </row>
    <row r="565" spans="1:3" x14ac:dyDescent="0.3">
      <c r="A565" s="165">
        <v>38579</v>
      </c>
      <c r="B565" t="s">
        <v>83</v>
      </c>
      <c r="C565" t="s">
        <v>1876</v>
      </c>
    </row>
    <row r="566" spans="1:3" x14ac:dyDescent="0.3">
      <c r="A566" s="165">
        <v>38582</v>
      </c>
      <c r="B566" t="s">
        <v>83</v>
      </c>
      <c r="C566" t="s">
        <v>551</v>
      </c>
    </row>
    <row r="567" spans="1:3" x14ac:dyDescent="0.3">
      <c r="A567" s="165">
        <v>38582</v>
      </c>
      <c r="B567" t="s">
        <v>83</v>
      </c>
      <c r="C567" t="s">
        <v>1695</v>
      </c>
    </row>
    <row r="568" spans="1:3" x14ac:dyDescent="0.3">
      <c r="A568" s="165">
        <v>38586</v>
      </c>
      <c r="B568" t="s">
        <v>2344</v>
      </c>
      <c r="C568" t="s">
        <v>1677</v>
      </c>
    </row>
    <row r="569" spans="1:3" x14ac:dyDescent="0.3">
      <c r="A569" s="165">
        <v>38589</v>
      </c>
      <c r="B569" t="s">
        <v>380</v>
      </c>
      <c r="C569" t="s">
        <v>2025</v>
      </c>
    </row>
    <row r="570" spans="1:3" x14ac:dyDescent="0.3">
      <c r="A570" s="165">
        <v>38590</v>
      </c>
      <c r="B570" t="s">
        <v>380</v>
      </c>
      <c r="C570" t="s">
        <v>2016</v>
      </c>
    </row>
    <row r="571" spans="1:3" x14ac:dyDescent="0.3">
      <c r="A571" s="165">
        <v>38602</v>
      </c>
      <c r="B571" t="s">
        <v>83</v>
      </c>
      <c r="C571" t="s">
        <v>1929</v>
      </c>
    </row>
    <row r="572" spans="1:3" x14ac:dyDescent="0.3">
      <c r="A572" s="165">
        <v>38603</v>
      </c>
      <c r="B572" t="s">
        <v>380</v>
      </c>
      <c r="C572" t="s">
        <v>1272</v>
      </c>
    </row>
    <row r="573" spans="1:3" x14ac:dyDescent="0.3">
      <c r="A573" s="165">
        <v>38604</v>
      </c>
      <c r="B573" t="s">
        <v>380</v>
      </c>
      <c r="C573" t="s">
        <v>1841</v>
      </c>
    </row>
    <row r="574" spans="1:3" x14ac:dyDescent="0.3">
      <c r="A574" s="165">
        <v>38607</v>
      </c>
      <c r="B574" t="s">
        <v>380</v>
      </c>
      <c r="C574" t="s">
        <v>344</v>
      </c>
    </row>
    <row r="575" spans="1:3" x14ac:dyDescent="0.3">
      <c r="A575" s="165">
        <v>38608</v>
      </c>
      <c r="B575" t="s">
        <v>380</v>
      </c>
      <c r="C575" t="s">
        <v>2153</v>
      </c>
    </row>
    <row r="576" spans="1:3" x14ac:dyDescent="0.3">
      <c r="A576" s="165">
        <v>38609</v>
      </c>
      <c r="B576" t="s">
        <v>380</v>
      </c>
      <c r="C576" t="s">
        <v>2152</v>
      </c>
    </row>
    <row r="577" spans="1:3" x14ac:dyDescent="0.3">
      <c r="A577" s="165">
        <v>38610</v>
      </c>
      <c r="B577" t="s">
        <v>83</v>
      </c>
      <c r="C577" t="s">
        <v>1024</v>
      </c>
    </row>
    <row r="578" spans="1:3" x14ac:dyDescent="0.3">
      <c r="A578" s="165">
        <v>38610</v>
      </c>
      <c r="B578" t="s">
        <v>83</v>
      </c>
      <c r="C578" t="s">
        <v>212</v>
      </c>
    </row>
    <row r="579" spans="1:3" x14ac:dyDescent="0.3">
      <c r="A579" s="165">
        <v>38610</v>
      </c>
      <c r="B579" t="s">
        <v>2344</v>
      </c>
      <c r="C579" t="s">
        <v>1126</v>
      </c>
    </row>
    <row r="580" spans="1:3" x14ac:dyDescent="0.3">
      <c r="A580" s="165">
        <v>38611</v>
      </c>
      <c r="B580" t="s">
        <v>380</v>
      </c>
      <c r="C580" t="s">
        <v>2498</v>
      </c>
    </row>
    <row r="581" spans="1:3" x14ac:dyDescent="0.3">
      <c r="A581" s="165">
        <v>38621</v>
      </c>
      <c r="B581" t="s">
        <v>380</v>
      </c>
      <c r="C581" t="s">
        <v>34</v>
      </c>
    </row>
    <row r="582" spans="1:3" x14ac:dyDescent="0.3">
      <c r="A582" s="165">
        <v>38622</v>
      </c>
      <c r="B582" t="s">
        <v>380</v>
      </c>
      <c r="C582" t="s">
        <v>1801</v>
      </c>
    </row>
    <row r="583" spans="1:3" x14ac:dyDescent="0.3">
      <c r="A583" s="165">
        <v>38623</v>
      </c>
      <c r="B583" t="s">
        <v>380</v>
      </c>
      <c r="C583" t="s">
        <v>2063</v>
      </c>
    </row>
    <row r="584" spans="1:3" x14ac:dyDescent="0.3">
      <c r="A584" s="165">
        <v>38624</v>
      </c>
      <c r="B584" t="s">
        <v>380</v>
      </c>
      <c r="C584" t="s">
        <v>617</v>
      </c>
    </row>
    <row r="585" spans="1:3" x14ac:dyDescent="0.3">
      <c r="A585" s="165">
        <v>38625</v>
      </c>
      <c r="B585" t="s">
        <v>380</v>
      </c>
      <c r="C585" t="s">
        <v>1165</v>
      </c>
    </row>
    <row r="586" spans="1:3" x14ac:dyDescent="0.3">
      <c r="A586" s="165">
        <v>38629</v>
      </c>
      <c r="B586" t="s">
        <v>380</v>
      </c>
      <c r="C586" t="s">
        <v>570</v>
      </c>
    </row>
    <row r="587" spans="1:3" x14ac:dyDescent="0.3">
      <c r="A587" s="165">
        <v>38630</v>
      </c>
      <c r="B587" t="s">
        <v>380</v>
      </c>
      <c r="C587" t="s">
        <v>1678</v>
      </c>
    </row>
    <row r="588" spans="1:3" x14ac:dyDescent="0.3">
      <c r="A588" s="165">
        <v>38632</v>
      </c>
      <c r="B588" t="s">
        <v>380</v>
      </c>
      <c r="C588" t="s">
        <v>926</v>
      </c>
    </row>
    <row r="589" spans="1:3" x14ac:dyDescent="0.3">
      <c r="A589" s="165">
        <v>38637</v>
      </c>
      <c r="B589" t="s">
        <v>380</v>
      </c>
      <c r="C589" t="s">
        <v>2420</v>
      </c>
    </row>
    <row r="590" spans="1:3" x14ac:dyDescent="0.3">
      <c r="A590" s="165">
        <v>38638</v>
      </c>
      <c r="B590" t="s">
        <v>380</v>
      </c>
      <c r="C590" t="s">
        <v>1748</v>
      </c>
    </row>
    <row r="591" spans="1:3" x14ac:dyDescent="0.3">
      <c r="A591" s="165">
        <v>38639</v>
      </c>
      <c r="B591" t="s">
        <v>380</v>
      </c>
      <c r="C591" t="s">
        <v>153</v>
      </c>
    </row>
    <row r="592" spans="1:3" x14ac:dyDescent="0.3">
      <c r="A592" s="165">
        <v>38642</v>
      </c>
      <c r="B592" t="s">
        <v>83</v>
      </c>
      <c r="C592" t="s">
        <v>1073</v>
      </c>
    </row>
    <row r="593" spans="1:3" x14ac:dyDescent="0.3">
      <c r="A593" s="165">
        <v>38642</v>
      </c>
      <c r="B593" t="s">
        <v>380</v>
      </c>
      <c r="C593" t="s">
        <v>611</v>
      </c>
    </row>
    <row r="594" spans="1:3" x14ac:dyDescent="0.3">
      <c r="A594" s="165">
        <v>38644</v>
      </c>
      <c r="B594" t="s">
        <v>380</v>
      </c>
      <c r="C594" t="s">
        <v>1023</v>
      </c>
    </row>
    <row r="595" spans="1:3" x14ac:dyDescent="0.3">
      <c r="A595" s="165">
        <v>38645</v>
      </c>
      <c r="B595" t="s">
        <v>380</v>
      </c>
      <c r="C595" t="s">
        <v>2154</v>
      </c>
    </row>
    <row r="596" spans="1:3" x14ac:dyDescent="0.3">
      <c r="A596" s="165">
        <v>38646</v>
      </c>
      <c r="B596" t="s">
        <v>380</v>
      </c>
      <c r="C596" t="s">
        <v>619</v>
      </c>
    </row>
    <row r="597" spans="1:3" x14ac:dyDescent="0.3">
      <c r="A597" s="165">
        <v>38649</v>
      </c>
      <c r="B597" t="s">
        <v>380</v>
      </c>
      <c r="C597" t="s">
        <v>1068</v>
      </c>
    </row>
    <row r="598" spans="1:3" x14ac:dyDescent="0.3">
      <c r="A598" s="165">
        <v>38651</v>
      </c>
      <c r="B598" t="s">
        <v>83</v>
      </c>
      <c r="C598" t="s">
        <v>1951</v>
      </c>
    </row>
    <row r="599" spans="1:3" x14ac:dyDescent="0.3">
      <c r="A599" s="165">
        <v>38653</v>
      </c>
      <c r="B599" t="s">
        <v>83</v>
      </c>
      <c r="C599" t="s">
        <v>1948</v>
      </c>
    </row>
    <row r="600" spans="1:3" x14ac:dyDescent="0.3">
      <c r="A600" s="165">
        <v>38659</v>
      </c>
      <c r="B600" t="s">
        <v>83</v>
      </c>
      <c r="C600" t="s">
        <v>1081</v>
      </c>
    </row>
    <row r="601" spans="1:3" x14ac:dyDescent="0.3">
      <c r="A601" s="165">
        <v>38659</v>
      </c>
      <c r="B601" t="s">
        <v>83</v>
      </c>
      <c r="C601" t="s">
        <v>1986</v>
      </c>
    </row>
    <row r="602" spans="1:3" x14ac:dyDescent="0.3">
      <c r="A602" s="165">
        <v>38659</v>
      </c>
      <c r="B602" t="s">
        <v>83</v>
      </c>
      <c r="C602" t="s">
        <v>476</v>
      </c>
    </row>
    <row r="603" spans="1:3" x14ac:dyDescent="0.3">
      <c r="A603" s="165">
        <v>38670</v>
      </c>
      <c r="B603" t="s">
        <v>83</v>
      </c>
      <c r="C603" t="s">
        <v>1018</v>
      </c>
    </row>
    <row r="604" spans="1:3" x14ac:dyDescent="0.3">
      <c r="A604" s="165">
        <v>38671</v>
      </c>
      <c r="B604" t="s">
        <v>83</v>
      </c>
      <c r="C604" t="s">
        <v>2303</v>
      </c>
    </row>
    <row r="605" spans="1:3" x14ac:dyDescent="0.3">
      <c r="A605" s="165">
        <v>38671</v>
      </c>
      <c r="B605" t="s">
        <v>380</v>
      </c>
      <c r="C605" t="s">
        <v>1894</v>
      </c>
    </row>
    <row r="606" spans="1:3" x14ac:dyDescent="0.3">
      <c r="A606" s="165">
        <v>38672</v>
      </c>
      <c r="B606" t="s">
        <v>83</v>
      </c>
      <c r="C606" t="s">
        <v>88</v>
      </c>
    </row>
    <row r="607" spans="1:3" x14ac:dyDescent="0.3">
      <c r="A607" s="165">
        <v>38673</v>
      </c>
      <c r="B607" t="s">
        <v>83</v>
      </c>
      <c r="C607" t="s">
        <v>1241</v>
      </c>
    </row>
    <row r="608" spans="1:3" x14ac:dyDescent="0.3">
      <c r="A608" s="165">
        <v>38679</v>
      </c>
      <c r="B608" t="s">
        <v>380</v>
      </c>
      <c r="C608" t="s">
        <v>1386</v>
      </c>
    </row>
    <row r="609" spans="1:3" x14ac:dyDescent="0.3">
      <c r="A609" s="165">
        <v>37955</v>
      </c>
      <c r="B609" t="s">
        <v>380</v>
      </c>
      <c r="C609" t="s">
        <v>1247</v>
      </c>
    </row>
    <row r="610" spans="1:3" x14ac:dyDescent="0.3">
      <c r="A610" s="165">
        <v>38693</v>
      </c>
      <c r="B610" t="s">
        <v>83</v>
      </c>
      <c r="C610" t="s">
        <v>1477</v>
      </c>
    </row>
    <row r="611" spans="1:3" x14ac:dyDescent="0.3">
      <c r="A611" s="165">
        <v>38699</v>
      </c>
      <c r="B611" t="s">
        <v>380</v>
      </c>
      <c r="C611" t="s">
        <v>1751</v>
      </c>
    </row>
    <row r="612" spans="1:3" x14ac:dyDescent="0.3">
      <c r="A612" s="165">
        <v>38700</v>
      </c>
      <c r="B612" t="s">
        <v>83</v>
      </c>
      <c r="C612" t="s">
        <v>705</v>
      </c>
    </row>
    <row r="613" spans="1:3" x14ac:dyDescent="0.3">
      <c r="A613" s="165">
        <v>38708</v>
      </c>
      <c r="B613" t="s">
        <v>380</v>
      </c>
      <c r="C613" t="s">
        <v>369</v>
      </c>
    </row>
    <row r="614" spans="1:3" x14ac:dyDescent="0.3">
      <c r="A614" s="165">
        <v>38709</v>
      </c>
      <c r="B614" t="s">
        <v>380</v>
      </c>
      <c r="C614" t="s">
        <v>1991</v>
      </c>
    </row>
    <row r="615" spans="1:3" x14ac:dyDescent="0.3">
      <c r="A615" s="165">
        <v>38726</v>
      </c>
      <c r="B615" t="s">
        <v>380</v>
      </c>
      <c r="C615" t="s">
        <v>708</v>
      </c>
    </row>
    <row r="616" spans="1:3" x14ac:dyDescent="0.3">
      <c r="A616" s="165">
        <v>38727</v>
      </c>
      <c r="B616" t="s">
        <v>380</v>
      </c>
      <c r="C616" t="s">
        <v>271</v>
      </c>
    </row>
    <row r="617" spans="1:3" x14ac:dyDescent="0.3">
      <c r="A617" s="165">
        <v>38727</v>
      </c>
      <c r="B617" t="s">
        <v>83</v>
      </c>
      <c r="C617" t="s">
        <v>610</v>
      </c>
    </row>
    <row r="618" spans="1:3" x14ac:dyDescent="0.3">
      <c r="A618" s="165">
        <v>38730</v>
      </c>
      <c r="B618" t="s">
        <v>2344</v>
      </c>
      <c r="C618" t="s">
        <v>326</v>
      </c>
    </row>
    <row r="619" spans="1:3" x14ac:dyDescent="0.3">
      <c r="A619" s="165">
        <v>38737</v>
      </c>
      <c r="B619" t="s">
        <v>83</v>
      </c>
      <c r="C619" t="s">
        <v>1080</v>
      </c>
    </row>
    <row r="620" spans="1:3" x14ac:dyDescent="0.3">
      <c r="A620" s="165">
        <v>38740</v>
      </c>
      <c r="B620" t="s">
        <v>380</v>
      </c>
      <c r="C620" t="s">
        <v>1822</v>
      </c>
    </row>
    <row r="621" spans="1:3" x14ac:dyDescent="0.3">
      <c r="A621" s="165">
        <v>38740</v>
      </c>
      <c r="B621" t="s">
        <v>83</v>
      </c>
      <c r="C621" t="s">
        <v>2244</v>
      </c>
    </row>
    <row r="622" spans="1:3" x14ac:dyDescent="0.3">
      <c r="A622" s="165">
        <v>38748</v>
      </c>
      <c r="B622" t="s">
        <v>380</v>
      </c>
      <c r="C622" t="s">
        <v>1621</v>
      </c>
    </row>
    <row r="623" spans="1:3" x14ac:dyDescent="0.3">
      <c r="A623" s="165">
        <v>38758</v>
      </c>
      <c r="B623" t="s">
        <v>380</v>
      </c>
      <c r="C623" t="s">
        <v>2157</v>
      </c>
    </row>
    <row r="624" spans="1:3" x14ac:dyDescent="0.3">
      <c r="A624" s="165">
        <v>38761</v>
      </c>
      <c r="B624" t="s">
        <v>380</v>
      </c>
      <c r="C624" t="s">
        <v>1902</v>
      </c>
    </row>
    <row r="625" spans="1:3" x14ac:dyDescent="0.3">
      <c r="A625" s="165">
        <v>38762</v>
      </c>
      <c r="B625" t="s">
        <v>380</v>
      </c>
      <c r="C625" t="s">
        <v>240</v>
      </c>
    </row>
    <row r="626" spans="1:3" x14ac:dyDescent="0.3">
      <c r="A626" s="165">
        <v>38763</v>
      </c>
      <c r="B626" t="s">
        <v>83</v>
      </c>
      <c r="C626" t="s">
        <v>461</v>
      </c>
    </row>
    <row r="627" spans="1:3" x14ac:dyDescent="0.3">
      <c r="A627" s="165">
        <v>38771</v>
      </c>
      <c r="B627" t="s">
        <v>83</v>
      </c>
      <c r="C627" t="s">
        <v>1437</v>
      </c>
    </row>
    <row r="628" spans="1:3" x14ac:dyDescent="0.3">
      <c r="A628" s="165">
        <v>38771</v>
      </c>
      <c r="B628" t="s">
        <v>83</v>
      </c>
      <c r="C628" t="s">
        <v>434</v>
      </c>
    </row>
    <row r="629" spans="1:3" x14ac:dyDescent="0.3">
      <c r="A629" s="165">
        <v>38771</v>
      </c>
      <c r="B629" t="s">
        <v>83</v>
      </c>
      <c r="C629" t="s">
        <v>1215</v>
      </c>
    </row>
    <row r="630" spans="1:3" x14ac:dyDescent="0.3">
      <c r="A630" s="165">
        <v>38772</v>
      </c>
      <c r="B630" t="s">
        <v>2344</v>
      </c>
      <c r="C630" t="s">
        <v>628</v>
      </c>
    </row>
    <row r="631" spans="1:3" x14ac:dyDescent="0.3">
      <c r="A631" s="165">
        <v>38772</v>
      </c>
      <c r="B631" t="s">
        <v>83</v>
      </c>
      <c r="C631" t="s">
        <v>1735</v>
      </c>
    </row>
    <row r="632" spans="1:3" x14ac:dyDescent="0.3">
      <c r="A632" s="165">
        <v>38779</v>
      </c>
      <c r="B632" t="s">
        <v>380</v>
      </c>
      <c r="C632" t="s">
        <v>1861</v>
      </c>
    </row>
    <row r="633" spans="1:3" x14ac:dyDescent="0.3">
      <c r="A633" s="165">
        <v>38784</v>
      </c>
      <c r="B633" t="s">
        <v>380</v>
      </c>
      <c r="C633" t="s">
        <v>1031</v>
      </c>
    </row>
    <row r="634" spans="1:3" x14ac:dyDescent="0.3">
      <c r="A634" s="165">
        <v>38785</v>
      </c>
      <c r="B634" t="s">
        <v>380</v>
      </c>
      <c r="C634" t="s">
        <v>205</v>
      </c>
    </row>
    <row r="635" spans="1:3" x14ac:dyDescent="0.3">
      <c r="A635" s="165">
        <v>38786</v>
      </c>
      <c r="B635" t="s">
        <v>380</v>
      </c>
      <c r="C635" t="s">
        <v>1557</v>
      </c>
    </row>
    <row r="636" spans="1:3" x14ac:dyDescent="0.3">
      <c r="A636" s="165">
        <v>38789</v>
      </c>
      <c r="B636" t="s">
        <v>380</v>
      </c>
      <c r="C636" t="s">
        <v>1662</v>
      </c>
    </row>
    <row r="637" spans="1:3" x14ac:dyDescent="0.3">
      <c r="A637" s="165">
        <v>38790</v>
      </c>
      <c r="B637" t="s">
        <v>83</v>
      </c>
      <c r="C637" t="s">
        <v>618</v>
      </c>
    </row>
    <row r="638" spans="1:3" x14ac:dyDescent="0.3">
      <c r="A638" s="165">
        <v>38427</v>
      </c>
      <c r="B638" t="s">
        <v>2344</v>
      </c>
      <c r="C638" t="s">
        <v>680</v>
      </c>
    </row>
    <row r="639" spans="1:3" x14ac:dyDescent="0.3">
      <c r="A639" s="165">
        <v>38792</v>
      </c>
      <c r="B639" t="s">
        <v>380</v>
      </c>
      <c r="C639" t="s">
        <v>1390</v>
      </c>
    </row>
    <row r="640" spans="1:3" x14ac:dyDescent="0.3">
      <c r="A640" s="165">
        <v>38793</v>
      </c>
      <c r="B640" t="s">
        <v>380</v>
      </c>
      <c r="C640" t="s">
        <v>1604</v>
      </c>
    </row>
    <row r="641" spans="1:3" x14ac:dyDescent="0.3">
      <c r="A641" s="165">
        <v>38804</v>
      </c>
      <c r="B641" t="s">
        <v>83</v>
      </c>
      <c r="C641" t="s">
        <v>1451</v>
      </c>
    </row>
    <row r="642" spans="1:3" x14ac:dyDescent="0.3">
      <c r="A642" s="165">
        <v>38805</v>
      </c>
      <c r="B642" t="s">
        <v>2207</v>
      </c>
      <c r="C642" t="s">
        <v>161</v>
      </c>
    </row>
    <row r="643" spans="1:3" x14ac:dyDescent="0.3">
      <c r="A643" s="165">
        <v>38811</v>
      </c>
      <c r="B643" t="s">
        <v>83</v>
      </c>
      <c r="C643" t="s">
        <v>1049</v>
      </c>
    </row>
    <row r="644" spans="1:3" x14ac:dyDescent="0.3">
      <c r="A644" s="165">
        <v>38813</v>
      </c>
      <c r="B644" t="s">
        <v>380</v>
      </c>
      <c r="C644" t="s">
        <v>2140</v>
      </c>
    </row>
    <row r="645" spans="1:3" x14ac:dyDescent="0.3">
      <c r="A645" s="165">
        <v>38814</v>
      </c>
      <c r="B645" t="s">
        <v>380</v>
      </c>
      <c r="C645" t="s">
        <v>128</v>
      </c>
    </row>
    <row r="646" spans="1:3" x14ac:dyDescent="0.3">
      <c r="A646" s="165">
        <v>38817</v>
      </c>
      <c r="B646" t="s">
        <v>380</v>
      </c>
      <c r="C646" t="s">
        <v>322</v>
      </c>
    </row>
    <row r="647" spans="1:3" x14ac:dyDescent="0.3">
      <c r="A647" s="165">
        <v>38818</v>
      </c>
      <c r="B647" t="s">
        <v>380</v>
      </c>
      <c r="C647" t="s">
        <v>2158</v>
      </c>
    </row>
    <row r="648" spans="1:3" x14ac:dyDescent="0.3">
      <c r="A648" s="165">
        <v>38820</v>
      </c>
      <c r="B648" t="s">
        <v>83</v>
      </c>
      <c r="C648" t="s">
        <v>74</v>
      </c>
    </row>
    <row r="649" spans="1:3" x14ac:dyDescent="0.3">
      <c r="A649" s="165">
        <v>38821</v>
      </c>
      <c r="B649" t="s">
        <v>380</v>
      </c>
      <c r="C649" t="s">
        <v>655</v>
      </c>
    </row>
    <row r="650" spans="1:3" x14ac:dyDescent="0.3">
      <c r="A650" s="165">
        <v>38831</v>
      </c>
      <c r="B650" t="s">
        <v>380</v>
      </c>
      <c r="C650" t="s">
        <v>188</v>
      </c>
    </row>
    <row r="651" spans="1:3" x14ac:dyDescent="0.3">
      <c r="A651" s="165">
        <v>38832</v>
      </c>
      <c r="B651" t="s">
        <v>380</v>
      </c>
      <c r="C651" t="s">
        <v>1052</v>
      </c>
    </row>
    <row r="652" spans="1:3" x14ac:dyDescent="0.3">
      <c r="A652" s="165">
        <v>38840</v>
      </c>
      <c r="B652" t="s">
        <v>380</v>
      </c>
      <c r="C652" t="s">
        <v>1713</v>
      </c>
    </row>
    <row r="653" spans="1:3" x14ac:dyDescent="0.3">
      <c r="A653" s="165">
        <v>38842</v>
      </c>
      <c r="B653" t="s">
        <v>380</v>
      </c>
      <c r="C653" t="s">
        <v>432</v>
      </c>
    </row>
    <row r="654" spans="1:3" x14ac:dyDescent="0.3">
      <c r="A654" s="165">
        <v>38847</v>
      </c>
      <c r="B654" t="s">
        <v>380</v>
      </c>
      <c r="C654" t="s">
        <v>2150</v>
      </c>
    </row>
    <row r="655" spans="1:3" x14ac:dyDescent="0.3">
      <c r="A655" s="165">
        <v>38852</v>
      </c>
      <c r="B655" t="s">
        <v>83</v>
      </c>
      <c r="C655" t="s">
        <v>225</v>
      </c>
    </row>
    <row r="656" spans="1:3" x14ac:dyDescent="0.3">
      <c r="A656" s="165">
        <v>38855</v>
      </c>
      <c r="B656" t="s">
        <v>83</v>
      </c>
      <c r="C656" t="s">
        <v>1268</v>
      </c>
    </row>
    <row r="657" spans="1:3" x14ac:dyDescent="0.3">
      <c r="A657" s="165">
        <v>38873</v>
      </c>
      <c r="B657" t="s">
        <v>380</v>
      </c>
      <c r="C657" t="s">
        <v>1234</v>
      </c>
    </row>
    <row r="658" spans="1:3" x14ac:dyDescent="0.3">
      <c r="A658" s="165">
        <v>38875</v>
      </c>
      <c r="B658" t="s">
        <v>380</v>
      </c>
      <c r="C658" t="s">
        <v>150</v>
      </c>
    </row>
    <row r="659" spans="1:3" x14ac:dyDescent="0.3">
      <c r="A659" s="165">
        <v>38876</v>
      </c>
      <c r="B659" t="s">
        <v>380</v>
      </c>
      <c r="C659" t="s">
        <v>283</v>
      </c>
    </row>
    <row r="660" spans="1:3" x14ac:dyDescent="0.3">
      <c r="A660" s="165">
        <v>38877</v>
      </c>
      <c r="B660" t="s">
        <v>380</v>
      </c>
      <c r="C660" t="s">
        <v>1239</v>
      </c>
    </row>
    <row r="661" spans="1:3" x14ac:dyDescent="0.3">
      <c r="A661" s="165">
        <v>38880</v>
      </c>
      <c r="B661" t="s">
        <v>380</v>
      </c>
      <c r="C661" t="s">
        <v>1619</v>
      </c>
    </row>
    <row r="662" spans="1:3" x14ac:dyDescent="0.3">
      <c r="A662" s="165">
        <v>38882</v>
      </c>
      <c r="B662" t="s">
        <v>380</v>
      </c>
      <c r="C662" t="s">
        <v>728</v>
      </c>
    </row>
    <row r="663" spans="1:3" x14ac:dyDescent="0.3">
      <c r="A663" s="165">
        <v>38882</v>
      </c>
      <c r="B663" t="s">
        <v>83</v>
      </c>
      <c r="C663" t="s">
        <v>1750</v>
      </c>
    </row>
    <row r="664" spans="1:3" x14ac:dyDescent="0.3">
      <c r="A664" s="165">
        <v>38882</v>
      </c>
      <c r="B664" t="s">
        <v>83</v>
      </c>
      <c r="C664" t="s">
        <v>1445</v>
      </c>
    </row>
    <row r="665" spans="1:3" x14ac:dyDescent="0.3">
      <c r="A665" s="165">
        <v>38884</v>
      </c>
      <c r="B665" t="s">
        <v>380</v>
      </c>
      <c r="C665" t="s">
        <v>431</v>
      </c>
    </row>
    <row r="666" spans="1:3" x14ac:dyDescent="0.3">
      <c r="A666" s="165">
        <v>38897</v>
      </c>
      <c r="B666" t="s">
        <v>380</v>
      </c>
      <c r="C666" t="s">
        <v>1287</v>
      </c>
    </row>
    <row r="667" spans="1:3" x14ac:dyDescent="0.3">
      <c r="A667" s="165">
        <v>38905</v>
      </c>
      <c r="B667" t="s">
        <v>380</v>
      </c>
      <c r="C667" t="s">
        <v>1158</v>
      </c>
    </row>
    <row r="668" spans="1:3" x14ac:dyDescent="0.3">
      <c r="A668" s="165">
        <v>38910</v>
      </c>
      <c r="B668" t="s">
        <v>2344</v>
      </c>
      <c r="C668" t="s">
        <v>874</v>
      </c>
    </row>
    <row r="669" spans="1:3" x14ac:dyDescent="0.3">
      <c r="A669" s="165">
        <v>38911</v>
      </c>
      <c r="B669" t="s">
        <v>380</v>
      </c>
      <c r="C669" t="s">
        <v>975</v>
      </c>
    </row>
    <row r="670" spans="1:3" x14ac:dyDescent="0.3">
      <c r="A670" s="165">
        <v>38912</v>
      </c>
      <c r="B670" t="s">
        <v>83</v>
      </c>
      <c r="C670" t="s">
        <v>1633</v>
      </c>
    </row>
    <row r="671" spans="1:3" x14ac:dyDescent="0.3">
      <c r="A671" s="165">
        <v>38912</v>
      </c>
      <c r="B671" t="s">
        <v>83</v>
      </c>
      <c r="C671" t="s">
        <v>1579</v>
      </c>
    </row>
    <row r="672" spans="1:3" x14ac:dyDescent="0.3">
      <c r="A672" s="165">
        <v>38915</v>
      </c>
      <c r="B672" t="s">
        <v>380</v>
      </c>
      <c r="C672" t="s">
        <v>2242</v>
      </c>
    </row>
    <row r="673" spans="1:3" x14ac:dyDescent="0.3">
      <c r="A673" s="165">
        <v>38916</v>
      </c>
      <c r="B673" t="s">
        <v>380</v>
      </c>
      <c r="C673" t="s">
        <v>274</v>
      </c>
    </row>
    <row r="674" spans="1:3" x14ac:dyDescent="0.3">
      <c r="A674" s="165">
        <v>38917</v>
      </c>
      <c r="B674" t="s">
        <v>83</v>
      </c>
      <c r="C674" t="s">
        <v>515</v>
      </c>
    </row>
    <row r="675" spans="1:3" x14ac:dyDescent="0.3">
      <c r="A675" s="165">
        <v>38919</v>
      </c>
      <c r="B675" t="s">
        <v>83</v>
      </c>
      <c r="C675" t="s">
        <v>757</v>
      </c>
    </row>
    <row r="676" spans="1:3" x14ac:dyDescent="0.3">
      <c r="A676" s="165">
        <v>38922</v>
      </c>
      <c r="B676" t="s">
        <v>83</v>
      </c>
      <c r="C676" t="s">
        <v>2305</v>
      </c>
    </row>
    <row r="677" spans="1:3" x14ac:dyDescent="0.3">
      <c r="A677" s="165">
        <v>38923</v>
      </c>
      <c r="B677" t="s">
        <v>380</v>
      </c>
      <c r="C677" t="s">
        <v>1054</v>
      </c>
    </row>
    <row r="678" spans="1:3" x14ac:dyDescent="0.3">
      <c r="A678" s="165">
        <v>38925</v>
      </c>
      <c r="B678" t="s">
        <v>83</v>
      </c>
      <c r="C678" t="s">
        <v>759</v>
      </c>
    </row>
    <row r="679" spans="1:3" x14ac:dyDescent="0.3">
      <c r="A679" s="165">
        <v>38930</v>
      </c>
      <c r="B679" t="s">
        <v>83</v>
      </c>
      <c r="C679" t="s">
        <v>1753</v>
      </c>
    </row>
    <row r="680" spans="1:3" x14ac:dyDescent="0.3">
      <c r="A680" s="165">
        <v>38939</v>
      </c>
      <c r="B680" t="s">
        <v>380</v>
      </c>
      <c r="C680" t="s">
        <v>171</v>
      </c>
    </row>
    <row r="681" spans="1:3" x14ac:dyDescent="0.3">
      <c r="A681" s="165">
        <v>38940</v>
      </c>
      <c r="B681" t="s">
        <v>380</v>
      </c>
      <c r="C681" t="s">
        <v>1523</v>
      </c>
    </row>
    <row r="682" spans="1:3" x14ac:dyDescent="0.3">
      <c r="A682" s="165">
        <v>38945</v>
      </c>
      <c r="B682" t="s">
        <v>380</v>
      </c>
      <c r="C682" t="s">
        <v>210</v>
      </c>
    </row>
    <row r="683" spans="1:3" x14ac:dyDescent="0.3">
      <c r="A683" s="165">
        <v>38946</v>
      </c>
      <c r="B683" t="s">
        <v>83</v>
      </c>
      <c r="C683" t="s">
        <v>997</v>
      </c>
    </row>
    <row r="684" spans="1:3" x14ac:dyDescent="0.3">
      <c r="A684" s="165">
        <v>38946</v>
      </c>
      <c r="B684" t="s">
        <v>380</v>
      </c>
      <c r="C684" t="s">
        <v>1888</v>
      </c>
    </row>
    <row r="685" spans="1:3" x14ac:dyDescent="0.3">
      <c r="A685" s="165">
        <v>38947</v>
      </c>
      <c r="B685" t="s">
        <v>380</v>
      </c>
      <c r="C685" t="s">
        <v>1235</v>
      </c>
    </row>
    <row r="686" spans="1:3" x14ac:dyDescent="0.3">
      <c r="A686" s="165">
        <v>38950</v>
      </c>
      <c r="B686" t="s">
        <v>380</v>
      </c>
      <c r="C686" t="s">
        <v>1501</v>
      </c>
    </row>
    <row r="687" spans="1:3" x14ac:dyDescent="0.3">
      <c r="A687" s="165">
        <v>38951</v>
      </c>
      <c r="B687" t="s">
        <v>380</v>
      </c>
      <c r="C687" t="s">
        <v>1276</v>
      </c>
    </row>
    <row r="688" spans="1:3" x14ac:dyDescent="0.3">
      <c r="A688" s="165">
        <v>38952</v>
      </c>
      <c r="B688" t="s">
        <v>380</v>
      </c>
      <c r="C688" t="s">
        <v>200</v>
      </c>
    </row>
    <row r="689" spans="1:3" x14ac:dyDescent="0.3">
      <c r="A689" s="165">
        <v>38953</v>
      </c>
      <c r="B689" t="s">
        <v>380</v>
      </c>
      <c r="C689" t="s">
        <v>1401</v>
      </c>
    </row>
    <row r="690" spans="1:3" x14ac:dyDescent="0.3">
      <c r="A690" s="165">
        <v>38957</v>
      </c>
      <c r="B690" t="s">
        <v>380</v>
      </c>
      <c r="C690" t="s">
        <v>581</v>
      </c>
    </row>
    <row r="691" spans="1:3" x14ac:dyDescent="0.3">
      <c r="A691" s="165">
        <v>38958</v>
      </c>
      <c r="B691" t="s">
        <v>380</v>
      </c>
      <c r="C691" t="s">
        <v>836</v>
      </c>
    </row>
    <row r="692" spans="1:3" x14ac:dyDescent="0.3">
      <c r="A692" s="165">
        <v>38965</v>
      </c>
      <c r="B692" t="s">
        <v>380</v>
      </c>
      <c r="C692" t="s">
        <v>457</v>
      </c>
    </row>
    <row r="693" spans="1:3" x14ac:dyDescent="0.3">
      <c r="A693" s="165">
        <v>38971</v>
      </c>
      <c r="B693" t="s">
        <v>380</v>
      </c>
      <c r="C693" t="s">
        <v>923</v>
      </c>
    </row>
    <row r="694" spans="1:3" x14ac:dyDescent="0.3">
      <c r="A694" s="165">
        <v>38973</v>
      </c>
      <c r="B694" t="s">
        <v>380</v>
      </c>
      <c r="C694" t="s">
        <v>142</v>
      </c>
    </row>
    <row r="695" spans="1:3" x14ac:dyDescent="0.3">
      <c r="A695" s="165">
        <v>38974</v>
      </c>
      <c r="B695" t="s">
        <v>380</v>
      </c>
      <c r="C695" t="s">
        <v>2391</v>
      </c>
    </row>
    <row r="696" spans="1:3" x14ac:dyDescent="0.3">
      <c r="A696" s="165">
        <v>38975</v>
      </c>
      <c r="B696" t="s">
        <v>83</v>
      </c>
      <c r="C696" t="s">
        <v>460</v>
      </c>
    </row>
    <row r="697" spans="1:3" x14ac:dyDescent="0.3">
      <c r="A697" s="165">
        <v>38975</v>
      </c>
      <c r="B697" t="s">
        <v>83</v>
      </c>
      <c r="C697" t="s">
        <v>1316</v>
      </c>
    </row>
    <row r="698" spans="1:3" x14ac:dyDescent="0.3">
      <c r="A698" s="165">
        <v>38975</v>
      </c>
      <c r="B698" t="s">
        <v>380</v>
      </c>
      <c r="C698" t="s">
        <v>661</v>
      </c>
    </row>
    <row r="699" spans="1:3" x14ac:dyDescent="0.3">
      <c r="A699" s="165">
        <v>38979</v>
      </c>
      <c r="B699" t="s">
        <v>380</v>
      </c>
      <c r="C699" t="s">
        <v>1184</v>
      </c>
    </row>
    <row r="700" spans="1:3" x14ac:dyDescent="0.3">
      <c r="A700" s="165">
        <v>38980</v>
      </c>
      <c r="B700" t="s">
        <v>380</v>
      </c>
      <c r="C700" t="s">
        <v>1384</v>
      </c>
    </row>
    <row r="701" spans="1:3" x14ac:dyDescent="0.3">
      <c r="A701" s="165">
        <v>38981</v>
      </c>
      <c r="B701" t="s">
        <v>380</v>
      </c>
      <c r="C701" t="s">
        <v>847</v>
      </c>
    </row>
    <row r="702" spans="1:3" x14ac:dyDescent="0.3">
      <c r="A702" s="165">
        <v>38988</v>
      </c>
      <c r="B702" t="s">
        <v>83</v>
      </c>
      <c r="C702" t="s">
        <v>419</v>
      </c>
    </row>
    <row r="703" spans="1:3" x14ac:dyDescent="0.3">
      <c r="A703" s="165">
        <v>38988</v>
      </c>
      <c r="B703" t="s">
        <v>380</v>
      </c>
      <c r="C703" t="s">
        <v>398</v>
      </c>
    </row>
    <row r="704" spans="1:3" x14ac:dyDescent="0.3">
      <c r="A704" s="165">
        <v>38989</v>
      </c>
      <c r="B704" t="s">
        <v>380</v>
      </c>
      <c r="C704" t="s">
        <v>985</v>
      </c>
    </row>
    <row r="705" spans="1:3" x14ac:dyDescent="0.3">
      <c r="A705" s="165">
        <v>38990</v>
      </c>
      <c r="B705" t="s">
        <v>380</v>
      </c>
      <c r="C705" t="s">
        <v>592</v>
      </c>
    </row>
    <row r="706" spans="1:3" x14ac:dyDescent="0.3">
      <c r="A706" s="165">
        <v>38992</v>
      </c>
      <c r="B706" t="s">
        <v>380</v>
      </c>
      <c r="C706" t="s">
        <v>402</v>
      </c>
    </row>
    <row r="707" spans="1:3" x14ac:dyDescent="0.3">
      <c r="A707" s="165">
        <v>38993</v>
      </c>
      <c r="B707" t="s">
        <v>380</v>
      </c>
      <c r="C707" t="s">
        <v>1131</v>
      </c>
    </row>
    <row r="708" spans="1:3" x14ac:dyDescent="0.3">
      <c r="A708" s="165">
        <v>38994</v>
      </c>
      <c r="B708" t="s">
        <v>380</v>
      </c>
      <c r="C708" t="s">
        <v>798</v>
      </c>
    </row>
    <row r="709" spans="1:3" x14ac:dyDescent="0.3">
      <c r="A709" s="165">
        <v>38995</v>
      </c>
      <c r="B709" t="s">
        <v>380</v>
      </c>
      <c r="C709" t="s">
        <v>686</v>
      </c>
    </row>
    <row r="710" spans="1:3" x14ac:dyDescent="0.3">
      <c r="A710" s="165">
        <v>39001</v>
      </c>
      <c r="B710" t="s">
        <v>380</v>
      </c>
      <c r="C710" t="s">
        <v>2199</v>
      </c>
    </row>
    <row r="711" spans="1:3" x14ac:dyDescent="0.3">
      <c r="A711" s="165">
        <v>39002</v>
      </c>
      <c r="B711" t="s">
        <v>380</v>
      </c>
      <c r="C711" t="s">
        <v>132</v>
      </c>
    </row>
    <row r="712" spans="1:3" x14ac:dyDescent="0.3">
      <c r="A712" s="165">
        <v>39006</v>
      </c>
      <c r="B712" t="s">
        <v>380</v>
      </c>
      <c r="C712" t="s">
        <v>1291</v>
      </c>
    </row>
    <row r="713" spans="1:3" x14ac:dyDescent="0.3">
      <c r="A713" s="165">
        <v>39008</v>
      </c>
      <c r="B713" t="s">
        <v>380</v>
      </c>
      <c r="C713" t="s">
        <v>1448</v>
      </c>
    </row>
    <row r="714" spans="1:3" x14ac:dyDescent="0.3">
      <c r="A714" s="165">
        <v>39009</v>
      </c>
      <c r="B714" t="s">
        <v>380</v>
      </c>
      <c r="C714" t="s">
        <v>804</v>
      </c>
    </row>
    <row r="715" spans="1:3" x14ac:dyDescent="0.3">
      <c r="A715" s="165">
        <v>39009</v>
      </c>
      <c r="B715" t="s">
        <v>83</v>
      </c>
      <c r="C715" t="s">
        <v>1728</v>
      </c>
    </row>
    <row r="716" spans="1:3" x14ac:dyDescent="0.3">
      <c r="A716" s="165">
        <v>39010</v>
      </c>
      <c r="B716" t="s">
        <v>380</v>
      </c>
      <c r="C716" t="s">
        <v>1042</v>
      </c>
    </row>
    <row r="717" spans="1:3" x14ac:dyDescent="0.3">
      <c r="A717" s="165">
        <v>39014</v>
      </c>
      <c r="B717" t="s">
        <v>380</v>
      </c>
      <c r="C717" t="s">
        <v>801</v>
      </c>
    </row>
    <row r="718" spans="1:3" x14ac:dyDescent="0.3">
      <c r="A718" s="165">
        <v>39020</v>
      </c>
      <c r="B718" t="s">
        <v>83</v>
      </c>
      <c r="C718" t="s">
        <v>237</v>
      </c>
    </row>
    <row r="719" spans="1:3" x14ac:dyDescent="0.3">
      <c r="A719" s="165">
        <v>39022</v>
      </c>
      <c r="B719" t="s">
        <v>380</v>
      </c>
      <c r="C719" t="s">
        <v>1187</v>
      </c>
    </row>
    <row r="720" spans="1:3" x14ac:dyDescent="0.3">
      <c r="A720" s="165">
        <v>39023</v>
      </c>
      <c r="B720" t="s">
        <v>83</v>
      </c>
      <c r="C720" t="s">
        <v>2215</v>
      </c>
    </row>
    <row r="721" spans="1:3" x14ac:dyDescent="0.3">
      <c r="A721" s="165">
        <v>39029</v>
      </c>
      <c r="B721" t="s">
        <v>380</v>
      </c>
      <c r="C721" t="s">
        <v>1248</v>
      </c>
    </row>
    <row r="722" spans="1:3" x14ac:dyDescent="0.3">
      <c r="A722" s="165">
        <v>39030</v>
      </c>
      <c r="B722" t="s">
        <v>380</v>
      </c>
      <c r="C722" t="s">
        <v>2252</v>
      </c>
    </row>
    <row r="723" spans="1:3" x14ac:dyDescent="0.3">
      <c r="A723" s="165">
        <v>39034</v>
      </c>
      <c r="B723" t="s">
        <v>380</v>
      </c>
      <c r="C723" t="s">
        <v>1778</v>
      </c>
    </row>
    <row r="724" spans="1:3" x14ac:dyDescent="0.3">
      <c r="A724" s="165">
        <v>39035</v>
      </c>
      <c r="B724" t="s">
        <v>83</v>
      </c>
      <c r="C724" t="s">
        <v>1867</v>
      </c>
    </row>
    <row r="725" spans="1:3" x14ac:dyDescent="0.3">
      <c r="A725" s="165">
        <v>39035</v>
      </c>
      <c r="B725" t="s">
        <v>83</v>
      </c>
      <c r="C725" t="s">
        <v>1160</v>
      </c>
    </row>
    <row r="726" spans="1:3" x14ac:dyDescent="0.3">
      <c r="A726" s="165">
        <v>39036</v>
      </c>
      <c r="B726" t="s">
        <v>380</v>
      </c>
      <c r="C726" t="s">
        <v>466</v>
      </c>
    </row>
    <row r="727" spans="1:3" x14ac:dyDescent="0.3">
      <c r="A727" s="165">
        <v>39037</v>
      </c>
      <c r="B727" t="s">
        <v>380</v>
      </c>
      <c r="C727" t="s">
        <v>1420</v>
      </c>
    </row>
    <row r="728" spans="1:3" x14ac:dyDescent="0.3">
      <c r="A728" s="165">
        <v>39038</v>
      </c>
      <c r="B728" t="s">
        <v>380</v>
      </c>
      <c r="C728" t="s">
        <v>2088</v>
      </c>
    </row>
    <row r="729" spans="1:3" x14ac:dyDescent="0.3">
      <c r="A729" s="165">
        <v>39063</v>
      </c>
      <c r="B729" t="s">
        <v>380</v>
      </c>
      <c r="C729" t="s">
        <v>788</v>
      </c>
    </row>
    <row r="730" spans="1:3" x14ac:dyDescent="0.3">
      <c r="A730" s="165">
        <v>39066</v>
      </c>
      <c r="B730" t="s">
        <v>83</v>
      </c>
      <c r="C730" t="s">
        <v>1644</v>
      </c>
    </row>
    <row r="731" spans="1:3" x14ac:dyDescent="0.3">
      <c r="A731" s="165">
        <v>39078</v>
      </c>
      <c r="B731" t="s">
        <v>2344</v>
      </c>
      <c r="C731" t="s">
        <v>986</v>
      </c>
    </row>
    <row r="732" spans="1:3" x14ac:dyDescent="0.3">
      <c r="A732" s="165">
        <v>39090</v>
      </c>
      <c r="B732" t="s">
        <v>2207</v>
      </c>
      <c r="C732" t="s">
        <v>954</v>
      </c>
    </row>
    <row r="733" spans="1:3" x14ac:dyDescent="0.3">
      <c r="A733" s="165">
        <v>39097</v>
      </c>
      <c r="B733" t="s">
        <v>380</v>
      </c>
      <c r="C733" t="s">
        <v>1730</v>
      </c>
    </row>
    <row r="734" spans="1:3" x14ac:dyDescent="0.3">
      <c r="A734" s="165">
        <v>39099</v>
      </c>
      <c r="B734" t="s">
        <v>83</v>
      </c>
      <c r="C734" t="s">
        <v>800</v>
      </c>
    </row>
    <row r="735" spans="1:3" x14ac:dyDescent="0.3">
      <c r="A735" s="165">
        <v>39114</v>
      </c>
      <c r="B735" t="s">
        <v>380</v>
      </c>
      <c r="C735" t="s">
        <v>2214</v>
      </c>
    </row>
    <row r="736" spans="1:3" x14ac:dyDescent="0.3">
      <c r="A736" s="165">
        <v>39118</v>
      </c>
      <c r="B736" t="s">
        <v>380</v>
      </c>
      <c r="C736" t="s">
        <v>2031</v>
      </c>
    </row>
    <row r="737" spans="1:3" x14ac:dyDescent="0.3">
      <c r="A737" s="165">
        <v>39122</v>
      </c>
      <c r="B737" t="s">
        <v>83</v>
      </c>
      <c r="C737" t="s">
        <v>1005</v>
      </c>
    </row>
    <row r="738" spans="1:3" x14ac:dyDescent="0.3">
      <c r="A738" s="165">
        <v>39122</v>
      </c>
      <c r="B738" t="s">
        <v>380</v>
      </c>
      <c r="C738" t="s">
        <v>1051</v>
      </c>
    </row>
    <row r="739" spans="1:3" x14ac:dyDescent="0.3">
      <c r="A739" s="165">
        <v>39125</v>
      </c>
      <c r="B739" t="s">
        <v>380</v>
      </c>
      <c r="C739" t="s">
        <v>362</v>
      </c>
    </row>
    <row r="740" spans="1:3" x14ac:dyDescent="0.3">
      <c r="A740" s="165">
        <v>39126</v>
      </c>
      <c r="B740" t="s">
        <v>83</v>
      </c>
      <c r="C740" t="s">
        <v>1167</v>
      </c>
    </row>
    <row r="741" spans="1:3" x14ac:dyDescent="0.3">
      <c r="A741" s="165">
        <v>39127</v>
      </c>
      <c r="B741" t="s">
        <v>380</v>
      </c>
      <c r="C741" t="s">
        <v>1493</v>
      </c>
    </row>
    <row r="742" spans="1:3" x14ac:dyDescent="0.3">
      <c r="A742" s="165">
        <v>39128</v>
      </c>
      <c r="B742" t="s">
        <v>83</v>
      </c>
      <c r="C742" t="s">
        <v>1357</v>
      </c>
    </row>
    <row r="743" spans="1:3" x14ac:dyDescent="0.3">
      <c r="A743" s="165">
        <v>39128</v>
      </c>
      <c r="B743" t="s">
        <v>83</v>
      </c>
      <c r="C743" t="s">
        <v>2145</v>
      </c>
    </row>
    <row r="744" spans="1:3" x14ac:dyDescent="0.3">
      <c r="A744" s="165">
        <v>39129</v>
      </c>
      <c r="B744" t="s">
        <v>380</v>
      </c>
      <c r="C744" t="s">
        <v>1127</v>
      </c>
    </row>
    <row r="745" spans="1:3" x14ac:dyDescent="0.3">
      <c r="A745" s="165">
        <v>39136</v>
      </c>
      <c r="B745" t="s">
        <v>380</v>
      </c>
      <c r="C745" t="s">
        <v>2507</v>
      </c>
    </row>
    <row r="746" spans="1:3" x14ac:dyDescent="0.3">
      <c r="A746" s="165">
        <v>39141</v>
      </c>
      <c r="B746" t="s">
        <v>380</v>
      </c>
      <c r="C746" t="s">
        <v>1889</v>
      </c>
    </row>
    <row r="747" spans="1:3" x14ac:dyDescent="0.3">
      <c r="A747" s="165">
        <v>39148</v>
      </c>
      <c r="B747" t="s">
        <v>380</v>
      </c>
      <c r="C747" t="s">
        <v>1082</v>
      </c>
    </row>
    <row r="748" spans="1:3" x14ac:dyDescent="0.3">
      <c r="A748" s="165">
        <v>39149</v>
      </c>
      <c r="B748" t="s">
        <v>380</v>
      </c>
      <c r="C748" t="s">
        <v>2497</v>
      </c>
    </row>
    <row r="749" spans="1:3" x14ac:dyDescent="0.3">
      <c r="A749" s="165">
        <v>39150</v>
      </c>
      <c r="B749" t="s">
        <v>380</v>
      </c>
      <c r="C749" t="s">
        <v>1424</v>
      </c>
    </row>
    <row r="750" spans="1:3" x14ac:dyDescent="0.3">
      <c r="A750" s="165">
        <v>39153</v>
      </c>
      <c r="B750" t="s">
        <v>2027</v>
      </c>
      <c r="C750" t="s">
        <v>169</v>
      </c>
    </row>
    <row r="751" spans="1:3" x14ac:dyDescent="0.3">
      <c r="A751" s="165">
        <v>39154</v>
      </c>
      <c r="B751" t="s">
        <v>380</v>
      </c>
      <c r="C751" t="s">
        <v>1926</v>
      </c>
    </row>
    <row r="752" spans="1:3" x14ac:dyDescent="0.3">
      <c r="A752" s="165">
        <v>39155</v>
      </c>
      <c r="B752" t="s">
        <v>380</v>
      </c>
      <c r="C752" t="s">
        <v>2129</v>
      </c>
    </row>
    <row r="753" spans="1:3" x14ac:dyDescent="0.3">
      <c r="A753" s="165">
        <v>39156</v>
      </c>
      <c r="B753" t="s">
        <v>380</v>
      </c>
      <c r="C753" t="s">
        <v>1656</v>
      </c>
    </row>
    <row r="754" spans="1:3" x14ac:dyDescent="0.3">
      <c r="A754" s="165">
        <v>39156</v>
      </c>
      <c r="B754" t="s">
        <v>83</v>
      </c>
      <c r="C754" t="s">
        <v>1682</v>
      </c>
    </row>
    <row r="755" spans="1:3" x14ac:dyDescent="0.3">
      <c r="A755" s="165">
        <v>39156</v>
      </c>
      <c r="B755" t="s">
        <v>83</v>
      </c>
      <c r="C755" t="s">
        <v>182</v>
      </c>
    </row>
    <row r="756" spans="1:3" x14ac:dyDescent="0.3">
      <c r="A756" s="165">
        <v>39189</v>
      </c>
      <c r="B756" t="s">
        <v>2344</v>
      </c>
      <c r="C756" t="s">
        <v>2026</v>
      </c>
    </row>
    <row r="757" spans="1:3" x14ac:dyDescent="0.3">
      <c r="A757" s="165">
        <v>39189</v>
      </c>
      <c r="B757" t="s">
        <v>380</v>
      </c>
      <c r="C757" t="s">
        <v>2377</v>
      </c>
    </row>
    <row r="758" spans="1:3" x14ac:dyDescent="0.3">
      <c r="A758" s="165">
        <v>39190</v>
      </c>
      <c r="B758" t="s">
        <v>380</v>
      </c>
      <c r="C758" t="s">
        <v>1345</v>
      </c>
    </row>
    <row r="759" spans="1:3" x14ac:dyDescent="0.3">
      <c r="A759" s="165">
        <v>39190</v>
      </c>
      <c r="B759" t="s">
        <v>83</v>
      </c>
      <c r="C759" t="s">
        <v>2496</v>
      </c>
    </row>
    <row r="760" spans="1:3" x14ac:dyDescent="0.3">
      <c r="A760" s="165">
        <v>39191</v>
      </c>
      <c r="B760" t="s">
        <v>380</v>
      </c>
      <c r="C760" t="s">
        <v>1423</v>
      </c>
    </row>
    <row r="761" spans="1:3" x14ac:dyDescent="0.3">
      <c r="A761" s="165">
        <v>39198</v>
      </c>
      <c r="B761" t="s">
        <v>2027</v>
      </c>
      <c r="C761" t="s">
        <v>1767</v>
      </c>
    </row>
    <row r="762" spans="1:3" x14ac:dyDescent="0.3">
      <c r="A762" s="165">
        <v>39216</v>
      </c>
      <c r="B762" t="s">
        <v>380</v>
      </c>
      <c r="C762" t="s">
        <v>1494</v>
      </c>
    </row>
    <row r="763" spans="1:3" x14ac:dyDescent="0.3">
      <c r="A763" s="165">
        <v>39219</v>
      </c>
      <c r="B763" t="s">
        <v>380</v>
      </c>
      <c r="C763" t="s">
        <v>769</v>
      </c>
    </row>
    <row r="764" spans="1:3" x14ac:dyDescent="0.3">
      <c r="A764" s="165">
        <v>39219</v>
      </c>
      <c r="B764" t="s">
        <v>83</v>
      </c>
      <c r="C764" t="s">
        <v>1752</v>
      </c>
    </row>
    <row r="765" spans="1:3" x14ac:dyDescent="0.3">
      <c r="A765" s="165">
        <v>39225</v>
      </c>
      <c r="B765" t="s">
        <v>380</v>
      </c>
      <c r="C765" t="s">
        <v>1312</v>
      </c>
    </row>
    <row r="766" spans="1:3" x14ac:dyDescent="0.3">
      <c r="A766" s="165">
        <v>39232</v>
      </c>
      <c r="B766" t="s">
        <v>83</v>
      </c>
      <c r="C766" t="s">
        <v>1530</v>
      </c>
    </row>
    <row r="767" spans="1:3" x14ac:dyDescent="0.3">
      <c r="A767" s="165">
        <v>39238</v>
      </c>
      <c r="B767" t="s">
        <v>380</v>
      </c>
      <c r="C767" t="s">
        <v>1048</v>
      </c>
    </row>
    <row r="768" spans="1:3" x14ac:dyDescent="0.3">
      <c r="A768" s="165">
        <v>39245</v>
      </c>
      <c r="B768" t="s">
        <v>83</v>
      </c>
      <c r="C768" t="s">
        <v>1946</v>
      </c>
    </row>
    <row r="769" spans="1:3" x14ac:dyDescent="0.3">
      <c r="A769" s="165">
        <v>39248</v>
      </c>
      <c r="B769" t="s">
        <v>380</v>
      </c>
      <c r="C769" t="s">
        <v>1810</v>
      </c>
    </row>
    <row r="770" spans="1:3" x14ac:dyDescent="0.3">
      <c r="A770" s="165">
        <v>39249</v>
      </c>
      <c r="B770" t="s">
        <v>380</v>
      </c>
      <c r="C770" t="s">
        <v>21</v>
      </c>
    </row>
    <row r="771" spans="1:3" x14ac:dyDescent="0.3">
      <c r="A771" s="165">
        <v>39251</v>
      </c>
      <c r="B771" t="s">
        <v>380</v>
      </c>
      <c r="C771" t="s">
        <v>868</v>
      </c>
    </row>
    <row r="772" spans="1:3" x14ac:dyDescent="0.3">
      <c r="A772" s="165">
        <v>39252</v>
      </c>
      <c r="B772" t="s">
        <v>83</v>
      </c>
      <c r="C772" t="s">
        <v>2364</v>
      </c>
    </row>
    <row r="773" spans="1:3" x14ac:dyDescent="0.3">
      <c r="A773" s="165">
        <v>39261</v>
      </c>
      <c r="B773" t="s">
        <v>83</v>
      </c>
      <c r="C773" t="s">
        <v>2018</v>
      </c>
    </row>
    <row r="774" spans="1:3" x14ac:dyDescent="0.3">
      <c r="A774" s="165">
        <v>39269</v>
      </c>
      <c r="B774" t="s">
        <v>380</v>
      </c>
      <c r="C774" t="s">
        <v>462</v>
      </c>
    </row>
    <row r="775" spans="1:3" x14ac:dyDescent="0.3">
      <c r="A775" s="165">
        <v>39273</v>
      </c>
      <c r="B775" t="s">
        <v>380</v>
      </c>
      <c r="C775" t="s">
        <v>1179</v>
      </c>
    </row>
    <row r="776" spans="1:3" x14ac:dyDescent="0.3">
      <c r="A776" s="165">
        <v>39275</v>
      </c>
      <c r="B776" t="s">
        <v>380</v>
      </c>
      <c r="C776" t="s">
        <v>1300</v>
      </c>
    </row>
    <row r="777" spans="1:3" x14ac:dyDescent="0.3">
      <c r="A777" s="165">
        <v>39279</v>
      </c>
      <c r="B777" t="s">
        <v>83</v>
      </c>
      <c r="C777" t="s">
        <v>1533</v>
      </c>
    </row>
    <row r="778" spans="1:3" x14ac:dyDescent="0.3">
      <c r="A778" s="165">
        <v>39279</v>
      </c>
      <c r="B778" t="s">
        <v>83</v>
      </c>
      <c r="C778" t="s">
        <v>1794</v>
      </c>
    </row>
    <row r="779" spans="1:3" x14ac:dyDescent="0.3">
      <c r="A779" s="165">
        <v>39279</v>
      </c>
      <c r="B779" t="s">
        <v>380</v>
      </c>
      <c r="C779" t="s">
        <v>337</v>
      </c>
    </row>
    <row r="780" spans="1:3" x14ac:dyDescent="0.3">
      <c r="A780" s="165">
        <v>39280</v>
      </c>
      <c r="B780" t="s">
        <v>380</v>
      </c>
      <c r="C780" t="s">
        <v>211</v>
      </c>
    </row>
    <row r="781" spans="1:3" x14ac:dyDescent="0.3">
      <c r="A781" s="165">
        <v>39281</v>
      </c>
      <c r="B781" t="s">
        <v>83</v>
      </c>
      <c r="C781" t="s">
        <v>536</v>
      </c>
    </row>
    <row r="782" spans="1:3" x14ac:dyDescent="0.3">
      <c r="A782" s="165">
        <v>39282</v>
      </c>
      <c r="B782" t="s">
        <v>83</v>
      </c>
      <c r="C782" t="s">
        <v>700</v>
      </c>
    </row>
    <row r="783" spans="1:3" x14ac:dyDescent="0.3">
      <c r="A783" s="165">
        <v>39282</v>
      </c>
      <c r="B783" t="s">
        <v>2344</v>
      </c>
      <c r="C783" t="s">
        <v>2040</v>
      </c>
    </row>
    <row r="784" spans="1:3" x14ac:dyDescent="0.3">
      <c r="A784" s="165">
        <v>39295</v>
      </c>
      <c r="B784" t="s">
        <v>380</v>
      </c>
      <c r="C784" t="s">
        <v>1543</v>
      </c>
    </row>
    <row r="785" spans="1:3" x14ac:dyDescent="0.3">
      <c r="A785" s="165">
        <v>39297</v>
      </c>
      <c r="B785" t="s">
        <v>380</v>
      </c>
      <c r="C785" t="s">
        <v>123</v>
      </c>
    </row>
    <row r="786" spans="1:3" x14ac:dyDescent="0.3">
      <c r="A786" s="165">
        <v>39304</v>
      </c>
      <c r="B786" t="s">
        <v>380</v>
      </c>
      <c r="C786" t="s">
        <v>1612</v>
      </c>
    </row>
    <row r="787" spans="1:3" x14ac:dyDescent="0.3">
      <c r="A787" s="165">
        <v>39308</v>
      </c>
      <c r="B787" t="s">
        <v>380</v>
      </c>
      <c r="C787" t="s">
        <v>1972</v>
      </c>
    </row>
    <row r="788" spans="1:3" x14ac:dyDescent="0.3">
      <c r="A788" s="165">
        <v>39310</v>
      </c>
      <c r="B788" t="s">
        <v>380</v>
      </c>
      <c r="C788" t="s">
        <v>763</v>
      </c>
    </row>
    <row r="789" spans="1:3" x14ac:dyDescent="0.3">
      <c r="A789" s="165">
        <v>39315</v>
      </c>
      <c r="B789" t="s">
        <v>83</v>
      </c>
      <c r="C789" t="s">
        <v>1724</v>
      </c>
    </row>
    <row r="790" spans="1:3" x14ac:dyDescent="0.3">
      <c r="A790" s="165">
        <v>39315</v>
      </c>
      <c r="B790" t="s">
        <v>380</v>
      </c>
      <c r="C790" t="s">
        <v>879</v>
      </c>
    </row>
    <row r="791" spans="1:3" x14ac:dyDescent="0.3">
      <c r="A791" s="165">
        <v>39317</v>
      </c>
      <c r="B791" t="s">
        <v>380</v>
      </c>
      <c r="C791" t="s">
        <v>2012</v>
      </c>
    </row>
    <row r="792" spans="1:3" x14ac:dyDescent="0.3">
      <c r="A792" s="165">
        <v>39321</v>
      </c>
      <c r="B792" t="s">
        <v>2344</v>
      </c>
      <c r="C792" t="s">
        <v>1725</v>
      </c>
    </row>
    <row r="793" spans="1:3" x14ac:dyDescent="0.3">
      <c r="A793" s="165">
        <v>39322</v>
      </c>
      <c r="B793" t="s">
        <v>380</v>
      </c>
      <c r="C793" t="s">
        <v>180</v>
      </c>
    </row>
    <row r="794" spans="1:3" x14ac:dyDescent="0.3">
      <c r="A794" s="165">
        <v>39323</v>
      </c>
      <c r="B794" t="s">
        <v>380</v>
      </c>
      <c r="C794" t="s">
        <v>561</v>
      </c>
    </row>
    <row r="795" spans="1:3" x14ac:dyDescent="0.3">
      <c r="A795" s="165">
        <v>39330</v>
      </c>
      <c r="B795" t="s">
        <v>2344</v>
      </c>
      <c r="C795" t="s">
        <v>1032</v>
      </c>
    </row>
    <row r="796" spans="1:3" x14ac:dyDescent="0.3">
      <c r="A796" s="165">
        <v>39332</v>
      </c>
      <c r="B796" t="s">
        <v>380</v>
      </c>
      <c r="C796" t="s">
        <v>1963</v>
      </c>
    </row>
    <row r="797" spans="1:3" x14ac:dyDescent="0.3">
      <c r="A797" s="165">
        <v>39335</v>
      </c>
      <c r="B797" t="s">
        <v>2344</v>
      </c>
      <c r="C797" t="s">
        <v>404</v>
      </c>
    </row>
    <row r="798" spans="1:3" x14ac:dyDescent="0.3">
      <c r="A798" s="165">
        <v>39335</v>
      </c>
      <c r="B798" t="s">
        <v>380</v>
      </c>
      <c r="C798" t="s">
        <v>2219</v>
      </c>
    </row>
    <row r="799" spans="1:3" x14ac:dyDescent="0.3">
      <c r="A799" s="165">
        <v>39336</v>
      </c>
      <c r="B799" t="s">
        <v>380</v>
      </c>
      <c r="C799" t="s">
        <v>961</v>
      </c>
    </row>
    <row r="800" spans="1:3" x14ac:dyDescent="0.3">
      <c r="A800" s="165">
        <v>39337</v>
      </c>
      <c r="B800" t="s">
        <v>380</v>
      </c>
      <c r="C800" t="s">
        <v>796</v>
      </c>
    </row>
    <row r="801" spans="1:3" x14ac:dyDescent="0.3">
      <c r="A801" s="165">
        <v>39338</v>
      </c>
      <c r="B801" t="s">
        <v>380</v>
      </c>
      <c r="C801" t="s">
        <v>760</v>
      </c>
    </row>
    <row r="802" spans="1:3" x14ac:dyDescent="0.3">
      <c r="A802" s="165">
        <v>39339</v>
      </c>
      <c r="B802" t="s">
        <v>380</v>
      </c>
      <c r="C802" t="s">
        <v>1324</v>
      </c>
    </row>
    <row r="803" spans="1:3" x14ac:dyDescent="0.3">
      <c r="A803" s="165">
        <v>39339</v>
      </c>
      <c r="B803" t="s">
        <v>83</v>
      </c>
      <c r="C803" t="s">
        <v>2245</v>
      </c>
    </row>
    <row r="804" spans="1:3" x14ac:dyDescent="0.3">
      <c r="A804" s="165">
        <v>39342</v>
      </c>
      <c r="B804" t="s">
        <v>2344</v>
      </c>
      <c r="C804" t="s">
        <v>330</v>
      </c>
    </row>
    <row r="805" spans="1:3" x14ac:dyDescent="0.3">
      <c r="A805" s="165">
        <v>39342</v>
      </c>
      <c r="B805" t="s">
        <v>380</v>
      </c>
      <c r="C805" t="s">
        <v>177</v>
      </c>
    </row>
    <row r="806" spans="1:3" x14ac:dyDescent="0.3">
      <c r="A806" s="165">
        <v>40074</v>
      </c>
      <c r="B806" t="s">
        <v>380</v>
      </c>
      <c r="C806" t="s">
        <v>1762</v>
      </c>
    </row>
    <row r="807" spans="1:3" x14ac:dyDescent="0.3">
      <c r="A807" s="165">
        <v>39344</v>
      </c>
      <c r="B807" t="s">
        <v>380</v>
      </c>
      <c r="C807" t="s">
        <v>1864</v>
      </c>
    </row>
    <row r="808" spans="1:3" x14ac:dyDescent="0.3">
      <c r="A808" s="165">
        <v>39349</v>
      </c>
      <c r="B808" t="s">
        <v>2344</v>
      </c>
      <c r="C808" t="s">
        <v>658</v>
      </c>
    </row>
    <row r="809" spans="1:3" x14ac:dyDescent="0.3">
      <c r="A809" s="165">
        <v>39353</v>
      </c>
      <c r="B809" t="s">
        <v>380</v>
      </c>
      <c r="C809" t="s">
        <v>147</v>
      </c>
    </row>
    <row r="810" spans="1:3" x14ac:dyDescent="0.3">
      <c r="A810" s="165">
        <v>39355</v>
      </c>
      <c r="B810" t="s">
        <v>380</v>
      </c>
      <c r="C810" t="s">
        <v>1120</v>
      </c>
    </row>
    <row r="811" spans="1:3" x14ac:dyDescent="0.3">
      <c r="A811" s="165">
        <v>39356</v>
      </c>
      <c r="B811" t="s">
        <v>380</v>
      </c>
      <c r="C811" t="s">
        <v>248</v>
      </c>
    </row>
    <row r="812" spans="1:3" x14ac:dyDescent="0.3">
      <c r="A812" s="165">
        <v>39359</v>
      </c>
      <c r="B812" t="s">
        <v>380</v>
      </c>
      <c r="C812" t="s">
        <v>148</v>
      </c>
    </row>
    <row r="813" spans="1:3" x14ac:dyDescent="0.3">
      <c r="A813" s="165">
        <v>39360</v>
      </c>
      <c r="B813" t="s">
        <v>380</v>
      </c>
      <c r="C813" t="s">
        <v>256</v>
      </c>
    </row>
    <row r="814" spans="1:3" x14ac:dyDescent="0.3">
      <c r="A814" s="165">
        <v>39364</v>
      </c>
      <c r="B814" t="s">
        <v>380</v>
      </c>
      <c r="C814" t="s">
        <v>1971</v>
      </c>
    </row>
    <row r="815" spans="1:3" x14ac:dyDescent="0.3">
      <c r="A815" s="165">
        <v>39367</v>
      </c>
      <c r="B815" t="s">
        <v>380</v>
      </c>
      <c r="C815" t="s">
        <v>2022</v>
      </c>
    </row>
    <row r="816" spans="1:3" x14ac:dyDescent="0.3">
      <c r="A816" s="165">
        <v>39372</v>
      </c>
      <c r="B816" t="s">
        <v>83</v>
      </c>
      <c r="C816" t="s">
        <v>113</v>
      </c>
    </row>
    <row r="817" spans="1:3" x14ac:dyDescent="0.3">
      <c r="A817" s="165">
        <v>39377</v>
      </c>
      <c r="B817" t="s">
        <v>83</v>
      </c>
      <c r="C817" t="s">
        <v>2401</v>
      </c>
    </row>
    <row r="818" spans="1:3" x14ac:dyDescent="0.3">
      <c r="A818" s="165">
        <v>39377</v>
      </c>
      <c r="B818" t="s">
        <v>380</v>
      </c>
      <c r="C818" t="s">
        <v>625</v>
      </c>
    </row>
    <row r="819" spans="1:3" x14ac:dyDescent="0.3">
      <c r="A819" s="165">
        <v>39378</v>
      </c>
      <c r="B819" t="s">
        <v>380</v>
      </c>
      <c r="C819" t="s">
        <v>2196</v>
      </c>
    </row>
    <row r="820" spans="1:3" x14ac:dyDescent="0.3">
      <c r="A820" s="165">
        <v>39379</v>
      </c>
      <c r="B820" t="s">
        <v>380</v>
      </c>
      <c r="C820" t="s">
        <v>553</v>
      </c>
    </row>
    <row r="821" spans="1:3" x14ac:dyDescent="0.3">
      <c r="A821" s="165">
        <v>39380</v>
      </c>
      <c r="B821" t="s">
        <v>2344</v>
      </c>
      <c r="C821" t="s">
        <v>1829</v>
      </c>
    </row>
    <row r="822" spans="1:3" x14ac:dyDescent="0.3">
      <c r="A822" s="165">
        <v>39380</v>
      </c>
      <c r="B822" t="s">
        <v>380</v>
      </c>
      <c r="C822" t="s">
        <v>1868</v>
      </c>
    </row>
    <row r="823" spans="1:3" x14ac:dyDescent="0.3">
      <c r="A823" s="165">
        <v>39381</v>
      </c>
      <c r="B823" t="s">
        <v>380</v>
      </c>
      <c r="C823" t="s">
        <v>7</v>
      </c>
    </row>
    <row r="824" spans="1:3" x14ac:dyDescent="0.3">
      <c r="A824" s="165">
        <v>39385</v>
      </c>
      <c r="B824" t="s">
        <v>83</v>
      </c>
      <c r="C824" t="s">
        <v>1470</v>
      </c>
    </row>
    <row r="825" spans="1:3" x14ac:dyDescent="0.3">
      <c r="A825" s="165">
        <v>39388</v>
      </c>
      <c r="B825" t="s">
        <v>380</v>
      </c>
      <c r="C825" t="s">
        <v>1296</v>
      </c>
    </row>
    <row r="826" spans="1:3" x14ac:dyDescent="0.3">
      <c r="A826" s="165">
        <v>39391</v>
      </c>
      <c r="B826" t="s">
        <v>83</v>
      </c>
      <c r="C826" t="s">
        <v>888</v>
      </c>
    </row>
    <row r="827" spans="1:3" x14ac:dyDescent="0.3">
      <c r="A827" s="165">
        <v>39392</v>
      </c>
      <c r="B827" t="s">
        <v>380</v>
      </c>
      <c r="C827" t="s">
        <v>409</v>
      </c>
    </row>
    <row r="828" spans="1:3" x14ac:dyDescent="0.3">
      <c r="A828" s="165">
        <v>39393</v>
      </c>
      <c r="B828" t="s">
        <v>380</v>
      </c>
      <c r="C828" t="s">
        <v>1811</v>
      </c>
    </row>
    <row r="829" spans="1:3" x14ac:dyDescent="0.3">
      <c r="A829" s="165">
        <v>39394</v>
      </c>
      <c r="B829" t="s">
        <v>380</v>
      </c>
      <c r="C829" t="s">
        <v>1540</v>
      </c>
    </row>
    <row r="830" spans="1:3" x14ac:dyDescent="0.3">
      <c r="A830" s="165">
        <v>39394</v>
      </c>
      <c r="B830" t="s">
        <v>2344</v>
      </c>
      <c r="C830" t="s">
        <v>654</v>
      </c>
    </row>
    <row r="831" spans="1:3" x14ac:dyDescent="0.3">
      <c r="A831" s="165">
        <v>39395</v>
      </c>
      <c r="B831" t="s">
        <v>380</v>
      </c>
      <c r="C831" t="s">
        <v>1541</v>
      </c>
    </row>
    <row r="832" spans="1:3" x14ac:dyDescent="0.3">
      <c r="A832" s="165">
        <v>39399</v>
      </c>
      <c r="B832" t="s">
        <v>83</v>
      </c>
      <c r="C832" t="s">
        <v>327</v>
      </c>
    </row>
    <row r="833" spans="1:3" x14ac:dyDescent="0.3">
      <c r="A833" s="165">
        <v>39400</v>
      </c>
      <c r="B833" t="s">
        <v>380</v>
      </c>
      <c r="C833" t="s">
        <v>883</v>
      </c>
    </row>
    <row r="834" spans="1:3" x14ac:dyDescent="0.3">
      <c r="A834" s="165">
        <v>39400</v>
      </c>
      <c r="B834" t="s">
        <v>83</v>
      </c>
      <c r="C834" t="s">
        <v>185</v>
      </c>
    </row>
    <row r="835" spans="1:3" x14ac:dyDescent="0.3">
      <c r="A835" s="165">
        <v>39405</v>
      </c>
      <c r="B835" t="s">
        <v>380</v>
      </c>
      <c r="C835" t="s">
        <v>1297</v>
      </c>
    </row>
    <row r="836" spans="1:3" x14ac:dyDescent="0.3">
      <c r="A836" s="165">
        <v>39407</v>
      </c>
      <c r="B836" t="s">
        <v>380</v>
      </c>
      <c r="C836" t="s">
        <v>1919</v>
      </c>
    </row>
    <row r="837" spans="1:3" x14ac:dyDescent="0.3">
      <c r="A837" s="165">
        <v>39415</v>
      </c>
      <c r="B837" t="s">
        <v>380</v>
      </c>
      <c r="C837" t="s">
        <v>1664</v>
      </c>
    </row>
    <row r="838" spans="1:3" x14ac:dyDescent="0.3">
      <c r="A838" s="165">
        <v>39422</v>
      </c>
      <c r="B838" t="s">
        <v>380</v>
      </c>
      <c r="C838" t="s">
        <v>1211</v>
      </c>
    </row>
    <row r="839" spans="1:3" x14ac:dyDescent="0.3">
      <c r="A839" s="165">
        <v>39426</v>
      </c>
      <c r="B839" t="s">
        <v>380</v>
      </c>
      <c r="C839" t="s">
        <v>1365</v>
      </c>
    </row>
    <row r="840" spans="1:3" x14ac:dyDescent="0.3">
      <c r="A840" s="165">
        <v>39428</v>
      </c>
      <c r="B840" t="s">
        <v>380</v>
      </c>
      <c r="C840" t="s">
        <v>2101</v>
      </c>
    </row>
    <row r="841" spans="1:3" x14ac:dyDescent="0.3">
      <c r="A841" s="165">
        <v>39430</v>
      </c>
      <c r="B841" t="s">
        <v>380</v>
      </c>
      <c r="C841" t="s">
        <v>605</v>
      </c>
    </row>
    <row r="842" spans="1:3" x14ac:dyDescent="0.3">
      <c r="A842" s="165">
        <v>39430</v>
      </c>
      <c r="B842" t="s">
        <v>83</v>
      </c>
      <c r="C842" t="s">
        <v>2287</v>
      </c>
    </row>
    <row r="843" spans="1:3" x14ac:dyDescent="0.3">
      <c r="A843" s="165">
        <v>39435</v>
      </c>
      <c r="B843" t="s">
        <v>2344</v>
      </c>
      <c r="C843" t="s">
        <v>2028</v>
      </c>
    </row>
    <row r="844" spans="1:3" x14ac:dyDescent="0.3">
      <c r="A844" s="165">
        <v>39435</v>
      </c>
      <c r="B844" t="s">
        <v>380</v>
      </c>
      <c r="C844" t="s">
        <v>989</v>
      </c>
    </row>
    <row r="845" spans="1:3" x14ac:dyDescent="0.3">
      <c r="A845" s="165">
        <v>39435</v>
      </c>
      <c r="B845" t="s">
        <v>2207</v>
      </c>
      <c r="C845" t="s">
        <v>267</v>
      </c>
    </row>
    <row r="846" spans="1:3" x14ac:dyDescent="0.3">
      <c r="A846" s="165">
        <v>39435</v>
      </c>
      <c r="B846" t="s">
        <v>2344</v>
      </c>
      <c r="C846" t="s">
        <v>1736</v>
      </c>
    </row>
    <row r="847" spans="1:3" x14ac:dyDescent="0.3">
      <c r="A847" s="165">
        <v>39458</v>
      </c>
      <c r="B847" t="s">
        <v>380</v>
      </c>
      <c r="C847" t="s">
        <v>1569</v>
      </c>
    </row>
    <row r="848" spans="1:3" x14ac:dyDescent="0.3">
      <c r="A848" s="165">
        <v>39468</v>
      </c>
      <c r="B848" t="s">
        <v>380</v>
      </c>
      <c r="C848" t="s">
        <v>2454</v>
      </c>
    </row>
    <row r="849" spans="1:3" x14ac:dyDescent="0.3">
      <c r="A849" s="165">
        <v>39471</v>
      </c>
      <c r="B849" t="s">
        <v>83</v>
      </c>
      <c r="C849" t="s">
        <v>1044</v>
      </c>
    </row>
    <row r="850" spans="1:3" x14ac:dyDescent="0.3">
      <c r="A850" s="165">
        <v>39479</v>
      </c>
      <c r="B850" t="s">
        <v>83</v>
      </c>
      <c r="C850" t="s">
        <v>1372</v>
      </c>
    </row>
    <row r="851" spans="1:3" x14ac:dyDescent="0.3">
      <c r="A851" s="165">
        <v>39482</v>
      </c>
      <c r="B851" t="s">
        <v>2207</v>
      </c>
      <c r="C851" t="s">
        <v>94</v>
      </c>
    </row>
    <row r="852" spans="1:3" x14ac:dyDescent="0.3">
      <c r="A852" s="165">
        <v>39482</v>
      </c>
      <c r="B852" t="s">
        <v>2207</v>
      </c>
      <c r="C852" t="s">
        <v>1698</v>
      </c>
    </row>
    <row r="853" spans="1:3" x14ac:dyDescent="0.3">
      <c r="A853" s="165">
        <v>39490</v>
      </c>
      <c r="B853" t="s">
        <v>380</v>
      </c>
      <c r="C853" t="s">
        <v>1338</v>
      </c>
    </row>
    <row r="854" spans="1:3" x14ac:dyDescent="0.3">
      <c r="A854" s="165">
        <v>39493</v>
      </c>
      <c r="B854" t="s">
        <v>83</v>
      </c>
      <c r="C854" t="s">
        <v>602</v>
      </c>
    </row>
    <row r="855" spans="1:3" x14ac:dyDescent="0.3">
      <c r="A855" s="165">
        <v>39503</v>
      </c>
      <c r="B855" t="s">
        <v>380</v>
      </c>
      <c r="C855" t="s">
        <v>934</v>
      </c>
    </row>
    <row r="856" spans="1:3" x14ac:dyDescent="0.3">
      <c r="A856" s="165">
        <v>39504</v>
      </c>
      <c r="B856" t="s">
        <v>380</v>
      </c>
      <c r="C856" t="s">
        <v>415</v>
      </c>
    </row>
    <row r="857" spans="1:3" x14ac:dyDescent="0.3">
      <c r="A857" s="165">
        <v>39504</v>
      </c>
      <c r="B857" t="s">
        <v>83</v>
      </c>
      <c r="C857" t="s">
        <v>562</v>
      </c>
    </row>
    <row r="858" spans="1:3" x14ac:dyDescent="0.3">
      <c r="A858" s="165">
        <v>39505</v>
      </c>
      <c r="B858" t="s">
        <v>380</v>
      </c>
      <c r="C858" t="s">
        <v>84</v>
      </c>
    </row>
    <row r="859" spans="1:3" x14ac:dyDescent="0.3">
      <c r="A859" s="165">
        <v>39507</v>
      </c>
      <c r="B859" t="s">
        <v>380</v>
      </c>
      <c r="C859" t="s">
        <v>2132</v>
      </c>
    </row>
    <row r="860" spans="1:3" x14ac:dyDescent="0.3">
      <c r="A860" s="165">
        <v>39512</v>
      </c>
      <c r="B860" t="s">
        <v>380</v>
      </c>
      <c r="C860" t="s">
        <v>1544</v>
      </c>
    </row>
    <row r="861" spans="1:3" x14ac:dyDescent="0.3">
      <c r="A861" s="165">
        <v>39513</v>
      </c>
      <c r="B861" t="s">
        <v>380</v>
      </c>
      <c r="C861" t="s">
        <v>1206</v>
      </c>
    </row>
    <row r="862" spans="1:3" x14ac:dyDescent="0.3">
      <c r="A862" s="165">
        <v>39517</v>
      </c>
      <c r="B862" t="s">
        <v>380</v>
      </c>
      <c r="C862" t="s">
        <v>1212</v>
      </c>
    </row>
    <row r="863" spans="1:3" x14ac:dyDescent="0.3">
      <c r="A863" s="165">
        <v>39520</v>
      </c>
      <c r="B863" t="s">
        <v>380</v>
      </c>
      <c r="C863" t="s">
        <v>91</v>
      </c>
    </row>
    <row r="864" spans="1:3" x14ac:dyDescent="0.3">
      <c r="A864" s="165">
        <v>39521</v>
      </c>
      <c r="B864" t="s">
        <v>2344</v>
      </c>
      <c r="C864" t="s">
        <v>2360</v>
      </c>
    </row>
    <row r="865" spans="1:3" x14ac:dyDescent="0.3">
      <c r="A865" s="165">
        <v>39525</v>
      </c>
      <c r="B865" t="s">
        <v>380</v>
      </c>
      <c r="C865" t="s">
        <v>183</v>
      </c>
    </row>
    <row r="866" spans="1:3" x14ac:dyDescent="0.3">
      <c r="A866" s="165">
        <v>39526</v>
      </c>
      <c r="B866" t="s">
        <v>83</v>
      </c>
      <c r="C866" t="s">
        <v>452</v>
      </c>
    </row>
    <row r="867" spans="1:3" x14ac:dyDescent="0.3">
      <c r="A867" s="165">
        <v>39532</v>
      </c>
      <c r="B867" t="s">
        <v>2344</v>
      </c>
      <c r="C867" t="s">
        <v>1359</v>
      </c>
    </row>
    <row r="868" spans="1:3" x14ac:dyDescent="0.3">
      <c r="A868" s="165">
        <v>39533</v>
      </c>
      <c r="B868" t="s">
        <v>380</v>
      </c>
      <c r="C868" t="s">
        <v>95</v>
      </c>
    </row>
    <row r="869" spans="1:3" x14ac:dyDescent="0.3">
      <c r="A869" s="165">
        <v>39538</v>
      </c>
      <c r="B869" t="s">
        <v>380</v>
      </c>
      <c r="C869" t="s">
        <v>768</v>
      </c>
    </row>
    <row r="870" spans="1:3" x14ac:dyDescent="0.3">
      <c r="A870" s="165">
        <v>39541</v>
      </c>
      <c r="B870" t="s">
        <v>83</v>
      </c>
      <c r="C870" t="s">
        <v>479</v>
      </c>
    </row>
    <row r="871" spans="1:3" x14ac:dyDescent="0.3">
      <c r="A871" s="165">
        <v>39546</v>
      </c>
      <c r="B871" t="s">
        <v>380</v>
      </c>
      <c r="C871" t="s">
        <v>226</v>
      </c>
    </row>
    <row r="872" spans="1:3" x14ac:dyDescent="0.3">
      <c r="A872" s="165">
        <v>39547</v>
      </c>
      <c r="B872" t="s">
        <v>380</v>
      </c>
      <c r="C872" t="s">
        <v>2086</v>
      </c>
    </row>
    <row r="873" spans="1:3" x14ac:dyDescent="0.3">
      <c r="A873" s="165">
        <v>39549</v>
      </c>
      <c r="B873" t="s">
        <v>380</v>
      </c>
      <c r="C873" t="s">
        <v>720</v>
      </c>
    </row>
    <row r="874" spans="1:3" x14ac:dyDescent="0.3">
      <c r="A874" s="165">
        <v>39553</v>
      </c>
      <c r="B874" t="s">
        <v>380</v>
      </c>
      <c r="C874" t="s">
        <v>2085</v>
      </c>
    </row>
    <row r="875" spans="1:3" x14ac:dyDescent="0.3">
      <c r="A875" s="165">
        <v>39554</v>
      </c>
      <c r="B875" t="s">
        <v>380</v>
      </c>
      <c r="C875" t="s">
        <v>2210</v>
      </c>
    </row>
    <row r="876" spans="1:3" x14ac:dyDescent="0.3">
      <c r="A876" s="165">
        <v>39555</v>
      </c>
      <c r="B876" t="s">
        <v>83</v>
      </c>
      <c r="C876" t="s">
        <v>17</v>
      </c>
    </row>
    <row r="877" spans="1:3" x14ac:dyDescent="0.3">
      <c r="A877" s="165">
        <v>39555</v>
      </c>
      <c r="B877" t="s">
        <v>83</v>
      </c>
      <c r="C877" t="s">
        <v>1616</v>
      </c>
    </row>
    <row r="878" spans="1:3" x14ac:dyDescent="0.3">
      <c r="A878" s="165">
        <v>39560</v>
      </c>
      <c r="B878" t="s">
        <v>2344</v>
      </c>
      <c r="C878" t="s">
        <v>2240</v>
      </c>
    </row>
    <row r="879" spans="1:3" x14ac:dyDescent="0.3">
      <c r="A879" s="165">
        <v>39568</v>
      </c>
      <c r="B879" t="s">
        <v>380</v>
      </c>
      <c r="C879" t="s">
        <v>527</v>
      </c>
    </row>
    <row r="880" spans="1:3" x14ac:dyDescent="0.3">
      <c r="A880" s="165">
        <v>39573</v>
      </c>
      <c r="B880" t="s">
        <v>380</v>
      </c>
      <c r="C880" t="s">
        <v>635</v>
      </c>
    </row>
    <row r="881" spans="1:3" x14ac:dyDescent="0.3">
      <c r="A881" s="165">
        <v>39575</v>
      </c>
      <c r="B881" t="s">
        <v>380</v>
      </c>
      <c r="C881" t="s">
        <v>523</v>
      </c>
    </row>
    <row r="882" spans="1:3" x14ac:dyDescent="0.3">
      <c r="A882" s="165">
        <v>39576</v>
      </c>
      <c r="B882" t="s">
        <v>380</v>
      </c>
      <c r="C882" t="s">
        <v>454</v>
      </c>
    </row>
    <row r="883" spans="1:3" x14ac:dyDescent="0.3">
      <c r="A883" s="165">
        <v>39577</v>
      </c>
      <c r="B883" t="s">
        <v>380</v>
      </c>
      <c r="C883" t="s">
        <v>2474</v>
      </c>
    </row>
    <row r="884" spans="1:3" x14ac:dyDescent="0.3">
      <c r="A884" s="165">
        <v>39580</v>
      </c>
      <c r="B884" t="s">
        <v>380</v>
      </c>
      <c r="C884" t="s">
        <v>1606</v>
      </c>
    </row>
    <row r="885" spans="1:3" x14ac:dyDescent="0.3">
      <c r="A885" s="165">
        <v>39580</v>
      </c>
      <c r="B885" t="s">
        <v>2344</v>
      </c>
      <c r="C885" t="s">
        <v>455</v>
      </c>
    </row>
    <row r="886" spans="1:3" x14ac:dyDescent="0.3">
      <c r="A886" s="165">
        <v>39582</v>
      </c>
      <c r="B886" t="s">
        <v>83</v>
      </c>
      <c r="C886" t="s">
        <v>1275</v>
      </c>
    </row>
    <row r="887" spans="1:3" x14ac:dyDescent="0.3">
      <c r="A887" s="165">
        <v>39588</v>
      </c>
      <c r="B887" t="s">
        <v>380</v>
      </c>
      <c r="C887" t="s">
        <v>2296</v>
      </c>
    </row>
    <row r="888" spans="1:3" x14ac:dyDescent="0.3">
      <c r="A888" s="165">
        <v>39609</v>
      </c>
      <c r="B888" t="s">
        <v>380</v>
      </c>
      <c r="C888" t="s">
        <v>1828</v>
      </c>
    </row>
    <row r="889" spans="1:3" x14ac:dyDescent="0.3">
      <c r="A889" s="165">
        <v>39610</v>
      </c>
      <c r="B889" t="s">
        <v>380</v>
      </c>
      <c r="C889" t="s">
        <v>963</v>
      </c>
    </row>
    <row r="890" spans="1:3" x14ac:dyDescent="0.3">
      <c r="A890" s="165">
        <v>39611</v>
      </c>
      <c r="B890" t="s">
        <v>380</v>
      </c>
      <c r="C890" t="s">
        <v>583</v>
      </c>
    </row>
    <row r="891" spans="1:3" x14ac:dyDescent="0.3">
      <c r="A891" s="165">
        <v>39612</v>
      </c>
      <c r="B891" t="s">
        <v>83</v>
      </c>
      <c r="C891" t="s">
        <v>1710</v>
      </c>
    </row>
    <row r="892" spans="1:3" x14ac:dyDescent="0.3">
      <c r="A892" s="165">
        <v>39616</v>
      </c>
      <c r="B892" t="s">
        <v>380</v>
      </c>
      <c r="C892" t="s">
        <v>1854</v>
      </c>
    </row>
    <row r="893" spans="1:3" x14ac:dyDescent="0.3">
      <c r="A893" s="165">
        <v>39617</v>
      </c>
      <c r="B893" t="s">
        <v>380</v>
      </c>
      <c r="C893" t="s">
        <v>1529</v>
      </c>
    </row>
    <row r="894" spans="1:3" x14ac:dyDescent="0.3">
      <c r="A894" s="165">
        <v>39624</v>
      </c>
      <c r="B894" t="s">
        <v>380</v>
      </c>
      <c r="C894" t="s">
        <v>571</v>
      </c>
    </row>
    <row r="895" spans="1:3" x14ac:dyDescent="0.3">
      <c r="A895" s="165">
        <v>39630</v>
      </c>
      <c r="B895" t="s">
        <v>2344</v>
      </c>
      <c r="C895" t="s">
        <v>597</v>
      </c>
    </row>
    <row r="896" spans="1:3" x14ac:dyDescent="0.3">
      <c r="A896" s="165">
        <v>39631</v>
      </c>
      <c r="B896" t="s">
        <v>380</v>
      </c>
      <c r="C896" t="s">
        <v>446</v>
      </c>
    </row>
    <row r="897" spans="1:3" x14ac:dyDescent="0.3">
      <c r="A897" s="165">
        <v>39637</v>
      </c>
      <c r="B897" t="s">
        <v>380</v>
      </c>
      <c r="C897" t="s">
        <v>4</v>
      </c>
    </row>
    <row r="898" spans="1:3" x14ac:dyDescent="0.3">
      <c r="A898" s="165">
        <v>40003</v>
      </c>
      <c r="B898" t="s">
        <v>380</v>
      </c>
      <c r="C898" t="s">
        <v>896</v>
      </c>
    </row>
    <row r="899" spans="1:3" x14ac:dyDescent="0.3">
      <c r="A899" s="165">
        <v>39639</v>
      </c>
      <c r="B899" t="s">
        <v>380</v>
      </c>
      <c r="C899" t="s">
        <v>819</v>
      </c>
    </row>
    <row r="900" spans="1:3" x14ac:dyDescent="0.3">
      <c r="A900" s="165">
        <v>39643</v>
      </c>
      <c r="B900" t="s">
        <v>380</v>
      </c>
      <c r="C900" t="s">
        <v>459</v>
      </c>
    </row>
    <row r="901" spans="1:3" x14ac:dyDescent="0.3">
      <c r="A901" s="165">
        <v>39644</v>
      </c>
      <c r="B901" t="s">
        <v>380</v>
      </c>
      <c r="C901" t="s">
        <v>816</v>
      </c>
    </row>
    <row r="902" spans="1:3" x14ac:dyDescent="0.3">
      <c r="A902" s="165">
        <v>39645</v>
      </c>
      <c r="B902" t="s">
        <v>380</v>
      </c>
      <c r="C902" t="s">
        <v>674</v>
      </c>
    </row>
    <row r="903" spans="1:3" x14ac:dyDescent="0.3">
      <c r="A903" s="165">
        <v>39647</v>
      </c>
      <c r="B903" t="s">
        <v>380</v>
      </c>
      <c r="C903" t="s">
        <v>1708</v>
      </c>
    </row>
    <row r="904" spans="1:3" x14ac:dyDescent="0.3">
      <c r="A904" s="165">
        <v>39651</v>
      </c>
      <c r="B904" t="s">
        <v>380</v>
      </c>
      <c r="C904" t="s">
        <v>627</v>
      </c>
    </row>
    <row r="905" spans="1:3" x14ac:dyDescent="0.3">
      <c r="A905" s="165">
        <v>39651</v>
      </c>
      <c r="B905" t="s">
        <v>83</v>
      </c>
      <c r="C905" t="s">
        <v>2499</v>
      </c>
    </row>
    <row r="906" spans="1:3" x14ac:dyDescent="0.3">
      <c r="A906" s="165">
        <v>39658</v>
      </c>
      <c r="B906" t="s">
        <v>380</v>
      </c>
      <c r="C906" t="s">
        <v>25</v>
      </c>
    </row>
    <row r="907" spans="1:3" x14ac:dyDescent="0.3">
      <c r="A907" s="165">
        <v>39660</v>
      </c>
      <c r="B907" t="s">
        <v>380</v>
      </c>
      <c r="C907" t="s">
        <v>332</v>
      </c>
    </row>
    <row r="908" spans="1:3" x14ac:dyDescent="0.3">
      <c r="A908" s="165">
        <v>39661</v>
      </c>
      <c r="B908" t="s">
        <v>380</v>
      </c>
      <c r="C908" t="s">
        <v>856</v>
      </c>
    </row>
    <row r="909" spans="1:3" x14ac:dyDescent="0.3">
      <c r="A909" s="165">
        <v>39666</v>
      </c>
      <c r="B909" t="s">
        <v>380</v>
      </c>
      <c r="C909" t="s">
        <v>2084</v>
      </c>
    </row>
    <row r="910" spans="1:3" x14ac:dyDescent="0.3">
      <c r="A910" s="165">
        <v>39671</v>
      </c>
      <c r="B910" t="s">
        <v>380</v>
      </c>
      <c r="C910" t="s">
        <v>1092</v>
      </c>
    </row>
    <row r="911" spans="1:3" x14ac:dyDescent="0.3">
      <c r="A911" s="165">
        <v>39672</v>
      </c>
      <c r="B911" t="s">
        <v>380</v>
      </c>
      <c r="C911" t="s">
        <v>692</v>
      </c>
    </row>
    <row r="912" spans="1:3" x14ac:dyDescent="0.3">
      <c r="A912" s="165">
        <v>39675</v>
      </c>
      <c r="B912" t="s">
        <v>380</v>
      </c>
      <c r="C912" t="s">
        <v>353</v>
      </c>
    </row>
    <row r="913" spans="1:3" x14ac:dyDescent="0.3">
      <c r="A913" s="165">
        <v>39678</v>
      </c>
      <c r="B913" t="s">
        <v>380</v>
      </c>
      <c r="C913" t="s">
        <v>1702</v>
      </c>
    </row>
    <row r="914" spans="1:3" x14ac:dyDescent="0.3">
      <c r="A914" s="165">
        <v>39679</v>
      </c>
      <c r="B914" t="s">
        <v>380</v>
      </c>
      <c r="C914" t="s">
        <v>2301</v>
      </c>
    </row>
    <row r="915" spans="1:3" x14ac:dyDescent="0.3">
      <c r="A915" s="165">
        <v>39680</v>
      </c>
      <c r="B915" t="s">
        <v>380</v>
      </c>
      <c r="C915" t="s">
        <v>1583</v>
      </c>
    </row>
    <row r="916" spans="1:3" x14ac:dyDescent="0.3">
      <c r="A916" s="165">
        <v>39680</v>
      </c>
      <c r="B916" t="s">
        <v>83</v>
      </c>
      <c r="C916" t="s">
        <v>1899</v>
      </c>
    </row>
    <row r="917" spans="1:3" x14ac:dyDescent="0.3">
      <c r="A917" s="165">
        <v>39681</v>
      </c>
      <c r="B917" t="s">
        <v>380</v>
      </c>
      <c r="C917" t="s">
        <v>2374</v>
      </c>
    </row>
    <row r="918" spans="1:3" x14ac:dyDescent="0.3">
      <c r="A918" s="165">
        <v>39686</v>
      </c>
      <c r="B918" t="s">
        <v>380</v>
      </c>
      <c r="C918" t="s">
        <v>71</v>
      </c>
    </row>
    <row r="919" spans="1:3" x14ac:dyDescent="0.3">
      <c r="A919" s="165">
        <v>39688</v>
      </c>
      <c r="B919" t="s">
        <v>380</v>
      </c>
      <c r="C919" t="s">
        <v>1823</v>
      </c>
    </row>
    <row r="920" spans="1:3" x14ac:dyDescent="0.3">
      <c r="A920" s="165">
        <v>39689</v>
      </c>
      <c r="B920" t="s">
        <v>380</v>
      </c>
      <c r="C920" t="s">
        <v>1393</v>
      </c>
    </row>
    <row r="921" spans="1:3" x14ac:dyDescent="0.3">
      <c r="A921" s="165">
        <v>39689</v>
      </c>
      <c r="B921" t="s">
        <v>83</v>
      </c>
      <c r="C921" t="s">
        <v>958</v>
      </c>
    </row>
    <row r="922" spans="1:3" x14ac:dyDescent="0.3">
      <c r="A922" s="165">
        <v>39694</v>
      </c>
      <c r="B922" t="s">
        <v>380</v>
      </c>
      <c r="C922" t="s">
        <v>594</v>
      </c>
    </row>
    <row r="923" spans="1:3" x14ac:dyDescent="0.3">
      <c r="A923" s="165">
        <v>39694</v>
      </c>
      <c r="B923" t="s">
        <v>2344</v>
      </c>
      <c r="C923" t="s">
        <v>531</v>
      </c>
    </row>
    <row r="924" spans="1:3" x14ac:dyDescent="0.3">
      <c r="A924" s="165">
        <v>39694</v>
      </c>
      <c r="B924" t="s">
        <v>2344</v>
      </c>
      <c r="C924" t="s">
        <v>530</v>
      </c>
    </row>
    <row r="925" spans="1:3" x14ac:dyDescent="0.3">
      <c r="A925" s="165">
        <v>39694</v>
      </c>
      <c r="B925" t="s">
        <v>380</v>
      </c>
      <c r="C925" t="s">
        <v>52</v>
      </c>
    </row>
    <row r="926" spans="1:3" x14ac:dyDescent="0.3">
      <c r="A926" s="165">
        <v>39699</v>
      </c>
      <c r="B926" t="s">
        <v>380</v>
      </c>
      <c r="C926" t="s">
        <v>441</v>
      </c>
    </row>
    <row r="927" spans="1:3" x14ac:dyDescent="0.3">
      <c r="A927" s="165">
        <v>39700</v>
      </c>
      <c r="B927" t="s">
        <v>380</v>
      </c>
      <c r="C927" t="s">
        <v>1210</v>
      </c>
    </row>
    <row r="928" spans="1:3" x14ac:dyDescent="0.3">
      <c r="A928" s="165">
        <v>39701</v>
      </c>
      <c r="B928" t="s">
        <v>380</v>
      </c>
      <c r="C928" t="s">
        <v>1799</v>
      </c>
    </row>
    <row r="929" spans="1:3" x14ac:dyDescent="0.3">
      <c r="A929" s="165">
        <v>39702</v>
      </c>
      <c r="B929" t="s">
        <v>380</v>
      </c>
      <c r="C929" t="s">
        <v>412</v>
      </c>
    </row>
    <row r="930" spans="1:3" x14ac:dyDescent="0.3">
      <c r="A930" s="165">
        <v>39703</v>
      </c>
      <c r="B930" t="s">
        <v>83</v>
      </c>
      <c r="C930" t="s">
        <v>2069</v>
      </c>
    </row>
    <row r="931" spans="1:3" x14ac:dyDescent="0.3">
      <c r="A931" s="165">
        <v>39706</v>
      </c>
      <c r="B931" t="s">
        <v>380</v>
      </c>
      <c r="C931" t="s">
        <v>1482</v>
      </c>
    </row>
    <row r="932" spans="1:3" x14ac:dyDescent="0.3">
      <c r="A932" s="165">
        <v>39707</v>
      </c>
      <c r="B932" t="s">
        <v>380</v>
      </c>
      <c r="C932" t="s">
        <v>2058</v>
      </c>
    </row>
    <row r="933" spans="1:3" x14ac:dyDescent="0.3">
      <c r="A933" s="165">
        <v>39708</v>
      </c>
      <c r="B933" t="s">
        <v>380</v>
      </c>
      <c r="C933" t="s">
        <v>2385</v>
      </c>
    </row>
    <row r="934" spans="1:3" x14ac:dyDescent="0.3">
      <c r="A934" s="165">
        <v>39709</v>
      </c>
      <c r="B934" t="s">
        <v>380</v>
      </c>
      <c r="C934" t="s">
        <v>1886</v>
      </c>
    </row>
    <row r="935" spans="1:3" x14ac:dyDescent="0.3">
      <c r="A935" s="165">
        <v>39727</v>
      </c>
      <c r="B935" t="s">
        <v>2344</v>
      </c>
      <c r="C935" t="s">
        <v>2056</v>
      </c>
    </row>
    <row r="936" spans="1:3" x14ac:dyDescent="0.3">
      <c r="A936" s="165">
        <v>39729</v>
      </c>
      <c r="B936" t="s">
        <v>380</v>
      </c>
      <c r="C936" t="s">
        <v>481</v>
      </c>
    </row>
    <row r="937" spans="1:3" x14ac:dyDescent="0.3">
      <c r="A937" s="165">
        <v>39730</v>
      </c>
      <c r="B937" t="s">
        <v>380</v>
      </c>
      <c r="C937" t="s">
        <v>481</v>
      </c>
    </row>
    <row r="938" spans="1:3" x14ac:dyDescent="0.3">
      <c r="A938" s="165">
        <v>39731</v>
      </c>
      <c r="B938" t="s">
        <v>380</v>
      </c>
      <c r="C938" t="s">
        <v>881</v>
      </c>
    </row>
    <row r="939" spans="1:3" x14ac:dyDescent="0.3">
      <c r="A939" s="165">
        <v>39735</v>
      </c>
      <c r="B939" t="s">
        <v>380</v>
      </c>
      <c r="C939" t="s">
        <v>564</v>
      </c>
    </row>
    <row r="940" spans="1:3" x14ac:dyDescent="0.3">
      <c r="A940" s="165">
        <v>39736</v>
      </c>
      <c r="B940" t="s">
        <v>380</v>
      </c>
      <c r="C940" t="s">
        <v>2059</v>
      </c>
    </row>
    <row r="941" spans="1:3" x14ac:dyDescent="0.3">
      <c r="A941" s="165">
        <v>39737</v>
      </c>
      <c r="B941" t="s">
        <v>380</v>
      </c>
      <c r="C941" t="s">
        <v>2225</v>
      </c>
    </row>
    <row r="942" spans="1:3" x14ac:dyDescent="0.3">
      <c r="A942" s="165">
        <v>39741</v>
      </c>
      <c r="B942" t="s">
        <v>380</v>
      </c>
      <c r="C942" t="s">
        <v>2055</v>
      </c>
    </row>
    <row r="943" spans="1:3" x14ac:dyDescent="0.3">
      <c r="A943" s="165">
        <v>39742</v>
      </c>
      <c r="B943" t="s">
        <v>380</v>
      </c>
      <c r="C943" t="s">
        <v>539</v>
      </c>
    </row>
    <row r="944" spans="1:3" x14ac:dyDescent="0.3">
      <c r="A944" s="165">
        <v>39743</v>
      </c>
      <c r="B944" t="s">
        <v>380</v>
      </c>
      <c r="C944" t="s">
        <v>24</v>
      </c>
    </row>
    <row r="945" spans="1:3" x14ac:dyDescent="0.3">
      <c r="A945" s="165">
        <v>39743</v>
      </c>
      <c r="B945" t="s">
        <v>2344</v>
      </c>
      <c r="C945" t="s">
        <v>2114</v>
      </c>
    </row>
    <row r="946" spans="1:3" x14ac:dyDescent="0.3">
      <c r="A946" s="165">
        <v>39744</v>
      </c>
      <c r="B946" t="s">
        <v>380</v>
      </c>
      <c r="C946" t="s">
        <v>1642</v>
      </c>
    </row>
    <row r="947" spans="1:3" x14ac:dyDescent="0.3">
      <c r="A947" s="165">
        <v>39744</v>
      </c>
      <c r="B947" t="s">
        <v>83</v>
      </c>
      <c r="C947" t="s">
        <v>1116</v>
      </c>
    </row>
    <row r="948" spans="1:3" x14ac:dyDescent="0.3">
      <c r="A948" s="165">
        <v>39745</v>
      </c>
      <c r="B948" t="s">
        <v>380</v>
      </c>
      <c r="C948" t="s">
        <v>257</v>
      </c>
    </row>
    <row r="949" spans="1:3" x14ac:dyDescent="0.3">
      <c r="A949" s="165">
        <v>39750</v>
      </c>
      <c r="B949" t="s">
        <v>380</v>
      </c>
      <c r="C949" t="s">
        <v>866</v>
      </c>
    </row>
    <row r="950" spans="1:3" x14ac:dyDescent="0.3">
      <c r="A950" s="165">
        <v>39751</v>
      </c>
      <c r="B950" t="s">
        <v>380</v>
      </c>
      <c r="C950" t="s">
        <v>2418</v>
      </c>
    </row>
    <row r="951" spans="1:3" x14ac:dyDescent="0.3">
      <c r="A951" s="165">
        <v>39756</v>
      </c>
      <c r="B951" t="s">
        <v>380</v>
      </c>
      <c r="C951" t="s">
        <v>2077</v>
      </c>
    </row>
    <row r="952" spans="1:3" x14ac:dyDescent="0.3">
      <c r="A952" s="165">
        <v>39757</v>
      </c>
      <c r="B952" t="s">
        <v>380</v>
      </c>
      <c r="C952" t="s">
        <v>390</v>
      </c>
    </row>
    <row r="953" spans="1:3" x14ac:dyDescent="0.3">
      <c r="A953" s="165">
        <v>39758</v>
      </c>
      <c r="B953" t="s">
        <v>380</v>
      </c>
      <c r="C953" t="s">
        <v>1329</v>
      </c>
    </row>
    <row r="954" spans="1:3" x14ac:dyDescent="0.3">
      <c r="A954" s="165">
        <v>39759</v>
      </c>
      <c r="B954" t="s">
        <v>380</v>
      </c>
      <c r="C954" t="s">
        <v>2231</v>
      </c>
    </row>
    <row r="955" spans="1:3" x14ac:dyDescent="0.3">
      <c r="A955" s="165">
        <v>39762</v>
      </c>
      <c r="B955" t="s">
        <v>380</v>
      </c>
      <c r="C955" t="s">
        <v>1355</v>
      </c>
    </row>
    <row r="956" spans="1:3" x14ac:dyDescent="0.3">
      <c r="A956" s="165">
        <v>39764</v>
      </c>
      <c r="B956" t="s">
        <v>380</v>
      </c>
      <c r="C956" t="s">
        <v>1582</v>
      </c>
    </row>
    <row r="957" spans="1:3" x14ac:dyDescent="0.3">
      <c r="A957" s="165">
        <v>39769</v>
      </c>
      <c r="B957" t="s">
        <v>380</v>
      </c>
      <c r="C957" t="s">
        <v>1820</v>
      </c>
    </row>
    <row r="958" spans="1:3" x14ac:dyDescent="0.3">
      <c r="A958" s="165">
        <v>39770</v>
      </c>
      <c r="B958" t="s">
        <v>380</v>
      </c>
      <c r="C958" t="s">
        <v>246</v>
      </c>
    </row>
    <row r="959" spans="1:3" x14ac:dyDescent="0.3">
      <c r="A959" s="165">
        <v>39770</v>
      </c>
      <c r="B959" t="s">
        <v>83</v>
      </c>
      <c r="C959" t="s">
        <v>1666</v>
      </c>
    </row>
    <row r="960" spans="1:3" x14ac:dyDescent="0.3">
      <c r="A960" s="165">
        <v>39772</v>
      </c>
      <c r="B960" t="s">
        <v>380</v>
      </c>
      <c r="C960" t="s">
        <v>493</v>
      </c>
    </row>
    <row r="961" spans="1:3" x14ac:dyDescent="0.3">
      <c r="A961" s="165">
        <v>39772</v>
      </c>
      <c r="B961" t="s">
        <v>2344</v>
      </c>
      <c r="C961" t="s">
        <v>494</v>
      </c>
    </row>
    <row r="962" spans="1:3" x14ac:dyDescent="0.3">
      <c r="A962" s="165">
        <v>39773</v>
      </c>
      <c r="B962" t="s">
        <v>380</v>
      </c>
      <c r="C962" t="s">
        <v>0</v>
      </c>
    </row>
    <row r="963" spans="1:3" x14ac:dyDescent="0.3">
      <c r="A963" s="165">
        <v>39776</v>
      </c>
      <c r="B963" t="s">
        <v>83</v>
      </c>
      <c r="C963" t="s">
        <v>2065</v>
      </c>
    </row>
    <row r="964" spans="1:3" x14ac:dyDescent="0.3">
      <c r="A964" s="165">
        <v>39783</v>
      </c>
      <c r="B964" t="s">
        <v>83</v>
      </c>
      <c r="C964" t="s">
        <v>1366</v>
      </c>
    </row>
    <row r="965" spans="1:3" x14ac:dyDescent="0.3">
      <c r="A965" s="165">
        <v>39783</v>
      </c>
      <c r="B965" t="s">
        <v>380</v>
      </c>
      <c r="C965" t="s">
        <v>2282</v>
      </c>
    </row>
    <row r="966" spans="1:3" x14ac:dyDescent="0.3">
      <c r="A966" s="165">
        <v>39786</v>
      </c>
      <c r="B966" t="s">
        <v>380</v>
      </c>
      <c r="C966" t="s">
        <v>1981</v>
      </c>
    </row>
    <row r="967" spans="1:3" x14ac:dyDescent="0.3">
      <c r="A967" s="165">
        <v>39790</v>
      </c>
      <c r="B967" t="s">
        <v>380</v>
      </c>
      <c r="C967" t="s">
        <v>962</v>
      </c>
    </row>
    <row r="968" spans="1:3" x14ac:dyDescent="0.3">
      <c r="A968" s="165">
        <v>39791</v>
      </c>
      <c r="B968" t="s">
        <v>380</v>
      </c>
      <c r="C968" t="s">
        <v>516</v>
      </c>
    </row>
    <row r="969" spans="1:3" x14ac:dyDescent="0.3">
      <c r="A969" s="165">
        <v>39792</v>
      </c>
      <c r="B969" t="s">
        <v>380</v>
      </c>
      <c r="C969" t="s">
        <v>2416</v>
      </c>
    </row>
    <row r="970" spans="1:3" x14ac:dyDescent="0.3">
      <c r="A970" s="165">
        <v>39793</v>
      </c>
      <c r="B970" t="s">
        <v>380</v>
      </c>
      <c r="C970" t="s">
        <v>297</v>
      </c>
    </row>
    <row r="971" spans="1:3" x14ac:dyDescent="0.3">
      <c r="A971" s="165">
        <v>39799</v>
      </c>
      <c r="B971" t="s">
        <v>380</v>
      </c>
      <c r="C971" t="s">
        <v>988</v>
      </c>
    </row>
    <row r="972" spans="1:3" x14ac:dyDescent="0.3">
      <c r="A972" s="165">
        <v>39801</v>
      </c>
      <c r="B972" t="s">
        <v>83</v>
      </c>
      <c r="C972" t="s">
        <v>552</v>
      </c>
    </row>
    <row r="973" spans="1:3" x14ac:dyDescent="0.3">
      <c r="A973" s="165">
        <v>39801</v>
      </c>
      <c r="B973" t="s">
        <v>380</v>
      </c>
      <c r="C973" t="s">
        <v>1208</v>
      </c>
    </row>
    <row r="974" spans="1:3" x14ac:dyDescent="0.3">
      <c r="A974" s="165">
        <v>39804</v>
      </c>
      <c r="B974" t="s">
        <v>380</v>
      </c>
      <c r="C974" t="s">
        <v>463</v>
      </c>
    </row>
    <row r="975" spans="1:3" x14ac:dyDescent="0.3">
      <c r="A975" s="165">
        <v>39806</v>
      </c>
      <c r="B975" t="s">
        <v>83</v>
      </c>
      <c r="C975" t="s">
        <v>2345</v>
      </c>
    </row>
    <row r="976" spans="1:3" x14ac:dyDescent="0.3">
      <c r="A976" s="165">
        <v>39808</v>
      </c>
      <c r="B976" t="s">
        <v>2344</v>
      </c>
      <c r="C976" t="s">
        <v>2081</v>
      </c>
    </row>
    <row r="977" spans="1:3" x14ac:dyDescent="0.3">
      <c r="A977" s="165">
        <v>39826</v>
      </c>
      <c r="B977" t="s">
        <v>380</v>
      </c>
      <c r="C977" t="s">
        <v>2514</v>
      </c>
    </row>
    <row r="978" spans="1:3" x14ac:dyDescent="0.3">
      <c r="A978" s="165">
        <v>39828</v>
      </c>
      <c r="B978" t="s">
        <v>380</v>
      </c>
      <c r="C978" t="s">
        <v>1756</v>
      </c>
    </row>
    <row r="979" spans="1:3" x14ac:dyDescent="0.3">
      <c r="A979" s="165">
        <v>39829</v>
      </c>
      <c r="B979" t="s">
        <v>380</v>
      </c>
      <c r="C979" t="s">
        <v>2458</v>
      </c>
    </row>
    <row r="980" spans="1:3" x14ac:dyDescent="0.3">
      <c r="A980" s="165">
        <v>39832</v>
      </c>
      <c r="B980" t="s">
        <v>380</v>
      </c>
      <c r="C980" t="s">
        <v>1279</v>
      </c>
    </row>
    <row r="981" spans="1:3" x14ac:dyDescent="0.3">
      <c r="A981" s="165">
        <v>39832</v>
      </c>
      <c r="B981" t="s">
        <v>83</v>
      </c>
      <c r="C981" t="s">
        <v>1990</v>
      </c>
    </row>
    <row r="982" spans="1:3" x14ac:dyDescent="0.3">
      <c r="A982" s="165">
        <v>39840</v>
      </c>
      <c r="B982" t="s">
        <v>380</v>
      </c>
      <c r="C982" t="s">
        <v>435</v>
      </c>
    </row>
    <row r="983" spans="1:3" x14ac:dyDescent="0.3">
      <c r="A983" s="165">
        <v>39842</v>
      </c>
      <c r="B983" t="s">
        <v>380</v>
      </c>
      <c r="C983" t="s">
        <v>2249</v>
      </c>
    </row>
    <row r="984" spans="1:3" x14ac:dyDescent="0.3">
      <c r="A984" s="165">
        <v>39843</v>
      </c>
      <c r="B984" t="s">
        <v>2344</v>
      </c>
      <c r="C984" t="s">
        <v>2477</v>
      </c>
    </row>
    <row r="985" spans="1:3" x14ac:dyDescent="0.3">
      <c r="A985" s="165">
        <v>39849</v>
      </c>
      <c r="B985" t="s">
        <v>380</v>
      </c>
      <c r="C985" t="s">
        <v>97</v>
      </c>
    </row>
    <row r="986" spans="1:3" x14ac:dyDescent="0.3">
      <c r="A986" s="165">
        <v>39862</v>
      </c>
      <c r="B986" t="s">
        <v>380</v>
      </c>
      <c r="C986" t="s">
        <v>2122</v>
      </c>
    </row>
    <row r="987" spans="1:3" x14ac:dyDescent="0.3">
      <c r="A987" s="165">
        <v>39863</v>
      </c>
      <c r="B987" t="s">
        <v>380</v>
      </c>
      <c r="C987" t="s">
        <v>1233</v>
      </c>
    </row>
    <row r="988" spans="1:3" x14ac:dyDescent="0.3">
      <c r="A988" s="165">
        <v>39869</v>
      </c>
      <c r="B988" t="s">
        <v>380</v>
      </c>
      <c r="C988" t="s">
        <v>116</v>
      </c>
    </row>
    <row r="989" spans="1:3" x14ac:dyDescent="0.3">
      <c r="A989" s="165">
        <v>39870</v>
      </c>
      <c r="B989" t="s">
        <v>380</v>
      </c>
      <c r="C989" t="s">
        <v>2013</v>
      </c>
    </row>
    <row r="990" spans="1:3" x14ac:dyDescent="0.3">
      <c r="A990" s="165">
        <v>39871</v>
      </c>
      <c r="B990" t="s">
        <v>380</v>
      </c>
      <c r="C990" t="s">
        <v>138</v>
      </c>
    </row>
    <row r="991" spans="1:3" x14ac:dyDescent="0.3">
      <c r="A991" s="165">
        <v>39874</v>
      </c>
      <c r="B991" t="s">
        <v>83</v>
      </c>
      <c r="C991" t="s">
        <v>114</v>
      </c>
    </row>
    <row r="992" spans="1:3" x14ac:dyDescent="0.3">
      <c r="A992" s="165">
        <v>39875</v>
      </c>
      <c r="B992" t="s">
        <v>380</v>
      </c>
      <c r="C992" t="s">
        <v>2248</v>
      </c>
    </row>
    <row r="993" spans="1:3" x14ac:dyDescent="0.3">
      <c r="A993" s="165">
        <v>39876</v>
      </c>
      <c r="B993" t="s">
        <v>380</v>
      </c>
      <c r="C993" t="s">
        <v>2014</v>
      </c>
    </row>
    <row r="994" spans="1:3" x14ac:dyDescent="0.3">
      <c r="A994" s="165">
        <v>39882</v>
      </c>
      <c r="B994" t="s">
        <v>380</v>
      </c>
      <c r="C994" t="s">
        <v>1403</v>
      </c>
    </row>
    <row r="995" spans="1:3" x14ac:dyDescent="0.3">
      <c r="A995" s="165">
        <v>39882</v>
      </c>
      <c r="B995" t="s">
        <v>2344</v>
      </c>
      <c r="C995" t="s">
        <v>192</v>
      </c>
    </row>
    <row r="996" spans="1:3" x14ac:dyDescent="0.3">
      <c r="A996" s="165">
        <v>39517</v>
      </c>
      <c r="B996" t="s">
        <v>2344</v>
      </c>
      <c r="C996" t="s">
        <v>1932</v>
      </c>
    </row>
    <row r="997" spans="1:3" x14ac:dyDescent="0.3">
      <c r="A997" s="165">
        <v>39883</v>
      </c>
      <c r="B997" t="s">
        <v>380</v>
      </c>
      <c r="C997" t="s">
        <v>1406</v>
      </c>
    </row>
    <row r="998" spans="1:3" x14ac:dyDescent="0.3">
      <c r="A998" s="165">
        <v>39884</v>
      </c>
      <c r="B998" t="s">
        <v>380</v>
      </c>
      <c r="C998" t="s">
        <v>1980</v>
      </c>
    </row>
    <row r="999" spans="1:3" x14ac:dyDescent="0.3">
      <c r="A999" s="165">
        <v>39888</v>
      </c>
      <c r="B999" t="s">
        <v>380</v>
      </c>
      <c r="C999" t="s">
        <v>1407</v>
      </c>
    </row>
    <row r="1000" spans="1:3" x14ac:dyDescent="0.3">
      <c r="A1000" s="165">
        <v>39888</v>
      </c>
      <c r="B1000" t="s">
        <v>83</v>
      </c>
      <c r="C1000" t="s">
        <v>960</v>
      </c>
    </row>
    <row r="1001" spans="1:3" x14ac:dyDescent="0.3">
      <c r="A1001" s="165">
        <v>39890</v>
      </c>
      <c r="B1001" t="s">
        <v>380</v>
      </c>
      <c r="C1001" t="s">
        <v>1405</v>
      </c>
    </row>
    <row r="1002" spans="1:3" x14ac:dyDescent="0.3">
      <c r="A1002" s="165">
        <v>39891</v>
      </c>
      <c r="B1002" t="s">
        <v>380</v>
      </c>
      <c r="C1002" t="s">
        <v>197</v>
      </c>
    </row>
    <row r="1003" spans="1:3" x14ac:dyDescent="0.3">
      <c r="A1003" s="165">
        <v>39911</v>
      </c>
      <c r="B1003" t="s">
        <v>380</v>
      </c>
      <c r="C1003" t="s">
        <v>196</v>
      </c>
    </row>
    <row r="1004" spans="1:3" x14ac:dyDescent="0.3">
      <c r="A1004" s="165">
        <v>39912</v>
      </c>
      <c r="B1004" t="s">
        <v>380</v>
      </c>
      <c r="C1004" t="s">
        <v>439</v>
      </c>
    </row>
    <row r="1005" spans="1:3" x14ac:dyDescent="0.3">
      <c r="A1005" s="165">
        <v>39913</v>
      </c>
      <c r="B1005" t="s">
        <v>380</v>
      </c>
      <c r="C1005" t="s">
        <v>1789</v>
      </c>
    </row>
    <row r="1006" spans="1:3" x14ac:dyDescent="0.3">
      <c r="A1006" s="165">
        <v>39916</v>
      </c>
      <c r="B1006" t="s">
        <v>380</v>
      </c>
      <c r="C1006" t="s">
        <v>2112</v>
      </c>
    </row>
    <row r="1007" spans="1:3" x14ac:dyDescent="0.3">
      <c r="A1007" s="165">
        <v>39918</v>
      </c>
      <c r="B1007" t="s">
        <v>380</v>
      </c>
      <c r="C1007" t="s">
        <v>73</v>
      </c>
    </row>
    <row r="1008" spans="1:3" x14ac:dyDescent="0.3">
      <c r="A1008" s="165">
        <v>39923</v>
      </c>
      <c r="B1008" t="s">
        <v>380</v>
      </c>
      <c r="C1008" t="s">
        <v>2113</v>
      </c>
    </row>
    <row r="1009" spans="1:3" x14ac:dyDescent="0.3">
      <c r="A1009" s="165">
        <v>39924</v>
      </c>
      <c r="B1009" t="s">
        <v>380</v>
      </c>
      <c r="C1009" t="s">
        <v>235</v>
      </c>
    </row>
    <row r="1010" spans="1:3" x14ac:dyDescent="0.3">
      <c r="A1010" s="165">
        <v>39925</v>
      </c>
      <c r="B1010" t="s">
        <v>380</v>
      </c>
      <c r="C1010" t="s">
        <v>2349</v>
      </c>
    </row>
    <row r="1011" spans="1:3" x14ac:dyDescent="0.3">
      <c r="A1011" s="165">
        <v>39926</v>
      </c>
      <c r="B1011" t="s">
        <v>380</v>
      </c>
      <c r="C1011" t="s">
        <v>1901</v>
      </c>
    </row>
    <row r="1012" spans="1:3" x14ac:dyDescent="0.3">
      <c r="A1012" s="165">
        <v>39927</v>
      </c>
      <c r="B1012" t="s">
        <v>380</v>
      </c>
      <c r="C1012" t="s">
        <v>139</v>
      </c>
    </row>
    <row r="1013" spans="1:3" x14ac:dyDescent="0.3">
      <c r="A1013" s="165">
        <v>39930</v>
      </c>
      <c r="B1013" t="s">
        <v>83</v>
      </c>
      <c r="C1013" t="s">
        <v>2453</v>
      </c>
    </row>
    <row r="1014" spans="1:3" x14ac:dyDescent="0.3">
      <c r="A1014" s="165">
        <v>39937</v>
      </c>
      <c r="B1014" t="s">
        <v>380</v>
      </c>
      <c r="C1014" t="s">
        <v>1489</v>
      </c>
    </row>
    <row r="1015" spans="1:3" x14ac:dyDescent="0.3">
      <c r="A1015" s="165">
        <v>39952</v>
      </c>
      <c r="B1015" t="s">
        <v>380</v>
      </c>
      <c r="C1015" t="s">
        <v>2075</v>
      </c>
    </row>
    <row r="1016" spans="1:3" x14ac:dyDescent="0.3">
      <c r="A1016" s="165">
        <v>39954</v>
      </c>
      <c r="B1016" t="s">
        <v>380</v>
      </c>
      <c r="C1016" t="s">
        <v>1684</v>
      </c>
    </row>
    <row r="1017" spans="1:3" x14ac:dyDescent="0.3">
      <c r="A1017" s="165">
        <v>39955</v>
      </c>
      <c r="B1017" t="s">
        <v>380</v>
      </c>
      <c r="C1017" t="s">
        <v>1882</v>
      </c>
    </row>
    <row r="1018" spans="1:3" x14ac:dyDescent="0.3">
      <c r="A1018" s="165">
        <v>39959</v>
      </c>
      <c r="B1018" t="s">
        <v>83</v>
      </c>
      <c r="C1018" t="s">
        <v>1944</v>
      </c>
    </row>
    <row r="1019" spans="1:3" x14ac:dyDescent="0.3">
      <c r="A1019" s="165">
        <v>39970</v>
      </c>
      <c r="B1019" t="s">
        <v>380</v>
      </c>
      <c r="C1019" t="s">
        <v>2471</v>
      </c>
    </row>
    <row r="1020" spans="1:3" x14ac:dyDescent="0.3">
      <c r="A1020" s="165">
        <v>39972</v>
      </c>
      <c r="B1020" t="s">
        <v>380</v>
      </c>
      <c r="C1020" t="s">
        <v>245</v>
      </c>
    </row>
    <row r="1021" spans="1:3" x14ac:dyDescent="0.3">
      <c r="A1021" s="165">
        <v>39973</v>
      </c>
      <c r="B1021" t="s">
        <v>380</v>
      </c>
      <c r="C1021" t="s">
        <v>396</v>
      </c>
    </row>
    <row r="1022" spans="1:3" x14ac:dyDescent="0.3">
      <c r="A1022" s="165">
        <v>39973</v>
      </c>
      <c r="B1022" t="s">
        <v>380</v>
      </c>
      <c r="C1022" t="s">
        <v>579</v>
      </c>
    </row>
    <row r="1023" spans="1:3" x14ac:dyDescent="0.3">
      <c r="A1023" s="165">
        <v>39974</v>
      </c>
      <c r="B1023" t="s">
        <v>380</v>
      </c>
      <c r="C1023" t="s">
        <v>2076</v>
      </c>
    </row>
    <row r="1024" spans="1:3" x14ac:dyDescent="0.3">
      <c r="A1024" s="165">
        <v>39975</v>
      </c>
      <c r="B1024" t="s">
        <v>380</v>
      </c>
      <c r="C1024" t="s">
        <v>2264</v>
      </c>
    </row>
    <row r="1025" spans="1:3" x14ac:dyDescent="0.3">
      <c r="A1025" s="165">
        <v>39979</v>
      </c>
      <c r="B1025" t="s">
        <v>380</v>
      </c>
      <c r="C1025" t="s">
        <v>1310</v>
      </c>
    </row>
    <row r="1026" spans="1:3" x14ac:dyDescent="0.3">
      <c r="A1026" s="165">
        <v>39980</v>
      </c>
      <c r="B1026" t="s">
        <v>380</v>
      </c>
      <c r="C1026" t="s">
        <v>2366</v>
      </c>
    </row>
    <row r="1027" spans="1:3" x14ac:dyDescent="0.3">
      <c r="A1027" s="165">
        <v>39980</v>
      </c>
      <c r="B1027" t="s">
        <v>83</v>
      </c>
      <c r="C1027" t="s">
        <v>403</v>
      </c>
    </row>
    <row r="1028" spans="1:3" x14ac:dyDescent="0.3">
      <c r="A1028" s="165">
        <v>39981</v>
      </c>
      <c r="B1028" t="s">
        <v>380</v>
      </c>
      <c r="C1028" t="s">
        <v>1545</v>
      </c>
    </row>
    <row r="1029" spans="1:3" x14ac:dyDescent="0.3">
      <c r="A1029" s="165">
        <v>39994</v>
      </c>
      <c r="B1029" t="s">
        <v>83</v>
      </c>
      <c r="C1029" t="s">
        <v>359</v>
      </c>
    </row>
    <row r="1030" spans="1:3" x14ac:dyDescent="0.3">
      <c r="A1030" s="165">
        <v>39995</v>
      </c>
      <c r="B1030" t="s">
        <v>2344</v>
      </c>
      <c r="C1030" t="s">
        <v>2134</v>
      </c>
    </row>
    <row r="1031" spans="1:3" x14ac:dyDescent="0.3">
      <c r="A1031" s="165">
        <v>40000</v>
      </c>
      <c r="B1031" t="s">
        <v>380</v>
      </c>
      <c r="C1031" t="s">
        <v>1249</v>
      </c>
    </row>
    <row r="1032" spans="1:3" x14ac:dyDescent="0.3">
      <c r="A1032" s="165">
        <v>40002</v>
      </c>
      <c r="B1032" t="s">
        <v>380</v>
      </c>
      <c r="C1032" t="s">
        <v>420</v>
      </c>
    </row>
    <row r="1033" spans="1:3" x14ac:dyDescent="0.3">
      <c r="A1033" s="165">
        <v>40003</v>
      </c>
      <c r="B1033" t="s">
        <v>380</v>
      </c>
      <c r="C1033" t="s">
        <v>1340</v>
      </c>
    </row>
    <row r="1034" spans="1:3" x14ac:dyDescent="0.3">
      <c r="A1034" s="165">
        <v>40009</v>
      </c>
      <c r="B1034" t="s">
        <v>380</v>
      </c>
      <c r="C1034" t="s">
        <v>2116</v>
      </c>
    </row>
    <row r="1035" spans="1:3" x14ac:dyDescent="0.3">
      <c r="A1035" s="165">
        <v>40014</v>
      </c>
      <c r="B1035" t="s">
        <v>380</v>
      </c>
      <c r="C1035" t="s">
        <v>1790</v>
      </c>
    </row>
    <row r="1036" spans="1:3" x14ac:dyDescent="0.3">
      <c r="A1036" s="165">
        <v>40015</v>
      </c>
      <c r="B1036" t="s">
        <v>380</v>
      </c>
      <c r="C1036" t="s">
        <v>1809</v>
      </c>
    </row>
    <row r="1037" spans="1:3" x14ac:dyDescent="0.3">
      <c r="A1037" s="165">
        <v>40015</v>
      </c>
      <c r="B1037" t="s">
        <v>83</v>
      </c>
      <c r="C1037" t="s">
        <v>1177</v>
      </c>
    </row>
    <row r="1038" spans="1:3" x14ac:dyDescent="0.3">
      <c r="A1038" s="165">
        <v>40016</v>
      </c>
      <c r="B1038" t="s">
        <v>380</v>
      </c>
      <c r="C1038" t="s">
        <v>164</v>
      </c>
    </row>
    <row r="1039" spans="1:3" x14ac:dyDescent="0.3">
      <c r="A1039" s="165">
        <v>40021</v>
      </c>
      <c r="B1039" t="s">
        <v>380</v>
      </c>
      <c r="C1039" t="s">
        <v>2322</v>
      </c>
    </row>
    <row r="1040" spans="1:3" x14ac:dyDescent="0.3">
      <c r="A1040" s="165">
        <v>40023</v>
      </c>
      <c r="B1040" t="s">
        <v>380</v>
      </c>
      <c r="C1040" t="s">
        <v>1627</v>
      </c>
    </row>
    <row r="1041" spans="1:3" x14ac:dyDescent="0.3">
      <c r="A1041" s="165">
        <v>40024</v>
      </c>
      <c r="B1041" t="s">
        <v>380</v>
      </c>
      <c r="C1041" t="s">
        <v>172</v>
      </c>
    </row>
    <row r="1042" spans="1:3" x14ac:dyDescent="0.3">
      <c r="A1042" s="165">
        <v>40030</v>
      </c>
      <c r="B1042" t="s">
        <v>380</v>
      </c>
      <c r="C1042" t="s">
        <v>1965</v>
      </c>
    </row>
    <row r="1043" spans="1:3" x14ac:dyDescent="0.3">
      <c r="A1043" s="165">
        <v>40031</v>
      </c>
      <c r="B1043" t="s">
        <v>380</v>
      </c>
      <c r="C1043" t="s">
        <v>1671</v>
      </c>
    </row>
    <row r="1044" spans="1:3" x14ac:dyDescent="0.3">
      <c r="A1044" s="165">
        <v>40036</v>
      </c>
      <c r="B1044" t="s">
        <v>380</v>
      </c>
      <c r="C1044" t="s">
        <v>2211</v>
      </c>
    </row>
    <row r="1045" spans="1:3" x14ac:dyDescent="0.3">
      <c r="A1045" s="165">
        <v>40037</v>
      </c>
      <c r="B1045" t="s">
        <v>380</v>
      </c>
      <c r="C1045" t="s">
        <v>1237</v>
      </c>
    </row>
    <row r="1046" spans="1:3" x14ac:dyDescent="0.3">
      <c r="A1046" s="165">
        <v>40038</v>
      </c>
      <c r="B1046" t="s">
        <v>2344</v>
      </c>
      <c r="C1046" t="s">
        <v>126</v>
      </c>
    </row>
    <row r="1047" spans="1:3" x14ac:dyDescent="0.3">
      <c r="A1047" s="165">
        <v>40039</v>
      </c>
      <c r="B1047" t="s">
        <v>380</v>
      </c>
      <c r="C1047" t="s">
        <v>65</v>
      </c>
    </row>
    <row r="1048" spans="1:3" x14ac:dyDescent="0.3">
      <c r="A1048" s="165">
        <v>40042</v>
      </c>
      <c r="B1048" t="s">
        <v>380</v>
      </c>
      <c r="C1048" t="s">
        <v>2181</v>
      </c>
    </row>
    <row r="1049" spans="1:3" x14ac:dyDescent="0.3">
      <c r="A1049" s="165">
        <v>40043</v>
      </c>
      <c r="B1049" t="s">
        <v>83</v>
      </c>
      <c r="C1049" t="s">
        <v>756</v>
      </c>
    </row>
    <row r="1050" spans="1:3" x14ac:dyDescent="0.3">
      <c r="A1050" s="165">
        <v>40044</v>
      </c>
      <c r="B1050" t="s">
        <v>380</v>
      </c>
      <c r="C1050" t="s">
        <v>616</v>
      </c>
    </row>
    <row r="1051" spans="1:3" x14ac:dyDescent="0.3">
      <c r="A1051" s="165">
        <v>40045</v>
      </c>
      <c r="B1051" t="s">
        <v>380</v>
      </c>
      <c r="C1051" t="s">
        <v>2329</v>
      </c>
    </row>
    <row r="1052" spans="1:3" x14ac:dyDescent="0.3">
      <c r="A1052" s="165">
        <v>39684</v>
      </c>
      <c r="B1052" t="s">
        <v>380</v>
      </c>
      <c r="C1052" t="s">
        <v>1491</v>
      </c>
    </row>
    <row r="1053" spans="1:3" x14ac:dyDescent="0.3">
      <c r="A1053" s="165">
        <v>40056</v>
      </c>
      <c r="B1053" t="s">
        <v>380</v>
      </c>
      <c r="C1053" t="s">
        <v>976</v>
      </c>
    </row>
    <row r="1054" spans="1:3" x14ac:dyDescent="0.3">
      <c r="A1054" s="165">
        <v>40057</v>
      </c>
      <c r="B1054" t="s">
        <v>380</v>
      </c>
      <c r="C1054" t="s">
        <v>1257</v>
      </c>
    </row>
    <row r="1055" spans="1:3" x14ac:dyDescent="0.3">
      <c r="A1055" s="165">
        <v>40066</v>
      </c>
      <c r="B1055" t="s">
        <v>380</v>
      </c>
      <c r="C1055" t="s">
        <v>1943</v>
      </c>
    </row>
    <row r="1056" spans="1:3" x14ac:dyDescent="0.3">
      <c r="A1056" s="165">
        <v>40067</v>
      </c>
      <c r="B1056" t="s">
        <v>380</v>
      </c>
      <c r="C1056" t="s">
        <v>2226</v>
      </c>
    </row>
    <row r="1057" spans="1:3" x14ac:dyDescent="0.3">
      <c r="A1057" s="165">
        <v>40071</v>
      </c>
      <c r="B1057" t="s">
        <v>380</v>
      </c>
      <c r="C1057" t="s">
        <v>762</v>
      </c>
    </row>
    <row r="1058" spans="1:3" x14ac:dyDescent="0.3">
      <c r="A1058" s="165">
        <v>40073</v>
      </c>
      <c r="B1058" t="s">
        <v>380</v>
      </c>
      <c r="C1058" t="s">
        <v>876</v>
      </c>
    </row>
    <row r="1059" spans="1:3" x14ac:dyDescent="0.3">
      <c r="A1059" s="165">
        <v>40078</v>
      </c>
      <c r="B1059" t="s">
        <v>380</v>
      </c>
      <c r="C1059" t="s">
        <v>1808</v>
      </c>
    </row>
    <row r="1060" spans="1:3" x14ac:dyDescent="0.3">
      <c r="A1060" s="165">
        <v>40086</v>
      </c>
      <c r="B1060" t="s">
        <v>380</v>
      </c>
      <c r="C1060" t="s">
        <v>1959</v>
      </c>
    </row>
    <row r="1061" spans="1:3" x14ac:dyDescent="0.3">
      <c r="A1061" s="165">
        <v>40087</v>
      </c>
      <c r="B1061" t="s">
        <v>380</v>
      </c>
      <c r="C1061" t="s">
        <v>2241</v>
      </c>
    </row>
    <row r="1062" spans="1:3" x14ac:dyDescent="0.3">
      <c r="A1062" s="165">
        <v>40093</v>
      </c>
      <c r="B1062" t="s">
        <v>380</v>
      </c>
      <c r="C1062" t="s">
        <v>1490</v>
      </c>
    </row>
    <row r="1063" spans="1:3" x14ac:dyDescent="0.3">
      <c r="A1063" s="165">
        <v>40095</v>
      </c>
      <c r="B1063" t="s">
        <v>380</v>
      </c>
      <c r="C1063" t="s">
        <v>2127</v>
      </c>
    </row>
    <row r="1064" spans="1:3" x14ac:dyDescent="0.3">
      <c r="A1064" s="165">
        <v>40095</v>
      </c>
      <c r="B1064" t="s">
        <v>83</v>
      </c>
      <c r="C1064" t="s">
        <v>293</v>
      </c>
    </row>
    <row r="1065" spans="1:3" x14ac:dyDescent="0.3">
      <c r="A1065" s="165">
        <v>40101</v>
      </c>
      <c r="B1065" t="s">
        <v>380</v>
      </c>
      <c r="C1065" t="s">
        <v>1050</v>
      </c>
    </row>
    <row r="1066" spans="1:3" x14ac:dyDescent="0.3">
      <c r="A1066" s="165">
        <v>40105</v>
      </c>
      <c r="B1066" t="s">
        <v>380</v>
      </c>
      <c r="C1066" t="s">
        <v>1142</v>
      </c>
    </row>
    <row r="1067" spans="1:3" x14ac:dyDescent="0.3">
      <c r="A1067" s="165">
        <v>40107</v>
      </c>
      <c r="B1067" t="s">
        <v>380</v>
      </c>
      <c r="C1067" t="s">
        <v>764</v>
      </c>
    </row>
    <row r="1068" spans="1:3" x14ac:dyDescent="0.3">
      <c r="A1068" s="165">
        <v>40108</v>
      </c>
      <c r="B1068" t="s">
        <v>83</v>
      </c>
      <c r="C1068" t="s">
        <v>1285</v>
      </c>
    </row>
    <row r="1069" spans="1:3" x14ac:dyDescent="0.3">
      <c r="A1069" s="165">
        <v>40109</v>
      </c>
      <c r="B1069" t="s">
        <v>380</v>
      </c>
      <c r="C1069" t="s">
        <v>1575</v>
      </c>
    </row>
    <row r="1070" spans="1:3" x14ac:dyDescent="0.3">
      <c r="A1070" s="165">
        <v>40112</v>
      </c>
      <c r="B1070" t="s">
        <v>380</v>
      </c>
      <c r="C1070" t="s">
        <v>312</v>
      </c>
    </row>
    <row r="1071" spans="1:3" x14ac:dyDescent="0.3">
      <c r="A1071" s="165">
        <v>40113</v>
      </c>
      <c r="B1071" t="s">
        <v>380</v>
      </c>
      <c r="C1071" t="s">
        <v>1164</v>
      </c>
    </row>
    <row r="1072" spans="1:3" x14ac:dyDescent="0.3">
      <c r="A1072" s="165">
        <v>40114</v>
      </c>
      <c r="B1072" t="s">
        <v>380</v>
      </c>
      <c r="C1072" t="s">
        <v>2341</v>
      </c>
    </row>
    <row r="1073" spans="1:3" x14ac:dyDescent="0.3">
      <c r="A1073" s="165">
        <v>40115</v>
      </c>
      <c r="B1073" t="s">
        <v>380</v>
      </c>
      <c r="C1073" t="s">
        <v>1853</v>
      </c>
    </row>
    <row r="1074" spans="1:3" x14ac:dyDescent="0.3">
      <c r="A1074" s="165">
        <v>40119</v>
      </c>
      <c r="B1074" t="s">
        <v>380</v>
      </c>
      <c r="C1074" t="s">
        <v>818</v>
      </c>
    </row>
    <row r="1075" spans="1:3" x14ac:dyDescent="0.3">
      <c r="A1075" s="165">
        <v>40120</v>
      </c>
      <c r="B1075" t="s">
        <v>380</v>
      </c>
      <c r="C1075" t="s">
        <v>535</v>
      </c>
    </row>
    <row r="1076" spans="1:3" x14ac:dyDescent="0.3">
      <c r="A1076" s="165">
        <v>40121</v>
      </c>
      <c r="B1076" t="s">
        <v>380</v>
      </c>
      <c r="C1076" t="s">
        <v>1791</v>
      </c>
    </row>
    <row r="1077" spans="1:3" x14ac:dyDescent="0.3">
      <c r="A1077" s="165">
        <v>40122</v>
      </c>
      <c r="B1077" t="s">
        <v>380</v>
      </c>
      <c r="C1077" t="s">
        <v>1273</v>
      </c>
    </row>
    <row r="1078" spans="1:3" x14ac:dyDescent="0.3">
      <c r="A1078" s="165">
        <v>40123</v>
      </c>
      <c r="B1078" t="s">
        <v>380</v>
      </c>
      <c r="C1078" t="s">
        <v>1560</v>
      </c>
    </row>
    <row r="1079" spans="1:3" x14ac:dyDescent="0.3">
      <c r="A1079" s="165">
        <v>40126</v>
      </c>
      <c r="B1079" t="s">
        <v>380</v>
      </c>
      <c r="C1079" t="s">
        <v>969</v>
      </c>
    </row>
    <row r="1080" spans="1:3" x14ac:dyDescent="0.3">
      <c r="A1080" s="165">
        <v>40128</v>
      </c>
      <c r="B1080" t="s">
        <v>380</v>
      </c>
      <c r="C1080" t="s">
        <v>755</v>
      </c>
    </row>
    <row r="1081" spans="1:3" x14ac:dyDescent="0.3">
      <c r="A1081" s="165">
        <v>40133</v>
      </c>
      <c r="B1081" t="s">
        <v>83</v>
      </c>
      <c r="C1081" t="s">
        <v>2108</v>
      </c>
    </row>
    <row r="1082" spans="1:3" x14ac:dyDescent="0.3">
      <c r="A1082" s="165">
        <v>40134</v>
      </c>
      <c r="B1082" t="s">
        <v>380</v>
      </c>
      <c r="C1082" t="s">
        <v>646</v>
      </c>
    </row>
    <row r="1083" spans="1:3" x14ac:dyDescent="0.3">
      <c r="A1083" s="165">
        <v>40135</v>
      </c>
      <c r="B1083" t="s">
        <v>380</v>
      </c>
      <c r="C1083" t="s">
        <v>282</v>
      </c>
    </row>
    <row r="1084" spans="1:3" x14ac:dyDescent="0.3">
      <c r="A1084" s="165">
        <v>40137</v>
      </c>
      <c r="B1084" t="s">
        <v>83</v>
      </c>
      <c r="C1084" t="s">
        <v>1139</v>
      </c>
    </row>
    <row r="1085" spans="1:3" x14ac:dyDescent="0.3">
      <c r="A1085" s="165">
        <v>40137</v>
      </c>
      <c r="B1085" t="s">
        <v>380</v>
      </c>
      <c r="C1085" t="s">
        <v>895</v>
      </c>
    </row>
    <row r="1086" spans="1:3" x14ac:dyDescent="0.3">
      <c r="A1086" s="165">
        <v>40140</v>
      </c>
      <c r="B1086" t="s">
        <v>380</v>
      </c>
      <c r="C1086" t="s">
        <v>2370</v>
      </c>
    </row>
    <row r="1087" spans="1:3" x14ac:dyDescent="0.3">
      <c r="A1087" s="165">
        <v>40141</v>
      </c>
      <c r="B1087" t="s">
        <v>83</v>
      </c>
      <c r="C1087" t="s">
        <v>2078</v>
      </c>
    </row>
    <row r="1088" spans="1:3" x14ac:dyDescent="0.3">
      <c r="A1088" s="165">
        <v>40141</v>
      </c>
      <c r="B1088" t="s">
        <v>2344</v>
      </c>
      <c r="C1088" t="s">
        <v>2034</v>
      </c>
    </row>
    <row r="1089" spans="1:3" x14ac:dyDescent="0.3">
      <c r="A1089" s="165">
        <v>40141</v>
      </c>
      <c r="B1089" t="s">
        <v>380</v>
      </c>
      <c r="C1089" t="s">
        <v>2250</v>
      </c>
    </row>
    <row r="1090" spans="1:3" x14ac:dyDescent="0.3">
      <c r="A1090" s="165">
        <v>40147</v>
      </c>
      <c r="B1090" t="s">
        <v>83</v>
      </c>
      <c r="C1090" t="s">
        <v>1603</v>
      </c>
    </row>
    <row r="1091" spans="1:3" x14ac:dyDescent="0.3">
      <c r="A1091" s="165">
        <v>40155</v>
      </c>
      <c r="B1091" t="s">
        <v>380</v>
      </c>
      <c r="C1091" t="s">
        <v>270</v>
      </c>
    </row>
    <row r="1092" spans="1:3" x14ac:dyDescent="0.3">
      <c r="A1092" s="165">
        <v>40161</v>
      </c>
      <c r="B1092" t="s">
        <v>380</v>
      </c>
      <c r="C1092" t="s">
        <v>1479</v>
      </c>
    </row>
    <row r="1093" spans="1:3" x14ac:dyDescent="0.3">
      <c r="A1093" s="165">
        <v>40163</v>
      </c>
      <c r="B1093" t="s">
        <v>380</v>
      </c>
      <c r="C1093" t="s">
        <v>93</v>
      </c>
    </row>
    <row r="1094" spans="1:3" x14ac:dyDescent="0.3">
      <c r="A1094" s="165">
        <v>40164</v>
      </c>
      <c r="B1094" t="s">
        <v>380</v>
      </c>
      <c r="C1094" t="s">
        <v>1377</v>
      </c>
    </row>
    <row r="1095" spans="1:3" x14ac:dyDescent="0.3">
      <c r="A1095" s="165">
        <v>40164</v>
      </c>
      <c r="B1095" t="s">
        <v>83</v>
      </c>
      <c r="C1095" t="s">
        <v>1200</v>
      </c>
    </row>
    <row r="1096" spans="1:3" x14ac:dyDescent="0.3">
      <c r="A1096" s="165">
        <v>40165</v>
      </c>
      <c r="B1096" t="s">
        <v>380</v>
      </c>
      <c r="C1096" t="s">
        <v>2195</v>
      </c>
    </row>
    <row r="1097" spans="1:3" x14ac:dyDescent="0.3">
      <c r="A1097" s="165">
        <v>40168</v>
      </c>
      <c r="B1097" t="s">
        <v>380</v>
      </c>
      <c r="C1097" t="s">
        <v>2442</v>
      </c>
    </row>
    <row r="1098" spans="1:3" x14ac:dyDescent="0.3">
      <c r="A1098" s="165">
        <v>40176</v>
      </c>
      <c r="B1098" t="s">
        <v>83</v>
      </c>
      <c r="C1098" t="s">
        <v>2294</v>
      </c>
    </row>
    <row r="1099" spans="1:3" x14ac:dyDescent="0.3">
      <c r="A1099" s="165">
        <v>40177</v>
      </c>
      <c r="B1099" t="s">
        <v>2344</v>
      </c>
      <c r="C1099" t="s">
        <v>2295</v>
      </c>
    </row>
    <row r="1100" spans="1:3" x14ac:dyDescent="0.3">
      <c r="A1100" s="165">
        <v>40184</v>
      </c>
      <c r="B1100" t="s">
        <v>380</v>
      </c>
      <c r="C1100" t="s">
        <v>1881</v>
      </c>
    </row>
    <row r="1101" spans="1:3" x14ac:dyDescent="0.3">
      <c r="A1101" s="165">
        <v>40185</v>
      </c>
      <c r="B1101" t="s">
        <v>380</v>
      </c>
      <c r="C1101" t="s">
        <v>2068</v>
      </c>
    </row>
    <row r="1102" spans="1:3" x14ac:dyDescent="0.3">
      <c r="A1102" s="165">
        <v>40189</v>
      </c>
      <c r="B1102" t="s">
        <v>380</v>
      </c>
      <c r="C1102" t="s">
        <v>2513</v>
      </c>
    </row>
    <row r="1103" spans="1:3" x14ac:dyDescent="0.3">
      <c r="A1103" s="165">
        <v>40190</v>
      </c>
      <c r="B1103" t="s">
        <v>380</v>
      </c>
      <c r="C1103" t="s">
        <v>2328</v>
      </c>
    </row>
    <row r="1104" spans="1:3" x14ac:dyDescent="0.3">
      <c r="A1104" s="165">
        <v>40191</v>
      </c>
      <c r="B1104" t="s">
        <v>380</v>
      </c>
      <c r="C1104" t="s">
        <v>1542</v>
      </c>
    </row>
    <row r="1105" spans="1:3" x14ac:dyDescent="0.3">
      <c r="A1105" s="165">
        <v>40192</v>
      </c>
      <c r="B1105" t="s">
        <v>380</v>
      </c>
      <c r="C1105" t="s">
        <v>1690</v>
      </c>
    </row>
    <row r="1106" spans="1:3" x14ac:dyDescent="0.3">
      <c r="A1106" s="165">
        <v>40193</v>
      </c>
      <c r="B1106" t="s">
        <v>380</v>
      </c>
      <c r="C1106" t="s">
        <v>1564</v>
      </c>
    </row>
    <row r="1107" spans="1:3" x14ac:dyDescent="0.3">
      <c r="A1107" s="165">
        <v>40198</v>
      </c>
      <c r="B1107" t="s">
        <v>380</v>
      </c>
      <c r="C1107" t="s">
        <v>1551</v>
      </c>
    </row>
    <row r="1108" spans="1:3" x14ac:dyDescent="0.3">
      <c r="A1108" s="165">
        <v>40203</v>
      </c>
      <c r="B1108" t="s">
        <v>83</v>
      </c>
      <c r="C1108" t="s">
        <v>870</v>
      </c>
    </row>
    <row r="1109" spans="1:3" x14ac:dyDescent="0.3">
      <c r="A1109" s="165">
        <v>40204</v>
      </c>
      <c r="B1109" t="s">
        <v>380</v>
      </c>
      <c r="C1109" t="s">
        <v>1957</v>
      </c>
    </row>
    <row r="1110" spans="1:3" x14ac:dyDescent="0.3">
      <c r="A1110" s="165">
        <v>40205</v>
      </c>
      <c r="B1110" t="s">
        <v>380</v>
      </c>
      <c r="C1110" t="s">
        <v>1467</v>
      </c>
    </row>
    <row r="1111" spans="1:3" x14ac:dyDescent="0.3">
      <c r="A1111" s="165">
        <v>40211</v>
      </c>
      <c r="B1111" t="s">
        <v>83</v>
      </c>
      <c r="C1111" t="s">
        <v>1954</v>
      </c>
    </row>
    <row r="1112" spans="1:3" x14ac:dyDescent="0.3">
      <c r="A1112" s="165">
        <v>40213</v>
      </c>
      <c r="B1112" t="s">
        <v>83</v>
      </c>
      <c r="C1112" t="s">
        <v>1945</v>
      </c>
    </row>
    <row r="1113" spans="1:3" x14ac:dyDescent="0.3">
      <c r="A1113" s="165">
        <v>40218</v>
      </c>
      <c r="B1113" t="s">
        <v>380</v>
      </c>
      <c r="C1113" t="s">
        <v>191</v>
      </c>
    </row>
    <row r="1114" spans="1:3" x14ac:dyDescent="0.3">
      <c r="A1114" s="165">
        <v>40219</v>
      </c>
      <c r="B1114" t="s">
        <v>380</v>
      </c>
      <c r="C1114" t="s">
        <v>777</v>
      </c>
    </row>
    <row r="1115" spans="1:3" x14ac:dyDescent="0.3">
      <c r="A1115" s="165">
        <v>40225</v>
      </c>
      <c r="B1115" t="s">
        <v>83</v>
      </c>
      <c r="C1115" t="s">
        <v>433</v>
      </c>
    </row>
    <row r="1116" spans="1:3" x14ac:dyDescent="0.3">
      <c r="A1116" s="165">
        <v>40225</v>
      </c>
      <c r="B1116" t="s">
        <v>83</v>
      </c>
      <c r="C1116" t="s">
        <v>190</v>
      </c>
    </row>
    <row r="1117" spans="1:3" x14ac:dyDescent="0.3">
      <c r="A1117" s="165">
        <v>40225</v>
      </c>
      <c r="B1117" t="s">
        <v>83</v>
      </c>
      <c r="C1117" t="s">
        <v>317</v>
      </c>
    </row>
    <row r="1118" spans="1:3" x14ac:dyDescent="0.3">
      <c r="A1118" s="165">
        <v>40233</v>
      </c>
      <c r="B1118" t="s">
        <v>380</v>
      </c>
      <c r="C1118" t="s">
        <v>382</v>
      </c>
    </row>
    <row r="1119" spans="1:3" x14ac:dyDescent="0.3">
      <c r="A1119" s="165">
        <v>40234</v>
      </c>
      <c r="B1119" t="s">
        <v>83</v>
      </c>
      <c r="C1119" t="s">
        <v>3</v>
      </c>
    </row>
    <row r="1120" spans="1:3" x14ac:dyDescent="0.3">
      <c r="A1120" s="165">
        <v>40240</v>
      </c>
      <c r="B1120" t="s">
        <v>380</v>
      </c>
      <c r="C1120" t="s">
        <v>1450</v>
      </c>
    </row>
    <row r="1121" spans="1:3" x14ac:dyDescent="0.3">
      <c r="A1121" s="165">
        <v>40253</v>
      </c>
      <c r="B1121" t="s">
        <v>380</v>
      </c>
      <c r="C1121" t="s">
        <v>808</v>
      </c>
    </row>
    <row r="1122" spans="1:3" x14ac:dyDescent="0.3">
      <c r="A1122" s="165">
        <v>40254</v>
      </c>
      <c r="B1122" t="s">
        <v>380</v>
      </c>
      <c r="C1122" t="s">
        <v>42</v>
      </c>
    </row>
    <row r="1123" spans="1:3" x14ac:dyDescent="0.3">
      <c r="A1123" s="165">
        <v>40255</v>
      </c>
      <c r="B1123" t="s">
        <v>83</v>
      </c>
      <c r="C1123" t="s">
        <v>356</v>
      </c>
    </row>
    <row r="1124" spans="1:3" x14ac:dyDescent="0.3">
      <c r="A1124" s="165">
        <v>40269</v>
      </c>
      <c r="B1124" t="s">
        <v>2344</v>
      </c>
      <c r="C1124" t="s">
        <v>1528</v>
      </c>
    </row>
    <row r="1125" spans="1:3" x14ac:dyDescent="0.3">
      <c r="A1125" s="165">
        <v>40269</v>
      </c>
      <c r="B1125" t="s">
        <v>83</v>
      </c>
      <c r="C1125" t="s">
        <v>916</v>
      </c>
    </row>
    <row r="1126" spans="1:3" x14ac:dyDescent="0.3">
      <c r="A1126" s="165">
        <v>40269</v>
      </c>
      <c r="B1126" t="s">
        <v>380</v>
      </c>
      <c r="C1126" t="s">
        <v>1350</v>
      </c>
    </row>
    <row r="1127" spans="1:3" x14ac:dyDescent="0.3">
      <c r="A1127" s="165">
        <v>40280</v>
      </c>
      <c r="B1127" t="s">
        <v>380</v>
      </c>
      <c r="C1127" t="s">
        <v>1002</v>
      </c>
    </row>
    <row r="1128" spans="1:3" x14ac:dyDescent="0.3">
      <c r="A1128" s="165">
        <v>40281</v>
      </c>
      <c r="B1128" t="s">
        <v>380</v>
      </c>
      <c r="C1128" t="s">
        <v>264</v>
      </c>
    </row>
    <row r="1129" spans="1:3" x14ac:dyDescent="0.3">
      <c r="A1129" s="165">
        <v>40283</v>
      </c>
      <c r="B1129" t="s">
        <v>380</v>
      </c>
      <c r="C1129" t="s">
        <v>522</v>
      </c>
    </row>
    <row r="1130" spans="1:3" x14ac:dyDescent="0.3">
      <c r="A1130" s="165">
        <v>40284</v>
      </c>
      <c r="B1130" t="s">
        <v>83</v>
      </c>
      <c r="C1130" t="s">
        <v>1819</v>
      </c>
    </row>
    <row r="1131" spans="1:3" x14ac:dyDescent="0.3">
      <c r="A1131" s="165">
        <v>40284</v>
      </c>
      <c r="B1131" t="s">
        <v>83</v>
      </c>
      <c r="C1131" t="s">
        <v>778</v>
      </c>
    </row>
    <row r="1132" spans="1:3" x14ac:dyDescent="0.3">
      <c r="A1132" s="165">
        <v>40287</v>
      </c>
      <c r="B1132" t="s">
        <v>380</v>
      </c>
      <c r="C1132" t="s">
        <v>2334</v>
      </c>
    </row>
    <row r="1133" spans="1:3" x14ac:dyDescent="0.3">
      <c r="A1133" s="165">
        <v>40289</v>
      </c>
      <c r="B1133" t="s">
        <v>380</v>
      </c>
      <c r="C1133" t="s">
        <v>1761</v>
      </c>
    </row>
    <row r="1134" spans="1:3" x14ac:dyDescent="0.3">
      <c r="A1134" s="165">
        <v>40297</v>
      </c>
      <c r="B1134" t="s">
        <v>380</v>
      </c>
      <c r="C1134" t="s">
        <v>1238</v>
      </c>
    </row>
    <row r="1135" spans="1:3" x14ac:dyDescent="0.3">
      <c r="A1135" s="165">
        <v>40302</v>
      </c>
      <c r="B1135" t="s">
        <v>83</v>
      </c>
      <c r="C1135" t="s">
        <v>2501</v>
      </c>
    </row>
    <row r="1136" spans="1:3" x14ac:dyDescent="0.3">
      <c r="A1136" s="165">
        <v>40309</v>
      </c>
      <c r="B1136" t="s">
        <v>380</v>
      </c>
      <c r="C1136" t="s">
        <v>1916</v>
      </c>
    </row>
    <row r="1137" spans="1:3" x14ac:dyDescent="0.3">
      <c r="A1137" s="165">
        <v>40312</v>
      </c>
      <c r="B1137" t="s">
        <v>83</v>
      </c>
      <c r="C1137" t="s">
        <v>2492</v>
      </c>
    </row>
    <row r="1138" spans="1:3" x14ac:dyDescent="0.3">
      <c r="A1138" s="165">
        <v>40315</v>
      </c>
      <c r="B1138" t="s">
        <v>380</v>
      </c>
      <c r="C1138" t="s">
        <v>87</v>
      </c>
    </row>
    <row r="1139" spans="1:3" x14ac:dyDescent="0.3">
      <c r="A1139" s="165">
        <v>40316</v>
      </c>
      <c r="B1139" t="s">
        <v>380</v>
      </c>
      <c r="C1139" t="s">
        <v>2413</v>
      </c>
    </row>
    <row r="1140" spans="1:3" x14ac:dyDescent="0.3">
      <c r="A1140" s="165">
        <v>40317</v>
      </c>
      <c r="B1140" t="s">
        <v>380</v>
      </c>
      <c r="C1140" t="s">
        <v>268</v>
      </c>
    </row>
    <row r="1141" spans="1:3" x14ac:dyDescent="0.3">
      <c r="A1141" s="165">
        <v>40318</v>
      </c>
      <c r="B1141" t="s">
        <v>380</v>
      </c>
      <c r="C1141" t="s">
        <v>550</v>
      </c>
    </row>
    <row r="1142" spans="1:3" x14ac:dyDescent="0.3">
      <c r="A1142" s="165">
        <v>40319</v>
      </c>
      <c r="B1142" t="s">
        <v>83</v>
      </c>
      <c r="C1142" t="s">
        <v>2363</v>
      </c>
    </row>
    <row r="1143" spans="1:3" x14ac:dyDescent="0.3">
      <c r="A1143" s="165">
        <v>40323</v>
      </c>
      <c r="B1143" t="s">
        <v>380</v>
      </c>
      <c r="C1143" t="s">
        <v>1422</v>
      </c>
    </row>
    <row r="1144" spans="1:3" x14ac:dyDescent="0.3">
      <c r="A1144" s="165">
        <v>40325</v>
      </c>
      <c r="B1144" t="s">
        <v>83</v>
      </c>
      <c r="C1144" t="s">
        <v>1615</v>
      </c>
    </row>
    <row r="1145" spans="1:3" x14ac:dyDescent="0.3">
      <c r="A1145" s="165">
        <v>40331</v>
      </c>
      <c r="B1145" t="s">
        <v>380</v>
      </c>
      <c r="C1145" t="s">
        <v>394</v>
      </c>
    </row>
    <row r="1146" spans="1:3" x14ac:dyDescent="0.3">
      <c r="A1146" s="165">
        <v>40332</v>
      </c>
      <c r="B1146" t="s">
        <v>380</v>
      </c>
      <c r="C1146" t="s">
        <v>1188</v>
      </c>
    </row>
    <row r="1147" spans="1:3" x14ac:dyDescent="0.3">
      <c r="A1147" s="165">
        <v>40333</v>
      </c>
      <c r="B1147" t="s">
        <v>380</v>
      </c>
      <c r="C1147" t="s">
        <v>1573</v>
      </c>
    </row>
    <row r="1148" spans="1:3" x14ac:dyDescent="0.3">
      <c r="A1148" s="165">
        <v>40337</v>
      </c>
      <c r="B1148" t="s">
        <v>380</v>
      </c>
      <c r="C1148" t="s">
        <v>1961</v>
      </c>
    </row>
    <row r="1149" spans="1:3" x14ac:dyDescent="0.3">
      <c r="A1149" s="165">
        <v>40338</v>
      </c>
      <c r="B1149" t="s">
        <v>380</v>
      </c>
      <c r="C1149" t="s">
        <v>295</v>
      </c>
    </row>
    <row r="1150" spans="1:3" x14ac:dyDescent="0.3">
      <c r="A1150" s="165">
        <v>40339</v>
      </c>
      <c r="B1150" t="s">
        <v>380</v>
      </c>
      <c r="C1150" t="s">
        <v>1232</v>
      </c>
    </row>
    <row r="1151" spans="1:3" x14ac:dyDescent="0.3">
      <c r="A1151" s="165">
        <v>40343</v>
      </c>
      <c r="B1151" t="s">
        <v>2344</v>
      </c>
      <c r="C1151" t="s">
        <v>193</v>
      </c>
    </row>
    <row r="1152" spans="1:3" x14ac:dyDescent="0.3">
      <c r="A1152" s="165">
        <v>40345</v>
      </c>
      <c r="B1152" t="s">
        <v>380</v>
      </c>
      <c r="C1152" t="s">
        <v>1550</v>
      </c>
    </row>
    <row r="1153" spans="1:3" x14ac:dyDescent="0.3">
      <c r="A1153" s="165">
        <v>40347</v>
      </c>
      <c r="B1153" t="s">
        <v>83</v>
      </c>
      <c r="C1153" t="s">
        <v>744</v>
      </c>
    </row>
    <row r="1154" spans="1:3" x14ac:dyDescent="0.3">
      <c r="A1154" s="165">
        <v>40347</v>
      </c>
      <c r="B1154" t="s">
        <v>83</v>
      </c>
      <c r="C1154" t="s">
        <v>750</v>
      </c>
    </row>
    <row r="1155" spans="1:3" x14ac:dyDescent="0.3">
      <c r="A1155" s="165">
        <v>40352</v>
      </c>
      <c r="B1155" t="s">
        <v>380</v>
      </c>
      <c r="C1155" t="s">
        <v>2124</v>
      </c>
    </row>
    <row r="1156" spans="1:3" x14ac:dyDescent="0.3">
      <c r="A1156" s="165">
        <v>40367</v>
      </c>
      <c r="B1156" t="s">
        <v>380</v>
      </c>
      <c r="C1156" t="s">
        <v>924</v>
      </c>
    </row>
    <row r="1157" spans="1:3" x14ac:dyDescent="0.3">
      <c r="A1157" s="165">
        <v>40372</v>
      </c>
      <c r="B1157" t="s">
        <v>380</v>
      </c>
      <c r="C1157" t="s">
        <v>272</v>
      </c>
    </row>
    <row r="1158" spans="1:3" x14ac:dyDescent="0.3">
      <c r="A1158" s="165">
        <v>40372</v>
      </c>
      <c r="B1158" t="s">
        <v>380</v>
      </c>
      <c r="C1158" t="s">
        <v>1931</v>
      </c>
    </row>
    <row r="1159" spans="1:3" x14ac:dyDescent="0.3">
      <c r="A1159" s="165">
        <v>40378</v>
      </c>
      <c r="B1159" t="s">
        <v>380</v>
      </c>
      <c r="C1159" t="s">
        <v>2115</v>
      </c>
    </row>
    <row r="1160" spans="1:3" x14ac:dyDescent="0.3">
      <c r="A1160" s="165">
        <v>40379</v>
      </c>
      <c r="B1160" t="s">
        <v>380</v>
      </c>
      <c r="C1160" t="s">
        <v>1865</v>
      </c>
    </row>
    <row r="1161" spans="1:3" x14ac:dyDescent="0.3">
      <c r="A1161" s="165">
        <v>40386</v>
      </c>
      <c r="B1161" t="s">
        <v>83</v>
      </c>
      <c r="C1161" t="s">
        <v>738</v>
      </c>
    </row>
    <row r="1162" spans="1:3" x14ac:dyDescent="0.3">
      <c r="A1162" s="165">
        <v>40386</v>
      </c>
      <c r="B1162" t="s">
        <v>83</v>
      </c>
      <c r="C1162" t="s">
        <v>739</v>
      </c>
    </row>
    <row r="1163" spans="1:3" x14ac:dyDescent="0.3">
      <c r="A1163" s="165">
        <v>40388</v>
      </c>
      <c r="B1163" t="s">
        <v>380</v>
      </c>
      <c r="C1163" t="s">
        <v>1093</v>
      </c>
    </row>
    <row r="1164" spans="1:3" x14ac:dyDescent="0.3">
      <c r="A1164" s="165">
        <v>40389</v>
      </c>
      <c r="B1164" t="s">
        <v>380</v>
      </c>
      <c r="C1164" t="s">
        <v>198</v>
      </c>
    </row>
    <row r="1165" spans="1:3" x14ac:dyDescent="0.3">
      <c r="A1165" s="165">
        <v>40394</v>
      </c>
      <c r="B1165" t="s">
        <v>380</v>
      </c>
      <c r="C1165" t="s">
        <v>1452</v>
      </c>
    </row>
    <row r="1166" spans="1:3" x14ac:dyDescent="0.3">
      <c r="A1166" s="165">
        <v>40395</v>
      </c>
      <c r="B1166" t="s">
        <v>380</v>
      </c>
      <c r="C1166" t="s">
        <v>846</v>
      </c>
    </row>
    <row r="1167" spans="1:3" x14ac:dyDescent="0.3">
      <c r="A1167" s="165">
        <v>40399</v>
      </c>
      <c r="B1167" t="s">
        <v>380</v>
      </c>
      <c r="C1167" t="s">
        <v>704</v>
      </c>
    </row>
    <row r="1168" spans="1:3" x14ac:dyDescent="0.3">
      <c r="A1168" s="165">
        <v>40402</v>
      </c>
      <c r="B1168" t="s">
        <v>380</v>
      </c>
      <c r="C1168" t="s">
        <v>2057</v>
      </c>
    </row>
    <row r="1169" spans="1:3" x14ac:dyDescent="0.3">
      <c r="A1169" s="165">
        <v>40407</v>
      </c>
      <c r="B1169" t="s">
        <v>380</v>
      </c>
      <c r="C1169" t="s">
        <v>1624</v>
      </c>
    </row>
    <row r="1170" spans="1:3" x14ac:dyDescent="0.3">
      <c r="A1170" s="165">
        <v>40408</v>
      </c>
      <c r="B1170" t="s">
        <v>380</v>
      </c>
      <c r="C1170" t="s">
        <v>971</v>
      </c>
    </row>
    <row r="1171" spans="1:3" x14ac:dyDescent="0.3">
      <c r="A1171" s="165">
        <v>40409</v>
      </c>
      <c r="B1171" t="s">
        <v>380</v>
      </c>
      <c r="C1171" t="s">
        <v>869</v>
      </c>
    </row>
    <row r="1172" spans="1:3" x14ac:dyDescent="0.3">
      <c r="A1172" s="165">
        <v>40413</v>
      </c>
      <c r="B1172" t="s">
        <v>83</v>
      </c>
      <c r="C1172" t="s">
        <v>112</v>
      </c>
    </row>
    <row r="1173" spans="1:3" x14ac:dyDescent="0.3">
      <c r="A1173" s="165">
        <v>40413</v>
      </c>
      <c r="B1173" t="s">
        <v>83</v>
      </c>
      <c r="C1173" t="s">
        <v>110</v>
      </c>
    </row>
    <row r="1174" spans="1:3" x14ac:dyDescent="0.3">
      <c r="A1174" s="165">
        <v>40413</v>
      </c>
      <c r="B1174" t="s">
        <v>83</v>
      </c>
      <c r="C1174" t="s">
        <v>111</v>
      </c>
    </row>
    <row r="1175" spans="1:3" x14ac:dyDescent="0.3">
      <c r="A1175" s="165">
        <v>40416</v>
      </c>
      <c r="B1175" t="s">
        <v>380</v>
      </c>
      <c r="C1175" t="s">
        <v>393</v>
      </c>
    </row>
    <row r="1176" spans="1:3" x14ac:dyDescent="0.3">
      <c r="A1176" s="165">
        <v>40421</v>
      </c>
      <c r="B1176" t="s">
        <v>380</v>
      </c>
      <c r="C1176" t="s">
        <v>799</v>
      </c>
    </row>
    <row r="1177" spans="1:3" x14ac:dyDescent="0.3">
      <c r="A1177" s="165">
        <v>40422</v>
      </c>
      <c r="B1177" t="s">
        <v>380</v>
      </c>
      <c r="C1177" t="s">
        <v>472</v>
      </c>
    </row>
    <row r="1178" spans="1:3" x14ac:dyDescent="0.3">
      <c r="A1178" s="165">
        <v>40429</v>
      </c>
      <c r="B1178" t="s">
        <v>380</v>
      </c>
      <c r="C1178" t="s">
        <v>2332</v>
      </c>
    </row>
    <row r="1179" spans="1:3" x14ac:dyDescent="0.3">
      <c r="A1179" s="165">
        <v>40429</v>
      </c>
      <c r="B1179" t="s">
        <v>2344</v>
      </c>
      <c r="C1179" t="s">
        <v>2286</v>
      </c>
    </row>
    <row r="1180" spans="1:3" x14ac:dyDescent="0.3">
      <c r="A1180" s="165">
        <v>40430</v>
      </c>
      <c r="B1180" t="s">
        <v>380</v>
      </c>
      <c r="C1180" t="s">
        <v>719</v>
      </c>
    </row>
    <row r="1181" spans="1:3" x14ac:dyDescent="0.3">
      <c r="A1181" s="165">
        <v>40434</v>
      </c>
      <c r="B1181" t="s">
        <v>380</v>
      </c>
      <c r="C1181" t="s">
        <v>352</v>
      </c>
    </row>
    <row r="1182" spans="1:3" x14ac:dyDescent="0.3">
      <c r="A1182" s="165">
        <v>40435</v>
      </c>
      <c r="B1182" t="s">
        <v>380</v>
      </c>
      <c r="C1182" t="s">
        <v>372</v>
      </c>
    </row>
    <row r="1183" spans="1:3" x14ac:dyDescent="0.3">
      <c r="A1183" s="165">
        <v>40436</v>
      </c>
      <c r="B1183" t="s">
        <v>380</v>
      </c>
      <c r="C1183" t="s">
        <v>1566</v>
      </c>
    </row>
    <row r="1184" spans="1:3" x14ac:dyDescent="0.3">
      <c r="A1184" s="165">
        <v>40437</v>
      </c>
      <c r="B1184" t="s">
        <v>380</v>
      </c>
      <c r="C1184" t="s">
        <v>2493</v>
      </c>
    </row>
    <row r="1185" spans="1:3" x14ac:dyDescent="0.3">
      <c r="A1185" s="165">
        <v>40441</v>
      </c>
      <c r="B1185" t="s">
        <v>380</v>
      </c>
      <c r="C1185" t="s">
        <v>2369</v>
      </c>
    </row>
    <row r="1186" spans="1:3" x14ac:dyDescent="0.3">
      <c r="A1186" s="165">
        <v>40443</v>
      </c>
      <c r="B1186" t="s">
        <v>380</v>
      </c>
      <c r="C1186" t="s">
        <v>1072</v>
      </c>
    </row>
    <row r="1187" spans="1:3" x14ac:dyDescent="0.3">
      <c r="A1187" s="165">
        <v>40443</v>
      </c>
      <c r="B1187" t="s">
        <v>83</v>
      </c>
      <c r="C1187" t="s">
        <v>1086</v>
      </c>
    </row>
    <row r="1188" spans="1:3" x14ac:dyDescent="0.3">
      <c r="A1188" s="165">
        <v>40444</v>
      </c>
      <c r="B1188" t="s">
        <v>380</v>
      </c>
      <c r="C1188" t="s">
        <v>109</v>
      </c>
    </row>
    <row r="1189" spans="1:3" x14ac:dyDescent="0.3">
      <c r="A1189" s="165">
        <v>40444</v>
      </c>
      <c r="B1189" t="s">
        <v>83</v>
      </c>
      <c r="C1189" t="s">
        <v>636</v>
      </c>
    </row>
    <row r="1190" spans="1:3" x14ac:dyDescent="0.3">
      <c r="A1190" s="165">
        <v>40448</v>
      </c>
      <c r="B1190" t="s">
        <v>380</v>
      </c>
      <c r="C1190" t="s">
        <v>2007</v>
      </c>
    </row>
    <row r="1191" spans="1:3" x14ac:dyDescent="0.3">
      <c r="A1191" s="165">
        <v>40449</v>
      </c>
      <c r="B1191" t="s">
        <v>380</v>
      </c>
      <c r="C1191" t="s">
        <v>465</v>
      </c>
    </row>
    <row r="1192" spans="1:3" x14ac:dyDescent="0.3">
      <c r="A1192" s="165">
        <v>40450</v>
      </c>
      <c r="B1192" t="s">
        <v>380</v>
      </c>
      <c r="C1192" t="s">
        <v>2449</v>
      </c>
    </row>
    <row r="1193" spans="1:3" x14ac:dyDescent="0.3">
      <c r="A1193" s="165">
        <v>40451</v>
      </c>
      <c r="B1193" t="s">
        <v>380</v>
      </c>
      <c r="C1193" t="s">
        <v>292</v>
      </c>
    </row>
    <row r="1194" spans="1:3" x14ac:dyDescent="0.3">
      <c r="A1194" s="165">
        <v>40458</v>
      </c>
      <c r="B1194" t="s">
        <v>380</v>
      </c>
      <c r="C1194" t="s">
        <v>922</v>
      </c>
    </row>
    <row r="1195" spans="1:3" x14ac:dyDescent="0.3">
      <c r="A1195" s="165">
        <v>40459</v>
      </c>
      <c r="B1195" t="s">
        <v>1641</v>
      </c>
      <c r="C1195" t="s">
        <v>1953</v>
      </c>
    </row>
    <row r="1196" spans="1:3" x14ac:dyDescent="0.3">
      <c r="A1196" s="165">
        <v>40463</v>
      </c>
      <c r="B1196" t="s">
        <v>380</v>
      </c>
      <c r="C1196" t="s">
        <v>27</v>
      </c>
    </row>
    <row r="1197" spans="1:3" x14ac:dyDescent="0.3">
      <c r="A1197" s="165">
        <v>40464</v>
      </c>
      <c r="B1197" t="s">
        <v>380</v>
      </c>
      <c r="C1197" t="s">
        <v>749</v>
      </c>
    </row>
    <row r="1198" spans="1:3" x14ac:dyDescent="0.3">
      <c r="A1198" s="165">
        <v>40465</v>
      </c>
      <c r="B1198" t="s">
        <v>380</v>
      </c>
      <c r="C1198" t="s">
        <v>2505</v>
      </c>
    </row>
    <row r="1199" spans="1:3" x14ac:dyDescent="0.3">
      <c r="A1199" s="165">
        <v>40465</v>
      </c>
      <c r="B1199" t="s">
        <v>83</v>
      </c>
      <c r="C1199" t="s">
        <v>815</v>
      </c>
    </row>
    <row r="1200" spans="1:3" x14ac:dyDescent="0.3">
      <c r="A1200" s="165">
        <v>40469</v>
      </c>
      <c r="B1200" t="s">
        <v>380</v>
      </c>
      <c r="C1200" t="s">
        <v>890</v>
      </c>
    </row>
    <row r="1201" spans="1:3" x14ac:dyDescent="0.3">
      <c r="A1201" s="165">
        <v>40470</v>
      </c>
      <c r="B1201" t="s">
        <v>380</v>
      </c>
      <c r="C1201" t="s">
        <v>1064</v>
      </c>
    </row>
    <row r="1202" spans="1:3" x14ac:dyDescent="0.3">
      <c r="A1202" s="165">
        <v>40471</v>
      </c>
      <c r="B1202" t="s">
        <v>380</v>
      </c>
      <c r="C1202" t="s">
        <v>1229</v>
      </c>
    </row>
    <row r="1203" spans="1:3" x14ac:dyDescent="0.3">
      <c r="A1203" s="165">
        <v>40476</v>
      </c>
      <c r="B1203" t="s">
        <v>380</v>
      </c>
      <c r="C1203" t="s">
        <v>149</v>
      </c>
    </row>
    <row r="1204" spans="1:3" x14ac:dyDescent="0.3">
      <c r="A1204" s="165">
        <v>40478</v>
      </c>
      <c r="B1204" t="s">
        <v>380</v>
      </c>
      <c r="C1204" t="s">
        <v>1705</v>
      </c>
    </row>
    <row r="1205" spans="1:3" x14ac:dyDescent="0.3">
      <c r="A1205" s="165">
        <v>40479</v>
      </c>
      <c r="B1205" t="s">
        <v>380</v>
      </c>
      <c r="C1205" t="s">
        <v>2258</v>
      </c>
    </row>
    <row r="1206" spans="1:3" x14ac:dyDescent="0.3">
      <c r="A1206" s="165">
        <v>40484</v>
      </c>
      <c r="B1206" t="s">
        <v>2344</v>
      </c>
      <c r="C1206" t="s">
        <v>13</v>
      </c>
    </row>
    <row r="1207" spans="1:3" x14ac:dyDescent="0.3">
      <c r="A1207" s="165">
        <v>40486</v>
      </c>
      <c r="B1207" t="s">
        <v>380</v>
      </c>
      <c r="C1207" t="s">
        <v>2306</v>
      </c>
    </row>
    <row r="1208" spans="1:3" x14ac:dyDescent="0.3">
      <c r="A1208" s="165">
        <v>40491</v>
      </c>
      <c r="B1208" t="s">
        <v>380</v>
      </c>
      <c r="C1208" t="s">
        <v>2307</v>
      </c>
    </row>
    <row r="1209" spans="1:3" x14ac:dyDescent="0.3">
      <c r="A1209" s="165">
        <v>40492</v>
      </c>
      <c r="B1209" t="s">
        <v>380</v>
      </c>
      <c r="C1209" t="s">
        <v>2308</v>
      </c>
    </row>
    <row r="1210" spans="1:3" x14ac:dyDescent="0.3">
      <c r="A1210" s="165">
        <v>40497</v>
      </c>
      <c r="B1210" t="s">
        <v>2344</v>
      </c>
      <c r="C1210" t="s">
        <v>2309</v>
      </c>
    </row>
    <row r="1211" spans="1:3" x14ac:dyDescent="0.3">
      <c r="A1211" s="165">
        <v>40498</v>
      </c>
      <c r="B1211" t="s">
        <v>380</v>
      </c>
      <c r="C1211" t="s">
        <v>2310</v>
      </c>
    </row>
    <row r="1212" spans="1:3" x14ac:dyDescent="0.3">
      <c r="A1212" s="165">
        <v>40499</v>
      </c>
      <c r="B1212" t="s">
        <v>380</v>
      </c>
      <c r="C1212" t="s">
        <v>2313</v>
      </c>
    </row>
    <row r="1213" spans="1:3" x14ac:dyDescent="0.3">
      <c r="A1213" s="165">
        <v>40500</v>
      </c>
      <c r="B1213" t="s">
        <v>83</v>
      </c>
      <c r="C1213" t="s">
        <v>2314</v>
      </c>
    </row>
    <row r="1214" spans="1:3" x14ac:dyDescent="0.3">
      <c r="A1214" s="165">
        <v>40505</v>
      </c>
      <c r="B1214" t="s">
        <v>380</v>
      </c>
      <c r="C1214" t="s">
        <v>304</v>
      </c>
    </row>
    <row r="1215" spans="1:3" x14ac:dyDescent="0.3">
      <c r="A1215" s="165">
        <v>40520</v>
      </c>
      <c r="B1215" t="s">
        <v>380</v>
      </c>
      <c r="C1215" t="s">
        <v>306</v>
      </c>
    </row>
    <row r="1216" spans="1:3" x14ac:dyDescent="0.3">
      <c r="A1216" s="165">
        <v>40527</v>
      </c>
      <c r="B1216" t="s">
        <v>380</v>
      </c>
      <c r="C1216" t="s">
        <v>307</v>
      </c>
    </row>
    <row r="1217" spans="1:3" x14ac:dyDescent="0.3">
      <c r="A1217" s="165">
        <v>40527</v>
      </c>
      <c r="B1217" t="s">
        <v>2344</v>
      </c>
      <c r="C1217" t="s">
        <v>308</v>
      </c>
    </row>
    <row r="1218" spans="1:3" x14ac:dyDescent="0.3">
      <c r="A1218" s="165">
        <v>40528</v>
      </c>
      <c r="B1218" t="s">
        <v>380</v>
      </c>
      <c r="C1218" t="s">
        <v>309</v>
      </c>
    </row>
    <row r="1219" spans="1:3" x14ac:dyDescent="0.3">
      <c r="A1219" s="165">
        <v>40528</v>
      </c>
      <c r="B1219" t="s">
        <v>83</v>
      </c>
      <c r="C1219" t="s">
        <v>1928</v>
      </c>
    </row>
    <row r="1220" spans="1:3" x14ac:dyDescent="0.3">
      <c r="A1220" s="165">
        <v>40533</v>
      </c>
      <c r="B1220" t="s">
        <v>83</v>
      </c>
      <c r="C1220" t="s">
        <v>1315</v>
      </c>
    </row>
    <row r="1221" spans="1:3" x14ac:dyDescent="0.3">
      <c r="A1221" s="165">
        <v>40562</v>
      </c>
      <c r="B1221" t="s">
        <v>380</v>
      </c>
      <c r="C1221" t="s">
        <v>1769</v>
      </c>
    </row>
    <row r="1222" spans="1:3" x14ac:dyDescent="0.3">
      <c r="A1222" s="165">
        <v>40563</v>
      </c>
      <c r="B1222" t="s">
        <v>380</v>
      </c>
      <c r="C1222" t="s">
        <v>1770</v>
      </c>
    </row>
    <row r="1223" spans="1:3" x14ac:dyDescent="0.3">
      <c r="A1223" s="165">
        <v>40564</v>
      </c>
      <c r="B1223" t="s">
        <v>83</v>
      </c>
      <c r="C1223" t="s">
        <v>1771</v>
      </c>
    </row>
    <row r="1224" spans="1:3" x14ac:dyDescent="0.3">
      <c r="A1224" s="165">
        <v>40570</v>
      </c>
      <c r="B1224" t="s">
        <v>380</v>
      </c>
      <c r="C1224" t="s">
        <v>2265</v>
      </c>
    </row>
    <row r="1225" spans="1:3" x14ac:dyDescent="0.3">
      <c r="A1225" s="165">
        <v>40570</v>
      </c>
      <c r="B1225" t="s">
        <v>2344</v>
      </c>
      <c r="C1225" t="s">
        <v>2269</v>
      </c>
    </row>
    <row r="1226" spans="1:3" x14ac:dyDescent="0.3">
      <c r="A1226" s="165">
        <v>40584</v>
      </c>
      <c r="B1226" t="s">
        <v>380</v>
      </c>
      <c r="C1226" t="s">
        <v>2276</v>
      </c>
    </row>
    <row r="1227" spans="1:3" x14ac:dyDescent="0.3">
      <c r="A1227" s="165">
        <v>40588</v>
      </c>
      <c r="B1227" t="s">
        <v>83</v>
      </c>
      <c r="C1227" t="s">
        <v>2278</v>
      </c>
    </row>
    <row r="1228" spans="1:3" x14ac:dyDescent="0.3">
      <c r="A1228" s="165">
        <v>40606</v>
      </c>
      <c r="B1228" t="s">
        <v>380</v>
      </c>
      <c r="C1228" t="s">
        <v>216</v>
      </c>
    </row>
    <row r="1229" spans="1:3" x14ac:dyDescent="0.3">
      <c r="A1229" s="165">
        <v>40612</v>
      </c>
      <c r="B1229" t="s">
        <v>380</v>
      </c>
      <c r="C1229" t="s">
        <v>218</v>
      </c>
    </row>
    <row r="1230" spans="1:3" x14ac:dyDescent="0.3">
      <c r="A1230" s="165">
        <v>40618</v>
      </c>
      <c r="B1230" t="s">
        <v>380</v>
      </c>
      <c r="C1230" t="s">
        <v>219</v>
      </c>
    </row>
    <row r="1231" spans="1:3" x14ac:dyDescent="0.3">
      <c r="A1231" s="165">
        <v>40619</v>
      </c>
      <c r="B1231" t="s">
        <v>380</v>
      </c>
      <c r="C1231" t="s">
        <v>220</v>
      </c>
    </row>
    <row r="1232" spans="1:3" x14ac:dyDescent="0.3">
      <c r="A1232" s="165">
        <v>40626</v>
      </c>
      <c r="B1232" t="s">
        <v>380</v>
      </c>
      <c r="C1232" t="s">
        <v>221</v>
      </c>
    </row>
    <row r="1233" spans="1:3" x14ac:dyDescent="0.3">
      <c r="A1233" s="165">
        <v>40627</v>
      </c>
      <c r="B1233" t="s">
        <v>83</v>
      </c>
      <c r="C1233" t="s">
        <v>224</v>
      </c>
    </row>
    <row r="1234" spans="1:3" x14ac:dyDescent="0.3">
      <c r="A1234" s="165">
        <v>40632</v>
      </c>
      <c r="B1234" t="s">
        <v>380</v>
      </c>
      <c r="C1234" t="s">
        <v>2516</v>
      </c>
    </row>
    <row r="1235" spans="1:3" x14ac:dyDescent="0.3">
      <c r="A1235" s="165">
        <v>40644</v>
      </c>
      <c r="B1235" t="s">
        <v>380</v>
      </c>
      <c r="C1235" t="s">
        <v>2518</v>
      </c>
    </row>
    <row r="1236" spans="1:3" x14ac:dyDescent="0.3">
      <c r="A1236" s="165">
        <v>40645</v>
      </c>
      <c r="B1236" t="s">
        <v>380</v>
      </c>
      <c r="C1236" t="s">
        <v>2519</v>
      </c>
    </row>
    <row r="1237" spans="1:3" x14ac:dyDescent="0.3">
      <c r="A1237" s="165">
        <v>40652</v>
      </c>
      <c r="B1237" t="s">
        <v>380</v>
      </c>
      <c r="C1237" t="s">
        <v>2520</v>
      </c>
    </row>
    <row r="1238" spans="1:3" x14ac:dyDescent="0.3">
      <c r="A1238" s="165">
        <v>40658</v>
      </c>
      <c r="B1238" t="s">
        <v>83</v>
      </c>
      <c r="C1238" t="s">
        <v>2522</v>
      </c>
    </row>
    <row r="1239" spans="1:3" x14ac:dyDescent="0.3">
      <c r="A1239" s="165">
        <v>40673</v>
      </c>
      <c r="B1239" t="s">
        <v>380</v>
      </c>
      <c r="C1239" t="s">
        <v>2523</v>
      </c>
    </row>
    <row r="1240" spans="1:3" x14ac:dyDescent="0.3">
      <c r="A1240" s="165">
        <v>40675</v>
      </c>
      <c r="B1240" t="s">
        <v>380</v>
      </c>
      <c r="C1240" t="s">
        <v>2524</v>
      </c>
    </row>
    <row r="1241" spans="1:3" x14ac:dyDescent="0.3">
      <c r="A1241" s="165">
        <v>40680</v>
      </c>
      <c r="B1241" t="s">
        <v>380</v>
      </c>
      <c r="C1241" t="s">
        <v>2525</v>
      </c>
    </row>
    <row r="1242" spans="1:3" x14ac:dyDescent="0.3">
      <c r="A1242" s="165">
        <v>40681</v>
      </c>
      <c r="B1242" t="s">
        <v>380</v>
      </c>
      <c r="C1242" t="s">
        <v>2526</v>
      </c>
    </row>
    <row r="1243" spans="1:3" x14ac:dyDescent="0.3">
      <c r="A1243" s="165">
        <v>40682</v>
      </c>
      <c r="B1243" t="s">
        <v>380</v>
      </c>
      <c r="C1243" t="s">
        <v>2527</v>
      </c>
    </row>
    <row r="1244" spans="1:3" x14ac:dyDescent="0.3">
      <c r="A1244" s="165">
        <v>40686</v>
      </c>
      <c r="B1244" t="s">
        <v>380</v>
      </c>
      <c r="C1244" t="s">
        <v>2528</v>
      </c>
    </row>
    <row r="1245" spans="1:3" x14ac:dyDescent="0.3">
      <c r="A1245" s="165">
        <v>40687</v>
      </c>
      <c r="B1245" t="s">
        <v>380</v>
      </c>
      <c r="C1245" t="s">
        <v>2529</v>
      </c>
    </row>
    <row r="1246" spans="1:3" x14ac:dyDescent="0.3">
      <c r="A1246" s="165">
        <v>40688</v>
      </c>
      <c r="B1246" t="s">
        <v>83</v>
      </c>
      <c r="C1246" t="s">
        <v>2530</v>
      </c>
    </row>
    <row r="1247" spans="1:3" x14ac:dyDescent="0.3">
      <c r="A1247" s="165">
        <v>40689</v>
      </c>
      <c r="B1247" t="s">
        <v>380</v>
      </c>
      <c r="C1247" t="s">
        <v>2531</v>
      </c>
    </row>
    <row r="1248" spans="1:3" x14ac:dyDescent="0.3">
      <c r="A1248" s="165">
        <v>40723</v>
      </c>
      <c r="B1248" t="s">
        <v>83</v>
      </c>
      <c r="C1248" t="s">
        <v>2532</v>
      </c>
    </row>
    <row r="1249" spans="1:3" x14ac:dyDescent="0.3">
      <c r="A1249" s="165">
        <v>40729</v>
      </c>
      <c r="B1249" t="s">
        <v>83</v>
      </c>
      <c r="C1249" t="s">
        <v>2533</v>
      </c>
    </row>
    <row r="1250" spans="1:3" x14ac:dyDescent="0.3">
      <c r="A1250" s="165">
        <v>40736</v>
      </c>
      <c r="B1250" t="s">
        <v>83</v>
      </c>
      <c r="C1250" t="s">
        <v>2534</v>
      </c>
    </row>
    <row r="1251" spans="1:3" x14ac:dyDescent="0.3">
      <c r="A1251" s="165">
        <v>40744</v>
      </c>
      <c r="B1251" t="s">
        <v>83</v>
      </c>
      <c r="C1251" t="s">
        <v>2535</v>
      </c>
    </row>
    <row r="1252" spans="1:3" x14ac:dyDescent="0.3">
      <c r="A1252" s="165">
        <v>40744</v>
      </c>
      <c r="B1252" t="s">
        <v>83</v>
      </c>
      <c r="C1252" t="s">
        <v>2536</v>
      </c>
    </row>
    <row r="1253" spans="1:3" x14ac:dyDescent="0.3">
      <c r="A1253" s="165">
        <v>40777</v>
      </c>
      <c r="B1253" t="s">
        <v>83</v>
      </c>
      <c r="C1253" t="s">
        <v>2537</v>
      </c>
    </row>
    <row r="1254" spans="1:3" x14ac:dyDescent="0.3">
      <c r="A1254" s="165">
        <v>40808</v>
      </c>
      <c r="B1254" t="s">
        <v>2207</v>
      </c>
      <c r="C1254" t="s">
        <v>2541</v>
      </c>
    </row>
    <row r="1255" spans="1:3" x14ac:dyDescent="0.3">
      <c r="A1255" s="165">
        <v>40812</v>
      </c>
      <c r="B1255" t="s">
        <v>2207</v>
      </c>
      <c r="C1255" t="s">
        <v>2592</v>
      </c>
    </row>
    <row r="1256" spans="1:3" x14ac:dyDescent="0.3">
      <c r="A1256" s="165">
        <v>40815</v>
      </c>
      <c r="B1256" t="s">
        <v>2207</v>
      </c>
      <c r="C1256" t="s">
        <v>2605</v>
      </c>
    </row>
    <row r="1257" spans="1:3" x14ac:dyDescent="0.3">
      <c r="A1257" s="165">
        <v>40829</v>
      </c>
      <c r="B1257" t="s">
        <v>2207</v>
      </c>
      <c r="C1257" t="s">
        <v>2605</v>
      </c>
    </row>
    <row r="1258" spans="1:3" x14ac:dyDescent="0.3">
      <c r="A1258" s="165">
        <v>40831</v>
      </c>
      <c r="B1258" t="s">
        <v>2207</v>
      </c>
      <c r="C1258" t="s">
        <v>2605</v>
      </c>
    </row>
    <row r="1259" spans="1:3" x14ac:dyDescent="0.3">
      <c r="A1259" s="165">
        <v>40831</v>
      </c>
      <c r="B1259" t="s">
        <v>2207</v>
      </c>
      <c r="C1259" t="s">
        <v>2617</v>
      </c>
    </row>
    <row r="1260" spans="1:3" x14ac:dyDescent="0.3">
      <c r="A1260" s="165">
        <v>40849</v>
      </c>
      <c r="B1260" t="s">
        <v>2207</v>
      </c>
      <c r="C1260" t="s">
        <v>2620</v>
      </c>
    </row>
    <row r="1261" spans="1:3" x14ac:dyDescent="0.3">
      <c r="A1261" s="165">
        <v>40851</v>
      </c>
      <c r="B1261" t="s">
        <v>2207</v>
      </c>
      <c r="C1261" t="s">
        <v>2621</v>
      </c>
    </row>
    <row r="1262" spans="1:3" x14ac:dyDescent="0.3">
      <c r="A1262" s="165">
        <v>40857</v>
      </c>
      <c r="B1262" t="s">
        <v>2207</v>
      </c>
      <c r="C1262" t="s">
        <v>2622</v>
      </c>
    </row>
    <row r="1263" spans="1:3" x14ac:dyDescent="0.3">
      <c r="A1263" s="165">
        <v>40863</v>
      </c>
      <c r="B1263" t="s">
        <v>2207</v>
      </c>
      <c r="C1263" t="s">
        <v>2622</v>
      </c>
    </row>
    <row r="1264" spans="1:3" x14ac:dyDescent="0.3">
      <c r="A1264" s="165">
        <v>40865</v>
      </c>
      <c r="B1264" t="s">
        <v>2207</v>
      </c>
      <c r="C1264" t="s">
        <v>2625</v>
      </c>
    </row>
    <row r="1265" spans="1:3" x14ac:dyDescent="0.3">
      <c r="A1265" s="165">
        <v>40865</v>
      </c>
      <c r="B1265" t="s">
        <v>83</v>
      </c>
      <c r="C1265" t="s">
        <v>2627</v>
      </c>
    </row>
    <row r="1266" spans="1:3" x14ac:dyDescent="0.3">
      <c r="A1266" s="165">
        <v>40875</v>
      </c>
      <c r="B1266" t="s">
        <v>2207</v>
      </c>
      <c r="C1266" t="s">
        <v>2641</v>
      </c>
    </row>
    <row r="1267" spans="1:3" x14ac:dyDescent="0.3">
      <c r="A1267" s="165">
        <v>40878</v>
      </c>
      <c r="B1267" t="s">
        <v>2207</v>
      </c>
      <c r="C1267" t="s">
        <v>2655</v>
      </c>
    </row>
    <row r="1268" spans="1:3" x14ac:dyDescent="0.3">
      <c r="A1268" s="165">
        <v>40899</v>
      </c>
      <c r="B1268" t="s">
        <v>2207</v>
      </c>
      <c r="C1268" t="s">
        <v>2660</v>
      </c>
    </row>
    <row r="1269" spans="1:3" x14ac:dyDescent="0.3">
      <c r="A1269" s="165">
        <v>40899</v>
      </c>
      <c r="B1269" t="s">
        <v>2207</v>
      </c>
      <c r="C1269" t="s">
        <v>2661</v>
      </c>
    </row>
    <row r="1270" spans="1:3" x14ac:dyDescent="0.3">
      <c r="A1270" s="165">
        <v>40911</v>
      </c>
      <c r="B1270" t="s">
        <v>2207</v>
      </c>
      <c r="C1270" t="s">
        <v>2662</v>
      </c>
    </row>
    <row r="1271" spans="1:3" x14ac:dyDescent="0.3">
      <c r="A1271" s="165">
        <v>40914</v>
      </c>
      <c r="B1271" t="s">
        <v>2207</v>
      </c>
      <c r="C1271" t="s">
        <v>2663</v>
      </c>
    </row>
    <row r="1272" spans="1:3" x14ac:dyDescent="0.3">
      <c r="A1272" s="165">
        <v>40919</v>
      </c>
      <c r="B1272" t="s">
        <v>2207</v>
      </c>
      <c r="C1272" t="s">
        <v>2665</v>
      </c>
    </row>
    <row r="1273" spans="1:3" x14ac:dyDescent="0.3">
      <c r="A1273" s="165">
        <v>40920</v>
      </c>
      <c r="B1273" t="s">
        <v>2207</v>
      </c>
      <c r="C1273" t="s">
        <v>2666</v>
      </c>
    </row>
    <row r="1274" spans="1:3" x14ac:dyDescent="0.3">
      <c r="A1274" s="165">
        <v>40925</v>
      </c>
      <c r="B1274" t="s">
        <v>2207</v>
      </c>
      <c r="C1274" t="s">
        <v>2667</v>
      </c>
    </row>
    <row r="1275" spans="1:3" x14ac:dyDescent="0.3">
      <c r="A1275" s="165">
        <v>40925</v>
      </c>
      <c r="B1275" t="s">
        <v>2207</v>
      </c>
      <c r="C1275" t="s">
        <v>2669</v>
      </c>
    </row>
    <row r="1276" spans="1:3" x14ac:dyDescent="0.3">
      <c r="A1276" s="165">
        <v>40931</v>
      </c>
      <c r="B1276" t="s">
        <v>2207</v>
      </c>
      <c r="C1276" t="s">
        <v>2672</v>
      </c>
    </row>
    <row r="1277" spans="1:3" x14ac:dyDescent="0.3">
      <c r="A1277" s="165">
        <v>40940</v>
      </c>
      <c r="B1277" t="s">
        <v>2207</v>
      </c>
      <c r="C1277" t="s">
        <v>2673</v>
      </c>
    </row>
    <row r="1278" spans="1:3" x14ac:dyDescent="0.3">
      <c r="A1278" s="165">
        <v>40998</v>
      </c>
      <c r="B1278" t="s">
        <v>2207</v>
      </c>
      <c r="C1278" t="s">
        <v>2691</v>
      </c>
    </row>
    <row r="1279" spans="1:3" x14ac:dyDescent="0.3">
      <c r="A1279" s="165">
        <v>41008</v>
      </c>
      <c r="B1279" t="s">
        <v>2207</v>
      </c>
      <c r="C1279" t="s">
        <v>2693</v>
      </c>
    </row>
    <row r="1280" spans="1:3" x14ac:dyDescent="0.3">
      <c r="A1280" s="165">
        <v>41009</v>
      </c>
      <c r="B1280" t="s">
        <v>2207</v>
      </c>
      <c r="C1280" t="s">
        <v>2694</v>
      </c>
    </row>
    <row r="1281" spans="1:3" x14ac:dyDescent="0.3">
      <c r="A1281" s="165">
        <v>41015</v>
      </c>
      <c r="B1281" t="s">
        <v>2207</v>
      </c>
      <c r="C1281" t="s">
        <v>2697</v>
      </c>
    </row>
    <row r="1282" spans="1:3" x14ac:dyDescent="0.3">
      <c r="A1282" s="165">
        <v>41016</v>
      </c>
      <c r="B1282" t="s">
        <v>2207</v>
      </c>
      <c r="C1282" t="s">
        <v>2698</v>
      </c>
    </row>
    <row r="1283" spans="1:3" x14ac:dyDescent="0.3">
      <c r="A1283" s="165">
        <v>41030</v>
      </c>
      <c r="B1283" t="s">
        <v>2207</v>
      </c>
      <c r="C1283" t="s">
        <v>2703</v>
      </c>
    </row>
    <row r="1284" spans="1:3" x14ac:dyDescent="0.3">
      <c r="A1284" s="165">
        <v>41052</v>
      </c>
      <c r="B1284" t="s">
        <v>2207</v>
      </c>
      <c r="C1284" t="s">
        <v>2705</v>
      </c>
    </row>
    <row r="1285" spans="1:3" x14ac:dyDescent="0.3">
      <c r="A1285" s="165" t="s">
        <v>2707</v>
      </c>
      <c r="B1285" t="s">
        <v>2207</v>
      </c>
      <c r="C1285" t="s">
        <v>2708</v>
      </c>
    </row>
    <row r="1286" spans="1:3" x14ac:dyDescent="0.3">
      <c r="A1286" s="165">
        <v>41078</v>
      </c>
      <c r="B1286" t="s">
        <v>2207</v>
      </c>
      <c r="C1286" t="s">
        <v>2709</v>
      </c>
    </row>
    <row r="1287" spans="1:3" x14ac:dyDescent="0.3">
      <c r="A1287" s="165">
        <v>41079</v>
      </c>
      <c r="B1287" t="s">
        <v>2207</v>
      </c>
      <c r="C1287" t="s">
        <v>2712</v>
      </c>
    </row>
    <row r="1288" spans="1:3" x14ac:dyDescent="0.3">
      <c r="A1288" s="165">
        <v>41086</v>
      </c>
      <c r="B1288" t="s">
        <v>2207</v>
      </c>
      <c r="C1288" t="s">
        <v>2713</v>
      </c>
    </row>
    <row r="1289" spans="1:3" x14ac:dyDescent="0.3">
      <c r="A1289" s="165">
        <v>41107</v>
      </c>
      <c r="B1289" t="s">
        <v>2207</v>
      </c>
      <c r="C1289" t="s">
        <v>2715</v>
      </c>
    </row>
    <row r="1290" spans="1:3" x14ac:dyDescent="0.3">
      <c r="A1290" s="165">
        <v>41113</v>
      </c>
      <c r="B1290" t="s">
        <v>2207</v>
      </c>
      <c r="C1290" t="s">
        <v>2716</v>
      </c>
    </row>
    <row r="1291" spans="1:3" x14ac:dyDescent="0.3">
      <c r="A1291" s="165">
        <v>41143</v>
      </c>
      <c r="B1291" t="s">
        <v>2207</v>
      </c>
      <c r="C1291" t="s">
        <v>2718</v>
      </c>
    </row>
    <row r="1292" spans="1:3" x14ac:dyDescent="0.3">
      <c r="A1292" s="165">
        <v>41162</v>
      </c>
      <c r="B1292" t="s">
        <v>2207</v>
      </c>
      <c r="C1292" t="s">
        <v>2719</v>
      </c>
    </row>
    <row r="1293" spans="1:3" x14ac:dyDescent="0.3">
      <c r="A1293" s="165">
        <v>41163</v>
      </c>
      <c r="B1293" t="s">
        <v>2207</v>
      </c>
      <c r="C1293" t="s">
        <v>2721</v>
      </c>
    </row>
    <row r="1294" spans="1:3" x14ac:dyDescent="0.3">
      <c r="A1294" s="165">
        <v>41164</v>
      </c>
      <c r="B1294" t="s">
        <v>2207</v>
      </c>
      <c r="C1294" t="s">
        <v>2722</v>
      </c>
    </row>
    <row r="1295" spans="1:3" x14ac:dyDescent="0.3">
      <c r="A1295" s="165">
        <v>41172</v>
      </c>
      <c r="B1295" t="s">
        <v>2207</v>
      </c>
      <c r="C1295" t="s">
        <v>2723</v>
      </c>
    </row>
    <row r="1296" spans="1:3" x14ac:dyDescent="0.3">
      <c r="A1296" s="165">
        <v>41178</v>
      </c>
      <c r="B1296" t="s">
        <v>2207</v>
      </c>
      <c r="C1296" t="s">
        <v>2724</v>
      </c>
    </row>
    <row r="1297" spans="1:3" x14ac:dyDescent="0.3">
      <c r="A1297" s="165">
        <v>41179</v>
      </c>
      <c r="B1297" t="s">
        <v>2725</v>
      </c>
      <c r="C1297" t="s">
        <v>2726</v>
      </c>
    </row>
    <row r="1298" spans="1:3" x14ac:dyDescent="0.3">
      <c r="A1298" s="165">
        <v>41183</v>
      </c>
      <c r="B1298" t="s">
        <v>2725</v>
      </c>
      <c r="C1298" t="s">
        <v>2757</v>
      </c>
    </row>
    <row r="1299" spans="1:3" x14ac:dyDescent="0.3">
      <c r="A1299" s="165">
        <v>41190</v>
      </c>
      <c r="B1299" t="s">
        <v>2207</v>
      </c>
      <c r="C1299" t="s">
        <v>2778</v>
      </c>
    </row>
    <row r="1300" spans="1:3" x14ac:dyDescent="0.3">
      <c r="A1300" s="165">
        <v>41203</v>
      </c>
      <c r="B1300" t="s">
        <v>2207</v>
      </c>
      <c r="C1300" t="s">
        <v>2842</v>
      </c>
    </row>
    <row r="1301" spans="1:3" x14ac:dyDescent="0.3">
      <c r="A1301" s="165">
        <v>41226</v>
      </c>
      <c r="B1301" t="s">
        <v>2207</v>
      </c>
      <c r="C1301" t="s">
        <v>2851</v>
      </c>
    </row>
    <row r="1302" spans="1:3" x14ac:dyDescent="0.3">
      <c r="A1302" s="165">
        <v>41239</v>
      </c>
      <c r="B1302" t="s">
        <v>2207</v>
      </c>
      <c r="C1302" t="s">
        <v>2852</v>
      </c>
    </row>
    <row r="1303" spans="1:3" x14ac:dyDescent="0.3">
      <c r="A1303" s="165">
        <v>41239</v>
      </c>
      <c r="B1303" t="s">
        <v>2207</v>
      </c>
      <c r="C1303" t="s">
        <v>2855</v>
      </c>
    </row>
    <row r="1304" spans="1:3" x14ac:dyDescent="0.3">
      <c r="A1304" s="165">
        <v>41241</v>
      </c>
      <c r="B1304" t="s">
        <v>2207</v>
      </c>
      <c r="C1304" t="s">
        <v>2854</v>
      </c>
    </row>
    <row r="1305" spans="1:3" x14ac:dyDescent="0.3">
      <c r="A1305" s="165">
        <v>41241</v>
      </c>
      <c r="B1305" t="s">
        <v>2207</v>
      </c>
      <c r="C1305" t="s">
        <v>2856</v>
      </c>
    </row>
    <row r="1306" spans="1:3" x14ac:dyDescent="0.3">
      <c r="A1306" s="165">
        <v>41242</v>
      </c>
      <c r="B1306" t="s">
        <v>2207</v>
      </c>
      <c r="C1306" t="s">
        <v>2858</v>
      </c>
    </row>
    <row r="1307" spans="1:3" x14ac:dyDescent="0.3">
      <c r="A1307" s="165">
        <v>41243</v>
      </c>
      <c r="B1307" t="s">
        <v>2207</v>
      </c>
      <c r="C1307" t="s">
        <v>2859</v>
      </c>
    </row>
    <row r="1308" spans="1:3" x14ac:dyDescent="0.3">
      <c r="A1308" s="165">
        <v>41247</v>
      </c>
      <c r="B1308" t="s">
        <v>2207</v>
      </c>
      <c r="C1308" t="s">
        <v>2860</v>
      </c>
    </row>
    <row r="1309" spans="1:3" x14ac:dyDescent="0.3">
      <c r="A1309" s="165">
        <v>41253</v>
      </c>
      <c r="B1309" t="s">
        <v>2207</v>
      </c>
      <c r="C1309" t="s">
        <v>2861</v>
      </c>
    </row>
    <row r="1310" spans="1:3" x14ac:dyDescent="0.3">
      <c r="A1310" s="165">
        <v>41256</v>
      </c>
      <c r="B1310" t="s">
        <v>2207</v>
      </c>
      <c r="C1310" t="s">
        <v>2863</v>
      </c>
    </row>
    <row r="1311" spans="1:3" x14ac:dyDescent="0.3">
      <c r="A1311" s="165">
        <v>41295</v>
      </c>
      <c r="B1311" t="s">
        <v>2207</v>
      </c>
      <c r="C1311" t="s">
        <v>2868</v>
      </c>
    </row>
    <row r="1312" spans="1:3" x14ac:dyDescent="0.3">
      <c r="A1312" s="165">
        <v>41358</v>
      </c>
      <c r="B1312" t="s">
        <v>2207</v>
      </c>
      <c r="C1312" t="s">
        <v>2875</v>
      </c>
    </row>
    <row r="1313" spans="1:3" x14ac:dyDescent="0.3">
      <c r="A1313" s="165">
        <v>41368</v>
      </c>
      <c r="B1313" t="s">
        <v>2207</v>
      </c>
      <c r="C1313" t="s">
        <v>2876</v>
      </c>
    </row>
    <row r="1314" spans="1:3" x14ac:dyDescent="0.3">
      <c r="A1314" s="165">
        <v>41372</v>
      </c>
      <c r="B1314" t="s">
        <v>2207</v>
      </c>
      <c r="C1314" t="s">
        <v>2877</v>
      </c>
    </row>
    <row r="1315" spans="1:3" x14ac:dyDescent="0.3">
      <c r="A1315" s="165">
        <v>41381</v>
      </c>
      <c r="B1315" t="s">
        <v>2207</v>
      </c>
      <c r="C1315" t="s">
        <v>2902</v>
      </c>
    </row>
    <row r="1316" spans="1:3" x14ac:dyDescent="0.3">
      <c r="A1316" s="165">
        <v>41438</v>
      </c>
      <c r="B1316" t="s">
        <v>2207</v>
      </c>
      <c r="C1316" t="s">
        <v>2927</v>
      </c>
    </row>
    <row r="1317" spans="1:3" x14ac:dyDescent="0.3">
      <c r="A1317" s="165">
        <v>41450</v>
      </c>
      <c r="B1317" t="s">
        <v>2207</v>
      </c>
      <c r="C1317" t="s">
        <v>2928</v>
      </c>
    </row>
    <row r="1318" spans="1:3" x14ac:dyDescent="0.3">
      <c r="A1318" s="165">
        <v>41457</v>
      </c>
      <c r="B1318" t="s">
        <v>2207</v>
      </c>
      <c r="C1318" t="s">
        <v>2929</v>
      </c>
    </row>
    <row r="1319" spans="1:3" x14ac:dyDescent="0.3">
      <c r="A1319" s="165">
        <v>41486</v>
      </c>
      <c r="B1319" t="s">
        <v>2207</v>
      </c>
      <c r="C1319" t="s">
        <v>2931</v>
      </c>
    </row>
    <row r="1320" spans="1:3" x14ac:dyDescent="0.3">
      <c r="A1320" s="165">
        <v>41514</v>
      </c>
      <c r="B1320" t="s">
        <v>2207</v>
      </c>
      <c r="C1320" t="s">
        <v>2932</v>
      </c>
    </row>
    <row r="1321" spans="1:3" x14ac:dyDescent="0.3">
      <c r="A1321" s="165">
        <v>41514</v>
      </c>
      <c r="B1321" t="s">
        <v>2207</v>
      </c>
      <c r="C1321" t="s">
        <v>2933</v>
      </c>
    </row>
    <row r="1322" spans="1:3" x14ac:dyDescent="0.3">
      <c r="A1322" s="165">
        <v>41543</v>
      </c>
      <c r="B1322" t="s">
        <v>2207</v>
      </c>
      <c r="C1322" t="s">
        <v>2934</v>
      </c>
    </row>
    <row r="1323" spans="1:3" x14ac:dyDescent="0.3">
      <c r="A1323" s="165">
        <v>41549</v>
      </c>
      <c r="B1323" t="s">
        <v>2207</v>
      </c>
      <c r="C1323" t="s">
        <v>2945</v>
      </c>
    </row>
    <row r="1324" spans="1:3" x14ac:dyDescent="0.3">
      <c r="A1324" s="165">
        <v>41550</v>
      </c>
      <c r="B1324" t="s">
        <v>2207</v>
      </c>
      <c r="C1324" t="s">
        <v>2945</v>
      </c>
    </row>
    <row r="1325" spans="1:3" x14ac:dyDescent="0.3">
      <c r="A1325" s="165">
        <v>41556</v>
      </c>
      <c r="B1325" t="s">
        <v>2207</v>
      </c>
      <c r="C1325" t="s">
        <v>2949</v>
      </c>
    </row>
    <row r="1326" spans="1:3" x14ac:dyDescent="0.3">
      <c r="A1326" s="165">
        <v>41556</v>
      </c>
      <c r="B1326" t="s">
        <v>2207</v>
      </c>
      <c r="C1326" t="s">
        <v>2950</v>
      </c>
    </row>
    <row r="1327" spans="1:3" x14ac:dyDescent="0.3">
      <c r="A1327" s="165">
        <v>41561</v>
      </c>
      <c r="B1327" t="s">
        <v>2207</v>
      </c>
      <c r="C1327" t="s">
        <v>2952</v>
      </c>
    </row>
    <row r="1328" spans="1:3" x14ac:dyDescent="0.3">
      <c r="A1328" s="165">
        <v>41585</v>
      </c>
      <c r="B1328" t="s">
        <v>2207</v>
      </c>
      <c r="C1328" t="s">
        <v>2955</v>
      </c>
    </row>
    <row r="1329" spans="1:3" x14ac:dyDescent="0.3">
      <c r="A1329" s="165">
        <v>41603</v>
      </c>
      <c r="B1329" t="s">
        <v>2207</v>
      </c>
      <c r="C1329" t="s">
        <v>2957</v>
      </c>
    </row>
    <row r="1330" spans="1:3" x14ac:dyDescent="0.3">
      <c r="A1330" s="165">
        <v>41645</v>
      </c>
      <c r="B1330" t="s">
        <v>2207</v>
      </c>
      <c r="C1330" t="s">
        <v>2960</v>
      </c>
    </row>
    <row r="1331" spans="1:3" x14ac:dyDescent="0.3">
      <c r="A1331" s="165">
        <v>41668</v>
      </c>
      <c r="B1331" t="s">
        <v>2207</v>
      </c>
      <c r="C1331" t="s">
        <v>2963</v>
      </c>
    </row>
    <row r="1332" spans="1:3" x14ac:dyDescent="0.3">
      <c r="A1332" s="165">
        <v>41729</v>
      </c>
      <c r="B1332" t="s">
        <v>2207</v>
      </c>
      <c r="C1332" t="s">
        <v>2968</v>
      </c>
    </row>
    <row r="1333" spans="1:3" x14ac:dyDescent="0.3">
      <c r="A1333" s="165">
        <v>41752</v>
      </c>
      <c r="B1333" t="s">
        <v>2207</v>
      </c>
      <c r="C1333" t="s">
        <v>2969</v>
      </c>
    </row>
    <row r="1334" spans="1:3" x14ac:dyDescent="0.3">
      <c r="A1334" s="165">
        <v>41775</v>
      </c>
      <c r="B1334" t="s">
        <v>2207</v>
      </c>
      <c r="C1334" t="s">
        <v>2970</v>
      </c>
    </row>
    <row r="1335" spans="1:3" x14ac:dyDescent="0.3">
      <c r="A1335" s="165">
        <v>41836</v>
      </c>
      <c r="B1335" t="s">
        <v>2207</v>
      </c>
      <c r="C1335" t="s">
        <v>2972</v>
      </c>
    </row>
    <row r="1336" spans="1:3" x14ac:dyDescent="0.3">
      <c r="A1336" s="165">
        <v>41885</v>
      </c>
      <c r="B1336" t="s">
        <v>2207</v>
      </c>
      <c r="C1336" t="s">
        <v>2973</v>
      </c>
    </row>
    <row r="1337" spans="1:3" x14ac:dyDescent="0.3">
      <c r="A1337" s="165">
        <v>41914</v>
      </c>
      <c r="B1337" t="s">
        <v>2207</v>
      </c>
      <c r="C1337" t="s">
        <v>2974</v>
      </c>
    </row>
    <row r="1338" spans="1:3" x14ac:dyDescent="0.3">
      <c r="A1338" s="165">
        <v>41914</v>
      </c>
      <c r="B1338" t="s">
        <v>2207</v>
      </c>
      <c r="C1338" t="s">
        <v>2975</v>
      </c>
    </row>
    <row r="1339" spans="1:3" x14ac:dyDescent="0.3">
      <c r="A1339" s="165">
        <v>41921</v>
      </c>
      <c r="B1339" t="s">
        <v>2207</v>
      </c>
      <c r="C1339" t="s">
        <v>2980</v>
      </c>
    </row>
    <row r="1340" spans="1:3" x14ac:dyDescent="0.3">
      <c r="A1340" s="165">
        <v>41925</v>
      </c>
      <c r="B1340" t="s">
        <v>2207</v>
      </c>
      <c r="C1340" t="s">
        <v>2999</v>
      </c>
    </row>
    <row r="1341" spans="1:3" x14ac:dyDescent="0.3">
      <c r="A1341" s="165">
        <v>41934</v>
      </c>
      <c r="B1341" t="s">
        <v>2207</v>
      </c>
      <c r="C1341" t="s">
        <v>3004</v>
      </c>
    </row>
    <row r="1342" spans="1:3" x14ac:dyDescent="0.3">
      <c r="A1342" s="165">
        <v>41950</v>
      </c>
      <c r="B1342" t="s">
        <v>2207</v>
      </c>
      <c r="C1342" t="s">
        <v>3005</v>
      </c>
    </row>
    <row r="1343" spans="1:3" x14ac:dyDescent="0.3">
      <c r="A1343" s="165">
        <v>42046</v>
      </c>
      <c r="B1343" t="s">
        <v>2207</v>
      </c>
      <c r="C1343" t="s">
        <v>3027</v>
      </c>
    </row>
    <row r="1344" spans="1:3" x14ac:dyDescent="0.3">
      <c r="A1344" s="165">
        <v>42075</v>
      </c>
      <c r="B1344" t="s">
        <v>2207</v>
      </c>
      <c r="C1344" t="s">
        <v>3028</v>
      </c>
    </row>
    <row r="1345" spans="1:3" x14ac:dyDescent="0.3">
      <c r="A1345" s="165">
        <v>42109</v>
      </c>
      <c r="B1345" t="s">
        <v>2207</v>
      </c>
      <c r="C1345" t="s">
        <v>3034</v>
      </c>
    </row>
    <row r="1346" spans="1:3" x14ac:dyDescent="0.3">
      <c r="A1346" s="165">
        <v>42185</v>
      </c>
      <c r="B1346" t="s">
        <v>2207</v>
      </c>
      <c r="C1346" t="s">
        <v>3038</v>
      </c>
    </row>
    <row r="1347" spans="1:3" x14ac:dyDescent="0.3">
      <c r="A1347" s="165">
        <v>42185</v>
      </c>
      <c r="B1347" t="s">
        <v>2207</v>
      </c>
      <c r="C1347" t="s">
        <v>3039</v>
      </c>
    </row>
    <row r="1348" spans="1:3" x14ac:dyDescent="0.3">
      <c r="A1348" s="165">
        <v>42207</v>
      </c>
      <c r="B1348" t="s">
        <v>2207</v>
      </c>
      <c r="C1348" t="s">
        <v>3044</v>
      </c>
    </row>
    <row r="1349" spans="1:3" x14ac:dyDescent="0.3">
      <c r="A1349" s="165">
        <v>42299</v>
      </c>
      <c r="B1349" t="s">
        <v>2725</v>
      </c>
      <c r="C1349" t="s">
        <v>3069</v>
      </c>
    </row>
    <row r="1350" spans="1:3" x14ac:dyDescent="0.3">
      <c r="A1350" s="165">
        <v>42306</v>
      </c>
      <c r="B1350" t="s">
        <v>2725</v>
      </c>
      <c r="C1350" t="s">
        <v>3070</v>
      </c>
    </row>
    <row r="1351" spans="1:3" x14ac:dyDescent="0.3">
      <c r="A1351" s="165">
        <v>42306</v>
      </c>
      <c r="B1351" t="s">
        <v>2725</v>
      </c>
      <c r="C1351" t="s">
        <v>3071</v>
      </c>
    </row>
    <row r="1352" spans="1:3" x14ac:dyDescent="0.3">
      <c r="A1352" s="165">
        <v>42318</v>
      </c>
      <c r="B1352" t="s">
        <v>2725</v>
      </c>
      <c r="C1352" t="s">
        <v>3075</v>
      </c>
    </row>
    <row r="1353" spans="1:3" x14ac:dyDescent="0.3">
      <c r="A1353" s="165">
        <v>42331</v>
      </c>
      <c r="B1353" t="s">
        <v>2725</v>
      </c>
      <c r="C1353" t="s">
        <v>3077</v>
      </c>
    </row>
    <row r="1354" spans="1:3" x14ac:dyDescent="0.3">
      <c r="A1354" s="165">
        <v>42338</v>
      </c>
      <c r="B1354" t="s">
        <v>2725</v>
      </c>
      <c r="C1354" t="s">
        <v>3078</v>
      </c>
    </row>
    <row r="1355" spans="1:3" x14ac:dyDescent="0.3">
      <c r="A1355" s="165">
        <v>42338</v>
      </c>
      <c r="B1355" t="s">
        <v>2725</v>
      </c>
      <c r="C1355" t="s">
        <v>3079</v>
      </c>
    </row>
    <row r="1356" spans="1:3" x14ac:dyDescent="0.3">
      <c r="A1356" s="165">
        <v>42341</v>
      </c>
      <c r="B1356" t="s">
        <v>2725</v>
      </c>
      <c r="C1356" t="s">
        <v>3082</v>
      </c>
    </row>
    <row r="1357" spans="1:3" x14ac:dyDescent="0.3">
      <c r="A1357" s="165">
        <v>42341</v>
      </c>
      <c r="B1357" t="s">
        <v>2725</v>
      </c>
      <c r="C1357" t="s">
        <v>3086</v>
      </c>
    </row>
    <row r="1358" spans="1:3" x14ac:dyDescent="0.3">
      <c r="A1358" s="165">
        <v>42345</v>
      </c>
      <c r="B1358" t="s">
        <v>2725</v>
      </c>
      <c r="C1358" t="s">
        <v>3087</v>
      </c>
    </row>
    <row r="1359" spans="1:3" x14ac:dyDescent="0.3">
      <c r="A1359" s="165">
        <v>42346</v>
      </c>
      <c r="B1359" t="s">
        <v>2725</v>
      </c>
      <c r="C1359" t="s">
        <v>3088</v>
      </c>
    </row>
    <row r="1360" spans="1:3" x14ac:dyDescent="0.3">
      <c r="A1360" s="165">
        <v>42348</v>
      </c>
      <c r="B1360" t="s">
        <v>2725</v>
      </c>
      <c r="C1360" t="s">
        <v>3089</v>
      </c>
    </row>
    <row r="1361" spans="1:3" x14ac:dyDescent="0.3">
      <c r="A1361" s="165">
        <v>42352</v>
      </c>
      <c r="B1361" t="s">
        <v>2725</v>
      </c>
      <c r="C1361" t="s">
        <v>3091</v>
      </c>
    </row>
    <row r="1362" spans="1:3" x14ac:dyDescent="0.3">
      <c r="A1362" s="165">
        <v>42380</v>
      </c>
      <c r="B1362" t="s">
        <v>3092</v>
      </c>
      <c r="C1362" t="s">
        <v>3093</v>
      </c>
    </row>
    <row r="1363" spans="1:3" x14ac:dyDescent="0.3">
      <c r="A1363" s="165">
        <v>42382</v>
      </c>
      <c r="B1363" t="s">
        <v>2725</v>
      </c>
      <c r="C1363" t="s">
        <v>3094</v>
      </c>
    </row>
    <row r="1364" spans="1:3" x14ac:dyDescent="0.3">
      <c r="A1364" s="165">
        <v>42405</v>
      </c>
      <c r="B1364" t="s">
        <v>2725</v>
      </c>
      <c r="C1364" t="s">
        <v>3097</v>
      </c>
    </row>
    <row r="1365" spans="1:3" x14ac:dyDescent="0.3">
      <c r="A1365" s="165">
        <v>42406</v>
      </c>
      <c r="B1365" t="s">
        <v>2725</v>
      </c>
      <c r="C1365" t="s">
        <v>3099</v>
      </c>
    </row>
    <row r="1366" spans="1:3" x14ac:dyDescent="0.3">
      <c r="A1366" s="165">
        <v>42408</v>
      </c>
      <c r="B1366" t="s">
        <v>2725</v>
      </c>
      <c r="C1366" t="s">
        <v>3100</v>
      </c>
    </row>
    <row r="1367" spans="1:3" x14ac:dyDescent="0.3">
      <c r="A1367" s="165">
        <v>42411</v>
      </c>
      <c r="B1367" t="s">
        <v>2725</v>
      </c>
      <c r="C1367" t="s">
        <v>3102</v>
      </c>
    </row>
    <row r="1368" spans="1:3" x14ac:dyDescent="0.3">
      <c r="A1368" s="165">
        <v>42416</v>
      </c>
      <c r="B1368" t="s">
        <v>2725</v>
      </c>
      <c r="C1368" t="s">
        <v>3101</v>
      </c>
    </row>
    <row r="1369" spans="1:3" x14ac:dyDescent="0.3">
      <c r="A1369" s="165">
        <v>42417</v>
      </c>
      <c r="B1369" t="s">
        <v>2725</v>
      </c>
      <c r="C1369" t="s">
        <v>3103</v>
      </c>
    </row>
    <row r="1370" spans="1:3" x14ac:dyDescent="0.3">
      <c r="A1370" s="165">
        <v>42422</v>
      </c>
      <c r="B1370" t="s">
        <v>2725</v>
      </c>
      <c r="C1370" t="s">
        <v>3104</v>
      </c>
    </row>
    <row r="1371" spans="1:3" x14ac:dyDescent="0.3">
      <c r="A1371" s="165">
        <v>42487</v>
      </c>
      <c r="B1371" t="s">
        <v>2725</v>
      </c>
      <c r="C1371" t="s">
        <v>3105</v>
      </c>
    </row>
    <row r="1372" spans="1:3" x14ac:dyDescent="0.3">
      <c r="A1372" s="165">
        <v>42492</v>
      </c>
      <c r="B1372" t="s">
        <v>2725</v>
      </c>
      <c r="C1372" t="s">
        <v>3108</v>
      </c>
    </row>
    <row r="1373" spans="1:3" x14ac:dyDescent="0.3">
      <c r="A1373" s="165">
        <v>42502</v>
      </c>
      <c r="B1373" t="s">
        <v>2725</v>
      </c>
      <c r="C1373" t="s">
        <v>3111</v>
      </c>
    </row>
    <row r="1374" spans="1:3" x14ac:dyDescent="0.3">
      <c r="A1374" s="165">
        <v>42502</v>
      </c>
      <c r="B1374" t="s">
        <v>2725</v>
      </c>
      <c r="C1374" t="s">
        <v>3114</v>
      </c>
    </row>
    <row r="1375" spans="1:3" x14ac:dyDescent="0.3">
      <c r="A1375" s="165">
        <v>42506</v>
      </c>
      <c r="B1375" t="s">
        <v>2725</v>
      </c>
      <c r="C1375" t="s">
        <v>3115</v>
      </c>
    </row>
    <row r="1376" spans="1:3" x14ac:dyDescent="0.3">
      <c r="A1376" s="165">
        <v>42506</v>
      </c>
      <c r="B1376" t="s">
        <v>2725</v>
      </c>
      <c r="C1376" t="s">
        <v>3118</v>
      </c>
    </row>
    <row r="1377" spans="1:3" x14ac:dyDescent="0.3">
      <c r="A1377" s="165">
        <v>42509</v>
      </c>
      <c r="B1377" t="s">
        <v>2725</v>
      </c>
      <c r="C1377" t="s">
        <v>3119</v>
      </c>
    </row>
    <row r="1378" spans="1:3" x14ac:dyDescent="0.3">
      <c r="A1378" s="165">
        <v>42530</v>
      </c>
      <c r="B1378" t="s">
        <v>2725</v>
      </c>
      <c r="C1378" t="s">
        <v>3120</v>
      </c>
    </row>
    <row r="1379" spans="1:3" x14ac:dyDescent="0.3">
      <c r="A1379" s="165">
        <v>42530</v>
      </c>
      <c r="B1379" t="s">
        <v>2725</v>
      </c>
      <c r="C1379" t="s">
        <v>3121</v>
      </c>
    </row>
    <row r="1380" spans="1:3" x14ac:dyDescent="0.3">
      <c r="A1380" s="165">
        <v>42588</v>
      </c>
      <c r="B1380" t="s">
        <v>2725</v>
      </c>
      <c r="C1380" t="s">
        <v>3126</v>
      </c>
    </row>
    <row r="1381" spans="1:3" x14ac:dyDescent="0.3">
      <c r="A1381" s="165">
        <v>42588</v>
      </c>
      <c r="B1381" t="s">
        <v>2725</v>
      </c>
      <c r="C1381" t="s">
        <v>3127</v>
      </c>
    </row>
    <row r="1382" spans="1:3" x14ac:dyDescent="0.3">
      <c r="A1382" s="165">
        <v>42590</v>
      </c>
      <c r="B1382" t="s">
        <v>2725</v>
      </c>
      <c r="C1382" t="s">
        <v>3128</v>
      </c>
    </row>
    <row r="1383" spans="1:3" x14ac:dyDescent="0.3">
      <c r="A1383" s="165">
        <v>42633</v>
      </c>
      <c r="B1383" t="s">
        <v>2725</v>
      </c>
      <c r="C1383" t="s">
        <v>3129</v>
      </c>
    </row>
    <row r="1384" spans="1:3" x14ac:dyDescent="0.3">
      <c r="A1384" s="165">
        <v>42663</v>
      </c>
      <c r="B1384" t="s">
        <v>2725</v>
      </c>
      <c r="C1384" t="s">
        <v>3143</v>
      </c>
    </row>
    <row r="1385" spans="1:3" x14ac:dyDescent="0.3">
      <c r="A1385" s="165">
        <v>42671</v>
      </c>
      <c r="B1385" t="s">
        <v>2725</v>
      </c>
      <c r="C1385" t="s">
        <v>3144</v>
      </c>
    </row>
    <row r="1386" spans="1:3" x14ac:dyDescent="0.3">
      <c r="A1386" s="165">
        <v>42675</v>
      </c>
      <c r="B1386" t="s">
        <v>2725</v>
      </c>
      <c r="C1386" t="s">
        <v>3146</v>
      </c>
    </row>
    <row r="1387" spans="1:3" x14ac:dyDescent="0.3">
      <c r="A1387" s="165">
        <v>42688</v>
      </c>
      <c r="B1387" t="s">
        <v>3163</v>
      </c>
      <c r="C1387" t="s">
        <v>3162</v>
      </c>
    </row>
    <row r="1388" spans="1:3" x14ac:dyDescent="0.3">
      <c r="A1388" s="165">
        <v>42691</v>
      </c>
      <c r="B1388" t="s">
        <v>2725</v>
      </c>
      <c r="C1388" t="s">
        <v>3165</v>
      </c>
    </row>
    <row r="1389" spans="1:3" x14ac:dyDescent="0.3">
      <c r="A1389" s="165">
        <v>42699</v>
      </c>
      <c r="B1389" t="s">
        <v>2725</v>
      </c>
      <c r="C1389" t="s">
        <v>3166</v>
      </c>
    </row>
    <row r="1390" spans="1:3" x14ac:dyDescent="0.3">
      <c r="A1390" s="165">
        <v>42709</v>
      </c>
      <c r="B1390" t="s">
        <v>2725</v>
      </c>
      <c r="C1390" t="s">
        <v>3167</v>
      </c>
    </row>
    <row r="1391" spans="1:3" x14ac:dyDescent="0.3">
      <c r="A1391" s="165">
        <v>42712</v>
      </c>
      <c r="B1391" t="s">
        <v>2725</v>
      </c>
      <c r="C1391" t="s">
        <v>3168</v>
      </c>
    </row>
    <row r="1392" spans="1:3" x14ac:dyDescent="0.3">
      <c r="A1392" s="165">
        <v>42765</v>
      </c>
      <c r="B1392" t="s">
        <v>2207</v>
      </c>
      <c r="C1392" t="s">
        <v>3187</v>
      </c>
    </row>
    <row r="1393" spans="1:3" x14ac:dyDescent="0.3">
      <c r="A1393" s="165">
        <v>43768</v>
      </c>
      <c r="B1393" t="s">
        <v>2207</v>
      </c>
      <c r="C1393" t="s">
        <v>3188</v>
      </c>
    </row>
    <row r="1394" spans="1:3" x14ac:dyDescent="0.3">
      <c r="A1394" s="165">
        <v>42782</v>
      </c>
      <c r="B1394" t="s">
        <v>2725</v>
      </c>
      <c r="C1394" t="s">
        <v>3190</v>
      </c>
    </row>
    <row r="1395" spans="1:3" x14ac:dyDescent="0.3">
      <c r="A1395" s="165">
        <v>42789</v>
      </c>
      <c r="B1395" t="s">
        <v>2725</v>
      </c>
      <c r="C1395" t="s">
        <v>3197</v>
      </c>
    </row>
    <row r="1396" spans="1:3" x14ac:dyDescent="0.3">
      <c r="A1396" s="165">
        <v>42802</v>
      </c>
      <c r="B1396" t="s">
        <v>2725</v>
      </c>
      <c r="C1396" t="s">
        <v>3198</v>
      </c>
    </row>
    <row r="1397" spans="1:3" x14ac:dyDescent="0.3">
      <c r="A1397" s="165">
        <v>42802</v>
      </c>
      <c r="B1397" t="s">
        <v>2725</v>
      </c>
      <c r="C1397" t="s">
        <v>3199</v>
      </c>
    </row>
    <row r="1398" spans="1:3" x14ac:dyDescent="0.3">
      <c r="A1398" s="165">
        <v>42808</v>
      </c>
      <c r="B1398" t="s">
        <v>2725</v>
      </c>
      <c r="C1398" t="s">
        <v>3200</v>
      </c>
    </row>
    <row r="1399" spans="1:3" x14ac:dyDescent="0.3">
      <c r="A1399" s="165">
        <v>42811</v>
      </c>
      <c r="B1399" t="s">
        <v>2725</v>
      </c>
      <c r="C1399" t="s">
        <v>3201</v>
      </c>
    </row>
    <row r="1400" spans="1:3" x14ac:dyDescent="0.3">
      <c r="A1400" s="165">
        <v>42814</v>
      </c>
      <c r="B1400" t="s">
        <v>2725</v>
      </c>
      <c r="C1400" t="s">
        <v>3203</v>
      </c>
    </row>
    <row r="1401" spans="1:3" x14ac:dyDescent="0.3">
      <c r="A1401" s="165">
        <v>42909</v>
      </c>
      <c r="B1401" t="s">
        <v>2725</v>
      </c>
      <c r="C1401" t="s">
        <v>3215</v>
      </c>
    </row>
    <row r="1402" spans="1:3" x14ac:dyDescent="0.3">
      <c r="A1402" s="165">
        <v>42913</v>
      </c>
      <c r="B1402" t="s">
        <v>3217</v>
      </c>
      <c r="C1402" t="s">
        <v>3218</v>
      </c>
    </row>
    <row r="1403" spans="1:3" x14ac:dyDescent="0.3">
      <c r="A1403" s="165">
        <v>42948</v>
      </c>
      <c r="B1403" t="s">
        <v>2725</v>
      </c>
      <c r="C1403" t="s">
        <v>3223</v>
      </c>
    </row>
    <row r="1404" spans="1:3" x14ac:dyDescent="0.3">
      <c r="A1404" s="165">
        <v>42956</v>
      </c>
      <c r="B1404" t="s">
        <v>2207</v>
      </c>
      <c r="C1404" t="s">
        <v>3224</v>
      </c>
    </row>
    <row r="1405" spans="1:3" x14ac:dyDescent="0.3">
      <c r="A1405" s="165">
        <v>43005</v>
      </c>
      <c r="B1405" t="s">
        <v>2725</v>
      </c>
      <c r="C1405" t="s">
        <v>3232</v>
      </c>
    </row>
    <row r="1406" spans="1:3" x14ac:dyDescent="0.3">
      <c r="A1406" s="165">
        <v>43026</v>
      </c>
      <c r="B1406" t="s">
        <v>2725</v>
      </c>
      <c r="C1406" t="s">
        <v>3233</v>
      </c>
    </row>
    <row r="1407" spans="1:3" x14ac:dyDescent="0.3">
      <c r="A1407" s="165">
        <v>43034</v>
      </c>
      <c r="B1407" t="s">
        <v>2725</v>
      </c>
      <c r="C1407" t="s">
        <v>3269</v>
      </c>
    </row>
    <row r="1408" spans="1:3" x14ac:dyDescent="0.3">
      <c r="A1408" s="165">
        <v>43039</v>
      </c>
      <c r="B1408" t="s">
        <v>2725</v>
      </c>
      <c r="C1408" t="s">
        <v>3270</v>
      </c>
    </row>
    <row r="1409" spans="1:3" x14ac:dyDescent="0.3">
      <c r="A1409" s="165">
        <v>43041</v>
      </c>
      <c r="B1409" t="s">
        <v>2725</v>
      </c>
      <c r="C1409" t="s">
        <v>3272</v>
      </c>
    </row>
    <row r="1410" spans="1:3" x14ac:dyDescent="0.3">
      <c r="A1410" s="165">
        <v>43066</v>
      </c>
      <c r="B1410" t="s">
        <v>2725</v>
      </c>
      <c r="C1410" t="s">
        <v>3277</v>
      </c>
    </row>
    <row r="1411" spans="1:3" x14ac:dyDescent="0.3">
      <c r="A1411" s="165">
        <v>43069</v>
      </c>
      <c r="B1411" t="s">
        <v>2725</v>
      </c>
      <c r="C1411" t="s">
        <v>3278</v>
      </c>
    </row>
    <row r="1412" spans="1:3" x14ac:dyDescent="0.3">
      <c r="A1412" s="165">
        <v>43102</v>
      </c>
      <c r="B1412" t="s">
        <v>2725</v>
      </c>
      <c r="C1412" t="s">
        <v>3286</v>
      </c>
    </row>
    <row r="1413" spans="1:3" x14ac:dyDescent="0.3">
      <c r="A1413" s="165">
        <v>43118</v>
      </c>
      <c r="B1413" t="s">
        <v>2725</v>
      </c>
      <c r="C1413" t="s">
        <v>3309</v>
      </c>
    </row>
    <row r="1414" spans="1:3" x14ac:dyDescent="0.3">
      <c r="A1414" s="165">
        <v>43126</v>
      </c>
      <c r="B1414" t="s">
        <v>2725</v>
      </c>
      <c r="C1414" t="s">
        <v>3310</v>
      </c>
    </row>
    <row r="1415" spans="1:3" x14ac:dyDescent="0.3">
      <c r="A1415" s="165">
        <v>43132</v>
      </c>
      <c r="B1415" t="s">
        <v>2725</v>
      </c>
      <c r="C1415" t="s">
        <v>3311</v>
      </c>
    </row>
    <row r="1416" spans="1:3" x14ac:dyDescent="0.3">
      <c r="A1416" s="165">
        <v>43188</v>
      </c>
      <c r="B1416" t="s">
        <v>2725</v>
      </c>
      <c r="C1416" t="s">
        <v>3312</v>
      </c>
    </row>
    <row r="1417" spans="1:3" x14ac:dyDescent="0.3">
      <c r="A1417" s="165">
        <v>43221</v>
      </c>
      <c r="B1417" t="s">
        <v>2725</v>
      </c>
      <c r="C1417" t="s">
        <v>3315</v>
      </c>
    </row>
    <row r="1418" spans="1:3" x14ac:dyDescent="0.3">
      <c r="A1418" s="165">
        <v>43308</v>
      </c>
      <c r="B1418" t="s">
        <v>2725</v>
      </c>
      <c r="C1418" t="s">
        <v>3319</v>
      </c>
    </row>
    <row r="1419" spans="1:3" x14ac:dyDescent="0.3">
      <c r="A1419" s="165">
        <v>43311</v>
      </c>
      <c r="B1419" t="s">
        <v>2725</v>
      </c>
      <c r="C1419" t="s">
        <v>3320</v>
      </c>
    </row>
    <row r="1420" spans="1:3" x14ac:dyDescent="0.3">
      <c r="A1420" s="165">
        <v>43321</v>
      </c>
      <c r="B1420" t="s">
        <v>2725</v>
      </c>
      <c r="C1420" t="s">
        <v>3322</v>
      </c>
    </row>
    <row r="1421" spans="1:3" x14ac:dyDescent="0.3">
      <c r="A1421" s="165">
        <v>43328</v>
      </c>
      <c r="B1421" t="s">
        <v>2725</v>
      </c>
      <c r="C1421" t="s">
        <v>3323</v>
      </c>
    </row>
    <row r="1422" spans="1:3" x14ac:dyDescent="0.3">
      <c r="A1422" s="165">
        <v>43334</v>
      </c>
      <c r="B1422" t="s">
        <v>2725</v>
      </c>
      <c r="C1422" t="s">
        <v>3324</v>
      </c>
    </row>
    <row r="1423" spans="1:3" x14ac:dyDescent="0.3">
      <c r="A1423" s="165">
        <v>43397</v>
      </c>
      <c r="B1423" t="s">
        <v>2725</v>
      </c>
      <c r="C1423" t="s">
        <v>3334</v>
      </c>
    </row>
    <row r="1424" spans="1:3" x14ac:dyDescent="0.3">
      <c r="A1424" s="165">
        <v>43425</v>
      </c>
      <c r="B1424" t="s">
        <v>2725</v>
      </c>
      <c r="C1424" t="s">
        <v>3339</v>
      </c>
    </row>
    <row r="1425" spans="1:3" x14ac:dyDescent="0.3">
      <c r="A1425" s="165">
        <v>43437</v>
      </c>
      <c r="B1425" t="s">
        <v>2725</v>
      </c>
      <c r="C1425" t="s">
        <v>3340</v>
      </c>
    </row>
    <row r="1426" spans="1:3" x14ac:dyDescent="0.3">
      <c r="A1426" s="165">
        <v>43438</v>
      </c>
      <c r="B1426" t="s">
        <v>2725</v>
      </c>
      <c r="C1426" t="s">
        <v>3341</v>
      </c>
    </row>
    <row r="1427" spans="1:3" x14ac:dyDescent="0.3">
      <c r="A1427" s="165">
        <v>43461</v>
      </c>
      <c r="B1427" t="s">
        <v>2725</v>
      </c>
      <c r="C1427" t="s">
        <v>3342</v>
      </c>
    </row>
    <row r="1428" spans="1:3" x14ac:dyDescent="0.3">
      <c r="A1428" s="165">
        <v>43526</v>
      </c>
      <c r="B1428" t="s">
        <v>2725</v>
      </c>
      <c r="C1428" t="s">
        <v>3348</v>
      </c>
    </row>
    <row r="1429" spans="1:3" x14ac:dyDescent="0.3">
      <c r="A1429" s="165">
        <v>43526</v>
      </c>
      <c r="B1429" t="s">
        <v>2725</v>
      </c>
      <c r="C1429" t="s">
        <v>3349</v>
      </c>
    </row>
    <row r="1430" spans="1:3" x14ac:dyDescent="0.3">
      <c r="A1430" s="165">
        <v>43543</v>
      </c>
      <c r="B1430" t="s">
        <v>2725</v>
      </c>
      <c r="C1430" t="s">
        <v>3355</v>
      </c>
    </row>
    <row r="1431" spans="1:3" x14ac:dyDescent="0.3">
      <c r="A1431" s="165">
        <v>43549</v>
      </c>
      <c r="B1431" t="s">
        <v>2725</v>
      </c>
      <c r="C1431" t="s">
        <v>3356</v>
      </c>
    </row>
    <row r="1432" spans="1:3" x14ac:dyDescent="0.3">
      <c r="A1432" s="165">
        <v>43593</v>
      </c>
      <c r="B1432" t="s">
        <v>2725</v>
      </c>
      <c r="C1432" t="s">
        <v>3365</v>
      </c>
    </row>
    <row r="1433" spans="1:3" x14ac:dyDescent="0.3">
      <c r="A1433" s="165">
        <v>43626</v>
      </c>
      <c r="B1433" t="s">
        <v>2725</v>
      </c>
      <c r="C1433" t="s">
        <v>3371</v>
      </c>
    </row>
    <row r="1434" spans="1:3" x14ac:dyDescent="0.3">
      <c r="A1434" s="165">
        <v>43641</v>
      </c>
      <c r="B1434" t="s">
        <v>2725</v>
      </c>
      <c r="C1434" t="s">
        <v>3372</v>
      </c>
    </row>
    <row r="1435" spans="1:3" x14ac:dyDescent="0.3">
      <c r="A1435" s="165">
        <v>43657</v>
      </c>
      <c r="B1435" t="s">
        <v>2207</v>
      </c>
      <c r="C1435" t="s">
        <v>3373</v>
      </c>
    </row>
    <row r="1436" spans="1:3" x14ac:dyDescent="0.3">
      <c r="A1436" s="165">
        <v>43692</v>
      </c>
      <c r="B1436" t="s">
        <v>2725</v>
      </c>
      <c r="C1436" t="s">
        <v>3374</v>
      </c>
    </row>
    <row r="1437" spans="1:3" x14ac:dyDescent="0.3">
      <c r="A1437" s="165">
        <v>43694</v>
      </c>
      <c r="B1437" t="s">
        <v>2725</v>
      </c>
      <c r="C1437" t="s">
        <v>3377</v>
      </c>
    </row>
    <row r="1438" spans="1:3" x14ac:dyDescent="0.3">
      <c r="A1438" s="165">
        <v>43697</v>
      </c>
      <c r="B1438" t="s">
        <v>2725</v>
      </c>
      <c r="C1438" t="s">
        <v>3381</v>
      </c>
    </row>
    <row r="1439" spans="1:3" x14ac:dyDescent="0.3">
      <c r="A1439" s="165">
        <v>43706</v>
      </c>
      <c r="B1439" t="s">
        <v>2725</v>
      </c>
      <c r="C1439" t="s">
        <v>3382</v>
      </c>
    </row>
    <row r="1440" spans="1:3" x14ac:dyDescent="0.3">
      <c r="A1440" s="165">
        <v>43762</v>
      </c>
      <c r="B1440" t="s">
        <v>2725</v>
      </c>
      <c r="C1440" t="s">
        <v>3383</v>
      </c>
    </row>
    <row r="1441" spans="1:3" x14ac:dyDescent="0.3">
      <c r="A1441" s="165">
        <v>43776</v>
      </c>
      <c r="B1441" t="s">
        <v>2725</v>
      </c>
      <c r="C1441" t="s">
        <v>3422</v>
      </c>
    </row>
    <row r="1442" spans="1:3" x14ac:dyDescent="0.3">
      <c r="A1442" s="165">
        <v>43846</v>
      </c>
      <c r="B1442" t="s">
        <v>2725</v>
      </c>
      <c r="C1442" t="s">
        <v>3429</v>
      </c>
    </row>
    <row r="1443" spans="1:3" x14ac:dyDescent="0.3">
      <c r="A1443" s="165">
        <v>43880</v>
      </c>
      <c r="B1443" t="s">
        <v>2725</v>
      </c>
      <c r="C1443" t="s">
        <v>3436</v>
      </c>
    </row>
    <row r="1444" spans="1:3" x14ac:dyDescent="0.3">
      <c r="A1444" s="165">
        <v>43943</v>
      </c>
      <c r="B1444" t="s">
        <v>2725</v>
      </c>
      <c r="C1444" t="s">
        <v>3444</v>
      </c>
    </row>
    <row r="1445" spans="1:3" x14ac:dyDescent="0.3">
      <c r="A1445" s="165">
        <v>43955</v>
      </c>
      <c r="B1445" t="s">
        <v>2725</v>
      </c>
      <c r="C1445" t="s">
        <v>3445</v>
      </c>
    </row>
    <row r="1446" spans="1:3" x14ac:dyDescent="0.3">
      <c r="A1446" s="165">
        <v>43970</v>
      </c>
      <c r="B1446" t="s">
        <v>2725</v>
      </c>
      <c r="C1446" t="s">
        <v>3447</v>
      </c>
    </row>
    <row r="1447" spans="1:3" x14ac:dyDescent="0.3">
      <c r="A1447" s="165">
        <v>43970</v>
      </c>
      <c r="B1447" t="s">
        <v>2725</v>
      </c>
      <c r="C1447" t="s">
        <v>3448</v>
      </c>
    </row>
    <row r="1448" spans="1:3" x14ac:dyDescent="0.3">
      <c r="A1448" s="165">
        <v>44049</v>
      </c>
      <c r="B1448" t="s">
        <v>2725</v>
      </c>
      <c r="C1448" t="s">
        <v>3455</v>
      </c>
    </row>
    <row r="1449" spans="1:3" x14ac:dyDescent="0.3">
      <c r="A1449" s="165">
        <v>44095</v>
      </c>
      <c r="B1449" t="s">
        <v>2725</v>
      </c>
      <c r="C1449" t="s">
        <v>3456</v>
      </c>
    </row>
    <row r="1450" spans="1:3" x14ac:dyDescent="0.3">
      <c r="A1450" s="165">
        <v>44109</v>
      </c>
      <c r="B1450" t="s">
        <v>2725</v>
      </c>
      <c r="C1450" t="s">
        <v>3466</v>
      </c>
    </row>
    <row r="1451" spans="1:3" x14ac:dyDescent="0.3">
      <c r="A1451" s="165">
        <v>44127</v>
      </c>
      <c r="B1451" t="s">
        <v>2725</v>
      </c>
      <c r="C1451" t="s">
        <v>3471</v>
      </c>
    </row>
    <row r="1452" spans="1:3" x14ac:dyDescent="0.3">
      <c r="A1452" s="165">
        <v>44181</v>
      </c>
      <c r="B1452" t="s">
        <v>2725</v>
      </c>
      <c r="C1452" t="s">
        <v>3473</v>
      </c>
    </row>
  </sheetData>
  <autoFilter ref="A1:B1255" xr:uid="{00000000-0009-0000-0000-000007000000}"/>
  <phoneticPr fontId="0"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7">
    <pageSetUpPr fitToPage="1"/>
  </sheetPr>
  <dimension ref="A1:AX1172"/>
  <sheetViews>
    <sheetView topLeftCell="A11" zoomScale="66" zoomScaleNormal="66" workbookViewId="0">
      <pane ySplit="21" topLeftCell="A324" activePane="bottomLeft" state="frozen"/>
      <selection activeCell="A11" sqref="A11"/>
      <selection pane="bottomLeft" activeCell="R331" sqref="R331"/>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0" width="10" bestFit="1" customWidth="1"/>
    <col min="11"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2.81640625" customWidth="1"/>
    <col min="20" max="20" width="9.453125" bestFit="1" customWidth="1"/>
    <col min="22" max="22" width="9.90625" customWidth="1"/>
    <col min="23" max="23" width="11.54296875" customWidth="1"/>
    <col min="24" max="24" width="10.54296875" customWidth="1"/>
    <col min="25" max="25" width="11.1796875" customWidth="1"/>
    <col min="26" max="26" width="10.453125" bestFit="1" customWidth="1"/>
    <col min="29" max="29" width="11.54296875" customWidth="1"/>
    <col min="35" max="35" width="9.9062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44881.729633912037</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2022</v>
      </c>
      <c r="B5" s="781"/>
      <c r="C5" s="781"/>
      <c r="D5" s="781"/>
      <c r="E5" s="781"/>
      <c r="F5" s="781"/>
      <c r="G5" s="781"/>
      <c r="H5" s="781"/>
      <c r="I5" s="781"/>
      <c r="J5" s="781"/>
      <c r="K5" s="781"/>
      <c r="L5" s="781"/>
      <c r="M5" s="781"/>
      <c r="N5" s="781"/>
      <c r="O5" s="781"/>
      <c r="P5" s="781"/>
      <c r="Q5" s="781"/>
      <c r="R5" s="781"/>
    </row>
    <row r="6" spans="1:36" ht="19.5" customHeight="1" x14ac:dyDescent="0.35">
      <c r="A6" s="780" t="s">
        <v>3335</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3430</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5.75" hidden="1"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306"/>
      <c r="B12" s="738"/>
      <c r="C12" s="738"/>
      <c r="D12" s="738"/>
      <c r="E12" s="302"/>
      <c r="F12" s="738"/>
      <c r="G12" s="738"/>
      <c r="H12" s="738"/>
      <c r="I12" s="302"/>
      <c r="J12" s="738"/>
      <c r="K12" s="738"/>
      <c r="L12" s="738"/>
      <c r="M12" s="302"/>
      <c r="N12" s="738"/>
      <c r="O12" s="738"/>
      <c r="P12" s="738"/>
      <c r="Q12" s="302"/>
      <c r="R12" s="302"/>
    </row>
    <row r="13" spans="1:36" ht="15.75" customHeight="1" x14ac:dyDescent="0.3">
      <c r="A13" s="234" t="s">
        <v>1277</v>
      </c>
      <c r="B13" s="10">
        <f>+B932</f>
        <v>72801</v>
      </c>
      <c r="C13" s="10">
        <f>+C932</f>
        <v>84421</v>
      </c>
      <c r="D13" s="10">
        <f>+D932</f>
        <v>117596</v>
      </c>
      <c r="E13" s="15">
        <f>SUM(B13:D13)</f>
        <v>274818</v>
      </c>
      <c r="F13" s="10">
        <f>+F932</f>
        <v>151755</v>
      </c>
      <c r="G13" s="10">
        <f>+G932</f>
        <v>164814</v>
      </c>
      <c r="H13" s="10">
        <f>+H932</f>
        <v>203530</v>
      </c>
      <c r="I13" s="15">
        <f t="shared" ref="I13:I19" si="0">SUM(F13:H13)</f>
        <v>520099</v>
      </c>
      <c r="J13" s="10">
        <f>+J932</f>
        <v>168790</v>
      </c>
      <c r="K13" s="10">
        <f>+K932</f>
        <v>154177</v>
      </c>
      <c r="L13" s="10">
        <f>+L932</f>
        <v>116925</v>
      </c>
      <c r="M13" s="15">
        <f t="shared" ref="M13:M20" si="1">SUM(J13:L13)</f>
        <v>439892</v>
      </c>
      <c r="N13" s="10">
        <f>+N932</f>
        <v>95479</v>
      </c>
      <c r="O13" s="10">
        <f>+O932</f>
        <v>71242</v>
      </c>
      <c r="P13" s="10">
        <f>+P932</f>
        <v>52095</v>
      </c>
      <c r="Q13" s="29">
        <f t="shared" ref="Q13:Q19" si="2">SUM(N13:P13)</f>
        <v>218816</v>
      </c>
      <c r="R13" s="15">
        <f t="shared" ref="R13:R20" si="3">+E13+I13+M13+Q13</f>
        <v>1453625</v>
      </c>
      <c r="V13" s="617"/>
      <c r="W13" s="617"/>
      <c r="X13" s="617"/>
      <c r="Z13" s="617"/>
      <c r="AA13" s="617"/>
      <c r="AB13" s="617"/>
      <c r="AD13" s="617"/>
      <c r="AE13" s="617"/>
      <c r="AF13" s="617"/>
      <c r="AH13" s="617"/>
      <c r="AI13" s="617"/>
      <c r="AJ13" s="617"/>
    </row>
    <row r="14" spans="1:36" ht="15.75" customHeight="1" x14ac:dyDescent="0.3">
      <c r="A14" s="234" t="s">
        <v>1278</v>
      </c>
      <c r="B14" s="10">
        <f>B25+B60+B132+B320+B509+B559+B604+B669+B679+B715+B767+B777+B811+B864</f>
        <v>739</v>
      </c>
      <c r="C14" s="10">
        <f>C25+C60+C132+C320+C509+C559+C604+C669+C679+C715+C767+C777+C811+C864</f>
        <v>1283</v>
      </c>
      <c r="D14" s="10">
        <f>D25+D60+D132+D320+D509+D559+D604+D669+D679+D715+D767+D777+D811+D864</f>
        <v>2185</v>
      </c>
      <c r="E14" s="15">
        <f t="shared" ref="E14:E19" si="4">SUM(B14:D14)</f>
        <v>4207</v>
      </c>
      <c r="F14" s="10">
        <f>F25+F60+F132+F320+F509+F559+F604+F669+F679+F715+F767+F777+F811+F864</f>
        <v>2959</v>
      </c>
      <c r="G14" s="10">
        <f>G25+G60+G132+G320+G509+G559+G604+G669+G679+G715+G767+G777+G811+G864</f>
        <v>3425</v>
      </c>
      <c r="H14" s="10">
        <f>H25+H60+H132+H320+H509+H559+H604+H669+H679+H715+H767+H777+H811+H864</f>
        <v>3464</v>
      </c>
      <c r="I14" s="15">
        <f t="shared" si="0"/>
        <v>9848</v>
      </c>
      <c r="J14" s="10">
        <f>J25+J60+J132+J320+J509+J559+J604+J669+J679+J715+J767+J777+J811+J864</f>
        <v>3382</v>
      </c>
      <c r="K14" s="10">
        <f>K25+K60+K132+K320+K509+K559+K604+K669+K679+K715+K767+K777+K811+K864</f>
        <v>2663</v>
      </c>
      <c r="L14" s="10">
        <f>L25+L60+L132+L320+L509+L559+L604+L669+L679+L715+L767+L777+L811+L864</f>
        <v>2559</v>
      </c>
      <c r="M14" s="15">
        <f t="shared" si="1"/>
        <v>8604</v>
      </c>
      <c r="N14" s="10">
        <f>N25+N60+N132+N320+N509+N559+N604+N669+N679+N715+N767+N777+N811+N864</f>
        <v>2343</v>
      </c>
      <c r="O14" s="10">
        <f>O25+O60+O132+O320+O509+O559+O604+O669+O679+O715+O767+O777+O811+O864</f>
        <v>1892</v>
      </c>
      <c r="P14" s="10">
        <f>P25+P60+P132+P320+P509+P559+P604+P669+P679+P715+P767+P777+P811+P864</f>
        <v>1423</v>
      </c>
      <c r="Q14" s="29">
        <f t="shared" si="2"/>
        <v>5658</v>
      </c>
      <c r="R14" s="15">
        <f t="shared" si="3"/>
        <v>28317</v>
      </c>
    </row>
    <row r="15" spans="1:36" ht="15.75" customHeight="1" x14ac:dyDescent="0.3">
      <c r="A15" s="234" t="s">
        <v>397</v>
      </c>
      <c r="B15" s="10">
        <f>B315</f>
        <v>470</v>
      </c>
      <c r="C15" s="10">
        <f>C315</f>
        <v>635</v>
      </c>
      <c r="D15" s="10">
        <f>D315</f>
        <v>2235</v>
      </c>
      <c r="E15" s="15">
        <f t="shared" si="4"/>
        <v>3340</v>
      </c>
      <c r="F15" s="10">
        <f>F315</f>
        <v>3411</v>
      </c>
      <c r="G15" s="10">
        <f>G315</f>
        <v>3529</v>
      </c>
      <c r="H15" s="10">
        <f>H315</f>
        <v>2765</v>
      </c>
      <c r="I15" s="15">
        <f t="shared" si="0"/>
        <v>9705</v>
      </c>
      <c r="J15" s="10">
        <f>J315</f>
        <v>3117</v>
      </c>
      <c r="K15" s="10">
        <f>K315</f>
        <v>1529</v>
      </c>
      <c r="L15" s="10">
        <f>L315</f>
        <v>2588</v>
      </c>
      <c r="M15" s="15">
        <f t="shared" si="1"/>
        <v>7234</v>
      </c>
      <c r="N15" s="10">
        <f>N315</f>
        <v>3764</v>
      </c>
      <c r="O15" s="10">
        <f>O315</f>
        <v>941</v>
      </c>
      <c r="P15" s="10">
        <f>P315</f>
        <v>0</v>
      </c>
      <c r="Q15" s="29">
        <f t="shared" si="2"/>
        <v>4705</v>
      </c>
      <c r="R15" s="15">
        <f t="shared" si="3"/>
        <v>24984</v>
      </c>
    </row>
    <row r="16" spans="1:36" ht="15.75" customHeight="1" x14ac:dyDescent="0.3">
      <c r="A16" s="235" t="s">
        <v>967</v>
      </c>
      <c r="B16" s="10">
        <f>+B316</f>
        <v>0</v>
      </c>
      <c r="C16" s="10">
        <f>+C316</f>
        <v>0</v>
      </c>
      <c r="D16" s="10">
        <f>+D316</f>
        <v>0</v>
      </c>
      <c r="E16" s="15">
        <f t="shared" si="4"/>
        <v>0</v>
      </c>
      <c r="F16" s="10">
        <f>+F316</f>
        <v>0</v>
      </c>
      <c r="G16" s="10">
        <f>+G316</f>
        <v>0</v>
      </c>
      <c r="H16" s="10">
        <f>+H316</f>
        <v>0</v>
      </c>
      <c r="I16" s="15">
        <f t="shared" si="0"/>
        <v>0</v>
      </c>
      <c r="J16" s="10">
        <f>+J316</f>
        <v>0</v>
      </c>
      <c r="K16" s="10">
        <f>+K316</f>
        <v>0</v>
      </c>
      <c r="L16" s="10">
        <f>+L316</f>
        <v>0</v>
      </c>
      <c r="M16" s="15">
        <f t="shared" si="1"/>
        <v>0</v>
      </c>
      <c r="N16" s="10">
        <f>+N316</f>
        <v>0</v>
      </c>
      <c r="O16" s="10">
        <f>+O316</f>
        <v>0</v>
      </c>
      <c r="P16" s="10">
        <f>+P316</f>
        <v>0</v>
      </c>
      <c r="Q16" s="29">
        <f t="shared" si="2"/>
        <v>0</v>
      </c>
      <c r="R16" s="15">
        <f t="shared" si="3"/>
        <v>0</v>
      </c>
    </row>
    <row r="17" spans="1:20" ht="15.75" customHeight="1" x14ac:dyDescent="0.3">
      <c r="A17" s="236" t="s">
        <v>1176</v>
      </c>
      <c r="B17" s="10">
        <f>B319</f>
        <v>68000</v>
      </c>
      <c r="C17" s="10">
        <f>C319</f>
        <v>42000</v>
      </c>
      <c r="D17" s="10">
        <f>D319</f>
        <v>36000</v>
      </c>
      <c r="E17" s="15">
        <f t="shared" si="4"/>
        <v>146000</v>
      </c>
      <c r="F17" s="10">
        <f>F319</f>
        <v>0</v>
      </c>
      <c r="G17" s="10">
        <f>G319</f>
        <v>0</v>
      </c>
      <c r="H17" s="10">
        <f>H319</f>
        <v>0</v>
      </c>
      <c r="I17" s="15">
        <f t="shared" si="0"/>
        <v>0</v>
      </c>
      <c r="J17" s="10">
        <f>J319</f>
        <v>0</v>
      </c>
      <c r="K17" s="10">
        <f>K319</f>
        <v>0</v>
      </c>
      <c r="L17" s="10">
        <f>L319</f>
        <v>0</v>
      </c>
      <c r="M17" s="15">
        <f t="shared" si="1"/>
        <v>0</v>
      </c>
      <c r="N17" s="10">
        <f>N319</f>
        <v>62000</v>
      </c>
      <c r="O17" s="10">
        <f>O319</f>
        <v>82000</v>
      </c>
      <c r="P17" s="10">
        <f>P319</f>
        <v>25000</v>
      </c>
      <c r="Q17" s="29">
        <f t="shared" si="2"/>
        <v>169000</v>
      </c>
      <c r="R17" s="15">
        <f t="shared" si="3"/>
        <v>315000</v>
      </c>
    </row>
    <row r="18" spans="1:20" ht="15.75" customHeight="1" x14ac:dyDescent="0.3">
      <c r="A18" s="236" t="s">
        <v>662</v>
      </c>
      <c r="B18" s="10">
        <f>B331</f>
        <v>0</v>
      </c>
      <c r="C18" s="10">
        <f>C331</f>
        <v>0</v>
      </c>
      <c r="D18" s="10">
        <f>D331</f>
        <v>0</v>
      </c>
      <c r="E18" s="15">
        <f t="shared" si="4"/>
        <v>0</v>
      </c>
      <c r="F18" s="10">
        <f>F331</f>
        <v>0</v>
      </c>
      <c r="G18" s="10">
        <f>G331</f>
        <v>0</v>
      </c>
      <c r="H18" s="10">
        <f>H331</f>
        <v>-113000</v>
      </c>
      <c r="I18" s="15">
        <f t="shared" si="0"/>
        <v>-113000</v>
      </c>
      <c r="J18" s="10">
        <f>J331</f>
        <v>-124000</v>
      </c>
      <c r="K18" s="10">
        <f>K331</f>
        <v>-107000</v>
      </c>
      <c r="L18" s="10">
        <f>L331</f>
        <v>0</v>
      </c>
      <c r="M18" s="15">
        <f t="shared" si="1"/>
        <v>-231000</v>
      </c>
      <c r="N18" s="10">
        <f>N331</f>
        <v>0</v>
      </c>
      <c r="O18" s="10">
        <f>O331</f>
        <v>0</v>
      </c>
      <c r="P18" s="10">
        <f>P331</f>
        <v>0</v>
      </c>
      <c r="Q18" s="29">
        <f t="shared" si="2"/>
        <v>0</v>
      </c>
      <c r="R18" s="15">
        <f t="shared" si="3"/>
        <v>-344000</v>
      </c>
    </row>
    <row r="19" spans="1:20" ht="16.5" customHeight="1" thickBot="1" x14ac:dyDescent="0.35">
      <c r="A19" s="237" t="s">
        <v>851</v>
      </c>
      <c r="B19" s="294">
        <f>(B29)</f>
        <v>142010</v>
      </c>
      <c r="C19" s="294">
        <f>(C29)</f>
        <v>128339</v>
      </c>
      <c r="D19" s="294">
        <f>(D29)</f>
        <v>158016</v>
      </c>
      <c r="E19" s="16">
        <f t="shared" si="4"/>
        <v>428365</v>
      </c>
      <c r="F19" s="294">
        <f>(F29)</f>
        <v>158125</v>
      </c>
      <c r="G19" s="294">
        <f>(G29)</f>
        <v>171768</v>
      </c>
      <c r="H19" s="294">
        <f>(H29)</f>
        <v>96759</v>
      </c>
      <c r="I19" s="16">
        <f t="shared" si="0"/>
        <v>426652</v>
      </c>
      <c r="J19" s="294">
        <f>(J29)</f>
        <v>51289</v>
      </c>
      <c r="K19" s="294">
        <f>(K29)</f>
        <v>51369</v>
      </c>
      <c r="L19" s="294">
        <f>(L29)</f>
        <v>122072</v>
      </c>
      <c r="M19" s="16">
        <f t="shared" si="1"/>
        <v>224730</v>
      </c>
      <c r="N19" s="294">
        <f>(N29)</f>
        <v>163586</v>
      </c>
      <c r="O19" s="294">
        <f>(O29)</f>
        <v>156075</v>
      </c>
      <c r="P19" s="294">
        <f>(P29)</f>
        <v>78518</v>
      </c>
      <c r="Q19" s="30">
        <f t="shared" si="2"/>
        <v>398179</v>
      </c>
      <c r="R19" s="16">
        <f t="shared" si="3"/>
        <v>1477926</v>
      </c>
    </row>
    <row r="20" spans="1:20" ht="16.5" customHeight="1" thickBot="1" x14ac:dyDescent="0.35">
      <c r="A20" s="237" t="s">
        <v>496</v>
      </c>
      <c r="B20" s="294">
        <f>+B19</f>
        <v>142010</v>
      </c>
      <c r="C20" s="294">
        <f>+C19</f>
        <v>128339</v>
      </c>
      <c r="D20" s="294">
        <f>+D19</f>
        <v>158016</v>
      </c>
      <c r="E20" s="16">
        <f>SUM(B20:D20)</f>
        <v>428365</v>
      </c>
      <c r="F20" s="294">
        <f>+F19</f>
        <v>158125</v>
      </c>
      <c r="G20" s="294">
        <f>+G19</f>
        <v>171768</v>
      </c>
      <c r="H20" s="294">
        <f>+H19</f>
        <v>96759</v>
      </c>
      <c r="I20" s="16">
        <f>SUM(F20:H20)</f>
        <v>426652</v>
      </c>
      <c r="J20" s="294">
        <f>+J19</f>
        <v>51289</v>
      </c>
      <c r="K20" s="294">
        <f>+K19</f>
        <v>51369</v>
      </c>
      <c r="L20" s="294">
        <f>+L19</f>
        <v>122072</v>
      </c>
      <c r="M20" s="16">
        <f t="shared" si="1"/>
        <v>224730</v>
      </c>
      <c r="N20" s="294">
        <f>+N19</f>
        <v>163586</v>
      </c>
      <c r="O20" s="294">
        <f>+O19</f>
        <v>156075</v>
      </c>
      <c r="P20" s="294">
        <f>+P19</f>
        <v>78518</v>
      </c>
      <c r="Q20" s="30">
        <f>SUM(N20:P20)</f>
        <v>398179</v>
      </c>
      <c r="R20" s="16">
        <f t="shared" si="3"/>
        <v>1477926</v>
      </c>
    </row>
    <row r="21" spans="1:20" ht="15.75" customHeight="1" x14ac:dyDescent="0.3">
      <c r="A21" s="10"/>
      <c r="B21" s="10"/>
      <c r="C21" s="10"/>
      <c r="D21" s="10"/>
      <c r="E21" s="10"/>
      <c r="F21" s="10"/>
      <c r="G21" s="10"/>
      <c r="H21" s="10"/>
      <c r="I21" s="10"/>
      <c r="J21" s="10"/>
      <c r="K21" s="10"/>
      <c r="L21" s="10"/>
      <c r="M21" s="10"/>
      <c r="N21" s="10"/>
      <c r="O21" s="10"/>
      <c r="P21" s="10"/>
      <c r="Q21" s="10"/>
      <c r="R21" s="17"/>
    </row>
    <row r="22" spans="1:20" ht="15.75" customHeight="1" thickBot="1" x14ac:dyDescent="0.35">
      <c r="A22" s="10"/>
      <c r="B22" s="10"/>
      <c r="C22" s="10"/>
      <c r="D22" s="10"/>
      <c r="E22" s="10"/>
      <c r="F22" s="295" t="s">
        <v>852</v>
      </c>
      <c r="G22" s="295" t="s">
        <v>852</v>
      </c>
      <c r="H22" s="10"/>
      <c r="I22" s="10"/>
      <c r="J22" s="10"/>
      <c r="K22" s="10"/>
      <c r="L22" s="10"/>
      <c r="M22" s="10"/>
      <c r="N22" s="295" t="s">
        <v>852</v>
      </c>
      <c r="O22" s="295" t="s">
        <v>852</v>
      </c>
      <c r="P22" s="295" t="s">
        <v>852</v>
      </c>
      <c r="Q22" s="295"/>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96"/>
      <c r="B24" s="297"/>
      <c r="C24" s="297"/>
      <c r="D24" s="297"/>
      <c r="E24" s="298"/>
      <c r="F24" s="297"/>
      <c r="G24" s="297"/>
      <c r="H24" s="297"/>
      <c r="I24" s="298"/>
      <c r="J24" s="297"/>
      <c r="K24" s="297"/>
      <c r="L24" s="297"/>
      <c r="M24" s="298"/>
      <c r="N24" s="297"/>
      <c r="O24" s="297"/>
      <c r="P24" s="297"/>
      <c r="Q24" s="298"/>
      <c r="R24" s="19"/>
    </row>
    <row r="25" spans="1:20" ht="16.5" customHeight="1" thickBot="1" x14ac:dyDescent="0.35">
      <c r="A25" s="299" t="s">
        <v>853</v>
      </c>
      <c r="B25" s="294">
        <v>97</v>
      </c>
      <c r="C25" s="294">
        <v>148</v>
      </c>
      <c r="D25" s="294">
        <v>274</v>
      </c>
      <c r="E25" s="14">
        <f>SUM(B25:D25)</f>
        <v>519</v>
      </c>
      <c r="F25" s="294">
        <v>367</v>
      </c>
      <c r="G25" s="294">
        <v>425</v>
      </c>
      <c r="H25" s="294">
        <v>417</v>
      </c>
      <c r="I25" s="14">
        <f>SUM(F25:H25)</f>
        <v>1209</v>
      </c>
      <c r="J25" s="294">
        <v>416</v>
      </c>
      <c r="K25" s="294">
        <v>334</v>
      </c>
      <c r="L25" s="294">
        <v>316</v>
      </c>
      <c r="M25" s="14">
        <f>SUM(J25:L25)</f>
        <v>1066</v>
      </c>
      <c r="N25" s="294">
        <v>285</v>
      </c>
      <c r="O25" s="294">
        <v>235</v>
      </c>
      <c r="P25" s="294">
        <v>186</v>
      </c>
      <c r="Q25" s="14">
        <f>SUM(N25:P25)</f>
        <v>706</v>
      </c>
      <c r="R25" s="16">
        <f>+E25+I25+M25+Q25</f>
        <v>3500</v>
      </c>
    </row>
    <row r="26" spans="1:20" ht="17.25" customHeight="1" thickBot="1" x14ac:dyDescent="0.35">
      <c r="A26" s="22"/>
      <c r="B26" s="297"/>
      <c r="C26" s="297"/>
      <c r="D26" s="297"/>
      <c r="E26" s="21"/>
      <c r="F26" s="297"/>
      <c r="G26" s="297"/>
      <c r="H26" s="297"/>
      <c r="I26" s="21"/>
      <c r="J26" s="297"/>
      <c r="K26" s="297"/>
      <c r="L26" s="297"/>
      <c r="M26" s="21"/>
      <c r="N26" s="297"/>
      <c r="O26" s="297"/>
      <c r="P26" s="297"/>
      <c r="Q26" s="21"/>
      <c r="R26" s="13"/>
    </row>
    <row r="27" spans="1:20" ht="15.75" customHeight="1" x14ac:dyDescent="0.3">
      <c r="A27" s="234" t="s">
        <v>2011</v>
      </c>
      <c r="B27" s="10">
        <f>B25</f>
        <v>97</v>
      </c>
      <c r="C27" s="10">
        <f>C25</f>
        <v>148</v>
      </c>
      <c r="D27" s="10">
        <f>D25</f>
        <v>274</v>
      </c>
      <c r="E27" s="14">
        <f>SUM(B27:D27)</f>
        <v>519</v>
      </c>
      <c r="F27" s="10">
        <f>F25</f>
        <v>367</v>
      </c>
      <c r="G27" s="10">
        <f>G25</f>
        <v>425</v>
      </c>
      <c r="H27" s="10">
        <f>H25</f>
        <v>417</v>
      </c>
      <c r="I27" s="14">
        <f>SUM(F27:H27)</f>
        <v>1209</v>
      </c>
      <c r="J27" s="10">
        <f>J25</f>
        <v>416</v>
      </c>
      <c r="K27" s="10">
        <f>K25</f>
        <v>334</v>
      </c>
      <c r="L27" s="10">
        <f>L25</f>
        <v>316</v>
      </c>
      <c r="M27" s="14">
        <f>SUM(J27:L27)</f>
        <v>1066</v>
      </c>
      <c r="N27" s="10">
        <f>N25</f>
        <v>285</v>
      </c>
      <c r="O27" s="10">
        <f>O25</f>
        <v>235</v>
      </c>
      <c r="P27" s="10">
        <f>P25</f>
        <v>186</v>
      </c>
      <c r="Q27" s="739">
        <f>SUM(N27:P27)</f>
        <v>706</v>
      </c>
      <c r="R27" s="14">
        <f>+E27+I27+M27+Q27</f>
        <v>3500</v>
      </c>
    </row>
    <row r="28" spans="1:20" ht="15.75" customHeight="1" x14ac:dyDescent="0.3">
      <c r="A28" s="234" t="s">
        <v>1897</v>
      </c>
      <c r="B28" s="10">
        <f>(B27/B10)/1.983</f>
        <v>1.5779285214647079</v>
      </c>
      <c r="C28" s="10">
        <f>(C27/C10)/1.983</f>
        <v>2.6655140119587926</v>
      </c>
      <c r="D28" s="10">
        <f>(D27/D10)/1.983</f>
        <v>4.457241390529175</v>
      </c>
      <c r="E28" s="15"/>
      <c r="F28" s="10">
        <f>(F27/F10)/1.983</f>
        <v>6.1691040511010247</v>
      </c>
      <c r="G28" s="10">
        <f>(G27/G10)/1.983</f>
        <v>6.9136043466237203</v>
      </c>
      <c r="H28" s="10">
        <f>(H27/H10)/1.983</f>
        <v>7.0095814422592033</v>
      </c>
      <c r="I28" s="15"/>
      <c r="J28" s="10">
        <f>(J27/J10)/1.983</f>
        <v>6.7671986075187478</v>
      </c>
      <c r="K28" s="10">
        <f>(K27/K10)/1.983</f>
        <v>5.433279651228994</v>
      </c>
      <c r="L28" s="10">
        <f>(L27/L10)/1.983</f>
        <v>5.3118171121196838</v>
      </c>
      <c r="M28" s="15"/>
      <c r="N28" s="10">
        <f>(N27/N10)/1.983</f>
        <v>4.6361817383241419</v>
      </c>
      <c r="O28" s="10">
        <f>(O27/O10)/1.983</f>
        <v>3.9502437384434357</v>
      </c>
      <c r="P28" s="10">
        <f>(P27/P10)/1.983</f>
        <v>3.02571860816944</v>
      </c>
      <c r="Q28" s="29"/>
      <c r="R28" s="15"/>
    </row>
    <row r="29" spans="1:20" ht="15.75" customHeight="1" x14ac:dyDescent="0.3">
      <c r="A29" s="234" t="s">
        <v>1119</v>
      </c>
      <c r="B29" s="10">
        <f>B27+B64</f>
        <v>142010</v>
      </c>
      <c r="C29" s="10">
        <f>C27+C64</f>
        <v>128339</v>
      </c>
      <c r="D29" s="10">
        <f>D27+D64</f>
        <v>158016</v>
      </c>
      <c r="E29" s="15">
        <f>SUM(B29:D29)</f>
        <v>428365</v>
      </c>
      <c r="F29" s="10">
        <f>F27+F64</f>
        <v>158125</v>
      </c>
      <c r="G29" s="10">
        <f>G27+G64</f>
        <v>171768</v>
      </c>
      <c r="H29" s="10">
        <f>H27+H64</f>
        <v>96759</v>
      </c>
      <c r="I29" s="15">
        <f>SUM(F29:H29)</f>
        <v>426652</v>
      </c>
      <c r="J29" s="10">
        <f>J27+J64</f>
        <v>51289</v>
      </c>
      <c r="K29" s="10">
        <f>K27+K64</f>
        <v>51369</v>
      </c>
      <c r="L29" s="10">
        <f>L27+L64</f>
        <v>122072</v>
      </c>
      <c r="M29" s="15">
        <f>SUM(J29:L29)</f>
        <v>224730</v>
      </c>
      <c r="N29" s="10">
        <f>N27+N64</f>
        <v>163586</v>
      </c>
      <c r="O29" s="10">
        <f>O27+O64</f>
        <v>156075</v>
      </c>
      <c r="P29" s="10">
        <f>P27+P64</f>
        <v>78518</v>
      </c>
      <c r="Q29" s="29">
        <f>SUM(N29:P29)</f>
        <v>398179</v>
      </c>
      <c r="R29" s="15">
        <f>+E29+I29+M29+Q29</f>
        <v>1477926</v>
      </c>
    </row>
    <row r="30" spans="1:20" s="574" customFormat="1" ht="16.5" customHeight="1" thickBot="1" x14ac:dyDescent="0.35">
      <c r="A30" s="570" t="s">
        <v>1968</v>
      </c>
      <c r="B30" s="740">
        <f>(B29/B10)/1.983</f>
        <v>2310.1198900330223</v>
      </c>
      <c r="C30" s="740">
        <f>(C29/C10)/1.983</f>
        <v>2311.4148836539157</v>
      </c>
      <c r="D30" s="740">
        <f>(D29/D10)/1.983</f>
        <v>2570.494363379044</v>
      </c>
      <c r="E30" s="572"/>
      <c r="F30" s="740">
        <f>(F29/F10)/1.983</f>
        <v>2658.0097495377372</v>
      </c>
      <c r="G30" s="740">
        <f>(G29/G10)/1.983</f>
        <v>2794.2023327314428</v>
      </c>
      <c r="H30" s="740">
        <f>(H29/H10)/1.983</f>
        <v>1626.4750378214826</v>
      </c>
      <c r="I30" s="572"/>
      <c r="J30" s="740">
        <f>(J29/J10)/1.983</f>
        <v>834.33377255055063</v>
      </c>
      <c r="K30" s="740">
        <f>(K29/K10)/1.983</f>
        <v>835.63515689815029</v>
      </c>
      <c r="L30" s="740">
        <f>(L29/L10)/1.983</f>
        <v>2051.9751218692218</v>
      </c>
      <c r="M30" s="572"/>
      <c r="N30" s="740">
        <f>(N29/N10)/1.983</f>
        <v>2661.1032485806777</v>
      </c>
      <c r="O30" s="740">
        <f>(O29/O10)/1.983</f>
        <v>2623.5501765002518</v>
      </c>
      <c r="P30" s="740">
        <f>(P29/P10)/1.983</f>
        <v>1277.2762025604736</v>
      </c>
      <c r="Q30" s="573"/>
      <c r="R30" s="572"/>
      <c r="T30" s="575" t="s">
        <v>2172</v>
      </c>
    </row>
    <row r="31" spans="1:20" ht="15.75" customHeight="1" x14ac:dyDescent="0.3">
      <c r="A31" s="17"/>
      <c r="B31" s="10"/>
      <c r="C31" s="10"/>
      <c r="D31" s="10"/>
      <c r="E31" s="10"/>
      <c r="F31" s="10"/>
      <c r="G31" s="10"/>
      <c r="H31" s="10"/>
      <c r="I31" s="10"/>
      <c r="J31" s="10"/>
      <c r="K31" s="10"/>
      <c r="L31" s="10"/>
      <c r="M31" s="10"/>
      <c r="N31" s="10"/>
      <c r="O31" s="10"/>
      <c r="P31" s="10"/>
      <c r="Q31" s="10"/>
      <c r="R31" s="17"/>
      <c r="T31" s="350" t="s">
        <v>2173</v>
      </c>
    </row>
    <row r="32" spans="1:20" ht="15.75" customHeight="1" thickBot="1" x14ac:dyDescent="0.35">
      <c r="A32" s="17"/>
      <c r="B32" s="10"/>
      <c r="C32" s="10"/>
      <c r="D32" s="10"/>
      <c r="E32" s="10"/>
      <c r="F32" s="10"/>
      <c r="G32" s="10"/>
      <c r="H32" s="10"/>
      <c r="I32" s="10"/>
      <c r="J32" s="10"/>
      <c r="K32" s="10"/>
      <c r="L32" s="10"/>
      <c r="M32" s="10"/>
      <c r="N32" s="10"/>
      <c r="O32" s="10"/>
      <c r="P32" s="10"/>
      <c r="Q32" s="10"/>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300"/>
      <c r="C34" s="301"/>
      <c r="D34" s="301"/>
      <c r="E34" s="302"/>
      <c r="F34" s="301"/>
      <c r="G34" s="301"/>
      <c r="H34" s="301"/>
      <c r="I34" s="302"/>
      <c r="J34" s="301"/>
      <c r="K34" s="301"/>
      <c r="L34" s="301"/>
      <c r="M34" s="302"/>
      <c r="N34" s="301"/>
      <c r="O34" s="301"/>
      <c r="P34" s="301"/>
      <c r="Q34" s="302"/>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0"/>
      <c r="C38" s="10"/>
      <c r="D38" s="10"/>
      <c r="E38" s="38">
        <f>SUM(B38:D38)</f>
        <v>0</v>
      </c>
      <c r="F38" s="10"/>
      <c r="G38" s="10"/>
      <c r="H38" s="10"/>
      <c r="I38" s="38">
        <f>SUM(F38:H38)</f>
        <v>0</v>
      </c>
      <c r="J38" s="10"/>
      <c r="K38" s="10"/>
      <c r="L38" s="10"/>
      <c r="M38" s="38">
        <f>SUM(J38:L38)</f>
        <v>0</v>
      </c>
      <c r="N38" s="10"/>
      <c r="O38" s="10"/>
      <c r="P38" s="10"/>
      <c r="Q38" s="38">
        <f>SUM(N38:P38)</f>
        <v>0</v>
      </c>
      <c r="R38" s="38">
        <f>+E38+I38+M38+Q38</f>
        <v>0</v>
      </c>
    </row>
    <row r="39" spans="1:18" ht="15.75" customHeight="1" x14ac:dyDescent="0.3">
      <c r="A39" s="235" t="s">
        <v>3245</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0"/>
      <c r="C54" s="10"/>
      <c r="D54" s="10"/>
      <c r="E54" s="38">
        <f>SUM(B54:D54)</f>
        <v>0</v>
      </c>
      <c r="F54" s="10"/>
      <c r="G54" s="10"/>
      <c r="H54" s="10"/>
      <c r="I54" s="38">
        <f>SUM(F54:H54)</f>
        <v>0</v>
      </c>
      <c r="J54" s="10"/>
      <c r="K54" s="10"/>
      <c r="L54" s="10"/>
      <c r="M54" s="38">
        <f>SUM(J54:L54)</f>
        <v>0</v>
      </c>
      <c r="N54" s="10"/>
      <c r="O54" s="10"/>
      <c r="P54" s="10"/>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customHeight="1" thickBot="1" x14ac:dyDescent="0.35">
      <c r="A60" s="304" t="s">
        <v>853</v>
      </c>
      <c r="B60" s="305">
        <v>96</v>
      </c>
      <c r="C60" s="305">
        <v>145</v>
      </c>
      <c r="D60" s="305">
        <v>261</v>
      </c>
      <c r="E60" s="21">
        <f>SUM(B60:D60)</f>
        <v>502</v>
      </c>
      <c r="F60" s="305">
        <v>350</v>
      </c>
      <c r="G60" s="305">
        <v>402</v>
      </c>
      <c r="H60" s="305">
        <v>396</v>
      </c>
      <c r="I60" s="21">
        <f>SUM(F60:H60)</f>
        <v>1148</v>
      </c>
      <c r="J60" s="305">
        <v>394</v>
      </c>
      <c r="K60" s="305">
        <v>318</v>
      </c>
      <c r="L60" s="305">
        <v>301</v>
      </c>
      <c r="M60" s="21">
        <f>SUM(J60:L60)</f>
        <v>1013</v>
      </c>
      <c r="N60" s="305">
        <v>272</v>
      </c>
      <c r="O60" s="305">
        <v>226</v>
      </c>
      <c r="P60" s="305">
        <v>179</v>
      </c>
      <c r="Q60" s="21">
        <f>SUM(N60:P60)</f>
        <v>677</v>
      </c>
      <c r="R60" s="21">
        <f>+E60+I60+M60+Q60</f>
        <v>3340</v>
      </c>
    </row>
    <row r="61" spans="1:18" ht="16.5" customHeight="1" thickBot="1" x14ac:dyDescent="0.35">
      <c r="A61" s="22"/>
      <c r="B61" s="297"/>
      <c r="C61" s="297"/>
      <c r="D61" s="297"/>
      <c r="E61" s="16"/>
      <c r="F61" s="297"/>
      <c r="G61" s="297"/>
      <c r="H61" s="297"/>
      <c r="I61" s="16"/>
      <c r="J61" s="297"/>
      <c r="K61" s="297"/>
      <c r="L61" s="297"/>
      <c r="M61" s="16"/>
      <c r="N61" s="297"/>
      <c r="O61" s="297"/>
      <c r="P61" s="297"/>
      <c r="Q61" s="16"/>
      <c r="R61" s="22"/>
    </row>
    <row r="62" spans="1:18" ht="15.75" customHeight="1" x14ac:dyDescent="0.3">
      <c r="A62" s="234" t="s">
        <v>2011</v>
      </c>
      <c r="B62" s="10">
        <f>+B59+B60</f>
        <v>96</v>
      </c>
      <c r="C62" s="10">
        <f>+C59+C60</f>
        <v>145</v>
      </c>
      <c r="D62" s="10">
        <f>+D59+D60</f>
        <v>261</v>
      </c>
      <c r="E62" s="14">
        <f>SUM(B62:D62)</f>
        <v>502</v>
      </c>
      <c r="F62" s="10">
        <f>+F59+F60</f>
        <v>350</v>
      </c>
      <c r="G62" s="10">
        <f>+G59+G60</f>
        <v>402</v>
      </c>
      <c r="H62" s="10">
        <f>+H59+H60</f>
        <v>396</v>
      </c>
      <c r="I62" s="14">
        <f>SUM(F62:H62)</f>
        <v>1148</v>
      </c>
      <c r="J62" s="10">
        <f>+J59+J60</f>
        <v>394</v>
      </c>
      <c r="K62" s="10">
        <f>+K59+K60</f>
        <v>318</v>
      </c>
      <c r="L62" s="10">
        <f>+L59+L60</f>
        <v>301</v>
      </c>
      <c r="M62" s="14">
        <f>SUM(J62:L62)</f>
        <v>1013</v>
      </c>
      <c r="N62" s="10">
        <f>+N59+N60</f>
        <v>272</v>
      </c>
      <c r="O62" s="10">
        <f>+O59+O60</f>
        <v>226</v>
      </c>
      <c r="P62" s="10">
        <f>+P59+P60</f>
        <v>179</v>
      </c>
      <c r="Q62" s="739">
        <f>SUM(N62:P62)</f>
        <v>677</v>
      </c>
      <c r="R62" s="15">
        <f>+E62+I62+M62+Q62</f>
        <v>3340</v>
      </c>
    </row>
    <row r="63" spans="1:18" ht="15.75" customHeight="1" x14ac:dyDescent="0.3">
      <c r="A63" s="234" t="s">
        <v>1897</v>
      </c>
      <c r="B63" s="10">
        <f>(B62/B10)/1.983</f>
        <v>1.5616612171197111</v>
      </c>
      <c r="C63" s="10">
        <f>(C62/C10)/1.983</f>
        <v>2.6114833225271954</v>
      </c>
      <c r="D63" s="10">
        <f>(D62/D10)/1.983</f>
        <v>4.2457664340442145</v>
      </c>
      <c r="E63" s="15"/>
      <c r="F63" s="10">
        <f>(F62/F10)/1.983</f>
        <v>5.8833417381072444</v>
      </c>
      <c r="G63" s="10">
        <f>(G62/G10)/1.983</f>
        <v>6.5394563466887892</v>
      </c>
      <c r="H63" s="10">
        <f>(H62/H10)/1.983</f>
        <v>6.6565809379727678</v>
      </c>
      <c r="I63" s="15"/>
      <c r="J63" s="10">
        <f>(J62/J10)/1.983</f>
        <v>6.4093179119288139</v>
      </c>
      <c r="K63" s="10">
        <f>(K62/K10)/1.983</f>
        <v>5.1730027817090427</v>
      </c>
      <c r="L63" s="10">
        <f>(L62/L10)/1.983</f>
        <v>5.0596738947722306</v>
      </c>
      <c r="M63" s="15"/>
      <c r="N63" s="10">
        <f>(N62/N10)/1.983</f>
        <v>4.4247067818391805</v>
      </c>
      <c r="O63" s="10">
        <f>(O62/O10)/1.983</f>
        <v>3.7989578080349635</v>
      </c>
      <c r="P63" s="10">
        <f>(P62/P10)/1.983</f>
        <v>2.9118474777544612</v>
      </c>
      <c r="Q63" s="29"/>
      <c r="R63" s="20"/>
    </row>
    <row r="64" spans="1:18" ht="15.75" customHeight="1" x14ac:dyDescent="0.3">
      <c r="A64" s="234" t="s">
        <v>1969</v>
      </c>
      <c r="B64" s="10">
        <f>B62+B136</f>
        <v>141913</v>
      </c>
      <c r="C64" s="10">
        <f>C62+C136</f>
        <v>128191</v>
      </c>
      <c r="D64" s="10">
        <f>D62+D136</f>
        <v>157742</v>
      </c>
      <c r="E64" s="15">
        <f>SUM(B64:D64)</f>
        <v>427846</v>
      </c>
      <c r="F64" s="10">
        <f>F62+F136</f>
        <v>157758</v>
      </c>
      <c r="G64" s="10">
        <f>G62+G136</f>
        <v>171343</v>
      </c>
      <c r="H64" s="10">
        <f>H62+H136</f>
        <v>96342</v>
      </c>
      <c r="I64" s="15">
        <f>SUM(F64:H64)</f>
        <v>425443</v>
      </c>
      <c r="J64" s="10">
        <f>J62+J136</f>
        <v>50873</v>
      </c>
      <c r="K64" s="10">
        <f>K62+K136</f>
        <v>51035</v>
      </c>
      <c r="L64" s="10">
        <f>L62+L136</f>
        <v>121756</v>
      </c>
      <c r="M64" s="15">
        <f>SUM(J64:L64)</f>
        <v>223664</v>
      </c>
      <c r="N64" s="10">
        <f>N62+N136</f>
        <v>163301</v>
      </c>
      <c r="O64" s="10">
        <f>O62+O136</f>
        <v>155840</v>
      </c>
      <c r="P64" s="10">
        <f>P62+P136</f>
        <v>78332</v>
      </c>
      <c r="Q64" s="29">
        <f>SUM(N64:P64)</f>
        <v>397473</v>
      </c>
      <c r="R64" s="15">
        <f>+E64+I64+M64+Q64</f>
        <v>1474426</v>
      </c>
    </row>
    <row r="65" spans="1:20" ht="16.5" customHeight="1" thickBot="1" x14ac:dyDescent="0.35">
      <c r="A65" s="237" t="s">
        <v>1970</v>
      </c>
      <c r="B65" s="294">
        <f>(B64/B10)/1.983</f>
        <v>2308.5419615115579</v>
      </c>
      <c r="C65" s="294">
        <f>(C64/C10)/1.983</f>
        <v>2308.7493696419565</v>
      </c>
      <c r="D65" s="294">
        <f>(D64/D10)/1.983</f>
        <v>2566.0371219885151</v>
      </c>
      <c r="E65" s="16"/>
      <c r="F65" s="294">
        <f>(F64/F10)/1.983</f>
        <v>2651.8406454866363</v>
      </c>
      <c r="G65" s="294">
        <f>(G64/G10)/1.983</f>
        <v>2787.288728384819</v>
      </c>
      <c r="H65" s="294">
        <f>(H64/H10)/1.983</f>
        <v>1619.4654563792233</v>
      </c>
      <c r="I65" s="16"/>
      <c r="J65" s="294">
        <f>(J64/J10)/1.983</f>
        <v>827.56657394303181</v>
      </c>
      <c r="K65" s="294">
        <f>(K64/K10)/1.983</f>
        <v>830.2018772469213</v>
      </c>
      <c r="L65" s="294">
        <f>(L64/L10)/1.983</f>
        <v>2046.663304757102</v>
      </c>
      <c r="M65" s="16"/>
      <c r="N65" s="294">
        <f>(N64/N10)/1.983</f>
        <v>2656.4670668423537</v>
      </c>
      <c r="O65" s="294">
        <f>(O64/O10)/1.983</f>
        <v>2619.5999327618088</v>
      </c>
      <c r="P65" s="294">
        <f>(P64/P10)/1.983</f>
        <v>1274.2504839523042</v>
      </c>
      <c r="Q65" s="30"/>
      <c r="R65" s="23" t="s">
        <v>852</v>
      </c>
    </row>
    <row r="66" spans="1:20" ht="15.75" customHeight="1" x14ac:dyDescent="0.3">
      <c r="A66" s="17"/>
      <c r="B66" s="10"/>
      <c r="C66" s="10"/>
      <c r="D66" s="10"/>
      <c r="E66" s="10"/>
      <c r="F66" s="10"/>
      <c r="G66" s="10"/>
      <c r="H66" s="10"/>
      <c r="I66" s="10"/>
      <c r="J66" s="10"/>
      <c r="K66" s="10"/>
      <c r="L66" s="10"/>
      <c r="M66" s="10"/>
      <c r="N66" s="10"/>
      <c r="O66" s="10"/>
      <c r="P66" s="10"/>
      <c r="Q66" s="10"/>
      <c r="R66" s="17"/>
    </row>
    <row r="67" spans="1:20" ht="15.75" customHeight="1" thickBot="1" x14ac:dyDescent="0.35">
      <c r="A67" s="17"/>
      <c r="B67" s="10"/>
      <c r="C67" s="10"/>
      <c r="D67" s="10"/>
      <c r="E67" s="10"/>
      <c r="F67" s="10"/>
      <c r="G67" s="10"/>
      <c r="H67" s="10"/>
      <c r="I67" s="10"/>
      <c r="J67" s="10"/>
      <c r="K67" s="10"/>
      <c r="L67" s="10"/>
      <c r="M67" s="10"/>
      <c r="N67" s="10"/>
      <c r="O67" s="10"/>
      <c r="P67" s="10"/>
      <c r="Q67" s="10"/>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306"/>
      <c r="C69" s="307"/>
      <c r="D69" s="307"/>
      <c r="E69" s="308"/>
      <c r="F69" s="307"/>
      <c r="G69" s="307"/>
      <c r="H69" s="307"/>
      <c r="I69" s="308"/>
      <c r="J69" s="307"/>
      <c r="K69" s="307"/>
      <c r="L69" s="307"/>
      <c r="M69" s="308"/>
      <c r="N69" s="307"/>
      <c r="O69" s="307"/>
      <c r="P69" s="309"/>
      <c r="Q69" s="308"/>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0"/>
      <c r="C72" s="10"/>
      <c r="D72" s="10"/>
      <c r="E72" s="38">
        <f t="shared" ref="E72:E84" si="5">SUM(B72:D72)</f>
        <v>0</v>
      </c>
      <c r="F72" s="10"/>
      <c r="G72" s="10"/>
      <c r="H72" s="10"/>
      <c r="I72" s="38">
        <f t="shared" ref="I72:I84" si="6">SUM(F72:H72)</f>
        <v>0</v>
      </c>
      <c r="J72" s="10"/>
      <c r="K72" s="10"/>
      <c r="L72" s="10"/>
      <c r="M72" s="38">
        <f t="shared" ref="M72:M84" si="7">SUM(J72:L72)</f>
        <v>0</v>
      </c>
      <c r="N72" s="10"/>
      <c r="O72" s="10"/>
      <c r="P72" s="10"/>
      <c r="Q72" s="38">
        <f t="shared" ref="Q72:Q84" si="8">SUM(N72:P72)</f>
        <v>0</v>
      </c>
      <c r="R72" s="38">
        <f t="shared" ref="R72:R84" si="9">+E72+I72+M72+Q72</f>
        <v>0</v>
      </c>
    </row>
    <row r="73" spans="1:20" ht="15.75" customHeight="1" x14ac:dyDescent="0.3">
      <c r="A73" s="539" t="s">
        <v>2732</v>
      </c>
      <c r="B73" s="10"/>
      <c r="C73" s="10"/>
      <c r="D73" s="10"/>
      <c r="E73" s="38">
        <f>SUM(B73:D73)</f>
        <v>0</v>
      </c>
      <c r="F73" s="10"/>
      <c r="G73" s="10"/>
      <c r="H73" s="10"/>
      <c r="I73" s="38">
        <f>SUM(F73:H73)</f>
        <v>0</v>
      </c>
      <c r="J73" s="10"/>
      <c r="K73" s="10"/>
      <c r="L73" s="10"/>
      <c r="M73" s="38">
        <f>SUM(J73:L73)</f>
        <v>0</v>
      </c>
      <c r="N73" s="10"/>
      <c r="O73" s="10"/>
      <c r="P73" s="10"/>
      <c r="Q73" s="38">
        <f>SUM(N73:P73)</f>
        <v>0</v>
      </c>
      <c r="R73" s="38">
        <f>+E73+I73+M73+Q73</f>
        <v>0</v>
      </c>
    </row>
    <row r="74" spans="1:20" ht="15.75" customHeight="1" x14ac:dyDescent="0.3">
      <c r="A74" s="539" t="s">
        <v>2060</v>
      </c>
      <c r="B74" s="10"/>
      <c r="C74" s="10"/>
      <c r="D74" s="10"/>
      <c r="E74" s="38">
        <f t="shared" si="5"/>
        <v>0</v>
      </c>
      <c r="F74" s="10"/>
      <c r="G74" s="10"/>
      <c r="H74" s="10"/>
      <c r="I74" s="38">
        <f t="shared" si="6"/>
        <v>0</v>
      </c>
      <c r="J74" s="10"/>
      <c r="K74" s="10"/>
      <c r="L74" s="10"/>
      <c r="M74" s="38">
        <f t="shared" si="7"/>
        <v>0</v>
      </c>
      <c r="N74" s="10"/>
      <c r="O74" s="10"/>
      <c r="P74" s="10"/>
      <c r="Q74" s="38">
        <f t="shared" si="8"/>
        <v>0</v>
      </c>
      <c r="R74" s="38">
        <f t="shared" si="9"/>
        <v>0</v>
      </c>
    </row>
    <row r="75" spans="1:20" ht="15.75" customHeight="1" x14ac:dyDescent="0.3">
      <c r="A75" s="539" t="s">
        <v>2773</v>
      </c>
      <c r="B75" s="10"/>
      <c r="C75" s="10">
        <v>100</v>
      </c>
      <c r="D75" s="10">
        <v>400</v>
      </c>
      <c r="E75" s="38">
        <f t="shared" si="5"/>
        <v>500</v>
      </c>
      <c r="F75" s="10">
        <v>500</v>
      </c>
      <c r="G75" s="10">
        <v>500</v>
      </c>
      <c r="H75" s="10">
        <v>750</v>
      </c>
      <c r="I75" s="38">
        <f t="shared" si="6"/>
        <v>1750</v>
      </c>
      <c r="J75" s="356">
        <v>536</v>
      </c>
      <c r="K75" s="10"/>
      <c r="L75" s="10"/>
      <c r="M75" s="38">
        <f t="shared" si="7"/>
        <v>536</v>
      </c>
      <c r="N75" s="10"/>
      <c r="O75" s="10"/>
      <c r="P75" s="10"/>
      <c r="Q75" s="38">
        <f t="shared" si="8"/>
        <v>0</v>
      </c>
      <c r="R75" s="38">
        <f t="shared" si="9"/>
        <v>2786</v>
      </c>
      <c r="T75" t="s">
        <v>2774</v>
      </c>
    </row>
    <row r="76" spans="1:20" ht="15.75" customHeight="1" x14ac:dyDescent="0.3">
      <c r="A76" s="539" t="s">
        <v>3240</v>
      </c>
      <c r="B76" s="10">
        <v>400</v>
      </c>
      <c r="C76" s="10">
        <v>500</v>
      </c>
      <c r="D76" s="10">
        <v>1400</v>
      </c>
      <c r="E76" s="38">
        <f t="shared" si="5"/>
        <v>2300</v>
      </c>
      <c r="F76" s="10">
        <v>1900</v>
      </c>
      <c r="G76" s="10">
        <v>67</v>
      </c>
      <c r="H76" s="10"/>
      <c r="I76" s="38">
        <f t="shared" si="6"/>
        <v>1967</v>
      </c>
      <c r="J76" s="10"/>
      <c r="K76" s="10"/>
      <c r="L76" s="10"/>
      <c r="M76" s="38">
        <f t="shared" si="7"/>
        <v>0</v>
      </c>
      <c r="N76" s="10"/>
      <c r="O76" s="10"/>
      <c r="P76" s="10"/>
      <c r="Q76" s="38">
        <f t="shared" si="8"/>
        <v>0</v>
      </c>
      <c r="R76" s="38">
        <f t="shared" si="9"/>
        <v>4267</v>
      </c>
      <c r="S76" s="736" t="s">
        <v>3213</v>
      </c>
      <c r="T76" t="s">
        <v>2774</v>
      </c>
    </row>
    <row r="77" spans="1:20" ht="15.75" customHeight="1" x14ac:dyDescent="0.3">
      <c r="A77" s="539" t="s">
        <v>3432</v>
      </c>
      <c r="B77" s="10">
        <v>1515</v>
      </c>
      <c r="C77" s="10">
        <v>1515</v>
      </c>
      <c r="D77" s="10">
        <v>1515</v>
      </c>
      <c r="E77" s="38">
        <f t="shared" si="5"/>
        <v>4545</v>
      </c>
      <c r="F77" s="10">
        <v>1515</v>
      </c>
      <c r="G77" s="10">
        <v>1515</v>
      </c>
      <c r="H77" s="10">
        <v>1515</v>
      </c>
      <c r="I77" s="38">
        <f t="shared" si="6"/>
        <v>4545</v>
      </c>
      <c r="J77" s="10">
        <v>1515</v>
      </c>
      <c r="K77" s="10">
        <v>1515</v>
      </c>
      <c r="L77" s="10">
        <v>1515</v>
      </c>
      <c r="M77" s="38">
        <f t="shared" si="7"/>
        <v>4545</v>
      </c>
      <c r="N77" s="10">
        <v>1515</v>
      </c>
      <c r="O77" s="10">
        <v>1515</v>
      </c>
      <c r="P77" s="10">
        <v>1520</v>
      </c>
      <c r="Q77" s="38">
        <f t="shared" ref="Q77" si="10">SUM(N77:P77)</f>
        <v>4550</v>
      </c>
      <c r="R77" s="38">
        <f t="shared" ref="R77" si="11">+E77+I77+M77+Q77</f>
        <v>18185</v>
      </c>
      <c r="S77" s="736"/>
    </row>
    <row r="78" spans="1:20" ht="15.75" customHeight="1" x14ac:dyDescent="0.3">
      <c r="A78" s="539" t="s">
        <v>2262</v>
      </c>
      <c r="B78" s="10"/>
      <c r="C78" s="10"/>
      <c r="D78" s="10"/>
      <c r="E78" s="38">
        <f t="shared" si="5"/>
        <v>0</v>
      </c>
      <c r="F78" s="10"/>
      <c r="G78" s="10"/>
      <c r="H78" s="10"/>
      <c r="I78" s="38">
        <f t="shared" si="6"/>
        <v>0</v>
      </c>
      <c r="J78" s="10"/>
      <c r="K78" s="10"/>
      <c r="L78" s="10"/>
      <c r="M78" s="38">
        <f t="shared" si="7"/>
        <v>0</v>
      </c>
      <c r="N78" s="10"/>
      <c r="O78" s="10"/>
      <c r="P78" s="10"/>
      <c r="Q78" s="38">
        <f t="shared" si="8"/>
        <v>0</v>
      </c>
      <c r="R78" s="38">
        <f t="shared" si="9"/>
        <v>0</v>
      </c>
    </row>
    <row r="79" spans="1:20" ht="15.75" customHeight="1" x14ac:dyDescent="0.3">
      <c r="A79" s="539" t="s">
        <v>789</v>
      </c>
      <c r="B79" s="10"/>
      <c r="C79" s="10"/>
      <c r="D79" s="10"/>
      <c r="E79" s="38">
        <f t="shared" si="5"/>
        <v>0</v>
      </c>
      <c r="F79" s="10"/>
      <c r="G79" s="10"/>
      <c r="H79" s="10"/>
      <c r="I79" s="38">
        <f t="shared" si="6"/>
        <v>0</v>
      </c>
      <c r="J79" s="10"/>
      <c r="K79" s="10"/>
      <c r="L79" s="10"/>
      <c r="M79" s="38">
        <f t="shared" si="7"/>
        <v>0</v>
      </c>
      <c r="N79" s="10"/>
      <c r="O79" s="10"/>
      <c r="P79" s="10"/>
      <c r="Q79" s="38">
        <f t="shared" si="8"/>
        <v>0</v>
      </c>
      <c r="R79" s="38">
        <f t="shared" si="9"/>
        <v>0</v>
      </c>
      <c r="T79" t="s">
        <v>2799</v>
      </c>
    </row>
    <row r="80" spans="1:20" ht="15.75" customHeight="1" x14ac:dyDescent="0.3">
      <c r="A80" s="410" t="s">
        <v>3130</v>
      </c>
      <c r="B80" s="10"/>
      <c r="C80" s="10"/>
      <c r="D80" s="10"/>
      <c r="E80" s="38">
        <f t="shared" si="5"/>
        <v>0</v>
      </c>
      <c r="F80" s="10"/>
      <c r="G80" s="10">
        <v>512</v>
      </c>
      <c r="H80" s="10">
        <v>512</v>
      </c>
      <c r="I80" s="38">
        <f t="shared" si="6"/>
        <v>1024</v>
      </c>
      <c r="J80" s="10">
        <v>512</v>
      </c>
      <c r="K80" s="10">
        <v>512</v>
      </c>
      <c r="L80" s="10"/>
      <c r="M80" s="38">
        <f t="shared" si="7"/>
        <v>1024</v>
      </c>
      <c r="N80" s="10"/>
      <c r="O80" s="10"/>
      <c r="P80" s="10"/>
      <c r="Q80" s="38">
        <f t="shared" si="8"/>
        <v>0</v>
      </c>
      <c r="R80" s="38">
        <f t="shared" si="9"/>
        <v>2048</v>
      </c>
    </row>
    <row r="81" spans="1:20" ht="15.75" customHeight="1" x14ac:dyDescent="0.3">
      <c r="A81" s="410" t="s">
        <v>2183</v>
      </c>
      <c r="B81" s="10"/>
      <c r="C81" s="10"/>
      <c r="D81" s="10"/>
      <c r="E81" s="38">
        <f t="shared" si="5"/>
        <v>0</v>
      </c>
      <c r="F81" s="10"/>
      <c r="G81" s="10"/>
      <c r="H81" s="10"/>
      <c r="I81" s="38">
        <f t="shared" si="6"/>
        <v>0</v>
      </c>
      <c r="J81" s="10"/>
      <c r="K81" s="10"/>
      <c r="L81" s="10"/>
      <c r="M81" s="38">
        <f t="shared" si="7"/>
        <v>0</v>
      </c>
      <c r="N81" s="10"/>
      <c r="O81" s="10"/>
      <c r="P81" s="10"/>
      <c r="Q81" s="38">
        <f t="shared" si="8"/>
        <v>0</v>
      </c>
      <c r="R81" s="38">
        <f t="shared" si="9"/>
        <v>0</v>
      </c>
    </row>
    <row r="82" spans="1:20" ht="15.75" customHeight="1" x14ac:dyDescent="0.3">
      <c r="A82" s="410" t="s">
        <v>3435</v>
      </c>
      <c r="B82" s="10"/>
      <c r="C82" s="10">
        <v>40</v>
      </c>
      <c r="D82" s="10">
        <v>40</v>
      </c>
      <c r="E82" s="38">
        <f t="shared" si="5"/>
        <v>80</v>
      </c>
      <c r="F82" s="10">
        <v>40</v>
      </c>
      <c r="G82" s="10">
        <v>40</v>
      </c>
      <c r="H82" s="10">
        <v>40</v>
      </c>
      <c r="I82" s="38">
        <f t="shared" si="6"/>
        <v>120</v>
      </c>
      <c r="J82" s="10">
        <v>40</v>
      </c>
      <c r="K82" s="10">
        <v>40</v>
      </c>
      <c r="L82" s="10">
        <v>40</v>
      </c>
      <c r="M82" s="38">
        <f t="shared" si="7"/>
        <v>120</v>
      </c>
      <c r="N82" s="10">
        <v>40</v>
      </c>
      <c r="O82" s="10">
        <v>40</v>
      </c>
      <c r="P82" s="10"/>
      <c r="Q82" s="38">
        <f t="shared" ref="Q82" si="12">SUM(N82:P82)</f>
        <v>80</v>
      </c>
      <c r="R82" s="38">
        <f t="shared" ref="R82" si="13">+E82+I82+M82+Q82</f>
        <v>400</v>
      </c>
    </row>
    <row r="83" spans="1:20" ht="15.75" customHeight="1" x14ac:dyDescent="0.3">
      <c r="A83" s="410" t="s">
        <v>2947</v>
      </c>
      <c r="B83" s="10"/>
      <c r="C83" s="10"/>
      <c r="D83" s="10"/>
      <c r="E83" s="38">
        <f>SUM(B83:D83)</f>
        <v>0</v>
      </c>
      <c r="F83" s="10"/>
      <c r="G83" s="10"/>
      <c r="H83" s="10"/>
      <c r="I83" s="38">
        <f>SUM(F83:H83)</f>
        <v>0</v>
      </c>
      <c r="J83" s="10"/>
      <c r="K83" s="10"/>
      <c r="L83" s="10"/>
      <c r="M83" s="38">
        <f>SUM(J83:L83)</f>
        <v>0</v>
      </c>
      <c r="N83" s="10"/>
      <c r="O83" s="10"/>
      <c r="P83" s="10"/>
      <c r="Q83" s="38">
        <f>SUM(N83:P83)</f>
        <v>0</v>
      </c>
      <c r="R83" s="38">
        <f t="shared" si="9"/>
        <v>0</v>
      </c>
    </row>
    <row r="84" spans="1:20" ht="15.75" customHeight="1" x14ac:dyDescent="0.3">
      <c r="A84" s="410" t="s">
        <v>86</v>
      </c>
      <c r="B84" s="10"/>
      <c r="C84" s="10"/>
      <c r="D84" s="10"/>
      <c r="E84" s="38">
        <f t="shared" si="5"/>
        <v>0</v>
      </c>
      <c r="F84" s="10"/>
      <c r="G84" s="10"/>
      <c r="H84" s="10"/>
      <c r="I84" s="38">
        <f t="shared" si="6"/>
        <v>0</v>
      </c>
      <c r="J84" s="10"/>
      <c r="K84" s="10"/>
      <c r="L84" s="10"/>
      <c r="M84" s="38">
        <f t="shared" si="7"/>
        <v>0</v>
      </c>
      <c r="N84" s="10"/>
      <c r="O84" s="10"/>
      <c r="P84" s="10"/>
      <c r="Q84" s="38">
        <f t="shared" si="8"/>
        <v>0</v>
      </c>
      <c r="R84" s="38">
        <f t="shared" si="9"/>
        <v>0</v>
      </c>
      <c r="S84">
        <f>SUM(R72:R84)</f>
        <v>27686</v>
      </c>
    </row>
    <row r="85" spans="1:20" ht="15.75" customHeight="1" x14ac:dyDescent="0.3">
      <c r="A85" s="235" t="s">
        <v>2161</v>
      </c>
      <c r="B85" s="18"/>
      <c r="C85" s="18"/>
      <c r="D85" s="18"/>
      <c r="E85" s="38" t="s">
        <v>852</v>
      </c>
      <c r="F85" s="18"/>
      <c r="G85" s="18"/>
      <c r="H85" s="18"/>
      <c r="I85" s="38" t="s">
        <v>852</v>
      </c>
      <c r="J85" s="18"/>
      <c r="K85" s="18"/>
      <c r="L85" s="18"/>
      <c r="M85" s="38" t="s">
        <v>852</v>
      </c>
      <c r="N85" s="18"/>
      <c r="O85" s="18"/>
      <c r="P85" s="18"/>
      <c r="Q85" s="38" t="s">
        <v>852</v>
      </c>
      <c r="R85" s="38" t="s">
        <v>852</v>
      </c>
    </row>
    <row r="86" spans="1:20" ht="15.75" customHeight="1" x14ac:dyDescent="0.3">
      <c r="A86" s="410" t="s">
        <v>2419</v>
      </c>
      <c r="B86" s="10"/>
      <c r="C86" s="10"/>
      <c r="D86" s="10"/>
      <c r="E86" s="38">
        <f>SUM(B86:D86)</f>
        <v>0</v>
      </c>
      <c r="F86" s="10"/>
      <c r="G86" s="10"/>
      <c r="H86" s="10"/>
      <c r="I86" s="38">
        <f>SUM(F86:H86)</f>
        <v>0</v>
      </c>
      <c r="J86" s="10"/>
      <c r="K86" s="10"/>
      <c r="L86" s="10"/>
      <c r="M86" s="38">
        <f>SUM(J86:L86)</f>
        <v>0</v>
      </c>
      <c r="N86" s="10"/>
      <c r="O86" s="10"/>
      <c r="P86" s="10"/>
      <c r="Q86" s="38">
        <f>SUM(N86:P86)</f>
        <v>0</v>
      </c>
      <c r="R86" s="38">
        <f>+E86+I86+M86+Q86</f>
        <v>0</v>
      </c>
    </row>
    <row r="87" spans="1:20" ht="15.75" customHeight="1" x14ac:dyDescent="0.3">
      <c r="A87" s="235" t="s">
        <v>3245</v>
      </c>
      <c r="B87" s="18"/>
      <c r="C87" s="18"/>
      <c r="D87" s="18"/>
      <c r="E87" s="38" t="s">
        <v>1598</v>
      </c>
      <c r="F87" s="18"/>
      <c r="G87" s="18"/>
      <c r="H87" s="18"/>
      <c r="I87" s="38" t="s">
        <v>1598</v>
      </c>
      <c r="J87" s="18"/>
      <c r="K87" s="18"/>
      <c r="L87" s="18"/>
      <c r="M87" s="38" t="s">
        <v>1598</v>
      </c>
      <c r="N87" s="18"/>
      <c r="O87" s="18"/>
      <c r="P87" s="18"/>
      <c r="Q87" s="38" t="s">
        <v>1598</v>
      </c>
      <c r="R87" s="38" t="s">
        <v>1598</v>
      </c>
    </row>
    <row r="88" spans="1:20" ht="15.75" customHeight="1" x14ac:dyDescent="0.3">
      <c r="A88" s="422" t="s">
        <v>3241</v>
      </c>
      <c r="B88" s="10"/>
      <c r="C88" s="10"/>
      <c r="D88" s="10"/>
      <c r="E88" s="38">
        <f>SUM(B88:D88)</f>
        <v>0</v>
      </c>
      <c r="F88" s="10"/>
      <c r="G88" s="10"/>
      <c r="H88" s="10"/>
      <c r="I88" s="38">
        <f>SUM(F88:H88)</f>
        <v>0</v>
      </c>
      <c r="J88" s="10"/>
      <c r="K88" s="10"/>
      <c r="L88" s="10"/>
      <c r="M88" s="38">
        <f>SUM(J88:L88)</f>
        <v>0</v>
      </c>
      <c r="N88" s="10"/>
      <c r="O88" s="10"/>
      <c r="P88" s="10"/>
      <c r="Q88" s="38">
        <f>SUM(N88:P88)</f>
        <v>0</v>
      </c>
      <c r="R88" s="38">
        <f>+E88+I88+M88+Q88</f>
        <v>0</v>
      </c>
      <c r="S88" s="735" t="s">
        <v>3214</v>
      </c>
    </row>
    <row r="89" spans="1:20" ht="15.75" customHeight="1" x14ac:dyDescent="0.3">
      <c r="A89" s="422" t="s">
        <v>3242</v>
      </c>
      <c r="B89" s="10"/>
      <c r="C89" s="10"/>
      <c r="D89" s="10"/>
      <c r="E89" s="38">
        <f>SUM(B89:D89)</f>
        <v>0</v>
      </c>
      <c r="F89" s="10"/>
      <c r="G89" s="10"/>
      <c r="H89" s="10"/>
      <c r="I89" s="38">
        <f>SUM(F89:H89)</f>
        <v>0</v>
      </c>
      <c r="J89" s="10"/>
      <c r="K89" s="10"/>
      <c r="L89" s="10"/>
      <c r="M89" s="38">
        <f>SUM(J89:L89)</f>
        <v>0</v>
      </c>
      <c r="N89" s="10"/>
      <c r="O89" s="10"/>
      <c r="P89" s="10"/>
      <c r="Q89" s="38">
        <f>SUM(N89:P89)</f>
        <v>0</v>
      </c>
      <c r="R89" s="38">
        <f>+E89+I89+M89+Q89</f>
        <v>0</v>
      </c>
      <c r="S89" s="735" t="s">
        <v>3214</v>
      </c>
      <c r="T89" t="s">
        <v>2774</v>
      </c>
    </row>
    <row r="90" spans="1:20" ht="15.75" customHeight="1" thickBot="1" x14ac:dyDescent="0.35">
      <c r="A90" s="235" t="s">
        <v>2164</v>
      </c>
      <c r="B90" s="248"/>
      <c r="C90" s="248"/>
      <c r="D90" s="248"/>
      <c r="E90" s="38" t="s">
        <v>852</v>
      </c>
      <c r="F90" s="248"/>
      <c r="G90" s="248"/>
      <c r="H90" s="248"/>
      <c r="I90" s="38" t="s">
        <v>852</v>
      </c>
      <c r="J90" s="248"/>
      <c r="K90" s="248"/>
      <c r="L90" s="248"/>
      <c r="M90" s="38" t="s">
        <v>852</v>
      </c>
      <c r="N90" s="248"/>
      <c r="O90" s="248"/>
      <c r="P90" s="248"/>
      <c r="Q90" s="38" t="s">
        <v>852</v>
      </c>
      <c r="R90" s="38" t="s">
        <v>852</v>
      </c>
    </row>
    <row r="91" spans="1:20" ht="16.5" customHeight="1" thickBot="1" x14ac:dyDescent="0.35">
      <c r="A91" s="43" t="s">
        <v>1218</v>
      </c>
      <c r="B91" s="42">
        <f>SUM(B70:B90)</f>
        <v>1915</v>
      </c>
      <c r="C91" s="42">
        <f>SUM(C70:C90)</f>
        <v>2155</v>
      </c>
      <c r="D91" s="42">
        <f>SUM(D70:D90)</f>
        <v>3355</v>
      </c>
      <c r="E91" s="37">
        <f>SUM(B91:D91)</f>
        <v>7425</v>
      </c>
      <c r="F91" s="42">
        <f>SUM(F70:F90)</f>
        <v>3955</v>
      </c>
      <c r="G91" s="42">
        <f>SUM(G70:G90)</f>
        <v>2634</v>
      </c>
      <c r="H91" s="42">
        <f>SUM(H70:H90)</f>
        <v>2817</v>
      </c>
      <c r="I91" s="37">
        <f>SUM(F91:H91)</f>
        <v>9406</v>
      </c>
      <c r="J91" s="42">
        <f>SUM(J70:J90)</f>
        <v>2603</v>
      </c>
      <c r="K91" s="42">
        <f>SUM(K70:K90)</f>
        <v>2067</v>
      </c>
      <c r="L91" s="42">
        <f>SUM(L70:L90)</f>
        <v>1555</v>
      </c>
      <c r="M91" s="37">
        <f>SUM(J91:L91)</f>
        <v>6225</v>
      </c>
      <c r="N91" s="42">
        <f>SUM(N70:N90)</f>
        <v>1555</v>
      </c>
      <c r="O91" s="42">
        <f>SUM(O70:O90)</f>
        <v>1555</v>
      </c>
      <c r="P91" s="42">
        <f>SUM(P70:P90)</f>
        <v>1520</v>
      </c>
      <c r="Q91" s="37">
        <f>SUM(N91:P91)</f>
        <v>4630</v>
      </c>
      <c r="R91" s="37">
        <f>+E91+I91+M91+Q91</f>
        <v>27686</v>
      </c>
    </row>
    <row r="92" spans="1:20" ht="15.75" customHeight="1" x14ac:dyDescent="0.3">
      <c r="A92" s="235" t="s">
        <v>1172</v>
      </c>
      <c r="B92" s="248"/>
      <c r="C92" s="248"/>
      <c r="D92" s="248"/>
      <c r="E92" s="38" t="s">
        <v>852</v>
      </c>
      <c r="F92" s="248"/>
      <c r="G92" s="248"/>
      <c r="H92" s="248"/>
      <c r="I92" s="38" t="s">
        <v>852</v>
      </c>
      <c r="J92" s="248"/>
      <c r="K92" s="248"/>
      <c r="L92" s="248"/>
      <c r="M92" s="38" t="s">
        <v>852</v>
      </c>
      <c r="N92" s="248"/>
      <c r="O92" s="248"/>
      <c r="P92" s="248"/>
      <c r="Q92" s="38" t="s">
        <v>852</v>
      </c>
      <c r="R92" s="39" t="s">
        <v>852</v>
      </c>
    </row>
    <row r="93" spans="1:20" ht="15.75" customHeight="1" x14ac:dyDescent="0.3">
      <c r="A93" s="235" t="s">
        <v>1658</v>
      </c>
      <c r="B93" s="248"/>
      <c r="C93" s="248"/>
      <c r="D93" s="248"/>
      <c r="E93" s="38" t="s">
        <v>852</v>
      </c>
      <c r="F93" s="248"/>
      <c r="G93" s="248"/>
      <c r="H93" s="248"/>
      <c r="I93" s="38" t="s">
        <v>852</v>
      </c>
      <c r="J93" s="248"/>
      <c r="K93" s="248"/>
      <c r="L93" s="248"/>
      <c r="M93" s="38" t="s">
        <v>852</v>
      </c>
      <c r="N93" s="248"/>
      <c r="O93" s="248"/>
      <c r="P93" s="248"/>
      <c r="Q93" s="38" t="s">
        <v>852</v>
      </c>
      <c r="R93" s="38" t="s">
        <v>852</v>
      </c>
    </row>
    <row r="94" spans="1:20" ht="15.75" customHeight="1" x14ac:dyDescent="0.3">
      <c r="A94" s="235" t="s">
        <v>2409</v>
      </c>
      <c r="B94" s="248"/>
      <c r="C94" s="248"/>
      <c r="D94" s="248"/>
      <c r="E94" s="38" t="s">
        <v>852</v>
      </c>
      <c r="F94" s="248"/>
      <c r="G94" s="248"/>
      <c r="H94" s="248"/>
      <c r="I94" s="38" t="s">
        <v>852</v>
      </c>
      <c r="J94" s="248"/>
      <c r="K94" s="248"/>
      <c r="L94" s="248"/>
      <c r="M94" s="38" t="s">
        <v>852</v>
      </c>
      <c r="N94" s="248"/>
      <c r="O94" s="248"/>
      <c r="P94" s="248"/>
      <c r="Q94" s="38" t="s">
        <v>852</v>
      </c>
      <c r="R94" s="38" t="s">
        <v>852</v>
      </c>
    </row>
    <row r="95" spans="1:20" ht="15.75" customHeight="1" x14ac:dyDescent="0.3">
      <c r="A95" s="410" t="s">
        <v>701</v>
      </c>
      <c r="B95" s="10">
        <v>400</v>
      </c>
      <c r="C95" s="10">
        <v>400</v>
      </c>
      <c r="D95" s="10">
        <v>1598</v>
      </c>
      <c r="E95" s="38">
        <f>SUM(B95:D95)</f>
        <v>2398</v>
      </c>
      <c r="F95" s="10">
        <v>2318</v>
      </c>
      <c r="G95" s="10">
        <v>3198</v>
      </c>
      <c r="H95" s="10">
        <v>3198</v>
      </c>
      <c r="I95" s="38">
        <f>SUM(F95:H95)</f>
        <v>8714</v>
      </c>
      <c r="J95" s="10">
        <v>3198</v>
      </c>
      <c r="K95" s="10">
        <v>2398</v>
      </c>
      <c r="L95" s="10">
        <v>1199</v>
      </c>
      <c r="M95" s="38">
        <f>SUM(J95:L95)</f>
        <v>6795</v>
      </c>
      <c r="N95" s="10">
        <v>799</v>
      </c>
      <c r="O95" s="10">
        <v>322</v>
      </c>
      <c r="P95" s="10">
        <v>480</v>
      </c>
      <c r="Q95" s="38">
        <f>SUM(N95:P95)</f>
        <v>1601</v>
      </c>
      <c r="R95" s="38">
        <f>+E95+I95+M95+Q95</f>
        <v>19508</v>
      </c>
      <c r="T95" t="s">
        <v>2810</v>
      </c>
    </row>
    <row r="96" spans="1:20" ht="15.75" customHeight="1" x14ac:dyDescent="0.3">
      <c r="A96" s="410" t="s">
        <v>702</v>
      </c>
      <c r="B96" s="10"/>
      <c r="C96" s="10"/>
      <c r="D96" s="10"/>
      <c r="E96" s="38">
        <f>SUM(B96:D96)</f>
        <v>0</v>
      </c>
      <c r="F96" s="10"/>
      <c r="G96" s="10">
        <v>160</v>
      </c>
      <c r="H96" s="10">
        <v>200</v>
      </c>
      <c r="I96" s="38">
        <f>SUM(F96:H96)</f>
        <v>360</v>
      </c>
      <c r="J96" s="10">
        <v>268</v>
      </c>
      <c r="K96" s="10">
        <v>268</v>
      </c>
      <c r="L96" s="10">
        <v>412</v>
      </c>
      <c r="M96" s="38">
        <f>SUM(J96:L96)</f>
        <v>948</v>
      </c>
      <c r="N96" s="10">
        <v>570</v>
      </c>
      <c r="O96" s="10">
        <v>196</v>
      </c>
      <c r="P96" s="10"/>
      <c r="Q96" s="38">
        <f>SUM(N96:P96)</f>
        <v>766</v>
      </c>
      <c r="R96" s="38">
        <f>+E96+I96+M96+Q96</f>
        <v>2074</v>
      </c>
      <c r="T96" t="s">
        <v>2774</v>
      </c>
    </row>
    <row r="97" spans="1:20" ht="15.75" customHeight="1" thickBot="1" x14ac:dyDescent="0.35">
      <c r="A97" s="235" t="s">
        <v>2165</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6.5" customHeight="1" thickBot="1" x14ac:dyDescent="0.35">
      <c r="A98" s="43" t="s">
        <v>1219</v>
      </c>
      <c r="B98" s="42">
        <f>SUM(B92:B97)</f>
        <v>400</v>
      </c>
      <c r="C98" s="42">
        <f>SUM(C92:C97)</f>
        <v>400</v>
      </c>
      <c r="D98" s="42">
        <f>SUM(D92:D97)</f>
        <v>1598</v>
      </c>
      <c r="E98" s="37">
        <f>SUM(B98:D98)</f>
        <v>2398</v>
      </c>
      <c r="F98" s="42">
        <f>SUM(F92:F97)</f>
        <v>2318</v>
      </c>
      <c r="G98" s="42">
        <f>SUM(G92:G97)</f>
        <v>3358</v>
      </c>
      <c r="H98" s="42">
        <f>SUM(H92:H97)</f>
        <v>3398</v>
      </c>
      <c r="I98" s="37">
        <f>SUM(F98:H98)</f>
        <v>9074</v>
      </c>
      <c r="J98" s="42">
        <f>SUM(J92:J97)</f>
        <v>3466</v>
      </c>
      <c r="K98" s="42">
        <f>SUM(K92:K97)</f>
        <v>2666</v>
      </c>
      <c r="L98" s="42">
        <f>SUM(L92:L97)</f>
        <v>1611</v>
      </c>
      <c r="M98" s="37">
        <f>SUM(J98:L98)</f>
        <v>7743</v>
      </c>
      <c r="N98" s="42">
        <f>SUM(N92:N97)</f>
        <v>1369</v>
      </c>
      <c r="O98" s="42">
        <f>SUM(O92:O97)</f>
        <v>518</v>
      </c>
      <c r="P98" s="42">
        <f>SUM(P92:P97)</f>
        <v>480</v>
      </c>
      <c r="Q98" s="37">
        <f>SUM(N98:P98)</f>
        <v>2367</v>
      </c>
      <c r="R98" s="37">
        <f>+E98+I98+M98+Q98</f>
        <v>21582</v>
      </c>
    </row>
    <row r="99" spans="1:20" ht="15.75" customHeight="1" x14ac:dyDescent="0.3">
      <c r="A99" s="235" t="s">
        <v>2166</v>
      </c>
      <c r="B99" s="248"/>
      <c r="C99" s="248"/>
      <c r="D99" s="248"/>
      <c r="E99" s="38" t="s">
        <v>852</v>
      </c>
      <c r="F99" s="248"/>
      <c r="G99" s="248"/>
      <c r="H99" s="248"/>
      <c r="I99" s="38" t="s">
        <v>852</v>
      </c>
      <c r="J99" s="248"/>
      <c r="K99" s="248"/>
      <c r="L99" s="248"/>
      <c r="M99" s="38" t="s">
        <v>852</v>
      </c>
      <c r="N99" s="248"/>
      <c r="O99" s="248"/>
      <c r="P99" s="248"/>
      <c r="Q99" s="38" t="s">
        <v>852</v>
      </c>
      <c r="R99" s="38" t="s">
        <v>852</v>
      </c>
    </row>
    <row r="100" spans="1:20" ht="15.75" customHeight="1" x14ac:dyDescent="0.3">
      <c r="A100" s="235" t="s">
        <v>1245</v>
      </c>
      <c r="B100" s="248"/>
      <c r="C100" s="248"/>
      <c r="D100" s="248"/>
      <c r="E100" s="38" t="s">
        <v>852</v>
      </c>
      <c r="F100" s="248"/>
      <c r="G100" s="248"/>
      <c r="H100" s="248"/>
      <c r="I100" s="38" t="s">
        <v>852</v>
      </c>
      <c r="J100" s="248"/>
      <c r="K100" s="248"/>
      <c r="L100" s="248"/>
      <c r="M100" s="38" t="s">
        <v>852</v>
      </c>
      <c r="N100" s="248"/>
      <c r="O100" s="248"/>
      <c r="P100" s="248"/>
      <c r="Q100" s="38" t="s">
        <v>852</v>
      </c>
      <c r="R100" s="38" t="s">
        <v>852</v>
      </c>
    </row>
    <row r="101" spans="1:20" ht="15.75" customHeight="1" x14ac:dyDescent="0.3">
      <c r="A101" s="235" t="s">
        <v>1711</v>
      </c>
      <c r="B101" s="248"/>
      <c r="C101" s="248"/>
      <c r="D101" s="248"/>
      <c r="E101" s="38"/>
      <c r="F101" s="248"/>
      <c r="G101" s="248"/>
      <c r="H101" s="248"/>
      <c r="I101" s="38"/>
      <c r="J101" s="248"/>
      <c r="K101" s="248"/>
      <c r="L101" s="248"/>
      <c r="M101" s="38"/>
      <c r="N101" s="248"/>
      <c r="O101" s="248"/>
      <c r="P101" s="248"/>
      <c r="Q101" s="38"/>
      <c r="R101" s="38"/>
    </row>
    <row r="102" spans="1:20" ht="15.75" customHeight="1" x14ac:dyDescent="0.3">
      <c r="A102" s="410" t="s">
        <v>1584</v>
      </c>
      <c r="B102" s="10"/>
      <c r="C102" s="10"/>
      <c r="D102" s="10"/>
      <c r="E102" s="38">
        <f t="shared" ref="E102:E110" si="14">SUM(B102:D102)</f>
        <v>0</v>
      </c>
      <c r="F102" s="10"/>
      <c r="G102" s="10"/>
      <c r="H102" s="10"/>
      <c r="I102" s="38">
        <f t="shared" ref="I102:I110" si="15">SUM(F102:H102)</f>
        <v>0</v>
      </c>
      <c r="J102" s="10"/>
      <c r="K102" s="10"/>
      <c r="L102" s="10"/>
      <c r="M102" s="38">
        <f t="shared" ref="M102:M110" si="16">SUM(J102:L102)</f>
        <v>0</v>
      </c>
      <c r="N102" s="10"/>
      <c r="O102" s="10"/>
      <c r="P102" s="10"/>
      <c r="Q102" s="38">
        <f t="shared" ref="Q102:Q110" si="17">SUM(N102:P102)</f>
        <v>0</v>
      </c>
      <c r="R102" s="38">
        <f t="shared" ref="R102:R110" si="18">+E102+I102+M102+Q102</f>
        <v>0</v>
      </c>
    </row>
    <row r="103" spans="1:20" ht="15.75" customHeight="1" x14ac:dyDescent="0.3">
      <c r="A103" s="410" t="s">
        <v>1977</v>
      </c>
      <c r="B103" s="10"/>
      <c r="C103" s="10"/>
      <c r="D103" s="10"/>
      <c r="E103" s="38">
        <f t="shared" si="14"/>
        <v>0</v>
      </c>
      <c r="F103" s="10"/>
      <c r="G103" s="10"/>
      <c r="H103" s="10"/>
      <c r="I103" s="38">
        <f t="shared" si="15"/>
        <v>0</v>
      </c>
      <c r="J103" s="10"/>
      <c r="K103" s="10"/>
      <c r="L103" s="10"/>
      <c r="M103" s="38">
        <f t="shared" si="16"/>
        <v>0</v>
      </c>
      <c r="N103" s="10"/>
      <c r="O103" s="10"/>
      <c r="P103" s="10"/>
      <c r="Q103" s="38">
        <f t="shared" si="17"/>
        <v>0</v>
      </c>
      <c r="R103" s="38">
        <f t="shared" si="18"/>
        <v>0</v>
      </c>
    </row>
    <row r="104" spans="1:20" ht="15.75" customHeight="1" x14ac:dyDescent="0.3">
      <c r="A104" s="410" t="s">
        <v>3287</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customHeight="1" x14ac:dyDescent="0.3">
      <c r="A105" s="410" t="s">
        <v>3155</v>
      </c>
      <c r="B105" s="10"/>
      <c r="C105" s="10"/>
      <c r="D105" s="10"/>
      <c r="E105" s="38">
        <f>SUM(B105:D105)</f>
        <v>0</v>
      </c>
      <c r="F105" s="10"/>
      <c r="G105" s="10"/>
      <c r="H105" s="10"/>
      <c r="I105" s="38">
        <f>SUM(F105:H105)</f>
        <v>0</v>
      </c>
      <c r="J105" s="10"/>
      <c r="K105" s="10"/>
      <c r="L105" s="10"/>
      <c r="M105" s="38">
        <f>SUM(J105:L105)</f>
        <v>0</v>
      </c>
      <c r="N105" s="10"/>
      <c r="O105" s="10"/>
      <c r="P105" s="10"/>
      <c r="Q105" s="38">
        <f>SUM(N105:P105)</f>
        <v>0</v>
      </c>
      <c r="R105" s="38">
        <f>+E105+I105+M105+Q105</f>
        <v>0</v>
      </c>
      <c r="T105" t="s">
        <v>2799</v>
      </c>
    </row>
    <row r="106" spans="1:20" ht="15.75" customHeight="1" x14ac:dyDescent="0.3">
      <c r="A106" s="410" t="s">
        <v>436</v>
      </c>
      <c r="B106" s="10"/>
      <c r="C106" s="10"/>
      <c r="D106" s="10"/>
      <c r="E106" s="38">
        <f>SUM(B106:D106)</f>
        <v>0</v>
      </c>
      <c r="F106" s="10"/>
      <c r="G106" s="10"/>
      <c r="H106" s="10"/>
      <c r="I106" s="38">
        <f>SUM(F106:H106)</f>
        <v>0</v>
      </c>
      <c r="J106" s="10"/>
      <c r="K106" s="10"/>
      <c r="L106" s="10"/>
      <c r="M106" s="38">
        <f>SUM(J106:L106)</f>
        <v>0</v>
      </c>
      <c r="N106" s="10"/>
      <c r="O106" s="10"/>
      <c r="P106" s="10"/>
      <c r="Q106" s="38">
        <f>SUM(N106:P106)</f>
        <v>0</v>
      </c>
      <c r="R106" s="38">
        <f>+E106+I106+M106+Q106</f>
        <v>0</v>
      </c>
    </row>
    <row r="107" spans="1:20" ht="15.75" customHeight="1" x14ac:dyDescent="0.3">
      <c r="A107" s="410" t="s">
        <v>3288</v>
      </c>
      <c r="B107" s="10"/>
      <c r="C107" s="10"/>
      <c r="D107" s="10"/>
      <c r="E107" s="38">
        <f t="shared" si="14"/>
        <v>0</v>
      </c>
      <c r="F107" s="10"/>
      <c r="G107" s="10"/>
      <c r="H107" s="10"/>
      <c r="I107" s="38">
        <f t="shared" si="15"/>
        <v>0</v>
      </c>
      <c r="J107" s="10"/>
      <c r="K107" s="10"/>
      <c r="L107" s="10"/>
      <c r="M107" s="38">
        <f t="shared" si="16"/>
        <v>0</v>
      </c>
      <c r="N107" s="10"/>
      <c r="O107" s="10"/>
      <c r="P107" s="10"/>
      <c r="Q107" s="38">
        <f t="shared" si="17"/>
        <v>0</v>
      </c>
      <c r="R107" s="38">
        <f t="shared" si="18"/>
        <v>0</v>
      </c>
    </row>
    <row r="108" spans="1:20" ht="15.75" customHeight="1" x14ac:dyDescent="0.3">
      <c r="A108" s="410" t="s">
        <v>2261</v>
      </c>
      <c r="B108" s="10"/>
      <c r="C108" s="10"/>
      <c r="D108" s="10"/>
      <c r="E108" s="38">
        <f t="shared" si="14"/>
        <v>0</v>
      </c>
      <c r="F108" s="10"/>
      <c r="G108" s="10"/>
      <c r="H108" s="10"/>
      <c r="I108" s="38">
        <f t="shared" si="15"/>
        <v>0</v>
      </c>
      <c r="J108" s="10"/>
      <c r="K108" s="10"/>
      <c r="L108" s="10"/>
      <c r="M108" s="38">
        <f t="shared" si="16"/>
        <v>0</v>
      </c>
      <c r="N108" s="10"/>
      <c r="O108" s="10"/>
      <c r="P108" s="10"/>
      <c r="Q108" s="38">
        <f t="shared" ref="Q108" si="19">SUM(N108:P108)</f>
        <v>0</v>
      </c>
      <c r="R108" s="38">
        <f t="shared" si="18"/>
        <v>0</v>
      </c>
    </row>
    <row r="109" spans="1:20" ht="15.75" customHeight="1" thickBot="1" x14ac:dyDescent="0.35">
      <c r="A109" s="410" t="s">
        <v>3366</v>
      </c>
      <c r="B109" s="10"/>
      <c r="C109" s="10"/>
      <c r="D109" s="10"/>
      <c r="E109" s="38">
        <f t="shared" si="14"/>
        <v>0</v>
      </c>
      <c r="F109" s="10"/>
      <c r="G109" s="10">
        <v>1333</v>
      </c>
      <c r="H109" s="10">
        <v>1600</v>
      </c>
      <c r="I109" s="38">
        <f t="shared" si="15"/>
        <v>2933</v>
      </c>
      <c r="J109" s="10">
        <v>1400</v>
      </c>
      <c r="K109" s="10">
        <v>1300</v>
      </c>
      <c r="L109" s="10">
        <v>1100</v>
      </c>
      <c r="M109" s="38">
        <f t="shared" si="16"/>
        <v>3800</v>
      </c>
      <c r="N109" s="10">
        <v>550</v>
      </c>
      <c r="O109" s="10">
        <v>250</v>
      </c>
      <c r="P109" s="10">
        <v>200</v>
      </c>
      <c r="Q109" s="38">
        <f t="shared" si="17"/>
        <v>1000</v>
      </c>
      <c r="R109" s="38">
        <f t="shared" si="18"/>
        <v>7733</v>
      </c>
    </row>
    <row r="110" spans="1:20" ht="16.5" customHeight="1" thickBot="1" x14ac:dyDescent="0.35">
      <c r="A110" s="43" t="s">
        <v>1220</v>
      </c>
      <c r="B110" s="42">
        <f>SUM(B99:B109)</f>
        <v>0</v>
      </c>
      <c r="C110" s="42">
        <f>SUM(C99:C109)</f>
        <v>0</v>
      </c>
      <c r="D110" s="42">
        <f>SUM(D99:D109)</f>
        <v>0</v>
      </c>
      <c r="E110" s="37">
        <f t="shared" si="14"/>
        <v>0</v>
      </c>
      <c r="F110" s="42">
        <f>SUM(F99:F109)</f>
        <v>0</v>
      </c>
      <c r="G110" s="42">
        <f>SUM(G99:G109)</f>
        <v>1333</v>
      </c>
      <c r="H110" s="42">
        <f>SUM(H99:H109)</f>
        <v>1600</v>
      </c>
      <c r="I110" s="37">
        <f t="shared" si="15"/>
        <v>2933</v>
      </c>
      <c r="J110" s="42">
        <f>SUM(J99:J109)</f>
        <v>1400</v>
      </c>
      <c r="K110" s="42">
        <f>SUM(K99:K109)</f>
        <v>1300</v>
      </c>
      <c r="L110" s="42">
        <f>SUM(L99:L109)</f>
        <v>1100</v>
      </c>
      <c r="M110" s="37">
        <f t="shared" si="16"/>
        <v>3800</v>
      </c>
      <c r="N110" s="42">
        <f>SUM(N99:N109)</f>
        <v>550</v>
      </c>
      <c r="O110" s="42">
        <f>SUM(O99:O109)</f>
        <v>250</v>
      </c>
      <c r="P110" s="42">
        <f>SUM(P99:P109)</f>
        <v>200</v>
      </c>
      <c r="Q110" s="37">
        <f t="shared" si="17"/>
        <v>1000</v>
      </c>
      <c r="R110" s="37">
        <f t="shared" si="18"/>
        <v>7733</v>
      </c>
    </row>
    <row r="111" spans="1:20" ht="15.75" customHeight="1" x14ac:dyDescent="0.3">
      <c r="A111" s="235" t="s">
        <v>1712</v>
      </c>
      <c r="B111" s="248"/>
      <c r="C111" s="248"/>
      <c r="D111" s="248"/>
      <c r="E111" s="38" t="s">
        <v>852</v>
      </c>
      <c r="F111" s="248"/>
      <c r="G111" s="248"/>
      <c r="H111" s="248"/>
      <c r="I111" s="38" t="s">
        <v>852</v>
      </c>
      <c r="J111" s="248"/>
      <c r="K111" s="248"/>
      <c r="L111" s="248"/>
      <c r="M111" s="38" t="s">
        <v>852</v>
      </c>
      <c r="N111" s="248"/>
      <c r="O111" s="248"/>
      <c r="P111" s="248"/>
      <c r="Q111" s="38" t="s">
        <v>852</v>
      </c>
      <c r="R111" s="38" t="s">
        <v>852</v>
      </c>
    </row>
    <row r="112" spans="1:20" ht="15.75" customHeight="1" x14ac:dyDescent="0.3">
      <c r="A112" s="235" t="s">
        <v>1021</v>
      </c>
      <c r="B112" s="248"/>
      <c r="C112" s="248"/>
      <c r="D112" s="248"/>
      <c r="E112" s="38" t="s">
        <v>852</v>
      </c>
      <c r="F112" s="248"/>
      <c r="G112" s="248"/>
      <c r="H112" s="248"/>
      <c r="I112" s="38" t="s">
        <v>852</v>
      </c>
      <c r="J112" s="248"/>
      <c r="K112" s="248"/>
      <c r="L112" s="248"/>
      <c r="M112" s="38" t="s">
        <v>852</v>
      </c>
      <c r="N112" s="248"/>
      <c r="O112" s="248"/>
      <c r="P112" s="248"/>
      <c r="Q112" s="38" t="s">
        <v>852</v>
      </c>
      <c r="R112" s="38" t="s">
        <v>852</v>
      </c>
    </row>
    <row r="113" spans="1:20" ht="15.75" customHeight="1" x14ac:dyDescent="0.3">
      <c r="A113" s="422" t="s">
        <v>2751</v>
      </c>
      <c r="B113" s="10"/>
      <c r="C113" s="10"/>
      <c r="D113" s="10"/>
      <c r="E113" s="38">
        <f t="shared" ref="E113:E118" si="20">SUM(B113:D113)</f>
        <v>0</v>
      </c>
      <c r="F113" s="10"/>
      <c r="G113" s="10"/>
      <c r="H113" s="10"/>
      <c r="I113" s="38">
        <f t="shared" ref="I113:I118" si="21">SUM(F113:H113)</f>
        <v>0</v>
      </c>
      <c r="J113" s="10"/>
      <c r="K113" s="10"/>
      <c r="L113" s="10"/>
      <c r="M113" s="38">
        <f t="shared" ref="M113:M118" si="22">SUM(J113:L113)</f>
        <v>0</v>
      </c>
      <c r="N113" s="10"/>
      <c r="O113" s="10"/>
      <c r="P113" s="10"/>
      <c r="Q113" s="38">
        <f t="shared" ref="Q113:Q118" si="23">SUM(N113:P113)</f>
        <v>0</v>
      </c>
      <c r="R113" s="38">
        <f t="shared" ref="R113:R118" si="24">+E113+I113+M113+Q113</f>
        <v>0</v>
      </c>
    </row>
    <row r="114" spans="1:20" ht="15.75" customHeight="1" x14ac:dyDescent="0.3">
      <c r="A114" s="422" t="s">
        <v>3243</v>
      </c>
      <c r="B114" s="10"/>
      <c r="C114" s="10"/>
      <c r="D114" s="10"/>
      <c r="E114" s="38">
        <f t="shared" si="20"/>
        <v>0</v>
      </c>
      <c r="F114" s="10"/>
      <c r="G114" s="10"/>
      <c r="H114" s="10"/>
      <c r="I114" s="38">
        <f t="shared" si="21"/>
        <v>0</v>
      </c>
      <c r="J114" s="10"/>
      <c r="K114" s="10"/>
      <c r="L114" s="10"/>
      <c r="M114" s="38">
        <f t="shared" si="22"/>
        <v>0</v>
      </c>
      <c r="N114" s="10"/>
      <c r="O114" s="10"/>
      <c r="P114" s="10"/>
      <c r="Q114" s="38">
        <f t="shared" si="23"/>
        <v>0</v>
      </c>
      <c r="R114" s="38">
        <f t="shared" si="24"/>
        <v>0</v>
      </c>
    </row>
    <row r="115" spans="1:20" ht="15.75" customHeight="1" x14ac:dyDescent="0.3">
      <c r="A115" s="422" t="s">
        <v>320</v>
      </c>
      <c r="B115" s="10"/>
      <c r="C115" s="10"/>
      <c r="D115" s="10"/>
      <c r="E115" s="38">
        <f t="shared" si="20"/>
        <v>0</v>
      </c>
      <c r="F115" s="10"/>
      <c r="G115" s="10"/>
      <c r="H115" s="10"/>
      <c r="I115" s="38">
        <f t="shared" si="21"/>
        <v>0</v>
      </c>
      <c r="J115" s="10"/>
      <c r="K115" s="10"/>
      <c r="L115" s="10"/>
      <c r="M115" s="38">
        <f t="shared" si="22"/>
        <v>0</v>
      </c>
      <c r="N115" s="10"/>
      <c r="O115" s="10"/>
      <c r="P115" s="10"/>
      <c r="Q115" s="38">
        <f t="shared" si="23"/>
        <v>0</v>
      </c>
      <c r="R115" s="38">
        <f t="shared" si="24"/>
        <v>0</v>
      </c>
    </row>
    <row r="116" spans="1:20" ht="15.75" customHeight="1" x14ac:dyDescent="0.3">
      <c r="A116" s="422" t="s">
        <v>563</v>
      </c>
      <c r="B116" s="10"/>
      <c r="C116" s="10"/>
      <c r="D116" s="10"/>
      <c r="E116" s="38">
        <f t="shared" si="20"/>
        <v>0</v>
      </c>
      <c r="F116" s="10"/>
      <c r="G116" s="10"/>
      <c r="H116" s="10"/>
      <c r="I116" s="38">
        <f t="shared" si="21"/>
        <v>0</v>
      </c>
      <c r="J116" s="10"/>
      <c r="K116" s="10"/>
      <c r="L116" s="10"/>
      <c r="M116" s="38">
        <f t="shared" si="22"/>
        <v>0</v>
      </c>
      <c r="N116" s="10"/>
      <c r="O116" s="10"/>
      <c r="P116" s="10"/>
      <c r="Q116" s="38">
        <f t="shared" si="23"/>
        <v>0</v>
      </c>
      <c r="R116" s="38">
        <f t="shared" si="24"/>
        <v>0</v>
      </c>
    </row>
    <row r="117" spans="1:20" ht="15.75" customHeight="1" x14ac:dyDescent="0.3">
      <c r="A117" s="422" t="s">
        <v>2123</v>
      </c>
      <c r="B117" s="10"/>
      <c r="C117" s="10"/>
      <c r="D117" s="10"/>
      <c r="E117" s="38">
        <f t="shared" si="20"/>
        <v>0</v>
      </c>
      <c r="F117" s="10"/>
      <c r="G117" s="10"/>
      <c r="H117" s="10"/>
      <c r="I117" s="38">
        <f t="shared" si="21"/>
        <v>0</v>
      </c>
      <c r="J117" s="10"/>
      <c r="K117" s="10"/>
      <c r="L117" s="10"/>
      <c r="M117" s="38">
        <f t="shared" si="22"/>
        <v>0</v>
      </c>
      <c r="N117" s="10"/>
      <c r="O117" s="10"/>
      <c r="P117" s="10"/>
      <c r="Q117" s="38">
        <f t="shared" si="23"/>
        <v>0</v>
      </c>
      <c r="R117" s="38">
        <f t="shared" si="24"/>
        <v>0</v>
      </c>
    </row>
    <row r="118" spans="1:20" ht="15.75" customHeight="1" x14ac:dyDescent="0.3">
      <c r="A118" s="422" t="s">
        <v>2752</v>
      </c>
      <c r="B118" s="10"/>
      <c r="C118" s="10"/>
      <c r="D118" s="10"/>
      <c r="E118" s="38">
        <f t="shared" si="20"/>
        <v>0</v>
      </c>
      <c r="F118" s="10"/>
      <c r="G118" s="10"/>
      <c r="H118" s="10"/>
      <c r="I118" s="38">
        <f t="shared" si="21"/>
        <v>0</v>
      </c>
      <c r="J118" s="10"/>
      <c r="K118" s="10"/>
      <c r="L118" s="10"/>
      <c r="M118" s="38">
        <f t="shared" si="22"/>
        <v>0</v>
      </c>
      <c r="N118" s="10"/>
      <c r="O118" s="10"/>
      <c r="P118" s="10"/>
      <c r="Q118" s="38">
        <f t="shared" si="23"/>
        <v>0</v>
      </c>
      <c r="R118" s="38">
        <f t="shared" si="24"/>
        <v>0</v>
      </c>
    </row>
    <row r="119" spans="1:20" ht="15.75" customHeight="1" x14ac:dyDescent="0.3">
      <c r="A119" s="422" t="s">
        <v>2690</v>
      </c>
      <c r="B119" s="10"/>
      <c r="C119" s="10"/>
      <c r="D119" s="10"/>
      <c r="E119" s="38">
        <f>SUM(B119:D119)</f>
        <v>0</v>
      </c>
      <c r="F119" s="10"/>
      <c r="G119" s="10"/>
      <c r="H119" s="10"/>
      <c r="I119" s="38">
        <f>SUM(F119:H119)</f>
        <v>0</v>
      </c>
      <c r="J119" s="10"/>
      <c r="K119" s="10"/>
      <c r="L119" s="10"/>
      <c r="M119" s="38">
        <f>SUM(J119:L119)</f>
        <v>0</v>
      </c>
      <c r="N119" s="10"/>
      <c r="O119" s="10"/>
      <c r="P119" s="10"/>
      <c r="Q119" s="38">
        <f>SUM(N119:P119)</f>
        <v>0</v>
      </c>
      <c r="R119" s="38">
        <f>+E119+I119+M119+Q119</f>
        <v>0</v>
      </c>
    </row>
    <row r="120" spans="1:20" ht="15.75" customHeight="1" x14ac:dyDescent="0.3">
      <c r="A120" s="618" t="s">
        <v>2503</v>
      </c>
      <c r="B120" s="10"/>
      <c r="C120" s="10"/>
      <c r="D120" s="10"/>
      <c r="E120" s="38">
        <f>SUM(B120:D120)</f>
        <v>0</v>
      </c>
      <c r="F120" s="10"/>
      <c r="G120" s="10"/>
      <c r="H120" s="10"/>
      <c r="I120" s="38">
        <f>SUM(F120:H120)</f>
        <v>0</v>
      </c>
      <c r="J120" s="10"/>
      <c r="K120" s="10"/>
      <c r="L120" s="10"/>
      <c r="M120" s="38">
        <f>SUM(J120:L120)</f>
        <v>0</v>
      </c>
      <c r="N120" s="10"/>
      <c r="O120" s="10"/>
      <c r="P120" s="10"/>
      <c r="Q120" s="38">
        <f>SUM(N120:P120)</f>
        <v>0</v>
      </c>
      <c r="R120" s="38">
        <f>+E120+I120+M120+Q120</f>
        <v>0</v>
      </c>
      <c r="T120" t="s">
        <v>2811</v>
      </c>
    </row>
    <row r="121" spans="1:20" ht="15.75" customHeight="1" x14ac:dyDescent="0.3">
      <c r="A121" s="235" t="s">
        <v>557</v>
      </c>
      <c r="B121" s="248"/>
      <c r="C121" s="248"/>
      <c r="D121" s="248"/>
      <c r="E121" s="38" t="s">
        <v>852</v>
      </c>
      <c r="F121" s="248"/>
      <c r="G121" s="248"/>
      <c r="H121" s="248"/>
      <c r="I121" s="38" t="s">
        <v>852</v>
      </c>
      <c r="J121" s="248"/>
      <c r="K121" s="248"/>
      <c r="L121" s="248"/>
      <c r="M121" s="38" t="s">
        <v>852</v>
      </c>
      <c r="N121" s="248"/>
      <c r="O121" s="248"/>
      <c r="P121" s="248"/>
      <c r="Q121" s="38" t="s">
        <v>852</v>
      </c>
      <c r="R121" s="38" t="s">
        <v>852</v>
      </c>
    </row>
    <row r="122" spans="1:20" ht="15.75" customHeight="1" x14ac:dyDescent="0.3">
      <c r="A122" s="422" t="s">
        <v>2606</v>
      </c>
      <c r="B122" s="10"/>
      <c r="C122" s="10"/>
      <c r="D122" s="10"/>
      <c r="E122" s="38">
        <f>SUM(B122:D122)</f>
        <v>0</v>
      </c>
      <c r="F122" s="10"/>
      <c r="G122" s="10"/>
      <c r="H122" s="10"/>
      <c r="I122" s="38">
        <f>SUM(F122:H122)</f>
        <v>0</v>
      </c>
      <c r="J122" s="10"/>
      <c r="K122" s="10"/>
      <c r="L122" s="10"/>
      <c r="M122" s="38">
        <f>SUM(J122:L122)</f>
        <v>0</v>
      </c>
      <c r="N122" s="10"/>
      <c r="O122" s="10"/>
      <c r="P122" s="10"/>
      <c r="Q122" s="38">
        <f>SUM(N122:P122)</f>
        <v>0</v>
      </c>
      <c r="R122" s="38">
        <f>+E122+I122+M122+Q122</f>
        <v>0</v>
      </c>
    </row>
    <row r="123" spans="1:20" ht="15.75" customHeight="1" x14ac:dyDescent="0.3">
      <c r="A123" s="422" t="s">
        <v>2548</v>
      </c>
      <c r="B123" s="10"/>
      <c r="C123" s="10"/>
      <c r="D123" s="10"/>
      <c r="E123" s="38">
        <f>SUM(B123:D123)</f>
        <v>0</v>
      </c>
      <c r="F123" s="10"/>
      <c r="G123" s="10"/>
      <c r="H123" s="10"/>
      <c r="I123" s="38">
        <f>SUM(F123:H123)</f>
        <v>0</v>
      </c>
      <c r="J123" s="10"/>
      <c r="K123" s="10"/>
      <c r="L123" s="10"/>
      <c r="M123" s="38">
        <f>SUM(J123:L123)</f>
        <v>0</v>
      </c>
      <c r="N123" s="10"/>
      <c r="O123" s="10"/>
      <c r="P123" s="10"/>
      <c r="Q123" s="38">
        <f>SUM(N123:P123)</f>
        <v>0</v>
      </c>
      <c r="R123" s="38">
        <f>+E123+I123+M123+Q123</f>
        <v>0</v>
      </c>
    </row>
    <row r="124" spans="1:20" ht="15.75" customHeight="1" x14ac:dyDescent="0.3">
      <c r="A124" s="235" t="s">
        <v>1022</v>
      </c>
      <c r="B124" s="248"/>
      <c r="C124" s="248"/>
      <c r="D124" s="248"/>
      <c r="E124" s="38" t="s">
        <v>852</v>
      </c>
      <c r="F124" s="248"/>
      <c r="G124" s="248"/>
      <c r="H124" s="248"/>
      <c r="I124" s="38" t="s">
        <v>852</v>
      </c>
      <c r="J124" s="248"/>
      <c r="K124" s="248"/>
      <c r="L124" s="248"/>
      <c r="M124" s="38" t="s">
        <v>852</v>
      </c>
      <c r="N124" s="248"/>
      <c r="O124" s="248"/>
      <c r="P124" s="248"/>
      <c r="Q124" s="38" t="s">
        <v>852</v>
      </c>
      <c r="R124" s="38" t="s">
        <v>852</v>
      </c>
    </row>
    <row r="125" spans="1:20" ht="15.75" customHeight="1" x14ac:dyDescent="0.3">
      <c r="A125" s="422" t="s">
        <v>3244</v>
      </c>
      <c r="B125" s="10"/>
      <c r="C125" s="10"/>
      <c r="D125" s="10"/>
      <c r="E125" s="38">
        <f>SUM(B125:D125)</f>
        <v>0</v>
      </c>
      <c r="F125" s="10"/>
      <c r="G125" s="10"/>
      <c r="H125" s="10"/>
      <c r="I125" s="38">
        <f>SUM(F125:H125)</f>
        <v>0</v>
      </c>
      <c r="J125" s="10"/>
      <c r="K125" s="10"/>
      <c r="L125" s="10"/>
      <c r="M125" s="38">
        <f>SUM(J125:L125)</f>
        <v>0</v>
      </c>
      <c r="N125" s="10"/>
      <c r="O125" s="10"/>
      <c r="P125" s="10"/>
      <c r="Q125" s="38">
        <f>SUM(N125:P125)</f>
        <v>0</v>
      </c>
      <c r="R125" s="38">
        <f>+E125+I125+M125+Q125</f>
        <v>0</v>
      </c>
      <c r="T125" t="s">
        <v>2774</v>
      </c>
    </row>
    <row r="126" spans="1:20" ht="15.75" customHeight="1" x14ac:dyDescent="0.3">
      <c r="A126" s="235" t="s">
        <v>559</v>
      </c>
      <c r="B126" s="248"/>
      <c r="C126" s="248"/>
      <c r="D126" s="248"/>
      <c r="E126" s="38" t="s">
        <v>852</v>
      </c>
      <c r="F126" s="248"/>
      <c r="G126" s="248"/>
      <c r="H126" s="248"/>
      <c r="I126" s="38" t="s">
        <v>852</v>
      </c>
      <c r="J126" s="248"/>
      <c r="K126" s="248"/>
      <c r="L126" s="248"/>
      <c r="M126" s="38" t="s">
        <v>852</v>
      </c>
      <c r="N126" s="248"/>
      <c r="O126" s="248"/>
      <c r="P126" s="248"/>
      <c r="Q126" s="38" t="s">
        <v>852</v>
      </c>
      <c r="R126" s="38" t="s">
        <v>852</v>
      </c>
    </row>
    <row r="127" spans="1:20" ht="15.75" customHeight="1" x14ac:dyDescent="0.3">
      <c r="A127" s="422" t="s">
        <v>3236</v>
      </c>
      <c r="B127" s="10"/>
      <c r="C127" s="10"/>
      <c r="D127" s="10"/>
      <c r="E127" s="38">
        <f t="shared" ref="E127:E132" si="25">SUM(B127:D127)</f>
        <v>0</v>
      </c>
      <c r="F127" s="10"/>
      <c r="G127" s="10"/>
      <c r="H127" s="10"/>
      <c r="I127" s="38">
        <f t="shared" ref="I127:I132" si="26">SUM(F127:H127)</f>
        <v>0</v>
      </c>
      <c r="J127" s="10"/>
      <c r="K127" s="10"/>
      <c r="L127" s="10"/>
      <c r="M127" s="38">
        <f t="shared" ref="M127:M132" si="27">SUM(J127:L127)</f>
        <v>0</v>
      </c>
      <c r="N127" s="10"/>
      <c r="O127" s="10"/>
      <c r="P127" s="10"/>
      <c r="Q127" s="38">
        <f t="shared" ref="Q127:Q132" si="28">SUM(N127:P127)</f>
        <v>0</v>
      </c>
      <c r="R127" s="38">
        <f t="shared" ref="R127:R132" si="29">+E127+I127+M127+Q127</f>
        <v>0</v>
      </c>
    </row>
    <row r="128" spans="1:20" ht="15.75" customHeight="1" thickBot="1" x14ac:dyDescent="0.35">
      <c r="A128" s="422" t="s">
        <v>3237</v>
      </c>
      <c r="B128" s="10"/>
      <c r="C128" s="10"/>
      <c r="D128" s="10"/>
      <c r="E128" s="38">
        <f t="shared" si="25"/>
        <v>0</v>
      </c>
      <c r="F128" s="10"/>
      <c r="G128" s="10"/>
      <c r="H128" s="10"/>
      <c r="I128" s="38">
        <f t="shared" si="26"/>
        <v>0</v>
      </c>
      <c r="J128" s="10"/>
      <c r="K128" s="10"/>
      <c r="L128" s="10"/>
      <c r="M128" s="38">
        <f t="shared" si="27"/>
        <v>0</v>
      </c>
      <c r="N128" s="10"/>
      <c r="O128" s="10"/>
      <c r="P128" s="10"/>
      <c r="Q128" s="38">
        <f t="shared" si="28"/>
        <v>0</v>
      </c>
      <c r="R128" s="38">
        <f t="shared" si="29"/>
        <v>0</v>
      </c>
    </row>
    <row r="129" spans="1:20" ht="16.5" customHeight="1" thickBot="1" x14ac:dyDescent="0.35">
      <c r="A129" s="43" t="s">
        <v>1019</v>
      </c>
      <c r="B129" s="42">
        <f>SUM(B124:B128)</f>
        <v>0</v>
      </c>
      <c r="C129" s="42">
        <f>SUM(C124:C128)</f>
        <v>0</v>
      </c>
      <c r="D129" s="42">
        <f>SUM(D124:D128)</f>
        <v>0</v>
      </c>
      <c r="E129" s="39">
        <f t="shared" si="25"/>
        <v>0</v>
      </c>
      <c r="F129" s="42">
        <f>SUM(F124:F128)</f>
        <v>0</v>
      </c>
      <c r="G129" s="42">
        <f>SUM(G124:G128)</f>
        <v>0</v>
      </c>
      <c r="H129" s="42">
        <f>SUM(H124:H128)</f>
        <v>0</v>
      </c>
      <c r="I129" s="39">
        <f t="shared" si="26"/>
        <v>0</v>
      </c>
      <c r="J129" s="42">
        <f>SUM(J124:J128)</f>
        <v>0</v>
      </c>
      <c r="K129" s="42">
        <f>SUM(K124:K128)</f>
        <v>0</v>
      </c>
      <c r="L129" s="42">
        <f>SUM(L124:L128)</f>
        <v>0</v>
      </c>
      <c r="M129" s="39">
        <f t="shared" si="27"/>
        <v>0</v>
      </c>
      <c r="N129" s="42">
        <f>SUM(N124:N128)</f>
        <v>0</v>
      </c>
      <c r="O129" s="42">
        <f>SUM(O124:O128)</f>
        <v>0</v>
      </c>
      <c r="P129" s="42">
        <f>SUM(P124:P128)</f>
        <v>0</v>
      </c>
      <c r="Q129" s="39">
        <f t="shared" si="28"/>
        <v>0</v>
      </c>
      <c r="R129" s="37">
        <f t="shared" si="29"/>
        <v>0</v>
      </c>
    </row>
    <row r="130" spans="1:20" ht="16.5" customHeight="1" thickBot="1" x14ac:dyDescent="0.35">
      <c r="A130" s="43" t="s">
        <v>1221</v>
      </c>
      <c r="B130" s="42">
        <f>SUM(B111:B128)</f>
        <v>0</v>
      </c>
      <c r="C130" s="42">
        <f>SUM(C111:C128)</f>
        <v>0</v>
      </c>
      <c r="D130" s="42">
        <f>SUM(D111:D128)</f>
        <v>0</v>
      </c>
      <c r="E130" s="39">
        <f t="shared" si="25"/>
        <v>0</v>
      </c>
      <c r="F130" s="42">
        <f>SUM(F111:F128)</f>
        <v>0</v>
      </c>
      <c r="G130" s="42">
        <f>SUM(G111:G128)</f>
        <v>0</v>
      </c>
      <c r="H130" s="42">
        <f>SUM(H111:H128)</f>
        <v>0</v>
      </c>
      <c r="I130" s="39">
        <f t="shared" si="26"/>
        <v>0</v>
      </c>
      <c r="J130" s="42">
        <f>SUM(J111:J128)</f>
        <v>0</v>
      </c>
      <c r="K130" s="42">
        <f>SUM(K111:K128)</f>
        <v>0</v>
      </c>
      <c r="L130" s="42">
        <f>SUM(L111:L128)</f>
        <v>0</v>
      </c>
      <c r="M130" s="39">
        <f t="shared" si="27"/>
        <v>0</v>
      </c>
      <c r="N130" s="42">
        <f>SUM(N111:N128)</f>
        <v>0</v>
      </c>
      <c r="O130" s="42">
        <f>SUM(O111:O128)</f>
        <v>0</v>
      </c>
      <c r="P130" s="42">
        <f>SUM(P111:P128)</f>
        <v>0</v>
      </c>
      <c r="Q130" s="39">
        <f t="shared" si="28"/>
        <v>0</v>
      </c>
      <c r="R130" s="37">
        <f t="shared" si="29"/>
        <v>0</v>
      </c>
    </row>
    <row r="131" spans="1:20" ht="16.5" customHeight="1" thickBot="1" x14ac:dyDescent="0.35">
      <c r="A131" s="43" t="s">
        <v>1222</v>
      </c>
      <c r="B131" s="42">
        <f>+B91+B98+B110+B130</f>
        <v>2315</v>
      </c>
      <c r="C131" s="42">
        <f>+C91+C98+C110+C130</f>
        <v>2555</v>
      </c>
      <c r="D131" s="42">
        <f>+D91+D98+D110+D130</f>
        <v>4953</v>
      </c>
      <c r="E131" s="37">
        <f t="shared" si="25"/>
        <v>9823</v>
      </c>
      <c r="F131" s="42">
        <f>+F91+F98+F110+F130</f>
        <v>6273</v>
      </c>
      <c r="G131" s="42">
        <f>+G91+G98+G110+G130</f>
        <v>7325</v>
      </c>
      <c r="H131" s="42">
        <f>+H91+H98+H110+H130</f>
        <v>7815</v>
      </c>
      <c r="I131" s="37">
        <f t="shared" si="26"/>
        <v>21413</v>
      </c>
      <c r="J131" s="42">
        <f>+J91+J98+J110+J130</f>
        <v>7469</v>
      </c>
      <c r="K131" s="42">
        <f>+K91+K98+K110+K130</f>
        <v>6033</v>
      </c>
      <c r="L131" s="42">
        <f>+L91+L98+L110+L130</f>
        <v>4266</v>
      </c>
      <c r="M131" s="37">
        <f t="shared" si="27"/>
        <v>17768</v>
      </c>
      <c r="N131" s="42">
        <f>+N91+N98+N110+N130</f>
        <v>3474</v>
      </c>
      <c r="O131" s="42">
        <f>+O91+O98+O110+O130</f>
        <v>2323</v>
      </c>
      <c r="P131" s="42">
        <f>+P91+P98+P110+P130</f>
        <v>2200</v>
      </c>
      <c r="Q131" s="37">
        <f t="shared" si="28"/>
        <v>7997</v>
      </c>
      <c r="R131" s="37">
        <f t="shared" si="29"/>
        <v>57001</v>
      </c>
    </row>
    <row r="132" spans="1:20" ht="16.5" customHeight="1" thickBot="1" x14ac:dyDescent="0.35">
      <c r="A132" s="312" t="s">
        <v>853</v>
      </c>
      <c r="B132" s="294">
        <v>173</v>
      </c>
      <c r="C132" s="294">
        <v>260</v>
      </c>
      <c r="D132" s="294">
        <v>471</v>
      </c>
      <c r="E132" s="38">
        <f t="shared" si="25"/>
        <v>904</v>
      </c>
      <c r="F132" s="294">
        <v>629</v>
      </c>
      <c r="G132" s="294">
        <v>725</v>
      </c>
      <c r="H132" s="294">
        <v>712</v>
      </c>
      <c r="I132" s="38">
        <f t="shared" si="26"/>
        <v>2066</v>
      </c>
      <c r="J132" s="294">
        <v>711</v>
      </c>
      <c r="K132" s="294">
        <v>573</v>
      </c>
      <c r="L132" s="294">
        <v>542</v>
      </c>
      <c r="M132" s="38">
        <f t="shared" si="27"/>
        <v>1826</v>
      </c>
      <c r="N132" s="294">
        <v>490</v>
      </c>
      <c r="O132" s="294">
        <v>407</v>
      </c>
      <c r="P132" s="294">
        <v>323</v>
      </c>
      <c r="Q132" s="38">
        <f t="shared" si="28"/>
        <v>1220</v>
      </c>
      <c r="R132" s="38">
        <f t="shared" si="29"/>
        <v>6016</v>
      </c>
    </row>
    <row r="133" spans="1:20" ht="16.5" customHeight="1" thickBot="1" x14ac:dyDescent="0.35">
      <c r="A133" s="44"/>
      <c r="B133" s="313"/>
      <c r="C133" s="313"/>
      <c r="D133" s="313"/>
      <c r="E133" s="37" t="s">
        <v>852</v>
      </c>
      <c r="F133" s="313"/>
      <c r="G133" s="313"/>
      <c r="H133" s="313"/>
      <c r="I133" s="37" t="s">
        <v>852</v>
      </c>
      <c r="J133" s="313"/>
      <c r="K133" s="313"/>
      <c r="L133" s="313"/>
      <c r="M133" s="37" t="s">
        <v>852</v>
      </c>
      <c r="N133" s="313"/>
      <c r="O133" s="313"/>
      <c r="P133" s="313"/>
      <c r="Q133" s="37" t="s">
        <v>852</v>
      </c>
      <c r="R133" s="37" t="s">
        <v>852</v>
      </c>
    </row>
    <row r="134" spans="1:20" ht="15.75" customHeight="1" x14ac:dyDescent="0.3">
      <c r="A134" s="259" t="s">
        <v>2011</v>
      </c>
      <c r="B134" s="741">
        <f>+B131+B132</f>
        <v>2488</v>
      </c>
      <c r="C134" s="741">
        <f>+C131+C132</f>
        <v>2815</v>
      </c>
      <c r="D134" s="741">
        <f>+D131+D132</f>
        <v>5424</v>
      </c>
      <c r="E134" s="38">
        <f>SUM(B134:D134)</f>
        <v>10727</v>
      </c>
      <c r="F134" s="741">
        <f>+F131+F132</f>
        <v>6902</v>
      </c>
      <c r="G134" s="741">
        <f>+G131+G132</f>
        <v>8050</v>
      </c>
      <c r="H134" s="741">
        <f>+H131+H132</f>
        <v>8527</v>
      </c>
      <c r="I134" s="38">
        <f>SUM(F134:H134)</f>
        <v>23479</v>
      </c>
      <c r="J134" s="741">
        <f>+J131+J132</f>
        <v>8180</v>
      </c>
      <c r="K134" s="741">
        <f>+K131+K132</f>
        <v>6606</v>
      </c>
      <c r="L134" s="741">
        <f>+L131+L132</f>
        <v>4808</v>
      </c>
      <c r="M134" s="38">
        <f>SUM(J134:L134)</f>
        <v>19594</v>
      </c>
      <c r="N134" s="741">
        <f>+N131+N132</f>
        <v>3964</v>
      </c>
      <c r="O134" s="741">
        <f>+O131+O132</f>
        <v>2730</v>
      </c>
      <c r="P134" s="741">
        <f>+P131+P132</f>
        <v>2523</v>
      </c>
      <c r="Q134" s="38">
        <f>SUM(N134:P134)</f>
        <v>9217</v>
      </c>
      <c r="R134" s="38">
        <f>+E134+I134+M134+Q134</f>
        <v>63017</v>
      </c>
    </row>
    <row r="135" spans="1:20" ht="15.75" customHeight="1" x14ac:dyDescent="0.3">
      <c r="A135" s="261" t="s">
        <v>1897</v>
      </c>
      <c r="B135" s="10">
        <f>(B134/B10)/1.983</f>
        <v>40.473053210352511</v>
      </c>
      <c r="C135" s="10">
        <f>(C134/C10)/1.983</f>
        <v>50.698796916648654</v>
      </c>
      <c r="D135" s="10">
        <f>(D134/D10)/1.983</f>
        <v>88.233858767263669</v>
      </c>
      <c r="E135" s="38" t="s">
        <v>852</v>
      </c>
      <c r="F135" s="10">
        <f>(F134/F10)/1.983</f>
        <v>116.01949907547487</v>
      </c>
      <c r="G135" s="10">
        <f>(G134/G10)/1.983</f>
        <v>130.95179997722576</v>
      </c>
      <c r="H135" s="10">
        <f>(H134/H10)/1.983</f>
        <v>143.33501428811564</v>
      </c>
      <c r="I135" s="38" t="s">
        <v>852</v>
      </c>
      <c r="J135" s="10">
        <f>(J134/J10)/1.983</f>
        <v>133.06654954207536</v>
      </c>
      <c r="K135" s="10">
        <f>(K134/K10)/1.983</f>
        <v>107.46181250305011</v>
      </c>
      <c r="L135" s="10">
        <f>(L134/L10)/1.983</f>
        <v>80.820305933770385</v>
      </c>
      <c r="M135" s="38" t="s">
        <v>852</v>
      </c>
      <c r="N135" s="10">
        <f>(N134/N10)/1.983</f>
        <v>64.483594423568064</v>
      </c>
      <c r="O135" s="10">
        <f>(O134/O10)/1.983</f>
        <v>45.890065557236511</v>
      </c>
      <c r="P135" s="10">
        <f>(P134/P10)/1.983</f>
        <v>41.042408862427408</v>
      </c>
      <c r="Q135" s="38" t="s">
        <v>852</v>
      </c>
      <c r="R135" s="38" t="s">
        <v>852</v>
      </c>
    </row>
    <row r="136" spans="1:20" ht="15.75" customHeight="1" x14ac:dyDescent="0.3">
      <c r="A136" s="262" t="s">
        <v>1679</v>
      </c>
      <c r="B136" s="10">
        <f>B134+B324</f>
        <v>141817</v>
      </c>
      <c r="C136" s="10">
        <f>C134+C324</f>
        <v>128046</v>
      </c>
      <c r="D136" s="10">
        <f>D134+D324</f>
        <v>157481</v>
      </c>
      <c r="E136" s="38">
        <f>SUM(B136:D136)</f>
        <v>427344</v>
      </c>
      <c r="F136" s="10">
        <f>F134+F324</f>
        <v>157408</v>
      </c>
      <c r="G136" s="10">
        <f>G134+G324</f>
        <v>170941</v>
      </c>
      <c r="H136" s="10">
        <f>H134+H324</f>
        <v>95946</v>
      </c>
      <c r="I136" s="38">
        <f>SUM(F136:H136)</f>
        <v>424295</v>
      </c>
      <c r="J136" s="10">
        <f>J134+J324</f>
        <v>50479</v>
      </c>
      <c r="K136" s="10">
        <f>K134+K324</f>
        <v>50717</v>
      </c>
      <c r="L136" s="10">
        <f>L134+L324</f>
        <v>121455</v>
      </c>
      <c r="M136" s="38">
        <f>SUM(J136:L136)</f>
        <v>222651</v>
      </c>
      <c r="N136" s="10">
        <f>N134+N324</f>
        <v>163029</v>
      </c>
      <c r="O136" s="10">
        <f>O134+O324</f>
        <v>155614</v>
      </c>
      <c r="P136" s="10">
        <f>P134+P324</f>
        <v>78153</v>
      </c>
      <c r="Q136" s="38">
        <f>SUM(N136:P136)</f>
        <v>396796</v>
      </c>
      <c r="R136" s="38">
        <f>+E136+I136+M136+Q136</f>
        <v>1471086</v>
      </c>
    </row>
    <row r="137" spans="1:20" ht="16.5" customHeight="1" thickBot="1" x14ac:dyDescent="0.35">
      <c r="A137" s="263" t="s">
        <v>6</v>
      </c>
      <c r="B137" s="315">
        <f>(B136/B10)/1.983</f>
        <v>2306.9803002944382</v>
      </c>
      <c r="C137" s="315">
        <f>(C136/C10)/1.983</f>
        <v>2306.1378863194291</v>
      </c>
      <c r="D137" s="315">
        <f>(D136/D10)/1.983</f>
        <v>2561.791355554471</v>
      </c>
      <c r="E137" s="40" t="s">
        <v>852</v>
      </c>
      <c r="F137" s="315">
        <f>(F136/F10)/1.983</f>
        <v>2645.9573037485293</v>
      </c>
      <c r="G137" s="315">
        <f>(G136/G10)/1.983</f>
        <v>2780.7492720381301</v>
      </c>
      <c r="H137" s="315">
        <f>(H136/H10)/1.983</f>
        <v>1612.8088754412504</v>
      </c>
      <c r="I137" s="40" t="s">
        <v>852</v>
      </c>
      <c r="J137" s="315">
        <f>(J136/J10)/1.983</f>
        <v>821.15725603110297</v>
      </c>
      <c r="K137" s="315">
        <f>(K136/K10)/1.983</f>
        <v>825.02887446521231</v>
      </c>
      <c r="L137" s="315">
        <f>(L136/L10)/1.983</f>
        <v>2041.6036308623297</v>
      </c>
      <c r="M137" s="40" t="s">
        <v>852</v>
      </c>
      <c r="N137" s="315">
        <f>(N136/N10)/1.983</f>
        <v>2652.0423600605141</v>
      </c>
      <c r="O137" s="315">
        <f>(O136/O10)/1.983</f>
        <v>2615.8009749537737</v>
      </c>
      <c r="P137" s="315">
        <f>(P136/P10)/1.983</f>
        <v>1271.3386364745497</v>
      </c>
      <c r="Q137" s="40" t="s">
        <v>852</v>
      </c>
      <c r="R137" s="40" t="s">
        <v>852</v>
      </c>
    </row>
    <row r="138" spans="1:20" ht="15.75" customHeight="1" x14ac:dyDescent="0.3">
      <c r="A138" s="18"/>
      <c r="B138" s="10"/>
      <c r="C138" s="10"/>
      <c r="D138" s="10"/>
      <c r="E138" s="10"/>
      <c r="F138" s="10"/>
      <c r="G138" s="10"/>
      <c r="H138" s="10"/>
      <c r="I138" s="10"/>
      <c r="J138" s="10"/>
      <c r="K138" s="10"/>
      <c r="L138" s="10"/>
      <c r="M138" s="10"/>
      <c r="N138" s="10"/>
      <c r="O138" s="10"/>
      <c r="P138" s="10"/>
      <c r="Q138" s="10"/>
      <c r="R138" s="17"/>
    </row>
    <row r="139" spans="1:20" ht="15.75" customHeight="1" thickBot="1" x14ac:dyDescent="0.35">
      <c r="A139" s="18" t="s">
        <v>852</v>
      </c>
      <c r="B139" s="10"/>
      <c r="C139" s="10"/>
      <c r="D139" s="10"/>
      <c r="E139" s="10"/>
      <c r="F139" s="10"/>
      <c r="G139" s="10"/>
      <c r="H139" s="10"/>
      <c r="I139" s="10"/>
      <c r="J139" s="10"/>
      <c r="K139" s="10"/>
      <c r="L139" s="10"/>
      <c r="M139" s="10"/>
      <c r="N139" s="10"/>
      <c r="O139" s="10"/>
      <c r="P139" s="10"/>
      <c r="Q139" s="10"/>
      <c r="R139" s="17"/>
    </row>
    <row r="140" spans="1:20" ht="16.5" customHeight="1" thickBot="1" x14ac:dyDescent="0.35">
      <c r="A140" s="240" t="s">
        <v>1446</v>
      </c>
      <c r="B140" s="4" t="s">
        <v>2090</v>
      </c>
      <c r="C140" s="5" t="s">
        <v>2091</v>
      </c>
      <c r="D140" s="5" t="s">
        <v>2234</v>
      </c>
      <c r="E140" s="33" t="s">
        <v>1594</v>
      </c>
      <c r="F140" s="5" t="s">
        <v>2235</v>
      </c>
      <c r="G140" s="5" t="s">
        <v>2236</v>
      </c>
      <c r="H140" s="5" t="s">
        <v>2237</v>
      </c>
      <c r="I140" s="35" t="s">
        <v>1595</v>
      </c>
      <c r="J140" s="5" t="s">
        <v>1504</v>
      </c>
      <c r="K140" s="5" t="s">
        <v>1505</v>
      </c>
      <c r="L140" s="5" t="s">
        <v>1506</v>
      </c>
      <c r="M140" s="35" t="s">
        <v>1596</v>
      </c>
      <c r="N140" s="5" t="s">
        <v>1507</v>
      </c>
      <c r="O140" s="5" t="s">
        <v>1508</v>
      </c>
      <c r="P140" s="5" t="s">
        <v>1509</v>
      </c>
      <c r="Q140" s="35" t="s">
        <v>1597</v>
      </c>
      <c r="R140" s="36" t="s">
        <v>1510</v>
      </c>
    </row>
    <row r="141" spans="1:20" ht="16.5" customHeight="1" thickBot="1" x14ac:dyDescent="0.35">
      <c r="A141" s="44"/>
      <c r="B141" s="313"/>
      <c r="C141" s="313"/>
      <c r="D141" s="313"/>
      <c r="E141" s="316"/>
      <c r="F141" s="313"/>
      <c r="G141" s="313"/>
      <c r="H141" s="313"/>
      <c r="I141" s="316"/>
      <c r="J141" s="313"/>
      <c r="K141" s="313"/>
      <c r="L141" s="313"/>
      <c r="M141" s="316"/>
      <c r="N141" s="313"/>
      <c r="O141" s="313"/>
      <c r="P141" s="313"/>
      <c r="Q141" s="316"/>
      <c r="R141" s="44"/>
    </row>
    <row r="142" spans="1:20" ht="15.75" customHeight="1" x14ac:dyDescent="0.3">
      <c r="A142" s="234" t="s">
        <v>2417</v>
      </c>
      <c r="B142" s="10" t="s">
        <v>852</v>
      </c>
      <c r="C142" s="10" t="s">
        <v>852</v>
      </c>
      <c r="D142" s="10" t="s">
        <v>852</v>
      </c>
      <c r="E142" s="38" t="s">
        <v>852</v>
      </c>
      <c r="F142" s="10" t="s">
        <v>852</v>
      </c>
      <c r="G142" s="10" t="s">
        <v>852</v>
      </c>
      <c r="H142" s="10" t="s">
        <v>852</v>
      </c>
      <c r="I142" s="38" t="s">
        <v>852</v>
      </c>
      <c r="J142" s="10" t="s">
        <v>852</v>
      </c>
      <c r="K142" s="10" t="s">
        <v>852</v>
      </c>
      <c r="L142" s="10" t="s">
        <v>852</v>
      </c>
      <c r="M142" s="38" t="s">
        <v>852</v>
      </c>
      <c r="N142" s="10" t="s">
        <v>852</v>
      </c>
      <c r="O142" s="10" t="s">
        <v>852</v>
      </c>
      <c r="P142" s="10" t="s">
        <v>852</v>
      </c>
      <c r="Q142" s="38" t="s">
        <v>852</v>
      </c>
      <c r="R142" s="48" t="s">
        <v>852</v>
      </c>
    </row>
    <row r="143" spans="1:20" ht="15.75" customHeight="1" x14ac:dyDescent="0.3">
      <c r="A143" s="234" t="s">
        <v>2160</v>
      </c>
      <c r="B143" s="10"/>
      <c r="C143" s="10"/>
      <c r="D143" s="10"/>
      <c r="E143" s="38" t="s">
        <v>852</v>
      </c>
      <c r="F143" s="10"/>
      <c r="G143" s="10"/>
      <c r="H143" s="10"/>
      <c r="I143" s="38" t="s">
        <v>852</v>
      </c>
      <c r="J143" s="10"/>
      <c r="K143" s="10"/>
      <c r="L143" s="10"/>
      <c r="M143" s="38" t="s">
        <v>852</v>
      </c>
      <c r="N143" s="10"/>
      <c r="O143" s="10"/>
      <c r="P143" s="10"/>
      <c r="Q143" s="38" t="s">
        <v>852</v>
      </c>
      <c r="R143" s="48"/>
    </row>
    <row r="144" spans="1:20" ht="15.75" customHeight="1" x14ac:dyDescent="0.3">
      <c r="A144" s="569" t="s">
        <v>2730</v>
      </c>
      <c r="B144" s="10"/>
      <c r="C144" s="10"/>
      <c r="D144" s="10">
        <v>599</v>
      </c>
      <c r="E144" s="38">
        <f t="shared" ref="E144:E148" si="30">SUM(B144:D144)</f>
        <v>599</v>
      </c>
      <c r="F144" s="10">
        <v>599</v>
      </c>
      <c r="G144" s="10">
        <v>599</v>
      </c>
      <c r="H144" s="10">
        <v>598</v>
      </c>
      <c r="I144" s="38">
        <f t="shared" ref="I144:I194" si="31">SUM(F144:H144)</f>
        <v>1796</v>
      </c>
      <c r="J144" s="10">
        <v>598</v>
      </c>
      <c r="K144" s="10">
        <v>598</v>
      </c>
      <c r="L144" s="10">
        <v>598</v>
      </c>
      <c r="M144" s="38">
        <f t="shared" ref="M144:M194" si="32">SUM(J144:L144)</f>
        <v>1794</v>
      </c>
      <c r="N144" s="10"/>
      <c r="O144" s="10"/>
      <c r="P144" s="10"/>
      <c r="Q144" s="38">
        <f t="shared" ref="Q144:Q200" si="33">SUM(N144:P144)</f>
        <v>0</v>
      </c>
      <c r="R144" s="38">
        <f>+E144+I144+M144+Q144</f>
        <v>4189</v>
      </c>
      <c r="T144" t="s">
        <v>2764</v>
      </c>
    </row>
    <row r="145" spans="1:20" ht="15.75" customHeight="1" x14ac:dyDescent="0.3">
      <c r="A145" s="569" t="s">
        <v>2733</v>
      </c>
      <c r="B145" s="10"/>
      <c r="C145" s="10">
        <f>150</f>
        <v>150</v>
      </c>
      <c r="D145" s="10">
        <f>600</f>
        <v>600</v>
      </c>
      <c r="E145" s="38">
        <f t="shared" si="30"/>
        <v>750</v>
      </c>
      <c r="F145" s="10">
        <f>1400</f>
        <v>1400</v>
      </c>
      <c r="G145" s="10">
        <f>1600</f>
        <v>1600</v>
      </c>
      <c r="H145" s="10">
        <f>1650</f>
        <v>1650</v>
      </c>
      <c r="I145" s="38">
        <f t="shared" si="31"/>
        <v>4650</v>
      </c>
      <c r="J145" s="10">
        <f>1600</f>
        <v>1600</v>
      </c>
      <c r="K145" s="10">
        <f>1500</f>
        <v>1500</v>
      </c>
      <c r="L145" s="10">
        <f>1400</f>
        <v>1400</v>
      </c>
      <c r="M145" s="38">
        <f>SUM(J145:L145)</f>
        <v>4500</v>
      </c>
      <c r="N145" s="10">
        <f>1193</f>
        <v>1193</v>
      </c>
      <c r="O145" s="10"/>
      <c r="P145" s="10"/>
      <c r="Q145" s="38">
        <f t="shared" si="33"/>
        <v>1193</v>
      </c>
      <c r="R145" s="38">
        <f t="shared" ref="R145:R197" si="34">+E145+I145+M145+Q145</f>
        <v>11093</v>
      </c>
      <c r="S145" s="574"/>
      <c r="T145" t="s">
        <v>2764</v>
      </c>
    </row>
    <row r="146" spans="1:20" ht="15.75" customHeight="1" x14ac:dyDescent="0.3">
      <c r="A146" s="569" t="s">
        <v>2734</v>
      </c>
      <c r="B146" s="10"/>
      <c r="C146" s="10"/>
      <c r="D146" s="10">
        <v>482</v>
      </c>
      <c r="E146" s="38">
        <f t="shared" si="30"/>
        <v>482</v>
      </c>
      <c r="F146" s="10">
        <v>482</v>
      </c>
      <c r="G146" s="10">
        <v>482</v>
      </c>
      <c r="H146" s="10">
        <v>482</v>
      </c>
      <c r="I146" s="38">
        <f t="shared" si="31"/>
        <v>1446</v>
      </c>
      <c r="J146" s="10">
        <v>482</v>
      </c>
      <c r="K146" s="10">
        <v>482</v>
      </c>
      <c r="L146" s="10">
        <v>480</v>
      </c>
      <c r="M146" s="38">
        <f t="shared" si="32"/>
        <v>1444</v>
      </c>
      <c r="N146" s="10"/>
      <c r="O146" s="10"/>
      <c r="P146" s="10"/>
      <c r="Q146" s="38">
        <f t="shared" si="33"/>
        <v>0</v>
      </c>
      <c r="R146" s="38">
        <f t="shared" si="34"/>
        <v>3372</v>
      </c>
      <c r="T146" t="s">
        <v>2764</v>
      </c>
    </row>
    <row r="147" spans="1:20" ht="15.75" customHeight="1" x14ac:dyDescent="0.3">
      <c r="A147" s="569" t="s">
        <v>2735</v>
      </c>
      <c r="B147" s="10"/>
      <c r="C147" s="10"/>
      <c r="D147" s="10">
        <v>286</v>
      </c>
      <c r="E147" s="38">
        <f t="shared" si="30"/>
        <v>286</v>
      </c>
      <c r="F147" s="10">
        <v>287</v>
      </c>
      <c r="G147" s="10">
        <v>287</v>
      </c>
      <c r="H147" s="10">
        <v>287</v>
      </c>
      <c r="I147" s="38">
        <f t="shared" si="31"/>
        <v>861</v>
      </c>
      <c r="J147" s="10">
        <v>287</v>
      </c>
      <c r="K147" s="10">
        <v>286</v>
      </c>
      <c r="L147" s="10">
        <v>283</v>
      </c>
      <c r="M147" s="38">
        <f t="shared" si="32"/>
        <v>856</v>
      </c>
      <c r="N147" s="10"/>
      <c r="O147" s="10"/>
      <c r="P147" s="10"/>
      <c r="Q147" s="38">
        <f t="shared" si="33"/>
        <v>0</v>
      </c>
      <c r="R147" s="38">
        <f t="shared" si="34"/>
        <v>2003</v>
      </c>
      <c r="T147" t="s">
        <v>2764</v>
      </c>
    </row>
    <row r="148" spans="1:20" ht="15.75" customHeight="1" x14ac:dyDescent="0.3">
      <c r="A148" s="569" t="s">
        <v>3399</v>
      </c>
      <c r="B148" s="10"/>
      <c r="C148" s="10"/>
      <c r="D148" s="10"/>
      <c r="E148" s="38">
        <f t="shared" si="30"/>
        <v>0</v>
      </c>
      <c r="F148" s="10"/>
      <c r="G148" s="10"/>
      <c r="H148" s="10">
        <v>172</v>
      </c>
      <c r="I148" s="38">
        <f t="shared" si="31"/>
        <v>172</v>
      </c>
      <c r="J148" s="10"/>
      <c r="K148" s="10"/>
      <c r="L148" s="10"/>
      <c r="M148" s="38">
        <f t="shared" si="32"/>
        <v>0</v>
      </c>
      <c r="N148" s="10"/>
      <c r="O148" s="10"/>
      <c r="P148" s="10"/>
      <c r="Q148" s="38">
        <f t="shared" ref="Q148" si="35">SUM(N148:P148)</f>
        <v>0</v>
      </c>
      <c r="R148" s="38">
        <f t="shared" si="34"/>
        <v>172</v>
      </c>
    </row>
    <row r="149" spans="1:20" ht="15.75" customHeight="1" x14ac:dyDescent="0.3">
      <c r="A149" s="539" t="s">
        <v>2238</v>
      </c>
      <c r="B149" s="10">
        <v>525</v>
      </c>
      <c r="C149" s="10">
        <v>525</v>
      </c>
      <c r="D149" s="10">
        <v>525</v>
      </c>
      <c r="E149" s="38">
        <f t="shared" ref="E149:E150" si="36">SUM(B149:D149)</f>
        <v>1575</v>
      </c>
      <c r="F149" s="10">
        <v>525</v>
      </c>
      <c r="G149" s="10">
        <v>525</v>
      </c>
      <c r="H149" s="10">
        <v>525</v>
      </c>
      <c r="I149" s="38">
        <f t="shared" si="31"/>
        <v>1575</v>
      </c>
      <c r="J149" s="10">
        <v>525</v>
      </c>
      <c r="K149" s="10">
        <v>525</v>
      </c>
      <c r="L149" s="10">
        <v>525</v>
      </c>
      <c r="M149" s="38">
        <f t="shared" si="32"/>
        <v>1575</v>
      </c>
      <c r="N149" s="10">
        <v>525</v>
      </c>
      <c r="O149" s="10">
        <v>525</v>
      </c>
      <c r="P149" s="10">
        <v>525</v>
      </c>
      <c r="Q149" s="38">
        <f t="shared" si="33"/>
        <v>1575</v>
      </c>
      <c r="R149" s="38">
        <f t="shared" si="34"/>
        <v>6300</v>
      </c>
      <c r="T149" t="s">
        <v>1193</v>
      </c>
    </row>
    <row r="150" spans="1:20" ht="15.75" customHeight="1" x14ac:dyDescent="0.3">
      <c r="A150" s="539" t="s">
        <v>3318</v>
      </c>
      <c r="B150" s="10"/>
      <c r="C150" s="10"/>
      <c r="D150" s="10"/>
      <c r="E150" s="38">
        <f t="shared" si="36"/>
        <v>0</v>
      </c>
      <c r="F150" s="10"/>
      <c r="G150" s="10"/>
      <c r="H150" s="10"/>
      <c r="I150" s="38">
        <f t="shared" si="31"/>
        <v>0</v>
      </c>
      <c r="J150" s="10"/>
      <c r="K150" s="10"/>
      <c r="L150" s="10"/>
      <c r="M150" s="38">
        <f t="shared" si="32"/>
        <v>0</v>
      </c>
      <c r="N150" s="10"/>
      <c r="O150" s="10"/>
      <c r="P150" s="10"/>
      <c r="Q150" s="38">
        <f t="shared" si="33"/>
        <v>0</v>
      </c>
      <c r="R150" s="38">
        <f t="shared" si="34"/>
        <v>0</v>
      </c>
    </row>
    <row r="151" spans="1:20" ht="15.75" customHeight="1" x14ac:dyDescent="0.3">
      <c r="A151" s="569" t="s">
        <v>3046</v>
      </c>
      <c r="C151" s="10">
        <v>10</v>
      </c>
      <c r="D151" s="10">
        <v>20</v>
      </c>
      <c r="E151" s="38">
        <f>SUM(C151:D151)</f>
        <v>30</v>
      </c>
      <c r="F151" s="10">
        <v>20</v>
      </c>
      <c r="G151" s="10">
        <v>20</v>
      </c>
      <c r="H151" s="10">
        <f>718+30</f>
        <v>748</v>
      </c>
      <c r="I151" s="38">
        <f t="shared" si="31"/>
        <v>788</v>
      </c>
      <c r="J151" s="10">
        <v>30</v>
      </c>
      <c r="K151" s="10">
        <v>40</v>
      </c>
      <c r="L151" s="10">
        <v>20</v>
      </c>
      <c r="M151" s="38">
        <f t="shared" si="32"/>
        <v>90</v>
      </c>
      <c r="N151" s="10">
        <v>20</v>
      </c>
      <c r="O151" s="10">
        <v>20</v>
      </c>
      <c r="P151" s="10">
        <v>20</v>
      </c>
      <c r="Q151" s="38">
        <f t="shared" si="33"/>
        <v>60</v>
      </c>
      <c r="R151" s="38">
        <f t="shared" si="34"/>
        <v>968</v>
      </c>
      <c r="T151" t="s">
        <v>2764</v>
      </c>
    </row>
    <row r="152" spans="1:20" ht="15.75" customHeight="1" x14ac:dyDescent="0.3">
      <c r="A152" s="539" t="s">
        <v>3326</v>
      </c>
      <c r="C152" s="10"/>
      <c r="D152" s="10"/>
      <c r="E152" s="38">
        <f>SUM(C152:D152)</f>
        <v>0</v>
      </c>
      <c r="F152" s="10"/>
      <c r="G152" s="10">
        <v>3684</v>
      </c>
      <c r="H152" s="10">
        <v>3566</v>
      </c>
      <c r="I152" s="38">
        <f t="shared" si="31"/>
        <v>7250</v>
      </c>
      <c r="J152" s="10">
        <v>3684</v>
      </c>
      <c r="K152" s="10">
        <v>3566</v>
      </c>
      <c r="L152" s="10"/>
      <c r="M152" s="38">
        <f t="shared" si="32"/>
        <v>7250</v>
      </c>
      <c r="N152" s="10"/>
      <c r="O152" s="10"/>
      <c r="P152" s="10"/>
      <c r="Q152" s="38">
        <f t="shared" si="33"/>
        <v>0</v>
      </c>
      <c r="R152" s="38">
        <f t="shared" si="34"/>
        <v>14500</v>
      </c>
    </row>
    <row r="153" spans="1:20" ht="15.75" customHeight="1" x14ac:dyDescent="0.3">
      <c r="A153" s="569" t="s">
        <v>2736</v>
      </c>
      <c r="B153" s="10"/>
      <c r="C153" s="10"/>
      <c r="D153" s="10"/>
      <c r="E153" s="38">
        <f t="shared" ref="E153:E193" si="37">SUM(B153:D153)</f>
        <v>0</v>
      </c>
      <c r="F153" s="10"/>
      <c r="G153" s="10"/>
      <c r="H153" s="10"/>
      <c r="I153" s="38">
        <f t="shared" si="31"/>
        <v>0</v>
      </c>
      <c r="J153" s="10"/>
      <c r="K153" s="10"/>
      <c r="L153" s="10"/>
      <c r="M153" s="38">
        <f t="shared" si="32"/>
        <v>0</v>
      </c>
      <c r="N153" s="10"/>
      <c r="O153" s="10"/>
      <c r="P153" s="10"/>
      <c r="Q153" s="38">
        <f t="shared" si="33"/>
        <v>0</v>
      </c>
      <c r="R153" s="38">
        <f t="shared" si="34"/>
        <v>0</v>
      </c>
      <c r="T153" t="s">
        <v>2769</v>
      </c>
    </row>
    <row r="154" spans="1:20" ht="15.75" customHeight="1" x14ac:dyDescent="0.3">
      <c r="A154" s="569" t="s">
        <v>917</v>
      </c>
      <c r="B154" s="10">
        <v>588</v>
      </c>
      <c r="C154" s="10">
        <v>588</v>
      </c>
      <c r="D154" s="10">
        <v>588</v>
      </c>
      <c r="E154" s="38">
        <f t="shared" si="37"/>
        <v>1764</v>
      </c>
      <c r="F154" s="10">
        <v>588</v>
      </c>
      <c r="G154" s="10">
        <v>588</v>
      </c>
      <c r="H154" s="10">
        <v>176</v>
      </c>
      <c r="I154" s="38">
        <f t="shared" si="31"/>
        <v>1352</v>
      </c>
      <c r="J154" s="10">
        <v>1000</v>
      </c>
      <c r="K154" s="10"/>
      <c r="L154" s="10"/>
      <c r="M154" s="38">
        <f t="shared" si="32"/>
        <v>1000</v>
      </c>
      <c r="N154" s="10"/>
      <c r="O154" s="10"/>
      <c r="P154" s="10"/>
      <c r="Q154" s="38">
        <f t="shared" si="33"/>
        <v>0</v>
      </c>
      <c r="R154" s="38">
        <f t="shared" si="34"/>
        <v>4116</v>
      </c>
      <c r="T154" t="s">
        <v>2770</v>
      </c>
    </row>
    <row r="155" spans="1:20" ht="15.75" customHeight="1" x14ac:dyDescent="0.3">
      <c r="A155" s="539" t="s">
        <v>3001</v>
      </c>
      <c r="B155" s="10"/>
      <c r="C155" s="10"/>
      <c r="D155" s="10"/>
      <c r="E155" s="38">
        <f t="shared" si="37"/>
        <v>0</v>
      </c>
      <c r="F155" s="10"/>
      <c r="G155" s="10">
        <v>1300</v>
      </c>
      <c r="H155" s="10"/>
      <c r="I155" s="38">
        <f t="shared" si="31"/>
        <v>1300</v>
      </c>
      <c r="J155" s="10"/>
      <c r="K155" s="10"/>
      <c r="L155" s="10"/>
      <c r="M155" s="38">
        <f t="shared" si="32"/>
        <v>0</v>
      </c>
      <c r="N155" s="10"/>
      <c r="O155" s="10"/>
      <c r="P155" s="10"/>
      <c r="Q155" s="38">
        <f t="shared" si="33"/>
        <v>0</v>
      </c>
      <c r="R155" s="38">
        <f t="shared" si="34"/>
        <v>1300</v>
      </c>
      <c r="S155" t="s">
        <v>3020</v>
      </c>
      <c r="T155" t="s">
        <v>2760</v>
      </c>
    </row>
    <row r="156" spans="1:20" ht="15.75" customHeight="1" x14ac:dyDescent="0.3">
      <c r="A156" s="410" t="s">
        <v>3212</v>
      </c>
      <c r="B156" s="10">
        <v>18</v>
      </c>
      <c r="C156" s="10">
        <v>18</v>
      </c>
      <c r="D156" s="10">
        <v>24</v>
      </c>
      <c r="E156" s="38">
        <f>SUM(B156:D156)</f>
        <v>60</v>
      </c>
      <c r="F156" s="10">
        <v>52</v>
      </c>
      <c r="G156" s="10">
        <v>93</v>
      </c>
      <c r="H156" s="10">
        <v>32</v>
      </c>
      <c r="I156" s="38">
        <f>SUM(F156:H156)</f>
        <v>177</v>
      </c>
      <c r="K156" s="10"/>
      <c r="L156" s="10"/>
      <c r="M156" s="38">
        <f>SUM(J156:L156)</f>
        <v>0</v>
      </c>
      <c r="N156" s="10"/>
      <c r="O156" s="10"/>
      <c r="P156" s="10"/>
      <c r="Q156" s="38">
        <f>SUM(N156:P156)</f>
        <v>0</v>
      </c>
      <c r="R156" s="38">
        <f>+E156+I156+M156+Q156</f>
        <v>237</v>
      </c>
      <c r="S156" s="709"/>
    </row>
    <row r="157" spans="1:20" ht="15.75" customHeight="1" x14ac:dyDescent="0.3">
      <c r="A157" s="569" t="s">
        <v>3246</v>
      </c>
      <c r="B157" s="10"/>
      <c r="C157" s="10"/>
      <c r="D157" s="10"/>
      <c r="E157" s="38">
        <f t="shared" si="37"/>
        <v>0</v>
      </c>
      <c r="F157" s="10"/>
      <c r="G157" s="10"/>
      <c r="H157" s="10"/>
      <c r="I157" s="38">
        <f t="shared" si="31"/>
        <v>0</v>
      </c>
      <c r="J157" s="10"/>
      <c r="K157" s="10"/>
      <c r="L157" s="10"/>
      <c r="M157" s="38">
        <f t="shared" si="32"/>
        <v>0</v>
      </c>
      <c r="N157" s="10">
        <v>893</v>
      </c>
      <c r="O157" s="10"/>
      <c r="P157" s="10"/>
      <c r="Q157" s="38">
        <f t="shared" si="33"/>
        <v>893</v>
      </c>
      <c r="R157" s="38">
        <f t="shared" si="34"/>
        <v>893</v>
      </c>
      <c r="S157" s="736" t="s">
        <v>3213</v>
      </c>
      <c r="T157" t="s">
        <v>2769</v>
      </c>
    </row>
    <row r="158" spans="1:20" ht="15.75" customHeight="1" x14ac:dyDescent="0.3">
      <c r="A158" s="569" t="s">
        <v>3247</v>
      </c>
      <c r="B158" s="10"/>
      <c r="C158" s="10"/>
      <c r="D158" s="700"/>
      <c r="E158" s="38">
        <f t="shared" si="37"/>
        <v>0</v>
      </c>
      <c r="F158" s="10"/>
      <c r="G158" s="10"/>
      <c r="H158" s="10"/>
      <c r="I158" s="38">
        <f t="shared" si="31"/>
        <v>0</v>
      </c>
      <c r="J158" s="10"/>
      <c r="K158" s="10"/>
      <c r="L158" s="10"/>
      <c r="M158" s="38">
        <f t="shared" si="32"/>
        <v>0</v>
      </c>
      <c r="N158" s="10">
        <v>157</v>
      </c>
      <c r="O158" s="10"/>
      <c r="P158" s="10"/>
      <c r="Q158" s="38">
        <f t="shared" si="33"/>
        <v>157</v>
      </c>
      <c r="R158" s="38">
        <f t="shared" si="34"/>
        <v>157</v>
      </c>
      <c r="S158" s="736" t="s">
        <v>3213</v>
      </c>
      <c r="T158" t="s">
        <v>2770</v>
      </c>
    </row>
    <row r="159" spans="1:20" ht="15.75" customHeight="1" x14ac:dyDescent="0.3">
      <c r="A159" s="569" t="s">
        <v>3248</v>
      </c>
      <c r="B159" s="10"/>
      <c r="C159" s="10"/>
      <c r="D159" s="10"/>
      <c r="E159" s="38">
        <f t="shared" si="37"/>
        <v>0</v>
      </c>
      <c r="F159" s="10"/>
      <c r="G159" s="10"/>
      <c r="H159" s="10"/>
      <c r="I159" s="38">
        <f t="shared" si="31"/>
        <v>0</v>
      </c>
      <c r="J159" s="10"/>
      <c r="K159" s="10"/>
      <c r="L159" s="10"/>
      <c r="M159" s="38">
        <f t="shared" si="32"/>
        <v>0</v>
      </c>
      <c r="N159" s="10"/>
      <c r="O159" s="10"/>
      <c r="P159" s="10"/>
      <c r="Q159" s="38">
        <f t="shared" si="33"/>
        <v>0</v>
      </c>
      <c r="R159" s="38">
        <f t="shared" si="34"/>
        <v>0</v>
      </c>
      <c r="S159" s="736" t="s">
        <v>3213</v>
      </c>
      <c r="T159" t="s">
        <v>2764</v>
      </c>
    </row>
    <row r="160" spans="1:20" ht="15.75" customHeight="1" x14ac:dyDescent="0.3">
      <c r="A160" s="539" t="s">
        <v>1880</v>
      </c>
      <c r="B160" s="10">
        <v>69</v>
      </c>
      <c r="C160" s="10">
        <v>69</v>
      </c>
      <c r="D160" s="10">
        <v>80</v>
      </c>
      <c r="E160" s="38">
        <f t="shared" si="37"/>
        <v>218</v>
      </c>
      <c r="F160" s="10">
        <v>80</v>
      </c>
      <c r="G160" s="10">
        <v>80</v>
      </c>
      <c r="H160" s="10">
        <v>87</v>
      </c>
      <c r="I160" s="38">
        <f t="shared" si="31"/>
        <v>247</v>
      </c>
      <c r="J160" s="10">
        <v>87</v>
      </c>
      <c r="K160" s="10">
        <v>87</v>
      </c>
      <c r="L160" s="10">
        <v>80</v>
      </c>
      <c r="M160" s="38">
        <f t="shared" si="32"/>
        <v>254</v>
      </c>
      <c r="N160" s="10">
        <v>80</v>
      </c>
      <c r="O160" s="10">
        <v>80</v>
      </c>
      <c r="P160" s="10">
        <v>71</v>
      </c>
      <c r="Q160" s="38">
        <f t="shared" si="33"/>
        <v>231</v>
      </c>
      <c r="R160" s="38">
        <f t="shared" si="34"/>
        <v>950</v>
      </c>
      <c r="T160" t="s">
        <v>2761</v>
      </c>
    </row>
    <row r="161" spans="1:20" ht="15.75" customHeight="1" x14ac:dyDescent="0.3">
      <c r="A161" s="539" t="s">
        <v>703</v>
      </c>
      <c r="B161" s="10">
        <v>140</v>
      </c>
      <c r="C161" s="10">
        <v>115</v>
      </c>
      <c r="D161" s="10">
        <v>155</v>
      </c>
      <c r="E161" s="38">
        <f t="shared" si="37"/>
        <v>410</v>
      </c>
      <c r="F161" s="10">
        <v>185</v>
      </c>
      <c r="G161" s="10">
        <v>210</v>
      </c>
      <c r="H161" s="10">
        <v>260</v>
      </c>
      <c r="I161" s="38">
        <f t="shared" si="31"/>
        <v>655</v>
      </c>
      <c r="J161" s="10">
        <v>260</v>
      </c>
      <c r="K161" s="10">
        <v>260</v>
      </c>
      <c r="L161" s="10">
        <v>210</v>
      </c>
      <c r="M161" s="38">
        <f t="shared" si="32"/>
        <v>730</v>
      </c>
      <c r="N161" s="10">
        <v>200</v>
      </c>
      <c r="O161" s="10">
        <v>170</v>
      </c>
      <c r="P161" s="10">
        <v>180</v>
      </c>
      <c r="Q161" s="38">
        <f t="shared" si="33"/>
        <v>550</v>
      </c>
      <c r="R161" s="38">
        <f t="shared" si="34"/>
        <v>2345</v>
      </c>
      <c r="T161" t="s">
        <v>2874</v>
      </c>
    </row>
    <row r="162" spans="1:20" ht="15.75" customHeight="1" x14ac:dyDescent="0.3">
      <c r="A162" s="569" t="s">
        <v>3424</v>
      </c>
      <c r="B162" s="10"/>
      <c r="C162" s="10">
        <v>400</v>
      </c>
      <c r="D162" s="10"/>
      <c r="E162" s="38">
        <f t="shared" si="37"/>
        <v>400</v>
      </c>
      <c r="F162" s="10">
        <v>400</v>
      </c>
      <c r="G162" s="10"/>
      <c r="H162" s="10"/>
      <c r="I162" s="38">
        <f t="shared" si="31"/>
        <v>400</v>
      </c>
      <c r="J162" s="10"/>
      <c r="K162" s="10"/>
      <c r="L162" s="10"/>
      <c r="M162" s="38">
        <f t="shared" si="32"/>
        <v>0</v>
      </c>
      <c r="N162" s="10"/>
      <c r="O162" s="10"/>
      <c r="P162" s="10"/>
      <c r="Q162" s="38">
        <f t="shared" ref="Q162" si="38">SUM(N162:P162)</f>
        <v>0</v>
      </c>
      <c r="R162" s="38">
        <f t="shared" si="34"/>
        <v>800</v>
      </c>
    </row>
    <row r="163" spans="1:20" ht="15.75" customHeight="1" x14ac:dyDescent="0.3">
      <c r="A163" s="539" t="s">
        <v>2967</v>
      </c>
      <c r="B163" s="10"/>
      <c r="C163" s="10"/>
      <c r="D163" s="10">
        <v>200</v>
      </c>
      <c r="E163" s="38">
        <f t="shared" si="37"/>
        <v>200</v>
      </c>
      <c r="F163" s="10">
        <v>800</v>
      </c>
      <c r="G163" s="10">
        <f>124</f>
        <v>124</v>
      </c>
      <c r="H163" s="10"/>
      <c r="I163" s="38">
        <f t="shared" si="31"/>
        <v>924</v>
      </c>
      <c r="J163" s="10"/>
      <c r="K163" s="10">
        <f>526+600</f>
        <v>1126</v>
      </c>
      <c r="L163" s="10">
        <v>600</v>
      </c>
      <c r="M163" s="38">
        <f t="shared" si="32"/>
        <v>1726</v>
      </c>
      <c r="N163" s="10">
        <v>600</v>
      </c>
      <c r="O163" s="10">
        <v>800</v>
      </c>
      <c r="P163" s="10"/>
      <c r="Q163" s="38">
        <f t="shared" si="33"/>
        <v>1400</v>
      </c>
      <c r="R163" s="38">
        <f t="shared" si="34"/>
        <v>4250</v>
      </c>
      <c r="S163" t="s">
        <v>3020</v>
      </c>
    </row>
    <row r="164" spans="1:20" ht="15.75" customHeight="1" x14ac:dyDescent="0.3">
      <c r="A164" s="569" t="s">
        <v>3336</v>
      </c>
      <c r="B164" s="10"/>
      <c r="C164" s="10">
        <v>300</v>
      </c>
      <c r="D164" s="10">
        <v>300</v>
      </c>
      <c r="E164" s="38">
        <f>SUM(B164:D164)</f>
        <v>600</v>
      </c>
      <c r="F164" s="10">
        <v>300</v>
      </c>
      <c r="G164" s="10">
        <v>375</v>
      </c>
      <c r="H164" s="10">
        <v>450</v>
      </c>
      <c r="I164" s="38">
        <f t="shared" si="31"/>
        <v>1125</v>
      </c>
      <c r="J164" s="10">
        <v>450</v>
      </c>
      <c r="K164" s="10">
        <v>450</v>
      </c>
      <c r="L164" s="10">
        <v>375</v>
      </c>
      <c r="M164" s="38">
        <f t="shared" si="32"/>
        <v>1275</v>
      </c>
      <c r="N164" s="10">
        <v>300</v>
      </c>
      <c r="O164" s="10">
        <v>300</v>
      </c>
      <c r="P164" s="10"/>
      <c r="Q164" s="38">
        <f t="shared" si="33"/>
        <v>600</v>
      </c>
      <c r="R164" s="38">
        <f t="shared" si="34"/>
        <v>3600</v>
      </c>
      <c r="T164" t="s">
        <v>2764</v>
      </c>
    </row>
    <row r="165" spans="1:20" ht="15.75" customHeight="1" x14ac:dyDescent="0.3">
      <c r="A165" s="539" t="s">
        <v>3337</v>
      </c>
      <c r="B165" s="10">
        <v>498</v>
      </c>
      <c r="C165" s="10">
        <v>427</v>
      </c>
      <c r="D165" s="10">
        <v>512</v>
      </c>
      <c r="E165" s="38">
        <f t="shared" si="37"/>
        <v>1437</v>
      </c>
      <c r="F165" s="10">
        <v>517</v>
      </c>
      <c r="G165" s="10">
        <v>573</v>
      </c>
      <c r="H165" s="10">
        <v>545</v>
      </c>
      <c r="I165" s="38">
        <f t="shared" si="31"/>
        <v>1635</v>
      </c>
      <c r="J165" s="10">
        <v>494</v>
      </c>
      <c r="K165" s="10">
        <v>494</v>
      </c>
      <c r="L165" s="10">
        <v>598</v>
      </c>
      <c r="M165" s="38">
        <f t="shared" si="32"/>
        <v>1586</v>
      </c>
      <c r="N165" s="10">
        <v>377</v>
      </c>
      <c r="O165" s="10">
        <v>96</v>
      </c>
      <c r="P165" s="10">
        <v>178</v>
      </c>
      <c r="Q165" s="38">
        <f t="shared" si="33"/>
        <v>651</v>
      </c>
      <c r="R165" s="38">
        <f t="shared" si="34"/>
        <v>5309</v>
      </c>
      <c r="T165" t="s">
        <v>2762</v>
      </c>
    </row>
    <row r="166" spans="1:20" ht="15.75" customHeight="1" x14ac:dyDescent="0.3">
      <c r="A166" s="539" t="s">
        <v>3400</v>
      </c>
      <c r="B166" s="10">
        <v>26</v>
      </c>
      <c r="C166" s="10">
        <v>38</v>
      </c>
      <c r="D166" s="10">
        <v>63</v>
      </c>
      <c r="E166" s="38">
        <f t="shared" si="37"/>
        <v>127</v>
      </c>
      <c r="F166" s="10">
        <v>113</v>
      </c>
      <c r="G166" s="10">
        <v>163</v>
      </c>
      <c r="H166" s="10">
        <v>213</v>
      </c>
      <c r="I166" s="38">
        <f t="shared" si="31"/>
        <v>489</v>
      </c>
      <c r="J166" s="10">
        <v>213</v>
      </c>
      <c r="K166" s="10">
        <v>163</v>
      </c>
      <c r="L166" s="10">
        <v>113</v>
      </c>
      <c r="M166" s="38">
        <f t="shared" si="32"/>
        <v>489</v>
      </c>
      <c r="N166" s="10">
        <v>61</v>
      </c>
      <c r="O166" s="10">
        <v>36</v>
      </c>
      <c r="P166" s="10">
        <v>26</v>
      </c>
      <c r="Q166" s="38">
        <f t="shared" si="33"/>
        <v>123</v>
      </c>
      <c r="R166" s="38">
        <f t="shared" si="34"/>
        <v>1228</v>
      </c>
    </row>
    <row r="167" spans="1:20" ht="15.75" customHeight="1" x14ac:dyDescent="0.3">
      <c r="A167" s="569" t="s">
        <v>2845</v>
      </c>
      <c r="B167" s="10"/>
      <c r="C167" s="10"/>
      <c r="D167" s="10"/>
      <c r="E167" s="38">
        <f t="shared" si="37"/>
        <v>0</v>
      </c>
      <c r="F167" s="10"/>
      <c r="G167" s="10"/>
      <c r="H167" s="10"/>
      <c r="I167" s="38">
        <f t="shared" si="31"/>
        <v>0</v>
      </c>
      <c r="J167" s="10">
        <v>508</v>
      </c>
      <c r="K167" s="10">
        <v>500</v>
      </c>
      <c r="L167" s="10">
        <v>818</v>
      </c>
      <c r="M167" s="38">
        <f t="shared" si="32"/>
        <v>1826</v>
      </c>
      <c r="N167" s="10"/>
      <c r="O167" s="10"/>
      <c r="P167" s="10"/>
      <c r="Q167" s="38">
        <f t="shared" si="33"/>
        <v>0</v>
      </c>
      <c r="R167" s="38">
        <f t="shared" si="34"/>
        <v>1826</v>
      </c>
      <c r="T167" t="s">
        <v>2770</v>
      </c>
    </row>
    <row r="168" spans="1:20" ht="15.75" customHeight="1" x14ac:dyDescent="0.3">
      <c r="A168" s="410" t="s">
        <v>3274</v>
      </c>
      <c r="B168" s="10"/>
      <c r="C168" s="10"/>
      <c r="D168" s="10"/>
      <c r="E168" s="38">
        <f t="shared" ref="E168" si="39">SUM(B168:D168)</f>
        <v>0</v>
      </c>
      <c r="F168" s="10"/>
      <c r="G168" s="10"/>
      <c r="H168" s="10"/>
      <c r="I168" s="38">
        <f t="shared" si="31"/>
        <v>0</v>
      </c>
      <c r="J168" s="10"/>
      <c r="K168" s="10"/>
      <c r="L168" s="10"/>
      <c r="M168" s="38">
        <f t="shared" si="32"/>
        <v>0</v>
      </c>
      <c r="N168" s="10"/>
      <c r="O168" s="10"/>
      <c r="P168" s="10"/>
      <c r="Q168" s="38">
        <f t="shared" si="33"/>
        <v>0</v>
      </c>
      <c r="R168" s="38">
        <f t="shared" si="34"/>
        <v>0</v>
      </c>
    </row>
    <row r="169" spans="1:20" ht="15.75" customHeight="1" x14ac:dyDescent="0.3">
      <c r="A169" s="410" t="s">
        <v>3403</v>
      </c>
      <c r="B169" s="10"/>
      <c r="C169" s="10"/>
      <c r="D169" s="10"/>
      <c r="E169" s="38">
        <f t="shared" si="37"/>
        <v>0</v>
      </c>
      <c r="F169" s="10"/>
      <c r="G169" s="10">
        <v>2906</v>
      </c>
      <c r="H169" s="10"/>
      <c r="I169" s="38">
        <f t="shared" si="31"/>
        <v>2906</v>
      </c>
      <c r="J169" s="10"/>
      <c r="K169" s="10"/>
      <c r="L169" s="10"/>
      <c r="M169" s="38">
        <f t="shared" si="32"/>
        <v>0</v>
      </c>
      <c r="N169" s="10"/>
      <c r="O169" s="10"/>
      <c r="P169" s="10"/>
      <c r="Q169" s="38">
        <f t="shared" si="33"/>
        <v>0</v>
      </c>
      <c r="R169" s="38">
        <f t="shared" si="34"/>
        <v>2906</v>
      </c>
    </row>
    <row r="170" spans="1:20" ht="15.75" customHeight="1" x14ac:dyDescent="0.3">
      <c r="A170" s="539" t="s">
        <v>2809</v>
      </c>
      <c r="B170" s="10"/>
      <c r="C170" s="10"/>
      <c r="D170" s="10"/>
      <c r="E170" s="38">
        <f t="shared" si="37"/>
        <v>0</v>
      </c>
      <c r="F170" s="10"/>
      <c r="G170" s="10"/>
      <c r="H170" s="10"/>
      <c r="I170" s="38">
        <f t="shared" si="31"/>
        <v>0</v>
      </c>
      <c r="J170" s="10"/>
      <c r="K170" s="10"/>
      <c r="L170" s="10"/>
      <c r="M170" s="38">
        <f t="shared" si="32"/>
        <v>0</v>
      </c>
      <c r="N170" s="10"/>
      <c r="O170" s="10"/>
      <c r="P170" s="10"/>
      <c r="Q170" s="38">
        <f t="shared" si="33"/>
        <v>0</v>
      </c>
      <c r="R170" s="38">
        <f t="shared" si="34"/>
        <v>0</v>
      </c>
      <c r="S170" t="s">
        <v>3020</v>
      </c>
      <c r="T170" t="s">
        <v>2760</v>
      </c>
    </row>
    <row r="171" spans="1:20" s="353" customFormat="1" ht="15.75" customHeight="1" x14ac:dyDescent="0.3">
      <c r="A171" s="535" t="s">
        <v>1242</v>
      </c>
      <c r="B171" s="542"/>
      <c r="C171" s="542"/>
      <c r="D171" s="542"/>
      <c r="E171" s="331">
        <f t="shared" si="37"/>
        <v>0</v>
      </c>
      <c r="F171" s="542"/>
      <c r="G171" s="542"/>
      <c r="H171" s="542"/>
      <c r="I171" s="331">
        <f t="shared" si="31"/>
        <v>0</v>
      </c>
      <c r="J171" s="542"/>
      <c r="K171" s="542"/>
      <c r="L171" s="542"/>
      <c r="M171" s="331">
        <f t="shared" si="32"/>
        <v>0</v>
      </c>
      <c r="N171" s="542"/>
      <c r="O171" s="542"/>
      <c r="P171" s="542"/>
      <c r="Q171" s="331">
        <f t="shared" si="33"/>
        <v>0</v>
      </c>
      <c r="R171" s="331">
        <f t="shared" si="34"/>
        <v>0</v>
      </c>
    </row>
    <row r="172" spans="1:20" ht="15.75" customHeight="1" x14ac:dyDescent="0.3">
      <c r="A172" s="539" t="s">
        <v>1379</v>
      </c>
      <c r="B172" s="10"/>
      <c r="C172" s="10"/>
      <c r="D172" s="10"/>
      <c r="E172" s="38">
        <f t="shared" si="37"/>
        <v>0</v>
      </c>
      <c r="F172" s="10">
        <v>1654</v>
      </c>
      <c r="G172" s="10">
        <v>1850</v>
      </c>
      <c r="H172" s="10">
        <v>1900</v>
      </c>
      <c r="I172" s="38">
        <f t="shared" si="31"/>
        <v>5404</v>
      </c>
      <c r="J172" s="10">
        <v>1900</v>
      </c>
      <c r="K172" s="10">
        <v>1900</v>
      </c>
      <c r="L172" s="10">
        <v>1900</v>
      </c>
      <c r="M172" s="38">
        <f t="shared" si="32"/>
        <v>5700</v>
      </c>
      <c r="N172" s="10">
        <v>1600</v>
      </c>
      <c r="O172" s="10">
        <v>1600</v>
      </c>
      <c r="P172" s="10">
        <v>1600</v>
      </c>
      <c r="Q172" s="38">
        <f t="shared" si="33"/>
        <v>4800</v>
      </c>
      <c r="R172" s="38">
        <f>+E172+I172+M172+Q172</f>
        <v>15904</v>
      </c>
      <c r="T172" t="s">
        <v>2775</v>
      </c>
    </row>
    <row r="173" spans="1:20" ht="15.75" customHeight="1" x14ac:dyDescent="0.3">
      <c r="A173" s="569" t="s">
        <v>2984</v>
      </c>
      <c r="B173" s="10"/>
      <c r="C173" s="10"/>
      <c r="D173" s="10"/>
      <c r="E173" s="38">
        <f t="shared" si="37"/>
        <v>0</v>
      </c>
      <c r="F173" s="10"/>
      <c r="G173" s="10"/>
      <c r="H173" s="10"/>
      <c r="I173" s="38">
        <f t="shared" si="31"/>
        <v>0</v>
      </c>
      <c r="J173" s="10"/>
      <c r="K173" s="10"/>
      <c r="L173" s="10">
        <v>532</v>
      </c>
      <c r="M173" s="38">
        <f t="shared" si="32"/>
        <v>532</v>
      </c>
      <c r="N173" s="10"/>
      <c r="O173" s="10"/>
      <c r="P173" s="10"/>
      <c r="Q173" s="38">
        <f t="shared" si="33"/>
        <v>0</v>
      </c>
      <c r="R173" s="38">
        <f t="shared" ref="R173:R179" si="40">+E173+I173+M173+Q173</f>
        <v>532</v>
      </c>
      <c r="T173" t="s">
        <v>2764</v>
      </c>
    </row>
    <row r="174" spans="1:20" ht="15.75" customHeight="1" x14ac:dyDescent="0.3">
      <c r="A174" s="569" t="s">
        <v>2987</v>
      </c>
      <c r="B174" s="10"/>
      <c r="C174" s="10"/>
      <c r="D174" s="10"/>
      <c r="E174" s="38">
        <f t="shared" si="37"/>
        <v>0</v>
      </c>
      <c r="F174" s="10"/>
      <c r="G174" s="10"/>
      <c r="H174" s="10"/>
      <c r="I174" s="38">
        <f t="shared" si="31"/>
        <v>0</v>
      </c>
      <c r="J174" s="10"/>
      <c r="K174" s="10"/>
      <c r="L174" s="10"/>
      <c r="M174" s="38">
        <f t="shared" si="32"/>
        <v>0</v>
      </c>
      <c r="N174" s="10"/>
      <c r="O174" s="10"/>
      <c r="P174" s="10"/>
      <c r="Q174" s="38">
        <f t="shared" si="33"/>
        <v>0</v>
      </c>
      <c r="R174" s="38">
        <f t="shared" si="40"/>
        <v>0</v>
      </c>
      <c r="T174" t="s">
        <v>2770</v>
      </c>
    </row>
    <row r="175" spans="1:20" ht="15.75" customHeight="1" x14ac:dyDescent="0.3">
      <c r="A175" s="539" t="s">
        <v>2985</v>
      </c>
      <c r="B175" s="10"/>
      <c r="C175" s="10"/>
      <c r="D175" s="10"/>
      <c r="E175" s="38">
        <f t="shared" si="37"/>
        <v>0</v>
      </c>
      <c r="F175" s="10"/>
      <c r="G175" s="10">
        <v>800</v>
      </c>
      <c r="H175" s="10"/>
      <c r="I175" s="38">
        <f t="shared" si="31"/>
        <v>800</v>
      </c>
      <c r="J175" s="10"/>
      <c r="K175" s="10"/>
      <c r="L175" s="10"/>
      <c r="M175" s="38">
        <f t="shared" si="32"/>
        <v>0</v>
      </c>
      <c r="N175" s="10"/>
      <c r="O175" s="10"/>
      <c r="P175" s="10"/>
      <c r="Q175" s="38">
        <f t="shared" si="33"/>
        <v>0</v>
      </c>
      <c r="R175" s="38">
        <f t="shared" si="40"/>
        <v>800</v>
      </c>
      <c r="S175" s="709" t="s">
        <v>3020</v>
      </c>
      <c r="T175" t="s">
        <v>2986</v>
      </c>
    </row>
    <row r="176" spans="1:20" ht="15.75" customHeight="1" x14ac:dyDescent="0.3">
      <c r="A176" s="539" t="s">
        <v>3405</v>
      </c>
      <c r="B176" s="10"/>
      <c r="C176" s="10"/>
      <c r="D176" s="10"/>
      <c r="E176" s="38">
        <f t="shared" si="37"/>
        <v>0</v>
      </c>
      <c r="F176" s="10"/>
      <c r="G176" s="10"/>
      <c r="H176" s="10">
        <v>3700</v>
      </c>
      <c r="I176" s="38">
        <f t="shared" si="31"/>
        <v>3700</v>
      </c>
      <c r="J176" s="10"/>
      <c r="K176" s="10"/>
      <c r="L176" s="10"/>
      <c r="M176" s="38">
        <f t="shared" si="32"/>
        <v>0</v>
      </c>
      <c r="N176" s="10"/>
      <c r="O176" s="10"/>
      <c r="P176" s="10"/>
      <c r="Q176" s="38">
        <f t="shared" ref="Q176" si="41">SUM(N176:P176)</f>
        <v>0</v>
      </c>
      <c r="R176" s="38">
        <f t="shared" si="40"/>
        <v>3700</v>
      </c>
      <c r="S176" s="709"/>
    </row>
    <row r="177" spans="1:20" ht="15.75" customHeight="1" x14ac:dyDescent="0.3">
      <c r="A177" s="569" t="s">
        <v>2767</v>
      </c>
      <c r="B177" s="10">
        <v>968</v>
      </c>
      <c r="C177" s="10">
        <v>1400</v>
      </c>
      <c r="D177" s="10"/>
      <c r="E177" s="38">
        <f t="shared" si="37"/>
        <v>2368</v>
      </c>
      <c r="F177" s="10"/>
      <c r="G177" s="10"/>
      <c r="H177" s="10"/>
      <c r="I177" s="38">
        <f t="shared" si="31"/>
        <v>0</v>
      </c>
      <c r="J177" s="10"/>
      <c r="K177" s="10"/>
      <c r="L177" s="10"/>
      <c r="M177" s="38">
        <f t="shared" si="32"/>
        <v>0</v>
      </c>
      <c r="N177" s="10"/>
      <c r="O177" s="10"/>
      <c r="P177" s="10"/>
      <c r="Q177" s="38">
        <f t="shared" si="33"/>
        <v>0</v>
      </c>
      <c r="R177" s="38">
        <f t="shared" si="40"/>
        <v>2368</v>
      </c>
      <c r="T177" t="s">
        <v>2769</v>
      </c>
    </row>
    <row r="178" spans="1:20" ht="15.75" customHeight="1" x14ac:dyDescent="0.3">
      <c r="A178" s="569" t="s">
        <v>2768</v>
      </c>
      <c r="B178" s="10">
        <v>2100</v>
      </c>
      <c r="C178" s="10">
        <v>1700</v>
      </c>
      <c r="D178" s="10">
        <v>874</v>
      </c>
      <c r="E178" s="38">
        <f t="shared" si="37"/>
        <v>4674</v>
      </c>
      <c r="F178" s="10"/>
      <c r="G178" s="10"/>
      <c r="H178" s="10"/>
      <c r="I178" s="38">
        <f t="shared" si="31"/>
        <v>0</v>
      </c>
      <c r="J178" s="10"/>
      <c r="K178" s="10"/>
      <c r="L178" s="10"/>
      <c r="M178" s="38">
        <f t="shared" si="32"/>
        <v>0</v>
      </c>
      <c r="N178" s="10"/>
      <c r="O178" s="10"/>
      <c r="P178" s="10"/>
      <c r="Q178" s="38">
        <f t="shared" si="33"/>
        <v>0</v>
      </c>
      <c r="R178" s="38">
        <f t="shared" si="40"/>
        <v>4674</v>
      </c>
      <c r="T178" t="s">
        <v>2770</v>
      </c>
    </row>
    <row r="179" spans="1:20" ht="15.75" customHeight="1" x14ac:dyDescent="0.3">
      <c r="A179" s="539" t="s">
        <v>1879</v>
      </c>
      <c r="B179" s="10">
        <v>25</v>
      </c>
      <c r="C179" s="10">
        <v>25</v>
      </c>
      <c r="D179" s="10">
        <v>50</v>
      </c>
      <c r="E179" s="38">
        <f t="shared" si="37"/>
        <v>100</v>
      </c>
      <c r="F179" s="10">
        <v>70</v>
      </c>
      <c r="G179" s="10">
        <v>70</v>
      </c>
      <c r="H179" s="10">
        <v>70</v>
      </c>
      <c r="I179" s="38">
        <f t="shared" si="31"/>
        <v>210</v>
      </c>
      <c r="J179" s="10">
        <v>70</v>
      </c>
      <c r="K179" s="10">
        <v>70</v>
      </c>
      <c r="L179" s="10">
        <v>70</v>
      </c>
      <c r="M179" s="38">
        <f t="shared" si="32"/>
        <v>210</v>
      </c>
      <c r="N179" s="10">
        <v>75</v>
      </c>
      <c r="O179" s="10">
        <v>35</v>
      </c>
      <c r="P179" s="10">
        <v>35</v>
      </c>
      <c r="Q179" s="38">
        <f t="shared" si="33"/>
        <v>145</v>
      </c>
      <c r="R179" s="38">
        <f t="shared" si="40"/>
        <v>665</v>
      </c>
      <c r="T179" t="s">
        <v>1193</v>
      </c>
    </row>
    <row r="180" spans="1:20" ht="15.75" customHeight="1" x14ac:dyDescent="0.3">
      <c r="A180" s="569" t="s">
        <v>2737</v>
      </c>
      <c r="B180" s="10">
        <v>670</v>
      </c>
      <c r="C180" s="10">
        <v>742</v>
      </c>
      <c r="D180" s="10">
        <v>1141</v>
      </c>
      <c r="E180" s="38">
        <f t="shared" si="37"/>
        <v>2553</v>
      </c>
      <c r="F180" s="10">
        <v>1051</v>
      </c>
      <c r="G180" s="10">
        <v>1194</v>
      </c>
      <c r="H180" s="10">
        <v>1230</v>
      </c>
      <c r="I180" s="38">
        <f t="shared" si="31"/>
        <v>3475</v>
      </c>
      <c r="J180" s="10">
        <v>1041</v>
      </c>
      <c r="K180" s="10">
        <v>1621</v>
      </c>
      <c r="L180" s="10">
        <v>1328</v>
      </c>
      <c r="M180" s="38">
        <f t="shared" si="32"/>
        <v>3990</v>
      </c>
      <c r="N180" s="10">
        <v>1012</v>
      </c>
      <c r="O180" s="10">
        <v>1241</v>
      </c>
      <c r="P180" s="10">
        <v>1041</v>
      </c>
      <c r="Q180" s="38">
        <f t="shared" si="33"/>
        <v>3294</v>
      </c>
      <c r="R180" s="38">
        <f t="shared" si="34"/>
        <v>13312</v>
      </c>
      <c r="T180" t="s">
        <v>2769</v>
      </c>
    </row>
    <row r="181" spans="1:20" ht="15.75" customHeight="1" x14ac:dyDescent="0.3">
      <c r="A181" s="569" t="s">
        <v>2738</v>
      </c>
      <c r="B181" s="10">
        <v>130</v>
      </c>
      <c r="C181" s="10">
        <v>150</v>
      </c>
      <c r="D181" s="10">
        <v>200</v>
      </c>
      <c r="E181" s="38">
        <f t="shared" si="37"/>
        <v>480</v>
      </c>
      <c r="F181" s="10">
        <v>200</v>
      </c>
      <c r="G181" s="10">
        <v>200</v>
      </c>
      <c r="H181" s="10">
        <v>300</v>
      </c>
      <c r="I181" s="38">
        <f t="shared" si="31"/>
        <v>700</v>
      </c>
      <c r="J181" s="10">
        <v>77</v>
      </c>
      <c r="K181" s="10">
        <v>300</v>
      </c>
      <c r="L181" s="10">
        <v>300</v>
      </c>
      <c r="M181" s="38">
        <f t="shared" si="32"/>
        <v>677</v>
      </c>
      <c r="N181" s="10">
        <v>300</v>
      </c>
      <c r="O181" s="10">
        <v>100</v>
      </c>
      <c r="P181" s="10"/>
      <c r="Q181" s="38">
        <f t="shared" si="33"/>
        <v>400</v>
      </c>
      <c r="R181" s="38">
        <f t="shared" si="34"/>
        <v>2257</v>
      </c>
      <c r="T181" t="s">
        <v>2770</v>
      </c>
    </row>
    <row r="182" spans="1:20" ht="15.75" customHeight="1" x14ac:dyDescent="0.3">
      <c r="A182" s="569" t="s">
        <v>2816</v>
      </c>
      <c r="B182" s="10">
        <v>26</v>
      </c>
      <c r="C182" s="10">
        <v>33</v>
      </c>
      <c r="D182" s="10">
        <v>48</v>
      </c>
      <c r="E182" s="38">
        <f t="shared" si="37"/>
        <v>107</v>
      </c>
      <c r="F182" s="10">
        <v>19</v>
      </c>
      <c r="G182" s="10">
        <v>88</v>
      </c>
      <c r="H182" s="10">
        <v>86</v>
      </c>
      <c r="I182" s="38">
        <f>SUM(F182:H182)</f>
        <v>193</v>
      </c>
      <c r="J182" s="10">
        <v>87</v>
      </c>
      <c r="K182" s="10">
        <v>56</v>
      </c>
      <c r="L182" s="10">
        <v>53</v>
      </c>
      <c r="M182" s="38">
        <f t="shared" si="32"/>
        <v>196</v>
      </c>
      <c r="N182" s="10">
        <v>87</v>
      </c>
      <c r="O182" s="10">
        <v>31</v>
      </c>
      <c r="P182" s="10">
        <v>14</v>
      </c>
      <c r="Q182" s="38">
        <f t="shared" si="33"/>
        <v>132</v>
      </c>
      <c r="R182" s="38">
        <f t="shared" si="34"/>
        <v>628</v>
      </c>
      <c r="T182" t="s">
        <v>2819</v>
      </c>
    </row>
    <row r="183" spans="1:20" ht="15.75" customHeight="1" x14ac:dyDescent="0.3">
      <c r="A183" s="569" t="s">
        <v>2817</v>
      </c>
      <c r="B183" s="10">
        <v>18</v>
      </c>
      <c r="C183" s="10">
        <v>21</v>
      </c>
      <c r="D183" s="10">
        <v>38</v>
      </c>
      <c r="E183" s="38">
        <f t="shared" si="37"/>
        <v>77</v>
      </c>
      <c r="F183" s="10">
        <v>78</v>
      </c>
      <c r="G183" s="10">
        <v>103</v>
      </c>
      <c r="H183" s="10">
        <v>80</v>
      </c>
      <c r="I183" s="38">
        <f t="shared" si="31"/>
        <v>261</v>
      </c>
      <c r="J183" s="10">
        <v>97</v>
      </c>
      <c r="K183" s="10">
        <v>70</v>
      </c>
      <c r="L183" s="10">
        <v>70</v>
      </c>
      <c r="M183" s="38">
        <f t="shared" si="32"/>
        <v>237</v>
      </c>
      <c r="N183" s="10">
        <v>70</v>
      </c>
      <c r="O183" s="10">
        <v>23</v>
      </c>
      <c r="P183" s="10">
        <v>13</v>
      </c>
      <c r="Q183" s="38">
        <f t="shared" si="33"/>
        <v>106</v>
      </c>
      <c r="R183" s="38">
        <f t="shared" si="34"/>
        <v>681</v>
      </c>
      <c r="T183" t="s">
        <v>1193</v>
      </c>
    </row>
    <row r="184" spans="1:20" ht="15.75" customHeight="1" x14ac:dyDescent="0.3">
      <c r="A184" s="569" t="s">
        <v>2818</v>
      </c>
      <c r="B184" s="10"/>
      <c r="C184" s="10"/>
      <c r="D184" s="10"/>
      <c r="E184" s="38">
        <f t="shared" si="37"/>
        <v>0</v>
      </c>
      <c r="F184" s="10">
        <v>10</v>
      </c>
      <c r="G184" s="10">
        <v>30</v>
      </c>
      <c r="H184" s="10">
        <v>20</v>
      </c>
      <c r="I184" s="38">
        <f t="shared" si="31"/>
        <v>60</v>
      </c>
      <c r="J184" s="10">
        <v>15</v>
      </c>
      <c r="K184" s="10">
        <v>15</v>
      </c>
      <c r="L184" s="10">
        <v>10</v>
      </c>
      <c r="M184" s="38">
        <f t="shared" si="32"/>
        <v>40</v>
      </c>
      <c r="N184" s="10">
        <v>10</v>
      </c>
      <c r="O184" s="10">
        <v>10</v>
      </c>
      <c r="P184" s="10"/>
      <c r="Q184" s="38">
        <f t="shared" si="33"/>
        <v>20</v>
      </c>
      <c r="R184" s="38">
        <f t="shared" si="34"/>
        <v>120</v>
      </c>
      <c r="S184" s="574"/>
      <c r="T184" t="s">
        <v>2764</v>
      </c>
    </row>
    <row r="185" spans="1:20" ht="15.75" customHeight="1" x14ac:dyDescent="0.3">
      <c r="A185" s="539" t="s">
        <v>2758</v>
      </c>
      <c r="B185" s="10"/>
      <c r="C185" s="10"/>
      <c r="D185" s="10"/>
      <c r="E185" s="38">
        <f t="shared" si="37"/>
        <v>0</v>
      </c>
      <c r="F185" s="10"/>
      <c r="G185" s="10"/>
      <c r="H185" s="10">
        <v>1006</v>
      </c>
      <c r="I185" s="38">
        <f t="shared" si="31"/>
        <v>1006</v>
      </c>
      <c r="J185" s="10">
        <v>1040</v>
      </c>
      <c r="K185" s="10">
        <v>1040</v>
      </c>
      <c r="L185" s="10">
        <v>1040</v>
      </c>
      <c r="M185" s="38">
        <f t="shared" si="32"/>
        <v>3120</v>
      </c>
      <c r="N185" s="10">
        <v>1009</v>
      </c>
      <c r="O185" s="10">
        <v>1000</v>
      </c>
      <c r="P185" s="10">
        <v>803</v>
      </c>
      <c r="Q185" s="38">
        <f t="shared" si="33"/>
        <v>2812</v>
      </c>
      <c r="R185" s="38">
        <f t="shared" si="34"/>
        <v>6938</v>
      </c>
      <c r="T185" t="s">
        <v>2775</v>
      </c>
    </row>
    <row r="186" spans="1:20" ht="15.75" customHeight="1" x14ac:dyDescent="0.3">
      <c r="A186" s="539" t="s">
        <v>2813</v>
      </c>
      <c r="B186" s="10"/>
      <c r="C186" s="10"/>
      <c r="D186" s="10"/>
      <c r="E186" s="38">
        <f t="shared" si="37"/>
        <v>0</v>
      </c>
      <c r="F186" s="10"/>
      <c r="G186" s="10"/>
      <c r="H186" s="10">
        <v>1300</v>
      </c>
      <c r="I186" s="38">
        <f t="shared" si="31"/>
        <v>1300</v>
      </c>
      <c r="J186" s="10"/>
      <c r="K186" s="10"/>
      <c r="L186" s="10"/>
      <c r="M186" s="38">
        <f t="shared" si="32"/>
        <v>0</v>
      </c>
      <c r="N186" s="10"/>
      <c r="O186" s="10"/>
      <c r="P186" s="10"/>
      <c r="Q186" s="38">
        <f t="shared" si="33"/>
        <v>0</v>
      </c>
      <c r="R186" s="38">
        <f t="shared" si="34"/>
        <v>1300</v>
      </c>
      <c r="S186" s="709" t="s">
        <v>3020</v>
      </c>
      <c r="T186" t="s">
        <v>2760</v>
      </c>
    </row>
    <row r="187" spans="1:20" ht="15.75" customHeight="1" x14ac:dyDescent="0.3">
      <c r="A187" s="539" t="s">
        <v>2820</v>
      </c>
      <c r="B187" s="10"/>
      <c r="C187" s="10"/>
      <c r="D187" s="10"/>
      <c r="E187" s="38">
        <f t="shared" si="37"/>
        <v>0</v>
      </c>
      <c r="F187" s="10"/>
      <c r="G187" s="10"/>
      <c r="H187" s="10"/>
      <c r="I187" s="38">
        <f t="shared" si="31"/>
        <v>0</v>
      </c>
      <c r="J187" s="10"/>
      <c r="K187" s="10"/>
      <c r="L187" s="10"/>
      <c r="M187" s="38">
        <f t="shared" si="32"/>
        <v>0</v>
      </c>
      <c r="N187" s="10"/>
      <c r="O187" s="10"/>
      <c r="P187" s="10"/>
      <c r="Q187" s="38">
        <f t="shared" si="33"/>
        <v>0</v>
      </c>
      <c r="R187" s="38">
        <f t="shared" si="34"/>
        <v>0</v>
      </c>
      <c r="T187" t="s">
        <v>2760</v>
      </c>
    </row>
    <row r="188" spans="1:20" ht="15.75" customHeight="1" x14ac:dyDescent="0.3">
      <c r="A188" s="539" t="s">
        <v>2426</v>
      </c>
      <c r="B188" s="10">
        <f>3568+1+2+26</f>
        <v>3597</v>
      </c>
      <c r="C188" s="10">
        <f>3222+1+2+28</f>
        <v>3253</v>
      </c>
      <c r="D188" s="10">
        <f>3437+2378+1+2+45</f>
        <v>5863</v>
      </c>
      <c r="E188" s="38">
        <f t="shared" si="37"/>
        <v>12713</v>
      </c>
      <c r="F188" s="10">
        <f>7365+2302+1+2+83</f>
        <v>9753</v>
      </c>
      <c r="G188" s="10">
        <f>10348+2378+1+2+105</f>
        <v>12834</v>
      </c>
      <c r="H188" s="10">
        <f>10127+2302+1+2+117</f>
        <v>12549</v>
      </c>
      <c r="I188" s="38">
        <f t="shared" si="31"/>
        <v>35136</v>
      </c>
      <c r="J188" s="10">
        <f>9514+2474+1+3+94</f>
        <v>12086</v>
      </c>
      <c r="K188" s="10">
        <f>8087+2474+1+2</f>
        <v>10564</v>
      </c>
      <c r="L188" s="10">
        <f>5984+2394+1+2</f>
        <v>8381</v>
      </c>
      <c r="M188" s="38">
        <f t="shared" si="32"/>
        <v>31031</v>
      </c>
      <c r="N188" s="10">
        <f>8087+2474+1+2</f>
        <v>10564</v>
      </c>
      <c r="O188" s="10">
        <f>7826+2394+1+2</f>
        <v>10223</v>
      </c>
      <c r="P188" s="10">
        <f>8562+2474+1+2</f>
        <v>11039</v>
      </c>
      <c r="Q188" s="38">
        <f t="shared" si="33"/>
        <v>31826</v>
      </c>
      <c r="R188" s="38">
        <f t="shared" si="34"/>
        <v>110706</v>
      </c>
      <c r="S188" t="s">
        <v>3020</v>
      </c>
    </row>
    <row r="189" spans="1:20" ht="15.75" customHeight="1" x14ac:dyDescent="0.3">
      <c r="A189" s="539" t="s">
        <v>3059</v>
      </c>
      <c r="B189" s="10">
        <v>5000</v>
      </c>
      <c r="C189" s="10">
        <f>5000+465</f>
        <v>5465</v>
      </c>
      <c r="D189" s="10">
        <f>99+555+865</f>
        <v>1519</v>
      </c>
      <c r="E189" s="38">
        <f t="shared" si="37"/>
        <v>11984</v>
      </c>
      <c r="F189" s="10">
        <f>592+864</f>
        <v>1456</v>
      </c>
      <c r="G189" s="10">
        <f>865+507</f>
        <v>1372</v>
      </c>
      <c r="H189" s="10">
        <f>864+395</f>
        <v>1259</v>
      </c>
      <c r="I189" s="38">
        <f t="shared" si="31"/>
        <v>4087</v>
      </c>
      <c r="J189" s="10">
        <f>395+864</f>
        <v>1259</v>
      </c>
      <c r="K189" s="10"/>
      <c r="L189" s="10"/>
      <c r="M189" s="38">
        <f t="shared" si="32"/>
        <v>1259</v>
      </c>
      <c r="N189" s="10"/>
      <c r="O189" s="10"/>
      <c r="P189" s="10"/>
      <c r="Q189" s="38">
        <f t="shared" si="33"/>
        <v>0</v>
      </c>
      <c r="R189" s="38">
        <f>+E189+I189+M189+Q189</f>
        <v>17330</v>
      </c>
      <c r="S189" s="709"/>
      <c r="T189" t="s">
        <v>2760</v>
      </c>
    </row>
    <row r="190" spans="1:20" ht="15.75" customHeight="1" x14ac:dyDescent="0.3">
      <c r="A190" s="539" t="s">
        <v>3398</v>
      </c>
      <c r="B190" s="10">
        <v>45</v>
      </c>
      <c r="C190" s="10">
        <v>50</v>
      </c>
      <c r="D190" s="10">
        <v>50</v>
      </c>
      <c r="E190" s="38">
        <f t="shared" si="37"/>
        <v>145</v>
      </c>
      <c r="F190" s="10">
        <v>55</v>
      </c>
      <c r="G190" s="10">
        <v>55</v>
      </c>
      <c r="H190" s="10">
        <v>55</v>
      </c>
      <c r="I190" s="38">
        <f t="shared" si="31"/>
        <v>165</v>
      </c>
      <c r="J190" s="10">
        <v>65</v>
      </c>
      <c r="K190" s="10">
        <v>65</v>
      </c>
      <c r="L190" s="10">
        <v>50</v>
      </c>
      <c r="M190" s="38">
        <f t="shared" si="32"/>
        <v>180</v>
      </c>
      <c r="N190" s="10">
        <v>50</v>
      </c>
      <c r="O190" s="10">
        <v>50</v>
      </c>
      <c r="P190" s="10">
        <v>50</v>
      </c>
      <c r="Q190" s="38">
        <f t="shared" si="33"/>
        <v>150</v>
      </c>
      <c r="R190" s="38">
        <f t="shared" si="34"/>
        <v>640</v>
      </c>
      <c r="S190" t="s">
        <v>3020</v>
      </c>
      <c r="T190" t="s">
        <v>2760</v>
      </c>
    </row>
    <row r="191" spans="1:20" ht="15.75" customHeight="1" x14ac:dyDescent="0.3">
      <c r="A191" s="569" t="s">
        <v>3425</v>
      </c>
      <c r="B191" s="10"/>
      <c r="C191" s="10"/>
      <c r="D191" s="10"/>
      <c r="E191" s="38">
        <f t="shared" si="37"/>
        <v>0</v>
      </c>
      <c r="F191" s="10"/>
      <c r="G191" s="10"/>
      <c r="H191" s="10"/>
      <c r="I191" s="38">
        <f t="shared" si="31"/>
        <v>0</v>
      </c>
      <c r="J191" s="10"/>
      <c r="K191" s="10">
        <v>900</v>
      </c>
      <c r="L191" s="10">
        <v>900</v>
      </c>
      <c r="M191" s="38">
        <f t="shared" si="32"/>
        <v>1800</v>
      </c>
      <c r="N191" s="10">
        <v>700</v>
      </c>
      <c r="O191" s="10">
        <v>2000</v>
      </c>
      <c r="P191" s="10">
        <v>858</v>
      </c>
      <c r="Q191" s="38">
        <f t="shared" ref="Q191" si="42">SUM(N191:P191)</f>
        <v>3558</v>
      </c>
      <c r="R191" s="38">
        <f t="shared" si="34"/>
        <v>5358</v>
      </c>
    </row>
    <row r="192" spans="1:20" ht="15.75" customHeight="1" x14ac:dyDescent="0.3">
      <c r="A192" s="539" t="s">
        <v>1520</v>
      </c>
      <c r="B192" s="10">
        <v>3283</v>
      </c>
      <c r="C192" s="10"/>
      <c r="D192" s="10"/>
      <c r="E192" s="38">
        <f t="shared" si="37"/>
        <v>3283</v>
      </c>
      <c r="F192" s="10"/>
      <c r="G192" s="10"/>
      <c r="H192" s="10">
        <f>2989+736+119+57</f>
        <v>3901</v>
      </c>
      <c r="I192" s="38">
        <f t="shared" si="31"/>
        <v>3901</v>
      </c>
      <c r="J192" s="10">
        <f>6086+666+115+50</f>
        <v>6917</v>
      </c>
      <c r="K192" s="10">
        <f>5972+381+110+40</f>
        <v>6503</v>
      </c>
      <c r="L192" s="10">
        <f>6272+368+92+30</f>
        <v>6762</v>
      </c>
      <c r="M192" s="38">
        <f t="shared" si="32"/>
        <v>20182</v>
      </c>
      <c r="N192" s="10">
        <f>6147+190+114+58</f>
        <v>6509</v>
      </c>
      <c r="O192" s="10">
        <f>5234+85+28</f>
        <v>5347</v>
      </c>
      <c r="P192" s="10">
        <f>4650+79+18</f>
        <v>4747</v>
      </c>
      <c r="Q192" s="38">
        <f t="shared" si="33"/>
        <v>16603</v>
      </c>
      <c r="R192" s="38">
        <f>+E192+I192+M192+Q192</f>
        <v>43969</v>
      </c>
    </row>
    <row r="193" spans="1:20" ht="15.75" customHeight="1" x14ac:dyDescent="0.3">
      <c r="A193" s="539" t="s">
        <v>3062</v>
      </c>
      <c r="B193" s="10"/>
      <c r="C193" s="10"/>
      <c r="D193" s="10"/>
      <c r="E193" s="38">
        <f t="shared" si="37"/>
        <v>0</v>
      </c>
      <c r="F193" s="10"/>
      <c r="G193" s="10"/>
      <c r="H193" s="10">
        <f>138+500</f>
        <v>638</v>
      </c>
      <c r="I193" s="38">
        <f t="shared" si="31"/>
        <v>638</v>
      </c>
      <c r="J193" s="10">
        <f>138+500</f>
        <v>638</v>
      </c>
      <c r="K193" s="10">
        <f>1300+138+500</f>
        <v>1938</v>
      </c>
      <c r="L193" s="10">
        <f>138+500</f>
        <v>638</v>
      </c>
      <c r="M193" s="38">
        <f t="shared" si="32"/>
        <v>3214</v>
      </c>
      <c r="N193" s="10">
        <v>138</v>
      </c>
      <c r="O193" s="10">
        <v>138</v>
      </c>
      <c r="P193" s="10">
        <v>138</v>
      </c>
      <c r="Q193" s="38">
        <f>SUM(N193:P193)</f>
        <v>414</v>
      </c>
      <c r="R193" s="38">
        <f>+E193+I193+M193+Q193</f>
        <v>4266</v>
      </c>
    </row>
    <row r="194" spans="1:20" ht="15.75" customHeight="1" x14ac:dyDescent="0.3">
      <c r="A194" s="539" t="s">
        <v>2824</v>
      </c>
      <c r="B194" s="10"/>
      <c r="C194" s="10">
        <v>100</v>
      </c>
      <c r="D194" s="10">
        <v>300</v>
      </c>
      <c r="E194" s="38">
        <f t="shared" ref="E194" si="43">SUM(B194:D194)</f>
        <v>400</v>
      </c>
      <c r="F194" s="10">
        <v>300</v>
      </c>
      <c r="G194" s="10">
        <v>500</v>
      </c>
      <c r="H194" s="10"/>
      <c r="I194" s="38">
        <f t="shared" si="31"/>
        <v>800</v>
      </c>
      <c r="J194" s="10"/>
      <c r="K194" s="10">
        <v>400</v>
      </c>
      <c r="L194" s="10">
        <v>200</v>
      </c>
      <c r="M194" s="38">
        <f t="shared" si="32"/>
        <v>600</v>
      </c>
      <c r="N194" s="10">
        <v>200</v>
      </c>
      <c r="O194" s="10">
        <v>160</v>
      </c>
      <c r="P194" s="10"/>
      <c r="Q194" s="38">
        <f>SUM(N194:P194)</f>
        <v>360</v>
      </c>
      <c r="R194" s="38">
        <f t="shared" si="34"/>
        <v>2160</v>
      </c>
      <c r="S194" t="s">
        <v>3020</v>
      </c>
    </row>
    <row r="195" spans="1:20" ht="15.75" customHeight="1" x14ac:dyDescent="0.3">
      <c r="A195" s="569" t="s">
        <v>2739</v>
      </c>
      <c r="B195" s="10"/>
      <c r="C195" s="10"/>
      <c r="D195" s="10"/>
      <c r="E195" s="38">
        <f t="shared" ref="E195:E200" si="44">SUM(B195:D195)</f>
        <v>0</v>
      </c>
      <c r="F195" s="10"/>
      <c r="G195" s="10"/>
      <c r="H195" s="10"/>
      <c r="I195" s="38">
        <f t="shared" ref="I195:I200" si="45">SUM(F195:H195)</f>
        <v>0</v>
      </c>
      <c r="J195" s="10"/>
      <c r="K195" s="10"/>
      <c r="L195" s="10"/>
      <c r="M195" s="38">
        <f t="shared" ref="M195:M200" si="46">SUM(J195:L195)</f>
        <v>0</v>
      </c>
      <c r="N195" s="10"/>
      <c r="O195" s="10"/>
      <c r="P195" s="10"/>
      <c r="Q195" s="38">
        <f t="shared" si="33"/>
        <v>0</v>
      </c>
      <c r="R195" s="38">
        <f t="shared" si="34"/>
        <v>0</v>
      </c>
      <c r="T195" t="s">
        <v>2769</v>
      </c>
    </row>
    <row r="196" spans="1:20" ht="15.75" customHeight="1" x14ac:dyDescent="0.3">
      <c r="A196" s="569" t="s">
        <v>2740</v>
      </c>
      <c r="B196" s="10"/>
      <c r="C196" s="10"/>
      <c r="D196" s="10"/>
      <c r="E196" s="38">
        <f t="shared" si="44"/>
        <v>0</v>
      </c>
      <c r="F196" s="10"/>
      <c r="G196" s="10"/>
      <c r="H196" s="10"/>
      <c r="I196" s="38">
        <f t="shared" si="45"/>
        <v>0</v>
      </c>
      <c r="J196" s="10"/>
      <c r="K196" s="10"/>
      <c r="L196" s="10"/>
      <c r="M196" s="38">
        <f t="shared" si="46"/>
        <v>0</v>
      </c>
      <c r="N196" s="10"/>
      <c r="O196" s="10"/>
      <c r="P196" s="10"/>
      <c r="Q196" s="38">
        <f t="shared" si="33"/>
        <v>0</v>
      </c>
      <c r="R196" s="38">
        <f>+E196+I196+M196+Q196</f>
        <v>0</v>
      </c>
    </row>
    <row r="197" spans="1:20" ht="15.75" customHeight="1" x14ac:dyDescent="0.3">
      <c r="A197" s="569" t="s">
        <v>3055</v>
      </c>
      <c r="B197" s="10"/>
      <c r="C197" s="10"/>
      <c r="D197" s="10">
        <v>1019</v>
      </c>
      <c r="E197" s="38">
        <f t="shared" si="44"/>
        <v>1019</v>
      </c>
      <c r="F197" s="10">
        <v>1519</v>
      </c>
      <c r="G197" s="10">
        <v>1520</v>
      </c>
      <c r="H197" s="10">
        <v>751</v>
      </c>
      <c r="I197" s="38">
        <f t="shared" si="45"/>
        <v>3790</v>
      </c>
      <c r="J197" s="10">
        <v>500</v>
      </c>
      <c r="K197" s="10">
        <v>400</v>
      </c>
      <c r="L197" s="10">
        <v>450</v>
      </c>
      <c r="M197" s="38">
        <f t="shared" si="46"/>
        <v>1350</v>
      </c>
      <c r="N197" s="10">
        <v>450</v>
      </c>
      <c r="O197" s="10">
        <v>450</v>
      </c>
      <c r="P197" s="10"/>
      <c r="Q197" s="38">
        <f t="shared" si="33"/>
        <v>900</v>
      </c>
      <c r="R197" s="38">
        <f t="shared" si="34"/>
        <v>7059</v>
      </c>
    </row>
    <row r="198" spans="1:20" ht="15.75" customHeight="1" x14ac:dyDescent="0.3">
      <c r="A198" s="539" t="s">
        <v>2821</v>
      </c>
      <c r="B198" s="10">
        <v>122</v>
      </c>
      <c r="C198" s="10">
        <v>300</v>
      </c>
      <c r="D198" s="10">
        <v>350</v>
      </c>
      <c r="E198" s="38">
        <f t="shared" si="44"/>
        <v>772</v>
      </c>
      <c r="F198" s="10">
        <v>350</v>
      </c>
      <c r="G198" s="10">
        <v>400</v>
      </c>
      <c r="H198" s="10">
        <v>450</v>
      </c>
      <c r="I198" s="38">
        <f t="shared" si="45"/>
        <v>1200</v>
      </c>
      <c r="J198" s="10">
        <v>493</v>
      </c>
      <c r="K198" s="10">
        <v>500</v>
      </c>
      <c r="L198" s="10">
        <v>400</v>
      </c>
      <c r="M198" s="38">
        <f t="shared" si="46"/>
        <v>1393</v>
      </c>
      <c r="N198" s="10">
        <v>400</v>
      </c>
      <c r="O198" s="10">
        <v>300</v>
      </c>
      <c r="P198" s="10">
        <v>250</v>
      </c>
      <c r="Q198" s="38">
        <f t="shared" si="33"/>
        <v>950</v>
      </c>
      <c r="R198" s="38">
        <f>+E198+I198+M198+Q198</f>
        <v>4315</v>
      </c>
      <c r="S198" t="s">
        <v>3020</v>
      </c>
      <c r="T198" t="s">
        <v>2760</v>
      </c>
    </row>
    <row r="199" spans="1:20" ht="15.75" customHeight="1" x14ac:dyDescent="0.3">
      <c r="A199" s="539" t="s">
        <v>1574</v>
      </c>
      <c r="B199" s="10">
        <v>3</v>
      </c>
      <c r="C199" s="10">
        <v>3</v>
      </c>
      <c r="D199" s="10">
        <v>3</v>
      </c>
      <c r="E199" s="38">
        <f t="shared" si="44"/>
        <v>9</v>
      </c>
      <c r="F199" s="10">
        <v>5</v>
      </c>
      <c r="G199" s="10">
        <v>5</v>
      </c>
      <c r="H199" s="10">
        <v>5</v>
      </c>
      <c r="I199" s="38">
        <f t="shared" si="45"/>
        <v>15</v>
      </c>
      <c r="J199" s="10">
        <v>4</v>
      </c>
      <c r="K199" s="10">
        <v>4</v>
      </c>
      <c r="L199" s="10">
        <v>3</v>
      </c>
      <c r="M199" s="38">
        <f t="shared" si="46"/>
        <v>11</v>
      </c>
      <c r="N199" s="10">
        <v>3</v>
      </c>
      <c r="O199" s="10">
        <v>3</v>
      </c>
      <c r="P199" s="10">
        <v>3</v>
      </c>
      <c r="Q199" s="38">
        <f t="shared" si="33"/>
        <v>9</v>
      </c>
      <c r="R199" s="38">
        <f>+E199+I199+M199+Q199</f>
        <v>44</v>
      </c>
      <c r="S199">
        <f>SUM(R144:R199)</f>
        <v>322240</v>
      </c>
    </row>
    <row r="200" spans="1:20" ht="15.75" customHeight="1" x14ac:dyDescent="0.3">
      <c r="A200" s="539" t="s">
        <v>3008</v>
      </c>
      <c r="B200" s="10"/>
      <c r="C200" s="10"/>
      <c r="D200" s="10"/>
      <c r="E200" s="38">
        <f t="shared" si="44"/>
        <v>0</v>
      </c>
      <c r="F200" s="10"/>
      <c r="G200" s="10"/>
      <c r="H200" s="10"/>
      <c r="I200" s="38">
        <f t="shared" si="45"/>
        <v>0</v>
      </c>
      <c r="J200" s="10"/>
      <c r="K200" s="10"/>
      <c r="L200" s="10"/>
      <c r="M200" s="38">
        <f t="shared" si="46"/>
        <v>0</v>
      </c>
      <c r="N200" s="10"/>
      <c r="O200" s="10"/>
      <c r="P200" s="10"/>
      <c r="Q200" s="38">
        <f t="shared" si="33"/>
        <v>0</v>
      </c>
      <c r="R200" s="38">
        <f>+E200+I200+M200+Q200</f>
        <v>0</v>
      </c>
      <c r="S200" s="709" t="s">
        <v>3020</v>
      </c>
      <c r="T200" t="s">
        <v>2760</v>
      </c>
    </row>
    <row r="201" spans="1:20" ht="15.75" customHeight="1" x14ac:dyDescent="0.3">
      <c r="A201" s="234" t="s">
        <v>2161</v>
      </c>
      <c r="B201" s="10"/>
      <c r="C201" s="10"/>
      <c r="D201" s="10"/>
      <c r="E201" s="38" t="s">
        <v>852</v>
      </c>
      <c r="F201" s="10"/>
      <c r="G201" s="10"/>
      <c r="H201" s="10"/>
      <c r="I201" s="38" t="s">
        <v>852</v>
      </c>
      <c r="J201" s="10"/>
      <c r="K201" s="10"/>
      <c r="L201" s="10"/>
      <c r="M201" s="38" t="s">
        <v>852</v>
      </c>
      <c r="N201" s="10"/>
      <c r="O201" s="10"/>
      <c r="P201" s="10"/>
      <c r="Q201" s="38" t="s">
        <v>852</v>
      </c>
      <c r="R201" s="38" t="s">
        <v>852</v>
      </c>
    </row>
    <row r="202" spans="1:20" ht="15.75" customHeight="1" x14ac:dyDescent="0.3">
      <c r="A202" s="539" t="s">
        <v>2515</v>
      </c>
      <c r="B202" s="10"/>
      <c r="C202" s="10"/>
      <c r="D202" s="10"/>
      <c r="E202" s="38">
        <f t="shared" ref="E202:E211" si="47">SUM(B202:D202)</f>
        <v>0</v>
      </c>
      <c r="F202" s="10"/>
      <c r="G202" s="10"/>
      <c r="H202" s="10"/>
      <c r="I202" s="38">
        <f t="shared" ref="I202:I211" si="48">SUM(F202:H202)</f>
        <v>0</v>
      </c>
      <c r="J202" s="10"/>
      <c r="K202" s="10"/>
      <c r="L202" s="10"/>
      <c r="M202" s="38">
        <f t="shared" ref="M202:M211" si="49">SUM(J202:L202)</f>
        <v>0</v>
      </c>
      <c r="N202" s="10"/>
      <c r="O202" s="10"/>
      <c r="P202" s="10"/>
      <c r="Q202" s="38">
        <f t="shared" ref="Q202:Q211" si="50">SUM(N202:P202)</f>
        <v>0</v>
      </c>
      <c r="R202" s="38">
        <f t="shared" ref="R202:R211" si="51">+E202+I202+M202+Q202</f>
        <v>0</v>
      </c>
    </row>
    <row r="203" spans="1:20" ht="15.75" customHeight="1" x14ac:dyDescent="0.3">
      <c r="A203" s="310" t="s">
        <v>2368</v>
      </c>
      <c r="B203" s="10"/>
      <c r="C203" s="10"/>
      <c r="D203" s="10"/>
      <c r="E203" s="38">
        <f>SUM(B203:D203)</f>
        <v>0</v>
      </c>
      <c r="F203" s="10"/>
      <c r="G203" s="10"/>
      <c r="H203" s="10"/>
      <c r="I203" s="38">
        <f>SUM(F203:H203)</f>
        <v>0</v>
      </c>
      <c r="J203" s="10"/>
      <c r="K203" s="10"/>
      <c r="L203" s="10"/>
      <c r="M203" s="38">
        <f>SUM(J203:L203)</f>
        <v>0</v>
      </c>
      <c r="N203" s="10"/>
      <c r="O203" s="10"/>
      <c r="P203" s="10"/>
      <c r="Q203" s="38">
        <f>SUM(N203:P203)</f>
        <v>0</v>
      </c>
      <c r="R203" s="38">
        <f>+E203+I203+M203+Q203</f>
        <v>0</v>
      </c>
      <c r="T203" t="s">
        <v>1193</v>
      </c>
    </row>
    <row r="204" spans="1:20" ht="15.75" customHeight="1" x14ac:dyDescent="0.3">
      <c r="A204" s="310" t="s">
        <v>1747</v>
      </c>
      <c r="B204" s="10"/>
      <c r="C204" s="10"/>
      <c r="D204" s="10"/>
      <c r="E204" s="38">
        <f t="shared" si="47"/>
        <v>0</v>
      </c>
      <c r="F204" s="10"/>
      <c r="G204" s="10"/>
      <c r="H204" s="10"/>
      <c r="I204" s="38">
        <f t="shared" si="48"/>
        <v>0</v>
      </c>
      <c r="J204" s="10"/>
      <c r="K204" s="10"/>
      <c r="L204" s="10"/>
      <c r="M204" s="38">
        <f t="shared" si="49"/>
        <v>0</v>
      </c>
      <c r="N204" s="10"/>
      <c r="O204" s="10"/>
      <c r="P204" s="10"/>
      <c r="Q204" s="38">
        <f t="shared" si="50"/>
        <v>0</v>
      </c>
      <c r="R204" s="38">
        <f t="shared" si="51"/>
        <v>0</v>
      </c>
    </row>
    <row r="205" spans="1:20" ht="15.75" customHeight="1" x14ac:dyDescent="0.3">
      <c r="A205" s="539" t="s">
        <v>2822</v>
      </c>
      <c r="B205" s="10"/>
      <c r="C205" s="10"/>
      <c r="D205" s="10"/>
      <c r="E205" s="38">
        <f t="shared" si="47"/>
        <v>0</v>
      </c>
      <c r="F205" s="10"/>
      <c r="G205" s="10"/>
      <c r="H205" s="10"/>
      <c r="I205" s="38">
        <f t="shared" si="48"/>
        <v>0</v>
      </c>
      <c r="J205" s="10"/>
      <c r="K205" s="10"/>
      <c r="L205" s="10"/>
      <c r="M205" s="38">
        <f t="shared" si="49"/>
        <v>0</v>
      </c>
      <c r="N205" s="10"/>
      <c r="O205" s="10"/>
      <c r="P205" s="10"/>
      <c r="Q205" s="38">
        <f t="shared" si="50"/>
        <v>0</v>
      </c>
      <c r="R205" s="38">
        <f t="shared" si="51"/>
        <v>0</v>
      </c>
      <c r="T205" t="s">
        <v>2760</v>
      </c>
    </row>
    <row r="206" spans="1:20" ht="15.75" customHeight="1" x14ac:dyDescent="0.3">
      <c r="A206" s="310" t="s">
        <v>1824</v>
      </c>
      <c r="B206" s="10"/>
      <c r="C206" s="10"/>
      <c r="D206" s="10"/>
      <c r="E206" s="38">
        <f t="shared" si="47"/>
        <v>0</v>
      </c>
      <c r="F206" s="10"/>
      <c r="G206" s="10"/>
      <c r="H206" s="10"/>
      <c r="I206" s="38">
        <f t="shared" si="48"/>
        <v>0</v>
      </c>
      <c r="J206" s="10"/>
      <c r="K206" s="10"/>
      <c r="L206" s="10"/>
      <c r="M206" s="38">
        <f t="shared" si="49"/>
        <v>0</v>
      </c>
      <c r="N206" s="10"/>
      <c r="O206" s="10"/>
      <c r="P206" s="10"/>
      <c r="Q206" s="38">
        <f t="shared" si="50"/>
        <v>0</v>
      </c>
      <c r="R206" s="38">
        <f t="shared" si="51"/>
        <v>0</v>
      </c>
    </row>
    <row r="207" spans="1:20" ht="15.75" customHeight="1" x14ac:dyDescent="0.3">
      <c r="A207" s="310" t="s">
        <v>1746</v>
      </c>
      <c r="B207" s="10"/>
      <c r="C207" s="10"/>
      <c r="D207" s="10"/>
      <c r="E207" s="38">
        <f t="shared" si="47"/>
        <v>0</v>
      </c>
      <c r="F207" s="10"/>
      <c r="G207" s="10"/>
      <c r="H207" s="10"/>
      <c r="I207" s="38">
        <f t="shared" si="48"/>
        <v>0</v>
      </c>
      <c r="J207" s="10"/>
      <c r="K207" s="10"/>
      <c r="L207" s="10"/>
      <c r="M207" s="38">
        <f t="shared" si="49"/>
        <v>0</v>
      </c>
      <c r="N207" s="10"/>
      <c r="O207" s="10"/>
      <c r="P207" s="10"/>
      <c r="Q207" s="38">
        <f t="shared" si="50"/>
        <v>0</v>
      </c>
      <c r="R207" s="38">
        <f t="shared" si="51"/>
        <v>0</v>
      </c>
    </row>
    <row r="208" spans="1:20" ht="15.75" customHeight="1" x14ac:dyDescent="0.3">
      <c r="A208" s="317" t="s">
        <v>1546</v>
      </c>
      <c r="B208" s="10"/>
      <c r="C208" s="10"/>
      <c r="D208" s="10"/>
      <c r="E208" s="38">
        <f t="shared" si="47"/>
        <v>0</v>
      </c>
      <c r="F208" s="10"/>
      <c r="G208" s="10"/>
      <c r="H208" s="10"/>
      <c r="I208" s="38">
        <f t="shared" si="48"/>
        <v>0</v>
      </c>
      <c r="J208" s="10"/>
      <c r="K208" s="10"/>
      <c r="L208" s="10"/>
      <c r="M208" s="38">
        <f t="shared" si="49"/>
        <v>0</v>
      </c>
      <c r="N208" s="10"/>
      <c r="O208" s="10"/>
      <c r="P208" s="10"/>
      <c r="Q208" s="38">
        <f t="shared" si="50"/>
        <v>0</v>
      </c>
      <c r="R208" s="38">
        <f t="shared" si="51"/>
        <v>0</v>
      </c>
      <c r="T208" t="s">
        <v>2764</v>
      </c>
    </row>
    <row r="209" spans="1:20" ht="15.75" customHeight="1" x14ac:dyDescent="0.3">
      <c r="A209" s="539" t="s">
        <v>2823</v>
      </c>
      <c r="B209" s="10"/>
      <c r="C209" s="10"/>
      <c r="D209" s="10"/>
      <c r="E209" s="38">
        <f t="shared" si="47"/>
        <v>0</v>
      </c>
      <c r="F209" s="10"/>
      <c r="G209" s="10"/>
      <c r="H209" s="10"/>
      <c r="I209" s="38">
        <f t="shared" si="48"/>
        <v>0</v>
      </c>
      <c r="J209" s="10"/>
      <c r="K209" s="10"/>
      <c r="L209" s="10"/>
      <c r="M209" s="38">
        <f t="shared" si="49"/>
        <v>0</v>
      </c>
      <c r="N209" s="10"/>
      <c r="O209" s="10"/>
      <c r="P209" s="10"/>
      <c r="Q209" s="38">
        <f t="shared" si="50"/>
        <v>0</v>
      </c>
      <c r="R209" s="38">
        <f t="shared" si="51"/>
        <v>0</v>
      </c>
      <c r="T209" t="s">
        <v>2760</v>
      </c>
    </row>
    <row r="210" spans="1:20" ht="15.75" customHeight="1" x14ac:dyDescent="0.3">
      <c r="A210" s="539" t="s">
        <v>2815</v>
      </c>
      <c r="B210" s="10"/>
      <c r="C210" s="10"/>
      <c r="D210" s="10"/>
      <c r="E210" s="38">
        <f t="shared" si="47"/>
        <v>0</v>
      </c>
      <c r="F210" s="10"/>
      <c r="G210" s="10"/>
      <c r="H210" s="10"/>
      <c r="I210" s="38">
        <f t="shared" si="48"/>
        <v>0</v>
      </c>
      <c r="J210" s="10"/>
      <c r="K210" s="10"/>
      <c r="L210" s="10"/>
      <c r="M210" s="38">
        <f t="shared" si="49"/>
        <v>0</v>
      </c>
      <c r="N210" s="10"/>
      <c r="O210" s="10"/>
      <c r="P210" s="10"/>
      <c r="Q210" s="38">
        <f t="shared" si="50"/>
        <v>0</v>
      </c>
      <c r="R210" s="38">
        <f t="shared" si="51"/>
        <v>0</v>
      </c>
      <c r="T210" t="s">
        <v>2631</v>
      </c>
    </row>
    <row r="211" spans="1:20" ht="15.75" customHeight="1" x14ac:dyDescent="0.3">
      <c r="A211" s="317" t="s">
        <v>5</v>
      </c>
      <c r="B211" s="10"/>
      <c r="C211" s="10"/>
      <c r="D211" s="10"/>
      <c r="E211" s="38">
        <f t="shared" si="47"/>
        <v>0</v>
      </c>
      <c r="F211" s="10"/>
      <c r="G211" s="10"/>
      <c r="H211" s="10"/>
      <c r="I211" s="38">
        <f t="shared" si="48"/>
        <v>0</v>
      </c>
      <c r="J211" s="10"/>
      <c r="K211" s="10"/>
      <c r="L211" s="10"/>
      <c r="M211" s="38">
        <f t="shared" si="49"/>
        <v>0</v>
      </c>
      <c r="N211" s="10"/>
      <c r="O211" s="10"/>
      <c r="P211" s="10"/>
      <c r="Q211" s="38">
        <f t="shared" si="50"/>
        <v>0</v>
      </c>
      <c r="R211" s="38">
        <f t="shared" si="51"/>
        <v>0</v>
      </c>
    </row>
    <row r="212" spans="1:20" ht="15.75" customHeight="1" x14ac:dyDescent="0.3">
      <c r="A212" s="234" t="s">
        <v>3245</v>
      </c>
      <c r="B212" s="10"/>
      <c r="C212" s="10"/>
      <c r="D212" s="10"/>
      <c r="E212" s="38" t="s">
        <v>852</v>
      </c>
      <c r="F212" s="10"/>
      <c r="G212" s="10"/>
      <c r="H212" s="10"/>
      <c r="I212" s="38" t="s">
        <v>852</v>
      </c>
      <c r="J212" s="10"/>
      <c r="K212" s="10"/>
      <c r="L212" s="10"/>
      <c r="M212" s="38" t="s">
        <v>852</v>
      </c>
      <c r="N212" s="10"/>
      <c r="O212" s="10"/>
      <c r="P212" s="10"/>
      <c r="Q212" s="38" t="s">
        <v>852</v>
      </c>
      <c r="R212" s="38" t="s">
        <v>852</v>
      </c>
    </row>
    <row r="213" spans="1:20" ht="15.75" customHeight="1" x14ac:dyDescent="0.3">
      <c r="A213" s="568" t="s">
        <v>3249</v>
      </c>
      <c r="B213" s="10"/>
      <c r="C213" s="10"/>
      <c r="D213" s="10"/>
      <c r="E213" s="38">
        <f>SUM(B213:D213)</f>
        <v>0</v>
      </c>
      <c r="F213" s="10"/>
      <c r="G213" s="10"/>
      <c r="H213" s="10"/>
      <c r="I213" s="38">
        <f>SUM(F213:H213)</f>
        <v>0</v>
      </c>
      <c r="J213" s="10"/>
      <c r="K213" s="10"/>
      <c r="L213" s="10"/>
      <c r="M213" s="38">
        <f>SUM(J213:L213)</f>
        <v>0</v>
      </c>
      <c r="N213" s="10"/>
      <c r="O213" s="10"/>
      <c r="P213" s="10"/>
      <c r="Q213" s="38">
        <f>SUM(N213:P213)</f>
        <v>0</v>
      </c>
      <c r="R213" s="38">
        <f>+E213+I213+M213+Q213</f>
        <v>0</v>
      </c>
      <c r="S213" s="735" t="s">
        <v>3214</v>
      </c>
      <c r="T213" t="s">
        <v>2769</v>
      </c>
    </row>
    <row r="214" spans="1:20" ht="15.75" customHeight="1" x14ac:dyDescent="0.3">
      <c r="A214" s="568" t="s">
        <v>3250</v>
      </c>
      <c r="B214" s="10"/>
      <c r="C214" s="10"/>
      <c r="D214" s="10"/>
      <c r="E214" s="38">
        <f>SUM(B214:D214)</f>
        <v>0</v>
      </c>
      <c r="F214" s="10"/>
      <c r="G214" s="10"/>
      <c r="H214" s="10"/>
      <c r="I214" s="38">
        <f>SUM(F214:H214)</f>
        <v>0</v>
      </c>
      <c r="J214" s="10"/>
      <c r="K214" s="10"/>
      <c r="L214" s="10"/>
      <c r="M214" s="38">
        <f>SUM(J214:L214)</f>
        <v>0</v>
      </c>
      <c r="N214" s="10"/>
      <c r="O214" s="10"/>
      <c r="P214" s="10"/>
      <c r="Q214" s="38">
        <f>SUM(N214:P214)</f>
        <v>0</v>
      </c>
      <c r="R214" s="38">
        <f>+E214+I214+M214+Q214</f>
        <v>0</v>
      </c>
      <c r="S214" s="735" t="s">
        <v>3214</v>
      </c>
      <c r="T214" t="s">
        <v>2770</v>
      </c>
    </row>
    <row r="215" spans="1:20" ht="15.75" customHeight="1" x14ac:dyDescent="0.3">
      <c r="A215" s="422" t="s">
        <v>3251</v>
      </c>
      <c r="B215" s="10"/>
      <c r="C215" s="10"/>
      <c r="D215" s="10"/>
      <c r="E215" s="38">
        <f>SUM(B215:D215)</f>
        <v>0</v>
      </c>
      <c r="F215" s="10"/>
      <c r="G215" s="10"/>
      <c r="H215" s="10"/>
      <c r="I215" s="38">
        <f>SUM(F215:H215)</f>
        <v>0</v>
      </c>
      <c r="J215" s="10"/>
      <c r="K215" s="10"/>
      <c r="L215" s="10"/>
      <c r="M215" s="38">
        <f>SUM(J215:L215)</f>
        <v>0</v>
      </c>
      <c r="N215" s="10"/>
      <c r="O215" s="10"/>
      <c r="P215" s="10"/>
      <c r="Q215" s="38">
        <f>SUM(N215:P215)</f>
        <v>0</v>
      </c>
      <c r="R215" s="38">
        <f>+E215+I215+M215+Q215</f>
        <v>0</v>
      </c>
      <c r="S215" s="735" t="s">
        <v>3214</v>
      </c>
      <c r="T215" t="s">
        <v>2793</v>
      </c>
    </row>
    <row r="216" spans="1:20" ht="15.75" customHeight="1" thickBot="1" x14ac:dyDescent="0.35">
      <c r="A216" s="234" t="s">
        <v>2164</v>
      </c>
      <c r="B216" s="10"/>
      <c r="C216" s="10"/>
      <c r="D216" s="10"/>
      <c r="E216" s="38" t="s">
        <v>852</v>
      </c>
      <c r="F216" s="10"/>
      <c r="G216" s="10"/>
      <c r="H216" s="10"/>
      <c r="I216" s="38" t="s">
        <v>852</v>
      </c>
      <c r="J216" s="10"/>
      <c r="K216" s="10"/>
      <c r="L216" s="10"/>
      <c r="M216" s="38" t="s">
        <v>852</v>
      </c>
      <c r="N216" s="10"/>
      <c r="O216" s="10"/>
      <c r="P216" s="10"/>
      <c r="Q216" s="38" t="s">
        <v>852</v>
      </c>
      <c r="R216" s="38" t="s">
        <v>852</v>
      </c>
    </row>
    <row r="217" spans="1:20" ht="16.5" customHeight="1" thickBot="1" x14ac:dyDescent="0.35">
      <c r="A217" s="43" t="s">
        <v>1218</v>
      </c>
      <c r="B217" s="45">
        <f>SUM(B142:B216)</f>
        <v>17851</v>
      </c>
      <c r="C217" s="46">
        <f>SUM(C142:C216)</f>
        <v>15882</v>
      </c>
      <c r="D217" s="46">
        <f>SUM(D142:D216)</f>
        <v>15889</v>
      </c>
      <c r="E217" s="37">
        <f>SUM(B217:D217)</f>
        <v>49622</v>
      </c>
      <c r="F217" s="46">
        <f>SUM(F142:F216)</f>
        <v>22868</v>
      </c>
      <c r="G217" s="46">
        <f t="shared" ref="G217:H217" si="52">SUM(G142:G216)</f>
        <v>34630</v>
      </c>
      <c r="H217" s="46">
        <f t="shared" si="52"/>
        <v>39091</v>
      </c>
      <c r="I217" s="37">
        <f>SUM(F217:H217)</f>
        <v>96589</v>
      </c>
      <c r="J217" s="46">
        <f>SUM(J142:J216)</f>
        <v>36507</v>
      </c>
      <c r="K217" s="46">
        <f>SUM(K142:K216)</f>
        <v>36423</v>
      </c>
      <c r="L217" s="46">
        <f>SUM(L142:L216)</f>
        <v>29187</v>
      </c>
      <c r="M217" s="37">
        <f>SUM(J217:L217)</f>
        <v>102117</v>
      </c>
      <c r="N217" s="46">
        <f>SUM(N142:N216)</f>
        <v>27583</v>
      </c>
      <c r="O217" s="46">
        <f>SUM(O142:O216)</f>
        <v>24738</v>
      </c>
      <c r="P217" s="46">
        <f>SUM(P142:P216)</f>
        <v>21591</v>
      </c>
      <c r="Q217" s="37">
        <f>SUM(N217:P217)</f>
        <v>73912</v>
      </c>
      <c r="R217" s="37">
        <f>+E217+I217+M217+Q217</f>
        <v>322240</v>
      </c>
    </row>
    <row r="218" spans="1:20" ht="15.75" customHeight="1" x14ac:dyDescent="0.3">
      <c r="A218" s="234" t="s">
        <v>1172</v>
      </c>
      <c r="B218" s="10"/>
      <c r="C218" s="10"/>
      <c r="D218" s="10"/>
      <c r="E218" s="38" t="s">
        <v>852</v>
      </c>
      <c r="F218" s="10"/>
      <c r="G218" s="10"/>
      <c r="H218" s="10"/>
      <c r="I218" s="38" t="s">
        <v>852</v>
      </c>
      <c r="J218" s="10"/>
      <c r="K218" s="10"/>
      <c r="L218" s="10"/>
      <c r="M218" s="38" t="s">
        <v>852</v>
      </c>
      <c r="N218" s="10"/>
      <c r="O218" s="10"/>
      <c r="P218" s="10"/>
      <c r="Q218" s="38" t="s">
        <v>852</v>
      </c>
      <c r="R218" s="38" t="s">
        <v>852</v>
      </c>
    </row>
    <row r="219" spans="1:20" ht="15.75" customHeight="1" x14ac:dyDescent="0.3">
      <c r="A219" s="234" t="s">
        <v>1658</v>
      </c>
      <c r="B219" s="10"/>
      <c r="C219" s="10"/>
      <c r="D219" s="10"/>
      <c r="E219" s="38" t="s">
        <v>852</v>
      </c>
      <c r="F219" s="10"/>
      <c r="G219" s="10"/>
      <c r="H219" s="10"/>
      <c r="I219" s="38" t="s">
        <v>852</v>
      </c>
      <c r="J219" s="10"/>
      <c r="K219" s="10"/>
      <c r="L219" s="10"/>
      <c r="M219" s="38" t="s">
        <v>852</v>
      </c>
      <c r="N219" s="10"/>
      <c r="O219" s="10"/>
      <c r="P219" s="10"/>
      <c r="Q219" s="38" t="s">
        <v>852</v>
      </c>
      <c r="R219" s="38" t="s">
        <v>852</v>
      </c>
    </row>
    <row r="220" spans="1:20" ht="15.75" customHeight="1" x14ac:dyDescent="0.3">
      <c r="A220" s="234" t="s">
        <v>2409</v>
      </c>
      <c r="B220" s="10"/>
      <c r="C220" s="10"/>
      <c r="D220" s="10"/>
      <c r="E220" s="38" t="s">
        <v>852</v>
      </c>
      <c r="F220" s="10"/>
      <c r="G220" s="10"/>
      <c r="H220" s="10"/>
      <c r="I220" s="38" t="s">
        <v>852</v>
      </c>
      <c r="J220" s="10"/>
      <c r="K220" s="10"/>
      <c r="L220" s="10"/>
      <c r="M220" s="38" t="s">
        <v>852</v>
      </c>
      <c r="N220" s="10"/>
      <c r="O220" s="10"/>
      <c r="P220" s="10"/>
      <c r="Q220" s="38" t="s">
        <v>852</v>
      </c>
      <c r="R220" s="38" t="s">
        <v>852</v>
      </c>
    </row>
    <row r="221" spans="1:20" ht="15.75" customHeight="1" x14ac:dyDescent="0.3">
      <c r="A221" s="568" t="s">
        <v>1645</v>
      </c>
      <c r="B221" s="10"/>
      <c r="C221" s="10"/>
      <c r="D221" s="10"/>
      <c r="E221" s="38">
        <f>SUM(B221:D221)</f>
        <v>0</v>
      </c>
      <c r="F221" s="10"/>
      <c r="G221" s="10"/>
      <c r="H221" s="10"/>
      <c r="I221" s="38">
        <f>SUM(F221:H221)</f>
        <v>0</v>
      </c>
      <c r="J221" s="10"/>
      <c r="K221" s="10"/>
      <c r="L221" s="10"/>
      <c r="M221" s="38">
        <f>SUM(J221:L221)</f>
        <v>0</v>
      </c>
      <c r="N221" s="10"/>
      <c r="O221" s="10"/>
      <c r="P221" s="10"/>
      <c r="Q221" s="38">
        <f>SUM(N221:P221)</f>
        <v>0</v>
      </c>
      <c r="R221" s="38">
        <f>+E221+I221+M221+Q221</f>
        <v>0</v>
      </c>
      <c r="T221" t="s">
        <v>2764</v>
      </c>
    </row>
    <row r="222" spans="1:20" ht="15.75" customHeight="1" x14ac:dyDescent="0.3">
      <c r="A222" s="410" t="s">
        <v>2824</v>
      </c>
      <c r="B222" s="10"/>
      <c r="C222" s="10"/>
      <c r="D222" s="10"/>
      <c r="E222" s="38">
        <f>SUM(B222:D222)</f>
        <v>0</v>
      </c>
      <c r="F222" s="10"/>
      <c r="G222" s="10"/>
      <c r="H222" s="10"/>
      <c r="I222" s="38">
        <f>SUM(F222:H222)</f>
        <v>0</v>
      </c>
      <c r="J222" s="10"/>
      <c r="K222" s="10"/>
      <c r="L222" s="10"/>
      <c r="M222" s="38">
        <f>SUM(J222:L222)</f>
        <v>0</v>
      </c>
      <c r="N222" s="10"/>
      <c r="O222" s="10"/>
      <c r="P222" s="10"/>
      <c r="Q222" s="38">
        <f>SUM(N222:P222)</f>
        <v>0</v>
      </c>
      <c r="R222" s="38">
        <f>+E222+I222+M222+Q222</f>
        <v>0</v>
      </c>
      <c r="S222" t="s">
        <v>3020</v>
      </c>
      <c r="T222" t="s">
        <v>2760</v>
      </c>
    </row>
    <row r="223" spans="1:20" ht="15.75" customHeight="1" thickBot="1" x14ac:dyDescent="0.35">
      <c r="A223" s="234" t="s">
        <v>2165</v>
      </c>
      <c r="B223" s="10"/>
      <c r="C223" s="10"/>
      <c r="D223" s="10"/>
      <c r="E223" s="38" t="s">
        <v>852</v>
      </c>
      <c r="F223" s="10"/>
      <c r="G223" s="10"/>
      <c r="H223" s="10"/>
      <c r="I223" s="38" t="s">
        <v>852</v>
      </c>
      <c r="J223" s="10"/>
      <c r="K223" s="10"/>
      <c r="L223" s="10"/>
      <c r="M223" s="38" t="s">
        <v>852</v>
      </c>
      <c r="N223" s="10"/>
      <c r="O223" s="10"/>
      <c r="P223" s="10"/>
      <c r="Q223" s="38" t="s">
        <v>852</v>
      </c>
      <c r="R223" s="38" t="s">
        <v>852</v>
      </c>
    </row>
    <row r="224" spans="1:20" ht="16.5" customHeight="1" thickBot="1" x14ac:dyDescent="0.35">
      <c r="A224" s="43" t="s">
        <v>1219</v>
      </c>
      <c r="B224" s="45">
        <f>SUM(B218:B223)</f>
        <v>0</v>
      </c>
      <c r="C224" s="46">
        <f>SUM(C218:C223)</f>
        <v>0</v>
      </c>
      <c r="D224" s="46">
        <f>SUM(D218:D223)</f>
        <v>0</v>
      </c>
      <c r="E224" s="37">
        <f>SUM(B224:D224)</f>
        <v>0</v>
      </c>
      <c r="F224" s="46"/>
      <c r="G224" s="46"/>
      <c r="H224" s="46"/>
      <c r="I224" s="37">
        <f>SUM(F224:H224)</f>
        <v>0</v>
      </c>
      <c r="J224" s="46">
        <f>SUM(J218:J223)</f>
        <v>0</v>
      </c>
      <c r="K224" s="46">
        <f>SUM(K218:K223)</f>
        <v>0</v>
      </c>
      <c r="L224" s="46">
        <f>SUM(L218:L223)</f>
        <v>0</v>
      </c>
      <c r="M224" s="37">
        <f>SUM(J224:L224)</f>
        <v>0</v>
      </c>
      <c r="N224" s="46">
        <f>SUM(N218:N223)</f>
        <v>0</v>
      </c>
      <c r="O224" s="46">
        <f>SUM(O218:O223)</f>
        <v>0</v>
      </c>
      <c r="P224" s="46">
        <f>SUM(P218:P223)</f>
        <v>0</v>
      </c>
      <c r="Q224" s="37">
        <f>SUM(N224:P224)</f>
        <v>0</v>
      </c>
      <c r="R224" s="37">
        <f>+E224+I224+M224+Q224</f>
        <v>0</v>
      </c>
    </row>
    <row r="225" spans="1:20" ht="15.75" customHeight="1" x14ac:dyDescent="0.3">
      <c r="A225" s="234" t="s">
        <v>2166</v>
      </c>
      <c r="B225" s="10"/>
      <c r="C225" s="10"/>
      <c r="D225" s="10"/>
      <c r="E225" s="38" t="s">
        <v>852</v>
      </c>
      <c r="F225" s="10"/>
      <c r="G225" s="10"/>
      <c r="H225" s="10"/>
      <c r="I225" s="38" t="s">
        <v>852</v>
      </c>
      <c r="J225" s="10"/>
      <c r="K225" s="10"/>
      <c r="L225" s="10"/>
      <c r="M225" s="38" t="s">
        <v>852</v>
      </c>
      <c r="N225" s="10"/>
      <c r="O225" s="10"/>
      <c r="P225" s="10"/>
      <c r="Q225" s="38" t="s">
        <v>852</v>
      </c>
      <c r="R225" s="38" t="s">
        <v>852</v>
      </c>
    </row>
    <row r="226" spans="1:20" ht="15.75" customHeight="1" x14ac:dyDescent="0.3">
      <c r="A226" s="234" t="s">
        <v>1245</v>
      </c>
      <c r="B226" s="10"/>
      <c r="C226" s="10"/>
      <c r="D226" s="10"/>
      <c r="E226" s="38" t="s">
        <v>852</v>
      </c>
      <c r="F226" s="10"/>
      <c r="G226" s="10"/>
      <c r="H226" s="10"/>
      <c r="I226" s="38" t="s">
        <v>852</v>
      </c>
      <c r="J226" s="10"/>
      <c r="K226" s="10"/>
      <c r="L226" s="10"/>
      <c r="M226" s="38" t="s">
        <v>852</v>
      </c>
      <c r="N226" s="10"/>
      <c r="O226" s="10"/>
      <c r="P226" s="10"/>
      <c r="Q226" s="38" t="s">
        <v>852</v>
      </c>
      <c r="R226" s="38" t="s">
        <v>852</v>
      </c>
    </row>
    <row r="227" spans="1:20" ht="15.75" customHeight="1" x14ac:dyDescent="0.3">
      <c r="A227" s="234" t="s">
        <v>1711</v>
      </c>
      <c r="B227" s="10"/>
      <c r="C227" s="10"/>
      <c r="D227" s="10"/>
      <c r="E227" s="38" t="s">
        <v>852</v>
      </c>
      <c r="F227" s="10"/>
      <c r="G227" s="10"/>
      <c r="H227" s="10"/>
      <c r="I227" s="38" t="s">
        <v>852</v>
      </c>
      <c r="J227" s="10"/>
      <c r="K227" s="10"/>
      <c r="L227" s="10"/>
      <c r="M227" s="38" t="s">
        <v>852</v>
      </c>
      <c r="N227" s="10"/>
      <c r="O227" s="10"/>
      <c r="P227" s="10"/>
      <c r="Q227" s="38" t="s">
        <v>852</v>
      </c>
      <c r="R227" s="38" t="s">
        <v>852</v>
      </c>
    </row>
    <row r="228" spans="1:20" ht="15.75" customHeight="1" x14ac:dyDescent="0.3">
      <c r="A228" s="540" t="s">
        <v>1364</v>
      </c>
      <c r="B228" s="10">
        <v>359</v>
      </c>
      <c r="C228" s="10">
        <v>326</v>
      </c>
      <c r="D228" s="10">
        <v>390</v>
      </c>
      <c r="E228" s="38">
        <f t="shared" ref="E228:E235" si="53">SUM(B228:D228)</f>
        <v>1075</v>
      </c>
      <c r="F228" s="10">
        <v>459</v>
      </c>
      <c r="G228" s="10">
        <v>604</v>
      </c>
      <c r="H228" s="10">
        <v>678</v>
      </c>
      <c r="I228" s="38">
        <f t="shared" ref="I228:I235" si="54">SUM(F228:H228)</f>
        <v>1741</v>
      </c>
      <c r="J228" s="10">
        <v>658</v>
      </c>
      <c r="K228" s="10">
        <v>609</v>
      </c>
      <c r="L228" s="10">
        <v>525</v>
      </c>
      <c r="M228" s="38">
        <f t="shared" ref="M228:M235" si="55">SUM(J228:L228)</f>
        <v>1792</v>
      </c>
      <c r="N228" s="10">
        <v>550</v>
      </c>
      <c r="O228" s="10">
        <v>418</v>
      </c>
      <c r="P228" s="10">
        <v>330</v>
      </c>
      <c r="Q228" s="38">
        <f t="shared" ref="Q228:Q234" si="56">SUM(N228:P228)</f>
        <v>1298</v>
      </c>
      <c r="R228" s="38">
        <f t="shared" ref="R228:R293" si="57">+E228+I228+M228+Q228</f>
        <v>5906</v>
      </c>
      <c r="T228" t="s">
        <v>2800</v>
      </c>
    </row>
    <row r="229" spans="1:20" ht="15.75" customHeight="1" x14ac:dyDescent="0.3">
      <c r="A229" s="540" t="s">
        <v>1388</v>
      </c>
      <c r="B229" s="10"/>
      <c r="C229" s="10"/>
      <c r="D229" s="10">
        <v>357</v>
      </c>
      <c r="E229" s="38">
        <f t="shared" si="53"/>
        <v>357</v>
      </c>
      <c r="F229" s="10"/>
      <c r="G229" s="10"/>
      <c r="H229" s="10"/>
      <c r="I229" s="38">
        <f t="shared" si="54"/>
        <v>0</v>
      </c>
      <c r="J229" s="10"/>
      <c r="K229" s="10"/>
      <c r="L229" s="10"/>
      <c r="M229" s="38">
        <f t="shared" si="55"/>
        <v>0</v>
      </c>
      <c r="N229" s="10"/>
      <c r="O229" s="10"/>
      <c r="P229" s="10"/>
      <c r="Q229" s="38">
        <f t="shared" si="56"/>
        <v>0</v>
      </c>
      <c r="R229" s="38">
        <f t="shared" si="57"/>
        <v>357</v>
      </c>
      <c r="T229" t="s">
        <v>2764</v>
      </c>
    </row>
    <row r="230" spans="1:20" ht="15.75" customHeight="1" x14ac:dyDescent="0.3">
      <c r="A230" s="410" t="s">
        <v>3133</v>
      </c>
      <c r="B230" s="10"/>
      <c r="C230" s="10"/>
      <c r="D230" s="10"/>
      <c r="E230" s="38">
        <f t="shared" si="53"/>
        <v>0</v>
      </c>
      <c r="F230" s="10"/>
      <c r="G230" s="10"/>
      <c r="H230" s="10"/>
      <c r="I230" s="38">
        <f t="shared" si="54"/>
        <v>0</v>
      </c>
      <c r="J230" s="10"/>
      <c r="K230" s="10"/>
      <c r="L230" s="10"/>
      <c r="M230" s="38">
        <f t="shared" si="55"/>
        <v>0</v>
      </c>
      <c r="N230" s="10"/>
      <c r="O230" s="10"/>
      <c r="P230" s="10"/>
      <c r="Q230" s="38">
        <f t="shared" si="56"/>
        <v>0</v>
      </c>
      <c r="R230" s="38">
        <f t="shared" si="57"/>
        <v>0</v>
      </c>
    </row>
    <row r="231" spans="1:20" ht="15.75" customHeight="1" x14ac:dyDescent="0.3">
      <c r="A231" s="540" t="s">
        <v>3328</v>
      </c>
      <c r="B231" s="10"/>
      <c r="C231" s="10"/>
      <c r="D231" s="10"/>
      <c r="E231" s="38">
        <f t="shared" si="53"/>
        <v>0</v>
      </c>
      <c r="F231" s="10"/>
      <c r="G231" s="10"/>
      <c r="H231" s="10">
        <v>59</v>
      </c>
      <c r="I231" s="38">
        <f t="shared" si="54"/>
        <v>59</v>
      </c>
      <c r="J231" s="10">
        <v>126</v>
      </c>
      <c r="K231" s="10">
        <v>126</v>
      </c>
      <c r="L231" s="10">
        <v>103</v>
      </c>
      <c r="M231" s="38">
        <f t="shared" si="55"/>
        <v>355</v>
      </c>
      <c r="N231" s="10">
        <v>109</v>
      </c>
      <c r="O231" s="10">
        <v>43</v>
      </c>
      <c r="P231" s="10">
        <v>24</v>
      </c>
      <c r="Q231" s="38">
        <f t="shared" si="56"/>
        <v>176</v>
      </c>
      <c r="R231" s="38">
        <f t="shared" si="57"/>
        <v>590</v>
      </c>
      <c r="T231" t="s">
        <v>1193</v>
      </c>
    </row>
    <row r="232" spans="1:20" ht="15.75" customHeight="1" x14ac:dyDescent="0.3">
      <c r="A232" s="540" t="s">
        <v>3072</v>
      </c>
      <c r="B232" s="10"/>
      <c r="C232" s="10"/>
      <c r="D232" s="10"/>
      <c r="E232" s="38">
        <f t="shared" si="53"/>
        <v>0</v>
      </c>
      <c r="F232" s="10"/>
      <c r="G232" s="10"/>
      <c r="H232" s="10"/>
      <c r="I232" s="38">
        <f t="shared" si="54"/>
        <v>0</v>
      </c>
      <c r="J232" s="10"/>
      <c r="K232" s="10"/>
      <c r="L232" s="10"/>
      <c r="M232" s="38">
        <f t="shared" si="55"/>
        <v>0</v>
      </c>
      <c r="N232" s="10"/>
      <c r="O232" s="10"/>
      <c r="P232" s="10"/>
      <c r="Q232" s="38">
        <f t="shared" si="56"/>
        <v>0</v>
      </c>
      <c r="R232" s="38">
        <f>+E232+I232+M232+Q232</f>
        <v>0</v>
      </c>
      <c r="T232" t="s">
        <v>2770</v>
      </c>
    </row>
    <row r="233" spans="1:20" ht="15.75" customHeight="1" x14ac:dyDescent="0.3">
      <c r="A233" s="540" t="s">
        <v>3189</v>
      </c>
      <c r="B233" s="10"/>
      <c r="C233" s="10"/>
      <c r="D233" s="10"/>
      <c r="E233" s="38">
        <f t="shared" si="53"/>
        <v>0</v>
      </c>
      <c r="F233" s="10"/>
      <c r="G233" s="10"/>
      <c r="H233" s="10"/>
      <c r="I233" s="38">
        <f t="shared" si="54"/>
        <v>0</v>
      </c>
      <c r="J233" s="10"/>
      <c r="K233" s="10"/>
      <c r="L233" s="10"/>
      <c r="M233" s="38">
        <f t="shared" si="55"/>
        <v>0</v>
      </c>
      <c r="N233" s="10"/>
      <c r="O233" s="10"/>
      <c r="P233" s="10"/>
      <c r="Q233" s="38">
        <f t="shared" si="56"/>
        <v>0</v>
      </c>
      <c r="R233" s="38">
        <f>+E233+I233+M233+Q233</f>
        <v>0</v>
      </c>
      <c r="T233" t="s">
        <v>2770</v>
      </c>
    </row>
    <row r="234" spans="1:20" ht="15.75" customHeight="1" x14ac:dyDescent="0.3">
      <c r="A234" s="410" t="s">
        <v>3063</v>
      </c>
      <c r="B234" s="10"/>
      <c r="C234" s="10"/>
      <c r="D234" s="10"/>
      <c r="E234" s="38">
        <f t="shared" si="53"/>
        <v>0</v>
      </c>
      <c r="F234" s="10"/>
      <c r="G234" s="10"/>
      <c r="H234" s="10"/>
      <c r="I234" s="38">
        <f t="shared" si="54"/>
        <v>0</v>
      </c>
      <c r="J234" s="10"/>
      <c r="K234" s="10"/>
      <c r="L234" s="10"/>
      <c r="M234" s="38">
        <f t="shared" si="55"/>
        <v>0</v>
      </c>
      <c r="N234" s="10"/>
      <c r="O234" s="10"/>
      <c r="P234" s="10"/>
      <c r="Q234" s="38">
        <f t="shared" si="56"/>
        <v>0</v>
      </c>
      <c r="R234" s="38">
        <f>+E234+I234+M234+Q234</f>
        <v>0</v>
      </c>
      <c r="S234" s="709"/>
      <c r="T234" t="s">
        <v>2760</v>
      </c>
    </row>
    <row r="235" spans="1:20" ht="15.75" customHeight="1" x14ac:dyDescent="0.3">
      <c r="A235" s="410" t="s">
        <v>3325</v>
      </c>
      <c r="B235" s="10"/>
      <c r="C235" s="10"/>
      <c r="D235" s="10"/>
      <c r="E235" s="38">
        <f t="shared" si="53"/>
        <v>0</v>
      </c>
      <c r="F235" s="10">
        <v>200</v>
      </c>
      <c r="G235" s="10"/>
      <c r="H235" s="10"/>
      <c r="I235" s="38">
        <f t="shared" si="54"/>
        <v>200</v>
      </c>
      <c r="J235" s="10"/>
      <c r="K235" s="10"/>
      <c r="L235" s="10"/>
      <c r="M235" s="38">
        <f t="shared" si="55"/>
        <v>0</v>
      </c>
      <c r="N235" s="10"/>
      <c r="O235" s="10"/>
      <c r="P235" s="10"/>
      <c r="Q235" s="38">
        <f t="shared" ref="Q235" si="58">SUM(N235:P235)</f>
        <v>0</v>
      </c>
      <c r="R235" s="38">
        <f>+E235+I235+M235+Q235</f>
        <v>200</v>
      </c>
      <c r="S235" s="709"/>
    </row>
    <row r="236" spans="1:20" ht="15.75" customHeight="1" x14ac:dyDescent="0.3">
      <c r="A236" s="410" t="s">
        <v>2965</v>
      </c>
      <c r="B236" s="10">
        <v>800</v>
      </c>
      <c r="C236" s="10"/>
      <c r="D236" s="10"/>
      <c r="E236" s="38">
        <f>SUM(B236:D236)</f>
        <v>800</v>
      </c>
      <c r="F236" s="10"/>
      <c r="G236" s="10"/>
      <c r="H236" s="10"/>
      <c r="I236" s="38">
        <f t="shared" ref="I236:I291" si="59">SUM(F236:H236)</f>
        <v>0</v>
      </c>
      <c r="J236" s="10"/>
      <c r="K236" s="10"/>
      <c r="L236" s="10"/>
      <c r="M236" s="38">
        <f t="shared" ref="M236:M291" si="60">SUM(J236:L236)</f>
        <v>0</v>
      </c>
      <c r="N236" s="10"/>
      <c r="O236" s="10"/>
      <c r="P236" s="10"/>
      <c r="Q236" s="38">
        <f t="shared" ref="Q236:Q291" si="61">SUM(N236:P236)</f>
        <v>0</v>
      </c>
      <c r="R236" s="38">
        <f t="shared" si="57"/>
        <v>800</v>
      </c>
      <c r="S236" t="s">
        <v>3020</v>
      </c>
    </row>
    <row r="237" spans="1:20" ht="15.75" customHeight="1" x14ac:dyDescent="0.3">
      <c r="A237" s="689" t="s">
        <v>2940</v>
      </c>
      <c r="B237" s="10"/>
      <c r="C237" s="10"/>
      <c r="D237" s="10"/>
      <c r="E237" s="38">
        <f t="shared" ref="E237" si="62">SUM(B237:D237)</f>
        <v>0</v>
      </c>
      <c r="F237" s="10"/>
      <c r="G237" s="10"/>
      <c r="H237" s="10"/>
      <c r="I237" s="38">
        <f t="shared" si="59"/>
        <v>0</v>
      </c>
      <c r="J237" s="10"/>
      <c r="K237" s="10"/>
      <c r="L237" s="10"/>
      <c r="M237" s="38">
        <f t="shared" si="60"/>
        <v>0</v>
      </c>
      <c r="N237" s="10"/>
      <c r="O237" s="10"/>
      <c r="P237" s="10"/>
      <c r="Q237" s="38">
        <f t="shared" si="61"/>
        <v>0</v>
      </c>
      <c r="R237" s="38">
        <f>+E237+I237+M237+Q237</f>
        <v>0</v>
      </c>
      <c r="T237" t="s">
        <v>2780</v>
      </c>
    </row>
    <row r="238" spans="1:20" ht="15.75" customHeight="1" x14ac:dyDescent="0.3">
      <c r="A238" s="410" t="s">
        <v>568</v>
      </c>
      <c r="B238" s="10">
        <v>682</v>
      </c>
      <c r="C238" s="10"/>
      <c r="D238" s="10"/>
      <c r="E238" s="38">
        <f>SUM(B238:D238)</f>
        <v>682</v>
      </c>
      <c r="F238" s="10"/>
      <c r="G238" s="10"/>
      <c r="H238" s="10"/>
      <c r="I238" s="38">
        <f>SUM(F238:H238)</f>
        <v>0</v>
      </c>
      <c r="J238" s="10"/>
      <c r="K238" s="10"/>
      <c r="L238" s="10"/>
      <c r="M238" s="38">
        <f>SUM(J238:L238)</f>
        <v>0</v>
      </c>
      <c r="N238" s="10"/>
      <c r="O238" s="10"/>
      <c r="P238" s="10"/>
      <c r="Q238" s="38">
        <f>SUM(N238:P238)</f>
        <v>0</v>
      </c>
      <c r="R238" s="38">
        <f t="shared" si="57"/>
        <v>682</v>
      </c>
      <c r="T238" t="s">
        <v>2775</v>
      </c>
    </row>
    <row r="239" spans="1:20" ht="15.75" customHeight="1" x14ac:dyDescent="0.3">
      <c r="A239" s="540" t="s">
        <v>3317</v>
      </c>
      <c r="B239" s="10"/>
      <c r="C239" s="10"/>
      <c r="D239" s="10"/>
      <c r="E239" s="38">
        <f>SUM(B239:D239)</f>
        <v>0</v>
      </c>
      <c r="F239" s="10"/>
      <c r="G239" s="10"/>
      <c r="H239" s="10"/>
      <c r="I239" s="38">
        <f>SUM(F239:H239)</f>
        <v>0</v>
      </c>
      <c r="J239" s="10"/>
      <c r="K239" s="10"/>
      <c r="L239" s="10"/>
      <c r="M239" s="38">
        <f>SUM(J239:L239)</f>
        <v>0</v>
      </c>
      <c r="N239" s="10"/>
      <c r="O239" s="10"/>
      <c r="P239" s="10"/>
      <c r="Q239" s="38">
        <f>SUM(N239:P239)</f>
        <v>0</v>
      </c>
      <c r="R239" s="38">
        <f t="shared" si="57"/>
        <v>0</v>
      </c>
    </row>
    <row r="240" spans="1:20" ht="15.75" customHeight="1" x14ac:dyDescent="0.3">
      <c r="A240" s="410" t="s">
        <v>1973</v>
      </c>
      <c r="B240" s="10"/>
      <c r="C240" s="10"/>
      <c r="D240" s="10"/>
      <c r="E240" s="38">
        <f t="shared" ref="E240:E280" si="63">SUM(B240:D240)</f>
        <v>0</v>
      </c>
      <c r="F240" s="10"/>
      <c r="G240" s="10"/>
      <c r="H240" s="10"/>
      <c r="I240" s="38">
        <f t="shared" si="59"/>
        <v>0</v>
      </c>
      <c r="J240" s="10"/>
      <c r="K240" s="10"/>
      <c r="L240" s="10"/>
      <c r="M240" s="38">
        <f t="shared" si="60"/>
        <v>0</v>
      </c>
      <c r="N240" s="10"/>
      <c r="O240" s="10"/>
      <c r="P240" s="10"/>
      <c r="Q240" s="38">
        <f t="shared" si="61"/>
        <v>0</v>
      </c>
      <c r="R240" s="38">
        <f t="shared" si="57"/>
        <v>0</v>
      </c>
    </row>
    <row r="241" spans="1:20" ht="15.75" customHeight="1" x14ac:dyDescent="0.3">
      <c r="A241" s="410" t="s">
        <v>1974</v>
      </c>
      <c r="B241" s="10">
        <v>23</v>
      </c>
      <c r="C241" s="10"/>
      <c r="D241" s="10"/>
      <c r="E241" s="38">
        <f t="shared" si="63"/>
        <v>23</v>
      </c>
      <c r="F241" s="10"/>
      <c r="G241" s="10"/>
      <c r="H241" s="10"/>
      <c r="I241" s="38">
        <f t="shared" si="59"/>
        <v>0</v>
      </c>
      <c r="J241" s="10"/>
      <c r="K241" s="10"/>
      <c r="L241" s="10"/>
      <c r="M241" s="38">
        <f t="shared" si="60"/>
        <v>0</v>
      </c>
      <c r="N241" s="10"/>
      <c r="O241" s="10"/>
      <c r="P241" s="10"/>
      <c r="Q241" s="38">
        <f t="shared" si="61"/>
        <v>0</v>
      </c>
      <c r="R241" s="38">
        <f t="shared" si="57"/>
        <v>23</v>
      </c>
    </row>
    <row r="242" spans="1:20" ht="15.75" customHeight="1" x14ac:dyDescent="0.3">
      <c r="A242" s="410" t="s">
        <v>2848</v>
      </c>
      <c r="B242" s="10">
        <v>23</v>
      </c>
      <c r="C242" s="10"/>
      <c r="D242" s="10"/>
      <c r="E242" s="38">
        <f t="shared" si="63"/>
        <v>23</v>
      </c>
      <c r="F242" s="10"/>
      <c r="G242" s="10"/>
      <c r="H242" s="10"/>
      <c r="I242" s="38">
        <f t="shared" si="59"/>
        <v>0</v>
      </c>
      <c r="J242" s="10"/>
      <c r="K242" s="10"/>
      <c r="L242" s="10"/>
      <c r="M242" s="38">
        <f t="shared" si="60"/>
        <v>0</v>
      </c>
      <c r="N242" s="10"/>
      <c r="O242" s="10"/>
      <c r="P242" s="10"/>
      <c r="Q242" s="38">
        <f t="shared" si="61"/>
        <v>0</v>
      </c>
      <c r="R242" s="38">
        <f t="shared" si="57"/>
        <v>23</v>
      </c>
      <c r="S242" t="s">
        <v>3020</v>
      </c>
      <c r="T242" t="s">
        <v>2760</v>
      </c>
    </row>
    <row r="243" spans="1:20" ht="15.75" customHeight="1" x14ac:dyDescent="0.3">
      <c r="A243" s="410" t="s">
        <v>3156</v>
      </c>
      <c r="B243" s="10"/>
      <c r="C243" s="10"/>
      <c r="D243" s="10"/>
      <c r="E243" s="38">
        <f t="shared" si="63"/>
        <v>0</v>
      </c>
      <c r="F243" s="10"/>
      <c r="G243" s="10"/>
      <c r="H243" s="10"/>
      <c r="I243" s="38">
        <f t="shared" si="59"/>
        <v>0</v>
      </c>
      <c r="J243" s="10"/>
      <c r="K243" s="10"/>
      <c r="L243" s="10"/>
      <c r="M243" s="38">
        <f t="shared" si="60"/>
        <v>0</v>
      </c>
      <c r="N243" s="10"/>
      <c r="O243" s="10"/>
      <c r="P243" s="10"/>
      <c r="Q243" s="38">
        <f t="shared" si="61"/>
        <v>0</v>
      </c>
      <c r="R243" s="38">
        <f t="shared" si="57"/>
        <v>0</v>
      </c>
      <c r="S243" t="s">
        <v>3020</v>
      </c>
      <c r="T243" t="s">
        <v>2760</v>
      </c>
    </row>
    <row r="244" spans="1:20" ht="15.75" customHeight="1" x14ac:dyDescent="0.3">
      <c r="A244" s="410" t="s">
        <v>3157</v>
      </c>
      <c r="B244" s="10"/>
      <c r="C244" s="10"/>
      <c r="D244" s="10"/>
      <c r="E244" s="38">
        <f t="shared" si="63"/>
        <v>0</v>
      </c>
      <c r="F244" s="10"/>
      <c r="G244" s="10"/>
      <c r="H244" s="10"/>
      <c r="I244" s="38">
        <f t="shared" si="59"/>
        <v>0</v>
      </c>
      <c r="J244" s="10"/>
      <c r="K244" s="10"/>
      <c r="L244" s="10"/>
      <c r="M244" s="38">
        <f t="shared" si="60"/>
        <v>0</v>
      </c>
      <c r="N244" s="10"/>
      <c r="O244" s="10">
        <v>1132</v>
      </c>
      <c r="P244" s="10">
        <f>864+640</f>
        <v>1504</v>
      </c>
      <c r="Q244" s="38">
        <f t="shared" si="61"/>
        <v>2636</v>
      </c>
      <c r="R244" s="38">
        <f t="shared" si="57"/>
        <v>2636</v>
      </c>
    </row>
    <row r="245" spans="1:20" ht="15.75" customHeight="1" x14ac:dyDescent="0.3">
      <c r="A245" s="410" t="s">
        <v>3161</v>
      </c>
      <c r="B245" s="10"/>
      <c r="C245" s="10"/>
      <c r="D245" s="10"/>
      <c r="E245" s="38">
        <f t="shared" si="63"/>
        <v>0</v>
      </c>
      <c r="F245" s="10"/>
      <c r="H245" s="10"/>
      <c r="I245" s="38">
        <f t="shared" si="59"/>
        <v>0</v>
      </c>
      <c r="J245" s="10"/>
      <c r="K245" s="10"/>
      <c r="L245" s="10">
        <v>59</v>
      </c>
      <c r="M245" s="38">
        <f t="shared" si="60"/>
        <v>59</v>
      </c>
      <c r="N245" s="10"/>
      <c r="O245" s="10">
        <v>41</v>
      </c>
      <c r="P245" s="10">
        <v>16</v>
      </c>
      <c r="Q245" s="38">
        <f t="shared" si="61"/>
        <v>57</v>
      </c>
      <c r="R245" s="38">
        <f t="shared" si="57"/>
        <v>116</v>
      </c>
    </row>
    <row r="246" spans="1:20" ht="15.75" customHeight="1" x14ac:dyDescent="0.3">
      <c r="A246" s="540" t="s">
        <v>2938</v>
      </c>
      <c r="B246" s="10"/>
      <c r="C246" s="10"/>
      <c r="D246" s="10"/>
      <c r="E246" s="38">
        <f t="shared" si="63"/>
        <v>0</v>
      </c>
      <c r="F246" s="10"/>
      <c r="G246" s="10"/>
      <c r="H246" s="10"/>
      <c r="I246" s="38">
        <f t="shared" si="59"/>
        <v>0</v>
      </c>
      <c r="J246" s="10"/>
      <c r="K246" s="10"/>
      <c r="L246" s="10"/>
      <c r="M246" s="38">
        <f t="shared" si="60"/>
        <v>0</v>
      </c>
      <c r="N246" s="10"/>
      <c r="O246" s="10"/>
      <c r="P246" s="10"/>
      <c r="Q246" s="38">
        <f t="shared" si="61"/>
        <v>0</v>
      </c>
      <c r="R246" s="38">
        <f t="shared" si="57"/>
        <v>0</v>
      </c>
      <c r="T246" t="s">
        <v>2764</v>
      </c>
    </row>
    <row r="247" spans="1:20" ht="15.75" customHeight="1" x14ac:dyDescent="0.3">
      <c r="A247" s="410" t="s">
        <v>3051</v>
      </c>
      <c r="B247" s="10"/>
      <c r="C247" s="10"/>
      <c r="D247" s="10"/>
      <c r="E247" s="38">
        <f t="shared" si="63"/>
        <v>0</v>
      </c>
      <c r="F247" s="10"/>
      <c r="G247" s="10"/>
      <c r="H247" s="10"/>
      <c r="I247" s="38">
        <f t="shared" si="59"/>
        <v>0</v>
      </c>
      <c r="J247" s="10"/>
      <c r="K247" s="10"/>
      <c r="L247" s="10"/>
      <c r="M247" s="38">
        <f t="shared" si="60"/>
        <v>0</v>
      </c>
      <c r="N247" s="10"/>
      <c r="O247" s="10"/>
      <c r="P247" s="10"/>
      <c r="Q247" s="38">
        <f>SUM(N247:P247)</f>
        <v>0</v>
      </c>
      <c r="R247" s="38">
        <f>+E247+I247+M247+Q247</f>
        <v>0</v>
      </c>
      <c r="S247" s="709"/>
      <c r="T247" t="s">
        <v>2760</v>
      </c>
    </row>
    <row r="248" spans="1:20" ht="15.75" customHeight="1" x14ac:dyDescent="0.3">
      <c r="A248" s="540" t="s">
        <v>3049</v>
      </c>
      <c r="B248" s="10"/>
      <c r="C248" s="10"/>
      <c r="D248" s="10">
        <v>1326</v>
      </c>
      <c r="E248" s="38">
        <f>SUM(B248:D248)</f>
        <v>1326</v>
      </c>
      <c r="F248" s="10">
        <v>1900</v>
      </c>
      <c r="G248" s="10">
        <v>2200</v>
      </c>
      <c r="H248" s="10">
        <v>1574</v>
      </c>
      <c r="I248" s="38">
        <f t="shared" si="59"/>
        <v>5674</v>
      </c>
      <c r="J248" s="10"/>
      <c r="K248" s="10"/>
      <c r="L248" s="10"/>
      <c r="M248" s="38">
        <f t="shared" si="60"/>
        <v>0</v>
      </c>
      <c r="N248" s="10"/>
      <c r="O248" s="10"/>
      <c r="P248" s="10"/>
      <c r="Q248" s="38">
        <f t="shared" si="61"/>
        <v>0</v>
      </c>
      <c r="R248" s="38">
        <f t="shared" si="57"/>
        <v>7000</v>
      </c>
    </row>
    <row r="249" spans="1:20" ht="15.75" customHeight="1" x14ac:dyDescent="0.3">
      <c r="A249" s="540" t="s">
        <v>3050</v>
      </c>
      <c r="B249" s="10"/>
      <c r="C249" s="10"/>
      <c r="D249" s="10"/>
      <c r="E249" s="38">
        <f t="shared" si="63"/>
        <v>0</v>
      </c>
      <c r="F249" s="10"/>
      <c r="G249" s="10"/>
      <c r="H249" s="10"/>
      <c r="I249" s="38">
        <f t="shared" si="59"/>
        <v>0</v>
      </c>
      <c r="J249" s="10"/>
      <c r="K249" s="10"/>
      <c r="L249" s="10"/>
      <c r="M249" s="38">
        <f t="shared" si="60"/>
        <v>0</v>
      </c>
      <c r="N249" s="10"/>
      <c r="O249" s="10"/>
      <c r="P249" s="10"/>
      <c r="Q249" s="38">
        <f t="shared" si="61"/>
        <v>0</v>
      </c>
      <c r="R249" s="38">
        <f t="shared" si="57"/>
        <v>0</v>
      </c>
    </row>
    <row r="250" spans="1:20" ht="15.75" customHeight="1" x14ac:dyDescent="0.3">
      <c r="A250" s="540" t="s">
        <v>2753</v>
      </c>
      <c r="B250" s="10">
        <v>500</v>
      </c>
      <c r="C250" s="10"/>
      <c r="D250" s="10">
        <v>1000</v>
      </c>
      <c r="E250" s="38">
        <f t="shared" ref="E250:E251" si="64">SUM(B250:D250)</f>
        <v>1500</v>
      </c>
      <c r="F250" s="10">
        <v>200</v>
      </c>
      <c r="G250" s="10">
        <v>1000</v>
      </c>
      <c r="H250" s="10">
        <v>36</v>
      </c>
      <c r="I250" s="38">
        <f t="shared" si="59"/>
        <v>1236</v>
      </c>
      <c r="J250" s="10"/>
      <c r="K250" s="10"/>
      <c r="L250" s="10"/>
      <c r="M250" s="38">
        <f t="shared" si="60"/>
        <v>0</v>
      </c>
      <c r="N250" s="10"/>
      <c r="O250" s="10"/>
      <c r="P250" s="10"/>
      <c r="Q250" s="38">
        <f t="shared" si="61"/>
        <v>0</v>
      </c>
      <c r="R250" s="38">
        <f t="shared" si="57"/>
        <v>2736</v>
      </c>
    </row>
    <row r="251" spans="1:20" ht="15.75" customHeight="1" x14ac:dyDescent="0.3">
      <c r="A251" s="540" t="s">
        <v>2754</v>
      </c>
      <c r="B251" s="10"/>
      <c r="C251" s="10"/>
      <c r="D251" s="10"/>
      <c r="E251" s="38">
        <f t="shared" si="64"/>
        <v>0</v>
      </c>
      <c r="F251" s="10"/>
      <c r="G251" s="10"/>
      <c r="H251" s="10"/>
      <c r="I251" s="38">
        <f t="shared" si="59"/>
        <v>0</v>
      </c>
      <c r="J251" s="10"/>
      <c r="K251" s="10"/>
      <c r="L251" s="10"/>
      <c r="M251" s="38">
        <f t="shared" si="60"/>
        <v>0</v>
      </c>
      <c r="N251" s="10"/>
      <c r="O251" s="10"/>
      <c r="P251" s="10"/>
      <c r="Q251" s="38">
        <f t="shared" si="61"/>
        <v>0</v>
      </c>
      <c r="R251" s="38">
        <f t="shared" si="57"/>
        <v>0</v>
      </c>
    </row>
    <row r="252" spans="1:20" ht="15.75" customHeight="1" x14ac:dyDescent="0.3">
      <c r="A252" s="410" t="s">
        <v>2755</v>
      </c>
      <c r="B252" s="10">
        <v>781</v>
      </c>
      <c r="C252" s="10">
        <v>735</v>
      </c>
      <c r="D252" s="10">
        <v>797</v>
      </c>
      <c r="E252" s="38">
        <f>SUM(B252:D252)</f>
        <v>2313</v>
      </c>
      <c r="F252" s="10">
        <v>879</v>
      </c>
      <c r="G252" s="10">
        <v>1041</v>
      </c>
      <c r="H252" s="10">
        <v>31</v>
      </c>
      <c r="I252" s="38">
        <f t="shared" ref="I252" si="65">SUM(F252:H252)</f>
        <v>1951</v>
      </c>
      <c r="J252" s="10"/>
      <c r="K252" s="10"/>
      <c r="L252" s="10"/>
      <c r="M252" s="38">
        <f t="shared" si="60"/>
        <v>0</v>
      </c>
      <c r="N252" s="10"/>
      <c r="O252" s="10"/>
      <c r="P252" s="10"/>
      <c r="Q252" s="38">
        <f t="shared" si="61"/>
        <v>0</v>
      </c>
      <c r="R252" s="38">
        <f t="shared" si="57"/>
        <v>4264</v>
      </c>
    </row>
    <row r="253" spans="1:20" ht="15.75" customHeight="1" x14ac:dyDescent="0.3">
      <c r="A253" s="569" t="s">
        <v>2989</v>
      </c>
      <c r="B253" s="10"/>
      <c r="C253" s="10"/>
      <c r="D253" s="10"/>
      <c r="E253" s="38">
        <f>SUM(B253:D253)</f>
        <v>0</v>
      </c>
      <c r="F253" s="10"/>
      <c r="G253" s="10"/>
      <c r="H253" s="10"/>
      <c r="I253" s="38">
        <f t="shared" si="59"/>
        <v>0</v>
      </c>
      <c r="J253" s="10"/>
      <c r="K253" s="10"/>
      <c r="L253" s="10"/>
      <c r="M253" s="38">
        <f t="shared" si="60"/>
        <v>0</v>
      </c>
      <c r="N253" s="10"/>
      <c r="O253" s="10"/>
      <c r="P253" s="10"/>
      <c r="Q253" s="38">
        <f t="shared" si="61"/>
        <v>0</v>
      </c>
      <c r="R253" s="38">
        <f t="shared" si="57"/>
        <v>0</v>
      </c>
    </row>
    <row r="254" spans="1:20" ht="15.75" customHeight="1" x14ac:dyDescent="0.3">
      <c r="A254" s="569" t="s">
        <v>2990</v>
      </c>
      <c r="B254" s="10"/>
      <c r="C254" s="10"/>
      <c r="D254" s="10"/>
      <c r="E254" s="38">
        <f>SUM(B254:D254)</f>
        <v>0</v>
      </c>
      <c r="F254" s="10"/>
      <c r="G254" s="10"/>
      <c r="H254" s="10"/>
      <c r="I254" s="38">
        <f t="shared" si="59"/>
        <v>0</v>
      </c>
      <c r="J254" s="10"/>
      <c r="K254" s="10"/>
      <c r="L254" s="10"/>
      <c r="M254" s="38">
        <f t="shared" si="60"/>
        <v>0</v>
      </c>
      <c r="N254" s="10"/>
      <c r="O254" s="10"/>
      <c r="P254" s="10"/>
      <c r="Q254" s="38">
        <f t="shared" si="61"/>
        <v>0</v>
      </c>
      <c r="R254" s="38">
        <f t="shared" si="57"/>
        <v>0</v>
      </c>
    </row>
    <row r="255" spans="1:20" ht="15.75" customHeight="1" x14ac:dyDescent="0.3">
      <c r="A255" s="569" t="s">
        <v>2991</v>
      </c>
      <c r="B255" s="10"/>
      <c r="C255" s="10"/>
      <c r="D255" s="10"/>
      <c r="E255" s="38">
        <f>SUM(B255:D255)</f>
        <v>0</v>
      </c>
      <c r="F255" s="10"/>
      <c r="G255" s="10"/>
      <c r="H255" s="10"/>
      <c r="I255" s="38">
        <f t="shared" si="59"/>
        <v>0</v>
      </c>
      <c r="J255" s="10"/>
      <c r="K255" s="10"/>
      <c r="L255" s="10"/>
      <c r="M255" s="38">
        <f t="shared" si="60"/>
        <v>0</v>
      </c>
      <c r="N255" s="10"/>
      <c r="O255" s="10"/>
      <c r="P255" s="10"/>
      <c r="Q255" s="38">
        <f t="shared" si="61"/>
        <v>0</v>
      </c>
      <c r="R255" s="38">
        <f t="shared" si="57"/>
        <v>0</v>
      </c>
      <c r="T255" t="s">
        <v>2764</v>
      </c>
    </row>
    <row r="256" spans="1:20" ht="15.75" customHeight="1" x14ac:dyDescent="0.3">
      <c r="A256" s="410" t="s">
        <v>3134</v>
      </c>
      <c r="B256" s="10"/>
      <c r="C256" s="10"/>
      <c r="D256" s="10"/>
      <c r="E256" s="38">
        <f t="shared" ref="E256:E259" si="66">SUM(B256:D256)</f>
        <v>0</v>
      </c>
      <c r="F256" s="10"/>
      <c r="G256" s="10"/>
      <c r="H256" s="10"/>
      <c r="I256" s="38">
        <f>SUM(F256:H256)</f>
        <v>0</v>
      </c>
      <c r="J256" s="10"/>
      <c r="K256" s="10">
        <v>3903</v>
      </c>
      <c r="L256" s="10">
        <f>864+395</f>
        <v>1259</v>
      </c>
      <c r="M256" s="38">
        <f t="shared" ref="M256:M257" si="67">SUM(J256:L256)</f>
        <v>5162</v>
      </c>
      <c r="N256" s="10"/>
      <c r="O256" s="10"/>
      <c r="P256" s="10"/>
      <c r="Q256" s="38">
        <f t="shared" ref="Q256:Q257" si="68">SUM(N256:P256)</f>
        <v>0</v>
      </c>
      <c r="R256" s="38">
        <f t="shared" si="57"/>
        <v>5162</v>
      </c>
      <c r="S256" s="717" t="s">
        <v>3020</v>
      </c>
    </row>
    <row r="257" spans="1:21" ht="15.75" customHeight="1" x14ac:dyDescent="0.3">
      <c r="A257" s="410" t="s">
        <v>1851</v>
      </c>
      <c r="B257" s="10"/>
      <c r="C257" s="10"/>
      <c r="D257" s="10"/>
      <c r="E257" s="38">
        <f t="shared" si="66"/>
        <v>0</v>
      </c>
      <c r="F257" s="10"/>
      <c r="G257" s="10"/>
      <c r="H257" s="10"/>
      <c r="I257" s="38">
        <f>SUM(F257:H257)</f>
        <v>0</v>
      </c>
      <c r="J257" s="10"/>
      <c r="K257" s="10"/>
      <c r="L257" s="10"/>
      <c r="M257" s="38">
        <f t="shared" si="67"/>
        <v>0</v>
      </c>
      <c r="N257" s="10"/>
      <c r="O257" s="10"/>
      <c r="P257" s="10"/>
      <c r="Q257" s="38">
        <f t="shared" si="68"/>
        <v>0</v>
      </c>
      <c r="R257" s="38">
        <f t="shared" si="57"/>
        <v>0</v>
      </c>
      <c r="S257" t="s">
        <v>3020</v>
      </c>
    </row>
    <row r="258" spans="1:21" ht="15.75" customHeight="1" x14ac:dyDescent="0.3">
      <c r="A258" s="410" t="s">
        <v>1850</v>
      </c>
      <c r="B258" s="10"/>
      <c r="C258" s="10"/>
      <c r="D258" s="10"/>
      <c r="E258" s="38">
        <f t="shared" si="66"/>
        <v>0</v>
      </c>
      <c r="F258" s="356">
        <f>1863+184+104+46</f>
        <v>2197</v>
      </c>
      <c r="G258" s="10">
        <f>5663+381+111+52</f>
        <v>6207</v>
      </c>
      <c r="H258" s="10">
        <v>3458</v>
      </c>
      <c r="I258" s="38">
        <f t="shared" si="59"/>
        <v>11862</v>
      </c>
      <c r="J258" s="10"/>
      <c r="K258" s="10"/>
      <c r="L258" s="10"/>
      <c r="M258" s="38">
        <f t="shared" si="60"/>
        <v>0</v>
      </c>
      <c r="N258" s="10"/>
      <c r="O258" s="10"/>
      <c r="P258" s="10"/>
      <c r="Q258" s="38">
        <f t="shared" si="61"/>
        <v>0</v>
      </c>
      <c r="R258" s="38">
        <f t="shared" si="57"/>
        <v>11862</v>
      </c>
      <c r="S258" t="s">
        <v>3020</v>
      </c>
    </row>
    <row r="259" spans="1:21" ht="15.75" customHeight="1" x14ac:dyDescent="0.3">
      <c r="A259" s="410" t="s">
        <v>3081</v>
      </c>
      <c r="B259" s="10"/>
      <c r="C259" s="10"/>
      <c r="D259" s="10"/>
      <c r="E259" s="38">
        <f t="shared" si="66"/>
        <v>0</v>
      </c>
      <c r="F259" s="10"/>
      <c r="G259" s="10">
        <v>138</v>
      </c>
      <c r="H259" s="10"/>
      <c r="I259" s="38">
        <f t="shared" si="59"/>
        <v>138</v>
      </c>
      <c r="J259" s="10"/>
      <c r="K259" s="10"/>
      <c r="L259" s="10"/>
      <c r="M259" s="38">
        <f t="shared" si="60"/>
        <v>0</v>
      </c>
      <c r="N259" s="10"/>
      <c r="O259" s="10"/>
      <c r="P259" s="10"/>
      <c r="Q259" s="38">
        <f>SUM(N259:P259)</f>
        <v>0</v>
      </c>
      <c r="R259" s="38">
        <f t="shared" si="57"/>
        <v>138</v>
      </c>
    </row>
    <row r="260" spans="1:21" ht="15.75" customHeight="1" x14ac:dyDescent="0.3">
      <c r="A260" s="410" t="s">
        <v>2979</v>
      </c>
      <c r="B260" s="10"/>
      <c r="C260" s="10"/>
      <c r="D260" s="10"/>
      <c r="E260" s="38">
        <f>SUM(B260:D260)</f>
        <v>0</v>
      </c>
      <c r="F260" s="10"/>
      <c r="G260" s="10">
        <f>76+1300</f>
        <v>1376</v>
      </c>
      <c r="H260" s="10">
        <v>210</v>
      </c>
      <c r="I260" s="38">
        <f t="shared" si="59"/>
        <v>1586</v>
      </c>
      <c r="J260" s="10"/>
      <c r="K260" s="10"/>
      <c r="L260" s="10"/>
      <c r="M260" s="38">
        <f t="shared" si="60"/>
        <v>0</v>
      </c>
      <c r="N260" s="10"/>
      <c r="O260" s="10"/>
      <c r="P260" s="10"/>
      <c r="Q260" s="38">
        <f t="shared" si="61"/>
        <v>0</v>
      </c>
      <c r="R260" s="38">
        <f t="shared" si="57"/>
        <v>1586</v>
      </c>
      <c r="S260" t="s">
        <v>3020</v>
      </c>
      <c r="T260" t="s">
        <v>2760</v>
      </c>
    </row>
    <row r="261" spans="1:21" ht="15.75" customHeight="1" x14ac:dyDescent="0.3">
      <c r="A261" s="410" t="s">
        <v>2807</v>
      </c>
      <c r="B261" s="10"/>
      <c r="C261" s="10"/>
      <c r="D261" s="10"/>
      <c r="E261" s="38">
        <f t="shared" ref="E261" si="69">SUM(B261:D261)</f>
        <v>0</v>
      </c>
      <c r="F261" s="10"/>
      <c r="G261" s="10"/>
      <c r="H261" s="10"/>
      <c r="I261" s="38">
        <f t="shared" si="59"/>
        <v>0</v>
      </c>
      <c r="J261" s="10"/>
      <c r="K261" s="10"/>
      <c r="L261" s="10"/>
      <c r="M261" s="38">
        <f t="shared" si="60"/>
        <v>0</v>
      </c>
      <c r="N261" s="10"/>
      <c r="O261" s="10"/>
      <c r="P261" s="10"/>
      <c r="Q261" s="38">
        <f t="shared" si="61"/>
        <v>0</v>
      </c>
      <c r="R261" s="38">
        <f t="shared" si="57"/>
        <v>0</v>
      </c>
      <c r="S261" s="230" t="s">
        <v>3020</v>
      </c>
      <c r="T261" s="230" t="s">
        <v>2760</v>
      </c>
      <c r="U261" s="230"/>
    </row>
    <row r="262" spans="1:21" ht="15.75" customHeight="1" x14ac:dyDescent="0.3">
      <c r="A262" s="410" t="s">
        <v>1163</v>
      </c>
      <c r="B262" s="10"/>
      <c r="C262" s="10"/>
      <c r="D262" s="10">
        <v>1718</v>
      </c>
      <c r="E262" s="38">
        <f>SUM(B262:D262)</f>
        <v>1718</v>
      </c>
      <c r="F262" s="10">
        <v>96</v>
      </c>
      <c r="G262" s="10"/>
      <c r="H262" s="10"/>
      <c r="I262" s="38">
        <f>SUM(F262:H262)</f>
        <v>96</v>
      </c>
      <c r="J262" s="10"/>
      <c r="K262" s="10"/>
      <c r="L262" s="10"/>
      <c r="M262" s="38">
        <f t="shared" si="60"/>
        <v>0</v>
      </c>
      <c r="N262" s="10"/>
      <c r="O262" s="10"/>
      <c r="P262" s="10"/>
      <c r="Q262" s="38">
        <f t="shared" si="61"/>
        <v>0</v>
      </c>
      <c r="R262" s="38">
        <f t="shared" si="57"/>
        <v>1814</v>
      </c>
      <c r="T262" t="s">
        <v>3030</v>
      </c>
    </row>
    <row r="263" spans="1:21" ht="15.75" customHeight="1" x14ac:dyDescent="0.3">
      <c r="A263" s="569" t="s">
        <v>3054</v>
      </c>
      <c r="B263" s="10"/>
      <c r="C263" s="10"/>
      <c r="D263" s="10"/>
      <c r="E263" s="38">
        <f>SUM(B263:D263)</f>
        <v>0</v>
      </c>
      <c r="F263" s="10"/>
      <c r="G263" s="10"/>
      <c r="H263" s="10"/>
      <c r="I263" s="38">
        <f>SUM(F263:H263)</f>
        <v>0</v>
      </c>
      <c r="J263" s="10"/>
      <c r="K263" s="10"/>
      <c r="L263" s="10"/>
      <c r="M263" s="38">
        <f t="shared" si="60"/>
        <v>0</v>
      </c>
      <c r="N263" s="10"/>
      <c r="O263" s="10"/>
      <c r="P263" s="10"/>
      <c r="Q263" s="38">
        <f>SUM(N263:P263)</f>
        <v>0</v>
      </c>
      <c r="R263" s="38">
        <f>+E263+I263+M263+Q263</f>
        <v>0</v>
      </c>
      <c r="T263" t="s">
        <v>2770</v>
      </c>
    </row>
    <row r="264" spans="1:21" ht="15.75" customHeight="1" x14ac:dyDescent="0.3">
      <c r="A264" s="410" t="s">
        <v>14</v>
      </c>
      <c r="B264" s="10"/>
      <c r="C264" s="10"/>
      <c r="D264" s="10"/>
      <c r="E264" s="38">
        <f t="shared" si="63"/>
        <v>0</v>
      </c>
      <c r="F264" s="10"/>
      <c r="G264" s="10"/>
      <c r="H264" s="10"/>
      <c r="I264" s="38">
        <f t="shared" si="59"/>
        <v>0</v>
      </c>
      <c r="J264" s="10"/>
      <c r="K264" s="10"/>
      <c r="L264" s="10"/>
      <c r="M264" s="38">
        <f t="shared" si="60"/>
        <v>0</v>
      </c>
      <c r="N264" s="10">
        <v>73</v>
      </c>
      <c r="O264" s="10"/>
      <c r="P264" s="10"/>
      <c r="Q264" s="38">
        <f t="shared" si="61"/>
        <v>73</v>
      </c>
      <c r="R264" s="38">
        <f t="shared" si="57"/>
        <v>73</v>
      </c>
    </row>
    <row r="265" spans="1:21" ht="15.75" customHeight="1" x14ac:dyDescent="0.3">
      <c r="A265" s="410" t="s">
        <v>3204</v>
      </c>
      <c r="B265" s="10"/>
      <c r="C265" s="10"/>
      <c r="D265" s="10"/>
      <c r="E265" s="38">
        <f t="shared" si="63"/>
        <v>0</v>
      </c>
      <c r="F265" s="10"/>
      <c r="G265" s="10"/>
      <c r="H265" s="10"/>
      <c r="I265" s="38">
        <f t="shared" si="59"/>
        <v>0</v>
      </c>
      <c r="J265" s="10"/>
      <c r="K265" s="10"/>
      <c r="L265" s="10"/>
      <c r="M265" s="38">
        <f t="shared" si="60"/>
        <v>0</v>
      </c>
      <c r="N265" s="10">
        <f>863+555</f>
        <v>1418</v>
      </c>
      <c r="O265" s="10">
        <v>218</v>
      </c>
      <c r="P265" s="10"/>
      <c r="Q265" s="38">
        <f t="shared" si="61"/>
        <v>1636</v>
      </c>
      <c r="R265" s="38">
        <f t="shared" si="57"/>
        <v>1636</v>
      </c>
    </row>
    <row r="266" spans="1:21" ht="15.75" customHeight="1" x14ac:dyDescent="0.3">
      <c r="A266" s="410" t="s">
        <v>2410</v>
      </c>
      <c r="B266" s="10">
        <v>60</v>
      </c>
      <c r="C266" s="10"/>
      <c r="D266" s="10"/>
      <c r="E266" s="38">
        <f t="shared" si="63"/>
        <v>60</v>
      </c>
      <c r="F266" s="10"/>
      <c r="G266" s="10"/>
      <c r="H266" s="10"/>
      <c r="I266" s="38">
        <f t="shared" si="59"/>
        <v>0</v>
      </c>
      <c r="J266" s="10"/>
      <c r="K266" s="10"/>
      <c r="L266" s="10"/>
      <c r="M266" s="38">
        <f t="shared" si="60"/>
        <v>0</v>
      </c>
      <c r="N266" s="10"/>
      <c r="O266" s="10"/>
      <c r="P266" s="10"/>
      <c r="Q266" s="38">
        <f t="shared" si="61"/>
        <v>0</v>
      </c>
      <c r="R266" s="38">
        <f t="shared" si="57"/>
        <v>60</v>
      </c>
    </row>
    <row r="267" spans="1:21" ht="15.75" customHeight="1" x14ac:dyDescent="0.3">
      <c r="A267" s="410" t="s">
        <v>2849</v>
      </c>
      <c r="B267" s="10">
        <v>60</v>
      </c>
      <c r="C267" s="10"/>
      <c r="D267" s="10"/>
      <c r="E267" s="38">
        <f t="shared" si="63"/>
        <v>60</v>
      </c>
      <c r="F267" s="10"/>
      <c r="G267" s="10"/>
      <c r="H267" s="10"/>
      <c r="I267" s="38">
        <f t="shared" si="59"/>
        <v>0</v>
      </c>
      <c r="J267" s="10"/>
      <c r="K267" s="10"/>
      <c r="L267" s="10"/>
      <c r="M267" s="38">
        <f t="shared" si="60"/>
        <v>0</v>
      </c>
      <c r="N267" s="10"/>
      <c r="O267" s="10"/>
      <c r="P267" s="10"/>
      <c r="Q267" s="38">
        <f t="shared" si="61"/>
        <v>0</v>
      </c>
      <c r="R267" s="38">
        <f t="shared" si="57"/>
        <v>60</v>
      </c>
      <c r="S267" t="s">
        <v>3020</v>
      </c>
      <c r="T267" t="s">
        <v>2760</v>
      </c>
    </row>
    <row r="268" spans="1:21" ht="15.75" customHeight="1" x14ac:dyDescent="0.3">
      <c r="A268" s="410" t="s">
        <v>3158</v>
      </c>
      <c r="B268" s="10"/>
      <c r="C268" s="10"/>
      <c r="D268" s="10"/>
      <c r="E268" s="38">
        <f t="shared" si="63"/>
        <v>0</v>
      </c>
      <c r="F268" s="10">
        <v>500</v>
      </c>
      <c r="G268" s="10">
        <v>500</v>
      </c>
      <c r="H268" s="10"/>
      <c r="I268" s="38">
        <f t="shared" si="59"/>
        <v>1000</v>
      </c>
      <c r="J268" s="10"/>
      <c r="K268" s="10"/>
      <c r="L268" s="10">
        <v>500</v>
      </c>
      <c r="M268" s="38">
        <f t="shared" si="60"/>
        <v>500</v>
      </c>
      <c r="N268" s="10">
        <v>500</v>
      </c>
      <c r="O268" s="10">
        <v>500</v>
      </c>
      <c r="P268" s="10"/>
      <c r="Q268" s="38">
        <f t="shared" si="61"/>
        <v>1000</v>
      </c>
      <c r="R268" s="38">
        <f t="shared" si="57"/>
        <v>2500</v>
      </c>
      <c r="T268" t="s">
        <v>2760</v>
      </c>
    </row>
    <row r="269" spans="1:21" ht="15.75" customHeight="1" x14ac:dyDescent="0.3">
      <c r="A269" s="410" t="s">
        <v>3276</v>
      </c>
      <c r="B269" s="10"/>
      <c r="C269" s="10"/>
      <c r="D269" s="10">
        <v>518</v>
      </c>
      <c r="E269" s="38">
        <f t="shared" ref="E269" si="70">SUM(B269:D269)</f>
        <v>518</v>
      </c>
      <c r="F269" s="10">
        <v>518</v>
      </c>
      <c r="G269" s="10">
        <v>518</v>
      </c>
      <c r="H269" s="10">
        <v>518</v>
      </c>
      <c r="I269" s="38">
        <f t="shared" ref="I269:I270" si="71">SUM(F269:H269)</f>
        <v>1554</v>
      </c>
      <c r="J269" s="10">
        <v>518</v>
      </c>
      <c r="K269" s="10">
        <v>518</v>
      </c>
      <c r="L269" s="10">
        <v>518</v>
      </c>
      <c r="M269" s="38">
        <f t="shared" ref="M269:M270" si="72">SUM(J269:L269)</f>
        <v>1554</v>
      </c>
      <c r="N269" s="10">
        <v>518</v>
      </c>
      <c r="O269" s="10">
        <v>518</v>
      </c>
      <c r="P269" s="10">
        <v>517</v>
      </c>
      <c r="Q269" s="38">
        <f t="shared" ref="Q269" si="73">SUM(N269:P269)</f>
        <v>1553</v>
      </c>
      <c r="R269" s="38">
        <f t="shared" si="57"/>
        <v>5179</v>
      </c>
      <c r="S269" t="s">
        <v>3020</v>
      </c>
      <c r="T269" t="s">
        <v>2760</v>
      </c>
    </row>
    <row r="270" spans="1:21" ht="15.75" customHeight="1" x14ac:dyDescent="0.3">
      <c r="A270" s="410" t="s">
        <v>2939</v>
      </c>
      <c r="B270" s="10"/>
      <c r="C270" s="10"/>
      <c r="D270" s="10"/>
      <c r="E270" s="38">
        <f t="shared" si="63"/>
        <v>0</v>
      </c>
      <c r="F270" s="10"/>
      <c r="G270" s="10"/>
      <c r="H270" s="10"/>
      <c r="I270" s="38">
        <f t="shared" si="71"/>
        <v>0</v>
      </c>
      <c r="J270" s="10">
        <v>5000</v>
      </c>
      <c r="K270" s="10"/>
      <c r="L270" s="10">
        <v>3600</v>
      </c>
      <c r="M270" s="38">
        <f t="shared" si="72"/>
        <v>8600</v>
      </c>
      <c r="N270" s="10">
        <v>1400</v>
      </c>
      <c r="O270" s="10"/>
      <c r="P270" s="10"/>
      <c r="Q270" s="38">
        <f t="shared" si="61"/>
        <v>1400</v>
      </c>
      <c r="R270" s="38">
        <f>+E270+I270+M270+Q270</f>
        <v>10000</v>
      </c>
      <c r="S270" s="709" t="s">
        <v>3020</v>
      </c>
      <c r="T270" t="s">
        <v>2760</v>
      </c>
    </row>
    <row r="271" spans="1:21" ht="15.75" customHeight="1" x14ac:dyDescent="0.3">
      <c r="A271" s="569" t="s">
        <v>2741</v>
      </c>
      <c r="B271" s="10"/>
      <c r="C271" s="10"/>
      <c r="D271" s="10"/>
      <c r="E271" s="38">
        <f t="shared" si="63"/>
        <v>0</v>
      </c>
      <c r="F271" s="10"/>
      <c r="G271" s="10"/>
      <c r="H271" s="10"/>
      <c r="I271" s="38">
        <f t="shared" si="59"/>
        <v>0</v>
      </c>
      <c r="J271" s="10"/>
      <c r="K271" s="10"/>
      <c r="L271" s="10"/>
      <c r="M271" s="38">
        <f t="shared" si="60"/>
        <v>0</v>
      </c>
      <c r="N271" s="10"/>
      <c r="O271" s="10"/>
      <c r="P271" s="10"/>
      <c r="Q271" s="38">
        <f>SUM(N271:P271)</f>
        <v>0</v>
      </c>
      <c r="R271" s="38">
        <f t="shared" si="57"/>
        <v>0</v>
      </c>
      <c r="T271" t="s">
        <v>2769</v>
      </c>
    </row>
    <row r="272" spans="1:21" ht="15.75" customHeight="1" x14ac:dyDescent="0.3">
      <c r="A272" s="569" t="s">
        <v>2742</v>
      </c>
      <c r="B272" s="10"/>
      <c r="C272" s="10"/>
      <c r="D272" s="10"/>
      <c r="E272" s="38">
        <f>SUM(B272:D272)</f>
        <v>0</v>
      </c>
      <c r="F272" s="10"/>
      <c r="G272" s="10"/>
      <c r="H272" s="10">
        <v>780</v>
      </c>
      <c r="I272" s="38">
        <f t="shared" ref="I272:I273" si="74">SUM(F272:H272)</f>
        <v>780</v>
      </c>
      <c r="J272" s="10">
        <v>1780</v>
      </c>
      <c r="K272" s="10">
        <v>1780</v>
      </c>
      <c r="L272" s="10">
        <v>1780</v>
      </c>
      <c r="M272" s="38">
        <f t="shared" ref="M272" si="75">SUM(J272:L272)</f>
        <v>5340</v>
      </c>
      <c r="N272" s="10">
        <v>1780</v>
      </c>
      <c r="O272" s="10">
        <v>910</v>
      </c>
      <c r="P272" s="10"/>
      <c r="Q272" s="38">
        <f>SUM(N272:P272)</f>
        <v>2690</v>
      </c>
      <c r="R272" s="38">
        <f t="shared" si="57"/>
        <v>8810</v>
      </c>
      <c r="T272" t="s">
        <v>2770</v>
      </c>
    </row>
    <row r="273" spans="1:20" ht="15.75" customHeight="1" x14ac:dyDescent="0.3">
      <c r="A273" s="410" t="s">
        <v>3289</v>
      </c>
      <c r="B273" s="10"/>
      <c r="C273" s="10"/>
      <c r="D273" s="10"/>
      <c r="E273" s="38">
        <f>SUM(B273:D273)</f>
        <v>0</v>
      </c>
      <c r="F273" s="10"/>
      <c r="G273" s="10"/>
      <c r="H273" s="10">
        <f>590+100</f>
        <v>690</v>
      </c>
      <c r="I273" s="38">
        <f t="shared" si="74"/>
        <v>690</v>
      </c>
      <c r="J273" s="10">
        <v>100</v>
      </c>
      <c r="K273" s="10">
        <v>274</v>
      </c>
      <c r="L273" s="10"/>
      <c r="M273" s="38">
        <f>SUM(J273:L273)</f>
        <v>374</v>
      </c>
      <c r="N273" s="10"/>
      <c r="O273" s="10"/>
      <c r="P273" s="10"/>
      <c r="Q273" s="38">
        <f t="shared" si="61"/>
        <v>0</v>
      </c>
      <c r="R273" s="38">
        <f t="shared" si="57"/>
        <v>1064</v>
      </c>
      <c r="S273" t="s">
        <v>3020</v>
      </c>
      <c r="T273" t="s">
        <v>2760</v>
      </c>
    </row>
    <row r="274" spans="1:20" ht="15.75" customHeight="1" x14ac:dyDescent="0.3">
      <c r="A274" s="410" t="s">
        <v>3290</v>
      </c>
      <c r="B274" s="10"/>
      <c r="C274" s="10"/>
      <c r="D274" s="10"/>
      <c r="E274" s="38">
        <f t="shared" ref="E274:E275" si="76">SUM(B274:D274)</f>
        <v>0</v>
      </c>
      <c r="F274" s="10"/>
      <c r="G274" s="10"/>
      <c r="H274" s="10"/>
      <c r="I274" s="38">
        <f t="shared" si="59"/>
        <v>0</v>
      </c>
      <c r="J274" s="10"/>
      <c r="K274" s="10"/>
      <c r="L274" s="10"/>
      <c r="M274" s="38">
        <f t="shared" si="60"/>
        <v>0</v>
      </c>
      <c r="N274" s="10"/>
      <c r="O274" s="10"/>
      <c r="P274" s="10"/>
      <c r="Q274" s="38">
        <f t="shared" si="61"/>
        <v>0</v>
      </c>
      <c r="R274" s="38">
        <f t="shared" si="57"/>
        <v>0</v>
      </c>
      <c r="T274" t="s">
        <v>2760</v>
      </c>
    </row>
    <row r="275" spans="1:20" ht="15.75" customHeight="1" x14ac:dyDescent="0.3">
      <c r="A275" s="569" t="s">
        <v>3314</v>
      </c>
      <c r="B275" s="10"/>
      <c r="C275" s="10"/>
      <c r="D275" s="10"/>
      <c r="E275" s="38">
        <f t="shared" si="76"/>
        <v>0</v>
      </c>
      <c r="F275" s="10"/>
      <c r="G275" s="10"/>
      <c r="H275" s="10"/>
      <c r="I275" s="38">
        <f t="shared" si="59"/>
        <v>0</v>
      </c>
      <c r="J275" s="10"/>
      <c r="K275" s="10"/>
      <c r="L275" s="10"/>
      <c r="M275" s="38">
        <f t="shared" si="60"/>
        <v>0</v>
      </c>
      <c r="N275" s="10"/>
      <c r="O275" s="10"/>
      <c r="P275" s="10"/>
      <c r="Q275" s="38">
        <f t="shared" ref="Q275" si="77">SUM(N275:P275)</f>
        <v>0</v>
      </c>
      <c r="R275" s="38">
        <f t="shared" si="57"/>
        <v>0</v>
      </c>
    </row>
    <row r="276" spans="1:20" ht="15.75" customHeight="1" x14ac:dyDescent="0.3">
      <c r="A276" s="410" t="s">
        <v>3291</v>
      </c>
      <c r="B276" s="10">
        <v>1068</v>
      </c>
      <c r="C276" s="10">
        <v>1750</v>
      </c>
      <c r="D276" s="10">
        <v>32</v>
      </c>
      <c r="E276" s="38">
        <f t="shared" si="63"/>
        <v>2850</v>
      </c>
      <c r="F276" s="10"/>
      <c r="G276" s="10"/>
      <c r="H276" s="10"/>
      <c r="I276" s="38">
        <f t="shared" si="59"/>
        <v>0</v>
      </c>
      <c r="J276" s="10"/>
      <c r="K276" s="10"/>
      <c r="L276" s="10"/>
      <c r="M276" s="38">
        <f t="shared" si="60"/>
        <v>0</v>
      </c>
      <c r="N276" s="10"/>
      <c r="O276" s="10"/>
      <c r="P276" s="10"/>
      <c r="Q276" s="38">
        <f t="shared" si="61"/>
        <v>0</v>
      </c>
      <c r="R276" s="38">
        <f t="shared" si="57"/>
        <v>2850</v>
      </c>
      <c r="T276" t="s">
        <v>2775</v>
      </c>
    </row>
    <row r="277" spans="1:20" ht="15.75" customHeight="1" x14ac:dyDescent="0.3">
      <c r="A277" s="410" t="s">
        <v>3293</v>
      </c>
      <c r="B277" s="10"/>
      <c r="C277" s="10"/>
      <c r="D277" s="10"/>
      <c r="E277" s="38">
        <f t="shared" si="63"/>
        <v>0</v>
      </c>
      <c r="F277" s="10"/>
      <c r="G277" s="10"/>
      <c r="H277" s="10"/>
      <c r="I277" s="38">
        <f>SUM(F277:H277)</f>
        <v>0</v>
      </c>
      <c r="J277" s="10"/>
      <c r="K277" s="10">
        <v>85</v>
      </c>
      <c r="L277" s="10"/>
      <c r="M277" s="38">
        <f t="shared" si="60"/>
        <v>85</v>
      </c>
      <c r="N277" s="10"/>
      <c r="O277" s="10"/>
      <c r="P277" s="10"/>
      <c r="Q277" s="38">
        <f t="shared" si="61"/>
        <v>0</v>
      </c>
      <c r="R277" s="38">
        <f t="shared" si="57"/>
        <v>85</v>
      </c>
      <c r="S277" t="s">
        <v>3020</v>
      </c>
    </row>
    <row r="278" spans="1:20" ht="15.75" customHeight="1" x14ac:dyDescent="0.3">
      <c r="A278" s="410" t="s">
        <v>3313</v>
      </c>
      <c r="B278" s="10"/>
      <c r="C278" s="10"/>
      <c r="D278" s="10"/>
      <c r="E278" s="38">
        <f t="shared" si="63"/>
        <v>0</v>
      </c>
      <c r="F278" s="10"/>
      <c r="G278" s="10"/>
      <c r="H278" s="10"/>
      <c r="I278" s="38">
        <f>SUM(F278:H278)</f>
        <v>0</v>
      </c>
      <c r="J278" s="10"/>
      <c r="K278" s="10">
        <v>913</v>
      </c>
      <c r="L278" s="10"/>
      <c r="M278" s="38">
        <f t="shared" si="60"/>
        <v>913</v>
      </c>
      <c r="N278" s="10"/>
      <c r="O278" s="10"/>
      <c r="P278" s="10"/>
      <c r="Q278" s="38">
        <f t="shared" ref="Q278" si="78">SUM(N278:P278)</f>
        <v>0</v>
      </c>
      <c r="R278" s="38">
        <f t="shared" si="57"/>
        <v>913</v>
      </c>
    </row>
    <row r="279" spans="1:20" ht="15.75" customHeight="1" x14ac:dyDescent="0.3">
      <c r="A279" s="410" t="s">
        <v>3294</v>
      </c>
      <c r="B279" s="10">
        <v>95</v>
      </c>
      <c r="C279" s="10"/>
      <c r="D279" s="10"/>
      <c r="E279" s="38">
        <f t="shared" si="63"/>
        <v>95</v>
      </c>
      <c r="F279" s="10"/>
      <c r="G279" s="10"/>
      <c r="H279" s="10"/>
      <c r="I279" s="38">
        <f t="shared" si="59"/>
        <v>0</v>
      </c>
      <c r="J279" s="10"/>
      <c r="K279" s="10"/>
      <c r="L279" s="10"/>
      <c r="M279" s="38">
        <f t="shared" si="60"/>
        <v>0</v>
      </c>
      <c r="N279" s="10"/>
      <c r="O279" s="10"/>
      <c r="P279" s="10"/>
      <c r="Q279" s="38">
        <f t="shared" si="61"/>
        <v>0</v>
      </c>
      <c r="R279" s="38">
        <f t="shared" si="57"/>
        <v>95</v>
      </c>
    </row>
    <row r="280" spans="1:20" ht="15.75" customHeight="1" x14ac:dyDescent="0.3">
      <c r="A280" s="410" t="s">
        <v>3295</v>
      </c>
      <c r="B280" s="10">
        <v>95</v>
      </c>
      <c r="C280" s="10"/>
      <c r="D280" s="10"/>
      <c r="E280" s="38">
        <f t="shared" si="63"/>
        <v>95</v>
      </c>
      <c r="F280" s="10"/>
      <c r="G280" s="10"/>
      <c r="H280" s="10"/>
      <c r="I280" s="38">
        <f t="shared" si="59"/>
        <v>0</v>
      </c>
      <c r="J280" s="10"/>
      <c r="K280" s="10"/>
      <c r="L280" s="10"/>
      <c r="M280" s="38">
        <f t="shared" si="60"/>
        <v>0</v>
      </c>
      <c r="N280" s="10"/>
      <c r="O280" s="10"/>
      <c r="P280" s="10"/>
      <c r="Q280" s="38">
        <f t="shared" si="61"/>
        <v>0</v>
      </c>
      <c r="R280" s="38">
        <f t="shared" si="57"/>
        <v>95</v>
      </c>
      <c r="S280" t="s">
        <v>3020</v>
      </c>
      <c r="T280" t="s">
        <v>2760</v>
      </c>
    </row>
    <row r="281" spans="1:20" ht="15.75" customHeight="1" x14ac:dyDescent="0.3">
      <c r="A281" s="410" t="s">
        <v>3053</v>
      </c>
      <c r="B281" s="10"/>
      <c r="C281" s="10">
        <v>500</v>
      </c>
      <c r="D281" s="10">
        <v>1300</v>
      </c>
      <c r="E281" s="38">
        <f>SUM(B281:D281)</f>
        <v>1800</v>
      </c>
      <c r="F281" s="10">
        <v>1200</v>
      </c>
      <c r="G281" s="10">
        <v>1100</v>
      </c>
      <c r="H281" s="10">
        <f>600</f>
        <v>600</v>
      </c>
      <c r="I281" s="38">
        <f>SUM(F281:H281)</f>
        <v>2900</v>
      </c>
      <c r="J281" s="10">
        <v>400</v>
      </c>
      <c r="K281" s="10">
        <v>1000</v>
      </c>
      <c r="L281" s="10">
        <v>1000</v>
      </c>
      <c r="M281" s="38">
        <f>SUM(J281:L281)</f>
        <v>2400</v>
      </c>
      <c r="N281" s="10">
        <v>1100</v>
      </c>
      <c r="O281" s="10">
        <v>1000</v>
      </c>
      <c r="P281" s="10">
        <v>1200</v>
      </c>
      <c r="Q281" s="38">
        <f>SUM(N281:P281)</f>
        <v>3300</v>
      </c>
      <c r="R281" s="38">
        <f>+E281+I281+M281+Q281</f>
        <v>10400</v>
      </c>
      <c r="S281" t="s">
        <v>3020</v>
      </c>
      <c r="T281" t="s">
        <v>2760</v>
      </c>
    </row>
    <row r="282" spans="1:20" ht="15.75" customHeight="1" x14ac:dyDescent="0.3">
      <c r="A282" s="410" t="s">
        <v>3428</v>
      </c>
      <c r="B282" s="10"/>
      <c r="C282" s="10"/>
      <c r="D282" s="10"/>
      <c r="E282" s="38">
        <f>SUM(B282:D282)</f>
        <v>0</v>
      </c>
      <c r="F282" s="10"/>
      <c r="G282" s="10"/>
      <c r="H282" s="10">
        <v>3600</v>
      </c>
      <c r="I282" s="38">
        <f>SUM(F282:H282)</f>
        <v>3600</v>
      </c>
      <c r="J282" s="10"/>
      <c r="K282" s="10"/>
      <c r="L282" s="10"/>
      <c r="M282" s="38">
        <f>SUM(J282:L282)</f>
        <v>0</v>
      </c>
      <c r="N282" s="10"/>
      <c r="O282" s="10"/>
      <c r="P282" s="10"/>
      <c r="Q282" s="38">
        <f>SUM(N282:P282)</f>
        <v>0</v>
      </c>
      <c r="R282" s="38">
        <f>+E282+I282+M282+Q282</f>
        <v>3600</v>
      </c>
    </row>
    <row r="283" spans="1:20" ht="15.75" customHeight="1" x14ac:dyDescent="0.3">
      <c r="A283" s="410" t="s">
        <v>3275</v>
      </c>
      <c r="B283" s="10"/>
      <c r="C283" s="10"/>
      <c r="D283" s="10"/>
      <c r="E283" s="38">
        <f>SUM(B283:D283)</f>
        <v>0</v>
      </c>
      <c r="F283" s="10"/>
      <c r="G283" s="10"/>
      <c r="H283" s="10"/>
      <c r="I283" s="38">
        <f>SUM(F283:H283)</f>
        <v>0</v>
      </c>
      <c r="J283" s="10"/>
      <c r="K283" s="10"/>
      <c r="L283" s="10"/>
      <c r="M283" s="38">
        <f>SUM(J283:L283)</f>
        <v>0</v>
      </c>
      <c r="N283" s="10"/>
      <c r="O283" s="10"/>
      <c r="P283" s="10"/>
      <c r="Q283" s="38">
        <f t="shared" ref="Q283" si="79">SUM(N283:P283)</f>
        <v>0</v>
      </c>
      <c r="R283" s="38">
        <f>+E283+I283+M283+Q283</f>
        <v>0</v>
      </c>
      <c r="T283" t="s">
        <v>2760</v>
      </c>
    </row>
    <row r="284" spans="1:20" ht="15.75" customHeight="1" x14ac:dyDescent="0.3">
      <c r="A284" s="410" t="s">
        <v>3154</v>
      </c>
      <c r="B284" s="10"/>
      <c r="C284" s="10"/>
      <c r="D284" s="10"/>
      <c r="E284" s="38">
        <f t="shared" ref="E284:E285" si="80">SUM(B284:D284)</f>
        <v>0</v>
      </c>
      <c r="F284" s="10"/>
      <c r="G284" s="10"/>
      <c r="H284" s="10"/>
      <c r="I284" s="38">
        <f t="shared" ref="I284:I285" si="81">SUM(F284:H284)</f>
        <v>0</v>
      </c>
      <c r="J284" s="10"/>
      <c r="K284" s="10"/>
      <c r="L284" s="10"/>
      <c r="M284" s="38">
        <f t="shared" ref="M284:M285" si="82">SUM(J284:L284)</f>
        <v>0</v>
      </c>
      <c r="N284" s="10"/>
      <c r="O284" s="10"/>
      <c r="P284" s="10"/>
      <c r="Q284" s="38">
        <f t="shared" ref="Q284" si="83">SUM(N284:P284)</f>
        <v>0</v>
      </c>
      <c r="R284" s="38">
        <f>+E284+I284+M284+Q284</f>
        <v>0</v>
      </c>
      <c r="T284" t="s">
        <v>2760</v>
      </c>
    </row>
    <row r="285" spans="1:20" ht="15.75" customHeight="1" x14ac:dyDescent="0.3">
      <c r="A285" s="569" t="s">
        <v>3426</v>
      </c>
      <c r="B285" s="10"/>
      <c r="C285" s="10"/>
      <c r="D285" s="10"/>
      <c r="E285" s="38">
        <f t="shared" si="80"/>
        <v>0</v>
      </c>
      <c r="F285" s="10"/>
      <c r="G285" s="10"/>
      <c r="H285" s="10"/>
      <c r="I285" s="38">
        <f t="shared" si="81"/>
        <v>0</v>
      </c>
      <c r="J285" s="10"/>
      <c r="K285" s="10"/>
      <c r="L285" s="10"/>
      <c r="M285" s="38">
        <f t="shared" si="82"/>
        <v>0</v>
      </c>
      <c r="N285" s="10">
        <v>410</v>
      </c>
      <c r="O285" s="10">
        <v>410</v>
      </c>
      <c r="P285" s="10">
        <v>410</v>
      </c>
      <c r="Q285" s="38">
        <f t="shared" ref="Q285" si="84">SUM(N285:P285)</f>
        <v>1230</v>
      </c>
      <c r="R285" s="38">
        <f>+E285+I285+M285+Q285</f>
        <v>1230</v>
      </c>
    </row>
    <row r="286" spans="1:20" ht="15.75" customHeight="1" x14ac:dyDescent="0.3">
      <c r="A286" s="410" t="s">
        <v>3385</v>
      </c>
      <c r="B286" s="10"/>
      <c r="C286" s="10"/>
      <c r="D286" s="10">
        <v>184</v>
      </c>
      <c r="E286" s="38">
        <f t="shared" ref="E286" si="85">SUM(B286:D286)</f>
        <v>184</v>
      </c>
      <c r="F286" s="10">
        <v>184</v>
      </c>
      <c r="G286" s="10">
        <v>276</v>
      </c>
      <c r="H286" s="10">
        <v>276</v>
      </c>
      <c r="I286" s="38">
        <f t="shared" ref="I286" si="86">SUM(F286:H286)</f>
        <v>736</v>
      </c>
      <c r="J286" s="10">
        <v>276</v>
      </c>
      <c r="K286" s="10">
        <v>276</v>
      </c>
      <c r="L286" s="10">
        <v>184</v>
      </c>
      <c r="M286" s="38">
        <f t="shared" ref="M286" si="87">SUM(J286:L286)</f>
        <v>736</v>
      </c>
      <c r="N286" s="10">
        <v>184</v>
      </c>
      <c r="O286" s="10">
        <v>92</v>
      </c>
      <c r="P286" s="10">
        <v>92</v>
      </c>
      <c r="Q286" s="38">
        <f t="shared" si="61"/>
        <v>368</v>
      </c>
      <c r="R286" s="38">
        <f t="shared" si="57"/>
        <v>2024</v>
      </c>
      <c r="S286" t="s">
        <v>3020</v>
      </c>
    </row>
    <row r="287" spans="1:20" ht="15.75" customHeight="1" x14ac:dyDescent="0.3">
      <c r="A287" s="410" t="s">
        <v>1453</v>
      </c>
      <c r="B287" s="10">
        <v>358</v>
      </c>
      <c r="C287" s="10">
        <f>3970+73+20</f>
        <v>4063</v>
      </c>
      <c r="D287" s="10">
        <f>4612+89+38</f>
        <v>4739</v>
      </c>
      <c r="E287" s="38">
        <f>SUM(B287:D287)</f>
        <v>9160</v>
      </c>
      <c r="F287" s="10">
        <v>3340</v>
      </c>
      <c r="G287" s="10"/>
      <c r="H287" s="10"/>
      <c r="I287" s="38">
        <f>SUM(F287:H287)</f>
        <v>3340</v>
      </c>
      <c r="J287" s="10"/>
      <c r="K287" s="10"/>
      <c r="L287" s="10"/>
      <c r="M287" s="38">
        <f>SUM(J287:L287)</f>
        <v>0</v>
      </c>
      <c r="N287" s="10"/>
      <c r="O287" s="10"/>
      <c r="P287" s="10"/>
      <c r="Q287" s="38">
        <f>SUM(N287:P287)</f>
        <v>0</v>
      </c>
      <c r="R287" s="38">
        <f>+E287+I287+M287+Q287</f>
        <v>12500</v>
      </c>
      <c r="S287" t="s">
        <v>3020</v>
      </c>
    </row>
    <row r="288" spans="1:20" ht="15.75" customHeight="1" x14ac:dyDescent="0.3">
      <c r="A288" s="410" t="s">
        <v>3080</v>
      </c>
      <c r="B288" s="10"/>
      <c r="C288" s="10"/>
      <c r="D288" s="10"/>
      <c r="E288" s="38">
        <f>SUM(B288:D288)</f>
        <v>0</v>
      </c>
      <c r="F288" s="10"/>
      <c r="G288" s="10"/>
      <c r="H288" s="10"/>
      <c r="I288" s="38">
        <f>SUM(F288:H288)</f>
        <v>0</v>
      </c>
      <c r="J288" s="10"/>
      <c r="K288" s="10"/>
      <c r="L288" s="10"/>
      <c r="M288" s="38">
        <f>SUM(J288:L288)</f>
        <v>0</v>
      </c>
      <c r="N288" s="10"/>
      <c r="O288" s="10"/>
      <c r="P288" s="10"/>
      <c r="Q288" s="38">
        <f>SUM(N288:P288)</f>
        <v>0</v>
      </c>
      <c r="R288" s="38">
        <f>+E288+I288+M288+Q288</f>
        <v>0</v>
      </c>
    </row>
    <row r="289" spans="1:20" ht="15.75" customHeight="1" x14ac:dyDescent="0.3">
      <c r="A289" s="410" t="s">
        <v>3136</v>
      </c>
      <c r="B289" s="10"/>
      <c r="C289" s="10"/>
      <c r="D289" s="10"/>
      <c r="E289" s="38">
        <f t="shared" ref="E289" si="88">SUM(B289:D289)</f>
        <v>0</v>
      </c>
      <c r="F289" s="10"/>
      <c r="G289" s="10"/>
      <c r="H289" s="10"/>
      <c r="I289" s="38">
        <f t="shared" ref="I289" si="89">SUM(F289:H289)</f>
        <v>0</v>
      </c>
      <c r="J289" s="10"/>
      <c r="K289" s="10"/>
      <c r="L289" s="10"/>
      <c r="M289" s="38">
        <f t="shared" ref="M289" si="90">SUM(J289:L289)</f>
        <v>0</v>
      </c>
      <c r="N289" s="10"/>
      <c r="O289" s="10"/>
      <c r="P289" s="10"/>
      <c r="Q289" s="38">
        <f t="shared" ref="Q289" si="91">SUM(N289:P289)</f>
        <v>0</v>
      </c>
      <c r="R289" s="38">
        <f t="shared" ref="R289" si="92">+E289+I289+M289+Q289</f>
        <v>0</v>
      </c>
    </row>
    <row r="290" spans="1:20" ht="15.75" customHeight="1" x14ac:dyDescent="0.3">
      <c r="A290" s="410" t="s">
        <v>1410</v>
      </c>
      <c r="B290" s="10">
        <v>500</v>
      </c>
      <c r="C290" s="10"/>
      <c r="D290" s="10"/>
      <c r="E290" s="38">
        <f t="shared" ref="E290:E291" si="93">SUM(B290:D290)</f>
        <v>500</v>
      </c>
      <c r="F290" s="10"/>
      <c r="G290" s="10"/>
      <c r="H290" s="10"/>
      <c r="I290" s="38">
        <f t="shared" si="59"/>
        <v>0</v>
      </c>
      <c r="J290" s="10"/>
      <c r="K290" s="10"/>
      <c r="L290" s="10"/>
      <c r="M290" s="38">
        <f t="shared" si="60"/>
        <v>0</v>
      </c>
      <c r="N290" s="10"/>
      <c r="O290" s="10"/>
      <c r="P290" s="10"/>
      <c r="Q290" s="38">
        <f t="shared" si="61"/>
        <v>0</v>
      </c>
      <c r="R290" s="38">
        <f t="shared" si="57"/>
        <v>500</v>
      </c>
    </row>
    <row r="291" spans="1:20" ht="15.75" customHeight="1" x14ac:dyDescent="0.3">
      <c r="A291" s="410" t="s">
        <v>3423</v>
      </c>
      <c r="B291" s="10"/>
      <c r="C291" s="10"/>
      <c r="D291" s="10"/>
      <c r="E291" s="38">
        <f t="shared" si="93"/>
        <v>0</v>
      </c>
      <c r="F291" s="10">
        <v>1000</v>
      </c>
      <c r="G291" s="10"/>
      <c r="H291" s="10">
        <v>900</v>
      </c>
      <c r="I291" s="38">
        <f t="shared" si="59"/>
        <v>1900</v>
      </c>
      <c r="J291" s="10">
        <v>1100</v>
      </c>
      <c r="K291" s="10">
        <v>500</v>
      </c>
      <c r="L291" s="10">
        <v>800</v>
      </c>
      <c r="M291" s="38">
        <f t="shared" si="60"/>
        <v>2400</v>
      </c>
      <c r="N291" s="10"/>
      <c r="O291" s="10">
        <v>500</v>
      </c>
      <c r="P291" s="10">
        <v>700</v>
      </c>
      <c r="Q291" s="38">
        <f t="shared" si="61"/>
        <v>1200</v>
      </c>
      <c r="R291" s="38">
        <f t="shared" si="57"/>
        <v>5500</v>
      </c>
    </row>
    <row r="292" spans="1:20" ht="15.75" customHeight="1" thickBot="1" x14ac:dyDescent="0.35">
      <c r="A292" s="410" t="s">
        <v>3025</v>
      </c>
      <c r="B292" s="10"/>
      <c r="C292" s="10"/>
      <c r="D292" s="10"/>
      <c r="E292" s="38">
        <f>SUM(B292:D292)</f>
        <v>0</v>
      </c>
      <c r="F292" s="10"/>
      <c r="G292" s="10"/>
      <c r="H292" s="10"/>
      <c r="I292" s="38">
        <f>SUM(F292:H292)</f>
        <v>0</v>
      </c>
      <c r="J292" s="10"/>
      <c r="K292" s="10"/>
      <c r="L292" s="10"/>
      <c r="M292" s="38">
        <f>SUM(J292:L292)</f>
        <v>0</v>
      </c>
      <c r="N292" s="10"/>
      <c r="O292" s="10"/>
      <c r="P292" s="10">
        <v>128</v>
      </c>
      <c r="Q292" s="38">
        <f>SUM(N292:P292)</f>
        <v>128</v>
      </c>
      <c r="R292" s="38">
        <f t="shared" si="57"/>
        <v>128</v>
      </c>
      <c r="S292" s="709" t="s">
        <v>3020</v>
      </c>
    </row>
    <row r="293" spans="1:20" ht="16.5" customHeight="1" thickBot="1" x14ac:dyDescent="0.35">
      <c r="A293" s="43" t="s">
        <v>1220</v>
      </c>
      <c r="B293" s="45">
        <f>SUM(B225:B292)</f>
        <v>5404</v>
      </c>
      <c r="C293" s="46">
        <f>SUM(C225:C292)</f>
        <v>7374</v>
      </c>
      <c r="D293" s="46">
        <f>SUM(D225:D292)</f>
        <v>12361</v>
      </c>
      <c r="E293" s="37">
        <f t="shared" ref="E293" si="94">SUM(B293:D293)</f>
        <v>25139</v>
      </c>
      <c r="F293" s="46">
        <f>SUM(F225:F292)</f>
        <v>12673</v>
      </c>
      <c r="G293" s="46">
        <f>SUM(G225:G292)</f>
        <v>14960</v>
      </c>
      <c r="H293" s="46">
        <f>SUM(H225:H292)</f>
        <v>13410</v>
      </c>
      <c r="I293" s="37">
        <f t="shared" ref="I293" si="95">SUM(F293:H293)</f>
        <v>41043</v>
      </c>
      <c r="J293" s="46">
        <f>SUM(J225:J292)</f>
        <v>9958</v>
      </c>
      <c r="K293" s="46">
        <f>SUM(K225:K292)</f>
        <v>9984</v>
      </c>
      <c r="L293" s="46">
        <f>SUM(L225:L292)</f>
        <v>10328</v>
      </c>
      <c r="M293" s="37">
        <f t="shared" ref="M293" si="96">SUM(J293:L293)</f>
        <v>30270</v>
      </c>
      <c r="N293" s="46">
        <f>SUM(N225:N292)</f>
        <v>8042</v>
      </c>
      <c r="O293" s="46">
        <f>SUM(O225:O292)</f>
        <v>5782</v>
      </c>
      <c r="P293" s="46">
        <f>SUM(P225:P292)</f>
        <v>4921</v>
      </c>
      <c r="Q293" s="37">
        <f t="shared" ref="Q293" si="97">SUM(N293:P293)</f>
        <v>18745</v>
      </c>
      <c r="R293" s="37">
        <f t="shared" si="57"/>
        <v>115197</v>
      </c>
    </row>
    <row r="294" spans="1:20" ht="15.75" customHeight="1" x14ac:dyDescent="0.3">
      <c r="A294" s="234" t="s">
        <v>1712</v>
      </c>
      <c r="B294" s="10"/>
      <c r="C294" s="10"/>
      <c r="D294" s="10"/>
      <c r="E294" s="38" t="s">
        <v>852</v>
      </c>
      <c r="F294" s="10"/>
      <c r="G294" s="10"/>
      <c r="H294" s="10"/>
      <c r="I294" s="38" t="s">
        <v>852</v>
      </c>
      <c r="J294" s="10"/>
      <c r="K294" s="10"/>
      <c r="L294" s="10"/>
      <c r="M294" s="38" t="s">
        <v>852</v>
      </c>
      <c r="N294" s="10"/>
      <c r="O294" s="10"/>
      <c r="P294" s="10"/>
      <c r="Q294" s="38" t="s">
        <v>852</v>
      </c>
      <c r="R294" s="38" t="s">
        <v>852</v>
      </c>
    </row>
    <row r="295" spans="1:20" ht="15.75" customHeight="1" x14ac:dyDescent="0.3">
      <c r="A295" s="234" t="s">
        <v>1021</v>
      </c>
      <c r="B295" s="10"/>
      <c r="C295" s="10"/>
      <c r="D295" s="10"/>
      <c r="E295" s="38" t="s">
        <v>852</v>
      </c>
      <c r="F295" s="10"/>
      <c r="G295" s="10"/>
      <c r="H295" s="10"/>
      <c r="I295" s="38" t="s">
        <v>852</v>
      </c>
      <c r="J295" s="10"/>
      <c r="K295" s="10"/>
      <c r="L295" s="10"/>
      <c r="M295" s="38" t="s">
        <v>852</v>
      </c>
      <c r="N295" s="10"/>
      <c r="O295" s="10"/>
      <c r="P295" s="10"/>
      <c r="Q295" s="38" t="s">
        <v>852</v>
      </c>
      <c r="R295" s="38" t="s">
        <v>852</v>
      </c>
    </row>
    <row r="296" spans="1:20" ht="15.75" customHeight="1" x14ac:dyDescent="0.3">
      <c r="A296" s="618" t="s">
        <v>2796</v>
      </c>
      <c r="B296" s="10"/>
      <c r="C296" s="10"/>
      <c r="D296" s="10"/>
      <c r="E296" s="38">
        <f>SUM(B296:D296)</f>
        <v>0</v>
      </c>
      <c r="F296" s="10"/>
      <c r="G296" s="10"/>
      <c r="H296" s="10"/>
      <c r="I296" s="38">
        <f>SUM(F296:H296)</f>
        <v>0</v>
      </c>
      <c r="J296" s="10"/>
      <c r="K296" s="10"/>
      <c r="L296" s="10"/>
      <c r="M296" s="38">
        <f>SUM(J296:L296)</f>
        <v>0</v>
      </c>
      <c r="N296" s="10"/>
      <c r="O296" s="10"/>
      <c r="P296" s="10"/>
      <c r="Q296" s="38">
        <f>SUM(N296:P296)</f>
        <v>0</v>
      </c>
      <c r="R296" s="38">
        <f>+E296+I296+M296+Q296</f>
        <v>0</v>
      </c>
      <c r="T296" t="s">
        <v>2760</v>
      </c>
    </row>
    <row r="297" spans="1:20" ht="15.75" customHeight="1" x14ac:dyDescent="0.3">
      <c r="A297" s="568" t="s">
        <v>3252</v>
      </c>
      <c r="B297" s="10"/>
      <c r="C297" s="10"/>
      <c r="D297" s="10"/>
      <c r="E297" s="38">
        <f>SUM(B297:D297)</f>
        <v>0</v>
      </c>
      <c r="F297" s="10"/>
      <c r="G297" s="10"/>
      <c r="H297" s="10"/>
      <c r="I297" s="38">
        <f>SUM(F297:H297)</f>
        <v>0</v>
      </c>
      <c r="J297" s="10"/>
      <c r="K297" s="10"/>
      <c r="L297" s="10"/>
      <c r="M297" s="38">
        <f>SUM(J297:L297)</f>
        <v>0</v>
      </c>
      <c r="N297" s="10"/>
      <c r="O297" s="10"/>
      <c r="P297" s="10"/>
      <c r="Q297" s="38">
        <f>SUM(N297:P297)</f>
        <v>0</v>
      </c>
      <c r="R297" s="38">
        <f>+E297+I297+M297+Q297</f>
        <v>0</v>
      </c>
      <c r="T297" t="s">
        <v>2769</v>
      </c>
    </row>
    <row r="298" spans="1:20" ht="15.75" customHeight="1" x14ac:dyDescent="0.3">
      <c r="A298" s="568" t="s">
        <v>3253</v>
      </c>
      <c r="B298" s="10"/>
      <c r="C298" s="10"/>
      <c r="D298" s="10"/>
      <c r="E298" s="38">
        <f>SUM(B298:D298)</f>
        <v>0</v>
      </c>
      <c r="F298" s="10"/>
      <c r="G298" s="10"/>
      <c r="H298" s="10"/>
      <c r="I298" s="38">
        <f>SUM(F298:H298)</f>
        <v>0</v>
      </c>
      <c r="J298" s="10"/>
      <c r="K298" s="10"/>
      <c r="L298" s="10"/>
      <c r="M298" s="38">
        <f>SUM(J298:L298)</f>
        <v>0</v>
      </c>
      <c r="N298" s="10"/>
      <c r="O298" s="10"/>
      <c r="P298" s="10"/>
      <c r="Q298" s="38">
        <f>SUM(N298:P298)</f>
        <v>0</v>
      </c>
      <c r="R298" s="38">
        <f>+E298+I298+M298+Q298</f>
        <v>0</v>
      </c>
      <c r="T298" t="s">
        <v>2770</v>
      </c>
    </row>
    <row r="299" spans="1:20" ht="15.75" customHeight="1" x14ac:dyDescent="0.3">
      <c r="A299" s="234" t="s">
        <v>557</v>
      </c>
      <c r="B299" s="10"/>
      <c r="C299" s="10"/>
      <c r="D299" s="10"/>
      <c r="E299" s="38" t="s">
        <v>852</v>
      </c>
      <c r="F299" s="10"/>
      <c r="G299" s="10"/>
      <c r="H299" s="10"/>
      <c r="I299" s="38" t="s">
        <v>852</v>
      </c>
      <c r="J299" s="10"/>
      <c r="K299" s="10"/>
      <c r="L299" s="10"/>
      <c r="M299" s="38" t="s">
        <v>852</v>
      </c>
      <c r="N299" s="10"/>
      <c r="O299" s="10"/>
      <c r="P299" s="10"/>
      <c r="Q299" s="38" t="s">
        <v>852</v>
      </c>
      <c r="R299" s="38" t="s">
        <v>852</v>
      </c>
    </row>
    <row r="300" spans="1:20" ht="15.75" customHeight="1" x14ac:dyDescent="0.3">
      <c r="A300" s="568" t="s">
        <v>3006</v>
      </c>
      <c r="B300" s="10"/>
      <c r="C300" s="10"/>
      <c r="D300" s="10"/>
      <c r="E300" s="38">
        <f>SUM(B300:D300)</f>
        <v>0</v>
      </c>
      <c r="F300" s="10"/>
      <c r="G300" s="10"/>
      <c r="H300" s="10"/>
      <c r="I300" s="38">
        <f>SUM(F300:H300)</f>
        <v>0</v>
      </c>
      <c r="J300" s="10"/>
      <c r="K300" s="10"/>
      <c r="L300" s="10"/>
      <c r="M300" s="38">
        <f>SUM(J300:L300)</f>
        <v>0</v>
      </c>
      <c r="N300" s="10"/>
      <c r="O300" s="10"/>
      <c r="P300" s="10"/>
      <c r="Q300" s="38">
        <f>SUM(N300:P300)</f>
        <v>0</v>
      </c>
      <c r="R300" s="38">
        <f>+E300+I300+M300+Q300</f>
        <v>0</v>
      </c>
    </row>
    <row r="301" spans="1:20" ht="15.75" customHeight="1" x14ac:dyDescent="0.3">
      <c r="A301" s="568" t="s">
        <v>3010</v>
      </c>
      <c r="B301" s="10"/>
      <c r="C301" s="10"/>
      <c r="D301" s="10"/>
      <c r="E301" s="38">
        <f>SUM(B301:D301)</f>
        <v>0</v>
      </c>
      <c r="F301" s="10"/>
      <c r="G301" s="10"/>
      <c r="H301" s="10"/>
      <c r="I301" s="38">
        <f>SUM(F301:H301)</f>
        <v>0</v>
      </c>
      <c r="J301" s="10"/>
      <c r="K301" s="10"/>
      <c r="L301" s="10"/>
      <c r="M301" s="38">
        <f>SUM(J301:L301)</f>
        <v>0</v>
      </c>
      <c r="N301" s="10"/>
      <c r="O301" s="10"/>
      <c r="P301" s="10"/>
      <c r="Q301" s="38">
        <f>SUM(N301:P301)</f>
        <v>0</v>
      </c>
      <c r="R301" s="38">
        <f>+E301+I301+M301+Q301</f>
        <v>0</v>
      </c>
      <c r="T301">
        <f>24000-SUM(R153,R157,R177,R180,R195,R213,R249,R250,R271,R297,R300,R301)</f>
        <v>4691</v>
      </c>
    </row>
    <row r="302" spans="1:20" ht="15.75" customHeight="1" x14ac:dyDescent="0.3">
      <c r="A302" s="539" t="s">
        <v>3021</v>
      </c>
      <c r="B302" s="10"/>
      <c r="C302" s="10"/>
      <c r="D302" s="10"/>
      <c r="E302" s="38">
        <f t="shared" ref="E302:E307" si="98">SUM(B302:D302)</f>
        <v>0</v>
      </c>
      <c r="F302" s="10"/>
      <c r="G302" s="10"/>
      <c r="H302" s="10"/>
      <c r="I302" s="38">
        <f t="shared" ref="I302:I307" si="99">SUM(F302:H302)</f>
        <v>0</v>
      </c>
      <c r="J302" s="10"/>
      <c r="K302" s="10"/>
      <c r="L302" s="10"/>
      <c r="M302" s="38">
        <f t="shared" ref="M302:M307" si="100">SUM(J302:L302)</f>
        <v>0</v>
      </c>
      <c r="N302" s="10"/>
      <c r="O302" s="10"/>
      <c r="P302" s="10"/>
      <c r="Q302" s="38">
        <f t="shared" ref="Q302:Q307" si="101">SUM(N302:P302)</f>
        <v>0</v>
      </c>
      <c r="R302" s="38">
        <f t="shared" ref="R302:R307" si="102">+E302+I302+M302+Q302</f>
        <v>0</v>
      </c>
      <c r="S302" t="s">
        <v>3020</v>
      </c>
    </row>
    <row r="303" spans="1:20" ht="15.75" customHeight="1" x14ac:dyDescent="0.3">
      <c r="A303" s="539" t="s">
        <v>2561</v>
      </c>
      <c r="B303" s="10"/>
      <c r="C303" s="10"/>
      <c r="D303" s="10"/>
      <c r="E303" s="38">
        <f t="shared" si="98"/>
        <v>0</v>
      </c>
      <c r="F303" s="10"/>
      <c r="G303" s="10"/>
      <c r="H303" s="10"/>
      <c r="I303" s="38">
        <f t="shared" si="99"/>
        <v>0</v>
      </c>
      <c r="J303" s="10"/>
      <c r="K303" s="10"/>
      <c r="L303" s="10"/>
      <c r="M303" s="38">
        <f t="shared" si="100"/>
        <v>0</v>
      </c>
      <c r="N303" s="10"/>
      <c r="O303" s="10"/>
      <c r="P303" s="10"/>
      <c r="Q303" s="38">
        <f t="shared" si="101"/>
        <v>0</v>
      </c>
      <c r="R303" s="38">
        <f t="shared" si="102"/>
        <v>0</v>
      </c>
    </row>
    <row r="304" spans="1:20" ht="15.75" customHeight="1" x14ac:dyDescent="0.3">
      <c r="A304" s="569" t="s">
        <v>2828</v>
      </c>
      <c r="B304" s="10"/>
      <c r="C304" s="10"/>
      <c r="D304" s="10"/>
      <c r="E304" s="38">
        <f t="shared" si="98"/>
        <v>0</v>
      </c>
      <c r="F304" s="10"/>
      <c r="G304" s="10"/>
      <c r="H304" s="10"/>
      <c r="I304" s="38">
        <f t="shared" si="99"/>
        <v>0</v>
      </c>
      <c r="J304" s="10"/>
      <c r="K304" s="10"/>
      <c r="L304" s="10"/>
      <c r="M304" s="38">
        <f t="shared" si="100"/>
        <v>0</v>
      </c>
      <c r="N304" s="10"/>
      <c r="O304" s="10"/>
      <c r="P304" s="10"/>
      <c r="Q304" s="38">
        <f t="shared" si="101"/>
        <v>0</v>
      </c>
      <c r="R304" s="38">
        <f t="shared" si="102"/>
        <v>0</v>
      </c>
    </row>
    <row r="305" spans="1:20" ht="15.75" customHeight="1" x14ac:dyDescent="0.3">
      <c r="A305" s="569" t="s">
        <v>2563</v>
      </c>
      <c r="B305" s="10"/>
      <c r="C305" s="10"/>
      <c r="D305" s="10"/>
      <c r="E305" s="38">
        <f t="shared" si="98"/>
        <v>0</v>
      </c>
      <c r="F305" s="10"/>
      <c r="G305" s="10"/>
      <c r="H305" s="10"/>
      <c r="I305" s="38">
        <f t="shared" si="99"/>
        <v>0</v>
      </c>
      <c r="J305" s="10"/>
      <c r="K305" s="10"/>
      <c r="L305" s="10"/>
      <c r="M305" s="38">
        <f t="shared" si="100"/>
        <v>0</v>
      </c>
      <c r="N305" s="10"/>
      <c r="O305" s="10"/>
      <c r="P305" s="10"/>
      <c r="Q305" s="38">
        <f t="shared" si="101"/>
        <v>0</v>
      </c>
      <c r="R305" s="38">
        <f t="shared" si="102"/>
        <v>0</v>
      </c>
    </row>
    <row r="306" spans="1:20" ht="15.75" customHeight="1" x14ac:dyDescent="0.3">
      <c r="A306" s="422" t="s">
        <v>2564</v>
      </c>
      <c r="B306" s="10"/>
      <c r="C306" s="10"/>
      <c r="D306" s="10"/>
      <c r="E306" s="38">
        <f t="shared" si="98"/>
        <v>0</v>
      </c>
      <c r="F306" s="10"/>
      <c r="G306" s="10"/>
      <c r="H306" s="10"/>
      <c r="I306" s="38">
        <f t="shared" si="99"/>
        <v>0</v>
      </c>
      <c r="J306" s="10"/>
      <c r="K306" s="10"/>
      <c r="L306" s="10"/>
      <c r="M306" s="38">
        <f t="shared" si="100"/>
        <v>0</v>
      </c>
      <c r="N306" s="10"/>
      <c r="O306" s="10"/>
      <c r="P306" s="10"/>
      <c r="Q306" s="38">
        <f t="shared" si="101"/>
        <v>0</v>
      </c>
      <c r="R306" s="38">
        <f t="shared" si="102"/>
        <v>0</v>
      </c>
    </row>
    <row r="307" spans="1:20" ht="15.75" customHeight="1" x14ac:dyDescent="0.3">
      <c r="A307" s="422" t="s">
        <v>2565</v>
      </c>
      <c r="B307" s="10"/>
      <c r="C307" s="10"/>
      <c r="D307" s="10"/>
      <c r="E307" s="38">
        <f t="shared" si="98"/>
        <v>0</v>
      </c>
      <c r="F307" s="10"/>
      <c r="G307" s="10"/>
      <c r="H307" s="10"/>
      <c r="I307" s="38">
        <f t="shared" si="99"/>
        <v>0</v>
      </c>
      <c r="J307" s="10"/>
      <c r="K307" s="10"/>
      <c r="L307" s="10"/>
      <c r="M307" s="38">
        <f t="shared" si="100"/>
        <v>0</v>
      </c>
      <c r="N307" s="10"/>
      <c r="O307" s="10"/>
      <c r="P307" s="10"/>
      <c r="Q307" s="38">
        <f t="shared" si="101"/>
        <v>0</v>
      </c>
      <c r="R307" s="38">
        <f t="shared" si="102"/>
        <v>0</v>
      </c>
    </row>
    <row r="308" spans="1:20" ht="15.75" customHeight="1" x14ac:dyDescent="0.3">
      <c r="A308" s="234" t="s">
        <v>1022</v>
      </c>
      <c r="B308" s="10"/>
      <c r="C308" s="10"/>
      <c r="D308" s="10"/>
      <c r="E308" s="38" t="s">
        <v>852</v>
      </c>
      <c r="F308" s="10"/>
      <c r="G308" s="10"/>
      <c r="H308" s="10"/>
      <c r="I308" s="38" t="s">
        <v>852</v>
      </c>
      <c r="J308" s="10"/>
      <c r="K308" s="10"/>
      <c r="L308" s="10"/>
      <c r="M308" s="38" t="s">
        <v>852</v>
      </c>
      <c r="N308" s="10"/>
      <c r="O308" s="10"/>
      <c r="P308" s="10"/>
      <c r="Q308" s="38" t="s">
        <v>852</v>
      </c>
      <c r="R308" s="38" t="s">
        <v>852</v>
      </c>
    </row>
    <row r="309" spans="1:20" ht="15.75" customHeight="1" x14ac:dyDescent="0.3">
      <c r="A309" s="568" t="s">
        <v>3254</v>
      </c>
      <c r="B309" s="10"/>
      <c r="C309" s="10"/>
      <c r="D309" s="10"/>
      <c r="E309" s="38">
        <f t="shared" ref="E309" si="103">SUM(B309:D309)</f>
        <v>0</v>
      </c>
      <c r="F309" s="10"/>
      <c r="G309" s="10"/>
      <c r="H309" s="10"/>
      <c r="I309" s="38">
        <f t="shared" ref="I309" si="104">SUM(F309:H309)</f>
        <v>0</v>
      </c>
      <c r="J309" s="10"/>
      <c r="K309" s="10"/>
      <c r="L309" s="10"/>
      <c r="M309" s="38">
        <f t="shared" ref="M309" si="105">SUM(J309:L309)</f>
        <v>0</v>
      </c>
      <c r="N309" s="10"/>
      <c r="O309" s="10"/>
      <c r="P309" s="10"/>
      <c r="Q309" s="38">
        <f t="shared" ref="Q309" si="106">SUM(N309:P309)</f>
        <v>0</v>
      </c>
      <c r="R309" s="38">
        <f t="shared" ref="R309" si="107">+E309+I309+M309+Q309</f>
        <v>0</v>
      </c>
    </row>
    <row r="310" spans="1:20" ht="15.75" customHeight="1" x14ac:dyDescent="0.3">
      <c r="A310" s="234" t="s">
        <v>559</v>
      </c>
      <c r="B310" s="10"/>
      <c r="C310" s="10"/>
      <c r="D310" s="10"/>
      <c r="E310" s="38" t="s">
        <v>852</v>
      </c>
      <c r="F310" s="10"/>
      <c r="G310" s="10"/>
      <c r="H310" s="10"/>
      <c r="I310" s="38" t="s">
        <v>852</v>
      </c>
      <c r="J310" s="10"/>
      <c r="K310" s="10"/>
      <c r="L310" s="10"/>
      <c r="M310" s="38" t="s">
        <v>852</v>
      </c>
      <c r="N310" s="10"/>
      <c r="O310" s="10"/>
      <c r="P310" s="10"/>
      <c r="Q310" s="38" t="s">
        <v>852</v>
      </c>
      <c r="R310" s="38" t="s">
        <v>852</v>
      </c>
    </row>
    <row r="311" spans="1:20" ht="15.75" customHeight="1" thickBot="1" x14ac:dyDescent="0.35">
      <c r="A311" s="539" t="s">
        <v>3074</v>
      </c>
      <c r="B311" s="10"/>
      <c r="C311" s="10"/>
      <c r="D311" s="10"/>
      <c r="E311" s="38">
        <f t="shared" ref="E311" si="108">SUM(B311:D311)</f>
        <v>0</v>
      </c>
      <c r="F311" s="10"/>
      <c r="G311" s="10"/>
      <c r="H311" s="10"/>
      <c r="I311" s="38">
        <f t="shared" ref="I311:I320" si="109">SUM(F311:H311)</f>
        <v>0</v>
      </c>
      <c r="J311" s="10"/>
      <c r="K311" s="10"/>
      <c r="L311" s="10"/>
      <c r="M311" s="38">
        <f t="shared" ref="M311:M320" si="110">SUM(J311:L311)</f>
        <v>0</v>
      </c>
      <c r="N311" s="10"/>
      <c r="O311" s="10"/>
      <c r="P311" s="10"/>
      <c r="Q311" s="38">
        <f t="shared" ref="Q311:Q320" si="111">SUM(N311:P311)</f>
        <v>0</v>
      </c>
      <c r="R311" s="38">
        <f t="shared" ref="R311:R320" si="112">+E311+I311+M311+Q311</f>
        <v>0</v>
      </c>
      <c r="S311" t="s">
        <v>3020</v>
      </c>
    </row>
    <row r="312" spans="1:20" ht="16.5" customHeight="1" thickBot="1" x14ac:dyDescent="0.35">
      <c r="A312" s="43" t="s">
        <v>1019</v>
      </c>
      <c r="B312" s="42">
        <f>SUM(B308:B311)</f>
        <v>0</v>
      </c>
      <c r="C312" s="42">
        <f>SUM(C308:C311)</f>
        <v>0</v>
      </c>
      <c r="D312" s="42">
        <f>SUM(D308:D311)</f>
        <v>0</v>
      </c>
      <c r="E312" s="39">
        <f t="shared" ref="E312:E317" si="113">SUM(B312:D312)</f>
        <v>0</v>
      </c>
      <c r="F312" s="42">
        <f>SUM(F308:F311)</f>
        <v>0</v>
      </c>
      <c r="G312" s="42">
        <f>SUM(G308:G311)</f>
        <v>0</v>
      </c>
      <c r="H312" s="42">
        <f>SUM(H308:H311)</f>
        <v>0</v>
      </c>
      <c r="I312" s="39">
        <f t="shared" si="109"/>
        <v>0</v>
      </c>
      <c r="J312" s="42">
        <f>SUM(J308:J311)</f>
        <v>0</v>
      </c>
      <c r="K312" s="42">
        <f>SUM(K308:K311)</f>
        <v>0</v>
      </c>
      <c r="L312" s="42">
        <f>SUM(L308:L311)</f>
        <v>0</v>
      </c>
      <c r="M312" s="39">
        <f t="shared" si="110"/>
        <v>0</v>
      </c>
      <c r="N312" s="42">
        <f>SUM(N308:N311)</f>
        <v>0</v>
      </c>
      <c r="O312" s="42">
        <f>SUM(O308:O311)</f>
        <v>0</v>
      </c>
      <c r="P312" s="42">
        <f>SUM(P308:P311)</f>
        <v>0</v>
      </c>
      <c r="Q312" s="39">
        <f t="shared" si="111"/>
        <v>0</v>
      </c>
      <c r="R312" s="37">
        <f t="shared" si="112"/>
        <v>0</v>
      </c>
    </row>
    <row r="313" spans="1:20" ht="16.5" customHeight="1" thickBot="1" x14ac:dyDescent="0.35">
      <c r="A313" s="43" t="s">
        <v>1221</v>
      </c>
      <c r="B313" s="45">
        <f>SUM(B294:B311)</f>
        <v>0</v>
      </c>
      <c r="C313" s="46">
        <f>SUM(C294:C311)</f>
        <v>0</v>
      </c>
      <c r="D313" s="46">
        <f>SUM(D294:D311)</f>
        <v>0</v>
      </c>
      <c r="E313" s="37">
        <f t="shared" si="113"/>
        <v>0</v>
      </c>
      <c r="F313" s="46">
        <f>SUM(F294:F311)</f>
        <v>0</v>
      </c>
      <c r="G313" s="46">
        <f>SUM(G294:G311)</f>
        <v>0</v>
      </c>
      <c r="H313" s="46">
        <f>SUM(H294:H311)</f>
        <v>0</v>
      </c>
      <c r="I313" s="37">
        <f t="shared" si="109"/>
        <v>0</v>
      </c>
      <c r="J313" s="46">
        <f>SUM(J294:J311)</f>
        <v>0</v>
      </c>
      <c r="K313" s="46">
        <f>SUM(K294:K311)</f>
        <v>0</v>
      </c>
      <c r="L313" s="46">
        <f>SUM(L294:L311)</f>
        <v>0</v>
      </c>
      <c r="M313" s="37">
        <f t="shared" si="110"/>
        <v>0</v>
      </c>
      <c r="N313" s="46">
        <f>SUM(N294:N311)</f>
        <v>0</v>
      </c>
      <c r="O313" s="46">
        <f>SUM(O294:O311)</f>
        <v>0</v>
      </c>
      <c r="P313" s="46">
        <f>SUM(P294:P311)</f>
        <v>0</v>
      </c>
      <c r="Q313" s="37">
        <f t="shared" si="111"/>
        <v>0</v>
      </c>
      <c r="R313" s="37">
        <f t="shared" si="112"/>
        <v>0</v>
      </c>
    </row>
    <row r="314" spans="1:20" ht="16.5" customHeight="1" thickBot="1" x14ac:dyDescent="0.35">
      <c r="A314" s="43" t="s">
        <v>1222</v>
      </c>
      <c r="B314" s="47">
        <f>+B217+B224+B293+B313</f>
        <v>23255</v>
      </c>
      <c r="C314" s="42">
        <f>+C217+C224+C293+C313</f>
        <v>23256</v>
      </c>
      <c r="D314" s="42">
        <f>+D217+D224+D293+D313</f>
        <v>28250</v>
      </c>
      <c r="E314" s="40">
        <f t="shared" si="113"/>
        <v>74761</v>
      </c>
      <c r="F314" s="42">
        <f>+F217+F224+F293+F313</f>
        <v>35541</v>
      </c>
      <c r="G314" s="42">
        <f>+G217+G224+G293+G313</f>
        <v>49590</v>
      </c>
      <c r="H314" s="42">
        <f>+H217+H224+H293+H313</f>
        <v>52501</v>
      </c>
      <c r="I314" s="40">
        <f t="shared" si="109"/>
        <v>137632</v>
      </c>
      <c r="J314" s="42">
        <f>+J217+J224+J293+J313</f>
        <v>46465</v>
      </c>
      <c r="K314" s="42">
        <f>+K217+K224+K293+K313</f>
        <v>46407</v>
      </c>
      <c r="L314" s="42">
        <f>+L217+L224+L293+L313</f>
        <v>39515</v>
      </c>
      <c r="M314" s="40">
        <f t="shared" si="110"/>
        <v>132387</v>
      </c>
      <c r="N314" s="42">
        <f>+N217+N224+N293+N313</f>
        <v>35625</v>
      </c>
      <c r="O314" s="42">
        <f>+O217+O224+O293+O313</f>
        <v>30520</v>
      </c>
      <c r="P314" s="42">
        <f>+P217+P224+P293+P313</f>
        <v>26512</v>
      </c>
      <c r="Q314" s="40">
        <f t="shared" si="111"/>
        <v>92657</v>
      </c>
      <c r="R314" s="40">
        <f t="shared" si="112"/>
        <v>437437</v>
      </c>
    </row>
    <row r="315" spans="1:20" ht="15.75" customHeight="1" x14ac:dyDescent="0.3">
      <c r="A315" s="540" t="s">
        <v>2827</v>
      </c>
      <c r="B315" s="10">
        <v>470</v>
      </c>
      <c r="C315" s="10">
        <v>635</v>
      </c>
      <c r="D315" s="10">
        <v>2235</v>
      </c>
      <c r="E315" s="38">
        <f t="shared" si="113"/>
        <v>3340</v>
      </c>
      <c r="F315" s="10">
        <v>3411</v>
      </c>
      <c r="G315" s="10">
        <v>3529</v>
      </c>
      <c r="H315" s="10">
        <v>2765</v>
      </c>
      <c r="I315" s="38">
        <f t="shared" si="109"/>
        <v>9705</v>
      </c>
      <c r="J315" s="10">
        <v>3117</v>
      </c>
      <c r="K315" s="10">
        <v>1529</v>
      </c>
      <c r="L315" s="10">
        <v>2588</v>
      </c>
      <c r="M315" s="38">
        <f t="shared" si="110"/>
        <v>7234</v>
      </c>
      <c r="N315" s="10">
        <v>3764</v>
      </c>
      <c r="O315" s="10">
        <v>941</v>
      </c>
      <c r="P315" s="10"/>
      <c r="Q315" s="38">
        <f t="shared" si="111"/>
        <v>4705</v>
      </c>
      <c r="R315" s="38">
        <f t="shared" si="112"/>
        <v>24984</v>
      </c>
      <c r="S315" s="574"/>
      <c r="T315" t="s">
        <v>2764</v>
      </c>
    </row>
    <row r="316" spans="1:20" ht="15.75" customHeight="1" x14ac:dyDescent="0.3">
      <c r="A316" s="320" t="s">
        <v>899</v>
      </c>
      <c r="B316" s="10"/>
      <c r="C316" s="10"/>
      <c r="D316" s="10"/>
      <c r="E316" s="38">
        <f t="shared" si="113"/>
        <v>0</v>
      </c>
      <c r="F316" s="10"/>
      <c r="G316" s="10"/>
      <c r="H316" s="10"/>
      <c r="I316" s="38">
        <f t="shared" si="109"/>
        <v>0</v>
      </c>
      <c r="J316" s="10"/>
      <c r="K316" s="10"/>
      <c r="L316" s="10"/>
      <c r="M316" s="38">
        <f t="shared" si="110"/>
        <v>0</v>
      </c>
      <c r="N316" s="10"/>
      <c r="O316" s="10"/>
      <c r="P316" s="10"/>
      <c r="Q316" s="38">
        <f t="shared" si="111"/>
        <v>0</v>
      </c>
      <c r="R316" s="38">
        <f t="shared" si="112"/>
        <v>0</v>
      </c>
    </row>
    <row r="317" spans="1:20" ht="15.75" customHeight="1" x14ac:dyDescent="0.3">
      <c r="A317" s="539" t="s">
        <v>2271</v>
      </c>
      <c r="B317" s="10"/>
      <c r="C317" s="10"/>
      <c r="D317" s="10"/>
      <c r="E317" s="38">
        <f t="shared" si="113"/>
        <v>0</v>
      </c>
      <c r="F317" s="10"/>
      <c r="G317" s="10"/>
      <c r="H317" s="10"/>
      <c r="I317" s="38">
        <f t="shared" si="109"/>
        <v>0</v>
      </c>
      <c r="J317" s="10"/>
      <c r="K317" s="10"/>
      <c r="L317" s="10"/>
      <c r="M317" s="38">
        <f t="shared" si="110"/>
        <v>0</v>
      </c>
      <c r="N317" s="10"/>
      <c r="O317" s="10"/>
      <c r="P317" s="10"/>
      <c r="Q317" s="38">
        <f t="shared" si="111"/>
        <v>0</v>
      </c>
      <c r="R317" s="38">
        <f t="shared" si="112"/>
        <v>0</v>
      </c>
    </row>
    <row r="318" spans="1:20" ht="15.75" customHeight="1" x14ac:dyDescent="0.3">
      <c r="A318" s="320" t="s">
        <v>2475</v>
      </c>
      <c r="B318" s="10">
        <v>42</v>
      </c>
      <c r="C318" s="10">
        <v>43</v>
      </c>
      <c r="D318" s="10">
        <v>47</v>
      </c>
      <c r="E318" s="38">
        <f>SUM(B318:D318)</f>
        <v>132</v>
      </c>
      <c r="F318" s="10">
        <v>52</v>
      </c>
      <c r="G318" s="10">
        <v>52</v>
      </c>
      <c r="H318" s="10">
        <v>57</v>
      </c>
      <c r="I318" s="38">
        <f>SUM(F318:H318)</f>
        <v>161</v>
      </c>
      <c r="J318" s="10">
        <v>62</v>
      </c>
      <c r="K318" s="10">
        <v>62</v>
      </c>
      <c r="L318" s="10">
        <v>62</v>
      </c>
      <c r="M318" s="38">
        <f>SUM(J318:L318)</f>
        <v>186</v>
      </c>
      <c r="N318" s="10">
        <v>57</v>
      </c>
      <c r="O318" s="10">
        <v>42</v>
      </c>
      <c r="P318" s="10">
        <v>47</v>
      </c>
      <c r="Q318" s="38">
        <f>SUM(N318:P318)</f>
        <v>146</v>
      </c>
      <c r="R318" s="38">
        <f t="shared" si="112"/>
        <v>625</v>
      </c>
    </row>
    <row r="319" spans="1:20" ht="15.75" customHeight="1" x14ac:dyDescent="0.3">
      <c r="A319" s="317" t="s">
        <v>2096</v>
      </c>
      <c r="B319" s="10">
        <v>68000</v>
      </c>
      <c r="C319" s="10">
        <v>42000</v>
      </c>
      <c r="D319" s="10">
        <v>36000</v>
      </c>
      <c r="E319" s="38">
        <f t="shared" ref="E319" si="114">SUM(B319:D319)</f>
        <v>146000</v>
      </c>
      <c r="F319" s="10"/>
      <c r="G319" s="10"/>
      <c r="H319" s="10"/>
      <c r="I319" s="38">
        <f t="shared" ref="I319" si="115">SUM(F319:H319)</f>
        <v>0</v>
      </c>
      <c r="J319" s="10"/>
      <c r="K319" s="10"/>
      <c r="L319" s="10"/>
      <c r="M319" s="38">
        <f t="shared" ref="M319" si="116">SUM(J319:L319)</f>
        <v>0</v>
      </c>
      <c r="N319" s="10">
        <v>62000</v>
      </c>
      <c r="O319" s="10">
        <v>82000</v>
      </c>
      <c r="P319" s="10">
        <v>25000</v>
      </c>
      <c r="Q319" s="38">
        <f t="shared" si="111"/>
        <v>169000</v>
      </c>
      <c r="R319" s="38">
        <f t="shared" si="112"/>
        <v>315000</v>
      </c>
    </row>
    <row r="320" spans="1:20" ht="16.5" customHeight="1" thickBot="1" x14ac:dyDescent="0.35">
      <c r="A320" s="299" t="s">
        <v>853</v>
      </c>
      <c r="B320" s="294">
        <v>104</v>
      </c>
      <c r="C320" s="294">
        <v>268</v>
      </c>
      <c r="D320" s="294">
        <v>474</v>
      </c>
      <c r="E320" s="38">
        <f>SUM(B320:D320)</f>
        <v>846</v>
      </c>
      <c r="F320" s="294">
        <v>647</v>
      </c>
      <c r="G320" s="294">
        <v>742</v>
      </c>
      <c r="H320" s="294">
        <v>781</v>
      </c>
      <c r="I320" s="38">
        <f t="shared" si="109"/>
        <v>2170</v>
      </c>
      <c r="J320" s="294">
        <v>774</v>
      </c>
      <c r="K320" s="294">
        <v>596</v>
      </c>
      <c r="L320" s="294">
        <v>546</v>
      </c>
      <c r="M320" s="38">
        <f t="shared" si="110"/>
        <v>1916</v>
      </c>
      <c r="N320" s="294">
        <v>517</v>
      </c>
      <c r="O320" s="294">
        <v>413</v>
      </c>
      <c r="P320" s="294">
        <v>302</v>
      </c>
      <c r="Q320" s="38">
        <f t="shared" si="111"/>
        <v>1232</v>
      </c>
      <c r="R320" s="38">
        <f t="shared" si="112"/>
        <v>6164</v>
      </c>
    </row>
    <row r="321" spans="1:18" ht="16.5" customHeight="1" thickBot="1" x14ac:dyDescent="0.35">
      <c r="A321" s="44"/>
      <c r="B321" s="313"/>
      <c r="C321" s="313"/>
      <c r="D321" s="313"/>
      <c r="E321" s="39"/>
      <c r="F321" s="313"/>
      <c r="G321" s="313"/>
      <c r="H321" s="313"/>
      <c r="I321" s="37"/>
      <c r="J321" s="313"/>
      <c r="K321" s="313"/>
      <c r="L321" s="313"/>
      <c r="M321" s="37"/>
      <c r="N321" s="313"/>
      <c r="O321" s="313"/>
      <c r="P321" s="313"/>
      <c r="Q321" s="37"/>
      <c r="R321" s="37" t="s">
        <v>852</v>
      </c>
    </row>
    <row r="322" spans="1:18" ht="15.75" customHeight="1" x14ac:dyDescent="0.3">
      <c r="A322" s="259" t="s">
        <v>2011</v>
      </c>
      <c r="B322" s="741">
        <f>SUM(B314:B320)</f>
        <v>91871</v>
      </c>
      <c r="C322" s="741">
        <f>SUM(C314:C320)</f>
        <v>66202</v>
      </c>
      <c r="D322" s="741">
        <f>SUM(D314:D320)</f>
        <v>67006</v>
      </c>
      <c r="E322" s="39">
        <f>SUM(B322:D322)</f>
        <v>225079</v>
      </c>
      <c r="F322" s="741">
        <f>SUM(F314:F320)</f>
        <v>39651</v>
      </c>
      <c r="G322" s="741">
        <f>SUM(G314:G320)</f>
        <v>53913</v>
      </c>
      <c r="H322" s="741">
        <f>SUM(H314:H320)</f>
        <v>56104</v>
      </c>
      <c r="I322" s="39">
        <f>SUM(F322:H322)</f>
        <v>149668</v>
      </c>
      <c r="J322" s="741">
        <f>SUM(J314:J320)</f>
        <v>50418</v>
      </c>
      <c r="K322" s="741">
        <f>SUM(K314:K320)</f>
        <v>48594</v>
      </c>
      <c r="L322" s="741">
        <f>SUM(L314:L320)</f>
        <v>42711</v>
      </c>
      <c r="M322" s="39">
        <f>SUM(J322:L322)</f>
        <v>141723</v>
      </c>
      <c r="N322" s="741">
        <f>SUM(N314:N320)</f>
        <v>101963</v>
      </c>
      <c r="O322" s="741">
        <f>SUM(O314:O320)</f>
        <v>113916</v>
      </c>
      <c r="P322" s="741">
        <f>SUM(P314:P320)</f>
        <v>51861</v>
      </c>
      <c r="Q322" s="742">
        <f>SUM(N322:P322)</f>
        <v>267740</v>
      </c>
      <c r="R322" s="39">
        <f>+E322+I322+M322+Q322</f>
        <v>784210</v>
      </c>
    </row>
    <row r="323" spans="1:18" ht="15.75" customHeight="1" x14ac:dyDescent="0.3">
      <c r="A323" s="262" t="s">
        <v>1897</v>
      </c>
      <c r="B323" s="10">
        <f>(B322/B10)/1.983</f>
        <v>1494.4935174792183</v>
      </c>
      <c r="C323" s="10">
        <f>(C322/C10)/1.983</f>
        <v>1192.3132339168646</v>
      </c>
      <c r="D323" s="10">
        <f>(D322/D10)/1.983</f>
        <v>1090.0069949408683</v>
      </c>
      <c r="E323" s="38" t="s">
        <v>852</v>
      </c>
      <c r="F323" s="10">
        <f>(F322/F10)/1.983</f>
        <v>666.51538073625818</v>
      </c>
      <c r="G323" s="10">
        <f>(G322/G10)/1.983</f>
        <v>877.01917915182275</v>
      </c>
      <c r="H323" s="10">
        <f>(H322/H10)/1.983</f>
        <v>943.08287107076819</v>
      </c>
      <c r="I323" s="38" t="s">
        <v>852</v>
      </c>
      <c r="J323" s="10">
        <f>(J322/J10)/1.983</f>
        <v>820.16495046605826</v>
      </c>
      <c r="K323" s="10">
        <f>(K322/K10)/1.983</f>
        <v>790.49338734078367</v>
      </c>
      <c r="L323" s="10">
        <f>(L322/L10)/1.983</f>
        <v>717.95259707513867</v>
      </c>
      <c r="M323" s="38" t="s">
        <v>852</v>
      </c>
      <c r="N323" s="10">
        <f>(N322/N10)/1.983</f>
        <v>1658.663152928928</v>
      </c>
      <c r="O323" s="10">
        <f>(O322/O10)/1.983</f>
        <v>1914.8764498234996</v>
      </c>
      <c r="P323" s="10">
        <f>(P322/P10)/1.983</f>
        <v>843.63867063588896</v>
      </c>
      <c r="Q323" s="50" t="s">
        <v>852</v>
      </c>
      <c r="R323" s="38" t="s">
        <v>852</v>
      </c>
    </row>
    <row r="324" spans="1:18" ht="15.75" customHeight="1" x14ac:dyDescent="0.3">
      <c r="A324" s="262" t="s">
        <v>154</v>
      </c>
      <c r="B324" s="10">
        <f>(+B322+B513)+B331</f>
        <v>139329</v>
      </c>
      <c r="C324" s="10">
        <f>(+C322+C513)+C331</f>
        <v>125231</v>
      </c>
      <c r="D324" s="10">
        <f>(+D322+D513)+D331</f>
        <v>152057</v>
      </c>
      <c r="E324" s="38">
        <f>SUM(B324:D324)</f>
        <v>416617</v>
      </c>
      <c r="F324" s="10">
        <f>(+F322+F513)+F331</f>
        <v>150506</v>
      </c>
      <c r="G324" s="10">
        <f>(+G322+G513)+G331</f>
        <v>162891</v>
      </c>
      <c r="H324" s="10">
        <f>(+H322+H513)+H331</f>
        <v>87419</v>
      </c>
      <c r="I324" s="38">
        <f>SUM(F324:H324)</f>
        <v>400816</v>
      </c>
      <c r="J324" s="10">
        <f>(+J322+J513)+J331</f>
        <v>42299</v>
      </c>
      <c r="K324" s="10">
        <f>(+K322+K513)+K331</f>
        <v>44111</v>
      </c>
      <c r="L324" s="10">
        <f>(+L322+L513)+L331</f>
        <v>116647</v>
      </c>
      <c r="M324" s="38">
        <f>SUM(J324:L324)</f>
        <v>203057</v>
      </c>
      <c r="N324" s="10">
        <f>(+N322+N513)+N331</f>
        <v>159065</v>
      </c>
      <c r="O324" s="10">
        <f>(+O322+O513)+O331</f>
        <v>152884</v>
      </c>
      <c r="P324" s="10">
        <f>(+P322+P513)+P331</f>
        <v>75630</v>
      </c>
      <c r="Q324" s="50">
        <f>SUM(N324:P324)</f>
        <v>387579</v>
      </c>
      <c r="R324" s="38">
        <f>+E324+I324+M324+Q324</f>
        <v>1408069</v>
      </c>
    </row>
    <row r="325" spans="1:18" ht="16.5" customHeight="1" thickBot="1" x14ac:dyDescent="0.35">
      <c r="A325" s="263" t="s">
        <v>2110</v>
      </c>
      <c r="B325" s="315">
        <f>(B324/B10)/1.983</f>
        <v>2266.5072470840855</v>
      </c>
      <c r="C325" s="315">
        <f>(C324/C10)/1.983</f>
        <v>2255.4390894027811</v>
      </c>
      <c r="D325" s="315">
        <f>(D324/D10)/1.983</f>
        <v>2473.5574967872071</v>
      </c>
      <c r="E325" s="40" t="s">
        <v>852</v>
      </c>
      <c r="F325" s="315">
        <f>(F324/F10)/1.983</f>
        <v>2529.9378046730544</v>
      </c>
      <c r="G325" s="315">
        <f>(G324/G10)/1.983</f>
        <v>2649.797472060905</v>
      </c>
      <c r="H325" s="315">
        <f>(H324/H10)/1.983</f>
        <v>1469.473861153135</v>
      </c>
      <c r="I325" s="40" t="s">
        <v>852</v>
      </c>
      <c r="J325" s="315">
        <f>(J324/J10)/1.983</f>
        <v>688.09070648902764</v>
      </c>
      <c r="K325" s="315">
        <f>(K324/K10)/1.983</f>
        <v>717.56706196216226</v>
      </c>
      <c r="L325" s="315">
        <f>(L324/L10)/1.983</f>
        <v>1960.7833249285593</v>
      </c>
      <c r="M325" s="40" t="s">
        <v>852</v>
      </c>
      <c r="N325" s="315">
        <f>(N324/N10)/1.983</f>
        <v>2587.5587656369462</v>
      </c>
      <c r="O325" s="315">
        <f>(O324/O10)/1.983</f>
        <v>2569.9109093965371</v>
      </c>
      <c r="P325" s="315">
        <f>(P324/P10)/1.983</f>
        <v>1230.2962276121223</v>
      </c>
      <c r="Q325" s="51" t="s">
        <v>852</v>
      </c>
      <c r="R325" s="40" t="s">
        <v>852</v>
      </c>
    </row>
    <row r="326" spans="1:18" ht="16.5" customHeight="1" thickBot="1" x14ac:dyDescent="0.35">
      <c r="A326" s="271" t="s">
        <v>1700</v>
      </c>
      <c r="B326" s="229">
        <f>+(B324-(B144+B145+B146+B147+B148+B151+B153+B154+B157+B158+B159+B162+B164+B167++B173+B174+B177+B178+B180+B181+B182+B183+B184+B191+B195+B196+B197+B208+B211+B213+B214+B221+B228+B229+B231+B232+B233+B239+B246+B248+B249+B250+B251+B253+B254+B255+B263+B271+B272+B275+B285+B297+B298+B300+B301+B304+B305+B309+B315+B319+B327)-B331)/(B10*1.983)</f>
        <v>1007.4666926943535</v>
      </c>
      <c r="C326" s="229">
        <f>+(C324-(C144+C145+C146+C147+C148+C151+C153+C154+C157+C158+C159+C162+C164+C167++C173+C174+C177+C178+C180+C181+C182+C183+C184+C191+C195+C196+C197+C208+C211+C213+C214+C221+C228+C229+C231+C232+C233+C239+C246+C248+C249+C250+C251+C253+C254+C255+C263+C271+C272+C275+C285+C297+C298+C300+C301+C304+C305+C309+C315+C319+C327)-C331)/(C10*1.983)</f>
        <v>1324.7244434838988</v>
      </c>
      <c r="D326" s="229">
        <f>+(D324-(D144+D145+D146+D147+D148+D151+D153+D154+D157+D158+D159+D162+D164+D167++D173+D174+D177+D178+D180+D181+D182+D183+D184+D191+D195+D196+D197+D208+D211+D213+D214+D221+D228+D229+D231+D232+D233+D239+D246+D248+D249+D250+D251+D253+D254+D255+D263+D271+D272+D275+D285+D297+D298+D300+D301+D304+D305+D309+D315+D319+D327)-D331)/(D10*1.983)</f>
        <v>1662.1280887544124</v>
      </c>
      <c r="E326" s="227"/>
      <c r="F326" s="229">
        <f>+(F324-(F144+F145+F146+F147+F148+F151+F153+F154+F157+F158+F159+F162+F164+F167++F173+F174+F177+F178+F180+F181+F182+F183+F184+F191+F195+F196+F197+F208+F211+F213+F214+F221+F228+F229+F231+F232+F233+F239+F246+F248+F249+F250+F251+F253+F254+F255+F263+F271+F272+F275+F285+F297+F298+F300+F301+F304+F305+F309+F315+F319+F327)-F331)/(F10*1.983)</f>
        <v>2274.0124390653891</v>
      </c>
      <c r="G326" s="229">
        <f>+(G324-(G144+G145+G146+G147+G148+G151+G153+G154+G157+G158+G159+G162+G164+G167++G173+G174+G177+G178+G180+G181+G182+G183+G184+G191+G195+G196+G197+G208+G211+G213+G214+G221+G228+G229+G231+G232+G233+G239+G246+G248+G249+G250+G251+G253+G254+G255+G263+G271+G272+G275+G285+G297+G298+G300+G301+G304+G305+G309+G315+G319+G327)-G331)/(G10*1.983)</f>
        <v>2376.5555609779899</v>
      </c>
      <c r="H326" s="229">
        <f>+(H324-(H144+H145+H146+H147+H148+H151+H153+H154+H157+H158+H159+H162+H164+H167++H173+H174+H177+H178+H180+H181+H182+H183+H184+H191+H195+H196+H197+H208+H211+H213+H214+H221+H228+H229+H231+H232+H233+H239+H246+H248+H249+H250+H251+H253+H254+H255+H263+H271+H272+H275+H285+H297+H298+H300+H301+H304+H305+H309+H315+H319+H327)-H331)/(H10*1.983)</f>
        <v>3113.0442091107748</v>
      </c>
      <c r="I326" s="227"/>
      <c r="J326" s="229">
        <f>+(J324-(J144+J145+J146+J147+J148+J151+J153+J154+J157+J158+J159+J162+J164+J167++J173+J174+J177+J178+J180+J181+J182+J183+J184+J191+J195+J196+J197+J208+J211+J213+J214+J221+J228+J229+J231+J232+J233+J239+J246+J248+J249+J250+J251+J253+J254+J255+J263+J271+J272+J275+J285+J297+J298+J300+J301+J304+J305+J309+J315+J319+J327)-J331)/(J10*1.983)</f>
        <v>2462.4143933108844</v>
      </c>
      <c r="K326" s="229">
        <f>+(K324-(K144+K145+K146+K147+K148+K151+K153+K154+K157+K158+K159+K162+K164+K167++K173+K174+K177+K178+K180+K181+K182+K183+K184+K191+K195+K196+K197+K208+K211+K213+K214+K221+K228+K229+K231+K232+K233+K239+K246+K248+K249+K250+K251+K253+K254+K255+K263+K271+K272+K275+K285+K297+K298+K300+K301+K304+K305+K309+K315+K319+K327)-K331)/(K10*1.983)</f>
        <v>2234.7209343939612</v>
      </c>
      <c r="L326" s="229">
        <f>+(L324-(L144+L145+L146+L147+L148+L151+L153+L154+L157+L158+L159+L162+L164+L167++L173+L174+L177+L178+L180+L181+L182+L183+L184+L191+L195+L196+L197+L208+L211+L213+L214+L221+L228+L229+L231+L232+L233+L239+L246+L248+L249+L250+L251+L253+L254+L255+L263+L271+L272+L275+L285+L297+L298+L300+L301+L304+L305+L309+L315+L319+L327)-L331)/(L10*1.983)</f>
        <v>1708.5224407463438</v>
      </c>
      <c r="M326" s="227"/>
      <c r="N326" s="229">
        <f>+(N324-(N144+N145+N146+N147+N148+N151+N153+N154+N157+N158+N159+N162+N164+N167++N173+N174+N177+N178+N180+N181+N182+N183+N184+N191+N195+N196+N197+N208+N211+N213+N214+N221+N228+N229+N231+N232+N233+N239+N246+N248+N249+N250+N251+N253+N254+N255+N263+N271+N272+N275+N285+N297+N298+N300+N301+N304+N305+N309+N315+N319+N327)-N331)/(N10*1.983)</f>
        <v>1346.7050575049207</v>
      </c>
      <c r="O326" s="229">
        <f>+(O324-(O144+O145+O146+O147+O148+O151+O153+O154+O157+O158+O159+O162+O164+O167++O173+O174+O177+O178+O180+O181+O182+O183+O184+O191+O195+O196+O197+O208+O211+O213+O214+O221+O228+O229+O231+O232+O233+O239+O246+O248+O249+O250+O251+O253+O254+O255+O263+O271+O272+O275+O285+O297+O298+O300+O301+O304+O305+O309+O315+O319+O327)-O331)/(O10*1.983)</f>
        <v>1035.3504790721129</v>
      </c>
      <c r="P326" s="229">
        <f>+(P324-(P144+P145+P146+P147+P148+P151+P153+P154+P157+P158+P159+P162+P164+P167++P173+P174+P177+P178+P180+P181+P182+P183+P184+P191+P195+P196+P197+P208+P211+P213+P214+P221+P228+P229+P231+P232+P233+P239+P246+P248+P249+P250+P251+P253+P254+P255+P263+P271+P272+P275+P285+P297+P298+P300+P301+P304+P305+P309+P315+P319+P327)-P331)/(P10*1.983)</f>
        <v>739.28391326273311</v>
      </c>
      <c r="Q326" s="228"/>
      <c r="R326" s="227"/>
    </row>
    <row r="327" spans="1:18" ht="15.75" customHeight="1" x14ac:dyDescent="0.3">
      <c r="A327" s="541" t="s">
        <v>2272</v>
      </c>
      <c r="B327" s="10">
        <v>3568</v>
      </c>
      <c r="C327" s="10">
        <v>3222</v>
      </c>
      <c r="D327" s="10">
        <v>2378</v>
      </c>
      <c r="E327" s="17">
        <f>SUM(B327:D327)</f>
        <v>9168</v>
      </c>
      <c r="F327" s="10">
        <v>2302</v>
      </c>
      <c r="G327" s="10">
        <v>2378</v>
      </c>
      <c r="H327" s="10">
        <v>2302</v>
      </c>
      <c r="I327" s="17">
        <f>SUM(F327:H327)</f>
        <v>6982</v>
      </c>
      <c r="J327" s="10">
        <v>2474</v>
      </c>
      <c r="K327" s="10">
        <v>2474</v>
      </c>
      <c r="L327" s="10">
        <v>2394</v>
      </c>
      <c r="M327" s="17">
        <f t="shared" ref="M327" si="117">SUM(J327:L327)</f>
        <v>7342</v>
      </c>
      <c r="N327" s="10">
        <v>2474</v>
      </c>
      <c r="O327" s="10">
        <v>2394</v>
      </c>
      <c r="P327" s="10">
        <v>2474</v>
      </c>
      <c r="Q327" s="17">
        <f t="shared" ref="Q327" si="118">SUM(N327:P327)</f>
        <v>7342</v>
      </c>
      <c r="R327" s="17">
        <f t="shared" ref="R327" si="119">+E327+I327+M327+Q327</f>
        <v>30834</v>
      </c>
    </row>
    <row r="328" spans="1:18" ht="15.75" customHeight="1" thickBot="1" x14ac:dyDescent="0.35">
      <c r="A328" s="18"/>
      <c r="B328" s="10"/>
      <c r="C328" s="10"/>
      <c r="D328" s="10"/>
      <c r="E328" s="10"/>
      <c r="F328" s="10"/>
      <c r="G328" s="10"/>
      <c r="H328" s="10"/>
      <c r="I328" s="10"/>
      <c r="J328" s="10"/>
      <c r="K328" s="10"/>
      <c r="L328" s="10"/>
      <c r="M328" s="10"/>
      <c r="N328" s="10"/>
      <c r="O328" s="10"/>
      <c r="P328" s="10"/>
      <c r="Q328" s="10"/>
      <c r="R328" s="17"/>
    </row>
    <row r="329" spans="1:18" ht="16.5" customHeight="1" thickBot="1" x14ac:dyDescent="0.35">
      <c r="A329" s="240" t="s">
        <v>1754</v>
      </c>
      <c r="B329" s="4" t="s">
        <v>2090</v>
      </c>
      <c r="C329" s="5" t="s">
        <v>2091</v>
      </c>
      <c r="D329" s="5" t="s">
        <v>2234</v>
      </c>
      <c r="E329" s="33" t="s">
        <v>1594</v>
      </c>
      <c r="F329" s="5" t="s">
        <v>2235</v>
      </c>
      <c r="G329" s="5" t="s">
        <v>2236</v>
      </c>
      <c r="H329" s="5" t="s">
        <v>2237</v>
      </c>
      <c r="I329" s="35" t="s">
        <v>1595</v>
      </c>
      <c r="J329" s="5" t="s">
        <v>1504</v>
      </c>
      <c r="K329" s="5" t="s">
        <v>1505</v>
      </c>
      <c r="L329" s="5" t="s">
        <v>1506</v>
      </c>
      <c r="M329" s="35" t="s">
        <v>1596</v>
      </c>
      <c r="N329" s="5" t="s">
        <v>1507</v>
      </c>
      <c r="O329" s="5" t="s">
        <v>1508</v>
      </c>
      <c r="P329" s="5" t="s">
        <v>1509</v>
      </c>
      <c r="Q329" s="35" t="s">
        <v>1597</v>
      </c>
      <c r="R329" s="36" t="s">
        <v>1510</v>
      </c>
    </row>
    <row r="330" spans="1:18" ht="16.5" customHeight="1" thickBot="1" x14ac:dyDescent="0.35">
      <c r="A330" s="44"/>
      <c r="B330" s="313"/>
      <c r="C330" s="313"/>
      <c r="D330" s="313"/>
      <c r="E330" s="316"/>
      <c r="F330" s="313"/>
      <c r="G330" s="313"/>
      <c r="H330" s="313"/>
      <c r="I330" s="316"/>
      <c r="J330" s="313"/>
      <c r="K330" s="313"/>
      <c r="L330" s="313"/>
      <c r="M330" s="316"/>
      <c r="N330" s="313"/>
      <c r="O330" s="313"/>
      <c r="P330" s="313"/>
      <c r="Q330" s="316"/>
      <c r="R330" s="52"/>
    </row>
    <row r="331" spans="1:18" ht="15.75" customHeight="1" thickBot="1" x14ac:dyDescent="0.35">
      <c r="A331" s="310" t="s">
        <v>1000</v>
      </c>
      <c r="B331" s="10"/>
      <c r="C331" s="10"/>
      <c r="D331" s="10"/>
      <c r="E331" s="38">
        <f>SUM(B331:D331)</f>
        <v>0</v>
      </c>
      <c r="F331" s="10"/>
      <c r="G331" s="10"/>
      <c r="H331" s="10">
        <v>-113000</v>
      </c>
      <c r="I331" s="38">
        <f>SUM(F331:H331)</f>
        <v>-113000</v>
      </c>
      <c r="J331" s="356">
        <v>-124000</v>
      </c>
      <c r="K331" s="10">
        <v>-107000</v>
      </c>
      <c r="L331" s="356"/>
      <c r="M331" s="38">
        <f>SUM(J331:L331)</f>
        <v>-231000</v>
      </c>
      <c r="N331" s="10"/>
      <c r="O331" s="10"/>
      <c r="P331" s="10"/>
      <c r="Q331" s="38">
        <f>SUM(N331:P331)</f>
        <v>0</v>
      </c>
      <c r="R331" s="38">
        <f>+E331+I331+M331+Q331</f>
        <v>-344000</v>
      </c>
    </row>
    <row r="332" spans="1:18" ht="16.5" customHeight="1" thickBot="1" x14ac:dyDescent="0.35">
      <c r="A332" s="272"/>
      <c r="B332" s="321"/>
      <c r="C332" s="321"/>
      <c r="D332" s="321"/>
      <c r="E332" s="53"/>
      <c r="F332" s="321"/>
      <c r="G332" s="321"/>
      <c r="H332" s="321"/>
      <c r="I332" s="53"/>
      <c r="J332" s="321"/>
      <c r="K332" s="321"/>
      <c r="L332" s="321"/>
      <c r="M332" s="53"/>
      <c r="N332" s="321"/>
      <c r="O332" s="321"/>
      <c r="P332" s="321"/>
      <c r="Q332" s="53"/>
      <c r="R332" s="54"/>
    </row>
    <row r="333" spans="1:18" ht="15.75" customHeight="1" x14ac:dyDescent="0.3">
      <c r="A333" s="234" t="s">
        <v>662</v>
      </c>
      <c r="B333" s="10">
        <f>B331</f>
        <v>0</v>
      </c>
      <c r="C333" s="10">
        <f>C331</f>
        <v>0</v>
      </c>
      <c r="D333" s="10">
        <f>D331</f>
        <v>0</v>
      </c>
      <c r="E333" s="38">
        <f>SUM(B333:D333)</f>
        <v>0</v>
      </c>
      <c r="F333" s="10">
        <f>F331</f>
        <v>0</v>
      </c>
      <c r="G333" s="10">
        <f>G331</f>
        <v>0</v>
      </c>
      <c r="H333" s="10">
        <f>H331</f>
        <v>-113000</v>
      </c>
      <c r="I333" s="38">
        <f>SUM(F333:H333)</f>
        <v>-113000</v>
      </c>
      <c r="J333" s="10">
        <f>J331</f>
        <v>-124000</v>
      </c>
      <c r="K333" s="10">
        <f>K331</f>
        <v>-107000</v>
      </c>
      <c r="L333" s="10">
        <f>L331</f>
        <v>0</v>
      </c>
      <c r="M333" s="38">
        <f>SUM(J333:L333)</f>
        <v>-231000</v>
      </c>
      <c r="N333" s="10">
        <f>N331</f>
        <v>0</v>
      </c>
      <c r="O333" s="10">
        <f>O331</f>
        <v>0</v>
      </c>
      <c r="P333" s="10">
        <f>P331</f>
        <v>0</v>
      </c>
      <c r="Q333" s="38">
        <f>SUM(N333:P333)</f>
        <v>0</v>
      </c>
      <c r="R333" s="55">
        <f>R331</f>
        <v>-344000</v>
      </c>
    </row>
    <row r="334" spans="1:18" ht="16.5" customHeight="1" thickBot="1" x14ac:dyDescent="0.35">
      <c r="A334" s="237" t="s">
        <v>1897</v>
      </c>
      <c r="B334" s="294">
        <f>(B333/B10)/1.983</f>
        <v>0</v>
      </c>
      <c r="C334" s="294">
        <f>(C333/C10)/1.983</f>
        <v>0</v>
      </c>
      <c r="D334" s="294">
        <f>(D333/D10)/1.983</f>
        <v>0</v>
      </c>
      <c r="E334" s="40"/>
      <c r="F334" s="294">
        <f>(F333/F10)/1.983</f>
        <v>0</v>
      </c>
      <c r="G334" s="294">
        <f>(G333/G10)/1.983</f>
        <v>0</v>
      </c>
      <c r="H334" s="294">
        <f>(H333/H10)/1.983</f>
        <v>-1899.4789040174817</v>
      </c>
      <c r="I334" s="40"/>
      <c r="J334" s="294">
        <f>(J333/J10)/1.983</f>
        <v>-2017.1457387796268</v>
      </c>
      <c r="K334" s="294">
        <f>(K333/K10)/1.983</f>
        <v>-1740.601564914678</v>
      </c>
      <c r="L334" s="294">
        <f>(L333/L10)/1.983</f>
        <v>0</v>
      </c>
      <c r="M334" s="40"/>
      <c r="N334" s="294">
        <f>(N333/N10)/1.983</f>
        <v>0</v>
      </c>
      <c r="O334" s="294">
        <f>(O333/O10)/1.983</f>
        <v>0</v>
      </c>
      <c r="P334" s="294">
        <f>(P333/P10)/1.983</f>
        <v>0</v>
      </c>
      <c r="Q334" s="40"/>
      <c r="R334" s="52" t="s">
        <v>852</v>
      </c>
    </row>
    <row r="335" spans="1:18" ht="15.75" customHeight="1" x14ac:dyDescent="0.3">
      <c r="A335" s="17"/>
      <c r="B335" s="10"/>
      <c r="C335" s="10"/>
      <c r="D335" s="10"/>
      <c r="E335" s="10"/>
      <c r="F335" s="10"/>
      <c r="G335" s="10"/>
      <c r="H335" s="10"/>
      <c r="I335" s="10"/>
      <c r="J335" s="10"/>
      <c r="K335" s="10"/>
      <c r="L335" s="10"/>
      <c r="M335" s="10"/>
      <c r="N335" s="10"/>
      <c r="O335" s="10"/>
      <c r="P335" s="10"/>
      <c r="Q335" s="10"/>
      <c r="R335" s="17"/>
    </row>
    <row r="336" spans="1:18" ht="16.5" customHeight="1" thickBot="1" x14ac:dyDescent="0.35">
      <c r="A336" s="24"/>
      <c r="B336" s="294"/>
      <c r="C336" s="294"/>
      <c r="D336" s="294"/>
      <c r="E336" s="294"/>
      <c r="F336" s="294"/>
      <c r="G336" s="294"/>
      <c r="H336" s="294"/>
      <c r="I336" s="294"/>
      <c r="J336" s="294"/>
      <c r="K336" s="294"/>
      <c r="L336" s="294"/>
      <c r="M336" s="294"/>
      <c r="N336" s="294"/>
      <c r="O336" s="294"/>
      <c r="P336" s="294"/>
      <c r="Q336" s="294"/>
      <c r="R336" s="24"/>
    </row>
    <row r="337" spans="1:20" ht="16.5" customHeight="1" thickBot="1" x14ac:dyDescent="0.35">
      <c r="A337" s="274" t="s">
        <v>89</v>
      </c>
      <c r="B337" s="4" t="s">
        <v>2090</v>
      </c>
      <c r="C337" s="5" t="s">
        <v>2091</v>
      </c>
      <c r="D337" s="5" t="s">
        <v>2234</v>
      </c>
      <c r="E337" s="33" t="s">
        <v>1594</v>
      </c>
      <c r="F337" s="5" t="s">
        <v>2235</v>
      </c>
      <c r="G337" s="5" t="s">
        <v>2236</v>
      </c>
      <c r="H337" s="5" t="s">
        <v>2237</v>
      </c>
      <c r="I337" s="35" t="s">
        <v>1595</v>
      </c>
      <c r="J337" s="5" t="s">
        <v>1504</v>
      </c>
      <c r="K337" s="5" t="s">
        <v>1505</v>
      </c>
      <c r="L337" s="5" t="s">
        <v>1506</v>
      </c>
      <c r="M337" s="35" t="s">
        <v>1596</v>
      </c>
      <c r="N337" s="5" t="s">
        <v>1507</v>
      </c>
      <c r="O337" s="5" t="s">
        <v>1508</v>
      </c>
      <c r="P337" s="5" t="s">
        <v>1509</v>
      </c>
      <c r="Q337" s="35" t="s">
        <v>1597</v>
      </c>
      <c r="R337" s="36" t="s">
        <v>1510</v>
      </c>
    </row>
    <row r="338" spans="1:20" ht="16.5" customHeight="1" thickBot="1" x14ac:dyDescent="0.35">
      <c r="A338" s="37"/>
      <c r="B338" s="313"/>
      <c r="C338" s="313"/>
      <c r="D338" s="313"/>
      <c r="E338" s="308"/>
      <c r="F338" s="313"/>
      <c r="G338" s="313"/>
      <c r="H338" s="313"/>
      <c r="I338" s="316"/>
      <c r="J338" s="313"/>
      <c r="K338" s="313"/>
      <c r="L338" s="313"/>
      <c r="M338" s="316"/>
      <c r="N338" s="313"/>
      <c r="O338" s="313"/>
      <c r="P338" s="313"/>
      <c r="Q338" s="316"/>
      <c r="R338" s="55"/>
    </row>
    <row r="339" spans="1:20" ht="15.75" customHeight="1" x14ac:dyDescent="0.3">
      <c r="A339" s="234" t="s">
        <v>2417</v>
      </c>
      <c r="B339" s="10"/>
      <c r="C339" s="10"/>
      <c r="D339" s="10"/>
      <c r="E339" s="38" t="s">
        <v>852</v>
      </c>
      <c r="F339" s="10" t="s">
        <v>852</v>
      </c>
      <c r="G339" s="10" t="s">
        <v>852</v>
      </c>
      <c r="H339" s="10" t="s">
        <v>852</v>
      </c>
      <c r="I339" s="38" t="s">
        <v>852</v>
      </c>
      <c r="J339" s="10" t="s">
        <v>852</v>
      </c>
      <c r="K339" s="10" t="s">
        <v>852</v>
      </c>
      <c r="L339" s="10" t="s">
        <v>852</v>
      </c>
      <c r="M339" s="38" t="s">
        <v>852</v>
      </c>
      <c r="N339" s="10" t="s">
        <v>852</v>
      </c>
      <c r="O339" s="10" t="s">
        <v>852</v>
      </c>
      <c r="P339" s="10" t="s">
        <v>852</v>
      </c>
      <c r="Q339" s="38" t="s">
        <v>852</v>
      </c>
      <c r="R339" s="39" t="s">
        <v>852</v>
      </c>
    </row>
    <row r="340" spans="1:20" ht="15.75" customHeight="1" x14ac:dyDescent="0.3">
      <c r="A340" s="234" t="s">
        <v>2160</v>
      </c>
      <c r="B340" s="10"/>
      <c r="C340" s="10"/>
      <c r="D340" s="10"/>
      <c r="E340" s="38" t="s">
        <v>852</v>
      </c>
      <c r="F340" s="10"/>
      <c r="G340" s="10"/>
      <c r="H340" s="10"/>
      <c r="I340" s="38" t="s">
        <v>852</v>
      </c>
      <c r="J340" s="10"/>
      <c r="K340" s="10"/>
      <c r="L340" s="10"/>
      <c r="M340" s="38" t="s">
        <v>852</v>
      </c>
      <c r="N340" s="10"/>
      <c r="O340" s="10"/>
      <c r="P340" s="10"/>
      <c r="Q340" s="38" t="s">
        <v>852</v>
      </c>
      <c r="R340" s="38" t="s">
        <v>852</v>
      </c>
    </row>
    <row r="341" spans="1:20" ht="15.75" customHeight="1" x14ac:dyDescent="0.3">
      <c r="A341" s="410" t="s">
        <v>2869</v>
      </c>
      <c r="B341" s="10"/>
      <c r="C341" s="10"/>
      <c r="D341" s="10"/>
      <c r="E341" s="38">
        <f t="shared" ref="E341:E371" si="120">SUM(B341:D341)</f>
        <v>0</v>
      </c>
      <c r="F341" s="10"/>
      <c r="G341" s="10"/>
      <c r="H341" s="10">
        <v>8</v>
      </c>
      <c r="I341" s="38">
        <f t="shared" ref="I341:I371" si="121">SUM(F341:H341)</f>
        <v>8</v>
      </c>
      <c r="J341" s="10">
        <f>1+2+135</f>
        <v>138</v>
      </c>
      <c r="K341" s="10">
        <f>1+2+135</f>
        <v>138</v>
      </c>
      <c r="L341" s="10">
        <f>1+2+130</f>
        <v>133</v>
      </c>
      <c r="M341" s="38">
        <f t="shared" ref="M341:M371" si="122">SUM(J341:L341)</f>
        <v>409</v>
      </c>
      <c r="N341" s="10">
        <f>1+2+135</f>
        <v>138</v>
      </c>
      <c r="O341" s="10">
        <f>1+2+130</f>
        <v>133</v>
      </c>
      <c r="P341" s="10">
        <f>1+2+135</f>
        <v>138</v>
      </c>
      <c r="Q341" s="38">
        <f t="shared" ref="Q341:Q375" si="123">SUM(N341:P341)</f>
        <v>409</v>
      </c>
      <c r="R341" s="38">
        <f t="shared" ref="R341:R375" si="124">+E341+I341+M341+Q341</f>
        <v>826</v>
      </c>
      <c r="T341" t="s">
        <v>2870</v>
      </c>
    </row>
    <row r="342" spans="1:20" ht="15.75" customHeight="1" x14ac:dyDescent="0.3">
      <c r="A342" s="410" t="s">
        <v>2993</v>
      </c>
      <c r="B342" s="10"/>
      <c r="C342" s="10"/>
      <c r="D342" s="10"/>
      <c r="E342" s="38">
        <f t="shared" si="120"/>
        <v>0</v>
      </c>
      <c r="F342" s="10"/>
      <c r="G342" s="10"/>
      <c r="H342" s="10">
        <v>800</v>
      </c>
      <c r="I342" s="38">
        <f t="shared" si="121"/>
        <v>800</v>
      </c>
      <c r="J342" s="10"/>
      <c r="K342" s="10"/>
      <c r="L342" s="10"/>
      <c r="M342" s="38">
        <f t="shared" si="122"/>
        <v>0</v>
      </c>
      <c r="N342" s="10"/>
      <c r="O342" s="10"/>
      <c r="P342" s="10"/>
      <c r="Q342" s="38">
        <f t="shared" si="123"/>
        <v>0</v>
      </c>
      <c r="R342" s="38">
        <f t="shared" si="124"/>
        <v>800</v>
      </c>
    </row>
    <row r="343" spans="1:20" ht="15.75" customHeight="1" x14ac:dyDescent="0.3">
      <c r="A343" s="410" t="s">
        <v>349</v>
      </c>
      <c r="B343" s="10"/>
      <c r="C343" s="10"/>
      <c r="D343" s="10"/>
      <c r="E343" s="38">
        <f t="shared" si="120"/>
        <v>0</v>
      </c>
      <c r="F343" s="10"/>
      <c r="G343" s="10"/>
      <c r="H343" s="10"/>
      <c r="I343" s="38">
        <f t="shared" si="121"/>
        <v>0</v>
      </c>
      <c r="J343" s="10"/>
      <c r="K343" s="10"/>
      <c r="L343" s="10"/>
      <c r="M343" s="38">
        <f t="shared" si="122"/>
        <v>0</v>
      </c>
      <c r="N343" s="10"/>
      <c r="O343" s="10"/>
      <c r="P343" s="10"/>
      <c r="Q343" s="38">
        <f t="shared" si="123"/>
        <v>0</v>
      </c>
      <c r="R343" s="38">
        <f t="shared" si="124"/>
        <v>0</v>
      </c>
      <c r="T343" t="s">
        <v>2174</v>
      </c>
    </row>
    <row r="344" spans="1:20" ht="15.75" customHeight="1" x14ac:dyDescent="0.3">
      <c r="A344" s="410" t="s">
        <v>3238</v>
      </c>
      <c r="B344" s="10"/>
      <c r="C344" s="10"/>
      <c r="D344" s="10">
        <v>100</v>
      </c>
      <c r="E344" s="38">
        <f>SUM(B344:D344)</f>
        <v>100</v>
      </c>
      <c r="F344" s="10"/>
      <c r="G344" s="10"/>
      <c r="H344" s="10"/>
      <c r="I344" s="38">
        <f t="shared" ref="I344" si="125">SUM(F344:H344)</f>
        <v>0</v>
      </c>
      <c r="J344" s="10"/>
      <c r="K344" s="10"/>
      <c r="L344" s="10"/>
      <c r="M344" s="38">
        <f t="shared" ref="M344" si="126">SUM(J344:L344)</f>
        <v>0</v>
      </c>
      <c r="N344" s="10"/>
      <c r="O344" s="10">
        <v>100</v>
      </c>
      <c r="P344" s="10">
        <v>50</v>
      </c>
      <c r="Q344" s="38">
        <f t="shared" ref="Q344" si="127">SUM(N344:P344)</f>
        <v>150</v>
      </c>
      <c r="R344" s="38">
        <f t="shared" si="124"/>
        <v>250</v>
      </c>
      <c r="T344" t="s">
        <v>2776</v>
      </c>
    </row>
    <row r="345" spans="1:20" ht="15.75" customHeight="1" x14ac:dyDescent="0.3">
      <c r="A345" s="410" t="s">
        <v>3065</v>
      </c>
      <c r="B345" s="10"/>
      <c r="C345" s="10"/>
      <c r="D345" s="10"/>
      <c r="E345" s="38">
        <f t="shared" si="120"/>
        <v>0</v>
      </c>
      <c r="F345" s="10"/>
      <c r="G345" s="10"/>
      <c r="H345" s="10">
        <v>778</v>
      </c>
      <c r="I345" s="38">
        <f t="shared" si="121"/>
        <v>778</v>
      </c>
      <c r="J345" s="10"/>
      <c r="K345" s="10"/>
      <c r="L345" s="10"/>
      <c r="M345" s="38">
        <f t="shared" si="122"/>
        <v>0</v>
      </c>
      <c r="N345" s="10"/>
      <c r="O345" s="10"/>
      <c r="P345" s="10"/>
      <c r="Q345" s="38">
        <f t="shared" si="123"/>
        <v>0</v>
      </c>
      <c r="R345" s="38">
        <f t="shared" si="124"/>
        <v>778</v>
      </c>
      <c r="T345" t="s">
        <v>2776</v>
      </c>
    </row>
    <row r="346" spans="1:20" ht="15.75" customHeight="1" x14ac:dyDescent="0.3">
      <c r="A346" s="410" t="s">
        <v>2983</v>
      </c>
      <c r="B346">
        <v>145</v>
      </c>
      <c r="C346" s="10">
        <v>146</v>
      </c>
      <c r="D346" s="10">
        <v>217</v>
      </c>
      <c r="E346" s="38">
        <f>SUM(B346:D346)</f>
        <v>508</v>
      </c>
      <c r="F346" s="10">
        <v>255</v>
      </c>
      <c r="G346" s="10">
        <v>266</v>
      </c>
      <c r="H346" s="10">
        <f>305+2528</f>
        <v>2833</v>
      </c>
      <c r="I346" s="38">
        <f>SUM(F346:H346)</f>
        <v>3354</v>
      </c>
      <c r="J346" s="10">
        <v>302</v>
      </c>
      <c r="K346" s="10">
        <v>290</v>
      </c>
      <c r="L346" s="10">
        <v>260</v>
      </c>
      <c r="M346" s="38">
        <f t="shared" ref="M346:M352" si="128">SUM(J346:L346)</f>
        <v>852</v>
      </c>
      <c r="N346" s="10">
        <v>240</v>
      </c>
      <c r="O346" s="10">
        <v>196</v>
      </c>
      <c r="P346" s="10">
        <v>178</v>
      </c>
      <c r="Q346" s="38">
        <f>SUM(N346:P346)</f>
        <v>614</v>
      </c>
      <c r="R346" s="38">
        <f t="shared" si="124"/>
        <v>5328</v>
      </c>
      <c r="T346" t="s">
        <v>2174</v>
      </c>
    </row>
    <row r="347" spans="1:20" ht="15.75" customHeight="1" x14ac:dyDescent="0.3">
      <c r="A347" s="410" t="s">
        <v>3066</v>
      </c>
      <c r="B347" s="10"/>
      <c r="C347" s="10"/>
      <c r="D347" s="10"/>
      <c r="E347" s="38">
        <f t="shared" ref="E347:E352" si="129">SUM(B347:D347)</f>
        <v>0</v>
      </c>
      <c r="F347" s="10"/>
      <c r="G347" s="10"/>
      <c r="H347" s="10">
        <v>1750</v>
      </c>
      <c r="I347" s="38">
        <f t="shared" ref="I347:I352" si="130">SUM(F347:H347)</f>
        <v>1750</v>
      </c>
      <c r="J347" s="10"/>
      <c r="K347" s="10"/>
      <c r="L347" s="10"/>
      <c r="M347" s="38">
        <f t="shared" si="128"/>
        <v>0</v>
      </c>
      <c r="N347" s="10"/>
      <c r="O347" s="10"/>
      <c r="P347" s="10"/>
      <c r="Q347" s="38">
        <f>SUM(N347:P347)</f>
        <v>0</v>
      </c>
      <c r="R347" s="38">
        <f t="shared" si="124"/>
        <v>1750</v>
      </c>
      <c r="T347" t="s">
        <v>2776</v>
      </c>
    </row>
    <row r="348" spans="1:20" ht="15.75" customHeight="1" x14ac:dyDescent="0.3">
      <c r="A348" s="410" t="s">
        <v>3393</v>
      </c>
      <c r="B348" s="10"/>
      <c r="C348" s="10"/>
      <c r="D348" s="10">
        <v>100</v>
      </c>
      <c r="E348" s="38">
        <f t="shared" si="129"/>
        <v>100</v>
      </c>
      <c r="F348" s="10"/>
      <c r="G348" s="10"/>
      <c r="H348" s="10"/>
      <c r="I348" s="38">
        <f t="shared" si="130"/>
        <v>0</v>
      </c>
      <c r="J348" s="10"/>
      <c r="K348" s="10"/>
      <c r="L348" s="10"/>
      <c r="M348" s="38">
        <f t="shared" si="128"/>
        <v>0</v>
      </c>
      <c r="N348" s="10"/>
      <c r="O348" s="10">
        <v>100</v>
      </c>
      <c r="P348" s="10">
        <v>50</v>
      </c>
      <c r="Q348" s="38">
        <f>SUM(N348:P348)</f>
        <v>150</v>
      </c>
      <c r="R348" s="38">
        <f t="shared" si="124"/>
        <v>250</v>
      </c>
    </row>
    <row r="349" spans="1:20" ht="15.75" customHeight="1" x14ac:dyDescent="0.3">
      <c r="A349" s="410" t="s">
        <v>2873</v>
      </c>
      <c r="B349" s="10">
        <f>15+66</f>
        <v>81</v>
      </c>
      <c r="C349" s="10">
        <f>15+85</f>
        <v>100</v>
      </c>
      <c r="D349" s="10">
        <f>30+130</f>
        <v>160</v>
      </c>
      <c r="E349" s="38">
        <f t="shared" si="129"/>
        <v>341</v>
      </c>
      <c r="F349" s="10">
        <f>35+202</f>
        <v>237</v>
      </c>
      <c r="G349" s="10">
        <f>40+335</f>
        <v>375</v>
      </c>
      <c r="H349" s="10">
        <f>60+350</f>
        <v>410</v>
      </c>
      <c r="I349" s="38">
        <f t="shared" si="130"/>
        <v>1022</v>
      </c>
      <c r="J349" s="10">
        <f>60+320</f>
        <v>380</v>
      </c>
      <c r="K349" s="10">
        <f>50+295</f>
        <v>345</v>
      </c>
      <c r="L349" s="10">
        <f>40+260</f>
        <v>300</v>
      </c>
      <c r="M349" s="38">
        <f t="shared" si="128"/>
        <v>1025</v>
      </c>
      <c r="N349" s="10">
        <f>35+325</f>
        <v>360</v>
      </c>
      <c r="O349" s="10">
        <f>30+137</f>
        <v>167</v>
      </c>
      <c r="P349" s="10">
        <f>15+112</f>
        <v>127</v>
      </c>
      <c r="Q349" s="38">
        <f>SUM(N349:P349)</f>
        <v>654</v>
      </c>
      <c r="R349" s="38">
        <f>+E349+I349+M349+Q349</f>
        <v>3042</v>
      </c>
      <c r="T349" t="s">
        <v>2871</v>
      </c>
    </row>
    <row r="350" spans="1:20" ht="15.75" customHeight="1" x14ac:dyDescent="0.3">
      <c r="A350" s="410" t="s">
        <v>3045</v>
      </c>
      <c r="B350" s="10"/>
      <c r="C350" s="10"/>
      <c r="D350" s="10"/>
      <c r="E350" s="38">
        <f t="shared" si="129"/>
        <v>0</v>
      </c>
      <c r="F350" s="10"/>
      <c r="G350" s="10"/>
      <c r="H350" s="10">
        <v>1000</v>
      </c>
      <c r="I350" s="38">
        <f t="shared" si="130"/>
        <v>1000</v>
      </c>
      <c r="J350" s="10">
        <v>2243</v>
      </c>
      <c r="K350" s="10"/>
      <c r="L350" s="10"/>
      <c r="M350" s="38">
        <f t="shared" si="128"/>
        <v>2243</v>
      </c>
      <c r="N350" s="10"/>
      <c r="O350" s="10"/>
      <c r="P350" s="10"/>
      <c r="Q350" s="38">
        <f>SUM(N350:P350)</f>
        <v>0</v>
      </c>
      <c r="R350" s="38">
        <f>+E350+I350+M350+Q350</f>
        <v>3243</v>
      </c>
      <c r="T350" t="s">
        <v>2178</v>
      </c>
    </row>
    <row r="351" spans="1:20" ht="15.75" customHeight="1" x14ac:dyDescent="0.3">
      <c r="A351" s="410" t="s">
        <v>3137</v>
      </c>
      <c r="B351" s="10"/>
      <c r="C351" s="10"/>
      <c r="D351" s="10"/>
      <c r="E351" s="38">
        <f t="shared" si="129"/>
        <v>0</v>
      </c>
      <c r="F351" s="10"/>
      <c r="G351" s="10"/>
      <c r="H351" s="10"/>
      <c r="I351" s="38">
        <f t="shared" si="130"/>
        <v>0</v>
      </c>
      <c r="J351" s="10">
        <v>4000</v>
      </c>
      <c r="K351" s="10">
        <v>2500</v>
      </c>
      <c r="L351" s="10"/>
      <c r="M351" s="38">
        <f t="shared" si="128"/>
        <v>6500</v>
      </c>
      <c r="N351" s="10"/>
      <c r="O351" s="10"/>
      <c r="P351" s="10"/>
      <c r="Q351" s="38">
        <f t="shared" ref="Q351" si="131">SUM(N351:P351)</f>
        <v>0</v>
      </c>
      <c r="R351" s="38">
        <f>+E351+I351+M351+Q351</f>
        <v>6500</v>
      </c>
    </row>
    <row r="352" spans="1:20" ht="15.75" customHeight="1" x14ac:dyDescent="0.3">
      <c r="A352" s="410" t="s">
        <v>3255</v>
      </c>
      <c r="B352" s="10">
        <v>500</v>
      </c>
      <c r="C352" s="10">
        <v>500</v>
      </c>
      <c r="D352" s="10">
        <v>1994</v>
      </c>
      <c r="E352" s="38">
        <f t="shared" si="129"/>
        <v>2994</v>
      </c>
      <c r="F352" s="10"/>
      <c r="G352" s="10"/>
      <c r="H352" s="10"/>
      <c r="I352" s="38">
        <f t="shared" si="130"/>
        <v>0</v>
      </c>
      <c r="J352" s="10"/>
      <c r="K352" s="10"/>
      <c r="L352" s="10"/>
      <c r="M352" s="38">
        <f t="shared" si="128"/>
        <v>0</v>
      </c>
      <c r="N352" s="10"/>
      <c r="O352" s="10"/>
      <c r="P352" s="10"/>
      <c r="Q352" s="38">
        <f>SUM(N352:P352)</f>
        <v>0</v>
      </c>
      <c r="R352" s="38">
        <f>+E352+I352+M352+Q352</f>
        <v>2994</v>
      </c>
      <c r="S352" s="736" t="s">
        <v>3213</v>
      </c>
    </row>
    <row r="353" spans="1:20" ht="15.75" customHeight="1" x14ac:dyDescent="0.3">
      <c r="A353" s="410" t="s">
        <v>3147</v>
      </c>
      <c r="B353" s="10"/>
      <c r="C353" s="10"/>
      <c r="D353" s="10"/>
      <c r="E353" s="38">
        <f>SUM(B353:D353)</f>
        <v>0</v>
      </c>
      <c r="F353" s="10"/>
      <c r="G353" s="10"/>
      <c r="H353" s="10"/>
      <c r="I353" s="38">
        <f t="shared" ref="I353:I354" si="132">SUM(F353:H353)</f>
        <v>0</v>
      </c>
      <c r="J353" s="10"/>
      <c r="K353" s="10">
        <v>1000</v>
      </c>
      <c r="L353" s="10"/>
      <c r="M353" s="38">
        <f t="shared" ref="M353:M354" si="133">SUM(J353:L353)</f>
        <v>1000</v>
      </c>
      <c r="N353" s="10"/>
      <c r="O353" s="10"/>
      <c r="P353" s="10"/>
      <c r="Q353" s="38">
        <f t="shared" ref="Q353:Q354" si="134">SUM(N353:P353)</f>
        <v>0</v>
      </c>
      <c r="R353" s="38">
        <f t="shared" ref="R353:R354" si="135">+E353+I353+M353+Q353</f>
        <v>1000</v>
      </c>
    </row>
    <row r="354" spans="1:20" ht="15.75" customHeight="1" x14ac:dyDescent="0.3">
      <c r="A354" s="410" t="s">
        <v>2743</v>
      </c>
      <c r="B354" s="10"/>
      <c r="C354" s="10">
        <v>428</v>
      </c>
      <c r="D354" s="10"/>
      <c r="E354" s="38">
        <f>SUM(B354:D354)</f>
        <v>428</v>
      </c>
      <c r="F354" s="10">
        <v>600</v>
      </c>
      <c r="G354" s="10"/>
      <c r="H354" s="10"/>
      <c r="I354" s="38">
        <f t="shared" si="132"/>
        <v>600</v>
      </c>
      <c r="J354" s="10"/>
      <c r="K354" s="10"/>
      <c r="L354" s="10">
        <v>300</v>
      </c>
      <c r="M354" s="38">
        <f t="shared" si="133"/>
        <v>300</v>
      </c>
      <c r="N354" s="10"/>
      <c r="O354" s="10">
        <v>1000</v>
      </c>
      <c r="P354" s="10"/>
      <c r="Q354" s="38">
        <f t="shared" si="134"/>
        <v>1000</v>
      </c>
      <c r="R354" s="38">
        <f t="shared" si="135"/>
        <v>2328</v>
      </c>
      <c r="T354" t="s">
        <v>1358</v>
      </c>
    </row>
    <row r="355" spans="1:20" ht="15.75" customHeight="1" x14ac:dyDescent="0.3">
      <c r="A355" s="410" t="s">
        <v>2744</v>
      </c>
      <c r="B355" s="10"/>
      <c r="C355" s="10"/>
      <c r="D355" s="10"/>
      <c r="E355" s="38">
        <f t="shared" ref="E355" si="136">SUM(B355:D355)</f>
        <v>0</v>
      </c>
      <c r="F355" s="10"/>
      <c r="G355" s="10"/>
      <c r="H355" s="10"/>
      <c r="I355" s="38">
        <f t="shared" ref="I355" si="137">SUM(F355:H355)</f>
        <v>0</v>
      </c>
      <c r="J355" s="10"/>
      <c r="K355" s="10"/>
      <c r="L355" s="10"/>
      <c r="M355" s="38">
        <f t="shared" ref="M355:M356" si="138">SUM(J355:L355)</f>
        <v>0</v>
      </c>
      <c r="N355" s="10">
        <v>944</v>
      </c>
      <c r="O355" s="10">
        <v>1142</v>
      </c>
      <c r="P355" s="10">
        <v>1142</v>
      </c>
      <c r="Q355" s="38">
        <f t="shared" si="123"/>
        <v>3228</v>
      </c>
      <c r="R355" s="38">
        <f t="shared" si="124"/>
        <v>3228</v>
      </c>
      <c r="T355" t="s">
        <v>2780</v>
      </c>
    </row>
    <row r="356" spans="1:20" ht="15.75" customHeight="1" x14ac:dyDescent="0.3">
      <c r="A356" s="410" t="s">
        <v>3330</v>
      </c>
      <c r="B356" s="10">
        <v>3</v>
      </c>
      <c r="C356" s="10">
        <v>27</v>
      </c>
      <c r="D356" s="10">
        <v>38</v>
      </c>
      <c r="E356" s="38">
        <f>SUM(B356:D356)</f>
        <v>68</v>
      </c>
      <c r="F356" s="10">
        <v>45</v>
      </c>
      <c r="G356" s="10">
        <v>55</v>
      </c>
      <c r="H356" s="10">
        <f>60+1600</f>
        <v>1660</v>
      </c>
      <c r="I356" s="38">
        <f>SUM(F356:H356)</f>
        <v>1760</v>
      </c>
      <c r="J356" s="10">
        <v>60</v>
      </c>
      <c r="K356" s="10">
        <v>50</v>
      </c>
      <c r="L356" s="10">
        <v>36</v>
      </c>
      <c r="M356" s="38">
        <f t="shared" si="138"/>
        <v>146</v>
      </c>
      <c r="N356" s="10">
        <v>70</v>
      </c>
      <c r="O356" s="10">
        <v>22</v>
      </c>
      <c r="P356" s="10">
        <v>25</v>
      </c>
      <c r="Q356" s="38">
        <f t="shared" si="123"/>
        <v>117</v>
      </c>
      <c r="R356" s="38">
        <f t="shared" si="124"/>
        <v>2091</v>
      </c>
    </row>
    <row r="357" spans="1:20" ht="15.75" customHeight="1" x14ac:dyDescent="0.3">
      <c r="A357" s="410" t="s">
        <v>2607</v>
      </c>
      <c r="B357" s="10"/>
      <c r="C357" s="10"/>
      <c r="D357" s="10"/>
      <c r="E357" s="38">
        <f t="shared" si="120"/>
        <v>0</v>
      </c>
      <c r="F357" s="10"/>
      <c r="G357" s="10"/>
      <c r="H357" s="10"/>
      <c r="I357" s="38">
        <f t="shared" si="121"/>
        <v>0</v>
      </c>
      <c r="J357" s="10"/>
      <c r="K357" s="10"/>
      <c r="L357" s="10"/>
      <c r="M357" s="38">
        <f t="shared" si="122"/>
        <v>0</v>
      </c>
      <c r="N357" s="10"/>
      <c r="O357" s="10"/>
      <c r="P357" s="10"/>
      <c r="Q357" s="38">
        <f t="shared" si="123"/>
        <v>0</v>
      </c>
      <c r="R357" s="38">
        <f t="shared" si="124"/>
        <v>0</v>
      </c>
      <c r="T357" t="s">
        <v>2174</v>
      </c>
    </row>
    <row r="358" spans="1:20" ht="15.75" customHeight="1" x14ac:dyDescent="0.3">
      <c r="A358" s="410" t="s">
        <v>3205</v>
      </c>
      <c r="B358" s="10"/>
      <c r="C358" s="10"/>
      <c r="D358" s="10"/>
      <c r="E358" s="38">
        <f t="shared" si="120"/>
        <v>0</v>
      </c>
      <c r="F358" s="10"/>
      <c r="G358" s="10"/>
      <c r="H358" s="10"/>
      <c r="I358" s="38">
        <f t="shared" si="121"/>
        <v>0</v>
      </c>
      <c r="J358" s="10"/>
      <c r="K358" s="10"/>
      <c r="L358" s="10"/>
      <c r="M358" s="38">
        <f t="shared" si="122"/>
        <v>0</v>
      </c>
      <c r="N358" s="10"/>
      <c r="O358" s="10"/>
      <c r="P358" s="10"/>
      <c r="Q358" s="38">
        <f t="shared" si="123"/>
        <v>0</v>
      </c>
      <c r="R358" s="38">
        <f t="shared" si="124"/>
        <v>0</v>
      </c>
    </row>
    <row r="359" spans="1:20" ht="15.75" customHeight="1" x14ac:dyDescent="0.3">
      <c r="A359" s="410" t="s">
        <v>347</v>
      </c>
      <c r="B359" s="10">
        <v>154</v>
      </c>
      <c r="C359" s="10">
        <v>154</v>
      </c>
      <c r="D359" s="10">
        <v>154</v>
      </c>
      <c r="E359" s="38">
        <f>SUM(B359:D359)</f>
        <v>462</v>
      </c>
      <c r="F359" s="10">
        <v>154</v>
      </c>
      <c r="G359" s="10">
        <v>154</v>
      </c>
      <c r="H359" s="10">
        <v>154</v>
      </c>
      <c r="I359" s="38">
        <f>SUM(F359:H359)</f>
        <v>462</v>
      </c>
      <c r="J359" s="10">
        <v>154</v>
      </c>
      <c r="K359" s="10">
        <v>154</v>
      </c>
      <c r="L359" s="10">
        <v>154</v>
      </c>
      <c r="M359" s="38">
        <f t="shared" si="122"/>
        <v>462</v>
      </c>
      <c r="N359" s="10">
        <v>154</v>
      </c>
      <c r="O359" s="10">
        <v>154</v>
      </c>
      <c r="P359" s="10">
        <v>138</v>
      </c>
      <c r="Q359" s="38">
        <f>SUM(N359:P359)</f>
        <v>446</v>
      </c>
      <c r="R359" s="38">
        <f t="shared" si="124"/>
        <v>1832</v>
      </c>
      <c r="T359" t="s">
        <v>1358</v>
      </c>
    </row>
    <row r="360" spans="1:20" ht="15.75" customHeight="1" x14ac:dyDescent="0.3">
      <c r="A360" s="410" t="s">
        <v>347</v>
      </c>
      <c r="B360" s="10"/>
      <c r="C360" s="10"/>
      <c r="D360" s="10"/>
      <c r="E360" s="38">
        <f t="shared" ref="E360" si="139">SUM(B360:D360)</f>
        <v>0</v>
      </c>
      <c r="F360" s="10"/>
      <c r="G360" s="10"/>
      <c r="H360" s="10"/>
      <c r="I360" s="38">
        <f t="shared" ref="I360" si="140">SUM(F360:H360)</f>
        <v>0</v>
      </c>
      <c r="J360" s="10">
        <v>467</v>
      </c>
      <c r="K360" s="10">
        <v>2210</v>
      </c>
      <c r="L360" s="10">
        <v>1841</v>
      </c>
      <c r="M360" s="38">
        <f t="shared" si="122"/>
        <v>4518</v>
      </c>
      <c r="N360" s="10">
        <v>1713</v>
      </c>
      <c r="O360" s="10">
        <v>1004</v>
      </c>
      <c r="P360" s="10"/>
      <c r="Q360" s="38">
        <f t="shared" si="123"/>
        <v>2717</v>
      </c>
      <c r="R360" s="38">
        <f t="shared" si="124"/>
        <v>7235</v>
      </c>
      <c r="T360" t="s">
        <v>2780</v>
      </c>
    </row>
    <row r="361" spans="1:20" ht="15.75" customHeight="1" x14ac:dyDescent="0.3">
      <c r="A361" s="410" t="s">
        <v>2954</v>
      </c>
      <c r="B361" s="10"/>
      <c r="C361" s="10"/>
      <c r="D361" s="10"/>
      <c r="E361" s="38">
        <f>SUM(B361:D361)</f>
        <v>0</v>
      </c>
      <c r="F361" s="10"/>
      <c r="G361" s="10"/>
      <c r="H361" s="10"/>
      <c r="I361" s="38">
        <f>SUM(F361:H361)</f>
        <v>0</v>
      </c>
      <c r="J361" s="10"/>
      <c r="K361" s="10"/>
      <c r="L361" s="10"/>
      <c r="M361" s="38">
        <f>SUM(J361:L361)</f>
        <v>0</v>
      </c>
      <c r="N361" s="10"/>
      <c r="O361" s="10"/>
      <c r="P361" s="10"/>
      <c r="Q361" s="38">
        <f>SUM(N361:P361)</f>
        <v>0</v>
      </c>
      <c r="R361" s="38">
        <f t="shared" si="124"/>
        <v>0</v>
      </c>
      <c r="T361" t="s">
        <v>1358</v>
      </c>
    </row>
    <row r="362" spans="1:20" ht="15.75" customHeight="1" x14ac:dyDescent="0.3">
      <c r="A362" s="410" t="s">
        <v>2593</v>
      </c>
      <c r="B362" s="10"/>
      <c r="C362" s="10"/>
      <c r="D362" s="10"/>
      <c r="E362" s="38">
        <f t="shared" si="120"/>
        <v>0</v>
      </c>
      <c r="F362" s="10"/>
      <c r="G362" s="10"/>
      <c r="H362" s="10"/>
      <c r="I362" s="38">
        <f t="shared" si="121"/>
        <v>0</v>
      </c>
      <c r="J362" s="10"/>
      <c r="K362" s="10"/>
      <c r="L362" s="10"/>
      <c r="M362" s="38">
        <f t="shared" si="122"/>
        <v>0</v>
      </c>
      <c r="N362" s="10"/>
      <c r="O362" s="10"/>
      <c r="P362" s="10"/>
      <c r="Q362" s="38">
        <f t="shared" si="123"/>
        <v>0</v>
      </c>
      <c r="R362" s="38">
        <f t="shared" si="124"/>
        <v>0</v>
      </c>
      <c r="S362" s="538"/>
      <c r="T362" t="s">
        <v>2175</v>
      </c>
    </row>
    <row r="363" spans="1:20" ht="15.75" customHeight="1" x14ac:dyDescent="0.3">
      <c r="A363" s="410" t="s">
        <v>3431</v>
      </c>
      <c r="B363" s="10">
        <v>50</v>
      </c>
      <c r="C363" s="10">
        <v>130</v>
      </c>
      <c r="D363" s="10">
        <v>130</v>
      </c>
      <c r="E363" s="38">
        <f t="shared" si="120"/>
        <v>310</v>
      </c>
      <c r="F363" s="10">
        <v>390</v>
      </c>
      <c r="G363" s="10">
        <v>487</v>
      </c>
      <c r="H363" s="10">
        <v>487</v>
      </c>
      <c r="I363" s="38">
        <f t="shared" si="121"/>
        <v>1364</v>
      </c>
      <c r="J363" s="10">
        <v>487</v>
      </c>
      <c r="K363" s="10">
        <v>487</v>
      </c>
      <c r="L363" s="10">
        <v>212</v>
      </c>
      <c r="M363" s="38">
        <f t="shared" si="122"/>
        <v>1186</v>
      </c>
      <c r="N363" s="10">
        <v>180</v>
      </c>
      <c r="O363" s="10">
        <v>130</v>
      </c>
      <c r="P363" s="10">
        <v>47</v>
      </c>
      <c r="Q363" s="38">
        <f t="shared" ref="Q363" si="141">SUM(N363:P363)</f>
        <v>357</v>
      </c>
      <c r="R363" s="38">
        <f t="shared" ref="R363" si="142">+E363+I363+M363+Q363</f>
        <v>3217</v>
      </c>
      <c r="S363" s="17"/>
    </row>
    <row r="364" spans="1:20" ht="15.75" customHeight="1" x14ac:dyDescent="0.3">
      <c r="A364" s="410" t="s">
        <v>3056</v>
      </c>
      <c r="B364" s="10">
        <v>7</v>
      </c>
      <c r="C364" s="10"/>
      <c r="D364" s="10">
        <v>37</v>
      </c>
      <c r="E364" s="38">
        <f t="shared" si="120"/>
        <v>44</v>
      </c>
      <c r="F364" s="10">
        <v>66</v>
      </c>
      <c r="G364" s="10">
        <v>73</v>
      </c>
      <c r="H364" s="10">
        <v>66</v>
      </c>
      <c r="I364" s="38">
        <f>SUM(F364:H364)</f>
        <v>205</v>
      </c>
      <c r="J364" s="10">
        <v>39</v>
      </c>
      <c r="K364" s="10">
        <v>21</v>
      </c>
      <c r="L364" s="10">
        <v>2</v>
      </c>
      <c r="M364" s="38">
        <f>SUM(J364:L364)</f>
        <v>62</v>
      </c>
      <c r="N364" s="10">
        <v>4</v>
      </c>
      <c r="O364" s="10">
        <v>25</v>
      </c>
      <c r="P364" s="10">
        <v>25</v>
      </c>
      <c r="Q364" s="38">
        <f>SUM(N364:P364)</f>
        <v>54</v>
      </c>
      <c r="R364" s="38">
        <f>+E364+I364+M364+Q364</f>
        <v>365</v>
      </c>
      <c r="T364" t="s">
        <v>1193</v>
      </c>
    </row>
    <row r="365" spans="1:20" ht="15.75" customHeight="1" x14ac:dyDescent="0.3">
      <c r="A365" s="311" t="s">
        <v>92</v>
      </c>
      <c r="B365" s="10">
        <f>2381+1924</f>
        <v>4305</v>
      </c>
      <c r="C365" s="10">
        <v>577</v>
      </c>
      <c r="D365" s="10">
        <v>437</v>
      </c>
      <c r="E365" s="38">
        <f t="shared" ref="E365" si="143">SUM(B365:D365)</f>
        <v>5319</v>
      </c>
      <c r="F365" s="10">
        <f>4291+1202</f>
        <v>5493</v>
      </c>
      <c r="G365" s="10">
        <f>5010+1572</f>
        <v>6582</v>
      </c>
      <c r="H365" s="10">
        <f>4619+1716</f>
        <v>6335</v>
      </c>
      <c r="I365" s="38">
        <f t="shared" ref="I365" si="144">SUM(F365:H365)</f>
        <v>18410</v>
      </c>
      <c r="J365" s="10">
        <f>4122+1942</f>
        <v>6064</v>
      </c>
      <c r="K365" s="10">
        <f>3334+1817</f>
        <v>5151</v>
      </c>
      <c r="L365" s="10">
        <f>3079+1645</f>
        <v>4724</v>
      </c>
      <c r="M365" s="38">
        <f t="shared" ref="M365" si="145">SUM(J365:L365)</f>
        <v>15939</v>
      </c>
      <c r="N365" s="10">
        <f>2350+1558</f>
        <v>3908</v>
      </c>
      <c r="O365" s="10">
        <f>641+1507</f>
        <v>2148</v>
      </c>
      <c r="P365" s="10">
        <v>1000</v>
      </c>
      <c r="Q365" s="38">
        <f t="shared" si="123"/>
        <v>7056</v>
      </c>
      <c r="R365" s="38">
        <f t="shared" si="124"/>
        <v>46724</v>
      </c>
      <c r="T365" t="s">
        <v>2177</v>
      </c>
    </row>
    <row r="366" spans="1:20" ht="15.75" customHeight="1" x14ac:dyDescent="0.3">
      <c r="A366" s="410" t="s">
        <v>3164</v>
      </c>
      <c r="B366" s="10"/>
      <c r="C366" s="10"/>
      <c r="D366" s="10"/>
      <c r="E366" s="38">
        <f t="shared" si="120"/>
        <v>0</v>
      </c>
      <c r="F366" s="10"/>
      <c r="G366" s="10"/>
      <c r="H366" s="10"/>
      <c r="I366" s="38">
        <f t="shared" si="121"/>
        <v>0</v>
      </c>
      <c r="J366" s="10"/>
      <c r="K366" s="10"/>
      <c r="L366" s="10"/>
      <c r="M366" s="38">
        <f t="shared" si="122"/>
        <v>0</v>
      </c>
      <c r="N366" s="10"/>
      <c r="O366" s="10"/>
      <c r="P366" s="10"/>
      <c r="Q366" s="38">
        <f t="shared" si="123"/>
        <v>0</v>
      </c>
      <c r="R366" s="38">
        <f t="shared" si="124"/>
        <v>0</v>
      </c>
      <c r="T366" t="s">
        <v>2176</v>
      </c>
    </row>
    <row r="367" spans="1:20" ht="15.75" customHeight="1" x14ac:dyDescent="0.3">
      <c r="A367" s="410" t="s">
        <v>3409</v>
      </c>
      <c r="B367" s="10"/>
      <c r="C367" s="10"/>
      <c r="D367" s="10"/>
      <c r="E367" s="38">
        <f t="shared" si="120"/>
        <v>0</v>
      </c>
      <c r="F367" s="10"/>
      <c r="G367" s="10"/>
      <c r="H367" s="10">
        <v>1000</v>
      </c>
      <c r="I367" s="38">
        <f t="shared" si="121"/>
        <v>1000</v>
      </c>
      <c r="J367" s="10">
        <v>1000</v>
      </c>
      <c r="K367" s="10"/>
      <c r="L367" s="10"/>
      <c r="M367" s="38">
        <f t="shared" si="122"/>
        <v>1000</v>
      </c>
      <c r="N367" s="10"/>
      <c r="O367" s="10"/>
      <c r="P367" s="10"/>
      <c r="Q367" s="38">
        <f t="shared" ref="Q367" si="146">SUM(N367:P367)</f>
        <v>0</v>
      </c>
      <c r="R367" s="38">
        <f t="shared" si="124"/>
        <v>2000</v>
      </c>
    </row>
    <row r="368" spans="1:20" ht="15.75" customHeight="1" x14ac:dyDescent="0.3">
      <c r="A368" s="410" t="s">
        <v>3410</v>
      </c>
      <c r="B368" s="10"/>
      <c r="C368" s="10"/>
      <c r="D368" s="10"/>
      <c r="E368" s="38">
        <f t="shared" si="120"/>
        <v>0</v>
      </c>
      <c r="F368" s="10"/>
      <c r="G368" s="10"/>
      <c r="H368" s="10"/>
      <c r="I368" s="38">
        <f t="shared" si="121"/>
        <v>0</v>
      </c>
      <c r="J368" s="10">
        <v>1000</v>
      </c>
      <c r="K368" s="10"/>
      <c r="L368" s="10"/>
      <c r="M368" s="38">
        <f t="shared" si="122"/>
        <v>1000</v>
      </c>
      <c r="N368" s="10"/>
      <c r="O368" s="10"/>
      <c r="P368" s="10"/>
      <c r="Q368" s="38">
        <f t="shared" ref="Q368" si="147">SUM(N368:P368)</f>
        <v>0</v>
      </c>
      <c r="R368" s="38">
        <f t="shared" si="124"/>
        <v>1000</v>
      </c>
    </row>
    <row r="369" spans="1:20" ht="15.75" customHeight="1" x14ac:dyDescent="0.3">
      <c r="A369" s="410" t="s">
        <v>3138</v>
      </c>
      <c r="B369" s="10">
        <v>300</v>
      </c>
      <c r="C369" s="10">
        <v>300</v>
      </c>
      <c r="D369" s="10">
        <v>300</v>
      </c>
      <c r="E369" s="38">
        <f t="shared" si="120"/>
        <v>900</v>
      </c>
      <c r="F369" s="10">
        <v>300</v>
      </c>
      <c r="G369" s="10">
        <v>300</v>
      </c>
      <c r="H369" s="10">
        <v>300</v>
      </c>
      <c r="I369" s="38">
        <f t="shared" si="121"/>
        <v>900</v>
      </c>
      <c r="J369" s="10">
        <v>190</v>
      </c>
      <c r="K369" s="10">
        <v>300</v>
      </c>
      <c r="L369" s="10">
        <v>300</v>
      </c>
      <c r="M369" s="38">
        <f t="shared" si="122"/>
        <v>790</v>
      </c>
      <c r="N369" s="10">
        <v>300</v>
      </c>
      <c r="O369" s="10">
        <v>300</v>
      </c>
      <c r="P369" s="10"/>
      <c r="Q369" s="38">
        <f t="shared" si="123"/>
        <v>600</v>
      </c>
      <c r="R369" s="38">
        <f t="shared" si="124"/>
        <v>3190</v>
      </c>
    </row>
    <row r="370" spans="1:20" ht="15.75" customHeight="1" x14ac:dyDescent="0.3">
      <c r="A370" s="410" t="s">
        <v>3268</v>
      </c>
      <c r="B370" s="10"/>
      <c r="C370" s="10"/>
      <c r="D370" s="10"/>
      <c r="E370" s="38">
        <f t="shared" si="120"/>
        <v>0</v>
      </c>
      <c r="F370" s="10"/>
      <c r="G370" s="10"/>
      <c r="H370" s="10"/>
      <c r="I370" s="38">
        <f t="shared" si="121"/>
        <v>0</v>
      </c>
      <c r="J370" s="10"/>
      <c r="K370" s="10"/>
      <c r="L370" s="10"/>
      <c r="M370" s="38">
        <f t="shared" si="122"/>
        <v>0</v>
      </c>
      <c r="N370" s="10"/>
      <c r="O370" s="10"/>
      <c r="P370" s="10"/>
      <c r="Q370" s="38">
        <f t="shared" si="123"/>
        <v>0</v>
      </c>
      <c r="R370" s="38">
        <f t="shared" si="124"/>
        <v>0</v>
      </c>
      <c r="S370" s="736" t="s">
        <v>3213</v>
      </c>
    </row>
    <row r="371" spans="1:20" ht="15.75" customHeight="1" x14ac:dyDescent="0.3">
      <c r="A371" s="410" t="s">
        <v>3060</v>
      </c>
      <c r="B371" s="10"/>
      <c r="C371" s="10"/>
      <c r="D371" s="10"/>
      <c r="E371" s="38">
        <f t="shared" si="120"/>
        <v>0</v>
      </c>
      <c r="F371" s="10"/>
      <c r="G371" s="10"/>
      <c r="H371" s="10"/>
      <c r="I371" s="38">
        <f t="shared" si="121"/>
        <v>0</v>
      </c>
      <c r="J371" s="10"/>
      <c r="K371" s="10"/>
      <c r="L371" s="10">
        <v>1200</v>
      </c>
      <c r="M371" s="38">
        <f t="shared" si="122"/>
        <v>1200</v>
      </c>
      <c r="N371" s="10">
        <v>1300</v>
      </c>
      <c r="O371" s="10"/>
      <c r="P371" s="10"/>
      <c r="Q371" s="38">
        <f>SUM(N371:P371)</f>
        <v>1300</v>
      </c>
      <c r="R371" s="38">
        <f>+E371+I371+M371+Q371</f>
        <v>2500</v>
      </c>
      <c r="T371" t="s">
        <v>1358</v>
      </c>
    </row>
    <row r="372" spans="1:20" ht="15.75" customHeight="1" x14ac:dyDescent="0.3">
      <c r="A372" s="410" t="s">
        <v>3057</v>
      </c>
      <c r="B372" s="10">
        <v>20</v>
      </c>
      <c r="C372" s="10"/>
      <c r="D372" s="10">
        <v>35</v>
      </c>
      <c r="E372" s="38">
        <f>SUM(B372:D372)</f>
        <v>55</v>
      </c>
      <c r="F372" s="10">
        <v>59</v>
      </c>
      <c r="G372" s="10">
        <v>62</v>
      </c>
      <c r="H372" s="10">
        <v>60</v>
      </c>
      <c r="I372" s="38">
        <f>SUM(F372:H372)</f>
        <v>181</v>
      </c>
      <c r="J372" s="10">
        <v>76</v>
      </c>
      <c r="K372" s="10">
        <v>56</v>
      </c>
      <c r="L372" s="10">
        <v>40</v>
      </c>
      <c r="M372" s="38">
        <f>SUM(J372:L372)</f>
        <v>172</v>
      </c>
      <c r="N372" s="10">
        <v>64</v>
      </c>
      <c r="O372" s="10">
        <v>79</v>
      </c>
      <c r="P372" s="10">
        <v>38</v>
      </c>
      <c r="Q372" s="38">
        <f>SUM(N372:P372)</f>
        <v>181</v>
      </c>
      <c r="R372" s="38">
        <f>+E372+I372+M372+Q372</f>
        <v>589</v>
      </c>
      <c r="T372" t="s">
        <v>1193</v>
      </c>
    </row>
    <row r="373" spans="1:20" ht="15.75" customHeight="1" x14ac:dyDescent="0.3">
      <c r="A373" s="371" t="s">
        <v>1227</v>
      </c>
      <c r="B373" s="10"/>
      <c r="C373" s="10"/>
      <c r="D373" s="10">
        <v>150</v>
      </c>
      <c r="E373" s="38">
        <f t="shared" ref="E373" si="148">SUM(B373:D373)</f>
        <v>150</v>
      </c>
      <c r="F373" s="10">
        <v>250</v>
      </c>
      <c r="G373" s="10">
        <v>500</v>
      </c>
      <c r="H373" s="10">
        <v>600</v>
      </c>
      <c r="I373" s="38">
        <f t="shared" ref="I373" si="149">SUM(F373:H373)</f>
        <v>1350</v>
      </c>
      <c r="J373" s="10">
        <v>738</v>
      </c>
      <c r="K373" s="10"/>
      <c r="L373" s="10"/>
      <c r="M373" s="38">
        <f>SUM(J373:L373)</f>
        <v>738</v>
      </c>
      <c r="N373" s="10"/>
      <c r="O373" s="10"/>
      <c r="P373" s="10"/>
      <c r="Q373" s="38">
        <f>SUM(N373:P373)</f>
        <v>0</v>
      </c>
      <c r="R373" s="38">
        <f>+E373+I373+M373+Q373</f>
        <v>2238</v>
      </c>
    </row>
    <row r="374" spans="1:20" ht="15.75" customHeight="1" x14ac:dyDescent="0.3">
      <c r="A374" s="539" t="s">
        <v>2944</v>
      </c>
      <c r="B374" s="10"/>
      <c r="C374" s="10"/>
      <c r="D374" s="10"/>
      <c r="E374" s="38">
        <f>SUM(B374:D374)</f>
        <v>0</v>
      </c>
      <c r="F374" s="10"/>
      <c r="G374" s="10"/>
      <c r="H374" s="10">
        <v>27</v>
      </c>
      <c r="I374" s="38">
        <f>SUM(F374:H374)</f>
        <v>27</v>
      </c>
      <c r="J374" s="10"/>
      <c r="K374" s="10"/>
      <c r="L374" s="10"/>
      <c r="M374" s="38">
        <f>SUM(J374:L374)</f>
        <v>0</v>
      </c>
      <c r="N374" s="10"/>
      <c r="O374" s="10"/>
      <c r="P374" s="10"/>
      <c r="Q374" s="38">
        <f>SUM(N374:P374)</f>
        <v>0</v>
      </c>
      <c r="R374" s="38">
        <f t="shared" si="124"/>
        <v>27</v>
      </c>
    </row>
    <row r="375" spans="1:20" ht="15.75" customHeight="1" x14ac:dyDescent="0.3">
      <c r="A375" s="410" t="s">
        <v>2609</v>
      </c>
      <c r="B375" s="10">
        <v>188</v>
      </c>
      <c r="C375" s="10">
        <v>188</v>
      </c>
      <c r="D375" s="10">
        <v>188</v>
      </c>
      <c r="E375" s="38">
        <f t="shared" ref="E375" si="150">SUM(B375:D375)</f>
        <v>564</v>
      </c>
      <c r="F375" s="10">
        <v>564</v>
      </c>
      <c r="G375" s="10">
        <v>706</v>
      </c>
      <c r="H375" s="10">
        <v>706</v>
      </c>
      <c r="I375" s="38">
        <f t="shared" ref="I375" si="151">SUM(F375:H375)</f>
        <v>1976</v>
      </c>
      <c r="J375" s="10">
        <v>706</v>
      </c>
      <c r="K375" s="10">
        <v>706</v>
      </c>
      <c r="L375" s="10">
        <v>282</v>
      </c>
      <c r="M375" s="38">
        <f t="shared" ref="M375" si="152">SUM(J375:L375)</f>
        <v>1694</v>
      </c>
      <c r="N375" s="10">
        <v>188</v>
      </c>
      <c r="O375" s="10">
        <v>188</v>
      </c>
      <c r="P375" s="10">
        <v>47</v>
      </c>
      <c r="Q375" s="38">
        <f t="shared" si="123"/>
        <v>423</v>
      </c>
      <c r="R375" s="38">
        <f t="shared" si="124"/>
        <v>4657</v>
      </c>
      <c r="S375">
        <f>SUM(R341:R375)</f>
        <v>109982</v>
      </c>
      <c r="T375" t="s">
        <v>2175</v>
      </c>
    </row>
    <row r="376" spans="1:20" ht="15.75" customHeight="1" x14ac:dyDescent="0.3">
      <c r="A376" s="410" t="s">
        <v>3058</v>
      </c>
      <c r="B376" s="10">
        <v>15</v>
      </c>
      <c r="C376" s="10"/>
      <c r="D376" s="10">
        <v>40</v>
      </c>
      <c r="E376" s="38">
        <f>SUM(B376:D376)</f>
        <v>55</v>
      </c>
      <c r="F376" s="10">
        <v>45</v>
      </c>
      <c r="G376" s="10">
        <v>58</v>
      </c>
      <c r="H376" s="10">
        <v>57</v>
      </c>
      <c r="I376" s="38">
        <f>SUM(F376:H376)</f>
        <v>160</v>
      </c>
      <c r="J376" s="10">
        <v>49</v>
      </c>
      <c r="K376" s="10">
        <v>53</v>
      </c>
      <c r="L376" s="10">
        <v>63</v>
      </c>
      <c r="M376" s="38">
        <f>SUM(J376:L376)</f>
        <v>165</v>
      </c>
      <c r="N376" s="10">
        <v>47</v>
      </c>
      <c r="O376" s="10">
        <v>36</v>
      </c>
      <c r="P376" s="10">
        <v>16</v>
      </c>
      <c r="Q376" s="38">
        <f>SUM(N376:P376)</f>
        <v>99</v>
      </c>
      <c r="R376" s="38">
        <f>+E376+I376+M376+Q376</f>
        <v>479</v>
      </c>
      <c r="T376" t="s">
        <v>1193</v>
      </c>
    </row>
    <row r="377" spans="1:20" ht="15.75" customHeight="1" x14ac:dyDescent="0.3">
      <c r="A377" s="234" t="s">
        <v>2161</v>
      </c>
      <c r="B377" s="10"/>
      <c r="C377" s="10"/>
      <c r="D377" s="10"/>
      <c r="E377" s="38" t="s">
        <v>852</v>
      </c>
      <c r="F377" s="10"/>
      <c r="G377" s="10"/>
      <c r="H377" s="10"/>
      <c r="I377" s="38" t="s">
        <v>852</v>
      </c>
      <c r="J377" s="10"/>
      <c r="K377" s="10"/>
      <c r="L377" s="10"/>
      <c r="M377" s="38" t="s">
        <v>852</v>
      </c>
      <c r="N377" s="10"/>
      <c r="O377" s="10"/>
      <c r="P377" s="10"/>
      <c r="Q377" s="38" t="s">
        <v>852</v>
      </c>
      <c r="R377" s="38" t="s">
        <v>852</v>
      </c>
    </row>
    <row r="378" spans="1:20" ht="15.75" customHeight="1" x14ac:dyDescent="0.3">
      <c r="A378" s="311" t="s">
        <v>754</v>
      </c>
      <c r="B378" s="10"/>
      <c r="C378" s="10"/>
      <c r="D378" s="10"/>
      <c r="E378" s="38">
        <f t="shared" ref="E378:E388" si="153">SUM(B378:D378)</f>
        <v>0</v>
      </c>
      <c r="F378" s="10"/>
      <c r="G378" s="10"/>
      <c r="H378" s="10"/>
      <c r="I378" s="38">
        <f t="shared" ref="I378:I388" si="154">SUM(F378:H378)</f>
        <v>0</v>
      </c>
      <c r="J378" s="10"/>
      <c r="K378" s="10"/>
      <c r="L378" s="10"/>
      <c r="M378" s="38">
        <f t="shared" ref="M378:M388" si="155">SUM(J378:L378)</f>
        <v>0</v>
      </c>
      <c r="N378" s="10"/>
      <c r="O378" s="10"/>
      <c r="P378" s="10"/>
      <c r="Q378" s="38">
        <f t="shared" ref="Q378:Q388" si="156">SUM(N378:P378)</f>
        <v>0</v>
      </c>
      <c r="R378" s="38">
        <f t="shared" ref="R378:R388" si="157">+E378+I378+M378+Q378</f>
        <v>0</v>
      </c>
    </row>
    <row r="379" spans="1:20" ht="15.75" customHeight="1" x14ac:dyDescent="0.3">
      <c r="A379" s="410" t="s">
        <v>2759</v>
      </c>
      <c r="B379" s="10"/>
      <c r="C379" s="10"/>
      <c r="D379" s="10"/>
      <c r="E379" s="38">
        <f>SUM(B379:D379)</f>
        <v>0</v>
      </c>
      <c r="F379" s="10"/>
      <c r="G379" s="10"/>
      <c r="H379" s="10"/>
      <c r="I379" s="38">
        <f>SUM(F379:H379)</f>
        <v>0</v>
      </c>
      <c r="J379" s="10"/>
      <c r="K379" s="10"/>
      <c r="L379" s="10"/>
      <c r="M379" s="38">
        <f>SUM(J379:L379)</f>
        <v>0</v>
      </c>
      <c r="N379" s="10"/>
      <c r="O379" s="10"/>
      <c r="P379" s="10"/>
      <c r="Q379" s="38">
        <f>SUM(N379:P379)</f>
        <v>0</v>
      </c>
      <c r="R379" s="38">
        <f>+E379+I379+M379+Q379</f>
        <v>0</v>
      </c>
      <c r="T379" t="s">
        <v>131</v>
      </c>
    </row>
    <row r="380" spans="1:20" ht="15.75" customHeight="1" x14ac:dyDescent="0.3">
      <c r="A380" s="311" t="s">
        <v>970</v>
      </c>
      <c r="B380" s="10"/>
      <c r="C380" s="10"/>
      <c r="D380" s="10"/>
      <c r="E380" s="38">
        <f>SUM(B380:D380)</f>
        <v>0</v>
      </c>
      <c r="F380" s="10"/>
      <c r="G380" s="10"/>
      <c r="H380" s="10"/>
      <c r="I380" s="38">
        <f>SUM(F380:H380)</f>
        <v>0</v>
      </c>
      <c r="J380" s="10"/>
      <c r="K380" s="10"/>
      <c r="L380" s="10"/>
      <c r="M380" s="38">
        <f>SUM(J380:L380)</f>
        <v>0</v>
      </c>
      <c r="N380" s="10"/>
      <c r="O380" s="10"/>
      <c r="P380" s="10"/>
      <c r="Q380" s="38">
        <f>SUM(N380:P380)</f>
        <v>0</v>
      </c>
      <c r="R380" s="38">
        <f>+E380+I380+M380+Q380</f>
        <v>0</v>
      </c>
      <c r="T380" t="s">
        <v>2176</v>
      </c>
    </row>
    <row r="381" spans="1:20" ht="15.75" customHeight="1" x14ac:dyDescent="0.3">
      <c r="A381" s="410" t="s">
        <v>2593</v>
      </c>
      <c r="B381" s="10"/>
      <c r="C381" s="10"/>
      <c r="D381" s="10"/>
      <c r="E381" s="38">
        <f t="shared" si="153"/>
        <v>0</v>
      </c>
      <c r="F381" s="10"/>
      <c r="G381" s="10"/>
      <c r="H381" s="10"/>
      <c r="I381" s="38">
        <f t="shared" si="154"/>
        <v>0</v>
      </c>
      <c r="J381" s="10"/>
      <c r="K381" s="10"/>
      <c r="L381" s="10"/>
      <c r="M381" s="38">
        <f t="shared" si="155"/>
        <v>0</v>
      </c>
      <c r="N381" s="10"/>
      <c r="O381" s="10"/>
      <c r="P381" s="10"/>
      <c r="Q381" s="38">
        <f t="shared" si="156"/>
        <v>0</v>
      </c>
      <c r="R381" s="38">
        <f>+E381+I381+M381+Q381</f>
        <v>0</v>
      </c>
      <c r="T381" t="s">
        <v>2175</v>
      </c>
    </row>
    <row r="382" spans="1:20" ht="15.75" customHeight="1" x14ac:dyDescent="0.3">
      <c r="A382" s="410" t="s">
        <v>2517</v>
      </c>
      <c r="B382" s="10"/>
      <c r="C382" s="10"/>
      <c r="D382" s="10"/>
      <c r="E382" s="38">
        <f>SUM(B382:D382)</f>
        <v>0</v>
      </c>
      <c r="F382" s="10"/>
      <c r="G382" s="10"/>
      <c r="H382" s="10"/>
      <c r="I382" s="38">
        <f>SUM(F382:H382)</f>
        <v>0</v>
      </c>
      <c r="J382" s="10"/>
      <c r="K382" s="10"/>
      <c r="L382" s="10"/>
      <c r="M382" s="38">
        <f>SUM(J382:L382)</f>
        <v>0</v>
      </c>
      <c r="N382" s="10"/>
      <c r="O382" s="10"/>
      <c r="P382" s="10"/>
      <c r="Q382" s="38">
        <f>SUM(N382:P382)</f>
        <v>0</v>
      </c>
      <c r="R382" s="38">
        <f>+E382+I382+M382+Q382</f>
        <v>0</v>
      </c>
      <c r="T382" t="s">
        <v>2229</v>
      </c>
    </row>
    <row r="383" spans="1:20" ht="15.75" customHeight="1" x14ac:dyDescent="0.3">
      <c r="A383" s="311" t="s">
        <v>1732</v>
      </c>
      <c r="B383" s="10"/>
      <c r="C383" s="10"/>
      <c r="D383" s="10"/>
      <c r="E383" s="38">
        <f t="shared" si="153"/>
        <v>0</v>
      </c>
      <c r="F383" s="10"/>
      <c r="G383" s="10"/>
      <c r="H383" s="10"/>
      <c r="I383" s="38">
        <f t="shared" si="154"/>
        <v>0</v>
      </c>
      <c r="J383" s="10"/>
      <c r="K383" s="10"/>
      <c r="L383" s="10"/>
      <c r="M383" s="38">
        <f t="shared" si="155"/>
        <v>0</v>
      </c>
      <c r="N383" s="10"/>
      <c r="O383" s="10"/>
      <c r="P383" s="10"/>
      <c r="Q383" s="38">
        <f t="shared" si="156"/>
        <v>0</v>
      </c>
      <c r="R383" s="38">
        <f t="shared" si="157"/>
        <v>0</v>
      </c>
    </row>
    <row r="384" spans="1:20" ht="15.75" customHeight="1" x14ac:dyDescent="0.3">
      <c r="A384" s="410" t="s">
        <v>2771</v>
      </c>
      <c r="B384" s="10"/>
      <c r="C384" s="10"/>
      <c r="D384" s="10"/>
      <c r="E384" s="38">
        <f t="shared" si="153"/>
        <v>0</v>
      </c>
      <c r="F384" s="10"/>
      <c r="G384" s="10"/>
      <c r="H384" s="10"/>
      <c r="I384" s="38">
        <f t="shared" si="154"/>
        <v>0</v>
      </c>
      <c r="J384" s="10"/>
      <c r="K384" s="10"/>
      <c r="L384" s="10"/>
      <c r="M384" s="38">
        <f t="shared" si="155"/>
        <v>0</v>
      </c>
      <c r="N384" s="10"/>
      <c r="O384" s="10"/>
      <c r="P384" s="10"/>
      <c r="Q384" s="38">
        <f t="shared" si="156"/>
        <v>0</v>
      </c>
      <c r="R384" s="38">
        <f t="shared" si="157"/>
        <v>0</v>
      </c>
      <c r="T384" t="s">
        <v>2230</v>
      </c>
    </row>
    <row r="385" spans="1:39" ht="15.75" customHeight="1" x14ac:dyDescent="0.3">
      <c r="A385" s="311" t="s">
        <v>1138</v>
      </c>
      <c r="B385" s="10"/>
      <c r="C385" s="10"/>
      <c r="D385" s="10"/>
      <c r="E385" s="38">
        <f t="shared" si="153"/>
        <v>0</v>
      </c>
      <c r="F385" s="10"/>
      <c r="G385" s="10"/>
      <c r="H385" s="10"/>
      <c r="I385" s="38">
        <f t="shared" si="154"/>
        <v>0</v>
      </c>
      <c r="J385" s="10"/>
      <c r="K385" s="10"/>
      <c r="L385" s="10"/>
      <c r="M385" s="38">
        <f t="shared" si="155"/>
        <v>0</v>
      </c>
      <c r="N385" s="10"/>
      <c r="O385" s="10"/>
      <c r="P385" s="10"/>
      <c r="Q385" s="38">
        <f t="shared" si="156"/>
        <v>0</v>
      </c>
      <c r="R385" s="38">
        <f t="shared" si="157"/>
        <v>0</v>
      </c>
      <c r="T385" t="s">
        <v>2230</v>
      </c>
    </row>
    <row r="386" spans="1:39" ht="15.75" customHeight="1" x14ac:dyDescent="0.3">
      <c r="A386" s="410" t="s">
        <v>2951</v>
      </c>
      <c r="B386" s="10"/>
      <c r="C386" s="10"/>
      <c r="D386" s="10"/>
      <c r="E386" s="38">
        <f t="shared" si="153"/>
        <v>0</v>
      </c>
      <c r="F386" s="10"/>
      <c r="G386" s="10"/>
      <c r="H386" s="10"/>
      <c r="I386" s="38">
        <f t="shared" si="154"/>
        <v>0</v>
      </c>
      <c r="J386" s="10"/>
      <c r="K386" s="10"/>
      <c r="L386" s="10"/>
      <c r="M386" s="38">
        <f t="shared" si="155"/>
        <v>0</v>
      </c>
      <c r="N386" s="10"/>
      <c r="O386" s="10"/>
      <c r="P386" s="10"/>
      <c r="Q386" s="38">
        <f t="shared" si="156"/>
        <v>0</v>
      </c>
      <c r="R386" s="38">
        <f t="shared" si="157"/>
        <v>0</v>
      </c>
      <c r="T386" t="s">
        <v>1193</v>
      </c>
    </row>
    <row r="387" spans="1:39" ht="15.75" customHeight="1" x14ac:dyDescent="0.3">
      <c r="A387" s="311" t="s">
        <v>644</v>
      </c>
      <c r="B387" s="10"/>
      <c r="C387" s="10"/>
      <c r="D387" s="10"/>
      <c r="E387" s="38">
        <f>SUM(B387:D387)</f>
        <v>0</v>
      </c>
      <c r="F387" s="10"/>
      <c r="G387" s="10"/>
      <c r="H387" s="10"/>
      <c r="I387" s="38">
        <f>SUM(F387:H387)</f>
        <v>0</v>
      </c>
      <c r="J387" s="10"/>
      <c r="K387" s="10"/>
      <c r="L387" s="10"/>
      <c r="M387" s="38">
        <f>SUM(J387:L387)</f>
        <v>0</v>
      </c>
      <c r="N387" s="10"/>
      <c r="O387" s="10"/>
      <c r="P387" s="10"/>
      <c r="Q387" s="38">
        <f>SUM(N387:P387)</f>
        <v>0</v>
      </c>
      <c r="R387" s="38">
        <f>+E387+I387+M387+Q387</f>
        <v>0</v>
      </c>
      <c r="T387" t="s">
        <v>1193</v>
      </c>
    </row>
    <row r="388" spans="1:39" ht="15.75" customHeight="1" x14ac:dyDescent="0.3">
      <c r="A388" s="311" t="s">
        <v>231</v>
      </c>
      <c r="B388" s="10"/>
      <c r="C388" s="10"/>
      <c r="D388" s="10"/>
      <c r="E388" s="38">
        <f t="shared" si="153"/>
        <v>0</v>
      </c>
      <c r="F388" s="10"/>
      <c r="G388" s="10"/>
      <c r="H388" s="10"/>
      <c r="I388" s="38">
        <f t="shared" si="154"/>
        <v>0</v>
      </c>
      <c r="J388" s="10"/>
      <c r="K388" s="10"/>
      <c r="L388" s="10"/>
      <c r="M388" s="38">
        <f t="shared" si="155"/>
        <v>0</v>
      </c>
      <c r="N388" s="10"/>
      <c r="O388" s="10"/>
      <c r="P388" s="10"/>
      <c r="Q388" s="38">
        <f t="shared" si="156"/>
        <v>0</v>
      </c>
      <c r="R388" s="38">
        <f t="shared" si="157"/>
        <v>0</v>
      </c>
      <c r="T388" t="s">
        <v>2179</v>
      </c>
    </row>
    <row r="389" spans="1:39" ht="15.75" customHeight="1" x14ac:dyDescent="0.3">
      <c r="A389" s="234" t="s">
        <v>3245</v>
      </c>
      <c r="B389" s="10"/>
      <c r="C389" s="10"/>
      <c r="D389" s="10"/>
      <c r="E389" s="38" t="s">
        <v>852</v>
      </c>
      <c r="F389" s="10"/>
      <c r="G389" s="10"/>
      <c r="H389" s="10"/>
      <c r="I389" s="38" t="s">
        <v>852</v>
      </c>
      <c r="J389" s="10"/>
      <c r="K389" s="10"/>
      <c r="L389" s="10"/>
      <c r="M389" s="38" t="s">
        <v>852</v>
      </c>
      <c r="N389" s="10"/>
      <c r="O389" s="10"/>
      <c r="P389" s="10"/>
      <c r="Q389" s="38" t="s">
        <v>852</v>
      </c>
      <c r="R389" s="38" t="s">
        <v>852</v>
      </c>
    </row>
    <row r="390" spans="1:39" ht="15.75" customHeight="1" x14ac:dyDescent="0.3">
      <c r="A390" s="410" t="s">
        <v>3256</v>
      </c>
      <c r="B390" s="10"/>
      <c r="C390" s="10"/>
      <c r="D390" s="10"/>
      <c r="E390" s="38">
        <f>SUM(B390:D390)</f>
        <v>0</v>
      </c>
      <c r="F390" s="10"/>
      <c r="G390" s="10"/>
      <c r="H390" s="10"/>
      <c r="I390" s="38">
        <f>SUM(F390:H390)</f>
        <v>0</v>
      </c>
      <c r="J390" s="10"/>
      <c r="K390" s="10"/>
      <c r="L390" s="10"/>
      <c r="M390" s="38">
        <f>SUM(J390:L390)</f>
        <v>0</v>
      </c>
      <c r="N390" s="10"/>
      <c r="O390" s="10"/>
      <c r="P390" s="10"/>
      <c r="Q390" s="38">
        <f>SUM(N390:P390)</f>
        <v>0</v>
      </c>
      <c r="R390" s="38">
        <f>+E390+I390+M390+Q390</f>
        <v>0</v>
      </c>
      <c r="S390" s="735" t="s">
        <v>3214</v>
      </c>
      <c r="T390" t="s">
        <v>2174</v>
      </c>
    </row>
    <row r="391" spans="1:39" ht="15.75" customHeight="1" x14ac:dyDescent="0.3">
      <c r="A391" s="410" t="s">
        <v>3257</v>
      </c>
      <c r="B391" s="10"/>
      <c r="C391" s="10"/>
      <c r="D391" s="10"/>
      <c r="E391" s="38">
        <f>SUM(B391:D391)</f>
        <v>0</v>
      </c>
      <c r="F391" s="10"/>
      <c r="G391" s="10"/>
      <c r="H391" s="10"/>
      <c r="I391" s="38">
        <f>SUM(F391:H391)</f>
        <v>0</v>
      </c>
      <c r="J391" s="10"/>
      <c r="K391" s="10"/>
      <c r="L391" s="10"/>
      <c r="M391" s="38">
        <f>SUM(J391:L391)</f>
        <v>0</v>
      </c>
      <c r="N391" s="10"/>
      <c r="O391" s="10"/>
      <c r="P391" s="10"/>
      <c r="Q391" s="38">
        <f>SUM(N391:P391)</f>
        <v>0</v>
      </c>
      <c r="R391" s="38">
        <f>+E391+I391+M391+Q391</f>
        <v>0</v>
      </c>
      <c r="S391" s="735" t="s">
        <v>3214</v>
      </c>
    </row>
    <row r="392" spans="1:39" ht="15.75" customHeight="1" x14ac:dyDescent="0.3">
      <c r="A392" s="410" t="s">
        <v>3258</v>
      </c>
      <c r="B392" s="10"/>
      <c r="C392" s="10"/>
      <c r="D392" s="10"/>
      <c r="E392" s="38">
        <f>SUM(B392:D392)</f>
        <v>0</v>
      </c>
      <c r="F392" s="10"/>
      <c r="G392" s="10"/>
      <c r="H392" s="10"/>
      <c r="I392" s="38">
        <f>SUM(F392:H392)</f>
        <v>0</v>
      </c>
      <c r="J392" s="10"/>
      <c r="K392" s="10"/>
      <c r="L392" s="10"/>
      <c r="M392" s="38">
        <f>SUM(J392:L392)</f>
        <v>0</v>
      </c>
      <c r="N392" s="10"/>
      <c r="O392" s="10"/>
      <c r="P392" s="10"/>
      <c r="Q392" s="38">
        <f>SUM(N392:P392)</f>
        <v>0</v>
      </c>
      <c r="R392" s="38">
        <f>+E392+I392+M392+Q392</f>
        <v>0</v>
      </c>
      <c r="S392" s="735" t="s">
        <v>3214</v>
      </c>
      <c r="T392" t="s">
        <v>2175</v>
      </c>
    </row>
    <row r="393" spans="1:39" ht="15.75" customHeight="1" x14ac:dyDescent="0.3">
      <c r="A393" s="410" t="s">
        <v>3259</v>
      </c>
      <c r="B393" s="10"/>
      <c r="C393" s="10"/>
      <c r="D393" s="10"/>
      <c r="E393" s="38">
        <f>SUM(B393:D393)</f>
        <v>0</v>
      </c>
      <c r="F393" s="10"/>
      <c r="G393" s="10"/>
      <c r="H393" s="10"/>
      <c r="I393" s="38">
        <f>SUM(F393:H393)</f>
        <v>0</v>
      </c>
      <c r="J393" s="10"/>
      <c r="K393" s="10"/>
      <c r="L393" s="10"/>
      <c r="M393" s="38">
        <f>SUM(J393:L393)</f>
        <v>0</v>
      </c>
      <c r="N393" s="10"/>
      <c r="O393" s="10"/>
      <c r="P393" s="10"/>
      <c r="Q393" s="38">
        <f>SUM(N393:P393)</f>
        <v>0</v>
      </c>
      <c r="R393" s="38">
        <f>+E393+I393+M393+Q393</f>
        <v>0</v>
      </c>
      <c r="S393" s="735" t="s">
        <v>3214</v>
      </c>
      <c r="T393" t="s">
        <v>1358</v>
      </c>
    </row>
    <row r="394" spans="1:39" ht="16.5" customHeight="1" thickBot="1" x14ac:dyDescent="0.35">
      <c r="A394" s="234" t="s">
        <v>2164</v>
      </c>
      <c r="B394" s="10"/>
      <c r="C394" s="10"/>
      <c r="D394" s="10"/>
      <c r="E394" s="38" t="s">
        <v>852</v>
      </c>
      <c r="F394" s="10"/>
      <c r="G394" s="10"/>
      <c r="H394" s="10"/>
      <c r="I394" s="38" t="s">
        <v>852</v>
      </c>
      <c r="J394" s="10"/>
      <c r="K394" s="10"/>
      <c r="L394" s="10"/>
      <c r="M394" s="38" t="s">
        <v>852</v>
      </c>
      <c r="N394" s="10"/>
      <c r="O394" s="10"/>
      <c r="P394" s="10"/>
      <c r="Q394" s="38" t="s">
        <v>852</v>
      </c>
      <c r="R394" s="40" t="s">
        <v>852</v>
      </c>
      <c r="V394" t="s">
        <v>3012</v>
      </c>
      <c r="W394" t="s">
        <v>3013</v>
      </c>
    </row>
    <row r="395" spans="1:39" ht="16.5" customHeight="1" thickBot="1" x14ac:dyDescent="0.35">
      <c r="A395" s="322" t="s">
        <v>1218</v>
      </c>
      <c r="B395" s="45">
        <f>SUM(B339:B394)</f>
        <v>5768</v>
      </c>
      <c r="C395" s="46">
        <f>SUM(C339:C394)</f>
        <v>2550</v>
      </c>
      <c r="D395" s="46">
        <f>SUM(D339:D394)</f>
        <v>4080</v>
      </c>
      <c r="E395" s="37">
        <f>SUM(B395:D395)</f>
        <v>12398</v>
      </c>
      <c r="F395" s="46">
        <f>SUM(F339:F394)</f>
        <v>8458</v>
      </c>
      <c r="G395" s="46">
        <f>SUM(G339:G394)</f>
        <v>9618</v>
      </c>
      <c r="H395" s="46">
        <f>SUM(H339:H394)</f>
        <v>19031</v>
      </c>
      <c r="I395" s="37">
        <f>SUM(F395:H395)</f>
        <v>37107</v>
      </c>
      <c r="J395" s="46">
        <f>SUM(J339:J394)</f>
        <v>18093</v>
      </c>
      <c r="K395" s="46">
        <f>SUM(K339:K394)</f>
        <v>13461</v>
      </c>
      <c r="L395" s="46">
        <f>SUM(L339:L394)</f>
        <v>9847</v>
      </c>
      <c r="M395" s="37">
        <f>SUM(J395:L395)</f>
        <v>41401</v>
      </c>
      <c r="N395" s="46">
        <f>SUM(N339:N394)</f>
        <v>9610</v>
      </c>
      <c r="O395" s="46">
        <f>SUM(O339:O394)</f>
        <v>6924</v>
      </c>
      <c r="P395" s="46">
        <f>SUM(P339:P394)</f>
        <v>3021</v>
      </c>
      <c r="Q395" s="37">
        <f>SUM(N395:P395)</f>
        <v>19555</v>
      </c>
      <c r="R395" s="37">
        <f>+E395+I395+M395+Q395</f>
        <v>110461</v>
      </c>
      <c r="T395" s="230"/>
      <c r="V395" t="s">
        <v>2174</v>
      </c>
      <c r="W395" s="695">
        <v>0.18</v>
      </c>
    </row>
    <row r="396" spans="1:39" ht="15.75" customHeight="1" x14ac:dyDescent="0.3">
      <c r="A396" s="234" t="s">
        <v>1172</v>
      </c>
      <c r="B396" s="10"/>
      <c r="C396" s="10"/>
      <c r="D396" s="10"/>
      <c r="E396" s="38" t="s">
        <v>852</v>
      </c>
      <c r="F396" s="10"/>
      <c r="G396" s="10"/>
      <c r="H396" s="10"/>
      <c r="I396" s="38" t="s">
        <v>852</v>
      </c>
      <c r="J396" s="10"/>
      <c r="K396" s="10"/>
      <c r="L396" s="10"/>
      <c r="M396" s="38" t="s">
        <v>852</v>
      </c>
      <c r="N396" s="10"/>
      <c r="O396" s="10"/>
      <c r="P396" s="10"/>
      <c r="Q396" s="38" t="s">
        <v>852</v>
      </c>
      <c r="R396" s="38" t="s">
        <v>852</v>
      </c>
      <c r="V396" t="s">
        <v>500</v>
      </c>
      <c r="W396" s="695">
        <v>0.52</v>
      </c>
    </row>
    <row r="397" spans="1:39" ht="15.75" customHeight="1" x14ac:dyDescent="0.3">
      <c r="A397" s="234" t="s">
        <v>1025</v>
      </c>
      <c r="B397" s="10"/>
      <c r="C397" s="10"/>
      <c r="D397" s="10"/>
      <c r="E397" s="38"/>
      <c r="F397" s="10"/>
      <c r="G397" s="10"/>
      <c r="H397" s="10"/>
      <c r="I397" s="38"/>
      <c r="J397" s="10"/>
      <c r="K397" s="10"/>
      <c r="L397" s="10"/>
      <c r="M397" s="38"/>
      <c r="N397" s="10"/>
      <c r="O397" s="10"/>
      <c r="P397" s="10"/>
      <c r="Q397" s="38"/>
      <c r="R397" s="38"/>
      <c r="V397" t="s">
        <v>505</v>
      </c>
      <c r="W397" s="695">
        <v>0.3</v>
      </c>
    </row>
    <row r="398" spans="1:39" ht="15.75" customHeight="1" x14ac:dyDescent="0.3">
      <c r="A398" s="234" t="s">
        <v>2409</v>
      </c>
      <c r="B398" s="10"/>
      <c r="C398" s="10"/>
      <c r="D398" s="10"/>
      <c r="E398" s="38" t="s">
        <v>852</v>
      </c>
      <c r="F398" s="10"/>
      <c r="G398" s="10"/>
      <c r="H398" s="10"/>
      <c r="I398" s="38" t="s">
        <v>852</v>
      </c>
      <c r="J398" s="10"/>
      <c r="K398" s="10"/>
      <c r="L398" s="10"/>
      <c r="M398" s="38" t="s">
        <v>852</v>
      </c>
      <c r="N398" s="10"/>
      <c r="O398" s="10"/>
      <c r="P398" s="10"/>
      <c r="Q398" s="38" t="s">
        <v>852</v>
      </c>
      <c r="R398" s="38" t="s">
        <v>852</v>
      </c>
      <c r="W398" s="691">
        <f>+SUM(W395:W397)</f>
        <v>1</v>
      </c>
    </row>
    <row r="399" spans="1:39" ht="15.75" customHeight="1" x14ac:dyDescent="0.3">
      <c r="A399" s="311" t="s">
        <v>2099</v>
      </c>
      <c r="B399" s="10">
        <v>31</v>
      </c>
      <c r="C399" s="10">
        <v>31</v>
      </c>
      <c r="D399" s="10">
        <v>623</v>
      </c>
      <c r="E399" s="38">
        <f>SUM(B399:D399)</f>
        <v>685</v>
      </c>
      <c r="F399" s="10">
        <v>1455</v>
      </c>
      <c r="G399" s="10">
        <v>831</v>
      </c>
      <c r="H399" s="10">
        <v>1663</v>
      </c>
      <c r="I399" s="38">
        <f>SUM(F399:H399)</f>
        <v>3949</v>
      </c>
      <c r="J399" s="10">
        <v>1871</v>
      </c>
      <c r="K399" s="10">
        <v>1559</v>
      </c>
      <c r="L399" s="10">
        <v>208</v>
      </c>
      <c r="M399" s="38">
        <f>SUM(J399:L399)</f>
        <v>3638</v>
      </c>
      <c r="N399" s="10">
        <v>208</v>
      </c>
      <c r="O399" s="10">
        <v>104</v>
      </c>
      <c r="P399" s="10">
        <v>73</v>
      </c>
      <c r="Q399" s="38">
        <f>SUM(N399:P399)</f>
        <v>385</v>
      </c>
      <c r="R399" s="38">
        <f t="shared" ref="R399:R407" si="158">+E399+I399+M399+Q399</f>
        <v>8657</v>
      </c>
      <c r="T399" t="s">
        <v>2174</v>
      </c>
      <c r="V399" s="693" t="s">
        <v>2610</v>
      </c>
      <c r="W399" s="18" t="s">
        <v>2090</v>
      </c>
      <c r="X399" s="680" t="s">
        <v>2091</v>
      </c>
      <c r="Y399" s="680" t="s">
        <v>2234</v>
      </c>
      <c r="Z399" s="692" t="s">
        <v>1594</v>
      </c>
      <c r="AA399" s="680" t="s">
        <v>2235</v>
      </c>
      <c r="AB399" s="680" t="s">
        <v>2236</v>
      </c>
      <c r="AC399" s="680" t="s">
        <v>2237</v>
      </c>
      <c r="AD399" s="692" t="s">
        <v>1595</v>
      </c>
      <c r="AE399" s="680" t="s">
        <v>1504</v>
      </c>
      <c r="AF399" s="680" t="s">
        <v>1505</v>
      </c>
      <c r="AG399" s="680" t="s">
        <v>1506</v>
      </c>
      <c r="AH399" s="692" t="s">
        <v>1596</v>
      </c>
      <c r="AI399" s="680" t="s">
        <v>1507</v>
      </c>
      <c r="AJ399" s="680" t="s">
        <v>1508</v>
      </c>
      <c r="AK399" s="680" t="s">
        <v>1509</v>
      </c>
      <c r="AL399" s="692" t="s">
        <v>1597</v>
      </c>
      <c r="AM399" s="743" t="s">
        <v>1510</v>
      </c>
    </row>
    <row r="400" spans="1:39" ht="15.75" customHeight="1" x14ac:dyDescent="0.3">
      <c r="A400" s="311" t="s">
        <v>357</v>
      </c>
      <c r="B400" s="10"/>
      <c r="C400" s="10"/>
      <c r="D400" s="10">
        <v>17</v>
      </c>
      <c r="E400" s="38">
        <f>SUM(B400:D400)</f>
        <v>17</v>
      </c>
      <c r="F400" s="10">
        <v>17</v>
      </c>
      <c r="G400" s="10">
        <v>17</v>
      </c>
      <c r="H400" s="10">
        <v>17</v>
      </c>
      <c r="I400" s="38">
        <f>SUM(F400:H400)</f>
        <v>51</v>
      </c>
      <c r="J400" s="10">
        <v>17</v>
      </c>
      <c r="K400" s="10">
        <v>17</v>
      </c>
      <c r="L400" s="10">
        <v>16</v>
      </c>
      <c r="M400" s="38">
        <f>SUM(J400:L400)</f>
        <v>50</v>
      </c>
      <c r="N400" s="10"/>
      <c r="O400" s="10"/>
      <c r="P400" s="10"/>
      <c r="Q400" s="38">
        <f>SUM(N400:P400)</f>
        <v>0</v>
      </c>
      <c r="R400" s="38">
        <f t="shared" si="158"/>
        <v>118</v>
      </c>
      <c r="T400" t="s">
        <v>2175</v>
      </c>
      <c r="V400" s="579" t="s">
        <v>3014</v>
      </c>
      <c r="W400" s="696">
        <v>1500</v>
      </c>
      <c r="X400" s="696">
        <v>1500</v>
      </c>
      <c r="Y400" s="696">
        <v>6800</v>
      </c>
      <c r="Z400">
        <f>+SUM(W400:Y400)</f>
        <v>9800</v>
      </c>
      <c r="AA400" s="696">
        <f>8000+1500</f>
        <v>9500</v>
      </c>
      <c r="AB400" s="696">
        <f>10000+2000</f>
        <v>12000</v>
      </c>
      <c r="AC400" s="696">
        <f>12000+1500</f>
        <v>13500</v>
      </c>
      <c r="AD400">
        <f>+SUM(AA400:AC400)</f>
        <v>35000</v>
      </c>
      <c r="AE400" s="696">
        <v>25500</v>
      </c>
      <c r="AF400" s="696">
        <v>19000</v>
      </c>
      <c r="AG400" s="696">
        <v>4000</v>
      </c>
      <c r="AH400">
        <f>+SUM(AE400:AG400)</f>
        <v>48500</v>
      </c>
      <c r="AI400" s="696">
        <v>1500</v>
      </c>
      <c r="AJ400" s="696">
        <v>1000</v>
      </c>
      <c r="AK400" s="696">
        <v>1069</v>
      </c>
      <c r="AL400">
        <f>+SUM(AI400:AK400)</f>
        <v>3569</v>
      </c>
      <c r="AM400" s="727">
        <f>+Z400+AD400+AH400+AL400</f>
        <v>96869</v>
      </c>
    </row>
    <row r="401" spans="1:39" ht="15.75" customHeight="1" x14ac:dyDescent="0.3">
      <c r="A401" s="311" t="s">
        <v>909</v>
      </c>
      <c r="B401" s="10">
        <v>400</v>
      </c>
      <c r="C401" s="10">
        <v>560</v>
      </c>
      <c r="D401" s="10">
        <v>2398</v>
      </c>
      <c r="E401" s="38">
        <f t="shared" ref="E401:E402" si="159">SUM(B401:D401)</f>
        <v>3358</v>
      </c>
      <c r="F401" s="10">
        <v>5596</v>
      </c>
      <c r="G401" s="10">
        <v>5596</v>
      </c>
      <c r="H401" s="10">
        <v>6709</v>
      </c>
      <c r="I401" s="38">
        <f t="shared" ref="I401:I406" si="160">SUM(F401:H401)</f>
        <v>17901</v>
      </c>
      <c r="J401" s="10">
        <v>264</v>
      </c>
      <c r="K401" s="10"/>
      <c r="L401" s="10"/>
      <c r="M401" s="38">
        <f t="shared" ref="M401:M406" si="161">SUM(J401:L401)</f>
        <v>264</v>
      </c>
      <c r="N401" s="10"/>
      <c r="O401" s="10"/>
      <c r="P401" s="10"/>
      <c r="Q401" s="38">
        <f t="shared" ref="Q401:Q407" si="162">SUM(N401:P401)</f>
        <v>0</v>
      </c>
      <c r="R401" s="38">
        <f t="shared" si="158"/>
        <v>21523</v>
      </c>
      <c r="T401" t="s">
        <v>2776</v>
      </c>
      <c r="V401" s="579" t="s">
        <v>2174</v>
      </c>
      <c r="W401">
        <f>+$W$395*W400</f>
        <v>270</v>
      </c>
      <c r="X401">
        <f>+$W$395*X400</f>
        <v>270</v>
      </c>
      <c r="Y401">
        <f>+$W$395*Y400</f>
        <v>1224</v>
      </c>
      <c r="Z401">
        <f>+SUM(W401:Y401)</f>
        <v>1764</v>
      </c>
      <c r="AA401">
        <f>+$W$395*AA400</f>
        <v>1710</v>
      </c>
      <c r="AB401">
        <f>+$W$395*AB400</f>
        <v>2160</v>
      </c>
      <c r="AC401">
        <f>+$W$395*AC400</f>
        <v>2430</v>
      </c>
      <c r="AD401">
        <f>+SUM(AA401:AC401)</f>
        <v>6300</v>
      </c>
      <c r="AE401">
        <f>+$W$395*AE400</f>
        <v>4590</v>
      </c>
      <c r="AF401">
        <f>+$W$395*AF400</f>
        <v>3420</v>
      </c>
      <c r="AG401">
        <f>+$W$395*AG400</f>
        <v>720</v>
      </c>
      <c r="AH401">
        <f>+SUM(AE401:AG401)</f>
        <v>8730</v>
      </c>
      <c r="AI401">
        <f>+$W$395*AI400</f>
        <v>270</v>
      </c>
      <c r="AJ401">
        <f>+$W$395*AJ400</f>
        <v>180</v>
      </c>
      <c r="AK401">
        <f>+$W$395*AK400</f>
        <v>192.42</v>
      </c>
      <c r="AL401">
        <f>+SUM(AI401:AK401)</f>
        <v>642.41999999999996</v>
      </c>
      <c r="AM401" s="727">
        <f>+Z401+AD401+AH401+AL401</f>
        <v>17436.419999999998</v>
      </c>
    </row>
    <row r="402" spans="1:39" ht="15.75" customHeight="1" x14ac:dyDescent="0.3">
      <c r="A402" s="410" t="s">
        <v>2539</v>
      </c>
      <c r="B402" s="10">
        <v>831</v>
      </c>
      <c r="C402" s="10">
        <v>2790</v>
      </c>
      <c r="D402" s="10">
        <v>6187</v>
      </c>
      <c r="E402" s="38">
        <f t="shared" si="159"/>
        <v>9808</v>
      </c>
      <c r="F402" s="10">
        <v>12671</v>
      </c>
      <c r="G402" s="10">
        <v>13350</v>
      </c>
      <c r="H402" s="10">
        <v>14101</v>
      </c>
      <c r="I402" s="38">
        <f t="shared" ref="I402" si="163">SUM(F402:H402)</f>
        <v>40122</v>
      </c>
      <c r="J402" s="10">
        <v>7067</v>
      </c>
      <c r="K402" s="10">
        <v>4253</v>
      </c>
      <c r="L402" s="10">
        <v>2406</v>
      </c>
      <c r="M402" s="38">
        <f t="shared" ref="M402" si="164">SUM(J402:L402)</f>
        <v>13726</v>
      </c>
      <c r="N402" s="10">
        <v>1207</v>
      </c>
      <c r="O402" s="10">
        <v>480</v>
      </c>
      <c r="P402" s="10">
        <v>117</v>
      </c>
      <c r="Q402" s="38">
        <f t="shared" si="162"/>
        <v>1804</v>
      </c>
      <c r="R402" s="38">
        <f t="shared" si="158"/>
        <v>65460</v>
      </c>
      <c r="T402" t="s">
        <v>2174</v>
      </c>
      <c r="V402" s="579" t="s">
        <v>500</v>
      </c>
      <c r="W402">
        <f>+$W$396*W400</f>
        <v>780</v>
      </c>
      <c r="X402">
        <f>+$W$396*X400</f>
        <v>780</v>
      </c>
      <c r="Y402">
        <f>+$W$396*Y400</f>
        <v>3536</v>
      </c>
      <c r="Z402">
        <f>+SUM(W402:Y402)</f>
        <v>5096</v>
      </c>
      <c r="AA402">
        <f>+$W$396*AA400</f>
        <v>4940</v>
      </c>
      <c r="AB402">
        <f>+$W$396*AB400</f>
        <v>6240</v>
      </c>
      <c r="AC402">
        <f>+$W$396*AC400</f>
        <v>7020</v>
      </c>
      <c r="AD402">
        <f>+SUM(AA402:AC402)</f>
        <v>18200</v>
      </c>
      <c r="AE402">
        <f>+$W$396*AE400</f>
        <v>13260</v>
      </c>
      <c r="AF402">
        <f>+$W$396*AF400</f>
        <v>9880</v>
      </c>
      <c r="AG402">
        <f>+$W$396*AG400</f>
        <v>2080</v>
      </c>
      <c r="AH402">
        <f>+SUM(AE402:AG402)</f>
        <v>25220</v>
      </c>
      <c r="AI402">
        <f>+$W$396*AI400</f>
        <v>780</v>
      </c>
      <c r="AJ402">
        <f>+$W$396*AJ400</f>
        <v>520</v>
      </c>
      <c r="AK402">
        <f>+$W$396*AK400</f>
        <v>555.88</v>
      </c>
      <c r="AL402">
        <f>+SUM(AI402:AK402)</f>
        <v>1855.88</v>
      </c>
      <c r="AM402" s="727">
        <f>+Z402+AD402+AH402+AL402</f>
        <v>50371.88</v>
      </c>
    </row>
    <row r="403" spans="1:39" ht="15.75" customHeight="1" x14ac:dyDescent="0.3">
      <c r="A403" s="410" t="s">
        <v>2728</v>
      </c>
      <c r="B403" s="10"/>
      <c r="C403" s="10"/>
      <c r="D403" s="10"/>
      <c r="E403" s="38">
        <f t="shared" ref="E403:E406" si="165">SUM(B403:D403)</f>
        <v>0</v>
      </c>
      <c r="F403" s="10"/>
      <c r="G403" s="10"/>
      <c r="H403" s="10"/>
      <c r="I403" s="38">
        <f t="shared" si="160"/>
        <v>0</v>
      </c>
      <c r="J403" s="10"/>
      <c r="K403" s="10"/>
      <c r="L403" s="10"/>
      <c r="M403" s="38">
        <f t="shared" si="161"/>
        <v>0</v>
      </c>
      <c r="N403" s="10"/>
      <c r="O403" s="10"/>
      <c r="P403" s="10"/>
      <c r="Q403" s="38">
        <f t="shared" si="162"/>
        <v>0</v>
      </c>
      <c r="R403" s="38">
        <f t="shared" si="158"/>
        <v>0</v>
      </c>
      <c r="T403" t="s">
        <v>2777</v>
      </c>
      <c r="V403" s="579" t="s">
        <v>505</v>
      </c>
      <c r="W403">
        <f>+$W$397*W400</f>
        <v>450</v>
      </c>
      <c r="X403">
        <f>+$W$397*X400</f>
        <v>450</v>
      </c>
      <c r="Y403">
        <f>+$W$397*Y400</f>
        <v>2040</v>
      </c>
      <c r="Z403">
        <f>+SUM(W403:Y403)</f>
        <v>2940</v>
      </c>
      <c r="AA403">
        <f>+$W$397*AA400</f>
        <v>2850</v>
      </c>
      <c r="AB403">
        <f>+$W$397*AB400</f>
        <v>3600</v>
      </c>
      <c r="AC403">
        <f>+$W$397*AC400</f>
        <v>4050</v>
      </c>
      <c r="AD403">
        <f>+SUM(AA403:AC403)</f>
        <v>10500</v>
      </c>
      <c r="AE403">
        <f>+$W$397*AE400</f>
        <v>7650</v>
      </c>
      <c r="AF403">
        <f>+$W$397*AF400</f>
        <v>5700</v>
      </c>
      <c r="AG403">
        <f>+$W$397*AG400</f>
        <v>1200</v>
      </c>
      <c r="AH403">
        <f>+SUM(AE403:AG403)</f>
        <v>14550</v>
      </c>
      <c r="AI403">
        <f>+$W$397*AI400</f>
        <v>450</v>
      </c>
      <c r="AJ403">
        <f>+$W$397*AJ400</f>
        <v>300</v>
      </c>
      <c r="AK403">
        <f>+$W$397*AK400</f>
        <v>320.7</v>
      </c>
      <c r="AL403">
        <f>+$W$397*AL400</f>
        <v>1070.7</v>
      </c>
      <c r="AM403" s="727">
        <f>+Z403+AD403+AH403+AL403</f>
        <v>29060.7</v>
      </c>
    </row>
    <row r="404" spans="1:39" ht="15.75" customHeight="1" thickBot="1" x14ac:dyDescent="0.35">
      <c r="A404" s="410" t="s">
        <v>2814</v>
      </c>
      <c r="B404" s="10"/>
      <c r="C404" s="10"/>
      <c r="D404" s="10"/>
      <c r="E404" s="38">
        <f t="shared" ref="E404" si="166">SUM(B404:D404)</f>
        <v>0</v>
      </c>
      <c r="F404" s="10"/>
      <c r="G404" s="10"/>
      <c r="H404" s="10"/>
      <c r="I404" s="38">
        <f t="shared" ref="I404" si="167">SUM(F404:H404)</f>
        <v>0</v>
      </c>
      <c r="J404" s="10"/>
      <c r="K404" s="10"/>
      <c r="L404" s="10"/>
      <c r="M404" s="38">
        <f t="shared" ref="M404" si="168">SUM(J404:L404)</f>
        <v>0</v>
      </c>
      <c r="N404" s="10"/>
      <c r="O404" s="10"/>
      <c r="P404" s="10"/>
      <c r="Q404" s="38">
        <f t="shared" si="162"/>
        <v>0</v>
      </c>
      <c r="R404" s="38">
        <f t="shared" si="158"/>
        <v>0</v>
      </c>
      <c r="T404" t="s">
        <v>2175</v>
      </c>
      <c r="V404" s="580"/>
      <c r="W404" s="581"/>
      <c r="X404" s="581"/>
      <c r="Y404" s="581"/>
      <c r="Z404" s="581"/>
      <c r="AA404" s="581"/>
      <c r="AB404" s="581"/>
      <c r="AC404" s="581"/>
      <c r="AD404" s="581"/>
      <c r="AE404" s="581"/>
      <c r="AF404" s="581"/>
      <c r="AG404" s="581"/>
      <c r="AH404" s="581"/>
      <c r="AI404" s="581"/>
      <c r="AJ404" s="581"/>
      <c r="AK404" s="581"/>
      <c r="AL404" s="581"/>
      <c r="AM404" s="565"/>
    </row>
    <row r="405" spans="1:39" s="707" customFormat="1" ht="15.75" customHeight="1" x14ac:dyDescent="0.3">
      <c r="A405" s="728" t="s">
        <v>3206</v>
      </c>
      <c r="B405" s="542"/>
      <c r="C405" s="542"/>
      <c r="D405" s="542"/>
      <c r="E405" s="543">
        <f t="shared" si="165"/>
        <v>0</v>
      </c>
      <c r="F405" s="542"/>
      <c r="G405" s="542"/>
      <c r="H405" s="542"/>
      <c r="I405" s="543">
        <f t="shared" si="160"/>
        <v>0</v>
      </c>
      <c r="J405" s="542"/>
      <c r="K405" s="542"/>
      <c r="L405" s="542"/>
      <c r="M405" s="543">
        <f t="shared" si="161"/>
        <v>0</v>
      </c>
      <c r="N405" s="542"/>
      <c r="O405" s="542"/>
      <c r="P405" s="542"/>
      <c r="Q405" s="543">
        <f t="shared" ref="Q405" si="169">SUM(N405:P405)</f>
        <v>0</v>
      </c>
      <c r="R405" s="543">
        <f t="shared" si="158"/>
        <v>0</v>
      </c>
    </row>
    <row r="406" spans="1:39" ht="15.75" customHeight="1" x14ac:dyDescent="0.3">
      <c r="A406" s="410" t="s">
        <v>2779</v>
      </c>
      <c r="B406" s="10"/>
      <c r="C406" s="10"/>
      <c r="D406" s="10"/>
      <c r="E406" s="38">
        <f t="shared" si="165"/>
        <v>0</v>
      </c>
      <c r="F406" s="10"/>
      <c r="G406" s="10"/>
      <c r="H406" s="10"/>
      <c r="I406" s="38">
        <f t="shared" si="160"/>
        <v>0</v>
      </c>
      <c r="J406" s="10"/>
      <c r="K406" s="10"/>
      <c r="L406" s="10"/>
      <c r="M406" s="38">
        <f t="shared" si="161"/>
        <v>0</v>
      </c>
      <c r="N406" s="10"/>
      <c r="O406" s="10"/>
      <c r="P406" s="10"/>
      <c r="Q406" s="38">
        <f t="shared" si="162"/>
        <v>0</v>
      </c>
      <c r="R406" s="38">
        <f t="shared" si="158"/>
        <v>0</v>
      </c>
      <c r="T406" t="s">
        <v>2178</v>
      </c>
    </row>
    <row r="407" spans="1:39" ht="15.75" customHeight="1" x14ac:dyDescent="0.3">
      <c r="A407" s="311" t="s">
        <v>1513</v>
      </c>
      <c r="B407" s="10"/>
      <c r="C407" s="10">
        <v>160</v>
      </c>
      <c r="D407" s="10">
        <v>200</v>
      </c>
      <c r="E407" s="38">
        <f t="shared" ref="E407" si="170">SUM(B407:D407)</f>
        <v>360</v>
      </c>
      <c r="F407" s="10">
        <v>200</v>
      </c>
      <c r="G407" s="10">
        <v>400</v>
      </c>
      <c r="H407" s="10">
        <v>400</v>
      </c>
      <c r="I407" s="38">
        <f t="shared" ref="I407" si="171">SUM(F407:H407)</f>
        <v>1000</v>
      </c>
      <c r="J407" s="10">
        <v>1199</v>
      </c>
      <c r="K407" s="10">
        <v>4397</v>
      </c>
      <c r="L407" s="10">
        <v>2798</v>
      </c>
      <c r="M407" s="38">
        <f t="shared" ref="M407" si="172">SUM(J407:L407)</f>
        <v>8394</v>
      </c>
      <c r="N407" s="10">
        <v>3198</v>
      </c>
      <c r="O407" s="10">
        <v>3198</v>
      </c>
      <c r="P407" s="10">
        <v>4024</v>
      </c>
      <c r="Q407" s="38">
        <f t="shared" si="162"/>
        <v>10420</v>
      </c>
      <c r="R407" s="38">
        <f t="shared" si="158"/>
        <v>20174</v>
      </c>
    </row>
    <row r="408" spans="1:39" ht="15.75" customHeight="1" thickBot="1" x14ac:dyDescent="0.35">
      <c r="A408" s="234" t="s">
        <v>2165</v>
      </c>
      <c r="B408" s="10"/>
      <c r="C408" s="10"/>
      <c r="D408" s="10"/>
      <c r="E408" s="38" t="s">
        <v>852</v>
      </c>
      <c r="F408" s="10"/>
      <c r="G408" s="10"/>
      <c r="H408" s="10"/>
      <c r="I408" s="38" t="s">
        <v>852</v>
      </c>
      <c r="J408" s="10"/>
      <c r="K408" s="10"/>
      <c r="L408" s="10"/>
      <c r="M408" s="38" t="s">
        <v>852</v>
      </c>
      <c r="N408" s="10"/>
      <c r="O408" s="10"/>
      <c r="P408" s="10"/>
      <c r="Q408" s="38" t="s">
        <v>852</v>
      </c>
      <c r="R408" s="38" t="s">
        <v>852</v>
      </c>
    </row>
    <row r="409" spans="1:39" ht="16.5" customHeight="1" thickBot="1" x14ac:dyDescent="0.35">
      <c r="A409" s="43" t="s">
        <v>1219</v>
      </c>
      <c r="B409" s="45">
        <f>SUM(B396:B408)</f>
        <v>1262</v>
      </c>
      <c r="C409" s="46">
        <f>SUM(C396:C408)</f>
        <v>3541</v>
      </c>
      <c r="D409" s="46">
        <f>SUM(D396:D408)</f>
        <v>9425</v>
      </c>
      <c r="E409" s="37">
        <f>SUM(B409:D409)</f>
        <v>14228</v>
      </c>
      <c r="F409" s="46">
        <f>SUM(F396:F408)</f>
        <v>19939</v>
      </c>
      <c r="G409" s="46">
        <f>SUM(G396:G408)</f>
        <v>20194</v>
      </c>
      <c r="H409" s="46">
        <f>SUM(H396:H408)</f>
        <v>22890</v>
      </c>
      <c r="I409" s="37">
        <f>SUM(F409:H409)</f>
        <v>63023</v>
      </c>
      <c r="J409" s="46">
        <f>SUM(J396:J408)</f>
        <v>10418</v>
      </c>
      <c r="K409" s="46">
        <f>SUM(K396:K408)</f>
        <v>10226</v>
      </c>
      <c r="L409" s="46">
        <f>SUM(L396:L408)</f>
        <v>5428</v>
      </c>
      <c r="M409" s="37">
        <f>SUM(J409:L409)</f>
        <v>26072</v>
      </c>
      <c r="N409" s="46">
        <f>SUM(N396:N408)</f>
        <v>4613</v>
      </c>
      <c r="O409" s="46">
        <f>SUM(O396:O408)</f>
        <v>3782</v>
      </c>
      <c r="P409" s="46">
        <f>SUM(P396:P408)</f>
        <v>4214</v>
      </c>
      <c r="Q409" s="37">
        <f>SUM(N409:P409)</f>
        <v>12609</v>
      </c>
      <c r="R409" s="37">
        <f>+E409+I409+M409+Q409</f>
        <v>115932</v>
      </c>
    </row>
    <row r="410" spans="1:39" ht="15.75" customHeight="1" x14ac:dyDescent="0.3">
      <c r="A410" s="234" t="s">
        <v>2166</v>
      </c>
      <c r="B410" s="10"/>
      <c r="C410" s="10"/>
      <c r="D410" s="10"/>
      <c r="E410" s="38" t="s">
        <v>852</v>
      </c>
      <c r="F410" s="10"/>
      <c r="G410" s="10"/>
      <c r="H410" s="10"/>
      <c r="I410" s="38" t="s">
        <v>852</v>
      </c>
      <c r="J410" s="10"/>
      <c r="K410" s="10"/>
      <c r="L410" s="10"/>
      <c r="M410" s="38" t="s">
        <v>852</v>
      </c>
      <c r="N410" s="10"/>
      <c r="O410" s="10"/>
      <c r="P410" s="10"/>
      <c r="Q410" s="38" t="s">
        <v>852</v>
      </c>
      <c r="R410" s="38" t="s">
        <v>852</v>
      </c>
    </row>
    <row r="411" spans="1:39" ht="15.75" customHeight="1" x14ac:dyDescent="0.3">
      <c r="A411" s="234" t="s">
        <v>1245</v>
      </c>
      <c r="B411" s="10"/>
      <c r="C411" s="10"/>
      <c r="D411" s="10"/>
      <c r="E411" s="38" t="s">
        <v>852</v>
      </c>
      <c r="F411" s="10"/>
      <c r="G411" s="10"/>
      <c r="H411" s="10"/>
      <c r="I411" s="38" t="s">
        <v>852</v>
      </c>
      <c r="J411" s="10"/>
      <c r="K411" s="10"/>
      <c r="L411" s="10"/>
      <c r="M411" s="38" t="s">
        <v>852</v>
      </c>
      <c r="N411" s="10"/>
      <c r="O411" s="10"/>
      <c r="P411" s="10"/>
      <c r="Q411" s="38" t="s">
        <v>852</v>
      </c>
      <c r="R411" s="38" t="s">
        <v>852</v>
      </c>
    </row>
    <row r="412" spans="1:39" ht="15.75" customHeight="1" x14ac:dyDescent="0.3">
      <c r="A412" s="311" t="s">
        <v>727</v>
      </c>
      <c r="B412" s="10">
        <v>2645</v>
      </c>
      <c r="C412" s="10">
        <v>2750</v>
      </c>
      <c r="D412" s="10">
        <v>7385</v>
      </c>
      <c r="E412" s="38">
        <f>SUM(B412:D412)</f>
        <v>12780</v>
      </c>
      <c r="F412" s="10">
        <v>8443</v>
      </c>
      <c r="G412" s="10">
        <v>8998</v>
      </c>
      <c r="H412" s="10">
        <v>11669</v>
      </c>
      <c r="I412" s="38">
        <f>SUM(F412:H412)</f>
        <v>29110</v>
      </c>
      <c r="J412" s="10">
        <v>11093</v>
      </c>
      <c r="K412" s="10">
        <v>10559</v>
      </c>
      <c r="L412" s="10">
        <v>6338</v>
      </c>
      <c r="M412" s="38">
        <f>SUM(J412:L412)</f>
        <v>27990</v>
      </c>
      <c r="N412" s="10">
        <v>3190</v>
      </c>
      <c r="O412" s="10">
        <v>2650</v>
      </c>
      <c r="P412" s="10">
        <v>1660</v>
      </c>
      <c r="Q412" s="38">
        <f>SUM(N412:P412)</f>
        <v>7500</v>
      </c>
      <c r="R412" s="38">
        <f>+E412+I412+M412+Q412</f>
        <v>77380</v>
      </c>
      <c r="T412" t="s">
        <v>2174</v>
      </c>
    </row>
    <row r="413" spans="1:39" ht="15.75" customHeight="1" x14ac:dyDescent="0.3">
      <c r="A413" s="410" t="s">
        <v>2618</v>
      </c>
      <c r="B413" s="10">
        <v>6917</v>
      </c>
      <c r="C413" s="10">
        <f>1000+6917</f>
        <v>7917</v>
      </c>
      <c r="D413" s="10">
        <f>1250+1000+6917</f>
        <v>9167</v>
      </c>
      <c r="E413" s="38">
        <f>SUM(B413:D413)</f>
        <v>24001</v>
      </c>
      <c r="F413" s="10">
        <f>1254+1000+6917</f>
        <v>9171</v>
      </c>
      <c r="G413" s="10">
        <f>3500+1000+6917</f>
        <v>11417</v>
      </c>
      <c r="H413" s="10">
        <f>4000+1000+6917</f>
        <v>11917</v>
      </c>
      <c r="I413" s="38">
        <f>SUM(F413:H413)</f>
        <v>32505</v>
      </c>
      <c r="J413" s="10">
        <f>4000+1000+6917</f>
        <v>11917</v>
      </c>
      <c r="K413" s="10">
        <f>4000+1000+6917</f>
        <v>11917</v>
      </c>
      <c r="L413" s="10">
        <f>4500+1000+6917</f>
        <v>12417</v>
      </c>
      <c r="M413" s="38">
        <f>SUM(J413:L413)</f>
        <v>36251</v>
      </c>
      <c r="N413" s="10">
        <f>6000+1000+6917</f>
        <v>13917</v>
      </c>
      <c r="O413" s="10">
        <f>6000+6917</f>
        <v>12917</v>
      </c>
      <c r="P413" s="10">
        <v>7659</v>
      </c>
      <c r="Q413" s="38">
        <f>SUM(N413:P413)</f>
        <v>34493</v>
      </c>
      <c r="R413" s="38">
        <f>+E413+I413+M413+Q413</f>
        <v>127250</v>
      </c>
    </row>
    <row r="414" spans="1:39" ht="15.75" customHeight="1" x14ac:dyDescent="0.3">
      <c r="A414" s="410" t="s">
        <v>3416</v>
      </c>
      <c r="B414" s="10"/>
      <c r="C414" s="10"/>
      <c r="D414" s="10"/>
      <c r="E414" s="38">
        <f>SUM(B414:D414)</f>
        <v>0</v>
      </c>
      <c r="F414" s="10">
        <v>200</v>
      </c>
      <c r="G414" s="10"/>
      <c r="H414" s="10">
        <v>350</v>
      </c>
      <c r="I414" s="38">
        <f>SUM(F414:H414)</f>
        <v>550</v>
      </c>
      <c r="J414" s="10">
        <v>850</v>
      </c>
      <c r="K414" s="10">
        <v>415</v>
      </c>
      <c r="L414" s="10"/>
      <c r="M414" s="38">
        <f>SUM(J414:L414)</f>
        <v>1265</v>
      </c>
      <c r="N414" s="10"/>
      <c r="O414" s="10"/>
      <c r="P414" s="10"/>
      <c r="Q414" s="38">
        <f>SUM(N414:P414)</f>
        <v>0</v>
      </c>
      <c r="R414" s="38">
        <f>+E414+I414+M414+Q414</f>
        <v>1815</v>
      </c>
    </row>
    <row r="415" spans="1:39" ht="15.75" customHeight="1" x14ac:dyDescent="0.3">
      <c r="A415" s="410" t="s">
        <v>3370</v>
      </c>
      <c r="B415" s="10">
        <v>1650</v>
      </c>
      <c r="C415" s="10">
        <v>1650</v>
      </c>
      <c r="D415" s="10">
        <v>1650</v>
      </c>
      <c r="E415" s="38">
        <f>SUM(B415:D415)</f>
        <v>4950</v>
      </c>
      <c r="F415" s="10">
        <v>1650</v>
      </c>
      <c r="G415" s="10">
        <v>1650</v>
      </c>
      <c r="H415" s="10">
        <v>1650</v>
      </c>
      <c r="I415" s="38">
        <f>SUM(F415:H415)</f>
        <v>4950</v>
      </c>
      <c r="J415" s="10">
        <v>1650</v>
      </c>
      <c r="K415" s="10">
        <v>1650</v>
      </c>
      <c r="L415" s="10">
        <v>1650</v>
      </c>
      <c r="M415" s="38">
        <f>SUM(J415:L415)</f>
        <v>4950</v>
      </c>
      <c r="N415" s="10">
        <v>1650</v>
      </c>
      <c r="O415" s="10">
        <v>1685</v>
      </c>
      <c r="P415" s="10"/>
      <c r="Q415" s="38">
        <f>SUM(N415:P415)</f>
        <v>3335</v>
      </c>
      <c r="R415" s="38">
        <f>+E415+I415+M415+Q415</f>
        <v>18185</v>
      </c>
      <c r="T415" t="s">
        <v>2176</v>
      </c>
    </row>
    <row r="416" spans="1:39" ht="15.75" customHeight="1" x14ac:dyDescent="0.3">
      <c r="A416" s="234" t="s">
        <v>1711</v>
      </c>
      <c r="B416" s="10"/>
      <c r="C416" s="10"/>
      <c r="D416" s="10"/>
      <c r="E416" s="38" t="s">
        <v>852</v>
      </c>
      <c r="F416" s="10"/>
      <c r="G416" s="10"/>
      <c r="H416" s="10"/>
      <c r="I416" s="38" t="s">
        <v>852</v>
      </c>
      <c r="J416" s="10"/>
      <c r="K416" s="10"/>
      <c r="L416" s="10"/>
      <c r="M416" s="38" t="s">
        <v>852</v>
      </c>
      <c r="N416" s="10"/>
      <c r="O416" s="10"/>
      <c r="P416" s="10"/>
      <c r="Q416" s="38" t="s">
        <v>852</v>
      </c>
      <c r="R416" s="38" t="s">
        <v>852</v>
      </c>
    </row>
    <row r="417" spans="1:20" ht="15.75" customHeight="1" x14ac:dyDescent="0.3">
      <c r="A417" s="410" t="s">
        <v>3151</v>
      </c>
      <c r="B417" s="10"/>
      <c r="C417" s="10"/>
      <c r="D417" s="10"/>
      <c r="E417" s="38">
        <f>SUM(B417:D417)</f>
        <v>0</v>
      </c>
      <c r="F417" s="10"/>
      <c r="G417" s="10"/>
      <c r="H417" s="10">
        <v>3500</v>
      </c>
      <c r="I417" s="38">
        <f t="shared" ref="I417:I418" si="173">SUM(F417:H417)</f>
        <v>3500</v>
      </c>
      <c r="J417" s="10">
        <v>977</v>
      </c>
      <c r="K417" s="10"/>
      <c r="L417" s="10"/>
      <c r="M417" s="38">
        <f>SUM(J417:L417)</f>
        <v>977</v>
      </c>
      <c r="N417" s="10"/>
      <c r="O417" s="10"/>
      <c r="P417" s="10"/>
      <c r="Q417" s="38">
        <f>SUM(N417:P417)</f>
        <v>0</v>
      </c>
      <c r="R417" s="38">
        <f t="shared" ref="R417:R478" si="174">+E417+I417+M417+Q417</f>
        <v>4477</v>
      </c>
    </row>
    <row r="418" spans="1:20" ht="15.75" customHeight="1" x14ac:dyDescent="0.3">
      <c r="A418" s="410" t="s">
        <v>3329</v>
      </c>
      <c r="B418" s="10"/>
      <c r="C418" s="10"/>
      <c r="D418" s="10"/>
      <c r="E418" s="38">
        <f>SUM(B418:D418)</f>
        <v>0</v>
      </c>
      <c r="F418" s="10"/>
      <c r="G418" s="10"/>
      <c r="H418" s="10"/>
      <c r="I418" s="38">
        <f t="shared" si="173"/>
        <v>0</v>
      </c>
      <c r="J418" s="10"/>
      <c r="K418" s="10"/>
      <c r="L418" s="10"/>
      <c r="M418" s="38">
        <f>SUM(J418:L418)</f>
        <v>0</v>
      </c>
      <c r="N418" s="10"/>
      <c r="O418" s="10"/>
      <c r="P418" s="10"/>
      <c r="Q418" s="38">
        <f>SUM(N418:P418)</f>
        <v>0</v>
      </c>
      <c r="R418" s="38">
        <f t="shared" si="174"/>
        <v>0</v>
      </c>
    </row>
    <row r="419" spans="1:20" ht="15.75" customHeight="1" x14ac:dyDescent="0.3">
      <c r="A419" s="410" t="s">
        <v>3384</v>
      </c>
      <c r="B419" s="10"/>
      <c r="C419" s="10"/>
      <c r="D419" s="10"/>
      <c r="E419" s="38">
        <f>SUM(B419:D419)</f>
        <v>0</v>
      </c>
      <c r="F419" s="10"/>
      <c r="G419" s="10">
        <v>3000</v>
      </c>
      <c r="H419" s="10">
        <v>933</v>
      </c>
      <c r="I419" s="38">
        <f>SUM(F419:H419)</f>
        <v>3933</v>
      </c>
      <c r="J419" s="10"/>
      <c r="K419" s="10"/>
      <c r="L419" s="10"/>
      <c r="M419" s="38">
        <f>SUM(J419:L419)</f>
        <v>0</v>
      </c>
      <c r="N419" s="10"/>
      <c r="O419" s="10"/>
      <c r="P419" s="10"/>
      <c r="Q419" s="38">
        <f>SUM(N419:P419)</f>
        <v>0</v>
      </c>
      <c r="R419" s="38">
        <f t="shared" si="174"/>
        <v>3933</v>
      </c>
    </row>
    <row r="420" spans="1:20" ht="15.75" customHeight="1" x14ac:dyDescent="0.3">
      <c r="A420" s="410" t="s">
        <v>3148</v>
      </c>
      <c r="B420" s="10"/>
      <c r="C420" s="10"/>
      <c r="D420" s="10"/>
      <c r="E420" s="38">
        <f t="shared" ref="E420:E478" si="175">SUM(B420:D420)</f>
        <v>0</v>
      </c>
      <c r="F420" s="10"/>
      <c r="G420" s="10"/>
      <c r="H420" s="10"/>
      <c r="I420" s="38">
        <f t="shared" ref="I420:I478" si="176">SUM(F420:H420)</f>
        <v>0</v>
      </c>
      <c r="J420" s="10"/>
      <c r="K420" s="10"/>
      <c r="L420" s="10"/>
      <c r="M420" s="38">
        <f t="shared" ref="M420:M478" si="177">SUM(J420:L420)</f>
        <v>0</v>
      </c>
      <c r="N420" s="10"/>
      <c r="O420" s="10"/>
      <c r="P420" s="10"/>
      <c r="Q420" s="38">
        <f t="shared" ref="Q420:Q479" si="178">SUM(N420:P420)</f>
        <v>0</v>
      </c>
      <c r="R420" s="38">
        <f t="shared" si="174"/>
        <v>0</v>
      </c>
    </row>
    <row r="421" spans="1:20" ht="15.75" customHeight="1" x14ac:dyDescent="0.3">
      <c r="A421" s="410" t="s">
        <v>3048</v>
      </c>
      <c r="B421" s="10"/>
      <c r="C421" s="10">
        <v>172</v>
      </c>
      <c r="D421" s="10"/>
      <c r="E421" s="38">
        <f t="shared" si="175"/>
        <v>172</v>
      </c>
      <c r="F421" s="10"/>
      <c r="G421" s="10"/>
      <c r="H421" s="10"/>
      <c r="I421" s="38">
        <f t="shared" si="176"/>
        <v>0</v>
      </c>
      <c r="J421" s="10"/>
      <c r="K421" s="10"/>
      <c r="L421" s="10"/>
      <c r="M421" s="38">
        <f t="shared" si="177"/>
        <v>0</v>
      </c>
      <c r="N421" s="10"/>
      <c r="O421" s="10"/>
      <c r="P421" s="10"/>
      <c r="Q421" s="38">
        <f t="shared" si="178"/>
        <v>0</v>
      </c>
      <c r="R421" s="38">
        <f t="shared" si="174"/>
        <v>172</v>
      </c>
      <c r="T421" t="s">
        <v>1358</v>
      </c>
    </row>
    <row r="422" spans="1:20" ht="15.75" customHeight="1" x14ac:dyDescent="0.3">
      <c r="A422" s="410" t="s">
        <v>3396</v>
      </c>
      <c r="B422" s="10"/>
      <c r="C422" s="10"/>
      <c r="D422" s="10"/>
      <c r="E422" s="38">
        <f t="shared" si="175"/>
        <v>0</v>
      </c>
      <c r="F422" s="10"/>
      <c r="G422" s="10"/>
      <c r="H422" s="10"/>
      <c r="I422" s="38">
        <f t="shared" si="176"/>
        <v>0</v>
      </c>
      <c r="J422" s="10"/>
      <c r="K422" s="10">
        <v>180</v>
      </c>
      <c r="L422" s="10">
        <v>1427</v>
      </c>
      <c r="M422" s="38">
        <f t="shared" si="177"/>
        <v>1607</v>
      </c>
      <c r="N422" s="10">
        <v>843</v>
      </c>
      <c r="O422" s="10"/>
      <c r="P422" s="10"/>
      <c r="Q422" s="38">
        <f t="shared" si="178"/>
        <v>843</v>
      </c>
      <c r="R422" s="38">
        <f t="shared" si="174"/>
        <v>2450</v>
      </c>
    </row>
    <row r="423" spans="1:20" ht="15.75" customHeight="1" x14ac:dyDescent="0.3">
      <c r="A423" s="410" t="s">
        <v>2781</v>
      </c>
      <c r="B423" s="10">
        <v>1142</v>
      </c>
      <c r="C423" s="10">
        <v>395</v>
      </c>
      <c r="D423" s="10"/>
      <c r="E423" s="38">
        <f t="shared" si="175"/>
        <v>1537</v>
      </c>
      <c r="F423" s="10"/>
      <c r="G423" s="10"/>
      <c r="H423" s="10"/>
      <c r="I423" s="38">
        <f t="shared" si="176"/>
        <v>0</v>
      </c>
      <c r="J423" s="10"/>
      <c r="K423" s="10"/>
      <c r="L423" s="10"/>
      <c r="M423" s="38">
        <f t="shared" si="177"/>
        <v>0</v>
      </c>
      <c r="N423" s="10"/>
      <c r="O423" s="10"/>
      <c r="P423" s="10"/>
      <c r="Q423" s="38">
        <f t="shared" si="178"/>
        <v>0</v>
      </c>
      <c r="R423" s="38">
        <f t="shared" si="174"/>
        <v>1537</v>
      </c>
      <c r="T423" t="s">
        <v>2780</v>
      </c>
    </row>
    <row r="424" spans="1:20" ht="15.75" customHeight="1" x14ac:dyDescent="0.3">
      <c r="A424" s="410" t="s">
        <v>2782</v>
      </c>
      <c r="B424" s="10"/>
      <c r="C424" s="10"/>
      <c r="D424" s="10"/>
      <c r="E424" s="38">
        <f t="shared" si="175"/>
        <v>0</v>
      </c>
      <c r="F424" s="10"/>
      <c r="G424" s="10"/>
      <c r="H424" s="10"/>
      <c r="I424" s="38">
        <f t="shared" si="176"/>
        <v>0</v>
      </c>
      <c r="J424" s="10"/>
      <c r="K424" s="10"/>
      <c r="L424" s="10"/>
      <c r="M424" s="38">
        <f t="shared" si="177"/>
        <v>0</v>
      </c>
      <c r="N424" s="10"/>
      <c r="O424" s="10"/>
      <c r="P424" s="10"/>
      <c r="Q424" s="38">
        <f t="shared" si="178"/>
        <v>0</v>
      </c>
      <c r="R424" s="38">
        <f t="shared" si="174"/>
        <v>0</v>
      </c>
      <c r="T424" t="s">
        <v>1358</v>
      </c>
    </row>
    <row r="425" spans="1:20" ht="15.75" customHeight="1" x14ac:dyDescent="0.3">
      <c r="A425" s="311" t="s">
        <v>1150</v>
      </c>
      <c r="B425" s="10"/>
      <c r="C425" s="10">
        <v>627</v>
      </c>
      <c r="D425" s="10"/>
      <c r="E425" s="38">
        <f t="shared" si="175"/>
        <v>627</v>
      </c>
      <c r="F425" s="10"/>
      <c r="G425" s="10"/>
      <c r="H425" s="10"/>
      <c r="I425" s="38">
        <f t="shared" si="176"/>
        <v>0</v>
      </c>
      <c r="J425" s="10"/>
      <c r="K425" s="10"/>
      <c r="L425" s="10"/>
      <c r="M425" s="38">
        <f t="shared" si="177"/>
        <v>0</v>
      </c>
      <c r="N425" s="10"/>
      <c r="O425" s="10"/>
      <c r="P425" s="10"/>
      <c r="Q425" s="38">
        <f t="shared" si="178"/>
        <v>0</v>
      </c>
      <c r="R425" s="38">
        <f t="shared" si="174"/>
        <v>627</v>
      </c>
    </row>
    <row r="426" spans="1:20" ht="15.75" customHeight="1" x14ac:dyDescent="0.3">
      <c r="A426" s="410" t="s">
        <v>3207</v>
      </c>
      <c r="B426" s="10"/>
      <c r="C426" s="10"/>
      <c r="D426" s="10"/>
      <c r="E426" s="38">
        <f t="shared" si="175"/>
        <v>0</v>
      </c>
      <c r="F426" s="10"/>
      <c r="G426" s="10"/>
      <c r="H426" s="10"/>
      <c r="I426" s="38">
        <f t="shared" si="176"/>
        <v>0</v>
      </c>
      <c r="J426" s="10"/>
      <c r="K426" s="10"/>
      <c r="L426" s="10"/>
      <c r="M426" s="38">
        <f t="shared" si="177"/>
        <v>0</v>
      </c>
      <c r="N426" s="10"/>
      <c r="O426" s="10"/>
      <c r="P426" s="10"/>
      <c r="Q426" s="38">
        <f t="shared" si="178"/>
        <v>0</v>
      </c>
      <c r="R426" s="38">
        <f t="shared" si="174"/>
        <v>0</v>
      </c>
    </row>
    <row r="427" spans="1:20" ht="15.75" customHeight="1" x14ac:dyDescent="0.3">
      <c r="A427" s="410" t="s">
        <v>2598</v>
      </c>
      <c r="B427" s="10"/>
      <c r="C427" s="10"/>
      <c r="D427" s="10"/>
      <c r="E427" s="38">
        <f t="shared" si="175"/>
        <v>0</v>
      </c>
      <c r="F427" s="10"/>
      <c r="G427" s="10"/>
      <c r="H427" s="10"/>
      <c r="I427" s="38">
        <f t="shared" si="176"/>
        <v>0</v>
      </c>
      <c r="J427" s="10"/>
      <c r="K427" s="10"/>
      <c r="L427" s="10"/>
      <c r="M427" s="38">
        <f t="shared" si="177"/>
        <v>0</v>
      </c>
      <c r="N427" s="10"/>
      <c r="O427" s="10"/>
      <c r="P427" s="10"/>
      <c r="Q427" s="38">
        <f t="shared" si="178"/>
        <v>0</v>
      </c>
      <c r="R427" s="38">
        <f>+E427+I427+M427+Q427</f>
        <v>0</v>
      </c>
      <c r="T427" t="s">
        <v>2178</v>
      </c>
    </row>
    <row r="428" spans="1:20" ht="15.75" customHeight="1" x14ac:dyDescent="0.3">
      <c r="A428" s="410" t="s">
        <v>2978</v>
      </c>
      <c r="B428" s="10"/>
      <c r="C428" s="10"/>
      <c r="D428" s="10"/>
      <c r="E428" s="38">
        <f t="shared" si="175"/>
        <v>0</v>
      </c>
      <c r="F428" s="10"/>
      <c r="G428" s="10"/>
      <c r="H428" s="10"/>
      <c r="I428" s="38">
        <f t="shared" si="176"/>
        <v>0</v>
      </c>
      <c r="J428" s="10"/>
      <c r="K428" s="10"/>
      <c r="L428" s="10"/>
      <c r="M428" s="38">
        <f t="shared" si="177"/>
        <v>0</v>
      </c>
      <c r="N428" s="10"/>
      <c r="O428" s="10"/>
      <c r="P428" s="10"/>
      <c r="Q428" s="38">
        <f t="shared" si="178"/>
        <v>0</v>
      </c>
      <c r="R428" s="38">
        <f t="shared" si="174"/>
        <v>0</v>
      </c>
      <c r="T428" t="s">
        <v>2174</v>
      </c>
    </row>
    <row r="429" spans="1:20" ht="15.75" customHeight="1" x14ac:dyDescent="0.3">
      <c r="A429" s="410" t="s">
        <v>2729</v>
      </c>
      <c r="B429" s="10">
        <v>1000</v>
      </c>
      <c r="C429" s="10">
        <v>1000</v>
      </c>
      <c r="D429" s="10">
        <v>1000</v>
      </c>
      <c r="E429" s="38">
        <f t="shared" si="175"/>
        <v>3000</v>
      </c>
      <c r="F429" s="10">
        <v>1000</v>
      </c>
      <c r="G429" s="10">
        <v>1000</v>
      </c>
      <c r="H429" s="10">
        <v>1000</v>
      </c>
      <c r="I429" s="38">
        <f t="shared" si="176"/>
        <v>3000</v>
      </c>
      <c r="J429" s="10">
        <v>1000</v>
      </c>
      <c r="K429" s="10">
        <v>1000</v>
      </c>
      <c r="L429" s="10"/>
      <c r="M429" s="38">
        <f t="shared" si="177"/>
        <v>2000</v>
      </c>
      <c r="N429" s="10"/>
      <c r="O429" s="10"/>
      <c r="P429" s="10"/>
      <c r="Q429" s="38">
        <f t="shared" si="178"/>
        <v>0</v>
      </c>
      <c r="R429" s="38">
        <f t="shared" si="174"/>
        <v>8000</v>
      </c>
    </row>
    <row r="430" spans="1:20" ht="15.75" customHeight="1" x14ac:dyDescent="0.3">
      <c r="A430" s="311" t="s">
        <v>464</v>
      </c>
      <c r="B430" s="10"/>
      <c r="C430" s="10">
        <v>200</v>
      </c>
      <c r="D430" s="10">
        <v>500</v>
      </c>
      <c r="E430" s="38">
        <f t="shared" si="175"/>
        <v>700</v>
      </c>
      <c r="F430" s="10">
        <v>900</v>
      </c>
      <c r="G430" s="10">
        <v>1400</v>
      </c>
      <c r="H430" s="10">
        <v>1800</v>
      </c>
      <c r="I430" s="38">
        <f t="shared" si="176"/>
        <v>4100</v>
      </c>
      <c r="J430" s="10">
        <v>1000</v>
      </c>
      <c r="K430" s="10">
        <v>200</v>
      </c>
      <c r="L430" s="10"/>
      <c r="M430" s="38">
        <f t="shared" si="177"/>
        <v>1200</v>
      </c>
      <c r="N430" s="10"/>
      <c r="O430" s="10"/>
      <c r="P430" s="10"/>
      <c r="Q430" s="38">
        <f t="shared" si="178"/>
        <v>0</v>
      </c>
      <c r="R430" s="38">
        <f t="shared" si="174"/>
        <v>6000</v>
      </c>
      <c r="T430" t="s">
        <v>2174</v>
      </c>
    </row>
    <row r="431" spans="1:20" ht="15.75" customHeight="1" x14ac:dyDescent="0.3">
      <c r="A431" s="410" t="s">
        <v>1381</v>
      </c>
      <c r="B431" s="10"/>
      <c r="C431" s="10"/>
      <c r="D431" s="10"/>
      <c r="E431" s="38">
        <f t="shared" si="175"/>
        <v>0</v>
      </c>
      <c r="F431" s="10"/>
      <c r="G431" s="10"/>
      <c r="H431" s="10">
        <v>9000</v>
      </c>
      <c r="I431" s="38">
        <f t="shared" si="176"/>
        <v>9000</v>
      </c>
      <c r="J431" s="10"/>
      <c r="K431" s="10"/>
      <c r="L431" s="10"/>
      <c r="M431" s="38">
        <f t="shared" si="177"/>
        <v>0</v>
      </c>
      <c r="N431" s="10"/>
      <c r="O431" s="10"/>
      <c r="P431" s="10"/>
      <c r="Q431" s="38">
        <f t="shared" si="178"/>
        <v>0</v>
      </c>
      <c r="R431" s="38">
        <f t="shared" si="174"/>
        <v>9000</v>
      </c>
    </row>
    <row r="432" spans="1:20" ht="15.75" customHeight="1" x14ac:dyDescent="0.3">
      <c r="A432" s="410" t="s">
        <v>3392</v>
      </c>
      <c r="B432" s="10"/>
      <c r="C432" s="10"/>
      <c r="D432" s="10"/>
      <c r="E432" s="38">
        <f t="shared" si="175"/>
        <v>0</v>
      </c>
      <c r="F432" s="10">
        <v>2000</v>
      </c>
      <c r="G432" s="10">
        <v>1500</v>
      </c>
      <c r="H432" s="10">
        <v>1500</v>
      </c>
      <c r="I432" s="38">
        <f t="shared" si="176"/>
        <v>5000</v>
      </c>
      <c r="J432" s="10"/>
      <c r="K432" s="10"/>
      <c r="L432" s="10"/>
      <c r="M432" s="38">
        <f t="shared" si="177"/>
        <v>0</v>
      </c>
      <c r="N432" s="10"/>
      <c r="O432" s="10"/>
      <c r="P432" s="10"/>
      <c r="Q432" s="38">
        <f t="shared" ref="Q432" si="179">SUM(N432:P432)</f>
        <v>0</v>
      </c>
      <c r="R432" s="38">
        <f t="shared" si="174"/>
        <v>5000</v>
      </c>
    </row>
    <row r="433" spans="1:20" ht="15.75" customHeight="1" x14ac:dyDescent="0.3">
      <c r="A433" s="410" t="s">
        <v>3367</v>
      </c>
      <c r="B433" s="10"/>
      <c r="C433" s="10"/>
      <c r="D433" s="10"/>
      <c r="E433" s="38">
        <f t="shared" si="175"/>
        <v>0</v>
      </c>
      <c r="F433" s="10"/>
      <c r="G433" s="10"/>
      <c r="H433" s="10">
        <f>445+1622</f>
        <v>2067</v>
      </c>
      <c r="I433" s="38">
        <f t="shared" si="176"/>
        <v>2067</v>
      </c>
      <c r="J433" s="10">
        <v>2000</v>
      </c>
      <c r="K433" s="10"/>
      <c r="L433" s="10"/>
      <c r="M433" s="38">
        <f t="shared" si="177"/>
        <v>2000</v>
      </c>
      <c r="N433" s="10"/>
      <c r="O433" s="10"/>
      <c r="P433" s="10"/>
      <c r="Q433" s="38">
        <f t="shared" ref="Q433" si="180">SUM(N433:P433)</f>
        <v>0</v>
      </c>
      <c r="R433" s="38">
        <f t="shared" si="174"/>
        <v>4067</v>
      </c>
    </row>
    <row r="434" spans="1:20" ht="15.75" customHeight="1" x14ac:dyDescent="0.3">
      <c r="A434" s="410" t="s">
        <v>3368</v>
      </c>
      <c r="B434" s="10"/>
      <c r="C434" s="10"/>
      <c r="D434" s="10"/>
      <c r="E434" s="38">
        <f t="shared" si="175"/>
        <v>0</v>
      </c>
      <c r="F434" s="10"/>
      <c r="G434" s="10"/>
      <c r="H434" s="10"/>
      <c r="I434" s="38">
        <f t="shared" si="176"/>
        <v>0</v>
      </c>
      <c r="J434" s="10"/>
      <c r="K434" s="10"/>
      <c r="L434" s="10">
        <f>444+556</f>
        <v>1000</v>
      </c>
      <c r="M434" s="38">
        <f t="shared" si="177"/>
        <v>1000</v>
      </c>
      <c r="N434" s="10">
        <v>1000</v>
      </c>
      <c r="O434" s="10"/>
      <c r="P434" s="10"/>
      <c r="Q434" s="38">
        <f t="shared" ref="Q434:Q436" si="181">SUM(N434:P434)</f>
        <v>1000</v>
      </c>
      <c r="R434" s="38">
        <f t="shared" si="174"/>
        <v>2000</v>
      </c>
    </row>
    <row r="435" spans="1:20" ht="15.75" customHeight="1" x14ac:dyDescent="0.3">
      <c r="A435" s="410" t="s">
        <v>3052</v>
      </c>
      <c r="B435" s="10">
        <v>2500</v>
      </c>
      <c r="C435" s="10">
        <v>4000</v>
      </c>
      <c r="D435" s="10">
        <v>5500</v>
      </c>
      <c r="E435" s="38">
        <f t="shared" si="175"/>
        <v>12000</v>
      </c>
      <c r="F435" s="10">
        <v>5000</v>
      </c>
      <c r="G435" s="10">
        <v>1000</v>
      </c>
      <c r="H435" s="10"/>
      <c r="I435" s="38">
        <f t="shared" si="176"/>
        <v>6000</v>
      </c>
      <c r="J435" s="10"/>
      <c r="K435" s="10"/>
      <c r="L435" s="10"/>
      <c r="M435" s="38">
        <f t="shared" si="177"/>
        <v>0</v>
      </c>
      <c r="N435" s="10"/>
      <c r="O435" s="10"/>
      <c r="P435" s="10"/>
      <c r="Q435" s="38">
        <f t="shared" si="181"/>
        <v>0</v>
      </c>
      <c r="R435" s="38">
        <f t="shared" si="174"/>
        <v>18000</v>
      </c>
    </row>
    <row r="436" spans="1:20" ht="15.75" customHeight="1" x14ac:dyDescent="0.3">
      <c r="A436" s="410" t="s">
        <v>3153</v>
      </c>
      <c r="B436" s="10"/>
      <c r="C436" s="10"/>
      <c r="D436" s="10"/>
      <c r="E436" s="38">
        <f t="shared" si="175"/>
        <v>0</v>
      </c>
      <c r="F436" s="10"/>
      <c r="G436" s="10"/>
      <c r="H436" s="10"/>
      <c r="I436" s="38">
        <f t="shared" si="176"/>
        <v>0</v>
      </c>
      <c r="J436" s="10"/>
      <c r="K436" s="10"/>
      <c r="L436" s="10"/>
      <c r="M436" s="38">
        <f t="shared" si="177"/>
        <v>0</v>
      </c>
      <c r="N436" s="10"/>
      <c r="O436" s="10"/>
      <c r="P436" s="10"/>
      <c r="Q436" s="38">
        <f t="shared" si="181"/>
        <v>0</v>
      </c>
      <c r="R436" s="38">
        <f t="shared" si="174"/>
        <v>0</v>
      </c>
    </row>
    <row r="437" spans="1:20" ht="15.75" customHeight="1" x14ac:dyDescent="0.3">
      <c r="A437" s="410" t="s">
        <v>3036</v>
      </c>
      <c r="B437" s="10">
        <f>1+2+135</f>
        <v>138</v>
      </c>
      <c r="C437" s="10">
        <f>1+2+125</f>
        <v>128</v>
      </c>
      <c r="D437" s="10">
        <f>1+2+135</f>
        <v>138</v>
      </c>
      <c r="E437" s="38">
        <f t="shared" si="175"/>
        <v>404</v>
      </c>
      <c r="F437" s="10">
        <f>1+2+130</f>
        <v>133</v>
      </c>
      <c r="G437" s="10">
        <f>1+2+135</f>
        <v>138</v>
      </c>
      <c r="H437" s="10">
        <f>1+2+122</f>
        <v>125</v>
      </c>
      <c r="I437" s="38">
        <f t="shared" si="176"/>
        <v>396</v>
      </c>
      <c r="J437" s="10"/>
      <c r="K437" s="10"/>
      <c r="L437" s="10"/>
      <c r="M437" s="38">
        <f t="shared" si="177"/>
        <v>0</v>
      </c>
      <c r="N437" s="10"/>
      <c r="O437" s="10"/>
      <c r="P437" s="10"/>
      <c r="Q437" s="38">
        <f t="shared" si="178"/>
        <v>0</v>
      </c>
      <c r="R437" s="38">
        <f t="shared" si="174"/>
        <v>800</v>
      </c>
    </row>
    <row r="438" spans="1:20" ht="15.75" customHeight="1" x14ac:dyDescent="0.3">
      <c r="A438" s="410" t="s">
        <v>2953</v>
      </c>
      <c r="B438" s="10">
        <v>3250</v>
      </c>
      <c r="C438" s="10">
        <v>2650</v>
      </c>
      <c r="D438" s="10">
        <v>3250</v>
      </c>
      <c r="E438" s="38">
        <f t="shared" si="175"/>
        <v>9150</v>
      </c>
      <c r="F438" s="10">
        <v>150</v>
      </c>
      <c r="G438" s="10">
        <v>3000</v>
      </c>
      <c r="H438" s="10"/>
      <c r="I438" s="38">
        <f t="shared" si="176"/>
        <v>3150</v>
      </c>
      <c r="J438" s="10"/>
      <c r="K438" s="10"/>
      <c r="L438" s="10">
        <v>1500</v>
      </c>
      <c r="M438" s="38">
        <f t="shared" si="177"/>
        <v>1500</v>
      </c>
      <c r="N438" s="10">
        <v>1200</v>
      </c>
      <c r="O438" s="10"/>
      <c r="P438" s="10"/>
      <c r="Q438" s="38">
        <f t="shared" si="178"/>
        <v>1200</v>
      </c>
      <c r="R438" s="38">
        <f t="shared" si="174"/>
        <v>15000</v>
      </c>
      <c r="T438" t="s">
        <v>1358</v>
      </c>
    </row>
    <row r="439" spans="1:20" ht="15.75" customHeight="1" x14ac:dyDescent="0.3">
      <c r="A439" s="410" t="s">
        <v>3031</v>
      </c>
      <c r="B439" s="10">
        <v>24</v>
      </c>
      <c r="C439" s="10">
        <v>26</v>
      </c>
      <c r="D439" s="10">
        <v>24</v>
      </c>
      <c r="E439" s="38">
        <f t="shared" si="175"/>
        <v>74</v>
      </c>
      <c r="F439" s="10">
        <v>29</v>
      </c>
      <c r="G439" s="10">
        <v>24</v>
      </c>
      <c r="H439" s="10">
        <v>31</v>
      </c>
      <c r="I439" s="38">
        <f t="shared" si="176"/>
        <v>84</v>
      </c>
      <c r="J439" s="10">
        <v>52</v>
      </c>
      <c r="K439" s="10">
        <v>47</v>
      </c>
      <c r="L439" s="10">
        <v>32</v>
      </c>
      <c r="M439" s="38">
        <f t="shared" si="177"/>
        <v>131</v>
      </c>
      <c r="N439" s="10">
        <v>23</v>
      </c>
      <c r="O439" s="10">
        <v>16</v>
      </c>
      <c r="P439" s="10">
        <v>22</v>
      </c>
      <c r="Q439" s="38">
        <f t="shared" si="178"/>
        <v>61</v>
      </c>
      <c r="R439" s="38">
        <f t="shared" si="174"/>
        <v>350</v>
      </c>
      <c r="T439" t="s">
        <v>131</v>
      </c>
    </row>
    <row r="440" spans="1:20" ht="15.75" customHeight="1" x14ac:dyDescent="0.3">
      <c r="A440" s="410" t="s">
        <v>2959</v>
      </c>
      <c r="B440" s="10">
        <v>1142</v>
      </c>
      <c r="C440" s="10">
        <v>1142</v>
      </c>
      <c r="D440" s="10">
        <v>1427</v>
      </c>
      <c r="E440" s="38">
        <f t="shared" si="175"/>
        <v>3711</v>
      </c>
      <c r="F440" s="10">
        <v>1427</v>
      </c>
      <c r="G440" s="10">
        <v>1427</v>
      </c>
      <c r="H440" s="10">
        <v>1427</v>
      </c>
      <c r="I440" s="38">
        <f t="shared" si="176"/>
        <v>4281</v>
      </c>
      <c r="J440" s="10">
        <v>1427</v>
      </c>
      <c r="K440" s="10">
        <v>1247</v>
      </c>
      <c r="L440" s="10">
        <v>980</v>
      </c>
      <c r="M440" s="38">
        <f t="shared" si="177"/>
        <v>3654</v>
      </c>
      <c r="N440" s="10"/>
      <c r="O440" s="10"/>
      <c r="P440" s="10"/>
      <c r="Q440" s="38">
        <f t="shared" si="178"/>
        <v>0</v>
      </c>
      <c r="R440" s="38">
        <f t="shared" si="174"/>
        <v>11646</v>
      </c>
      <c r="T440" t="s">
        <v>2780</v>
      </c>
    </row>
    <row r="441" spans="1:20" ht="15.75" customHeight="1" x14ac:dyDescent="0.3">
      <c r="A441" s="311" t="s">
        <v>2362</v>
      </c>
      <c r="B441" s="10">
        <v>1731</v>
      </c>
      <c r="C441" s="10">
        <v>1731</v>
      </c>
      <c r="D441" s="10">
        <v>1731</v>
      </c>
      <c r="E441" s="38">
        <f t="shared" si="175"/>
        <v>5193</v>
      </c>
      <c r="F441" s="10">
        <v>1732</v>
      </c>
      <c r="G441" s="10"/>
      <c r="H441" s="10"/>
      <c r="I441" s="38">
        <f t="shared" si="176"/>
        <v>1732</v>
      </c>
      <c r="J441" s="10"/>
      <c r="K441" s="10"/>
      <c r="L441" s="10"/>
      <c r="M441" s="38">
        <f t="shared" si="177"/>
        <v>0</v>
      </c>
      <c r="N441" s="10"/>
      <c r="O441" s="10"/>
      <c r="P441" s="10"/>
      <c r="Q441" s="38">
        <f t="shared" si="178"/>
        <v>0</v>
      </c>
      <c r="R441" s="38">
        <f>+E441+I441+M441+Q441</f>
        <v>6925</v>
      </c>
    </row>
    <row r="442" spans="1:20" ht="15.75" customHeight="1" x14ac:dyDescent="0.3">
      <c r="A442" s="311" t="s">
        <v>2263</v>
      </c>
      <c r="B442" s="10"/>
      <c r="C442" s="10"/>
      <c r="D442" s="10"/>
      <c r="E442" s="38">
        <f t="shared" si="175"/>
        <v>0</v>
      </c>
      <c r="F442" s="10"/>
      <c r="G442" s="10"/>
      <c r="H442" s="10"/>
      <c r="I442" s="38">
        <f t="shared" si="176"/>
        <v>0</v>
      </c>
      <c r="J442" s="10"/>
      <c r="K442" s="10"/>
      <c r="L442" s="10"/>
      <c r="M442" s="38">
        <f t="shared" si="177"/>
        <v>0</v>
      </c>
      <c r="N442" s="10"/>
      <c r="O442" s="10"/>
      <c r="P442" s="10"/>
      <c r="Q442" s="38">
        <f t="shared" si="178"/>
        <v>0</v>
      </c>
      <c r="R442" s="38">
        <f>+E442+I442+M442+Q442</f>
        <v>0</v>
      </c>
    </row>
    <row r="443" spans="1:20" ht="15.75" customHeight="1" x14ac:dyDescent="0.3">
      <c r="A443" s="410" t="s">
        <v>3159</v>
      </c>
      <c r="B443" s="10"/>
      <c r="C443" s="10"/>
      <c r="D443" s="10"/>
      <c r="E443" s="38">
        <f t="shared" si="175"/>
        <v>0</v>
      </c>
      <c r="F443" s="10">
        <v>1000</v>
      </c>
      <c r="G443" s="10">
        <v>1000</v>
      </c>
      <c r="H443" s="10">
        <v>1000</v>
      </c>
      <c r="I443" s="38">
        <f t="shared" si="176"/>
        <v>3000</v>
      </c>
      <c r="J443" s="10">
        <v>500</v>
      </c>
      <c r="K443" s="10">
        <v>500</v>
      </c>
      <c r="L443" s="10">
        <v>500</v>
      </c>
      <c r="M443" s="38">
        <f t="shared" si="177"/>
        <v>1500</v>
      </c>
      <c r="N443" s="10">
        <v>500</v>
      </c>
      <c r="O443" s="10"/>
      <c r="P443" s="10"/>
      <c r="Q443" s="38">
        <f t="shared" si="178"/>
        <v>500</v>
      </c>
      <c r="R443" s="38">
        <f>+E443+I443+M443+Q443</f>
        <v>5000</v>
      </c>
    </row>
    <row r="444" spans="1:20" ht="15.75" customHeight="1" x14ac:dyDescent="0.3">
      <c r="A444" s="410" t="s">
        <v>3160</v>
      </c>
      <c r="B444" s="10"/>
      <c r="C444" s="10"/>
      <c r="D444" s="10"/>
      <c r="E444" s="38">
        <f t="shared" si="175"/>
        <v>0</v>
      </c>
      <c r="F444" s="10"/>
      <c r="G444" s="10"/>
      <c r="H444" s="10"/>
      <c r="I444" s="38">
        <f t="shared" si="176"/>
        <v>0</v>
      </c>
      <c r="J444" s="10"/>
      <c r="K444" s="10"/>
      <c r="L444" s="10"/>
      <c r="M444" s="38">
        <f t="shared" si="177"/>
        <v>0</v>
      </c>
      <c r="N444" s="10"/>
      <c r="O444" s="10"/>
      <c r="P444" s="10"/>
      <c r="Q444" s="38">
        <f t="shared" si="178"/>
        <v>0</v>
      </c>
      <c r="R444" s="38">
        <f>+E444+I444+M444+Q444</f>
        <v>0</v>
      </c>
      <c r="T444" t="s">
        <v>1358</v>
      </c>
    </row>
    <row r="445" spans="1:20" ht="15.75" customHeight="1" x14ac:dyDescent="0.3">
      <c r="A445" s="410" t="s">
        <v>3139</v>
      </c>
      <c r="B445" s="10"/>
      <c r="C445" s="10"/>
      <c r="D445" s="10"/>
      <c r="E445" s="38">
        <f t="shared" ref="E445" si="182">SUM(B445:D445)</f>
        <v>0</v>
      </c>
      <c r="F445" s="10"/>
      <c r="G445" s="10"/>
      <c r="H445" s="10"/>
      <c r="I445" s="38">
        <f t="shared" ref="I445" si="183">SUM(F445:H445)</f>
        <v>0</v>
      </c>
      <c r="J445" s="10"/>
      <c r="K445" s="10"/>
      <c r="L445" s="10"/>
      <c r="M445" s="38">
        <f t="shared" ref="M445" si="184">SUM(J445:L445)</f>
        <v>0</v>
      </c>
      <c r="N445" s="10"/>
      <c r="O445" s="10"/>
      <c r="P445" s="10"/>
      <c r="Q445" s="38">
        <f t="shared" ref="Q445" si="185">SUM(N445:P445)</f>
        <v>0</v>
      </c>
      <c r="R445" s="38">
        <f t="shared" ref="R445:R446" si="186">+E445+I445+M445+Q445</f>
        <v>0</v>
      </c>
      <c r="T445" t="s">
        <v>2760</v>
      </c>
    </row>
    <row r="446" spans="1:20" ht="16.5" customHeight="1" x14ac:dyDescent="0.3">
      <c r="A446" s="410" t="s">
        <v>3389</v>
      </c>
      <c r="B446" s="10"/>
      <c r="C446" s="10"/>
      <c r="D446" s="10"/>
      <c r="E446" s="38">
        <f t="shared" si="175"/>
        <v>0</v>
      </c>
      <c r="F446" s="10"/>
      <c r="G446" s="10">
        <v>338</v>
      </c>
      <c r="H446" s="10">
        <v>1000</v>
      </c>
      <c r="I446" s="38">
        <f t="shared" si="176"/>
        <v>1338</v>
      </c>
      <c r="J446" s="10">
        <v>1000</v>
      </c>
      <c r="K446" s="10">
        <v>1000</v>
      </c>
      <c r="L446" s="10">
        <v>1000</v>
      </c>
      <c r="M446" s="38">
        <f t="shared" si="177"/>
        <v>3000</v>
      </c>
      <c r="N446" s="10">
        <v>1000</v>
      </c>
      <c r="O446" s="10"/>
      <c r="P446" s="10"/>
      <c r="Q446" s="38">
        <f t="shared" ref="Q446" si="187">SUM(N446:P446)</f>
        <v>1000</v>
      </c>
      <c r="R446" s="38">
        <f t="shared" si="186"/>
        <v>5338</v>
      </c>
      <c r="T446" t="s">
        <v>2777</v>
      </c>
    </row>
    <row r="447" spans="1:20" ht="15.75" customHeight="1" x14ac:dyDescent="0.3">
      <c r="A447" s="410" t="s">
        <v>3140</v>
      </c>
      <c r="B447" s="10"/>
      <c r="C447" s="10"/>
      <c r="D447" s="10">
        <v>500</v>
      </c>
      <c r="E447" s="38">
        <f t="shared" si="175"/>
        <v>500</v>
      </c>
      <c r="F447" s="10">
        <v>1000</v>
      </c>
      <c r="G447" s="10">
        <v>1000</v>
      </c>
      <c r="H447" s="10"/>
      <c r="I447" s="38">
        <f t="shared" si="176"/>
        <v>2000</v>
      </c>
      <c r="J447" s="10"/>
      <c r="K447" s="10"/>
      <c r="L447" s="10"/>
      <c r="M447" s="38">
        <f t="shared" si="177"/>
        <v>0</v>
      </c>
      <c r="N447" s="10"/>
      <c r="O447" s="10"/>
      <c r="P447" s="10"/>
      <c r="Q447" s="38">
        <f t="shared" ref="Q447" si="188">SUM(N447:P447)</f>
        <v>0</v>
      </c>
      <c r="R447" s="38">
        <f t="shared" si="174"/>
        <v>2500</v>
      </c>
      <c r="T447" t="s">
        <v>2175</v>
      </c>
    </row>
    <row r="448" spans="1:20" ht="15.75" customHeight="1" x14ac:dyDescent="0.3">
      <c r="A448" s="410" t="s">
        <v>3388</v>
      </c>
      <c r="B448" s="10"/>
      <c r="C448" s="10"/>
      <c r="D448" s="10"/>
      <c r="E448" s="38">
        <f t="shared" si="175"/>
        <v>0</v>
      </c>
      <c r="F448" s="10"/>
      <c r="G448" s="10"/>
      <c r="H448" s="10">
        <v>2000</v>
      </c>
      <c r="I448" s="38">
        <f t="shared" si="176"/>
        <v>2000</v>
      </c>
      <c r="J448" s="10">
        <v>2000</v>
      </c>
      <c r="K448" s="10"/>
      <c r="L448" s="10"/>
      <c r="M448" s="38">
        <f t="shared" si="177"/>
        <v>2000</v>
      </c>
      <c r="N448" s="10"/>
      <c r="O448" s="10"/>
      <c r="P448" s="10"/>
      <c r="Q448" s="38">
        <f t="shared" si="178"/>
        <v>0</v>
      </c>
      <c r="R448" s="38">
        <f t="shared" si="174"/>
        <v>4000</v>
      </c>
      <c r="T448" t="s">
        <v>2175</v>
      </c>
    </row>
    <row r="449" spans="1:20" ht="15.75" customHeight="1" x14ac:dyDescent="0.3">
      <c r="A449" s="410" t="s">
        <v>3386</v>
      </c>
      <c r="B449" s="10"/>
      <c r="C449" s="10"/>
      <c r="D449" s="10"/>
      <c r="E449" s="38">
        <f t="shared" si="175"/>
        <v>0</v>
      </c>
      <c r="F449" s="10">
        <v>92</v>
      </c>
      <c r="G449" s="10">
        <v>92</v>
      </c>
      <c r="H449" s="10">
        <v>184</v>
      </c>
      <c r="I449" s="38">
        <f t="shared" si="176"/>
        <v>368</v>
      </c>
      <c r="J449" s="10">
        <v>184</v>
      </c>
      <c r="K449" s="10">
        <v>92</v>
      </c>
      <c r="L449" s="10">
        <v>92</v>
      </c>
      <c r="M449" s="38">
        <f t="shared" si="177"/>
        <v>368</v>
      </c>
      <c r="N449" s="10">
        <v>92</v>
      </c>
      <c r="O449" s="10">
        <v>460</v>
      </c>
      <c r="P449" s="10">
        <v>951</v>
      </c>
      <c r="Q449" s="38">
        <f t="shared" si="178"/>
        <v>1503</v>
      </c>
      <c r="R449" s="38">
        <f t="shared" si="174"/>
        <v>2239</v>
      </c>
      <c r="T449" t="s">
        <v>2780</v>
      </c>
    </row>
    <row r="450" spans="1:20" ht="15.75" customHeight="1" x14ac:dyDescent="0.3">
      <c r="A450" s="410" t="s">
        <v>3387</v>
      </c>
      <c r="B450" s="10"/>
      <c r="C450" s="10"/>
      <c r="D450" s="10"/>
      <c r="E450" s="38">
        <f t="shared" si="175"/>
        <v>0</v>
      </c>
      <c r="F450" s="10">
        <v>1000</v>
      </c>
      <c r="G450" s="10">
        <v>662</v>
      </c>
      <c r="H450" s="10"/>
      <c r="I450" s="38">
        <f t="shared" si="176"/>
        <v>1662</v>
      </c>
      <c r="J450" s="10"/>
      <c r="K450" s="10"/>
      <c r="L450" s="10"/>
      <c r="M450" s="38">
        <f t="shared" si="177"/>
        <v>0</v>
      </c>
      <c r="N450" s="10"/>
      <c r="O450" s="10"/>
      <c r="P450" s="10"/>
      <c r="Q450" s="38">
        <f t="shared" si="178"/>
        <v>0</v>
      </c>
      <c r="R450" s="38">
        <f t="shared" si="174"/>
        <v>1662</v>
      </c>
    </row>
    <row r="451" spans="1:20" ht="15.75" customHeight="1" x14ac:dyDescent="0.3">
      <c r="A451" s="410" t="s">
        <v>3390</v>
      </c>
      <c r="B451" s="10"/>
      <c r="C451" s="10"/>
      <c r="D451" s="10"/>
      <c r="E451" s="38">
        <f t="shared" si="175"/>
        <v>0</v>
      </c>
      <c r="F451" s="10"/>
      <c r="G451" s="10"/>
      <c r="H451" s="10"/>
      <c r="I451" s="38">
        <f t="shared" si="176"/>
        <v>0</v>
      </c>
      <c r="J451" s="10"/>
      <c r="K451" s="10"/>
      <c r="L451" s="10"/>
      <c r="M451" s="38">
        <f t="shared" si="177"/>
        <v>0</v>
      </c>
      <c r="N451" s="10">
        <v>500</v>
      </c>
      <c r="O451" s="10">
        <v>2000</v>
      </c>
      <c r="P451" s="10"/>
      <c r="Q451" s="38">
        <f t="shared" si="178"/>
        <v>2500</v>
      </c>
      <c r="R451" s="38">
        <f t="shared" si="174"/>
        <v>2500</v>
      </c>
      <c r="T451" t="s">
        <v>1358</v>
      </c>
    </row>
    <row r="452" spans="1:20" ht="15.75" customHeight="1" x14ac:dyDescent="0.3">
      <c r="A452" s="410" t="s">
        <v>3234</v>
      </c>
      <c r="B452" s="10"/>
      <c r="C452" s="10"/>
      <c r="D452" s="10"/>
      <c r="E452" s="38">
        <f t="shared" si="175"/>
        <v>0</v>
      </c>
      <c r="F452" s="10"/>
      <c r="G452" s="10"/>
      <c r="H452" s="10"/>
      <c r="I452" s="38">
        <f t="shared" si="176"/>
        <v>0</v>
      </c>
      <c r="J452" s="10"/>
      <c r="K452" s="10"/>
      <c r="L452" s="10"/>
      <c r="M452" s="38">
        <f t="shared" si="177"/>
        <v>0</v>
      </c>
      <c r="N452" s="10"/>
      <c r="O452" s="10"/>
      <c r="P452" s="10"/>
      <c r="Q452" s="38">
        <f t="shared" si="178"/>
        <v>0</v>
      </c>
      <c r="R452" s="38">
        <f t="shared" si="174"/>
        <v>0</v>
      </c>
    </row>
    <row r="453" spans="1:20" ht="15.75" customHeight="1" x14ac:dyDescent="0.3">
      <c r="A453" s="410" t="s">
        <v>3415</v>
      </c>
      <c r="B453" s="10"/>
      <c r="C453" s="10"/>
      <c r="D453" s="10"/>
      <c r="E453" s="38">
        <f t="shared" si="175"/>
        <v>0</v>
      </c>
      <c r="F453" s="10"/>
      <c r="G453" s="10"/>
      <c r="H453" s="10"/>
      <c r="I453" s="38">
        <f t="shared" si="176"/>
        <v>0</v>
      </c>
      <c r="J453" s="10"/>
      <c r="K453" s="10"/>
      <c r="L453" s="10">
        <v>1048</v>
      </c>
      <c r="M453" s="38">
        <f t="shared" si="177"/>
        <v>1048</v>
      </c>
      <c r="N453" s="10"/>
      <c r="O453" s="10"/>
      <c r="P453" s="10"/>
      <c r="Q453" s="38">
        <f t="shared" si="178"/>
        <v>0</v>
      </c>
      <c r="R453" s="38">
        <f t="shared" si="174"/>
        <v>1048</v>
      </c>
    </row>
    <row r="454" spans="1:20" ht="15.75" customHeight="1" x14ac:dyDescent="0.3">
      <c r="A454" s="410" t="s">
        <v>3427</v>
      </c>
      <c r="B454" s="10"/>
      <c r="C454" s="10"/>
      <c r="D454" s="10"/>
      <c r="E454" s="38">
        <f t="shared" si="175"/>
        <v>0</v>
      </c>
      <c r="F454" s="10"/>
      <c r="G454" s="10"/>
      <c r="H454" s="10"/>
      <c r="I454" s="38">
        <f t="shared" si="176"/>
        <v>0</v>
      </c>
      <c r="J454" s="10"/>
      <c r="K454" s="10"/>
      <c r="L454" s="10"/>
      <c r="M454" s="38">
        <f t="shared" si="177"/>
        <v>0</v>
      </c>
      <c r="N454" s="10"/>
      <c r="O454" s="10"/>
      <c r="P454" s="10">
        <v>500</v>
      </c>
      <c r="Q454" s="38">
        <f t="shared" ref="Q454:Q458" si="189">SUM(N454:P454)</f>
        <v>500</v>
      </c>
      <c r="R454" s="38">
        <f t="shared" si="174"/>
        <v>500</v>
      </c>
    </row>
    <row r="455" spans="1:20" ht="15.75" customHeight="1" x14ac:dyDescent="0.3">
      <c r="A455" s="410" t="s">
        <v>3411</v>
      </c>
      <c r="B455" s="10"/>
      <c r="C455" s="10"/>
      <c r="D455" s="10"/>
      <c r="E455" s="38">
        <f t="shared" si="175"/>
        <v>0</v>
      </c>
      <c r="F455" s="10"/>
      <c r="G455" s="10"/>
      <c r="H455" s="10"/>
      <c r="I455" s="38">
        <f t="shared" si="176"/>
        <v>0</v>
      </c>
      <c r="J455" s="10"/>
      <c r="K455" s="10">
        <v>1500</v>
      </c>
      <c r="L455" s="10">
        <v>138</v>
      </c>
      <c r="M455" s="38">
        <f t="shared" si="177"/>
        <v>1638</v>
      </c>
      <c r="N455" s="10"/>
      <c r="O455" s="10"/>
      <c r="P455" s="10"/>
      <c r="Q455" s="38">
        <f t="shared" si="189"/>
        <v>0</v>
      </c>
      <c r="R455" s="38">
        <f t="shared" si="174"/>
        <v>1638</v>
      </c>
    </row>
    <row r="456" spans="1:20" ht="15.75" customHeight="1" x14ac:dyDescent="0.3">
      <c r="A456" s="410" t="s">
        <v>3412</v>
      </c>
      <c r="B456" s="10"/>
      <c r="C456" s="10"/>
      <c r="D456" s="10"/>
      <c r="E456" s="38">
        <f t="shared" si="175"/>
        <v>0</v>
      </c>
      <c r="F456" s="10"/>
      <c r="G456" s="10"/>
      <c r="H456" s="10"/>
      <c r="I456" s="38">
        <f t="shared" si="176"/>
        <v>0</v>
      </c>
      <c r="J456" s="10"/>
      <c r="K456" s="10">
        <v>2500</v>
      </c>
      <c r="L456" s="10"/>
      <c r="M456" s="38">
        <f t="shared" si="177"/>
        <v>2500</v>
      </c>
      <c r="N456" s="10"/>
      <c r="O456" s="10"/>
      <c r="P456" s="10"/>
      <c r="Q456" s="38">
        <f t="shared" si="189"/>
        <v>0</v>
      </c>
      <c r="R456" s="38">
        <f t="shared" si="174"/>
        <v>2500</v>
      </c>
    </row>
    <row r="457" spans="1:20" ht="15.75" customHeight="1" x14ac:dyDescent="0.3">
      <c r="A457" s="410" t="s">
        <v>3413</v>
      </c>
      <c r="B457" s="10"/>
      <c r="C457" s="10"/>
      <c r="D457" s="10"/>
      <c r="E457" s="38">
        <f t="shared" si="175"/>
        <v>0</v>
      </c>
      <c r="F457" s="10"/>
      <c r="G457" s="10"/>
      <c r="H457" s="10"/>
      <c r="I457" s="38">
        <f t="shared" si="176"/>
        <v>0</v>
      </c>
      <c r="J457" s="10"/>
      <c r="K457" s="10"/>
      <c r="L457" s="10">
        <v>314</v>
      </c>
      <c r="M457" s="38">
        <f t="shared" si="177"/>
        <v>314</v>
      </c>
      <c r="N457" s="10"/>
      <c r="O457" s="10"/>
      <c r="P457" s="10"/>
      <c r="Q457" s="38">
        <f t="shared" si="189"/>
        <v>0</v>
      </c>
      <c r="R457" s="38">
        <f t="shared" si="174"/>
        <v>314</v>
      </c>
    </row>
    <row r="458" spans="1:20" ht="15.75" customHeight="1" x14ac:dyDescent="0.3">
      <c r="A458" s="410" t="s">
        <v>3414</v>
      </c>
      <c r="B458" s="10"/>
      <c r="C458" s="10"/>
      <c r="D458" s="10"/>
      <c r="E458" s="38">
        <f t="shared" si="175"/>
        <v>0</v>
      </c>
      <c r="F458" s="10"/>
      <c r="G458" s="10"/>
      <c r="H458" s="10"/>
      <c r="I458" s="38">
        <f t="shared" si="176"/>
        <v>0</v>
      </c>
      <c r="J458" s="10"/>
      <c r="K458" s="10"/>
      <c r="L458" s="10">
        <v>500</v>
      </c>
      <c r="M458" s="38">
        <f t="shared" si="177"/>
        <v>500</v>
      </c>
      <c r="N458" s="10"/>
      <c r="O458" s="10">
        <v>500</v>
      </c>
      <c r="P458" s="10"/>
      <c r="Q458" s="38">
        <f t="shared" si="189"/>
        <v>500</v>
      </c>
      <c r="R458" s="38">
        <f t="shared" si="174"/>
        <v>1000</v>
      </c>
    </row>
    <row r="459" spans="1:20" ht="15.75" customHeight="1" x14ac:dyDescent="0.3">
      <c r="A459" s="410" t="s">
        <v>3073</v>
      </c>
      <c r="B459" s="10"/>
      <c r="C459" s="10"/>
      <c r="D459" s="10"/>
      <c r="E459" s="38">
        <f t="shared" si="175"/>
        <v>0</v>
      </c>
      <c r="F459" s="10"/>
      <c r="G459" s="10"/>
      <c r="H459" s="10"/>
      <c r="I459" s="38">
        <f t="shared" si="176"/>
        <v>0</v>
      </c>
      <c r="J459" s="10"/>
      <c r="K459" s="10"/>
      <c r="L459" s="10"/>
      <c r="M459" s="38">
        <f t="shared" si="177"/>
        <v>0</v>
      </c>
      <c r="N459" s="10"/>
      <c r="O459" s="10"/>
      <c r="P459" s="10"/>
      <c r="Q459" s="38">
        <f>SUM(N459:P459)</f>
        <v>0</v>
      </c>
      <c r="R459" s="38">
        <f t="shared" si="174"/>
        <v>0</v>
      </c>
    </row>
    <row r="460" spans="1:20" ht="15.75" customHeight="1" x14ac:dyDescent="0.3">
      <c r="A460" s="410" t="s">
        <v>3061</v>
      </c>
      <c r="B460" s="10"/>
      <c r="C460" s="10"/>
      <c r="D460" s="10"/>
      <c r="E460" s="38">
        <f t="shared" si="175"/>
        <v>0</v>
      </c>
      <c r="F460" s="10"/>
      <c r="G460" s="10"/>
      <c r="H460" s="10"/>
      <c r="I460" s="38">
        <f t="shared" si="176"/>
        <v>0</v>
      </c>
      <c r="J460" s="10"/>
      <c r="K460" s="10"/>
      <c r="L460" s="10"/>
      <c r="M460" s="38">
        <f t="shared" si="177"/>
        <v>0</v>
      </c>
      <c r="N460" s="10"/>
      <c r="O460" s="10"/>
      <c r="P460" s="10"/>
      <c r="Q460" s="38">
        <f t="shared" si="178"/>
        <v>0</v>
      </c>
      <c r="R460" s="38">
        <f t="shared" si="174"/>
        <v>0</v>
      </c>
    </row>
    <row r="461" spans="1:20" ht="15.75" customHeight="1" x14ac:dyDescent="0.3">
      <c r="A461" s="410" t="s">
        <v>3395</v>
      </c>
      <c r="B461" s="10"/>
      <c r="C461" s="10"/>
      <c r="D461" s="10"/>
      <c r="E461" s="38">
        <f t="shared" si="175"/>
        <v>0</v>
      </c>
      <c r="F461" s="10"/>
      <c r="G461" s="10"/>
      <c r="H461" s="10"/>
      <c r="I461" s="38">
        <f t="shared" si="176"/>
        <v>0</v>
      </c>
      <c r="J461" s="10">
        <v>2000</v>
      </c>
      <c r="K461" s="10"/>
      <c r="L461" s="10"/>
      <c r="M461" s="38">
        <f t="shared" si="177"/>
        <v>2000</v>
      </c>
      <c r="N461" s="10"/>
      <c r="O461" s="10"/>
      <c r="P461" s="10"/>
      <c r="Q461" s="38">
        <f t="shared" si="178"/>
        <v>0</v>
      </c>
      <c r="R461" s="38">
        <f t="shared" si="174"/>
        <v>2000</v>
      </c>
    </row>
    <row r="462" spans="1:20" ht="15.75" customHeight="1" x14ac:dyDescent="0.3">
      <c r="A462" s="410" t="s">
        <v>3391</v>
      </c>
      <c r="B462" s="10"/>
      <c r="C462" s="10"/>
      <c r="D462" s="10"/>
      <c r="E462" s="38">
        <f t="shared" si="175"/>
        <v>0</v>
      </c>
      <c r="F462" s="10">
        <v>2500</v>
      </c>
      <c r="G462" s="10"/>
      <c r="H462" s="10"/>
      <c r="I462" s="38">
        <f t="shared" si="176"/>
        <v>2500</v>
      </c>
      <c r="J462" s="10"/>
      <c r="K462" s="10"/>
      <c r="L462" s="10"/>
      <c r="M462" s="38">
        <f t="shared" si="177"/>
        <v>0</v>
      </c>
      <c r="N462" s="10"/>
      <c r="O462" s="10"/>
      <c r="P462" s="10"/>
      <c r="Q462" s="38">
        <f t="shared" ref="Q462" si="190">SUM(N462:P462)</f>
        <v>0</v>
      </c>
      <c r="R462" s="38">
        <f t="shared" si="174"/>
        <v>2500</v>
      </c>
    </row>
    <row r="463" spans="1:20" ht="15.75" customHeight="1" x14ac:dyDescent="0.3">
      <c r="A463" s="410" t="s">
        <v>3229</v>
      </c>
      <c r="B463" s="10"/>
      <c r="C463" s="10"/>
      <c r="D463" s="10"/>
      <c r="E463" s="38">
        <f t="shared" si="175"/>
        <v>0</v>
      </c>
      <c r="F463" s="10"/>
      <c r="G463" s="10"/>
      <c r="H463" s="10"/>
      <c r="I463" s="38">
        <f t="shared" si="176"/>
        <v>0</v>
      </c>
      <c r="J463" s="10"/>
      <c r="K463" s="10"/>
      <c r="L463" s="10"/>
      <c r="M463" s="38">
        <f t="shared" si="177"/>
        <v>0</v>
      </c>
      <c r="N463" s="10"/>
      <c r="O463" s="10"/>
      <c r="P463" s="10"/>
      <c r="Q463" s="38">
        <f t="shared" ref="Q463" si="191">SUM(N463:P463)</f>
        <v>0</v>
      </c>
      <c r="R463" s="38">
        <f t="shared" si="174"/>
        <v>0</v>
      </c>
      <c r="T463" t="s">
        <v>2780</v>
      </c>
    </row>
    <row r="464" spans="1:20" ht="15.75" customHeight="1" x14ac:dyDescent="0.3">
      <c r="A464" s="410" t="s">
        <v>3042</v>
      </c>
      <c r="B464" s="10"/>
      <c r="C464" s="10"/>
      <c r="D464" s="10"/>
      <c r="E464" s="38">
        <f t="shared" si="175"/>
        <v>0</v>
      </c>
      <c r="F464" s="10"/>
      <c r="G464" s="10"/>
      <c r="H464" s="10"/>
      <c r="I464" s="38">
        <f t="shared" si="176"/>
        <v>0</v>
      </c>
      <c r="J464" s="10"/>
      <c r="K464" s="10"/>
      <c r="L464" s="10"/>
      <c r="M464" s="38">
        <f t="shared" si="177"/>
        <v>0</v>
      </c>
      <c r="N464" s="10"/>
      <c r="O464" s="10"/>
      <c r="P464" s="10"/>
      <c r="Q464" s="38">
        <f t="shared" si="178"/>
        <v>0</v>
      </c>
      <c r="R464" s="38">
        <f t="shared" si="174"/>
        <v>0</v>
      </c>
      <c r="T464" t="s">
        <v>2780</v>
      </c>
    </row>
    <row r="465" spans="1:20" ht="15.75" customHeight="1" x14ac:dyDescent="0.3">
      <c r="A465" s="410" t="s">
        <v>2941</v>
      </c>
      <c r="B465" s="10"/>
      <c r="C465" s="10"/>
      <c r="D465" s="10"/>
      <c r="E465" s="38">
        <f t="shared" si="175"/>
        <v>0</v>
      </c>
      <c r="F465" s="10"/>
      <c r="G465" s="10">
        <v>62</v>
      </c>
      <c r="H465" s="10">
        <v>2210</v>
      </c>
      <c r="I465" s="38">
        <f t="shared" si="176"/>
        <v>2272</v>
      </c>
      <c r="J465" s="10">
        <v>1816</v>
      </c>
      <c r="K465" s="10"/>
      <c r="L465" s="10"/>
      <c r="M465" s="38">
        <f t="shared" si="177"/>
        <v>1816</v>
      </c>
      <c r="N465" s="10"/>
      <c r="O465" s="10"/>
      <c r="P465" s="10"/>
      <c r="Q465" s="38">
        <f t="shared" si="178"/>
        <v>0</v>
      </c>
      <c r="R465" s="38">
        <f t="shared" si="174"/>
        <v>4088</v>
      </c>
      <c r="T465" t="s">
        <v>2780</v>
      </c>
    </row>
    <row r="466" spans="1:20" ht="15.75" customHeight="1" x14ac:dyDescent="0.3">
      <c r="A466" s="410" t="s">
        <v>2711</v>
      </c>
      <c r="B466" s="10"/>
      <c r="C466" s="10"/>
      <c r="D466" s="10"/>
      <c r="E466" s="38">
        <f t="shared" si="175"/>
        <v>0</v>
      </c>
      <c r="F466" s="10"/>
      <c r="G466" s="10"/>
      <c r="H466" s="10"/>
      <c r="I466" s="38">
        <f t="shared" si="176"/>
        <v>0</v>
      </c>
      <c r="J466" s="10"/>
      <c r="K466" s="10"/>
      <c r="L466" s="10"/>
      <c r="M466" s="38">
        <f t="shared" si="177"/>
        <v>0</v>
      </c>
      <c r="N466" s="10"/>
      <c r="O466" s="10"/>
      <c r="P466" s="10"/>
      <c r="Q466" s="38">
        <f t="shared" si="178"/>
        <v>0</v>
      </c>
      <c r="R466" s="38">
        <f t="shared" si="174"/>
        <v>0</v>
      </c>
      <c r="T466" t="s">
        <v>1358</v>
      </c>
    </row>
    <row r="467" spans="1:20" ht="15.75" customHeight="1" x14ac:dyDescent="0.3">
      <c r="A467" s="311" t="s">
        <v>1097</v>
      </c>
      <c r="B467" s="10"/>
      <c r="C467" s="10">
        <v>1153</v>
      </c>
      <c r="D467" s="10">
        <v>452</v>
      </c>
      <c r="E467" s="38">
        <f t="shared" si="175"/>
        <v>1605</v>
      </c>
      <c r="F467" s="10"/>
      <c r="G467" s="10"/>
      <c r="H467" s="10"/>
      <c r="I467" s="38">
        <f t="shared" si="176"/>
        <v>0</v>
      </c>
      <c r="J467" s="10"/>
      <c r="K467" s="10"/>
      <c r="L467" s="10"/>
      <c r="M467" s="38">
        <f t="shared" si="177"/>
        <v>0</v>
      </c>
      <c r="N467" s="10"/>
      <c r="O467" s="10"/>
      <c r="P467" s="10"/>
      <c r="Q467" s="38">
        <f t="shared" si="178"/>
        <v>0</v>
      </c>
      <c r="R467" s="38">
        <f t="shared" si="174"/>
        <v>1605</v>
      </c>
    </row>
    <row r="468" spans="1:20" ht="15.75" customHeight="1" x14ac:dyDescent="0.3">
      <c r="A468" s="410" t="s">
        <v>3397</v>
      </c>
      <c r="B468" s="10"/>
      <c r="C468" s="10"/>
      <c r="D468" s="10"/>
      <c r="E468" s="38">
        <f t="shared" si="175"/>
        <v>0</v>
      </c>
      <c r="F468" s="10"/>
      <c r="G468" s="10">
        <v>1000</v>
      </c>
      <c r="H468" s="10"/>
      <c r="I468" s="38">
        <f t="shared" si="176"/>
        <v>1000</v>
      </c>
      <c r="J468" s="10"/>
      <c r="K468" s="10"/>
      <c r="L468" s="10"/>
      <c r="M468" s="38">
        <f t="shared" si="177"/>
        <v>0</v>
      </c>
      <c r="N468" s="10"/>
      <c r="O468" s="10"/>
      <c r="P468" s="10"/>
      <c r="Q468" s="38">
        <f t="shared" si="178"/>
        <v>0</v>
      </c>
      <c r="R468" s="38">
        <f t="shared" si="174"/>
        <v>1000</v>
      </c>
      <c r="T468" t="s">
        <v>1358</v>
      </c>
    </row>
    <row r="469" spans="1:20" ht="15.75" customHeight="1" x14ac:dyDescent="0.3">
      <c r="A469" s="410" t="s">
        <v>3296</v>
      </c>
      <c r="B469" s="10"/>
      <c r="C469" s="10"/>
      <c r="D469" s="10"/>
      <c r="E469" s="38">
        <f t="shared" si="175"/>
        <v>0</v>
      </c>
      <c r="F469" s="10"/>
      <c r="G469" s="10"/>
      <c r="H469" s="10"/>
      <c r="I469" s="38">
        <f t="shared" si="176"/>
        <v>0</v>
      </c>
      <c r="J469" s="10"/>
      <c r="K469" s="10"/>
      <c r="L469" s="10"/>
      <c r="M469" s="38">
        <f t="shared" si="177"/>
        <v>0</v>
      </c>
      <c r="N469" s="10"/>
      <c r="O469" s="10"/>
      <c r="P469" s="10"/>
      <c r="Q469" s="38">
        <f t="shared" si="178"/>
        <v>0</v>
      </c>
      <c r="R469" s="38">
        <f t="shared" si="174"/>
        <v>0</v>
      </c>
      <c r="T469" t="s">
        <v>2780</v>
      </c>
    </row>
    <row r="470" spans="1:20" ht="15.75" customHeight="1" x14ac:dyDescent="0.3">
      <c r="A470" s="410" t="s">
        <v>3297</v>
      </c>
      <c r="B470" s="10"/>
      <c r="C470" s="10"/>
      <c r="D470" s="10"/>
      <c r="E470" s="38">
        <f t="shared" si="175"/>
        <v>0</v>
      </c>
      <c r="F470" s="10"/>
      <c r="G470" s="10"/>
      <c r="H470" s="10">
        <v>1500</v>
      </c>
      <c r="I470" s="38">
        <f t="shared" si="176"/>
        <v>1500</v>
      </c>
      <c r="J470" s="10">
        <v>1500</v>
      </c>
      <c r="K470" s="10"/>
      <c r="L470" s="10"/>
      <c r="M470" s="38">
        <f t="shared" si="177"/>
        <v>1500</v>
      </c>
      <c r="N470" s="10"/>
      <c r="O470" s="10"/>
      <c r="P470" s="10"/>
      <c r="Q470" s="38">
        <f t="shared" si="178"/>
        <v>0</v>
      </c>
      <c r="R470" s="38">
        <f>+E470+I470+M470+Q470</f>
        <v>3000</v>
      </c>
    </row>
    <row r="471" spans="1:20" ht="15.75" customHeight="1" x14ac:dyDescent="0.3">
      <c r="A471" s="410" t="s">
        <v>3298</v>
      </c>
      <c r="B471" s="10"/>
      <c r="C471" s="10"/>
      <c r="D471" s="10"/>
      <c r="E471" s="38">
        <f t="shared" si="175"/>
        <v>0</v>
      </c>
      <c r="F471" s="10"/>
      <c r="G471" s="10"/>
      <c r="H471" s="10"/>
      <c r="I471" s="38">
        <f t="shared" si="176"/>
        <v>0</v>
      </c>
      <c r="J471" s="10"/>
      <c r="K471" s="10"/>
      <c r="L471" s="10"/>
      <c r="M471" s="38">
        <f t="shared" si="177"/>
        <v>0</v>
      </c>
      <c r="N471" s="10"/>
      <c r="O471" s="10"/>
      <c r="P471" s="10"/>
      <c r="Q471" s="38">
        <f t="shared" si="178"/>
        <v>0</v>
      </c>
      <c r="R471" s="38">
        <f>+E471+I471+M471+Q471</f>
        <v>0</v>
      </c>
      <c r="T471" t="s">
        <v>1358</v>
      </c>
    </row>
    <row r="472" spans="1:20" ht="15.75" customHeight="1" x14ac:dyDescent="0.3">
      <c r="A472" s="410" t="s">
        <v>3299</v>
      </c>
      <c r="B472" s="10"/>
      <c r="C472" s="10">
        <v>1029</v>
      </c>
      <c r="D472" s="10">
        <v>1713</v>
      </c>
      <c r="E472" s="38">
        <f t="shared" si="175"/>
        <v>2742</v>
      </c>
      <c r="F472" s="10">
        <v>1841</v>
      </c>
      <c r="G472" s="10">
        <v>1841</v>
      </c>
      <c r="H472" s="10"/>
      <c r="I472" s="38">
        <f t="shared" si="176"/>
        <v>3682</v>
      </c>
      <c r="J472" s="10"/>
      <c r="K472" s="10"/>
      <c r="L472" s="10"/>
      <c r="M472" s="38">
        <f t="shared" si="177"/>
        <v>0</v>
      </c>
      <c r="N472" s="10"/>
      <c r="O472" s="10"/>
      <c r="P472" s="10"/>
      <c r="Q472" s="38">
        <f t="shared" si="178"/>
        <v>0</v>
      </c>
      <c r="R472" s="38">
        <f t="shared" si="174"/>
        <v>6424</v>
      </c>
      <c r="T472" t="s">
        <v>2780</v>
      </c>
    </row>
    <row r="473" spans="1:20" ht="15.75" customHeight="1" x14ac:dyDescent="0.3">
      <c r="A473" s="410" t="s">
        <v>3300</v>
      </c>
      <c r="B473" s="10"/>
      <c r="C473" s="10"/>
      <c r="D473" s="10"/>
      <c r="E473" s="38">
        <f t="shared" si="175"/>
        <v>0</v>
      </c>
      <c r="F473" s="10"/>
      <c r="G473" s="10"/>
      <c r="H473" s="10"/>
      <c r="I473" s="38">
        <f t="shared" si="176"/>
        <v>0</v>
      </c>
      <c r="J473" s="10"/>
      <c r="K473" s="10"/>
      <c r="L473" s="10"/>
      <c r="M473" s="38">
        <f t="shared" si="177"/>
        <v>0</v>
      </c>
      <c r="N473" s="10"/>
      <c r="O473" s="10"/>
      <c r="P473" s="10"/>
      <c r="Q473" s="38">
        <f t="shared" si="178"/>
        <v>0</v>
      </c>
      <c r="R473" s="38">
        <f t="shared" si="174"/>
        <v>0</v>
      </c>
      <c r="T473" t="s">
        <v>1358</v>
      </c>
    </row>
    <row r="474" spans="1:20" ht="15.75" customHeight="1" x14ac:dyDescent="0.3">
      <c r="A474" s="410" t="s">
        <v>3406</v>
      </c>
      <c r="B474" s="10"/>
      <c r="C474" s="10">
        <v>19</v>
      </c>
      <c r="D474" s="10"/>
      <c r="E474" s="38">
        <f t="shared" ref="E474:E475" si="192">SUM(B474:D474)</f>
        <v>19</v>
      </c>
      <c r="F474" s="10"/>
      <c r="G474" s="10"/>
      <c r="H474" s="10"/>
      <c r="I474" s="38">
        <f t="shared" ref="I474:I476" si="193">SUM(F474:H474)</f>
        <v>0</v>
      </c>
      <c r="J474" s="10"/>
      <c r="K474" s="10"/>
      <c r="L474" s="10"/>
      <c r="M474" s="38">
        <f t="shared" ref="M474:M476" si="194">SUM(J474:L474)</f>
        <v>0</v>
      </c>
      <c r="N474" s="10"/>
      <c r="O474" s="10"/>
      <c r="P474" s="10"/>
      <c r="Q474" s="38">
        <f t="shared" ref="Q474:Q476" si="195">SUM(N474:P474)</f>
        <v>0</v>
      </c>
      <c r="R474" s="38">
        <f t="shared" si="174"/>
        <v>19</v>
      </c>
    </row>
    <row r="475" spans="1:20" ht="15.75" customHeight="1" x14ac:dyDescent="0.3">
      <c r="A475" s="410" t="s">
        <v>3407</v>
      </c>
      <c r="B475" s="10"/>
      <c r="C475" s="10">
        <v>15</v>
      </c>
      <c r="D475" s="10"/>
      <c r="E475" s="38">
        <f t="shared" si="192"/>
        <v>15</v>
      </c>
      <c r="F475" s="10"/>
      <c r="G475" s="10"/>
      <c r="H475" s="10"/>
      <c r="I475" s="38">
        <f t="shared" si="193"/>
        <v>0</v>
      </c>
      <c r="J475" s="10"/>
      <c r="K475" s="10"/>
      <c r="L475" s="10"/>
      <c r="M475" s="38">
        <f t="shared" si="194"/>
        <v>0</v>
      </c>
      <c r="N475" s="10"/>
      <c r="O475" s="10"/>
      <c r="P475" s="10"/>
      <c r="Q475" s="38">
        <f t="shared" si="195"/>
        <v>0</v>
      </c>
      <c r="R475" s="38">
        <f>+E475+I475+M475+Q475</f>
        <v>15</v>
      </c>
    </row>
    <row r="476" spans="1:20" ht="15.75" customHeight="1" x14ac:dyDescent="0.3">
      <c r="A476" s="410" t="s">
        <v>3408</v>
      </c>
      <c r="B476" s="10"/>
      <c r="C476" s="10">
        <v>30</v>
      </c>
      <c r="D476" s="10"/>
      <c r="E476" s="38">
        <f>SUM(B476:D476)</f>
        <v>30</v>
      </c>
      <c r="F476" s="10"/>
      <c r="G476" s="10"/>
      <c r="H476" s="10"/>
      <c r="I476" s="38">
        <f t="shared" si="193"/>
        <v>0</v>
      </c>
      <c r="J476" s="10"/>
      <c r="K476" s="10"/>
      <c r="L476" s="10"/>
      <c r="M476" s="38">
        <f t="shared" si="194"/>
        <v>0</v>
      </c>
      <c r="N476" s="10"/>
      <c r="O476" s="10"/>
      <c r="P476" s="10"/>
      <c r="Q476" s="38">
        <f t="shared" si="195"/>
        <v>0</v>
      </c>
      <c r="R476" s="38">
        <f t="shared" si="174"/>
        <v>30</v>
      </c>
    </row>
    <row r="477" spans="1:20" ht="15.75" customHeight="1" x14ac:dyDescent="0.3">
      <c r="A477" s="410" t="s">
        <v>3292</v>
      </c>
      <c r="B477" s="10"/>
      <c r="C477" s="10"/>
      <c r="D477" s="10">
        <v>2622</v>
      </c>
      <c r="E477" s="38">
        <f t="shared" si="175"/>
        <v>2622</v>
      </c>
      <c r="F477" s="10"/>
      <c r="G477" s="10"/>
      <c r="H477" s="10"/>
      <c r="I477" s="38">
        <f t="shared" si="176"/>
        <v>0</v>
      </c>
      <c r="J477" s="10"/>
      <c r="K477" s="10"/>
      <c r="L477" s="10"/>
      <c r="M477" s="38">
        <f t="shared" si="177"/>
        <v>0</v>
      </c>
      <c r="N477" s="10"/>
      <c r="O477" s="10"/>
      <c r="P477" s="10"/>
      <c r="Q477" s="38">
        <f t="shared" si="178"/>
        <v>0</v>
      </c>
      <c r="R477" s="38">
        <f t="shared" si="174"/>
        <v>2622</v>
      </c>
    </row>
    <row r="478" spans="1:20" ht="15.75" customHeight="1" thickBot="1" x14ac:dyDescent="0.35">
      <c r="A478" s="311" t="s">
        <v>2717</v>
      </c>
      <c r="B478" s="10">
        <v>2000</v>
      </c>
      <c r="C478" s="10">
        <v>2000</v>
      </c>
      <c r="D478" s="10">
        <v>2000</v>
      </c>
      <c r="E478" s="38">
        <f t="shared" si="175"/>
        <v>6000</v>
      </c>
      <c r="F478" s="10">
        <v>2000</v>
      </c>
      <c r="G478" s="10">
        <v>2000</v>
      </c>
      <c r="H478" s="10">
        <v>2000</v>
      </c>
      <c r="I478" s="38">
        <f t="shared" si="176"/>
        <v>6000</v>
      </c>
      <c r="J478" s="10">
        <v>2000</v>
      </c>
      <c r="K478" s="10">
        <v>3000</v>
      </c>
      <c r="L478" s="10">
        <v>2000</v>
      </c>
      <c r="M478" s="38">
        <f t="shared" si="177"/>
        <v>7000</v>
      </c>
      <c r="N478" s="10">
        <v>2000</v>
      </c>
      <c r="O478" s="10">
        <v>2000</v>
      </c>
      <c r="P478" s="10">
        <v>2000</v>
      </c>
      <c r="Q478" s="38">
        <f t="shared" si="178"/>
        <v>6000</v>
      </c>
      <c r="R478" s="38">
        <f t="shared" si="174"/>
        <v>25000</v>
      </c>
    </row>
    <row r="479" spans="1:20" ht="16.5" customHeight="1" thickBot="1" x14ac:dyDescent="0.35">
      <c r="A479" s="277" t="s">
        <v>1220</v>
      </c>
      <c r="B479" s="47">
        <f>SUM(B410:B478)</f>
        <v>24139</v>
      </c>
      <c r="C479" s="42">
        <f>SUM(C410:C478)</f>
        <v>28634</v>
      </c>
      <c r="D479" s="42">
        <f>SUM(D410:D478)</f>
        <v>39059</v>
      </c>
      <c r="E479" s="37">
        <f t="shared" ref="E479" si="196">SUM(B479:D479)</f>
        <v>91832</v>
      </c>
      <c r="F479" s="42">
        <f>SUM(F410:F478)</f>
        <v>41268</v>
      </c>
      <c r="G479" s="42">
        <f>SUM(G410:G478)</f>
        <v>42549</v>
      </c>
      <c r="H479" s="42">
        <f>SUM(H410:H478)</f>
        <v>56863</v>
      </c>
      <c r="I479" s="37">
        <f t="shared" ref="I479" si="197">SUM(F479:H479)</f>
        <v>140680</v>
      </c>
      <c r="J479" s="42">
        <f>SUM(J410:J478)</f>
        <v>42966</v>
      </c>
      <c r="K479" s="42">
        <f>SUM(K410:K478)</f>
        <v>35807</v>
      </c>
      <c r="L479" s="42">
        <f>SUM(L410:L478)</f>
        <v>30936</v>
      </c>
      <c r="M479" s="37">
        <f t="shared" ref="M479" si="198">SUM(J479:L479)</f>
        <v>109709</v>
      </c>
      <c r="N479" s="42">
        <f>SUM(N410:N478)</f>
        <v>25915</v>
      </c>
      <c r="O479" s="42">
        <f>SUM(O410:O478)</f>
        <v>22228</v>
      </c>
      <c r="P479" s="42">
        <f>SUM(P410:P478)</f>
        <v>12792</v>
      </c>
      <c r="Q479" s="37">
        <f t="shared" si="178"/>
        <v>60935</v>
      </c>
      <c r="R479" s="37">
        <f>+E479+I479+M479+Q479</f>
        <v>403156</v>
      </c>
      <c r="T479" s="230"/>
    </row>
    <row r="480" spans="1:20" ht="15.75" customHeight="1" x14ac:dyDescent="0.3">
      <c r="A480" s="234" t="s">
        <v>1712</v>
      </c>
      <c r="B480" s="10"/>
      <c r="C480" s="10"/>
      <c r="D480" s="10"/>
      <c r="E480" s="38" t="s">
        <v>852</v>
      </c>
      <c r="F480" s="10"/>
      <c r="G480" s="10"/>
      <c r="H480" s="10"/>
      <c r="I480" s="38" t="s">
        <v>852</v>
      </c>
      <c r="J480" s="10"/>
      <c r="K480" s="10"/>
      <c r="L480" s="10"/>
      <c r="M480" s="38" t="s">
        <v>852</v>
      </c>
      <c r="N480" s="10"/>
      <c r="O480" s="10"/>
      <c r="P480" s="10"/>
      <c r="Q480" s="38" t="s">
        <v>852</v>
      </c>
      <c r="R480" s="38" t="s">
        <v>852</v>
      </c>
    </row>
    <row r="481" spans="1:21" ht="15.75" customHeight="1" x14ac:dyDescent="0.3">
      <c r="A481" s="234" t="s">
        <v>1021</v>
      </c>
      <c r="B481" s="10"/>
      <c r="C481" s="10"/>
      <c r="D481" s="10"/>
      <c r="E481" s="38" t="s">
        <v>852</v>
      </c>
      <c r="F481" s="10"/>
      <c r="G481" s="10"/>
      <c r="H481" s="10"/>
      <c r="I481" s="38" t="s">
        <v>852</v>
      </c>
      <c r="J481" s="10"/>
      <c r="K481" s="10"/>
      <c r="L481" s="10"/>
      <c r="M481" s="38" t="s">
        <v>852</v>
      </c>
      <c r="N481" s="10"/>
      <c r="O481" s="10"/>
      <c r="P481" s="10"/>
      <c r="Q481" s="38" t="s">
        <v>852</v>
      </c>
      <c r="R481" s="38" t="s">
        <v>852</v>
      </c>
    </row>
    <row r="482" spans="1:21" ht="15.75" customHeight="1" x14ac:dyDescent="0.3">
      <c r="A482" s="410" t="s">
        <v>3260</v>
      </c>
      <c r="B482" s="10"/>
      <c r="C482" s="10"/>
      <c r="D482" s="10"/>
      <c r="E482" s="38">
        <f>SUM(B482:D482)</f>
        <v>0</v>
      </c>
      <c r="F482" s="10"/>
      <c r="G482" s="10"/>
      <c r="H482" s="10"/>
      <c r="I482" s="38">
        <f>SUM(F482:H482)</f>
        <v>0</v>
      </c>
      <c r="J482" s="10"/>
      <c r="K482" s="10"/>
      <c r="L482" s="10"/>
      <c r="M482" s="38">
        <f>SUM(J482:L482)</f>
        <v>0</v>
      </c>
      <c r="N482" s="10"/>
      <c r="O482" s="10"/>
      <c r="P482" s="10"/>
      <c r="Q482" s="38">
        <f>SUM(N482:P482)</f>
        <v>0</v>
      </c>
      <c r="R482" s="38">
        <f>+E482+I482+M482+Q482</f>
        <v>0</v>
      </c>
      <c r="U482" s="707"/>
    </row>
    <row r="483" spans="1:21" ht="15.75" customHeight="1" x14ac:dyDescent="0.3">
      <c r="A483" s="234" t="s">
        <v>557</v>
      </c>
      <c r="B483" s="10"/>
      <c r="C483" s="10"/>
      <c r="D483" s="10"/>
      <c r="E483" s="38" t="s">
        <v>852</v>
      </c>
      <c r="F483" s="10"/>
      <c r="G483" s="10"/>
      <c r="H483" s="10"/>
      <c r="I483" s="38" t="s">
        <v>852</v>
      </c>
      <c r="J483" s="10"/>
      <c r="K483" s="10"/>
      <c r="L483" s="10"/>
      <c r="M483" s="38" t="s">
        <v>852</v>
      </c>
      <c r="N483" s="10"/>
      <c r="O483" s="10"/>
      <c r="P483" s="10"/>
      <c r="Q483" s="38" t="s">
        <v>852</v>
      </c>
      <c r="R483" s="38" t="s">
        <v>852</v>
      </c>
    </row>
    <row r="484" spans="1:21" ht="15.75" customHeight="1" x14ac:dyDescent="0.3">
      <c r="A484" s="410" t="s">
        <v>2566</v>
      </c>
      <c r="B484" s="10"/>
      <c r="C484" s="10"/>
      <c r="D484" s="10"/>
      <c r="E484" s="38">
        <f>SUM(B484:D484)</f>
        <v>0</v>
      </c>
      <c r="F484" s="10"/>
      <c r="G484" s="10"/>
      <c r="H484" s="10"/>
      <c r="I484" s="38">
        <f>SUM(F484:H484)</f>
        <v>0</v>
      </c>
      <c r="J484" s="10"/>
      <c r="K484" s="10"/>
      <c r="L484" s="10"/>
      <c r="M484" s="38">
        <f>SUM(J484:L484)</f>
        <v>0</v>
      </c>
      <c r="N484" s="10"/>
      <c r="O484" s="10"/>
      <c r="P484" s="10"/>
      <c r="Q484" s="38">
        <f>SUM(N484:P484)</f>
        <v>0</v>
      </c>
      <c r="R484" s="38">
        <f>+E484+I484+M484+Q484</f>
        <v>0</v>
      </c>
    </row>
    <row r="485" spans="1:21" ht="15.75" customHeight="1" x14ac:dyDescent="0.3">
      <c r="A485" s="410" t="s">
        <v>2657</v>
      </c>
      <c r="B485" s="10"/>
      <c r="C485" s="10"/>
      <c r="D485" s="10"/>
      <c r="E485" s="38">
        <f>SUM(B485:D485)</f>
        <v>0</v>
      </c>
      <c r="F485" s="10"/>
      <c r="G485" s="10"/>
      <c r="H485" s="10"/>
      <c r="I485" s="38">
        <f>SUM(F485:H485)</f>
        <v>0</v>
      </c>
      <c r="J485" s="10"/>
      <c r="K485" s="10"/>
      <c r="L485" s="10"/>
      <c r="M485" s="38">
        <f>SUM(J485:L485)</f>
        <v>0</v>
      </c>
      <c r="N485" s="10"/>
      <c r="O485" s="10"/>
      <c r="P485" s="10"/>
      <c r="Q485" s="38">
        <f>SUM(N485:P485)</f>
        <v>0</v>
      </c>
      <c r="R485" s="38">
        <f>+E485+I485+M485+Q485</f>
        <v>0</v>
      </c>
    </row>
    <row r="486" spans="1:21" ht="15.75" customHeight="1" x14ac:dyDescent="0.3">
      <c r="A486" s="234" t="s">
        <v>1022</v>
      </c>
      <c r="B486" s="10"/>
      <c r="C486" s="10"/>
      <c r="D486" s="10"/>
      <c r="E486" s="38" t="s">
        <v>852</v>
      </c>
      <c r="F486" s="10"/>
      <c r="G486" s="10"/>
      <c r="H486" s="10"/>
      <c r="I486" s="38" t="s">
        <v>852</v>
      </c>
      <c r="J486" s="10"/>
      <c r="K486" s="10"/>
      <c r="L486" s="10"/>
      <c r="M486" s="38" t="s">
        <v>852</v>
      </c>
      <c r="N486" s="10"/>
      <c r="O486" s="10"/>
      <c r="P486" s="10"/>
      <c r="Q486" s="38" t="s">
        <v>852</v>
      </c>
      <c r="R486" s="38" t="s">
        <v>852</v>
      </c>
    </row>
    <row r="487" spans="1:21" ht="15.75" customHeight="1" x14ac:dyDescent="0.3">
      <c r="A487" s="311" t="s">
        <v>2486</v>
      </c>
      <c r="B487" s="10"/>
      <c r="C487" s="10"/>
      <c r="D487" s="10"/>
      <c r="E487" s="38">
        <f t="shared" ref="E487:E492" si="199">SUM(B487:D487)</f>
        <v>0</v>
      </c>
      <c r="F487" s="10"/>
      <c r="G487" s="10"/>
      <c r="H487" s="10"/>
      <c r="I487" s="38">
        <f t="shared" ref="I487:I492" si="200">SUM(F487:H487)</f>
        <v>0</v>
      </c>
      <c r="J487" s="10"/>
      <c r="K487" s="10"/>
      <c r="L487" s="10"/>
      <c r="M487" s="38">
        <f t="shared" ref="M487:M492" si="201">SUM(J487:L487)</f>
        <v>0</v>
      </c>
      <c r="N487" s="10"/>
      <c r="O487" s="10"/>
      <c r="P487" s="10"/>
      <c r="Q487" s="38">
        <f t="shared" ref="Q487:Q492" si="202">SUM(N487:P487)</f>
        <v>0</v>
      </c>
      <c r="R487" s="38">
        <f t="shared" ref="R487:R492" si="203">+E487+I487+M487+Q487</f>
        <v>0</v>
      </c>
      <c r="T487" t="s">
        <v>2178</v>
      </c>
    </row>
    <row r="488" spans="1:21" ht="15.75" customHeight="1" x14ac:dyDescent="0.3">
      <c r="A488" s="311" t="s">
        <v>1374</v>
      </c>
      <c r="B488" s="10"/>
      <c r="C488" s="10"/>
      <c r="D488" s="10"/>
      <c r="E488" s="38">
        <f t="shared" ref="E488" si="204">SUM(B488:D488)</f>
        <v>0</v>
      </c>
      <c r="F488" s="10"/>
      <c r="G488" s="10"/>
      <c r="H488" s="10"/>
      <c r="I488" s="38">
        <f t="shared" si="200"/>
        <v>0</v>
      </c>
      <c r="J488" s="10"/>
      <c r="K488" s="10"/>
      <c r="L488" s="10"/>
      <c r="M488" s="38">
        <f t="shared" si="201"/>
        <v>0</v>
      </c>
      <c r="N488" s="10"/>
      <c r="O488" s="10"/>
      <c r="P488" s="10"/>
      <c r="Q488" s="38">
        <f t="shared" si="202"/>
        <v>0</v>
      </c>
      <c r="R488" s="38">
        <f t="shared" si="203"/>
        <v>0</v>
      </c>
      <c r="T488" t="s">
        <v>2178</v>
      </c>
    </row>
    <row r="489" spans="1:21" ht="15.75" customHeight="1" x14ac:dyDescent="0.3">
      <c r="A489" s="410" t="s">
        <v>3261</v>
      </c>
      <c r="B489" s="10"/>
      <c r="C489" s="10"/>
      <c r="D489" s="10"/>
      <c r="E489" s="38">
        <f t="shared" si="199"/>
        <v>0</v>
      </c>
      <c r="F489" s="10"/>
      <c r="G489" s="10"/>
      <c r="H489" s="10"/>
      <c r="I489" s="38">
        <f t="shared" si="200"/>
        <v>0</v>
      </c>
      <c r="J489" s="10"/>
      <c r="K489" s="10"/>
      <c r="L489" s="10"/>
      <c r="M489" s="38">
        <f t="shared" si="201"/>
        <v>0</v>
      </c>
      <c r="N489" s="10"/>
      <c r="O489" s="10"/>
      <c r="P489" s="10"/>
      <c r="Q489" s="38">
        <f t="shared" si="202"/>
        <v>0</v>
      </c>
      <c r="R489" s="38">
        <f t="shared" si="203"/>
        <v>0</v>
      </c>
      <c r="T489" t="s">
        <v>2175</v>
      </c>
    </row>
    <row r="490" spans="1:21" ht="15.75" customHeight="1" x14ac:dyDescent="0.3">
      <c r="A490" s="410" t="s">
        <v>3262</v>
      </c>
      <c r="B490" s="10"/>
      <c r="C490" s="10"/>
      <c r="D490" s="10"/>
      <c r="E490" s="38">
        <f t="shared" si="199"/>
        <v>0</v>
      </c>
      <c r="F490" s="10"/>
      <c r="G490" s="10"/>
      <c r="H490" s="10"/>
      <c r="I490" s="38">
        <f t="shared" si="200"/>
        <v>0</v>
      </c>
      <c r="J490" s="10"/>
      <c r="K490" s="10"/>
      <c r="L490" s="10"/>
      <c r="M490" s="38">
        <f t="shared" si="201"/>
        <v>0</v>
      </c>
      <c r="N490" s="10"/>
      <c r="O490" s="10"/>
      <c r="P490" s="10"/>
      <c r="Q490" s="38">
        <f t="shared" si="202"/>
        <v>0</v>
      </c>
      <c r="R490" s="38">
        <f t="shared" si="203"/>
        <v>0</v>
      </c>
    </row>
    <row r="491" spans="1:21" ht="15.75" customHeight="1" x14ac:dyDescent="0.3">
      <c r="A491" s="311" t="s">
        <v>1376</v>
      </c>
      <c r="B491" s="10"/>
      <c r="C491" s="10"/>
      <c r="D491" s="10"/>
      <c r="E491" s="38">
        <f t="shared" si="199"/>
        <v>0</v>
      </c>
      <c r="F491" s="10"/>
      <c r="G491" s="10"/>
      <c r="H491" s="10"/>
      <c r="I491" s="38">
        <f t="shared" si="200"/>
        <v>0</v>
      </c>
      <c r="J491" s="10"/>
      <c r="K491" s="10"/>
      <c r="L491" s="10"/>
      <c r="M491" s="38">
        <f t="shared" si="201"/>
        <v>0</v>
      </c>
      <c r="N491" s="10"/>
      <c r="O491" s="10"/>
      <c r="P491" s="10"/>
      <c r="Q491" s="38">
        <f t="shared" si="202"/>
        <v>0</v>
      </c>
      <c r="R491" s="38">
        <f t="shared" si="203"/>
        <v>0</v>
      </c>
    </row>
    <row r="492" spans="1:21" ht="15.75" customHeight="1" x14ac:dyDescent="0.3">
      <c r="A492" s="311" t="s">
        <v>1227</v>
      </c>
      <c r="B492" s="10"/>
      <c r="C492" s="10"/>
      <c r="D492" s="10"/>
      <c r="E492" s="38">
        <f t="shared" si="199"/>
        <v>0</v>
      </c>
      <c r="F492" s="10"/>
      <c r="G492" s="10"/>
      <c r="H492" s="10"/>
      <c r="I492" s="38">
        <f t="shared" si="200"/>
        <v>0</v>
      </c>
      <c r="J492" s="10"/>
      <c r="K492" s="10"/>
      <c r="L492" s="10"/>
      <c r="M492" s="38">
        <f t="shared" si="201"/>
        <v>0</v>
      </c>
      <c r="N492" s="10"/>
      <c r="O492" s="10"/>
      <c r="P492" s="10"/>
      <c r="Q492" s="38">
        <f t="shared" si="202"/>
        <v>0</v>
      </c>
      <c r="R492" s="38">
        <f t="shared" si="203"/>
        <v>0</v>
      </c>
      <c r="T492" t="s">
        <v>2178</v>
      </c>
    </row>
    <row r="493" spans="1:21" ht="15.75" customHeight="1" x14ac:dyDescent="0.3">
      <c r="A493" s="234" t="s">
        <v>559</v>
      </c>
      <c r="B493" s="10"/>
      <c r="C493" s="10"/>
      <c r="D493" s="10"/>
      <c r="E493" s="38" t="s">
        <v>852</v>
      </c>
      <c r="F493" s="10"/>
      <c r="G493" s="10"/>
      <c r="H493" s="10"/>
      <c r="I493" s="38" t="s">
        <v>852</v>
      </c>
      <c r="J493" s="10"/>
      <c r="K493" s="10"/>
      <c r="L493" s="10"/>
      <c r="M493" s="38" t="s">
        <v>852</v>
      </c>
      <c r="N493" s="10"/>
      <c r="O493" s="10"/>
      <c r="P493" s="10"/>
      <c r="Q493" s="38" t="s">
        <v>852</v>
      </c>
      <c r="R493" s="38" t="s">
        <v>852</v>
      </c>
    </row>
    <row r="494" spans="1:21" ht="15.75" customHeight="1" x14ac:dyDescent="0.3">
      <c r="A494" s="410" t="s">
        <v>2936</v>
      </c>
      <c r="B494" s="10"/>
      <c r="C494" s="10"/>
      <c r="D494" s="10"/>
      <c r="E494" s="38">
        <f>SUM(B494:D494)</f>
        <v>0</v>
      </c>
      <c r="F494" s="10"/>
      <c r="G494" s="10"/>
      <c r="H494" s="10"/>
      <c r="I494" s="38">
        <f>SUM(F494:H494)</f>
        <v>0</v>
      </c>
      <c r="J494" s="10"/>
      <c r="K494" s="10"/>
      <c r="L494" s="10"/>
      <c r="M494" s="38">
        <f>SUM(J494:L494)</f>
        <v>0</v>
      </c>
      <c r="N494" s="10"/>
      <c r="O494" s="10"/>
      <c r="P494" s="10"/>
      <c r="Q494" s="38">
        <f>SUM(N494:P494)</f>
        <v>0</v>
      </c>
      <c r="R494" s="38">
        <f>+E494+I494+M494+Q494</f>
        <v>0</v>
      </c>
      <c r="T494" t="s">
        <v>2174</v>
      </c>
    </row>
    <row r="495" spans="1:21" ht="15.75" customHeight="1" x14ac:dyDescent="0.3">
      <c r="A495" s="410" t="s">
        <v>2832</v>
      </c>
      <c r="B495" s="10"/>
      <c r="C495" s="10"/>
      <c r="D495" s="10"/>
      <c r="E495" s="38">
        <f>SUM(B495:D495)</f>
        <v>0</v>
      </c>
      <c r="F495" s="10"/>
      <c r="G495" s="10"/>
      <c r="H495" s="10"/>
      <c r="I495" s="38">
        <f>SUM(F495:H495)</f>
        <v>0</v>
      </c>
      <c r="J495" s="10"/>
      <c r="K495" s="10"/>
      <c r="L495" s="10"/>
      <c r="M495" s="38">
        <f>SUM(J495:L495)</f>
        <v>0</v>
      </c>
      <c r="N495" s="10"/>
      <c r="O495" s="10"/>
      <c r="P495" s="10"/>
      <c r="Q495" s="38">
        <f>SUM(N495:P495)</f>
        <v>0</v>
      </c>
      <c r="R495" s="38">
        <f>+E495+I495+M495+Q495</f>
        <v>0</v>
      </c>
      <c r="T495" t="s">
        <v>2174</v>
      </c>
    </row>
    <row r="496" spans="1:21" ht="15.75" customHeight="1" x14ac:dyDescent="0.3">
      <c r="A496" s="410" t="s">
        <v>3225</v>
      </c>
      <c r="B496" s="10"/>
      <c r="C496" s="10"/>
      <c r="D496" s="10"/>
      <c r="E496" s="38">
        <f>SUM(B496:D496)</f>
        <v>0</v>
      </c>
      <c r="F496" s="10"/>
      <c r="G496" s="10"/>
      <c r="H496" s="10"/>
      <c r="I496" s="38">
        <f>SUM(F496:H496)</f>
        <v>0</v>
      </c>
      <c r="J496" s="10"/>
      <c r="K496" s="10"/>
      <c r="L496" s="10"/>
      <c r="M496" s="38">
        <f>SUM(J496:L496)</f>
        <v>0</v>
      </c>
      <c r="N496" s="10"/>
      <c r="O496" s="10"/>
      <c r="P496" s="10"/>
      <c r="Q496" s="38">
        <f>SUM(N496:P496)</f>
        <v>0</v>
      </c>
      <c r="R496" s="38">
        <f>+E496+I496+M496+Q496</f>
        <v>0</v>
      </c>
    </row>
    <row r="497" spans="1:21" ht="15.75" customHeight="1" x14ac:dyDescent="0.3">
      <c r="A497" s="410" t="s">
        <v>2569</v>
      </c>
      <c r="B497" s="10"/>
      <c r="C497" s="10"/>
      <c r="D497" s="10"/>
      <c r="E497" s="38">
        <f>SUM(B497:D497)</f>
        <v>0</v>
      </c>
      <c r="F497" s="10"/>
      <c r="G497" s="10"/>
      <c r="H497" s="10"/>
      <c r="I497" s="38">
        <f>SUM(F497:H497)</f>
        <v>0</v>
      </c>
      <c r="J497" s="10"/>
      <c r="K497" s="10"/>
      <c r="L497" s="10"/>
      <c r="M497" s="38">
        <f>SUM(J497:L497)</f>
        <v>0</v>
      </c>
      <c r="N497" s="10"/>
      <c r="O497" s="10"/>
      <c r="P497" s="10"/>
      <c r="Q497" s="38">
        <f>SUM(N497:P497)</f>
        <v>0</v>
      </c>
      <c r="R497" s="38">
        <f>+E497+I497+M497+Q497</f>
        <v>0</v>
      </c>
    </row>
    <row r="498" spans="1:21" ht="15.75" customHeight="1" x14ac:dyDescent="0.3">
      <c r="A498" s="410" t="s">
        <v>2570</v>
      </c>
      <c r="B498" s="10"/>
      <c r="C498" s="10"/>
      <c r="D498" s="10"/>
      <c r="E498" s="38">
        <f t="shared" ref="E498" si="205">SUM(B498:D498)</f>
        <v>0</v>
      </c>
      <c r="F498" s="10"/>
      <c r="G498" s="10"/>
      <c r="H498" s="10"/>
      <c r="I498" s="38">
        <f t="shared" ref="I498" si="206">SUM(F498:H498)</f>
        <v>0</v>
      </c>
      <c r="J498" s="10"/>
      <c r="K498" s="10"/>
      <c r="L498" s="10"/>
      <c r="M498" s="38">
        <f t="shared" ref="M498" si="207">SUM(J498:L498)</f>
        <v>0</v>
      </c>
      <c r="N498" s="10"/>
      <c r="O498" s="10"/>
      <c r="P498" s="10"/>
      <c r="Q498" s="38">
        <f t="shared" ref="Q498:Q509" si="208">SUM(N498:P498)</f>
        <v>0</v>
      </c>
      <c r="R498" s="38">
        <f t="shared" ref="R498:R509" si="209">+E498+I498+M498+Q498</f>
        <v>0</v>
      </c>
    </row>
    <row r="499" spans="1:21" ht="15.75" customHeight="1" x14ac:dyDescent="0.3">
      <c r="A499" s="410" t="s">
        <v>2571</v>
      </c>
      <c r="B499" s="10"/>
      <c r="C499" s="10"/>
      <c r="D499" s="10"/>
      <c r="E499" s="38">
        <f>SUM(B499:D499)</f>
        <v>0</v>
      </c>
      <c r="F499" s="10"/>
      <c r="G499" s="10"/>
      <c r="H499" s="10"/>
      <c r="I499" s="38">
        <f>SUM(F499:H499)</f>
        <v>0</v>
      </c>
      <c r="J499" s="10"/>
      <c r="K499" s="10"/>
      <c r="L499" s="10"/>
      <c r="M499" s="38">
        <f>SUM(J499:L499)</f>
        <v>0</v>
      </c>
      <c r="N499" s="10"/>
      <c r="O499" s="10"/>
      <c r="P499" s="10"/>
      <c r="Q499" s="38">
        <f>SUM(N499:P499)</f>
        <v>0</v>
      </c>
      <c r="R499" s="38">
        <f>+E499+I499+M499+Q499</f>
        <v>0</v>
      </c>
    </row>
    <row r="500" spans="1:21" ht="15.75" customHeight="1" x14ac:dyDescent="0.3">
      <c r="A500" s="410" t="s">
        <v>2572</v>
      </c>
      <c r="B500" s="10"/>
      <c r="C500" s="10"/>
      <c r="D500" s="10"/>
      <c r="E500" s="38">
        <f>SUM(B500:D500)</f>
        <v>0</v>
      </c>
      <c r="F500" s="10"/>
      <c r="G500" s="10"/>
      <c r="H500" s="10"/>
      <c r="I500" s="38">
        <f>SUM(F500:H500)</f>
        <v>0</v>
      </c>
      <c r="J500" s="10"/>
      <c r="K500" s="10"/>
      <c r="L500" s="10"/>
      <c r="M500" s="38">
        <f>SUM(J500:L500)</f>
        <v>0</v>
      </c>
      <c r="N500" s="10"/>
      <c r="O500" s="10"/>
      <c r="P500" s="10"/>
      <c r="Q500" s="38">
        <f>SUM(N500:P500)</f>
        <v>0</v>
      </c>
      <c r="R500" s="38">
        <f>+E500+I500+M500+Q500</f>
        <v>0</v>
      </c>
      <c r="T500" t="s">
        <v>2174</v>
      </c>
      <c r="U500" s="707"/>
    </row>
    <row r="501" spans="1:21" ht="15.75" customHeight="1" x14ac:dyDescent="0.3">
      <c r="A501" s="410" t="s">
        <v>2573</v>
      </c>
      <c r="B501" s="10"/>
      <c r="C501" s="10"/>
      <c r="D501" s="10"/>
      <c r="E501" s="38">
        <f>SUM(B501:D501)</f>
        <v>0</v>
      </c>
      <c r="F501" s="10"/>
      <c r="G501" s="10"/>
      <c r="H501" s="10"/>
      <c r="I501" s="38">
        <f>SUM(F501:H501)</f>
        <v>0</v>
      </c>
      <c r="J501" s="10"/>
      <c r="K501" s="10"/>
      <c r="L501" s="10"/>
      <c r="M501" s="38">
        <f>SUM(J501:L501)</f>
        <v>0</v>
      </c>
      <c r="N501" s="10"/>
      <c r="O501" s="10"/>
      <c r="P501" s="10"/>
      <c r="Q501" s="38">
        <f>SUM(N501:P501)</f>
        <v>0</v>
      </c>
      <c r="R501" s="38">
        <f>+E501+I501+M501+Q501</f>
        <v>0</v>
      </c>
    </row>
    <row r="502" spans="1:21" ht="15.75" customHeight="1" x14ac:dyDescent="0.3">
      <c r="A502" s="410" t="s">
        <v>3226</v>
      </c>
      <c r="B502" s="10"/>
      <c r="C502" s="10"/>
      <c r="D502" s="10"/>
      <c r="E502" s="38">
        <f>SUM(B502:D502)</f>
        <v>0</v>
      </c>
      <c r="F502" s="10"/>
      <c r="G502" s="10"/>
      <c r="H502" s="10"/>
      <c r="I502" s="38">
        <f>SUM(F502:H502)</f>
        <v>0</v>
      </c>
      <c r="J502" s="10"/>
      <c r="K502" s="10"/>
      <c r="L502" s="10"/>
      <c r="M502" s="38">
        <f>SUM(J502:L502)</f>
        <v>0</v>
      </c>
      <c r="N502" s="10"/>
      <c r="O502" s="10"/>
      <c r="P502" s="10"/>
      <c r="Q502" s="38">
        <f>SUM(N502:P502)</f>
        <v>0</v>
      </c>
      <c r="R502" s="38">
        <f>+E502+I502+M502+Q502</f>
        <v>0</v>
      </c>
      <c r="T502" t="s">
        <v>2175</v>
      </c>
    </row>
    <row r="503" spans="1:21" ht="15.75" customHeight="1" thickBot="1" x14ac:dyDescent="0.35">
      <c r="A503" s="410" t="s">
        <v>2574</v>
      </c>
      <c r="B503" s="10"/>
      <c r="C503" s="10"/>
      <c r="D503" s="10"/>
      <c r="E503" s="38">
        <f>SUM(B503:D503)</f>
        <v>0</v>
      </c>
      <c r="F503" s="10"/>
      <c r="G503" s="10"/>
      <c r="H503" s="10"/>
      <c r="I503" s="38">
        <f>SUM(F503:H503)</f>
        <v>0</v>
      </c>
      <c r="J503" s="10"/>
      <c r="K503" s="10"/>
      <c r="L503" s="10"/>
      <c r="M503" s="38">
        <f>SUM(J503:L503)</f>
        <v>0</v>
      </c>
      <c r="N503" s="10"/>
      <c r="O503" s="10"/>
      <c r="P503" s="10"/>
      <c r="Q503" s="38">
        <f>SUM(N503:P503)</f>
        <v>0</v>
      </c>
      <c r="R503" s="38">
        <f>+E503+I503+M503+Q503</f>
        <v>0</v>
      </c>
      <c r="T503" t="s">
        <v>2175</v>
      </c>
    </row>
    <row r="504" spans="1:21" ht="16.5" customHeight="1" thickBot="1" x14ac:dyDescent="0.35">
      <c r="A504" s="43" t="s">
        <v>1019</v>
      </c>
      <c r="B504" s="42">
        <f>SUM(B486:B503)</f>
        <v>0</v>
      </c>
      <c r="C504" s="42">
        <f>SUM(C486:C503)</f>
        <v>0</v>
      </c>
      <c r="D504" s="42">
        <f>SUM(D486:D503)</f>
        <v>0</v>
      </c>
      <c r="E504" s="39">
        <f t="shared" ref="E504:E509" si="210">SUM(B504:D504)</f>
        <v>0</v>
      </c>
      <c r="F504" s="42">
        <f>SUM(F486:F503)</f>
        <v>0</v>
      </c>
      <c r="G504" s="42">
        <f>SUM(G486:G503)</f>
        <v>0</v>
      </c>
      <c r="H504" s="42">
        <f>SUM(H486:H503)</f>
        <v>0</v>
      </c>
      <c r="I504" s="39">
        <f t="shared" ref="I504:I509" si="211">SUM(F504:H504)</f>
        <v>0</v>
      </c>
      <c r="J504" s="42">
        <f>SUM(J486:J503)</f>
        <v>0</v>
      </c>
      <c r="K504" s="42">
        <f>SUM(K486:K503)</f>
        <v>0</v>
      </c>
      <c r="L504" s="42">
        <f>SUM(L486:L503)</f>
        <v>0</v>
      </c>
      <c r="M504" s="39">
        <f t="shared" ref="M504:M509" si="212">SUM(J504:L504)</f>
        <v>0</v>
      </c>
      <c r="N504" s="42">
        <f>SUM(N486:N503)</f>
        <v>0</v>
      </c>
      <c r="O504" s="42">
        <f>SUM(O486:O503)</f>
        <v>0</v>
      </c>
      <c r="P504" s="42">
        <f>SUM(P486:P503)</f>
        <v>0</v>
      </c>
      <c r="Q504" s="39">
        <f t="shared" si="208"/>
        <v>0</v>
      </c>
      <c r="R504" s="37">
        <f t="shared" si="209"/>
        <v>0</v>
      </c>
    </row>
    <row r="505" spans="1:21" ht="16.5" customHeight="1" thickBot="1" x14ac:dyDescent="0.35">
      <c r="A505" s="277" t="s">
        <v>1221</v>
      </c>
      <c r="B505" s="45">
        <f>SUM(B480:B503)</f>
        <v>0</v>
      </c>
      <c r="C505" s="46">
        <f>SUM(C480:C503)</f>
        <v>0</v>
      </c>
      <c r="D505" s="58">
        <f>SUM(D480:D503)</f>
        <v>0</v>
      </c>
      <c r="E505" s="39">
        <f t="shared" si="210"/>
        <v>0</v>
      </c>
      <c r="F505" s="46">
        <f>SUM(F480:F503)</f>
        <v>0</v>
      </c>
      <c r="G505" s="46">
        <f>SUM(G480:G503)</f>
        <v>0</v>
      </c>
      <c r="H505" s="46">
        <f>SUM(H480:H503)</f>
        <v>0</v>
      </c>
      <c r="I505" s="39">
        <f t="shared" si="211"/>
        <v>0</v>
      </c>
      <c r="J505" s="46">
        <f>SUM(J480:J503)</f>
        <v>0</v>
      </c>
      <c r="K505" s="46">
        <f>SUM(K480:K503)</f>
        <v>0</v>
      </c>
      <c r="L505" s="46">
        <f>SUM(L480:L503)</f>
        <v>0</v>
      </c>
      <c r="M505" s="39">
        <f t="shared" si="212"/>
        <v>0</v>
      </c>
      <c r="N505" s="46">
        <f>SUM(N480:N503)</f>
        <v>0</v>
      </c>
      <c r="O505" s="46">
        <f>SUM(O480:O503)</f>
        <v>0</v>
      </c>
      <c r="P505" s="46">
        <f>SUM(P480:P503)</f>
        <v>0</v>
      </c>
      <c r="Q505" s="39">
        <f t="shared" si="208"/>
        <v>0</v>
      </c>
      <c r="R505" s="37">
        <f t="shared" si="209"/>
        <v>0</v>
      </c>
    </row>
    <row r="506" spans="1:21" ht="16.5" customHeight="1" thickBot="1" x14ac:dyDescent="0.35">
      <c r="A506" s="43" t="s">
        <v>1222</v>
      </c>
      <c r="B506" s="47">
        <f>+B395+B409+B479+B505</f>
        <v>31169</v>
      </c>
      <c r="C506" s="42">
        <f>+C395+C409+C479+C505</f>
        <v>34725</v>
      </c>
      <c r="D506" s="42">
        <f>+D395+D409+D479+D505</f>
        <v>52564</v>
      </c>
      <c r="E506" s="37">
        <f t="shared" si="210"/>
        <v>118458</v>
      </c>
      <c r="F506" s="42">
        <f>+F395+F409+F479+F505</f>
        <v>69665</v>
      </c>
      <c r="G506" s="42">
        <f>+G395+G409+G479+G505</f>
        <v>72361</v>
      </c>
      <c r="H506" s="42">
        <f>+H395+H409+H479+H505</f>
        <v>98784</v>
      </c>
      <c r="I506" s="37">
        <f t="shared" si="211"/>
        <v>240810</v>
      </c>
      <c r="J506" s="42">
        <f>+J395+J409+J479+J505</f>
        <v>71477</v>
      </c>
      <c r="K506" s="42">
        <f>+K395+K409+K479+K505</f>
        <v>59494</v>
      </c>
      <c r="L506" s="42">
        <f>+L395+L409+L479+L505</f>
        <v>46211</v>
      </c>
      <c r="M506" s="37">
        <f t="shared" si="212"/>
        <v>177182</v>
      </c>
      <c r="N506" s="42">
        <f>+N395+N409+N479+N505</f>
        <v>40138</v>
      </c>
      <c r="O506" s="42">
        <f>+O395+O409+O479+O505</f>
        <v>32934</v>
      </c>
      <c r="P506" s="42">
        <f>+P395+P409+P479+P505</f>
        <v>20027</v>
      </c>
      <c r="Q506" s="37">
        <f t="shared" si="208"/>
        <v>93099</v>
      </c>
      <c r="R506" s="40">
        <f t="shared" si="209"/>
        <v>629549</v>
      </c>
    </row>
    <row r="507" spans="1:21" ht="15.75" customHeight="1" x14ac:dyDescent="0.3">
      <c r="A507" s="539" t="s">
        <v>2273</v>
      </c>
      <c r="B507" s="10"/>
      <c r="C507" s="10"/>
      <c r="D507" s="10"/>
      <c r="E507" s="38">
        <f t="shared" si="210"/>
        <v>0</v>
      </c>
      <c r="F507" s="10"/>
      <c r="G507" s="10"/>
      <c r="H507" s="10"/>
      <c r="I507" s="38">
        <f t="shared" si="211"/>
        <v>0</v>
      </c>
      <c r="J507" s="10"/>
      <c r="K507" s="10"/>
      <c r="L507" s="10"/>
      <c r="M507" s="38">
        <f t="shared" si="212"/>
        <v>0</v>
      </c>
      <c r="N507" s="10"/>
      <c r="O507" s="10"/>
      <c r="P507" s="10"/>
      <c r="Q507" s="38">
        <f t="shared" si="208"/>
        <v>0</v>
      </c>
      <c r="R507" s="38">
        <f t="shared" si="209"/>
        <v>0</v>
      </c>
    </row>
    <row r="508" spans="1:21" ht="15.75" customHeight="1" x14ac:dyDescent="0.3">
      <c r="A508" s="539" t="s">
        <v>2274</v>
      </c>
      <c r="B508" s="10"/>
      <c r="C508" s="10"/>
      <c r="D508" s="10"/>
      <c r="E508" s="38">
        <f t="shared" si="210"/>
        <v>0</v>
      </c>
      <c r="F508" s="10"/>
      <c r="G508" s="10"/>
      <c r="H508" s="10"/>
      <c r="I508" s="38">
        <f t="shared" si="211"/>
        <v>0</v>
      </c>
      <c r="J508" s="10"/>
      <c r="K508" s="10"/>
      <c r="L508" s="10"/>
      <c r="M508" s="38">
        <f t="shared" si="212"/>
        <v>0</v>
      </c>
      <c r="N508" s="10"/>
      <c r="O508" s="10"/>
      <c r="P508" s="10"/>
      <c r="Q508" s="38">
        <f t="shared" si="208"/>
        <v>0</v>
      </c>
      <c r="R508" s="38">
        <f t="shared" si="209"/>
        <v>0</v>
      </c>
    </row>
    <row r="509" spans="1:21" ht="16.5" customHeight="1" thickBot="1" x14ac:dyDescent="0.35">
      <c r="A509" s="312" t="s">
        <v>853</v>
      </c>
      <c r="B509" s="294">
        <v>155</v>
      </c>
      <c r="C509" s="294">
        <v>283</v>
      </c>
      <c r="D509" s="294">
        <v>435</v>
      </c>
      <c r="E509" s="40">
        <f t="shared" si="210"/>
        <v>873</v>
      </c>
      <c r="F509" s="294">
        <v>602</v>
      </c>
      <c r="G509" s="294">
        <v>711</v>
      </c>
      <c r="H509" s="294">
        <v>722</v>
      </c>
      <c r="I509" s="40">
        <f t="shared" si="211"/>
        <v>2035</v>
      </c>
      <c r="J509" s="294">
        <v>686</v>
      </c>
      <c r="K509" s="294">
        <v>519</v>
      </c>
      <c r="L509" s="294">
        <v>531</v>
      </c>
      <c r="M509" s="40">
        <f t="shared" si="212"/>
        <v>1736</v>
      </c>
      <c r="N509" s="294">
        <v>489</v>
      </c>
      <c r="O509" s="294">
        <v>389</v>
      </c>
      <c r="P509" s="294">
        <v>275</v>
      </c>
      <c r="Q509" s="40">
        <f t="shared" si="208"/>
        <v>1153</v>
      </c>
      <c r="R509" s="38">
        <f t="shared" si="209"/>
        <v>5797</v>
      </c>
    </row>
    <row r="510" spans="1:21" ht="16.5" customHeight="1" thickBot="1" x14ac:dyDescent="0.35">
      <c r="A510" s="44"/>
      <c r="B510" s="313"/>
      <c r="C510" s="313"/>
      <c r="D510" s="313"/>
      <c r="E510" s="37"/>
      <c r="F510" s="313"/>
      <c r="G510" s="313"/>
      <c r="H510" s="313"/>
      <c r="I510" s="37"/>
      <c r="J510" s="313"/>
      <c r="K510" s="313"/>
      <c r="L510" s="313"/>
      <c r="M510" s="37"/>
      <c r="N510" s="313"/>
      <c r="O510" s="313"/>
      <c r="P510" s="313"/>
      <c r="Q510" s="37"/>
      <c r="R510" s="37" t="s">
        <v>852</v>
      </c>
    </row>
    <row r="511" spans="1:21" ht="15.75" customHeight="1" x14ac:dyDescent="0.3">
      <c r="A511" s="259" t="s">
        <v>2011</v>
      </c>
      <c r="B511" s="741">
        <f>SUM(B506:B509)</f>
        <v>31324</v>
      </c>
      <c r="C511" s="741">
        <f>SUM(C506:C509)</f>
        <v>35008</v>
      </c>
      <c r="D511" s="741">
        <f>SUM(D506:D509)</f>
        <v>52999</v>
      </c>
      <c r="E511" s="39">
        <f>SUM(B511:D511)</f>
        <v>119331</v>
      </c>
      <c r="F511" s="741">
        <f>SUM(F506:F509)</f>
        <v>70267</v>
      </c>
      <c r="G511" s="741">
        <f>SUM(G506:G509)</f>
        <v>73072</v>
      </c>
      <c r="H511" s="741">
        <f>SUM(H506:H509)</f>
        <v>99506</v>
      </c>
      <c r="I511" s="39">
        <f>SUM(F511:H511)</f>
        <v>242845</v>
      </c>
      <c r="J511" s="741">
        <f>SUM(J506:J509)</f>
        <v>72163</v>
      </c>
      <c r="K511" s="741">
        <f>SUM(K506:K509)</f>
        <v>60013</v>
      </c>
      <c r="L511" s="741">
        <f>SUM(L506:L509)</f>
        <v>46742</v>
      </c>
      <c r="M511" s="39">
        <f>SUM(J511:L511)</f>
        <v>178918</v>
      </c>
      <c r="N511" s="741">
        <f>SUM(N506:N509)</f>
        <v>40627</v>
      </c>
      <c r="O511" s="741">
        <f>SUM(O506:O509)</f>
        <v>33323</v>
      </c>
      <c r="P511" s="741">
        <f>SUM(P506:P509)</f>
        <v>20302</v>
      </c>
      <c r="Q511" s="39">
        <f>SUM(N511:P511)</f>
        <v>94252</v>
      </c>
      <c r="R511" s="39">
        <f>+E511+I511+M511+Q511</f>
        <v>635346</v>
      </c>
    </row>
    <row r="512" spans="1:21" ht="15.75" customHeight="1" x14ac:dyDescent="0.3">
      <c r="A512" s="262" t="s">
        <v>1897</v>
      </c>
      <c r="B512" s="10">
        <f>(B511/B10)/1.983</f>
        <v>509.55704130268572</v>
      </c>
      <c r="C512" s="10">
        <f>(C511/C10)/1.983</f>
        <v>630.50212520711761</v>
      </c>
      <c r="D512" s="10">
        <f>(D511/D10)/1.983</f>
        <v>862.1508629804955</v>
      </c>
      <c r="E512" s="38" t="s">
        <v>852</v>
      </c>
      <c r="F512" s="10">
        <f>(F511/F10)/1.983</f>
        <v>1181.1564968902335</v>
      </c>
      <c r="G512" s="10">
        <f>(G511/G10)/1.983</f>
        <v>1188.68446309762</v>
      </c>
      <c r="H512" s="10">
        <f>(H511/H10)/1.983</f>
        <v>1672.6508656917129</v>
      </c>
      <c r="I512" s="38" t="s">
        <v>852</v>
      </c>
      <c r="J512" s="10">
        <f>(J511/J10)/1.983</f>
        <v>1173.8974834480177</v>
      </c>
      <c r="K512" s="10">
        <f>(K511/K10)/1.983</f>
        <v>976.24973565630444</v>
      </c>
      <c r="L512" s="10">
        <f>(L511/L10)/1.983</f>
        <v>785.71188435031092</v>
      </c>
      <c r="M512" s="38" t="s">
        <v>852</v>
      </c>
      <c r="N512" s="10">
        <f>(N511/N10)/1.983</f>
        <v>660.89177362419264</v>
      </c>
      <c r="O512" s="10">
        <f>(O511/O10)/1.983</f>
        <v>560.14456211127913</v>
      </c>
      <c r="P512" s="10">
        <f>(P511/P10)/1.983</f>
        <v>330.25881281212889</v>
      </c>
      <c r="Q512" s="38" t="s">
        <v>852</v>
      </c>
      <c r="R512" s="38" t="s">
        <v>852</v>
      </c>
    </row>
    <row r="513" spans="1:20" ht="15.75" customHeight="1" x14ac:dyDescent="0.3">
      <c r="A513" s="262" t="s">
        <v>2432</v>
      </c>
      <c r="B513" s="10">
        <f>B511+B563</f>
        <v>47458</v>
      </c>
      <c r="C513" s="10">
        <f>C511+C563</f>
        <v>59029</v>
      </c>
      <c r="D513" s="10">
        <f>D511+D563</f>
        <v>85051</v>
      </c>
      <c r="E513" s="38">
        <f>SUM(B513:D513)</f>
        <v>191538</v>
      </c>
      <c r="F513" s="10">
        <f>F511+F563</f>
        <v>110855</v>
      </c>
      <c r="G513" s="10">
        <f>G511+G563</f>
        <v>108978</v>
      </c>
      <c r="H513" s="10">
        <f>H511+H563</f>
        <v>144315</v>
      </c>
      <c r="I513" s="38">
        <f>SUM(F513:H513)</f>
        <v>364148</v>
      </c>
      <c r="J513" s="10">
        <f>J511+J563</f>
        <v>115881</v>
      </c>
      <c r="K513" s="10">
        <f>K511+K563</f>
        <v>102517</v>
      </c>
      <c r="L513" s="10">
        <f>L511+L563</f>
        <v>73936</v>
      </c>
      <c r="M513" s="38">
        <f>SUM(J513:L513)</f>
        <v>292334</v>
      </c>
      <c r="N513" s="10">
        <f>N511+N563</f>
        <v>57102</v>
      </c>
      <c r="O513" s="10">
        <f>O511+O563</f>
        <v>38968</v>
      </c>
      <c r="P513" s="10">
        <f>P511+P563</f>
        <v>23769</v>
      </c>
      <c r="Q513" s="38">
        <f>SUM(N513:P513)</f>
        <v>119839</v>
      </c>
      <c r="R513" s="38">
        <f>+E513+I513+M513+Q513</f>
        <v>967859</v>
      </c>
    </row>
    <row r="514" spans="1:20" s="574" customFormat="1" ht="16.5" customHeight="1" thickBot="1" x14ac:dyDescent="0.35">
      <c r="A514" s="576" t="s">
        <v>104</v>
      </c>
      <c r="B514" s="744">
        <f>(B513/B10)/1.983</f>
        <v>772.01372960486719</v>
      </c>
      <c r="C514" s="744">
        <f>(C513/C10)/1.983</f>
        <v>1063.125855485916</v>
      </c>
      <c r="D514" s="744">
        <f>(D513/D10)/1.983</f>
        <v>1383.5505018463389</v>
      </c>
      <c r="E514" s="578" t="s">
        <v>852</v>
      </c>
      <c r="F514" s="744">
        <f>(F513/F10)/1.983</f>
        <v>1863.4224239367959</v>
      </c>
      <c r="G514" s="744">
        <f>(G513/G10)/1.983</f>
        <v>1772.778292909082</v>
      </c>
      <c r="H514" s="744">
        <f>(H513/H10)/1.983</f>
        <v>2425.8698940998488</v>
      </c>
      <c r="I514" s="578" t="s">
        <v>852</v>
      </c>
      <c r="J514" s="744">
        <f>(J513/J10)/1.983</f>
        <v>1885.0714948025961</v>
      </c>
      <c r="K514" s="744">
        <f>(K513/K10)/1.983</f>
        <v>1667.6752395360563</v>
      </c>
      <c r="L514" s="744">
        <f>(L513/L10)/1.983</f>
        <v>1242.8307278534207</v>
      </c>
      <c r="M514" s="578" t="s">
        <v>852</v>
      </c>
      <c r="N514" s="744">
        <f>(N513/N10)/1.983</f>
        <v>928.89561270801812</v>
      </c>
      <c r="O514" s="744">
        <f>(O513/O10)/1.983</f>
        <v>655.03445957303745</v>
      </c>
      <c r="P514" s="744">
        <f>(P513/P10)/1.983</f>
        <v>386.65755697623348</v>
      </c>
      <c r="Q514" s="578" t="s">
        <v>852</v>
      </c>
      <c r="R514" s="578" t="s">
        <v>852</v>
      </c>
    </row>
    <row r="515" spans="1:20" ht="15.75" customHeight="1" x14ac:dyDescent="0.3">
      <c r="A515" s="351" t="s">
        <v>1011</v>
      </c>
      <c r="B515" s="352">
        <f>B$516+(SUMIF($T$332:$T$490,"FLG",B$339:B$508)/B10/1.98)+(SUMIF($T$332:$T$490,"FCA",B$339:B$508)/B10/1.98)+(SUMIF($T$332:$T$490,"NSC",B$339:B$508)/B10/1.98)</f>
        <v>326.10934389032093</v>
      </c>
      <c r="C515" s="352">
        <f>C$516+(SUMIF($T$332:$T$490,"FLG",C$339:C$508)/C10/1.98)+(SUMIF($T$332:$T$490,"FCA",C$339:C$508)/C10/1.98)+(SUMIF($T$332:$T$490,"NSC",C$339:C$508)/C10/1.98)</f>
        <v>570.95345610852416</v>
      </c>
      <c r="D515" s="352">
        <f>D$516+(SUMIF($T$332:$T$490,"FLG",D$339:D$508)/D10/1.98)+(SUMIF($T$332:$T$490,"FCA",D$339:D$508)/D10/1.98)+(SUMIF($T$332:$T$490,"NSC",D$339:D$508)/D10/1.98)</f>
        <v>769.85190344714056</v>
      </c>
      <c r="E515" s="329"/>
      <c r="F515" s="352">
        <f>F$516+(SUMIF($T$332:$T$490,"FLG",F$339:F$508)/F10/1.98)+(SUMIF($T$332:$T$490,"FCA",F$339:F$508)/F10/1.98)+(SUMIF($T$332:$T$490,"NSC",F$339:F$508)/F10/1.98)</f>
        <v>1109.6733344539698</v>
      </c>
      <c r="G515" s="352">
        <f>G$516+(SUMIF($T$332:$T$490,"FLG",G$339:G$508)/G10/1.98)+(SUMIF($T$332:$T$490,"FCA",G$339:G$508)/G10/1.98)+(SUMIF($T$332:$T$490,"NSC",G$339:G$508)/G10/1.98)</f>
        <v>995.35156848855547</v>
      </c>
      <c r="H515" s="352">
        <f>H$516+(SUMIF($T$332:$T$490,"FLG",H$339:H$508)/H10/1.98)+(SUMIF($T$332:$T$490,"FCA",H$339:H$508)/H10/1.98)+(SUMIF($T$332:$T$490,"NSC",H$339:H$508)/H10/1.98)</f>
        <v>1201.2661664552741</v>
      </c>
      <c r="I515" s="350"/>
      <c r="J515" s="352">
        <f>J$516+(SUMIF($T$332:$T$490,"FLG",J$339:J$508)/J10/1.98)+(SUMIF($T$332:$T$490,"FCA",J$339:J$508)/J10/1.98)+(SUMIF($T$332:$T$490,"NSC",J$339:J$508)/J10/1.98)</f>
        <v>946.39721109390723</v>
      </c>
      <c r="K515" s="352">
        <f>K$516+(SUMIF($T$332:$T$490,"FLG",K$339:K$508)/K10/1.98)+(SUMIF($T$332:$T$490,"FCA",K$339:K$508)/K10/1.98)+(SUMIF($T$332:$T$490,"NSC",K$339:K$508)/K10/1.98)</f>
        <v>893.88558859790123</v>
      </c>
      <c r="L515" s="352">
        <f>L$516+(SUMIF($T$332:$T$490,"FLG",L$339:L$508)/L10/1.98)+(SUMIF($T$332:$T$490,"FCA",L$339:L$508)/L10/1.98)+(SUMIF($T$332:$T$490,"NSC",L$339:L$508)/L10/1.98)</f>
        <v>589.39157077583707</v>
      </c>
      <c r="M515" s="350"/>
      <c r="N515" s="352">
        <f>N$516+(SUMIF($T$332:$T$490,"FLG",N$339:N$508)/N10/1.98)+(SUMIF($T$332:$T$490,"FCA",N$339:N$508)/N10/1.98)+(SUMIF($T$332:$T$490,"NSC",N$339:N$508)/N10/1.98)</f>
        <v>373.24984755564032</v>
      </c>
      <c r="O515" s="352">
        <f>O$516+(SUMIF($T$332:$T$490,"FLG",O$339:O$508)/O10/1.98)+(SUMIF($T$332:$T$490,"FCA",O$339:O$508)/O10/1.98)+(SUMIF($T$332:$T$490,"NSC",O$339:O$508)/O10/1.98)</f>
        <v>158.98080655266736</v>
      </c>
      <c r="P515" s="352">
        <f>P$516+(SUMIF($T$332:$T$490,"FLG",P$339:P$508)/P10/1.98)+(SUMIF($T$332:$T$490,"FCA",P$339:P$508)/P10/1.98)+(SUMIF($T$332:$T$490,"NSC",P$339:P$508)/P10/1.98)</f>
        <v>125.46032774181717</v>
      </c>
      <c r="Q515" s="350"/>
      <c r="R515" s="350"/>
    </row>
    <row r="516" spans="1:20" ht="15.75" customHeight="1" x14ac:dyDescent="0.3">
      <c r="A516" s="351" t="s">
        <v>1012</v>
      </c>
      <c r="B516" s="352">
        <f>B$517+(SUMIF($T$332:$T$490,"FCI",B$339:B$508)/B10/1.98)+(SUMIF($T$332:$T$490,"FCC",B$339:B$508)/B10/1.98)</f>
        <v>326.10934389032093</v>
      </c>
      <c r="C516" s="352">
        <f>C$517+(SUMIF($T$332:$T$490,"FCI",C$339:C$508)/C10/1.98)+(SUMIF($T$332:$T$490,"FCC",C$339:C$508)/C10/1.98)</f>
        <v>570.95345610852416</v>
      </c>
      <c r="D516" s="352">
        <f>D$517+(SUMIF($T$332:$T$490,"FCI",D$339:D$508)/D10/1.98)+(SUMIF($T$332:$T$490,"FCC",D$339:D$508)/D10/1.98)</f>
        <v>769.85190344714056</v>
      </c>
      <c r="E516" s="329"/>
      <c r="F516" s="352">
        <f>F$517+(SUMIF($T$332:$T$490,"FCI",F$339:F$508)/F10/1.98)+(SUMIF($T$332:$T$490,"FCC",F$339:F$508)/F10/1.98)</f>
        <v>1109.6733344539698</v>
      </c>
      <c r="G516" s="352">
        <f>G$517+(SUMIF($T$332:$T$490,"FCI",G$339:G$508)/G10/1.98)+(SUMIF($T$332:$T$490,"FCC",G$339:G$508)/G10/1.98)</f>
        <v>995.35156848855547</v>
      </c>
      <c r="H516" s="352">
        <f>H$517+(SUMIF($T$332:$T$490,"FCI",H$339:H$508)/H10/1.98)+(SUMIF($T$332:$T$490,"FCC",H$339:H$508)/H10/1.98)</f>
        <v>1201.2661664552741</v>
      </c>
      <c r="I516" s="350"/>
      <c r="J516" s="352">
        <f>J$517+(SUMIF($T$332:$T$490,"FCI",J$339:J$508)/J10/1.98)+(SUMIF($T$332:$T$490,"FCC",J$339:J$508)/J10/1.98)</f>
        <v>946.39721109390723</v>
      </c>
      <c r="K516" s="352">
        <f>K$517+(SUMIF($T$332:$T$490,"FCI",K$339:K$508)/K10/1.98)+(SUMIF($T$332:$T$490,"FCC",K$339:K$508)/K10/1.98)</f>
        <v>893.88558859790123</v>
      </c>
      <c r="L516" s="352">
        <f>L$517+(SUMIF($T$332:$T$490,"FCI",L$339:L$508)/L10/1.98)+(SUMIF($T$332:$T$490,"FCC",L$339:L$508)/L10/1.98)</f>
        <v>589.39157077583707</v>
      </c>
      <c r="M516" s="350"/>
      <c r="N516" s="352">
        <f>N$517+(SUMIF($T$332:$T$490,"FCI",N$339:N$508)/N10/1.98)+(SUMIF($T$332:$T$490,"FCC",N$339:N$508)/N10/1.98)</f>
        <v>373.24984755564032</v>
      </c>
      <c r="O516" s="352">
        <f>O$517+(SUMIF($T$332:$T$490,"FCI",O$339:O$508)/O10/1.98)+(SUMIF($T$332:$T$490,"FCC",O$339:O$508)/O10/1.98)</f>
        <v>158.98080655266736</v>
      </c>
      <c r="P516" s="352">
        <f>P$517+(SUMIF($T$332:$T$490,"FCI",P$339:P$508)/P10/1.98)+(SUMIF($T$332:$T$490,"FCC",P$339:P$508)/P10/1.98)</f>
        <v>125.46032774181717</v>
      </c>
      <c r="Q516" s="350"/>
      <c r="R516" s="350"/>
    </row>
    <row r="517" spans="1:20" ht="15.75" customHeight="1" x14ac:dyDescent="0.3">
      <c r="A517" s="351" t="s">
        <v>1013</v>
      </c>
      <c r="B517" s="352">
        <f>B$518+(SUMIF($T$332:$T$490,"PIL",B$339:B$508)/B10/1.98)+(SUMIF($T$332:$T$490,"KLK",B$339:B$508)/B10/1.98)</f>
        <v>326.10934389032093</v>
      </c>
      <c r="C517" s="352">
        <f>C$518+(SUMIF($T$332:$T$490,"PIL",C$339:C$508)/C10/1.98)+(SUMIF($T$332:$T$490,"KLK",C$339:C$508)/C10/1.98)</f>
        <v>570.95345610852416</v>
      </c>
      <c r="D517" s="352">
        <f>D$518+(SUMIF($T$332:$T$490,"PIL",D$339:D$508)/D10/1.98)+(SUMIF($T$332:$T$490,"KLK",D$339:D$508)/D10/1.98)</f>
        <v>769.85190344714056</v>
      </c>
      <c r="E517" s="329"/>
      <c r="F517" s="352">
        <f>F$518+(SUMIF($T$332:$T$490,"PIL",F$339:F$508)/F10/1.98)+(SUMIF($T$332:$T$490,"KLK",F$339:F$508)/F10/1.98)</f>
        <v>1109.6733344539698</v>
      </c>
      <c r="G517" s="352">
        <f>G$518+(SUMIF($T$332:$T$490,"PIL",G$339:G$508)/G10/1.98)+(SUMIF($T$332:$T$490,"KLK",G$339:G$508)/G10/1.98)</f>
        <v>995.35156848855547</v>
      </c>
      <c r="H517" s="352">
        <f>H$518+(SUMIF($T$332:$T$490,"PIL",H$339:H$508)/H10/1.98)+(SUMIF($T$332:$T$490,"KLK",H$339:H$508)/H10/1.98)</f>
        <v>1201.2661664552741</v>
      </c>
      <c r="I517" s="350"/>
      <c r="J517" s="352">
        <f>J$518+(SUMIF($T$332:$T$490,"PIL",J$339:J$508)/J10/1.98)+(SUMIF($T$332:$T$490,"KLK",J$339:J$508)/J10/1.98)</f>
        <v>946.39721109390723</v>
      </c>
      <c r="K517" s="352">
        <f>K$518+(SUMIF($T$332:$T$490,"PIL",K$339:K$508)/K10/1.98)+(SUMIF($T$332:$T$490,"KLK",K$339:K$508)/K10/1.98)</f>
        <v>893.88558859790123</v>
      </c>
      <c r="L517" s="352">
        <f>L$518+(SUMIF($T$332:$T$490,"PIL",L$339:L$508)/L10/1.98)+(SUMIF($T$332:$T$490,"KLK",L$339:L$508)/L10/1.98)</f>
        <v>589.39157077583707</v>
      </c>
      <c r="M517" s="350"/>
      <c r="N517" s="352">
        <f>N$518+(SUMIF($T$332:$T$490,"PIL",N$339:N$508)/N10/1.98)+(SUMIF($T$332:$T$490,"KLK",N$339:N$508)/N10/1.98)</f>
        <v>373.24984755564032</v>
      </c>
      <c r="O517" s="352">
        <f>O$518+(SUMIF($T$332:$T$490,"PIL",O$339:O$508)/O10/1.98)+(SUMIF($T$332:$T$490,"KLK",O$339:O$508)/O10/1.98)</f>
        <v>158.98080655266736</v>
      </c>
      <c r="P517" s="352">
        <f>P$518+(SUMIF($T$332:$T$490,"PIL",P$339:P$508)/P10/1.98)+(SUMIF($T$332:$T$490,"KLK",P$339:P$508)/P10/1.98)</f>
        <v>125.46032774181717</v>
      </c>
      <c r="Q517" s="350"/>
      <c r="R517" s="350"/>
    </row>
    <row r="518" spans="1:20" ht="15.75" customHeight="1" x14ac:dyDescent="0.3">
      <c r="A518" s="351" t="s">
        <v>1014</v>
      </c>
      <c r="B518" s="352">
        <f>B$519+(SUMIF($T$332:$T$490,"CGE",B$339:B$508)/B10/1.98)</f>
        <v>326.10934389032093</v>
      </c>
      <c r="C518" s="352">
        <f>C$519+(SUMIF($T$332:$T$490,"CGE",C$339:C$508)/C10/1.98)</f>
        <v>570.95345610852416</v>
      </c>
      <c r="D518" s="352">
        <f>D$519+(SUMIF($T$332:$T$490,"CGE",D$339:D$508)/D10/1.98)</f>
        <v>767.40811068076709</v>
      </c>
      <c r="E518" s="329"/>
      <c r="F518" s="352">
        <f>F$519+(SUMIF($T$332:$T$490,"CGE",F$339:F$508)/F10/1.98)</f>
        <v>1105.4645802452155</v>
      </c>
      <c r="G518" s="352">
        <f>G$519+(SUMIF($T$332:$T$490,"CGE",G$339:G$508)/G10/1.98)</f>
        <v>987.20559260064408</v>
      </c>
      <c r="H518" s="352">
        <f>H$519+(SUMIF($T$332:$T$490,"CGE",H$339:H$508)/H10/1.98)</f>
        <v>1191.1651563542639</v>
      </c>
      <c r="I518" s="350"/>
      <c r="J518" s="352">
        <f>J$519+(SUMIF($T$332:$T$490,"CGE",J$339:J$508)/J10/1.98)</f>
        <v>934.37375068335007</v>
      </c>
      <c r="K518" s="352">
        <f>K$519+(SUMIF($T$332:$T$490,"CGE",K$339:K$508)/K10/1.98)</f>
        <v>890.95303727825319</v>
      </c>
      <c r="L518" s="352">
        <f>L$519+(SUMIF($T$332:$T$490,"CGE",L$339:L$508)/L10/1.98)</f>
        <v>565.36800175226801</v>
      </c>
      <c r="M518" s="350"/>
      <c r="N518" s="352">
        <f>N$519+(SUMIF($T$332:$T$490,"CGE",N$339:N$508)/N10/1.98)</f>
        <v>359.51573220862173</v>
      </c>
      <c r="O518" s="352">
        <f>O$519+(SUMIF($T$332:$T$490,"CGE",O$339:O$508)/O10/1.98)</f>
        <v>158.98080655266736</v>
      </c>
      <c r="P518" s="352">
        <f>P$519+(SUMIF($T$332:$T$490,"CGE",P$339:P$508)/P10/1.98)</f>
        <v>125.46032774181717</v>
      </c>
      <c r="Q518" s="350"/>
      <c r="R518" s="350"/>
    </row>
    <row r="519" spans="1:20" ht="15.75" customHeight="1" x14ac:dyDescent="0.3">
      <c r="A519" s="351" t="s">
        <v>1015</v>
      </c>
      <c r="B519" s="352">
        <f>B$520+(SUMIF($T$332:$T$490,"SRO",B$339:B$508)/B10/1.98)</f>
        <v>326.10934389032093</v>
      </c>
      <c r="C519" s="352">
        <f>C$520+(SUMIF($T$332:$T$490,"SRO",C$339:C$508)/C10/1.98)</f>
        <v>570.95345610852416</v>
      </c>
      <c r="D519" s="352">
        <f>D$520+(SUMIF($T$332:$T$490,"SRO",D$339:D$508)/D10/1.98)</f>
        <v>767.40811068076709</v>
      </c>
      <c r="E519" s="329"/>
      <c r="F519" s="352">
        <f>F$520+(SUMIF($T$332:$T$490,"SRO",F$339:F$508)/F10/1.98)</f>
        <v>1105.4645802452155</v>
      </c>
      <c r="G519" s="352">
        <f>G$520+(SUMIF($T$332:$T$490,"SRO",G$339:G$508)/G10/1.98)</f>
        <v>981.69891290041596</v>
      </c>
      <c r="H519" s="352">
        <f>H$520+(SUMIF($T$332:$T$490,"SRO",H$339:H$508)/H10/1.98)</f>
        <v>1174.330139519247</v>
      </c>
      <c r="I519" s="350"/>
      <c r="J519" s="352">
        <f>J$520+(SUMIF($T$332:$T$490,"SRO",J$339:J$508)/J10/1.98)</f>
        <v>918.08179890752729</v>
      </c>
      <c r="K519" s="352">
        <f>K$520+(SUMIF($T$332:$T$490,"SRO",K$339:K$508)/K10/1.98)</f>
        <v>874.66108550243041</v>
      </c>
      <c r="L519" s="352">
        <f>L$520+(SUMIF($T$332:$T$490,"SRO",L$339:L$508)/L10/1.98)</f>
        <v>548.53298491725116</v>
      </c>
      <c r="M519" s="350"/>
      <c r="N519" s="352">
        <f>N$520+(SUMIF($T$332:$T$490,"SRO",N$339:N$508)/N10/1.98)</f>
        <v>343.223780432799</v>
      </c>
      <c r="O519" s="352">
        <f>O$520+(SUMIF($T$332:$T$490,"SRO",O$339:O$508)/O10/1.98)</f>
        <v>158.98080655266736</v>
      </c>
      <c r="P519" s="352">
        <f>P$520+(SUMIF($T$332:$T$490,"SRO",P$339:P$508)/P10/1.98)</f>
        <v>125.46032774181717</v>
      </c>
      <c r="Q519" s="350"/>
      <c r="R519" s="350"/>
    </row>
    <row r="520" spans="1:20" ht="15.75" customHeight="1" x14ac:dyDescent="0.3">
      <c r="A520" s="351" t="s">
        <v>130</v>
      </c>
      <c r="B520" s="352">
        <f>B$563/B10/1.983</f>
        <v>262.45668830218148</v>
      </c>
      <c r="C520" s="352">
        <f>C$563/C10/1.983</f>
        <v>432.62373027879835</v>
      </c>
      <c r="D520" s="352">
        <f>D$563/D10/1.983</f>
        <v>521.3996388658436</v>
      </c>
      <c r="E520" s="353"/>
      <c r="F520" s="352">
        <f>F$563/F10/1.983</f>
        <v>682.26592704656241</v>
      </c>
      <c r="G520" s="352">
        <f>G$563/G10/1.983</f>
        <v>584.09382981146189</v>
      </c>
      <c r="H520" s="352">
        <f>H$563/H10/1.983</f>
        <v>753.21902840813584</v>
      </c>
      <c r="I520" s="10"/>
      <c r="J520" s="352">
        <f>J$563/J10/1.983</f>
        <v>711.1740113545784</v>
      </c>
      <c r="K520" s="352">
        <f>K$563/K10/1.983</f>
        <v>691.425503879752</v>
      </c>
      <c r="L520" s="352">
        <f>L$563/L10/1.983</f>
        <v>457.11884350310976</v>
      </c>
      <c r="M520" s="700"/>
      <c r="N520" s="352">
        <f>N$563/N10/1.983</f>
        <v>268.00383908382543</v>
      </c>
      <c r="O520" s="352">
        <f>O$563/O10/1.983</f>
        <v>94.889897461758267</v>
      </c>
      <c r="P520" s="352">
        <f>P$563/P10/1.983</f>
        <v>56.398744164104563</v>
      </c>
      <c r="Q520" s="700"/>
      <c r="R520" s="350"/>
    </row>
    <row r="521" spans="1:20" ht="15.75" customHeight="1" x14ac:dyDescent="0.3">
      <c r="A521" s="351"/>
      <c r="B521" s="352"/>
      <c r="C521" s="352"/>
      <c r="D521" s="352"/>
      <c r="E521" s="353"/>
      <c r="F521" s="352"/>
      <c r="G521" s="352"/>
      <c r="H521" s="352"/>
      <c r="I521" s="10"/>
      <c r="J521" s="352"/>
      <c r="K521" s="352"/>
      <c r="L521" s="352"/>
      <c r="M521" s="700"/>
      <c r="N521" s="352"/>
      <c r="O521" s="352"/>
      <c r="P521" s="352"/>
      <c r="Q521" s="700"/>
      <c r="R521" s="350"/>
    </row>
    <row r="522" spans="1:20" ht="15.75" customHeight="1" thickBot="1" x14ac:dyDescent="0.35">
      <c r="A522" s="18"/>
      <c r="B522" s="10"/>
      <c r="C522" s="10"/>
      <c r="D522" s="10"/>
      <c r="E522" s="10"/>
      <c r="F522" s="10"/>
      <c r="G522" s="10"/>
      <c r="H522" s="10"/>
      <c r="I522" s="10"/>
      <c r="J522" s="10"/>
      <c r="K522" s="10"/>
      <c r="L522" s="10"/>
      <c r="M522" s="10"/>
      <c r="N522" s="10"/>
      <c r="O522" s="10"/>
      <c r="P522" s="10"/>
      <c r="Q522" s="10"/>
      <c r="R522" s="17"/>
    </row>
    <row r="523" spans="1:20" ht="16.5" customHeight="1" thickBot="1" x14ac:dyDescent="0.35">
      <c r="A523" s="240" t="s">
        <v>813</v>
      </c>
      <c r="B523" s="4" t="s">
        <v>2090</v>
      </c>
      <c r="C523" s="5" t="s">
        <v>2091</v>
      </c>
      <c r="D523" s="5" t="s">
        <v>2234</v>
      </c>
      <c r="E523" s="33" t="s">
        <v>1594</v>
      </c>
      <c r="F523" s="5" t="s">
        <v>2235</v>
      </c>
      <c r="G523" s="5" t="s">
        <v>2236</v>
      </c>
      <c r="H523" s="5" t="s">
        <v>2237</v>
      </c>
      <c r="I523" s="35" t="s">
        <v>1595</v>
      </c>
      <c r="J523" s="5" t="s">
        <v>1504</v>
      </c>
      <c r="K523" s="5" t="s">
        <v>1505</v>
      </c>
      <c r="L523" s="5" t="s">
        <v>1506</v>
      </c>
      <c r="M523" s="35" t="s">
        <v>1596</v>
      </c>
      <c r="N523" s="5" t="s">
        <v>1507</v>
      </c>
      <c r="O523" s="5" t="s">
        <v>1508</v>
      </c>
      <c r="P523" s="5" t="s">
        <v>1509</v>
      </c>
      <c r="Q523" s="35" t="s">
        <v>1597</v>
      </c>
      <c r="R523" s="36" t="s">
        <v>1510</v>
      </c>
    </row>
    <row r="524" spans="1:20" ht="16.5" customHeight="1" thickBot="1" x14ac:dyDescent="0.35">
      <c r="A524" s="37"/>
      <c r="B524" s="313"/>
      <c r="C524" s="313"/>
      <c r="D524" s="313"/>
      <c r="E524" s="308"/>
      <c r="F524" s="313"/>
      <c r="G524" s="313"/>
      <c r="H524" s="313"/>
      <c r="I524" s="316"/>
      <c r="J524" s="313"/>
      <c r="K524" s="313"/>
      <c r="L524" s="313"/>
      <c r="M524" s="316"/>
      <c r="N524" s="313"/>
      <c r="O524" s="313"/>
      <c r="P524" s="313"/>
      <c r="Q524" s="316"/>
      <c r="R524" s="52"/>
    </row>
    <row r="525" spans="1:20" ht="15.75" customHeight="1" x14ac:dyDescent="0.3">
      <c r="A525" s="234" t="s">
        <v>2417</v>
      </c>
      <c r="B525" s="10" t="s">
        <v>852</v>
      </c>
      <c r="C525" s="10" t="s">
        <v>852</v>
      </c>
      <c r="D525" s="10" t="s">
        <v>852</v>
      </c>
      <c r="E525" s="38" t="s">
        <v>852</v>
      </c>
      <c r="F525" s="10"/>
      <c r="G525" s="10"/>
      <c r="H525" s="10"/>
      <c r="I525" s="38" t="s">
        <v>852</v>
      </c>
      <c r="J525" s="10" t="s">
        <v>852</v>
      </c>
      <c r="K525" s="10" t="s">
        <v>852</v>
      </c>
      <c r="L525" s="10" t="s">
        <v>852</v>
      </c>
      <c r="M525" s="38" t="s">
        <v>852</v>
      </c>
      <c r="N525" s="10" t="s">
        <v>852</v>
      </c>
      <c r="O525" s="10" t="s">
        <v>852</v>
      </c>
      <c r="P525" s="10" t="s">
        <v>852</v>
      </c>
      <c r="Q525" s="38" t="s">
        <v>852</v>
      </c>
      <c r="R525" s="38" t="s">
        <v>852</v>
      </c>
    </row>
    <row r="526" spans="1:20" ht="15.75" customHeight="1" x14ac:dyDescent="0.3">
      <c r="A526" s="234" t="s">
        <v>2160</v>
      </c>
      <c r="B526" s="10"/>
      <c r="C526" s="10"/>
      <c r="D526" s="10"/>
      <c r="E526" s="38" t="s">
        <v>852</v>
      </c>
      <c r="F526" s="10"/>
      <c r="G526" s="10"/>
      <c r="H526" s="10"/>
      <c r="I526" s="38" t="s">
        <v>852</v>
      </c>
      <c r="J526" s="10"/>
      <c r="K526" s="10"/>
      <c r="L526" s="10"/>
      <c r="M526" s="38" t="s">
        <v>852</v>
      </c>
      <c r="N526" s="10"/>
      <c r="O526" s="10"/>
      <c r="P526" s="10"/>
      <c r="Q526" s="38" t="s">
        <v>852</v>
      </c>
      <c r="R526" s="38" t="s">
        <v>852</v>
      </c>
    </row>
    <row r="527" spans="1:20" ht="15.75" customHeight="1" x14ac:dyDescent="0.3">
      <c r="A527" s="539" t="s">
        <v>3145</v>
      </c>
      <c r="B527" s="10"/>
      <c r="C527" s="10"/>
      <c r="D527" s="10">
        <v>6</v>
      </c>
      <c r="E527" s="38">
        <f t="shared" ref="E527:E531" si="213">SUM(B527:D527)</f>
        <v>6</v>
      </c>
      <c r="F527" s="10">
        <v>6</v>
      </c>
      <c r="G527" s="10">
        <v>10</v>
      </c>
      <c r="H527" s="10">
        <v>14</v>
      </c>
      <c r="I527" s="38">
        <f t="shared" ref="I527:I531" si="214">SUM(F527:H527)</f>
        <v>30</v>
      </c>
      <c r="J527" s="10">
        <v>14</v>
      </c>
      <c r="K527" s="10">
        <v>14</v>
      </c>
      <c r="L527" s="10">
        <v>10</v>
      </c>
      <c r="M527" s="38">
        <f t="shared" ref="M527:M531" si="215">SUM(J527:L527)</f>
        <v>38</v>
      </c>
      <c r="N527" s="10">
        <v>4</v>
      </c>
      <c r="O527" s="10">
        <v>1</v>
      </c>
      <c r="P527" s="10">
        <v>1</v>
      </c>
      <c r="Q527" s="38">
        <f t="shared" ref="Q527:Q531" si="216">SUM(N527:P527)</f>
        <v>6</v>
      </c>
      <c r="R527" s="38">
        <f t="shared" ref="R527:R531" si="217">+E527+I527+M527+Q527</f>
        <v>80</v>
      </c>
      <c r="T527" t="s">
        <v>500</v>
      </c>
    </row>
    <row r="528" spans="1:20" ht="15.75" customHeight="1" x14ac:dyDescent="0.3">
      <c r="A528" s="539" t="s">
        <v>3141</v>
      </c>
      <c r="B528" s="10"/>
      <c r="C528" s="10"/>
      <c r="D528" s="10"/>
      <c r="E528" s="38">
        <f>SUM(B528:D528)</f>
        <v>0</v>
      </c>
      <c r="F528" s="10"/>
      <c r="G528" s="10"/>
      <c r="H528" s="10"/>
      <c r="I528" s="38">
        <f>SUM(F528:H528)</f>
        <v>0</v>
      </c>
      <c r="J528" s="10"/>
      <c r="K528" s="10"/>
      <c r="L528" s="10"/>
      <c r="M528" s="38">
        <f t="shared" si="215"/>
        <v>0</v>
      </c>
      <c r="N528" s="10"/>
      <c r="O528" s="10"/>
      <c r="P528" s="10"/>
      <c r="Q528" s="38">
        <f t="shared" si="216"/>
        <v>0</v>
      </c>
      <c r="R528" s="38">
        <f t="shared" si="217"/>
        <v>0</v>
      </c>
      <c r="T528" t="s">
        <v>500</v>
      </c>
    </row>
    <row r="529" spans="1:20" ht="15.75" customHeight="1" x14ac:dyDescent="0.3">
      <c r="A529" s="539" t="s">
        <v>3394</v>
      </c>
      <c r="B529" s="10"/>
      <c r="C529" s="10"/>
      <c r="D529" s="10"/>
      <c r="E529" s="38">
        <f t="shared" si="213"/>
        <v>0</v>
      </c>
      <c r="F529" s="10"/>
      <c r="G529" s="10"/>
      <c r="H529" s="10"/>
      <c r="I529" s="38">
        <f t="shared" si="214"/>
        <v>0</v>
      </c>
      <c r="J529" s="10"/>
      <c r="K529" s="10"/>
      <c r="L529" s="10"/>
      <c r="M529" s="38">
        <f t="shared" si="215"/>
        <v>0</v>
      </c>
      <c r="N529" s="10"/>
      <c r="O529" s="10"/>
      <c r="P529" s="10"/>
      <c r="Q529" s="38">
        <f t="shared" si="216"/>
        <v>0</v>
      </c>
      <c r="R529" s="38">
        <f t="shared" si="217"/>
        <v>0</v>
      </c>
    </row>
    <row r="530" spans="1:20" ht="15.75" customHeight="1" x14ac:dyDescent="0.3">
      <c r="A530" s="539" t="s">
        <v>2977</v>
      </c>
      <c r="C530" s="10"/>
      <c r="D530" s="10"/>
      <c r="E530" s="38">
        <f t="shared" si="213"/>
        <v>0</v>
      </c>
      <c r="F530" s="10">
        <v>2528</v>
      </c>
      <c r="G530" s="10"/>
      <c r="H530" s="10"/>
      <c r="I530" s="38">
        <f t="shared" si="214"/>
        <v>2528</v>
      </c>
      <c r="J530" s="10"/>
      <c r="K530" s="10"/>
      <c r="L530" s="10"/>
      <c r="M530" s="38">
        <f t="shared" si="215"/>
        <v>0</v>
      </c>
      <c r="N530" s="10"/>
      <c r="O530" s="10"/>
      <c r="P530" s="10"/>
      <c r="Q530" s="38">
        <f t="shared" si="216"/>
        <v>0</v>
      </c>
      <c r="R530" s="38">
        <f t="shared" si="217"/>
        <v>2528</v>
      </c>
      <c r="T530" t="s">
        <v>500</v>
      </c>
    </row>
    <row r="531" spans="1:20" ht="15.75" customHeight="1" x14ac:dyDescent="0.3">
      <c r="A531" s="410" t="s">
        <v>2795</v>
      </c>
      <c r="B531" s="10"/>
      <c r="C531" s="10"/>
      <c r="D531" s="10"/>
      <c r="E531" s="38">
        <f t="shared" si="213"/>
        <v>0</v>
      </c>
      <c r="F531" s="10"/>
      <c r="G531" s="10"/>
      <c r="H531" s="10"/>
      <c r="I531" s="38">
        <f t="shared" si="214"/>
        <v>0</v>
      </c>
      <c r="J531" s="10"/>
      <c r="K531" s="10"/>
      <c r="L531" s="10"/>
      <c r="M531" s="38">
        <f t="shared" si="215"/>
        <v>0</v>
      </c>
      <c r="N531" s="10"/>
      <c r="O531" s="10"/>
      <c r="P531" s="10"/>
      <c r="Q531" s="38">
        <f t="shared" si="216"/>
        <v>0</v>
      </c>
      <c r="R531" s="38">
        <f t="shared" si="217"/>
        <v>0</v>
      </c>
      <c r="T531" t="s">
        <v>500</v>
      </c>
    </row>
    <row r="532" spans="1:20" ht="15.75" customHeight="1" x14ac:dyDescent="0.3">
      <c r="A532" s="234" t="s">
        <v>2161</v>
      </c>
      <c r="B532" s="10"/>
      <c r="C532" s="10"/>
      <c r="D532" s="10"/>
      <c r="E532" s="38" t="s">
        <v>852</v>
      </c>
      <c r="F532" s="10"/>
      <c r="G532" s="10"/>
      <c r="H532" s="10"/>
      <c r="I532" s="38" t="s">
        <v>852</v>
      </c>
      <c r="J532" s="10"/>
      <c r="K532" s="10"/>
      <c r="L532" s="10"/>
      <c r="M532" s="38" t="s">
        <v>852</v>
      </c>
      <c r="N532" s="10"/>
      <c r="O532" s="10"/>
      <c r="P532" s="10"/>
      <c r="Q532" s="38" t="s">
        <v>852</v>
      </c>
      <c r="R532" s="38" t="s">
        <v>852</v>
      </c>
    </row>
    <row r="533" spans="1:20" ht="15.75" customHeight="1" x14ac:dyDescent="0.3">
      <c r="A533" s="310" t="s">
        <v>1065</v>
      </c>
      <c r="B533" s="10"/>
      <c r="C533" s="10"/>
      <c r="D533" s="10"/>
      <c r="E533" s="38">
        <f>SUM(B533:D533)</f>
        <v>0</v>
      </c>
      <c r="F533" s="10"/>
      <c r="G533" s="10"/>
      <c r="H533" s="10"/>
      <c r="I533" s="38">
        <f>SUM(F533:H533)</f>
        <v>0</v>
      </c>
      <c r="J533" s="10"/>
      <c r="K533" s="10"/>
      <c r="L533" s="10"/>
      <c r="M533" s="38">
        <f>SUM(J533:L533)</f>
        <v>0</v>
      </c>
      <c r="N533" s="10"/>
      <c r="O533" s="10"/>
      <c r="P533" s="10"/>
      <c r="Q533" s="38">
        <f>SUM(N533:P533)</f>
        <v>0</v>
      </c>
      <c r="R533" s="38">
        <f>+E533+I533+M533+Q533</f>
        <v>0</v>
      </c>
    </row>
    <row r="534" spans="1:20" ht="15.75" customHeight="1" x14ac:dyDescent="0.3">
      <c r="A534" s="310" t="s">
        <v>355</v>
      </c>
      <c r="B534" s="10"/>
      <c r="C534" s="10"/>
      <c r="D534" s="10"/>
      <c r="E534" s="38">
        <f>SUM(B534:D534)</f>
        <v>0</v>
      </c>
      <c r="F534" s="10"/>
      <c r="G534" s="10"/>
      <c r="H534" s="10"/>
      <c r="I534" s="38">
        <f>SUM(F534:H534)</f>
        <v>0</v>
      </c>
      <c r="J534" s="10"/>
      <c r="K534" s="10"/>
      <c r="L534" s="10"/>
      <c r="M534" s="38">
        <f>SUM(J534:L534)</f>
        <v>0</v>
      </c>
      <c r="N534" s="10"/>
      <c r="O534" s="10"/>
      <c r="P534" s="10"/>
      <c r="Q534" s="38">
        <f>SUM(N534:P534)</f>
        <v>0</v>
      </c>
      <c r="R534" s="38">
        <f>+E534+I534+M534+Q534</f>
        <v>0</v>
      </c>
    </row>
    <row r="535" spans="1:20" ht="15.75" customHeight="1" x14ac:dyDescent="0.3">
      <c r="A535" s="234" t="s">
        <v>3245</v>
      </c>
      <c r="B535" s="10"/>
      <c r="C535" s="10"/>
      <c r="D535" s="10"/>
      <c r="E535" s="38" t="s">
        <v>852</v>
      </c>
      <c r="F535" s="10"/>
      <c r="G535" s="10"/>
      <c r="H535" s="10"/>
      <c r="I535" s="38" t="s">
        <v>852</v>
      </c>
      <c r="J535" s="10"/>
      <c r="K535" s="10"/>
      <c r="L535" s="10"/>
      <c r="M535" s="38" t="s">
        <v>852</v>
      </c>
      <c r="N535" s="10"/>
      <c r="O535" s="10"/>
      <c r="P535" s="10"/>
      <c r="Q535" s="38" t="s">
        <v>852</v>
      </c>
      <c r="R535" s="38" t="s">
        <v>852</v>
      </c>
    </row>
    <row r="536" spans="1:20" ht="15.75" customHeight="1" thickBot="1" x14ac:dyDescent="0.35">
      <c r="A536" s="234" t="s">
        <v>2164</v>
      </c>
      <c r="B536" s="10"/>
      <c r="C536" s="10"/>
      <c r="D536" s="10"/>
      <c r="E536" s="38" t="s">
        <v>852</v>
      </c>
      <c r="F536" s="10"/>
      <c r="G536" s="10"/>
      <c r="H536" s="10"/>
      <c r="I536" s="38" t="s">
        <v>852</v>
      </c>
      <c r="J536" s="10"/>
      <c r="K536" s="10"/>
      <c r="L536" s="10"/>
      <c r="M536" s="38" t="s">
        <v>852</v>
      </c>
      <c r="N536" s="10"/>
      <c r="O536" s="10"/>
      <c r="P536" s="10"/>
      <c r="Q536" s="38" t="s">
        <v>852</v>
      </c>
      <c r="R536" s="38" t="s">
        <v>852</v>
      </c>
    </row>
    <row r="537" spans="1:20" ht="16.5" customHeight="1" thickBot="1" x14ac:dyDescent="0.35">
      <c r="A537" s="322" t="s">
        <v>1218</v>
      </c>
      <c r="B537" s="45">
        <f>SUM(B525:B536)</f>
        <v>0</v>
      </c>
      <c r="C537" s="46">
        <f>SUM(C525:C536)</f>
        <v>0</v>
      </c>
      <c r="D537" s="46">
        <f>SUM(D525:D536)</f>
        <v>6</v>
      </c>
      <c r="E537" s="37">
        <f>SUM(B537:D537)</f>
        <v>6</v>
      </c>
      <c r="F537" s="46">
        <f>SUM(F525:F536)</f>
        <v>2534</v>
      </c>
      <c r="G537" s="46">
        <f>SUM(G525:G536)</f>
        <v>10</v>
      </c>
      <c r="H537" s="46">
        <f>SUM(H525:H536)</f>
        <v>14</v>
      </c>
      <c r="I537" s="37">
        <f>SUM(F537:H537)</f>
        <v>2558</v>
      </c>
      <c r="J537" s="46">
        <f>SUM(J525:J536)</f>
        <v>14</v>
      </c>
      <c r="K537" s="46">
        <f>SUM(K525:K536)</f>
        <v>14</v>
      </c>
      <c r="L537" s="46">
        <f>SUM(L525:L536)</f>
        <v>10</v>
      </c>
      <c r="M537" s="37">
        <f>SUM(J537:L537)</f>
        <v>38</v>
      </c>
      <c r="N537" s="46">
        <f>SUM(N525:N536)</f>
        <v>4</v>
      </c>
      <c r="O537" s="46">
        <f>SUM(O525:O536)</f>
        <v>1</v>
      </c>
      <c r="P537" s="46">
        <f>SUM(P525:P536)</f>
        <v>1</v>
      </c>
      <c r="Q537" s="37">
        <f>SUM(N537:P537)</f>
        <v>6</v>
      </c>
      <c r="R537" s="37">
        <f>+E537+I537+M537+Q537</f>
        <v>2608</v>
      </c>
    </row>
    <row r="538" spans="1:20" ht="15.75" customHeight="1" x14ac:dyDescent="0.3">
      <c r="A538" s="234" t="s">
        <v>1172</v>
      </c>
      <c r="B538" s="10"/>
      <c r="C538" s="10"/>
      <c r="D538" s="10"/>
      <c r="E538" s="38" t="s">
        <v>852</v>
      </c>
      <c r="F538" s="10"/>
      <c r="G538" s="10"/>
      <c r="H538" s="10"/>
      <c r="I538" s="38" t="s">
        <v>852</v>
      </c>
      <c r="J538" s="10"/>
      <c r="K538" s="10"/>
      <c r="L538" s="10"/>
      <c r="M538" s="38" t="s">
        <v>852</v>
      </c>
      <c r="N538" s="10" t="s">
        <v>852</v>
      </c>
      <c r="O538" s="10"/>
      <c r="P538" s="10"/>
      <c r="Q538" s="38" t="s">
        <v>852</v>
      </c>
      <c r="R538" s="38" t="s">
        <v>852</v>
      </c>
    </row>
    <row r="539" spans="1:20" ht="15.75" customHeight="1" x14ac:dyDescent="0.3">
      <c r="A539" s="234" t="s">
        <v>2409</v>
      </c>
      <c r="B539" s="10"/>
      <c r="C539" s="10"/>
      <c r="D539" s="10"/>
      <c r="E539" s="38" t="s">
        <v>852</v>
      </c>
      <c r="F539" s="10"/>
      <c r="G539" s="10"/>
      <c r="H539" s="10"/>
      <c r="I539" s="38" t="s">
        <v>852</v>
      </c>
      <c r="J539" s="10"/>
      <c r="K539" s="10"/>
      <c r="L539" s="10"/>
      <c r="M539" s="38" t="s">
        <v>852</v>
      </c>
      <c r="N539" s="10"/>
      <c r="O539" s="10"/>
      <c r="P539" s="10"/>
      <c r="Q539" s="38" t="s">
        <v>852</v>
      </c>
      <c r="R539" s="38" t="s">
        <v>852</v>
      </c>
    </row>
    <row r="540" spans="1:20" ht="15.75" customHeight="1" x14ac:dyDescent="0.3">
      <c r="A540" s="310" t="s">
        <v>473</v>
      </c>
      <c r="B540" s="10">
        <v>149</v>
      </c>
      <c r="C540" s="10">
        <v>149</v>
      </c>
      <c r="D540" s="10">
        <v>2974</v>
      </c>
      <c r="E540" s="38">
        <f>SUM(B540:D540)</f>
        <v>3272</v>
      </c>
      <c r="F540" s="10">
        <v>6939</v>
      </c>
      <c r="G540" s="10">
        <v>3965</v>
      </c>
      <c r="H540" s="10">
        <v>7930</v>
      </c>
      <c r="I540" s="38">
        <f>SUM(F540:H540)</f>
        <v>18834</v>
      </c>
      <c r="J540" s="10">
        <v>8921</v>
      </c>
      <c r="K540" s="10">
        <v>7434</v>
      </c>
      <c r="L540" s="10">
        <v>991</v>
      </c>
      <c r="M540" s="38">
        <f>SUM(J540:L540)</f>
        <v>17346</v>
      </c>
      <c r="N540" s="10">
        <v>991</v>
      </c>
      <c r="O540" s="10">
        <v>495</v>
      </c>
      <c r="P540" s="10">
        <v>348</v>
      </c>
      <c r="Q540" s="38">
        <f>SUM(N540:P540)</f>
        <v>1834</v>
      </c>
      <c r="R540" s="38">
        <f>+E540+I540+M540+Q540</f>
        <v>41286</v>
      </c>
    </row>
    <row r="541" spans="1:20" ht="15.75" customHeight="1" thickBot="1" x14ac:dyDescent="0.35">
      <c r="A541" s="234" t="s">
        <v>2165</v>
      </c>
      <c r="B541" s="10"/>
      <c r="C541" s="10"/>
      <c r="D541" s="10"/>
      <c r="E541" s="38" t="s">
        <v>852</v>
      </c>
      <c r="F541" s="10"/>
      <c r="G541" s="10"/>
      <c r="H541" s="10"/>
      <c r="I541" s="38" t="s">
        <v>852</v>
      </c>
      <c r="J541" s="10"/>
      <c r="K541" s="10"/>
      <c r="L541" s="10"/>
      <c r="M541" s="38" t="s">
        <v>852</v>
      </c>
      <c r="N541" s="10"/>
      <c r="O541" s="10"/>
      <c r="P541" s="10"/>
      <c r="Q541" s="38" t="s">
        <v>852</v>
      </c>
      <c r="R541" s="38" t="s">
        <v>852</v>
      </c>
    </row>
    <row r="542" spans="1:20" ht="16.5" customHeight="1" thickBot="1" x14ac:dyDescent="0.35">
      <c r="A542" s="43" t="s">
        <v>1219</v>
      </c>
      <c r="B542" s="45">
        <f>SUM(B538:B541)</f>
        <v>149</v>
      </c>
      <c r="C542" s="46">
        <f>SUM(C538:C541)</f>
        <v>149</v>
      </c>
      <c r="D542" s="46">
        <f>SUM(D538:D541)</f>
        <v>2974</v>
      </c>
      <c r="E542" s="37">
        <f>SUM(B542:D542)</f>
        <v>3272</v>
      </c>
      <c r="F542" s="46">
        <f>SUM(F538:F541)</f>
        <v>6939</v>
      </c>
      <c r="G542" s="46">
        <f>SUM(G538:G541)</f>
        <v>3965</v>
      </c>
      <c r="H542" s="46">
        <f>SUM(H538:H541)</f>
        <v>7930</v>
      </c>
      <c r="I542" s="37">
        <f>SUM(F542:H542)</f>
        <v>18834</v>
      </c>
      <c r="J542" s="46">
        <f>SUM(J538:J541)</f>
        <v>8921</v>
      </c>
      <c r="K542" s="46">
        <f>SUM(K538:K541)</f>
        <v>7434</v>
      </c>
      <c r="L542" s="46">
        <f>SUM(L538:L541)</f>
        <v>991</v>
      </c>
      <c r="M542" s="37">
        <f>SUM(J542:L542)</f>
        <v>17346</v>
      </c>
      <c r="N542" s="46">
        <f>SUM(N538:N541)</f>
        <v>991</v>
      </c>
      <c r="O542" s="46">
        <f>SUM(O538:O541)</f>
        <v>495</v>
      </c>
      <c r="P542" s="46">
        <f>SUM(P538:P541)</f>
        <v>348</v>
      </c>
      <c r="Q542" s="37">
        <f>SUM(N542:P542)</f>
        <v>1834</v>
      </c>
      <c r="R542" s="37">
        <f>+E542+I542+M542+Q542</f>
        <v>41286</v>
      </c>
    </row>
    <row r="543" spans="1:20" ht="15.75" customHeight="1" x14ac:dyDescent="0.3">
      <c r="A543" s="234" t="s">
        <v>2166</v>
      </c>
      <c r="B543" s="10"/>
      <c r="C543" s="10"/>
      <c r="D543" s="10"/>
      <c r="E543" s="38" t="s">
        <v>852</v>
      </c>
      <c r="F543" s="10"/>
      <c r="G543" s="10"/>
      <c r="H543" s="10"/>
      <c r="I543" s="38" t="s">
        <v>852</v>
      </c>
      <c r="J543" s="10"/>
      <c r="K543" s="10"/>
      <c r="L543" s="10"/>
      <c r="M543" s="38" t="s">
        <v>852</v>
      </c>
      <c r="N543" s="10"/>
      <c r="O543" s="10"/>
      <c r="P543" s="10"/>
      <c r="Q543" s="38" t="s">
        <v>852</v>
      </c>
      <c r="R543" s="38" t="s">
        <v>852</v>
      </c>
    </row>
    <row r="544" spans="1:20" ht="15.75" customHeight="1" x14ac:dyDescent="0.3">
      <c r="A544" s="234" t="s">
        <v>1245</v>
      </c>
      <c r="B544" s="10"/>
      <c r="C544" s="10"/>
      <c r="D544" s="10"/>
      <c r="E544" s="38" t="s">
        <v>852</v>
      </c>
      <c r="F544" s="10"/>
      <c r="G544" s="10"/>
      <c r="H544" s="10"/>
      <c r="I544" s="38" t="s">
        <v>852</v>
      </c>
      <c r="J544" s="10"/>
      <c r="K544" s="10"/>
      <c r="L544" s="10"/>
      <c r="M544" s="38" t="s">
        <v>852</v>
      </c>
      <c r="N544" s="10"/>
      <c r="O544" s="10"/>
      <c r="P544" s="10"/>
      <c r="Q544" s="38" t="s">
        <v>852</v>
      </c>
      <c r="R544" s="38" t="s">
        <v>852</v>
      </c>
    </row>
    <row r="545" spans="1:20" ht="15.75" customHeight="1" x14ac:dyDescent="0.3">
      <c r="A545" s="234" t="s">
        <v>1711</v>
      </c>
      <c r="B545" s="10"/>
      <c r="C545" s="10"/>
      <c r="D545" s="10"/>
      <c r="E545" s="38" t="s">
        <v>852</v>
      </c>
      <c r="F545" s="10"/>
      <c r="G545" s="10"/>
      <c r="H545" s="10"/>
      <c r="I545" s="38" t="s">
        <v>852</v>
      </c>
      <c r="J545" s="10"/>
      <c r="K545" s="10"/>
      <c r="L545" s="10"/>
      <c r="M545" s="38" t="s">
        <v>852</v>
      </c>
      <c r="N545" s="10"/>
      <c r="O545" s="10"/>
      <c r="P545" s="10"/>
      <c r="Q545" s="38" t="s">
        <v>852</v>
      </c>
      <c r="R545" s="38" t="s">
        <v>852</v>
      </c>
    </row>
    <row r="546" spans="1:20" ht="15.75" customHeight="1" x14ac:dyDescent="0.3">
      <c r="A546" s="539" t="s">
        <v>3404</v>
      </c>
      <c r="B546" s="10"/>
      <c r="C546" s="10"/>
      <c r="D546" s="10"/>
      <c r="E546" s="38">
        <f>SUM(B546:D546)</f>
        <v>0</v>
      </c>
      <c r="F546" s="10"/>
      <c r="G546" s="10"/>
      <c r="H546" s="10">
        <v>2000</v>
      </c>
      <c r="I546" s="38">
        <f>SUM(F546:H546)</f>
        <v>2000</v>
      </c>
      <c r="J546" s="10"/>
      <c r="K546" s="10"/>
      <c r="L546" s="10"/>
      <c r="M546" s="38">
        <f>SUM(J546:L546)</f>
        <v>0</v>
      </c>
      <c r="N546" s="10"/>
      <c r="O546" s="10"/>
      <c r="P546" s="10"/>
      <c r="Q546" s="38">
        <f>SUM(N546:P546)</f>
        <v>0</v>
      </c>
      <c r="R546" s="38">
        <f>+E546+I546+M546+Q546</f>
        <v>2000</v>
      </c>
      <c r="T546" t="s">
        <v>500</v>
      </c>
    </row>
    <row r="547" spans="1:20" ht="15.75" customHeight="1" thickBot="1" x14ac:dyDescent="0.35">
      <c r="A547" s="689" t="s">
        <v>2937</v>
      </c>
      <c r="B547" s="10"/>
      <c r="C547" s="10"/>
      <c r="D547" s="700"/>
      <c r="E547" s="38">
        <f>SUM(B547:D547)</f>
        <v>0</v>
      </c>
      <c r="F547" s="10"/>
      <c r="G547" s="10"/>
      <c r="H547" s="10">
        <v>2000</v>
      </c>
      <c r="I547" s="38">
        <f>SUM(F547:H547)</f>
        <v>2000</v>
      </c>
      <c r="J547" s="10">
        <v>2000</v>
      </c>
      <c r="K547" s="10">
        <v>2000</v>
      </c>
      <c r="L547" s="10"/>
      <c r="M547" s="38">
        <f>SUM(J547:L547)</f>
        <v>4000</v>
      </c>
      <c r="N547" s="10"/>
      <c r="O547" s="10"/>
      <c r="P547" s="10"/>
      <c r="Q547" s="38">
        <f>SUM(N547:P547)</f>
        <v>0</v>
      </c>
      <c r="R547" s="38">
        <f>+E547+I547+M547+Q547</f>
        <v>6000</v>
      </c>
      <c r="T547" t="s">
        <v>500</v>
      </c>
    </row>
    <row r="548" spans="1:20" ht="16.5" customHeight="1" thickBot="1" x14ac:dyDescent="0.35">
      <c r="A548" s="277" t="s">
        <v>1220</v>
      </c>
      <c r="B548" s="45">
        <f>SUM(B543:B547)</f>
        <v>0</v>
      </c>
      <c r="C548" s="46">
        <f>SUM(C543:C547)</f>
        <v>0</v>
      </c>
      <c r="D548" s="46">
        <f>SUM(D543:D547)</f>
        <v>0</v>
      </c>
      <c r="E548" s="37">
        <f>SUM(B548:D548)</f>
        <v>0</v>
      </c>
      <c r="F548" s="46">
        <f>SUM(F543:F547)</f>
        <v>0</v>
      </c>
      <c r="G548" s="46">
        <f>SUM(G543:G547)</f>
        <v>0</v>
      </c>
      <c r="H548" s="46">
        <f>SUM(H543:H547)</f>
        <v>4000</v>
      </c>
      <c r="I548" s="37">
        <f>SUM(F548:H548)</f>
        <v>4000</v>
      </c>
      <c r="J548" s="46">
        <f>SUM(J543:J547)</f>
        <v>2000</v>
      </c>
      <c r="K548" s="46">
        <f>SUM(K543:K547)</f>
        <v>2000</v>
      </c>
      <c r="L548" s="46">
        <f>SUM(L543:L547)</f>
        <v>0</v>
      </c>
      <c r="M548" s="37">
        <f>SUM(J548:L548)</f>
        <v>4000</v>
      </c>
      <c r="N548" s="46">
        <f>SUM(N543:N547)</f>
        <v>0</v>
      </c>
      <c r="O548" s="46">
        <f>SUM(O543:O547)</f>
        <v>0</v>
      </c>
      <c r="P548" s="46">
        <f>SUM(P543:P547)</f>
        <v>0</v>
      </c>
      <c r="Q548" s="37">
        <f>SUM(N548:P548)</f>
        <v>0</v>
      </c>
      <c r="R548" s="37">
        <f>+E548+I548+M548+Q548</f>
        <v>8000</v>
      </c>
    </row>
    <row r="549" spans="1:20" ht="15.75" customHeight="1" x14ac:dyDescent="0.3">
      <c r="A549" s="234" t="s">
        <v>1712</v>
      </c>
      <c r="B549" s="10"/>
      <c r="C549" s="10"/>
      <c r="D549" s="10"/>
      <c r="E549" s="38" t="s">
        <v>852</v>
      </c>
      <c r="F549" s="10"/>
      <c r="G549" s="10"/>
      <c r="H549" s="10"/>
      <c r="I549" s="38" t="s">
        <v>852</v>
      </c>
      <c r="J549" s="10"/>
      <c r="K549" s="10"/>
      <c r="L549" s="10"/>
      <c r="M549" s="38" t="s">
        <v>852</v>
      </c>
      <c r="N549" s="10"/>
      <c r="O549" s="10"/>
      <c r="P549" s="10"/>
      <c r="Q549" s="38" t="s">
        <v>852</v>
      </c>
      <c r="R549" s="38" t="s">
        <v>852</v>
      </c>
    </row>
    <row r="550" spans="1:20" ht="15.75" customHeight="1" x14ac:dyDescent="0.3">
      <c r="A550" s="234" t="s">
        <v>1021</v>
      </c>
      <c r="B550" s="10"/>
      <c r="C550" s="10"/>
      <c r="D550" s="10"/>
      <c r="E550" s="38" t="s">
        <v>852</v>
      </c>
      <c r="F550" s="10"/>
      <c r="G550" s="10"/>
      <c r="H550" s="10"/>
      <c r="I550" s="38" t="s">
        <v>852</v>
      </c>
      <c r="J550" s="10"/>
      <c r="K550" s="10"/>
      <c r="L550" s="10"/>
      <c r="M550" s="38" t="s">
        <v>852</v>
      </c>
      <c r="N550" s="10"/>
      <c r="O550" s="10"/>
      <c r="P550" s="10"/>
      <c r="Q550" s="38" t="s">
        <v>852</v>
      </c>
      <c r="R550" s="38" t="s">
        <v>852</v>
      </c>
    </row>
    <row r="551" spans="1:20" ht="15.75" customHeight="1" x14ac:dyDescent="0.3">
      <c r="A551" s="234" t="s">
        <v>557</v>
      </c>
      <c r="B551" s="10"/>
      <c r="C551" s="10"/>
      <c r="D551" s="10"/>
      <c r="E551" s="38" t="s">
        <v>852</v>
      </c>
      <c r="F551" s="10"/>
      <c r="G551" s="10"/>
      <c r="H551" s="10"/>
      <c r="I551" s="38" t="s">
        <v>852</v>
      </c>
      <c r="J551" s="10"/>
      <c r="K551" s="10"/>
      <c r="L551" s="10"/>
      <c r="M551" s="38" t="s">
        <v>852</v>
      </c>
      <c r="N551" s="10"/>
      <c r="O551" s="10"/>
      <c r="P551" s="10"/>
      <c r="Q551" s="38" t="s">
        <v>852</v>
      </c>
      <c r="R551" s="38" t="s">
        <v>852</v>
      </c>
    </row>
    <row r="552" spans="1:20" ht="15.75" customHeight="1" x14ac:dyDescent="0.3">
      <c r="A552" s="234" t="s">
        <v>1022</v>
      </c>
      <c r="B552" s="10"/>
      <c r="C552" s="10"/>
      <c r="D552" s="10"/>
      <c r="E552" s="38" t="s">
        <v>852</v>
      </c>
      <c r="F552" s="10"/>
      <c r="G552" s="10"/>
      <c r="H552" s="10"/>
      <c r="I552" s="38" t="s">
        <v>852</v>
      </c>
      <c r="J552" s="10"/>
      <c r="K552" s="10"/>
      <c r="L552" s="10"/>
      <c r="M552" s="38" t="s">
        <v>852</v>
      </c>
      <c r="N552" s="10"/>
      <c r="O552" s="10"/>
      <c r="P552" s="10"/>
      <c r="Q552" s="38" t="s">
        <v>852</v>
      </c>
      <c r="R552" s="38" t="s">
        <v>852</v>
      </c>
    </row>
    <row r="553" spans="1:20" ht="15.75" customHeight="1" x14ac:dyDescent="0.3">
      <c r="A553" s="234" t="s">
        <v>559</v>
      </c>
      <c r="B553" s="10"/>
      <c r="C553" s="10"/>
      <c r="D553" s="10"/>
      <c r="E553" s="38" t="s">
        <v>852</v>
      </c>
      <c r="F553" s="10"/>
      <c r="G553" s="10"/>
      <c r="H553" s="10"/>
      <c r="I553" s="38" t="s">
        <v>852</v>
      </c>
      <c r="J553" s="10"/>
      <c r="K553" s="10"/>
      <c r="L553" s="10"/>
      <c r="M553" s="38" t="s">
        <v>852</v>
      </c>
      <c r="N553" s="10"/>
      <c r="O553" s="10"/>
      <c r="P553" s="10"/>
      <c r="Q553" s="38" t="s">
        <v>852</v>
      </c>
      <c r="R553" s="38" t="s">
        <v>852</v>
      </c>
    </row>
    <row r="554" spans="1:20" ht="15.75" customHeight="1" x14ac:dyDescent="0.3">
      <c r="A554" s="539" t="s">
        <v>2936</v>
      </c>
      <c r="B554" s="10"/>
      <c r="C554" s="10"/>
      <c r="D554" s="10"/>
      <c r="E554" s="38">
        <f t="shared" ref="E554:E555" si="218">SUM(B554:D554)</f>
        <v>0</v>
      </c>
      <c r="F554" s="10"/>
      <c r="G554" s="10"/>
      <c r="H554" s="10"/>
      <c r="I554" s="38">
        <f t="shared" ref="I554:I555" si="219">SUM(F554:H554)</f>
        <v>0</v>
      </c>
      <c r="J554" s="10"/>
      <c r="K554" s="10"/>
      <c r="L554" s="10"/>
      <c r="M554" s="38">
        <f t="shared" ref="M554:M555" si="220">SUM(J554:L554)</f>
        <v>0</v>
      </c>
      <c r="N554" s="10"/>
      <c r="O554" s="10"/>
      <c r="P554" s="10"/>
      <c r="Q554" s="38">
        <f t="shared" ref="Q554:Q555" si="221">SUM(N554:P554)</f>
        <v>0</v>
      </c>
      <c r="R554" s="38">
        <f t="shared" ref="R554:R559" si="222">+E554+I554+M554+Q554</f>
        <v>0</v>
      </c>
      <c r="T554" t="s">
        <v>500</v>
      </c>
    </row>
    <row r="555" spans="1:20" ht="15.75" customHeight="1" thickBot="1" x14ac:dyDescent="0.35">
      <c r="A555" s="539" t="s">
        <v>2834</v>
      </c>
      <c r="B555" s="10"/>
      <c r="C555" s="10"/>
      <c r="D555" s="10"/>
      <c r="E555" s="38">
        <f t="shared" si="218"/>
        <v>0</v>
      </c>
      <c r="F555" s="10"/>
      <c r="G555" s="10"/>
      <c r="H555" s="10"/>
      <c r="I555" s="38">
        <f t="shared" si="219"/>
        <v>0</v>
      </c>
      <c r="J555" s="10"/>
      <c r="K555" s="10"/>
      <c r="L555" s="10"/>
      <c r="M555" s="38">
        <f t="shared" si="220"/>
        <v>0</v>
      </c>
      <c r="N555" s="10"/>
      <c r="O555" s="10"/>
      <c r="P555" s="10"/>
      <c r="Q555" s="38">
        <f t="shared" si="221"/>
        <v>0</v>
      </c>
      <c r="R555" s="38">
        <f t="shared" si="222"/>
        <v>0</v>
      </c>
      <c r="T555" t="s">
        <v>500</v>
      </c>
    </row>
    <row r="556" spans="1:20" ht="16.5" customHeight="1" thickBot="1" x14ac:dyDescent="0.35">
      <c r="A556" s="43" t="s">
        <v>1019</v>
      </c>
      <c r="B556" s="42">
        <f>SUM(B552:B555)</f>
        <v>0</v>
      </c>
      <c r="C556" s="42">
        <f>SUM(C552:C555)</f>
        <v>0</v>
      </c>
      <c r="D556" s="42">
        <f>SUM(D552:D555)</f>
        <v>0</v>
      </c>
      <c r="E556" s="39">
        <f t="shared" ref="E556:E559" si="223">SUM(B556:D556)</f>
        <v>0</v>
      </c>
      <c r="F556" s="42">
        <f>SUM(F552:F555)</f>
        <v>0</v>
      </c>
      <c r="G556" s="42">
        <f>SUM(G552:G555)</f>
        <v>0</v>
      </c>
      <c r="H556" s="42">
        <f>SUM(H552:H555)</f>
        <v>0</v>
      </c>
      <c r="I556" s="39">
        <f t="shared" ref="I556:I559" si="224">SUM(F556:H556)</f>
        <v>0</v>
      </c>
      <c r="J556" s="42">
        <f>SUM(J552:J555)</f>
        <v>0</v>
      </c>
      <c r="K556" s="42">
        <f>SUM(K552:K555)</f>
        <v>0</v>
      </c>
      <c r="L556" s="42">
        <f>SUM(L552:L555)</f>
        <v>0</v>
      </c>
      <c r="M556" s="39">
        <f t="shared" ref="M556:M559" si="225">SUM(J556:L556)</f>
        <v>0</v>
      </c>
      <c r="N556" s="42">
        <f>SUM(N552:N555)</f>
        <v>0</v>
      </c>
      <c r="O556" s="42">
        <f>SUM(O552:O555)</f>
        <v>0</v>
      </c>
      <c r="P556" s="42">
        <f>SUM(P552:P555)</f>
        <v>0</v>
      </c>
      <c r="Q556" s="39">
        <f t="shared" ref="Q556:Q559" si="226">SUM(N556:P556)</f>
        <v>0</v>
      </c>
      <c r="R556" s="37">
        <f t="shared" si="222"/>
        <v>0</v>
      </c>
    </row>
    <row r="557" spans="1:20" ht="16.5" customHeight="1" thickBot="1" x14ac:dyDescent="0.35">
      <c r="A557" s="277" t="s">
        <v>1221</v>
      </c>
      <c r="B557" s="45">
        <f>SUM(B549:B555)</f>
        <v>0</v>
      </c>
      <c r="C557" s="46">
        <f>SUM(C549:C555)</f>
        <v>0</v>
      </c>
      <c r="D557" s="58">
        <f>SUM(D549:D555)</f>
        <v>0</v>
      </c>
      <c r="E557" s="39">
        <f t="shared" si="223"/>
        <v>0</v>
      </c>
      <c r="F557" s="46">
        <f>SUM(F549:F555)</f>
        <v>0</v>
      </c>
      <c r="G557" s="46">
        <f>SUM(G549:G555)</f>
        <v>0</v>
      </c>
      <c r="H557" s="46">
        <f>SUM(H549:H555)</f>
        <v>0</v>
      </c>
      <c r="I557" s="39">
        <f t="shared" si="224"/>
        <v>0</v>
      </c>
      <c r="J557" s="46">
        <f>SUM(J549:J555)</f>
        <v>0</v>
      </c>
      <c r="K557" s="46">
        <f>SUM(K549:K555)</f>
        <v>0</v>
      </c>
      <c r="L557" s="46">
        <f>SUM(L549:L555)</f>
        <v>0</v>
      </c>
      <c r="M557" s="39">
        <f t="shared" si="225"/>
        <v>0</v>
      </c>
      <c r="N557" s="46">
        <f>SUM(N549:N555)</f>
        <v>0</v>
      </c>
      <c r="O557" s="46">
        <f>SUM(O549:O555)</f>
        <v>0</v>
      </c>
      <c r="P557" s="46">
        <f>SUM(P549:P555)</f>
        <v>0</v>
      </c>
      <c r="Q557" s="39">
        <f t="shared" si="226"/>
        <v>0</v>
      </c>
      <c r="R557" s="37">
        <f t="shared" si="222"/>
        <v>0</v>
      </c>
    </row>
    <row r="558" spans="1:20" ht="16.5" customHeight="1" thickBot="1" x14ac:dyDescent="0.35">
      <c r="A558" s="43" t="s">
        <v>1222</v>
      </c>
      <c r="B558" s="47">
        <f>+B537+B542+B548+B557</f>
        <v>149</v>
      </c>
      <c r="C558" s="42">
        <f>+C537+C542+C548+C557</f>
        <v>149</v>
      </c>
      <c r="D558" s="42">
        <f>+D537+D542+D548+D557</f>
        <v>2980</v>
      </c>
      <c r="E558" s="37">
        <f t="shared" si="223"/>
        <v>3278</v>
      </c>
      <c r="F558" s="42">
        <f>+F537+F542+F548+F557</f>
        <v>9473</v>
      </c>
      <c r="G558" s="42">
        <f>+G537+G542+G548+G557</f>
        <v>3975</v>
      </c>
      <c r="H558" s="42">
        <f>+H537+H542+H548+H557</f>
        <v>11944</v>
      </c>
      <c r="I558" s="37">
        <f t="shared" si="224"/>
        <v>25392</v>
      </c>
      <c r="J558" s="42">
        <f>+J537+J542+J548+J557</f>
        <v>10935</v>
      </c>
      <c r="K558" s="42">
        <f>+K537+K542+K548+K557</f>
        <v>9448</v>
      </c>
      <c r="L558" s="42">
        <f>+L537+L542+L548+L557</f>
        <v>1001</v>
      </c>
      <c r="M558" s="37">
        <f t="shared" si="225"/>
        <v>21384</v>
      </c>
      <c r="N558" s="42">
        <f>+N537+N542+N548+N557</f>
        <v>995</v>
      </c>
      <c r="O558" s="42">
        <f>+O537+O542+O548+O557</f>
        <v>496</v>
      </c>
      <c r="P558" s="42">
        <f>+P537+P542+P548+P557</f>
        <v>349</v>
      </c>
      <c r="Q558" s="37">
        <f t="shared" si="226"/>
        <v>1840</v>
      </c>
      <c r="R558" s="40">
        <f>+E558+I558+M558+Q558</f>
        <v>51894</v>
      </c>
    </row>
    <row r="559" spans="1:20" ht="16.5" customHeight="1" thickBot="1" x14ac:dyDescent="0.35">
      <c r="A559" s="299" t="s">
        <v>853</v>
      </c>
      <c r="B559" s="294">
        <v>9</v>
      </c>
      <c r="C559" s="294">
        <v>16</v>
      </c>
      <c r="D559" s="294">
        <v>25</v>
      </c>
      <c r="E559" s="38">
        <f t="shared" si="223"/>
        <v>50</v>
      </c>
      <c r="F559" s="294">
        <v>34</v>
      </c>
      <c r="G559" s="294">
        <v>41</v>
      </c>
      <c r="H559" s="294">
        <v>41</v>
      </c>
      <c r="I559" s="38">
        <f t="shared" si="224"/>
        <v>116</v>
      </c>
      <c r="J559" s="294">
        <v>39</v>
      </c>
      <c r="K559" s="294">
        <v>30</v>
      </c>
      <c r="L559" s="294">
        <v>30</v>
      </c>
      <c r="M559" s="38">
        <f t="shared" si="225"/>
        <v>99</v>
      </c>
      <c r="N559" s="294">
        <v>28</v>
      </c>
      <c r="O559" s="294">
        <v>22</v>
      </c>
      <c r="P559" s="294">
        <v>16</v>
      </c>
      <c r="Q559" s="38">
        <f t="shared" si="226"/>
        <v>66</v>
      </c>
      <c r="R559" s="38">
        <f t="shared" si="222"/>
        <v>331</v>
      </c>
    </row>
    <row r="560" spans="1:20" ht="16.5" customHeight="1" thickBot="1" x14ac:dyDescent="0.35">
      <c r="A560" s="44"/>
      <c r="B560" s="313"/>
      <c r="C560" s="313"/>
      <c r="D560" s="313"/>
      <c r="E560" s="37"/>
      <c r="F560" s="313"/>
      <c r="G560" s="313"/>
      <c r="H560" s="313"/>
      <c r="I560" s="37"/>
      <c r="J560" s="313"/>
      <c r="K560" s="313"/>
      <c r="L560" s="313"/>
      <c r="M560" s="37"/>
      <c r="N560" s="313"/>
      <c r="O560" s="313"/>
      <c r="P560" s="313"/>
      <c r="Q560" s="37"/>
      <c r="R560" s="37" t="s">
        <v>852</v>
      </c>
    </row>
    <row r="561" spans="1:20" ht="15.75" customHeight="1" x14ac:dyDescent="0.3">
      <c r="A561" s="259" t="s">
        <v>2011</v>
      </c>
      <c r="B561" s="741">
        <f>SUM(B558:B559)</f>
        <v>158</v>
      </c>
      <c r="C561" s="741">
        <f>SUM(C558:C559)</f>
        <v>165</v>
      </c>
      <c r="D561" s="741">
        <f>SUM(D558:D559)</f>
        <v>3005</v>
      </c>
      <c r="E561" s="39">
        <f>SUM(B561:D561)</f>
        <v>3328</v>
      </c>
      <c r="F561" s="741">
        <f>SUM(F558:F559)</f>
        <v>9507</v>
      </c>
      <c r="G561" s="741">
        <f>SUM(G558:G559)</f>
        <v>4016</v>
      </c>
      <c r="H561" s="741">
        <f>SUM(H558:H559)</f>
        <v>11985</v>
      </c>
      <c r="I561" s="39">
        <f>SUM(F561:H561)</f>
        <v>25508</v>
      </c>
      <c r="J561" s="741">
        <f>SUM(J558:J559)</f>
        <v>10974</v>
      </c>
      <c r="K561" s="741">
        <f>SUM(K558:K559)</f>
        <v>9478</v>
      </c>
      <c r="L561" s="741">
        <f>SUM(L558:L559)</f>
        <v>1031</v>
      </c>
      <c r="M561" s="39">
        <f>SUM(J561:L561)</f>
        <v>21483</v>
      </c>
      <c r="N561" s="741">
        <f>SUM(N558:N559)</f>
        <v>1023</v>
      </c>
      <c r="O561" s="741">
        <f>SUM(O558:O559)</f>
        <v>518</v>
      </c>
      <c r="P561" s="741">
        <f>SUM(P558:P559)</f>
        <v>365</v>
      </c>
      <c r="Q561" s="39">
        <f>SUM(N561:P561)</f>
        <v>1906</v>
      </c>
      <c r="R561" s="39">
        <f>+E561+I561+M561+Q561</f>
        <v>52225</v>
      </c>
    </row>
    <row r="562" spans="1:20" ht="15.75" customHeight="1" x14ac:dyDescent="0.3">
      <c r="A562" s="262" t="s">
        <v>1897</v>
      </c>
      <c r="B562" s="10">
        <f>(B561/B10)/1.983</f>
        <v>2.5702340865095241</v>
      </c>
      <c r="C562" s="10">
        <f>(C561/C10)/1.983</f>
        <v>2.9716879187378433</v>
      </c>
      <c r="D562" s="10">
        <f>(D561/D10)/1.983</f>
        <v>48.883249556715953</v>
      </c>
      <c r="E562" s="38" t="s">
        <v>852</v>
      </c>
      <c r="F562" s="10">
        <f>(F561/F10)/1.983</f>
        <v>159.80837115481592</v>
      </c>
      <c r="G562" s="10">
        <f>(G561/G10)/1.983</f>
        <v>65.329494249507917</v>
      </c>
      <c r="H562" s="10">
        <f>(H561/H10)/1.983</f>
        <v>201.46243066061521</v>
      </c>
      <c r="I562" s="38" t="s">
        <v>852</v>
      </c>
      <c r="J562" s="10">
        <f>(J561/J10)/1.983</f>
        <v>178.51739788199697</v>
      </c>
      <c r="K562" s="10">
        <f>(K561/K10)/1.983</f>
        <v>154.18151058188147</v>
      </c>
      <c r="L562" s="10">
        <f>(L561/L10)/1.983</f>
        <v>17.330643805681628</v>
      </c>
      <c r="M562" s="38" t="s">
        <v>852</v>
      </c>
      <c r="N562" s="10">
        <f>(N561/N10)/1.983</f>
        <v>16.64145234493192</v>
      </c>
      <c r="O562" s="10">
        <f>(O561/O10)/1.983</f>
        <v>8.7073457723987211</v>
      </c>
      <c r="P562" s="10">
        <f>(P561/P10)/1.983</f>
        <v>5.9375660859239012</v>
      </c>
      <c r="Q562" s="38" t="s">
        <v>852</v>
      </c>
      <c r="R562" s="38" t="s">
        <v>852</v>
      </c>
    </row>
    <row r="563" spans="1:20" ht="15.75" customHeight="1" x14ac:dyDescent="0.3">
      <c r="A563" s="262" t="s">
        <v>575</v>
      </c>
      <c r="B563" s="10">
        <f>B561+B608</f>
        <v>16134</v>
      </c>
      <c r="C563" s="10">
        <f>C561+C608</f>
        <v>24021</v>
      </c>
      <c r="D563" s="10">
        <f>D561+D608</f>
        <v>32052</v>
      </c>
      <c r="E563" s="38">
        <f>SUM(B563:D563)</f>
        <v>72207</v>
      </c>
      <c r="F563" s="10">
        <f>F561+F608</f>
        <v>40588</v>
      </c>
      <c r="G563" s="10">
        <f>G561+G608</f>
        <v>35906</v>
      </c>
      <c r="H563" s="10">
        <f>H561+H608</f>
        <v>44809</v>
      </c>
      <c r="I563" s="38">
        <f>SUM(F563:H563)</f>
        <v>121303</v>
      </c>
      <c r="J563" s="10">
        <f>J561+J608</f>
        <v>43718</v>
      </c>
      <c r="K563" s="10">
        <f>K561+K608</f>
        <v>42504</v>
      </c>
      <c r="L563" s="10">
        <f>L561+L608</f>
        <v>27194</v>
      </c>
      <c r="M563" s="38">
        <f>SUM(J563:L563)</f>
        <v>113416</v>
      </c>
      <c r="N563" s="10">
        <f>N561+N608</f>
        <v>16475</v>
      </c>
      <c r="O563" s="10">
        <f>O561+O608</f>
        <v>5645</v>
      </c>
      <c r="P563" s="10">
        <f>P561+P608</f>
        <v>3467</v>
      </c>
      <c r="Q563" s="38">
        <f>SUM(N563:P563)</f>
        <v>25587</v>
      </c>
      <c r="R563" s="38">
        <f>+E563+I563+M563+Q563</f>
        <v>332513</v>
      </c>
    </row>
    <row r="564" spans="1:20" ht="16.5" customHeight="1" thickBot="1" x14ac:dyDescent="0.35">
      <c r="A564" s="263" t="s">
        <v>576</v>
      </c>
      <c r="B564" s="315">
        <f>(B563/B10)/1.983</f>
        <v>262.45668830218148</v>
      </c>
      <c r="C564" s="315">
        <f>(C563/C10)/1.983</f>
        <v>432.62373027879835</v>
      </c>
      <c r="D564" s="315">
        <f>(D563/D10)/1.983</f>
        <v>521.3996388658436</v>
      </c>
      <c r="E564" s="40" t="s">
        <v>852</v>
      </c>
      <c r="F564" s="315">
        <f>(F563/F10)/1.983</f>
        <v>682.26592704656241</v>
      </c>
      <c r="G564" s="315">
        <f>(G563/G10)/1.983</f>
        <v>584.09382981146189</v>
      </c>
      <c r="H564" s="315">
        <f>(H563/H10)/1.983</f>
        <v>753.21902840813584</v>
      </c>
      <c r="I564" s="40" t="s">
        <v>852</v>
      </c>
      <c r="J564" s="315">
        <f>(J563/J10)/1.983</f>
        <v>711.1740113545784</v>
      </c>
      <c r="K564" s="315">
        <f>(K563/K10)/1.983</f>
        <v>691.425503879752</v>
      </c>
      <c r="L564" s="315">
        <f>(L563/L10)/1.983</f>
        <v>457.11884350310976</v>
      </c>
      <c r="M564" s="40" t="s">
        <v>852</v>
      </c>
      <c r="N564" s="315">
        <f>(N563/N10)/1.983</f>
        <v>268.00383908382543</v>
      </c>
      <c r="O564" s="315">
        <f>(O563/O10)/1.983</f>
        <v>94.889897461758267</v>
      </c>
      <c r="P564" s="315">
        <f>(P563/P10)/1.983</f>
        <v>56.398744164104563</v>
      </c>
      <c r="Q564" s="40" t="s">
        <v>852</v>
      </c>
      <c r="R564" s="40" t="s">
        <v>852</v>
      </c>
    </row>
    <row r="565" spans="1:20" ht="15.75" customHeight="1" x14ac:dyDescent="0.3">
      <c r="A565" s="17"/>
      <c r="B565" s="10"/>
      <c r="C565" s="10"/>
      <c r="D565" s="10"/>
      <c r="E565" s="10"/>
      <c r="F565" s="10"/>
      <c r="G565" s="10"/>
      <c r="H565" s="10"/>
      <c r="I565" s="10"/>
      <c r="J565" s="10"/>
      <c r="K565" s="10"/>
      <c r="L565" s="10"/>
      <c r="M565" s="10"/>
      <c r="N565" s="10"/>
      <c r="O565" s="10"/>
      <c r="P565" s="10"/>
      <c r="Q565" s="10"/>
      <c r="R565" s="17"/>
    </row>
    <row r="566" spans="1:20" ht="15.75" customHeight="1" thickBot="1" x14ac:dyDescent="0.35">
      <c r="A566" s="17"/>
      <c r="B566" s="10"/>
      <c r="C566" s="10"/>
      <c r="D566" s="10"/>
      <c r="E566" s="10"/>
      <c r="F566" s="10"/>
      <c r="G566" s="10"/>
      <c r="H566" s="10"/>
      <c r="I566" s="10"/>
      <c r="J566" s="10"/>
      <c r="K566" s="10"/>
      <c r="L566" s="10"/>
      <c r="M566" s="10"/>
      <c r="N566" s="10"/>
      <c r="O566" s="10"/>
      <c r="P566" s="10"/>
      <c r="Q566" s="10"/>
      <c r="R566" s="17"/>
    </row>
    <row r="567" spans="1:20" ht="16.5" customHeight="1" thickBot="1" x14ac:dyDescent="0.35">
      <c r="A567" s="278" t="s">
        <v>689</v>
      </c>
      <c r="B567" s="4" t="s">
        <v>2090</v>
      </c>
      <c r="C567" s="5" t="s">
        <v>2091</v>
      </c>
      <c r="D567" s="5" t="s">
        <v>2234</v>
      </c>
      <c r="E567" s="33" t="s">
        <v>1594</v>
      </c>
      <c r="F567" s="5" t="s">
        <v>2235</v>
      </c>
      <c r="G567" s="5" t="s">
        <v>2236</v>
      </c>
      <c r="H567" s="5" t="s">
        <v>2237</v>
      </c>
      <c r="I567" s="35" t="s">
        <v>1595</v>
      </c>
      <c r="J567" s="5" t="s">
        <v>1504</v>
      </c>
      <c r="K567" s="5" t="s">
        <v>1505</v>
      </c>
      <c r="L567" s="5" t="s">
        <v>1506</v>
      </c>
      <c r="M567" s="35" t="s">
        <v>1596</v>
      </c>
      <c r="N567" s="5" t="s">
        <v>1507</v>
      </c>
      <c r="O567" s="5" t="s">
        <v>1508</v>
      </c>
      <c r="P567" s="5" t="s">
        <v>1509</v>
      </c>
      <c r="Q567" s="35" t="s">
        <v>1597</v>
      </c>
      <c r="R567" s="36" t="s">
        <v>1510</v>
      </c>
    </row>
    <row r="568" spans="1:20" ht="16.5" customHeight="1" thickBot="1" x14ac:dyDescent="0.35">
      <c r="A568" s="37"/>
      <c r="B568" s="313"/>
      <c r="C568" s="313"/>
      <c r="D568" s="313"/>
      <c r="E568" s="308"/>
      <c r="F568" s="313"/>
      <c r="G568" s="313"/>
      <c r="H568" s="313"/>
      <c r="I568" s="316"/>
      <c r="J568" s="313"/>
      <c r="K568" s="313"/>
      <c r="L568" s="313"/>
      <c r="M568" s="316"/>
      <c r="N568" s="313"/>
      <c r="O568" s="313"/>
      <c r="P568" s="313"/>
      <c r="Q568" s="316"/>
      <c r="R568" s="52"/>
    </row>
    <row r="569" spans="1:20" ht="15.75" customHeight="1" x14ac:dyDescent="0.3">
      <c r="A569" s="234" t="s">
        <v>2417</v>
      </c>
      <c r="B569" s="10" t="s">
        <v>852</v>
      </c>
      <c r="C569" s="10" t="s">
        <v>852</v>
      </c>
      <c r="D569" s="10" t="s">
        <v>852</v>
      </c>
      <c r="E569" s="38" t="s">
        <v>852</v>
      </c>
      <c r="F569" s="10"/>
      <c r="G569" s="10"/>
      <c r="H569" s="10"/>
      <c r="I569" s="38" t="s">
        <v>852</v>
      </c>
      <c r="J569" s="10" t="s">
        <v>852</v>
      </c>
      <c r="K569" s="10" t="s">
        <v>852</v>
      </c>
      <c r="L569" s="10" t="s">
        <v>852</v>
      </c>
      <c r="M569" s="38" t="s">
        <v>852</v>
      </c>
      <c r="N569" s="10" t="s">
        <v>852</v>
      </c>
      <c r="O569" s="10" t="s">
        <v>852</v>
      </c>
      <c r="P569" s="10" t="s">
        <v>852</v>
      </c>
      <c r="Q569" s="38" t="s">
        <v>852</v>
      </c>
      <c r="R569" s="38" t="s">
        <v>852</v>
      </c>
    </row>
    <row r="570" spans="1:20" ht="15.75" customHeight="1" x14ac:dyDescent="0.3">
      <c r="A570" s="234" t="s">
        <v>2160</v>
      </c>
      <c r="B570" s="10"/>
      <c r="C570" s="10"/>
      <c r="D570" s="10"/>
      <c r="E570" s="38" t="s">
        <v>852</v>
      </c>
      <c r="F570" s="10"/>
      <c r="G570" s="10"/>
      <c r="H570" s="10"/>
      <c r="I570" s="38" t="s">
        <v>852</v>
      </c>
      <c r="J570" s="10"/>
      <c r="K570" s="10"/>
      <c r="L570" s="10"/>
      <c r="M570" s="38" t="s">
        <v>852</v>
      </c>
      <c r="N570" s="10"/>
      <c r="O570" s="10"/>
      <c r="P570" s="10"/>
      <c r="Q570" s="38" t="s">
        <v>852</v>
      </c>
      <c r="R570" s="38" t="s">
        <v>852</v>
      </c>
    </row>
    <row r="571" spans="1:20" ht="15.75" customHeight="1" x14ac:dyDescent="0.3">
      <c r="A571" s="234" t="s">
        <v>2976</v>
      </c>
      <c r="C571" s="10"/>
      <c r="D571" s="10"/>
      <c r="E571" s="38">
        <f>SUM(B571:D571)</f>
        <v>0</v>
      </c>
      <c r="F571" s="10"/>
      <c r="G571" s="10"/>
      <c r="H571" s="10"/>
      <c r="I571" s="38">
        <f>SUM(F571:H571)</f>
        <v>0</v>
      </c>
      <c r="J571" s="10"/>
      <c r="K571" s="10"/>
      <c r="L571" s="10"/>
      <c r="M571" s="38">
        <f>SUM(J571:L571)</f>
        <v>0</v>
      </c>
      <c r="N571" s="10"/>
      <c r="O571" s="10"/>
      <c r="P571" s="10"/>
      <c r="Q571" s="38">
        <f>SUM(N571:P571)</f>
        <v>0</v>
      </c>
      <c r="R571" s="38">
        <f>+E571+I571+M571+Q571</f>
        <v>0</v>
      </c>
      <c r="T571" t="s">
        <v>505</v>
      </c>
    </row>
    <row r="572" spans="1:20" ht="15.75" customHeight="1" x14ac:dyDescent="0.3">
      <c r="A572" s="310" t="s">
        <v>1478</v>
      </c>
      <c r="B572" s="10"/>
      <c r="C572" s="10">
        <v>500</v>
      </c>
      <c r="D572" s="10">
        <v>500</v>
      </c>
      <c r="E572" s="38">
        <f>SUM(B572:D572)</f>
        <v>1000</v>
      </c>
      <c r="F572" s="10">
        <v>500</v>
      </c>
      <c r="G572" s="10">
        <v>500</v>
      </c>
      <c r="H572" s="10"/>
      <c r="I572" s="38">
        <f>SUM(F572:H572)</f>
        <v>1000</v>
      </c>
      <c r="J572" s="10"/>
      <c r="K572" s="10"/>
      <c r="L572" s="10"/>
      <c r="M572" s="38">
        <f>SUM(J572:L572)</f>
        <v>0</v>
      </c>
      <c r="N572" s="10"/>
      <c r="O572" s="10"/>
      <c r="P572" s="10"/>
      <c r="Q572" s="38">
        <f>SUM(N572:P572)</f>
        <v>0</v>
      </c>
      <c r="R572" s="38">
        <f>+E572+I572+M572+Q572</f>
        <v>2000</v>
      </c>
    </row>
    <row r="573" spans="1:20" ht="15.75" customHeight="1" x14ac:dyDescent="0.3">
      <c r="A573" s="310" t="s">
        <v>485</v>
      </c>
      <c r="B573" s="10"/>
      <c r="C573" s="10"/>
      <c r="D573" s="10">
        <v>250</v>
      </c>
      <c r="E573" s="38">
        <f>SUM(B573:D573)</f>
        <v>250</v>
      </c>
      <c r="F573" s="10">
        <v>250</v>
      </c>
      <c r="G573" s="10">
        <v>250</v>
      </c>
      <c r="H573" s="10">
        <v>1250</v>
      </c>
      <c r="I573" s="38">
        <f>SUM(F573:H573)</f>
        <v>1750</v>
      </c>
      <c r="J573" s="10">
        <v>1000</v>
      </c>
      <c r="K573" s="10">
        <v>500</v>
      </c>
      <c r="L573" s="10">
        <v>500</v>
      </c>
      <c r="M573" s="38">
        <f>SUM(J573:L573)</f>
        <v>2000</v>
      </c>
      <c r="N573" s="10"/>
      <c r="O573" s="10"/>
      <c r="P573" s="10"/>
      <c r="Q573" s="38">
        <f>SUM(N573:P573)</f>
        <v>0</v>
      </c>
      <c r="R573" s="38">
        <f>+E573+I573+M573+Q573</f>
        <v>4000</v>
      </c>
    </row>
    <row r="574" spans="1:20" ht="15.75" customHeight="1" x14ac:dyDescent="0.3">
      <c r="A574" s="539" t="s">
        <v>3142</v>
      </c>
      <c r="B574" s="10"/>
      <c r="C574" s="10"/>
      <c r="D574" s="10"/>
      <c r="E574" s="38">
        <f>SUM(B574:D574)</f>
        <v>0</v>
      </c>
      <c r="F574" s="10"/>
      <c r="G574" s="10"/>
      <c r="H574" s="10"/>
      <c r="I574" s="38">
        <f>SUM(F574:H574)</f>
        <v>0</v>
      </c>
      <c r="J574" s="10"/>
      <c r="K574" s="10">
        <v>500</v>
      </c>
      <c r="L574" s="10">
        <v>500</v>
      </c>
      <c r="M574" s="38">
        <f>SUM(J574:L574)</f>
        <v>1000</v>
      </c>
      <c r="N574" s="10">
        <v>500</v>
      </c>
      <c r="O574" s="10"/>
      <c r="P574" s="10"/>
      <c r="Q574" s="38">
        <f>SUM(N574:P574)</f>
        <v>500</v>
      </c>
      <c r="R574" s="38">
        <f>+E574+I574+M574+Q574</f>
        <v>1500</v>
      </c>
    </row>
    <row r="575" spans="1:20" ht="15.75" customHeight="1" x14ac:dyDescent="0.3">
      <c r="A575" s="310" t="s">
        <v>1938</v>
      </c>
      <c r="B575" s="10"/>
      <c r="C575" s="10"/>
      <c r="D575" s="10"/>
      <c r="E575" s="38">
        <f>SUM(B575:D575)</f>
        <v>0</v>
      </c>
      <c r="F575" s="10"/>
      <c r="G575" s="10"/>
      <c r="H575" s="10"/>
      <c r="I575" s="38">
        <f>SUM(F575:H575)</f>
        <v>0</v>
      </c>
      <c r="J575" s="10">
        <v>237</v>
      </c>
      <c r="K575" s="10"/>
      <c r="L575" s="10">
        <v>300</v>
      </c>
      <c r="M575" s="38">
        <f>SUM(J575:L575)</f>
        <v>537</v>
      </c>
      <c r="N575" s="10"/>
      <c r="O575" s="10"/>
      <c r="P575" s="10"/>
      <c r="Q575" s="38">
        <f>SUM(N575:P575)</f>
        <v>0</v>
      </c>
      <c r="R575" s="38">
        <f>+E575+I575+M575+Q575</f>
        <v>537</v>
      </c>
    </row>
    <row r="576" spans="1:20" ht="15.75" customHeight="1" x14ac:dyDescent="0.3">
      <c r="A576" s="234" t="s">
        <v>2161</v>
      </c>
      <c r="B576" s="10"/>
      <c r="C576" s="10"/>
      <c r="D576" s="10"/>
      <c r="E576" s="38" t="s">
        <v>852</v>
      </c>
      <c r="F576" s="10"/>
      <c r="G576" s="10"/>
      <c r="H576" s="10"/>
      <c r="I576" s="38" t="s">
        <v>852</v>
      </c>
      <c r="J576" s="10"/>
      <c r="K576" s="10"/>
      <c r="L576" s="10"/>
      <c r="M576" s="38" t="s">
        <v>852</v>
      </c>
      <c r="N576" s="10"/>
      <c r="O576" s="10"/>
      <c r="P576" s="10"/>
      <c r="Q576" s="38" t="s">
        <v>852</v>
      </c>
      <c r="R576" s="38" t="s">
        <v>852</v>
      </c>
    </row>
    <row r="577" spans="1:20" ht="15.75" customHeight="1" x14ac:dyDescent="0.3">
      <c r="A577" s="234" t="s">
        <v>3245</v>
      </c>
      <c r="B577" s="10"/>
      <c r="C577" s="10"/>
      <c r="D577" s="10"/>
      <c r="E577" s="38" t="s">
        <v>852</v>
      </c>
      <c r="F577" s="10"/>
      <c r="G577" s="10"/>
      <c r="H577" s="10"/>
      <c r="I577" s="38" t="s">
        <v>852</v>
      </c>
      <c r="J577" s="10"/>
      <c r="K577" s="10"/>
      <c r="L577" s="10"/>
      <c r="M577" s="38" t="s">
        <v>852</v>
      </c>
      <c r="N577" s="10"/>
      <c r="O577" s="10"/>
      <c r="P577" s="10"/>
      <c r="Q577" s="38" t="s">
        <v>852</v>
      </c>
      <c r="R577" s="38" t="s">
        <v>852</v>
      </c>
    </row>
    <row r="578" spans="1:20" ht="15.75" customHeight="1" thickBot="1" x14ac:dyDescent="0.35">
      <c r="A578" s="234" t="s">
        <v>2164</v>
      </c>
      <c r="B578" s="10"/>
      <c r="C578" s="10"/>
      <c r="D578" s="10"/>
      <c r="E578" s="38" t="s">
        <v>852</v>
      </c>
      <c r="F578" s="10"/>
      <c r="G578" s="10"/>
      <c r="H578" s="10"/>
      <c r="I578" s="38" t="s">
        <v>852</v>
      </c>
      <c r="J578" s="10"/>
      <c r="K578" s="10"/>
      <c r="L578" s="10"/>
      <c r="M578" s="38" t="s">
        <v>852</v>
      </c>
      <c r="N578" s="10"/>
      <c r="O578" s="10"/>
      <c r="P578" s="10"/>
      <c r="Q578" s="38" t="s">
        <v>852</v>
      </c>
      <c r="R578" s="38" t="s">
        <v>852</v>
      </c>
    </row>
    <row r="579" spans="1:20" ht="16.5" customHeight="1" thickBot="1" x14ac:dyDescent="0.35">
      <c r="A579" s="322" t="s">
        <v>1218</v>
      </c>
      <c r="B579" s="45">
        <f>SUM(B569:B578)</f>
        <v>0</v>
      </c>
      <c r="C579" s="46">
        <f>SUM(C569:C578)</f>
        <v>500</v>
      </c>
      <c r="D579" s="46">
        <f>SUM(D569:D578)</f>
        <v>750</v>
      </c>
      <c r="E579" s="37">
        <f>SUM(B579:D579)</f>
        <v>1250</v>
      </c>
      <c r="F579" s="46">
        <f>SUM(F569:F578)</f>
        <v>750</v>
      </c>
      <c r="G579" s="46">
        <f>SUM(G569:G578)</f>
        <v>750</v>
      </c>
      <c r="H579" s="46">
        <f>SUM(H569:H578)</f>
        <v>1250</v>
      </c>
      <c r="I579" s="37">
        <f>SUM(F579:H579)</f>
        <v>2750</v>
      </c>
      <c r="J579" s="46">
        <f>SUM(J569:J578)</f>
        <v>1237</v>
      </c>
      <c r="K579" s="46">
        <f>SUM(K569:K578)</f>
        <v>1000</v>
      </c>
      <c r="L579" s="46">
        <f>SUM(L569:L578)</f>
        <v>1300</v>
      </c>
      <c r="M579" s="37">
        <f>SUM(J579:L579)</f>
        <v>3537</v>
      </c>
      <c r="N579" s="46">
        <f>SUM(N569:N578)</f>
        <v>500</v>
      </c>
      <c r="O579" s="46">
        <f>SUM(O569:O578)</f>
        <v>0</v>
      </c>
      <c r="P579" s="46">
        <f>SUM(P569:P578)</f>
        <v>0</v>
      </c>
      <c r="Q579" s="37">
        <f>SUM(N579:P579)</f>
        <v>500</v>
      </c>
      <c r="R579" s="37">
        <f>+E579+I579+M579+Q579</f>
        <v>8037</v>
      </c>
    </row>
    <row r="580" spans="1:20" ht="15.75" customHeight="1" x14ac:dyDescent="0.3">
      <c r="A580" s="234" t="s">
        <v>1172</v>
      </c>
      <c r="B580" s="10"/>
      <c r="C580" s="10"/>
      <c r="D580" s="10"/>
      <c r="E580" s="39" t="s">
        <v>852</v>
      </c>
      <c r="F580" s="10"/>
      <c r="G580" s="10"/>
      <c r="H580" s="10"/>
      <c r="I580" s="39" t="s">
        <v>852</v>
      </c>
      <c r="J580" s="10"/>
      <c r="K580" s="10"/>
      <c r="L580" s="10"/>
      <c r="M580" s="39" t="s">
        <v>852</v>
      </c>
      <c r="N580" s="10"/>
      <c r="O580" s="10"/>
      <c r="P580" s="10"/>
      <c r="Q580" s="39" t="s">
        <v>852</v>
      </c>
      <c r="R580" s="737" t="s">
        <v>852</v>
      </c>
    </row>
    <row r="581" spans="1:20" ht="15.75" customHeight="1" x14ac:dyDescent="0.3">
      <c r="A581" s="234" t="s">
        <v>2409</v>
      </c>
      <c r="B581" s="10"/>
      <c r="C581" s="10"/>
      <c r="D581" s="10"/>
      <c r="E581" s="38" t="s">
        <v>852</v>
      </c>
      <c r="F581" s="10"/>
      <c r="G581" s="10"/>
      <c r="H581" s="10"/>
      <c r="I581" s="38" t="s">
        <v>852</v>
      </c>
      <c r="J581" s="10"/>
      <c r="K581" s="10"/>
      <c r="L581" s="10"/>
      <c r="M581" s="38" t="s">
        <v>852</v>
      </c>
      <c r="N581" s="10"/>
      <c r="O581" s="10"/>
      <c r="P581" s="10"/>
      <c r="Q581" s="38" t="s">
        <v>852</v>
      </c>
      <c r="R581" s="737" t="s">
        <v>852</v>
      </c>
    </row>
    <row r="582" spans="1:20" ht="15.75" customHeight="1" x14ac:dyDescent="0.3">
      <c r="A582" s="310" t="s">
        <v>791</v>
      </c>
      <c r="B582" s="10">
        <v>60</v>
      </c>
      <c r="C582" s="10">
        <v>60</v>
      </c>
      <c r="D582" s="10">
        <v>1199</v>
      </c>
      <c r="E582" s="38">
        <f>SUM(B582:D582)</f>
        <v>1319</v>
      </c>
      <c r="F582" s="10">
        <v>2798</v>
      </c>
      <c r="G582" s="10">
        <v>1599</v>
      </c>
      <c r="H582" s="10">
        <v>3198</v>
      </c>
      <c r="I582" s="38">
        <f>SUM(F582:H582)</f>
        <v>7595</v>
      </c>
      <c r="J582" s="10">
        <v>3597</v>
      </c>
      <c r="K582" s="10">
        <v>2998</v>
      </c>
      <c r="L582" s="10">
        <v>400</v>
      </c>
      <c r="M582" s="38">
        <f>SUM(J582:L582)</f>
        <v>6995</v>
      </c>
      <c r="N582" s="10">
        <v>400</v>
      </c>
      <c r="O582" s="10">
        <v>200</v>
      </c>
      <c r="P582" s="10">
        <v>140</v>
      </c>
      <c r="Q582" s="38">
        <f>SUM(N582:P582)</f>
        <v>740</v>
      </c>
      <c r="R582" s="38">
        <f>+E582+I582+M582+Q582</f>
        <v>16649</v>
      </c>
      <c r="S582">
        <f>+SUM(R582,R540,R399)</f>
        <v>66592</v>
      </c>
      <c r="T582" t="s">
        <v>2704</v>
      </c>
    </row>
    <row r="583" spans="1:20" ht="15.75" customHeight="1" x14ac:dyDescent="0.3">
      <c r="A583" s="310" t="s">
        <v>2300</v>
      </c>
      <c r="B583" s="10"/>
      <c r="C583" s="10"/>
      <c r="D583" s="10"/>
      <c r="E583" s="38">
        <f>SUM(B583:D583)</f>
        <v>0</v>
      </c>
      <c r="F583" s="10"/>
      <c r="G583" s="10"/>
      <c r="H583" s="10"/>
      <c r="I583" s="38">
        <f>SUM(F583:H583)</f>
        <v>0</v>
      </c>
      <c r="J583" s="10"/>
      <c r="K583" s="10"/>
      <c r="L583" s="10"/>
      <c r="M583" s="38">
        <f>SUM(J583:L583)</f>
        <v>0</v>
      </c>
      <c r="N583" s="10"/>
      <c r="O583" s="10"/>
      <c r="P583" s="10"/>
      <c r="Q583" s="38">
        <f>SUM(N583:P583)</f>
        <v>0</v>
      </c>
      <c r="R583" s="38">
        <f>+E583+I583+M583+Q583</f>
        <v>0</v>
      </c>
    </row>
    <row r="584" spans="1:20" ht="15.75" customHeight="1" thickBot="1" x14ac:dyDescent="0.35">
      <c r="A584" s="234" t="s">
        <v>2165</v>
      </c>
      <c r="B584" s="10"/>
      <c r="C584" s="10"/>
      <c r="D584" s="10"/>
      <c r="E584" s="38" t="s">
        <v>852</v>
      </c>
      <c r="F584" s="10"/>
      <c r="G584" s="10"/>
      <c r="H584" s="10"/>
      <c r="I584" s="38" t="s">
        <v>852</v>
      </c>
      <c r="J584" s="10"/>
      <c r="K584" s="10"/>
      <c r="L584" s="10"/>
      <c r="M584" s="38" t="s">
        <v>852</v>
      </c>
      <c r="N584" s="10"/>
      <c r="O584" s="10"/>
      <c r="P584" s="10"/>
      <c r="Q584" s="38" t="s">
        <v>852</v>
      </c>
      <c r="R584" s="737" t="s">
        <v>852</v>
      </c>
    </row>
    <row r="585" spans="1:20" ht="16.5" customHeight="1" thickBot="1" x14ac:dyDescent="0.35">
      <c r="A585" s="43" t="s">
        <v>1219</v>
      </c>
      <c r="B585" s="45">
        <f>SUM(B580:B584)</f>
        <v>60</v>
      </c>
      <c r="C585" s="46">
        <f>SUM(C580:C584)</f>
        <v>60</v>
      </c>
      <c r="D585" s="46">
        <f>SUM(D580:D584)</f>
        <v>1199</v>
      </c>
      <c r="E585" s="37">
        <f>SUM(B585:D585)</f>
        <v>1319</v>
      </c>
      <c r="F585" s="46">
        <f>SUM(F580:F584)</f>
        <v>2798</v>
      </c>
      <c r="G585" s="46">
        <f>SUM(G580:G584)</f>
        <v>1599</v>
      </c>
      <c r="H585" s="46">
        <f>SUM(H580:H584)</f>
        <v>3198</v>
      </c>
      <c r="I585" s="37">
        <f>SUM(F585:H585)</f>
        <v>7595</v>
      </c>
      <c r="J585" s="46">
        <f>SUM(J580:J584)</f>
        <v>3597</v>
      </c>
      <c r="K585" s="46">
        <f>SUM(K580:K584)</f>
        <v>2998</v>
      </c>
      <c r="L585" s="46">
        <f>SUM(L580:L584)</f>
        <v>400</v>
      </c>
      <c r="M585" s="37">
        <f>SUM(J585:L585)</f>
        <v>6995</v>
      </c>
      <c r="N585" s="46">
        <f>SUM(N580:N584)</f>
        <v>400</v>
      </c>
      <c r="O585" s="46">
        <f>SUM(O580:O584)</f>
        <v>200</v>
      </c>
      <c r="P585" s="46">
        <f>SUM(P580:P584)</f>
        <v>140</v>
      </c>
      <c r="Q585" s="37">
        <f>SUM(N585:P585)</f>
        <v>740</v>
      </c>
      <c r="R585" s="37">
        <f>+E585+I585+M585+Q585</f>
        <v>16649</v>
      </c>
    </row>
    <row r="586" spans="1:20" ht="15.75" customHeight="1" x14ac:dyDescent="0.3">
      <c r="A586" s="234" t="s">
        <v>2166</v>
      </c>
      <c r="B586" s="10"/>
      <c r="C586" s="10"/>
      <c r="D586" s="10"/>
      <c r="E586" s="38" t="s">
        <v>852</v>
      </c>
      <c r="F586" s="10"/>
      <c r="G586" s="10"/>
      <c r="H586" s="10"/>
      <c r="I586" s="38" t="s">
        <v>852</v>
      </c>
      <c r="J586" s="10"/>
      <c r="K586" s="10"/>
      <c r="L586" s="10"/>
      <c r="M586" s="38" t="s">
        <v>852</v>
      </c>
      <c r="N586" s="10"/>
      <c r="O586" s="10"/>
      <c r="P586" s="10"/>
      <c r="Q586" s="38" t="s">
        <v>852</v>
      </c>
      <c r="R586" s="38" t="s">
        <v>852</v>
      </c>
    </row>
    <row r="587" spans="1:20" ht="15.75" customHeight="1" x14ac:dyDescent="0.3">
      <c r="A587" s="234" t="s">
        <v>1245</v>
      </c>
      <c r="B587" s="10"/>
      <c r="C587" s="10"/>
      <c r="D587" s="10"/>
      <c r="E587" s="38" t="s">
        <v>852</v>
      </c>
      <c r="F587" s="10"/>
      <c r="G587" s="10"/>
      <c r="H587" s="10"/>
      <c r="I587" s="38" t="s">
        <v>852</v>
      </c>
      <c r="J587" s="10"/>
      <c r="K587" s="10"/>
      <c r="L587" s="10"/>
      <c r="M587" s="38" t="s">
        <v>852</v>
      </c>
      <c r="N587" s="10"/>
      <c r="O587" s="10"/>
      <c r="P587" s="10"/>
      <c r="Q587" s="38" t="s">
        <v>852</v>
      </c>
      <c r="R587" s="38" t="s">
        <v>852</v>
      </c>
    </row>
    <row r="588" spans="1:20" ht="15.75" customHeight="1" x14ac:dyDescent="0.3">
      <c r="A588" s="234" t="s">
        <v>1711</v>
      </c>
      <c r="B588" s="10"/>
      <c r="C588" s="10"/>
      <c r="D588" s="10"/>
      <c r="E588" s="38" t="s">
        <v>852</v>
      </c>
      <c r="F588" s="10"/>
      <c r="G588" s="10"/>
      <c r="H588" s="10"/>
      <c r="I588" s="38" t="s">
        <v>852</v>
      </c>
      <c r="J588" s="10"/>
      <c r="K588" s="10"/>
      <c r="L588" s="10"/>
      <c r="M588" s="38" t="s">
        <v>852</v>
      </c>
      <c r="N588" s="10"/>
      <c r="O588" s="10"/>
      <c r="P588" s="10"/>
      <c r="Q588" s="38" t="s">
        <v>852</v>
      </c>
      <c r="R588" s="38" t="s">
        <v>852</v>
      </c>
    </row>
    <row r="589" spans="1:20" ht="15.75" customHeight="1" thickBot="1" x14ac:dyDescent="0.35">
      <c r="A589" s="689" t="s">
        <v>2937</v>
      </c>
      <c r="B589" s="10"/>
      <c r="C589" s="10"/>
      <c r="D589" s="10"/>
      <c r="E589" s="38">
        <f>SUM(B589:D589)</f>
        <v>0</v>
      </c>
      <c r="F589" s="10"/>
      <c r="G589" s="10"/>
      <c r="H589" s="10"/>
      <c r="I589" s="38">
        <f>SUM(F589:H589)</f>
        <v>0</v>
      </c>
      <c r="J589" s="10"/>
      <c r="K589" s="10"/>
      <c r="L589" s="10"/>
      <c r="M589" s="38">
        <f>SUM(J589:L589)</f>
        <v>0</v>
      </c>
      <c r="N589" s="10"/>
      <c r="O589" s="10"/>
      <c r="P589" s="10"/>
      <c r="Q589" s="38">
        <f>SUM(N589:P589)</f>
        <v>0</v>
      </c>
      <c r="R589" s="38">
        <f>+E589+I589+M589+Q589</f>
        <v>0</v>
      </c>
      <c r="T589" t="s">
        <v>505</v>
      </c>
    </row>
    <row r="590" spans="1:20" ht="16.5" customHeight="1" thickBot="1" x14ac:dyDescent="0.35">
      <c r="A590" s="277" t="s">
        <v>1220</v>
      </c>
      <c r="B590" s="45">
        <f>SUM(B586:B589)</f>
        <v>0</v>
      </c>
      <c r="C590" s="46">
        <f>SUM(C586:C589)</f>
        <v>0</v>
      </c>
      <c r="D590" s="46">
        <f>SUM(D586:D589)</f>
        <v>0</v>
      </c>
      <c r="E590" s="37">
        <f>SUM(B590:D590)</f>
        <v>0</v>
      </c>
      <c r="F590" s="46">
        <f>SUM(F586:F589)</f>
        <v>0</v>
      </c>
      <c r="G590" s="46">
        <f>SUM(G586:G589)</f>
        <v>0</v>
      </c>
      <c r="H590" s="46">
        <f>SUM(H586:H589)</f>
        <v>0</v>
      </c>
      <c r="I590" s="37">
        <f>SUM(F590:H590)</f>
        <v>0</v>
      </c>
      <c r="J590" s="46">
        <f>SUM(J586:J589)</f>
        <v>0</v>
      </c>
      <c r="K590" s="46">
        <f>SUM(K586:K589)</f>
        <v>0</v>
      </c>
      <c r="L590" s="46">
        <f>SUM(L586:L589)</f>
        <v>0</v>
      </c>
      <c r="M590" s="37">
        <f>SUM(J590:L590)</f>
        <v>0</v>
      </c>
      <c r="N590" s="46">
        <f>SUM(N586:N589)</f>
        <v>0</v>
      </c>
      <c r="O590" s="46">
        <f>SUM(O586:O589)</f>
        <v>0</v>
      </c>
      <c r="P590" s="46">
        <f>SUM(P586:P589)</f>
        <v>0</v>
      </c>
      <c r="Q590" s="37">
        <f>SUM(N590:P590)</f>
        <v>0</v>
      </c>
      <c r="R590" s="37">
        <f>+E590+I590+M590+Q590</f>
        <v>0</v>
      </c>
    </row>
    <row r="591" spans="1:20" ht="15.75" customHeight="1" x14ac:dyDescent="0.3">
      <c r="A591" s="234" t="s">
        <v>1712</v>
      </c>
      <c r="B591" s="10"/>
      <c r="C591" s="10"/>
      <c r="D591" s="10"/>
      <c r="E591" s="38" t="s">
        <v>852</v>
      </c>
      <c r="F591" s="10"/>
      <c r="G591" s="10"/>
      <c r="H591" s="10"/>
      <c r="I591" s="38" t="s">
        <v>852</v>
      </c>
      <c r="J591" s="10"/>
      <c r="K591" s="10"/>
      <c r="L591" s="10"/>
      <c r="M591" s="38" t="s">
        <v>852</v>
      </c>
      <c r="N591" s="10"/>
      <c r="O591" s="10"/>
      <c r="P591" s="10"/>
      <c r="Q591" s="38" t="s">
        <v>852</v>
      </c>
      <c r="R591" s="38" t="s">
        <v>852</v>
      </c>
    </row>
    <row r="592" spans="1:20" ht="15.75" customHeight="1" x14ac:dyDescent="0.3">
      <c r="A592" s="234" t="s">
        <v>1021</v>
      </c>
      <c r="B592" s="10"/>
      <c r="C592" s="10"/>
      <c r="D592" s="10"/>
      <c r="E592" s="38" t="s">
        <v>852</v>
      </c>
      <c r="F592" s="10"/>
      <c r="G592" s="10"/>
      <c r="H592" s="10"/>
      <c r="I592" s="38" t="s">
        <v>852</v>
      </c>
      <c r="J592" s="10"/>
      <c r="K592" s="10"/>
      <c r="L592" s="10"/>
      <c r="M592" s="38" t="s">
        <v>852</v>
      </c>
      <c r="N592" s="10"/>
      <c r="O592" s="10"/>
      <c r="P592" s="10"/>
      <c r="Q592" s="38" t="s">
        <v>852</v>
      </c>
      <c r="R592" s="38" t="s">
        <v>852</v>
      </c>
    </row>
    <row r="593" spans="1:20" ht="15.75" customHeight="1" x14ac:dyDescent="0.3">
      <c r="A593" s="234" t="s">
        <v>557</v>
      </c>
      <c r="B593" s="10"/>
      <c r="C593" s="10"/>
      <c r="D593" s="10"/>
      <c r="E593" s="38" t="s">
        <v>852</v>
      </c>
      <c r="F593" s="10"/>
      <c r="G593" s="10"/>
      <c r="H593" s="10"/>
      <c r="I593" s="38" t="s">
        <v>852</v>
      </c>
      <c r="J593" s="10"/>
      <c r="K593" s="10"/>
      <c r="L593" s="10"/>
      <c r="M593" s="38" t="s">
        <v>852</v>
      </c>
      <c r="N593" s="10"/>
      <c r="O593" s="10"/>
      <c r="P593" s="10"/>
      <c r="Q593" s="38" t="s">
        <v>852</v>
      </c>
      <c r="R593" s="38" t="s">
        <v>852</v>
      </c>
    </row>
    <row r="594" spans="1:20" ht="15.75" customHeight="1" x14ac:dyDescent="0.3">
      <c r="A594" s="234" t="s">
        <v>1022</v>
      </c>
      <c r="B594" s="10"/>
      <c r="C594" s="10"/>
      <c r="D594" s="10"/>
      <c r="E594" s="38" t="s">
        <v>852</v>
      </c>
      <c r="F594" s="10"/>
      <c r="G594" s="10"/>
      <c r="H594" s="10"/>
      <c r="I594" s="38" t="s">
        <v>852</v>
      </c>
      <c r="J594" s="10"/>
      <c r="K594" s="10"/>
      <c r="L594" s="10"/>
      <c r="M594" s="38" t="s">
        <v>852</v>
      </c>
      <c r="N594" s="10"/>
      <c r="O594" s="10"/>
      <c r="P594" s="10"/>
      <c r="Q594" s="38" t="s">
        <v>852</v>
      </c>
      <c r="R594" s="38" t="s">
        <v>852</v>
      </c>
    </row>
    <row r="595" spans="1:20" ht="15.75" customHeight="1" x14ac:dyDescent="0.3">
      <c r="A595" s="539" t="s">
        <v>3263</v>
      </c>
      <c r="B595" s="10"/>
      <c r="C595" s="10"/>
      <c r="D595" s="10"/>
      <c r="E595" s="38">
        <f>SUM(B595:D595)</f>
        <v>0</v>
      </c>
      <c r="F595" s="10"/>
      <c r="G595" s="10"/>
      <c r="H595" s="10"/>
      <c r="I595" s="38">
        <f>SUM(F595:H595)</f>
        <v>0</v>
      </c>
      <c r="J595" s="10"/>
      <c r="K595" s="10"/>
      <c r="L595" s="10"/>
      <c r="M595" s="38">
        <f>SUM(J595:L595)</f>
        <v>0</v>
      </c>
      <c r="N595" s="10"/>
      <c r="O595" s="10"/>
      <c r="P595" s="10"/>
      <c r="Q595" s="38">
        <f>SUM(N595:P595)</f>
        <v>0</v>
      </c>
      <c r="R595" s="38">
        <f>+E595+I595+M595+Q595</f>
        <v>0</v>
      </c>
    </row>
    <row r="596" spans="1:20" ht="15.75" customHeight="1" x14ac:dyDescent="0.3">
      <c r="A596" s="234" t="s">
        <v>559</v>
      </c>
      <c r="B596" s="10"/>
      <c r="C596" s="10"/>
      <c r="D596" s="10"/>
      <c r="E596" s="38"/>
      <c r="F596" s="10"/>
      <c r="G596" s="10"/>
      <c r="H596" s="10"/>
      <c r="I596" s="38"/>
      <c r="J596" s="10"/>
      <c r="K596" s="10"/>
      <c r="L596" s="10"/>
      <c r="M596" s="38"/>
      <c r="N596" s="10"/>
      <c r="O596" s="10"/>
      <c r="P596" s="10"/>
      <c r="Q596" s="38"/>
      <c r="R596" s="38" t="s">
        <v>852</v>
      </c>
    </row>
    <row r="597" spans="1:20" ht="15.75" customHeight="1" x14ac:dyDescent="0.3">
      <c r="A597" s="539" t="s">
        <v>2936</v>
      </c>
      <c r="B597" s="10"/>
      <c r="C597" s="10"/>
      <c r="D597" s="10"/>
      <c r="E597" s="38">
        <f t="shared" ref="E597:E604" si="227">SUM(B597:D597)</f>
        <v>0</v>
      </c>
      <c r="F597" s="10"/>
      <c r="G597" s="10"/>
      <c r="H597" s="10"/>
      <c r="I597" s="38">
        <f t="shared" ref="I597:I604" si="228">SUM(F597:H597)</f>
        <v>0</v>
      </c>
      <c r="J597" s="10"/>
      <c r="K597" s="10"/>
      <c r="L597" s="10"/>
      <c r="M597" s="38">
        <f t="shared" ref="M597:M604" si="229">SUM(J597:L597)</f>
        <v>0</v>
      </c>
      <c r="N597" s="10"/>
      <c r="O597" s="10"/>
      <c r="P597" s="10"/>
      <c r="Q597" s="38">
        <f t="shared" ref="Q597:Q604" si="230">SUM(N597:P597)</f>
        <v>0</v>
      </c>
      <c r="R597" s="38">
        <f t="shared" ref="R597:R604" si="231">+E597+I597+M597+Q597</f>
        <v>0</v>
      </c>
      <c r="T597" t="s">
        <v>505</v>
      </c>
    </row>
    <row r="598" spans="1:20" ht="15.75" customHeight="1" x14ac:dyDescent="0.3">
      <c r="A598" s="539" t="s">
        <v>2836</v>
      </c>
      <c r="B598" s="10"/>
      <c r="C598" s="10"/>
      <c r="D598" s="10"/>
      <c r="E598" s="38">
        <f>SUM(B598:D598)</f>
        <v>0</v>
      </c>
      <c r="F598" s="10"/>
      <c r="G598" s="10"/>
      <c r="H598" s="10"/>
      <c r="I598" s="38">
        <f>SUM(F598:H598)</f>
        <v>0</v>
      </c>
      <c r="J598" s="10"/>
      <c r="K598" s="10"/>
      <c r="L598" s="10"/>
      <c r="M598" s="38">
        <f>SUM(J598:L598)</f>
        <v>0</v>
      </c>
      <c r="N598" s="10"/>
      <c r="O598" s="10"/>
      <c r="P598" s="10"/>
      <c r="Q598" s="38">
        <f>SUM(N598:P598)</f>
        <v>0</v>
      </c>
      <c r="R598" s="38">
        <f>+E598+I598+M598+Q598</f>
        <v>0</v>
      </c>
      <c r="T598" t="s">
        <v>505</v>
      </c>
    </row>
    <row r="599" spans="1:20" ht="15.75" customHeight="1" x14ac:dyDescent="0.3">
      <c r="A599" s="539" t="s">
        <v>3228</v>
      </c>
      <c r="B599" s="10"/>
      <c r="C599" s="10"/>
      <c r="D599" s="10"/>
      <c r="E599" s="38">
        <f t="shared" ref="E599" si="232">SUM(B599:D599)</f>
        <v>0</v>
      </c>
      <c r="F599" s="10"/>
      <c r="G599" s="10"/>
      <c r="H599" s="10"/>
      <c r="I599" s="38">
        <f t="shared" ref="I599" si="233">SUM(F599:H599)</f>
        <v>0</v>
      </c>
      <c r="J599" s="10"/>
      <c r="K599" s="10"/>
      <c r="L599" s="10"/>
      <c r="M599" s="38">
        <f t="shared" ref="M599" si="234">SUM(J599:L599)</f>
        <v>0</v>
      </c>
      <c r="N599" s="10"/>
      <c r="O599" s="10"/>
      <c r="P599" s="10"/>
      <c r="Q599" s="38">
        <f t="shared" ref="Q599" si="235">SUM(N599:P599)</f>
        <v>0</v>
      </c>
      <c r="R599" s="38">
        <f t="shared" ref="R599" si="236">+E599+I599+M599+Q599</f>
        <v>0</v>
      </c>
    </row>
    <row r="600" spans="1:20" ht="15.75" customHeight="1" thickBot="1" x14ac:dyDescent="0.35">
      <c r="A600" s="539" t="s">
        <v>2577</v>
      </c>
      <c r="B600" s="10"/>
      <c r="C600" s="10"/>
      <c r="D600" s="10"/>
      <c r="E600" s="38">
        <f t="shared" si="227"/>
        <v>0</v>
      </c>
      <c r="F600" s="10"/>
      <c r="G600" s="10"/>
      <c r="H600" s="10"/>
      <c r="I600" s="38">
        <f t="shared" si="228"/>
        <v>0</v>
      </c>
      <c r="J600" s="10"/>
      <c r="K600" s="10"/>
      <c r="L600" s="10"/>
      <c r="M600" s="38">
        <f t="shared" si="229"/>
        <v>0</v>
      </c>
      <c r="N600" s="10"/>
      <c r="O600" s="10"/>
      <c r="P600" s="10"/>
      <c r="Q600" s="38">
        <f t="shared" si="230"/>
        <v>0</v>
      </c>
      <c r="R600" s="38">
        <f t="shared" si="231"/>
        <v>0</v>
      </c>
    </row>
    <row r="601" spans="1:20" ht="16.5" customHeight="1" thickBot="1" x14ac:dyDescent="0.35">
      <c r="A601" s="43" t="s">
        <v>1019</v>
      </c>
      <c r="B601" s="42">
        <f>SUM(B594:B600)</f>
        <v>0</v>
      </c>
      <c r="C601" s="42">
        <f>SUM(C594:C600)</f>
        <v>0</v>
      </c>
      <c r="D601" s="42">
        <f>SUM(D594:D600)</f>
        <v>0</v>
      </c>
      <c r="E601" s="39">
        <f t="shared" si="227"/>
        <v>0</v>
      </c>
      <c r="F601" s="42">
        <f>SUM(F594:F600)</f>
        <v>0</v>
      </c>
      <c r="G601" s="42">
        <f>SUM(G594:G600)</f>
        <v>0</v>
      </c>
      <c r="H601" s="42">
        <f>SUM(H594:H600)</f>
        <v>0</v>
      </c>
      <c r="I601" s="39">
        <f t="shared" si="228"/>
        <v>0</v>
      </c>
      <c r="J601" s="42">
        <f>SUM(J594:J600)</f>
        <v>0</v>
      </c>
      <c r="K601" s="42">
        <f>SUM(K594:K600)</f>
        <v>0</v>
      </c>
      <c r="L601" s="42">
        <f>SUM(L594:L600)</f>
        <v>0</v>
      </c>
      <c r="M601" s="39">
        <f t="shared" si="229"/>
        <v>0</v>
      </c>
      <c r="N601" s="42">
        <f>SUM(N594:N600)</f>
        <v>0</v>
      </c>
      <c r="O601" s="42">
        <f>SUM(O594:O600)</f>
        <v>0</v>
      </c>
      <c r="P601" s="42">
        <f>SUM(P594:P600)</f>
        <v>0</v>
      </c>
      <c r="Q601" s="39">
        <f t="shared" si="230"/>
        <v>0</v>
      </c>
      <c r="R601" s="37">
        <f t="shared" si="231"/>
        <v>0</v>
      </c>
    </row>
    <row r="602" spans="1:20" ht="16.5" customHeight="1" thickBot="1" x14ac:dyDescent="0.35">
      <c r="A602" s="277" t="s">
        <v>1221</v>
      </c>
      <c r="B602" s="45">
        <f>SUM(B591:B600)</f>
        <v>0</v>
      </c>
      <c r="C602" s="46">
        <f>SUM(C591:C600)</f>
        <v>0</v>
      </c>
      <c r="D602" s="58">
        <f>SUM(D591:D600)</f>
        <v>0</v>
      </c>
      <c r="E602" s="39">
        <f t="shared" si="227"/>
        <v>0</v>
      </c>
      <c r="F602" s="46">
        <f>SUM(F591:F600)</f>
        <v>0</v>
      </c>
      <c r="G602" s="46">
        <f>SUM(G591:G600)</f>
        <v>0</v>
      </c>
      <c r="H602" s="46">
        <f>SUM(H591:H600)</f>
        <v>0</v>
      </c>
      <c r="I602" s="39">
        <f t="shared" si="228"/>
        <v>0</v>
      </c>
      <c r="J602" s="46">
        <f>SUM(J591:J600)</f>
        <v>0</v>
      </c>
      <c r="K602" s="46">
        <f>SUM(K591:K600)</f>
        <v>0</v>
      </c>
      <c r="L602" s="46">
        <f>SUM(L591:L600)</f>
        <v>0</v>
      </c>
      <c r="M602" s="39">
        <f t="shared" si="229"/>
        <v>0</v>
      </c>
      <c r="N602" s="46">
        <f>SUM(N591:N600)</f>
        <v>0</v>
      </c>
      <c r="O602" s="46">
        <f>SUM(O591:O600)</f>
        <v>0</v>
      </c>
      <c r="P602" s="46">
        <f>SUM(P591:P600)</f>
        <v>0</v>
      </c>
      <c r="Q602" s="39">
        <f t="shared" si="230"/>
        <v>0</v>
      </c>
      <c r="R602" s="37">
        <f t="shared" si="231"/>
        <v>0</v>
      </c>
    </row>
    <row r="603" spans="1:20" ht="16.5" customHeight="1" thickBot="1" x14ac:dyDescent="0.35">
      <c r="A603" s="43" t="s">
        <v>1222</v>
      </c>
      <c r="B603" s="47">
        <f>+B579+B585+B590+B602</f>
        <v>60</v>
      </c>
      <c r="C603" s="42">
        <f>+C579+C585+C590+C602</f>
        <v>560</v>
      </c>
      <c r="D603" s="42">
        <f>+D579+D585+D590+D602</f>
        <v>1949</v>
      </c>
      <c r="E603" s="37">
        <f t="shared" si="227"/>
        <v>2569</v>
      </c>
      <c r="F603" s="42">
        <f>+F579+F585+F590+F602</f>
        <v>3548</v>
      </c>
      <c r="G603" s="42">
        <f>+G579+G585+G590+G602</f>
        <v>2349</v>
      </c>
      <c r="H603" s="42">
        <f>+H579+H585+H590+H602</f>
        <v>4448</v>
      </c>
      <c r="I603" s="37">
        <f t="shared" si="228"/>
        <v>10345</v>
      </c>
      <c r="J603" s="42">
        <f>+J579+J585+J590+J602</f>
        <v>4834</v>
      </c>
      <c r="K603" s="42">
        <f>+K579+K585+K590+K602</f>
        <v>3998</v>
      </c>
      <c r="L603" s="42">
        <f>+L579+L585+L590+L602</f>
        <v>1700</v>
      </c>
      <c r="M603" s="37">
        <f t="shared" si="229"/>
        <v>10532</v>
      </c>
      <c r="N603" s="42">
        <f>+N579+N585+N590+N602</f>
        <v>900</v>
      </c>
      <c r="O603" s="42">
        <f>+O579+O585+O590+O602</f>
        <v>200</v>
      </c>
      <c r="P603" s="42">
        <f>+P579+P585+P590+P602</f>
        <v>140</v>
      </c>
      <c r="Q603" s="37">
        <f t="shared" si="230"/>
        <v>1240</v>
      </c>
      <c r="R603" s="40">
        <f t="shared" si="231"/>
        <v>24686</v>
      </c>
    </row>
    <row r="604" spans="1:20" ht="16.5" customHeight="1" thickBot="1" x14ac:dyDescent="0.35">
      <c r="A604" s="299" t="s">
        <v>853</v>
      </c>
      <c r="B604" s="294">
        <v>23</v>
      </c>
      <c r="C604" s="294">
        <v>43</v>
      </c>
      <c r="D604" s="294">
        <v>66</v>
      </c>
      <c r="E604" s="40">
        <f t="shared" si="227"/>
        <v>132</v>
      </c>
      <c r="F604" s="294">
        <v>91</v>
      </c>
      <c r="G604" s="294">
        <v>108</v>
      </c>
      <c r="H604" s="294">
        <v>109</v>
      </c>
      <c r="I604" s="40">
        <f t="shared" si="228"/>
        <v>308</v>
      </c>
      <c r="J604" s="294">
        <v>104</v>
      </c>
      <c r="K604" s="294">
        <v>79</v>
      </c>
      <c r="L604" s="294">
        <v>80</v>
      </c>
      <c r="M604" s="40">
        <f t="shared" si="229"/>
        <v>263</v>
      </c>
      <c r="N604" s="294">
        <v>74</v>
      </c>
      <c r="O604" s="294">
        <v>58</v>
      </c>
      <c r="P604" s="294">
        <v>42</v>
      </c>
      <c r="Q604" s="40">
        <f t="shared" si="230"/>
        <v>174</v>
      </c>
      <c r="R604" s="38">
        <f t="shared" si="231"/>
        <v>877</v>
      </c>
    </row>
    <row r="605" spans="1:20" ht="16.5" customHeight="1" thickBot="1" x14ac:dyDescent="0.35">
      <c r="A605" s="22"/>
      <c r="B605" s="297"/>
      <c r="C605" s="297"/>
      <c r="D605" s="297"/>
      <c r="E605" s="21"/>
      <c r="F605" s="297"/>
      <c r="G605" s="297"/>
      <c r="H605" s="297"/>
      <c r="I605" s="31"/>
      <c r="J605" s="297"/>
      <c r="K605" s="297"/>
      <c r="L605" s="297"/>
      <c r="M605" s="31"/>
      <c r="N605" s="297"/>
      <c r="O605" s="297"/>
      <c r="P605" s="297"/>
      <c r="Q605" s="31"/>
      <c r="R605" s="21"/>
    </row>
    <row r="606" spans="1:20" ht="15.75" customHeight="1" x14ac:dyDescent="0.3">
      <c r="A606" s="234" t="s">
        <v>120</v>
      </c>
      <c r="B606" s="741">
        <f>SUM(B603:B604)</f>
        <v>83</v>
      </c>
      <c r="C606" s="741">
        <f>SUM(C603:C604)</f>
        <v>603</v>
      </c>
      <c r="D606" s="741">
        <f>SUM(D603:D604)</f>
        <v>2015</v>
      </c>
      <c r="E606" s="39">
        <f>SUM(B606:D606)</f>
        <v>2701</v>
      </c>
      <c r="F606" s="741">
        <f>SUM(F603:F604)</f>
        <v>3639</v>
      </c>
      <c r="G606" s="741">
        <f>SUM(G603:G604)</f>
        <v>2457</v>
      </c>
      <c r="H606" s="741">
        <f>SUM(H603:H604)</f>
        <v>4557</v>
      </c>
      <c r="I606" s="39">
        <f>SUM(F606:H606)</f>
        <v>10653</v>
      </c>
      <c r="J606" s="741">
        <f>SUM(J603:J604)</f>
        <v>4938</v>
      </c>
      <c r="K606" s="741">
        <f>SUM(K603:K604)</f>
        <v>4077</v>
      </c>
      <c r="L606" s="741">
        <f>SUM(L603:L604)</f>
        <v>1780</v>
      </c>
      <c r="M606" s="39">
        <f>SUM(J606:L606)</f>
        <v>10795</v>
      </c>
      <c r="N606" s="741">
        <f>SUM(N603:N604)</f>
        <v>974</v>
      </c>
      <c r="O606" s="741">
        <f>SUM(O603:O604)</f>
        <v>258</v>
      </c>
      <c r="P606" s="741">
        <f>SUM(P603:P604)</f>
        <v>182</v>
      </c>
      <c r="Q606" s="39">
        <f>SUM(N606:P606)</f>
        <v>1414</v>
      </c>
      <c r="R606" s="39">
        <f>+E606+I606+M606+Q606</f>
        <v>25563</v>
      </c>
    </row>
    <row r="607" spans="1:20" ht="15.75" customHeight="1" x14ac:dyDescent="0.3">
      <c r="A607" s="234" t="s">
        <v>1897</v>
      </c>
      <c r="B607" s="10">
        <f>(B606/B10)/1.983</f>
        <v>1.3501862606347501</v>
      </c>
      <c r="C607" s="10">
        <f>(C606/C10)/1.983</f>
        <v>10.860168575751025</v>
      </c>
      <c r="D607" s="10">
        <f>(D606/D10)/1.983</f>
        <v>32.778618255168936</v>
      </c>
      <c r="E607" s="38" t="s">
        <v>852</v>
      </c>
      <c r="F607" s="10">
        <f>(F606/F10)/1.983</f>
        <v>61.169944528492181</v>
      </c>
      <c r="G607" s="10">
        <f>(G606/G10)/1.983</f>
        <v>39.968766775657606</v>
      </c>
      <c r="H607" s="10">
        <f>(H606/H10)/1.983</f>
        <v>76.601109430156328</v>
      </c>
      <c r="I607" s="38" t="s">
        <v>852</v>
      </c>
      <c r="J607" s="10">
        <f>(J606/J10)/1.983</f>
        <v>80.327948855595125</v>
      </c>
      <c r="K607" s="10">
        <f>(K606/K10)/1.983</f>
        <v>66.321799814552733</v>
      </c>
      <c r="L607" s="10">
        <f>(L606/L10)/1.983</f>
        <v>29.92099512523113</v>
      </c>
      <c r="M607" s="38" t="s">
        <v>852</v>
      </c>
      <c r="N607" s="10">
        <f>(N606/N10)/1.983</f>
        <v>15.844354432027068</v>
      </c>
      <c r="O607" s="10">
        <f>(O606/O10)/1.983</f>
        <v>4.3368633383761974</v>
      </c>
      <c r="P607" s="10">
        <f>(P606/P10)/1.983</f>
        <v>2.960649390789452</v>
      </c>
      <c r="Q607" s="38" t="s">
        <v>852</v>
      </c>
      <c r="R607" s="38" t="s">
        <v>852</v>
      </c>
    </row>
    <row r="608" spans="1:20" ht="15.75" customHeight="1" x14ac:dyDescent="0.3">
      <c r="A608" s="234" t="s">
        <v>1433</v>
      </c>
      <c r="B608" s="10">
        <f>B606+B673</f>
        <v>15976</v>
      </c>
      <c r="C608" s="10">
        <f>C606+C673</f>
        <v>23856</v>
      </c>
      <c r="D608" s="10">
        <f>D606+D673</f>
        <v>29047</v>
      </c>
      <c r="E608" s="38">
        <f>SUM(B608:D608)</f>
        <v>68879</v>
      </c>
      <c r="F608" s="10">
        <f>F606+F673</f>
        <v>31081</v>
      </c>
      <c r="G608" s="10">
        <f>G606+G673</f>
        <v>31890</v>
      </c>
      <c r="H608" s="10">
        <f>H606+H673</f>
        <v>32824</v>
      </c>
      <c r="I608" s="38">
        <f>SUM(F608:H608)</f>
        <v>95795</v>
      </c>
      <c r="J608" s="10">
        <f>J606+J673</f>
        <v>32744</v>
      </c>
      <c r="K608" s="10">
        <f>K606+K673</f>
        <v>33026</v>
      </c>
      <c r="L608" s="10">
        <f>L606+L673</f>
        <v>26163</v>
      </c>
      <c r="M608" s="38">
        <f>SUM(J608:L608)</f>
        <v>91933</v>
      </c>
      <c r="N608" s="10">
        <f>N606+N673</f>
        <v>15452</v>
      </c>
      <c r="O608" s="10">
        <f>O606+O673</f>
        <v>5127</v>
      </c>
      <c r="P608" s="10">
        <f>P606+P673</f>
        <v>3102</v>
      </c>
      <c r="Q608" s="38">
        <f>SUM(N608:P608)</f>
        <v>23681</v>
      </c>
      <c r="R608" s="38">
        <f>+E608+I608+M608+Q608</f>
        <v>280288</v>
      </c>
    </row>
    <row r="609" spans="1:20" ht="16.5" customHeight="1" thickBot="1" x14ac:dyDescent="0.35">
      <c r="A609" s="237" t="s">
        <v>426</v>
      </c>
      <c r="B609" s="315">
        <f>(B608/B10)/1.983</f>
        <v>259.8864542156719</v>
      </c>
      <c r="C609" s="315">
        <f>(C608/C10)/1.983</f>
        <v>429.65204236006048</v>
      </c>
      <c r="D609" s="315">
        <f>(D608/D10)/1.983</f>
        <v>472.51638930912759</v>
      </c>
      <c r="E609" s="40" t="s">
        <v>852</v>
      </c>
      <c r="F609" s="315">
        <f>(F608/F10)/1.983</f>
        <v>522.45755589174644</v>
      </c>
      <c r="G609" s="315">
        <f>(G608/G10)/1.983</f>
        <v>518.764335561954</v>
      </c>
      <c r="H609" s="315">
        <f>(H608/H10)/1.983</f>
        <v>551.75659774752057</v>
      </c>
      <c r="I609" s="40" t="s">
        <v>852</v>
      </c>
      <c r="J609" s="315">
        <f>(J608/J10)/1.983</f>
        <v>532.6566134725814</v>
      </c>
      <c r="K609" s="315">
        <f>(K608/K10)/1.983</f>
        <v>537.24399329787059</v>
      </c>
      <c r="L609" s="315">
        <f>(L608/L10)/1.983</f>
        <v>439.78819969742813</v>
      </c>
      <c r="M609" s="40" t="s">
        <v>852</v>
      </c>
      <c r="N609" s="315">
        <f>(N608/N10)/1.983</f>
        <v>251.36238673889349</v>
      </c>
      <c r="O609" s="315">
        <f>(O608/O10)/1.983</f>
        <v>86.182551689359556</v>
      </c>
      <c r="P609" s="315">
        <f>(P608/P10)/1.983</f>
        <v>50.461178078180659</v>
      </c>
      <c r="Q609" s="40" t="s">
        <v>852</v>
      </c>
      <c r="R609" s="40" t="s">
        <v>852</v>
      </c>
    </row>
    <row r="610" spans="1:20" ht="15.75" customHeight="1" x14ac:dyDescent="0.3">
      <c r="A610" s="17"/>
      <c r="B610" s="10"/>
      <c r="C610" s="10"/>
      <c r="D610" s="10"/>
      <c r="E610" s="10"/>
      <c r="F610" s="10"/>
      <c r="G610" s="10"/>
      <c r="H610" s="10"/>
      <c r="I610" s="10"/>
      <c r="J610" s="10"/>
      <c r="K610" s="10"/>
      <c r="L610" s="10"/>
      <c r="M610" s="10"/>
      <c r="N610" s="10"/>
      <c r="O610" s="10"/>
      <c r="P610" s="10"/>
      <c r="Q610" s="10"/>
      <c r="R610" s="17"/>
    </row>
    <row r="611" spans="1:20" ht="15.75" customHeight="1" thickBot="1" x14ac:dyDescent="0.35">
      <c r="A611" s="17"/>
      <c r="B611" s="10"/>
      <c r="C611" s="10"/>
      <c r="D611" s="10"/>
      <c r="E611" s="10"/>
      <c r="F611" s="10"/>
      <c r="G611" s="10"/>
      <c r="H611" s="10"/>
      <c r="I611" s="10"/>
      <c r="J611" s="10"/>
      <c r="K611" s="10"/>
      <c r="L611" s="10"/>
      <c r="M611" s="10"/>
      <c r="N611" s="10"/>
      <c r="O611" s="10"/>
      <c r="P611" s="10"/>
      <c r="Q611" s="10"/>
      <c r="R611" s="17"/>
    </row>
    <row r="612" spans="1:20" ht="16.5" customHeight="1" thickBot="1" x14ac:dyDescent="0.35">
      <c r="A612" s="278" t="s">
        <v>1069</v>
      </c>
      <c r="B612" s="4" t="s">
        <v>2090</v>
      </c>
      <c r="C612" s="5" t="s">
        <v>2091</v>
      </c>
      <c r="D612" s="5" t="s">
        <v>2234</v>
      </c>
      <c r="E612" s="33" t="s">
        <v>1594</v>
      </c>
      <c r="F612" s="5" t="s">
        <v>2235</v>
      </c>
      <c r="G612" s="5" t="s">
        <v>2236</v>
      </c>
      <c r="H612" s="5" t="s">
        <v>2237</v>
      </c>
      <c r="I612" s="35" t="s">
        <v>1595</v>
      </c>
      <c r="J612" s="5" t="s">
        <v>1504</v>
      </c>
      <c r="K612" s="5" t="s">
        <v>1505</v>
      </c>
      <c r="L612" s="5" t="s">
        <v>1506</v>
      </c>
      <c r="M612" s="35" t="s">
        <v>1596</v>
      </c>
      <c r="N612" s="5" t="s">
        <v>1507</v>
      </c>
      <c r="O612" s="5" t="s">
        <v>1508</v>
      </c>
      <c r="P612" s="5" t="s">
        <v>1509</v>
      </c>
      <c r="Q612" s="35" t="s">
        <v>1597</v>
      </c>
      <c r="R612" s="36" t="s">
        <v>1510</v>
      </c>
    </row>
    <row r="613" spans="1:20" ht="16.5" customHeight="1" thickBot="1" x14ac:dyDescent="0.35">
      <c r="A613" s="37"/>
      <c r="B613" s="313"/>
      <c r="C613" s="313"/>
      <c r="D613" s="313"/>
      <c r="E613" s="308"/>
      <c r="F613" s="313"/>
      <c r="G613" s="313"/>
      <c r="H613" s="313"/>
      <c r="I613" s="316"/>
      <c r="J613" s="313"/>
      <c r="K613" s="313"/>
      <c r="L613" s="313"/>
      <c r="M613" s="316"/>
      <c r="N613" s="313"/>
      <c r="O613" s="313"/>
      <c r="P613" s="313"/>
      <c r="Q613" s="316"/>
      <c r="R613" s="52"/>
    </row>
    <row r="614" spans="1:20" ht="15.75" customHeight="1" x14ac:dyDescent="0.3">
      <c r="A614" s="234" t="s">
        <v>2417</v>
      </c>
      <c r="B614" s="10"/>
      <c r="C614" s="10"/>
      <c r="D614" s="10"/>
      <c r="E614" s="38" t="s">
        <v>852</v>
      </c>
      <c r="F614" s="10"/>
      <c r="G614" s="10"/>
      <c r="H614" s="10"/>
      <c r="I614" s="38" t="s">
        <v>852</v>
      </c>
      <c r="J614" s="10" t="s">
        <v>852</v>
      </c>
      <c r="K614" s="10" t="s">
        <v>852</v>
      </c>
      <c r="L614" s="10" t="s">
        <v>852</v>
      </c>
      <c r="M614" s="38" t="s">
        <v>852</v>
      </c>
      <c r="N614" s="10" t="s">
        <v>852</v>
      </c>
      <c r="O614" s="10" t="s">
        <v>852</v>
      </c>
      <c r="P614" s="10" t="s">
        <v>852</v>
      </c>
      <c r="Q614" s="38" t="s">
        <v>852</v>
      </c>
      <c r="R614" s="38" t="s">
        <v>852</v>
      </c>
    </row>
    <row r="615" spans="1:20" ht="15.75" customHeight="1" x14ac:dyDescent="0.3">
      <c r="A615" s="234" t="s">
        <v>2160</v>
      </c>
      <c r="B615" s="10"/>
      <c r="C615" s="10"/>
      <c r="D615" s="10"/>
      <c r="E615" s="38" t="s">
        <v>852</v>
      </c>
      <c r="F615" s="10"/>
      <c r="G615" s="10"/>
      <c r="H615" s="10"/>
      <c r="I615" s="38" t="s">
        <v>852</v>
      </c>
      <c r="J615" s="10"/>
      <c r="K615" s="10"/>
      <c r="L615" s="10"/>
      <c r="M615" s="38" t="s">
        <v>852</v>
      </c>
      <c r="N615" s="10"/>
      <c r="O615" s="10"/>
      <c r="P615" s="10"/>
      <c r="Q615" s="38" t="s">
        <v>852</v>
      </c>
      <c r="R615" s="38" t="s">
        <v>852</v>
      </c>
    </row>
    <row r="616" spans="1:20" ht="15.75" customHeight="1" x14ac:dyDescent="0.3">
      <c r="A616" s="310" t="s">
        <v>746</v>
      </c>
      <c r="B616" s="10"/>
      <c r="C616" s="10"/>
      <c r="D616" s="10">
        <v>299</v>
      </c>
      <c r="E616" s="38">
        <f t="shared" ref="E616" si="237">SUM(B616:D616)</f>
        <v>299</v>
      </c>
      <c r="F616" s="10"/>
      <c r="G616" s="10"/>
      <c r="H616" s="10"/>
      <c r="I616" s="38">
        <f t="shared" ref="I616" si="238">SUM(F616:H616)</f>
        <v>0</v>
      </c>
      <c r="J616" s="10"/>
      <c r="K616" s="10"/>
      <c r="L616" s="10"/>
      <c r="M616" s="38">
        <f t="shared" ref="M616" si="239">SUM(J616:L616)</f>
        <v>0</v>
      </c>
      <c r="N616" s="10"/>
      <c r="O616" s="10"/>
      <c r="P616" s="10"/>
      <c r="Q616" s="38">
        <f t="shared" ref="Q616:Q624" si="240">SUM(N616:P616)</f>
        <v>0</v>
      </c>
      <c r="R616" s="38">
        <f t="shared" ref="R616:R626" si="241">+E616+I616+M616+Q616</f>
        <v>299</v>
      </c>
    </row>
    <row r="617" spans="1:20" ht="15.75" customHeight="1" x14ac:dyDescent="0.3">
      <c r="A617" s="310" t="s">
        <v>639</v>
      </c>
      <c r="B617" s="10">
        <v>200</v>
      </c>
      <c r="C617" s="10">
        <v>300</v>
      </c>
      <c r="D617" s="10">
        <v>500</v>
      </c>
      <c r="E617" s="38">
        <f>SUM(B617:D617)</f>
        <v>1000</v>
      </c>
      <c r="F617" s="10">
        <v>200</v>
      </c>
      <c r="G617" s="10">
        <v>200</v>
      </c>
      <c r="H617" s="10">
        <v>200</v>
      </c>
      <c r="I617" s="38">
        <f>SUM(F617:H617)</f>
        <v>600</v>
      </c>
      <c r="J617" s="10">
        <v>200</v>
      </c>
      <c r="K617" s="10">
        <v>200</v>
      </c>
      <c r="L617" s="10"/>
      <c r="M617" s="38">
        <f>SUM(J617:L617)</f>
        <v>400</v>
      </c>
      <c r="N617" s="10"/>
      <c r="O617" s="10"/>
      <c r="P617" s="10"/>
      <c r="Q617" s="38">
        <f>SUM(N617:P617)</f>
        <v>0</v>
      </c>
      <c r="R617" s="38">
        <f>+E617+I617+M617+Q617</f>
        <v>2000</v>
      </c>
    </row>
    <row r="618" spans="1:20" ht="15.75" customHeight="1" x14ac:dyDescent="0.3">
      <c r="A618" s="310" t="s">
        <v>1185</v>
      </c>
      <c r="B618" s="10"/>
      <c r="C618" s="10"/>
      <c r="D618" s="10">
        <v>1000</v>
      </c>
      <c r="E618" s="38">
        <f t="shared" ref="E618" si="242">SUM(B618:D618)</f>
        <v>1000</v>
      </c>
      <c r="F618" s="10">
        <v>1000</v>
      </c>
      <c r="G618" s="10">
        <v>1000</v>
      </c>
      <c r="H618" s="10">
        <v>1000</v>
      </c>
      <c r="I618" s="38">
        <f t="shared" ref="I618" si="243">SUM(F618:H618)</f>
        <v>3000</v>
      </c>
      <c r="J618" s="10">
        <v>1000</v>
      </c>
      <c r="K618" s="10">
        <v>960</v>
      </c>
      <c r="L618" s="10"/>
      <c r="M618" s="38">
        <f t="shared" ref="M618" si="244">SUM(J618:L618)</f>
        <v>1960</v>
      </c>
      <c r="N618" s="10"/>
      <c r="O618" s="10"/>
      <c r="P618" s="10"/>
      <c r="Q618" s="38">
        <f t="shared" si="240"/>
        <v>0</v>
      </c>
      <c r="R618" s="38">
        <f t="shared" si="241"/>
        <v>5960</v>
      </c>
      <c r="T618" t="s">
        <v>2763</v>
      </c>
    </row>
    <row r="619" spans="1:20" ht="15.75" customHeight="1" x14ac:dyDescent="0.3">
      <c r="A619" s="310" t="s">
        <v>745</v>
      </c>
      <c r="B619" s="10"/>
      <c r="C619" s="10"/>
      <c r="D619" s="10"/>
      <c r="E619" s="38">
        <f>SUM(B619:D619)</f>
        <v>0</v>
      </c>
      <c r="F619" s="10"/>
      <c r="G619" s="10"/>
      <c r="H619" s="10"/>
      <c r="I619" s="38">
        <f>SUM(F619:H619)</f>
        <v>0</v>
      </c>
      <c r="J619" s="10"/>
      <c r="K619" s="10"/>
      <c r="L619" s="10"/>
      <c r="M619" s="38">
        <f>SUM(J619:L619)</f>
        <v>0</v>
      </c>
      <c r="N619" s="10"/>
      <c r="O619" s="10"/>
      <c r="P619" s="10"/>
      <c r="Q619" s="38">
        <f>SUM(N619:P619)</f>
        <v>0</v>
      </c>
      <c r="R619" s="38">
        <f>+E619+I619+M619+Q619</f>
        <v>0</v>
      </c>
      <c r="T619" t="s">
        <v>2766</v>
      </c>
    </row>
    <row r="620" spans="1:20" ht="15.75" customHeight="1" x14ac:dyDescent="0.3">
      <c r="A620" s="310" t="s">
        <v>484</v>
      </c>
      <c r="B620" s="10">
        <v>300</v>
      </c>
      <c r="C620" s="10">
        <v>300</v>
      </c>
      <c r="D620" s="10">
        <v>300</v>
      </c>
      <c r="E620" s="38">
        <f t="shared" ref="E620" si="245">SUM(B620:D620)</f>
        <v>900</v>
      </c>
      <c r="F620" s="10">
        <v>300</v>
      </c>
      <c r="G620" s="10">
        <v>300</v>
      </c>
      <c r="H620" s="10">
        <v>300</v>
      </c>
      <c r="I620" s="38">
        <f t="shared" ref="I620" si="246">SUM(F620:H620)</f>
        <v>900</v>
      </c>
      <c r="J620" s="10">
        <v>300</v>
      </c>
      <c r="K620" s="10">
        <v>300</v>
      </c>
      <c r="L620" s="10">
        <v>300</v>
      </c>
      <c r="M620" s="38">
        <f t="shared" ref="M620" si="247">SUM(J620:L620)</f>
        <v>900</v>
      </c>
      <c r="N620" s="10">
        <v>300</v>
      </c>
      <c r="O620" s="10">
        <v>305</v>
      </c>
      <c r="P620" s="10"/>
      <c r="Q620" s="38">
        <f t="shared" si="240"/>
        <v>605</v>
      </c>
      <c r="R620" s="38">
        <f t="shared" si="241"/>
        <v>3305</v>
      </c>
      <c r="T620" t="s">
        <v>2766</v>
      </c>
    </row>
    <row r="621" spans="1:20" ht="15.75" customHeight="1" x14ac:dyDescent="0.3">
      <c r="A621" s="539" t="s">
        <v>2982</v>
      </c>
      <c r="B621" s="10">
        <v>635</v>
      </c>
      <c r="C621" s="10">
        <v>635</v>
      </c>
      <c r="D621" s="10">
        <v>635</v>
      </c>
      <c r="E621" s="38">
        <f>SUM(B621:D621)</f>
        <v>1905</v>
      </c>
      <c r="F621" s="356">
        <v>635</v>
      </c>
      <c r="G621" s="356">
        <v>635</v>
      </c>
      <c r="H621" s="10">
        <v>325</v>
      </c>
      <c r="I621" s="38">
        <f>SUM(F621:H621)</f>
        <v>1595</v>
      </c>
      <c r="J621" s="10"/>
      <c r="K621" s="10"/>
      <c r="L621" s="10"/>
      <c r="M621" s="38">
        <f>SUM(J621:L621)</f>
        <v>0</v>
      </c>
      <c r="N621" s="10"/>
      <c r="O621" s="10"/>
      <c r="P621" s="10"/>
      <c r="Q621" s="38">
        <f>SUM(N621:P621)</f>
        <v>0</v>
      </c>
      <c r="R621" s="38">
        <f t="shared" si="241"/>
        <v>3500</v>
      </c>
    </row>
    <row r="622" spans="1:20" ht="15.75" customHeight="1" x14ac:dyDescent="0.3">
      <c r="A622" s="310" t="s">
        <v>1836</v>
      </c>
      <c r="B622" s="10"/>
      <c r="C622" s="10"/>
      <c r="D622" s="10"/>
      <c r="E622" s="38">
        <f t="shared" ref="E622:E626" si="248">SUM(B622:D622)</f>
        <v>0</v>
      </c>
      <c r="F622" s="10"/>
      <c r="G622" s="10"/>
      <c r="H622" s="10"/>
      <c r="I622" s="38">
        <f t="shared" ref="I622:I626" si="249">SUM(F622:H622)</f>
        <v>0</v>
      </c>
      <c r="J622" s="10">
        <v>2800</v>
      </c>
      <c r="K622" s="10"/>
      <c r="L622" s="10"/>
      <c r="M622" s="38">
        <f t="shared" ref="M622:M626" si="250">SUM(J622:L622)</f>
        <v>2800</v>
      </c>
      <c r="N622" s="10"/>
      <c r="O622" s="10"/>
      <c r="P622" s="10"/>
      <c r="Q622" s="38">
        <f t="shared" si="240"/>
        <v>0</v>
      </c>
      <c r="R622" s="38">
        <f t="shared" si="241"/>
        <v>2800</v>
      </c>
      <c r="T622" t="s">
        <v>2766</v>
      </c>
    </row>
    <row r="623" spans="1:20" ht="15.75" customHeight="1" x14ac:dyDescent="0.3">
      <c r="A623" s="539" t="s">
        <v>3047</v>
      </c>
      <c r="B623" s="10"/>
      <c r="C623" s="10"/>
      <c r="D623" s="10">
        <v>300</v>
      </c>
      <c r="E623" s="38">
        <f t="shared" si="248"/>
        <v>300</v>
      </c>
      <c r="F623" s="10">
        <v>436</v>
      </c>
      <c r="G623" s="10">
        <v>400</v>
      </c>
      <c r="H623" s="10">
        <v>400</v>
      </c>
      <c r="I623" s="38">
        <f t="shared" si="249"/>
        <v>1236</v>
      </c>
      <c r="J623" s="10">
        <v>400</v>
      </c>
      <c r="K623" s="10">
        <v>400</v>
      </c>
      <c r="L623" s="10"/>
      <c r="M623" s="38">
        <f t="shared" si="250"/>
        <v>800</v>
      </c>
      <c r="N623" s="10"/>
      <c r="O623" s="10"/>
      <c r="P623" s="10"/>
      <c r="Q623" s="38">
        <f>SUM(N623:P623)</f>
        <v>0</v>
      </c>
      <c r="R623" s="38">
        <f>+E623+I623+M623+Q623</f>
        <v>2336</v>
      </c>
    </row>
    <row r="624" spans="1:20" ht="15.75" customHeight="1" x14ac:dyDescent="0.3">
      <c r="A624" s="539" t="s">
        <v>1295</v>
      </c>
      <c r="B624" s="10"/>
      <c r="C624" s="10">
        <v>515</v>
      </c>
      <c r="D624" s="10"/>
      <c r="E624" s="38">
        <f t="shared" si="248"/>
        <v>515</v>
      </c>
      <c r="F624" s="10"/>
      <c r="G624" s="10"/>
      <c r="H624" s="10"/>
      <c r="I624" s="38">
        <f t="shared" si="249"/>
        <v>0</v>
      </c>
      <c r="J624" s="10"/>
      <c r="K624" s="10"/>
      <c r="L624" s="10"/>
      <c r="M624" s="38">
        <f t="shared" si="250"/>
        <v>0</v>
      </c>
      <c r="N624" s="10"/>
      <c r="O624" s="10"/>
      <c r="P624" s="10"/>
      <c r="Q624" s="38">
        <f t="shared" si="240"/>
        <v>0</v>
      </c>
      <c r="R624" s="38">
        <f t="shared" si="241"/>
        <v>515</v>
      </c>
      <c r="T624" t="s">
        <v>2766</v>
      </c>
    </row>
    <row r="625" spans="1:20" ht="15.75" customHeight="1" x14ac:dyDescent="0.3">
      <c r="A625" s="539" t="s">
        <v>3338</v>
      </c>
      <c r="B625" s="10"/>
      <c r="C625" s="10">
        <v>250</v>
      </c>
      <c r="D625" s="10">
        <v>400</v>
      </c>
      <c r="E625" s="38">
        <f t="shared" si="248"/>
        <v>650</v>
      </c>
      <c r="F625" s="10">
        <v>650</v>
      </c>
      <c r="G625" s="10">
        <v>700</v>
      </c>
      <c r="H625" s="10">
        <v>340</v>
      </c>
      <c r="I625" s="38">
        <f t="shared" si="249"/>
        <v>1690</v>
      </c>
      <c r="J625" s="10">
        <v>380</v>
      </c>
      <c r="K625" s="10">
        <v>67</v>
      </c>
      <c r="L625" s="10"/>
      <c r="M625" s="38">
        <f t="shared" si="250"/>
        <v>447</v>
      </c>
      <c r="N625" s="10"/>
      <c r="O625" s="10"/>
      <c r="P625" s="10"/>
      <c r="Q625" s="38">
        <f t="shared" ref="Q625" si="251">SUM(N625:P625)</f>
        <v>0</v>
      </c>
      <c r="R625" s="38">
        <f t="shared" si="241"/>
        <v>2787</v>
      </c>
    </row>
    <row r="626" spans="1:20" ht="15.75" customHeight="1" x14ac:dyDescent="0.3">
      <c r="A626" s="539" t="s">
        <v>3331</v>
      </c>
      <c r="B626" s="10"/>
      <c r="C626" s="10"/>
      <c r="D626" s="10"/>
      <c r="E626" s="38">
        <f t="shared" si="248"/>
        <v>0</v>
      </c>
      <c r="F626" s="10"/>
      <c r="G626" s="10"/>
      <c r="H626" s="10">
        <v>500</v>
      </c>
      <c r="I626" s="38">
        <f t="shared" si="249"/>
        <v>500</v>
      </c>
      <c r="J626" s="10"/>
      <c r="K626" s="10"/>
      <c r="L626" s="10"/>
      <c r="M626" s="38">
        <f t="shared" si="250"/>
        <v>0</v>
      </c>
      <c r="N626" s="10"/>
      <c r="O626" s="10"/>
      <c r="P626" s="10"/>
      <c r="Q626" s="38">
        <f t="shared" ref="Q626" si="252">SUM(N626:P626)</f>
        <v>0</v>
      </c>
      <c r="R626" s="38">
        <f t="shared" si="241"/>
        <v>500</v>
      </c>
    </row>
    <row r="627" spans="1:20" ht="15.75" customHeight="1" x14ac:dyDescent="0.3">
      <c r="A627" s="539" t="s">
        <v>3321</v>
      </c>
      <c r="B627" s="10">
        <v>2217</v>
      </c>
      <c r="C627" s="10">
        <v>2762</v>
      </c>
      <c r="D627" s="10">
        <v>2995</v>
      </c>
      <c r="E627" s="38">
        <f>SUM(B627:D627)</f>
        <v>7974</v>
      </c>
      <c r="F627" s="10">
        <v>2161</v>
      </c>
      <c r="G627" s="10">
        <v>2459</v>
      </c>
      <c r="H627" s="10">
        <v>2500</v>
      </c>
      <c r="I627" s="38">
        <f>SUM(F627:H627)</f>
        <v>7120</v>
      </c>
      <c r="J627" s="10"/>
      <c r="K627" s="10">
        <v>2406</v>
      </c>
      <c r="L627" s="10">
        <v>1500</v>
      </c>
      <c r="M627" s="38">
        <f>SUM(J627:L627)</f>
        <v>3906</v>
      </c>
      <c r="N627" s="10">
        <v>1000</v>
      </c>
      <c r="O627" s="10"/>
      <c r="P627" s="10"/>
      <c r="Q627" s="38">
        <f>SUM(N627:P627)</f>
        <v>1000</v>
      </c>
      <c r="R627" s="38">
        <f>+E627+I627+M627+Q627</f>
        <v>20000</v>
      </c>
      <c r="T627" t="s">
        <v>2763</v>
      </c>
    </row>
    <row r="628" spans="1:20" ht="15.75" customHeight="1" x14ac:dyDescent="0.3">
      <c r="A628" s="234" t="s">
        <v>2161</v>
      </c>
      <c r="B628" s="10"/>
      <c r="C628" s="10"/>
      <c r="D628" s="10"/>
      <c r="E628" s="38" t="s">
        <v>852</v>
      </c>
      <c r="F628" s="10"/>
      <c r="G628" s="10"/>
      <c r="H628" s="10"/>
      <c r="I628" s="38" t="s">
        <v>852</v>
      </c>
      <c r="J628" s="10"/>
      <c r="K628" s="10"/>
      <c r="L628" s="10"/>
      <c r="M628" s="38" t="s">
        <v>852</v>
      </c>
      <c r="N628" s="10"/>
      <c r="O628" s="10"/>
      <c r="P628" s="10"/>
      <c r="Q628" s="38" t="s">
        <v>852</v>
      </c>
      <c r="R628" s="38" t="s">
        <v>852</v>
      </c>
    </row>
    <row r="629" spans="1:20" ht="15.75" customHeight="1" x14ac:dyDescent="0.3">
      <c r="A629" s="310" t="s">
        <v>1295</v>
      </c>
      <c r="B629" s="10"/>
      <c r="C629" s="10"/>
      <c r="D629" s="10"/>
      <c r="E629" s="38">
        <f>SUM(B629:D629)</f>
        <v>0</v>
      </c>
      <c r="F629" s="10"/>
      <c r="G629" s="10"/>
      <c r="H629" s="10"/>
      <c r="I629" s="38">
        <f>SUM(F629:H629)</f>
        <v>0</v>
      </c>
      <c r="J629" s="10"/>
      <c r="K629" s="10"/>
      <c r="L629" s="10"/>
      <c r="M629" s="38">
        <f>SUM(J629:L629)</f>
        <v>0</v>
      </c>
      <c r="N629" s="10"/>
      <c r="O629" s="10"/>
      <c r="P629" s="10"/>
      <c r="Q629" s="38">
        <f>SUM(N629:P629)</f>
        <v>0</v>
      </c>
      <c r="R629" s="38">
        <f>+E629+I629+M629+Q629</f>
        <v>0</v>
      </c>
      <c r="T629" t="s">
        <v>2766</v>
      </c>
    </row>
    <row r="630" spans="1:20" ht="15.75" customHeight="1" x14ac:dyDescent="0.3">
      <c r="A630" s="234" t="s">
        <v>3245</v>
      </c>
      <c r="B630" s="10"/>
      <c r="C630" s="10"/>
      <c r="D630" s="10"/>
      <c r="E630" s="38" t="s">
        <v>852</v>
      </c>
      <c r="F630" s="10"/>
      <c r="G630" s="10"/>
      <c r="H630" s="10"/>
      <c r="I630" s="38" t="s">
        <v>852</v>
      </c>
      <c r="J630" s="10"/>
      <c r="K630" s="10"/>
      <c r="L630" s="10"/>
      <c r="M630" s="38" t="s">
        <v>852</v>
      </c>
      <c r="N630" s="10"/>
      <c r="O630" s="10"/>
      <c r="P630" s="10"/>
      <c r="Q630" s="38" t="s">
        <v>852</v>
      </c>
      <c r="R630" s="38" t="s">
        <v>852</v>
      </c>
    </row>
    <row r="631" spans="1:20" ht="15.75" customHeight="1" x14ac:dyDescent="0.3">
      <c r="A631" s="539" t="s">
        <v>3264</v>
      </c>
      <c r="B631" s="10"/>
      <c r="C631" s="10"/>
      <c r="D631" s="10"/>
      <c r="E631" s="38">
        <f>SUM(B631:D631)</f>
        <v>0</v>
      </c>
      <c r="F631" s="10"/>
      <c r="G631" s="10"/>
      <c r="H631" s="10"/>
      <c r="I631" s="38">
        <f>SUM(F631:H631)</f>
        <v>0</v>
      </c>
      <c r="J631" s="10"/>
      <c r="K631" s="10"/>
      <c r="L631" s="10"/>
      <c r="M631" s="38">
        <f>SUM(J631:L631)</f>
        <v>0</v>
      </c>
      <c r="N631" s="10"/>
      <c r="O631" s="10"/>
      <c r="P631" s="10"/>
      <c r="Q631" s="38">
        <f>SUM(N631:P631)</f>
        <v>0</v>
      </c>
      <c r="R631" s="38">
        <f>+E631+I631+M631+Q631</f>
        <v>0</v>
      </c>
      <c r="S631" s="735" t="s">
        <v>3214</v>
      </c>
      <c r="T631" t="s">
        <v>2766</v>
      </c>
    </row>
    <row r="632" spans="1:20" ht="15.75" customHeight="1" thickBot="1" x14ac:dyDescent="0.35">
      <c r="A632" s="234" t="s">
        <v>2164</v>
      </c>
      <c r="B632" s="10"/>
      <c r="C632" s="10"/>
      <c r="D632" s="10"/>
      <c r="E632" s="38" t="s">
        <v>852</v>
      </c>
      <c r="F632" s="10"/>
      <c r="G632" s="10"/>
      <c r="H632" s="10"/>
      <c r="I632" s="38" t="s">
        <v>852</v>
      </c>
      <c r="J632" s="10"/>
      <c r="K632" s="10"/>
      <c r="L632" s="10"/>
      <c r="M632" s="38" t="s">
        <v>852</v>
      </c>
      <c r="N632" s="10"/>
      <c r="O632" s="10"/>
      <c r="P632" s="10"/>
      <c r="Q632" s="38" t="s">
        <v>852</v>
      </c>
      <c r="R632" s="38" t="s">
        <v>852</v>
      </c>
    </row>
    <row r="633" spans="1:20" ht="16.5" customHeight="1" thickBot="1" x14ac:dyDescent="0.35">
      <c r="A633" s="322" t="s">
        <v>1218</v>
      </c>
      <c r="B633" s="45">
        <f>SUM(B614:B632)</f>
        <v>3352</v>
      </c>
      <c r="C633" s="46">
        <f>SUM(C614:C632)</f>
        <v>4762</v>
      </c>
      <c r="D633" s="46">
        <f>SUM(D614:D632)</f>
        <v>6429</v>
      </c>
      <c r="E633" s="37">
        <f>SUM(B633:D633)</f>
        <v>14543</v>
      </c>
      <c r="F633" s="46">
        <f>SUM(F614:F632)</f>
        <v>5382</v>
      </c>
      <c r="G633" s="46">
        <f>SUM(G614:G632)</f>
        <v>5694</v>
      </c>
      <c r="H633" s="46">
        <f>SUM(H614:H632)</f>
        <v>5565</v>
      </c>
      <c r="I633" s="37">
        <f>SUM(F633:H633)</f>
        <v>16641</v>
      </c>
      <c r="J633" s="46">
        <f>SUM(J614:J632)</f>
        <v>5080</v>
      </c>
      <c r="K633" s="46">
        <f>SUM(K614:K632)</f>
        <v>4333</v>
      </c>
      <c r="L633" s="46">
        <f>SUM(L614:L632)</f>
        <v>1800</v>
      </c>
      <c r="M633" s="37">
        <f>SUM(J633:L633)</f>
        <v>11213</v>
      </c>
      <c r="N633" s="46">
        <f>SUM(N614:N632)</f>
        <v>1300</v>
      </c>
      <c r="O633" s="46">
        <f>SUM(O614:O632)</f>
        <v>305</v>
      </c>
      <c r="P633" s="46">
        <f>SUM(P614:P632)</f>
        <v>0</v>
      </c>
      <c r="Q633" s="37">
        <f>SUM(N633:P633)</f>
        <v>1605</v>
      </c>
      <c r="R633" s="37">
        <f>+E633+I633+M633+Q633</f>
        <v>44002</v>
      </c>
    </row>
    <row r="634" spans="1:20" ht="15.75" customHeight="1" x14ac:dyDescent="0.3">
      <c r="A634" s="234" t="s">
        <v>1172</v>
      </c>
      <c r="B634" s="10"/>
      <c r="C634" s="10"/>
      <c r="D634" s="10"/>
      <c r="E634" s="38" t="s">
        <v>852</v>
      </c>
      <c r="F634" s="10"/>
      <c r="G634" s="10"/>
      <c r="H634" s="10"/>
      <c r="I634" s="38" t="s">
        <v>852</v>
      </c>
      <c r="J634" s="10"/>
      <c r="K634" s="10"/>
      <c r="L634" s="10"/>
      <c r="M634" s="38" t="s">
        <v>852</v>
      </c>
      <c r="N634" s="10"/>
      <c r="O634" s="10"/>
      <c r="P634" s="10"/>
      <c r="Q634" s="38" t="s">
        <v>852</v>
      </c>
      <c r="R634" s="38" t="s">
        <v>852</v>
      </c>
    </row>
    <row r="635" spans="1:20" ht="15.75" customHeight="1" x14ac:dyDescent="0.3">
      <c r="A635" s="234" t="s">
        <v>2409</v>
      </c>
      <c r="B635" s="10"/>
      <c r="C635" s="10"/>
      <c r="D635" s="10"/>
      <c r="E635" s="38" t="s">
        <v>852</v>
      </c>
      <c r="F635" s="10"/>
      <c r="G635" s="10"/>
      <c r="H635" s="10"/>
      <c r="I635" s="38" t="s">
        <v>852</v>
      </c>
      <c r="J635" s="10"/>
      <c r="K635" s="10"/>
      <c r="L635" s="10"/>
      <c r="M635" s="38" t="s">
        <v>852</v>
      </c>
      <c r="N635" s="10"/>
      <c r="O635" s="10"/>
      <c r="P635" s="10"/>
      <c r="Q635" s="38" t="s">
        <v>852</v>
      </c>
      <c r="R635" s="38" t="s">
        <v>852</v>
      </c>
    </row>
    <row r="636" spans="1:20" ht="15.75" customHeight="1" x14ac:dyDescent="0.3">
      <c r="A636" s="310" t="s">
        <v>2478</v>
      </c>
      <c r="B636" s="10"/>
      <c r="C636" s="10"/>
      <c r="D636" s="10"/>
      <c r="E636" s="38">
        <f>SUM(B636:D636)</f>
        <v>0</v>
      </c>
      <c r="F636" s="10"/>
      <c r="G636" s="10"/>
      <c r="H636" s="10"/>
      <c r="I636" s="38">
        <f>SUM(F636:H636)</f>
        <v>0</v>
      </c>
      <c r="J636" s="10"/>
      <c r="K636" s="10"/>
      <c r="L636" s="10"/>
      <c r="M636" s="38">
        <f>SUM(J636:L636)</f>
        <v>0</v>
      </c>
      <c r="N636" s="10"/>
      <c r="O636" s="10"/>
      <c r="P636" s="10"/>
      <c r="Q636" s="38">
        <f>SUM(N636:P636)</f>
        <v>0</v>
      </c>
      <c r="R636" s="38">
        <f>+E636+I636+M636+Q636</f>
        <v>0</v>
      </c>
    </row>
    <row r="637" spans="1:20" ht="15.75" customHeight="1" x14ac:dyDescent="0.3">
      <c r="A637" s="310" t="s">
        <v>1958</v>
      </c>
      <c r="B637" s="10"/>
      <c r="C637" s="10"/>
      <c r="D637" s="10"/>
      <c r="E637" s="38">
        <f>SUM(B637:D637)</f>
        <v>0</v>
      </c>
      <c r="F637" s="10"/>
      <c r="G637" s="10"/>
      <c r="H637" s="10"/>
      <c r="I637" s="38">
        <f>SUM(F637:H637)</f>
        <v>0</v>
      </c>
      <c r="J637" s="10"/>
      <c r="K637" s="10"/>
      <c r="L637" s="10"/>
      <c r="M637" s="38">
        <f>SUM(J637:L637)</f>
        <v>0</v>
      </c>
      <c r="N637" s="10"/>
      <c r="O637" s="10"/>
      <c r="P637" s="10"/>
      <c r="Q637" s="38">
        <f>SUM(N637:P637)</f>
        <v>0</v>
      </c>
      <c r="R637" s="38">
        <f>+E637+I637+M637+Q637</f>
        <v>0</v>
      </c>
    </row>
    <row r="638" spans="1:20" ht="15.75" customHeight="1" thickBot="1" x14ac:dyDescent="0.35">
      <c r="A638" s="234" t="s">
        <v>2165</v>
      </c>
      <c r="B638" s="10"/>
      <c r="C638" s="10"/>
      <c r="D638" s="10"/>
      <c r="E638" s="38" t="s">
        <v>852</v>
      </c>
      <c r="F638" s="10"/>
      <c r="G638" s="10"/>
      <c r="H638" s="10"/>
      <c r="I638" s="38" t="s">
        <v>852</v>
      </c>
      <c r="J638" s="10"/>
      <c r="K638" s="10"/>
      <c r="L638" s="10"/>
      <c r="M638" s="38" t="s">
        <v>852</v>
      </c>
      <c r="N638" s="10"/>
      <c r="O638" s="10"/>
      <c r="P638" s="10"/>
      <c r="Q638" s="38" t="s">
        <v>852</v>
      </c>
      <c r="R638" s="38" t="s">
        <v>852</v>
      </c>
    </row>
    <row r="639" spans="1:20" ht="16.5" customHeight="1" thickBot="1" x14ac:dyDescent="0.35">
      <c r="A639" s="43" t="s">
        <v>1219</v>
      </c>
      <c r="B639" s="45">
        <f>SUM(B634:B638)</f>
        <v>0</v>
      </c>
      <c r="C639" s="46">
        <f>SUM(C634:C638)</f>
        <v>0</v>
      </c>
      <c r="D639" s="46">
        <f>SUM(D634:D638)</f>
        <v>0</v>
      </c>
      <c r="E639" s="37">
        <f>SUM(B639:D639)</f>
        <v>0</v>
      </c>
      <c r="F639" s="46">
        <f>SUM(F634:F638)</f>
        <v>0</v>
      </c>
      <c r="G639" s="46">
        <f>SUM(G634:G638)</f>
        <v>0</v>
      </c>
      <c r="H639" s="46">
        <f>SUM(H634:H638)</f>
        <v>0</v>
      </c>
      <c r="I639" s="37">
        <f>SUM(F639:H639)</f>
        <v>0</v>
      </c>
      <c r="J639" s="46">
        <f>SUM(J634:J638)</f>
        <v>0</v>
      </c>
      <c r="K639" s="46">
        <f>SUM(K634:K638)</f>
        <v>0</v>
      </c>
      <c r="L639" s="46">
        <f>SUM(L634:L638)</f>
        <v>0</v>
      </c>
      <c r="M639" s="37">
        <f>SUM(J639:L639)</f>
        <v>0</v>
      </c>
      <c r="N639" s="46">
        <f>SUM(N634:N638)</f>
        <v>0</v>
      </c>
      <c r="O639" s="46">
        <f>SUM(O634:O638)</f>
        <v>0</v>
      </c>
      <c r="P639" s="46">
        <f>SUM(P634:P638)</f>
        <v>0</v>
      </c>
      <c r="Q639" s="37">
        <f>SUM(N639:P639)</f>
        <v>0</v>
      </c>
      <c r="R639" s="37">
        <f>+E639+I639+M639+Q639</f>
        <v>0</v>
      </c>
    </row>
    <row r="640" spans="1:20" ht="15.75" customHeight="1" x14ac:dyDescent="0.3">
      <c r="A640" s="234" t="s">
        <v>2166</v>
      </c>
      <c r="B640" s="10"/>
      <c r="C640" s="10"/>
      <c r="D640" s="10"/>
      <c r="E640" s="38" t="s">
        <v>852</v>
      </c>
      <c r="F640" s="10"/>
      <c r="G640" s="10"/>
      <c r="H640" s="10"/>
      <c r="I640" s="38" t="s">
        <v>852</v>
      </c>
      <c r="J640" s="10"/>
      <c r="K640" s="10"/>
      <c r="L640" s="10"/>
      <c r="M640" s="38" t="s">
        <v>852</v>
      </c>
      <c r="N640" s="10"/>
      <c r="O640" s="10"/>
      <c r="P640" s="10"/>
      <c r="Q640" s="38" t="s">
        <v>852</v>
      </c>
      <c r="R640" s="38" t="s">
        <v>852</v>
      </c>
    </row>
    <row r="641" spans="1:20" ht="15.75" customHeight="1" x14ac:dyDescent="0.3">
      <c r="A641" s="234" t="s">
        <v>1245</v>
      </c>
      <c r="B641" s="10"/>
      <c r="C641" s="10"/>
      <c r="D641" s="10"/>
      <c r="E641" s="38" t="s">
        <v>852</v>
      </c>
      <c r="F641" s="10"/>
      <c r="G641" s="10"/>
      <c r="H641" s="10"/>
      <c r="I641" s="38" t="s">
        <v>852</v>
      </c>
      <c r="J641" s="10"/>
      <c r="K641" s="10"/>
      <c r="L641" s="10"/>
      <c r="M641" s="38" t="s">
        <v>852</v>
      </c>
      <c r="N641" s="10"/>
      <c r="O641" s="10"/>
      <c r="P641" s="10"/>
      <c r="Q641" s="38" t="s">
        <v>852</v>
      </c>
      <c r="R641" s="38" t="s">
        <v>852</v>
      </c>
    </row>
    <row r="642" spans="1:20" ht="15.75" customHeight="1" x14ac:dyDescent="0.3">
      <c r="A642" s="234" t="s">
        <v>1711</v>
      </c>
      <c r="B642" s="10"/>
      <c r="C642" s="10"/>
      <c r="D642" s="10"/>
      <c r="E642" s="38" t="s">
        <v>852</v>
      </c>
      <c r="F642" s="10"/>
      <c r="G642" s="10"/>
      <c r="H642" s="10"/>
      <c r="I642" s="38" t="s">
        <v>852</v>
      </c>
      <c r="J642" s="10"/>
      <c r="K642" s="10"/>
      <c r="L642" s="10"/>
      <c r="M642" s="38" t="s">
        <v>852</v>
      </c>
      <c r="N642" s="10"/>
      <c r="O642" s="10"/>
      <c r="P642" s="10"/>
      <c r="Q642" s="38" t="s">
        <v>852</v>
      </c>
      <c r="R642" s="38" t="s">
        <v>852</v>
      </c>
    </row>
    <row r="643" spans="1:20" ht="15.75" customHeight="1" x14ac:dyDescent="0.3">
      <c r="A643" s="539" t="s">
        <v>3202</v>
      </c>
      <c r="B643" s="10"/>
      <c r="C643" s="10"/>
      <c r="D643" s="10"/>
      <c r="E643" s="38">
        <f t="shared" ref="E643:E645" si="253">SUM(B643:D643)</f>
        <v>0</v>
      </c>
      <c r="F643" s="10"/>
      <c r="G643" s="10"/>
      <c r="H643" s="10"/>
      <c r="I643" s="38">
        <f t="shared" ref="I643:I644" si="254">SUM(F643:H643)</f>
        <v>0</v>
      </c>
      <c r="J643" s="10"/>
      <c r="K643" s="10"/>
      <c r="L643" s="10"/>
      <c r="M643" s="38">
        <f t="shared" ref="M643:M645" si="255">SUM(J643:L643)</f>
        <v>0</v>
      </c>
      <c r="N643" s="10"/>
      <c r="O643" s="10"/>
      <c r="P643" s="10"/>
      <c r="Q643" s="38">
        <f>SUM(N643:P643)</f>
        <v>0</v>
      </c>
      <c r="R643" s="38">
        <f>+E643+I643+M643+Q643</f>
        <v>0</v>
      </c>
      <c r="T643" t="s">
        <v>2766</v>
      </c>
    </row>
    <row r="644" spans="1:20" ht="15.75" customHeight="1" x14ac:dyDescent="0.3">
      <c r="A644" s="539" t="s">
        <v>3231</v>
      </c>
      <c r="B644" s="10"/>
      <c r="C644" s="10"/>
      <c r="D644" s="10"/>
      <c r="E644" s="38">
        <f t="shared" si="253"/>
        <v>0</v>
      </c>
      <c r="F644" s="10"/>
      <c r="G644" s="10"/>
      <c r="H644" s="10"/>
      <c r="I644" s="38">
        <f t="shared" si="254"/>
        <v>0</v>
      </c>
      <c r="J644" s="10"/>
      <c r="K644" s="10"/>
      <c r="L644" s="10"/>
      <c r="M644" s="38">
        <f t="shared" si="255"/>
        <v>0</v>
      </c>
      <c r="N644" s="10"/>
      <c r="O644" s="10"/>
      <c r="P644" s="10"/>
      <c r="Q644" s="38">
        <f t="shared" ref="Q644" si="256">SUM(N644:P644)</f>
        <v>0</v>
      </c>
      <c r="R644" s="38">
        <f t="shared" ref="R644:R647" si="257">+E644+I644+M644+Q644</f>
        <v>0</v>
      </c>
    </row>
    <row r="645" spans="1:20" ht="15.75" customHeight="1" x14ac:dyDescent="0.3">
      <c r="A645" s="539" t="s">
        <v>3369</v>
      </c>
      <c r="B645" s="10"/>
      <c r="C645" s="10"/>
      <c r="D645" s="10"/>
      <c r="E645" s="38">
        <f t="shared" si="253"/>
        <v>0</v>
      </c>
      <c r="F645" s="10"/>
      <c r="G645" s="10"/>
      <c r="H645" s="10"/>
      <c r="I645" s="38">
        <f t="shared" ref="I645" si="258">SUM(F645:H645)</f>
        <v>0</v>
      </c>
      <c r="J645" s="10"/>
      <c r="K645" s="10"/>
      <c r="L645" s="10"/>
      <c r="M645" s="38">
        <f t="shared" si="255"/>
        <v>0</v>
      </c>
      <c r="N645" s="10"/>
      <c r="O645" s="10">
        <v>1200</v>
      </c>
      <c r="P645" s="10"/>
      <c r="Q645" s="38">
        <f t="shared" ref="Q645:Q646" si="259">SUM(N645:P645)</f>
        <v>1200</v>
      </c>
      <c r="R645" s="38">
        <f t="shared" si="257"/>
        <v>1200</v>
      </c>
    </row>
    <row r="646" spans="1:20" ht="15.75" customHeight="1" x14ac:dyDescent="0.3">
      <c r="A646" s="539" t="s">
        <v>3235</v>
      </c>
      <c r="B646" s="10"/>
      <c r="C646" s="10"/>
      <c r="D646" s="10"/>
      <c r="E646" s="38">
        <f>SUM(B646:D646)</f>
        <v>0</v>
      </c>
      <c r="F646" s="10"/>
      <c r="G646" s="10"/>
      <c r="H646" s="10"/>
      <c r="I646" s="38">
        <f>SUM(F646:H646)</f>
        <v>0</v>
      </c>
      <c r="J646" s="10"/>
      <c r="K646" s="10"/>
      <c r="L646" s="10"/>
      <c r="M646" s="38">
        <f>SUM(J646:L646)</f>
        <v>0</v>
      </c>
      <c r="N646" s="10"/>
      <c r="O646" s="10"/>
      <c r="P646" s="10"/>
      <c r="Q646" s="38">
        <f t="shared" si="259"/>
        <v>0</v>
      </c>
      <c r="R646" s="38">
        <f t="shared" si="257"/>
        <v>0</v>
      </c>
    </row>
    <row r="647" spans="1:20" ht="15.75" customHeight="1" x14ac:dyDescent="0.3">
      <c r="A647" s="539" t="s">
        <v>3211</v>
      </c>
      <c r="B647" s="10"/>
      <c r="C647" s="10"/>
      <c r="D647" s="10"/>
      <c r="E647" s="38">
        <f>SUM(B647:D647)</f>
        <v>0</v>
      </c>
      <c r="F647" s="10"/>
      <c r="G647" s="10"/>
      <c r="H647" s="10"/>
      <c r="I647" s="38">
        <f>SUM(F647:H647)</f>
        <v>0</v>
      </c>
      <c r="J647" s="10"/>
      <c r="K647" s="10"/>
      <c r="L647" s="10"/>
      <c r="M647" s="38">
        <f>SUM(J647:L647)</f>
        <v>0</v>
      </c>
      <c r="N647" s="10"/>
      <c r="O647" s="10"/>
      <c r="P647" s="10"/>
      <c r="Q647" s="38">
        <f>SUM(N647:P647)</f>
        <v>0</v>
      </c>
      <c r="R647" s="38">
        <f t="shared" si="257"/>
        <v>0</v>
      </c>
    </row>
    <row r="648" spans="1:20" ht="15.75" customHeight="1" thickBot="1" x14ac:dyDescent="0.35">
      <c r="A648" s="539" t="s">
        <v>2079</v>
      </c>
      <c r="B648" s="10"/>
      <c r="C648" s="10"/>
      <c r="D648" s="10"/>
      <c r="E648" s="38">
        <f>SUM(B648:D648)</f>
        <v>0</v>
      </c>
      <c r="F648" s="10"/>
      <c r="G648" s="10">
        <v>220</v>
      </c>
      <c r="H648" s="10">
        <v>220</v>
      </c>
      <c r="I648" s="38">
        <f>SUM(F648:H648)</f>
        <v>440</v>
      </c>
      <c r="J648" s="10">
        <v>220</v>
      </c>
      <c r="K648" s="10">
        <v>220</v>
      </c>
      <c r="L648" s="10">
        <v>220</v>
      </c>
      <c r="M648" s="38">
        <f>SUM(J648:L648)</f>
        <v>660</v>
      </c>
      <c r="N648" s="10">
        <v>220</v>
      </c>
      <c r="O648" s="10"/>
      <c r="P648" s="10"/>
      <c r="Q648" s="38">
        <f>SUM(N648:P648)</f>
        <v>220</v>
      </c>
      <c r="R648" s="38">
        <f>+E648+I648+M648+Q648</f>
        <v>1320</v>
      </c>
      <c r="T648" t="s">
        <v>2766</v>
      </c>
    </row>
    <row r="649" spans="1:20" ht="16.5" customHeight="1" thickBot="1" x14ac:dyDescent="0.35">
      <c r="A649" s="277" t="s">
        <v>1220</v>
      </c>
      <c r="B649" s="45">
        <f>SUM(B640:B648)</f>
        <v>0</v>
      </c>
      <c r="C649" s="46">
        <f>SUM(C640:C648)</f>
        <v>0</v>
      </c>
      <c r="D649" s="46">
        <f>SUM(D640:D648)</f>
        <v>0</v>
      </c>
      <c r="E649" s="37">
        <f>SUM(B649:D649)</f>
        <v>0</v>
      </c>
      <c r="F649" s="46">
        <f>SUM(F640:F648)</f>
        <v>0</v>
      </c>
      <c r="G649" s="46">
        <f>SUM(G640:G648)</f>
        <v>220</v>
      </c>
      <c r="H649" s="46">
        <f>SUM(H640:H648)</f>
        <v>220</v>
      </c>
      <c r="I649" s="37">
        <f>SUM(F649:H649)</f>
        <v>440</v>
      </c>
      <c r="J649" s="46">
        <f>SUM(J640:J648)</f>
        <v>220</v>
      </c>
      <c r="K649" s="46">
        <f>SUM(K640:K648)</f>
        <v>220</v>
      </c>
      <c r="L649" s="46">
        <f>SUM(L640:L648)</f>
        <v>220</v>
      </c>
      <c r="M649" s="37">
        <f>SUM(J649:L649)</f>
        <v>660</v>
      </c>
      <c r="N649" s="46">
        <f>SUM(N640:N648)</f>
        <v>220</v>
      </c>
      <c r="O649" s="46">
        <f>SUM(O640:O648)</f>
        <v>1200</v>
      </c>
      <c r="P649" s="46">
        <f>SUM(P640:P648)</f>
        <v>0</v>
      </c>
      <c r="Q649" s="37">
        <f>SUM(N649:P649)</f>
        <v>1420</v>
      </c>
      <c r="R649" s="37">
        <f>+E649+I649+M649+Q649</f>
        <v>2520</v>
      </c>
    </row>
    <row r="650" spans="1:20" ht="15.75" customHeight="1" x14ac:dyDescent="0.3">
      <c r="A650" s="234" t="s">
        <v>1712</v>
      </c>
      <c r="B650" s="10"/>
      <c r="C650" s="10"/>
      <c r="D650" s="10"/>
      <c r="E650" s="38" t="s">
        <v>852</v>
      </c>
      <c r="F650" s="10"/>
      <c r="G650" s="10"/>
      <c r="H650" s="10"/>
      <c r="I650" s="38" t="s">
        <v>852</v>
      </c>
      <c r="J650" s="10"/>
      <c r="K650" s="10"/>
      <c r="L650" s="10"/>
      <c r="M650" s="38" t="s">
        <v>852</v>
      </c>
      <c r="N650" s="10"/>
      <c r="O650" s="10"/>
      <c r="P650" s="10"/>
      <c r="Q650" s="38" t="s">
        <v>852</v>
      </c>
      <c r="R650" s="38" t="s">
        <v>852</v>
      </c>
    </row>
    <row r="651" spans="1:20" ht="15.75" customHeight="1" x14ac:dyDescent="0.3">
      <c r="A651" s="234" t="s">
        <v>1021</v>
      </c>
      <c r="B651" s="10"/>
      <c r="C651" s="10"/>
      <c r="D651" s="10"/>
      <c r="E651" s="38" t="s">
        <v>852</v>
      </c>
      <c r="F651" s="10"/>
      <c r="G651" s="10"/>
      <c r="H651" s="10"/>
      <c r="I651" s="38" t="s">
        <v>852</v>
      </c>
      <c r="J651" s="10"/>
      <c r="K651" s="10"/>
      <c r="L651" s="10"/>
      <c r="M651" s="38" t="s">
        <v>852</v>
      </c>
      <c r="N651" s="10"/>
      <c r="O651" s="10"/>
      <c r="P651" s="10"/>
      <c r="Q651" s="38" t="s">
        <v>852</v>
      </c>
      <c r="R651" s="38" t="s">
        <v>852</v>
      </c>
    </row>
    <row r="652" spans="1:20" ht="15.75" customHeight="1" x14ac:dyDescent="0.3">
      <c r="A652" s="539" t="s">
        <v>3265</v>
      </c>
      <c r="B652" s="10"/>
      <c r="C652" s="10"/>
      <c r="D652" s="10"/>
      <c r="E652" s="38">
        <f>SUM(B652:D652)</f>
        <v>0</v>
      </c>
      <c r="F652" s="10"/>
      <c r="G652" s="10"/>
      <c r="H652" s="10"/>
      <c r="I652" s="38">
        <f>SUM(F652:H652)</f>
        <v>0</v>
      </c>
      <c r="J652" s="10"/>
      <c r="K652" s="10"/>
      <c r="L652" s="10"/>
      <c r="M652" s="38">
        <f>SUM(J652:L652)</f>
        <v>0</v>
      </c>
      <c r="N652" s="10"/>
      <c r="O652" s="10"/>
      <c r="P652" s="10"/>
      <c r="Q652" s="38">
        <f>SUM(N652:P652)</f>
        <v>0</v>
      </c>
      <c r="R652" s="38">
        <f>+E652+I652+M652+Q652</f>
        <v>0</v>
      </c>
      <c r="T652" t="s">
        <v>2766</v>
      </c>
    </row>
    <row r="653" spans="1:20" ht="15.75" customHeight="1" x14ac:dyDescent="0.3">
      <c r="A653" s="310" t="s">
        <v>1787</v>
      </c>
      <c r="B653" s="10"/>
      <c r="C653" s="10"/>
      <c r="D653" s="10"/>
      <c r="E653" s="38">
        <f>SUM(B653:D653)</f>
        <v>0</v>
      </c>
      <c r="F653" s="10"/>
      <c r="G653" s="10"/>
      <c r="H653" s="10"/>
      <c r="I653" s="38">
        <f>SUM(F653:H653)</f>
        <v>0</v>
      </c>
      <c r="J653" s="10"/>
      <c r="K653" s="10"/>
      <c r="L653" s="10"/>
      <c r="M653" s="38">
        <f>SUM(J653:L653)</f>
        <v>0</v>
      </c>
      <c r="N653" s="10"/>
      <c r="O653" s="10"/>
      <c r="P653" s="10"/>
      <c r="Q653" s="38">
        <f>SUM(N653:P653)</f>
        <v>0</v>
      </c>
      <c r="R653" s="38">
        <f>+E653+I653+M653+Q653</f>
        <v>0</v>
      </c>
      <c r="T653" t="s">
        <v>2766</v>
      </c>
    </row>
    <row r="654" spans="1:20" ht="15.75" customHeight="1" x14ac:dyDescent="0.3">
      <c r="A654" s="234" t="s">
        <v>557</v>
      </c>
      <c r="B654" s="10"/>
      <c r="C654" s="10"/>
      <c r="D654" s="10"/>
      <c r="E654" s="38" t="s">
        <v>852</v>
      </c>
      <c r="F654" s="10"/>
      <c r="G654" s="10"/>
      <c r="H654" s="10"/>
      <c r="I654" s="38" t="s">
        <v>852</v>
      </c>
      <c r="J654" s="10"/>
      <c r="K654" s="10"/>
      <c r="L654" s="10"/>
      <c r="M654" s="38" t="s">
        <v>852</v>
      </c>
      <c r="N654" s="10"/>
      <c r="O654" s="10"/>
      <c r="P654" s="10"/>
      <c r="Q654" s="38" t="s">
        <v>852</v>
      </c>
      <c r="R654" s="38" t="s">
        <v>852</v>
      </c>
    </row>
    <row r="655" spans="1:20" ht="15.75" customHeight="1" x14ac:dyDescent="0.3">
      <c r="A655" s="539" t="s">
        <v>2812</v>
      </c>
      <c r="B655" s="10"/>
      <c r="C655" s="10"/>
      <c r="D655" s="10"/>
      <c r="E655" s="38">
        <f>SUM(B655:D655)</f>
        <v>0</v>
      </c>
      <c r="F655" s="10"/>
      <c r="G655" s="10"/>
      <c r="H655" s="10"/>
      <c r="I655" s="38">
        <f>SUM(F655:H655)</f>
        <v>0</v>
      </c>
      <c r="J655" s="10"/>
      <c r="K655" s="10"/>
      <c r="L655" s="10"/>
      <c r="M655" s="38">
        <f>SUM(J655:L655)</f>
        <v>0</v>
      </c>
      <c r="N655" s="10"/>
      <c r="O655" s="10"/>
      <c r="P655" s="10"/>
      <c r="Q655" s="38">
        <f>SUM(N655:P655)</f>
        <v>0</v>
      </c>
      <c r="R655" s="38">
        <f>+E655+I655+M655+Q655</f>
        <v>0</v>
      </c>
    </row>
    <row r="656" spans="1:20" ht="15.75" customHeight="1" x14ac:dyDescent="0.3">
      <c r="A656" s="539" t="s">
        <v>2579</v>
      </c>
      <c r="B656" s="10"/>
      <c r="C656" s="10"/>
      <c r="D656" s="10"/>
      <c r="E656" s="38">
        <f>SUM(B656:D656)</f>
        <v>0</v>
      </c>
      <c r="F656" s="10"/>
      <c r="G656" s="10"/>
      <c r="H656" s="10"/>
      <c r="I656" s="38">
        <f>SUM(F656:H656)</f>
        <v>0</v>
      </c>
      <c r="J656" s="10"/>
      <c r="K656" s="10"/>
      <c r="L656" s="10"/>
      <c r="M656" s="38">
        <f>SUM(J656:L656)</f>
        <v>0</v>
      </c>
      <c r="N656" s="10"/>
      <c r="O656" s="10"/>
      <c r="P656" s="10"/>
      <c r="Q656" s="38">
        <f>SUM(N656:P656)</f>
        <v>0</v>
      </c>
      <c r="R656" s="38">
        <f>+E656+I656+M656+Q656</f>
        <v>0</v>
      </c>
    </row>
    <row r="657" spans="1:20" ht="15.75" customHeight="1" x14ac:dyDescent="0.3">
      <c r="A657" s="539" t="s">
        <v>2581</v>
      </c>
      <c r="B657" s="10"/>
      <c r="C657" s="10"/>
      <c r="D657" s="10"/>
      <c r="E657" s="38">
        <f>SUM(B657:D657)</f>
        <v>0</v>
      </c>
      <c r="F657" s="10"/>
      <c r="G657" s="10"/>
      <c r="H657" s="10"/>
      <c r="I657" s="38">
        <f>SUM(F657:H657)</f>
        <v>0</v>
      </c>
      <c r="J657" s="10"/>
      <c r="K657" s="10"/>
      <c r="L657" s="10"/>
      <c r="M657" s="38">
        <f>SUM(J657:L657)</f>
        <v>0</v>
      </c>
      <c r="N657" s="10"/>
      <c r="O657" s="10"/>
      <c r="P657" s="10"/>
      <c r="Q657" s="38">
        <f>SUM(N657:P657)</f>
        <v>0</v>
      </c>
      <c r="R657" s="38">
        <f>+E657+I657+M657+Q657</f>
        <v>0</v>
      </c>
      <c r="T657" t="s">
        <v>2766</v>
      </c>
    </row>
    <row r="658" spans="1:20" ht="15.75" customHeight="1" x14ac:dyDescent="0.3">
      <c r="A658" s="539" t="s">
        <v>2582</v>
      </c>
      <c r="B658" s="10"/>
      <c r="C658" s="10"/>
      <c r="D658" s="10"/>
      <c r="E658" s="38">
        <f>SUM(B658:D658)</f>
        <v>0</v>
      </c>
      <c r="F658" s="10"/>
      <c r="G658" s="10"/>
      <c r="H658" s="10"/>
      <c r="I658" s="38">
        <f>SUM(F658:H658)</f>
        <v>0</v>
      </c>
      <c r="J658" s="10"/>
      <c r="K658" s="10"/>
      <c r="L658" s="10"/>
      <c r="M658" s="38">
        <f>SUM(J658:L658)</f>
        <v>0</v>
      </c>
      <c r="N658" s="10"/>
      <c r="O658" s="10"/>
      <c r="P658" s="10"/>
      <c r="Q658" s="38">
        <f>SUM(N658:P658)</f>
        <v>0</v>
      </c>
      <c r="R658" s="38">
        <f>+E658+I658+M658+Q658</f>
        <v>0</v>
      </c>
      <c r="T658" t="s">
        <v>2766</v>
      </c>
    </row>
    <row r="659" spans="1:20" ht="15.75" customHeight="1" x14ac:dyDescent="0.3">
      <c r="A659" s="234" t="s">
        <v>1022</v>
      </c>
      <c r="B659" s="10"/>
      <c r="C659" s="10"/>
      <c r="D659" s="10"/>
      <c r="E659" s="38" t="s">
        <v>852</v>
      </c>
      <c r="F659" s="10"/>
      <c r="G659" s="10"/>
      <c r="H659" s="10"/>
      <c r="I659" s="38" t="s">
        <v>852</v>
      </c>
      <c r="J659" s="10"/>
      <c r="K659" s="10"/>
      <c r="L659" s="10"/>
      <c r="M659" s="38" t="s">
        <v>852</v>
      </c>
      <c r="N659" s="10"/>
      <c r="O659" s="10"/>
      <c r="P659" s="10"/>
      <c r="Q659" s="38" t="s">
        <v>852</v>
      </c>
      <c r="R659" s="38" t="s">
        <v>852</v>
      </c>
    </row>
    <row r="660" spans="1:20" ht="15.75" customHeight="1" x14ac:dyDescent="0.3">
      <c r="A660" s="539" t="s">
        <v>3273</v>
      </c>
      <c r="B660" s="10"/>
      <c r="C660" s="10"/>
      <c r="D660" s="10"/>
      <c r="E660" s="38">
        <f>SUM(B660:D660)</f>
        <v>0</v>
      </c>
      <c r="F660" s="10"/>
      <c r="G660" s="10"/>
      <c r="H660" s="10"/>
      <c r="I660" s="38">
        <f>SUM(F660:H660)</f>
        <v>0</v>
      </c>
      <c r="J660" s="10"/>
      <c r="K660" s="10"/>
      <c r="L660" s="10"/>
      <c r="M660" s="38">
        <f>SUM(J660:L660)</f>
        <v>0</v>
      </c>
      <c r="N660" s="10"/>
      <c r="O660" s="10"/>
      <c r="P660" s="10"/>
      <c r="Q660" s="38">
        <f>SUM(N660:P660)</f>
        <v>0</v>
      </c>
      <c r="R660" s="38">
        <f>+E660+I660+M660+Q660</f>
        <v>0</v>
      </c>
    </row>
    <row r="661" spans="1:20" ht="15.75" customHeight="1" x14ac:dyDescent="0.3">
      <c r="A661" s="539" t="s">
        <v>3230</v>
      </c>
      <c r="B661" s="10"/>
      <c r="C661" s="10"/>
      <c r="D661" s="10"/>
      <c r="E661" s="38">
        <f>SUM(B661:D661)</f>
        <v>0</v>
      </c>
      <c r="F661" s="10"/>
      <c r="G661" s="10"/>
      <c r="H661" s="10"/>
      <c r="I661" s="38">
        <f>SUM(F661:H661)</f>
        <v>0</v>
      </c>
      <c r="J661" s="10"/>
      <c r="K661" s="10"/>
      <c r="L661" s="10"/>
      <c r="M661" s="38">
        <f>SUM(J661:L661)</f>
        <v>0</v>
      </c>
      <c r="N661" s="10"/>
      <c r="O661" s="10"/>
      <c r="P661" s="10"/>
      <c r="Q661" s="38">
        <f>SUM(N661:P661)</f>
        <v>0</v>
      </c>
      <c r="R661" s="38">
        <f>+E661+I661+M661+Q661</f>
        <v>0</v>
      </c>
    </row>
    <row r="662" spans="1:20" ht="15.75" customHeight="1" x14ac:dyDescent="0.3">
      <c r="A662" s="234" t="s">
        <v>559</v>
      </c>
      <c r="B662" s="10"/>
      <c r="C662" s="10"/>
      <c r="D662" s="10"/>
      <c r="E662" s="38" t="s">
        <v>852</v>
      </c>
      <c r="F662" s="10"/>
      <c r="G662" s="10"/>
      <c r="H662" s="10"/>
      <c r="I662" s="38" t="s">
        <v>852</v>
      </c>
      <c r="J662" s="10"/>
      <c r="K662" s="10"/>
      <c r="L662" s="10"/>
      <c r="M662" s="38" t="s">
        <v>852</v>
      </c>
      <c r="N662" s="10"/>
      <c r="O662" s="10"/>
      <c r="P662" s="10"/>
      <c r="Q662" s="38" t="s">
        <v>852</v>
      </c>
      <c r="R662" s="38" t="s">
        <v>852</v>
      </c>
    </row>
    <row r="663" spans="1:20" ht="15.75" customHeight="1" x14ac:dyDescent="0.3">
      <c r="A663" s="539" t="s">
        <v>2597</v>
      </c>
      <c r="B663" s="10"/>
      <c r="C663" s="10"/>
      <c r="D663" s="10"/>
      <c r="E663" s="38">
        <f t="shared" ref="E663:E665" si="260">SUM(B663:D663)</f>
        <v>0</v>
      </c>
      <c r="F663" s="10"/>
      <c r="G663" s="10"/>
      <c r="H663" s="10"/>
      <c r="I663" s="38">
        <f t="shared" ref="I663:I665" si="261">SUM(F663:H663)</f>
        <v>0</v>
      </c>
      <c r="J663" s="10"/>
      <c r="K663" s="10"/>
      <c r="L663" s="10"/>
      <c r="M663" s="38">
        <f t="shared" ref="M663:M665" si="262">SUM(J663:L663)</f>
        <v>0</v>
      </c>
      <c r="N663" s="10"/>
      <c r="O663" s="10"/>
      <c r="P663" s="10"/>
      <c r="Q663" s="38">
        <f t="shared" ref="Q663:Q669" si="263">SUM(N663:P663)</f>
        <v>0</v>
      </c>
      <c r="R663" s="38">
        <f t="shared" ref="R663:R669" si="264">+E663+I663+M663+Q663</f>
        <v>0</v>
      </c>
    </row>
    <row r="664" spans="1:20" ht="15.75" customHeight="1" x14ac:dyDescent="0.3">
      <c r="A664" s="539" t="s">
        <v>3227</v>
      </c>
      <c r="B664" s="10"/>
      <c r="C664" s="10"/>
      <c r="D664" s="10"/>
      <c r="E664" s="38">
        <f t="shared" ref="E664" si="265">SUM(B664:D664)</f>
        <v>0</v>
      </c>
      <c r="F664" s="10"/>
      <c r="G664" s="10"/>
      <c r="H664" s="10"/>
      <c r="I664" s="38">
        <f t="shared" ref="I664" si="266">SUM(F664:H664)</f>
        <v>0</v>
      </c>
      <c r="J664" s="10"/>
      <c r="K664" s="10"/>
      <c r="L664" s="10"/>
      <c r="M664" s="38">
        <f t="shared" ref="M664" si="267">SUM(J664:L664)</f>
        <v>0</v>
      </c>
      <c r="N664" s="10"/>
      <c r="O664" s="10"/>
      <c r="P664" s="10"/>
      <c r="Q664" s="38">
        <f t="shared" ref="Q664" si="268">SUM(N664:P664)</f>
        <v>0</v>
      </c>
      <c r="R664" s="38">
        <f t="shared" si="264"/>
        <v>0</v>
      </c>
    </row>
    <row r="665" spans="1:20" ht="15.75" customHeight="1" thickBot="1" x14ac:dyDescent="0.35">
      <c r="A665" s="539" t="s">
        <v>2583</v>
      </c>
      <c r="B665" s="10"/>
      <c r="C665" s="10"/>
      <c r="D665" s="10"/>
      <c r="E665" s="38">
        <f t="shared" si="260"/>
        <v>0</v>
      </c>
      <c r="F665" s="10"/>
      <c r="G665" s="10"/>
      <c r="H665" s="10"/>
      <c r="I665" s="38">
        <f t="shared" si="261"/>
        <v>0</v>
      </c>
      <c r="J665" s="10"/>
      <c r="K665" s="10"/>
      <c r="L665" s="10"/>
      <c r="M665" s="38">
        <f t="shared" si="262"/>
        <v>0</v>
      </c>
      <c r="N665" s="10"/>
      <c r="O665" s="10"/>
      <c r="P665" s="10"/>
      <c r="Q665" s="38">
        <f t="shared" si="263"/>
        <v>0</v>
      </c>
      <c r="R665" s="38">
        <f t="shared" si="264"/>
        <v>0</v>
      </c>
    </row>
    <row r="666" spans="1:20" ht="16.5" customHeight="1" thickBot="1" x14ac:dyDescent="0.35">
      <c r="A666" s="43" t="s">
        <v>1019</v>
      </c>
      <c r="B666" s="745">
        <f>SUM(B659:B665)</f>
        <v>0</v>
      </c>
      <c r="C666" s="745">
        <f>SUM(C659:C665)</f>
        <v>0</v>
      </c>
      <c r="D666" s="745">
        <f>SUM(D659:D665)</f>
        <v>0</v>
      </c>
      <c r="E666" s="39">
        <f t="shared" ref="E666:E669" si="269">SUM(B666:D666)</f>
        <v>0</v>
      </c>
      <c r="F666" s="745">
        <f>SUM(F659:F665)</f>
        <v>0</v>
      </c>
      <c r="G666" s="745">
        <f>SUM(G659:G665)</f>
        <v>0</v>
      </c>
      <c r="H666" s="745">
        <f>SUM(H659:H665)</f>
        <v>0</v>
      </c>
      <c r="I666" s="39">
        <f t="shared" ref="I666:I669" si="270">SUM(F666:H666)</f>
        <v>0</v>
      </c>
      <c r="J666" s="745">
        <f>SUM(J659:J665)</f>
        <v>0</v>
      </c>
      <c r="K666" s="745">
        <f>SUM(K659:K665)</f>
        <v>0</v>
      </c>
      <c r="L666" s="745">
        <f>SUM(L659:L665)</f>
        <v>0</v>
      </c>
      <c r="M666" s="39">
        <f t="shared" ref="M666:M669" si="271">SUM(J666:L666)</f>
        <v>0</v>
      </c>
      <c r="N666" s="745">
        <f>SUM(N659:N665)</f>
        <v>0</v>
      </c>
      <c r="O666" s="745">
        <f>SUM(O659:O665)</f>
        <v>0</v>
      </c>
      <c r="P666" s="745">
        <f>SUM(P659:P665)</f>
        <v>0</v>
      </c>
      <c r="Q666" s="39">
        <f t="shared" si="263"/>
        <v>0</v>
      </c>
      <c r="R666" s="37">
        <f t="shared" si="264"/>
        <v>0</v>
      </c>
    </row>
    <row r="667" spans="1:20" ht="16.5" customHeight="1" thickBot="1" x14ac:dyDescent="0.35">
      <c r="A667" s="277" t="s">
        <v>1221</v>
      </c>
      <c r="B667" s="45">
        <f>SUM(B650:B665)</f>
        <v>0</v>
      </c>
      <c r="C667" s="46">
        <f>SUM(C650:C665)</f>
        <v>0</v>
      </c>
      <c r="D667" s="58">
        <f>SUM(D650:D665)</f>
        <v>0</v>
      </c>
      <c r="E667" s="39">
        <f t="shared" si="269"/>
        <v>0</v>
      </c>
      <c r="F667" s="45">
        <f>SUM(F650:F665)</f>
        <v>0</v>
      </c>
      <c r="G667" s="46">
        <f>SUM(G650:G665)</f>
        <v>0</v>
      </c>
      <c r="H667" s="58">
        <f>SUM(H650:H665)</f>
        <v>0</v>
      </c>
      <c r="I667" s="39">
        <f t="shared" si="270"/>
        <v>0</v>
      </c>
      <c r="J667" s="45">
        <f>SUM(J650:J665)</f>
        <v>0</v>
      </c>
      <c r="K667" s="46">
        <f>SUM(K650:K665)</f>
        <v>0</v>
      </c>
      <c r="L667" s="58">
        <f>SUM(L650:L665)</f>
        <v>0</v>
      </c>
      <c r="M667" s="39">
        <f t="shared" si="271"/>
        <v>0</v>
      </c>
      <c r="N667" s="45">
        <f>SUM(N650:N665)</f>
        <v>0</v>
      </c>
      <c r="O667" s="46">
        <f>SUM(O650:O665)</f>
        <v>0</v>
      </c>
      <c r="P667" s="58">
        <f>SUM(P650:P665)</f>
        <v>0</v>
      </c>
      <c r="Q667" s="39">
        <f t="shared" si="263"/>
        <v>0</v>
      </c>
      <c r="R667" s="37">
        <f t="shared" si="264"/>
        <v>0</v>
      </c>
    </row>
    <row r="668" spans="1:20" ht="16.5" customHeight="1" thickBot="1" x14ac:dyDescent="0.35">
      <c r="A668" s="43" t="s">
        <v>1222</v>
      </c>
      <c r="B668" s="337">
        <f>+B633+B639+B649+B667</f>
        <v>3352</v>
      </c>
      <c r="C668" s="338">
        <f>+C633+C639+C649+C667</f>
        <v>4762</v>
      </c>
      <c r="D668" s="338">
        <f>+D633+D639+D649+D667</f>
        <v>6429</v>
      </c>
      <c r="E668" s="37">
        <f t="shared" si="269"/>
        <v>14543</v>
      </c>
      <c r="F668" s="42">
        <f>+F633+F639+F649+F667</f>
        <v>5382</v>
      </c>
      <c r="G668" s="42">
        <f>+G633+G639+G649+G667</f>
        <v>5914</v>
      </c>
      <c r="H668" s="42">
        <f>+H633+H639+H649+H667</f>
        <v>5785</v>
      </c>
      <c r="I668" s="37">
        <f t="shared" si="270"/>
        <v>17081</v>
      </c>
      <c r="J668" s="42">
        <f>+J633+J639+J649+J667</f>
        <v>5300</v>
      </c>
      <c r="K668" s="42">
        <f>+K633+K639+K649+K667</f>
        <v>4553</v>
      </c>
      <c r="L668" s="42">
        <f>+L633+L639+L649+L667</f>
        <v>2020</v>
      </c>
      <c r="M668" s="37">
        <f t="shared" si="271"/>
        <v>11873</v>
      </c>
      <c r="N668" s="42">
        <f>+N633+N639+N649+N667</f>
        <v>1520</v>
      </c>
      <c r="O668" s="42">
        <f>+O633+O639+O649+O667</f>
        <v>1505</v>
      </c>
      <c r="P668" s="42">
        <f>+P633+P639+P649+P667</f>
        <v>0</v>
      </c>
      <c r="Q668" s="37">
        <f t="shared" si="263"/>
        <v>3025</v>
      </c>
      <c r="R668" s="40">
        <f t="shared" si="264"/>
        <v>46522</v>
      </c>
    </row>
    <row r="669" spans="1:20" ht="16.5" customHeight="1" thickBot="1" x14ac:dyDescent="0.35">
      <c r="A669" s="299" t="s">
        <v>853</v>
      </c>
      <c r="B669" s="294">
        <v>17</v>
      </c>
      <c r="C669" s="294">
        <v>47</v>
      </c>
      <c r="D669" s="294">
        <v>84</v>
      </c>
      <c r="E669" s="38">
        <f t="shared" si="269"/>
        <v>148</v>
      </c>
      <c r="F669" s="294">
        <v>116</v>
      </c>
      <c r="G669" s="294">
        <v>132</v>
      </c>
      <c r="H669" s="294">
        <v>138</v>
      </c>
      <c r="I669" s="38">
        <f t="shared" si="270"/>
        <v>386</v>
      </c>
      <c r="J669" s="294">
        <v>126</v>
      </c>
      <c r="K669" s="294">
        <v>95</v>
      </c>
      <c r="L669" s="294">
        <v>99</v>
      </c>
      <c r="M669" s="38">
        <f t="shared" si="271"/>
        <v>320</v>
      </c>
      <c r="N669" s="294">
        <v>91</v>
      </c>
      <c r="O669" s="294">
        <v>67</v>
      </c>
      <c r="P669" s="294">
        <v>38</v>
      </c>
      <c r="Q669" s="38">
        <f t="shared" si="263"/>
        <v>196</v>
      </c>
      <c r="R669" s="38">
        <f t="shared" si="264"/>
        <v>1050</v>
      </c>
    </row>
    <row r="670" spans="1:20" ht="16.5" customHeight="1" thickBot="1" x14ac:dyDescent="0.35">
      <c r="A670" s="22"/>
      <c r="B670" s="297"/>
      <c r="C670" s="297"/>
      <c r="D670" s="297"/>
      <c r="E670" s="21"/>
      <c r="F670" s="297"/>
      <c r="G670" s="297"/>
      <c r="H670" s="297"/>
      <c r="I670" s="21"/>
      <c r="J670" s="297"/>
      <c r="K670" s="297"/>
      <c r="L670" s="297"/>
      <c r="M670" s="21"/>
      <c r="N670" s="297"/>
      <c r="O670" s="297"/>
      <c r="P670" s="297"/>
      <c r="Q670" s="21"/>
      <c r="R670" s="21"/>
    </row>
    <row r="671" spans="1:20" ht="15.75" customHeight="1" x14ac:dyDescent="0.3">
      <c r="A671" s="259" t="s">
        <v>120</v>
      </c>
      <c r="B671" s="741">
        <f>SUM(B668:B669)</f>
        <v>3369</v>
      </c>
      <c r="C671" s="741">
        <f>SUM(C668:C669)</f>
        <v>4809</v>
      </c>
      <c r="D671" s="741">
        <f>SUM(D668:D669)</f>
        <v>6513</v>
      </c>
      <c r="E671" s="39">
        <f>SUM(B671:D671)</f>
        <v>14691</v>
      </c>
      <c r="F671" s="741">
        <f>SUM(F668:F669)</f>
        <v>5498</v>
      </c>
      <c r="G671" s="741">
        <f>SUM(G668:G669)</f>
        <v>6046</v>
      </c>
      <c r="H671" s="741">
        <f>SUM(H668:H669)</f>
        <v>5923</v>
      </c>
      <c r="I671" s="39">
        <f>SUM(F671:H671)</f>
        <v>17467</v>
      </c>
      <c r="J671" s="741">
        <f>SUM(J668:J669)</f>
        <v>5426</v>
      </c>
      <c r="K671" s="741">
        <f>SUM(K668:K669)</f>
        <v>4648</v>
      </c>
      <c r="L671" s="741">
        <f>SUM(L668:L669)</f>
        <v>2119</v>
      </c>
      <c r="M671" s="39">
        <f>SUM(J671:L671)</f>
        <v>12193</v>
      </c>
      <c r="N671" s="741">
        <f>SUM(N668:N669)</f>
        <v>1611</v>
      </c>
      <c r="O671" s="741">
        <f>SUM(O668:O669)</f>
        <v>1572</v>
      </c>
      <c r="P671" s="741">
        <f>SUM(P668:P669)</f>
        <v>38</v>
      </c>
      <c r="Q671" s="39">
        <f>SUM(N671:P671)</f>
        <v>3221</v>
      </c>
      <c r="R671" s="39">
        <f>+E671+I671+M671+Q671</f>
        <v>47572</v>
      </c>
    </row>
    <row r="672" spans="1:20" ht="15.75" customHeight="1" x14ac:dyDescent="0.3">
      <c r="A672" s="262" t="s">
        <v>1897</v>
      </c>
      <c r="B672" s="10">
        <f>(B671/B10)/1.983</f>
        <v>54.804548338294858</v>
      </c>
      <c r="C672" s="10">
        <f>(C671/C10)/1.983</f>
        <v>86.611195158850222</v>
      </c>
      <c r="D672" s="10">
        <f>(D671/D10)/1.983</f>
        <v>105.9489531989654</v>
      </c>
      <c r="E672" s="38" t="s">
        <v>852</v>
      </c>
      <c r="F672" s="10">
        <f>(F671/F10)/1.983</f>
        <v>92.418893931753232</v>
      </c>
      <c r="G672" s="10">
        <f>(G671/G10)/1.983</f>
        <v>98.352122069851802</v>
      </c>
      <c r="H672" s="10">
        <f>(H671/H10)/1.983</f>
        <v>99.562951756597741</v>
      </c>
      <c r="I672" s="38" t="s">
        <v>852</v>
      </c>
      <c r="J672" s="10">
        <f>(J671/J10)/1.983</f>
        <v>88.266393375953669</v>
      </c>
      <c r="K672" s="10">
        <f>(K671/K10)/1.983</f>
        <v>75.610430595546006</v>
      </c>
      <c r="L672" s="10">
        <f>(L671/L10)/1.983</f>
        <v>35.619431837283578</v>
      </c>
      <c r="M672" s="38" t="s">
        <v>852</v>
      </c>
      <c r="N672" s="10">
        <f>(N671/N10)/1.983</f>
        <v>26.206627299790149</v>
      </c>
      <c r="O672" s="10">
        <f>(O671/O10)/1.983</f>
        <v>26.42460917801311</v>
      </c>
      <c r="P672" s="10">
        <f>(P671/P10)/1.983</f>
        <v>0.61815756510988562</v>
      </c>
      <c r="Q672" s="38" t="s">
        <v>852</v>
      </c>
      <c r="R672" s="38" t="s">
        <v>852</v>
      </c>
    </row>
    <row r="673" spans="1:18" ht="15.75" customHeight="1" x14ac:dyDescent="0.3">
      <c r="A673" s="262" t="s">
        <v>1535</v>
      </c>
      <c r="B673" s="10">
        <f>B671+B683</f>
        <v>15893</v>
      </c>
      <c r="C673" s="10">
        <f>C671+C683</f>
        <v>23253</v>
      </c>
      <c r="D673" s="10">
        <f>D671+D683</f>
        <v>27032</v>
      </c>
      <c r="E673" s="38">
        <f>SUM(B673:D673)</f>
        <v>66178</v>
      </c>
      <c r="F673" s="10">
        <f>F671+F683</f>
        <v>27442</v>
      </c>
      <c r="G673" s="10">
        <f>G671+G683</f>
        <v>29433</v>
      </c>
      <c r="H673" s="10">
        <f>H671+H683</f>
        <v>28267</v>
      </c>
      <c r="I673" s="38">
        <f>SUM(F673:H673)</f>
        <v>85142</v>
      </c>
      <c r="J673" s="10">
        <f>J671+J683</f>
        <v>27806</v>
      </c>
      <c r="K673" s="10">
        <f>K671+K683</f>
        <v>28949</v>
      </c>
      <c r="L673" s="10">
        <f>L671+L683</f>
        <v>24383</v>
      </c>
      <c r="M673" s="38">
        <f>SUM(J673:L673)</f>
        <v>81138</v>
      </c>
      <c r="N673" s="10">
        <f>N671+N683</f>
        <v>14478</v>
      </c>
      <c r="O673" s="10">
        <f>O671+O683</f>
        <v>4869</v>
      </c>
      <c r="P673" s="10">
        <f>P671+P683</f>
        <v>2920</v>
      </c>
      <c r="Q673" s="38">
        <f>SUM(N673:P673)</f>
        <v>22267</v>
      </c>
      <c r="R673" s="38">
        <f>+E673+I673+M673+Q673</f>
        <v>254725</v>
      </c>
    </row>
    <row r="674" spans="1:18" ht="16.5" customHeight="1" thickBot="1" x14ac:dyDescent="0.35">
      <c r="A674" s="263" t="s">
        <v>1536</v>
      </c>
      <c r="B674" s="315">
        <f>(B673/B10)/1.983</f>
        <v>258.53626795503715</v>
      </c>
      <c r="C674" s="315">
        <f>(C673/C10)/1.983</f>
        <v>418.79187378430942</v>
      </c>
      <c r="D674" s="315">
        <f>(D673/D10)/1.983</f>
        <v>439.73777105395862</v>
      </c>
      <c r="E674" s="40" t="s">
        <v>852</v>
      </c>
      <c r="F674" s="315">
        <f>(F673/F10)/1.983</f>
        <v>461.28761136325431</v>
      </c>
      <c r="G674" s="315">
        <f>(G673/G10)/1.983</f>
        <v>478.79556878629643</v>
      </c>
      <c r="H674" s="315">
        <f>(H673/H10)/1.983</f>
        <v>475.15548831736425</v>
      </c>
      <c r="I674" s="40" t="s">
        <v>852</v>
      </c>
      <c r="J674" s="315">
        <f>(J673/J10)/1.983</f>
        <v>452.32866461698632</v>
      </c>
      <c r="K674" s="315">
        <f>(K673/K10)/1.983</f>
        <v>470.92219348331787</v>
      </c>
      <c r="L674" s="315">
        <f>(L673/L10)/1.983</f>
        <v>409.86720457219695</v>
      </c>
      <c r="M674" s="40" t="s">
        <v>852</v>
      </c>
      <c r="N674" s="315">
        <f>(N673/N10)/1.983</f>
        <v>235.51803230686644</v>
      </c>
      <c r="O674" s="315">
        <f>(O673/O10)/1.983</f>
        <v>81.845688350983366</v>
      </c>
      <c r="P674" s="315">
        <f>(P673/P10)/1.983</f>
        <v>47.50052868739121</v>
      </c>
      <c r="Q674" s="40" t="s">
        <v>852</v>
      </c>
      <c r="R674" s="40" t="s">
        <v>852</v>
      </c>
    </row>
    <row r="675" spans="1:18" ht="15.75" customHeight="1" x14ac:dyDescent="0.3">
      <c r="A675" s="17"/>
      <c r="B675" s="10"/>
      <c r="C675" s="10"/>
      <c r="D675" s="10"/>
      <c r="E675" s="10"/>
      <c r="F675" s="10"/>
      <c r="G675" s="10"/>
      <c r="H675" s="10"/>
      <c r="I675" s="10"/>
      <c r="J675" s="10"/>
      <c r="K675" s="10"/>
      <c r="L675" s="10"/>
      <c r="M675" s="10"/>
      <c r="N675" s="10"/>
      <c r="O675" s="10"/>
      <c r="P675" s="10"/>
      <c r="Q675" s="10"/>
      <c r="R675" s="17"/>
    </row>
    <row r="676" spans="1:18" ht="16.5" customHeight="1" thickBot="1" x14ac:dyDescent="0.35">
      <c r="A676" s="24"/>
      <c r="B676" s="294"/>
      <c r="C676" s="294"/>
      <c r="D676" s="294"/>
      <c r="E676" s="294"/>
      <c r="F676" s="294"/>
      <c r="G676" s="294"/>
      <c r="H676" s="294"/>
      <c r="I676" s="294"/>
      <c r="J676" s="294"/>
      <c r="K676" s="294"/>
      <c r="L676" s="294"/>
      <c r="M676" s="294"/>
      <c r="N676" s="294"/>
      <c r="O676" s="294"/>
      <c r="P676" s="294"/>
      <c r="Q676" s="294"/>
      <c r="R676" s="24"/>
    </row>
    <row r="677" spans="1:18" ht="16.5" customHeight="1" thickBot="1" x14ac:dyDescent="0.35">
      <c r="A677" s="278" t="s">
        <v>1537</v>
      </c>
      <c r="B677" s="4" t="s">
        <v>2090</v>
      </c>
      <c r="C677" s="5" t="s">
        <v>2091</v>
      </c>
      <c r="D677" s="5" t="s">
        <v>2234</v>
      </c>
      <c r="E677" s="33" t="s">
        <v>1594</v>
      </c>
      <c r="F677" s="5" t="s">
        <v>2235</v>
      </c>
      <c r="G677" s="5" t="s">
        <v>2236</v>
      </c>
      <c r="H677" s="5" t="s">
        <v>2237</v>
      </c>
      <c r="I677" s="35" t="s">
        <v>1595</v>
      </c>
      <c r="J677" s="5" t="s">
        <v>1504</v>
      </c>
      <c r="K677" s="5" t="s">
        <v>1505</v>
      </c>
      <c r="L677" s="5" t="s">
        <v>1506</v>
      </c>
      <c r="M677" s="35" t="s">
        <v>1596</v>
      </c>
      <c r="N677" s="5" t="s">
        <v>1507</v>
      </c>
      <c r="O677" s="5" t="s">
        <v>1508</v>
      </c>
      <c r="P677" s="5" t="s">
        <v>1509</v>
      </c>
      <c r="Q677" s="33" t="s">
        <v>1597</v>
      </c>
      <c r="R677" s="34" t="s">
        <v>1510</v>
      </c>
    </row>
    <row r="678" spans="1:18" ht="16.5" customHeight="1" thickBot="1" x14ac:dyDescent="0.35">
      <c r="A678" s="22"/>
      <c r="B678" s="297"/>
      <c r="C678" s="297"/>
      <c r="D678" s="297"/>
      <c r="E678" s="298"/>
      <c r="F678" s="297"/>
      <c r="G678" s="297"/>
      <c r="H678" s="297"/>
      <c r="I678" s="298"/>
      <c r="J678" s="297"/>
      <c r="K678" s="297"/>
      <c r="L678" s="297"/>
      <c r="M678" s="298"/>
      <c r="N678" s="297"/>
      <c r="O678" s="297"/>
      <c r="P678" s="297"/>
      <c r="Q678" s="323"/>
      <c r="R678" s="32"/>
    </row>
    <row r="679" spans="1:18" ht="16.5" customHeight="1" thickBot="1" x14ac:dyDescent="0.35">
      <c r="A679" s="299" t="s">
        <v>853</v>
      </c>
      <c r="B679" s="294">
        <v>20</v>
      </c>
      <c r="C679" s="294">
        <v>22</v>
      </c>
      <c r="D679" s="294">
        <v>28</v>
      </c>
      <c r="E679" s="38">
        <f>SUM(B679:D679)</f>
        <v>70</v>
      </c>
      <c r="F679" s="294">
        <v>37</v>
      </c>
      <c r="G679" s="294">
        <v>42</v>
      </c>
      <c r="H679" s="294">
        <v>44</v>
      </c>
      <c r="I679" s="38">
        <f>SUM(F679:H679)</f>
        <v>123</v>
      </c>
      <c r="J679" s="294">
        <v>39</v>
      </c>
      <c r="K679" s="294">
        <v>36</v>
      </c>
      <c r="L679" s="294">
        <v>34</v>
      </c>
      <c r="M679" s="38">
        <f>SUM(J679:L679)</f>
        <v>109</v>
      </c>
      <c r="N679" s="294">
        <v>29</v>
      </c>
      <c r="O679" s="294">
        <v>23</v>
      </c>
      <c r="P679" s="294">
        <v>19</v>
      </c>
      <c r="Q679" s="38">
        <f>SUM(N679:P679)</f>
        <v>71</v>
      </c>
      <c r="R679" s="38">
        <f>+E679+I679+M679+Q679</f>
        <v>373</v>
      </c>
    </row>
    <row r="680" spans="1:18" ht="16.5" customHeight="1" thickBot="1" x14ac:dyDescent="0.35">
      <c r="A680" s="22"/>
      <c r="B680" s="297"/>
      <c r="C680" s="297"/>
      <c r="D680" s="297"/>
      <c r="E680" s="302"/>
      <c r="F680" s="297"/>
      <c r="G680" s="297"/>
      <c r="H680" s="297"/>
      <c r="I680" s="302"/>
      <c r="J680" s="297"/>
      <c r="K680" s="297"/>
      <c r="L680" s="297"/>
      <c r="M680" s="302"/>
      <c r="N680" s="297"/>
      <c r="O680" s="297"/>
      <c r="P680" s="297"/>
      <c r="Q680" s="302"/>
      <c r="R680" s="21"/>
    </row>
    <row r="681" spans="1:18" ht="15.75" customHeight="1" x14ac:dyDescent="0.3">
      <c r="A681" s="259" t="s">
        <v>120</v>
      </c>
      <c r="B681" s="741">
        <f>B679</f>
        <v>20</v>
      </c>
      <c r="C681" s="741">
        <f>C679</f>
        <v>22</v>
      </c>
      <c r="D681" s="741">
        <f>D679</f>
        <v>28</v>
      </c>
      <c r="E681" s="39">
        <f>SUM(B681:D681)</f>
        <v>70</v>
      </c>
      <c r="F681" s="741">
        <f>F679</f>
        <v>37</v>
      </c>
      <c r="G681" s="741">
        <f>G679</f>
        <v>42</v>
      </c>
      <c r="H681" s="741">
        <f>H679</f>
        <v>44</v>
      </c>
      <c r="I681" s="39">
        <f>SUM(F681:H681)</f>
        <v>123</v>
      </c>
      <c r="J681" s="741">
        <f>J679</f>
        <v>39</v>
      </c>
      <c r="K681" s="741">
        <f>K679</f>
        <v>36</v>
      </c>
      <c r="L681" s="741">
        <f>L679</f>
        <v>34</v>
      </c>
      <c r="M681" s="39">
        <f>SUM(J681:L681)</f>
        <v>109</v>
      </c>
      <c r="N681" s="741">
        <f>N679</f>
        <v>29</v>
      </c>
      <c r="O681" s="741">
        <f>O679</f>
        <v>23</v>
      </c>
      <c r="P681" s="741">
        <f>P679</f>
        <v>19</v>
      </c>
      <c r="Q681" s="39">
        <f>SUM(N681:P681)</f>
        <v>71</v>
      </c>
      <c r="R681" s="39">
        <f>+E681+I681+M681+Q681</f>
        <v>373</v>
      </c>
    </row>
    <row r="682" spans="1:18" ht="15.75" customHeight="1" x14ac:dyDescent="0.3">
      <c r="A682" s="262" t="s">
        <v>1897</v>
      </c>
      <c r="B682" s="10">
        <f>(B681/B10)/1.983</f>
        <v>0.32534608689993977</v>
      </c>
      <c r="C682" s="10">
        <f>(C681/C10)/1.983</f>
        <v>0.39622505583171236</v>
      </c>
      <c r="D682" s="10">
        <f>(D681/D10)/1.983</f>
        <v>0.45548452165991571</v>
      </c>
      <c r="E682" s="38" t="s">
        <v>852</v>
      </c>
      <c r="F682" s="10">
        <f>(F681/F10)/1.983</f>
        <v>0.62195326945705165</v>
      </c>
      <c r="G682" s="10">
        <f>(G681/G10)/1.983</f>
        <v>0.68322678248987356</v>
      </c>
      <c r="H682" s="10">
        <f>(H681/H10)/1.983</f>
        <v>0.73962010421919644</v>
      </c>
      <c r="I682" s="38" t="s">
        <v>852</v>
      </c>
      <c r="J682" s="10">
        <f>(J681/J10)/1.983</f>
        <v>0.63442486945488263</v>
      </c>
      <c r="K682" s="10">
        <f>(K681/K10)/1.983</f>
        <v>0.5856229564198917</v>
      </c>
      <c r="L682" s="10">
        <f>(L681/L10)/1.983</f>
        <v>0.57152462598756093</v>
      </c>
      <c r="M682" s="38" t="s">
        <v>852</v>
      </c>
      <c r="N682" s="10">
        <f>(N681/N10)/1.983</f>
        <v>0.47175182600491267</v>
      </c>
      <c r="O682" s="10">
        <f>(O681/O10)/1.983</f>
        <v>0.38661959993276179</v>
      </c>
      <c r="P682" s="10">
        <f>(P681/P10)/1.983</f>
        <v>0.30907878255494281</v>
      </c>
      <c r="Q682" s="38" t="s">
        <v>852</v>
      </c>
      <c r="R682" s="38" t="s">
        <v>852</v>
      </c>
    </row>
    <row r="683" spans="1:18" ht="15.75" customHeight="1" x14ac:dyDescent="0.3">
      <c r="A683" s="262" t="s">
        <v>2019</v>
      </c>
      <c r="B683" s="10">
        <f>B681+B719</f>
        <v>12524</v>
      </c>
      <c r="C683" s="10">
        <f>C681+C719</f>
        <v>18444</v>
      </c>
      <c r="D683" s="10">
        <f>D681+D719</f>
        <v>20519</v>
      </c>
      <c r="E683" s="38">
        <f>SUM(B683:D683)</f>
        <v>51487</v>
      </c>
      <c r="F683" s="10">
        <f>F681+F719</f>
        <v>21944</v>
      </c>
      <c r="G683" s="10">
        <f>G681+G719</f>
        <v>23387</v>
      </c>
      <c r="H683" s="10">
        <f>H681+H719</f>
        <v>22344</v>
      </c>
      <c r="I683" s="38">
        <f>SUM(F683:H683)</f>
        <v>67675</v>
      </c>
      <c r="J683" s="10">
        <f>J681+J719</f>
        <v>22380</v>
      </c>
      <c r="K683" s="10">
        <f>K681+K719</f>
        <v>24301</v>
      </c>
      <c r="L683" s="10">
        <f>L681+L719</f>
        <v>22264</v>
      </c>
      <c r="M683" s="38">
        <f>SUM(J683:L683)</f>
        <v>68945</v>
      </c>
      <c r="N683" s="10">
        <f>N681+N719</f>
        <v>12867</v>
      </c>
      <c r="O683" s="10">
        <f>O681+O719</f>
        <v>3297</v>
      </c>
      <c r="P683" s="10">
        <f>P681+P719</f>
        <v>2882</v>
      </c>
      <c r="Q683" s="38">
        <f>SUM(N683:P683)</f>
        <v>19046</v>
      </c>
      <c r="R683" s="38">
        <f>+E683+I683+M683+Q683</f>
        <v>207153</v>
      </c>
    </row>
    <row r="684" spans="1:18" ht="16.5" customHeight="1" thickBot="1" x14ac:dyDescent="0.35">
      <c r="A684" s="263" t="s">
        <v>1332</v>
      </c>
      <c r="B684" s="315">
        <f>(B683/B10)/1.983</f>
        <v>203.73171961674231</v>
      </c>
      <c r="C684" s="315">
        <f>(C683/C10)/1.983</f>
        <v>332.18067862545922</v>
      </c>
      <c r="D684" s="315">
        <f>(D683/D10)/1.983</f>
        <v>333.78881785499323</v>
      </c>
      <c r="E684" s="40" t="s">
        <v>852</v>
      </c>
      <c r="F684" s="315">
        <f>(F683/F10)/1.983</f>
        <v>368.86871743150107</v>
      </c>
      <c r="G684" s="315">
        <f>(G683/G10)/1.983</f>
        <v>380.44344671644456</v>
      </c>
      <c r="H684" s="315">
        <f>(H683/H10)/1.983</f>
        <v>375.59253656076646</v>
      </c>
      <c r="I684" s="40" t="s">
        <v>852</v>
      </c>
      <c r="J684" s="315">
        <f>(J683/J10)/1.983</f>
        <v>364.06227124103259</v>
      </c>
      <c r="K684" s="315">
        <f>(K683/K10)/1.983</f>
        <v>395.31176288777186</v>
      </c>
      <c r="L684" s="315">
        <f>(L683/L10)/1.983</f>
        <v>374.24777273491338</v>
      </c>
      <c r="M684" s="40" t="s">
        <v>852</v>
      </c>
      <c r="N684" s="315">
        <f>(N683/N10)/1.983</f>
        <v>209.31140500707627</v>
      </c>
      <c r="O684" s="315">
        <f>(O683/O10)/1.983</f>
        <v>55.421079172970245</v>
      </c>
      <c r="P684" s="315">
        <f>(P683/P10)/1.983</f>
        <v>46.882371122281327</v>
      </c>
      <c r="Q684" s="40" t="s">
        <v>852</v>
      </c>
      <c r="R684" s="40" t="s">
        <v>852</v>
      </c>
    </row>
    <row r="685" spans="1:18" ht="15.75" customHeight="1" x14ac:dyDescent="0.3">
      <c r="A685" s="18"/>
      <c r="B685" s="10"/>
      <c r="C685" s="10"/>
      <c r="D685" s="10"/>
      <c r="E685" s="10"/>
      <c r="F685" s="10"/>
      <c r="G685" s="10"/>
      <c r="H685" s="10"/>
      <c r="I685" s="10"/>
      <c r="J685" s="10"/>
      <c r="K685" s="10"/>
      <c r="L685" s="10"/>
      <c r="M685" s="10"/>
      <c r="N685" s="10"/>
      <c r="O685" s="10"/>
      <c r="P685" s="10"/>
      <c r="Q685" s="10"/>
      <c r="R685" s="17"/>
    </row>
    <row r="686" spans="1:18" ht="15.75" customHeight="1" thickBot="1" x14ac:dyDescent="0.35">
      <c r="A686" s="18"/>
      <c r="B686" s="10"/>
      <c r="C686" s="10"/>
      <c r="D686" s="10"/>
      <c r="E686" s="10"/>
      <c r="F686" s="10"/>
      <c r="G686" s="10"/>
      <c r="H686" s="10"/>
      <c r="I686" s="10"/>
      <c r="J686" s="10"/>
      <c r="K686" s="10"/>
      <c r="L686" s="10"/>
      <c r="M686" s="10"/>
      <c r="N686" s="10"/>
      <c r="O686" s="10"/>
      <c r="P686" s="10"/>
      <c r="Q686" s="10"/>
      <c r="R686" s="17"/>
    </row>
    <row r="687" spans="1:18" ht="16.5" customHeight="1" thickBot="1" x14ac:dyDescent="0.35">
      <c r="A687" s="240" t="s">
        <v>1333</v>
      </c>
      <c r="B687" s="4" t="s">
        <v>2090</v>
      </c>
      <c r="C687" s="5" t="s">
        <v>2091</v>
      </c>
      <c r="D687" s="5" t="s">
        <v>2234</v>
      </c>
      <c r="E687" s="33" t="s">
        <v>1594</v>
      </c>
      <c r="F687" s="5" t="s">
        <v>2235</v>
      </c>
      <c r="G687" s="5" t="s">
        <v>2236</v>
      </c>
      <c r="H687" s="5" t="s">
        <v>2237</v>
      </c>
      <c r="I687" s="35" t="s">
        <v>1595</v>
      </c>
      <c r="J687" s="5" t="s">
        <v>1504</v>
      </c>
      <c r="K687" s="5" t="s">
        <v>1505</v>
      </c>
      <c r="L687" s="5" t="s">
        <v>1506</v>
      </c>
      <c r="M687" s="35" t="s">
        <v>1596</v>
      </c>
      <c r="N687" s="5" t="s">
        <v>1507</v>
      </c>
      <c r="O687" s="5" t="s">
        <v>1508</v>
      </c>
      <c r="P687" s="5" t="s">
        <v>1509</v>
      </c>
      <c r="Q687" s="35" t="s">
        <v>1597</v>
      </c>
      <c r="R687" s="36" t="s">
        <v>1510</v>
      </c>
    </row>
    <row r="688" spans="1:18" ht="16.5" customHeight="1" thickBot="1" x14ac:dyDescent="0.35">
      <c r="A688" s="22"/>
      <c r="B688" s="297"/>
      <c r="C688" s="297"/>
      <c r="D688" s="297"/>
      <c r="E688" s="302"/>
      <c r="F688" s="297"/>
      <c r="G688" s="297"/>
      <c r="H688" s="297"/>
      <c r="I688" s="302"/>
      <c r="J688" s="297"/>
      <c r="K688" s="297"/>
      <c r="L688" s="297"/>
      <c r="M688" s="302"/>
      <c r="N688" s="297"/>
      <c r="O688" s="297"/>
      <c r="P688" s="297"/>
      <c r="Q688" s="302"/>
      <c r="R688" s="19"/>
    </row>
    <row r="689" spans="1:18" ht="15.75" customHeight="1" x14ac:dyDescent="0.3">
      <c r="A689" s="234" t="s">
        <v>2417</v>
      </c>
      <c r="B689" s="10" t="s">
        <v>852</v>
      </c>
      <c r="C689" s="10" t="s">
        <v>852</v>
      </c>
      <c r="D689" s="10" t="s">
        <v>852</v>
      </c>
      <c r="E689" s="38" t="s">
        <v>852</v>
      </c>
      <c r="F689" s="10" t="s">
        <v>852</v>
      </c>
      <c r="G689" s="10" t="s">
        <v>852</v>
      </c>
      <c r="H689" s="10" t="s">
        <v>852</v>
      </c>
      <c r="I689" s="38" t="s">
        <v>852</v>
      </c>
      <c r="J689" s="10" t="s">
        <v>852</v>
      </c>
      <c r="K689" s="10" t="s">
        <v>852</v>
      </c>
      <c r="L689" s="10" t="s">
        <v>852</v>
      </c>
      <c r="M689" s="38" t="s">
        <v>852</v>
      </c>
      <c r="N689" s="10" t="s">
        <v>852</v>
      </c>
      <c r="O689" s="10" t="s">
        <v>852</v>
      </c>
      <c r="P689" s="10" t="s">
        <v>852</v>
      </c>
      <c r="Q689" s="38" t="s">
        <v>852</v>
      </c>
      <c r="R689" s="38" t="s">
        <v>852</v>
      </c>
    </row>
    <row r="690" spans="1:18" ht="15.75" customHeight="1" x14ac:dyDescent="0.3">
      <c r="A690" s="234" t="s">
        <v>2160</v>
      </c>
      <c r="B690" s="10"/>
      <c r="C690" s="10"/>
      <c r="D690" s="10"/>
      <c r="E690" s="38" t="s">
        <v>852</v>
      </c>
      <c r="F690" s="10"/>
      <c r="G690" s="10"/>
      <c r="H690" s="10"/>
      <c r="I690" s="38" t="s">
        <v>852</v>
      </c>
      <c r="J690" s="10"/>
      <c r="K690" s="10"/>
      <c r="L690" s="10"/>
      <c r="M690" s="38" t="s">
        <v>852</v>
      </c>
      <c r="N690" s="10"/>
      <c r="O690" s="10"/>
      <c r="P690" s="10"/>
      <c r="Q690" s="38" t="s">
        <v>852</v>
      </c>
      <c r="R690" s="38" t="s">
        <v>852</v>
      </c>
    </row>
    <row r="691" spans="1:18" ht="15.75" customHeight="1" x14ac:dyDescent="0.3">
      <c r="A691" s="539" t="s">
        <v>2747</v>
      </c>
      <c r="B691" s="10">
        <v>100</v>
      </c>
      <c r="C691" s="10">
        <v>200</v>
      </c>
      <c r="D691" s="10">
        <v>500</v>
      </c>
      <c r="E691" s="38">
        <f>SUM(B691:D691)</f>
        <v>800</v>
      </c>
      <c r="F691" s="10">
        <v>700</v>
      </c>
      <c r="G691" s="10">
        <v>1300</v>
      </c>
      <c r="H691" s="10">
        <v>1500</v>
      </c>
      <c r="I691" s="38">
        <f>SUM(F691:H691)</f>
        <v>3500</v>
      </c>
      <c r="J691" s="10">
        <v>2000</v>
      </c>
      <c r="K691" s="10">
        <v>1600</v>
      </c>
      <c r="L691" s="10">
        <v>1200</v>
      </c>
      <c r="M691" s="38">
        <f>SUM(J691:L691)</f>
        <v>4800</v>
      </c>
      <c r="N691" s="10">
        <v>400</v>
      </c>
      <c r="O691" s="10">
        <v>100</v>
      </c>
      <c r="P691" s="10">
        <v>200</v>
      </c>
      <c r="Q691" s="38">
        <f>SUM(N691:P691)</f>
        <v>700</v>
      </c>
      <c r="R691" s="38">
        <f>+E691+I691+M691+Q691</f>
        <v>9800</v>
      </c>
    </row>
    <row r="692" spans="1:18" ht="15.75" customHeight="1" x14ac:dyDescent="0.3">
      <c r="A692" s="539" t="s">
        <v>2748</v>
      </c>
      <c r="B692" s="356">
        <v>200</v>
      </c>
      <c r="C692" s="356">
        <v>400</v>
      </c>
      <c r="D692" s="356">
        <v>400</v>
      </c>
      <c r="E692" s="38">
        <f>SUM(B692:D692)</f>
        <v>1000</v>
      </c>
      <c r="F692" s="356">
        <v>400</v>
      </c>
      <c r="G692" s="356"/>
      <c r="H692" s="356">
        <v>200</v>
      </c>
      <c r="I692" s="38">
        <f>SUM(F692:H692)</f>
        <v>600</v>
      </c>
      <c r="J692" s="356">
        <v>300</v>
      </c>
      <c r="K692" s="356">
        <v>200</v>
      </c>
      <c r="L692" s="10">
        <v>200</v>
      </c>
      <c r="M692" s="38">
        <f>SUM(J692:L692)</f>
        <v>700</v>
      </c>
      <c r="N692" s="10">
        <v>200</v>
      </c>
      <c r="O692" s="10"/>
      <c r="P692" s="10">
        <v>200</v>
      </c>
      <c r="Q692" s="38">
        <f>SUM(N692:P692)</f>
        <v>400</v>
      </c>
      <c r="R692" s="38">
        <f>+E692+I692+M692+Q692</f>
        <v>2700</v>
      </c>
    </row>
    <row r="693" spans="1:18" ht="15.75" customHeight="1" x14ac:dyDescent="0.3">
      <c r="A693" s="310" t="s">
        <v>537</v>
      </c>
      <c r="B693" s="10">
        <v>80</v>
      </c>
      <c r="C693" s="10">
        <v>50</v>
      </c>
      <c r="D693" s="10">
        <v>70</v>
      </c>
      <c r="E693" s="38">
        <f>SUM(B693:D693)</f>
        <v>200</v>
      </c>
      <c r="F693" s="10">
        <v>70</v>
      </c>
      <c r="G693" s="10">
        <v>50</v>
      </c>
      <c r="H693" s="10"/>
      <c r="I693" s="38">
        <f>SUM(F693:H693)</f>
        <v>120</v>
      </c>
      <c r="J693" s="10"/>
      <c r="K693" s="10"/>
      <c r="L693" s="10"/>
      <c r="M693" s="38">
        <f>SUM(J693:L693)</f>
        <v>0</v>
      </c>
      <c r="N693" s="10"/>
      <c r="O693" s="10"/>
      <c r="P693" s="10">
        <v>100</v>
      </c>
      <c r="Q693" s="38">
        <f>SUM(N693:P693)</f>
        <v>100</v>
      </c>
      <c r="R693" s="38">
        <f>+E693+I693+M693+Q693</f>
        <v>420</v>
      </c>
    </row>
    <row r="694" spans="1:18" ht="15.75" customHeight="1" x14ac:dyDescent="0.3">
      <c r="A694" s="234" t="s">
        <v>2161</v>
      </c>
      <c r="B694" s="10"/>
      <c r="C694" s="10"/>
      <c r="D694" s="10"/>
      <c r="E694" s="38" t="s">
        <v>852</v>
      </c>
      <c r="F694" s="10"/>
      <c r="G694" s="10"/>
      <c r="H694" s="10"/>
      <c r="I694" s="38" t="s">
        <v>852</v>
      </c>
      <c r="J694" s="10"/>
      <c r="K694" s="10"/>
      <c r="L694" s="10"/>
      <c r="M694" s="38" t="s">
        <v>852</v>
      </c>
      <c r="N694" s="10"/>
      <c r="O694" s="10"/>
      <c r="P694" s="10"/>
      <c r="Q694" s="38" t="s">
        <v>852</v>
      </c>
      <c r="R694" s="38" t="s">
        <v>852</v>
      </c>
    </row>
    <row r="695" spans="1:18" ht="15.75" customHeight="1" x14ac:dyDescent="0.3">
      <c r="A695" s="234" t="s">
        <v>3245</v>
      </c>
      <c r="B695" s="10"/>
      <c r="C695" s="10"/>
      <c r="D695" s="10"/>
      <c r="E695" s="38" t="s">
        <v>852</v>
      </c>
      <c r="F695" s="10"/>
      <c r="G695" s="10"/>
      <c r="H695" s="10"/>
      <c r="I695" s="38" t="s">
        <v>852</v>
      </c>
      <c r="J695" s="10"/>
      <c r="K695" s="10"/>
      <c r="L695" s="10"/>
      <c r="M695" s="38" t="s">
        <v>852</v>
      </c>
      <c r="N695" s="10"/>
      <c r="O695" s="10"/>
      <c r="P695" s="10"/>
      <c r="Q695" s="38" t="s">
        <v>852</v>
      </c>
      <c r="R695" s="38" t="s">
        <v>852</v>
      </c>
    </row>
    <row r="696" spans="1:18" ht="15.75" customHeight="1" thickBot="1" x14ac:dyDescent="0.35">
      <c r="A696" s="234" t="s">
        <v>2164</v>
      </c>
      <c r="B696" s="10"/>
      <c r="C696" s="10"/>
      <c r="D696" s="10"/>
      <c r="E696" s="38" t="s">
        <v>852</v>
      </c>
      <c r="F696" s="10"/>
      <c r="G696" s="10"/>
      <c r="H696" s="10"/>
      <c r="I696" s="38" t="s">
        <v>852</v>
      </c>
      <c r="J696" s="10"/>
      <c r="K696" s="10"/>
      <c r="L696" s="10"/>
      <c r="M696" s="38" t="s">
        <v>852</v>
      </c>
      <c r="N696" s="10"/>
      <c r="O696" s="10"/>
      <c r="P696" s="10"/>
      <c r="Q696" s="38" t="s">
        <v>852</v>
      </c>
      <c r="R696" s="38" t="s">
        <v>852</v>
      </c>
    </row>
    <row r="697" spans="1:18" ht="16.5" customHeight="1" thickBot="1" x14ac:dyDescent="0.35">
      <c r="A697" s="322" t="s">
        <v>1218</v>
      </c>
      <c r="B697" s="45">
        <f>SUM(B689:B696)</f>
        <v>380</v>
      </c>
      <c r="C697" s="46">
        <f>SUM(C689:C696)</f>
        <v>650</v>
      </c>
      <c r="D697" s="46">
        <f>SUM(D689:D696)</f>
        <v>970</v>
      </c>
      <c r="E697" s="37">
        <f>SUM(B697:D697)</f>
        <v>2000</v>
      </c>
      <c r="F697" s="46">
        <f>SUM(F689:F696)</f>
        <v>1170</v>
      </c>
      <c r="G697" s="46">
        <f>SUM(G689:G696)</f>
        <v>1350</v>
      </c>
      <c r="H697" s="46">
        <f>SUM(H689:H696)</f>
        <v>1700</v>
      </c>
      <c r="I697" s="37">
        <f>SUM(F697:H697)</f>
        <v>4220</v>
      </c>
      <c r="J697" s="46">
        <f>SUM(J689:J696)</f>
        <v>2300</v>
      </c>
      <c r="K697" s="46">
        <f>SUM(K689:K696)</f>
        <v>1800</v>
      </c>
      <c r="L697" s="46">
        <f>SUM(L689:L696)</f>
        <v>1400</v>
      </c>
      <c r="M697" s="37">
        <f>SUM(J697:L697)</f>
        <v>5500</v>
      </c>
      <c r="N697" s="46">
        <f>SUM(N689:N696)</f>
        <v>600</v>
      </c>
      <c r="O697" s="46">
        <f>SUM(O689:O696)</f>
        <v>100</v>
      </c>
      <c r="P697" s="46">
        <f>SUM(P689:P696)</f>
        <v>500</v>
      </c>
      <c r="Q697" s="37">
        <f>SUM(N697:P697)</f>
        <v>1200</v>
      </c>
      <c r="R697" s="37">
        <f>+E697+I697+M697+Q697</f>
        <v>12920</v>
      </c>
    </row>
    <row r="698" spans="1:18" ht="15.75" customHeight="1" x14ac:dyDescent="0.3">
      <c r="A698" s="234" t="s">
        <v>1172</v>
      </c>
      <c r="B698" s="10"/>
      <c r="C698" s="10"/>
      <c r="D698" s="10"/>
      <c r="E698" s="38" t="s">
        <v>852</v>
      </c>
      <c r="F698" s="10"/>
      <c r="G698" s="10"/>
      <c r="H698" s="10"/>
      <c r="I698" s="38" t="s">
        <v>852</v>
      </c>
      <c r="J698" s="10"/>
      <c r="K698" s="10"/>
      <c r="L698" s="10"/>
      <c r="M698" s="38" t="s">
        <v>852</v>
      </c>
      <c r="N698" s="10"/>
      <c r="O698" s="10"/>
      <c r="P698" s="10"/>
      <c r="Q698" s="38" t="s">
        <v>852</v>
      </c>
      <c r="R698" s="38" t="s">
        <v>852</v>
      </c>
    </row>
    <row r="699" spans="1:18" ht="15.75" customHeight="1" x14ac:dyDescent="0.3">
      <c r="A699" s="234" t="s">
        <v>2409</v>
      </c>
      <c r="B699" s="10"/>
      <c r="C699" s="10"/>
      <c r="D699" s="10"/>
      <c r="E699" s="38" t="s">
        <v>852</v>
      </c>
      <c r="F699" s="10"/>
      <c r="G699" s="10"/>
      <c r="H699" s="10"/>
      <c r="I699" s="38" t="s">
        <v>852</v>
      </c>
      <c r="J699" s="10"/>
      <c r="K699" s="10"/>
      <c r="L699" s="10"/>
      <c r="M699" s="38" t="s">
        <v>852</v>
      </c>
      <c r="N699" s="10"/>
      <c r="O699" s="10"/>
      <c r="P699" s="10"/>
      <c r="Q699" s="38" t="s">
        <v>852</v>
      </c>
      <c r="R699" s="38" t="s">
        <v>852</v>
      </c>
    </row>
    <row r="700" spans="1:18" ht="15.75" customHeight="1" thickBot="1" x14ac:dyDescent="0.35">
      <c r="A700" s="234" t="s">
        <v>2165</v>
      </c>
      <c r="B700" s="10"/>
      <c r="C700" s="10"/>
      <c r="D700" s="10"/>
      <c r="E700" s="38" t="s">
        <v>852</v>
      </c>
      <c r="F700" s="10"/>
      <c r="G700" s="10"/>
      <c r="H700" s="10"/>
      <c r="I700" s="38" t="s">
        <v>852</v>
      </c>
      <c r="J700" s="10"/>
      <c r="K700" s="10"/>
      <c r="L700" s="10"/>
      <c r="M700" s="38" t="s">
        <v>852</v>
      </c>
      <c r="N700" s="10"/>
      <c r="O700" s="10"/>
      <c r="P700" s="10"/>
      <c r="Q700" s="38" t="s">
        <v>852</v>
      </c>
      <c r="R700" s="38" t="s">
        <v>852</v>
      </c>
    </row>
    <row r="701" spans="1:18" ht="16.5" customHeight="1" thickBot="1" x14ac:dyDescent="0.35">
      <c r="A701" s="43" t="s">
        <v>1219</v>
      </c>
      <c r="B701" s="45">
        <f>SUM(B698:B700)</f>
        <v>0</v>
      </c>
      <c r="C701" s="46">
        <f>SUM(C698:C700)</f>
        <v>0</v>
      </c>
      <c r="D701" s="46">
        <f>SUM(D698:D700)</f>
        <v>0</v>
      </c>
      <c r="E701" s="37">
        <f>SUM(B701:D701)</f>
        <v>0</v>
      </c>
      <c r="F701" s="46">
        <f>SUM(F698:F700)</f>
        <v>0</v>
      </c>
      <c r="G701" s="46">
        <f>SUM(G698:G700)</f>
        <v>0</v>
      </c>
      <c r="H701" s="46">
        <f>SUM(H698:H700)</f>
        <v>0</v>
      </c>
      <c r="I701" s="37">
        <f>SUM(F701:H701)</f>
        <v>0</v>
      </c>
      <c r="J701" s="46">
        <f>SUM(J698:J700)</f>
        <v>0</v>
      </c>
      <c r="K701" s="46">
        <f>SUM(K698:K700)</f>
        <v>0</v>
      </c>
      <c r="L701" s="46">
        <f>SUM(L698:L700)</f>
        <v>0</v>
      </c>
      <c r="M701" s="37">
        <f>SUM(J701:L701)</f>
        <v>0</v>
      </c>
      <c r="N701" s="46">
        <f>SUM(N698:N700)</f>
        <v>0</v>
      </c>
      <c r="O701" s="46">
        <f>SUM(O698:O700)</f>
        <v>0</v>
      </c>
      <c r="P701" s="46">
        <f>SUM(P698:P700)</f>
        <v>0</v>
      </c>
      <c r="Q701" s="37">
        <f>SUM(N701:P701)</f>
        <v>0</v>
      </c>
      <c r="R701" s="37">
        <f>+E701+I701+M701+Q701</f>
        <v>0</v>
      </c>
    </row>
    <row r="702" spans="1:18" ht="15.75" customHeight="1" x14ac:dyDescent="0.3">
      <c r="A702" s="234" t="s">
        <v>2166</v>
      </c>
      <c r="B702" s="10"/>
      <c r="C702" s="10"/>
      <c r="D702" s="10"/>
      <c r="E702" s="38" t="s">
        <v>852</v>
      </c>
      <c r="F702" s="10"/>
      <c r="G702" s="10"/>
      <c r="H702" s="10"/>
      <c r="I702" s="38" t="s">
        <v>852</v>
      </c>
      <c r="J702" s="10"/>
      <c r="K702" s="10"/>
      <c r="L702" s="10"/>
      <c r="M702" s="38" t="s">
        <v>852</v>
      </c>
      <c r="N702" s="10"/>
      <c r="O702" s="10"/>
      <c r="P702" s="10"/>
      <c r="Q702" s="38" t="s">
        <v>852</v>
      </c>
      <c r="R702" s="38" t="s">
        <v>852</v>
      </c>
    </row>
    <row r="703" spans="1:18" ht="15.75" customHeight="1" x14ac:dyDescent="0.3">
      <c r="A703" s="234" t="s">
        <v>1245</v>
      </c>
      <c r="B703" s="10"/>
      <c r="C703" s="10"/>
      <c r="D703" s="10"/>
      <c r="E703" s="38" t="s">
        <v>852</v>
      </c>
      <c r="F703" s="10"/>
      <c r="G703" s="10"/>
      <c r="H703" s="10"/>
      <c r="I703" s="38" t="s">
        <v>852</v>
      </c>
      <c r="J703" s="10"/>
      <c r="K703" s="10"/>
      <c r="L703" s="10"/>
      <c r="M703" s="38" t="s">
        <v>852</v>
      </c>
      <c r="N703" s="10"/>
      <c r="O703" s="10"/>
      <c r="P703" s="10"/>
      <c r="Q703" s="38" t="s">
        <v>852</v>
      </c>
      <c r="R703" s="38" t="s">
        <v>852</v>
      </c>
    </row>
    <row r="704" spans="1:18" ht="15.75" customHeight="1" thickBot="1" x14ac:dyDescent="0.35">
      <c r="A704" s="234" t="s">
        <v>1711</v>
      </c>
      <c r="B704" s="10"/>
      <c r="C704" s="10"/>
      <c r="D704" s="10"/>
      <c r="E704" s="38" t="s">
        <v>852</v>
      </c>
      <c r="F704" s="10"/>
      <c r="G704" s="10"/>
      <c r="H704" s="10"/>
      <c r="I704" s="38" t="s">
        <v>852</v>
      </c>
      <c r="J704" s="10"/>
      <c r="K704" s="10"/>
      <c r="L704" s="10"/>
      <c r="M704" s="38" t="s">
        <v>852</v>
      </c>
      <c r="N704" s="10"/>
      <c r="O704" s="10"/>
      <c r="P704" s="10"/>
      <c r="Q704" s="38" t="s">
        <v>852</v>
      </c>
      <c r="R704" s="38" t="s">
        <v>852</v>
      </c>
    </row>
    <row r="705" spans="1:18" ht="16.5" customHeight="1" thickBot="1" x14ac:dyDescent="0.35">
      <c r="A705" s="277" t="s">
        <v>1220</v>
      </c>
      <c r="B705" s="45">
        <f>SUM(B702:B704)</f>
        <v>0</v>
      </c>
      <c r="C705" s="46">
        <f>SUM(C702:C704)</f>
        <v>0</v>
      </c>
      <c r="D705" s="46">
        <f>SUM(D702:D704)</f>
        <v>0</v>
      </c>
      <c r="E705" s="37">
        <f>SUM(B705:D705)</f>
        <v>0</v>
      </c>
      <c r="F705" s="46">
        <f>SUM(F702:F704)</f>
        <v>0</v>
      </c>
      <c r="G705" s="46">
        <f>SUM(G702:G704)</f>
        <v>0</v>
      </c>
      <c r="H705" s="46">
        <f>SUM(H702:H704)</f>
        <v>0</v>
      </c>
      <c r="I705" s="37">
        <f>SUM(F705:H705)</f>
        <v>0</v>
      </c>
      <c r="J705" s="46">
        <f>SUM(J702:J704)</f>
        <v>0</v>
      </c>
      <c r="K705" s="46">
        <f>SUM(K702:K704)</f>
        <v>0</v>
      </c>
      <c r="L705" s="46">
        <f>SUM(L702:L704)</f>
        <v>0</v>
      </c>
      <c r="M705" s="37">
        <f>SUM(J705:L705)</f>
        <v>0</v>
      </c>
      <c r="N705" s="46">
        <f>SUM(N702:N704)</f>
        <v>0</v>
      </c>
      <c r="O705" s="46">
        <f>SUM(O702:O704)</f>
        <v>0</v>
      </c>
      <c r="P705" s="46">
        <f>SUM(P702:P704)</f>
        <v>0</v>
      </c>
      <c r="Q705" s="37">
        <f>SUM(N705:P705)</f>
        <v>0</v>
      </c>
      <c r="R705" s="37">
        <f>+E705+I705+M705+Q705</f>
        <v>0</v>
      </c>
    </row>
    <row r="706" spans="1:18" ht="15.75" customHeight="1" x14ac:dyDescent="0.3">
      <c r="A706" s="234" t="s">
        <v>1712</v>
      </c>
      <c r="B706" s="10"/>
      <c r="C706" s="10"/>
      <c r="D706" s="10"/>
      <c r="E706" s="38" t="s">
        <v>852</v>
      </c>
      <c r="F706" s="10"/>
      <c r="G706" s="10"/>
      <c r="H706" s="10"/>
      <c r="I706" s="38" t="s">
        <v>852</v>
      </c>
      <c r="J706" s="10"/>
      <c r="K706" s="10"/>
      <c r="L706" s="10"/>
      <c r="M706" s="38" t="s">
        <v>852</v>
      </c>
      <c r="N706" s="10"/>
      <c r="O706" s="10"/>
      <c r="P706" s="10"/>
      <c r="Q706" s="38" t="s">
        <v>852</v>
      </c>
      <c r="R706" s="38" t="s">
        <v>852</v>
      </c>
    </row>
    <row r="707" spans="1:18" ht="15.75" customHeight="1" x14ac:dyDescent="0.3">
      <c r="A707" s="234" t="s">
        <v>1021</v>
      </c>
      <c r="B707" s="10"/>
      <c r="C707" s="10"/>
      <c r="D707" s="10"/>
      <c r="E707" s="38" t="s">
        <v>852</v>
      </c>
      <c r="F707" s="10"/>
      <c r="G707" s="10"/>
      <c r="H707" s="10"/>
      <c r="I707" s="38" t="s">
        <v>852</v>
      </c>
      <c r="J707" s="10"/>
      <c r="K707" s="10"/>
      <c r="L707" s="10"/>
      <c r="M707" s="38" t="s">
        <v>852</v>
      </c>
      <c r="N707" s="10"/>
      <c r="O707" s="10"/>
      <c r="P707" s="10"/>
      <c r="Q707" s="38" t="s">
        <v>852</v>
      </c>
      <c r="R707" s="38" t="s">
        <v>852</v>
      </c>
    </row>
    <row r="708" spans="1:18" ht="15.75" customHeight="1" x14ac:dyDescent="0.3">
      <c r="A708" s="234" t="s">
        <v>557</v>
      </c>
      <c r="B708" s="10"/>
      <c r="C708" s="10"/>
      <c r="D708" s="10"/>
      <c r="E708" s="38" t="s">
        <v>852</v>
      </c>
      <c r="F708" s="10"/>
      <c r="G708" s="10"/>
      <c r="H708" s="10"/>
      <c r="I708" s="38" t="s">
        <v>852</v>
      </c>
      <c r="J708" s="10"/>
      <c r="K708" s="10"/>
      <c r="L708" s="10"/>
      <c r="M708" s="38" t="s">
        <v>852</v>
      </c>
      <c r="N708" s="10"/>
      <c r="O708" s="10"/>
      <c r="P708" s="10"/>
      <c r="Q708" s="38" t="s">
        <v>852</v>
      </c>
      <c r="R708" s="38" t="s">
        <v>852</v>
      </c>
    </row>
    <row r="709" spans="1:18" ht="15.75" customHeight="1" x14ac:dyDescent="0.3">
      <c r="A709" s="539" t="s">
        <v>2584</v>
      </c>
      <c r="B709" s="10"/>
      <c r="C709" s="10"/>
      <c r="D709" s="10"/>
      <c r="E709" s="38">
        <f>SUM(B709:D709)</f>
        <v>0</v>
      </c>
      <c r="F709" s="10"/>
      <c r="G709" s="10"/>
      <c r="H709" s="10"/>
      <c r="I709" s="38">
        <f>SUM(F709:H709)</f>
        <v>0</v>
      </c>
      <c r="J709" s="10"/>
      <c r="K709" s="10"/>
      <c r="L709" s="10"/>
      <c r="M709" s="38">
        <f>SUM(J709:L709)</f>
        <v>0</v>
      </c>
      <c r="N709" s="10"/>
      <c r="O709" s="10"/>
      <c r="P709" s="10"/>
      <c r="Q709" s="38">
        <f>SUM(N709:P709)</f>
        <v>0</v>
      </c>
      <c r="R709" s="38">
        <f>+E709+I709+M709+Q709</f>
        <v>0</v>
      </c>
    </row>
    <row r="710" spans="1:18" ht="15.75" customHeight="1" x14ac:dyDescent="0.3">
      <c r="A710" s="234" t="s">
        <v>1022</v>
      </c>
      <c r="B710" s="10"/>
      <c r="C710" s="10"/>
      <c r="D710" s="10"/>
      <c r="E710" s="38" t="s">
        <v>852</v>
      </c>
      <c r="F710" s="10"/>
      <c r="G710" s="10"/>
      <c r="H710" s="10"/>
      <c r="I710" s="38" t="s">
        <v>852</v>
      </c>
      <c r="J710" s="10"/>
      <c r="K710" s="10"/>
      <c r="L710" s="10"/>
      <c r="M710" s="38" t="s">
        <v>852</v>
      </c>
      <c r="N710" s="10"/>
      <c r="O710" s="10"/>
      <c r="P710" s="10"/>
      <c r="Q710" s="38" t="s">
        <v>852</v>
      </c>
      <c r="R710" s="38" t="s">
        <v>852</v>
      </c>
    </row>
    <row r="711" spans="1:18" ht="15.75" customHeight="1" thickBot="1" x14ac:dyDescent="0.35">
      <c r="A711" s="234" t="s">
        <v>559</v>
      </c>
      <c r="B711" s="10"/>
      <c r="C711" s="10"/>
      <c r="D711" s="10"/>
      <c r="E711" s="38" t="s">
        <v>852</v>
      </c>
      <c r="F711" s="10"/>
      <c r="G711" s="10"/>
      <c r="H711" s="10"/>
      <c r="I711" s="38" t="s">
        <v>852</v>
      </c>
      <c r="J711" s="10"/>
      <c r="K711" s="10"/>
      <c r="L711" s="10"/>
      <c r="M711" s="38" t="s">
        <v>852</v>
      </c>
      <c r="N711" s="10"/>
      <c r="O711" s="10"/>
      <c r="P711" s="10"/>
      <c r="Q711" s="38" t="s">
        <v>852</v>
      </c>
      <c r="R711" s="38" t="s">
        <v>852</v>
      </c>
    </row>
    <row r="712" spans="1:18" ht="16.5" customHeight="1" thickBot="1" x14ac:dyDescent="0.35">
      <c r="A712" s="43" t="s">
        <v>1019</v>
      </c>
      <c r="B712" s="42">
        <f>SUM(B710:B711)</f>
        <v>0</v>
      </c>
      <c r="C712" s="42">
        <f>SUM(C710:C711)</f>
        <v>0</v>
      </c>
      <c r="D712" s="42">
        <f>SUM(D710:D711)</f>
        <v>0</v>
      </c>
      <c r="E712" s="39">
        <f>SUM(B712:D712)</f>
        <v>0</v>
      </c>
      <c r="F712" s="42">
        <f>SUM(F710:F711)</f>
        <v>0</v>
      </c>
      <c r="G712" s="42">
        <f>SUM(G710:G711)</f>
        <v>0</v>
      </c>
      <c r="H712" s="42">
        <f>SUM(H710:H711)</f>
        <v>0</v>
      </c>
      <c r="I712" s="39">
        <f>SUM(F712:H712)</f>
        <v>0</v>
      </c>
      <c r="J712" s="42">
        <f>SUM(J710:J711)</f>
        <v>0</v>
      </c>
      <c r="K712" s="42">
        <f>SUM(K710:K711)</f>
        <v>0</v>
      </c>
      <c r="L712" s="42">
        <f>SUM(L710:L711)</f>
        <v>0</v>
      </c>
      <c r="M712" s="39">
        <f>SUM(J712:L712)</f>
        <v>0</v>
      </c>
      <c r="N712" s="42">
        <f>SUM(N710:N711)</f>
        <v>0</v>
      </c>
      <c r="O712" s="42">
        <f>SUM(O710:O711)</f>
        <v>0</v>
      </c>
      <c r="P712" s="42">
        <f>SUM(P710:P711)</f>
        <v>0</v>
      </c>
      <c r="Q712" s="39">
        <f>SUM(N712:P712)</f>
        <v>0</v>
      </c>
      <c r="R712" s="37">
        <f>+E712+I712+M712+Q712</f>
        <v>0</v>
      </c>
    </row>
    <row r="713" spans="1:18" ht="16.5" customHeight="1" thickBot="1" x14ac:dyDescent="0.35">
      <c r="A713" s="277" t="s">
        <v>1221</v>
      </c>
      <c r="B713" s="45">
        <f>SUM(B706:B711)</f>
        <v>0</v>
      </c>
      <c r="C713" s="46">
        <f>SUM(C706:C711)</f>
        <v>0</v>
      </c>
      <c r="D713" s="58">
        <f>SUM(D706:D711)</f>
        <v>0</v>
      </c>
      <c r="E713" s="39">
        <f>SUM(B713:D713)</f>
        <v>0</v>
      </c>
      <c r="F713" s="46">
        <f>SUM(F706:F711)</f>
        <v>0</v>
      </c>
      <c r="G713" s="46">
        <f>SUM(G706:G711)</f>
        <v>0</v>
      </c>
      <c r="H713" s="46">
        <f>SUM(H706:H711)</f>
        <v>0</v>
      </c>
      <c r="I713" s="39">
        <f>SUM(F713:H713)</f>
        <v>0</v>
      </c>
      <c r="J713" s="46">
        <f>SUM(J706:J711)</f>
        <v>0</v>
      </c>
      <c r="K713" s="46">
        <f>SUM(K706:K711)</f>
        <v>0</v>
      </c>
      <c r="L713" s="46">
        <f>SUM(L706:L711)</f>
        <v>0</v>
      </c>
      <c r="M713" s="39">
        <f>SUM(J713:L713)</f>
        <v>0</v>
      </c>
      <c r="N713" s="46">
        <f>SUM(N706:N711)</f>
        <v>0</v>
      </c>
      <c r="O713" s="46">
        <f>SUM(O706:O711)</f>
        <v>0</v>
      </c>
      <c r="P713" s="46">
        <f>SUM(P706:P711)</f>
        <v>0</v>
      </c>
      <c r="Q713" s="39">
        <f>SUM(N713:P713)</f>
        <v>0</v>
      </c>
      <c r="R713" s="37">
        <f>+E713+I713+M713+Q713</f>
        <v>0</v>
      </c>
    </row>
    <row r="714" spans="1:18" ht="16.5" customHeight="1" thickBot="1" x14ac:dyDescent="0.35">
      <c r="A714" s="43" t="s">
        <v>1222</v>
      </c>
      <c r="B714" s="47">
        <f>+B697+B701+B705+B713</f>
        <v>380</v>
      </c>
      <c r="C714" s="42">
        <f>+C697+C701+C705+C713</f>
        <v>650</v>
      </c>
      <c r="D714" s="42">
        <f>+D697+D701+D705+D713</f>
        <v>970</v>
      </c>
      <c r="E714" s="37">
        <f>SUM(B714:D714)</f>
        <v>2000</v>
      </c>
      <c r="F714" s="42">
        <f>+F697+F701+F705+F713</f>
        <v>1170</v>
      </c>
      <c r="G714" s="42">
        <f>+G697+G701+G705+G713</f>
        <v>1350</v>
      </c>
      <c r="H714" s="42">
        <f>+H697+H701+H705+H713</f>
        <v>1700</v>
      </c>
      <c r="I714" s="37">
        <f>SUM(F714:H714)</f>
        <v>4220</v>
      </c>
      <c r="J714" s="42">
        <f>+J697+J701+J705+J713</f>
        <v>2300</v>
      </c>
      <c r="K714" s="42">
        <f>+K697+K701+K705+K713</f>
        <v>1800</v>
      </c>
      <c r="L714" s="42">
        <f>+L697+L701+L705+L713</f>
        <v>1400</v>
      </c>
      <c r="M714" s="37">
        <f>SUM(J714:L714)</f>
        <v>5500</v>
      </c>
      <c r="N714" s="42">
        <f>+N697+N701+N705+N713</f>
        <v>600</v>
      </c>
      <c r="O714" s="42">
        <f>+O697+O701+O705+O713</f>
        <v>100</v>
      </c>
      <c r="P714" s="42">
        <f>+P697+P701+P705+P713</f>
        <v>500</v>
      </c>
      <c r="Q714" s="37">
        <f>SUM(N714:P714)</f>
        <v>1200</v>
      </c>
      <c r="R714" s="40">
        <f>+E714+I714+M714+Q714</f>
        <v>12920</v>
      </c>
    </row>
    <row r="715" spans="1:18" ht="16.5" customHeight="1" thickBot="1" x14ac:dyDescent="0.35">
      <c r="A715" s="299" t="s">
        <v>853</v>
      </c>
      <c r="B715" s="294">
        <v>10</v>
      </c>
      <c r="C715" s="294">
        <v>11</v>
      </c>
      <c r="D715" s="294">
        <v>14</v>
      </c>
      <c r="E715" s="38">
        <f>SUM(B715:D715)</f>
        <v>35</v>
      </c>
      <c r="F715" s="294">
        <v>18</v>
      </c>
      <c r="G715" s="294">
        <v>21</v>
      </c>
      <c r="H715" s="294">
        <v>22</v>
      </c>
      <c r="I715" s="38">
        <f>SUM(F715:H715)</f>
        <v>61</v>
      </c>
      <c r="J715" s="294">
        <v>19</v>
      </c>
      <c r="K715" s="294">
        <v>17</v>
      </c>
      <c r="L715" s="294">
        <v>17</v>
      </c>
      <c r="M715" s="38">
        <f>SUM(J715:L715)</f>
        <v>53</v>
      </c>
      <c r="N715" s="294">
        <v>14</v>
      </c>
      <c r="O715" s="294">
        <v>11</v>
      </c>
      <c r="P715" s="294">
        <v>9</v>
      </c>
      <c r="Q715" s="38">
        <f>SUM(N715:P715)</f>
        <v>34</v>
      </c>
      <c r="R715" s="38">
        <f>+E715+I715+M715+Q715</f>
        <v>183</v>
      </c>
    </row>
    <row r="716" spans="1:18" ht="16.5" customHeight="1" thickBot="1" x14ac:dyDescent="0.35">
      <c r="A716" s="22"/>
      <c r="B716" s="297"/>
      <c r="C716" s="297"/>
      <c r="D716" s="297"/>
      <c r="E716" s="302"/>
      <c r="F716" s="297"/>
      <c r="G716" s="297"/>
      <c r="H716" s="297"/>
      <c r="I716" s="302"/>
      <c r="J716" s="297"/>
      <c r="K716" s="297"/>
      <c r="L716" s="297"/>
      <c r="M716" s="324"/>
      <c r="N716" s="297"/>
      <c r="O716" s="297"/>
      <c r="P716" s="297"/>
      <c r="Q716" s="324"/>
      <c r="R716" s="14"/>
    </row>
    <row r="717" spans="1:18" ht="15.75" customHeight="1" x14ac:dyDescent="0.3">
      <c r="A717" s="234" t="s">
        <v>120</v>
      </c>
      <c r="B717" s="10">
        <f>SUM(B714:B715)</f>
        <v>390</v>
      </c>
      <c r="C717" s="10">
        <f>SUM(C714:C715)</f>
        <v>661</v>
      </c>
      <c r="D717" s="10">
        <f>SUM(D714:D715)</f>
        <v>984</v>
      </c>
      <c r="E717" s="38">
        <f>SUM(B717:D717)</f>
        <v>2035</v>
      </c>
      <c r="F717" s="10">
        <f>SUM(F714:F715)</f>
        <v>1188</v>
      </c>
      <c r="G717" s="10">
        <f>SUM(G714:G715)</f>
        <v>1371</v>
      </c>
      <c r="H717" s="10">
        <f>SUM(H714:H715)</f>
        <v>1722</v>
      </c>
      <c r="I717" s="39">
        <f>SUM(F717:H717)</f>
        <v>4281</v>
      </c>
      <c r="J717" s="10">
        <f>SUM(J714:J715)</f>
        <v>2319</v>
      </c>
      <c r="K717" s="10">
        <f>SUM(K714:K715)</f>
        <v>1817</v>
      </c>
      <c r="L717" s="10">
        <f>SUM(L714:L715)</f>
        <v>1417</v>
      </c>
      <c r="M717" s="39">
        <f>SUM(J717:L717)</f>
        <v>5553</v>
      </c>
      <c r="N717" s="10">
        <f>SUM(N714:N715)</f>
        <v>614</v>
      </c>
      <c r="O717" s="10">
        <f>SUM(O714:O715)</f>
        <v>111</v>
      </c>
      <c r="P717" s="10">
        <f>SUM(P714:P715)</f>
        <v>509</v>
      </c>
      <c r="Q717" s="39">
        <f>SUM(N717:P717)</f>
        <v>1234</v>
      </c>
      <c r="R717" s="39">
        <f>+E717+I717+M717+Q717</f>
        <v>13103</v>
      </c>
    </row>
    <row r="718" spans="1:18" ht="15.75" customHeight="1" x14ac:dyDescent="0.3">
      <c r="A718" s="234" t="s">
        <v>1897</v>
      </c>
      <c r="B718" s="10">
        <f>(B717/B10)/1.983</f>
        <v>6.3442486945488259</v>
      </c>
      <c r="C718" s="10">
        <f>(C717/C10)/1.983</f>
        <v>11.904761904761905</v>
      </c>
      <c r="D718" s="10">
        <f>(D717/D10)/1.983</f>
        <v>16.007027475477038</v>
      </c>
      <c r="E718" s="38" t="s">
        <v>852</v>
      </c>
      <c r="F718" s="10">
        <f>(F717/F10)/1.983</f>
        <v>19.969742813918305</v>
      </c>
      <c r="G718" s="10">
        <f>(G717/G10)/1.983</f>
        <v>22.302474256990873</v>
      </c>
      <c r="H718" s="10">
        <f>(H717/H10)/1.983</f>
        <v>28.946041351487644</v>
      </c>
      <c r="I718" s="38" t="s">
        <v>852</v>
      </c>
      <c r="J718" s="10">
        <f>(J717/J10)/1.983</f>
        <v>37.723878776048025</v>
      </c>
      <c r="K718" s="10">
        <f>(K717/K10)/1.983</f>
        <v>29.557691994859528</v>
      </c>
      <c r="L718" s="10">
        <f>(L717/L10)/1.983</f>
        <v>23.81912926542276</v>
      </c>
      <c r="M718" s="38" t="s">
        <v>852</v>
      </c>
      <c r="N718" s="10">
        <f>(N717/N10)/1.983</f>
        <v>9.9881248678281516</v>
      </c>
      <c r="O718" s="10">
        <f>(O717/O10)/1.983</f>
        <v>1.8658598083711548</v>
      </c>
      <c r="P718" s="10">
        <f>(P717/P10)/1.983</f>
        <v>8.2800579116034676</v>
      </c>
      <c r="Q718" s="38" t="s">
        <v>852</v>
      </c>
      <c r="R718" s="38" t="s">
        <v>852</v>
      </c>
    </row>
    <row r="719" spans="1:18" ht="15.75" customHeight="1" x14ac:dyDescent="0.3">
      <c r="A719" s="234" t="s">
        <v>1334</v>
      </c>
      <c r="B719" s="10">
        <f>B717+B771</f>
        <v>12504</v>
      </c>
      <c r="C719" s="10">
        <f>C717+C771</f>
        <v>18422</v>
      </c>
      <c r="D719" s="10">
        <f>D717+D771</f>
        <v>20491</v>
      </c>
      <c r="E719" s="38">
        <f>SUM(B719:D719)</f>
        <v>51417</v>
      </c>
      <c r="F719" s="10">
        <f>F717+F771</f>
        <v>21907</v>
      </c>
      <c r="G719" s="10">
        <f>G717+G771</f>
        <v>23345</v>
      </c>
      <c r="H719" s="10">
        <f>H717+H771</f>
        <v>22300</v>
      </c>
      <c r="I719" s="38">
        <f>SUM(F719:H719)</f>
        <v>67552</v>
      </c>
      <c r="J719" s="10">
        <f>J717+J771</f>
        <v>22341</v>
      </c>
      <c r="K719" s="10">
        <f>K717+K771</f>
        <v>24265</v>
      </c>
      <c r="L719" s="10">
        <f>L717+L771</f>
        <v>22230</v>
      </c>
      <c r="M719" s="38">
        <f>SUM(J719:L719)</f>
        <v>68836</v>
      </c>
      <c r="N719" s="10">
        <f>N717+N771</f>
        <v>12838</v>
      </c>
      <c r="O719" s="10">
        <f>O717+O771</f>
        <v>3274</v>
      </c>
      <c r="P719" s="10">
        <f>P717+P771</f>
        <v>2863</v>
      </c>
      <c r="Q719" s="38">
        <f>SUM(N719:P719)</f>
        <v>18975</v>
      </c>
      <c r="R719" s="38">
        <f>+E719+I719+M719+Q719</f>
        <v>206780</v>
      </c>
    </row>
    <row r="720" spans="1:18" ht="16.5" customHeight="1" thickBot="1" x14ac:dyDescent="0.35">
      <c r="A720" s="237" t="s">
        <v>1335</v>
      </c>
      <c r="B720" s="294">
        <f>(B719/B10)/1.983</f>
        <v>203.40637352984237</v>
      </c>
      <c r="C720" s="294">
        <f>(C719/C10)/1.983</f>
        <v>331.78445356962754</v>
      </c>
      <c r="D720" s="294">
        <f>(D719/D10)/1.983</f>
        <v>333.33333333333331</v>
      </c>
      <c r="E720" s="40" t="s">
        <v>852</v>
      </c>
      <c r="F720" s="294">
        <f>(F719/F10)/1.983</f>
        <v>368.24676416204403</v>
      </c>
      <c r="G720" s="294">
        <f>(G719/G10)/1.983</f>
        <v>379.76021993395477</v>
      </c>
      <c r="H720" s="294">
        <f>(H719/H10)/1.983</f>
        <v>374.85291645654735</v>
      </c>
      <c r="I720" s="40" t="s">
        <v>852</v>
      </c>
      <c r="J720" s="294">
        <f>(J719/J10)/1.983</f>
        <v>363.42784637157774</v>
      </c>
      <c r="K720" s="294">
        <f>(K719/K10)/1.983</f>
        <v>394.72613993135195</v>
      </c>
      <c r="L720" s="294">
        <f>(L719/L10)/1.983</f>
        <v>373.67624810892585</v>
      </c>
      <c r="M720" s="40" t="s">
        <v>852</v>
      </c>
      <c r="N720" s="294">
        <f>(N719/N10)/1.983</f>
        <v>208.83965318107136</v>
      </c>
      <c r="O720" s="294">
        <f>(O719/O10)/1.983</f>
        <v>55.034459573037488</v>
      </c>
      <c r="P720" s="294">
        <f>(P719/P10)/1.983</f>
        <v>46.573292339726386</v>
      </c>
      <c r="Q720" s="40" t="s">
        <v>852</v>
      </c>
      <c r="R720" s="40" t="s">
        <v>852</v>
      </c>
    </row>
    <row r="721" spans="1:18" ht="15.75" customHeight="1" x14ac:dyDescent="0.3">
      <c r="A721" s="17"/>
      <c r="B721" s="10"/>
      <c r="C721" s="10"/>
      <c r="D721" s="10"/>
      <c r="E721" s="10"/>
      <c r="F721" s="10"/>
      <c r="G721" s="10"/>
      <c r="H721" s="10"/>
      <c r="I721" s="10"/>
      <c r="J721" s="10"/>
      <c r="K721" s="10"/>
      <c r="L721" s="10"/>
      <c r="M721" s="10"/>
      <c r="N721" s="10"/>
      <c r="O721" s="10"/>
      <c r="P721" s="10"/>
      <c r="Q721" s="10"/>
      <c r="R721" s="17"/>
    </row>
    <row r="722" spans="1:18" ht="16.5" customHeight="1" thickBot="1" x14ac:dyDescent="0.35">
      <c r="A722" s="24"/>
      <c r="B722" s="294"/>
      <c r="C722" s="294"/>
      <c r="D722" s="294"/>
      <c r="E722" s="294"/>
      <c r="F722" s="294"/>
      <c r="G722" s="294"/>
      <c r="H722" s="294"/>
      <c r="I722" s="294"/>
      <c r="J722" s="294"/>
      <c r="K722" s="294"/>
      <c r="L722" s="294"/>
      <c r="M722" s="294"/>
      <c r="N722" s="294"/>
      <c r="O722" s="294"/>
      <c r="P722" s="294"/>
      <c r="Q722" s="294"/>
      <c r="R722" s="24"/>
    </row>
    <row r="723" spans="1:18" ht="15.75" customHeight="1" thickBot="1" x14ac:dyDescent="0.35">
      <c r="A723" s="274" t="s">
        <v>1772</v>
      </c>
      <c r="B723" s="25" t="s">
        <v>2090</v>
      </c>
      <c r="C723" s="26" t="s">
        <v>2091</v>
      </c>
      <c r="D723" s="26" t="s">
        <v>2234</v>
      </c>
      <c r="E723" s="33" t="s">
        <v>1594</v>
      </c>
      <c r="F723" s="26" t="s">
        <v>2235</v>
      </c>
      <c r="G723" s="26" t="s">
        <v>2236</v>
      </c>
      <c r="H723" s="26" t="s">
        <v>2237</v>
      </c>
      <c r="I723" s="33" t="s">
        <v>1595</v>
      </c>
      <c r="J723" s="26" t="s">
        <v>1504</v>
      </c>
      <c r="K723" s="26" t="s">
        <v>1505</v>
      </c>
      <c r="L723" s="26" t="s">
        <v>1506</v>
      </c>
      <c r="M723" s="33" t="s">
        <v>1596</v>
      </c>
      <c r="N723" s="26" t="s">
        <v>1507</v>
      </c>
      <c r="O723" s="26" t="s">
        <v>1508</v>
      </c>
      <c r="P723" s="26" t="s">
        <v>1509</v>
      </c>
      <c r="Q723" s="33" t="s">
        <v>1597</v>
      </c>
      <c r="R723" s="34" t="s">
        <v>1510</v>
      </c>
    </row>
    <row r="724" spans="1:18" ht="16.5" customHeight="1" thickBot="1" x14ac:dyDescent="0.35">
      <c r="A724" s="281"/>
      <c r="B724" s="301"/>
      <c r="C724" s="301"/>
      <c r="D724" s="301"/>
      <c r="E724" s="302"/>
      <c r="F724" s="301"/>
      <c r="G724" s="301"/>
      <c r="H724" s="301"/>
      <c r="I724" s="302"/>
      <c r="J724" s="301"/>
      <c r="K724" s="301"/>
      <c r="L724" s="301"/>
      <c r="M724" s="302"/>
      <c r="N724" s="301"/>
      <c r="O724" s="301"/>
      <c r="P724" s="301"/>
      <c r="Q724" s="302"/>
      <c r="R724" s="75"/>
    </row>
    <row r="725" spans="1:18" ht="15.75" customHeight="1" x14ac:dyDescent="0.3">
      <c r="A725" s="234" t="s">
        <v>2417</v>
      </c>
      <c r="B725" s="10" t="s">
        <v>852</v>
      </c>
      <c r="C725" s="10" t="s">
        <v>852</v>
      </c>
      <c r="D725" s="10" t="s">
        <v>852</v>
      </c>
      <c r="E725" s="38" t="s">
        <v>852</v>
      </c>
      <c r="F725" s="10" t="s">
        <v>852</v>
      </c>
      <c r="G725" s="10" t="s">
        <v>852</v>
      </c>
      <c r="H725" s="10" t="s">
        <v>852</v>
      </c>
      <c r="I725" s="38" t="s">
        <v>852</v>
      </c>
      <c r="J725" s="10" t="s">
        <v>852</v>
      </c>
      <c r="K725" s="10" t="s">
        <v>852</v>
      </c>
      <c r="L725" s="10" t="s">
        <v>852</v>
      </c>
      <c r="M725" s="38" t="s">
        <v>852</v>
      </c>
      <c r="N725" s="10" t="s">
        <v>852</v>
      </c>
      <c r="O725" s="10" t="s">
        <v>852</v>
      </c>
      <c r="P725" s="10" t="s">
        <v>852</v>
      </c>
      <c r="Q725" s="38" t="s">
        <v>852</v>
      </c>
      <c r="R725" s="38" t="s">
        <v>852</v>
      </c>
    </row>
    <row r="726" spans="1:18" ht="15.75" customHeight="1" x14ac:dyDescent="0.3">
      <c r="A726" s="234" t="s">
        <v>2160</v>
      </c>
      <c r="B726" s="10"/>
      <c r="C726" s="10"/>
      <c r="D726" s="10"/>
      <c r="E726" s="38" t="s">
        <v>852</v>
      </c>
      <c r="F726" s="10"/>
      <c r="G726" s="10"/>
      <c r="H726" s="10"/>
      <c r="I726" s="38" t="s">
        <v>852</v>
      </c>
      <c r="J726" s="10"/>
      <c r="K726" s="10"/>
      <c r="L726" s="10"/>
      <c r="M726" s="38" t="s">
        <v>852</v>
      </c>
      <c r="N726" s="10"/>
      <c r="O726" s="10"/>
      <c r="P726" s="10"/>
      <c r="Q726" s="38" t="s">
        <v>852</v>
      </c>
      <c r="R726" s="38" t="s">
        <v>852</v>
      </c>
    </row>
    <row r="727" spans="1:18" ht="15.75" customHeight="1" x14ac:dyDescent="0.3">
      <c r="A727" s="310" t="s">
        <v>2171</v>
      </c>
      <c r="B727" s="10">
        <v>3325</v>
      </c>
      <c r="C727" s="10">
        <v>6950</v>
      </c>
      <c r="D727" s="10">
        <v>6950</v>
      </c>
      <c r="E727" s="38">
        <f t="shared" ref="E727:E728" si="272">SUM(B727:D727)</f>
        <v>17225</v>
      </c>
      <c r="F727" s="10">
        <v>6950</v>
      </c>
      <c r="G727" s="10">
        <v>6950</v>
      </c>
      <c r="H727" s="10">
        <v>6000</v>
      </c>
      <c r="I727" s="38">
        <f t="shared" ref="I727:I728" si="273">SUM(F727:H727)</f>
        <v>19900</v>
      </c>
      <c r="J727" s="10">
        <v>6000</v>
      </c>
      <c r="K727" s="10">
        <v>5950</v>
      </c>
      <c r="L727" s="10">
        <v>5950</v>
      </c>
      <c r="M727" s="38">
        <f t="shared" ref="M727:M728" si="274">SUM(J727:L727)</f>
        <v>17900</v>
      </c>
      <c r="N727" s="10">
        <v>5050</v>
      </c>
      <c r="O727" s="10"/>
      <c r="P727" s="10">
        <v>255</v>
      </c>
      <c r="Q727" s="38">
        <f t="shared" ref="Q727:Q732" si="275">SUM(N727:P727)</f>
        <v>5305</v>
      </c>
      <c r="R727" s="38">
        <f>+E727+I727+M727+Q727</f>
        <v>60330</v>
      </c>
    </row>
    <row r="728" spans="1:18" ht="15.75" customHeight="1" x14ac:dyDescent="0.3">
      <c r="A728" s="310" t="s">
        <v>2146</v>
      </c>
      <c r="B728" s="10">
        <v>2432</v>
      </c>
      <c r="C728" s="10">
        <v>2789</v>
      </c>
      <c r="D728" s="10">
        <v>3789</v>
      </c>
      <c r="E728" s="38">
        <f t="shared" si="272"/>
        <v>9010</v>
      </c>
      <c r="F728" s="10">
        <v>4385</v>
      </c>
      <c r="G728" s="10">
        <v>3646</v>
      </c>
      <c r="H728" s="10">
        <v>2000</v>
      </c>
      <c r="I728" s="38">
        <f t="shared" si="273"/>
        <v>10031</v>
      </c>
      <c r="J728" s="10">
        <v>1000</v>
      </c>
      <c r="K728" s="10">
        <v>1000</v>
      </c>
      <c r="L728" s="10">
        <v>1000</v>
      </c>
      <c r="M728" s="38">
        <f t="shared" si="274"/>
        <v>3000</v>
      </c>
      <c r="N728" s="10">
        <v>2000</v>
      </c>
      <c r="O728" s="10"/>
      <c r="P728" s="10"/>
      <c r="Q728" s="38">
        <f t="shared" si="275"/>
        <v>2000</v>
      </c>
      <c r="R728" s="38">
        <f t="shared" ref="R728:R732" si="276">+E728+I728+M728+Q728</f>
        <v>24041</v>
      </c>
    </row>
    <row r="729" spans="1:18" ht="15.75" customHeight="1" x14ac:dyDescent="0.3">
      <c r="A729" s="539" t="s">
        <v>3064</v>
      </c>
      <c r="B729" s="10"/>
      <c r="C729" s="10"/>
      <c r="D729" s="10"/>
      <c r="E729" s="38">
        <f t="shared" ref="E729:E732" si="277">SUM(B729:D729)</f>
        <v>0</v>
      </c>
      <c r="F729" s="10"/>
      <c r="G729" s="10"/>
      <c r="H729" s="10"/>
      <c r="I729" s="38">
        <f t="shared" ref="I729:I732" si="278">SUM(F729:H729)</f>
        <v>0</v>
      </c>
      <c r="J729" s="10"/>
      <c r="K729" s="10"/>
      <c r="L729" s="10"/>
      <c r="M729" s="38">
        <f t="shared" ref="M729:M732" si="279">SUM(J729:L729)</f>
        <v>0</v>
      </c>
      <c r="N729" s="10"/>
      <c r="O729" s="10"/>
      <c r="P729" s="10"/>
      <c r="Q729" s="38">
        <f t="shared" si="275"/>
        <v>0</v>
      </c>
      <c r="R729" s="38">
        <f t="shared" si="276"/>
        <v>0</v>
      </c>
    </row>
    <row r="730" spans="1:18" ht="15.75" customHeight="1" x14ac:dyDescent="0.3">
      <c r="A730" s="539" t="s">
        <v>2992</v>
      </c>
      <c r="B730" s="10">
        <v>264</v>
      </c>
      <c r="C730" s="10">
        <v>3500</v>
      </c>
      <c r="D730" s="10">
        <v>2800</v>
      </c>
      <c r="E730" s="38">
        <f t="shared" si="277"/>
        <v>6564</v>
      </c>
      <c r="F730" s="356">
        <v>2200</v>
      </c>
      <c r="G730" s="356">
        <v>3000</v>
      </c>
      <c r="H730" s="10">
        <v>4500</v>
      </c>
      <c r="I730" s="38">
        <f t="shared" si="278"/>
        <v>9700</v>
      </c>
      <c r="J730" s="10">
        <v>5600</v>
      </c>
      <c r="K730" s="10">
        <v>1948</v>
      </c>
      <c r="L730" s="10"/>
      <c r="M730" s="38">
        <f t="shared" si="279"/>
        <v>7548</v>
      </c>
      <c r="N730" s="10"/>
      <c r="O730" s="10"/>
      <c r="P730" s="10"/>
      <c r="Q730" s="38">
        <f t="shared" si="275"/>
        <v>0</v>
      </c>
      <c r="R730" s="38">
        <f t="shared" si="276"/>
        <v>23812</v>
      </c>
    </row>
    <row r="731" spans="1:18" ht="15.75" customHeight="1" x14ac:dyDescent="0.3">
      <c r="A731" s="539" t="s">
        <v>2596</v>
      </c>
      <c r="B731" s="10">
        <v>250</v>
      </c>
      <c r="C731" s="10"/>
      <c r="D731" s="10">
        <v>300</v>
      </c>
      <c r="E731" s="38">
        <f t="shared" si="277"/>
        <v>550</v>
      </c>
      <c r="F731" s="10">
        <v>300</v>
      </c>
      <c r="G731" s="10">
        <v>300</v>
      </c>
      <c r="H731" s="10">
        <v>300</v>
      </c>
      <c r="I731" s="38">
        <f t="shared" si="278"/>
        <v>900</v>
      </c>
      <c r="J731" s="10">
        <v>300</v>
      </c>
      <c r="K731" s="10">
        <v>300</v>
      </c>
      <c r="L731" s="10">
        <v>300</v>
      </c>
      <c r="M731" s="38">
        <f t="shared" si="279"/>
        <v>900</v>
      </c>
      <c r="N731" s="10">
        <v>300</v>
      </c>
      <c r="O731" s="10"/>
      <c r="P731" s="10">
        <v>350</v>
      </c>
      <c r="Q731" s="38">
        <f t="shared" si="275"/>
        <v>650</v>
      </c>
      <c r="R731" s="38">
        <f t="shared" si="276"/>
        <v>3000</v>
      </c>
    </row>
    <row r="732" spans="1:18" ht="15.75" customHeight="1" x14ac:dyDescent="0.3">
      <c r="A732" s="539" t="s">
        <v>3015</v>
      </c>
      <c r="B732" s="10">
        <v>120</v>
      </c>
      <c r="C732" s="10">
        <v>120</v>
      </c>
      <c r="D732" s="10">
        <v>120</v>
      </c>
      <c r="E732" s="38">
        <f t="shared" si="277"/>
        <v>360</v>
      </c>
      <c r="F732" s="10">
        <v>120</v>
      </c>
      <c r="G732" s="10">
        <v>130</v>
      </c>
      <c r="H732" s="10">
        <v>130</v>
      </c>
      <c r="I732" s="38">
        <f t="shared" si="278"/>
        <v>380</v>
      </c>
      <c r="J732" s="10">
        <v>130</v>
      </c>
      <c r="K732" s="10">
        <v>130</v>
      </c>
      <c r="L732" s="10">
        <v>130</v>
      </c>
      <c r="M732" s="38">
        <f t="shared" si="279"/>
        <v>390</v>
      </c>
      <c r="N732" s="10">
        <v>130</v>
      </c>
      <c r="O732" s="10"/>
      <c r="P732" s="10">
        <v>60</v>
      </c>
      <c r="Q732" s="38">
        <f t="shared" si="275"/>
        <v>190</v>
      </c>
      <c r="R732" s="38">
        <f t="shared" si="276"/>
        <v>1320</v>
      </c>
    </row>
    <row r="733" spans="1:18" ht="15.75" customHeight="1" x14ac:dyDescent="0.3">
      <c r="A733" s="234" t="s">
        <v>2161</v>
      </c>
      <c r="B733" s="10"/>
      <c r="C733" s="10"/>
      <c r="D733" s="10"/>
      <c r="E733" s="38" t="s">
        <v>852</v>
      </c>
      <c r="F733" s="10"/>
      <c r="G733" s="10"/>
      <c r="H733" s="10"/>
      <c r="I733" s="38" t="s">
        <v>852</v>
      </c>
      <c r="J733" s="10"/>
      <c r="K733" s="10"/>
      <c r="L733" s="10"/>
      <c r="M733" s="38" t="s">
        <v>852</v>
      </c>
      <c r="N733" s="10"/>
      <c r="O733" s="10"/>
      <c r="P733" s="10"/>
      <c r="Q733" s="38" t="s">
        <v>852</v>
      </c>
      <c r="R733" s="38" t="s">
        <v>852</v>
      </c>
    </row>
    <row r="734" spans="1:18" ht="15.75" customHeight="1" x14ac:dyDescent="0.3">
      <c r="A734" s="234" t="s">
        <v>3245</v>
      </c>
      <c r="B734" s="10"/>
      <c r="C734" s="10"/>
      <c r="D734" s="10"/>
      <c r="E734" s="38" t="s">
        <v>852</v>
      </c>
      <c r="F734" s="10"/>
      <c r="G734" s="10"/>
      <c r="H734" s="10"/>
      <c r="I734" s="38" t="s">
        <v>852</v>
      </c>
      <c r="J734" s="10"/>
      <c r="K734" s="10"/>
      <c r="L734" s="10"/>
      <c r="M734" s="38" t="s">
        <v>852</v>
      </c>
      <c r="N734" s="10"/>
      <c r="O734" s="10"/>
      <c r="P734" s="10"/>
      <c r="Q734" s="38" t="s">
        <v>852</v>
      </c>
      <c r="R734" s="38" t="s">
        <v>852</v>
      </c>
    </row>
    <row r="735" spans="1:18" ht="15.75" customHeight="1" thickBot="1" x14ac:dyDescent="0.35">
      <c r="A735" s="234" t="s">
        <v>2164</v>
      </c>
      <c r="B735" s="10"/>
      <c r="C735" s="10"/>
      <c r="D735" s="10"/>
      <c r="E735" s="38" t="s">
        <v>852</v>
      </c>
      <c r="F735" s="10"/>
      <c r="G735" s="10"/>
      <c r="H735" s="10"/>
      <c r="I735" s="38" t="s">
        <v>852</v>
      </c>
      <c r="J735" s="10"/>
      <c r="K735" s="10"/>
      <c r="L735" s="10"/>
      <c r="M735" s="38" t="s">
        <v>852</v>
      </c>
      <c r="N735" s="10"/>
      <c r="O735" s="10"/>
      <c r="P735" s="10"/>
      <c r="Q735" s="38" t="s">
        <v>852</v>
      </c>
      <c r="R735" s="38" t="s">
        <v>852</v>
      </c>
    </row>
    <row r="736" spans="1:18" ht="16.5" customHeight="1" thickBot="1" x14ac:dyDescent="0.35">
      <c r="A736" s="322" t="s">
        <v>1218</v>
      </c>
      <c r="B736" s="45">
        <f>SUM(B725:B735)</f>
        <v>6391</v>
      </c>
      <c r="C736" s="46">
        <f>SUM(C725:C735)</f>
        <v>13359</v>
      </c>
      <c r="D736" s="46">
        <f>SUM(D725:D735)</f>
        <v>13959</v>
      </c>
      <c r="E736" s="37">
        <f>SUM(B736:D736)</f>
        <v>33709</v>
      </c>
      <c r="F736" s="46">
        <f>SUM(F725:F735)</f>
        <v>13955</v>
      </c>
      <c r="G736" s="46">
        <f>SUM(G725:G735)</f>
        <v>14026</v>
      </c>
      <c r="H736" s="46">
        <f>SUM(H725:H735)</f>
        <v>12930</v>
      </c>
      <c r="I736" s="37">
        <f>SUM(F736:H736)</f>
        <v>40911</v>
      </c>
      <c r="J736" s="46">
        <f>SUM(J725:J735)</f>
        <v>13030</v>
      </c>
      <c r="K736" s="46">
        <f>SUM(K725:K735)</f>
        <v>9328</v>
      </c>
      <c r="L736" s="46">
        <f>SUM(L725:L735)</f>
        <v>7380</v>
      </c>
      <c r="M736" s="37">
        <f>SUM(J736:L736)</f>
        <v>29738</v>
      </c>
      <c r="N736" s="46">
        <f>SUM(N725:N735)</f>
        <v>7480</v>
      </c>
      <c r="O736" s="46">
        <f>SUM(O725:O735)</f>
        <v>0</v>
      </c>
      <c r="P736" s="46">
        <f>SUM(P725:P735)</f>
        <v>665</v>
      </c>
      <c r="Q736" s="37">
        <f>SUM(N736:P736)</f>
        <v>8145</v>
      </c>
      <c r="R736" s="37">
        <f>+E736+I736+M736+Q736</f>
        <v>112503</v>
      </c>
    </row>
    <row r="737" spans="1:20" ht="15.75" customHeight="1" x14ac:dyDescent="0.3">
      <c r="A737" s="234" t="s">
        <v>1172</v>
      </c>
      <c r="B737" s="10"/>
      <c r="C737" s="10"/>
      <c r="D737" s="10"/>
      <c r="E737" s="38" t="s">
        <v>852</v>
      </c>
      <c r="F737" s="10"/>
      <c r="G737" s="10"/>
      <c r="H737" s="10"/>
      <c r="I737" s="38" t="s">
        <v>852</v>
      </c>
      <c r="J737" s="10"/>
      <c r="K737" s="10"/>
      <c r="L737" s="10"/>
      <c r="M737" s="38" t="s">
        <v>852</v>
      </c>
      <c r="N737" s="10"/>
      <c r="O737" s="10"/>
      <c r="P737" s="10"/>
      <c r="Q737" s="38" t="s">
        <v>852</v>
      </c>
      <c r="R737" s="38" t="s">
        <v>852</v>
      </c>
    </row>
    <row r="738" spans="1:20" ht="15.75" customHeight="1" x14ac:dyDescent="0.3">
      <c r="A738" s="234" t="s">
        <v>2409</v>
      </c>
      <c r="B738" s="10"/>
      <c r="C738" s="10"/>
      <c r="D738" s="10"/>
      <c r="E738" s="38" t="s">
        <v>852</v>
      </c>
      <c r="F738" s="10"/>
      <c r="G738" s="10"/>
      <c r="H738" s="10"/>
      <c r="I738" s="38" t="s">
        <v>852</v>
      </c>
      <c r="J738" s="10"/>
      <c r="K738" s="10"/>
      <c r="L738" s="10"/>
      <c r="M738" s="38" t="s">
        <v>852</v>
      </c>
      <c r="N738" s="10"/>
      <c r="O738" s="10"/>
      <c r="P738" s="10"/>
      <c r="Q738" s="38" t="s">
        <v>852</v>
      </c>
      <c r="R738" s="38" t="s">
        <v>852</v>
      </c>
    </row>
    <row r="739" spans="1:20" ht="15.75" customHeight="1" thickBot="1" x14ac:dyDescent="0.35">
      <c r="A739" s="234" t="s">
        <v>2165</v>
      </c>
      <c r="B739" s="10"/>
      <c r="C739" s="10"/>
      <c r="D739" s="10"/>
      <c r="E739" s="38" t="s">
        <v>852</v>
      </c>
      <c r="F739" s="10"/>
      <c r="G739" s="10"/>
      <c r="H739" s="10"/>
      <c r="I739" s="38" t="s">
        <v>852</v>
      </c>
      <c r="J739" s="10"/>
      <c r="K739" s="10"/>
      <c r="L739" s="10"/>
      <c r="M739" s="38" t="s">
        <v>852</v>
      </c>
      <c r="N739" s="10"/>
      <c r="O739" s="10"/>
      <c r="P739" s="10"/>
      <c r="Q739" s="38" t="s">
        <v>852</v>
      </c>
      <c r="R739" s="38" t="s">
        <v>852</v>
      </c>
    </row>
    <row r="740" spans="1:20" ht="16.5" customHeight="1" thickBot="1" x14ac:dyDescent="0.35">
      <c r="A740" s="43" t="s">
        <v>1219</v>
      </c>
      <c r="B740" s="45">
        <f>SUM(B737:B739)</f>
        <v>0</v>
      </c>
      <c r="C740" s="46">
        <f>SUM(C737:C739)</f>
        <v>0</v>
      </c>
      <c r="D740" s="46">
        <f>SUM(D737:D739)</f>
        <v>0</v>
      </c>
      <c r="E740" s="37">
        <f>SUM(B740:D740)</f>
        <v>0</v>
      </c>
      <c r="F740" s="46">
        <f>SUM(F737:F739)</f>
        <v>0</v>
      </c>
      <c r="G740" s="46">
        <f>SUM(G737:G739)</f>
        <v>0</v>
      </c>
      <c r="H740" s="46">
        <f>SUM(H737:H739)</f>
        <v>0</v>
      </c>
      <c r="I740" s="37">
        <f>SUM(F740:H740)</f>
        <v>0</v>
      </c>
      <c r="J740" s="46">
        <f>SUM(J737:J739)</f>
        <v>0</v>
      </c>
      <c r="K740" s="46">
        <f>SUM(K737:K739)</f>
        <v>0</v>
      </c>
      <c r="L740" s="46">
        <f>SUM(L737:L739)</f>
        <v>0</v>
      </c>
      <c r="M740" s="37">
        <f>SUM(J740:L740)</f>
        <v>0</v>
      </c>
      <c r="N740" s="46">
        <f>SUM(N737:N739)</f>
        <v>0</v>
      </c>
      <c r="O740" s="46">
        <f>SUM(O737:O739)</f>
        <v>0</v>
      </c>
      <c r="P740" s="46">
        <f>SUM(P737:P739)</f>
        <v>0</v>
      </c>
      <c r="Q740" s="37">
        <f>SUM(N740:P740)</f>
        <v>0</v>
      </c>
      <c r="R740" s="37">
        <f>+E740+I740+M740+Q740</f>
        <v>0</v>
      </c>
    </row>
    <row r="741" spans="1:20" ht="15.75" customHeight="1" x14ac:dyDescent="0.3">
      <c r="A741" s="234" t="s">
        <v>2166</v>
      </c>
      <c r="B741" s="10"/>
      <c r="C741" s="10"/>
      <c r="D741" s="10"/>
      <c r="E741" s="38" t="s">
        <v>852</v>
      </c>
      <c r="F741" s="10"/>
      <c r="G741" s="10"/>
      <c r="H741" s="10"/>
      <c r="I741" s="38" t="s">
        <v>852</v>
      </c>
      <c r="J741" s="10"/>
      <c r="K741" s="10"/>
      <c r="L741" s="10"/>
      <c r="M741" s="38" t="s">
        <v>852</v>
      </c>
      <c r="N741" s="10"/>
      <c r="O741" s="10"/>
      <c r="P741" s="10"/>
      <c r="Q741" s="38" t="s">
        <v>852</v>
      </c>
      <c r="R741" s="38" t="s">
        <v>852</v>
      </c>
    </row>
    <row r="742" spans="1:20" ht="15.75" customHeight="1" x14ac:dyDescent="0.3">
      <c r="A742" s="234" t="s">
        <v>1245</v>
      </c>
      <c r="B742" s="10"/>
      <c r="C742" s="10"/>
      <c r="D742" s="10"/>
      <c r="E742" s="38" t="s">
        <v>852</v>
      </c>
      <c r="F742" s="10"/>
      <c r="G742" s="10"/>
      <c r="H742" s="10"/>
      <c r="I742" s="38" t="s">
        <v>852</v>
      </c>
      <c r="J742" s="10"/>
      <c r="K742" s="10"/>
      <c r="L742" s="10"/>
      <c r="M742" s="38" t="s">
        <v>852</v>
      </c>
      <c r="N742" s="10"/>
      <c r="O742" s="10"/>
      <c r="P742" s="10"/>
      <c r="Q742" s="38" t="s">
        <v>852</v>
      </c>
      <c r="R742" s="38" t="s">
        <v>852</v>
      </c>
    </row>
    <row r="743" spans="1:20" ht="15.75" customHeight="1" x14ac:dyDescent="0.3">
      <c r="A743" s="310" t="s">
        <v>641</v>
      </c>
      <c r="B743" s="10">
        <v>500</v>
      </c>
      <c r="C743" s="10">
        <v>480</v>
      </c>
      <c r="D743" s="10">
        <v>1350</v>
      </c>
      <c r="E743" s="38">
        <f>SUM(B743:D743)</f>
        <v>2330</v>
      </c>
      <c r="F743" s="10">
        <v>1500</v>
      </c>
      <c r="G743" s="10">
        <v>1950</v>
      </c>
      <c r="H743" s="10">
        <v>1600</v>
      </c>
      <c r="I743" s="38">
        <f>SUM(F743:H743)</f>
        <v>5050</v>
      </c>
      <c r="J743" s="10">
        <v>2000</v>
      </c>
      <c r="K743" s="10">
        <f>1420+80</f>
        <v>1500</v>
      </c>
      <c r="L743" s="10">
        <v>1220</v>
      </c>
      <c r="M743" s="38">
        <f>SUM(J743:L743)</f>
        <v>4720</v>
      </c>
      <c r="N743" s="10">
        <v>400</v>
      </c>
      <c r="O743" s="10">
        <v>150</v>
      </c>
      <c r="P743" s="10">
        <v>150</v>
      </c>
      <c r="Q743" s="38">
        <f>SUM(N743:P743)</f>
        <v>700</v>
      </c>
      <c r="R743" s="38">
        <f>+E743+I743+M743+Q743</f>
        <v>12800</v>
      </c>
      <c r="T743" t="s">
        <v>2804</v>
      </c>
    </row>
    <row r="744" spans="1:20" ht="15.75" customHeight="1" x14ac:dyDescent="0.3">
      <c r="A744" s="234" t="s">
        <v>1711</v>
      </c>
      <c r="B744" s="10"/>
      <c r="C744" s="10"/>
      <c r="D744" s="10"/>
      <c r="E744" s="38" t="s">
        <v>852</v>
      </c>
      <c r="F744" s="10"/>
      <c r="G744" s="10"/>
      <c r="H744" s="10"/>
      <c r="I744" s="38" t="s">
        <v>852</v>
      </c>
      <c r="J744" s="10"/>
      <c r="K744" s="10"/>
      <c r="L744" s="10"/>
      <c r="M744" s="38" t="s">
        <v>852</v>
      </c>
      <c r="N744" s="10"/>
      <c r="O744" s="10"/>
      <c r="P744" s="10"/>
      <c r="Q744" s="38" t="s">
        <v>852</v>
      </c>
      <c r="R744" s="38" t="s">
        <v>852</v>
      </c>
    </row>
    <row r="745" spans="1:20" ht="15.75" customHeight="1" x14ac:dyDescent="0.3">
      <c r="A745" s="539" t="s">
        <v>2699</v>
      </c>
      <c r="B745" s="10"/>
      <c r="C745" s="10"/>
      <c r="D745" s="10"/>
      <c r="E745" s="38">
        <f t="shared" ref="E745:E754" si="280">SUM(B745:D745)</f>
        <v>0</v>
      </c>
      <c r="F745" s="10"/>
      <c r="G745" s="10"/>
      <c r="H745" s="10"/>
      <c r="I745" s="38">
        <f t="shared" ref="I745:I754" si="281">SUM(F745:H745)</f>
        <v>0</v>
      </c>
      <c r="J745" s="10"/>
      <c r="K745" s="10"/>
      <c r="L745" s="10"/>
      <c r="M745" s="38">
        <f t="shared" ref="M745:M754" si="282">SUM(J745:L745)</f>
        <v>0</v>
      </c>
      <c r="N745" s="10"/>
      <c r="O745" s="10"/>
      <c r="P745" s="10"/>
      <c r="Q745" s="38">
        <f t="shared" ref="Q745:Q754" si="283">SUM(N745:P745)</f>
        <v>0</v>
      </c>
      <c r="R745" s="38">
        <f t="shared" ref="R745:R754" si="284">+E745+I745+M745+Q745</f>
        <v>0</v>
      </c>
      <c r="T745" t="s">
        <v>2801</v>
      </c>
    </row>
    <row r="746" spans="1:20" ht="15.75" customHeight="1" x14ac:dyDescent="0.3">
      <c r="A746" s="539" t="s">
        <v>2790</v>
      </c>
      <c r="B746" s="10"/>
      <c r="C746" s="10"/>
      <c r="D746" s="10"/>
      <c r="E746" s="38">
        <f t="shared" si="280"/>
        <v>0</v>
      </c>
      <c r="F746" s="10"/>
      <c r="G746" s="10"/>
      <c r="H746" s="10"/>
      <c r="I746" s="38">
        <f>SUM(F746:H746)</f>
        <v>0</v>
      </c>
      <c r="J746" s="10"/>
      <c r="K746" s="10"/>
      <c r="L746" s="10"/>
      <c r="M746" s="38">
        <f t="shared" si="282"/>
        <v>0</v>
      </c>
      <c r="N746" s="10"/>
      <c r="O746" s="10"/>
      <c r="P746" s="10"/>
      <c r="Q746" s="38">
        <f t="shared" si="283"/>
        <v>0</v>
      </c>
      <c r="R746" s="38">
        <f t="shared" si="284"/>
        <v>0</v>
      </c>
      <c r="T746" t="s">
        <v>2801</v>
      </c>
    </row>
    <row r="747" spans="1:20" ht="15.75" customHeight="1" x14ac:dyDescent="0.3">
      <c r="A747" s="539" t="s">
        <v>2701</v>
      </c>
      <c r="B747" s="10">
        <v>125</v>
      </c>
      <c r="C747" s="10">
        <v>125</v>
      </c>
      <c r="D747" s="10">
        <v>125</v>
      </c>
      <c r="E747" s="38">
        <f t="shared" si="280"/>
        <v>375</v>
      </c>
      <c r="F747" s="10">
        <v>125</v>
      </c>
      <c r="G747" s="10">
        <v>125</v>
      </c>
      <c r="H747" s="10">
        <v>125</v>
      </c>
      <c r="I747" s="38">
        <f t="shared" si="281"/>
        <v>375</v>
      </c>
      <c r="J747" s="10">
        <v>125</v>
      </c>
      <c r="K747" s="10">
        <v>125</v>
      </c>
      <c r="L747" s="10">
        <v>125</v>
      </c>
      <c r="M747" s="38">
        <f t="shared" si="282"/>
        <v>375</v>
      </c>
      <c r="N747" s="10">
        <v>125</v>
      </c>
      <c r="O747" s="10">
        <v>125</v>
      </c>
      <c r="P747" s="10">
        <v>125</v>
      </c>
      <c r="Q747" s="38">
        <f t="shared" si="283"/>
        <v>375</v>
      </c>
      <c r="R747" s="38">
        <f t="shared" si="284"/>
        <v>1500</v>
      </c>
      <c r="T747" t="s">
        <v>2801</v>
      </c>
    </row>
    <row r="748" spans="1:20" ht="15.75" customHeight="1" x14ac:dyDescent="0.3">
      <c r="A748" s="539" t="s">
        <v>3327</v>
      </c>
      <c r="B748" s="10">
        <v>1136</v>
      </c>
      <c r="C748" s="10"/>
      <c r="D748" s="10"/>
      <c r="E748" s="38">
        <f t="shared" si="280"/>
        <v>1136</v>
      </c>
      <c r="F748" s="10"/>
      <c r="G748" s="10"/>
      <c r="H748" s="10"/>
      <c r="I748" s="38">
        <f t="shared" si="281"/>
        <v>0</v>
      </c>
      <c r="J748" s="10"/>
      <c r="K748" s="10"/>
      <c r="L748" s="10"/>
      <c r="M748" s="38">
        <f t="shared" si="282"/>
        <v>0</v>
      </c>
      <c r="N748" s="10"/>
      <c r="O748" s="10"/>
      <c r="P748" s="10"/>
      <c r="Q748" s="38">
        <f t="shared" ref="Q748" si="285">SUM(N748:P748)</f>
        <v>0</v>
      </c>
      <c r="R748" s="38">
        <f t="shared" si="284"/>
        <v>1136</v>
      </c>
    </row>
    <row r="749" spans="1:20" ht="15.75" customHeight="1" x14ac:dyDescent="0.3">
      <c r="A749" s="539" t="s">
        <v>3208</v>
      </c>
      <c r="B749" s="10"/>
      <c r="C749" s="10"/>
      <c r="D749" s="10"/>
      <c r="E749" s="38">
        <f t="shared" si="280"/>
        <v>0</v>
      </c>
      <c r="F749" s="10"/>
      <c r="G749" s="10"/>
      <c r="H749" s="10"/>
      <c r="I749" s="38">
        <f t="shared" si="281"/>
        <v>0</v>
      </c>
      <c r="J749" s="10"/>
      <c r="K749" s="10">
        <v>3752</v>
      </c>
      <c r="L749" s="10"/>
      <c r="M749" s="38">
        <f t="shared" si="282"/>
        <v>3752</v>
      </c>
      <c r="N749" s="10"/>
      <c r="O749" s="10"/>
      <c r="P749" s="10"/>
      <c r="Q749" s="38">
        <f t="shared" si="283"/>
        <v>0</v>
      </c>
      <c r="R749" s="38">
        <f t="shared" si="284"/>
        <v>3752</v>
      </c>
    </row>
    <row r="750" spans="1:20" ht="15.75" customHeight="1" x14ac:dyDescent="0.3">
      <c r="A750" s="539" t="s">
        <v>3209</v>
      </c>
      <c r="B750" s="10"/>
      <c r="C750" s="10"/>
      <c r="D750" s="10"/>
      <c r="E750" s="38">
        <f t="shared" si="280"/>
        <v>0</v>
      </c>
      <c r="F750" s="10"/>
      <c r="G750" s="10"/>
      <c r="H750" s="10"/>
      <c r="I750" s="38">
        <f t="shared" si="281"/>
        <v>0</v>
      </c>
      <c r="J750" s="10"/>
      <c r="K750" s="10"/>
      <c r="L750" s="10">
        <v>5700</v>
      </c>
      <c r="M750" s="38">
        <f t="shared" si="282"/>
        <v>5700</v>
      </c>
      <c r="N750" s="10"/>
      <c r="O750" s="10"/>
      <c r="P750" s="10"/>
      <c r="Q750" s="38">
        <f t="shared" si="283"/>
        <v>0</v>
      </c>
      <c r="R750" s="38">
        <f t="shared" si="284"/>
        <v>5700</v>
      </c>
    </row>
    <row r="751" spans="1:20" ht="15.75" customHeight="1" x14ac:dyDescent="0.3">
      <c r="A751" s="539" t="s">
        <v>3210</v>
      </c>
      <c r="B751" s="10"/>
      <c r="C751" s="10"/>
      <c r="D751" s="10"/>
      <c r="E751" s="38">
        <f t="shared" si="280"/>
        <v>0</v>
      </c>
      <c r="F751" s="10"/>
      <c r="G751" s="10"/>
      <c r="H751" s="10"/>
      <c r="I751" s="38">
        <f t="shared" si="281"/>
        <v>0</v>
      </c>
      <c r="J751" s="10"/>
      <c r="K751" s="10"/>
      <c r="L751" s="10"/>
      <c r="M751" s="38">
        <f t="shared" si="282"/>
        <v>0</v>
      </c>
      <c r="N751" s="10"/>
      <c r="O751" s="10"/>
      <c r="P751" s="10"/>
      <c r="Q751" s="38">
        <f t="shared" si="283"/>
        <v>0</v>
      </c>
      <c r="R751" s="38">
        <f t="shared" si="284"/>
        <v>0</v>
      </c>
    </row>
    <row r="752" spans="1:20" ht="15.75" customHeight="1" x14ac:dyDescent="0.3">
      <c r="A752" s="539" t="s">
        <v>3316</v>
      </c>
      <c r="B752" s="10"/>
      <c r="C752" s="10"/>
      <c r="D752" s="10"/>
      <c r="E752" s="38">
        <f t="shared" si="280"/>
        <v>0</v>
      </c>
      <c r="F752" s="10"/>
      <c r="G752" s="10"/>
      <c r="H752" s="10"/>
      <c r="I752" s="38">
        <f t="shared" si="281"/>
        <v>0</v>
      </c>
      <c r="J752" s="10"/>
      <c r="K752" s="10"/>
      <c r="L752" s="10"/>
      <c r="M752" s="38">
        <f t="shared" si="282"/>
        <v>0</v>
      </c>
      <c r="N752" s="10"/>
      <c r="O752" s="10"/>
      <c r="P752" s="10"/>
      <c r="Q752" s="38">
        <f t="shared" ref="Q752" si="286">SUM(N752:P752)</f>
        <v>0</v>
      </c>
      <c r="R752" s="38">
        <f t="shared" si="284"/>
        <v>0</v>
      </c>
    </row>
    <row r="753" spans="1:20" ht="15.75" customHeight="1" thickBot="1" x14ac:dyDescent="0.35">
      <c r="A753" s="310" t="s">
        <v>40</v>
      </c>
      <c r="B753" s="10"/>
      <c r="C753" s="10"/>
      <c r="D753" s="10"/>
      <c r="E753" s="38">
        <f t="shared" si="280"/>
        <v>0</v>
      </c>
      <c r="F753" s="10"/>
      <c r="G753" s="10"/>
      <c r="H753" s="10"/>
      <c r="I753" s="38">
        <f t="shared" si="281"/>
        <v>0</v>
      </c>
      <c r="J753" s="10"/>
      <c r="K753" s="10"/>
      <c r="L753" s="10"/>
      <c r="M753" s="38">
        <f t="shared" si="282"/>
        <v>0</v>
      </c>
      <c r="N753" s="10"/>
      <c r="O753" s="10"/>
      <c r="P753" s="10"/>
      <c r="Q753" s="38">
        <f t="shared" si="283"/>
        <v>0</v>
      </c>
      <c r="R753" s="38">
        <f t="shared" si="284"/>
        <v>0</v>
      </c>
      <c r="T753" t="s">
        <v>2801</v>
      </c>
    </row>
    <row r="754" spans="1:20" ht="16.5" customHeight="1" thickBot="1" x14ac:dyDescent="0.35">
      <c r="A754" s="43" t="s">
        <v>1220</v>
      </c>
      <c r="B754" s="45">
        <f>SUM(B741:B753)</f>
        <v>1761</v>
      </c>
      <c r="C754" s="46">
        <f>SUM(C741:C753)</f>
        <v>605</v>
      </c>
      <c r="D754" s="46">
        <f>SUM(D741:D753)</f>
        <v>1475</v>
      </c>
      <c r="E754" s="37">
        <f t="shared" si="280"/>
        <v>3841</v>
      </c>
      <c r="F754" s="46">
        <f>SUM(F741:F753)</f>
        <v>1625</v>
      </c>
      <c r="G754" s="46">
        <f>SUM(G741:G753)</f>
        <v>2075</v>
      </c>
      <c r="H754" s="46">
        <f>SUM(H741:H753)</f>
        <v>1725</v>
      </c>
      <c r="I754" s="37">
        <f t="shared" si="281"/>
        <v>5425</v>
      </c>
      <c r="J754" s="46">
        <f>SUM(J741:J753)</f>
        <v>2125</v>
      </c>
      <c r="K754" s="46">
        <f>SUM(K741:K753)</f>
        <v>5377</v>
      </c>
      <c r="L754" s="46">
        <f>SUM(L741:L753)</f>
        <v>7045</v>
      </c>
      <c r="M754" s="37">
        <f t="shared" si="282"/>
        <v>14547</v>
      </c>
      <c r="N754" s="46">
        <f>SUM(N741:N753)</f>
        <v>525</v>
      </c>
      <c r="O754" s="46">
        <f>SUM(O741:O753)</f>
        <v>275</v>
      </c>
      <c r="P754" s="46">
        <f>SUM(P741:P753)</f>
        <v>275</v>
      </c>
      <c r="Q754" s="37">
        <f t="shared" si="283"/>
        <v>1075</v>
      </c>
      <c r="R754" s="58">
        <f t="shared" si="284"/>
        <v>24888</v>
      </c>
    </row>
    <row r="755" spans="1:20" ht="15.75" customHeight="1" x14ac:dyDescent="0.3">
      <c r="A755" s="234" t="s">
        <v>1712</v>
      </c>
      <c r="B755" s="10"/>
      <c r="C755" s="10"/>
      <c r="D755" s="10"/>
      <c r="E755" s="38" t="s">
        <v>852</v>
      </c>
      <c r="F755" s="10"/>
      <c r="G755" s="10"/>
      <c r="H755" s="10"/>
      <c r="I755" s="38" t="s">
        <v>852</v>
      </c>
      <c r="J755" s="10"/>
      <c r="K755" s="10"/>
      <c r="L755" s="10"/>
      <c r="M755" s="38" t="s">
        <v>852</v>
      </c>
      <c r="N755" s="10"/>
      <c r="O755" s="10"/>
      <c r="P755" s="10"/>
      <c r="Q755" s="38" t="s">
        <v>852</v>
      </c>
      <c r="R755" s="38" t="s">
        <v>852</v>
      </c>
    </row>
    <row r="756" spans="1:20" ht="15.75" customHeight="1" x14ac:dyDescent="0.3">
      <c r="A756" s="234" t="s">
        <v>1021</v>
      </c>
      <c r="B756" s="10"/>
      <c r="C756" s="10"/>
      <c r="D756" s="10"/>
      <c r="E756" s="38" t="s">
        <v>852</v>
      </c>
      <c r="F756" s="10"/>
      <c r="G756" s="10"/>
      <c r="H756" s="10"/>
      <c r="I756" s="38" t="s">
        <v>852</v>
      </c>
      <c r="J756" s="10"/>
      <c r="K756" s="10"/>
      <c r="L756" s="10"/>
      <c r="M756" s="38" t="s">
        <v>852</v>
      </c>
      <c r="N756" s="10"/>
      <c r="O756" s="10"/>
      <c r="P756" s="10"/>
      <c r="Q756" s="38" t="s">
        <v>852</v>
      </c>
      <c r="R756" s="38" t="s">
        <v>852</v>
      </c>
    </row>
    <row r="757" spans="1:20" ht="15.75" customHeight="1" x14ac:dyDescent="0.3">
      <c r="A757" s="234" t="s">
        <v>557</v>
      </c>
      <c r="B757" s="10"/>
      <c r="C757" s="10"/>
      <c r="D757" s="10"/>
      <c r="E757" s="38" t="s">
        <v>852</v>
      </c>
      <c r="F757" s="10"/>
      <c r="G757" s="10"/>
      <c r="H757" s="10"/>
      <c r="I757" s="38" t="s">
        <v>852</v>
      </c>
      <c r="J757" s="10"/>
      <c r="K757" s="10"/>
      <c r="L757" s="10"/>
      <c r="M757" s="38" t="s">
        <v>852</v>
      </c>
      <c r="N757" s="10"/>
      <c r="O757" s="10"/>
      <c r="P757" s="10"/>
      <c r="Q757" s="38" t="s">
        <v>852</v>
      </c>
      <c r="R757" s="38" t="s">
        <v>852</v>
      </c>
    </row>
    <row r="758" spans="1:20" ht="15.75" customHeight="1" x14ac:dyDescent="0.3">
      <c r="A758" s="539" t="s">
        <v>2585</v>
      </c>
      <c r="B758" s="10"/>
      <c r="C758" s="10"/>
      <c r="D758" s="10"/>
      <c r="E758" s="38">
        <f>SUM(B758:D758)</f>
        <v>0</v>
      </c>
      <c r="F758" s="10"/>
      <c r="G758" s="10"/>
      <c r="H758" s="10"/>
      <c r="I758" s="38">
        <f>SUM(F758:H758)</f>
        <v>0</v>
      </c>
      <c r="J758" s="10"/>
      <c r="K758" s="10"/>
      <c r="L758" s="10"/>
      <c r="M758" s="38">
        <f>SUM(J758:L758)</f>
        <v>0</v>
      </c>
      <c r="N758" s="10"/>
      <c r="O758" s="10"/>
      <c r="P758" s="10"/>
      <c r="Q758" s="38">
        <f>SUM(N758:P758)</f>
        <v>0</v>
      </c>
      <c r="R758" s="38">
        <f>+E758+I758+M758+Q758</f>
        <v>0</v>
      </c>
    </row>
    <row r="759" spans="1:20" ht="15.75" customHeight="1" x14ac:dyDescent="0.3">
      <c r="A759" s="539" t="s">
        <v>2586</v>
      </c>
      <c r="B759" s="10"/>
      <c r="C759" s="10"/>
      <c r="D759" s="10"/>
      <c r="E759" s="38">
        <f>SUM(B759:D759)</f>
        <v>0</v>
      </c>
      <c r="F759" s="10"/>
      <c r="G759" s="10"/>
      <c r="H759" s="10"/>
      <c r="I759" s="38">
        <f>SUM(F759:H759)</f>
        <v>0</v>
      </c>
      <c r="J759" s="10"/>
      <c r="K759" s="10"/>
      <c r="L759" s="10"/>
      <c r="M759" s="38">
        <f>SUM(J759:L759)</f>
        <v>0</v>
      </c>
      <c r="N759" s="10"/>
      <c r="O759" s="10"/>
      <c r="P759" s="10"/>
      <c r="Q759" s="38">
        <f>SUM(N759:P759)</f>
        <v>0</v>
      </c>
      <c r="R759" s="38">
        <f>+E759+I759+M759+Q759</f>
        <v>0</v>
      </c>
    </row>
    <row r="760" spans="1:20" ht="15.75" customHeight="1" x14ac:dyDescent="0.3">
      <c r="A760" s="539" t="s">
        <v>2587</v>
      </c>
      <c r="B760" s="10"/>
      <c r="C760" s="10"/>
      <c r="D760" s="10"/>
      <c r="E760" s="38">
        <f>SUM(B760:D760)</f>
        <v>0</v>
      </c>
      <c r="F760" s="10"/>
      <c r="G760" s="10"/>
      <c r="H760" s="10"/>
      <c r="I760" s="38">
        <f>SUM(F760:H760)</f>
        <v>0</v>
      </c>
      <c r="J760" s="10"/>
      <c r="K760" s="10"/>
      <c r="L760" s="10"/>
      <c r="M760" s="38">
        <f>SUM(J760:L760)</f>
        <v>0</v>
      </c>
      <c r="N760" s="10"/>
      <c r="O760" s="10"/>
      <c r="P760" s="10"/>
      <c r="Q760" s="38">
        <f>SUM(N760:P760)</f>
        <v>0</v>
      </c>
      <c r="R760" s="38">
        <f>+E760+I760+M760+Q760</f>
        <v>0</v>
      </c>
    </row>
    <row r="761" spans="1:20" ht="15.75" customHeight="1" x14ac:dyDescent="0.3">
      <c r="A761" s="539" t="s">
        <v>2588</v>
      </c>
      <c r="B761" s="10"/>
      <c r="C761" s="10"/>
      <c r="D761" s="10"/>
      <c r="E761" s="38">
        <f>SUM(B761:D761)</f>
        <v>0</v>
      </c>
      <c r="F761" s="10"/>
      <c r="G761" s="10"/>
      <c r="H761" s="10"/>
      <c r="I761" s="38">
        <f>SUM(F761:H761)</f>
        <v>0</v>
      </c>
      <c r="J761" s="10"/>
      <c r="K761" s="10"/>
      <c r="L761" s="10"/>
      <c r="M761" s="38">
        <f>SUM(J761:L761)</f>
        <v>0</v>
      </c>
      <c r="N761" s="10"/>
      <c r="O761" s="10"/>
      <c r="P761" s="10"/>
      <c r="Q761" s="38">
        <f>SUM(N761:P761)</f>
        <v>0</v>
      </c>
      <c r="R761" s="38">
        <f>+E761+I761+M761+Q761</f>
        <v>0</v>
      </c>
    </row>
    <row r="762" spans="1:20" ht="15.75" customHeight="1" x14ac:dyDescent="0.3">
      <c r="A762" s="234" t="s">
        <v>1022</v>
      </c>
      <c r="B762" s="10"/>
      <c r="C762" s="10"/>
      <c r="D762" s="10"/>
      <c r="E762" s="38" t="s">
        <v>852</v>
      </c>
      <c r="F762" s="10"/>
      <c r="G762" s="10"/>
      <c r="H762" s="10"/>
      <c r="I762" s="38" t="s">
        <v>852</v>
      </c>
      <c r="J762" s="10"/>
      <c r="K762" s="10"/>
      <c r="L762" s="10"/>
      <c r="M762" s="38" t="s">
        <v>852</v>
      </c>
      <c r="N762" s="10"/>
      <c r="O762" s="10"/>
      <c r="P762" s="10"/>
      <c r="Q762" s="38" t="s">
        <v>852</v>
      </c>
      <c r="R762" s="38" t="s">
        <v>852</v>
      </c>
    </row>
    <row r="763" spans="1:20" ht="15.75" customHeight="1" thickBot="1" x14ac:dyDescent="0.35">
      <c r="A763" s="234" t="s">
        <v>559</v>
      </c>
      <c r="B763" s="10"/>
      <c r="C763" s="10"/>
      <c r="D763" s="10"/>
      <c r="E763" s="38" t="s">
        <v>852</v>
      </c>
      <c r="F763" s="10"/>
      <c r="G763" s="10"/>
      <c r="H763" s="10"/>
      <c r="I763" s="38" t="s">
        <v>852</v>
      </c>
      <c r="J763" s="10"/>
      <c r="K763" s="10"/>
      <c r="L763" s="10"/>
      <c r="M763" s="38" t="s">
        <v>852</v>
      </c>
      <c r="N763" s="10"/>
      <c r="O763" s="10"/>
      <c r="P763" s="10"/>
      <c r="Q763" s="38" t="s">
        <v>852</v>
      </c>
      <c r="R763" s="38" t="s">
        <v>852</v>
      </c>
    </row>
    <row r="764" spans="1:20" ht="16.5" customHeight="1" thickBot="1" x14ac:dyDescent="0.35">
      <c r="A764" s="43" t="s">
        <v>1019</v>
      </c>
      <c r="B764" s="42">
        <f>SUM(B762:B763)</f>
        <v>0</v>
      </c>
      <c r="C764" s="42">
        <f>SUM(C762:C763)</f>
        <v>0</v>
      </c>
      <c r="D764" s="42">
        <f>SUM(D762:D763)</f>
        <v>0</v>
      </c>
      <c r="E764" s="39">
        <f>SUM(B764:D764)</f>
        <v>0</v>
      </c>
      <c r="F764" s="42">
        <f>SUM(F762:F763)</f>
        <v>0</v>
      </c>
      <c r="G764" s="42">
        <f>SUM(G762:G763)</f>
        <v>0</v>
      </c>
      <c r="H764" s="42">
        <f>SUM(H762:H763)</f>
        <v>0</v>
      </c>
      <c r="I764" s="39">
        <f>SUM(F764:H764)</f>
        <v>0</v>
      </c>
      <c r="J764" s="42">
        <f>SUM(J762:J763)</f>
        <v>0</v>
      </c>
      <c r="K764" s="42">
        <f>SUM(K762:K763)</f>
        <v>0</v>
      </c>
      <c r="L764" s="42">
        <f>SUM(L762:L763)</f>
        <v>0</v>
      </c>
      <c r="M764" s="39">
        <f>SUM(J764:L764)</f>
        <v>0</v>
      </c>
      <c r="N764" s="42">
        <f>SUM(N762:N763)</f>
        <v>0</v>
      </c>
      <c r="O764" s="42">
        <f>SUM(O762:O763)</f>
        <v>0</v>
      </c>
      <c r="P764" s="42">
        <f>SUM(P762:P763)</f>
        <v>0</v>
      </c>
      <c r="Q764" s="39">
        <f>SUM(N764:P764)</f>
        <v>0</v>
      </c>
      <c r="R764" s="37">
        <f>+E764+I764+M764+Q764</f>
        <v>0</v>
      </c>
    </row>
    <row r="765" spans="1:20" ht="16.5" customHeight="1" thickBot="1" x14ac:dyDescent="0.35">
      <c r="A765" s="277" t="s">
        <v>1221</v>
      </c>
      <c r="B765" s="45">
        <f>SUM(B755:B763)</f>
        <v>0</v>
      </c>
      <c r="C765" s="46">
        <f>SUM(C755:C763)</f>
        <v>0</v>
      </c>
      <c r="D765" s="58">
        <f>SUM(D755:D763)</f>
        <v>0</v>
      </c>
      <c r="E765" s="39">
        <f>SUM(B765:D765)</f>
        <v>0</v>
      </c>
      <c r="F765" s="46">
        <f>SUM(F755:F763)</f>
        <v>0</v>
      </c>
      <c r="G765" s="46">
        <f>SUM(G755:G763)</f>
        <v>0</v>
      </c>
      <c r="H765" s="46">
        <f>SUM(H755:H763)</f>
        <v>0</v>
      </c>
      <c r="I765" s="39">
        <f>SUM(F765:H765)</f>
        <v>0</v>
      </c>
      <c r="J765" s="46">
        <f>SUM(J755:J763)</f>
        <v>0</v>
      </c>
      <c r="K765" s="46">
        <f>SUM(K755:K763)</f>
        <v>0</v>
      </c>
      <c r="L765" s="46">
        <f>SUM(L755:L763)</f>
        <v>0</v>
      </c>
      <c r="M765" s="39">
        <f>SUM(J765:L765)</f>
        <v>0</v>
      </c>
      <c r="N765" s="46">
        <f>SUM(N755:N763)</f>
        <v>0</v>
      </c>
      <c r="O765" s="46">
        <f>SUM(O755:O763)</f>
        <v>0</v>
      </c>
      <c r="P765" s="46">
        <f>SUM(P755:P763)</f>
        <v>0</v>
      </c>
      <c r="Q765" s="39">
        <f>SUM(N765:P765)</f>
        <v>0</v>
      </c>
      <c r="R765" s="37">
        <f>+E765+I765+M765+Q765</f>
        <v>0</v>
      </c>
    </row>
    <row r="766" spans="1:20" ht="16.5" customHeight="1" thickBot="1" x14ac:dyDescent="0.35">
      <c r="A766" s="43" t="s">
        <v>1222</v>
      </c>
      <c r="B766" s="47">
        <f>+B736+B740+B754+B765</f>
        <v>8152</v>
      </c>
      <c r="C766" s="42">
        <f>+C736+C740+C754+C765</f>
        <v>13964</v>
      </c>
      <c r="D766" s="42">
        <f>+D736+D740+D754+D765</f>
        <v>15434</v>
      </c>
      <c r="E766" s="37">
        <f>SUM(B766:D766)</f>
        <v>37550</v>
      </c>
      <c r="F766" s="42">
        <f>+F736+F740+F754+F765</f>
        <v>15580</v>
      </c>
      <c r="G766" s="42">
        <f>+G736+G740+G754+G765</f>
        <v>16101</v>
      </c>
      <c r="H766" s="42">
        <f>+H736+H740+H754+H765</f>
        <v>14655</v>
      </c>
      <c r="I766" s="37">
        <f>SUM(F766:H766)</f>
        <v>46336</v>
      </c>
      <c r="J766" s="42">
        <f>+J736+J740+J754+J765</f>
        <v>15155</v>
      </c>
      <c r="K766" s="42">
        <f>+K736+K740+K754+K765</f>
        <v>14705</v>
      </c>
      <c r="L766" s="42">
        <f>+L736+L740+L754+L765</f>
        <v>14425</v>
      </c>
      <c r="M766" s="37">
        <f>SUM(J766:L766)</f>
        <v>44285</v>
      </c>
      <c r="N766" s="42">
        <f>+N736+N740+N754+N765</f>
        <v>8005</v>
      </c>
      <c r="O766" s="42">
        <f>+O736+O740+O754+O765</f>
        <v>275</v>
      </c>
      <c r="P766" s="42">
        <f>+P736+P740+P754+P765</f>
        <v>940</v>
      </c>
      <c r="Q766" s="37">
        <f>SUM(N766:P766)</f>
        <v>9220</v>
      </c>
      <c r="R766" s="40">
        <f>+E766+I766+M766+Q766</f>
        <v>137391</v>
      </c>
    </row>
    <row r="767" spans="1:20" ht="16.5" customHeight="1" thickBot="1" x14ac:dyDescent="0.35">
      <c r="A767" s="304" t="s">
        <v>853</v>
      </c>
      <c r="B767" s="294">
        <v>22</v>
      </c>
      <c r="C767" s="294">
        <v>24</v>
      </c>
      <c r="D767" s="294">
        <v>31</v>
      </c>
      <c r="E767" s="37">
        <f>SUM(B767:D767)</f>
        <v>77</v>
      </c>
      <c r="F767" s="294">
        <v>40</v>
      </c>
      <c r="G767" s="294">
        <v>45</v>
      </c>
      <c r="H767" s="294">
        <v>48</v>
      </c>
      <c r="I767" s="37">
        <f>SUM(F767:H767)</f>
        <v>133</v>
      </c>
      <c r="J767" s="294">
        <v>42</v>
      </c>
      <c r="K767" s="294">
        <v>39</v>
      </c>
      <c r="L767" s="294">
        <v>38</v>
      </c>
      <c r="M767" s="37">
        <f>SUM(J767:L767)</f>
        <v>119</v>
      </c>
      <c r="N767" s="294">
        <v>32</v>
      </c>
      <c r="O767" s="294">
        <v>25</v>
      </c>
      <c r="P767" s="294">
        <v>21</v>
      </c>
      <c r="Q767" s="37">
        <f>SUM(N767:P767)</f>
        <v>78</v>
      </c>
      <c r="R767" s="39">
        <f>+E767+I767+M767+Q767</f>
        <v>407</v>
      </c>
    </row>
    <row r="768" spans="1:20" ht="16.5" customHeight="1" thickBot="1" x14ac:dyDescent="0.35">
      <c r="A768" s="22"/>
      <c r="B768" s="297"/>
      <c r="C768" s="297"/>
      <c r="D768" s="297"/>
      <c r="E768" s="302"/>
      <c r="F768" s="297"/>
      <c r="G768" s="297"/>
      <c r="H768" s="297"/>
      <c r="I768" s="302"/>
      <c r="J768" s="297"/>
      <c r="K768" s="297"/>
      <c r="L768" s="297"/>
      <c r="M768" s="302"/>
      <c r="N768" s="297"/>
      <c r="O768" s="297"/>
      <c r="P768" s="297"/>
      <c r="Q768" s="302"/>
      <c r="R768" s="21"/>
    </row>
    <row r="769" spans="1:18" ht="15.75" customHeight="1" x14ac:dyDescent="0.3">
      <c r="A769" s="234" t="s">
        <v>120</v>
      </c>
      <c r="B769" s="10">
        <f>+SUM(B766:B767)</f>
        <v>8174</v>
      </c>
      <c r="C769" s="10">
        <f>+SUM(C766:C767)</f>
        <v>13988</v>
      </c>
      <c r="D769" s="10">
        <f>+SUM(D766:D767)</f>
        <v>15465</v>
      </c>
      <c r="E769" s="39">
        <f>SUM(B769:D769)</f>
        <v>37627</v>
      </c>
      <c r="F769" s="10">
        <f>+SUM(F766:F767)</f>
        <v>15620</v>
      </c>
      <c r="G769" s="10">
        <f>+SUM(G766:G767)</f>
        <v>16146</v>
      </c>
      <c r="H769" s="10">
        <f>+SUM(H766:H767)</f>
        <v>14703</v>
      </c>
      <c r="I769" s="39">
        <f>SUM(F769:H769)</f>
        <v>46469</v>
      </c>
      <c r="J769" s="10">
        <f>+SUM(J766:J767)</f>
        <v>15197</v>
      </c>
      <c r="K769" s="10">
        <f>+SUM(K766:K767)</f>
        <v>14744</v>
      </c>
      <c r="L769" s="10">
        <f>+SUM(L766:L767)</f>
        <v>14463</v>
      </c>
      <c r="M769" s="39">
        <f>SUM(J769:L769)</f>
        <v>44404</v>
      </c>
      <c r="N769" s="10">
        <f>+SUM(N766:N767)</f>
        <v>8037</v>
      </c>
      <c r="O769" s="10">
        <f>+SUM(O766:O767)</f>
        <v>300</v>
      </c>
      <c r="P769" s="10">
        <f>+SUM(P766:P767)</f>
        <v>961</v>
      </c>
      <c r="Q769" s="39">
        <f>SUM(N769:P769)</f>
        <v>9298</v>
      </c>
      <c r="R769" s="39">
        <f>+E769+I769+M769+Q769</f>
        <v>137798</v>
      </c>
    </row>
    <row r="770" spans="1:18" ht="15.75" customHeight="1" x14ac:dyDescent="0.3">
      <c r="A770" s="234" t="s">
        <v>1897</v>
      </c>
      <c r="B770" s="10">
        <f>(B769/B10)/1.983</f>
        <v>132.96894571600541</v>
      </c>
      <c r="C770" s="10">
        <f>(C769/C10)/1.983</f>
        <v>251.92709458972695</v>
      </c>
      <c r="D770" s="10">
        <f>(D769/D10)/1.983</f>
        <v>251.57386169537844</v>
      </c>
      <c r="E770" s="38" t="s">
        <v>852</v>
      </c>
      <c r="F770" s="10">
        <f>(F769/F10)/1.983</f>
        <v>262.5651369978147</v>
      </c>
      <c r="G770" s="10">
        <f>(G769/G10)/1.983</f>
        <v>262.65189595432139</v>
      </c>
      <c r="H770" s="10">
        <f>(H769/H10)/1.983</f>
        <v>247.15078164397377</v>
      </c>
      <c r="I770" s="38" t="s">
        <v>852</v>
      </c>
      <c r="J770" s="10">
        <f>(J769/J10)/1.983</f>
        <v>247.21422413091926</v>
      </c>
      <c r="K770" s="10">
        <f>(K769/K10)/1.983</f>
        <v>239.84513526263564</v>
      </c>
      <c r="L770" s="10">
        <f>(L769/L10)/1.983</f>
        <v>243.11649016641454</v>
      </c>
      <c r="M770" s="38" t="s">
        <v>852</v>
      </c>
      <c r="N770" s="10">
        <f>(N769/N10)/1.983</f>
        <v>130.74032502074081</v>
      </c>
      <c r="O770" s="10">
        <f>(O769/O10)/1.983</f>
        <v>5.0428643469490666</v>
      </c>
      <c r="P770" s="10">
        <f>(P769/P10)/1.983</f>
        <v>15.632879475542108</v>
      </c>
      <c r="Q770" s="38" t="s">
        <v>852</v>
      </c>
      <c r="R770" s="38" t="s">
        <v>852</v>
      </c>
    </row>
    <row r="771" spans="1:18" ht="15.75" customHeight="1" x14ac:dyDescent="0.3">
      <c r="A771" s="234" t="s">
        <v>2390</v>
      </c>
      <c r="B771" s="10">
        <f>B769+B781</f>
        <v>12114</v>
      </c>
      <c r="C771" s="10">
        <f>C769+C781</f>
        <v>17761</v>
      </c>
      <c r="D771" s="10">
        <f>D769+D781</f>
        <v>19507</v>
      </c>
      <c r="E771" s="38">
        <f>SUM(B771:D771)</f>
        <v>49382</v>
      </c>
      <c r="F771" s="10">
        <f>F769+F781</f>
        <v>20719</v>
      </c>
      <c r="G771" s="10">
        <f>G769+G781</f>
        <v>21974</v>
      </c>
      <c r="H771" s="10">
        <f>H769+H781</f>
        <v>20578</v>
      </c>
      <c r="I771" s="38">
        <f>SUM(F771:H771)</f>
        <v>63271</v>
      </c>
      <c r="J771" s="10">
        <f>J769+J781</f>
        <v>20022</v>
      </c>
      <c r="K771" s="10">
        <f>K769+K781</f>
        <v>22448</v>
      </c>
      <c r="L771" s="10">
        <f>L769+L781</f>
        <v>20813</v>
      </c>
      <c r="M771" s="38">
        <f>SUM(J771:L771)</f>
        <v>63283</v>
      </c>
      <c r="N771" s="10">
        <f>N769+N781</f>
        <v>12224</v>
      </c>
      <c r="O771" s="10">
        <f>O769+O781</f>
        <v>3163</v>
      </c>
      <c r="P771" s="10">
        <f>P769+P781</f>
        <v>2354</v>
      </c>
      <c r="Q771" s="38">
        <f>SUM(N771:P771)</f>
        <v>17741</v>
      </c>
      <c r="R771" s="38">
        <f>+E771+I771+M771+Q771</f>
        <v>193677</v>
      </c>
    </row>
    <row r="772" spans="1:18" ht="16.5" customHeight="1" thickBot="1" x14ac:dyDescent="0.35">
      <c r="A772" s="237" t="s">
        <v>1716</v>
      </c>
      <c r="B772" s="294">
        <f>(B771/B10)/1.983</f>
        <v>197.06212483529353</v>
      </c>
      <c r="C772" s="294">
        <f>(C771/C10)/1.983</f>
        <v>319.87969166486562</v>
      </c>
      <c r="D772" s="294">
        <f>(D771/D10)/1.983</f>
        <v>317.32630585785625</v>
      </c>
      <c r="E772" s="40" t="s">
        <v>852</v>
      </c>
      <c r="F772" s="294">
        <f>(F771/F10)/1.983</f>
        <v>348.27702134812574</v>
      </c>
      <c r="G772" s="294">
        <f>(G771/G10)/1.983</f>
        <v>357.4577456769639</v>
      </c>
      <c r="H772" s="294">
        <f>(H771/H10)/1.983</f>
        <v>345.90687510505961</v>
      </c>
      <c r="I772" s="40" t="s">
        <v>852</v>
      </c>
      <c r="J772" s="294">
        <f>(J771/J10)/1.983</f>
        <v>325.70396759552972</v>
      </c>
      <c r="K772" s="294">
        <f>(K771/K10)/1.983</f>
        <v>365.16844793649244</v>
      </c>
      <c r="L772" s="294">
        <f>(L771/L10)/1.983</f>
        <v>349.85711884350309</v>
      </c>
      <c r="M772" s="40" t="s">
        <v>852</v>
      </c>
      <c r="N772" s="294">
        <f>(N771/N10)/1.983</f>
        <v>198.85152831324319</v>
      </c>
      <c r="O772" s="294">
        <f>(O771/O10)/1.983</f>
        <v>53.168599764666332</v>
      </c>
      <c r="P772" s="294">
        <f>(P771/P10)/1.983</f>
        <v>38.293234428122915</v>
      </c>
      <c r="Q772" s="40" t="s">
        <v>852</v>
      </c>
      <c r="R772" s="40" t="s">
        <v>852</v>
      </c>
    </row>
    <row r="773" spans="1:18" ht="15.75" customHeight="1" x14ac:dyDescent="0.3">
      <c r="A773" s="17"/>
      <c r="B773" s="10"/>
      <c r="C773" s="10"/>
      <c r="D773" s="10"/>
      <c r="E773" s="10"/>
      <c r="F773" s="10"/>
      <c r="G773" s="10"/>
      <c r="H773" s="10"/>
      <c r="I773" s="10"/>
      <c r="J773" s="10"/>
      <c r="K773" s="10"/>
      <c r="L773" s="10"/>
      <c r="M773" s="10"/>
      <c r="N773" s="10"/>
      <c r="O773" s="10"/>
      <c r="P773" s="10"/>
      <c r="Q773" s="10"/>
      <c r="R773" s="17"/>
    </row>
    <row r="774" spans="1:18" ht="15.75" customHeight="1" thickBot="1" x14ac:dyDescent="0.35">
      <c r="A774" s="17"/>
      <c r="B774" s="10"/>
      <c r="C774" s="10"/>
      <c r="D774" s="10"/>
      <c r="E774" s="10"/>
      <c r="F774" s="10"/>
      <c r="G774" s="10"/>
      <c r="H774" s="10"/>
      <c r="I774" s="10"/>
      <c r="J774" s="10"/>
      <c r="K774" s="10"/>
      <c r="L774" s="10"/>
      <c r="M774" s="10"/>
      <c r="N774" s="10"/>
      <c r="O774" s="10"/>
      <c r="P774" s="10"/>
      <c r="Q774" s="10"/>
      <c r="R774" s="17"/>
    </row>
    <row r="775" spans="1:18" ht="16.5" customHeight="1" thickBot="1" x14ac:dyDescent="0.35">
      <c r="A775" s="278" t="s">
        <v>374</v>
      </c>
      <c r="B775" s="4" t="s">
        <v>2090</v>
      </c>
      <c r="C775" s="5" t="s">
        <v>2091</v>
      </c>
      <c r="D775" s="5" t="s">
        <v>2234</v>
      </c>
      <c r="E775" s="33" t="s">
        <v>1594</v>
      </c>
      <c r="F775" s="5" t="s">
        <v>2235</v>
      </c>
      <c r="G775" s="5" t="s">
        <v>2236</v>
      </c>
      <c r="H775" s="5" t="s">
        <v>2237</v>
      </c>
      <c r="I775" s="35" t="s">
        <v>1595</v>
      </c>
      <c r="J775" s="5" t="s">
        <v>1504</v>
      </c>
      <c r="K775" s="5" t="s">
        <v>1505</v>
      </c>
      <c r="L775" s="5" t="s">
        <v>1506</v>
      </c>
      <c r="M775" s="35" t="s">
        <v>1596</v>
      </c>
      <c r="N775" s="5" t="s">
        <v>1507</v>
      </c>
      <c r="O775" s="5" t="s">
        <v>1508</v>
      </c>
      <c r="P775" s="5" t="s">
        <v>1509</v>
      </c>
      <c r="Q775" s="35" t="s">
        <v>1597</v>
      </c>
      <c r="R775" s="36" t="s">
        <v>1510</v>
      </c>
    </row>
    <row r="776" spans="1:18" ht="16.5" customHeight="1" thickBot="1" x14ac:dyDescent="0.35">
      <c r="A776" s="22"/>
      <c r="B776" s="297"/>
      <c r="C776" s="297"/>
      <c r="D776" s="297"/>
      <c r="E776" s="298"/>
      <c r="F776" s="297"/>
      <c r="G776" s="297"/>
      <c r="H776" s="297"/>
      <c r="I776" s="298"/>
      <c r="J776" s="297"/>
      <c r="K776" s="297"/>
      <c r="L776" s="297"/>
      <c r="M776" s="298"/>
      <c r="N776" s="297"/>
      <c r="O776" s="297"/>
      <c r="P776" s="297"/>
      <c r="Q776" s="298"/>
      <c r="R776" s="22"/>
    </row>
    <row r="777" spans="1:18" ht="16.5" customHeight="1" thickBot="1" x14ac:dyDescent="0.35">
      <c r="A777" s="299" t="s">
        <v>853</v>
      </c>
      <c r="B777" s="294">
        <v>2</v>
      </c>
      <c r="C777" s="294">
        <v>3</v>
      </c>
      <c r="D777" s="294">
        <v>5</v>
      </c>
      <c r="E777" s="38">
        <f>SUM(B777:D777)</f>
        <v>10</v>
      </c>
      <c r="F777" s="294">
        <v>7</v>
      </c>
      <c r="G777" s="294">
        <v>8</v>
      </c>
      <c r="H777" s="294">
        <v>9</v>
      </c>
      <c r="I777" s="38">
        <f>SUM(F777:H777)</f>
        <v>24</v>
      </c>
      <c r="J777" s="294">
        <v>7</v>
      </c>
      <c r="K777" s="294">
        <v>6</v>
      </c>
      <c r="L777" s="294">
        <v>6</v>
      </c>
      <c r="M777" s="38">
        <f>SUM(J777:L777)</f>
        <v>19</v>
      </c>
      <c r="N777" s="294">
        <v>5</v>
      </c>
      <c r="O777" s="294">
        <v>3</v>
      </c>
      <c r="P777" s="294">
        <v>2</v>
      </c>
      <c r="Q777" s="38">
        <f>SUM(N777:P777)</f>
        <v>10</v>
      </c>
      <c r="R777" s="39">
        <f>+E777+I777+M777+Q777</f>
        <v>63</v>
      </c>
    </row>
    <row r="778" spans="1:18" ht="16.5" customHeight="1" thickBot="1" x14ac:dyDescent="0.35">
      <c r="A778" s="22"/>
      <c r="B778" s="297"/>
      <c r="C778" s="297"/>
      <c r="D778" s="297"/>
      <c r="E778" s="302"/>
      <c r="F778" s="297"/>
      <c r="G778" s="297"/>
      <c r="H778" s="297"/>
      <c r="I778" s="302"/>
      <c r="J778" s="297"/>
      <c r="K778" s="297"/>
      <c r="L778" s="297"/>
      <c r="M778" s="302"/>
      <c r="N778" s="297"/>
      <c r="O778" s="297"/>
      <c r="P778" s="297"/>
      <c r="Q778" s="302"/>
      <c r="R778" s="21"/>
    </row>
    <row r="779" spans="1:18" ht="15.75" customHeight="1" x14ac:dyDescent="0.3">
      <c r="A779" s="234" t="s">
        <v>120</v>
      </c>
      <c r="B779" s="10">
        <f>B777</f>
        <v>2</v>
      </c>
      <c r="C779" s="10">
        <f>C777</f>
        <v>3</v>
      </c>
      <c r="D779" s="10">
        <f>D777</f>
        <v>5</v>
      </c>
      <c r="E779" s="39">
        <f>SUM(B779:D779)</f>
        <v>10</v>
      </c>
      <c r="F779" s="10">
        <f>F777</f>
        <v>7</v>
      </c>
      <c r="G779" s="10">
        <f>G777</f>
        <v>8</v>
      </c>
      <c r="H779" s="10">
        <f>H777</f>
        <v>9</v>
      </c>
      <c r="I779" s="39">
        <f>SUM(F779:H779)</f>
        <v>24</v>
      </c>
      <c r="J779" s="10">
        <f>J777</f>
        <v>7</v>
      </c>
      <c r="K779" s="10">
        <f>K777</f>
        <v>6</v>
      </c>
      <c r="L779" s="10">
        <f>L777</f>
        <v>6</v>
      </c>
      <c r="M779" s="39">
        <f>SUM(J779:L779)</f>
        <v>19</v>
      </c>
      <c r="N779" s="10">
        <f>N777</f>
        <v>5</v>
      </c>
      <c r="O779" s="10">
        <f>O777</f>
        <v>3</v>
      </c>
      <c r="P779" s="10">
        <f>P777</f>
        <v>2</v>
      </c>
      <c r="Q779" s="39">
        <f>SUM(N779:P779)</f>
        <v>10</v>
      </c>
      <c r="R779" s="39">
        <f>+E779+I779+M779+Q779</f>
        <v>63</v>
      </c>
    </row>
    <row r="780" spans="1:18" ht="15.75" customHeight="1" x14ac:dyDescent="0.3">
      <c r="A780" s="234" t="s">
        <v>1897</v>
      </c>
      <c r="B780" s="10">
        <f>(B779/B10)/1.983</f>
        <v>3.2534608689993978E-2</v>
      </c>
      <c r="C780" s="10">
        <f>(C779/C10)/1.983</f>
        <v>5.403068943159714E-2</v>
      </c>
      <c r="D780" s="10">
        <f>(D779/D10)/1.983</f>
        <v>8.1336521724984942E-2</v>
      </c>
      <c r="E780" s="38" t="s">
        <v>852</v>
      </c>
      <c r="F780" s="10">
        <f>(F779/F10)/1.983</f>
        <v>0.1176668347621449</v>
      </c>
      <c r="G780" s="10">
        <f>(G779/G10)/1.983</f>
        <v>0.13013843475997591</v>
      </c>
      <c r="H780" s="10">
        <f>(H779/H10)/1.983</f>
        <v>0.15128593040847199</v>
      </c>
      <c r="I780" s="38" t="s">
        <v>852</v>
      </c>
      <c r="J780" s="10">
        <f>(J779/J10)/1.983</f>
        <v>0.11387113041497893</v>
      </c>
      <c r="K780" s="10">
        <f>(K779/K10)/1.983</f>
        <v>9.7603826069981942E-2</v>
      </c>
      <c r="L780" s="10">
        <f>(L779/L10)/1.983</f>
        <v>0.10085728693898134</v>
      </c>
      <c r="M780" s="38" t="s">
        <v>852</v>
      </c>
      <c r="N780" s="10">
        <f>(N779/N10)/1.983</f>
        <v>8.1336521724984942E-2</v>
      </c>
      <c r="O780" s="10">
        <f>(O779/O10)/1.983</f>
        <v>5.0428643469490671E-2</v>
      </c>
      <c r="P780" s="10">
        <f>(P779/P10)/1.983</f>
        <v>3.2534608689993978E-2</v>
      </c>
      <c r="Q780" s="38" t="s">
        <v>852</v>
      </c>
      <c r="R780" s="38" t="s">
        <v>852</v>
      </c>
    </row>
    <row r="781" spans="1:18" ht="15.75" customHeight="1" x14ac:dyDescent="0.3">
      <c r="A781" s="234" t="s">
        <v>585</v>
      </c>
      <c r="B781" s="10">
        <f>B779+B815+B868-B810</f>
        <v>3940</v>
      </c>
      <c r="C781" s="10">
        <f>C779+C815+C868-C810</f>
        <v>3773</v>
      </c>
      <c r="D781" s="10">
        <f>D779+D815+D868-D810</f>
        <v>4042</v>
      </c>
      <c r="E781" s="38">
        <f>SUM(B781:D781)</f>
        <v>11755</v>
      </c>
      <c r="F781" s="10">
        <f>F779+F815+F868-F810</f>
        <v>5099</v>
      </c>
      <c r="G781" s="10">
        <f>G779+G815+G868-G810</f>
        <v>5828</v>
      </c>
      <c r="H781" s="10">
        <f>H779+H815+H868-H810</f>
        <v>5875</v>
      </c>
      <c r="I781" s="38">
        <f>SUM(F781:H781)</f>
        <v>16802</v>
      </c>
      <c r="J781" s="10">
        <f>J779+J815+J868-J810</f>
        <v>4825</v>
      </c>
      <c r="K781" s="10">
        <f>K779+K815+K868-K810</f>
        <v>7704</v>
      </c>
      <c r="L781" s="10">
        <f>L779+L815+L868-L810</f>
        <v>6350</v>
      </c>
      <c r="M781" s="38">
        <f>SUM(J781:L781)</f>
        <v>18879</v>
      </c>
      <c r="N781" s="10">
        <f>N779+N815+N868-N810</f>
        <v>4187</v>
      </c>
      <c r="O781" s="10">
        <f>O779+O815+O868-O810</f>
        <v>2863</v>
      </c>
      <c r="P781" s="10">
        <f>P779+P815+P868-P810</f>
        <v>1393</v>
      </c>
      <c r="Q781" s="38">
        <f>SUM(N781:P781)</f>
        <v>8443</v>
      </c>
      <c r="R781" s="38">
        <f>+E781+I781+M781+Q781</f>
        <v>55879</v>
      </c>
    </row>
    <row r="782" spans="1:18" ht="16.5" customHeight="1" thickBot="1" x14ac:dyDescent="0.35">
      <c r="A782" s="237" t="s">
        <v>57</v>
      </c>
      <c r="B782" s="294">
        <f>(B781/B10)/1.983</f>
        <v>64.093179119288138</v>
      </c>
      <c r="C782" s="294">
        <f>(C781/C10)/1.983</f>
        <v>67.952597075138669</v>
      </c>
      <c r="D782" s="294">
        <f>(D781/D10)/1.983</f>
        <v>65.752444162477829</v>
      </c>
      <c r="E782" s="40" t="s">
        <v>852</v>
      </c>
      <c r="F782" s="294">
        <f>(F781/F10)/1.983</f>
        <v>85.711884350310967</v>
      </c>
      <c r="G782" s="294">
        <f>(G781/G10)/1.983</f>
        <v>94.805849722642449</v>
      </c>
      <c r="H782" s="294">
        <f>(H781/H10)/1.983</f>
        <v>98.756093461085896</v>
      </c>
      <c r="I782" s="40" t="s">
        <v>852</v>
      </c>
      <c r="J782" s="294">
        <f>(J781/J10)/1.983</f>
        <v>78.489743464610484</v>
      </c>
      <c r="K782" s="294">
        <f>(K781/K10)/1.983</f>
        <v>125.32331267385682</v>
      </c>
      <c r="L782" s="294">
        <f>(L781/L10)/1.983</f>
        <v>106.74062867708858</v>
      </c>
      <c r="M782" s="40" t="s">
        <v>852</v>
      </c>
      <c r="N782" s="294">
        <f>(N781/N10)/1.983</f>
        <v>68.111203292502395</v>
      </c>
      <c r="O782" s="294">
        <f>(O781/O10)/1.983</f>
        <v>48.125735417717266</v>
      </c>
      <c r="P782" s="294">
        <f>(P781/P10)/1.983</f>
        <v>22.660354952580807</v>
      </c>
      <c r="Q782" s="40" t="s">
        <v>852</v>
      </c>
      <c r="R782" s="40" t="s">
        <v>852</v>
      </c>
    </row>
    <row r="783" spans="1:18" ht="15.75" customHeight="1" x14ac:dyDescent="0.3">
      <c r="A783" s="17"/>
      <c r="B783" s="10"/>
      <c r="C783" s="10"/>
      <c r="D783" s="10"/>
      <c r="E783" s="10"/>
      <c r="F783" s="10"/>
      <c r="G783" s="10"/>
      <c r="H783" s="10"/>
      <c r="I783" s="10"/>
      <c r="J783" s="10"/>
      <c r="K783" s="10"/>
      <c r="L783" s="10"/>
      <c r="M783" s="10"/>
      <c r="N783" s="10"/>
      <c r="O783" s="10"/>
      <c r="P783" s="10"/>
      <c r="Q783" s="10"/>
      <c r="R783" s="17"/>
    </row>
    <row r="784" spans="1:18" ht="15.75" customHeight="1" thickBot="1" x14ac:dyDescent="0.35">
      <c r="A784" s="17"/>
      <c r="B784" s="10"/>
      <c r="C784" s="10"/>
      <c r="D784" s="10"/>
      <c r="E784" s="10"/>
      <c r="F784" s="10"/>
      <c r="G784" s="10"/>
      <c r="H784" s="10"/>
      <c r="I784" s="10"/>
      <c r="J784" s="10"/>
      <c r="K784" s="10"/>
      <c r="L784" s="10"/>
      <c r="M784" s="10"/>
      <c r="N784" s="10"/>
      <c r="O784" s="10"/>
      <c r="P784" s="10"/>
      <c r="Q784" s="10"/>
      <c r="R784" s="17"/>
    </row>
    <row r="785" spans="1:18" ht="16.5" customHeight="1" thickBot="1" x14ac:dyDescent="0.35">
      <c r="A785" s="278" t="s">
        <v>1709</v>
      </c>
      <c r="B785" s="4" t="s">
        <v>2090</v>
      </c>
      <c r="C785" s="5" t="s">
        <v>2091</v>
      </c>
      <c r="D785" s="5" t="s">
        <v>2234</v>
      </c>
      <c r="E785" s="35" t="s">
        <v>1594</v>
      </c>
      <c r="F785" s="5" t="s">
        <v>2235</v>
      </c>
      <c r="G785" s="5" t="s">
        <v>2236</v>
      </c>
      <c r="H785" s="5" t="s">
        <v>2237</v>
      </c>
      <c r="I785" s="35" t="s">
        <v>1595</v>
      </c>
      <c r="J785" s="5" t="s">
        <v>1504</v>
      </c>
      <c r="K785" s="5" t="s">
        <v>1505</v>
      </c>
      <c r="L785" s="5" t="s">
        <v>1506</v>
      </c>
      <c r="M785" s="35" t="s">
        <v>1596</v>
      </c>
      <c r="N785" s="5" t="s">
        <v>1507</v>
      </c>
      <c r="O785" s="5" t="s">
        <v>1508</v>
      </c>
      <c r="P785" s="5" t="s">
        <v>1509</v>
      </c>
      <c r="Q785" s="35" t="s">
        <v>1597</v>
      </c>
      <c r="R785" s="59" t="s">
        <v>1510</v>
      </c>
    </row>
    <row r="786" spans="1:18" ht="16.5" customHeight="1" thickBot="1" x14ac:dyDescent="0.35">
      <c r="A786" s="22"/>
      <c r="B786" s="297"/>
      <c r="C786" s="297"/>
      <c r="D786" s="297"/>
      <c r="E786" s="325"/>
      <c r="F786" s="297"/>
      <c r="G786" s="297"/>
      <c r="H786" s="297"/>
      <c r="I786" s="325"/>
      <c r="J786" s="297"/>
      <c r="K786" s="297"/>
      <c r="L786" s="297"/>
      <c r="M786" s="325"/>
      <c r="N786" s="297"/>
      <c r="O786" s="297"/>
      <c r="P786" s="297"/>
      <c r="Q786" s="325"/>
      <c r="R786" s="19"/>
    </row>
    <row r="787" spans="1:18" ht="15.75" customHeight="1" x14ac:dyDescent="0.3">
      <c r="A787" s="234" t="s">
        <v>2417</v>
      </c>
      <c r="B787" s="10" t="s">
        <v>852</v>
      </c>
      <c r="C787" s="10" t="s">
        <v>852</v>
      </c>
      <c r="D787" s="10" t="s">
        <v>852</v>
      </c>
      <c r="E787" s="38" t="s">
        <v>852</v>
      </c>
      <c r="F787" s="10" t="s">
        <v>852</v>
      </c>
      <c r="G787" s="10" t="s">
        <v>852</v>
      </c>
      <c r="H787" s="10" t="s">
        <v>852</v>
      </c>
      <c r="I787" s="38" t="s">
        <v>852</v>
      </c>
      <c r="J787" s="10" t="s">
        <v>852</v>
      </c>
      <c r="K787" s="10" t="s">
        <v>852</v>
      </c>
      <c r="L787" s="10" t="s">
        <v>852</v>
      </c>
      <c r="M787" s="38" t="s">
        <v>852</v>
      </c>
      <c r="N787" s="10" t="s">
        <v>852</v>
      </c>
      <c r="O787" s="10" t="s">
        <v>852</v>
      </c>
      <c r="P787" s="10" t="s">
        <v>852</v>
      </c>
      <c r="Q787" s="38" t="s">
        <v>852</v>
      </c>
      <c r="R787" s="38" t="s">
        <v>852</v>
      </c>
    </row>
    <row r="788" spans="1:18" ht="15.75" customHeight="1" x14ac:dyDescent="0.3">
      <c r="A788" s="234" t="s">
        <v>2160</v>
      </c>
      <c r="B788" s="10"/>
      <c r="C788" s="10"/>
      <c r="D788" s="10"/>
      <c r="E788" s="38" t="s">
        <v>852</v>
      </c>
      <c r="F788" s="10"/>
      <c r="G788" s="10"/>
      <c r="H788" s="10"/>
      <c r="I788" s="38" t="s">
        <v>852</v>
      </c>
      <c r="J788" s="10"/>
      <c r="K788" s="10"/>
      <c r="L788" s="10"/>
      <c r="M788" s="38" t="s">
        <v>852</v>
      </c>
      <c r="N788" s="10"/>
      <c r="O788" s="10"/>
      <c r="P788" s="10"/>
      <c r="Q788" s="38" t="s">
        <v>852</v>
      </c>
      <c r="R788" s="38" t="s">
        <v>852</v>
      </c>
    </row>
    <row r="789" spans="1:18" ht="15.75" customHeight="1" x14ac:dyDescent="0.3">
      <c r="A789" s="310" t="s">
        <v>573</v>
      </c>
      <c r="B789" s="10"/>
      <c r="C789" s="10"/>
      <c r="D789" s="10"/>
      <c r="E789" s="38">
        <f>SUM(B789:D789)</f>
        <v>0</v>
      </c>
      <c r="F789" s="10"/>
      <c r="G789" s="10"/>
      <c r="H789" s="10"/>
      <c r="I789" s="38">
        <f>SUM(F789:H789)</f>
        <v>0</v>
      </c>
      <c r="J789" s="10"/>
      <c r="K789" s="10"/>
      <c r="L789" s="10"/>
      <c r="M789" s="38">
        <f>SUM(J789:L789)</f>
        <v>0</v>
      </c>
      <c r="N789" s="10"/>
      <c r="O789" s="10"/>
      <c r="P789" s="10"/>
      <c r="Q789" s="38">
        <f>SUM(N789:P789)</f>
        <v>0</v>
      </c>
      <c r="R789" s="38">
        <f>+E789+I789+M789+Q789</f>
        <v>0</v>
      </c>
    </row>
    <row r="790" spans="1:18" ht="15.75" customHeight="1" x14ac:dyDescent="0.3">
      <c r="A790" s="234" t="s">
        <v>2161</v>
      </c>
      <c r="B790" s="10"/>
      <c r="C790" s="10"/>
      <c r="D790" s="10"/>
      <c r="E790" s="38" t="s">
        <v>852</v>
      </c>
      <c r="F790" s="10"/>
      <c r="G790" s="10"/>
      <c r="H790" s="10"/>
      <c r="I790" s="38" t="s">
        <v>852</v>
      </c>
      <c r="J790" s="10"/>
      <c r="K790" s="10"/>
      <c r="L790" s="10"/>
      <c r="M790" s="38" t="s">
        <v>852</v>
      </c>
      <c r="N790" s="10"/>
      <c r="O790" s="10"/>
      <c r="P790" s="10"/>
      <c r="Q790" s="38" t="s">
        <v>852</v>
      </c>
      <c r="R790" s="38" t="s">
        <v>852</v>
      </c>
    </row>
    <row r="791" spans="1:18" ht="15.75" customHeight="1" x14ac:dyDescent="0.3">
      <c r="A791" s="234" t="s">
        <v>3245</v>
      </c>
      <c r="B791" s="10"/>
      <c r="C791" s="10"/>
      <c r="D791" s="10"/>
      <c r="E791" s="38" t="s">
        <v>852</v>
      </c>
      <c r="F791" s="10"/>
      <c r="G791" s="10"/>
      <c r="H791" s="10"/>
      <c r="I791" s="38" t="s">
        <v>852</v>
      </c>
      <c r="J791" s="10"/>
      <c r="K791" s="10"/>
      <c r="L791" s="10"/>
      <c r="M791" s="38" t="s">
        <v>852</v>
      </c>
      <c r="N791" s="10"/>
      <c r="O791" s="10"/>
      <c r="P791" s="10"/>
      <c r="Q791" s="38" t="s">
        <v>852</v>
      </c>
      <c r="R791" s="38" t="s">
        <v>852</v>
      </c>
    </row>
    <row r="792" spans="1:18" ht="15.75" customHeight="1" thickBot="1" x14ac:dyDescent="0.35">
      <c r="A792" s="234" t="s">
        <v>2164</v>
      </c>
      <c r="B792" s="10"/>
      <c r="C792" s="10"/>
      <c r="D792" s="10"/>
      <c r="E792" s="38" t="s">
        <v>852</v>
      </c>
      <c r="F792" s="10"/>
      <c r="G792" s="10"/>
      <c r="H792" s="10"/>
      <c r="I792" s="38" t="s">
        <v>852</v>
      </c>
      <c r="J792" s="10"/>
      <c r="K792" s="10"/>
      <c r="L792" s="10"/>
      <c r="M792" s="38" t="s">
        <v>852</v>
      </c>
      <c r="N792" s="10"/>
      <c r="O792" s="10"/>
      <c r="P792" s="10"/>
      <c r="Q792" s="38" t="s">
        <v>852</v>
      </c>
      <c r="R792" s="38" t="s">
        <v>852</v>
      </c>
    </row>
    <row r="793" spans="1:18" ht="16.5" customHeight="1" thickBot="1" x14ac:dyDescent="0.35">
      <c r="A793" s="43" t="s">
        <v>1218</v>
      </c>
      <c r="B793" s="45">
        <f>SUM(B787:B792)</f>
        <v>0</v>
      </c>
      <c r="C793" s="46">
        <f>SUM(C787:C792)</f>
        <v>0</v>
      </c>
      <c r="D793" s="46">
        <f>SUM(D787:D792)</f>
        <v>0</v>
      </c>
      <c r="E793" s="37">
        <f>SUM(B793:D793)</f>
        <v>0</v>
      </c>
      <c r="F793" s="46">
        <f>SUM(F787:F792)</f>
        <v>0</v>
      </c>
      <c r="G793" s="46">
        <f>SUM(G787:G792)</f>
        <v>0</v>
      </c>
      <c r="H793" s="46">
        <f>SUM(H787:H792)</f>
        <v>0</v>
      </c>
      <c r="I793" s="37">
        <f>SUM(F793:H793)</f>
        <v>0</v>
      </c>
      <c r="J793" s="46">
        <f>SUM(J787:J792)</f>
        <v>0</v>
      </c>
      <c r="K793" s="46">
        <f>SUM(K787:K792)</f>
        <v>0</v>
      </c>
      <c r="L793" s="46">
        <f>SUM(L787:L792)</f>
        <v>0</v>
      </c>
      <c r="M793" s="37">
        <f>SUM(J793:L793)</f>
        <v>0</v>
      </c>
      <c r="N793" s="46">
        <f>SUM(N787:N792)</f>
        <v>0</v>
      </c>
      <c r="O793" s="46">
        <f>SUM(O787:O792)</f>
        <v>0</v>
      </c>
      <c r="P793" s="46">
        <f>SUM(P787:P792)</f>
        <v>0</v>
      </c>
      <c r="Q793" s="37">
        <f>SUM(N793:P793)</f>
        <v>0</v>
      </c>
      <c r="R793" s="37">
        <f>+E793+I793+M793+Q793</f>
        <v>0</v>
      </c>
    </row>
    <row r="794" spans="1:18" ht="15.75" customHeight="1" x14ac:dyDescent="0.3">
      <c r="A794" s="234" t="s">
        <v>1172</v>
      </c>
      <c r="B794" s="10"/>
      <c r="C794" s="10"/>
      <c r="D794" s="10"/>
      <c r="E794" s="38" t="s">
        <v>852</v>
      </c>
      <c r="F794" s="10"/>
      <c r="G794" s="10"/>
      <c r="H794" s="10"/>
      <c r="I794" s="38" t="s">
        <v>852</v>
      </c>
      <c r="J794" s="10"/>
      <c r="K794" s="10"/>
      <c r="L794" s="10"/>
      <c r="M794" s="38" t="s">
        <v>852</v>
      </c>
      <c r="N794" s="10"/>
      <c r="O794" s="10"/>
      <c r="P794" s="10"/>
      <c r="Q794" s="38" t="s">
        <v>852</v>
      </c>
      <c r="R794" s="38" t="s">
        <v>852</v>
      </c>
    </row>
    <row r="795" spans="1:18" ht="15.75" customHeight="1" x14ac:dyDescent="0.3">
      <c r="A795" s="234" t="s">
        <v>2409</v>
      </c>
      <c r="B795" s="10"/>
      <c r="C795" s="10"/>
      <c r="D795" s="10"/>
      <c r="E795" s="38" t="s">
        <v>852</v>
      </c>
      <c r="F795" s="10"/>
      <c r="G795" s="10"/>
      <c r="H795" s="10"/>
      <c r="I795" s="38" t="s">
        <v>852</v>
      </c>
      <c r="J795" s="10"/>
      <c r="K795" s="10"/>
      <c r="L795" s="10"/>
      <c r="M795" s="38" t="s">
        <v>852</v>
      </c>
      <c r="N795" s="10"/>
      <c r="O795" s="10"/>
      <c r="P795" s="10"/>
      <c r="Q795" s="38" t="s">
        <v>852</v>
      </c>
      <c r="R795" s="38" t="s">
        <v>852</v>
      </c>
    </row>
    <row r="796" spans="1:18" ht="15.75" customHeight="1" thickBot="1" x14ac:dyDescent="0.35">
      <c r="A796" s="234" t="s">
        <v>2165</v>
      </c>
      <c r="B796" s="10"/>
      <c r="C796" s="10"/>
      <c r="D796" s="10"/>
      <c r="E796" s="38" t="s">
        <v>852</v>
      </c>
      <c r="F796" s="10"/>
      <c r="G796" s="10"/>
      <c r="H796" s="10"/>
      <c r="I796" s="38" t="s">
        <v>852</v>
      </c>
      <c r="J796" s="10"/>
      <c r="K796" s="10"/>
      <c r="L796" s="10"/>
      <c r="M796" s="38" t="s">
        <v>852</v>
      </c>
      <c r="N796" s="10"/>
      <c r="O796" s="10"/>
      <c r="P796" s="10"/>
      <c r="Q796" s="38" t="s">
        <v>852</v>
      </c>
      <c r="R796" s="38" t="s">
        <v>852</v>
      </c>
    </row>
    <row r="797" spans="1:18" ht="16.5" customHeight="1" thickBot="1" x14ac:dyDescent="0.35">
      <c r="A797" s="43" t="s">
        <v>1219</v>
      </c>
      <c r="B797" s="45">
        <f>SUM(B794:B796)</f>
        <v>0</v>
      </c>
      <c r="C797" s="46">
        <f>SUM(C794:C796)</f>
        <v>0</v>
      </c>
      <c r="D797" s="46">
        <f>SUM(D794:D796)</f>
        <v>0</v>
      </c>
      <c r="E797" s="37">
        <f>SUM(B797:D797)</f>
        <v>0</v>
      </c>
      <c r="F797" s="46">
        <f>SUM(F794:F796)</f>
        <v>0</v>
      </c>
      <c r="G797" s="46">
        <f>SUM(G794:G796)</f>
        <v>0</v>
      </c>
      <c r="H797" s="46">
        <f>SUM(H794:H796)</f>
        <v>0</v>
      </c>
      <c r="I797" s="37">
        <f>SUM(F797:H797)</f>
        <v>0</v>
      </c>
      <c r="J797" s="46">
        <f>SUM(J794:J796)</f>
        <v>0</v>
      </c>
      <c r="K797" s="46">
        <f>SUM(K794:K796)</f>
        <v>0</v>
      </c>
      <c r="L797" s="46">
        <f>SUM(L794:L796)</f>
        <v>0</v>
      </c>
      <c r="M797" s="37">
        <f>SUM(J797:L797)</f>
        <v>0</v>
      </c>
      <c r="N797" s="46">
        <f>SUM(N794:N796)</f>
        <v>0</v>
      </c>
      <c r="O797" s="46">
        <f>SUM(O794:O796)</f>
        <v>0</v>
      </c>
      <c r="P797" s="46">
        <f>SUM(P794:P796)</f>
        <v>0</v>
      </c>
      <c r="Q797" s="37">
        <f>SUM(N797:P797)</f>
        <v>0</v>
      </c>
      <c r="R797" s="37">
        <f>+E797+I797+M797+Q797</f>
        <v>0</v>
      </c>
    </row>
    <row r="798" spans="1:18" ht="15.75" customHeight="1" x14ac:dyDescent="0.3">
      <c r="A798" s="234" t="s">
        <v>2166</v>
      </c>
      <c r="B798" s="10"/>
      <c r="C798" s="10"/>
      <c r="D798" s="10"/>
      <c r="E798" s="38" t="s">
        <v>852</v>
      </c>
      <c r="F798" s="10"/>
      <c r="G798" s="10"/>
      <c r="H798" s="10"/>
      <c r="I798" s="38" t="s">
        <v>852</v>
      </c>
      <c r="J798" s="10"/>
      <c r="K798" s="10"/>
      <c r="L798" s="10"/>
      <c r="M798" s="38" t="s">
        <v>852</v>
      </c>
      <c r="N798" s="10"/>
      <c r="O798" s="10"/>
      <c r="P798" s="10"/>
      <c r="Q798" s="38" t="s">
        <v>852</v>
      </c>
      <c r="R798" s="38" t="s">
        <v>852</v>
      </c>
    </row>
    <row r="799" spans="1:18" ht="15.75" customHeight="1" x14ac:dyDescent="0.3">
      <c r="A799" s="234" t="s">
        <v>1245</v>
      </c>
      <c r="B799" s="10"/>
      <c r="C799" s="10"/>
      <c r="D799" s="10"/>
      <c r="E799" s="38" t="s">
        <v>852</v>
      </c>
      <c r="F799" s="10"/>
      <c r="G799" s="10"/>
      <c r="H799" s="10"/>
      <c r="I799" s="38" t="s">
        <v>852</v>
      </c>
      <c r="J799" s="10"/>
      <c r="K799" s="10"/>
      <c r="L799" s="10"/>
      <c r="M799" s="38" t="s">
        <v>852</v>
      </c>
      <c r="N799" s="10"/>
      <c r="O799" s="10"/>
      <c r="P799" s="10"/>
      <c r="Q799" s="38" t="s">
        <v>852</v>
      </c>
      <c r="R799" s="38" t="s">
        <v>852</v>
      </c>
    </row>
    <row r="800" spans="1:18" ht="15.75" customHeight="1" thickBot="1" x14ac:dyDescent="0.35">
      <c r="A800" s="234" t="s">
        <v>1711</v>
      </c>
      <c r="B800" s="10"/>
      <c r="C800" s="10"/>
      <c r="D800" s="10"/>
      <c r="E800" s="38" t="s">
        <v>852</v>
      </c>
      <c r="F800" s="10"/>
      <c r="G800" s="10"/>
      <c r="H800" s="10"/>
      <c r="I800" s="38" t="s">
        <v>852</v>
      </c>
      <c r="J800" s="10"/>
      <c r="K800" s="10"/>
      <c r="L800" s="10"/>
      <c r="M800" s="38" t="s">
        <v>852</v>
      </c>
      <c r="N800" s="10"/>
      <c r="O800" s="10"/>
      <c r="P800" s="10"/>
      <c r="Q800" s="38" t="s">
        <v>852</v>
      </c>
      <c r="R800" s="38" t="s">
        <v>852</v>
      </c>
    </row>
    <row r="801" spans="1:18" ht="16.5" customHeight="1" thickBot="1" x14ac:dyDescent="0.35">
      <c r="A801" s="43" t="s">
        <v>1220</v>
      </c>
      <c r="B801" s="45">
        <f>SUM(B798:B800)</f>
        <v>0</v>
      </c>
      <c r="C801" s="46">
        <f>SUM(C798:C800)</f>
        <v>0</v>
      </c>
      <c r="D801" s="46">
        <f>SUM(D798:D800)</f>
        <v>0</v>
      </c>
      <c r="E801" s="37">
        <f>SUM(B801:D801)</f>
        <v>0</v>
      </c>
      <c r="F801" s="46">
        <f>SUM(F798:F800)</f>
        <v>0</v>
      </c>
      <c r="G801" s="46">
        <f>SUM(G798:G800)</f>
        <v>0</v>
      </c>
      <c r="H801" s="46">
        <f>SUM(H798:H800)</f>
        <v>0</v>
      </c>
      <c r="I801" s="37">
        <f>SUM(F801:H801)</f>
        <v>0</v>
      </c>
      <c r="J801" s="46">
        <f>SUM(J798:J800)</f>
        <v>0</v>
      </c>
      <c r="K801" s="46">
        <f>SUM(K798:K800)</f>
        <v>0</v>
      </c>
      <c r="L801" s="46">
        <f>SUM(L798:L800)</f>
        <v>0</v>
      </c>
      <c r="M801" s="37">
        <f>SUM(J801:L801)</f>
        <v>0</v>
      </c>
      <c r="N801" s="46">
        <f>SUM(N798:N800)</f>
        <v>0</v>
      </c>
      <c r="O801" s="46">
        <f>SUM(O798:O800)</f>
        <v>0</v>
      </c>
      <c r="P801" s="46">
        <f>SUM(P798:P800)</f>
        <v>0</v>
      </c>
      <c r="Q801" s="37">
        <f>SUM(N801:P801)</f>
        <v>0</v>
      </c>
      <c r="R801" s="37">
        <f>+E801+I801+M801+Q801</f>
        <v>0</v>
      </c>
    </row>
    <row r="802" spans="1:18" ht="15.75" customHeight="1" x14ac:dyDescent="0.3">
      <c r="A802" s="234" t="s">
        <v>1712</v>
      </c>
      <c r="B802" s="10"/>
      <c r="C802" s="10"/>
      <c r="D802" s="10"/>
      <c r="E802" s="38" t="s">
        <v>852</v>
      </c>
      <c r="F802" s="10"/>
      <c r="G802" s="10"/>
      <c r="H802" s="10"/>
      <c r="I802" s="38" t="s">
        <v>852</v>
      </c>
      <c r="J802" s="10"/>
      <c r="K802" s="10"/>
      <c r="L802" s="10"/>
      <c r="M802" s="38" t="s">
        <v>852</v>
      </c>
      <c r="N802" s="10"/>
      <c r="O802" s="10"/>
      <c r="P802" s="10"/>
      <c r="Q802" s="38" t="s">
        <v>852</v>
      </c>
      <c r="R802" s="38" t="s">
        <v>852</v>
      </c>
    </row>
    <row r="803" spans="1:18" ht="15.75" customHeight="1" x14ac:dyDescent="0.3">
      <c r="A803" s="234" t="s">
        <v>1021</v>
      </c>
      <c r="B803" s="10"/>
      <c r="C803" s="10"/>
      <c r="D803" s="10"/>
      <c r="E803" s="38" t="s">
        <v>852</v>
      </c>
      <c r="F803" s="10"/>
      <c r="G803" s="10"/>
      <c r="H803" s="10"/>
      <c r="I803" s="38" t="s">
        <v>852</v>
      </c>
      <c r="J803" s="10"/>
      <c r="K803" s="10"/>
      <c r="L803" s="10"/>
      <c r="M803" s="38" t="s">
        <v>852</v>
      </c>
      <c r="N803" s="10"/>
      <c r="O803" s="10"/>
      <c r="P803" s="10"/>
      <c r="Q803" s="38" t="s">
        <v>852</v>
      </c>
      <c r="R803" s="38" t="s">
        <v>852</v>
      </c>
    </row>
    <row r="804" spans="1:18" ht="15.75" customHeight="1" x14ac:dyDescent="0.3">
      <c r="A804" s="234" t="s">
        <v>557</v>
      </c>
      <c r="B804" s="10"/>
      <c r="C804" s="10"/>
      <c r="D804" s="10"/>
      <c r="E804" s="38" t="s">
        <v>852</v>
      </c>
      <c r="F804" s="10"/>
      <c r="G804" s="10"/>
      <c r="H804" s="10"/>
      <c r="I804" s="38" t="s">
        <v>852</v>
      </c>
      <c r="J804" s="10"/>
      <c r="K804" s="10"/>
      <c r="L804" s="10"/>
      <c r="M804" s="38" t="s">
        <v>852</v>
      </c>
      <c r="N804" s="10"/>
      <c r="O804" s="10"/>
      <c r="P804" s="10"/>
      <c r="Q804" s="38" t="s">
        <v>852</v>
      </c>
      <c r="R804" s="38" t="s">
        <v>852</v>
      </c>
    </row>
    <row r="805" spans="1:18" ht="15.75" customHeight="1" x14ac:dyDescent="0.3">
      <c r="A805" s="234" t="s">
        <v>1022</v>
      </c>
      <c r="B805" s="10"/>
      <c r="C805" s="10"/>
      <c r="D805" s="10"/>
      <c r="E805" s="38" t="s">
        <v>852</v>
      </c>
      <c r="F805" s="10"/>
      <c r="G805" s="10"/>
      <c r="H805" s="10"/>
      <c r="I805" s="38" t="s">
        <v>852</v>
      </c>
      <c r="J805" s="10"/>
      <c r="K805" s="10"/>
      <c r="L805" s="10"/>
      <c r="M805" s="38" t="s">
        <v>852</v>
      </c>
      <c r="N805" s="10"/>
      <c r="O805" s="10"/>
      <c r="P805" s="10"/>
      <c r="Q805" s="38" t="s">
        <v>852</v>
      </c>
      <c r="R805" s="38" t="s">
        <v>852</v>
      </c>
    </row>
    <row r="806" spans="1:18" ht="15.75" customHeight="1" thickBot="1" x14ac:dyDescent="0.35">
      <c r="A806" s="234" t="s">
        <v>559</v>
      </c>
      <c r="B806" s="10"/>
      <c r="C806" s="10"/>
      <c r="D806" s="10"/>
      <c r="E806" s="38" t="s">
        <v>852</v>
      </c>
      <c r="F806" s="10"/>
      <c r="G806" s="10"/>
      <c r="H806" s="10"/>
      <c r="I806" s="38" t="s">
        <v>852</v>
      </c>
      <c r="J806" s="10"/>
      <c r="K806" s="10"/>
      <c r="L806" s="10"/>
      <c r="M806" s="38" t="s">
        <v>852</v>
      </c>
      <c r="N806" s="10"/>
      <c r="O806" s="10"/>
      <c r="P806" s="10"/>
      <c r="Q806" s="38" t="s">
        <v>852</v>
      </c>
      <c r="R806" s="38" t="s">
        <v>852</v>
      </c>
    </row>
    <row r="807" spans="1:18" ht="16.5" customHeight="1" thickBot="1" x14ac:dyDescent="0.35">
      <c r="A807" s="43" t="s">
        <v>1019</v>
      </c>
      <c r="B807" s="42">
        <f>SUM(B805:B806)</f>
        <v>0</v>
      </c>
      <c r="C807" s="42">
        <f>SUM(C805:C806)</f>
        <v>0</v>
      </c>
      <c r="D807" s="42">
        <f>SUM(D805:D806)</f>
        <v>0</v>
      </c>
      <c r="E807" s="39">
        <f>SUM(B807:D807)</f>
        <v>0</v>
      </c>
      <c r="F807" s="42">
        <f>SUM(F805:F806)</f>
        <v>0</v>
      </c>
      <c r="G807" s="42">
        <f>SUM(G805:G806)</f>
        <v>0</v>
      </c>
      <c r="H807" s="42">
        <f>SUM(H805:H806)</f>
        <v>0</v>
      </c>
      <c r="I807" s="39">
        <f>SUM(F807:H807)</f>
        <v>0</v>
      </c>
      <c r="J807" s="42">
        <f>SUM(J805:J806)</f>
        <v>0</v>
      </c>
      <c r="K807" s="42">
        <f>SUM(K805:K806)</f>
        <v>0</v>
      </c>
      <c r="L807" s="42">
        <f>SUM(L805:L806)</f>
        <v>0</v>
      </c>
      <c r="M807" s="39">
        <f>SUM(J807:L807)</f>
        <v>0</v>
      </c>
      <c r="N807" s="42">
        <f>SUM(N805:N806)</f>
        <v>0</v>
      </c>
      <c r="O807" s="42">
        <f>SUM(O805:O806)</f>
        <v>0</v>
      </c>
      <c r="P807" s="42">
        <f>SUM(P805:P806)</f>
        <v>0</v>
      </c>
      <c r="Q807" s="39">
        <f>SUM(N807:P807)</f>
        <v>0</v>
      </c>
      <c r="R807" s="37">
        <f>+E807+I807+M807+Q807</f>
        <v>0</v>
      </c>
    </row>
    <row r="808" spans="1:18" ht="16.5" customHeight="1" thickBot="1" x14ac:dyDescent="0.35">
      <c r="A808" s="43" t="s">
        <v>1221</v>
      </c>
      <c r="B808" s="45">
        <f>SUM(B802:B806)</f>
        <v>0</v>
      </c>
      <c r="C808" s="46">
        <f>SUM(C802:C806)</f>
        <v>0</v>
      </c>
      <c r="D808" s="58">
        <f>SUM(D802:D806)</f>
        <v>0</v>
      </c>
      <c r="E808" s="39">
        <f>SUM(B808:D808)</f>
        <v>0</v>
      </c>
      <c r="F808" s="46">
        <f>SUM(F802:F806)</f>
        <v>0</v>
      </c>
      <c r="G808" s="46">
        <f>SUM(G802:G806)</f>
        <v>0</v>
      </c>
      <c r="H808" s="46">
        <f>SUM(H802:H806)</f>
        <v>0</v>
      </c>
      <c r="I808" s="39">
        <f>SUM(F808:H808)</f>
        <v>0</v>
      </c>
      <c r="J808" s="46">
        <f>SUM(J802:J806)</f>
        <v>0</v>
      </c>
      <c r="K808" s="46">
        <f>SUM(K802:K806)</f>
        <v>0</v>
      </c>
      <c r="L808" s="46">
        <f>SUM(L802:L806)</f>
        <v>0</v>
      </c>
      <c r="M808" s="39">
        <f>SUM(J808:L808)</f>
        <v>0</v>
      </c>
      <c r="N808" s="46">
        <f>SUM(N802:N806)</f>
        <v>0</v>
      </c>
      <c r="O808" s="46">
        <f>SUM(O802:O806)</f>
        <v>0</v>
      </c>
      <c r="P808" s="46">
        <f>SUM(P802:P806)</f>
        <v>0</v>
      </c>
      <c r="Q808" s="39">
        <f>SUM(N808:P808)</f>
        <v>0</v>
      </c>
      <c r="R808" s="37">
        <f>+E808+I808+M808+Q808</f>
        <v>0</v>
      </c>
    </row>
    <row r="809" spans="1:18" ht="16.5" customHeight="1" thickBot="1" x14ac:dyDescent="0.35">
      <c r="A809" s="43" t="s">
        <v>1222</v>
      </c>
      <c r="B809" s="47">
        <f>+B793+B797+B801+B808</f>
        <v>0</v>
      </c>
      <c r="C809" s="42">
        <f>+C793+C797+C801+C808</f>
        <v>0</v>
      </c>
      <c r="D809" s="42">
        <f>+D793+D797+D801+D808</f>
        <v>0</v>
      </c>
      <c r="E809" s="37">
        <f>SUM(B809:D809)</f>
        <v>0</v>
      </c>
      <c r="F809" s="42">
        <f>+F793+F797+F801+F808</f>
        <v>0</v>
      </c>
      <c r="G809" s="42">
        <f>+G793+G797+G801+G808</f>
        <v>0</v>
      </c>
      <c r="H809" s="42">
        <f>+H793+H797+H801+H808</f>
        <v>0</v>
      </c>
      <c r="I809" s="37">
        <f>SUM(F809:H809)</f>
        <v>0</v>
      </c>
      <c r="J809" s="42">
        <f>+J793+J797+J801+J808</f>
        <v>0</v>
      </c>
      <c r="K809" s="42">
        <f>+K793+K797+K801+K808</f>
        <v>0</v>
      </c>
      <c r="L809" s="42">
        <f>+L793+L797+L801+L808</f>
        <v>0</v>
      </c>
      <c r="M809" s="37">
        <f>SUM(J809:L809)</f>
        <v>0</v>
      </c>
      <c r="N809" s="42">
        <f>+N793+N797+N801+N808</f>
        <v>0</v>
      </c>
      <c r="O809" s="42">
        <f>+O793+O797+O801+O808</f>
        <v>0</v>
      </c>
      <c r="P809" s="42">
        <f>+P793+P797+P801+P808</f>
        <v>0</v>
      </c>
      <c r="Q809" s="37">
        <f>SUM(N809:P809)</f>
        <v>0</v>
      </c>
      <c r="R809" s="40">
        <f>+E809+I809+M809+Q809</f>
        <v>0</v>
      </c>
    </row>
    <row r="810" spans="1:18" ht="15.75" customHeight="1" x14ac:dyDescent="0.3">
      <c r="A810" s="310" t="s">
        <v>2117</v>
      </c>
      <c r="B810" s="10">
        <v>3805</v>
      </c>
      <c r="C810" s="10">
        <v>3805</v>
      </c>
      <c r="D810" s="10">
        <v>4757</v>
      </c>
      <c r="E810" s="38">
        <f>SUM(B810:D810)</f>
        <v>12367</v>
      </c>
      <c r="F810" s="10">
        <v>5708</v>
      </c>
      <c r="G810" s="10">
        <v>6659</v>
      </c>
      <c r="H810" s="10">
        <v>6850</v>
      </c>
      <c r="I810" s="38">
        <f>SUM(F810:H810)</f>
        <v>19217</v>
      </c>
      <c r="J810" s="10">
        <v>6184</v>
      </c>
      <c r="K810" s="10">
        <v>5708</v>
      </c>
      <c r="L810" s="10">
        <v>5232</v>
      </c>
      <c r="M810" s="38">
        <f>SUM(J810:L810)</f>
        <v>17124</v>
      </c>
      <c r="N810" s="10">
        <v>4757</v>
      </c>
      <c r="O810" s="10">
        <v>4281</v>
      </c>
      <c r="P810" s="10">
        <v>3805</v>
      </c>
      <c r="Q810" s="38">
        <f>SUM(N810:P810)</f>
        <v>12843</v>
      </c>
      <c r="R810" s="38">
        <f>+E810+I810+M810+Q810</f>
        <v>61551</v>
      </c>
    </row>
    <row r="811" spans="1:18" ht="15.75" customHeight="1" thickBot="1" x14ac:dyDescent="0.35">
      <c r="A811" s="310" t="s">
        <v>853</v>
      </c>
      <c r="B811" s="10">
        <v>0</v>
      </c>
      <c r="C811" s="10">
        <v>0</v>
      </c>
      <c r="D811" s="10">
        <v>0</v>
      </c>
      <c r="E811" s="38">
        <f>SUM(B811:D811)</f>
        <v>0</v>
      </c>
      <c r="F811" s="10">
        <v>0</v>
      </c>
      <c r="G811" s="10">
        <v>0</v>
      </c>
      <c r="H811" s="10">
        <v>0</v>
      </c>
      <c r="I811" s="38">
        <f>SUM(F811:H811)</f>
        <v>0</v>
      </c>
      <c r="J811" s="10">
        <v>0</v>
      </c>
      <c r="K811" s="10">
        <v>0</v>
      </c>
      <c r="L811" s="10">
        <v>0</v>
      </c>
      <c r="M811" s="38">
        <f>SUM(J811:L811)</f>
        <v>0</v>
      </c>
      <c r="N811" s="10">
        <v>0</v>
      </c>
      <c r="O811" s="10">
        <v>0</v>
      </c>
      <c r="P811" s="10">
        <v>0</v>
      </c>
      <c r="Q811" s="38">
        <f>SUM(N811:P811)</f>
        <v>0</v>
      </c>
      <c r="R811" s="38">
        <f>+E811+I811+M811+Q811</f>
        <v>0</v>
      </c>
    </row>
    <row r="812" spans="1:18" ht="16.5" customHeight="1" thickBot="1" x14ac:dyDescent="0.35">
      <c r="A812" s="281"/>
      <c r="B812" s="301"/>
      <c r="C812" s="301"/>
      <c r="D812" s="301"/>
      <c r="E812" s="37" t="s">
        <v>852</v>
      </c>
      <c r="F812" s="301"/>
      <c r="G812" s="301"/>
      <c r="H812" s="301"/>
      <c r="I812" s="37" t="s">
        <v>852</v>
      </c>
      <c r="J812" s="301"/>
      <c r="K812" s="301"/>
      <c r="L812" s="301"/>
      <c r="M812" s="37" t="s">
        <v>852</v>
      </c>
      <c r="N812" s="301"/>
      <c r="O812" s="301"/>
      <c r="P812" s="301"/>
      <c r="Q812" s="37"/>
      <c r="R812" s="37"/>
    </row>
    <row r="813" spans="1:18" ht="15.75" customHeight="1" x14ac:dyDescent="0.3">
      <c r="A813" s="234" t="s">
        <v>2011</v>
      </c>
      <c r="B813" s="10">
        <f>SUM(B809:B811)</f>
        <v>3805</v>
      </c>
      <c r="C813" s="10">
        <f>SUM(C809:C811)</f>
        <v>3805</v>
      </c>
      <c r="D813" s="10">
        <f>SUM(D809:D811)</f>
        <v>4757</v>
      </c>
      <c r="E813" s="39">
        <f>SUM(B813:D813)</f>
        <v>12367</v>
      </c>
      <c r="F813" s="10">
        <f>SUM(F809:F811)</f>
        <v>5708</v>
      </c>
      <c r="G813" s="10">
        <f>SUM(G809:G811)</f>
        <v>6659</v>
      </c>
      <c r="H813" s="10">
        <f>SUM(H809:H811)</f>
        <v>6850</v>
      </c>
      <c r="I813" s="39">
        <f>SUM(F813:H813)</f>
        <v>19217</v>
      </c>
      <c r="J813" s="10">
        <f>SUM(J809:J811)</f>
        <v>6184</v>
      </c>
      <c r="K813" s="10">
        <f>SUM(K809:K811)</f>
        <v>5708</v>
      </c>
      <c r="L813" s="10">
        <f>SUM(L809:L811)</f>
        <v>5232</v>
      </c>
      <c r="M813" s="39">
        <f>SUM(J813:L813)</f>
        <v>17124</v>
      </c>
      <c r="N813" s="10">
        <f>SUM(N809:N811)</f>
        <v>4757</v>
      </c>
      <c r="O813" s="10">
        <f>SUM(O809:O811)</f>
        <v>4281</v>
      </c>
      <c r="P813" s="10">
        <f>SUM(P809:P811)</f>
        <v>3805</v>
      </c>
      <c r="Q813" s="39">
        <f>SUM(N813:P813)</f>
        <v>12843</v>
      </c>
      <c r="R813" s="39">
        <f>+E813+I813+M813+Q813</f>
        <v>61551</v>
      </c>
    </row>
    <row r="814" spans="1:18" ht="15.75" customHeight="1" x14ac:dyDescent="0.3">
      <c r="A814" s="234" t="s">
        <v>1897</v>
      </c>
      <c r="B814" s="10">
        <f>(B813/B10)/1.983</f>
        <v>61.897093032713542</v>
      </c>
      <c r="C814" s="10">
        <f>(C813/C10)/1.983</f>
        <v>68.528924429075715</v>
      </c>
      <c r="D814" s="10">
        <f>(D813/D10)/1.983</f>
        <v>77.383566769150676</v>
      </c>
      <c r="E814" s="38" t="s">
        <v>852</v>
      </c>
      <c r="F814" s="10">
        <f>(F813/F10)/1.983</f>
        <v>95.948898974617592</v>
      </c>
      <c r="G814" s="10">
        <f>(G813/G10)/1.983</f>
        <v>108.32397963333496</v>
      </c>
      <c r="H814" s="10">
        <f>(H813/H10)/1.983</f>
        <v>115.14540258867036</v>
      </c>
      <c r="I814" s="38" t="s">
        <v>852</v>
      </c>
      <c r="J814" s="10">
        <f>(J813/J10)/1.983</f>
        <v>100.59701006946138</v>
      </c>
      <c r="K814" s="10">
        <f>(K813/K10)/1.983</f>
        <v>92.853773201242817</v>
      </c>
      <c r="L814" s="10">
        <f>(L813/L10)/1.983</f>
        <v>87.947554210791722</v>
      </c>
      <c r="M814" s="38" t="s">
        <v>852</v>
      </c>
      <c r="N814" s="10">
        <f>(N813/N10)/1.983</f>
        <v>77.383566769150676</v>
      </c>
      <c r="O814" s="10">
        <f>(O813/O10)/1.983</f>
        <v>71.961674230963183</v>
      </c>
      <c r="P814" s="10">
        <f>(P813/P10)/1.983</f>
        <v>61.897093032713542</v>
      </c>
      <c r="Q814" s="38" t="s">
        <v>852</v>
      </c>
      <c r="R814" s="38" t="s">
        <v>852</v>
      </c>
    </row>
    <row r="815" spans="1:18" ht="15.75" customHeight="1" x14ac:dyDescent="0.3">
      <c r="A815" s="234" t="s">
        <v>647</v>
      </c>
      <c r="B815" s="10">
        <f>B813</f>
        <v>3805</v>
      </c>
      <c r="C815" s="10">
        <f>C813</f>
        <v>3805</v>
      </c>
      <c r="D815" s="10">
        <f>D813</f>
        <v>4757</v>
      </c>
      <c r="E815" s="38">
        <f>SUM(B815:D815)</f>
        <v>12367</v>
      </c>
      <c r="F815" s="10">
        <f>F813</f>
        <v>5708</v>
      </c>
      <c r="G815" s="10">
        <f>G813</f>
        <v>6659</v>
      </c>
      <c r="H815" s="10">
        <f>H813</f>
        <v>6850</v>
      </c>
      <c r="I815" s="38">
        <f>SUM(F815:H815)</f>
        <v>19217</v>
      </c>
      <c r="J815" s="10">
        <f>J813</f>
        <v>6184</v>
      </c>
      <c r="K815" s="10">
        <f>K813</f>
        <v>5708</v>
      </c>
      <c r="L815" s="10">
        <f>L813</f>
        <v>5232</v>
      </c>
      <c r="M815" s="38">
        <f>SUM(J815:L815)</f>
        <v>17124</v>
      </c>
      <c r="N815" s="10">
        <f>N813</f>
        <v>4757</v>
      </c>
      <c r="O815" s="10">
        <f>O813</f>
        <v>4281</v>
      </c>
      <c r="P815" s="10">
        <f>P813</f>
        <v>3805</v>
      </c>
      <c r="Q815" s="38">
        <f>SUM(N815:P815)</f>
        <v>12843</v>
      </c>
      <c r="R815" s="38">
        <f>+E815+I815+M815+Q815</f>
        <v>61551</v>
      </c>
    </row>
    <row r="816" spans="1:18" ht="16.5" customHeight="1" thickBot="1" x14ac:dyDescent="0.35">
      <c r="A816" s="237" t="s">
        <v>2191</v>
      </c>
      <c r="B816" s="294">
        <f>(B815/B10)/1.983</f>
        <v>61.897093032713542</v>
      </c>
      <c r="C816" s="294">
        <f>(C815/C10)/1.983</f>
        <v>68.528924429075715</v>
      </c>
      <c r="D816" s="294">
        <f>(D815/D10)/1.983</f>
        <v>77.383566769150676</v>
      </c>
      <c r="E816" s="40" t="s">
        <v>852</v>
      </c>
      <c r="F816" s="294">
        <f>(F815/F10)/1.983</f>
        <v>95.948898974617592</v>
      </c>
      <c r="G816" s="294">
        <f>(G815/G10)/1.983</f>
        <v>108.32397963333496</v>
      </c>
      <c r="H816" s="294">
        <f>(H815/H10)/1.983</f>
        <v>115.14540258867036</v>
      </c>
      <c r="I816" s="40" t="s">
        <v>852</v>
      </c>
      <c r="J816" s="294">
        <f>(J815/J10)/1.983</f>
        <v>100.59701006946138</v>
      </c>
      <c r="K816" s="294">
        <f>(K815/K10)/1.983</f>
        <v>92.853773201242817</v>
      </c>
      <c r="L816" s="294">
        <f>(L815/L10)/1.983</f>
        <v>87.947554210791722</v>
      </c>
      <c r="M816" s="40" t="s">
        <v>852</v>
      </c>
      <c r="N816" s="294">
        <f>(N815/N10)/1.983</f>
        <v>77.383566769150676</v>
      </c>
      <c r="O816" s="294">
        <f>(O815/O10)/1.983</f>
        <v>71.961674230963183</v>
      </c>
      <c r="P816" s="294">
        <f>(P815/P10)/1.983</f>
        <v>61.897093032713542</v>
      </c>
      <c r="Q816" s="40" t="s">
        <v>852</v>
      </c>
      <c r="R816" s="40" t="s">
        <v>852</v>
      </c>
    </row>
    <row r="817" spans="1:20" ht="15.75" customHeight="1" x14ac:dyDescent="0.3">
      <c r="A817" s="17"/>
      <c r="B817" s="10"/>
      <c r="C817" s="10"/>
      <c r="D817" s="10"/>
      <c r="E817" s="10"/>
      <c r="F817" s="10"/>
      <c r="G817" s="10"/>
      <c r="H817" s="10"/>
      <c r="I817" s="10"/>
      <c r="J817" s="10"/>
      <c r="K817" s="10"/>
      <c r="L817" s="10"/>
      <c r="M817" s="10"/>
      <c r="N817" s="10"/>
      <c r="O817" s="10"/>
      <c r="P817" s="10"/>
      <c r="Q817" s="10"/>
      <c r="R817" s="17"/>
    </row>
    <row r="818" spans="1:20" ht="15.75" customHeight="1" thickBot="1" x14ac:dyDescent="0.35">
      <c r="A818" s="17"/>
      <c r="B818" s="10"/>
      <c r="C818" s="10"/>
      <c r="D818" s="10"/>
      <c r="E818" s="10"/>
      <c r="F818" s="10"/>
      <c r="G818" s="10"/>
      <c r="H818" s="10"/>
      <c r="I818" s="10"/>
      <c r="J818" s="10"/>
      <c r="K818" s="10"/>
      <c r="L818" s="10"/>
      <c r="M818" s="10"/>
      <c r="N818" s="10"/>
      <c r="O818" s="10"/>
      <c r="P818" s="10"/>
      <c r="Q818" s="10"/>
      <c r="R818" s="17"/>
    </row>
    <row r="819" spans="1:20" ht="16.5" customHeight="1" thickBot="1" x14ac:dyDescent="0.35">
      <c r="A819" s="278" t="s">
        <v>2192</v>
      </c>
      <c r="B819" s="4" t="s">
        <v>2090</v>
      </c>
      <c r="C819" s="5" t="s">
        <v>2091</v>
      </c>
      <c r="D819" s="5" t="s">
        <v>2234</v>
      </c>
      <c r="E819" s="33" t="s">
        <v>1594</v>
      </c>
      <c r="F819" s="5" t="s">
        <v>2235</v>
      </c>
      <c r="G819" s="5" t="s">
        <v>2236</v>
      </c>
      <c r="H819" s="5" t="s">
        <v>2237</v>
      </c>
      <c r="I819" s="35" t="s">
        <v>1595</v>
      </c>
      <c r="J819" s="5" t="s">
        <v>1504</v>
      </c>
      <c r="K819" s="5" t="s">
        <v>1505</v>
      </c>
      <c r="L819" s="5" t="s">
        <v>1506</v>
      </c>
      <c r="M819" s="35" t="s">
        <v>1596</v>
      </c>
      <c r="N819" s="5" t="s">
        <v>1507</v>
      </c>
      <c r="O819" s="5" t="s">
        <v>1508</v>
      </c>
      <c r="P819" s="5" t="s">
        <v>1509</v>
      </c>
      <c r="Q819" s="35" t="s">
        <v>1597</v>
      </c>
      <c r="R819" s="60" t="s">
        <v>1510</v>
      </c>
    </row>
    <row r="820" spans="1:20" ht="16.5" customHeight="1" thickBot="1" x14ac:dyDescent="0.35">
      <c r="A820" s="22"/>
      <c r="B820" s="297"/>
      <c r="C820" s="297"/>
      <c r="D820" s="297"/>
      <c r="E820" s="302"/>
      <c r="F820" s="297"/>
      <c r="G820" s="297"/>
      <c r="H820" s="297"/>
      <c r="I820" s="325"/>
      <c r="J820" s="297"/>
      <c r="K820" s="297"/>
      <c r="L820" s="297"/>
      <c r="M820" s="325"/>
      <c r="N820" s="297"/>
      <c r="O820" s="297"/>
      <c r="P820" s="297"/>
      <c r="Q820" s="326"/>
      <c r="R820" s="61"/>
    </row>
    <row r="821" spans="1:20" ht="15.75" customHeight="1" x14ac:dyDescent="0.3">
      <c r="A821" s="234" t="s">
        <v>2417</v>
      </c>
      <c r="B821" s="10" t="s">
        <v>852</v>
      </c>
      <c r="C821" s="10" t="s">
        <v>852</v>
      </c>
      <c r="D821" s="10" t="s">
        <v>852</v>
      </c>
      <c r="E821" s="327"/>
      <c r="F821" s="10" t="s">
        <v>852</v>
      </c>
      <c r="G821" s="10" t="s">
        <v>852</v>
      </c>
      <c r="H821" s="10" t="s">
        <v>852</v>
      </c>
      <c r="I821" s="327"/>
      <c r="J821" s="10" t="s">
        <v>852</v>
      </c>
      <c r="K821" s="10" t="s">
        <v>852</v>
      </c>
      <c r="L821" s="10" t="s">
        <v>852</v>
      </c>
      <c r="M821" s="327"/>
      <c r="N821" s="10" t="s">
        <v>852</v>
      </c>
      <c r="O821" s="10" t="s">
        <v>852</v>
      </c>
      <c r="P821" s="10" t="s">
        <v>852</v>
      </c>
      <c r="Q821" s="328"/>
      <c r="R821" s="62" t="s">
        <v>852</v>
      </c>
    </row>
    <row r="822" spans="1:20" ht="15.75" customHeight="1" x14ac:dyDescent="0.3">
      <c r="A822" s="234" t="s">
        <v>2160</v>
      </c>
      <c r="B822" s="10"/>
      <c r="C822" s="10"/>
      <c r="D822" s="10"/>
      <c r="E822" s="38" t="s">
        <v>852</v>
      </c>
      <c r="F822" s="10"/>
      <c r="G822" s="10"/>
      <c r="H822" s="10"/>
      <c r="I822" s="38" t="s">
        <v>852</v>
      </c>
      <c r="J822" s="10"/>
      <c r="K822" s="10"/>
      <c r="L822" s="10"/>
      <c r="M822" s="38" t="s">
        <v>852</v>
      </c>
      <c r="N822" s="10"/>
      <c r="O822" s="10"/>
      <c r="P822" s="10"/>
      <c r="Q822" s="38" t="s">
        <v>852</v>
      </c>
      <c r="R822" s="38" t="s">
        <v>852</v>
      </c>
    </row>
    <row r="823" spans="1:20" ht="15.75" customHeight="1" x14ac:dyDescent="0.3">
      <c r="A823" s="539" t="s">
        <v>3095</v>
      </c>
      <c r="B823" s="10"/>
      <c r="C823" s="10"/>
      <c r="D823" s="10">
        <v>200</v>
      </c>
      <c r="E823" s="38">
        <f t="shared" ref="E823:E830" si="287">SUM(B823:D823)</f>
        <v>200</v>
      </c>
      <c r="F823" s="10">
        <v>400</v>
      </c>
      <c r="G823" s="10">
        <v>500</v>
      </c>
      <c r="H823" s="10">
        <v>500</v>
      </c>
      <c r="I823" s="38">
        <f t="shared" ref="I823:I830" si="288">SUM(F823:H823)</f>
        <v>1400</v>
      </c>
      <c r="J823" s="10">
        <v>450</v>
      </c>
      <c r="K823" s="10">
        <v>400</v>
      </c>
      <c r="L823" s="10">
        <v>408</v>
      </c>
      <c r="M823" s="38">
        <f t="shared" ref="M823:M830" si="289">SUM(J823:L823)</f>
        <v>1258</v>
      </c>
      <c r="N823" s="10"/>
      <c r="O823" s="10"/>
      <c r="P823" s="10"/>
      <c r="Q823" s="38">
        <f t="shared" ref="Q823:Q830" si="290">SUM(N823:P823)</f>
        <v>0</v>
      </c>
      <c r="R823" s="38">
        <f t="shared" ref="R823:R830" si="291">+E823+I823+M823+Q823</f>
        <v>2858</v>
      </c>
      <c r="T823" t="s">
        <v>2765</v>
      </c>
    </row>
    <row r="824" spans="1:20" ht="15.75" customHeight="1" x14ac:dyDescent="0.3">
      <c r="A824" s="539" t="s">
        <v>3433</v>
      </c>
      <c r="B824" s="10"/>
      <c r="C824" s="10">
        <v>150</v>
      </c>
      <c r="D824" s="10">
        <v>300</v>
      </c>
      <c r="E824" s="38">
        <f t="shared" si="287"/>
        <v>450</v>
      </c>
      <c r="F824" s="10">
        <v>750</v>
      </c>
      <c r="G824" s="10">
        <v>750</v>
      </c>
      <c r="H824" s="10">
        <v>800</v>
      </c>
      <c r="I824" s="38">
        <f t="shared" si="288"/>
        <v>2300</v>
      </c>
      <c r="J824" s="10">
        <v>800</v>
      </c>
      <c r="K824" s="10">
        <v>750</v>
      </c>
      <c r="L824" s="10">
        <v>750</v>
      </c>
      <c r="M824" s="38">
        <f t="shared" si="289"/>
        <v>2300</v>
      </c>
      <c r="N824" s="10">
        <v>450</v>
      </c>
      <c r="O824" s="10">
        <v>178</v>
      </c>
      <c r="P824" s="10"/>
      <c r="Q824" s="38">
        <f t="shared" ref="Q824" si="292">SUM(N824:P824)</f>
        <v>628</v>
      </c>
      <c r="R824" s="38">
        <f t="shared" ref="R824" si="293">+E824+I824+M824+Q824</f>
        <v>5678</v>
      </c>
    </row>
    <row r="825" spans="1:20" ht="15.75" customHeight="1" x14ac:dyDescent="0.3">
      <c r="A825" s="310" t="s">
        <v>1910</v>
      </c>
      <c r="B825" s="10"/>
      <c r="C825" s="10"/>
      <c r="D825" s="10"/>
      <c r="E825" s="38">
        <f t="shared" si="287"/>
        <v>0</v>
      </c>
      <c r="F825" s="10"/>
      <c r="G825" s="10"/>
      <c r="H825" s="10"/>
      <c r="I825" s="38">
        <f t="shared" si="288"/>
        <v>0</v>
      </c>
      <c r="J825" s="10"/>
      <c r="K825" s="10"/>
      <c r="L825" s="10"/>
      <c r="M825" s="38">
        <f t="shared" si="289"/>
        <v>0</v>
      </c>
      <c r="N825" s="10"/>
      <c r="O825" s="10"/>
      <c r="P825" s="10"/>
      <c r="Q825" s="38">
        <f t="shared" si="290"/>
        <v>0</v>
      </c>
      <c r="R825" s="38">
        <f t="shared" si="291"/>
        <v>0</v>
      </c>
    </row>
    <row r="826" spans="1:20" ht="15.75" customHeight="1" x14ac:dyDescent="0.3">
      <c r="A826" s="539" t="s">
        <v>604</v>
      </c>
      <c r="B826" s="10"/>
      <c r="C826" s="10"/>
      <c r="D826" s="10"/>
      <c r="E826" s="38">
        <f t="shared" si="287"/>
        <v>0</v>
      </c>
      <c r="F826" s="10"/>
      <c r="G826" s="10"/>
      <c r="H826" s="10"/>
      <c r="I826" s="38">
        <f t="shared" si="288"/>
        <v>0</v>
      </c>
      <c r="J826" s="10"/>
      <c r="K826" s="10"/>
      <c r="L826" s="10"/>
      <c r="M826" s="38">
        <f t="shared" si="289"/>
        <v>0</v>
      </c>
      <c r="N826" s="10"/>
      <c r="O826" s="10"/>
      <c r="P826" s="10"/>
      <c r="Q826" s="38">
        <f t="shared" si="290"/>
        <v>0</v>
      </c>
      <c r="R826" s="38">
        <f t="shared" si="291"/>
        <v>0</v>
      </c>
    </row>
    <row r="827" spans="1:20" ht="15.75" customHeight="1" x14ac:dyDescent="0.3">
      <c r="A827" s="539" t="s">
        <v>3434</v>
      </c>
      <c r="B827" s="10"/>
      <c r="C827" s="10"/>
      <c r="D827" s="10"/>
      <c r="E827" s="38">
        <f t="shared" si="287"/>
        <v>0</v>
      </c>
      <c r="F827" s="10">
        <v>124</v>
      </c>
      <c r="G827" s="10">
        <v>200</v>
      </c>
      <c r="H827" s="10">
        <v>400</v>
      </c>
      <c r="I827" s="38">
        <f t="shared" si="288"/>
        <v>724</v>
      </c>
      <c r="J827" s="10">
        <v>400</v>
      </c>
      <c r="K827" s="10"/>
      <c r="L827" s="10"/>
      <c r="M827" s="38">
        <f t="shared" si="289"/>
        <v>400</v>
      </c>
      <c r="N827" s="10"/>
      <c r="O827" s="10"/>
      <c r="P827" s="10"/>
      <c r="Q827" s="38">
        <f t="shared" ref="Q827" si="294">SUM(N827:P827)</f>
        <v>0</v>
      </c>
      <c r="R827" s="38">
        <f t="shared" ref="R827" si="295">+E827+I827+M827+Q827</f>
        <v>1124</v>
      </c>
    </row>
    <row r="828" spans="1:20" ht="15.75" customHeight="1" x14ac:dyDescent="0.3">
      <c r="A828" s="539" t="s">
        <v>2996</v>
      </c>
      <c r="B828" s="10">
        <v>250</v>
      </c>
      <c r="C828" s="10"/>
      <c r="D828" s="10"/>
      <c r="E828" s="38">
        <f t="shared" si="287"/>
        <v>250</v>
      </c>
      <c r="F828" s="10"/>
      <c r="G828" s="10"/>
      <c r="H828" s="10"/>
      <c r="I828" s="38">
        <f t="shared" si="288"/>
        <v>0</v>
      </c>
      <c r="J828" s="10"/>
      <c r="K828" s="10"/>
      <c r="L828" s="10"/>
      <c r="M828" s="38">
        <f t="shared" si="289"/>
        <v>0</v>
      </c>
      <c r="N828" s="10"/>
      <c r="O828" s="10"/>
      <c r="P828" s="10"/>
      <c r="Q828" s="38">
        <f t="shared" si="290"/>
        <v>0</v>
      </c>
      <c r="R828" s="38">
        <f t="shared" si="291"/>
        <v>250</v>
      </c>
    </row>
    <row r="829" spans="1:20" ht="15.75" customHeight="1" x14ac:dyDescent="0.3">
      <c r="A829" s="539" t="s">
        <v>3401</v>
      </c>
      <c r="B829" s="10"/>
      <c r="C829" s="10"/>
      <c r="D829" s="10"/>
      <c r="E829" s="38">
        <f t="shared" si="287"/>
        <v>0</v>
      </c>
      <c r="F829" s="10"/>
      <c r="G829" s="10"/>
      <c r="H829" s="10"/>
      <c r="I829" s="38">
        <f t="shared" si="288"/>
        <v>0</v>
      </c>
      <c r="J829" s="10"/>
      <c r="K829" s="10">
        <v>800</v>
      </c>
      <c r="L829" s="10">
        <v>1300</v>
      </c>
      <c r="M829" s="38">
        <f t="shared" si="289"/>
        <v>2100</v>
      </c>
      <c r="N829" s="10">
        <v>800</v>
      </c>
      <c r="O829" s="10"/>
      <c r="P829" s="10"/>
      <c r="Q829" s="38">
        <f t="shared" si="290"/>
        <v>800</v>
      </c>
      <c r="R829" s="38">
        <f t="shared" si="291"/>
        <v>2900</v>
      </c>
    </row>
    <row r="830" spans="1:20" ht="15.75" customHeight="1" x14ac:dyDescent="0.3">
      <c r="A830" s="539" t="s">
        <v>715</v>
      </c>
      <c r="B830" s="10">
        <v>2352</v>
      </c>
      <c r="C830" s="10">
        <v>2554</v>
      </c>
      <c r="D830" s="10">
        <v>2016</v>
      </c>
      <c r="E830" s="38">
        <f t="shared" si="287"/>
        <v>6922</v>
      </c>
      <c r="F830" s="10">
        <v>2099</v>
      </c>
      <c r="G830" s="10">
        <v>2204</v>
      </c>
      <c r="H830" s="10">
        <v>2000</v>
      </c>
      <c r="I830" s="38">
        <f t="shared" si="288"/>
        <v>6303</v>
      </c>
      <c r="J830" s="10"/>
      <c r="K830" s="10">
        <v>3000</v>
      </c>
      <c r="L830" s="10">
        <v>2479</v>
      </c>
      <c r="M830" s="38">
        <f t="shared" si="289"/>
        <v>5479</v>
      </c>
      <c r="N830" s="10">
        <v>2000</v>
      </c>
      <c r="O830" s="10">
        <v>1296</v>
      </c>
      <c r="P830" s="10"/>
      <c r="Q830" s="38">
        <f t="shared" si="290"/>
        <v>3296</v>
      </c>
      <c r="R830" s="38">
        <f t="shared" si="291"/>
        <v>22000</v>
      </c>
    </row>
    <row r="831" spans="1:20" ht="15.75" customHeight="1" x14ac:dyDescent="0.3">
      <c r="A831" s="234" t="s">
        <v>2161</v>
      </c>
      <c r="B831" s="10"/>
      <c r="C831" s="10"/>
      <c r="D831" s="10"/>
      <c r="E831" s="38" t="s">
        <v>852</v>
      </c>
      <c r="F831" s="10"/>
      <c r="G831" s="10"/>
      <c r="H831" s="10"/>
      <c r="I831" s="38" t="s">
        <v>852</v>
      </c>
      <c r="J831" s="10"/>
      <c r="K831" s="10"/>
      <c r="L831" s="10"/>
      <c r="M831" s="38" t="s">
        <v>852</v>
      </c>
      <c r="N831" s="10"/>
      <c r="O831" s="10"/>
      <c r="P831" s="10"/>
      <c r="Q831" s="38" t="s">
        <v>852</v>
      </c>
      <c r="R831" s="38" t="s">
        <v>852</v>
      </c>
    </row>
    <row r="832" spans="1:20" ht="15.75" customHeight="1" x14ac:dyDescent="0.3">
      <c r="A832" s="234" t="s">
        <v>3245</v>
      </c>
      <c r="B832" s="10"/>
      <c r="C832" s="10"/>
      <c r="D832" s="10"/>
      <c r="E832" s="38" t="s">
        <v>852</v>
      </c>
      <c r="F832" s="10"/>
      <c r="G832" s="10"/>
      <c r="H832" s="10"/>
      <c r="I832" s="38" t="s">
        <v>852</v>
      </c>
      <c r="J832" s="10"/>
      <c r="K832" s="10"/>
      <c r="L832" s="10"/>
      <c r="M832" s="38" t="s">
        <v>852</v>
      </c>
      <c r="N832" s="10"/>
      <c r="O832" s="10"/>
      <c r="P832" s="10"/>
      <c r="Q832" s="38" t="s">
        <v>852</v>
      </c>
      <c r="R832" s="38" t="s">
        <v>852</v>
      </c>
    </row>
    <row r="833" spans="1:20" ht="15.75" customHeight="1" x14ac:dyDescent="0.3">
      <c r="A833" s="539" t="s">
        <v>3266</v>
      </c>
      <c r="B833" s="10"/>
      <c r="C833" s="10"/>
      <c r="D833" s="10"/>
      <c r="E833" s="38">
        <f>SUM(B833:D833)</f>
        <v>0</v>
      </c>
      <c r="F833" s="10"/>
      <c r="G833" s="10"/>
      <c r="H833" s="10"/>
      <c r="I833" s="38">
        <f>SUM(F833:H833)</f>
        <v>0</v>
      </c>
      <c r="J833" s="10"/>
      <c r="K833" s="10"/>
      <c r="L833" s="10"/>
      <c r="M833" s="38">
        <f>SUM(J833:L833)</f>
        <v>0</v>
      </c>
      <c r="N833" s="10"/>
      <c r="O833" s="10"/>
      <c r="P833" s="10"/>
      <c r="Q833" s="38">
        <f>SUM(N833:P833)</f>
        <v>0</v>
      </c>
      <c r="R833" s="38">
        <f>+E833+I833+M833+Q833</f>
        <v>0</v>
      </c>
      <c r="S833" s="735" t="s">
        <v>3214</v>
      </c>
    </row>
    <row r="834" spans="1:20" ht="15.75" customHeight="1" thickBot="1" x14ac:dyDescent="0.35">
      <c r="A834" s="234" t="s">
        <v>2164</v>
      </c>
      <c r="B834" s="10"/>
      <c r="C834" s="10"/>
      <c r="D834" s="10"/>
      <c r="E834" s="38" t="s">
        <v>852</v>
      </c>
      <c r="F834" s="10"/>
      <c r="G834" s="10"/>
      <c r="H834" s="10"/>
      <c r="I834" s="38" t="s">
        <v>852</v>
      </c>
      <c r="J834" s="10"/>
      <c r="K834" s="10"/>
      <c r="L834" s="10"/>
      <c r="M834" s="38" t="s">
        <v>852</v>
      </c>
      <c r="N834" s="10"/>
      <c r="O834" s="10"/>
      <c r="P834" s="10"/>
      <c r="Q834" s="38" t="s">
        <v>852</v>
      </c>
      <c r="R834" s="38" t="s">
        <v>852</v>
      </c>
    </row>
    <row r="835" spans="1:20" ht="16.5" customHeight="1" thickBot="1" x14ac:dyDescent="0.35">
      <c r="A835" s="43" t="s">
        <v>1218</v>
      </c>
      <c r="B835" s="45">
        <f>SUM(B821:B834)</f>
        <v>2602</v>
      </c>
      <c r="C835" s="46">
        <f>SUM(C821:C834)</f>
        <v>2704</v>
      </c>
      <c r="D835" s="46">
        <f>SUM(D821:D834)</f>
        <v>2516</v>
      </c>
      <c r="E835" s="37">
        <f>SUM(B835:D835)</f>
        <v>7822</v>
      </c>
      <c r="F835" s="46">
        <f>SUM(F821:F834)</f>
        <v>3373</v>
      </c>
      <c r="G835" s="46">
        <f>SUM(G821:G834)</f>
        <v>3654</v>
      </c>
      <c r="H835" s="46">
        <f>SUM(H821:H834)</f>
        <v>3700</v>
      </c>
      <c r="I835" s="37">
        <f>SUM(F835:H835)</f>
        <v>10727</v>
      </c>
      <c r="J835" s="46">
        <f>SUM(J821:J834)</f>
        <v>1650</v>
      </c>
      <c r="K835" s="46">
        <f>SUM(K821:K834)</f>
        <v>4950</v>
      </c>
      <c r="L835" s="46">
        <f>SUM(L821:L834)</f>
        <v>4937</v>
      </c>
      <c r="M835" s="37">
        <f>SUM(J835:L835)</f>
        <v>11537</v>
      </c>
      <c r="N835" s="46">
        <f>SUM(N821:N834)</f>
        <v>3250</v>
      </c>
      <c r="O835" s="46">
        <f>SUM(O821:O834)</f>
        <v>1474</v>
      </c>
      <c r="P835" s="46">
        <f>SUM(P821:P834)</f>
        <v>0</v>
      </c>
      <c r="Q835" s="37">
        <f>SUM(N835:P835)</f>
        <v>4724</v>
      </c>
      <c r="R835" s="37">
        <f>+E835+I835+M835+Q835</f>
        <v>34810</v>
      </c>
    </row>
    <row r="836" spans="1:20" ht="15.75" customHeight="1" x14ac:dyDescent="0.3">
      <c r="A836" s="234" t="s">
        <v>1172</v>
      </c>
      <c r="B836" s="10"/>
      <c r="C836" s="10"/>
      <c r="D836" s="10"/>
      <c r="E836" s="38" t="s">
        <v>852</v>
      </c>
      <c r="F836" s="10"/>
      <c r="G836" s="10"/>
      <c r="H836" s="10"/>
      <c r="I836" s="38" t="s">
        <v>852</v>
      </c>
      <c r="J836" s="10"/>
      <c r="K836" s="10"/>
      <c r="L836" s="10"/>
      <c r="M836" s="38" t="s">
        <v>852</v>
      </c>
      <c r="N836" s="10"/>
      <c r="O836" s="10"/>
      <c r="P836" s="10"/>
      <c r="Q836" s="38" t="s">
        <v>852</v>
      </c>
      <c r="R836" s="38" t="s">
        <v>852</v>
      </c>
    </row>
    <row r="837" spans="1:20" ht="15.75" customHeight="1" x14ac:dyDescent="0.3">
      <c r="A837" s="234" t="s">
        <v>2409</v>
      </c>
      <c r="B837" s="10"/>
      <c r="C837" s="10"/>
      <c r="D837" s="10"/>
      <c r="E837" s="38" t="s">
        <v>852</v>
      </c>
      <c r="F837" s="10"/>
      <c r="G837" s="10"/>
      <c r="H837" s="10"/>
      <c r="I837" s="38" t="s">
        <v>852</v>
      </c>
      <c r="J837" s="10"/>
      <c r="K837" s="10"/>
      <c r="L837" s="10"/>
      <c r="M837" s="38" t="s">
        <v>852</v>
      </c>
      <c r="N837" s="10"/>
      <c r="O837" s="10"/>
      <c r="P837" s="10"/>
      <c r="Q837" s="38" t="s">
        <v>852</v>
      </c>
      <c r="R837" s="38" t="s">
        <v>852</v>
      </c>
    </row>
    <row r="838" spans="1:20" ht="15.75" customHeight="1" x14ac:dyDescent="0.3">
      <c r="A838" s="539" t="s">
        <v>1648</v>
      </c>
      <c r="B838" s="10"/>
      <c r="C838" s="10"/>
      <c r="D838" s="10"/>
      <c r="E838" s="38">
        <f>SUM(B838:D838)</f>
        <v>0</v>
      </c>
      <c r="F838" s="10"/>
      <c r="G838" s="10"/>
      <c r="H838" s="10"/>
      <c r="I838" s="38">
        <f>SUM(F838:H838)</f>
        <v>0</v>
      </c>
      <c r="J838" s="10"/>
      <c r="K838" s="10"/>
      <c r="L838" s="10"/>
      <c r="M838" s="38">
        <f>SUM(J838:L838)</f>
        <v>0</v>
      </c>
      <c r="N838" s="10"/>
      <c r="O838" s="10"/>
      <c r="P838" s="10"/>
      <c r="Q838" s="38">
        <f>SUM(N838:P838)</f>
        <v>0</v>
      </c>
      <c r="R838" s="38">
        <f>+E838+I838+M838+Q838</f>
        <v>0</v>
      </c>
    </row>
    <row r="839" spans="1:20" ht="15.75" customHeight="1" thickBot="1" x14ac:dyDescent="0.35">
      <c r="A839" s="234" t="s">
        <v>2165</v>
      </c>
      <c r="B839" s="10"/>
      <c r="C839" s="10"/>
      <c r="D839" s="10"/>
      <c r="E839" s="38" t="s">
        <v>852</v>
      </c>
      <c r="F839" s="10"/>
      <c r="G839" s="10"/>
      <c r="H839" s="10"/>
      <c r="I839" s="38" t="s">
        <v>852</v>
      </c>
      <c r="J839" s="10"/>
      <c r="K839" s="10"/>
      <c r="L839" s="10"/>
      <c r="M839" s="38" t="s">
        <v>852</v>
      </c>
      <c r="N839" s="10"/>
      <c r="O839" s="10"/>
      <c r="P839" s="10"/>
      <c r="Q839" s="38" t="s">
        <v>852</v>
      </c>
      <c r="R839" s="38" t="s">
        <v>852</v>
      </c>
    </row>
    <row r="840" spans="1:20" ht="16.5" customHeight="1" thickBot="1" x14ac:dyDescent="0.35">
      <c r="A840" s="43" t="s">
        <v>1219</v>
      </c>
      <c r="B840" s="45">
        <f>SUM(B836:B839)</f>
        <v>0</v>
      </c>
      <c r="C840" s="46">
        <f>SUM(C836:C839)</f>
        <v>0</v>
      </c>
      <c r="D840" s="46">
        <f>SUM(D836:D839)</f>
        <v>0</v>
      </c>
      <c r="E840" s="37">
        <f>SUM(B840:D840)</f>
        <v>0</v>
      </c>
      <c r="F840" s="46">
        <f>SUM(F836:F839)</f>
        <v>0</v>
      </c>
      <c r="G840" s="46">
        <f>SUM(G836:G839)</f>
        <v>0</v>
      </c>
      <c r="H840" s="46">
        <f>SUM(H836:H839)</f>
        <v>0</v>
      </c>
      <c r="I840" s="37">
        <f>SUM(F840:H840)</f>
        <v>0</v>
      </c>
      <c r="J840" s="46">
        <f>SUM(J836:J839)</f>
        <v>0</v>
      </c>
      <c r="K840" s="46">
        <f>SUM(K836:K839)</f>
        <v>0</v>
      </c>
      <c r="L840" s="46">
        <f>SUM(L836:L839)</f>
        <v>0</v>
      </c>
      <c r="M840" s="37">
        <f>SUM(J840:L840)</f>
        <v>0</v>
      </c>
      <c r="N840" s="46">
        <f>SUM(N836:N839)</f>
        <v>0</v>
      </c>
      <c r="O840" s="46">
        <f>SUM(O836:O839)</f>
        <v>0</v>
      </c>
      <c r="P840" s="46">
        <f>SUM(P836:P839)</f>
        <v>0</v>
      </c>
      <c r="Q840" s="37">
        <f>SUM(N840:P840)</f>
        <v>0</v>
      </c>
      <c r="R840" s="37">
        <f>+E840+I840+M840+Q840</f>
        <v>0</v>
      </c>
    </row>
    <row r="841" spans="1:20" ht="15.75" customHeight="1" x14ac:dyDescent="0.3">
      <c r="A841" s="234" t="s">
        <v>2166</v>
      </c>
      <c r="B841" s="10"/>
      <c r="C841" s="10"/>
      <c r="D841" s="10"/>
      <c r="E841" s="38" t="s">
        <v>852</v>
      </c>
      <c r="F841" s="10"/>
      <c r="G841" s="10"/>
      <c r="H841" s="10"/>
      <c r="I841" s="38" t="s">
        <v>852</v>
      </c>
      <c r="J841" s="10" t="s">
        <v>852</v>
      </c>
      <c r="K841" s="10"/>
      <c r="L841" s="10"/>
      <c r="M841" s="38" t="s">
        <v>852</v>
      </c>
      <c r="N841" s="10"/>
      <c r="O841" s="10"/>
      <c r="P841" s="10"/>
      <c r="Q841" s="38" t="s">
        <v>852</v>
      </c>
      <c r="R841" s="38" t="s">
        <v>852</v>
      </c>
    </row>
    <row r="842" spans="1:20" ht="18" customHeight="1" x14ac:dyDescent="0.3">
      <c r="A842" s="234" t="s">
        <v>1245</v>
      </c>
      <c r="B842" s="10"/>
      <c r="C842" s="10"/>
      <c r="D842" s="10"/>
      <c r="E842" s="38" t="s">
        <v>852</v>
      </c>
      <c r="F842" s="10"/>
      <c r="G842" s="10"/>
      <c r="H842" s="10"/>
      <c r="I842" s="38" t="s">
        <v>852</v>
      </c>
      <c r="J842" s="10"/>
      <c r="K842" s="10"/>
      <c r="L842" s="10"/>
      <c r="M842" s="38" t="s">
        <v>852</v>
      </c>
      <c r="N842" s="10"/>
      <c r="O842" s="10"/>
      <c r="P842" s="10"/>
      <c r="Q842" s="38" t="s">
        <v>852</v>
      </c>
      <c r="R842" s="38" t="s">
        <v>852</v>
      </c>
    </row>
    <row r="843" spans="1:20" ht="15.75" customHeight="1" x14ac:dyDescent="0.3">
      <c r="A843" s="539" t="s">
        <v>2750</v>
      </c>
      <c r="B843" s="10">
        <v>451</v>
      </c>
      <c r="C843" s="10">
        <v>254</v>
      </c>
      <c r="D843" s="10">
        <v>605</v>
      </c>
      <c r="E843" s="38">
        <f>SUM(B843:D843)</f>
        <v>1310</v>
      </c>
      <c r="F843" s="10">
        <v>806</v>
      </c>
      <c r="G843" s="10">
        <v>1209</v>
      </c>
      <c r="H843" s="10">
        <v>1219</v>
      </c>
      <c r="I843" s="38">
        <f>SUM(F843:H843)</f>
        <v>3234</v>
      </c>
      <c r="J843" s="10">
        <v>809</v>
      </c>
      <c r="K843" s="10">
        <v>1208</v>
      </c>
      <c r="L843" s="10">
        <v>506</v>
      </c>
      <c r="M843" s="38">
        <f>SUM(J843:L843)</f>
        <v>2523</v>
      </c>
      <c r="N843" s="10">
        <v>1</v>
      </c>
      <c r="O843" s="10">
        <v>501</v>
      </c>
      <c r="P843" s="10">
        <v>501</v>
      </c>
      <c r="Q843" s="38">
        <f>SUM(N843:P843)</f>
        <v>1003</v>
      </c>
      <c r="R843" s="38">
        <f>+E843+I843+M843+Q843</f>
        <v>8070</v>
      </c>
      <c r="T843" t="s">
        <v>2805</v>
      </c>
    </row>
    <row r="844" spans="1:20" ht="15.75" customHeight="1" x14ac:dyDescent="0.3">
      <c r="A844" s="539" t="s">
        <v>2702</v>
      </c>
      <c r="B844" s="10">
        <v>25</v>
      </c>
      <c r="C844" s="10">
        <v>30</v>
      </c>
      <c r="D844" s="10">
        <v>50</v>
      </c>
      <c r="E844" s="38">
        <f t="shared" ref="E844" si="296">SUM(B844:D844)</f>
        <v>105</v>
      </c>
      <c r="F844" s="10">
        <v>70</v>
      </c>
      <c r="G844" s="10">
        <v>85</v>
      </c>
      <c r="H844" s="10">
        <v>100</v>
      </c>
      <c r="I844" s="38">
        <f t="shared" ref="I844" si="297">SUM(F844:H844)</f>
        <v>255</v>
      </c>
      <c r="J844" s="10">
        <v>85</v>
      </c>
      <c r="K844" s="10">
        <v>55</v>
      </c>
      <c r="L844" s="10"/>
      <c r="M844" s="38">
        <f t="shared" ref="M844" si="298">SUM(J844:L844)</f>
        <v>140</v>
      </c>
      <c r="N844" s="10"/>
      <c r="O844" s="10"/>
      <c r="P844" s="10"/>
      <c r="Q844" s="38">
        <f>SUM(N844:P844)</f>
        <v>0</v>
      </c>
      <c r="R844" s="38">
        <f>+E844+I844+M844+Q844</f>
        <v>500</v>
      </c>
      <c r="T844" t="s">
        <v>2785</v>
      </c>
    </row>
    <row r="845" spans="1:20" ht="15.75" customHeight="1" x14ac:dyDescent="0.3">
      <c r="A845" s="234" t="s">
        <v>1711</v>
      </c>
      <c r="B845" s="10"/>
      <c r="C845" s="10"/>
      <c r="D845" s="10"/>
      <c r="E845" s="38" t="s">
        <v>852</v>
      </c>
      <c r="F845" s="10"/>
      <c r="G845" s="10"/>
      <c r="H845" s="10"/>
      <c r="I845" s="38" t="s">
        <v>852</v>
      </c>
      <c r="J845" s="10"/>
      <c r="K845" s="10"/>
      <c r="L845" s="10"/>
      <c r="M845" s="38" t="s">
        <v>852</v>
      </c>
      <c r="N845" s="10"/>
      <c r="O845" s="10"/>
      <c r="P845" s="10"/>
      <c r="Q845" s="38" t="s">
        <v>852</v>
      </c>
      <c r="R845" s="38" t="s">
        <v>852</v>
      </c>
    </row>
    <row r="846" spans="1:20" ht="15.75" customHeight="1" x14ac:dyDescent="0.3">
      <c r="A846" s="539" t="s">
        <v>3402</v>
      </c>
      <c r="B846" s="10"/>
      <c r="C846" s="10"/>
      <c r="D846" s="10"/>
      <c r="E846" s="38">
        <f t="shared" ref="E846:E851" si="299">SUM(B846:D846)</f>
        <v>0</v>
      </c>
      <c r="F846" s="10"/>
      <c r="G846" s="10"/>
      <c r="H846" s="10"/>
      <c r="I846" s="38">
        <f t="shared" ref="I846:I851" si="300">SUM(F846:H846)</f>
        <v>0</v>
      </c>
      <c r="J846" s="10">
        <v>1400</v>
      </c>
      <c r="K846" s="10">
        <v>600</v>
      </c>
      <c r="L846" s="10"/>
      <c r="M846" s="38">
        <f t="shared" ref="M846:M851" si="301">SUM(J846:L846)</f>
        <v>2000</v>
      </c>
      <c r="N846" s="10"/>
      <c r="O846" s="10"/>
      <c r="P846" s="10"/>
      <c r="Q846" s="38">
        <f t="shared" ref="Q846:Q851" si="302">SUM(N846:P846)</f>
        <v>0</v>
      </c>
      <c r="R846" s="38">
        <f t="shared" ref="R846:R851" si="303">+E846+I846+M846+Q846</f>
        <v>2000</v>
      </c>
      <c r="T846" t="s">
        <v>2785</v>
      </c>
    </row>
    <row r="847" spans="1:20" ht="15.75" customHeight="1" x14ac:dyDescent="0.3">
      <c r="A847" s="539" t="s">
        <v>2935</v>
      </c>
      <c r="B847" s="10"/>
      <c r="C847" s="10"/>
      <c r="D847" s="10"/>
      <c r="E847" s="38">
        <f t="shared" si="299"/>
        <v>0</v>
      </c>
      <c r="F847" s="10"/>
      <c r="G847" s="10"/>
      <c r="H847" s="10"/>
      <c r="I847" s="38">
        <f t="shared" si="300"/>
        <v>0</v>
      </c>
      <c r="J847" s="10"/>
      <c r="K847" s="10"/>
      <c r="L847" s="10"/>
      <c r="M847" s="38">
        <f t="shared" si="301"/>
        <v>0</v>
      </c>
      <c r="N847" s="10"/>
      <c r="O847" s="10"/>
      <c r="P847" s="10"/>
      <c r="Q847" s="38">
        <f t="shared" si="302"/>
        <v>0</v>
      </c>
      <c r="R847" s="38">
        <f t="shared" si="303"/>
        <v>0</v>
      </c>
    </row>
    <row r="848" spans="1:20" ht="15.75" customHeight="1" x14ac:dyDescent="0.3">
      <c r="A848" s="539" t="s">
        <v>2749</v>
      </c>
      <c r="B848" s="10"/>
      <c r="C848" s="10"/>
      <c r="D848" s="10"/>
      <c r="E848" s="38">
        <f t="shared" si="299"/>
        <v>0</v>
      </c>
      <c r="F848" s="10"/>
      <c r="G848" s="10"/>
      <c r="H848" s="10"/>
      <c r="I848" s="38">
        <f t="shared" si="300"/>
        <v>0</v>
      </c>
      <c r="J848" s="10"/>
      <c r="K848" s="10">
        <v>15</v>
      </c>
      <c r="L848" s="10">
        <v>60</v>
      </c>
      <c r="M848" s="38">
        <f t="shared" si="301"/>
        <v>75</v>
      </c>
      <c r="N848" s="10">
        <v>65</v>
      </c>
      <c r="O848" s="10">
        <v>50</v>
      </c>
      <c r="P848" s="10">
        <v>30</v>
      </c>
      <c r="Q848" s="38">
        <f t="shared" si="302"/>
        <v>145</v>
      </c>
      <c r="R848" s="38">
        <f t="shared" si="303"/>
        <v>220</v>
      </c>
    </row>
    <row r="849" spans="1:20" ht="15.75" customHeight="1" x14ac:dyDescent="0.3">
      <c r="A849" s="310" t="s">
        <v>783</v>
      </c>
      <c r="B849" s="10"/>
      <c r="C849" s="10"/>
      <c r="D849" s="10"/>
      <c r="E849" s="38">
        <f t="shared" si="299"/>
        <v>0</v>
      </c>
      <c r="F849" s="10"/>
      <c r="G849" s="10"/>
      <c r="H849" s="10"/>
      <c r="I849" s="38">
        <f t="shared" si="300"/>
        <v>0</v>
      </c>
      <c r="J849" s="10"/>
      <c r="K849" s="10"/>
      <c r="L849" s="10"/>
      <c r="M849" s="38">
        <f t="shared" si="301"/>
        <v>0</v>
      </c>
      <c r="N849" s="10"/>
      <c r="O849" s="10"/>
      <c r="P849" s="10"/>
      <c r="Q849" s="38">
        <f t="shared" si="302"/>
        <v>0</v>
      </c>
      <c r="R849" s="38">
        <f t="shared" si="303"/>
        <v>0</v>
      </c>
      <c r="T849" t="s">
        <v>2765</v>
      </c>
    </row>
    <row r="850" spans="1:20" ht="15.75" customHeight="1" thickBot="1" x14ac:dyDescent="0.35">
      <c r="A850" s="539" t="s">
        <v>2540</v>
      </c>
      <c r="B850" s="10">
        <v>849</v>
      </c>
      <c r="C850" s="10">
        <v>769</v>
      </c>
      <c r="D850" s="10">
        <v>849</v>
      </c>
      <c r="E850" s="38">
        <f t="shared" si="299"/>
        <v>2467</v>
      </c>
      <c r="F850" s="10">
        <v>822</v>
      </c>
      <c r="G850" s="10">
        <v>849</v>
      </c>
      <c r="H850" s="10">
        <v>822</v>
      </c>
      <c r="I850" s="38">
        <f t="shared" si="300"/>
        <v>2493</v>
      </c>
      <c r="J850" s="10">
        <v>849</v>
      </c>
      <c r="K850" s="10">
        <v>849</v>
      </c>
      <c r="L850" s="10">
        <v>822</v>
      </c>
      <c r="M850" s="38">
        <f t="shared" si="301"/>
        <v>2520</v>
      </c>
      <c r="N850" s="10">
        <v>849</v>
      </c>
      <c r="O850" s="10">
        <v>822</v>
      </c>
      <c r="P850" s="10">
        <v>849</v>
      </c>
      <c r="Q850" s="38">
        <f t="shared" si="302"/>
        <v>2520</v>
      </c>
      <c r="R850" s="38">
        <f t="shared" si="303"/>
        <v>10000</v>
      </c>
      <c r="T850" t="s">
        <v>2806</v>
      </c>
    </row>
    <row r="851" spans="1:20" ht="16.5" customHeight="1" thickBot="1" x14ac:dyDescent="0.35">
      <c r="A851" s="43" t="s">
        <v>1220</v>
      </c>
      <c r="B851" s="45">
        <f>SUM(B841:B850)</f>
        <v>1325</v>
      </c>
      <c r="C851" s="46">
        <f>SUM(C841:C850)</f>
        <v>1053</v>
      </c>
      <c r="D851" s="46">
        <f>SUM(D841:D850)</f>
        <v>1504</v>
      </c>
      <c r="E851" s="37">
        <f t="shared" si="299"/>
        <v>3882</v>
      </c>
      <c r="F851" s="46">
        <f>SUM(F841:F850)</f>
        <v>1698</v>
      </c>
      <c r="G851" s="46">
        <f>SUM(G841:G850)</f>
        <v>2143</v>
      </c>
      <c r="H851" s="46">
        <f>SUM(H841:H850)</f>
        <v>2141</v>
      </c>
      <c r="I851" s="37">
        <f t="shared" si="300"/>
        <v>5982</v>
      </c>
      <c r="J851" s="46">
        <f>SUM(J841:J850)</f>
        <v>3143</v>
      </c>
      <c r="K851" s="46">
        <f>SUM(K841:K850)</f>
        <v>2727</v>
      </c>
      <c r="L851" s="46">
        <f>SUM(L841:L850)</f>
        <v>1388</v>
      </c>
      <c r="M851" s="37">
        <f t="shared" si="301"/>
        <v>7258</v>
      </c>
      <c r="N851" s="46">
        <f>SUM(N841:N850)</f>
        <v>915</v>
      </c>
      <c r="O851" s="46">
        <f>SUM(O841:O850)</f>
        <v>1373</v>
      </c>
      <c r="P851" s="46">
        <f>SUM(P841:P850)</f>
        <v>1380</v>
      </c>
      <c r="Q851" s="37">
        <f t="shared" si="302"/>
        <v>3668</v>
      </c>
      <c r="R851" s="37">
        <f t="shared" si="303"/>
        <v>20790</v>
      </c>
    </row>
    <row r="852" spans="1:20" ht="15.75" customHeight="1" x14ac:dyDescent="0.3">
      <c r="A852" s="234" t="s">
        <v>1712</v>
      </c>
      <c r="B852" s="10"/>
      <c r="C852" s="10"/>
      <c r="D852" s="10"/>
      <c r="E852" s="38" t="s">
        <v>852</v>
      </c>
      <c r="F852" s="10"/>
      <c r="G852" s="10"/>
      <c r="H852" s="10"/>
      <c r="I852" s="38" t="s">
        <v>852</v>
      </c>
      <c r="J852" s="10"/>
      <c r="K852" s="10"/>
      <c r="L852" s="10"/>
      <c r="M852" s="38" t="s">
        <v>852</v>
      </c>
      <c r="N852" s="10"/>
      <c r="O852" s="10"/>
      <c r="P852" s="10"/>
      <c r="Q852" s="38" t="s">
        <v>852</v>
      </c>
      <c r="R852" s="38" t="s">
        <v>852</v>
      </c>
    </row>
    <row r="853" spans="1:20" ht="15.75" customHeight="1" x14ac:dyDescent="0.3">
      <c r="A853" s="234" t="s">
        <v>1021</v>
      </c>
      <c r="B853" s="10"/>
      <c r="C853" s="10"/>
      <c r="D853" s="10"/>
      <c r="E853" s="38" t="s">
        <v>852</v>
      </c>
      <c r="F853" s="10"/>
      <c r="G853" s="10"/>
      <c r="H853" s="10"/>
      <c r="I853" s="38" t="s">
        <v>852</v>
      </c>
      <c r="J853" s="10"/>
      <c r="K853" s="10"/>
      <c r="L853" s="10"/>
      <c r="M853" s="38" t="s">
        <v>852</v>
      </c>
      <c r="N853" s="10"/>
      <c r="O853" s="10"/>
      <c r="P853" s="10"/>
      <c r="Q853" s="38" t="s">
        <v>852</v>
      </c>
      <c r="R853" s="38" t="s">
        <v>852</v>
      </c>
    </row>
    <row r="854" spans="1:20" ht="15.75" customHeight="1" x14ac:dyDescent="0.3">
      <c r="A854" s="539" t="s">
        <v>3267</v>
      </c>
      <c r="B854" s="10"/>
      <c r="C854" s="10"/>
      <c r="D854" s="10"/>
      <c r="E854" s="38">
        <f>SUM(B854:D854)</f>
        <v>0</v>
      </c>
      <c r="F854" s="10"/>
      <c r="G854" s="10"/>
      <c r="H854" s="10"/>
      <c r="I854" s="38">
        <f>SUM(F854:H854)</f>
        <v>0</v>
      </c>
      <c r="J854" s="10"/>
      <c r="K854" s="10"/>
      <c r="L854" s="10"/>
      <c r="M854" s="38">
        <f>SUM(J854:L854)</f>
        <v>0</v>
      </c>
      <c r="N854" s="10"/>
      <c r="O854" s="10"/>
      <c r="P854" s="10"/>
      <c r="Q854" s="38">
        <f>SUM(N854:P854)</f>
        <v>0</v>
      </c>
      <c r="R854" s="38">
        <f>+E854+I854+M854+Q854</f>
        <v>0</v>
      </c>
    </row>
    <row r="855" spans="1:20" ht="15.75" customHeight="1" x14ac:dyDescent="0.3">
      <c r="A855" s="539" t="s">
        <v>2392</v>
      </c>
      <c r="B855" s="10"/>
      <c r="C855" s="10"/>
      <c r="D855" s="10"/>
      <c r="E855" s="38">
        <f>SUM(B855:D855)</f>
        <v>0</v>
      </c>
      <c r="F855" s="10"/>
      <c r="G855" s="10"/>
      <c r="H855" s="10"/>
      <c r="I855" s="38">
        <f>SUM(F855:H855)</f>
        <v>0</v>
      </c>
      <c r="J855" s="10"/>
      <c r="K855" s="10"/>
      <c r="L855" s="10"/>
      <c r="M855" s="38">
        <f>SUM(J855:L855)</f>
        <v>0</v>
      </c>
      <c r="N855" s="10"/>
      <c r="O855" s="10"/>
      <c r="P855" s="10"/>
      <c r="Q855" s="38">
        <f>SUM(N855:P855)</f>
        <v>0</v>
      </c>
      <c r="R855" s="38">
        <f>+E855+I855+M855+Q855</f>
        <v>0</v>
      </c>
    </row>
    <row r="856" spans="1:20" ht="15.75" customHeight="1" x14ac:dyDescent="0.3">
      <c r="A856" s="234" t="s">
        <v>557</v>
      </c>
      <c r="B856" s="10"/>
      <c r="C856" s="10"/>
      <c r="D856" s="10"/>
      <c r="E856" s="38" t="s">
        <v>852</v>
      </c>
      <c r="F856" s="10"/>
      <c r="G856" s="10"/>
      <c r="H856" s="10"/>
      <c r="I856" s="38" t="s">
        <v>852</v>
      </c>
      <c r="J856" s="10"/>
      <c r="K856" s="10"/>
      <c r="L856" s="10"/>
      <c r="M856" s="38" t="s">
        <v>852</v>
      </c>
      <c r="N856" s="10"/>
      <c r="O856" s="10"/>
      <c r="P856" s="10"/>
      <c r="Q856" s="38" t="s">
        <v>852</v>
      </c>
      <c r="R856" s="38" t="s">
        <v>852</v>
      </c>
    </row>
    <row r="857" spans="1:20" ht="15.75" customHeight="1" x14ac:dyDescent="0.3">
      <c r="A857" s="539" t="s">
        <v>2589</v>
      </c>
      <c r="B857" s="10"/>
      <c r="C857" s="10"/>
      <c r="D857" s="10"/>
      <c r="E857" s="38">
        <f>SUM(B857:D857)</f>
        <v>0</v>
      </c>
      <c r="F857" s="10"/>
      <c r="G857" s="10"/>
      <c r="H857" s="10"/>
      <c r="I857" s="38">
        <f>SUM(F857:H857)</f>
        <v>0</v>
      </c>
      <c r="J857" s="10"/>
      <c r="K857" s="10"/>
      <c r="L857" s="10"/>
      <c r="M857" s="38">
        <f>SUM(J857:L857)</f>
        <v>0</v>
      </c>
      <c r="N857" s="10"/>
      <c r="O857" s="10"/>
      <c r="P857" s="10"/>
      <c r="Q857" s="38">
        <f>SUM(N857:P857)</f>
        <v>0</v>
      </c>
      <c r="R857" s="38">
        <f>+E857+I857+M857+Q857</f>
        <v>0</v>
      </c>
    </row>
    <row r="858" spans="1:20" ht="15.75" customHeight="1" x14ac:dyDescent="0.3">
      <c r="A858" s="539" t="s">
        <v>2590</v>
      </c>
      <c r="B858" s="10"/>
      <c r="C858" s="10"/>
      <c r="D858" s="10"/>
      <c r="E858" s="38">
        <f>SUM(B858:D858)</f>
        <v>0</v>
      </c>
      <c r="F858" s="10"/>
      <c r="G858" s="10"/>
      <c r="H858" s="10"/>
      <c r="I858" s="38">
        <f>SUM(F858:H858)</f>
        <v>0</v>
      </c>
      <c r="J858" s="10"/>
      <c r="K858" s="10"/>
      <c r="L858" s="10"/>
      <c r="M858" s="38">
        <f>SUM(J858:L858)</f>
        <v>0</v>
      </c>
      <c r="N858" s="10"/>
      <c r="O858" s="10"/>
      <c r="P858" s="10"/>
      <c r="Q858" s="38">
        <f>SUM(N858:P858)</f>
        <v>0</v>
      </c>
      <c r="R858" s="38">
        <f>+E858+I858+M858+Q858</f>
        <v>0</v>
      </c>
    </row>
    <row r="859" spans="1:20" ht="15.75" customHeight="1" x14ac:dyDescent="0.3">
      <c r="A859" s="234" t="s">
        <v>1022</v>
      </c>
      <c r="B859" s="10"/>
      <c r="C859" s="10"/>
      <c r="D859" s="10"/>
      <c r="E859" s="38" t="s">
        <v>852</v>
      </c>
      <c r="F859" s="10"/>
      <c r="G859" s="10"/>
      <c r="H859" s="10"/>
      <c r="I859" s="38" t="s">
        <v>852</v>
      </c>
      <c r="J859" s="10"/>
      <c r="K859" s="10"/>
      <c r="L859" s="10"/>
      <c r="M859" s="38" t="s">
        <v>852</v>
      </c>
      <c r="N859" s="10"/>
      <c r="O859" s="10"/>
      <c r="P859" s="10"/>
      <c r="Q859" s="38" t="s">
        <v>852</v>
      </c>
      <c r="R859" s="38" t="s">
        <v>852</v>
      </c>
    </row>
    <row r="860" spans="1:20" ht="15.75" customHeight="1" thickBot="1" x14ac:dyDescent="0.35">
      <c r="A860" s="234" t="s">
        <v>559</v>
      </c>
      <c r="B860" s="10"/>
      <c r="C860" s="10"/>
      <c r="D860" s="10"/>
      <c r="E860" s="38" t="s">
        <v>852</v>
      </c>
      <c r="F860" s="10"/>
      <c r="G860" s="10"/>
      <c r="H860" s="10"/>
      <c r="I860" s="38" t="s">
        <v>852</v>
      </c>
      <c r="J860" s="10"/>
      <c r="K860" s="10"/>
      <c r="L860" s="10"/>
      <c r="M860" s="38" t="s">
        <v>852</v>
      </c>
      <c r="N860" s="10"/>
      <c r="O860" s="10"/>
      <c r="P860" s="10"/>
      <c r="Q860" s="38" t="s">
        <v>852</v>
      </c>
      <c r="R860" s="38" t="s">
        <v>852</v>
      </c>
    </row>
    <row r="861" spans="1:20" ht="16.5" customHeight="1" thickBot="1" x14ac:dyDescent="0.35">
      <c r="A861" s="43" t="s">
        <v>1019</v>
      </c>
      <c r="B861" s="42">
        <f>SUM(B859:B860)</f>
        <v>0</v>
      </c>
      <c r="C861" s="42">
        <f>SUM(C859:C860)</f>
        <v>0</v>
      </c>
      <c r="D861" s="42">
        <f>SUM(D859:D860)</f>
        <v>0</v>
      </c>
      <c r="E861" s="39">
        <f>SUM(B861:D861)</f>
        <v>0</v>
      </c>
      <c r="F861" s="42">
        <f>SUM(F859:F860)</f>
        <v>0</v>
      </c>
      <c r="G861" s="42">
        <f>SUM(G859:G860)</f>
        <v>0</v>
      </c>
      <c r="H861" s="42">
        <f>SUM(H859:H860)</f>
        <v>0</v>
      </c>
      <c r="I861" s="39">
        <f>SUM(F861:H861)</f>
        <v>0</v>
      </c>
      <c r="J861" s="42">
        <f>SUM(J859:J860)</f>
        <v>0</v>
      </c>
      <c r="K861" s="42">
        <f>SUM(K859:K860)</f>
        <v>0</v>
      </c>
      <c r="L861" s="42">
        <f>SUM(L859:L860)</f>
        <v>0</v>
      </c>
      <c r="M861" s="39">
        <f>SUM(J861:L861)</f>
        <v>0</v>
      </c>
      <c r="N861" s="42">
        <f>SUM(N859:N860)</f>
        <v>0</v>
      </c>
      <c r="O861" s="42">
        <f>SUM(O859:O860)</f>
        <v>0</v>
      </c>
      <c r="P861" s="42">
        <f>SUM(P859:P860)</f>
        <v>0</v>
      </c>
      <c r="Q861" s="39">
        <f>SUM(N861:P861)</f>
        <v>0</v>
      </c>
      <c r="R861" s="37">
        <f>+E861+I861+M861+Q861</f>
        <v>0</v>
      </c>
    </row>
    <row r="862" spans="1:20" ht="16.5" customHeight="1" thickBot="1" x14ac:dyDescent="0.35">
      <c r="A862" s="43" t="s">
        <v>1221</v>
      </c>
      <c r="B862" s="45">
        <f>SUM(B852:B860)</f>
        <v>0</v>
      </c>
      <c r="C862" s="46">
        <f>SUM(C852:C860)</f>
        <v>0</v>
      </c>
      <c r="D862" s="58">
        <f>SUM(D852:D860)</f>
        <v>0</v>
      </c>
      <c r="E862" s="39">
        <f>SUM(B862:D862)</f>
        <v>0</v>
      </c>
      <c r="F862" s="46">
        <f>SUM(F852:F860)</f>
        <v>0</v>
      </c>
      <c r="G862" s="46">
        <f>SUM(G852:G860)</f>
        <v>0</v>
      </c>
      <c r="H862" s="46">
        <f>SUM(H852:H860)</f>
        <v>0</v>
      </c>
      <c r="I862" s="39">
        <f>SUM(F862:H862)</f>
        <v>0</v>
      </c>
      <c r="J862" s="46">
        <f>SUM(J852:J860)</f>
        <v>0</v>
      </c>
      <c r="K862" s="46">
        <f>SUM(K852:K860)</f>
        <v>0</v>
      </c>
      <c r="L862" s="46">
        <f>SUM(L852:L860)</f>
        <v>0</v>
      </c>
      <c r="M862" s="39">
        <f>SUM(J862:L862)</f>
        <v>0</v>
      </c>
      <c r="N862" s="46">
        <f>SUM(N852:N860)</f>
        <v>0</v>
      </c>
      <c r="O862" s="46">
        <f>SUM(O852:O860)</f>
        <v>0</v>
      </c>
      <c r="P862" s="46">
        <f>SUM(P852:P860)</f>
        <v>0</v>
      </c>
      <c r="Q862" s="39">
        <f>SUM(N862:P862)</f>
        <v>0</v>
      </c>
      <c r="R862" s="37">
        <f>+E862+I862+M862+Q862</f>
        <v>0</v>
      </c>
    </row>
    <row r="863" spans="1:20" ht="16.5" customHeight="1" thickBot="1" x14ac:dyDescent="0.35">
      <c r="A863" s="43" t="s">
        <v>1222</v>
      </c>
      <c r="B863" s="47">
        <f>+B835+B840+B851+B862</f>
        <v>3927</v>
      </c>
      <c r="C863" s="42">
        <f>+C835+C840+C851+C862</f>
        <v>3757</v>
      </c>
      <c r="D863" s="42">
        <f>+D835+D840+D851+D862</f>
        <v>4020</v>
      </c>
      <c r="E863" s="37">
        <f>SUM(B863:D863)</f>
        <v>11704</v>
      </c>
      <c r="F863" s="42">
        <f>+F835+F840+F851+F862</f>
        <v>5071</v>
      </c>
      <c r="G863" s="42">
        <f>+G835+G840+G851+G862</f>
        <v>5797</v>
      </c>
      <c r="H863" s="42">
        <f>+H835+H840+H851+H862</f>
        <v>5841</v>
      </c>
      <c r="I863" s="37">
        <f>SUM(F863:H863)</f>
        <v>16709</v>
      </c>
      <c r="J863" s="42">
        <f>+J835+J840+J851+J862</f>
        <v>4793</v>
      </c>
      <c r="K863" s="42">
        <f>+K835+K840+K851+K862</f>
        <v>7677</v>
      </c>
      <c r="L863" s="42">
        <f>+L835+L840+L851+L862</f>
        <v>6325</v>
      </c>
      <c r="M863" s="37">
        <f>SUM(J863:L863)</f>
        <v>18795</v>
      </c>
      <c r="N863" s="42">
        <f>+N835+N840+N851+N862</f>
        <v>4165</v>
      </c>
      <c r="O863" s="42">
        <f>+O835+O840+O851+O862</f>
        <v>2847</v>
      </c>
      <c r="P863" s="42">
        <f>+P835+P840+P851+P862</f>
        <v>1380</v>
      </c>
      <c r="Q863" s="37">
        <f>SUM(N863:P863)</f>
        <v>8392</v>
      </c>
      <c r="R863" s="40">
        <f>+E863+I863+M863+Q863</f>
        <v>55600</v>
      </c>
    </row>
    <row r="864" spans="1:20" ht="16.5" customHeight="1" thickBot="1" x14ac:dyDescent="0.35">
      <c r="A864" s="299" t="s">
        <v>853</v>
      </c>
      <c r="B864" s="294">
        <v>11</v>
      </c>
      <c r="C864" s="294">
        <v>13</v>
      </c>
      <c r="D864" s="294">
        <v>17</v>
      </c>
      <c r="E864" s="38">
        <f>SUM(B864:D864)</f>
        <v>41</v>
      </c>
      <c r="F864" s="294">
        <v>21</v>
      </c>
      <c r="G864" s="294">
        <v>23</v>
      </c>
      <c r="H864" s="294">
        <v>25</v>
      </c>
      <c r="I864" s="38">
        <f>SUM(F864:H864)</f>
        <v>69</v>
      </c>
      <c r="J864" s="294">
        <v>25</v>
      </c>
      <c r="K864" s="294">
        <v>21</v>
      </c>
      <c r="L864" s="294">
        <v>19</v>
      </c>
      <c r="M864" s="38">
        <f>SUM(J864:L864)</f>
        <v>65</v>
      </c>
      <c r="N864" s="294">
        <v>17</v>
      </c>
      <c r="O864" s="294">
        <v>13</v>
      </c>
      <c r="P864" s="294">
        <v>11</v>
      </c>
      <c r="Q864" s="38">
        <f>SUM(N864:P864)</f>
        <v>41</v>
      </c>
      <c r="R864" s="38">
        <f>+E864+I864+M864+Q864</f>
        <v>216</v>
      </c>
    </row>
    <row r="865" spans="1:18" ht="16.5" customHeight="1" thickBot="1" x14ac:dyDescent="0.35">
      <c r="A865" s="22"/>
      <c r="B865" s="297"/>
      <c r="C865" s="297"/>
      <c r="D865" s="297"/>
      <c r="E865" s="37" t="s">
        <v>852</v>
      </c>
      <c r="F865" s="297"/>
      <c r="G865" s="297"/>
      <c r="H865" s="297"/>
      <c r="I865" s="37" t="s">
        <v>852</v>
      </c>
      <c r="J865" s="297"/>
      <c r="K865" s="297"/>
      <c r="L865" s="297"/>
      <c r="M865" s="37" t="s">
        <v>852</v>
      </c>
      <c r="N865" s="297"/>
      <c r="O865" s="297"/>
      <c r="P865" s="297"/>
      <c r="Q865" s="37" t="s">
        <v>852</v>
      </c>
      <c r="R865" s="37" t="s">
        <v>852</v>
      </c>
    </row>
    <row r="866" spans="1:18" ht="15.75" customHeight="1" x14ac:dyDescent="0.3">
      <c r="A866" s="234" t="s">
        <v>2011</v>
      </c>
      <c r="B866" s="10">
        <f>SUM(B863:B864)</f>
        <v>3938</v>
      </c>
      <c r="C866" s="10">
        <f>SUM(C863:C864)</f>
        <v>3770</v>
      </c>
      <c r="D866" s="10">
        <f>SUM(D863:D864)</f>
        <v>4037</v>
      </c>
      <c r="E866" s="39">
        <f>SUM(B866:D866)</f>
        <v>11745</v>
      </c>
      <c r="F866" s="10">
        <f>SUM(F863:F864)</f>
        <v>5092</v>
      </c>
      <c r="G866" s="10">
        <f>SUM(G863:G864)</f>
        <v>5820</v>
      </c>
      <c r="H866" s="10">
        <f>SUM(H863:H864)</f>
        <v>5866</v>
      </c>
      <c r="I866" s="39">
        <f>SUM(F866:H866)</f>
        <v>16778</v>
      </c>
      <c r="J866" s="10">
        <f>SUM(J863:J864)</f>
        <v>4818</v>
      </c>
      <c r="K866" s="10">
        <f>SUM(K863:K864)</f>
        <v>7698</v>
      </c>
      <c r="L866" s="10">
        <f>SUM(L863:L864)</f>
        <v>6344</v>
      </c>
      <c r="M866" s="39">
        <f>SUM(J866:L866)</f>
        <v>18860</v>
      </c>
      <c r="N866" s="10">
        <f>SUM(N863:N864)</f>
        <v>4182</v>
      </c>
      <c r="O866" s="10">
        <f>SUM(O863:O864)</f>
        <v>2860</v>
      </c>
      <c r="P866" s="10">
        <f>SUM(P863:P864)</f>
        <v>1391</v>
      </c>
      <c r="Q866" s="39">
        <f>SUM(N866:P866)</f>
        <v>8433</v>
      </c>
      <c r="R866" s="39">
        <f>+E866+I866+M866+Q866</f>
        <v>55816</v>
      </c>
    </row>
    <row r="867" spans="1:18" ht="15.75" customHeight="1" x14ac:dyDescent="0.3">
      <c r="A867" s="234" t="s">
        <v>1897</v>
      </c>
      <c r="B867" s="10">
        <f>(B866/B10)/1.983</f>
        <v>64.060644510598152</v>
      </c>
      <c r="C867" s="10">
        <f>(C866/C10)/1.983</f>
        <v>67.89856638570707</v>
      </c>
      <c r="D867" s="10">
        <f>(D866/D10)/1.983</f>
        <v>65.671107640752851</v>
      </c>
      <c r="E867" s="38" t="s">
        <v>852</v>
      </c>
      <c r="F867" s="10">
        <f>(F866/F10)/1.983</f>
        <v>85.59421751554882</v>
      </c>
      <c r="G867" s="10">
        <f>(G866/G10)/1.983</f>
        <v>94.675711287882478</v>
      </c>
      <c r="H867" s="10">
        <f>(H866/H10)/1.983</f>
        <v>98.604807530677419</v>
      </c>
      <c r="I867" s="38" t="s">
        <v>852</v>
      </c>
      <c r="J867" s="10">
        <f>(J866/J10)/1.983</f>
        <v>78.375872334195492</v>
      </c>
      <c r="K867" s="10">
        <f>(K866/K10)/1.983</f>
        <v>125.22570884778682</v>
      </c>
      <c r="L867" s="10">
        <f>(L866/L10)/1.983</f>
        <v>106.6397713901496</v>
      </c>
      <c r="M867" s="38" t="s">
        <v>852</v>
      </c>
      <c r="N867" s="10">
        <f>(N866/N10)/1.983</f>
        <v>68.029866770777417</v>
      </c>
      <c r="O867" s="10">
        <f>(O866/O10)/1.983</f>
        <v>48.075306774247771</v>
      </c>
      <c r="P867" s="10">
        <f>(P866/P10)/1.983</f>
        <v>22.627820343890811</v>
      </c>
      <c r="Q867" s="38" t="s">
        <v>852</v>
      </c>
      <c r="R867" s="38" t="s">
        <v>852</v>
      </c>
    </row>
    <row r="868" spans="1:18" ht="15.75" customHeight="1" x14ac:dyDescent="0.3">
      <c r="A868" s="234" t="s">
        <v>2050</v>
      </c>
      <c r="B868" s="10">
        <f>B866</f>
        <v>3938</v>
      </c>
      <c r="C868" s="10">
        <f>C866</f>
        <v>3770</v>
      </c>
      <c r="D868" s="10">
        <f>D866</f>
        <v>4037</v>
      </c>
      <c r="E868" s="38">
        <f>SUM(B868:D868)</f>
        <v>11745</v>
      </c>
      <c r="F868" s="10">
        <f>F866</f>
        <v>5092</v>
      </c>
      <c r="G868" s="10">
        <f>G866</f>
        <v>5820</v>
      </c>
      <c r="H868" s="10">
        <f>H866</f>
        <v>5866</v>
      </c>
      <c r="I868" s="38">
        <f>SUM(F868:H868)</f>
        <v>16778</v>
      </c>
      <c r="J868" s="10">
        <f>J866</f>
        <v>4818</v>
      </c>
      <c r="K868" s="10">
        <f>K866</f>
        <v>7698</v>
      </c>
      <c r="L868" s="10">
        <f>L866</f>
        <v>6344</v>
      </c>
      <c r="M868" s="38">
        <f>SUM(J868:L868)</f>
        <v>18860</v>
      </c>
      <c r="N868" s="10">
        <f>N866</f>
        <v>4182</v>
      </c>
      <c r="O868" s="10">
        <f>O866</f>
        <v>2860</v>
      </c>
      <c r="P868" s="10">
        <f>P866</f>
        <v>1391</v>
      </c>
      <c r="Q868" s="38">
        <f>SUM(N868:P868)</f>
        <v>8433</v>
      </c>
      <c r="R868" s="38">
        <f>+E868+I868+M868+Q868</f>
        <v>55816</v>
      </c>
    </row>
    <row r="869" spans="1:18" ht="16.5" customHeight="1" thickBot="1" x14ac:dyDescent="0.35">
      <c r="A869" s="237" t="s">
        <v>2051</v>
      </c>
      <c r="B869" s="294">
        <f>(B868/B10)/1.983</f>
        <v>64.060644510598152</v>
      </c>
      <c r="C869" s="294">
        <f>(C868/C10)/1.983</f>
        <v>67.89856638570707</v>
      </c>
      <c r="D869" s="294">
        <f>(D868/D10)/1.983</f>
        <v>65.671107640752851</v>
      </c>
      <c r="E869" s="40" t="s">
        <v>852</v>
      </c>
      <c r="F869" s="294">
        <f>(F868/F10)/1.983</f>
        <v>85.59421751554882</v>
      </c>
      <c r="G869" s="294">
        <f>(G868/G10)/1.983</f>
        <v>94.675711287882478</v>
      </c>
      <c r="H869" s="294">
        <f>(H868/H10)/1.983</f>
        <v>98.604807530677419</v>
      </c>
      <c r="I869" s="40" t="s">
        <v>852</v>
      </c>
      <c r="J869" s="294">
        <f>(J868/J10)/1.983</f>
        <v>78.375872334195492</v>
      </c>
      <c r="K869" s="294">
        <f>(K868/K10)/1.983</f>
        <v>125.22570884778682</v>
      </c>
      <c r="L869" s="294">
        <f>(L868/L10)/1.983</f>
        <v>106.6397713901496</v>
      </c>
      <c r="M869" s="40" t="s">
        <v>852</v>
      </c>
      <c r="N869" s="294">
        <f>(N868/N10)/1.983</f>
        <v>68.029866770777417</v>
      </c>
      <c r="O869" s="294">
        <f>(O868/O10)/1.983</f>
        <v>48.075306774247771</v>
      </c>
      <c r="P869" s="294">
        <f>(P868/P10)/1.983</f>
        <v>22.627820343890811</v>
      </c>
      <c r="Q869" s="40" t="s">
        <v>852</v>
      </c>
      <c r="R869" s="40" t="s">
        <v>852</v>
      </c>
    </row>
    <row r="870" spans="1:18" ht="15.75" customHeight="1" x14ac:dyDescent="0.3">
      <c r="A870" s="18"/>
      <c r="B870" s="10"/>
      <c r="C870" s="10"/>
      <c r="D870" s="10"/>
      <c r="E870" s="17"/>
      <c r="F870" s="10"/>
      <c r="G870" s="10"/>
      <c r="H870" s="10"/>
      <c r="I870" s="17"/>
      <c r="J870" s="10"/>
      <c r="K870" s="10"/>
      <c r="L870" s="10"/>
      <c r="M870" s="17"/>
      <c r="N870" s="10"/>
      <c r="O870" s="10"/>
      <c r="P870" s="10"/>
      <c r="Q870" s="17"/>
      <c r="R870" s="17"/>
    </row>
    <row r="871" spans="1:18" ht="15.75" customHeight="1" x14ac:dyDescent="0.3">
      <c r="A871" s="18"/>
      <c r="B871" s="10"/>
      <c r="C871" s="10"/>
      <c r="D871" s="10"/>
      <c r="E871" s="10"/>
      <c r="F871" s="10"/>
      <c r="G871" s="10"/>
      <c r="H871" s="10"/>
      <c r="I871" s="10"/>
      <c r="J871" s="10"/>
      <c r="K871" s="10"/>
      <c r="L871" s="10"/>
      <c r="M871" s="10"/>
      <c r="N871" s="10"/>
      <c r="O871" s="10"/>
      <c r="P871" s="10"/>
      <c r="Q871" s="680" t="str">
        <f>+Q1</f>
        <v xml:space="preserve">PRINTED:  </v>
      </c>
      <c r="R871" s="681">
        <f ca="1">+R1</f>
        <v>44881.729633912037</v>
      </c>
    </row>
    <row r="872" spans="1:18" ht="15.75" customHeight="1" x14ac:dyDescent="0.3">
      <c r="A872" s="778" t="s">
        <v>43</v>
      </c>
      <c r="B872" s="778"/>
      <c r="C872" s="778"/>
      <c r="D872" s="778"/>
      <c r="E872" s="778"/>
      <c r="F872" s="778"/>
      <c r="G872" s="778"/>
      <c r="H872" s="778"/>
      <c r="I872" s="778"/>
      <c r="J872" s="778"/>
      <c r="K872" s="778"/>
      <c r="L872" s="778"/>
      <c r="M872" s="778"/>
      <c r="N872" s="778"/>
      <c r="O872" s="778"/>
      <c r="P872" s="778"/>
      <c r="Q872" s="778"/>
      <c r="R872" s="778"/>
    </row>
    <row r="873" spans="1:18" ht="15.75" customHeight="1" x14ac:dyDescent="0.3">
      <c r="A873" s="778" t="s">
        <v>1988</v>
      </c>
      <c r="B873" s="778"/>
      <c r="C873" s="778"/>
      <c r="D873" s="778"/>
      <c r="E873" s="778"/>
      <c r="F873" s="778"/>
      <c r="G873" s="778"/>
      <c r="H873" s="778"/>
      <c r="I873" s="778"/>
      <c r="J873" s="778"/>
      <c r="K873" s="778"/>
      <c r="L873" s="778"/>
      <c r="M873" s="778"/>
      <c r="N873" s="778"/>
      <c r="O873" s="778"/>
      <c r="P873" s="778"/>
      <c r="Q873" s="778"/>
      <c r="R873" s="778"/>
    </row>
    <row r="874" spans="1:18" ht="15.75" customHeight="1" x14ac:dyDescent="0.3">
      <c r="A874" s="778" t="s">
        <v>544</v>
      </c>
      <c r="B874" s="778"/>
      <c r="C874" s="778"/>
      <c r="D874" s="778"/>
      <c r="E874" s="778"/>
      <c r="F874" s="778"/>
      <c r="G874" s="778"/>
      <c r="H874" s="778"/>
      <c r="I874" s="778"/>
      <c r="J874" s="778"/>
      <c r="K874" s="778"/>
      <c r="L874" s="778"/>
      <c r="M874" s="778"/>
      <c r="N874" s="778"/>
      <c r="O874" s="778"/>
      <c r="P874" s="778"/>
      <c r="Q874" s="778"/>
      <c r="R874" s="778"/>
    </row>
    <row r="875" spans="1:18" ht="15.75" customHeight="1" x14ac:dyDescent="0.3">
      <c r="A875" s="783">
        <f>+A5</f>
        <v>2022</v>
      </c>
      <c r="B875" s="783"/>
      <c r="C875" s="783"/>
      <c r="D875" s="783"/>
      <c r="E875" s="783"/>
      <c r="F875" s="783"/>
      <c r="G875" s="783"/>
      <c r="H875" s="783"/>
      <c r="I875" s="783"/>
      <c r="J875" s="783"/>
      <c r="K875" s="783"/>
      <c r="L875" s="783"/>
      <c r="M875" s="783"/>
      <c r="N875" s="783"/>
      <c r="O875" s="783"/>
      <c r="P875" s="783"/>
      <c r="Q875" s="783"/>
      <c r="R875" s="783"/>
    </row>
    <row r="876" spans="1:18" ht="15.75" customHeight="1" x14ac:dyDescent="0.3">
      <c r="A876" s="10"/>
      <c r="B876" s="10"/>
      <c r="C876" s="10"/>
      <c r="D876" s="1"/>
      <c r="E876" s="1"/>
      <c r="F876" s="1"/>
      <c r="G876" s="220"/>
      <c r="H876" s="1"/>
      <c r="I876" s="1"/>
      <c r="J876" s="220"/>
      <c r="K876" s="220"/>
      <c r="L876" s="220"/>
      <c r="M876" s="220"/>
      <c r="N876" s="10"/>
      <c r="O876" s="220"/>
      <c r="P876" s="220"/>
      <c r="Q876" s="220"/>
      <c r="R876" s="220"/>
    </row>
    <row r="877" spans="1:18" ht="15.75" customHeight="1" x14ac:dyDescent="0.3">
      <c r="A877" s="778" t="str">
        <f>+A8</f>
        <v>Revised:  2/5/2020</v>
      </c>
      <c r="B877" s="778"/>
      <c r="C877" s="778"/>
      <c r="D877" s="778"/>
      <c r="E877" s="778"/>
      <c r="F877" s="778"/>
      <c r="G877" s="778"/>
      <c r="H877" s="778"/>
      <c r="I877" s="778"/>
      <c r="J877" s="778"/>
      <c r="K877" s="778"/>
      <c r="L877" s="778"/>
      <c r="M877" s="778"/>
      <c r="N877" s="778"/>
      <c r="O877" s="778"/>
      <c r="P877" s="778"/>
      <c r="Q877" s="778"/>
      <c r="R877" s="778"/>
    </row>
    <row r="878" spans="1:18" ht="15.75" customHeight="1" x14ac:dyDescent="0.3">
      <c r="A878" s="448"/>
      <c r="B878" s="448"/>
      <c r="C878" s="448"/>
      <c r="D878" s="448"/>
      <c r="E878" s="448"/>
      <c r="F878" s="448"/>
      <c r="G878" s="448"/>
      <c r="H878" s="448"/>
      <c r="I878" s="448"/>
      <c r="J878" s="448"/>
      <c r="K878" s="448"/>
      <c r="L878" s="448"/>
      <c r="M878" s="448"/>
      <c r="N878" s="448"/>
      <c r="O878" s="448"/>
      <c r="P878" s="448"/>
      <c r="Q878" s="448"/>
      <c r="R878" s="448"/>
    </row>
    <row r="879" spans="1:18" ht="15.75" customHeight="1" x14ac:dyDescent="0.3">
      <c r="A879" s="448"/>
      <c r="B879" s="448"/>
      <c r="C879" s="448"/>
      <c r="D879" s="448"/>
      <c r="E879" s="448"/>
      <c r="F879" s="448"/>
      <c r="G879" s="448"/>
      <c r="H879" s="448"/>
      <c r="I879" s="448"/>
      <c r="J879" s="448"/>
      <c r="K879" s="448"/>
      <c r="L879" s="448"/>
      <c r="M879" s="448"/>
      <c r="N879" s="448"/>
      <c r="O879" s="448"/>
      <c r="P879" s="448"/>
      <c r="Q879" s="448"/>
      <c r="R879" s="448"/>
    </row>
    <row r="880" spans="1:18" ht="15.75" customHeight="1" thickBot="1" x14ac:dyDescent="0.35">
      <c r="A880" s="18"/>
      <c r="B880" s="10"/>
      <c r="C880" s="10"/>
      <c r="D880" s="10"/>
      <c r="E880" s="10"/>
      <c r="F880" s="10"/>
      <c r="G880" s="10"/>
      <c r="H880" s="10"/>
      <c r="I880" s="10"/>
      <c r="J880" s="10"/>
      <c r="K880" s="10"/>
      <c r="L880" s="10"/>
      <c r="M880" s="10"/>
      <c r="N880" s="10"/>
      <c r="O880" s="10"/>
      <c r="P880" s="10"/>
      <c r="Q880" s="10"/>
      <c r="R880" s="17"/>
    </row>
    <row r="881" spans="1:20" ht="16.5" customHeight="1" thickBot="1" x14ac:dyDescent="0.35">
      <c r="A881" s="278" t="s">
        <v>1661</v>
      </c>
      <c r="B881" s="4" t="s">
        <v>2090</v>
      </c>
      <c r="C881" s="5" t="s">
        <v>2091</v>
      </c>
      <c r="D881" s="5" t="s">
        <v>2234</v>
      </c>
      <c r="E881" s="33" t="s">
        <v>1594</v>
      </c>
      <c r="F881" s="5" t="s">
        <v>2235</v>
      </c>
      <c r="G881" s="5" t="s">
        <v>2236</v>
      </c>
      <c r="H881" s="5" t="s">
        <v>2237</v>
      </c>
      <c r="I881" s="35" t="s">
        <v>1595</v>
      </c>
      <c r="J881" s="5" t="s">
        <v>1504</v>
      </c>
      <c r="K881" s="5" t="s">
        <v>1505</v>
      </c>
      <c r="L881" s="5" t="s">
        <v>1506</v>
      </c>
      <c r="M881" s="35" t="s">
        <v>1596</v>
      </c>
      <c r="N881" s="5" t="s">
        <v>1507</v>
      </c>
      <c r="O881" s="5" t="s">
        <v>1508</v>
      </c>
      <c r="P881" s="5" t="s">
        <v>1509</v>
      </c>
      <c r="Q881" s="35" t="s">
        <v>1597</v>
      </c>
      <c r="R881" s="60" t="s">
        <v>1510</v>
      </c>
    </row>
    <row r="882" spans="1:20" ht="16.5" customHeight="1" thickBot="1" x14ac:dyDescent="0.35">
      <c r="A882" s="22"/>
      <c r="B882" s="297"/>
      <c r="C882" s="297"/>
      <c r="D882" s="297"/>
      <c r="E882" s="302"/>
      <c r="F882" s="297"/>
      <c r="G882" s="297"/>
      <c r="H882" s="297"/>
      <c r="I882" s="325"/>
      <c r="J882" s="297"/>
      <c r="K882" s="297"/>
      <c r="L882" s="297"/>
      <c r="M882" s="325"/>
      <c r="N882" s="297"/>
      <c r="O882" s="297"/>
      <c r="P882" s="297"/>
      <c r="Q882" s="326"/>
      <c r="R882" s="61"/>
    </row>
    <row r="883" spans="1:20" ht="15.75" customHeight="1" x14ac:dyDescent="0.3">
      <c r="A883" s="234" t="s">
        <v>2417</v>
      </c>
      <c r="B883" s="10" t="s">
        <v>852</v>
      </c>
      <c r="C883" s="10" t="s">
        <v>852</v>
      </c>
      <c r="D883" s="10" t="s">
        <v>852</v>
      </c>
      <c r="E883" s="327"/>
      <c r="F883" s="10" t="s">
        <v>852</v>
      </c>
      <c r="G883" s="10" t="s">
        <v>852</v>
      </c>
      <c r="H883" s="10" t="s">
        <v>852</v>
      </c>
      <c r="I883" s="327"/>
      <c r="J883" s="10" t="s">
        <v>852</v>
      </c>
      <c r="K883" s="10" t="s">
        <v>852</v>
      </c>
      <c r="L883" s="10" t="s">
        <v>852</v>
      </c>
      <c r="M883" s="327"/>
      <c r="N883" s="10" t="s">
        <v>852</v>
      </c>
      <c r="O883" s="10" t="s">
        <v>852</v>
      </c>
      <c r="P883" s="10" t="s">
        <v>852</v>
      </c>
      <c r="Q883" s="328"/>
      <c r="R883" s="62" t="s">
        <v>852</v>
      </c>
    </row>
    <row r="884" spans="1:20" ht="15.75" customHeight="1" x14ac:dyDescent="0.3">
      <c r="A884" s="545" t="s">
        <v>2160</v>
      </c>
      <c r="B884" s="10">
        <f>+SUM(B71:B84)+SUM(B143:B200)+SUM(B340:B376)+SUM(B526:B531)+SUM(B570:B575)+SUM(B615:B627)+SUM(B690:B693)+SUM(B726:B732)+SUM(B788:B789)+SUM(B822:B830)</f>
        <v>38259</v>
      </c>
      <c r="C884" s="10">
        <f>+SUM(C71:C84)+SUM(C143:C200)+SUM(C340:C376)+SUM(C526:C531)+SUM(C570:C575)+SUM(C615:C627)+SUM(C690:C693)+SUM(C726:C732)+SUM(C788:C789)+SUM(C822:C830)</f>
        <v>42562</v>
      </c>
      <c r="D884" s="10">
        <f>+SUM(D71:D84)+SUM(D143:D200)+SUM(D340:D376)+SUM(D526:D531)+SUM(D570:D575)+SUM(D615:D627)+SUM(D690:D693)+SUM(D726:D732)+SUM(D788:D789)+SUM(D822:D830)</f>
        <v>47954</v>
      </c>
      <c r="E884" s="38">
        <f t="shared" ref="E884:E890" si="304">SUM(B884:D884)</f>
        <v>128775</v>
      </c>
      <c r="F884" s="10">
        <f>+SUM(F71:F84)+SUM(F143:F200)+SUM(F340:F376)+SUM(F526:F531)+SUM(F570:F575)+SUM(F615:F627)+SUM(F690:F693)+SUM(F726:F732)+SUM(F788:F789)+SUM(F822:F830)</f>
        <v>62445</v>
      </c>
      <c r="G884" s="10">
        <f>+SUM(G71:G84)+SUM(G143:G200)+SUM(G340:G376)+SUM(G526:G531)+SUM(G570:G575)+SUM(G615:G627)+SUM(G690:G693)+SUM(G726:G732)+SUM(G788:G789)+SUM(G822:G830)</f>
        <v>72366</v>
      </c>
      <c r="H884" s="10">
        <f>+SUM(H71:H84)+SUM(H143:H200)+SUM(H340:H376)+SUM(H526:H531)+SUM(H570:H575)+SUM(H615:H627)+SUM(H690:H693)+SUM(H726:H732)+SUM(H788:H789)+SUM(H822:H830)</f>
        <v>86098</v>
      </c>
      <c r="I884" s="38">
        <f t="shared" ref="I884:I890" si="305">SUM(F884:H884)</f>
        <v>220909</v>
      </c>
      <c r="J884" s="10">
        <f>+SUM(J71:J84)+SUM(J143:J200)+SUM(J340:J376)+SUM(J526:J531)+SUM(J570:J575)+SUM(J615:J627)+SUM(J690:J693)+SUM(J726:J732)+SUM(J788:J789)+SUM(J822:J830)</f>
        <v>80514</v>
      </c>
      <c r="K884" s="10">
        <f>+SUM(K71:K84)+SUM(K143:K200)+SUM(K340:K376)+SUM(K526:K531)+SUM(K570:K575)+SUM(K615:K627)+SUM(K690:K693)+SUM(K726:K732)+SUM(K788:K789)+SUM(K822:K830)</f>
        <v>73376</v>
      </c>
      <c r="L884" s="10">
        <f>+SUM(L71:L84)+SUM(L143:L200)+SUM(L340:L376)+SUM(L526:L531)+SUM(L570:L575)+SUM(L615:L627)+SUM(L690:L693)+SUM(L726:L732)+SUM(L788:L789)+SUM(L822:L830)</f>
        <v>57416</v>
      </c>
      <c r="M884" s="38">
        <f t="shared" ref="M884:M890" si="306">SUM(J884:L884)</f>
        <v>211306</v>
      </c>
      <c r="N884" s="10">
        <f>+SUM(N71:N84)+SUM(N143:N200)+SUM(N340:N376)+SUM(N526:N531)+SUM(N570:N575)+SUM(N615:N627)+SUM(N690:N693)+SUM(N726:N732)+SUM(N788:N789)+SUM(N822:N830)</f>
        <v>51882</v>
      </c>
      <c r="O884" s="10">
        <f>+SUM(O71:O84)+SUM(O143:O200)+SUM(O340:O376)+SUM(O526:O531)+SUM(O570:O575)+SUM(O615:O627)+SUM(O690:O693)+SUM(O726:O732)+SUM(O788:O789)+SUM(O822:O830)</f>
        <v>35097</v>
      </c>
      <c r="P884" s="10">
        <f>+SUM(P71:P84)+SUM(P143:P200)+SUM(P340:P376)+SUM(P526:P531)+SUM(P570:P575)+SUM(P615:P627)+SUM(P690:P693)+SUM(P726:P732)+SUM(P788:P789)+SUM(P822:P830)</f>
        <v>27298</v>
      </c>
      <c r="Q884" s="38">
        <f t="shared" ref="Q884:Q890" si="307">SUM(N884:P884)</f>
        <v>114277</v>
      </c>
      <c r="R884" s="38">
        <f t="shared" ref="R884:R890" si="308">+E884+I884+M884+Q884</f>
        <v>675267</v>
      </c>
    </row>
    <row r="885" spans="1:20" ht="15.75" customHeight="1" x14ac:dyDescent="0.3">
      <c r="A885" s="234" t="s">
        <v>2642</v>
      </c>
      <c r="B885" s="10">
        <f>+B38+SUM(B85:B86)+SUM(B202:B211)+SUM(B378:B388)+SUM(B533:B534)+B576+SUM(B628:B629)+B694+B733+B790+SUM(B831:B831)</f>
        <v>0</v>
      </c>
      <c r="C885" s="10">
        <f>+C38+SUM(C85:C86)+SUM(C202:C211)+SUM(C378:C388)+SUM(C533:C534)+C576+SUM(C628:C629)+C694+C733+C790+SUM(C831:C831)</f>
        <v>0</v>
      </c>
      <c r="D885" s="10">
        <f>+D38+SUM(D85:D86)+SUM(D202:D211)+SUM(D378:D388)+SUM(D533:D534)+D576+SUM(D628:D629)+D694+D733+D790+SUM(D831:D831)</f>
        <v>0</v>
      </c>
      <c r="E885" s="38">
        <f t="shared" si="304"/>
        <v>0</v>
      </c>
      <c r="F885" s="10">
        <f>+F38+SUM(F85:F86)+SUM(F202:F211)+SUM(F378:F388)+SUM(F533:F534)+F576+SUM(F628:F629)+F694+F733+F790+SUM(F831:F831)</f>
        <v>0</v>
      </c>
      <c r="G885" s="10">
        <f>+G38+SUM(G85:G86)+SUM(G202:G211)+SUM(G378:G388)+SUM(G533:G534)+G576+SUM(G628:G629)+G694+G733+G790+SUM(G831:G831)</f>
        <v>0</v>
      </c>
      <c r="H885" s="10">
        <f>+H38+SUM(H85:H86)+SUM(H202:H211)+SUM(H378:H388)+SUM(H533:H534)+H576+SUM(H628:H629)+H694+H733+H790+SUM(H831:H831)</f>
        <v>0</v>
      </c>
      <c r="I885" s="38">
        <f t="shared" si="305"/>
        <v>0</v>
      </c>
      <c r="J885" s="10">
        <f>+J38+SUM(J85:J86)+SUM(J202:J211)+SUM(J378:J388)+SUM(J533:J534)+J576+SUM(J628:J629)+J694+J733+J790+SUM(J831:J831)</f>
        <v>0</v>
      </c>
      <c r="K885" s="10">
        <f>+K38+SUM(K85:K86)+SUM(K202:K211)+SUM(K378:K388)+SUM(K533:K534)+K576+SUM(K628:K629)+K694+K733+K790+SUM(K831:K831)</f>
        <v>0</v>
      </c>
      <c r="L885" s="10">
        <f>+L38+SUM(L85:L86)+SUM(L202:L211)+SUM(L378:L388)+SUM(L533:L534)+L576+SUM(L628:L629)+L694+L733+L790+SUM(L831:L831)</f>
        <v>0</v>
      </c>
      <c r="M885" s="38">
        <f t="shared" si="306"/>
        <v>0</v>
      </c>
      <c r="N885" s="10">
        <f>+N38+SUM(N85:N86)+SUM(N202:N211)+SUM(N378:N388)+SUM(N533:N534)+N576+SUM(N628:N629)+N694+N733+N790+SUM(N831:N831)</f>
        <v>0</v>
      </c>
      <c r="O885" s="10">
        <f>+O38+SUM(O85:O86)+SUM(O202:O211)+SUM(O378:O388)+SUM(O533:O534)+O576+SUM(O628:O629)+O694+O733+O790+SUM(O831:O831)</f>
        <v>0</v>
      </c>
      <c r="P885" s="10">
        <f>+P38+SUM(P85:P86)+SUM(P202:P211)+SUM(P378:P388)+SUM(P533:P534)+P576+SUM(P628:P629)+P694+P733+P790+SUM(P831:P831)</f>
        <v>0</v>
      </c>
      <c r="Q885" s="38">
        <f t="shared" si="307"/>
        <v>0</v>
      </c>
      <c r="R885" s="38">
        <f t="shared" si="308"/>
        <v>0</v>
      </c>
    </row>
    <row r="886" spans="1:20" ht="15.75" customHeight="1" x14ac:dyDescent="0.3">
      <c r="A886" s="545" t="s">
        <v>2647</v>
      </c>
      <c r="B886" s="10">
        <f>+SUM(B87:B89)+SUM(B212:B215)+SUM(B389:B393)+B535+B577+SUM(B630:B631)+B695+B734+B791+SUM(B832:B833)</f>
        <v>0</v>
      </c>
      <c r="C886" s="10">
        <f>+SUM(C87:C89)+SUM(C212:C215)+SUM(C389:C393)+C535+C577+SUM(C630:C631)+C695+C734+C791+SUM(C832:C833)</f>
        <v>0</v>
      </c>
      <c r="D886" s="10">
        <f>+SUM(D87:D89)+SUM(D212:D215)+SUM(D389:D393)+D535+D577+SUM(D630:D631)+D695+D734+D791+SUM(D832:D833)</f>
        <v>0</v>
      </c>
      <c r="E886" s="38">
        <f t="shared" si="304"/>
        <v>0</v>
      </c>
      <c r="F886" s="10">
        <f>+SUM(F87:F89)+SUM(F212:F215)+SUM(F389:F393)+F535+F577+SUM(F630:F631)+F695+F734+F791+SUM(F832:F833)</f>
        <v>0</v>
      </c>
      <c r="G886" s="10">
        <f>+SUM(G87:G89)+SUM(G212:G215)+SUM(G389:G393)+G535+G577+SUM(G630:G631)+G695+G734+G791+SUM(G832:G833)</f>
        <v>0</v>
      </c>
      <c r="H886" s="10">
        <f>+SUM(H87:H89)+SUM(H212:H215)+SUM(H389:H393)+H535+H577+SUM(H630:H631)+H695+H734+H791+SUM(H832:H833)</f>
        <v>0</v>
      </c>
      <c r="I886" s="38">
        <f t="shared" si="305"/>
        <v>0</v>
      </c>
      <c r="J886" s="10">
        <f>+SUM(J87:J89)+SUM(J212:J215)+SUM(J389:J393)+J535+J577+SUM(J630:J631)+J695+J734+J791+SUM(J832:J833)</f>
        <v>0</v>
      </c>
      <c r="K886" s="10">
        <f>+SUM(K87:K89)+SUM(K212:K215)+SUM(K389:K393)+K535+K577+SUM(K630:K631)+K695+K734+K791+SUM(K832:K833)</f>
        <v>0</v>
      </c>
      <c r="L886" s="10">
        <f>+SUM(L87:L89)+SUM(L212:L215)+SUM(L389:L393)+L535+L577+SUM(L630:L631)+L695+L734+L791+SUM(L832:L833)</f>
        <v>0</v>
      </c>
      <c r="M886" s="38">
        <f t="shared" si="306"/>
        <v>0</v>
      </c>
      <c r="N886" s="10">
        <f>+SUM(N87:N89)+SUM(N212:N215)+SUM(N389:N393)+N535+N577+SUM(N630:N631)+N695+N734+N791+SUM(N832:N833)</f>
        <v>0</v>
      </c>
      <c r="O886" s="10">
        <f>+SUM(O87:O89)+SUM(O212:O215)+SUM(O389:O393)+O535+O577+SUM(O630:O631)+O695+O734+O791+SUM(O832:O833)</f>
        <v>0</v>
      </c>
      <c r="P886" s="10">
        <f>+SUM(P87:P89)+SUM(P212:P215)+SUM(P389:P393)+P535+P577+SUM(P630:P631)+P695+P734+P791+SUM(P832:P833)</f>
        <v>0</v>
      </c>
      <c r="Q886" s="38">
        <f t="shared" si="307"/>
        <v>0</v>
      </c>
      <c r="R886" s="38">
        <f>+E886+I886+M886+Q886</f>
        <v>0</v>
      </c>
    </row>
    <row r="887" spans="1:20" ht="15.75" customHeight="1" x14ac:dyDescent="0.3">
      <c r="A887" s="234" t="s">
        <v>2958</v>
      </c>
      <c r="B887" s="10">
        <f>+B317+B507+B508</f>
        <v>0</v>
      </c>
      <c r="C887" s="10">
        <f>+C317+C507+C508</f>
        <v>0</v>
      </c>
      <c r="D887" s="10">
        <f>+D317+D507+D508</f>
        <v>0</v>
      </c>
      <c r="E887" s="38">
        <f t="shared" si="304"/>
        <v>0</v>
      </c>
      <c r="F887" s="10">
        <f>+F317+F507+F508</f>
        <v>0</v>
      </c>
      <c r="G887" s="10">
        <f>+G317+G507+G508</f>
        <v>0</v>
      </c>
      <c r="H887" s="10">
        <f>+H317+H507+H508</f>
        <v>0</v>
      </c>
      <c r="I887" s="38">
        <f t="shared" si="305"/>
        <v>0</v>
      </c>
      <c r="J887" s="10">
        <f>+J317+J507+J508</f>
        <v>0</v>
      </c>
      <c r="K887" s="10">
        <f>+K317+K507+K508</f>
        <v>0</v>
      </c>
      <c r="L887" s="10">
        <f>+L317+L507+L508</f>
        <v>0</v>
      </c>
      <c r="M887" s="38">
        <f t="shared" si="306"/>
        <v>0</v>
      </c>
      <c r="N887" s="10">
        <f>+N317+N507+N508</f>
        <v>0</v>
      </c>
      <c r="O887" s="10">
        <f>+O317+O507+O508</f>
        <v>0</v>
      </c>
      <c r="P887" s="10">
        <f>+P317+P507+P508</f>
        <v>0</v>
      </c>
      <c r="Q887" s="38">
        <f t="shared" si="307"/>
        <v>0</v>
      </c>
      <c r="R887" s="38">
        <f t="shared" si="308"/>
        <v>0</v>
      </c>
    </row>
    <row r="888" spans="1:20" ht="15.75" customHeight="1" x14ac:dyDescent="0.3">
      <c r="A888" s="545" t="s">
        <v>2163</v>
      </c>
      <c r="B888" s="10">
        <f>+B318</f>
        <v>42</v>
      </c>
      <c r="C888" s="10">
        <f>+C318</f>
        <v>43</v>
      </c>
      <c r="D888" s="10">
        <f>+D318</f>
        <v>47</v>
      </c>
      <c r="E888" s="38">
        <f>SUM(B888:D888)</f>
        <v>132</v>
      </c>
      <c r="F888" s="10">
        <f>+F318</f>
        <v>52</v>
      </c>
      <c r="G888" s="10">
        <f>+G318</f>
        <v>52</v>
      </c>
      <c r="H888" s="10">
        <f>+H318</f>
        <v>57</v>
      </c>
      <c r="I888" s="38">
        <f>SUM(F888:H888)</f>
        <v>161</v>
      </c>
      <c r="J888" s="10">
        <f>+J318</f>
        <v>62</v>
      </c>
      <c r="K888" s="10">
        <f>+K318</f>
        <v>62</v>
      </c>
      <c r="L888" s="10">
        <f>+L318</f>
        <v>62</v>
      </c>
      <c r="M888" s="38">
        <f>SUM(J888:L888)</f>
        <v>186</v>
      </c>
      <c r="N888" s="10">
        <f>+N318</f>
        <v>57</v>
      </c>
      <c r="O888" s="10">
        <f>+O318</f>
        <v>42</v>
      </c>
      <c r="P888" s="10">
        <f>+P318</f>
        <v>47</v>
      </c>
      <c r="Q888" s="38">
        <f t="shared" si="307"/>
        <v>146</v>
      </c>
      <c r="R888" s="38">
        <f>+E888+I888+M888+Q888</f>
        <v>625</v>
      </c>
    </row>
    <row r="889" spans="1:20" ht="15.75" customHeight="1" thickBot="1" x14ac:dyDescent="0.35">
      <c r="A889" s="234" t="s">
        <v>2164</v>
      </c>
      <c r="B889" s="10">
        <f>+B90+B536+B578+B632+B696+B735+B792+B834</f>
        <v>0</v>
      </c>
      <c r="C889" s="10">
        <f>+C90+C536+C578+C632+C696+C735+C792+C834</f>
        <v>0</v>
      </c>
      <c r="D889" s="10">
        <f>+D90+D536+D578+D632+D696+D735+D792+D834</f>
        <v>0</v>
      </c>
      <c r="E889" s="38">
        <f t="shared" si="304"/>
        <v>0</v>
      </c>
      <c r="F889" s="10">
        <f>+F90+F536+F578+F632+F696+F735+F792+F834</f>
        <v>0</v>
      </c>
      <c r="G889" s="10">
        <f>+G90+G536+G578+G632+G696+G735+G792+G834</f>
        <v>0</v>
      </c>
      <c r="H889" s="10">
        <f>+H90+H536+H578+H632+H696+H735+H792+H834</f>
        <v>0</v>
      </c>
      <c r="I889" s="38">
        <f t="shared" si="305"/>
        <v>0</v>
      </c>
      <c r="J889" s="10">
        <f>+J90+J536+J578+J632+J696+J735+J792+J834</f>
        <v>0</v>
      </c>
      <c r="K889" s="10">
        <f>+K90+K536+K578+K632+K696+K735+K792+K834</f>
        <v>0</v>
      </c>
      <c r="L889" s="10">
        <f>+L90+L536+L578+L632+L696+L735+L792+L834</f>
        <v>0</v>
      </c>
      <c r="M889" s="38">
        <f t="shared" si="306"/>
        <v>0</v>
      </c>
      <c r="N889" s="10">
        <f>+N90+N536+N578+N632+N696+N735+N792+N834</f>
        <v>0</v>
      </c>
      <c r="O889" s="10">
        <f>+O90+O536+O578+O632+O696+O735+O792+O834</f>
        <v>0</v>
      </c>
      <c r="P889" s="10">
        <f>+P90+P536+P578+P632+P696+P735+P792+P834</f>
        <v>0</v>
      </c>
      <c r="Q889" s="38">
        <f t="shared" si="307"/>
        <v>0</v>
      </c>
      <c r="R889" s="38">
        <f t="shared" si="308"/>
        <v>0</v>
      </c>
    </row>
    <row r="890" spans="1:20" ht="16.5" customHeight="1" thickBot="1" x14ac:dyDescent="0.35">
      <c r="A890" s="43" t="s">
        <v>1218</v>
      </c>
      <c r="B890" s="45">
        <f>SUM(B883:B889)</f>
        <v>38301</v>
      </c>
      <c r="C890" s="46">
        <f>SUM(C883:C889)</f>
        <v>42605</v>
      </c>
      <c r="D890" s="46">
        <f>SUM(D883:D889)</f>
        <v>48001</v>
      </c>
      <c r="E890" s="37">
        <f t="shared" si="304"/>
        <v>128907</v>
      </c>
      <c r="F890" s="46">
        <f>SUM(F883:F889)</f>
        <v>62497</v>
      </c>
      <c r="G890" s="46">
        <f>SUM(G883:G889)</f>
        <v>72418</v>
      </c>
      <c r="H890" s="46">
        <f>SUM(H883:H889)</f>
        <v>86155</v>
      </c>
      <c r="I890" s="37">
        <f t="shared" si="305"/>
        <v>221070</v>
      </c>
      <c r="J890" s="46">
        <f>SUM(J883:J889)</f>
        <v>80576</v>
      </c>
      <c r="K890" s="46">
        <f>SUM(K883:K889)</f>
        <v>73438</v>
      </c>
      <c r="L890" s="46">
        <f>SUM(L883:L889)</f>
        <v>57478</v>
      </c>
      <c r="M890" s="37">
        <f t="shared" si="306"/>
        <v>211492</v>
      </c>
      <c r="N890" s="46">
        <f>SUM(N883:N889)</f>
        <v>51939</v>
      </c>
      <c r="O890" s="46">
        <f>SUM(O883:O889)</f>
        <v>35139</v>
      </c>
      <c r="P890" s="46">
        <f>SUM(P883:P889)</f>
        <v>27345</v>
      </c>
      <c r="Q890" s="37">
        <f t="shared" si="307"/>
        <v>114423</v>
      </c>
      <c r="R890" s="37">
        <f t="shared" si="308"/>
        <v>675892</v>
      </c>
      <c r="T890">
        <f>+R890-R887-R886</f>
        <v>675892</v>
      </c>
    </row>
    <row r="891" spans="1:20" ht="15.75" customHeight="1" x14ac:dyDescent="0.3">
      <c r="A891" s="234" t="s">
        <v>1172</v>
      </c>
      <c r="B891" s="10"/>
      <c r="C891" s="10"/>
      <c r="D891" s="10"/>
      <c r="E891" s="38" t="s">
        <v>852</v>
      </c>
      <c r="F891" s="10"/>
      <c r="G891" s="10"/>
      <c r="H891" s="10"/>
      <c r="I891" s="38" t="s">
        <v>852</v>
      </c>
      <c r="J891" s="10"/>
      <c r="K891" s="10"/>
      <c r="L891" s="10"/>
      <c r="M891" s="38" t="s">
        <v>852</v>
      </c>
      <c r="N891" s="10"/>
      <c r="O891" s="10"/>
      <c r="P891" s="10"/>
      <c r="Q891" s="38" t="s">
        <v>852</v>
      </c>
      <c r="R891" s="38" t="s">
        <v>852</v>
      </c>
    </row>
    <row r="892" spans="1:20" ht="15.75" customHeight="1" x14ac:dyDescent="0.3">
      <c r="A892" s="234" t="s">
        <v>1658</v>
      </c>
      <c r="B892" s="10">
        <f>SUM(B43:B43)+SUM(B219:B219)+SUM(B93:B93)+SUM(B397:B397)</f>
        <v>0</v>
      </c>
      <c r="C892" s="10">
        <f>SUM(C43:C43)+SUM(C219:C219)+SUM(C93:C93)+SUM(C397:C397)</f>
        <v>0</v>
      </c>
      <c r="D892" s="10">
        <f>SUM(D43:D43)+SUM(D219:D219)+SUM(D93:D93)+SUM(D397:D397)</f>
        <v>0</v>
      </c>
      <c r="E892" s="38">
        <f>SUM(B892:D892)</f>
        <v>0</v>
      </c>
      <c r="F892" s="10">
        <f>SUM(F43:F43)+SUM(F219:F219)+SUM(F93:F93)+SUM(F397:F397)</f>
        <v>0</v>
      </c>
      <c r="G892" s="10">
        <f>SUM(G43:G43)+SUM(G219:G219)+SUM(G93:G93)+SUM(G397:G397)</f>
        <v>0</v>
      </c>
      <c r="H892" s="10">
        <f>SUM(H43:H43)+SUM(H219:H219)+SUM(H93:H93)+SUM(H397:H397)</f>
        <v>0</v>
      </c>
      <c r="I892" s="38">
        <f>SUM(F892:H892)</f>
        <v>0</v>
      </c>
      <c r="J892" s="10">
        <f>SUM(J43:J43)+SUM(J219:J219)+SUM(J93:J93)+SUM(J397:J397)</f>
        <v>0</v>
      </c>
      <c r="K892" s="10">
        <f>SUM(K43:K43)+SUM(K219:K219)+SUM(K93:K93)+SUM(K397:K397)</f>
        <v>0</v>
      </c>
      <c r="L892" s="10">
        <f>SUM(L43:L43)+SUM(L219:L219)+SUM(L93:L93)+SUM(L397:L397)</f>
        <v>0</v>
      </c>
      <c r="M892" s="38">
        <f>SUM(J892:L892)</f>
        <v>0</v>
      </c>
      <c r="N892" s="10">
        <f>SUM(N43:N43)+SUM(N219:N219)+SUM(N93:N93)+SUM(N397:N397)</f>
        <v>0</v>
      </c>
      <c r="O892" s="10">
        <f>SUM(O43:O43)+SUM(O219:O219)+SUM(O93:O93)+SUM(O397:O397)</f>
        <v>0</v>
      </c>
      <c r="P892" s="10">
        <f>SUM(P43:P43)+SUM(P219:P219)+SUM(P93:P93)+SUM(P397:P397)</f>
        <v>0</v>
      </c>
      <c r="Q892" s="38">
        <f>SUM(N892:P892)</f>
        <v>0</v>
      </c>
      <c r="R892" s="38">
        <f>+E892+I892+M892+Q892</f>
        <v>0</v>
      </c>
    </row>
    <row r="893" spans="1:20" ht="15.75" customHeight="1" x14ac:dyDescent="0.3">
      <c r="A893" s="545" t="s">
        <v>2409</v>
      </c>
      <c r="B893" s="10">
        <f>+SUM(B95:B96)+SUM(B220:B222)+SUM(B398:B407)+B540+SUM(B581:B583)+SUM(B635:B637)+SUM(B699:B699)+B738+B795+SUM(B837:B838)</f>
        <v>1871</v>
      </c>
      <c r="C893" s="10">
        <f>+SUM(C95:C96)+SUM(C220:C222)+SUM(C398:C407)+C540+SUM(C581:C583)+SUM(C635:C637)+SUM(C699:C699)+C738+C795+SUM(C837:C838)</f>
        <v>4150</v>
      </c>
      <c r="D893" s="10">
        <f>+SUM(D95:D96)+SUM(D220:D222)+SUM(D398:D407)+D540+SUM(D581:D583)+SUM(D635:D637)+SUM(D699:D699)+D738+D795+SUM(D837:D838)</f>
        <v>15196</v>
      </c>
      <c r="E893" s="38">
        <f>SUM(B893:D893)</f>
        <v>21217</v>
      </c>
      <c r="F893" s="10">
        <f>+SUM(F95:F96)+SUM(F220:F222)+SUM(F398:F407)+F540+SUM(F581:F583)+SUM(F635:F637)+SUM(F699:F699)+F738+F795+SUM(F837:F838)</f>
        <v>31994</v>
      </c>
      <c r="G893" s="10">
        <f>+SUM(G95:G96)+SUM(G220:G222)+SUM(G398:G407)+G540+SUM(G581:G583)+SUM(G635:G637)+SUM(G699:G699)+G738+G795+SUM(G837:G838)</f>
        <v>29116</v>
      </c>
      <c r="H893" s="10">
        <f>+SUM(H95:H96)+SUM(H220:H222)+SUM(H398:H407)+H540+SUM(H581:H583)+SUM(H635:H637)+SUM(H699:H699)+H738+H795+SUM(H837:H838)</f>
        <v>37416</v>
      </c>
      <c r="I893" s="38">
        <f>SUM(F893:H893)</f>
        <v>98526</v>
      </c>
      <c r="J893" s="10">
        <f>+SUM(J95:J96)+SUM(J220:J222)+SUM(J398:J407)+J540+SUM(J581:J583)+SUM(J635:J637)+SUM(J699:J699)+J738+J795+SUM(J837:J838)</f>
        <v>26402</v>
      </c>
      <c r="K893" s="10">
        <f>+SUM(K95:K96)+SUM(K220:K222)+SUM(K398:K407)+K540+SUM(K581:K583)+SUM(K635:K637)+SUM(K699:K699)+K738+K795+SUM(K837:K838)</f>
        <v>23324</v>
      </c>
      <c r="L893" s="10">
        <f>+SUM(L95:L96)+SUM(L220:L222)+SUM(L398:L407)+L540+SUM(L581:L583)+SUM(L635:L637)+SUM(L699:L699)+L738+L795+SUM(L837:L838)</f>
        <v>8430</v>
      </c>
      <c r="M893" s="38">
        <f>SUM(J893:L893)</f>
        <v>58156</v>
      </c>
      <c r="N893" s="10">
        <f>+SUM(N95:N96)+SUM(N220:N222)+SUM(N398:N407)+N540+SUM(N581:N583)+SUM(N635:N637)+SUM(N699:N699)+N738+N795+SUM(N837:N838)</f>
        <v>7373</v>
      </c>
      <c r="O893" s="10">
        <f>+SUM(O95:O96)+SUM(O220:O222)+SUM(O398:O407)+O540+SUM(O581:O583)+SUM(O635:O637)+SUM(O699:O699)+O738+O795+SUM(O837:O838)</f>
        <v>4995</v>
      </c>
      <c r="P893" s="10">
        <f>+SUM(P95:P96)+SUM(P220:P222)+SUM(P398:P407)+P540+SUM(P581:P583)+SUM(P635:P637)+SUM(P699:P699)+P738+P795+SUM(P837:P838)</f>
        <v>5182</v>
      </c>
      <c r="Q893" s="38">
        <f>SUM(N893:P893)</f>
        <v>17550</v>
      </c>
      <c r="R893" s="38">
        <f>+E893+I893+M893+Q893</f>
        <v>195449</v>
      </c>
    </row>
    <row r="894" spans="1:20" ht="15.75" customHeight="1" thickBot="1" x14ac:dyDescent="0.35">
      <c r="A894" s="234" t="s">
        <v>2165</v>
      </c>
      <c r="B894" s="10">
        <f>+B97+B541+B584+B638+B700+B739+B796+B839+B408+B223+B45</f>
        <v>0</v>
      </c>
      <c r="C894" s="10">
        <f>+C97+C541+C584+C638+C700+C739+C796+C839+C408+C223+C45</f>
        <v>0</v>
      </c>
      <c r="D894" s="10">
        <f>+D97+D541+D584+D638+D700+D739+D796+D839+D408+D223+D45</f>
        <v>0</v>
      </c>
      <c r="E894" s="38">
        <f>SUM(B894:D894)</f>
        <v>0</v>
      </c>
      <c r="F894" s="10">
        <f>+F97+F541+F584+F638+F700+F739+F796+F839+F408+F223+F45</f>
        <v>0</v>
      </c>
      <c r="G894" s="10">
        <f>+G97+G541+G584+G638+G700+G739+G796+G839+G408+G223+G45</f>
        <v>0</v>
      </c>
      <c r="H894" s="10">
        <f>+H97+H541+H584+H638+H700+H739+H796+H839+H408+H223+H45</f>
        <v>0</v>
      </c>
      <c r="I894" s="38">
        <f>SUM(F894:H894)</f>
        <v>0</v>
      </c>
      <c r="J894" s="10">
        <f>+J97+J541+J584+J638+J700+J739+J796+J839+J408+J223+J45</f>
        <v>0</v>
      </c>
      <c r="K894" s="10">
        <f>+K97+K541+K584+K638+K700+K739+K796+K839+K408+K223+K45</f>
        <v>0</v>
      </c>
      <c r="L894" s="10">
        <f>+L97+L541+L584+L638+L700+L739+L796+L839+L408+L223+L45</f>
        <v>0</v>
      </c>
      <c r="M894" s="38">
        <f>SUM(J894:L894)</f>
        <v>0</v>
      </c>
      <c r="N894" s="10">
        <f>+N97+N541+N584+N638+N700+N739+N796+N839+N408+N223+N45</f>
        <v>0</v>
      </c>
      <c r="O894" s="10">
        <f>+O97+O541+O584+O638+O700+O739+O796+O839+O408+O223+O45</f>
        <v>0</v>
      </c>
      <c r="P894" s="10">
        <f>+P97+P541+P584+P638+P700+P739+P796+P839+P408+P223+P45</f>
        <v>0</v>
      </c>
      <c r="Q894" s="38">
        <f>SUM(N894:P894)</f>
        <v>0</v>
      </c>
      <c r="R894" s="38">
        <f>+E894+I894+M894+Q894</f>
        <v>0</v>
      </c>
    </row>
    <row r="895" spans="1:20" ht="16.5" customHeight="1" thickBot="1" x14ac:dyDescent="0.35">
      <c r="A895" s="43" t="s">
        <v>1219</v>
      </c>
      <c r="B895" s="45">
        <f>SUM(B891:B894)</f>
        <v>1871</v>
      </c>
      <c r="C895" s="46">
        <f>SUM(C891:C894)</f>
        <v>4150</v>
      </c>
      <c r="D895" s="46">
        <f>SUM(D891:D894)</f>
        <v>15196</v>
      </c>
      <c r="E895" s="37">
        <f>SUM(B895:D895)</f>
        <v>21217</v>
      </c>
      <c r="F895" s="46">
        <f>SUM(F891:F894)</f>
        <v>31994</v>
      </c>
      <c r="G895" s="46">
        <f>SUM(G891:G894)</f>
        <v>29116</v>
      </c>
      <c r="H895" s="46">
        <f>SUM(H891:H894)</f>
        <v>37416</v>
      </c>
      <c r="I895" s="37">
        <f>SUM(F895:H895)</f>
        <v>98526</v>
      </c>
      <c r="J895" s="46">
        <f>SUM(J891:J894)</f>
        <v>26402</v>
      </c>
      <c r="K895" s="46">
        <f>SUM(K891:K894)</f>
        <v>23324</v>
      </c>
      <c r="L895" s="46">
        <f>SUM(L891:L894)</f>
        <v>8430</v>
      </c>
      <c r="M895" s="37">
        <f>SUM(J895:L895)</f>
        <v>58156</v>
      </c>
      <c r="N895" s="46">
        <f>SUM(N891:N894)</f>
        <v>7373</v>
      </c>
      <c r="O895" s="46">
        <f>SUM(O891:O894)</f>
        <v>4995</v>
      </c>
      <c r="P895" s="46">
        <f>SUM(P891:P894)</f>
        <v>5182</v>
      </c>
      <c r="Q895" s="37">
        <f>SUM(N895:P895)</f>
        <v>17550</v>
      </c>
      <c r="R895" s="37">
        <f>+E895+I895+M895+Q895</f>
        <v>195449</v>
      </c>
    </row>
    <row r="896" spans="1:20" ht="15.75" customHeight="1" x14ac:dyDescent="0.3">
      <c r="A896" s="234" t="s">
        <v>2166</v>
      </c>
      <c r="B896" s="10"/>
      <c r="C896" s="10"/>
      <c r="D896" s="10"/>
      <c r="E896" s="38" t="s">
        <v>852</v>
      </c>
      <c r="F896" s="10"/>
      <c r="G896" s="10"/>
      <c r="H896" s="10"/>
      <c r="I896" s="38" t="s">
        <v>852</v>
      </c>
      <c r="J896" s="10"/>
      <c r="K896" s="10"/>
      <c r="L896" s="10"/>
      <c r="M896" s="38" t="s">
        <v>852</v>
      </c>
      <c r="N896" s="10"/>
      <c r="O896" s="10"/>
      <c r="P896" s="10"/>
      <c r="Q896" s="38" t="s">
        <v>852</v>
      </c>
      <c r="R896" s="38" t="s">
        <v>852</v>
      </c>
    </row>
    <row r="897" spans="1:20" ht="15.75" customHeight="1" x14ac:dyDescent="0.3">
      <c r="A897" s="545" t="s">
        <v>1245</v>
      </c>
      <c r="B897" s="10">
        <f>+B48+B100+B226+SUM(B411:B415)+B544+B587+B641+B703+SUM(B742:B743)+B799+SUM(B842:B844)</f>
        <v>12188</v>
      </c>
      <c r="C897" s="10">
        <f>+C48+C100+C226+SUM(C411:C415)+C544+C587+C641+C703+SUM(C742:C743)+C799+SUM(C842:C844)</f>
        <v>13081</v>
      </c>
      <c r="D897" s="10">
        <f>+D48+D100+D226+SUM(D411:D415)+D544+D587+D641+D703+SUM(D742:D743)+D799+SUM(D842:D844)</f>
        <v>20207</v>
      </c>
      <c r="E897" s="38">
        <f>SUM(B897:D897)</f>
        <v>45476</v>
      </c>
      <c r="F897" s="10">
        <f>+F48+F100+F226+SUM(F411:F415)+F544+F587+F641+F703+SUM(F742:F743)+F799+SUM(F842:F844)</f>
        <v>21840</v>
      </c>
      <c r="G897" s="10">
        <f>+G48+G100+G226+SUM(G411:G415)+G544+G587+G641+G703+SUM(G742:G743)+G799+SUM(G842:G844)</f>
        <v>25309</v>
      </c>
      <c r="H897" s="10">
        <f>+H48+H100+H226+SUM(H411:H415)+H544+H587+H641+H703+SUM(H742:H743)+H799+SUM(H842:H844)</f>
        <v>28505</v>
      </c>
      <c r="I897" s="38">
        <f>SUM(F897:H897)</f>
        <v>75654</v>
      </c>
      <c r="J897" s="10">
        <f>+J48+J100+J226+SUM(J411:J415)+J544+J587+J641+J703+SUM(J742:J743)+J799+SUM(J842:J844)</f>
        <v>28404</v>
      </c>
      <c r="K897" s="10">
        <f>+K48+K100+K226+SUM(K411:K415)+K544+K587+K641+K703+SUM(K742:K743)+K799+SUM(K842:K844)</f>
        <v>27304</v>
      </c>
      <c r="L897" s="10">
        <f>+L48+L100+L226+SUM(L411:L415)+L544+L587+L641+L703+SUM(L742:L743)+L799+SUM(L842:L844)</f>
        <v>22131</v>
      </c>
      <c r="M897" s="38">
        <f>SUM(J897:L897)</f>
        <v>77839</v>
      </c>
      <c r="N897" s="10">
        <f>+N48+N100+N226+SUM(N411:N415)+N544+N587+N641+N703+SUM(N742:N743)+N799+SUM(N842:N844)</f>
        <v>19158</v>
      </c>
      <c r="O897" s="10">
        <f>+O48+O100+O226+SUM(O411:O415)+O544+O587+O641+O703+SUM(O742:O743)+O799+SUM(O842:O844)</f>
        <v>17903</v>
      </c>
      <c r="P897" s="10">
        <f>+P48+P100+P226+SUM(P411:P415)+P544+P587+P641+P703+SUM(P742:P743)+P799+SUM(P842:P844)</f>
        <v>9970</v>
      </c>
      <c r="Q897" s="38">
        <f>SUM(N897:P897)</f>
        <v>47031</v>
      </c>
      <c r="R897" s="38">
        <f>+E897+I897+M897+Q897</f>
        <v>246000</v>
      </c>
    </row>
    <row r="898" spans="1:20" ht="15.75" customHeight="1" thickBot="1" x14ac:dyDescent="0.35">
      <c r="A898" s="545" t="s">
        <v>1711</v>
      </c>
      <c r="B898" s="10">
        <f>+B49+SUM(B101:B109)+SUM(B227:B292)+SUM(B416:B478)+SUM(B545:B547)+SUM(B588:B589)+SUM(B642:B648)+B704+SUM(B744:B753)+B800+SUM(B845:B850)</f>
        <v>20441</v>
      </c>
      <c r="C898" s="10">
        <f>+C49+SUM(C101:C109)+SUM(C227:C292)+SUM(C416:C478)+SUM(C545:C547)+SUM(C588:C589)+SUM(C642:C648)+C704+SUM(C744:C753)+C800+SUM(C845:C850)</f>
        <v>24585</v>
      </c>
      <c r="D898" s="10">
        <f>+D49+SUM(D101:D109)+SUM(D227:D292)+SUM(D416:D478)+SUM(D545:D547)+SUM(D588:D589)+SUM(D642:D648)+D704+SUM(D744:D753)+D800+SUM(D845:D850)</f>
        <v>34192</v>
      </c>
      <c r="E898" s="38">
        <f>SUM(B898:D898)</f>
        <v>79218</v>
      </c>
      <c r="F898" s="10">
        <f>+F49+SUM(F101:F109)+SUM(F227:F292)+SUM(F416:F478)+SUM(F545:F547)+SUM(F588:F589)+SUM(F642:F648)+F704+SUM(F744:F753)+F800+SUM(F845:F850)</f>
        <v>35424</v>
      </c>
      <c r="G898" s="10">
        <f>+G49+SUM(G101:G109)+SUM(G227:G292)+SUM(G416:G478)+SUM(G545:G547)+SUM(G588:G589)+SUM(G642:G648)+G704+SUM(G744:G753)+G800+SUM(G845:G850)</f>
        <v>37971</v>
      </c>
      <c r="H898" s="10">
        <f>+H49+SUM(H101:H109)+SUM(H227:H292)+SUM(H416:H478)+SUM(H545:H547)+SUM(H588:H589)+SUM(H642:H648)+H704+SUM(H744:H753)+H800+SUM(H845:H850)</f>
        <v>51454</v>
      </c>
      <c r="I898" s="38">
        <f>SUM(F898:H898)</f>
        <v>124849</v>
      </c>
      <c r="J898" s="10">
        <f>+J49+SUM(J101:J109)+SUM(J227:J292)+SUM(J416:J478)+SUM(J545:J547)+SUM(J588:J589)+SUM(J642:J648)+J704+SUM(J744:J753)+J800+SUM(J845:J850)</f>
        <v>33408</v>
      </c>
      <c r="K898" s="10">
        <f>+K49+SUM(K101:K109)+SUM(K227:K292)+SUM(K416:K478)+SUM(K545:K547)+SUM(K588:K589)+SUM(K642:K648)+K704+SUM(K744:K753)+K800+SUM(K845:K850)</f>
        <v>30111</v>
      </c>
      <c r="L898" s="10">
        <f>+L49+SUM(L101:L109)+SUM(L227:L292)+SUM(L416:L478)+SUM(L545:L547)+SUM(L588:L589)+SUM(L642:L648)+L704+SUM(L744:L753)+L800+SUM(L845:L850)</f>
        <v>28886</v>
      </c>
      <c r="M898" s="38">
        <f>SUM(J898:L898)</f>
        <v>92405</v>
      </c>
      <c r="N898" s="10">
        <f>+N49+SUM(N101:N109)+SUM(N227:N292)+SUM(N416:N478)+SUM(N545:N547)+SUM(N588:N589)+SUM(N642:N648)+N704+SUM(N744:N753)+N800+SUM(N845:N850)</f>
        <v>17009</v>
      </c>
      <c r="O898" s="10">
        <f>+O49+SUM(O101:O109)+SUM(O227:O292)+SUM(O416:O478)+SUM(O545:O547)+SUM(O588:O589)+SUM(O642:O648)+O704+SUM(O744:O753)+O800+SUM(O845:O850)</f>
        <v>13205</v>
      </c>
      <c r="P898" s="10">
        <f>+P49+SUM(P101:P109)+SUM(P227:P292)+SUM(P416:P478)+SUM(P545:P547)+SUM(P588:P589)+SUM(P642:P648)+P704+SUM(P744:P753)+P800+SUM(P845:P850)</f>
        <v>9598</v>
      </c>
      <c r="Q898" s="38">
        <f>SUM(N898:P898)</f>
        <v>39812</v>
      </c>
      <c r="R898" s="38">
        <f>+E898+I898+M898+Q898</f>
        <v>336284</v>
      </c>
    </row>
    <row r="899" spans="1:20" ht="16.5" customHeight="1" thickBot="1" x14ac:dyDescent="0.35">
      <c r="A899" s="43" t="s">
        <v>1220</v>
      </c>
      <c r="B899" s="45">
        <f>SUM(B896:B898)</f>
        <v>32629</v>
      </c>
      <c r="C899" s="46">
        <f>SUM(C896:C898)</f>
        <v>37666</v>
      </c>
      <c r="D899" s="58">
        <f>SUM(D896:D898)</f>
        <v>54399</v>
      </c>
      <c r="E899" s="37">
        <f>SUM(B899:D899)</f>
        <v>124694</v>
      </c>
      <c r="F899" s="46">
        <f>SUM(F896:F898)</f>
        <v>57264</v>
      </c>
      <c r="G899" s="46">
        <f>SUM(G896:G898)</f>
        <v>63280</v>
      </c>
      <c r="H899" s="46">
        <f>SUM(H896:H898)</f>
        <v>79959</v>
      </c>
      <c r="I899" s="37">
        <f>SUM(F899:H899)</f>
        <v>200503</v>
      </c>
      <c r="J899" s="46">
        <f>SUM(J896:J898)</f>
        <v>61812</v>
      </c>
      <c r="K899" s="46">
        <f>SUM(K896:K898)</f>
        <v>57415</v>
      </c>
      <c r="L899" s="46">
        <f>SUM(L896:L898)</f>
        <v>51017</v>
      </c>
      <c r="M899" s="37">
        <f>SUM(J899:L899)</f>
        <v>170244</v>
      </c>
      <c r="N899" s="46">
        <f>SUM(N896:N898)</f>
        <v>36167</v>
      </c>
      <c r="O899" s="46">
        <f>SUM(O896:O898)</f>
        <v>31108</v>
      </c>
      <c r="P899" s="46">
        <f>SUM(P896:P898)</f>
        <v>19568</v>
      </c>
      <c r="Q899" s="37">
        <f>SUM(N899:P899)</f>
        <v>86843</v>
      </c>
      <c r="R899" s="37">
        <f>+E899+I899+M899+Q899</f>
        <v>582284</v>
      </c>
      <c r="T899">
        <v>1600000</v>
      </c>
    </row>
    <row r="900" spans="1:20" ht="20.25" customHeight="1" x14ac:dyDescent="0.3">
      <c r="A900" s="234" t="s">
        <v>2645</v>
      </c>
      <c r="B900" s="10"/>
      <c r="C900" s="10"/>
      <c r="D900" s="10"/>
      <c r="E900" s="38" t="s">
        <v>852</v>
      </c>
      <c r="F900" s="10"/>
      <c r="G900" s="10"/>
      <c r="H900" s="10"/>
      <c r="I900" s="38" t="s">
        <v>852</v>
      </c>
      <c r="J900" s="10"/>
      <c r="K900" s="10"/>
      <c r="L900" s="10"/>
      <c r="M900" s="38" t="s">
        <v>852</v>
      </c>
      <c r="N900" s="10"/>
      <c r="O900" s="10"/>
      <c r="P900" s="10"/>
      <c r="Q900" s="38" t="s">
        <v>852</v>
      </c>
      <c r="R900" s="38" t="s">
        <v>852</v>
      </c>
      <c r="T900">
        <f>+T899-28000-R884-R885-400000-R897-R898+12000</f>
        <v>-73551</v>
      </c>
    </row>
    <row r="901" spans="1:20" ht="15.75" customHeight="1" x14ac:dyDescent="0.3">
      <c r="A901" s="234" t="s">
        <v>2643</v>
      </c>
      <c r="B901" s="10">
        <f>SUM(B52:B52)+SUM(B112:B120)+SUM(B295:B298)+SUM(B481:B482)+SUM(B550:B550)+B592+SUM(B651:B653)+B707+B756+B803+SUM(B853:B855)</f>
        <v>0</v>
      </c>
      <c r="C901" s="10">
        <f>SUM(C52:C52)+SUM(C112:C120)+SUM(C295:C298)+SUM(C481:C482)+SUM(C550:C550)+C592+SUM(C651:C653)+C707+C756+C803+SUM(C853:C855)</f>
        <v>0</v>
      </c>
      <c r="D901" s="10">
        <f>SUM(D52:D52)+SUM(D112:D120)+SUM(D295:D298)+SUM(D481:D482)+SUM(D550:D550)+D592+SUM(D651:D653)+D707+D756+D803+SUM(D853:D855)</f>
        <v>0</v>
      </c>
      <c r="E901" s="38">
        <f t="shared" ref="E901:E909" si="309">SUM(B901:D901)</f>
        <v>0</v>
      </c>
      <c r="F901" s="10">
        <f>SUM(F52:F52)+SUM(F112:F120)+SUM(F295:F298)+SUM(F481:F482)+SUM(F550:F550)+F592+SUM(F651:F653)+F707+F756+F803+SUM(F853:F855)</f>
        <v>0</v>
      </c>
      <c r="G901" s="10">
        <f>SUM(G52:G52)+SUM(G112:G120)+SUM(G295:G298)+SUM(G481:G482)+SUM(G550:G550)+G592+SUM(G651:G653)+G707+G756+G803+SUM(G853:G855)</f>
        <v>0</v>
      </c>
      <c r="H901" s="10">
        <f>SUM(H52:H52)+SUM(H112:H120)+SUM(H295:H298)+SUM(H481:H482)+SUM(H550:H550)+H592+SUM(H651:H653)+H707+H756+H803+SUM(H853:H855)</f>
        <v>0</v>
      </c>
      <c r="I901" s="38">
        <f t="shared" ref="I901:I909" si="310">SUM(F901:H901)</f>
        <v>0</v>
      </c>
      <c r="J901" s="10">
        <f>SUM(J52:J52)+SUM(J112:J120)+SUM(J295:J298)+SUM(J481:J482)+SUM(J550:J550)+J592+SUM(J651:J653)+J707+J756+J803+SUM(J853:J855)</f>
        <v>0</v>
      </c>
      <c r="K901" s="10">
        <f>SUM(K52:K52)+SUM(K112:K120)+SUM(K295:K298)+SUM(K481:K482)+SUM(K550:K550)+K592+SUM(K651:K653)+K707+K756+K803+SUM(K853:K855)</f>
        <v>0</v>
      </c>
      <c r="L901" s="10">
        <f>SUM(L52:L52)+SUM(L112:L120)+SUM(L295:L298)+SUM(L481:L482)+SUM(L550:L550)+L592+SUM(L651:L653)+L707+L756+L803+SUM(L853:L855)</f>
        <v>0</v>
      </c>
      <c r="M901" s="38">
        <f t="shared" ref="M901:M909" si="311">SUM(J901:L901)</f>
        <v>0</v>
      </c>
      <c r="N901" s="10">
        <f>SUM(N52:N52)+SUM(N112:N120)+SUM(N295:N298)+SUM(N481:N482)+SUM(N550:N550)+N592+SUM(N651:N653)+N707+N756+N803+SUM(N853:N855)</f>
        <v>0</v>
      </c>
      <c r="O901" s="10">
        <f>SUM(O52:O52)+SUM(O112:O120)+SUM(O295:O298)+SUM(O481:O482)+SUM(O550:O550)+O592+SUM(O651:O653)+O707+O756+O803+SUM(O853:O855)</f>
        <v>0</v>
      </c>
      <c r="P901" s="10">
        <f>SUM(P52:P52)+SUM(P112:P120)+SUM(P295:P298)+SUM(P481:P482)+SUM(P550:P550)+P592+SUM(P651:P653)+P707+P756+P803+SUM(P853:P855)</f>
        <v>0</v>
      </c>
      <c r="Q901" s="38">
        <f t="shared" ref="Q901:Q909" si="312">SUM(N901:P901)</f>
        <v>0</v>
      </c>
      <c r="R901" s="38">
        <f>+E901+I901+M901+Q901</f>
        <v>0</v>
      </c>
    </row>
    <row r="902" spans="1:20" ht="15.75" customHeight="1" x14ac:dyDescent="0.3">
      <c r="A902" s="234" t="s">
        <v>557</v>
      </c>
      <c r="B902" s="10">
        <f>SUM(B53:B54)+SUM(B121:B122)+SUM(B299:B300)+B302+B304+B306+B307+SUM(B483:B485)+B551+B593+SUM(B654:B655)+B657+SUM(B708:B709)+B758+B760+B804+SUM(B856:B857)</f>
        <v>0</v>
      </c>
      <c r="C902" s="10">
        <f>SUM(C53:C54)+SUM(C121:C122)+SUM(C299:C300)+C302+C304+C306+C307+SUM(C483:C485)+C551+C593+SUM(C654:C655)+C657+SUM(C708:C709)+C758+C760+C804+SUM(C856:C857)</f>
        <v>0</v>
      </c>
      <c r="D902" s="10">
        <f>SUM(D53:D54)+SUM(D121:D122)+SUM(D299:D300)+D302+D304+D306+D307+SUM(D483:D485)+D551+D593+SUM(D654:D655)+D657+SUM(D708:D709)+D758+D760+D804+SUM(D856:D857)</f>
        <v>0</v>
      </c>
      <c r="E902" s="38">
        <f t="shared" si="309"/>
        <v>0</v>
      </c>
      <c r="F902" s="10">
        <f>SUM(F53:F54)+SUM(F121:F122)+SUM(F299:F300)+F302+F304+F306+F307+SUM(F483:F485)+F551+F593+SUM(F654:F655)+F657+SUM(F708:F709)+F758+F760+F804+SUM(F856:F857)</f>
        <v>0</v>
      </c>
      <c r="G902" s="10">
        <f>SUM(G53:G54)+SUM(G121:G122)+SUM(G299:G300)+G302+G304+G306+G307+SUM(G483:G485)+G551+G593+SUM(G654:G655)+G657+SUM(G708:G709)+G758+G760+G804+SUM(G856:G857)</f>
        <v>0</v>
      </c>
      <c r="H902" s="10">
        <f>SUM(H53:H54)+SUM(H121:H122)+SUM(H299:H300)+H302+H304+H306+H307+SUM(H483:H485)+H551+H593+SUM(H654:H655)+H657+SUM(H708:H709)+H758+H760+H804+SUM(H856:H857)</f>
        <v>0</v>
      </c>
      <c r="I902" s="38">
        <f t="shared" si="310"/>
        <v>0</v>
      </c>
      <c r="J902" s="10">
        <f>SUM(J53:J54)+SUM(J121:J122)+SUM(J299:J300)+J302+J304+J306+J307+SUM(J483:J485)+J551+J593+SUM(J654:J655)+J657+SUM(J708:J709)+J758+J760+J804+SUM(J856:J857)</f>
        <v>0</v>
      </c>
      <c r="K902" s="10">
        <f>SUM(K53:K54)+SUM(K121:K122)+SUM(K299:K300)+K302+K304+K306+K307+SUM(K483:K485)+K551+K593+SUM(K654:K655)+K657+SUM(K708:K709)+K758+K760+K804+SUM(K856:K857)</f>
        <v>0</v>
      </c>
      <c r="L902" s="10">
        <f>SUM(L53:L54)+SUM(L121:L122)+SUM(L299:L300)+L302+L304+L306+L307+SUM(L483:L485)+L551+L593+SUM(L654:L655)+L657+SUM(L708:L709)+L758+L760+L804+SUM(L856:L857)</f>
        <v>0</v>
      </c>
      <c r="M902" s="38">
        <f t="shared" si="311"/>
        <v>0</v>
      </c>
      <c r="N902" s="10">
        <f>SUM(N53:N54)+SUM(N121:N122)+SUM(N299:N300)+N302+N304+N306+N307+SUM(N483:N485)+N551+N593+SUM(N654:N655)+N657+SUM(N708:N709)+N758+N760+N804+SUM(N856:N857)</f>
        <v>0</v>
      </c>
      <c r="O902" s="10">
        <f>SUM(O53:O54)+SUM(O121:O122)+SUM(O299:O300)+O302+O304+O306+O307+SUM(O483:O485)+O551+O593+SUM(O654:O655)+O657+SUM(O708:O709)+O758+O760+O804+SUM(O856:O857)</f>
        <v>0</v>
      </c>
      <c r="P902" s="10">
        <f>SUM(P53:P54)+SUM(P121:P122)+SUM(P299:P300)+P302+P304+P306+P307+SUM(P483:P485)+P551+P593+SUM(P654:P655)+P657+SUM(P708:P709)+P758+P760+P804+SUM(P856:P857)</f>
        <v>0</v>
      </c>
      <c r="Q902" s="38">
        <f t="shared" si="312"/>
        <v>0</v>
      </c>
      <c r="R902" s="38">
        <f t="shared" ref="R902:R909" si="313">+E902+I902+M902+Q902</f>
        <v>0</v>
      </c>
    </row>
    <row r="903" spans="1:20" ht="17.399999999999999" x14ac:dyDescent="0.3">
      <c r="A903" s="539" t="s">
        <v>3281</v>
      </c>
      <c r="B903" s="10">
        <f>B123+B301+B303+B305+B656+B658+B759+B761+B858</f>
        <v>0</v>
      </c>
      <c r="C903" s="10">
        <f>C123+C301+C303+C305+C656+C658+C759+C761+C858</f>
        <v>0</v>
      </c>
      <c r="D903" s="10">
        <f>D123+D301+D303+D305+D656+D658+D759+D761+D858</f>
        <v>0</v>
      </c>
      <c r="E903" s="38">
        <f t="shared" si="309"/>
        <v>0</v>
      </c>
      <c r="F903" s="10">
        <f>F123+F301+F303+F305+F656+F658+F759+F761+F858</f>
        <v>0</v>
      </c>
      <c r="G903" s="10">
        <f>G123+G301+G303+G305+G656+G658+G759+G761+G858</f>
        <v>0</v>
      </c>
      <c r="H903" s="10">
        <f>H123+H301+H303+H305+H656+H658+H759+H761+H858</f>
        <v>0</v>
      </c>
      <c r="I903" s="38">
        <f t="shared" si="310"/>
        <v>0</v>
      </c>
      <c r="J903" s="10">
        <f>J123+J301+J303+J305+J656+J658+J759+J761+J858</f>
        <v>0</v>
      </c>
      <c r="K903" s="10">
        <f>K123+K301+K303+K305+K656+K658+K759+K761+K858</f>
        <v>0</v>
      </c>
      <c r="L903" s="10">
        <f>L123+L301+L303+L305+L656+L658+L759+L761+L858</f>
        <v>0</v>
      </c>
      <c r="M903" s="38">
        <f t="shared" si="311"/>
        <v>0</v>
      </c>
      <c r="N903" s="10">
        <f>N123+N301+N303+N305+N656+N658+N759+N761+N858</f>
        <v>0</v>
      </c>
      <c r="O903" s="10">
        <f>O123+O301+O303+O305+O656+O658+O759+O761+O858</f>
        <v>0</v>
      </c>
      <c r="P903" s="10">
        <f>P123+P301+P303+P305+P656+P658+P759+P761+P858</f>
        <v>0</v>
      </c>
      <c r="Q903" s="38">
        <f t="shared" si="312"/>
        <v>0</v>
      </c>
      <c r="R903" s="38">
        <f t="shared" si="313"/>
        <v>0</v>
      </c>
    </row>
    <row r="904" spans="1:20" ht="15.75" customHeight="1" x14ac:dyDescent="0.3">
      <c r="A904" s="234" t="s">
        <v>2644</v>
      </c>
      <c r="B904" s="10">
        <f>+B55+SUM(B124:B125)+SUM(B308:B309)+SUM(B486:B492)+SUM(B552:B552)+SUM(B594:B595)+SUM(B659:B661)+B710+B762+B859+B859+B805</f>
        <v>0</v>
      </c>
      <c r="C904" s="10">
        <f>+C55+SUM(C124:C125)+SUM(C308:C309)+SUM(C486:C492)+SUM(C552:C552)+SUM(C594:C595)+SUM(C659:C661)+C710+C762+C859+C859+C805</f>
        <v>0</v>
      </c>
      <c r="D904" s="10">
        <f>+D55+SUM(D124:D125)+SUM(D308:D309)+SUM(D486:D492)+SUM(D552:D552)+SUM(D594:D595)+SUM(D659:D661)+D710+D762+D859+D859+D805</f>
        <v>0</v>
      </c>
      <c r="E904" s="38">
        <f t="shared" si="309"/>
        <v>0</v>
      </c>
      <c r="F904" s="10">
        <f>+F55+SUM(F124:F125)+SUM(F308:F309)+SUM(F486:F492)+SUM(F552:F552)+SUM(F594:F595)+SUM(F659:F661)+F710+F762+F859+F859+F805</f>
        <v>0</v>
      </c>
      <c r="G904" s="10">
        <f>+G55+SUM(G124:G125)+SUM(G308:G309)+SUM(G486:G492)+SUM(G552:G552)+SUM(G594:G595)+SUM(G659:G661)+G710+G762+G859+G859+G805</f>
        <v>0</v>
      </c>
      <c r="H904" s="10">
        <f>+H55+SUM(H124:H125)+SUM(H308:H309)+SUM(H486:H492)+SUM(H552:H552)+SUM(H594:H595)+SUM(H659:H661)+H710+H762+H859+H859+H805</f>
        <v>0</v>
      </c>
      <c r="I904" s="38">
        <f t="shared" si="310"/>
        <v>0</v>
      </c>
      <c r="J904" s="10">
        <f>+J55+SUM(J124:J125)+SUM(J308:J309)+SUM(J486:J492)+SUM(J552:J552)+SUM(J594:J595)+SUM(J659:J661)+J710+J762+J859+J859+J805</f>
        <v>0</v>
      </c>
      <c r="K904" s="10">
        <f>+K55+SUM(K124:K125)+SUM(K308:K309)+SUM(K486:K492)+SUM(K552:K552)+SUM(K594:K595)+SUM(K659:K661)+K710+K762+K859+K859+K805</f>
        <v>0</v>
      </c>
      <c r="L904" s="10">
        <f>+L55+SUM(L124:L125)+SUM(L308:L309)+SUM(L486:L492)+SUM(L552:L552)+SUM(L594:L595)+SUM(L659:L661)+L710+L762+L859+L859+L805</f>
        <v>0</v>
      </c>
      <c r="M904" s="38">
        <f t="shared" si="311"/>
        <v>0</v>
      </c>
      <c r="N904" s="10">
        <f>+N55+SUM(N124:N125)+SUM(N308:N309)+SUM(N486:N492)+SUM(N552:N552)+SUM(N594:N595)+SUM(N659:N661)+N710+N762+N859+N859+N805</f>
        <v>0</v>
      </c>
      <c r="O904" s="10">
        <f>+O55+SUM(O124:O125)+SUM(O308:O309)+SUM(O486:O492)+SUM(O552:O552)+SUM(O594:O595)+SUM(O659:O661)+O710+O762+O859+O859+O805</f>
        <v>0</v>
      </c>
      <c r="P904" s="10">
        <f>+P55+SUM(P124:P125)+SUM(P308:P309)+SUM(P486:P492)+SUM(P552:P552)+SUM(P594:P595)+SUM(P659:P661)+P710+P762+P859+P859+P805</f>
        <v>0</v>
      </c>
      <c r="Q904" s="38">
        <f t="shared" si="312"/>
        <v>0</v>
      </c>
      <c r="R904" s="38">
        <f>+E904+I904+M904+Q904</f>
        <v>0</v>
      </c>
    </row>
    <row r="905" spans="1:20" ht="22.5" customHeight="1" x14ac:dyDescent="0.3">
      <c r="A905" s="234" t="s">
        <v>559</v>
      </c>
      <c r="B905" s="10">
        <f>SUM(B128:B128)+SUM(B310:B311)+B494+B497+B498+B500+B503+SUM(B553:B554)+B597+B600+B662+B663+B665+B711+B763+B806+B860</f>
        <v>0</v>
      </c>
      <c r="C905" s="10">
        <f>SUM(C128:C128)+SUM(C310:C311)+C494+C497+C498+C500+C503+SUM(C553:C554)+C597+C600+C662+C663+C665+C711+C763+C806+C860</f>
        <v>0</v>
      </c>
      <c r="D905" s="10">
        <f>SUM(D128:D128)+SUM(D310:D311)+D494+D497+D498+D500+D503+SUM(D553:D554)+D597+D600+D662+D663+D665+D711+D763+D806+D860</f>
        <v>0</v>
      </c>
      <c r="E905" s="38">
        <f t="shared" si="309"/>
        <v>0</v>
      </c>
      <c r="F905" s="10">
        <f>SUM(F128:F128)+SUM(F310:F311)+F494+F497+F498+F500+F503+SUM(F553:F554)+F597+F600+F662+F663+F665+F711+F763+F806+F860</f>
        <v>0</v>
      </c>
      <c r="G905" s="10">
        <f>SUM(G128:G128)+SUM(G310:G311)+G494+G497+G498+G500+G503+SUM(G553:G554)+G597+G600+G662+G663+G665+G711+G763+G806+G860</f>
        <v>0</v>
      </c>
      <c r="H905" s="10">
        <f>SUM(H128:H128)+SUM(H310:H311)+H494+H497+H498+H500+H503+SUM(H553:H554)+H597+H600+H662+H663+H665+H711+H763+H806+H860</f>
        <v>0</v>
      </c>
      <c r="I905" s="38">
        <f t="shared" si="310"/>
        <v>0</v>
      </c>
      <c r="J905" s="10">
        <f>SUM(J128:J128)+SUM(J310:J311)+J494+J497+J498+J500+J503+SUM(J553:J554)+J597+J600+J662+J663+J665+J711+J763+J806+J860</f>
        <v>0</v>
      </c>
      <c r="K905" s="10">
        <f>SUM(K128:K128)+SUM(K310:K311)+K494+K497+K498+K500+K503+SUM(K553:K554)+K597+K600+K662+K663+K665+K711+K763+K806+K860</f>
        <v>0</v>
      </c>
      <c r="L905" s="10">
        <f>SUM(L128:L128)+SUM(L310:L311)+L494+L497+L498+L500+L503+SUM(L553:L554)+L597+L600+L662+L663+L665+L711+L763+L806+L860</f>
        <v>0</v>
      </c>
      <c r="M905" s="38">
        <f t="shared" si="311"/>
        <v>0</v>
      </c>
      <c r="N905" s="10">
        <f>SUM(N128:N128)+SUM(N310:N311)+N494+N497+N498+N500+N503+SUM(N553:N554)+N597+N600+N662+N663+N665+N711+N763+N806+N860</f>
        <v>0</v>
      </c>
      <c r="O905" s="10">
        <f>SUM(O128:O128)+SUM(O310:O311)+O494+O497+O498+O500+O503+SUM(O553:O554)+O597+O600+O662+O663+O665+O711+O763+O806+O860</f>
        <v>0</v>
      </c>
      <c r="P905" s="10">
        <f>SUM(P128:P128)+SUM(P310:P311)+P494+P497+P498+P500+P503+SUM(P553:P554)+P597+P600+P662+P663+P665+P711+P763+P806+P860</f>
        <v>0</v>
      </c>
      <c r="Q905" s="38">
        <f t="shared" si="312"/>
        <v>0</v>
      </c>
      <c r="R905" s="38">
        <f>+E905+I905+M905+Q905</f>
        <v>0</v>
      </c>
    </row>
    <row r="906" spans="1:20" ht="18" thickBot="1" x14ac:dyDescent="0.35">
      <c r="A906" s="539" t="s">
        <v>3280</v>
      </c>
      <c r="B906" s="10">
        <f>+B495+B499+B501+B555+B127+B496+B502+B598+B599+B664</f>
        <v>0</v>
      </c>
      <c r="C906" s="10">
        <f>+C495+C499+C501+C555+C127+C496+C502+C598+C599+C664</f>
        <v>0</v>
      </c>
      <c r="D906" s="10">
        <f>+D495+D499+D501+D555+D127+D496+D502+D598+D599+D664</f>
        <v>0</v>
      </c>
      <c r="E906" s="38">
        <f>SUM(B906:D906)</f>
        <v>0</v>
      </c>
      <c r="F906" s="10">
        <f>+F495+F499+F501+F555+F127+F496+F502+F598+F599+F664</f>
        <v>0</v>
      </c>
      <c r="G906" s="10">
        <f>+G495+G499+G501+G555+G127+G496+G502+G598+G599+G664</f>
        <v>0</v>
      </c>
      <c r="H906" s="10">
        <f>+H495+H499+H501+H555+H127+H496+H502+H598+H599+H664</f>
        <v>0</v>
      </c>
      <c r="I906" s="38">
        <f>SUM(F906:H906)</f>
        <v>0</v>
      </c>
      <c r="J906" s="10">
        <f>+J495+J499+J501+J555+J127+J496+J502+J598+J599+J664</f>
        <v>0</v>
      </c>
      <c r="K906" s="10">
        <f>+K495+K499+K501+K555+K127+K496+K502+K598+K599+K664</f>
        <v>0</v>
      </c>
      <c r="L906" s="10">
        <f>+L495+L499+L501+L555+L127+L496+L502+L598+L599+L664</f>
        <v>0</v>
      </c>
      <c r="M906" s="38">
        <f>SUM(J906:L906)</f>
        <v>0</v>
      </c>
      <c r="N906" s="10">
        <f>+N495+N499+N501+N555+N127+N496+N502+N598+N599+N664</f>
        <v>0</v>
      </c>
      <c r="O906" s="10">
        <f>+O495+O499+O501+O555+O127+O496+O502+O598+O599+O664</f>
        <v>0</v>
      </c>
      <c r="P906" s="10">
        <f>+P495+P499+P501+P555+P127+P496+P502+P598+P599+P664</f>
        <v>0</v>
      </c>
      <c r="Q906" s="38">
        <f>SUM(N906:P906)</f>
        <v>0</v>
      </c>
      <c r="R906" s="38">
        <f>+E906+I906+M906+Q906</f>
        <v>0</v>
      </c>
    </row>
    <row r="907" spans="1:20" ht="16.5" customHeight="1" thickBot="1" x14ac:dyDescent="0.35">
      <c r="A907" s="43" t="s">
        <v>1019</v>
      </c>
      <c r="B907" s="745">
        <f>SUM(B904:B906)</f>
        <v>0</v>
      </c>
      <c r="C907" s="745">
        <f>SUM(C904:C906)</f>
        <v>0</v>
      </c>
      <c r="D907" s="745">
        <f>SUM(D904:D906)</f>
        <v>0</v>
      </c>
      <c r="E907" s="39">
        <f t="shared" si="309"/>
        <v>0</v>
      </c>
      <c r="F907" s="745">
        <f>SUM(F904:F906)</f>
        <v>0</v>
      </c>
      <c r="G907" s="745">
        <f>SUM(G904:G906)</f>
        <v>0</v>
      </c>
      <c r="H907" s="745">
        <f>SUM(H904:H906)</f>
        <v>0</v>
      </c>
      <c r="I907" s="39">
        <f t="shared" si="310"/>
        <v>0</v>
      </c>
      <c r="J907" s="745">
        <f>SUM(J904:J906)</f>
        <v>0</v>
      </c>
      <c r="K907" s="745">
        <f>SUM(K904:K906)</f>
        <v>0</v>
      </c>
      <c r="L907" s="745">
        <f>SUM(L904:L906)</f>
        <v>0</v>
      </c>
      <c r="M907" s="39">
        <f t="shared" si="311"/>
        <v>0</v>
      </c>
      <c r="N907" s="745">
        <f>SUM(N904:N906)</f>
        <v>0</v>
      </c>
      <c r="O907" s="745">
        <f>SUM(O904:O906)</f>
        <v>0</v>
      </c>
      <c r="P907" s="745">
        <f>SUM(P904:P906)</f>
        <v>0</v>
      </c>
      <c r="Q907" s="39">
        <f t="shared" si="312"/>
        <v>0</v>
      </c>
      <c r="R907" s="37">
        <f t="shared" si="313"/>
        <v>0</v>
      </c>
    </row>
    <row r="908" spans="1:20" ht="16.5" customHeight="1" thickBot="1" x14ac:dyDescent="0.35">
      <c r="A908" s="277" t="s">
        <v>1221</v>
      </c>
      <c r="B908" s="45">
        <f>SUM(B900:B906)</f>
        <v>0</v>
      </c>
      <c r="C908" s="46">
        <f>SUM(C900:C906)</f>
        <v>0</v>
      </c>
      <c r="D908" s="58">
        <f>SUM(D900:D906)</f>
        <v>0</v>
      </c>
      <c r="E908" s="746">
        <f t="shared" si="309"/>
        <v>0</v>
      </c>
      <c r="F908" s="45">
        <f>SUM(F900:F906)</f>
        <v>0</v>
      </c>
      <c r="G908" s="46">
        <f>SUM(G900:G906)</f>
        <v>0</v>
      </c>
      <c r="H908" s="58">
        <f>SUM(H900:H906)</f>
        <v>0</v>
      </c>
      <c r="I908" s="39">
        <f t="shared" si="310"/>
        <v>0</v>
      </c>
      <c r="J908" s="45">
        <f>SUM(J900:J906)</f>
        <v>0</v>
      </c>
      <c r="K908" s="46">
        <f>SUM(K900:K906)</f>
        <v>0</v>
      </c>
      <c r="L908" s="58">
        <f>SUM(L900:L906)</f>
        <v>0</v>
      </c>
      <c r="M908" s="39">
        <f t="shared" si="311"/>
        <v>0</v>
      </c>
      <c r="N908" s="45">
        <f>SUM(N900:N906)</f>
        <v>0</v>
      </c>
      <c r="O908" s="46">
        <f>SUM(O900:O906)</f>
        <v>0</v>
      </c>
      <c r="P908" s="58">
        <f>SUM(P900:P906)</f>
        <v>0</v>
      </c>
      <c r="Q908" s="39">
        <f t="shared" si="312"/>
        <v>0</v>
      </c>
      <c r="R908" s="37">
        <f t="shared" si="313"/>
        <v>0</v>
      </c>
    </row>
    <row r="909" spans="1:20" ht="16.5" customHeight="1" thickBot="1" x14ac:dyDescent="0.35">
      <c r="A909" s="43" t="s">
        <v>1222</v>
      </c>
      <c r="B909" s="337">
        <f>+B890+B895+B899+B908</f>
        <v>72801</v>
      </c>
      <c r="C909" s="338">
        <f>+C890+C895+C899+C908</f>
        <v>84421</v>
      </c>
      <c r="D909" s="338">
        <f>+D890+D895+D899+D908</f>
        <v>117596</v>
      </c>
      <c r="E909" s="37">
        <f t="shared" si="309"/>
        <v>274818</v>
      </c>
      <c r="F909" s="42">
        <f>+F890+F895+F899+F908</f>
        <v>151755</v>
      </c>
      <c r="G909" s="42">
        <f>+G890+G895+G899+G908</f>
        <v>164814</v>
      </c>
      <c r="H909" s="42">
        <f>+H890+H895+H899+H908</f>
        <v>203530</v>
      </c>
      <c r="I909" s="37">
        <f t="shared" si="310"/>
        <v>520099</v>
      </c>
      <c r="J909" s="42">
        <f>+J890+J895+J899+J908</f>
        <v>168790</v>
      </c>
      <c r="K909" s="42">
        <f>+K890+K895+K899+K908</f>
        <v>154177</v>
      </c>
      <c r="L909" s="42">
        <f>+L890+L895+L899+L908</f>
        <v>116925</v>
      </c>
      <c r="M909" s="37">
        <f t="shared" si="311"/>
        <v>439892</v>
      </c>
      <c r="N909" s="42">
        <f>+N890+N895+N899+N908</f>
        <v>95479</v>
      </c>
      <c r="O909" s="42">
        <f>+O890+O895+O899+O908</f>
        <v>71242</v>
      </c>
      <c r="P909" s="42">
        <f>+P890+P895+P899+P908</f>
        <v>52095</v>
      </c>
      <c r="Q909" s="37">
        <f t="shared" si="312"/>
        <v>218816</v>
      </c>
      <c r="R909" s="40">
        <f t="shared" si="313"/>
        <v>1453625</v>
      </c>
    </row>
    <row r="910" spans="1:20" ht="15.75" customHeight="1" x14ac:dyDescent="0.3">
      <c r="A910" s="356" t="s">
        <v>3282</v>
      </c>
      <c r="B910" s="10"/>
      <c r="C910" s="10"/>
      <c r="D910" s="10"/>
      <c r="E910" s="10"/>
      <c r="F910" s="10"/>
      <c r="G910" s="10"/>
      <c r="H910" s="10"/>
      <c r="I910" s="10"/>
      <c r="J910" s="10"/>
      <c r="K910" s="10"/>
      <c r="L910" s="10"/>
      <c r="M910" s="10"/>
      <c r="N910" s="10"/>
      <c r="O910" s="747"/>
      <c r="P910" s="10"/>
      <c r="Q910" s="10"/>
      <c r="R910" s="17"/>
    </row>
    <row r="911" spans="1:20" ht="15.75" customHeight="1" x14ac:dyDescent="0.3">
      <c r="A911" s="356" t="s">
        <v>3279</v>
      </c>
      <c r="B911" s="10"/>
      <c r="C911" s="10"/>
      <c r="D911" s="10"/>
      <c r="E911" s="10"/>
      <c r="F911" s="10"/>
      <c r="G911" s="10"/>
      <c r="H911" s="10"/>
      <c r="I911" s="10"/>
      <c r="J911" s="10"/>
      <c r="K911" s="10"/>
      <c r="L911" s="10"/>
      <c r="M911" s="10"/>
      <c r="N911" s="10"/>
      <c r="O911" s="747"/>
      <c r="P911" s="10"/>
      <c r="Q911" s="10"/>
      <c r="R911" s="17"/>
    </row>
    <row r="912" spans="1:20" ht="15.75" customHeight="1" x14ac:dyDescent="0.3">
      <c r="A912" s="10"/>
      <c r="B912" s="10"/>
      <c r="C912" s="10"/>
      <c r="D912" s="10"/>
      <c r="E912" s="10"/>
      <c r="F912" s="10"/>
      <c r="G912" s="10"/>
      <c r="H912" s="10"/>
      <c r="I912" s="10"/>
      <c r="J912" s="10"/>
      <c r="K912" s="10"/>
      <c r="L912" s="10"/>
      <c r="M912" s="10"/>
      <c r="N912" s="10"/>
      <c r="O912" s="747"/>
      <c r="P912" s="10"/>
      <c r="Q912" s="680" t="str">
        <f>+Q1</f>
        <v xml:space="preserve">PRINTED:  </v>
      </c>
      <c r="R912" s="681">
        <f ca="1">+R1</f>
        <v>44881.729633912037</v>
      </c>
    </row>
    <row r="913" spans="1:46" ht="15.75" customHeight="1" x14ac:dyDescent="0.3">
      <c r="A913" s="778" t="s">
        <v>43</v>
      </c>
      <c r="B913" s="778"/>
      <c r="C913" s="778"/>
      <c r="D913" s="778"/>
      <c r="E913" s="778"/>
      <c r="F913" s="778"/>
      <c r="G913" s="778"/>
      <c r="H913" s="778"/>
      <c r="I913" s="778"/>
      <c r="J913" s="778"/>
      <c r="K913" s="778"/>
      <c r="L913" s="778"/>
      <c r="M913" s="778"/>
      <c r="N913" s="778"/>
      <c r="O913" s="778"/>
      <c r="P913" s="778"/>
      <c r="Q913" s="778"/>
      <c r="R913" s="778"/>
    </row>
    <row r="914" spans="1:46" ht="15.75" customHeight="1" x14ac:dyDescent="0.3">
      <c r="A914" s="778" t="s">
        <v>1988</v>
      </c>
      <c r="B914" s="778"/>
      <c r="C914" s="778"/>
      <c r="D914" s="778"/>
      <c r="E914" s="778"/>
      <c r="F914" s="778"/>
      <c r="G914" s="778"/>
      <c r="H914" s="778"/>
      <c r="I914" s="778"/>
      <c r="J914" s="778"/>
      <c r="K914" s="778"/>
      <c r="L914" s="778"/>
      <c r="M914" s="778"/>
      <c r="N914" s="778"/>
      <c r="O914" s="778"/>
      <c r="P914" s="778"/>
      <c r="Q914" s="778"/>
      <c r="R914" s="778"/>
    </row>
    <row r="915" spans="1:46" ht="15.75" customHeight="1" x14ac:dyDescent="0.3">
      <c r="A915" s="778" t="s">
        <v>544</v>
      </c>
      <c r="B915" s="778"/>
      <c r="C915" s="778"/>
      <c r="D915" s="778"/>
      <c r="E915" s="778"/>
      <c r="F915" s="778"/>
      <c r="G915" s="778"/>
      <c r="H915" s="778"/>
      <c r="I915" s="778"/>
      <c r="J915" s="778"/>
      <c r="K915" s="778"/>
      <c r="L915" s="778"/>
      <c r="M915" s="778"/>
      <c r="N915" s="778"/>
      <c r="O915" s="778"/>
      <c r="P915" s="778"/>
      <c r="Q915" s="778"/>
      <c r="R915" s="778"/>
    </row>
    <row r="916" spans="1:46" ht="15.75" customHeight="1" x14ac:dyDescent="0.3">
      <c r="A916" s="784">
        <f>+A5</f>
        <v>2022</v>
      </c>
      <c r="B916" s="784"/>
      <c r="C916" s="784"/>
      <c r="D916" s="784"/>
      <c r="E916" s="784"/>
      <c r="F916" s="784"/>
      <c r="G916" s="784"/>
      <c r="H916" s="784"/>
      <c r="I916" s="784"/>
      <c r="J916" s="784"/>
      <c r="K916" s="784"/>
      <c r="L916" s="784"/>
      <c r="M916" s="784"/>
      <c r="N916" s="784"/>
      <c r="O916" s="784"/>
      <c r="P916" s="784"/>
      <c r="Q916" s="784"/>
      <c r="R916" s="784"/>
    </row>
    <row r="917" spans="1:46" ht="15.75" customHeight="1" x14ac:dyDescent="0.3">
      <c r="A917" s="10"/>
      <c r="B917" s="10"/>
      <c r="C917" s="10"/>
      <c r="D917" s="1"/>
      <c r="E917" s="1"/>
      <c r="F917" s="1"/>
      <c r="G917" s="220"/>
      <c r="H917" s="1"/>
      <c r="I917" s="1"/>
      <c r="J917" s="220"/>
      <c r="K917" s="220"/>
      <c r="L917" s="220"/>
      <c r="M917" s="220"/>
      <c r="N917" s="10"/>
      <c r="O917" s="220"/>
      <c r="P917" s="220"/>
      <c r="Q917" s="220"/>
      <c r="R917" s="220"/>
    </row>
    <row r="918" spans="1:46" ht="15.75" customHeight="1" x14ac:dyDescent="0.3">
      <c r="A918" s="778" t="str">
        <f>+A8</f>
        <v>Revised:  2/5/2020</v>
      </c>
      <c r="B918" s="778"/>
      <c r="C918" s="778"/>
      <c r="D918" s="778"/>
      <c r="E918" s="778"/>
      <c r="F918" s="778"/>
      <c r="G918" s="778"/>
      <c r="H918" s="778"/>
      <c r="I918" s="778"/>
      <c r="J918" s="778"/>
      <c r="K918" s="778"/>
      <c r="L918" s="778"/>
      <c r="M918" s="778"/>
      <c r="N918" s="778"/>
      <c r="O918" s="778"/>
      <c r="P918" s="778"/>
      <c r="Q918" s="778"/>
      <c r="R918" s="778"/>
    </row>
    <row r="919" spans="1:46" ht="15.75" customHeight="1" x14ac:dyDescent="0.3">
      <c r="A919" s="448"/>
      <c r="B919" s="448"/>
      <c r="C919" s="448"/>
      <c r="D919" s="448"/>
      <c r="E919" s="448"/>
      <c r="F919" s="448"/>
      <c r="G919" s="448"/>
      <c r="H919" s="448"/>
      <c r="I919" s="448"/>
      <c r="J919" s="448"/>
      <c r="K919" s="448"/>
      <c r="L919" s="448"/>
      <c r="M919" s="448"/>
      <c r="N919" s="448"/>
      <c r="O919" s="448"/>
      <c r="P919" s="448"/>
      <c r="Q919" s="448"/>
      <c r="R919" s="448"/>
    </row>
    <row r="920" spans="1:46" ht="15.75" customHeight="1" x14ac:dyDescent="0.3">
      <c r="A920" s="18"/>
      <c r="B920" s="10"/>
      <c r="C920" s="10"/>
      <c r="D920" s="10"/>
      <c r="E920" s="10"/>
      <c r="F920" s="10"/>
      <c r="G920" s="10"/>
      <c r="H920" s="10"/>
      <c r="I920" s="10"/>
      <c r="J920" s="10"/>
      <c r="K920" s="10"/>
      <c r="L920" s="10"/>
      <c r="M920" s="10"/>
      <c r="N920" s="10"/>
      <c r="O920" s="10"/>
      <c r="P920" s="10"/>
      <c r="Q920" s="10"/>
      <c r="R920" s="17"/>
    </row>
    <row r="921" spans="1:46" ht="15.75" customHeight="1" thickBot="1" x14ac:dyDescent="0.35">
      <c r="A921" s="10"/>
      <c r="B921" s="10"/>
      <c r="C921" s="10"/>
      <c r="D921" s="10"/>
      <c r="E921" s="10"/>
      <c r="F921" s="10"/>
      <c r="G921" s="10"/>
      <c r="H921" s="10"/>
      <c r="I921" s="10"/>
      <c r="J921" s="10"/>
      <c r="K921" s="10"/>
      <c r="L921" s="10"/>
      <c r="M921" s="10"/>
      <c r="N921" s="10"/>
      <c r="O921" s="747"/>
      <c r="P921" s="10"/>
      <c r="Q921" s="10"/>
      <c r="R921" s="17"/>
    </row>
    <row r="922" spans="1:46" ht="15.75" customHeight="1" thickBot="1" x14ac:dyDescent="0.35">
      <c r="A922" s="274" t="s">
        <v>1088</v>
      </c>
      <c r="B922" s="25" t="s">
        <v>2090</v>
      </c>
      <c r="C922" s="26" t="s">
        <v>2091</v>
      </c>
      <c r="D922" s="26" t="s">
        <v>2234</v>
      </c>
      <c r="E922" s="33" t="s">
        <v>1594</v>
      </c>
      <c r="F922" s="26" t="s">
        <v>2235</v>
      </c>
      <c r="G922" s="26" t="s">
        <v>2236</v>
      </c>
      <c r="H922" s="26" t="s">
        <v>2237</v>
      </c>
      <c r="I922" s="33" t="s">
        <v>1595</v>
      </c>
      <c r="J922" s="26" t="s">
        <v>1504</v>
      </c>
      <c r="K922" s="26" t="s">
        <v>1505</v>
      </c>
      <c r="L922" s="26" t="s">
        <v>1506</v>
      </c>
      <c r="M922" s="33" t="s">
        <v>1596</v>
      </c>
      <c r="N922" s="26" t="s">
        <v>1507</v>
      </c>
      <c r="O922" s="26" t="s">
        <v>1508</v>
      </c>
      <c r="P922" s="26" t="s">
        <v>1509</v>
      </c>
      <c r="Q922" s="33" t="s">
        <v>1597</v>
      </c>
      <c r="R922" s="339" t="s">
        <v>1510</v>
      </c>
    </row>
    <row r="923" spans="1:46" ht="16.5" customHeight="1" thickBot="1" x14ac:dyDescent="0.35">
      <c r="A923" s="340"/>
      <c r="B923" s="748"/>
      <c r="C923" s="748"/>
      <c r="D923" s="748"/>
      <c r="E923" s="302"/>
      <c r="F923" s="748"/>
      <c r="G923" s="748"/>
      <c r="H923" s="748"/>
      <c r="I923" s="298"/>
      <c r="J923" s="748"/>
      <c r="K923" s="748"/>
      <c r="L923" s="748"/>
      <c r="M923" s="298"/>
      <c r="N923" s="748"/>
      <c r="O923" s="748"/>
      <c r="P923" s="748"/>
      <c r="Q923" s="323"/>
      <c r="R923" s="342"/>
    </row>
    <row r="924" spans="1:46" ht="16.5" customHeight="1" thickBot="1" x14ac:dyDescent="0.35">
      <c r="A924" s="343" t="s">
        <v>673</v>
      </c>
      <c r="B924" s="344">
        <f>+B890</f>
        <v>38301</v>
      </c>
      <c r="C924" s="344">
        <f>+C890</f>
        <v>42605</v>
      </c>
      <c r="D924" s="344">
        <f>+D890</f>
        <v>48001</v>
      </c>
      <c r="E924" s="45">
        <f>+SUM(B924:D924)</f>
        <v>128907</v>
      </c>
      <c r="F924" s="344">
        <f>+F890</f>
        <v>62497</v>
      </c>
      <c r="G924" s="344">
        <f>+G890</f>
        <v>72418</v>
      </c>
      <c r="H924" s="344">
        <f>+H890</f>
        <v>86155</v>
      </c>
      <c r="I924" s="45">
        <f>+SUM(F924:H924)</f>
        <v>221070</v>
      </c>
      <c r="J924" s="344">
        <f>+J890</f>
        <v>80576</v>
      </c>
      <c r="K924" s="344">
        <f>+K890</f>
        <v>73438</v>
      </c>
      <c r="L924" s="344">
        <f>+L890</f>
        <v>57478</v>
      </c>
      <c r="M924" s="45">
        <f>+SUM(J924:L924)</f>
        <v>211492</v>
      </c>
      <c r="N924" s="344">
        <f>+N890</f>
        <v>51939</v>
      </c>
      <c r="O924" s="344">
        <f>+O890</f>
        <v>35139</v>
      </c>
      <c r="P924" s="344">
        <f>+P890</f>
        <v>27345</v>
      </c>
      <c r="Q924" s="45">
        <f>+SUM(N924:P924)</f>
        <v>114423</v>
      </c>
      <c r="R924" s="37">
        <f>+E924+I924+M924+Q924</f>
        <v>675892</v>
      </c>
    </row>
    <row r="925" spans="1:46" ht="16.5" customHeight="1" thickBot="1" x14ac:dyDescent="0.35">
      <c r="A925" s="35"/>
      <c r="B925" s="45"/>
      <c r="C925" s="45"/>
      <c r="D925" s="45"/>
      <c r="E925" s="45"/>
      <c r="F925" s="45"/>
      <c r="G925" s="45"/>
      <c r="H925" s="45"/>
      <c r="I925" s="45"/>
      <c r="J925" s="45"/>
      <c r="K925" s="45"/>
      <c r="L925" s="45"/>
      <c r="M925" s="45"/>
      <c r="N925" s="45"/>
      <c r="O925" s="45"/>
      <c r="P925" s="45"/>
      <c r="Q925" s="45"/>
      <c r="R925" s="37"/>
    </row>
    <row r="926" spans="1:46" ht="16.5" customHeight="1" thickBot="1" x14ac:dyDescent="0.35">
      <c r="A926" s="343" t="s">
        <v>672</v>
      </c>
      <c r="B926" s="344">
        <f>+B895</f>
        <v>1871</v>
      </c>
      <c r="C926" s="344">
        <f>+C895</f>
        <v>4150</v>
      </c>
      <c r="D926" s="344">
        <f>+D895</f>
        <v>15196</v>
      </c>
      <c r="E926" s="45">
        <f>+SUM(B926:D926)</f>
        <v>21217</v>
      </c>
      <c r="F926" s="344">
        <f>+F895</f>
        <v>31994</v>
      </c>
      <c r="G926" s="344">
        <f>+G895</f>
        <v>29116</v>
      </c>
      <c r="H926" s="344">
        <f>+H895</f>
        <v>37416</v>
      </c>
      <c r="I926" s="45">
        <f>+SUM(F926:H926)</f>
        <v>98526</v>
      </c>
      <c r="J926" s="344">
        <f>+J895</f>
        <v>26402</v>
      </c>
      <c r="K926" s="344">
        <f>+K895</f>
        <v>23324</v>
      </c>
      <c r="L926" s="344">
        <f>+L895</f>
        <v>8430</v>
      </c>
      <c r="M926" s="45">
        <f>+SUM(J926:L926)</f>
        <v>58156</v>
      </c>
      <c r="N926" s="344">
        <f>+N895</f>
        <v>7373</v>
      </c>
      <c r="O926" s="344">
        <f>+O895</f>
        <v>4995</v>
      </c>
      <c r="P926" s="344">
        <f>+P895</f>
        <v>5182</v>
      </c>
      <c r="Q926" s="45">
        <f>+SUM(N926:P926)</f>
        <v>17550</v>
      </c>
      <c r="R926" s="37">
        <f>+E926+I926+M926+Q926</f>
        <v>195449</v>
      </c>
    </row>
    <row r="927" spans="1:46" ht="16.5" customHeight="1" thickBot="1" x14ac:dyDescent="0.35">
      <c r="A927" s="35"/>
      <c r="B927" s="45"/>
      <c r="C927" s="45"/>
      <c r="D927" s="45"/>
      <c r="E927" s="45"/>
      <c r="F927" s="45"/>
      <c r="G927" s="45"/>
      <c r="H927" s="45"/>
      <c r="I927" s="45"/>
      <c r="J927" s="45"/>
      <c r="K927" s="45"/>
      <c r="L927" s="45"/>
      <c r="M927" s="45"/>
      <c r="N927" s="45"/>
      <c r="O927" s="45"/>
      <c r="P927" s="45"/>
      <c r="Q927" s="45"/>
      <c r="R927" s="37"/>
      <c r="AC927" s="749"/>
      <c r="AD927" s="701"/>
      <c r="AE927" s="750" t="s">
        <v>2434</v>
      </c>
      <c r="AF927" s="701"/>
      <c r="AG927" s="701"/>
      <c r="AH927" s="701"/>
      <c r="AI927" s="701"/>
      <c r="AJ927" s="701"/>
      <c r="AK927" s="701" t="s">
        <v>2435</v>
      </c>
      <c r="AL927" s="701"/>
      <c r="AM927" s="701" t="s">
        <v>852</v>
      </c>
      <c r="AN927" s="751" t="str">
        <f>+A8</f>
        <v>Revised:  2/5/2020</v>
      </c>
      <c r="AO927" s="701"/>
      <c r="AP927" s="701"/>
      <c r="AQ927" s="701"/>
      <c r="AR927" s="701"/>
      <c r="AS927" s="752" t="str">
        <f>+Q1</f>
        <v xml:space="preserve">PRINTED:  </v>
      </c>
      <c r="AT927" s="753">
        <f ca="1">+R1</f>
        <v>44881.729633912037</v>
      </c>
    </row>
    <row r="928" spans="1:46" ht="16.5" customHeight="1" thickBot="1" x14ac:dyDescent="0.35">
      <c r="A928" s="343" t="s">
        <v>1089</v>
      </c>
      <c r="B928" s="344">
        <f>+B899</f>
        <v>32629</v>
      </c>
      <c r="C928" s="344">
        <f>+C899</f>
        <v>37666</v>
      </c>
      <c r="D928" s="344">
        <f>+D899</f>
        <v>54399</v>
      </c>
      <c r="E928" s="45">
        <f>+SUM(B928:D928)</f>
        <v>124694</v>
      </c>
      <c r="F928" s="344">
        <f>+F899</f>
        <v>57264</v>
      </c>
      <c r="G928" s="344">
        <f>+G899</f>
        <v>63280</v>
      </c>
      <c r="H928" s="344">
        <f>+H899</f>
        <v>79959</v>
      </c>
      <c r="I928" s="45">
        <f>+SUM(F928:H928)</f>
        <v>200503</v>
      </c>
      <c r="J928" s="344">
        <f>+J899</f>
        <v>61812</v>
      </c>
      <c r="K928" s="344">
        <f>+K899</f>
        <v>57415</v>
      </c>
      <c r="L928" s="344">
        <f>+L899</f>
        <v>51017</v>
      </c>
      <c r="M928" s="45">
        <f>+SUM(J928:L928)</f>
        <v>170244</v>
      </c>
      <c r="N928" s="344">
        <f>+N899</f>
        <v>36167</v>
      </c>
      <c r="O928" s="344">
        <f>+O899</f>
        <v>31108</v>
      </c>
      <c r="P928" s="344">
        <f>+P899</f>
        <v>19568</v>
      </c>
      <c r="Q928" s="45">
        <f>+SUM(N928:P928)</f>
        <v>86843</v>
      </c>
      <c r="R928" s="37">
        <f>+E928+I928+M928+Q928</f>
        <v>582284</v>
      </c>
      <c r="AC928" s="551"/>
      <c r="AD928" s="67"/>
      <c r="AE928" s="67"/>
      <c r="AF928" s="67">
        <f>++A5</f>
        <v>2022</v>
      </c>
      <c r="AG928" s="67"/>
      <c r="AH928" s="67"/>
      <c r="AI928" s="67"/>
      <c r="AJ928" s="67"/>
      <c r="AK928" s="67"/>
      <c r="AL928" s="67"/>
      <c r="AM928" s="67"/>
      <c r="AN928" s="67"/>
      <c r="AO928" s="67"/>
      <c r="AP928" s="67"/>
      <c r="AQ928" s="67"/>
      <c r="AR928" s="67"/>
      <c r="AS928" s="67"/>
      <c r="AT928" s="754"/>
    </row>
    <row r="929" spans="1:46" ht="16.5" customHeight="1" thickBot="1" x14ac:dyDescent="0.35">
      <c r="A929" s="35"/>
      <c r="B929" s="45"/>
      <c r="C929" s="45"/>
      <c r="D929" s="45"/>
      <c r="E929" s="45"/>
      <c r="F929" s="45"/>
      <c r="G929" s="45"/>
      <c r="H929" s="45"/>
      <c r="I929" s="45"/>
      <c r="J929" s="45"/>
      <c r="K929" s="45"/>
      <c r="L929" s="45"/>
      <c r="M929" s="45"/>
      <c r="N929" s="45"/>
      <c r="O929" s="45"/>
      <c r="P929" s="45"/>
      <c r="Q929" s="45"/>
      <c r="R929" s="37"/>
      <c r="AC929" s="551"/>
      <c r="AD929" s="67"/>
      <c r="AE929" s="67"/>
      <c r="AF929" s="67"/>
      <c r="AG929" s="67"/>
      <c r="AH929" s="67"/>
      <c r="AI929" s="67"/>
      <c r="AJ929" s="67"/>
      <c r="AK929" s="67"/>
      <c r="AL929" s="67"/>
      <c r="AM929" s="67"/>
      <c r="AN929" s="67"/>
      <c r="AO929" s="67"/>
      <c r="AP929" s="67"/>
      <c r="AQ929" s="67"/>
      <c r="AR929" s="67"/>
      <c r="AS929" s="67"/>
      <c r="AT929" s="754"/>
    </row>
    <row r="930" spans="1:46" ht="16.5" customHeight="1" thickBot="1" x14ac:dyDescent="0.35">
      <c r="A930" s="343" t="s">
        <v>1090</v>
      </c>
      <c r="B930" s="344">
        <f>+B908</f>
        <v>0</v>
      </c>
      <c r="C930" s="344">
        <f>+C908</f>
        <v>0</v>
      </c>
      <c r="D930" s="344">
        <f>+D908</f>
        <v>0</v>
      </c>
      <c r="E930" s="45">
        <f>+SUM(B930:D930)</f>
        <v>0</v>
      </c>
      <c r="F930" s="344">
        <f>+F908</f>
        <v>0</v>
      </c>
      <c r="G930" s="344">
        <f>+G908</f>
        <v>0</v>
      </c>
      <c r="H930" s="344">
        <f>+H908</f>
        <v>0</v>
      </c>
      <c r="I930" s="45">
        <f>+SUM(F930:H930)</f>
        <v>0</v>
      </c>
      <c r="J930" s="344">
        <f>+J908</f>
        <v>0</v>
      </c>
      <c r="K930" s="344">
        <f>+K908</f>
        <v>0</v>
      </c>
      <c r="L930" s="344">
        <f>+L908</f>
        <v>0</v>
      </c>
      <c r="M930" s="45">
        <f>+SUM(J930:L930)</f>
        <v>0</v>
      </c>
      <c r="N930" s="344">
        <f>+N908</f>
        <v>0</v>
      </c>
      <c r="O930" s="344">
        <f>+O908</f>
        <v>0</v>
      </c>
      <c r="P930" s="344">
        <f>+P908</f>
        <v>0</v>
      </c>
      <c r="Q930" s="45">
        <f>+SUM(N930:P930)</f>
        <v>0</v>
      </c>
      <c r="R930" s="37">
        <f>+E930+I930+M930+Q930</f>
        <v>0</v>
      </c>
      <c r="AC930" s="551"/>
      <c r="AD930" s="67"/>
      <c r="AE930" s="67"/>
      <c r="AF930" s="67"/>
      <c r="AG930" s="67"/>
      <c r="AH930" s="67"/>
      <c r="AI930" s="70" t="s">
        <v>2438</v>
      </c>
      <c r="AJ930" s="67"/>
      <c r="AK930" s="67"/>
      <c r="AL930" s="67"/>
      <c r="AM930" s="67"/>
      <c r="AN930" s="67"/>
      <c r="AO930" s="67"/>
      <c r="AP930" s="67"/>
      <c r="AQ930" s="67"/>
      <c r="AR930" s="67"/>
      <c r="AS930" s="67"/>
      <c r="AT930" s="754"/>
    </row>
    <row r="931" spans="1:46" ht="16.5" customHeight="1" thickBot="1" x14ac:dyDescent="0.35">
      <c r="A931" s="35"/>
      <c r="B931" s="45"/>
      <c r="C931" s="45"/>
      <c r="D931" s="45"/>
      <c r="E931" s="45"/>
      <c r="F931" s="45"/>
      <c r="G931" s="45"/>
      <c r="H931" s="45"/>
      <c r="I931" s="45"/>
      <c r="J931" s="45"/>
      <c r="K931" s="45"/>
      <c r="L931" s="45"/>
      <c r="M931" s="45"/>
      <c r="N931" s="45"/>
      <c r="O931" s="45"/>
      <c r="P931" s="45"/>
      <c r="Q931" s="45"/>
      <c r="R931" s="37"/>
      <c r="AC931" s="551"/>
      <c r="AD931" s="67" t="s">
        <v>2435</v>
      </c>
      <c r="AE931" s="67"/>
      <c r="AF931" s="70" t="s">
        <v>2436</v>
      </c>
      <c r="AG931" s="70" t="s">
        <v>2436</v>
      </c>
      <c r="AH931" s="70" t="s">
        <v>2437</v>
      </c>
      <c r="AI931" s="70" t="s">
        <v>525</v>
      </c>
      <c r="AJ931" s="70" t="s">
        <v>2439</v>
      </c>
      <c r="AK931" s="70" t="s">
        <v>2463</v>
      </c>
      <c r="AL931" s="70" t="s">
        <v>2356</v>
      </c>
      <c r="AM931" s="67" t="s">
        <v>2435</v>
      </c>
      <c r="AN931" s="70" t="s">
        <v>2464</v>
      </c>
      <c r="AO931" s="70" t="s">
        <v>2464</v>
      </c>
      <c r="AP931" s="70" t="s">
        <v>2464</v>
      </c>
      <c r="AQ931" s="67"/>
      <c r="AR931" s="67"/>
      <c r="AS931" s="67"/>
      <c r="AT931" s="754"/>
    </row>
    <row r="932" spans="1:46" ht="16.5" customHeight="1" thickBot="1" x14ac:dyDescent="0.4">
      <c r="A932" s="35" t="s">
        <v>574</v>
      </c>
      <c r="B932" s="47">
        <f t="shared" ref="B932:Q932" si="314">+SUM(B924:B930)</f>
        <v>72801</v>
      </c>
      <c r="C932" s="47">
        <f t="shared" si="314"/>
        <v>84421</v>
      </c>
      <c r="D932" s="47">
        <f t="shared" si="314"/>
        <v>117596</v>
      </c>
      <c r="E932" s="47">
        <f t="shared" si="314"/>
        <v>274818</v>
      </c>
      <c r="F932" s="47">
        <f t="shared" si="314"/>
        <v>151755</v>
      </c>
      <c r="G932" s="47">
        <f t="shared" si="314"/>
        <v>164814</v>
      </c>
      <c r="H932" s="47">
        <f t="shared" si="314"/>
        <v>203530</v>
      </c>
      <c r="I932" s="47">
        <f t="shared" si="314"/>
        <v>520099</v>
      </c>
      <c r="J932" s="47">
        <f t="shared" si="314"/>
        <v>168790</v>
      </c>
      <c r="K932" s="47">
        <f t="shared" si="314"/>
        <v>154177</v>
      </c>
      <c r="L932" s="47">
        <f t="shared" si="314"/>
        <v>116925</v>
      </c>
      <c r="M932" s="47">
        <f t="shared" si="314"/>
        <v>439892</v>
      </c>
      <c r="N932" s="47">
        <f t="shared" si="314"/>
        <v>95479</v>
      </c>
      <c r="O932" s="47">
        <f t="shared" si="314"/>
        <v>71242</v>
      </c>
      <c r="P932" s="47">
        <f t="shared" si="314"/>
        <v>52095</v>
      </c>
      <c r="Q932" s="47">
        <f t="shared" si="314"/>
        <v>218816</v>
      </c>
      <c r="R932" s="345">
        <f>+SUM(R924:R930)</f>
        <v>1453625</v>
      </c>
      <c r="AC932" s="551"/>
      <c r="AD932" s="70" t="s">
        <v>284</v>
      </c>
      <c r="AE932" s="70" t="s">
        <v>2379</v>
      </c>
      <c r="AF932" s="70" t="s">
        <v>844</v>
      </c>
      <c r="AG932" s="70" t="s">
        <v>844</v>
      </c>
      <c r="AH932" s="70" t="s">
        <v>845</v>
      </c>
      <c r="AI932" s="214" t="s">
        <v>955</v>
      </c>
      <c r="AJ932" s="70" t="s">
        <v>275</v>
      </c>
      <c r="AK932" s="70" t="s">
        <v>276</v>
      </c>
      <c r="AL932" s="70" t="s">
        <v>1554</v>
      </c>
      <c r="AM932" s="67" t="s">
        <v>2435</v>
      </c>
      <c r="AN932" s="70" t="s">
        <v>1555</v>
      </c>
      <c r="AO932" s="70" t="s">
        <v>955</v>
      </c>
      <c r="AP932" s="70" t="s">
        <v>1194</v>
      </c>
      <c r="AQ932" s="67"/>
      <c r="AR932" s="67"/>
      <c r="AS932" s="67"/>
      <c r="AT932" s="754"/>
    </row>
    <row r="933" spans="1:46" ht="15.75" customHeight="1" x14ac:dyDescent="0.35">
      <c r="A933" s="201"/>
      <c r="B933" s="286"/>
      <c r="C933" s="286"/>
      <c r="D933" s="286"/>
      <c r="E933" s="286"/>
      <c r="F933" s="286"/>
      <c r="G933" s="286"/>
      <c r="H933" s="544" t="s">
        <v>2538</v>
      </c>
      <c r="I933" s="286"/>
      <c r="J933" s="286"/>
      <c r="K933" s="286"/>
      <c r="L933" s="286"/>
      <c r="M933" s="286"/>
      <c r="N933" s="286"/>
      <c r="O933" s="286"/>
      <c r="P933" s="286"/>
      <c r="Q933" s="286"/>
      <c r="R933" s="286"/>
      <c r="AC933" s="551"/>
      <c r="AD933" s="70" t="s">
        <v>1193</v>
      </c>
      <c r="AE933" s="70" t="s">
        <v>956</v>
      </c>
      <c r="AF933" s="70" t="s">
        <v>333</v>
      </c>
      <c r="AG933" s="70" t="s">
        <v>334</v>
      </c>
      <c r="AH933" s="70" t="s">
        <v>335</v>
      </c>
      <c r="AI933" s="70" t="s">
        <v>335</v>
      </c>
      <c r="AJ933" s="70" t="s">
        <v>335</v>
      </c>
      <c r="AK933" s="70" t="s">
        <v>335</v>
      </c>
      <c r="AL933" s="70" t="s">
        <v>1486</v>
      </c>
      <c r="AM933" s="67" t="s">
        <v>2435</v>
      </c>
      <c r="AN933" s="70" t="s">
        <v>1487</v>
      </c>
      <c r="AO933" s="70" t="s">
        <v>929</v>
      </c>
      <c r="AP933" s="70" t="s">
        <v>929</v>
      </c>
      <c r="AQ933" s="67"/>
      <c r="AR933" s="67"/>
      <c r="AS933" s="67"/>
      <c r="AT933" s="754"/>
    </row>
    <row r="934" spans="1:46" ht="15.75" customHeight="1" x14ac:dyDescent="0.35">
      <c r="A934" s="201"/>
      <c r="B934" s="286"/>
      <c r="C934" s="286"/>
      <c r="D934" s="286"/>
      <c r="E934" s="286"/>
      <c r="F934" s="286"/>
      <c r="G934" s="286"/>
      <c r="H934" s="286"/>
      <c r="I934" s="286"/>
      <c r="J934" s="286"/>
      <c r="K934" s="286"/>
      <c r="L934" s="286"/>
      <c r="M934" s="286"/>
      <c r="N934" s="286"/>
      <c r="O934" s="286"/>
      <c r="P934" s="286"/>
      <c r="Q934" s="286"/>
      <c r="R934" s="286"/>
      <c r="AC934" s="551"/>
      <c r="AD934" s="70" t="s">
        <v>930</v>
      </c>
      <c r="AE934" s="70" t="s">
        <v>931</v>
      </c>
      <c r="AF934" s="70" t="s">
        <v>932</v>
      </c>
      <c r="AG934" s="70" t="s">
        <v>932</v>
      </c>
      <c r="AH934" s="70" t="s">
        <v>932</v>
      </c>
      <c r="AI934" s="70" t="s">
        <v>932</v>
      </c>
      <c r="AJ934" s="70" t="s">
        <v>932</v>
      </c>
      <c r="AK934" s="70" t="s">
        <v>932</v>
      </c>
      <c r="AL934" s="70" t="s">
        <v>932</v>
      </c>
      <c r="AM934" s="67" t="s">
        <v>2435</v>
      </c>
      <c r="AN934" s="70" t="s">
        <v>946</v>
      </c>
      <c r="AO934" s="70" t="s">
        <v>946</v>
      </c>
      <c r="AP934" s="70" t="s">
        <v>946</v>
      </c>
      <c r="AQ934" s="67"/>
      <c r="AR934" s="67"/>
      <c r="AS934" s="67"/>
      <c r="AT934" s="754"/>
    </row>
    <row r="935" spans="1:46" ht="15.75" customHeight="1" thickBot="1" x14ac:dyDescent="0.4">
      <c r="A935" s="201"/>
      <c r="B935" s="286"/>
      <c r="C935" s="286"/>
      <c r="D935" s="286"/>
      <c r="E935" s="286"/>
      <c r="F935" s="286"/>
      <c r="G935" s="286"/>
      <c r="H935" s="544"/>
      <c r="I935" s="286"/>
      <c r="J935" s="286"/>
      <c r="K935" s="286"/>
      <c r="L935" s="286"/>
      <c r="M935" s="286"/>
      <c r="N935" s="286"/>
      <c r="O935" s="286"/>
      <c r="P935" s="286"/>
      <c r="Q935" s="286"/>
      <c r="R935" s="286"/>
      <c r="AC935" s="551"/>
      <c r="AD935" s="67" t="s">
        <v>1353</v>
      </c>
      <c r="AE935" s="67" t="s">
        <v>1353</v>
      </c>
      <c r="AF935" s="67" t="s">
        <v>1353</v>
      </c>
      <c r="AG935" s="67" t="s">
        <v>1353</v>
      </c>
      <c r="AH935" s="67" t="s">
        <v>1353</v>
      </c>
      <c r="AI935" s="67" t="s">
        <v>1353</v>
      </c>
      <c r="AJ935" s="67" t="s">
        <v>1353</v>
      </c>
      <c r="AK935" s="67" t="s">
        <v>1353</v>
      </c>
      <c r="AL935" s="67" t="s">
        <v>1353</v>
      </c>
      <c r="AM935" s="67" t="s">
        <v>2435</v>
      </c>
      <c r="AN935" s="67" t="s">
        <v>1353</v>
      </c>
      <c r="AO935" s="67" t="s">
        <v>1353</v>
      </c>
      <c r="AP935" s="67" t="s">
        <v>1353</v>
      </c>
      <c r="AQ935" s="67"/>
      <c r="AR935" s="67"/>
      <c r="AS935" s="67"/>
      <c r="AT935" s="754"/>
    </row>
    <row r="936" spans="1:46" ht="15.75" customHeight="1" x14ac:dyDescent="0.3">
      <c r="A936" s="755"/>
      <c r="B936" s="821" t="s">
        <v>864</v>
      </c>
      <c r="C936" s="821"/>
      <c r="D936" s="821"/>
      <c r="E936" s="821"/>
      <c r="F936" s="821"/>
      <c r="G936" s="821"/>
      <c r="H936" s="821"/>
      <c r="I936" s="821"/>
      <c r="J936" s="821"/>
      <c r="K936" s="821"/>
      <c r="L936" s="821"/>
      <c r="M936" s="821"/>
      <c r="N936" s="821"/>
      <c r="O936" s="821"/>
      <c r="P936" s="821"/>
      <c r="Q936" s="752" t="str">
        <f>+Q1</f>
        <v xml:space="preserve">PRINTED:  </v>
      </c>
      <c r="R936" s="753">
        <f ca="1">+R1</f>
        <v>44881.729633912037</v>
      </c>
      <c r="AC936" s="553" t="s">
        <v>1354</v>
      </c>
      <c r="AD936" s="67">
        <f t="shared" ref="AD936:AD947" si="315">(F945)</f>
        <v>68000</v>
      </c>
      <c r="AE936" s="67">
        <f t="shared" ref="AE936:AE947" si="316">SUM($B$1000:$E$1000)+(T945-1526.8)/0.7702</f>
        <v>1629.9847636727463</v>
      </c>
      <c r="AF936" s="67">
        <f>(AD936*AE936/1000)</f>
        <v>110838.96392974675</v>
      </c>
      <c r="AG936" s="67">
        <f t="shared" ref="AG936:AG947" si="317">(((B945-F945)*B$1000)+((C945-F945)*C$1000)+((D945-F945)*D$1000)+((E945-F945)*E$1000))/1000</f>
        <v>104914.583</v>
      </c>
      <c r="AH936" s="67">
        <f>(AF936+AG936)</f>
        <v>215753.54692974675</v>
      </c>
      <c r="AI936" s="67">
        <f t="shared" ref="AI936:AI947" si="318">SUM(H1002:Q1002)</f>
        <v>24881</v>
      </c>
      <c r="AJ936" s="67">
        <f>+AH936+AI936</f>
        <v>240634.54692974675</v>
      </c>
      <c r="AK936" s="67">
        <f t="shared" ref="AK936:AK943" si="319">(G1030)</f>
        <v>0</v>
      </c>
      <c r="AL936" s="67">
        <f t="shared" ref="AL936:AL947" si="320">(AJ936-AK936)</f>
        <v>240634.54692974675</v>
      </c>
      <c r="AM936" s="67" t="s">
        <v>2435</v>
      </c>
      <c r="AN936" s="67">
        <f>+B945/31/1.98</f>
        <v>2313.6200716845879</v>
      </c>
      <c r="AO936" s="67">
        <f>(AD936*43560/31/24/3600)</f>
        <v>1105.9139784946235</v>
      </c>
      <c r="AP936" s="67">
        <f>+B334</f>
        <v>0</v>
      </c>
      <c r="AQ936" s="67"/>
      <c r="AR936" s="67"/>
      <c r="AS936" s="67"/>
      <c r="AT936" s="754"/>
    </row>
    <row r="937" spans="1:46" ht="15.75" customHeight="1" x14ac:dyDescent="0.3">
      <c r="A937" s="553"/>
      <c r="B937" s="786" t="str">
        <f>+A8</f>
        <v>Revised:  2/5/2020</v>
      </c>
      <c r="C937" s="786"/>
      <c r="D937" s="786"/>
      <c r="E937" s="786"/>
      <c r="F937" s="786"/>
      <c r="G937" s="786"/>
      <c r="H937" s="786"/>
      <c r="I937" s="786"/>
      <c r="J937" s="786"/>
      <c r="K937" s="786"/>
      <c r="L937" s="786"/>
      <c r="M937" s="786"/>
      <c r="N937" s="786"/>
      <c r="O937" s="786"/>
      <c r="P937" s="786"/>
      <c r="Q937" s="67"/>
      <c r="R937" s="754"/>
      <c r="AC937" s="553" t="s">
        <v>706</v>
      </c>
      <c r="AD937" s="67">
        <f t="shared" si="315"/>
        <v>42000</v>
      </c>
      <c r="AE937" s="67">
        <f t="shared" si="316"/>
        <v>1636.5564392523129</v>
      </c>
      <c r="AF937" s="67">
        <f>(AD937*AE937/1000)</f>
        <v>68735.370448597154</v>
      </c>
      <c r="AG937" s="67">
        <f t="shared" si="317"/>
        <v>122383.202</v>
      </c>
      <c r="AH937" s="67">
        <f t="shared" ref="AH937:AH947" si="321">(AF937+AG937)</f>
        <v>191118.57244859717</v>
      </c>
      <c r="AI937" s="67">
        <f t="shared" si="318"/>
        <v>33745</v>
      </c>
      <c r="AJ937" s="67">
        <f t="shared" ref="AJ937:AJ947" si="322">+AH937+AI937</f>
        <v>224863.57244859717</v>
      </c>
      <c r="AK937" s="67">
        <f t="shared" si="319"/>
        <v>0</v>
      </c>
      <c r="AL937" s="67">
        <f t="shared" si="320"/>
        <v>224863.57244859717</v>
      </c>
      <c r="AM937" s="67" t="s">
        <v>2435</v>
      </c>
      <c r="AN937" s="67">
        <f>+B946/28/1.98</f>
        <v>2314.9170274170278</v>
      </c>
      <c r="AO937" s="67">
        <f>(AD937*43560/29/24/3600)</f>
        <v>730.17241379310337</v>
      </c>
      <c r="AP937" s="67">
        <f>+C334</f>
        <v>0</v>
      </c>
      <c r="AQ937" s="67"/>
      <c r="AR937" s="67"/>
      <c r="AS937" s="67"/>
      <c r="AT937" s="754"/>
    </row>
    <row r="938" spans="1:46" ht="15.75" customHeight="1" x14ac:dyDescent="0.3">
      <c r="A938" s="553"/>
      <c r="B938" s="786" t="s">
        <v>2878</v>
      </c>
      <c r="C938" s="786"/>
      <c r="D938" s="786"/>
      <c r="E938" s="786"/>
      <c r="F938" s="786"/>
      <c r="G938" s="786"/>
      <c r="H938" s="786"/>
      <c r="I938" s="786"/>
      <c r="J938" s="786"/>
      <c r="K938" s="786"/>
      <c r="L938" s="786"/>
      <c r="M938" s="786"/>
      <c r="N938" s="786"/>
      <c r="O938" s="786"/>
      <c r="P938" s="786"/>
      <c r="Q938" s="67"/>
      <c r="R938" s="754"/>
      <c r="AC938" s="553" t="s">
        <v>707</v>
      </c>
      <c r="AD938" s="67">
        <f t="shared" si="315"/>
        <v>36000</v>
      </c>
      <c r="AE938" s="67">
        <f t="shared" si="316"/>
        <v>1641.5831885180719</v>
      </c>
      <c r="AF938" s="67">
        <f t="shared" ref="AF938:AF947" si="323">(AD938*AE938/1000)</f>
        <v>59096.99478665059</v>
      </c>
      <c r="AG938" s="67">
        <f t="shared" si="317"/>
        <v>172587.88699999999</v>
      </c>
      <c r="AH938" s="67">
        <f t="shared" si="321"/>
        <v>231684.88178665057</v>
      </c>
      <c r="AI938" s="67">
        <f t="shared" si="318"/>
        <v>41217</v>
      </c>
      <c r="AJ938" s="67">
        <f t="shared" si="322"/>
        <v>272901.88178665057</v>
      </c>
      <c r="AK938" s="67">
        <f t="shared" si="319"/>
        <v>0</v>
      </c>
      <c r="AL938" s="67">
        <f t="shared" si="320"/>
        <v>272901.88178665057</v>
      </c>
      <c r="AM938" s="67" t="s">
        <v>2435</v>
      </c>
      <c r="AN938" s="67">
        <f>+B947/31/1.98</f>
        <v>2574.3890518084067</v>
      </c>
      <c r="AO938" s="67">
        <f>(AD938*43560/31/24/3600)</f>
        <v>585.48387096774195</v>
      </c>
      <c r="AP938" s="67">
        <f>+D334</f>
        <v>0</v>
      </c>
      <c r="AQ938" s="67"/>
      <c r="AR938" s="67"/>
      <c r="AS938" s="67"/>
      <c r="AT938" s="754"/>
    </row>
    <row r="939" spans="1:46" ht="15.75" customHeight="1" x14ac:dyDescent="0.3">
      <c r="A939" s="553"/>
      <c r="B939" s="786"/>
      <c r="C939" s="786"/>
      <c r="D939" s="786"/>
      <c r="E939" s="786"/>
      <c r="F939" s="786"/>
      <c r="G939" s="786"/>
      <c r="H939" s="786"/>
      <c r="I939" s="786"/>
      <c r="J939" s="786"/>
      <c r="K939" s="786"/>
      <c r="L939" s="786"/>
      <c r="M939" s="786"/>
      <c r="N939" s="786"/>
      <c r="O939" s="786"/>
      <c r="P939" s="786"/>
      <c r="Q939" s="67"/>
      <c r="R939" s="754"/>
      <c r="AC939" s="553" t="s">
        <v>1321</v>
      </c>
      <c r="AD939" s="67">
        <f t="shared" si="315"/>
        <v>0</v>
      </c>
      <c r="AE939" s="67">
        <f t="shared" si="316"/>
        <v>1641.0687683280164</v>
      </c>
      <c r="AF939" s="67">
        <f t="shared" si="323"/>
        <v>0</v>
      </c>
      <c r="AG939" s="67">
        <f t="shared" si="317"/>
        <v>223681.139</v>
      </c>
      <c r="AH939" s="67">
        <f t="shared" si="321"/>
        <v>223681.139</v>
      </c>
      <c r="AI939" s="67">
        <f t="shared" si="318"/>
        <v>47312</v>
      </c>
      <c r="AJ939" s="67">
        <f t="shared" si="322"/>
        <v>270993.13899999997</v>
      </c>
      <c r="AK939" s="67">
        <f t="shared" si="319"/>
        <v>0</v>
      </c>
      <c r="AL939" s="67">
        <f t="shared" si="320"/>
        <v>270993.13899999997</v>
      </c>
      <c r="AM939" s="67" t="s">
        <v>2435</v>
      </c>
      <c r="AN939" s="67">
        <f>+B948/30/1.98</f>
        <v>2662.037037037037</v>
      </c>
      <c r="AO939" s="67">
        <f>(AD939*43560/30/24/3600)</f>
        <v>0</v>
      </c>
      <c r="AP939" s="67">
        <f>+F334</f>
        <v>0</v>
      </c>
      <c r="AQ939" s="67"/>
      <c r="AR939" s="67"/>
      <c r="AS939" s="67"/>
      <c r="AT939" s="754"/>
    </row>
    <row r="940" spans="1:46" ht="15.75" customHeight="1" x14ac:dyDescent="0.3">
      <c r="A940" s="553"/>
      <c r="B940" s="787">
        <f>+A5</f>
        <v>2022</v>
      </c>
      <c r="C940" s="787"/>
      <c r="D940" s="787"/>
      <c r="E940" s="787"/>
      <c r="F940" s="787"/>
      <c r="G940" s="787"/>
      <c r="H940" s="787"/>
      <c r="I940" s="787"/>
      <c r="J940" s="787"/>
      <c r="K940" s="787"/>
      <c r="L940" s="787"/>
      <c r="M940" s="787"/>
      <c r="N940" s="787"/>
      <c r="O940" s="787"/>
      <c r="P940" s="787"/>
      <c r="Q940" s="67"/>
      <c r="R940" s="754"/>
      <c r="AC940" s="553" t="s">
        <v>1905</v>
      </c>
      <c r="AD940" s="67">
        <f t="shared" si="315"/>
        <v>0</v>
      </c>
      <c r="AE940" s="67">
        <f t="shared" si="316"/>
        <v>1639.9829367416937</v>
      </c>
      <c r="AF940" s="67">
        <f t="shared" si="323"/>
        <v>0</v>
      </c>
      <c r="AG940" s="67">
        <f t="shared" si="317"/>
        <v>242839.399</v>
      </c>
      <c r="AH940" s="67">
        <f t="shared" si="321"/>
        <v>242839.399</v>
      </c>
      <c r="AI940" s="67">
        <f t="shared" si="318"/>
        <v>48520</v>
      </c>
      <c r="AJ940" s="67">
        <f t="shared" si="322"/>
        <v>291359.39899999998</v>
      </c>
      <c r="AK940" s="67">
        <f t="shared" si="319"/>
        <v>0</v>
      </c>
      <c r="AL940" s="67">
        <f t="shared" si="320"/>
        <v>291359.39899999998</v>
      </c>
      <c r="AM940" s="67" t="s">
        <v>2435</v>
      </c>
      <c r="AN940" s="67">
        <f>+B949/31/1.98</f>
        <v>2798.4359726295211</v>
      </c>
      <c r="AO940" s="67">
        <f>(AD940*43560/31/24/3600)</f>
        <v>0</v>
      </c>
      <c r="AP940" s="67">
        <f>+G334</f>
        <v>0</v>
      </c>
      <c r="AQ940" s="67"/>
      <c r="AR940" s="67"/>
      <c r="AS940" s="67"/>
      <c r="AT940" s="754"/>
    </row>
    <row r="941" spans="1:46" ht="15.75" customHeight="1" x14ac:dyDescent="0.3">
      <c r="A941" s="553"/>
      <c r="B941" s="786" t="s">
        <v>2918</v>
      </c>
      <c r="C941" s="786"/>
      <c r="D941" s="786"/>
      <c r="E941" s="786"/>
      <c r="F941" s="786"/>
      <c r="G941" s="786"/>
      <c r="H941" s="786"/>
      <c r="I941" s="786"/>
      <c r="J941" s="786"/>
      <c r="K941" s="786"/>
      <c r="L941" s="786"/>
      <c r="M941" s="786"/>
      <c r="N941" s="786"/>
      <c r="O941" s="786"/>
      <c r="P941" s="786"/>
      <c r="Q941" s="67"/>
      <c r="R941" s="754"/>
      <c r="AC941" s="553" t="s">
        <v>1906</v>
      </c>
      <c r="AD941" s="67">
        <f t="shared" si="315"/>
        <v>0</v>
      </c>
      <c r="AE941" s="67">
        <f t="shared" si="316"/>
        <v>1622.1097626421242</v>
      </c>
      <c r="AF941" s="67">
        <f t="shared" si="323"/>
        <v>0</v>
      </c>
      <c r="AG941" s="67">
        <f t="shared" si="317"/>
        <v>135777.93599999999</v>
      </c>
      <c r="AH941" s="67">
        <f t="shared" si="321"/>
        <v>135777.93599999999</v>
      </c>
      <c r="AI941" s="67">
        <f t="shared" si="318"/>
        <v>52818</v>
      </c>
      <c r="AJ941" s="67">
        <f t="shared" si="322"/>
        <v>188595.93599999999</v>
      </c>
      <c r="AK941" s="67">
        <f t="shared" si="319"/>
        <v>14722.143976076755</v>
      </c>
      <c r="AL941" s="67">
        <f t="shared" si="320"/>
        <v>173873.79202392322</v>
      </c>
      <c r="AM941" s="67" t="s">
        <v>2435</v>
      </c>
      <c r="AN941" s="67">
        <f>+B950/30/1.98</f>
        <v>1628.939393939394</v>
      </c>
      <c r="AO941" s="67">
        <f t="shared" ref="AO941:AO946" si="324">(AD941*43560/30/24/3600)</f>
        <v>0</v>
      </c>
      <c r="AP941" s="67">
        <f>+H334</f>
        <v>-1899.4789040174817</v>
      </c>
      <c r="AQ941" s="67"/>
      <c r="AR941" s="67"/>
      <c r="AS941" s="67"/>
      <c r="AT941" s="754"/>
    </row>
    <row r="942" spans="1:46" ht="15.75" customHeight="1" x14ac:dyDescent="0.3">
      <c r="A942" s="553"/>
      <c r="B942" s="67"/>
      <c r="C942" s="67"/>
      <c r="D942" s="67"/>
      <c r="E942" s="67"/>
      <c r="F942" s="67"/>
      <c r="G942" s="67"/>
      <c r="H942" s="67"/>
      <c r="I942" s="67"/>
      <c r="J942" s="67"/>
      <c r="K942" s="67"/>
      <c r="L942" s="67"/>
      <c r="M942" s="67"/>
      <c r="N942" s="67"/>
      <c r="O942" s="67"/>
      <c r="P942" s="67"/>
      <c r="Q942" s="67"/>
      <c r="R942" s="754"/>
      <c r="AC942" s="553" t="s">
        <v>1907</v>
      </c>
      <c r="AD942" s="67">
        <f t="shared" si="315"/>
        <v>0</v>
      </c>
      <c r="AE942" s="67">
        <f t="shared" si="316"/>
        <v>1600.6130039683467</v>
      </c>
      <c r="AF942" s="67">
        <f t="shared" si="323"/>
        <v>0</v>
      </c>
      <c r="AG942" s="67">
        <f t="shared" si="317"/>
        <v>71014.872000000003</v>
      </c>
      <c r="AH942" s="67">
        <f t="shared" si="321"/>
        <v>71014.872000000003</v>
      </c>
      <c r="AI942" s="67">
        <f t="shared" si="318"/>
        <v>48719</v>
      </c>
      <c r="AJ942" s="67">
        <f t="shared" si="322"/>
        <v>119733.872</v>
      </c>
      <c r="AK942" s="67">
        <f t="shared" si="319"/>
        <v>13061.009828780927</v>
      </c>
      <c r="AL942" s="67">
        <f t="shared" si="320"/>
        <v>106672.86217121908</v>
      </c>
      <c r="AM942" s="67" t="s">
        <v>2435</v>
      </c>
      <c r="AN942" s="67">
        <f>+B951/31/1.98</f>
        <v>835.59791463017268</v>
      </c>
      <c r="AO942" s="67">
        <f t="shared" si="324"/>
        <v>0</v>
      </c>
      <c r="AP942" s="67">
        <f>+J334</f>
        <v>-2017.1457387796268</v>
      </c>
      <c r="AQ942" s="67"/>
      <c r="AR942" s="67"/>
      <c r="AS942" s="67"/>
      <c r="AT942" s="754"/>
    </row>
    <row r="943" spans="1:46" ht="15.75" customHeight="1" thickBot="1" x14ac:dyDescent="0.35">
      <c r="A943" s="553" t="s">
        <v>845</v>
      </c>
      <c r="B943" s="634" t="s">
        <v>1308</v>
      </c>
      <c r="C943" s="634" t="s">
        <v>1309</v>
      </c>
      <c r="D943" s="634" t="s">
        <v>1029</v>
      </c>
      <c r="E943" s="634" t="s">
        <v>1030</v>
      </c>
      <c r="F943" s="634" t="s">
        <v>284</v>
      </c>
      <c r="G943" s="634" t="s">
        <v>284</v>
      </c>
      <c r="H943" s="634" t="s">
        <v>285</v>
      </c>
      <c r="I943" s="634" t="s">
        <v>286</v>
      </c>
      <c r="J943" s="634" t="s">
        <v>287</v>
      </c>
      <c r="K943" s="634" t="s">
        <v>288</v>
      </c>
      <c r="L943" s="634" t="s">
        <v>289</v>
      </c>
      <c r="M943" s="634" t="s">
        <v>633</v>
      </c>
      <c r="N943" s="634" t="s">
        <v>634</v>
      </c>
      <c r="O943" s="634" t="s">
        <v>1192</v>
      </c>
      <c r="P943" s="634" t="s">
        <v>524</v>
      </c>
      <c r="Q943" s="634" t="s">
        <v>525</v>
      </c>
      <c r="R943" s="754"/>
      <c r="T943" s="350" t="s">
        <v>2756</v>
      </c>
      <c r="AC943" s="553" t="s">
        <v>1908</v>
      </c>
      <c r="AD943" s="67">
        <f t="shared" si="315"/>
        <v>0</v>
      </c>
      <c r="AE943" s="67">
        <f t="shared" si="316"/>
        <v>1579.7469939559605</v>
      </c>
      <c r="AF943" s="67">
        <f t="shared" si="323"/>
        <v>0</v>
      </c>
      <c r="AG943" s="67">
        <f t="shared" si="317"/>
        <v>71538.487999999998</v>
      </c>
      <c r="AH943" s="67">
        <f t="shared" si="321"/>
        <v>71538.487999999998</v>
      </c>
      <c r="AI943" s="67">
        <f t="shared" si="318"/>
        <v>50303</v>
      </c>
      <c r="AJ943" s="67">
        <f t="shared" si="322"/>
        <v>121841.488</v>
      </c>
      <c r="AK943" s="67">
        <f t="shared" si="319"/>
        <v>8678.6812625504645</v>
      </c>
      <c r="AL943" s="67">
        <f t="shared" si="320"/>
        <v>113162.80673744953</v>
      </c>
      <c r="AM943" s="67" t="s">
        <v>2435</v>
      </c>
      <c r="AN943" s="67">
        <f>+B952/31/1.98</f>
        <v>836.90127077223849</v>
      </c>
      <c r="AO943" s="67">
        <f t="shared" si="324"/>
        <v>0</v>
      </c>
      <c r="AP943" s="67">
        <f>+K334</f>
        <v>-1740.601564914678</v>
      </c>
      <c r="AQ943" s="67"/>
      <c r="AR943" s="67"/>
      <c r="AS943" s="67"/>
      <c r="AT943" s="754"/>
    </row>
    <row r="944" spans="1:46" ht="15.75" customHeight="1" x14ac:dyDescent="0.3">
      <c r="A944" s="553"/>
      <c r="B944" s="67"/>
      <c r="C944" s="67"/>
      <c r="D944" s="67"/>
      <c r="E944" s="67"/>
      <c r="F944" s="70" t="s">
        <v>1193</v>
      </c>
      <c r="G944" s="70" t="s">
        <v>1194</v>
      </c>
      <c r="H944" s="67"/>
      <c r="I944" s="67"/>
      <c r="J944" s="67"/>
      <c r="K944" s="67"/>
      <c r="L944" s="67"/>
      <c r="M944" s="67"/>
      <c r="N944" s="67"/>
      <c r="O944" s="67"/>
      <c r="P944" s="67"/>
      <c r="Q944" s="67"/>
      <c r="R944" s="754"/>
      <c r="AC944" s="553" t="s">
        <v>2352</v>
      </c>
      <c r="AD944" s="67">
        <f t="shared" si="315"/>
        <v>0</v>
      </c>
      <c r="AE944" s="67">
        <f t="shared" si="316"/>
        <v>1579.7159395223177</v>
      </c>
      <c r="AF944" s="67">
        <f t="shared" si="323"/>
        <v>0</v>
      </c>
      <c r="AG944" s="67">
        <f t="shared" si="317"/>
        <v>172769.06899999999</v>
      </c>
      <c r="AH944" s="67">
        <f t="shared" si="321"/>
        <v>172769.06899999999</v>
      </c>
      <c r="AI944" s="67">
        <f t="shared" si="318"/>
        <v>40297</v>
      </c>
      <c r="AJ944" s="67">
        <f t="shared" si="322"/>
        <v>213066.06899999999</v>
      </c>
      <c r="AK944" s="67">
        <v>0</v>
      </c>
      <c r="AL944" s="67">
        <f t="shared" si="320"/>
        <v>213066.06899999999</v>
      </c>
      <c r="AM944" s="67" t="s">
        <v>2435</v>
      </c>
      <c r="AN944" s="67">
        <f>+B953/30/1.98</f>
        <v>2055.0841750841751</v>
      </c>
      <c r="AO944" s="67">
        <f t="shared" si="324"/>
        <v>0</v>
      </c>
      <c r="AP944" s="67">
        <f>+L334</f>
        <v>0</v>
      </c>
      <c r="AQ944" s="67"/>
      <c r="AR944" s="67"/>
      <c r="AS944" s="67"/>
      <c r="AT944" s="754"/>
    </row>
    <row r="945" spans="1:50" ht="15.75" customHeight="1" x14ac:dyDescent="0.3">
      <c r="A945" s="139" t="s">
        <v>2843</v>
      </c>
      <c r="B945" s="67">
        <f>+B29</f>
        <v>142010</v>
      </c>
      <c r="C945" s="67">
        <f>+B64</f>
        <v>141913</v>
      </c>
      <c r="D945" s="67">
        <f>+B136</f>
        <v>141817</v>
      </c>
      <c r="E945" s="67">
        <f>+B324</f>
        <v>139329</v>
      </c>
      <c r="F945" s="67">
        <f>+B319</f>
        <v>68000</v>
      </c>
      <c r="G945" s="67">
        <f>+B331</f>
        <v>0</v>
      </c>
      <c r="H945" s="67">
        <f>+B513</f>
        <v>47458</v>
      </c>
      <c r="I945" s="67">
        <f>+B563</f>
        <v>16134</v>
      </c>
      <c r="J945" s="67">
        <f>+B608</f>
        <v>15976</v>
      </c>
      <c r="K945" s="67">
        <f>+B673</f>
        <v>15893</v>
      </c>
      <c r="L945" s="67">
        <f>+B683</f>
        <v>12524</v>
      </c>
      <c r="M945" s="67">
        <f>+B719</f>
        <v>12504</v>
      </c>
      <c r="N945" s="67">
        <f>+B771</f>
        <v>12114</v>
      </c>
      <c r="O945" s="67">
        <f>+B781</f>
        <v>3940</v>
      </c>
      <c r="P945" s="67">
        <f>+B815</f>
        <v>3805</v>
      </c>
      <c r="Q945" s="67">
        <f>+B868</f>
        <v>3938</v>
      </c>
      <c r="R945" s="754"/>
      <c r="T945" s="619">
        <f>'Lake Pleasant Forecast'!B131</f>
        <v>1683.9090649807492</v>
      </c>
      <c r="AC945" s="553" t="s">
        <v>2353</v>
      </c>
      <c r="AD945" s="67">
        <f t="shared" si="315"/>
        <v>62000</v>
      </c>
      <c r="AE945" s="67">
        <f t="shared" si="316"/>
        <v>1592.0071389455518</v>
      </c>
      <c r="AF945" s="67">
        <f t="shared" si="323"/>
        <v>98704.442614624219</v>
      </c>
      <c r="AG945" s="67">
        <f t="shared" si="317"/>
        <v>143765.47099999999</v>
      </c>
      <c r="AH945" s="67">
        <f t="shared" si="321"/>
        <v>242469.91361462421</v>
      </c>
      <c r="AI945" s="67">
        <f t="shared" si="318"/>
        <v>25955</v>
      </c>
      <c r="AJ945" s="67">
        <f t="shared" si="322"/>
        <v>268424.91361462418</v>
      </c>
      <c r="AK945" s="67">
        <v>0</v>
      </c>
      <c r="AL945" s="67">
        <f t="shared" si="320"/>
        <v>268424.91361462418</v>
      </c>
      <c r="AM945" s="67" t="s">
        <v>2435</v>
      </c>
      <c r="AN945" s="67">
        <f>+B954/31/1.98</f>
        <v>2665.1352231997394</v>
      </c>
      <c r="AO945" s="67">
        <f t="shared" si="324"/>
        <v>1041.9444444444443</v>
      </c>
      <c r="AP945" s="67">
        <f>+N334</f>
        <v>0</v>
      </c>
      <c r="AQ945" s="67"/>
      <c r="AR945" s="67"/>
      <c r="AS945" s="67"/>
      <c r="AT945" s="754"/>
    </row>
    <row r="946" spans="1:50" ht="15.75" customHeight="1" x14ac:dyDescent="0.3">
      <c r="A946" s="139" t="s">
        <v>2091</v>
      </c>
      <c r="B946" s="67">
        <f>+C29</f>
        <v>128339</v>
      </c>
      <c r="C946" s="67">
        <f>+C64</f>
        <v>128191</v>
      </c>
      <c r="D946" s="67">
        <f>+C136</f>
        <v>128046</v>
      </c>
      <c r="E946" s="67">
        <f>+C324</f>
        <v>125231</v>
      </c>
      <c r="F946" s="67">
        <f>+C319</f>
        <v>42000</v>
      </c>
      <c r="G946" s="67">
        <f>+C331</f>
        <v>0</v>
      </c>
      <c r="H946" s="67">
        <f>+C513</f>
        <v>59029</v>
      </c>
      <c r="I946" s="67">
        <f>+C563</f>
        <v>24021</v>
      </c>
      <c r="J946" s="67">
        <f>+C608</f>
        <v>23856</v>
      </c>
      <c r="K946" s="67">
        <f>+C673</f>
        <v>23253</v>
      </c>
      <c r="L946" s="67">
        <f>+C683</f>
        <v>18444</v>
      </c>
      <c r="M946" s="67">
        <f>+C719</f>
        <v>18422</v>
      </c>
      <c r="N946" s="67">
        <f>+C771</f>
        <v>17761</v>
      </c>
      <c r="O946" s="67">
        <f>+C781</f>
        <v>3773</v>
      </c>
      <c r="P946" s="67">
        <f>+C815</f>
        <v>3805</v>
      </c>
      <c r="Q946" s="67">
        <f>+C868</f>
        <v>3770</v>
      </c>
      <c r="R946" s="754"/>
      <c r="T946" s="619">
        <f>'Lake Pleasant Forecast'!B133</f>
        <v>1688.9705695121313</v>
      </c>
      <c r="AC946" s="553" t="s">
        <v>2354</v>
      </c>
      <c r="AD946" s="67">
        <f t="shared" si="315"/>
        <v>82000</v>
      </c>
      <c r="AE946" s="67">
        <f t="shared" si="316"/>
        <v>1606.8788544146696</v>
      </c>
      <c r="AF946" s="67">
        <f t="shared" si="323"/>
        <v>131764.06606200291</v>
      </c>
      <c r="AG946" s="67">
        <f t="shared" si="317"/>
        <v>104844.443</v>
      </c>
      <c r="AH946" s="67">
        <f t="shared" si="321"/>
        <v>236608.50906200291</v>
      </c>
      <c r="AI946" s="67">
        <f t="shared" si="318"/>
        <v>12025</v>
      </c>
      <c r="AJ946" s="67">
        <f t="shared" si="322"/>
        <v>248633.50906200291</v>
      </c>
      <c r="AK946" s="67">
        <f>(G1040)</f>
        <v>0</v>
      </c>
      <c r="AL946" s="67">
        <f t="shared" si="320"/>
        <v>248633.50906200291</v>
      </c>
      <c r="AM946" s="67" t="s">
        <v>2435</v>
      </c>
      <c r="AN946" s="67">
        <f>+B955/30/1.98</f>
        <v>2627.5252525252527</v>
      </c>
      <c r="AO946" s="67">
        <f t="shared" si="324"/>
        <v>1378.0555555555557</v>
      </c>
      <c r="AP946" s="67">
        <f>+O334</f>
        <v>0</v>
      </c>
      <c r="AQ946" s="67"/>
      <c r="AR946" s="67"/>
      <c r="AS946" s="67"/>
      <c r="AT946" s="754"/>
    </row>
    <row r="947" spans="1:50" ht="15.75" customHeight="1" x14ac:dyDescent="0.3">
      <c r="A947" s="139" t="s">
        <v>2234</v>
      </c>
      <c r="B947" s="67">
        <f>+D29</f>
        <v>158016</v>
      </c>
      <c r="C947" s="67">
        <f>+D64</f>
        <v>157742</v>
      </c>
      <c r="D947" s="67">
        <f>+D136</f>
        <v>157481</v>
      </c>
      <c r="E947" s="67">
        <f>+D324</f>
        <v>152057</v>
      </c>
      <c r="F947" s="67">
        <f>+D319</f>
        <v>36000</v>
      </c>
      <c r="G947" s="67">
        <f>+D331</f>
        <v>0</v>
      </c>
      <c r="H947" s="67">
        <f>+D513</f>
        <v>85051</v>
      </c>
      <c r="I947" s="67">
        <f>+D563</f>
        <v>32052</v>
      </c>
      <c r="J947" s="67">
        <f>+D608</f>
        <v>29047</v>
      </c>
      <c r="K947" s="67">
        <f>+D673</f>
        <v>27032</v>
      </c>
      <c r="L947" s="67">
        <f>+D683</f>
        <v>20519</v>
      </c>
      <c r="M947" s="67">
        <f>+D719</f>
        <v>20491</v>
      </c>
      <c r="N947" s="67">
        <f>+D771</f>
        <v>19507</v>
      </c>
      <c r="O947" s="67">
        <f>+D781</f>
        <v>4042</v>
      </c>
      <c r="P947" s="67">
        <f>+D815</f>
        <v>4757</v>
      </c>
      <c r="Q947" s="67">
        <f>+D868</f>
        <v>4037</v>
      </c>
      <c r="R947" s="754"/>
      <c r="T947" s="619">
        <f>'Lake Pleasant Forecast'!B135</f>
        <v>1692.8421717966189</v>
      </c>
      <c r="AC947" s="553" t="s">
        <v>2355</v>
      </c>
      <c r="AD947" s="67">
        <f t="shared" si="315"/>
        <v>25000</v>
      </c>
      <c r="AE947" s="67">
        <f t="shared" si="316"/>
        <v>1611.3366128823654</v>
      </c>
      <c r="AF947" s="67">
        <f t="shared" si="323"/>
        <v>40283.41532205914</v>
      </c>
      <c r="AG947" s="67">
        <f t="shared" si="317"/>
        <v>75614.784</v>
      </c>
      <c r="AH947" s="67">
        <f t="shared" si="321"/>
        <v>115898.19932205914</v>
      </c>
      <c r="AI947" s="67">
        <f t="shared" si="318"/>
        <v>7796</v>
      </c>
      <c r="AJ947" s="67">
        <f t="shared" si="322"/>
        <v>123694.19932205914</v>
      </c>
      <c r="AK947" s="67">
        <f>(G1041)</f>
        <v>0</v>
      </c>
      <c r="AL947" s="67">
        <f t="shared" si="320"/>
        <v>123694.19932205914</v>
      </c>
      <c r="AM947" s="67" t="s">
        <v>2435</v>
      </c>
      <c r="AN947" s="67">
        <f>+B956/31/1.98</f>
        <v>1279.2114695340504</v>
      </c>
      <c r="AO947" s="67">
        <f>(AD947*43560/31/24/3600)</f>
        <v>406.58602150537638</v>
      </c>
      <c r="AP947" s="67">
        <f>+P334</f>
        <v>0</v>
      </c>
      <c r="AQ947" s="67"/>
      <c r="AR947" s="67"/>
      <c r="AS947" s="67"/>
      <c r="AT947" s="754"/>
    </row>
    <row r="948" spans="1:50" ht="15.75" customHeight="1" x14ac:dyDescent="0.3">
      <c r="A948" s="139" t="s">
        <v>2235</v>
      </c>
      <c r="B948" s="67">
        <f>+F29</f>
        <v>158125</v>
      </c>
      <c r="C948" s="67">
        <f>+F64</f>
        <v>157758</v>
      </c>
      <c r="D948" s="67">
        <f>+F136</f>
        <v>157408</v>
      </c>
      <c r="E948" s="67">
        <f>+F324</f>
        <v>150506</v>
      </c>
      <c r="F948" s="67">
        <f>+F319</f>
        <v>0</v>
      </c>
      <c r="G948" s="67">
        <f>+F331</f>
        <v>0</v>
      </c>
      <c r="H948" s="67">
        <f>+F513</f>
        <v>110855</v>
      </c>
      <c r="I948" s="67">
        <f>+F563</f>
        <v>40588</v>
      </c>
      <c r="J948" s="67">
        <f>+F608</f>
        <v>31081</v>
      </c>
      <c r="K948" s="67">
        <f>+F673</f>
        <v>27442</v>
      </c>
      <c r="L948" s="67">
        <f>+F683</f>
        <v>21944</v>
      </c>
      <c r="M948" s="67">
        <f>+F719</f>
        <v>21907</v>
      </c>
      <c r="N948" s="67">
        <f>+F771</f>
        <v>20719</v>
      </c>
      <c r="O948" s="67">
        <f>+F781</f>
        <v>5099</v>
      </c>
      <c r="P948" s="67">
        <f>+F815</f>
        <v>5708</v>
      </c>
      <c r="Q948" s="67">
        <f>+F868</f>
        <v>5092</v>
      </c>
      <c r="R948" s="754"/>
      <c r="T948" s="619">
        <f>'Lake Pleasant Forecast'!B137</f>
        <v>1692.4459653662382</v>
      </c>
      <c r="AC948" s="551"/>
      <c r="AD948" s="67"/>
      <c r="AE948" s="67"/>
      <c r="AF948" s="67"/>
      <c r="AG948" s="67"/>
      <c r="AH948" s="67"/>
      <c r="AI948" s="67"/>
      <c r="AJ948" s="67"/>
      <c r="AK948" s="67"/>
      <c r="AL948" s="67"/>
      <c r="AM948" s="67" t="s">
        <v>2435</v>
      </c>
      <c r="AN948" s="67"/>
      <c r="AO948" s="67"/>
      <c r="AP948" s="67"/>
      <c r="AQ948" s="67"/>
      <c r="AR948" s="67"/>
      <c r="AS948" s="67"/>
      <c r="AT948" s="754"/>
    </row>
    <row r="949" spans="1:50" ht="15.75" customHeight="1" x14ac:dyDescent="0.3">
      <c r="A949" s="139" t="s">
        <v>2236</v>
      </c>
      <c r="B949" s="67">
        <f>+G29</f>
        <v>171768</v>
      </c>
      <c r="C949" s="67">
        <f>+G64</f>
        <v>171343</v>
      </c>
      <c r="D949" s="67">
        <f>+G136</f>
        <v>170941</v>
      </c>
      <c r="E949" s="67">
        <f>+G324</f>
        <v>162891</v>
      </c>
      <c r="F949" s="67">
        <f>+G319</f>
        <v>0</v>
      </c>
      <c r="G949" s="67">
        <f>+G331</f>
        <v>0</v>
      </c>
      <c r="H949" s="67">
        <f>+G513</f>
        <v>108978</v>
      </c>
      <c r="I949" s="67">
        <f>+G563</f>
        <v>35906</v>
      </c>
      <c r="J949" s="67">
        <f>+G608</f>
        <v>31890</v>
      </c>
      <c r="K949" s="67">
        <f>+G673</f>
        <v>29433</v>
      </c>
      <c r="L949" s="67">
        <f>+G683</f>
        <v>23387</v>
      </c>
      <c r="M949" s="67">
        <f>+G719</f>
        <v>23345</v>
      </c>
      <c r="N949" s="67">
        <f>+G771</f>
        <v>21974</v>
      </c>
      <c r="O949" s="67">
        <f>+G781</f>
        <v>5828</v>
      </c>
      <c r="P949" s="67">
        <f>+G815</f>
        <v>6659</v>
      </c>
      <c r="Q949" s="67">
        <f>+G868</f>
        <v>5820</v>
      </c>
      <c r="R949" s="754"/>
      <c r="T949" s="619">
        <f>'Lake Pleasant Forecast'!B139</f>
        <v>1691.6096578784525</v>
      </c>
      <c r="AC949" s="551" t="s">
        <v>2356</v>
      </c>
      <c r="AD949" s="67">
        <f>SUM(AD936:AD947)</f>
        <v>315000</v>
      </c>
      <c r="AE949" s="67"/>
      <c r="AF949" s="67">
        <f t="shared" ref="AF949:AL949" si="325">SUM(AF936:AF947)</f>
        <v>509423.25316368073</v>
      </c>
      <c r="AG949" s="67">
        <f t="shared" si="325"/>
        <v>1641731.2729999996</v>
      </c>
      <c r="AH949" s="67">
        <f t="shared" si="325"/>
        <v>2151154.5261636805</v>
      </c>
      <c r="AI949" s="67">
        <f t="shared" si="325"/>
        <v>433588</v>
      </c>
      <c r="AJ949" s="67">
        <f t="shared" si="325"/>
        <v>2584742.5261636805</v>
      </c>
      <c r="AK949" s="67">
        <f t="shared" si="325"/>
        <v>36461.835067408145</v>
      </c>
      <c r="AL949" s="67">
        <f t="shared" si="325"/>
        <v>2548280.6910962723</v>
      </c>
      <c r="AM949" s="67"/>
      <c r="AN949" s="67"/>
      <c r="AO949" s="67"/>
      <c r="AP949" s="67"/>
      <c r="AQ949" s="67"/>
      <c r="AR949" s="67"/>
      <c r="AS949" s="67"/>
      <c r="AT949" s="754"/>
    </row>
    <row r="950" spans="1:50" ht="15.75" customHeight="1" x14ac:dyDescent="0.3">
      <c r="A950" s="139" t="s">
        <v>2237</v>
      </c>
      <c r="B950" s="67">
        <f>+H29</f>
        <v>96759</v>
      </c>
      <c r="C950" s="67">
        <f>+H64</f>
        <v>96342</v>
      </c>
      <c r="D950" s="67">
        <f>+H136</f>
        <v>95946</v>
      </c>
      <c r="E950" s="67">
        <f>+H324</f>
        <v>87419</v>
      </c>
      <c r="F950" s="67">
        <f>+H319</f>
        <v>0</v>
      </c>
      <c r="G950" s="67">
        <f>+H331</f>
        <v>-113000</v>
      </c>
      <c r="H950" s="67">
        <f>+H513</f>
        <v>144315</v>
      </c>
      <c r="I950" s="67">
        <f>+H563</f>
        <v>44809</v>
      </c>
      <c r="J950" s="67">
        <f>+H608</f>
        <v>32824</v>
      </c>
      <c r="K950" s="67">
        <f>+H673</f>
        <v>28267</v>
      </c>
      <c r="L950" s="67">
        <f>+H683</f>
        <v>22344</v>
      </c>
      <c r="M950" s="67">
        <f>+H719</f>
        <v>22300</v>
      </c>
      <c r="N950" s="67">
        <f>+H771</f>
        <v>20578</v>
      </c>
      <c r="O950" s="67">
        <f>+H781</f>
        <v>5875</v>
      </c>
      <c r="P950" s="67">
        <f>+H815</f>
        <v>6850</v>
      </c>
      <c r="Q950" s="67">
        <f>+H868</f>
        <v>5866</v>
      </c>
      <c r="R950" s="754"/>
      <c r="T950" s="619">
        <f>'Lake Pleasant Forecast'!B141</f>
        <v>1677.8437391869641</v>
      </c>
      <c r="AC950" s="551"/>
      <c r="AD950" s="67"/>
      <c r="AE950" s="67"/>
      <c r="AF950" s="67"/>
      <c r="AG950" s="67"/>
      <c r="AH950" s="67"/>
      <c r="AI950" s="67"/>
      <c r="AJ950" s="67"/>
      <c r="AK950" s="67"/>
      <c r="AL950" s="67"/>
      <c r="AM950" s="67"/>
      <c r="AN950" s="67"/>
      <c r="AO950" s="67"/>
      <c r="AP950" s="67"/>
      <c r="AQ950" s="67"/>
      <c r="AR950" s="67"/>
      <c r="AS950" s="67"/>
      <c r="AT950" s="754"/>
    </row>
    <row r="951" spans="1:50" ht="15.75" customHeight="1" x14ac:dyDescent="0.3">
      <c r="A951" s="139" t="s">
        <v>1504</v>
      </c>
      <c r="B951" s="67">
        <f>+J29</f>
        <v>51289</v>
      </c>
      <c r="C951" s="67">
        <f>+J64</f>
        <v>50873</v>
      </c>
      <c r="D951" s="67">
        <f>+J136</f>
        <v>50479</v>
      </c>
      <c r="E951" s="67">
        <f>+J324</f>
        <v>42299</v>
      </c>
      <c r="F951" s="67">
        <f>+J319</f>
        <v>0</v>
      </c>
      <c r="G951" s="67">
        <f>+J331</f>
        <v>-124000</v>
      </c>
      <c r="H951" s="67">
        <f>+J513</f>
        <v>115881</v>
      </c>
      <c r="I951" s="67">
        <f>+J563</f>
        <v>43718</v>
      </c>
      <c r="J951" s="67">
        <f>+J608</f>
        <v>32744</v>
      </c>
      <c r="K951" s="67">
        <f>+J673</f>
        <v>27806</v>
      </c>
      <c r="L951" s="67">
        <f>+J683</f>
        <v>22380</v>
      </c>
      <c r="M951" s="67">
        <f>+J719</f>
        <v>22341</v>
      </c>
      <c r="N951" s="67">
        <f>+J771</f>
        <v>20022</v>
      </c>
      <c r="O951" s="67">
        <f>+J781</f>
        <v>4825</v>
      </c>
      <c r="P951" s="67">
        <f>+J815</f>
        <v>6184</v>
      </c>
      <c r="Q951" s="67">
        <f>+J868</f>
        <v>4818</v>
      </c>
      <c r="R951" s="754"/>
      <c r="T951" s="619">
        <f>'Lake Pleasant Forecast'!B143</f>
        <v>1661.2869356564206</v>
      </c>
      <c r="AC951" s="551" t="s">
        <v>1696</v>
      </c>
      <c r="AD951" s="67"/>
      <c r="AE951" s="67"/>
      <c r="AF951" s="67"/>
      <c r="AG951" s="67"/>
      <c r="AH951" s="67"/>
      <c r="AI951" s="67"/>
      <c r="AJ951" s="67"/>
      <c r="AK951" s="67"/>
      <c r="AL951" s="67"/>
      <c r="AM951" s="67"/>
      <c r="AN951" s="67"/>
      <c r="AO951" s="67"/>
      <c r="AP951" s="67"/>
      <c r="AQ951" s="67"/>
      <c r="AR951" s="67"/>
      <c r="AS951" s="67"/>
      <c r="AT951" s="754"/>
    </row>
    <row r="952" spans="1:50" ht="15.75" customHeight="1" x14ac:dyDescent="0.3">
      <c r="A952" s="139" t="s">
        <v>1505</v>
      </c>
      <c r="B952" s="67">
        <f>+K29</f>
        <v>51369</v>
      </c>
      <c r="C952" s="67">
        <f>+K64</f>
        <v>51035</v>
      </c>
      <c r="D952" s="67">
        <f>+K136</f>
        <v>50717</v>
      </c>
      <c r="E952" s="67">
        <f>+K324</f>
        <v>44111</v>
      </c>
      <c r="F952" s="67">
        <f>+K319</f>
        <v>0</v>
      </c>
      <c r="G952" s="67">
        <f>+K331</f>
        <v>-107000</v>
      </c>
      <c r="H952" s="67">
        <f>+K513</f>
        <v>102517</v>
      </c>
      <c r="I952" s="67">
        <f>+K563</f>
        <v>42504</v>
      </c>
      <c r="J952" s="67">
        <f>+K608</f>
        <v>33026</v>
      </c>
      <c r="K952" s="67">
        <f>+K673</f>
        <v>28949</v>
      </c>
      <c r="L952" s="67">
        <f>+K683</f>
        <v>24301</v>
      </c>
      <c r="M952" s="67">
        <f>+K719</f>
        <v>24265</v>
      </c>
      <c r="N952" s="67">
        <f>+K771</f>
        <v>22448</v>
      </c>
      <c r="O952" s="67">
        <f>+K781</f>
        <v>7704</v>
      </c>
      <c r="P952" s="67">
        <f>+K815</f>
        <v>5708</v>
      </c>
      <c r="Q952" s="67">
        <f>+K868</f>
        <v>7698</v>
      </c>
      <c r="R952" s="754"/>
      <c r="T952" s="619">
        <f>'Lake Pleasant Forecast'!B145</f>
        <v>1645.2159347448808</v>
      </c>
      <c r="AC952" s="551" t="s">
        <v>785</v>
      </c>
      <c r="AD952" s="67"/>
      <c r="AE952" s="67"/>
      <c r="AF952" s="67"/>
      <c r="AG952" s="67"/>
      <c r="AH952" s="67"/>
      <c r="AI952" s="67"/>
      <c r="AJ952" s="67"/>
      <c r="AK952" s="67"/>
      <c r="AL952" s="67"/>
      <c r="AM952" s="67"/>
      <c r="AN952" s="67"/>
      <c r="AO952" s="67"/>
      <c r="AP952" s="67"/>
      <c r="AQ952" s="67"/>
      <c r="AR952" s="67"/>
      <c r="AS952" s="67"/>
      <c r="AT952" s="754"/>
    </row>
    <row r="953" spans="1:50" ht="15.75" customHeight="1" x14ac:dyDescent="0.3">
      <c r="A953" s="139" t="s">
        <v>1506</v>
      </c>
      <c r="B953" s="67">
        <f>+L29</f>
        <v>122072</v>
      </c>
      <c r="C953" s="67">
        <f>+L64</f>
        <v>121756</v>
      </c>
      <c r="D953" s="67">
        <f>+L136</f>
        <v>121455</v>
      </c>
      <c r="E953" s="67">
        <f>+L324</f>
        <v>116647</v>
      </c>
      <c r="F953" s="67">
        <f>+L319</f>
        <v>0</v>
      </c>
      <c r="G953" s="67">
        <f>+L331</f>
        <v>0</v>
      </c>
      <c r="H953" s="67">
        <f>+L513</f>
        <v>73936</v>
      </c>
      <c r="I953" s="67">
        <f>+L563</f>
        <v>27194</v>
      </c>
      <c r="J953" s="67">
        <f>+L608</f>
        <v>26163</v>
      </c>
      <c r="K953" s="67">
        <f>+L673</f>
        <v>24383</v>
      </c>
      <c r="L953" s="67">
        <f>+L683</f>
        <v>22264</v>
      </c>
      <c r="M953" s="67">
        <f>+L719</f>
        <v>22230</v>
      </c>
      <c r="N953" s="67">
        <f>+L771</f>
        <v>20813</v>
      </c>
      <c r="O953" s="67">
        <f>+L781</f>
        <v>6350</v>
      </c>
      <c r="P953" s="67">
        <f>+L815</f>
        <v>5232</v>
      </c>
      <c r="Q953" s="67">
        <f>+L868</f>
        <v>6344</v>
      </c>
      <c r="R953" s="754"/>
      <c r="T953" s="619">
        <f>'Lake Pleasant Forecast'!B147</f>
        <v>1645.1920166200891</v>
      </c>
      <c r="AC953" s="551"/>
      <c r="AD953" s="67"/>
      <c r="AE953" s="67"/>
      <c r="AF953" s="67"/>
      <c r="AG953" s="67"/>
      <c r="AH953" s="67"/>
      <c r="AI953" s="67"/>
      <c r="AJ953" s="67"/>
      <c r="AK953" s="67"/>
      <c r="AL953" s="67"/>
      <c r="AM953" s="67"/>
      <c r="AN953" s="67"/>
      <c r="AO953" s="67"/>
      <c r="AP953" s="67"/>
      <c r="AQ953" s="67"/>
      <c r="AR953" s="67"/>
      <c r="AS953" s="67"/>
      <c r="AT953" s="754"/>
    </row>
    <row r="954" spans="1:50" ht="15.75" customHeight="1" x14ac:dyDescent="0.3">
      <c r="A954" s="139" t="s">
        <v>1507</v>
      </c>
      <c r="B954" s="67">
        <f>+N29</f>
        <v>163586</v>
      </c>
      <c r="C954" s="67">
        <f>+N64</f>
        <v>163301</v>
      </c>
      <c r="D954" s="67">
        <f>+N136</f>
        <v>163029</v>
      </c>
      <c r="E954" s="67">
        <f>+N324</f>
        <v>159065</v>
      </c>
      <c r="F954" s="67">
        <f>+N319</f>
        <v>62000</v>
      </c>
      <c r="G954" s="67">
        <f>+N331</f>
        <v>0</v>
      </c>
      <c r="H954" s="67">
        <f>+N513</f>
        <v>57102</v>
      </c>
      <c r="I954" s="67">
        <f>+N563</f>
        <v>16475</v>
      </c>
      <c r="J954" s="67">
        <f>+N608</f>
        <v>15452</v>
      </c>
      <c r="K954" s="67">
        <f>+N673</f>
        <v>14478</v>
      </c>
      <c r="L954" s="67">
        <f>+N683</f>
        <v>12867</v>
      </c>
      <c r="M954" s="67">
        <f>+N719</f>
        <v>12838</v>
      </c>
      <c r="N954" s="67">
        <f>+N771</f>
        <v>12224</v>
      </c>
      <c r="O954" s="67">
        <f>+N781</f>
        <v>4187</v>
      </c>
      <c r="P954" s="67">
        <f>+N815</f>
        <v>4757</v>
      </c>
      <c r="Q954" s="67">
        <f>+N868</f>
        <v>4182</v>
      </c>
      <c r="R954" s="754"/>
      <c r="T954" s="619">
        <f>'Lake Pleasant Forecast'!B149</f>
        <v>1654.6586984158639</v>
      </c>
      <c r="AC954" s="551" t="s">
        <v>440</v>
      </c>
      <c r="AD954" s="67"/>
      <c r="AE954" s="67"/>
      <c r="AF954" s="67"/>
      <c r="AG954" s="67"/>
      <c r="AH954" s="67"/>
      <c r="AI954" s="67"/>
      <c r="AJ954" s="67"/>
      <c r="AK954" s="67"/>
      <c r="AL954" s="67"/>
      <c r="AM954" s="67"/>
      <c r="AN954" s="67"/>
      <c r="AO954" s="67"/>
      <c r="AP954" s="67"/>
      <c r="AQ954" s="67"/>
      <c r="AR954" s="67"/>
      <c r="AS954" s="67"/>
      <c r="AT954" s="754"/>
    </row>
    <row r="955" spans="1:50" ht="15.75" customHeight="1" x14ac:dyDescent="0.3">
      <c r="A955" s="139" t="s">
        <v>1508</v>
      </c>
      <c r="B955" s="67">
        <f>+O29</f>
        <v>156075</v>
      </c>
      <c r="C955" s="67">
        <f>+O64</f>
        <v>155840</v>
      </c>
      <c r="D955" s="67">
        <f>+O136</f>
        <v>155614</v>
      </c>
      <c r="E955" s="67">
        <f>+O324</f>
        <v>152884</v>
      </c>
      <c r="F955" s="67">
        <f>+O319</f>
        <v>82000</v>
      </c>
      <c r="G955" s="67">
        <f>+O331</f>
        <v>0</v>
      </c>
      <c r="H955" s="67">
        <f>+O513</f>
        <v>38968</v>
      </c>
      <c r="I955" s="67">
        <f>+O563</f>
        <v>5645</v>
      </c>
      <c r="J955" s="67">
        <f>+O608</f>
        <v>5127</v>
      </c>
      <c r="K955" s="67">
        <f>+O673</f>
        <v>4869</v>
      </c>
      <c r="L955" s="67">
        <f>+O683</f>
        <v>3297</v>
      </c>
      <c r="M955" s="67">
        <f>+O719</f>
        <v>3274</v>
      </c>
      <c r="N955" s="67">
        <f>+O771</f>
        <v>3163</v>
      </c>
      <c r="O955" s="67">
        <f>+O781</f>
        <v>2863</v>
      </c>
      <c r="P955" s="67">
        <f>+O815</f>
        <v>4281</v>
      </c>
      <c r="Q955" s="67">
        <f>+O868</f>
        <v>2860</v>
      </c>
      <c r="R955" s="754"/>
      <c r="T955" s="619">
        <f>'Lake Pleasant Forecast'!B151</f>
        <v>1666.1128936701784</v>
      </c>
      <c r="AC955" s="551"/>
      <c r="AD955" s="67"/>
      <c r="AE955" s="67"/>
      <c r="AF955" s="67"/>
      <c r="AG955" s="67"/>
      <c r="AH955" s="67"/>
      <c r="AI955" s="67"/>
      <c r="AJ955" s="67"/>
      <c r="AK955" s="67"/>
      <c r="AL955" s="67"/>
      <c r="AM955" s="67"/>
      <c r="AN955" s="67"/>
      <c r="AO955" s="67"/>
      <c r="AP955" s="67"/>
      <c r="AQ955" s="67"/>
      <c r="AR955" s="67"/>
      <c r="AS955" s="67"/>
      <c r="AT955" s="754"/>
    </row>
    <row r="956" spans="1:50" ht="15.75" customHeight="1" thickBot="1" x14ac:dyDescent="0.35">
      <c r="A956" s="139" t="s">
        <v>1509</v>
      </c>
      <c r="B956" s="67">
        <f>+P29</f>
        <v>78518</v>
      </c>
      <c r="C956" s="67">
        <f>+P64</f>
        <v>78332</v>
      </c>
      <c r="D956" s="67">
        <f>+P136</f>
        <v>78153</v>
      </c>
      <c r="E956" s="67">
        <f>+P324</f>
        <v>75630</v>
      </c>
      <c r="F956" s="67">
        <f>+P319</f>
        <v>25000</v>
      </c>
      <c r="G956" s="67">
        <f>+P331</f>
        <v>0</v>
      </c>
      <c r="H956" s="67">
        <f>+P513</f>
        <v>23769</v>
      </c>
      <c r="I956" s="67">
        <f>+P563</f>
        <v>3467</v>
      </c>
      <c r="J956" s="67">
        <f>+P608</f>
        <v>3102</v>
      </c>
      <c r="K956" s="67">
        <f>+P673</f>
        <v>2920</v>
      </c>
      <c r="L956" s="67">
        <f>+P683</f>
        <v>2882</v>
      </c>
      <c r="M956" s="67">
        <f>+P719</f>
        <v>2863</v>
      </c>
      <c r="N956" s="67">
        <f>+P771</f>
        <v>2354</v>
      </c>
      <c r="O956" s="67">
        <f>+P781</f>
        <v>1393</v>
      </c>
      <c r="P956" s="67">
        <f>+P815</f>
        <v>3805</v>
      </c>
      <c r="Q956" s="67">
        <f>+P868</f>
        <v>1391</v>
      </c>
      <c r="R956" s="754"/>
      <c r="T956" s="619">
        <f>'Lake Pleasant Forecast'!B153</f>
        <v>1669.5462592419979</v>
      </c>
      <c r="AC956" s="554" t="s">
        <v>1480</v>
      </c>
      <c r="AD956" s="555"/>
      <c r="AE956" s="555"/>
      <c r="AF956" s="555"/>
      <c r="AG956" s="555"/>
      <c r="AH956" s="555"/>
      <c r="AI956" s="555"/>
      <c r="AJ956" s="555"/>
      <c r="AK956" s="555"/>
      <c r="AL956" s="555"/>
      <c r="AM956" s="555"/>
      <c r="AN956" s="555"/>
      <c r="AO956" s="555"/>
      <c r="AP956" s="555"/>
      <c r="AQ956" s="555"/>
      <c r="AR956" s="555"/>
      <c r="AS956" s="555"/>
      <c r="AT956" s="556"/>
    </row>
    <row r="957" spans="1:50" ht="15.75" customHeight="1" x14ac:dyDescent="0.3">
      <c r="A957" s="553"/>
      <c r="B957" s="67"/>
      <c r="C957" s="67"/>
      <c r="D957" s="67"/>
      <c r="E957" s="67"/>
      <c r="F957" s="67"/>
      <c r="G957" s="67"/>
      <c r="H957" s="67"/>
      <c r="I957" s="67"/>
      <c r="J957" s="67"/>
      <c r="K957" s="67"/>
      <c r="L957" s="67"/>
      <c r="M957" s="67"/>
      <c r="N957" s="67"/>
      <c r="O957" s="67"/>
      <c r="P957" s="67"/>
      <c r="Q957" s="67"/>
      <c r="R957" s="754"/>
    </row>
    <row r="958" spans="1:50" ht="15.75" customHeight="1" thickBot="1" x14ac:dyDescent="0.35">
      <c r="A958" s="553" t="s">
        <v>2356</v>
      </c>
      <c r="B958" s="67">
        <f t="shared" ref="B958:Q958" si="326">SUM(B945:B956)</f>
        <v>1477926</v>
      </c>
      <c r="C958" s="67">
        <f t="shared" si="326"/>
        <v>1474426</v>
      </c>
      <c r="D958" s="67">
        <f t="shared" si="326"/>
        <v>1471086</v>
      </c>
      <c r="E958" s="67">
        <f t="shared" si="326"/>
        <v>1408069</v>
      </c>
      <c r="F958" s="67">
        <f t="shared" si="326"/>
        <v>315000</v>
      </c>
      <c r="G958" s="67">
        <f t="shared" si="326"/>
        <v>-344000</v>
      </c>
      <c r="H958" s="67">
        <f t="shared" si="326"/>
        <v>967859</v>
      </c>
      <c r="I958" s="67">
        <f t="shared" si="326"/>
        <v>332513</v>
      </c>
      <c r="J958" s="67">
        <f t="shared" si="326"/>
        <v>280288</v>
      </c>
      <c r="K958" s="67">
        <f t="shared" si="326"/>
        <v>254725</v>
      </c>
      <c r="L958" s="67">
        <f t="shared" si="326"/>
        <v>207153</v>
      </c>
      <c r="M958" s="67">
        <f t="shared" si="326"/>
        <v>206780</v>
      </c>
      <c r="N958" s="67">
        <f t="shared" si="326"/>
        <v>193677</v>
      </c>
      <c r="O958" s="67">
        <f t="shared" si="326"/>
        <v>55879</v>
      </c>
      <c r="P958" s="67">
        <f t="shared" si="326"/>
        <v>61551</v>
      </c>
      <c r="Q958" s="67">
        <f t="shared" si="326"/>
        <v>55816</v>
      </c>
      <c r="R958" s="754"/>
    </row>
    <row r="959" spans="1:50" ht="15.75" customHeight="1" thickBot="1" x14ac:dyDescent="0.35">
      <c r="A959" s="581"/>
      <c r="B959" s="581"/>
      <c r="C959" s="581"/>
      <c r="D959" s="581"/>
      <c r="E959" s="581"/>
      <c r="F959" s="581"/>
      <c r="G959" s="581"/>
      <c r="H959" s="581"/>
      <c r="I959" s="581"/>
      <c r="J959" s="581"/>
      <c r="K959" s="581"/>
      <c r="L959" s="581"/>
      <c r="M959" s="581"/>
      <c r="N959" s="581"/>
      <c r="O959" s="581"/>
      <c r="P959" s="581"/>
      <c r="Q959" s="581"/>
      <c r="R959" s="556"/>
      <c r="AC959" s="749"/>
      <c r="AD959" s="701"/>
      <c r="AE959" s="701"/>
      <c r="AF959" s="701"/>
      <c r="AG959" s="701"/>
      <c r="AH959" s="701"/>
      <c r="AI959" s="701"/>
      <c r="AJ959" s="701"/>
      <c r="AK959" s="701"/>
      <c r="AL959" s="701"/>
      <c r="AM959" s="701"/>
      <c r="AN959" s="701"/>
      <c r="AO959" s="701"/>
      <c r="AP959" s="701"/>
      <c r="AQ959" s="701"/>
      <c r="AR959" s="701"/>
      <c r="AS959" s="752" t="str">
        <f>+Q1</f>
        <v xml:space="preserve">PRINTED:  </v>
      </c>
      <c r="AT959" s="756">
        <f ca="1">+R1</f>
        <v>44881.729633912037</v>
      </c>
      <c r="AU959" s="702"/>
      <c r="AW959" s="71" t="s">
        <v>253</v>
      </c>
      <c r="AX959" s="67"/>
    </row>
    <row r="960" spans="1:50" ht="15.75" customHeight="1" x14ac:dyDescent="0.35">
      <c r="A960" s="703"/>
      <c r="B960" s="703"/>
      <c r="C960" s="703"/>
      <c r="D960" s="703"/>
      <c r="E960" s="703"/>
      <c r="F960" s="703"/>
      <c r="G960" s="703"/>
      <c r="H960" s="703"/>
      <c r="I960" s="703"/>
      <c r="J960" s="703"/>
      <c r="K960" s="703"/>
      <c r="L960" s="703"/>
      <c r="M960" s="703"/>
      <c r="N960" s="703"/>
      <c r="O960" s="703"/>
      <c r="P960" s="703"/>
      <c r="Q960" s="703"/>
      <c r="R960" s="701"/>
      <c r="AC960" s="551"/>
      <c r="AD960" s="67"/>
      <c r="AE960" s="71" t="s">
        <v>2125</v>
      </c>
      <c r="AF960" s="67"/>
      <c r="AG960" s="67"/>
      <c r="AH960" s="67"/>
      <c r="AI960" s="67"/>
      <c r="AJ960" s="67"/>
      <c r="AK960" s="67"/>
      <c r="AL960" s="67"/>
      <c r="AM960" s="67"/>
      <c r="AN960" s="215"/>
      <c r="AO960" s="71" t="s">
        <v>1456</v>
      </c>
      <c r="AP960" s="67"/>
      <c r="AQ960" s="67"/>
      <c r="AR960" s="67"/>
      <c r="AS960" s="67"/>
      <c r="AT960" s="67"/>
      <c r="AU960" s="727"/>
      <c r="AW960" s="67" t="s">
        <v>254</v>
      </c>
      <c r="AX960" s="67"/>
    </row>
    <row r="961" spans="1:50" ht="16.5" customHeight="1" x14ac:dyDescent="0.3">
      <c r="A961" s="553" t="s">
        <v>852</v>
      </c>
      <c r="B961" s="67"/>
      <c r="C961" s="67"/>
      <c r="D961" s="67"/>
      <c r="E961" s="67"/>
      <c r="F961" s="67"/>
      <c r="G961" s="67"/>
      <c r="H961" s="67"/>
      <c r="I961" s="67"/>
      <c r="J961" s="67"/>
      <c r="K961" s="67"/>
      <c r="L961" s="67"/>
      <c r="M961" s="67"/>
      <c r="N961" s="67"/>
      <c r="O961" s="67"/>
      <c r="P961" s="67"/>
      <c r="Q961" s="67"/>
      <c r="R961" s="67"/>
      <c r="AC961" s="551"/>
      <c r="AD961" s="67"/>
      <c r="AE961" s="67"/>
      <c r="AF961" s="67"/>
      <c r="AG961" s="67" t="s">
        <v>852</v>
      </c>
      <c r="AH961" s="69" t="str">
        <f>+A8</f>
        <v>Revised:  2/5/2020</v>
      </c>
      <c r="AI961" s="67"/>
      <c r="AJ961" s="67"/>
      <c r="AK961" s="67"/>
      <c r="AL961" s="67"/>
      <c r="AM961" s="67"/>
      <c r="AN961" s="67"/>
      <c r="AO961" s="67"/>
      <c r="AP961" s="67"/>
      <c r="AQ961" s="67"/>
      <c r="AR961" s="67" t="s">
        <v>852</v>
      </c>
      <c r="AS961" s="69" t="str">
        <f>+A8</f>
        <v>Revised:  2/5/2020</v>
      </c>
      <c r="AT961" s="67"/>
      <c r="AU961" s="727"/>
      <c r="AW961" s="67"/>
      <c r="AX961" s="67"/>
    </row>
    <row r="962" spans="1:50" ht="15.75" customHeight="1" x14ac:dyDescent="0.3">
      <c r="A962" s="70"/>
      <c r="B962" s="67"/>
      <c r="C962" s="67"/>
      <c r="D962" s="67"/>
      <c r="E962" s="67"/>
      <c r="F962" s="67"/>
      <c r="G962" s="67"/>
      <c r="H962" s="67"/>
      <c r="I962" s="67"/>
      <c r="J962" s="67"/>
      <c r="K962" s="67"/>
      <c r="L962" s="67"/>
      <c r="M962" s="67"/>
      <c r="N962" s="67"/>
      <c r="O962" s="67"/>
      <c r="P962" s="67"/>
      <c r="Q962" s="67"/>
      <c r="R962" s="67"/>
      <c r="AC962" s="551"/>
      <c r="AD962" s="67"/>
      <c r="AE962" s="67"/>
      <c r="AF962" s="67" t="s">
        <v>2545</v>
      </c>
      <c r="AG962" s="67"/>
      <c r="AH962" s="67"/>
      <c r="AI962" s="67"/>
      <c r="AJ962" s="67"/>
      <c r="AK962" s="67"/>
      <c r="AL962" s="67"/>
      <c r="AM962" s="67"/>
      <c r="AN962" s="67"/>
      <c r="AO962" s="67"/>
      <c r="AP962" s="67" t="s">
        <v>2545</v>
      </c>
      <c r="AQ962" s="67"/>
      <c r="AR962" s="67"/>
      <c r="AS962" s="67"/>
      <c r="AT962" s="67"/>
      <c r="AU962" s="727"/>
      <c r="AW962" s="67" t="s">
        <v>2435</v>
      </c>
      <c r="AX962" s="70" t="s">
        <v>335</v>
      </c>
    </row>
    <row r="963" spans="1:50" ht="15.75" customHeight="1" x14ac:dyDescent="0.3">
      <c r="A963" s="139"/>
      <c r="AC963" s="551"/>
      <c r="AD963" s="67"/>
      <c r="AE963" s="67"/>
      <c r="AF963" s="67"/>
      <c r="AG963" s="67"/>
      <c r="AH963" s="67"/>
      <c r="AI963" s="67"/>
      <c r="AJ963" s="67"/>
      <c r="AK963" s="67"/>
      <c r="AL963" s="67"/>
      <c r="AM963" s="67"/>
      <c r="AN963" s="67"/>
      <c r="AO963" s="67"/>
      <c r="AP963" s="67"/>
      <c r="AQ963" s="67"/>
      <c r="AR963" s="67"/>
      <c r="AS963" s="67"/>
      <c r="AT963" s="67"/>
      <c r="AU963" s="727"/>
      <c r="AW963" s="70" t="s">
        <v>335</v>
      </c>
      <c r="AX963" s="70" t="s">
        <v>956</v>
      </c>
    </row>
    <row r="964" spans="1:50" ht="15.75" customHeight="1" thickBot="1" x14ac:dyDescent="0.35">
      <c r="A964" s="139"/>
      <c r="AC964" s="551"/>
      <c r="AD964" s="67"/>
      <c r="AE964" s="67"/>
      <c r="AF964" s="67"/>
      <c r="AG964" s="67">
        <f>+A5</f>
        <v>2022</v>
      </c>
      <c r="AH964" s="67"/>
      <c r="AI964" s="67"/>
      <c r="AJ964" s="67"/>
      <c r="AK964" s="67"/>
      <c r="AL964" s="67"/>
      <c r="AM964" s="67"/>
      <c r="AN964" s="67"/>
      <c r="AO964" s="67"/>
      <c r="AP964" s="67"/>
      <c r="AQ964" s="67"/>
      <c r="AR964" s="67">
        <f>+A5</f>
        <v>2022</v>
      </c>
      <c r="AS964" s="67"/>
      <c r="AT964" s="67"/>
      <c r="AU964" s="727"/>
      <c r="AW964" s="70" t="s">
        <v>998</v>
      </c>
      <c r="AX964" s="70" t="s">
        <v>2201</v>
      </c>
    </row>
    <row r="965" spans="1:50" ht="15.75" customHeight="1" x14ac:dyDescent="0.3">
      <c r="A965" s="755"/>
      <c r="B965" s="821" t="s">
        <v>1898</v>
      </c>
      <c r="C965" s="821"/>
      <c r="D965" s="821"/>
      <c r="E965" s="821"/>
      <c r="F965" s="821"/>
      <c r="G965" s="821"/>
      <c r="H965" s="821"/>
      <c r="I965" s="821"/>
      <c r="J965" s="821"/>
      <c r="K965" s="821"/>
      <c r="L965" s="821"/>
      <c r="M965" s="821"/>
      <c r="N965" s="821"/>
      <c r="O965" s="821"/>
      <c r="P965" s="821"/>
      <c r="Q965" s="752" t="str">
        <f>+Q1</f>
        <v xml:space="preserve">PRINTED:  </v>
      </c>
      <c r="R965" s="753">
        <f ca="1">+R1</f>
        <v>44881.729633912037</v>
      </c>
      <c r="AC965" s="551"/>
      <c r="AD965" s="67"/>
      <c r="AE965" s="67"/>
      <c r="AF965" s="67"/>
      <c r="AG965" s="67" t="s">
        <v>1199</v>
      </c>
      <c r="AH965" s="67"/>
      <c r="AI965" s="67"/>
      <c r="AJ965" s="67"/>
      <c r="AK965" s="67"/>
      <c r="AL965" s="67"/>
      <c r="AM965" s="67"/>
      <c r="AN965" s="67"/>
      <c r="AO965" s="67"/>
      <c r="AP965" s="67"/>
      <c r="AQ965" s="67"/>
      <c r="AR965" s="67" t="s">
        <v>1199</v>
      </c>
      <c r="AS965" s="67"/>
      <c r="AT965" s="67"/>
      <c r="AU965" s="727"/>
      <c r="AW965" s="70" t="s">
        <v>1353</v>
      </c>
      <c r="AX965" s="70" t="s">
        <v>1353</v>
      </c>
    </row>
    <row r="966" spans="1:50" ht="15.75" customHeight="1" x14ac:dyDescent="0.3">
      <c r="A966" s="553"/>
      <c r="B966" s="786" t="str">
        <f>+A8</f>
        <v>Revised:  2/5/2020</v>
      </c>
      <c r="C966" s="786"/>
      <c r="D966" s="786"/>
      <c r="E966" s="786"/>
      <c r="F966" s="786"/>
      <c r="G966" s="786"/>
      <c r="H966" s="786"/>
      <c r="I966" s="786"/>
      <c r="J966" s="786"/>
      <c r="K966" s="786"/>
      <c r="L966" s="786"/>
      <c r="M966" s="786"/>
      <c r="N966" s="786"/>
      <c r="O966" s="786"/>
      <c r="P966" s="786"/>
      <c r="Q966" s="67"/>
      <c r="R966" s="754"/>
      <c r="AC966" s="551"/>
      <c r="AD966" s="67"/>
      <c r="AE966" s="67"/>
      <c r="AF966" s="67"/>
      <c r="AG966" s="67"/>
      <c r="AH966" s="67"/>
      <c r="AI966" s="67"/>
      <c r="AJ966" s="67"/>
      <c r="AK966" s="67"/>
      <c r="AL966" s="67"/>
      <c r="AM966" s="67"/>
      <c r="AN966" s="67"/>
      <c r="AO966" s="67"/>
      <c r="AP966" s="67"/>
      <c r="AQ966" s="67"/>
      <c r="AR966" s="67"/>
      <c r="AS966" s="67"/>
      <c r="AT966" s="67"/>
      <c r="AU966" s="727"/>
      <c r="AW966" s="67">
        <f t="shared" ref="AW966:AW977" si="327">SUM(L1002:Q1002)</f>
        <v>9571</v>
      </c>
      <c r="AX966" s="72">
        <v>2.4700000000000002</v>
      </c>
    </row>
    <row r="967" spans="1:50" ht="15.75" customHeight="1" x14ac:dyDescent="0.3">
      <c r="A967" s="553"/>
      <c r="B967" s="786" t="s">
        <v>2878</v>
      </c>
      <c r="C967" s="786"/>
      <c r="D967" s="786"/>
      <c r="E967" s="786"/>
      <c r="F967" s="786"/>
      <c r="G967" s="786"/>
      <c r="H967" s="786"/>
      <c r="I967" s="786"/>
      <c r="J967" s="786"/>
      <c r="K967" s="786"/>
      <c r="L967" s="786"/>
      <c r="M967" s="786"/>
      <c r="N967" s="786"/>
      <c r="O967" s="786"/>
      <c r="P967" s="786"/>
      <c r="Q967" s="67"/>
      <c r="R967" s="754"/>
      <c r="AC967" s="551" t="s">
        <v>1307</v>
      </c>
      <c r="AD967" s="70" t="s">
        <v>1308</v>
      </c>
      <c r="AE967" s="70" t="s">
        <v>1309</v>
      </c>
      <c r="AF967" s="70" t="s">
        <v>1029</v>
      </c>
      <c r="AG967" s="70" t="s">
        <v>1030</v>
      </c>
      <c r="AH967" s="70" t="s">
        <v>284</v>
      </c>
      <c r="AI967" s="67"/>
      <c r="AJ967" s="70" t="s">
        <v>2356</v>
      </c>
      <c r="AK967" s="67"/>
      <c r="AL967" s="67"/>
      <c r="AM967" s="67"/>
      <c r="AN967" s="67" t="s">
        <v>1307</v>
      </c>
      <c r="AO967" s="70" t="s">
        <v>1308</v>
      </c>
      <c r="AP967" s="70" t="s">
        <v>1309</v>
      </c>
      <c r="AQ967" s="70" t="s">
        <v>1029</v>
      </c>
      <c r="AR967" s="70" t="s">
        <v>1030</v>
      </c>
      <c r="AS967" s="70" t="s">
        <v>284</v>
      </c>
      <c r="AT967" s="70" t="s">
        <v>2356</v>
      </c>
      <c r="AU967" s="727"/>
      <c r="AW967" s="67">
        <f t="shared" si="327"/>
        <v>12166</v>
      </c>
      <c r="AX967" s="72">
        <v>2.4700000000000002</v>
      </c>
    </row>
    <row r="968" spans="1:50" ht="15.75" customHeight="1" x14ac:dyDescent="0.3">
      <c r="A968" s="553"/>
      <c r="B968" s="786"/>
      <c r="C968" s="786"/>
      <c r="D968" s="786"/>
      <c r="E968" s="786"/>
      <c r="F968" s="786"/>
      <c r="G968" s="786"/>
      <c r="H968" s="786"/>
      <c r="I968" s="786"/>
      <c r="J968" s="786"/>
      <c r="K968" s="786"/>
      <c r="L968" s="786"/>
      <c r="M968" s="786"/>
      <c r="N968" s="786"/>
      <c r="O968" s="786"/>
      <c r="P968" s="786"/>
      <c r="Q968" s="67"/>
      <c r="R968" s="754"/>
      <c r="AC968" s="551" t="s">
        <v>526</v>
      </c>
      <c r="AD968" s="67"/>
      <c r="AE968" s="67"/>
      <c r="AF968" s="67"/>
      <c r="AG968" s="67"/>
      <c r="AH968" s="70" t="s">
        <v>1193</v>
      </c>
      <c r="AI968" s="67"/>
      <c r="AJ968" s="70" t="s">
        <v>252</v>
      </c>
      <c r="AK968" s="67"/>
      <c r="AL968" s="67"/>
      <c r="AM968" s="67"/>
      <c r="AN968" s="67" t="s">
        <v>526</v>
      </c>
      <c r="AO968" s="67"/>
      <c r="AP968" s="67"/>
      <c r="AQ968" s="67"/>
      <c r="AR968" s="67"/>
      <c r="AS968" s="70" t="s">
        <v>1193</v>
      </c>
      <c r="AT968" s="70" t="s">
        <v>252</v>
      </c>
      <c r="AU968" s="727"/>
      <c r="AW968" s="67">
        <f t="shared" si="327"/>
        <v>13549</v>
      </c>
      <c r="AX968" s="72">
        <v>2.4700000000000002</v>
      </c>
    </row>
    <row r="969" spans="1:50" ht="15.75" customHeight="1" x14ac:dyDescent="0.3">
      <c r="A969" s="553"/>
      <c r="B969" s="787">
        <f>+A5</f>
        <v>2022</v>
      </c>
      <c r="C969" s="787"/>
      <c r="D969" s="787"/>
      <c r="E969" s="787"/>
      <c r="F969" s="787"/>
      <c r="G969" s="787"/>
      <c r="H969" s="787"/>
      <c r="I969" s="787"/>
      <c r="J969" s="787"/>
      <c r="K969" s="787"/>
      <c r="L969" s="787"/>
      <c r="M969" s="787"/>
      <c r="N969" s="787"/>
      <c r="O969" s="787"/>
      <c r="P969" s="787"/>
      <c r="Q969" s="67"/>
      <c r="R969" s="754"/>
      <c r="AC969" s="551" t="s">
        <v>1195</v>
      </c>
      <c r="AD969" s="67">
        <f>+$B$1000</f>
        <v>957</v>
      </c>
      <c r="AE969" s="67">
        <f>+C$1000</f>
        <v>122</v>
      </c>
      <c r="AF969" s="67">
        <f>+D$1000</f>
        <v>128</v>
      </c>
      <c r="AG969" s="67">
        <f>+E$1000</f>
        <v>219</v>
      </c>
      <c r="AH969" s="67"/>
      <c r="AI969" s="67"/>
      <c r="AJ969" s="70" t="s">
        <v>335</v>
      </c>
      <c r="AK969" s="67"/>
      <c r="AL969" s="67"/>
      <c r="AM969" s="67"/>
      <c r="AN969" s="67" t="s">
        <v>1195</v>
      </c>
      <c r="AO969" s="67">
        <f>+$B$1000</f>
        <v>957</v>
      </c>
      <c r="AP969" s="67">
        <f>+C$1000</f>
        <v>122</v>
      </c>
      <c r="AQ969" s="67">
        <f>+D$1000</f>
        <v>128</v>
      </c>
      <c r="AR969" s="67">
        <f>+E$1000</f>
        <v>219</v>
      </c>
      <c r="AS969" s="67"/>
      <c r="AT969" s="70" t="s">
        <v>335</v>
      </c>
      <c r="AU969" s="727"/>
      <c r="AW969" s="67">
        <f t="shared" si="327"/>
        <v>15160</v>
      </c>
      <c r="AX969" s="72">
        <v>2.4700000000000002</v>
      </c>
    </row>
    <row r="970" spans="1:50" ht="15.75" customHeight="1" x14ac:dyDescent="0.3">
      <c r="A970" s="553"/>
      <c r="B970" s="786" t="s">
        <v>2879</v>
      </c>
      <c r="C970" s="786"/>
      <c r="D970" s="786"/>
      <c r="E970" s="786"/>
      <c r="F970" s="786"/>
      <c r="G970" s="786"/>
      <c r="H970" s="786"/>
      <c r="I970" s="786"/>
      <c r="J970" s="786"/>
      <c r="K970" s="786"/>
      <c r="L970" s="786"/>
      <c r="M970" s="786"/>
      <c r="N970" s="786"/>
      <c r="O970" s="786"/>
      <c r="P970" s="786"/>
      <c r="Q970" s="67"/>
      <c r="R970" s="754"/>
      <c r="AC970" s="551"/>
      <c r="AD970" s="67" t="s">
        <v>1353</v>
      </c>
      <c r="AE970" s="67" t="s">
        <v>1353</v>
      </c>
      <c r="AF970" s="67" t="s">
        <v>1353</v>
      </c>
      <c r="AG970" s="67" t="s">
        <v>1353</v>
      </c>
      <c r="AH970" s="67" t="s">
        <v>1353</v>
      </c>
      <c r="AI970" s="67"/>
      <c r="AJ970" s="67" t="s">
        <v>251</v>
      </c>
      <c r="AK970" s="67"/>
      <c r="AL970" s="67"/>
      <c r="AM970" s="67"/>
      <c r="AN970" s="67"/>
      <c r="AO970" s="67" t="s">
        <v>1353</v>
      </c>
      <c r="AP970" s="67" t="s">
        <v>1353</v>
      </c>
      <c r="AQ970" s="67" t="s">
        <v>1353</v>
      </c>
      <c r="AR970" s="67" t="s">
        <v>1353</v>
      </c>
      <c r="AS970" s="67" t="s">
        <v>1353</v>
      </c>
      <c r="AT970" s="67" t="s">
        <v>251</v>
      </c>
      <c r="AU970" s="727"/>
      <c r="AW970" s="67">
        <f t="shared" si="327"/>
        <v>16578</v>
      </c>
      <c r="AX970" s="72">
        <v>2.4700000000000002</v>
      </c>
    </row>
    <row r="971" spans="1:50" ht="15.75" customHeight="1" x14ac:dyDescent="0.3">
      <c r="A971" s="553"/>
      <c r="B971" s="67"/>
      <c r="C971" s="67"/>
      <c r="D971" s="67"/>
      <c r="E971" s="67"/>
      <c r="F971" s="67"/>
      <c r="G971" s="67"/>
      <c r="H971" s="67"/>
      <c r="I971" s="67"/>
      <c r="J971" s="67"/>
      <c r="K971" s="67"/>
      <c r="L971" s="67"/>
      <c r="M971" s="67"/>
      <c r="N971" s="67"/>
      <c r="O971" s="67"/>
      <c r="P971" s="67"/>
      <c r="Q971" s="67"/>
      <c r="R971" s="754"/>
      <c r="AC971" s="553" t="s">
        <v>1354</v>
      </c>
      <c r="AD971" s="67">
        <f t="shared" ref="AD971:AD982" si="328">ROUND($F945*$AD$969/1000,0)</f>
        <v>65076</v>
      </c>
      <c r="AE971" s="67">
        <f t="shared" ref="AE971:AE982" si="329">ROUND($F945*$AE$969/1000,0)</f>
        <v>8296</v>
      </c>
      <c r="AF971" s="67">
        <f t="shared" ref="AF971:AF982" si="330">ROUND($F945*$AF$969/1000,0)</f>
        <v>8704</v>
      </c>
      <c r="AG971" s="67">
        <f t="shared" ref="AG971:AG982" si="331">ROUND($F945*$AG$969/1000,0)</f>
        <v>14892</v>
      </c>
      <c r="AH971" s="67">
        <f t="shared" ref="AH971:AH982" si="332">(F945*((T945-1526.8)/0.7702))/1000</f>
        <v>13870.963929746755</v>
      </c>
      <c r="AI971" s="67"/>
      <c r="AJ971" s="67">
        <f t="shared" ref="AJ971:AJ982" si="333">SUM(AD971:AH971)</f>
        <v>110838.96392974675</v>
      </c>
      <c r="AK971" s="67"/>
      <c r="AL971" s="67"/>
      <c r="AM971" s="67"/>
      <c r="AN971" s="70" t="s">
        <v>1354</v>
      </c>
      <c r="AO971" s="67">
        <f t="shared" ref="AO971:AO982" si="334">ROUND((B945-$F945)*$AO$969/1000,0)</f>
        <v>70828</v>
      </c>
      <c r="AP971" s="67">
        <f t="shared" ref="AP971:AP982" si="335">ROUND((C945-$F945)*$AP$969/1000,0)</f>
        <v>9017</v>
      </c>
      <c r="AQ971" s="67">
        <f t="shared" ref="AQ971:AQ982" si="336">ROUND((D945-$F945)*$AQ$969/1000,0)</f>
        <v>9449</v>
      </c>
      <c r="AR971" s="67">
        <f t="shared" ref="AR971:AR982" si="337">ROUND((E945-$F945)*$AR$969/1000,0)</f>
        <v>15621</v>
      </c>
      <c r="AS971" s="67">
        <f>((F945-$F945)*((T945-1526.8)/0.7702))/1000</f>
        <v>0</v>
      </c>
      <c r="AT971" s="67">
        <f t="shared" ref="AT971:AT982" si="338">SUM(AN971:AR971)</f>
        <v>104915</v>
      </c>
      <c r="AU971" s="727"/>
      <c r="AW971" s="67">
        <f t="shared" si="327"/>
        <v>16095</v>
      </c>
      <c r="AX971" s="72">
        <v>2.4700000000000002</v>
      </c>
    </row>
    <row r="972" spans="1:50" ht="15.75" customHeight="1" thickBot="1" x14ac:dyDescent="0.35">
      <c r="A972" s="553" t="s">
        <v>845</v>
      </c>
      <c r="B972" s="634" t="s">
        <v>1308</v>
      </c>
      <c r="C972" s="634" t="s">
        <v>1309</v>
      </c>
      <c r="D972" s="634" t="s">
        <v>1029</v>
      </c>
      <c r="E972" s="634" t="s">
        <v>1030</v>
      </c>
      <c r="F972" s="634" t="s">
        <v>284</v>
      </c>
      <c r="G972" s="634" t="s">
        <v>284</v>
      </c>
      <c r="H972" s="634" t="s">
        <v>285</v>
      </c>
      <c r="I972" s="634" t="s">
        <v>286</v>
      </c>
      <c r="J972" s="634" t="s">
        <v>287</v>
      </c>
      <c r="K972" s="634" t="s">
        <v>288</v>
      </c>
      <c r="L972" s="634" t="s">
        <v>289</v>
      </c>
      <c r="M972" s="634" t="s">
        <v>633</v>
      </c>
      <c r="N972" s="634" t="s">
        <v>634</v>
      </c>
      <c r="O972" s="634" t="s">
        <v>1192</v>
      </c>
      <c r="P972" s="634" t="s">
        <v>524</v>
      </c>
      <c r="Q972" s="634" t="s">
        <v>525</v>
      </c>
      <c r="R972" s="754"/>
      <c r="AC972" s="553" t="s">
        <v>706</v>
      </c>
      <c r="AD972" s="67">
        <f t="shared" si="328"/>
        <v>40194</v>
      </c>
      <c r="AE972" s="67">
        <f t="shared" si="329"/>
        <v>5124</v>
      </c>
      <c r="AF972" s="67">
        <f t="shared" si="330"/>
        <v>5376</v>
      </c>
      <c r="AG972" s="67">
        <f t="shared" si="331"/>
        <v>9198</v>
      </c>
      <c r="AH972" s="67">
        <f t="shared" si="332"/>
        <v>8843.3704485971411</v>
      </c>
      <c r="AI972" s="67"/>
      <c r="AJ972" s="67">
        <f t="shared" si="333"/>
        <v>68735.370448597139</v>
      </c>
      <c r="AK972" s="67"/>
      <c r="AL972" s="67"/>
      <c r="AM972" s="67"/>
      <c r="AN972" s="70" t="s">
        <v>706</v>
      </c>
      <c r="AO972" s="67">
        <f t="shared" si="334"/>
        <v>82626</v>
      </c>
      <c r="AP972" s="67">
        <f t="shared" si="335"/>
        <v>10515</v>
      </c>
      <c r="AQ972" s="67">
        <f t="shared" si="336"/>
        <v>11014</v>
      </c>
      <c r="AR972" s="67">
        <f t="shared" si="337"/>
        <v>18228</v>
      </c>
      <c r="AS972" s="67">
        <f t="shared" ref="AS972:AS982" si="339">((F946-$F946)*((T946-1526.8)/0.7702))/1000</f>
        <v>0</v>
      </c>
      <c r="AT972" s="67">
        <f t="shared" si="338"/>
        <v>122383</v>
      </c>
      <c r="AU972" s="727"/>
      <c r="AW972" s="67">
        <f t="shared" si="327"/>
        <v>15068</v>
      </c>
      <c r="AX972" s="72">
        <v>2.4700000000000002</v>
      </c>
    </row>
    <row r="973" spans="1:50" ht="15.75" customHeight="1" x14ac:dyDescent="0.3">
      <c r="A973" s="553"/>
      <c r="B973" s="67"/>
      <c r="C973" s="67"/>
      <c r="D973" s="67"/>
      <c r="E973" s="67"/>
      <c r="F973" s="70" t="s">
        <v>1193</v>
      </c>
      <c r="G973" s="70" t="s">
        <v>1194</v>
      </c>
      <c r="H973" s="67"/>
      <c r="I973" s="67"/>
      <c r="J973" s="67"/>
      <c r="K973" s="67"/>
      <c r="L973" s="67"/>
      <c r="M973" s="67"/>
      <c r="N973" s="67"/>
      <c r="O973" s="67"/>
      <c r="P973" s="67"/>
      <c r="Q973" s="67"/>
      <c r="R973" s="754"/>
      <c r="AC973" s="553" t="s">
        <v>707</v>
      </c>
      <c r="AD973" s="67">
        <f t="shared" si="328"/>
        <v>34452</v>
      </c>
      <c r="AE973" s="67">
        <f t="shared" si="329"/>
        <v>4392</v>
      </c>
      <c r="AF973" s="67">
        <f t="shared" si="330"/>
        <v>4608</v>
      </c>
      <c r="AG973" s="67">
        <f t="shared" si="331"/>
        <v>7884</v>
      </c>
      <c r="AH973" s="67">
        <f t="shared" si="332"/>
        <v>7760.9947866505872</v>
      </c>
      <c r="AI973" s="67"/>
      <c r="AJ973" s="67">
        <f t="shared" si="333"/>
        <v>59096.99478665059</v>
      </c>
      <c r="AK973" s="67"/>
      <c r="AL973" s="67"/>
      <c r="AM973" s="67"/>
      <c r="AN973" s="70" t="s">
        <v>707</v>
      </c>
      <c r="AO973" s="67">
        <f t="shared" si="334"/>
        <v>116769</v>
      </c>
      <c r="AP973" s="67">
        <f t="shared" si="335"/>
        <v>14853</v>
      </c>
      <c r="AQ973" s="67">
        <f t="shared" si="336"/>
        <v>15550</v>
      </c>
      <c r="AR973" s="67">
        <f t="shared" si="337"/>
        <v>25416</v>
      </c>
      <c r="AS973" s="67">
        <f t="shared" si="339"/>
        <v>0</v>
      </c>
      <c r="AT973" s="67">
        <f t="shared" si="338"/>
        <v>172588</v>
      </c>
      <c r="AU973" s="727"/>
      <c r="AW973" s="67">
        <f t="shared" si="327"/>
        <v>17774</v>
      </c>
      <c r="AX973" s="72">
        <v>2.4700000000000002</v>
      </c>
    </row>
    <row r="974" spans="1:50" ht="15.75" customHeight="1" x14ac:dyDescent="0.3">
      <c r="A974" s="139" t="s">
        <v>2843</v>
      </c>
      <c r="B974" s="67">
        <f t="shared" ref="B974:Q974" si="340">(B945/$B$10/1.983)</f>
        <v>2310.1198900330223</v>
      </c>
      <c r="C974" s="67">
        <f t="shared" si="340"/>
        <v>2308.5419615115579</v>
      </c>
      <c r="D974" s="67">
        <f t="shared" si="340"/>
        <v>2306.9803002944382</v>
      </c>
      <c r="E974" s="67">
        <f t="shared" si="340"/>
        <v>2266.5072470840855</v>
      </c>
      <c r="F974" s="67">
        <f t="shared" si="340"/>
        <v>1106.1766954597954</v>
      </c>
      <c r="G974" s="67">
        <f t="shared" si="340"/>
        <v>0</v>
      </c>
      <c r="H974" s="67">
        <f t="shared" si="340"/>
        <v>772.01372960486719</v>
      </c>
      <c r="I974" s="67">
        <f t="shared" si="340"/>
        <v>262.45668830218148</v>
      </c>
      <c r="J974" s="67">
        <f t="shared" si="340"/>
        <v>259.8864542156719</v>
      </c>
      <c r="K974" s="67">
        <f t="shared" si="340"/>
        <v>258.53626795503715</v>
      </c>
      <c r="L974" s="67">
        <f t="shared" si="340"/>
        <v>203.73171961674231</v>
      </c>
      <c r="M974" s="67">
        <f t="shared" si="340"/>
        <v>203.40637352984237</v>
      </c>
      <c r="N974" s="67">
        <f t="shared" si="340"/>
        <v>197.06212483529353</v>
      </c>
      <c r="O974" s="67">
        <f t="shared" si="340"/>
        <v>64.093179119288138</v>
      </c>
      <c r="P974" s="67">
        <f t="shared" si="340"/>
        <v>61.897093032713542</v>
      </c>
      <c r="Q974" s="67">
        <f t="shared" si="340"/>
        <v>64.060644510598152</v>
      </c>
      <c r="R974" s="754"/>
      <c r="AC974" s="553" t="s">
        <v>1321</v>
      </c>
      <c r="AD974" s="67">
        <f t="shared" si="328"/>
        <v>0</v>
      </c>
      <c r="AE974" s="67">
        <f t="shared" si="329"/>
        <v>0</v>
      </c>
      <c r="AF974" s="67">
        <f t="shared" si="330"/>
        <v>0</v>
      </c>
      <c r="AG974" s="67">
        <f t="shared" si="331"/>
        <v>0</v>
      </c>
      <c r="AH974" s="67">
        <f t="shared" si="332"/>
        <v>0</v>
      </c>
      <c r="AI974" s="67"/>
      <c r="AJ974" s="67">
        <f t="shared" si="333"/>
        <v>0</v>
      </c>
      <c r="AK974" s="67"/>
      <c r="AL974" s="67"/>
      <c r="AM974" s="67"/>
      <c r="AN974" s="70" t="s">
        <v>1321</v>
      </c>
      <c r="AO974" s="67">
        <f t="shared" si="334"/>
        <v>151326</v>
      </c>
      <c r="AP974" s="67">
        <f t="shared" si="335"/>
        <v>19246</v>
      </c>
      <c r="AQ974" s="67">
        <f t="shared" si="336"/>
        <v>20148</v>
      </c>
      <c r="AR974" s="67">
        <f t="shared" si="337"/>
        <v>32961</v>
      </c>
      <c r="AS974" s="67">
        <f t="shared" si="339"/>
        <v>0</v>
      </c>
      <c r="AT974" s="67">
        <f t="shared" si="338"/>
        <v>223681</v>
      </c>
      <c r="AU974" s="727"/>
      <c r="AW974" s="67">
        <f t="shared" si="327"/>
        <v>15893</v>
      </c>
      <c r="AX974" s="72">
        <v>2.4700000000000002</v>
      </c>
    </row>
    <row r="975" spans="1:50" ht="15.75" customHeight="1" x14ac:dyDescent="0.3">
      <c r="A975" s="139" t="s">
        <v>2091</v>
      </c>
      <c r="B975" s="67">
        <f t="shared" ref="B975:Q975" si="341">(B946/$C$10/1.983)</f>
        <v>2311.4148836539157</v>
      </c>
      <c r="C975" s="67">
        <f t="shared" si="341"/>
        <v>2308.7493696419565</v>
      </c>
      <c r="D975" s="67">
        <f t="shared" si="341"/>
        <v>2306.1378863194291</v>
      </c>
      <c r="E975" s="67">
        <f t="shared" si="341"/>
        <v>2255.4390894027811</v>
      </c>
      <c r="F975" s="67">
        <f t="shared" si="341"/>
        <v>756.42965204235998</v>
      </c>
      <c r="G975" s="67">
        <f t="shared" si="341"/>
        <v>0</v>
      </c>
      <c r="H975" s="67">
        <f t="shared" si="341"/>
        <v>1063.125855485916</v>
      </c>
      <c r="I975" s="67">
        <f t="shared" si="341"/>
        <v>432.62373027879835</v>
      </c>
      <c r="J975" s="67">
        <f t="shared" si="341"/>
        <v>429.65204236006048</v>
      </c>
      <c r="K975" s="67">
        <f t="shared" si="341"/>
        <v>418.79187378430942</v>
      </c>
      <c r="L975" s="67">
        <f t="shared" si="341"/>
        <v>332.18067862545922</v>
      </c>
      <c r="M975" s="67">
        <f t="shared" si="341"/>
        <v>331.78445356962754</v>
      </c>
      <c r="N975" s="67">
        <f t="shared" si="341"/>
        <v>319.87969166486562</v>
      </c>
      <c r="O975" s="67">
        <f t="shared" si="341"/>
        <v>67.952597075138669</v>
      </c>
      <c r="P975" s="67">
        <f t="shared" si="341"/>
        <v>68.528924429075715</v>
      </c>
      <c r="Q975" s="67">
        <f t="shared" si="341"/>
        <v>67.89856638570707</v>
      </c>
      <c r="R975" s="754"/>
      <c r="AC975" s="553" t="s">
        <v>1905</v>
      </c>
      <c r="AD975" s="67">
        <f t="shared" si="328"/>
        <v>0</v>
      </c>
      <c r="AE975" s="67">
        <f t="shared" si="329"/>
        <v>0</v>
      </c>
      <c r="AF975" s="67">
        <f t="shared" si="330"/>
        <v>0</v>
      </c>
      <c r="AG975" s="67">
        <f t="shared" si="331"/>
        <v>0</v>
      </c>
      <c r="AH975" s="67">
        <f t="shared" si="332"/>
        <v>0</v>
      </c>
      <c r="AI975" s="67"/>
      <c r="AJ975" s="67">
        <f t="shared" si="333"/>
        <v>0</v>
      </c>
      <c r="AK975" s="67"/>
      <c r="AL975" s="67"/>
      <c r="AM975" s="67"/>
      <c r="AN975" s="70" t="s">
        <v>1905</v>
      </c>
      <c r="AO975" s="67">
        <f t="shared" si="334"/>
        <v>164382</v>
      </c>
      <c r="AP975" s="67">
        <f t="shared" si="335"/>
        <v>20904</v>
      </c>
      <c r="AQ975" s="67">
        <f t="shared" si="336"/>
        <v>21880</v>
      </c>
      <c r="AR975" s="67">
        <f t="shared" si="337"/>
        <v>35673</v>
      </c>
      <c r="AS975" s="67">
        <f t="shared" si="339"/>
        <v>0</v>
      </c>
      <c r="AT975" s="67">
        <f t="shared" si="338"/>
        <v>242839</v>
      </c>
      <c r="AU975" s="727"/>
      <c r="AW975" s="67">
        <f t="shared" si="327"/>
        <v>10153</v>
      </c>
      <c r="AX975" s="72">
        <v>2.4700000000000002</v>
      </c>
    </row>
    <row r="976" spans="1:50" ht="15.75" customHeight="1" x14ac:dyDescent="0.3">
      <c r="A976" s="139" t="s">
        <v>2234</v>
      </c>
      <c r="B976" s="67">
        <f t="shared" ref="B976:Q976" si="342">(B947/$D$10/1.983)</f>
        <v>2570.494363379044</v>
      </c>
      <c r="C976" s="67">
        <f t="shared" si="342"/>
        <v>2566.0371219885151</v>
      </c>
      <c r="D976" s="67">
        <f t="shared" si="342"/>
        <v>2561.791355554471</v>
      </c>
      <c r="E976" s="67">
        <f t="shared" si="342"/>
        <v>2473.5574967872071</v>
      </c>
      <c r="F976" s="67">
        <f t="shared" si="342"/>
        <v>585.62295641989158</v>
      </c>
      <c r="G976" s="67">
        <f t="shared" si="342"/>
        <v>0</v>
      </c>
      <c r="H976" s="67">
        <f t="shared" si="342"/>
        <v>1383.5505018463389</v>
      </c>
      <c r="I976" s="67">
        <f t="shared" si="342"/>
        <v>521.3996388658436</v>
      </c>
      <c r="J976" s="67">
        <f t="shared" si="342"/>
        <v>472.51638930912759</v>
      </c>
      <c r="K976" s="67">
        <f t="shared" si="342"/>
        <v>439.73777105395862</v>
      </c>
      <c r="L976" s="67">
        <f t="shared" si="342"/>
        <v>333.78881785499323</v>
      </c>
      <c r="M976" s="67">
        <f t="shared" si="342"/>
        <v>333.33333333333331</v>
      </c>
      <c r="N976" s="67">
        <f t="shared" si="342"/>
        <v>317.32630585785625</v>
      </c>
      <c r="O976" s="67">
        <f t="shared" si="342"/>
        <v>65.752444162477829</v>
      </c>
      <c r="P976" s="67">
        <f t="shared" si="342"/>
        <v>77.383566769150676</v>
      </c>
      <c r="Q976" s="67">
        <f t="shared" si="342"/>
        <v>65.671107640752851</v>
      </c>
      <c r="R976" s="754"/>
      <c r="AC976" s="553" t="s">
        <v>1906</v>
      </c>
      <c r="AD976" s="67">
        <f t="shared" si="328"/>
        <v>0</v>
      </c>
      <c r="AE976" s="67">
        <f t="shared" si="329"/>
        <v>0</v>
      </c>
      <c r="AF976" s="67">
        <f t="shared" si="330"/>
        <v>0</v>
      </c>
      <c r="AG976" s="67">
        <f t="shared" si="331"/>
        <v>0</v>
      </c>
      <c r="AH976" s="67">
        <f t="shared" si="332"/>
        <v>0</v>
      </c>
      <c r="AI976" s="67"/>
      <c r="AJ976" s="67">
        <f t="shared" si="333"/>
        <v>0</v>
      </c>
      <c r="AK976" s="67"/>
      <c r="AL976" s="67"/>
      <c r="AM976" s="67"/>
      <c r="AN976" s="70" t="s">
        <v>1906</v>
      </c>
      <c r="AO976" s="67">
        <f t="shared" si="334"/>
        <v>92598</v>
      </c>
      <c r="AP976" s="67">
        <f t="shared" si="335"/>
        <v>11754</v>
      </c>
      <c r="AQ976" s="67">
        <f t="shared" si="336"/>
        <v>12281</v>
      </c>
      <c r="AR976" s="67">
        <f t="shared" si="337"/>
        <v>19145</v>
      </c>
      <c r="AS976" s="67">
        <f t="shared" si="339"/>
        <v>0</v>
      </c>
      <c r="AT976" s="67">
        <f t="shared" si="338"/>
        <v>135778</v>
      </c>
      <c r="AU976" s="727"/>
      <c r="AW976" s="67">
        <f t="shared" si="327"/>
        <v>4794</v>
      </c>
      <c r="AX976" s="72">
        <v>2.4700000000000002</v>
      </c>
    </row>
    <row r="977" spans="1:50" ht="15.75" customHeight="1" x14ac:dyDescent="0.3">
      <c r="A977" s="139" t="s">
        <v>2235</v>
      </c>
      <c r="B977" s="67">
        <f t="shared" ref="B977:Q977" si="343">(B948/$F$10/1.983)</f>
        <v>2658.0097495377372</v>
      </c>
      <c r="C977" s="67">
        <f t="shared" si="343"/>
        <v>2651.8406454866363</v>
      </c>
      <c r="D977" s="67">
        <f t="shared" si="343"/>
        <v>2645.9573037485293</v>
      </c>
      <c r="E977" s="67">
        <f t="shared" si="343"/>
        <v>2529.9378046730544</v>
      </c>
      <c r="F977" s="67">
        <f t="shared" si="343"/>
        <v>0</v>
      </c>
      <c r="G977" s="67">
        <f t="shared" si="343"/>
        <v>0</v>
      </c>
      <c r="H977" s="67">
        <f t="shared" si="343"/>
        <v>1863.4224239367959</v>
      </c>
      <c r="I977" s="67">
        <f t="shared" si="343"/>
        <v>682.26592704656241</v>
      </c>
      <c r="J977" s="67">
        <f t="shared" si="343"/>
        <v>522.45755589174644</v>
      </c>
      <c r="K977" s="67">
        <f t="shared" si="343"/>
        <v>461.28761136325431</v>
      </c>
      <c r="L977" s="67">
        <f t="shared" si="343"/>
        <v>368.86871743150107</v>
      </c>
      <c r="M977" s="67">
        <f t="shared" si="343"/>
        <v>368.24676416204403</v>
      </c>
      <c r="N977" s="67">
        <f t="shared" si="343"/>
        <v>348.27702134812574</v>
      </c>
      <c r="O977" s="67">
        <f t="shared" si="343"/>
        <v>85.711884350310967</v>
      </c>
      <c r="P977" s="67">
        <f t="shared" si="343"/>
        <v>95.948898974617592</v>
      </c>
      <c r="Q977" s="67">
        <f t="shared" si="343"/>
        <v>85.59421751554882</v>
      </c>
      <c r="R977" s="754"/>
      <c r="AC977" s="553" t="s">
        <v>1907</v>
      </c>
      <c r="AD977" s="67">
        <f t="shared" si="328"/>
        <v>0</v>
      </c>
      <c r="AE977" s="67">
        <f t="shared" si="329"/>
        <v>0</v>
      </c>
      <c r="AF977" s="67">
        <f t="shared" si="330"/>
        <v>0</v>
      </c>
      <c r="AG977" s="67">
        <f t="shared" si="331"/>
        <v>0</v>
      </c>
      <c r="AH977" s="67">
        <f t="shared" si="332"/>
        <v>0</v>
      </c>
      <c r="AI977" s="67"/>
      <c r="AJ977" s="67">
        <f t="shared" si="333"/>
        <v>0</v>
      </c>
      <c r="AK977" s="67"/>
      <c r="AL977" s="67"/>
      <c r="AM977" s="67"/>
      <c r="AN977" s="70" t="s">
        <v>1907</v>
      </c>
      <c r="AO977" s="67">
        <f t="shared" si="334"/>
        <v>49084</v>
      </c>
      <c r="AP977" s="67">
        <f t="shared" si="335"/>
        <v>6207</v>
      </c>
      <c r="AQ977" s="67">
        <f t="shared" si="336"/>
        <v>6461</v>
      </c>
      <c r="AR977" s="67">
        <f t="shared" si="337"/>
        <v>9263</v>
      </c>
      <c r="AS977" s="67">
        <f t="shared" si="339"/>
        <v>0</v>
      </c>
      <c r="AT977" s="67">
        <f t="shared" si="338"/>
        <v>71015</v>
      </c>
      <c r="AU977" s="727"/>
      <c r="AW977" s="67">
        <f t="shared" si="327"/>
        <v>3400</v>
      </c>
      <c r="AX977" s="72">
        <v>2.4700000000000002</v>
      </c>
    </row>
    <row r="978" spans="1:50" ht="15.75" customHeight="1" x14ac:dyDescent="0.3">
      <c r="A978" s="139" t="s">
        <v>2236</v>
      </c>
      <c r="B978" s="67">
        <f t="shared" ref="B978:Q978" si="344">(B949/$G$10/1.983)</f>
        <v>2794.2023327314428</v>
      </c>
      <c r="C978" s="67">
        <f t="shared" si="344"/>
        <v>2787.288728384819</v>
      </c>
      <c r="D978" s="67">
        <f t="shared" si="344"/>
        <v>2780.7492720381301</v>
      </c>
      <c r="E978" s="67">
        <f t="shared" si="344"/>
        <v>2649.797472060905</v>
      </c>
      <c r="F978" s="67">
        <f t="shared" si="344"/>
        <v>0</v>
      </c>
      <c r="G978" s="67">
        <f>(G949/$G$10/1.983)</f>
        <v>0</v>
      </c>
      <c r="H978" s="67">
        <f t="shared" si="344"/>
        <v>1772.778292909082</v>
      </c>
      <c r="I978" s="67">
        <f t="shared" si="344"/>
        <v>584.09382981146189</v>
      </c>
      <c r="J978" s="67">
        <f t="shared" si="344"/>
        <v>518.764335561954</v>
      </c>
      <c r="K978" s="67">
        <f t="shared" si="344"/>
        <v>478.79556878629643</v>
      </c>
      <c r="L978" s="67">
        <f t="shared" si="344"/>
        <v>380.44344671644456</v>
      </c>
      <c r="M978" s="67">
        <f t="shared" si="344"/>
        <v>379.76021993395477</v>
      </c>
      <c r="N978" s="67">
        <f t="shared" si="344"/>
        <v>357.4577456769639</v>
      </c>
      <c r="O978" s="67">
        <f t="shared" si="344"/>
        <v>94.805849722642449</v>
      </c>
      <c r="P978" s="67">
        <f t="shared" si="344"/>
        <v>108.32397963333496</v>
      </c>
      <c r="Q978" s="67">
        <f t="shared" si="344"/>
        <v>94.675711287882478</v>
      </c>
      <c r="R978" s="754"/>
      <c r="AC978" s="553" t="s">
        <v>1908</v>
      </c>
      <c r="AD978" s="67">
        <f t="shared" si="328"/>
        <v>0</v>
      </c>
      <c r="AE978" s="67">
        <f t="shared" si="329"/>
        <v>0</v>
      </c>
      <c r="AF978" s="67">
        <f t="shared" si="330"/>
        <v>0</v>
      </c>
      <c r="AG978" s="67">
        <f t="shared" si="331"/>
        <v>0</v>
      </c>
      <c r="AH978" s="67">
        <f t="shared" si="332"/>
        <v>0</v>
      </c>
      <c r="AI978" s="67"/>
      <c r="AJ978" s="67">
        <f t="shared" si="333"/>
        <v>0</v>
      </c>
      <c r="AK978" s="67"/>
      <c r="AL978" s="67"/>
      <c r="AM978" s="67"/>
      <c r="AN978" s="70" t="s">
        <v>1908</v>
      </c>
      <c r="AO978" s="67">
        <f t="shared" si="334"/>
        <v>49160</v>
      </c>
      <c r="AP978" s="67">
        <f t="shared" si="335"/>
        <v>6226</v>
      </c>
      <c r="AQ978" s="67">
        <f t="shared" si="336"/>
        <v>6492</v>
      </c>
      <c r="AR978" s="67">
        <f t="shared" si="337"/>
        <v>9660</v>
      </c>
      <c r="AS978" s="67">
        <f t="shared" si="339"/>
        <v>0</v>
      </c>
      <c r="AT978" s="67">
        <f t="shared" si="338"/>
        <v>71538</v>
      </c>
      <c r="AU978" s="727"/>
      <c r="AW978" s="67"/>
      <c r="AX978" s="72"/>
    </row>
    <row r="979" spans="1:50" ht="15.75" customHeight="1" x14ac:dyDescent="0.3">
      <c r="A979" s="139" t="s">
        <v>2237</v>
      </c>
      <c r="B979" s="67">
        <f t="shared" ref="B979:Q979" si="345">(B950/$H$10/1.983)</f>
        <v>1626.4750378214826</v>
      </c>
      <c r="C979" s="67">
        <f t="shared" si="345"/>
        <v>1619.4654563792233</v>
      </c>
      <c r="D979" s="67">
        <f t="shared" si="345"/>
        <v>1612.8088754412504</v>
      </c>
      <c r="E979" s="67">
        <f t="shared" si="345"/>
        <v>1469.473861153135</v>
      </c>
      <c r="F979" s="67">
        <f t="shared" si="345"/>
        <v>0</v>
      </c>
      <c r="G979" s="67">
        <f t="shared" si="345"/>
        <v>-1899.4789040174817</v>
      </c>
      <c r="H979" s="67">
        <f t="shared" si="345"/>
        <v>2425.8698940998488</v>
      </c>
      <c r="I979" s="67">
        <f t="shared" si="345"/>
        <v>753.21902840813584</v>
      </c>
      <c r="J979" s="67">
        <f t="shared" si="345"/>
        <v>551.75659774752057</v>
      </c>
      <c r="K979" s="67">
        <f t="shared" si="345"/>
        <v>475.15548831736425</v>
      </c>
      <c r="L979" s="67">
        <f t="shared" si="345"/>
        <v>375.59253656076646</v>
      </c>
      <c r="M979" s="67">
        <f t="shared" si="345"/>
        <v>374.85291645654735</v>
      </c>
      <c r="N979" s="67">
        <f t="shared" si="345"/>
        <v>345.90687510505961</v>
      </c>
      <c r="O979" s="67">
        <f t="shared" si="345"/>
        <v>98.756093461085896</v>
      </c>
      <c r="P979" s="67">
        <f t="shared" si="345"/>
        <v>115.14540258867036</v>
      </c>
      <c r="Q979" s="67">
        <f t="shared" si="345"/>
        <v>98.604807530677419</v>
      </c>
      <c r="R979" s="754"/>
      <c r="AC979" s="553" t="s">
        <v>2352</v>
      </c>
      <c r="AD979" s="67">
        <f t="shared" si="328"/>
        <v>0</v>
      </c>
      <c r="AE979" s="67">
        <f t="shared" si="329"/>
        <v>0</v>
      </c>
      <c r="AF979" s="67">
        <f t="shared" si="330"/>
        <v>0</v>
      </c>
      <c r="AG979" s="67">
        <f t="shared" si="331"/>
        <v>0</v>
      </c>
      <c r="AH979" s="67">
        <f t="shared" si="332"/>
        <v>0</v>
      </c>
      <c r="AI979" s="67"/>
      <c r="AJ979" s="67">
        <f t="shared" si="333"/>
        <v>0</v>
      </c>
      <c r="AK979" s="67"/>
      <c r="AL979" s="67"/>
      <c r="AM979" s="67"/>
      <c r="AN979" s="70" t="s">
        <v>2352</v>
      </c>
      <c r="AO979" s="67">
        <f t="shared" si="334"/>
        <v>116823</v>
      </c>
      <c r="AP979" s="67">
        <f t="shared" si="335"/>
        <v>14854</v>
      </c>
      <c r="AQ979" s="67">
        <f t="shared" si="336"/>
        <v>15546</v>
      </c>
      <c r="AR979" s="67">
        <f t="shared" si="337"/>
        <v>25546</v>
      </c>
      <c r="AS979" s="67">
        <f t="shared" si="339"/>
        <v>0</v>
      </c>
      <c r="AT979" s="67">
        <f t="shared" si="338"/>
        <v>172769</v>
      </c>
      <c r="AU979" s="727"/>
      <c r="AW979" s="67">
        <f>(SUM(AW966:AW977))</f>
        <v>150201</v>
      </c>
      <c r="AX979" s="72"/>
    </row>
    <row r="980" spans="1:50" ht="15.75" customHeight="1" x14ac:dyDescent="0.3">
      <c r="A980" s="139" t="s">
        <v>1504</v>
      </c>
      <c r="B980" s="67">
        <f t="shared" ref="B980:Q980" si="346">(B951/$J$10/1.983)</f>
        <v>834.33377255055063</v>
      </c>
      <c r="C980" s="67">
        <f t="shared" si="346"/>
        <v>827.56657394303181</v>
      </c>
      <c r="D980" s="67">
        <f t="shared" si="346"/>
        <v>821.15725603110297</v>
      </c>
      <c r="E980" s="67">
        <f t="shared" si="346"/>
        <v>688.09070648902764</v>
      </c>
      <c r="F980" s="67">
        <f t="shared" si="346"/>
        <v>0</v>
      </c>
      <c r="G980" s="67">
        <f t="shared" si="346"/>
        <v>-2017.1457387796268</v>
      </c>
      <c r="H980" s="67">
        <f t="shared" si="346"/>
        <v>1885.0714948025961</v>
      </c>
      <c r="I980" s="67">
        <f t="shared" si="346"/>
        <v>711.1740113545784</v>
      </c>
      <c r="J980" s="67">
        <f t="shared" si="346"/>
        <v>532.6566134725814</v>
      </c>
      <c r="K980" s="67">
        <f t="shared" si="346"/>
        <v>452.32866461698632</v>
      </c>
      <c r="L980" s="67">
        <f t="shared" si="346"/>
        <v>364.06227124103259</v>
      </c>
      <c r="M980" s="67">
        <f t="shared" si="346"/>
        <v>363.42784637157774</v>
      </c>
      <c r="N980" s="67">
        <f t="shared" si="346"/>
        <v>325.70396759552972</v>
      </c>
      <c r="O980" s="67">
        <f t="shared" si="346"/>
        <v>78.489743464610484</v>
      </c>
      <c r="P980" s="67">
        <f t="shared" si="346"/>
        <v>100.59701006946138</v>
      </c>
      <c r="Q980" s="67">
        <f t="shared" si="346"/>
        <v>78.375872334195492</v>
      </c>
      <c r="R980" s="754"/>
      <c r="AC980" s="553" t="s">
        <v>2353</v>
      </c>
      <c r="AD980" s="67">
        <f t="shared" si="328"/>
        <v>59334</v>
      </c>
      <c r="AE980" s="67">
        <f t="shared" si="329"/>
        <v>7564</v>
      </c>
      <c r="AF980" s="67">
        <f t="shared" si="330"/>
        <v>7936</v>
      </c>
      <c r="AG980" s="67">
        <f t="shared" si="331"/>
        <v>13578</v>
      </c>
      <c r="AH980" s="67">
        <f t="shared" si="332"/>
        <v>10292.442614624209</v>
      </c>
      <c r="AI980" s="67"/>
      <c r="AJ980" s="67">
        <f t="shared" si="333"/>
        <v>98704.442614624204</v>
      </c>
      <c r="AK980" s="67"/>
      <c r="AL980" s="67"/>
      <c r="AM980" s="67"/>
      <c r="AN980" s="70" t="s">
        <v>2353</v>
      </c>
      <c r="AO980" s="67">
        <f t="shared" si="334"/>
        <v>97218</v>
      </c>
      <c r="AP980" s="67">
        <f t="shared" si="335"/>
        <v>12359</v>
      </c>
      <c r="AQ980" s="67">
        <f t="shared" si="336"/>
        <v>12932</v>
      </c>
      <c r="AR980" s="67">
        <f t="shared" si="337"/>
        <v>21257</v>
      </c>
      <c r="AS980" s="67">
        <f t="shared" si="339"/>
        <v>0</v>
      </c>
      <c r="AT980" s="67">
        <f t="shared" si="338"/>
        <v>143766</v>
      </c>
      <c r="AU980" s="727"/>
    </row>
    <row r="981" spans="1:50" ht="15.75" customHeight="1" x14ac:dyDescent="0.3">
      <c r="A981" s="139" t="s">
        <v>1505</v>
      </c>
      <c r="B981" s="67">
        <f t="shared" ref="B981:Q981" si="347">(B952/$K$10/1.983)</f>
        <v>835.63515689815029</v>
      </c>
      <c r="C981" s="67">
        <f t="shared" si="347"/>
        <v>830.2018772469213</v>
      </c>
      <c r="D981" s="67">
        <f t="shared" si="347"/>
        <v>825.02887446521231</v>
      </c>
      <c r="E981" s="67">
        <f t="shared" si="347"/>
        <v>717.56706196216226</v>
      </c>
      <c r="F981" s="67">
        <f t="shared" si="347"/>
        <v>0</v>
      </c>
      <c r="G981" s="67">
        <f t="shared" si="347"/>
        <v>-1740.601564914678</v>
      </c>
      <c r="H981" s="67">
        <f t="shared" si="347"/>
        <v>1667.6752395360563</v>
      </c>
      <c r="I981" s="67">
        <f t="shared" si="347"/>
        <v>691.425503879752</v>
      </c>
      <c r="J981" s="67">
        <f t="shared" si="347"/>
        <v>537.24399329787059</v>
      </c>
      <c r="K981" s="67">
        <f t="shared" si="347"/>
        <v>470.92219348331787</v>
      </c>
      <c r="L981" s="67">
        <f t="shared" si="347"/>
        <v>395.31176288777186</v>
      </c>
      <c r="M981" s="67">
        <f t="shared" si="347"/>
        <v>394.72613993135195</v>
      </c>
      <c r="N981" s="67">
        <f t="shared" si="347"/>
        <v>365.16844793649244</v>
      </c>
      <c r="O981" s="67">
        <f t="shared" si="347"/>
        <v>125.32331267385682</v>
      </c>
      <c r="P981" s="67">
        <f t="shared" si="347"/>
        <v>92.853773201242817</v>
      </c>
      <c r="Q981" s="67">
        <f t="shared" si="347"/>
        <v>125.22570884778682</v>
      </c>
      <c r="R981" s="754"/>
      <c r="AC981" s="553" t="s">
        <v>2354</v>
      </c>
      <c r="AD981" s="67">
        <f t="shared" si="328"/>
        <v>78474</v>
      </c>
      <c r="AE981" s="67">
        <f t="shared" si="329"/>
        <v>10004</v>
      </c>
      <c r="AF981" s="67">
        <f t="shared" si="330"/>
        <v>10496</v>
      </c>
      <c r="AG981" s="67">
        <f t="shared" si="331"/>
        <v>17958</v>
      </c>
      <c r="AH981" s="67">
        <f t="shared" si="332"/>
        <v>14832.066062002903</v>
      </c>
      <c r="AI981" s="67"/>
      <c r="AJ981" s="67">
        <f t="shared" si="333"/>
        <v>131764.06606200291</v>
      </c>
      <c r="AK981" s="67"/>
      <c r="AL981" s="67"/>
      <c r="AM981" s="67"/>
      <c r="AN981" s="70" t="s">
        <v>2354</v>
      </c>
      <c r="AO981" s="67">
        <f t="shared" si="334"/>
        <v>70890</v>
      </c>
      <c r="AP981" s="67">
        <f t="shared" si="335"/>
        <v>9008</v>
      </c>
      <c r="AQ981" s="67">
        <f t="shared" si="336"/>
        <v>9423</v>
      </c>
      <c r="AR981" s="67">
        <f t="shared" si="337"/>
        <v>15524</v>
      </c>
      <c r="AS981" s="67">
        <f t="shared" si="339"/>
        <v>0</v>
      </c>
      <c r="AT981" s="67">
        <f t="shared" si="338"/>
        <v>104845</v>
      </c>
      <c r="AU981" s="727"/>
    </row>
    <row r="982" spans="1:50" ht="15.75" customHeight="1" x14ac:dyDescent="0.3">
      <c r="A982" s="139" t="s">
        <v>1506</v>
      </c>
      <c r="B982" s="67">
        <f t="shared" ref="B982:Q982" si="348">(B953/$L$10/1.983)</f>
        <v>2051.9751218692218</v>
      </c>
      <c r="C982" s="67">
        <f t="shared" si="348"/>
        <v>2046.663304757102</v>
      </c>
      <c r="D982" s="67">
        <f t="shared" si="348"/>
        <v>2041.6036308623297</v>
      </c>
      <c r="E982" s="67">
        <f t="shared" si="348"/>
        <v>1960.7833249285593</v>
      </c>
      <c r="F982" s="67">
        <f t="shared" si="348"/>
        <v>0</v>
      </c>
      <c r="G982" s="67">
        <f t="shared" si="348"/>
        <v>0</v>
      </c>
      <c r="H982" s="67">
        <f t="shared" si="348"/>
        <v>1242.8307278534207</v>
      </c>
      <c r="I982" s="67">
        <f t="shared" si="348"/>
        <v>457.11884350310976</v>
      </c>
      <c r="J982" s="67">
        <f t="shared" si="348"/>
        <v>439.78819969742813</v>
      </c>
      <c r="K982" s="67">
        <f t="shared" si="348"/>
        <v>409.86720457219695</v>
      </c>
      <c r="L982" s="67">
        <f t="shared" si="348"/>
        <v>374.24777273491338</v>
      </c>
      <c r="M982" s="67">
        <f t="shared" si="348"/>
        <v>373.67624810892585</v>
      </c>
      <c r="N982" s="67">
        <f t="shared" si="348"/>
        <v>349.85711884350309</v>
      </c>
      <c r="O982" s="67">
        <f t="shared" si="348"/>
        <v>106.74062867708858</v>
      </c>
      <c r="P982" s="67">
        <f t="shared" si="348"/>
        <v>87.947554210791722</v>
      </c>
      <c r="Q982" s="67">
        <f t="shared" si="348"/>
        <v>106.6397713901496</v>
      </c>
      <c r="R982" s="754"/>
      <c r="AC982" s="553" t="s">
        <v>2355</v>
      </c>
      <c r="AD982" s="67">
        <f t="shared" si="328"/>
        <v>23925</v>
      </c>
      <c r="AE982" s="67">
        <f t="shared" si="329"/>
        <v>3050</v>
      </c>
      <c r="AF982" s="67">
        <f t="shared" si="330"/>
        <v>3200</v>
      </c>
      <c r="AG982" s="67">
        <f t="shared" si="331"/>
        <v>5475</v>
      </c>
      <c r="AH982" s="67">
        <f t="shared" si="332"/>
        <v>4633.4153220591379</v>
      </c>
      <c r="AI982" s="67"/>
      <c r="AJ982" s="67">
        <f t="shared" si="333"/>
        <v>40283.41532205914</v>
      </c>
      <c r="AK982" s="67"/>
      <c r="AL982" s="67"/>
      <c r="AM982" s="67"/>
      <c r="AN982" s="70" t="s">
        <v>2355</v>
      </c>
      <c r="AO982" s="67">
        <f t="shared" si="334"/>
        <v>51217</v>
      </c>
      <c r="AP982" s="67">
        <f t="shared" si="335"/>
        <v>6507</v>
      </c>
      <c r="AQ982" s="67">
        <f t="shared" si="336"/>
        <v>6804</v>
      </c>
      <c r="AR982" s="67">
        <f t="shared" si="337"/>
        <v>11088</v>
      </c>
      <c r="AS982" s="67">
        <f t="shared" si="339"/>
        <v>0</v>
      </c>
      <c r="AT982" s="67">
        <f t="shared" si="338"/>
        <v>75616</v>
      </c>
      <c r="AU982" s="727"/>
    </row>
    <row r="983" spans="1:50" ht="15.75" customHeight="1" x14ac:dyDescent="0.3">
      <c r="A983" s="139" t="s">
        <v>1507</v>
      </c>
      <c r="B983" s="67">
        <f t="shared" ref="B983:Q983" si="349">(B954/$N$10/1.983)</f>
        <v>2661.1032485806777</v>
      </c>
      <c r="C983" s="67">
        <f t="shared" si="349"/>
        <v>2656.4670668423537</v>
      </c>
      <c r="D983" s="67">
        <f t="shared" si="349"/>
        <v>2652.0423600605141</v>
      </c>
      <c r="E983" s="67">
        <f t="shared" si="349"/>
        <v>2587.5587656369462</v>
      </c>
      <c r="F983" s="67">
        <f t="shared" si="349"/>
        <v>1008.5728693898134</v>
      </c>
      <c r="G983" s="67">
        <f t="shared" si="349"/>
        <v>0</v>
      </c>
      <c r="H983" s="67">
        <f t="shared" si="349"/>
        <v>928.89561270801812</v>
      </c>
      <c r="I983" s="67">
        <f t="shared" si="349"/>
        <v>268.00383908382543</v>
      </c>
      <c r="J983" s="67">
        <f t="shared" si="349"/>
        <v>251.36238673889349</v>
      </c>
      <c r="K983" s="67">
        <f t="shared" si="349"/>
        <v>235.51803230686644</v>
      </c>
      <c r="L983" s="67">
        <f t="shared" si="349"/>
        <v>209.31140500707627</v>
      </c>
      <c r="M983" s="67">
        <f t="shared" si="349"/>
        <v>208.83965318107136</v>
      </c>
      <c r="N983" s="67">
        <f t="shared" si="349"/>
        <v>198.85152831324319</v>
      </c>
      <c r="O983" s="67">
        <f t="shared" si="349"/>
        <v>68.111203292502395</v>
      </c>
      <c r="P983" s="67">
        <f t="shared" si="349"/>
        <v>77.383566769150676</v>
      </c>
      <c r="Q983" s="67">
        <f t="shared" si="349"/>
        <v>68.029866770777417</v>
      </c>
      <c r="R983" s="754"/>
      <c r="AC983" s="551"/>
      <c r="AD983" s="67"/>
      <c r="AE983" s="67"/>
      <c r="AF983" s="67"/>
      <c r="AG983" s="67"/>
      <c r="AH983" s="67"/>
      <c r="AI983" s="67"/>
      <c r="AJ983" s="67"/>
      <c r="AK983" s="67"/>
      <c r="AL983" s="67"/>
      <c r="AM983" s="67"/>
      <c r="AN983" s="67"/>
      <c r="AO983" s="67"/>
      <c r="AP983" s="67"/>
      <c r="AQ983" s="67"/>
      <c r="AR983" s="67"/>
      <c r="AS983" s="67"/>
      <c r="AT983" s="67"/>
      <c r="AU983" s="727"/>
    </row>
    <row r="984" spans="1:50" ht="15.75" customHeight="1" thickBot="1" x14ac:dyDescent="0.35">
      <c r="A984" s="139" t="s">
        <v>1508</v>
      </c>
      <c r="B984" s="67">
        <f t="shared" ref="B984:Q984" si="350">(B955/$O$10/1.983)</f>
        <v>2623.5501765002518</v>
      </c>
      <c r="C984" s="67">
        <f t="shared" si="350"/>
        <v>2619.5999327618088</v>
      </c>
      <c r="D984" s="67">
        <f t="shared" si="350"/>
        <v>2615.8009749537737</v>
      </c>
      <c r="E984" s="67">
        <f t="shared" si="350"/>
        <v>2569.9109093965371</v>
      </c>
      <c r="F984" s="67">
        <f t="shared" si="350"/>
        <v>1378.3829214994116</v>
      </c>
      <c r="G984" s="67">
        <f t="shared" si="350"/>
        <v>0</v>
      </c>
      <c r="H984" s="67">
        <f t="shared" si="350"/>
        <v>655.03445957303745</v>
      </c>
      <c r="I984" s="67">
        <f t="shared" si="350"/>
        <v>94.889897461758267</v>
      </c>
      <c r="J984" s="67">
        <f t="shared" si="350"/>
        <v>86.182551689359556</v>
      </c>
      <c r="K984" s="67">
        <f t="shared" si="350"/>
        <v>81.845688350983366</v>
      </c>
      <c r="L984" s="67">
        <f t="shared" si="350"/>
        <v>55.421079172970245</v>
      </c>
      <c r="M984" s="67">
        <f t="shared" si="350"/>
        <v>55.034459573037488</v>
      </c>
      <c r="N984" s="67">
        <f t="shared" si="350"/>
        <v>53.168599764666332</v>
      </c>
      <c r="O984" s="67">
        <f t="shared" si="350"/>
        <v>48.125735417717266</v>
      </c>
      <c r="P984" s="67">
        <f t="shared" si="350"/>
        <v>71.961674230963183</v>
      </c>
      <c r="Q984" s="67">
        <f t="shared" si="350"/>
        <v>48.075306774247771</v>
      </c>
      <c r="R984" s="754"/>
      <c r="AC984" s="558" t="s">
        <v>2356</v>
      </c>
      <c r="AD984" s="555">
        <f>SUM(AD971:AD982)</f>
        <v>301455</v>
      </c>
      <c r="AE984" s="555">
        <f>SUM(AE971:AE982)</f>
        <v>38430</v>
      </c>
      <c r="AF984" s="555">
        <f>SUM(AF971:AF982)</f>
        <v>40320</v>
      </c>
      <c r="AG984" s="555">
        <f>SUM(AG971:AG982)</f>
        <v>68985</v>
      </c>
      <c r="AH984" s="555">
        <f>SUM(AH971:AH982)</f>
        <v>60233.253163680733</v>
      </c>
      <c r="AI984" s="555"/>
      <c r="AJ984" s="555">
        <f>SUM(AJ971:AJ982)</f>
        <v>509423.25316368073</v>
      </c>
      <c r="AK984" s="555"/>
      <c r="AL984" s="555"/>
      <c r="AM984" s="555"/>
      <c r="AN984" s="564" t="s">
        <v>2356</v>
      </c>
      <c r="AO984" s="555">
        <f t="shared" ref="AO984:AT984" si="351">SUM(AO971:AO982)</f>
        <v>1112921</v>
      </c>
      <c r="AP984" s="555">
        <f t="shared" si="351"/>
        <v>141450</v>
      </c>
      <c r="AQ984" s="555">
        <f t="shared" si="351"/>
        <v>147980</v>
      </c>
      <c r="AR984" s="555">
        <f t="shared" si="351"/>
        <v>239382</v>
      </c>
      <c r="AS984" s="555">
        <f t="shared" si="351"/>
        <v>0</v>
      </c>
      <c r="AT984" s="555">
        <f t="shared" si="351"/>
        <v>1641733</v>
      </c>
      <c r="AU984" s="565"/>
    </row>
    <row r="985" spans="1:50" ht="15.75" customHeight="1" thickBot="1" x14ac:dyDescent="0.35">
      <c r="A985" s="645" t="s">
        <v>1509</v>
      </c>
      <c r="B985" s="555">
        <f t="shared" ref="B985:Q985" si="352">(B956/$P$10/1.983)</f>
        <v>1277.2762025604736</v>
      </c>
      <c r="C985" s="555">
        <f t="shared" si="352"/>
        <v>1274.2504839523042</v>
      </c>
      <c r="D985" s="555">
        <f t="shared" si="352"/>
        <v>1271.3386364745497</v>
      </c>
      <c r="E985" s="555">
        <f t="shared" si="352"/>
        <v>1230.2962276121223</v>
      </c>
      <c r="F985" s="555">
        <f t="shared" si="352"/>
        <v>406.68260862492474</v>
      </c>
      <c r="G985" s="555">
        <f t="shared" si="352"/>
        <v>0</v>
      </c>
      <c r="H985" s="555">
        <f t="shared" si="352"/>
        <v>386.65755697623348</v>
      </c>
      <c r="I985" s="555">
        <f t="shared" si="352"/>
        <v>56.398744164104563</v>
      </c>
      <c r="J985" s="555">
        <f t="shared" si="352"/>
        <v>50.461178078180659</v>
      </c>
      <c r="K985" s="555">
        <f t="shared" si="352"/>
        <v>47.50052868739121</v>
      </c>
      <c r="L985" s="555">
        <f t="shared" si="352"/>
        <v>46.882371122281327</v>
      </c>
      <c r="M985" s="555">
        <f t="shared" si="352"/>
        <v>46.573292339726386</v>
      </c>
      <c r="N985" s="555">
        <f t="shared" si="352"/>
        <v>38.293234428122915</v>
      </c>
      <c r="O985" s="555">
        <f t="shared" si="352"/>
        <v>22.660354952580807</v>
      </c>
      <c r="P985" s="555">
        <f t="shared" si="352"/>
        <v>61.897093032713542</v>
      </c>
      <c r="Q985" s="555">
        <f t="shared" si="352"/>
        <v>22.627820343890811</v>
      </c>
      <c r="R985" s="556"/>
    </row>
    <row r="986" spans="1:50" ht="15.75" customHeight="1" x14ac:dyDescent="0.3">
      <c r="R986" s="701"/>
      <c r="AC986" s="704"/>
      <c r="AD986" s="821" t="s">
        <v>2922</v>
      </c>
      <c r="AE986" s="823"/>
      <c r="AF986" s="823"/>
      <c r="AG986" s="823"/>
      <c r="AH986" s="823"/>
      <c r="AI986" s="823"/>
      <c r="AJ986" s="823"/>
      <c r="AK986" s="823"/>
      <c r="AL986" s="823"/>
      <c r="AM986" s="823"/>
      <c r="AN986" s="823"/>
      <c r="AO986" s="823"/>
      <c r="AP986" s="823"/>
      <c r="AQ986" s="823"/>
      <c r="AR986" s="752" t="str">
        <f>$Q$1</f>
        <v xml:space="preserve">PRINTED:  </v>
      </c>
      <c r="AS986" s="757">
        <f ca="1">$R$1</f>
        <v>44881.729633912037</v>
      </c>
    </row>
    <row r="987" spans="1:50" ht="15.75" customHeight="1" x14ac:dyDescent="0.3">
      <c r="R987" s="67"/>
      <c r="AC987" s="579"/>
      <c r="AD987" s="786" t="str">
        <f>+$A$8</f>
        <v>Revised:  2/5/2020</v>
      </c>
      <c r="AE987" s="788"/>
      <c r="AF987" s="788"/>
      <c r="AG987" s="788"/>
      <c r="AH987" s="788"/>
      <c r="AI987" s="788"/>
      <c r="AJ987" s="788"/>
      <c r="AK987" s="788"/>
      <c r="AL987" s="788"/>
      <c r="AM987" s="788"/>
      <c r="AN987" s="788"/>
      <c r="AO987" s="788"/>
      <c r="AP987" s="788"/>
      <c r="AQ987" s="788"/>
      <c r="AR987" s="139"/>
      <c r="AS987" s="727"/>
    </row>
    <row r="988" spans="1:50" ht="15.75" customHeight="1" x14ac:dyDescent="0.3">
      <c r="A988" s="139"/>
      <c r="AC988" s="579"/>
      <c r="AD988" s="786" t="s">
        <v>2878</v>
      </c>
      <c r="AE988" s="789"/>
      <c r="AF988" s="789"/>
      <c r="AG988" s="789"/>
      <c r="AH988" s="789"/>
      <c r="AI988" s="789"/>
      <c r="AJ988" s="789"/>
      <c r="AK988" s="789"/>
      <c r="AL988" s="789"/>
      <c r="AM988" s="789"/>
      <c r="AN988" s="789"/>
      <c r="AO988" s="789"/>
      <c r="AP988" s="789"/>
      <c r="AQ988" s="789"/>
      <c r="AS988" s="727"/>
    </row>
    <row r="989" spans="1:50" ht="15.75" customHeight="1" x14ac:dyDescent="0.3">
      <c r="A989" s="139"/>
      <c r="AC989" s="579"/>
      <c r="AS989" s="727"/>
    </row>
    <row r="990" spans="1:50" ht="15.75" customHeight="1" thickBot="1" x14ac:dyDescent="0.35">
      <c r="A990" s="139"/>
      <c r="AC990" s="579"/>
      <c r="AD990" s="787">
        <f>$A$5</f>
        <v>2022</v>
      </c>
      <c r="AE990" s="789"/>
      <c r="AF990" s="789"/>
      <c r="AG990" s="789"/>
      <c r="AH990" s="789"/>
      <c r="AI990" s="789"/>
      <c r="AJ990" s="789"/>
      <c r="AK990" s="789"/>
      <c r="AL990" s="789"/>
      <c r="AM990" s="789"/>
      <c r="AN990" s="789"/>
      <c r="AO990" s="789"/>
      <c r="AP990" s="789"/>
      <c r="AQ990" s="789"/>
      <c r="AS990" s="727"/>
    </row>
    <row r="991" spans="1:50" ht="15.75" customHeight="1" x14ac:dyDescent="0.3">
      <c r="A991" s="755"/>
      <c r="B991" s="821" t="s">
        <v>1198</v>
      </c>
      <c r="C991" s="821"/>
      <c r="D991" s="821"/>
      <c r="E991" s="821"/>
      <c r="F991" s="821"/>
      <c r="G991" s="821"/>
      <c r="H991" s="821"/>
      <c r="I991" s="821"/>
      <c r="J991" s="821"/>
      <c r="K991" s="821"/>
      <c r="L991" s="821"/>
      <c r="M991" s="821"/>
      <c r="N991" s="821"/>
      <c r="O991" s="821"/>
      <c r="P991" s="821"/>
      <c r="Q991" s="752" t="str">
        <f>+Q1</f>
        <v xml:space="preserve">PRINTED:  </v>
      </c>
      <c r="R991" s="753">
        <f ca="1">+R1</f>
        <v>44881.729633912037</v>
      </c>
      <c r="AC991" s="579"/>
      <c r="AD991" s="786" t="s">
        <v>2919</v>
      </c>
      <c r="AE991" s="788"/>
      <c r="AF991" s="788"/>
      <c r="AG991" s="788"/>
      <c r="AH991" s="788"/>
      <c r="AI991" s="788"/>
      <c r="AJ991" s="788"/>
      <c r="AK991" s="788"/>
      <c r="AL991" s="788"/>
      <c r="AM991" s="788"/>
      <c r="AN991" s="788"/>
      <c r="AO991" s="788"/>
      <c r="AP991" s="788"/>
      <c r="AQ991" s="788"/>
      <c r="AR991" s="70"/>
      <c r="AS991" s="727"/>
    </row>
    <row r="992" spans="1:50" ht="16.5" customHeight="1" x14ac:dyDescent="0.3">
      <c r="A992" s="553"/>
      <c r="B992" s="786" t="str">
        <f>+A8</f>
        <v>Revised:  2/5/2020</v>
      </c>
      <c r="C992" s="786"/>
      <c r="D992" s="786"/>
      <c r="E992" s="786"/>
      <c r="F992" s="786"/>
      <c r="G992" s="786"/>
      <c r="H992" s="786"/>
      <c r="I992" s="786"/>
      <c r="J992" s="786"/>
      <c r="K992" s="786"/>
      <c r="L992" s="786"/>
      <c r="M992" s="786"/>
      <c r="N992" s="786"/>
      <c r="O992" s="786"/>
      <c r="P992" s="786"/>
      <c r="Q992" s="67"/>
      <c r="R992" s="754"/>
      <c r="AC992" s="579"/>
      <c r="AK992" s="670"/>
      <c r="AS992" s="727"/>
    </row>
    <row r="993" spans="1:48" ht="15.75" customHeight="1" thickBot="1" x14ac:dyDescent="0.35">
      <c r="A993" s="553"/>
      <c r="B993" s="786" t="s">
        <v>2878</v>
      </c>
      <c r="C993" s="786"/>
      <c r="D993" s="786"/>
      <c r="E993" s="786"/>
      <c r="F993" s="786"/>
      <c r="G993" s="786"/>
      <c r="H993" s="786"/>
      <c r="I993" s="786"/>
      <c r="J993" s="786"/>
      <c r="K993" s="786"/>
      <c r="L993" s="786"/>
      <c r="M993" s="786"/>
      <c r="N993" s="786"/>
      <c r="O993" s="786"/>
      <c r="P993" s="786"/>
      <c r="Q993" s="67"/>
      <c r="R993" s="754"/>
      <c r="AC993" s="579"/>
      <c r="AD993" s="634" t="s">
        <v>1308</v>
      </c>
      <c r="AE993" s="634" t="s">
        <v>1309</v>
      </c>
      <c r="AF993" s="634" t="s">
        <v>1029</v>
      </c>
      <c r="AG993" s="634" t="s">
        <v>1030</v>
      </c>
      <c r="AH993" s="634" t="s">
        <v>284</v>
      </c>
      <c r="AI993" s="634" t="s">
        <v>285</v>
      </c>
      <c r="AJ993" s="634" t="s">
        <v>286</v>
      </c>
      <c r="AK993" s="634" t="s">
        <v>287</v>
      </c>
      <c r="AL993" s="634" t="s">
        <v>288</v>
      </c>
      <c r="AM993" s="634" t="s">
        <v>289</v>
      </c>
      <c r="AN993" s="634" t="s">
        <v>633</v>
      </c>
      <c r="AO993" s="634" t="s">
        <v>634</v>
      </c>
      <c r="AP993" s="634" t="s">
        <v>1192</v>
      </c>
      <c r="AQ993" s="634" t="s">
        <v>524</v>
      </c>
      <c r="AR993" s="634" t="s">
        <v>525</v>
      </c>
      <c r="AS993" s="684" t="s">
        <v>2356</v>
      </c>
    </row>
    <row r="994" spans="1:48" ht="15.75" customHeight="1" x14ac:dyDescent="0.3">
      <c r="A994" s="553"/>
      <c r="B994" s="67"/>
      <c r="C994" s="67"/>
      <c r="D994" s="67"/>
      <c r="E994" s="67"/>
      <c r="F994" s="67"/>
      <c r="G994" s="67"/>
      <c r="H994" s="67"/>
      <c r="I994" s="67"/>
      <c r="J994" s="67"/>
      <c r="K994" s="67"/>
      <c r="L994" s="67"/>
      <c r="M994" s="67"/>
      <c r="N994" s="67"/>
      <c r="O994" s="67"/>
      <c r="P994" s="67"/>
      <c r="Q994" s="67"/>
      <c r="R994" s="754"/>
      <c r="AC994" s="579"/>
      <c r="AD994" s="67"/>
      <c r="AE994" s="67"/>
      <c r="AF994" s="67"/>
      <c r="AG994" s="67"/>
      <c r="AH994" s="70" t="s">
        <v>2910</v>
      </c>
      <c r="AI994" s="67"/>
      <c r="AJ994" s="67"/>
      <c r="AK994" s="67"/>
      <c r="AL994" s="67"/>
      <c r="AM994" s="67"/>
      <c r="AN994" s="67"/>
      <c r="AO994" s="67"/>
      <c r="AP994" s="67"/>
      <c r="AQ994" s="67"/>
      <c r="AR994" s="67"/>
      <c r="AS994" s="636"/>
    </row>
    <row r="995" spans="1:48" ht="15.75" customHeight="1" x14ac:dyDescent="0.3">
      <c r="A995" s="553"/>
      <c r="B995" s="787">
        <f>A5</f>
        <v>2022</v>
      </c>
      <c r="C995" s="787"/>
      <c r="D995" s="787"/>
      <c r="E995" s="787"/>
      <c r="F995" s="787"/>
      <c r="G995" s="787"/>
      <c r="H995" s="787"/>
      <c r="I995" s="787"/>
      <c r="J995" s="787"/>
      <c r="K995" s="787"/>
      <c r="L995" s="787"/>
      <c r="M995" s="787"/>
      <c r="N995" s="787"/>
      <c r="O995" s="787"/>
      <c r="P995" s="787"/>
      <c r="Q995" s="67"/>
      <c r="R995" s="754"/>
      <c r="S995" s="67"/>
      <c r="AC995" s="642" t="s">
        <v>3040</v>
      </c>
      <c r="AD995" s="687">
        <v>1.7000000000000001E-2</v>
      </c>
      <c r="AE995" s="687">
        <v>1.7000000000000001E-2</v>
      </c>
      <c r="AF995" s="687">
        <v>1.7000000000000001E-2</v>
      </c>
      <c r="AG995" s="687">
        <v>1.7000000000000001E-2</v>
      </c>
      <c r="AH995" s="687"/>
      <c r="AI995" s="687"/>
      <c r="AJ995" s="687"/>
      <c r="AK995" s="687"/>
      <c r="AL995" s="687"/>
      <c r="AM995" s="687"/>
      <c r="AN995" s="687"/>
      <c r="AO995" s="687"/>
      <c r="AP995" s="687"/>
      <c r="AQ995" s="687"/>
      <c r="AR995" s="687"/>
      <c r="AS995" s="592"/>
    </row>
    <row r="996" spans="1:48" ht="15.75" customHeight="1" x14ac:dyDescent="0.3">
      <c r="A996" s="553"/>
      <c r="B996" s="786" t="s">
        <v>2919</v>
      </c>
      <c r="C996" s="786"/>
      <c r="D996" s="786"/>
      <c r="E996" s="786"/>
      <c r="F996" s="786"/>
      <c r="G996" s="786"/>
      <c r="H996" s="786"/>
      <c r="I996" s="786"/>
      <c r="J996" s="786"/>
      <c r="K996" s="786"/>
      <c r="L996" s="786"/>
      <c r="M996" s="786"/>
      <c r="N996" s="786"/>
      <c r="O996" s="786"/>
      <c r="P996" s="786"/>
      <c r="Q996" s="67"/>
      <c r="R996" s="754"/>
      <c r="S996" s="67"/>
      <c r="AC996" s="642" t="s">
        <v>2908</v>
      </c>
      <c r="AD996" s="687"/>
      <c r="AE996" s="687">
        <v>0.03</v>
      </c>
      <c r="AF996" s="687"/>
      <c r="AG996" s="687"/>
      <c r="AH996" s="687"/>
      <c r="AI996" s="687"/>
      <c r="AJ996" s="687"/>
      <c r="AK996" s="687"/>
      <c r="AL996" s="687"/>
      <c r="AM996" s="687">
        <v>0.03</v>
      </c>
      <c r="AN996" s="687">
        <v>0.03</v>
      </c>
      <c r="AO996" s="687">
        <v>0.03</v>
      </c>
      <c r="AP996" s="687">
        <v>0.03</v>
      </c>
      <c r="AQ996" s="687">
        <v>0.03</v>
      </c>
      <c r="AR996" s="687">
        <v>0.03</v>
      </c>
      <c r="AS996" s="592"/>
    </row>
    <row r="997" spans="1:48" ht="15.75" customHeight="1" x14ac:dyDescent="0.3">
      <c r="A997" s="553"/>
      <c r="B997" s="67"/>
      <c r="C997" s="67"/>
      <c r="D997" s="67"/>
      <c r="E997" s="67"/>
      <c r="F997" s="67"/>
      <c r="G997" s="67"/>
      <c r="H997" s="67"/>
      <c r="I997" s="67"/>
      <c r="J997" s="67"/>
      <c r="K997" s="67"/>
      <c r="L997" s="67"/>
      <c r="M997" s="67"/>
      <c r="N997" s="67"/>
      <c r="O997" s="67"/>
      <c r="P997" s="67"/>
      <c r="Q997" s="67"/>
      <c r="R997" s="754"/>
      <c r="S997" s="67"/>
      <c r="AC997" s="642" t="s">
        <v>2909</v>
      </c>
      <c r="AD997" s="687"/>
      <c r="AE997" s="687"/>
      <c r="AF997" s="687">
        <v>0.03</v>
      </c>
      <c r="AG997" s="687">
        <v>0.03</v>
      </c>
      <c r="AH997" s="687"/>
      <c r="AI997" s="687"/>
      <c r="AJ997" s="687"/>
      <c r="AK997" s="687"/>
      <c r="AL997" s="687"/>
      <c r="AM997" s="687"/>
      <c r="AN997" s="687"/>
      <c r="AO997" s="687"/>
      <c r="AP997" s="687"/>
      <c r="AQ997" s="687"/>
      <c r="AR997" s="687"/>
      <c r="AS997" s="592"/>
    </row>
    <row r="998" spans="1:48" ht="15.75" customHeight="1" thickBot="1" x14ac:dyDescent="0.35">
      <c r="A998" s="553" t="s">
        <v>845</v>
      </c>
      <c r="B998" s="634" t="s">
        <v>1308</v>
      </c>
      <c r="C998" s="634" t="s">
        <v>1309</v>
      </c>
      <c r="D998" s="634" t="s">
        <v>1029</v>
      </c>
      <c r="E998" s="634" t="s">
        <v>1030</v>
      </c>
      <c r="F998" s="634" t="s">
        <v>284</v>
      </c>
      <c r="G998" s="634" t="s">
        <v>284</v>
      </c>
      <c r="H998" s="634" t="s">
        <v>285</v>
      </c>
      <c r="I998" s="634" t="s">
        <v>286</v>
      </c>
      <c r="J998" s="634" t="s">
        <v>287</v>
      </c>
      <c r="K998" s="634" t="s">
        <v>288</v>
      </c>
      <c r="L998" s="634" t="s">
        <v>289</v>
      </c>
      <c r="M998" s="634" t="s">
        <v>633</v>
      </c>
      <c r="N998" s="634" t="s">
        <v>634</v>
      </c>
      <c r="O998" s="634" t="s">
        <v>1192</v>
      </c>
      <c r="P998" s="634" t="s">
        <v>524</v>
      </c>
      <c r="Q998" s="634" t="s">
        <v>525</v>
      </c>
      <c r="R998" s="684" t="s">
        <v>2356</v>
      </c>
      <c r="S998" s="70"/>
      <c r="AC998" s="642" t="s">
        <v>2760</v>
      </c>
      <c r="AD998" s="687"/>
      <c r="AE998" s="687"/>
      <c r="AF998" s="687"/>
      <c r="AG998" s="687"/>
      <c r="AH998" s="687"/>
      <c r="AI998" s="687">
        <v>0.03</v>
      </c>
      <c r="AJ998" s="687"/>
      <c r="AK998" s="687"/>
      <c r="AL998" s="687"/>
      <c r="AM998" s="687"/>
      <c r="AN998" s="687"/>
      <c r="AO998" s="687"/>
      <c r="AP998" s="687"/>
      <c r="AQ998" s="687"/>
      <c r="AR998" s="687"/>
      <c r="AS998" s="592"/>
    </row>
    <row r="999" spans="1:48" ht="15.75" customHeight="1" x14ac:dyDescent="0.3">
      <c r="A999" s="553"/>
      <c r="B999" s="67"/>
      <c r="C999" s="67"/>
      <c r="D999" s="67"/>
      <c r="E999" s="67"/>
      <c r="F999" s="70" t="s">
        <v>1193</v>
      </c>
      <c r="G999" s="70" t="s">
        <v>1194</v>
      </c>
      <c r="H999" s="67"/>
      <c r="I999" s="67"/>
      <c r="J999" s="67"/>
      <c r="K999" s="67"/>
      <c r="L999" s="67"/>
      <c r="M999" s="67"/>
      <c r="N999" s="67"/>
      <c r="O999" s="67"/>
      <c r="P999" s="67"/>
      <c r="Q999" s="67"/>
      <c r="R999" s="592" t="s">
        <v>1236</v>
      </c>
      <c r="S999" s="70"/>
      <c r="AC999" s="642" t="s">
        <v>2634</v>
      </c>
      <c r="AD999" s="687">
        <v>0.03</v>
      </c>
      <c r="AE999" s="687"/>
      <c r="AF999" s="687"/>
      <c r="AG999" s="687"/>
      <c r="AH999" s="687"/>
      <c r="AI999" s="687"/>
      <c r="AJ999" s="687">
        <v>0.03</v>
      </c>
      <c r="AK999" s="687">
        <v>0.03</v>
      </c>
      <c r="AL999" s="687">
        <v>0.03</v>
      </c>
      <c r="AM999" s="687"/>
      <c r="AN999" s="687"/>
      <c r="AO999" s="687"/>
      <c r="AP999" s="687"/>
      <c r="AQ999" s="687"/>
      <c r="AR999" s="687"/>
      <c r="AS999" s="592"/>
    </row>
    <row r="1000" spans="1:48" ht="15.75" customHeight="1" x14ac:dyDescent="0.3">
      <c r="A1000" s="553" t="s">
        <v>2917</v>
      </c>
      <c r="B1000" s="677">
        <v>957</v>
      </c>
      <c r="C1000" s="677">
        <v>122</v>
      </c>
      <c r="D1000" s="677">
        <v>128</v>
      </c>
      <c r="E1000" s="677">
        <v>219</v>
      </c>
      <c r="F1000" s="677"/>
      <c r="G1000" s="677"/>
      <c r="H1000" s="677">
        <v>97</v>
      </c>
      <c r="I1000" s="677">
        <v>160</v>
      </c>
      <c r="J1000" s="677">
        <v>250</v>
      </c>
      <c r="K1000" s="677">
        <v>260</v>
      </c>
      <c r="L1000" s="677">
        <v>100</v>
      </c>
      <c r="M1000" s="677">
        <v>118</v>
      </c>
      <c r="N1000" s="677">
        <v>250</v>
      </c>
      <c r="O1000" s="677">
        <v>190</v>
      </c>
      <c r="P1000" s="677">
        <v>340</v>
      </c>
      <c r="Q1000" s="677">
        <v>450</v>
      </c>
      <c r="R1000" s="592" t="s">
        <v>335</v>
      </c>
      <c r="S1000" s="70"/>
      <c r="AC1000" s="642" t="s">
        <v>2356</v>
      </c>
      <c r="AD1000" s="217">
        <f>SUM(AD995:AD999)</f>
        <v>4.7E-2</v>
      </c>
      <c r="AE1000" s="217">
        <f t="shared" ref="AE1000:AR1000" si="353">SUM(AE995:AE999)</f>
        <v>4.7E-2</v>
      </c>
      <c r="AF1000" s="217">
        <f t="shared" si="353"/>
        <v>4.7E-2</v>
      </c>
      <c r="AG1000" s="217">
        <f t="shared" si="353"/>
        <v>4.7E-2</v>
      </c>
      <c r="AH1000" s="217">
        <f t="shared" si="353"/>
        <v>0</v>
      </c>
      <c r="AI1000" s="217">
        <f t="shared" si="353"/>
        <v>0.03</v>
      </c>
      <c r="AJ1000" s="217">
        <f t="shared" si="353"/>
        <v>0.03</v>
      </c>
      <c r="AK1000" s="217">
        <f t="shared" si="353"/>
        <v>0.03</v>
      </c>
      <c r="AL1000" s="217">
        <f t="shared" si="353"/>
        <v>0.03</v>
      </c>
      <c r="AM1000" s="217">
        <f t="shared" si="353"/>
        <v>0.03</v>
      </c>
      <c r="AN1000" s="217">
        <f t="shared" si="353"/>
        <v>0.03</v>
      </c>
      <c r="AO1000" s="217">
        <f t="shared" si="353"/>
        <v>0.03</v>
      </c>
      <c r="AP1000" s="217">
        <f t="shared" si="353"/>
        <v>0.03</v>
      </c>
      <c r="AQ1000" s="217">
        <f t="shared" si="353"/>
        <v>0.03</v>
      </c>
      <c r="AR1000" s="217">
        <f t="shared" si="353"/>
        <v>0.03</v>
      </c>
      <c r="AS1000" s="592"/>
      <c r="AU1000" s="139" t="s">
        <v>3084</v>
      </c>
      <c r="AV1000" t="s">
        <v>3085</v>
      </c>
    </row>
    <row r="1001" spans="1:48" ht="15.75" customHeight="1" x14ac:dyDescent="0.3">
      <c r="A1001" s="553"/>
      <c r="B1001" s="70" t="s">
        <v>1353</v>
      </c>
      <c r="C1001" s="70" t="s">
        <v>1353</v>
      </c>
      <c r="D1001" s="70" t="s">
        <v>1353</v>
      </c>
      <c r="E1001" s="70" t="s">
        <v>1353</v>
      </c>
      <c r="F1001" s="70" t="s">
        <v>1353</v>
      </c>
      <c r="G1001" s="70" t="s">
        <v>1353</v>
      </c>
      <c r="H1001" s="70" t="s">
        <v>1353</v>
      </c>
      <c r="I1001" s="70" t="s">
        <v>1353</v>
      </c>
      <c r="J1001" s="70" t="s">
        <v>1353</v>
      </c>
      <c r="K1001" s="70" t="s">
        <v>1353</v>
      </c>
      <c r="L1001" s="70" t="s">
        <v>1353</v>
      </c>
      <c r="M1001" s="70" t="s">
        <v>1353</v>
      </c>
      <c r="N1001" s="70" t="s">
        <v>1353</v>
      </c>
      <c r="O1001" s="70" t="s">
        <v>1353</v>
      </c>
      <c r="P1001" s="70" t="s">
        <v>1353</v>
      </c>
      <c r="Q1001" s="70" t="s">
        <v>1353</v>
      </c>
      <c r="R1001" s="592" t="s">
        <v>251</v>
      </c>
      <c r="S1001" s="70"/>
      <c r="T1001" s="70"/>
      <c r="AC1001" s="553" t="s">
        <v>1353</v>
      </c>
      <c r="AD1001" s="70" t="s">
        <v>1353</v>
      </c>
      <c r="AE1001" s="70" t="s">
        <v>1353</v>
      </c>
      <c r="AF1001" s="70" t="s">
        <v>1353</v>
      </c>
      <c r="AG1001" s="70" t="s">
        <v>1353</v>
      </c>
      <c r="AH1001" s="70" t="s">
        <v>1353</v>
      </c>
      <c r="AI1001" s="70" t="s">
        <v>1353</v>
      </c>
      <c r="AJ1001" s="70" t="s">
        <v>1353</v>
      </c>
      <c r="AK1001" s="70" t="s">
        <v>1353</v>
      </c>
      <c r="AL1001" s="70" t="s">
        <v>1353</v>
      </c>
      <c r="AM1001" s="70" t="s">
        <v>1353</v>
      </c>
      <c r="AN1001" s="70" t="s">
        <v>1353</v>
      </c>
      <c r="AO1001" s="70" t="s">
        <v>1353</v>
      </c>
      <c r="AP1001" s="70" t="s">
        <v>1353</v>
      </c>
      <c r="AQ1001" s="70" t="s">
        <v>1353</v>
      </c>
      <c r="AR1001" s="70" t="s">
        <v>1353</v>
      </c>
      <c r="AS1001" s="592" t="s">
        <v>1353</v>
      </c>
    </row>
    <row r="1002" spans="1:48" ht="15.75" customHeight="1" x14ac:dyDescent="0.3">
      <c r="A1002" s="139" t="s">
        <v>2843</v>
      </c>
      <c r="B1002" s="67">
        <f>ROUND((B945*$B$1000)/1000,0)</f>
        <v>135904</v>
      </c>
      <c r="C1002" s="67">
        <f t="shared" ref="C1002:C1013" si="354">ROUND((C945*$C$1000)/1000,0)</f>
        <v>17313</v>
      </c>
      <c r="D1002" s="67">
        <f t="shared" ref="D1002:D1013" si="355">ROUND((D945*$D$1000)/1000,0)</f>
        <v>18153</v>
      </c>
      <c r="E1002" s="67">
        <f t="shared" ref="E1002:E1013" si="356">ROUND((E945*$E$1000)/1000,0)</f>
        <v>30513</v>
      </c>
      <c r="F1002" s="67">
        <f>(F945*((T945-1526.8)/0.7702))/1000</f>
        <v>13870.963929746755</v>
      </c>
      <c r="G1002" s="67">
        <f t="shared" ref="G1002:G1013" si="357">(G945*((T945-1591.4)/0.6635))/1000</f>
        <v>0</v>
      </c>
      <c r="H1002" s="67">
        <f t="shared" ref="H1002:H1013" si="358">ROUND((H945*$H$1000)/1000,0)</f>
        <v>4603</v>
      </c>
      <c r="I1002" s="67">
        <f t="shared" ref="I1002:I1013" si="359">ROUND((I945*$I$1000)/1000,0)</f>
        <v>2581</v>
      </c>
      <c r="J1002" s="67">
        <f t="shared" ref="J1002:J1013" si="360">ROUND((J945*$J$1000)/1000,0)</f>
        <v>3994</v>
      </c>
      <c r="K1002" s="67">
        <f t="shared" ref="K1002:K1013" si="361">ROUND((K945*$K$1000)/1000,0)</f>
        <v>4132</v>
      </c>
      <c r="L1002" s="67">
        <f t="shared" ref="L1002:L1013" si="362">ROUND((L945*$L$1000)/1000,0)</f>
        <v>1252</v>
      </c>
      <c r="M1002" s="67">
        <f t="shared" ref="M1002:M1013" si="363">ROUND((M945*$M$1000)/1000,0)</f>
        <v>1475</v>
      </c>
      <c r="N1002" s="67">
        <f t="shared" ref="N1002:N1013" si="364">ROUND((N945*$N$1000)/1000,0)</f>
        <v>3029</v>
      </c>
      <c r="O1002" s="67">
        <f t="shared" ref="O1002:O1013" si="365">ROUND((O945*$O$1000)/1000,0)</f>
        <v>749</v>
      </c>
      <c r="P1002" s="67">
        <f t="shared" ref="P1002:P1013" si="366">ROUND((P945*$P$1000)/1000,0)</f>
        <v>1294</v>
      </c>
      <c r="Q1002" s="67">
        <f t="shared" ref="Q1002:Q1013" si="367">ROUND((Q945*$Q$1000)/1000,0)</f>
        <v>1772</v>
      </c>
      <c r="R1002" s="638">
        <f>(SUM(B1002:Q1002))</f>
        <v>240634.96392974677</v>
      </c>
      <c r="S1002" s="73"/>
      <c r="AC1002" s="642" t="s">
        <v>2843</v>
      </c>
      <c r="AD1002" s="67">
        <f>ROUND(B1002*$AD$1000, 0)</f>
        <v>6387</v>
      </c>
      <c r="AE1002" s="67">
        <f>ROUND(C1002*$AE$1000,0)</f>
        <v>814</v>
      </c>
      <c r="AF1002" s="67">
        <f>ROUND(D1002*$AF$1000,0)</f>
        <v>853</v>
      </c>
      <c r="AG1002" s="67">
        <f>ROUND(E1002*$AG$1000,0)</f>
        <v>1434</v>
      </c>
      <c r="AH1002" s="67">
        <f>ROUND(F1002*$AH$1000,0)</f>
        <v>0</v>
      </c>
      <c r="AI1002" s="67">
        <f>ROUND(H1002*$AI$1000,0)</f>
        <v>138</v>
      </c>
      <c r="AJ1002" s="67">
        <f>ROUND(I1002*$AJ$1000,0)</f>
        <v>77</v>
      </c>
      <c r="AK1002" s="67">
        <f>ROUND(J1002*$AK$1000,0)</f>
        <v>120</v>
      </c>
      <c r="AL1002" s="67">
        <f>ROUND(K1002*$AL$1000,0)</f>
        <v>124</v>
      </c>
      <c r="AM1002" s="67">
        <f>ROUND(L1002*$AM$1000,0)</f>
        <v>38</v>
      </c>
      <c r="AN1002" s="67">
        <f>ROUND(M1002*$AN$1000,0)</f>
        <v>44</v>
      </c>
      <c r="AO1002" s="67">
        <f>ROUND(N1002*$AO$1000,0)</f>
        <v>91</v>
      </c>
      <c r="AP1002" s="67">
        <f>ROUND(O1002*$AP$1000,0)</f>
        <v>22</v>
      </c>
      <c r="AQ1002" s="67">
        <f>ROUND(P1002*$AQ$1000,0)</f>
        <v>39</v>
      </c>
      <c r="AR1002" s="67">
        <f>ROUND(Q1002*$AR$1000,0)</f>
        <v>53</v>
      </c>
      <c r="AS1002" s="636">
        <f>SUM(AD1002:AR1002)</f>
        <v>10234</v>
      </c>
      <c r="AU1002" s="708">
        <f>AS1002/R1002</f>
        <v>4.252914802101581E-2</v>
      </c>
    </row>
    <row r="1003" spans="1:48" ht="15.75" customHeight="1" x14ac:dyDescent="0.3">
      <c r="A1003" s="139" t="s">
        <v>2091</v>
      </c>
      <c r="B1003" s="67">
        <f t="shared" ref="B1003:B1013" si="368">ROUND((B946*$B$1000)/1000,0)</f>
        <v>122820</v>
      </c>
      <c r="C1003" s="67">
        <f t="shared" si="354"/>
        <v>15639</v>
      </c>
      <c r="D1003" s="67">
        <f t="shared" si="355"/>
        <v>16390</v>
      </c>
      <c r="E1003" s="67">
        <f t="shared" si="356"/>
        <v>27426</v>
      </c>
      <c r="F1003" s="67">
        <f t="shared" ref="F1003:F1013" si="369">(F946*((T946-1526.8)/0.7702))/1000</f>
        <v>8843.3704485971411</v>
      </c>
      <c r="G1003" s="67">
        <f>(G946*((T946-1591.4)/0.6635))/1000</f>
        <v>0</v>
      </c>
      <c r="H1003" s="67">
        <f t="shared" si="358"/>
        <v>5726</v>
      </c>
      <c r="I1003" s="67">
        <f t="shared" si="359"/>
        <v>3843</v>
      </c>
      <c r="J1003" s="67">
        <f t="shared" si="360"/>
        <v>5964</v>
      </c>
      <c r="K1003" s="67">
        <f t="shared" si="361"/>
        <v>6046</v>
      </c>
      <c r="L1003" s="67">
        <f t="shared" si="362"/>
        <v>1844</v>
      </c>
      <c r="M1003" s="67">
        <f t="shared" si="363"/>
        <v>2174</v>
      </c>
      <c r="N1003" s="67">
        <f t="shared" si="364"/>
        <v>4440</v>
      </c>
      <c r="O1003" s="67">
        <f t="shared" si="365"/>
        <v>717</v>
      </c>
      <c r="P1003" s="67">
        <f t="shared" si="366"/>
        <v>1294</v>
      </c>
      <c r="Q1003" s="67">
        <f t="shared" si="367"/>
        <v>1697</v>
      </c>
      <c r="R1003" s="638">
        <f>(SUM(B1003:Q1003))</f>
        <v>224863.37044859715</v>
      </c>
      <c r="S1003" s="73"/>
      <c r="AC1003" s="642" t="s">
        <v>2091</v>
      </c>
      <c r="AD1003" s="67">
        <f t="shared" ref="AD1003:AD1013" si="370">ROUND(B1003*$AD$1000, 0)</f>
        <v>5773</v>
      </c>
      <c r="AE1003" s="67">
        <f t="shared" ref="AE1003:AE1013" si="371">ROUND(C1003*$AE$1000,0)</f>
        <v>735</v>
      </c>
      <c r="AF1003" s="67">
        <f t="shared" ref="AF1003:AF1013" si="372">ROUND(D1003*$AF$1000,0)</f>
        <v>770</v>
      </c>
      <c r="AG1003" s="67">
        <f t="shared" ref="AG1003:AG1013" si="373">ROUND(E1003*$AG$1000,0)</f>
        <v>1289</v>
      </c>
      <c r="AH1003" s="67">
        <f t="shared" ref="AH1003:AH1013" si="374">ROUND(F1003*$AH$1000,0)</f>
        <v>0</v>
      </c>
      <c r="AI1003" s="67">
        <f t="shared" ref="AI1003:AI1013" si="375">ROUND(H1003*$AI$1000,0)</f>
        <v>172</v>
      </c>
      <c r="AJ1003" s="67">
        <f t="shared" ref="AJ1003:AJ1013" si="376">ROUND(I1003*$AJ$1000,0)</f>
        <v>115</v>
      </c>
      <c r="AK1003" s="67">
        <f t="shared" ref="AK1003:AK1013" si="377">ROUND(J1003*$AK$1000,0)</f>
        <v>179</v>
      </c>
      <c r="AL1003" s="67">
        <f t="shared" ref="AL1003:AL1013" si="378">ROUND(K1003*$AL$1000,0)</f>
        <v>181</v>
      </c>
      <c r="AM1003" s="67">
        <f t="shared" ref="AM1003:AM1013" si="379">ROUND(L1003*$AM$1000,0)</f>
        <v>55</v>
      </c>
      <c r="AN1003" s="67">
        <f t="shared" ref="AN1003:AN1013" si="380">ROUND(M1003*$AN$1000,0)</f>
        <v>65</v>
      </c>
      <c r="AO1003" s="67">
        <f t="shared" ref="AO1003:AO1013" si="381">ROUND(N1003*$AO$1000,0)</f>
        <v>133</v>
      </c>
      <c r="AP1003" s="67">
        <f t="shared" ref="AP1003:AP1013" si="382">ROUND(O1003*$AP$1000,0)</f>
        <v>22</v>
      </c>
      <c r="AQ1003" s="67">
        <f t="shared" ref="AQ1003:AQ1013" si="383">ROUND(P1003*$AQ$1000,0)</f>
        <v>39</v>
      </c>
      <c r="AR1003" s="67">
        <f t="shared" ref="AR1003:AR1013" si="384">ROUND(Q1003*$AR$1000,0)</f>
        <v>51</v>
      </c>
      <c r="AS1003" s="636">
        <f t="shared" ref="AS1003:AS1013" si="385">SUM(AD1003:AR1003)</f>
        <v>9579</v>
      </c>
      <c r="AU1003" s="708">
        <f t="shared" ref="AU1003:AU1015" si="386">AS1003/R1003</f>
        <v>4.2599201376774344E-2</v>
      </c>
    </row>
    <row r="1004" spans="1:48" ht="15.75" customHeight="1" x14ac:dyDescent="0.3">
      <c r="A1004" s="139" t="s">
        <v>2234</v>
      </c>
      <c r="B1004" s="67">
        <f t="shared" si="368"/>
        <v>151221</v>
      </c>
      <c r="C1004" s="67">
        <f t="shared" si="354"/>
        <v>19245</v>
      </c>
      <c r="D1004" s="67">
        <f t="shared" si="355"/>
        <v>20158</v>
      </c>
      <c r="E1004" s="67">
        <f t="shared" si="356"/>
        <v>33300</v>
      </c>
      <c r="F1004" s="67">
        <f t="shared" si="369"/>
        <v>7760.9947866505872</v>
      </c>
      <c r="G1004" s="67">
        <f t="shared" si="357"/>
        <v>0</v>
      </c>
      <c r="H1004" s="67">
        <f t="shared" si="358"/>
        <v>8250</v>
      </c>
      <c r="I1004" s="67">
        <f t="shared" si="359"/>
        <v>5128</v>
      </c>
      <c r="J1004" s="67">
        <f t="shared" si="360"/>
        <v>7262</v>
      </c>
      <c r="K1004" s="67">
        <f t="shared" si="361"/>
        <v>7028</v>
      </c>
      <c r="L1004" s="67">
        <f t="shared" si="362"/>
        <v>2052</v>
      </c>
      <c r="M1004" s="67">
        <f t="shared" si="363"/>
        <v>2418</v>
      </c>
      <c r="N1004" s="67">
        <f t="shared" si="364"/>
        <v>4877</v>
      </c>
      <c r="O1004" s="67">
        <f t="shared" si="365"/>
        <v>768</v>
      </c>
      <c r="P1004" s="67">
        <f t="shared" si="366"/>
        <v>1617</v>
      </c>
      <c r="Q1004" s="67">
        <f t="shared" si="367"/>
        <v>1817</v>
      </c>
      <c r="R1004" s="638">
        <f t="shared" ref="R1004:R1013" si="387">(SUM(B1004:Q1004))</f>
        <v>272901.99478665058</v>
      </c>
      <c r="S1004" s="73"/>
      <c r="AC1004" s="642" t="s">
        <v>2234</v>
      </c>
      <c r="AD1004" s="67">
        <f t="shared" si="370"/>
        <v>7107</v>
      </c>
      <c r="AE1004" s="67">
        <f t="shared" si="371"/>
        <v>905</v>
      </c>
      <c r="AF1004" s="67">
        <f t="shared" si="372"/>
        <v>947</v>
      </c>
      <c r="AG1004" s="67">
        <f t="shared" si="373"/>
        <v>1565</v>
      </c>
      <c r="AH1004" s="67">
        <f t="shared" si="374"/>
        <v>0</v>
      </c>
      <c r="AI1004" s="67">
        <f t="shared" si="375"/>
        <v>248</v>
      </c>
      <c r="AJ1004" s="67">
        <f t="shared" si="376"/>
        <v>154</v>
      </c>
      <c r="AK1004" s="67">
        <f t="shared" si="377"/>
        <v>218</v>
      </c>
      <c r="AL1004" s="67">
        <f t="shared" si="378"/>
        <v>211</v>
      </c>
      <c r="AM1004" s="67">
        <f t="shared" si="379"/>
        <v>62</v>
      </c>
      <c r="AN1004" s="67">
        <f t="shared" si="380"/>
        <v>73</v>
      </c>
      <c r="AO1004" s="67">
        <f t="shared" si="381"/>
        <v>146</v>
      </c>
      <c r="AP1004" s="67">
        <f t="shared" si="382"/>
        <v>23</v>
      </c>
      <c r="AQ1004" s="67">
        <f t="shared" si="383"/>
        <v>49</v>
      </c>
      <c r="AR1004" s="67">
        <f t="shared" si="384"/>
        <v>55</v>
      </c>
      <c r="AS1004" s="636">
        <f t="shared" si="385"/>
        <v>11763</v>
      </c>
      <c r="AU1004" s="708">
        <f t="shared" si="386"/>
        <v>4.3103385921367421E-2</v>
      </c>
    </row>
    <row r="1005" spans="1:48" ht="15.75" customHeight="1" x14ac:dyDescent="0.3">
      <c r="A1005" s="139" t="s">
        <v>2235</v>
      </c>
      <c r="B1005" s="67">
        <f t="shared" si="368"/>
        <v>151326</v>
      </c>
      <c r="C1005" s="67">
        <f t="shared" si="354"/>
        <v>19246</v>
      </c>
      <c r="D1005" s="67">
        <f t="shared" si="355"/>
        <v>20148</v>
      </c>
      <c r="E1005" s="67">
        <f t="shared" si="356"/>
        <v>32961</v>
      </c>
      <c r="F1005" s="67">
        <f t="shared" si="369"/>
        <v>0</v>
      </c>
      <c r="G1005" s="67">
        <f t="shared" si="357"/>
        <v>0</v>
      </c>
      <c r="H1005" s="67">
        <f t="shared" si="358"/>
        <v>10753</v>
      </c>
      <c r="I1005" s="67">
        <f t="shared" si="359"/>
        <v>6494</v>
      </c>
      <c r="J1005" s="67">
        <f t="shared" si="360"/>
        <v>7770</v>
      </c>
      <c r="K1005" s="67">
        <f t="shared" si="361"/>
        <v>7135</v>
      </c>
      <c r="L1005" s="67">
        <f t="shared" si="362"/>
        <v>2194</v>
      </c>
      <c r="M1005" s="67">
        <f t="shared" si="363"/>
        <v>2585</v>
      </c>
      <c r="N1005" s="67">
        <f t="shared" si="364"/>
        <v>5180</v>
      </c>
      <c r="O1005" s="67">
        <f t="shared" si="365"/>
        <v>969</v>
      </c>
      <c r="P1005" s="67">
        <f t="shared" si="366"/>
        <v>1941</v>
      </c>
      <c r="Q1005" s="67">
        <f t="shared" si="367"/>
        <v>2291</v>
      </c>
      <c r="R1005" s="638">
        <f t="shared" si="387"/>
        <v>270993</v>
      </c>
      <c r="S1005" s="73"/>
      <c r="AC1005" s="642" t="s">
        <v>2235</v>
      </c>
      <c r="AD1005" s="67">
        <f t="shared" si="370"/>
        <v>7112</v>
      </c>
      <c r="AE1005" s="67">
        <f t="shared" si="371"/>
        <v>905</v>
      </c>
      <c r="AF1005" s="67">
        <f t="shared" si="372"/>
        <v>947</v>
      </c>
      <c r="AG1005" s="67">
        <f t="shared" si="373"/>
        <v>1549</v>
      </c>
      <c r="AH1005" s="67">
        <f t="shared" si="374"/>
        <v>0</v>
      </c>
      <c r="AI1005" s="67">
        <f t="shared" si="375"/>
        <v>323</v>
      </c>
      <c r="AJ1005" s="67">
        <f t="shared" si="376"/>
        <v>195</v>
      </c>
      <c r="AK1005" s="67">
        <f t="shared" si="377"/>
        <v>233</v>
      </c>
      <c r="AL1005" s="67">
        <f t="shared" si="378"/>
        <v>214</v>
      </c>
      <c r="AM1005" s="67">
        <f t="shared" si="379"/>
        <v>66</v>
      </c>
      <c r="AN1005" s="67">
        <f t="shared" si="380"/>
        <v>78</v>
      </c>
      <c r="AO1005" s="67">
        <f t="shared" si="381"/>
        <v>155</v>
      </c>
      <c r="AP1005" s="67">
        <f t="shared" si="382"/>
        <v>29</v>
      </c>
      <c r="AQ1005" s="67">
        <f t="shared" si="383"/>
        <v>58</v>
      </c>
      <c r="AR1005" s="67">
        <f t="shared" si="384"/>
        <v>69</v>
      </c>
      <c r="AS1005" s="636">
        <f t="shared" si="385"/>
        <v>11933</v>
      </c>
      <c r="AU1005" s="708">
        <f t="shared" si="386"/>
        <v>4.4034347750679909E-2</v>
      </c>
    </row>
    <row r="1006" spans="1:48" ht="15.75" customHeight="1" x14ac:dyDescent="0.3">
      <c r="A1006" s="139" t="s">
        <v>2236</v>
      </c>
      <c r="B1006" s="67">
        <f t="shared" si="368"/>
        <v>164382</v>
      </c>
      <c r="C1006" s="67">
        <f t="shared" si="354"/>
        <v>20904</v>
      </c>
      <c r="D1006" s="67">
        <f t="shared" si="355"/>
        <v>21880</v>
      </c>
      <c r="E1006" s="67">
        <f t="shared" si="356"/>
        <v>35673</v>
      </c>
      <c r="F1006" s="67">
        <f t="shared" si="369"/>
        <v>0</v>
      </c>
      <c r="G1006" s="67">
        <f t="shared" si="357"/>
        <v>0</v>
      </c>
      <c r="H1006" s="67">
        <f t="shared" si="358"/>
        <v>10571</v>
      </c>
      <c r="I1006" s="67">
        <f t="shared" si="359"/>
        <v>5745</v>
      </c>
      <c r="J1006" s="67">
        <f t="shared" si="360"/>
        <v>7973</v>
      </c>
      <c r="K1006" s="67">
        <f t="shared" si="361"/>
        <v>7653</v>
      </c>
      <c r="L1006" s="67">
        <f t="shared" si="362"/>
        <v>2339</v>
      </c>
      <c r="M1006" s="67">
        <f t="shared" si="363"/>
        <v>2755</v>
      </c>
      <c r="N1006" s="67">
        <f t="shared" si="364"/>
        <v>5494</v>
      </c>
      <c r="O1006" s="67">
        <f t="shared" si="365"/>
        <v>1107</v>
      </c>
      <c r="P1006" s="67">
        <f t="shared" si="366"/>
        <v>2264</v>
      </c>
      <c r="Q1006" s="67">
        <f t="shared" si="367"/>
        <v>2619</v>
      </c>
      <c r="R1006" s="638">
        <f t="shared" si="387"/>
        <v>291359</v>
      </c>
      <c r="S1006" s="73"/>
      <c r="AC1006" s="642" t="s">
        <v>2236</v>
      </c>
      <c r="AD1006" s="67">
        <f t="shared" si="370"/>
        <v>7726</v>
      </c>
      <c r="AE1006" s="67">
        <f t="shared" si="371"/>
        <v>982</v>
      </c>
      <c r="AF1006" s="67">
        <f t="shared" si="372"/>
        <v>1028</v>
      </c>
      <c r="AG1006" s="67">
        <f t="shared" si="373"/>
        <v>1677</v>
      </c>
      <c r="AH1006" s="67">
        <f t="shared" si="374"/>
        <v>0</v>
      </c>
      <c r="AI1006" s="67">
        <f t="shared" si="375"/>
        <v>317</v>
      </c>
      <c r="AJ1006" s="67">
        <f t="shared" si="376"/>
        <v>172</v>
      </c>
      <c r="AK1006" s="67">
        <f t="shared" si="377"/>
        <v>239</v>
      </c>
      <c r="AL1006" s="67">
        <f t="shared" si="378"/>
        <v>230</v>
      </c>
      <c r="AM1006" s="67">
        <f t="shared" si="379"/>
        <v>70</v>
      </c>
      <c r="AN1006" s="67">
        <f t="shared" si="380"/>
        <v>83</v>
      </c>
      <c r="AO1006" s="67">
        <f t="shared" si="381"/>
        <v>165</v>
      </c>
      <c r="AP1006" s="67">
        <f t="shared" si="382"/>
        <v>33</v>
      </c>
      <c r="AQ1006" s="67">
        <f t="shared" si="383"/>
        <v>68</v>
      </c>
      <c r="AR1006" s="67">
        <f t="shared" si="384"/>
        <v>79</v>
      </c>
      <c r="AS1006" s="636">
        <f t="shared" si="385"/>
        <v>12869</v>
      </c>
      <c r="AU1006" s="708">
        <f t="shared" si="386"/>
        <v>4.4168877570282712E-2</v>
      </c>
    </row>
    <row r="1007" spans="1:48" ht="15.75" customHeight="1" x14ac:dyDescent="0.3">
      <c r="A1007" s="139" t="s">
        <v>2237</v>
      </c>
      <c r="B1007" s="67">
        <f t="shared" si="368"/>
        <v>92598</v>
      </c>
      <c r="C1007" s="67">
        <f t="shared" si="354"/>
        <v>11754</v>
      </c>
      <c r="D1007" s="67">
        <f t="shared" si="355"/>
        <v>12281</v>
      </c>
      <c r="E1007" s="67">
        <f t="shared" si="356"/>
        <v>19145</v>
      </c>
      <c r="F1007" s="67">
        <f t="shared" si="369"/>
        <v>0</v>
      </c>
      <c r="G1007" s="67">
        <f t="shared" si="357"/>
        <v>-14722.143976076755</v>
      </c>
      <c r="H1007" s="67">
        <f t="shared" si="358"/>
        <v>13999</v>
      </c>
      <c r="I1007" s="67">
        <f t="shared" si="359"/>
        <v>7169</v>
      </c>
      <c r="J1007" s="67">
        <f t="shared" si="360"/>
        <v>8206</v>
      </c>
      <c r="K1007" s="67">
        <f t="shared" si="361"/>
        <v>7349</v>
      </c>
      <c r="L1007" s="67">
        <f t="shared" si="362"/>
        <v>2234</v>
      </c>
      <c r="M1007" s="67">
        <f t="shared" si="363"/>
        <v>2631</v>
      </c>
      <c r="N1007" s="67">
        <f t="shared" si="364"/>
        <v>5145</v>
      </c>
      <c r="O1007" s="67">
        <f t="shared" si="365"/>
        <v>1116</v>
      </c>
      <c r="P1007" s="67">
        <f t="shared" si="366"/>
        <v>2329</v>
      </c>
      <c r="Q1007" s="67">
        <f t="shared" si="367"/>
        <v>2640</v>
      </c>
      <c r="R1007" s="638">
        <f>(SUM(B1007:Q1007))</f>
        <v>173873.85602392326</v>
      </c>
      <c r="S1007" s="73"/>
      <c r="AC1007" s="642" t="s">
        <v>2237</v>
      </c>
      <c r="AD1007" s="67">
        <f t="shared" si="370"/>
        <v>4352</v>
      </c>
      <c r="AE1007" s="67">
        <f t="shared" si="371"/>
        <v>552</v>
      </c>
      <c r="AF1007" s="67">
        <f t="shared" si="372"/>
        <v>577</v>
      </c>
      <c r="AG1007" s="67">
        <f t="shared" si="373"/>
        <v>900</v>
      </c>
      <c r="AH1007" s="67">
        <f t="shared" si="374"/>
        <v>0</v>
      </c>
      <c r="AI1007" s="67">
        <f t="shared" si="375"/>
        <v>420</v>
      </c>
      <c r="AJ1007" s="67">
        <f t="shared" si="376"/>
        <v>215</v>
      </c>
      <c r="AK1007" s="67">
        <f t="shared" si="377"/>
        <v>246</v>
      </c>
      <c r="AL1007" s="67">
        <f t="shared" si="378"/>
        <v>220</v>
      </c>
      <c r="AM1007" s="67">
        <f t="shared" si="379"/>
        <v>67</v>
      </c>
      <c r="AN1007" s="67">
        <f t="shared" si="380"/>
        <v>79</v>
      </c>
      <c r="AO1007" s="67">
        <f t="shared" si="381"/>
        <v>154</v>
      </c>
      <c r="AP1007" s="67">
        <f t="shared" si="382"/>
        <v>33</v>
      </c>
      <c r="AQ1007" s="67">
        <f t="shared" si="383"/>
        <v>70</v>
      </c>
      <c r="AR1007" s="67">
        <f t="shared" si="384"/>
        <v>79</v>
      </c>
      <c r="AS1007" s="636">
        <f t="shared" si="385"/>
        <v>7964</v>
      </c>
      <c r="AU1007" s="708">
        <f t="shared" si="386"/>
        <v>4.5803320764360542E-2</v>
      </c>
    </row>
    <row r="1008" spans="1:48" ht="15.75" customHeight="1" x14ac:dyDescent="0.3">
      <c r="A1008" s="139" t="s">
        <v>1504</v>
      </c>
      <c r="B1008" s="67">
        <f t="shared" si="368"/>
        <v>49084</v>
      </c>
      <c r="C1008" s="67">
        <f t="shared" si="354"/>
        <v>6207</v>
      </c>
      <c r="D1008" s="67">
        <f t="shared" si="355"/>
        <v>6461</v>
      </c>
      <c r="E1008" s="67">
        <f t="shared" si="356"/>
        <v>9263</v>
      </c>
      <c r="F1008" s="67">
        <f t="shared" si="369"/>
        <v>0</v>
      </c>
      <c r="G1008" s="67">
        <f t="shared" si="357"/>
        <v>-13061.009828780927</v>
      </c>
      <c r="H1008" s="67">
        <f t="shared" si="358"/>
        <v>11240</v>
      </c>
      <c r="I1008" s="67">
        <f t="shared" si="359"/>
        <v>6995</v>
      </c>
      <c r="J1008" s="67">
        <f t="shared" si="360"/>
        <v>8186</v>
      </c>
      <c r="K1008" s="67">
        <f t="shared" si="361"/>
        <v>7230</v>
      </c>
      <c r="L1008" s="67">
        <f t="shared" si="362"/>
        <v>2238</v>
      </c>
      <c r="M1008" s="67">
        <f t="shared" si="363"/>
        <v>2636</v>
      </c>
      <c r="N1008" s="67">
        <f t="shared" si="364"/>
        <v>5006</v>
      </c>
      <c r="O1008" s="67">
        <f t="shared" si="365"/>
        <v>917</v>
      </c>
      <c r="P1008" s="67">
        <f t="shared" si="366"/>
        <v>2103</v>
      </c>
      <c r="Q1008" s="67">
        <f t="shared" si="367"/>
        <v>2168</v>
      </c>
      <c r="R1008" s="638">
        <f t="shared" si="387"/>
        <v>106672.99017121908</v>
      </c>
      <c r="S1008" s="73"/>
      <c r="AC1008" s="642" t="s">
        <v>1504</v>
      </c>
      <c r="AD1008" s="67">
        <f t="shared" si="370"/>
        <v>2307</v>
      </c>
      <c r="AE1008" s="67">
        <f t="shared" si="371"/>
        <v>292</v>
      </c>
      <c r="AF1008" s="67">
        <f t="shared" si="372"/>
        <v>304</v>
      </c>
      <c r="AG1008" s="67">
        <f t="shared" si="373"/>
        <v>435</v>
      </c>
      <c r="AH1008" s="67">
        <f t="shared" si="374"/>
        <v>0</v>
      </c>
      <c r="AI1008" s="67">
        <f t="shared" si="375"/>
        <v>337</v>
      </c>
      <c r="AJ1008" s="67">
        <f t="shared" si="376"/>
        <v>210</v>
      </c>
      <c r="AK1008" s="67">
        <f t="shared" si="377"/>
        <v>246</v>
      </c>
      <c r="AL1008" s="67">
        <f t="shared" si="378"/>
        <v>217</v>
      </c>
      <c r="AM1008" s="67">
        <f t="shared" si="379"/>
        <v>67</v>
      </c>
      <c r="AN1008" s="67">
        <f t="shared" si="380"/>
        <v>79</v>
      </c>
      <c r="AO1008" s="67">
        <f t="shared" si="381"/>
        <v>150</v>
      </c>
      <c r="AP1008" s="67">
        <f t="shared" si="382"/>
        <v>28</v>
      </c>
      <c r="AQ1008" s="67">
        <f t="shared" si="383"/>
        <v>63</v>
      </c>
      <c r="AR1008" s="67">
        <f t="shared" si="384"/>
        <v>65</v>
      </c>
      <c r="AS1008" s="636">
        <f t="shared" si="385"/>
        <v>4800</v>
      </c>
      <c r="AU1008" s="708">
        <f t="shared" si="386"/>
        <v>4.4997332429658136E-2</v>
      </c>
    </row>
    <row r="1009" spans="1:47" ht="15.75" customHeight="1" x14ac:dyDescent="0.3">
      <c r="A1009" s="139" t="s">
        <v>1505</v>
      </c>
      <c r="B1009" s="67">
        <f t="shared" si="368"/>
        <v>49160</v>
      </c>
      <c r="C1009" s="67">
        <f t="shared" si="354"/>
        <v>6226</v>
      </c>
      <c r="D1009" s="67">
        <f t="shared" si="355"/>
        <v>6492</v>
      </c>
      <c r="E1009" s="67">
        <f t="shared" si="356"/>
        <v>9660</v>
      </c>
      <c r="F1009" s="67">
        <f t="shared" si="369"/>
        <v>0</v>
      </c>
      <c r="G1009" s="67">
        <f t="shared" si="357"/>
        <v>-8678.6812625504645</v>
      </c>
      <c r="H1009" s="67">
        <f t="shared" si="358"/>
        <v>9944</v>
      </c>
      <c r="I1009" s="67">
        <f t="shared" si="359"/>
        <v>6801</v>
      </c>
      <c r="J1009" s="67">
        <f t="shared" si="360"/>
        <v>8257</v>
      </c>
      <c r="K1009" s="67">
        <f t="shared" si="361"/>
        <v>7527</v>
      </c>
      <c r="L1009" s="67">
        <f t="shared" si="362"/>
        <v>2430</v>
      </c>
      <c r="M1009" s="67">
        <f t="shared" si="363"/>
        <v>2863</v>
      </c>
      <c r="N1009" s="67">
        <f t="shared" si="364"/>
        <v>5612</v>
      </c>
      <c r="O1009" s="67">
        <f t="shared" si="365"/>
        <v>1464</v>
      </c>
      <c r="P1009" s="67">
        <f t="shared" si="366"/>
        <v>1941</v>
      </c>
      <c r="Q1009" s="67">
        <f t="shared" si="367"/>
        <v>3464</v>
      </c>
      <c r="R1009" s="638">
        <f t="shared" si="387"/>
        <v>113162.31873744953</v>
      </c>
      <c r="S1009" s="73"/>
      <c r="AC1009" s="642" t="s">
        <v>1505</v>
      </c>
      <c r="AD1009" s="67">
        <f t="shared" si="370"/>
        <v>2311</v>
      </c>
      <c r="AE1009" s="67">
        <f t="shared" si="371"/>
        <v>293</v>
      </c>
      <c r="AF1009" s="67">
        <f t="shared" si="372"/>
        <v>305</v>
      </c>
      <c r="AG1009" s="67">
        <f t="shared" si="373"/>
        <v>454</v>
      </c>
      <c r="AH1009" s="67">
        <f t="shared" si="374"/>
        <v>0</v>
      </c>
      <c r="AI1009" s="67">
        <f t="shared" si="375"/>
        <v>298</v>
      </c>
      <c r="AJ1009" s="67">
        <f t="shared" si="376"/>
        <v>204</v>
      </c>
      <c r="AK1009" s="67">
        <f t="shared" si="377"/>
        <v>248</v>
      </c>
      <c r="AL1009" s="67">
        <f t="shared" si="378"/>
        <v>226</v>
      </c>
      <c r="AM1009" s="67">
        <f t="shared" si="379"/>
        <v>73</v>
      </c>
      <c r="AN1009" s="67">
        <f t="shared" si="380"/>
        <v>86</v>
      </c>
      <c r="AO1009" s="67">
        <f t="shared" si="381"/>
        <v>168</v>
      </c>
      <c r="AP1009" s="67">
        <f t="shared" si="382"/>
        <v>44</v>
      </c>
      <c r="AQ1009" s="67">
        <f t="shared" si="383"/>
        <v>58</v>
      </c>
      <c r="AR1009" s="67">
        <f t="shared" si="384"/>
        <v>104</v>
      </c>
      <c r="AS1009" s="636">
        <f t="shared" si="385"/>
        <v>4872</v>
      </c>
      <c r="AU1009" s="708">
        <f t="shared" si="386"/>
        <v>4.3053200520781459E-2</v>
      </c>
    </row>
    <row r="1010" spans="1:47" ht="15.75" customHeight="1" x14ac:dyDescent="0.3">
      <c r="A1010" s="139" t="s">
        <v>1506</v>
      </c>
      <c r="B1010" s="67">
        <f t="shared" si="368"/>
        <v>116823</v>
      </c>
      <c r="C1010" s="67">
        <f t="shared" si="354"/>
        <v>14854</v>
      </c>
      <c r="D1010" s="67">
        <f t="shared" si="355"/>
        <v>15546</v>
      </c>
      <c r="E1010" s="67">
        <f t="shared" si="356"/>
        <v>25546</v>
      </c>
      <c r="F1010" s="67">
        <f t="shared" si="369"/>
        <v>0</v>
      </c>
      <c r="G1010" s="67">
        <f t="shared" si="357"/>
        <v>0</v>
      </c>
      <c r="H1010" s="67">
        <f t="shared" si="358"/>
        <v>7172</v>
      </c>
      <c r="I1010" s="67">
        <f t="shared" si="359"/>
        <v>4351</v>
      </c>
      <c r="J1010" s="67">
        <f t="shared" si="360"/>
        <v>6541</v>
      </c>
      <c r="K1010" s="67">
        <f t="shared" si="361"/>
        <v>6340</v>
      </c>
      <c r="L1010" s="67">
        <f t="shared" si="362"/>
        <v>2226</v>
      </c>
      <c r="M1010" s="67">
        <f t="shared" si="363"/>
        <v>2623</v>
      </c>
      <c r="N1010" s="67">
        <f t="shared" si="364"/>
        <v>5203</v>
      </c>
      <c r="O1010" s="67">
        <f t="shared" si="365"/>
        <v>1207</v>
      </c>
      <c r="P1010" s="67">
        <f t="shared" si="366"/>
        <v>1779</v>
      </c>
      <c r="Q1010" s="67">
        <f t="shared" si="367"/>
        <v>2855</v>
      </c>
      <c r="R1010" s="638">
        <f t="shared" si="387"/>
        <v>213066</v>
      </c>
      <c r="S1010" s="73"/>
      <c r="AC1010" s="642" t="s">
        <v>1506</v>
      </c>
      <c r="AD1010" s="67">
        <f t="shared" si="370"/>
        <v>5491</v>
      </c>
      <c r="AE1010" s="67">
        <f t="shared" si="371"/>
        <v>698</v>
      </c>
      <c r="AF1010" s="67">
        <f t="shared" si="372"/>
        <v>731</v>
      </c>
      <c r="AG1010" s="67">
        <f t="shared" si="373"/>
        <v>1201</v>
      </c>
      <c r="AH1010" s="67">
        <f t="shared" si="374"/>
        <v>0</v>
      </c>
      <c r="AI1010" s="67">
        <f t="shared" si="375"/>
        <v>215</v>
      </c>
      <c r="AJ1010" s="67">
        <f t="shared" si="376"/>
        <v>131</v>
      </c>
      <c r="AK1010" s="67">
        <f t="shared" si="377"/>
        <v>196</v>
      </c>
      <c r="AL1010" s="67">
        <f t="shared" si="378"/>
        <v>190</v>
      </c>
      <c r="AM1010" s="67">
        <f t="shared" si="379"/>
        <v>67</v>
      </c>
      <c r="AN1010" s="67">
        <f t="shared" si="380"/>
        <v>79</v>
      </c>
      <c r="AO1010" s="67">
        <f t="shared" si="381"/>
        <v>156</v>
      </c>
      <c r="AP1010" s="67">
        <f t="shared" si="382"/>
        <v>36</v>
      </c>
      <c r="AQ1010" s="67">
        <f t="shared" si="383"/>
        <v>53</v>
      </c>
      <c r="AR1010" s="67">
        <f t="shared" si="384"/>
        <v>86</v>
      </c>
      <c r="AS1010" s="636">
        <f t="shared" si="385"/>
        <v>9330</v>
      </c>
      <c r="AU1010" s="708">
        <f t="shared" si="386"/>
        <v>4.3789248401903638E-2</v>
      </c>
    </row>
    <row r="1011" spans="1:47" ht="15.75" customHeight="1" x14ac:dyDescent="0.3">
      <c r="A1011" s="139" t="s">
        <v>1507</v>
      </c>
      <c r="B1011" s="67">
        <f t="shared" si="368"/>
        <v>156552</v>
      </c>
      <c r="C1011" s="67">
        <f t="shared" si="354"/>
        <v>19923</v>
      </c>
      <c r="D1011" s="67">
        <f t="shared" si="355"/>
        <v>20868</v>
      </c>
      <c r="E1011" s="67">
        <f t="shared" si="356"/>
        <v>34835</v>
      </c>
      <c r="F1011" s="67">
        <f t="shared" si="369"/>
        <v>10292.442614624209</v>
      </c>
      <c r="G1011" s="67">
        <f t="shared" si="357"/>
        <v>0</v>
      </c>
      <c r="H1011" s="67">
        <f t="shared" si="358"/>
        <v>5539</v>
      </c>
      <c r="I1011" s="67">
        <f t="shared" si="359"/>
        <v>2636</v>
      </c>
      <c r="J1011" s="67">
        <f t="shared" si="360"/>
        <v>3863</v>
      </c>
      <c r="K1011" s="67">
        <f t="shared" si="361"/>
        <v>3764</v>
      </c>
      <c r="L1011" s="67">
        <f t="shared" si="362"/>
        <v>1287</v>
      </c>
      <c r="M1011" s="67">
        <f t="shared" si="363"/>
        <v>1515</v>
      </c>
      <c r="N1011" s="67">
        <f t="shared" si="364"/>
        <v>3056</v>
      </c>
      <c r="O1011" s="67">
        <f t="shared" si="365"/>
        <v>796</v>
      </c>
      <c r="P1011" s="67">
        <f t="shared" si="366"/>
        <v>1617</v>
      </c>
      <c r="Q1011" s="67">
        <f t="shared" si="367"/>
        <v>1882</v>
      </c>
      <c r="R1011" s="638">
        <f t="shared" si="387"/>
        <v>268425.44261462422</v>
      </c>
      <c r="S1011" s="73"/>
      <c r="AC1011" s="642" t="s">
        <v>1507</v>
      </c>
      <c r="AD1011" s="67">
        <f t="shared" si="370"/>
        <v>7358</v>
      </c>
      <c r="AE1011" s="67">
        <f t="shared" si="371"/>
        <v>936</v>
      </c>
      <c r="AF1011" s="67">
        <f t="shared" si="372"/>
        <v>981</v>
      </c>
      <c r="AG1011" s="67">
        <f t="shared" si="373"/>
        <v>1637</v>
      </c>
      <c r="AH1011" s="67">
        <f t="shared" si="374"/>
        <v>0</v>
      </c>
      <c r="AI1011" s="67">
        <f t="shared" si="375"/>
        <v>166</v>
      </c>
      <c r="AJ1011" s="67">
        <f t="shared" si="376"/>
        <v>79</v>
      </c>
      <c r="AK1011" s="67">
        <f t="shared" si="377"/>
        <v>116</v>
      </c>
      <c r="AL1011" s="67">
        <f t="shared" si="378"/>
        <v>113</v>
      </c>
      <c r="AM1011" s="67">
        <f t="shared" si="379"/>
        <v>39</v>
      </c>
      <c r="AN1011" s="67">
        <f t="shared" si="380"/>
        <v>45</v>
      </c>
      <c r="AO1011" s="67">
        <f t="shared" si="381"/>
        <v>92</v>
      </c>
      <c r="AP1011" s="67">
        <f t="shared" si="382"/>
        <v>24</v>
      </c>
      <c r="AQ1011" s="67">
        <f t="shared" si="383"/>
        <v>49</v>
      </c>
      <c r="AR1011" s="67">
        <f t="shared" si="384"/>
        <v>56</v>
      </c>
      <c r="AS1011" s="636">
        <f t="shared" si="385"/>
        <v>11691</v>
      </c>
      <c r="AU1011" s="708">
        <f t="shared" si="386"/>
        <v>4.3553993563809276E-2</v>
      </c>
    </row>
    <row r="1012" spans="1:47" ht="15.75" customHeight="1" x14ac:dyDescent="0.3">
      <c r="A1012" s="139" t="s">
        <v>1508</v>
      </c>
      <c r="B1012" s="67">
        <f t="shared" si="368"/>
        <v>149364</v>
      </c>
      <c r="C1012" s="67">
        <f t="shared" si="354"/>
        <v>19012</v>
      </c>
      <c r="D1012" s="67">
        <f t="shared" si="355"/>
        <v>19919</v>
      </c>
      <c r="E1012" s="67">
        <f t="shared" si="356"/>
        <v>33482</v>
      </c>
      <c r="F1012" s="67">
        <f t="shared" si="369"/>
        <v>14832.066062002903</v>
      </c>
      <c r="G1012" s="67">
        <f t="shared" si="357"/>
        <v>0</v>
      </c>
      <c r="H1012" s="67">
        <f t="shared" si="358"/>
        <v>3780</v>
      </c>
      <c r="I1012" s="67">
        <f t="shared" si="359"/>
        <v>903</v>
      </c>
      <c r="J1012" s="67">
        <f t="shared" si="360"/>
        <v>1282</v>
      </c>
      <c r="K1012" s="67">
        <f t="shared" si="361"/>
        <v>1266</v>
      </c>
      <c r="L1012" s="67">
        <f t="shared" si="362"/>
        <v>330</v>
      </c>
      <c r="M1012" s="67">
        <f t="shared" si="363"/>
        <v>386</v>
      </c>
      <c r="N1012" s="67">
        <f t="shared" si="364"/>
        <v>791</v>
      </c>
      <c r="O1012" s="67">
        <f t="shared" si="365"/>
        <v>544</v>
      </c>
      <c r="P1012" s="67">
        <f t="shared" si="366"/>
        <v>1456</v>
      </c>
      <c r="Q1012" s="67">
        <f t="shared" si="367"/>
        <v>1287</v>
      </c>
      <c r="R1012" s="638">
        <f t="shared" si="387"/>
        <v>248634.06606200291</v>
      </c>
      <c r="S1012" s="73"/>
      <c r="AC1012" s="642" t="s">
        <v>1508</v>
      </c>
      <c r="AD1012" s="67">
        <f t="shared" si="370"/>
        <v>7020</v>
      </c>
      <c r="AE1012" s="67">
        <f t="shared" si="371"/>
        <v>894</v>
      </c>
      <c r="AF1012" s="67">
        <f t="shared" si="372"/>
        <v>936</v>
      </c>
      <c r="AG1012" s="67">
        <f t="shared" si="373"/>
        <v>1574</v>
      </c>
      <c r="AH1012" s="67">
        <f t="shared" si="374"/>
        <v>0</v>
      </c>
      <c r="AI1012" s="67">
        <f t="shared" si="375"/>
        <v>113</v>
      </c>
      <c r="AJ1012" s="67">
        <f t="shared" si="376"/>
        <v>27</v>
      </c>
      <c r="AK1012" s="67">
        <f t="shared" si="377"/>
        <v>38</v>
      </c>
      <c r="AL1012" s="67">
        <f t="shared" si="378"/>
        <v>38</v>
      </c>
      <c r="AM1012" s="67">
        <f t="shared" si="379"/>
        <v>10</v>
      </c>
      <c r="AN1012" s="67">
        <f t="shared" si="380"/>
        <v>12</v>
      </c>
      <c r="AO1012" s="67">
        <f t="shared" si="381"/>
        <v>24</v>
      </c>
      <c r="AP1012" s="67">
        <f t="shared" si="382"/>
        <v>16</v>
      </c>
      <c r="AQ1012" s="67">
        <f t="shared" si="383"/>
        <v>44</v>
      </c>
      <c r="AR1012" s="67">
        <f t="shared" si="384"/>
        <v>39</v>
      </c>
      <c r="AS1012" s="636">
        <f t="shared" si="385"/>
        <v>10785</v>
      </c>
      <c r="AU1012" s="708">
        <f t="shared" si="386"/>
        <v>4.3377000468272517E-2</v>
      </c>
    </row>
    <row r="1013" spans="1:47" ht="15.75" customHeight="1" x14ac:dyDescent="0.3">
      <c r="A1013" s="139" t="s">
        <v>1509</v>
      </c>
      <c r="B1013" s="67">
        <f t="shared" si="368"/>
        <v>75142</v>
      </c>
      <c r="C1013" s="67">
        <f t="shared" si="354"/>
        <v>9557</v>
      </c>
      <c r="D1013" s="67">
        <f t="shared" si="355"/>
        <v>10004</v>
      </c>
      <c r="E1013" s="67">
        <f t="shared" si="356"/>
        <v>16563</v>
      </c>
      <c r="F1013" s="67">
        <f t="shared" si="369"/>
        <v>4633.4153220591379</v>
      </c>
      <c r="G1013" s="67">
        <f t="shared" si="357"/>
        <v>0</v>
      </c>
      <c r="H1013" s="67">
        <f t="shared" si="358"/>
        <v>2306</v>
      </c>
      <c r="I1013" s="67">
        <f t="shared" si="359"/>
        <v>555</v>
      </c>
      <c r="J1013" s="67">
        <f t="shared" si="360"/>
        <v>776</v>
      </c>
      <c r="K1013" s="67">
        <f t="shared" si="361"/>
        <v>759</v>
      </c>
      <c r="L1013" s="67">
        <f t="shared" si="362"/>
        <v>288</v>
      </c>
      <c r="M1013" s="67">
        <f t="shared" si="363"/>
        <v>338</v>
      </c>
      <c r="N1013" s="67">
        <f t="shared" si="364"/>
        <v>589</v>
      </c>
      <c r="O1013" s="67">
        <f t="shared" si="365"/>
        <v>265</v>
      </c>
      <c r="P1013" s="67">
        <f t="shared" si="366"/>
        <v>1294</v>
      </c>
      <c r="Q1013" s="67">
        <f t="shared" si="367"/>
        <v>626</v>
      </c>
      <c r="R1013" s="638">
        <f t="shared" si="387"/>
        <v>123695.41532205914</v>
      </c>
      <c r="S1013" s="73"/>
      <c r="AC1013" s="642" t="s">
        <v>1509</v>
      </c>
      <c r="AD1013" s="67">
        <f t="shared" si="370"/>
        <v>3532</v>
      </c>
      <c r="AE1013" s="67">
        <f t="shared" si="371"/>
        <v>449</v>
      </c>
      <c r="AF1013" s="67">
        <f t="shared" si="372"/>
        <v>470</v>
      </c>
      <c r="AG1013" s="67">
        <f t="shared" si="373"/>
        <v>778</v>
      </c>
      <c r="AH1013" s="67">
        <f t="shared" si="374"/>
        <v>0</v>
      </c>
      <c r="AI1013" s="67">
        <f t="shared" si="375"/>
        <v>69</v>
      </c>
      <c r="AJ1013" s="67">
        <f t="shared" si="376"/>
        <v>17</v>
      </c>
      <c r="AK1013" s="67">
        <f t="shared" si="377"/>
        <v>23</v>
      </c>
      <c r="AL1013" s="67">
        <f t="shared" si="378"/>
        <v>23</v>
      </c>
      <c r="AM1013" s="67">
        <f t="shared" si="379"/>
        <v>9</v>
      </c>
      <c r="AN1013" s="67">
        <f t="shared" si="380"/>
        <v>10</v>
      </c>
      <c r="AO1013" s="67">
        <f t="shared" si="381"/>
        <v>18</v>
      </c>
      <c r="AP1013" s="67">
        <f t="shared" si="382"/>
        <v>8</v>
      </c>
      <c r="AQ1013" s="67">
        <f t="shared" si="383"/>
        <v>39</v>
      </c>
      <c r="AR1013" s="67">
        <f t="shared" si="384"/>
        <v>19</v>
      </c>
      <c r="AS1013" s="636">
        <f t="shared" si="385"/>
        <v>5464</v>
      </c>
      <c r="AU1013" s="708">
        <f t="shared" si="386"/>
        <v>4.4173019555928367E-2</v>
      </c>
    </row>
    <row r="1014" spans="1:47" ht="15.75" customHeight="1" x14ac:dyDescent="0.3">
      <c r="A1014" s="553"/>
      <c r="B1014" s="67"/>
      <c r="C1014" s="67"/>
      <c r="D1014" s="67"/>
      <c r="E1014" s="67"/>
      <c r="F1014" s="67"/>
      <c r="G1014" s="67"/>
      <c r="H1014" s="67"/>
      <c r="I1014" s="67"/>
      <c r="J1014" s="67"/>
      <c r="K1014" s="67"/>
      <c r="L1014" s="67"/>
      <c r="M1014" s="67"/>
      <c r="N1014" s="67"/>
      <c r="O1014" s="67"/>
      <c r="P1014" s="67"/>
      <c r="Q1014" s="67"/>
      <c r="R1014" s="636"/>
      <c r="S1014" s="73"/>
      <c r="AC1014" s="579"/>
      <c r="AD1014" s="67"/>
      <c r="AE1014" s="67"/>
      <c r="AF1014" s="67"/>
      <c r="AG1014" s="67"/>
      <c r="AH1014" s="67"/>
      <c r="AI1014" s="67"/>
      <c r="AJ1014" s="67"/>
      <c r="AK1014" s="67"/>
      <c r="AL1014" s="67"/>
      <c r="AM1014" s="67"/>
      <c r="AN1014" s="67"/>
      <c r="AO1014" s="67"/>
      <c r="AP1014" s="67"/>
      <c r="AQ1014" s="67"/>
      <c r="AR1014" s="67"/>
      <c r="AS1014" s="636"/>
    </row>
    <row r="1015" spans="1:47" ht="15.75" customHeight="1" thickBot="1" x14ac:dyDescent="0.35">
      <c r="A1015" s="553" t="s">
        <v>2356</v>
      </c>
      <c r="B1015" s="67">
        <f>SUM(B1002:B1013)</f>
        <v>1414376</v>
      </c>
      <c r="C1015" s="67">
        <f t="shared" ref="C1015:Q1015" si="388">SUM(C1002:C1013)</f>
        <v>179880</v>
      </c>
      <c r="D1015" s="67">
        <f t="shared" si="388"/>
        <v>188300</v>
      </c>
      <c r="E1015" s="67">
        <f t="shared" si="388"/>
        <v>308367</v>
      </c>
      <c r="F1015" s="67">
        <f t="shared" si="388"/>
        <v>60233.253163680733</v>
      </c>
      <c r="G1015" s="67">
        <f t="shared" si="388"/>
        <v>-36461.835067408145</v>
      </c>
      <c r="H1015" s="67">
        <f t="shared" si="388"/>
        <v>93883</v>
      </c>
      <c r="I1015" s="67">
        <f t="shared" si="388"/>
        <v>53201</v>
      </c>
      <c r="J1015" s="67">
        <f t="shared" si="388"/>
        <v>70074</v>
      </c>
      <c r="K1015" s="67">
        <f t="shared" si="388"/>
        <v>66229</v>
      </c>
      <c r="L1015" s="67">
        <f t="shared" si="388"/>
        <v>20714</v>
      </c>
      <c r="M1015" s="67">
        <f t="shared" si="388"/>
        <v>24399</v>
      </c>
      <c r="N1015" s="67">
        <f t="shared" si="388"/>
        <v>48422</v>
      </c>
      <c r="O1015" s="67">
        <f t="shared" si="388"/>
        <v>10619</v>
      </c>
      <c r="P1015" s="67">
        <f t="shared" si="388"/>
        <v>20929</v>
      </c>
      <c r="Q1015" s="67">
        <f t="shared" si="388"/>
        <v>25118</v>
      </c>
      <c r="R1015" s="639">
        <f>SUM(R1002:R1013)</f>
        <v>2548282.4180962727</v>
      </c>
      <c r="S1015" s="73"/>
      <c r="AC1015" s="644" t="s">
        <v>2356</v>
      </c>
      <c r="AD1015" s="555">
        <f>SUM(AD1002:AD1013)</f>
        <v>66476</v>
      </c>
      <c r="AE1015" s="555">
        <f t="shared" ref="AE1015:AS1015" si="389">SUM(AE1002:AE1013)</f>
        <v>8455</v>
      </c>
      <c r="AF1015" s="555">
        <f t="shared" si="389"/>
        <v>8849</v>
      </c>
      <c r="AG1015" s="555">
        <f t="shared" si="389"/>
        <v>14493</v>
      </c>
      <c r="AH1015" s="555">
        <f t="shared" si="389"/>
        <v>0</v>
      </c>
      <c r="AI1015" s="555">
        <f t="shared" si="389"/>
        <v>2816</v>
      </c>
      <c r="AJ1015" s="555">
        <f t="shared" si="389"/>
        <v>1596</v>
      </c>
      <c r="AK1015" s="555">
        <f t="shared" si="389"/>
        <v>2102</v>
      </c>
      <c r="AL1015" s="555">
        <f t="shared" si="389"/>
        <v>1987</v>
      </c>
      <c r="AM1015" s="555">
        <f t="shared" si="389"/>
        <v>623</v>
      </c>
      <c r="AN1015" s="555">
        <f t="shared" si="389"/>
        <v>733</v>
      </c>
      <c r="AO1015" s="555">
        <f t="shared" si="389"/>
        <v>1452</v>
      </c>
      <c r="AP1015" s="555">
        <f t="shared" si="389"/>
        <v>318</v>
      </c>
      <c r="AQ1015" s="555">
        <f t="shared" si="389"/>
        <v>629</v>
      </c>
      <c r="AR1015" s="555">
        <f t="shared" si="389"/>
        <v>755</v>
      </c>
      <c r="AS1015" s="637">
        <f t="shared" si="389"/>
        <v>111284</v>
      </c>
      <c r="AU1015" s="708">
        <f t="shared" si="386"/>
        <v>4.3670198879736472E-2</v>
      </c>
    </row>
    <row r="1016" spans="1:47" ht="16.5" customHeight="1" thickBot="1" x14ac:dyDescent="0.35">
      <c r="A1016" s="558" t="s">
        <v>852</v>
      </c>
      <c r="B1016" s="555"/>
      <c r="C1016" s="555"/>
      <c r="D1016" s="555"/>
      <c r="E1016" s="555"/>
      <c r="F1016" s="555"/>
      <c r="G1016" s="555"/>
      <c r="H1016" s="555"/>
      <c r="I1016" s="555"/>
      <c r="J1016" s="555"/>
      <c r="K1016" s="555"/>
      <c r="L1016" s="555"/>
      <c r="M1016" s="555"/>
      <c r="N1016" s="555"/>
      <c r="O1016" s="555"/>
      <c r="P1016" s="555"/>
      <c r="Q1016" s="555"/>
      <c r="R1016" s="637"/>
      <c r="S1016" s="67"/>
    </row>
    <row r="1017" spans="1:47" ht="15.75" customHeight="1" x14ac:dyDescent="0.3">
      <c r="A1017" s="67"/>
      <c r="B1017" s="67"/>
      <c r="C1017" s="67"/>
      <c r="D1017" s="67"/>
      <c r="E1017" s="67"/>
      <c r="F1017" s="67"/>
      <c r="G1017" s="67"/>
      <c r="H1017" s="67"/>
      <c r="I1017" s="67"/>
      <c r="J1017" s="67"/>
      <c r="K1017" s="67"/>
      <c r="L1017" s="67"/>
      <c r="M1017" s="67"/>
      <c r="N1017" s="67"/>
      <c r="O1017" s="67"/>
      <c r="P1017" s="67"/>
      <c r="Q1017" s="67"/>
      <c r="R1017" s="67"/>
    </row>
    <row r="1018" spans="1:47" ht="15.75" customHeight="1" x14ac:dyDescent="0.3"/>
    <row r="1019" spans="1:47" ht="15.75" customHeight="1" thickBot="1" x14ac:dyDescent="0.35"/>
    <row r="1020" spans="1:47" ht="15.75" customHeight="1" thickBot="1" x14ac:dyDescent="0.35">
      <c r="B1020" s="822" t="s">
        <v>2921</v>
      </c>
      <c r="C1020" s="821"/>
      <c r="D1020" s="821"/>
      <c r="E1020" s="821"/>
      <c r="F1020" s="821"/>
      <c r="G1020" s="821"/>
      <c r="H1020" s="821"/>
      <c r="I1020" s="821"/>
      <c r="J1020" s="821"/>
      <c r="K1020" s="821"/>
      <c r="L1020" s="821"/>
      <c r="M1020" s="821"/>
      <c r="N1020" s="821"/>
      <c r="O1020" s="821"/>
      <c r="P1020" s="821"/>
      <c r="Q1020" s="752" t="str">
        <f>+Q1</f>
        <v xml:space="preserve">PRINTED:  </v>
      </c>
      <c r="R1020" s="756">
        <f ca="1">+R1</f>
        <v>44881.729633912037</v>
      </c>
      <c r="S1020" s="701"/>
      <c r="T1020" s="703"/>
      <c r="U1020" s="703"/>
      <c r="V1020" s="702"/>
    </row>
    <row r="1021" spans="1:47" ht="15.75" customHeight="1" x14ac:dyDescent="0.3">
      <c r="B1021" s="791">
        <f>+A5</f>
        <v>2022</v>
      </c>
      <c r="C1021" s="787"/>
      <c r="D1021" s="787"/>
      <c r="E1021" s="787"/>
      <c r="F1021" s="787"/>
      <c r="G1021" s="787"/>
      <c r="H1021" s="787"/>
      <c r="I1021" s="787"/>
      <c r="J1021" s="787"/>
      <c r="K1021" s="787"/>
      <c r="L1021" s="787"/>
      <c r="M1021" s="787"/>
      <c r="N1021" s="787"/>
      <c r="O1021" s="787"/>
      <c r="P1021" s="787"/>
      <c r="Q1021" s="67"/>
      <c r="R1021" s="67"/>
      <c r="S1021" s="67"/>
      <c r="V1021" s="727"/>
      <c r="AC1021" s="704"/>
      <c r="AD1021" s="821" t="s">
        <v>2923</v>
      </c>
      <c r="AE1021" s="823"/>
      <c r="AF1021" s="823"/>
      <c r="AG1021" s="823"/>
      <c r="AH1021" s="823"/>
      <c r="AI1021" s="823"/>
      <c r="AJ1021" s="823"/>
      <c r="AK1021" s="823"/>
      <c r="AL1021" s="823"/>
      <c r="AM1021" s="823"/>
      <c r="AN1021" s="823"/>
      <c r="AO1021" s="823"/>
      <c r="AP1021" s="823"/>
      <c r="AQ1021" s="823"/>
      <c r="AR1021" s="752" t="str">
        <f>$Q$1</f>
        <v xml:space="preserve">PRINTED:  </v>
      </c>
      <c r="AS1021" s="757">
        <f ca="1">$R$1</f>
        <v>44881.729633912037</v>
      </c>
    </row>
    <row r="1022" spans="1:47" ht="15.75" customHeight="1" x14ac:dyDescent="0.3">
      <c r="B1022" s="792" t="str">
        <f>+A8</f>
        <v>Revised:  2/5/2020</v>
      </c>
      <c r="C1022" s="786"/>
      <c r="D1022" s="786"/>
      <c r="E1022" s="786"/>
      <c r="F1022" s="786"/>
      <c r="G1022" s="786"/>
      <c r="H1022" s="786"/>
      <c r="I1022" s="786"/>
      <c r="J1022" s="786"/>
      <c r="K1022" s="786"/>
      <c r="L1022" s="786"/>
      <c r="M1022" s="786"/>
      <c r="N1022" s="786"/>
      <c r="O1022" s="786"/>
      <c r="P1022" s="786"/>
      <c r="Q1022" s="67"/>
      <c r="R1022" s="67"/>
      <c r="S1022" s="67"/>
      <c r="V1022" s="727"/>
      <c r="AC1022" s="579"/>
      <c r="AD1022" s="786" t="str">
        <f>+$A$8</f>
        <v>Revised:  2/5/2020</v>
      </c>
      <c r="AE1022" s="788"/>
      <c r="AF1022" s="788"/>
      <c r="AG1022" s="788"/>
      <c r="AH1022" s="788"/>
      <c r="AI1022" s="788"/>
      <c r="AJ1022" s="788"/>
      <c r="AK1022" s="788"/>
      <c r="AL1022" s="788"/>
      <c r="AM1022" s="788"/>
      <c r="AN1022" s="788"/>
      <c r="AO1022" s="788"/>
      <c r="AP1022" s="788"/>
      <c r="AQ1022" s="788"/>
      <c r="AR1022" s="139"/>
      <c r="AS1022" s="727"/>
    </row>
    <row r="1023" spans="1:47" ht="15.75" customHeight="1" thickBot="1" x14ac:dyDescent="0.35">
      <c r="B1023" s="793" t="s">
        <v>2676</v>
      </c>
      <c r="C1023" s="794"/>
      <c r="D1023" s="794"/>
      <c r="E1023" s="794"/>
      <c r="F1023" s="794"/>
      <c r="G1023" s="794"/>
      <c r="H1023" s="794"/>
      <c r="I1023" s="794"/>
      <c r="J1023" s="794"/>
      <c r="K1023" s="794"/>
      <c r="L1023" s="794"/>
      <c r="M1023" s="794"/>
      <c r="N1023" s="794"/>
      <c r="O1023" s="794"/>
      <c r="P1023" s="794"/>
      <c r="Q1023" s="67"/>
      <c r="R1023" s="67"/>
      <c r="S1023" s="555"/>
      <c r="V1023" s="727"/>
      <c r="AC1023" s="579"/>
      <c r="AD1023" s="786" t="s">
        <v>2878</v>
      </c>
      <c r="AE1023" s="789"/>
      <c r="AF1023" s="789"/>
      <c r="AG1023" s="789"/>
      <c r="AH1023" s="789"/>
      <c r="AI1023" s="789"/>
      <c r="AJ1023" s="789"/>
      <c r="AK1023" s="789"/>
      <c r="AL1023" s="789"/>
      <c r="AM1023" s="789"/>
      <c r="AN1023" s="789"/>
      <c r="AO1023" s="789"/>
      <c r="AP1023" s="789"/>
      <c r="AQ1023" s="789"/>
      <c r="AS1023" s="727"/>
    </row>
    <row r="1024" spans="1:47" ht="15.75" customHeight="1" thickBot="1" x14ac:dyDescent="0.35">
      <c r="A1024" s="649"/>
      <c r="B1024" s="795" t="s">
        <v>2633</v>
      </c>
      <c r="C1024" s="796"/>
      <c r="D1024" s="796"/>
      <c r="E1024" s="796"/>
      <c r="F1024" s="797"/>
      <c r="G1024" s="795" t="s">
        <v>2674</v>
      </c>
      <c r="H1024" s="796"/>
      <c r="I1024" s="796"/>
      <c r="J1024" s="796"/>
      <c r="K1024" s="796"/>
      <c r="L1024" s="796"/>
      <c r="M1024" s="798" t="s">
        <v>2677</v>
      </c>
      <c r="N1024" s="799"/>
      <c r="O1024" s="799"/>
      <c r="P1024" s="799"/>
      <c r="Q1024" s="799"/>
      <c r="R1024" s="800"/>
      <c r="S1024" s="795" t="s">
        <v>2682</v>
      </c>
      <c r="T1024" s="801"/>
      <c r="U1024" s="802"/>
      <c r="V1024" s="727"/>
      <c r="AC1024" s="579"/>
      <c r="AS1024" s="727"/>
    </row>
    <row r="1025" spans="1:45" ht="15.75" customHeight="1" x14ac:dyDescent="0.3">
      <c r="A1025" s="649"/>
      <c r="B1025" s="553" t="s">
        <v>2439</v>
      </c>
      <c r="C1025" s="70"/>
      <c r="D1025" s="70" t="s">
        <v>336</v>
      </c>
      <c r="E1025" s="70" t="s">
        <v>596</v>
      </c>
      <c r="F1025" s="758" t="s">
        <v>2652</v>
      </c>
      <c r="G1025" s="553" t="s">
        <v>228</v>
      </c>
      <c r="H1025" s="70"/>
      <c r="I1025" s="70"/>
      <c r="J1025" s="70" t="s">
        <v>229</v>
      </c>
      <c r="K1025" s="70" t="s">
        <v>2638</v>
      </c>
      <c r="L1025" s="70" t="s">
        <v>2639</v>
      </c>
      <c r="M1025" s="803" t="s">
        <v>3116</v>
      </c>
      <c r="N1025" s="804"/>
      <c r="O1025" s="805"/>
      <c r="P1025" s="604"/>
      <c r="Q1025" s="599"/>
      <c r="R1025" s="713"/>
      <c r="S1025" s="70" t="s">
        <v>2683</v>
      </c>
      <c r="T1025" s="610" t="s">
        <v>134</v>
      </c>
      <c r="U1025" s="759" t="s">
        <v>2685</v>
      </c>
      <c r="V1025" s="727"/>
      <c r="AC1025" s="579"/>
      <c r="AD1025" s="787">
        <f>$A$5</f>
        <v>2022</v>
      </c>
      <c r="AE1025" s="789"/>
      <c r="AF1025" s="789"/>
      <c r="AG1025" s="789"/>
      <c r="AH1025" s="789"/>
      <c r="AI1025" s="789"/>
      <c r="AJ1025" s="789"/>
      <c r="AK1025" s="789"/>
      <c r="AL1025" s="789"/>
      <c r="AM1025" s="789"/>
      <c r="AN1025" s="789"/>
      <c r="AO1025" s="789"/>
      <c r="AP1025" s="789"/>
      <c r="AQ1025" s="789"/>
      <c r="AS1025" s="727"/>
    </row>
    <row r="1026" spans="1:45" ht="15.75" customHeight="1" x14ac:dyDescent="0.3">
      <c r="A1026" s="649"/>
      <c r="B1026" s="593" t="s">
        <v>2648</v>
      </c>
      <c r="C1026" s="588" t="s">
        <v>2656</v>
      </c>
      <c r="D1026" s="588" t="s">
        <v>2651</v>
      </c>
      <c r="E1026" s="70" t="s">
        <v>335</v>
      </c>
      <c r="F1026" s="760" t="s">
        <v>2653</v>
      </c>
      <c r="G1026" s="553" t="s">
        <v>2463</v>
      </c>
      <c r="H1026" s="70" t="s">
        <v>1416</v>
      </c>
      <c r="I1026" s="70" t="s">
        <v>1417</v>
      </c>
      <c r="J1026" s="588" t="s">
        <v>2632</v>
      </c>
      <c r="K1026" s="70" t="s">
        <v>2634</v>
      </c>
      <c r="L1026" s="588" t="s">
        <v>2637</v>
      </c>
      <c r="M1026" s="603" t="s">
        <v>2679</v>
      </c>
      <c r="N1026" s="604" t="s">
        <v>2680</v>
      </c>
      <c r="O1026" s="761" t="s">
        <v>2356</v>
      </c>
      <c r="P1026" s="604" t="s">
        <v>3112</v>
      </c>
      <c r="Q1026" s="604" t="s">
        <v>3112</v>
      </c>
      <c r="R1026" s="761" t="s">
        <v>3117</v>
      </c>
      <c r="S1026" s="70" t="s">
        <v>2684</v>
      </c>
      <c r="T1026" s="70" t="s">
        <v>2686</v>
      </c>
      <c r="U1026" s="758" t="s">
        <v>2687</v>
      </c>
      <c r="V1026" s="727"/>
      <c r="AC1026" s="579"/>
      <c r="AD1026" s="786" t="s">
        <v>2919</v>
      </c>
      <c r="AE1026" s="788"/>
      <c r="AF1026" s="788"/>
      <c r="AG1026" s="788"/>
      <c r="AH1026" s="788"/>
      <c r="AI1026" s="788"/>
      <c r="AJ1026" s="788"/>
      <c r="AK1026" s="788"/>
      <c r="AL1026" s="788"/>
      <c r="AM1026" s="788"/>
      <c r="AN1026" s="788"/>
      <c r="AO1026" s="788"/>
      <c r="AP1026" s="788"/>
      <c r="AQ1026" s="788"/>
      <c r="AR1026" s="70"/>
      <c r="AS1026" s="727"/>
    </row>
    <row r="1027" spans="1:45" ht="15.75" customHeight="1" x14ac:dyDescent="0.3">
      <c r="A1027" s="649"/>
      <c r="B1027" s="594" t="s">
        <v>2654</v>
      </c>
      <c r="C1027" s="217">
        <v>0</v>
      </c>
      <c r="D1027" s="217"/>
      <c r="E1027" s="70" t="s">
        <v>133</v>
      </c>
      <c r="F1027" s="762" t="s">
        <v>2649</v>
      </c>
      <c r="G1027" s="553" t="s">
        <v>2650</v>
      </c>
      <c r="H1027" s="70" t="s">
        <v>335</v>
      </c>
      <c r="I1027" s="70" t="s">
        <v>335</v>
      </c>
      <c r="J1027" s="70" t="s">
        <v>335</v>
      </c>
      <c r="K1027" s="70" t="s">
        <v>134</v>
      </c>
      <c r="L1027" s="70" t="s">
        <v>2636</v>
      </c>
      <c r="M1027" s="605" t="s">
        <v>955</v>
      </c>
      <c r="N1027" s="599" t="s">
        <v>2681</v>
      </c>
      <c r="O1027" s="761" t="s">
        <v>2688</v>
      </c>
      <c r="P1027" s="599" t="s">
        <v>3113</v>
      </c>
      <c r="Q1027" s="604" t="s">
        <v>3113</v>
      </c>
      <c r="R1027" s="761" t="s">
        <v>2688</v>
      </c>
      <c r="S1027" s="70" t="s">
        <v>335</v>
      </c>
      <c r="T1027" s="70" t="s">
        <v>335</v>
      </c>
      <c r="U1027" s="758" t="s">
        <v>335</v>
      </c>
      <c r="V1027" s="727"/>
      <c r="AC1027" s="579"/>
      <c r="AK1027" s="670"/>
      <c r="AS1027" s="727"/>
    </row>
    <row r="1028" spans="1:45" ht="15.75" customHeight="1" thickBot="1" x14ac:dyDescent="0.35">
      <c r="A1028" s="592" t="s">
        <v>249</v>
      </c>
      <c r="B1028" s="553" t="s">
        <v>998</v>
      </c>
      <c r="C1028" s="70" t="s">
        <v>998</v>
      </c>
      <c r="D1028" s="70" t="s">
        <v>998</v>
      </c>
      <c r="E1028" s="70" t="s">
        <v>998</v>
      </c>
      <c r="F1028" s="758" t="s">
        <v>998</v>
      </c>
      <c r="G1028" s="553" t="s">
        <v>998</v>
      </c>
      <c r="H1028" s="70" t="s">
        <v>998</v>
      </c>
      <c r="I1028" s="70" t="s">
        <v>998</v>
      </c>
      <c r="J1028" s="70" t="s">
        <v>998</v>
      </c>
      <c r="K1028" s="70" t="s">
        <v>998</v>
      </c>
      <c r="L1028" s="70" t="s">
        <v>998</v>
      </c>
      <c r="M1028" s="605" t="s">
        <v>998</v>
      </c>
      <c r="N1028" s="599" t="s">
        <v>998</v>
      </c>
      <c r="O1028" s="761" t="s">
        <v>998</v>
      </c>
      <c r="P1028" s="599" t="s">
        <v>3013</v>
      </c>
      <c r="Q1028" s="604" t="s">
        <v>998</v>
      </c>
      <c r="R1028" s="761" t="s">
        <v>998</v>
      </c>
      <c r="S1028" s="70" t="s">
        <v>998</v>
      </c>
      <c r="T1028" s="70" t="s">
        <v>998</v>
      </c>
      <c r="U1028" s="758" t="s">
        <v>998</v>
      </c>
      <c r="V1028" s="727"/>
      <c r="AC1028" s="579"/>
      <c r="AD1028" s="634" t="s">
        <v>1308</v>
      </c>
      <c r="AE1028" s="634" t="s">
        <v>1309</v>
      </c>
      <c r="AF1028" s="634" t="s">
        <v>1029</v>
      </c>
      <c r="AG1028" s="634" t="s">
        <v>1030</v>
      </c>
      <c r="AH1028" s="634" t="s">
        <v>284</v>
      </c>
      <c r="AI1028" s="634" t="s">
        <v>285</v>
      </c>
      <c r="AJ1028" s="634" t="s">
        <v>286</v>
      </c>
      <c r="AK1028" s="634" t="s">
        <v>287</v>
      </c>
      <c r="AL1028" s="634" t="s">
        <v>288</v>
      </c>
      <c r="AM1028" s="634" t="s">
        <v>289</v>
      </c>
      <c r="AN1028" s="634" t="s">
        <v>633</v>
      </c>
      <c r="AO1028" s="634" t="s">
        <v>634</v>
      </c>
      <c r="AP1028" s="634" t="s">
        <v>1192</v>
      </c>
      <c r="AQ1028" s="634" t="s">
        <v>524</v>
      </c>
      <c r="AR1028" s="634" t="s">
        <v>525</v>
      </c>
      <c r="AS1028" s="684" t="s">
        <v>2356</v>
      </c>
    </row>
    <row r="1029" spans="1:45" ht="15.75" customHeight="1" x14ac:dyDescent="0.3">
      <c r="A1029" s="592" t="s">
        <v>1353</v>
      </c>
      <c r="B1029" s="553" t="s">
        <v>1353</v>
      </c>
      <c r="C1029" s="70" t="s">
        <v>1353</v>
      </c>
      <c r="D1029" s="70" t="s">
        <v>1353</v>
      </c>
      <c r="E1029" s="70" t="s">
        <v>2202</v>
      </c>
      <c r="F1029" s="758" t="s">
        <v>1353</v>
      </c>
      <c r="G1029" s="553" t="s">
        <v>1353</v>
      </c>
      <c r="H1029" s="70" t="s">
        <v>2119</v>
      </c>
      <c r="I1029" s="70" t="s">
        <v>2119</v>
      </c>
      <c r="J1029" s="70" t="s">
        <v>1353</v>
      </c>
      <c r="K1029" s="70" t="s">
        <v>1353</v>
      </c>
      <c r="L1029" s="70" t="s">
        <v>1353</v>
      </c>
      <c r="M1029" s="605" t="s">
        <v>1353</v>
      </c>
      <c r="N1029" s="599" t="s">
        <v>1353</v>
      </c>
      <c r="O1029" s="761" t="s">
        <v>1353</v>
      </c>
      <c r="P1029" s="605" t="s">
        <v>1353</v>
      </c>
      <c r="Q1029" s="599" t="s">
        <v>1353</v>
      </c>
      <c r="R1029" s="761" t="s">
        <v>1353</v>
      </c>
      <c r="S1029" s="70" t="s">
        <v>1353</v>
      </c>
      <c r="T1029" s="70" t="s">
        <v>1353</v>
      </c>
      <c r="U1029" s="758" t="s">
        <v>1353</v>
      </c>
      <c r="V1029" s="727"/>
      <c r="AC1029" s="579"/>
      <c r="AD1029" s="67"/>
      <c r="AE1029" s="67"/>
      <c r="AF1029" s="67"/>
      <c r="AG1029" s="67"/>
      <c r="AH1029" s="70" t="s">
        <v>2910</v>
      </c>
      <c r="AI1029" s="67"/>
      <c r="AJ1029" s="67"/>
      <c r="AK1029" s="67"/>
      <c r="AL1029" s="67"/>
      <c r="AM1029" s="67"/>
      <c r="AN1029" s="67"/>
      <c r="AO1029" s="67"/>
      <c r="AP1029" s="67"/>
      <c r="AQ1029" s="67"/>
      <c r="AR1029" s="67"/>
      <c r="AS1029" s="636"/>
    </row>
    <row r="1030" spans="1:45" ht="15.75" customHeight="1" x14ac:dyDescent="0.3">
      <c r="A1030" s="139" t="s">
        <v>2843</v>
      </c>
      <c r="B1030" s="553">
        <f>ROUND(R1002-G1002,0)</f>
        <v>240635</v>
      </c>
      <c r="C1030" s="70">
        <f>+ROUND(B1030*$C$1027,0)</f>
        <v>0</v>
      </c>
      <c r="D1030" s="70">
        <f>AS1002</f>
        <v>10234</v>
      </c>
      <c r="E1030" s="70">
        <f>+B1030+C1030</f>
        <v>240635</v>
      </c>
      <c r="F1030" s="758">
        <f>(D1030+E1030)</f>
        <v>250869</v>
      </c>
      <c r="G1030" s="553">
        <f>ABS(G1002)</f>
        <v>0</v>
      </c>
      <c r="H1030" s="600">
        <v>9026</v>
      </c>
      <c r="I1030" s="600">
        <v>0</v>
      </c>
      <c r="J1030" s="70">
        <f>(H1030+I1030)</f>
        <v>9026</v>
      </c>
      <c r="K1030" s="600">
        <v>0</v>
      </c>
      <c r="L1030" s="600">
        <v>0</v>
      </c>
      <c r="M1030" s="606">
        <f>D1030+E1030-G1030-J1030-K1030-L1030</f>
        <v>241843</v>
      </c>
      <c r="N1030" s="607">
        <v>0</v>
      </c>
      <c r="O1030" s="761">
        <f>M1030+N1030</f>
        <v>241843</v>
      </c>
      <c r="P1030" s="710">
        <v>0.2</v>
      </c>
      <c r="Q1030" s="599">
        <f>-O1030*P1030</f>
        <v>-48368.600000000006</v>
      </c>
      <c r="R1030" s="761">
        <f>O1030+Q1030</f>
        <v>193474.4</v>
      </c>
      <c r="S1030" s="628">
        <f t="shared" ref="S1030:S1041" si="390">(F1030-G1030-J1030-K1030-L1030-R1030)</f>
        <v>48368.600000000006</v>
      </c>
      <c r="T1030" s="70">
        <f>+IF(S1030&gt;=0,ABS(S1030),"")</f>
        <v>48368.600000000006</v>
      </c>
      <c r="U1030" s="758" t="str">
        <f>+IF(S1030&lt;=0,ABS(S1030),"")</f>
        <v/>
      </c>
      <c r="V1030" s="727"/>
      <c r="AC1030" s="642" t="s">
        <v>3041</v>
      </c>
      <c r="AD1030" s="687"/>
      <c r="AE1030" s="687"/>
      <c r="AF1030" s="687"/>
      <c r="AG1030" s="687"/>
      <c r="AH1030" s="687">
        <v>1.6E-2</v>
      </c>
      <c r="AI1030" s="687">
        <v>1.6E-2</v>
      </c>
      <c r="AJ1030" s="687">
        <v>1.6E-2</v>
      </c>
      <c r="AK1030" s="687">
        <v>1.6E-2</v>
      </c>
      <c r="AL1030" s="687">
        <v>1.6E-2</v>
      </c>
      <c r="AM1030" s="687">
        <v>1.6E-2</v>
      </c>
      <c r="AN1030" s="687">
        <v>1.6E-2</v>
      </c>
      <c r="AO1030" s="687">
        <v>1.6E-2</v>
      </c>
      <c r="AP1030" s="687">
        <v>1.6E-2</v>
      </c>
      <c r="AQ1030" s="687">
        <v>1.6E-2</v>
      </c>
      <c r="AR1030" s="687">
        <v>1.6E-2</v>
      </c>
      <c r="AS1030" s="592"/>
    </row>
    <row r="1031" spans="1:45" ht="15.75" customHeight="1" x14ac:dyDescent="0.3">
      <c r="A1031" s="139" t="s">
        <v>2091</v>
      </c>
      <c r="B1031" s="553">
        <f>ROUND(R1003-G1003,0)</f>
        <v>224863</v>
      </c>
      <c r="C1031" s="70">
        <f t="shared" ref="C1031:C1041" si="391">+ROUND(B1031*$C$1027,0)</f>
        <v>0</v>
      </c>
      <c r="D1031" s="70">
        <f t="shared" ref="D1031:D1041" si="392">AS1003</f>
        <v>9579</v>
      </c>
      <c r="E1031" s="70">
        <f t="shared" ref="E1031:E1043" si="393">+B1031+C1031</f>
        <v>224863</v>
      </c>
      <c r="F1031" s="758">
        <f t="shared" ref="F1031:F1041" si="394">(D1031+E1031)</f>
        <v>234442</v>
      </c>
      <c r="G1031" s="553">
        <f t="shared" ref="G1031:G1041" si="395">ABS(G1003)</f>
        <v>0</v>
      </c>
      <c r="H1031" s="600">
        <v>10267</v>
      </c>
      <c r="I1031" s="600">
        <v>0</v>
      </c>
      <c r="J1031" s="70">
        <f t="shared" ref="J1031:J1040" si="396">(H1031+I1031)</f>
        <v>10267</v>
      </c>
      <c r="K1031" s="600">
        <v>0</v>
      </c>
      <c r="L1031" s="600">
        <v>0</v>
      </c>
      <c r="M1031" s="606">
        <f t="shared" ref="M1031:M1041" si="397">D1031+E1031-G1031-J1031-K1031-L1031</f>
        <v>224175</v>
      </c>
      <c r="N1031" s="607">
        <v>0</v>
      </c>
      <c r="O1031" s="761">
        <f t="shared" ref="O1031:O1041" si="398">M1031+N1031</f>
        <v>224175</v>
      </c>
      <c r="P1031" s="710">
        <v>0.25</v>
      </c>
      <c r="Q1031" s="599">
        <f t="shared" ref="Q1031:Q1041" si="399">-O1031*P1031</f>
        <v>-56043.75</v>
      </c>
      <c r="R1031" s="761">
        <f t="shared" ref="R1031:R1041" si="400">O1031+Q1031</f>
        <v>168131.25</v>
      </c>
      <c r="S1031" s="628">
        <f t="shared" si="390"/>
        <v>56043.75</v>
      </c>
      <c r="T1031" s="70">
        <f t="shared" ref="T1031:T1041" si="401">+IF(S1031&gt;=0,ABS(S1031),"")</f>
        <v>56043.75</v>
      </c>
      <c r="U1031" s="758" t="str">
        <f t="shared" ref="U1031:U1041" si="402">+IF(S1031&lt;=0,ABS(S1031),"")</f>
        <v/>
      </c>
      <c r="V1031" s="727"/>
      <c r="AC1031" s="642" t="s">
        <v>2908</v>
      </c>
      <c r="AD1031" s="687"/>
      <c r="AE1031" s="687"/>
      <c r="AF1031" s="687"/>
      <c r="AG1031" s="687"/>
      <c r="AH1031" s="687"/>
      <c r="AI1031" s="687"/>
      <c r="AJ1031" s="687"/>
      <c r="AK1031" s="687"/>
      <c r="AL1031" s="687"/>
      <c r="AM1031" s="687"/>
      <c r="AN1031" s="687"/>
      <c r="AO1031" s="687"/>
      <c r="AP1031" s="687"/>
      <c r="AQ1031" s="687"/>
      <c r="AR1031" s="687"/>
      <c r="AS1031" s="592"/>
    </row>
    <row r="1032" spans="1:45" ht="15.75" customHeight="1" x14ac:dyDescent="0.3">
      <c r="A1032" s="139" t="s">
        <v>2234</v>
      </c>
      <c r="B1032" s="553">
        <f t="shared" ref="B1032:B1041" si="403">ROUND(R1004-G1004,0)</f>
        <v>272902</v>
      </c>
      <c r="C1032" s="70">
        <f t="shared" si="391"/>
        <v>0</v>
      </c>
      <c r="D1032" s="70">
        <f t="shared" si="392"/>
        <v>11763</v>
      </c>
      <c r="E1032" s="70">
        <f t="shared" si="393"/>
        <v>272902</v>
      </c>
      <c r="F1032" s="758">
        <f t="shared" si="394"/>
        <v>284665</v>
      </c>
      <c r="G1032" s="553">
        <f t="shared" si="395"/>
        <v>0</v>
      </c>
      <c r="H1032" s="600">
        <v>15833</v>
      </c>
      <c r="I1032" s="600">
        <v>0</v>
      </c>
      <c r="J1032" s="70">
        <f t="shared" si="396"/>
        <v>15833</v>
      </c>
      <c r="K1032" s="600">
        <v>0</v>
      </c>
      <c r="L1032" s="600">
        <v>0</v>
      </c>
      <c r="M1032" s="606">
        <f t="shared" si="397"/>
        <v>268832</v>
      </c>
      <c r="N1032" s="607">
        <v>0</v>
      </c>
      <c r="O1032" s="761">
        <f t="shared" si="398"/>
        <v>268832</v>
      </c>
      <c r="P1032" s="710">
        <v>0.3</v>
      </c>
      <c r="Q1032" s="599">
        <f t="shared" si="399"/>
        <v>-80649.599999999991</v>
      </c>
      <c r="R1032" s="761">
        <f t="shared" si="400"/>
        <v>188182.40000000002</v>
      </c>
      <c r="S1032" s="628">
        <f t="shared" si="390"/>
        <v>80649.599999999977</v>
      </c>
      <c r="T1032" s="70">
        <f t="shared" si="401"/>
        <v>80649.599999999977</v>
      </c>
      <c r="U1032" s="758" t="str">
        <f t="shared" si="402"/>
        <v/>
      </c>
      <c r="V1032" s="727"/>
      <c r="AC1032" s="642" t="s">
        <v>2909</v>
      </c>
      <c r="AD1032" s="687"/>
      <c r="AE1032" s="687"/>
      <c r="AF1032" s="687"/>
      <c r="AG1032" s="687"/>
      <c r="AH1032" s="687"/>
      <c r="AI1032" s="687"/>
      <c r="AJ1032" s="687"/>
      <c r="AK1032" s="687"/>
      <c r="AL1032" s="687"/>
      <c r="AM1032" s="687"/>
      <c r="AN1032" s="687"/>
      <c r="AO1032" s="687"/>
      <c r="AP1032" s="687"/>
      <c r="AQ1032" s="687"/>
      <c r="AR1032" s="687"/>
      <c r="AS1032" s="592"/>
    </row>
    <row r="1033" spans="1:45" ht="15.75" customHeight="1" x14ac:dyDescent="0.3">
      <c r="A1033" s="139" t="s">
        <v>2235</v>
      </c>
      <c r="B1033" s="553">
        <f t="shared" si="403"/>
        <v>270993</v>
      </c>
      <c r="C1033" s="70">
        <f t="shared" si="391"/>
        <v>0</v>
      </c>
      <c r="D1033" s="70">
        <f t="shared" si="392"/>
        <v>11933</v>
      </c>
      <c r="E1033" s="70">
        <f t="shared" si="393"/>
        <v>270993</v>
      </c>
      <c r="F1033" s="758">
        <f t="shared" si="394"/>
        <v>282926</v>
      </c>
      <c r="G1033" s="553">
        <f t="shared" si="395"/>
        <v>0</v>
      </c>
      <c r="H1033" s="600">
        <v>15927</v>
      </c>
      <c r="I1033" s="600">
        <v>0</v>
      </c>
      <c r="J1033" s="70">
        <f t="shared" si="396"/>
        <v>15927</v>
      </c>
      <c r="K1033" s="600">
        <v>0</v>
      </c>
      <c r="L1033" s="600">
        <v>0</v>
      </c>
      <c r="M1033" s="606">
        <f t="shared" si="397"/>
        <v>266999</v>
      </c>
      <c r="N1033" s="607">
        <v>-22320</v>
      </c>
      <c r="O1033" s="761">
        <f t="shared" si="398"/>
        <v>244679</v>
      </c>
      <c r="P1033" s="710">
        <v>0.35</v>
      </c>
      <c r="Q1033" s="599">
        <f t="shared" si="399"/>
        <v>-85637.65</v>
      </c>
      <c r="R1033" s="761">
        <f t="shared" si="400"/>
        <v>159041.35</v>
      </c>
      <c r="S1033" s="628">
        <f t="shared" si="390"/>
        <v>107957.65</v>
      </c>
      <c r="T1033" s="70">
        <f t="shared" si="401"/>
        <v>107957.65</v>
      </c>
      <c r="U1033" s="758" t="str">
        <f t="shared" si="402"/>
        <v/>
      </c>
      <c r="V1033" s="727"/>
      <c r="AC1033" s="642" t="s">
        <v>2760</v>
      </c>
      <c r="AD1033" s="687"/>
      <c r="AE1033" s="687"/>
      <c r="AF1033" s="687"/>
      <c r="AG1033" s="687"/>
      <c r="AH1033" s="687"/>
      <c r="AI1033" s="687"/>
      <c r="AJ1033" s="687"/>
      <c r="AK1033" s="687"/>
      <c r="AL1033" s="687"/>
      <c r="AM1033" s="687"/>
      <c r="AN1033" s="687"/>
      <c r="AO1033" s="687"/>
      <c r="AP1033" s="687"/>
      <c r="AQ1033" s="687"/>
      <c r="AR1033" s="687"/>
      <c r="AS1033" s="592"/>
    </row>
    <row r="1034" spans="1:45" ht="15.75" customHeight="1" x14ac:dyDescent="0.3">
      <c r="A1034" s="139" t="s">
        <v>2236</v>
      </c>
      <c r="B1034" s="553">
        <f t="shared" si="403"/>
        <v>291359</v>
      </c>
      <c r="C1034" s="70">
        <f t="shared" si="391"/>
        <v>0</v>
      </c>
      <c r="D1034" s="70">
        <f t="shared" si="392"/>
        <v>12869</v>
      </c>
      <c r="E1034" s="70">
        <f t="shared" si="393"/>
        <v>291359</v>
      </c>
      <c r="F1034" s="758">
        <f t="shared" si="394"/>
        <v>304228</v>
      </c>
      <c r="G1034" s="553">
        <f t="shared" si="395"/>
        <v>0</v>
      </c>
      <c r="H1034" s="600">
        <v>14250</v>
      </c>
      <c r="I1034" s="600">
        <v>0</v>
      </c>
      <c r="J1034" s="70">
        <f t="shared" si="396"/>
        <v>14250</v>
      </c>
      <c r="K1034" s="600">
        <v>0</v>
      </c>
      <c r="L1034" s="600">
        <v>0</v>
      </c>
      <c r="M1034" s="606">
        <f t="shared" si="397"/>
        <v>289978</v>
      </c>
      <c r="N1034" s="607">
        <v>0</v>
      </c>
      <c r="O1034" s="761">
        <f t="shared" si="398"/>
        <v>289978</v>
      </c>
      <c r="P1034" s="710">
        <v>0.35</v>
      </c>
      <c r="Q1034" s="599">
        <f t="shared" si="399"/>
        <v>-101492.29999999999</v>
      </c>
      <c r="R1034" s="761">
        <f t="shared" si="400"/>
        <v>188485.7</v>
      </c>
      <c r="S1034" s="628">
        <f t="shared" si="390"/>
        <v>101492.29999999999</v>
      </c>
      <c r="T1034" s="70">
        <f t="shared" si="401"/>
        <v>101492.29999999999</v>
      </c>
      <c r="U1034" s="758" t="str">
        <f t="shared" si="402"/>
        <v/>
      </c>
      <c r="V1034" s="727"/>
      <c r="AC1034" s="642" t="s">
        <v>1114</v>
      </c>
      <c r="AD1034" s="687"/>
      <c r="AE1034" s="687"/>
      <c r="AF1034" s="687"/>
      <c r="AG1034" s="687"/>
      <c r="AH1034" s="687"/>
      <c r="AI1034" s="687"/>
      <c r="AJ1034" s="687">
        <v>2.5000000000000001E-2</v>
      </c>
      <c r="AK1034" s="687">
        <v>2.5000000000000001E-2</v>
      </c>
      <c r="AL1034" s="687">
        <v>2.5000000000000001E-2</v>
      </c>
      <c r="AM1034" s="687">
        <v>2.5000000000000001E-2</v>
      </c>
      <c r="AN1034" s="687">
        <v>2.5000000000000001E-2</v>
      </c>
      <c r="AO1034" s="687">
        <v>2.5000000000000001E-2</v>
      </c>
      <c r="AP1034" s="687">
        <v>2.5000000000000001E-2</v>
      </c>
      <c r="AQ1034" s="687">
        <v>2.5000000000000001E-2</v>
      </c>
      <c r="AR1034" s="687">
        <v>2.5000000000000001E-2</v>
      </c>
      <c r="AS1034" s="592"/>
    </row>
    <row r="1035" spans="1:45" ht="15.75" customHeight="1" x14ac:dyDescent="0.3">
      <c r="A1035" s="139" t="s">
        <v>2237</v>
      </c>
      <c r="B1035" s="553">
        <f>ROUND(R1007-G1007,0)</f>
        <v>188596</v>
      </c>
      <c r="C1035" s="70">
        <f t="shared" si="391"/>
        <v>0</v>
      </c>
      <c r="D1035" s="70">
        <f t="shared" si="392"/>
        <v>7964</v>
      </c>
      <c r="E1035" s="70">
        <f t="shared" si="393"/>
        <v>188596</v>
      </c>
      <c r="F1035" s="758">
        <f t="shared" si="394"/>
        <v>196560</v>
      </c>
      <c r="G1035" s="553">
        <f t="shared" si="395"/>
        <v>14722.143976076755</v>
      </c>
      <c r="H1035" s="600">
        <v>12696</v>
      </c>
      <c r="I1035" s="600">
        <v>0</v>
      </c>
      <c r="J1035" s="70">
        <f t="shared" si="396"/>
        <v>12696</v>
      </c>
      <c r="K1035" s="600">
        <v>0</v>
      </c>
      <c r="L1035" s="600">
        <v>0</v>
      </c>
      <c r="M1035" s="606">
        <f t="shared" si="397"/>
        <v>169141.85602392323</v>
      </c>
      <c r="N1035" s="607">
        <v>47280</v>
      </c>
      <c r="O1035" s="761">
        <f t="shared" si="398"/>
        <v>216421.85602392323</v>
      </c>
      <c r="P1035" s="710">
        <v>7.4999999999999997E-2</v>
      </c>
      <c r="Q1035" s="599">
        <f t="shared" si="399"/>
        <v>-16231.639201794242</v>
      </c>
      <c r="R1035" s="761">
        <f t="shared" si="400"/>
        <v>200190.21682212898</v>
      </c>
      <c r="S1035" s="628">
        <f t="shared" si="390"/>
        <v>-31048.360798205744</v>
      </c>
      <c r="T1035" s="70" t="str">
        <f t="shared" si="401"/>
        <v/>
      </c>
      <c r="U1035" s="758">
        <f t="shared" si="402"/>
        <v>31048.360798205744</v>
      </c>
      <c r="V1035" s="727"/>
      <c r="AC1035" s="642" t="s">
        <v>2356</v>
      </c>
      <c r="AD1035" s="217">
        <f>SUM(AD1030:AD1034)</f>
        <v>0</v>
      </c>
      <c r="AE1035" s="217">
        <f t="shared" ref="AE1035:AR1035" si="404">SUM(AE1030:AE1034)</f>
        <v>0</v>
      </c>
      <c r="AF1035" s="217">
        <f t="shared" si="404"/>
        <v>0</v>
      </c>
      <c r="AG1035" s="217">
        <f t="shared" si="404"/>
        <v>0</v>
      </c>
      <c r="AH1035" s="217">
        <f t="shared" si="404"/>
        <v>1.6E-2</v>
      </c>
      <c r="AI1035" s="217">
        <f t="shared" si="404"/>
        <v>1.6E-2</v>
      </c>
      <c r="AJ1035" s="217">
        <f t="shared" si="404"/>
        <v>4.1000000000000002E-2</v>
      </c>
      <c r="AK1035" s="217">
        <f t="shared" si="404"/>
        <v>4.1000000000000002E-2</v>
      </c>
      <c r="AL1035" s="217">
        <f t="shared" si="404"/>
        <v>4.1000000000000002E-2</v>
      </c>
      <c r="AM1035" s="217">
        <f t="shared" si="404"/>
        <v>4.1000000000000002E-2</v>
      </c>
      <c r="AN1035" s="217">
        <f t="shared" si="404"/>
        <v>4.1000000000000002E-2</v>
      </c>
      <c r="AO1035" s="217">
        <f t="shared" si="404"/>
        <v>4.1000000000000002E-2</v>
      </c>
      <c r="AP1035" s="217">
        <f t="shared" si="404"/>
        <v>4.1000000000000002E-2</v>
      </c>
      <c r="AQ1035" s="217">
        <f t="shared" si="404"/>
        <v>4.1000000000000002E-2</v>
      </c>
      <c r="AR1035" s="217">
        <f t="shared" si="404"/>
        <v>4.1000000000000002E-2</v>
      </c>
      <c r="AS1035" s="592"/>
    </row>
    <row r="1036" spans="1:45" ht="15.75" customHeight="1" x14ac:dyDescent="0.3">
      <c r="A1036" s="139" t="s">
        <v>1504</v>
      </c>
      <c r="B1036" s="553">
        <f t="shared" si="403"/>
        <v>119734</v>
      </c>
      <c r="C1036" s="70">
        <f t="shared" si="391"/>
        <v>0</v>
      </c>
      <c r="D1036" s="70">
        <f t="shared" si="392"/>
        <v>4800</v>
      </c>
      <c r="E1036" s="70">
        <f t="shared" si="393"/>
        <v>119734</v>
      </c>
      <c r="F1036" s="758">
        <f t="shared" si="394"/>
        <v>124534</v>
      </c>
      <c r="G1036" s="553">
        <f t="shared" si="395"/>
        <v>13061.009828780927</v>
      </c>
      <c r="H1036" s="600">
        <v>11620</v>
      </c>
      <c r="I1036" s="600">
        <v>0</v>
      </c>
      <c r="J1036" s="70">
        <f t="shared" si="396"/>
        <v>11620</v>
      </c>
      <c r="K1036" s="600">
        <v>0</v>
      </c>
      <c r="L1036" s="600">
        <v>0</v>
      </c>
      <c r="M1036" s="606">
        <f t="shared" si="397"/>
        <v>99852.990171219077</v>
      </c>
      <c r="N1036" s="607">
        <v>47120</v>
      </c>
      <c r="O1036" s="761">
        <f t="shared" si="398"/>
        <v>146972.99017121908</v>
      </c>
      <c r="P1036" s="710">
        <v>0.05</v>
      </c>
      <c r="Q1036" s="599">
        <f t="shared" si="399"/>
        <v>-7348.649508560954</v>
      </c>
      <c r="R1036" s="761">
        <f t="shared" si="400"/>
        <v>139624.34066265813</v>
      </c>
      <c r="S1036" s="628">
        <f t="shared" si="390"/>
        <v>-39771.350491439051</v>
      </c>
      <c r="T1036" s="70" t="str">
        <f t="shared" si="401"/>
        <v/>
      </c>
      <c r="U1036" s="758">
        <f t="shared" si="402"/>
        <v>39771.350491439051</v>
      </c>
      <c r="V1036" s="727"/>
      <c r="AC1036" s="553" t="s">
        <v>1353</v>
      </c>
      <c r="AD1036" s="70" t="s">
        <v>1353</v>
      </c>
      <c r="AE1036" s="70" t="s">
        <v>1353</v>
      </c>
      <c r="AF1036" s="70" t="s">
        <v>1353</v>
      </c>
      <c r="AG1036" s="70" t="s">
        <v>1353</v>
      </c>
      <c r="AH1036" s="70" t="s">
        <v>1353</v>
      </c>
      <c r="AI1036" s="70" t="s">
        <v>1353</v>
      </c>
      <c r="AJ1036" s="70" t="s">
        <v>1353</v>
      </c>
      <c r="AK1036" s="70" t="s">
        <v>1353</v>
      </c>
      <c r="AL1036" s="70" t="s">
        <v>1353</v>
      </c>
      <c r="AM1036" s="70" t="s">
        <v>1353</v>
      </c>
      <c r="AN1036" s="70" t="s">
        <v>1353</v>
      </c>
      <c r="AO1036" s="70" t="s">
        <v>1353</v>
      </c>
      <c r="AP1036" s="70" t="s">
        <v>1353</v>
      </c>
      <c r="AQ1036" s="70" t="s">
        <v>1353</v>
      </c>
      <c r="AR1036" s="70" t="s">
        <v>1353</v>
      </c>
      <c r="AS1036" s="592" t="s">
        <v>1353</v>
      </c>
    </row>
    <row r="1037" spans="1:45" ht="15.75" customHeight="1" x14ac:dyDescent="0.3">
      <c r="A1037" s="139" t="s">
        <v>1505</v>
      </c>
      <c r="B1037" s="553">
        <f t="shared" si="403"/>
        <v>121841</v>
      </c>
      <c r="C1037" s="70">
        <f t="shared" si="391"/>
        <v>0</v>
      </c>
      <c r="D1037" s="70">
        <f t="shared" si="392"/>
        <v>4872</v>
      </c>
      <c r="E1037" s="70">
        <f t="shared" si="393"/>
        <v>121841</v>
      </c>
      <c r="F1037" s="758">
        <f t="shared" si="394"/>
        <v>126713</v>
      </c>
      <c r="G1037" s="553">
        <f t="shared" si="395"/>
        <v>8678.6812625504645</v>
      </c>
      <c r="H1037" s="600">
        <v>10241</v>
      </c>
      <c r="I1037" s="600">
        <v>0</v>
      </c>
      <c r="J1037" s="70">
        <f t="shared" si="396"/>
        <v>10241</v>
      </c>
      <c r="K1037" s="600">
        <v>0</v>
      </c>
      <c r="L1037" s="600">
        <v>0</v>
      </c>
      <c r="M1037" s="606">
        <f t="shared" si="397"/>
        <v>107793.31873744953</v>
      </c>
      <c r="N1037" s="607">
        <v>58776</v>
      </c>
      <c r="O1037" s="761">
        <f t="shared" si="398"/>
        <v>166569.31873744953</v>
      </c>
      <c r="P1037" s="710">
        <v>0</v>
      </c>
      <c r="Q1037" s="599">
        <f t="shared" si="399"/>
        <v>0</v>
      </c>
      <c r="R1037" s="761">
        <f t="shared" si="400"/>
        <v>166569.31873744953</v>
      </c>
      <c r="S1037" s="628">
        <f t="shared" si="390"/>
        <v>-58776</v>
      </c>
      <c r="T1037" s="70" t="str">
        <f t="shared" si="401"/>
        <v/>
      </c>
      <c r="U1037" s="758">
        <f t="shared" si="402"/>
        <v>58776</v>
      </c>
      <c r="V1037" s="727"/>
      <c r="AC1037" s="642" t="s">
        <v>2843</v>
      </c>
      <c r="AD1037" s="67">
        <f>ROUND(B1002*$AD$1035, 0)</f>
        <v>0</v>
      </c>
      <c r="AE1037" s="67">
        <f>ROUND(C1002*$AE$1035,0)</f>
        <v>0</v>
      </c>
      <c r="AF1037" s="67">
        <f>ROUND(D1002*$AF$1035,0)</f>
        <v>0</v>
      </c>
      <c r="AG1037" s="67">
        <f>ROUND(E1002*$AG$1035,0)</f>
        <v>0</v>
      </c>
      <c r="AH1037" s="67">
        <f>ROUND(F1002*$AH$1035,0)</f>
        <v>222</v>
      </c>
      <c r="AI1037" s="67">
        <f>ROUND(H1002*$AI$1035,0)</f>
        <v>74</v>
      </c>
      <c r="AJ1037" s="67">
        <f>ROUND(I1002*$AJ$1035,0)</f>
        <v>106</v>
      </c>
      <c r="AK1037" s="67">
        <f>ROUND(J1002*$AK$1035,0)</f>
        <v>164</v>
      </c>
      <c r="AL1037" s="67">
        <f>ROUND(K1002*$AL$1035,0)</f>
        <v>169</v>
      </c>
      <c r="AM1037" s="67">
        <f>ROUND(L1002*$AM$1035,0)</f>
        <v>51</v>
      </c>
      <c r="AN1037" s="67">
        <f>ROUND(M1002*$AN$1035,0)</f>
        <v>60</v>
      </c>
      <c r="AO1037" s="67">
        <f>ROUND(N1002*$AO$1035,0)</f>
        <v>124</v>
      </c>
      <c r="AP1037" s="67">
        <f>ROUND(O1002*$AP$1035,0)</f>
        <v>31</v>
      </c>
      <c r="AQ1037" s="67">
        <f>ROUND(P1002*$AQ$1035,0)</f>
        <v>53</v>
      </c>
      <c r="AR1037" s="67">
        <f>ROUND(Q1002*$AR$1035,0)</f>
        <v>73</v>
      </c>
      <c r="AS1037" s="636">
        <f>SUM(AD1037:AR1037)</f>
        <v>1127</v>
      </c>
    </row>
    <row r="1038" spans="1:45" ht="15.75" customHeight="1" x14ac:dyDescent="0.3">
      <c r="A1038" s="139" t="s">
        <v>1506</v>
      </c>
      <c r="B1038" s="553">
        <f t="shared" si="403"/>
        <v>213066</v>
      </c>
      <c r="C1038" s="70">
        <f t="shared" si="391"/>
        <v>0</v>
      </c>
      <c r="D1038" s="70">
        <f t="shared" si="392"/>
        <v>9330</v>
      </c>
      <c r="E1038" s="70">
        <f t="shared" si="393"/>
        <v>213066</v>
      </c>
      <c r="F1038" s="758">
        <f t="shared" si="394"/>
        <v>222396</v>
      </c>
      <c r="G1038" s="553">
        <f t="shared" si="395"/>
        <v>0</v>
      </c>
      <c r="H1038" s="600">
        <v>10229</v>
      </c>
      <c r="I1038" s="600">
        <v>0</v>
      </c>
      <c r="J1038" s="70">
        <f t="shared" si="396"/>
        <v>10229</v>
      </c>
      <c r="K1038" s="600">
        <v>0</v>
      </c>
      <c r="L1038" s="600">
        <v>0</v>
      </c>
      <c r="M1038" s="606">
        <f t="shared" si="397"/>
        <v>212167</v>
      </c>
      <c r="N1038" s="607">
        <v>0</v>
      </c>
      <c r="O1038" s="761">
        <f t="shared" si="398"/>
        <v>212167</v>
      </c>
      <c r="P1038" s="710">
        <v>0.05</v>
      </c>
      <c r="Q1038" s="599">
        <f t="shared" si="399"/>
        <v>-10608.35</v>
      </c>
      <c r="R1038" s="761">
        <f t="shared" si="400"/>
        <v>201558.65</v>
      </c>
      <c r="S1038" s="628">
        <f t="shared" si="390"/>
        <v>10608.350000000006</v>
      </c>
      <c r="T1038" s="70">
        <f t="shared" si="401"/>
        <v>10608.350000000006</v>
      </c>
      <c r="U1038" s="758" t="str">
        <f t="shared" si="402"/>
        <v/>
      </c>
      <c r="V1038" s="727"/>
      <c r="AC1038" s="642" t="s">
        <v>2091</v>
      </c>
      <c r="AD1038" s="67">
        <f t="shared" ref="AD1038:AD1048" si="405">ROUND(B1003*$AD$1035, 0)</f>
        <v>0</v>
      </c>
      <c r="AE1038" s="67">
        <f t="shared" ref="AE1038:AE1048" si="406">ROUND(C1003*$AE$1035,0)</f>
        <v>0</v>
      </c>
      <c r="AF1038" s="67">
        <f t="shared" ref="AF1038:AF1048" si="407">ROUND(D1003*$AF$1035,0)</f>
        <v>0</v>
      </c>
      <c r="AG1038" s="67">
        <f t="shared" ref="AG1038:AG1048" si="408">ROUND(E1003*$AG$1035,0)</f>
        <v>0</v>
      </c>
      <c r="AH1038" s="67">
        <f t="shared" ref="AH1038:AH1048" si="409">ROUND(F1003*$AH$1035,0)</f>
        <v>141</v>
      </c>
      <c r="AI1038" s="67">
        <f t="shared" ref="AI1038:AI1048" si="410">ROUND(H1003*$AI$1035,0)</f>
        <v>92</v>
      </c>
      <c r="AJ1038" s="67">
        <f t="shared" ref="AJ1038:AJ1048" si="411">ROUND(I1003*$AJ$1035,0)</f>
        <v>158</v>
      </c>
      <c r="AK1038" s="67">
        <f t="shared" ref="AK1038:AK1048" si="412">ROUND(J1003*$AK$1035,0)</f>
        <v>245</v>
      </c>
      <c r="AL1038" s="67">
        <f t="shared" ref="AL1038:AL1048" si="413">ROUND(K1003*$AL$1035,0)</f>
        <v>248</v>
      </c>
      <c r="AM1038" s="67">
        <f t="shared" ref="AM1038:AM1048" si="414">ROUND(L1003*$AM$1035,0)</f>
        <v>76</v>
      </c>
      <c r="AN1038" s="67">
        <f t="shared" ref="AN1038:AN1048" si="415">ROUND(M1003*$AN$1035,0)</f>
        <v>89</v>
      </c>
      <c r="AO1038" s="67">
        <f t="shared" ref="AO1038:AO1048" si="416">ROUND(N1003*$AO$1035,0)</f>
        <v>182</v>
      </c>
      <c r="AP1038" s="67">
        <f t="shared" ref="AP1038:AP1048" si="417">ROUND(O1003*$AP$1035,0)</f>
        <v>29</v>
      </c>
      <c r="AQ1038" s="67">
        <f t="shared" ref="AQ1038:AQ1048" si="418">ROUND(P1003*$AQ$1035,0)</f>
        <v>53</v>
      </c>
      <c r="AR1038" s="67">
        <f t="shared" ref="AR1038:AR1048" si="419">ROUND(Q1003*$AR$1035,0)</f>
        <v>70</v>
      </c>
      <c r="AS1038" s="636">
        <f t="shared" ref="AS1038:AS1048" si="420">SUM(AD1038:AR1038)</f>
        <v>1383</v>
      </c>
    </row>
    <row r="1039" spans="1:45" ht="15.75" customHeight="1" x14ac:dyDescent="0.3">
      <c r="A1039" s="139" t="s">
        <v>1507</v>
      </c>
      <c r="B1039" s="553">
        <f t="shared" si="403"/>
        <v>268425</v>
      </c>
      <c r="C1039" s="70">
        <f t="shared" si="391"/>
        <v>0</v>
      </c>
      <c r="D1039" s="70">
        <f t="shared" si="392"/>
        <v>11691</v>
      </c>
      <c r="E1039" s="70">
        <f t="shared" si="393"/>
        <v>268425</v>
      </c>
      <c r="F1039" s="758">
        <f t="shared" si="394"/>
        <v>280116</v>
      </c>
      <c r="G1039" s="553">
        <f t="shared" si="395"/>
        <v>0</v>
      </c>
      <c r="H1039" s="600">
        <v>10104</v>
      </c>
      <c r="I1039" s="600">
        <v>0</v>
      </c>
      <c r="J1039" s="70">
        <f t="shared" si="396"/>
        <v>10104</v>
      </c>
      <c r="K1039" s="600">
        <v>0</v>
      </c>
      <c r="L1039" s="600">
        <v>0</v>
      </c>
      <c r="M1039" s="606">
        <f t="shared" si="397"/>
        <v>270012</v>
      </c>
      <c r="N1039" s="607">
        <v>0</v>
      </c>
      <c r="O1039" s="761">
        <f t="shared" si="398"/>
        <v>270012</v>
      </c>
      <c r="P1039" s="710">
        <v>0.2</v>
      </c>
      <c r="Q1039" s="599">
        <f t="shared" si="399"/>
        <v>-54002.400000000001</v>
      </c>
      <c r="R1039" s="761">
        <f t="shared" si="400"/>
        <v>216009.60000000001</v>
      </c>
      <c r="S1039" s="628">
        <f t="shared" si="390"/>
        <v>54002.399999999994</v>
      </c>
      <c r="T1039" s="70">
        <f t="shared" si="401"/>
        <v>54002.399999999994</v>
      </c>
      <c r="U1039" s="758" t="str">
        <f t="shared" si="402"/>
        <v/>
      </c>
      <c r="V1039" s="727"/>
      <c r="AC1039" s="642" t="s">
        <v>2234</v>
      </c>
      <c r="AD1039" s="67">
        <f t="shared" si="405"/>
        <v>0</v>
      </c>
      <c r="AE1039" s="67">
        <f t="shared" si="406"/>
        <v>0</v>
      </c>
      <c r="AF1039" s="67">
        <f t="shared" si="407"/>
        <v>0</v>
      </c>
      <c r="AG1039" s="67">
        <f t="shared" si="408"/>
        <v>0</v>
      </c>
      <c r="AH1039" s="67">
        <f t="shared" si="409"/>
        <v>124</v>
      </c>
      <c r="AI1039" s="67">
        <f t="shared" si="410"/>
        <v>132</v>
      </c>
      <c r="AJ1039" s="67">
        <f t="shared" si="411"/>
        <v>210</v>
      </c>
      <c r="AK1039" s="67">
        <f t="shared" si="412"/>
        <v>298</v>
      </c>
      <c r="AL1039" s="67">
        <f t="shared" si="413"/>
        <v>288</v>
      </c>
      <c r="AM1039" s="67">
        <f t="shared" si="414"/>
        <v>84</v>
      </c>
      <c r="AN1039" s="67">
        <f t="shared" si="415"/>
        <v>99</v>
      </c>
      <c r="AO1039" s="67">
        <f t="shared" si="416"/>
        <v>200</v>
      </c>
      <c r="AP1039" s="67">
        <f t="shared" si="417"/>
        <v>31</v>
      </c>
      <c r="AQ1039" s="67">
        <f t="shared" si="418"/>
        <v>66</v>
      </c>
      <c r="AR1039" s="67">
        <f t="shared" si="419"/>
        <v>74</v>
      </c>
      <c r="AS1039" s="636">
        <f t="shared" si="420"/>
        <v>1606</v>
      </c>
    </row>
    <row r="1040" spans="1:45" ht="15.75" customHeight="1" x14ac:dyDescent="0.3">
      <c r="A1040" s="139" t="s">
        <v>1508</v>
      </c>
      <c r="B1040" s="553">
        <f t="shared" si="403"/>
        <v>248634</v>
      </c>
      <c r="C1040" s="70">
        <f t="shared" si="391"/>
        <v>0</v>
      </c>
      <c r="D1040" s="70">
        <f t="shared" si="392"/>
        <v>10785</v>
      </c>
      <c r="E1040" s="70">
        <f t="shared" si="393"/>
        <v>248634</v>
      </c>
      <c r="F1040" s="758">
        <f t="shared" si="394"/>
        <v>259419</v>
      </c>
      <c r="G1040" s="553">
        <f t="shared" si="395"/>
        <v>0</v>
      </c>
      <c r="H1040" s="600">
        <v>10826</v>
      </c>
      <c r="I1040" s="600">
        <v>0</v>
      </c>
      <c r="J1040" s="70">
        <f t="shared" si="396"/>
        <v>10826</v>
      </c>
      <c r="K1040" s="600">
        <v>0</v>
      </c>
      <c r="L1040" s="600">
        <v>0</v>
      </c>
      <c r="M1040" s="606">
        <f t="shared" si="397"/>
        <v>248593</v>
      </c>
      <c r="N1040" s="607">
        <v>0</v>
      </c>
      <c r="O1040" s="761">
        <f t="shared" si="398"/>
        <v>248593</v>
      </c>
      <c r="P1040" s="710">
        <v>0.2</v>
      </c>
      <c r="Q1040" s="599">
        <f t="shared" si="399"/>
        <v>-49718.600000000006</v>
      </c>
      <c r="R1040" s="761">
        <f t="shared" si="400"/>
        <v>198874.4</v>
      </c>
      <c r="S1040" s="628">
        <f t="shared" si="390"/>
        <v>49718.600000000006</v>
      </c>
      <c r="T1040" s="70">
        <f t="shared" si="401"/>
        <v>49718.600000000006</v>
      </c>
      <c r="U1040" s="758" t="str">
        <f t="shared" si="402"/>
        <v/>
      </c>
      <c r="V1040" s="727"/>
      <c r="AC1040" s="642" t="s">
        <v>2235</v>
      </c>
      <c r="AD1040" s="67">
        <f t="shared" si="405"/>
        <v>0</v>
      </c>
      <c r="AE1040" s="67">
        <f t="shared" si="406"/>
        <v>0</v>
      </c>
      <c r="AF1040" s="67">
        <f t="shared" si="407"/>
        <v>0</v>
      </c>
      <c r="AG1040" s="67">
        <f t="shared" si="408"/>
        <v>0</v>
      </c>
      <c r="AH1040" s="67">
        <f t="shared" si="409"/>
        <v>0</v>
      </c>
      <c r="AI1040" s="67">
        <f t="shared" si="410"/>
        <v>172</v>
      </c>
      <c r="AJ1040" s="67">
        <f t="shared" si="411"/>
        <v>266</v>
      </c>
      <c r="AK1040" s="67">
        <f t="shared" si="412"/>
        <v>319</v>
      </c>
      <c r="AL1040" s="67">
        <f t="shared" si="413"/>
        <v>293</v>
      </c>
      <c r="AM1040" s="67">
        <f t="shared" si="414"/>
        <v>90</v>
      </c>
      <c r="AN1040" s="67">
        <f t="shared" si="415"/>
        <v>106</v>
      </c>
      <c r="AO1040" s="67">
        <f t="shared" si="416"/>
        <v>212</v>
      </c>
      <c r="AP1040" s="67">
        <f t="shared" si="417"/>
        <v>40</v>
      </c>
      <c r="AQ1040" s="67">
        <f t="shared" si="418"/>
        <v>80</v>
      </c>
      <c r="AR1040" s="67">
        <f t="shared" si="419"/>
        <v>94</v>
      </c>
      <c r="AS1040" s="636">
        <f t="shared" si="420"/>
        <v>1672</v>
      </c>
    </row>
    <row r="1041" spans="1:45" ht="15.75" customHeight="1" x14ac:dyDescent="0.3">
      <c r="A1041" s="139" t="s">
        <v>1509</v>
      </c>
      <c r="B1041" s="553">
        <f t="shared" si="403"/>
        <v>123695</v>
      </c>
      <c r="C1041" s="70">
        <f t="shared" si="391"/>
        <v>0</v>
      </c>
      <c r="D1041" s="70">
        <f t="shared" si="392"/>
        <v>5464</v>
      </c>
      <c r="E1041" s="70">
        <f t="shared" si="393"/>
        <v>123695</v>
      </c>
      <c r="F1041" s="758">
        <f t="shared" si="394"/>
        <v>129159</v>
      </c>
      <c r="G1041" s="553">
        <f t="shared" si="395"/>
        <v>0</v>
      </c>
      <c r="H1041" s="600">
        <v>6676</v>
      </c>
      <c r="I1041" s="600">
        <v>0</v>
      </c>
      <c r="J1041" s="70">
        <f>(H1041+I1041)</f>
        <v>6676</v>
      </c>
      <c r="K1041" s="600">
        <v>0</v>
      </c>
      <c r="L1041" s="600">
        <v>0</v>
      </c>
      <c r="M1041" s="606">
        <f t="shared" si="397"/>
        <v>122483</v>
      </c>
      <c r="N1041" s="607">
        <v>0</v>
      </c>
      <c r="O1041" s="761">
        <f t="shared" si="398"/>
        <v>122483</v>
      </c>
      <c r="P1041" s="710">
        <v>0.2</v>
      </c>
      <c r="Q1041" s="599">
        <f t="shared" si="399"/>
        <v>-24496.600000000002</v>
      </c>
      <c r="R1041" s="761">
        <f t="shared" si="400"/>
        <v>97986.4</v>
      </c>
      <c r="S1041" s="628">
        <f t="shared" si="390"/>
        <v>24496.600000000006</v>
      </c>
      <c r="T1041" s="70">
        <f t="shared" si="401"/>
        <v>24496.600000000006</v>
      </c>
      <c r="U1041" s="758" t="str">
        <f t="shared" si="402"/>
        <v/>
      </c>
      <c r="V1041" s="727"/>
      <c r="AC1041" s="642" t="s">
        <v>2236</v>
      </c>
      <c r="AD1041" s="67">
        <f t="shared" si="405"/>
        <v>0</v>
      </c>
      <c r="AE1041" s="67">
        <f t="shared" si="406"/>
        <v>0</v>
      </c>
      <c r="AF1041" s="67">
        <f t="shared" si="407"/>
        <v>0</v>
      </c>
      <c r="AG1041" s="67">
        <f t="shared" si="408"/>
        <v>0</v>
      </c>
      <c r="AH1041" s="67">
        <f t="shared" si="409"/>
        <v>0</v>
      </c>
      <c r="AI1041" s="67">
        <f t="shared" si="410"/>
        <v>169</v>
      </c>
      <c r="AJ1041" s="67">
        <f t="shared" si="411"/>
        <v>236</v>
      </c>
      <c r="AK1041" s="67">
        <f t="shared" si="412"/>
        <v>327</v>
      </c>
      <c r="AL1041" s="67">
        <f t="shared" si="413"/>
        <v>314</v>
      </c>
      <c r="AM1041" s="67">
        <f t="shared" si="414"/>
        <v>96</v>
      </c>
      <c r="AN1041" s="67">
        <f t="shared" si="415"/>
        <v>113</v>
      </c>
      <c r="AO1041" s="67">
        <f t="shared" si="416"/>
        <v>225</v>
      </c>
      <c r="AP1041" s="67">
        <f t="shared" si="417"/>
        <v>45</v>
      </c>
      <c r="AQ1041" s="67">
        <f t="shared" si="418"/>
        <v>93</v>
      </c>
      <c r="AR1041" s="67">
        <f t="shared" si="419"/>
        <v>107</v>
      </c>
      <c r="AS1041" s="636">
        <f t="shared" si="420"/>
        <v>1725</v>
      </c>
    </row>
    <row r="1042" spans="1:45" ht="15.75" customHeight="1" x14ac:dyDescent="0.3">
      <c r="A1042" s="592" t="s">
        <v>2435</v>
      </c>
      <c r="B1042" s="553" t="s">
        <v>2435</v>
      </c>
      <c r="C1042" s="70"/>
      <c r="D1042" s="70"/>
      <c r="E1042" s="70" t="s">
        <v>852</v>
      </c>
      <c r="F1042" s="758"/>
      <c r="G1042" s="553"/>
      <c r="H1042" s="70"/>
      <c r="I1042" s="70" t="s">
        <v>852</v>
      </c>
      <c r="J1042" s="70" t="s">
        <v>852</v>
      </c>
      <c r="K1042" s="601"/>
      <c r="L1042" s="70"/>
      <c r="M1042" s="606"/>
      <c r="N1042" s="607"/>
      <c r="O1042" s="761"/>
      <c r="P1042" s="710"/>
      <c r="Q1042" s="607"/>
      <c r="R1042" s="761"/>
      <c r="S1042" s="628"/>
      <c r="T1042" s="70"/>
      <c r="U1042" s="758"/>
      <c r="V1042" s="727"/>
      <c r="AC1042" s="642" t="s">
        <v>2237</v>
      </c>
      <c r="AD1042" s="67">
        <f t="shared" si="405"/>
        <v>0</v>
      </c>
      <c r="AE1042" s="67">
        <f t="shared" si="406"/>
        <v>0</v>
      </c>
      <c r="AF1042" s="67">
        <f t="shared" si="407"/>
        <v>0</v>
      </c>
      <c r="AG1042" s="67">
        <f t="shared" si="408"/>
        <v>0</v>
      </c>
      <c r="AH1042" s="67">
        <f t="shared" si="409"/>
        <v>0</v>
      </c>
      <c r="AI1042" s="67">
        <f t="shared" si="410"/>
        <v>224</v>
      </c>
      <c r="AJ1042" s="67">
        <f t="shared" si="411"/>
        <v>294</v>
      </c>
      <c r="AK1042" s="67">
        <f t="shared" si="412"/>
        <v>336</v>
      </c>
      <c r="AL1042" s="67">
        <f t="shared" si="413"/>
        <v>301</v>
      </c>
      <c r="AM1042" s="67">
        <f t="shared" si="414"/>
        <v>92</v>
      </c>
      <c r="AN1042" s="67">
        <f t="shared" si="415"/>
        <v>108</v>
      </c>
      <c r="AO1042" s="67">
        <f t="shared" si="416"/>
        <v>211</v>
      </c>
      <c r="AP1042" s="67">
        <f t="shared" si="417"/>
        <v>46</v>
      </c>
      <c r="AQ1042" s="67">
        <f t="shared" si="418"/>
        <v>95</v>
      </c>
      <c r="AR1042" s="67">
        <f t="shared" si="419"/>
        <v>108</v>
      </c>
      <c r="AS1042" s="636">
        <f t="shared" si="420"/>
        <v>1815</v>
      </c>
    </row>
    <row r="1043" spans="1:45" ht="16.5" customHeight="1" thickBot="1" x14ac:dyDescent="0.35">
      <c r="A1043" s="596" t="s">
        <v>2356</v>
      </c>
      <c r="B1043" s="558">
        <f>SUM(B1030:B1041)</f>
        <v>2584743</v>
      </c>
      <c r="C1043" s="564">
        <f>+SUM(C1030:C1041)</f>
        <v>0</v>
      </c>
      <c r="D1043" s="564">
        <f>SUM(D1030:D1041)</f>
        <v>111284</v>
      </c>
      <c r="E1043" s="564">
        <f t="shared" si="393"/>
        <v>2584743</v>
      </c>
      <c r="F1043" s="602">
        <f>SUM(F1030:F1041)</f>
        <v>2696027</v>
      </c>
      <c r="G1043" s="558">
        <f>SUM(G1030:G1041)</f>
        <v>36461.835067408145</v>
      </c>
      <c r="H1043" s="564">
        <f>SUM(H1030:H1041)</f>
        <v>137695</v>
      </c>
      <c r="I1043" s="564">
        <f>SUM(I1030:I1041)</f>
        <v>0</v>
      </c>
      <c r="J1043" s="564">
        <f>(H1043+I1043)</f>
        <v>137695</v>
      </c>
      <c r="K1043" s="564">
        <f>SUM(K1030:K1041)</f>
        <v>0</v>
      </c>
      <c r="L1043" s="564">
        <f>SUM(L1030:L1041)</f>
        <v>0</v>
      </c>
      <c r="M1043" s="608">
        <f>SUM(M1030:M1041)</f>
        <v>2521870.1649325918</v>
      </c>
      <c r="N1043" s="609">
        <f>SUM(N1030:N1041)</f>
        <v>130856</v>
      </c>
      <c r="O1043" s="631">
        <f>+M1043+N1043</f>
        <v>2652726.1649325918</v>
      </c>
      <c r="P1043" s="711">
        <f>Q1043/O1043</f>
        <v>-0.20152782664770066</v>
      </c>
      <c r="Q1043" s="616">
        <f>SUM(Q1030:Q1041)</f>
        <v>-534598.13871035515</v>
      </c>
      <c r="R1043" s="631">
        <f>SUM(R1030:R1041)</f>
        <v>2118128.0262222369</v>
      </c>
      <c r="S1043" s="629">
        <f>(F1043-G1043-J1043-K1043-L1043-R1043)</f>
        <v>403742.13871035492</v>
      </c>
      <c r="T1043" s="564">
        <f>+SUM(T1030:T1041)</f>
        <v>533337.85</v>
      </c>
      <c r="U1043" s="602">
        <f>+SUM(U1030:U1041)</f>
        <v>129595.71128964479</v>
      </c>
      <c r="V1043" s="727"/>
      <c r="AC1043" s="642" t="s">
        <v>1504</v>
      </c>
      <c r="AD1043" s="67">
        <f t="shared" si="405"/>
        <v>0</v>
      </c>
      <c r="AE1043" s="67">
        <f t="shared" si="406"/>
        <v>0</v>
      </c>
      <c r="AF1043" s="67">
        <f t="shared" si="407"/>
        <v>0</v>
      </c>
      <c r="AG1043" s="67">
        <f t="shared" si="408"/>
        <v>0</v>
      </c>
      <c r="AH1043" s="67">
        <f t="shared" si="409"/>
        <v>0</v>
      </c>
      <c r="AI1043" s="67">
        <f t="shared" si="410"/>
        <v>180</v>
      </c>
      <c r="AJ1043" s="67">
        <f t="shared" si="411"/>
        <v>287</v>
      </c>
      <c r="AK1043" s="67">
        <f t="shared" si="412"/>
        <v>336</v>
      </c>
      <c r="AL1043" s="67">
        <f t="shared" si="413"/>
        <v>296</v>
      </c>
      <c r="AM1043" s="67">
        <f t="shared" si="414"/>
        <v>92</v>
      </c>
      <c r="AN1043" s="67">
        <f t="shared" si="415"/>
        <v>108</v>
      </c>
      <c r="AO1043" s="67">
        <f t="shared" si="416"/>
        <v>205</v>
      </c>
      <c r="AP1043" s="67">
        <f t="shared" si="417"/>
        <v>38</v>
      </c>
      <c r="AQ1043" s="67">
        <f t="shared" si="418"/>
        <v>86</v>
      </c>
      <c r="AR1043" s="67">
        <f t="shared" si="419"/>
        <v>89</v>
      </c>
      <c r="AS1043" s="636">
        <f t="shared" si="420"/>
        <v>1717</v>
      </c>
    </row>
    <row r="1044" spans="1:45" ht="15.75" customHeight="1" x14ac:dyDescent="0.3">
      <c r="A1044" s="579"/>
      <c r="B1044" s="67"/>
      <c r="C1044" s="67"/>
      <c r="D1044" s="67"/>
      <c r="E1044" s="67"/>
      <c r="F1044" s="67" t="s">
        <v>2435</v>
      </c>
      <c r="G1044" s="67"/>
      <c r="H1044" s="67"/>
      <c r="I1044" s="67"/>
      <c r="K1044" s="67"/>
      <c r="L1044" s="67"/>
      <c r="M1044" s="219"/>
      <c r="O1044" s="703"/>
      <c r="P1044" s="701"/>
      <c r="V1044" s="727"/>
      <c r="AC1044" s="642" t="s">
        <v>1505</v>
      </c>
      <c r="AD1044" s="67">
        <f t="shared" si="405"/>
        <v>0</v>
      </c>
      <c r="AE1044" s="67">
        <f t="shared" si="406"/>
        <v>0</v>
      </c>
      <c r="AF1044" s="67">
        <f t="shared" si="407"/>
        <v>0</v>
      </c>
      <c r="AG1044" s="67">
        <f t="shared" si="408"/>
        <v>0</v>
      </c>
      <c r="AH1044" s="67">
        <f t="shared" si="409"/>
        <v>0</v>
      </c>
      <c r="AI1044" s="67">
        <f t="shared" si="410"/>
        <v>159</v>
      </c>
      <c r="AJ1044" s="67">
        <f t="shared" si="411"/>
        <v>279</v>
      </c>
      <c r="AK1044" s="67">
        <f t="shared" si="412"/>
        <v>339</v>
      </c>
      <c r="AL1044" s="67">
        <f t="shared" si="413"/>
        <v>309</v>
      </c>
      <c r="AM1044" s="67">
        <f t="shared" si="414"/>
        <v>100</v>
      </c>
      <c r="AN1044" s="67">
        <f t="shared" si="415"/>
        <v>117</v>
      </c>
      <c r="AO1044" s="67">
        <f t="shared" si="416"/>
        <v>230</v>
      </c>
      <c r="AP1044" s="67">
        <f t="shared" si="417"/>
        <v>60</v>
      </c>
      <c r="AQ1044" s="67">
        <f t="shared" si="418"/>
        <v>80</v>
      </c>
      <c r="AR1044" s="67">
        <f t="shared" si="419"/>
        <v>142</v>
      </c>
      <c r="AS1044" s="636">
        <f t="shared" si="420"/>
        <v>1815</v>
      </c>
    </row>
    <row r="1045" spans="1:45" ht="15.75" customHeight="1" x14ac:dyDescent="0.3">
      <c r="A1045" s="551" t="s">
        <v>2640</v>
      </c>
      <c r="P1045" s="67"/>
      <c r="Q1045" s="67"/>
      <c r="R1045" s="67"/>
      <c r="V1045" s="727"/>
      <c r="AC1045" s="642" t="s">
        <v>1506</v>
      </c>
      <c r="AD1045" s="67">
        <f t="shared" si="405"/>
        <v>0</v>
      </c>
      <c r="AE1045" s="67">
        <f t="shared" si="406"/>
        <v>0</v>
      </c>
      <c r="AF1045" s="67">
        <f t="shared" si="407"/>
        <v>0</v>
      </c>
      <c r="AG1045" s="67">
        <f t="shared" si="408"/>
        <v>0</v>
      </c>
      <c r="AH1045" s="67">
        <f t="shared" si="409"/>
        <v>0</v>
      </c>
      <c r="AI1045" s="67">
        <f t="shared" si="410"/>
        <v>115</v>
      </c>
      <c r="AJ1045" s="67">
        <f t="shared" si="411"/>
        <v>178</v>
      </c>
      <c r="AK1045" s="67">
        <f t="shared" si="412"/>
        <v>268</v>
      </c>
      <c r="AL1045" s="67">
        <f t="shared" si="413"/>
        <v>260</v>
      </c>
      <c r="AM1045" s="67">
        <f t="shared" si="414"/>
        <v>91</v>
      </c>
      <c r="AN1045" s="67">
        <f t="shared" si="415"/>
        <v>108</v>
      </c>
      <c r="AO1045" s="67">
        <f t="shared" si="416"/>
        <v>213</v>
      </c>
      <c r="AP1045" s="67">
        <f t="shared" si="417"/>
        <v>49</v>
      </c>
      <c r="AQ1045" s="67">
        <f t="shared" si="418"/>
        <v>73</v>
      </c>
      <c r="AR1045" s="67">
        <f t="shared" si="419"/>
        <v>117</v>
      </c>
      <c r="AS1045" s="636">
        <f t="shared" si="420"/>
        <v>1472</v>
      </c>
    </row>
    <row r="1046" spans="1:45" ht="15.75" customHeight="1" x14ac:dyDescent="0.3">
      <c r="A1046" s="551" t="s">
        <v>1660</v>
      </c>
      <c r="D1046" s="67"/>
      <c r="E1046" s="67"/>
      <c r="F1046" s="67"/>
      <c r="G1046" s="67"/>
      <c r="H1046" s="67"/>
      <c r="I1046" s="67"/>
      <c r="J1046" s="67"/>
      <c r="K1046" s="67"/>
      <c r="L1046" s="67"/>
      <c r="M1046" s="67"/>
      <c r="N1046" s="67"/>
      <c r="O1046" s="67"/>
      <c r="P1046" s="67"/>
      <c r="Q1046" s="67"/>
      <c r="R1046" s="67"/>
      <c r="V1046" s="727"/>
      <c r="AC1046" s="642" t="s">
        <v>1507</v>
      </c>
      <c r="AD1046" s="67">
        <f t="shared" si="405"/>
        <v>0</v>
      </c>
      <c r="AE1046" s="67">
        <f t="shared" si="406"/>
        <v>0</v>
      </c>
      <c r="AF1046" s="67">
        <f t="shared" si="407"/>
        <v>0</v>
      </c>
      <c r="AG1046" s="67">
        <f t="shared" si="408"/>
        <v>0</v>
      </c>
      <c r="AH1046" s="67">
        <f t="shared" si="409"/>
        <v>165</v>
      </c>
      <c r="AI1046" s="67">
        <f t="shared" si="410"/>
        <v>89</v>
      </c>
      <c r="AJ1046" s="67">
        <f t="shared" si="411"/>
        <v>108</v>
      </c>
      <c r="AK1046" s="67">
        <f t="shared" si="412"/>
        <v>158</v>
      </c>
      <c r="AL1046" s="67">
        <f t="shared" si="413"/>
        <v>154</v>
      </c>
      <c r="AM1046" s="67">
        <f t="shared" si="414"/>
        <v>53</v>
      </c>
      <c r="AN1046" s="67">
        <f t="shared" si="415"/>
        <v>62</v>
      </c>
      <c r="AO1046" s="67">
        <f t="shared" si="416"/>
        <v>125</v>
      </c>
      <c r="AP1046" s="67">
        <f t="shared" si="417"/>
        <v>33</v>
      </c>
      <c r="AQ1046" s="67">
        <f t="shared" si="418"/>
        <v>66</v>
      </c>
      <c r="AR1046" s="67">
        <f t="shared" si="419"/>
        <v>77</v>
      </c>
      <c r="AS1046" s="636">
        <f t="shared" si="420"/>
        <v>1090</v>
      </c>
    </row>
    <row r="1047" spans="1:45" ht="15.75" customHeight="1" x14ac:dyDescent="0.3">
      <c r="A1047" s="551" t="s">
        <v>2853</v>
      </c>
      <c r="D1047" s="67"/>
      <c r="E1047" s="67"/>
      <c r="F1047" s="67"/>
      <c r="G1047" s="67"/>
      <c r="H1047" s="67"/>
      <c r="I1047" s="67"/>
      <c r="J1047" s="67"/>
      <c r="K1047" s="67"/>
      <c r="L1047" s="67"/>
      <c r="M1047" s="67"/>
      <c r="N1047" s="67"/>
      <c r="O1047" s="67"/>
      <c r="P1047" s="67"/>
      <c r="Q1047" s="67"/>
      <c r="R1047" s="67"/>
      <c r="V1047" s="727"/>
      <c r="AC1047" s="642" t="s">
        <v>1508</v>
      </c>
      <c r="AD1047" s="67">
        <f t="shared" si="405"/>
        <v>0</v>
      </c>
      <c r="AE1047" s="67">
        <f t="shared" si="406"/>
        <v>0</v>
      </c>
      <c r="AF1047" s="67">
        <f t="shared" si="407"/>
        <v>0</v>
      </c>
      <c r="AG1047" s="67">
        <f t="shared" si="408"/>
        <v>0</v>
      </c>
      <c r="AH1047" s="67">
        <f t="shared" si="409"/>
        <v>237</v>
      </c>
      <c r="AI1047" s="67">
        <f t="shared" si="410"/>
        <v>60</v>
      </c>
      <c r="AJ1047" s="67">
        <f t="shared" si="411"/>
        <v>37</v>
      </c>
      <c r="AK1047" s="67">
        <f t="shared" si="412"/>
        <v>53</v>
      </c>
      <c r="AL1047" s="67">
        <f t="shared" si="413"/>
        <v>52</v>
      </c>
      <c r="AM1047" s="67">
        <f t="shared" si="414"/>
        <v>14</v>
      </c>
      <c r="AN1047" s="67">
        <f t="shared" si="415"/>
        <v>16</v>
      </c>
      <c r="AO1047" s="67">
        <f t="shared" si="416"/>
        <v>32</v>
      </c>
      <c r="AP1047" s="67">
        <f t="shared" si="417"/>
        <v>22</v>
      </c>
      <c r="AQ1047" s="67">
        <f t="shared" si="418"/>
        <v>60</v>
      </c>
      <c r="AR1047" s="67">
        <f t="shared" si="419"/>
        <v>53</v>
      </c>
      <c r="AS1047" s="636">
        <f t="shared" si="420"/>
        <v>636</v>
      </c>
    </row>
    <row r="1048" spans="1:45" ht="15.75" customHeight="1" thickBot="1" x14ac:dyDescent="0.35">
      <c r="A1048" s="554" t="s">
        <v>2626</v>
      </c>
      <c r="B1048" s="581"/>
      <c r="C1048" s="581"/>
      <c r="D1048" s="555"/>
      <c r="E1048" s="555"/>
      <c r="F1048" s="555"/>
      <c r="G1048" s="555"/>
      <c r="H1048" s="555"/>
      <c r="I1048" s="555"/>
      <c r="J1048" s="555"/>
      <c r="K1048" s="555"/>
      <c r="L1048" s="555"/>
      <c r="M1048" s="555"/>
      <c r="N1048" s="555"/>
      <c r="O1048" s="555"/>
      <c r="P1048" s="555"/>
      <c r="Q1048" s="555"/>
      <c r="R1048" s="555"/>
      <c r="S1048" s="581"/>
      <c r="T1048" s="581"/>
      <c r="U1048" s="581"/>
      <c r="V1048" s="565"/>
      <c r="AC1048" s="642" t="s">
        <v>1509</v>
      </c>
      <c r="AD1048" s="67">
        <f t="shared" si="405"/>
        <v>0</v>
      </c>
      <c r="AE1048" s="67">
        <f t="shared" si="406"/>
        <v>0</v>
      </c>
      <c r="AF1048" s="67">
        <f t="shared" si="407"/>
        <v>0</v>
      </c>
      <c r="AG1048" s="67">
        <f t="shared" si="408"/>
        <v>0</v>
      </c>
      <c r="AH1048" s="67">
        <f t="shared" si="409"/>
        <v>74</v>
      </c>
      <c r="AI1048" s="67">
        <f t="shared" si="410"/>
        <v>37</v>
      </c>
      <c r="AJ1048" s="67">
        <f t="shared" si="411"/>
        <v>23</v>
      </c>
      <c r="AK1048" s="67">
        <f t="shared" si="412"/>
        <v>32</v>
      </c>
      <c r="AL1048" s="67">
        <f t="shared" si="413"/>
        <v>31</v>
      </c>
      <c r="AM1048" s="67">
        <f t="shared" si="414"/>
        <v>12</v>
      </c>
      <c r="AN1048" s="67">
        <f t="shared" si="415"/>
        <v>14</v>
      </c>
      <c r="AO1048" s="67">
        <f t="shared" si="416"/>
        <v>24</v>
      </c>
      <c r="AP1048" s="67">
        <f t="shared" si="417"/>
        <v>11</v>
      </c>
      <c r="AQ1048" s="67">
        <f t="shared" si="418"/>
        <v>53</v>
      </c>
      <c r="AR1048" s="67">
        <f t="shared" si="419"/>
        <v>26</v>
      </c>
      <c r="AS1048" s="636">
        <f t="shared" si="420"/>
        <v>337</v>
      </c>
    </row>
    <row r="1049" spans="1:45" ht="15.75" customHeight="1" thickBot="1" x14ac:dyDescent="0.35">
      <c r="A1049" s="551"/>
      <c r="D1049" s="67"/>
      <c r="E1049" s="67"/>
      <c r="F1049" s="67"/>
      <c r="G1049" s="67"/>
      <c r="H1049" s="67"/>
      <c r="I1049" s="67"/>
      <c r="J1049" s="67"/>
      <c r="K1049" s="67"/>
      <c r="L1049" s="67"/>
      <c r="M1049" s="67"/>
      <c r="N1049" s="67"/>
      <c r="O1049" s="67"/>
      <c r="P1049" s="67"/>
      <c r="Q1049" s="67"/>
      <c r="R1049" s="67"/>
      <c r="S1049" s="703"/>
      <c r="V1049" s="705"/>
      <c r="AC1049" s="579"/>
      <c r="AD1049" s="67"/>
      <c r="AE1049" s="67"/>
      <c r="AF1049" s="67"/>
      <c r="AG1049" s="67"/>
      <c r="AH1049" s="67"/>
      <c r="AI1049" s="67"/>
      <c r="AJ1049" s="67"/>
      <c r="AK1049" s="67"/>
      <c r="AL1049" s="67"/>
      <c r="AM1049" s="67"/>
      <c r="AN1049" s="67"/>
      <c r="AO1049" s="67"/>
      <c r="AP1049" s="67"/>
      <c r="AQ1049" s="67"/>
      <c r="AR1049" s="67"/>
      <c r="AS1049" s="636"/>
    </row>
    <row r="1050" spans="1:45" ht="15.75" customHeight="1" thickBot="1" x14ac:dyDescent="0.35">
      <c r="A1050" s="139"/>
      <c r="B1050" s="806" t="s">
        <v>2689</v>
      </c>
      <c r="C1050" s="807"/>
      <c r="D1050" s="807"/>
      <c r="E1050" s="807"/>
      <c r="F1050" s="807"/>
      <c r="G1050" s="807"/>
      <c r="H1050" s="807"/>
      <c r="I1050" s="807"/>
      <c r="J1050" s="807"/>
      <c r="K1050" s="807"/>
      <c r="L1050" s="807"/>
      <c r="M1050" s="807"/>
      <c r="N1050" s="807"/>
      <c r="O1050" s="807"/>
      <c r="P1050" s="807"/>
      <c r="Q1050" s="701"/>
      <c r="R1050" s="701"/>
      <c r="S1050" s="705"/>
      <c r="T1050" s="703"/>
      <c r="U1050" s="703"/>
      <c r="V1050" s="702"/>
      <c r="AC1050" s="644" t="s">
        <v>2356</v>
      </c>
      <c r="AD1050" s="555">
        <f>SUM(AD1037:AD1048)</f>
        <v>0</v>
      </c>
      <c r="AE1050" s="555">
        <f t="shared" ref="AE1050:AS1050" si="421">SUM(AE1037:AE1048)</f>
        <v>0</v>
      </c>
      <c r="AF1050" s="555">
        <f t="shared" si="421"/>
        <v>0</v>
      </c>
      <c r="AG1050" s="555">
        <f t="shared" si="421"/>
        <v>0</v>
      </c>
      <c r="AH1050" s="555">
        <f t="shared" si="421"/>
        <v>963</v>
      </c>
      <c r="AI1050" s="555">
        <f t="shared" si="421"/>
        <v>1503</v>
      </c>
      <c r="AJ1050" s="555">
        <f t="shared" si="421"/>
        <v>2182</v>
      </c>
      <c r="AK1050" s="555">
        <f t="shared" si="421"/>
        <v>2875</v>
      </c>
      <c r="AL1050" s="555">
        <f t="shared" si="421"/>
        <v>2715</v>
      </c>
      <c r="AM1050" s="555">
        <f t="shared" si="421"/>
        <v>851</v>
      </c>
      <c r="AN1050" s="555">
        <f t="shared" si="421"/>
        <v>1000</v>
      </c>
      <c r="AO1050" s="555">
        <f t="shared" si="421"/>
        <v>1983</v>
      </c>
      <c r="AP1050" s="555">
        <f t="shared" si="421"/>
        <v>435</v>
      </c>
      <c r="AQ1050" s="555">
        <f t="shared" si="421"/>
        <v>858</v>
      </c>
      <c r="AR1050" s="555">
        <f t="shared" si="421"/>
        <v>1030</v>
      </c>
      <c r="AS1050" s="637">
        <f t="shared" si="421"/>
        <v>16395</v>
      </c>
    </row>
    <row r="1051" spans="1:45" ht="15.75" customHeight="1" thickBot="1" x14ac:dyDescent="0.35">
      <c r="A1051" s="139"/>
      <c r="B1051" s="795" t="s">
        <v>2633</v>
      </c>
      <c r="C1051" s="796"/>
      <c r="D1051" s="796"/>
      <c r="E1051" s="796"/>
      <c r="F1051" s="797"/>
      <c r="G1051" s="795" t="s">
        <v>2674</v>
      </c>
      <c r="H1051" s="796"/>
      <c r="I1051" s="796"/>
      <c r="J1051" s="796"/>
      <c r="K1051" s="796"/>
      <c r="L1051" s="796"/>
      <c r="M1051" s="798" t="s">
        <v>2677</v>
      </c>
      <c r="N1051" s="811"/>
      <c r="O1051" s="811"/>
      <c r="P1051" s="799"/>
      <c r="Q1051" s="799"/>
      <c r="R1051" s="800"/>
      <c r="S1051" s="795" t="s">
        <v>2682</v>
      </c>
      <c r="T1051" s="801"/>
      <c r="U1051" s="802"/>
      <c r="V1051" s="727"/>
    </row>
    <row r="1052" spans="1:45" ht="15.75" customHeight="1" x14ac:dyDescent="0.3">
      <c r="A1052" s="592"/>
      <c r="B1052" s="553" t="s">
        <v>2439</v>
      </c>
      <c r="C1052" s="70"/>
      <c r="D1052" s="70" t="s">
        <v>336</v>
      </c>
      <c r="E1052" s="70" t="s">
        <v>596</v>
      </c>
      <c r="F1052" s="758" t="s">
        <v>2652</v>
      </c>
      <c r="G1052" s="553" t="s">
        <v>228</v>
      </c>
      <c r="H1052" s="70"/>
      <c r="I1052" s="70"/>
      <c r="J1052" s="70" t="s">
        <v>229</v>
      </c>
      <c r="K1052" s="70" t="s">
        <v>2638</v>
      </c>
      <c r="L1052" s="70" t="s">
        <v>2639</v>
      </c>
      <c r="M1052" s="808" t="str">
        <f>+M1025</f>
        <v>(NE)* per WAPA</v>
      </c>
      <c r="N1052" s="809"/>
      <c r="O1052" s="809"/>
      <c r="P1052" s="715"/>
      <c r="Q1052" s="599"/>
      <c r="R1052" s="761"/>
      <c r="S1052" s="553" t="s">
        <v>2683</v>
      </c>
      <c r="T1052" s="610" t="s">
        <v>134</v>
      </c>
      <c r="U1052" s="759" t="s">
        <v>2685</v>
      </c>
      <c r="V1052" s="727"/>
    </row>
    <row r="1053" spans="1:45" ht="15.75" customHeight="1" x14ac:dyDescent="0.3">
      <c r="A1053" s="592"/>
      <c r="B1053" s="593" t="s">
        <v>2648</v>
      </c>
      <c r="C1053" s="588" t="s">
        <v>2656</v>
      </c>
      <c r="D1053" s="588" t="s">
        <v>2651</v>
      </c>
      <c r="E1053" s="70" t="s">
        <v>335</v>
      </c>
      <c r="F1053" s="760" t="s">
        <v>2653</v>
      </c>
      <c r="G1053" s="553" t="s">
        <v>2463</v>
      </c>
      <c r="H1053" s="70" t="s">
        <v>1416</v>
      </c>
      <c r="I1053" s="70" t="s">
        <v>1417</v>
      </c>
      <c r="J1053" s="588" t="s">
        <v>2632</v>
      </c>
      <c r="K1053" s="70" t="s">
        <v>2634</v>
      </c>
      <c r="L1053" s="588" t="s">
        <v>2637</v>
      </c>
      <c r="M1053" s="603" t="s">
        <v>2679</v>
      </c>
      <c r="N1053" s="604" t="s">
        <v>2680</v>
      </c>
      <c r="O1053" s="599" t="s">
        <v>2356</v>
      </c>
      <c r="P1053" s="603" t="s">
        <v>3112</v>
      </c>
      <c r="Q1053" s="604" t="s">
        <v>3112</v>
      </c>
      <c r="R1053" s="761" t="s">
        <v>3117</v>
      </c>
      <c r="S1053" s="553" t="s">
        <v>2684</v>
      </c>
      <c r="T1053" s="70" t="s">
        <v>2686</v>
      </c>
      <c r="U1053" s="758" t="s">
        <v>2687</v>
      </c>
      <c r="V1053" s="727"/>
    </row>
    <row r="1054" spans="1:45" ht="15.75" customHeight="1" x14ac:dyDescent="0.3">
      <c r="A1054" s="592"/>
      <c r="B1054" s="594" t="s">
        <v>2654</v>
      </c>
      <c r="C1054" s="217">
        <v>5.0000000000000001E-3</v>
      </c>
      <c r="D1054" s="217">
        <v>4.2999999999999997E-2</v>
      </c>
      <c r="E1054" s="70" t="s">
        <v>133</v>
      </c>
      <c r="F1054" s="762" t="s">
        <v>2649</v>
      </c>
      <c r="G1054" s="553" t="s">
        <v>2650</v>
      </c>
      <c r="H1054" s="70" t="s">
        <v>335</v>
      </c>
      <c r="I1054" s="70" t="s">
        <v>335</v>
      </c>
      <c r="J1054" s="70" t="s">
        <v>335</v>
      </c>
      <c r="K1054" s="70" t="s">
        <v>134</v>
      </c>
      <c r="L1054" s="70" t="s">
        <v>2636</v>
      </c>
      <c r="M1054" s="605" t="s">
        <v>955</v>
      </c>
      <c r="N1054" s="599" t="s">
        <v>2681</v>
      </c>
      <c r="O1054" s="599" t="s">
        <v>2688</v>
      </c>
      <c r="P1054" s="605" t="s">
        <v>3113</v>
      </c>
      <c r="Q1054" s="604" t="s">
        <v>3113</v>
      </c>
      <c r="R1054" s="761" t="s">
        <v>2688</v>
      </c>
      <c r="S1054" s="553" t="s">
        <v>335</v>
      </c>
      <c r="T1054" s="70" t="s">
        <v>335</v>
      </c>
      <c r="U1054" s="758" t="s">
        <v>335</v>
      </c>
      <c r="V1054" s="727"/>
    </row>
    <row r="1055" spans="1:45" ht="15.75" customHeight="1" x14ac:dyDescent="0.3">
      <c r="A1055" s="592" t="s">
        <v>249</v>
      </c>
      <c r="B1055" s="553" t="s">
        <v>2695</v>
      </c>
      <c r="C1055" s="70" t="s">
        <v>2695</v>
      </c>
      <c r="D1055" s="70" t="s">
        <v>2695</v>
      </c>
      <c r="E1055" s="70" t="s">
        <v>2695</v>
      </c>
      <c r="F1055" s="70" t="s">
        <v>2695</v>
      </c>
      <c r="G1055" s="553" t="s">
        <v>2695</v>
      </c>
      <c r="H1055" s="70" t="s">
        <v>2695</v>
      </c>
      <c r="I1055" s="70" t="s">
        <v>2695</v>
      </c>
      <c r="J1055" s="70" t="s">
        <v>2695</v>
      </c>
      <c r="K1055" s="70" t="s">
        <v>2695</v>
      </c>
      <c r="L1055" s="70" t="s">
        <v>2695</v>
      </c>
      <c r="M1055" s="605" t="s">
        <v>2695</v>
      </c>
      <c r="N1055" s="599" t="s">
        <v>2696</v>
      </c>
      <c r="O1055" s="599" t="s">
        <v>2695</v>
      </c>
      <c r="P1055" s="605" t="s">
        <v>3013</v>
      </c>
      <c r="Q1055" s="604" t="s">
        <v>998</v>
      </c>
      <c r="R1055" s="761" t="s">
        <v>998</v>
      </c>
      <c r="S1055" s="553" t="s">
        <v>2695</v>
      </c>
      <c r="T1055" s="70" t="s">
        <v>2695</v>
      </c>
      <c r="U1055" s="758" t="s">
        <v>2695</v>
      </c>
      <c r="V1055" s="727"/>
    </row>
    <row r="1056" spans="1:45" ht="15.75" customHeight="1" x14ac:dyDescent="0.3">
      <c r="A1056" s="592" t="s">
        <v>1353</v>
      </c>
      <c r="B1056" s="553" t="s">
        <v>1353</v>
      </c>
      <c r="C1056" s="70" t="s">
        <v>1353</v>
      </c>
      <c r="D1056" s="70" t="s">
        <v>1353</v>
      </c>
      <c r="E1056" s="70" t="s">
        <v>2202</v>
      </c>
      <c r="F1056" s="758" t="s">
        <v>1353</v>
      </c>
      <c r="G1056" s="553" t="s">
        <v>1353</v>
      </c>
      <c r="H1056" s="70" t="s">
        <v>2119</v>
      </c>
      <c r="I1056" s="70" t="s">
        <v>2119</v>
      </c>
      <c r="J1056" s="70" t="s">
        <v>1353</v>
      </c>
      <c r="K1056" s="70" t="s">
        <v>1353</v>
      </c>
      <c r="L1056" s="70" t="s">
        <v>1353</v>
      </c>
      <c r="M1056" s="605" t="s">
        <v>1353</v>
      </c>
      <c r="N1056" s="599" t="s">
        <v>1353</v>
      </c>
      <c r="O1056" s="599" t="s">
        <v>1353</v>
      </c>
      <c r="P1056" s="605" t="s">
        <v>1353</v>
      </c>
      <c r="Q1056" s="599" t="s">
        <v>1353</v>
      </c>
      <c r="R1056" s="761" t="s">
        <v>1353</v>
      </c>
      <c r="S1056" s="553" t="s">
        <v>1353</v>
      </c>
      <c r="T1056" s="70" t="s">
        <v>1353</v>
      </c>
      <c r="U1056" s="758" t="s">
        <v>1353</v>
      </c>
      <c r="V1056" s="727"/>
    </row>
    <row r="1057" spans="1:22" ht="15.75" customHeight="1" x14ac:dyDescent="0.3">
      <c r="A1057" s="139" t="s">
        <v>2843</v>
      </c>
      <c r="B1057" s="553">
        <f>+B1030/($B$10*24)</f>
        <v>323.43413978494624</v>
      </c>
      <c r="C1057" s="70">
        <f t="shared" ref="C1057:L1057" si="422">+C1030/($B$10*24)</f>
        <v>0</v>
      </c>
      <c r="D1057" s="70">
        <f t="shared" si="422"/>
        <v>13.755376344086022</v>
      </c>
      <c r="E1057" s="70">
        <f t="shared" si="422"/>
        <v>323.43413978494624</v>
      </c>
      <c r="F1057" s="758">
        <f t="shared" si="422"/>
        <v>337.18951612903226</v>
      </c>
      <c r="G1057" s="70">
        <f t="shared" si="422"/>
        <v>0</v>
      </c>
      <c r="H1057" s="70">
        <f t="shared" si="422"/>
        <v>12.131720430107526</v>
      </c>
      <c r="I1057" s="70">
        <f t="shared" si="422"/>
        <v>0</v>
      </c>
      <c r="J1057" s="70">
        <f t="shared" si="422"/>
        <v>12.131720430107526</v>
      </c>
      <c r="K1057" s="70">
        <f t="shared" si="422"/>
        <v>0</v>
      </c>
      <c r="L1057" s="70">
        <f t="shared" si="422"/>
        <v>0</v>
      </c>
      <c r="M1057" s="605">
        <f>+M1030/($B$10*24)</f>
        <v>325.05779569892474</v>
      </c>
      <c r="N1057" s="599">
        <f t="shared" ref="N1057" si="423">+N1030/($B$10*24)</f>
        <v>0</v>
      </c>
      <c r="O1057" s="599">
        <f>+O1030/($B$10*24)</f>
        <v>325.05779569892474</v>
      </c>
      <c r="P1057" s="716">
        <f>P1030</f>
        <v>0.2</v>
      </c>
      <c r="Q1057" s="599">
        <f>-O1057*P1057</f>
        <v>-65.01155913978495</v>
      </c>
      <c r="R1057" s="761">
        <f>O1057+Q1057</f>
        <v>260.0462365591398</v>
      </c>
      <c r="S1057" s="612">
        <f>+S1030/($B$10*24)</f>
        <v>65.01155913978495</v>
      </c>
      <c r="T1057" s="70">
        <f>+IF(S1057&gt;=0,ABS(S1057),"")</f>
        <v>65.01155913978495</v>
      </c>
      <c r="U1057" s="758" t="str">
        <f>+IF(S1057&lt;=0,ABS(S1057),"")</f>
        <v/>
      </c>
      <c r="V1057" s="727"/>
    </row>
    <row r="1058" spans="1:22" ht="15.75" customHeight="1" x14ac:dyDescent="0.3">
      <c r="A1058" s="139" t="s">
        <v>2091</v>
      </c>
      <c r="B1058" s="553">
        <f>+B1031/($C$10*24)</f>
        <v>334.61755952380952</v>
      </c>
      <c r="C1058" s="70">
        <f t="shared" ref="C1058:N1058" si="424">+C1031/($C$10*24)</f>
        <v>0</v>
      </c>
      <c r="D1058" s="70">
        <f t="shared" si="424"/>
        <v>14.254464285714286</v>
      </c>
      <c r="E1058" s="70">
        <f t="shared" si="424"/>
        <v>334.61755952380952</v>
      </c>
      <c r="F1058" s="758">
        <f t="shared" si="424"/>
        <v>348.8720238095238</v>
      </c>
      <c r="G1058" s="70">
        <f t="shared" si="424"/>
        <v>0</v>
      </c>
      <c r="H1058" s="70">
        <f t="shared" si="424"/>
        <v>15.27827380952381</v>
      </c>
      <c r="I1058" s="70">
        <f t="shared" si="424"/>
        <v>0</v>
      </c>
      <c r="J1058" s="70">
        <f t="shared" si="424"/>
        <v>15.27827380952381</v>
      </c>
      <c r="K1058" s="70">
        <f t="shared" si="424"/>
        <v>0</v>
      </c>
      <c r="L1058" s="70">
        <f t="shared" si="424"/>
        <v>0</v>
      </c>
      <c r="M1058" s="605">
        <f t="shared" si="424"/>
        <v>333.59375</v>
      </c>
      <c r="N1058" s="599">
        <f t="shared" si="424"/>
        <v>0</v>
      </c>
      <c r="O1058" s="599">
        <f t="shared" ref="O1058:O1068" si="425">+O1031/($B$10*24)</f>
        <v>301.31048387096774</v>
      </c>
      <c r="P1058" s="716">
        <f t="shared" ref="P1058:P1068" si="426">P1031</f>
        <v>0.25</v>
      </c>
      <c r="Q1058" s="599">
        <f t="shared" ref="Q1058:Q1068" si="427">-O1058*P1058</f>
        <v>-75.327620967741936</v>
      </c>
      <c r="R1058" s="761">
        <f t="shared" ref="R1058:R1068" si="428">O1058+Q1058</f>
        <v>225.98286290322579</v>
      </c>
      <c r="S1058" s="612">
        <f>+S1031/($C$10*24)</f>
        <v>83.3984375</v>
      </c>
      <c r="T1058" s="70">
        <f t="shared" ref="T1058:T1068" si="429">+IF(S1058&gt;=0,ABS(S1058),"")</f>
        <v>83.3984375</v>
      </c>
      <c r="U1058" s="758" t="str">
        <f t="shared" ref="U1058:U1068" si="430">+IF(S1058&lt;=0,ABS(S1058),"")</f>
        <v/>
      </c>
      <c r="V1058" s="727"/>
    </row>
    <row r="1059" spans="1:22" ht="15.75" customHeight="1" x14ac:dyDescent="0.3">
      <c r="A1059" s="139" t="s">
        <v>2234</v>
      </c>
      <c r="B1059" s="553">
        <f>+B1032/($D$10*24)</f>
        <v>366.80376344086022</v>
      </c>
      <c r="C1059" s="70">
        <f t="shared" ref="C1059:N1059" si="431">+C1032/($D$10*24)</f>
        <v>0</v>
      </c>
      <c r="D1059" s="70">
        <f t="shared" si="431"/>
        <v>15.810483870967742</v>
      </c>
      <c r="E1059" s="70">
        <f t="shared" si="431"/>
        <v>366.80376344086022</v>
      </c>
      <c r="F1059" s="758">
        <f t="shared" si="431"/>
        <v>382.61424731182797</v>
      </c>
      <c r="G1059" s="70">
        <f t="shared" si="431"/>
        <v>0</v>
      </c>
      <c r="H1059" s="70">
        <f>+H1032/($D$10*24)</f>
        <v>21.280913978494624</v>
      </c>
      <c r="I1059" s="70">
        <f t="shared" si="431"/>
        <v>0</v>
      </c>
      <c r="J1059" s="70">
        <f t="shared" si="431"/>
        <v>21.280913978494624</v>
      </c>
      <c r="K1059" s="70">
        <f t="shared" si="431"/>
        <v>0</v>
      </c>
      <c r="L1059" s="70">
        <f t="shared" si="431"/>
        <v>0</v>
      </c>
      <c r="M1059" s="605">
        <f t="shared" si="431"/>
        <v>361.33333333333331</v>
      </c>
      <c r="N1059" s="599">
        <f t="shared" si="431"/>
        <v>0</v>
      </c>
      <c r="O1059" s="599">
        <f t="shared" si="425"/>
        <v>361.33333333333331</v>
      </c>
      <c r="P1059" s="716">
        <f t="shared" si="426"/>
        <v>0.3</v>
      </c>
      <c r="Q1059" s="599">
        <f t="shared" si="427"/>
        <v>-108.39999999999999</v>
      </c>
      <c r="R1059" s="761">
        <f t="shared" si="428"/>
        <v>252.93333333333334</v>
      </c>
      <c r="S1059" s="612">
        <f>+S1032/($D$10*24)</f>
        <v>108.39999999999996</v>
      </c>
      <c r="T1059" s="70">
        <f t="shared" si="429"/>
        <v>108.39999999999996</v>
      </c>
      <c r="U1059" s="758" t="str">
        <f t="shared" si="430"/>
        <v/>
      </c>
      <c r="V1059" s="727"/>
    </row>
    <row r="1060" spans="1:22" ht="15.75" customHeight="1" x14ac:dyDescent="0.3">
      <c r="A1060" s="139" t="s">
        <v>2235</v>
      </c>
      <c r="B1060" s="553">
        <f>+B1033/($F$10*24)</f>
        <v>376.37916666666666</v>
      </c>
      <c r="C1060" s="70">
        <f t="shared" ref="C1060:N1060" si="432">+C1033/($F$10*24)</f>
        <v>0</v>
      </c>
      <c r="D1060" s="70">
        <f t="shared" si="432"/>
        <v>16.573611111111113</v>
      </c>
      <c r="E1060" s="70">
        <f t="shared" si="432"/>
        <v>376.37916666666666</v>
      </c>
      <c r="F1060" s="758">
        <f t="shared" si="432"/>
        <v>392.95277777777778</v>
      </c>
      <c r="G1060" s="70">
        <f t="shared" si="432"/>
        <v>0</v>
      </c>
      <c r="H1060" s="70">
        <f t="shared" si="432"/>
        <v>22.120833333333334</v>
      </c>
      <c r="I1060" s="70">
        <f t="shared" si="432"/>
        <v>0</v>
      </c>
      <c r="J1060" s="70">
        <f t="shared" si="432"/>
        <v>22.120833333333334</v>
      </c>
      <c r="K1060" s="70">
        <f t="shared" si="432"/>
        <v>0</v>
      </c>
      <c r="L1060" s="70">
        <f t="shared" si="432"/>
        <v>0</v>
      </c>
      <c r="M1060" s="605">
        <f t="shared" si="432"/>
        <v>370.83194444444445</v>
      </c>
      <c r="N1060" s="599">
        <f t="shared" si="432"/>
        <v>-31</v>
      </c>
      <c r="O1060" s="599">
        <f t="shared" si="425"/>
        <v>328.86962365591398</v>
      </c>
      <c r="P1060" s="716">
        <f t="shared" si="426"/>
        <v>0.35</v>
      </c>
      <c r="Q1060" s="599">
        <f t="shared" si="427"/>
        <v>-115.10436827956988</v>
      </c>
      <c r="R1060" s="761">
        <f t="shared" si="428"/>
        <v>213.7652553763441</v>
      </c>
      <c r="S1060" s="612">
        <f>+S1033/($F$10*24)</f>
        <v>149.94118055555555</v>
      </c>
      <c r="T1060" s="70">
        <f t="shared" si="429"/>
        <v>149.94118055555555</v>
      </c>
      <c r="U1060" s="758" t="str">
        <f t="shared" si="430"/>
        <v/>
      </c>
      <c r="V1060" s="727"/>
    </row>
    <row r="1061" spans="1:22" ht="15.75" customHeight="1" x14ac:dyDescent="0.3">
      <c r="A1061" s="139" t="s">
        <v>2236</v>
      </c>
      <c r="B1061" s="553">
        <f>+B1034/($G$10*24)</f>
        <v>391.61155913978496</v>
      </c>
      <c r="C1061" s="70">
        <f t="shared" ref="C1061:N1061" si="433">+C1034/($G$10*24)</f>
        <v>0</v>
      </c>
      <c r="D1061" s="70">
        <f t="shared" si="433"/>
        <v>17.297043010752688</v>
      </c>
      <c r="E1061" s="70">
        <f t="shared" si="433"/>
        <v>391.61155913978496</v>
      </c>
      <c r="F1061" s="758">
        <f t="shared" si="433"/>
        <v>408.90860215053766</v>
      </c>
      <c r="G1061" s="70">
        <f t="shared" si="433"/>
        <v>0</v>
      </c>
      <c r="H1061" s="70">
        <f t="shared" si="433"/>
        <v>19.153225806451612</v>
      </c>
      <c r="I1061" s="70">
        <f t="shared" si="433"/>
        <v>0</v>
      </c>
      <c r="J1061" s="70">
        <f t="shared" si="433"/>
        <v>19.153225806451612</v>
      </c>
      <c r="K1061" s="70">
        <f t="shared" si="433"/>
        <v>0</v>
      </c>
      <c r="L1061" s="70">
        <f t="shared" si="433"/>
        <v>0</v>
      </c>
      <c r="M1061" s="605">
        <f t="shared" si="433"/>
        <v>389.75537634408602</v>
      </c>
      <c r="N1061" s="599">
        <f t="shared" si="433"/>
        <v>0</v>
      </c>
      <c r="O1061" s="599">
        <f t="shared" si="425"/>
        <v>389.75537634408602</v>
      </c>
      <c r="P1061" s="716">
        <f t="shared" si="426"/>
        <v>0.35</v>
      </c>
      <c r="Q1061" s="599">
        <f t="shared" si="427"/>
        <v>-136.4143817204301</v>
      </c>
      <c r="R1061" s="761">
        <f t="shared" si="428"/>
        <v>253.34099462365592</v>
      </c>
      <c r="S1061" s="612">
        <f>+S1034/($G$10*24)</f>
        <v>136.4143817204301</v>
      </c>
      <c r="T1061" s="70">
        <f t="shared" si="429"/>
        <v>136.4143817204301</v>
      </c>
      <c r="U1061" s="758" t="str">
        <f t="shared" si="430"/>
        <v/>
      </c>
      <c r="V1061" s="727"/>
    </row>
    <row r="1062" spans="1:22" ht="15.75" customHeight="1" x14ac:dyDescent="0.3">
      <c r="A1062" s="139" t="s">
        <v>2237</v>
      </c>
      <c r="B1062" s="553">
        <f>+B1035/($H$10*24)</f>
        <v>261.93888888888887</v>
      </c>
      <c r="C1062" s="70">
        <f t="shared" ref="C1062:N1062" si="434">+C1035/($H$10*24)</f>
        <v>0</v>
      </c>
      <c r="D1062" s="70">
        <f t="shared" si="434"/>
        <v>11.061111111111112</v>
      </c>
      <c r="E1062" s="70">
        <f t="shared" si="434"/>
        <v>261.93888888888887</v>
      </c>
      <c r="F1062" s="758">
        <f t="shared" si="434"/>
        <v>273</v>
      </c>
      <c r="G1062" s="70">
        <f t="shared" si="434"/>
        <v>20.447422188995493</v>
      </c>
      <c r="H1062" s="70">
        <f t="shared" si="434"/>
        <v>17.633333333333333</v>
      </c>
      <c r="I1062" s="70">
        <f t="shared" si="434"/>
        <v>0</v>
      </c>
      <c r="J1062" s="70">
        <f t="shared" si="434"/>
        <v>17.633333333333333</v>
      </c>
      <c r="K1062" s="70">
        <f t="shared" si="434"/>
        <v>0</v>
      </c>
      <c r="L1062" s="70">
        <f t="shared" si="434"/>
        <v>0</v>
      </c>
      <c r="M1062" s="605">
        <f t="shared" si="434"/>
        <v>234.91924447767116</v>
      </c>
      <c r="N1062" s="599">
        <f t="shared" si="434"/>
        <v>65.666666666666671</v>
      </c>
      <c r="O1062" s="599">
        <f t="shared" si="425"/>
        <v>290.88959143000432</v>
      </c>
      <c r="P1062" s="716">
        <f t="shared" si="426"/>
        <v>7.4999999999999997E-2</v>
      </c>
      <c r="Q1062" s="599">
        <f t="shared" si="427"/>
        <v>-21.816719357250324</v>
      </c>
      <c r="R1062" s="761">
        <f t="shared" si="428"/>
        <v>269.07287207275397</v>
      </c>
      <c r="S1062" s="612">
        <f>+S1035/($H$10*24)</f>
        <v>-43.12272333084131</v>
      </c>
      <c r="T1062" s="70" t="str">
        <f t="shared" si="429"/>
        <v/>
      </c>
      <c r="U1062" s="758">
        <f t="shared" si="430"/>
        <v>43.12272333084131</v>
      </c>
      <c r="V1062" s="727"/>
    </row>
    <row r="1063" spans="1:22" ht="15.75" customHeight="1" x14ac:dyDescent="0.3">
      <c r="A1063" s="139" t="s">
        <v>1504</v>
      </c>
      <c r="B1063" s="553">
        <f>+B1036/($J$10*24)</f>
        <v>160.93279569892474</v>
      </c>
      <c r="C1063" s="70">
        <f t="shared" ref="C1063:N1063" si="435">+C1036/($J$10*24)</f>
        <v>0</v>
      </c>
      <c r="D1063" s="70">
        <f t="shared" si="435"/>
        <v>6.4516129032258061</v>
      </c>
      <c r="E1063" s="70">
        <f t="shared" si="435"/>
        <v>160.93279569892474</v>
      </c>
      <c r="F1063" s="758">
        <f t="shared" si="435"/>
        <v>167.38440860215053</v>
      </c>
      <c r="G1063" s="70">
        <f t="shared" si="435"/>
        <v>17.555120737608771</v>
      </c>
      <c r="H1063" s="70">
        <f t="shared" si="435"/>
        <v>15.618279569892474</v>
      </c>
      <c r="I1063" s="70">
        <f t="shared" si="435"/>
        <v>0</v>
      </c>
      <c r="J1063" s="70">
        <f t="shared" si="435"/>
        <v>15.618279569892474</v>
      </c>
      <c r="K1063" s="70">
        <f t="shared" si="435"/>
        <v>0</v>
      </c>
      <c r="L1063" s="70">
        <f t="shared" si="435"/>
        <v>0</v>
      </c>
      <c r="M1063" s="605">
        <f t="shared" si="435"/>
        <v>134.2110082946493</v>
      </c>
      <c r="N1063" s="599">
        <f t="shared" si="435"/>
        <v>63.333333333333336</v>
      </c>
      <c r="O1063" s="599">
        <f t="shared" si="425"/>
        <v>197.54434162798262</v>
      </c>
      <c r="P1063" s="716">
        <f t="shared" si="426"/>
        <v>0.05</v>
      </c>
      <c r="Q1063" s="599">
        <f t="shared" si="427"/>
        <v>-9.8772170813991309</v>
      </c>
      <c r="R1063" s="761">
        <f t="shared" si="428"/>
        <v>187.66712454658349</v>
      </c>
      <c r="S1063" s="612">
        <f>+S1036/($J$10*24)</f>
        <v>-53.456116251934205</v>
      </c>
      <c r="T1063" s="70" t="str">
        <f t="shared" si="429"/>
        <v/>
      </c>
      <c r="U1063" s="758">
        <f t="shared" si="430"/>
        <v>53.456116251934205</v>
      </c>
      <c r="V1063" s="727"/>
    </row>
    <row r="1064" spans="1:22" ht="15.75" customHeight="1" x14ac:dyDescent="0.3">
      <c r="A1064" s="139" t="s">
        <v>1505</v>
      </c>
      <c r="B1064" s="553">
        <f>+B1037/($K$10*24)</f>
        <v>163.76478494623655</v>
      </c>
      <c r="C1064" s="70">
        <f t="shared" ref="C1064:N1064" si="436">+C1037/($K$10*24)</f>
        <v>0</v>
      </c>
      <c r="D1064" s="70">
        <f t="shared" si="436"/>
        <v>6.5483870967741939</v>
      </c>
      <c r="E1064" s="70">
        <f t="shared" si="436"/>
        <v>163.76478494623655</v>
      </c>
      <c r="F1064" s="758">
        <f t="shared" si="436"/>
        <v>170.31317204301075</v>
      </c>
      <c r="G1064" s="70">
        <f t="shared" si="436"/>
        <v>11.66489417009471</v>
      </c>
      <c r="H1064" s="70">
        <f t="shared" si="436"/>
        <v>13.76478494623656</v>
      </c>
      <c r="I1064" s="70">
        <f t="shared" si="436"/>
        <v>0</v>
      </c>
      <c r="J1064" s="70">
        <f t="shared" si="436"/>
        <v>13.76478494623656</v>
      </c>
      <c r="K1064" s="70">
        <f t="shared" si="436"/>
        <v>0</v>
      </c>
      <c r="L1064" s="70">
        <f t="shared" si="436"/>
        <v>0</v>
      </c>
      <c r="M1064" s="605">
        <f t="shared" si="436"/>
        <v>144.88349292667948</v>
      </c>
      <c r="N1064" s="599">
        <f t="shared" si="436"/>
        <v>79</v>
      </c>
      <c r="O1064" s="599">
        <f t="shared" si="425"/>
        <v>223.88349292667948</v>
      </c>
      <c r="P1064" s="716">
        <f t="shared" si="426"/>
        <v>0</v>
      </c>
      <c r="Q1064" s="599">
        <f t="shared" si="427"/>
        <v>0</v>
      </c>
      <c r="R1064" s="761">
        <f t="shared" si="428"/>
        <v>223.88349292667948</v>
      </c>
      <c r="S1064" s="612">
        <f>+S1037/($K$10*24)</f>
        <v>-79</v>
      </c>
      <c r="T1064" s="70" t="str">
        <f t="shared" si="429"/>
        <v/>
      </c>
      <c r="U1064" s="758">
        <f t="shared" si="430"/>
        <v>79</v>
      </c>
      <c r="V1064" s="727"/>
    </row>
    <row r="1065" spans="1:22" ht="15.75" customHeight="1" x14ac:dyDescent="0.3">
      <c r="A1065" s="139" t="s">
        <v>1506</v>
      </c>
      <c r="B1065" s="553">
        <f>+B1038/($L$10*24)</f>
        <v>295.92500000000001</v>
      </c>
      <c r="C1065" s="70">
        <f t="shared" ref="C1065:N1065" si="437">+C1038/($L$10*24)</f>
        <v>0</v>
      </c>
      <c r="D1065" s="70">
        <f t="shared" si="437"/>
        <v>12.958333333333334</v>
      </c>
      <c r="E1065" s="70">
        <f t="shared" si="437"/>
        <v>295.92500000000001</v>
      </c>
      <c r="F1065" s="758">
        <f t="shared" si="437"/>
        <v>308.88333333333333</v>
      </c>
      <c r="G1065" s="70">
        <f t="shared" si="437"/>
        <v>0</v>
      </c>
      <c r="H1065" s="70">
        <f t="shared" si="437"/>
        <v>14.206944444444444</v>
      </c>
      <c r="I1065" s="70">
        <f t="shared" si="437"/>
        <v>0</v>
      </c>
      <c r="J1065" s="70">
        <f t="shared" si="437"/>
        <v>14.206944444444444</v>
      </c>
      <c r="K1065" s="70">
        <f t="shared" si="437"/>
        <v>0</v>
      </c>
      <c r="L1065" s="70">
        <f t="shared" si="437"/>
        <v>0</v>
      </c>
      <c r="M1065" s="605">
        <f t="shared" si="437"/>
        <v>294.67638888888888</v>
      </c>
      <c r="N1065" s="599">
        <f t="shared" si="437"/>
        <v>0</v>
      </c>
      <c r="O1065" s="599">
        <f t="shared" si="425"/>
        <v>285.1706989247312</v>
      </c>
      <c r="P1065" s="716">
        <f t="shared" si="426"/>
        <v>0.05</v>
      </c>
      <c r="Q1065" s="599">
        <f t="shared" si="427"/>
        <v>-14.25853494623656</v>
      </c>
      <c r="R1065" s="761">
        <f t="shared" si="428"/>
        <v>270.91216397849462</v>
      </c>
      <c r="S1065" s="612">
        <f>+S1038/($L$10*24)</f>
        <v>14.733819444444453</v>
      </c>
      <c r="T1065" s="70">
        <f t="shared" si="429"/>
        <v>14.733819444444453</v>
      </c>
      <c r="U1065" s="758" t="str">
        <f t="shared" si="430"/>
        <v/>
      </c>
      <c r="V1065" s="727"/>
    </row>
    <row r="1066" spans="1:22" ht="15.75" customHeight="1" x14ac:dyDescent="0.3">
      <c r="A1066" s="139" t="s">
        <v>1507</v>
      </c>
      <c r="B1066" s="553">
        <f>+B1039/($N$10*24)</f>
        <v>360.78629032258067</v>
      </c>
      <c r="C1066" s="70">
        <f t="shared" ref="C1066:N1066" si="438">+C1039/($N$10*24)</f>
        <v>0</v>
      </c>
      <c r="D1066" s="70">
        <f t="shared" si="438"/>
        <v>15.713709677419354</v>
      </c>
      <c r="E1066" s="70">
        <f t="shared" si="438"/>
        <v>360.78629032258067</v>
      </c>
      <c r="F1066" s="758">
        <f t="shared" si="438"/>
        <v>376.5</v>
      </c>
      <c r="G1066" s="70">
        <f t="shared" si="438"/>
        <v>0</v>
      </c>
      <c r="H1066" s="70">
        <f t="shared" si="438"/>
        <v>13.580645161290322</v>
      </c>
      <c r="I1066" s="70">
        <f t="shared" si="438"/>
        <v>0</v>
      </c>
      <c r="J1066" s="70">
        <f t="shared" si="438"/>
        <v>13.580645161290322</v>
      </c>
      <c r="K1066" s="70">
        <f t="shared" si="438"/>
        <v>0</v>
      </c>
      <c r="L1066" s="70">
        <f t="shared" si="438"/>
        <v>0</v>
      </c>
      <c r="M1066" s="605">
        <f t="shared" si="438"/>
        <v>362.91935483870969</v>
      </c>
      <c r="N1066" s="599">
        <f t="shared" si="438"/>
        <v>0</v>
      </c>
      <c r="O1066" s="599">
        <f t="shared" si="425"/>
        <v>362.91935483870969</v>
      </c>
      <c r="P1066" s="716">
        <f t="shared" si="426"/>
        <v>0.2</v>
      </c>
      <c r="Q1066" s="599">
        <f t="shared" si="427"/>
        <v>-72.583870967741944</v>
      </c>
      <c r="R1066" s="761">
        <f t="shared" si="428"/>
        <v>290.33548387096778</v>
      </c>
      <c r="S1066" s="612">
        <f>+S1039/($N$10*24)</f>
        <v>72.58387096774193</v>
      </c>
      <c r="T1066" s="70">
        <f t="shared" si="429"/>
        <v>72.58387096774193</v>
      </c>
      <c r="U1066" s="758" t="str">
        <f t="shared" si="430"/>
        <v/>
      </c>
      <c r="V1066" s="727"/>
    </row>
    <row r="1067" spans="1:22" ht="15.75" customHeight="1" x14ac:dyDescent="0.3">
      <c r="A1067" s="139" t="s">
        <v>1508</v>
      </c>
      <c r="B1067" s="553">
        <f>+B1040/($O$10*24)</f>
        <v>345.32499999999999</v>
      </c>
      <c r="C1067" s="70">
        <f t="shared" ref="C1067:N1067" si="439">+C1040/($O$10*24)</f>
        <v>0</v>
      </c>
      <c r="D1067" s="70">
        <f t="shared" si="439"/>
        <v>14.979166666666666</v>
      </c>
      <c r="E1067" s="70">
        <f t="shared" si="439"/>
        <v>345.32499999999999</v>
      </c>
      <c r="F1067" s="758">
        <f t="shared" si="439"/>
        <v>360.30416666666667</v>
      </c>
      <c r="G1067" s="70">
        <f t="shared" si="439"/>
        <v>0</v>
      </c>
      <c r="H1067" s="70">
        <f t="shared" si="439"/>
        <v>15.036111111111111</v>
      </c>
      <c r="I1067" s="70">
        <f t="shared" si="439"/>
        <v>0</v>
      </c>
      <c r="J1067" s="70">
        <f t="shared" si="439"/>
        <v>15.036111111111111</v>
      </c>
      <c r="K1067" s="70">
        <f t="shared" si="439"/>
        <v>0</v>
      </c>
      <c r="L1067" s="70">
        <f t="shared" si="439"/>
        <v>0</v>
      </c>
      <c r="M1067" s="605">
        <f t="shared" si="439"/>
        <v>345.26805555555558</v>
      </c>
      <c r="N1067" s="599">
        <f t="shared" si="439"/>
        <v>0</v>
      </c>
      <c r="O1067" s="599">
        <f t="shared" si="425"/>
        <v>334.13037634408602</v>
      </c>
      <c r="P1067" s="716">
        <f t="shared" si="426"/>
        <v>0.2</v>
      </c>
      <c r="Q1067" s="599">
        <f t="shared" si="427"/>
        <v>-66.826075268817206</v>
      </c>
      <c r="R1067" s="761">
        <f t="shared" si="428"/>
        <v>267.30430107526882</v>
      </c>
      <c r="S1067" s="612">
        <f>+S1040/($O$10*24)</f>
        <v>69.053611111111124</v>
      </c>
      <c r="T1067" s="70">
        <f t="shared" si="429"/>
        <v>69.053611111111124</v>
      </c>
      <c r="U1067" s="758" t="str">
        <f t="shared" si="430"/>
        <v/>
      </c>
      <c r="V1067" s="727"/>
    </row>
    <row r="1068" spans="1:22" ht="15.75" customHeight="1" thickBot="1" x14ac:dyDescent="0.35">
      <c r="A1068" s="139" t="s">
        <v>1509</v>
      </c>
      <c r="B1068" s="558">
        <f>+B1041/($P$10*24)</f>
        <v>166.25672043010752</v>
      </c>
      <c r="C1068" s="564">
        <f t="shared" ref="C1068:N1068" si="440">+C1041/($P$10*24)</f>
        <v>0</v>
      </c>
      <c r="D1068" s="564">
        <f t="shared" si="440"/>
        <v>7.344086021505376</v>
      </c>
      <c r="E1068" s="564">
        <f t="shared" si="440"/>
        <v>166.25672043010752</v>
      </c>
      <c r="F1068" s="602">
        <f t="shared" si="440"/>
        <v>173.6008064516129</v>
      </c>
      <c r="G1068" s="564">
        <f t="shared" si="440"/>
        <v>0</v>
      </c>
      <c r="H1068" s="564">
        <f t="shared" si="440"/>
        <v>8.9731182795698921</v>
      </c>
      <c r="I1068" s="564">
        <f t="shared" si="440"/>
        <v>0</v>
      </c>
      <c r="J1068" s="564">
        <f t="shared" si="440"/>
        <v>8.9731182795698921</v>
      </c>
      <c r="K1068" s="564">
        <f t="shared" si="440"/>
        <v>0</v>
      </c>
      <c r="L1068" s="564">
        <f t="shared" si="440"/>
        <v>0</v>
      </c>
      <c r="M1068" s="608">
        <f t="shared" si="440"/>
        <v>164.62768817204301</v>
      </c>
      <c r="N1068" s="609">
        <f t="shared" si="440"/>
        <v>0</v>
      </c>
      <c r="O1068" s="631">
        <f t="shared" si="425"/>
        <v>164.62768817204301</v>
      </c>
      <c r="P1068" s="711">
        <f t="shared" si="426"/>
        <v>0.2</v>
      </c>
      <c r="Q1068" s="609">
        <f t="shared" si="427"/>
        <v>-32.925537634408606</v>
      </c>
      <c r="R1068" s="631">
        <f t="shared" si="428"/>
        <v>131.7021505376344</v>
      </c>
      <c r="S1068" s="613">
        <f>+S1041/($P$10*24)</f>
        <v>32.925537634408613</v>
      </c>
      <c r="T1068" s="564">
        <f t="shared" si="429"/>
        <v>32.925537634408613</v>
      </c>
      <c r="U1068" s="602" t="str">
        <f t="shared" si="430"/>
        <v/>
      </c>
      <c r="V1068" s="727"/>
    </row>
    <row r="1069" spans="1:22" ht="15.75" customHeight="1" x14ac:dyDescent="0.3">
      <c r="A1069" s="647"/>
      <c r="V1069" s="727"/>
    </row>
    <row r="1070" spans="1:22" ht="16.5" customHeight="1" thickBot="1" x14ac:dyDescent="0.35">
      <c r="A1070" s="648"/>
      <c r="B1070" s="581"/>
      <c r="C1070" s="581"/>
      <c r="D1070" s="581"/>
      <c r="E1070" s="581"/>
      <c r="F1070" s="581"/>
      <c r="G1070" s="581"/>
      <c r="H1070" s="581"/>
      <c r="I1070" s="581"/>
      <c r="J1070" s="581"/>
      <c r="K1070" s="581"/>
      <c r="L1070" s="581"/>
      <c r="M1070" s="581"/>
      <c r="N1070" s="581"/>
      <c r="O1070" s="581"/>
      <c r="P1070" s="581"/>
      <c r="Q1070" s="581"/>
      <c r="R1070" s="581"/>
      <c r="S1070" s="581"/>
      <c r="T1070" s="581"/>
      <c r="U1070" s="581"/>
      <c r="V1070" s="565"/>
    </row>
    <row r="1071" spans="1:22" ht="15.75" customHeight="1" x14ac:dyDescent="0.3">
      <c r="A1071" s="74"/>
      <c r="B1071" s="67"/>
      <c r="C1071" s="67"/>
      <c r="D1071" s="67"/>
      <c r="E1071" s="67"/>
      <c r="F1071" s="67"/>
      <c r="G1071" s="67"/>
      <c r="H1071" s="67"/>
      <c r="I1071" s="67"/>
      <c r="J1071" s="67"/>
      <c r="K1071" s="67"/>
      <c r="L1071" s="67"/>
      <c r="M1071" s="67"/>
      <c r="N1071" s="67"/>
      <c r="O1071" s="67"/>
      <c r="P1071" s="67"/>
      <c r="Q1071" s="67"/>
      <c r="R1071" s="67"/>
    </row>
    <row r="1072" spans="1:22" ht="15.75" customHeight="1" x14ac:dyDescent="0.3">
      <c r="A1072" s="641"/>
    </row>
    <row r="1073" spans="1:50" ht="15.75" customHeight="1" thickBot="1" x14ac:dyDescent="0.35">
      <c r="A1073" s="641"/>
    </row>
    <row r="1074" spans="1:50" ht="15.75" customHeight="1" x14ac:dyDescent="0.3">
      <c r="A1074" s="763"/>
      <c r="B1074" s="821" t="s">
        <v>2880</v>
      </c>
      <c r="C1074" s="821"/>
      <c r="D1074" s="821"/>
      <c r="E1074" s="821"/>
      <c r="F1074" s="821"/>
      <c r="G1074" s="821"/>
      <c r="H1074" s="821"/>
      <c r="I1074" s="821"/>
      <c r="J1074" s="821"/>
      <c r="K1074" s="821"/>
      <c r="L1074" s="821"/>
      <c r="M1074" s="821"/>
      <c r="N1074" s="821"/>
      <c r="O1074" s="821"/>
      <c r="P1074" s="821"/>
      <c r="Q1074" s="752" t="str">
        <f>+Q1</f>
        <v xml:space="preserve">PRINTED:  </v>
      </c>
      <c r="R1074" s="756">
        <f ca="1">+R1</f>
        <v>44881.729633912037</v>
      </c>
      <c r="S1074" s="702"/>
    </row>
    <row r="1075" spans="1:50" ht="15.75" customHeight="1" x14ac:dyDescent="0.3">
      <c r="A1075" s="640"/>
      <c r="B1075" s="786" t="str">
        <f>+A8</f>
        <v>Revised:  2/5/2020</v>
      </c>
      <c r="C1075" s="786"/>
      <c r="D1075" s="786"/>
      <c r="E1075" s="786"/>
      <c r="F1075" s="786"/>
      <c r="G1075" s="786"/>
      <c r="H1075" s="786"/>
      <c r="I1075" s="786"/>
      <c r="J1075" s="786"/>
      <c r="K1075" s="786"/>
      <c r="L1075" s="786"/>
      <c r="M1075" s="786"/>
      <c r="N1075" s="786"/>
      <c r="O1075" s="786"/>
      <c r="P1075" s="786"/>
      <c r="Q1075" s="67"/>
      <c r="R1075" s="67"/>
      <c r="S1075" s="727"/>
    </row>
    <row r="1076" spans="1:50" ht="16.5" customHeight="1" x14ac:dyDescent="0.3">
      <c r="A1076" s="640"/>
      <c r="B1076" s="786" t="s">
        <v>2878</v>
      </c>
      <c r="C1076" s="786"/>
      <c r="D1076" s="786"/>
      <c r="E1076" s="786"/>
      <c r="F1076" s="786"/>
      <c r="G1076" s="786"/>
      <c r="H1076" s="786"/>
      <c r="I1076" s="786"/>
      <c r="J1076" s="786"/>
      <c r="K1076" s="786"/>
      <c r="L1076" s="786"/>
      <c r="M1076" s="786"/>
      <c r="N1076" s="786"/>
      <c r="O1076" s="786"/>
      <c r="P1076" s="786"/>
      <c r="Q1076" s="67"/>
      <c r="R1076" s="67"/>
      <c r="S1076" s="727"/>
    </row>
    <row r="1077" spans="1:50" ht="15.75" customHeight="1" x14ac:dyDescent="0.3">
      <c r="A1077" s="640"/>
      <c r="B1077" s="67"/>
      <c r="C1077" s="67"/>
      <c r="D1077" s="67"/>
      <c r="E1077" s="67"/>
      <c r="F1077" s="67"/>
      <c r="G1077" s="67"/>
      <c r="H1077" s="67"/>
      <c r="I1077" s="67"/>
      <c r="J1077" s="67"/>
      <c r="K1077" s="67"/>
      <c r="L1077" s="67"/>
      <c r="M1077" s="67"/>
      <c r="N1077" s="67"/>
      <c r="O1077" s="67"/>
      <c r="P1077" s="67"/>
      <c r="Q1077" s="67"/>
      <c r="R1077" s="67"/>
      <c r="S1077" s="727"/>
      <c r="AG1077" s="139"/>
    </row>
    <row r="1078" spans="1:50" ht="15.75" customHeight="1" x14ac:dyDescent="0.3">
      <c r="A1078" s="640"/>
      <c r="B1078" s="810">
        <f>+A5</f>
        <v>2022</v>
      </c>
      <c r="C1078" s="787"/>
      <c r="D1078" s="787"/>
      <c r="E1078" s="787"/>
      <c r="F1078" s="787"/>
      <c r="G1078" s="787"/>
      <c r="H1078" s="787"/>
      <c r="I1078" s="787"/>
      <c r="J1078" s="787"/>
      <c r="K1078" s="787"/>
      <c r="L1078" s="787"/>
      <c r="M1078" s="787"/>
      <c r="N1078" s="787"/>
      <c r="O1078" s="787"/>
      <c r="P1078" s="787"/>
      <c r="Q1078" s="67"/>
      <c r="R1078" s="67"/>
      <c r="S1078" s="727"/>
      <c r="AE1078" t="s">
        <v>2912</v>
      </c>
      <c r="AF1078" t="s">
        <v>2913</v>
      </c>
    </row>
    <row r="1079" spans="1:50" ht="15.75" customHeight="1" thickBot="1" x14ac:dyDescent="0.35">
      <c r="A1079" s="640"/>
      <c r="B1079" s="786" t="s">
        <v>1199</v>
      </c>
      <c r="C1079" s="786"/>
      <c r="D1079" s="786"/>
      <c r="E1079" s="786"/>
      <c r="F1079" s="786"/>
      <c r="G1079" s="786"/>
      <c r="H1079" s="786"/>
      <c r="I1079" s="786"/>
      <c r="J1079" s="786"/>
      <c r="K1079" s="786"/>
      <c r="L1079" s="786"/>
      <c r="M1079" s="786"/>
      <c r="N1079" s="786"/>
      <c r="O1079" s="786"/>
      <c r="P1079" s="786"/>
      <c r="Q1079" s="67"/>
      <c r="R1079" s="67"/>
      <c r="S1079" s="727"/>
      <c r="V1079" t="s">
        <v>3174</v>
      </c>
      <c r="AC1079" t="s">
        <v>2911</v>
      </c>
      <c r="AD1079" s="671" t="s">
        <v>3179</v>
      </c>
      <c r="AE1079">
        <f>DAY(DATE($A$5,MONTH(CONCATENATE(1,"-",AD1079,"-",$A$5))+1,1)-1)</f>
        <v>28</v>
      </c>
      <c r="AI1079" s="134"/>
      <c r="AJ1079" s="134"/>
    </row>
    <row r="1080" spans="1:50" ht="15.75" customHeight="1" x14ac:dyDescent="0.3">
      <c r="A1080" s="640"/>
      <c r="B1080" s="818" t="s">
        <v>2888</v>
      </c>
      <c r="C1080" s="819"/>
      <c r="D1080" s="820"/>
      <c r="E1080" s="70"/>
      <c r="F1080" s="70"/>
      <c r="G1080" s="70"/>
      <c r="H1080" s="70"/>
      <c r="I1080" s="70"/>
      <c r="J1080" s="70"/>
      <c r="K1080" s="70"/>
      <c r="L1080" s="70"/>
      <c r="M1080" s="70"/>
      <c r="N1080" s="70"/>
      <c r="O1080" s="70"/>
      <c r="P1080" s="70"/>
      <c r="Q1080" s="67"/>
      <c r="R1080" s="67"/>
      <c r="S1080" s="675"/>
      <c r="T1080" s="812" t="s">
        <v>3169</v>
      </c>
      <c r="U1080" s="813"/>
      <c r="V1080" s="813" t="s">
        <v>3171</v>
      </c>
      <c r="W1080" s="813"/>
      <c r="X1080" s="719" t="s">
        <v>2463</v>
      </c>
      <c r="Y1080" s="719" t="s">
        <v>3180</v>
      </c>
      <c r="Z1080" s="719" t="s">
        <v>3172</v>
      </c>
    </row>
    <row r="1081" spans="1:50" ht="15.75" customHeight="1" thickBot="1" x14ac:dyDescent="0.35">
      <c r="A1081" s="634" t="s">
        <v>249</v>
      </c>
      <c r="B1081" s="653" t="s">
        <v>2886</v>
      </c>
      <c r="C1081" s="654" t="s">
        <v>2885</v>
      </c>
      <c r="D1081" s="655" t="s">
        <v>2915</v>
      </c>
      <c r="E1081" s="654" t="s">
        <v>1309</v>
      </c>
      <c r="F1081" s="654" t="s">
        <v>1029</v>
      </c>
      <c r="G1081" s="654" t="s">
        <v>1030</v>
      </c>
      <c r="H1081" s="654" t="s">
        <v>2881</v>
      </c>
      <c r="I1081" s="654" t="s">
        <v>2882</v>
      </c>
      <c r="J1081" s="654" t="s">
        <v>285</v>
      </c>
      <c r="K1081" s="654" t="s">
        <v>286</v>
      </c>
      <c r="L1081" s="654" t="s">
        <v>287</v>
      </c>
      <c r="M1081" s="654" t="s">
        <v>288</v>
      </c>
      <c r="N1081" s="654" t="s">
        <v>289</v>
      </c>
      <c r="O1081" s="654" t="s">
        <v>633</v>
      </c>
      <c r="P1081" s="654" t="s">
        <v>634</v>
      </c>
      <c r="Q1081" s="654" t="s">
        <v>1192</v>
      </c>
      <c r="R1081" s="654" t="s">
        <v>524</v>
      </c>
      <c r="S1081" s="655" t="s">
        <v>525</v>
      </c>
      <c r="T1081" s="654" t="s">
        <v>3170</v>
      </c>
      <c r="U1081" s="654" t="s">
        <v>2885</v>
      </c>
      <c r="V1081" s="654" t="s">
        <v>3173</v>
      </c>
      <c r="W1081" s="654" t="s">
        <v>2885</v>
      </c>
      <c r="X1081" s="654" t="s">
        <v>1193</v>
      </c>
      <c r="Y1081" s="654" t="s">
        <v>3181</v>
      </c>
      <c r="Z1081" s="654" t="s">
        <v>3182</v>
      </c>
      <c r="AD1081" s="634" t="s">
        <v>1308</v>
      </c>
      <c r="AE1081" s="634" t="s">
        <v>1309</v>
      </c>
      <c r="AF1081" s="634" t="s">
        <v>1029</v>
      </c>
      <c r="AG1081" s="634" t="s">
        <v>1030</v>
      </c>
      <c r="AH1081" s="634" t="s">
        <v>284</v>
      </c>
      <c r="AI1081" s="634" t="s">
        <v>285</v>
      </c>
      <c r="AJ1081" s="634" t="s">
        <v>286</v>
      </c>
      <c r="AK1081" s="634" t="s">
        <v>287</v>
      </c>
      <c r="AL1081" s="634" t="s">
        <v>288</v>
      </c>
      <c r="AM1081" s="634" t="s">
        <v>289</v>
      </c>
      <c r="AN1081" s="634" t="s">
        <v>633</v>
      </c>
      <c r="AO1081" s="634" t="s">
        <v>634</v>
      </c>
      <c r="AP1081" s="634" t="s">
        <v>1192</v>
      </c>
      <c r="AQ1081" s="634" t="s">
        <v>524</v>
      </c>
      <c r="AR1081" s="634" t="s">
        <v>525</v>
      </c>
      <c r="AS1081" s="634" t="s">
        <v>2356</v>
      </c>
      <c r="AT1081" s="634" t="s">
        <v>1415</v>
      </c>
      <c r="AU1081" s="634" t="s">
        <v>2356</v>
      </c>
      <c r="AW1081" s="669" t="s">
        <v>2925</v>
      </c>
      <c r="AX1081" s="669" t="s">
        <v>2926</v>
      </c>
    </row>
    <row r="1082" spans="1:50" ht="15.75" customHeight="1" x14ac:dyDescent="0.3">
      <c r="A1082" s="642" t="s">
        <v>2843</v>
      </c>
      <c r="B1082" s="642">
        <f>+F1109</f>
        <v>196</v>
      </c>
      <c r="C1082" s="139">
        <f t="shared" ref="B1082:C1093" si="441">+G1109</f>
        <v>0</v>
      </c>
      <c r="D1082" s="764" t="s">
        <v>2916</v>
      </c>
      <c r="E1082" s="139">
        <f>+C1002/$B$10/24</f>
        <v>23.27016129032258</v>
      </c>
      <c r="F1082" s="139">
        <f t="shared" ref="F1082:S1082" si="442">+D1002/$B$10/24</f>
        <v>24.3991935483871</v>
      </c>
      <c r="G1082" s="139">
        <f t="shared" si="442"/>
        <v>41.012096774193544</v>
      </c>
      <c r="H1082" s="139">
        <f t="shared" si="442"/>
        <v>18.643768722777896</v>
      </c>
      <c r="I1082" s="139">
        <f t="shared" si="442"/>
        <v>0</v>
      </c>
      <c r="J1082" s="139">
        <f t="shared" si="442"/>
        <v>6.186827956989247</v>
      </c>
      <c r="K1082" s="139">
        <f t="shared" si="442"/>
        <v>3.4690860215053765</v>
      </c>
      <c r="L1082" s="139">
        <f t="shared" si="442"/>
        <v>5.368279569892473</v>
      </c>
      <c r="M1082" s="139">
        <f t="shared" si="442"/>
        <v>5.553763440860215</v>
      </c>
      <c r="N1082" s="139">
        <f t="shared" si="442"/>
        <v>1.6827956989247312</v>
      </c>
      <c r="O1082" s="139">
        <f t="shared" si="442"/>
        <v>1.98252688172043</v>
      </c>
      <c r="P1082" s="139">
        <f t="shared" si="442"/>
        <v>4.071236559139785</v>
      </c>
      <c r="Q1082" s="139">
        <f t="shared" si="442"/>
        <v>1.0067204301075268</v>
      </c>
      <c r="R1082" s="139">
        <f t="shared" si="442"/>
        <v>1.739247311827957</v>
      </c>
      <c r="S1082" s="764">
        <f t="shared" si="442"/>
        <v>2.381720430107527</v>
      </c>
      <c r="T1082" s="139">
        <f>+B1082+SUM(E1082:S1082)</f>
        <v>336.76742463675635</v>
      </c>
      <c r="U1082" s="139">
        <f t="shared" ref="U1082:U1093" si="443">+C1082+SUM(E1082:S1082)</f>
        <v>140.76742463675637</v>
      </c>
      <c r="V1082" s="139">
        <f>+B1082+SUM(E1082:G1082)</f>
        <v>284.68145161290323</v>
      </c>
      <c r="W1082" s="139">
        <f>+C1082+SUM(E1082:G1082)</f>
        <v>88.681451612903231</v>
      </c>
      <c r="X1082" s="139">
        <f>+H1082</f>
        <v>18.643768722777896</v>
      </c>
      <c r="Y1082" s="139">
        <f>+I1082</f>
        <v>0</v>
      </c>
      <c r="Z1082" s="139">
        <f>+SUM(J1082:S1082)</f>
        <v>33.442204301075265</v>
      </c>
      <c r="AC1082">
        <v>1</v>
      </c>
      <c r="AD1082" s="139">
        <f>IF($AF$1079=1,VLOOKUP($AD$1079,$A$1109:$P$1120,12,FALSE),VLOOKUP($AD$1079,$A$1082:$S$1093,2,FALSE))</f>
        <v>98</v>
      </c>
      <c r="AE1082" s="139">
        <f>VLOOKUP($AD$1079,$A$1082:$S$1093,5,FALSE)</f>
        <v>23.272321428571431</v>
      </c>
      <c r="AF1082" s="139">
        <f>VLOOKUP($AD$1079,$A$1082:$S$1093,6,FALSE)</f>
        <v>24.389880952380953</v>
      </c>
      <c r="AG1082" s="139">
        <f>VLOOKUP($AD$1079,$A$1082:$S$1093,7,FALSE)</f>
        <v>40.8125</v>
      </c>
      <c r="AH1082" s="139">
        <f>VLOOKUP($AD$1079,$A$1082:$S$1093,8,FALSE)</f>
        <v>13.159777453269555</v>
      </c>
      <c r="AI1082" s="139">
        <f>VLOOKUP($AD$1079,$A$1082:$S$1093,10,FALSE)</f>
        <v>8.5208333333333339</v>
      </c>
      <c r="AJ1082" s="139">
        <f>VLOOKUP($AD$1079,$A$1082:$S$1093,11,FALSE)</f>
        <v>5.71875</v>
      </c>
      <c r="AK1082" s="139">
        <f>VLOOKUP($AD$1079,$A$1082:$S$1093,12,FALSE)</f>
        <v>8.875</v>
      </c>
      <c r="AL1082" s="139">
        <f>VLOOKUP($AD$1079,$A$1082:$S$1093,13,FALSE)</f>
        <v>8.9970238095238084</v>
      </c>
      <c r="AM1082" s="139">
        <f>VLOOKUP($AD$1079,$A$1082:$S$1093,14,FALSE)</f>
        <v>2.7440476190476191</v>
      </c>
      <c r="AN1082" s="139">
        <f>VLOOKUP($AD$1079,$A$1082:$S$1093,15,FALSE)</f>
        <v>3.2351190476190474</v>
      </c>
      <c r="AO1082" s="139">
        <f>VLOOKUP($AD$1079,$A$1082:$S$1093,16,FALSE)</f>
        <v>6.6071428571428577</v>
      </c>
      <c r="AP1082" s="139">
        <f>VLOOKUP($AD$1079,$A$1082:$S$1093,17,FALSE)</f>
        <v>1.0669642857142858</v>
      </c>
      <c r="AQ1082" s="139">
        <f>VLOOKUP($AD$1079,$A$1082:$S$1093,18,FALSE)</f>
        <v>1.9255952380952381</v>
      </c>
      <c r="AR1082" s="139">
        <f>VLOOKUP($AD$1079,$A$1082:$S$1093,19,FALSE)</f>
        <v>2.5252976190476191</v>
      </c>
      <c r="AS1082" s="139">
        <f>SUM(AD1082:AR1082)</f>
        <v>249.85025364374573</v>
      </c>
      <c r="AT1082" s="139">
        <f>VLOOKUP($AD$1079,$AC$1002:$AS$1013,17,FALSE)/$AE$1079*(AS1082/$AS$1106)</f>
        <v>19.301652722958714</v>
      </c>
      <c r="AU1082" s="139">
        <f>AS1082+AT1082</f>
        <v>269.15190636670445</v>
      </c>
      <c r="AW1082" s="139">
        <f>VLOOKUP($AD$1079,$A$1030:$O$1043,15,FALSE)/$AE$1079/24</f>
        <v>333.59375</v>
      </c>
      <c r="AX1082" s="139">
        <f>AU1082-AW1082</f>
        <v>-64.441843633295548</v>
      </c>
    </row>
    <row r="1083" spans="1:50" ht="15.75" customHeight="1" x14ac:dyDescent="0.3">
      <c r="A1083" s="642" t="s">
        <v>2091</v>
      </c>
      <c r="B1083" s="642">
        <f t="shared" si="441"/>
        <v>98</v>
      </c>
      <c r="C1083" s="139">
        <f t="shared" si="441"/>
        <v>0</v>
      </c>
      <c r="D1083" s="764" t="s">
        <v>2916</v>
      </c>
      <c r="E1083" s="139">
        <f t="shared" ref="E1083:S1083" si="444">+C1003/$C$10/24</f>
        <v>23.272321428571431</v>
      </c>
      <c r="F1083" s="139">
        <f t="shared" si="444"/>
        <v>24.389880952380953</v>
      </c>
      <c r="G1083" s="139">
        <f t="shared" si="444"/>
        <v>40.8125</v>
      </c>
      <c r="H1083" s="139">
        <f t="shared" si="444"/>
        <v>13.159777453269555</v>
      </c>
      <c r="I1083" s="139">
        <f t="shared" si="444"/>
        <v>0</v>
      </c>
      <c r="J1083" s="139">
        <f t="shared" si="444"/>
        <v>8.5208333333333339</v>
      </c>
      <c r="K1083" s="139">
        <f t="shared" si="444"/>
        <v>5.71875</v>
      </c>
      <c r="L1083" s="139">
        <f t="shared" si="444"/>
        <v>8.875</v>
      </c>
      <c r="M1083" s="139">
        <f t="shared" si="444"/>
        <v>8.9970238095238084</v>
      </c>
      <c r="N1083" s="139">
        <f t="shared" si="444"/>
        <v>2.7440476190476191</v>
      </c>
      <c r="O1083" s="139">
        <f t="shared" si="444"/>
        <v>3.2351190476190474</v>
      </c>
      <c r="P1083" s="139">
        <f t="shared" si="444"/>
        <v>6.6071428571428577</v>
      </c>
      <c r="Q1083" s="139">
        <f t="shared" si="444"/>
        <v>1.0669642857142858</v>
      </c>
      <c r="R1083" s="139">
        <f t="shared" si="444"/>
        <v>1.9255952380952381</v>
      </c>
      <c r="S1083" s="764">
        <f t="shared" si="444"/>
        <v>2.5252976190476191</v>
      </c>
      <c r="T1083" s="139">
        <f t="shared" ref="T1083:T1093" si="445">+B1083+SUM(E1083:S1083)</f>
        <v>249.85025364374573</v>
      </c>
      <c r="U1083" s="139">
        <f t="shared" si="443"/>
        <v>151.85025364374573</v>
      </c>
      <c r="V1083" s="139">
        <f t="shared" ref="V1083:V1093" si="446">+B1083+SUM(E1083:G1083)</f>
        <v>186.47470238095238</v>
      </c>
      <c r="W1083" s="139">
        <f t="shared" ref="W1083:W1093" si="447">+C1083+SUM(E1083:G1083)</f>
        <v>88.47470238095238</v>
      </c>
      <c r="X1083" s="139">
        <f t="shared" ref="X1083:Y1093" si="448">+H1083</f>
        <v>13.159777453269555</v>
      </c>
      <c r="Y1083" s="139">
        <f t="shared" si="448"/>
        <v>0</v>
      </c>
      <c r="Z1083" s="139">
        <f t="shared" ref="Z1083:Z1093" si="449">+SUM(J1083:S1083)</f>
        <v>50.215773809523817</v>
      </c>
      <c r="AC1083">
        <v>2</v>
      </c>
      <c r="AD1083" s="139">
        <f t="shared" ref="AD1083:AD1087" si="450">IF($AF$1079=1,VLOOKUP($AD$1079,$A$1109:$P$1120,12,FALSE),VLOOKUP($AD$1079,$A$1082:$S$1093,2,FALSE))</f>
        <v>98</v>
      </c>
      <c r="AE1083" s="139">
        <f t="shared" ref="AE1083:AE1105" si="451">VLOOKUP($AD$1079,$A$1082:$S$1093,5,FALSE)</f>
        <v>23.272321428571431</v>
      </c>
      <c r="AF1083" s="139">
        <f t="shared" ref="AF1083:AF1105" si="452">VLOOKUP($AD$1079,$A$1082:$S$1093,6,FALSE)</f>
        <v>24.389880952380953</v>
      </c>
      <c r="AG1083" s="139">
        <f t="shared" ref="AG1083:AG1105" si="453">VLOOKUP($AD$1079,$A$1082:$S$1093,7,FALSE)</f>
        <v>40.8125</v>
      </c>
      <c r="AH1083" s="139">
        <f t="shared" ref="AH1083:AH1105" si="454">VLOOKUP($AD$1079,$A$1082:$S$1093,8,FALSE)</f>
        <v>13.159777453269555</v>
      </c>
      <c r="AI1083" s="139">
        <f t="shared" ref="AI1083:AI1105" si="455">VLOOKUP($AD$1079,$A$1082:$S$1093,10,FALSE)</f>
        <v>8.5208333333333339</v>
      </c>
      <c r="AJ1083" s="139">
        <f t="shared" ref="AJ1083:AJ1105" si="456">VLOOKUP($AD$1079,$A$1082:$S$1093,11,FALSE)</f>
        <v>5.71875</v>
      </c>
      <c r="AK1083" s="139">
        <f t="shared" ref="AK1083:AK1105" si="457">VLOOKUP($AD$1079,$A$1082:$S$1093,12,FALSE)</f>
        <v>8.875</v>
      </c>
      <c r="AL1083" s="139">
        <f t="shared" ref="AL1083:AL1105" si="458">VLOOKUP($AD$1079,$A$1082:$S$1093,13,FALSE)</f>
        <v>8.9970238095238084</v>
      </c>
      <c r="AM1083" s="139">
        <f t="shared" ref="AM1083:AM1105" si="459">VLOOKUP($AD$1079,$A$1082:$S$1093,14,FALSE)</f>
        <v>2.7440476190476191</v>
      </c>
      <c r="AN1083" s="139">
        <f t="shared" ref="AN1083:AN1105" si="460">VLOOKUP($AD$1079,$A$1082:$S$1093,15,FALSE)</f>
        <v>3.2351190476190474</v>
      </c>
      <c r="AO1083" s="139">
        <f t="shared" ref="AO1083:AO1105" si="461">VLOOKUP($AD$1079,$A$1082:$S$1093,16,FALSE)</f>
        <v>6.6071428571428577</v>
      </c>
      <c r="AP1083" s="139">
        <f t="shared" ref="AP1083:AP1105" si="462">VLOOKUP($AD$1079,$A$1082:$S$1093,17,FALSE)</f>
        <v>1.0669642857142858</v>
      </c>
      <c r="AQ1083" s="139">
        <f t="shared" ref="AQ1083:AQ1105" si="463">VLOOKUP($AD$1079,$A$1082:$S$1093,18,FALSE)</f>
        <v>1.9255952380952381</v>
      </c>
      <c r="AR1083" s="139">
        <f t="shared" ref="AR1083:AR1105" si="464">VLOOKUP($AD$1079,$A$1082:$S$1093,19,FALSE)</f>
        <v>2.5252976190476191</v>
      </c>
      <c r="AS1083" s="139">
        <f t="shared" ref="AS1083:AS1105" si="465">SUM(AD1083:AR1083)</f>
        <v>249.85025364374573</v>
      </c>
      <c r="AT1083" s="139">
        <f t="shared" ref="AT1083:AT1105" si="466">VLOOKUP($AD$1079,$AC$1002:$AS$1013,17,FALSE)/$AE$1079*(AS1083/$AS$1106)</f>
        <v>19.301652722958714</v>
      </c>
      <c r="AU1083" s="139">
        <f t="shared" ref="AU1083:AU1105" si="467">AS1083+AT1083</f>
        <v>269.15190636670445</v>
      </c>
      <c r="AW1083" s="139">
        <f t="shared" ref="AW1083:AW1105" si="468">VLOOKUP($AD$1079,$A$1030:$O$1043,15,FALSE)/$AE$1079/24</f>
        <v>333.59375</v>
      </c>
      <c r="AX1083" s="139">
        <f t="shared" ref="AX1083:AX1105" si="469">AU1083-AW1083</f>
        <v>-64.441843633295548</v>
      </c>
    </row>
    <row r="1084" spans="1:50" ht="15.75" customHeight="1" x14ac:dyDescent="0.3">
      <c r="A1084" s="642" t="s">
        <v>2234</v>
      </c>
      <c r="B1084" s="642">
        <f t="shared" si="441"/>
        <v>294</v>
      </c>
      <c r="C1084" s="139">
        <f t="shared" si="441"/>
        <v>0</v>
      </c>
      <c r="D1084" s="764" t="s">
        <v>2916</v>
      </c>
      <c r="E1084" s="139">
        <f t="shared" ref="E1084:S1084" si="470">+C1004/$D$10/24</f>
        <v>25.866935483870964</v>
      </c>
      <c r="F1084" s="139">
        <f t="shared" si="470"/>
        <v>27.094086021505376</v>
      </c>
      <c r="G1084" s="139">
        <f t="shared" si="470"/>
        <v>44.758064516129032</v>
      </c>
      <c r="H1084" s="139">
        <f t="shared" si="470"/>
        <v>10.431444605713155</v>
      </c>
      <c r="I1084" s="139">
        <f t="shared" si="470"/>
        <v>0</v>
      </c>
      <c r="J1084" s="139">
        <f t="shared" si="470"/>
        <v>11.088709677419354</v>
      </c>
      <c r="K1084" s="139">
        <f t="shared" si="470"/>
        <v>6.8924731182795691</v>
      </c>
      <c r="L1084" s="139">
        <f t="shared" si="470"/>
        <v>9.7607526881720421</v>
      </c>
      <c r="M1084" s="139">
        <f t="shared" si="470"/>
        <v>9.4462365591397859</v>
      </c>
      <c r="N1084" s="139">
        <f t="shared" si="470"/>
        <v>2.758064516129032</v>
      </c>
      <c r="O1084" s="139">
        <f t="shared" si="470"/>
        <v>3.25</v>
      </c>
      <c r="P1084" s="139">
        <f t="shared" si="470"/>
        <v>6.55510752688172</v>
      </c>
      <c r="Q1084" s="139">
        <f t="shared" si="470"/>
        <v>1.032258064516129</v>
      </c>
      <c r="R1084" s="139">
        <f t="shared" si="470"/>
        <v>2.1733870967741935</v>
      </c>
      <c r="S1084" s="764">
        <f t="shared" si="470"/>
        <v>2.4422043010752685</v>
      </c>
      <c r="T1084" s="139">
        <f t="shared" si="445"/>
        <v>457.54972417560566</v>
      </c>
      <c r="U1084" s="139">
        <f t="shared" si="443"/>
        <v>163.54972417560563</v>
      </c>
      <c r="V1084" s="139">
        <f t="shared" si="446"/>
        <v>391.7190860215054</v>
      </c>
      <c r="W1084" s="139">
        <f t="shared" si="447"/>
        <v>97.719086021505376</v>
      </c>
      <c r="X1084" s="139">
        <f t="shared" si="448"/>
        <v>10.431444605713155</v>
      </c>
      <c r="Y1084" s="139">
        <f t="shared" si="448"/>
        <v>0</v>
      </c>
      <c r="Z1084" s="139">
        <f t="shared" si="449"/>
        <v>55.399193548387096</v>
      </c>
      <c r="AC1084">
        <v>3</v>
      </c>
      <c r="AD1084" s="139">
        <f t="shared" si="450"/>
        <v>98</v>
      </c>
      <c r="AE1084" s="139">
        <f t="shared" si="451"/>
        <v>23.272321428571431</v>
      </c>
      <c r="AF1084" s="139">
        <f t="shared" si="452"/>
        <v>24.389880952380953</v>
      </c>
      <c r="AG1084" s="139">
        <f t="shared" si="453"/>
        <v>40.8125</v>
      </c>
      <c r="AH1084" s="139">
        <f t="shared" si="454"/>
        <v>13.159777453269555</v>
      </c>
      <c r="AI1084" s="139">
        <f t="shared" si="455"/>
        <v>8.5208333333333339</v>
      </c>
      <c r="AJ1084" s="139">
        <f t="shared" si="456"/>
        <v>5.71875</v>
      </c>
      <c r="AK1084" s="139">
        <f t="shared" si="457"/>
        <v>8.875</v>
      </c>
      <c r="AL1084" s="139">
        <f t="shared" si="458"/>
        <v>8.9970238095238084</v>
      </c>
      <c r="AM1084" s="139">
        <f t="shared" si="459"/>
        <v>2.7440476190476191</v>
      </c>
      <c r="AN1084" s="139">
        <f t="shared" si="460"/>
        <v>3.2351190476190474</v>
      </c>
      <c r="AO1084" s="139">
        <f t="shared" si="461"/>
        <v>6.6071428571428577</v>
      </c>
      <c r="AP1084" s="139">
        <f t="shared" si="462"/>
        <v>1.0669642857142858</v>
      </c>
      <c r="AQ1084" s="139">
        <f t="shared" si="463"/>
        <v>1.9255952380952381</v>
      </c>
      <c r="AR1084" s="139">
        <f t="shared" si="464"/>
        <v>2.5252976190476191</v>
      </c>
      <c r="AS1084" s="139">
        <f t="shared" si="465"/>
        <v>249.85025364374573</v>
      </c>
      <c r="AT1084" s="139">
        <f t="shared" si="466"/>
        <v>19.301652722958714</v>
      </c>
      <c r="AU1084" s="139">
        <f t="shared" si="467"/>
        <v>269.15190636670445</v>
      </c>
      <c r="AW1084" s="139">
        <f t="shared" si="468"/>
        <v>333.59375</v>
      </c>
      <c r="AX1084" s="139">
        <f t="shared" si="469"/>
        <v>-64.441843633295548</v>
      </c>
    </row>
    <row r="1085" spans="1:50" ht="15.75" customHeight="1" x14ac:dyDescent="0.3">
      <c r="A1085" s="642" t="s">
        <v>2235</v>
      </c>
      <c r="B1085" s="642">
        <f t="shared" si="441"/>
        <v>294</v>
      </c>
      <c r="C1085" s="139">
        <f t="shared" si="441"/>
        <v>0</v>
      </c>
      <c r="D1085" s="764" t="s">
        <v>2916</v>
      </c>
      <c r="E1085" s="139">
        <f t="shared" ref="E1085:S1085" si="471">+C1005/$F$10/24</f>
        <v>26.730555555555554</v>
      </c>
      <c r="F1085" s="139">
        <f t="shared" si="471"/>
        <v>27.983333333333334</v>
      </c>
      <c r="G1085" s="139">
        <f t="shared" si="471"/>
        <v>45.779166666666669</v>
      </c>
      <c r="H1085" s="139">
        <f t="shared" si="471"/>
        <v>0</v>
      </c>
      <c r="I1085" s="139">
        <f t="shared" si="471"/>
        <v>0</v>
      </c>
      <c r="J1085" s="139">
        <f t="shared" si="471"/>
        <v>14.934722222222222</v>
      </c>
      <c r="K1085" s="139">
        <f t="shared" si="471"/>
        <v>9.0194444444444439</v>
      </c>
      <c r="L1085" s="139">
        <f t="shared" si="471"/>
        <v>10.791666666666666</v>
      </c>
      <c r="M1085" s="139">
        <f t="shared" si="471"/>
        <v>9.9097222222222232</v>
      </c>
      <c r="N1085" s="139">
        <f t="shared" si="471"/>
        <v>3.0472222222222225</v>
      </c>
      <c r="O1085" s="139">
        <f t="shared" si="471"/>
        <v>3.5902777777777781</v>
      </c>
      <c r="P1085" s="139">
        <f t="shared" si="471"/>
        <v>7.1944444444444438</v>
      </c>
      <c r="Q1085" s="139">
        <f t="shared" si="471"/>
        <v>1.3458333333333332</v>
      </c>
      <c r="R1085" s="139">
        <f t="shared" si="471"/>
        <v>2.6958333333333333</v>
      </c>
      <c r="S1085" s="764">
        <f t="shared" si="471"/>
        <v>3.181944444444444</v>
      </c>
      <c r="T1085" s="139">
        <f t="shared" si="445"/>
        <v>460.20416666666665</v>
      </c>
      <c r="U1085" s="139">
        <f t="shared" si="443"/>
        <v>166.20416666666665</v>
      </c>
      <c r="V1085" s="139">
        <f t="shared" si="446"/>
        <v>394.49305555555554</v>
      </c>
      <c r="W1085" s="139">
        <f t="shared" si="447"/>
        <v>100.49305555555556</v>
      </c>
      <c r="X1085" s="139">
        <f t="shared" si="448"/>
        <v>0</v>
      </c>
      <c r="Y1085" s="139">
        <f t="shared" si="448"/>
        <v>0</v>
      </c>
      <c r="Z1085" s="139">
        <f t="shared" si="449"/>
        <v>65.711111111111109</v>
      </c>
      <c r="AC1085">
        <v>4</v>
      </c>
      <c r="AD1085" s="139">
        <f t="shared" si="450"/>
        <v>98</v>
      </c>
      <c r="AE1085" s="139">
        <f t="shared" si="451"/>
        <v>23.272321428571431</v>
      </c>
      <c r="AF1085" s="139">
        <f t="shared" si="452"/>
        <v>24.389880952380953</v>
      </c>
      <c r="AG1085" s="139">
        <f t="shared" si="453"/>
        <v>40.8125</v>
      </c>
      <c r="AH1085" s="139">
        <f t="shared" si="454"/>
        <v>13.159777453269555</v>
      </c>
      <c r="AI1085" s="139">
        <f t="shared" si="455"/>
        <v>8.5208333333333339</v>
      </c>
      <c r="AJ1085" s="139">
        <f t="shared" si="456"/>
        <v>5.71875</v>
      </c>
      <c r="AK1085" s="139">
        <f t="shared" si="457"/>
        <v>8.875</v>
      </c>
      <c r="AL1085" s="139">
        <f t="shared" si="458"/>
        <v>8.9970238095238084</v>
      </c>
      <c r="AM1085" s="139">
        <f t="shared" si="459"/>
        <v>2.7440476190476191</v>
      </c>
      <c r="AN1085" s="139">
        <f t="shared" si="460"/>
        <v>3.2351190476190474</v>
      </c>
      <c r="AO1085" s="139">
        <f t="shared" si="461"/>
        <v>6.6071428571428577</v>
      </c>
      <c r="AP1085" s="139">
        <f t="shared" si="462"/>
        <v>1.0669642857142858</v>
      </c>
      <c r="AQ1085" s="139">
        <f t="shared" si="463"/>
        <v>1.9255952380952381</v>
      </c>
      <c r="AR1085" s="139">
        <f t="shared" si="464"/>
        <v>2.5252976190476191</v>
      </c>
      <c r="AS1085" s="139">
        <f t="shared" si="465"/>
        <v>249.85025364374573</v>
      </c>
      <c r="AT1085" s="139">
        <f t="shared" si="466"/>
        <v>19.301652722958714</v>
      </c>
      <c r="AU1085" s="139">
        <f t="shared" si="467"/>
        <v>269.15190636670445</v>
      </c>
      <c r="AW1085" s="139">
        <f t="shared" si="468"/>
        <v>333.59375</v>
      </c>
      <c r="AX1085" s="139">
        <f t="shared" si="469"/>
        <v>-64.441843633295548</v>
      </c>
    </row>
    <row r="1086" spans="1:50" ht="15.75" customHeight="1" x14ac:dyDescent="0.3">
      <c r="A1086" s="642" t="s">
        <v>2236</v>
      </c>
      <c r="B1086" s="642">
        <f t="shared" si="441"/>
        <v>294</v>
      </c>
      <c r="C1086" s="139">
        <f t="shared" si="441"/>
        <v>0</v>
      </c>
      <c r="D1086" s="764" t="s">
        <v>2916</v>
      </c>
      <c r="E1086" s="139">
        <f t="shared" ref="E1086:S1086" si="472">+C1006/$G$10/24</f>
        <v>28.096774193548388</v>
      </c>
      <c r="F1086" s="139">
        <f t="shared" si="472"/>
        <v>29.408602150537632</v>
      </c>
      <c r="G1086" s="139">
        <f t="shared" si="472"/>
        <v>47.947580645161288</v>
      </c>
      <c r="H1086" s="139">
        <f t="shared" si="472"/>
        <v>0</v>
      </c>
      <c r="I1086" s="139">
        <f t="shared" si="472"/>
        <v>0</v>
      </c>
      <c r="J1086" s="139">
        <f t="shared" si="472"/>
        <v>14.208333333333334</v>
      </c>
      <c r="K1086" s="139">
        <f t="shared" si="472"/>
        <v>7.721774193548387</v>
      </c>
      <c r="L1086" s="139">
        <f t="shared" si="472"/>
        <v>10.716397849462366</v>
      </c>
      <c r="M1086" s="139">
        <f t="shared" si="472"/>
        <v>10.286290322580646</v>
      </c>
      <c r="N1086" s="139">
        <f t="shared" si="472"/>
        <v>3.1438172043010755</v>
      </c>
      <c r="O1086" s="139">
        <f t="shared" si="472"/>
        <v>3.702956989247312</v>
      </c>
      <c r="P1086" s="139">
        <f t="shared" si="472"/>
        <v>7.3844086021505371</v>
      </c>
      <c r="Q1086" s="139">
        <f t="shared" si="472"/>
        <v>1.4879032258064517</v>
      </c>
      <c r="R1086" s="139">
        <f t="shared" si="472"/>
        <v>3.043010752688172</v>
      </c>
      <c r="S1086" s="764">
        <f t="shared" si="472"/>
        <v>3.5201612903225805</v>
      </c>
      <c r="T1086" s="139">
        <f t="shared" si="445"/>
        <v>464.66801075268813</v>
      </c>
      <c r="U1086" s="139">
        <f t="shared" si="443"/>
        <v>170.66801075268813</v>
      </c>
      <c r="V1086" s="139">
        <f t="shared" si="446"/>
        <v>399.4529569892473</v>
      </c>
      <c r="W1086" s="139">
        <f t="shared" si="447"/>
        <v>105.4529569892473</v>
      </c>
      <c r="X1086" s="139">
        <f t="shared" si="448"/>
        <v>0</v>
      </c>
      <c r="Y1086" s="139">
        <f t="shared" si="448"/>
        <v>0</v>
      </c>
      <c r="Z1086" s="139">
        <f t="shared" si="449"/>
        <v>65.215053763440849</v>
      </c>
      <c r="AC1086">
        <v>5</v>
      </c>
      <c r="AD1086" s="139">
        <f t="shared" si="450"/>
        <v>98</v>
      </c>
      <c r="AE1086" s="139">
        <f t="shared" si="451"/>
        <v>23.272321428571431</v>
      </c>
      <c r="AF1086" s="139">
        <f t="shared" si="452"/>
        <v>24.389880952380953</v>
      </c>
      <c r="AG1086" s="139">
        <f t="shared" si="453"/>
        <v>40.8125</v>
      </c>
      <c r="AH1086" s="139">
        <f t="shared" si="454"/>
        <v>13.159777453269555</v>
      </c>
      <c r="AI1086" s="139">
        <f t="shared" si="455"/>
        <v>8.5208333333333339</v>
      </c>
      <c r="AJ1086" s="139">
        <f t="shared" si="456"/>
        <v>5.71875</v>
      </c>
      <c r="AK1086" s="139">
        <f t="shared" si="457"/>
        <v>8.875</v>
      </c>
      <c r="AL1086" s="139">
        <f t="shared" si="458"/>
        <v>8.9970238095238084</v>
      </c>
      <c r="AM1086" s="139">
        <f t="shared" si="459"/>
        <v>2.7440476190476191</v>
      </c>
      <c r="AN1086" s="139">
        <f t="shared" si="460"/>
        <v>3.2351190476190474</v>
      </c>
      <c r="AO1086" s="139">
        <f t="shared" si="461"/>
        <v>6.6071428571428577</v>
      </c>
      <c r="AP1086" s="139">
        <f t="shared" si="462"/>
        <v>1.0669642857142858</v>
      </c>
      <c r="AQ1086" s="139">
        <f t="shared" si="463"/>
        <v>1.9255952380952381</v>
      </c>
      <c r="AR1086" s="139">
        <f t="shared" si="464"/>
        <v>2.5252976190476191</v>
      </c>
      <c r="AS1086" s="139">
        <f t="shared" si="465"/>
        <v>249.85025364374573</v>
      </c>
      <c r="AT1086" s="139">
        <f t="shared" si="466"/>
        <v>19.301652722958714</v>
      </c>
      <c r="AU1086" s="139">
        <f t="shared" si="467"/>
        <v>269.15190636670445</v>
      </c>
      <c r="AW1086" s="139">
        <f t="shared" si="468"/>
        <v>333.59375</v>
      </c>
      <c r="AX1086" s="139">
        <f t="shared" si="469"/>
        <v>-64.441843633295548</v>
      </c>
    </row>
    <row r="1087" spans="1:50" ht="15.75" customHeight="1" x14ac:dyDescent="0.3">
      <c r="A1087" s="642" t="s">
        <v>2237</v>
      </c>
      <c r="B1087" s="642">
        <f t="shared" si="441"/>
        <v>147</v>
      </c>
      <c r="C1087" s="139">
        <f t="shared" si="441"/>
        <v>0</v>
      </c>
      <c r="D1087" s="764" t="str">
        <f>H1114</f>
        <v>n/a</v>
      </c>
      <c r="E1087" s="139">
        <f t="shared" ref="E1087:S1087" si="473">+C1007/$H$10/24</f>
        <v>16.324999999999999</v>
      </c>
      <c r="F1087" s="139">
        <f t="shared" si="473"/>
        <v>17.056944444444444</v>
      </c>
      <c r="G1087" s="139">
        <f t="shared" si="473"/>
        <v>26.590277777777775</v>
      </c>
      <c r="H1087" s="139">
        <f t="shared" si="473"/>
        <v>0</v>
      </c>
      <c r="I1087" s="139">
        <f t="shared" si="473"/>
        <v>-20.447422188995493</v>
      </c>
      <c r="J1087" s="139">
        <f t="shared" si="473"/>
        <v>19.443055555555556</v>
      </c>
      <c r="K1087" s="139">
        <f t="shared" si="473"/>
        <v>9.9569444444444439</v>
      </c>
      <c r="L1087" s="139">
        <f t="shared" si="473"/>
        <v>11.397222222222224</v>
      </c>
      <c r="M1087" s="139">
        <f t="shared" si="473"/>
        <v>10.206944444444444</v>
      </c>
      <c r="N1087" s="139">
        <f t="shared" si="473"/>
        <v>3.1027777777777779</v>
      </c>
      <c r="O1087" s="139">
        <f t="shared" si="473"/>
        <v>3.6541666666666668</v>
      </c>
      <c r="P1087" s="139">
        <f t="shared" si="473"/>
        <v>7.145833333333333</v>
      </c>
      <c r="Q1087" s="139">
        <f t="shared" si="473"/>
        <v>1.55</v>
      </c>
      <c r="R1087" s="139">
        <f t="shared" si="473"/>
        <v>3.2347222222222225</v>
      </c>
      <c r="S1087" s="764">
        <f t="shared" si="473"/>
        <v>3.6666666666666665</v>
      </c>
      <c r="T1087" s="139">
        <f t="shared" si="445"/>
        <v>259.88313336656006</v>
      </c>
      <c r="U1087" s="139">
        <f t="shared" si="443"/>
        <v>112.88313336656006</v>
      </c>
      <c r="V1087" s="139">
        <f t="shared" si="446"/>
        <v>206.97222222222223</v>
      </c>
      <c r="W1087" s="139">
        <f t="shared" si="447"/>
        <v>59.972222222222214</v>
      </c>
      <c r="X1087" s="139">
        <f t="shared" si="448"/>
        <v>0</v>
      </c>
      <c r="Y1087" s="139">
        <f t="shared" si="448"/>
        <v>-20.447422188995493</v>
      </c>
      <c r="Z1087" s="139">
        <f t="shared" si="449"/>
        <v>73.358333333333334</v>
      </c>
      <c r="AC1087">
        <v>6</v>
      </c>
      <c r="AD1087" s="139">
        <f t="shared" si="450"/>
        <v>98</v>
      </c>
      <c r="AE1087" s="139">
        <f t="shared" si="451"/>
        <v>23.272321428571431</v>
      </c>
      <c r="AF1087" s="139">
        <f t="shared" si="452"/>
        <v>24.389880952380953</v>
      </c>
      <c r="AG1087" s="139">
        <f t="shared" si="453"/>
        <v>40.8125</v>
      </c>
      <c r="AH1087" s="139">
        <f t="shared" si="454"/>
        <v>13.159777453269555</v>
      </c>
      <c r="AI1087" s="139">
        <f t="shared" si="455"/>
        <v>8.5208333333333339</v>
      </c>
      <c r="AJ1087" s="139">
        <f t="shared" si="456"/>
        <v>5.71875</v>
      </c>
      <c r="AK1087" s="139">
        <f t="shared" si="457"/>
        <v>8.875</v>
      </c>
      <c r="AL1087" s="139">
        <f t="shared" si="458"/>
        <v>8.9970238095238084</v>
      </c>
      <c r="AM1087" s="139">
        <f t="shared" si="459"/>
        <v>2.7440476190476191</v>
      </c>
      <c r="AN1087" s="139">
        <f t="shared" si="460"/>
        <v>3.2351190476190474</v>
      </c>
      <c r="AO1087" s="139">
        <f t="shared" si="461"/>
        <v>6.6071428571428577</v>
      </c>
      <c r="AP1087" s="139">
        <f t="shared" si="462"/>
        <v>1.0669642857142858</v>
      </c>
      <c r="AQ1087" s="139">
        <f t="shared" si="463"/>
        <v>1.9255952380952381</v>
      </c>
      <c r="AR1087" s="139">
        <f t="shared" si="464"/>
        <v>2.5252976190476191</v>
      </c>
      <c r="AS1087" s="139">
        <f t="shared" si="465"/>
        <v>249.85025364374573</v>
      </c>
      <c r="AT1087" s="139">
        <f t="shared" si="466"/>
        <v>19.301652722958714</v>
      </c>
      <c r="AU1087" s="139">
        <f t="shared" si="467"/>
        <v>269.15190636670445</v>
      </c>
      <c r="AW1087" s="139">
        <f t="shared" si="468"/>
        <v>333.59375</v>
      </c>
      <c r="AX1087" s="139">
        <f t="shared" si="469"/>
        <v>-64.441843633295548</v>
      </c>
    </row>
    <row r="1088" spans="1:50" ht="15.75" customHeight="1" x14ac:dyDescent="0.3">
      <c r="A1088" s="642" t="s">
        <v>1504</v>
      </c>
      <c r="B1088" s="642">
        <f t="shared" si="441"/>
        <v>147</v>
      </c>
      <c r="C1088" s="139">
        <f t="shared" si="441"/>
        <v>0</v>
      </c>
      <c r="D1088" s="764" t="str">
        <f>H1115</f>
        <v>n/a</v>
      </c>
      <c r="E1088" s="139">
        <f t="shared" ref="E1088:S1088" si="474">+C1008/$J$10/24</f>
        <v>8.3427419354838701</v>
      </c>
      <c r="F1088" s="139">
        <f t="shared" si="474"/>
        <v>8.6841397849462361</v>
      </c>
      <c r="G1088" s="139">
        <f t="shared" si="474"/>
        <v>12.450268817204302</v>
      </c>
      <c r="H1088" s="139">
        <f t="shared" si="474"/>
        <v>0</v>
      </c>
      <c r="I1088" s="139">
        <f t="shared" si="474"/>
        <v>-17.555120737608771</v>
      </c>
      <c r="J1088" s="139">
        <f t="shared" si="474"/>
        <v>15.10752688172043</v>
      </c>
      <c r="K1088" s="139">
        <f t="shared" si="474"/>
        <v>9.4018817204301079</v>
      </c>
      <c r="L1088" s="139">
        <f t="shared" si="474"/>
        <v>11.00268817204301</v>
      </c>
      <c r="M1088" s="139">
        <f t="shared" si="474"/>
        <v>9.7177419354838701</v>
      </c>
      <c r="N1088" s="139">
        <f t="shared" si="474"/>
        <v>3.008064516129032</v>
      </c>
      <c r="O1088" s="139">
        <f t="shared" si="474"/>
        <v>3.543010752688172</v>
      </c>
      <c r="P1088" s="139">
        <f t="shared" si="474"/>
        <v>6.7284946236559131</v>
      </c>
      <c r="Q1088" s="139">
        <f t="shared" si="474"/>
        <v>1.2325268817204302</v>
      </c>
      <c r="R1088" s="139">
        <f t="shared" si="474"/>
        <v>2.8266129032258065</v>
      </c>
      <c r="S1088" s="764">
        <f t="shared" si="474"/>
        <v>2.913978494623656</v>
      </c>
      <c r="T1088" s="139">
        <f t="shared" si="445"/>
        <v>224.40455668174607</v>
      </c>
      <c r="U1088" s="139">
        <f t="shared" si="443"/>
        <v>77.404556681746072</v>
      </c>
      <c r="V1088" s="139">
        <f t="shared" si="446"/>
        <v>176.4771505376344</v>
      </c>
      <c r="W1088" s="139">
        <f t="shared" si="447"/>
        <v>29.477150537634408</v>
      </c>
      <c r="X1088" s="139">
        <f t="shared" si="448"/>
        <v>0</v>
      </c>
      <c r="Y1088" s="139">
        <f t="shared" si="448"/>
        <v>-17.555120737608771</v>
      </c>
      <c r="Z1088" s="139">
        <f t="shared" si="449"/>
        <v>65.482526881720432</v>
      </c>
      <c r="AC1088">
        <v>7</v>
      </c>
      <c r="AD1088" s="139">
        <f>IF($AF$1079=1,VLOOKUP($AD$1079,$A$1109:$P$1120,12,FALSE),IF(OR($AD$1079="JAN",$AD$1079="FEB",$AD$1079="NOV",$AD$1079="DEC"),VLOOKUP($AD$1079,$A$1082:$S$1093,2,FALSE),VLOOKUP($AD$1079,$A$1082:$S$1093,3,FALSE)))</f>
        <v>98</v>
      </c>
      <c r="AE1088" s="139">
        <f t="shared" si="451"/>
        <v>23.272321428571431</v>
      </c>
      <c r="AF1088" s="139">
        <f t="shared" si="452"/>
        <v>24.389880952380953</v>
      </c>
      <c r="AG1088" s="139">
        <f t="shared" si="453"/>
        <v>40.8125</v>
      </c>
      <c r="AH1088" s="139">
        <f t="shared" si="454"/>
        <v>13.159777453269555</v>
      </c>
      <c r="AI1088" s="139">
        <f t="shared" si="455"/>
        <v>8.5208333333333339</v>
      </c>
      <c r="AJ1088" s="139">
        <f t="shared" si="456"/>
        <v>5.71875</v>
      </c>
      <c r="AK1088" s="139">
        <f t="shared" si="457"/>
        <v>8.875</v>
      </c>
      <c r="AL1088" s="139">
        <f t="shared" si="458"/>
        <v>8.9970238095238084</v>
      </c>
      <c r="AM1088" s="139">
        <f t="shared" si="459"/>
        <v>2.7440476190476191</v>
      </c>
      <c r="AN1088" s="139">
        <f t="shared" si="460"/>
        <v>3.2351190476190474</v>
      </c>
      <c r="AO1088" s="139">
        <f t="shared" si="461"/>
        <v>6.6071428571428577</v>
      </c>
      <c r="AP1088" s="139">
        <f t="shared" si="462"/>
        <v>1.0669642857142858</v>
      </c>
      <c r="AQ1088" s="139">
        <f t="shared" si="463"/>
        <v>1.9255952380952381</v>
      </c>
      <c r="AR1088" s="139">
        <f t="shared" si="464"/>
        <v>2.5252976190476191</v>
      </c>
      <c r="AS1088" s="139">
        <f t="shared" si="465"/>
        <v>249.85025364374573</v>
      </c>
      <c r="AT1088" s="139">
        <f t="shared" si="466"/>
        <v>19.301652722958714</v>
      </c>
      <c r="AU1088" s="139">
        <f t="shared" si="467"/>
        <v>269.15190636670445</v>
      </c>
      <c r="AW1088" s="139">
        <f t="shared" si="468"/>
        <v>333.59375</v>
      </c>
      <c r="AX1088" s="139">
        <f t="shared" si="469"/>
        <v>-64.441843633295548</v>
      </c>
    </row>
    <row r="1089" spans="1:50" ht="15.75" customHeight="1" x14ac:dyDescent="0.3">
      <c r="A1089" s="642" t="s">
        <v>1505</v>
      </c>
      <c r="B1089" s="642">
        <f t="shared" si="441"/>
        <v>147</v>
      </c>
      <c r="C1089" s="139">
        <f t="shared" si="441"/>
        <v>0</v>
      </c>
      <c r="D1089" s="764" t="str">
        <f>H1116</f>
        <v>n/a</v>
      </c>
      <c r="E1089" s="139">
        <f t="shared" ref="E1089:S1089" si="475">+C1009/$K$10/24</f>
        <v>8.3682795698924739</v>
      </c>
      <c r="F1089" s="139">
        <f t="shared" si="475"/>
        <v>8.7258064516129021</v>
      </c>
      <c r="G1089" s="139">
        <f t="shared" si="475"/>
        <v>12.983870967741936</v>
      </c>
      <c r="H1089" s="139">
        <f t="shared" si="475"/>
        <v>0</v>
      </c>
      <c r="I1089" s="139">
        <f t="shared" si="475"/>
        <v>-11.66489417009471</v>
      </c>
      <c r="J1089" s="139">
        <f t="shared" si="475"/>
        <v>13.365591397849462</v>
      </c>
      <c r="K1089" s="139">
        <f t="shared" si="475"/>
        <v>9.1411290322580641</v>
      </c>
      <c r="L1089" s="139">
        <f t="shared" si="475"/>
        <v>11.098118279569894</v>
      </c>
      <c r="M1089" s="139">
        <f t="shared" si="475"/>
        <v>10.116935483870968</v>
      </c>
      <c r="N1089" s="139">
        <f t="shared" si="475"/>
        <v>3.2661290322580645</v>
      </c>
      <c r="O1089" s="139">
        <f t="shared" si="475"/>
        <v>3.8481182795698925</v>
      </c>
      <c r="P1089" s="139">
        <f t="shared" si="475"/>
        <v>7.543010752688172</v>
      </c>
      <c r="Q1089" s="139">
        <f t="shared" si="475"/>
        <v>1.967741935483871</v>
      </c>
      <c r="R1089" s="139">
        <f t="shared" si="475"/>
        <v>2.6088709677419355</v>
      </c>
      <c r="S1089" s="764">
        <f t="shared" si="475"/>
        <v>4.6559139784946231</v>
      </c>
      <c r="T1089" s="139">
        <f t="shared" si="445"/>
        <v>233.02462195893756</v>
      </c>
      <c r="U1089" s="139">
        <f t="shared" si="443"/>
        <v>86.024621958937558</v>
      </c>
      <c r="V1089" s="139">
        <f t="shared" si="446"/>
        <v>177.0779569892473</v>
      </c>
      <c r="W1089" s="139">
        <f t="shared" si="447"/>
        <v>30.077956989247312</v>
      </c>
      <c r="X1089" s="139">
        <f t="shared" si="448"/>
        <v>0</v>
      </c>
      <c r="Y1089" s="139">
        <f t="shared" si="448"/>
        <v>-11.66489417009471</v>
      </c>
      <c r="Z1089" s="139">
        <f t="shared" si="449"/>
        <v>67.611559139784958</v>
      </c>
      <c r="AC1089">
        <v>8</v>
      </c>
      <c r="AD1089" s="139">
        <f>IF($AF$1079=1,VLOOKUP($AD$1079,$A$1109:$P$1120,12,FALSE),VLOOKUP($AD$1079,$A$1082:$S$1093,3,FALSE))</f>
        <v>0</v>
      </c>
      <c r="AE1089" s="139">
        <f t="shared" si="451"/>
        <v>23.272321428571431</v>
      </c>
      <c r="AF1089" s="139">
        <f t="shared" si="452"/>
        <v>24.389880952380953</v>
      </c>
      <c r="AG1089" s="139">
        <f t="shared" si="453"/>
        <v>40.8125</v>
      </c>
      <c r="AH1089" s="139">
        <f t="shared" si="454"/>
        <v>13.159777453269555</v>
      </c>
      <c r="AI1089" s="139">
        <f t="shared" si="455"/>
        <v>8.5208333333333339</v>
      </c>
      <c r="AJ1089" s="139">
        <f t="shared" si="456"/>
        <v>5.71875</v>
      </c>
      <c r="AK1089" s="139">
        <f t="shared" si="457"/>
        <v>8.875</v>
      </c>
      <c r="AL1089" s="139">
        <f t="shared" si="458"/>
        <v>8.9970238095238084</v>
      </c>
      <c r="AM1089" s="139">
        <f t="shared" si="459"/>
        <v>2.7440476190476191</v>
      </c>
      <c r="AN1089" s="139">
        <f t="shared" si="460"/>
        <v>3.2351190476190474</v>
      </c>
      <c r="AO1089" s="139">
        <f t="shared" si="461"/>
        <v>6.6071428571428577</v>
      </c>
      <c r="AP1089" s="139">
        <f t="shared" si="462"/>
        <v>1.0669642857142858</v>
      </c>
      <c r="AQ1089" s="139">
        <f t="shared" si="463"/>
        <v>1.9255952380952381</v>
      </c>
      <c r="AR1089" s="139">
        <f t="shared" si="464"/>
        <v>2.5252976190476191</v>
      </c>
      <c r="AS1089" s="139">
        <f t="shared" si="465"/>
        <v>151.85025364374573</v>
      </c>
      <c r="AT1089" s="139">
        <f t="shared" si="466"/>
        <v>11.730870067092061</v>
      </c>
      <c r="AU1089" s="139">
        <f t="shared" si="467"/>
        <v>163.5811237108378</v>
      </c>
      <c r="AW1089" s="139">
        <f t="shared" si="468"/>
        <v>333.59375</v>
      </c>
      <c r="AX1089" s="139">
        <f t="shared" si="469"/>
        <v>-170.0126262891622</v>
      </c>
    </row>
    <row r="1090" spans="1:50" ht="15.75" customHeight="1" x14ac:dyDescent="0.3">
      <c r="A1090" s="642" t="s">
        <v>1506</v>
      </c>
      <c r="B1090" s="642">
        <f t="shared" si="441"/>
        <v>245</v>
      </c>
      <c r="C1090" s="139">
        <f t="shared" si="441"/>
        <v>0</v>
      </c>
      <c r="D1090" s="764" t="s">
        <v>2916</v>
      </c>
      <c r="E1090" s="139">
        <f t="shared" ref="E1090:S1090" si="476">+C1010/$L$10/24</f>
        <v>20.630555555555556</v>
      </c>
      <c r="F1090" s="139">
        <f t="shared" si="476"/>
        <v>21.591666666666669</v>
      </c>
      <c r="G1090" s="139">
        <f t="shared" si="476"/>
        <v>35.480555555555554</v>
      </c>
      <c r="H1090" s="139">
        <f t="shared" si="476"/>
        <v>0</v>
      </c>
      <c r="I1090" s="139">
        <f t="shared" si="476"/>
        <v>0</v>
      </c>
      <c r="J1090" s="139">
        <f t="shared" si="476"/>
        <v>9.9611111111111104</v>
      </c>
      <c r="K1090" s="139">
        <f t="shared" si="476"/>
        <v>6.0430555555555552</v>
      </c>
      <c r="L1090" s="139">
        <f t="shared" si="476"/>
        <v>9.0847222222222221</v>
      </c>
      <c r="M1090" s="139">
        <f t="shared" si="476"/>
        <v>8.8055555555555554</v>
      </c>
      <c r="N1090" s="139">
        <f t="shared" si="476"/>
        <v>3.0916666666666668</v>
      </c>
      <c r="O1090" s="139">
        <f t="shared" si="476"/>
        <v>3.6430555555555557</v>
      </c>
      <c r="P1090" s="139">
        <f t="shared" si="476"/>
        <v>7.2263888888888888</v>
      </c>
      <c r="Q1090" s="139">
        <f t="shared" si="476"/>
        <v>1.6763888888888889</v>
      </c>
      <c r="R1090" s="139">
        <f t="shared" si="476"/>
        <v>2.4708333333333332</v>
      </c>
      <c r="S1090" s="764">
        <f t="shared" si="476"/>
        <v>3.9652777777777781</v>
      </c>
      <c r="T1090" s="139">
        <f t="shared" si="445"/>
        <v>378.67083333333335</v>
      </c>
      <c r="U1090" s="139">
        <f t="shared" si="443"/>
        <v>133.67083333333335</v>
      </c>
      <c r="V1090" s="139">
        <f t="shared" si="446"/>
        <v>322.70277777777778</v>
      </c>
      <c r="W1090" s="139">
        <f t="shared" si="447"/>
        <v>77.702777777777783</v>
      </c>
      <c r="X1090" s="139">
        <f t="shared" si="448"/>
        <v>0</v>
      </c>
      <c r="Y1090" s="139">
        <f t="shared" si="448"/>
        <v>0</v>
      </c>
      <c r="Z1090" s="139">
        <f t="shared" si="449"/>
        <v>55.968055555555559</v>
      </c>
      <c r="AC1090">
        <v>9</v>
      </c>
      <c r="AD1090" s="139">
        <f>IF($AF$1079=1,VLOOKUP($AD$1079,$A$1109:$P$1120,12,FALSE),VLOOKUP($AD$1079,$A$1082:$S$1093,3,FALSE))</f>
        <v>0</v>
      </c>
      <c r="AE1090" s="139">
        <f t="shared" si="451"/>
        <v>23.272321428571431</v>
      </c>
      <c r="AF1090" s="139">
        <f t="shared" si="452"/>
        <v>24.389880952380953</v>
      </c>
      <c r="AG1090" s="139">
        <f t="shared" si="453"/>
        <v>40.8125</v>
      </c>
      <c r="AH1090" s="139">
        <f t="shared" si="454"/>
        <v>13.159777453269555</v>
      </c>
      <c r="AI1090" s="139">
        <f t="shared" si="455"/>
        <v>8.5208333333333339</v>
      </c>
      <c r="AJ1090" s="139">
        <f t="shared" si="456"/>
        <v>5.71875</v>
      </c>
      <c r="AK1090" s="139">
        <f t="shared" si="457"/>
        <v>8.875</v>
      </c>
      <c r="AL1090" s="139">
        <f t="shared" si="458"/>
        <v>8.9970238095238084</v>
      </c>
      <c r="AM1090" s="139">
        <f t="shared" si="459"/>
        <v>2.7440476190476191</v>
      </c>
      <c r="AN1090" s="139">
        <f t="shared" si="460"/>
        <v>3.2351190476190474</v>
      </c>
      <c r="AO1090" s="139">
        <f t="shared" si="461"/>
        <v>6.6071428571428577</v>
      </c>
      <c r="AP1090" s="139">
        <f t="shared" si="462"/>
        <v>1.0669642857142858</v>
      </c>
      <c r="AQ1090" s="139">
        <f t="shared" si="463"/>
        <v>1.9255952380952381</v>
      </c>
      <c r="AR1090" s="139">
        <f t="shared" si="464"/>
        <v>2.5252976190476191</v>
      </c>
      <c r="AS1090" s="139">
        <f t="shared" si="465"/>
        <v>151.85025364374573</v>
      </c>
      <c r="AT1090" s="139">
        <f t="shared" si="466"/>
        <v>11.730870067092061</v>
      </c>
      <c r="AU1090" s="139">
        <f t="shared" si="467"/>
        <v>163.5811237108378</v>
      </c>
      <c r="AW1090" s="139">
        <f t="shared" si="468"/>
        <v>333.59375</v>
      </c>
      <c r="AX1090" s="139">
        <f t="shared" si="469"/>
        <v>-170.0126262891622</v>
      </c>
    </row>
    <row r="1091" spans="1:50" ht="15.75" customHeight="1" x14ac:dyDescent="0.3">
      <c r="A1091" s="642" t="s">
        <v>1507</v>
      </c>
      <c r="B1091" s="642">
        <f t="shared" si="441"/>
        <v>245</v>
      </c>
      <c r="C1091" s="139">
        <f t="shared" si="441"/>
        <v>0</v>
      </c>
      <c r="D1091" s="764" t="s">
        <v>2916</v>
      </c>
      <c r="E1091" s="139">
        <f t="shared" ref="E1091:S1091" si="477">+C1011/$N$10/24</f>
        <v>26.778225806451612</v>
      </c>
      <c r="F1091" s="139">
        <f t="shared" si="477"/>
        <v>28.048387096774192</v>
      </c>
      <c r="G1091" s="139">
        <f t="shared" si="477"/>
        <v>46.821236559139784</v>
      </c>
      <c r="H1091" s="139">
        <f t="shared" si="477"/>
        <v>13.833928245462646</v>
      </c>
      <c r="I1091" s="139">
        <f t="shared" si="477"/>
        <v>0</v>
      </c>
      <c r="J1091" s="139">
        <f t="shared" si="477"/>
        <v>7.44489247311828</v>
      </c>
      <c r="K1091" s="139">
        <f t="shared" si="477"/>
        <v>3.543010752688172</v>
      </c>
      <c r="L1091" s="139">
        <f t="shared" si="477"/>
        <v>5.192204301075269</v>
      </c>
      <c r="M1091" s="139">
        <f t="shared" si="477"/>
        <v>5.059139784946237</v>
      </c>
      <c r="N1091" s="139">
        <f t="shared" si="477"/>
        <v>1.7298387096774193</v>
      </c>
      <c r="O1091" s="139">
        <f t="shared" si="477"/>
        <v>2.036290322580645</v>
      </c>
      <c r="P1091" s="139">
        <f t="shared" si="477"/>
        <v>4.10752688172043</v>
      </c>
      <c r="Q1091" s="139">
        <f t="shared" si="477"/>
        <v>1.0698924731182795</v>
      </c>
      <c r="R1091" s="139">
        <f t="shared" si="477"/>
        <v>2.1733870967741935</v>
      </c>
      <c r="S1091" s="764">
        <f t="shared" si="477"/>
        <v>2.5295698924731185</v>
      </c>
      <c r="T1091" s="139">
        <f t="shared" si="445"/>
        <v>395.36753039600029</v>
      </c>
      <c r="U1091" s="139">
        <f t="shared" si="443"/>
        <v>150.36753039600029</v>
      </c>
      <c r="V1091" s="139">
        <f t="shared" si="446"/>
        <v>346.64784946236557</v>
      </c>
      <c r="W1091" s="139">
        <f t="shared" si="447"/>
        <v>101.6478494623656</v>
      </c>
      <c r="X1091" s="139">
        <f t="shared" si="448"/>
        <v>13.833928245462646</v>
      </c>
      <c r="Y1091" s="139">
        <f t="shared" si="448"/>
        <v>0</v>
      </c>
      <c r="Z1091" s="139">
        <f t="shared" si="449"/>
        <v>34.88575268817204</v>
      </c>
      <c r="AC1091">
        <v>10</v>
      </c>
      <c r="AD1091" s="139">
        <f>IF($AF$1079=1,VLOOKUP($AD$1079,$A$1109:$P$1120,12,FALSE),VLOOKUP($AD$1079,$A$1082:$S$1093,3,FALSE))</f>
        <v>0</v>
      </c>
      <c r="AE1091" s="139">
        <f t="shared" si="451"/>
        <v>23.272321428571431</v>
      </c>
      <c r="AF1091" s="139">
        <f t="shared" si="452"/>
        <v>24.389880952380953</v>
      </c>
      <c r="AG1091" s="139">
        <f t="shared" si="453"/>
        <v>40.8125</v>
      </c>
      <c r="AH1091" s="139">
        <f t="shared" si="454"/>
        <v>13.159777453269555</v>
      </c>
      <c r="AI1091" s="139">
        <f t="shared" si="455"/>
        <v>8.5208333333333339</v>
      </c>
      <c r="AJ1091" s="139">
        <f t="shared" si="456"/>
        <v>5.71875</v>
      </c>
      <c r="AK1091" s="139">
        <f t="shared" si="457"/>
        <v>8.875</v>
      </c>
      <c r="AL1091" s="139">
        <f t="shared" si="458"/>
        <v>8.9970238095238084</v>
      </c>
      <c r="AM1091" s="139">
        <f t="shared" si="459"/>
        <v>2.7440476190476191</v>
      </c>
      <c r="AN1091" s="139">
        <f t="shared" si="460"/>
        <v>3.2351190476190474</v>
      </c>
      <c r="AO1091" s="139">
        <f t="shared" si="461"/>
        <v>6.6071428571428577</v>
      </c>
      <c r="AP1091" s="139">
        <f t="shared" si="462"/>
        <v>1.0669642857142858</v>
      </c>
      <c r="AQ1091" s="139">
        <f t="shared" si="463"/>
        <v>1.9255952380952381</v>
      </c>
      <c r="AR1091" s="139">
        <f t="shared" si="464"/>
        <v>2.5252976190476191</v>
      </c>
      <c r="AS1091" s="139">
        <f t="shared" si="465"/>
        <v>151.85025364374573</v>
      </c>
      <c r="AT1091" s="139">
        <f t="shared" si="466"/>
        <v>11.730870067092061</v>
      </c>
      <c r="AU1091" s="139">
        <f t="shared" si="467"/>
        <v>163.5811237108378</v>
      </c>
      <c r="AW1091" s="139">
        <f t="shared" si="468"/>
        <v>333.59375</v>
      </c>
      <c r="AX1091" s="139">
        <f t="shared" si="469"/>
        <v>-170.0126262891622</v>
      </c>
    </row>
    <row r="1092" spans="1:50" ht="15.75" customHeight="1" x14ac:dyDescent="0.3">
      <c r="A1092" s="642" t="s">
        <v>1508</v>
      </c>
      <c r="B1092" s="642">
        <f t="shared" si="441"/>
        <v>245</v>
      </c>
      <c r="C1092" s="139">
        <f t="shared" si="441"/>
        <v>0</v>
      </c>
      <c r="D1092" s="764" t="s">
        <v>2916</v>
      </c>
      <c r="E1092" s="139">
        <f t="shared" ref="E1092:S1092" si="478">+C1012/$O$10/24</f>
        <v>26.405555555555555</v>
      </c>
      <c r="F1092" s="139">
        <f t="shared" si="478"/>
        <v>27.665277777777778</v>
      </c>
      <c r="G1092" s="139">
        <f t="shared" si="478"/>
        <v>46.502777777777773</v>
      </c>
      <c r="H1092" s="139">
        <f t="shared" si="478"/>
        <v>20.600091752781811</v>
      </c>
      <c r="I1092" s="139">
        <f t="shared" si="478"/>
        <v>0</v>
      </c>
      <c r="J1092" s="139">
        <f t="shared" si="478"/>
        <v>5.25</v>
      </c>
      <c r="K1092" s="139">
        <f t="shared" si="478"/>
        <v>1.2541666666666667</v>
      </c>
      <c r="L1092" s="139">
        <f t="shared" si="478"/>
        <v>1.7805555555555557</v>
      </c>
      <c r="M1092" s="139">
        <f t="shared" si="478"/>
        <v>1.7583333333333335</v>
      </c>
      <c r="N1092" s="139">
        <f t="shared" si="478"/>
        <v>0.45833333333333331</v>
      </c>
      <c r="O1092" s="139">
        <f t="shared" si="478"/>
        <v>0.53611111111111109</v>
      </c>
      <c r="P1092" s="139">
        <f t="shared" si="478"/>
        <v>1.0986111111111112</v>
      </c>
      <c r="Q1092" s="139">
        <f t="shared" si="478"/>
        <v>0.75555555555555554</v>
      </c>
      <c r="R1092" s="139">
        <f t="shared" si="478"/>
        <v>2.0222222222222221</v>
      </c>
      <c r="S1092" s="764">
        <f t="shared" si="478"/>
        <v>1.7874999999999999</v>
      </c>
      <c r="T1092" s="139">
        <f t="shared" si="445"/>
        <v>382.87509175278177</v>
      </c>
      <c r="U1092" s="139">
        <f t="shared" si="443"/>
        <v>137.87509175278177</v>
      </c>
      <c r="V1092" s="139">
        <f t="shared" si="446"/>
        <v>345.57361111111112</v>
      </c>
      <c r="W1092" s="139">
        <f t="shared" si="447"/>
        <v>100.57361111111111</v>
      </c>
      <c r="X1092" s="139">
        <f t="shared" si="448"/>
        <v>20.600091752781811</v>
      </c>
      <c r="Y1092" s="139">
        <f t="shared" si="448"/>
        <v>0</v>
      </c>
      <c r="Z1092" s="139">
        <f t="shared" si="449"/>
        <v>16.701388888888889</v>
      </c>
      <c r="AC1092">
        <v>11</v>
      </c>
      <c r="AD1092" s="139">
        <f>IF($AF$1079=1,VLOOKUP($AD$1079,$A$1109:$P$1120,12,FALSE),VLOOKUP($AD$1079,$A$1082:$S$1093,3,FALSE))</f>
        <v>0</v>
      </c>
      <c r="AE1092" s="139">
        <f t="shared" si="451"/>
        <v>23.272321428571431</v>
      </c>
      <c r="AF1092" s="139">
        <f t="shared" si="452"/>
        <v>24.389880952380953</v>
      </c>
      <c r="AG1092" s="139">
        <f t="shared" si="453"/>
        <v>40.8125</v>
      </c>
      <c r="AH1092" s="139">
        <f t="shared" si="454"/>
        <v>13.159777453269555</v>
      </c>
      <c r="AI1092" s="139">
        <f t="shared" si="455"/>
        <v>8.5208333333333339</v>
      </c>
      <c r="AJ1092" s="139">
        <f t="shared" si="456"/>
        <v>5.71875</v>
      </c>
      <c r="AK1092" s="139">
        <f t="shared" si="457"/>
        <v>8.875</v>
      </c>
      <c r="AL1092" s="139">
        <f t="shared" si="458"/>
        <v>8.9970238095238084</v>
      </c>
      <c r="AM1092" s="139">
        <f t="shared" si="459"/>
        <v>2.7440476190476191</v>
      </c>
      <c r="AN1092" s="139">
        <f t="shared" si="460"/>
        <v>3.2351190476190474</v>
      </c>
      <c r="AO1092" s="139">
        <f t="shared" si="461"/>
        <v>6.6071428571428577</v>
      </c>
      <c r="AP1092" s="139">
        <f t="shared" si="462"/>
        <v>1.0669642857142858</v>
      </c>
      <c r="AQ1092" s="139">
        <f t="shared" si="463"/>
        <v>1.9255952380952381</v>
      </c>
      <c r="AR1092" s="139">
        <f t="shared" si="464"/>
        <v>2.5252976190476191</v>
      </c>
      <c r="AS1092" s="139">
        <f t="shared" si="465"/>
        <v>151.85025364374573</v>
      </c>
      <c r="AT1092" s="139">
        <f t="shared" si="466"/>
        <v>11.730870067092061</v>
      </c>
      <c r="AU1092" s="139">
        <f t="shared" si="467"/>
        <v>163.5811237108378</v>
      </c>
      <c r="AW1092" s="139">
        <f t="shared" si="468"/>
        <v>333.59375</v>
      </c>
      <c r="AX1092" s="139">
        <f t="shared" si="469"/>
        <v>-170.0126262891622</v>
      </c>
    </row>
    <row r="1093" spans="1:50" ht="15.75" customHeight="1" thickBot="1" x14ac:dyDescent="0.35">
      <c r="A1093" s="644" t="s">
        <v>1509</v>
      </c>
      <c r="B1093" s="644">
        <f t="shared" si="441"/>
        <v>245</v>
      </c>
      <c r="C1093" s="645">
        <f t="shared" si="441"/>
        <v>0</v>
      </c>
      <c r="D1093" s="646" t="s">
        <v>2916</v>
      </c>
      <c r="E1093" s="645">
        <f t="shared" ref="E1093:S1093" si="479">+C1013/$P$10/24</f>
        <v>12.845430107526882</v>
      </c>
      <c r="F1093" s="645">
        <f t="shared" si="479"/>
        <v>13.446236559139784</v>
      </c>
      <c r="G1093" s="645">
        <f t="shared" si="479"/>
        <v>22.262096774193548</v>
      </c>
      <c r="H1093" s="645">
        <f t="shared" si="479"/>
        <v>6.2277087662085187</v>
      </c>
      <c r="I1093" s="645">
        <f t="shared" si="479"/>
        <v>0</v>
      </c>
      <c r="J1093" s="645">
        <f t="shared" si="479"/>
        <v>3.099462365591398</v>
      </c>
      <c r="K1093" s="645">
        <f t="shared" si="479"/>
        <v>0.74596774193548387</v>
      </c>
      <c r="L1093" s="645">
        <f t="shared" si="479"/>
        <v>1.043010752688172</v>
      </c>
      <c r="M1093" s="645">
        <f t="shared" si="479"/>
        <v>1.0201612903225807</v>
      </c>
      <c r="N1093" s="645">
        <f t="shared" si="479"/>
        <v>0.38709677419354843</v>
      </c>
      <c r="O1093" s="645">
        <f t="shared" si="479"/>
        <v>0.45430107526881719</v>
      </c>
      <c r="P1093" s="645">
        <f t="shared" si="479"/>
        <v>0.79166666666666663</v>
      </c>
      <c r="Q1093" s="645">
        <f t="shared" si="479"/>
        <v>0.35618279569892475</v>
      </c>
      <c r="R1093" s="645">
        <f t="shared" si="479"/>
        <v>1.739247311827957</v>
      </c>
      <c r="S1093" s="646">
        <f t="shared" si="479"/>
        <v>0.84139784946236562</v>
      </c>
      <c r="T1093" s="139">
        <f t="shared" si="445"/>
        <v>310.25996683072464</v>
      </c>
      <c r="U1093" s="139">
        <f t="shared" si="443"/>
        <v>65.25996683072465</v>
      </c>
      <c r="V1093" s="139">
        <f t="shared" si="446"/>
        <v>293.55376344086022</v>
      </c>
      <c r="W1093" s="139">
        <f t="shared" si="447"/>
        <v>48.553763440860209</v>
      </c>
      <c r="X1093" s="139">
        <f t="shared" si="448"/>
        <v>6.2277087662085187</v>
      </c>
      <c r="Y1093" s="139">
        <f t="shared" si="448"/>
        <v>0</v>
      </c>
      <c r="Z1093" s="139">
        <f t="shared" si="449"/>
        <v>10.478494623655914</v>
      </c>
      <c r="AC1093">
        <v>12</v>
      </c>
      <c r="AD1093" s="139">
        <f>IF($AF$1079=1,VLOOKUP($AD$1079,$A$1109:$P$1120,12,FALSE),VLOOKUP($AD$1079,$A$1082:$S$1093,3,FALSE))</f>
        <v>0</v>
      </c>
      <c r="AE1093" s="139">
        <f t="shared" si="451"/>
        <v>23.272321428571431</v>
      </c>
      <c r="AF1093" s="139">
        <f t="shared" si="452"/>
        <v>24.389880952380953</v>
      </c>
      <c r="AG1093" s="139">
        <f t="shared" si="453"/>
        <v>40.8125</v>
      </c>
      <c r="AH1093" s="139">
        <f t="shared" si="454"/>
        <v>13.159777453269555</v>
      </c>
      <c r="AI1093" s="139">
        <f t="shared" si="455"/>
        <v>8.5208333333333339</v>
      </c>
      <c r="AJ1093" s="139">
        <f t="shared" si="456"/>
        <v>5.71875</v>
      </c>
      <c r="AK1093" s="139">
        <f t="shared" si="457"/>
        <v>8.875</v>
      </c>
      <c r="AL1093" s="139">
        <f t="shared" si="458"/>
        <v>8.9970238095238084</v>
      </c>
      <c r="AM1093" s="139">
        <f t="shared" si="459"/>
        <v>2.7440476190476191</v>
      </c>
      <c r="AN1093" s="139">
        <f t="shared" si="460"/>
        <v>3.2351190476190474</v>
      </c>
      <c r="AO1093" s="139">
        <f t="shared" si="461"/>
        <v>6.6071428571428577</v>
      </c>
      <c r="AP1093" s="139">
        <f t="shared" si="462"/>
        <v>1.0669642857142858</v>
      </c>
      <c r="AQ1093" s="139">
        <f t="shared" si="463"/>
        <v>1.9255952380952381</v>
      </c>
      <c r="AR1093" s="139">
        <f t="shared" si="464"/>
        <v>2.5252976190476191</v>
      </c>
      <c r="AS1093" s="139">
        <f t="shared" si="465"/>
        <v>151.85025364374573</v>
      </c>
      <c r="AT1093" s="139">
        <f t="shared" si="466"/>
        <v>11.730870067092061</v>
      </c>
      <c r="AU1093" s="139">
        <f t="shared" si="467"/>
        <v>163.5811237108378</v>
      </c>
      <c r="AW1093" s="139">
        <f t="shared" si="468"/>
        <v>333.59375</v>
      </c>
      <c r="AX1093" s="139">
        <f t="shared" si="469"/>
        <v>-170.0126262891622</v>
      </c>
    </row>
    <row r="1094" spans="1:50" ht="15.75" customHeight="1" x14ac:dyDescent="0.3">
      <c r="A1094" s="641"/>
      <c r="AC1094">
        <v>13</v>
      </c>
      <c r="AD1094" s="139">
        <f>IF($AF$1079=1,VLOOKUP($AD$1079,$A$1109:$P$1120,12,FALSE),IF(OR($AD$1079="JUN",$AD$1079="JUL",$AD$1079="AUG"),VLOOKUP($AD$1079,$A$1082:$S$1093,4,FALSE),VLOOKUP($AD$1079,$A$1082:$S$1093,3,FALSE)))</f>
        <v>0</v>
      </c>
      <c r="AE1094" s="139">
        <f t="shared" si="451"/>
        <v>23.272321428571431</v>
      </c>
      <c r="AF1094" s="139">
        <f t="shared" si="452"/>
        <v>24.389880952380953</v>
      </c>
      <c r="AG1094" s="139">
        <f t="shared" si="453"/>
        <v>40.8125</v>
      </c>
      <c r="AH1094" s="139">
        <f t="shared" si="454"/>
        <v>13.159777453269555</v>
      </c>
      <c r="AI1094" s="139">
        <f t="shared" si="455"/>
        <v>8.5208333333333339</v>
      </c>
      <c r="AJ1094" s="139">
        <f t="shared" si="456"/>
        <v>5.71875</v>
      </c>
      <c r="AK1094" s="139">
        <f t="shared" si="457"/>
        <v>8.875</v>
      </c>
      <c r="AL1094" s="139">
        <f t="shared" si="458"/>
        <v>8.9970238095238084</v>
      </c>
      <c r="AM1094" s="139">
        <f t="shared" si="459"/>
        <v>2.7440476190476191</v>
      </c>
      <c r="AN1094" s="139">
        <f t="shared" si="460"/>
        <v>3.2351190476190474</v>
      </c>
      <c r="AO1094" s="139">
        <f t="shared" si="461"/>
        <v>6.6071428571428577</v>
      </c>
      <c r="AP1094" s="139">
        <f t="shared" si="462"/>
        <v>1.0669642857142858</v>
      </c>
      <c r="AQ1094" s="139">
        <f t="shared" si="463"/>
        <v>1.9255952380952381</v>
      </c>
      <c r="AR1094" s="139">
        <f t="shared" si="464"/>
        <v>2.5252976190476191</v>
      </c>
      <c r="AS1094" s="139">
        <f t="shared" si="465"/>
        <v>151.85025364374573</v>
      </c>
      <c r="AT1094" s="139">
        <f t="shared" si="466"/>
        <v>11.730870067092061</v>
      </c>
      <c r="AU1094" s="139">
        <f t="shared" si="467"/>
        <v>163.5811237108378</v>
      </c>
      <c r="AW1094" s="139">
        <f t="shared" si="468"/>
        <v>333.59375</v>
      </c>
      <c r="AX1094" s="139">
        <f t="shared" si="469"/>
        <v>-170.0126262891622</v>
      </c>
    </row>
    <row r="1095" spans="1:50" ht="27.75" customHeight="1" x14ac:dyDescent="0.3">
      <c r="A1095" s="641" t="s">
        <v>2889</v>
      </c>
      <c r="AC1095">
        <v>14</v>
      </c>
      <c r="AD1095" s="139">
        <f t="shared" ref="AD1095:AD1101" si="480">IF($AF$1079=1,VLOOKUP($AD$1079,$A$1109:$P$1120,12,FALSE),IF(OR($AD$1079="JUN",$AD$1079="JUL",$AD$1079="AUG"),VLOOKUP($AD$1079,$A$1082:$S$1093,4,FALSE),VLOOKUP($AD$1079,$A$1082:$S$1093,3,FALSE)))</f>
        <v>0</v>
      </c>
      <c r="AE1095" s="139">
        <f t="shared" si="451"/>
        <v>23.272321428571431</v>
      </c>
      <c r="AF1095" s="139">
        <f t="shared" si="452"/>
        <v>24.389880952380953</v>
      </c>
      <c r="AG1095" s="139">
        <f t="shared" si="453"/>
        <v>40.8125</v>
      </c>
      <c r="AH1095" s="139">
        <f t="shared" si="454"/>
        <v>13.159777453269555</v>
      </c>
      <c r="AI1095" s="139">
        <f t="shared" si="455"/>
        <v>8.5208333333333339</v>
      </c>
      <c r="AJ1095" s="139">
        <f t="shared" si="456"/>
        <v>5.71875</v>
      </c>
      <c r="AK1095" s="139">
        <f t="shared" si="457"/>
        <v>8.875</v>
      </c>
      <c r="AL1095" s="139">
        <f t="shared" si="458"/>
        <v>8.9970238095238084</v>
      </c>
      <c r="AM1095" s="139">
        <f t="shared" si="459"/>
        <v>2.7440476190476191</v>
      </c>
      <c r="AN1095" s="139">
        <f t="shared" si="460"/>
        <v>3.2351190476190474</v>
      </c>
      <c r="AO1095" s="139">
        <f t="shared" si="461"/>
        <v>6.6071428571428577</v>
      </c>
      <c r="AP1095" s="139">
        <f t="shared" si="462"/>
        <v>1.0669642857142858</v>
      </c>
      <c r="AQ1095" s="139">
        <f t="shared" si="463"/>
        <v>1.9255952380952381</v>
      </c>
      <c r="AR1095" s="139">
        <f t="shared" si="464"/>
        <v>2.5252976190476191</v>
      </c>
      <c r="AS1095" s="139">
        <f t="shared" si="465"/>
        <v>151.85025364374573</v>
      </c>
      <c r="AT1095" s="139">
        <f t="shared" si="466"/>
        <v>11.730870067092061</v>
      </c>
      <c r="AU1095" s="139">
        <f t="shared" si="467"/>
        <v>163.5811237108378</v>
      </c>
      <c r="AW1095" s="139">
        <f t="shared" si="468"/>
        <v>333.59375</v>
      </c>
      <c r="AX1095" s="139">
        <f t="shared" si="469"/>
        <v>-170.0126262891622</v>
      </c>
    </row>
    <row r="1096" spans="1:50" ht="15.75" customHeight="1" x14ac:dyDescent="0.3">
      <c r="A1096" s="641"/>
      <c r="AC1096">
        <v>15</v>
      </c>
      <c r="AD1096" s="139">
        <f t="shared" si="480"/>
        <v>0</v>
      </c>
      <c r="AE1096" s="139">
        <f t="shared" si="451"/>
        <v>23.272321428571431</v>
      </c>
      <c r="AF1096" s="139">
        <f t="shared" si="452"/>
        <v>24.389880952380953</v>
      </c>
      <c r="AG1096" s="139">
        <f t="shared" si="453"/>
        <v>40.8125</v>
      </c>
      <c r="AH1096" s="139">
        <f t="shared" si="454"/>
        <v>13.159777453269555</v>
      </c>
      <c r="AI1096" s="139">
        <f t="shared" si="455"/>
        <v>8.5208333333333339</v>
      </c>
      <c r="AJ1096" s="139">
        <f t="shared" si="456"/>
        <v>5.71875</v>
      </c>
      <c r="AK1096" s="139">
        <f t="shared" si="457"/>
        <v>8.875</v>
      </c>
      <c r="AL1096" s="139">
        <f t="shared" si="458"/>
        <v>8.9970238095238084</v>
      </c>
      <c r="AM1096" s="139">
        <f t="shared" si="459"/>
        <v>2.7440476190476191</v>
      </c>
      <c r="AN1096" s="139">
        <f t="shared" si="460"/>
        <v>3.2351190476190474</v>
      </c>
      <c r="AO1096" s="139">
        <f t="shared" si="461"/>
        <v>6.6071428571428577</v>
      </c>
      <c r="AP1096" s="139">
        <f t="shared" si="462"/>
        <v>1.0669642857142858</v>
      </c>
      <c r="AQ1096" s="139">
        <f t="shared" si="463"/>
        <v>1.9255952380952381</v>
      </c>
      <c r="AR1096" s="139">
        <f t="shared" si="464"/>
        <v>2.5252976190476191</v>
      </c>
      <c r="AS1096" s="139">
        <f t="shared" si="465"/>
        <v>151.85025364374573</v>
      </c>
      <c r="AT1096" s="139">
        <f t="shared" si="466"/>
        <v>11.730870067092061</v>
      </c>
      <c r="AU1096" s="139">
        <f t="shared" si="467"/>
        <v>163.5811237108378</v>
      </c>
      <c r="AW1096" s="139">
        <f t="shared" si="468"/>
        <v>333.59375</v>
      </c>
      <c r="AX1096" s="139">
        <f t="shared" si="469"/>
        <v>-170.0126262891622</v>
      </c>
    </row>
    <row r="1097" spans="1:50" ht="15.75" customHeight="1" x14ac:dyDescent="0.3">
      <c r="A1097" s="641"/>
      <c r="AC1097">
        <v>16</v>
      </c>
      <c r="AD1097" s="139">
        <f t="shared" si="480"/>
        <v>0</v>
      </c>
      <c r="AE1097" s="139">
        <f t="shared" si="451"/>
        <v>23.272321428571431</v>
      </c>
      <c r="AF1097" s="139">
        <f t="shared" si="452"/>
        <v>24.389880952380953</v>
      </c>
      <c r="AG1097" s="139">
        <f t="shared" si="453"/>
        <v>40.8125</v>
      </c>
      <c r="AH1097" s="139">
        <f t="shared" si="454"/>
        <v>13.159777453269555</v>
      </c>
      <c r="AI1097" s="139">
        <f t="shared" si="455"/>
        <v>8.5208333333333339</v>
      </c>
      <c r="AJ1097" s="139">
        <f t="shared" si="456"/>
        <v>5.71875</v>
      </c>
      <c r="AK1097" s="139">
        <f t="shared" si="457"/>
        <v>8.875</v>
      </c>
      <c r="AL1097" s="139">
        <f t="shared" si="458"/>
        <v>8.9970238095238084</v>
      </c>
      <c r="AM1097" s="139">
        <f t="shared" si="459"/>
        <v>2.7440476190476191</v>
      </c>
      <c r="AN1097" s="139">
        <f t="shared" si="460"/>
        <v>3.2351190476190474</v>
      </c>
      <c r="AO1097" s="139">
        <f t="shared" si="461"/>
        <v>6.6071428571428577</v>
      </c>
      <c r="AP1097" s="139">
        <f t="shared" si="462"/>
        <v>1.0669642857142858</v>
      </c>
      <c r="AQ1097" s="139">
        <f t="shared" si="463"/>
        <v>1.9255952380952381</v>
      </c>
      <c r="AR1097" s="139">
        <f t="shared" si="464"/>
        <v>2.5252976190476191</v>
      </c>
      <c r="AS1097" s="139">
        <f t="shared" si="465"/>
        <v>151.85025364374573</v>
      </c>
      <c r="AT1097" s="139">
        <f t="shared" si="466"/>
        <v>11.730870067092061</v>
      </c>
      <c r="AU1097" s="139">
        <f t="shared" si="467"/>
        <v>163.5811237108378</v>
      </c>
      <c r="AW1097" s="139">
        <f t="shared" si="468"/>
        <v>333.59375</v>
      </c>
      <c r="AX1097" s="139">
        <f t="shared" si="469"/>
        <v>-170.0126262891622</v>
      </c>
    </row>
    <row r="1098" spans="1:50" ht="15.75" customHeight="1" thickBot="1" x14ac:dyDescent="0.35">
      <c r="A1098" s="641"/>
      <c r="AC1098">
        <v>17</v>
      </c>
      <c r="AD1098" s="139">
        <f t="shared" si="480"/>
        <v>0</v>
      </c>
      <c r="AE1098" s="139">
        <f t="shared" si="451"/>
        <v>23.272321428571431</v>
      </c>
      <c r="AF1098" s="139">
        <f t="shared" si="452"/>
        <v>24.389880952380953</v>
      </c>
      <c r="AG1098" s="139">
        <f t="shared" si="453"/>
        <v>40.8125</v>
      </c>
      <c r="AH1098" s="139">
        <f t="shared" si="454"/>
        <v>13.159777453269555</v>
      </c>
      <c r="AI1098" s="139">
        <f t="shared" si="455"/>
        <v>8.5208333333333339</v>
      </c>
      <c r="AJ1098" s="139">
        <f t="shared" si="456"/>
        <v>5.71875</v>
      </c>
      <c r="AK1098" s="139">
        <f t="shared" si="457"/>
        <v>8.875</v>
      </c>
      <c r="AL1098" s="139">
        <f t="shared" si="458"/>
        <v>8.9970238095238084</v>
      </c>
      <c r="AM1098" s="139">
        <f t="shared" si="459"/>
        <v>2.7440476190476191</v>
      </c>
      <c r="AN1098" s="139">
        <f t="shared" si="460"/>
        <v>3.2351190476190474</v>
      </c>
      <c r="AO1098" s="139">
        <f t="shared" si="461"/>
        <v>6.6071428571428577</v>
      </c>
      <c r="AP1098" s="139">
        <f t="shared" si="462"/>
        <v>1.0669642857142858</v>
      </c>
      <c r="AQ1098" s="139">
        <f t="shared" si="463"/>
        <v>1.9255952380952381</v>
      </c>
      <c r="AR1098" s="139">
        <f t="shared" si="464"/>
        <v>2.5252976190476191</v>
      </c>
      <c r="AS1098" s="139">
        <f t="shared" si="465"/>
        <v>151.85025364374573</v>
      </c>
      <c r="AT1098" s="139">
        <f t="shared" si="466"/>
        <v>11.730870067092061</v>
      </c>
      <c r="AU1098" s="139">
        <f t="shared" si="467"/>
        <v>163.5811237108378</v>
      </c>
      <c r="AW1098" s="139">
        <f t="shared" si="468"/>
        <v>333.59375</v>
      </c>
      <c r="AX1098" s="139">
        <f t="shared" si="469"/>
        <v>-170.0126262891622</v>
      </c>
    </row>
    <row r="1099" spans="1:50" ht="15.75" customHeight="1" x14ac:dyDescent="0.3">
      <c r="A1099" s="765"/>
      <c r="B1099" s="821" t="s">
        <v>2887</v>
      </c>
      <c r="C1099" s="821"/>
      <c r="D1099" s="821"/>
      <c r="E1099" s="821"/>
      <c r="F1099" s="821"/>
      <c r="G1099" s="821"/>
      <c r="H1099" s="821"/>
      <c r="I1099" s="821"/>
      <c r="J1099" s="821"/>
      <c r="K1099" s="821"/>
      <c r="L1099" s="821"/>
      <c r="M1099" s="821"/>
      <c r="N1099" s="821"/>
      <c r="O1099" s="821"/>
      <c r="P1099" s="821"/>
      <c r="Q1099" s="752" t="str">
        <f>+Q1</f>
        <v xml:space="preserve">PRINTED:  </v>
      </c>
      <c r="R1099" s="753">
        <f ca="1">+R1</f>
        <v>44881.729633912037</v>
      </c>
      <c r="AC1099">
        <v>18</v>
      </c>
      <c r="AD1099" s="139">
        <f t="shared" si="480"/>
        <v>0</v>
      </c>
      <c r="AE1099" s="139">
        <f t="shared" si="451"/>
        <v>23.272321428571431</v>
      </c>
      <c r="AF1099" s="139">
        <f t="shared" si="452"/>
        <v>24.389880952380953</v>
      </c>
      <c r="AG1099" s="139">
        <f t="shared" si="453"/>
        <v>40.8125</v>
      </c>
      <c r="AH1099" s="139">
        <f t="shared" si="454"/>
        <v>13.159777453269555</v>
      </c>
      <c r="AI1099" s="139">
        <f t="shared" si="455"/>
        <v>8.5208333333333339</v>
      </c>
      <c r="AJ1099" s="139">
        <f t="shared" si="456"/>
        <v>5.71875</v>
      </c>
      <c r="AK1099" s="139">
        <f t="shared" si="457"/>
        <v>8.875</v>
      </c>
      <c r="AL1099" s="139">
        <f t="shared" si="458"/>
        <v>8.9970238095238084</v>
      </c>
      <c r="AM1099" s="139">
        <f t="shared" si="459"/>
        <v>2.7440476190476191</v>
      </c>
      <c r="AN1099" s="139">
        <f t="shared" si="460"/>
        <v>3.2351190476190474</v>
      </c>
      <c r="AO1099" s="139">
        <f t="shared" si="461"/>
        <v>6.6071428571428577</v>
      </c>
      <c r="AP1099" s="139">
        <f t="shared" si="462"/>
        <v>1.0669642857142858</v>
      </c>
      <c r="AQ1099" s="139">
        <f t="shared" si="463"/>
        <v>1.9255952380952381</v>
      </c>
      <c r="AR1099" s="139">
        <f t="shared" si="464"/>
        <v>2.5252976190476191</v>
      </c>
      <c r="AS1099" s="139">
        <f t="shared" si="465"/>
        <v>151.85025364374573</v>
      </c>
      <c r="AT1099" s="139">
        <f t="shared" si="466"/>
        <v>11.730870067092061</v>
      </c>
      <c r="AU1099" s="139">
        <f t="shared" si="467"/>
        <v>163.5811237108378</v>
      </c>
      <c r="AW1099" s="139">
        <f t="shared" si="468"/>
        <v>333.59375</v>
      </c>
      <c r="AX1099" s="139">
        <f t="shared" si="469"/>
        <v>-170.0126262891622</v>
      </c>
    </row>
    <row r="1100" spans="1:50" ht="16.5" customHeight="1" x14ac:dyDescent="0.3">
      <c r="A1100" s="647"/>
      <c r="B1100" s="786" t="str">
        <f>+A8</f>
        <v>Revised:  2/5/2020</v>
      </c>
      <c r="C1100" s="786"/>
      <c r="D1100" s="786"/>
      <c r="E1100" s="786"/>
      <c r="F1100" s="786"/>
      <c r="G1100" s="786"/>
      <c r="H1100" s="786"/>
      <c r="I1100" s="786"/>
      <c r="J1100" s="786"/>
      <c r="K1100" s="786"/>
      <c r="L1100" s="786"/>
      <c r="M1100" s="786"/>
      <c r="N1100" s="786"/>
      <c r="O1100" s="786"/>
      <c r="P1100" s="786"/>
      <c r="R1100" s="727"/>
      <c r="AC1100">
        <v>19</v>
      </c>
      <c r="AD1100" s="139">
        <f t="shared" si="480"/>
        <v>0</v>
      </c>
      <c r="AE1100" s="139">
        <f t="shared" si="451"/>
        <v>23.272321428571431</v>
      </c>
      <c r="AF1100" s="139">
        <f t="shared" si="452"/>
        <v>24.389880952380953</v>
      </c>
      <c r="AG1100" s="139">
        <f t="shared" si="453"/>
        <v>40.8125</v>
      </c>
      <c r="AH1100" s="139">
        <f t="shared" si="454"/>
        <v>13.159777453269555</v>
      </c>
      <c r="AI1100" s="139">
        <f t="shared" si="455"/>
        <v>8.5208333333333339</v>
      </c>
      <c r="AJ1100" s="139">
        <f t="shared" si="456"/>
        <v>5.71875</v>
      </c>
      <c r="AK1100" s="139">
        <f t="shared" si="457"/>
        <v>8.875</v>
      </c>
      <c r="AL1100" s="139">
        <f t="shared" si="458"/>
        <v>8.9970238095238084</v>
      </c>
      <c r="AM1100" s="139">
        <f t="shared" si="459"/>
        <v>2.7440476190476191</v>
      </c>
      <c r="AN1100" s="139">
        <f t="shared" si="460"/>
        <v>3.2351190476190474</v>
      </c>
      <c r="AO1100" s="139">
        <f t="shared" si="461"/>
        <v>6.6071428571428577</v>
      </c>
      <c r="AP1100" s="139">
        <f t="shared" si="462"/>
        <v>1.0669642857142858</v>
      </c>
      <c r="AQ1100" s="139">
        <f t="shared" si="463"/>
        <v>1.9255952380952381</v>
      </c>
      <c r="AR1100" s="139">
        <f t="shared" si="464"/>
        <v>2.5252976190476191</v>
      </c>
      <c r="AS1100" s="139">
        <f t="shared" si="465"/>
        <v>151.85025364374573</v>
      </c>
      <c r="AT1100" s="139">
        <f t="shared" si="466"/>
        <v>11.730870067092061</v>
      </c>
      <c r="AU1100" s="139">
        <f t="shared" si="467"/>
        <v>163.5811237108378</v>
      </c>
      <c r="AW1100" s="139">
        <f t="shared" si="468"/>
        <v>333.59375</v>
      </c>
      <c r="AX1100" s="139">
        <f t="shared" si="469"/>
        <v>-170.0126262891622</v>
      </c>
    </row>
    <row r="1101" spans="1:50" ht="16.5" customHeight="1" x14ac:dyDescent="0.3">
      <c r="A1101" s="647"/>
      <c r="B1101" s="786" t="s">
        <v>2878</v>
      </c>
      <c r="C1101" s="786"/>
      <c r="D1101" s="786"/>
      <c r="E1101" s="786"/>
      <c r="F1101" s="786"/>
      <c r="G1101" s="786"/>
      <c r="H1101" s="786"/>
      <c r="I1101" s="786"/>
      <c r="J1101" s="786"/>
      <c r="K1101" s="786"/>
      <c r="L1101" s="786"/>
      <c r="M1101" s="786"/>
      <c r="N1101" s="786"/>
      <c r="O1101" s="786"/>
      <c r="P1101" s="786"/>
      <c r="R1101" s="727"/>
      <c r="AC1101">
        <v>20</v>
      </c>
      <c r="AD1101" s="139">
        <f t="shared" si="480"/>
        <v>0</v>
      </c>
      <c r="AE1101" s="139">
        <f t="shared" si="451"/>
        <v>23.272321428571431</v>
      </c>
      <c r="AF1101" s="139">
        <f t="shared" si="452"/>
        <v>24.389880952380953</v>
      </c>
      <c r="AG1101" s="139">
        <f t="shared" si="453"/>
        <v>40.8125</v>
      </c>
      <c r="AH1101" s="139">
        <f t="shared" si="454"/>
        <v>13.159777453269555</v>
      </c>
      <c r="AI1101" s="139">
        <f t="shared" si="455"/>
        <v>8.5208333333333339</v>
      </c>
      <c r="AJ1101" s="139">
        <f t="shared" si="456"/>
        <v>5.71875</v>
      </c>
      <c r="AK1101" s="139">
        <f t="shared" si="457"/>
        <v>8.875</v>
      </c>
      <c r="AL1101" s="139">
        <f t="shared" si="458"/>
        <v>8.9970238095238084</v>
      </c>
      <c r="AM1101" s="139">
        <f t="shared" si="459"/>
        <v>2.7440476190476191</v>
      </c>
      <c r="AN1101" s="139">
        <f t="shared" si="460"/>
        <v>3.2351190476190474</v>
      </c>
      <c r="AO1101" s="139">
        <f t="shared" si="461"/>
        <v>6.6071428571428577</v>
      </c>
      <c r="AP1101" s="139">
        <f t="shared" si="462"/>
        <v>1.0669642857142858</v>
      </c>
      <c r="AQ1101" s="139">
        <f t="shared" si="463"/>
        <v>1.9255952380952381</v>
      </c>
      <c r="AR1101" s="139">
        <f t="shared" si="464"/>
        <v>2.5252976190476191</v>
      </c>
      <c r="AS1101" s="139">
        <f t="shared" si="465"/>
        <v>151.85025364374573</v>
      </c>
      <c r="AT1101" s="139">
        <f t="shared" si="466"/>
        <v>11.730870067092061</v>
      </c>
      <c r="AU1101" s="139">
        <f t="shared" si="467"/>
        <v>163.5811237108378</v>
      </c>
      <c r="AW1101" s="139">
        <f t="shared" si="468"/>
        <v>333.59375</v>
      </c>
      <c r="AX1101" s="139">
        <f t="shared" si="469"/>
        <v>-170.0126262891622</v>
      </c>
    </row>
    <row r="1102" spans="1:50" ht="16.5" customHeight="1" x14ac:dyDescent="0.3">
      <c r="A1102" s="647"/>
      <c r="B1102" s="67"/>
      <c r="C1102" s="67"/>
      <c r="D1102" s="67"/>
      <c r="E1102" s="67"/>
      <c r="F1102" s="67"/>
      <c r="G1102" s="67"/>
      <c r="H1102" s="67"/>
      <c r="I1102" s="67"/>
      <c r="J1102" s="67"/>
      <c r="K1102" s="67"/>
      <c r="L1102" s="67"/>
      <c r="M1102" s="67"/>
      <c r="N1102" s="67"/>
      <c r="O1102" s="67"/>
      <c r="P1102" s="67"/>
      <c r="R1102" s="727"/>
      <c r="AC1102">
        <v>21</v>
      </c>
      <c r="AD1102" s="139">
        <f>IF($AF$1079=1,VLOOKUP($AD$1079,$A$1109:$P$1120,12,FALSE),VLOOKUP($AD$1079,$A$1082:$S$1093,3,FALSE))</f>
        <v>0</v>
      </c>
      <c r="AE1102" s="139">
        <f t="shared" si="451"/>
        <v>23.272321428571431</v>
      </c>
      <c r="AF1102" s="139">
        <f t="shared" si="452"/>
        <v>24.389880952380953</v>
      </c>
      <c r="AG1102" s="139">
        <f t="shared" si="453"/>
        <v>40.8125</v>
      </c>
      <c r="AH1102" s="139">
        <f t="shared" si="454"/>
        <v>13.159777453269555</v>
      </c>
      <c r="AI1102" s="139">
        <f t="shared" si="455"/>
        <v>8.5208333333333339</v>
      </c>
      <c r="AJ1102" s="139">
        <f t="shared" si="456"/>
        <v>5.71875</v>
      </c>
      <c r="AK1102" s="139">
        <f t="shared" si="457"/>
        <v>8.875</v>
      </c>
      <c r="AL1102" s="139">
        <f t="shared" si="458"/>
        <v>8.9970238095238084</v>
      </c>
      <c r="AM1102" s="139">
        <f t="shared" si="459"/>
        <v>2.7440476190476191</v>
      </c>
      <c r="AN1102" s="139">
        <f t="shared" si="460"/>
        <v>3.2351190476190474</v>
      </c>
      <c r="AO1102" s="139">
        <f t="shared" si="461"/>
        <v>6.6071428571428577</v>
      </c>
      <c r="AP1102" s="139">
        <f t="shared" si="462"/>
        <v>1.0669642857142858</v>
      </c>
      <c r="AQ1102" s="139">
        <f t="shared" si="463"/>
        <v>1.9255952380952381</v>
      </c>
      <c r="AR1102" s="139">
        <f t="shared" si="464"/>
        <v>2.5252976190476191</v>
      </c>
      <c r="AS1102" s="139">
        <f t="shared" si="465"/>
        <v>151.85025364374573</v>
      </c>
      <c r="AT1102" s="139">
        <f t="shared" si="466"/>
        <v>11.730870067092061</v>
      </c>
      <c r="AU1102" s="139">
        <f t="shared" si="467"/>
        <v>163.5811237108378</v>
      </c>
      <c r="AW1102" s="139">
        <f t="shared" si="468"/>
        <v>333.59375</v>
      </c>
      <c r="AX1102" s="139">
        <f t="shared" si="469"/>
        <v>-170.0126262891622</v>
      </c>
    </row>
    <row r="1103" spans="1:50" ht="16.5" customHeight="1" x14ac:dyDescent="0.3">
      <c r="A1103" s="647"/>
      <c r="B1103" s="810">
        <f>+A5</f>
        <v>2022</v>
      </c>
      <c r="C1103" s="787"/>
      <c r="D1103" s="787"/>
      <c r="E1103" s="787"/>
      <c r="F1103" s="787"/>
      <c r="G1103" s="787"/>
      <c r="H1103" s="787"/>
      <c r="I1103" s="787"/>
      <c r="J1103" s="787"/>
      <c r="K1103" s="787"/>
      <c r="L1103" s="787"/>
      <c r="M1103" s="787"/>
      <c r="N1103" s="787"/>
      <c r="O1103" s="787"/>
      <c r="P1103" s="787"/>
      <c r="R1103" s="727"/>
      <c r="AC1103">
        <v>22</v>
      </c>
      <c r="AD1103" s="139">
        <f>IF($AF$1079=1,VLOOKUP($AD$1079,$A$1109:$P$1120,12,FALSE),VLOOKUP($AD$1079,$A$1082:$S$1093,3,FALSE))</f>
        <v>0</v>
      </c>
      <c r="AE1103" s="139">
        <f t="shared" si="451"/>
        <v>23.272321428571431</v>
      </c>
      <c r="AF1103" s="139">
        <f t="shared" si="452"/>
        <v>24.389880952380953</v>
      </c>
      <c r="AG1103" s="139">
        <f t="shared" si="453"/>
        <v>40.8125</v>
      </c>
      <c r="AH1103" s="139">
        <f t="shared" si="454"/>
        <v>13.159777453269555</v>
      </c>
      <c r="AI1103" s="139">
        <f t="shared" si="455"/>
        <v>8.5208333333333339</v>
      </c>
      <c r="AJ1103" s="139">
        <f t="shared" si="456"/>
        <v>5.71875</v>
      </c>
      <c r="AK1103" s="139">
        <f t="shared" si="457"/>
        <v>8.875</v>
      </c>
      <c r="AL1103" s="139">
        <f t="shared" si="458"/>
        <v>8.9970238095238084</v>
      </c>
      <c r="AM1103" s="139">
        <f t="shared" si="459"/>
        <v>2.7440476190476191</v>
      </c>
      <c r="AN1103" s="139">
        <f t="shared" si="460"/>
        <v>3.2351190476190474</v>
      </c>
      <c r="AO1103" s="139">
        <f t="shared" si="461"/>
        <v>6.6071428571428577</v>
      </c>
      <c r="AP1103" s="139">
        <f t="shared" si="462"/>
        <v>1.0669642857142858</v>
      </c>
      <c r="AQ1103" s="139">
        <f t="shared" si="463"/>
        <v>1.9255952380952381</v>
      </c>
      <c r="AR1103" s="139">
        <f t="shared" si="464"/>
        <v>2.5252976190476191</v>
      </c>
      <c r="AS1103" s="139">
        <f t="shared" si="465"/>
        <v>151.85025364374573</v>
      </c>
      <c r="AT1103" s="139">
        <f t="shared" si="466"/>
        <v>11.730870067092061</v>
      </c>
      <c r="AU1103" s="139">
        <f t="shared" si="467"/>
        <v>163.5811237108378</v>
      </c>
      <c r="AW1103" s="139">
        <f t="shared" si="468"/>
        <v>333.59375</v>
      </c>
      <c r="AX1103" s="139">
        <f t="shared" si="469"/>
        <v>-170.0126262891622</v>
      </c>
    </row>
    <row r="1104" spans="1:50" ht="15.75" customHeight="1" x14ac:dyDescent="0.3">
      <c r="A1104" s="647"/>
      <c r="B1104" s="786" t="s">
        <v>1199</v>
      </c>
      <c r="C1104" s="786"/>
      <c r="D1104" s="786"/>
      <c r="E1104" s="786"/>
      <c r="F1104" s="786"/>
      <c r="G1104" s="786"/>
      <c r="H1104" s="786"/>
      <c r="I1104" s="786"/>
      <c r="J1104" s="786"/>
      <c r="K1104" s="786"/>
      <c r="L1104" s="786"/>
      <c r="M1104" s="786"/>
      <c r="N1104" s="786"/>
      <c r="O1104" s="786"/>
      <c r="P1104" s="786"/>
      <c r="R1104" s="727"/>
      <c r="AC1104">
        <v>23</v>
      </c>
      <c r="AD1104" s="139">
        <f>IF($AF$1079=1,VLOOKUP($AD$1079,$A$1109:$P$1120,12,FALSE),IF(OR($AD$1079="JAN",$AD$1079="FEB",$AD$1079="NOV",$AD$1079="DEC"),VLOOKUP($AD$1079,$A$1082:$S$1093,3,FALSE),VLOOKUP($AD$1079,$A$1082:$S$1093,2,FALSE)))</f>
        <v>0</v>
      </c>
      <c r="AE1104" s="139">
        <f t="shared" si="451"/>
        <v>23.272321428571431</v>
      </c>
      <c r="AF1104" s="139">
        <f t="shared" si="452"/>
        <v>24.389880952380953</v>
      </c>
      <c r="AG1104" s="139">
        <f t="shared" si="453"/>
        <v>40.8125</v>
      </c>
      <c r="AH1104" s="139">
        <f t="shared" si="454"/>
        <v>13.159777453269555</v>
      </c>
      <c r="AI1104" s="139">
        <f t="shared" si="455"/>
        <v>8.5208333333333339</v>
      </c>
      <c r="AJ1104" s="139">
        <f t="shared" si="456"/>
        <v>5.71875</v>
      </c>
      <c r="AK1104" s="139">
        <f t="shared" si="457"/>
        <v>8.875</v>
      </c>
      <c r="AL1104" s="139">
        <f t="shared" si="458"/>
        <v>8.9970238095238084</v>
      </c>
      <c r="AM1104" s="139">
        <f t="shared" si="459"/>
        <v>2.7440476190476191</v>
      </c>
      <c r="AN1104" s="139">
        <f t="shared" si="460"/>
        <v>3.2351190476190474</v>
      </c>
      <c r="AO1104" s="139">
        <f t="shared" si="461"/>
        <v>6.6071428571428577</v>
      </c>
      <c r="AP1104" s="139">
        <f t="shared" si="462"/>
        <v>1.0669642857142858</v>
      </c>
      <c r="AQ1104" s="139">
        <f t="shared" si="463"/>
        <v>1.9255952380952381</v>
      </c>
      <c r="AR1104" s="139">
        <f t="shared" si="464"/>
        <v>2.5252976190476191</v>
      </c>
      <c r="AS1104" s="139">
        <f t="shared" si="465"/>
        <v>151.85025364374573</v>
      </c>
      <c r="AT1104" s="139">
        <f t="shared" si="466"/>
        <v>11.730870067092061</v>
      </c>
      <c r="AU1104" s="139">
        <f t="shared" si="467"/>
        <v>163.5811237108378</v>
      </c>
      <c r="AW1104" s="139">
        <f t="shared" si="468"/>
        <v>333.59375</v>
      </c>
      <c r="AX1104" s="139">
        <f t="shared" si="469"/>
        <v>-170.0126262891622</v>
      </c>
    </row>
    <row r="1105" spans="1:50" ht="15.75" customHeight="1" thickBot="1" x14ac:dyDescent="0.35">
      <c r="A1105" s="647"/>
      <c r="R1105" s="727"/>
      <c r="AC1105">
        <v>24</v>
      </c>
      <c r="AD1105" s="139">
        <f>IF($AF$1079=1,VLOOKUP($AD$1079,$A$1109:$P$1120,12,FALSE),VLOOKUP($AD$1079,$A$1082:$S$1093,2,FALSE))</f>
        <v>98</v>
      </c>
      <c r="AE1105" s="139">
        <f t="shared" si="451"/>
        <v>23.272321428571431</v>
      </c>
      <c r="AF1105" s="139">
        <f t="shared" si="452"/>
        <v>24.389880952380953</v>
      </c>
      <c r="AG1105" s="139">
        <f t="shared" si="453"/>
        <v>40.8125</v>
      </c>
      <c r="AH1105" s="139">
        <f t="shared" si="454"/>
        <v>13.159777453269555</v>
      </c>
      <c r="AI1105" s="139">
        <f t="shared" si="455"/>
        <v>8.5208333333333339</v>
      </c>
      <c r="AJ1105" s="139">
        <f t="shared" si="456"/>
        <v>5.71875</v>
      </c>
      <c r="AK1105" s="139">
        <f t="shared" si="457"/>
        <v>8.875</v>
      </c>
      <c r="AL1105" s="139">
        <f t="shared" si="458"/>
        <v>8.9970238095238084</v>
      </c>
      <c r="AM1105" s="139">
        <f t="shared" si="459"/>
        <v>2.7440476190476191</v>
      </c>
      <c r="AN1105" s="139">
        <f t="shared" si="460"/>
        <v>3.2351190476190474</v>
      </c>
      <c r="AO1105" s="139">
        <f t="shared" si="461"/>
        <v>6.6071428571428577</v>
      </c>
      <c r="AP1105" s="139">
        <f t="shared" si="462"/>
        <v>1.0669642857142858</v>
      </c>
      <c r="AQ1105" s="139">
        <f t="shared" si="463"/>
        <v>1.9255952380952381</v>
      </c>
      <c r="AR1105" s="139">
        <f t="shared" si="464"/>
        <v>2.5252976190476191</v>
      </c>
      <c r="AS1105" s="139">
        <f t="shared" si="465"/>
        <v>249.85025364374573</v>
      </c>
      <c r="AT1105" s="139">
        <f t="shared" si="466"/>
        <v>19.301652722958714</v>
      </c>
      <c r="AU1105" s="139">
        <f t="shared" si="467"/>
        <v>269.15190636670445</v>
      </c>
      <c r="AW1105" s="139">
        <f t="shared" si="468"/>
        <v>333.59375</v>
      </c>
      <c r="AX1105" s="139">
        <f t="shared" si="469"/>
        <v>-64.441843633295548</v>
      </c>
    </row>
    <row r="1106" spans="1:50" ht="15.75" customHeight="1" x14ac:dyDescent="0.3">
      <c r="A1106" s="647"/>
      <c r="B1106" s="814" t="s">
        <v>2883</v>
      </c>
      <c r="C1106" s="815"/>
      <c r="D1106" s="815"/>
      <c r="E1106" s="815"/>
      <c r="F1106" s="815"/>
      <c r="G1106" s="815"/>
      <c r="H1106" s="815"/>
      <c r="I1106" s="815"/>
      <c r="J1106" s="815"/>
      <c r="K1106" s="815"/>
      <c r="L1106" s="816"/>
      <c r="M1106" s="817" t="s">
        <v>2884</v>
      </c>
      <c r="N1106" s="815"/>
      <c r="O1106" s="815"/>
      <c r="P1106" s="815"/>
      <c r="Q1106" s="139" t="s">
        <v>2899</v>
      </c>
      <c r="R1106" s="764" t="s">
        <v>2898</v>
      </c>
      <c r="S1106" s="139" t="s">
        <v>3193</v>
      </c>
      <c r="T1106" s="139" t="s">
        <v>2913</v>
      </c>
      <c r="AC1106" t="s">
        <v>2356</v>
      </c>
      <c r="AD1106" s="139">
        <f>SUM(AD1082:AD1105)</f>
        <v>784</v>
      </c>
      <c r="AE1106" s="139">
        <f>SUM(AE1082:AE1105)</f>
        <v>558.53571428571456</v>
      </c>
      <c r="AF1106" s="139">
        <f t="shared" ref="AF1106:AW1106" si="481">SUM(AF1082:AF1105)</f>
        <v>585.357142857143</v>
      </c>
      <c r="AG1106" s="139">
        <f t="shared" si="481"/>
        <v>979.5</v>
      </c>
      <c r="AH1106" s="139">
        <f t="shared" si="481"/>
        <v>315.83465887846933</v>
      </c>
      <c r="AI1106" s="139">
        <f t="shared" si="481"/>
        <v>204.50000000000006</v>
      </c>
      <c r="AJ1106" s="139">
        <f t="shared" si="481"/>
        <v>137.25</v>
      </c>
      <c r="AK1106" s="139">
        <f t="shared" si="481"/>
        <v>213</v>
      </c>
      <c r="AL1106" s="139">
        <f t="shared" si="481"/>
        <v>215.9285714285713</v>
      </c>
      <c r="AM1106" s="139">
        <f t="shared" si="481"/>
        <v>65.857142857142875</v>
      </c>
      <c r="AN1106" s="139">
        <f t="shared" si="481"/>
        <v>77.642857142857181</v>
      </c>
      <c r="AO1106" s="139">
        <f t="shared" si="481"/>
        <v>158.57142857142864</v>
      </c>
      <c r="AP1106" s="139">
        <f t="shared" si="481"/>
        <v>25.607142857142854</v>
      </c>
      <c r="AQ1106" s="139">
        <f t="shared" si="481"/>
        <v>46.214285714285722</v>
      </c>
      <c r="AR1106" s="139">
        <f t="shared" si="481"/>
        <v>60.607142857142875</v>
      </c>
      <c r="AS1106" s="139">
        <f t="shared" si="481"/>
        <v>4428.4060874498991</v>
      </c>
      <c r="AT1106" s="139">
        <f t="shared" si="481"/>
        <v>342.10714285714266</v>
      </c>
      <c r="AU1106" s="139">
        <f t="shared" si="481"/>
        <v>4770.5132303070395</v>
      </c>
      <c r="AW1106" s="139">
        <f t="shared" si="481"/>
        <v>8006.25</v>
      </c>
      <c r="AX1106" s="139">
        <f>SUMIF(AX1082:AX1105,"&gt;0")</f>
        <v>0</v>
      </c>
    </row>
    <row r="1107" spans="1:50" ht="15.75" customHeight="1" thickBot="1" x14ac:dyDescent="0.35">
      <c r="A1107" s="647" t="s">
        <v>249</v>
      </c>
      <c r="B1107" s="658" t="s">
        <v>2890</v>
      </c>
      <c r="C1107" s="659" t="s">
        <v>2886</v>
      </c>
      <c r="D1107" s="659" t="s">
        <v>2885</v>
      </c>
      <c r="E1107" s="659" t="s">
        <v>2914</v>
      </c>
      <c r="F1107" s="659" t="s">
        <v>2886</v>
      </c>
      <c r="G1107" s="659" t="s">
        <v>2885</v>
      </c>
      <c r="H1107" s="659" t="s">
        <v>2915</v>
      </c>
      <c r="I1107" s="659" t="s">
        <v>2886</v>
      </c>
      <c r="J1107" s="659" t="s">
        <v>2885</v>
      </c>
      <c r="K1107" s="659" t="s">
        <v>2915</v>
      </c>
      <c r="L1107" s="660" t="s">
        <v>2897</v>
      </c>
      <c r="M1107" s="658" t="s">
        <v>2893</v>
      </c>
      <c r="N1107" s="659" t="s">
        <v>2886</v>
      </c>
      <c r="O1107" s="659" t="s">
        <v>2886</v>
      </c>
      <c r="P1107" s="660" t="s">
        <v>2897</v>
      </c>
      <c r="Q1107" s="668" t="s">
        <v>2356</v>
      </c>
      <c r="R1107" s="766" t="s">
        <v>2900</v>
      </c>
      <c r="S1107" s="659" t="s">
        <v>3175</v>
      </c>
      <c r="T1107" s="659" t="s">
        <v>3175</v>
      </c>
      <c r="AU1107" s="139"/>
      <c r="AW1107" s="139"/>
      <c r="AX1107" s="139"/>
    </row>
    <row r="1108" spans="1:50" ht="15.75" customHeight="1" thickTop="1" thickBot="1" x14ac:dyDescent="0.35">
      <c r="A1108" s="647"/>
      <c r="B1108" s="661"/>
      <c r="C1108" s="664" t="s">
        <v>2895</v>
      </c>
      <c r="D1108" s="664" t="s">
        <v>2895</v>
      </c>
      <c r="E1108" s="664" t="s">
        <v>2895</v>
      </c>
      <c r="F1108" s="662" t="s">
        <v>2696</v>
      </c>
      <c r="G1108" s="662" t="s">
        <v>2696</v>
      </c>
      <c r="H1108" s="662" t="s">
        <v>2696</v>
      </c>
      <c r="I1108" s="662" t="s">
        <v>2896</v>
      </c>
      <c r="J1108" s="662" t="s">
        <v>2896</v>
      </c>
      <c r="K1108" s="662" t="s">
        <v>2896</v>
      </c>
      <c r="L1108" s="767" t="s">
        <v>2892</v>
      </c>
      <c r="M1108" s="665"/>
      <c r="N1108" s="664" t="s">
        <v>2895</v>
      </c>
      <c r="O1108" s="662" t="s">
        <v>2696</v>
      </c>
      <c r="P1108" s="767" t="s">
        <v>2896</v>
      </c>
      <c r="Q1108" s="668" t="s">
        <v>2896</v>
      </c>
      <c r="R1108" s="766" t="s">
        <v>2896</v>
      </c>
      <c r="S1108" s="662" t="s">
        <v>3192</v>
      </c>
      <c r="T1108" s="662" t="s">
        <v>3192</v>
      </c>
    </row>
    <row r="1109" spans="1:50" ht="15.75" customHeight="1" x14ac:dyDescent="0.3">
      <c r="A1109" s="647" t="s">
        <v>2843</v>
      </c>
      <c r="B1109" s="642">
        <f ca="1">+$B$10-M1109</f>
        <v>26</v>
      </c>
      <c r="C1109" s="656">
        <v>4</v>
      </c>
      <c r="D1109" s="656">
        <v>0</v>
      </c>
      <c r="E1109" s="656" t="s">
        <v>2916</v>
      </c>
      <c r="F1109" s="139">
        <f>+I1109/(24-S1109)</f>
        <v>196</v>
      </c>
      <c r="G1109" s="139">
        <f>+J1109/S1109</f>
        <v>0</v>
      </c>
      <c r="H1109" s="139" t="s">
        <v>2916</v>
      </c>
      <c r="I1109" s="139">
        <f>+C1109*49*(24-S1109)</f>
        <v>3724</v>
      </c>
      <c r="J1109" s="139">
        <f>+D1109*49*S1109</f>
        <v>0</v>
      </c>
      <c r="K1109" s="139" t="s">
        <v>2916</v>
      </c>
      <c r="L1109" s="764">
        <f>+J1109+I1109</f>
        <v>3724</v>
      </c>
      <c r="M1109" s="642">
        <f ca="1">SUMPRODUCT(--(WEEKDAY(ROW(INDIRECT(DATE($B$1103,MonthFromText(A1109),1)&amp;":"&amp;DATE($B$1103,MonthFromText(A1109),$B$10))),1)=1))</f>
        <v>5</v>
      </c>
      <c r="N1109" s="656">
        <v>4</v>
      </c>
      <c r="O1109">
        <f>+P1109/(24-T1109)</f>
        <v>196</v>
      </c>
      <c r="P1109" s="764">
        <f>+N1109*49*(24-T1109)</f>
        <v>3724</v>
      </c>
      <c r="Q1109" s="139">
        <f ca="1">+(L1109*B1109)+(M1109*P1109)</f>
        <v>115444</v>
      </c>
      <c r="R1109" s="764">
        <f ca="1">+Q1109-B1002</f>
        <v>-20460</v>
      </c>
      <c r="S1109" s="726">
        <v>5</v>
      </c>
      <c r="T1109" s="726">
        <v>5</v>
      </c>
      <c r="AD1109" s="704"/>
      <c r="AE1109" s="703"/>
      <c r="AF1109" s="725" t="s">
        <v>3186</v>
      </c>
      <c r="AG1109" s="720" t="s">
        <v>3183</v>
      </c>
      <c r="AH1109" s="720" t="s">
        <v>3184</v>
      </c>
      <c r="AI1109" s="720" t="s">
        <v>3185</v>
      </c>
      <c r="AJ1109" s="702"/>
    </row>
    <row r="1110" spans="1:50" ht="15.75" customHeight="1" x14ac:dyDescent="0.3">
      <c r="A1110" s="647" t="s">
        <v>2091</v>
      </c>
      <c r="B1110" s="642">
        <f ca="1">+$C$10-M1110</f>
        <v>24</v>
      </c>
      <c r="C1110" s="656">
        <v>2</v>
      </c>
      <c r="D1110" s="656">
        <v>0</v>
      </c>
      <c r="E1110" s="656" t="s">
        <v>2916</v>
      </c>
      <c r="F1110" s="139">
        <f t="shared" ref="F1110:F1120" si="482">+I1110/(24-S1110)</f>
        <v>98</v>
      </c>
      <c r="G1110" s="139">
        <f t="shared" ref="G1110:G1120" si="483">+J1110/S1110</f>
        <v>0</v>
      </c>
      <c r="H1110" s="139" t="s">
        <v>2916</v>
      </c>
      <c r="I1110" s="139">
        <f t="shared" ref="I1110:I1120" si="484">+C1110*49*(24-S1110)</f>
        <v>1862</v>
      </c>
      <c r="J1110" s="139">
        <f t="shared" ref="J1110:J1120" si="485">+D1110*49*S1110</f>
        <v>0</v>
      </c>
      <c r="K1110" s="139" t="s">
        <v>2916</v>
      </c>
      <c r="L1110" s="764">
        <f t="shared" ref="L1110:L1120" si="486">+J1110+I1110</f>
        <v>1862</v>
      </c>
      <c r="M1110" s="642">
        <f ca="1">SUMPRODUCT(--(WEEKDAY(ROW(INDIRECT(DATE($B$1103,MonthFromText(A1110),1)&amp;":"&amp;DATE($B$1103,MonthFromText(A1110),$C$10))),1)=1))</f>
        <v>4</v>
      </c>
      <c r="N1110" s="656">
        <f t="shared" ref="N1110:N1118" si="487">+C1110</f>
        <v>2</v>
      </c>
      <c r="O1110">
        <f t="shared" ref="O1110:O1120" si="488">+P1110/24</f>
        <v>98</v>
      </c>
      <c r="P1110" s="764">
        <f t="shared" ref="P1110:P1120" si="489">+N1110*49*24</f>
        <v>2352</v>
      </c>
      <c r="Q1110" s="139">
        <f ca="1">+(L1110*B1110)+(M1110*P1110)</f>
        <v>54096</v>
      </c>
      <c r="R1110" s="764">
        <f t="shared" ref="R1110:R1120" ca="1" si="490">+Q1110-B1003</f>
        <v>-68724</v>
      </c>
      <c r="S1110" s="726">
        <v>5</v>
      </c>
      <c r="T1110" s="726">
        <v>5</v>
      </c>
      <c r="AD1110" s="721" t="s">
        <v>1354</v>
      </c>
      <c r="AE1110" s="723" t="s">
        <v>3176</v>
      </c>
      <c r="AF1110">
        <f>V1082</f>
        <v>284.68145161290323</v>
      </c>
      <c r="AG1110">
        <f>X1082</f>
        <v>18.643768722777896</v>
      </c>
      <c r="AH1110">
        <f>Y1082</f>
        <v>0</v>
      </c>
      <c r="AI1110">
        <f>Z1082</f>
        <v>33.442204301075265</v>
      </c>
      <c r="AJ1110" s="727"/>
    </row>
    <row r="1111" spans="1:50" ht="16.5" customHeight="1" x14ac:dyDescent="0.3">
      <c r="A1111" s="647" t="s">
        <v>2234</v>
      </c>
      <c r="B1111" s="642">
        <f ca="1">+$D$10-M1111</f>
        <v>27</v>
      </c>
      <c r="C1111" s="656">
        <v>6</v>
      </c>
      <c r="D1111" s="656">
        <v>0</v>
      </c>
      <c r="E1111" s="656" t="s">
        <v>2916</v>
      </c>
      <c r="F1111" s="139">
        <f t="shared" si="482"/>
        <v>294</v>
      </c>
      <c r="G1111" s="139">
        <f t="shared" si="483"/>
        <v>0</v>
      </c>
      <c r="H1111" s="139" t="s">
        <v>2916</v>
      </c>
      <c r="I1111" s="139">
        <f t="shared" si="484"/>
        <v>5586</v>
      </c>
      <c r="J1111" s="139">
        <f t="shared" si="485"/>
        <v>0</v>
      </c>
      <c r="K1111" s="139" t="s">
        <v>2916</v>
      </c>
      <c r="L1111" s="764">
        <f t="shared" si="486"/>
        <v>5586</v>
      </c>
      <c r="M1111" s="642">
        <f ca="1">SUMPRODUCT(--(WEEKDAY(ROW(INDIRECT(DATE($B$1103,MonthFromText(A1111),1)&amp;":"&amp;DATE($B$1103,MonthFromText(A1111),$D$10))),1)=1))</f>
        <v>4</v>
      </c>
      <c r="N1111" s="656">
        <v>3</v>
      </c>
      <c r="O1111">
        <f t="shared" si="488"/>
        <v>147</v>
      </c>
      <c r="P1111" s="764">
        <f t="shared" si="489"/>
        <v>3528</v>
      </c>
      <c r="Q1111" s="139">
        <f t="shared" ref="Q1111:Q1120" ca="1" si="491">+(L1111*B1111)+(M1111*P1111)</f>
        <v>164934</v>
      </c>
      <c r="R1111" s="764">
        <f t="shared" ca="1" si="490"/>
        <v>13713</v>
      </c>
      <c r="S1111" s="726">
        <v>5</v>
      </c>
      <c r="T1111" s="726">
        <v>5</v>
      </c>
      <c r="AD1111" s="721"/>
      <c r="AE1111" s="723" t="s">
        <v>3175</v>
      </c>
      <c r="AF1111">
        <f>W1082</f>
        <v>88.681451612903231</v>
      </c>
      <c r="AG1111">
        <f>X1082</f>
        <v>18.643768722777896</v>
      </c>
      <c r="AH1111">
        <f>Y1082</f>
        <v>0</v>
      </c>
      <c r="AI1111">
        <f>Z1082</f>
        <v>33.442204301075265</v>
      </c>
      <c r="AJ1111" s="727"/>
    </row>
    <row r="1112" spans="1:50" ht="16.5" customHeight="1" x14ac:dyDescent="0.3">
      <c r="A1112" s="647" t="s">
        <v>2235</v>
      </c>
      <c r="B1112" s="642">
        <f ca="1">+$F$10-M1112</f>
        <v>26</v>
      </c>
      <c r="C1112" s="656">
        <v>6</v>
      </c>
      <c r="D1112" s="656">
        <v>0</v>
      </c>
      <c r="E1112" s="656" t="s">
        <v>2916</v>
      </c>
      <c r="F1112" s="139">
        <f t="shared" si="482"/>
        <v>294</v>
      </c>
      <c r="G1112" s="139">
        <f t="shared" si="483"/>
        <v>0</v>
      </c>
      <c r="H1112" s="139" t="s">
        <v>2916</v>
      </c>
      <c r="I1112" s="139">
        <f t="shared" si="484"/>
        <v>5586</v>
      </c>
      <c r="J1112" s="139">
        <f t="shared" si="485"/>
        <v>0</v>
      </c>
      <c r="K1112" s="139" t="s">
        <v>2916</v>
      </c>
      <c r="L1112" s="764">
        <f t="shared" si="486"/>
        <v>5586</v>
      </c>
      <c r="M1112" s="642">
        <f ca="1">SUMPRODUCT(--(WEEKDAY(ROW(INDIRECT(DATE($B$1103,MonthFromText(A1112),1)&amp;":"&amp;DATE($B$1103,MonthFromText(A1112),$F$10))),1)=1))</f>
        <v>4</v>
      </c>
      <c r="N1112" s="656">
        <v>5</v>
      </c>
      <c r="O1112">
        <f t="shared" si="488"/>
        <v>245</v>
      </c>
      <c r="P1112" s="764">
        <f t="shared" si="489"/>
        <v>5880</v>
      </c>
      <c r="Q1112" s="139">
        <f t="shared" ca="1" si="491"/>
        <v>168756</v>
      </c>
      <c r="R1112" s="764">
        <f t="shared" ca="1" si="490"/>
        <v>17430</v>
      </c>
      <c r="S1112" s="726">
        <v>5</v>
      </c>
      <c r="T1112" s="726">
        <v>5</v>
      </c>
      <c r="AD1112" s="721" t="s">
        <v>3178</v>
      </c>
      <c r="AE1112" s="723" t="s">
        <v>852</v>
      </c>
      <c r="AJ1112" s="727"/>
    </row>
    <row r="1113" spans="1:50" ht="15.75" customHeight="1" x14ac:dyDescent="0.3">
      <c r="A1113" s="647" t="s">
        <v>2236</v>
      </c>
      <c r="B1113" s="642">
        <f ca="1">+$G$10-M1113</f>
        <v>26</v>
      </c>
      <c r="C1113" s="656">
        <v>6</v>
      </c>
      <c r="D1113" s="656">
        <v>0</v>
      </c>
      <c r="E1113" s="656" t="s">
        <v>2916</v>
      </c>
      <c r="F1113" s="139">
        <f t="shared" si="482"/>
        <v>294</v>
      </c>
      <c r="G1113" s="139">
        <f t="shared" si="483"/>
        <v>0</v>
      </c>
      <c r="H1113" s="139" t="s">
        <v>2916</v>
      </c>
      <c r="I1113" s="139">
        <f t="shared" si="484"/>
        <v>5586</v>
      </c>
      <c r="J1113" s="139">
        <f t="shared" si="485"/>
        <v>0</v>
      </c>
      <c r="K1113" s="139" t="s">
        <v>2916</v>
      </c>
      <c r="L1113" s="764">
        <f t="shared" si="486"/>
        <v>5586</v>
      </c>
      <c r="M1113" s="642">
        <f ca="1">SUMPRODUCT(--(WEEKDAY(ROW(INDIRECT(DATE($B$1103,MonthFromText(A1113),1)&amp;":"&amp;DATE($B$1103,MonthFromText(A1113),$G$10))),1)=1))</f>
        <v>5</v>
      </c>
      <c r="N1113" s="656">
        <f t="shared" si="487"/>
        <v>6</v>
      </c>
      <c r="O1113">
        <f t="shared" si="488"/>
        <v>294</v>
      </c>
      <c r="P1113" s="764">
        <f t="shared" si="489"/>
        <v>7056</v>
      </c>
      <c r="Q1113" s="139">
        <f t="shared" ca="1" si="491"/>
        <v>180516</v>
      </c>
      <c r="R1113" s="764">
        <f t="shared" ca="1" si="490"/>
        <v>16134</v>
      </c>
      <c r="S1113" s="726">
        <v>5</v>
      </c>
      <c r="T1113" s="726">
        <v>5</v>
      </c>
      <c r="AD1113" s="721" t="s">
        <v>706</v>
      </c>
      <c r="AE1113" s="723" t="s">
        <v>3176</v>
      </c>
      <c r="AF1113">
        <f>V1083</f>
        <v>186.47470238095238</v>
      </c>
      <c r="AG1113">
        <f>X1083</f>
        <v>13.159777453269555</v>
      </c>
      <c r="AH1113">
        <f>Y1083</f>
        <v>0</v>
      </c>
      <c r="AI1113">
        <f>Z1083</f>
        <v>50.215773809523817</v>
      </c>
      <c r="AJ1113" s="727"/>
    </row>
    <row r="1114" spans="1:50" ht="15.75" customHeight="1" x14ac:dyDescent="0.3">
      <c r="A1114" s="647" t="s">
        <v>2237</v>
      </c>
      <c r="B1114" s="642">
        <f ca="1">+$H$10-M1114</f>
        <v>26</v>
      </c>
      <c r="C1114" s="656">
        <v>3</v>
      </c>
      <c r="D1114" s="656">
        <v>0</v>
      </c>
      <c r="E1114" s="656">
        <v>0</v>
      </c>
      <c r="F1114" s="139">
        <f t="shared" si="482"/>
        <v>147</v>
      </c>
      <c r="G1114" s="139">
        <f t="shared" si="483"/>
        <v>0</v>
      </c>
      <c r="H1114" s="139" t="s">
        <v>2916</v>
      </c>
      <c r="I1114" s="139">
        <f t="shared" si="484"/>
        <v>2205</v>
      </c>
      <c r="J1114" s="139">
        <f t="shared" si="485"/>
        <v>0</v>
      </c>
      <c r="K1114" s="139" t="s">
        <v>2916</v>
      </c>
      <c r="L1114" s="764">
        <f t="shared" si="486"/>
        <v>2205</v>
      </c>
      <c r="M1114" s="642">
        <f ca="1">SUMPRODUCT(--(WEEKDAY(ROW(INDIRECT(DATE($B$1103,MonthFromText(A1114),1)&amp;":"&amp;DATE($B$1103,MonthFromText(A1114),$H$10))),1)=1))</f>
        <v>4</v>
      </c>
      <c r="N1114" s="656">
        <f t="shared" si="487"/>
        <v>3</v>
      </c>
      <c r="O1114">
        <f t="shared" si="488"/>
        <v>147</v>
      </c>
      <c r="P1114" s="764">
        <f t="shared" si="489"/>
        <v>3528</v>
      </c>
      <c r="Q1114" s="139">
        <f ca="1">+(L1114*B1114)+(M1114*P1114)</f>
        <v>71442</v>
      </c>
      <c r="R1114" s="764">
        <f t="shared" ca="1" si="490"/>
        <v>-21156</v>
      </c>
      <c r="S1114" s="726">
        <v>9</v>
      </c>
      <c r="T1114" s="726">
        <v>9</v>
      </c>
      <c r="AD1114" s="721"/>
      <c r="AE1114" s="723" t="s">
        <v>3175</v>
      </c>
      <c r="AF1114">
        <f>W1083</f>
        <v>88.47470238095238</v>
      </c>
      <c r="AG1114">
        <f>X1083</f>
        <v>13.159777453269555</v>
      </c>
      <c r="AH1114">
        <f>Y1083</f>
        <v>0</v>
      </c>
      <c r="AI1114">
        <f>Z1083</f>
        <v>50.215773809523817</v>
      </c>
      <c r="AJ1114" s="727"/>
    </row>
    <row r="1115" spans="1:50" ht="15.75" customHeight="1" x14ac:dyDescent="0.3">
      <c r="A1115" s="647" t="s">
        <v>1504</v>
      </c>
      <c r="B1115" s="642">
        <f ca="1">+$J$10-M1115</f>
        <v>26</v>
      </c>
      <c r="C1115" s="656">
        <v>3</v>
      </c>
      <c r="D1115" s="656">
        <v>0</v>
      </c>
      <c r="E1115" s="656">
        <v>0</v>
      </c>
      <c r="F1115" s="139">
        <f t="shared" si="482"/>
        <v>147</v>
      </c>
      <c r="G1115" s="139">
        <f t="shared" si="483"/>
        <v>0</v>
      </c>
      <c r="H1115" s="139" t="s">
        <v>2916</v>
      </c>
      <c r="I1115" s="139">
        <f t="shared" si="484"/>
        <v>2205</v>
      </c>
      <c r="J1115" s="139">
        <f t="shared" si="485"/>
        <v>0</v>
      </c>
      <c r="K1115" s="139" t="s">
        <v>2916</v>
      </c>
      <c r="L1115" s="764">
        <f t="shared" si="486"/>
        <v>2205</v>
      </c>
      <c r="M1115" s="642">
        <f ca="1">SUMPRODUCT(--(WEEKDAY(ROW(INDIRECT(DATE($B$1103,MonthFromText(A1115),1)&amp;":"&amp;DATE($B$1103,MonthFromText(A1115),$J$10))),1)=1))</f>
        <v>5</v>
      </c>
      <c r="N1115" s="656">
        <f t="shared" si="487"/>
        <v>3</v>
      </c>
      <c r="O1115">
        <f t="shared" si="488"/>
        <v>147</v>
      </c>
      <c r="P1115" s="764">
        <f t="shared" si="489"/>
        <v>3528</v>
      </c>
      <c r="Q1115" s="139">
        <f t="shared" ca="1" si="491"/>
        <v>74970</v>
      </c>
      <c r="R1115" s="764">
        <f t="shared" ca="1" si="490"/>
        <v>25886</v>
      </c>
      <c r="S1115" s="726">
        <v>9</v>
      </c>
      <c r="T1115" s="726">
        <v>9</v>
      </c>
      <c r="AD1115" s="721" t="s">
        <v>3178</v>
      </c>
      <c r="AE1115" s="723" t="s">
        <v>852</v>
      </c>
      <c r="AJ1115" s="727"/>
    </row>
    <row r="1116" spans="1:50" ht="15.75" customHeight="1" x14ac:dyDescent="0.3">
      <c r="A1116" s="647" t="s">
        <v>1505</v>
      </c>
      <c r="B1116" s="642">
        <f ca="1">+$K$10-M1116</f>
        <v>27</v>
      </c>
      <c r="C1116" s="656">
        <v>3</v>
      </c>
      <c r="D1116" s="656">
        <v>0</v>
      </c>
      <c r="E1116" s="656">
        <v>0</v>
      </c>
      <c r="F1116" s="139">
        <f t="shared" si="482"/>
        <v>147</v>
      </c>
      <c r="G1116" s="139">
        <f t="shared" si="483"/>
        <v>0</v>
      </c>
      <c r="H1116" s="139" t="s">
        <v>2916</v>
      </c>
      <c r="I1116" s="139">
        <f t="shared" si="484"/>
        <v>2205</v>
      </c>
      <c r="J1116" s="139">
        <f t="shared" si="485"/>
        <v>0</v>
      </c>
      <c r="K1116" s="139" t="s">
        <v>2916</v>
      </c>
      <c r="L1116" s="764">
        <f t="shared" si="486"/>
        <v>2205</v>
      </c>
      <c r="M1116" s="642">
        <f ca="1">SUMPRODUCT(--(WEEKDAY(ROW(INDIRECT(DATE($B$1103,MonthFromText(A1116),1)&amp;":"&amp;DATE($B$1103,MonthFromText(A1116),$K$10))),1)=1))</f>
        <v>4</v>
      </c>
      <c r="N1116" s="656">
        <f t="shared" si="487"/>
        <v>3</v>
      </c>
      <c r="O1116">
        <f t="shared" si="488"/>
        <v>147</v>
      </c>
      <c r="P1116" s="764">
        <f t="shared" si="489"/>
        <v>3528</v>
      </c>
      <c r="Q1116" s="139">
        <f t="shared" ca="1" si="491"/>
        <v>73647</v>
      </c>
      <c r="R1116" s="764">
        <f t="shared" ca="1" si="490"/>
        <v>24487</v>
      </c>
      <c r="S1116" s="726">
        <v>9</v>
      </c>
      <c r="T1116" s="726">
        <v>9</v>
      </c>
      <c r="AD1116" s="721" t="s">
        <v>707</v>
      </c>
      <c r="AE1116" s="723" t="s">
        <v>3176</v>
      </c>
      <c r="AF1116">
        <f>V1084</f>
        <v>391.7190860215054</v>
      </c>
      <c r="AG1116">
        <f>X1084</f>
        <v>10.431444605713155</v>
      </c>
      <c r="AH1116">
        <f>Y1084</f>
        <v>0</v>
      </c>
      <c r="AI1116">
        <f>Z1084</f>
        <v>55.399193548387096</v>
      </c>
      <c r="AJ1116" s="727"/>
    </row>
    <row r="1117" spans="1:50" ht="15.75" customHeight="1" x14ac:dyDescent="0.3">
      <c r="A1117" s="647" t="s">
        <v>1506</v>
      </c>
      <c r="B1117" s="642">
        <f ca="1">+$L$10-M1117</f>
        <v>26</v>
      </c>
      <c r="C1117" s="656">
        <v>5</v>
      </c>
      <c r="D1117" s="656">
        <v>0</v>
      </c>
      <c r="E1117" s="656" t="s">
        <v>2916</v>
      </c>
      <c r="F1117" s="139">
        <f t="shared" si="482"/>
        <v>245</v>
      </c>
      <c r="G1117" s="139">
        <f t="shared" si="483"/>
        <v>0</v>
      </c>
      <c r="H1117" s="139" t="s">
        <v>2916</v>
      </c>
      <c r="I1117" s="139">
        <f t="shared" si="484"/>
        <v>4410</v>
      </c>
      <c r="J1117" s="139">
        <f t="shared" si="485"/>
        <v>0</v>
      </c>
      <c r="K1117" s="139" t="s">
        <v>2916</v>
      </c>
      <c r="L1117" s="764">
        <f t="shared" si="486"/>
        <v>4410</v>
      </c>
      <c r="M1117" s="642">
        <f ca="1">SUMPRODUCT(--(WEEKDAY(ROW(INDIRECT(DATE($B$1103,MonthFromText(A1117),1)&amp;":"&amp;DATE($B$1103,MonthFromText(A1117),$L$10))),1)=1))</f>
        <v>4</v>
      </c>
      <c r="N1117" s="656">
        <f t="shared" si="487"/>
        <v>5</v>
      </c>
      <c r="O1117">
        <f t="shared" si="488"/>
        <v>245</v>
      </c>
      <c r="P1117" s="764">
        <f t="shared" si="489"/>
        <v>5880</v>
      </c>
      <c r="Q1117" s="139">
        <f t="shared" ca="1" si="491"/>
        <v>138180</v>
      </c>
      <c r="R1117" s="764">
        <f t="shared" ca="1" si="490"/>
        <v>21357</v>
      </c>
      <c r="S1117" s="726">
        <v>6</v>
      </c>
      <c r="T1117" s="726">
        <v>4</v>
      </c>
      <c r="AD1117" s="721"/>
      <c r="AE1117" s="723" t="s">
        <v>3175</v>
      </c>
      <c r="AF1117">
        <f>W1084</f>
        <v>97.719086021505376</v>
      </c>
      <c r="AG1117">
        <f>X1084</f>
        <v>10.431444605713155</v>
      </c>
      <c r="AH1117">
        <f>Y1084</f>
        <v>0</v>
      </c>
      <c r="AI1117">
        <f>Z1084</f>
        <v>55.399193548387096</v>
      </c>
      <c r="AJ1117" s="727"/>
    </row>
    <row r="1118" spans="1:50" ht="15.75" customHeight="1" x14ac:dyDescent="0.3">
      <c r="A1118" s="647" t="s">
        <v>1507</v>
      </c>
      <c r="B1118" s="642">
        <f ca="1">+$N$10-M1118</f>
        <v>26</v>
      </c>
      <c r="C1118" s="656">
        <v>5</v>
      </c>
      <c r="D1118" s="656">
        <v>0</v>
      </c>
      <c r="E1118" s="656" t="s">
        <v>2916</v>
      </c>
      <c r="F1118" s="139">
        <f t="shared" si="482"/>
        <v>245</v>
      </c>
      <c r="G1118" s="139">
        <f t="shared" si="483"/>
        <v>0</v>
      </c>
      <c r="H1118" s="139" t="s">
        <v>2916</v>
      </c>
      <c r="I1118" s="139">
        <f t="shared" si="484"/>
        <v>4410</v>
      </c>
      <c r="J1118" s="139">
        <f t="shared" si="485"/>
        <v>0</v>
      </c>
      <c r="K1118" s="139" t="s">
        <v>2916</v>
      </c>
      <c r="L1118" s="764">
        <f t="shared" si="486"/>
        <v>4410</v>
      </c>
      <c r="M1118" s="642">
        <f ca="1">SUMPRODUCT(--(WEEKDAY(ROW(INDIRECT(DATE($B$1103,MonthFromText(A1118),1)&amp;":"&amp;DATE($B$1103,MonthFromText(A1118),$N$10))),1)=1))</f>
        <v>5</v>
      </c>
      <c r="N1118" s="656">
        <f t="shared" si="487"/>
        <v>5</v>
      </c>
      <c r="O1118">
        <f t="shared" si="488"/>
        <v>245</v>
      </c>
      <c r="P1118" s="764">
        <f t="shared" si="489"/>
        <v>5880</v>
      </c>
      <c r="Q1118" s="139">
        <f t="shared" ca="1" si="491"/>
        <v>144060</v>
      </c>
      <c r="R1118" s="764">
        <f t="shared" ca="1" si="490"/>
        <v>-12492</v>
      </c>
      <c r="S1118" s="726">
        <v>6</v>
      </c>
      <c r="T1118" s="726">
        <v>4</v>
      </c>
      <c r="AD1118" s="721" t="s">
        <v>3178</v>
      </c>
      <c r="AE1118" s="723" t="s">
        <v>852</v>
      </c>
      <c r="AJ1118" s="727"/>
    </row>
    <row r="1119" spans="1:50" ht="15.75" customHeight="1" x14ac:dyDescent="0.3">
      <c r="A1119" s="647" t="s">
        <v>1508</v>
      </c>
      <c r="B1119" s="642">
        <f ca="1">+$O$10-M1119</f>
        <v>26</v>
      </c>
      <c r="C1119" s="656">
        <v>5</v>
      </c>
      <c r="D1119" s="656">
        <v>0</v>
      </c>
      <c r="E1119" s="656" t="s">
        <v>2916</v>
      </c>
      <c r="F1119" s="139">
        <f t="shared" si="482"/>
        <v>245</v>
      </c>
      <c r="G1119" s="139">
        <f t="shared" si="483"/>
        <v>0</v>
      </c>
      <c r="H1119" s="139" t="s">
        <v>2916</v>
      </c>
      <c r="I1119" s="139">
        <f t="shared" si="484"/>
        <v>4410</v>
      </c>
      <c r="J1119" s="139">
        <f t="shared" si="485"/>
        <v>0</v>
      </c>
      <c r="K1119" s="139" t="s">
        <v>2916</v>
      </c>
      <c r="L1119" s="764">
        <f t="shared" si="486"/>
        <v>4410</v>
      </c>
      <c r="M1119" s="642">
        <f ca="1">SUMPRODUCT(--(WEEKDAY(ROW(INDIRECT(DATE($B$1103,MonthFromText(A1119),1)&amp;":"&amp;DATE($B$1103,MonthFromText(A1119),$O$10))),1)=1))</f>
        <v>4</v>
      </c>
      <c r="N1119" s="656">
        <v>3</v>
      </c>
      <c r="O1119">
        <f t="shared" si="488"/>
        <v>147</v>
      </c>
      <c r="P1119" s="764">
        <f t="shared" si="489"/>
        <v>3528</v>
      </c>
      <c r="Q1119" s="139">
        <f t="shared" ca="1" si="491"/>
        <v>128772</v>
      </c>
      <c r="R1119" s="764">
        <f t="shared" ca="1" si="490"/>
        <v>-20592</v>
      </c>
      <c r="S1119" s="726">
        <v>6</v>
      </c>
      <c r="T1119" s="726">
        <v>4</v>
      </c>
      <c r="AD1119" s="721" t="s">
        <v>1321</v>
      </c>
      <c r="AE1119" s="723" t="s">
        <v>3176</v>
      </c>
      <c r="AF1119">
        <f>V1085</f>
        <v>394.49305555555554</v>
      </c>
      <c r="AG1119">
        <f>X1085</f>
        <v>0</v>
      </c>
      <c r="AH1119">
        <f>Y1085</f>
        <v>0</v>
      </c>
      <c r="AI1119">
        <f>Z1085</f>
        <v>65.711111111111109</v>
      </c>
      <c r="AJ1119" s="727"/>
    </row>
    <row r="1120" spans="1:50" ht="15.75" customHeight="1" thickBot="1" x14ac:dyDescent="0.35">
      <c r="A1120" s="647" t="s">
        <v>1509</v>
      </c>
      <c r="B1120" s="644">
        <f ca="1">+$P$10-M1120</f>
        <v>27</v>
      </c>
      <c r="C1120" s="657">
        <v>5</v>
      </c>
      <c r="D1120" s="657">
        <v>0</v>
      </c>
      <c r="E1120" s="656" t="s">
        <v>2916</v>
      </c>
      <c r="F1120" s="139">
        <f t="shared" si="482"/>
        <v>245</v>
      </c>
      <c r="G1120" s="139">
        <f t="shared" si="483"/>
        <v>0</v>
      </c>
      <c r="H1120" s="139" t="s">
        <v>2916</v>
      </c>
      <c r="I1120" s="139">
        <f t="shared" si="484"/>
        <v>4410</v>
      </c>
      <c r="J1120" s="139">
        <f t="shared" si="485"/>
        <v>0</v>
      </c>
      <c r="K1120" s="139" t="s">
        <v>2916</v>
      </c>
      <c r="L1120" s="764">
        <f t="shared" si="486"/>
        <v>4410</v>
      </c>
      <c r="M1120" s="644">
        <f ca="1">SUMPRODUCT(--(WEEKDAY(ROW(INDIRECT(DATE($B$1103,MonthFromText(A1120),1)&amp;":"&amp;DATE($B$1103,MonthFromText(A1120),$P$10))),1)=1))</f>
        <v>4</v>
      </c>
      <c r="N1120" s="656">
        <v>3</v>
      </c>
      <c r="O1120" s="581">
        <f t="shared" si="488"/>
        <v>147</v>
      </c>
      <c r="P1120" s="646">
        <f t="shared" si="489"/>
        <v>3528</v>
      </c>
      <c r="Q1120" s="666">
        <f t="shared" ca="1" si="491"/>
        <v>133182</v>
      </c>
      <c r="R1120" s="673">
        <f t="shared" ca="1" si="490"/>
        <v>58040</v>
      </c>
      <c r="S1120" s="726">
        <v>6</v>
      </c>
      <c r="T1120" s="726">
        <v>4</v>
      </c>
      <c r="AD1120" s="721"/>
      <c r="AE1120" s="723" t="s">
        <v>3175</v>
      </c>
      <c r="AF1120">
        <f>W1085</f>
        <v>100.49305555555556</v>
      </c>
      <c r="AG1120">
        <f>X1085</f>
        <v>0</v>
      </c>
      <c r="AH1120">
        <f>Y1085</f>
        <v>0</v>
      </c>
      <c r="AI1120">
        <f>Z1085</f>
        <v>65.711111111111109</v>
      </c>
      <c r="AJ1120" s="727"/>
    </row>
    <row r="1121" spans="1:36" ht="15.75" customHeight="1" thickBot="1" x14ac:dyDescent="0.35">
      <c r="A1121" s="580"/>
      <c r="B1121" s="581"/>
      <c r="C1121" s="581"/>
      <c r="D1121" s="581"/>
      <c r="E1121" s="705"/>
      <c r="F1121" s="705"/>
      <c r="G1121" s="705"/>
      <c r="H1121" s="705"/>
      <c r="I1121" s="705"/>
      <c r="J1121" s="705"/>
      <c r="K1121" s="705"/>
      <c r="L1121" s="705"/>
      <c r="M1121" s="581"/>
      <c r="N1121" s="581"/>
      <c r="O1121" s="581"/>
      <c r="P1121" s="581"/>
      <c r="Q1121" s="645">
        <f ca="1">+SUM(Q1109:Q1120)</f>
        <v>1447999</v>
      </c>
      <c r="R1121" s="646">
        <f ca="1">+Q1121-B1015</f>
        <v>33623</v>
      </c>
      <c r="AD1121" s="721" t="s">
        <v>3178</v>
      </c>
      <c r="AE1121" s="723" t="s">
        <v>852</v>
      </c>
      <c r="AJ1121" s="727"/>
    </row>
    <row r="1122" spans="1:36" ht="15.75" customHeight="1" x14ac:dyDescent="0.3">
      <c r="A1122" s="641" t="s">
        <v>2891</v>
      </c>
      <c r="J1122" s="139"/>
      <c r="AD1122" s="721" t="s">
        <v>1905</v>
      </c>
      <c r="AE1122" s="723" t="s">
        <v>3176</v>
      </c>
      <c r="AF1122">
        <f>V1086</f>
        <v>399.4529569892473</v>
      </c>
      <c r="AG1122">
        <f>X1086</f>
        <v>0</v>
      </c>
      <c r="AH1122">
        <f>Y1086</f>
        <v>0</v>
      </c>
      <c r="AI1122">
        <f>Z1086</f>
        <v>65.215053763440849</v>
      </c>
      <c r="AJ1122" s="727"/>
    </row>
    <row r="1123" spans="1:36" ht="15.75" customHeight="1" x14ac:dyDescent="0.3">
      <c r="A1123" s="641" t="s">
        <v>2894</v>
      </c>
      <c r="AD1123" s="721"/>
      <c r="AE1123" s="723" t="s">
        <v>3175</v>
      </c>
      <c r="AF1123">
        <f>W1086</f>
        <v>105.4529569892473</v>
      </c>
      <c r="AG1123">
        <f>X1086</f>
        <v>0</v>
      </c>
      <c r="AH1123">
        <f>Y1086</f>
        <v>0</v>
      </c>
      <c r="AI1123">
        <f>Z1086</f>
        <v>65.215053763440849</v>
      </c>
      <c r="AJ1123" s="727"/>
    </row>
    <row r="1124" spans="1:36" ht="15.75" customHeight="1" x14ac:dyDescent="0.3">
      <c r="A1124" s="641" t="s">
        <v>2901</v>
      </c>
      <c r="AD1124" s="721" t="s">
        <v>3178</v>
      </c>
      <c r="AE1124" s="723" t="s">
        <v>852</v>
      </c>
      <c r="AJ1124" s="727"/>
    </row>
    <row r="1125" spans="1:36" ht="15.75" customHeight="1" x14ac:dyDescent="0.3">
      <c r="AD1125" s="721" t="s">
        <v>1906</v>
      </c>
      <c r="AE1125" s="723" t="s">
        <v>3176</v>
      </c>
      <c r="AF1125">
        <f>V1087</f>
        <v>206.97222222222223</v>
      </c>
      <c r="AG1125">
        <f>X1087</f>
        <v>0</v>
      </c>
      <c r="AH1125">
        <f>Y1087</f>
        <v>-20.447422188995493</v>
      </c>
      <c r="AI1125">
        <f>Z1087</f>
        <v>73.358333333333334</v>
      </c>
      <c r="AJ1125" s="727"/>
    </row>
    <row r="1126" spans="1:36" ht="15.75" customHeight="1" x14ac:dyDescent="0.3">
      <c r="A1126" t="s">
        <v>3191</v>
      </c>
      <c r="AD1126" s="721"/>
      <c r="AE1126" s="723" t="s">
        <v>3175</v>
      </c>
      <c r="AF1126">
        <f>W1087</f>
        <v>59.972222222222214</v>
      </c>
      <c r="AG1126">
        <f>X1087</f>
        <v>0</v>
      </c>
      <c r="AH1126">
        <f>Y1087</f>
        <v>-20.447422188995493</v>
      </c>
      <c r="AI1126">
        <f>Z1087</f>
        <v>73.358333333333334</v>
      </c>
      <c r="AJ1126" s="727"/>
    </row>
    <row r="1127" spans="1:36" ht="15.75" customHeight="1" x14ac:dyDescent="0.3">
      <c r="AD1127" s="721" t="s">
        <v>3178</v>
      </c>
      <c r="AE1127" s="723" t="s">
        <v>852</v>
      </c>
      <c r="AJ1127" s="727"/>
    </row>
    <row r="1128" spans="1:36" ht="15.75" customHeight="1" x14ac:dyDescent="0.3">
      <c r="AD1128" s="721" t="s">
        <v>1907</v>
      </c>
      <c r="AE1128" s="723" t="s">
        <v>3176</v>
      </c>
      <c r="AF1128">
        <f>V1088</f>
        <v>176.4771505376344</v>
      </c>
      <c r="AG1128">
        <f>X1088</f>
        <v>0</v>
      </c>
      <c r="AH1128">
        <f>Y1088</f>
        <v>-17.555120737608771</v>
      </c>
      <c r="AI1128">
        <f>Z1088</f>
        <v>65.482526881720432</v>
      </c>
      <c r="AJ1128" s="727"/>
    </row>
    <row r="1129" spans="1:36" ht="16.5" customHeight="1" x14ac:dyDescent="0.3">
      <c r="AD1129" s="721"/>
      <c r="AE1129" s="723" t="s">
        <v>3175</v>
      </c>
      <c r="AF1129">
        <f>W1088</f>
        <v>29.477150537634408</v>
      </c>
      <c r="AG1129">
        <f>X1088</f>
        <v>0</v>
      </c>
      <c r="AH1129">
        <f>Y1088</f>
        <v>-17.555120737608771</v>
      </c>
      <c r="AI1129">
        <f>Z1088</f>
        <v>65.482526881720432</v>
      </c>
      <c r="AJ1129" s="727"/>
    </row>
    <row r="1130" spans="1:36" ht="15.75" customHeight="1" x14ac:dyDescent="0.3">
      <c r="AD1130" s="721" t="s">
        <v>3178</v>
      </c>
      <c r="AE1130" s="723" t="s">
        <v>852</v>
      </c>
      <c r="AJ1130" s="727"/>
    </row>
    <row r="1131" spans="1:36" ht="16.5" customHeight="1" x14ac:dyDescent="0.3">
      <c r="AD1131" s="721" t="s">
        <v>1908</v>
      </c>
      <c r="AE1131" s="723" t="s">
        <v>3176</v>
      </c>
      <c r="AF1131">
        <f>V1089</f>
        <v>177.0779569892473</v>
      </c>
      <c r="AG1131">
        <f>X1089</f>
        <v>0</v>
      </c>
      <c r="AH1131">
        <f>Y1089</f>
        <v>-11.66489417009471</v>
      </c>
      <c r="AI1131">
        <f>Z1089</f>
        <v>67.611559139784958</v>
      </c>
      <c r="AJ1131" s="727"/>
    </row>
    <row r="1132" spans="1:36" ht="15.75" customHeight="1" x14ac:dyDescent="0.3">
      <c r="AD1132" s="721"/>
      <c r="AE1132" s="723" t="s">
        <v>3175</v>
      </c>
      <c r="AF1132">
        <f>W1089</f>
        <v>30.077956989247312</v>
      </c>
      <c r="AG1132">
        <f>X1089</f>
        <v>0</v>
      </c>
      <c r="AH1132">
        <f>Y1089</f>
        <v>-11.66489417009471</v>
      </c>
      <c r="AI1132">
        <f>Z1089</f>
        <v>67.611559139784958</v>
      </c>
      <c r="AJ1132" s="727"/>
    </row>
    <row r="1133" spans="1:36" ht="15.75" customHeight="1" x14ac:dyDescent="0.3">
      <c r="AD1133" s="721" t="s">
        <v>3178</v>
      </c>
      <c r="AE1133" s="723" t="s">
        <v>852</v>
      </c>
      <c r="AJ1133" s="727"/>
    </row>
    <row r="1134" spans="1:36" ht="15.75" customHeight="1" x14ac:dyDescent="0.3">
      <c r="AD1134" s="721" t="s">
        <v>3177</v>
      </c>
      <c r="AE1134" s="723" t="s">
        <v>3176</v>
      </c>
      <c r="AF1134">
        <f>V1090</f>
        <v>322.70277777777778</v>
      </c>
      <c r="AG1134">
        <f>X1090</f>
        <v>0</v>
      </c>
      <c r="AH1134">
        <f>Y1090</f>
        <v>0</v>
      </c>
      <c r="AI1134">
        <f>Z1090</f>
        <v>55.968055555555559</v>
      </c>
      <c r="AJ1134" s="727"/>
    </row>
    <row r="1135" spans="1:36" ht="15.75" customHeight="1" x14ac:dyDescent="0.3">
      <c r="AD1135" s="721"/>
      <c r="AE1135" s="723" t="s">
        <v>3175</v>
      </c>
      <c r="AF1135">
        <f>W1090</f>
        <v>77.702777777777783</v>
      </c>
      <c r="AG1135">
        <f>X1090</f>
        <v>0</v>
      </c>
      <c r="AH1135">
        <f>Y1090</f>
        <v>0</v>
      </c>
      <c r="AI1135">
        <f>Z1090</f>
        <v>55.968055555555559</v>
      </c>
      <c r="AJ1135" s="727"/>
    </row>
    <row r="1136" spans="1:36" ht="15.75" customHeight="1" x14ac:dyDescent="0.3">
      <c r="I1136" s="139"/>
      <c r="J1136" s="139"/>
      <c r="AD1136" s="721" t="s">
        <v>3178</v>
      </c>
      <c r="AE1136" s="723" t="s">
        <v>852</v>
      </c>
      <c r="AJ1136" s="727"/>
    </row>
    <row r="1137" spans="1:36" ht="15.75" customHeight="1" x14ac:dyDescent="0.3">
      <c r="AD1137" s="721" t="s">
        <v>2353</v>
      </c>
      <c r="AE1137" s="723" t="s">
        <v>3176</v>
      </c>
      <c r="AF1137">
        <f>V1091</f>
        <v>346.64784946236557</v>
      </c>
      <c r="AG1137">
        <f>X1091</f>
        <v>13.833928245462646</v>
      </c>
      <c r="AH1137">
        <f>Y1091</f>
        <v>0</v>
      </c>
      <c r="AI1137">
        <f>Z1091</f>
        <v>34.88575268817204</v>
      </c>
      <c r="AJ1137" s="727"/>
    </row>
    <row r="1138" spans="1:36" ht="15.75" customHeight="1" x14ac:dyDescent="0.3">
      <c r="AD1138" s="721"/>
      <c r="AE1138" s="723" t="s">
        <v>3175</v>
      </c>
      <c r="AF1138">
        <f>W1091</f>
        <v>101.6478494623656</v>
      </c>
      <c r="AG1138">
        <f>X1091</f>
        <v>13.833928245462646</v>
      </c>
      <c r="AH1138">
        <f>Y1091</f>
        <v>0</v>
      </c>
      <c r="AI1138">
        <f>Z1091</f>
        <v>34.88575268817204</v>
      </c>
      <c r="AJ1138" s="727"/>
    </row>
    <row r="1139" spans="1:36" ht="15.75" customHeight="1" x14ac:dyDescent="0.3">
      <c r="AD1139" s="721" t="s">
        <v>3178</v>
      </c>
      <c r="AE1139" s="723" t="s">
        <v>852</v>
      </c>
      <c r="AJ1139" s="727"/>
    </row>
    <row r="1140" spans="1:36" ht="15.75" customHeight="1" x14ac:dyDescent="0.3">
      <c r="AD1140" s="721" t="s">
        <v>2354</v>
      </c>
      <c r="AE1140" s="723" t="s">
        <v>3176</v>
      </c>
      <c r="AF1140">
        <f>V1092</f>
        <v>345.57361111111112</v>
      </c>
      <c r="AG1140">
        <f>X1092</f>
        <v>20.600091752781811</v>
      </c>
      <c r="AH1140">
        <f>Y1092</f>
        <v>0</v>
      </c>
      <c r="AI1140">
        <f>Z1092</f>
        <v>16.701388888888889</v>
      </c>
      <c r="AJ1140" s="727"/>
    </row>
    <row r="1141" spans="1:36" ht="15.75" customHeight="1" x14ac:dyDescent="0.3">
      <c r="AD1141" s="721"/>
      <c r="AE1141" s="723" t="s">
        <v>3175</v>
      </c>
      <c r="AF1141">
        <f>W1092</f>
        <v>100.57361111111111</v>
      </c>
      <c r="AG1141">
        <f>X1092</f>
        <v>20.600091752781811</v>
      </c>
      <c r="AH1141">
        <f>Y1092</f>
        <v>0</v>
      </c>
      <c r="AI1141">
        <f>Z1092</f>
        <v>16.701388888888889</v>
      </c>
      <c r="AJ1141" s="727"/>
    </row>
    <row r="1142" spans="1:36" ht="15.75" customHeight="1" x14ac:dyDescent="0.3">
      <c r="AD1142" s="721" t="s">
        <v>3178</v>
      </c>
      <c r="AE1142" s="723" t="s">
        <v>852</v>
      </c>
      <c r="AJ1142" s="727"/>
    </row>
    <row r="1143" spans="1:36" ht="15.75" customHeight="1" thickBot="1" x14ac:dyDescent="0.35">
      <c r="AD1143" s="721" t="s">
        <v>2355</v>
      </c>
      <c r="AE1143" s="723" t="s">
        <v>3176</v>
      </c>
      <c r="AF1143">
        <f>V1093</f>
        <v>293.55376344086022</v>
      </c>
      <c r="AG1143">
        <f>X1093</f>
        <v>6.2277087662085187</v>
      </c>
      <c r="AH1143">
        <f>Y1093</f>
        <v>0</v>
      </c>
      <c r="AI1143">
        <f>Z1093</f>
        <v>10.478494623655914</v>
      </c>
      <c r="AJ1143" s="727"/>
    </row>
    <row r="1144" spans="1:36" ht="15.75" customHeight="1" x14ac:dyDescent="0.35">
      <c r="A1144" s="749"/>
      <c r="B1144" s="701"/>
      <c r="C1144" s="768"/>
      <c r="D1144" s="768"/>
      <c r="E1144" s="768"/>
      <c r="F1144" s="768"/>
      <c r="G1144" s="768"/>
      <c r="H1144" s="750" t="s">
        <v>1623</v>
      </c>
      <c r="I1144" s="701"/>
      <c r="J1144" s="701"/>
      <c r="K1144" s="701"/>
      <c r="L1144" s="701"/>
      <c r="M1144" s="701"/>
      <c r="N1144" s="701"/>
      <c r="O1144" s="701"/>
      <c r="P1144" s="701"/>
      <c r="Q1144" s="752" t="str">
        <f>+Q1</f>
        <v xml:space="preserve">PRINTED:  </v>
      </c>
      <c r="R1144" s="756">
        <f ca="1">+R1</f>
        <v>44881.729633912037</v>
      </c>
      <c r="S1144" s="702"/>
      <c r="AD1144" s="721"/>
      <c r="AE1144" s="723" t="s">
        <v>3175</v>
      </c>
      <c r="AF1144">
        <f>W1093</f>
        <v>48.553763440860209</v>
      </c>
      <c r="AG1144">
        <f>X1093</f>
        <v>6.2277087662085187</v>
      </c>
      <c r="AH1144">
        <f>Y1093</f>
        <v>0</v>
      </c>
      <c r="AI1144">
        <f>Z1093</f>
        <v>10.478494623655914</v>
      </c>
      <c r="AJ1144" s="727"/>
    </row>
    <row r="1145" spans="1:36" ht="15.75" customHeight="1" thickBot="1" x14ac:dyDescent="0.4">
      <c r="A1145" s="551"/>
      <c r="B1145" s="67"/>
      <c r="C1145" s="215"/>
      <c r="D1145" s="215"/>
      <c r="E1145" s="215"/>
      <c r="F1145" s="215"/>
      <c r="G1145" s="215"/>
      <c r="H1145" s="67" t="s">
        <v>2435</v>
      </c>
      <c r="I1145" s="67" t="s">
        <v>852</v>
      </c>
      <c r="J1145" s="69" t="str">
        <f>+A8</f>
        <v>Revised:  2/5/2020</v>
      </c>
      <c r="K1145" s="67"/>
      <c r="L1145" s="67"/>
      <c r="M1145" s="67"/>
      <c r="N1145" s="67"/>
      <c r="O1145" s="67"/>
      <c r="P1145" s="67"/>
      <c r="Q1145" s="67"/>
      <c r="R1145" s="67"/>
      <c r="S1145" s="727"/>
      <c r="AD1145" s="722" t="s">
        <v>3178</v>
      </c>
      <c r="AE1145" s="724" t="s">
        <v>852</v>
      </c>
      <c r="AF1145" s="581"/>
      <c r="AG1145" s="581"/>
      <c r="AH1145" s="581"/>
      <c r="AI1145" s="581"/>
      <c r="AJ1145" s="565"/>
    </row>
    <row r="1146" spans="1:36" ht="15.75" customHeight="1" x14ac:dyDescent="0.35">
      <c r="A1146" s="551"/>
      <c r="B1146" s="67"/>
      <c r="C1146" s="215"/>
      <c r="D1146" s="215"/>
      <c r="E1146" s="215"/>
      <c r="F1146" s="215"/>
      <c r="G1146" s="215"/>
      <c r="H1146" s="67" t="s">
        <v>2126</v>
      </c>
      <c r="I1146" s="67"/>
      <c r="J1146" s="67"/>
      <c r="K1146" s="67"/>
      <c r="L1146" s="67"/>
      <c r="M1146" s="67"/>
      <c r="N1146" s="67"/>
      <c r="O1146" s="67"/>
      <c r="P1146" s="67"/>
      <c r="Q1146" s="67"/>
      <c r="R1146" s="67"/>
      <c r="S1146" s="727"/>
    </row>
    <row r="1147" spans="1:36" ht="15.75" customHeight="1" x14ac:dyDescent="0.35">
      <c r="A1147" s="551"/>
      <c r="B1147" s="67"/>
      <c r="C1147" s="215"/>
      <c r="D1147" s="215"/>
      <c r="E1147" s="215"/>
      <c r="F1147" s="215"/>
      <c r="G1147" s="215"/>
      <c r="H1147" s="67"/>
      <c r="I1147" s="67"/>
      <c r="J1147" s="67"/>
      <c r="K1147" s="67"/>
      <c r="L1147" s="67"/>
      <c r="M1147" s="67"/>
      <c r="N1147" s="67"/>
      <c r="O1147" s="67"/>
      <c r="P1147" s="67"/>
      <c r="Q1147" s="67"/>
      <c r="R1147" s="67"/>
      <c r="S1147" s="727"/>
    </row>
    <row r="1148" spans="1:36" ht="15.75" customHeight="1" x14ac:dyDescent="0.35">
      <c r="A1148" s="551"/>
      <c r="B1148" s="67"/>
      <c r="C1148" s="215"/>
      <c r="D1148" s="215"/>
      <c r="E1148" s="215"/>
      <c r="F1148" s="215"/>
      <c r="G1148" s="215"/>
      <c r="H1148" s="67" t="s">
        <v>2435</v>
      </c>
      <c r="I1148" s="676">
        <f>+A5</f>
        <v>2022</v>
      </c>
      <c r="J1148" s="67"/>
      <c r="K1148" s="67"/>
      <c r="L1148" s="67"/>
      <c r="M1148" s="67"/>
      <c r="N1148" s="67"/>
      <c r="O1148" s="67"/>
      <c r="P1148" s="67"/>
      <c r="Q1148" s="67"/>
      <c r="R1148" s="67"/>
      <c r="S1148" s="727"/>
    </row>
    <row r="1149" spans="1:36" ht="15.75" customHeight="1" x14ac:dyDescent="0.3">
      <c r="A1149" s="551"/>
      <c r="B1149" s="67"/>
      <c r="C1149" s="67"/>
      <c r="D1149" s="67"/>
      <c r="E1149" s="67"/>
      <c r="F1149" s="67"/>
      <c r="G1149" s="67"/>
      <c r="H1149" s="67"/>
      <c r="I1149" s="67"/>
      <c r="J1149" s="67"/>
      <c r="K1149" s="67"/>
      <c r="L1149" s="67"/>
      <c r="M1149" s="67"/>
      <c r="N1149" s="67"/>
      <c r="O1149" s="67"/>
      <c r="P1149" s="67"/>
      <c r="Q1149" s="67"/>
      <c r="R1149" s="67"/>
      <c r="S1149" s="727"/>
    </row>
    <row r="1150" spans="1:36" ht="15.75" customHeight="1" x14ac:dyDescent="0.3">
      <c r="A1150" s="551"/>
      <c r="B1150" s="67"/>
      <c r="C1150" s="71" t="s">
        <v>1442</v>
      </c>
      <c r="D1150" s="67"/>
      <c r="E1150" s="67"/>
      <c r="F1150" s="67"/>
      <c r="G1150" s="71" t="s">
        <v>1409</v>
      </c>
      <c r="H1150" s="67"/>
      <c r="I1150" s="67"/>
      <c r="J1150" s="67"/>
      <c r="K1150" s="68" t="s">
        <v>234</v>
      </c>
      <c r="L1150" s="67"/>
      <c r="M1150" s="67"/>
      <c r="N1150" s="67"/>
      <c r="O1150" s="68" t="s">
        <v>1701</v>
      </c>
      <c r="P1150" s="67"/>
      <c r="Q1150" s="67"/>
      <c r="R1150" s="67"/>
      <c r="S1150" s="727"/>
    </row>
    <row r="1151" spans="1:36" ht="15.75" customHeight="1" x14ac:dyDescent="0.3">
      <c r="A1151" s="551"/>
      <c r="B1151" s="67"/>
      <c r="C1151" s="67">
        <f>+A5</f>
        <v>2022</v>
      </c>
      <c r="D1151" s="67"/>
      <c r="E1151" s="67"/>
      <c r="F1151" s="67" t="s">
        <v>2415</v>
      </c>
      <c r="G1151" s="67"/>
      <c r="H1151" s="67"/>
      <c r="I1151" s="67"/>
      <c r="J1151" s="67"/>
      <c r="K1151" s="67">
        <f>+A5</f>
        <v>2022</v>
      </c>
      <c r="L1151" s="67"/>
      <c r="M1151" s="67"/>
      <c r="N1151" s="67"/>
      <c r="O1151" s="67">
        <f>+A5</f>
        <v>2022</v>
      </c>
      <c r="P1151" s="67"/>
      <c r="Q1151" s="67"/>
      <c r="R1151" s="67"/>
      <c r="S1151" s="727"/>
    </row>
    <row r="1152" spans="1:36" ht="15.75" customHeight="1" x14ac:dyDescent="0.3">
      <c r="A1152" s="551"/>
      <c r="B1152" s="67"/>
      <c r="C1152" s="67"/>
      <c r="D1152" s="67"/>
      <c r="E1152" s="67"/>
      <c r="F1152" s="67"/>
      <c r="G1152" s="67">
        <f>+A5</f>
        <v>2022</v>
      </c>
      <c r="H1152" s="67"/>
      <c r="I1152" s="67"/>
      <c r="J1152" s="67"/>
      <c r="K1152" s="67"/>
      <c r="L1152" s="67"/>
      <c r="M1152" s="67"/>
      <c r="N1152" s="67"/>
      <c r="O1152" s="67"/>
      <c r="P1152" s="67"/>
      <c r="Q1152" s="67"/>
      <c r="R1152" s="67"/>
      <c r="S1152" s="727"/>
    </row>
    <row r="1153" spans="1:19" ht="15.75" customHeight="1" x14ac:dyDescent="0.3">
      <c r="A1153" s="551"/>
      <c r="B1153" s="67"/>
      <c r="C1153" s="70" t="s">
        <v>1413</v>
      </c>
      <c r="D1153" s="70" t="s">
        <v>31</v>
      </c>
      <c r="E1153" s="70" t="s">
        <v>32</v>
      </c>
      <c r="F1153" s="67"/>
      <c r="G1153" s="70" t="s">
        <v>1412</v>
      </c>
      <c r="H1153" s="70" t="s">
        <v>31</v>
      </c>
      <c r="I1153" s="70" t="s">
        <v>1077</v>
      </c>
      <c r="J1153" s="67"/>
      <c r="K1153" s="70" t="s">
        <v>229</v>
      </c>
      <c r="L1153" s="70" t="s">
        <v>31</v>
      </c>
      <c r="M1153" s="70" t="s">
        <v>1078</v>
      </c>
      <c r="N1153" s="67"/>
      <c r="O1153" s="70" t="s">
        <v>229</v>
      </c>
      <c r="P1153" s="70" t="s">
        <v>31</v>
      </c>
      <c r="Q1153" s="70" t="s">
        <v>1078</v>
      </c>
      <c r="R1153" s="67"/>
      <c r="S1153" s="727"/>
    </row>
    <row r="1154" spans="1:19" ht="15.75" customHeight="1" x14ac:dyDescent="0.3">
      <c r="A1154" s="551"/>
      <c r="B1154" s="67"/>
      <c r="C1154" s="70" t="s">
        <v>429</v>
      </c>
      <c r="D1154" s="70" t="s">
        <v>335</v>
      </c>
      <c r="E1154" s="70" t="s">
        <v>2000</v>
      </c>
      <c r="F1154" s="67"/>
      <c r="G1154" s="70" t="s">
        <v>1318</v>
      </c>
      <c r="H1154" s="70" t="s">
        <v>335</v>
      </c>
      <c r="I1154" s="70" t="s">
        <v>2000</v>
      </c>
      <c r="J1154" s="67"/>
      <c r="K1154" s="70" t="s">
        <v>1180</v>
      </c>
      <c r="L1154" s="70" t="s">
        <v>335</v>
      </c>
      <c r="M1154" s="70" t="s">
        <v>2000</v>
      </c>
      <c r="N1154" s="67"/>
      <c r="O1154" s="70" t="s">
        <v>1180</v>
      </c>
      <c r="P1154" s="70" t="s">
        <v>335</v>
      </c>
      <c r="Q1154" s="70" t="s">
        <v>2000</v>
      </c>
      <c r="R1154" s="67"/>
      <c r="S1154" s="727"/>
    </row>
    <row r="1155" spans="1:19" ht="15.75" customHeight="1" x14ac:dyDescent="0.3">
      <c r="A1155" s="551"/>
      <c r="B1155" s="67"/>
      <c r="C1155" s="70" t="s">
        <v>335</v>
      </c>
      <c r="D1155" s="70" t="s">
        <v>956</v>
      </c>
      <c r="E1155" s="70" t="s">
        <v>242</v>
      </c>
      <c r="F1155" s="67"/>
      <c r="G1155" s="70" t="s">
        <v>134</v>
      </c>
      <c r="H1155" s="70" t="s">
        <v>956</v>
      </c>
      <c r="I1155" s="70" t="s">
        <v>242</v>
      </c>
      <c r="J1155" s="67"/>
      <c r="K1155" s="70" t="s">
        <v>335</v>
      </c>
      <c r="L1155" s="70" t="s">
        <v>956</v>
      </c>
      <c r="M1155" s="70" t="s">
        <v>242</v>
      </c>
      <c r="N1155" s="67"/>
      <c r="O1155" s="70" t="s">
        <v>335</v>
      </c>
      <c r="P1155" s="70" t="s">
        <v>956</v>
      </c>
      <c r="Q1155" s="70" t="s">
        <v>242</v>
      </c>
      <c r="R1155" s="67"/>
      <c r="S1155" s="727"/>
    </row>
    <row r="1156" spans="1:19" ht="15.75" customHeight="1" x14ac:dyDescent="0.3">
      <c r="A1156" s="551"/>
      <c r="B1156" s="67"/>
      <c r="C1156" s="70" t="s">
        <v>932</v>
      </c>
      <c r="D1156" s="70" t="s">
        <v>1917</v>
      </c>
      <c r="E1156" s="70" t="s">
        <v>1481</v>
      </c>
      <c r="F1156" s="67"/>
      <c r="G1156" s="70" t="s">
        <v>932</v>
      </c>
      <c r="H1156" s="70" t="s">
        <v>1917</v>
      </c>
      <c r="I1156" s="70" t="s">
        <v>1481</v>
      </c>
      <c r="J1156" s="67"/>
      <c r="K1156" s="70" t="s">
        <v>932</v>
      </c>
      <c r="L1156" s="70" t="s">
        <v>1917</v>
      </c>
      <c r="M1156" s="70" t="s">
        <v>1481</v>
      </c>
      <c r="N1156" s="67"/>
      <c r="O1156" s="70" t="s">
        <v>932</v>
      </c>
      <c r="P1156" s="70" t="s">
        <v>1917</v>
      </c>
      <c r="Q1156" s="70" t="s">
        <v>1481</v>
      </c>
      <c r="R1156" s="67"/>
      <c r="S1156" s="727"/>
    </row>
    <row r="1157" spans="1:19" ht="15.75" customHeight="1" x14ac:dyDescent="0.3">
      <c r="A1157" s="551"/>
      <c r="B1157" s="67"/>
      <c r="C1157" s="67" t="s">
        <v>1353</v>
      </c>
      <c r="D1157" s="67" t="s">
        <v>1353</v>
      </c>
      <c r="E1157" s="67" t="s">
        <v>1353</v>
      </c>
      <c r="F1157" s="67"/>
      <c r="G1157" s="70" t="s">
        <v>1353</v>
      </c>
      <c r="H1157" s="70" t="s">
        <v>1353</v>
      </c>
      <c r="I1157" s="70" t="s">
        <v>1353</v>
      </c>
      <c r="J1157" s="67"/>
      <c r="K1157" s="67" t="s">
        <v>1353</v>
      </c>
      <c r="L1157" s="67" t="s">
        <v>1353</v>
      </c>
      <c r="M1157" s="67" t="s">
        <v>1353</v>
      </c>
      <c r="N1157" s="67"/>
      <c r="O1157" s="67" t="s">
        <v>1353</v>
      </c>
      <c r="P1157" s="67" t="s">
        <v>1353</v>
      </c>
      <c r="Q1157" s="67" t="s">
        <v>1353</v>
      </c>
      <c r="R1157" s="67"/>
      <c r="S1157" s="727"/>
    </row>
    <row r="1158" spans="1:19" ht="15.75" customHeight="1" x14ac:dyDescent="0.3">
      <c r="A1158" s="553" t="s">
        <v>1354</v>
      </c>
      <c r="B1158" s="67"/>
      <c r="C1158" s="67">
        <f t="shared" ref="C1158:C1169" si="492">(P1030)</f>
        <v>0.2</v>
      </c>
      <c r="D1158" s="72">
        <v>0</v>
      </c>
      <c r="E1158" s="73">
        <f t="shared" ref="E1158:E1169" si="493">(P1030*D1158/1000)</f>
        <v>0</v>
      </c>
      <c r="F1158" s="67"/>
      <c r="G1158" s="67">
        <v>0</v>
      </c>
      <c r="H1158" s="72">
        <v>0</v>
      </c>
      <c r="I1158" s="73">
        <f t="shared" ref="I1158:I1169" si="494">(G1158*H1158/1000)</f>
        <v>0</v>
      </c>
      <c r="J1158" s="67"/>
      <c r="K1158" s="589">
        <v>11848</v>
      </c>
      <c r="L1158" s="590">
        <v>0</v>
      </c>
      <c r="M1158" s="73">
        <f t="shared" ref="M1158:M1169" si="495">(K1158*L1158/1000)</f>
        <v>0</v>
      </c>
      <c r="N1158" s="67"/>
      <c r="O1158" s="589">
        <v>0</v>
      </c>
      <c r="P1158" s="72">
        <v>0</v>
      </c>
      <c r="Q1158" s="73">
        <f t="shared" ref="Q1158:Q1169" si="496">(O1158*P1158/1000)</f>
        <v>0</v>
      </c>
      <c r="R1158" s="67"/>
      <c r="S1158" s="727"/>
    </row>
    <row r="1159" spans="1:19" ht="15.75" customHeight="1" x14ac:dyDescent="0.3">
      <c r="A1159" s="553" t="s">
        <v>706</v>
      </c>
      <c r="B1159" s="67"/>
      <c r="C1159" s="67">
        <f t="shared" si="492"/>
        <v>0.25</v>
      </c>
      <c r="D1159" s="72">
        <v>0</v>
      </c>
      <c r="E1159" s="73">
        <f t="shared" si="493"/>
        <v>0</v>
      </c>
      <c r="F1159" s="67"/>
      <c r="G1159" s="67" t="e">
        <f>#REF!</f>
        <v>#REF!</v>
      </c>
      <c r="H1159" s="72">
        <v>0</v>
      </c>
      <c r="I1159" s="73" t="e">
        <f t="shared" si="494"/>
        <v>#REF!</v>
      </c>
      <c r="J1159" s="67"/>
      <c r="K1159" s="589">
        <v>11489</v>
      </c>
      <c r="L1159" s="590">
        <v>0</v>
      </c>
      <c r="M1159" s="73">
        <f t="shared" si="495"/>
        <v>0</v>
      </c>
      <c r="N1159" s="67"/>
      <c r="O1159" s="589">
        <v>0</v>
      </c>
      <c r="P1159" s="72">
        <v>0</v>
      </c>
      <c r="Q1159" s="73">
        <f t="shared" si="496"/>
        <v>0</v>
      </c>
      <c r="R1159" s="67"/>
      <c r="S1159" s="727"/>
    </row>
    <row r="1160" spans="1:19" ht="15.75" customHeight="1" x14ac:dyDescent="0.3">
      <c r="A1160" s="553" t="s">
        <v>707</v>
      </c>
      <c r="B1160" s="67"/>
      <c r="C1160" s="67">
        <f t="shared" si="492"/>
        <v>0.3</v>
      </c>
      <c r="D1160" s="72">
        <v>0</v>
      </c>
      <c r="E1160" s="73">
        <f t="shared" si="493"/>
        <v>0</v>
      </c>
      <c r="F1160" s="67">
        <f>SUM(E1158:E1160)</f>
        <v>0</v>
      </c>
      <c r="G1160" s="67" t="e">
        <f>#REF!</f>
        <v>#REF!</v>
      </c>
      <c r="H1160" s="72">
        <v>0</v>
      </c>
      <c r="I1160" s="73" t="e">
        <f t="shared" si="494"/>
        <v>#REF!</v>
      </c>
      <c r="J1160" s="67" t="e">
        <f>SUM(I1158:I1160)</f>
        <v>#REF!</v>
      </c>
      <c r="K1160" s="589">
        <v>16247</v>
      </c>
      <c r="L1160" s="590">
        <v>0</v>
      </c>
      <c r="M1160" s="73">
        <f t="shared" si="495"/>
        <v>0</v>
      </c>
      <c r="N1160" s="67">
        <f>SUM(M1158:M1160)</f>
        <v>0</v>
      </c>
      <c r="O1160" s="589">
        <v>0</v>
      </c>
      <c r="P1160" s="72">
        <v>0</v>
      </c>
      <c r="Q1160" s="73">
        <f t="shared" si="496"/>
        <v>0</v>
      </c>
      <c r="R1160" s="67">
        <f>SUM(Q1158:Q1160)</f>
        <v>0</v>
      </c>
      <c r="S1160" s="727"/>
    </row>
    <row r="1161" spans="1:19" ht="15.75" customHeight="1" x14ac:dyDescent="0.3">
      <c r="A1161" s="553" t="s">
        <v>1321</v>
      </c>
      <c r="B1161" s="67"/>
      <c r="C1161" s="67">
        <f t="shared" si="492"/>
        <v>0.35</v>
      </c>
      <c r="D1161" s="72">
        <v>0</v>
      </c>
      <c r="E1161" s="73">
        <f t="shared" si="493"/>
        <v>0</v>
      </c>
      <c r="F1161" s="67"/>
      <c r="G1161" s="67" t="e">
        <f>#REF!</f>
        <v>#REF!</v>
      </c>
      <c r="H1161" s="72">
        <v>0</v>
      </c>
      <c r="I1161" s="73" t="e">
        <f t="shared" si="494"/>
        <v>#REF!</v>
      </c>
      <c r="J1161" s="67"/>
      <c r="K1161" s="589">
        <v>17740</v>
      </c>
      <c r="L1161" s="590">
        <v>0</v>
      </c>
      <c r="M1161" s="73">
        <f t="shared" si="495"/>
        <v>0</v>
      </c>
      <c r="N1161" s="67"/>
      <c r="O1161" s="589">
        <v>0</v>
      </c>
      <c r="P1161" s="72">
        <v>0</v>
      </c>
      <c r="Q1161" s="73">
        <f t="shared" si="496"/>
        <v>0</v>
      </c>
      <c r="R1161" s="67"/>
      <c r="S1161" s="727"/>
    </row>
    <row r="1162" spans="1:19" ht="15.75" customHeight="1" x14ac:dyDescent="0.3">
      <c r="A1162" s="553" t="s">
        <v>1905</v>
      </c>
      <c r="B1162" s="67"/>
      <c r="C1162" s="67">
        <f t="shared" si="492"/>
        <v>0.35</v>
      </c>
      <c r="D1162" s="72">
        <v>0</v>
      </c>
      <c r="E1162" s="73">
        <f t="shared" si="493"/>
        <v>0</v>
      </c>
      <c r="F1162" s="67"/>
      <c r="G1162" s="67" t="e">
        <f>#REF!</f>
        <v>#REF!</v>
      </c>
      <c r="H1162" s="72">
        <v>0</v>
      </c>
      <c r="I1162" s="73" t="e">
        <f t="shared" si="494"/>
        <v>#REF!</v>
      </c>
      <c r="J1162" s="67"/>
      <c r="K1162" s="589">
        <v>15434</v>
      </c>
      <c r="L1162" s="590">
        <v>0</v>
      </c>
      <c r="M1162" s="73">
        <f t="shared" si="495"/>
        <v>0</v>
      </c>
      <c r="N1162" s="67"/>
      <c r="O1162" s="589">
        <v>0</v>
      </c>
      <c r="P1162" s="72">
        <v>0</v>
      </c>
      <c r="Q1162" s="73">
        <f t="shared" si="496"/>
        <v>0</v>
      </c>
      <c r="R1162" s="67"/>
      <c r="S1162" s="727"/>
    </row>
    <row r="1163" spans="1:19" ht="15.75" customHeight="1" x14ac:dyDescent="0.3">
      <c r="A1163" s="553" t="s">
        <v>1906</v>
      </c>
      <c r="B1163" s="67"/>
      <c r="C1163" s="67">
        <f t="shared" si="492"/>
        <v>7.4999999999999997E-2</v>
      </c>
      <c r="D1163" s="72">
        <v>0</v>
      </c>
      <c r="E1163" s="73">
        <f t="shared" si="493"/>
        <v>0</v>
      </c>
      <c r="F1163" s="67">
        <f>SUM(E1161:E1163)</f>
        <v>0</v>
      </c>
      <c r="G1163" s="67" t="e">
        <f>#REF!</f>
        <v>#REF!</v>
      </c>
      <c r="H1163" s="72">
        <v>0</v>
      </c>
      <c r="I1163" s="73" t="e">
        <f t="shared" si="494"/>
        <v>#REF!</v>
      </c>
      <c r="J1163" s="67" t="e">
        <f>SUM(I1161:I1163)</f>
        <v>#REF!</v>
      </c>
      <c r="K1163" s="589">
        <v>14355</v>
      </c>
      <c r="L1163" s="590">
        <v>0</v>
      </c>
      <c r="M1163" s="73">
        <f t="shared" si="495"/>
        <v>0</v>
      </c>
      <c r="N1163" s="67">
        <f>SUM(M1161:M1163)</f>
        <v>0</v>
      </c>
      <c r="O1163" s="589">
        <v>0</v>
      </c>
      <c r="P1163" s="72">
        <v>0</v>
      </c>
      <c r="Q1163" s="73">
        <f t="shared" si="496"/>
        <v>0</v>
      </c>
      <c r="R1163" s="67">
        <f>SUM(Q1161:Q1163)</f>
        <v>0</v>
      </c>
      <c r="S1163" s="727"/>
    </row>
    <row r="1164" spans="1:19" ht="15.75" customHeight="1" x14ac:dyDescent="0.3">
      <c r="A1164" s="553" t="s">
        <v>1907</v>
      </c>
      <c r="B1164" s="67"/>
      <c r="C1164" s="67">
        <f t="shared" si="492"/>
        <v>0.05</v>
      </c>
      <c r="D1164" s="72">
        <v>0</v>
      </c>
      <c r="E1164" s="73">
        <f t="shared" si="493"/>
        <v>0</v>
      </c>
      <c r="F1164" s="67"/>
      <c r="G1164" s="67" t="e">
        <f>#REF!</f>
        <v>#REF!</v>
      </c>
      <c r="H1164" s="72">
        <v>0</v>
      </c>
      <c r="I1164" s="73" t="e">
        <f t="shared" si="494"/>
        <v>#REF!</v>
      </c>
      <c r="J1164" s="67"/>
      <c r="K1164" s="589">
        <v>13129</v>
      </c>
      <c r="L1164" s="590">
        <v>0</v>
      </c>
      <c r="M1164" s="73">
        <f t="shared" si="495"/>
        <v>0</v>
      </c>
      <c r="N1164" s="67"/>
      <c r="O1164" s="589">
        <v>0</v>
      </c>
      <c r="P1164" s="72">
        <v>0</v>
      </c>
      <c r="Q1164" s="73">
        <f t="shared" si="496"/>
        <v>0</v>
      </c>
      <c r="R1164" s="67"/>
      <c r="S1164" s="727"/>
    </row>
    <row r="1165" spans="1:19" ht="15.75" customHeight="1" x14ac:dyDescent="0.3">
      <c r="A1165" s="553" t="s">
        <v>1908</v>
      </c>
      <c r="B1165" s="67"/>
      <c r="C1165" s="67">
        <f t="shared" si="492"/>
        <v>0</v>
      </c>
      <c r="D1165" s="72">
        <v>0</v>
      </c>
      <c r="E1165" s="73">
        <f t="shared" si="493"/>
        <v>0</v>
      </c>
      <c r="F1165" s="67"/>
      <c r="G1165" s="67" t="e">
        <f>#REF!</f>
        <v>#REF!</v>
      </c>
      <c r="H1165" s="72">
        <v>0</v>
      </c>
      <c r="I1165" s="73" t="e">
        <f t="shared" si="494"/>
        <v>#REF!</v>
      </c>
      <c r="J1165" s="67"/>
      <c r="K1165" s="589">
        <v>12545</v>
      </c>
      <c r="L1165" s="590">
        <v>0</v>
      </c>
      <c r="M1165" s="73">
        <f t="shared" si="495"/>
        <v>0</v>
      </c>
      <c r="N1165" s="67"/>
      <c r="O1165" s="589">
        <v>0</v>
      </c>
      <c r="P1165" s="72">
        <v>0</v>
      </c>
      <c r="Q1165" s="73">
        <f t="shared" si="496"/>
        <v>0</v>
      </c>
      <c r="R1165" s="67"/>
      <c r="S1165" s="727"/>
    </row>
    <row r="1166" spans="1:19" ht="15.75" customHeight="1" x14ac:dyDescent="0.3">
      <c r="A1166" s="553" t="s">
        <v>2352</v>
      </c>
      <c r="B1166" s="67"/>
      <c r="C1166" s="67">
        <f t="shared" si="492"/>
        <v>0.05</v>
      </c>
      <c r="D1166" s="72">
        <v>0</v>
      </c>
      <c r="E1166" s="73">
        <f t="shared" si="493"/>
        <v>0</v>
      </c>
      <c r="F1166" s="67">
        <f>SUM(E1164:E1166)</f>
        <v>0</v>
      </c>
      <c r="G1166" s="67" t="e">
        <f>#REF!</f>
        <v>#REF!</v>
      </c>
      <c r="H1166" s="72">
        <v>0</v>
      </c>
      <c r="I1166" s="73" t="e">
        <f t="shared" si="494"/>
        <v>#REF!</v>
      </c>
      <c r="J1166" s="67" t="e">
        <f>SUM(I1164:I1166)</f>
        <v>#REF!</v>
      </c>
      <c r="K1166" s="589">
        <v>9350</v>
      </c>
      <c r="L1166" s="590">
        <v>0</v>
      </c>
      <c r="M1166" s="73">
        <f t="shared" si="495"/>
        <v>0</v>
      </c>
      <c r="N1166" s="67">
        <f>SUM(M1164:M1166)</f>
        <v>0</v>
      </c>
      <c r="O1166" s="589">
        <v>0</v>
      </c>
      <c r="P1166" s="72">
        <v>0</v>
      </c>
      <c r="Q1166" s="73">
        <f t="shared" si="496"/>
        <v>0</v>
      </c>
      <c r="R1166" s="67">
        <f>SUM(Q1164:Q1166)</f>
        <v>0</v>
      </c>
      <c r="S1166" s="727"/>
    </row>
    <row r="1167" spans="1:19" ht="15.75" customHeight="1" x14ac:dyDescent="0.3">
      <c r="A1167" s="553" t="s">
        <v>2353</v>
      </c>
      <c r="B1167" s="67"/>
      <c r="C1167" s="67">
        <f t="shared" si="492"/>
        <v>0.2</v>
      </c>
      <c r="D1167" s="72">
        <v>0</v>
      </c>
      <c r="E1167" s="73">
        <f t="shared" si="493"/>
        <v>0</v>
      </c>
      <c r="F1167" s="67"/>
      <c r="G1167" s="67" t="e">
        <f>#REF!</f>
        <v>#REF!</v>
      </c>
      <c r="H1167" s="72">
        <v>0</v>
      </c>
      <c r="I1167" s="73" t="e">
        <f t="shared" si="494"/>
        <v>#REF!</v>
      </c>
      <c r="J1167" s="67"/>
      <c r="K1167" s="589">
        <v>11649</v>
      </c>
      <c r="L1167" s="590">
        <v>0</v>
      </c>
      <c r="M1167" s="73">
        <f t="shared" si="495"/>
        <v>0</v>
      </c>
      <c r="N1167" s="67"/>
      <c r="O1167" s="589">
        <v>0</v>
      </c>
      <c r="P1167" s="72">
        <v>0</v>
      </c>
      <c r="Q1167" s="73">
        <f t="shared" si="496"/>
        <v>0</v>
      </c>
      <c r="R1167" s="67"/>
      <c r="S1167" s="727"/>
    </row>
    <row r="1168" spans="1:19" ht="15.75" customHeight="1" x14ac:dyDescent="0.3">
      <c r="A1168" s="553" t="s">
        <v>2354</v>
      </c>
      <c r="B1168" s="67"/>
      <c r="C1168" s="67">
        <f t="shared" si="492"/>
        <v>0.2</v>
      </c>
      <c r="D1168" s="72">
        <v>0</v>
      </c>
      <c r="E1168" s="73">
        <f t="shared" si="493"/>
        <v>0</v>
      </c>
      <c r="F1168" s="67"/>
      <c r="G1168" s="67" t="e">
        <f>#REF!</f>
        <v>#REF!</v>
      </c>
      <c r="H1168" s="72">
        <v>0</v>
      </c>
      <c r="I1168" s="73" t="e">
        <f t="shared" si="494"/>
        <v>#REF!</v>
      </c>
      <c r="J1168" s="67"/>
      <c r="K1168" s="589">
        <v>8035</v>
      </c>
      <c r="L1168" s="590">
        <v>0</v>
      </c>
      <c r="M1168" s="73">
        <f t="shared" si="495"/>
        <v>0</v>
      </c>
      <c r="N1168" s="67"/>
      <c r="O1168" s="589">
        <v>0</v>
      </c>
      <c r="P1168" s="72">
        <v>0</v>
      </c>
      <c r="Q1168" s="73">
        <f t="shared" si="496"/>
        <v>0</v>
      </c>
      <c r="R1168" s="67"/>
      <c r="S1168" s="727"/>
    </row>
    <row r="1169" spans="1:19" ht="15.75" customHeight="1" x14ac:dyDescent="0.3">
      <c r="A1169" s="553" t="s">
        <v>2355</v>
      </c>
      <c r="B1169" s="67"/>
      <c r="C1169" s="67">
        <f t="shared" si="492"/>
        <v>0.2</v>
      </c>
      <c r="D1169" s="72">
        <v>0</v>
      </c>
      <c r="E1169" s="73">
        <f t="shared" si="493"/>
        <v>0</v>
      </c>
      <c r="F1169" s="67">
        <f>SUM(E1167:E1169)</f>
        <v>0</v>
      </c>
      <c r="G1169" s="67" t="e">
        <f>#REF!</f>
        <v>#REF!</v>
      </c>
      <c r="H1169" s="72">
        <v>0</v>
      </c>
      <c r="I1169" s="73" t="e">
        <f t="shared" si="494"/>
        <v>#REF!</v>
      </c>
      <c r="J1169" s="67" t="e">
        <f>SUM(I1167:I1169)</f>
        <v>#REF!</v>
      </c>
      <c r="K1169" s="589">
        <v>8092</v>
      </c>
      <c r="L1169" s="590">
        <v>0</v>
      </c>
      <c r="M1169" s="73">
        <f t="shared" si="495"/>
        <v>0</v>
      </c>
      <c r="N1169" s="67">
        <f>SUM(M1167:M1169)</f>
        <v>0</v>
      </c>
      <c r="O1169" s="589">
        <v>0</v>
      </c>
      <c r="P1169" s="72">
        <v>0</v>
      </c>
      <c r="Q1169" s="73">
        <f t="shared" si="496"/>
        <v>0</v>
      </c>
      <c r="R1169" s="67">
        <f>SUM(Q1167:Q1169)</f>
        <v>0</v>
      </c>
      <c r="S1169" s="727"/>
    </row>
    <row r="1170" spans="1:19" ht="15.75" customHeight="1" x14ac:dyDescent="0.3">
      <c r="A1170" s="551"/>
      <c r="B1170" s="67"/>
      <c r="C1170" s="67"/>
      <c r="D1170" s="67"/>
      <c r="E1170" s="67"/>
      <c r="F1170" s="67"/>
      <c r="G1170" s="67"/>
      <c r="H1170" s="67"/>
      <c r="I1170" s="67"/>
      <c r="J1170" s="67"/>
      <c r="K1170" s="67"/>
      <c r="L1170" s="67"/>
      <c r="M1170" s="67"/>
      <c r="N1170" s="67"/>
      <c r="O1170" s="67"/>
      <c r="P1170" s="67"/>
      <c r="Q1170" s="67"/>
      <c r="R1170" s="67"/>
      <c r="S1170" s="727"/>
    </row>
    <row r="1171" spans="1:19" ht="15.75" customHeight="1" x14ac:dyDescent="0.3">
      <c r="A1171" s="551"/>
      <c r="B1171" s="67"/>
      <c r="C1171" s="67"/>
      <c r="D1171" s="67"/>
      <c r="E1171" s="67"/>
      <c r="F1171" s="67"/>
      <c r="G1171" s="67"/>
      <c r="H1171" s="67"/>
      <c r="I1171" s="67"/>
      <c r="J1171" s="67"/>
      <c r="K1171" s="67"/>
      <c r="L1171" s="67"/>
      <c r="M1171" s="67"/>
      <c r="N1171" s="67"/>
      <c r="O1171" s="67"/>
      <c r="P1171" s="67"/>
      <c r="Q1171" s="67"/>
      <c r="R1171" s="67"/>
      <c r="S1171" s="727"/>
    </row>
    <row r="1172" spans="1:19" ht="16.5" customHeight="1" thickBot="1" x14ac:dyDescent="0.35">
      <c r="A1172" s="554" t="s">
        <v>2356</v>
      </c>
      <c r="B1172" s="555"/>
      <c r="C1172" s="555">
        <f>SUM(C1158:C1169)</f>
        <v>2.2250000000000005</v>
      </c>
      <c r="D1172" s="555"/>
      <c r="E1172" s="567">
        <f>SUM(E1158:E1169)</f>
        <v>0</v>
      </c>
      <c r="F1172" s="555"/>
      <c r="G1172" s="555" t="e">
        <f>SUM(G1158:G1169)</f>
        <v>#REF!</v>
      </c>
      <c r="H1172" s="555" t="s">
        <v>2435</v>
      </c>
      <c r="I1172" s="567" t="e">
        <f>SUM(I1158:I1169)</f>
        <v>#REF!</v>
      </c>
      <c r="J1172" s="555"/>
      <c r="K1172" s="555">
        <f>SUM(K1158:K1169)</f>
        <v>149913</v>
      </c>
      <c r="L1172" s="555" t="s">
        <v>2435</v>
      </c>
      <c r="M1172" s="567">
        <f>SUM(M1158:M1169)</f>
        <v>0</v>
      </c>
      <c r="N1172" s="555"/>
      <c r="O1172" s="555">
        <f>(SUM(O1158:O1169))</f>
        <v>0</v>
      </c>
      <c r="P1172" s="555" t="s">
        <v>2435</v>
      </c>
      <c r="Q1172" s="567">
        <f>SUM(Q1158:Q1169)</f>
        <v>0</v>
      </c>
      <c r="R1172" s="555"/>
      <c r="S1172" s="565"/>
    </row>
  </sheetData>
  <scenarios current="0">
    <scenario name="Jan" count="1" user="Windows User" comment="Created by Windows User on 4/11/2013">
      <inputCells r="B319" val="57771.3688407242" numFmtId="37"/>
    </scenario>
  </scenarios>
  <autoFilter ref="A31:R956" xr:uid="{00000000-0009-0000-0000-000009000000}"/>
  <mergeCells count="73">
    <mergeCell ref="B1103:P1103"/>
    <mergeCell ref="B1104:P1104"/>
    <mergeCell ref="B1106:L1106"/>
    <mergeCell ref="M1106:P1106"/>
    <mergeCell ref="B1080:D1080"/>
    <mergeCell ref="T1080:U1080"/>
    <mergeCell ref="V1080:W1080"/>
    <mergeCell ref="B1099:P1099"/>
    <mergeCell ref="B1100:P1100"/>
    <mergeCell ref="B1101:P1101"/>
    <mergeCell ref="B1079:P1079"/>
    <mergeCell ref="M1025:O1025"/>
    <mergeCell ref="AD1025:AQ1025"/>
    <mergeCell ref="AD1026:AQ1026"/>
    <mergeCell ref="B1050:P1050"/>
    <mergeCell ref="B1051:F1051"/>
    <mergeCell ref="G1051:L1051"/>
    <mergeCell ref="M1051:R1051"/>
    <mergeCell ref="S1051:U1051"/>
    <mergeCell ref="M1052:O1052"/>
    <mergeCell ref="B1074:P1074"/>
    <mergeCell ref="B1075:P1075"/>
    <mergeCell ref="B1076:P1076"/>
    <mergeCell ref="B1078:P1078"/>
    <mergeCell ref="B1023:P1023"/>
    <mergeCell ref="AD1023:AQ1023"/>
    <mergeCell ref="B1024:F1024"/>
    <mergeCell ref="G1024:L1024"/>
    <mergeCell ref="M1024:R1024"/>
    <mergeCell ref="S1024:U1024"/>
    <mergeCell ref="B1022:P1022"/>
    <mergeCell ref="AD1022:AQ1022"/>
    <mergeCell ref="AD988:AQ988"/>
    <mergeCell ref="AD990:AQ990"/>
    <mergeCell ref="B991:P991"/>
    <mergeCell ref="AD991:AQ991"/>
    <mergeCell ref="B992:P992"/>
    <mergeCell ref="B993:P993"/>
    <mergeCell ref="B995:P995"/>
    <mergeCell ref="B996:P996"/>
    <mergeCell ref="B1020:P1020"/>
    <mergeCell ref="B1021:P1021"/>
    <mergeCell ref="AD1021:AQ1021"/>
    <mergeCell ref="AD987:AQ987"/>
    <mergeCell ref="B938:P938"/>
    <mergeCell ref="B939:P939"/>
    <mergeCell ref="B940:P940"/>
    <mergeCell ref="B941:P941"/>
    <mergeCell ref="B965:P965"/>
    <mergeCell ref="B966:P966"/>
    <mergeCell ref="B967:P967"/>
    <mergeCell ref="B968:P968"/>
    <mergeCell ref="B969:P969"/>
    <mergeCell ref="B970:P970"/>
    <mergeCell ref="AD986:AQ986"/>
    <mergeCell ref="B937:P937"/>
    <mergeCell ref="A872:R872"/>
    <mergeCell ref="A873:R873"/>
    <mergeCell ref="A874:R874"/>
    <mergeCell ref="A875:R875"/>
    <mergeCell ref="A877:R877"/>
    <mergeCell ref="A913:R913"/>
    <mergeCell ref="A914:R914"/>
    <mergeCell ref="A915:R915"/>
    <mergeCell ref="A916:R916"/>
    <mergeCell ref="A918:R918"/>
    <mergeCell ref="B936:P936"/>
    <mergeCell ref="A8:R8"/>
    <mergeCell ref="A2:R2"/>
    <mergeCell ref="A3:R3"/>
    <mergeCell ref="A4:R4"/>
    <mergeCell ref="A5:R5"/>
    <mergeCell ref="A6:R6"/>
  </mergeCells>
  <conditionalFormatting sqref="S1030:S1041 S1043">
    <cfRule type="cellIs" dxfId="27" priority="3" operator="lessThan">
      <formula>0</formula>
    </cfRule>
    <cfRule type="cellIs" dxfId="26" priority="4" operator="greaterThan">
      <formula>0</formula>
    </cfRule>
  </conditionalFormatting>
  <conditionalFormatting sqref="S1057:S1068">
    <cfRule type="cellIs" dxfId="25" priority="1" operator="lessThan">
      <formula>0</formula>
    </cfRule>
    <cfRule type="cellIs" dxfId="24" priority="2" operator="greaterThan">
      <formula>0</formula>
    </cfRule>
  </conditionalFormatting>
  <printOptions horizontalCentered="1"/>
  <pageMargins left="0.25" right="0.25" top="0.25" bottom="0.25" header="0" footer="0"/>
  <pageSetup paperSize="17" scale="10" orientation="landscape" r:id="rId1"/>
  <headerFooter alignWithMargins="0"/>
  <rowBreaks count="5" manualBreakCount="5">
    <brk id="882" max="17" man="1"/>
    <brk id="922" max="17" man="1"/>
    <brk id="975" max="18" man="1"/>
    <brk id="1003" max="18" man="1"/>
    <brk id="971" min="28" max="46"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filterMode="1">
    <pageSetUpPr fitToPage="1"/>
  </sheetPr>
  <dimension ref="A1:AX1166"/>
  <sheetViews>
    <sheetView topLeftCell="A11" zoomScale="66" zoomScaleNormal="66" workbookViewId="0">
      <pane ySplit="21" topLeftCell="A1049" activePane="bottomLeft" state="frozen"/>
      <selection activeCell="A11" sqref="A11"/>
      <selection pane="bottomLeft" activeCell="N882" sqref="N882:P882"/>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0" width="10" bestFit="1" customWidth="1"/>
    <col min="11"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2.81640625" customWidth="1"/>
    <col min="20" max="20" width="9.453125" bestFit="1" customWidth="1"/>
    <col min="22" max="22" width="9.90625" customWidth="1"/>
    <col min="23" max="23" width="11.54296875" customWidth="1"/>
    <col min="24" max="24" width="10.54296875" customWidth="1"/>
    <col min="25" max="25" width="11.1796875" customWidth="1"/>
    <col min="26" max="26" width="10.453125" bestFit="1" customWidth="1"/>
    <col min="29" max="29" width="11.54296875" customWidth="1"/>
    <col min="35" max="35" width="9.9062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44881.729633912037</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2021</v>
      </c>
      <c r="B5" s="781"/>
      <c r="C5" s="781"/>
      <c r="D5" s="781"/>
      <c r="E5" s="781"/>
      <c r="F5" s="781"/>
      <c r="G5" s="781"/>
      <c r="H5" s="781"/>
      <c r="I5" s="781"/>
      <c r="J5" s="781"/>
      <c r="K5" s="781"/>
      <c r="L5" s="781"/>
      <c r="M5" s="781"/>
      <c r="N5" s="781"/>
      <c r="O5" s="781"/>
      <c r="P5" s="781"/>
      <c r="Q5" s="781"/>
      <c r="R5" s="781"/>
    </row>
    <row r="6" spans="1:36" ht="19.5" customHeight="1" x14ac:dyDescent="0.35">
      <c r="A6" s="780" t="s">
        <v>3335</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3430</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5.75" hidden="1"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306"/>
      <c r="B12" s="738"/>
      <c r="C12" s="738"/>
      <c r="D12" s="738"/>
      <c r="E12" s="302"/>
      <c r="F12" s="738"/>
      <c r="G12" s="738"/>
      <c r="H12" s="738"/>
      <c r="I12" s="302"/>
      <c r="J12" s="738"/>
      <c r="K12" s="738"/>
      <c r="L12" s="738"/>
      <c r="M12" s="302"/>
      <c r="N12" s="738"/>
      <c r="O12" s="738"/>
      <c r="P12" s="738"/>
      <c r="Q12" s="302"/>
      <c r="R12" s="302"/>
    </row>
    <row r="13" spans="1:36" ht="15.75" customHeight="1" x14ac:dyDescent="0.3">
      <c r="A13" s="234" t="s">
        <v>1277</v>
      </c>
      <c r="B13" s="10">
        <f>+B926</f>
        <v>68682</v>
      </c>
      <c r="C13" s="10">
        <f>+C926</f>
        <v>79547</v>
      </c>
      <c r="D13" s="10">
        <f>+D926</f>
        <v>113794</v>
      </c>
      <c r="E13" s="15">
        <f>SUM(B13:D13)</f>
        <v>262023</v>
      </c>
      <c r="F13" s="10">
        <f>+F926</f>
        <v>149041</v>
      </c>
      <c r="G13" s="10">
        <f>+G926</f>
        <v>156616</v>
      </c>
      <c r="H13" s="10">
        <f>+H926</f>
        <v>200939</v>
      </c>
      <c r="I13" s="15">
        <f t="shared" ref="I13:I19" si="0">SUM(F13:H13)</f>
        <v>506596</v>
      </c>
      <c r="J13" s="10">
        <f>+J926</f>
        <v>165094</v>
      </c>
      <c r="K13" s="10">
        <f>+K926</f>
        <v>150393</v>
      </c>
      <c r="L13" s="10">
        <f>+L926</f>
        <v>109376</v>
      </c>
      <c r="M13" s="15">
        <f t="shared" ref="M13:M20" si="1">SUM(J13:L13)</f>
        <v>424863</v>
      </c>
      <c r="N13" s="10">
        <f>+N926</f>
        <v>88449</v>
      </c>
      <c r="O13" s="10">
        <f>+O926</f>
        <v>64983</v>
      </c>
      <c r="P13" s="10">
        <f>+P926</f>
        <v>47778</v>
      </c>
      <c r="Q13" s="29">
        <f t="shared" ref="Q13:Q19" si="2">SUM(N13:P13)</f>
        <v>201210</v>
      </c>
      <c r="R13" s="15">
        <f t="shared" ref="R13:R20" si="3">+E13+I13+M13+Q13</f>
        <v>1394692</v>
      </c>
      <c r="V13" s="617"/>
      <c r="W13" s="617"/>
      <c r="X13" s="617"/>
      <c r="Z13" s="617"/>
      <c r="AA13" s="617"/>
      <c r="AB13" s="617"/>
      <c r="AD13" s="617"/>
      <c r="AE13" s="617"/>
      <c r="AF13" s="617"/>
      <c r="AH13" s="617"/>
      <c r="AI13" s="617"/>
      <c r="AJ13" s="617"/>
    </row>
    <row r="14" spans="1:36" ht="15.75" customHeight="1" x14ac:dyDescent="0.3">
      <c r="A14" s="234" t="s">
        <v>1278</v>
      </c>
      <c r="B14" s="10">
        <f>B25+B60+B130+B317+B505+B555+B600+B665+B675+B711+B763+B773+B807+B858</f>
        <v>739</v>
      </c>
      <c r="C14" s="10">
        <f>C25+C60+C130+C317+C505+C555+C600+C665+C675+C711+C763+C773+C807+C858</f>
        <v>1283</v>
      </c>
      <c r="D14" s="10">
        <f>D25+D60+D130+D317+D505+D555+D600+D665+D675+D711+D763+D773+D807+D858</f>
        <v>2185</v>
      </c>
      <c r="E14" s="15">
        <f t="shared" ref="E14:E19" si="4">SUM(B14:D14)</f>
        <v>4207</v>
      </c>
      <c r="F14" s="10">
        <f>F25+F60+F130+F317+F505+F555+F600+F665+F675+F711+F763+F773+F807+F858</f>
        <v>2959</v>
      </c>
      <c r="G14" s="10">
        <f>G25+G60+G130+G317+G505+G555+G600+G665+G675+G711+G763+G773+G807+G858</f>
        <v>3425</v>
      </c>
      <c r="H14" s="10">
        <f>H25+H60+H130+H317+H505+H555+H600+H665+H675+H711+H763+H773+H807+H858</f>
        <v>3464</v>
      </c>
      <c r="I14" s="15">
        <f t="shared" si="0"/>
        <v>9848</v>
      </c>
      <c r="J14" s="10">
        <f>J25+J60+J130+J317+J505+J555+J600+J665+J675+J711+J763+J773+J807+J858</f>
        <v>3382</v>
      </c>
      <c r="K14" s="10">
        <f>K25+K60+K130+K317+K505+K555+K600+K665+K675+K711+K763+K773+K807+K858</f>
        <v>2663</v>
      </c>
      <c r="L14" s="10">
        <f>L25+L60+L130+L317+L505+L555+L600+L665+L675+L711+L763+L773+L807+L858</f>
        <v>2559</v>
      </c>
      <c r="M14" s="15">
        <f t="shared" si="1"/>
        <v>8604</v>
      </c>
      <c r="N14" s="10">
        <f>N25+N60+N130+N317+N505+N555+N600+N665+N675+N711+N763+N773+N807+N858</f>
        <v>2343</v>
      </c>
      <c r="O14" s="10">
        <f>O25+O60+O130+O317+O505+O555+O600+O665+O675+O711+O763+O773+O807+O858</f>
        <v>1892</v>
      </c>
      <c r="P14" s="10">
        <f>P25+P60+P130+P317+P505+P555+P600+P665+P675+P711+P763+P773+P807+P858</f>
        <v>1423</v>
      </c>
      <c r="Q14" s="29">
        <f t="shared" si="2"/>
        <v>5658</v>
      </c>
      <c r="R14" s="15">
        <f t="shared" si="3"/>
        <v>28317</v>
      </c>
    </row>
    <row r="15" spans="1:36" ht="15.75" customHeight="1" x14ac:dyDescent="0.3">
      <c r="A15" s="234" t="s">
        <v>397</v>
      </c>
      <c r="B15" s="10">
        <f>B312</f>
        <v>470</v>
      </c>
      <c r="C15" s="10">
        <f>C312</f>
        <v>635</v>
      </c>
      <c r="D15" s="10">
        <f>D312</f>
        <v>2235</v>
      </c>
      <c r="E15" s="15">
        <f t="shared" si="4"/>
        <v>3340</v>
      </c>
      <c r="F15" s="10">
        <f>F312</f>
        <v>3411</v>
      </c>
      <c r="G15" s="10">
        <f>G312</f>
        <v>3529</v>
      </c>
      <c r="H15" s="10">
        <f>H312</f>
        <v>2765</v>
      </c>
      <c r="I15" s="15">
        <f t="shared" si="0"/>
        <v>9705</v>
      </c>
      <c r="J15" s="10">
        <f>J312</f>
        <v>3117</v>
      </c>
      <c r="K15" s="10">
        <f>K312</f>
        <v>1529</v>
      </c>
      <c r="L15" s="10">
        <f>L312</f>
        <v>2588</v>
      </c>
      <c r="M15" s="15">
        <f t="shared" si="1"/>
        <v>7234</v>
      </c>
      <c r="N15" s="10">
        <f>N312</f>
        <v>3764</v>
      </c>
      <c r="O15" s="10">
        <f>O312</f>
        <v>941</v>
      </c>
      <c r="P15" s="10">
        <f>P312</f>
        <v>0</v>
      </c>
      <c r="Q15" s="29">
        <f t="shared" si="2"/>
        <v>4705</v>
      </c>
      <c r="R15" s="15">
        <f t="shared" si="3"/>
        <v>24984</v>
      </c>
    </row>
    <row r="16" spans="1:36" ht="15.75" customHeight="1" x14ac:dyDescent="0.3">
      <c r="A16" s="235" t="s">
        <v>967</v>
      </c>
      <c r="B16" s="10">
        <f>+B313</f>
        <v>0</v>
      </c>
      <c r="C16" s="10">
        <f>+C313</f>
        <v>0</v>
      </c>
      <c r="D16" s="10">
        <f>+D313</f>
        <v>0</v>
      </c>
      <c r="E16" s="15">
        <f t="shared" si="4"/>
        <v>0</v>
      </c>
      <c r="F16" s="10">
        <f>+F313</f>
        <v>0</v>
      </c>
      <c r="G16" s="10">
        <f>+G313</f>
        <v>0</v>
      </c>
      <c r="H16" s="10">
        <f>+H313</f>
        <v>0</v>
      </c>
      <c r="I16" s="15">
        <f t="shared" si="0"/>
        <v>0</v>
      </c>
      <c r="J16" s="10">
        <f>+J313</f>
        <v>0</v>
      </c>
      <c r="K16" s="10">
        <f>+K313</f>
        <v>0</v>
      </c>
      <c r="L16" s="10">
        <f>+L313</f>
        <v>0</v>
      </c>
      <c r="M16" s="15">
        <f t="shared" si="1"/>
        <v>0</v>
      </c>
      <c r="N16" s="10">
        <f>+N313</f>
        <v>0</v>
      </c>
      <c r="O16" s="10">
        <f>+O313</f>
        <v>0</v>
      </c>
      <c r="P16" s="10">
        <f>+P313</f>
        <v>0</v>
      </c>
      <c r="Q16" s="29">
        <f t="shared" si="2"/>
        <v>0</v>
      </c>
      <c r="R16" s="15">
        <f t="shared" si="3"/>
        <v>0</v>
      </c>
    </row>
    <row r="17" spans="1:20" ht="15.75" customHeight="1" x14ac:dyDescent="0.3">
      <c r="A17" s="236" t="s">
        <v>1176</v>
      </c>
      <c r="B17" s="10">
        <f>B316</f>
        <v>0</v>
      </c>
      <c r="C17" s="10">
        <f>C316</f>
        <v>52000</v>
      </c>
      <c r="D17" s="10">
        <f>D316</f>
        <v>60000</v>
      </c>
      <c r="E17" s="15">
        <f t="shared" si="4"/>
        <v>112000</v>
      </c>
      <c r="F17" s="10">
        <f>F316</f>
        <v>6000</v>
      </c>
      <c r="G17" s="10">
        <f>G316</f>
        <v>5000</v>
      </c>
      <c r="H17" s="10">
        <f>H316</f>
        <v>0</v>
      </c>
      <c r="I17" s="15">
        <f t="shared" si="0"/>
        <v>11000</v>
      </c>
      <c r="J17" s="10">
        <f>J316</f>
        <v>0</v>
      </c>
      <c r="K17" s="10">
        <f>K316</f>
        <v>0</v>
      </c>
      <c r="L17" s="10">
        <f>L316</f>
        <v>17000</v>
      </c>
      <c r="M17" s="15">
        <f t="shared" si="1"/>
        <v>17000</v>
      </c>
      <c r="N17" s="10">
        <f>N316</f>
        <v>66000</v>
      </c>
      <c r="O17" s="10">
        <f>O316</f>
        <v>74000</v>
      </c>
      <c r="P17" s="10">
        <f>P316</f>
        <v>50000</v>
      </c>
      <c r="Q17" s="29">
        <f t="shared" si="2"/>
        <v>190000</v>
      </c>
      <c r="R17" s="15">
        <f t="shared" si="3"/>
        <v>330000</v>
      </c>
    </row>
    <row r="18" spans="1:20" ht="15.75" customHeight="1" x14ac:dyDescent="0.3">
      <c r="A18" s="236" t="s">
        <v>662</v>
      </c>
      <c r="B18" s="10">
        <f>B328</f>
        <v>0</v>
      </c>
      <c r="C18" s="10">
        <f>C328</f>
        <v>0</v>
      </c>
      <c r="D18" s="10">
        <f>D328</f>
        <v>0</v>
      </c>
      <c r="E18" s="15">
        <f t="shared" si="4"/>
        <v>0</v>
      </c>
      <c r="F18" s="10">
        <f>F328</f>
        <v>0</v>
      </c>
      <c r="G18" s="10">
        <f>G328</f>
        <v>0</v>
      </c>
      <c r="H18" s="10">
        <f>H328</f>
        <v>-111000</v>
      </c>
      <c r="I18" s="15">
        <f t="shared" si="0"/>
        <v>-111000</v>
      </c>
      <c r="J18" s="10">
        <f>J328</f>
        <v>-120000</v>
      </c>
      <c r="K18" s="10">
        <f>K328</f>
        <v>-103000</v>
      </c>
      <c r="L18" s="10">
        <f>L328</f>
        <v>0</v>
      </c>
      <c r="M18" s="15">
        <f t="shared" si="1"/>
        <v>-223000</v>
      </c>
      <c r="N18" s="10">
        <f>N328</f>
        <v>0</v>
      </c>
      <c r="O18" s="10">
        <f>O328</f>
        <v>0</v>
      </c>
      <c r="P18" s="10">
        <f>P328</f>
        <v>0</v>
      </c>
      <c r="Q18" s="29">
        <f t="shared" si="2"/>
        <v>0</v>
      </c>
      <c r="R18" s="15">
        <f t="shared" si="3"/>
        <v>-334000</v>
      </c>
    </row>
    <row r="19" spans="1:20" ht="16.5" customHeight="1" thickBot="1" x14ac:dyDescent="0.35">
      <c r="A19" s="237" t="s">
        <v>851</v>
      </c>
      <c r="B19" s="294">
        <f>(B29)</f>
        <v>64497</v>
      </c>
      <c r="C19" s="294">
        <f>(C29)</f>
        <v>126100</v>
      </c>
      <c r="D19" s="294">
        <f>(D29)</f>
        <v>165864</v>
      </c>
      <c r="E19" s="16">
        <f t="shared" si="4"/>
        <v>356461</v>
      </c>
      <c r="F19" s="294">
        <f>(F29)</f>
        <v>161411</v>
      </c>
      <c r="G19" s="294">
        <f>(G29)</f>
        <v>168570</v>
      </c>
      <c r="H19" s="294">
        <f>(H29)</f>
        <v>96168</v>
      </c>
      <c r="I19" s="16">
        <f t="shared" si="0"/>
        <v>426149</v>
      </c>
      <c r="J19" s="294">
        <f>(J29)</f>
        <v>51593</v>
      </c>
      <c r="K19" s="294">
        <f>(K29)</f>
        <v>51585</v>
      </c>
      <c r="L19" s="294">
        <f>(L29)</f>
        <v>131523</v>
      </c>
      <c r="M19" s="16">
        <f t="shared" si="1"/>
        <v>234701</v>
      </c>
      <c r="N19" s="294">
        <f>(N29)</f>
        <v>160556</v>
      </c>
      <c r="O19" s="294">
        <f>(O29)</f>
        <v>141816</v>
      </c>
      <c r="P19" s="294">
        <f>(P29)</f>
        <v>99201</v>
      </c>
      <c r="Q19" s="30">
        <f t="shared" si="2"/>
        <v>401573</v>
      </c>
      <c r="R19" s="16">
        <f t="shared" si="3"/>
        <v>1418884</v>
      </c>
    </row>
    <row r="20" spans="1:20" ht="16.5" customHeight="1" thickBot="1" x14ac:dyDescent="0.35">
      <c r="A20" s="237" t="s">
        <v>496</v>
      </c>
      <c r="B20" s="294">
        <f>+B19</f>
        <v>64497</v>
      </c>
      <c r="C20" s="294">
        <f>+C19</f>
        <v>126100</v>
      </c>
      <c r="D20" s="294">
        <f>+D19</f>
        <v>165864</v>
      </c>
      <c r="E20" s="16">
        <f>SUM(B20:D20)</f>
        <v>356461</v>
      </c>
      <c r="F20" s="294">
        <f>+F19</f>
        <v>161411</v>
      </c>
      <c r="G20" s="294">
        <f>+G19</f>
        <v>168570</v>
      </c>
      <c r="H20" s="294">
        <f>+H19</f>
        <v>96168</v>
      </c>
      <c r="I20" s="16">
        <f>SUM(F20:H20)</f>
        <v>426149</v>
      </c>
      <c r="J20" s="294">
        <f>+J19</f>
        <v>51593</v>
      </c>
      <c r="K20" s="294">
        <f>+K19</f>
        <v>51585</v>
      </c>
      <c r="L20" s="294">
        <f>+L19</f>
        <v>131523</v>
      </c>
      <c r="M20" s="16">
        <f t="shared" si="1"/>
        <v>234701</v>
      </c>
      <c r="N20" s="294">
        <f>+N19</f>
        <v>160556</v>
      </c>
      <c r="O20" s="294">
        <f>+O19</f>
        <v>141816</v>
      </c>
      <c r="P20" s="294">
        <f>+P19</f>
        <v>99201</v>
      </c>
      <c r="Q20" s="30">
        <f>SUM(N20:P20)</f>
        <v>401573</v>
      </c>
      <c r="R20" s="16">
        <f t="shared" si="3"/>
        <v>1418884</v>
      </c>
    </row>
    <row r="21" spans="1:20" ht="15.75" customHeight="1" x14ac:dyDescent="0.3">
      <c r="A21" s="10"/>
      <c r="B21" s="10"/>
      <c r="C21" s="10"/>
      <c r="D21" s="10"/>
      <c r="E21" s="10"/>
      <c r="F21" s="10"/>
      <c r="G21" s="10"/>
      <c r="H21" s="10"/>
      <c r="I21" s="10"/>
      <c r="J21" s="10"/>
      <c r="K21" s="10"/>
      <c r="L21" s="10"/>
      <c r="M21" s="10"/>
      <c r="N21" s="10"/>
      <c r="O21" s="10"/>
      <c r="P21" s="10"/>
      <c r="Q21" s="10"/>
      <c r="R21" s="17"/>
    </row>
    <row r="22" spans="1:20" ht="15.75" customHeight="1" thickBot="1" x14ac:dyDescent="0.35">
      <c r="A22" s="10"/>
      <c r="B22" s="10"/>
      <c r="C22" s="10"/>
      <c r="D22" s="10"/>
      <c r="E22" s="10"/>
      <c r="F22" s="295" t="s">
        <v>852</v>
      </c>
      <c r="G22" s="295" t="s">
        <v>852</v>
      </c>
      <c r="H22" s="10"/>
      <c r="I22" s="10"/>
      <c r="J22" s="10"/>
      <c r="K22" s="10"/>
      <c r="L22" s="10"/>
      <c r="M22" s="10"/>
      <c r="N22" s="295" t="s">
        <v>852</v>
      </c>
      <c r="O22" s="295" t="s">
        <v>852</v>
      </c>
      <c r="P22" s="295" t="s">
        <v>852</v>
      </c>
      <c r="Q22" s="295"/>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96"/>
      <c r="B24" s="297"/>
      <c r="C24" s="297"/>
      <c r="D24" s="297"/>
      <c r="E24" s="298"/>
      <c r="F24" s="297"/>
      <c r="G24" s="297"/>
      <c r="H24" s="297"/>
      <c r="I24" s="298"/>
      <c r="J24" s="297"/>
      <c r="K24" s="297"/>
      <c r="L24" s="297"/>
      <c r="M24" s="298"/>
      <c r="N24" s="297"/>
      <c r="O24" s="297"/>
      <c r="P24" s="297"/>
      <c r="Q24" s="298"/>
      <c r="R24" s="19"/>
    </row>
    <row r="25" spans="1:20" ht="16.5" customHeight="1" thickBot="1" x14ac:dyDescent="0.35">
      <c r="A25" s="299" t="s">
        <v>853</v>
      </c>
      <c r="B25" s="294">
        <v>97</v>
      </c>
      <c r="C25" s="294">
        <v>148</v>
      </c>
      <c r="D25" s="294">
        <v>274</v>
      </c>
      <c r="E25" s="14">
        <f>SUM(B25:D25)</f>
        <v>519</v>
      </c>
      <c r="F25" s="294">
        <v>367</v>
      </c>
      <c r="G25" s="294">
        <v>425</v>
      </c>
      <c r="H25" s="294">
        <v>417</v>
      </c>
      <c r="I25" s="14">
        <f>SUM(F25:H25)</f>
        <v>1209</v>
      </c>
      <c r="J25" s="294">
        <v>416</v>
      </c>
      <c r="K25" s="294">
        <v>334</v>
      </c>
      <c r="L25" s="294">
        <v>316</v>
      </c>
      <c r="M25" s="14">
        <f>SUM(J25:L25)</f>
        <v>1066</v>
      </c>
      <c r="N25" s="294">
        <v>285</v>
      </c>
      <c r="O25" s="294">
        <v>235</v>
      </c>
      <c r="P25" s="294">
        <v>186</v>
      </c>
      <c r="Q25" s="14">
        <f>SUM(N25:P25)</f>
        <v>706</v>
      </c>
      <c r="R25" s="16">
        <f>+E25+I25+M25+Q25</f>
        <v>3500</v>
      </c>
    </row>
    <row r="26" spans="1:20" ht="17.25" customHeight="1" thickBot="1" x14ac:dyDescent="0.35">
      <c r="A26" s="22"/>
      <c r="B26" s="297"/>
      <c r="C26" s="297"/>
      <c r="D26" s="297"/>
      <c r="E26" s="21"/>
      <c r="F26" s="297"/>
      <c r="G26" s="297"/>
      <c r="H26" s="297"/>
      <c r="I26" s="21"/>
      <c r="J26" s="297"/>
      <c r="K26" s="297"/>
      <c r="L26" s="297"/>
      <c r="M26" s="21"/>
      <c r="N26" s="297"/>
      <c r="O26" s="297"/>
      <c r="P26" s="297"/>
      <c r="Q26" s="21"/>
      <c r="R26" s="13"/>
    </row>
    <row r="27" spans="1:20" ht="15.75" customHeight="1" x14ac:dyDescent="0.3">
      <c r="A27" s="234" t="s">
        <v>2011</v>
      </c>
      <c r="B27" s="10">
        <f>B25</f>
        <v>97</v>
      </c>
      <c r="C27" s="10">
        <f>C25</f>
        <v>148</v>
      </c>
      <c r="D27" s="10">
        <f>D25</f>
        <v>274</v>
      </c>
      <c r="E27" s="14">
        <f>SUM(B27:D27)</f>
        <v>519</v>
      </c>
      <c r="F27" s="10">
        <f>F25</f>
        <v>367</v>
      </c>
      <c r="G27" s="10">
        <f>G25</f>
        <v>425</v>
      </c>
      <c r="H27" s="10">
        <f>H25</f>
        <v>417</v>
      </c>
      <c r="I27" s="14">
        <f>SUM(F27:H27)</f>
        <v>1209</v>
      </c>
      <c r="J27" s="10">
        <f>J25</f>
        <v>416</v>
      </c>
      <c r="K27" s="10">
        <f>K25</f>
        <v>334</v>
      </c>
      <c r="L27" s="10">
        <f>L25</f>
        <v>316</v>
      </c>
      <c r="M27" s="14">
        <f>SUM(J27:L27)</f>
        <v>1066</v>
      </c>
      <c r="N27" s="10">
        <f>N25</f>
        <v>285</v>
      </c>
      <c r="O27" s="10">
        <f>O25</f>
        <v>235</v>
      </c>
      <c r="P27" s="10">
        <f>P25</f>
        <v>186</v>
      </c>
      <c r="Q27" s="739">
        <f>SUM(N27:P27)</f>
        <v>706</v>
      </c>
      <c r="R27" s="14">
        <f>+E27+I27+M27+Q27</f>
        <v>3500</v>
      </c>
    </row>
    <row r="28" spans="1:20" ht="15.75" customHeight="1" x14ac:dyDescent="0.3">
      <c r="A28" s="234" t="s">
        <v>1897</v>
      </c>
      <c r="B28" s="10">
        <f>(B27/B10)/1.983</f>
        <v>1.5779285214647079</v>
      </c>
      <c r="C28" s="10">
        <f>(C27/C10)/1.983</f>
        <v>2.6655140119587926</v>
      </c>
      <c r="D28" s="10">
        <f>(D27/D10)/1.983</f>
        <v>4.457241390529175</v>
      </c>
      <c r="E28" s="15"/>
      <c r="F28" s="10">
        <f>(F27/F10)/1.983</f>
        <v>6.1691040511010247</v>
      </c>
      <c r="G28" s="10">
        <f>(G27/G10)/1.983</f>
        <v>6.9136043466237203</v>
      </c>
      <c r="H28" s="10">
        <f>(H27/H10)/1.983</f>
        <v>7.0095814422592033</v>
      </c>
      <c r="I28" s="15"/>
      <c r="J28" s="10">
        <f>(J27/J10)/1.983</f>
        <v>6.7671986075187478</v>
      </c>
      <c r="K28" s="10">
        <f>(K27/K10)/1.983</f>
        <v>5.433279651228994</v>
      </c>
      <c r="L28" s="10">
        <f>(L27/L10)/1.983</f>
        <v>5.3118171121196838</v>
      </c>
      <c r="M28" s="15"/>
      <c r="N28" s="10">
        <f>(N27/N10)/1.983</f>
        <v>4.6361817383241419</v>
      </c>
      <c r="O28" s="10">
        <f>(O27/O10)/1.983</f>
        <v>3.9502437384434357</v>
      </c>
      <c r="P28" s="10">
        <f>(P27/P10)/1.983</f>
        <v>3.02571860816944</v>
      </c>
      <c r="Q28" s="29"/>
      <c r="R28" s="15"/>
    </row>
    <row r="29" spans="1:20" ht="15.75" customHeight="1" x14ac:dyDescent="0.3">
      <c r="A29" s="234" t="s">
        <v>1119</v>
      </c>
      <c r="B29" s="10">
        <f>B27+B64</f>
        <v>64497</v>
      </c>
      <c r="C29" s="10">
        <f>C27+C64</f>
        <v>126100</v>
      </c>
      <c r="D29" s="10">
        <f>D27+D64</f>
        <v>165864</v>
      </c>
      <c r="E29" s="15">
        <f>SUM(B29:D29)</f>
        <v>356461</v>
      </c>
      <c r="F29" s="10">
        <f>F27+F64</f>
        <v>161411</v>
      </c>
      <c r="G29" s="10">
        <f>G27+G64</f>
        <v>168570</v>
      </c>
      <c r="H29" s="10">
        <f>H27+H64</f>
        <v>96168</v>
      </c>
      <c r="I29" s="15">
        <f>SUM(F29:H29)</f>
        <v>426149</v>
      </c>
      <c r="J29" s="10">
        <f>J27+J64</f>
        <v>51593</v>
      </c>
      <c r="K29" s="10">
        <f>K27+K64</f>
        <v>51585</v>
      </c>
      <c r="L29" s="10">
        <f>L27+L64</f>
        <v>131523</v>
      </c>
      <c r="M29" s="15">
        <f>SUM(J29:L29)</f>
        <v>234701</v>
      </c>
      <c r="N29" s="10">
        <f>N27+N64</f>
        <v>160556</v>
      </c>
      <c r="O29" s="10">
        <f>O27+O64</f>
        <v>141816</v>
      </c>
      <c r="P29" s="10">
        <f>P27+P64</f>
        <v>99201</v>
      </c>
      <c r="Q29" s="29">
        <f>SUM(N29:P29)</f>
        <v>401573</v>
      </c>
      <c r="R29" s="15">
        <f>+E29+I29+M29+Q29</f>
        <v>1418884</v>
      </c>
    </row>
    <row r="30" spans="1:20" s="574" customFormat="1" ht="16.5" customHeight="1" thickBot="1" x14ac:dyDescent="0.35">
      <c r="A30" s="570" t="s">
        <v>1968</v>
      </c>
      <c r="B30" s="740">
        <f>(B29/B10)/1.983</f>
        <v>1049.1923283392707</v>
      </c>
      <c r="C30" s="740">
        <f>(C29/C10)/1.983</f>
        <v>2271.0899791081333</v>
      </c>
      <c r="D30" s="740">
        <f>(D29/D10)/1.983</f>
        <v>2698.1601678785805</v>
      </c>
      <c r="E30" s="572"/>
      <c r="F30" s="740">
        <f>(F29/F10)/1.983</f>
        <v>2713.245923684653</v>
      </c>
      <c r="G30" s="740">
        <f>(G29/G10)/1.983</f>
        <v>2742.1794934361428</v>
      </c>
      <c r="H30" s="740">
        <f>(H29/H10)/1.983</f>
        <v>1616.5405950579927</v>
      </c>
      <c r="I30" s="572"/>
      <c r="J30" s="740">
        <f>(J29/J10)/1.983</f>
        <v>839.27903307142969</v>
      </c>
      <c r="K30" s="740">
        <f>(K29/K10)/1.983</f>
        <v>839.14889463666975</v>
      </c>
      <c r="L30" s="740">
        <f>(L29/L10)/1.983</f>
        <v>2210.8421583459408</v>
      </c>
      <c r="M30" s="572"/>
      <c r="N30" s="740">
        <f>(N29/N10)/1.983</f>
        <v>2611.8133164153364</v>
      </c>
      <c r="O30" s="740">
        <f>(O29/O10)/1.983</f>
        <v>2383.8628340897626</v>
      </c>
      <c r="P30" s="740">
        <f>(P29/P10)/1.983</f>
        <v>1613.7328583280464</v>
      </c>
      <c r="Q30" s="573"/>
      <c r="R30" s="572"/>
      <c r="T30" s="575" t="s">
        <v>2172</v>
      </c>
    </row>
    <row r="31" spans="1:20" ht="15.75" customHeight="1" x14ac:dyDescent="0.3">
      <c r="A31" s="17"/>
      <c r="B31" s="10"/>
      <c r="C31" s="10"/>
      <c r="D31" s="10"/>
      <c r="E31" s="10"/>
      <c r="F31" s="10"/>
      <c r="G31" s="10"/>
      <c r="H31" s="10"/>
      <c r="I31" s="10"/>
      <c r="J31" s="10"/>
      <c r="K31" s="10"/>
      <c r="L31" s="10"/>
      <c r="M31" s="10"/>
      <c r="N31" s="10"/>
      <c r="O31" s="10"/>
      <c r="P31" s="10"/>
      <c r="Q31" s="10"/>
      <c r="R31" s="17"/>
      <c r="T31" s="350" t="s">
        <v>2173</v>
      </c>
    </row>
    <row r="32" spans="1:20" ht="15.75" hidden="1" customHeight="1" thickBot="1" x14ac:dyDescent="0.35">
      <c r="A32" s="17"/>
      <c r="B32" s="10"/>
      <c r="C32" s="10"/>
      <c r="D32" s="10"/>
      <c r="E32" s="10"/>
      <c r="F32" s="10"/>
      <c r="G32" s="10"/>
      <c r="H32" s="10"/>
      <c r="I32" s="10"/>
      <c r="J32" s="10"/>
      <c r="K32" s="10"/>
      <c r="L32" s="10"/>
      <c r="M32" s="10"/>
      <c r="N32" s="10"/>
      <c r="O32" s="10"/>
      <c r="P32" s="10"/>
      <c r="Q32" s="10"/>
      <c r="R32" s="17"/>
    </row>
    <row r="33" spans="1:18" ht="15.75" hidden="1"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hidden="1" customHeight="1" thickBot="1" x14ac:dyDescent="0.35">
      <c r="A34" s="21"/>
      <c r="B34" s="300"/>
      <c r="C34" s="301"/>
      <c r="D34" s="301"/>
      <c r="E34" s="302"/>
      <c r="F34" s="301"/>
      <c r="G34" s="301"/>
      <c r="H34" s="301"/>
      <c r="I34" s="302"/>
      <c r="J34" s="301"/>
      <c r="K34" s="301"/>
      <c r="L34" s="301"/>
      <c r="M34" s="302"/>
      <c r="N34" s="301"/>
      <c r="O34" s="301"/>
      <c r="P34" s="301"/>
      <c r="Q34" s="302"/>
      <c r="R34" s="75"/>
    </row>
    <row r="35" spans="1:18" ht="15.75" hidden="1"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hidden="1"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hidden="1"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hidden="1" customHeight="1" x14ac:dyDescent="0.3">
      <c r="A38" s="422" t="s">
        <v>2971</v>
      </c>
      <c r="B38" s="10"/>
      <c r="C38" s="10"/>
      <c r="D38" s="10"/>
      <c r="E38" s="38">
        <f>SUM(B38:D38)</f>
        <v>0</v>
      </c>
      <c r="F38" s="10"/>
      <c r="G38" s="10"/>
      <c r="H38" s="10"/>
      <c r="I38" s="38">
        <f>SUM(F38:H38)</f>
        <v>0</v>
      </c>
      <c r="J38" s="10"/>
      <c r="K38" s="10"/>
      <c r="L38" s="10"/>
      <c r="M38" s="38">
        <f>SUM(J38:L38)</f>
        <v>0</v>
      </c>
      <c r="N38" s="10"/>
      <c r="O38" s="10"/>
      <c r="P38" s="10"/>
      <c r="Q38" s="38">
        <f>SUM(N38:P38)</f>
        <v>0</v>
      </c>
      <c r="R38" s="38">
        <f>+E38+I38+M38+Q38</f>
        <v>0</v>
      </c>
    </row>
    <row r="39" spans="1:18" ht="15.75" hidden="1" customHeight="1" x14ac:dyDescent="0.3">
      <c r="A39" s="235" t="s">
        <v>3245</v>
      </c>
      <c r="B39" s="18"/>
      <c r="C39" s="18"/>
      <c r="D39" s="18"/>
      <c r="E39" s="38" t="s">
        <v>1598</v>
      </c>
      <c r="F39" s="18"/>
      <c r="G39" s="18"/>
      <c r="H39" s="18"/>
      <c r="I39" s="38" t="s">
        <v>1598</v>
      </c>
      <c r="J39" s="18"/>
      <c r="K39" s="18"/>
      <c r="L39" s="18"/>
      <c r="M39" s="38" t="s">
        <v>1598</v>
      </c>
      <c r="N39" s="18"/>
      <c r="O39" s="18"/>
      <c r="P39" s="18"/>
      <c r="Q39" s="38" t="s">
        <v>1598</v>
      </c>
      <c r="R39" s="38" t="s">
        <v>1598</v>
      </c>
    </row>
    <row r="40" spans="1:18" ht="15.75" hidden="1"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hidden="1"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hidden="1"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hidden="1"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hidden="1"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hidden="1"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hidden="1"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hidden="1"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hidden="1"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hidden="1"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hidden="1"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hidden="1"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hidden="1"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hidden="1"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hidden="1" customHeight="1" x14ac:dyDescent="0.3">
      <c r="A54" s="422" t="s">
        <v>2557</v>
      </c>
      <c r="B54" s="10"/>
      <c r="C54" s="10"/>
      <c r="D54" s="10"/>
      <c r="E54" s="38">
        <f>SUM(B54:D54)</f>
        <v>0</v>
      </c>
      <c r="F54" s="10"/>
      <c r="G54" s="10"/>
      <c r="H54" s="10"/>
      <c r="I54" s="38">
        <f>SUM(F54:H54)</f>
        <v>0</v>
      </c>
      <c r="J54" s="10"/>
      <c r="K54" s="10"/>
      <c r="L54" s="10"/>
      <c r="M54" s="38">
        <f>SUM(J54:L54)</f>
        <v>0</v>
      </c>
      <c r="N54" s="10"/>
      <c r="O54" s="10"/>
      <c r="P54" s="10"/>
      <c r="Q54" s="38">
        <f>SUM(N54:P54)</f>
        <v>0</v>
      </c>
      <c r="R54" s="38">
        <f>+E54+I54+M54+Q54</f>
        <v>0</v>
      </c>
    </row>
    <row r="55" spans="1:18" ht="15.75" hidden="1"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hidden="1"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hidden="1"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hidden="1"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hidden="1"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hidden="1" customHeight="1" thickBot="1" x14ac:dyDescent="0.35">
      <c r="A60" s="304" t="s">
        <v>853</v>
      </c>
      <c r="B60" s="305">
        <v>96</v>
      </c>
      <c r="C60" s="305">
        <v>145</v>
      </c>
      <c r="D60" s="305">
        <v>261</v>
      </c>
      <c r="E60" s="21">
        <f>SUM(B60:D60)</f>
        <v>502</v>
      </c>
      <c r="F60" s="305">
        <v>350</v>
      </c>
      <c r="G60" s="305">
        <v>402</v>
      </c>
      <c r="H60" s="305">
        <v>396</v>
      </c>
      <c r="I60" s="21">
        <f>SUM(F60:H60)</f>
        <v>1148</v>
      </c>
      <c r="J60" s="305">
        <v>394</v>
      </c>
      <c r="K60" s="305">
        <v>318</v>
      </c>
      <c r="L60" s="305">
        <v>301</v>
      </c>
      <c r="M60" s="21">
        <f>SUM(J60:L60)</f>
        <v>1013</v>
      </c>
      <c r="N60" s="305">
        <v>272</v>
      </c>
      <c r="O60" s="305">
        <v>226</v>
      </c>
      <c r="P60" s="305">
        <v>179</v>
      </c>
      <c r="Q60" s="21">
        <f>SUM(N60:P60)</f>
        <v>677</v>
      </c>
      <c r="R60" s="21">
        <f>+E60+I60+M60+Q60</f>
        <v>3340</v>
      </c>
    </row>
    <row r="61" spans="1:18" ht="16.5" hidden="1" customHeight="1" thickBot="1" x14ac:dyDescent="0.35">
      <c r="A61" s="22"/>
      <c r="B61" s="297"/>
      <c r="C61" s="297"/>
      <c r="D61" s="297"/>
      <c r="E61" s="16"/>
      <c r="F61" s="297"/>
      <c r="G61" s="297"/>
      <c r="H61" s="297"/>
      <c r="I61" s="16"/>
      <c r="J61" s="297"/>
      <c r="K61" s="297"/>
      <c r="L61" s="297"/>
      <c r="M61" s="16"/>
      <c r="N61" s="297"/>
      <c r="O61" s="297"/>
      <c r="P61" s="297"/>
      <c r="Q61" s="16"/>
      <c r="R61" s="22"/>
    </row>
    <row r="62" spans="1:18" ht="15.75" hidden="1" customHeight="1" x14ac:dyDescent="0.3">
      <c r="A62" s="234" t="s">
        <v>2011</v>
      </c>
      <c r="B62" s="10">
        <f>+B59+B60</f>
        <v>96</v>
      </c>
      <c r="C62" s="10">
        <f>+C59+C60</f>
        <v>145</v>
      </c>
      <c r="D62" s="10">
        <f>+D59+D60</f>
        <v>261</v>
      </c>
      <c r="E62" s="14">
        <f>SUM(B62:D62)</f>
        <v>502</v>
      </c>
      <c r="F62" s="10">
        <f>+F59+F60</f>
        <v>350</v>
      </c>
      <c r="G62" s="10">
        <f>+G59+G60</f>
        <v>402</v>
      </c>
      <c r="H62" s="10">
        <f>+H59+H60</f>
        <v>396</v>
      </c>
      <c r="I62" s="14">
        <f>SUM(F62:H62)</f>
        <v>1148</v>
      </c>
      <c r="J62" s="10">
        <f>+J59+J60</f>
        <v>394</v>
      </c>
      <c r="K62" s="10">
        <f>+K59+K60</f>
        <v>318</v>
      </c>
      <c r="L62" s="10">
        <f>+L59+L60</f>
        <v>301</v>
      </c>
      <c r="M62" s="14">
        <f>SUM(J62:L62)</f>
        <v>1013</v>
      </c>
      <c r="N62" s="10">
        <f>+N59+N60</f>
        <v>272</v>
      </c>
      <c r="O62" s="10">
        <f>+O59+O60</f>
        <v>226</v>
      </c>
      <c r="P62" s="10">
        <f>+P59+P60</f>
        <v>179</v>
      </c>
      <c r="Q62" s="739">
        <f>SUM(N62:P62)</f>
        <v>677</v>
      </c>
      <c r="R62" s="15">
        <f>+E62+I62+M62+Q62</f>
        <v>3340</v>
      </c>
    </row>
    <row r="63" spans="1:18" ht="15.75" hidden="1" customHeight="1" x14ac:dyDescent="0.3">
      <c r="A63" s="234" t="s">
        <v>1897</v>
      </c>
      <c r="B63" s="10">
        <f>(B62/B10)/1.983</f>
        <v>1.5616612171197111</v>
      </c>
      <c r="C63" s="10">
        <f>(C62/C10)/1.983</f>
        <v>2.6114833225271954</v>
      </c>
      <c r="D63" s="10">
        <f>(D62/D10)/1.983</f>
        <v>4.2457664340442145</v>
      </c>
      <c r="E63" s="15"/>
      <c r="F63" s="10">
        <f>(F62/F10)/1.983</f>
        <v>5.8833417381072444</v>
      </c>
      <c r="G63" s="10">
        <f>(G62/G10)/1.983</f>
        <v>6.5394563466887892</v>
      </c>
      <c r="H63" s="10">
        <f>(H62/H10)/1.983</f>
        <v>6.6565809379727678</v>
      </c>
      <c r="I63" s="15"/>
      <c r="J63" s="10">
        <f>(J62/J10)/1.983</f>
        <v>6.4093179119288139</v>
      </c>
      <c r="K63" s="10">
        <f>(K62/K10)/1.983</f>
        <v>5.1730027817090427</v>
      </c>
      <c r="L63" s="10">
        <f>(L62/L10)/1.983</f>
        <v>5.0596738947722306</v>
      </c>
      <c r="M63" s="15"/>
      <c r="N63" s="10">
        <f>(N62/N10)/1.983</f>
        <v>4.4247067818391805</v>
      </c>
      <c r="O63" s="10">
        <f>(O62/O10)/1.983</f>
        <v>3.7989578080349635</v>
      </c>
      <c r="P63" s="10">
        <f>(P62/P10)/1.983</f>
        <v>2.9118474777544612</v>
      </c>
      <c r="Q63" s="29"/>
      <c r="R63" s="20"/>
    </row>
    <row r="64" spans="1:18" ht="15.75" hidden="1" customHeight="1" x14ac:dyDescent="0.3">
      <c r="A64" s="234" t="s">
        <v>1969</v>
      </c>
      <c r="B64" s="10">
        <f>B62+B134</f>
        <v>64400</v>
      </c>
      <c r="C64" s="10">
        <f>C62+C134</f>
        <v>125952</v>
      </c>
      <c r="D64" s="10">
        <f>D62+D134</f>
        <v>165590</v>
      </c>
      <c r="E64" s="15">
        <f>SUM(B64:D64)</f>
        <v>355942</v>
      </c>
      <c r="F64" s="10">
        <f>F62+F134</f>
        <v>161044</v>
      </c>
      <c r="G64" s="10">
        <f>G62+G134</f>
        <v>168145</v>
      </c>
      <c r="H64" s="10">
        <f>H62+H134</f>
        <v>95751</v>
      </c>
      <c r="I64" s="15">
        <f>SUM(F64:H64)</f>
        <v>424940</v>
      </c>
      <c r="J64" s="10">
        <f>J62+J134</f>
        <v>51177</v>
      </c>
      <c r="K64" s="10">
        <f>K62+K134</f>
        <v>51251</v>
      </c>
      <c r="L64" s="10">
        <f>L62+L134</f>
        <v>131207</v>
      </c>
      <c r="M64" s="15">
        <f>SUM(J64:L64)</f>
        <v>233635</v>
      </c>
      <c r="N64" s="10">
        <f>N62+N134</f>
        <v>160271</v>
      </c>
      <c r="O64" s="10">
        <f>O62+O134</f>
        <v>141581</v>
      </c>
      <c r="P64" s="10">
        <f>P62+P134</f>
        <v>99015</v>
      </c>
      <c r="Q64" s="29">
        <f>SUM(N64:P64)</f>
        <v>400867</v>
      </c>
      <c r="R64" s="15">
        <f>+E64+I64+M64+Q64</f>
        <v>1415384</v>
      </c>
    </row>
    <row r="65" spans="1:20" ht="16.5" hidden="1" customHeight="1" thickBot="1" x14ac:dyDescent="0.35">
      <c r="A65" s="237" t="s">
        <v>1970</v>
      </c>
      <c r="B65" s="294">
        <f>(B64/B10)/1.983</f>
        <v>1047.6143998178061</v>
      </c>
      <c r="C65" s="294">
        <f>(C64/C10)/1.983</f>
        <v>2268.4244650961746</v>
      </c>
      <c r="D65" s="294">
        <f>(D64/D10)/1.983</f>
        <v>2693.7029264880516</v>
      </c>
      <c r="E65" s="16"/>
      <c r="F65" s="294">
        <f>(F64/F10)/1.983</f>
        <v>2707.0768196335516</v>
      </c>
      <c r="G65" s="294">
        <f>(G64/G10)/1.983</f>
        <v>2735.2658890895186</v>
      </c>
      <c r="H65" s="294">
        <f>(H64/H10)/1.983</f>
        <v>1609.5310136157336</v>
      </c>
      <c r="I65" s="16"/>
      <c r="J65" s="294">
        <f>(J64/J10)/1.983</f>
        <v>832.51183446391087</v>
      </c>
      <c r="K65" s="294">
        <f>(K64/K10)/1.983</f>
        <v>833.71561498544077</v>
      </c>
      <c r="L65" s="294">
        <f>(L64/L10)/1.983</f>
        <v>2205.5303412338208</v>
      </c>
      <c r="M65" s="16"/>
      <c r="N65" s="294">
        <f>(N64/N10)/1.983</f>
        <v>2607.1771346770124</v>
      </c>
      <c r="O65" s="294">
        <f>(O64/O10)/1.983</f>
        <v>2379.9125903513195</v>
      </c>
      <c r="P65" s="294">
        <f>(P64/P10)/1.983</f>
        <v>1610.707139719877</v>
      </c>
      <c r="Q65" s="30"/>
      <c r="R65" s="23" t="s">
        <v>852</v>
      </c>
    </row>
    <row r="66" spans="1:20" ht="15.75" hidden="1" customHeight="1" x14ac:dyDescent="0.3">
      <c r="A66" s="17"/>
      <c r="B66" s="10"/>
      <c r="C66" s="10"/>
      <c r="D66" s="10"/>
      <c r="E66" s="10"/>
      <c r="F66" s="10"/>
      <c r="G66" s="10"/>
      <c r="H66" s="10"/>
      <c r="I66" s="10"/>
      <c r="J66" s="10"/>
      <c r="K66" s="10"/>
      <c r="L66" s="10"/>
      <c r="M66" s="10"/>
      <c r="N66" s="10"/>
      <c r="O66" s="10"/>
      <c r="P66" s="10"/>
      <c r="Q66" s="10"/>
      <c r="R66" s="17"/>
    </row>
    <row r="67" spans="1:20" ht="15.75" hidden="1" customHeight="1" thickBot="1" x14ac:dyDescent="0.35">
      <c r="A67" s="17"/>
      <c r="B67" s="10"/>
      <c r="C67" s="10"/>
      <c r="D67" s="10"/>
      <c r="E67" s="10"/>
      <c r="F67" s="10"/>
      <c r="G67" s="10"/>
      <c r="H67" s="10"/>
      <c r="I67" s="10"/>
      <c r="J67" s="10"/>
      <c r="K67" s="10"/>
      <c r="L67" s="10"/>
      <c r="M67" s="10"/>
      <c r="N67" s="10"/>
      <c r="O67" s="10"/>
      <c r="P67" s="10"/>
      <c r="Q67" s="10"/>
      <c r="R67" s="17"/>
    </row>
    <row r="68" spans="1:20" ht="16.5" hidden="1"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hidden="1" customHeight="1" thickBot="1" x14ac:dyDescent="0.35">
      <c r="A69" s="252"/>
      <c r="B69" s="306"/>
      <c r="C69" s="307"/>
      <c r="D69" s="307"/>
      <c r="E69" s="308"/>
      <c r="F69" s="307"/>
      <c r="G69" s="307"/>
      <c r="H69" s="307"/>
      <c r="I69" s="308"/>
      <c r="J69" s="307"/>
      <c r="K69" s="307"/>
      <c r="L69" s="307"/>
      <c r="M69" s="308"/>
      <c r="N69" s="307"/>
      <c r="O69" s="307"/>
      <c r="P69" s="309"/>
      <c r="Q69" s="308"/>
      <c r="R69" s="37"/>
    </row>
    <row r="70" spans="1:20" ht="15.75" hidden="1"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hidden="1"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hidden="1" customHeight="1" x14ac:dyDescent="0.3">
      <c r="A72" s="539" t="s">
        <v>2731</v>
      </c>
      <c r="B72" s="10"/>
      <c r="C72" s="10"/>
      <c r="D72" s="10"/>
      <c r="E72" s="38">
        <f t="shared" ref="E72:E82" si="5">SUM(B72:D72)</f>
        <v>0</v>
      </c>
      <c r="F72" s="10"/>
      <c r="G72" s="10"/>
      <c r="H72" s="10"/>
      <c r="I72" s="38">
        <f t="shared" ref="I72:I82" si="6">SUM(F72:H72)</f>
        <v>0</v>
      </c>
      <c r="J72" s="10"/>
      <c r="K72" s="10"/>
      <c r="L72" s="10"/>
      <c r="M72" s="38">
        <f t="shared" ref="M72:M82" si="7">SUM(J72:L72)</f>
        <v>0</v>
      </c>
      <c r="N72" s="10"/>
      <c r="O72" s="10"/>
      <c r="P72" s="10"/>
      <c r="Q72" s="38">
        <f t="shared" ref="Q72:Q82" si="8">SUM(N72:P72)</f>
        <v>0</v>
      </c>
      <c r="R72" s="38">
        <f t="shared" ref="R72:R82" si="9">+E72+I72+M72+Q72</f>
        <v>0</v>
      </c>
    </row>
    <row r="73" spans="1:20" ht="15.75" hidden="1" customHeight="1" x14ac:dyDescent="0.3">
      <c r="A73" s="539" t="s">
        <v>2732</v>
      </c>
      <c r="B73" s="10"/>
      <c r="C73" s="10"/>
      <c r="D73" s="10"/>
      <c r="E73" s="38">
        <f>SUM(B73:D73)</f>
        <v>0</v>
      </c>
      <c r="F73" s="10"/>
      <c r="G73" s="10"/>
      <c r="H73" s="10"/>
      <c r="I73" s="38">
        <f>SUM(F73:H73)</f>
        <v>0</v>
      </c>
      <c r="J73" s="10"/>
      <c r="K73" s="10"/>
      <c r="L73" s="10"/>
      <c r="M73" s="38">
        <f>SUM(J73:L73)</f>
        <v>0</v>
      </c>
      <c r="N73" s="10"/>
      <c r="O73" s="10"/>
      <c r="P73" s="10"/>
      <c r="Q73" s="38">
        <f>SUM(N73:P73)</f>
        <v>0</v>
      </c>
      <c r="R73" s="38">
        <f>+E73+I73+M73+Q73</f>
        <v>0</v>
      </c>
    </row>
    <row r="74" spans="1:20" ht="15.75" hidden="1" customHeight="1" x14ac:dyDescent="0.3">
      <c r="A74" s="539" t="s">
        <v>2060</v>
      </c>
      <c r="B74" s="10"/>
      <c r="C74" s="10"/>
      <c r="D74" s="10"/>
      <c r="E74" s="38">
        <f t="shared" si="5"/>
        <v>0</v>
      </c>
      <c r="F74" s="10"/>
      <c r="G74" s="10"/>
      <c r="H74" s="10"/>
      <c r="I74" s="38">
        <f t="shared" si="6"/>
        <v>0</v>
      </c>
      <c r="J74" s="10"/>
      <c r="K74" s="10"/>
      <c r="L74" s="10"/>
      <c r="M74" s="38">
        <f t="shared" si="7"/>
        <v>0</v>
      </c>
      <c r="N74" s="10"/>
      <c r="O74" s="10"/>
      <c r="P74" s="10"/>
      <c r="Q74" s="38">
        <f t="shared" si="8"/>
        <v>0</v>
      </c>
      <c r="R74" s="38">
        <f t="shared" si="9"/>
        <v>0</v>
      </c>
    </row>
    <row r="75" spans="1:20" ht="15.75" hidden="1" customHeight="1" x14ac:dyDescent="0.3">
      <c r="A75" s="539" t="s">
        <v>2773</v>
      </c>
      <c r="B75" s="10"/>
      <c r="C75" s="10"/>
      <c r="D75" s="10"/>
      <c r="E75" s="38">
        <f t="shared" si="5"/>
        <v>0</v>
      </c>
      <c r="F75" s="10"/>
      <c r="G75" s="10"/>
      <c r="H75" s="10"/>
      <c r="I75" s="38">
        <f t="shared" si="6"/>
        <v>0</v>
      </c>
      <c r="K75" s="10"/>
      <c r="L75" s="10"/>
      <c r="M75" s="38">
        <f t="shared" si="7"/>
        <v>0</v>
      </c>
      <c r="N75" s="10"/>
      <c r="O75" s="10"/>
      <c r="P75" s="10"/>
      <c r="Q75" s="38">
        <f t="shared" si="8"/>
        <v>0</v>
      </c>
      <c r="R75" s="38">
        <f t="shared" si="9"/>
        <v>0</v>
      </c>
      <c r="T75" t="s">
        <v>2774</v>
      </c>
    </row>
    <row r="76" spans="1:20" ht="15.75" hidden="1" customHeight="1" x14ac:dyDescent="0.3">
      <c r="A76" s="539" t="s">
        <v>3240</v>
      </c>
      <c r="B76" s="10">
        <v>400</v>
      </c>
      <c r="C76" s="10">
        <v>500</v>
      </c>
      <c r="D76" s="10">
        <v>1400</v>
      </c>
      <c r="E76" s="38">
        <f t="shared" si="5"/>
        <v>2300</v>
      </c>
      <c r="F76" s="10">
        <v>1900</v>
      </c>
      <c r="G76" s="10">
        <v>67</v>
      </c>
      <c r="H76" s="10"/>
      <c r="I76" s="38">
        <f t="shared" si="6"/>
        <v>1967</v>
      </c>
      <c r="J76" s="10"/>
      <c r="K76" s="10"/>
      <c r="L76" s="10"/>
      <c r="M76" s="38">
        <f t="shared" si="7"/>
        <v>0</v>
      </c>
      <c r="N76" s="10"/>
      <c r="O76" s="10"/>
      <c r="P76" s="10"/>
      <c r="Q76" s="38">
        <f t="shared" si="8"/>
        <v>0</v>
      </c>
      <c r="R76" s="38">
        <f t="shared" si="9"/>
        <v>4267</v>
      </c>
      <c r="S76" s="736" t="s">
        <v>3213</v>
      </c>
      <c r="T76" t="s">
        <v>2774</v>
      </c>
    </row>
    <row r="77" spans="1:20" ht="15.75" hidden="1" customHeight="1" x14ac:dyDescent="0.3">
      <c r="A77" s="539" t="s">
        <v>2262</v>
      </c>
      <c r="B77" s="10"/>
      <c r="C77" s="10"/>
      <c r="D77" s="10"/>
      <c r="E77" s="38">
        <f t="shared" si="5"/>
        <v>0</v>
      </c>
      <c r="F77" s="10"/>
      <c r="G77" s="10"/>
      <c r="H77" s="10"/>
      <c r="I77" s="38">
        <f t="shared" si="6"/>
        <v>0</v>
      </c>
      <c r="J77" s="10"/>
      <c r="K77" s="10"/>
      <c r="L77" s="10"/>
      <c r="M77" s="38">
        <f t="shared" si="7"/>
        <v>0</v>
      </c>
      <c r="N77" s="10"/>
      <c r="O77" s="10"/>
      <c r="P77" s="10"/>
      <c r="Q77" s="38">
        <f t="shared" si="8"/>
        <v>0</v>
      </c>
      <c r="R77" s="38">
        <f t="shared" si="9"/>
        <v>0</v>
      </c>
    </row>
    <row r="78" spans="1:20" ht="15.75" hidden="1" customHeight="1" x14ac:dyDescent="0.3">
      <c r="A78" s="539" t="s">
        <v>789</v>
      </c>
      <c r="B78" s="10"/>
      <c r="C78" s="10"/>
      <c r="D78" s="10"/>
      <c r="E78" s="38">
        <f t="shared" si="5"/>
        <v>0</v>
      </c>
      <c r="F78" s="10"/>
      <c r="G78" s="10"/>
      <c r="H78" s="10"/>
      <c r="I78" s="38">
        <f t="shared" si="6"/>
        <v>0</v>
      </c>
      <c r="J78" s="10"/>
      <c r="K78" s="10"/>
      <c r="L78" s="10"/>
      <c r="M78" s="38">
        <f t="shared" si="7"/>
        <v>0</v>
      </c>
      <c r="N78" s="10"/>
      <c r="O78" s="10"/>
      <c r="P78" s="10"/>
      <c r="Q78" s="38">
        <f t="shared" si="8"/>
        <v>0</v>
      </c>
      <c r="R78" s="38">
        <f t="shared" si="9"/>
        <v>0</v>
      </c>
      <c r="T78" t="s">
        <v>2799</v>
      </c>
    </row>
    <row r="79" spans="1:20" ht="15.75" hidden="1" customHeight="1" x14ac:dyDescent="0.3">
      <c r="A79" s="410" t="s">
        <v>3130</v>
      </c>
      <c r="B79" s="10"/>
      <c r="C79" s="10"/>
      <c r="D79" s="10"/>
      <c r="E79" s="38">
        <f t="shared" si="5"/>
        <v>0</v>
      </c>
      <c r="F79" s="10"/>
      <c r="G79" s="10">
        <v>512</v>
      </c>
      <c r="H79" s="10">
        <v>512</v>
      </c>
      <c r="I79" s="38">
        <f t="shared" si="6"/>
        <v>1024</v>
      </c>
      <c r="J79" s="10">
        <v>512</v>
      </c>
      <c r="K79" s="10">
        <v>512</v>
      </c>
      <c r="L79" s="10"/>
      <c r="M79" s="38">
        <f t="shared" si="7"/>
        <v>1024</v>
      </c>
      <c r="N79" s="10"/>
      <c r="O79" s="10"/>
      <c r="P79" s="10"/>
      <c r="Q79" s="38">
        <f t="shared" si="8"/>
        <v>0</v>
      </c>
      <c r="R79" s="38">
        <f t="shared" si="9"/>
        <v>2048</v>
      </c>
    </row>
    <row r="80" spans="1:20" ht="15.75" hidden="1" customHeight="1" x14ac:dyDescent="0.3">
      <c r="A80" s="410" t="s">
        <v>2183</v>
      </c>
      <c r="B80" s="10"/>
      <c r="C80" s="10"/>
      <c r="D80" s="10"/>
      <c r="E80" s="38">
        <f t="shared" si="5"/>
        <v>0</v>
      </c>
      <c r="F80" s="10"/>
      <c r="G80" s="10"/>
      <c r="H80" s="10"/>
      <c r="I80" s="38">
        <f t="shared" si="6"/>
        <v>0</v>
      </c>
      <c r="J80" s="10"/>
      <c r="K80" s="10"/>
      <c r="L80" s="10"/>
      <c r="M80" s="38">
        <f t="shared" si="7"/>
        <v>0</v>
      </c>
      <c r="N80" s="10"/>
      <c r="O80" s="10"/>
      <c r="P80" s="10"/>
      <c r="Q80" s="38">
        <f t="shared" si="8"/>
        <v>0</v>
      </c>
      <c r="R80" s="38">
        <f t="shared" si="9"/>
        <v>0</v>
      </c>
    </row>
    <row r="81" spans="1:20" ht="15.75" hidden="1" customHeight="1" x14ac:dyDescent="0.3">
      <c r="A81" s="410" t="s">
        <v>2947</v>
      </c>
      <c r="B81" s="10"/>
      <c r="C81" s="10"/>
      <c r="D81" s="10"/>
      <c r="E81" s="38">
        <f>SUM(B81:D81)</f>
        <v>0</v>
      </c>
      <c r="F81" s="10"/>
      <c r="G81" s="10"/>
      <c r="H81" s="10"/>
      <c r="I81" s="38">
        <f>SUM(F81:H81)</f>
        <v>0</v>
      </c>
      <c r="J81" s="10"/>
      <c r="K81" s="10"/>
      <c r="L81" s="10"/>
      <c r="M81" s="38">
        <f>SUM(J81:L81)</f>
        <v>0</v>
      </c>
      <c r="N81" s="10"/>
      <c r="O81" s="10"/>
      <c r="P81" s="10"/>
      <c r="Q81" s="38">
        <f>SUM(N81:P81)</f>
        <v>0</v>
      </c>
      <c r="R81" s="38">
        <f t="shared" si="9"/>
        <v>0</v>
      </c>
    </row>
    <row r="82" spans="1:20" ht="15.75" hidden="1" customHeight="1" x14ac:dyDescent="0.3">
      <c r="A82" s="410" t="s">
        <v>86</v>
      </c>
      <c r="B82" s="10"/>
      <c r="C82" s="10"/>
      <c r="D82" s="10"/>
      <c r="E82" s="38">
        <f t="shared" si="5"/>
        <v>0</v>
      </c>
      <c r="F82" s="10"/>
      <c r="G82" s="10"/>
      <c r="H82" s="10"/>
      <c r="I82" s="38">
        <f t="shared" si="6"/>
        <v>0</v>
      </c>
      <c r="J82" s="10"/>
      <c r="K82" s="10"/>
      <c r="L82" s="10"/>
      <c r="M82" s="38">
        <f t="shared" si="7"/>
        <v>0</v>
      </c>
      <c r="N82" s="10"/>
      <c r="O82" s="10"/>
      <c r="P82" s="10"/>
      <c r="Q82" s="38">
        <f t="shared" si="8"/>
        <v>0</v>
      </c>
      <c r="R82" s="38">
        <f t="shared" si="9"/>
        <v>0</v>
      </c>
      <c r="S82">
        <f>SUM(R72:R82)</f>
        <v>6315</v>
      </c>
    </row>
    <row r="83" spans="1:20" ht="15.75" hidden="1" customHeight="1" x14ac:dyDescent="0.3">
      <c r="A83" s="235" t="s">
        <v>2161</v>
      </c>
      <c r="B83" s="18"/>
      <c r="C83" s="18"/>
      <c r="D83" s="18"/>
      <c r="E83" s="38" t="s">
        <v>852</v>
      </c>
      <c r="F83" s="18"/>
      <c r="G83" s="18"/>
      <c r="H83" s="18"/>
      <c r="I83" s="38" t="s">
        <v>852</v>
      </c>
      <c r="J83" s="18"/>
      <c r="K83" s="18"/>
      <c r="L83" s="18"/>
      <c r="M83" s="38" t="s">
        <v>852</v>
      </c>
      <c r="N83" s="18"/>
      <c r="O83" s="18"/>
      <c r="P83" s="18"/>
      <c r="Q83" s="38" t="s">
        <v>852</v>
      </c>
      <c r="R83" s="38" t="s">
        <v>852</v>
      </c>
    </row>
    <row r="84" spans="1:20" ht="15.75" hidden="1" customHeight="1" x14ac:dyDescent="0.3">
      <c r="A84" s="410" t="s">
        <v>2419</v>
      </c>
      <c r="B84" s="10"/>
      <c r="C84" s="10"/>
      <c r="D84" s="10"/>
      <c r="E84" s="38">
        <f>SUM(B84:D84)</f>
        <v>0</v>
      </c>
      <c r="F84" s="10"/>
      <c r="G84" s="10"/>
      <c r="H84" s="10"/>
      <c r="I84" s="38">
        <f>SUM(F84:H84)</f>
        <v>0</v>
      </c>
      <c r="J84" s="10"/>
      <c r="K84" s="10"/>
      <c r="L84" s="10"/>
      <c r="M84" s="38">
        <f>SUM(J84:L84)</f>
        <v>0</v>
      </c>
      <c r="N84" s="10"/>
      <c r="O84" s="10"/>
      <c r="P84" s="10"/>
      <c r="Q84" s="38">
        <f>SUM(N84:P84)</f>
        <v>0</v>
      </c>
      <c r="R84" s="38">
        <f>+E84+I84+M84+Q84</f>
        <v>0</v>
      </c>
    </row>
    <row r="85" spans="1:20" ht="15.75" hidden="1" customHeight="1" x14ac:dyDescent="0.3">
      <c r="A85" s="235" t="s">
        <v>3245</v>
      </c>
      <c r="B85" s="18"/>
      <c r="C85" s="18"/>
      <c r="D85" s="18"/>
      <c r="E85" s="38" t="s">
        <v>1598</v>
      </c>
      <c r="F85" s="18"/>
      <c r="G85" s="18"/>
      <c r="H85" s="18"/>
      <c r="I85" s="38" t="s">
        <v>1598</v>
      </c>
      <c r="J85" s="18"/>
      <c r="K85" s="18"/>
      <c r="L85" s="18"/>
      <c r="M85" s="38" t="s">
        <v>1598</v>
      </c>
      <c r="N85" s="18"/>
      <c r="O85" s="18"/>
      <c r="P85" s="18"/>
      <c r="Q85" s="38" t="s">
        <v>1598</v>
      </c>
      <c r="R85" s="38" t="s">
        <v>1598</v>
      </c>
    </row>
    <row r="86" spans="1:20" ht="15.75" hidden="1" customHeight="1" x14ac:dyDescent="0.3">
      <c r="A86" s="422" t="s">
        <v>3241</v>
      </c>
      <c r="B86" s="10"/>
      <c r="C86" s="10"/>
      <c r="D86" s="10"/>
      <c r="E86" s="38">
        <f>SUM(B86:D86)</f>
        <v>0</v>
      </c>
      <c r="F86" s="10"/>
      <c r="G86" s="10"/>
      <c r="H86" s="10"/>
      <c r="I86" s="38">
        <f>SUM(F86:H86)</f>
        <v>0</v>
      </c>
      <c r="J86" s="10"/>
      <c r="K86" s="10"/>
      <c r="L86" s="10"/>
      <c r="M86" s="38">
        <f>SUM(J86:L86)</f>
        <v>0</v>
      </c>
      <c r="N86" s="10"/>
      <c r="O86" s="10"/>
      <c r="P86" s="10"/>
      <c r="Q86" s="38">
        <f>SUM(N86:P86)</f>
        <v>0</v>
      </c>
      <c r="R86" s="38">
        <f>+E86+I86+M86+Q86</f>
        <v>0</v>
      </c>
      <c r="S86" s="735" t="s">
        <v>3214</v>
      </c>
    </row>
    <row r="87" spans="1:20" ht="15.75" hidden="1" customHeight="1" x14ac:dyDescent="0.3">
      <c r="A87" s="422" t="s">
        <v>3242</v>
      </c>
      <c r="B87" s="10"/>
      <c r="C87" s="10"/>
      <c r="D87" s="10"/>
      <c r="E87" s="38">
        <f>SUM(B87:D87)</f>
        <v>0</v>
      </c>
      <c r="F87" s="10"/>
      <c r="G87" s="10"/>
      <c r="H87" s="10"/>
      <c r="I87" s="38">
        <f>SUM(F87:H87)</f>
        <v>0</v>
      </c>
      <c r="J87" s="10"/>
      <c r="K87" s="10"/>
      <c r="L87" s="10"/>
      <c r="M87" s="38">
        <f>SUM(J87:L87)</f>
        <v>0</v>
      </c>
      <c r="N87" s="10"/>
      <c r="O87" s="10"/>
      <c r="P87" s="10"/>
      <c r="Q87" s="38">
        <f>SUM(N87:P87)</f>
        <v>0</v>
      </c>
      <c r="R87" s="38">
        <f>+E87+I87+M87+Q87</f>
        <v>0</v>
      </c>
      <c r="S87" s="735" t="s">
        <v>3214</v>
      </c>
      <c r="T87" t="s">
        <v>2774</v>
      </c>
    </row>
    <row r="88" spans="1:20" ht="15.75" hidden="1"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20" ht="16.5" hidden="1" customHeight="1" thickBot="1" x14ac:dyDescent="0.35">
      <c r="A89" s="43" t="s">
        <v>1218</v>
      </c>
      <c r="B89" s="42">
        <f>SUM(B70:B88)</f>
        <v>400</v>
      </c>
      <c r="C89" s="42">
        <f>SUM(C70:C88)</f>
        <v>500</v>
      </c>
      <c r="D89" s="42">
        <f>SUM(D70:D88)</f>
        <v>1400</v>
      </c>
      <c r="E89" s="37">
        <f>SUM(B89:D89)</f>
        <v>2300</v>
      </c>
      <c r="F89" s="42">
        <f>SUM(F70:F88)</f>
        <v>1900</v>
      </c>
      <c r="G89" s="42">
        <f>SUM(G70:G88)</f>
        <v>579</v>
      </c>
      <c r="H89" s="42">
        <f>SUM(H70:H88)</f>
        <v>512</v>
      </c>
      <c r="I89" s="37">
        <f>SUM(F89:H89)</f>
        <v>2991</v>
      </c>
      <c r="J89" s="42">
        <f>SUM(J70:J88)</f>
        <v>512</v>
      </c>
      <c r="K89" s="42">
        <f>SUM(K70:K88)</f>
        <v>512</v>
      </c>
      <c r="L89" s="42">
        <f>SUM(L70:L88)</f>
        <v>0</v>
      </c>
      <c r="M89" s="37">
        <f>SUM(J89:L89)</f>
        <v>1024</v>
      </c>
      <c r="N89" s="42">
        <f>SUM(N70:N88)</f>
        <v>0</v>
      </c>
      <c r="O89" s="42">
        <f>SUM(O70:O88)</f>
        <v>0</v>
      </c>
      <c r="P89" s="42">
        <f>SUM(P70:P88)</f>
        <v>0</v>
      </c>
      <c r="Q89" s="37">
        <f>SUM(N89:P89)</f>
        <v>0</v>
      </c>
      <c r="R89" s="37">
        <f>+E89+I89+M89+Q89</f>
        <v>6315</v>
      </c>
    </row>
    <row r="90" spans="1:20" ht="15.75" hidden="1"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20" ht="15.75" hidden="1"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hidden="1"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20" ht="15.75" hidden="1" customHeight="1" x14ac:dyDescent="0.3">
      <c r="A93" s="410" t="s">
        <v>701</v>
      </c>
      <c r="B93" s="10">
        <v>489</v>
      </c>
      <c r="C93" s="10">
        <v>489</v>
      </c>
      <c r="D93" s="10">
        <v>1956</v>
      </c>
      <c r="E93" s="38">
        <f>SUM(B93:D93)</f>
        <v>2934</v>
      </c>
      <c r="F93" s="10">
        <v>2836</v>
      </c>
      <c r="G93" s="10">
        <v>3911</v>
      </c>
      <c r="H93" s="10">
        <v>3911</v>
      </c>
      <c r="I93" s="38">
        <f>SUM(F93:H93)</f>
        <v>10658</v>
      </c>
      <c r="J93" s="10">
        <v>3911</v>
      </c>
      <c r="K93" s="10">
        <v>2933</v>
      </c>
      <c r="L93" s="10">
        <v>2004</v>
      </c>
      <c r="M93" s="38">
        <f>SUM(J93:L93)</f>
        <v>8848</v>
      </c>
      <c r="N93" s="10">
        <v>978</v>
      </c>
      <c r="O93" s="10">
        <v>394</v>
      </c>
      <c r="P93" s="10">
        <v>587</v>
      </c>
      <c r="Q93" s="38">
        <f>SUM(N93:P93)</f>
        <v>1959</v>
      </c>
      <c r="R93" s="38">
        <f>+E93+I93+M93+Q93</f>
        <v>24399</v>
      </c>
      <c r="T93" t="s">
        <v>2810</v>
      </c>
    </row>
    <row r="94" spans="1:20" ht="15.75" hidden="1" customHeight="1" x14ac:dyDescent="0.3">
      <c r="A94" s="410" t="s">
        <v>702</v>
      </c>
      <c r="B94" s="10"/>
      <c r="C94" s="10"/>
      <c r="D94" s="10"/>
      <c r="E94" s="38">
        <f>SUM(B94:D94)</f>
        <v>0</v>
      </c>
      <c r="F94" s="10"/>
      <c r="G94" s="10">
        <v>200</v>
      </c>
      <c r="H94" s="10">
        <v>250</v>
      </c>
      <c r="I94" s="38">
        <f>SUM(F94:H94)</f>
        <v>450</v>
      </c>
      <c r="J94" s="10">
        <v>335</v>
      </c>
      <c r="K94" s="10">
        <v>335</v>
      </c>
      <c r="L94" s="10">
        <v>515</v>
      </c>
      <c r="M94" s="38">
        <f>SUM(J94:L94)</f>
        <v>1185</v>
      </c>
      <c r="N94" s="10">
        <v>715</v>
      </c>
      <c r="O94" s="10">
        <v>244</v>
      </c>
      <c r="P94" s="10"/>
      <c r="Q94" s="38">
        <f>SUM(N94:P94)</f>
        <v>959</v>
      </c>
      <c r="R94" s="38">
        <f>+E94+I94+M94+Q94</f>
        <v>2594</v>
      </c>
      <c r="T94" t="s">
        <v>2774</v>
      </c>
    </row>
    <row r="95" spans="1:20" ht="15.75" hidden="1"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20" ht="16.5" hidden="1" customHeight="1" thickBot="1" x14ac:dyDescent="0.35">
      <c r="A96" s="43" t="s">
        <v>1219</v>
      </c>
      <c r="B96" s="42">
        <f>SUM(B90:B95)</f>
        <v>489</v>
      </c>
      <c r="C96" s="42">
        <f>SUM(C90:C95)</f>
        <v>489</v>
      </c>
      <c r="D96" s="42">
        <f>SUM(D90:D95)</f>
        <v>1956</v>
      </c>
      <c r="E96" s="37">
        <f>SUM(B96:D96)</f>
        <v>2934</v>
      </c>
      <c r="F96" s="42">
        <f>SUM(F90:F95)</f>
        <v>2836</v>
      </c>
      <c r="G96" s="42">
        <f>SUM(G90:G95)</f>
        <v>4111</v>
      </c>
      <c r="H96" s="42">
        <f>SUM(H90:H95)</f>
        <v>4161</v>
      </c>
      <c r="I96" s="37">
        <f>SUM(F96:H96)</f>
        <v>11108</v>
      </c>
      <c r="J96" s="42">
        <f>SUM(J90:J95)</f>
        <v>4246</v>
      </c>
      <c r="K96" s="42">
        <f>SUM(K90:K95)</f>
        <v>3268</v>
      </c>
      <c r="L96" s="42">
        <f>SUM(L90:L95)</f>
        <v>2519</v>
      </c>
      <c r="M96" s="37">
        <f>SUM(J96:L96)</f>
        <v>10033</v>
      </c>
      <c r="N96" s="42">
        <f>SUM(N90:N95)</f>
        <v>1693</v>
      </c>
      <c r="O96" s="42">
        <f>SUM(O90:O95)</f>
        <v>638</v>
      </c>
      <c r="P96" s="42">
        <f>SUM(P90:P95)</f>
        <v>587</v>
      </c>
      <c r="Q96" s="37">
        <f>SUM(N96:P96)</f>
        <v>2918</v>
      </c>
      <c r="R96" s="37">
        <f>+E96+I96+M96+Q96</f>
        <v>26993</v>
      </c>
    </row>
    <row r="97" spans="1:20" ht="15.75" hidden="1"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hidden="1"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20" ht="15.75" hidden="1" customHeight="1" x14ac:dyDescent="0.3">
      <c r="A99" s="235" t="s">
        <v>1711</v>
      </c>
      <c r="B99" s="248"/>
      <c r="C99" s="248"/>
      <c r="D99" s="248"/>
      <c r="E99" s="38"/>
      <c r="F99" s="248"/>
      <c r="G99" s="248"/>
      <c r="H99" s="248"/>
      <c r="I99" s="38"/>
      <c r="J99" s="248"/>
      <c r="K99" s="248"/>
      <c r="L99" s="248"/>
      <c r="M99" s="38"/>
      <c r="N99" s="248"/>
      <c r="O99" s="248"/>
      <c r="P99" s="248"/>
      <c r="Q99" s="38"/>
      <c r="R99" s="38"/>
    </row>
    <row r="100" spans="1:20" ht="15.75" hidden="1" customHeight="1" x14ac:dyDescent="0.3">
      <c r="A100" s="410" t="s">
        <v>1584</v>
      </c>
      <c r="B100" s="10"/>
      <c r="C100" s="10"/>
      <c r="D100" s="10"/>
      <c r="E100" s="38">
        <f t="shared" ref="E100:E108" si="10">SUM(B100:D100)</f>
        <v>0</v>
      </c>
      <c r="F100" s="10"/>
      <c r="G100" s="10"/>
      <c r="H100" s="10"/>
      <c r="I100" s="38">
        <f t="shared" ref="I100:I108" si="11">SUM(F100:H100)</f>
        <v>0</v>
      </c>
      <c r="J100" s="10"/>
      <c r="K100" s="10"/>
      <c r="L100" s="10"/>
      <c r="M100" s="38">
        <f t="shared" ref="M100:M108" si="12">SUM(J100:L100)</f>
        <v>0</v>
      </c>
      <c r="N100" s="10"/>
      <c r="O100" s="10"/>
      <c r="P100" s="10"/>
      <c r="Q100" s="38">
        <f t="shared" ref="Q100:Q108" si="13">SUM(N100:P100)</f>
        <v>0</v>
      </c>
      <c r="R100" s="38">
        <f t="shared" ref="R100:R108" si="14">+E100+I100+M100+Q100</f>
        <v>0</v>
      </c>
    </row>
    <row r="101" spans="1:20" ht="15.75" hidden="1" customHeight="1" x14ac:dyDescent="0.3">
      <c r="A101" s="410" t="s">
        <v>1977</v>
      </c>
      <c r="B101" s="10"/>
      <c r="C101" s="10"/>
      <c r="D101" s="10"/>
      <c r="E101" s="38">
        <f t="shared" si="10"/>
        <v>0</v>
      </c>
      <c r="F101" s="10"/>
      <c r="G101" s="10"/>
      <c r="H101" s="10"/>
      <c r="I101" s="38">
        <f t="shared" si="11"/>
        <v>0</v>
      </c>
      <c r="J101" s="10"/>
      <c r="K101" s="10"/>
      <c r="L101" s="10"/>
      <c r="M101" s="38">
        <f t="shared" si="12"/>
        <v>0</v>
      </c>
      <c r="N101" s="10"/>
      <c r="O101" s="10"/>
      <c r="P101" s="10"/>
      <c r="Q101" s="38">
        <f t="shared" si="13"/>
        <v>0</v>
      </c>
      <c r="R101" s="38">
        <f t="shared" si="14"/>
        <v>0</v>
      </c>
    </row>
    <row r="102" spans="1:20" ht="15.75" hidden="1" customHeight="1" x14ac:dyDescent="0.3">
      <c r="A102" s="410" t="s">
        <v>3287</v>
      </c>
      <c r="B102" s="10"/>
      <c r="C102" s="10"/>
      <c r="D102" s="10"/>
      <c r="E102" s="38">
        <f>SUM(B102:D102)</f>
        <v>0</v>
      </c>
      <c r="F102" s="10"/>
      <c r="G102" s="10"/>
      <c r="H102" s="10"/>
      <c r="I102" s="38">
        <f>SUM(F102:H102)</f>
        <v>0</v>
      </c>
      <c r="J102" s="10"/>
      <c r="K102" s="10"/>
      <c r="L102" s="10"/>
      <c r="M102" s="38">
        <f>SUM(J102:L102)</f>
        <v>0</v>
      </c>
      <c r="N102" s="10"/>
      <c r="O102" s="10"/>
      <c r="P102" s="10"/>
      <c r="Q102" s="38">
        <f>SUM(N102:P102)</f>
        <v>0</v>
      </c>
      <c r="R102" s="38">
        <f>+E102+I102+M102+Q102</f>
        <v>0</v>
      </c>
    </row>
    <row r="103" spans="1:20" ht="15.75" hidden="1" customHeight="1" x14ac:dyDescent="0.3">
      <c r="A103" s="410" t="s">
        <v>3155</v>
      </c>
      <c r="B103" s="10"/>
      <c r="C103" s="10"/>
      <c r="D103" s="10"/>
      <c r="E103" s="38">
        <f>SUM(B103:D103)</f>
        <v>0</v>
      </c>
      <c r="F103" s="10"/>
      <c r="G103" s="10"/>
      <c r="H103" s="10"/>
      <c r="I103" s="38">
        <f>SUM(F103:H103)</f>
        <v>0</v>
      </c>
      <c r="J103" s="10"/>
      <c r="K103" s="10"/>
      <c r="L103" s="10"/>
      <c r="M103" s="38">
        <f>SUM(J103:L103)</f>
        <v>0</v>
      </c>
      <c r="N103" s="10"/>
      <c r="O103" s="10"/>
      <c r="P103" s="10"/>
      <c r="Q103" s="38">
        <f>SUM(N103:P103)</f>
        <v>0</v>
      </c>
      <c r="R103" s="38">
        <f>+E103+I103+M103+Q103</f>
        <v>0</v>
      </c>
      <c r="T103" t="s">
        <v>2799</v>
      </c>
    </row>
    <row r="104" spans="1:20" ht="15.75" hidden="1" customHeight="1" x14ac:dyDescent="0.3">
      <c r="A104" s="410" t="s">
        <v>436</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hidden="1" customHeight="1" x14ac:dyDescent="0.3">
      <c r="A105" s="410" t="s">
        <v>3288</v>
      </c>
      <c r="B105" s="10"/>
      <c r="C105" s="10"/>
      <c r="D105" s="10"/>
      <c r="E105" s="38">
        <f t="shared" si="10"/>
        <v>0</v>
      </c>
      <c r="F105" s="10"/>
      <c r="G105" s="10"/>
      <c r="H105" s="10"/>
      <c r="I105" s="38">
        <f t="shared" si="11"/>
        <v>0</v>
      </c>
      <c r="J105" s="10"/>
      <c r="K105" s="10"/>
      <c r="L105" s="10"/>
      <c r="M105" s="38">
        <f t="shared" si="12"/>
        <v>0</v>
      </c>
      <c r="N105" s="10"/>
      <c r="O105" s="10"/>
      <c r="P105" s="10"/>
      <c r="Q105" s="38">
        <f t="shared" si="13"/>
        <v>0</v>
      </c>
      <c r="R105" s="38">
        <f t="shared" si="14"/>
        <v>0</v>
      </c>
    </row>
    <row r="106" spans="1:20" ht="15.75" hidden="1" customHeight="1" x14ac:dyDescent="0.3">
      <c r="A106" s="410" t="s">
        <v>2261</v>
      </c>
      <c r="B106" s="10"/>
      <c r="C106" s="10"/>
      <c r="D106" s="10"/>
      <c r="E106" s="38">
        <f t="shared" si="10"/>
        <v>0</v>
      </c>
      <c r="F106" s="10"/>
      <c r="G106" s="10"/>
      <c r="H106" s="10"/>
      <c r="I106" s="38">
        <f t="shared" si="11"/>
        <v>0</v>
      </c>
      <c r="J106" s="10"/>
      <c r="K106" s="10"/>
      <c r="L106" s="10"/>
      <c r="M106" s="38">
        <f t="shared" si="12"/>
        <v>0</v>
      </c>
      <c r="N106" s="10"/>
      <c r="O106" s="10"/>
      <c r="P106" s="10"/>
      <c r="Q106" s="38">
        <f t="shared" ref="Q106" si="15">SUM(N106:P106)</f>
        <v>0</v>
      </c>
      <c r="R106" s="38">
        <f t="shared" si="14"/>
        <v>0</v>
      </c>
    </row>
    <row r="107" spans="1:20" ht="15.75" hidden="1" customHeight="1" thickBot="1" x14ac:dyDescent="0.35">
      <c r="A107" s="410" t="s">
        <v>3366</v>
      </c>
      <c r="B107" s="10"/>
      <c r="C107" s="10"/>
      <c r="D107" s="10"/>
      <c r="E107" s="38">
        <f t="shared" si="10"/>
        <v>0</v>
      </c>
      <c r="F107" s="10"/>
      <c r="G107" s="10">
        <v>1333</v>
      </c>
      <c r="H107" s="10">
        <v>1600</v>
      </c>
      <c r="I107" s="38">
        <f t="shared" si="11"/>
        <v>2933</v>
      </c>
      <c r="J107" s="10">
        <v>1400</v>
      </c>
      <c r="K107" s="10">
        <v>1300</v>
      </c>
      <c r="L107" s="10">
        <v>1100</v>
      </c>
      <c r="M107" s="38">
        <f t="shared" si="12"/>
        <v>3800</v>
      </c>
      <c r="N107" s="10">
        <v>550</v>
      </c>
      <c r="O107" s="10">
        <v>250</v>
      </c>
      <c r="P107" s="10">
        <v>200</v>
      </c>
      <c r="Q107" s="38">
        <f t="shared" si="13"/>
        <v>1000</v>
      </c>
      <c r="R107" s="38">
        <f t="shared" si="14"/>
        <v>7733</v>
      </c>
    </row>
    <row r="108" spans="1:20" ht="16.5" hidden="1" customHeight="1" thickBot="1" x14ac:dyDescent="0.35">
      <c r="A108" s="43" t="s">
        <v>1220</v>
      </c>
      <c r="B108" s="42">
        <f>SUM(B97:B107)</f>
        <v>0</v>
      </c>
      <c r="C108" s="42">
        <f>SUM(C97:C107)</f>
        <v>0</v>
      </c>
      <c r="D108" s="42">
        <f>SUM(D97:D107)</f>
        <v>0</v>
      </c>
      <c r="E108" s="37">
        <f t="shared" si="10"/>
        <v>0</v>
      </c>
      <c r="F108" s="42">
        <f>SUM(F97:F107)</f>
        <v>0</v>
      </c>
      <c r="G108" s="42">
        <f>SUM(G97:G107)</f>
        <v>1333</v>
      </c>
      <c r="H108" s="42">
        <f>SUM(H97:H107)</f>
        <v>1600</v>
      </c>
      <c r="I108" s="37">
        <f t="shared" si="11"/>
        <v>2933</v>
      </c>
      <c r="J108" s="42">
        <f>SUM(J97:J107)</f>
        <v>1400</v>
      </c>
      <c r="K108" s="42">
        <f>SUM(K97:K107)</f>
        <v>1300</v>
      </c>
      <c r="L108" s="42">
        <f>SUM(L97:L107)</f>
        <v>1100</v>
      </c>
      <c r="M108" s="37">
        <f t="shared" si="12"/>
        <v>3800</v>
      </c>
      <c r="N108" s="42">
        <f>SUM(N97:N107)</f>
        <v>550</v>
      </c>
      <c r="O108" s="42">
        <f>SUM(O97:O107)</f>
        <v>250</v>
      </c>
      <c r="P108" s="42">
        <f>SUM(P97:P107)</f>
        <v>200</v>
      </c>
      <c r="Q108" s="37">
        <f t="shared" si="13"/>
        <v>1000</v>
      </c>
      <c r="R108" s="37">
        <f t="shared" si="14"/>
        <v>7733</v>
      </c>
    </row>
    <row r="109" spans="1:20" ht="15.75" hidden="1" customHeight="1" x14ac:dyDescent="0.3">
      <c r="A109" s="235" t="s">
        <v>1712</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20" ht="15.75" hidden="1" customHeight="1" x14ac:dyDescent="0.3">
      <c r="A110" s="235" t="s">
        <v>1021</v>
      </c>
      <c r="B110" s="248"/>
      <c r="C110" s="248"/>
      <c r="D110" s="248"/>
      <c r="E110" s="38" t="s">
        <v>852</v>
      </c>
      <c r="F110" s="248"/>
      <c r="G110" s="248"/>
      <c r="H110" s="248"/>
      <c r="I110" s="38" t="s">
        <v>852</v>
      </c>
      <c r="J110" s="248"/>
      <c r="K110" s="248"/>
      <c r="L110" s="248"/>
      <c r="M110" s="38" t="s">
        <v>852</v>
      </c>
      <c r="N110" s="248"/>
      <c r="O110" s="248"/>
      <c r="P110" s="248"/>
      <c r="Q110" s="38" t="s">
        <v>852</v>
      </c>
      <c r="R110" s="38" t="s">
        <v>852</v>
      </c>
    </row>
    <row r="111" spans="1:20" ht="15.75" hidden="1" customHeight="1" x14ac:dyDescent="0.3">
      <c r="A111" s="422" t="s">
        <v>2751</v>
      </c>
      <c r="B111" s="10"/>
      <c r="C111" s="10"/>
      <c r="D111" s="10"/>
      <c r="E111" s="38">
        <f t="shared" ref="E111:E116" si="16">SUM(B111:D111)</f>
        <v>0</v>
      </c>
      <c r="F111" s="10"/>
      <c r="G111" s="10"/>
      <c r="H111" s="10"/>
      <c r="I111" s="38">
        <f t="shared" ref="I111:I116" si="17">SUM(F111:H111)</f>
        <v>0</v>
      </c>
      <c r="J111" s="10"/>
      <c r="K111" s="10"/>
      <c r="L111" s="10"/>
      <c r="M111" s="38">
        <f t="shared" ref="M111:M116" si="18">SUM(J111:L111)</f>
        <v>0</v>
      </c>
      <c r="N111" s="10"/>
      <c r="O111" s="10"/>
      <c r="P111" s="10"/>
      <c r="Q111" s="38">
        <f t="shared" ref="Q111:Q116" si="19">SUM(N111:P111)</f>
        <v>0</v>
      </c>
      <c r="R111" s="38">
        <f t="shared" ref="R111:R116" si="20">+E111+I111+M111+Q111</f>
        <v>0</v>
      </c>
    </row>
    <row r="112" spans="1:20" ht="15.75" hidden="1" customHeight="1" x14ac:dyDescent="0.3">
      <c r="A112" s="422" t="s">
        <v>3243</v>
      </c>
      <c r="B112" s="10"/>
      <c r="C112" s="10"/>
      <c r="D112" s="10"/>
      <c r="E112" s="38">
        <f t="shared" si="16"/>
        <v>0</v>
      </c>
      <c r="F112" s="10"/>
      <c r="G112" s="10"/>
      <c r="H112" s="10"/>
      <c r="I112" s="38">
        <f t="shared" si="17"/>
        <v>0</v>
      </c>
      <c r="J112" s="10"/>
      <c r="K112" s="10"/>
      <c r="L112" s="10"/>
      <c r="M112" s="38">
        <f t="shared" si="18"/>
        <v>0</v>
      </c>
      <c r="N112" s="10"/>
      <c r="O112" s="10"/>
      <c r="P112" s="10"/>
      <c r="Q112" s="38">
        <f t="shared" si="19"/>
        <v>0</v>
      </c>
      <c r="R112" s="38">
        <f t="shared" si="20"/>
        <v>0</v>
      </c>
    </row>
    <row r="113" spans="1:20" ht="15.75" hidden="1" customHeight="1" x14ac:dyDescent="0.3">
      <c r="A113" s="422" t="s">
        <v>320</v>
      </c>
      <c r="B113" s="10"/>
      <c r="C113" s="10"/>
      <c r="D113" s="10"/>
      <c r="E113" s="38">
        <f t="shared" si="16"/>
        <v>0</v>
      </c>
      <c r="F113" s="10"/>
      <c r="G113" s="10"/>
      <c r="H113" s="10"/>
      <c r="I113" s="38">
        <f t="shared" si="17"/>
        <v>0</v>
      </c>
      <c r="J113" s="10"/>
      <c r="K113" s="10"/>
      <c r="L113" s="10"/>
      <c r="M113" s="38">
        <f t="shared" si="18"/>
        <v>0</v>
      </c>
      <c r="N113" s="10"/>
      <c r="O113" s="10"/>
      <c r="P113" s="10"/>
      <c r="Q113" s="38">
        <f t="shared" si="19"/>
        <v>0</v>
      </c>
      <c r="R113" s="38">
        <f t="shared" si="20"/>
        <v>0</v>
      </c>
    </row>
    <row r="114" spans="1:20" ht="15.75" hidden="1" customHeight="1" x14ac:dyDescent="0.3">
      <c r="A114" s="422" t="s">
        <v>563</v>
      </c>
      <c r="B114" s="10"/>
      <c r="C114" s="10"/>
      <c r="D114" s="10"/>
      <c r="E114" s="38">
        <f t="shared" si="16"/>
        <v>0</v>
      </c>
      <c r="F114" s="10"/>
      <c r="G114" s="10"/>
      <c r="H114" s="10"/>
      <c r="I114" s="38">
        <f t="shared" si="17"/>
        <v>0</v>
      </c>
      <c r="J114" s="10"/>
      <c r="K114" s="10"/>
      <c r="L114" s="10"/>
      <c r="M114" s="38">
        <f t="shared" si="18"/>
        <v>0</v>
      </c>
      <c r="N114" s="10"/>
      <c r="O114" s="10"/>
      <c r="P114" s="10"/>
      <c r="Q114" s="38">
        <f t="shared" si="19"/>
        <v>0</v>
      </c>
      <c r="R114" s="38">
        <f t="shared" si="20"/>
        <v>0</v>
      </c>
    </row>
    <row r="115" spans="1:20" ht="15.75" hidden="1" customHeight="1" x14ac:dyDescent="0.3">
      <c r="A115" s="422" t="s">
        <v>2123</v>
      </c>
      <c r="B115" s="10"/>
      <c r="C115" s="10"/>
      <c r="D115" s="10"/>
      <c r="E115" s="38">
        <f t="shared" si="16"/>
        <v>0</v>
      </c>
      <c r="F115" s="10"/>
      <c r="G115" s="10"/>
      <c r="H115" s="10"/>
      <c r="I115" s="38">
        <f t="shared" si="17"/>
        <v>0</v>
      </c>
      <c r="J115" s="10"/>
      <c r="K115" s="10"/>
      <c r="L115" s="10"/>
      <c r="M115" s="38">
        <f t="shared" si="18"/>
        <v>0</v>
      </c>
      <c r="N115" s="10"/>
      <c r="O115" s="10"/>
      <c r="P115" s="10"/>
      <c r="Q115" s="38">
        <f t="shared" si="19"/>
        <v>0</v>
      </c>
      <c r="R115" s="38">
        <f t="shared" si="20"/>
        <v>0</v>
      </c>
    </row>
    <row r="116" spans="1:20" ht="15.75" hidden="1" customHeight="1" x14ac:dyDescent="0.3">
      <c r="A116" s="422" t="s">
        <v>2752</v>
      </c>
      <c r="B116" s="10"/>
      <c r="C116" s="10"/>
      <c r="D116" s="10"/>
      <c r="E116" s="38">
        <f t="shared" si="16"/>
        <v>0</v>
      </c>
      <c r="F116" s="10"/>
      <c r="G116" s="10"/>
      <c r="H116" s="10"/>
      <c r="I116" s="38">
        <f t="shared" si="17"/>
        <v>0</v>
      </c>
      <c r="J116" s="10"/>
      <c r="K116" s="10"/>
      <c r="L116" s="10"/>
      <c r="M116" s="38">
        <f t="shared" si="18"/>
        <v>0</v>
      </c>
      <c r="N116" s="10"/>
      <c r="O116" s="10"/>
      <c r="P116" s="10"/>
      <c r="Q116" s="38">
        <f t="shared" si="19"/>
        <v>0</v>
      </c>
      <c r="R116" s="38">
        <f t="shared" si="20"/>
        <v>0</v>
      </c>
    </row>
    <row r="117" spans="1:20" ht="15.75" hidden="1" customHeight="1" x14ac:dyDescent="0.3">
      <c r="A117" s="422" t="s">
        <v>2690</v>
      </c>
      <c r="B117" s="10"/>
      <c r="C117" s="10"/>
      <c r="D117" s="10"/>
      <c r="E117" s="38">
        <f>SUM(B117:D117)</f>
        <v>0</v>
      </c>
      <c r="F117" s="10"/>
      <c r="G117" s="10"/>
      <c r="H117" s="10"/>
      <c r="I117" s="38">
        <f>SUM(F117:H117)</f>
        <v>0</v>
      </c>
      <c r="J117" s="10"/>
      <c r="K117" s="10"/>
      <c r="L117" s="10"/>
      <c r="M117" s="38">
        <f>SUM(J117:L117)</f>
        <v>0</v>
      </c>
      <c r="N117" s="10"/>
      <c r="O117" s="10"/>
      <c r="P117" s="10"/>
      <c r="Q117" s="38">
        <f>SUM(N117:P117)</f>
        <v>0</v>
      </c>
      <c r="R117" s="38">
        <f>+E117+I117+M117+Q117</f>
        <v>0</v>
      </c>
    </row>
    <row r="118" spans="1:20" ht="15.75" hidden="1" customHeight="1" x14ac:dyDescent="0.3">
      <c r="A118" s="618" t="s">
        <v>2503</v>
      </c>
      <c r="B118" s="10"/>
      <c r="C118" s="10"/>
      <c r="D118" s="10"/>
      <c r="E118" s="38">
        <f>SUM(B118:D118)</f>
        <v>0</v>
      </c>
      <c r="F118" s="10"/>
      <c r="G118" s="10"/>
      <c r="H118" s="10"/>
      <c r="I118" s="38">
        <f>SUM(F118:H118)</f>
        <v>0</v>
      </c>
      <c r="J118" s="10"/>
      <c r="K118" s="10"/>
      <c r="L118" s="10"/>
      <c r="M118" s="38">
        <f>SUM(J118:L118)</f>
        <v>0</v>
      </c>
      <c r="N118" s="10"/>
      <c r="O118" s="10"/>
      <c r="P118" s="10"/>
      <c r="Q118" s="38">
        <f>SUM(N118:P118)</f>
        <v>0</v>
      </c>
      <c r="R118" s="38">
        <f>+E118+I118+M118+Q118</f>
        <v>0</v>
      </c>
      <c r="T118" t="s">
        <v>2811</v>
      </c>
    </row>
    <row r="119" spans="1:20" ht="15.75" hidden="1" customHeight="1" x14ac:dyDescent="0.3">
      <c r="A119" s="235" t="s">
        <v>557</v>
      </c>
      <c r="B119" s="248"/>
      <c r="C119" s="248"/>
      <c r="D119" s="248"/>
      <c r="E119" s="38" t="s">
        <v>852</v>
      </c>
      <c r="F119" s="248"/>
      <c r="G119" s="248"/>
      <c r="H119" s="248"/>
      <c r="I119" s="38" t="s">
        <v>852</v>
      </c>
      <c r="J119" s="248"/>
      <c r="K119" s="248"/>
      <c r="L119" s="248"/>
      <c r="M119" s="38" t="s">
        <v>852</v>
      </c>
      <c r="N119" s="248"/>
      <c r="O119" s="248"/>
      <c r="P119" s="248"/>
      <c r="Q119" s="38" t="s">
        <v>852</v>
      </c>
      <c r="R119" s="38" t="s">
        <v>852</v>
      </c>
    </row>
    <row r="120" spans="1:20" ht="15.75" hidden="1" customHeight="1" x14ac:dyDescent="0.3">
      <c r="A120" s="422" t="s">
        <v>2606</v>
      </c>
      <c r="B120" s="10"/>
      <c r="C120" s="10"/>
      <c r="D120" s="10"/>
      <c r="E120" s="38">
        <f>SUM(B120:D120)</f>
        <v>0</v>
      </c>
      <c r="F120" s="10"/>
      <c r="G120" s="10"/>
      <c r="H120" s="10"/>
      <c r="I120" s="38">
        <f>SUM(F120:H120)</f>
        <v>0</v>
      </c>
      <c r="J120" s="10"/>
      <c r="K120" s="10"/>
      <c r="L120" s="10"/>
      <c r="M120" s="38">
        <f>SUM(J120:L120)</f>
        <v>0</v>
      </c>
      <c r="N120" s="10"/>
      <c r="O120" s="10"/>
      <c r="P120" s="10"/>
      <c r="Q120" s="38">
        <f>SUM(N120:P120)</f>
        <v>0</v>
      </c>
      <c r="R120" s="38">
        <f>+E120+I120+M120+Q120</f>
        <v>0</v>
      </c>
    </row>
    <row r="121" spans="1:20" ht="15.75" hidden="1" customHeight="1" x14ac:dyDescent="0.3">
      <c r="A121" s="422" t="s">
        <v>2548</v>
      </c>
      <c r="B121" s="10"/>
      <c r="C121" s="10"/>
      <c r="D121" s="10"/>
      <c r="E121" s="38">
        <f>SUM(B121:D121)</f>
        <v>0</v>
      </c>
      <c r="F121" s="10"/>
      <c r="G121" s="10"/>
      <c r="H121" s="10"/>
      <c r="I121" s="38">
        <f>SUM(F121:H121)</f>
        <v>0</v>
      </c>
      <c r="J121" s="10"/>
      <c r="K121" s="10"/>
      <c r="L121" s="10"/>
      <c r="M121" s="38">
        <f>SUM(J121:L121)</f>
        <v>0</v>
      </c>
      <c r="N121" s="10"/>
      <c r="O121" s="10"/>
      <c r="P121" s="10"/>
      <c r="Q121" s="38">
        <f>SUM(N121:P121)</f>
        <v>0</v>
      </c>
      <c r="R121" s="38">
        <f>+E121+I121+M121+Q121</f>
        <v>0</v>
      </c>
    </row>
    <row r="122" spans="1:20" ht="15.75" hidden="1" customHeight="1" x14ac:dyDescent="0.3">
      <c r="A122" s="235" t="s">
        <v>1022</v>
      </c>
      <c r="B122" s="248"/>
      <c r="C122" s="248"/>
      <c r="D122" s="248"/>
      <c r="E122" s="38" t="s">
        <v>852</v>
      </c>
      <c r="F122" s="248"/>
      <c r="G122" s="248"/>
      <c r="H122" s="248"/>
      <c r="I122" s="38" t="s">
        <v>852</v>
      </c>
      <c r="J122" s="248"/>
      <c r="K122" s="248"/>
      <c r="L122" s="248"/>
      <c r="M122" s="38" t="s">
        <v>852</v>
      </c>
      <c r="N122" s="248"/>
      <c r="O122" s="248"/>
      <c r="P122" s="248"/>
      <c r="Q122" s="38" t="s">
        <v>852</v>
      </c>
      <c r="R122" s="38" t="s">
        <v>852</v>
      </c>
    </row>
    <row r="123" spans="1:20" ht="15.75" hidden="1" customHeight="1" x14ac:dyDescent="0.3">
      <c r="A123" s="422" t="s">
        <v>3244</v>
      </c>
      <c r="B123" s="10"/>
      <c r="C123" s="10"/>
      <c r="D123" s="10"/>
      <c r="E123" s="38">
        <f>SUM(B123:D123)</f>
        <v>0</v>
      </c>
      <c r="F123" s="10"/>
      <c r="G123" s="10"/>
      <c r="H123" s="10"/>
      <c r="I123" s="38">
        <f>SUM(F123:H123)</f>
        <v>0</v>
      </c>
      <c r="J123" s="10"/>
      <c r="K123" s="10"/>
      <c r="L123" s="10"/>
      <c r="M123" s="38">
        <f>SUM(J123:L123)</f>
        <v>0</v>
      </c>
      <c r="N123" s="10"/>
      <c r="O123" s="10"/>
      <c r="P123" s="10"/>
      <c r="Q123" s="38">
        <f>SUM(N123:P123)</f>
        <v>0</v>
      </c>
      <c r="R123" s="38">
        <f>+E123+I123+M123+Q123</f>
        <v>0</v>
      </c>
      <c r="T123" t="s">
        <v>2774</v>
      </c>
    </row>
    <row r="124" spans="1:20" ht="15.75" hidden="1" customHeight="1" x14ac:dyDescent="0.3">
      <c r="A124" s="235" t="s">
        <v>559</v>
      </c>
      <c r="B124" s="248"/>
      <c r="C124" s="248"/>
      <c r="D124" s="248"/>
      <c r="E124" s="38" t="s">
        <v>852</v>
      </c>
      <c r="F124" s="248"/>
      <c r="G124" s="248"/>
      <c r="H124" s="248"/>
      <c r="I124" s="38" t="s">
        <v>852</v>
      </c>
      <c r="J124" s="248"/>
      <c r="K124" s="248"/>
      <c r="L124" s="248"/>
      <c r="M124" s="38" t="s">
        <v>852</v>
      </c>
      <c r="N124" s="248"/>
      <c r="O124" s="248"/>
      <c r="P124" s="248"/>
      <c r="Q124" s="38" t="s">
        <v>852</v>
      </c>
      <c r="R124" s="38" t="s">
        <v>852</v>
      </c>
    </row>
    <row r="125" spans="1:20" ht="15.75" hidden="1" customHeight="1" x14ac:dyDescent="0.3">
      <c r="A125" s="422" t="s">
        <v>3236</v>
      </c>
      <c r="B125" s="10"/>
      <c r="C125" s="10"/>
      <c r="D125" s="10"/>
      <c r="E125" s="38">
        <f t="shared" ref="E125:E130" si="21">SUM(B125:D125)</f>
        <v>0</v>
      </c>
      <c r="F125" s="10"/>
      <c r="G125" s="10"/>
      <c r="H125" s="10"/>
      <c r="I125" s="38">
        <f t="shared" ref="I125:I130" si="22">SUM(F125:H125)</f>
        <v>0</v>
      </c>
      <c r="J125" s="10"/>
      <c r="K125" s="10"/>
      <c r="L125" s="10"/>
      <c r="M125" s="38">
        <f t="shared" ref="M125:M130" si="23">SUM(J125:L125)</f>
        <v>0</v>
      </c>
      <c r="N125" s="10"/>
      <c r="O125" s="10"/>
      <c r="P125" s="10"/>
      <c r="Q125" s="38">
        <f t="shared" ref="Q125:Q130" si="24">SUM(N125:P125)</f>
        <v>0</v>
      </c>
      <c r="R125" s="38">
        <f t="shared" ref="R125:R130" si="25">+E125+I125+M125+Q125</f>
        <v>0</v>
      </c>
    </row>
    <row r="126" spans="1:20" ht="15.75" hidden="1" customHeight="1" thickBot="1" x14ac:dyDescent="0.35">
      <c r="A126" s="422" t="s">
        <v>3237</v>
      </c>
      <c r="B126" s="10"/>
      <c r="C126" s="10"/>
      <c r="D126" s="10"/>
      <c r="E126" s="38">
        <f t="shared" si="21"/>
        <v>0</v>
      </c>
      <c r="F126" s="10"/>
      <c r="G126" s="10"/>
      <c r="H126" s="10"/>
      <c r="I126" s="38">
        <f t="shared" si="22"/>
        <v>0</v>
      </c>
      <c r="J126" s="10"/>
      <c r="K126" s="10"/>
      <c r="L126" s="10"/>
      <c r="M126" s="38">
        <f t="shared" si="23"/>
        <v>0</v>
      </c>
      <c r="N126" s="10"/>
      <c r="O126" s="10"/>
      <c r="P126" s="10"/>
      <c r="Q126" s="38">
        <f t="shared" si="24"/>
        <v>0</v>
      </c>
      <c r="R126" s="38">
        <f t="shared" si="25"/>
        <v>0</v>
      </c>
    </row>
    <row r="127" spans="1:20" ht="16.5" hidden="1" customHeight="1" thickBot="1" x14ac:dyDescent="0.35">
      <c r="A127" s="43" t="s">
        <v>1019</v>
      </c>
      <c r="B127" s="42">
        <f>SUM(B122:B126)</f>
        <v>0</v>
      </c>
      <c r="C127" s="42">
        <f>SUM(C122:C126)</f>
        <v>0</v>
      </c>
      <c r="D127" s="42">
        <f>SUM(D122:D126)</f>
        <v>0</v>
      </c>
      <c r="E127" s="39">
        <f t="shared" si="21"/>
        <v>0</v>
      </c>
      <c r="F127" s="42">
        <f>SUM(F122:F126)</f>
        <v>0</v>
      </c>
      <c r="G127" s="42">
        <f>SUM(G122:G126)</f>
        <v>0</v>
      </c>
      <c r="H127" s="42">
        <f>SUM(H122:H126)</f>
        <v>0</v>
      </c>
      <c r="I127" s="39">
        <f t="shared" si="22"/>
        <v>0</v>
      </c>
      <c r="J127" s="42">
        <f>SUM(J122:J126)</f>
        <v>0</v>
      </c>
      <c r="K127" s="42">
        <f>SUM(K122:K126)</f>
        <v>0</v>
      </c>
      <c r="L127" s="42">
        <f>SUM(L122:L126)</f>
        <v>0</v>
      </c>
      <c r="M127" s="39">
        <f t="shared" si="23"/>
        <v>0</v>
      </c>
      <c r="N127" s="42">
        <f>SUM(N122:N126)</f>
        <v>0</v>
      </c>
      <c r="O127" s="42">
        <f>SUM(O122:O126)</f>
        <v>0</v>
      </c>
      <c r="P127" s="42">
        <f>SUM(P122:P126)</f>
        <v>0</v>
      </c>
      <c r="Q127" s="39">
        <f t="shared" si="24"/>
        <v>0</v>
      </c>
      <c r="R127" s="37">
        <f t="shared" si="25"/>
        <v>0</v>
      </c>
    </row>
    <row r="128" spans="1:20" ht="16.5" hidden="1" customHeight="1" thickBot="1" x14ac:dyDescent="0.35">
      <c r="A128" s="43" t="s">
        <v>1221</v>
      </c>
      <c r="B128" s="42">
        <f>SUM(B109:B126)</f>
        <v>0</v>
      </c>
      <c r="C128" s="42">
        <f>SUM(C109:C126)</f>
        <v>0</v>
      </c>
      <c r="D128" s="42">
        <f>SUM(D109:D126)</f>
        <v>0</v>
      </c>
      <c r="E128" s="39">
        <f t="shared" si="21"/>
        <v>0</v>
      </c>
      <c r="F128" s="42">
        <f>SUM(F109:F126)</f>
        <v>0</v>
      </c>
      <c r="G128" s="42">
        <f>SUM(G109:G126)</f>
        <v>0</v>
      </c>
      <c r="H128" s="42">
        <f>SUM(H109:H126)</f>
        <v>0</v>
      </c>
      <c r="I128" s="39">
        <f t="shared" si="22"/>
        <v>0</v>
      </c>
      <c r="J128" s="42">
        <f>SUM(J109:J126)</f>
        <v>0</v>
      </c>
      <c r="K128" s="42">
        <f>SUM(K109:K126)</f>
        <v>0</v>
      </c>
      <c r="L128" s="42">
        <f>SUM(L109:L126)</f>
        <v>0</v>
      </c>
      <c r="M128" s="39">
        <f t="shared" si="23"/>
        <v>0</v>
      </c>
      <c r="N128" s="42">
        <f>SUM(N109:N126)</f>
        <v>0</v>
      </c>
      <c r="O128" s="42">
        <f>SUM(O109:O126)</f>
        <v>0</v>
      </c>
      <c r="P128" s="42">
        <f>SUM(P109:P126)</f>
        <v>0</v>
      </c>
      <c r="Q128" s="39">
        <f t="shared" si="24"/>
        <v>0</v>
      </c>
      <c r="R128" s="37">
        <f t="shared" si="25"/>
        <v>0</v>
      </c>
    </row>
    <row r="129" spans="1:20" ht="16.5" hidden="1" customHeight="1" thickBot="1" x14ac:dyDescent="0.35">
      <c r="A129" s="43" t="s">
        <v>1222</v>
      </c>
      <c r="B129" s="42">
        <f>+B89+B96+B108+B128</f>
        <v>889</v>
      </c>
      <c r="C129" s="42">
        <f>+C89+C96+C108+C128</f>
        <v>989</v>
      </c>
      <c r="D129" s="42">
        <f>+D89+D96+D108+D128</f>
        <v>3356</v>
      </c>
      <c r="E129" s="37">
        <f t="shared" si="21"/>
        <v>5234</v>
      </c>
      <c r="F129" s="42">
        <f>+F89+F96+F108+F128</f>
        <v>4736</v>
      </c>
      <c r="G129" s="42">
        <f>+G89+G96+G108+G128</f>
        <v>6023</v>
      </c>
      <c r="H129" s="42">
        <f>+H89+H96+H108+H128</f>
        <v>6273</v>
      </c>
      <c r="I129" s="37">
        <f t="shared" si="22"/>
        <v>17032</v>
      </c>
      <c r="J129" s="42">
        <f>+J89+J96+J108+J128</f>
        <v>6158</v>
      </c>
      <c r="K129" s="42">
        <f>+K89+K96+K108+K128</f>
        <v>5080</v>
      </c>
      <c r="L129" s="42">
        <f>+L89+L96+L108+L128</f>
        <v>3619</v>
      </c>
      <c r="M129" s="37">
        <f t="shared" si="23"/>
        <v>14857</v>
      </c>
      <c r="N129" s="42">
        <f>+N89+N96+N108+N128</f>
        <v>2243</v>
      </c>
      <c r="O129" s="42">
        <f>+O89+O96+O108+O128</f>
        <v>888</v>
      </c>
      <c r="P129" s="42">
        <f>+P89+P96+P108+P128</f>
        <v>787</v>
      </c>
      <c r="Q129" s="37">
        <f t="shared" si="24"/>
        <v>3918</v>
      </c>
      <c r="R129" s="37">
        <f t="shared" si="25"/>
        <v>41041</v>
      </c>
    </row>
    <row r="130" spans="1:20" ht="16.5" hidden="1" customHeight="1" thickBot="1" x14ac:dyDescent="0.35">
      <c r="A130" s="312" t="s">
        <v>853</v>
      </c>
      <c r="B130" s="294">
        <v>173</v>
      </c>
      <c r="C130" s="294">
        <v>260</v>
      </c>
      <c r="D130" s="294">
        <v>471</v>
      </c>
      <c r="E130" s="38">
        <f t="shared" si="21"/>
        <v>904</v>
      </c>
      <c r="F130" s="294">
        <v>629</v>
      </c>
      <c r="G130" s="294">
        <v>725</v>
      </c>
      <c r="H130" s="294">
        <v>712</v>
      </c>
      <c r="I130" s="38">
        <f t="shared" si="22"/>
        <v>2066</v>
      </c>
      <c r="J130" s="294">
        <v>711</v>
      </c>
      <c r="K130" s="294">
        <v>573</v>
      </c>
      <c r="L130" s="294">
        <v>542</v>
      </c>
      <c r="M130" s="38">
        <f t="shared" si="23"/>
        <v>1826</v>
      </c>
      <c r="N130" s="294">
        <v>490</v>
      </c>
      <c r="O130" s="294">
        <v>407</v>
      </c>
      <c r="P130" s="294">
        <v>323</v>
      </c>
      <c r="Q130" s="38">
        <f t="shared" si="24"/>
        <v>1220</v>
      </c>
      <c r="R130" s="38">
        <f t="shared" si="25"/>
        <v>6016</v>
      </c>
    </row>
    <row r="131" spans="1:20" ht="16.5" hidden="1" customHeight="1" thickBot="1" x14ac:dyDescent="0.35">
      <c r="A131" s="44"/>
      <c r="B131" s="313"/>
      <c r="C131" s="313"/>
      <c r="D131" s="313"/>
      <c r="E131" s="37" t="s">
        <v>852</v>
      </c>
      <c r="F131" s="313"/>
      <c r="G131" s="313"/>
      <c r="H131" s="313"/>
      <c r="I131" s="37" t="s">
        <v>852</v>
      </c>
      <c r="J131" s="313"/>
      <c r="K131" s="313"/>
      <c r="L131" s="313"/>
      <c r="M131" s="37" t="s">
        <v>852</v>
      </c>
      <c r="N131" s="313"/>
      <c r="O131" s="313"/>
      <c r="P131" s="313"/>
      <c r="Q131" s="37" t="s">
        <v>852</v>
      </c>
      <c r="R131" s="37" t="s">
        <v>852</v>
      </c>
    </row>
    <row r="132" spans="1:20" ht="15.75" hidden="1" customHeight="1" x14ac:dyDescent="0.3">
      <c r="A132" s="259" t="s">
        <v>2011</v>
      </c>
      <c r="B132" s="741">
        <f>+B129+B130</f>
        <v>1062</v>
      </c>
      <c r="C132" s="741">
        <f>+C129+C130</f>
        <v>1249</v>
      </c>
      <c r="D132" s="741">
        <f>+D129+D130</f>
        <v>3827</v>
      </c>
      <c r="E132" s="38">
        <f>SUM(B132:D132)</f>
        <v>6138</v>
      </c>
      <c r="F132" s="741">
        <f>+F129+F130</f>
        <v>5365</v>
      </c>
      <c r="G132" s="741">
        <f>+G129+G130</f>
        <v>6748</v>
      </c>
      <c r="H132" s="741">
        <f>+H129+H130</f>
        <v>6985</v>
      </c>
      <c r="I132" s="38">
        <f>SUM(F132:H132)</f>
        <v>19098</v>
      </c>
      <c r="J132" s="741">
        <f>+J129+J130</f>
        <v>6869</v>
      </c>
      <c r="K132" s="741">
        <f>+K129+K130</f>
        <v>5653</v>
      </c>
      <c r="L132" s="741">
        <f>+L129+L130</f>
        <v>4161</v>
      </c>
      <c r="M132" s="38">
        <f>SUM(J132:L132)</f>
        <v>16683</v>
      </c>
      <c r="N132" s="741">
        <f>+N129+N130</f>
        <v>2733</v>
      </c>
      <c r="O132" s="741">
        <f>+O129+O130</f>
        <v>1295</v>
      </c>
      <c r="P132" s="741">
        <f>+P129+P130</f>
        <v>1110</v>
      </c>
      <c r="Q132" s="38">
        <f>SUM(N132:P132)</f>
        <v>5138</v>
      </c>
      <c r="R132" s="38">
        <f>+E132+I132+M132+Q132</f>
        <v>47057</v>
      </c>
    </row>
    <row r="133" spans="1:20" ht="15.75" hidden="1" customHeight="1" x14ac:dyDescent="0.3">
      <c r="A133" s="261" t="s">
        <v>1897</v>
      </c>
      <c r="B133" s="10">
        <f>(B132/B10)/1.983</f>
        <v>17.275877214386803</v>
      </c>
      <c r="C133" s="10">
        <f>(C132/C10)/1.983</f>
        <v>22.494777033354943</v>
      </c>
      <c r="D133" s="10">
        <f>(D132/D10)/1.983</f>
        <v>62.254973728303483</v>
      </c>
      <c r="E133" s="38" t="s">
        <v>852</v>
      </c>
      <c r="F133" s="10">
        <f>(F132/F10)/1.983</f>
        <v>90.183224071272477</v>
      </c>
      <c r="G133" s="10">
        <f>(G132/G10)/1.983</f>
        <v>109.77176972003969</v>
      </c>
      <c r="H133" s="10">
        <f>(H132/H10)/1.983</f>
        <v>117.41469154479745</v>
      </c>
      <c r="I133" s="38" t="s">
        <v>852</v>
      </c>
      <c r="J133" s="10">
        <f>(J132/J10)/1.983</f>
        <v>111.74011354578433</v>
      </c>
      <c r="K133" s="10">
        <f>(K132/K10)/1.983</f>
        <v>91.959071462267971</v>
      </c>
      <c r="L133" s="10">
        <f>(L132/L10)/1.983</f>
        <v>69.944528492183551</v>
      </c>
      <c r="M133" s="38" t="s">
        <v>852</v>
      </c>
      <c r="N133" s="10">
        <f>(N132/N10)/1.983</f>
        <v>44.458542774876769</v>
      </c>
      <c r="O133" s="10">
        <f>(O132/O10)/1.983</f>
        <v>21.768364430996805</v>
      </c>
      <c r="P133" s="10">
        <f>(P132/P10)/1.983</f>
        <v>18.05670782294666</v>
      </c>
      <c r="Q133" s="38" t="s">
        <v>852</v>
      </c>
      <c r="R133" s="38" t="s">
        <v>852</v>
      </c>
    </row>
    <row r="134" spans="1:20" ht="15.75" hidden="1" customHeight="1" x14ac:dyDescent="0.3">
      <c r="A134" s="262" t="s">
        <v>1679</v>
      </c>
      <c r="B134" s="10">
        <f>B132+B321</f>
        <v>64304</v>
      </c>
      <c r="C134" s="10">
        <f>C132+C321</f>
        <v>125807</v>
      </c>
      <c r="D134" s="10">
        <f>D132+D321</f>
        <v>165329</v>
      </c>
      <c r="E134" s="38">
        <f>SUM(B134:D134)</f>
        <v>355440</v>
      </c>
      <c r="F134" s="10">
        <f>F132+F321</f>
        <v>160694</v>
      </c>
      <c r="G134" s="10">
        <f>G132+G321</f>
        <v>167743</v>
      </c>
      <c r="H134" s="10">
        <f>H132+H321</f>
        <v>95355</v>
      </c>
      <c r="I134" s="38">
        <f>SUM(F134:H134)</f>
        <v>423792</v>
      </c>
      <c r="J134" s="10">
        <f>J132+J321</f>
        <v>50783</v>
      </c>
      <c r="K134" s="10">
        <f>K132+K321</f>
        <v>50933</v>
      </c>
      <c r="L134" s="10">
        <f>L132+L321</f>
        <v>130906</v>
      </c>
      <c r="M134" s="38">
        <f>SUM(J134:L134)</f>
        <v>232622</v>
      </c>
      <c r="N134" s="10">
        <f>N132+N321</f>
        <v>159999</v>
      </c>
      <c r="O134" s="10">
        <f>O132+O321</f>
        <v>141355</v>
      </c>
      <c r="P134" s="10">
        <f>P132+P321</f>
        <v>98836</v>
      </c>
      <c r="Q134" s="38">
        <f>SUM(N134:P134)</f>
        <v>400190</v>
      </c>
      <c r="R134" s="38">
        <f>+E134+I134+M134+Q134</f>
        <v>1412044</v>
      </c>
    </row>
    <row r="135" spans="1:20" ht="16.5" hidden="1" customHeight="1" thickBot="1" x14ac:dyDescent="0.35">
      <c r="A135" s="263" t="s">
        <v>6</v>
      </c>
      <c r="B135" s="315">
        <f>(B134/B10)/1.983</f>
        <v>1046.0527386006866</v>
      </c>
      <c r="C135" s="315">
        <f>(C134/C10)/1.983</f>
        <v>2265.8129817736476</v>
      </c>
      <c r="D135" s="315">
        <f>(D134/D10)/1.983</f>
        <v>2689.4571600540071</v>
      </c>
      <c r="E135" s="40" t="s">
        <v>852</v>
      </c>
      <c r="F135" s="315">
        <f>(F134/F10)/1.983</f>
        <v>2701.1934778954442</v>
      </c>
      <c r="G135" s="315">
        <f>(G134/G10)/1.983</f>
        <v>2728.7264327428302</v>
      </c>
      <c r="H135" s="315">
        <f>(H134/H10)/1.983</f>
        <v>1602.874432677761</v>
      </c>
      <c r="I135" s="40" t="s">
        <v>852</v>
      </c>
      <c r="J135" s="315">
        <f>(J134/J10)/1.983</f>
        <v>826.10251655198215</v>
      </c>
      <c r="K135" s="315">
        <f>(K134/K10)/1.983</f>
        <v>828.54261220373166</v>
      </c>
      <c r="L135" s="315">
        <f>(L134/L10)/1.983</f>
        <v>2200.4706673390488</v>
      </c>
      <c r="M135" s="40" t="s">
        <v>852</v>
      </c>
      <c r="N135" s="315">
        <f>(N134/N10)/1.983</f>
        <v>2602.7524278951732</v>
      </c>
      <c r="O135" s="315">
        <f>(O134/O10)/1.983</f>
        <v>2376.1136325432844</v>
      </c>
      <c r="P135" s="315">
        <f>(P134/P10)/1.983</f>
        <v>1607.7952922421225</v>
      </c>
      <c r="Q135" s="40" t="s">
        <v>852</v>
      </c>
      <c r="R135" s="40" t="s">
        <v>852</v>
      </c>
    </row>
    <row r="136" spans="1:20" ht="15.75" hidden="1" customHeight="1" x14ac:dyDescent="0.3">
      <c r="A136" s="18"/>
      <c r="B136" s="10"/>
      <c r="C136" s="10"/>
      <c r="D136" s="10"/>
      <c r="E136" s="10"/>
      <c r="F136" s="10"/>
      <c r="G136" s="10"/>
      <c r="H136" s="10"/>
      <c r="I136" s="10"/>
      <c r="J136" s="10"/>
      <c r="K136" s="10"/>
      <c r="L136" s="10"/>
      <c r="M136" s="10"/>
      <c r="N136" s="10"/>
      <c r="O136" s="10"/>
      <c r="P136" s="10"/>
      <c r="Q136" s="10"/>
      <c r="R136" s="17"/>
    </row>
    <row r="137" spans="1:20" ht="15.75" hidden="1" customHeight="1" thickBot="1" x14ac:dyDescent="0.35">
      <c r="A137" s="18" t="s">
        <v>852</v>
      </c>
      <c r="B137" s="10"/>
      <c r="C137" s="10"/>
      <c r="D137" s="10"/>
      <c r="E137" s="10"/>
      <c r="F137" s="10"/>
      <c r="G137" s="10"/>
      <c r="H137" s="10"/>
      <c r="I137" s="10"/>
      <c r="J137" s="10"/>
      <c r="K137" s="10"/>
      <c r="L137" s="10"/>
      <c r="M137" s="10"/>
      <c r="N137" s="10"/>
      <c r="O137" s="10"/>
      <c r="P137" s="10"/>
      <c r="Q137" s="10"/>
      <c r="R137" s="17"/>
    </row>
    <row r="138" spans="1:20" ht="16.5" hidden="1" customHeight="1" thickBot="1" x14ac:dyDescent="0.35">
      <c r="A138" s="240" t="s">
        <v>1446</v>
      </c>
      <c r="B138" s="4" t="s">
        <v>2090</v>
      </c>
      <c r="C138" s="5" t="s">
        <v>2091</v>
      </c>
      <c r="D138" s="5" t="s">
        <v>2234</v>
      </c>
      <c r="E138" s="33" t="s">
        <v>1594</v>
      </c>
      <c r="F138" s="5" t="s">
        <v>2235</v>
      </c>
      <c r="G138" s="5" t="s">
        <v>2236</v>
      </c>
      <c r="H138" s="5" t="s">
        <v>2237</v>
      </c>
      <c r="I138" s="35" t="s">
        <v>1595</v>
      </c>
      <c r="J138" s="5" t="s">
        <v>1504</v>
      </c>
      <c r="K138" s="5" t="s">
        <v>1505</v>
      </c>
      <c r="L138" s="5" t="s">
        <v>1506</v>
      </c>
      <c r="M138" s="35" t="s">
        <v>1596</v>
      </c>
      <c r="N138" s="5" t="s">
        <v>1507</v>
      </c>
      <c r="O138" s="5" t="s">
        <v>1508</v>
      </c>
      <c r="P138" s="5" t="s">
        <v>1509</v>
      </c>
      <c r="Q138" s="35" t="s">
        <v>1597</v>
      </c>
      <c r="R138" s="36" t="s">
        <v>1510</v>
      </c>
    </row>
    <row r="139" spans="1:20" ht="16.5" hidden="1" customHeight="1" thickBot="1" x14ac:dyDescent="0.35">
      <c r="A139" s="44"/>
      <c r="B139" s="313"/>
      <c r="C139" s="313"/>
      <c r="D139" s="313"/>
      <c r="E139" s="316"/>
      <c r="F139" s="313"/>
      <c r="G139" s="313"/>
      <c r="H139" s="313"/>
      <c r="I139" s="316"/>
      <c r="J139" s="313"/>
      <c r="K139" s="313"/>
      <c r="L139" s="313"/>
      <c r="M139" s="316"/>
      <c r="N139" s="313"/>
      <c r="O139" s="313"/>
      <c r="P139" s="313"/>
      <c r="Q139" s="316"/>
      <c r="R139" s="44"/>
    </row>
    <row r="140" spans="1:20" ht="15.75" hidden="1" customHeight="1" x14ac:dyDescent="0.3">
      <c r="A140" s="234" t="s">
        <v>2417</v>
      </c>
      <c r="B140" s="10" t="s">
        <v>852</v>
      </c>
      <c r="C140" s="10" t="s">
        <v>852</v>
      </c>
      <c r="D140" s="10" t="s">
        <v>852</v>
      </c>
      <c r="E140" s="38" t="s">
        <v>852</v>
      </c>
      <c r="F140" s="10" t="s">
        <v>852</v>
      </c>
      <c r="G140" s="10" t="s">
        <v>852</v>
      </c>
      <c r="H140" s="10" t="s">
        <v>852</v>
      </c>
      <c r="I140" s="38" t="s">
        <v>852</v>
      </c>
      <c r="J140" s="10" t="s">
        <v>852</v>
      </c>
      <c r="K140" s="10" t="s">
        <v>852</v>
      </c>
      <c r="L140" s="10" t="s">
        <v>852</v>
      </c>
      <c r="M140" s="38" t="s">
        <v>852</v>
      </c>
      <c r="N140" s="10" t="s">
        <v>852</v>
      </c>
      <c r="O140" s="10" t="s">
        <v>852</v>
      </c>
      <c r="P140" s="10" t="s">
        <v>852</v>
      </c>
      <c r="Q140" s="38" t="s">
        <v>852</v>
      </c>
      <c r="R140" s="48" t="s">
        <v>852</v>
      </c>
    </row>
    <row r="141" spans="1:20" ht="15.75" hidden="1" customHeight="1" x14ac:dyDescent="0.3">
      <c r="A141" s="234" t="s">
        <v>2160</v>
      </c>
      <c r="B141" s="10"/>
      <c r="C141" s="10"/>
      <c r="D141" s="10"/>
      <c r="E141" s="38" t="s">
        <v>852</v>
      </c>
      <c r="F141" s="10"/>
      <c r="G141" s="10"/>
      <c r="H141" s="10"/>
      <c r="I141" s="38" t="s">
        <v>852</v>
      </c>
      <c r="J141" s="10"/>
      <c r="K141" s="10"/>
      <c r="L141" s="10"/>
      <c r="M141" s="38" t="s">
        <v>852</v>
      </c>
      <c r="N141" s="10"/>
      <c r="O141" s="10"/>
      <c r="P141" s="10"/>
      <c r="Q141" s="38" t="s">
        <v>852</v>
      </c>
      <c r="R141" s="48"/>
    </row>
    <row r="142" spans="1:20" ht="15.75" hidden="1" customHeight="1" x14ac:dyDescent="0.3">
      <c r="A142" s="569" t="s">
        <v>2730</v>
      </c>
      <c r="B142" s="10"/>
      <c r="C142" s="10"/>
      <c r="D142" s="10">
        <v>599</v>
      </c>
      <c r="E142" s="38">
        <f t="shared" ref="E142:E146" si="26">SUM(B142:D142)</f>
        <v>599</v>
      </c>
      <c r="F142" s="10">
        <v>599</v>
      </c>
      <c r="G142" s="10">
        <v>599</v>
      </c>
      <c r="H142" s="10">
        <v>598</v>
      </c>
      <c r="I142" s="38">
        <f t="shared" ref="I142:I191" si="27">SUM(F142:H142)</f>
        <v>1796</v>
      </c>
      <c r="J142" s="10">
        <v>598</v>
      </c>
      <c r="K142" s="10">
        <v>598</v>
      </c>
      <c r="L142" s="10">
        <v>598</v>
      </c>
      <c r="M142" s="38">
        <f t="shared" ref="M142:M191" si="28">SUM(J142:L142)</f>
        <v>1794</v>
      </c>
      <c r="N142" s="10"/>
      <c r="O142" s="10"/>
      <c r="P142" s="10"/>
      <c r="Q142" s="38">
        <f t="shared" ref="Q142:Q197" si="29">SUM(N142:P142)</f>
        <v>0</v>
      </c>
      <c r="R142" s="38">
        <f>+E142+I142+M142+Q142</f>
        <v>4189</v>
      </c>
      <c r="T142" t="s">
        <v>2764</v>
      </c>
    </row>
    <row r="143" spans="1:20" ht="15.75" hidden="1" customHeight="1" x14ac:dyDescent="0.3">
      <c r="A143" s="569" t="s">
        <v>2733</v>
      </c>
      <c r="B143" s="10"/>
      <c r="C143" s="10">
        <f>150</f>
        <v>150</v>
      </c>
      <c r="D143" s="10">
        <f>600</f>
        <v>600</v>
      </c>
      <c r="E143" s="38">
        <f t="shared" si="26"/>
        <v>750</v>
      </c>
      <c r="F143" s="10">
        <f>1400</f>
        <v>1400</v>
      </c>
      <c r="G143" s="10">
        <f>1600</f>
        <v>1600</v>
      </c>
      <c r="H143" s="10">
        <f>1650</f>
        <v>1650</v>
      </c>
      <c r="I143" s="38">
        <f t="shared" si="27"/>
        <v>4650</v>
      </c>
      <c r="J143" s="10">
        <f>1600</f>
        <v>1600</v>
      </c>
      <c r="K143" s="10">
        <f>1500</f>
        <v>1500</v>
      </c>
      <c r="L143" s="10">
        <f>1400</f>
        <v>1400</v>
      </c>
      <c r="M143" s="38">
        <f>SUM(J143:L143)</f>
        <v>4500</v>
      </c>
      <c r="N143" s="10">
        <f>1193</f>
        <v>1193</v>
      </c>
      <c r="O143" s="10"/>
      <c r="P143" s="10"/>
      <c r="Q143" s="38">
        <f t="shared" si="29"/>
        <v>1193</v>
      </c>
      <c r="R143" s="38">
        <f t="shared" ref="R143:R194" si="30">+E143+I143+M143+Q143</f>
        <v>11093</v>
      </c>
      <c r="S143" s="574"/>
      <c r="T143" t="s">
        <v>2764</v>
      </c>
    </row>
    <row r="144" spans="1:20" ht="15.75" hidden="1" customHeight="1" x14ac:dyDescent="0.3">
      <c r="A144" s="569" t="s">
        <v>2734</v>
      </c>
      <c r="B144" s="10"/>
      <c r="C144" s="10"/>
      <c r="D144" s="10">
        <v>339</v>
      </c>
      <c r="E144" s="38">
        <f t="shared" si="26"/>
        <v>339</v>
      </c>
      <c r="F144" s="10">
        <v>339</v>
      </c>
      <c r="G144" s="10">
        <v>339</v>
      </c>
      <c r="H144" s="10">
        <v>339</v>
      </c>
      <c r="I144" s="38">
        <f t="shared" si="27"/>
        <v>1017</v>
      </c>
      <c r="J144" s="10">
        <v>339</v>
      </c>
      <c r="K144" s="10">
        <v>339</v>
      </c>
      <c r="L144" s="10">
        <v>338</v>
      </c>
      <c r="M144" s="38">
        <f t="shared" si="28"/>
        <v>1016</v>
      </c>
      <c r="N144" s="10"/>
      <c r="O144" s="10"/>
      <c r="P144" s="10"/>
      <c r="Q144" s="38">
        <f t="shared" si="29"/>
        <v>0</v>
      </c>
      <c r="R144" s="38">
        <f t="shared" si="30"/>
        <v>2372</v>
      </c>
      <c r="T144" t="s">
        <v>2764</v>
      </c>
    </row>
    <row r="145" spans="1:20" ht="15.75" hidden="1" customHeight="1" x14ac:dyDescent="0.3">
      <c r="A145" s="569" t="s">
        <v>2735</v>
      </c>
      <c r="B145" s="10"/>
      <c r="C145" s="10"/>
      <c r="D145" s="10">
        <v>286</v>
      </c>
      <c r="E145" s="38">
        <f t="shared" si="26"/>
        <v>286</v>
      </c>
      <c r="F145" s="10">
        <v>287</v>
      </c>
      <c r="G145" s="10">
        <v>287</v>
      </c>
      <c r="H145" s="10">
        <v>287</v>
      </c>
      <c r="I145" s="38">
        <f t="shared" si="27"/>
        <v>861</v>
      </c>
      <c r="J145" s="10">
        <v>287</v>
      </c>
      <c r="K145" s="10">
        <v>286</v>
      </c>
      <c r="L145" s="10">
        <v>283</v>
      </c>
      <c r="M145" s="38">
        <f t="shared" si="28"/>
        <v>856</v>
      </c>
      <c r="N145" s="10"/>
      <c r="O145" s="10"/>
      <c r="P145" s="10"/>
      <c r="Q145" s="38">
        <f t="shared" si="29"/>
        <v>0</v>
      </c>
      <c r="R145" s="38">
        <f t="shared" si="30"/>
        <v>2003</v>
      </c>
      <c r="T145" t="s">
        <v>2764</v>
      </c>
    </row>
    <row r="146" spans="1:20" ht="15.75" hidden="1" customHeight="1" x14ac:dyDescent="0.3">
      <c r="A146" s="569" t="s">
        <v>3399</v>
      </c>
      <c r="B146" s="10"/>
      <c r="C146" s="10"/>
      <c r="D146" s="10"/>
      <c r="E146" s="38">
        <f t="shared" si="26"/>
        <v>0</v>
      </c>
      <c r="F146" s="10"/>
      <c r="G146" s="10"/>
      <c r="H146" s="10">
        <v>172</v>
      </c>
      <c r="I146" s="38">
        <f t="shared" si="27"/>
        <v>172</v>
      </c>
      <c r="J146" s="10"/>
      <c r="K146" s="10"/>
      <c r="L146" s="10"/>
      <c r="M146" s="38">
        <f t="shared" si="28"/>
        <v>0</v>
      </c>
      <c r="N146" s="10"/>
      <c r="O146" s="10"/>
      <c r="P146" s="10"/>
      <c r="Q146" s="38">
        <f t="shared" ref="Q146" si="31">SUM(N146:P146)</f>
        <v>0</v>
      </c>
      <c r="R146" s="38">
        <f t="shared" si="30"/>
        <v>172</v>
      </c>
    </row>
    <row r="147" spans="1:20" ht="15.75" hidden="1" customHeight="1" x14ac:dyDescent="0.3">
      <c r="A147" s="539" t="s">
        <v>2238</v>
      </c>
      <c r="B147" s="10">
        <v>100</v>
      </c>
      <c r="C147" s="10">
        <v>110</v>
      </c>
      <c r="D147" s="10">
        <v>110</v>
      </c>
      <c r="E147" s="38">
        <f t="shared" ref="E147:E148" si="32">SUM(B147:D147)</f>
        <v>320</v>
      </c>
      <c r="F147" s="10">
        <v>110</v>
      </c>
      <c r="G147" s="10">
        <v>110</v>
      </c>
      <c r="H147" s="10">
        <v>110</v>
      </c>
      <c r="I147" s="38">
        <f t="shared" si="27"/>
        <v>330</v>
      </c>
      <c r="J147" s="10">
        <v>110</v>
      </c>
      <c r="K147" s="10">
        <v>110</v>
      </c>
      <c r="L147" s="10">
        <v>110</v>
      </c>
      <c r="M147" s="38">
        <f t="shared" si="28"/>
        <v>330</v>
      </c>
      <c r="N147" s="10">
        <v>110</v>
      </c>
      <c r="O147" s="10">
        <v>110</v>
      </c>
      <c r="P147" s="10">
        <v>100</v>
      </c>
      <c r="Q147" s="38">
        <f t="shared" si="29"/>
        <v>320</v>
      </c>
      <c r="R147" s="38">
        <f t="shared" si="30"/>
        <v>1300</v>
      </c>
      <c r="T147" t="s">
        <v>1193</v>
      </c>
    </row>
    <row r="148" spans="1:20" ht="15.75" hidden="1" customHeight="1" x14ac:dyDescent="0.3">
      <c r="A148" s="539" t="s">
        <v>3318</v>
      </c>
      <c r="B148" s="10"/>
      <c r="C148" s="10"/>
      <c r="D148" s="10"/>
      <c r="E148" s="38">
        <f t="shared" si="32"/>
        <v>0</v>
      </c>
      <c r="F148" s="10"/>
      <c r="G148" s="10"/>
      <c r="H148" s="10"/>
      <c r="I148" s="38">
        <f t="shared" si="27"/>
        <v>0</v>
      </c>
      <c r="J148" s="10"/>
      <c r="K148" s="10"/>
      <c r="L148" s="10"/>
      <c r="M148" s="38">
        <f t="shared" si="28"/>
        <v>0</v>
      </c>
      <c r="N148" s="10"/>
      <c r="O148" s="10"/>
      <c r="P148" s="10"/>
      <c r="Q148" s="38">
        <f t="shared" si="29"/>
        <v>0</v>
      </c>
      <c r="R148" s="38">
        <f t="shared" si="30"/>
        <v>0</v>
      </c>
    </row>
    <row r="149" spans="1:20" ht="15.75" hidden="1" customHeight="1" x14ac:dyDescent="0.3">
      <c r="A149" s="569" t="s">
        <v>3046</v>
      </c>
      <c r="C149" s="10">
        <v>10</v>
      </c>
      <c r="D149" s="10">
        <v>20</v>
      </c>
      <c r="E149" s="38">
        <f>SUM(C149:D149)</f>
        <v>30</v>
      </c>
      <c r="F149" s="10">
        <v>20</v>
      </c>
      <c r="G149" s="10">
        <v>20</v>
      </c>
      <c r="H149" s="10">
        <f>718+30</f>
        <v>748</v>
      </c>
      <c r="I149" s="38">
        <f t="shared" si="27"/>
        <v>788</v>
      </c>
      <c r="J149" s="10">
        <v>30</v>
      </c>
      <c r="K149" s="10">
        <v>40</v>
      </c>
      <c r="L149" s="10">
        <v>20</v>
      </c>
      <c r="M149" s="38">
        <f t="shared" si="28"/>
        <v>90</v>
      </c>
      <c r="N149" s="10">
        <v>20</v>
      </c>
      <c r="O149" s="10">
        <v>20</v>
      </c>
      <c r="P149" s="10">
        <v>20</v>
      </c>
      <c r="Q149" s="38">
        <f t="shared" si="29"/>
        <v>60</v>
      </c>
      <c r="R149" s="38">
        <f t="shared" si="30"/>
        <v>968</v>
      </c>
      <c r="T149" t="s">
        <v>2764</v>
      </c>
    </row>
    <row r="150" spans="1:20" ht="15.75" hidden="1" customHeight="1" x14ac:dyDescent="0.3">
      <c r="A150" s="539" t="s">
        <v>3326</v>
      </c>
      <c r="C150" s="10"/>
      <c r="D150" s="10"/>
      <c r="E150" s="38">
        <f>SUM(C150:D150)</f>
        <v>0</v>
      </c>
      <c r="F150" s="10"/>
      <c r="G150" s="10">
        <v>3684</v>
      </c>
      <c r="H150" s="10">
        <v>3566</v>
      </c>
      <c r="I150" s="38">
        <f t="shared" si="27"/>
        <v>7250</v>
      </c>
      <c r="J150" s="10">
        <v>3684</v>
      </c>
      <c r="K150" s="10">
        <v>3566</v>
      </c>
      <c r="L150" s="10"/>
      <c r="M150" s="38">
        <f t="shared" si="28"/>
        <v>7250</v>
      </c>
      <c r="N150" s="10"/>
      <c r="O150" s="10"/>
      <c r="P150" s="10"/>
      <c r="Q150" s="38">
        <f t="shared" si="29"/>
        <v>0</v>
      </c>
      <c r="R150" s="38">
        <f t="shared" si="30"/>
        <v>14500</v>
      </c>
    </row>
    <row r="151" spans="1:20" ht="15.75" hidden="1" customHeight="1" x14ac:dyDescent="0.3">
      <c r="A151" s="569" t="s">
        <v>2736</v>
      </c>
      <c r="B151" s="10"/>
      <c r="C151" s="10"/>
      <c r="D151" s="10"/>
      <c r="E151" s="38">
        <f t="shared" ref="E151:E190" si="33">SUM(B151:D151)</f>
        <v>0</v>
      </c>
      <c r="F151" s="10"/>
      <c r="G151" s="10"/>
      <c r="H151" s="10"/>
      <c r="I151" s="38">
        <f t="shared" si="27"/>
        <v>0</v>
      </c>
      <c r="J151" s="10"/>
      <c r="K151" s="10"/>
      <c r="L151" s="10"/>
      <c r="M151" s="38">
        <f t="shared" si="28"/>
        <v>0</v>
      </c>
      <c r="N151" s="10"/>
      <c r="O151" s="10"/>
      <c r="P151" s="10"/>
      <c r="Q151" s="38">
        <f t="shared" si="29"/>
        <v>0</v>
      </c>
      <c r="R151" s="38">
        <f t="shared" si="30"/>
        <v>0</v>
      </c>
      <c r="T151" t="s">
        <v>2769</v>
      </c>
    </row>
    <row r="152" spans="1:20" ht="15.75" hidden="1" customHeight="1" x14ac:dyDescent="0.3">
      <c r="A152" s="569" t="s">
        <v>917</v>
      </c>
      <c r="B152" s="10">
        <v>588</v>
      </c>
      <c r="C152" s="10">
        <v>588</v>
      </c>
      <c r="D152" s="10">
        <v>588</v>
      </c>
      <c r="E152" s="38">
        <f t="shared" si="33"/>
        <v>1764</v>
      </c>
      <c r="F152" s="10">
        <v>588</v>
      </c>
      <c r="G152" s="10">
        <v>588</v>
      </c>
      <c r="H152" s="10">
        <v>176</v>
      </c>
      <c r="I152" s="38">
        <f t="shared" si="27"/>
        <v>1352</v>
      </c>
      <c r="J152" s="10">
        <v>1000</v>
      </c>
      <c r="K152" s="10"/>
      <c r="L152" s="10"/>
      <c r="M152" s="38">
        <f t="shared" si="28"/>
        <v>1000</v>
      </c>
      <c r="N152" s="10"/>
      <c r="O152" s="10"/>
      <c r="P152" s="10"/>
      <c r="Q152" s="38">
        <f t="shared" si="29"/>
        <v>0</v>
      </c>
      <c r="R152" s="38">
        <f t="shared" si="30"/>
        <v>4116</v>
      </c>
      <c r="T152" t="s">
        <v>2770</v>
      </c>
    </row>
    <row r="153" spans="1:20" ht="15.75" hidden="1" customHeight="1" x14ac:dyDescent="0.3">
      <c r="A153" s="539" t="s">
        <v>3001</v>
      </c>
      <c r="B153" s="10"/>
      <c r="C153" s="10"/>
      <c r="D153" s="10"/>
      <c r="E153" s="38">
        <f t="shared" si="33"/>
        <v>0</v>
      </c>
      <c r="F153" s="10"/>
      <c r="G153" s="10">
        <v>1300</v>
      </c>
      <c r="H153" s="10"/>
      <c r="I153" s="38">
        <f t="shared" si="27"/>
        <v>1300</v>
      </c>
      <c r="J153" s="10"/>
      <c r="K153" s="10"/>
      <c r="L153" s="10"/>
      <c r="M153" s="38">
        <f t="shared" si="28"/>
        <v>0</v>
      </c>
      <c r="N153" s="10"/>
      <c r="O153" s="10"/>
      <c r="P153" s="10"/>
      <c r="Q153" s="38">
        <f t="shared" si="29"/>
        <v>0</v>
      </c>
      <c r="R153" s="38">
        <f t="shared" si="30"/>
        <v>1300</v>
      </c>
      <c r="S153" t="s">
        <v>3020</v>
      </c>
      <c r="T153" t="s">
        <v>2760</v>
      </c>
    </row>
    <row r="154" spans="1:20" ht="15.75" hidden="1" customHeight="1" x14ac:dyDescent="0.3">
      <c r="A154" s="410" t="s">
        <v>3212</v>
      </c>
      <c r="B154" s="10">
        <v>18</v>
      </c>
      <c r="C154" s="10">
        <v>18</v>
      </c>
      <c r="D154" s="10">
        <v>24</v>
      </c>
      <c r="E154" s="38">
        <f>SUM(B154:D154)</f>
        <v>60</v>
      </c>
      <c r="F154" s="10">
        <v>52</v>
      </c>
      <c r="G154" s="10">
        <v>93</v>
      </c>
      <c r="H154" s="10">
        <v>46</v>
      </c>
      <c r="I154" s="38">
        <f>SUM(F154:H154)</f>
        <v>191</v>
      </c>
      <c r="K154" s="10"/>
      <c r="L154" s="10"/>
      <c r="M154" s="38">
        <f>SUM(J154:L154)</f>
        <v>0</v>
      </c>
      <c r="N154" s="10"/>
      <c r="O154" s="10"/>
      <c r="P154" s="10"/>
      <c r="Q154" s="38">
        <f>SUM(N154:P154)</f>
        <v>0</v>
      </c>
      <c r="R154" s="38">
        <f>+E154+I154+M154+Q154</f>
        <v>251</v>
      </c>
      <c r="S154" s="709"/>
    </row>
    <row r="155" spans="1:20" ht="15.75" hidden="1" customHeight="1" x14ac:dyDescent="0.3">
      <c r="A155" s="569" t="s">
        <v>3246</v>
      </c>
      <c r="B155" s="10"/>
      <c r="C155" s="10"/>
      <c r="D155" s="10"/>
      <c r="E155" s="38">
        <f t="shared" si="33"/>
        <v>0</v>
      </c>
      <c r="F155" s="10"/>
      <c r="G155" s="10"/>
      <c r="H155" s="10"/>
      <c r="I155" s="38">
        <f t="shared" si="27"/>
        <v>0</v>
      </c>
      <c r="J155" s="10"/>
      <c r="K155" s="10"/>
      <c r="L155" s="10"/>
      <c r="M155" s="38">
        <f t="shared" si="28"/>
        <v>0</v>
      </c>
      <c r="N155" s="10">
        <v>893</v>
      </c>
      <c r="O155" s="10"/>
      <c r="P155" s="10"/>
      <c r="Q155" s="38">
        <f t="shared" si="29"/>
        <v>893</v>
      </c>
      <c r="R155" s="38">
        <f t="shared" si="30"/>
        <v>893</v>
      </c>
      <c r="S155" s="736" t="s">
        <v>3213</v>
      </c>
      <c r="T155" t="s">
        <v>2769</v>
      </c>
    </row>
    <row r="156" spans="1:20" ht="15.75" hidden="1" customHeight="1" x14ac:dyDescent="0.3">
      <c r="A156" s="569" t="s">
        <v>3247</v>
      </c>
      <c r="B156" s="10"/>
      <c r="C156" s="10"/>
      <c r="D156" s="700"/>
      <c r="E156" s="38">
        <f t="shared" si="33"/>
        <v>0</v>
      </c>
      <c r="F156" s="10"/>
      <c r="G156" s="10"/>
      <c r="H156" s="10"/>
      <c r="I156" s="38">
        <f t="shared" si="27"/>
        <v>0</v>
      </c>
      <c r="J156" s="10"/>
      <c r="K156" s="10"/>
      <c r="L156" s="10"/>
      <c r="M156" s="38">
        <f t="shared" si="28"/>
        <v>0</v>
      </c>
      <c r="N156" s="10">
        <v>157</v>
      </c>
      <c r="O156" s="10"/>
      <c r="P156" s="10"/>
      <c r="Q156" s="38">
        <f t="shared" si="29"/>
        <v>157</v>
      </c>
      <c r="R156" s="38">
        <f t="shared" si="30"/>
        <v>157</v>
      </c>
      <c r="S156" s="736" t="s">
        <v>3213</v>
      </c>
      <c r="T156" t="s">
        <v>2770</v>
      </c>
    </row>
    <row r="157" spans="1:20" ht="15.75" hidden="1" customHeight="1" x14ac:dyDescent="0.3">
      <c r="A157" s="569" t="s">
        <v>3248</v>
      </c>
      <c r="B157" s="10"/>
      <c r="C157" s="10"/>
      <c r="D157" s="10"/>
      <c r="E157" s="38">
        <f t="shared" si="33"/>
        <v>0</v>
      </c>
      <c r="F157" s="10"/>
      <c r="G157" s="10"/>
      <c r="H157" s="10"/>
      <c r="I157" s="38">
        <f t="shared" si="27"/>
        <v>0</v>
      </c>
      <c r="J157" s="10"/>
      <c r="K157" s="10"/>
      <c r="L157" s="10"/>
      <c r="M157" s="38">
        <f t="shared" si="28"/>
        <v>0</v>
      </c>
      <c r="N157" s="10"/>
      <c r="O157" s="10"/>
      <c r="P157" s="10"/>
      <c r="Q157" s="38">
        <f t="shared" si="29"/>
        <v>0</v>
      </c>
      <c r="R157" s="38">
        <f t="shared" si="30"/>
        <v>0</v>
      </c>
      <c r="S157" s="736" t="s">
        <v>3213</v>
      </c>
      <c r="T157" t="s">
        <v>2764</v>
      </c>
    </row>
    <row r="158" spans="1:20" ht="15.75" hidden="1" customHeight="1" x14ac:dyDescent="0.3">
      <c r="A158" s="539" t="s">
        <v>1880</v>
      </c>
      <c r="B158" s="10">
        <v>61</v>
      </c>
      <c r="C158" s="10">
        <v>62</v>
      </c>
      <c r="D158" s="10">
        <v>72</v>
      </c>
      <c r="E158" s="38">
        <f t="shared" si="33"/>
        <v>195</v>
      </c>
      <c r="F158" s="10">
        <v>72</v>
      </c>
      <c r="G158" s="10">
        <v>71</v>
      </c>
      <c r="H158" s="10">
        <v>79</v>
      </c>
      <c r="I158" s="38">
        <f t="shared" si="27"/>
        <v>222</v>
      </c>
      <c r="J158" s="10">
        <v>79</v>
      </c>
      <c r="K158" s="10">
        <v>79</v>
      </c>
      <c r="L158" s="10">
        <v>71</v>
      </c>
      <c r="M158" s="38">
        <f t="shared" si="28"/>
        <v>229</v>
      </c>
      <c r="N158" s="10">
        <v>71</v>
      </c>
      <c r="O158" s="10">
        <v>71</v>
      </c>
      <c r="P158" s="10">
        <v>62</v>
      </c>
      <c r="Q158" s="38">
        <f t="shared" si="29"/>
        <v>204</v>
      </c>
      <c r="R158" s="38">
        <f t="shared" si="30"/>
        <v>850</v>
      </c>
      <c r="T158" t="s">
        <v>2761</v>
      </c>
    </row>
    <row r="159" spans="1:20" ht="15.75" hidden="1" customHeight="1" x14ac:dyDescent="0.3">
      <c r="A159" s="539" t="s">
        <v>703</v>
      </c>
      <c r="B159" s="10">
        <v>135</v>
      </c>
      <c r="C159" s="10">
        <v>110</v>
      </c>
      <c r="D159" s="10">
        <v>150</v>
      </c>
      <c r="E159" s="38">
        <f t="shared" si="33"/>
        <v>395</v>
      </c>
      <c r="F159" s="10">
        <v>180</v>
      </c>
      <c r="G159" s="10">
        <v>205</v>
      </c>
      <c r="H159" s="10">
        <v>255</v>
      </c>
      <c r="I159" s="38">
        <f t="shared" si="27"/>
        <v>640</v>
      </c>
      <c r="J159" s="10">
        <v>255</v>
      </c>
      <c r="K159" s="10">
        <v>255</v>
      </c>
      <c r="L159" s="10">
        <v>205</v>
      </c>
      <c r="M159" s="38">
        <f t="shared" si="28"/>
        <v>715</v>
      </c>
      <c r="N159" s="10">
        <v>195</v>
      </c>
      <c r="O159" s="10">
        <v>165</v>
      </c>
      <c r="P159" s="10">
        <v>175</v>
      </c>
      <c r="Q159" s="38">
        <f t="shared" si="29"/>
        <v>535</v>
      </c>
      <c r="R159" s="38">
        <f t="shared" si="30"/>
        <v>2285</v>
      </c>
      <c r="T159" t="s">
        <v>2874</v>
      </c>
    </row>
    <row r="160" spans="1:20" ht="15.75" hidden="1" customHeight="1" x14ac:dyDescent="0.3">
      <c r="A160" s="569" t="s">
        <v>3424</v>
      </c>
      <c r="B160" s="10"/>
      <c r="C160" s="10">
        <v>400</v>
      </c>
      <c r="D160" s="10"/>
      <c r="E160" s="38">
        <f t="shared" si="33"/>
        <v>400</v>
      </c>
      <c r="F160" s="10">
        <v>400</v>
      </c>
      <c r="G160" s="10"/>
      <c r="H160" s="10"/>
      <c r="I160" s="38">
        <f t="shared" si="27"/>
        <v>400</v>
      </c>
      <c r="J160" s="10"/>
      <c r="K160" s="10"/>
      <c r="L160" s="10"/>
      <c r="M160" s="38">
        <f t="shared" si="28"/>
        <v>0</v>
      </c>
      <c r="N160" s="10"/>
      <c r="O160" s="10"/>
      <c r="P160" s="10"/>
      <c r="Q160" s="38">
        <f t="shared" ref="Q160" si="34">SUM(N160:P160)</f>
        <v>0</v>
      </c>
      <c r="R160" s="38">
        <f t="shared" si="30"/>
        <v>800</v>
      </c>
    </row>
    <row r="161" spans="1:20" ht="15.75" hidden="1" customHeight="1" x14ac:dyDescent="0.3">
      <c r="A161" s="539" t="s">
        <v>2967</v>
      </c>
      <c r="B161" s="10"/>
      <c r="C161" s="10"/>
      <c r="D161" s="10">
        <v>200</v>
      </c>
      <c r="E161" s="38">
        <f t="shared" si="33"/>
        <v>200</v>
      </c>
      <c r="F161" s="10">
        <v>800</v>
      </c>
      <c r="G161" s="10">
        <f>124</f>
        <v>124</v>
      </c>
      <c r="H161" s="10"/>
      <c r="I161" s="38">
        <f t="shared" si="27"/>
        <v>924</v>
      </c>
      <c r="J161" s="10"/>
      <c r="K161" s="10">
        <f>526+600</f>
        <v>1126</v>
      </c>
      <c r="L161" s="10">
        <v>600</v>
      </c>
      <c r="M161" s="38">
        <f t="shared" si="28"/>
        <v>1726</v>
      </c>
      <c r="N161" s="10">
        <v>600</v>
      </c>
      <c r="O161" s="10">
        <v>800</v>
      </c>
      <c r="P161" s="10"/>
      <c r="Q161" s="38">
        <f t="shared" si="29"/>
        <v>1400</v>
      </c>
      <c r="R161" s="38">
        <f t="shared" si="30"/>
        <v>4250</v>
      </c>
      <c r="S161" t="s">
        <v>3020</v>
      </c>
    </row>
    <row r="162" spans="1:20" ht="15.75" hidden="1" customHeight="1" x14ac:dyDescent="0.3">
      <c r="A162" s="569" t="s">
        <v>3336</v>
      </c>
      <c r="B162" s="10"/>
      <c r="C162" s="10">
        <v>300</v>
      </c>
      <c r="D162" s="10">
        <v>300</v>
      </c>
      <c r="E162" s="38">
        <f>SUM(B162:D162)</f>
        <v>600</v>
      </c>
      <c r="F162" s="10">
        <v>300</v>
      </c>
      <c r="G162" s="10">
        <v>375</v>
      </c>
      <c r="H162" s="10">
        <v>450</v>
      </c>
      <c r="I162" s="38">
        <f t="shared" si="27"/>
        <v>1125</v>
      </c>
      <c r="J162" s="10">
        <v>450</v>
      </c>
      <c r="K162" s="10">
        <v>450</v>
      </c>
      <c r="L162" s="10">
        <v>375</v>
      </c>
      <c r="M162" s="38">
        <f t="shared" si="28"/>
        <v>1275</v>
      </c>
      <c r="N162" s="10">
        <v>300</v>
      </c>
      <c r="O162" s="10">
        <v>300</v>
      </c>
      <c r="P162" s="10"/>
      <c r="Q162" s="38">
        <f t="shared" si="29"/>
        <v>600</v>
      </c>
      <c r="R162" s="38">
        <f t="shared" si="30"/>
        <v>3600</v>
      </c>
      <c r="T162" t="s">
        <v>2764</v>
      </c>
    </row>
    <row r="163" spans="1:20" ht="15.75" hidden="1" customHeight="1" x14ac:dyDescent="0.3">
      <c r="A163" s="539" t="s">
        <v>3337</v>
      </c>
      <c r="B163" s="10">
        <v>498</v>
      </c>
      <c r="C163" s="10">
        <v>427</v>
      </c>
      <c r="D163" s="10">
        <v>512</v>
      </c>
      <c r="E163" s="38">
        <f t="shared" si="33"/>
        <v>1437</v>
      </c>
      <c r="F163" s="10">
        <v>517</v>
      </c>
      <c r="G163" s="10">
        <v>573</v>
      </c>
      <c r="H163" s="10">
        <v>545</v>
      </c>
      <c r="I163" s="38">
        <f t="shared" si="27"/>
        <v>1635</v>
      </c>
      <c r="J163" s="10">
        <v>494</v>
      </c>
      <c r="K163" s="10">
        <v>494</v>
      </c>
      <c r="L163" s="10">
        <v>598</v>
      </c>
      <c r="M163" s="38">
        <f t="shared" si="28"/>
        <v>1586</v>
      </c>
      <c r="N163" s="10">
        <v>377</v>
      </c>
      <c r="O163" s="10">
        <v>96</v>
      </c>
      <c r="P163" s="10">
        <v>178</v>
      </c>
      <c r="Q163" s="38">
        <f t="shared" si="29"/>
        <v>651</v>
      </c>
      <c r="R163" s="38">
        <f t="shared" si="30"/>
        <v>5309</v>
      </c>
      <c r="T163" t="s">
        <v>2762</v>
      </c>
    </row>
    <row r="164" spans="1:20" ht="15.75" hidden="1" customHeight="1" x14ac:dyDescent="0.3">
      <c r="A164" s="539" t="s">
        <v>3400</v>
      </c>
      <c r="B164" s="10">
        <v>26</v>
      </c>
      <c r="C164" s="10">
        <v>38</v>
      </c>
      <c r="D164" s="10">
        <v>63</v>
      </c>
      <c r="E164" s="38">
        <f t="shared" si="33"/>
        <v>127</v>
      </c>
      <c r="F164" s="10">
        <v>113</v>
      </c>
      <c r="G164" s="10">
        <v>163</v>
      </c>
      <c r="H164" s="10">
        <v>213</v>
      </c>
      <c r="I164" s="38">
        <f t="shared" si="27"/>
        <v>489</v>
      </c>
      <c r="J164" s="10">
        <v>213</v>
      </c>
      <c r="K164" s="10">
        <v>163</v>
      </c>
      <c r="L164" s="10">
        <v>113</v>
      </c>
      <c r="M164" s="38">
        <f t="shared" si="28"/>
        <v>489</v>
      </c>
      <c r="N164" s="10">
        <v>61</v>
      </c>
      <c r="O164" s="10">
        <v>36</v>
      </c>
      <c r="P164" s="10">
        <v>26</v>
      </c>
      <c r="Q164" s="38">
        <f t="shared" si="29"/>
        <v>123</v>
      </c>
      <c r="R164" s="38">
        <f t="shared" si="30"/>
        <v>1228</v>
      </c>
    </row>
    <row r="165" spans="1:20" ht="15.75" hidden="1" customHeight="1" x14ac:dyDescent="0.3">
      <c r="A165" s="569" t="s">
        <v>2845</v>
      </c>
      <c r="B165" s="10"/>
      <c r="C165" s="10"/>
      <c r="D165" s="10"/>
      <c r="E165" s="38">
        <f t="shared" si="33"/>
        <v>0</v>
      </c>
      <c r="F165" s="10"/>
      <c r="G165" s="10"/>
      <c r="H165" s="10"/>
      <c r="I165" s="38">
        <f t="shared" si="27"/>
        <v>0</v>
      </c>
      <c r="J165" s="10">
        <v>508</v>
      </c>
      <c r="K165" s="10"/>
      <c r="L165" s="10"/>
      <c r="M165" s="38">
        <f t="shared" si="28"/>
        <v>508</v>
      </c>
      <c r="N165" s="10"/>
      <c r="O165" s="10"/>
      <c r="P165" s="10"/>
      <c r="Q165" s="38">
        <f t="shared" si="29"/>
        <v>0</v>
      </c>
      <c r="R165" s="38">
        <f t="shared" si="30"/>
        <v>508</v>
      </c>
      <c r="T165" t="s">
        <v>2770</v>
      </c>
    </row>
    <row r="166" spans="1:20" ht="15.75" hidden="1" customHeight="1" x14ac:dyDescent="0.3">
      <c r="A166" s="410" t="s">
        <v>3274</v>
      </c>
      <c r="B166" s="10"/>
      <c r="C166" s="10"/>
      <c r="D166" s="10"/>
      <c r="E166" s="38">
        <f t="shared" ref="E166" si="35">SUM(B166:D166)</f>
        <v>0</v>
      </c>
      <c r="F166" s="10"/>
      <c r="G166" s="10"/>
      <c r="H166" s="10"/>
      <c r="I166" s="38">
        <f t="shared" si="27"/>
        <v>0</v>
      </c>
      <c r="J166" s="10"/>
      <c r="K166" s="10"/>
      <c r="L166" s="10"/>
      <c r="M166" s="38">
        <f t="shared" si="28"/>
        <v>0</v>
      </c>
      <c r="N166" s="10"/>
      <c r="O166" s="10"/>
      <c r="P166" s="10"/>
      <c r="Q166" s="38">
        <f t="shared" si="29"/>
        <v>0</v>
      </c>
      <c r="R166" s="38">
        <f t="shared" si="30"/>
        <v>0</v>
      </c>
    </row>
    <row r="167" spans="1:20" ht="15.75" hidden="1" customHeight="1" x14ac:dyDescent="0.3">
      <c r="A167" s="410" t="s">
        <v>3403</v>
      </c>
      <c r="B167" s="10"/>
      <c r="C167" s="10"/>
      <c r="D167" s="10"/>
      <c r="E167" s="38">
        <f t="shared" si="33"/>
        <v>0</v>
      </c>
      <c r="F167" s="10"/>
      <c r="G167" s="10">
        <v>2906</v>
      </c>
      <c r="H167" s="10"/>
      <c r="I167" s="38">
        <f t="shared" si="27"/>
        <v>2906</v>
      </c>
      <c r="J167" s="10"/>
      <c r="K167" s="10"/>
      <c r="L167" s="10"/>
      <c r="M167" s="38">
        <f t="shared" si="28"/>
        <v>0</v>
      </c>
      <c r="N167" s="10"/>
      <c r="O167" s="10"/>
      <c r="P167" s="10"/>
      <c r="Q167" s="38">
        <f t="shared" si="29"/>
        <v>0</v>
      </c>
      <c r="R167" s="38">
        <f t="shared" si="30"/>
        <v>2906</v>
      </c>
    </row>
    <row r="168" spans="1:20" ht="15.75" hidden="1" customHeight="1" x14ac:dyDescent="0.3">
      <c r="A168" s="539" t="s">
        <v>2809</v>
      </c>
      <c r="B168" s="10"/>
      <c r="C168" s="10"/>
      <c r="D168" s="10"/>
      <c r="E168" s="38">
        <f t="shared" si="33"/>
        <v>0</v>
      </c>
      <c r="F168" s="10"/>
      <c r="G168" s="10"/>
      <c r="H168" s="10"/>
      <c r="I168" s="38">
        <f t="shared" si="27"/>
        <v>0</v>
      </c>
      <c r="J168" s="10"/>
      <c r="K168" s="10"/>
      <c r="L168" s="10"/>
      <c r="M168" s="38">
        <f t="shared" si="28"/>
        <v>0</v>
      </c>
      <c r="N168" s="10"/>
      <c r="O168" s="10"/>
      <c r="P168" s="10"/>
      <c r="Q168" s="38">
        <f t="shared" si="29"/>
        <v>0</v>
      </c>
      <c r="R168" s="38">
        <f t="shared" si="30"/>
        <v>0</v>
      </c>
      <c r="S168" t="s">
        <v>3020</v>
      </c>
      <c r="T168" t="s">
        <v>2760</v>
      </c>
    </row>
    <row r="169" spans="1:20" s="353" customFormat="1" ht="15.75" customHeight="1" x14ac:dyDescent="0.3">
      <c r="A169" s="535" t="s">
        <v>1242</v>
      </c>
      <c r="B169" s="542"/>
      <c r="C169" s="542"/>
      <c r="D169" s="542"/>
      <c r="E169" s="331">
        <f t="shared" si="33"/>
        <v>0</v>
      </c>
      <c r="F169" s="542"/>
      <c r="G169" s="542"/>
      <c r="H169" s="542"/>
      <c r="I169" s="331">
        <f t="shared" si="27"/>
        <v>0</v>
      </c>
      <c r="J169" s="542"/>
      <c r="K169" s="542"/>
      <c r="L169" s="542"/>
      <c r="M169" s="331">
        <f t="shared" si="28"/>
        <v>0</v>
      </c>
      <c r="N169" s="542"/>
      <c r="O169" s="542"/>
      <c r="P169" s="542"/>
      <c r="Q169" s="331">
        <f t="shared" si="29"/>
        <v>0</v>
      </c>
      <c r="R169" s="331">
        <f t="shared" si="30"/>
        <v>0</v>
      </c>
    </row>
    <row r="170" spans="1:20" ht="15.75" hidden="1" customHeight="1" x14ac:dyDescent="0.3">
      <c r="A170" s="539" t="s">
        <v>1379</v>
      </c>
      <c r="B170" s="10"/>
      <c r="C170" s="10"/>
      <c r="D170" s="10"/>
      <c r="E170" s="38">
        <f t="shared" si="33"/>
        <v>0</v>
      </c>
      <c r="F170" s="10">
        <v>1654</v>
      </c>
      <c r="G170" s="10">
        <v>1850</v>
      </c>
      <c r="H170" s="10">
        <v>1900</v>
      </c>
      <c r="I170" s="38">
        <f t="shared" si="27"/>
        <v>5404</v>
      </c>
      <c r="J170" s="10">
        <v>1900</v>
      </c>
      <c r="K170" s="10">
        <v>1900</v>
      </c>
      <c r="L170" s="10">
        <v>1900</v>
      </c>
      <c r="M170" s="38">
        <f t="shared" si="28"/>
        <v>5700</v>
      </c>
      <c r="N170" s="10">
        <v>1600</v>
      </c>
      <c r="O170" s="10">
        <v>1600</v>
      </c>
      <c r="P170" s="10">
        <v>1600</v>
      </c>
      <c r="Q170" s="38">
        <f t="shared" si="29"/>
        <v>4800</v>
      </c>
      <c r="R170" s="38">
        <f>+E170+I170+M170+Q170</f>
        <v>15904</v>
      </c>
      <c r="T170" t="s">
        <v>2775</v>
      </c>
    </row>
    <row r="171" spans="1:20" ht="15.75" hidden="1" customHeight="1" x14ac:dyDescent="0.3">
      <c r="A171" s="569" t="s">
        <v>2984</v>
      </c>
      <c r="B171" s="10"/>
      <c r="C171" s="10"/>
      <c r="D171" s="10"/>
      <c r="E171" s="38">
        <f t="shared" si="33"/>
        <v>0</v>
      </c>
      <c r="F171" s="10"/>
      <c r="G171" s="10"/>
      <c r="H171" s="10"/>
      <c r="I171" s="38">
        <f t="shared" si="27"/>
        <v>0</v>
      </c>
      <c r="J171" s="10"/>
      <c r="K171" s="10"/>
      <c r="L171" s="10">
        <v>532</v>
      </c>
      <c r="M171" s="38">
        <f t="shared" si="28"/>
        <v>532</v>
      </c>
      <c r="N171" s="10"/>
      <c r="O171" s="10"/>
      <c r="P171" s="10"/>
      <c r="Q171" s="38">
        <f t="shared" si="29"/>
        <v>0</v>
      </c>
      <c r="R171" s="38">
        <f t="shared" ref="R171:R177" si="36">+E171+I171+M171+Q171</f>
        <v>532</v>
      </c>
      <c r="T171" t="s">
        <v>2764</v>
      </c>
    </row>
    <row r="172" spans="1:20" ht="15.75" hidden="1" customHeight="1" x14ac:dyDescent="0.3">
      <c r="A172" s="569" t="s">
        <v>2987</v>
      </c>
      <c r="B172" s="10"/>
      <c r="C172" s="10"/>
      <c r="D172" s="10"/>
      <c r="E172" s="38">
        <f t="shared" si="33"/>
        <v>0</v>
      </c>
      <c r="F172" s="10"/>
      <c r="G172" s="10"/>
      <c r="H172" s="10"/>
      <c r="I172" s="38">
        <f t="shared" si="27"/>
        <v>0</v>
      </c>
      <c r="J172" s="10"/>
      <c r="K172" s="10"/>
      <c r="L172" s="10"/>
      <c r="M172" s="38">
        <f t="shared" si="28"/>
        <v>0</v>
      </c>
      <c r="N172" s="10"/>
      <c r="O172" s="10"/>
      <c r="P172" s="10"/>
      <c r="Q172" s="38">
        <f t="shared" si="29"/>
        <v>0</v>
      </c>
      <c r="R172" s="38">
        <f t="shared" si="36"/>
        <v>0</v>
      </c>
      <c r="T172" t="s">
        <v>2770</v>
      </c>
    </row>
    <row r="173" spans="1:20" ht="15.75" hidden="1" customHeight="1" x14ac:dyDescent="0.3">
      <c r="A173" s="539" t="s">
        <v>2985</v>
      </c>
      <c r="B173" s="10"/>
      <c r="C173" s="10"/>
      <c r="D173" s="10"/>
      <c r="E173" s="38">
        <f t="shared" si="33"/>
        <v>0</v>
      </c>
      <c r="F173" s="10"/>
      <c r="G173" s="10">
        <v>800</v>
      </c>
      <c r="H173" s="10"/>
      <c r="I173" s="38">
        <f t="shared" si="27"/>
        <v>800</v>
      </c>
      <c r="J173" s="10"/>
      <c r="K173" s="10"/>
      <c r="L173" s="10"/>
      <c r="M173" s="38">
        <f t="shared" si="28"/>
        <v>0</v>
      </c>
      <c r="N173" s="10"/>
      <c r="O173" s="10"/>
      <c r="P173" s="10"/>
      <c r="Q173" s="38">
        <f t="shared" si="29"/>
        <v>0</v>
      </c>
      <c r="R173" s="38">
        <f t="shared" si="36"/>
        <v>800</v>
      </c>
      <c r="S173" s="709" t="s">
        <v>3020</v>
      </c>
      <c r="T173" t="s">
        <v>2986</v>
      </c>
    </row>
    <row r="174" spans="1:20" ht="15.75" hidden="1" customHeight="1" x14ac:dyDescent="0.3">
      <c r="A174" s="539" t="s">
        <v>3405</v>
      </c>
      <c r="B174" s="10"/>
      <c r="C174" s="10"/>
      <c r="D174" s="10"/>
      <c r="E174" s="38">
        <f t="shared" si="33"/>
        <v>0</v>
      </c>
      <c r="F174" s="10"/>
      <c r="G174" s="10"/>
      <c r="H174" s="10">
        <v>3700</v>
      </c>
      <c r="I174" s="38">
        <f t="shared" si="27"/>
        <v>3700</v>
      </c>
      <c r="J174" s="10"/>
      <c r="K174" s="10"/>
      <c r="L174" s="10"/>
      <c r="M174" s="38">
        <f t="shared" si="28"/>
        <v>0</v>
      </c>
      <c r="N174" s="10"/>
      <c r="O174" s="10"/>
      <c r="P174" s="10"/>
      <c r="Q174" s="38">
        <f t="shared" ref="Q174" si="37">SUM(N174:P174)</f>
        <v>0</v>
      </c>
      <c r="R174" s="38">
        <f t="shared" si="36"/>
        <v>3700</v>
      </c>
      <c r="S174" s="709"/>
    </row>
    <row r="175" spans="1:20" ht="15.75" hidden="1" customHeight="1" x14ac:dyDescent="0.3">
      <c r="A175" s="569" t="s">
        <v>2767</v>
      </c>
      <c r="B175" s="10">
        <v>968</v>
      </c>
      <c r="C175" s="10">
        <v>1400</v>
      </c>
      <c r="D175" s="10"/>
      <c r="E175" s="38">
        <f t="shared" si="33"/>
        <v>2368</v>
      </c>
      <c r="F175" s="10"/>
      <c r="G175" s="10"/>
      <c r="H175" s="10"/>
      <c r="I175" s="38">
        <f t="shared" si="27"/>
        <v>0</v>
      </c>
      <c r="J175" s="10"/>
      <c r="K175" s="10"/>
      <c r="L175" s="10"/>
      <c r="M175" s="38">
        <f t="shared" si="28"/>
        <v>0</v>
      </c>
      <c r="N175" s="10"/>
      <c r="O175" s="10"/>
      <c r="P175" s="10"/>
      <c r="Q175" s="38">
        <f t="shared" si="29"/>
        <v>0</v>
      </c>
      <c r="R175" s="38">
        <f t="shared" si="36"/>
        <v>2368</v>
      </c>
      <c r="T175" t="s">
        <v>2769</v>
      </c>
    </row>
    <row r="176" spans="1:20" ht="15.75" hidden="1" customHeight="1" x14ac:dyDescent="0.3">
      <c r="A176" s="569" t="s">
        <v>2768</v>
      </c>
      <c r="B176" s="10">
        <v>2100</v>
      </c>
      <c r="C176" s="10">
        <v>1700</v>
      </c>
      <c r="D176" s="10">
        <v>874</v>
      </c>
      <c r="E176" s="38">
        <f t="shared" si="33"/>
        <v>4674</v>
      </c>
      <c r="F176" s="10"/>
      <c r="G176" s="10"/>
      <c r="H176" s="10"/>
      <c r="I176" s="38">
        <f t="shared" si="27"/>
        <v>0</v>
      </c>
      <c r="J176" s="10"/>
      <c r="K176" s="10"/>
      <c r="L176" s="10"/>
      <c r="M176" s="38">
        <f t="shared" si="28"/>
        <v>0</v>
      </c>
      <c r="N176" s="10"/>
      <c r="O176" s="10"/>
      <c r="P176" s="10"/>
      <c r="Q176" s="38">
        <f t="shared" si="29"/>
        <v>0</v>
      </c>
      <c r="R176" s="38">
        <f t="shared" si="36"/>
        <v>4674</v>
      </c>
      <c r="T176" t="s">
        <v>2770</v>
      </c>
    </row>
    <row r="177" spans="1:20" ht="15.75" hidden="1" customHeight="1" x14ac:dyDescent="0.3">
      <c r="A177" s="539" t="s">
        <v>1879</v>
      </c>
      <c r="B177" s="10">
        <v>25</v>
      </c>
      <c r="C177" s="10">
        <v>25</v>
      </c>
      <c r="D177" s="10">
        <v>50</v>
      </c>
      <c r="E177" s="38">
        <f t="shared" si="33"/>
        <v>100</v>
      </c>
      <c r="F177" s="10">
        <v>70</v>
      </c>
      <c r="G177" s="10">
        <v>70</v>
      </c>
      <c r="H177" s="10">
        <v>70</v>
      </c>
      <c r="I177" s="38">
        <f t="shared" si="27"/>
        <v>210</v>
      </c>
      <c r="J177" s="10">
        <v>70</v>
      </c>
      <c r="K177" s="10">
        <v>70</v>
      </c>
      <c r="L177" s="10">
        <v>70</v>
      </c>
      <c r="M177" s="38">
        <f t="shared" si="28"/>
        <v>210</v>
      </c>
      <c r="N177" s="10">
        <v>75</v>
      </c>
      <c r="O177" s="10">
        <v>35</v>
      </c>
      <c r="P177" s="10">
        <v>35</v>
      </c>
      <c r="Q177" s="38">
        <f t="shared" si="29"/>
        <v>145</v>
      </c>
      <c r="R177" s="38">
        <f t="shared" si="36"/>
        <v>665</v>
      </c>
      <c r="T177" t="s">
        <v>1193</v>
      </c>
    </row>
    <row r="178" spans="1:20" ht="15.75" hidden="1" customHeight="1" x14ac:dyDescent="0.3">
      <c r="A178" s="569" t="s">
        <v>2737</v>
      </c>
      <c r="B178" s="10">
        <v>670</v>
      </c>
      <c r="C178" s="10">
        <v>742</v>
      </c>
      <c r="D178" s="10">
        <v>1141</v>
      </c>
      <c r="E178" s="38">
        <f t="shared" si="33"/>
        <v>2553</v>
      </c>
      <c r="F178" s="10">
        <v>1051</v>
      </c>
      <c r="G178" s="10">
        <v>1194</v>
      </c>
      <c r="H178" s="10">
        <v>1230</v>
      </c>
      <c r="I178" s="38">
        <f t="shared" si="27"/>
        <v>3475</v>
      </c>
      <c r="J178" s="10">
        <v>1041</v>
      </c>
      <c r="K178" s="10">
        <v>1621</v>
      </c>
      <c r="L178" s="10">
        <v>1328</v>
      </c>
      <c r="M178" s="38">
        <f t="shared" si="28"/>
        <v>3990</v>
      </c>
      <c r="N178" s="10">
        <v>1012</v>
      </c>
      <c r="O178" s="10">
        <v>1241</v>
      </c>
      <c r="P178" s="10">
        <v>1041</v>
      </c>
      <c r="Q178" s="38">
        <f t="shared" si="29"/>
        <v>3294</v>
      </c>
      <c r="R178" s="38">
        <f t="shared" si="30"/>
        <v>13312</v>
      </c>
      <c r="T178" t="s">
        <v>2769</v>
      </c>
    </row>
    <row r="179" spans="1:20" ht="15.75" hidden="1" customHeight="1" x14ac:dyDescent="0.3">
      <c r="A179" s="569" t="s">
        <v>2738</v>
      </c>
      <c r="B179" s="10">
        <v>130</v>
      </c>
      <c r="C179" s="10">
        <v>150</v>
      </c>
      <c r="D179" s="10">
        <v>200</v>
      </c>
      <c r="E179" s="38">
        <f t="shared" si="33"/>
        <v>480</v>
      </c>
      <c r="F179" s="10">
        <v>200</v>
      </c>
      <c r="G179" s="10">
        <v>200</v>
      </c>
      <c r="H179" s="10">
        <v>300</v>
      </c>
      <c r="I179" s="38">
        <f t="shared" si="27"/>
        <v>700</v>
      </c>
      <c r="J179" s="10">
        <v>77</v>
      </c>
      <c r="K179" s="10">
        <v>300</v>
      </c>
      <c r="L179" s="10">
        <v>300</v>
      </c>
      <c r="M179" s="38">
        <f t="shared" si="28"/>
        <v>677</v>
      </c>
      <c r="N179" s="10">
        <v>300</v>
      </c>
      <c r="O179" s="10">
        <v>100</v>
      </c>
      <c r="P179" s="10"/>
      <c r="Q179" s="38">
        <f t="shared" si="29"/>
        <v>400</v>
      </c>
      <c r="R179" s="38">
        <f t="shared" si="30"/>
        <v>2257</v>
      </c>
      <c r="T179" t="s">
        <v>2770</v>
      </c>
    </row>
    <row r="180" spans="1:20" ht="15.75" hidden="1" customHeight="1" x14ac:dyDescent="0.3">
      <c r="A180" s="569" t="s">
        <v>2816</v>
      </c>
      <c r="B180" s="10">
        <v>26</v>
      </c>
      <c r="C180" s="10">
        <v>33</v>
      </c>
      <c r="D180" s="10">
        <v>48</v>
      </c>
      <c r="E180" s="38">
        <f t="shared" si="33"/>
        <v>107</v>
      </c>
      <c r="F180" s="10">
        <v>19</v>
      </c>
      <c r="G180" s="10">
        <v>88</v>
      </c>
      <c r="H180" s="10">
        <v>86</v>
      </c>
      <c r="I180" s="38">
        <f>SUM(F180:H180)</f>
        <v>193</v>
      </c>
      <c r="J180" s="10">
        <v>87</v>
      </c>
      <c r="K180" s="10">
        <v>56</v>
      </c>
      <c r="L180" s="10">
        <v>53</v>
      </c>
      <c r="M180" s="38">
        <f t="shared" si="28"/>
        <v>196</v>
      </c>
      <c r="N180" s="10">
        <v>87</v>
      </c>
      <c r="O180" s="10">
        <v>31</v>
      </c>
      <c r="P180" s="10">
        <v>14</v>
      </c>
      <c r="Q180" s="38">
        <f t="shared" si="29"/>
        <v>132</v>
      </c>
      <c r="R180" s="38">
        <f t="shared" si="30"/>
        <v>628</v>
      </c>
      <c r="T180" t="s">
        <v>2819</v>
      </c>
    </row>
    <row r="181" spans="1:20" ht="15.75" hidden="1" customHeight="1" x14ac:dyDescent="0.3">
      <c r="A181" s="569" t="s">
        <v>2817</v>
      </c>
      <c r="B181" s="10">
        <v>18</v>
      </c>
      <c r="C181" s="10">
        <v>21</v>
      </c>
      <c r="D181" s="10">
        <v>38</v>
      </c>
      <c r="E181" s="38">
        <f t="shared" si="33"/>
        <v>77</v>
      </c>
      <c r="F181" s="10">
        <v>78</v>
      </c>
      <c r="G181" s="10">
        <v>103</v>
      </c>
      <c r="H181" s="10">
        <v>80</v>
      </c>
      <c r="I181" s="38">
        <f t="shared" si="27"/>
        <v>261</v>
      </c>
      <c r="J181" s="10">
        <v>97</v>
      </c>
      <c r="K181" s="10">
        <v>70</v>
      </c>
      <c r="L181" s="10">
        <v>70</v>
      </c>
      <c r="M181" s="38">
        <f t="shared" si="28"/>
        <v>237</v>
      </c>
      <c r="N181" s="10">
        <v>70</v>
      </c>
      <c r="O181" s="10">
        <v>23</v>
      </c>
      <c r="P181" s="10">
        <v>13</v>
      </c>
      <c r="Q181" s="38">
        <f t="shared" si="29"/>
        <v>106</v>
      </c>
      <c r="R181" s="38">
        <f t="shared" si="30"/>
        <v>681</v>
      </c>
      <c r="T181" t="s">
        <v>1193</v>
      </c>
    </row>
    <row r="182" spans="1:20" ht="15.75" hidden="1" customHeight="1" x14ac:dyDescent="0.3">
      <c r="A182" s="569" t="s">
        <v>2818</v>
      </c>
      <c r="B182" s="10"/>
      <c r="C182" s="10"/>
      <c r="D182" s="10"/>
      <c r="E182" s="38">
        <f t="shared" si="33"/>
        <v>0</v>
      </c>
      <c r="F182" s="10">
        <v>10</v>
      </c>
      <c r="G182" s="10">
        <v>30</v>
      </c>
      <c r="H182" s="10">
        <v>20</v>
      </c>
      <c r="I182" s="38">
        <f t="shared" si="27"/>
        <v>60</v>
      </c>
      <c r="J182" s="10">
        <v>15</v>
      </c>
      <c r="K182" s="10">
        <v>15</v>
      </c>
      <c r="L182" s="10">
        <v>10</v>
      </c>
      <c r="M182" s="38">
        <f t="shared" si="28"/>
        <v>40</v>
      </c>
      <c r="N182" s="10">
        <v>10</v>
      </c>
      <c r="O182" s="10">
        <v>10</v>
      </c>
      <c r="P182" s="10"/>
      <c r="Q182" s="38">
        <f t="shared" si="29"/>
        <v>20</v>
      </c>
      <c r="R182" s="38">
        <f t="shared" si="30"/>
        <v>120</v>
      </c>
      <c r="S182" s="574"/>
      <c r="T182" t="s">
        <v>2764</v>
      </c>
    </row>
    <row r="183" spans="1:20" ht="15.75" hidden="1" customHeight="1" x14ac:dyDescent="0.3">
      <c r="A183" s="539" t="s">
        <v>2758</v>
      </c>
      <c r="B183" s="10"/>
      <c r="C183" s="10"/>
      <c r="D183" s="10"/>
      <c r="E183" s="38">
        <f t="shared" si="33"/>
        <v>0</v>
      </c>
      <c r="F183" s="10"/>
      <c r="G183" s="10"/>
      <c r="H183" s="10">
        <v>1006</v>
      </c>
      <c r="I183" s="38">
        <f t="shared" si="27"/>
        <v>1006</v>
      </c>
      <c r="J183" s="10">
        <v>1040</v>
      </c>
      <c r="K183" s="10">
        <v>1040</v>
      </c>
      <c r="L183" s="10">
        <v>1040</v>
      </c>
      <c r="M183" s="38">
        <f t="shared" si="28"/>
        <v>3120</v>
      </c>
      <c r="N183" s="10">
        <v>1009</v>
      </c>
      <c r="O183" s="10">
        <v>1000</v>
      </c>
      <c r="P183" s="10">
        <v>803</v>
      </c>
      <c r="Q183" s="38">
        <f t="shared" si="29"/>
        <v>2812</v>
      </c>
      <c r="R183" s="38">
        <f t="shared" si="30"/>
        <v>6938</v>
      </c>
      <c r="T183" t="s">
        <v>2775</v>
      </c>
    </row>
    <row r="184" spans="1:20" ht="15.75" hidden="1" customHeight="1" x14ac:dyDescent="0.3">
      <c r="A184" s="539" t="s">
        <v>2813</v>
      </c>
      <c r="B184" s="10"/>
      <c r="C184" s="10"/>
      <c r="D184" s="10"/>
      <c r="E184" s="38">
        <f t="shared" si="33"/>
        <v>0</v>
      </c>
      <c r="F184" s="10"/>
      <c r="G184" s="10"/>
      <c r="H184" s="10">
        <v>1300</v>
      </c>
      <c r="I184" s="38">
        <f t="shared" si="27"/>
        <v>1300</v>
      </c>
      <c r="J184" s="10"/>
      <c r="K184" s="10"/>
      <c r="L184" s="10"/>
      <c r="M184" s="38">
        <f t="shared" si="28"/>
        <v>0</v>
      </c>
      <c r="N184" s="10"/>
      <c r="O184" s="10"/>
      <c r="P184" s="10"/>
      <c r="Q184" s="38">
        <f t="shared" si="29"/>
        <v>0</v>
      </c>
      <c r="R184" s="38">
        <f t="shared" si="30"/>
        <v>1300</v>
      </c>
      <c r="S184" s="709" t="s">
        <v>3020</v>
      </c>
      <c r="T184" t="s">
        <v>2760</v>
      </c>
    </row>
    <row r="185" spans="1:20" ht="15.75" hidden="1" customHeight="1" x14ac:dyDescent="0.3">
      <c r="A185" s="539" t="s">
        <v>2820</v>
      </c>
      <c r="B185" s="10"/>
      <c r="C185" s="10"/>
      <c r="D185" s="10"/>
      <c r="E185" s="38">
        <f t="shared" si="33"/>
        <v>0</v>
      </c>
      <c r="F185" s="10"/>
      <c r="G185" s="10"/>
      <c r="H185" s="10"/>
      <c r="I185" s="38">
        <f t="shared" si="27"/>
        <v>0</v>
      </c>
      <c r="J185" s="10"/>
      <c r="K185" s="10"/>
      <c r="L185" s="10"/>
      <c r="M185" s="38">
        <f t="shared" si="28"/>
        <v>0</v>
      </c>
      <c r="N185" s="10"/>
      <c r="O185" s="10"/>
      <c r="P185" s="10"/>
      <c r="Q185" s="38">
        <f t="shared" si="29"/>
        <v>0</v>
      </c>
      <c r="R185" s="38">
        <f t="shared" si="30"/>
        <v>0</v>
      </c>
      <c r="T185" t="s">
        <v>2760</v>
      </c>
    </row>
    <row r="186" spans="1:20" ht="15.75" hidden="1" customHeight="1" x14ac:dyDescent="0.3">
      <c r="A186" s="539" t="s">
        <v>2426</v>
      </c>
      <c r="B186" s="10">
        <f>3568+1+2+26</f>
        <v>3597</v>
      </c>
      <c r="C186" s="10">
        <f>3222+1+2+28</f>
        <v>3253</v>
      </c>
      <c r="D186" s="10">
        <f>3437+2378+1+2+45</f>
        <v>5863</v>
      </c>
      <c r="E186" s="38">
        <f t="shared" si="33"/>
        <v>12713</v>
      </c>
      <c r="F186" s="10">
        <f>7365+2302+1+2+83</f>
        <v>9753</v>
      </c>
      <c r="G186" s="10">
        <f>10348+2378+1+2+105</f>
        <v>12834</v>
      </c>
      <c r="H186" s="10">
        <f>10127+2302+1+2+117</f>
        <v>12549</v>
      </c>
      <c r="I186" s="38">
        <f t="shared" si="27"/>
        <v>35136</v>
      </c>
      <c r="J186" s="10">
        <f>9514+2474+1+3+94</f>
        <v>12086</v>
      </c>
      <c r="K186" s="10">
        <f>8087+2474+1+2</f>
        <v>10564</v>
      </c>
      <c r="L186" s="10">
        <f>5984+2394+1+2</f>
        <v>8381</v>
      </c>
      <c r="M186" s="38">
        <f t="shared" si="28"/>
        <v>31031</v>
      </c>
      <c r="N186" s="10">
        <f>8087+2474+1+2</f>
        <v>10564</v>
      </c>
      <c r="O186" s="10">
        <f>7826+2394+1+2</f>
        <v>10223</v>
      </c>
      <c r="P186" s="10">
        <f>8562+2474+1+2</f>
        <v>11039</v>
      </c>
      <c r="Q186" s="38">
        <f t="shared" si="29"/>
        <v>31826</v>
      </c>
      <c r="R186" s="38">
        <f t="shared" si="30"/>
        <v>110706</v>
      </c>
      <c r="S186" t="s">
        <v>3020</v>
      </c>
    </row>
    <row r="187" spans="1:20" ht="15.75" hidden="1" customHeight="1" x14ac:dyDescent="0.3">
      <c r="A187" s="539" t="s">
        <v>3059</v>
      </c>
      <c r="B187" s="10">
        <v>5000</v>
      </c>
      <c r="C187" s="10">
        <f>5000+465</f>
        <v>5465</v>
      </c>
      <c r="D187" s="10">
        <f>99+555+865</f>
        <v>1519</v>
      </c>
      <c r="E187" s="38">
        <f t="shared" si="33"/>
        <v>11984</v>
      </c>
      <c r="F187" s="10">
        <f>592+864</f>
        <v>1456</v>
      </c>
      <c r="G187" s="10">
        <f>865+507</f>
        <v>1372</v>
      </c>
      <c r="H187" s="10">
        <f>864+395</f>
        <v>1259</v>
      </c>
      <c r="I187" s="38">
        <f t="shared" si="27"/>
        <v>4087</v>
      </c>
      <c r="J187" s="10">
        <f>395+864</f>
        <v>1259</v>
      </c>
      <c r="K187" s="10"/>
      <c r="L187" s="10"/>
      <c r="M187" s="38">
        <f t="shared" si="28"/>
        <v>1259</v>
      </c>
      <c r="N187" s="10"/>
      <c r="O187" s="10"/>
      <c r="P187" s="10"/>
      <c r="Q187" s="38">
        <f t="shared" si="29"/>
        <v>0</v>
      </c>
      <c r="R187" s="38">
        <f>+E187+I187+M187+Q187</f>
        <v>17330</v>
      </c>
      <c r="S187" s="709"/>
      <c r="T187" t="s">
        <v>2760</v>
      </c>
    </row>
    <row r="188" spans="1:20" ht="15.75" hidden="1" customHeight="1" x14ac:dyDescent="0.3">
      <c r="A188" s="539" t="s">
        <v>3398</v>
      </c>
      <c r="B188" s="10">
        <v>45</v>
      </c>
      <c r="C188" s="10">
        <v>50</v>
      </c>
      <c r="D188" s="10">
        <v>50</v>
      </c>
      <c r="E188" s="38">
        <f t="shared" si="33"/>
        <v>145</v>
      </c>
      <c r="F188" s="10">
        <v>55</v>
      </c>
      <c r="G188" s="10">
        <v>55</v>
      </c>
      <c r="H188" s="10">
        <v>55</v>
      </c>
      <c r="I188" s="38">
        <f t="shared" si="27"/>
        <v>165</v>
      </c>
      <c r="J188" s="10">
        <v>65</v>
      </c>
      <c r="K188" s="10">
        <v>65</v>
      </c>
      <c r="L188" s="10">
        <v>50</v>
      </c>
      <c r="M188" s="38">
        <f t="shared" si="28"/>
        <v>180</v>
      </c>
      <c r="N188" s="10">
        <v>50</v>
      </c>
      <c r="O188" s="10">
        <v>50</v>
      </c>
      <c r="P188" s="10">
        <v>50</v>
      </c>
      <c r="Q188" s="38">
        <f t="shared" si="29"/>
        <v>150</v>
      </c>
      <c r="R188" s="38">
        <f t="shared" si="30"/>
        <v>640</v>
      </c>
      <c r="S188" t="s">
        <v>3020</v>
      </c>
      <c r="T188" t="s">
        <v>2760</v>
      </c>
    </row>
    <row r="189" spans="1:20" ht="15.75" hidden="1" customHeight="1" x14ac:dyDescent="0.3">
      <c r="A189" s="569" t="s">
        <v>3425</v>
      </c>
      <c r="B189" s="10"/>
      <c r="C189" s="10"/>
      <c r="D189" s="10"/>
      <c r="E189" s="38">
        <f t="shared" si="33"/>
        <v>0</v>
      </c>
      <c r="F189" s="10"/>
      <c r="G189" s="10"/>
      <c r="H189" s="10"/>
      <c r="I189" s="38">
        <f t="shared" si="27"/>
        <v>0</v>
      </c>
      <c r="J189" s="10"/>
      <c r="K189" s="10">
        <v>900</v>
      </c>
      <c r="L189" s="10">
        <v>900</v>
      </c>
      <c r="M189" s="38">
        <f t="shared" si="28"/>
        <v>1800</v>
      </c>
      <c r="N189" s="10">
        <v>700</v>
      </c>
      <c r="O189" s="10">
        <v>2000</v>
      </c>
      <c r="P189" s="10">
        <v>858</v>
      </c>
      <c r="Q189" s="38">
        <f t="shared" ref="Q189" si="38">SUM(N189:P189)</f>
        <v>3558</v>
      </c>
      <c r="R189" s="38">
        <f t="shared" si="30"/>
        <v>5358</v>
      </c>
    </row>
    <row r="190" spans="1:20" ht="15.75" hidden="1" customHeight="1" x14ac:dyDescent="0.3">
      <c r="A190" s="539" t="s">
        <v>1520</v>
      </c>
      <c r="B190" s="10">
        <v>3283</v>
      </c>
      <c r="C190" s="10"/>
      <c r="D190" s="10"/>
      <c r="E190" s="38">
        <f t="shared" si="33"/>
        <v>3283</v>
      </c>
      <c r="F190" s="10"/>
      <c r="G190" s="10"/>
      <c r="H190" s="10">
        <f>2989+736+119+57</f>
        <v>3901</v>
      </c>
      <c r="I190" s="38">
        <f t="shared" si="27"/>
        <v>3901</v>
      </c>
      <c r="J190" s="10">
        <f>6086+666+115+50</f>
        <v>6917</v>
      </c>
      <c r="K190" s="10">
        <f>5972+381+110+40</f>
        <v>6503</v>
      </c>
      <c r="L190" s="10">
        <f>6272+368+92+30</f>
        <v>6762</v>
      </c>
      <c r="M190" s="38">
        <f t="shared" si="28"/>
        <v>20182</v>
      </c>
      <c r="N190" s="10">
        <f>6147+190+114+58</f>
        <v>6509</v>
      </c>
      <c r="O190" s="10">
        <f>5234+85+28</f>
        <v>5347</v>
      </c>
      <c r="P190" s="10">
        <f>4650+79+18</f>
        <v>4747</v>
      </c>
      <c r="Q190" s="38">
        <f t="shared" si="29"/>
        <v>16603</v>
      </c>
      <c r="R190" s="38">
        <f>+E190+I190+M190+Q190</f>
        <v>43969</v>
      </c>
    </row>
    <row r="191" spans="1:20" ht="15.75" hidden="1" customHeight="1" x14ac:dyDescent="0.3">
      <c r="A191" s="539" t="s">
        <v>3062</v>
      </c>
      <c r="B191" s="10"/>
      <c r="C191" s="10"/>
      <c r="D191" s="10"/>
      <c r="E191" s="38">
        <f t="shared" ref="E191" si="39">SUM(B191:D191)</f>
        <v>0</v>
      </c>
      <c r="F191" s="10"/>
      <c r="G191" s="10"/>
      <c r="H191" s="10">
        <f>138+500</f>
        <v>638</v>
      </c>
      <c r="I191" s="38">
        <f t="shared" si="27"/>
        <v>638</v>
      </c>
      <c r="J191" s="10">
        <f>138+500</f>
        <v>638</v>
      </c>
      <c r="K191" s="10">
        <f>1300+138+500</f>
        <v>1938</v>
      </c>
      <c r="L191" s="10">
        <f>138+500</f>
        <v>638</v>
      </c>
      <c r="M191" s="38">
        <f t="shared" si="28"/>
        <v>3214</v>
      </c>
      <c r="N191" s="10">
        <v>138</v>
      </c>
      <c r="O191" s="10">
        <v>138</v>
      </c>
      <c r="P191" s="10">
        <v>138</v>
      </c>
      <c r="Q191" s="38">
        <f t="shared" si="29"/>
        <v>414</v>
      </c>
      <c r="R191" s="38">
        <f t="shared" si="30"/>
        <v>4266</v>
      </c>
      <c r="S191" t="s">
        <v>3020</v>
      </c>
    </row>
    <row r="192" spans="1:20" ht="15.75" hidden="1" customHeight="1" x14ac:dyDescent="0.3">
      <c r="A192" s="569" t="s">
        <v>2739</v>
      </c>
      <c r="B192" s="10"/>
      <c r="C192" s="10"/>
      <c r="D192" s="10"/>
      <c r="E192" s="38">
        <f t="shared" ref="E192:E197" si="40">SUM(B192:D192)</f>
        <v>0</v>
      </c>
      <c r="F192" s="10"/>
      <c r="G192" s="10"/>
      <c r="H192" s="10"/>
      <c r="I192" s="38">
        <f t="shared" ref="I192:I197" si="41">SUM(F192:H192)</f>
        <v>0</v>
      </c>
      <c r="J192" s="10"/>
      <c r="K192" s="10"/>
      <c r="L192" s="10"/>
      <c r="M192" s="38">
        <f t="shared" ref="M192:M197" si="42">SUM(J192:L192)</f>
        <v>0</v>
      </c>
      <c r="N192" s="10"/>
      <c r="O192" s="10"/>
      <c r="P192" s="10"/>
      <c r="Q192" s="38">
        <f t="shared" si="29"/>
        <v>0</v>
      </c>
      <c r="R192" s="38">
        <f t="shared" si="30"/>
        <v>0</v>
      </c>
      <c r="T192" t="s">
        <v>2769</v>
      </c>
    </row>
    <row r="193" spans="1:20" ht="15.75" hidden="1" customHeight="1" x14ac:dyDescent="0.3">
      <c r="A193" s="569" t="s">
        <v>2740</v>
      </c>
      <c r="B193" s="10"/>
      <c r="C193" s="10"/>
      <c r="D193" s="10"/>
      <c r="E193" s="38">
        <f t="shared" si="40"/>
        <v>0</v>
      </c>
      <c r="F193" s="10"/>
      <c r="G193" s="10"/>
      <c r="H193" s="10"/>
      <c r="I193" s="38">
        <f t="shared" si="41"/>
        <v>0</v>
      </c>
      <c r="J193" s="10"/>
      <c r="K193" s="10"/>
      <c r="L193" s="10"/>
      <c r="M193" s="38">
        <f t="shared" si="42"/>
        <v>0</v>
      </c>
      <c r="N193" s="10"/>
      <c r="O193" s="10"/>
      <c r="P193" s="10"/>
      <c r="Q193" s="38">
        <f t="shared" si="29"/>
        <v>0</v>
      </c>
      <c r="R193" s="38">
        <f>+E193+I193+M193+Q193</f>
        <v>0</v>
      </c>
    </row>
    <row r="194" spans="1:20" ht="15.75" hidden="1" customHeight="1" x14ac:dyDescent="0.3">
      <c r="A194" s="569" t="s">
        <v>3055</v>
      </c>
      <c r="B194" s="10"/>
      <c r="C194" s="10"/>
      <c r="D194" s="10">
        <v>1019</v>
      </c>
      <c r="E194" s="38">
        <f t="shared" si="40"/>
        <v>1019</v>
      </c>
      <c r="F194" s="10">
        <v>1519</v>
      </c>
      <c r="G194" s="10">
        <v>1520</v>
      </c>
      <c r="H194" s="10">
        <v>751</v>
      </c>
      <c r="I194" s="38">
        <f t="shared" si="41"/>
        <v>3790</v>
      </c>
      <c r="J194" s="10">
        <v>500</v>
      </c>
      <c r="K194" s="10">
        <v>400</v>
      </c>
      <c r="L194" s="10">
        <v>450</v>
      </c>
      <c r="M194" s="38">
        <f t="shared" si="42"/>
        <v>1350</v>
      </c>
      <c r="N194" s="10">
        <v>450</v>
      </c>
      <c r="O194" s="10">
        <v>450</v>
      </c>
      <c r="P194" s="10"/>
      <c r="Q194" s="38">
        <f t="shared" si="29"/>
        <v>900</v>
      </c>
      <c r="R194" s="38">
        <f t="shared" si="30"/>
        <v>7059</v>
      </c>
    </row>
    <row r="195" spans="1:20" ht="15.75" hidden="1" customHeight="1" x14ac:dyDescent="0.3">
      <c r="A195" s="539" t="s">
        <v>2821</v>
      </c>
      <c r="B195" s="10">
        <v>122</v>
      </c>
      <c r="C195" s="10">
        <v>300</v>
      </c>
      <c r="D195" s="10">
        <v>350</v>
      </c>
      <c r="E195" s="38">
        <f t="shared" si="40"/>
        <v>772</v>
      </c>
      <c r="F195" s="10">
        <v>350</v>
      </c>
      <c r="G195" s="10">
        <v>400</v>
      </c>
      <c r="H195" s="10">
        <v>450</v>
      </c>
      <c r="I195" s="38">
        <f t="shared" si="41"/>
        <v>1200</v>
      </c>
      <c r="J195" s="10">
        <v>493</v>
      </c>
      <c r="K195" s="10">
        <v>500</v>
      </c>
      <c r="L195" s="10">
        <v>400</v>
      </c>
      <c r="M195" s="38">
        <f t="shared" si="42"/>
        <v>1393</v>
      </c>
      <c r="N195" s="10">
        <v>400</v>
      </c>
      <c r="O195" s="10">
        <v>300</v>
      </c>
      <c r="P195" s="10">
        <v>250</v>
      </c>
      <c r="Q195" s="38">
        <f t="shared" si="29"/>
        <v>950</v>
      </c>
      <c r="R195" s="38">
        <f>+E195+I195+M195+Q195</f>
        <v>4315</v>
      </c>
      <c r="S195" t="s">
        <v>3020</v>
      </c>
      <c r="T195" t="s">
        <v>2760</v>
      </c>
    </row>
    <row r="196" spans="1:20" ht="15.75" hidden="1" customHeight="1" x14ac:dyDescent="0.3">
      <c r="A196" s="539" t="s">
        <v>1574</v>
      </c>
      <c r="B196" s="10">
        <v>3</v>
      </c>
      <c r="C196" s="10">
        <v>3</v>
      </c>
      <c r="D196" s="10">
        <v>3</v>
      </c>
      <c r="E196" s="38">
        <f t="shared" si="40"/>
        <v>9</v>
      </c>
      <c r="F196" s="10">
        <v>5</v>
      </c>
      <c r="G196" s="10">
        <v>5</v>
      </c>
      <c r="H196" s="10">
        <v>5</v>
      </c>
      <c r="I196" s="38">
        <f t="shared" si="41"/>
        <v>15</v>
      </c>
      <c r="J196" s="10">
        <v>4</v>
      </c>
      <c r="K196" s="10">
        <v>4</v>
      </c>
      <c r="L196" s="10">
        <v>3</v>
      </c>
      <c r="M196" s="38">
        <f t="shared" si="42"/>
        <v>11</v>
      </c>
      <c r="N196" s="10">
        <v>3</v>
      </c>
      <c r="O196" s="10">
        <v>3</v>
      </c>
      <c r="P196" s="10">
        <v>3</v>
      </c>
      <c r="Q196" s="38">
        <f t="shared" si="29"/>
        <v>9</v>
      </c>
      <c r="R196" s="38">
        <f>+E196+I196+M196+Q196</f>
        <v>44</v>
      </c>
      <c r="S196">
        <f>SUM(R142:R196)</f>
        <v>312616</v>
      </c>
    </row>
    <row r="197" spans="1:20" ht="15.75" hidden="1" customHeight="1" x14ac:dyDescent="0.3">
      <c r="A197" s="539" t="s">
        <v>3008</v>
      </c>
      <c r="B197" s="10"/>
      <c r="C197" s="10"/>
      <c r="D197" s="10"/>
      <c r="E197" s="38">
        <f t="shared" si="40"/>
        <v>0</v>
      </c>
      <c r="F197" s="10"/>
      <c r="G197" s="10"/>
      <c r="H197" s="10"/>
      <c r="I197" s="38">
        <f t="shared" si="41"/>
        <v>0</v>
      </c>
      <c r="J197" s="10"/>
      <c r="K197" s="10"/>
      <c r="L197" s="10"/>
      <c r="M197" s="38">
        <f t="shared" si="42"/>
        <v>0</v>
      </c>
      <c r="N197" s="10"/>
      <c r="O197" s="10"/>
      <c r="P197" s="10"/>
      <c r="Q197" s="38">
        <f t="shared" si="29"/>
        <v>0</v>
      </c>
      <c r="R197" s="38">
        <f>+E197+I197+M197+Q197</f>
        <v>0</v>
      </c>
      <c r="S197" s="709" t="s">
        <v>3020</v>
      </c>
      <c r="T197" t="s">
        <v>2760</v>
      </c>
    </row>
    <row r="198" spans="1:20" ht="15.75" hidden="1" customHeight="1" x14ac:dyDescent="0.3">
      <c r="A198" s="234" t="s">
        <v>2161</v>
      </c>
      <c r="B198" s="10"/>
      <c r="C198" s="10"/>
      <c r="D198" s="10"/>
      <c r="E198" s="38" t="s">
        <v>852</v>
      </c>
      <c r="F198" s="10"/>
      <c r="G198" s="10"/>
      <c r="H198" s="10"/>
      <c r="I198" s="38" t="s">
        <v>852</v>
      </c>
      <c r="J198" s="10"/>
      <c r="K198" s="10"/>
      <c r="L198" s="10"/>
      <c r="M198" s="38" t="s">
        <v>852</v>
      </c>
      <c r="N198" s="10"/>
      <c r="O198" s="10"/>
      <c r="P198" s="10"/>
      <c r="Q198" s="38" t="s">
        <v>852</v>
      </c>
      <c r="R198" s="38" t="s">
        <v>852</v>
      </c>
    </row>
    <row r="199" spans="1:20" ht="15.75" hidden="1" customHeight="1" x14ac:dyDescent="0.3">
      <c r="A199" s="539" t="s">
        <v>2515</v>
      </c>
      <c r="B199" s="10"/>
      <c r="C199" s="10"/>
      <c r="D199" s="10"/>
      <c r="E199" s="38">
        <f t="shared" ref="E199:E208" si="43">SUM(B199:D199)</f>
        <v>0</v>
      </c>
      <c r="F199" s="10"/>
      <c r="G199" s="10"/>
      <c r="H199" s="10"/>
      <c r="I199" s="38">
        <f t="shared" ref="I199:I208" si="44">SUM(F199:H199)</f>
        <v>0</v>
      </c>
      <c r="J199" s="10"/>
      <c r="K199" s="10"/>
      <c r="L199" s="10"/>
      <c r="M199" s="38">
        <f t="shared" ref="M199:M208" si="45">SUM(J199:L199)</f>
        <v>0</v>
      </c>
      <c r="N199" s="10"/>
      <c r="O199" s="10"/>
      <c r="P199" s="10"/>
      <c r="Q199" s="38">
        <f t="shared" ref="Q199:Q208" si="46">SUM(N199:P199)</f>
        <v>0</v>
      </c>
      <c r="R199" s="38">
        <f t="shared" ref="R199:R208" si="47">+E199+I199+M199+Q199</f>
        <v>0</v>
      </c>
    </row>
    <row r="200" spans="1:20" ht="15.75" hidden="1" customHeight="1" x14ac:dyDescent="0.3">
      <c r="A200" s="310" t="s">
        <v>2368</v>
      </c>
      <c r="B200" s="10"/>
      <c r="C200" s="10"/>
      <c r="D200" s="10"/>
      <c r="E200" s="38">
        <f>SUM(B200:D200)</f>
        <v>0</v>
      </c>
      <c r="F200" s="10"/>
      <c r="G200" s="10"/>
      <c r="H200" s="10"/>
      <c r="I200" s="38">
        <f>SUM(F200:H200)</f>
        <v>0</v>
      </c>
      <c r="J200" s="10"/>
      <c r="K200" s="10"/>
      <c r="L200" s="10"/>
      <c r="M200" s="38">
        <f>SUM(J200:L200)</f>
        <v>0</v>
      </c>
      <c r="N200" s="10"/>
      <c r="O200" s="10"/>
      <c r="P200" s="10"/>
      <c r="Q200" s="38">
        <f>SUM(N200:P200)</f>
        <v>0</v>
      </c>
      <c r="R200" s="38">
        <f>+E200+I200+M200+Q200</f>
        <v>0</v>
      </c>
      <c r="T200" t="s">
        <v>1193</v>
      </c>
    </row>
    <row r="201" spans="1:20" ht="15.75" hidden="1" customHeight="1" x14ac:dyDescent="0.3">
      <c r="A201" s="310" t="s">
        <v>1747</v>
      </c>
      <c r="B201" s="10"/>
      <c r="C201" s="10"/>
      <c r="D201" s="10"/>
      <c r="E201" s="38">
        <f t="shared" si="43"/>
        <v>0</v>
      </c>
      <c r="F201" s="10"/>
      <c r="G201" s="10"/>
      <c r="H201" s="10"/>
      <c r="I201" s="38">
        <f t="shared" si="44"/>
        <v>0</v>
      </c>
      <c r="J201" s="10"/>
      <c r="K201" s="10"/>
      <c r="L201" s="10"/>
      <c r="M201" s="38">
        <f t="shared" si="45"/>
        <v>0</v>
      </c>
      <c r="N201" s="10"/>
      <c r="O201" s="10"/>
      <c r="P201" s="10"/>
      <c r="Q201" s="38">
        <f t="shared" si="46"/>
        <v>0</v>
      </c>
      <c r="R201" s="38">
        <f t="shared" si="47"/>
        <v>0</v>
      </c>
    </row>
    <row r="202" spans="1:20" ht="15.75" hidden="1" customHeight="1" x14ac:dyDescent="0.3">
      <c r="A202" s="539" t="s">
        <v>2822</v>
      </c>
      <c r="B202" s="10"/>
      <c r="C202" s="10"/>
      <c r="D202" s="10"/>
      <c r="E202" s="38">
        <f t="shared" si="43"/>
        <v>0</v>
      </c>
      <c r="F202" s="10"/>
      <c r="G202" s="10"/>
      <c r="H202" s="10"/>
      <c r="I202" s="38">
        <f t="shared" si="44"/>
        <v>0</v>
      </c>
      <c r="J202" s="10"/>
      <c r="K202" s="10"/>
      <c r="L202" s="10"/>
      <c r="M202" s="38">
        <f t="shared" si="45"/>
        <v>0</v>
      </c>
      <c r="N202" s="10"/>
      <c r="O202" s="10"/>
      <c r="P202" s="10"/>
      <c r="Q202" s="38">
        <f t="shared" si="46"/>
        <v>0</v>
      </c>
      <c r="R202" s="38">
        <f t="shared" si="47"/>
        <v>0</v>
      </c>
      <c r="T202" t="s">
        <v>2760</v>
      </c>
    </row>
    <row r="203" spans="1:20" ht="15.75" hidden="1" customHeight="1" x14ac:dyDescent="0.3">
      <c r="A203" s="310" t="s">
        <v>1824</v>
      </c>
      <c r="B203" s="10"/>
      <c r="C203" s="10"/>
      <c r="D203" s="10"/>
      <c r="E203" s="38">
        <f t="shared" si="43"/>
        <v>0</v>
      </c>
      <c r="F203" s="10"/>
      <c r="G203" s="10"/>
      <c r="H203" s="10"/>
      <c r="I203" s="38">
        <f t="shared" si="44"/>
        <v>0</v>
      </c>
      <c r="J203" s="10"/>
      <c r="K203" s="10"/>
      <c r="L203" s="10"/>
      <c r="M203" s="38">
        <f t="shared" si="45"/>
        <v>0</v>
      </c>
      <c r="N203" s="10"/>
      <c r="O203" s="10"/>
      <c r="P203" s="10"/>
      <c r="Q203" s="38">
        <f t="shared" si="46"/>
        <v>0</v>
      </c>
      <c r="R203" s="38">
        <f t="shared" si="47"/>
        <v>0</v>
      </c>
    </row>
    <row r="204" spans="1:20" ht="15.75" hidden="1" customHeight="1" x14ac:dyDescent="0.3">
      <c r="A204" s="310" t="s">
        <v>1746</v>
      </c>
      <c r="B204" s="10"/>
      <c r="C204" s="10"/>
      <c r="D204" s="10"/>
      <c r="E204" s="38">
        <f t="shared" si="43"/>
        <v>0</v>
      </c>
      <c r="F204" s="10"/>
      <c r="G204" s="10"/>
      <c r="H204" s="10"/>
      <c r="I204" s="38">
        <f t="shared" si="44"/>
        <v>0</v>
      </c>
      <c r="J204" s="10"/>
      <c r="K204" s="10"/>
      <c r="L204" s="10"/>
      <c r="M204" s="38">
        <f t="shared" si="45"/>
        <v>0</v>
      </c>
      <c r="N204" s="10"/>
      <c r="O204" s="10"/>
      <c r="P204" s="10"/>
      <c r="Q204" s="38">
        <f t="shared" si="46"/>
        <v>0</v>
      </c>
      <c r="R204" s="38">
        <f t="shared" si="47"/>
        <v>0</v>
      </c>
    </row>
    <row r="205" spans="1:20" ht="15.75" hidden="1" customHeight="1" x14ac:dyDescent="0.3">
      <c r="A205" s="317" t="s">
        <v>1546</v>
      </c>
      <c r="B205" s="10"/>
      <c r="C205" s="10"/>
      <c r="D205" s="10"/>
      <c r="E205" s="38">
        <f t="shared" si="43"/>
        <v>0</v>
      </c>
      <c r="F205" s="10"/>
      <c r="G205" s="10"/>
      <c r="H205" s="10"/>
      <c r="I205" s="38">
        <f t="shared" si="44"/>
        <v>0</v>
      </c>
      <c r="J205" s="10"/>
      <c r="K205" s="10"/>
      <c r="L205" s="10"/>
      <c r="M205" s="38">
        <f t="shared" si="45"/>
        <v>0</v>
      </c>
      <c r="N205" s="10"/>
      <c r="O205" s="10"/>
      <c r="P205" s="10"/>
      <c r="Q205" s="38">
        <f t="shared" si="46"/>
        <v>0</v>
      </c>
      <c r="R205" s="38">
        <f t="shared" si="47"/>
        <v>0</v>
      </c>
      <c r="T205" t="s">
        <v>2764</v>
      </c>
    </row>
    <row r="206" spans="1:20" ht="15.75" hidden="1" customHeight="1" x14ac:dyDescent="0.3">
      <c r="A206" s="539" t="s">
        <v>2823</v>
      </c>
      <c r="B206" s="10"/>
      <c r="C206" s="10"/>
      <c r="D206" s="10"/>
      <c r="E206" s="38">
        <f t="shared" si="43"/>
        <v>0</v>
      </c>
      <c r="F206" s="10"/>
      <c r="G206" s="10"/>
      <c r="H206" s="10"/>
      <c r="I206" s="38">
        <f t="shared" si="44"/>
        <v>0</v>
      </c>
      <c r="J206" s="10"/>
      <c r="K206" s="10"/>
      <c r="L206" s="10"/>
      <c r="M206" s="38">
        <f t="shared" si="45"/>
        <v>0</v>
      </c>
      <c r="N206" s="10"/>
      <c r="O206" s="10"/>
      <c r="P206" s="10"/>
      <c r="Q206" s="38">
        <f t="shared" si="46"/>
        <v>0</v>
      </c>
      <c r="R206" s="38">
        <f t="shared" si="47"/>
        <v>0</v>
      </c>
      <c r="T206" t="s">
        <v>2760</v>
      </c>
    </row>
    <row r="207" spans="1:20" ht="15.75" hidden="1" customHeight="1" x14ac:dyDescent="0.3">
      <c r="A207" s="539" t="s">
        <v>2815</v>
      </c>
      <c r="B207" s="10"/>
      <c r="C207" s="10"/>
      <c r="D207" s="10"/>
      <c r="E207" s="38">
        <f t="shared" si="43"/>
        <v>0</v>
      </c>
      <c r="F207" s="10"/>
      <c r="G207" s="10"/>
      <c r="H207" s="10"/>
      <c r="I207" s="38">
        <f t="shared" si="44"/>
        <v>0</v>
      </c>
      <c r="J207" s="10"/>
      <c r="K207" s="10"/>
      <c r="L207" s="10"/>
      <c r="M207" s="38">
        <f t="shared" si="45"/>
        <v>0</v>
      </c>
      <c r="N207" s="10"/>
      <c r="O207" s="10"/>
      <c r="P207" s="10"/>
      <c r="Q207" s="38">
        <f t="shared" si="46"/>
        <v>0</v>
      </c>
      <c r="R207" s="38">
        <f t="shared" si="47"/>
        <v>0</v>
      </c>
      <c r="T207" t="s">
        <v>2631</v>
      </c>
    </row>
    <row r="208" spans="1:20" ht="15.75" hidden="1" customHeight="1" x14ac:dyDescent="0.3">
      <c r="A208" s="317" t="s">
        <v>5</v>
      </c>
      <c r="B208" s="10"/>
      <c r="C208" s="10"/>
      <c r="D208" s="10"/>
      <c r="E208" s="38">
        <f t="shared" si="43"/>
        <v>0</v>
      </c>
      <c r="F208" s="10"/>
      <c r="G208" s="10"/>
      <c r="H208" s="10"/>
      <c r="I208" s="38">
        <f t="shared" si="44"/>
        <v>0</v>
      </c>
      <c r="J208" s="10"/>
      <c r="K208" s="10"/>
      <c r="L208" s="10"/>
      <c r="M208" s="38">
        <f t="shared" si="45"/>
        <v>0</v>
      </c>
      <c r="N208" s="10"/>
      <c r="O208" s="10"/>
      <c r="P208" s="10"/>
      <c r="Q208" s="38">
        <f t="shared" si="46"/>
        <v>0</v>
      </c>
      <c r="R208" s="38">
        <f t="shared" si="47"/>
        <v>0</v>
      </c>
    </row>
    <row r="209" spans="1:20" ht="15.75" hidden="1" customHeight="1" x14ac:dyDescent="0.3">
      <c r="A209" s="234" t="s">
        <v>3245</v>
      </c>
      <c r="B209" s="10"/>
      <c r="C209" s="10"/>
      <c r="D209" s="10"/>
      <c r="E209" s="38" t="s">
        <v>852</v>
      </c>
      <c r="F209" s="10"/>
      <c r="G209" s="10"/>
      <c r="H209" s="10"/>
      <c r="I209" s="38" t="s">
        <v>852</v>
      </c>
      <c r="J209" s="10"/>
      <c r="K209" s="10"/>
      <c r="L209" s="10"/>
      <c r="M209" s="38" t="s">
        <v>852</v>
      </c>
      <c r="N209" s="10"/>
      <c r="O209" s="10"/>
      <c r="P209" s="10"/>
      <c r="Q209" s="38" t="s">
        <v>852</v>
      </c>
      <c r="R209" s="38" t="s">
        <v>852</v>
      </c>
    </row>
    <row r="210" spans="1:20" ht="15.75" hidden="1" customHeight="1" x14ac:dyDescent="0.3">
      <c r="A210" s="568" t="s">
        <v>3249</v>
      </c>
      <c r="B210" s="10"/>
      <c r="C210" s="10"/>
      <c r="D210" s="10"/>
      <c r="E210" s="38">
        <f>SUM(B210:D210)</f>
        <v>0</v>
      </c>
      <c r="F210" s="10"/>
      <c r="G210" s="10"/>
      <c r="H210" s="10"/>
      <c r="I210" s="38">
        <f>SUM(F210:H210)</f>
        <v>0</v>
      </c>
      <c r="J210" s="10"/>
      <c r="K210" s="10"/>
      <c r="L210" s="10"/>
      <c r="M210" s="38">
        <f>SUM(J210:L210)</f>
        <v>0</v>
      </c>
      <c r="N210" s="10"/>
      <c r="O210" s="10"/>
      <c r="P210" s="10"/>
      <c r="Q210" s="38">
        <f>SUM(N210:P210)</f>
        <v>0</v>
      </c>
      <c r="R210" s="38">
        <f>+E210+I210+M210+Q210</f>
        <v>0</v>
      </c>
      <c r="S210" s="735" t="s">
        <v>3214</v>
      </c>
      <c r="T210" t="s">
        <v>2769</v>
      </c>
    </row>
    <row r="211" spans="1:20" ht="15.75" hidden="1" customHeight="1" x14ac:dyDescent="0.3">
      <c r="A211" s="568" t="s">
        <v>3250</v>
      </c>
      <c r="B211" s="10"/>
      <c r="C211" s="10"/>
      <c r="D211" s="10"/>
      <c r="E211" s="38">
        <f>SUM(B211:D211)</f>
        <v>0</v>
      </c>
      <c r="F211" s="10"/>
      <c r="G211" s="10"/>
      <c r="H211" s="10"/>
      <c r="I211" s="38">
        <f>SUM(F211:H211)</f>
        <v>0</v>
      </c>
      <c r="J211" s="10"/>
      <c r="K211" s="10"/>
      <c r="L211" s="10"/>
      <c r="M211" s="38">
        <f>SUM(J211:L211)</f>
        <v>0</v>
      </c>
      <c r="N211" s="10"/>
      <c r="O211" s="10"/>
      <c r="P211" s="10"/>
      <c r="Q211" s="38">
        <f>SUM(N211:P211)</f>
        <v>0</v>
      </c>
      <c r="R211" s="38">
        <f>+E211+I211+M211+Q211</f>
        <v>0</v>
      </c>
      <c r="S211" s="735" t="s">
        <v>3214</v>
      </c>
      <c r="T211" t="s">
        <v>2770</v>
      </c>
    </row>
    <row r="212" spans="1:20" ht="15.75" hidden="1" customHeight="1" x14ac:dyDescent="0.3">
      <c r="A212" s="422" t="s">
        <v>3251</v>
      </c>
      <c r="B212" s="10"/>
      <c r="C212" s="10"/>
      <c r="D212" s="10"/>
      <c r="E212" s="38">
        <f>SUM(B212:D212)</f>
        <v>0</v>
      </c>
      <c r="F212" s="10"/>
      <c r="G212" s="10"/>
      <c r="H212" s="10"/>
      <c r="I212" s="38">
        <f>SUM(F212:H212)</f>
        <v>0</v>
      </c>
      <c r="J212" s="10"/>
      <c r="K212" s="10"/>
      <c r="L212" s="10"/>
      <c r="M212" s="38">
        <f>SUM(J212:L212)</f>
        <v>0</v>
      </c>
      <c r="N212" s="10"/>
      <c r="O212" s="10"/>
      <c r="P212" s="10"/>
      <c r="Q212" s="38">
        <f>SUM(N212:P212)</f>
        <v>0</v>
      </c>
      <c r="R212" s="38">
        <f>+E212+I212+M212+Q212</f>
        <v>0</v>
      </c>
      <c r="S212" s="735" t="s">
        <v>3214</v>
      </c>
      <c r="T212" t="s">
        <v>2793</v>
      </c>
    </row>
    <row r="213" spans="1:20" ht="15.75" hidden="1" customHeight="1" thickBot="1" x14ac:dyDescent="0.35">
      <c r="A213" s="234" t="s">
        <v>2164</v>
      </c>
      <c r="B213" s="10"/>
      <c r="C213" s="10"/>
      <c r="D213" s="10"/>
      <c r="E213" s="38" t="s">
        <v>852</v>
      </c>
      <c r="F213" s="10"/>
      <c r="G213" s="10"/>
      <c r="H213" s="10"/>
      <c r="I213" s="38" t="s">
        <v>852</v>
      </c>
      <c r="J213" s="10"/>
      <c r="K213" s="10"/>
      <c r="L213" s="10"/>
      <c r="M213" s="38" t="s">
        <v>852</v>
      </c>
      <c r="N213" s="10"/>
      <c r="O213" s="10"/>
      <c r="P213" s="10"/>
      <c r="Q213" s="38" t="s">
        <v>852</v>
      </c>
      <c r="R213" s="38" t="s">
        <v>852</v>
      </c>
    </row>
    <row r="214" spans="1:20" ht="16.5" hidden="1" customHeight="1" thickBot="1" x14ac:dyDescent="0.35">
      <c r="A214" s="43" t="s">
        <v>1218</v>
      </c>
      <c r="B214" s="45">
        <f>SUM(B140:B213)</f>
        <v>17413</v>
      </c>
      <c r="C214" s="46">
        <f>SUM(C140:C213)</f>
        <v>15355</v>
      </c>
      <c r="D214" s="46">
        <f>SUM(D140:D213)</f>
        <v>15018</v>
      </c>
      <c r="E214" s="37">
        <f>SUM(B214:D214)</f>
        <v>47786</v>
      </c>
      <c r="F214" s="46">
        <f>SUM(F140:F213)</f>
        <v>21997</v>
      </c>
      <c r="G214" s="46">
        <f t="shared" ref="G214:H214" si="48">SUM(G140:G213)</f>
        <v>33558</v>
      </c>
      <c r="H214" s="46">
        <f t="shared" si="48"/>
        <v>38534</v>
      </c>
      <c r="I214" s="37">
        <f>SUM(F214:H214)</f>
        <v>94089</v>
      </c>
      <c r="J214" s="46">
        <f>SUM(J140:J213)</f>
        <v>35936</v>
      </c>
      <c r="K214" s="46">
        <f>SUM(K140:K213)</f>
        <v>34952</v>
      </c>
      <c r="L214" s="46">
        <f>SUM(L140:L213)</f>
        <v>27598</v>
      </c>
      <c r="M214" s="37">
        <f>SUM(J214:L214)</f>
        <v>98486</v>
      </c>
      <c r="N214" s="46">
        <f>SUM(N140:N213)</f>
        <v>26954</v>
      </c>
      <c r="O214" s="46">
        <f>SUM(O140:O213)</f>
        <v>24149</v>
      </c>
      <c r="P214" s="46">
        <f>SUM(P140:P213)</f>
        <v>21152</v>
      </c>
      <c r="Q214" s="37">
        <f>SUM(N214:P214)</f>
        <v>72255</v>
      </c>
      <c r="R214" s="37">
        <f>+E214+I214+M214+Q214</f>
        <v>312616</v>
      </c>
    </row>
    <row r="215" spans="1:20" ht="15.75" hidden="1" customHeight="1" x14ac:dyDescent="0.3">
      <c r="A215" s="234" t="s">
        <v>1172</v>
      </c>
      <c r="B215" s="10"/>
      <c r="C215" s="10"/>
      <c r="D215" s="10"/>
      <c r="E215" s="38" t="s">
        <v>852</v>
      </c>
      <c r="F215" s="10"/>
      <c r="G215" s="10"/>
      <c r="H215" s="10"/>
      <c r="I215" s="38" t="s">
        <v>852</v>
      </c>
      <c r="J215" s="10"/>
      <c r="K215" s="10"/>
      <c r="L215" s="10"/>
      <c r="M215" s="38" t="s">
        <v>852</v>
      </c>
      <c r="N215" s="10"/>
      <c r="O215" s="10"/>
      <c r="P215" s="10"/>
      <c r="Q215" s="38" t="s">
        <v>852</v>
      </c>
      <c r="R215" s="38" t="s">
        <v>852</v>
      </c>
    </row>
    <row r="216" spans="1:20" ht="15.75" hidden="1" customHeight="1" x14ac:dyDescent="0.3">
      <c r="A216" s="234" t="s">
        <v>1658</v>
      </c>
      <c r="B216" s="10"/>
      <c r="C216" s="10"/>
      <c r="D216" s="10"/>
      <c r="E216" s="38" t="s">
        <v>852</v>
      </c>
      <c r="F216" s="10"/>
      <c r="G216" s="10"/>
      <c r="H216" s="10"/>
      <c r="I216" s="38" t="s">
        <v>852</v>
      </c>
      <c r="J216" s="10"/>
      <c r="K216" s="10"/>
      <c r="L216" s="10"/>
      <c r="M216" s="38" t="s">
        <v>852</v>
      </c>
      <c r="N216" s="10"/>
      <c r="O216" s="10"/>
      <c r="P216" s="10"/>
      <c r="Q216" s="38" t="s">
        <v>852</v>
      </c>
      <c r="R216" s="38" t="s">
        <v>852</v>
      </c>
    </row>
    <row r="217" spans="1:20" ht="15.75" hidden="1" customHeight="1" x14ac:dyDescent="0.3">
      <c r="A217" s="234" t="s">
        <v>2409</v>
      </c>
      <c r="B217" s="10"/>
      <c r="C217" s="10"/>
      <c r="D217" s="10"/>
      <c r="E217" s="38" t="s">
        <v>852</v>
      </c>
      <c r="F217" s="10"/>
      <c r="G217" s="10"/>
      <c r="H217" s="10"/>
      <c r="I217" s="38" t="s">
        <v>852</v>
      </c>
      <c r="J217" s="10"/>
      <c r="K217" s="10"/>
      <c r="L217" s="10"/>
      <c r="M217" s="38" t="s">
        <v>852</v>
      </c>
      <c r="N217" s="10"/>
      <c r="O217" s="10"/>
      <c r="P217" s="10"/>
      <c r="Q217" s="38" t="s">
        <v>852</v>
      </c>
      <c r="R217" s="38" t="s">
        <v>852</v>
      </c>
    </row>
    <row r="218" spans="1:20" ht="15.75" hidden="1" customHeight="1" x14ac:dyDescent="0.3">
      <c r="A218" s="568" t="s">
        <v>1645</v>
      </c>
      <c r="B218" s="10"/>
      <c r="C218" s="10"/>
      <c r="D218" s="10"/>
      <c r="E218" s="38">
        <f>SUM(B218:D218)</f>
        <v>0</v>
      </c>
      <c r="F218" s="10"/>
      <c r="G218" s="10"/>
      <c r="H218" s="10"/>
      <c r="I218" s="38">
        <f>SUM(F218:H218)</f>
        <v>0</v>
      </c>
      <c r="J218" s="10"/>
      <c r="K218" s="10"/>
      <c r="L218" s="10"/>
      <c r="M218" s="38">
        <f>SUM(J218:L218)</f>
        <v>0</v>
      </c>
      <c r="N218" s="10"/>
      <c r="O218" s="10"/>
      <c r="P218" s="10"/>
      <c r="Q218" s="38">
        <f>SUM(N218:P218)</f>
        <v>0</v>
      </c>
      <c r="R218" s="38">
        <f>+E218+I218+M218+Q218</f>
        <v>0</v>
      </c>
      <c r="T218" t="s">
        <v>2764</v>
      </c>
    </row>
    <row r="219" spans="1:20" ht="15.75" hidden="1" customHeight="1" x14ac:dyDescent="0.3">
      <c r="A219" s="410" t="s">
        <v>2824</v>
      </c>
      <c r="B219" s="10"/>
      <c r="C219" s="10"/>
      <c r="D219" s="10"/>
      <c r="E219" s="38">
        <f>SUM(B219:D219)</f>
        <v>0</v>
      </c>
      <c r="F219" s="10"/>
      <c r="G219" s="10"/>
      <c r="H219" s="10"/>
      <c r="I219" s="38">
        <f>SUM(F219:H219)</f>
        <v>0</v>
      </c>
      <c r="J219" s="10"/>
      <c r="K219" s="10"/>
      <c r="L219" s="10"/>
      <c r="M219" s="38">
        <f>SUM(J219:L219)</f>
        <v>0</v>
      </c>
      <c r="N219" s="10"/>
      <c r="O219" s="10"/>
      <c r="P219" s="10"/>
      <c r="Q219" s="38">
        <f>SUM(N219:P219)</f>
        <v>0</v>
      </c>
      <c r="R219" s="38">
        <f>+E219+I219+M219+Q219</f>
        <v>0</v>
      </c>
      <c r="S219" t="s">
        <v>3020</v>
      </c>
      <c r="T219" t="s">
        <v>2760</v>
      </c>
    </row>
    <row r="220" spans="1:20" ht="15.75" hidden="1" customHeight="1" thickBot="1" x14ac:dyDescent="0.35">
      <c r="A220" s="234" t="s">
        <v>2165</v>
      </c>
      <c r="B220" s="10"/>
      <c r="C220" s="10"/>
      <c r="D220" s="10"/>
      <c r="E220" s="38" t="s">
        <v>852</v>
      </c>
      <c r="F220" s="10"/>
      <c r="G220" s="10"/>
      <c r="H220" s="10"/>
      <c r="I220" s="38" t="s">
        <v>852</v>
      </c>
      <c r="J220" s="10"/>
      <c r="K220" s="10"/>
      <c r="L220" s="10"/>
      <c r="M220" s="38" t="s">
        <v>852</v>
      </c>
      <c r="N220" s="10"/>
      <c r="O220" s="10"/>
      <c r="P220" s="10"/>
      <c r="Q220" s="38" t="s">
        <v>852</v>
      </c>
      <c r="R220" s="38" t="s">
        <v>852</v>
      </c>
    </row>
    <row r="221" spans="1:20" ht="16.5" hidden="1" customHeight="1" thickBot="1" x14ac:dyDescent="0.35">
      <c r="A221" s="43" t="s">
        <v>1219</v>
      </c>
      <c r="B221" s="45">
        <f>SUM(B215:B220)</f>
        <v>0</v>
      </c>
      <c r="C221" s="46">
        <f>SUM(C215:C220)</f>
        <v>0</v>
      </c>
      <c r="D221" s="46">
        <f>SUM(D215:D220)</f>
        <v>0</v>
      </c>
      <c r="E221" s="37">
        <f>SUM(B221:D221)</f>
        <v>0</v>
      </c>
      <c r="F221" s="46"/>
      <c r="G221" s="46"/>
      <c r="H221" s="46"/>
      <c r="I221" s="37">
        <f>SUM(F221:H221)</f>
        <v>0</v>
      </c>
      <c r="J221" s="46">
        <f>SUM(J215:J220)</f>
        <v>0</v>
      </c>
      <c r="K221" s="46">
        <f>SUM(K215:K220)</f>
        <v>0</v>
      </c>
      <c r="L221" s="46">
        <f>SUM(L215:L220)</f>
        <v>0</v>
      </c>
      <c r="M221" s="37">
        <f>SUM(J221:L221)</f>
        <v>0</v>
      </c>
      <c r="N221" s="46">
        <f>SUM(N215:N220)</f>
        <v>0</v>
      </c>
      <c r="O221" s="46">
        <f>SUM(O215:O220)</f>
        <v>0</v>
      </c>
      <c r="P221" s="46">
        <f>SUM(P215:P220)</f>
        <v>0</v>
      </c>
      <c r="Q221" s="37">
        <f>SUM(N221:P221)</f>
        <v>0</v>
      </c>
      <c r="R221" s="37">
        <f>+E221+I221+M221+Q221</f>
        <v>0</v>
      </c>
    </row>
    <row r="222" spans="1:20" ht="15.75" hidden="1" customHeight="1" x14ac:dyDescent="0.3">
      <c r="A222" s="234" t="s">
        <v>2166</v>
      </c>
      <c r="B222" s="10"/>
      <c r="C222" s="10"/>
      <c r="D222" s="10"/>
      <c r="E222" s="38" t="s">
        <v>852</v>
      </c>
      <c r="F222" s="10"/>
      <c r="G222" s="10"/>
      <c r="H222" s="10"/>
      <c r="I222" s="38" t="s">
        <v>852</v>
      </c>
      <c r="J222" s="10"/>
      <c r="K222" s="10"/>
      <c r="L222" s="10"/>
      <c r="M222" s="38" t="s">
        <v>852</v>
      </c>
      <c r="N222" s="10"/>
      <c r="O222" s="10"/>
      <c r="P222" s="10"/>
      <c r="Q222" s="38" t="s">
        <v>852</v>
      </c>
      <c r="R222" s="38" t="s">
        <v>852</v>
      </c>
    </row>
    <row r="223" spans="1:20" ht="15.75" hidden="1" customHeight="1" x14ac:dyDescent="0.3">
      <c r="A223" s="234" t="s">
        <v>1245</v>
      </c>
      <c r="B223" s="10"/>
      <c r="C223" s="10"/>
      <c r="D223" s="10"/>
      <c r="E223" s="38" t="s">
        <v>852</v>
      </c>
      <c r="F223" s="10"/>
      <c r="G223" s="10"/>
      <c r="H223" s="10"/>
      <c r="I223" s="38" t="s">
        <v>852</v>
      </c>
      <c r="J223" s="10"/>
      <c r="K223" s="10"/>
      <c r="L223" s="10"/>
      <c r="M223" s="38" t="s">
        <v>852</v>
      </c>
      <c r="N223" s="10"/>
      <c r="O223" s="10"/>
      <c r="P223" s="10"/>
      <c r="Q223" s="38" t="s">
        <v>852</v>
      </c>
      <c r="R223" s="38" t="s">
        <v>852</v>
      </c>
    </row>
    <row r="224" spans="1:20" ht="15.75" hidden="1" customHeight="1" x14ac:dyDescent="0.3">
      <c r="A224" s="234" t="s">
        <v>1711</v>
      </c>
      <c r="B224" s="10"/>
      <c r="C224" s="10"/>
      <c r="D224" s="10"/>
      <c r="E224" s="38" t="s">
        <v>852</v>
      </c>
      <c r="F224" s="10"/>
      <c r="G224" s="10"/>
      <c r="H224" s="10"/>
      <c r="I224" s="38" t="s">
        <v>852</v>
      </c>
      <c r="J224" s="10"/>
      <c r="K224" s="10"/>
      <c r="L224" s="10"/>
      <c r="M224" s="38" t="s">
        <v>852</v>
      </c>
      <c r="N224" s="10"/>
      <c r="O224" s="10"/>
      <c r="P224" s="10"/>
      <c r="Q224" s="38" t="s">
        <v>852</v>
      </c>
      <c r="R224" s="38" t="s">
        <v>852</v>
      </c>
    </row>
    <row r="225" spans="1:20" ht="15.75" hidden="1" customHeight="1" x14ac:dyDescent="0.3">
      <c r="A225" s="540" t="s">
        <v>1364</v>
      </c>
      <c r="B225" s="10">
        <v>349</v>
      </c>
      <c r="C225" s="10">
        <v>317</v>
      </c>
      <c r="D225" s="10">
        <v>379</v>
      </c>
      <c r="E225" s="38">
        <f t="shared" ref="E225:E232" si="49">SUM(B225:D225)</f>
        <v>1045</v>
      </c>
      <c r="F225" s="10">
        <v>446</v>
      </c>
      <c r="G225" s="10">
        <v>587</v>
      </c>
      <c r="H225" s="10">
        <v>659</v>
      </c>
      <c r="I225" s="38">
        <f t="shared" ref="I225:I232" si="50">SUM(F225:H225)</f>
        <v>1692</v>
      </c>
      <c r="J225" s="10">
        <v>640</v>
      </c>
      <c r="K225" s="10">
        <v>592</v>
      </c>
      <c r="L225" s="10">
        <v>510</v>
      </c>
      <c r="M225" s="38">
        <f t="shared" ref="M225:M232" si="51">SUM(J225:L225)</f>
        <v>1742</v>
      </c>
      <c r="N225" s="10">
        <v>535</v>
      </c>
      <c r="O225" s="10">
        <v>406</v>
      </c>
      <c r="P225" s="10">
        <v>319</v>
      </c>
      <c r="Q225" s="38">
        <f t="shared" ref="Q225:Q231" si="52">SUM(N225:P225)</f>
        <v>1260</v>
      </c>
      <c r="R225" s="38">
        <f t="shared" ref="R225:R290" si="53">+E225+I225+M225+Q225</f>
        <v>5739</v>
      </c>
      <c r="T225" t="s">
        <v>2800</v>
      </c>
    </row>
    <row r="226" spans="1:20" ht="15.75" hidden="1" customHeight="1" x14ac:dyDescent="0.3">
      <c r="A226" s="540" t="s">
        <v>1388</v>
      </c>
      <c r="B226" s="10"/>
      <c r="C226" s="10"/>
      <c r="D226" s="10">
        <v>357</v>
      </c>
      <c r="E226" s="38">
        <f t="shared" si="49"/>
        <v>357</v>
      </c>
      <c r="F226" s="10"/>
      <c r="G226" s="10"/>
      <c r="H226" s="10"/>
      <c r="I226" s="38">
        <f t="shared" si="50"/>
        <v>0</v>
      </c>
      <c r="J226" s="10"/>
      <c r="K226" s="10"/>
      <c r="L226" s="10"/>
      <c r="M226" s="38">
        <f t="shared" si="51"/>
        <v>0</v>
      </c>
      <c r="N226" s="10"/>
      <c r="O226" s="10"/>
      <c r="P226" s="10"/>
      <c r="Q226" s="38">
        <f t="shared" si="52"/>
        <v>0</v>
      </c>
      <c r="R226" s="38">
        <f t="shared" si="53"/>
        <v>357</v>
      </c>
      <c r="T226" t="s">
        <v>2764</v>
      </c>
    </row>
    <row r="227" spans="1:20" ht="15.75" hidden="1" customHeight="1" x14ac:dyDescent="0.3">
      <c r="A227" s="410" t="s">
        <v>3133</v>
      </c>
      <c r="B227" s="10"/>
      <c r="C227" s="10"/>
      <c r="D227" s="10"/>
      <c r="E227" s="38">
        <f t="shared" si="49"/>
        <v>0</v>
      </c>
      <c r="F227" s="10"/>
      <c r="G227" s="10"/>
      <c r="H227" s="10"/>
      <c r="I227" s="38">
        <f t="shared" si="50"/>
        <v>0</v>
      </c>
      <c r="J227" s="10"/>
      <c r="K227" s="10"/>
      <c r="L227" s="10"/>
      <c r="M227" s="38">
        <f t="shared" si="51"/>
        <v>0</v>
      </c>
      <c r="N227" s="10"/>
      <c r="O227" s="10"/>
      <c r="P227" s="10"/>
      <c r="Q227" s="38">
        <f t="shared" si="52"/>
        <v>0</v>
      </c>
      <c r="R227" s="38">
        <f t="shared" si="53"/>
        <v>0</v>
      </c>
    </row>
    <row r="228" spans="1:20" ht="15.75" hidden="1" customHeight="1" x14ac:dyDescent="0.3">
      <c r="A228" s="540" t="s">
        <v>3328</v>
      </c>
      <c r="B228" s="10"/>
      <c r="C228" s="10"/>
      <c r="D228" s="10"/>
      <c r="E228" s="38">
        <f t="shared" si="49"/>
        <v>0</v>
      </c>
      <c r="F228" s="10"/>
      <c r="G228" s="10"/>
      <c r="H228" s="10">
        <v>59</v>
      </c>
      <c r="I228" s="38">
        <f t="shared" si="50"/>
        <v>59</v>
      </c>
      <c r="J228" s="10">
        <v>126</v>
      </c>
      <c r="K228" s="10">
        <v>126</v>
      </c>
      <c r="L228" s="10">
        <v>103</v>
      </c>
      <c r="M228" s="38">
        <f t="shared" si="51"/>
        <v>355</v>
      </c>
      <c r="N228" s="10">
        <v>109</v>
      </c>
      <c r="O228" s="10">
        <v>43</v>
      </c>
      <c r="P228" s="10">
        <v>24</v>
      </c>
      <c r="Q228" s="38">
        <f t="shared" si="52"/>
        <v>176</v>
      </c>
      <c r="R228" s="38">
        <f t="shared" si="53"/>
        <v>590</v>
      </c>
      <c r="T228" t="s">
        <v>1193</v>
      </c>
    </row>
    <row r="229" spans="1:20" ht="15.75" hidden="1" customHeight="1" x14ac:dyDescent="0.3">
      <c r="A229" s="540" t="s">
        <v>3072</v>
      </c>
      <c r="B229" s="10"/>
      <c r="C229" s="10"/>
      <c r="D229" s="10"/>
      <c r="E229" s="38">
        <f t="shared" si="49"/>
        <v>0</v>
      </c>
      <c r="F229" s="10"/>
      <c r="G229" s="10"/>
      <c r="H229" s="10"/>
      <c r="I229" s="38">
        <f t="shared" si="50"/>
        <v>0</v>
      </c>
      <c r="J229" s="10"/>
      <c r="K229" s="10"/>
      <c r="L229" s="10"/>
      <c r="M229" s="38">
        <f t="shared" si="51"/>
        <v>0</v>
      </c>
      <c r="N229" s="10"/>
      <c r="O229" s="10"/>
      <c r="P229" s="10"/>
      <c r="Q229" s="38">
        <f t="shared" si="52"/>
        <v>0</v>
      </c>
      <c r="R229" s="38">
        <f>+E229+I229+M229+Q229</f>
        <v>0</v>
      </c>
      <c r="T229" t="s">
        <v>2770</v>
      </c>
    </row>
    <row r="230" spans="1:20" ht="15.75" hidden="1" customHeight="1" x14ac:dyDescent="0.3">
      <c r="A230" s="540" t="s">
        <v>3189</v>
      </c>
      <c r="B230" s="10"/>
      <c r="C230" s="10"/>
      <c r="D230" s="10"/>
      <c r="E230" s="38">
        <f t="shared" si="49"/>
        <v>0</v>
      </c>
      <c r="F230" s="10"/>
      <c r="G230" s="10"/>
      <c r="H230" s="10"/>
      <c r="I230" s="38">
        <f t="shared" si="50"/>
        <v>0</v>
      </c>
      <c r="J230" s="10"/>
      <c r="K230" s="10"/>
      <c r="L230" s="10"/>
      <c r="M230" s="38">
        <f t="shared" si="51"/>
        <v>0</v>
      </c>
      <c r="N230" s="10"/>
      <c r="O230" s="10"/>
      <c r="P230" s="10"/>
      <c r="Q230" s="38">
        <f t="shared" si="52"/>
        <v>0</v>
      </c>
      <c r="R230" s="38">
        <f>+E230+I230+M230+Q230</f>
        <v>0</v>
      </c>
      <c r="T230" t="s">
        <v>2770</v>
      </c>
    </row>
    <row r="231" spans="1:20" ht="15.75" hidden="1" customHeight="1" x14ac:dyDescent="0.3">
      <c r="A231" s="410" t="s">
        <v>3063</v>
      </c>
      <c r="B231" s="10"/>
      <c r="C231" s="10"/>
      <c r="D231" s="10"/>
      <c r="E231" s="38">
        <f t="shared" si="49"/>
        <v>0</v>
      </c>
      <c r="F231" s="10"/>
      <c r="G231" s="10"/>
      <c r="H231" s="10"/>
      <c r="I231" s="38">
        <f t="shared" si="50"/>
        <v>0</v>
      </c>
      <c r="J231" s="10"/>
      <c r="K231" s="10"/>
      <c r="L231" s="10"/>
      <c r="M231" s="38">
        <f t="shared" si="51"/>
        <v>0</v>
      </c>
      <c r="N231" s="10"/>
      <c r="O231" s="10"/>
      <c r="P231" s="10"/>
      <c r="Q231" s="38">
        <f t="shared" si="52"/>
        <v>0</v>
      </c>
      <c r="R231" s="38">
        <f>+E231+I231+M231+Q231</f>
        <v>0</v>
      </c>
      <c r="S231" s="709"/>
      <c r="T231" t="s">
        <v>2760</v>
      </c>
    </row>
    <row r="232" spans="1:20" ht="15.75" hidden="1" customHeight="1" x14ac:dyDescent="0.3">
      <c r="A232" s="410" t="s">
        <v>3325</v>
      </c>
      <c r="B232" s="10"/>
      <c r="C232" s="10"/>
      <c r="D232" s="10"/>
      <c r="E232" s="38">
        <f t="shared" si="49"/>
        <v>0</v>
      </c>
      <c r="F232" s="10">
        <v>200</v>
      </c>
      <c r="G232" s="10"/>
      <c r="H232" s="10"/>
      <c r="I232" s="38">
        <f t="shared" si="50"/>
        <v>200</v>
      </c>
      <c r="J232" s="10"/>
      <c r="K232" s="10"/>
      <c r="L232" s="10"/>
      <c r="M232" s="38">
        <f t="shared" si="51"/>
        <v>0</v>
      </c>
      <c r="N232" s="10"/>
      <c r="O232" s="10"/>
      <c r="P232" s="10"/>
      <c r="Q232" s="38">
        <f t="shared" ref="Q232" si="54">SUM(N232:P232)</f>
        <v>0</v>
      </c>
      <c r="R232" s="38">
        <f>+E232+I232+M232+Q232</f>
        <v>200</v>
      </c>
      <c r="S232" s="709"/>
    </row>
    <row r="233" spans="1:20" ht="15.75" hidden="1" customHeight="1" x14ac:dyDescent="0.3">
      <c r="A233" s="410" t="s">
        <v>2965</v>
      </c>
      <c r="B233" s="10">
        <v>800</v>
      </c>
      <c r="C233" s="10"/>
      <c r="D233" s="10"/>
      <c r="E233" s="38">
        <f>SUM(B233:D233)</f>
        <v>800</v>
      </c>
      <c r="F233" s="10"/>
      <c r="G233" s="10"/>
      <c r="H233" s="10"/>
      <c r="I233" s="38">
        <f t="shared" ref="I233:I288" si="55">SUM(F233:H233)</f>
        <v>0</v>
      </c>
      <c r="J233" s="10"/>
      <c r="K233" s="10"/>
      <c r="L233" s="10"/>
      <c r="M233" s="38">
        <f t="shared" ref="M233:M288" si="56">SUM(J233:L233)</f>
        <v>0</v>
      </c>
      <c r="N233" s="10"/>
      <c r="O233" s="10"/>
      <c r="P233" s="10"/>
      <c r="Q233" s="38">
        <f t="shared" ref="Q233:Q288" si="57">SUM(N233:P233)</f>
        <v>0</v>
      </c>
      <c r="R233" s="38">
        <f t="shared" si="53"/>
        <v>800</v>
      </c>
      <c r="S233" t="s">
        <v>3020</v>
      </c>
    </row>
    <row r="234" spans="1:20" ht="15.75" hidden="1" customHeight="1" x14ac:dyDescent="0.3">
      <c r="A234" s="689" t="s">
        <v>2940</v>
      </c>
      <c r="B234" s="10"/>
      <c r="C234" s="10"/>
      <c r="D234" s="10"/>
      <c r="E234" s="38">
        <f t="shared" ref="E234" si="58">SUM(B234:D234)</f>
        <v>0</v>
      </c>
      <c r="F234" s="10"/>
      <c r="G234" s="10"/>
      <c r="H234" s="10"/>
      <c r="I234" s="38">
        <f t="shared" si="55"/>
        <v>0</v>
      </c>
      <c r="J234" s="10"/>
      <c r="K234" s="10"/>
      <c r="L234" s="10"/>
      <c r="M234" s="38">
        <f t="shared" si="56"/>
        <v>0</v>
      </c>
      <c r="N234" s="10"/>
      <c r="O234" s="10"/>
      <c r="P234" s="10"/>
      <c r="Q234" s="38">
        <f t="shared" si="57"/>
        <v>0</v>
      </c>
      <c r="R234" s="38">
        <f>+E234+I234+M234+Q234</f>
        <v>0</v>
      </c>
      <c r="T234" t="s">
        <v>2780</v>
      </c>
    </row>
    <row r="235" spans="1:20" ht="15.75" hidden="1" customHeight="1" x14ac:dyDescent="0.3">
      <c r="A235" s="410" t="s">
        <v>568</v>
      </c>
      <c r="B235" s="10">
        <v>682</v>
      </c>
      <c r="C235" s="10"/>
      <c r="D235" s="10"/>
      <c r="E235" s="38">
        <f>SUM(B235:D235)</f>
        <v>682</v>
      </c>
      <c r="F235" s="10"/>
      <c r="G235" s="10"/>
      <c r="H235" s="10"/>
      <c r="I235" s="38">
        <f>SUM(F235:H235)</f>
        <v>0</v>
      </c>
      <c r="J235" s="10"/>
      <c r="K235" s="10"/>
      <c r="L235" s="10"/>
      <c r="M235" s="38">
        <f>SUM(J235:L235)</f>
        <v>0</v>
      </c>
      <c r="N235" s="10"/>
      <c r="O235" s="10"/>
      <c r="P235" s="10"/>
      <c r="Q235" s="38">
        <f>SUM(N235:P235)</f>
        <v>0</v>
      </c>
      <c r="R235" s="38">
        <f t="shared" si="53"/>
        <v>682</v>
      </c>
      <c r="T235" t="s">
        <v>2775</v>
      </c>
    </row>
    <row r="236" spans="1:20" ht="15.75" hidden="1" customHeight="1" x14ac:dyDescent="0.3">
      <c r="A236" s="540" t="s">
        <v>3317</v>
      </c>
      <c r="B236" s="10"/>
      <c r="C236" s="10"/>
      <c r="D236" s="10"/>
      <c r="E236" s="38">
        <f>SUM(B236:D236)</f>
        <v>0</v>
      </c>
      <c r="F236" s="10"/>
      <c r="G236" s="10"/>
      <c r="H236" s="10"/>
      <c r="I236" s="38">
        <f>SUM(F236:H236)</f>
        <v>0</v>
      </c>
      <c r="J236" s="10"/>
      <c r="K236" s="10"/>
      <c r="L236" s="10"/>
      <c r="M236" s="38">
        <f>SUM(J236:L236)</f>
        <v>0</v>
      </c>
      <c r="N236" s="10"/>
      <c r="O236" s="10"/>
      <c r="P236" s="10"/>
      <c r="Q236" s="38">
        <f>SUM(N236:P236)</f>
        <v>0</v>
      </c>
      <c r="R236" s="38">
        <f t="shared" si="53"/>
        <v>0</v>
      </c>
    </row>
    <row r="237" spans="1:20" ht="15.75" hidden="1" customHeight="1" x14ac:dyDescent="0.3">
      <c r="A237" s="410" t="s">
        <v>1973</v>
      </c>
      <c r="B237" s="10"/>
      <c r="C237" s="10"/>
      <c r="D237" s="10"/>
      <c r="E237" s="38">
        <f t="shared" ref="E237:E277" si="59">SUM(B237:D237)</f>
        <v>0</v>
      </c>
      <c r="F237" s="10"/>
      <c r="G237" s="10"/>
      <c r="H237" s="10"/>
      <c r="I237" s="38">
        <f t="shared" si="55"/>
        <v>0</v>
      </c>
      <c r="J237" s="10"/>
      <c r="K237" s="10"/>
      <c r="L237" s="10"/>
      <c r="M237" s="38">
        <f t="shared" si="56"/>
        <v>0</v>
      </c>
      <c r="N237" s="10"/>
      <c r="O237" s="10"/>
      <c r="P237" s="10"/>
      <c r="Q237" s="38">
        <f t="shared" si="57"/>
        <v>0</v>
      </c>
      <c r="R237" s="38">
        <f t="shared" si="53"/>
        <v>0</v>
      </c>
    </row>
    <row r="238" spans="1:20" ht="15.75" hidden="1" customHeight="1" x14ac:dyDescent="0.3">
      <c r="A238" s="410" t="s">
        <v>1974</v>
      </c>
      <c r="B238" s="10">
        <v>23</v>
      </c>
      <c r="C238" s="10"/>
      <c r="D238" s="10"/>
      <c r="E238" s="38">
        <f t="shared" si="59"/>
        <v>23</v>
      </c>
      <c r="F238" s="10"/>
      <c r="G238" s="10"/>
      <c r="H238" s="10"/>
      <c r="I238" s="38">
        <f t="shared" si="55"/>
        <v>0</v>
      </c>
      <c r="J238" s="10"/>
      <c r="K238" s="10"/>
      <c r="L238" s="10"/>
      <c r="M238" s="38">
        <f t="shared" si="56"/>
        <v>0</v>
      </c>
      <c r="N238" s="10"/>
      <c r="O238" s="10"/>
      <c r="P238" s="10"/>
      <c r="Q238" s="38">
        <f t="shared" si="57"/>
        <v>0</v>
      </c>
      <c r="R238" s="38">
        <f t="shared" si="53"/>
        <v>23</v>
      </c>
    </row>
    <row r="239" spans="1:20" ht="15.75" hidden="1" customHeight="1" x14ac:dyDescent="0.3">
      <c r="A239" s="410" t="s">
        <v>2848</v>
      </c>
      <c r="B239" s="10">
        <v>23</v>
      </c>
      <c r="C239" s="10"/>
      <c r="D239" s="10"/>
      <c r="E239" s="38">
        <f t="shared" si="59"/>
        <v>23</v>
      </c>
      <c r="F239" s="10"/>
      <c r="G239" s="10"/>
      <c r="H239" s="10"/>
      <c r="I239" s="38">
        <f t="shared" si="55"/>
        <v>0</v>
      </c>
      <c r="J239" s="10"/>
      <c r="K239" s="10"/>
      <c r="L239" s="10"/>
      <c r="M239" s="38">
        <f t="shared" si="56"/>
        <v>0</v>
      </c>
      <c r="N239" s="10"/>
      <c r="O239" s="10"/>
      <c r="P239" s="10"/>
      <c r="Q239" s="38">
        <f t="shared" si="57"/>
        <v>0</v>
      </c>
      <c r="R239" s="38">
        <f t="shared" si="53"/>
        <v>23</v>
      </c>
      <c r="S239" t="s">
        <v>3020</v>
      </c>
      <c r="T239" t="s">
        <v>2760</v>
      </c>
    </row>
    <row r="240" spans="1:20" ht="15.75" hidden="1" customHeight="1" x14ac:dyDescent="0.3">
      <c r="A240" s="410" t="s">
        <v>3156</v>
      </c>
      <c r="B240" s="10"/>
      <c r="C240" s="10"/>
      <c r="D240" s="10"/>
      <c r="E240" s="38">
        <f t="shared" si="59"/>
        <v>0</v>
      </c>
      <c r="F240" s="10"/>
      <c r="G240" s="10"/>
      <c r="H240" s="10"/>
      <c r="I240" s="38">
        <f t="shared" si="55"/>
        <v>0</v>
      </c>
      <c r="J240" s="10"/>
      <c r="K240" s="10"/>
      <c r="L240" s="10"/>
      <c r="M240" s="38">
        <f t="shared" si="56"/>
        <v>0</v>
      </c>
      <c r="N240" s="10"/>
      <c r="O240" s="10"/>
      <c r="P240" s="10"/>
      <c r="Q240" s="38">
        <f t="shared" si="57"/>
        <v>0</v>
      </c>
      <c r="R240" s="38">
        <f t="shared" si="53"/>
        <v>0</v>
      </c>
      <c r="S240" t="s">
        <v>3020</v>
      </c>
      <c r="T240" t="s">
        <v>2760</v>
      </c>
    </row>
    <row r="241" spans="1:20" ht="15.75" hidden="1" customHeight="1" x14ac:dyDescent="0.3">
      <c r="A241" s="410" t="s">
        <v>3157</v>
      </c>
      <c r="B241" s="10"/>
      <c r="C241" s="10"/>
      <c r="D241" s="10"/>
      <c r="E241" s="38">
        <f t="shared" si="59"/>
        <v>0</v>
      </c>
      <c r="F241" s="10"/>
      <c r="G241" s="10"/>
      <c r="H241" s="10"/>
      <c r="I241" s="38">
        <f t="shared" si="55"/>
        <v>0</v>
      </c>
      <c r="J241" s="10"/>
      <c r="K241" s="10"/>
      <c r="L241" s="10"/>
      <c r="M241" s="38">
        <f t="shared" si="56"/>
        <v>0</v>
      </c>
      <c r="N241" s="10"/>
      <c r="O241" s="10">
        <v>1132</v>
      </c>
      <c r="P241" s="10">
        <f>864+640</f>
        <v>1504</v>
      </c>
      <c r="Q241" s="38">
        <f t="shared" si="57"/>
        <v>2636</v>
      </c>
      <c r="R241" s="38">
        <f t="shared" si="53"/>
        <v>2636</v>
      </c>
    </row>
    <row r="242" spans="1:20" ht="15.75" hidden="1" customHeight="1" x14ac:dyDescent="0.3">
      <c r="A242" s="410" t="s">
        <v>3161</v>
      </c>
      <c r="B242" s="10"/>
      <c r="C242" s="10"/>
      <c r="D242" s="10"/>
      <c r="E242" s="38">
        <f t="shared" si="59"/>
        <v>0</v>
      </c>
      <c r="F242" s="10"/>
      <c r="H242" s="10"/>
      <c r="I242" s="38">
        <f t="shared" si="55"/>
        <v>0</v>
      </c>
      <c r="J242" s="10"/>
      <c r="K242" s="10"/>
      <c r="L242" s="10">
        <v>59</v>
      </c>
      <c r="M242" s="38">
        <f t="shared" si="56"/>
        <v>59</v>
      </c>
      <c r="N242" s="10"/>
      <c r="O242" s="10">
        <v>41</v>
      </c>
      <c r="P242" s="10">
        <v>16</v>
      </c>
      <c r="Q242" s="38">
        <f t="shared" si="57"/>
        <v>57</v>
      </c>
      <c r="R242" s="38">
        <f t="shared" si="53"/>
        <v>116</v>
      </c>
    </row>
    <row r="243" spans="1:20" ht="15.75" hidden="1" customHeight="1" x14ac:dyDescent="0.3">
      <c r="A243" s="540" t="s">
        <v>2938</v>
      </c>
      <c r="B243" s="10"/>
      <c r="C243" s="10"/>
      <c r="D243" s="10"/>
      <c r="E243" s="38">
        <f t="shared" si="59"/>
        <v>0</v>
      </c>
      <c r="F243" s="10"/>
      <c r="G243" s="10"/>
      <c r="H243" s="10"/>
      <c r="I243" s="38">
        <f t="shared" si="55"/>
        <v>0</v>
      </c>
      <c r="J243" s="10"/>
      <c r="K243" s="10"/>
      <c r="L243" s="10"/>
      <c r="M243" s="38">
        <f t="shared" si="56"/>
        <v>0</v>
      </c>
      <c r="N243" s="10"/>
      <c r="O243" s="10"/>
      <c r="P243" s="10"/>
      <c r="Q243" s="38">
        <f t="shared" si="57"/>
        <v>0</v>
      </c>
      <c r="R243" s="38">
        <f t="shared" si="53"/>
        <v>0</v>
      </c>
      <c r="T243" t="s">
        <v>2764</v>
      </c>
    </row>
    <row r="244" spans="1:20" ht="15.75" hidden="1" customHeight="1" x14ac:dyDescent="0.3">
      <c r="A244" s="410" t="s">
        <v>3051</v>
      </c>
      <c r="B244" s="10"/>
      <c r="C244" s="10"/>
      <c r="D244" s="10"/>
      <c r="E244" s="38">
        <f t="shared" si="59"/>
        <v>0</v>
      </c>
      <c r="F244" s="10"/>
      <c r="G244" s="10"/>
      <c r="H244" s="10"/>
      <c r="I244" s="38">
        <f t="shared" si="55"/>
        <v>0</v>
      </c>
      <c r="J244" s="10"/>
      <c r="K244" s="10"/>
      <c r="L244" s="10"/>
      <c r="M244" s="38">
        <f t="shared" si="56"/>
        <v>0</v>
      </c>
      <c r="N244" s="10"/>
      <c r="O244" s="10"/>
      <c r="P244" s="10"/>
      <c r="Q244" s="38">
        <f>SUM(N244:P244)</f>
        <v>0</v>
      </c>
      <c r="R244" s="38">
        <f>+E244+I244+M244+Q244</f>
        <v>0</v>
      </c>
      <c r="S244" s="709"/>
      <c r="T244" t="s">
        <v>2760</v>
      </c>
    </row>
    <row r="245" spans="1:20" ht="15.75" hidden="1" customHeight="1" x14ac:dyDescent="0.3">
      <c r="A245" s="540" t="s">
        <v>3049</v>
      </c>
      <c r="B245" s="10"/>
      <c r="C245" s="10"/>
      <c r="D245" s="10">
        <v>1326</v>
      </c>
      <c r="E245" s="38">
        <f>SUM(B245:D245)</f>
        <v>1326</v>
      </c>
      <c r="F245" s="10">
        <v>1900</v>
      </c>
      <c r="G245" s="10">
        <v>2200</v>
      </c>
      <c r="H245" s="10">
        <v>1574</v>
      </c>
      <c r="I245" s="38">
        <f t="shared" si="55"/>
        <v>5674</v>
      </c>
      <c r="J245" s="10"/>
      <c r="K245" s="10"/>
      <c r="L245" s="10"/>
      <c r="M245" s="38">
        <f t="shared" si="56"/>
        <v>0</v>
      </c>
      <c r="N245" s="10"/>
      <c r="O245" s="10"/>
      <c r="P245" s="10"/>
      <c r="Q245" s="38">
        <f t="shared" si="57"/>
        <v>0</v>
      </c>
      <c r="R245" s="38">
        <f t="shared" si="53"/>
        <v>7000</v>
      </c>
    </row>
    <row r="246" spans="1:20" ht="15.75" hidden="1" customHeight="1" x14ac:dyDescent="0.3">
      <c r="A246" s="540" t="s">
        <v>3050</v>
      </c>
      <c r="B246" s="10"/>
      <c r="C246" s="10"/>
      <c r="D246" s="10"/>
      <c r="E246" s="38">
        <f t="shared" si="59"/>
        <v>0</v>
      </c>
      <c r="F246" s="10"/>
      <c r="G246" s="10"/>
      <c r="H246" s="10"/>
      <c r="I246" s="38">
        <f t="shared" si="55"/>
        <v>0</v>
      </c>
      <c r="J246" s="10"/>
      <c r="K246" s="10"/>
      <c r="L246" s="10"/>
      <c r="M246" s="38">
        <f t="shared" si="56"/>
        <v>0</v>
      </c>
      <c r="N246" s="10"/>
      <c r="O246" s="10"/>
      <c r="P246" s="10"/>
      <c r="Q246" s="38">
        <f t="shared" si="57"/>
        <v>0</v>
      </c>
      <c r="R246" s="38">
        <f t="shared" si="53"/>
        <v>0</v>
      </c>
    </row>
    <row r="247" spans="1:20" ht="15.75" hidden="1" customHeight="1" x14ac:dyDescent="0.3">
      <c r="A247" s="540" t="s">
        <v>2753</v>
      </c>
      <c r="B247" s="10">
        <v>500</v>
      </c>
      <c r="C247" s="10"/>
      <c r="D247" s="10">
        <v>1000</v>
      </c>
      <c r="E247" s="38">
        <f t="shared" ref="E247:E248" si="60">SUM(B247:D247)</f>
        <v>1500</v>
      </c>
      <c r="F247" s="10">
        <v>200</v>
      </c>
      <c r="G247" s="10">
        <v>1000</v>
      </c>
      <c r="H247" s="10">
        <v>36</v>
      </c>
      <c r="I247" s="38">
        <f t="shared" si="55"/>
        <v>1236</v>
      </c>
      <c r="J247" s="10"/>
      <c r="K247" s="10"/>
      <c r="L247" s="10"/>
      <c r="M247" s="38">
        <f t="shared" si="56"/>
        <v>0</v>
      </c>
      <c r="N247" s="10"/>
      <c r="O247" s="10"/>
      <c r="P247" s="10"/>
      <c r="Q247" s="38">
        <f t="shared" si="57"/>
        <v>0</v>
      </c>
      <c r="R247" s="38">
        <f t="shared" si="53"/>
        <v>2736</v>
      </c>
    </row>
    <row r="248" spans="1:20" ht="15.75" hidden="1" customHeight="1" x14ac:dyDescent="0.3">
      <c r="A248" s="540" t="s">
        <v>2754</v>
      </c>
      <c r="B248" s="10"/>
      <c r="C248" s="10"/>
      <c r="D248" s="10"/>
      <c r="E248" s="38">
        <f t="shared" si="60"/>
        <v>0</v>
      </c>
      <c r="F248" s="10"/>
      <c r="G248" s="10"/>
      <c r="H248" s="10"/>
      <c r="I248" s="38">
        <f t="shared" si="55"/>
        <v>0</v>
      </c>
      <c r="J248" s="10"/>
      <c r="K248" s="10"/>
      <c r="L248" s="10"/>
      <c r="M248" s="38">
        <f t="shared" si="56"/>
        <v>0</v>
      </c>
      <c r="N248" s="10"/>
      <c r="O248" s="10"/>
      <c r="P248" s="10"/>
      <c r="Q248" s="38">
        <f t="shared" si="57"/>
        <v>0</v>
      </c>
      <c r="R248" s="38">
        <f t="shared" si="53"/>
        <v>0</v>
      </c>
    </row>
    <row r="249" spans="1:20" ht="15.75" hidden="1" customHeight="1" x14ac:dyDescent="0.3">
      <c r="A249" s="410" t="s">
        <v>2755</v>
      </c>
      <c r="B249" s="10">
        <v>781</v>
      </c>
      <c r="C249" s="10">
        <v>735</v>
      </c>
      <c r="D249" s="10">
        <v>797</v>
      </c>
      <c r="E249" s="38">
        <f>SUM(B249:D249)</f>
        <v>2313</v>
      </c>
      <c r="F249" s="10">
        <v>879</v>
      </c>
      <c r="G249" s="10">
        <v>1041</v>
      </c>
      <c r="H249" s="10">
        <v>31</v>
      </c>
      <c r="I249" s="38">
        <f t="shared" ref="I249" si="61">SUM(F249:H249)</f>
        <v>1951</v>
      </c>
      <c r="J249" s="10"/>
      <c r="K249" s="10"/>
      <c r="L249" s="10"/>
      <c r="M249" s="38">
        <f t="shared" si="56"/>
        <v>0</v>
      </c>
      <c r="N249" s="10"/>
      <c r="O249" s="10"/>
      <c r="P249" s="10"/>
      <c r="Q249" s="38">
        <f t="shared" si="57"/>
        <v>0</v>
      </c>
      <c r="R249" s="38">
        <f t="shared" si="53"/>
        <v>4264</v>
      </c>
    </row>
    <row r="250" spans="1:20" ht="15.75" hidden="1" customHeight="1" x14ac:dyDescent="0.3">
      <c r="A250" s="569" t="s">
        <v>2989</v>
      </c>
      <c r="B250" s="10"/>
      <c r="C250" s="10"/>
      <c r="D250" s="10"/>
      <c r="E250" s="38">
        <f>SUM(B250:D250)</f>
        <v>0</v>
      </c>
      <c r="F250" s="10"/>
      <c r="G250" s="10"/>
      <c r="H250" s="10"/>
      <c r="I250" s="38">
        <f t="shared" si="55"/>
        <v>0</v>
      </c>
      <c r="J250" s="10"/>
      <c r="K250" s="10"/>
      <c r="L250" s="10"/>
      <c r="M250" s="38">
        <f t="shared" si="56"/>
        <v>0</v>
      </c>
      <c r="N250" s="10"/>
      <c r="O250" s="10"/>
      <c r="P250" s="10"/>
      <c r="Q250" s="38">
        <f t="shared" si="57"/>
        <v>0</v>
      </c>
      <c r="R250" s="38">
        <f t="shared" si="53"/>
        <v>0</v>
      </c>
    </row>
    <row r="251" spans="1:20" ht="15.75" hidden="1" customHeight="1" x14ac:dyDescent="0.3">
      <c r="A251" s="569" t="s">
        <v>2990</v>
      </c>
      <c r="B251" s="10"/>
      <c r="C251" s="10"/>
      <c r="D251" s="10"/>
      <c r="E251" s="38">
        <f>SUM(B251:D251)</f>
        <v>0</v>
      </c>
      <c r="F251" s="10"/>
      <c r="G251" s="10"/>
      <c r="H251" s="10"/>
      <c r="I251" s="38">
        <f t="shared" si="55"/>
        <v>0</v>
      </c>
      <c r="J251" s="10"/>
      <c r="K251" s="10"/>
      <c r="L251" s="10"/>
      <c r="M251" s="38">
        <f t="shared" si="56"/>
        <v>0</v>
      </c>
      <c r="N251" s="10"/>
      <c r="O251" s="10"/>
      <c r="P251" s="10"/>
      <c r="Q251" s="38">
        <f t="shared" si="57"/>
        <v>0</v>
      </c>
      <c r="R251" s="38">
        <f t="shared" si="53"/>
        <v>0</v>
      </c>
    </row>
    <row r="252" spans="1:20" ht="15.75" hidden="1" customHeight="1" x14ac:dyDescent="0.3">
      <c r="A252" s="569" t="s">
        <v>2991</v>
      </c>
      <c r="B252" s="10"/>
      <c r="C252" s="10"/>
      <c r="D252" s="10"/>
      <c r="E252" s="38">
        <f>SUM(B252:D252)</f>
        <v>0</v>
      </c>
      <c r="F252" s="10"/>
      <c r="G252" s="10"/>
      <c r="H252" s="10"/>
      <c r="I252" s="38">
        <f t="shared" si="55"/>
        <v>0</v>
      </c>
      <c r="J252" s="10"/>
      <c r="K252" s="10"/>
      <c r="L252" s="10"/>
      <c r="M252" s="38">
        <f t="shared" si="56"/>
        <v>0</v>
      </c>
      <c r="N252" s="10"/>
      <c r="O252" s="10"/>
      <c r="P252" s="10"/>
      <c r="Q252" s="38">
        <f t="shared" si="57"/>
        <v>0</v>
      </c>
      <c r="R252" s="38">
        <f t="shared" si="53"/>
        <v>0</v>
      </c>
      <c r="T252" t="s">
        <v>2764</v>
      </c>
    </row>
    <row r="253" spans="1:20" ht="15.75" hidden="1" customHeight="1" x14ac:dyDescent="0.3">
      <c r="A253" s="410" t="s">
        <v>3134</v>
      </c>
      <c r="B253" s="10"/>
      <c r="C253" s="10"/>
      <c r="D253" s="10"/>
      <c r="E253" s="38">
        <f t="shared" ref="E253:E256" si="62">SUM(B253:D253)</f>
        <v>0</v>
      </c>
      <c r="F253" s="10"/>
      <c r="G253" s="10"/>
      <c r="H253" s="10"/>
      <c r="I253" s="38">
        <f>SUM(F253:H253)</f>
        <v>0</v>
      </c>
      <c r="J253" s="10"/>
      <c r="K253" s="10">
        <v>3903</v>
      </c>
      <c r="L253" s="10">
        <f>864+395</f>
        <v>1259</v>
      </c>
      <c r="M253" s="38">
        <f t="shared" ref="M253:M254" si="63">SUM(J253:L253)</f>
        <v>5162</v>
      </c>
      <c r="N253" s="10"/>
      <c r="O253" s="10"/>
      <c r="P253" s="10"/>
      <c r="Q253" s="38">
        <f t="shared" ref="Q253:Q254" si="64">SUM(N253:P253)</f>
        <v>0</v>
      </c>
      <c r="R253" s="38">
        <f t="shared" si="53"/>
        <v>5162</v>
      </c>
      <c r="S253" s="717" t="s">
        <v>3020</v>
      </c>
    </row>
    <row r="254" spans="1:20" ht="15.75" hidden="1" customHeight="1" x14ac:dyDescent="0.3">
      <c r="A254" s="410" t="s">
        <v>1851</v>
      </c>
      <c r="B254" s="10"/>
      <c r="C254" s="10"/>
      <c r="D254" s="10"/>
      <c r="E254" s="38">
        <f t="shared" si="62"/>
        <v>0</v>
      </c>
      <c r="F254" s="10"/>
      <c r="G254" s="10"/>
      <c r="H254" s="10"/>
      <c r="I254" s="38">
        <f>SUM(F254:H254)</f>
        <v>0</v>
      </c>
      <c r="J254" s="10"/>
      <c r="K254" s="10"/>
      <c r="L254" s="10"/>
      <c r="M254" s="38">
        <f t="shared" si="63"/>
        <v>0</v>
      </c>
      <c r="N254" s="10"/>
      <c r="O254" s="10"/>
      <c r="P254" s="10"/>
      <c r="Q254" s="38">
        <f t="shared" si="64"/>
        <v>0</v>
      </c>
      <c r="R254" s="38">
        <f t="shared" si="53"/>
        <v>0</v>
      </c>
      <c r="S254" t="s">
        <v>3020</v>
      </c>
    </row>
    <row r="255" spans="1:20" ht="15.75" hidden="1" customHeight="1" x14ac:dyDescent="0.3">
      <c r="A255" s="410" t="s">
        <v>1850</v>
      </c>
      <c r="B255" s="10"/>
      <c r="C255" s="10"/>
      <c r="D255" s="10"/>
      <c r="E255" s="38">
        <f t="shared" si="62"/>
        <v>0</v>
      </c>
      <c r="F255" s="356">
        <f>1863+184+104+46</f>
        <v>2197</v>
      </c>
      <c r="G255" s="10">
        <f>5663+381+111+52</f>
        <v>6207</v>
      </c>
      <c r="H255" s="10">
        <v>3458</v>
      </c>
      <c r="I255" s="38">
        <f t="shared" si="55"/>
        <v>11862</v>
      </c>
      <c r="J255" s="10"/>
      <c r="K255" s="10"/>
      <c r="L255" s="10"/>
      <c r="M255" s="38">
        <f t="shared" si="56"/>
        <v>0</v>
      </c>
      <c r="N255" s="10"/>
      <c r="O255" s="10"/>
      <c r="P255" s="10"/>
      <c r="Q255" s="38">
        <f t="shared" si="57"/>
        <v>0</v>
      </c>
      <c r="R255" s="38">
        <f t="shared" si="53"/>
        <v>11862</v>
      </c>
      <c r="S255" t="s">
        <v>3020</v>
      </c>
    </row>
    <row r="256" spans="1:20" ht="15.75" hidden="1" customHeight="1" x14ac:dyDescent="0.3">
      <c r="A256" s="410" t="s">
        <v>3081</v>
      </c>
      <c r="B256" s="10"/>
      <c r="C256" s="10"/>
      <c r="D256" s="10"/>
      <c r="E256" s="38">
        <f t="shared" si="62"/>
        <v>0</v>
      </c>
      <c r="F256" s="10"/>
      <c r="G256" s="10">
        <v>138</v>
      </c>
      <c r="H256" s="10"/>
      <c r="I256" s="38">
        <f t="shared" si="55"/>
        <v>138</v>
      </c>
      <c r="J256" s="10"/>
      <c r="K256" s="10"/>
      <c r="L256" s="10"/>
      <c r="M256" s="38">
        <f t="shared" si="56"/>
        <v>0</v>
      </c>
      <c r="N256" s="10"/>
      <c r="O256" s="10"/>
      <c r="P256" s="10"/>
      <c r="Q256" s="38">
        <f>SUM(N256:P256)</f>
        <v>0</v>
      </c>
      <c r="R256" s="38">
        <f t="shared" si="53"/>
        <v>138</v>
      </c>
    </row>
    <row r="257" spans="1:21" ht="15.75" hidden="1" customHeight="1" x14ac:dyDescent="0.3">
      <c r="A257" s="410" t="s">
        <v>2979</v>
      </c>
      <c r="B257" s="10"/>
      <c r="C257" s="10"/>
      <c r="D257" s="10"/>
      <c r="E257" s="38">
        <f>SUM(B257:D257)</f>
        <v>0</v>
      </c>
      <c r="F257" s="10"/>
      <c r="G257" s="10">
        <f>76+1300</f>
        <v>1376</v>
      </c>
      <c r="H257" s="10">
        <v>210</v>
      </c>
      <c r="I257" s="38">
        <f t="shared" si="55"/>
        <v>1586</v>
      </c>
      <c r="J257" s="10"/>
      <c r="K257" s="10"/>
      <c r="L257" s="10"/>
      <c r="M257" s="38">
        <f t="shared" si="56"/>
        <v>0</v>
      </c>
      <c r="N257" s="10"/>
      <c r="O257" s="10"/>
      <c r="P257" s="10"/>
      <c r="Q257" s="38">
        <f t="shared" si="57"/>
        <v>0</v>
      </c>
      <c r="R257" s="38">
        <f t="shared" si="53"/>
        <v>1586</v>
      </c>
      <c r="S257" t="s">
        <v>3020</v>
      </c>
      <c r="T257" t="s">
        <v>2760</v>
      </c>
    </row>
    <row r="258" spans="1:21" ht="15.75" hidden="1" customHeight="1" x14ac:dyDescent="0.3">
      <c r="A258" s="410" t="s">
        <v>2807</v>
      </c>
      <c r="B258" s="10"/>
      <c r="C258" s="10"/>
      <c r="D258" s="10"/>
      <c r="E258" s="38">
        <f t="shared" ref="E258" si="65">SUM(B258:D258)</f>
        <v>0</v>
      </c>
      <c r="F258" s="10"/>
      <c r="G258" s="10"/>
      <c r="H258" s="10"/>
      <c r="I258" s="38">
        <f t="shared" si="55"/>
        <v>0</v>
      </c>
      <c r="J258" s="10"/>
      <c r="K258" s="10"/>
      <c r="L258" s="10"/>
      <c r="M258" s="38">
        <f t="shared" si="56"/>
        <v>0</v>
      </c>
      <c r="N258" s="10"/>
      <c r="O258" s="10"/>
      <c r="P258" s="10"/>
      <c r="Q258" s="38">
        <f t="shared" si="57"/>
        <v>0</v>
      </c>
      <c r="R258" s="38">
        <f t="shared" si="53"/>
        <v>0</v>
      </c>
      <c r="S258" s="230" t="s">
        <v>3020</v>
      </c>
      <c r="T258" s="230" t="s">
        <v>2760</v>
      </c>
      <c r="U258" s="230"/>
    </row>
    <row r="259" spans="1:21" ht="15.75" hidden="1" customHeight="1" x14ac:dyDescent="0.3">
      <c r="A259" s="410" t="s">
        <v>1163</v>
      </c>
      <c r="B259" s="10"/>
      <c r="C259" s="10"/>
      <c r="D259" s="10">
        <v>1718</v>
      </c>
      <c r="E259" s="38">
        <f>SUM(B259:D259)</f>
        <v>1718</v>
      </c>
      <c r="F259" s="10">
        <v>96</v>
      </c>
      <c r="G259" s="10"/>
      <c r="H259" s="10"/>
      <c r="I259" s="38">
        <f>SUM(F259:H259)</f>
        <v>96</v>
      </c>
      <c r="J259" s="10"/>
      <c r="K259" s="10"/>
      <c r="L259" s="10"/>
      <c r="M259" s="38">
        <f t="shared" si="56"/>
        <v>0</v>
      </c>
      <c r="N259" s="10"/>
      <c r="O259" s="10"/>
      <c r="P259" s="10"/>
      <c r="Q259" s="38">
        <f t="shared" si="57"/>
        <v>0</v>
      </c>
      <c r="R259" s="38">
        <f t="shared" si="53"/>
        <v>1814</v>
      </c>
      <c r="T259" t="s">
        <v>3030</v>
      </c>
    </row>
    <row r="260" spans="1:21" ht="15.75" hidden="1" customHeight="1" x14ac:dyDescent="0.3">
      <c r="A260" s="569" t="s">
        <v>3054</v>
      </c>
      <c r="B260" s="10"/>
      <c r="C260" s="10"/>
      <c r="D260" s="10"/>
      <c r="E260" s="38">
        <f>SUM(B260:D260)</f>
        <v>0</v>
      </c>
      <c r="F260" s="10"/>
      <c r="G260" s="10"/>
      <c r="H260" s="10"/>
      <c r="I260" s="38">
        <f>SUM(F260:H260)</f>
        <v>0</v>
      </c>
      <c r="J260" s="10"/>
      <c r="K260" s="10"/>
      <c r="L260" s="10"/>
      <c r="M260" s="38">
        <f t="shared" si="56"/>
        <v>0</v>
      </c>
      <c r="N260" s="10"/>
      <c r="O260" s="10"/>
      <c r="P260" s="10"/>
      <c r="Q260" s="38">
        <f>SUM(N260:P260)</f>
        <v>0</v>
      </c>
      <c r="R260" s="38">
        <f>+E260+I260+M260+Q260</f>
        <v>0</v>
      </c>
      <c r="T260" t="s">
        <v>2770</v>
      </c>
    </row>
    <row r="261" spans="1:21" ht="15.75" hidden="1" customHeight="1" x14ac:dyDescent="0.3">
      <c r="A261" s="410" t="s">
        <v>14</v>
      </c>
      <c r="B261" s="10"/>
      <c r="C261" s="10"/>
      <c r="D261" s="10"/>
      <c r="E261" s="38">
        <f t="shared" si="59"/>
        <v>0</v>
      </c>
      <c r="F261" s="10"/>
      <c r="G261" s="10"/>
      <c r="H261" s="10"/>
      <c r="I261" s="38">
        <f t="shared" si="55"/>
        <v>0</v>
      </c>
      <c r="J261" s="10"/>
      <c r="K261" s="10"/>
      <c r="L261" s="10"/>
      <c r="M261" s="38">
        <f t="shared" si="56"/>
        <v>0</v>
      </c>
      <c r="N261" s="10">
        <v>73</v>
      </c>
      <c r="O261" s="10"/>
      <c r="P261" s="10"/>
      <c r="Q261" s="38">
        <f t="shared" si="57"/>
        <v>73</v>
      </c>
      <c r="R261" s="38">
        <f t="shared" si="53"/>
        <v>73</v>
      </c>
    </row>
    <row r="262" spans="1:21" ht="15.75" hidden="1" customHeight="1" x14ac:dyDescent="0.3">
      <c r="A262" s="410" t="s">
        <v>3204</v>
      </c>
      <c r="B262" s="10"/>
      <c r="C262" s="10"/>
      <c r="D262" s="10"/>
      <c r="E262" s="38">
        <f t="shared" si="59"/>
        <v>0</v>
      </c>
      <c r="F262" s="10"/>
      <c r="G262" s="10"/>
      <c r="H262" s="10"/>
      <c r="I262" s="38">
        <f t="shared" si="55"/>
        <v>0</v>
      </c>
      <c r="J262" s="10"/>
      <c r="K262" s="10"/>
      <c r="L262" s="10"/>
      <c r="M262" s="38">
        <f t="shared" si="56"/>
        <v>0</v>
      </c>
      <c r="N262" s="10">
        <f>863+555</f>
        <v>1418</v>
      </c>
      <c r="O262" s="10">
        <v>218</v>
      </c>
      <c r="P262" s="10"/>
      <c r="Q262" s="38">
        <f t="shared" si="57"/>
        <v>1636</v>
      </c>
      <c r="R262" s="38">
        <f t="shared" si="53"/>
        <v>1636</v>
      </c>
    </row>
    <row r="263" spans="1:21" ht="15.75" hidden="1" customHeight="1" x14ac:dyDescent="0.3">
      <c r="A263" s="410" t="s">
        <v>2410</v>
      </c>
      <c r="B263" s="10">
        <v>60</v>
      </c>
      <c r="C263" s="10"/>
      <c r="D263" s="10"/>
      <c r="E263" s="38">
        <f t="shared" si="59"/>
        <v>60</v>
      </c>
      <c r="F263" s="10"/>
      <c r="G263" s="10"/>
      <c r="H263" s="10"/>
      <c r="I263" s="38">
        <f t="shared" si="55"/>
        <v>0</v>
      </c>
      <c r="J263" s="10"/>
      <c r="K263" s="10"/>
      <c r="L263" s="10"/>
      <c r="M263" s="38">
        <f t="shared" si="56"/>
        <v>0</v>
      </c>
      <c r="N263" s="10"/>
      <c r="O263" s="10"/>
      <c r="P263" s="10"/>
      <c r="Q263" s="38">
        <f t="shared" si="57"/>
        <v>0</v>
      </c>
      <c r="R263" s="38">
        <f t="shared" si="53"/>
        <v>60</v>
      </c>
    </row>
    <row r="264" spans="1:21" ht="15.75" hidden="1" customHeight="1" x14ac:dyDescent="0.3">
      <c r="A264" s="410" t="s">
        <v>2849</v>
      </c>
      <c r="B264" s="10">
        <v>60</v>
      </c>
      <c r="C264" s="10"/>
      <c r="D264" s="10"/>
      <c r="E264" s="38">
        <f t="shared" si="59"/>
        <v>60</v>
      </c>
      <c r="F264" s="10"/>
      <c r="G264" s="10"/>
      <c r="H264" s="10"/>
      <c r="I264" s="38">
        <f t="shared" si="55"/>
        <v>0</v>
      </c>
      <c r="J264" s="10"/>
      <c r="K264" s="10"/>
      <c r="L264" s="10"/>
      <c r="M264" s="38">
        <f t="shared" si="56"/>
        <v>0</v>
      </c>
      <c r="N264" s="10"/>
      <c r="O264" s="10"/>
      <c r="P264" s="10"/>
      <c r="Q264" s="38">
        <f t="shared" si="57"/>
        <v>0</v>
      </c>
      <c r="R264" s="38">
        <f t="shared" si="53"/>
        <v>60</v>
      </c>
      <c r="S264" t="s">
        <v>3020</v>
      </c>
      <c r="T264" t="s">
        <v>2760</v>
      </c>
    </row>
    <row r="265" spans="1:21" ht="15.75" hidden="1" customHeight="1" x14ac:dyDescent="0.3">
      <c r="A265" s="410" t="s">
        <v>3158</v>
      </c>
      <c r="B265" s="10"/>
      <c r="C265" s="10"/>
      <c r="D265" s="10"/>
      <c r="E265" s="38">
        <f t="shared" si="59"/>
        <v>0</v>
      </c>
      <c r="F265" s="10"/>
      <c r="G265" s="10"/>
      <c r="H265" s="10"/>
      <c r="I265" s="38">
        <f t="shared" si="55"/>
        <v>0</v>
      </c>
      <c r="J265" s="10"/>
      <c r="K265" s="10"/>
      <c r="L265" s="10"/>
      <c r="M265" s="38">
        <f t="shared" si="56"/>
        <v>0</v>
      </c>
      <c r="N265" s="10"/>
      <c r="O265" s="10"/>
      <c r="P265" s="10"/>
      <c r="Q265" s="38">
        <f t="shared" si="57"/>
        <v>0</v>
      </c>
      <c r="R265" s="38">
        <f t="shared" si="53"/>
        <v>0</v>
      </c>
      <c r="T265" t="s">
        <v>2760</v>
      </c>
    </row>
    <row r="266" spans="1:21" ht="15.75" hidden="1" customHeight="1" x14ac:dyDescent="0.3">
      <c r="A266" s="410" t="s">
        <v>3276</v>
      </c>
      <c r="B266" s="10"/>
      <c r="C266" s="10"/>
      <c r="D266" s="10">
        <v>518</v>
      </c>
      <c r="E266" s="38">
        <f t="shared" ref="E266" si="66">SUM(B266:D266)</f>
        <v>518</v>
      </c>
      <c r="F266" s="10">
        <v>518</v>
      </c>
      <c r="G266" s="10">
        <v>518</v>
      </c>
      <c r="H266" s="10">
        <v>518</v>
      </c>
      <c r="I266" s="38">
        <f t="shared" ref="I266:I267" si="67">SUM(F266:H266)</f>
        <v>1554</v>
      </c>
      <c r="J266" s="10">
        <v>518</v>
      </c>
      <c r="K266" s="10">
        <v>518</v>
      </c>
      <c r="L266" s="10">
        <v>518</v>
      </c>
      <c r="M266" s="38">
        <f t="shared" ref="M266:M267" si="68">SUM(J266:L266)</f>
        <v>1554</v>
      </c>
      <c r="N266" s="10">
        <v>518</v>
      </c>
      <c r="O266" s="10">
        <v>518</v>
      </c>
      <c r="P266" s="10">
        <v>517</v>
      </c>
      <c r="Q266" s="38">
        <f t="shared" ref="Q266" si="69">SUM(N266:P266)</f>
        <v>1553</v>
      </c>
      <c r="R266" s="38">
        <f t="shared" si="53"/>
        <v>5179</v>
      </c>
      <c r="S266" t="s">
        <v>3020</v>
      </c>
      <c r="T266" t="s">
        <v>2760</v>
      </c>
    </row>
    <row r="267" spans="1:21" ht="15.75" hidden="1" customHeight="1" x14ac:dyDescent="0.3">
      <c r="A267" s="410" t="s">
        <v>2939</v>
      </c>
      <c r="B267" s="10"/>
      <c r="C267" s="10"/>
      <c r="D267" s="10"/>
      <c r="E267" s="38">
        <f t="shared" si="59"/>
        <v>0</v>
      </c>
      <c r="F267" s="10"/>
      <c r="G267" s="10"/>
      <c r="H267" s="10"/>
      <c r="I267" s="38">
        <f t="shared" si="67"/>
        <v>0</v>
      </c>
      <c r="J267" s="10">
        <v>5000</v>
      </c>
      <c r="K267" s="10"/>
      <c r="L267" s="10">
        <v>3600</v>
      </c>
      <c r="M267" s="38">
        <f t="shared" si="68"/>
        <v>8600</v>
      </c>
      <c r="N267" s="10">
        <v>1400</v>
      </c>
      <c r="O267" s="10"/>
      <c r="P267" s="10"/>
      <c r="Q267" s="38">
        <f t="shared" si="57"/>
        <v>1400</v>
      </c>
      <c r="R267" s="38">
        <f>+E267+I267+M267+Q267</f>
        <v>10000</v>
      </c>
      <c r="S267" s="709" t="s">
        <v>3020</v>
      </c>
      <c r="T267" t="s">
        <v>2760</v>
      </c>
    </row>
    <row r="268" spans="1:21" ht="15.75" hidden="1" customHeight="1" x14ac:dyDescent="0.3">
      <c r="A268" s="569" t="s">
        <v>2741</v>
      </c>
      <c r="B268" s="10"/>
      <c r="C268" s="10"/>
      <c r="D268" s="10"/>
      <c r="E268" s="38">
        <f t="shared" si="59"/>
        <v>0</v>
      </c>
      <c r="F268" s="10"/>
      <c r="G268" s="10"/>
      <c r="H268" s="10"/>
      <c r="I268" s="38">
        <f t="shared" si="55"/>
        <v>0</v>
      </c>
      <c r="J268" s="10"/>
      <c r="K268" s="10"/>
      <c r="L268" s="10"/>
      <c r="M268" s="38">
        <f t="shared" si="56"/>
        <v>0</v>
      </c>
      <c r="N268" s="10"/>
      <c r="O268" s="10"/>
      <c r="P268" s="10"/>
      <c r="Q268" s="38">
        <f>SUM(N268:P268)</f>
        <v>0</v>
      </c>
      <c r="R268" s="38">
        <f t="shared" si="53"/>
        <v>0</v>
      </c>
      <c r="T268" t="s">
        <v>2769</v>
      </c>
    </row>
    <row r="269" spans="1:21" ht="15.75" hidden="1" customHeight="1" x14ac:dyDescent="0.3">
      <c r="A269" s="569" t="s">
        <v>2742</v>
      </c>
      <c r="B269" s="10"/>
      <c r="C269" s="10"/>
      <c r="D269" s="10"/>
      <c r="E269" s="38">
        <f>SUM(B269:D269)</f>
        <v>0</v>
      </c>
      <c r="F269" s="10"/>
      <c r="G269" s="10"/>
      <c r="H269" s="10">
        <v>1000</v>
      </c>
      <c r="I269" s="38">
        <f t="shared" ref="I269:I270" si="70">SUM(F269:H269)</f>
        <v>1000</v>
      </c>
      <c r="J269" s="10">
        <v>2000</v>
      </c>
      <c r="K269" s="10">
        <v>2000</v>
      </c>
      <c r="L269" s="10">
        <v>2000</v>
      </c>
      <c r="M269" s="38">
        <f t="shared" ref="M269" si="71">SUM(J269:L269)</f>
        <v>6000</v>
      </c>
      <c r="N269" s="10">
        <v>2000</v>
      </c>
      <c r="O269" s="10">
        <v>1130</v>
      </c>
      <c r="P269" s="10"/>
      <c r="Q269" s="38">
        <f>SUM(N269:P269)</f>
        <v>3130</v>
      </c>
      <c r="R269" s="38">
        <f t="shared" si="53"/>
        <v>10130</v>
      </c>
      <c r="T269" t="s">
        <v>2770</v>
      </c>
    </row>
    <row r="270" spans="1:21" ht="15.75" hidden="1" customHeight="1" x14ac:dyDescent="0.3">
      <c r="A270" s="410" t="s">
        <v>3289</v>
      </c>
      <c r="B270" s="10"/>
      <c r="C270" s="10"/>
      <c r="D270" s="10"/>
      <c r="E270" s="38">
        <f>SUM(B270:D270)</f>
        <v>0</v>
      </c>
      <c r="F270" s="10"/>
      <c r="G270" s="10"/>
      <c r="H270" s="10">
        <f>590+100</f>
        <v>690</v>
      </c>
      <c r="I270" s="38">
        <f t="shared" si="70"/>
        <v>690</v>
      </c>
      <c r="J270" s="10">
        <v>100</v>
      </c>
      <c r="K270" s="10">
        <v>274</v>
      </c>
      <c r="L270" s="10"/>
      <c r="M270" s="38">
        <f>SUM(J270:L270)</f>
        <v>374</v>
      </c>
      <c r="N270" s="10"/>
      <c r="O270" s="10"/>
      <c r="P270" s="10"/>
      <c r="Q270" s="38">
        <f t="shared" si="57"/>
        <v>0</v>
      </c>
      <c r="R270" s="38">
        <f t="shared" si="53"/>
        <v>1064</v>
      </c>
      <c r="S270" t="s">
        <v>3020</v>
      </c>
      <c r="T270" t="s">
        <v>2760</v>
      </c>
    </row>
    <row r="271" spans="1:21" ht="15.75" hidden="1" customHeight="1" x14ac:dyDescent="0.3">
      <c r="A271" s="410" t="s">
        <v>3290</v>
      </c>
      <c r="B271" s="10"/>
      <c r="C271" s="10"/>
      <c r="D271" s="10"/>
      <c r="E271" s="38">
        <f t="shared" ref="E271:E272" si="72">SUM(B271:D271)</f>
        <v>0</v>
      </c>
      <c r="F271" s="10"/>
      <c r="G271" s="10"/>
      <c r="H271" s="10"/>
      <c r="I271" s="38">
        <f t="shared" si="55"/>
        <v>0</v>
      </c>
      <c r="J271" s="10"/>
      <c r="K271" s="10"/>
      <c r="L271" s="10"/>
      <c r="M271" s="38">
        <f t="shared" si="56"/>
        <v>0</v>
      </c>
      <c r="N271" s="10"/>
      <c r="O271" s="10"/>
      <c r="P271" s="10"/>
      <c r="Q271" s="38">
        <f t="shared" si="57"/>
        <v>0</v>
      </c>
      <c r="R271" s="38">
        <f t="shared" si="53"/>
        <v>0</v>
      </c>
      <c r="T271" t="s">
        <v>2760</v>
      </c>
    </row>
    <row r="272" spans="1:21" ht="15.75" hidden="1" customHeight="1" x14ac:dyDescent="0.3">
      <c r="A272" s="569" t="s">
        <v>3314</v>
      </c>
      <c r="B272" s="10"/>
      <c r="C272" s="10"/>
      <c r="D272" s="10"/>
      <c r="E272" s="38">
        <f t="shared" si="72"/>
        <v>0</v>
      </c>
      <c r="F272" s="10"/>
      <c r="G272" s="10"/>
      <c r="H272" s="10"/>
      <c r="I272" s="38">
        <f t="shared" si="55"/>
        <v>0</v>
      </c>
      <c r="J272" s="10"/>
      <c r="K272" s="10"/>
      <c r="L272" s="10"/>
      <c r="M272" s="38">
        <f t="shared" si="56"/>
        <v>0</v>
      </c>
      <c r="N272" s="10"/>
      <c r="O272" s="10"/>
      <c r="P272" s="10"/>
      <c r="Q272" s="38">
        <f t="shared" ref="Q272" si="73">SUM(N272:P272)</f>
        <v>0</v>
      </c>
      <c r="R272" s="38">
        <f t="shared" si="53"/>
        <v>0</v>
      </c>
    </row>
    <row r="273" spans="1:20" ht="15.75" hidden="1" customHeight="1" x14ac:dyDescent="0.3">
      <c r="A273" s="410" t="s">
        <v>3291</v>
      </c>
      <c r="B273" s="10">
        <v>1068</v>
      </c>
      <c r="C273" s="10">
        <v>1750</v>
      </c>
      <c r="D273" s="10">
        <v>32</v>
      </c>
      <c r="E273" s="38">
        <f t="shared" si="59"/>
        <v>2850</v>
      </c>
      <c r="F273" s="10"/>
      <c r="G273" s="10"/>
      <c r="H273" s="10"/>
      <c r="I273" s="38">
        <f t="shared" si="55"/>
        <v>0</v>
      </c>
      <c r="J273" s="10"/>
      <c r="K273" s="10"/>
      <c r="L273" s="10"/>
      <c r="M273" s="38">
        <f t="shared" si="56"/>
        <v>0</v>
      </c>
      <c r="N273" s="10"/>
      <c r="O273" s="10"/>
      <c r="P273" s="10"/>
      <c r="Q273" s="38">
        <f t="shared" si="57"/>
        <v>0</v>
      </c>
      <c r="R273" s="38">
        <f t="shared" si="53"/>
        <v>2850</v>
      </c>
      <c r="T273" t="s">
        <v>2775</v>
      </c>
    </row>
    <row r="274" spans="1:20" ht="15.75" hidden="1" customHeight="1" x14ac:dyDescent="0.3">
      <c r="A274" s="410" t="s">
        <v>3293</v>
      </c>
      <c r="B274" s="10"/>
      <c r="C274" s="10"/>
      <c r="D274" s="10"/>
      <c r="E274" s="38">
        <f t="shared" si="59"/>
        <v>0</v>
      </c>
      <c r="F274" s="10"/>
      <c r="G274" s="10"/>
      <c r="H274" s="10"/>
      <c r="I274" s="38">
        <f>SUM(F274:H274)</f>
        <v>0</v>
      </c>
      <c r="J274" s="10"/>
      <c r="K274" s="10">
        <v>85</v>
      </c>
      <c r="L274" s="10"/>
      <c r="M274" s="38">
        <f t="shared" si="56"/>
        <v>85</v>
      </c>
      <c r="N274" s="10"/>
      <c r="O274" s="10"/>
      <c r="P274" s="10"/>
      <c r="Q274" s="38">
        <f t="shared" si="57"/>
        <v>0</v>
      </c>
      <c r="R274" s="38">
        <f t="shared" si="53"/>
        <v>85</v>
      </c>
      <c r="S274" t="s">
        <v>3020</v>
      </c>
    </row>
    <row r="275" spans="1:20" ht="15.75" hidden="1" customHeight="1" x14ac:dyDescent="0.3">
      <c r="A275" s="410" t="s">
        <v>3313</v>
      </c>
      <c r="B275" s="10"/>
      <c r="C275" s="10"/>
      <c r="D275" s="10"/>
      <c r="E275" s="38">
        <f t="shared" si="59"/>
        <v>0</v>
      </c>
      <c r="F275" s="10"/>
      <c r="G275" s="10"/>
      <c r="H275" s="10"/>
      <c r="I275" s="38">
        <f>SUM(F275:H275)</f>
        <v>0</v>
      </c>
      <c r="J275" s="10"/>
      <c r="K275" s="10">
        <v>913</v>
      </c>
      <c r="L275" s="10"/>
      <c r="M275" s="38">
        <f t="shared" si="56"/>
        <v>913</v>
      </c>
      <c r="N275" s="10"/>
      <c r="O275" s="10"/>
      <c r="P275" s="10"/>
      <c r="Q275" s="38">
        <f t="shared" ref="Q275" si="74">SUM(N275:P275)</f>
        <v>0</v>
      </c>
      <c r="R275" s="38">
        <f t="shared" si="53"/>
        <v>913</v>
      </c>
    </row>
    <row r="276" spans="1:20" ht="15.75" hidden="1" customHeight="1" x14ac:dyDescent="0.3">
      <c r="A276" s="410" t="s">
        <v>3294</v>
      </c>
      <c r="B276" s="10">
        <v>95</v>
      </c>
      <c r="C276" s="10"/>
      <c r="D276" s="10"/>
      <c r="E276" s="38">
        <f t="shared" si="59"/>
        <v>95</v>
      </c>
      <c r="F276" s="10"/>
      <c r="G276" s="10"/>
      <c r="H276" s="10"/>
      <c r="I276" s="38">
        <f t="shared" si="55"/>
        <v>0</v>
      </c>
      <c r="J276" s="10"/>
      <c r="K276" s="10"/>
      <c r="L276" s="10"/>
      <c r="M276" s="38">
        <f t="shared" si="56"/>
        <v>0</v>
      </c>
      <c r="N276" s="10"/>
      <c r="O276" s="10"/>
      <c r="P276" s="10"/>
      <c r="Q276" s="38">
        <f t="shared" si="57"/>
        <v>0</v>
      </c>
      <c r="R276" s="38">
        <f t="shared" si="53"/>
        <v>95</v>
      </c>
    </row>
    <row r="277" spans="1:20" ht="15.75" hidden="1" customHeight="1" x14ac:dyDescent="0.3">
      <c r="A277" s="410" t="s">
        <v>3295</v>
      </c>
      <c r="B277" s="10">
        <v>95</v>
      </c>
      <c r="C277" s="10"/>
      <c r="D277" s="10"/>
      <c r="E277" s="38">
        <f t="shared" si="59"/>
        <v>95</v>
      </c>
      <c r="F277" s="10"/>
      <c r="G277" s="10"/>
      <c r="H277" s="10"/>
      <c r="I277" s="38">
        <f t="shared" si="55"/>
        <v>0</v>
      </c>
      <c r="J277" s="10"/>
      <c r="K277" s="10"/>
      <c r="L277" s="10"/>
      <c r="M277" s="38">
        <f t="shared" si="56"/>
        <v>0</v>
      </c>
      <c r="N277" s="10"/>
      <c r="O277" s="10"/>
      <c r="P277" s="10"/>
      <c r="Q277" s="38">
        <f t="shared" si="57"/>
        <v>0</v>
      </c>
      <c r="R277" s="38">
        <f t="shared" si="53"/>
        <v>95</v>
      </c>
      <c r="S277" t="s">
        <v>3020</v>
      </c>
      <c r="T277" t="s">
        <v>2760</v>
      </c>
    </row>
    <row r="278" spans="1:20" ht="15.75" hidden="1" customHeight="1" x14ac:dyDescent="0.3">
      <c r="A278" s="410" t="s">
        <v>3053</v>
      </c>
      <c r="B278" s="10"/>
      <c r="C278" s="10">
        <v>500</v>
      </c>
      <c r="D278" s="10">
        <v>1300</v>
      </c>
      <c r="E278" s="38">
        <f>SUM(B278:D278)</f>
        <v>1800</v>
      </c>
      <c r="F278" s="10">
        <v>1200</v>
      </c>
      <c r="G278" s="10">
        <v>1100</v>
      </c>
      <c r="H278" s="10">
        <f>600</f>
        <v>600</v>
      </c>
      <c r="I278" s="38">
        <f>SUM(F278:H278)</f>
        <v>2900</v>
      </c>
      <c r="J278" s="10">
        <v>400</v>
      </c>
      <c r="K278" s="10">
        <v>1000</v>
      </c>
      <c r="L278" s="10">
        <v>1000</v>
      </c>
      <c r="M278" s="38">
        <f>SUM(J278:L278)</f>
        <v>2400</v>
      </c>
      <c r="N278" s="10">
        <v>1100</v>
      </c>
      <c r="O278" s="10">
        <v>1000</v>
      </c>
      <c r="P278" s="10">
        <v>1200</v>
      </c>
      <c r="Q278" s="38">
        <f>SUM(N278:P278)</f>
        <v>3300</v>
      </c>
      <c r="R278" s="38">
        <f>+E278+I278+M278+Q278</f>
        <v>10400</v>
      </c>
      <c r="S278" t="s">
        <v>3020</v>
      </c>
      <c r="T278" t="s">
        <v>2760</v>
      </c>
    </row>
    <row r="279" spans="1:20" ht="15.75" hidden="1" customHeight="1" x14ac:dyDescent="0.3">
      <c r="A279" s="410" t="s">
        <v>3428</v>
      </c>
      <c r="B279" s="10"/>
      <c r="C279" s="10"/>
      <c r="D279" s="10"/>
      <c r="E279" s="38">
        <f>SUM(B279:D279)</f>
        <v>0</v>
      </c>
      <c r="F279" s="10"/>
      <c r="G279" s="10"/>
      <c r="H279" s="10">
        <v>3600</v>
      </c>
      <c r="I279" s="38">
        <f>SUM(F279:H279)</f>
        <v>3600</v>
      </c>
      <c r="J279" s="10"/>
      <c r="K279" s="10"/>
      <c r="L279" s="10"/>
      <c r="M279" s="38">
        <f>SUM(J279:L279)</f>
        <v>0</v>
      </c>
      <c r="N279" s="10"/>
      <c r="O279" s="10"/>
      <c r="P279" s="10"/>
      <c r="Q279" s="38">
        <f>SUM(N279:P279)</f>
        <v>0</v>
      </c>
      <c r="R279" s="38">
        <f>+E279+I279+M279+Q279</f>
        <v>3600</v>
      </c>
    </row>
    <row r="280" spans="1:20" ht="15.75" hidden="1" customHeight="1" x14ac:dyDescent="0.3">
      <c r="A280" s="410" t="s">
        <v>3275</v>
      </c>
      <c r="B280" s="10"/>
      <c r="C280" s="10"/>
      <c r="D280" s="10"/>
      <c r="E280" s="38">
        <f>SUM(B280:D280)</f>
        <v>0</v>
      </c>
      <c r="F280" s="10"/>
      <c r="G280" s="10"/>
      <c r="H280" s="10"/>
      <c r="I280" s="38">
        <f>SUM(F280:H280)</f>
        <v>0</v>
      </c>
      <c r="J280" s="10"/>
      <c r="K280" s="10"/>
      <c r="L280" s="10"/>
      <c r="M280" s="38">
        <f>SUM(J280:L280)</f>
        <v>0</v>
      </c>
      <c r="N280" s="10"/>
      <c r="O280" s="10"/>
      <c r="P280" s="10"/>
      <c r="Q280" s="38">
        <f t="shared" ref="Q280" si="75">SUM(N280:P280)</f>
        <v>0</v>
      </c>
      <c r="R280" s="38">
        <f>+E280+I280+M280+Q280</f>
        <v>0</v>
      </c>
      <c r="T280" t="s">
        <v>2760</v>
      </c>
    </row>
    <row r="281" spans="1:20" ht="15.75" hidden="1" customHeight="1" x14ac:dyDescent="0.3">
      <c r="A281" s="410" t="s">
        <v>3154</v>
      </c>
      <c r="B281" s="10"/>
      <c r="C281" s="10"/>
      <c r="D281" s="10"/>
      <c r="E281" s="38">
        <f t="shared" ref="E281:E282" si="76">SUM(B281:D281)</f>
        <v>0</v>
      </c>
      <c r="F281" s="10"/>
      <c r="G281" s="10"/>
      <c r="H281" s="10"/>
      <c r="I281" s="38">
        <f t="shared" ref="I281:I282" si="77">SUM(F281:H281)</f>
        <v>0</v>
      </c>
      <c r="J281" s="10"/>
      <c r="K281" s="10"/>
      <c r="L281" s="10"/>
      <c r="M281" s="38">
        <f t="shared" ref="M281:M282" si="78">SUM(J281:L281)</f>
        <v>0</v>
      </c>
      <c r="N281" s="10"/>
      <c r="O281" s="10"/>
      <c r="P281" s="10"/>
      <c r="Q281" s="38">
        <f t="shared" ref="Q281" si="79">SUM(N281:P281)</f>
        <v>0</v>
      </c>
      <c r="R281" s="38">
        <f>+E281+I281+M281+Q281</f>
        <v>0</v>
      </c>
      <c r="T281" t="s">
        <v>2760</v>
      </c>
    </row>
    <row r="282" spans="1:20" ht="15.75" hidden="1" customHeight="1" x14ac:dyDescent="0.3">
      <c r="A282" s="569" t="s">
        <v>3426</v>
      </c>
      <c r="B282" s="10"/>
      <c r="C282" s="10"/>
      <c r="D282" s="10"/>
      <c r="E282" s="38">
        <f t="shared" si="76"/>
        <v>0</v>
      </c>
      <c r="F282" s="10"/>
      <c r="G282" s="10"/>
      <c r="H282" s="10"/>
      <c r="I282" s="38">
        <f t="shared" si="77"/>
        <v>0</v>
      </c>
      <c r="J282" s="10"/>
      <c r="K282" s="10"/>
      <c r="L282" s="10"/>
      <c r="M282" s="38">
        <f t="shared" si="78"/>
        <v>0</v>
      </c>
      <c r="N282" s="10">
        <v>410</v>
      </c>
      <c r="O282" s="10">
        <v>410</v>
      </c>
      <c r="P282" s="10">
        <v>410</v>
      </c>
      <c r="Q282" s="38">
        <f t="shared" ref="Q282" si="80">SUM(N282:P282)</f>
        <v>1230</v>
      </c>
      <c r="R282" s="38">
        <f>+E282+I282+M282+Q282</f>
        <v>1230</v>
      </c>
    </row>
    <row r="283" spans="1:20" ht="15.75" hidden="1" customHeight="1" x14ac:dyDescent="0.3">
      <c r="A283" s="410" t="s">
        <v>3385</v>
      </c>
      <c r="B283" s="10"/>
      <c r="C283" s="10"/>
      <c r="D283" s="10">
        <v>184</v>
      </c>
      <c r="E283" s="38">
        <f t="shared" ref="E283" si="81">SUM(B283:D283)</f>
        <v>184</v>
      </c>
      <c r="F283" s="10">
        <v>184</v>
      </c>
      <c r="G283" s="10">
        <v>276</v>
      </c>
      <c r="H283" s="10">
        <v>276</v>
      </c>
      <c r="I283" s="38">
        <f t="shared" ref="I283" si="82">SUM(F283:H283)</f>
        <v>736</v>
      </c>
      <c r="J283" s="10">
        <v>276</v>
      </c>
      <c r="K283" s="10">
        <v>276</v>
      </c>
      <c r="L283" s="10">
        <v>184</v>
      </c>
      <c r="M283" s="38">
        <f t="shared" ref="M283" si="83">SUM(J283:L283)</f>
        <v>736</v>
      </c>
      <c r="N283" s="10">
        <v>184</v>
      </c>
      <c r="O283" s="10">
        <v>92</v>
      </c>
      <c r="P283" s="10">
        <v>92</v>
      </c>
      <c r="Q283" s="38">
        <f t="shared" si="57"/>
        <v>368</v>
      </c>
      <c r="R283" s="38">
        <f t="shared" si="53"/>
        <v>2024</v>
      </c>
      <c r="S283" t="s">
        <v>3020</v>
      </c>
    </row>
    <row r="284" spans="1:20" ht="15.75" hidden="1" customHeight="1" x14ac:dyDescent="0.3">
      <c r="A284" s="410" t="s">
        <v>1453</v>
      </c>
      <c r="B284" s="10">
        <v>358</v>
      </c>
      <c r="C284" s="10">
        <f>3970+73+20</f>
        <v>4063</v>
      </c>
      <c r="D284" s="10">
        <f>4612+89+38</f>
        <v>4739</v>
      </c>
      <c r="E284" s="38">
        <f>SUM(B284:D284)</f>
        <v>9160</v>
      </c>
      <c r="F284" s="10">
        <v>3340</v>
      </c>
      <c r="G284" s="10"/>
      <c r="H284" s="10"/>
      <c r="I284" s="38">
        <f>SUM(F284:H284)</f>
        <v>3340</v>
      </c>
      <c r="J284" s="10"/>
      <c r="K284" s="10"/>
      <c r="L284" s="10"/>
      <c r="M284" s="38">
        <f>SUM(J284:L284)</f>
        <v>0</v>
      </c>
      <c r="N284" s="10"/>
      <c r="O284" s="10"/>
      <c r="P284" s="10"/>
      <c r="Q284" s="38">
        <f>SUM(N284:P284)</f>
        <v>0</v>
      </c>
      <c r="R284" s="38">
        <f>+E284+I284+M284+Q284</f>
        <v>12500</v>
      </c>
      <c r="S284" t="s">
        <v>3020</v>
      </c>
    </row>
    <row r="285" spans="1:20" ht="15.75" hidden="1" customHeight="1" x14ac:dyDescent="0.3">
      <c r="A285" s="410" t="s">
        <v>3080</v>
      </c>
      <c r="B285" s="10"/>
      <c r="C285" s="10"/>
      <c r="D285" s="10"/>
      <c r="E285" s="38">
        <f>SUM(B285:D285)</f>
        <v>0</v>
      </c>
      <c r="F285" s="10"/>
      <c r="G285" s="10"/>
      <c r="H285" s="10"/>
      <c r="I285" s="38">
        <f>SUM(F285:H285)</f>
        <v>0</v>
      </c>
      <c r="J285" s="10"/>
      <c r="K285" s="10"/>
      <c r="L285" s="10"/>
      <c r="M285" s="38">
        <f>SUM(J285:L285)</f>
        <v>0</v>
      </c>
      <c r="N285" s="10"/>
      <c r="O285" s="10"/>
      <c r="P285" s="10"/>
      <c r="Q285" s="38">
        <f>SUM(N285:P285)</f>
        <v>0</v>
      </c>
      <c r="R285" s="38">
        <f>+E285+I285+M285+Q285</f>
        <v>0</v>
      </c>
    </row>
    <row r="286" spans="1:20" ht="15.75" hidden="1" customHeight="1" x14ac:dyDescent="0.3">
      <c r="A286" s="410" t="s">
        <v>3136</v>
      </c>
      <c r="B286" s="10"/>
      <c r="C286" s="10"/>
      <c r="D286" s="10"/>
      <c r="E286" s="38">
        <f t="shared" ref="E286" si="84">SUM(B286:D286)</f>
        <v>0</v>
      </c>
      <c r="F286" s="10"/>
      <c r="G286" s="10"/>
      <c r="H286" s="10"/>
      <c r="I286" s="38">
        <f t="shared" ref="I286" si="85">SUM(F286:H286)</f>
        <v>0</v>
      </c>
      <c r="J286" s="10"/>
      <c r="K286" s="10"/>
      <c r="L286" s="10"/>
      <c r="M286" s="38">
        <f t="shared" ref="M286" si="86">SUM(J286:L286)</f>
        <v>0</v>
      </c>
      <c r="N286" s="10"/>
      <c r="O286" s="10"/>
      <c r="P286" s="10"/>
      <c r="Q286" s="38">
        <f t="shared" ref="Q286" si="87">SUM(N286:P286)</f>
        <v>0</v>
      </c>
      <c r="R286" s="38">
        <f t="shared" ref="R286" si="88">+E286+I286+M286+Q286</f>
        <v>0</v>
      </c>
    </row>
    <row r="287" spans="1:20" ht="15.75" hidden="1" customHeight="1" x14ac:dyDescent="0.3">
      <c r="A287" s="410" t="s">
        <v>1410</v>
      </c>
      <c r="B287" s="10">
        <v>500</v>
      </c>
      <c r="C287" s="10"/>
      <c r="D287" s="10"/>
      <c r="E287" s="38">
        <f t="shared" ref="E287:E288" si="89">SUM(B287:D287)</f>
        <v>500</v>
      </c>
      <c r="F287" s="10"/>
      <c r="G287" s="10"/>
      <c r="H287" s="10"/>
      <c r="I287" s="38">
        <f t="shared" si="55"/>
        <v>0</v>
      </c>
      <c r="J287" s="10"/>
      <c r="K287" s="10"/>
      <c r="L287" s="10"/>
      <c r="M287" s="38">
        <f t="shared" si="56"/>
        <v>0</v>
      </c>
      <c r="N287" s="10"/>
      <c r="O287" s="10"/>
      <c r="P287" s="10"/>
      <c r="Q287" s="38">
        <f t="shared" si="57"/>
        <v>0</v>
      </c>
      <c r="R287" s="38">
        <f t="shared" si="53"/>
        <v>500</v>
      </c>
    </row>
    <row r="288" spans="1:20" ht="15.75" hidden="1" customHeight="1" x14ac:dyDescent="0.3">
      <c r="A288" s="410" t="s">
        <v>3423</v>
      </c>
      <c r="B288" s="10"/>
      <c r="C288" s="10"/>
      <c r="D288" s="10"/>
      <c r="E288" s="38">
        <f t="shared" si="89"/>
        <v>0</v>
      </c>
      <c r="F288" s="10">
        <v>1000</v>
      </c>
      <c r="G288" s="10"/>
      <c r="H288" s="10">
        <v>900</v>
      </c>
      <c r="I288" s="38">
        <f t="shared" si="55"/>
        <v>1900</v>
      </c>
      <c r="J288" s="10">
        <v>1100</v>
      </c>
      <c r="K288" s="10">
        <v>500</v>
      </c>
      <c r="L288" s="10">
        <v>800</v>
      </c>
      <c r="M288" s="38">
        <f t="shared" si="56"/>
        <v>2400</v>
      </c>
      <c r="N288" s="10"/>
      <c r="O288" s="10">
        <v>500</v>
      </c>
      <c r="P288" s="10">
        <v>700</v>
      </c>
      <c r="Q288" s="38">
        <f t="shared" si="57"/>
        <v>1200</v>
      </c>
      <c r="R288" s="38">
        <f t="shared" si="53"/>
        <v>5500</v>
      </c>
    </row>
    <row r="289" spans="1:20" ht="15.75" hidden="1" customHeight="1" thickBot="1" x14ac:dyDescent="0.35">
      <c r="A289" s="410" t="s">
        <v>3025</v>
      </c>
      <c r="B289" s="10"/>
      <c r="C289" s="10"/>
      <c r="D289" s="10"/>
      <c r="E289" s="38">
        <f>SUM(B289:D289)</f>
        <v>0</v>
      </c>
      <c r="F289" s="10"/>
      <c r="G289" s="10"/>
      <c r="H289" s="10"/>
      <c r="I289" s="38">
        <f>SUM(F289:H289)</f>
        <v>0</v>
      </c>
      <c r="J289" s="10"/>
      <c r="K289" s="10"/>
      <c r="L289" s="10"/>
      <c r="M289" s="38">
        <f>SUM(J289:L289)</f>
        <v>0</v>
      </c>
      <c r="N289" s="10"/>
      <c r="O289" s="10"/>
      <c r="P289" s="10">
        <v>128</v>
      </c>
      <c r="Q289" s="38">
        <f>SUM(N289:P289)</f>
        <v>128</v>
      </c>
      <c r="R289" s="38">
        <f t="shared" si="53"/>
        <v>128</v>
      </c>
      <c r="S289" s="709" t="s">
        <v>3020</v>
      </c>
    </row>
    <row r="290" spans="1:20" ht="16.5" hidden="1" customHeight="1" thickBot="1" x14ac:dyDescent="0.35">
      <c r="A290" s="43" t="s">
        <v>1220</v>
      </c>
      <c r="B290" s="45"/>
      <c r="C290" s="46"/>
      <c r="D290" s="46"/>
      <c r="E290" s="37">
        <f t="shared" ref="E290" si="90">SUM(B290:D290)</f>
        <v>0</v>
      </c>
      <c r="F290" s="46">
        <f>SUM(F222:F289)</f>
        <v>12160</v>
      </c>
      <c r="G290" s="46">
        <f>SUM(G222:G289)</f>
        <v>14443</v>
      </c>
      <c r="H290" s="46">
        <f>SUM(H222:H289)</f>
        <v>13611</v>
      </c>
      <c r="I290" s="37">
        <f t="shared" ref="I290" si="91">SUM(F290:H290)</f>
        <v>40214</v>
      </c>
      <c r="J290" s="46">
        <f>SUM(J222:J289)</f>
        <v>10160</v>
      </c>
      <c r="K290" s="46">
        <f>SUM(K222:K289)</f>
        <v>10187</v>
      </c>
      <c r="L290" s="46">
        <f>SUM(L222:L289)</f>
        <v>10033</v>
      </c>
      <c r="M290" s="37">
        <f t="shared" ref="M290" si="92">SUM(J290:L290)</f>
        <v>30380</v>
      </c>
      <c r="N290" s="46">
        <f>SUM(N222:N289)</f>
        <v>7747</v>
      </c>
      <c r="O290" s="46">
        <f>SUM(O222:O289)</f>
        <v>5490</v>
      </c>
      <c r="P290" s="46">
        <f>SUM(P222:P289)</f>
        <v>4910</v>
      </c>
      <c r="Q290" s="37">
        <f t="shared" ref="Q290" si="93">SUM(N290:P290)</f>
        <v>18147</v>
      </c>
      <c r="R290" s="37">
        <f t="shared" si="53"/>
        <v>88741</v>
      </c>
    </row>
    <row r="291" spans="1:20" ht="15.75" hidden="1" customHeight="1" x14ac:dyDescent="0.3">
      <c r="A291" s="234" t="s">
        <v>1712</v>
      </c>
      <c r="B291" s="10"/>
      <c r="C291" s="10"/>
      <c r="D291" s="10"/>
      <c r="E291" s="38" t="s">
        <v>852</v>
      </c>
      <c r="F291" s="10"/>
      <c r="G291" s="10"/>
      <c r="H291" s="10"/>
      <c r="I291" s="38" t="s">
        <v>852</v>
      </c>
      <c r="J291" s="10"/>
      <c r="K291" s="10"/>
      <c r="L291" s="10"/>
      <c r="M291" s="38" t="s">
        <v>852</v>
      </c>
      <c r="N291" s="10"/>
      <c r="O291" s="10"/>
      <c r="P291" s="10"/>
      <c r="Q291" s="38" t="s">
        <v>852</v>
      </c>
      <c r="R291" s="38" t="s">
        <v>852</v>
      </c>
    </row>
    <row r="292" spans="1:20" ht="15.75" hidden="1" customHeight="1" x14ac:dyDescent="0.3">
      <c r="A292" s="234" t="s">
        <v>1021</v>
      </c>
      <c r="B292" s="10"/>
      <c r="C292" s="10"/>
      <c r="D292" s="10"/>
      <c r="E292" s="38" t="s">
        <v>852</v>
      </c>
      <c r="F292" s="10"/>
      <c r="G292" s="10"/>
      <c r="H292" s="10"/>
      <c r="I292" s="38" t="s">
        <v>852</v>
      </c>
      <c r="J292" s="10"/>
      <c r="K292" s="10"/>
      <c r="L292" s="10"/>
      <c r="M292" s="38" t="s">
        <v>852</v>
      </c>
      <c r="N292" s="10"/>
      <c r="O292" s="10"/>
      <c r="P292" s="10"/>
      <c r="Q292" s="38" t="s">
        <v>852</v>
      </c>
      <c r="R292" s="38" t="s">
        <v>852</v>
      </c>
    </row>
    <row r="293" spans="1:20" ht="15.75" hidden="1" customHeight="1" x14ac:dyDescent="0.3">
      <c r="A293" s="618" t="s">
        <v>2796</v>
      </c>
      <c r="B293" s="10"/>
      <c r="C293" s="10"/>
      <c r="D293" s="10"/>
      <c r="E293" s="38">
        <f>SUM(B293:D293)</f>
        <v>0</v>
      </c>
      <c r="F293" s="10"/>
      <c r="G293" s="10"/>
      <c r="H293" s="10"/>
      <c r="I293" s="38">
        <f>SUM(F293:H293)</f>
        <v>0</v>
      </c>
      <c r="J293" s="10"/>
      <c r="K293" s="10"/>
      <c r="L293" s="10"/>
      <c r="M293" s="38">
        <f>SUM(J293:L293)</f>
        <v>0</v>
      </c>
      <c r="N293" s="10"/>
      <c r="O293" s="10"/>
      <c r="P293" s="10"/>
      <c r="Q293" s="38">
        <f>SUM(N293:P293)</f>
        <v>0</v>
      </c>
      <c r="R293" s="38">
        <f>+E293+I293+M293+Q293</f>
        <v>0</v>
      </c>
      <c r="T293" t="s">
        <v>2760</v>
      </c>
    </row>
    <row r="294" spans="1:20" ht="15.75" hidden="1" customHeight="1" x14ac:dyDescent="0.3">
      <c r="A294" s="568" t="s">
        <v>3252</v>
      </c>
      <c r="B294" s="10"/>
      <c r="C294" s="10"/>
      <c r="D294" s="10"/>
      <c r="E294" s="38">
        <f>SUM(B294:D294)</f>
        <v>0</v>
      </c>
      <c r="F294" s="10"/>
      <c r="G294" s="10"/>
      <c r="H294" s="10"/>
      <c r="I294" s="38">
        <f>SUM(F294:H294)</f>
        <v>0</v>
      </c>
      <c r="J294" s="10"/>
      <c r="K294" s="10"/>
      <c r="L294" s="10"/>
      <c r="M294" s="38">
        <f>SUM(J294:L294)</f>
        <v>0</v>
      </c>
      <c r="N294" s="10"/>
      <c r="O294" s="10"/>
      <c r="P294" s="10"/>
      <c r="Q294" s="38">
        <f>SUM(N294:P294)</f>
        <v>0</v>
      </c>
      <c r="R294" s="38">
        <f>+E294+I294+M294+Q294</f>
        <v>0</v>
      </c>
      <c r="T294" t="s">
        <v>2769</v>
      </c>
    </row>
    <row r="295" spans="1:20" ht="15.75" hidden="1" customHeight="1" x14ac:dyDescent="0.3">
      <c r="A295" s="568" t="s">
        <v>3253</v>
      </c>
      <c r="B295" s="10"/>
      <c r="C295" s="10"/>
      <c r="D295" s="10"/>
      <c r="E295" s="38">
        <f>SUM(B295:D295)</f>
        <v>0</v>
      </c>
      <c r="F295" s="10"/>
      <c r="G295" s="10"/>
      <c r="H295" s="10"/>
      <c r="I295" s="38">
        <f>SUM(F295:H295)</f>
        <v>0</v>
      </c>
      <c r="J295" s="10"/>
      <c r="K295" s="10"/>
      <c r="L295" s="10"/>
      <c r="M295" s="38">
        <f>SUM(J295:L295)</f>
        <v>0</v>
      </c>
      <c r="N295" s="10"/>
      <c r="O295" s="10"/>
      <c r="P295" s="10"/>
      <c r="Q295" s="38">
        <f>SUM(N295:P295)</f>
        <v>0</v>
      </c>
      <c r="R295" s="38">
        <f>+E295+I295+M295+Q295</f>
        <v>0</v>
      </c>
      <c r="T295" t="s">
        <v>2770</v>
      </c>
    </row>
    <row r="296" spans="1:20" ht="15.75" hidden="1" customHeight="1" x14ac:dyDescent="0.3">
      <c r="A296" s="234" t="s">
        <v>557</v>
      </c>
      <c r="B296" s="10"/>
      <c r="C296" s="10"/>
      <c r="D296" s="10"/>
      <c r="E296" s="38" t="s">
        <v>852</v>
      </c>
      <c r="F296" s="10"/>
      <c r="G296" s="10"/>
      <c r="H296" s="10"/>
      <c r="I296" s="38" t="s">
        <v>852</v>
      </c>
      <c r="J296" s="10"/>
      <c r="K296" s="10"/>
      <c r="L296" s="10"/>
      <c r="M296" s="38" t="s">
        <v>852</v>
      </c>
      <c r="N296" s="10"/>
      <c r="O296" s="10"/>
      <c r="P296" s="10"/>
      <c r="Q296" s="38" t="s">
        <v>852</v>
      </c>
      <c r="R296" s="38" t="s">
        <v>852</v>
      </c>
    </row>
    <row r="297" spans="1:20" ht="15.75" hidden="1" customHeight="1" x14ac:dyDescent="0.3">
      <c r="A297" s="568" t="s">
        <v>3006</v>
      </c>
      <c r="B297" s="10"/>
      <c r="C297" s="10"/>
      <c r="D297" s="10"/>
      <c r="E297" s="38">
        <f>SUM(B297:D297)</f>
        <v>0</v>
      </c>
      <c r="F297" s="10"/>
      <c r="G297" s="10"/>
      <c r="H297" s="10"/>
      <c r="I297" s="38">
        <f>SUM(F297:H297)</f>
        <v>0</v>
      </c>
      <c r="J297" s="10"/>
      <c r="K297" s="10"/>
      <c r="L297" s="10"/>
      <c r="M297" s="38">
        <f>SUM(J297:L297)</f>
        <v>0</v>
      </c>
      <c r="N297" s="10"/>
      <c r="O297" s="10"/>
      <c r="P297" s="10"/>
      <c r="Q297" s="38">
        <f>SUM(N297:P297)</f>
        <v>0</v>
      </c>
      <c r="R297" s="38">
        <f>+E297+I297+M297+Q297</f>
        <v>0</v>
      </c>
    </row>
    <row r="298" spans="1:20" ht="15.75" hidden="1" customHeight="1" x14ac:dyDescent="0.3">
      <c r="A298" s="568" t="s">
        <v>3010</v>
      </c>
      <c r="B298" s="10"/>
      <c r="C298" s="10"/>
      <c r="D298" s="10"/>
      <c r="E298" s="38">
        <f>SUM(B298:D298)</f>
        <v>0</v>
      </c>
      <c r="F298" s="10"/>
      <c r="G298" s="10"/>
      <c r="H298" s="10"/>
      <c r="I298" s="38">
        <f>SUM(F298:H298)</f>
        <v>0</v>
      </c>
      <c r="J298" s="10"/>
      <c r="K298" s="10"/>
      <c r="L298" s="10"/>
      <c r="M298" s="38">
        <f>SUM(J298:L298)</f>
        <v>0</v>
      </c>
      <c r="N298" s="10"/>
      <c r="O298" s="10"/>
      <c r="P298" s="10"/>
      <c r="Q298" s="38">
        <f>SUM(N298:P298)</f>
        <v>0</v>
      </c>
      <c r="R298" s="38">
        <f>+E298+I298+M298+Q298</f>
        <v>0</v>
      </c>
      <c r="T298">
        <f>24000-SUM(R151,R155,R175,R178,R192,R210,R246,R247,R268,R294,R297,R298)</f>
        <v>4691</v>
      </c>
    </row>
    <row r="299" spans="1:20" ht="15.75" hidden="1" customHeight="1" x14ac:dyDescent="0.3">
      <c r="A299" s="539" t="s">
        <v>3021</v>
      </c>
      <c r="B299" s="10"/>
      <c r="C299" s="10"/>
      <c r="D299" s="10"/>
      <c r="E299" s="38">
        <f t="shared" ref="E299:E304" si="94">SUM(B299:D299)</f>
        <v>0</v>
      </c>
      <c r="F299" s="10"/>
      <c r="G299" s="10"/>
      <c r="H299" s="10"/>
      <c r="I299" s="38">
        <f t="shared" ref="I299:I304" si="95">SUM(F299:H299)</f>
        <v>0</v>
      </c>
      <c r="J299" s="10"/>
      <c r="K299" s="10"/>
      <c r="L299" s="10"/>
      <c r="M299" s="38">
        <f t="shared" ref="M299:M304" si="96">SUM(J299:L299)</f>
        <v>0</v>
      </c>
      <c r="N299" s="10"/>
      <c r="O299" s="10"/>
      <c r="P299" s="10"/>
      <c r="Q299" s="38">
        <f t="shared" ref="Q299:Q304" si="97">SUM(N299:P299)</f>
        <v>0</v>
      </c>
      <c r="R299" s="38">
        <f t="shared" ref="R299:R304" si="98">+E299+I299+M299+Q299</f>
        <v>0</v>
      </c>
      <c r="S299" t="s">
        <v>3020</v>
      </c>
    </row>
    <row r="300" spans="1:20" ht="15.75" hidden="1" customHeight="1" x14ac:dyDescent="0.3">
      <c r="A300" s="539" t="s">
        <v>2561</v>
      </c>
      <c r="B300" s="10"/>
      <c r="C300" s="10"/>
      <c r="D300" s="10"/>
      <c r="E300" s="38">
        <f t="shared" si="94"/>
        <v>0</v>
      </c>
      <c r="F300" s="10"/>
      <c r="G300" s="10"/>
      <c r="H300" s="10"/>
      <c r="I300" s="38">
        <f t="shared" si="95"/>
        <v>0</v>
      </c>
      <c r="J300" s="10"/>
      <c r="K300" s="10"/>
      <c r="L300" s="10"/>
      <c r="M300" s="38">
        <f t="shared" si="96"/>
        <v>0</v>
      </c>
      <c r="N300" s="10"/>
      <c r="O300" s="10"/>
      <c r="P300" s="10"/>
      <c r="Q300" s="38">
        <f t="shared" si="97"/>
        <v>0</v>
      </c>
      <c r="R300" s="38">
        <f t="shared" si="98"/>
        <v>0</v>
      </c>
    </row>
    <row r="301" spans="1:20" ht="15.75" hidden="1" customHeight="1" x14ac:dyDescent="0.3">
      <c r="A301" s="569" t="s">
        <v>2828</v>
      </c>
      <c r="B301" s="10"/>
      <c r="C301" s="10"/>
      <c r="D301" s="10"/>
      <c r="E301" s="38">
        <f t="shared" si="94"/>
        <v>0</v>
      </c>
      <c r="F301" s="10"/>
      <c r="G301" s="10"/>
      <c r="H301" s="10"/>
      <c r="I301" s="38">
        <f t="shared" si="95"/>
        <v>0</v>
      </c>
      <c r="J301" s="10"/>
      <c r="K301" s="10"/>
      <c r="L301" s="10"/>
      <c r="M301" s="38">
        <f t="shared" si="96"/>
        <v>0</v>
      </c>
      <c r="N301" s="10"/>
      <c r="O301" s="10"/>
      <c r="P301" s="10"/>
      <c r="Q301" s="38">
        <f t="shared" si="97"/>
        <v>0</v>
      </c>
      <c r="R301" s="38">
        <f t="shared" si="98"/>
        <v>0</v>
      </c>
    </row>
    <row r="302" spans="1:20" ht="15.75" hidden="1" customHeight="1" x14ac:dyDescent="0.3">
      <c r="A302" s="569" t="s">
        <v>2563</v>
      </c>
      <c r="B302" s="10"/>
      <c r="C302" s="10"/>
      <c r="D302" s="10"/>
      <c r="E302" s="38">
        <f t="shared" si="94"/>
        <v>0</v>
      </c>
      <c r="F302" s="10"/>
      <c r="G302" s="10"/>
      <c r="H302" s="10"/>
      <c r="I302" s="38">
        <f t="shared" si="95"/>
        <v>0</v>
      </c>
      <c r="J302" s="10"/>
      <c r="K302" s="10"/>
      <c r="L302" s="10"/>
      <c r="M302" s="38">
        <f t="shared" si="96"/>
        <v>0</v>
      </c>
      <c r="N302" s="10"/>
      <c r="O302" s="10"/>
      <c r="P302" s="10"/>
      <c r="Q302" s="38">
        <f t="shared" si="97"/>
        <v>0</v>
      </c>
      <c r="R302" s="38">
        <f t="shared" si="98"/>
        <v>0</v>
      </c>
    </row>
    <row r="303" spans="1:20" ht="15.75" hidden="1" customHeight="1" x14ac:dyDescent="0.3">
      <c r="A303" s="422" t="s">
        <v>2564</v>
      </c>
      <c r="B303" s="10"/>
      <c r="C303" s="10"/>
      <c r="D303" s="10"/>
      <c r="E303" s="38">
        <f t="shared" si="94"/>
        <v>0</v>
      </c>
      <c r="F303" s="10"/>
      <c r="G303" s="10"/>
      <c r="H303" s="10"/>
      <c r="I303" s="38">
        <f t="shared" si="95"/>
        <v>0</v>
      </c>
      <c r="J303" s="10"/>
      <c r="K303" s="10"/>
      <c r="L303" s="10"/>
      <c r="M303" s="38">
        <f t="shared" si="96"/>
        <v>0</v>
      </c>
      <c r="N303" s="10"/>
      <c r="O303" s="10"/>
      <c r="P303" s="10"/>
      <c r="Q303" s="38">
        <f t="shared" si="97"/>
        <v>0</v>
      </c>
      <c r="R303" s="38">
        <f t="shared" si="98"/>
        <v>0</v>
      </c>
    </row>
    <row r="304" spans="1:20" ht="15.75" hidden="1" customHeight="1" x14ac:dyDescent="0.3">
      <c r="A304" s="422" t="s">
        <v>2565</v>
      </c>
      <c r="B304" s="10"/>
      <c r="C304" s="10"/>
      <c r="D304" s="10"/>
      <c r="E304" s="38">
        <f t="shared" si="94"/>
        <v>0</v>
      </c>
      <c r="F304" s="10"/>
      <c r="G304" s="10"/>
      <c r="H304" s="10"/>
      <c r="I304" s="38">
        <f t="shared" si="95"/>
        <v>0</v>
      </c>
      <c r="J304" s="10"/>
      <c r="K304" s="10"/>
      <c r="L304" s="10"/>
      <c r="M304" s="38">
        <f t="shared" si="96"/>
        <v>0</v>
      </c>
      <c r="N304" s="10"/>
      <c r="O304" s="10"/>
      <c r="P304" s="10"/>
      <c r="Q304" s="38">
        <f t="shared" si="97"/>
        <v>0</v>
      </c>
      <c r="R304" s="38">
        <f t="shared" si="98"/>
        <v>0</v>
      </c>
    </row>
    <row r="305" spans="1:20" ht="15.75" hidden="1" customHeight="1" x14ac:dyDescent="0.3">
      <c r="A305" s="234" t="s">
        <v>1022</v>
      </c>
      <c r="B305" s="10"/>
      <c r="C305" s="10"/>
      <c r="D305" s="10"/>
      <c r="E305" s="38" t="s">
        <v>852</v>
      </c>
      <c r="F305" s="10"/>
      <c r="G305" s="10"/>
      <c r="H305" s="10"/>
      <c r="I305" s="38" t="s">
        <v>852</v>
      </c>
      <c r="J305" s="10"/>
      <c r="K305" s="10"/>
      <c r="L305" s="10"/>
      <c r="M305" s="38" t="s">
        <v>852</v>
      </c>
      <c r="N305" s="10"/>
      <c r="O305" s="10"/>
      <c r="P305" s="10"/>
      <c r="Q305" s="38" t="s">
        <v>852</v>
      </c>
      <c r="R305" s="38" t="s">
        <v>852</v>
      </c>
    </row>
    <row r="306" spans="1:20" ht="15.75" hidden="1" customHeight="1" x14ac:dyDescent="0.3">
      <c r="A306" s="568" t="s">
        <v>3254</v>
      </c>
      <c r="B306" s="10"/>
      <c r="C306" s="10"/>
      <c r="D306" s="10"/>
      <c r="E306" s="38">
        <f t="shared" ref="E306" si="99">SUM(B306:D306)</f>
        <v>0</v>
      </c>
      <c r="F306" s="10"/>
      <c r="G306" s="10"/>
      <c r="H306" s="10"/>
      <c r="I306" s="38">
        <f t="shared" ref="I306" si="100">SUM(F306:H306)</f>
        <v>0</v>
      </c>
      <c r="J306" s="10"/>
      <c r="K306" s="10"/>
      <c r="L306" s="10"/>
      <c r="M306" s="38">
        <f t="shared" ref="M306" si="101">SUM(J306:L306)</f>
        <v>0</v>
      </c>
      <c r="N306" s="10"/>
      <c r="O306" s="10"/>
      <c r="P306" s="10"/>
      <c r="Q306" s="38">
        <f t="shared" ref="Q306" si="102">SUM(N306:P306)</f>
        <v>0</v>
      </c>
      <c r="R306" s="38">
        <f t="shared" ref="R306" si="103">+E306+I306+M306+Q306</f>
        <v>0</v>
      </c>
    </row>
    <row r="307" spans="1:20" ht="15.75" hidden="1" customHeight="1" x14ac:dyDescent="0.3">
      <c r="A307" s="234" t="s">
        <v>559</v>
      </c>
      <c r="B307" s="10"/>
      <c r="C307" s="10"/>
      <c r="D307" s="10"/>
      <c r="E307" s="38" t="s">
        <v>852</v>
      </c>
      <c r="F307" s="10"/>
      <c r="G307" s="10"/>
      <c r="H307" s="10"/>
      <c r="I307" s="38" t="s">
        <v>852</v>
      </c>
      <c r="J307" s="10"/>
      <c r="K307" s="10"/>
      <c r="L307" s="10"/>
      <c r="M307" s="38" t="s">
        <v>852</v>
      </c>
      <c r="N307" s="10"/>
      <c r="O307" s="10"/>
      <c r="P307" s="10"/>
      <c r="Q307" s="38" t="s">
        <v>852</v>
      </c>
      <c r="R307" s="38" t="s">
        <v>852</v>
      </c>
    </row>
    <row r="308" spans="1:20" ht="15.75" hidden="1" customHeight="1" thickBot="1" x14ac:dyDescent="0.35">
      <c r="A308" s="539" t="s">
        <v>3074</v>
      </c>
      <c r="B308" s="10"/>
      <c r="C308" s="10"/>
      <c r="D308" s="10"/>
      <c r="E308" s="38">
        <f t="shared" ref="E308" si="104">SUM(B308:D308)</f>
        <v>0</v>
      </c>
      <c r="F308" s="10"/>
      <c r="G308" s="10"/>
      <c r="H308" s="10"/>
      <c r="I308" s="38">
        <f t="shared" ref="I308:I317" si="105">SUM(F308:H308)</f>
        <v>0</v>
      </c>
      <c r="J308" s="10"/>
      <c r="K308" s="10"/>
      <c r="L308" s="10"/>
      <c r="M308" s="38">
        <f t="shared" ref="M308:M317" si="106">SUM(J308:L308)</f>
        <v>0</v>
      </c>
      <c r="N308" s="10"/>
      <c r="O308" s="10"/>
      <c r="P308" s="10"/>
      <c r="Q308" s="38">
        <f t="shared" ref="Q308:Q317" si="107">SUM(N308:P308)</f>
        <v>0</v>
      </c>
      <c r="R308" s="38">
        <f t="shared" ref="R308:R317" si="108">+E308+I308+M308+Q308</f>
        <v>0</v>
      </c>
      <c r="S308" t="s">
        <v>3020</v>
      </c>
    </row>
    <row r="309" spans="1:20" ht="16.5" hidden="1" customHeight="1" thickBot="1" x14ac:dyDescent="0.35">
      <c r="A309" s="43" t="s">
        <v>1019</v>
      </c>
      <c r="B309" s="42">
        <f>SUM(B305:B308)</f>
        <v>0</v>
      </c>
      <c r="C309" s="42">
        <f>SUM(C305:C308)</f>
        <v>0</v>
      </c>
      <c r="D309" s="42">
        <f>SUM(D305:D308)</f>
        <v>0</v>
      </c>
      <c r="E309" s="39">
        <f t="shared" ref="E309:E314" si="109">SUM(B309:D309)</f>
        <v>0</v>
      </c>
      <c r="F309" s="42">
        <f>SUM(F305:F308)</f>
        <v>0</v>
      </c>
      <c r="G309" s="42">
        <f>SUM(G305:G308)</f>
        <v>0</v>
      </c>
      <c r="H309" s="42">
        <f>SUM(H305:H308)</f>
        <v>0</v>
      </c>
      <c r="I309" s="39">
        <f t="shared" si="105"/>
        <v>0</v>
      </c>
      <c r="J309" s="42">
        <f>SUM(J305:J308)</f>
        <v>0</v>
      </c>
      <c r="K309" s="42">
        <f>SUM(K305:K308)</f>
        <v>0</v>
      </c>
      <c r="L309" s="42">
        <f>SUM(L305:L308)</f>
        <v>0</v>
      </c>
      <c r="M309" s="39">
        <f t="shared" si="106"/>
        <v>0</v>
      </c>
      <c r="N309" s="42">
        <f>SUM(N305:N308)</f>
        <v>0</v>
      </c>
      <c r="O309" s="42">
        <f>SUM(O305:O308)</f>
        <v>0</v>
      </c>
      <c r="P309" s="42">
        <f>SUM(P305:P308)</f>
        <v>0</v>
      </c>
      <c r="Q309" s="39">
        <f t="shared" si="107"/>
        <v>0</v>
      </c>
      <c r="R309" s="37">
        <f t="shared" si="108"/>
        <v>0</v>
      </c>
    </row>
    <row r="310" spans="1:20" ht="16.5" hidden="1" customHeight="1" thickBot="1" x14ac:dyDescent="0.35">
      <c r="A310" s="43" t="s">
        <v>1221</v>
      </c>
      <c r="B310" s="45">
        <f>SUM(B291:B308)</f>
        <v>0</v>
      </c>
      <c r="C310" s="46">
        <f>SUM(C291:C308)</f>
        <v>0</v>
      </c>
      <c r="D310" s="46">
        <f>SUM(D291:D308)</f>
        <v>0</v>
      </c>
      <c r="E310" s="37">
        <f t="shared" si="109"/>
        <v>0</v>
      </c>
      <c r="F310" s="46">
        <f>SUM(F291:F308)</f>
        <v>0</v>
      </c>
      <c r="G310" s="46">
        <f>SUM(G291:G308)</f>
        <v>0</v>
      </c>
      <c r="H310" s="46">
        <f>SUM(H291:H308)</f>
        <v>0</v>
      </c>
      <c r="I310" s="37">
        <f t="shared" si="105"/>
        <v>0</v>
      </c>
      <c r="J310" s="46">
        <f>SUM(J291:J308)</f>
        <v>0</v>
      </c>
      <c r="K310" s="46">
        <f>SUM(K291:K308)</f>
        <v>0</v>
      </c>
      <c r="L310" s="46">
        <f>SUM(L291:L308)</f>
        <v>0</v>
      </c>
      <c r="M310" s="37">
        <f t="shared" si="106"/>
        <v>0</v>
      </c>
      <c r="N310" s="46">
        <f>SUM(N291:N308)</f>
        <v>0</v>
      </c>
      <c r="O310" s="46">
        <f>SUM(O291:O308)</f>
        <v>0</v>
      </c>
      <c r="P310" s="46">
        <f>SUM(P291:P308)</f>
        <v>0</v>
      </c>
      <c r="Q310" s="37">
        <f t="shared" si="107"/>
        <v>0</v>
      </c>
      <c r="R310" s="37">
        <f t="shared" si="108"/>
        <v>0</v>
      </c>
    </row>
    <row r="311" spans="1:20" ht="16.5" hidden="1" customHeight="1" thickBot="1" x14ac:dyDescent="0.35">
      <c r="A311" s="43" t="s">
        <v>1222</v>
      </c>
      <c r="B311" s="47">
        <f>+B214+B221+B290+B310</f>
        <v>17413</v>
      </c>
      <c r="C311" s="42">
        <f>+C214+C221+C290+C310</f>
        <v>15355</v>
      </c>
      <c r="D311" s="42">
        <f>+D214+D221+D290+D310</f>
        <v>15018</v>
      </c>
      <c r="E311" s="40">
        <f t="shared" si="109"/>
        <v>47786</v>
      </c>
      <c r="F311" s="42">
        <f>+F214+F221+F290+F310</f>
        <v>34157</v>
      </c>
      <c r="G311" s="42">
        <f>+G214+G221+G290+G310</f>
        <v>48001</v>
      </c>
      <c r="H311" s="42">
        <f>+H214+H221+H290+H310</f>
        <v>52145</v>
      </c>
      <c r="I311" s="40">
        <f t="shared" si="105"/>
        <v>134303</v>
      </c>
      <c r="J311" s="42">
        <f>+J214+J221+J290+J310</f>
        <v>46096</v>
      </c>
      <c r="K311" s="42">
        <f>+K214+K221+K290+K310</f>
        <v>45139</v>
      </c>
      <c r="L311" s="42">
        <f>+L214+L221+L290+L310</f>
        <v>37631</v>
      </c>
      <c r="M311" s="40">
        <f t="shared" si="106"/>
        <v>128866</v>
      </c>
      <c r="N311" s="42">
        <f>+N214+N221+N290+N310</f>
        <v>34701</v>
      </c>
      <c r="O311" s="42">
        <f>+O214+O221+O290+O310</f>
        <v>29639</v>
      </c>
      <c r="P311" s="42">
        <f>+P214+P221+P290+P310</f>
        <v>26062</v>
      </c>
      <c r="Q311" s="40">
        <f t="shared" si="107"/>
        <v>90402</v>
      </c>
      <c r="R311" s="40">
        <f t="shared" si="108"/>
        <v>401357</v>
      </c>
    </row>
    <row r="312" spans="1:20" ht="15.75" hidden="1" customHeight="1" x14ac:dyDescent="0.3">
      <c r="A312" s="540" t="s">
        <v>2827</v>
      </c>
      <c r="B312" s="10">
        <v>470</v>
      </c>
      <c r="C312" s="10">
        <v>635</v>
      </c>
      <c r="D312" s="10">
        <v>2235</v>
      </c>
      <c r="E312" s="38">
        <f t="shared" si="109"/>
        <v>3340</v>
      </c>
      <c r="F312" s="10">
        <v>3411</v>
      </c>
      <c r="G312" s="10">
        <v>3529</v>
      </c>
      <c r="H312" s="10">
        <v>2765</v>
      </c>
      <c r="I312" s="38">
        <f t="shared" si="105"/>
        <v>9705</v>
      </c>
      <c r="J312" s="10">
        <v>3117</v>
      </c>
      <c r="K312" s="10">
        <v>1529</v>
      </c>
      <c r="L312" s="10">
        <v>2588</v>
      </c>
      <c r="M312" s="38">
        <f t="shared" si="106"/>
        <v>7234</v>
      </c>
      <c r="N312" s="10">
        <v>3764</v>
      </c>
      <c r="O312" s="10">
        <v>941</v>
      </c>
      <c r="P312" s="10"/>
      <c r="Q312" s="38">
        <f t="shared" si="107"/>
        <v>4705</v>
      </c>
      <c r="R312" s="38">
        <f t="shared" si="108"/>
        <v>24984</v>
      </c>
      <c r="S312" s="574"/>
      <c r="T312" t="s">
        <v>2764</v>
      </c>
    </row>
    <row r="313" spans="1:20" ht="15.75" hidden="1" customHeight="1" x14ac:dyDescent="0.3">
      <c r="A313" s="320" t="s">
        <v>899</v>
      </c>
      <c r="B313" s="10"/>
      <c r="C313" s="10"/>
      <c r="D313" s="10"/>
      <c r="E313" s="38">
        <f t="shared" si="109"/>
        <v>0</v>
      </c>
      <c r="F313" s="10"/>
      <c r="G313" s="10"/>
      <c r="H313" s="10"/>
      <c r="I313" s="38">
        <f t="shared" si="105"/>
        <v>0</v>
      </c>
      <c r="J313" s="10"/>
      <c r="K313" s="10"/>
      <c r="L313" s="10"/>
      <c r="M313" s="38">
        <f t="shared" si="106"/>
        <v>0</v>
      </c>
      <c r="N313" s="10"/>
      <c r="O313" s="10"/>
      <c r="P313" s="10"/>
      <c r="Q313" s="38">
        <f t="shared" si="107"/>
        <v>0</v>
      </c>
      <c r="R313" s="38">
        <f t="shared" si="108"/>
        <v>0</v>
      </c>
    </row>
    <row r="314" spans="1:20" ht="15.75" hidden="1" customHeight="1" x14ac:dyDescent="0.3">
      <c r="A314" s="539" t="s">
        <v>2271</v>
      </c>
      <c r="B314" s="10"/>
      <c r="C314" s="10"/>
      <c r="D314" s="10"/>
      <c r="E314" s="38">
        <f t="shared" si="109"/>
        <v>0</v>
      </c>
      <c r="F314" s="10"/>
      <c r="G314" s="10"/>
      <c r="H314" s="10"/>
      <c r="I314" s="38">
        <f t="shared" si="105"/>
        <v>0</v>
      </c>
      <c r="J314" s="10"/>
      <c r="K314" s="10"/>
      <c r="L314" s="10"/>
      <c r="M314" s="38">
        <f t="shared" si="106"/>
        <v>0</v>
      </c>
      <c r="N314" s="10"/>
      <c r="O314" s="10"/>
      <c r="P314" s="10"/>
      <c r="Q314" s="38">
        <f t="shared" si="107"/>
        <v>0</v>
      </c>
      <c r="R314" s="38">
        <f t="shared" si="108"/>
        <v>0</v>
      </c>
    </row>
    <row r="315" spans="1:20" ht="15.75" customHeight="1" x14ac:dyDescent="0.3">
      <c r="A315" s="320" t="s">
        <v>2475</v>
      </c>
      <c r="B315" s="10">
        <v>42</v>
      </c>
      <c r="C315" s="10">
        <v>43</v>
      </c>
      <c r="D315" s="10">
        <v>47</v>
      </c>
      <c r="E315" s="38">
        <f>SUM(B315:D315)</f>
        <v>132</v>
      </c>
      <c r="F315" s="10">
        <v>52</v>
      </c>
      <c r="G315" s="10">
        <v>52</v>
      </c>
      <c r="H315" s="10">
        <v>57</v>
      </c>
      <c r="I315" s="38">
        <f>SUM(F315:H315)</f>
        <v>161</v>
      </c>
      <c r="J315" s="10">
        <v>62</v>
      </c>
      <c r="K315" s="10">
        <v>62</v>
      </c>
      <c r="L315" s="10">
        <v>62</v>
      </c>
      <c r="M315" s="38">
        <f>SUM(J315:L315)</f>
        <v>186</v>
      </c>
      <c r="N315" s="10">
        <v>57</v>
      </c>
      <c r="O315" s="10">
        <v>42</v>
      </c>
      <c r="P315" s="10">
        <v>47</v>
      </c>
      <c r="Q315" s="38">
        <f>SUM(N315:P315)</f>
        <v>146</v>
      </c>
      <c r="R315" s="38">
        <f t="shared" si="108"/>
        <v>625</v>
      </c>
    </row>
    <row r="316" spans="1:20" ht="15.75" hidden="1" customHeight="1" x14ac:dyDescent="0.3">
      <c r="A316" s="317" t="s">
        <v>2096</v>
      </c>
      <c r="B316" s="10"/>
      <c r="C316" s="10">
        <v>52000</v>
      </c>
      <c r="D316" s="10">
        <v>60000</v>
      </c>
      <c r="E316" s="38">
        <f t="shared" ref="E316" si="110">SUM(B316:D316)</f>
        <v>112000</v>
      </c>
      <c r="F316" s="10">
        <v>6000</v>
      </c>
      <c r="G316" s="10">
        <v>5000</v>
      </c>
      <c r="H316" s="10"/>
      <c r="I316" s="38">
        <f t="shared" ref="I316" si="111">SUM(F316:H316)</f>
        <v>11000</v>
      </c>
      <c r="J316" s="10"/>
      <c r="K316" s="10"/>
      <c r="L316" s="10">
        <v>17000</v>
      </c>
      <c r="M316" s="38">
        <f t="shared" ref="M316" si="112">SUM(J316:L316)</f>
        <v>17000</v>
      </c>
      <c r="N316" s="10">
        <v>66000</v>
      </c>
      <c r="O316" s="10">
        <v>74000</v>
      </c>
      <c r="P316" s="10">
        <v>50000</v>
      </c>
      <c r="Q316" s="38">
        <f t="shared" si="107"/>
        <v>190000</v>
      </c>
      <c r="R316" s="38">
        <f t="shared" si="108"/>
        <v>330000</v>
      </c>
    </row>
    <row r="317" spans="1:20" ht="16.5" hidden="1" customHeight="1" thickBot="1" x14ac:dyDescent="0.35">
      <c r="A317" s="299" t="s">
        <v>853</v>
      </c>
      <c r="B317" s="294">
        <v>104</v>
      </c>
      <c r="C317" s="294">
        <v>268</v>
      </c>
      <c r="D317" s="294">
        <v>474</v>
      </c>
      <c r="E317" s="38">
        <f>SUM(B317:D317)</f>
        <v>846</v>
      </c>
      <c r="F317" s="294">
        <v>647</v>
      </c>
      <c r="G317" s="294">
        <v>742</v>
      </c>
      <c r="H317" s="294">
        <v>781</v>
      </c>
      <c r="I317" s="38">
        <f t="shared" si="105"/>
        <v>2170</v>
      </c>
      <c r="J317" s="294">
        <v>774</v>
      </c>
      <c r="K317" s="294">
        <v>596</v>
      </c>
      <c r="L317" s="294">
        <v>546</v>
      </c>
      <c r="M317" s="38">
        <f t="shared" si="106"/>
        <v>1916</v>
      </c>
      <c r="N317" s="294">
        <v>517</v>
      </c>
      <c r="O317" s="294">
        <v>413</v>
      </c>
      <c r="P317" s="294">
        <v>302</v>
      </c>
      <c r="Q317" s="38">
        <f t="shared" si="107"/>
        <v>1232</v>
      </c>
      <c r="R317" s="38">
        <f t="shared" si="108"/>
        <v>6164</v>
      </c>
    </row>
    <row r="318" spans="1:20" ht="16.5" hidden="1" customHeight="1" thickBot="1" x14ac:dyDescent="0.35">
      <c r="A318" s="44"/>
      <c r="B318" s="313"/>
      <c r="C318" s="313"/>
      <c r="D318" s="313"/>
      <c r="E318" s="39"/>
      <c r="F318" s="313"/>
      <c r="G318" s="313"/>
      <c r="H318" s="313"/>
      <c r="I318" s="37"/>
      <c r="J318" s="313"/>
      <c r="K318" s="313"/>
      <c r="L318" s="313"/>
      <c r="M318" s="37"/>
      <c r="N318" s="313"/>
      <c r="O318" s="313"/>
      <c r="P318" s="313"/>
      <c r="Q318" s="37"/>
      <c r="R318" s="37" t="s">
        <v>852</v>
      </c>
    </row>
    <row r="319" spans="1:20" ht="15.75" hidden="1" customHeight="1" x14ac:dyDescent="0.3">
      <c r="A319" s="259" t="s">
        <v>2011</v>
      </c>
      <c r="B319" s="741">
        <f>SUM(B311:B317)</f>
        <v>18029</v>
      </c>
      <c r="C319" s="741">
        <f>SUM(C311:C317)</f>
        <v>68301</v>
      </c>
      <c r="D319" s="741">
        <f>SUM(D311:D317)</f>
        <v>77774</v>
      </c>
      <c r="E319" s="39">
        <f>SUM(B319:D319)</f>
        <v>164104</v>
      </c>
      <c r="F319" s="741">
        <f>SUM(F311:F317)</f>
        <v>44267</v>
      </c>
      <c r="G319" s="741">
        <f>SUM(G311:G317)</f>
        <v>57324</v>
      </c>
      <c r="H319" s="741">
        <f>SUM(H311:H317)</f>
        <v>55748</v>
      </c>
      <c r="I319" s="39">
        <f>SUM(F319:H319)</f>
        <v>157339</v>
      </c>
      <c r="J319" s="741">
        <f>SUM(J311:J317)</f>
        <v>50049</v>
      </c>
      <c r="K319" s="741">
        <f>SUM(K311:K317)</f>
        <v>47326</v>
      </c>
      <c r="L319" s="741">
        <f>SUM(L311:L317)</f>
        <v>57827</v>
      </c>
      <c r="M319" s="39">
        <f>SUM(J319:L319)</f>
        <v>155202</v>
      </c>
      <c r="N319" s="741">
        <f>SUM(N311:N317)</f>
        <v>105039</v>
      </c>
      <c r="O319" s="741">
        <f>SUM(O311:O317)</f>
        <v>105035</v>
      </c>
      <c r="P319" s="741">
        <f>SUM(P311:P317)</f>
        <v>76411</v>
      </c>
      <c r="Q319" s="742">
        <f>SUM(N319:P319)</f>
        <v>286485</v>
      </c>
      <c r="R319" s="39">
        <f>+E319+I319+M319+Q319</f>
        <v>763130</v>
      </c>
    </row>
    <row r="320" spans="1:20" ht="15.75" hidden="1" customHeight="1" x14ac:dyDescent="0.3">
      <c r="A320" s="262" t="s">
        <v>1897</v>
      </c>
      <c r="B320" s="10">
        <f>(B319/B10)/1.983</f>
        <v>293.28323003595074</v>
      </c>
      <c r="C320" s="10">
        <f>(C319/C10)/1.983</f>
        <v>1230.116706289172</v>
      </c>
      <c r="D320" s="10">
        <f>(D319/D10)/1.983</f>
        <v>1265.1733281277959</v>
      </c>
      <c r="E320" s="38" t="s">
        <v>852</v>
      </c>
      <c r="F320" s="10">
        <f>(F319/F10)/1.983</f>
        <v>744.10825348798107</v>
      </c>
      <c r="G320" s="10">
        <f>(G319/G10)/1.983</f>
        <v>932.50695427260746</v>
      </c>
      <c r="H320" s="10">
        <f>(H319/H10)/1.983</f>
        <v>937.09867204572197</v>
      </c>
      <c r="I320" s="38" t="s">
        <v>852</v>
      </c>
      <c r="J320" s="10">
        <f>(J319/J10)/1.983</f>
        <v>814.16231516275434</v>
      </c>
      <c r="K320" s="10">
        <f>(K319/K10)/1.983</f>
        <v>769.86644543132763</v>
      </c>
      <c r="L320" s="10">
        <f>(L319/L10)/1.983</f>
        <v>972.04572197007894</v>
      </c>
      <c r="M320" s="38" t="s">
        <v>852</v>
      </c>
      <c r="N320" s="10">
        <f>(N319/N10)/1.983</f>
        <v>1708.7013810941389</v>
      </c>
      <c r="O320" s="10">
        <f>(O319/O10)/1.983</f>
        <v>1765.590855605984</v>
      </c>
      <c r="P320" s="10">
        <f>(P319/P10)/1.983</f>
        <v>1243.000992305565</v>
      </c>
      <c r="Q320" s="50" t="s">
        <v>852</v>
      </c>
      <c r="R320" s="38" t="s">
        <v>852</v>
      </c>
    </row>
    <row r="321" spans="1:18" ht="15.75" hidden="1" customHeight="1" x14ac:dyDescent="0.3">
      <c r="A321" s="262" t="s">
        <v>154</v>
      </c>
      <c r="B321" s="10">
        <f>(+B319+B509)+B328</f>
        <v>63242</v>
      </c>
      <c r="C321" s="10">
        <f>(+C319+C509)+C328</f>
        <v>124558</v>
      </c>
      <c r="D321" s="10">
        <f>(+D319+D509)+D328</f>
        <v>161502</v>
      </c>
      <c r="E321" s="38">
        <f>SUM(B321:D321)</f>
        <v>349302</v>
      </c>
      <c r="F321" s="10">
        <f>(+F319+F509)+F328</f>
        <v>155329</v>
      </c>
      <c r="G321" s="10">
        <f>(+G319+G509)+G328</f>
        <v>160995</v>
      </c>
      <c r="H321" s="10">
        <f>(+H319+H509)+H328</f>
        <v>88370</v>
      </c>
      <c r="I321" s="38">
        <f>SUM(F321:H321)</f>
        <v>404694</v>
      </c>
      <c r="J321" s="10">
        <f>(+J319+J509)+J328</f>
        <v>43914</v>
      </c>
      <c r="K321" s="10">
        <f>(+K319+K509)+K328</f>
        <v>45280</v>
      </c>
      <c r="L321" s="10">
        <f>(+L319+L509)+L328</f>
        <v>126745</v>
      </c>
      <c r="M321" s="38">
        <f>SUM(J321:L321)</f>
        <v>215939</v>
      </c>
      <c r="N321" s="10">
        <f>(+N319+N509)+N328</f>
        <v>157266</v>
      </c>
      <c r="O321" s="10">
        <f>(+O319+O509)+O328</f>
        <v>140060</v>
      </c>
      <c r="P321" s="10">
        <f>(+P319+P509)+P328</f>
        <v>97726</v>
      </c>
      <c r="Q321" s="50">
        <f>SUM(N321:P321)</f>
        <v>395052</v>
      </c>
      <c r="R321" s="38">
        <f>+E321+I321+M321+Q321</f>
        <v>1364987</v>
      </c>
    </row>
    <row r="322" spans="1:18" ht="16.5" hidden="1" customHeight="1" thickBot="1" x14ac:dyDescent="0.35">
      <c r="A322" s="263" t="s">
        <v>2110</v>
      </c>
      <c r="B322" s="315">
        <f>(B321/B10)/1.983</f>
        <v>1028.7768613862995</v>
      </c>
      <c r="C322" s="315">
        <f>(C321/C10)/1.983</f>
        <v>2243.3182047402925</v>
      </c>
      <c r="D322" s="315">
        <f>(D321/D10)/1.983</f>
        <v>2627.2021863257041</v>
      </c>
      <c r="E322" s="40" t="s">
        <v>852</v>
      </c>
      <c r="F322" s="315">
        <f>(F321/F10)/1.983</f>
        <v>2611.0102538241717</v>
      </c>
      <c r="G322" s="315">
        <f>(G321/G10)/1.983</f>
        <v>2618.9546630227901</v>
      </c>
      <c r="H322" s="315">
        <f>(H321/H10)/1.983</f>
        <v>1485.4597411329635</v>
      </c>
      <c r="I322" s="40" t="s">
        <v>852</v>
      </c>
      <c r="J322" s="315">
        <f>(J321/J10)/1.983</f>
        <v>714.36240300619772</v>
      </c>
      <c r="K322" s="315">
        <f>(K321/K10)/1.983</f>
        <v>736.58354074146371</v>
      </c>
      <c r="L322" s="315">
        <f>(L321/L10)/1.983</f>
        <v>2130.5261388468648</v>
      </c>
      <c r="M322" s="40" t="s">
        <v>852</v>
      </c>
      <c r="N322" s="315">
        <f>(N321/N10)/1.983</f>
        <v>2558.2938851202966</v>
      </c>
      <c r="O322" s="315">
        <f>(O321/O10)/1.983</f>
        <v>2354.3452681122876</v>
      </c>
      <c r="P322" s="315">
        <f>(P321/P10)/1.983</f>
        <v>1589.7385844191758</v>
      </c>
      <c r="Q322" s="51" t="s">
        <v>852</v>
      </c>
      <c r="R322" s="40" t="s">
        <v>852</v>
      </c>
    </row>
    <row r="323" spans="1:18" ht="16.5" hidden="1" customHeight="1" thickBot="1" x14ac:dyDescent="0.35">
      <c r="A323" s="271" t="s">
        <v>1700</v>
      </c>
      <c r="B323" s="229">
        <f>+(B321-(B142+B143+B144+B145+B146+B149+B151+B152+B155+B156+B157+B160+B162+B165++B171+B172+B175+B176+B178+B179+B180+B181+B182+B189+B192+B193+B194+B205+B208+B210+B211+B218+B225+B226+B228+B229+B230+B236+B243+B245+B246+B247+B248+B250+B251+B252+B260+B268+B269+B272+B282+B294+B295+B297+B298+B301+B302+B306+B312+B316+B324)-B328)/(B10*1.983)</f>
        <v>876.07567549981286</v>
      </c>
      <c r="C323" s="229">
        <f>+(C321-(C142+C143+C144+C145+C146+C149+C151+C152+C155+C156+C157+C160+C162+C165++C171+C172+C175+C176+C178+C179+C180+C181+C182+C189+C192+C193+C194+C205+C208+C210+C211+C218+C225+C226+C228+C229+C230+C236+C243+C245+C246+C247+C248+C250+C251+C252+C260+C268+C269+C272+C282+C294+C295+C297+C298+C301+C302+C306+C312+C316+C324)-C328)/(C10*1.983)</f>
        <v>1132.6633527843815</v>
      </c>
      <c r="D323" s="229">
        <f>+(D321-(D142+D143+D144+D145+D146+D149+D151+D152+D155+D156+D157+D160+D162+D165++D171+D172+D175+D176+D178+D179+D180+D181+D182+D189+D192+D193+D194+D205+D208+D210+D211+D218+D225+D226+D228+D229+D230+D236+D243+D245+D246+D247+D248+D250+D251+D252+D260+D268+D269+D272+D282+D294+D295+D297+D298+D301+D302+D306+D312+D316+D324)-D328)/(D10*1.983)</f>
        <v>1427.8626388821108</v>
      </c>
      <c r="E323" s="227"/>
      <c r="F323" s="229">
        <f>+(F321-(F142+F143+F144+F145+F146+F149+F151+F152+F155+F156+F157+F160+F162+F165++F171+F172+F175+F176+F178+F179+F180+F181+F182+F189+F192+F193+F194+F205+F208+F210+F211+F218+F225+F226+F228+F229+F230+F236+F243+F245+F246+F247+F248+F250+F251+F252+F260+F268+F269+F272+F282+F294+F295+F297+F298+F301+F302+F306+F312+F316+F324)-F328)/(F10*1.983)</f>
        <v>2256.8498907379389</v>
      </c>
      <c r="G323" s="229">
        <f>+(G321-(G142+G143+G144+G145+G146+G149+G151+G152+G155+G156+G157+G160+G162+G165++G171+G172+G175+G176+G178+G179+G180+G181+G182+G189+G192+G193+G194+G205+G208+G210+G211+G218+G225+G226+G228+G229+G230+G236+G243+G245+G246+G247+G248+G250+G251+G252+G260+G268+G269+G272+G282+G294+G295+G297+G298+G301+G302+G306+G312+G316+G324)-G328)/(G10*1.983)</f>
        <v>2266.9789989100905</v>
      </c>
      <c r="H323" s="229">
        <f>+(H321-(H142+H143+H144+H145+H146+H149+H151+H152+H155+H156+H157+H160+H162+H165++H171+H172+H175+H176+H178+H179+H180+H181+H182+H189+H192+H193+H194+H205+H208+H210+H211+H218+H225+H226+H228+H229+H230+H236+H243+H245+H246+H247+H248+H250+H251+H252+H260+H268+H269+H272+H282+H294+H295+H297+H298+H301+H302+H306+H312+H316+H324)-H328)/(H10*1.983)</f>
        <v>3094.4360396705329</v>
      </c>
      <c r="I323" s="227"/>
      <c r="J323" s="229">
        <f>+(J321-(J142+J143+J144+J145+J146+J149+J151+J152+J155+J156+J157+J160+J162+J165++J171+J172+J175+J176+J178+J179+J180+J181+J182+J189+J192+J193+J194+J205+J208+J210+J211+J218+J225+J226+J228+J229+J230+J236+J243+J245+J246+J247+J248+J250+J251+J252+J260+J268+J269+J272+J282+J294+J295+J297+J298+J301+J302+J306+J312+J316+J324)-J328)/(J10*1.983)</f>
        <v>2422.6571014917117</v>
      </c>
      <c r="K323" s="229">
        <f>+(K321-(K142+K143+K144+K145+K146+K149+K151+K152+K155+K156+K157+K160+K162+K165++K171+K172+K175+K176+K178+K179+K180+K181+K182+K189+K192+K193+K194+K205+K208+K210+K211+K218+K225+K226+K228+K229+K230+K236+K243+K245+K246+K247+K248+K250+K251+K252+K260+K268+K269+K272+K282+K294+K295+K297+K298+K301+K302+K306+K312+K316+K324)-K328)/(K10*1.983)</f>
        <v>2195.8258097050734</v>
      </c>
      <c r="L323" s="229">
        <f>+(L321-(L142+L143+L144+L145+L146+L149+L151+L152+L155+L156+L157+L160+L162+L165++L171+L172+L175+L176+L178+L179+L180+L181+L182+L189+L192+L193+L194+L205+L208+L210+L211+L218+L225+L226+L228+L229+L230+L236+L243+L245+L246+L247+L248+L250+L251+L252+L260+L268+L269+L272+L282+L294+L295+L297+L298+L301+L302+L306+L312+L316+L324)-L328)/(L10*1.983)</f>
        <v>1605.1941502773575</v>
      </c>
      <c r="M323" s="227"/>
      <c r="N323" s="229">
        <f>+(N321-(N142+N143+N144+N145+N146+N149+N151+N152+N155+N156+N157+N160+N162+N165++N171+N172+N175+N176+N178+N179+N180+N181+N182+N189+N192+N193+N194+N205+N208+N210+N211+N218+N225+N226+N228+N229+N230+N236+N243+N245+N246+N247+N248+N250+N251+N252+N260+N268+N269+N272+N282+N294+N295+N297+N298+N301+N302+N306+N312+N316+N324)-N328)/(N10*1.983)</f>
        <v>1249.0361622175587</v>
      </c>
      <c r="O323" s="229">
        <f>+(O321-(O142+O143+O144+O145+O146+O149+O151+O152+O155+O156+O157+O160+O162+O165++O171+O172+O175+O176+O178+O179+O180+O181+O182+O189+O192+O193+O194+O205+O208+O210+O211+O218+O225+O226+O228+O229+O230+O236+O243+O245+O246+O247+O248+O250+O251+O252+O260+O268+O269+O272+O282+O294+O295+O297+O298+O301+O302+O306+O312+O316+O324)-O328)/(O10*1.983)</f>
        <v>950.76483442595395</v>
      </c>
      <c r="P323" s="229">
        <f>+(P321-(P142+P143+P144+P145+P146+P149+P151+P152+P155+P156+P157+P160+P162+P165++P171+P172+P175+P176+P178+P179+P180+P181+P182+P189+P192+P193+P194+P205+P208+P210+P211+P218+P225+P226+P228+P229+P230+P236+P243+P245+P246+P247+P248+P250+P251+P252+P260+P268+P269+P272+P282+P294+P295+P297+P298+P301+P302+P306+P312+P316+P324)-P328)/(P10*1.983)</f>
        <v>692.22260179265686</v>
      </c>
      <c r="Q323" s="228"/>
      <c r="R323" s="227"/>
    </row>
    <row r="324" spans="1:18" ht="15.75" hidden="1" customHeight="1" x14ac:dyDescent="0.3">
      <c r="A324" s="541" t="s">
        <v>2272</v>
      </c>
      <c r="B324" s="10">
        <v>3568</v>
      </c>
      <c r="C324" s="10">
        <v>3222</v>
      </c>
      <c r="D324" s="10">
        <v>2378</v>
      </c>
      <c r="E324" s="17">
        <f>SUM(B324:D324)</f>
        <v>9168</v>
      </c>
      <c r="F324" s="10">
        <v>2302</v>
      </c>
      <c r="G324" s="10">
        <v>2378</v>
      </c>
      <c r="H324" s="10">
        <v>2302</v>
      </c>
      <c r="I324" s="17">
        <f>SUM(F324:H324)</f>
        <v>6982</v>
      </c>
      <c r="J324" s="10">
        <v>2474</v>
      </c>
      <c r="K324" s="10">
        <v>2474</v>
      </c>
      <c r="L324" s="10">
        <v>2394</v>
      </c>
      <c r="M324" s="17">
        <f t="shared" ref="M324" si="113">SUM(J324:L324)</f>
        <v>7342</v>
      </c>
      <c r="N324" s="10">
        <v>2474</v>
      </c>
      <c r="O324" s="10">
        <v>2394</v>
      </c>
      <c r="P324" s="10">
        <v>2474</v>
      </c>
      <c r="Q324" s="17">
        <f t="shared" ref="Q324" si="114">SUM(N324:P324)</f>
        <v>7342</v>
      </c>
      <c r="R324" s="17">
        <f t="shared" ref="R324" si="115">+E324+I324+M324+Q324</f>
        <v>30834</v>
      </c>
    </row>
    <row r="325" spans="1:18" ht="15.75" hidden="1" customHeight="1" thickBot="1" x14ac:dyDescent="0.35">
      <c r="A325" s="18"/>
      <c r="B325" s="10"/>
      <c r="C325" s="10"/>
      <c r="D325" s="10"/>
      <c r="E325" s="10"/>
      <c r="F325" s="10"/>
      <c r="G325" s="10"/>
      <c r="H325" s="10"/>
      <c r="I325" s="10"/>
      <c r="J325" s="10"/>
      <c r="K325" s="10"/>
      <c r="L325" s="10"/>
      <c r="M325" s="10"/>
      <c r="N325" s="10"/>
      <c r="O325" s="10"/>
      <c r="P325" s="10"/>
      <c r="Q325" s="10"/>
      <c r="R325" s="17"/>
    </row>
    <row r="326" spans="1:18" ht="16.5" hidden="1" customHeight="1" thickBot="1" x14ac:dyDescent="0.35">
      <c r="A326" s="240" t="s">
        <v>1754</v>
      </c>
      <c r="B326" s="4" t="s">
        <v>2090</v>
      </c>
      <c r="C326" s="5" t="s">
        <v>2091</v>
      </c>
      <c r="D326" s="5" t="s">
        <v>2234</v>
      </c>
      <c r="E326" s="33" t="s">
        <v>1594</v>
      </c>
      <c r="F326" s="5" t="s">
        <v>2235</v>
      </c>
      <c r="G326" s="5" t="s">
        <v>2236</v>
      </c>
      <c r="H326" s="5" t="s">
        <v>2237</v>
      </c>
      <c r="I326" s="35" t="s">
        <v>1595</v>
      </c>
      <c r="J326" s="5" t="s">
        <v>1504</v>
      </c>
      <c r="K326" s="5" t="s">
        <v>1505</v>
      </c>
      <c r="L326" s="5" t="s">
        <v>1506</v>
      </c>
      <c r="M326" s="35" t="s">
        <v>1596</v>
      </c>
      <c r="N326" s="5" t="s">
        <v>1507</v>
      </c>
      <c r="O326" s="5" t="s">
        <v>1508</v>
      </c>
      <c r="P326" s="5" t="s">
        <v>1509</v>
      </c>
      <c r="Q326" s="35" t="s">
        <v>1597</v>
      </c>
      <c r="R326" s="36" t="s">
        <v>1510</v>
      </c>
    </row>
    <row r="327" spans="1:18" ht="16.5" hidden="1" customHeight="1" thickBot="1" x14ac:dyDescent="0.35">
      <c r="A327" s="44"/>
      <c r="B327" s="313"/>
      <c r="C327" s="313"/>
      <c r="D327" s="313"/>
      <c r="E327" s="316"/>
      <c r="F327" s="313"/>
      <c r="G327" s="313"/>
      <c r="H327" s="313"/>
      <c r="I327" s="316"/>
      <c r="J327" s="313"/>
      <c r="K327" s="313"/>
      <c r="L327" s="313"/>
      <c r="M327" s="316"/>
      <c r="N327" s="313"/>
      <c r="O327" s="313"/>
      <c r="P327" s="313"/>
      <c r="Q327" s="316"/>
      <c r="R327" s="52"/>
    </row>
    <row r="328" spans="1:18" ht="15.75" hidden="1" customHeight="1" thickBot="1" x14ac:dyDescent="0.35">
      <c r="A328" s="310" t="s">
        <v>1000</v>
      </c>
      <c r="B328" s="10"/>
      <c r="C328" s="10"/>
      <c r="D328" s="10"/>
      <c r="E328" s="38">
        <f>SUM(B328:D328)</f>
        <v>0</v>
      </c>
      <c r="F328" s="10"/>
      <c r="G328" s="10"/>
      <c r="H328" s="10">
        <v>-111000</v>
      </c>
      <c r="I328" s="38">
        <f>SUM(F328:H328)</f>
        <v>-111000</v>
      </c>
      <c r="J328" s="356">
        <v>-120000</v>
      </c>
      <c r="K328" s="10">
        <v>-103000</v>
      </c>
      <c r="L328" s="356"/>
      <c r="M328" s="38">
        <f>SUM(J328:L328)</f>
        <v>-223000</v>
      </c>
      <c r="N328" s="10"/>
      <c r="O328" s="10"/>
      <c r="P328" s="10"/>
      <c r="Q328" s="38">
        <f>SUM(N328:P328)</f>
        <v>0</v>
      </c>
      <c r="R328" s="38">
        <f>+E328+I328+M328+Q328</f>
        <v>-334000</v>
      </c>
    </row>
    <row r="329" spans="1:18" ht="16.5" hidden="1" customHeight="1" thickBot="1" x14ac:dyDescent="0.35">
      <c r="A329" s="272"/>
      <c r="B329" s="321"/>
      <c r="C329" s="321"/>
      <c r="D329" s="321"/>
      <c r="E329" s="53"/>
      <c r="F329" s="321"/>
      <c r="G329" s="321"/>
      <c r="H329" s="321"/>
      <c r="I329" s="53"/>
      <c r="J329" s="321"/>
      <c r="K329" s="321"/>
      <c r="L329" s="321"/>
      <c r="M329" s="53"/>
      <c r="N329" s="321"/>
      <c r="O329" s="321"/>
      <c r="P329" s="321"/>
      <c r="Q329" s="53"/>
      <c r="R329" s="54"/>
    </row>
    <row r="330" spans="1:18" ht="15.75" hidden="1" customHeight="1" x14ac:dyDescent="0.3">
      <c r="A330" s="234" t="s">
        <v>662</v>
      </c>
      <c r="B330" s="10">
        <f>B328</f>
        <v>0</v>
      </c>
      <c r="C330" s="10">
        <f>C328</f>
        <v>0</v>
      </c>
      <c r="D330" s="10">
        <f>D328</f>
        <v>0</v>
      </c>
      <c r="E330" s="38">
        <f>SUM(B330:D330)</f>
        <v>0</v>
      </c>
      <c r="F330" s="10">
        <f>F328</f>
        <v>0</v>
      </c>
      <c r="G330" s="10">
        <f>G328</f>
        <v>0</v>
      </c>
      <c r="H330" s="10">
        <f>H328</f>
        <v>-111000</v>
      </c>
      <c r="I330" s="38">
        <f>SUM(F330:H330)</f>
        <v>-111000</v>
      </c>
      <c r="J330" s="10">
        <f>J328</f>
        <v>-120000</v>
      </c>
      <c r="K330" s="10">
        <f>K328</f>
        <v>-103000</v>
      </c>
      <c r="L330" s="10">
        <f>L328</f>
        <v>0</v>
      </c>
      <c r="M330" s="38">
        <f>SUM(J330:L330)</f>
        <v>-223000</v>
      </c>
      <c r="N330" s="10">
        <f>N328</f>
        <v>0</v>
      </c>
      <c r="O330" s="10">
        <f>O328</f>
        <v>0</v>
      </c>
      <c r="P330" s="10">
        <f>P328</f>
        <v>0</v>
      </c>
      <c r="Q330" s="38">
        <f>SUM(N330:P330)</f>
        <v>0</v>
      </c>
      <c r="R330" s="55">
        <f>R328</f>
        <v>-334000</v>
      </c>
    </row>
    <row r="331" spans="1:18" ht="16.5" hidden="1" customHeight="1" thickBot="1" x14ac:dyDescent="0.35">
      <c r="A331" s="237" t="s">
        <v>1897</v>
      </c>
      <c r="B331" s="294">
        <f>(B330/B10)/1.983</f>
        <v>0</v>
      </c>
      <c r="C331" s="294">
        <f>(C330/C10)/1.983</f>
        <v>0</v>
      </c>
      <c r="D331" s="294">
        <f>(D330/D10)/1.983</f>
        <v>0</v>
      </c>
      <c r="E331" s="40"/>
      <c r="F331" s="294">
        <f>(F330/F10)/1.983</f>
        <v>0</v>
      </c>
      <c r="G331" s="294">
        <f>(G330/G10)/1.983</f>
        <v>0</v>
      </c>
      <c r="H331" s="294">
        <f>(H330/H10)/1.983</f>
        <v>-1865.8598083711547</v>
      </c>
      <c r="I331" s="40"/>
      <c r="J331" s="294">
        <f>(J330/J10)/1.983</f>
        <v>-1952.0765213996388</v>
      </c>
      <c r="K331" s="294">
        <f>(K330/K10)/1.983</f>
        <v>-1675.53234753469</v>
      </c>
      <c r="L331" s="294">
        <f>(L330/L10)/1.983</f>
        <v>0</v>
      </c>
      <c r="M331" s="40"/>
      <c r="N331" s="294">
        <f>(N330/N10)/1.983</f>
        <v>0</v>
      </c>
      <c r="O331" s="294">
        <f>(O330/O10)/1.983</f>
        <v>0</v>
      </c>
      <c r="P331" s="294">
        <f>(P330/P10)/1.983</f>
        <v>0</v>
      </c>
      <c r="Q331" s="40"/>
      <c r="R331" s="52" t="s">
        <v>852</v>
      </c>
    </row>
    <row r="332" spans="1:18" ht="15.75" hidden="1" customHeight="1" x14ac:dyDescent="0.3">
      <c r="A332" s="17"/>
      <c r="B332" s="10"/>
      <c r="C332" s="10"/>
      <c r="D332" s="10"/>
      <c r="E332" s="10"/>
      <c r="F332" s="10"/>
      <c r="G332" s="10"/>
      <c r="H332" s="10"/>
      <c r="I332" s="10"/>
      <c r="J332" s="10"/>
      <c r="K332" s="10"/>
      <c r="L332" s="10"/>
      <c r="M332" s="10"/>
      <c r="N332" s="10"/>
      <c r="O332" s="10"/>
      <c r="P332" s="10"/>
      <c r="Q332" s="10"/>
      <c r="R332" s="17"/>
    </row>
    <row r="333" spans="1:18" ht="16.5" hidden="1" customHeight="1" thickBot="1" x14ac:dyDescent="0.35">
      <c r="A333" s="24"/>
      <c r="B333" s="294"/>
      <c r="C333" s="294"/>
      <c r="D333" s="294"/>
      <c r="E333" s="294"/>
      <c r="F333" s="294"/>
      <c r="G333" s="294"/>
      <c r="H333" s="294"/>
      <c r="I333" s="294"/>
      <c r="J333" s="294"/>
      <c r="K333" s="294"/>
      <c r="L333" s="294"/>
      <c r="M333" s="294"/>
      <c r="N333" s="294"/>
      <c r="O333" s="294"/>
      <c r="P333" s="294"/>
      <c r="Q333" s="294"/>
      <c r="R333" s="24"/>
    </row>
    <row r="334" spans="1:18" ht="16.5" hidden="1" customHeight="1" thickBot="1" x14ac:dyDescent="0.35">
      <c r="A334" s="274" t="s">
        <v>89</v>
      </c>
      <c r="B334" s="4" t="s">
        <v>2090</v>
      </c>
      <c r="C334" s="5" t="s">
        <v>2091</v>
      </c>
      <c r="D334" s="5" t="s">
        <v>2234</v>
      </c>
      <c r="E334" s="33" t="s">
        <v>1594</v>
      </c>
      <c r="F334" s="5" t="s">
        <v>2235</v>
      </c>
      <c r="G334" s="5" t="s">
        <v>2236</v>
      </c>
      <c r="H334" s="5" t="s">
        <v>2237</v>
      </c>
      <c r="I334" s="35" t="s">
        <v>1595</v>
      </c>
      <c r="J334" s="5" t="s">
        <v>1504</v>
      </c>
      <c r="K334" s="5" t="s">
        <v>1505</v>
      </c>
      <c r="L334" s="5" t="s">
        <v>1506</v>
      </c>
      <c r="M334" s="35" t="s">
        <v>1596</v>
      </c>
      <c r="N334" s="5" t="s">
        <v>1507</v>
      </c>
      <c r="O334" s="5" t="s">
        <v>1508</v>
      </c>
      <c r="P334" s="5" t="s">
        <v>1509</v>
      </c>
      <c r="Q334" s="35" t="s">
        <v>1597</v>
      </c>
      <c r="R334" s="36" t="s">
        <v>1510</v>
      </c>
    </row>
    <row r="335" spans="1:18" ht="16.5" hidden="1" customHeight="1" thickBot="1" x14ac:dyDescent="0.35">
      <c r="A335" s="37"/>
      <c r="B335" s="313"/>
      <c r="C335" s="313"/>
      <c r="D335" s="313"/>
      <c r="E335" s="308"/>
      <c r="F335" s="313"/>
      <c r="G335" s="313"/>
      <c r="H335" s="313"/>
      <c r="I335" s="316"/>
      <c r="J335" s="313"/>
      <c r="K335" s="313"/>
      <c r="L335" s="313"/>
      <c r="M335" s="316"/>
      <c r="N335" s="313"/>
      <c r="O335" s="313"/>
      <c r="P335" s="313"/>
      <c r="Q335" s="316"/>
      <c r="R335" s="55"/>
    </row>
    <row r="336" spans="1:18" ht="15.75" hidden="1" customHeight="1" x14ac:dyDescent="0.3">
      <c r="A336" s="234" t="s">
        <v>2417</v>
      </c>
      <c r="B336" s="10"/>
      <c r="C336" s="10"/>
      <c r="D336" s="10"/>
      <c r="E336" s="38" t="s">
        <v>852</v>
      </c>
      <c r="F336" s="10" t="s">
        <v>852</v>
      </c>
      <c r="G336" s="10" t="s">
        <v>852</v>
      </c>
      <c r="H336" s="10" t="s">
        <v>852</v>
      </c>
      <c r="I336" s="38" t="s">
        <v>852</v>
      </c>
      <c r="J336" s="10" t="s">
        <v>852</v>
      </c>
      <c r="K336" s="10" t="s">
        <v>852</v>
      </c>
      <c r="L336" s="10" t="s">
        <v>852</v>
      </c>
      <c r="M336" s="38" t="s">
        <v>852</v>
      </c>
      <c r="N336" s="10" t="s">
        <v>852</v>
      </c>
      <c r="O336" s="10" t="s">
        <v>852</v>
      </c>
      <c r="P336" s="10" t="s">
        <v>852</v>
      </c>
      <c r="Q336" s="38" t="s">
        <v>852</v>
      </c>
      <c r="R336" s="39" t="s">
        <v>852</v>
      </c>
    </row>
    <row r="337" spans="1:20" ht="15.75" hidden="1" customHeight="1" x14ac:dyDescent="0.3">
      <c r="A337" s="234" t="s">
        <v>2160</v>
      </c>
      <c r="B337" s="10"/>
      <c r="C337" s="10"/>
      <c r="D337" s="10"/>
      <c r="E337" s="38" t="s">
        <v>852</v>
      </c>
      <c r="F337" s="10"/>
      <c r="G337" s="10"/>
      <c r="H337" s="10"/>
      <c r="I337" s="38" t="s">
        <v>852</v>
      </c>
      <c r="J337" s="10"/>
      <c r="K337" s="10"/>
      <c r="L337" s="10"/>
      <c r="M337" s="38" t="s">
        <v>852</v>
      </c>
      <c r="N337" s="10"/>
      <c r="O337" s="10"/>
      <c r="P337" s="10"/>
      <c r="Q337" s="38" t="s">
        <v>852</v>
      </c>
      <c r="R337" s="38" t="s">
        <v>852</v>
      </c>
    </row>
    <row r="338" spans="1:20" ht="15.75" hidden="1" customHeight="1" x14ac:dyDescent="0.3">
      <c r="A338" s="410" t="s">
        <v>2869</v>
      </c>
      <c r="B338" s="10"/>
      <c r="C338" s="10"/>
      <c r="D338" s="10"/>
      <c r="E338" s="38">
        <f t="shared" ref="E338:E368" si="116">SUM(B338:D338)</f>
        <v>0</v>
      </c>
      <c r="F338" s="10"/>
      <c r="G338" s="10"/>
      <c r="H338" s="10"/>
      <c r="I338" s="38">
        <f t="shared" ref="I338:I368" si="117">SUM(F338:H338)</f>
        <v>0</v>
      </c>
      <c r="J338" s="10">
        <f>1+2+130</f>
        <v>133</v>
      </c>
      <c r="K338" s="10">
        <f>1+2+130</f>
        <v>133</v>
      </c>
      <c r="L338" s="10">
        <f>1+2+125</f>
        <v>128</v>
      </c>
      <c r="M338" s="38">
        <f t="shared" ref="M338:M368" si="118">SUM(J338:L338)</f>
        <v>394</v>
      </c>
      <c r="N338" s="10">
        <f>1+2+130</f>
        <v>133</v>
      </c>
      <c r="O338" s="10">
        <f>1+2+125</f>
        <v>128</v>
      </c>
      <c r="P338" s="10">
        <f>1+2+130</f>
        <v>133</v>
      </c>
      <c r="Q338" s="38">
        <f t="shared" ref="Q338:Q371" si="119">SUM(N338:P338)</f>
        <v>394</v>
      </c>
      <c r="R338" s="38">
        <f t="shared" ref="R338:R371" si="120">+E338+I338+M338+Q338</f>
        <v>788</v>
      </c>
      <c r="T338" t="s">
        <v>2870</v>
      </c>
    </row>
    <row r="339" spans="1:20" ht="15.75" hidden="1" customHeight="1" x14ac:dyDescent="0.3">
      <c r="A339" s="410" t="s">
        <v>2993</v>
      </c>
      <c r="B339" s="10"/>
      <c r="C339" s="10"/>
      <c r="D339" s="10"/>
      <c r="E339" s="38">
        <f t="shared" si="116"/>
        <v>0</v>
      </c>
      <c r="F339" s="10"/>
      <c r="G339" s="10"/>
      <c r="H339" s="10">
        <v>778</v>
      </c>
      <c r="I339" s="38">
        <f t="shared" si="117"/>
        <v>778</v>
      </c>
      <c r="J339" s="10"/>
      <c r="K339" s="10"/>
      <c r="L339" s="10"/>
      <c r="M339" s="38">
        <f t="shared" si="118"/>
        <v>0</v>
      </c>
      <c r="N339" s="10"/>
      <c r="O339" s="10"/>
      <c r="P339" s="10"/>
      <c r="Q339" s="38">
        <f t="shared" si="119"/>
        <v>0</v>
      </c>
      <c r="R339" s="38">
        <f t="shared" si="120"/>
        <v>778</v>
      </c>
    </row>
    <row r="340" spans="1:20" ht="15.75" hidden="1" customHeight="1" x14ac:dyDescent="0.3">
      <c r="A340" s="410" t="s">
        <v>349</v>
      </c>
      <c r="B340" s="10"/>
      <c r="C340" s="10"/>
      <c r="D340" s="10"/>
      <c r="E340" s="38">
        <f t="shared" si="116"/>
        <v>0</v>
      </c>
      <c r="F340" s="10"/>
      <c r="G340" s="10"/>
      <c r="H340" s="10"/>
      <c r="I340" s="38">
        <f t="shared" si="117"/>
        <v>0</v>
      </c>
      <c r="J340" s="10"/>
      <c r="K340" s="10"/>
      <c r="L340" s="10"/>
      <c r="M340" s="38">
        <f t="shared" si="118"/>
        <v>0</v>
      </c>
      <c r="N340" s="10"/>
      <c r="O340" s="10"/>
      <c r="P340" s="10"/>
      <c r="Q340" s="38">
        <f t="shared" si="119"/>
        <v>0</v>
      </c>
      <c r="R340" s="38">
        <f t="shared" si="120"/>
        <v>0</v>
      </c>
      <c r="T340" t="s">
        <v>2174</v>
      </c>
    </row>
    <row r="341" spans="1:20" ht="15.75" hidden="1" customHeight="1" x14ac:dyDescent="0.3">
      <c r="A341" s="410" t="s">
        <v>3238</v>
      </c>
      <c r="B341" s="10"/>
      <c r="C341" s="10"/>
      <c r="D341" s="10">
        <v>100</v>
      </c>
      <c r="E341" s="38">
        <f>SUM(B341:D341)</f>
        <v>100</v>
      </c>
      <c r="F341" s="10"/>
      <c r="G341" s="10"/>
      <c r="H341" s="10"/>
      <c r="I341" s="38">
        <f t="shared" ref="I341" si="121">SUM(F341:H341)</f>
        <v>0</v>
      </c>
      <c r="J341" s="10"/>
      <c r="K341" s="10"/>
      <c r="L341" s="10"/>
      <c r="M341" s="38">
        <f t="shared" ref="M341" si="122">SUM(J341:L341)</f>
        <v>0</v>
      </c>
      <c r="N341" s="10"/>
      <c r="O341" s="10">
        <v>100</v>
      </c>
      <c r="P341" s="10">
        <v>50</v>
      </c>
      <c r="Q341" s="38">
        <f t="shared" ref="Q341" si="123">SUM(N341:P341)</f>
        <v>150</v>
      </c>
      <c r="R341" s="38">
        <f t="shared" si="120"/>
        <v>250</v>
      </c>
      <c r="T341" t="s">
        <v>2776</v>
      </c>
    </row>
    <row r="342" spans="1:20" ht="15.75" hidden="1" customHeight="1" x14ac:dyDescent="0.3">
      <c r="A342" s="410" t="s">
        <v>3065</v>
      </c>
      <c r="B342" s="10"/>
      <c r="C342" s="10"/>
      <c r="D342" s="10"/>
      <c r="E342" s="38">
        <f t="shared" si="116"/>
        <v>0</v>
      </c>
      <c r="F342" s="10"/>
      <c r="G342" s="10"/>
      <c r="H342" s="10">
        <v>778</v>
      </c>
      <c r="I342" s="38">
        <f t="shared" si="117"/>
        <v>778</v>
      </c>
      <c r="J342" s="10"/>
      <c r="K342" s="10"/>
      <c r="L342" s="10"/>
      <c r="M342" s="38">
        <f t="shared" si="118"/>
        <v>0</v>
      </c>
      <c r="N342" s="10"/>
      <c r="O342" s="10"/>
      <c r="P342" s="10"/>
      <c r="Q342" s="38">
        <f t="shared" si="119"/>
        <v>0</v>
      </c>
      <c r="R342" s="38">
        <f t="shared" si="120"/>
        <v>778</v>
      </c>
      <c r="T342" t="s">
        <v>2776</v>
      </c>
    </row>
    <row r="343" spans="1:20" ht="15.75" hidden="1" customHeight="1" x14ac:dyDescent="0.3">
      <c r="A343" s="410" t="s">
        <v>2983</v>
      </c>
      <c r="B343">
        <v>145</v>
      </c>
      <c r="C343" s="10">
        <v>146</v>
      </c>
      <c r="D343" s="10">
        <v>217</v>
      </c>
      <c r="E343" s="38">
        <f>SUM(B343:D343)</f>
        <v>508</v>
      </c>
      <c r="F343" s="10">
        <v>255</v>
      </c>
      <c r="G343" s="10">
        <v>266</v>
      </c>
      <c r="H343" s="10">
        <f>305+2528</f>
        <v>2833</v>
      </c>
      <c r="I343" s="38">
        <f>SUM(F343:H343)</f>
        <v>3354</v>
      </c>
      <c r="J343" s="10">
        <v>302</v>
      </c>
      <c r="K343" s="10">
        <v>290</v>
      </c>
      <c r="L343" s="10">
        <v>260</v>
      </c>
      <c r="M343" s="38">
        <f t="shared" ref="M343:M349" si="124">SUM(J343:L343)</f>
        <v>852</v>
      </c>
      <c r="N343" s="10">
        <v>240</v>
      </c>
      <c r="O343" s="10">
        <v>196</v>
      </c>
      <c r="P343" s="10">
        <v>178</v>
      </c>
      <c r="Q343" s="38">
        <f>SUM(N343:P343)</f>
        <v>614</v>
      </c>
      <c r="R343" s="38">
        <f t="shared" si="120"/>
        <v>5328</v>
      </c>
      <c r="T343" t="s">
        <v>2174</v>
      </c>
    </row>
    <row r="344" spans="1:20" ht="15.75" hidden="1" customHeight="1" x14ac:dyDescent="0.3">
      <c r="A344" s="410" t="s">
        <v>3066</v>
      </c>
      <c r="B344" s="10"/>
      <c r="C344" s="10"/>
      <c r="D344" s="10"/>
      <c r="E344" s="38">
        <f t="shared" ref="E344:E349" si="125">SUM(B344:D344)</f>
        <v>0</v>
      </c>
      <c r="F344" s="10"/>
      <c r="G344" s="10"/>
      <c r="H344" s="10">
        <v>1750</v>
      </c>
      <c r="I344" s="38">
        <f t="shared" ref="I344:I349" si="126">SUM(F344:H344)</f>
        <v>1750</v>
      </c>
      <c r="J344" s="10"/>
      <c r="K344" s="10"/>
      <c r="L344" s="10"/>
      <c r="M344" s="38">
        <f t="shared" si="124"/>
        <v>0</v>
      </c>
      <c r="N344" s="10"/>
      <c r="O344" s="10"/>
      <c r="P344" s="10"/>
      <c r="Q344" s="38">
        <f>SUM(N344:P344)</f>
        <v>0</v>
      </c>
      <c r="R344" s="38">
        <f t="shared" si="120"/>
        <v>1750</v>
      </c>
      <c r="T344" t="s">
        <v>2776</v>
      </c>
    </row>
    <row r="345" spans="1:20" ht="15.75" hidden="1" customHeight="1" x14ac:dyDescent="0.3">
      <c r="A345" s="410" t="s">
        <v>3393</v>
      </c>
      <c r="B345" s="10"/>
      <c r="C345" s="10"/>
      <c r="D345" s="10">
        <v>100</v>
      </c>
      <c r="E345" s="38">
        <f t="shared" si="125"/>
        <v>100</v>
      </c>
      <c r="F345" s="10"/>
      <c r="G345" s="10"/>
      <c r="H345" s="10"/>
      <c r="I345" s="38">
        <f t="shared" si="126"/>
        <v>0</v>
      </c>
      <c r="J345" s="10"/>
      <c r="K345" s="10"/>
      <c r="L345" s="10"/>
      <c r="M345" s="38">
        <f t="shared" si="124"/>
        <v>0</v>
      </c>
      <c r="N345" s="10"/>
      <c r="O345" s="10">
        <v>100</v>
      </c>
      <c r="P345" s="10">
        <v>50</v>
      </c>
      <c r="Q345" s="38">
        <f>SUM(N345:P345)</f>
        <v>150</v>
      </c>
      <c r="R345" s="38">
        <f t="shared" si="120"/>
        <v>250</v>
      </c>
    </row>
    <row r="346" spans="1:20" ht="15.75" hidden="1" customHeight="1" x14ac:dyDescent="0.3">
      <c r="A346" s="410" t="s">
        <v>2873</v>
      </c>
      <c r="B346" s="10">
        <f>15+66</f>
        <v>81</v>
      </c>
      <c r="C346" s="10">
        <f>15+85</f>
        <v>100</v>
      </c>
      <c r="D346" s="10">
        <f>30+130</f>
        <v>160</v>
      </c>
      <c r="E346" s="38">
        <f t="shared" si="125"/>
        <v>341</v>
      </c>
      <c r="F346" s="10">
        <f>35+202</f>
        <v>237</v>
      </c>
      <c r="G346" s="10">
        <f>40+335</f>
        <v>375</v>
      </c>
      <c r="H346" s="10">
        <f>60+350</f>
        <v>410</v>
      </c>
      <c r="I346" s="38">
        <f t="shared" si="126"/>
        <v>1022</v>
      </c>
      <c r="J346" s="10">
        <f>60+320</f>
        <v>380</v>
      </c>
      <c r="K346" s="10">
        <f>50+295</f>
        <v>345</v>
      </c>
      <c r="L346" s="10">
        <f>40+260</f>
        <v>300</v>
      </c>
      <c r="M346" s="38">
        <f t="shared" si="124"/>
        <v>1025</v>
      </c>
      <c r="N346" s="10">
        <f>35+325</f>
        <v>360</v>
      </c>
      <c r="O346" s="10">
        <f>30+137</f>
        <v>167</v>
      </c>
      <c r="P346" s="10">
        <f>15+112</f>
        <v>127</v>
      </c>
      <c r="Q346" s="38">
        <f>SUM(N346:P346)</f>
        <v>654</v>
      </c>
      <c r="R346" s="38">
        <f>+E346+I346+M346+Q346</f>
        <v>3042</v>
      </c>
      <c r="T346" t="s">
        <v>2871</v>
      </c>
    </row>
    <row r="347" spans="1:20" ht="15.75" hidden="1" customHeight="1" x14ac:dyDescent="0.3">
      <c r="A347" s="410" t="s">
        <v>3045</v>
      </c>
      <c r="B347" s="10"/>
      <c r="C347" s="10"/>
      <c r="D347" s="10"/>
      <c r="E347" s="38">
        <f t="shared" si="125"/>
        <v>0</v>
      </c>
      <c r="F347" s="10"/>
      <c r="G347" s="10"/>
      <c r="H347" s="10">
        <v>1000</v>
      </c>
      <c r="I347" s="38">
        <f t="shared" si="126"/>
        <v>1000</v>
      </c>
      <c r="J347" s="10">
        <v>2243</v>
      </c>
      <c r="K347" s="10"/>
      <c r="L347" s="10"/>
      <c r="M347" s="38">
        <f t="shared" si="124"/>
        <v>2243</v>
      </c>
      <c r="N347" s="10"/>
      <c r="O347" s="10"/>
      <c r="P347" s="10"/>
      <c r="Q347" s="38">
        <f>SUM(N347:P347)</f>
        <v>0</v>
      </c>
      <c r="R347" s="38">
        <f>+E347+I347+M347+Q347</f>
        <v>3243</v>
      </c>
      <c r="T347" t="s">
        <v>2178</v>
      </c>
    </row>
    <row r="348" spans="1:20" ht="15.75" hidden="1" customHeight="1" x14ac:dyDescent="0.3">
      <c r="A348" s="410" t="s">
        <v>3137</v>
      </c>
      <c r="B348" s="10"/>
      <c r="C348" s="10"/>
      <c r="D348" s="10"/>
      <c r="E348" s="38">
        <f t="shared" si="125"/>
        <v>0</v>
      </c>
      <c r="F348" s="10"/>
      <c r="G348" s="10"/>
      <c r="H348" s="10"/>
      <c r="I348" s="38">
        <f t="shared" si="126"/>
        <v>0</v>
      </c>
      <c r="J348" s="10">
        <v>4000</v>
      </c>
      <c r="K348" s="10">
        <v>2500</v>
      </c>
      <c r="L348" s="10"/>
      <c r="M348" s="38">
        <f t="shared" si="124"/>
        <v>6500</v>
      </c>
      <c r="N348" s="10"/>
      <c r="O348" s="10"/>
      <c r="P348" s="10"/>
      <c r="Q348" s="38">
        <f t="shared" ref="Q348" si="127">SUM(N348:P348)</f>
        <v>0</v>
      </c>
      <c r="R348" s="38">
        <f>+E348+I348+M348+Q348</f>
        <v>6500</v>
      </c>
    </row>
    <row r="349" spans="1:20" ht="15.75" hidden="1" customHeight="1" x14ac:dyDescent="0.3">
      <c r="A349" s="410" t="s">
        <v>3255</v>
      </c>
      <c r="B349" s="10">
        <v>500</v>
      </c>
      <c r="C349" s="10">
        <v>500</v>
      </c>
      <c r="D349" s="10">
        <v>1994</v>
      </c>
      <c r="E349" s="38">
        <f t="shared" si="125"/>
        <v>2994</v>
      </c>
      <c r="F349" s="10"/>
      <c r="G349" s="10"/>
      <c r="H349" s="10"/>
      <c r="I349" s="38">
        <f t="shared" si="126"/>
        <v>0</v>
      </c>
      <c r="J349" s="10"/>
      <c r="K349" s="10"/>
      <c r="L349" s="10"/>
      <c r="M349" s="38">
        <f t="shared" si="124"/>
        <v>0</v>
      </c>
      <c r="N349" s="10"/>
      <c r="O349" s="10"/>
      <c r="P349" s="10"/>
      <c r="Q349" s="38">
        <f>SUM(N349:P349)</f>
        <v>0</v>
      </c>
      <c r="R349" s="38">
        <f>+E349+I349+M349+Q349</f>
        <v>2994</v>
      </c>
      <c r="S349" s="736" t="s">
        <v>3213</v>
      </c>
    </row>
    <row r="350" spans="1:20" ht="15.75" hidden="1" customHeight="1" x14ac:dyDescent="0.3">
      <c r="A350" s="410" t="s">
        <v>3147</v>
      </c>
      <c r="B350" s="10"/>
      <c r="C350" s="10"/>
      <c r="D350" s="10"/>
      <c r="E350" s="38">
        <f>SUM(B350:D350)</f>
        <v>0</v>
      </c>
      <c r="F350" s="10"/>
      <c r="G350" s="10"/>
      <c r="H350" s="10"/>
      <c r="I350" s="38">
        <f t="shared" ref="I350:I351" si="128">SUM(F350:H350)</f>
        <v>0</v>
      </c>
      <c r="J350" s="10"/>
      <c r="K350" s="10">
        <v>1000</v>
      </c>
      <c r="L350" s="10"/>
      <c r="M350" s="38">
        <f t="shared" ref="M350:M351" si="129">SUM(J350:L350)</f>
        <v>1000</v>
      </c>
      <c r="N350" s="10"/>
      <c r="O350" s="10"/>
      <c r="P350" s="10"/>
      <c r="Q350" s="38">
        <f t="shared" ref="Q350:Q351" si="130">SUM(N350:P350)</f>
        <v>0</v>
      </c>
      <c r="R350" s="38">
        <f t="shared" ref="R350:R351" si="131">+E350+I350+M350+Q350</f>
        <v>1000</v>
      </c>
    </row>
    <row r="351" spans="1:20" ht="15.75" hidden="1" customHeight="1" x14ac:dyDescent="0.3">
      <c r="A351" s="410" t="s">
        <v>2743</v>
      </c>
      <c r="B351" s="10"/>
      <c r="C351" s="10">
        <v>428</v>
      </c>
      <c r="D351" s="10"/>
      <c r="E351" s="38">
        <f>SUM(B351:D351)</f>
        <v>428</v>
      </c>
      <c r="F351" s="10">
        <v>600</v>
      </c>
      <c r="G351" s="10"/>
      <c r="H351" s="10"/>
      <c r="I351" s="38">
        <f t="shared" si="128"/>
        <v>600</v>
      </c>
      <c r="J351" s="10"/>
      <c r="K351" s="10"/>
      <c r="L351" s="10">
        <v>300</v>
      </c>
      <c r="M351" s="38">
        <f t="shared" si="129"/>
        <v>300</v>
      </c>
      <c r="N351" s="10"/>
      <c r="O351" s="10">
        <v>1000</v>
      </c>
      <c r="P351" s="10"/>
      <c r="Q351" s="38">
        <f t="shared" si="130"/>
        <v>1000</v>
      </c>
      <c r="R351" s="38">
        <f t="shared" si="131"/>
        <v>2328</v>
      </c>
      <c r="T351" t="s">
        <v>1358</v>
      </c>
    </row>
    <row r="352" spans="1:20" ht="15.75" hidden="1" customHeight="1" x14ac:dyDescent="0.3">
      <c r="A352" s="410" t="s">
        <v>2744</v>
      </c>
      <c r="B352" s="10"/>
      <c r="C352" s="10"/>
      <c r="D352" s="10"/>
      <c r="E352" s="38">
        <f t="shared" ref="E352" si="132">SUM(B352:D352)</f>
        <v>0</v>
      </c>
      <c r="F352" s="10"/>
      <c r="G352" s="10"/>
      <c r="H352" s="10"/>
      <c r="I352" s="38">
        <f t="shared" ref="I352" si="133">SUM(F352:H352)</f>
        <v>0</v>
      </c>
      <c r="J352" s="10"/>
      <c r="K352" s="10"/>
      <c r="L352" s="10"/>
      <c r="M352" s="38">
        <f t="shared" ref="M352:M354" si="134">SUM(J352:L352)</f>
        <v>0</v>
      </c>
      <c r="N352" s="10">
        <v>944</v>
      </c>
      <c r="O352" s="10">
        <v>1142</v>
      </c>
      <c r="P352" s="10">
        <v>1142</v>
      </c>
      <c r="Q352" s="38">
        <f t="shared" si="119"/>
        <v>3228</v>
      </c>
      <c r="R352" s="38">
        <f t="shared" si="120"/>
        <v>3228</v>
      </c>
      <c r="T352" t="s">
        <v>2780</v>
      </c>
    </row>
    <row r="353" spans="1:20" ht="15.75" hidden="1" customHeight="1" x14ac:dyDescent="0.3">
      <c r="A353" s="410" t="s">
        <v>331</v>
      </c>
      <c r="B353" s="10">
        <v>3</v>
      </c>
      <c r="C353" s="10">
        <v>27</v>
      </c>
      <c r="D353" s="10">
        <v>38</v>
      </c>
      <c r="E353" s="38">
        <f>SUM(B353:D353)</f>
        <v>68</v>
      </c>
      <c r="F353" s="10">
        <v>45</v>
      </c>
      <c r="G353" s="10">
        <v>55</v>
      </c>
      <c r="H353" s="10">
        <f>60+1600</f>
        <v>1660</v>
      </c>
      <c r="I353" s="38">
        <f>SUM(F353:H353)</f>
        <v>1760</v>
      </c>
      <c r="J353" s="10">
        <v>60</v>
      </c>
      <c r="K353" s="10">
        <v>50</v>
      </c>
      <c r="L353" s="10">
        <v>36</v>
      </c>
      <c r="M353" s="38">
        <f>SUM(J353:L353)</f>
        <v>146</v>
      </c>
      <c r="N353" s="10">
        <v>70</v>
      </c>
      <c r="O353" s="10">
        <v>22</v>
      </c>
      <c r="P353" s="10">
        <v>25</v>
      </c>
      <c r="Q353" s="38">
        <f t="shared" ref="Q353" si="135">SUM(N353:P353)</f>
        <v>117</v>
      </c>
      <c r="R353" s="38">
        <f t="shared" ref="R353" si="136">+E353+I353+M353+Q353</f>
        <v>2091</v>
      </c>
    </row>
    <row r="354" spans="1:20" ht="15.75" hidden="1" customHeight="1" x14ac:dyDescent="0.3">
      <c r="A354" s="410" t="s">
        <v>3330</v>
      </c>
      <c r="B354" s="10">
        <v>200</v>
      </c>
      <c r="C354" s="10">
        <v>200</v>
      </c>
      <c r="D354" s="10">
        <v>200</v>
      </c>
      <c r="E354" s="38">
        <f>SUM(B354:D354)</f>
        <v>600</v>
      </c>
      <c r="F354" s="10">
        <v>200</v>
      </c>
      <c r="G354" s="10">
        <v>200</v>
      </c>
      <c r="H354" s="10">
        <v>200</v>
      </c>
      <c r="I354" s="38">
        <f>SUM(F354:H354)</f>
        <v>600</v>
      </c>
      <c r="J354" s="10">
        <v>200</v>
      </c>
      <c r="K354" s="10">
        <v>200</v>
      </c>
      <c r="L354" s="10">
        <v>200</v>
      </c>
      <c r="M354" s="38">
        <f t="shared" si="134"/>
        <v>600</v>
      </c>
      <c r="N354" s="10">
        <v>200</v>
      </c>
      <c r="O354" s="10">
        <v>120</v>
      </c>
      <c r="P354" s="10"/>
      <c r="Q354" s="38">
        <f t="shared" si="119"/>
        <v>320</v>
      </c>
      <c r="R354" s="38">
        <f t="shared" si="120"/>
        <v>2120</v>
      </c>
    </row>
    <row r="355" spans="1:20" ht="15.75" hidden="1" customHeight="1" x14ac:dyDescent="0.3">
      <c r="A355" s="410" t="s">
        <v>2607</v>
      </c>
      <c r="B355" s="10"/>
      <c r="C355" s="10"/>
      <c r="D355" s="10"/>
      <c r="E355" s="38">
        <f t="shared" si="116"/>
        <v>0</v>
      </c>
      <c r="F355" s="10"/>
      <c r="G355" s="10"/>
      <c r="H355" s="10"/>
      <c r="I355" s="38">
        <f t="shared" si="117"/>
        <v>0</v>
      </c>
      <c r="J355" s="10"/>
      <c r="K355" s="10"/>
      <c r="L355" s="10"/>
      <c r="M355" s="38">
        <f t="shared" si="118"/>
        <v>0</v>
      </c>
      <c r="N355" s="10"/>
      <c r="O355" s="10"/>
      <c r="P355" s="10"/>
      <c r="Q355" s="38">
        <f t="shared" si="119"/>
        <v>0</v>
      </c>
      <c r="R355" s="38">
        <f t="shared" si="120"/>
        <v>0</v>
      </c>
      <c r="T355" t="s">
        <v>2174</v>
      </c>
    </row>
    <row r="356" spans="1:20" ht="15.75" hidden="1" customHeight="1" x14ac:dyDescent="0.3">
      <c r="A356" s="410" t="s">
        <v>3205</v>
      </c>
      <c r="B356" s="10"/>
      <c r="C356" s="10"/>
      <c r="D356" s="10"/>
      <c r="E356" s="38">
        <f t="shared" si="116"/>
        <v>0</v>
      </c>
      <c r="F356" s="10"/>
      <c r="G356" s="10"/>
      <c r="H356" s="10"/>
      <c r="I356" s="38">
        <f t="shared" si="117"/>
        <v>0</v>
      </c>
      <c r="J356" s="10"/>
      <c r="K356" s="10"/>
      <c r="L356" s="10"/>
      <c r="M356" s="38">
        <f t="shared" si="118"/>
        <v>0</v>
      </c>
      <c r="N356" s="10"/>
      <c r="O356" s="10"/>
      <c r="P356" s="10"/>
      <c r="Q356" s="38">
        <f t="shared" si="119"/>
        <v>0</v>
      </c>
      <c r="R356" s="38">
        <f t="shared" si="120"/>
        <v>0</v>
      </c>
    </row>
    <row r="357" spans="1:20" ht="15.75" hidden="1" customHeight="1" x14ac:dyDescent="0.3">
      <c r="A357" s="410" t="s">
        <v>2692</v>
      </c>
      <c r="B357" s="10"/>
      <c r="C357" s="10"/>
      <c r="D357" s="10"/>
      <c r="E357" s="38">
        <f>SUM(B357:D357)</f>
        <v>0</v>
      </c>
      <c r="F357" s="10"/>
      <c r="G357" s="10"/>
      <c r="H357" s="10"/>
      <c r="I357" s="38">
        <f>SUM(F357:H357)</f>
        <v>0</v>
      </c>
      <c r="J357" s="10"/>
      <c r="K357" s="10"/>
      <c r="L357" s="10"/>
      <c r="M357" s="38">
        <f t="shared" si="118"/>
        <v>0</v>
      </c>
      <c r="N357" s="10"/>
      <c r="O357" s="10"/>
      <c r="P357" s="10"/>
      <c r="Q357" s="38">
        <f>SUM(N357:P357)</f>
        <v>0</v>
      </c>
      <c r="R357" s="38">
        <f t="shared" si="120"/>
        <v>0</v>
      </c>
      <c r="T357" t="s">
        <v>1358</v>
      </c>
    </row>
    <row r="358" spans="1:20" ht="15.75" hidden="1" customHeight="1" x14ac:dyDescent="0.3">
      <c r="A358" s="410" t="s">
        <v>347</v>
      </c>
      <c r="B358" s="10"/>
      <c r="C358" s="10"/>
      <c r="D358" s="10"/>
      <c r="E358" s="38">
        <f t="shared" ref="E358" si="137">SUM(B358:D358)</f>
        <v>0</v>
      </c>
      <c r="F358" s="10"/>
      <c r="G358" s="10"/>
      <c r="H358" s="10"/>
      <c r="I358" s="38">
        <f t="shared" ref="I358" si="138">SUM(F358:H358)</f>
        <v>0</v>
      </c>
      <c r="J358" s="10">
        <v>467</v>
      </c>
      <c r="K358" s="10">
        <v>2210</v>
      </c>
      <c r="L358" s="10">
        <v>1841</v>
      </c>
      <c r="M358" s="38">
        <f t="shared" si="118"/>
        <v>4518</v>
      </c>
      <c r="N358" s="10">
        <v>1713</v>
      </c>
      <c r="O358" s="10">
        <v>1004</v>
      </c>
      <c r="P358" s="10"/>
      <c r="Q358" s="38">
        <f t="shared" si="119"/>
        <v>2717</v>
      </c>
      <c r="R358" s="38">
        <f t="shared" si="120"/>
        <v>7235</v>
      </c>
      <c r="T358" t="s">
        <v>2780</v>
      </c>
    </row>
    <row r="359" spans="1:20" ht="15.75" hidden="1" customHeight="1" x14ac:dyDescent="0.3">
      <c r="A359" s="410" t="s">
        <v>2954</v>
      </c>
      <c r="B359" s="10"/>
      <c r="C359" s="10"/>
      <c r="D359" s="10"/>
      <c r="E359" s="38">
        <f>SUM(B359:D359)</f>
        <v>0</v>
      </c>
      <c r="F359" s="10"/>
      <c r="G359" s="10"/>
      <c r="H359" s="10"/>
      <c r="I359" s="38">
        <f>SUM(F359:H359)</f>
        <v>0</v>
      </c>
      <c r="J359" s="10"/>
      <c r="K359" s="10"/>
      <c r="L359" s="10"/>
      <c r="M359" s="38">
        <f>SUM(J359:L359)</f>
        <v>0</v>
      </c>
      <c r="N359" s="10"/>
      <c r="O359" s="10"/>
      <c r="P359" s="10"/>
      <c r="Q359" s="38">
        <f>SUM(N359:P359)</f>
        <v>0</v>
      </c>
      <c r="R359" s="38">
        <f t="shared" si="120"/>
        <v>0</v>
      </c>
      <c r="T359" t="s">
        <v>1358</v>
      </c>
    </row>
    <row r="360" spans="1:20" ht="15.75" hidden="1" customHeight="1" x14ac:dyDescent="0.3">
      <c r="A360" s="410" t="s">
        <v>2593</v>
      </c>
      <c r="B360" s="10"/>
      <c r="C360" s="10"/>
      <c r="D360" s="10"/>
      <c r="E360" s="38">
        <f t="shared" si="116"/>
        <v>0</v>
      </c>
      <c r="F360" s="10"/>
      <c r="G360" s="10"/>
      <c r="H360" s="10"/>
      <c r="I360" s="38">
        <f t="shared" si="117"/>
        <v>0</v>
      </c>
      <c r="J360" s="10"/>
      <c r="K360" s="10"/>
      <c r="L360" s="10"/>
      <c r="M360" s="38">
        <f t="shared" si="118"/>
        <v>0</v>
      </c>
      <c r="N360" s="10"/>
      <c r="O360" s="10"/>
      <c r="P360" s="10"/>
      <c r="Q360" s="38">
        <f t="shared" si="119"/>
        <v>0</v>
      </c>
      <c r="R360" s="38">
        <f t="shared" si="120"/>
        <v>0</v>
      </c>
      <c r="S360" s="538"/>
      <c r="T360" t="s">
        <v>2175</v>
      </c>
    </row>
    <row r="361" spans="1:20" ht="15.75" hidden="1" customHeight="1" x14ac:dyDescent="0.3">
      <c r="A361" s="410" t="s">
        <v>3056</v>
      </c>
      <c r="B361" s="10">
        <v>7</v>
      </c>
      <c r="C361" s="10"/>
      <c r="D361" s="10">
        <v>37</v>
      </c>
      <c r="E361" s="38">
        <f t="shared" si="116"/>
        <v>44</v>
      </c>
      <c r="F361" s="10">
        <v>66</v>
      </c>
      <c r="G361" s="10">
        <v>73</v>
      </c>
      <c r="H361" s="10">
        <v>66</v>
      </c>
      <c r="I361" s="38">
        <f>SUM(F361:H361)</f>
        <v>205</v>
      </c>
      <c r="J361" s="10">
        <v>39</v>
      </c>
      <c r="K361" s="10">
        <v>21</v>
      </c>
      <c r="L361" s="10">
        <v>2</v>
      </c>
      <c r="M361" s="38">
        <f>SUM(J361:L361)</f>
        <v>62</v>
      </c>
      <c r="N361" s="10">
        <v>4</v>
      </c>
      <c r="O361" s="10">
        <v>25</v>
      </c>
      <c r="P361" s="10">
        <v>25</v>
      </c>
      <c r="Q361" s="38">
        <f>SUM(N361:P361)</f>
        <v>54</v>
      </c>
      <c r="R361" s="38">
        <f>+E361+I361+M361+Q361</f>
        <v>365</v>
      </c>
      <c r="T361" t="s">
        <v>1193</v>
      </c>
    </row>
    <row r="362" spans="1:20" ht="15.75" hidden="1" customHeight="1" x14ac:dyDescent="0.3">
      <c r="A362" s="311" t="s">
        <v>92</v>
      </c>
      <c r="B362" s="10">
        <f>2381+1924</f>
        <v>4305</v>
      </c>
      <c r="C362" s="10">
        <v>577</v>
      </c>
      <c r="D362" s="10">
        <v>437</v>
      </c>
      <c r="E362" s="38">
        <f t="shared" ref="E362" si="139">SUM(B362:D362)</f>
        <v>5319</v>
      </c>
      <c r="F362" s="10">
        <f>4291+1202</f>
        <v>5493</v>
      </c>
      <c r="G362" s="10">
        <f>5010+1572</f>
        <v>6582</v>
      </c>
      <c r="H362" s="10">
        <f>4619+1716</f>
        <v>6335</v>
      </c>
      <c r="I362" s="38">
        <f t="shared" ref="I362" si="140">SUM(F362:H362)</f>
        <v>18410</v>
      </c>
      <c r="J362" s="10">
        <f>4122+1942</f>
        <v>6064</v>
      </c>
      <c r="K362" s="10">
        <f>3334+1817</f>
        <v>5151</v>
      </c>
      <c r="L362" s="10">
        <f>3079+1645</f>
        <v>4724</v>
      </c>
      <c r="M362" s="38">
        <f t="shared" ref="M362" si="141">SUM(J362:L362)</f>
        <v>15939</v>
      </c>
      <c r="N362" s="10">
        <f>2350+1558</f>
        <v>3908</v>
      </c>
      <c r="O362" s="10">
        <f>641+1507</f>
        <v>2148</v>
      </c>
      <c r="P362" s="10"/>
      <c r="Q362" s="38">
        <f t="shared" si="119"/>
        <v>6056</v>
      </c>
      <c r="R362" s="38">
        <f t="shared" si="120"/>
        <v>45724</v>
      </c>
      <c r="T362" t="s">
        <v>2177</v>
      </c>
    </row>
    <row r="363" spans="1:20" ht="15.75" hidden="1" customHeight="1" x14ac:dyDescent="0.3">
      <c r="A363" s="410" t="s">
        <v>3164</v>
      </c>
      <c r="B363" s="10"/>
      <c r="C363" s="10"/>
      <c r="D363" s="10"/>
      <c r="E363" s="38">
        <f t="shared" si="116"/>
        <v>0</v>
      </c>
      <c r="F363" s="10"/>
      <c r="G363" s="10"/>
      <c r="H363" s="10"/>
      <c r="I363" s="38">
        <f t="shared" si="117"/>
        <v>0</v>
      </c>
      <c r="J363" s="10"/>
      <c r="K363" s="10"/>
      <c r="L363" s="10"/>
      <c r="M363" s="38">
        <f t="shared" si="118"/>
        <v>0</v>
      </c>
      <c r="N363" s="10"/>
      <c r="O363" s="10"/>
      <c r="P363" s="10"/>
      <c r="Q363" s="38">
        <f t="shared" si="119"/>
        <v>0</v>
      </c>
      <c r="R363" s="38">
        <f t="shared" si="120"/>
        <v>0</v>
      </c>
      <c r="T363" t="s">
        <v>2176</v>
      </c>
    </row>
    <row r="364" spans="1:20" ht="15.75" hidden="1" customHeight="1" x14ac:dyDescent="0.3">
      <c r="A364" s="410" t="s">
        <v>3409</v>
      </c>
      <c r="B364" s="10"/>
      <c r="C364" s="10"/>
      <c r="D364" s="10"/>
      <c r="E364" s="38">
        <f t="shared" si="116"/>
        <v>0</v>
      </c>
      <c r="F364" s="10"/>
      <c r="G364" s="10"/>
      <c r="H364" s="10">
        <v>1000</v>
      </c>
      <c r="I364" s="38">
        <f t="shared" si="117"/>
        <v>1000</v>
      </c>
      <c r="J364" s="10">
        <v>1000</v>
      </c>
      <c r="K364" s="10"/>
      <c r="L364" s="10"/>
      <c r="M364" s="38">
        <f t="shared" si="118"/>
        <v>1000</v>
      </c>
      <c r="N364" s="10"/>
      <c r="O364" s="10"/>
      <c r="P364" s="10"/>
      <c r="Q364" s="38">
        <f t="shared" ref="Q364" si="142">SUM(N364:P364)</f>
        <v>0</v>
      </c>
      <c r="R364" s="38">
        <f t="shared" si="120"/>
        <v>2000</v>
      </c>
    </row>
    <row r="365" spans="1:20" ht="15.75" hidden="1" customHeight="1" x14ac:dyDescent="0.3">
      <c r="A365" s="410" t="s">
        <v>3410</v>
      </c>
      <c r="B365" s="10"/>
      <c r="C365" s="10"/>
      <c r="D365" s="10"/>
      <c r="E365" s="38">
        <f t="shared" si="116"/>
        <v>0</v>
      </c>
      <c r="F365" s="10"/>
      <c r="G365" s="10"/>
      <c r="H365" s="10"/>
      <c r="I365" s="38">
        <f t="shared" si="117"/>
        <v>0</v>
      </c>
      <c r="J365" s="10">
        <v>1000</v>
      </c>
      <c r="K365" s="10"/>
      <c r="L365" s="10"/>
      <c r="M365" s="38">
        <f t="shared" si="118"/>
        <v>1000</v>
      </c>
      <c r="N365" s="10"/>
      <c r="O365" s="10"/>
      <c r="P365" s="10"/>
      <c r="Q365" s="38">
        <f t="shared" ref="Q365" si="143">SUM(N365:P365)</f>
        <v>0</v>
      </c>
      <c r="R365" s="38">
        <f t="shared" si="120"/>
        <v>1000</v>
      </c>
    </row>
    <row r="366" spans="1:20" ht="15.75" hidden="1" customHeight="1" x14ac:dyDescent="0.3">
      <c r="A366" s="410" t="s">
        <v>3138</v>
      </c>
      <c r="B366" s="10">
        <v>300</v>
      </c>
      <c r="C366" s="10">
        <v>300</v>
      </c>
      <c r="D366" s="10">
        <v>300</v>
      </c>
      <c r="E366" s="38">
        <f t="shared" si="116"/>
        <v>900</v>
      </c>
      <c r="F366" s="10">
        <v>300</v>
      </c>
      <c r="G366" s="10">
        <v>300</v>
      </c>
      <c r="H366" s="10">
        <v>300</v>
      </c>
      <c r="I366" s="38">
        <f t="shared" si="117"/>
        <v>900</v>
      </c>
      <c r="J366" s="10">
        <v>190</v>
      </c>
      <c r="K366" s="10">
        <v>300</v>
      </c>
      <c r="L366" s="10">
        <v>300</v>
      </c>
      <c r="M366" s="38">
        <f t="shared" si="118"/>
        <v>790</v>
      </c>
      <c r="N366" s="10">
        <v>300</v>
      </c>
      <c r="O366" s="10">
        <v>300</v>
      </c>
      <c r="P366" s="10"/>
      <c r="Q366" s="38">
        <f t="shared" si="119"/>
        <v>600</v>
      </c>
      <c r="R366" s="38">
        <f t="shared" si="120"/>
        <v>3190</v>
      </c>
    </row>
    <row r="367" spans="1:20" ht="15.75" hidden="1" customHeight="1" x14ac:dyDescent="0.3">
      <c r="A367" s="410" t="s">
        <v>3268</v>
      </c>
      <c r="B367" s="10"/>
      <c r="C367" s="10"/>
      <c r="D367" s="10"/>
      <c r="E367" s="38">
        <f t="shared" si="116"/>
        <v>0</v>
      </c>
      <c r="F367" s="10"/>
      <c r="G367" s="10"/>
      <c r="H367" s="10"/>
      <c r="I367" s="38">
        <f t="shared" si="117"/>
        <v>0</v>
      </c>
      <c r="J367" s="10"/>
      <c r="K367" s="10"/>
      <c r="L367" s="10"/>
      <c r="M367" s="38">
        <f t="shared" si="118"/>
        <v>0</v>
      </c>
      <c r="N367" s="10"/>
      <c r="O367" s="10"/>
      <c r="P367" s="10"/>
      <c r="Q367" s="38">
        <f t="shared" si="119"/>
        <v>0</v>
      </c>
      <c r="R367" s="38">
        <f t="shared" si="120"/>
        <v>0</v>
      </c>
      <c r="S367" s="736" t="s">
        <v>3213</v>
      </c>
    </row>
    <row r="368" spans="1:20" ht="15.75" hidden="1" customHeight="1" x14ac:dyDescent="0.3">
      <c r="A368" s="410" t="s">
        <v>3060</v>
      </c>
      <c r="B368" s="10"/>
      <c r="C368" s="10"/>
      <c r="D368" s="10"/>
      <c r="E368" s="38">
        <f t="shared" si="116"/>
        <v>0</v>
      </c>
      <c r="F368" s="10"/>
      <c r="G368" s="10"/>
      <c r="H368" s="10"/>
      <c r="I368" s="38">
        <f t="shared" si="117"/>
        <v>0</v>
      </c>
      <c r="J368" s="10"/>
      <c r="K368" s="10"/>
      <c r="L368" s="10">
        <v>1200</v>
      </c>
      <c r="M368" s="38">
        <f t="shared" si="118"/>
        <v>1200</v>
      </c>
      <c r="N368" s="10">
        <v>1300</v>
      </c>
      <c r="O368" s="10"/>
      <c r="P368" s="10"/>
      <c r="Q368" s="38">
        <f>SUM(N368:P368)</f>
        <v>1300</v>
      </c>
      <c r="R368" s="38">
        <f>+E368+I368+M368+Q368</f>
        <v>2500</v>
      </c>
      <c r="T368" t="s">
        <v>1358</v>
      </c>
    </row>
    <row r="369" spans="1:20" ht="15.75" hidden="1" customHeight="1" x14ac:dyDescent="0.3">
      <c r="A369" s="410" t="s">
        <v>3057</v>
      </c>
      <c r="B369" s="10">
        <v>20</v>
      </c>
      <c r="C369" s="10"/>
      <c r="D369" s="10">
        <v>35</v>
      </c>
      <c r="E369" s="38">
        <f>SUM(B369:D369)</f>
        <v>55</v>
      </c>
      <c r="F369" s="10">
        <v>59</v>
      </c>
      <c r="G369" s="10">
        <v>62</v>
      </c>
      <c r="H369" s="10">
        <v>60</v>
      </c>
      <c r="I369" s="38">
        <f>SUM(F369:H369)</f>
        <v>181</v>
      </c>
      <c r="J369" s="10">
        <v>76</v>
      </c>
      <c r="K369" s="10">
        <v>56</v>
      </c>
      <c r="L369" s="10">
        <v>40</v>
      </c>
      <c r="M369" s="38">
        <f>SUM(J369:L369)</f>
        <v>172</v>
      </c>
      <c r="N369" s="10">
        <v>64</v>
      </c>
      <c r="O369" s="10">
        <v>79</v>
      </c>
      <c r="P369" s="10">
        <v>38</v>
      </c>
      <c r="Q369" s="38">
        <f>SUM(N369:P369)</f>
        <v>181</v>
      </c>
      <c r="R369" s="38">
        <f>+E369+I369+M369+Q369</f>
        <v>589</v>
      </c>
      <c r="T369" t="s">
        <v>1193</v>
      </c>
    </row>
    <row r="370" spans="1:20" ht="15.75" hidden="1" customHeight="1" x14ac:dyDescent="0.3">
      <c r="A370" s="539" t="s">
        <v>2944</v>
      </c>
      <c r="B370" s="10"/>
      <c r="C370" s="10"/>
      <c r="D370" s="10"/>
      <c r="E370" s="38">
        <f>SUM(B370:D370)</f>
        <v>0</v>
      </c>
      <c r="F370" s="10"/>
      <c r="G370" s="10"/>
      <c r="H370" s="10">
        <v>27</v>
      </c>
      <c r="I370" s="38">
        <f>SUM(F370:H370)</f>
        <v>27</v>
      </c>
      <c r="J370" s="10"/>
      <c r="K370" s="10"/>
      <c r="L370" s="10"/>
      <c r="M370" s="38">
        <f>SUM(J370:L370)</f>
        <v>0</v>
      </c>
      <c r="N370" s="10"/>
      <c r="O370" s="10"/>
      <c r="P370" s="10"/>
      <c r="Q370" s="38">
        <f>SUM(N370:P370)</f>
        <v>0</v>
      </c>
      <c r="R370" s="38">
        <f t="shared" si="120"/>
        <v>27</v>
      </c>
    </row>
    <row r="371" spans="1:20" ht="15.75" hidden="1" customHeight="1" x14ac:dyDescent="0.3">
      <c r="A371" s="410" t="s">
        <v>2609</v>
      </c>
      <c r="B371" s="10">
        <v>20</v>
      </c>
      <c r="C371" s="10">
        <v>20</v>
      </c>
      <c r="D371" s="10">
        <v>20</v>
      </c>
      <c r="E371" s="38">
        <f t="shared" ref="E371" si="144">SUM(B371:D371)</f>
        <v>60</v>
      </c>
      <c r="F371" s="10">
        <v>60</v>
      </c>
      <c r="G371" s="10">
        <v>75</v>
      </c>
      <c r="H371" s="10">
        <v>75</v>
      </c>
      <c r="I371" s="38">
        <f t="shared" ref="I371" si="145">SUM(F371:H371)</f>
        <v>210</v>
      </c>
      <c r="J371" s="10">
        <v>75</v>
      </c>
      <c r="K371" s="10">
        <v>75</v>
      </c>
      <c r="L371" s="10">
        <v>30</v>
      </c>
      <c r="M371" s="38">
        <f t="shared" ref="M371" si="146">SUM(J371:L371)</f>
        <v>180</v>
      </c>
      <c r="N371" s="10">
        <v>20</v>
      </c>
      <c r="O371" s="10">
        <v>20</v>
      </c>
      <c r="P371" s="10">
        <v>5</v>
      </c>
      <c r="Q371" s="38">
        <f t="shared" si="119"/>
        <v>45</v>
      </c>
      <c r="R371" s="38">
        <f t="shared" si="120"/>
        <v>495</v>
      </c>
      <c r="S371">
        <f>SUM(R338:R371)</f>
        <v>99593</v>
      </c>
      <c r="T371" t="s">
        <v>2175</v>
      </c>
    </row>
    <row r="372" spans="1:20" ht="15.75" hidden="1" customHeight="1" x14ac:dyDescent="0.3">
      <c r="A372" s="410" t="s">
        <v>3058</v>
      </c>
      <c r="B372" s="10">
        <v>15</v>
      </c>
      <c r="C372" s="10"/>
      <c r="D372" s="10">
        <v>40</v>
      </c>
      <c r="E372" s="38">
        <f>SUM(B372:D372)</f>
        <v>55</v>
      </c>
      <c r="F372" s="10">
        <v>45</v>
      </c>
      <c r="G372" s="10">
        <v>58</v>
      </c>
      <c r="H372" s="10">
        <v>57</v>
      </c>
      <c r="I372" s="38">
        <f>SUM(F372:H372)</f>
        <v>160</v>
      </c>
      <c r="J372" s="10">
        <v>49</v>
      </c>
      <c r="K372" s="10">
        <v>53</v>
      </c>
      <c r="L372" s="10">
        <v>63</v>
      </c>
      <c r="M372" s="38">
        <f>SUM(J372:L372)</f>
        <v>165</v>
      </c>
      <c r="N372" s="10">
        <v>47</v>
      </c>
      <c r="O372" s="10">
        <v>36</v>
      </c>
      <c r="P372" s="10">
        <v>16</v>
      </c>
      <c r="Q372" s="38">
        <f>SUM(N372:P372)</f>
        <v>99</v>
      </c>
      <c r="R372" s="38">
        <f>+E372+I372+M372+Q372</f>
        <v>479</v>
      </c>
      <c r="T372" t="s">
        <v>1193</v>
      </c>
    </row>
    <row r="373" spans="1:20" ht="15.75" hidden="1" customHeight="1" x14ac:dyDescent="0.3">
      <c r="A373" s="234" t="s">
        <v>2161</v>
      </c>
      <c r="B373" s="10"/>
      <c r="C373" s="10"/>
      <c r="D373" s="10"/>
      <c r="E373" s="38" t="s">
        <v>852</v>
      </c>
      <c r="F373" s="10"/>
      <c r="G373" s="10"/>
      <c r="H373" s="10"/>
      <c r="I373" s="38" t="s">
        <v>852</v>
      </c>
      <c r="J373" s="10"/>
      <c r="K373" s="10"/>
      <c r="L373" s="10"/>
      <c r="M373" s="38" t="s">
        <v>852</v>
      </c>
      <c r="N373" s="10"/>
      <c r="O373" s="10"/>
      <c r="P373" s="10"/>
      <c r="Q373" s="38" t="s">
        <v>852</v>
      </c>
      <c r="R373" s="38" t="s">
        <v>852</v>
      </c>
    </row>
    <row r="374" spans="1:20" ht="15.75" hidden="1" customHeight="1" x14ac:dyDescent="0.3">
      <c r="A374" s="311" t="s">
        <v>754</v>
      </c>
      <c r="B374" s="10"/>
      <c r="C374" s="10"/>
      <c r="D374" s="10"/>
      <c r="E374" s="38">
        <f t="shared" ref="E374:E384" si="147">SUM(B374:D374)</f>
        <v>0</v>
      </c>
      <c r="F374" s="10"/>
      <c r="G374" s="10"/>
      <c r="H374" s="10"/>
      <c r="I374" s="38">
        <f t="shared" ref="I374:I384" si="148">SUM(F374:H374)</f>
        <v>0</v>
      </c>
      <c r="J374" s="10"/>
      <c r="K374" s="10"/>
      <c r="L374" s="10"/>
      <c r="M374" s="38">
        <f t="shared" ref="M374:M384" si="149">SUM(J374:L374)</f>
        <v>0</v>
      </c>
      <c r="N374" s="10"/>
      <c r="O374" s="10"/>
      <c r="P374" s="10"/>
      <c r="Q374" s="38">
        <f t="shared" ref="Q374:Q384" si="150">SUM(N374:P374)</f>
        <v>0</v>
      </c>
      <c r="R374" s="38">
        <f t="shared" ref="R374:R384" si="151">+E374+I374+M374+Q374</f>
        <v>0</v>
      </c>
    </row>
    <row r="375" spans="1:20" ht="15.75" hidden="1" customHeight="1" x14ac:dyDescent="0.3">
      <c r="A375" s="410" t="s">
        <v>2759</v>
      </c>
      <c r="B375" s="10"/>
      <c r="C375" s="10"/>
      <c r="D375" s="10"/>
      <c r="E375" s="38">
        <f>SUM(B375:D375)</f>
        <v>0</v>
      </c>
      <c r="F375" s="10"/>
      <c r="G375" s="10"/>
      <c r="H375" s="10"/>
      <c r="I375" s="38">
        <f>SUM(F375:H375)</f>
        <v>0</v>
      </c>
      <c r="J375" s="10"/>
      <c r="K375" s="10"/>
      <c r="L375" s="10"/>
      <c r="M375" s="38">
        <f>SUM(J375:L375)</f>
        <v>0</v>
      </c>
      <c r="N375" s="10"/>
      <c r="O375" s="10"/>
      <c r="P375" s="10"/>
      <c r="Q375" s="38">
        <f>SUM(N375:P375)</f>
        <v>0</v>
      </c>
      <c r="R375" s="38">
        <f>+E375+I375+M375+Q375</f>
        <v>0</v>
      </c>
      <c r="T375" t="s">
        <v>131</v>
      </c>
    </row>
    <row r="376" spans="1:20" ht="15.75" hidden="1" customHeight="1" x14ac:dyDescent="0.3">
      <c r="A376" s="311" t="s">
        <v>970</v>
      </c>
      <c r="B376" s="10"/>
      <c r="C376" s="10"/>
      <c r="D376" s="10"/>
      <c r="E376" s="38">
        <f>SUM(B376:D376)</f>
        <v>0</v>
      </c>
      <c r="F376" s="10"/>
      <c r="G376" s="10"/>
      <c r="H376" s="10"/>
      <c r="I376" s="38">
        <f>SUM(F376:H376)</f>
        <v>0</v>
      </c>
      <c r="J376" s="10"/>
      <c r="K376" s="10"/>
      <c r="L376" s="10"/>
      <c r="M376" s="38">
        <f>SUM(J376:L376)</f>
        <v>0</v>
      </c>
      <c r="N376" s="10"/>
      <c r="O376" s="10"/>
      <c r="P376" s="10"/>
      <c r="Q376" s="38">
        <f>SUM(N376:P376)</f>
        <v>0</v>
      </c>
      <c r="R376" s="38">
        <f>+E376+I376+M376+Q376</f>
        <v>0</v>
      </c>
      <c r="T376" t="s">
        <v>2176</v>
      </c>
    </row>
    <row r="377" spans="1:20" ht="15.75" hidden="1" customHeight="1" x14ac:dyDescent="0.3">
      <c r="A377" s="410" t="s">
        <v>2593</v>
      </c>
      <c r="B377" s="10"/>
      <c r="C377" s="10"/>
      <c r="D377" s="10"/>
      <c r="E377" s="38">
        <f t="shared" si="147"/>
        <v>0</v>
      </c>
      <c r="F377" s="10"/>
      <c r="G377" s="10"/>
      <c r="H377" s="10"/>
      <c r="I377" s="38">
        <f t="shared" si="148"/>
        <v>0</v>
      </c>
      <c r="J377" s="10"/>
      <c r="K377" s="10"/>
      <c r="L377" s="10"/>
      <c r="M377" s="38">
        <f t="shared" si="149"/>
        <v>0</v>
      </c>
      <c r="N377" s="10"/>
      <c r="O377" s="10"/>
      <c r="P377" s="10"/>
      <c r="Q377" s="38">
        <f t="shared" si="150"/>
        <v>0</v>
      </c>
      <c r="R377" s="38">
        <f>+E377+I377+M377+Q377</f>
        <v>0</v>
      </c>
      <c r="T377" t="s">
        <v>2175</v>
      </c>
    </row>
    <row r="378" spans="1:20" ht="15.75" hidden="1" customHeight="1" x14ac:dyDescent="0.3">
      <c r="A378" s="410" t="s">
        <v>2517</v>
      </c>
      <c r="B378" s="10"/>
      <c r="C378" s="10"/>
      <c r="D378" s="10"/>
      <c r="E378" s="38">
        <f>SUM(B378:D378)</f>
        <v>0</v>
      </c>
      <c r="F378" s="10"/>
      <c r="G378" s="10"/>
      <c r="H378" s="10"/>
      <c r="I378" s="38">
        <f>SUM(F378:H378)</f>
        <v>0</v>
      </c>
      <c r="J378" s="10"/>
      <c r="K378" s="10"/>
      <c r="L378" s="10"/>
      <c r="M378" s="38">
        <f>SUM(J378:L378)</f>
        <v>0</v>
      </c>
      <c r="N378" s="10"/>
      <c r="O378" s="10"/>
      <c r="P378" s="10"/>
      <c r="Q378" s="38">
        <f>SUM(N378:P378)</f>
        <v>0</v>
      </c>
      <c r="R378" s="38">
        <f>+E378+I378+M378+Q378</f>
        <v>0</v>
      </c>
      <c r="T378" t="s">
        <v>2229</v>
      </c>
    </row>
    <row r="379" spans="1:20" ht="15.75" hidden="1" customHeight="1" x14ac:dyDescent="0.3">
      <c r="A379" s="311" t="s">
        <v>1732</v>
      </c>
      <c r="B379" s="10"/>
      <c r="C379" s="10"/>
      <c r="D379" s="10"/>
      <c r="E379" s="38">
        <f t="shared" si="147"/>
        <v>0</v>
      </c>
      <c r="F379" s="10"/>
      <c r="G379" s="10"/>
      <c r="H379" s="10"/>
      <c r="I379" s="38">
        <f t="shared" si="148"/>
        <v>0</v>
      </c>
      <c r="J379" s="10"/>
      <c r="K379" s="10"/>
      <c r="L379" s="10"/>
      <c r="M379" s="38">
        <f t="shared" si="149"/>
        <v>0</v>
      </c>
      <c r="N379" s="10"/>
      <c r="O379" s="10"/>
      <c r="P379" s="10"/>
      <c r="Q379" s="38">
        <f t="shared" si="150"/>
        <v>0</v>
      </c>
      <c r="R379" s="38">
        <f t="shared" si="151"/>
        <v>0</v>
      </c>
    </row>
    <row r="380" spans="1:20" ht="15.75" hidden="1" customHeight="1" x14ac:dyDescent="0.3">
      <c r="A380" s="410" t="s">
        <v>2771</v>
      </c>
      <c r="B380" s="10"/>
      <c r="C380" s="10"/>
      <c r="D380" s="10"/>
      <c r="E380" s="38">
        <f t="shared" si="147"/>
        <v>0</v>
      </c>
      <c r="F380" s="10"/>
      <c r="G380" s="10"/>
      <c r="H380" s="10"/>
      <c r="I380" s="38">
        <f t="shared" si="148"/>
        <v>0</v>
      </c>
      <c r="J380" s="10"/>
      <c r="K380" s="10"/>
      <c r="L380" s="10"/>
      <c r="M380" s="38">
        <f t="shared" si="149"/>
        <v>0</v>
      </c>
      <c r="N380" s="10"/>
      <c r="O380" s="10"/>
      <c r="P380" s="10"/>
      <c r="Q380" s="38">
        <f t="shared" si="150"/>
        <v>0</v>
      </c>
      <c r="R380" s="38">
        <f t="shared" si="151"/>
        <v>0</v>
      </c>
      <c r="T380" t="s">
        <v>2230</v>
      </c>
    </row>
    <row r="381" spans="1:20" ht="15.75" hidden="1" customHeight="1" x14ac:dyDescent="0.3">
      <c r="A381" s="311" t="s">
        <v>1138</v>
      </c>
      <c r="B381" s="10"/>
      <c r="C381" s="10"/>
      <c r="D381" s="10"/>
      <c r="E381" s="38">
        <f t="shared" si="147"/>
        <v>0</v>
      </c>
      <c r="F381" s="10"/>
      <c r="G381" s="10"/>
      <c r="H381" s="10"/>
      <c r="I381" s="38">
        <f t="shared" si="148"/>
        <v>0</v>
      </c>
      <c r="J381" s="10"/>
      <c r="K381" s="10"/>
      <c r="L381" s="10"/>
      <c r="M381" s="38">
        <f t="shared" si="149"/>
        <v>0</v>
      </c>
      <c r="N381" s="10"/>
      <c r="O381" s="10"/>
      <c r="P381" s="10"/>
      <c r="Q381" s="38">
        <f t="shared" si="150"/>
        <v>0</v>
      </c>
      <c r="R381" s="38">
        <f t="shared" si="151"/>
        <v>0</v>
      </c>
      <c r="T381" t="s">
        <v>2230</v>
      </c>
    </row>
    <row r="382" spans="1:20" ht="15.75" hidden="1" customHeight="1" x14ac:dyDescent="0.3">
      <c r="A382" s="410" t="s">
        <v>2951</v>
      </c>
      <c r="B382" s="10"/>
      <c r="C382" s="10"/>
      <c r="D382" s="10"/>
      <c r="E382" s="38">
        <f t="shared" si="147"/>
        <v>0</v>
      </c>
      <c r="F382" s="10"/>
      <c r="G382" s="10"/>
      <c r="H382" s="10"/>
      <c r="I382" s="38">
        <f t="shared" si="148"/>
        <v>0</v>
      </c>
      <c r="J382" s="10"/>
      <c r="K382" s="10"/>
      <c r="L382" s="10"/>
      <c r="M382" s="38">
        <f t="shared" si="149"/>
        <v>0</v>
      </c>
      <c r="N382" s="10"/>
      <c r="O382" s="10"/>
      <c r="P382" s="10"/>
      <c r="Q382" s="38">
        <f t="shared" si="150"/>
        <v>0</v>
      </c>
      <c r="R382" s="38">
        <f t="shared" si="151"/>
        <v>0</v>
      </c>
      <c r="T382" t="s">
        <v>1193</v>
      </c>
    </row>
    <row r="383" spans="1:20" ht="15.75" hidden="1" customHeight="1" x14ac:dyDescent="0.3">
      <c r="A383" s="311" t="s">
        <v>644</v>
      </c>
      <c r="B383" s="10"/>
      <c r="C383" s="10"/>
      <c r="D383" s="10"/>
      <c r="E383" s="38">
        <f>SUM(B383:D383)</f>
        <v>0</v>
      </c>
      <c r="F383" s="10"/>
      <c r="G383" s="10"/>
      <c r="H383" s="10"/>
      <c r="I383" s="38">
        <f>SUM(F383:H383)</f>
        <v>0</v>
      </c>
      <c r="J383" s="10"/>
      <c r="K383" s="10"/>
      <c r="L383" s="10"/>
      <c r="M383" s="38">
        <f>SUM(J383:L383)</f>
        <v>0</v>
      </c>
      <c r="N383" s="10"/>
      <c r="O383" s="10"/>
      <c r="P383" s="10"/>
      <c r="Q383" s="38">
        <f>SUM(N383:P383)</f>
        <v>0</v>
      </c>
      <c r="R383" s="38">
        <f>+E383+I383+M383+Q383</f>
        <v>0</v>
      </c>
      <c r="T383" t="s">
        <v>1193</v>
      </c>
    </row>
    <row r="384" spans="1:20" ht="15.75" hidden="1" customHeight="1" x14ac:dyDescent="0.3">
      <c r="A384" s="311" t="s">
        <v>231</v>
      </c>
      <c r="B384" s="10"/>
      <c r="C384" s="10"/>
      <c r="D384" s="10"/>
      <c r="E384" s="38">
        <f t="shared" si="147"/>
        <v>0</v>
      </c>
      <c r="F384" s="10"/>
      <c r="G384" s="10"/>
      <c r="H384" s="10"/>
      <c r="I384" s="38">
        <f t="shared" si="148"/>
        <v>0</v>
      </c>
      <c r="J384" s="10"/>
      <c r="K384" s="10"/>
      <c r="L384" s="10"/>
      <c r="M384" s="38">
        <f t="shared" si="149"/>
        <v>0</v>
      </c>
      <c r="N384" s="10"/>
      <c r="O384" s="10"/>
      <c r="P384" s="10"/>
      <c r="Q384" s="38">
        <f t="shared" si="150"/>
        <v>0</v>
      </c>
      <c r="R384" s="38">
        <f t="shared" si="151"/>
        <v>0</v>
      </c>
      <c r="T384" t="s">
        <v>2179</v>
      </c>
    </row>
    <row r="385" spans="1:39" ht="15.75" hidden="1" customHeight="1" x14ac:dyDescent="0.3">
      <c r="A385" s="234" t="s">
        <v>3245</v>
      </c>
      <c r="B385" s="10"/>
      <c r="C385" s="10"/>
      <c r="D385" s="10"/>
      <c r="E385" s="38" t="s">
        <v>852</v>
      </c>
      <c r="F385" s="10"/>
      <c r="G385" s="10"/>
      <c r="H385" s="10"/>
      <c r="I385" s="38" t="s">
        <v>852</v>
      </c>
      <c r="J385" s="10"/>
      <c r="K385" s="10"/>
      <c r="L385" s="10"/>
      <c r="M385" s="38" t="s">
        <v>852</v>
      </c>
      <c r="N385" s="10"/>
      <c r="O385" s="10"/>
      <c r="P385" s="10"/>
      <c r="Q385" s="38" t="s">
        <v>852</v>
      </c>
      <c r="R385" s="38" t="s">
        <v>852</v>
      </c>
    </row>
    <row r="386" spans="1:39" ht="15.75" hidden="1" customHeight="1" x14ac:dyDescent="0.3">
      <c r="A386" s="410" t="s">
        <v>3256</v>
      </c>
      <c r="B386" s="10"/>
      <c r="C386" s="10"/>
      <c r="D386" s="10"/>
      <c r="E386" s="38">
        <f>SUM(B386:D386)</f>
        <v>0</v>
      </c>
      <c r="F386" s="10"/>
      <c r="G386" s="10"/>
      <c r="H386" s="10"/>
      <c r="I386" s="38">
        <f>SUM(F386:H386)</f>
        <v>0</v>
      </c>
      <c r="J386" s="10"/>
      <c r="K386" s="10"/>
      <c r="L386" s="10"/>
      <c r="M386" s="38">
        <f>SUM(J386:L386)</f>
        <v>0</v>
      </c>
      <c r="N386" s="10"/>
      <c r="O386" s="10"/>
      <c r="P386" s="10"/>
      <c r="Q386" s="38">
        <f>SUM(N386:P386)</f>
        <v>0</v>
      </c>
      <c r="R386" s="38">
        <f>+E386+I386+M386+Q386</f>
        <v>0</v>
      </c>
      <c r="S386" s="735" t="s">
        <v>3214</v>
      </c>
      <c r="T386" t="s">
        <v>2174</v>
      </c>
    </row>
    <row r="387" spans="1:39" ht="15.75" hidden="1" customHeight="1" x14ac:dyDescent="0.3">
      <c r="A387" s="410" t="s">
        <v>3257</v>
      </c>
      <c r="B387" s="10"/>
      <c r="C387" s="10"/>
      <c r="D387" s="10"/>
      <c r="E387" s="38">
        <f>SUM(B387:D387)</f>
        <v>0</v>
      </c>
      <c r="F387" s="10"/>
      <c r="G387" s="10"/>
      <c r="H387" s="10"/>
      <c r="I387" s="38">
        <f>SUM(F387:H387)</f>
        <v>0</v>
      </c>
      <c r="J387" s="10"/>
      <c r="K387" s="10"/>
      <c r="L387" s="10"/>
      <c r="M387" s="38">
        <f>SUM(J387:L387)</f>
        <v>0</v>
      </c>
      <c r="N387" s="10"/>
      <c r="O387" s="10"/>
      <c r="P387" s="10"/>
      <c r="Q387" s="38">
        <f>SUM(N387:P387)</f>
        <v>0</v>
      </c>
      <c r="R387" s="38">
        <f>+E387+I387+M387+Q387</f>
        <v>0</v>
      </c>
      <c r="S387" s="735" t="s">
        <v>3214</v>
      </c>
    </row>
    <row r="388" spans="1:39" ht="15.75" hidden="1" customHeight="1" x14ac:dyDescent="0.3">
      <c r="A388" s="410" t="s">
        <v>3258</v>
      </c>
      <c r="B388" s="10"/>
      <c r="C388" s="10"/>
      <c r="D388" s="10"/>
      <c r="E388" s="38">
        <f>SUM(B388:D388)</f>
        <v>0</v>
      </c>
      <c r="F388" s="10"/>
      <c r="G388" s="10"/>
      <c r="H388" s="10"/>
      <c r="I388" s="38">
        <f>SUM(F388:H388)</f>
        <v>0</v>
      </c>
      <c r="J388" s="10"/>
      <c r="K388" s="10"/>
      <c r="L388" s="10"/>
      <c r="M388" s="38">
        <f>SUM(J388:L388)</f>
        <v>0</v>
      </c>
      <c r="N388" s="10"/>
      <c r="O388" s="10"/>
      <c r="P388" s="10"/>
      <c r="Q388" s="38">
        <f>SUM(N388:P388)</f>
        <v>0</v>
      </c>
      <c r="R388" s="38">
        <f>+E388+I388+M388+Q388</f>
        <v>0</v>
      </c>
      <c r="S388" s="735" t="s">
        <v>3214</v>
      </c>
      <c r="T388" t="s">
        <v>2175</v>
      </c>
    </row>
    <row r="389" spans="1:39" ht="15.75" hidden="1" customHeight="1" x14ac:dyDescent="0.3">
      <c r="A389" s="410" t="s">
        <v>3259</v>
      </c>
      <c r="B389" s="10"/>
      <c r="C389" s="10"/>
      <c r="D389" s="10"/>
      <c r="E389" s="38">
        <f>SUM(B389:D389)</f>
        <v>0</v>
      </c>
      <c r="F389" s="10"/>
      <c r="G389" s="10"/>
      <c r="H389" s="10"/>
      <c r="I389" s="38">
        <f>SUM(F389:H389)</f>
        <v>0</v>
      </c>
      <c r="J389" s="10"/>
      <c r="K389" s="10"/>
      <c r="L389" s="10"/>
      <c r="M389" s="38">
        <f>SUM(J389:L389)</f>
        <v>0</v>
      </c>
      <c r="N389" s="10"/>
      <c r="O389" s="10"/>
      <c r="P389" s="10"/>
      <c r="Q389" s="38">
        <f>SUM(N389:P389)</f>
        <v>0</v>
      </c>
      <c r="R389" s="38">
        <f>+E389+I389+M389+Q389</f>
        <v>0</v>
      </c>
      <c r="S389" s="735" t="s">
        <v>3214</v>
      </c>
      <c r="T389" t="s">
        <v>1358</v>
      </c>
    </row>
    <row r="390" spans="1:39" ht="16.5" hidden="1" customHeight="1" thickBot="1" x14ac:dyDescent="0.35">
      <c r="A390" s="234" t="s">
        <v>2164</v>
      </c>
      <c r="B390" s="10"/>
      <c r="C390" s="10"/>
      <c r="D390" s="10"/>
      <c r="E390" s="38" t="s">
        <v>852</v>
      </c>
      <c r="F390" s="10"/>
      <c r="G390" s="10"/>
      <c r="H390" s="10"/>
      <c r="I390" s="38" t="s">
        <v>852</v>
      </c>
      <c r="J390" s="10"/>
      <c r="K390" s="10"/>
      <c r="L390" s="10"/>
      <c r="M390" s="38" t="s">
        <v>852</v>
      </c>
      <c r="N390" s="10"/>
      <c r="O390" s="10"/>
      <c r="P390" s="10"/>
      <c r="Q390" s="38" t="s">
        <v>852</v>
      </c>
      <c r="R390" s="40" t="s">
        <v>852</v>
      </c>
      <c r="V390" t="s">
        <v>3012</v>
      </c>
      <c r="W390" t="s">
        <v>3013</v>
      </c>
    </row>
    <row r="391" spans="1:39" ht="16.5" hidden="1" customHeight="1" thickBot="1" x14ac:dyDescent="0.35">
      <c r="A391" s="322" t="s">
        <v>1218</v>
      </c>
      <c r="B391" s="45">
        <f>SUM(B336:B390)</f>
        <v>5596</v>
      </c>
      <c r="C391" s="46">
        <f>SUM(C336:C390)</f>
        <v>2298</v>
      </c>
      <c r="D391" s="46">
        <f>SUM(D336:D390)</f>
        <v>3678</v>
      </c>
      <c r="E391" s="37">
        <f>SUM(B391:D391)</f>
        <v>11572</v>
      </c>
      <c r="F391" s="46">
        <f>SUM(F336:F390)</f>
        <v>7360</v>
      </c>
      <c r="G391" s="46">
        <f>SUM(G336:G390)</f>
        <v>8046</v>
      </c>
      <c r="H391" s="46">
        <f>SUM(H336:H390)</f>
        <v>17329</v>
      </c>
      <c r="I391" s="37">
        <f>SUM(F391:H391)</f>
        <v>32735</v>
      </c>
      <c r="J391" s="46">
        <f>SUM(J336:J390)</f>
        <v>16278</v>
      </c>
      <c r="K391" s="46">
        <f>SUM(K336:K390)</f>
        <v>12384</v>
      </c>
      <c r="L391" s="46">
        <f>SUM(L336:L390)</f>
        <v>9424</v>
      </c>
      <c r="M391" s="37">
        <f>SUM(J391:L391)</f>
        <v>38086</v>
      </c>
      <c r="N391" s="46">
        <f>SUM(N336:N390)</f>
        <v>9303</v>
      </c>
      <c r="O391" s="46">
        <f>SUM(O336:O390)</f>
        <v>6587</v>
      </c>
      <c r="P391" s="46">
        <f>SUM(P336:P390)</f>
        <v>1789</v>
      </c>
      <c r="Q391" s="37">
        <f>SUM(N391:P391)</f>
        <v>17679</v>
      </c>
      <c r="R391" s="37">
        <f>+E391+I391+M391+Q391</f>
        <v>100072</v>
      </c>
      <c r="T391" s="230"/>
      <c r="V391" t="s">
        <v>2174</v>
      </c>
      <c r="W391" s="695">
        <v>0.18</v>
      </c>
    </row>
    <row r="392" spans="1:39" ht="15.75" hidden="1" customHeight="1" x14ac:dyDescent="0.3">
      <c r="A392" s="234" t="s">
        <v>1172</v>
      </c>
      <c r="B392" s="10"/>
      <c r="C392" s="10"/>
      <c r="D392" s="10"/>
      <c r="E392" s="38" t="s">
        <v>852</v>
      </c>
      <c r="F392" s="10"/>
      <c r="G392" s="10"/>
      <c r="H392" s="10"/>
      <c r="I392" s="38" t="s">
        <v>852</v>
      </c>
      <c r="J392" s="10"/>
      <c r="K392" s="10"/>
      <c r="L392" s="10"/>
      <c r="M392" s="38" t="s">
        <v>852</v>
      </c>
      <c r="N392" s="10"/>
      <c r="O392" s="10"/>
      <c r="P392" s="10"/>
      <c r="Q392" s="38" t="s">
        <v>852</v>
      </c>
      <c r="R392" s="38" t="s">
        <v>852</v>
      </c>
      <c r="V392" t="s">
        <v>500</v>
      </c>
      <c r="W392" s="695">
        <v>0.52</v>
      </c>
    </row>
    <row r="393" spans="1:39" ht="15.75" hidden="1" customHeight="1" x14ac:dyDescent="0.3">
      <c r="A393" s="234" t="s">
        <v>1025</v>
      </c>
      <c r="B393" s="10"/>
      <c r="C393" s="10"/>
      <c r="D393" s="10"/>
      <c r="E393" s="38"/>
      <c r="F393" s="10"/>
      <c r="G393" s="10"/>
      <c r="H393" s="10"/>
      <c r="I393" s="38"/>
      <c r="J393" s="10"/>
      <c r="K393" s="10"/>
      <c r="L393" s="10"/>
      <c r="M393" s="38"/>
      <c r="N393" s="10"/>
      <c r="O393" s="10"/>
      <c r="P393" s="10"/>
      <c r="Q393" s="38"/>
      <c r="R393" s="38"/>
      <c r="V393" t="s">
        <v>505</v>
      </c>
      <c r="W393" s="695">
        <v>0.3</v>
      </c>
    </row>
    <row r="394" spans="1:39" ht="15.75" hidden="1" customHeight="1" x14ac:dyDescent="0.3">
      <c r="A394" s="234" t="s">
        <v>2409</v>
      </c>
      <c r="B394" s="10"/>
      <c r="C394" s="10"/>
      <c r="D394" s="10"/>
      <c r="E394" s="38" t="s">
        <v>852</v>
      </c>
      <c r="F394" s="10"/>
      <c r="G394" s="10"/>
      <c r="H394" s="10"/>
      <c r="I394" s="38" t="s">
        <v>852</v>
      </c>
      <c r="J394" s="10"/>
      <c r="K394" s="10"/>
      <c r="L394" s="10"/>
      <c r="M394" s="38" t="s">
        <v>852</v>
      </c>
      <c r="N394" s="10"/>
      <c r="O394" s="10"/>
      <c r="P394" s="10"/>
      <c r="Q394" s="38" t="s">
        <v>852</v>
      </c>
      <c r="R394" s="38" t="s">
        <v>852</v>
      </c>
      <c r="W394" s="691">
        <f>+SUM(W391:W393)</f>
        <v>1</v>
      </c>
    </row>
    <row r="395" spans="1:39" ht="15.75" hidden="1" customHeight="1" x14ac:dyDescent="0.3">
      <c r="A395" s="311" t="s">
        <v>2099</v>
      </c>
      <c r="B395" s="10">
        <v>12</v>
      </c>
      <c r="C395" s="10">
        <v>12</v>
      </c>
      <c r="D395" s="10">
        <v>660</v>
      </c>
      <c r="E395" s="38">
        <f>SUM(B395:D395)</f>
        <v>684</v>
      </c>
      <c r="F395" s="10">
        <v>1653</v>
      </c>
      <c r="G395" s="10">
        <v>960</v>
      </c>
      <c r="H395" s="10">
        <v>3000</v>
      </c>
      <c r="I395" s="38">
        <f>SUM(F395:H395)</f>
        <v>5613</v>
      </c>
      <c r="J395" s="10">
        <v>2600</v>
      </c>
      <c r="K395" s="10">
        <v>1782</v>
      </c>
      <c r="L395" s="10">
        <v>120</v>
      </c>
      <c r="M395" s="38">
        <f>SUM(J395:L395)</f>
        <v>4502</v>
      </c>
      <c r="N395" s="10">
        <v>60</v>
      </c>
      <c r="O395" s="10">
        <v>70</v>
      </c>
      <c r="P395" s="10">
        <v>49</v>
      </c>
      <c r="Q395" s="38">
        <f>SUM(N395:P395)</f>
        <v>179</v>
      </c>
      <c r="R395" s="38">
        <f t="shared" ref="R395:R403" si="152">+E395+I395+M395+Q395</f>
        <v>10978</v>
      </c>
      <c r="T395" t="s">
        <v>2174</v>
      </c>
      <c r="V395" s="693" t="s">
        <v>2610</v>
      </c>
      <c r="W395" s="18" t="s">
        <v>2090</v>
      </c>
      <c r="X395" s="680" t="s">
        <v>2091</v>
      </c>
      <c r="Y395" s="680" t="s">
        <v>2234</v>
      </c>
      <c r="Z395" s="692" t="s">
        <v>1594</v>
      </c>
      <c r="AA395" s="680" t="s">
        <v>2235</v>
      </c>
      <c r="AB395" s="680" t="s">
        <v>2236</v>
      </c>
      <c r="AC395" s="680" t="s">
        <v>2237</v>
      </c>
      <c r="AD395" s="692" t="s">
        <v>1595</v>
      </c>
      <c r="AE395" s="680" t="s">
        <v>1504</v>
      </c>
      <c r="AF395" s="680" t="s">
        <v>1505</v>
      </c>
      <c r="AG395" s="680" t="s">
        <v>1506</v>
      </c>
      <c r="AH395" s="692" t="s">
        <v>1596</v>
      </c>
      <c r="AI395" s="680" t="s">
        <v>1507</v>
      </c>
      <c r="AJ395" s="680" t="s">
        <v>1508</v>
      </c>
      <c r="AK395" s="680" t="s">
        <v>1509</v>
      </c>
      <c r="AL395" s="692" t="s">
        <v>1597</v>
      </c>
      <c r="AM395" s="743" t="s">
        <v>1510</v>
      </c>
    </row>
    <row r="396" spans="1:39" ht="15.75" hidden="1" customHeight="1" x14ac:dyDescent="0.3">
      <c r="A396" s="311" t="s">
        <v>357</v>
      </c>
      <c r="B396" s="10"/>
      <c r="C396" s="10"/>
      <c r="D396" s="10">
        <v>21</v>
      </c>
      <c r="E396" s="38">
        <f>SUM(B396:D396)</f>
        <v>21</v>
      </c>
      <c r="F396" s="10">
        <v>21</v>
      </c>
      <c r="G396" s="10">
        <v>21</v>
      </c>
      <c r="H396" s="10">
        <v>21</v>
      </c>
      <c r="I396" s="38">
        <f>SUM(F396:H396)</f>
        <v>63</v>
      </c>
      <c r="J396" s="10">
        <v>21</v>
      </c>
      <c r="K396" s="10">
        <v>21</v>
      </c>
      <c r="L396" s="10">
        <v>21</v>
      </c>
      <c r="M396" s="38">
        <f>SUM(J396:L396)</f>
        <v>63</v>
      </c>
      <c r="N396" s="10"/>
      <c r="O396" s="10"/>
      <c r="P396" s="10"/>
      <c r="Q396" s="38">
        <f>SUM(N396:P396)</f>
        <v>0</v>
      </c>
      <c r="R396" s="38">
        <f t="shared" si="152"/>
        <v>147</v>
      </c>
      <c r="T396" t="s">
        <v>2175</v>
      </c>
      <c r="V396" s="579" t="s">
        <v>3014</v>
      </c>
      <c r="W396" s="696">
        <v>1500</v>
      </c>
      <c r="X396" s="696">
        <v>1500</v>
      </c>
      <c r="Y396" s="696">
        <v>6800</v>
      </c>
      <c r="Z396">
        <f>+SUM(W396:Y396)</f>
        <v>9800</v>
      </c>
      <c r="AA396" s="696">
        <f>8000+1500</f>
        <v>9500</v>
      </c>
      <c r="AB396" s="696">
        <f>10000+2000</f>
        <v>12000</v>
      </c>
      <c r="AC396" s="696">
        <f>12000+1500</f>
        <v>13500</v>
      </c>
      <c r="AD396">
        <f>+SUM(AA396:AC396)</f>
        <v>35000</v>
      </c>
      <c r="AE396" s="696">
        <v>25500</v>
      </c>
      <c r="AF396" s="696">
        <v>19000</v>
      </c>
      <c r="AG396" s="696">
        <v>4000</v>
      </c>
      <c r="AH396">
        <f>+SUM(AE396:AG396)</f>
        <v>48500</v>
      </c>
      <c r="AI396" s="696">
        <v>1500</v>
      </c>
      <c r="AJ396" s="696">
        <v>1000</v>
      </c>
      <c r="AK396" s="696">
        <v>1069</v>
      </c>
      <c r="AL396">
        <f>+SUM(AI396:AK396)</f>
        <v>3569</v>
      </c>
      <c r="AM396" s="727">
        <f>+Z396+AD396+AH396+AL396</f>
        <v>96869</v>
      </c>
    </row>
    <row r="397" spans="1:39" ht="15.75" hidden="1" customHeight="1" x14ac:dyDescent="0.3">
      <c r="A397" s="311" t="s">
        <v>909</v>
      </c>
      <c r="B397" s="10">
        <v>500</v>
      </c>
      <c r="C397" s="10">
        <v>700</v>
      </c>
      <c r="D397" s="10">
        <v>3000</v>
      </c>
      <c r="E397" s="38">
        <f t="shared" ref="E397:E398" si="153">SUM(B397:D397)</f>
        <v>4200</v>
      </c>
      <c r="F397" s="10">
        <v>7000</v>
      </c>
      <c r="G397" s="10">
        <v>7000</v>
      </c>
      <c r="H397" s="10">
        <v>8393</v>
      </c>
      <c r="I397" s="38">
        <f t="shared" ref="I397:I402" si="154">SUM(F397:H397)</f>
        <v>22393</v>
      </c>
      <c r="J397" s="10">
        <v>326</v>
      </c>
      <c r="K397" s="10"/>
      <c r="L397" s="10"/>
      <c r="M397" s="38">
        <f t="shared" ref="M397:M402" si="155">SUM(J397:L397)</f>
        <v>326</v>
      </c>
      <c r="N397" s="10"/>
      <c r="O397" s="10"/>
      <c r="P397" s="10"/>
      <c r="Q397" s="38">
        <f t="shared" ref="Q397:Q403" si="156">SUM(N397:P397)</f>
        <v>0</v>
      </c>
      <c r="R397" s="38">
        <f t="shared" si="152"/>
        <v>26919</v>
      </c>
      <c r="T397" t="s">
        <v>2776</v>
      </c>
      <c r="V397" s="579" t="s">
        <v>2174</v>
      </c>
      <c r="W397">
        <f>+$W$391*W396</f>
        <v>270</v>
      </c>
      <c r="X397">
        <f>+$W$391*X396</f>
        <v>270</v>
      </c>
      <c r="Y397">
        <f>+$W$391*Y396</f>
        <v>1224</v>
      </c>
      <c r="Z397">
        <f>+SUM(W397:Y397)</f>
        <v>1764</v>
      </c>
      <c r="AA397">
        <f>+$W$391*AA396</f>
        <v>1710</v>
      </c>
      <c r="AB397">
        <f>+$W$391*AB396</f>
        <v>2160</v>
      </c>
      <c r="AC397">
        <f>+$W$391*AC396</f>
        <v>2430</v>
      </c>
      <c r="AD397">
        <f>+SUM(AA397:AC397)</f>
        <v>6300</v>
      </c>
      <c r="AE397">
        <f>+$W$391*AE396</f>
        <v>4590</v>
      </c>
      <c r="AF397">
        <f>+$W$391*AF396</f>
        <v>3420</v>
      </c>
      <c r="AG397">
        <f>+$W$391*AG396</f>
        <v>720</v>
      </c>
      <c r="AH397">
        <f>+SUM(AE397:AG397)</f>
        <v>8730</v>
      </c>
      <c r="AI397">
        <f>+$W$391*AI396</f>
        <v>270</v>
      </c>
      <c r="AJ397">
        <f>+$W$391*AJ396</f>
        <v>180</v>
      </c>
      <c r="AK397">
        <f>+$W$391*AK396</f>
        <v>192.42</v>
      </c>
      <c r="AL397">
        <f>+SUM(AI397:AK397)</f>
        <v>642.41999999999996</v>
      </c>
      <c r="AM397" s="727">
        <f>+Z397+AD397+AH397+AL397</f>
        <v>17436.419999999998</v>
      </c>
    </row>
    <row r="398" spans="1:39" ht="15.75" hidden="1" customHeight="1" x14ac:dyDescent="0.3">
      <c r="A398" s="410" t="s">
        <v>2539</v>
      </c>
      <c r="B398" s="10">
        <v>1040</v>
      </c>
      <c r="C398" s="10">
        <v>3490</v>
      </c>
      <c r="D398" s="10">
        <v>7740</v>
      </c>
      <c r="E398" s="38">
        <f t="shared" si="153"/>
        <v>12270</v>
      </c>
      <c r="F398" s="10">
        <v>15835</v>
      </c>
      <c r="G398" s="10">
        <v>16700</v>
      </c>
      <c r="H398" s="10">
        <v>17640</v>
      </c>
      <c r="I398" s="38">
        <f t="shared" ref="I398" si="157">SUM(F398:H398)</f>
        <v>50175</v>
      </c>
      <c r="J398" s="10">
        <v>8840</v>
      </c>
      <c r="K398" s="10">
        <v>5320</v>
      </c>
      <c r="L398" s="10">
        <v>3010</v>
      </c>
      <c r="M398" s="38">
        <f t="shared" ref="M398" si="158">SUM(J398:L398)</f>
        <v>17170</v>
      </c>
      <c r="N398" s="10">
        <v>1510</v>
      </c>
      <c r="O398" s="10">
        <v>600</v>
      </c>
      <c r="P398" s="10">
        <v>146</v>
      </c>
      <c r="Q398" s="38">
        <f t="shared" si="156"/>
        <v>2256</v>
      </c>
      <c r="R398" s="38">
        <f t="shared" si="152"/>
        <v>81871</v>
      </c>
      <c r="T398" t="s">
        <v>2174</v>
      </c>
      <c r="V398" s="579" t="s">
        <v>500</v>
      </c>
      <c r="W398">
        <f>+$W$392*W396</f>
        <v>780</v>
      </c>
      <c r="X398">
        <f>+$W$392*X396</f>
        <v>780</v>
      </c>
      <c r="Y398">
        <f>+$W$392*Y396</f>
        <v>3536</v>
      </c>
      <c r="Z398">
        <f>+SUM(W398:Y398)</f>
        <v>5096</v>
      </c>
      <c r="AA398">
        <f>+$W$392*AA396</f>
        <v>4940</v>
      </c>
      <c r="AB398">
        <f>+$W$392*AB396</f>
        <v>6240</v>
      </c>
      <c r="AC398">
        <f>+$W$392*AC396</f>
        <v>7020</v>
      </c>
      <c r="AD398">
        <f>+SUM(AA398:AC398)</f>
        <v>18200</v>
      </c>
      <c r="AE398">
        <f>+$W$392*AE396</f>
        <v>13260</v>
      </c>
      <c r="AF398">
        <f>+$W$392*AF396</f>
        <v>9880</v>
      </c>
      <c r="AG398">
        <f>+$W$392*AG396</f>
        <v>2080</v>
      </c>
      <c r="AH398">
        <f>+SUM(AE398:AG398)</f>
        <v>25220</v>
      </c>
      <c r="AI398">
        <f>+$W$392*AI396</f>
        <v>780</v>
      </c>
      <c r="AJ398">
        <f>+$W$392*AJ396</f>
        <v>520</v>
      </c>
      <c r="AK398">
        <f>+$W$392*AK396</f>
        <v>555.88</v>
      </c>
      <c r="AL398">
        <f>+SUM(AI398:AK398)</f>
        <v>1855.88</v>
      </c>
      <c r="AM398" s="727">
        <f>+Z398+AD398+AH398+AL398</f>
        <v>50371.88</v>
      </c>
    </row>
    <row r="399" spans="1:39" ht="15.75" hidden="1" customHeight="1" x14ac:dyDescent="0.3">
      <c r="A399" s="410" t="s">
        <v>2728</v>
      </c>
      <c r="B399" s="10"/>
      <c r="C399" s="10"/>
      <c r="D399" s="10"/>
      <c r="E399" s="38">
        <f t="shared" ref="E399:E402" si="159">SUM(B399:D399)</f>
        <v>0</v>
      </c>
      <c r="F399" s="10"/>
      <c r="G399" s="10"/>
      <c r="H399" s="10"/>
      <c r="I399" s="38">
        <f t="shared" si="154"/>
        <v>0</v>
      </c>
      <c r="J399" s="10"/>
      <c r="K399" s="10"/>
      <c r="L399" s="10"/>
      <c r="M399" s="38">
        <f t="shared" si="155"/>
        <v>0</v>
      </c>
      <c r="N399" s="10"/>
      <c r="O399" s="10"/>
      <c r="P399" s="10"/>
      <c r="Q399" s="38">
        <f t="shared" si="156"/>
        <v>0</v>
      </c>
      <c r="R399" s="38">
        <f t="shared" si="152"/>
        <v>0</v>
      </c>
      <c r="T399" t="s">
        <v>2777</v>
      </c>
      <c r="V399" s="579" t="s">
        <v>505</v>
      </c>
      <c r="W399">
        <f>+$W$393*W396</f>
        <v>450</v>
      </c>
      <c r="X399">
        <f>+$W$393*X396</f>
        <v>450</v>
      </c>
      <c r="Y399">
        <f>+$W$393*Y396</f>
        <v>2040</v>
      </c>
      <c r="Z399">
        <f>+SUM(W399:Y399)</f>
        <v>2940</v>
      </c>
      <c r="AA399">
        <f>+$W$393*AA396</f>
        <v>2850</v>
      </c>
      <c r="AB399">
        <f>+$W$393*AB396</f>
        <v>3600</v>
      </c>
      <c r="AC399">
        <f>+$W$393*AC396</f>
        <v>4050</v>
      </c>
      <c r="AD399">
        <f>+SUM(AA399:AC399)</f>
        <v>10500</v>
      </c>
      <c r="AE399">
        <f>+$W$393*AE396</f>
        <v>7650</v>
      </c>
      <c r="AF399">
        <f>+$W$393*AF396</f>
        <v>5700</v>
      </c>
      <c r="AG399">
        <f>+$W$393*AG396</f>
        <v>1200</v>
      </c>
      <c r="AH399">
        <f>+SUM(AE399:AG399)</f>
        <v>14550</v>
      </c>
      <c r="AI399">
        <f>+$W$393*AI396</f>
        <v>450</v>
      </c>
      <c r="AJ399">
        <f>+$W$393*AJ396</f>
        <v>300</v>
      </c>
      <c r="AK399">
        <f>+$W$393*AK396</f>
        <v>320.7</v>
      </c>
      <c r="AL399">
        <f>+$W$393*AL396</f>
        <v>1070.7</v>
      </c>
      <c r="AM399" s="727">
        <f>+Z399+AD399+AH399+AL399</f>
        <v>29060.7</v>
      </c>
    </row>
    <row r="400" spans="1:39" ht="15.75" hidden="1" customHeight="1" thickBot="1" x14ac:dyDescent="0.35">
      <c r="A400" s="410" t="s">
        <v>2814</v>
      </c>
      <c r="B400" s="10"/>
      <c r="C400" s="10"/>
      <c r="D400" s="10"/>
      <c r="E400" s="38">
        <f t="shared" ref="E400" si="160">SUM(B400:D400)</f>
        <v>0</v>
      </c>
      <c r="F400" s="10"/>
      <c r="G400" s="10"/>
      <c r="H400" s="10"/>
      <c r="I400" s="38">
        <f t="shared" ref="I400" si="161">SUM(F400:H400)</f>
        <v>0</v>
      </c>
      <c r="J400" s="10"/>
      <c r="K400" s="10"/>
      <c r="L400" s="10"/>
      <c r="M400" s="38">
        <f t="shared" ref="M400" si="162">SUM(J400:L400)</f>
        <v>0</v>
      </c>
      <c r="N400" s="10"/>
      <c r="O400" s="10"/>
      <c r="P400" s="10"/>
      <c r="Q400" s="38">
        <f t="shared" si="156"/>
        <v>0</v>
      </c>
      <c r="R400" s="38">
        <f t="shared" si="152"/>
        <v>0</v>
      </c>
      <c r="T400" t="s">
        <v>2175</v>
      </c>
      <c r="V400" s="580"/>
      <c r="W400" s="581"/>
      <c r="X400" s="581"/>
      <c r="Y400" s="581"/>
      <c r="Z400" s="581"/>
      <c r="AA400" s="581"/>
      <c r="AB400" s="581"/>
      <c r="AC400" s="581"/>
      <c r="AD400" s="581"/>
      <c r="AE400" s="581"/>
      <c r="AF400" s="581"/>
      <c r="AG400" s="581"/>
      <c r="AH400" s="581"/>
      <c r="AI400" s="581"/>
      <c r="AJ400" s="581"/>
      <c r="AK400" s="581"/>
      <c r="AL400" s="581"/>
      <c r="AM400" s="565"/>
    </row>
    <row r="401" spans="1:20" s="707" customFormat="1" ht="15.75" hidden="1" customHeight="1" x14ac:dyDescent="0.3">
      <c r="A401" s="728" t="s">
        <v>3206</v>
      </c>
      <c r="B401" s="542"/>
      <c r="C401" s="542"/>
      <c r="D401" s="542"/>
      <c r="E401" s="543">
        <f t="shared" si="159"/>
        <v>0</v>
      </c>
      <c r="F401" s="542"/>
      <c r="G401" s="542"/>
      <c r="H401" s="542"/>
      <c r="I401" s="543">
        <f t="shared" si="154"/>
        <v>0</v>
      </c>
      <c r="J401" s="542"/>
      <c r="K401" s="542"/>
      <c r="L401" s="542"/>
      <c r="M401" s="543">
        <f t="shared" si="155"/>
        <v>0</v>
      </c>
      <c r="N401" s="542"/>
      <c r="O401" s="542"/>
      <c r="P401" s="542"/>
      <c r="Q401" s="543">
        <f t="shared" ref="Q401" si="163">SUM(N401:P401)</f>
        <v>0</v>
      </c>
      <c r="R401" s="543">
        <f t="shared" si="152"/>
        <v>0</v>
      </c>
    </row>
    <row r="402" spans="1:20" ht="15.75" hidden="1" customHeight="1" x14ac:dyDescent="0.3">
      <c r="A402" s="410" t="s">
        <v>2779</v>
      </c>
      <c r="B402" s="10"/>
      <c r="C402" s="10"/>
      <c r="D402" s="10"/>
      <c r="E402" s="38">
        <f t="shared" si="159"/>
        <v>0</v>
      </c>
      <c r="F402" s="10"/>
      <c r="G402" s="10"/>
      <c r="H402" s="10"/>
      <c r="I402" s="38">
        <f t="shared" si="154"/>
        <v>0</v>
      </c>
      <c r="J402" s="10"/>
      <c r="K402" s="10"/>
      <c r="L402" s="10"/>
      <c r="M402" s="38">
        <f t="shared" si="155"/>
        <v>0</v>
      </c>
      <c r="N402" s="10"/>
      <c r="O402" s="10"/>
      <c r="P402" s="10"/>
      <c r="Q402" s="38">
        <f t="shared" si="156"/>
        <v>0</v>
      </c>
      <c r="R402" s="38">
        <f t="shared" si="152"/>
        <v>0</v>
      </c>
      <c r="T402" t="s">
        <v>2178</v>
      </c>
    </row>
    <row r="403" spans="1:20" ht="15.75" hidden="1" customHeight="1" x14ac:dyDescent="0.3">
      <c r="A403" s="311" t="s">
        <v>1513</v>
      </c>
      <c r="B403" s="10"/>
      <c r="C403" s="10">
        <v>200</v>
      </c>
      <c r="D403" s="10">
        <v>250</v>
      </c>
      <c r="E403" s="38">
        <f t="shared" ref="E403" si="164">SUM(B403:D403)</f>
        <v>450</v>
      </c>
      <c r="F403" s="10">
        <v>250</v>
      </c>
      <c r="G403" s="10">
        <v>500</v>
      </c>
      <c r="H403" s="10">
        <v>500</v>
      </c>
      <c r="I403" s="38">
        <f t="shared" ref="I403" si="165">SUM(F403:H403)</f>
        <v>1250</v>
      </c>
      <c r="J403" s="10">
        <v>1500</v>
      </c>
      <c r="K403" s="10">
        <v>5500</v>
      </c>
      <c r="L403" s="10">
        <v>3500</v>
      </c>
      <c r="M403" s="38">
        <f t="shared" ref="M403" si="166">SUM(J403:L403)</f>
        <v>10500</v>
      </c>
      <c r="N403" s="10">
        <v>4000</v>
      </c>
      <c r="O403" s="10">
        <v>4000</v>
      </c>
      <c r="P403" s="10">
        <v>5032</v>
      </c>
      <c r="Q403" s="38">
        <f t="shared" si="156"/>
        <v>13032</v>
      </c>
      <c r="R403" s="38">
        <f t="shared" si="152"/>
        <v>25232</v>
      </c>
    </row>
    <row r="404" spans="1:20" ht="15.75" hidden="1" customHeight="1" thickBot="1" x14ac:dyDescent="0.35">
      <c r="A404" s="234" t="s">
        <v>2165</v>
      </c>
      <c r="B404" s="10"/>
      <c r="C404" s="10"/>
      <c r="D404" s="10"/>
      <c r="E404" s="38" t="s">
        <v>852</v>
      </c>
      <c r="F404" s="10"/>
      <c r="G404" s="10"/>
      <c r="H404" s="10"/>
      <c r="I404" s="38" t="s">
        <v>852</v>
      </c>
      <c r="J404" s="10"/>
      <c r="K404" s="10"/>
      <c r="L404" s="10"/>
      <c r="M404" s="38" t="s">
        <v>852</v>
      </c>
      <c r="N404" s="10"/>
      <c r="O404" s="10"/>
      <c r="P404" s="10"/>
      <c r="Q404" s="38" t="s">
        <v>852</v>
      </c>
      <c r="R404" s="38" t="s">
        <v>852</v>
      </c>
    </row>
    <row r="405" spans="1:20" ht="16.5" hidden="1" customHeight="1" thickBot="1" x14ac:dyDescent="0.35">
      <c r="A405" s="43" t="s">
        <v>1219</v>
      </c>
      <c r="B405" s="45">
        <f>SUM(B392:B404)</f>
        <v>1552</v>
      </c>
      <c r="C405" s="46">
        <f>SUM(C392:C404)</f>
        <v>4402</v>
      </c>
      <c r="D405" s="46">
        <f>SUM(D392:D404)</f>
        <v>11671</v>
      </c>
      <c r="E405" s="37">
        <f>SUM(B405:D405)</f>
        <v>17625</v>
      </c>
      <c r="F405" s="46">
        <f>SUM(F392:F404)</f>
        <v>24759</v>
      </c>
      <c r="G405" s="46">
        <f>SUM(G392:G404)</f>
        <v>25181</v>
      </c>
      <c r="H405" s="46">
        <f>SUM(H392:H404)</f>
        <v>29554</v>
      </c>
      <c r="I405" s="37">
        <f>SUM(F405:H405)</f>
        <v>79494</v>
      </c>
      <c r="J405" s="46">
        <f>SUM(J392:J404)</f>
        <v>13287</v>
      </c>
      <c r="K405" s="46">
        <f>SUM(K392:K404)</f>
        <v>12623</v>
      </c>
      <c r="L405" s="46">
        <f>SUM(L392:L404)</f>
        <v>6651</v>
      </c>
      <c r="M405" s="37">
        <f>SUM(J405:L405)</f>
        <v>32561</v>
      </c>
      <c r="N405" s="46">
        <f>SUM(N392:N404)</f>
        <v>5570</v>
      </c>
      <c r="O405" s="46">
        <f>SUM(O392:O404)</f>
        <v>4670</v>
      </c>
      <c r="P405" s="46">
        <f>SUM(P392:P404)</f>
        <v>5227</v>
      </c>
      <c r="Q405" s="37">
        <f>SUM(N405:P405)</f>
        <v>15467</v>
      </c>
      <c r="R405" s="37">
        <f>+E405+I405+M405+Q405</f>
        <v>145147</v>
      </c>
    </row>
    <row r="406" spans="1:20" ht="15.75" hidden="1" customHeight="1" x14ac:dyDescent="0.3">
      <c r="A406" s="234" t="s">
        <v>2166</v>
      </c>
      <c r="B406" s="10"/>
      <c r="C406" s="10"/>
      <c r="D406" s="10"/>
      <c r="E406" s="38" t="s">
        <v>852</v>
      </c>
      <c r="F406" s="10"/>
      <c r="G406" s="10"/>
      <c r="H406" s="10"/>
      <c r="I406" s="38" t="s">
        <v>852</v>
      </c>
      <c r="J406" s="10"/>
      <c r="K406" s="10"/>
      <c r="L406" s="10"/>
      <c r="M406" s="38" t="s">
        <v>852</v>
      </c>
      <c r="N406" s="10"/>
      <c r="O406" s="10"/>
      <c r="P406" s="10"/>
      <c r="Q406" s="38" t="s">
        <v>852</v>
      </c>
      <c r="R406" s="38" t="s">
        <v>852</v>
      </c>
    </row>
    <row r="407" spans="1:20" ht="15.75" hidden="1" customHeight="1" x14ac:dyDescent="0.3">
      <c r="A407" s="234" t="s">
        <v>1245</v>
      </c>
      <c r="B407" s="10"/>
      <c r="C407" s="10"/>
      <c r="D407" s="10"/>
      <c r="E407" s="38" t="s">
        <v>852</v>
      </c>
      <c r="F407" s="10"/>
      <c r="G407" s="10"/>
      <c r="H407" s="10"/>
      <c r="I407" s="38" t="s">
        <v>852</v>
      </c>
      <c r="J407" s="10"/>
      <c r="K407" s="10"/>
      <c r="L407" s="10"/>
      <c r="M407" s="38" t="s">
        <v>852</v>
      </c>
      <c r="N407" s="10"/>
      <c r="O407" s="10"/>
      <c r="P407" s="10"/>
      <c r="Q407" s="38" t="s">
        <v>852</v>
      </c>
      <c r="R407" s="38" t="s">
        <v>852</v>
      </c>
    </row>
    <row r="408" spans="1:20" ht="15.75" hidden="1" customHeight="1" x14ac:dyDescent="0.3">
      <c r="A408" s="311" t="s">
        <v>727</v>
      </c>
      <c r="B408" s="10">
        <v>2645</v>
      </c>
      <c r="C408" s="10">
        <v>2750</v>
      </c>
      <c r="D408" s="10">
        <v>7385</v>
      </c>
      <c r="E408" s="38">
        <f>SUM(B408:D408)</f>
        <v>12780</v>
      </c>
      <c r="F408" s="10">
        <v>8443</v>
      </c>
      <c r="G408" s="10">
        <v>8998</v>
      </c>
      <c r="H408" s="10">
        <v>11669</v>
      </c>
      <c r="I408" s="38">
        <f>SUM(F408:H408)</f>
        <v>29110</v>
      </c>
      <c r="J408" s="10">
        <v>11093</v>
      </c>
      <c r="K408" s="10">
        <v>10559</v>
      </c>
      <c r="L408" s="10">
        <v>6338</v>
      </c>
      <c r="M408" s="38">
        <f>SUM(J408:L408)</f>
        <v>27990</v>
      </c>
      <c r="N408" s="10">
        <v>3190</v>
      </c>
      <c r="O408" s="10">
        <v>2650</v>
      </c>
      <c r="P408" s="10">
        <v>1660</v>
      </c>
      <c r="Q408" s="38">
        <f>SUM(N408:P408)</f>
        <v>7500</v>
      </c>
      <c r="R408" s="38">
        <f>+E408+I408+M408+Q408</f>
        <v>77380</v>
      </c>
      <c r="T408" t="s">
        <v>2174</v>
      </c>
    </row>
    <row r="409" spans="1:20" ht="15.75" hidden="1" customHeight="1" x14ac:dyDescent="0.3">
      <c r="A409" s="410" t="s">
        <v>2618</v>
      </c>
      <c r="B409" s="10">
        <f>6917-2437</f>
        <v>4480</v>
      </c>
      <c r="C409" s="10">
        <f>1000+6917-2790</f>
        <v>5127</v>
      </c>
      <c r="D409" s="10">
        <f>1250+1000+6917-3230</f>
        <v>5937</v>
      </c>
      <c r="E409" s="38">
        <f>SUM(B409:D409)</f>
        <v>15544</v>
      </c>
      <c r="F409" s="10">
        <f>1254+1000+6917-3231</f>
        <v>5940</v>
      </c>
      <c r="G409" s="10">
        <f>3500+1000+6917-4023</f>
        <v>7394</v>
      </c>
      <c r="H409" s="10">
        <f>4000+1000+6917-4199</f>
        <v>7718</v>
      </c>
      <c r="I409" s="38">
        <f>SUM(F409:H409)</f>
        <v>21052</v>
      </c>
      <c r="J409" s="10">
        <f>4000+1000+6917-4199</f>
        <v>7718</v>
      </c>
      <c r="K409" s="10">
        <f>4000+1000+6917-4199</f>
        <v>7718</v>
      </c>
      <c r="L409" s="10">
        <f>4500+1000+6917-4375</f>
        <v>8042</v>
      </c>
      <c r="M409" s="38">
        <f>SUM(J409:L409)</f>
        <v>23478</v>
      </c>
      <c r="N409" s="10">
        <f>6000+1000+6917-4904</f>
        <v>9013</v>
      </c>
      <c r="O409" s="10">
        <f>6000+6917-4551</f>
        <v>8366</v>
      </c>
      <c r="P409" s="10">
        <f>8121-2862</f>
        <v>5259</v>
      </c>
      <c r="Q409" s="38">
        <f>SUM(N409:P409)</f>
        <v>22638</v>
      </c>
      <c r="R409" s="38">
        <f>+E409+I409+M409+Q409</f>
        <v>82712</v>
      </c>
    </row>
    <row r="410" spans="1:20" ht="15.75" hidden="1" customHeight="1" x14ac:dyDescent="0.3">
      <c r="A410" s="410" t="s">
        <v>3416</v>
      </c>
      <c r="B410" s="10"/>
      <c r="C410" s="10"/>
      <c r="D410" s="10"/>
      <c r="E410" s="38">
        <f>SUM(B410:D410)</f>
        <v>0</v>
      </c>
      <c r="F410" s="10">
        <v>200</v>
      </c>
      <c r="G410" s="10"/>
      <c r="H410" s="10">
        <v>350</v>
      </c>
      <c r="I410" s="38">
        <f>SUM(F410:H410)</f>
        <v>550</v>
      </c>
      <c r="J410" s="10">
        <v>850</v>
      </c>
      <c r="K410" s="10">
        <v>415</v>
      </c>
      <c r="L410" s="10"/>
      <c r="M410" s="38">
        <f>SUM(J410:L410)</f>
        <v>1265</v>
      </c>
      <c r="N410" s="10"/>
      <c r="O410" s="10"/>
      <c r="P410" s="10"/>
      <c r="Q410" s="38">
        <f>SUM(N410:P410)</f>
        <v>0</v>
      </c>
      <c r="R410" s="38">
        <f>+E410+I410+M410+Q410</f>
        <v>1815</v>
      </c>
    </row>
    <row r="411" spans="1:20" ht="15.75" hidden="1" customHeight="1" x14ac:dyDescent="0.3">
      <c r="A411" s="410" t="s">
        <v>3370</v>
      </c>
      <c r="B411" s="10">
        <v>1650</v>
      </c>
      <c r="C411" s="10">
        <v>1650</v>
      </c>
      <c r="D411" s="10">
        <v>1650</v>
      </c>
      <c r="E411" s="38">
        <f>SUM(B411:D411)</f>
        <v>4950</v>
      </c>
      <c r="F411" s="10">
        <v>1650</v>
      </c>
      <c r="G411" s="10">
        <v>1650</v>
      </c>
      <c r="H411" s="10">
        <v>1650</v>
      </c>
      <c r="I411" s="38">
        <f>SUM(F411:H411)</f>
        <v>4950</v>
      </c>
      <c r="J411" s="10">
        <v>1650</v>
      </c>
      <c r="K411" s="10">
        <v>1650</v>
      </c>
      <c r="L411" s="10">
        <v>1650</v>
      </c>
      <c r="M411" s="38">
        <f>SUM(J411:L411)</f>
        <v>4950</v>
      </c>
      <c r="N411" s="10">
        <v>1650</v>
      </c>
      <c r="O411" s="10">
        <v>1685</v>
      </c>
      <c r="P411" s="10"/>
      <c r="Q411" s="38">
        <f>SUM(N411:P411)</f>
        <v>3335</v>
      </c>
      <c r="R411" s="38">
        <f>+E411+I411+M411+Q411</f>
        <v>18185</v>
      </c>
      <c r="T411" t="s">
        <v>2176</v>
      </c>
    </row>
    <row r="412" spans="1:20" ht="15.75" hidden="1" customHeight="1" x14ac:dyDescent="0.3">
      <c r="A412" s="234" t="s">
        <v>1711</v>
      </c>
      <c r="B412" s="10"/>
      <c r="C412" s="10"/>
      <c r="D412" s="10"/>
      <c r="E412" s="38" t="s">
        <v>852</v>
      </c>
      <c r="F412" s="10"/>
      <c r="G412" s="10"/>
      <c r="H412" s="10"/>
      <c r="I412" s="38" t="s">
        <v>852</v>
      </c>
      <c r="J412" s="10"/>
      <c r="K412" s="10"/>
      <c r="L412" s="10"/>
      <c r="M412" s="38" t="s">
        <v>852</v>
      </c>
      <c r="N412" s="10"/>
      <c r="O412" s="10"/>
      <c r="P412" s="10"/>
      <c r="Q412" s="38" t="s">
        <v>852</v>
      </c>
      <c r="R412" s="38" t="s">
        <v>852</v>
      </c>
    </row>
    <row r="413" spans="1:20" ht="15.75" hidden="1" customHeight="1" x14ac:dyDescent="0.3">
      <c r="A413" s="410" t="s">
        <v>3151</v>
      </c>
      <c r="B413" s="10"/>
      <c r="C413" s="10"/>
      <c r="D413" s="10"/>
      <c r="E413" s="38">
        <f>SUM(B413:D413)</f>
        <v>0</v>
      </c>
      <c r="F413" s="10"/>
      <c r="G413" s="10"/>
      <c r="H413" s="10">
        <v>3500</v>
      </c>
      <c r="I413" s="38">
        <f t="shared" ref="I413:I414" si="167">SUM(F413:H413)</f>
        <v>3500</v>
      </c>
      <c r="J413" s="10">
        <v>1144</v>
      </c>
      <c r="K413" s="10"/>
      <c r="L413" s="10"/>
      <c r="M413" s="38">
        <f>SUM(J413:L413)</f>
        <v>1144</v>
      </c>
      <c r="N413" s="10"/>
      <c r="O413" s="10"/>
      <c r="P413" s="10"/>
      <c r="Q413" s="38">
        <f>SUM(N413:P413)</f>
        <v>0</v>
      </c>
      <c r="R413" s="38">
        <f t="shared" ref="R413:R474" si="168">+E413+I413+M413+Q413</f>
        <v>4644</v>
      </c>
    </row>
    <row r="414" spans="1:20" ht="15.75" hidden="1" customHeight="1" x14ac:dyDescent="0.3">
      <c r="A414" s="410" t="s">
        <v>3329</v>
      </c>
      <c r="B414" s="10"/>
      <c r="C414" s="10"/>
      <c r="D414" s="10"/>
      <c r="E414" s="38">
        <f>SUM(B414:D414)</f>
        <v>0</v>
      </c>
      <c r="F414" s="10"/>
      <c r="G414" s="10"/>
      <c r="H414" s="10"/>
      <c r="I414" s="38">
        <f t="shared" si="167"/>
        <v>0</v>
      </c>
      <c r="J414" s="10"/>
      <c r="K414" s="10"/>
      <c r="L414" s="10"/>
      <c r="M414" s="38">
        <f>SUM(J414:L414)</f>
        <v>0</v>
      </c>
      <c r="N414" s="10"/>
      <c r="O414" s="10"/>
      <c r="P414" s="10"/>
      <c r="Q414" s="38">
        <f>SUM(N414:P414)</f>
        <v>0</v>
      </c>
      <c r="R414" s="38">
        <f t="shared" si="168"/>
        <v>0</v>
      </c>
    </row>
    <row r="415" spans="1:20" ht="15.75" hidden="1" customHeight="1" x14ac:dyDescent="0.3">
      <c r="A415" s="410" t="s">
        <v>3384</v>
      </c>
      <c r="B415" s="10"/>
      <c r="C415" s="10"/>
      <c r="D415" s="10"/>
      <c r="E415" s="38">
        <f>SUM(B415:D415)</f>
        <v>0</v>
      </c>
      <c r="F415" s="10"/>
      <c r="G415" s="10"/>
      <c r="H415" s="10"/>
      <c r="I415" s="38">
        <f>SUM(F415:H415)</f>
        <v>0</v>
      </c>
      <c r="J415" s="10"/>
      <c r="K415" s="10"/>
      <c r="L415" s="10"/>
      <c r="M415" s="38">
        <f>SUM(J415:L415)</f>
        <v>0</v>
      </c>
      <c r="N415" s="10"/>
      <c r="O415" s="10"/>
      <c r="P415" s="10"/>
      <c r="Q415" s="38">
        <f>SUM(N415:P415)</f>
        <v>0</v>
      </c>
      <c r="R415" s="38">
        <f t="shared" si="168"/>
        <v>0</v>
      </c>
    </row>
    <row r="416" spans="1:20" ht="15.75" hidden="1" customHeight="1" x14ac:dyDescent="0.3">
      <c r="A416" s="410" t="s">
        <v>3148</v>
      </c>
      <c r="B416" s="10"/>
      <c r="C416" s="10"/>
      <c r="D416" s="10"/>
      <c r="E416" s="38">
        <f t="shared" ref="E416:E474" si="169">SUM(B416:D416)</f>
        <v>0</v>
      </c>
      <c r="F416" s="10"/>
      <c r="G416" s="10"/>
      <c r="H416" s="10"/>
      <c r="I416" s="38">
        <f t="shared" ref="I416:I474" si="170">SUM(F416:H416)</f>
        <v>0</v>
      </c>
      <c r="J416" s="10"/>
      <c r="K416" s="10"/>
      <c r="L416" s="10"/>
      <c r="M416" s="38">
        <f t="shared" ref="M416:M474" si="171">SUM(J416:L416)</f>
        <v>0</v>
      </c>
      <c r="N416" s="10"/>
      <c r="O416" s="10"/>
      <c r="P416" s="10"/>
      <c r="Q416" s="38">
        <f t="shared" ref="Q416:Q475" si="172">SUM(N416:P416)</f>
        <v>0</v>
      </c>
      <c r="R416" s="38">
        <f t="shared" si="168"/>
        <v>0</v>
      </c>
    </row>
    <row r="417" spans="1:20" ht="15.75" hidden="1" customHeight="1" x14ac:dyDescent="0.3">
      <c r="A417" s="410" t="s">
        <v>3048</v>
      </c>
      <c r="B417" s="10"/>
      <c r="C417" s="10">
        <v>172</v>
      </c>
      <c r="D417" s="10"/>
      <c r="E417" s="38">
        <f t="shared" si="169"/>
        <v>172</v>
      </c>
      <c r="F417" s="10"/>
      <c r="G417" s="10"/>
      <c r="H417" s="10"/>
      <c r="I417" s="38">
        <f t="shared" si="170"/>
        <v>0</v>
      </c>
      <c r="J417" s="10"/>
      <c r="K417" s="10"/>
      <c r="L417" s="10"/>
      <c r="M417" s="38">
        <f t="shared" si="171"/>
        <v>0</v>
      </c>
      <c r="N417" s="10"/>
      <c r="O417" s="10"/>
      <c r="P417" s="10"/>
      <c r="Q417" s="38">
        <f t="shared" si="172"/>
        <v>0</v>
      </c>
      <c r="R417" s="38">
        <f t="shared" si="168"/>
        <v>172</v>
      </c>
      <c r="T417" t="s">
        <v>1358</v>
      </c>
    </row>
    <row r="418" spans="1:20" ht="15.75" hidden="1" customHeight="1" x14ac:dyDescent="0.3">
      <c r="A418" s="410" t="s">
        <v>3396</v>
      </c>
      <c r="B418" s="10"/>
      <c r="C418" s="10"/>
      <c r="D418" s="10"/>
      <c r="E418" s="38">
        <f t="shared" si="169"/>
        <v>0</v>
      </c>
      <c r="F418" s="10"/>
      <c r="G418" s="10"/>
      <c r="H418" s="10"/>
      <c r="I418" s="38">
        <f t="shared" si="170"/>
        <v>0</v>
      </c>
      <c r="J418" s="10"/>
      <c r="K418" s="10">
        <v>180</v>
      </c>
      <c r="L418" s="10">
        <v>1427</v>
      </c>
      <c r="M418" s="38">
        <f t="shared" si="171"/>
        <v>1607</v>
      </c>
      <c r="N418" s="10">
        <v>843</v>
      </c>
      <c r="O418" s="10"/>
      <c r="P418" s="10"/>
      <c r="Q418" s="38">
        <f t="shared" si="172"/>
        <v>843</v>
      </c>
      <c r="R418" s="38">
        <f t="shared" si="168"/>
        <v>2450</v>
      </c>
    </row>
    <row r="419" spans="1:20" ht="15.75" hidden="1" customHeight="1" x14ac:dyDescent="0.3">
      <c r="A419" s="410" t="s">
        <v>2781</v>
      </c>
      <c r="B419" s="10">
        <v>1142</v>
      </c>
      <c r="C419" s="10">
        <v>395</v>
      </c>
      <c r="D419" s="10"/>
      <c r="E419" s="38">
        <f t="shared" si="169"/>
        <v>1537</v>
      </c>
      <c r="F419" s="10"/>
      <c r="G419" s="10"/>
      <c r="H419" s="10"/>
      <c r="I419" s="38">
        <f t="shared" si="170"/>
        <v>0</v>
      </c>
      <c r="J419" s="10"/>
      <c r="K419" s="10"/>
      <c r="L419" s="10"/>
      <c r="M419" s="38">
        <f t="shared" si="171"/>
        <v>0</v>
      </c>
      <c r="N419" s="10"/>
      <c r="O419" s="10"/>
      <c r="P419" s="10"/>
      <c r="Q419" s="38">
        <f t="shared" si="172"/>
        <v>0</v>
      </c>
      <c r="R419" s="38">
        <f t="shared" si="168"/>
        <v>1537</v>
      </c>
      <c r="T419" t="s">
        <v>2780</v>
      </c>
    </row>
    <row r="420" spans="1:20" ht="15.75" hidden="1" customHeight="1" x14ac:dyDescent="0.3">
      <c r="A420" s="410" t="s">
        <v>2782</v>
      </c>
      <c r="B420" s="10"/>
      <c r="C420" s="10"/>
      <c r="D420" s="10"/>
      <c r="E420" s="38">
        <f t="shared" si="169"/>
        <v>0</v>
      </c>
      <c r="F420" s="10"/>
      <c r="G420" s="10"/>
      <c r="H420" s="10"/>
      <c r="I420" s="38">
        <f t="shared" si="170"/>
        <v>0</v>
      </c>
      <c r="J420" s="10"/>
      <c r="K420" s="10"/>
      <c r="L420" s="10"/>
      <c r="M420" s="38">
        <f t="shared" si="171"/>
        <v>0</v>
      </c>
      <c r="N420" s="10"/>
      <c r="O420" s="10"/>
      <c r="P420" s="10"/>
      <c r="Q420" s="38">
        <f t="shared" si="172"/>
        <v>0</v>
      </c>
      <c r="R420" s="38">
        <f t="shared" si="168"/>
        <v>0</v>
      </c>
      <c r="T420" t="s">
        <v>1358</v>
      </c>
    </row>
    <row r="421" spans="1:20" ht="15.75" hidden="1" customHeight="1" x14ac:dyDescent="0.3">
      <c r="A421" s="311" t="s">
        <v>1150</v>
      </c>
      <c r="B421" s="10"/>
      <c r="C421" s="10">
        <v>627</v>
      </c>
      <c r="D421" s="10"/>
      <c r="E421" s="38">
        <f t="shared" si="169"/>
        <v>627</v>
      </c>
      <c r="F421" s="10"/>
      <c r="G421" s="10"/>
      <c r="H421" s="10"/>
      <c r="I421" s="38">
        <f t="shared" si="170"/>
        <v>0</v>
      </c>
      <c r="J421" s="10"/>
      <c r="K421" s="10"/>
      <c r="L421" s="10"/>
      <c r="M421" s="38">
        <f t="shared" si="171"/>
        <v>0</v>
      </c>
      <c r="N421" s="10"/>
      <c r="O421" s="10"/>
      <c r="P421" s="10"/>
      <c r="Q421" s="38">
        <f t="shared" si="172"/>
        <v>0</v>
      </c>
      <c r="R421" s="38">
        <f t="shared" si="168"/>
        <v>627</v>
      </c>
    </row>
    <row r="422" spans="1:20" ht="15.75" hidden="1" customHeight="1" x14ac:dyDescent="0.3">
      <c r="A422" s="410" t="s">
        <v>3207</v>
      </c>
      <c r="B422" s="10"/>
      <c r="C422" s="10"/>
      <c r="D422" s="10"/>
      <c r="E422" s="38">
        <f t="shared" si="169"/>
        <v>0</v>
      </c>
      <c r="F422" s="10"/>
      <c r="G422" s="10"/>
      <c r="H422" s="10"/>
      <c r="I422" s="38">
        <f t="shared" si="170"/>
        <v>0</v>
      </c>
      <c r="J422" s="10"/>
      <c r="K422" s="10"/>
      <c r="L422" s="10"/>
      <c r="M422" s="38">
        <f t="shared" si="171"/>
        <v>0</v>
      </c>
      <c r="N422" s="10"/>
      <c r="O422" s="10"/>
      <c r="P422" s="10"/>
      <c r="Q422" s="38">
        <f t="shared" si="172"/>
        <v>0</v>
      </c>
      <c r="R422" s="38">
        <f t="shared" si="168"/>
        <v>0</v>
      </c>
    </row>
    <row r="423" spans="1:20" ht="15.75" hidden="1" customHeight="1" x14ac:dyDescent="0.3">
      <c r="A423" s="410" t="s">
        <v>2598</v>
      </c>
      <c r="B423" s="10"/>
      <c r="C423" s="10"/>
      <c r="D423" s="10"/>
      <c r="E423" s="38">
        <f t="shared" si="169"/>
        <v>0</v>
      </c>
      <c r="F423" s="10"/>
      <c r="G423" s="10"/>
      <c r="H423" s="10"/>
      <c r="I423" s="38">
        <f t="shared" si="170"/>
        <v>0</v>
      </c>
      <c r="J423" s="10"/>
      <c r="K423" s="10"/>
      <c r="L423" s="10"/>
      <c r="M423" s="38">
        <f t="shared" si="171"/>
        <v>0</v>
      </c>
      <c r="N423" s="10"/>
      <c r="O423" s="10"/>
      <c r="P423" s="10"/>
      <c r="Q423" s="38">
        <f t="shared" si="172"/>
        <v>0</v>
      </c>
      <c r="R423" s="38">
        <f>+E423+I423+M423+Q423</f>
        <v>0</v>
      </c>
      <c r="T423" t="s">
        <v>2178</v>
      </c>
    </row>
    <row r="424" spans="1:20" ht="15.75" hidden="1" customHeight="1" x14ac:dyDescent="0.3">
      <c r="A424" s="410" t="s">
        <v>2978</v>
      </c>
      <c r="B424" s="10"/>
      <c r="C424" s="10"/>
      <c r="D424" s="10"/>
      <c r="E424" s="38">
        <f t="shared" si="169"/>
        <v>0</v>
      </c>
      <c r="F424" s="10"/>
      <c r="G424" s="10"/>
      <c r="H424" s="10"/>
      <c r="I424" s="38">
        <f t="shared" si="170"/>
        <v>0</v>
      </c>
      <c r="J424" s="10"/>
      <c r="K424" s="10"/>
      <c r="L424" s="10"/>
      <c r="M424" s="38">
        <f t="shared" si="171"/>
        <v>0</v>
      </c>
      <c r="N424" s="10"/>
      <c r="O424" s="10"/>
      <c r="P424" s="10"/>
      <c r="Q424" s="38">
        <f t="shared" si="172"/>
        <v>0</v>
      </c>
      <c r="R424" s="38">
        <f t="shared" si="168"/>
        <v>0</v>
      </c>
      <c r="T424" t="s">
        <v>2174</v>
      </c>
    </row>
    <row r="425" spans="1:20" ht="15.75" hidden="1" customHeight="1" x14ac:dyDescent="0.3">
      <c r="A425" s="410" t="s">
        <v>2729</v>
      </c>
      <c r="B425" s="10">
        <v>1000</v>
      </c>
      <c r="C425" s="10">
        <v>1000</v>
      </c>
      <c r="D425" s="10">
        <v>1000</v>
      </c>
      <c r="E425" s="38">
        <f t="shared" si="169"/>
        <v>3000</v>
      </c>
      <c r="F425" s="10">
        <v>1000</v>
      </c>
      <c r="G425" s="10">
        <v>1000</v>
      </c>
      <c r="H425" s="10">
        <v>1000</v>
      </c>
      <c r="I425" s="38">
        <f t="shared" si="170"/>
        <v>3000</v>
      </c>
      <c r="J425" s="10">
        <v>1000</v>
      </c>
      <c r="K425" s="10">
        <v>1000</v>
      </c>
      <c r="L425" s="10"/>
      <c r="M425" s="38">
        <f t="shared" si="171"/>
        <v>2000</v>
      </c>
      <c r="N425" s="10"/>
      <c r="O425" s="10"/>
      <c r="P425" s="10"/>
      <c r="Q425" s="38">
        <f t="shared" si="172"/>
        <v>0</v>
      </c>
      <c r="R425" s="38">
        <f t="shared" si="168"/>
        <v>8000</v>
      </c>
    </row>
    <row r="426" spans="1:20" ht="15.75" hidden="1" customHeight="1" x14ac:dyDescent="0.3">
      <c r="A426" s="311" t="s">
        <v>464</v>
      </c>
      <c r="B426" s="10"/>
      <c r="C426" s="10">
        <v>200</v>
      </c>
      <c r="D426" s="10">
        <v>500</v>
      </c>
      <c r="E426" s="38">
        <f t="shared" si="169"/>
        <v>700</v>
      </c>
      <c r="F426" s="10">
        <v>900</v>
      </c>
      <c r="G426" s="10">
        <v>1400</v>
      </c>
      <c r="H426" s="10">
        <v>1800</v>
      </c>
      <c r="I426" s="38">
        <f t="shared" si="170"/>
        <v>4100</v>
      </c>
      <c r="J426" s="10">
        <v>1000</v>
      </c>
      <c r="K426" s="10">
        <v>200</v>
      </c>
      <c r="L426" s="10"/>
      <c r="M426" s="38">
        <f t="shared" si="171"/>
        <v>1200</v>
      </c>
      <c r="N426" s="10"/>
      <c r="O426" s="10"/>
      <c r="P426" s="10"/>
      <c r="Q426" s="38">
        <f t="shared" si="172"/>
        <v>0</v>
      </c>
      <c r="R426" s="38">
        <f t="shared" si="168"/>
        <v>6000</v>
      </c>
      <c r="T426" t="s">
        <v>2174</v>
      </c>
    </row>
    <row r="427" spans="1:20" ht="15.75" hidden="1" customHeight="1" x14ac:dyDescent="0.3">
      <c r="A427" s="410" t="s">
        <v>1381</v>
      </c>
      <c r="B427" s="10"/>
      <c r="C427" s="10"/>
      <c r="D427" s="10"/>
      <c r="E427" s="38">
        <f t="shared" si="169"/>
        <v>0</v>
      </c>
      <c r="F427" s="10"/>
      <c r="G427" s="10"/>
      <c r="H427" s="10">
        <v>9000</v>
      </c>
      <c r="I427" s="38">
        <f t="shared" si="170"/>
        <v>9000</v>
      </c>
      <c r="J427" s="10"/>
      <c r="K427" s="10"/>
      <c r="L427" s="10"/>
      <c r="M427" s="38">
        <f t="shared" si="171"/>
        <v>0</v>
      </c>
      <c r="N427" s="10"/>
      <c r="O427" s="10"/>
      <c r="P427" s="10"/>
      <c r="Q427" s="38">
        <f t="shared" si="172"/>
        <v>0</v>
      </c>
      <c r="R427" s="38">
        <f t="shared" si="168"/>
        <v>9000</v>
      </c>
    </row>
    <row r="428" spans="1:20" ht="15.75" hidden="1" customHeight="1" x14ac:dyDescent="0.3">
      <c r="A428" s="410" t="s">
        <v>3392</v>
      </c>
      <c r="B428" s="10"/>
      <c r="C428" s="10"/>
      <c r="D428" s="10"/>
      <c r="E428" s="38">
        <f t="shared" si="169"/>
        <v>0</v>
      </c>
      <c r="F428" s="10">
        <v>2000</v>
      </c>
      <c r="G428" s="10">
        <v>1500</v>
      </c>
      <c r="H428" s="10">
        <v>1500</v>
      </c>
      <c r="I428" s="38">
        <f t="shared" si="170"/>
        <v>5000</v>
      </c>
      <c r="J428" s="10"/>
      <c r="K428" s="10"/>
      <c r="L428" s="10"/>
      <c r="M428" s="38">
        <f t="shared" si="171"/>
        <v>0</v>
      </c>
      <c r="N428" s="10"/>
      <c r="O428" s="10"/>
      <c r="P428" s="10"/>
      <c r="Q428" s="38">
        <f t="shared" ref="Q428" si="173">SUM(N428:P428)</f>
        <v>0</v>
      </c>
      <c r="R428" s="38">
        <f t="shared" si="168"/>
        <v>5000</v>
      </c>
    </row>
    <row r="429" spans="1:20" ht="15.75" hidden="1" customHeight="1" x14ac:dyDescent="0.3">
      <c r="A429" s="410" t="s">
        <v>3367</v>
      </c>
      <c r="B429" s="10"/>
      <c r="C429" s="10"/>
      <c r="D429" s="10"/>
      <c r="E429" s="38">
        <f t="shared" si="169"/>
        <v>0</v>
      </c>
      <c r="F429" s="10"/>
      <c r="G429" s="10"/>
      <c r="H429" s="10">
        <f>445+1622</f>
        <v>2067</v>
      </c>
      <c r="I429" s="38">
        <f t="shared" si="170"/>
        <v>2067</v>
      </c>
      <c r="J429" s="10">
        <v>2000</v>
      </c>
      <c r="K429" s="10"/>
      <c r="L429" s="10"/>
      <c r="M429" s="38">
        <f t="shared" si="171"/>
        <v>2000</v>
      </c>
      <c r="N429" s="10"/>
      <c r="O429" s="10"/>
      <c r="P429" s="10"/>
      <c r="Q429" s="38">
        <f t="shared" ref="Q429" si="174">SUM(N429:P429)</f>
        <v>0</v>
      </c>
      <c r="R429" s="38">
        <f t="shared" si="168"/>
        <v>4067</v>
      </c>
    </row>
    <row r="430" spans="1:20" ht="15.75" hidden="1" customHeight="1" x14ac:dyDescent="0.3">
      <c r="A430" s="410" t="s">
        <v>3368</v>
      </c>
      <c r="B430" s="10"/>
      <c r="C430" s="10"/>
      <c r="D430" s="10"/>
      <c r="E430" s="38">
        <f t="shared" si="169"/>
        <v>0</v>
      </c>
      <c r="F430" s="10"/>
      <c r="G430" s="10"/>
      <c r="H430" s="10"/>
      <c r="I430" s="38">
        <f t="shared" si="170"/>
        <v>0</v>
      </c>
      <c r="J430" s="10"/>
      <c r="K430" s="10"/>
      <c r="L430" s="10">
        <f>444+556</f>
        <v>1000</v>
      </c>
      <c r="M430" s="38">
        <f t="shared" si="171"/>
        <v>1000</v>
      </c>
      <c r="N430" s="10">
        <v>1000</v>
      </c>
      <c r="O430" s="10"/>
      <c r="P430" s="10"/>
      <c r="Q430" s="38">
        <f t="shared" ref="Q430:Q432" si="175">SUM(N430:P430)</f>
        <v>1000</v>
      </c>
      <c r="R430" s="38">
        <f t="shared" si="168"/>
        <v>2000</v>
      </c>
    </row>
    <row r="431" spans="1:20" ht="15.75" hidden="1" customHeight="1" x14ac:dyDescent="0.3">
      <c r="A431" s="410" t="s">
        <v>3052</v>
      </c>
      <c r="B431" s="10">
        <v>2500</v>
      </c>
      <c r="C431" s="10">
        <v>4000</v>
      </c>
      <c r="D431" s="10">
        <v>5500</v>
      </c>
      <c r="E431" s="38">
        <f t="shared" si="169"/>
        <v>12000</v>
      </c>
      <c r="F431" s="10">
        <v>5000</v>
      </c>
      <c r="G431" s="10">
        <v>1000</v>
      </c>
      <c r="H431" s="10"/>
      <c r="I431" s="38">
        <f t="shared" si="170"/>
        <v>6000</v>
      </c>
      <c r="J431" s="10"/>
      <c r="K431" s="10"/>
      <c r="L431" s="10"/>
      <c r="M431" s="38">
        <f t="shared" si="171"/>
        <v>0</v>
      </c>
      <c r="N431" s="10"/>
      <c r="O431" s="10"/>
      <c r="P431" s="10"/>
      <c r="Q431" s="38">
        <f t="shared" si="175"/>
        <v>0</v>
      </c>
      <c r="R431" s="38">
        <f t="shared" si="168"/>
        <v>18000</v>
      </c>
    </row>
    <row r="432" spans="1:20" ht="15.75" hidden="1" customHeight="1" x14ac:dyDescent="0.3">
      <c r="A432" s="410" t="s">
        <v>3153</v>
      </c>
      <c r="B432" s="10"/>
      <c r="C432" s="10"/>
      <c r="D432" s="10"/>
      <c r="E432" s="38">
        <f t="shared" si="169"/>
        <v>0</v>
      </c>
      <c r="F432" s="10"/>
      <c r="G432" s="10"/>
      <c r="H432" s="10">
        <v>22</v>
      </c>
      <c r="I432" s="38">
        <f t="shared" si="170"/>
        <v>22</v>
      </c>
      <c r="J432" s="10"/>
      <c r="K432" s="10"/>
      <c r="L432" s="10"/>
      <c r="M432" s="38">
        <f t="shared" si="171"/>
        <v>0</v>
      </c>
      <c r="N432" s="10"/>
      <c r="O432" s="10"/>
      <c r="P432" s="10"/>
      <c r="Q432" s="38">
        <f t="shared" si="175"/>
        <v>0</v>
      </c>
      <c r="R432" s="38">
        <f t="shared" si="168"/>
        <v>22</v>
      </c>
    </row>
    <row r="433" spans="1:20" ht="15.75" hidden="1" customHeight="1" x14ac:dyDescent="0.3">
      <c r="A433" s="410" t="s">
        <v>3036</v>
      </c>
      <c r="B433" s="10">
        <f>1+2+130</f>
        <v>133</v>
      </c>
      <c r="C433" s="10">
        <f>1+2+120</f>
        <v>123</v>
      </c>
      <c r="D433" s="10">
        <f>1+2+130</f>
        <v>133</v>
      </c>
      <c r="E433" s="38">
        <f t="shared" si="169"/>
        <v>389</v>
      </c>
      <c r="F433" s="10">
        <f>1+2+125</f>
        <v>128</v>
      </c>
      <c r="G433" s="10">
        <f>1+2+130</f>
        <v>133</v>
      </c>
      <c r="H433" s="10">
        <f>1+2+125</f>
        <v>128</v>
      </c>
      <c r="I433" s="38">
        <f t="shared" si="170"/>
        <v>389</v>
      </c>
      <c r="J433" s="10"/>
      <c r="K433" s="10"/>
      <c r="L433" s="10"/>
      <c r="M433" s="38">
        <f t="shared" si="171"/>
        <v>0</v>
      </c>
      <c r="N433" s="10"/>
      <c r="O433" s="10"/>
      <c r="P433" s="10"/>
      <c r="Q433" s="38">
        <f t="shared" si="172"/>
        <v>0</v>
      </c>
      <c r="R433" s="38">
        <f t="shared" si="168"/>
        <v>778</v>
      </c>
    </row>
    <row r="434" spans="1:20" ht="15.75" hidden="1" customHeight="1" x14ac:dyDescent="0.3">
      <c r="A434" s="410" t="s">
        <v>2953</v>
      </c>
      <c r="B434" s="10">
        <v>3250</v>
      </c>
      <c r="C434" s="10">
        <v>2650</v>
      </c>
      <c r="D434" s="10">
        <v>3250</v>
      </c>
      <c r="E434" s="38">
        <f t="shared" si="169"/>
        <v>9150</v>
      </c>
      <c r="F434" s="10">
        <v>150</v>
      </c>
      <c r="G434" s="10">
        <v>3000</v>
      </c>
      <c r="H434" s="10"/>
      <c r="I434" s="38">
        <f t="shared" si="170"/>
        <v>3150</v>
      </c>
      <c r="J434" s="10"/>
      <c r="K434" s="10"/>
      <c r="L434" s="10">
        <v>1500</v>
      </c>
      <c r="M434" s="38">
        <f t="shared" si="171"/>
        <v>1500</v>
      </c>
      <c r="N434" s="10">
        <v>1200</v>
      </c>
      <c r="O434" s="10"/>
      <c r="P434" s="10"/>
      <c r="Q434" s="38">
        <f t="shared" si="172"/>
        <v>1200</v>
      </c>
      <c r="R434" s="38">
        <f t="shared" si="168"/>
        <v>15000</v>
      </c>
      <c r="T434" t="s">
        <v>1358</v>
      </c>
    </row>
    <row r="435" spans="1:20" ht="15.75" hidden="1" customHeight="1" x14ac:dyDescent="0.3">
      <c r="A435" s="410" t="s">
        <v>3031</v>
      </c>
      <c r="B435" s="10">
        <v>24</v>
      </c>
      <c r="C435" s="10">
        <v>26</v>
      </c>
      <c r="D435" s="10">
        <v>24</v>
      </c>
      <c r="E435" s="38">
        <f t="shared" si="169"/>
        <v>74</v>
      </c>
      <c r="F435" s="10">
        <v>29</v>
      </c>
      <c r="G435" s="10">
        <v>24</v>
      </c>
      <c r="H435" s="10">
        <v>31</v>
      </c>
      <c r="I435" s="38">
        <f t="shared" si="170"/>
        <v>84</v>
      </c>
      <c r="J435" s="10">
        <v>52</v>
      </c>
      <c r="K435" s="10">
        <v>47</v>
      </c>
      <c r="L435" s="10">
        <v>32</v>
      </c>
      <c r="M435" s="38">
        <f t="shared" si="171"/>
        <v>131</v>
      </c>
      <c r="N435" s="10">
        <v>23</v>
      </c>
      <c r="O435" s="10">
        <v>16</v>
      </c>
      <c r="P435" s="10">
        <v>22</v>
      </c>
      <c r="Q435" s="38">
        <f t="shared" si="172"/>
        <v>61</v>
      </c>
      <c r="R435" s="38">
        <f t="shared" si="168"/>
        <v>350</v>
      </c>
      <c r="T435" t="s">
        <v>131</v>
      </c>
    </row>
    <row r="436" spans="1:20" ht="15.75" hidden="1" customHeight="1" x14ac:dyDescent="0.3">
      <c r="A436" s="410" t="s">
        <v>2959</v>
      </c>
      <c r="B436" s="10">
        <v>1142</v>
      </c>
      <c r="C436" s="10">
        <v>1142</v>
      </c>
      <c r="D436" s="10">
        <v>1427</v>
      </c>
      <c r="E436" s="38">
        <f t="shared" si="169"/>
        <v>3711</v>
      </c>
      <c r="F436" s="10">
        <v>1427</v>
      </c>
      <c r="G436" s="10">
        <v>1427</v>
      </c>
      <c r="H436" s="10">
        <v>1427</v>
      </c>
      <c r="I436" s="38">
        <f t="shared" si="170"/>
        <v>4281</v>
      </c>
      <c r="J436" s="10">
        <v>1427</v>
      </c>
      <c r="K436" s="10">
        <v>1247</v>
      </c>
      <c r="L436" s="10">
        <v>518</v>
      </c>
      <c r="M436" s="38">
        <f t="shared" si="171"/>
        <v>3192</v>
      </c>
      <c r="N436" s="10"/>
      <c r="O436" s="10"/>
      <c r="P436" s="10"/>
      <c r="Q436" s="38">
        <f t="shared" si="172"/>
        <v>0</v>
      </c>
      <c r="R436" s="38">
        <f t="shared" si="168"/>
        <v>11184</v>
      </c>
      <c r="T436" t="s">
        <v>2780</v>
      </c>
    </row>
    <row r="437" spans="1:20" ht="15.75" hidden="1" customHeight="1" x14ac:dyDescent="0.3">
      <c r="A437" s="311" t="s">
        <v>2362</v>
      </c>
      <c r="B437" s="10">
        <v>1731</v>
      </c>
      <c r="C437" s="10">
        <v>1731</v>
      </c>
      <c r="D437" s="10">
        <v>1731</v>
      </c>
      <c r="E437" s="38">
        <f t="shared" si="169"/>
        <v>5193</v>
      </c>
      <c r="F437" s="10">
        <v>1732</v>
      </c>
      <c r="G437" s="10"/>
      <c r="H437" s="10"/>
      <c r="I437" s="38">
        <f t="shared" si="170"/>
        <v>1732</v>
      </c>
      <c r="J437" s="10"/>
      <c r="K437" s="10"/>
      <c r="L437" s="10"/>
      <c r="M437" s="38">
        <f t="shared" si="171"/>
        <v>0</v>
      </c>
      <c r="N437" s="10"/>
      <c r="O437" s="10"/>
      <c r="P437" s="10"/>
      <c r="Q437" s="38">
        <f t="shared" si="172"/>
        <v>0</v>
      </c>
      <c r="R437" s="38">
        <f>+E437+I437+M437+Q437</f>
        <v>6925</v>
      </c>
    </row>
    <row r="438" spans="1:20" ht="15.75" hidden="1" customHeight="1" x14ac:dyDescent="0.3">
      <c r="A438" s="311" t="s">
        <v>2263</v>
      </c>
      <c r="B438" s="10"/>
      <c r="C438" s="10"/>
      <c r="D438" s="10"/>
      <c r="E438" s="38">
        <f t="shared" si="169"/>
        <v>0</v>
      </c>
      <c r="F438" s="10"/>
      <c r="G438" s="10"/>
      <c r="H438" s="10"/>
      <c r="I438" s="38">
        <f t="shared" si="170"/>
        <v>0</v>
      </c>
      <c r="J438" s="10"/>
      <c r="K438" s="10"/>
      <c r="L438" s="10"/>
      <c r="M438" s="38">
        <f t="shared" si="171"/>
        <v>0</v>
      </c>
      <c r="N438" s="10"/>
      <c r="O438" s="10"/>
      <c r="P438" s="10"/>
      <c r="Q438" s="38">
        <f t="shared" si="172"/>
        <v>0</v>
      </c>
      <c r="R438" s="38">
        <f>+E438+I438+M438+Q438</f>
        <v>0</v>
      </c>
    </row>
    <row r="439" spans="1:20" ht="15.75" hidden="1" customHeight="1" x14ac:dyDescent="0.3">
      <c r="A439" s="410" t="s">
        <v>3159</v>
      </c>
      <c r="B439" s="10"/>
      <c r="C439" s="10"/>
      <c r="D439" s="10"/>
      <c r="E439" s="38">
        <f t="shared" si="169"/>
        <v>0</v>
      </c>
      <c r="F439" s="10"/>
      <c r="G439" s="10"/>
      <c r="H439" s="10"/>
      <c r="I439" s="38">
        <f t="shared" si="170"/>
        <v>0</v>
      </c>
      <c r="J439" s="10"/>
      <c r="K439" s="10"/>
      <c r="L439" s="10"/>
      <c r="M439" s="38">
        <f t="shared" si="171"/>
        <v>0</v>
      </c>
      <c r="N439" s="10"/>
      <c r="O439" s="10"/>
      <c r="P439" s="10"/>
      <c r="Q439" s="38">
        <f t="shared" si="172"/>
        <v>0</v>
      </c>
      <c r="R439" s="38">
        <f>+E439+I439+M439+Q439</f>
        <v>0</v>
      </c>
    </row>
    <row r="440" spans="1:20" ht="15.75" hidden="1" customHeight="1" x14ac:dyDescent="0.3">
      <c r="A440" s="410" t="s">
        <v>3160</v>
      </c>
      <c r="B440" s="10"/>
      <c r="C440" s="10"/>
      <c r="D440" s="10"/>
      <c r="E440" s="38">
        <f t="shared" si="169"/>
        <v>0</v>
      </c>
      <c r="F440" s="10"/>
      <c r="G440" s="10"/>
      <c r="H440" s="10"/>
      <c r="I440" s="38">
        <f t="shared" si="170"/>
        <v>0</v>
      </c>
      <c r="J440" s="10"/>
      <c r="K440" s="10"/>
      <c r="L440" s="10"/>
      <c r="M440" s="38">
        <f t="shared" si="171"/>
        <v>0</v>
      </c>
      <c r="N440" s="10"/>
      <c r="O440" s="10"/>
      <c r="P440" s="10"/>
      <c r="Q440" s="38">
        <f t="shared" si="172"/>
        <v>0</v>
      </c>
      <c r="R440" s="38">
        <f>+E440+I440+M440+Q440</f>
        <v>0</v>
      </c>
      <c r="T440" t="s">
        <v>1358</v>
      </c>
    </row>
    <row r="441" spans="1:20" ht="15.75" hidden="1" customHeight="1" x14ac:dyDescent="0.3">
      <c r="A441" s="410" t="s">
        <v>3139</v>
      </c>
      <c r="B441" s="10"/>
      <c r="C441" s="10"/>
      <c r="D441" s="10"/>
      <c r="E441" s="38">
        <f t="shared" ref="E441" si="176">SUM(B441:D441)</f>
        <v>0</v>
      </c>
      <c r="F441" s="10"/>
      <c r="G441" s="10"/>
      <c r="H441" s="10"/>
      <c r="I441" s="38">
        <f t="shared" ref="I441" si="177">SUM(F441:H441)</f>
        <v>0</v>
      </c>
      <c r="J441" s="10"/>
      <c r="K441" s="10"/>
      <c r="L441" s="10"/>
      <c r="M441" s="38">
        <f t="shared" ref="M441" si="178">SUM(J441:L441)</f>
        <v>0</v>
      </c>
      <c r="N441" s="10"/>
      <c r="O441" s="10"/>
      <c r="P441" s="10"/>
      <c r="Q441" s="38">
        <f t="shared" ref="Q441" si="179">SUM(N441:P441)</f>
        <v>0</v>
      </c>
      <c r="R441" s="38">
        <f t="shared" ref="R441:R442" si="180">+E441+I441+M441+Q441</f>
        <v>0</v>
      </c>
      <c r="T441" t="s">
        <v>2760</v>
      </c>
    </row>
    <row r="442" spans="1:20" ht="16.5" hidden="1" customHeight="1" x14ac:dyDescent="0.3">
      <c r="A442" s="410" t="s">
        <v>3389</v>
      </c>
      <c r="B442" s="10"/>
      <c r="C442" s="10"/>
      <c r="D442" s="10"/>
      <c r="E442" s="38">
        <f t="shared" si="169"/>
        <v>0</v>
      </c>
      <c r="F442" s="10"/>
      <c r="G442" s="10">
        <v>338</v>
      </c>
      <c r="H442" s="10">
        <v>1000</v>
      </c>
      <c r="I442" s="38">
        <f t="shared" si="170"/>
        <v>1338</v>
      </c>
      <c r="J442" s="10">
        <v>1000</v>
      </c>
      <c r="K442" s="10">
        <v>1000</v>
      </c>
      <c r="L442" s="10">
        <v>1000</v>
      </c>
      <c r="M442" s="38">
        <f t="shared" si="171"/>
        <v>3000</v>
      </c>
      <c r="N442" s="10">
        <v>1000</v>
      </c>
      <c r="O442" s="10"/>
      <c r="P442" s="10"/>
      <c r="Q442" s="38">
        <f t="shared" ref="Q442" si="181">SUM(N442:P442)</f>
        <v>1000</v>
      </c>
      <c r="R442" s="38">
        <f t="shared" si="180"/>
        <v>5338</v>
      </c>
      <c r="T442" t="s">
        <v>2777</v>
      </c>
    </row>
    <row r="443" spans="1:20" ht="15.75" hidden="1" customHeight="1" x14ac:dyDescent="0.3">
      <c r="A443" s="410" t="s">
        <v>3140</v>
      </c>
      <c r="B443" s="10"/>
      <c r="C443" s="10"/>
      <c r="D443" s="10"/>
      <c r="E443" s="38">
        <f t="shared" si="169"/>
        <v>0</v>
      </c>
      <c r="F443" s="10"/>
      <c r="G443" s="10"/>
      <c r="H443" s="10"/>
      <c r="I443" s="38">
        <f t="shared" si="170"/>
        <v>0</v>
      </c>
      <c r="J443" s="10"/>
      <c r="K443" s="10"/>
      <c r="L443" s="10"/>
      <c r="M443" s="38">
        <f t="shared" si="171"/>
        <v>0</v>
      </c>
      <c r="N443" s="10"/>
      <c r="O443" s="10"/>
      <c r="P443" s="10"/>
      <c r="Q443" s="38">
        <f t="shared" ref="Q443" si="182">SUM(N443:P443)</f>
        <v>0</v>
      </c>
      <c r="R443" s="38">
        <f t="shared" si="168"/>
        <v>0</v>
      </c>
      <c r="T443" t="s">
        <v>2175</v>
      </c>
    </row>
    <row r="444" spans="1:20" ht="15.75" hidden="1" customHeight="1" x14ac:dyDescent="0.3">
      <c r="A444" s="410" t="s">
        <v>3388</v>
      </c>
      <c r="B444" s="10"/>
      <c r="C444" s="10"/>
      <c r="D444" s="10"/>
      <c r="E444" s="38">
        <f t="shared" si="169"/>
        <v>0</v>
      </c>
      <c r="F444" s="10"/>
      <c r="G444" s="10"/>
      <c r="H444" s="10">
        <v>2000</v>
      </c>
      <c r="I444" s="38">
        <f t="shared" si="170"/>
        <v>2000</v>
      </c>
      <c r="J444" s="10">
        <v>2000</v>
      </c>
      <c r="K444" s="10"/>
      <c r="L444" s="10"/>
      <c r="M444" s="38">
        <f t="shared" si="171"/>
        <v>2000</v>
      </c>
      <c r="N444" s="10"/>
      <c r="O444" s="10"/>
      <c r="P444" s="10"/>
      <c r="Q444" s="38">
        <f t="shared" si="172"/>
        <v>0</v>
      </c>
      <c r="R444" s="38">
        <f t="shared" si="168"/>
        <v>4000</v>
      </c>
      <c r="T444" t="s">
        <v>2175</v>
      </c>
    </row>
    <row r="445" spans="1:20" ht="15.75" hidden="1" customHeight="1" x14ac:dyDescent="0.3">
      <c r="A445" s="410" t="s">
        <v>3386</v>
      </c>
      <c r="B445" s="10"/>
      <c r="C445" s="10"/>
      <c r="D445" s="10"/>
      <c r="E445" s="38">
        <f t="shared" si="169"/>
        <v>0</v>
      </c>
      <c r="F445" s="10">
        <v>92</v>
      </c>
      <c r="G445" s="10">
        <v>92</v>
      </c>
      <c r="H445" s="10">
        <v>184</v>
      </c>
      <c r="I445" s="38">
        <f t="shared" si="170"/>
        <v>368</v>
      </c>
      <c r="J445" s="10">
        <v>184</v>
      </c>
      <c r="K445" s="10">
        <v>92</v>
      </c>
      <c r="L445" s="10">
        <v>92</v>
      </c>
      <c r="M445" s="38">
        <f t="shared" si="171"/>
        <v>368</v>
      </c>
      <c r="N445" s="10">
        <v>92</v>
      </c>
      <c r="O445" s="10">
        <v>460</v>
      </c>
      <c r="P445" s="10">
        <v>951</v>
      </c>
      <c r="Q445" s="38">
        <f t="shared" si="172"/>
        <v>1503</v>
      </c>
      <c r="R445" s="38">
        <f t="shared" si="168"/>
        <v>2239</v>
      </c>
      <c r="T445" t="s">
        <v>2780</v>
      </c>
    </row>
    <row r="446" spans="1:20" ht="15.75" hidden="1" customHeight="1" x14ac:dyDescent="0.3">
      <c r="A446" s="410" t="s">
        <v>3387</v>
      </c>
      <c r="B446" s="10"/>
      <c r="C446" s="10"/>
      <c r="D446" s="10"/>
      <c r="E446" s="38">
        <f t="shared" si="169"/>
        <v>0</v>
      </c>
      <c r="F446" s="10">
        <v>1000</v>
      </c>
      <c r="G446" s="10">
        <v>662</v>
      </c>
      <c r="H446" s="10"/>
      <c r="I446" s="38">
        <f t="shared" si="170"/>
        <v>1662</v>
      </c>
      <c r="J446" s="10"/>
      <c r="K446" s="10"/>
      <c r="L446" s="10"/>
      <c r="M446" s="38">
        <f t="shared" si="171"/>
        <v>0</v>
      </c>
      <c r="N446" s="10"/>
      <c r="O446" s="10"/>
      <c r="P446" s="10"/>
      <c r="Q446" s="38">
        <f t="shared" si="172"/>
        <v>0</v>
      </c>
      <c r="R446" s="38">
        <f t="shared" si="168"/>
        <v>1662</v>
      </c>
    </row>
    <row r="447" spans="1:20" ht="15.75" hidden="1" customHeight="1" x14ac:dyDescent="0.3">
      <c r="A447" s="410" t="s">
        <v>3390</v>
      </c>
      <c r="B447" s="10"/>
      <c r="C447" s="10"/>
      <c r="D447" s="10"/>
      <c r="E447" s="38">
        <f t="shared" si="169"/>
        <v>0</v>
      </c>
      <c r="F447" s="10"/>
      <c r="G447" s="10"/>
      <c r="H447" s="10"/>
      <c r="I447" s="38">
        <f t="shared" si="170"/>
        <v>0</v>
      </c>
      <c r="J447" s="10"/>
      <c r="K447" s="10"/>
      <c r="L447" s="10"/>
      <c r="M447" s="38">
        <f t="shared" si="171"/>
        <v>0</v>
      </c>
      <c r="N447" s="10">
        <v>500</v>
      </c>
      <c r="O447" s="10">
        <v>2000</v>
      </c>
      <c r="P447" s="10"/>
      <c r="Q447" s="38">
        <f t="shared" si="172"/>
        <v>2500</v>
      </c>
      <c r="R447" s="38">
        <f t="shared" si="168"/>
        <v>2500</v>
      </c>
      <c r="T447" t="s">
        <v>1358</v>
      </c>
    </row>
    <row r="448" spans="1:20" ht="15.75" hidden="1" customHeight="1" x14ac:dyDescent="0.3">
      <c r="A448" s="410" t="s">
        <v>3234</v>
      </c>
      <c r="B448" s="10"/>
      <c r="C448" s="10"/>
      <c r="D448" s="10"/>
      <c r="E448" s="38">
        <f t="shared" si="169"/>
        <v>0</v>
      </c>
      <c r="F448" s="10"/>
      <c r="G448" s="10"/>
      <c r="H448" s="10"/>
      <c r="I448" s="38">
        <f t="shared" si="170"/>
        <v>0</v>
      </c>
      <c r="J448" s="10"/>
      <c r="K448" s="10"/>
      <c r="L448" s="10"/>
      <c r="M448" s="38">
        <f t="shared" si="171"/>
        <v>0</v>
      </c>
      <c r="N448" s="10"/>
      <c r="O448" s="10"/>
      <c r="P448" s="10"/>
      <c r="Q448" s="38">
        <f t="shared" si="172"/>
        <v>0</v>
      </c>
      <c r="R448" s="38">
        <f t="shared" si="168"/>
        <v>0</v>
      </c>
    </row>
    <row r="449" spans="1:20" ht="15.75" hidden="1" customHeight="1" x14ac:dyDescent="0.3">
      <c r="A449" s="410" t="s">
        <v>3415</v>
      </c>
      <c r="B449" s="10"/>
      <c r="C449" s="10"/>
      <c r="D449" s="10"/>
      <c r="E449" s="38">
        <f t="shared" si="169"/>
        <v>0</v>
      </c>
      <c r="F449" s="10"/>
      <c r="G449" s="10"/>
      <c r="H449" s="10"/>
      <c r="I449" s="38">
        <f t="shared" si="170"/>
        <v>0</v>
      </c>
      <c r="J449" s="10"/>
      <c r="K449" s="10"/>
      <c r="L449" s="10">
        <v>1048</v>
      </c>
      <c r="M449" s="38">
        <f t="shared" si="171"/>
        <v>1048</v>
      </c>
      <c r="N449" s="10"/>
      <c r="O449" s="10"/>
      <c r="P449" s="10"/>
      <c r="Q449" s="38">
        <f t="shared" si="172"/>
        <v>0</v>
      </c>
      <c r="R449" s="38">
        <f t="shared" si="168"/>
        <v>1048</v>
      </c>
    </row>
    <row r="450" spans="1:20" ht="15.75" hidden="1" customHeight="1" x14ac:dyDescent="0.3">
      <c r="A450" s="410" t="s">
        <v>3427</v>
      </c>
      <c r="B450" s="10"/>
      <c r="C450" s="10"/>
      <c r="D450" s="10"/>
      <c r="E450" s="38">
        <f t="shared" si="169"/>
        <v>0</v>
      </c>
      <c r="F450" s="10"/>
      <c r="G450" s="10"/>
      <c r="H450" s="10"/>
      <c r="I450" s="38">
        <f t="shared" si="170"/>
        <v>0</v>
      </c>
      <c r="J450" s="10"/>
      <c r="K450" s="10"/>
      <c r="L450" s="10"/>
      <c r="M450" s="38">
        <f t="shared" si="171"/>
        <v>0</v>
      </c>
      <c r="N450" s="10"/>
      <c r="O450" s="10"/>
      <c r="P450" s="10">
        <v>500</v>
      </c>
      <c r="Q450" s="38">
        <f t="shared" ref="Q450:Q454" si="183">SUM(N450:P450)</f>
        <v>500</v>
      </c>
      <c r="R450" s="38">
        <f t="shared" si="168"/>
        <v>500</v>
      </c>
    </row>
    <row r="451" spans="1:20" ht="15.75" hidden="1" customHeight="1" x14ac:dyDescent="0.3">
      <c r="A451" s="410" t="s">
        <v>3411</v>
      </c>
      <c r="B451" s="10"/>
      <c r="C451" s="10"/>
      <c r="D451" s="10"/>
      <c r="E451" s="38">
        <f t="shared" si="169"/>
        <v>0</v>
      </c>
      <c r="F451" s="10"/>
      <c r="G451" s="10"/>
      <c r="H451" s="10"/>
      <c r="I451" s="38">
        <f t="shared" si="170"/>
        <v>0</v>
      </c>
      <c r="J451" s="10"/>
      <c r="K451" s="10">
        <v>1500</v>
      </c>
      <c r="L451" s="10">
        <v>138</v>
      </c>
      <c r="M451" s="38">
        <f t="shared" si="171"/>
        <v>1638</v>
      </c>
      <c r="N451" s="10"/>
      <c r="O451" s="10"/>
      <c r="P451" s="10"/>
      <c r="Q451" s="38">
        <f t="shared" si="183"/>
        <v>0</v>
      </c>
      <c r="R451" s="38">
        <f t="shared" si="168"/>
        <v>1638</v>
      </c>
    </row>
    <row r="452" spans="1:20" ht="15.75" hidden="1" customHeight="1" x14ac:dyDescent="0.3">
      <c r="A452" s="410" t="s">
        <v>3412</v>
      </c>
      <c r="B452" s="10"/>
      <c r="C452" s="10"/>
      <c r="D452" s="10"/>
      <c r="E452" s="38">
        <f t="shared" si="169"/>
        <v>0</v>
      </c>
      <c r="F452" s="10"/>
      <c r="G452" s="10"/>
      <c r="H452" s="10"/>
      <c r="I452" s="38">
        <f t="shared" si="170"/>
        <v>0</v>
      </c>
      <c r="J452" s="10"/>
      <c r="K452" s="10">
        <v>2500</v>
      </c>
      <c r="L452" s="10"/>
      <c r="M452" s="38">
        <f t="shared" si="171"/>
        <v>2500</v>
      </c>
      <c r="N452" s="10"/>
      <c r="O452" s="10"/>
      <c r="P452" s="10"/>
      <c r="Q452" s="38">
        <f t="shared" si="183"/>
        <v>0</v>
      </c>
      <c r="R452" s="38">
        <f t="shared" si="168"/>
        <v>2500</v>
      </c>
    </row>
    <row r="453" spans="1:20" ht="15.75" hidden="1" customHeight="1" x14ac:dyDescent="0.3">
      <c r="A453" s="410" t="s">
        <v>3413</v>
      </c>
      <c r="B453" s="10"/>
      <c r="C453" s="10"/>
      <c r="D453" s="10"/>
      <c r="E453" s="38">
        <f t="shared" si="169"/>
        <v>0</v>
      </c>
      <c r="F453" s="10"/>
      <c r="G453" s="10"/>
      <c r="H453" s="10"/>
      <c r="I453" s="38">
        <f t="shared" si="170"/>
        <v>0</v>
      </c>
      <c r="J453" s="10"/>
      <c r="K453" s="10"/>
      <c r="L453" s="10">
        <v>314</v>
      </c>
      <c r="M453" s="38">
        <f t="shared" si="171"/>
        <v>314</v>
      </c>
      <c r="N453" s="10"/>
      <c r="O453" s="10"/>
      <c r="P453" s="10"/>
      <c r="Q453" s="38">
        <f t="shared" si="183"/>
        <v>0</v>
      </c>
      <c r="R453" s="38">
        <f t="shared" si="168"/>
        <v>314</v>
      </c>
    </row>
    <row r="454" spans="1:20" ht="15.75" hidden="1" customHeight="1" x14ac:dyDescent="0.3">
      <c r="A454" s="410" t="s">
        <v>3414</v>
      </c>
      <c r="B454" s="10"/>
      <c r="C454" s="10"/>
      <c r="D454" s="10"/>
      <c r="E454" s="38">
        <f t="shared" si="169"/>
        <v>0</v>
      </c>
      <c r="F454" s="10"/>
      <c r="G454" s="10"/>
      <c r="H454" s="10"/>
      <c r="I454" s="38">
        <f t="shared" si="170"/>
        <v>0</v>
      </c>
      <c r="J454" s="10"/>
      <c r="K454" s="10"/>
      <c r="L454" s="10">
        <v>500</v>
      </c>
      <c r="M454" s="38">
        <f t="shared" si="171"/>
        <v>500</v>
      </c>
      <c r="N454" s="10"/>
      <c r="O454" s="10">
        <v>500</v>
      </c>
      <c r="P454" s="10"/>
      <c r="Q454" s="38">
        <f t="shared" si="183"/>
        <v>500</v>
      </c>
      <c r="R454" s="38">
        <f t="shared" si="168"/>
        <v>1000</v>
      </c>
    </row>
    <row r="455" spans="1:20" ht="15.75" hidden="1" customHeight="1" x14ac:dyDescent="0.3">
      <c r="A455" s="410" t="s">
        <v>3073</v>
      </c>
      <c r="B455" s="10"/>
      <c r="C455" s="10"/>
      <c r="D455" s="10"/>
      <c r="E455" s="38">
        <f t="shared" si="169"/>
        <v>0</v>
      </c>
      <c r="F455" s="10"/>
      <c r="G455" s="10"/>
      <c r="H455" s="10"/>
      <c r="I455" s="38">
        <f t="shared" si="170"/>
        <v>0</v>
      </c>
      <c r="J455" s="10"/>
      <c r="K455" s="10"/>
      <c r="L455" s="10"/>
      <c r="M455" s="38">
        <f t="shared" si="171"/>
        <v>0</v>
      </c>
      <c r="N455" s="10"/>
      <c r="O455" s="10"/>
      <c r="P455" s="10"/>
      <c r="Q455" s="38">
        <f>SUM(N455:P455)</f>
        <v>0</v>
      </c>
      <c r="R455" s="38">
        <f t="shared" si="168"/>
        <v>0</v>
      </c>
    </row>
    <row r="456" spans="1:20" ht="15.75" hidden="1" customHeight="1" x14ac:dyDescent="0.3">
      <c r="A456" s="410" t="s">
        <v>3061</v>
      </c>
      <c r="B456" s="10"/>
      <c r="C456" s="10"/>
      <c r="D456" s="10"/>
      <c r="E456" s="38">
        <f t="shared" si="169"/>
        <v>0</v>
      </c>
      <c r="F456" s="10"/>
      <c r="G456" s="10"/>
      <c r="H456" s="10"/>
      <c r="I456" s="38">
        <f t="shared" si="170"/>
        <v>0</v>
      </c>
      <c r="J456" s="10"/>
      <c r="K456" s="10"/>
      <c r="L456" s="10"/>
      <c r="M456" s="38">
        <f t="shared" si="171"/>
        <v>0</v>
      </c>
      <c r="N456" s="10"/>
      <c r="O456" s="10"/>
      <c r="P456" s="10"/>
      <c r="Q456" s="38">
        <f t="shared" si="172"/>
        <v>0</v>
      </c>
      <c r="R456" s="38">
        <f t="shared" si="168"/>
        <v>0</v>
      </c>
    </row>
    <row r="457" spans="1:20" ht="15.75" hidden="1" customHeight="1" x14ac:dyDescent="0.3">
      <c r="A457" s="410" t="s">
        <v>3395</v>
      </c>
      <c r="B457" s="10"/>
      <c r="C457" s="10"/>
      <c r="D457" s="10"/>
      <c r="E457" s="38">
        <f t="shared" si="169"/>
        <v>0</v>
      </c>
      <c r="F457" s="10"/>
      <c r="G457" s="10"/>
      <c r="H457" s="10"/>
      <c r="I457" s="38">
        <f t="shared" si="170"/>
        <v>0</v>
      </c>
      <c r="J457" s="10">
        <v>2000</v>
      </c>
      <c r="K457" s="10"/>
      <c r="L457" s="10"/>
      <c r="M457" s="38">
        <f t="shared" si="171"/>
        <v>2000</v>
      </c>
      <c r="N457" s="10"/>
      <c r="O457" s="10"/>
      <c r="P457" s="10"/>
      <c r="Q457" s="38">
        <f t="shared" si="172"/>
        <v>0</v>
      </c>
      <c r="R457" s="38">
        <f t="shared" si="168"/>
        <v>2000</v>
      </c>
    </row>
    <row r="458" spans="1:20" ht="15.75" hidden="1" customHeight="1" x14ac:dyDescent="0.3">
      <c r="A458" s="410" t="s">
        <v>3391</v>
      </c>
      <c r="B458" s="10"/>
      <c r="C458" s="10"/>
      <c r="D458" s="10"/>
      <c r="E458" s="38">
        <f t="shared" si="169"/>
        <v>0</v>
      </c>
      <c r="F458" s="10">
        <v>2500</v>
      </c>
      <c r="G458" s="10"/>
      <c r="H458" s="10"/>
      <c r="I458" s="38">
        <f t="shared" si="170"/>
        <v>2500</v>
      </c>
      <c r="J458" s="10"/>
      <c r="K458" s="10"/>
      <c r="L458" s="10"/>
      <c r="M458" s="38">
        <f t="shared" si="171"/>
        <v>0</v>
      </c>
      <c r="N458" s="10"/>
      <c r="O458" s="10"/>
      <c r="P458" s="10"/>
      <c r="Q458" s="38">
        <f t="shared" ref="Q458" si="184">SUM(N458:P458)</f>
        <v>0</v>
      </c>
      <c r="R458" s="38">
        <f t="shared" si="168"/>
        <v>2500</v>
      </c>
    </row>
    <row r="459" spans="1:20" ht="15.75" hidden="1" customHeight="1" x14ac:dyDescent="0.3">
      <c r="A459" s="410" t="s">
        <v>3229</v>
      </c>
      <c r="B459" s="10"/>
      <c r="C459" s="10"/>
      <c r="D459" s="10"/>
      <c r="E459" s="38">
        <f t="shared" si="169"/>
        <v>0</v>
      </c>
      <c r="F459" s="10"/>
      <c r="G459" s="10"/>
      <c r="H459" s="10"/>
      <c r="I459" s="38">
        <f t="shared" si="170"/>
        <v>0</v>
      </c>
      <c r="J459" s="10"/>
      <c r="K459" s="10"/>
      <c r="L459" s="10"/>
      <c r="M459" s="38">
        <f t="shared" si="171"/>
        <v>0</v>
      </c>
      <c r="N459" s="10"/>
      <c r="O459" s="10"/>
      <c r="P459" s="10"/>
      <c r="Q459" s="38">
        <f t="shared" ref="Q459" si="185">SUM(N459:P459)</f>
        <v>0</v>
      </c>
      <c r="R459" s="38">
        <f t="shared" si="168"/>
        <v>0</v>
      </c>
      <c r="T459" t="s">
        <v>2780</v>
      </c>
    </row>
    <row r="460" spans="1:20" ht="15.75" hidden="1" customHeight="1" x14ac:dyDescent="0.3">
      <c r="A460" s="410" t="s">
        <v>3042</v>
      </c>
      <c r="B460" s="10"/>
      <c r="C460" s="10"/>
      <c r="D460" s="10"/>
      <c r="E460" s="38">
        <f t="shared" si="169"/>
        <v>0</v>
      </c>
      <c r="F460" s="10"/>
      <c r="G460" s="10"/>
      <c r="H460" s="10"/>
      <c r="I460" s="38">
        <f t="shared" si="170"/>
        <v>0</v>
      </c>
      <c r="J460" s="10"/>
      <c r="K460" s="10"/>
      <c r="L460" s="10"/>
      <c r="M460" s="38">
        <f t="shared" si="171"/>
        <v>0</v>
      </c>
      <c r="N460" s="10"/>
      <c r="O460" s="10"/>
      <c r="P460" s="10"/>
      <c r="Q460" s="38">
        <f t="shared" si="172"/>
        <v>0</v>
      </c>
      <c r="R460" s="38">
        <f t="shared" si="168"/>
        <v>0</v>
      </c>
      <c r="T460" t="s">
        <v>2780</v>
      </c>
    </row>
    <row r="461" spans="1:20" ht="15.75" hidden="1" customHeight="1" x14ac:dyDescent="0.3">
      <c r="A461" s="410" t="s">
        <v>2941</v>
      </c>
      <c r="B461" s="10"/>
      <c r="C461" s="10"/>
      <c r="D461" s="10"/>
      <c r="E461" s="38">
        <f t="shared" si="169"/>
        <v>0</v>
      </c>
      <c r="F461" s="10"/>
      <c r="G461" s="10">
        <v>62</v>
      </c>
      <c r="H461" s="10">
        <v>2210</v>
      </c>
      <c r="I461" s="38">
        <f t="shared" si="170"/>
        <v>2272</v>
      </c>
      <c r="J461" s="10">
        <v>1816</v>
      </c>
      <c r="K461" s="10"/>
      <c r="L461" s="10"/>
      <c r="M461" s="38">
        <f t="shared" si="171"/>
        <v>1816</v>
      </c>
      <c r="N461" s="10"/>
      <c r="O461" s="10"/>
      <c r="P461" s="10"/>
      <c r="Q461" s="38">
        <f t="shared" si="172"/>
        <v>0</v>
      </c>
      <c r="R461" s="38">
        <f t="shared" si="168"/>
        <v>4088</v>
      </c>
      <c r="T461" t="s">
        <v>2780</v>
      </c>
    </row>
    <row r="462" spans="1:20" ht="15.75" hidden="1" customHeight="1" x14ac:dyDescent="0.3">
      <c r="A462" s="410" t="s">
        <v>2711</v>
      </c>
      <c r="B462" s="10"/>
      <c r="C462" s="10"/>
      <c r="D462" s="10"/>
      <c r="E462" s="38">
        <f t="shared" si="169"/>
        <v>0</v>
      </c>
      <c r="F462" s="10"/>
      <c r="G462" s="10"/>
      <c r="H462" s="10"/>
      <c r="I462" s="38">
        <f t="shared" si="170"/>
        <v>0</v>
      </c>
      <c r="J462" s="10"/>
      <c r="K462" s="10"/>
      <c r="L462" s="10"/>
      <c r="M462" s="38">
        <f t="shared" si="171"/>
        <v>0</v>
      </c>
      <c r="N462" s="10"/>
      <c r="O462" s="10"/>
      <c r="P462" s="10"/>
      <c r="Q462" s="38">
        <f t="shared" si="172"/>
        <v>0</v>
      </c>
      <c r="R462" s="38">
        <f t="shared" si="168"/>
        <v>0</v>
      </c>
      <c r="T462" t="s">
        <v>1358</v>
      </c>
    </row>
    <row r="463" spans="1:20" ht="15.75" hidden="1" customHeight="1" x14ac:dyDescent="0.3">
      <c r="A463" s="311" t="s">
        <v>1097</v>
      </c>
      <c r="B463" s="10"/>
      <c r="C463" s="10">
        <v>1153</v>
      </c>
      <c r="D463" s="10">
        <v>452</v>
      </c>
      <c r="E463" s="38">
        <f t="shared" si="169"/>
        <v>1605</v>
      </c>
      <c r="F463" s="10"/>
      <c r="G463" s="10"/>
      <c r="H463" s="10"/>
      <c r="I463" s="38">
        <f t="shared" si="170"/>
        <v>0</v>
      </c>
      <c r="J463" s="10"/>
      <c r="K463" s="10"/>
      <c r="L463" s="10"/>
      <c r="M463" s="38">
        <f t="shared" si="171"/>
        <v>0</v>
      </c>
      <c r="N463" s="10"/>
      <c r="O463" s="10"/>
      <c r="P463" s="10"/>
      <c r="Q463" s="38">
        <f t="shared" si="172"/>
        <v>0</v>
      </c>
      <c r="R463" s="38">
        <f t="shared" si="168"/>
        <v>1605</v>
      </c>
    </row>
    <row r="464" spans="1:20" ht="15.75" hidden="1" customHeight="1" x14ac:dyDescent="0.3">
      <c r="A464" s="410" t="s">
        <v>3397</v>
      </c>
      <c r="B464" s="10"/>
      <c r="C464" s="10"/>
      <c r="D464" s="10"/>
      <c r="E464" s="38">
        <f t="shared" si="169"/>
        <v>0</v>
      </c>
      <c r="F464" s="10"/>
      <c r="G464" s="10">
        <v>1000</v>
      </c>
      <c r="H464" s="10"/>
      <c r="I464" s="38">
        <f t="shared" si="170"/>
        <v>1000</v>
      </c>
      <c r="J464" s="10"/>
      <c r="K464" s="10"/>
      <c r="L464" s="10"/>
      <c r="M464" s="38">
        <f t="shared" si="171"/>
        <v>0</v>
      </c>
      <c r="N464" s="10"/>
      <c r="O464" s="10"/>
      <c r="P464" s="10"/>
      <c r="Q464" s="38">
        <f t="shared" si="172"/>
        <v>0</v>
      </c>
      <c r="R464" s="38">
        <f t="shared" si="168"/>
        <v>1000</v>
      </c>
      <c r="T464" t="s">
        <v>1358</v>
      </c>
    </row>
    <row r="465" spans="1:21" ht="15.75" hidden="1" customHeight="1" x14ac:dyDescent="0.3">
      <c r="A465" s="410" t="s">
        <v>3296</v>
      </c>
      <c r="B465" s="10"/>
      <c r="C465" s="10"/>
      <c r="D465" s="10"/>
      <c r="E465" s="38">
        <f t="shared" si="169"/>
        <v>0</v>
      </c>
      <c r="F465" s="10"/>
      <c r="G465" s="10"/>
      <c r="H465" s="10"/>
      <c r="I465" s="38">
        <f t="shared" si="170"/>
        <v>0</v>
      </c>
      <c r="J465" s="10"/>
      <c r="K465" s="10"/>
      <c r="L465" s="10"/>
      <c r="M465" s="38">
        <f t="shared" si="171"/>
        <v>0</v>
      </c>
      <c r="N465" s="10"/>
      <c r="O465" s="10"/>
      <c r="P465" s="10"/>
      <c r="Q465" s="38">
        <f t="shared" si="172"/>
        <v>0</v>
      </c>
      <c r="R465" s="38">
        <f t="shared" si="168"/>
        <v>0</v>
      </c>
      <c r="T465" t="s">
        <v>2780</v>
      </c>
    </row>
    <row r="466" spans="1:21" ht="15.75" hidden="1" customHeight="1" x14ac:dyDescent="0.3">
      <c r="A466" s="410" t="s">
        <v>3297</v>
      </c>
      <c r="B466" s="10"/>
      <c r="C466" s="10"/>
      <c r="D466" s="10"/>
      <c r="E466" s="38">
        <f t="shared" si="169"/>
        <v>0</v>
      </c>
      <c r="F466" s="10"/>
      <c r="G466" s="10"/>
      <c r="H466" s="10">
        <v>1500</v>
      </c>
      <c r="I466" s="38">
        <f t="shared" si="170"/>
        <v>1500</v>
      </c>
      <c r="J466" s="10">
        <v>1500</v>
      </c>
      <c r="K466" s="10"/>
      <c r="L466" s="10"/>
      <c r="M466" s="38">
        <f t="shared" si="171"/>
        <v>1500</v>
      </c>
      <c r="N466" s="10"/>
      <c r="O466" s="10"/>
      <c r="P466" s="10"/>
      <c r="Q466" s="38">
        <f t="shared" si="172"/>
        <v>0</v>
      </c>
      <c r="R466" s="38">
        <f>+E466+I466+M466+Q466</f>
        <v>3000</v>
      </c>
    </row>
    <row r="467" spans="1:21" ht="15.75" hidden="1" customHeight="1" x14ac:dyDescent="0.3">
      <c r="A467" s="410" t="s">
        <v>3298</v>
      </c>
      <c r="B467" s="10"/>
      <c r="C467" s="10"/>
      <c r="D467" s="10"/>
      <c r="E467" s="38">
        <f t="shared" si="169"/>
        <v>0</v>
      </c>
      <c r="F467" s="10"/>
      <c r="G467" s="10"/>
      <c r="H467" s="10"/>
      <c r="I467" s="38">
        <f t="shared" si="170"/>
        <v>0</v>
      </c>
      <c r="J467" s="10"/>
      <c r="K467" s="10"/>
      <c r="L467" s="10"/>
      <c r="M467" s="38">
        <f t="shared" si="171"/>
        <v>0</v>
      </c>
      <c r="N467" s="10"/>
      <c r="O467" s="10"/>
      <c r="P467" s="10"/>
      <c r="Q467" s="38">
        <f t="shared" si="172"/>
        <v>0</v>
      </c>
      <c r="R467" s="38">
        <f>+E467+I467+M467+Q467</f>
        <v>0</v>
      </c>
      <c r="T467" t="s">
        <v>1358</v>
      </c>
    </row>
    <row r="468" spans="1:21" ht="15.75" hidden="1" customHeight="1" x14ac:dyDescent="0.3">
      <c r="A468" s="410" t="s">
        <v>3299</v>
      </c>
      <c r="B468" s="10"/>
      <c r="C468" s="10">
        <v>1029</v>
      </c>
      <c r="D468" s="10">
        <v>1713</v>
      </c>
      <c r="E468" s="38">
        <f t="shared" si="169"/>
        <v>2742</v>
      </c>
      <c r="F468" s="10">
        <v>1841</v>
      </c>
      <c r="G468" s="10">
        <v>1841</v>
      </c>
      <c r="H468" s="10"/>
      <c r="I468" s="38">
        <f t="shared" si="170"/>
        <v>3682</v>
      </c>
      <c r="J468" s="10"/>
      <c r="K468" s="10"/>
      <c r="L468" s="10"/>
      <c r="M468" s="38">
        <f t="shared" si="171"/>
        <v>0</v>
      </c>
      <c r="N468" s="10"/>
      <c r="O468" s="10"/>
      <c r="P468" s="10"/>
      <c r="Q468" s="38">
        <f t="shared" si="172"/>
        <v>0</v>
      </c>
      <c r="R468" s="38">
        <f t="shared" si="168"/>
        <v>6424</v>
      </c>
      <c r="T468" t="s">
        <v>2780</v>
      </c>
    </row>
    <row r="469" spans="1:21" ht="15.75" hidden="1" customHeight="1" x14ac:dyDescent="0.3">
      <c r="A469" s="410" t="s">
        <v>3300</v>
      </c>
      <c r="B469" s="10"/>
      <c r="C469" s="10"/>
      <c r="D469" s="10"/>
      <c r="E469" s="38">
        <f t="shared" si="169"/>
        <v>0</v>
      </c>
      <c r="F469" s="10"/>
      <c r="G469" s="10"/>
      <c r="H469" s="10"/>
      <c r="I469" s="38">
        <f t="shared" si="170"/>
        <v>0</v>
      </c>
      <c r="J469" s="10"/>
      <c r="K469" s="10"/>
      <c r="L469" s="10"/>
      <c r="M469" s="38">
        <f t="shared" si="171"/>
        <v>0</v>
      </c>
      <c r="N469" s="10"/>
      <c r="O469" s="10"/>
      <c r="P469" s="10"/>
      <c r="Q469" s="38">
        <f t="shared" si="172"/>
        <v>0</v>
      </c>
      <c r="R469" s="38">
        <f t="shared" si="168"/>
        <v>0</v>
      </c>
      <c r="T469" t="s">
        <v>1358</v>
      </c>
    </row>
    <row r="470" spans="1:21" ht="15.75" hidden="1" customHeight="1" x14ac:dyDescent="0.3">
      <c r="A470" s="410" t="s">
        <v>3406</v>
      </c>
      <c r="B470" s="10"/>
      <c r="C470" s="10">
        <v>19</v>
      </c>
      <c r="D470" s="10"/>
      <c r="E470" s="38">
        <f t="shared" ref="E470:E471" si="186">SUM(B470:D470)</f>
        <v>19</v>
      </c>
      <c r="F470" s="10"/>
      <c r="G470" s="10"/>
      <c r="H470" s="10"/>
      <c r="I470" s="38">
        <f t="shared" ref="I470:I472" si="187">SUM(F470:H470)</f>
        <v>0</v>
      </c>
      <c r="J470" s="10"/>
      <c r="K470" s="10"/>
      <c r="L470" s="10"/>
      <c r="M470" s="38">
        <f t="shared" ref="M470:M472" si="188">SUM(J470:L470)</f>
        <v>0</v>
      </c>
      <c r="N470" s="10"/>
      <c r="O470" s="10"/>
      <c r="P470" s="10"/>
      <c r="Q470" s="38">
        <f t="shared" ref="Q470:Q472" si="189">SUM(N470:P470)</f>
        <v>0</v>
      </c>
      <c r="R470" s="38">
        <f t="shared" si="168"/>
        <v>19</v>
      </c>
    </row>
    <row r="471" spans="1:21" ht="15.75" hidden="1" customHeight="1" x14ac:dyDescent="0.3">
      <c r="A471" s="410" t="s">
        <v>3407</v>
      </c>
      <c r="B471" s="10"/>
      <c r="C471" s="10">
        <v>15</v>
      </c>
      <c r="D471" s="10"/>
      <c r="E471" s="38">
        <f t="shared" si="186"/>
        <v>15</v>
      </c>
      <c r="F471" s="10"/>
      <c r="G471" s="10"/>
      <c r="H471" s="10"/>
      <c r="I471" s="38">
        <f t="shared" si="187"/>
        <v>0</v>
      </c>
      <c r="J471" s="10"/>
      <c r="K471" s="10"/>
      <c r="L471" s="10"/>
      <c r="M471" s="38">
        <f t="shared" si="188"/>
        <v>0</v>
      </c>
      <c r="N471" s="10"/>
      <c r="O471" s="10"/>
      <c r="P471" s="10"/>
      <c r="Q471" s="38">
        <f t="shared" si="189"/>
        <v>0</v>
      </c>
      <c r="R471" s="38">
        <f>+E471+I471+M471+Q471</f>
        <v>15</v>
      </c>
    </row>
    <row r="472" spans="1:21" ht="15.75" hidden="1" customHeight="1" x14ac:dyDescent="0.3">
      <c r="A472" s="410" t="s">
        <v>3408</v>
      </c>
      <c r="B472" s="10"/>
      <c r="C472" s="10">
        <v>30</v>
      </c>
      <c r="D472" s="10"/>
      <c r="E472" s="38">
        <f>SUM(B472:D472)</f>
        <v>30</v>
      </c>
      <c r="F472" s="10"/>
      <c r="G472" s="10"/>
      <c r="H472" s="10"/>
      <c r="I472" s="38">
        <f t="shared" si="187"/>
        <v>0</v>
      </c>
      <c r="J472" s="10"/>
      <c r="K472" s="10"/>
      <c r="L472" s="10"/>
      <c r="M472" s="38">
        <f t="shared" si="188"/>
        <v>0</v>
      </c>
      <c r="N472" s="10"/>
      <c r="O472" s="10"/>
      <c r="P472" s="10"/>
      <c r="Q472" s="38">
        <f t="shared" si="189"/>
        <v>0</v>
      </c>
      <c r="R472" s="38">
        <f t="shared" si="168"/>
        <v>30</v>
      </c>
    </row>
    <row r="473" spans="1:21" ht="15.75" hidden="1" customHeight="1" x14ac:dyDescent="0.3">
      <c r="A473" s="410" t="s">
        <v>3292</v>
      </c>
      <c r="B473" s="10"/>
      <c r="C473" s="10"/>
      <c r="D473" s="10">
        <v>2622</v>
      </c>
      <c r="E473" s="38">
        <f t="shared" si="169"/>
        <v>2622</v>
      </c>
      <c r="F473" s="10"/>
      <c r="G473" s="10"/>
      <c r="H473" s="10"/>
      <c r="I473" s="38">
        <f t="shared" si="170"/>
        <v>0</v>
      </c>
      <c r="J473" s="10"/>
      <c r="K473" s="10"/>
      <c r="L473" s="10"/>
      <c r="M473" s="38">
        <f t="shared" si="171"/>
        <v>0</v>
      </c>
      <c r="N473" s="10"/>
      <c r="O473" s="10"/>
      <c r="P473" s="10"/>
      <c r="Q473" s="38">
        <f t="shared" si="172"/>
        <v>0</v>
      </c>
      <c r="R473" s="38">
        <f t="shared" si="168"/>
        <v>2622</v>
      </c>
    </row>
    <row r="474" spans="1:21" ht="15.75" hidden="1" customHeight="1" thickBot="1" x14ac:dyDescent="0.35">
      <c r="A474" s="311" t="s">
        <v>2717</v>
      </c>
      <c r="B474" s="10">
        <v>2000</v>
      </c>
      <c r="C474" s="10">
        <v>2000</v>
      </c>
      <c r="D474" s="10">
        <v>2000</v>
      </c>
      <c r="E474" s="38">
        <f t="shared" si="169"/>
        <v>6000</v>
      </c>
      <c r="F474" s="10">
        <v>2000</v>
      </c>
      <c r="G474" s="10">
        <v>2000</v>
      </c>
      <c r="H474" s="10">
        <v>2000</v>
      </c>
      <c r="I474" s="38">
        <f t="shared" si="170"/>
        <v>6000</v>
      </c>
      <c r="J474" s="10">
        <v>2000</v>
      </c>
      <c r="K474" s="10">
        <v>3000</v>
      </c>
      <c r="L474" s="10">
        <v>2000</v>
      </c>
      <c r="M474" s="38">
        <f t="shared" si="171"/>
        <v>7000</v>
      </c>
      <c r="N474" s="10">
        <v>2000</v>
      </c>
      <c r="O474" s="10">
        <v>2000</v>
      </c>
      <c r="P474" s="10">
        <v>2000</v>
      </c>
      <c r="Q474" s="38">
        <f t="shared" si="172"/>
        <v>6000</v>
      </c>
      <c r="R474" s="38">
        <f t="shared" si="168"/>
        <v>25000</v>
      </c>
    </row>
    <row r="475" spans="1:21" ht="16.5" hidden="1" customHeight="1" thickBot="1" x14ac:dyDescent="0.35">
      <c r="A475" s="277" t="s">
        <v>1220</v>
      </c>
      <c r="B475" s="47">
        <f>SUM(B406:B474)</f>
        <v>21697</v>
      </c>
      <c r="C475" s="42">
        <f>SUM(C406:C474)</f>
        <v>25839</v>
      </c>
      <c r="D475" s="42">
        <f>SUM(D406:D474)</f>
        <v>35324</v>
      </c>
      <c r="E475" s="37">
        <f t="shared" ref="E475" si="190">SUM(B475:D475)</f>
        <v>82860</v>
      </c>
      <c r="F475" s="42">
        <f>SUM(F406:F474)</f>
        <v>36032</v>
      </c>
      <c r="G475" s="42">
        <f>SUM(G406:G474)</f>
        <v>33521</v>
      </c>
      <c r="H475" s="42">
        <f>SUM(H406:H474)</f>
        <v>50756</v>
      </c>
      <c r="I475" s="37">
        <f t="shared" ref="I475" si="191">SUM(F475:H475)</f>
        <v>120309</v>
      </c>
      <c r="J475" s="42">
        <f>SUM(J406:J474)</f>
        <v>38434</v>
      </c>
      <c r="K475" s="42">
        <f>SUM(K406:K474)</f>
        <v>31108</v>
      </c>
      <c r="L475" s="42">
        <f>SUM(L406:L474)</f>
        <v>25599</v>
      </c>
      <c r="M475" s="37">
        <f t="shared" ref="M475" si="192">SUM(J475:L475)</f>
        <v>95141</v>
      </c>
      <c r="N475" s="42">
        <f>SUM(N406:N474)</f>
        <v>20511</v>
      </c>
      <c r="O475" s="42">
        <f>SUM(O406:O474)</f>
        <v>17677</v>
      </c>
      <c r="P475" s="42">
        <f>SUM(P406:P474)</f>
        <v>10392</v>
      </c>
      <c r="Q475" s="37">
        <f t="shared" si="172"/>
        <v>48580</v>
      </c>
      <c r="R475" s="37">
        <f>+E475+I475+M475+Q475</f>
        <v>346890</v>
      </c>
      <c r="T475" s="230"/>
    </row>
    <row r="476" spans="1:21" ht="15.75" hidden="1" customHeight="1" x14ac:dyDescent="0.3">
      <c r="A476" s="234" t="s">
        <v>1712</v>
      </c>
      <c r="B476" s="10"/>
      <c r="C476" s="10"/>
      <c r="D476" s="10"/>
      <c r="E476" s="38" t="s">
        <v>852</v>
      </c>
      <c r="F476" s="10"/>
      <c r="G476" s="10"/>
      <c r="H476" s="10"/>
      <c r="I476" s="38" t="s">
        <v>852</v>
      </c>
      <c r="J476" s="10"/>
      <c r="K476" s="10"/>
      <c r="L476" s="10"/>
      <c r="M476" s="38" t="s">
        <v>852</v>
      </c>
      <c r="N476" s="10"/>
      <c r="O476" s="10"/>
      <c r="P476" s="10"/>
      <c r="Q476" s="38" t="s">
        <v>852</v>
      </c>
      <c r="R476" s="38" t="s">
        <v>852</v>
      </c>
    </row>
    <row r="477" spans="1:21" ht="15.75" hidden="1" customHeight="1" x14ac:dyDescent="0.3">
      <c r="A477" s="234" t="s">
        <v>1021</v>
      </c>
      <c r="B477" s="10"/>
      <c r="C477" s="10"/>
      <c r="D477" s="10"/>
      <c r="E477" s="38" t="s">
        <v>852</v>
      </c>
      <c r="F477" s="10"/>
      <c r="G477" s="10"/>
      <c r="H477" s="10"/>
      <c r="I477" s="38" t="s">
        <v>852</v>
      </c>
      <c r="J477" s="10"/>
      <c r="K477" s="10"/>
      <c r="L477" s="10"/>
      <c r="M477" s="38" t="s">
        <v>852</v>
      </c>
      <c r="N477" s="10"/>
      <c r="O477" s="10"/>
      <c r="P477" s="10"/>
      <c r="Q477" s="38" t="s">
        <v>852</v>
      </c>
      <c r="R477" s="38" t="s">
        <v>852</v>
      </c>
    </row>
    <row r="478" spans="1:21" ht="15.75" hidden="1" customHeight="1" x14ac:dyDescent="0.3">
      <c r="A478" s="410" t="s">
        <v>3260</v>
      </c>
      <c r="B478" s="10"/>
      <c r="C478" s="10"/>
      <c r="D478" s="10"/>
      <c r="E478" s="38">
        <f>SUM(B478:D478)</f>
        <v>0</v>
      </c>
      <c r="F478" s="10"/>
      <c r="G478" s="10"/>
      <c r="H478" s="10"/>
      <c r="I478" s="38">
        <f>SUM(F478:H478)</f>
        <v>0</v>
      </c>
      <c r="J478" s="10"/>
      <c r="K478" s="10"/>
      <c r="L478" s="10"/>
      <c r="M478" s="38">
        <f>SUM(J478:L478)</f>
        <v>0</v>
      </c>
      <c r="N478" s="10"/>
      <c r="O478" s="10"/>
      <c r="P478" s="10"/>
      <c r="Q478" s="38">
        <f>SUM(N478:P478)</f>
        <v>0</v>
      </c>
      <c r="R478" s="38">
        <f>+E478+I478+M478+Q478</f>
        <v>0</v>
      </c>
      <c r="U478" s="707"/>
    </row>
    <row r="479" spans="1:21" ht="15.75" hidden="1" customHeight="1" x14ac:dyDescent="0.3">
      <c r="A479" s="234" t="s">
        <v>557</v>
      </c>
      <c r="B479" s="10"/>
      <c r="C479" s="10"/>
      <c r="D479" s="10"/>
      <c r="E479" s="38" t="s">
        <v>852</v>
      </c>
      <c r="F479" s="10"/>
      <c r="G479" s="10"/>
      <c r="H479" s="10"/>
      <c r="I479" s="38" t="s">
        <v>852</v>
      </c>
      <c r="J479" s="10"/>
      <c r="K479" s="10"/>
      <c r="L479" s="10"/>
      <c r="M479" s="38" t="s">
        <v>852</v>
      </c>
      <c r="N479" s="10"/>
      <c r="O479" s="10"/>
      <c r="P479" s="10"/>
      <c r="Q479" s="38" t="s">
        <v>852</v>
      </c>
      <c r="R479" s="38" t="s">
        <v>852</v>
      </c>
    </row>
    <row r="480" spans="1:21" ht="15.75" hidden="1" customHeight="1" x14ac:dyDescent="0.3">
      <c r="A480" s="410" t="s">
        <v>2566</v>
      </c>
      <c r="B480" s="10"/>
      <c r="C480" s="10"/>
      <c r="D480" s="10"/>
      <c r="E480" s="38">
        <f>SUM(B480:D480)</f>
        <v>0</v>
      </c>
      <c r="F480" s="10"/>
      <c r="G480" s="10"/>
      <c r="H480" s="10"/>
      <c r="I480" s="38">
        <f>SUM(F480:H480)</f>
        <v>0</v>
      </c>
      <c r="J480" s="10"/>
      <c r="K480" s="10"/>
      <c r="L480" s="10"/>
      <c r="M480" s="38">
        <f>SUM(J480:L480)</f>
        <v>0</v>
      </c>
      <c r="N480" s="10"/>
      <c r="O480" s="10"/>
      <c r="P480" s="10"/>
      <c r="Q480" s="38">
        <f>SUM(N480:P480)</f>
        <v>0</v>
      </c>
      <c r="R480" s="38">
        <f>+E480+I480+M480+Q480</f>
        <v>0</v>
      </c>
    </row>
    <row r="481" spans="1:21" ht="15.75" hidden="1" customHeight="1" x14ac:dyDescent="0.3">
      <c r="A481" s="410" t="s">
        <v>2657</v>
      </c>
      <c r="B481" s="10"/>
      <c r="C481" s="10"/>
      <c r="D481" s="10"/>
      <c r="E481" s="38">
        <f>SUM(B481:D481)</f>
        <v>0</v>
      </c>
      <c r="F481" s="10"/>
      <c r="G481" s="10"/>
      <c r="H481" s="10"/>
      <c r="I481" s="38">
        <f>SUM(F481:H481)</f>
        <v>0</v>
      </c>
      <c r="J481" s="10"/>
      <c r="K481" s="10"/>
      <c r="L481" s="10"/>
      <c r="M481" s="38">
        <f>SUM(J481:L481)</f>
        <v>0</v>
      </c>
      <c r="N481" s="10"/>
      <c r="O481" s="10"/>
      <c r="P481" s="10"/>
      <c r="Q481" s="38">
        <f>SUM(N481:P481)</f>
        <v>0</v>
      </c>
      <c r="R481" s="38">
        <f>+E481+I481+M481+Q481</f>
        <v>0</v>
      </c>
    </row>
    <row r="482" spans="1:21" ht="15.75" hidden="1" customHeight="1" x14ac:dyDescent="0.3">
      <c r="A482" s="234" t="s">
        <v>1022</v>
      </c>
      <c r="B482" s="10"/>
      <c r="C482" s="10"/>
      <c r="D482" s="10"/>
      <c r="E482" s="38" t="s">
        <v>852</v>
      </c>
      <c r="F482" s="10"/>
      <c r="G482" s="10"/>
      <c r="H482" s="10"/>
      <c r="I482" s="38" t="s">
        <v>852</v>
      </c>
      <c r="J482" s="10"/>
      <c r="K482" s="10"/>
      <c r="L482" s="10"/>
      <c r="M482" s="38" t="s">
        <v>852</v>
      </c>
      <c r="N482" s="10"/>
      <c r="O482" s="10"/>
      <c r="P482" s="10"/>
      <c r="Q482" s="38" t="s">
        <v>852</v>
      </c>
      <c r="R482" s="38" t="s">
        <v>852</v>
      </c>
    </row>
    <row r="483" spans="1:21" ht="15.75" hidden="1" customHeight="1" x14ac:dyDescent="0.3">
      <c r="A483" s="311" t="s">
        <v>2486</v>
      </c>
      <c r="B483" s="10"/>
      <c r="C483" s="10"/>
      <c r="D483" s="10"/>
      <c r="E483" s="38">
        <f t="shared" ref="E483:E488" si="193">SUM(B483:D483)</f>
        <v>0</v>
      </c>
      <c r="F483" s="10"/>
      <c r="G483" s="10"/>
      <c r="H483" s="10"/>
      <c r="I483" s="38">
        <f t="shared" ref="I483:I488" si="194">SUM(F483:H483)</f>
        <v>0</v>
      </c>
      <c r="J483" s="10"/>
      <c r="K483" s="10"/>
      <c r="L483" s="10"/>
      <c r="M483" s="38">
        <f t="shared" ref="M483:M488" si="195">SUM(J483:L483)</f>
        <v>0</v>
      </c>
      <c r="N483" s="10"/>
      <c r="O483" s="10"/>
      <c r="P483" s="10"/>
      <c r="Q483" s="38">
        <f t="shared" ref="Q483:Q488" si="196">SUM(N483:P483)</f>
        <v>0</v>
      </c>
      <c r="R483" s="38">
        <f t="shared" ref="R483:R488" si="197">+E483+I483+M483+Q483</f>
        <v>0</v>
      </c>
      <c r="T483" t="s">
        <v>2178</v>
      </c>
    </row>
    <row r="484" spans="1:21" ht="15.75" hidden="1" customHeight="1" x14ac:dyDescent="0.3">
      <c r="A484" s="311" t="s">
        <v>1374</v>
      </c>
      <c r="B484" s="10"/>
      <c r="C484" s="10"/>
      <c r="D484" s="10"/>
      <c r="E484" s="38">
        <f t="shared" ref="E484" si="198">SUM(B484:D484)</f>
        <v>0</v>
      </c>
      <c r="F484" s="10"/>
      <c r="G484" s="10"/>
      <c r="H484" s="10"/>
      <c r="I484" s="38">
        <f t="shared" si="194"/>
        <v>0</v>
      </c>
      <c r="J484" s="10"/>
      <c r="K484" s="10"/>
      <c r="L484" s="10"/>
      <c r="M484" s="38">
        <f t="shared" si="195"/>
        <v>0</v>
      </c>
      <c r="N484" s="10"/>
      <c r="O484" s="10"/>
      <c r="P484" s="10"/>
      <c r="Q484" s="38">
        <f t="shared" si="196"/>
        <v>0</v>
      </c>
      <c r="R484" s="38">
        <f t="shared" si="197"/>
        <v>0</v>
      </c>
      <c r="T484" t="s">
        <v>2178</v>
      </c>
    </row>
    <row r="485" spans="1:21" ht="15.75" hidden="1" customHeight="1" x14ac:dyDescent="0.3">
      <c r="A485" s="410" t="s">
        <v>3261</v>
      </c>
      <c r="B485" s="10"/>
      <c r="C485" s="10"/>
      <c r="D485" s="10"/>
      <c r="E485" s="38">
        <f t="shared" si="193"/>
        <v>0</v>
      </c>
      <c r="F485" s="10"/>
      <c r="G485" s="10"/>
      <c r="H485" s="10"/>
      <c r="I485" s="38">
        <f t="shared" si="194"/>
        <v>0</v>
      </c>
      <c r="J485" s="10"/>
      <c r="K485" s="10"/>
      <c r="L485" s="10"/>
      <c r="M485" s="38">
        <f t="shared" si="195"/>
        <v>0</v>
      </c>
      <c r="N485" s="10"/>
      <c r="O485" s="10"/>
      <c r="P485" s="10"/>
      <c r="Q485" s="38">
        <f t="shared" si="196"/>
        <v>0</v>
      </c>
      <c r="R485" s="38">
        <f t="shared" si="197"/>
        <v>0</v>
      </c>
      <c r="T485" t="s">
        <v>2175</v>
      </c>
    </row>
    <row r="486" spans="1:21" ht="15.75" hidden="1" customHeight="1" x14ac:dyDescent="0.3">
      <c r="A486" s="410" t="s">
        <v>3262</v>
      </c>
      <c r="B486" s="10"/>
      <c r="C486" s="10"/>
      <c r="D486" s="10"/>
      <c r="E486" s="38">
        <f t="shared" si="193"/>
        <v>0</v>
      </c>
      <c r="F486" s="10"/>
      <c r="G486" s="10"/>
      <c r="H486" s="10"/>
      <c r="I486" s="38">
        <f t="shared" si="194"/>
        <v>0</v>
      </c>
      <c r="J486" s="10"/>
      <c r="K486" s="10"/>
      <c r="L486" s="10"/>
      <c r="M486" s="38">
        <f t="shared" si="195"/>
        <v>0</v>
      </c>
      <c r="N486" s="10"/>
      <c r="O486" s="10"/>
      <c r="P486" s="10"/>
      <c r="Q486" s="38">
        <f t="shared" si="196"/>
        <v>0</v>
      </c>
      <c r="R486" s="38">
        <f t="shared" si="197"/>
        <v>0</v>
      </c>
    </row>
    <row r="487" spans="1:21" ht="15.75" hidden="1" customHeight="1" x14ac:dyDescent="0.3">
      <c r="A487" s="311" t="s">
        <v>1376</v>
      </c>
      <c r="B487" s="10"/>
      <c r="C487" s="10"/>
      <c r="D487" s="10"/>
      <c r="E487" s="38">
        <f t="shared" si="193"/>
        <v>0</v>
      </c>
      <c r="F487" s="10"/>
      <c r="G487" s="10"/>
      <c r="H487" s="10"/>
      <c r="I487" s="38">
        <f t="shared" si="194"/>
        <v>0</v>
      </c>
      <c r="J487" s="10"/>
      <c r="K487" s="10"/>
      <c r="L487" s="10"/>
      <c r="M487" s="38">
        <f t="shared" si="195"/>
        <v>0</v>
      </c>
      <c r="N487" s="10"/>
      <c r="O487" s="10"/>
      <c r="P487" s="10"/>
      <c r="Q487" s="38">
        <f t="shared" si="196"/>
        <v>0</v>
      </c>
      <c r="R487" s="38">
        <f t="shared" si="197"/>
        <v>0</v>
      </c>
    </row>
    <row r="488" spans="1:21" ht="15.75" hidden="1" customHeight="1" x14ac:dyDescent="0.3">
      <c r="A488" s="311" t="s">
        <v>1227</v>
      </c>
      <c r="B488" s="10"/>
      <c r="C488" s="10"/>
      <c r="D488" s="10"/>
      <c r="E488" s="38">
        <f t="shared" si="193"/>
        <v>0</v>
      </c>
      <c r="F488" s="10"/>
      <c r="G488" s="10"/>
      <c r="H488" s="10"/>
      <c r="I488" s="38">
        <f t="shared" si="194"/>
        <v>0</v>
      </c>
      <c r="J488" s="10"/>
      <c r="K488" s="10"/>
      <c r="L488" s="10"/>
      <c r="M488" s="38">
        <f t="shared" si="195"/>
        <v>0</v>
      </c>
      <c r="N488" s="10"/>
      <c r="O488" s="10"/>
      <c r="P488" s="10"/>
      <c r="Q488" s="38">
        <f t="shared" si="196"/>
        <v>0</v>
      </c>
      <c r="R488" s="38">
        <f t="shared" si="197"/>
        <v>0</v>
      </c>
      <c r="T488" t="s">
        <v>2178</v>
      </c>
    </row>
    <row r="489" spans="1:21" ht="15.75" hidden="1" customHeight="1" x14ac:dyDescent="0.3">
      <c r="A489" s="234" t="s">
        <v>559</v>
      </c>
      <c r="B489" s="10"/>
      <c r="C489" s="10"/>
      <c r="D489" s="10"/>
      <c r="E489" s="38" t="s">
        <v>852</v>
      </c>
      <c r="F489" s="10"/>
      <c r="G489" s="10"/>
      <c r="H489" s="10"/>
      <c r="I489" s="38" t="s">
        <v>852</v>
      </c>
      <c r="J489" s="10"/>
      <c r="K489" s="10"/>
      <c r="L489" s="10"/>
      <c r="M489" s="38" t="s">
        <v>852</v>
      </c>
      <c r="N489" s="10"/>
      <c r="O489" s="10"/>
      <c r="P489" s="10"/>
      <c r="Q489" s="38" t="s">
        <v>852</v>
      </c>
      <c r="R489" s="38" t="s">
        <v>852</v>
      </c>
    </row>
    <row r="490" spans="1:21" ht="15.75" hidden="1" customHeight="1" x14ac:dyDescent="0.3">
      <c r="A490" s="410" t="s">
        <v>2936</v>
      </c>
      <c r="B490" s="10"/>
      <c r="C490" s="10"/>
      <c r="D490" s="10"/>
      <c r="E490" s="38">
        <f>SUM(B490:D490)</f>
        <v>0</v>
      </c>
      <c r="F490" s="10"/>
      <c r="G490" s="10"/>
      <c r="H490" s="10"/>
      <c r="I490" s="38">
        <f>SUM(F490:H490)</f>
        <v>0</v>
      </c>
      <c r="J490" s="10"/>
      <c r="K490" s="10"/>
      <c r="L490" s="10"/>
      <c r="M490" s="38">
        <f>SUM(J490:L490)</f>
        <v>0</v>
      </c>
      <c r="N490" s="10"/>
      <c r="O490" s="10"/>
      <c r="P490" s="10"/>
      <c r="Q490" s="38">
        <f>SUM(N490:P490)</f>
        <v>0</v>
      </c>
      <c r="R490" s="38">
        <f>+E490+I490+M490+Q490</f>
        <v>0</v>
      </c>
      <c r="T490" t="s">
        <v>2174</v>
      </c>
    </row>
    <row r="491" spans="1:21" ht="15.75" hidden="1" customHeight="1" x14ac:dyDescent="0.3">
      <c r="A491" s="410" t="s">
        <v>2832</v>
      </c>
      <c r="B491" s="10"/>
      <c r="C491" s="10"/>
      <c r="D491" s="10"/>
      <c r="E491" s="38">
        <f>SUM(B491:D491)</f>
        <v>0</v>
      </c>
      <c r="F491" s="10"/>
      <c r="G491" s="10"/>
      <c r="H491" s="10"/>
      <c r="I491" s="38">
        <f>SUM(F491:H491)</f>
        <v>0</v>
      </c>
      <c r="J491" s="10"/>
      <c r="K491" s="10"/>
      <c r="L491" s="10"/>
      <c r="M491" s="38">
        <f>SUM(J491:L491)</f>
        <v>0</v>
      </c>
      <c r="N491" s="10"/>
      <c r="O491" s="10"/>
      <c r="P491" s="10"/>
      <c r="Q491" s="38">
        <f>SUM(N491:P491)</f>
        <v>0</v>
      </c>
      <c r="R491" s="38">
        <f>+E491+I491+M491+Q491</f>
        <v>0</v>
      </c>
      <c r="T491" t="s">
        <v>2174</v>
      </c>
    </row>
    <row r="492" spans="1:21" ht="15.75" hidden="1" customHeight="1" x14ac:dyDescent="0.3">
      <c r="A492" s="410" t="s">
        <v>3225</v>
      </c>
      <c r="B492" s="10"/>
      <c r="C492" s="10"/>
      <c r="D492" s="10"/>
      <c r="E492" s="38">
        <f>SUM(B492:D492)</f>
        <v>0</v>
      </c>
      <c r="F492" s="10"/>
      <c r="G492" s="10"/>
      <c r="H492" s="10"/>
      <c r="I492" s="38">
        <f>SUM(F492:H492)</f>
        <v>0</v>
      </c>
      <c r="J492" s="10"/>
      <c r="K492" s="10"/>
      <c r="L492" s="10"/>
      <c r="M492" s="38">
        <f>SUM(J492:L492)</f>
        <v>0</v>
      </c>
      <c r="N492" s="10"/>
      <c r="O492" s="10"/>
      <c r="P492" s="10"/>
      <c r="Q492" s="38">
        <f>SUM(N492:P492)</f>
        <v>0</v>
      </c>
      <c r="R492" s="38">
        <f>+E492+I492+M492+Q492</f>
        <v>0</v>
      </c>
    </row>
    <row r="493" spans="1:21" ht="15.75" hidden="1" customHeight="1" x14ac:dyDescent="0.3">
      <c r="A493" s="410" t="s">
        <v>2569</v>
      </c>
      <c r="B493" s="10"/>
      <c r="C493" s="10"/>
      <c r="D493" s="10"/>
      <c r="E493" s="38">
        <f>SUM(B493:D493)</f>
        <v>0</v>
      </c>
      <c r="F493" s="10"/>
      <c r="G493" s="10"/>
      <c r="H493" s="10"/>
      <c r="I493" s="38">
        <f>SUM(F493:H493)</f>
        <v>0</v>
      </c>
      <c r="J493" s="10"/>
      <c r="K493" s="10"/>
      <c r="L493" s="10"/>
      <c r="M493" s="38">
        <f>SUM(J493:L493)</f>
        <v>0</v>
      </c>
      <c r="N493" s="10"/>
      <c r="O493" s="10"/>
      <c r="P493" s="10"/>
      <c r="Q493" s="38">
        <f>SUM(N493:P493)</f>
        <v>0</v>
      </c>
      <c r="R493" s="38">
        <f>+E493+I493+M493+Q493</f>
        <v>0</v>
      </c>
    </row>
    <row r="494" spans="1:21" ht="15.75" hidden="1" customHeight="1" x14ac:dyDescent="0.3">
      <c r="A494" s="410" t="s">
        <v>2570</v>
      </c>
      <c r="B494" s="10"/>
      <c r="C494" s="10"/>
      <c r="D494" s="10"/>
      <c r="E494" s="38">
        <f t="shared" ref="E494" si="199">SUM(B494:D494)</f>
        <v>0</v>
      </c>
      <c r="F494" s="10"/>
      <c r="G494" s="10"/>
      <c r="H494" s="10"/>
      <c r="I494" s="38">
        <f t="shared" ref="I494" si="200">SUM(F494:H494)</f>
        <v>0</v>
      </c>
      <c r="J494" s="10"/>
      <c r="K494" s="10"/>
      <c r="L494" s="10"/>
      <c r="M494" s="38">
        <f t="shared" ref="M494" si="201">SUM(J494:L494)</f>
        <v>0</v>
      </c>
      <c r="N494" s="10"/>
      <c r="O494" s="10"/>
      <c r="P494" s="10"/>
      <c r="Q494" s="38">
        <f t="shared" ref="Q494:Q505" si="202">SUM(N494:P494)</f>
        <v>0</v>
      </c>
      <c r="R494" s="38">
        <f t="shared" ref="R494:R505" si="203">+E494+I494+M494+Q494</f>
        <v>0</v>
      </c>
    </row>
    <row r="495" spans="1:21" ht="15.75" hidden="1" customHeight="1" x14ac:dyDescent="0.3">
      <c r="A495" s="410" t="s">
        <v>2571</v>
      </c>
      <c r="B495" s="10"/>
      <c r="C495" s="10"/>
      <c r="D495" s="10"/>
      <c r="E495" s="38">
        <f>SUM(B495:D495)</f>
        <v>0</v>
      </c>
      <c r="F495" s="10"/>
      <c r="G495" s="10"/>
      <c r="H495" s="10"/>
      <c r="I495" s="38">
        <f>SUM(F495:H495)</f>
        <v>0</v>
      </c>
      <c r="J495" s="10"/>
      <c r="K495" s="10"/>
      <c r="L495" s="10"/>
      <c r="M495" s="38">
        <f>SUM(J495:L495)</f>
        <v>0</v>
      </c>
      <c r="N495" s="10"/>
      <c r="O495" s="10"/>
      <c r="P495" s="10"/>
      <c r="Q495" s="38">
        <f>SUM(N495:P495)</f>
        <v>0</v>
      </c>
      <c r="R495" s="38">
        <f>+E495+I495+M495+Q495</f>
        <v>0</v>
      </c>
    </row>
    <row r="496" spans="1:21" ht="15.75" hidden="1" customHeight="1" x14ac:dyDescent="0.3">
      <c r="A496" s="410" t="s">
        <v>2572</v>
      </c>
      <c r="B496" s="10"/>
      <c r="C496" s="10"/>
      <c r="D496" s="10"/>
      <c r="E496" s="38">
        <f>SUM(B496:D496)</f>
        <v>0</v>
      </c>
      <c r="F496" s="10"/>
      <c r="G496" s="10"/>
      <c r="H496" s="10"/>
      <c r="I496" s="38">
        <f>SUM(F496:H496)</f>
        <v>0</v>
      </c>
      <c r="J496" s="10"/>
      <c r="K496" s="10"/>
      <c r="L496" s="10"/>
      <c r="M496" s="38">
        <f>SUM(J496:L496)</f>
        <v>0</v>
      </c>
      <c r="N496" s="10"/>
      <c r="O496" s="10"/>
      <c r="P496" s="10"/>
      <c r="Q496" s="38">
        <f>SUM(N496:P496)</f>
        <v>0</v>
      </c>
      <c r="R496" s="38">
        <f>+E496+I496+M496+Q496</f>
        <v>0</v>
      </c>
      <c r="T496" t="s">
        <v>2174</v>
      </c>
      <c r="U496" s="707"/>
    </row>
    <row r="497" spans="1:20" ht="15.75" hidden="1" customHeight="1" x14ac:dyDescent="0.3">
      <c r="A497" s="410" t="s">
        <v>2573</v>
      </c>
      <c r="B497" s="10"/>
      <c r="C497" s="10"/>
      <c r="D497" s="10"/>
      <c r="E497" s="38">
        <f>SUM(B497:D497)</f>
        <v>0</v>
      </c>
      <c r="F497" s="10"/>
      <c r="G497" s="10"/>
      <c r="H497" s="10"/>
      <c r="I497" s="38">
        <f>SUM(F497:H497)</f>
        <v>0</v>
      </c>
      <c r="J497" s="10"/>
      <c r="K497" s="10"/>
      <c r="L497" s="10"/>
      <c r="M497" s="38">
        <f>SUM(J497:L497)</f>
        <v>0</v>
      </c>
      <c r="N497" s="10"/>
      <c r="O497" s="10"/>
      <c r="P497" s="10"/>
      <c r="Q497" s="38">
        <f>SUM(N497:P497)</f>
        <v>0</v>
      </c>
      <c r="R497" s="38">
        <f>+E497+I497+M497+Q497</f>
        <v>0</v>
      </c>
    </row>
    <row r="498" spans="1:20" ht="15.75" hidden="1" customHeight="1" x14ac:dyDescent="0.3">
      <c r="A498" s="410" t="s">
        <v>3226</v>
      </c>
      <c r="B498" s="10"/>
      <c r="C498" s="10"/>
      <c r="D498" s="10"/>
      <c r="E498" s="38">
        <f>SUM(B498:D498)</f>
        <v>0</v>
      </c>
      <c r="F498" s="10"/>
      <c r="G498" s="10"/>
      <c r="H498" s="10"/>
      <c r="I498" s="38">
        <f>SUM(F498:H498)</f>
        <v>0</v>
      </c>
      <c r="J498" s="10"/>
      <c r="K498" s="10"/>
      <c r="L498" s="10"/>
      <c r="M498" s="38">
        <f>SUM(J498:L498)</f>
        <v>0</v>
      </c>
      <c r="N498" s="10"/>
      <c r="O498" s="10"/>
      <c r="P498" s="10"/>
      <c r="Q498" s="38">
        <f>SUM(N498:P498)</f>
        <v>0</v>
      </c>
      <c r="R498" s="38">
        <f>+E498+I498+M498+Q498</f>
        <v>0</v>
      </c>
      <c r="T498" t="s">
        <v>2175</v>
      </c>
    </row>
    <row r="499" spans="1:20" ht="15.75" hidden="1" customHeight="1" thickBot="1" x14ac:dyDescent="0.35">
      <c r="A499" s="410" t="s">
        <v>2574</v>
      </c>
      <c r="B499" s="10"/>
      <c r="C499" s="10"/>
      <c r="D499" s="10"/>
      <c r="E499" s="38">
        <f>SUM(B499:D499)</f>
        <v>0</v>
      </c>
      <c r="F499" s="10"/>
      <c r="G499" s="10"/>
      <c r="H499" s="10"/>
      <c r="I499" s="38">
        <f>SUM(F499:H499)</f>
        <v>0</v>
      </c>
      <c r="J499" s="10"/>
      <c r="K499" s="10"/>
      <c r="L499" s="10"/>
      <c r="M499" s="38">
        <f>SUM(J499:L499)</f>
        <v>0</v>
      </c>
      <c r="N499" s="10"/>
      <c r="O499" s="10"/>
      <c r="P499" s="10"/>
      <c r="Q499" s="38">
        <f>SUM(N499:P499)</f>
        <v>0</v>
      </c>
      <c r="R499" s="38">
        <f>+E499+I499+M499+Q499</f>
        <v>0</v>
      </c>
      <c r="T499" t="s">
        <v>2175</v>
      </c>
    </row>
    <row r="500" spans="1:20" ht="16.5" hidden="1" customHeight="1" thickBot="1" x14ac:dyDescent="0.35">
      <c r="A500" s="43" t="s">
        <v>1019</v>
      </c>
      <c r="B500" s="42">
        <f>SUM(B482:B499)</f>
        <v>0</v>
      </c>
      <c r="C500" s="42">
        <f>SUM(C482:C499)</f>
        <v>0</v>
      </c>
      <c r="D500" s="42">
        <f>SUM(D482:D499)</f>
        <v>0</v>
      </c>
      <c r="E500" s="39">
        <f t="shared" ref="E500:E505" si="204">SUM(B500:D500)</f>
        <v>0</v>
      </c>
      <c r="F500" s="42">
        <f>SUM(F482:F499)</f>
        <v>0</v>
      </c>
      <c r="G500" s="42">
        <f>SUM(G482:G499)</f>
        <v>0</v>
      </c>
      <c r="H500" s="42">
        <f>SUM(H482:H499)</f>
        <v>0</v>
      </c>
      <c r="I500" s="39">
        <f t="shared" ref="I500:I505" si="205">SUM(F500:H500)</f>
        <v>0</v>
      </c>
      <c r="J500" s="42">
        <f>SUM(J482:J499)</f>
        <v>0</v>
      </c>
      <c r="K500" s="42">
        <f>SUM(K482:K499)</f>
        <v>0</v>
      </c>
      <c r="L500" s="42">
        <f>SUM(L482:L499)</f>
        <v>0</v>
      </c>
      <c r="M500" s="39">
        <f t="shared" ref="M500:M505" si="206">SUM(J500:L500)</f>
        <v>0</v>
      </c>
      <c r="N500" s="42">
        <f>SUM(N482:N499)</f>
        <v>0</v>
      </c>
      <c r="O500" s="42">
        <f>SUM(O482:O499)</f>
        <v>0</v>
      </c>
      <c r="P500" s="42">
        <f>SUM(P482:P499)</f>
        <v>0</v>
      </c>
      <c r="Q500" s="39">
        <f t="shared" si="202"/>
        <v>0</v>
      </c>
      <c r="R500" s="37">
        <f t="shared" si="203"/>
        <v>0</v>
      </c>
    </row>
    <row r="501" spans="1:20" ht="16.5" hidden="1" customHeight="1" thickBot="1" x14ac:dyDescent="0.35">
      <c r="A501" s="277" t="s">
        <v>1221</v>
      </c>
      <c r="B501" s="45">
        <f>SUM(B476:B499)</f>
        <v>0</v>
      </c>
      <c r="C501" s="46">
        <f>SUM(C476:C499)</f>
        <v>0</v>
      </c>
      <c r="D501" s="58">
        <f>SUM(D476:D499)</f>
        <v>0</v>
      </c>
      <c r="E501" s="39">
        <f t="shared" si="204"/>
        <v>0</v>
      </c>
      <c r="F501" s="46">
        <f>SUM(F476:F499)</f>
        <v>0</v>
      </c>
      <c r="G501" s="46">
        <f>SUM(G476:G499)</f>
        <v>0</v>
      </c>
      <c r="H501" s="46">
        <f>SUM(H476:H499)</f>
        <v>0</v>
      </c>
      <c r="I501" s="39">
        <f t="shared" si="205"/>
        <v>0</v>
      </c>
      <c r="J501" s="46">
        <f>SUM(J476:J499)</f>
        <v>0</v>
      </c>
      <c r="K501" s="46">
        <f>SUM(K476:K499)</f>
        <v>0</v>
      </c>
      <c r="L501" s="46">
        <f>SUM(L476:L499)</f>
        <v>0</v>
      </c>
      <c r="M501" s="39">
        <f t="shared" si="206"/>
        <v>0</v>
      </c>
      <c r="N501" s="46">
        <f>SUM(N476:N499)</f>
        <v>0</v>
      </c>
      <c r="O501" s="46">
        <f>SUM(O476:O499)</f>
        <v>0</v>
      </c>
      <c r="P501" s="46">
        <f>SUM(P476:P499)</f>
        <v>0</v>
      </c>
      <c r="Q501" s="39">
        <f t="shared" si="202"/>
        <v>0</v>
      </c>
      <c r="R501" s="37">
        <f t="shared" si="203"/>
        <v>0</v>
      </c>
    </row>
    <row r="502" spans="1:20" ht="16.5" hidden="1" customHeight="1" thickBot="1" x14ac:dyDescent="0.35">
      <c r="A502" s="43" t="s">
        <v>1222</v>
      </c>
      <c r="B502" s="47">
        <f>+B391+B405+B475+B501</f>
        <v>28845</v>
      </c>
      <c r="C502" s="42">
        <f>+C391+C405+C475+C501</f>
        <v>32539</v>
      </c>
      <c r="D502" s="42">
        <f>+D391+D405+D475+D501</f>
        <v>50673</v>
      </c>
      <c r="E502" s="37">
        <f t="shared" si="204"/>
        <v>112057</v>
      </c>
      <c r="F502" s="42">
        <f>+F391+F405+F475+F501</f>
        <v>68151</v>
      </c>
      <c r="G502" s="42">
        <f>+G391+G405+G475+G501</f>
        <v>66748</v>
      </c>
      <c r="H502" s="42">
        <f>+H391+H405+H475+H501</f>
        <v>97639</v>
      </c>
      <c r="I502" s="37">
        <f t="shared" si="205"/>
        <v>232538</v>
      </c>
      <c r="J502" s="42">
        <f>+J391+J405+J475+J501</f>
        <v>67999</v>
      </c>
      <c r="K502" s="42">
        <f>+K391+K405+K475+K501</f>
        <v>56115</v>
      </c>
      <c r="L502" s="42">
        <f>+L391+L405+L475+L501</f>
        <v>41674</v>
      </c>
      <c r="M502" s="37">
        <f t="shared" si="206"/>
        <v>165788</v>
      </c>
      <c r="N502" s="42">
        <f>+N391+N405+N475+N501</f>
        <v>35384</v>
      </c>
      <c r="O502" s="42">
        <f>+O391+O405+O475+O501</f>
        <v>28934</v>
      </c>
      <c r="P502" s="42">
        <f>+P391+P405+P475+P501</f>
        <v>17408</v>
      </c>
      <c r="Q502" s="37">
        <f t="shared" si="202"/>
        <v>81726</v>
      </c>
      <c r="R502" s="40">
        <f t="shared" si="203"/>
        <v>592109</v>
      </c>
    </row>
    <row r="503" spans="1:20" ht="15.75" hidden="1" customHeight="1" x14ac:dyDescent="0.3">
      <c r="A503" s="539" t="s">
        <v>2273</v>
      </c>
      <c r="B503" s="10"/>
      <c r="C503" s="10"/>
      <c r="D503" s="10"/>
      <c r="E503" s="38">
        <f t="shared" si="204"/>
        <v>0</v>
      </c>
      <c r="F503" s="10"/>
      <c r="G503" s="10"/>
      <c r="H503" s="10"/>
      <c r="I503" s="38">
        <f t="shared" si="205"/>
        <v>0</v>
      </c>
      <c r="J503" s="10"/>
      <c r="K503" s="10"/>
      <c r="L503" s="10"/>
      <c r="M503" s="38">
        <f t="shared" si="206"/>
        <v>0</v>
      </c>
      <c r="N503" s="10"/>
      <c r="O503" s="10"/>
      <c r="P503" s="10"/>
      <c r="Q503" s="38">
        <f t="shared" si="202"/>
        <v>0</v>
      </c>
      <c r="R503" s="38">
        <f t="shared" si="203"/>
        <v>0</v>
      </c>
    </row>
    <row r="504" spans="1:20" ht="15.75" hidden="1" customHeight="1" x14ac:dyDescent="0.3">
      <c r="A504" s="539" t="s">
        <v>2274</v>
      </c>
      <c r="B504" s="10"/>
      <c r="C504" s="10"/>
      <c r="D504" s="10"/>
      <c r="E504" s="38">
        <f t="shared" si="204"/>
        <v>0</v>
      </c>
      <c r="F504" s="10"/>
      <c r="G504" s="10"/>
      <c r="H504" s="10"/>
      <c r="I504" s="38">
        <f t="shared" si="205"/>
        <v>0</v>
      </c>
      <c r="J504" s="10"/>
      <c r="K504" s="10"/>
      <c r="L504" s="10"/>
      <c r="M504" s="38">
        <f t="shared" si="206"/>
        <v>0</v>
      </c>
      <c r="N504" s="10"/>
      <c r="O504" s="10"/>
      <c r="P504" s="10"/>
      <c r="Q504" s="38">
        <f t="shared" si="202"/>
        <v>0</v>
      </c>
      <c r="R504" s="38">
        <f t="shared" si="203"/>
        <v>0</v>
      </c>
    </row>
    <row r="505" spans="1:20" ht="16.5" hidden="1" customHeight="1" thickBot="1" x14ac:dyDescent="0.35">
      <c r="A505" s="312" t="s">
        <v>853</v>
      </c>
      <c r="B505" s="294">
        <v>155</v>
      </c>
      <c r="C505" s="294">
        <v>283</v>
      </c>
      <c r="D505" s="294">
        <v>435</v>
      </c>
      <c r="E505" s="40">
        <f t="shared" si="204"/>
        <v>873</v>
      </c>
      <c r="F505" s="294">
        <v>602</v>
      </c>
      <c r="G505" s="294">
        <v>711</v>
      </c>
      <c r="H505" s="294">
        <v>722</v>
      </c>
      <c r="I505" s="40">
        <f t="shared" si="205"/>
        <v>2035</v>
      </c>
      <c r="J505" s="294">
        <v>686</v>
      </c>
      <c r="K505" s="294">
        <v>519</v>
      </c>
      <c r="L505" s="294">
        <v>531</v>
      </c>
      <c r="M505" s="40">
        <f t="shared" si="206"/>
        <v>1736</v>
      </c>
      <c r="N505" s="294">
        <v>489</v>
      </c>
      <c r="O505" s="294">
        <v>389</v>
      </c>
      <c r="P505" s="294">
        <v>275</v>
      </c>
      <c r="Q505" s="40">
        <f t="shared" si="202"/>
        <v>1153</v>
      </c>
      <c r="R505" s="38">
        <f t="shared" si="203"/>
        <v>5797</v>
      </c>
    </row>
    <row r="506" spans="1:20" ht="16.5" hidden="1" customHeight="1" thickBot="1" x14ac:dyDescent="0.35">
      <c r="A506" s="44"/>
      <c r="B506" s="313"/>
      <c r="C506" s="313"/>
      <c r="D506" s="313"/>
      <c r="E506" s="37"/>
      <c r="F506" s="313"/>
      <c r="G506" s="313"/>
      <c r="H506" s="313"/>
      <c r="I506" s="37"/>
      <c r="J506" s="313"/>
      <c r="K506" s="313"/>
      <c r="L506" s="313"/>
      <c r="M506" s="37"/>
      <c r="N506" s="313"/>
      <c r="O506" s="313"/>
      <c r="P506" s="313"/>
      <c r="Q506" s="37"/>
      <c r="R506" s="37" t="s">
        <v>852</v>
      </c>
    </row>
    <row r="507" spans="1:20" ht="15.75" hidden="1" customHeight="1" x14ac:dyDescent="0.3">
      <c r="A507" s="259" t="s">
        <v>2011</v>
      </c>
      <c r="B507" s="741">
        <f>SUM(B502:B505)</f>
        <v>29000</v>
      </c>
      <c r="C507" s="741">
        <f>SUM(C502:C505)</f>
        <v>32822</v>
      </c>
      <c r="D507" s="741">
        <f>SUM(D502:D505)</f>
        <v>51108</v>
      </c>
      <c r="E507" s="39">
        <f>SUM(B507:D507)</f>
        <v>112930</v>
      </c>
      <c r="F507" s="741">
        <f>SUM(F502:F505)</f>
        <v>68753</v>
      </c>
      <c r="G507" s="741">
        <f>SUM(G502:G505)</f>
        <v>67459</v>
      </c>
      <c r="H507" s="741">
        <f>SUM(H502:H505)</f>
        <v>98361</v>
      </c>
      <c r="I507" s="39">
        <f>SUM(F507:H507)</f>
        <v>234573</v>
      </c>
      <c r="J507" s="741">
        <f>SUM(J502:J505)</f>
        <v>68685</v>
      </c>
      <c r="K507" s="741">
        <f>SUM(K502:K505)</f>
        <v>56634</v>
      </c>
      <c r="L507" s="741">
        <f>SUM(L502:L505)</f>
        <v>42205</v>
      </c>
      <c r="M507" s="39">
        <f>SUM(J507:L507)</f>
        <v>167524</v>
      </c>
      <c r="N507" s="741">
        <f>SUM(N502:N505)</f>
        <v>35873</v>
      </c>
      <c r="O507" s="741">
        <f>SUM(O502:O505)</f>
        <v>29323</v>
      </c>
      <c r="P507" s="741">
        <f>SUM(P502:P505)</f>
        <v>17683</v>
      </c>
      <c r="Q507" s="39">
        <f>SUM(N507:P507)</f>
        <v>82879</v>
      </c>
      <c r="R507" s="39">
        <f>+E507+I507+M507+Q507</f>
        <v>597906</v>
      </c>
    </row>
    <row r="508" spans="1:20" ht="15.75" hidden="1" customHeight="1" x14ac:dyDescent="0.3">
      <c r="A508" s="262" t="s">
        <v>1897</v>
      </c>
      <c r="B508" s="10">
        <f>(B507/B10)/1.983</f>
        <v>471.75182600491269</v>
      </c>
      <c r="C508" s="10">
        <f>(C507/C10)/1.983</f>
        <v>591.13176284129383</v>
      </c>
      <c r="D508" s="10">
        <f>(D507/D10)/1.983</f>
        <v>831.38939046410621</v>
      </c>
      <c r="E508" s="38" t="s">
        <v>852</v>
      </c>
      <c r="F508" s="10">
        <f>(F507/F10)/1.983</f>
        <v>1155.7068414859641</v>
      </c>
      <c r="G508" s="10">
        <f>(G507/G10)/1.983</f>
        <v>1097.3760838091519</v>
      </c>
      <c r="H508" s="10">
        <f>(H507/H10)/1.983</f>
        <v>1653.4039334341905</v>
      </c>
      <c r="I508" s="38" t="s">
        <v>852</v>
      </c>
      <c r="J508" s="10">
        <f>(J507/J10)/1.983</f>
        <v>1117.3197989361181</v>
      </c>
      <c r="K508" s="10">
        <f>(K507/K10)/1.983</f>
        <v>921.28251427455962</v>
      </c>
      <c r="L508" s="10">
        <f>(L507/L10)/1.983</f>
        <v>709.44696587661781</v>
      </c>
      <c r="M508" s="38" t="s">
        <v>852</v>
      </c>
      <c r="N508" s="10">
        <f>(N507/N10)/1.983</f>
        <v>583.55700876807703</v>
      </c>
      <c r="O508" s="10">
        <f>(O507/O10)/1.983</f>
        <v>492.90637081862491</v>
      </c>
      <c r="P508" s="10">
        <f>(P507/P10)/1.983</f>
        <v>287.65474273258172</v>
      </c>
      <c r="Q508" s="38" t="s">
        <v>852</v>
      </c>
      <c r="R508" s="38" t="s">
        <v>852</v>
      </c>
    </row>
    <row r="509" spans="1:20" ht="15.75" hidden="1" customHeight="1" x14ac:dyDescent="0.3">
      <c r="A509" s="262" t="s">
        <v>2432</v>
      </c>
      <c r="B509" s="10">
        <f>B507+B559</f>
        <v>45213</v>
      </c>
      <c r="C509" s="10">
        <f>C507+C559</f>
        <v>56257</v>
      </c>
      <c r="D509" s="10">
        <f>D507+D559</f>
        <v>83728</v>
      </c>
      <c r="E509" s="38">
        <f>SUM(B509:D509)</f>
        <v>185198</v>
      </c>
      <c r="F509" s="10">
        <f>F507+F559</f>
        <v>111062</v>
      </c>
      <c r="G509" s="10">
        <f>G507+G559</f>
        <v>103671</v>
      </c>
      <c r="H509" s="10">
        <f>H507+H559</f>
        <v>143622</v>
      </c>
      <c r="I509" s="38">
        <f>SUM(F509:H509)</f>
        <v>358355</v>
      </c>
      <c r="J509" s="10">
        <f>J507+J559</f>
        <v>113865</v>
      </c>
      <c r="K509" s="10">
        <f>K507+K559</f>
        <v>100954</v>
      </c>
      <c r="L509" s="10">
        <f>L507+L559</f>
        <v>68918</v>
      </c>
      <c r="M509" s="38">
        <f>SUM(J509:L509)</f>
        <v>283737</v>
      </c>
      <c r="N509" s="10">
        <f>N507+N559</f>
        <v>52227</v>
      </c>
      <c r="O509" s="10">
        <f>O507+O559</f>
        <v>35025</v>
      </c>
      <c r="P509" s="10">
        <f>P507+P559</f>
        <v>21315</v>
      </c>
      <c r="Q509" s="38">
        <f>SUM(N509:P509)</f>
        <v>108567</v>
      </c>
      <c r="R509" s="38">
        <f>+E509+I509+M509+Q509</f>
        <v>935857</v>
      </c>
    </row>
    <row r="510" spans="1:20" s="574" customFormat="1" ht="16.5" hidden="1" customHeight="1" thickBot="1" x14ac:dyDescent="0.35">
      <c r="A510" s="576" t="s">
        <v>104</v>
      </c>
      <c r="B510" s="744">
        <f>(B509/B10)/1.983</f>
        <v>735.49363135034889</v>
      </c>
      <c r="C510" s="744">
        <f>(C509/C10)/1.983</f>
        <v>1013.2014984511202</v>
      </c>
      <c r="D510" s="744">
        <f>(D509/D10)/1.983</f>
        <v>1362.028858197908</v>
      </c>
      <c r="E510" s="578" t="s">
        <v>852</v>
      </c>
      <c r="F510" s="744">
        <f>(F509/F10)/1.983</f>
        <v>1866.9020003361909</v>
      </c>
      <c r="G510" s="744">
        <f>(G509/G10)/1.983</f>
        <v>1686.4477087501828</v>
      </c>
      <c r="H510" s="744">
        <f>(H509/H10)/1.983</f>
        <v>2414.220877458396</v>
      </c>
      <c r="I510" s="578" t="s">
        <v>852</v>
      </c>
      <c r="J510" s="744">
        <f>(J509/J10)/1.983</f>
        <v>1852.2766092430822</v>
      </c>
      <c r="K510" s="744">
        <f>(K509/K10)/1.983</f>
        <v>1642.249442844826</v>
      </c>
      <c r="L510" s="744">
        <f>(L509/L10)/1.983</f>
        <v>1158.480416876786</v>
      </c>
      <c r="M510" s="578" t="s">
        <v>852</v>
      </c>
      <c r="N510" s="744">
        <f>(N509/N10)/1.983</f>
        <v>849.59250402615783</v>
      </c>
      <c r="O510" s="744">
        <f>(O509/O10)/1.983</f>
        <v>588.75441250630354</v>
      </c>
      <c r="P510" s="744">
        <f>(P509/P10)/1.983</f>
        <v>346.73759211361084</v>
      </c>
      <c r="Q510" s="578" t="s">
        <v>852</v>
      </c>
      <c r="R510" s="578" t="s">
        <v>852</v>
      </c>
    </row>
    <row r="511" spans="1:20" ht="15.75" hidden="1" customHeight="1" x14ac:dyDescent="0.3">
      <c r="A511" s="351" t="s">
        <v>1011</v>
      </c>
      <c r="B511" s="352">
        <f>B$512+(SUMIF($T$329:$T$486,"FLG",B$336:B$504)/B10/1.98)+(SUMIF($T$329:$T$486,"FCA",B$336:B$504)/B10/1.98)+(SUMIF($T$329:$T$486,"NSC",B$336:B$504)/B10/1.98)</f>
        <v>402.06047592217129</v>
      </c>
      <c r="C511" s="352">
        <f>C$512+(SUMIF($T$329:$T$486,"FLG",C$336:C$504)/C10/1.98)+(SUMIF($T$329:$T$486,"FCA",C$336:C$504)/C10/1.98)+(SUMIF($T$329:$T$486,"NSC",C$336:C$504)/C10/1.98)</f>
        <v>586.24722478731553</v>
      </c>
      <c r="D511" s="352">
        <f>D$512+(SUMIF($T$329:$T$486,"FLG",D$336:D$504)/D10/1.98)+(SUMIF($T$329:$T$486,"FCA",D$336:D$504)/D10/1.98)+(SUMIF($T$329:$T$486,"NSC",D$336:D$504)/D10/1.98)</f>
        <v>819.67498418867308</v>
      </c>
      <c r="E511" s="329"/>
      <c r="F511" s="352">
        <f>F$512+(SUMIF($T$329:$T$486,"FLG",F$336:F$504)/F10/1.98)+(SUMIF($T$329:$T$486,"FCA",F$336:F$504)/F10/1.98)+(SUMIF($T$329:$T$486,"NSC",F$336:F$504)/F10/1.98)</f>
        <v>1306.8180544731226</v>
      </c>
      <c r="G511" s="352">
        <f>G$512+(SUMIF($T$329:$T$486,"FLG",G$336:G$504)/G10/1.98)+(SUMIF($T$329:$T$486,"FCA",G$336:G$504)/G10/1.98)+(SUMIF($T$329:$T$486,"NSC",G$336:G$504)/G10/1.98)</f>
        <v>1130.518350258724</v>
      </c>
      <c r="H511" s="352">
        <f>H$512+(SUMIF($T$329:$T$486,"FLG",H$336:H$504)/H10/1.98)+(SUMIF($T$329:$T$486,"FCA",H$336:H$504)/H10/1.98)+(SUMIF($T$329:$T$486,"NSC",H$336:H$504)/H10/1.98)</f>
        <v>1401.2883244955863</v>
      </c>
      <c r="I511" s="350"/>
      <c r="J511" s="352">
        <f>J$512+(SUMIF($T$329:$T$486,"FLG",J$336:J$504)/J10/1.98)+(SUMIF($T$329:$T$486,"FCA",J$336:J$504)/J10/1.98)+(SUMIF($T$329:$T$486,"NSC",J$336:J$504)/J10/1.98)</f>
        <v>1103.0571687299032</v>
      </c>
      <c r="K511" s="352">
        <f>K$512+(SUMIF($T$329:$T$486,"FLG",K$336:K$504)/K10/1.98)+(SUMIF($T$329:$T$486,"FCA",K$336:K$504)/K10/1.98)+(SUMIF($T$329:$T$486,"NSC",K$336:K$504)/K10/1.98)</f>
        <v>1046.0565343050339</v>
      </c>
      <c r="L511" s="352">
        <f>L$512+(SUMIF($T$329:$T$486,"FLG",L$336:L$504)/L10/1.98)+(SUMIF($T$329:$T$486,"FCA",L$336:L$504)/L10/1.98)+(SUMIF($T$329:$T$486,"NSC",L$336:L$504)/L10/1.98)</f>
        <v>681.39035335707047</v>
      </c>
      <c r="M511" s="350"/>
      <c r="N511" s="352">
        <f>N$512+(SUMIF($T$329:$T$486,"FLG",N$336:N$504)/N10/1.98)+(SUMIF($T$329:$T$486,"FCA",N$336:N$504)/N10/1.98)+(SUMIF($T$329:$T$486,"NSC",N$336:N$504)/N10/1.98)</f>
        <v>450.47668131217</v>
      </c>
      <c r="O511" s="352">
        <f>O$512+(SUMIF($T$329:$T$486,"FLG",O$336:O$504)/O10/1.98)+(SUMIF($T$329:$T$486,"FCA",O$336:O$504)/O10/1.98)+(SUMIF($T$329:$T$486,"NSC",O$336:O$504)/O10/1.98)</f>
        <v>210.62918646882338</v>
      </c>
      <c r="P511" s="352">
        <f>P$512+(SUMIF($T$329:$T$486,"FLG",P$336:P$504)/P10/1.98)+(SUMIF($T$329:$T$486,"FCA",P$336:P$504)/P10/1.98)+(SUMIF($T$329:$T$486,"NSC",P$336:P$504)/P10/1.98)</f>
        <v>144.24088131325453</v>
      </c>
      <c r="Q511" s="350"/>
      <c r="R511" s="350"/>
    </row>
    <row r="512" spans="1:20" ht="15.75" hidden="1" customHeight="1" x14ac:dyDescent="0.3">
      <c r="A512" s="351" t="s">
        <v>1012</v>
      </c>
      <c r="B512" s="352">
        <f>B$513+(SUMIF($T$329:$T$486,"FCI",B$336:B$504)/B10/1.98)+(SUMIF($T$329:$T$486,"FCC",B$336:B$504)/B10/1.98)</f>
        <v>402.06047592217129</v>
      </c>
      <c r="C512" s="352">
        <f>C$513+(SUMIF($T$329:$T$486,"FCI",C$336:C$504)/C10/1.98)+(SUMIF($T$329:$T$486,"FCC",C$336:C$504)/C10/1.98)</f>
        <v>586.24722478731553</v>
      </c>
      <c r="D512" s="352">
        <f>D$513+(SUMIF($T$329:$T$486,"FCI",D$336:D$504)/D10/1.98)+(SUMIF($T$329:$T$486,"FCC",D$336:D$504)/D10/1.98)</f>
        <v>819.67498418867308</v>
      </c>
      <c r="E512" s="329"/>
      <c r="F512" s="352">
        <f>F$513+(SUMIF($T$329:$T$486,"FCI",F$336:F$504)/F10/1.98)+(SUMIF($T$329:$T$486,"FCC",F$336:F$504)/F10/1.98)</f>
        <v>1306.8180544731226</v>
      </c>
      <c r="G512" s="352">
        <f>G$513+(SUMIF($T$329:$T$486,"FCI",G$336:G$504)/G10/1.98)+(SUMIF($T$329:$T$486,"FCC",G$336:G$504)/G10/1.98)</f>
        <v>1130.518350258724</v>
      </c>
      <c r="H512" s="352">
        <f>H$513+(SUMIF($T$329:$T$486,"FCI",H$336:H$504)/H10/1.98)+(SUMIF($T$329:$T$486,"FCC",H$336:H$504)/H10/1.98)</f>
        <v>1401.2883244955863</v>
      </c>
      <c r="I512" s="350"/>
      <c r="J512" s="352">
        <f>J$513+(SUMIF($T$329:$T$486,"FCI",J$336:J$504)/J10/1.98)+(SUMIF($T$329:$T$486,"FCC",J$336:J$504)/J10/1.98)</f>
        <v>1103.0571687299032</v>
      </c>
      <c r="K512" s="352">
        <f>K$513+(SUMIF($T$329:$T$486,"FCI",K$336:K$504)/K10/1.98)+(SUMIF($T$329:$T$486,"FCC",K$336:K$504)/K10/1.98)</f>
        <v>1046.0565343050339</v>
      </c>
      <c r="L512" s="352">
        <f>L$513+(SUMIF($T$329:$T$486,"FCI",L$336:L$504)/L10/1.98)+(SUMIF($T$329:$T$486,"FCC",L$336:L$504)/L10/1.98)</f>
        <v>681.39035335707047</v>
      </c>
      <c r="M512" s="350"/>
      <c r="N512" s="352">
        <f>N$513+(SUMIF($T$329:$T$486,"FCI",N$336:N$504)/N10/1.98)+(SUMIF($T$329:$T$486,"FCC",N$336:N$504)/N10/1.98)</f>
        <v>450.47668131217</v>
      </c>
      <c r="O512" s="352">
        <f>O$513+(SUMIF($T$329:$T$486,"FCI",O$336:O$504)/O10/1.98)+(SUMIF($T$329:$T$486,"FCC",O$336:O$504)/O10/1.98)</f>
        <v>210.62918646882338</v>
      </c>
      <c r="P512" s="352">
        <f>P$513+(SUMIF($T$329:$T$486,"FCI",P$336:P$504)/P10/1.98)+(SUMIF($T$329:$T$486,"FCC",P$336:P$504)/P10/1.98)</f>
        <v>144.24088131325453</v>
      </c>
      <c r="Q512" s="350"/>
      <c r="R512" s="350"/>
    </row>
    <row r="513" spans="1:20" ht="15.75" hidden="1" customHeight="1" x14ac:dyDescent="0.3">
      <c r="A513" s="351" t="s">
        <v>1013</v>
      </c>
      <c r="B513" s="352">
        <f>B$514+(SUMIF($T$329:$T$486,"PIL",B$336:B$504)/B10/1.98)+(SUMIF($T$329:$T$486,"KLK",B$336:B$504)/B10/1.98)</f>
        <v>402.06047592217129</v>
      </c>
      <c r="C513" s="352">
        <f>C$514+(SUMIF($T$329:$T$486,"PIL",C$336:C$504)/C10/1.98)+(SUMIF($T$329:$T$486,"KLK",C$336:C$504)/C10/1.98)</f>
        <v>586.24722478731553</v>
      </c>
      <c r="D513" s="352">
        <f>D$514+(SUMIF($T$329:$T$486,"PIL",D$336:D$504)/D10/1.98)+(SUMIF($T$329:$T$486,"KLK",D$336:D$504)/D10/1.98)</f>
        <v>819.67498418867308</v>
      </c>
      <c r="E513" s="329"/>
      <c r="F513" s="352">
        <f>F$514+(SUMIF($T$329:$T$486,"PIL",F$336:F$504)/F10/1.98)+(SUMIF($T$329:$T$486,"KLK",F$336:F$504)/F10/1.98)</f>
        <v>1306.8180544731226</v>
      </c>
      <c r="G513" s="352">
        <f>G$514+(SUMIF($T$329:$T$486,"PIL",G$336:G$504)/G10/1.98)+(SUMIF($T$329:$T$486,"KLK",G$336:G$504)/G10/1.98)</f>
        <v>1130.518350258724</v>
      </c>
      <c r="H513" s="352">
        <f>H$514+(SUMIF($T$329:$T$486,"PIL",H$336:H$504)/H10/1.98)+(SUMIF($T$329:$T$486,"KLK",H$336:H$504)/H10/1.98)</f>
        <v>1401.2883244955863</v>
      </c>
      <c r="I513" s="350"/>
      <c r="J513" s="352">
        <f>J$514+(SUMIF($T$329:$T$486,"PIL",J$336:J$504)/J10/1.98)+(SUMIF($T$329:$T$486,"KLK",J$336:J$504)/J10/1.98)</f>
        <v>1103.0571687299032</v>
      </c>
      <c r="K513" s="352">
        <f>K$514+(SUMIF($T$329:$T$486,"PIL",K$336:K$504)/K10/1.98)+(SUMIF($T$329:$T$486,"KLK",K$336:K$504)/K10/1.98)</f>
        <v>1046.0565343050339</v>
      </c>
      <c r="L513" s="352">
        <f>L$514+(SUMIF($T$329:$T$486,"PIL",L$336:L$504)/L10/1.98)+(SUMIF($T$329:$T$486,"KLK",L$336:L$504)/L10/1.98)</f>
        <v>681.39035335707047</v>
      </c>
      <c r="M513" s="350"/>
      <c r="N513" s="352">
        <f>N$514+(SUMIF($T$329:$T$486,"PIL",N$336:N$504)/N10/1.98)+(SUMIF($T$329:$T$486,"KLK",N$336:N$504)/N10/1.98)</f>
        <v>450.47668131217</v>
      </c>
      <c r="O513" s="352">
        <f>O$514+(SUMIF($T$329:$T$486,"PIL",O$336:O$504)/O10/1.98)+(SUMIF($T$329:$T$486,"KLK",O$336:O$504)/O10/1.98)</f>
        <v>210.62918646882338</v>
      </c>
      <c r="P513" s="352">
        <f>P$514+(SUMIF($T$329:$T$486,"PIL",P$336:P$504)/P10/1.98)+(SUMIF($T$329:$T$486,"KLK",P$336:P$504)/P10/1.98)</f>
        <v>144.24088131325453</v>
      </c>
      <c r="Q513" s="350"/>
      <c r="R513" s="350"/>
    </row>
    <row r="514" spans="1:20" ht="15.75" hidden="1" customHeight="1" x14ac:dyDescent="0.3">
      <c r="A514" s="351" t="s">
        <v>1014</v>
      </c>
      <c r="B514" s="352">
        <f>B$515+(SUMIF($T$329:$T$486,"CGE",B$336:B$504)/B10/1.98)</f>
        <v>402.06047592217129</v>
      </c>
      <c r="C514" s="352">
        <f>C$515+(SUMIF($T$329:$T$486,"CGE",C$336:C$504)/C10/1.98)</f>
        <v>586.24722478731553</v>
      </c>
      <c r="D514" s="352">
        <f>D$515+(SUMIF($T$329:$T$486,"CGE",D$336:D$504)/D10/1.98)</f>
        <v>819.67498418867308</v>
      </c>
      <c r="E514" s="329"/>
      <c r="F514" s="352">
        <f>F$515+(SUMIF($T$329:$T$486,"CGE",F$336:F$504)/F10/1.98)</f>
        <v>1306.8180544731226</v>
      </c>
      <c r="G514" s="352">
        <f>G$515+(SUMIF($T$329:$T$486,"CGE",G$336:G$504)/G10/1.98)</f>
        <v>1130.518350258724</v>
      </c>
      <c r="H514" s="352">
        <f>H$515+(SUMIF($T$329:$T$486,"CGE",H$336:H$504)/H10/1.98)</f>
        <v>1400.8337790410408</v>
      </c>
      <c r="I514" s="350"/>
      <c r="J514" s="352">
        <f>J$515+(SUMIF($T$329:$T$486,"CGE",J$336:J$504)/J10/1.98)</f>
        <v>1103.0571687299032</v>
      </c>
      <c r="K514" s="352">
        <f>K$515+(SUMIF($T$329:$T$486,"CGE",K$336:K$504)/K10/1.98)</f>
        <v>1043.1239829853857</v>
      </c>
      <c r="L514" s="352">
        <f>L$515+(SUMIF($T$329:$T$486,"CGE",L$336:L$504)/L10/1.98)</f>
        <v>657.36678433350141</v>
      </c>
      <c r="M514" s="350"/>
      <c r="N514" s="352">
        <f>N$515+(SUMIF($T$329:$T$486,"CGE",N$336:N$504)/N10/1.98)</f>
        <v>436.74256596515141</v>
      </c>
      <c r="O514" s="352">
        <f>O$515+(SUMIF($T$329:$T$486,"CGE",O$336:O$504)/O10/1.98)</f>
        <v>210.62918646882338</v>
      </c>
      <c r="P514" s="352">
        <f>P$515+(SUMIF($T$329:$T$486,"CGE",P$336:P$504)/P10/1.98)</f>
        <v>144.24088131325453</v>
      </c>
      <c r="Q514" s="350"/>
      <c r="R514" s="350"/>
    </row>
    <row r="515" spans="1:20" ht="15.75" hidden="1" customHeight="1" x14ac:dyDescent="0.3">
      <c r="A515" s="351" t="s">
        <v>1015</v>
      </c>
      <c r="B515" s="352">
        <f>B$516+(SUMIF($T$329:$T$486,"SRO",B$336:B$504)/B10/1.98)</f>
        <v>402.06047592217129</v>
      </c>
      <c r="C515" s="352">
        <f>C$516+(SUMIF($T$329:$T$486,"SRO",C$336:C$504)/C10/1.98)</f>
        <v>586.24722478731553</v>
      </c>
      <c r="D515" s="352">
        <f>D$516+(SUMIF($T$329:$T$486,"SRO",D$336:D$504)/D10/1.98)</f>
        <v>819.67498418867308</v>
      </c>
      <c r="E515" s="329"/>
      <c r="F515" s="352">
        <f>F$516+(SUMIF($T$329:$T$486,"SRO",F$336:F$504)/F10/1.98)</f>
        <v>1306.8180544731226</v>
      </c>
      <c r="G515" s="352">
        <f>G$516+(SUMIF($T$329:$T$486,"SRO",G$336:G$504)/G10/1.98)</f>
        <v>1125.011670558496</v>
      </c>
      <c r="H515" s="352">
        <f>H$516+(SUMIF($T$329:$T$486,"SRO",H$336:H$504)/H10/1.98)</f>
        <v>1383.9987622060239</v>
      </c>
      <c r="I515" s="350"/>
      <c r="J515" s="352">
        <f>J$516+(SUMIF($T$329:$T$486,"SRO",J$336:J$504)/J10/1.98)</f>
        <v>1086.7652169540804</v>
      </c>
      <c r="K515" s="352">
        <f>K$516+(SUMIF($T$329:$T$486,"SRO",K$336:K$504)/K10/1.98)</f>
        <v>1026.832031209563</v>
      </c>
      <c r="L515" s="352">
        <f>L$516+(SUMIF($T$329:$T$486,"SRO",L$336:L$504)/L10/1.98)</f>
        <v>640.53176749848456</v>
      </c>
      <c r="M515" s="350"/>
      <c r="N515" s="352">
        <f>N$516+(SUMIF($T$329:$T$486,"SRO",N$336:N$504)/N10/1.98)</f>
        <v>420.45061418932869</v>
      </c>
      <c r="O515" s="352">
        <f>O$516+(SUMIF($T$329:$T$486,"SRO",O$336:O$504)/O10/1.98)</f>
        <v>210.62918646882338</v>
      </c>
      <c r="P515" s="352">
        <f>P$516+(SUMIF($T$329:$T$486,"SRO",P$336:P$504)/P10/1.98)</f>
        <v>144.24088131325453</v>
      </c>
      <c r="Q515" s="350"/>
      <c r="R515" s="350"/>
    </row>
    <row r="516" spans="1:20" ht="15.75" hidden="1" customHeight="1" x14ac:dyDescent="0.3">
      <c r="A516" s="351" t="s">
        <v>130</v>
      </c>
      <c r="B516" s="352">
        <f>B$559/B10/1.983</f>
        <v>263.74180534543621</v>
      </c>
      <c r="C516" s="352">
        <f>C$559/C10/1.983</f>
        <v>422.06973560982635</v>
      </c>
      <c r="D516" s="352">
        <f>D$559/D10/1.983</f>
        <v>530.63946773380178</v>
      </c>
      <c r="E516" s="353"/>
      <c r="F516" s="352">
        <f>F$559/F10/1.983</f>
        <v>711.1951588502269</v>
      </c>
      <c r="G516" s="352">
        <f>G$559/G10/1.983</f>
        <v>589.07162494103102</v>
      </c>
      <c r="H516" s="352">
        <f>H$559/H10/1.983</f>
        <v>760.81694402420578</v>
      </c>
      <c r="I516" s="10"/>
      <c r="J516" s="352">
        <f>J$559/J10/1.983</f>
        <v>734.95681030696403</v>
      </c>
      <c r="K516" s="352">
        <f>K$559/K10/1.983</f>
        <v>720.96692857026665</v>
      </c>
      <c r="L516" s="352">
        <f>L$559/L10/1.983</f>
        <v>449.03345100016804</v>
      </c>
      <c r="M516" s="700"/>
      <c r="N516" s="352">
        <f>N$559/N10/1.983</f>
        <v>266.03549525808074</v>
      </c>
      <c r="O516" s="352">
        <f>O$559/O10/1.983</f>
        <v>95.848041687678588</v>
      </c>
      <c r="P516" s="352">
        <f>P$559/P10/1.983</f>
        <v>59.082849381029064</v>
      </c>
      <c r="Q516" s="700"/>
      <c r="R516" s="350"/>
    </row>
    <row r="517" spans="1:20" ht="15.75" hidden="1" customHeight="1" x14ac:dyDescent="0.3">
      <c r="A517" s="351"/>
      <c r="B517" s="352"/>
      <c r="C517" s="352"/>
      <c r="D517" s="352"/>
      <c r="E517" s="353"/>
      <c r="F517" s="352"/>
      <c r="G517" s="352"/>
      <c r="H517" s="352"/>
      <c r="I517" s="10"/>
      <c r="J517" s="352"/>
      <c r="K517" s="352"/>
      <c r="L517" s="352"/>
      <c r="M517" s="700"/>
      <c r="N517" s="352"/>
      <c r="O517" s="352"/>
      <c r="P517" s="352"/>
      <c r="Q517" s="700"/>
      <c r="R517" s="350"/>
    </row>
    <row r="518" spans="1:20" ht="15.75" hidden="1" customHeight="1" thickBot="1" x14ac:dyDescent="0.35">
      <c r="A518" s="18"/>
      <c r="B518" s="10"/>
      <c r="C518" s="10"/>
      <c r="D518" s="10"/>
      <c r="E518" s="10"/>
      <c r="F518" s="10"/>
      <c r="G518" s="10"/>
      <c r="H518" s="10"/>
      <c r="I518" s="10"/>
      <c r="J518" s="10"/>
      <c r="K518" s="10"/>
      <c r="L518" s="10"/>
      <c r="M518" s="10"/>
      <c r="N518" s="10"/>
      <c r="O518" s="10"/>
      <c r="P518" s="10"/>
      <c r="Q518" s="10"/>
      <c r="R518" s="17"/>
    </row>
    <row r="519" spans="1:20" ht="16.5" hidden="1" customHeight="1" thickBot="1" x14ac:dyDescent="0.35">
      <c r="A519" s="240" t="s">
        <v>813</v>
      </c>
      <c r="B519" s="4" t="s">
        <v>2090</v>
      </c>
      <c r="C519" s="5" t="s">
        <v>2091</v>
      </c>
      <c r="D519" s="5" t="s">
        <v>2234</v>
      </c>
      <c r="E519" s="33" t="s">
        <v>1594</v>
      </c>
      <c r="F519" s="5" t="s">
        <v>2235</v>
      </c>
      <c r="G519" s="5" t="s">
        <v>2236</v>
      </c>
      <c r="H519" s="5" t="s">
        <v>2237</v>
      </c>
      <c r="I519" s="35" t="s">
        <v>1595</v>
      </c>
      <c r="J519" s="5" t="s">
        <v>1504</v>
      </c>
      <c r="K519" s="5" t="s">
        <v>1505</v>
      </c>
      <c r="L519" s="5" t="s">
        <v>1506</v>
      </c>
      <c r="M519" s="35" t="s">
        <v>1596</v>
      </c>
      <c r="N519" s="5" t="s">
        <v>1507</v>
      </c>
      <c r="O519" s="5" t="s">
        <v>1508</v>
      </c>
      <c r="P519" s="5" t="s">
        <v>1509</v>
      </c>
      <c r="Q519" s="35" t="s">
        <v>1597</v>
      </c>
      <c r="R519" s="36" t="s">
        <v>1510</v>
      </c>
    </row>
    <row r="520" spans="1:20" ht="16.5" hidden="1" customHeight="1" thickBot="1" x14ac:dyDescent="0.35">
      <c r="A520" s="37"/>
      <c r="B520" s="313"/>
      <c r="C520" s="313"/>
      <c r="D520" s="313"/>
      <c r="E520" s="308"/>
      <c r="F520" s="313"/>
      <c r="G520" s="313"/>
      <c r="H520" s="313"/>
      <c r="I520" s="316"/>
      <c r="J520" s="313"/>
      <c r="K520" s="313"/>
      <c r="L520" s="313"/>
      <c r="M520" s="316"/>
      <c r="N520" s="313"/>
      <c r="O520" s="313"/>
      <c r="P520" s="313"/>
      <c r="Q520" s="316"/>
      <c r="R520" s="52"/>
    </row>
    <row r="521" spans="1:20" ht="15.75" hidden="1" customHeight="1" x14ac:dyDescent="0.3">
      <c r="A521" s="234" t="s">
        <v>2417</v>
      </c>
      <c r="B521" s="10" t="s">
        <v>852</v>
      </c>
      <c r="C521" s="10" t="s">
        <v>852</v>
      </c>
      <c r="D521" s="10" t="s">
        <v>852</v>
      </c>
      <c r="E521" s="38" t="s">
        <v>852</v>
      </c>
      <c r="F521" s="10"/>
      <c r="G521" s="10"/>
      <c r="H521" s="10"/>
      <c r="I521" s="38" t="s">
        <v>852</v>
      </c>
      <c r="J521" s="10" t="s">
        <v>852</v>
      </c>
      <c r="K521" s="10" t="s">
        <v>852</v>
      </c>
      <c r="L521" s="10" t="s">
        <v>852</v>
      </c>
      <c r="M521" s="38" t="s">
        <v>852</v>
      </c>
      <c r="N521" s="10" t="s">
        <v>852</v>
      </c>
      <c r="O521" s="10" t="s">
        <v>852</v>
      </c>
      <c r="P521" s="10" t="s">
        <v>852</v>
      </c>
      <c r="Q521" s="38" t="s">
        <v>852</v>
      </c>
      <c r="R521" s="38" t="s">
        <v>852</v>
      </c>
    </row>
    <row r="522" spans="1:20" ht="15.75" hidden="1" customHeight="1" x14ac:dyDescent="0.3">
      <c r="A522" s="234" t="s">
        <v>2160</v>
      </c>
      <c r="B522" s="10"/>
      <c r="C522" s="10"/>
      <c r="D522" s="10"/>
      <c r="E522" s="38" t="s">
        <v>852</v>
      </c>
      <c r="F522" s="10"/>
      <c r="G522" s="10"/>
      <c r="H522" s="10"/>
      <c r="I522" s="38" t="s">
        <v>852</v>
      </c>
      <c r="J522" s="10"/>
      <c r="K522" s="10"/>
      <c r="L522" s="10"/>
      <c r="M522" s="38" t="s">
        <v>852</v>
      </c>
      <c r="N522" s="10"/>
      <c r="O522" s="10"/>
      <c r="P522" s="10"/>
      <c r="Q522" s="38" t="s">
        <v>852</v>
      </c>
      <c r="R522" s="38" t="s">
        <v>852</v>
      </c>
    </row>
    <row r="523" spans="1:20" ht="15.75" hidden="1" customHeight="1" x14ac:dyDescent="0.3">
      <c r="A523" s="539" t="s">
        <v>3145</v>
      </c>
      <c r="B523" s="10"/>
      <c r="C523" s="10"/>
      <c r="D523" s="10">
        <v>6</v>
      </c>
      <c r="E523" s="38">
        <f t="shared" ref="E523:E527" si="207">SUM(B523:D523)</f>
        <v>6</v>
      </c>
      <c r="F523" s="10">
        <v>6</v>
      </c>
      <c r="G523" s="10">
        <v>10</v>
      </c>
      <c r="H523" s="10">
        <v>14</v>
      </c>
      <c r="I523" s="38">
        <f t="shared" ref="I523:I527" si="208">SUM(F523:H523)</f>
        <v>30</v>
      </c>
      <c r="J523" s="10">
        <v>14</v>
      </c>
      <c r="K523" s="10">
        <v>14</v>
      </c>
      <c r="L523" s="10">
        <v>10</v>
      </c>
      <c r="M523" s="38">
        <f t="shared" ref="M523:M527" si="209">SUM(J523:L523)</f>
        <v>38</v>
      </c>
      <c r="N523" s="10">
        <v>4</v>
      </c>
      <c r="O523" s="10">
        <v>1</v>
      </c>
      <c r="P523" s="10">
        <v>1</v>
      </c>
      <c r="Q523" s="38">
        <f t="shared" ref="Q523:Q527" si="210">SUM(N523:P523)</f>
        <v>6</v>
      </c>
      <c r="R523" s="38">
        <f t="shared" ref="R523:R527" si="211">+E523+I523+M523+Q523</f>
        <v>80</v>
      </c>
      <c r="T523" t="s">
        <v>500</v>
      </c>
    </row>
    <row r="524" spans="1:20" ht="15.75" hidden="1" customHeight="1" x14ac:dyDescent="0.3">
      <c r="A524" s="539" t="s">
        <v>3141</v>
      </c>
      <c r="B524" s="10"/>
      <c r="C524" s="10"/>
      <c r="D524" s="10"/>
      <c r="E524" s="38">
        <f>SUM(B524:D524)</f>
        <v>0</v>
      </c>
      <c r="F524" s="10"/>
      <c r="G524" s="10"/>
      <c r="H524" s="10"/>
      <c r="I524" s="38">
        <f>SUM(F524:H524)</f>
        <v>0</v>
      </c>
      <c r="J524" s="10"/>
      <c r="K524" s="10"/>
      <c r="L524" s="10"/>
      <c r="M524" s="38">
        <f t="shared" si="209"/>
        <v>0</v>
      </c>
      <c r="N524" s="10"/>
      <c r="O524" s="10"/>
      <c r="P524" s="10"/>
      <c r="Q524" s="38">
        <f t="shared" si="210"/>
        <v>0</v>
      </c>
      <c r="R524" s="38">
        <f t="shared" si="211"/>
        <v>0</v>
      </c>
      <c r="T524" t="s">
        <v>500</v>
      </c>
    </row>
    <row r="525" spans="1:20" ht="15.75" hidden="1" customHeight="1" x14ac:dyDescent="0.3">
      <c r="A525" s="539" t="s">
        <v>3394</v>
      </c>
      <c r="B525" s="10"/>
      <c r="C525" s="10"/>
      <c r="D525" s="10"/>
      <c r="E525" s="38">
        <f t="shared" si="207"/>
        <v>0</v>
      </c>
      <c r="F525" s="10"/>
      <c r="G525" s="10"/>
      <c r="H525" s="10"/>
      <c r="I525" s="38">
        <f t="shared" si="208"/>
        <v>0</v>
      </c>
      <c r="J525" s="10"/>
      <c r="K525" s="10"/>
      <c r="L525" s="10"/>
      <c r="M525" s="38">
        <f t="shared" si="209"/>
        <v>0</v>
      </c>
      <c r="N525" s="10"/>
      <c r="O525" s="10"/>
      <c r="P525" s="10"/>
      <c r="Q525" s="38">
        <f t="shared" si="210"/>
        <v>0</v>
      </c>
      <c r="R525" s="38">
        <f t="shared" si="211"/>
        <v>0</v>
      </c>
    </row>
    <row r="526" spans="1:20" ht="15.75" hidden="1" customHeight="1" x14ac:dyDescent="0.3">
      <c r="A526" s="539" t="s">
        <v>2977</v>
      </c>
      <c r="C526" s="10"/>
      <c r="D526" s="10"/>
      <c r="E526" s="38">
        <f t="shared" si="207"/>
        <v>0</v>
      </c>
      <c r="F526" s="10">
        <v>2528</v>
      </c>
      <c r="G526" s="10"/>
      <c r="H526" s="10"/>
      <c r="I526" s="38">
        <f t="shared" si="208"/>
        <v>2528</v>
      </c>
      <c r="J526" s="10"/>
      <c r="K526" s="10"/>
      <c r="L526" s="10"/>
      <c r="M526" s="38">
        <f t="shared" si="209"/>
        <v>0</v>
      </c>
      <c r="N526" s="10"/>
      <c r="O526" s="10"/>
      <c r="P526" s="10"/>
      <c r="Q526" s="38">
        <f t="shared" si="210"/>
        <v>0</v>
      </c>
      <c r="R526" s="38">
        <f t="shared" si="211"/>
        <v>2528</v>
      </c>
      <c r="T526" t="s">
        <v>500</v>
      </c>
    </row>
    <row r="527" spans="1:20" ht="15.75" hidden="1" customHeight="1" x14ac:dyDescent="0.3">
      <c r="A527" s="410" t="s">
        <v>2795</v>
      </c>
      <c r="B527" s="10"/>
      <c r="C527" s="10"/>
      <c r="D527" s="10"/>
      <c r="E527" s="38">
        <f t="shared" si="207"/>
        <v>0</v>
      </c>
      <c r="F527" s="10"/>
      <c r="G527" s="10"/>
      <c r="H527" s="10"/>
      <c r="I527" s="38">
        <f t="shared" si="208"/>
        <v>0</v>
      </c>
      <c r="J527" s="10"/>
      <c r="K527" s="10"/>
      <c r="L527" s="10"/>
      <c r="M527" s="38">
        <f t="shared" si="209"/>
        <v>0</v>
      </c>
      <c r="N527" s="10"/>
      <c r="O527" s="10"/>
      <c r="P527" s="10"/>
      <c r="Q527" s="38">
        <f t="shared" si="210"/>
        <v>0</v>
      </c>
      <c r="R527" s="38">
        <f t="shared" si="211"/>
        <v>0</v>
      </c>
      <c r="T527" t="s">
        <v>500</v>
      </c>
    </row>
    <row r="528" spans="1:20" ht="15.75" hidden="1" customHeight="1" x14ac:dyDescent="0.3">
      <c r="A528" s="234" t="s">
        <v>2161</v>
      </c>
      <c r="B528" s="10"/>
      <c r="C528" s="10"/>
      <c r="D528" s="10"/>
      <c r="E528" s="38" t="s">
        <v>852</v>
      </c>
      <c r="F528" s="10"/>
      <c r="G528" s="10"/>
      <c r="H528" s="10"/>
      <c r="I528" s="38" t="s">
        <v>852</v>
      </c>
      <c r="J528" s="10"/>
      <c r="K528" s="10"/>
      <c r="L528" s="10"/>
      <c r="M528" s="38" t="s">
        <v>852</v>
      </c>
      <c r="N528" s="10"/>
      <c r="O528" s="10"/>
      <c r="P528" s="10"/>
      <c r="Q528" s="38" t="s">
        <v>852</v>
      </c>
      <c r="R528" s="38" t="s">
        <v>852</v>
      </c>
    </row>
    <row r="529" spans="1:20" ht="15.75" hidden="1" customHeight="1" x14ac:dyDescent="0.3">
      <c r="A529" s="310" t="s">
        <v>1065</v>
      </c>
      <c r="B529" s="10"/>
      <c r="C529" s="10"/>
      <c r="D529" s="10"/>
      <c r="E529" s="38">
        <f>SUM(B529:D529)</f>
        <v>0</v>
      </c>
      <c r="F529" s="10"/>
      <c r="G529" s="10"/>
      <c r="H529" s="10"/>
      <c r="I529" s="38">
        <f>SUM(F529:H529)</f>
        <v>0</v>
      </c>
      <c r="J529" s="10"/>
      <c r="K529" s="10"/>
      <c r="L529" s="10"/>
      <c r="M529" s="38">
        <f>SUM(J529:L529)</f>
        <v>0</v>
      </c>
      <c r="N529" s="10"/>
      <c r="O529" s="10"/>
      <c r="P529" s="10"/>
      <c r="Q529" s="38">
        <f>SUM(N529:P529)</f>
        <v>0</v>
      </c>
      <c r="R529" s="38">
        <f>+E529+I529+M529+Q529</f>
        <v>0</v>
      </c>
    </row>
    <row r="530" spans="1:20" ht="15.75" hidden="1" customHeight="1" x14ac:dyDescent="0.3">
      <c r="A530" s="310" t="s">
        <v>355</v>
      </c>
      <c r="B530" s="10"/>
      <c r="C530" s="10"/>
      <c r="D530" s="10"/>
      <c r="E530" s="38">
        <f>SUM(B530:D530)</f>
        <v>0</v>
      </c>
      <c r="F530" s="10"/>
      <c r="G530" s="10"/>
      <c r="H530" s="10"/>
      <c r="I530" s="38">
        <f>SUM(F530:H530)</f>
        <v>0</v>
      </c>
      <c r="J530" s="10"/>
      <c r="K530" s="10"/>
      <c r="L530" s="10"/>
      <c r="M530" s="38">
        <f>SUM(J530:L530)</f>
        <v>0</v>
      </c>
      <c r="N530" s="10"/>
      <c r="O530" s="10"/>
      <c r="P530" s="10"/>
      <c r="Q530" s="38">
        <f>SUM(N530:P530)</f>
        <v>0</v>
      </c>
      <c r="R530" s="38">
        <f>+E530+I530+M530+Q530</f>
        <v>0</v>
      </c>
    </row>
    <row r="531" spans="1:20" ht="15.75" hidden="1" customHeight="1" x14ac:dyDescent="0.3">
      <c r="A531" s="234" t="s">
        <v>3245</v>
      </c>
      <c r="B531" s="10"/>
      <c r="C531" s="10"/>
      <c r="D531" s="10"/>
      <c r="E531" s="38" t="s">
        <v>852</v>
      </c>
      <c r="F531" s="10"/>
      <c r="G531" s="10"/>
      <c r="H531" s="10"/>
      <c r="I531" s="38" t="s">
        <v>852</v>
      </c>
      <c r="J531" s="10"/>
      <c r="K531" s="10"/>
      <c r="L531" s="10"/>
      <c r="M531" s="38" t="s">
        <v>852</v>
      </c>
      <c r="N531" s="10"/>
      <c r="O531" s="10"/>
      <c r="P531" s="10"/>
      <c r="Q531" s="38" t="s">
        <v>852</v>
      </c>
      <c r="R531" s="38" t="s">
        <v>852</v>
      </c>
    </row>
    <row r="532" spans="1:20" ht="15.75" hidden="1" customHeight="1" thickBot="1" x14ac:dyDescent="0.35">
      <c r="A532" s="234" t="s">
        <v>2164</v>
      </c>
      <c r="B532" s="10"/>
      <c r="C532" s="10"/>
      <c r="D532" s="10"/>
      <c r="E532" s="38" t="s">
        <v>852</v>
      </c>
      <c r="F532" s="10"/>
      <c r="G532" s="10"/>
      <c r="H532" s="10"/>
      <c r="I532" s="38" t="s">
        <v>852</v>
      </c>
      <c r="J532" s="10"/>
      <c r="K532" s="10"/>
      <c r="L532" s="10"/>
      <c r="M532" s="38" t="s">
        <v>852</v>
      </c>
      <c r="N532" s="10"/>
      <c r="O532" s="10"/>
      <c r="P532" s="10"/>
      <c r="Q532" s="38" t="s">
        <v>852</v>
      </c>
      <c r="R532" s="38" t="s">
        <v>852</v>
      </c>
    </row>
    <row r="533" spans="1:20" ht="16.5" hidden="1" customHeight="1" thickBot="1" x14ac:dyDescent="0.35">
      <c r="A533" s="322" t="s">
        <v>1218</v>
      </c>
      <c r="B533" s="45">
        <f>SUM(B521:B532)</f>
        <v>0</v>
      </c>
      <c r="C533" s="46">
        <f>SUM(C521:C532)</f>
        <v>0</v>
      </c>
      <c r="D533" s="46">
        <f>SUM(D521:D532)</f>
        <v>6</v>
      </c>
      <c r="E533" s="37">
        <f>SUM(B533:D533)</f>
        <v>6</v>
      </c>
      <c r="F533" s="46">
        <f>SUM(F521:F532)</f>
        <v>2534</v>
      </c>
      <c r="G533" s="46">
        <f>SUM(G521:G532)</f>
        <v>10</v>
      </c>
      <c r="H533" s="46">
        <f>SUM(H521:H532)</f>
        <v>14</v>
      </c>
      <c r="I533" s="37">
        <f>SUM(F533:H533)</f>
        <v>2558</v>
      </c>
      <c r="J533" s="46">
        <f>SUM(J521:J532)</f>
        <v>14</v>
      </c>
      <c r="K533" s="46">
        <f>SUM(K521:K532)</f>
        <v>14</v>
      </c>
      <c r="L533" s="46">
        <f>SUM(L521:L532)</f>
        <v>10</v>
      </c>
      <c r="M533" s="37">
        <f>SUM(J533:L533)</f>
        <v>38</v>
      </c>
      <c r="N533" s="46">
        <f>SUM(N521:N532)</f>
        <v>4</v>
      </c>
      <c r="O533" s="46">
        <f>SUM(O521:O532)</f>
        <v>1</v>
      </c>
      <c r="P533" s="46">
        <f>SUM(P521:P532)</f>
        <v>1</v>
      </c>
      <c r="Q533" s="37">
        <f>SUM(N533:P533)</f>
        <v>6</v>
      </c>
      <c r="R533" s="37">
        <f>+E533+I533+M533+Q533</f>
        <v>2608</v>
      </c>
    </row>
    <row r="534" spans="1:20" ht="15.75" hidden="1" customHeight="1" x14ac:dyDescent="0.3">
      <c r="A534" s="234" t="s">
        <v>1172</v>
      </c>
      <c r="B534" s="10"/>
      <c r="C534" s="10"/>
      <c r="D534" s="10"/>
      <c r="E534" s="38" t="s">
        <v>852</v>
      </c>
      <c r="F534" s="10"/>
      <c r="G534" s="10"/>
      <c r="H534" s="10"/>
      <c r="I534" s="38" t="s">
        <v>852</v>
      </c>
      <c r="J534" s="10"/>
      <c r="K534" s="10"/>
      <c r="L534" s="10"/>
      <c r="M534" s="38" t="s">
        <v>852</v>
      </c>
      <c r="N534" s="10" t="s">
        <v>852</v>
      </c>
      <c r="O534" s="10"/>
      <c r="P534" s="10"/>
      <c r="Q534" s="38" t="s">
        <v>852</v>
      </c>
      <c r="R534" s="38" t="s">
        <v>852</v>
      </c>
    </row>
    <row r="535" spans="1:20" ht="15.75" hidden="1" customHeight="1" x14ac:dyDescent="0.3">
      <c r="A535" s="234" t="s">
        <v>2409</v>
      </c>
      <c r="B535" s="10"/>
      <c r="C535" s="10"/>
      <c r="D535" s="10"/>
      <c r="E535" s="38" t="s">
        <v>852</v>
      </c>
      <c r="F535" s="10"/>
      <c r="G535" s="10"/>
      <c r="H535" s="10"/>
      <c r="I535" s="38" t="s">
        <v>852</v>
      </c>
      <c r="J535" s="10"/>
      <c r="K535" s="10"/>
      <c r="L535" s="10"/>
      <c r="M535" s="38" t="s">
        <v>852</v>
      </c>
      <c r="N535" s="10"/>
      <c r="O535" s="10"/>
      <c r="P535" s="10"/>
      <c r="Q535" s="38" t="s">
        <v>852</v>
      </c>
      <c r="R535" s="38" t="s">
        <v>852</v>
      </c>
    </row>
    <row r="536" spans="1:20" ht="15.75" hidden="1" customHeight="1" x14ac:dyDescent="0.3">
      <c r="A536" s="310" t="s">
        <v>473</v>
      </c>
      <c r="B536" s="10">
        <v>165</v>
      </c>
      <c r="C536" s="10">
        <v>213</v>
      </c>
      <c r="D536" s="10">
        <f>3540</f>
        <v>3540</v>
      </c>
      <c r="E536" s="38">
        <f>SUM(B536:D536)</f>
        <v>3918</v>
      </c>
      <c r="F536" s="10">
        <v>9026</v>
      </c>
      <c r="G536" s="10">
        <v>5680</v>
      </c>
      <c r="H536" s="10">
        <v>8000</v>
      </c>
      <c r="I536" s="38">
        <f>SUM(F536:H536)</f>
        <v>22706</v>
      </c>
      <c r="J536" s="10">
        <v>11800</v>
      </c>
      <c r="K536" s="10">
        <v>9760</v>
      </c>
      <c r="L536" s="10">
        <v>1280</v>
      </c>
      <c r="M536" s="38">
        <f>SUM(J536:L536)</f>
        <v>22840</v>
      </c>
      <c r="N536" s="10">
        <v>1240</v>
      </c>
      <c r="O536" s="10">
        <v>850</v>
      </c>
      <c r="P536" s="10">
        <v>597</v>
      </c>
      <c r="Q536" s="38">
        <f>SUM(N536:P536)</f>
        <v>2687</v>
      </c>
      <c r="R536" s="38">
        <f>+E536+I536+M536+Q536</f>
        <v>52151</v>
      </c>
    </row>
    <row r="537" spans="1:20" ht="15.75" hidden="1" customHeight="1" thickBot="1" x14ac:dyDescent="0.35">
      <c r="A537" s="234" t="s">
        <v>2165</v>
      </c>
      <c r="B537" s="10"/>
      <c r="C537" s="10"/>
      <c r="D537" s="10"/>
      <c r="E537" s="38" t="s">
        <v>852</v>
      </c>
      <c r="F537" s="10"/>
      <c r="G537" s="10"/>
      <c r="H537" s="10"/>
      <c r="I537" s="38" t="s">
        <v>852</v>
      </c>
      <c r="J537" s="10"/>
      <c r="K537" s="10"/>
      <c r="L537" s="10"/>
      <c r="M537" s="38" t="s">
        <v>852</v>
      </c>
      <c r="N537" s="10"/>
      <c r="O537" s="10"/>
      <c r="P537" s="10"/>
      <c r="Q537" s="38" t="s">
        <v>852</v>
      </c>
      <c r="R537" s="38" t="s">
        <v>852</v>
      </c>
    </row>
    <row r="538" spans="1:20" ht="16.5" hidden="1" customHeight="1" thickBot="1" x14ac:dyDescent="0.35">
      <c r="A538" s="43" t="s">
        <v>1219</v>
      </c>
      <c r="B538" s="45">
        <f>SUM(B534:B537)</f>
        <v>165</v>
      </c>
      <c r="C538" s="46">
        <f>SUM(C534:C537)</f>
        <v>213</v>
      </c>
      <c r="D538" s="46">
        <f>SUM(D534:D537)</f>
        <v>3540</v>
      </c>
      <c r="E538" s="37">
        <f>SUM(B538:D538)</f>
        <v>3918</v>
      </c>
      <c r="F538" s="46">
        <f>SUM(F534:F537)</f>
        <v>9026</v>
      </c>
      <c r="G538" s="46">
        <f>SUM(G534:G537)</f>
        <v>5680</v>
      </c>
      <c r="H538" s="46">
        <f>SUM(H534:H537)</f>
        <v>8000</v>
      </c>
      <c r="I538" s="37">
        <f>SUM(F538:H538)</f>
        <v>22706</v>
      </c>
      <c r="J538" s="46">
        <f>SUM(J534:J537)</f>
        <v>11800</v>
      </c>
      <c r="K538" s="46">
        <f>SUM(K534:K537)</f>
        <v>9760</v>
      </c>
      <c r="L538" s="46">
        <f>SUM(L534:L537)</f>
        <v>1280</v>
      </c>
      <c r="M538" s="37">
        <f>SUM(J538:L538)</f>
        <v>22840</v>
      </c>
      <c r="N538" s="46">
        <f>SUM(N534:N537)</f>
        <v>1240</v>
      </c>
      <c r="O538" s="46">
        <f>SUM(O534:O537)</f>
        <v>850</v>
      </c>
      <c r="P538" s="46">
        <f>SUM(P534:P537)</f>
        <v>597</v>
      </c>
      <c r="Q538" s="37">
        <f>SUM(N538:P538)</f>
        <v>2687</v>
      </c>
      <c r="R538" s="37">
        <f>+E538+I538+M538+Q538</f>
        <v>52151</v>
      </c>
    </row>
    <row r="539" spans="1:20" ht="15.75" hidden="1" customHeight="1" x14ac:dyDescent="0.3">
      <c r="A539" s="234" t="s">
        <v>2166</v>
      </c>
      <c r="B539" s="10"/>
      <c r="C539" s="10"/>
      <c r="D539" s="10"/>
      <c r="E539" s="38" t="s">
        <v>852</v>
      </c>
      <c r="F539" s="10"/>
      <c r="G539" s="10"/>
      <c r="H539" s="10"/>
      <c r="I539" s="38" t="s">
        <v>852</v>
      </c>
      <c r="J539" s="10"/>
      <c r="K539" s="10"/>
      <c r="L539" s="10"/>
      <c r="M539" s="38" t="s">
        <v>852</v>
      </c>
      <c r="N539" s="10"/>
      <c r="O539" s="10"/>
      <c r="P539" s="10"/>
      <c r="Q539" s="38" t="s">
        <v>852</v>
      </c>
      <c r="R539" s="38" t="s">
        <v>852</v>
      </c>
    </row>
    <row r="540" spans="1:20" ht="15.75" hidden="1" customHeight="1" x14ac:dyDescent="0.3">
      <c r="A540" s="234" t="s">
        <v>1245</v>
      </c>
      <c r="B540" s="10"/>
      <c r="C540" s="10"/>
      <c r="D540" s="10"/>
      <c r="E540" s="38" t="s">
        <v>852</v>
      </c>
      <c r="F540" s="10"/>
      <c r="G540" s="10"/>
      <c r="H540" s="10"/>
      <c r="I540" s="38" t="s">
        <v>852</v>
      </c>
      <c r="J540" s="10"/>
      <c r="K540" s="10"/>
      <c r="L540" s="10"/>
      <c r="M540" s="38" t="s">
        <v>852</v>
      </c>
      <c r="N540" s="10"/>
      <c r="O540" s="10"/>
      <c r="P540" s="10"/>
      <c r="Q540" s="38" t="s">
        <v>852</v>
      </c>
      <c r="R540" s="38" t="s">
        <v>852</v>
      </c>
    </row>
    <row r="541" spans="1:20" ht="15.75" hidden="1" customHeight="1" x14ac:dyDescent="0.3">
      <c r="A541" s="234" t="s">
        <v>1711</v>
      </c>
      <c r="B541" s="10"/>
      <c r="C541" s="10"/>
      <c r="D541" s="10"/>
      <c r="E541" s="38" t="s">
        <v>852</v>
      </c>
      <c r="F541" s="10"/>
      <c r="G541" s="10"/>
      <c r="H541" s="10"/>
      <c r="I541" s="38" t="s">
        <v>852</v>
      </c>
      <c r="J541" s="10"/>
      <c r="K541" s="10"/>
      <c r="L541" s="10"/>
      <c r="M541" s="38" t="s">
        <v>852</v>
      </c>
      <c r="N541" s="10"/>
      <c r="O541" s="10"/>
      <c r="P541" s="10"/>
      <c r="Q541" s="38" t="s">
        <v>852</v>
      </c>
      <c r="R541" s="38" t="s">
        <v>852</v>
      </c>
    </row>
    <row r="542" spans="1:20" ht="15.75" hidden="1" customHeight="1" x14ac:dyDescent="0.3">
      <c r="A542" s="539" t="s">
        <v>3404</v>
      </c>
      <c r="B542" s="10"/>
      <c r="C542" s="10"/>
      <c r="D542" s="10"/>
      <c r="E542" s="38">
        <f>SUM(B542:D542)</f>
        <v>0</v>
      </c>
      <c r="F542" s="10"/>
      <c r="G542" s="10"/>
      <c r="H542" s="10">
        <v>2000</v>
      </c>
      <c r="I542" s="38">
        <f>SUM(F542:H542)</f>
        <v>2000</v>
      </c>
      <c r="J542" s="10"/>
      <c r="K542" s="10"/>
      <c r="L542" s="10"/>
      <c r="M542" s="38">
        <f>SUM(J542:L542)</f>
        <v>0</v>
      </c>
      <c r="N542" s="10"/>
      <c r="O542" s="10"/>
      <c r="P542" s="10"/>
      <c r="Q542" s="38">
        <f>SUM(N542:P542)</f>
        <v>0</v>
      </c>
      <c r="R542" s="38">
        <f>+E542+I542+M542+Q542</f>
        <v>2000</v>
      </c>
      <c r="T542" t="s">
        <v>500</v>
      </c>
    </row>
    <row r="543" spans="1:20" ht="15.75" hidden="1" customHeight="1" thickBot="1" x14ac:dyDescent="0.35">
      <c r="A543" s="689" t="s">
        <v>2937</v>
      </c>
      <c r="B543" s="10"/>
      <c r="C543" s="10"/>
      <c r="D543" s="700"/>
      <c r="E543" s="38">
        <f>SUM(B543:D543)</f>
        <v>0</v>
      </c>
      <c r="F543" s="10"/>
      <c r="G543" s="10"/>
      <c r="H543" s="10">
        <v>2000</v>
      </c>
      <c r="I543" s="38">
        <f>SUM(F543:H543)</f>
        <v>2000</v>
      </c>
      <c r="J543" s="10">
        <v>2000</v>
      </c>
      <c r="K543" s="10">
        <v>2000</v>
      </c>
      <c r="L543" s="10"/>
      <c r="M543" s="38">
        <f>SUM(J543:L543)</f>
        <v>4000</v>
      </c>
      <c r="N543" s="10"/>
      <c r="O543" s="10"/>
      <c r="P543" s="10"/>
      <c r="Q543" s="38">
        <f>SUM(N543:P543)</f>
        <v>0</v>
      </c>
      <c r="R543" s="38">
        <f>+E543+I543+M543+Q543</f>
        <v>6000</v>
      </c>
      <c r="T543" t="s">
        <v>500</v>
      </c>
    </row>
    <row r="544" spans="1:20" ht="16.5" hidden="1" customHeight="1" thickBot="1" x14ac:dyDescent="0.35">
      <c r="A544" s="277" t="s">
        <v>1220</v>
      </c>
      <c r="B544" s="45">
        <f>SUM(B539:B543)</f>
        <v>0</v>
      </c>
      <c r="C544" s="46">
        <f>SUM(C539:C543)</f>
        <v>0</v>
      </c>
      <c r="D544" s="46">
        <f>SUM(D539:D543)</f>
        <v>0</v>
      </c>
      <c r="E544" s="37">
        <f>SUM(B544:D544)</f>
        <v>0</v>
      </c>
      <c r="F544" s="46">
        <f>SUM(F539:F543)</f>
        <v>0</v>
      </c>
      <c r="G544" s="46">
        <f>SUM(G539:G543)</f>
        <v>0</v>
      </c>
      <c r="H544" s="46">
        <f>SUM(H539:H543)</f>
        <v>4000</v>
      </c>
      <c r="I544" s="37">
        <f>SUM(F544:H544)</f>
        <v>4000</v>
      </c>
      <c r="J544" s="46">
        <f>SUM(J539:J543)</f>
        <v>2000</v>
      </c>
      <c r="K544" s="46">
        <f>SUM(K539:K543)</f>
        <v>2000</v>
      </c>
      <c r="L544" s="46">
        <f>SUM(L539:L543)</f>
        <v>0</v>
      </c>
      <c r="M544" s="37">
        <f>SUM(J544:L544)</f>
        <v>4000</v>
      </c>
      <c r="N544" s="46">
        <f>SUM(N539:N543)</f>
        <v>0</v>
      </c>
      <c r="O544" s="46">
        <f>SUM(O539:O543)</f>
        <v>0</v>
      </c>
      <c r="P544" s="46">
        <f>SUM(P539:P543)</f>
        <v>0</v>
      </c>
      <c r="Q544" s="37">
        <f>SUM(N544:P544)</f>
        <v>0</v>
      </c>
      <c r="R544" s="37">
        <f>+E544+I544+M544+Q544</f>
        <v>8000</v>
      </c>
    </row>
    <row r="545" spans="1:20" ht="15.75" hidden="1" customHeight="1" x14ac:dyDescent="0.3">
      <c r="A545" s="234" t="s">
        <v>1712</v>
      </c>
      <c r="B545" s="10"/>
      <c r="C545" s="10"/>
      <c r="D545" s="10"/>
      <c r="E545" s="38" t="s">
        <v>852</v>
      </c>
      <c r="F545" s="10"/>
      <c r="G545" s="10"/>
      <c r="H545" s="10"/>
      <c r="I545" s="38" t="s">
        <v>852</v>
      </c>
      <c r="J545" s="10"/>
      <c r="K545" s="10"/>
      <c r="L545" s="10"/>
      <c r="M545" s="38" t="s">
        <v>852</v>
      </c>
      <c r="N545" s="10"/>
      <c r="O545" s="10"/>
      <c r="P545" s="10"/>
      <c r="Q545" s="38" t="s">
        <v>852</v>
      </c>
      <c r="R545" s="38" t="s">
        <v>852</v>
      </c>
    </row>
    <row r="546" spans="1:20" ht="15.75" hidden="1" customHeight="1" x14ac:dyDescent="0.3">
      <c r="A546" s="234" t="s">
        <v>1021</v>
      </c>
      <c r="B546" s="10"/>
      <c r="C546" s="10"/>
      <c r="D546" s="10"/>
      <c r="E546" s="38" t="s">
        <v>852</v>
      </c>
      <c r="F546" s="10"/>
      <c r="G546" s="10"/>
      <c r="H546" s="10"/>
      <c r="I546" s="38" t="s">
        <v>852</v>
      </c>
      <c r="J546" s="10"/>
      <c r="K546" s="10"/>
      <c r="L546" s="10"/>
      <c r="M546" s="38" t="s">
        <v>852</v>
      </c>
      <c r="N546" s="10"/>
      <c r="O546" s="10"/>
      <c r="P546" s="10"/>
      <c r="Q546" s="38" t="s">
        <v>852</v>
      </c>
      <c r="R546" s="38" t="s">
        <v>852</v>
      </c>
    </row>
    <row r="547" spans="1:20" ht="15.75" hidden="1" customHeight="1" x14ac:dyDescent="0.3">
      <c r="A547" s="234" t="s">
        <v>557</v>
      </c>
      <c r="B547" s="10"/>
      <c r="C547" s="10"/>
      <c r="D547" s="10"/>
      <c r="E547" s="38" t="s">
        <v>852</v>
      </c>
      <c r="F547" s="10"/>
      <c r="G547" s="10"/>
      <c r="H547" s="10"/>
      <c r="I547" s="38" t="s">
        <v>852</v>
      </c>
      <c r="J547" s="10"/>
      <c r="K547" s="10"/>
      <c r="L547" s="10"/>
      <c r="M547" s="38" t="s">
        <v>852</v>
      </c>
      <c r="N547" s="10"/>
      <c r="O547" s="10"/>
      <c r="P547" s="10"/>
      <c r="Q547" s="38" t="s">
        <v>852</v>
      </c>
      <c r="R547" s="38" t="s">
        <v>852</v>
      </c>
    </row>
    <row r="548" spans="1:20" ht="15.75" hidden="1" customHeight="1" x14ac:dyDescent="0.3">
      <c r="A548" s="234" t="s">
        <v>1022</v>
      </c>
      <c r="B548" s="10"/>
      <c r="C548" s="10"/>
      <c r="D548" s="10"/>
      <c r="E548" s="38" t="s">
        <v>852</v>
      </c>
      <c r="F548" s="10"/>
      <c r="G548" s="10"/>
      <c r="H548" s="10"/>
      <c r="I548" s="38" t="s">
        <v>852</v>
      </c>
      <c r="J548" s="10"/>
      <c r="K548" s="10"/>
      <c r="L548" s="10"/>
      <c r="M548" s="38" t="s">
        <v>852</v>
      </c>
      <c r="N548" s="10"/>
      <c r="O548" s="10"/>
      <c r="P548" s="10"/>
      <c r="Q548" s="38" t="s">
        <v>852</v>
      </c>
      <c r="R548" s="38" t="s">
        <v>852</v>
      </c>
    </row>
    <row r="549" spans="1:20" ht="15.75" hidden="1" customHeight="1" x14ac:dyDescent="0.3">
      <c r="A549" s="234" t="s">
        <v>559</v>
      </c>
      <c r="B549" s="10"/>
      <c r="C549" s="10"/>
      <c r="D549" s="10"/>
      <c r="E549" s="38" t="s">
        <v>852</v>
      </c>
      <c r="F549" s="10"/>
      <c r="G549" s="10"/>
      <c r="H549" s="10"/>
      <c r="I549" s="38" t="s">
        <v>852</v>
      </c>
      <c r="J549" s="10"/>
      <c r="K549" s="10"/>
      <c r="L549" s="10"/>
      <c r="M549" s="38" t="s">
        <v>852</v>
      </c>
      <c r="N549" s="10"/>
      <c r="O549" s="10"/>
      <c r="P549" s="10"/>
      <c r="Q549" s="38" t="s">
        <v>852</v>
      </c>
      <c r="R549" s="38" t="s">
        <v>852</v>
      </c>
    </row>
    <row r="550" spans="1:20" ht="15.75" hidden="1" customHeight="1" x14ac:dyDescent="0.3">
      <c r="A550" s="539" t="s">
        <v>2936</v>
      </c>
      <c r="B550" s="10"/>
      <c r="C550" s="10"/>
      <c r="D550" s="10"/>
      <c r="E550" s="38">
        <f t="shared" ref="E550:E551" si="212">SUM(B550:D550)</f>
        <v>0</v>
      </c>
      <c r="F550" s="10"/>
      <c r="G550" s="10"/>
      <c r="H550" s="10"/>
      <c r="I550" s="38">
        <f t="shared" ref="I550:I551" si="213">SUM(F550:H550)</f>
        <v>0</v>
      </c>
      <c r="J550" s="10"/>
      <c r="K550" s="10"/>
      <c r="L550" s="10"/>
      <c r="M550" s="38">
        <f t="shared" ref="M550:M551" si="214">SUM(J550:L550)</f>
        <v>0</v>
      </c>
      <c r="N550" s="10"/>
      <c r="O550" s="10"/>
      <c r="P550" s="10"/>
      <c r="Q550" s="38">
        <f t="shared" ref="Q550:Q551" si="215">SUM(N550:P550)</f>
        <v>0</v>
      </c>
      <c r="R550" s="38">
        <f t="shared" ref="R550:R555" si="216">+E550+I550+M550+Q550</f>
        <v>0</v>
      </c>
      <c r="T550" t="s">
        <v>500</v>
      </c>
    </row>
    <row r="551" spans="1:20" ht="15.75" hidden="1" customHeight="1" thickBot="1" x14ac:dyDescent="0.35">
      <c r="A551" s="539" t="s">
        <v>2834</v>
      </c>
      <c r="B551" s="10"/>
      <c r="C551" s="10"/>
      <c r="D551" s="10"/>
      <c r="E551" s="38">
        <f t="shared" si="212"/>
        <v>0</v>
      </c>
      <c r="F551" s="10"/>
      <c r="G551" s="10"/>
      <c r="H551" s="10"/>
      <c r="I551" s="38">
        <f t="shared" si="213"/>
        <v>0</v>
      </c>
      <c r="J551" s="10"/>
      <c r="K551" s="10"/>
      <c r="L551" s="10"/>
      <c r="M551" s="38">
        <f t="shared" si="214"/>
        <v>0</v>
      </c>
      <c r="N551" s="10"/>
      <c r="O551" s="10"/>
      <c r="P551" s="10"/>
      <c r="Q551" s="38">
        <f t="shared" si="215"/>
        <v>0</v>
      </c>
      <c r="R551" s="38">
        <f t="shared" si="216"/>
        <v>0</v>
      </c>
      <c r="T551" t="s">
        <v>500</v>
      </c>
    </row>
    <row r="552" spans="1:20" ht="16.5" hidden="1" customHeight="1" thickBot="1" x14ac:dyDescent="0.35">
      <c r="A552" s="43" t="s">
        <v>1019</v>
      </c>
      <c r="B552" s="42">
        <f>SUM(B548:B551)</f>
        <v>0</v>
      </c>
      <c r="C552" s="42">
        <f>SUM(C548:C551)</f>
        <v>0</v>
      </c>
      <c r="D552" s="42">
        <f>SUM(D548:D551)</f>
        <v>0</v>
      </c>
      <c r="E552" s="39">
        <f t="shared" ref="E552:E555" si="217">SUM(B552:D552)</f>
        <v>0</v>
      </c>
      <c r="F552" s="42">
        <f>SUM(F548:F551)</f>
        <v>0</v>
      </c>
      <c r="G552" s="42">
        <f>SUM(G548:G551)</f>
        <v>0</v>
      </c>
      <c r="H552" s="42">
        <f>SUM(H548:H551)</f>
        <v>0</v>
      </c>
      <c r="I552" s="39">
        <f t="shared" ref="I552:I555" si="218">SUM(F552:H552)</f>
        <v>0</v>
      </c>
      <c r="J552" s="42">
        <f>SUM(J548:J551)</f>
        <v>0</v>
      </c>
      <c r="K552" s="42">
        <f>SUM(K548:K551)</f>
        <v>0</v>
      </c>
      <c r="L552" s="42">
        <f>SUM(L548:L551)</f>
        <v>0</v>
      </c>
      <c r="M552" s="39">
        <f t="shared" ref="M552:M555" si="219">SUM(J552:L552)</f>
        <v>0</v>
      </c>
      <c r="N552" s="42">
        <f>SUM(N548:N551)</f>
        <v>0</v>
      </c>
      <c r="O552" s="42">
        <f>SUM(O548:O551)</f>
        <v>0</v>
      </c>
      <c r="P552" s="42">
        <f>SUM(P548:P551)</f>
        <v>0</v>
      </c>
      <c r="Q552" s="39">
        <f t="shared" ref="Q552:Q555" si="220">SUM(N552:P552)</f>
        <v>0</v>
      </c>
      <c r="R552" s="37">
        <f t="shared" si="216"/>
        <v>0</v>
      </c>
    </row>
    <row r="553" spans="1:20" ht="16.5" hidden="1" customHeight="1" thickBot="1" x14ac:dyDescent="0.35">
      <c r="A553" s="277" t="s">
        <v>1221</v>
      </c>
      <c r="B553" s="45">
        <f>SUM(B545:B551)</f>
        <v>0</v>
      </c>
      <c r="C553" s="46">
        <f>SUM(C545:C551)</f>
        <v>0</v>
      </c>
      <c r="D553" s="58">
        <f>SUM(D545:D551)</f>
        <v>0</v>
      </c>
      <c r="E553" s="39">
        <f t="shared" si="217"/>
        <v>0</v>
      </c>
      <c r="F553" s="46">
        <f>SUM(F545:F551)</f>
        <v>0</v>
      </c>
      <c r="G553" s="46">
        <f>SUM(G545:G551)</f>
        <v>0</v>
      </c>
      <c r="H553" s="46">
        <f>SUM(H545:H551)</f>
        <v>0</v>
      </c>
      <c r="I553" s="39">
        <f t="shared" si="218"/>
        <v>0</v>
      </c>
      <c r="J553" s="46">
        <f>SUM(J545:J551)</f>
        <v>0</v>
      </c>
      <c r="K553" s="46">
        <f>SUM(K545:K551)</f>
        <v>0</v>
      </c>
      <c r="L553" s="46">
        <f>SUM(L545:L551)</f>
        <v>0</v>
      </c>
      <c r="M553" s="39">
        <f t="shared" si="219"/>
        <v>0</v>
      </c>
      <c r="N553" s="46">
        <f>SUM(N545:N551)</f>
        <v>0</v>
      </c>
      <c r="O553" s="46">
        <f>SUM(O545:O551)</f>
        <v>0</v>
      </c>
      <c r="P553" s="46">
        <f>SUM(P545:P551)</f>
        <v>0</v>
      </c>
      <c r="Q553" s="39">
        <f t="shared" si="220"/>
        <v>0</v>
      </c>
      <c r="R553" s="37">
        <f t="shared" si="216"/>
        <v>0</v>
      </c>
    </row>
    <row r="554" spans="1:20" ht="16.5" hidden="1" customHeight="1" thickBot="1" x14ac:dyDescent="0.35">
      <c r="A554" s="43" t="s">
        <v>1222</v>
      </c>
      <c r="B554" s="47">
        <f>+B533+B538+B544+B553</f>
        <v>165</v>
      </c>
      <c r="C554" s="42">
        <f>+C533+C538+C544+C553</f>
        <v>213</v>
      </c>
      <c r="D554" s="42">
        <f>+D533+D538+D544+D553</f>
        <v>3546</v>
      </c>
      <c r="E554" s="37">
        <f t="shared" si="217"/>
        <v>3924</v>
      </c>
      <c r="F554" s="42">
        <f>+F533+F538+F544+F553</f>
        <v>11560</v>
      </c>
      <c r="G554" s="42">
        <f>+G533+G538+G544+G553</f>
        <v>5690</v>
      </c>
      <c r="H554" s="42">
        <f>+H533+H538+H544+H553</f>
        <v>12014</v>
      </c>
      <c r="I554" s="37">
        <f t="shared" si="218"/>
        <v>29264</v>
      </c>
      <c r="J554" s="42">
        <f>+J533+J538+J544+J553</f>
        <v>13814</v>
      </c>
      <c r="K554" s="42">
        <f>+K533+K538+K544+K553</f>
        <v>11774</v>
      </c>
      <c r="L554" s="42">
        <f>+L533+L538+L544+L553</f>
        <v>1290</v>
      </c>
      <c r="M554" s="37">
        <f t="shared" si="219"/>
        <v>26878</v>
      </c>
      <c r="N554" s="42">
        <f>+N533+N538+N544+N553</f>
        <v>1244</v>
      </c>
      <c r="O554" s="42">
        <f>+O533+O538+O544+O553</f>
        <v>851</v>
      </c>
      <c r="P554" s="42">
        <f>+P533+P538+P544+P553</f>
        <v>598</v>
      </c>
      <c r="Q554" s="37">
        <f t="shared" si="220"/>
        <v>2693</v>
      </c>
      <c r="R554" s="40">
        <f>+E554+I554+M554+Q554</f>
        <v>62759</v>
      </c>
    </row>
    <row r="555" spans="1:20" ht="16.5" hidden="1" customHeight="1" thickBot="1" x14ac:dyDescent="0.35">
      <c r="A555" s="299" t="s">
        <v>853</v>
      </c>
      <c r="B555" s="294">
        <v>9</v>
      </c>
      <c r="C555" s="294">
        <v>16</v>
      </c>
      <c r="D555" s="294">
        <v>25</v>
      </c>
      <c r="E555" s="38">
        <f t="shared" si="217"/>
        <v>50</v>
      </c>
      <c r="F555" s="294">
        <v>34</v>
      </c>
      <c r="G555" s="294">
        <v>41</v>
      </c>
      <c r="H555" s="294">
        <v>41</v>
      </c>
      <c r="I555" s="38">
        <f t="shared" si="218"/>
        <v>116</v>
      </c>
      <c r="J555" s="294">
        <v>39</v>
      </c>
      <c r="K555" s="294">
        <v>30</v>
      </c>
      <c r="L555" s="294">
        <v>30</v>
      </c>
      <c r="M555" s="38">
        <f t="shared" si="219"/>
        <v>99</v>
      </c>
      <c r="N555" s="294">
        <v>28</v>
      </c>
      <c r="O555" s="294">
        <v>22</v>
      </c>
      <c r="P555" s="294">
        <v>16</v>
      </c>
      <c r="Q555" s="38">
        <f t="shared" si="220"/>
        <v>66</v>
      </c>
      <c r="R555" s="38">
        <f t="shared" si="216"/>
        <v>331</v>
      </c>
    </row>
    <row r="556" spans="1:20" ht="16.5" hidden="1" customHeight="1" thickBot="1" x14ac:dyDescent="0.35">
      <c r="A556" s="44"/>
      <c r="B556" s="313"/>
      <c r="C556" s="313"/>
      <c r="D556" s="313"/>
      <c r="E556" s="37"/>
      <c r="F556" s="313"/>
      <c r="G556" s="313"/>
      <c r="H556" s="313"/>
      <c r="I556" s="37"/>
      <c r="J556" s="313"/>
      <c r="K556" s="313"/>
      <c r="L556" s="313"/>
      <c r="M556" s="37"/>
      <c r="N556" s="313"/>
      <c r="O556" s="313"/>
      <c r="P556" s="313"/>
      <c r="Q556" s="37"/>
      <c r="R556" s="37" t="s">
        <v>852</v>
      </c>
    </row>
    <row r="557" spans="1:20" ht="15.75" hidden="1" customHeight="1" x14ac:dyDescent="0.3">
      <c r="A557" s="259" t="s">
        <v>2011</v>
      </c>
      <c r="B557" s="741">
        <f>SUM(B554:B555)</f>
        <v>174</v>
      </c>
      <c r="C557" s="741">
        <f>SUM(C554:C555)</f>
        <v>229</v>
      </c>
      <c r="D557" s="741">
        <f>SUM(D554:D555)</f>
        <v>3571</v>
      </c>
      <c r="E557" s="39">
        <f>SUM(B557:D557)</f>
        <v>3974</v>
      </c>
      <c r="F557" s="741">
        <f>SUM(F554:F555)</f>
        <v>11594</v>
      </c>
      <c r="G557" s="741">
        <f>SUM(G554:G555)</f>
        <v>5731</v>
      </c>
      <c r="H557" s="741">
        <f>SUM(H554:H555)</f>
        <v>12055</v>
      </c>
      <c r="I557" s="39">
        <f>SUM(F557:H557)</f>
        <v>29380</v>
      </c>
      <c r="J557" s="741">
        <f>SUM(J554:J555)</f>
        <v>13853</v>
      </c>
      <c r="K557" s="741">
        <f>SUM(K554:K555)</f>
        <v>11804</v>
      </c>
      <c r="L557" s="741">
        <f>SUM(L554:L555)</f>
        <v>1320</v>
      </c>
      <c r="M557" s="39">
        <f>SUM(J557:L557)</f>
        <v>26977</v>
      </c>
      <c r="N557" s="741">
        <f>SUM(N554:N555)</f>
        <v>1272</v>
      </c>
      <c r="O557" s="741">
        <f>SUM(O554:O555)</f>
        <v>873</v>
      </c>
      <c r="P557" s="741">
        <f>SUM(P554:P555)</f>
        <v>614</v>
      </c>
      <c r="Q557" s="39">
        <f>SUM(N557:P557)</f>
        <v>2759</v>
      </c>
      <c r="R557" s="39">
        <f>+E557+I557+M557+Q557</f>
        <v>63090</v>
      </c>
    </row>
    <row r="558" spans="1:20" ht="15.75" hidden="1" customHeight="1" x14ac:dyDescent="0.3">
      <c r="A558" s="262" t="s">
        <v>1897</v>
      </c>
      <c r="B558" s="10">
        <f>(B557/B10)/1.983</f>
        <v>2.8305109560294763</v>
      </c>
      <c r="C558" s="10">
        <f>(C557/C10)/1.983</f>
        <v>4.1243426266119156</v>
      </c>
      <c r="D558" s="10">
        <f>(D557/D10)/1.983</f>
        <v>58.090543815984248</v>
      </c>
      <c r="E558" s="38" t="s">
        <v>852</v>
      </c>
      <c r="F558" s="10">
        <f>(F557/F10)/1.983</f>
        <v>194.88989746175827</v>
      </c>
      <c r="G558" s="10">
        <f>(G557/G10)/1.983</f>
        <v>93.22792120117775</v>
      </c>
      <c r="H558" s="10">
        <f>(H557/H10)/1.983</f>
        <v>202.63909900823666</v>
      </c>
      <c r="I558" s="38" t="s">
        <v>852</v>
      </c>
      <c r="J558" s="10">
        <f>(J557/J10)/1.983</f>
        <v>225.35096709124329</v>
      </c>
      <c r="K558" s="10">
        <f>(K557/K10)/1.983</f>
        <v>192.01926048834446</v>
      </c>
      <c r="L558" s="10">
        <f>(L557/L10)/1.983</f>
        <v>22.188603126575895</v>
      </c>
      <c r="M558" s="38" t="s">
        <v>852</v>
      </c>
      <c r="N558" s="10">
        <f>(N557/N10)/1.983</f>
        <v>20.692011126836171</v>
      </c>
      <c r="O558" s="10">
        <f>(O557/O10)/1.983</f>
        <v>14.674735249621785</v>
      </c>
      <c r="P558" s="10">
        <f>(P557/P10)/1.983</f>
        <v>9.9881248678281516</v>
      </c>
      <c r="Q558" s="38" t="s">
        <v>852</v>
      </c>
      <c r="R558" s="38" t="s">
        <v>852</v>
      </c>
    </row>
    <row r="559" spans="1:20" ht="15.75" hidden="1" customHeight="1" x14ac:dyDescent="0.3">
      <c r="A559" s="262" t="s">
        <v>575</v>
      </c>
      <c r="B559" s="10">
        <f>B557+B604</f>
        <v>16213</v>
      </c>
      <c r="C559" s="10">
        <f>C557+C604</f>
        <v>23435</v>
      </c>
      <c r="D559" s="10">
        <f>D557+D604</f>
        <v>32620</v>
      </c>
      <c r="E559" s="38">
        <f>SUM(B559:D559)</f>
        <v>72268</v>
      </c>
      <c r="F559" s="10">
        <f>F557+F604</f>
        <v>42309</v>
      </c>
      <c r="G559" s="10">
        <f>G557+G604</f>
        <v>36212</v>
      </c>
      <c r="H559" s="10">
        <f>H557+H604</f>
        <v>45261</v>
      </c>
      <c r="I559" s="38">
        <f>SUM(F559:H559)</f>
        <v>123782</v>
      </c>
      <c r="J559" s="10">
        <f>J557+J604</f>
        <v>45180</v>
      </c>
      <c r="K559" s="10">
        <f>K557+K604</f>
        <v>44320</v>
      </c>
      <c r="L559" s="10">
        <f>L557+L604</f>
        <v>26713</v>
      </c>
      <c r="M559" s="38">
        <f>SUM(J559:L559)</f>
        <v>116213</v>
      </c>
      <c r="N559" s="10">
        <f>N557+N604</f>
        <v>16354</v>
      </c>
      <c r="O559" s="10">
        <f>O557+O604</f>
        <v>5702</v>
      </c>
      <c r="P559" s="10">
        <f>P557+P604</f>
        <v>3632</v>
      </c>
      <c r="Q559" s="38">
        <f>SUM(N559:P559)</f>
        <v>25688</v>
      </c>
      <c r="R559" s="38">
        <f>+E559+I559+M559+Q559</f>
        <v>337951</v>
      </c>
    </row>
    <row r="560" spans="1:20" ht="16.5" hidden="1" customHeight="1" thickBot="1" x14ac:dyDescent="0.35">
      <c r="A560" s="263" t="s">
        <v>576</v>
      </c>
      <c r="B560" s="315">
        <f>(B559/B10)/1.983</f>
        <v>263.74180534543621</v>
      </c>
      <c r="C560" s="315">
        <f>(C559/C10)/1.983</f>
        <v>422.06973560982635</v>
      </c>
      <c r="D560" s="315">
        <f>(D559/D10)/1.983</f>
        <v>530.63946773380178</v>
      </c>
      <c r="E560" s="40" t="s">
        <v>852</v>
      </c>
      <c r="F560" s="315">
        <f>(F559/F10)/1.983</f>
        <v>711.1951588502269</v>
      </c>
      <c r="G560" s="315">
        <f>(G559/G10)/1.983</f>
        <v>589.07162494103102</v>
      </c>
      <c r="H560" s="315">
        <f>(H559/H10)/1.983</f>
        <v>760.81694402420578</v>
      </c>
      <c r="I560" s="40" t="s">
        <v>852</v>
      </c>
      <c r="J560" s="315">
        <f>(J559/J10)/1.983</f>
        <v>734.95681030696403</v>
      </c>
      <c r="K560" s="315">
        <f>(K559/K10)/1.983</f>
        <v>720.96692857026665</v>
      </c>
      <c r="L560" s="315">
        <f>(L559/L10)/1.983</f>
        <v>449.03345100016804</v>
      </c>
      <c r="M560" s="40" t="s">
        <v>852</v>
      </c>
      <c r="N560" s="315">
        <f>(N559/N10)/1.983</f>
        <v>266.03549525808074</v>
      </c>
      <c r="O560" s="315">
        <f>(O559/O10)/1.983</f>
        <v>95.848041687678588</v>
      </c>
      <c r="P560" s="315">
        <f>(P559/P10)/1.983</f>
        <v>59.082849381029064</v>
      </c>
      <c r="Q560" s="40" t="s">
        <v>852</v>
      </c>
      <c r="R560" s="40" t="s">
        <v>852</v>
      </c>
    </row>
    <row r="561" spans="1:20" ht="15.75" hidden="1" customHeight="1" x14ac:dyDescent="0.3">
      <c r="A561" s="17"/>
      <c r="B561" s="10"/>
      <c r="C561" s="10"/>
      <c r="D561" s="10"/>
      <c r="E561" s="10"/>
      <c r="F561" s="10"/>
      <c r="G561" s="10"/>
      <c r="H561" s="10"/>
      <c r="I561" s="10"/>
      <c r="J561" s="10"/>
      <c r="K561" s="10"/>
      <c r="L561" s="10"/>
      <c r="M561" s="10"/>
      <c r="N561" s="10"/>
      <c r="O561" s="10"/>
      <c r="P561" s="10"/>
      <c r="Q561" s="10"/>
      <c r="R561" s="17"/>
    </row>
    <row r="562" spans="1:20" ht="15.75" hidden="1" customHeight="1" thickBot="1" x14ac:dyDescent="0.35">
      <c r="A562" s="17"/>
      <c r="B562" s="10"/>
      <c r="C562" s="10"/>
      <c r="D562" s="10"/>
      <c r="E562" s="10"/>
      <c r="F562" s="10"/>
      <c r="G562" s="10"/>
      <c r="H562" s="10"/>
      <c r="I562" s="10"/>
      <c r="J562" s="10"/>
      <c r="K562" s="10"/>
      <c r="L562" s="10"/>
      <c r="M562" s="10"/>
      <c r="N562" s="10"/>
      <c r="O562" s="10"/>
      <c r="P562" s="10"/>
      <c r="Q562" s="10"/>
      <c r="R562" s="17"/>
    </row>
    <row r="563" spans="1:20" ht="16.5" hidden="1" customHeight="1" thickBot="1" x14ac:dyDescent="0.35">
      <c r="A563" s="278" t="s">
        <v>689</v>
      </c>
      <c r="B563" s="4" t="s">
        <v>2090</v>
      </c>
      <c r="C563" s="5" t="s">
        <v>2091</v>
      </c>
      <c r="D563" s="5" t="s">
        <v>2234</v>
      </c>
      <c r="E563" s="33" t="s">
        <v>1594</v>
      </c>
      <c r="F563" s="5" t="s">
        <v>2235</v>
      </c>
      <c r="G563" s="5" t="s">
        <v>2236</v>
      </c>
      <c r="H563" s="5" t="s">
        <v>2237</v>
      </c>
      <c r="I563" s="35" t="s">
        <v>1595</v>
      </c>
      <c r="J563" s="5" t="s">
        <v>1504</v>
      </c>
      <c r="K563" s="5" t="s">
        <v>1505</v>
      </c>
      <c r="L563" s="5" t="s">
        <v>1506</v>
      </c>
      <c r="M563" s="35" t="s">
        <v>1596</v>
      </c>
      <c r="N563" s="5" t="s">
        <v>1507</v>
      </c>
      <c r="O563" s="5" t="s">
        <v>1508</v>
      </c>
      <c r="P563" s="5" t="s">
        <v>1509</v>
      </c>
      <c r="Q563" s="35" t="s">
        <v>1597</v>
      </c>
      <c r="R563" s="36" t="s">
        <v>1510</v>
      </c>
    </row>
    <row r="564" spans="1:20" ht="16.5" hidden="1" customHeight="1" thickBot="1" x14ac:dyDescent="0.35">
      <c r="A564" s="37"/>
      <c r="B564" s="313"/>
      <c r="C564" s="313"/>
      <c r="D564" s="313"/>
      <c r="E564" s="308"/>
      <c r="F564" s="313"/>
      <c r="G564" s="313"/>
      <c r="H564" s="313"/>
      <c r="I564" s="316"/>
      <c r="J564" s="313"/>
      <c r="K564" s="313"/>
      <c r="L564" s="313"/>
      <c r="M564" s="316"/>
      <c r="N564" s="313"/>
      <c r="O564" s="313"/>
      <c r="P564" s="313"/>
      <c r="Q564" s="316"/>
      <c r="R564" s="52"/>
    </row>
    <row r="565" spans="1:20" ht="15.75" hidden="1" customHeight="1" x14ac:dyDescent="0.3">
      <c r="A565" s="234" t="s">
        <v>2417</v>
      </c>
      <c r="B565" s="10" t="s">
        <v>852</v>
      </c>
      <c r="C565" s="10" t="s">
        <v>852</v>
      </c>
      <c r="D565" s="10" t="s">
        <v>852</v>
      </c>
      <c r="E565" s="38" t="s">
        <v>852</v>
      </c>
      <c r="F565" s="10"/>
      <c r="G565" s="10"/>
      <c r="H565" s="10"/>
      <c r="I565" s="38" t="s">
        <v>852</v>
      </c>
      <c r="J565" s="10" t="s">
        <v>852</v>
      </c>
      <c r="K565" s="10" t="s">
        <v>852</v>
      </c>
      <c r="L565" s="10" t="s">
        <v>852</v>
      </c>
      <c r="M565" s="38" t="s">
        <v>852</v>
      </c>
      <c r="N565" s="10" t="s">
        <v>852</v>
      </c>
      <c r="O565" s="10" t="s">
        <v>852</v>
      </c>
      <c r="P565" s="10" t="s">
        <v>852</v>
      </c>
      <c r="Q565" s="38" t="s">
        <v>852</v>
      </c>
      <c r="R565" s="38" t="s">
        <v>852</v>
      </c>
    </row>
    <row r="566" spans="1:20" ht="15.75" hidden="1" customHeight="1" x14ac:dyDescent="0.3">
      <c r="A566" s="234" t="s">
        <v>2160</v>
      </c>
      <c r="B566" s="10"/>
      <c r="C566" s="10"/>
      <c r="D566" s="10"/>
      <c r="E566" s="38" t="s">
        <v>852</v>
      </c>
      <c r="F566" s="10"/>
      <c r="G566" s="10"/>
      <c r="H566" s="10"/>
      <c r="I566" s="38" t="s">
        <v>852</v>
      </c>
      <c r="J566" s="10"/>
      <c r="K566" s="10"/>
      <c r="L566" s="10"/>
      <c r="M566" s="38" t="s">
        <v>852</v>
      </c>
      <c r="N566" s="10"/>
      <c r="O566" s="10"/>
      <c r="P566" s="10"/>
      <c r="Q566" s="38" t="s">
        <v>852</v>
      </c>
      <c r="R566" s="38" t="s">
        <v>852</v>
      </c>
    </row>
    <row r="567" spans="1:20" ht="15.75" hidden="1" customHeight="1" x14ac:dyDescent="0.3">
      <c r="A567" s="234" t="s">
        <v>2976</v>
      </c>
      <c r="C567" s="10"/>
      <c r="D567" s="10"/>
      <c r="E567" s="38">
        <f>SUM(B567:D567)</f>
        <v>0</v>
      </c>
      <c r="F567" s="10"/>
      <c r="G567" s="10"/>
      <c r="H567" s="10"/>
      <c r="I567" s="38">
        <f>SUM(F567:H567)</f>
        <v>0</v>
      </c>
      <c r="J567" s="10"/>
      <c r="K567" s="10"/>
      <c r="L567" s="10"/>
      <c r="M567" s="38">
        <f>SUM(J567:L567)</f>
        <v>0</v>
      </c>
      <c r="N567" s="10"/>
      <c r="O567" s="10"/>
      <c r="P567" s="10"/>
      <c r="Q567" s="38">
        <f>SUM(N567:P567)</f>
        <v>0</v>
      </c>
      <c r="R567" s="38">
        <f>+E567+I567+M567+Q567</f>
        <v>0</v>
      </c>
      <c r="T567" t="s">
        <v>505</v>
      </c>
    </row>
    <row r="568" spans="1:20" ht="15.75" hidden="1" customHeight="1" x14ac:dyDescent="0.3">
      <c r="A568" s="310" t="s">
        <v>1478</v>
      </c>
      <c r="B568" s="10"/>
      <c r="C568" s="10">
        <v>500</v>
      </c>
      <c r="D568" s="10">
        <v>500</v>
      </c>
      <c r="E568" s="38">
        <f>SUM(B568:D568)</f>
        <v>1000</v>
      </c>
      <c r="F568" s="10">
        <v>500</v>
      </c>
      <c r="G568" s="10">
        <v>500</v>
      </c>
      <c r="H568" s="10"/>
      <c r="I568" s="38">
        <f>SUM(F568:H568)</f>
        <v>1000</v>
      </c>
      <c r="J568" s="10"/>
      <c r="K568" s="10"/>
      <c r="L568" s="10"/>
      <c r="M568" s="38">
        <f>SUM(J568:L568)</f>
        <v>0</v>
      </c>
      <c r="N568" s="10"/>
      <c r="O568" s="10"/>
      <c r="P568" s="10"/>
      <c r="Q568" s="38">
        <f>SUM(N568:P568)</f>
        <v>0</v>
      </c>
      <c r="R568" s="38">
        <f>+E568+I568+M568+Q568</f>
        <v>2000</v>
      </c>
    </row>
    <row r="569" spans="1:20" ht="15.75" hidden="1" customHeight="1" x14ac:dyDescent="0.3">
      <c r="A569" s="310" t="s">
        <v>485</v>
      </c>
      <c r="B569" s="10"/>
      <c r="C569" s="10"/>
      <c r="D569" s="10">
        <v>250</v>
      </c>
      <c r="E569" s="38">
        <f>SUM(B569:D569)</f>
        <v>250</v>
      </c>
      <c r="F569" s="10">
        <v>250</v>
      </c>
      <c r="G569" s="10">
        <v>250</v>
      </c>
      <c r="H569" s="10">
        <v>1250</v>
      </c>
      <c r="I569" s="38">
        <f>SUM(F569:H569)</f>
        <v>1750</v>
      </c>
      <c r="J569" s="10">
        <v>1000</v>
      </c>
      <c r="K569" s="10">
        <v>500</v>
      </c>
      <c r="L569" s="10">
        <v>500</v>
      </c>
      <c r="M569" s="38">
        <f>SUM(J569:L569)</f>
        <v>2000</v>
      </c>
      <c r="N569" s="10"/>
      <c r="O569" s="10"/>
      <c r="P569" s="10"/>
      <c r="Q569" s="38">
        <f>SUM(N569:P569)</f>
        <v>0</v>
      </c>
      <c r="R569" s="38">
        <f>+E569+I569+M569+Q569</f>
        <v>4000</v>
      </c>
    </row>
    <row r="570" spans="1:20" ht="15.75" hidden="1" customHeight="1" x14ac:dyDescent="0.3">
      <c r="A570" s="539" t="s">
        <v>3142</v>
      </c>
      <c r="B570" s="10"/>
      <c r="C570" s="10"/>
      <c r="D570" s="10"/>
      <c r="E570" s="38">
        <f>SUM(B570:D570)</f>
        <v>0</v>
      </c>
      <c r="F570" s="10"/>
      <c r="G570" s="10"/>
      <c r="H570" s="10"/>
      <c r="I570" s="38">
        <f>SUM(F570:H570)</f>
        <v>0</v>
      </c>
      <c r="J570" s="10"/>
      <c r="K570" s="10">
        <v>500</v>
      </c>
      <c r="L570" s="10">
        <v>500</v>
      </c>
      <c r="M570" s="38">
        <f>SUM(J570:L570)</f>
        <v>1000</v>
      </c>
      <c r="N570" s="10">
        <v>500</v>
      </c>
      <c r="O570" s="10"/>
      <c r="P570" s="10"/>
      <c r="Q570" s="38">
        <f>SUM(N570:P570)</f>
        <v>500</v>
      </c>
      <c r="R570" s="38">
        <f>+E570+I570+M570+Q570</f>
        <v>1500</v>
      </c>
    </row>
    <row r="571" spans="1:20" ht="15.75" hidden="1" customHeight="1" x14ac:dyDescent="0.3">
      <c r="A571" s="310" t="s">
        <v>1938</v>
      </c>
      <c r="B571" s="10"/>
      <c r="C571" s="10"/>
      <c r="D571" s="10"/>
      <c r="E571" s="38">
        <f>SUM(B571:D571)</f>
        <v>0</v>
      </c>
      <c r="F571" s="10"/>
      <c r="G571" s="10"/>
      <c r="H571" s="10"/>
      <c r="I571" s="38">
        <f>SUM(F571:H571)</f>
        <v>0</v>
      </c>
      <c r="J571" s="10">
        <v>237</v>
      </c>
      <c r="K571" s="10"/>
      <c r="L571" s="10">
        <v>300</v>
      </c>
      <c r="M571" s="38">
        <f>SUM(J571:L571)</f>
        <v>537</v>
      </c>
      <c r="N571" s="10"/>
      <c r="O571" s="10"/>
      <c r="P571" s="10"/>
      <c r="Q571" s="38">
        <f>SUM(N571:P571)</f>
        <v>0</v>
      </c>
      <c r="R571" s="38">
        <f>+E571+I571+M571+Q571</f>
        <v>537</v>
      </c>
    </row>
    <row r="572" spans="1:20" ht="15.75" hidden="1" customHeight="1" x14ac:dyDescent="0.3">
      <c r="A572" s="234" t="s">
        <v>2161</v>
      </c>
      <c r="B572" s="10"/>
      <c r="C572" s="10"/>
      <c r="D572" s="10"/>
      <c r="E572" s="38" t="s">
        <v>852</v>
      </c>
      <c r="F572" s="10"/>
      <c r="G572" s="10"/>
      <c r="H572" s="10"/>
      <c r="I572" s="38" t="s">
        <v>852</v>
      </c>
      <c r="J572" s="10"/>
      <c r="K572" s="10"/>
      <c r="L572" s="10"/>
      <c r="M572" s="38" t="s">
        <v>852</v>
      </c>
      <c r="N572" s="10"/>
      <c r="O572" s="10"/>
      <c r="P572" s="10"/>
      <c r="Q572" s="38" t="s">
        <v>852</v>
      </c>
      <c r="R572" s="38" t="s">
        <v>852</v>
      </c>
    </row>
    <row r="573" spans="1:20" ht="15.75" hidden="1" customHeight="1" x14ac:dyDescent="0.3">
      <c r="A573" s="234" t="s">
        <v>3245</v>
      </c>
      <c r="B573" s="10"/>
      <c r="C573" s="10"/>
      <c r="D573" s="10"/>
      <c r="E573" s="38" t="s">
        <v>852</v>
      </c>
      <c r="F573" s="10"/>
      <c r="G573" s="10"/>
      <c r="H573" s="10"/>
      <c r="I573" s="38" t="s">
        <v>852</v>
      </c>
      <c r="J573" s="10"/>
      <c r="K573" s="10"/>
      <c r="L573" s="10"/>
      <c r="M573" s="38" t="s">
        <v>852</v>
      </c>
      <c r="N573" s="10"/>
      <c r="O573" s="10"/>
      <c r="P573" s="10"/>
      <c r="Q573" s="38" t="s">
        <v>852</v>
      </c>
      <c r="R573" s="38" t="s">
        <v>852</v>
      </c>
    </row>
    <row r="574" spans="1:20" ht="15.75" hidden="1" customHeight="1" thickBot="1" x14ac:dyDescent="0.35">
      <c r="A574" s="234" t="s">
        <v>2164</v>
      </c>
      <c r="B574" s="10"/>
      <c r="C574" s="10"/>
      <c r="D574" s="10"/>
      <c r="E574" s="38" t="s">
        <v>852</v>
      </c>
      <c r="F574" s="10"/>
      <c r="G574" s="10"/>
      <c r="H574" s="10"/>
      <c r="I574" s="38" t="s">
        <v>852</v>
      </c>
      <c r="J574" s="10"/>
      <c r="K574" s="10"/>
      <c r="L574" s="10"/>
      <c r="M574" s="38" t="s">
        <v>852</v>
      </c>
      <c r="N574" s="10"/>
      <c r="O574" s="10"/>
      <c r="P574" s="10"/>
      <c r="Q574" s="38" t="s">
        <v>852</v>
      </c>
      <c r="R574" s="38" t="s">
        <v>852</v>
      </c>
    </row>
    <row r="575" spans="1:20" ht="16.5" hidden="1" customHeight="1" thickBot="1" x14ac:dyDescent="0.35">
      <c r="A575" s="322" t="s">
        <v>1218</v>
      </c>
      <c r="B575" s="45">
        <f>SUM(B565:B574)</f>
        <v>0</v>
      </c>
      <c r="C575" s="46">
        <f>SUM(C565:C574)</f>
        <v>500</v>
      </c>
      <c r="D575" s="46">
        <f>SUM(D565:D574)</f>
        <v>750</v>
      </c>
      <c r="E575" s="37">
        <f>SUM(B575:D575)</f>
        <v>1250</v>
      </c>
      <c r="F575" s="46">
        <f>SUM(F565:F574)</f>
        <v>750</v>
      </c>
      <c r="G575" s="46">
        <f>SUM(G565:G574)</f>
        <v>750</v>
      </c>
      <c r="H575" s="46">
        <f>SUM(H565:H574)</f>
        <v>1250</v>
      </c>
      <c r="I575" s="37">
        <f>SUM(F575:H575)</f>
        <v>2750</v>
      </c>
      <c r="J575" s="46">
        <f>SUM(J565:J574)</f>
        <v>1237</v>
      </c>
      <c r="K575" s="46">
        <f>SUM(K565:K574)</f>
        <v>1000</v>
      </c>
      <c r="L575" s="46">
        <f>SUM(L565:L574)</f>
        <v>1300</v>
      </c>
      <c r="M575" s="37">
        <f>SUM(J575:L575)</f>
        <v>3537</v>
      </c>
      <c r="N575" s="46">
        <f>SUM(N565:N574)</f>
        <v>500</v>
      </c>
      <c r="O575" s="46">
        <f>SUM(O565:O574)</f>
        <v>0</v>
      </c>
      <c r="P575" s="46">
        <f>SUM(P565:P574)</f>
        <v>0</v>
      </c>
      <c r="Q575" s="37">
        <f>SUM(N575:P575)</f>
        <v>500</v>
      </c>
      <c r="R575" s="37">
        <f>+E575+I575+M575+Q575</f>
        <v>8037</v>
      </c>
    </row>
    <row r="576" spans="1:20" ht="15.75" hidden="1" customHeight="1" x14ac:dyDescent="0.3">
      <c r="A576" s="234" t="s">
        <v>1172</v>
      </c>
      <c r="B576" s="10"/>
      <c r="C576" s="10"/>
      <c r="D576" s="10"/>
      <c r="E576" s="39" t="s">
        <v>852</v>
      </c>
      <c r="F576" s="10"/>
      <c r="G576" s="10"/>
      <c r="H576" s="10"/>
      <c r="I576" s="39" t="s">
        <v>852</v>
      </c>
      <c r="J576" s="10"/>
      <c r="K576" s="10"/>
      <c r="L576" s="10"/>
      <c r="M576" s="39" t="s">
        <v>852</v>
      </c>
      <c r="N576" s="10"/>
      <c r="O576" s="10"/>
      <c r="P576" s="10"/>
      <c r="Q576" s="39" t="s">
        <v>852</v>
      </c>
      <c r="R576" s="737" t="s">
        <v>852</v>
      </c>
    </row>
    <row r="577" spans="1:20" ht="15.75" hidden="1" customHeight="1" x14ac:dyDescent="0.3">
      <c r="A577" s="234" t="s">
        <v>2409</v>
      </c>
      <c r="B577" s="10"/>
      <c r="C577" s="10"/>
      <c r="D577" s="10"/>
      <c r="E577" s="38" t="s">
        <v>852</v>
      </c>
      <c r="F577" s="10"/>
      <c r="G577" s="10"/>
      <c r="H577" s="10"/>
      <c r="I577" s="38" t="s">
        <v>852</v>
      </c>
      <c r="J577" s="10"/>
      <c r="K577" s="10"/>
      <c r="L577" s="10"/>
      <c r="M577" s="38" t="s">
        <v>852</v>
      </c>
      <c r="N577" s="10"/>
      <c r="O577" s="10"/>
      <c r="P577" s="10"/>
      <c r="Q577" s="38" t="s">
        <v>852</v>
      </c>
      <c r="R577" s="737" t="s">
        <v>852</v>
      </c>
    </row>
    <row r="578" spans="1:20" ht="15.75" hidden="1" customHeight="1" x14ac:dyDescent="0.3">
      <c r="A578" s="310" t="s">
        <v>791</v>
      </c>
      <c r="B578" s="10">
        <v>123</v>
      </c>
      <c r="C578" s="10">
        <v>75</v>
      </c>
      <c r="D578" s="10">
        <v>1800</v>
      </c>
      <c r="E578" s="38">
        <f>SUM(B578:D578)</f>
        <v>1998</v>
      </c>
      <c r="F578" s="10">
        <v>3306</v>
      </c>
      <c r="G578" s="10">
        <v>1360</v>
      </c>
      <c r="H578" s="10">
        <v>5000</v>
      </c>
      <c r="I578" s="38">
        <f>SUM(F578:H578)</f>
        <v>9666</v>
      </c>
      <c r="J578" s="10">
        <v>3600</v>
      </c>
      <c r="K578" s="10">
        <v>3458</v>
      </c>
      <c r="L578" s="10">
        <v>600</v>
      </c>
      <c r="M578" s="38">
        <f>SUM(J578:L578)</f>
        <v>7658</v>
      </c>
      <c r="N578" s="10">
        <v>700</v>
      </c>
      <c r="O578" s="10">
        <v>80</v>
      </c>
      <c r="P578" s="10">
        <v>56</v>
      </c>
      <c r="Q578" s="38">
        <f>SUM(N578:P578)</f>
        <v>836</v>
      </c>
      <c r="R578" s="38">
        <f>+E578+I578+M578+Q578</f>
        <v>20158</v>
      </c>
      <c r="S578">
        <f>+SUM(R578,R536,R395)</f>
        <v>83287</v>
      </c>
      <c r="T578" t="s">
        <v>2704</v>
      </c>
    </row>
    <row r="579" spans="1:20" ht="15.75" hidden="1" customHeight="1" x14ac:dyDescent="0.3">
      <c r="A579" s="310" t="s">
        <v>2300</v>
      </c>
      <c r="B579" s="10"/>
      <c r="C579" s="10"/>
      <c r="D579" s="10"/>
      <c r="E579" s="38">
        <f>SUM(B579:D579)</f>
        <v>0</v>
      </c>
      <c r="F579" s="10"/>
      <c r="G579" s="10"/>
      <c r="H579" s="10"/>
      <c r="I579" s="38">
        <f>SUM(F579:H579)</f>
        <v>0</v>
      </c>
      <c r="J579" s="10"/>
      <c r="K579" s="10"/>
      <c r="L579" s="10"/>
      <c r="M579" s="38">
        <f>SUM(J579:L579)</f>
        <v>0</v>
      </c>
      <c r="N579" s="10"/>
      <c r="O579" s="10"/>
      <c r="P579" s="10"/>
      <c r="Q579" s="38">
        <f>SUM(N579:P579)</f>
        <v>0</v>
      </c>
      <c r="R579" s="38">
        <f>+E579+I579+M579+Q579</f>
        <v>0</v>
      </c>
    </row>
    <row r="580" spans="1:20" ht="15.75" hidden="1" customHeight="1" thickBot="1" x14ac:dyDescent="0.35">
      <c r="A580" s="234" t="s">
        <v>2165</v>
      </c>
      <c r="B580" s="10"/>
      <c r="C580" s="10"/>
      <c r="D580" s="10"/>
      <c r="E580" s="38" t="s">
        <v>852</v>
      </c>
      <c r="F580" s="10"/>
      <c r="G580" s="10"/>
      <c r="H580" s="10"/>
      <c r="I580" s="38" t="s">
        <v>852</v>
      </c>
      <c r="J580" s="10"/>
      <c r="K580" s="10"/>
      <c r="L580" s="10"/>
      <c r="M580" s="38" t="s">
        <v>852</v>
      </c>
      <c r="N580" s="10"/>
      <c r="O580" s="10"/>
      <c r="P580" s="10"/>
      <c r="Q580" s="38" t="s">
        <v>852</v>
      </c>
      <c r="R580" s="737" t="s">
        <v>852</v>
      </c>
    </row>
    <row r="581" spans="1:20" ht="16.5" hidden="1" customHeight="1" thickBot="1" x14ac:dyDescent="0.35">
      <c r="A581" s="43" t="s">
        <v>1219</v>
      </c>
      <c r="B581" s="45">
        <f>SUM(B576:B580)</f>
        <v>123</v>
      </c>
      <c r="C581" s="46">
        <f>SUM(C576:C580)</f>
        <v>75</v>
      </c>
      <c r="D581" s="46">
        <f>SUM(D576:D580)</f>
        <v>1800</v>
      </c>
      <c r="E581" s="37">
        <f>SUM(B581:D581)</f>
        <v>1998</v>
      </c>
      <c r="F581" s="46">
        <f>SUM(F576:F580)</f>
        <v>3306</v>
      </c>
      <c r="G581" s="46">
        <f>SUM(G576:G580)</f>
        <v>1360</v>
      </c>
      <c r="H581" s="46">
        <f>SUM(H576:H580)</f>
        <v>5000</v>
      </c>
      <c r="I581" s="37">
        <f>SUM(F581:H581)</f>
        <v>9666</v>
      </c>
      <c r="J581" s="46">
        <f>SUM(J576:J580)</f>
        <v>3600</v>
      </c>
      <c r="K581" s="46">
        <f>SUM(K576:K580)</f>
        <v>3458</v>
      </c>
      <c r="L581" s="46">
        <f>SUM(L576:L580)</f>
        <v>600</v>
      </c>
      <c r="M581" s="37">
        <f>SUM(J581:L581)</f>
        <v>7658</v>
      </c>
      <c r="N581" s="46">
        <f>SUM(N576:N580)</f>
        <v>700</v>
      </c>
      <c r="O581" s="46">
        <f>SUM(O576:O580)</f>
        <v>80</v>
      </c>
      <c r="P581" s="46">
        <f>SUM(P576:P580)</f>
        <v>56</v>
      </c>
      <c r="Q581" s="37">
        <f>SUM(N581:P581)</f>
        <v>836</v>
      </c>
      <c r="R581" s="37">
        <f>+E581+I581+M581+Q581</f>
        <v>20158</v>
      </c>
    </row>
    <row r="582" spans="1:20" ht="15.75" hidden="1" customHeight="1" x14ac:dyDescent="0.3">
      <c r="A582" s="234" t="s">
        <v>2166</v>
      </c>
      <c r="B582" s="10"/>
      <c r="C582" s="10"/>
      <c r="D582" s="10"/>
      <c r="E582" s="38" t="s">
        <v>852</v>
      </c>
      <c r="F582" s="10"/>
      <c r="G582" s="10"/>
      <c r="H582" s="10"/>
      <c r="I582" s="38" t="s">
        <v>852</v>
      </c>
      <c r="J582" s="10"/>
      <c r="K582" s="10"/>
      <c r="L582" s="10"/>
      <c r="M582" s="38" t="s">
        <v>852</v>
      </c>
      <c r="N582" s="10"/>
      <c r="O582" s="10"/>
      <c r="P582" s="10"/>
      <c r="Q582" s="38" t="s">
        <v>852</v>
      </c>
      <c r="R582" s="38" t="s">
        <v>852</v>
      </c>
    </row>
    <row r="583" spans="1:20" ht="15.75" hidden="1" customHeight="1" x14ac:dyDescent="0.3">
      <c r="A583" s="234" t="s">
        <v>1245</v>
      </c>
      <c r="B583" s="10"/>
      <c r="C583" s="10"/>
      <c r="D583" s="10"/>
      <c r="E583" s="38" t="s">
        <v>852</v>
      </c>
      <c r="F583" s="10"/>
      <c r="G583" s="10"/>
      <c r="H583" s="10"/>
      <c r="I583" s="38" t="s">
        <v>852</v>
      </c>
      <c r="J583" s="10"/>
      <c r="K583" s="10"/>
      <c r="L583" s="10"/>
      <c r="M583" s="38" t="s">
        <v>852</v>
      </c>
      <c r="N583" s="10"/>
      <c r="O583" s="10"/>
      <c r="P583" s="10"/>
      <c r="Q583" s="38" t="s">
        <v>852</v>
      </c>
      <c r="R583" s="38" t="s">
        <v>852</v>
      </c>
    </row>
    <row r="584" spans="1:20" ht="15.75" hidden="1" customHeight="1" x14ac:dyDescent="0.3">
      <c r="A584" s="234" t="s">
        <v>1711</v>
      </c>
      <c r="B584" s="10"/>
      <c r="C584" s="10"/>
      <c r="D584" s="10"/>
      <c r="E584" s="38" t="s">
        <v>852</v>
      </c>
      <c r="F584" s="10"/>
      <c r="G584" s="10"/>
      <c r="H584" s="10"/>
      <c r="I584" s="38" t="s">
        <v>852</v>
      </c>
      <c r="J584" s="10"/>
      <c r="K584" s="10"/>
      <c r="L584" s="10"/>
      <c r="M584" s="38" t="s">
        <v>852</v>
      </c>
      <c r="N584" s="10"/>
      <c r="O584" s="10"/>
      <c r="P584" s="10"/>
      <c r="Q584" s="38" t="s">
        <v>852</v>
      </c>
      <c r="R584" s="38" t="s">
        <v>852</v>
      </c>
    </row>
    <row r="585" spans="1:20" ht="15.75" hidden="1" customHeight="1" thickBot="1" x14ac:dyDescent="0.35">
      <c r="A585" s="689" t="s">
        <v>2937</v>
      </c>
      <c r="B585" s="10"/>
      <c r="C585" s="10"/>
      <c r="D585" s="10"/>
      <c r="E585" s="38">
        <f>SUM(B585:D585)</f>
        <v>0</v>
      </c>
      <c r="F585" s="10"/>
      <c r="G585" s="10"/>
      <c r="H585" s="10"/>
      <c r="I585" s="38">
        <f>SUM(F585:H585)</f>
        <v>0</v>
      </c>
      <c r="J585" s="10"/>
      <c r="K585" s="10"/>
      <c r="L585" s="10"/>
      <c r="M585" s="38">
        <f>SUM(J585:L585)</f>
        <v>0</v>
      </c>
      <c r="N585" s="10"/>
      <c r="O585" s="10"/>
      <c r="P585" s="10"/>
      <c r="Q585" s="38">
        <f>SUM(N585:P585)</f>
        <v>0</v>
      </c>
      <c r="R585" s="38">
        <f>+E585+I585+M585+Q585</f>
        <v>0</v>
      </c>
      <c r="T585" t="s">
        <v>505</v>
      </c>
    </row>
    <row r="586" spans="1:20" ht="16.5" hidden="1" customHeight="1" thickBot="1" x14ac:dyDescent="0.35">
      <c r="A586" s="277" t="s">
        <v>1220</v>
      </c>
      <c r="B586" s="45">
        <f>SUM(B582:B585)</f>
        <v>0</v>
      </c>
      <c r="C586" s="46">
        <f>SUM(C582:C585)</f>
        <v>0</v>
      </c>
      <c r="D586" s="46">
        <f>SUM(D582:D585)</f>
        <v>0</v>
      </c>
      <c r="E586" s="37">
        <f>SUM(B586:D586)</f>
        <v>0</v>
      </c>
      <c r="F586" s="46">
        <f>SUM(F582:F585)</f>
        <v>0</v>
      </c>
      <c r="G586" s="46">
        <f>SUM(G582:G585)</f>
        <v>0</v>
      </c>
      <c r="H586" s="46">
        <f>SUM(H582:H585)</f>
        <v>0</v>
      </c>
      <c r="I586" s="37">
        <f>SUM(F586:H586)</f>
        <v>0</v>
      </c>
      <c r="J586" s="46">
        <f>SUM(J582:J585)</f>
        <v>0</v>
      </c>
      <c r="K586" s="46">
        <f>SUM(K582:K585)</f>
        <v>0</v>
      </c>
      <c r="L586" s="46">
        <f>SUM(L582:L585)</f>
        <v>0</v>
      </c>
      <c r="M586" s="37">
        <f>SUM(J586:L586)</f>
        <v>0</v>
      </c>
      <c r="N586" s="46">
        <f>SUM(N582:N585)</f>
        <v>0</v>
      </c>
      <c r="O586" s="46">
        <f>SUM(O582:O585)</f>
        <v>0</v>
      </c>
      <c r="P586" s="46">
        <f>SUM(P582:P585)</f>
        <v>0</v>
      </c>
      <c r="Q586" s="37">
        <f>SUM(N586:P586)</f>
        <v>0</v>
      </c>
      <c r="R586" s="37">
        <f>+E586+I586+M586+Q586</f>
        <v>0</v>
      </c>
    </row>
    <row r="587" spans="1:20" ht="15.75" hidden="1" customHeight="1" x14ac:dyDescent="0.3">
      <c r="A587" s="234" t="s">
        <v>1712</v>
      </c>
      <c r="B587" s="10"/>
      <c r="C587" s="10"/>
      <c r="D587" s="10"/>
      <c r="E587" s="38" t="s">
        <v>852</v>
      </c>
      <c r="F587" s="10"/>
      <c r="G587" s="10"/>
      <c r="H587" s="10"/>
      <c r="I587" s="38" t="s">
        <v>852</v>
      </c>
      <c r="J587" s="10"/>
      <c r="K587" s="10"/>
      <c r="L587" s="10"/>
      <c r="M587" s="38" t="s">
        <v>852</v>
      </c>
      <c r="N587" s="10"/>
      <c r="O587" s="10"/>
      <c r="P587" s="10"/>
      <c r="Q587" s="38" t="s">
        <v>852</v>
      </c>
      <c r="R587" s="38" t="s">
        <v>852</v>
      </c>
    </row>
    <row r="588" spans="1:20" ht="15.75" hidden="1" customHeight="1" x14ac:dyDescent="0.3">
      <c r="A588" s="234" t="s">
        <v>1021</v>
      </c>
      <c r="B588" s="10"/>
      <c r="C588" s="10"/>
      <c r="D588" s="10"/>
      <c r="E588" s="38" t="s">
        <v>852</v>
      </c>
      <c r="F588" s="10"/>
      <c r="G588" s="10"/>
      <c r="H588" s="10"/>
      <c r="I588" s="38" t="s">
        <v>852</v>
      </c>
      <c r="J588" s="10"/>
      <c r="K588" s="10"/>
      <c r="L588" s="10"/>
      <c r="M588" s="38" t="s">
        <v>852</v>
      </c>
      <c r="N588" s="10"/>
      <c r="O588" s="10"/>
      <c r="P588" s="10"/>
      <c r="Q588" s="38" t="s">
        <v>852</v>
      </c>
      <c r="R588" s="38" t="s">
        <v>852</v>
      </c>
    </row>
    <row r="589" spans="1:20" ht="15.75" hidden="1" customHeight="1" x14ac:dyDescent="0.3">
      <c r="A589" s="234" t="s">
        <v>557</v>
      </c>
      <c r="B589" s="10"/>
      <c r="C589" s="10"/>
      <c r="D589" s="10"/>
      <c r="E589" s="38" t="s">
        <v>852</v>
      </c>
      <c r="F589" s="10"/>
      <c r="G589" s="10"/>
      <c r="H589" s="10"/>
      <c r="I589" s="38" t="s">
        <v>852</v>
      </c>
      <c r="J589" s="10"/>
      <c r="K589" s="10"/>
      <c r="L589" s="10"/>
      <c r="M589" s="38" t="s">
        <v>852</v>
      </c>
      <c r="N589" s="10"/>
      <c r="O589" s="10"/>
      <c r="P589" s="10"/>
      <c r="Q589" s="38" t="s">
        <v>852</v>
      </c>
      <c r="R589" s="38" t="s">
        <v>852</v>
      </c>
    </row>
    <row r="590" spans="1:20" ht="15.75" hidden="1" customHeight="1" x14ac:dyDescent="0.3">
      <c r="A590" s="234" t="s">
        <v>1022</v>
      </c>
      <c r="B590" s="10"/>
      <c r="C590" s="10"/>
      <c r="D590" s="10"/>
      <c r="E590" s="38" t="s">
        <v>852</v>
      </c>
      <c r="F590" s="10"/>
      <c r="G590" s="10"/>
      <c r="H590" s="10"/>
      <c r="I590" s="38" t="s">
        <v>852</v>
      </c>
      <c r="J590" s="10"/>
      <c r="K590" s="10"/>
      <c r="L590" s="10"/>
      <c r="M590" s="38" t="s">
        <v>852</v>
      </c>
      <c r="N590" s="10"/>
      <c r="O590" s="10"/>
      <c r="P590" s="10"/>
      <c r="Q590" s="38" t="s">
        <v>852</v>
      </c>
      <c r="R590" s="38" t="s">
        <v>852</v>
      </c>
    </row>
    <row r="591" spans="1:20" ht="15.75" hidden="1" customHeight="1" x14ac:dyDescent="0.3">
      <c r="A591" s="539" t="s">
        <v>3263</v>
      </c>
      <c r="B591" s="10"/>
      <c r="C591" s="10"/>
      <c r="D591" s="10"/>
      <c r="E591" s="38">
        <f>SUM(B591:D591)</f>
        <v>0</v>
      </c>
      <c r="F591" s="10"/>
      <c r="G591" s="10"/>
      <c r="H591" s="10"/>
      <c r="I591" s="38">
        <f>SUM(F591:H591)</f>
        <v>0</v>
      </c>
      <c r="J591" s="10"/>
      <c r="K591" s="10"/>
      <c r="L591" s="10"/>
      <c r="M591" s="38">
        <f>SUM(J591:L591)</f>
        <v>0</v>
      </c>
      <c r="N591" s="10"/>
      <c r="O591" s="10"/>
      <c r="P591" s="10"/>
      <c r="Q591" s="38">
        <f>SUM(N591:P591)</f>
        <v>0</v>
      </c>
      <c r="R591" s="38">
        <f>+E591+I591+M591+Q591</f>
        <v>0</v>
      </c>
    </row>
    <row r="592" spans="1:20" ht="15.75" hidden="1" customHeight="1" x14ac:dyDescent="0.3">
      <c r="A592" s="234" t="s">
        <v>559</v>
      </c>
      <c r="B592" s="10"/>
      <c r="C592" s="10"/>
      <c r="D592" s="10"/>
      <c r="E592" s="38"/>
      <c r="F592" s="10"/>
      <c r="G592" s="10"/>
      <c r="H592" s="10"/>
      <c r="I592" s="38"/>
      <c r="J592" s="10"/>
      <c r="K592" s="10"/>
      <c r="L592" s="10"/>
      <c r="M592" s="38"/>
      <c r="N592" s="10"/>
      <c r="O592" s="10"/>
      <c r="P592" s="10"/>
      <c r="Q592" s="38"/>
      <c r="R592" s="38" t="s">
        <v>852</v>
      </c>
    </row>
    <row r="593" spans="1:20" ht="15.75" hidden="1" customHeight="1" x14ac:dyDescent="0.3">
      <c r="A593" s="539" t="s">
        <v>2936</v>
      </c>
      <c r="B593" s="10"/>
      <c r="C593" s="10"/>
      <c r="D593" s="10"/>
      <c r="E593" s="38">
        <f t="shared" ref="E593:E600" si="221">SUM(B593:D593)</f>
        <v>0</v>
      </c>
      <c r="F593" s="10"/>
      <c r="G593" s="10"/>
      <c r="H593" s="10"/>
      <c r="I593" s="38">
        <f t="shared" ref="I593:I600" si="222">SUM(F593:H593)</f>
        <v>0</v>
      </c>
      <c r="J593" s="10"/>
      <c r="K593" s="10"/>
      <c r="L593" s="10"/>
      <c r="M593" s="38">
        <f t="shared" ref="M593:M600" si="223">SUM(J593:L593)</f>
        <v>0</v>
      </c>
      <c r="N593" s="10"/>
      <c r="O593" s="10"/>
      <c r="P593" s="10"/>
      <c r="Q593" s="38">
        <f t="shared" ref="Q593:Q600" si="224">SUM(N593:P593)</f>
        <v>0</v>
      </c>
      <c r="R593" s="38">
        <f t="shared" ref="R593:R600" si="225">+E593+I593+M593+Q593</f>
        <v>0</v>
      </c>
      <c r="T593" t="s">
        <v>505</v>
      </c>
    </row>
    <row r="594" spans="1:20" ht="15.75" hidden="1" customHeight="1" x14ac:dyDescent="0.3">
      <c r="A594" s="539" t="s">
        <v>2836</v>
      </c>
      <c r="B594" s="10"/>
      <c r="C594" s="10"/>
      <c r="D594" s="10"/>
      <c r="E594" s="38">
        <f>SUM(B594:D594)</f>
        <v>0</v>
      </c>
      <c r="F594" s="10"/>
      <c r="G594" s="10"/>
      <c r="H594" s="10"/>
      <c r="I594" s="38">
        <f>SUM(F594:H594)</f>
        <v>0</v>
      </c>
      <c r="J594" s="10"/>
      <c r="K594" s="10"/>
      <c r="L594" s="10"/>
      <c r="M594" s="38">
        <f>SUM(J594:L594)</f>
        <v>0</v>
      </c>
      <c r="N594" s="10"/>
      <c r="O594" s="10"/>
      <c r="P594" s="10"/>
      <c r="Q594" s="38">
        <f>SUM(N594:P594)</f>
        <v>0</v>
      </c>
      <c r="R594" s="38">
        <f>+E594+I594+M594+Q594</f>
        <v>0</v>
      </c>
      <c r="T594" t="s">
        <v>505</v>
      </c>
    </row>
    <row r="595" spans="1:20" ht="15.75" hidden="1" customHeight="1" x14ac:dyDescent="0.3">
      <c r="A595" s="539" t="s">
        <v>3228</v>
      </c>
      <c r="B595" s="10"/>
      <c r="C595" s="10"/>
      <c r="D595" s="10"/>
      <c r="E595" s="38">
        <f t="shared" ref="E595" si="226">SUM(B595:D595)</f>
        <v>0</v>
      </c>
      <c r="F595" s="10"/>
      <c r="G595" s="10"/>
      <c r="H595" s="10"/>
      <c r="I595" s="38">
        <f t="shared" ref="I595" si="227">SUM(F595:H595)</f>
        <v>0</v>
      </c>
      <c r="J595" s="10"/>
      <c r="K595" s="10"/>
      <c r="L595" s="10"/>
      <c r="M595" s="38">
        <f t="shared" ref="M595" si="228">SUM(J595:L595)</f>
        <v>0</v>
      </c>
      <c r="N595" s="10"/>
      <c r="O595" s="10"/>
      <c r="P595" s="10"/>
      <c r="Q595" s="38">
        <f t="shared" ref="Q595" si="229">SUM(N595:P595)</f>
        <v>0</v>
      </c>
      <c r="R595" s="38">
        <f t="shared" ref="R595" si="230">+E595+I595+M595+Q595</f>
        <v>0</v>
      </c>
    </row>
    <row r="596" spans="1:20" ht="15.75" hidden="1" customHeight="1" thickBot="1" x14ac:dyDescent="0.35">
      <c r="A596" s="539" t="s">
        <v>2577</v>
      </c>
      <c r="B596" s="10"/>
      <c r="C596" s="10"/>
      <c r="D596" s="10"/>
      <c r="E596" s="38">
        <f t="shared" si="221"/>
        <v>0</v>
      </c>
      <c r="F596" s="10"/>
      <c r="G596" s="10"/>
      <c r="H596" s="10"/>
      <c r="I596" s="38">
        <f t="shared" si="222"/>
        <v>0</v>
      </c>
      <c r="J596" s="10"/>
      <c r="K596" s="10"/>
      <c r="L596" s="10"/>
      <c r="M596" s="38">
        <f t="shared" si="223"/>
        <v>0</v>
      </c>
      <c r="N596" s="10"/>
      <c r="O596" s="10"/>
      <c r="P596" s="10"/>
      <c r="Q596" s="38">
        <f t="shared" si="224"/>
        <v>0</v>
      </c>
      <c r="R596" s="38">
        <f t="shared" si="225"/>
        <v>0</v>
      </c>
    </row>
    <row r="597" spans="1:20" ht="16.5" hidden="1" customHeight="1" thickBot="1" x14ac:dyDescent="0.35">
      <c r="A597" s="43" t="s">
        <v>1019</v>
      </c>
      <c r="B597" s="42">
        <f>SUM(B590:B596)</f>
        <v>0</v>
      </c>
      <c r="C597" s="42">
        <f>SUM(C590:C596)</f>
        <v>0</v>
      </c>
      <c r="D597" s="42">
        <f>SUM(D590:D596)</f>
        <v>0</v>
      </c>
      <c r="E597" s="39">
        <f t="shared" si="221"/>
        <v>0</v>
      </c>
      <c r="F597" s="42">
        <f>SUM(F590:F596)</f>
        <v>0</v>
      </c>
      <c r="G597" s="42">
        <f>SUM(G590:G596)</f>
        <v>0</v>
      </c>
      <c r="H597" s="42">
        <f>SUM(H590:H596)</f>
        <v>0</v>
      </c>
      <c r="I597" s="39">
        <f t="shared" si="222"/>
        <v>0</v>
      </c>
      <c r="J597" s="42">
        <f>SUM(J590:J596)</f>
        <v>0</v>
      </c>
      <c r="K597" s="42">
        <f>SUM(K590:K596)</f>
        <v>0</v>
      </c>
      <c r="L597" s="42">
        <f>SUM(L590:L596)</f>
        <v>0</v>
      </c>
      <c r="M597" s="39">
        <f t="shared" si="223"/>
        <v>0</v>
      </c>
      <c r="N597" s="42">
        <f>SUM(N590:N596)</f>
        <v>0</v>
      </c>
      <c r="O597" s="42">
        <f>SUM(O590:O596)</f>
        <v>0</v>
      </c>
      <c r="P597" s="42">
        <f>SUM(P590:P596)</f>
        <v>0</v>
      </c>
      <c r="Q597" s="39">
        <f t="shared" si="224"/>
        <v>0</v>
      </c>
      <c r="R597" s="37">
        <f t="shared" si="225"/>
        <v>0</v>
      </c>
    </row>
    <row r="598" spans="1:20" ht="16.5" hidden="1" customHeight="1" thickBot="1" x14ac:dyDescent="0.35">
      <c r="A598" s="277" t="s">
        <v>1221</v>
      </c>
      <c r="B598" s="45">
        <f>SUM(B587:B596)</f>
        <v>0</v>
      </c>
      <c r="C598" s="46">
        <f>SUM(C587:C596)</f>
        <v>0</v>
      </c>
      <c r="D598" s="58">
        <f>SUM(D587:D596)</f>
        <v>0</v>
      </c>
      <c r="E598" s="39">
        <f t="shared" si="221"/>
        <v>0</v>
      </c>
      <c r="F598" s="46">
        <f>SUM(F587:F596)</f>
        <v>0</v>
      </c>
      <c r="G598" s="46">
        <f>SUM(G587:G596)</f>
        <v>0</v>
      </c>
      <c r="H598" s="46">
        <f>SUM(H587:H596)</f>
        <v>0</v>
      </c>
      <c r="I598" s="39">
        <f t="shared" si="222"/>
        <v>0</v>
      </c>
      <c r="J598" s="46">
        <f>SUM(J587:J596)</f>
        <v>0</v>
      </c>
      <c r="K598" s="46">
        <f>SUM(K587:K596)</f>
        <v>0</v>
      </c>
      <c r="L598" s="46">
        <f>SUM(L587:L596)</f>
        <v>0</v>
      </c>
      <c r="M598" s="39">
        <f t="shared" si="223"/>
        <v>0</v>
      </c>
      <c r="N598" s="46">
        <f>SUM(N587:N596)</f>
        <v>0</v>
      </c>
      <c r="O598" s="46">
        <f>SUM(O587:O596)</f>
        <v>0</v>
      </c>
      <c r="P598" s="46">
        <f>SUM(P587:P596)</f>
        <v>0</v>
      </c>
      <c r="Q598" s="39">
        <f t="shared" si="224"/>
        <v>0</v>
      </c>
      <c r="R598" s="37">
        <f t="shared" si="225"/>
        <v>0</v>
      </c>
    </row>
    <row r="599" spans="1:20" ht="16.5" hidden="1" customHeight="1" thickBot="1" x14ac:dyDescent="0.35">
      <c r="A599" s="43" t="s">
        <v>1222</v>
      </c>
      <c r="B599" s="47">
        <f>+B575+B581+B586+B598</f>
        <v>123</v>
      </c>
      <c r="C599" s="42">
        <f>+C575+C581+C586+C598</f>
        <v>575</v>
      </c>
      <c r="D599" s="42">
        <f>+D575+D581+D586+D598</f>
        <v>2550</v>
      </c>
      <c r="E599" s="37">
        <f t="shared" si="221"/>
        <v>3248</v>
      </c>
      <c r="F599" s="42">
        <f>+F575+F581+F586+F598</f>
        <v>4056</v>
      </c>
      <c r="G599" s="42">
        <f>+G575+G581+G586+G598</f>
        <v>2110</v>
      </c>
      <c r="H599" s="42">
        <f>+H575+H581+H586+H598</f>
        <v>6250</v>
      </c>
      <c r="I599" s="37">
        <f t="shared" si="222"/>
        <v>12416</v>
      </c>
      <c r="J599" s="42">
        <f>+J575+J581+J586+J598</f>
        <v>4837</v>
      </c>
      <c r="K599" s="42">
        <f>+K575+K581+K586+K598</f>
        <v>4458</v>
      </c>
      <c r="L599" s="42">
        <f>+L575+L581+L586+L598</f>
        <v>1900</v>
      </c>
      <c r="M599" s="37">
        <f t="shared" si="223"/>
        <v>11195</v>
      </c>
      <c r="N599" s="42">
        <f>+N575+N581+N586+N598</f>
        <v>1200</v>
      </c>
      <c r="O599" s="42">
        <f>+O575+O581+O586+O598</f>
        <v>80</v>
      </c>
      <c r="P599" s="42">
        <f>+P575+P581+P586+P598</f>
        <v>56</v>
      </c>
      <c r="Q599" s="37">
        <f t="shared" si="224"/>
        <v>1336</v>
      </c>
      <c r="R599" s="40">
        <f t="shared" si="225"/>
        <v>28195</v>
      </c>
    </row>
    <row r="600" spans="1:20" ht="16.5" hidden="1" customHeight="1" thickBot="1" x14ac:dyDescent="0.35">
      <c r="A600" s="299" t="s">
        <v>853</v>
      </c>
      <c r="B600" s="294">
        <v>23</v>
      </c>
      <c r="C600" s="294">
        <v>43</v>
      </c>
      <c r="D600" s="294">
        <v>66</v>
      </c>
      <c r="E600" s="40">
        <f t="shared" si="221"/>
        <v>132</v>
      </c>
      <c r="F600" s="294">
        <v>91</v>
      </c>
      <c r="G600" s="294">
        <v>108</v>
      </c>
      <c r="H600" s="294">
        <v>109</v>
      </c>
      <c r="I600" s="40">
        <f t="shared" si="222"/>
        <v>308</v>
      </c>
      <c r="J600" s="294">
        <v>104</v>
      </c>
      <c r="K600" s="294">
        <v>79</v>
      </c>
      <c r="L600" s="294">
        <v>80</v>
      </c>
      <c r="M600" s="40">
        <f t="shared" si="223"/>
        <v>263</v>
      </c>
      <c r="N600" s="294">
        <v>74</v>
      </c>
      <c r="O600" s="294">
        <v>58</v>
      </c>
      <c r="P600" s="294">
        <v>42</v>
      </c>
      <c r="Q600" s="40">
        <f t="shared" si="224"/>
        <v>174</v>
      </c>
      <c r="R600" s="38">
        <f t="shared" si="225"/>
        <v>877</v>
      </c>
    </row>
    <row r="601" spans="1:20" ht="16.5" hidden="1" customHeight="1" thickBot="1" x14ac:dyDescent="0.35">
      <c r="A601" s="22"/>
      <c r="B601" s="297"/>
      <c r="C601" s="297"/>
      <c r="D601" s="297"/>
      <c r="E601" s="21"/>
      <c r="F601" s="297"/>
      <c r="G601" s="297"/>
      <c r="H601" s="297"/>
      <c r="I601" s="31"/>
      <c r="J601" s="297"/>
      <c r="K601" s="297"/>
      <c r="L601" s="297"/>
      <c r="M601" s="31"/>
      <c r="N601" s="297"/>
      <c r="O601" s="297"/>
      <c r="P601" s="297"/>
      <c r="Q601" s="31"/>
      <c r="R601" s="21"/>
    </row>
    <row r="602" spans="1:20" ht="15.75" hidden="1" customHeight="1" x14ac:dyDescent="0.3">
      <c r="A602" s="234" t="s">
        <v>120</v>
      </c>
      <c r="B602" s="741">
        <f>SUM(B599:B600)</f>
        <v>146</v>
      </c>
      <c r="C602" s="741">
        <f>SUM(C599:C600)</f>
        <v>618</v>
      </c>
      <c r="D602" s="741">
        <f>SUM(D599:D600)</f>
        <v>2616</v>
      </c>
      <c r="E602" s="39">
        <f>SUM(B602:D602)</f>
        <v>3380</v>
      </c>
      <c r="F602" s="741">
        <f>SUM(F599:F600)</f>
        <v>4147</v>
      </c>
      <c r="G602" s="741">
        <f>SUM(G599:G600)</f>
        <v>2218</v>
      </c>
      <c r="H602" s="741">
        <f>SUM(H599:H600)</f>
        <v>6359</v>
      </c>
      <c r="I602" s="39">
        <f>SUM(F602:H602)</f>
        <v>12724</v>
      </c>
      <c r="J602" s="741">
        <f>SUM(J599:J600)</f>
        <v>4941</v>
      </c>
      <c r="K602" s="741">
        <f>SUM(K599:K600)</f>
        <v>4537</v>
      </c>
      <c r="L602" s="741">
        <f>SUM(L599:L600)</f>
        <v>1980</v>
      </c>
      <c r="M602" s="39">
        <f>SUM(J602:L602)</f>
        <v>11458</v>
      </c>
      <c r="N602" s="741">
        <f>SUM(N599:N600)</f>
        <v>1274</v>
      </c>
      <c r="O602" s="741">
        <f>SUM(O599:O600)</f>
        <v>138</v>
      </c>
      <c r="P602" s="741">
        <f>SUM(P599:P600)</f>
        <v>98</v>
      </c>
      <c r="Q602" s="39">
        <f>SUM(N602:P602)</f>
        <v>1510</v>
      </c>
      <c r="R602" s="39">
        <f>+E602+I602+M602+Q602</f>
        <v>29072</v>
      </c>
    </row>
    <row r="603" spans="1:20" ht="15.75" hidden="1" customHeight="1" x14ac:dyDescent="0.3">
      <c r="A603" s="234" t="s">
        <v>1897</v>
      </c>
      <c r="B603" s="10">
        <f>(B602/B10)/1.983</f>
        <v>2.3750264343695608</v>
      </c>
      <c r="C603" s="10">
        <f>(C602/C10)/1.983</f>
        <v>11.130322022909013</v>
      </c>
      <c r="D603" s="10">
        <f>(D602/D10)/1.983</f>
        <v>42.555268166512128</v>
      </c>
      <c r="E603" s="38" t="s">
        <v>852</v>
      </c>
      <c r="F603" s="10">
        <f>(F602/F10)/1.983</f>
        <v>69.709194822659256</v>
      </c>
      <c r="G603" s="10">
        <f>(G602/G10)/1.983</f>
        <v>36.080881037203319</v>
      </c>
      <c r="H603" s="10">
        <f>(H602/H10)/1.983</f>
        <v>106.89191460749706</v>
      </c>
      <c r="I603" s="38" t="s">
        <v>852</v>
      </c>
      <c r="J603" s="10">
        <f>(J602/J10)/1.983</f>
        <v>80.376750768630117</v>
      </c>
      <c r="K603" s="10">
        <f>(K602/K10)/1.983</f>
        <v>73.804759813251337</v>
      </c>
      <c r="L603" s="10">
        <f>(L602/L10)/1.983</f>
        <v>33.282904689863841</v>
      </c>
      <c r="M603" s="38" t="s">
        <v>852</v>
      </c>
      <c r="N603" s="10">
        <f>(N602/N10)/1.983</f>
        <v>20.724545735526164</v>
      </c>
      <c r="O603" s="10">
        <f>(O602/O10)/1.983</f>
        <v>2.3197175995965704</v>
      </c>
      <c r="P603" s="10">
        <f>(P602/P10)/1.983</f>
        <v>1.5941958258097049</v>
      </c>
      <c r="Q603" s="38" t="s">
        <v>852</v>
      </c>
      <c r="R603" s="38" t="s">
        <v>852</v>
      </c>
    </row>
    <row r="604" spans="1:20" ht="15.75" hidden="1" customHeight="1" x14ac:dyDescent="0.3">
      <c r="A604" s="234" t="s">
        <v>1433</v>
      </c>
      <c r="B604" s="10">
        <f>B602+B669</f>
        <v>16039</v>
      </c>
      <c r="C604" s="10">
        <f>C602+C669</f>
        <v>23206</v>
      </c>
      <c r="D604" s="10">
        <f>D602+D669</f>
        <v>29049</v>
      </c>
      <c r="E604" s="38">
        <f>SUM(B604:D604)</f>
        <v>68294</v>
      </c>
      <c r="F604" s="10">
        <f>F602+F669</f>
        <v>30715</v>
      </c>
      <c r="G604" s="10">
        <f>G602+G669</f>
        <v>30481</v>
      </c>
      <c r="H604" s="10">
        <f>H602+H669</f>
        <v>33206</v>
      </c>
      <c r="I604" s="38">
        <f>SUM(F604:H604)</f>
        <v>94402</v>
      </c>
      <c r="J604" s="10">
        <f>J602+J669</f>
        <v>31327</v>
      </c>
      <c r="K604" s="10">
        <f>K602+K669</f>
        <v>32516</v>
      </c>
      <c r="L604" s="10">
        <f>L602+L669</f>
        <v>25393</v>
      </c>
      <c r="M604" s="38">
        <f>SUM(J604:L604)</f>
        <v>89236</v>
      </c>
      <c r="N604" s="10">
        <f>N602+N669</f>
        <v>15082</v>
      </c>
      <c r="O604" s="10">
        <f>O602+O669</f>
        <v>4829</v>
      </c>
      <c r="P604" s="10">
        <f>P602+P669</f>
        <v>3018</v>
      </c>
      <c r="Q604" s="38">
        <f>SUM(N604:P604)</f>
        <v>22929</v>
      </c>
      <c r="R604" s="38">
        <f>+E604+I604+M604+Q604</f>
        <v>274861</v>
      </c>
    </row>
    <row r="605" spans="1:20" ht="16.5" hidden="1" customHeight="1" thickBot="1" x14ac:dyDescent="0.35">
      <c r="A605" s="237" t="s">
        <v>426</v>
      </c>
      <c r="B605" s="315">
        <f>(B604/B10)/1.983</f>
        <v>260.91129438940669</v>
      </c>
      <c r="C605" s="315">
        <f>(C604/C10)/1.983</f>
        <v>417.94539298321445</v>
      </c>
      <c r="D605" s="315">
        <f>(D604/D10)/1.983</f>
        <v>472.5489239178176</v>
      </c>
      <c r="E605" s="40" t="s">
        <v>852</v>
      </c>
      <c r="F605" s="315">
        <f>(F604/F10)/1.983</f>
        <v>516.30526138846869</v>
      </c>
      <c r="G605" s="315">
        <f>(G604/G10)/1.983</f>
        <v>495.84370373985325</v>
      </c>
      <c r="H605" s="315">
        <f>(H604/H10)/1.983</f>
        <v>558.17784501596896</v>
      </c>
      <c r="I605" s="40" t="s">
        <v>852</v>
      </c>
      <c r="J605" s="315">
        <f>(J604/J10)/1.983</f>
        <v>509.60584321572065</v>
      </c>
      <c r="K605" s="315">
        <f>(K604/K10)/1.983</f>
        <v>528.94766808192219</v>
      </c>
      <c r="L605" s="315">
        <f>(L604/L10)/1.983</f>
        <v>426.84484787359213</v>
      </c>
      <c r="M605" s="40" t="s">
        <v>852</v>
      </c>
      <c r="N605" s="315">
        <f>(N604/N10)/1.983</f>
        <v>245.34348413124459</v>
      </c>
      <c r="O605" s="315">
        <f>(O604/O10)/1.983</f>
        <v>81.173306438056812</v>
      </c>
      <c r="P605" s="315">
        <f>(P604/P10)/1.983</f>
        <v>49.094724513200916</v>
      </c>
      <c r="Q605" s="40" t="s">
        <v>852</v>
      </c>
      <c r="R605" s="40" t="s">
        <v>852</v>
      </c>
    </row>
    <row r="606" spans="1:20" ht="15.75" hidden="1" customHeight="1" x14ac:dyDescent="0.3">
      <c r="A606" s="17"/>
      <c r="B606" s="10"/>
      <c r="C606" s="10"/>
      <c r="D606" s="10"/>
      <c r="E606" s="10"/>
      <c r="F606" s="10"/>
      <c r="G606" s="10"/>
      <c r="H606" s="10"/>
      <c r="I606" s="10"/>
      <c r="J606" s="10"/>
      <c r="K606" s="10"/>
      <c r="L606" s="10"/>
      <c r="M606" s="10"/>
      <c r="N606" s="10"/>
      <c r="O606" s="10"/>
      <c r="P606" s="10"/>
      <c r="Q606" s="10"/>
      <c r="R606" s="17"/>
    </row>
    <row r="607" spans="1:20" ht="15.75" hidden="1" customHeight="1" thickBot="1" x14ac:dyDescent="0.35">
      <c r="A607" s="17"/>
      <c r="B607" s="10"/>
      <c r="C607" s="10"/>
      <c r="D607" s="10"/>
      <c r="E607" s="10"/>
      <c r="F607" s="10"/>
      <c r="G607" s="10"/>
      <c r="H607" s="10"/>
      <c r="I607" s="10"/>
      <c r="J607" s="10"/>
      <c r="K607" s="10"/>
      <c r="L607" s="10"/>
      <c r="M607" s="10"/>
      <c r="N607" s="10"/>
      <c r="O607" s="10"/>
      <c r="P607" s="10"/>
      <c r="Q607" s="10"/>
      <c r="R607" s="17"/>
    </row>
    <row r="608" spans="1:20" ht="16.5" hidden="1" customHeight="1" thickBot="1" x14ac:dyDescent="0.35">
      <c r="A608" s="278" t="s">
        <v>1069</v>
      </c>
      <c r="B608" s="4" t="s">
        <v>2090</v>
      </c>
      <c r="C608" s="5" t="s">
        <v>2091</v>
      </c>
      <c r="D608" s="5" t="s">
        <v>2234</v>
      </c>
      <c r="E608" s="33" t="s">
        <v>1594</v>
      </c>
      <c r="F608" s="5" t="s">
        <v>2235</v>
      </c>
      <c r="G608" s="5" t="s">
        <v>2236</v>
      </c>
      <c r="H608" s="5" t="s">
        <v>2237</v>
      </c>
      <c r="I608" s="35" t="s">
        <v>1595</v>
      </c>
      <c r="J608" s="5" t="s">
        <v>1504</v>
      </c>
      <c r="K608" s="5" t="s">
        <v>1505</v>
      </c>
      <c r="L608" s="5" t="s">
        <v>1506</v>
      </c>
      <c r="M608" s="35" t="s">
        <v>1596</v>
      </c>
      <c r="N608" s="5" t="s">
        <v>1507</v>
      </c>
      <c r="O608" s="5" t="s">
        <v>1508</v>
      </c>
      <c r="P608" s="5" t="s">
        <v>1509</v>
      </c>
      <c r="Q608" s="35" t="s">
        <v>1597</v>
      </c>
      <c r="R608" s="36" t="s">
        <v>1510</v>
      </c>
    </row>
    <row r="609" spans="1:20" ht="16.5" hidden="1" customHeight="1" thickBot="1" x14ac:dyDescent="0.35">
      <c r="A609" s="37"/>
      <c r="B609" s="313"/>
      <c r="C609" s="313"/>
      <c r="D609" s="313"/>
      <c r="E609" s="308"/>
      <c r="F609" s="313"/>
      <c r="G609" s="313"/>
      <c r="H609" s="313"/>
      <c r="I609" s="316"/>
      <c r="J609" s="313"/>
      <c r="K609" s="313"/>
      <c r="L609" s="313"/>
      <c r="M609" s="316"/>
      <c r="N609" s="313"/>
      <c r="O609" s="313"/>
      <c r="P609" s="313"/>
      <c r="Q609" s="316"/>
      <c r="R609" s="52"/>
    </row>
    <row r="610" spans="1:20" ht="15.75" hidden="1" customHeight="1" x14ac:dyDescent="0.3">
      <c r="A610" s="234" t="s">
        <v>2417</v>
      </c>
      <c r="B610" s="10"/>
      <c r="C610" s="10"/>
      <c r="D610" s="10"/>
      <c r="E610" s="38" t="s">
        <v>852</v>
      </c>
      <c r="F610" s="10"/>
      <c r="G610" s="10"/>
      <c r="H610" s="10"/>
      <c r="I610" s="38" t="s">
        <v>852</v>
      </c>
      <c r="J610" s="10" t="s">
        <v>852</v>
      </c>
      <c r="K610" s="10" t="s">
        <v>852</v>
      </c>
      <c r="L610" s="10" t="s">
        <v>852</v>
      </c>
      <c r="M610" s="38" t="s">
        <v>852</v>
      </c>
      <c r="N610" s="10" t="s">
        <v>852</v>
      </c>
      <c r="O610" s="10" t="s">
        <v>852</v>
      </c>
      <c r="P610" s="10" t="s">
        <v>852</v>
      </c>
      <c r="Q610" s="38" t="s">
        <v>852</v>
      </c>
      <c r="R610" s="38" t="s">
        <v>852</v>
      </c>
    </row>
    <row r="611" spans="1:20" ht="15.75" hidden="1" customHeight="1" x14ac:dyDescent="0.3">
      <c r="A611" s="234" t="s">
        <v>2160</v>
      </c>
      <c r="B611" s="10"/>
      <c r="C611" s="10"/>
      <c r="D611" s="10"/>
      <c r="E611" s="38" t="s">
        <v>852</v>
      </c>
      <c r="F611" s="10"/>
      <c r="G611" s="10"/>
      <c r="H611" s="10"/>
      <c r="I611" s="38" t="s">
        <v>852</v>
      </c>
      <c r="J611" s="10"/>
      <c r="K611" s="10"/>
      <c r="L611" s="10"/>
      <c r="M611" s="38" t="s">
        <v>852</v>
      </c>
      <c r="N611" s="10"/>
      <c r="O611" s="10"/>
      <c r="P611" s="10"/>
      <c r="Q611" s="38" t="s">
        <v>852</v>
      </c>
      <c r="R611" s="38" t="s">
        <v>852</v>
      </c>
    </row>
    <row r="612" spans="1:20" ht="15.75" hidden="1" customHeight="1" x14ac:dyDescent="0.3">
      <c r="A612" s="310" t="s">
        <v>746</v>
      </c>
      <c r="B612" s="10"/>
      <c r="C612" s="10"/>
      <c r="D612" s="10"/>
      <c r="E612" s="38">
        <f t="shared" ref="E612" si="231">SUM(B612:D612)</f>
        <v>0</v>
      </c>
      <c r="F612" s="10"/>
      <c r="G612" s="10"/>
      <c r="H612" s="10"/>
      <c r="I612" s="38">
        <f t="shared" ref="I612" si="232">SUM(F612:H612)</f>
        <v>0</v>
      </c>
      <c r="J612" s="10"/>
      <c r="K612" s="10"/>
      <c r="L612" s="10"/>
      <c r="M612" s="38">
        <f t="shared" ref="M612" si="233">SUM(J612:L612)</f>
        <v>0</v>
      </c>
      <c r="N612" s="10"/>
      <c r="O612" s="10"/>
      <c r="P612" s="10"/>
      <c r="Q612" s="38">
        <f t="shared" ref="Q612:Q620" si="234">SUM(N612:P612)</f>
        <v>0</v>
      </c>
      <c r="R612" s="38">
        <f t="shared" ref="R612:R622" si="235">+E612+I612+M612+Q612</f>
        <v>0</v>
      </c>
    </row>
    <row r="613" spans="1:20" ht="15.75" hidden="1" customHeight="1" x14ac:dyDescent="0.3">
      <c r="A613" s="310" t="s">
        <v>639</v>
      </c>
      <c r="B613" s="10">
        <v>200</v>
      </c>
      <c r="C613" s="10">
        <v>300</v>
      </c>
      <c r="D613" s="10">
        <v>500</v>
      </c>
      <c r="E613" s="38">
        <f>SUM(B613:D613)</f>
        <v>1000</v>
      </c>
      <c r="F613" s="10">
        <v>200</v>
      </c>
      <c r="G613" s="10">
        <v>200</v>
      </c>
      <c r="H613" s="10">
        <v>200</v>
      </c>
      <c r="I613" s="38">
        <f>SUM(F613:H613)</f>
        <v>600</v>
      </c>
      <c r="J613" s="10">
        <v>200</v>
      </c>
      <c r="K613" s="10">
        <v>200</v>
      </c>
      <c r="L613" s="10"/>
      <c r="M613" s="38">
        <f>SUM(J613:L613)</f>
        <v>400</v>
      </c>
      <c r="N613" s="10"/>
      <c r="O613" s="10"/>
      <c r="P613" s="10"/>
      <c r="Q613" s="38">
        <f>SUM(N613:P613)</f>
        <v>0</v>
      </c>
      <c r="R613" s="38">
        <f>+E613+I613+M613+Q613</f>
        <v>2000</v>
      </c>
    </row>
    <row r="614" spans="1:20" ht="15.75" hidden="1" customHeight="1" x14ac:dyDescent="0.3">
      <c r="A614" s="310" t="s">
        <v>1185</v>
      </c>
      <c r="B614" s="10"/>
      <c r="C614" s="10"/>
      <c r="D614" s="10">
        <v>1000</v>
      </c>
      <c r="E614" s="38">
        <f t="shared" ref="E614" si="236">SUM(B614:D614)</f>
        <v>1000</v>
      </c>
      <c r="F614" s="10">
        <v>1000</v>
      </c>
      <c r="G614" s="10">
        <v>1000</v>
      </c>
      <c r="H614" s="10">
        <v>1000</v>
      </c>
      <c r="I614" s="38">
        <f t="shared" ref="I614" si="237">SUM(F614:H614)</f>
        <v>3000</v>
      </c>
      <c r="J614" s="10">
        <v>1000</v>
      </c>
      <c r="K614" s="10">
        <v>960</v>
      </c>
      <c r="L614" s="10"/>
      <c r="M614" s="38">
        <f t="shared" ref="M614" si="238">SUM(J614:L614)</f>
        <v>1960</v>
      </c>
      <c r="N614" s="10"/>
      <c r="O614" s="10"/>
      <c r="P614" s="10"/>
      <c r="Q614" s="38">
        <f t="shared" si="234"/>
        <v>0</v>
      </c>
      <c r="R614" s="38">
        <f t="shared" si="235"/>
        <v>5960</v>
      </c>
      <c r="T614" t="s">
        <v>2763</v>
      </c>
    </row>
    <row r="615" spans="1:20" ht="15.75" hidden="1" customHeight="1" x14ac:dyDescent="0.3">
      <c r="A615" s="310" t="s">
        <v>745</v>
      </c>
      <c r="B615" s="10"/>
      <c r="C615" s="10"/>
      <c r="D615" s="10"/>
      <c r="E615" s="38">
        <f>SUM(B615:D615)</f>
        <v>0</v>
      </c>
      <c r="F615" s="10"/>
      <c r="G615" s="10"/>
      <c r="H615" s="10"/>
      <c r="I615" s="38">
        <f>SUM(F615:H615)</f>
        <v>0</v>
      </c>
      <c r="J615" s="10"/>
      <c r="K615" s="10"/>
      <c r="L615" s="10"/>
      <c r="M615" s="38">
        <f>SUM(J615:L615)</f>
        <v>0</v>
      </c>
      <c r="N615" s="10"/>
      <c r="O615" s="10"/>
      <c r="P615" s="10"/>
      <c r="Q615" s="38">
        <f>SUM(N615:P615)</f>
        <v>0</v>
      </c>
      <c r="R615" s="38">
        <f>+E615+I615+M615+Q615</f>
        <v>0</v>
      </c>
      <c r="T615" t="s">
        <v>2766</v>
      </c>
    </row>
    <row r="616" spans="1:20" ht="15.75" hidden="1" customHeight="1" x14ac:dyDescent="0.3">
      <c r="A616" s="310" t="s">
        <v>484</v>
      </c>
      <c r="B616" s="10">
        <v>300</v>
      </c>
      <c r="C616" s="10">
        <v>300</v>
      </c>
      <c r="D616" s="10">
        <v>300</v>
      </c>
      <c r="E616" s="38">
        <f t="shared" ref="E616" si="239">SUM(B616:D616)</f>
        <v>900</v>
      </c>
      <c r="F616" s="10">
        <v>300</v>
      </c>
      <c r="G616" s="10">
        <v>300</v>
      </c>
      <c r="H616" s="10">
        <v>300</v>
      </c>
      <c r="I616" s="38">
        <f t="shared" ref="I616" si="240">SUM(F616:H616)</f>
        <v>900</v>
      </c>
      <c r="J616" s="10">
        <v>300</v>
      </c>
      <c r="K616" s="10">
        <v>300</v>
      </c>
      <c r="L616" s="10">
        <v>300</v>
      </c>
      <c r="M616" s="38">
        <f t="shared" ref="M616" si="241">SUM(J616:L616)</f>
        <v>900</v>
      </c>
      <c r="N616" s="10">
        <v>300</v>
      </c>
      <c r="O616" s="10">
        <v>305</v>
      </c>
      <c r="P616" s="10"/>
      <c r="Q616" s="38">
        <f t="shared" si="234"/>
        <v>605</v>
      </c>
      <c r="R616" s="38">
        <f t="shared" si="235"/>
        <v>3305</v>
      </c>
      <c r="T616" t="s">
        <v>2766</v>
      </c>
    </row>
    <row r="617" spans="1:20" ht="15.75" hidden="1" customHeight="1" x14ac:dyDescent="0.3">
      <c r="A617" s="539" t="s">
        <v>2982</v>
      </c>
      <c r="B617" s="10">
        <v>635</v>
      </c>
      <c r="C617" s="10">
        <v>635</v>
      </c>
      <c r="D617" s="10">
        <v>635</v>
      </c>
      <c r="E617" s="38">
        <f>SUM(B617:D617)</f>
        <v>1905</v>
      </c>
      <c r="F617" s="356">
        <v>635</v>
      </c>
      <c r="G617" s="356">
        <v>635</v>
      </c>
      <c r="H617" s="10">
        <v>325</v>
      </c>
      <c r="I617" s="38">
        <f>SUM(F617:H617)</f>
        <v>1595</v>
      </c>
      <c r="J617" s="10"/>
      <c r="K617" s="10"/>
      <c r="L617" s="10"/>
      <c r="M617" s="38">
        <f>SUM(J617:L617)</f>
        <v>0</v>
      </c>
      <c r="N617" s="10"/>
      <c r="O617" s="10"/>
      <c r="P617" s="10"/>
      <c r="Q617" s="38">
        <f>SUM(N617:P617)</f>
        <v>0</v>
      </c>
      <c r="R617" s="38">
        <f t="shared" si="235"/>
        <v>3500</v>
      </c>
    </row>
    <row r="618" spans="1:20" ht="15.75" hidden="1" customHeight="1" x14ac:dyDescent="0.3">
      <c r="A618" s="310" t="s">
        <v>1836</v>
      </c>
      <c r="B618" s="10"/>
      <c r="C618" s="10"/>
      <c r="D618" s="10"/>
      <c r="E618" s="38">
        <f t="shared" ref="E618:E622" si="242">SUM(B618:D618)</f>
        <v>0</v>
      </c>
      <c r="F618" s="10"/>
      <c r="G618" s="10"/>
      <c r="H618" s="10"/>
      <c r="I618" s="38">
        <f t="shared" ref="I618:I622" si="243">SUM(F618:H618)</f>
        <v>0</v>
      </c>
      <c r="J618" s="10">
        <v>2800</v>
      </c>
      <c r="K618" s="10"/>
      <c r="L618" s="10"/>
      <c r="M618" s="38">
        <f t="shared" ref="M618:M622" si="244">SUM(J618:L618)</f>
        <v>2800</v>
      </c>
      <c r="N618" s="10"/>
      <c r="O618" s="10"/>
      <c r="P618" s="10"/>
      <c r="Q618" s="38">
        <f t="shared" si="234"/>
        <v>0</v>
      </c>
      <c r="R618" s="38">
        <f t="shared" si="235"/>
        <v>2800</v>
      </c>
      <c r="T618" t="s">
        <v>2766</v>
      </c>
    </row>
    <row r="619" spans="1:20" ht="15.75" hidden="1" customHeight="1" x14ac:dyDescent="0.3">
      <c r="A619" s="539" t="s">
        <v>3047</v>
      </c>
      <c r="B619" s="10"/>
      <c r="C619" s="10"/>
      <c r="D619" s="10">
        <v>300</v>
      </c>
      <c r="E619" s="38">
        <f t="shared" si="242"/>
        <v>300</v>
      </c>
      <c r="F619" s="10">
        <v>436</v>
      </c>
      <c r="G619" s="10">
        <v>400</v>
      </c>
      <c r="H619" s="10">
        <v>400</v>
      </c>
      <c r="I619" s="38">
        <f t="shared" si="243"/>
        <v>1236</v>
      </c>
      <c r="J619" s="10">
        <v>400</v>
      </c>
      <c r="K619" s="10">
        <v>400</v>
      </c>
      <c r="L619" s="10"/>
      <c r="M619" s="38">
        <f t="shared" si="244"/>
        <v>800</v>
      </c>
      <c r="N619" s="10"/>
      <c r="O619" s="10"/>
      <c r="P619" s="10"/>
      <c r="Q619" s="38">
        <f>SUM(N619:P619)</f>
        <v>0</v>
      </c>
      <c r="R619" s="38">
        <f>+E619+I619+M619+Q619</f>
        <v>2336</v>
      </c>
    </row>
    <row r="620" spans="1:20" ht="15.75" hidden="1" customHeight="1" x14ac:dyDescent="0.3">
      <c r="A620" s="539" t="s">
        <v>1295</v>
      </c>
      <c r="B620" s="10"/>
      <c r="C620" s="10"/>
      <c r="D620" s="10"/>
      <c r="E620" s="38">
        <f t="shared" si="242"/>
        <v>0</v>
      </c>
      <c r="F620" s="10"/>
      <c r="G620" s="10"/>
      <c r="H620" s="10"/>
      <c r="I620" s="38">
        <f t="shared" si="243"/>
        <v>0</v>
      </c>
      <c r="J620" s="10"/>
      <c r="K620" s="10"/>
      <c r="L620" s="10"/>
      <c r="M620" s="38">
        <f t="shared" si="244"/>
        <v>0</v>
      </c>
      <c r="N620" s="10"/>
      <c r="O620" s="10"/>
      <c r="P620" s="10"/>
      <c r="Q620" s="38">
        <f t="shared" si="234"/>
        <v>0</v>
      </c>
      <c r="R620" s="38">
        <f t="shared" si="235"/>
        <v>0</v>
      </c>
      <c r="T620" t="s">
        <v>2766</v>
      </c>
    </row>
    <row r="621" spans="1:20" ht="15.75" hidden="1" customHeight="1" x14ac:dyDescent="0.3">
      <c r="A621" s="539" t="s">
        <v>3338</v>
      </c>
      <c r="B621" s="10"/>
      <c r="C621" s="10">
        <v>250</v>
      </c>
      <c r="D621" s="10">
        <v>400</v>
      </c>
      <c r="E621" s="38">
        <f t="shared" si="242"/>
        <v>650</v>
      </c>
      <c r="F621" s="10">
        <v>650</v>
      </c>
      <c r="G621" s="10">
        <v>700</v>
      </c>
      <c r="H621" s="10">
        <v>340</v>
      </c>
      <c r="I621" s="38">
        <f t="shared" si="243"/>
        <v>1690</v>
      </c>
      <c r="J621" s="10">
        <v>380</v>
      </c>
      <c r="K621" s="10">
        <v>67</v>
      </c>
      <c r="L621" s="10"/>
      <c r="M621" s="38">
        <f t="shared" si="244"/>
        <v>447</v>
      </c>
      <c r="N621" s="10"/>
      <c r="O621" s="10"/>
      <c r="P621" s="10"/>
      <c r="Q621" s="38">
        <f t="shared" ref="Q621" si="245">SUM(N621:P621)</f>
        <v>0</v>
      </c>
      <c r="R621" s="38">
        <f t="shared" si="235"/>
        <v>2787</v>
      </c>
    </row>
    <row r="622" spans="1:20" ht="15.75" hidden="1" customHeight="1" x14ac:dyDescent="0.3">
      <c r="A622" s="539" t="s">
        <v>3331</v>
      </c>
      <c r="B622" s="10"/>
      <c r="C622" s="10"/>
      <c r="D622" s="10"/>
      <c r="E622" s="38">
        <f t="shared" si="242"/>
        <v>0</v>
      </c>
      <c r="F622" s="10"/>
      <c r="G622" s="10"/>
      <c r="H622" s="10">
        <v>500</v>
      </c>
      <c r="I622" s="38">
        <f t="shared" si="243"/>
        <v>500</v>
      </c>
      <c r="J622" s="10"/>
      <c r="K622" s="10"/>
      <c r="L622" s="10"/>
      <c r="M622" s="38">
        <f t="shared" si="244"/>
        <v>0</v>
      </c>
      <c r="N622" s="10"/>
      <c r="O622" s="10"/>
      <c r="P622" s="10"/>
      <c r="Q622" s="38">
        <f t="shared" ref="Q622" si="246">SUM(N622:P622)</f>
        <v>0</v>
      </c>
      <c r="R622" s="38">
        <f t="shared" si="235"/>
        <v>500</v>
      </c>
    </row>
    <row r="623" spans="1:20" ht="15.75" hidden="1" customHeight="1" x14ac:dyDescent="0.3">
      <c r="A623" s="539" t="s">
        <v>3321</v>
      </c>
      <c r="B623" s="10">
        <v>2217</v>
      </c>
      <c r="C623" s="10">
        <v>2762</v>
      </c>
      <c r="D623" s="10">
        <v>2995</v>
      </c>
      <c r="E623" s="38">
        <f>SUM(B623:D623)</f>
        <v>7974</v>
      </c>
      <c r="F623" s="10">
        <v>2161</v>
      </c>
      <c r="G623" s="10">
        <v>2459</v>
      </c>
      <c r="H623" s="10">
        <v>2500</v>
      </c>
      <c r="I623" s="38">
        <f>SUM(F623:H623)</f>
        <v>7120</v>
      </c>
      <c r="J623" s="10"/>
      <c r="K623" s="10">
        <v>2406</v>
      </c>
      <c r="L623" s="10">
        <v>1500</v>
      </c>
      <c r="M623" s="38">
        <f>SUM(J623:L623)</f>
        <v>3906</v>
      </c>
      <c r="N623" s="10">
        <v>1000</v>
      </c>
      <c r="O623" s="10"/>
      <c r="P623" s="10"/>
      <c r="Q623" s="38">
        <f>SUM(N623:P623)</f>
        <v>1000</v>
      </c>
      <c r="R623" s="38">
        <f>+E623+I623+M623+Q623</f>
        <v>20000</v>
      </c>
      <c r="T623" t="s">
        <v>2763</v>
      </c>
    </row>
    <row r="624" spans="1:20" ht="15.75" hidden="1" customHeight="1" x14ac:dyDescent="0.3">
      <c r="A624" s="234" t="s">
        <v>2161</v>
      </c>
      <c r="B624" s="10"/>
      <c r="C624" s="10"/>
      <c r="D624" s="10"/>
      <c r="E624" s="38" t="s">
        <v>852</v>
      </c>
      <c r="F624" s="10"/>
      <c r="G624" s="10"/>
      <c r="H624" s="10"/>
      <c r="I624" s="38" t="s">
        <v>852</v>
      </c>
      <c r="J624" s="10"/>
      <c r="K624" s="10"/>
      <c r="L624" s="10"/>
      <c r="M624" s="38" t="s">
        <v>852</v>
      </c>
      <c r="N624" s="10"/>
      <c r="O624" s="10"/>
      <c r="P624" s="10"/>
      <c r="Q624" s="38" t="s">
        <v>852</v>
      </c>
      <c r="R624" s="38" t="s">
        <v>852</v>
      </c>
    </row>
    <row r="625" spans="1:20" ht="15.75" hidden="1" customHeight="1" x14ac:dyDescent="0.3">
      <c r="A625" s="310" t="s">
        <v>1295</v>
      </c>
      <c r="B625" s="10"/>
      <c r="C625" s="10"/>
      <c r="D625" s="10"/>
      <c r="E625" s="38">
        <f>SUM(B625:D625)</f>
        <v>0</v>
      </c>
      <c r="F625" s="10"/>
      <c r="G625" s="10"/>
      <c r="H625" s="10"/>
      <c r="I625" s="38">
        <f>SUM(F625:H625)</f>
        <v>0</v>
      </c>
      <c r="J625" s="10"/>
      <c r="K625" s="10"/>
      <c r="L625" s="10"/>
      <c r="M625" s="38">
        <f>SUM(J625:L625)</f>
        <v>0</v>
      </c>
      <c r="N625" s="10"/>
      <c r="O625" s="10"/>
      <c r="P625" s="10"/>
      <c r="Q625" s="38">
        <f>SUM(N625:P625)</f>
        <v>0</v>
      </c>
      <c r="R625" s="38">
        <f>+E625+I625+M625+Q625</f>
        <v>0</v>
      </c>
      <c r="T625" t="s">
        <v>2766</v>
      </c>
    </row>
    <row r="626" spans="1:20" ht="15.75" hidden="1" customHeight="1" x14ac:dyDescent="0.3">
      <c r="A626" s="234" t="s">
        <v>3245</v>
      </c>
      <c r="B626" s="10"/>
      <c r="C626" s="10"/>
      <c r="D626" s="10"/>
      <c r="E626" s="38" t="s">
        <v>852</v>
      </c>
      <c r="F626" s="10"/>
      <c r="G626" s="10"/>
      <c r="H626" s="10"/>
      <c r="I626" s="38" t="s">
        <v>852</v>
      </c>
      <c r="J626" s="10"/>
      <c r="K626" s="10"/>
      <c r="L626" s="10"/>
      <c r="M626" s="38" t="s">
        <v>852</v>
      </c>
      <c r="N626" s="10"/>
      <c r="O626" s="10"/>
      <c r="P626" s="10"/>
      <c r="Q626" s="38" t="s">
        <v>852</v>
      </c>
      <c r="R626" s="38" t="s">
        <v>852</v>
      </c>
    </row>
    <row r="627" spans="1:20" ht="15.75" hidden="1" customHeight="1" x14ac:dyDescent="0.3">
      <c r="A627" s="539" t="s">
        <v>3264</v>
      </c>
      <c r="B627" s="10"/>
      <c r="C627" s="10"/>
      <c r="D627" s="10"/>
      <c r="E627" s="38">
        <f>SUM(B627:D627)</f>
        <v>0</v>
      </c>
      <c r="F627" s="10"/>
      <c r="G627" s="10"/>
      <c r="H627" s="10"/>
      <c r="I627" s="38">
        <f>SUM(F627:H627)</f>
        <v>0</v>
      </c>
      <c r="J627" s="10"/>
      <c r="K627" s="10"/>
      <c r="L627" s="10"/>
      <c r="M627" s="38">
        <f>SUM(J627:L627)</f>
        <v>0</v>
      </c>
      <c r="N627" s="10"/>
      <c r="O627" s="10"/>
      <c r="P627" s="10"/>
      <c r="Q627" s="38">
        <f>SUM(N627:P627)</f>
        <v>0</v>
      </c>
      <c r="R627" s="38">
        <f>+E627+I627+M627+Q627</f>
        <v>0</v>
      </c>
      <c r="S627" s="735" t="s">
        <v>3214</v>
      </c>
      <c r="T627" t="s">
        <v>2766</v>
      </c>
    </row>
    <row r="628" spans="1:20" ht="15.75" hidden="1" customHeight="1" thickBot="1" x14ac:dyDescent="0.35">
      <c r="A628" s="234" t="s">
        <v>2164</v>
      </c>
      <c r="B628" s="10"/>
      <c r="C628" s="10"/>
      <c r="D628" s="10"/>
      <c r="E628" s="38" t="s">
        <v>852</v>
      </c>
      <c r="F628" s="10"/>
      <c r="G628" s="10"/>
      <c r="H628" s="10"/>
      <c r="I628" s="38" t="s">
        <v>852</v>
      </c>
      <c r="J628" s="10"/>
      <c r="K628" s="10"/>
      <c r="L628" s="10"/>
      <c r="M628" s="38" t="s">
        <v>852</v>
      </c>
      <c r="N628" s="10"/>
      <c r="O628" s="10"/>
      <c r="P628" s="10"/>
      <c r="Q628" s="38" t="s">
        <v>852</v>
      </c>
      <c r="R628" s="38" t="s">
        <v>852</v>
      </c>
    </row>
    <row r="629" spans="1:20" ht="16.5" hidden="1" customHeight="1" thickBot="1" x14ac:dyDescent="0.35">
      <c r="A629" s="322" t="s">
        <v>1218</v>
      </c>
      <c r="B629" s="45">
        <f>SUM(B610:B628)</f>
        <v>3352</v>
      </c>
      <c r="C629" s="46">
        <f>SUM(C610:C628)</f>
        <v>4247</v>
      </c>
      <c r="D629" s="46">
        <f>SUM(D610:D628)</f>
        <v>6130</v>
      </c>
      <c r="E629" s="37">
        <f>SUM(B629:D629)</f>
        <v>13729</v>
      </c>
      <c r="F629" s="46">
        <f>SUM(F610:F628)</f>
        <v>5382</v>
      </c>
      <c r="G629" s="46">
        <f>SUM(G610:G628)</f>
        <v>5694</v>
      </c>
      <c r="H629" s="46">
        <f>SUM(H610:H628)</f>
        <v>5565</v>
      </c>
      <c r="I629" s="37">
        <f>SUM(F629:H629)</f>
        <v>16641</v>
      </c>
      <c r="J629" s="46">
        <f>SUM(J610:J628)</f>
        <v>5080</v>
      </c>
      <c r="K629" s="46">
        <f>SUM(K610:K628)</f>
        <v>4333</v>
      </c>
      <c r="L629" s="46">
        <f>SUM(L610:L628)</f>
        <v>1800</v>
      </c>
      <c r="M629" s="37">
        <f>SUM(J629:L629)</f>
        <v>11213</v>
      </c>
      <c r="N629" s="46">
        <f>SUM(N610:N628)</f>
        <v>1300</v>
      </c>
      <c r="O629" s="46">
        <f>SUM(O610:O628)</f>
        <v>305</v>
      </c>
      <c r="P629" s="46">
        <f>SUM(P610:P628)</f>
        <v>0</v>
      </c>
      <c r="Q629" s="37">
        <f>SUM(N629:P629)</f>
        <v>1605</v>
      </c>
      <c r="R629" s="37">
        <f>+E629+I629+M629+Q629</f>
        <v>43188</v>
      </c>
    </row>
    <row r="630" spans="1:20" ht="15.75" hidden="1" customHeight="1" x14ac:dyDescent="0.3">
      <c r="A630" s="234" t="s">
        <v>1172</v>
      </c>
      <c r="B630" s="10"/>
      <c r="C630" s="10"/>
      <c r="D630" s="10"/>
      <c r="E630" s="38" t="s">
        <v>852</v>
      </c>
      <c r="F630" s="10"/>
      <c r="G630" s="10"/>
      <c r="H630" s="10"/>
      <c r="I630" s="38" t="s">
        <v>852</v>
      </c>
      <c r="J630" s="10"/>
      <c r="K630" s="10"/>
      <c r="L630" s="10"/>
      <c r="M630" s="38" t="s">
        <v>852</v>
      </c>
      <c r="N630" s="10"/>
      <c r="O630" s="10"/>
      <c r="P630" s="10"/>
      <c r="Q630" s="38" t="s">
        <v>852</v>
      </c>
      <c r="R630" s="38" t="s">
        <v>852</v>
      </c>
    </row>
    <row r="631" spans="1:20" ht="15.75" hidden="1" customHeight="1" x14ac:dyDescent="0.3">
      <c r="A631" s="234" t="s">
        <v>2409</v>
      </c>
      <c r="B631" s="10"/>
      <c r="C631" s="10"/>
      <c r="D631" s="10"/>
      <c r="E631" s="38" t="s">
        <v>852</v>
      </c>
      <c r="F631" s="10"/>
      <c r="G631" s="10"/>
      <c r="H631" s="10"/>
      <c r="I631" s="38" t="s">
        <v>852</v>
      </c>
      <c r="J631" s="10"/>
      <c r="K631" s="10"/>
      <c r="L631" s="10"/>
      <c r="M631" s="38" t="s">
        <v>852</v>
      </c>
      <c r="N631" s="10"/>
      <c r="O631" s="10"/>
      <c r="P631" s="10"/>
      <c r="Q631" s="38" t="s">
        <v>852</v>
      </c>
      <c r="R631" s="38" t="s">
        <v>852</v>
      </c>
    </row>
    <row r="632" spans="1:20" ht="15.75" hidden="1" customHeight="1" x14ac:dyDescent="0.3">
      <c r="A632" s="310" t="s">
        <v>2478</v>
      </c>
      <c r="B632" s="10"/>
      <c r="C632" s="10"/>
      <c r="D632" s="10"/>
      <c r="E632" s="38">
        <f>SUM(B632:D632)</f>
        <v>0</v>
      </c>
      <c r="F632" s="10"/>
      <c r="G632" s="10"/>
      <c r="H632" s="10"/>
      <c r="I632" s="38">
        <f>SUM(F632:H632)</f>
        <v>0</v>
      </c>
      <c r="J632" s="10"/>
      <c r="K632" s="10"/>
      <c r="L632" s="10"/>
      <c r="M632" s="38">
        <f>SUM(J632:L632)</f>
        <v>0</v>
      </c>
      <c r="N632" s="10"/>
      <c r="O632" s="10"/>
      <c r="P632" s="10"/>
      <c r="Q632" s="38">
        <f>SUM(N632:P632)</f>
        <v>0</v>
      </c>
      <c r="R632" s="38">
        <f>+E632+I632+M632+Q632</f>
        <v>0</v>
      </c>
    </row>
    <row r="633" spans="1:20" ht="15.75" hidden="1" customHeight="1" x14ac:dyDescent="0.3">
      <c r="A633" s="310" t="s">
        <v>1958</v>
      </c>
      <c r="B633" s="10"/>
      <c r="C633" s="10"/>
      <c r="D633" s="10"/>
      <c r="E633" s="38">
        <f>SUM(B633:D633)</f>
        <v>0</v>
      </c>
      <c r="F633" s="10"/>
      <c r="G633" s="10"/>
      <c r="H633" s="10"/>
      <c r="I633" s="38">
        <f>SUM(F633:H633)</f>
        <v>0</v>
      </c>
      <c r="J633" s="10"/>
      <c r="K633" s="10"/>
      <c r="L633" s="10"/>
      <c r="M633" s="38">
        <f>SUM(J633:L633)</f>
        <v>0</v>
      </c>
      <c r="N633" s="10"/>
      <c r="O633" s="10"/>
      <c r="P633" s="10"/>
      <c r="Q633" s="38">
        <f>SUM(N633:P633)</f>
        <v>0</v>
      </c>
      <c r="R633" s="38">
        <f>+E633+I633+M633+Q633</f>
        <v>0</v>
      </c>
    </row>
    <row r="634" spans="1:20" ht="15.75" hidden="1" customHeight="1" thickBot="1" x14ac:dyDescent="0.35">
      <c r="A634" s="234" t="s">
        <v>2165</v>
      </c>
      <c r="B634" s="10"/>
      <c r="C634" s="10"/>
      <c r="D634" s="10"/>
      <c r="E634" s="38" t="s">
        <v>852</v>
      </c>
      <c r="F634" s="10"/>
      <c r="G634" s="10"/>
      <c r="H634" s="10"/>
      <c r="I634" s="38" t="s">
        <v>852</v>
      </c>
      <c r="J634" s="10"/>
      <c r="K634" s="10"/>
      <c r="L634" s="10"/>
      <c r="M634" s="38" t="s">
        <v>852</v>
      </c>
      <c r="N634" s="10"/>
      <c r="O634" s="10"/>
      <c r="P634" s="10"/>
      <c r="Q634" s="38" t="s">
        <v>852</v>
      </c>
      <c r="R634" s="38" t="s">
        <v>852</v>
      </c>
    </row>
    <row r="635" spans="1:20" ht="16.5" hidden="1" customHeight="1" thickBot="1" x14ac:dyDescent="0.35">
      <c r="A635" s="43" t="s">
        <v>1219</v>
      </c>
      <c r="B635" s="45">
        <f>SUM(B630:B634)</f>
        <v>0</v>
      </c>
      <c r="C635" s="46">
        <f>SUM(C630:C634)</f>
        <v>0</v>
      </c>
      <c r="D635" s="46">
        <f>SUM(D630:D634)</f>
        <v>0</v>
      </c>
      <c r="E635" s="37">
        <f>SUM(B635:D635)</f>
        <v>0</v>
      </c>
      <c r="F635" s="46">
        <f>SUM(F630:F634)</f>
        <v>0</v>
      </c>
      <c r="G635" s="46">
        <f>SUM(G630:G634)</f>
        <v>0</v>
      </c>
      <c r="H635" s="46">
        <f>SUM(H630:H634)</f>
        <v>0</v>
      </c>
      <c r="I635" s="37">
        <f>SUM(F635:H635)</f>
        <v>0</v>
      </c>
      <c r="J635" s="46">
        <f>SUM(J630:J634)</f>
        <v>0</v>
      </c>
      <c r="K635" s="46">
        <f>SUM(K630:K634)</f>
        <v>0</v>
      </c>
      <c r="L635" s="46">
        <f>SUM(L630:L634)</f>
        <v>0</v>
      </c>
      <c r="M635" s="37">
        <f>SUM(J635:L635)</f>
        <v>0</v>
      </c>
      <c r="N635" s="46">
        <f>SUM(N630:N634)</f>
        <v>0</v>
      </c>
      <c r="O635" s="46">
        <f>SUM(O630:O634)</f>
        <v>0</v>
      </c>
      <c r="P635" s="46">
        <f>SUM(P630:P634)</f>
        <v>0</v>
      </c>
      <c r="Q635" s="37">
        <f>SUM(N635:P635)</f>
        <v>0</v>
      </c>
      <c r="R635" s="37">
        <f>+E635+I635+M635+Q635</f>
        <v>0</v>
      </c>
    </row>
    <row r="636" spans="1:20" ht="15.75" hidden="1" customHeight="1" x14ac:dyDescent="0.3">
      <c r="A636" s="234" t="s">
        <v>2166</v>
      </c>
      <c r="B636" s="10"/>
      <c r="C636" s="10"/>
      <c r="D636" s="10"/>
      <c r="E636" s="38" t="s">
        <v>852</v>
      </c>
      <c r="F636" s="10"/>
      <c r="G636" s="10"/>
      <c r="H636" s="10"/>
      <c r="I636" s="38" t="s">
        <v>852</v>
      </c>
      <c r="J636" s="10"/>
      <c r="K636" s="10"/>
      <c r="L636" s="10"/>
      <c r="M636" s="38" t="s">
        <v>852</v>
      </c>
      <c r="N636" s="10"/>
      <c r="O636" s="10"/>
      <c r="P636" s="10"/>
      <c r="Q636" s="38" t="s">
        <v>852</v>
      </c>
      <c r="R636" s="38" t="s">
        <v>852</v>
      </c>
    </row>
    <row r="637" spans="1:20" ht="15.75" hidden="1" customHeight="1" x14ac:dyDescent="0.3">
      <c r="A637" s="234" t="s">
        <v>1245</v>
      </c>
      <c r="B637" s="10"/>
      <c r="C637" s="10"/>
      <c r="D637" s="10"/>
      <c r="E637" s="38" t="s">
        <v>852</v>
      </c>
      <c r="F637" s="10"/>
      <c r="G637" s="10"/>
      <c r="H637" s="10"/>
      <c r="I637" s="38" t="s">
        <v>852</v>
      </c>
      <c r="J637" s="10"/>
      <c r="K637" s="10"/>
      <c r="L637" s="10"/>
      <c r="M637" s="38" t="s">
        <v>852</v>
      </c>
      <c r="N637" s="10"/>
      <c r="O637" s="10"/>
      <c r="P637" s="10"/>
      <c r="Q637" s="38" t="s">
        <v>852</v>
      </c>
      <c r="R637" s="38" t="s">
        <v>852</v>
      </c>
    </row>
    <row r="638" spans="1:20" ht="15.75" hidden="1" customHeight="1" x14ac:dyDescent="0.3">
      <c r="A638" s="234" t="s">
        <v>1711</v>
      </c>
      <c r="B638" s="10"/>
      <c r="C638" s="10"/>
      <c r="D638" s="10"/>
      <c r="E638" s="38" t="s">
        <v>852</v>
      </c>
      <c r="F638" s="10"/>
      <c r="G638" s="10"/>
      <c r="H638" s="10"/>
      <c r="I638" s="38" t="s">
        <v>852</v>
      </c>
      <c r="J638" s="10"/>
      <c r="K638" s="10"/>
      <c r="L638" s="10"/>
      <c r="M638" s="38" t="s">
        <v>852</v>
      </c>
      <c r="N638" s="10"/>
      <c r="O638" s="10"/>
      <c r="P638" s="10"/>
      <c r="Q638" s="38" t="s">
        <v>852</v>
      </c>
      <c r="R638" s="38" t="s">
        <v>852</v>
      </c>
    </row>
    <row r="639" spans="1:20" ht="15.75" hidden="1" customHeight="1" x14ac:dyDescent="0.3">
      <c r="A639" s="539" t="s">
        <v>3202</v>
      </c>
      <c r="B639" s="10"/>
      <c r="C639" s="10"/>
      <c r="D639" s="10"/>
      <c r="E639" s="38">
        <f t="shared" ref="E639:E641" si="247">SUM(B639:D639)</f>
        <v>0</v>
      </c>
      <c r="F639" s="10"/>
      <c r="G639" s="10"/>
      <c r="H639" s="10"/>
      <c r="I639" s="38">
        <f t="shared" ref="I639:I640" si="248">SUM(F639:H639)</f>
        <v>0</v>
      </c>
      <c r="J639" s="10"/>
      <c r="K639" s="10"/>
      <c r="L639" s="10"/>
      <c r="M639" s="38">
        <f t="shared" ref="M639:M641" si="249">SUM(J639:L639)</f>
        <v>0</v>
      </c>
      <c r="N639" s="10"/>
      <c r="O639" s="10"/>
      <c r="P639" s="10"/>
      <c r="Q639" s="38">
        <f>SUM(N639:P639)</f>
        <v>0</v>
      </c>
      <c r="R639" s="38">
        <f>+E639+I639+M639+Q639</f>
        <v>0</v>
      </c>
      <c r="T639" t="s">
        <v>2766</v>
      </c>
    </row>
    <row r="640" spans="1:20" ht="15.75" hidden="1" customHeight="1" x14ac:dyDescent="0.3">
      <c r="A640" s="539" t="s">
        <v>3231</v>
      </c>
      <c r="B640" s="10"/>
      <c r="C640" s="10"/>
      <c r="D640" s="10"/>
      <c r="E640" s="38">
        <f t="shared" si="247"/>
        <v>0</v>
      </c>
      <c r="F640" s="10"/>
      <c r="G640" s="10"/>
      <c r="H640" s="10"/>
      <c r="I640" s="38">
        <f t="shared" si="248"/>
        <v>0</v>
      </c>
      <c r="J640" s="10"/>
      <c r="K640" s="10"/>
      <c r="L640" s="10"/>
      <c r="M640" s="38">
        <f t="shared" si="249"/>
        <v>0</v>
      </c>
      <c r="N640" s="10"/>
      <c r="O640" s="10"/>
      <c r="P640" s="10"/>
      <c r="Q640" s="38">
        <f t="shared" ref="Q640" si="250">SUM(N640:P640)</f>
        <v>0</v>
      </c>
      <c r="R640" s="38">
        <f t="shared" ref="R640:R643" si="251">+E640+I640+M640+Q640</f>
        <v>0</v>
      </c>
    </row>
    <row r="641" spans="1:20" ht="15.75" hidden="1" customHeight="1" x14ac:dyDescent="0.3">
      <c r="A641" s="539" t="s">
        <v>3369</v>
      </c>
      <c r="B641" s="10"/>
      <c r="C641" s="10"/>
      <c r="D641" s="10"/>
      <c r="E641" s="38">
        <f t="shared" si="247"/>
        <v>0</v>
      </c>
      <c r="F641" s="10"/>
      <c r="G641" s="10"/>
      <c r="H641" s="10"/>
      <c r="I641" s="38">
        <f t="shared" ref="I641" si="252">SUM(F641:H641)</f>
        <v>0</v>
      </c>
      <c r="J641" s="10"/>
      <c r="K641" s="10"/>
      <c r="L641" s="10"/>
      <c r="M641" s="38">
        <f t="shared" si="249"/>
        <v>0</v>
      </c>
      <c r="N641" s="10"/>
      <c r="O641" s="10">
        <v>1200</v>
      </c>
      <c r="P641" s="10"/>
      <c r="Q641" s="38">
        <f t="shared" ref="Q641:Q642" si="253">SUM(N641:P641)</f>
        <v>1200</v>
      </c>
      <c r="R641" s="38">
        <f t="shared" si="251"/>
        <v>1200</v>
      </c>
    </row>
    <row r="642" spans="1:20" ht="15.75" hidden="1" customHeight="1" x14ac:dyDescent="0.3">
      <c r="A642" s="539" t="s">
        <v>3235</v>
      </c>
      <c r="B642" s="10"/>
      <c r="C642" s="10"/>
      <c r="D642" s="10"/>
      <c r="E642" s="38">
        <f>SUM(B642:D642)</f>
        <v>0</v>
      </c>
      <c r="F642" s="10"/>
      <c r="G642" s="10"/>
      <c r="H642" s="10"/>
      <c r="I642" s="38">
        <f>SUM(F642:H642)</f>
        <v>0</v>
      </c>
      <c r="J642" s="10"/>
      <c r="K642" s="10"/>
      <c r="L642" s="10"/>
      <c r="M642" s="38">
        <f>SUM(J642:L642)</f>
        <v>0</v>
      </c>
      <c r="N642" s="10"/>
      <c r="O642" s="10"/>
      <c r="P642" s="10"/>
      <c r="Q642" s="38">
        <f t="shared" si="253"/>
        <v>0</v>
      </c>
      <c r="R642" s="38">
        <f t="shared" si="251"/>
        <v>0</v>
      </c>
    </row>
    <row r="643" spans="1:20" ht="15.75" hidden="1" customHeight="1" x14ac:dyDescent="0.3">
      <c r="A643" s="539" t="s">
        <v>3211</v>
      </c>
      <c r="B643" s="10"/>
      <c r="C643" s="10"/>
      <c r="D643" s="10"/>
      <c r="E643" s="38">
        <f>SUM(B643:D643)</f>
        <v>0</v>
      </c>
      <c r="F643" s="10"/>
      <c r="G643" s="10"/>
      <c r="H643" s="10"/>
      <c r="I643" s="38">
        <f>SUM(F643:H643)</f>
        <v>0</v>
      </c>
      <c r="J643" s="10"/>
      <c r="K643" s="10"/>
      <c r="L643" s="10"/>
      <c r="M643" s="38">
        <f>SUM(J643:L643)</f>
        <v>0</v>
      </c>
      <c r="N643" s="10"/>
      <c r="O643" s="10"/>
      <c r="P643" s="10"/>
      <c r="Q643" s="38">
        <f>SUM(N643:P643)</f>
        <v>0</v>
      </c>
      <c r="R643" s="38">
        <f t="shared" si="251"/>
        <v>0</v>
      </c>
    </row>
    <row r="644" spans="1:20" ht="15.75" hidden="1" customHeight="1" thickBot="1" x14ac:dyDescent="0.35">
      <c r="A644" s="539" t="s">
        <v>2079</v>
      </c>
      <c r="B644" s="10"/>
      <c r="C644" s="10"/>
      <c r="D644" s="10"/>
      <c r="E644" s="38">
        <f>SUM(B644:D644)</f>
        <v>0</v>
      </c>
      <c r="F644" s="10"/>
      <c r="G644" s="10"/>
      <c r="H644" s="10"/>
      <c r="I644" s="38">
        <f>SUM(F644:H644)</f>
        <v>0</v>
      </c>
      <c r="J644" s="10"/>
      <c r="K644" s="10"/>
      <c r="L644" s="10"/>
      <c r="M644" s="38">
        <f>SUM(J644:L644)</f>
        <v>0</v>
      </c>
      <c r="N644" s="10"/>
      <c r="O644" s="10"/>
      <c r="P644" s="10"/>
      <c r="Q644" s="38">
        <f>SUM(N644:P644)</f>
        <v>0</v>
      </c>
      <c r="R644" s="38">
        <f>+E644+I644+M644+Q644</f>
        <v>0</v>
      </c>
      <c r="T644" t="s">
        <v>2766</v>
      </c>
    </row>
    <row r="645" spans="1:20" ht="16.5" hidden="1" customHeight="1" thickBot="1" x14ac:dyDescent="0.35">
      <c r="A645" s="277" t="s">
        <v>1220</v>
      </c>
      <c r="B645" s="45">
        <f>SUM(B636:B644)</f>
        <v>0</v>
      </c>
      <c r="C645" s="46">
        <f>SUM(C636:C644)</f>
        <v>0</v>
      </c>
      <c r="D645" s="46">
        <f>SUM(D636:D644)</f>
        <v>0</v>
      </c>
      <c r="E645" s="37">
        <f>SUM(B645:D645)</f>
        <v>0</v>
      </c>
      <c r="F645" s="46">
        <f>SUM(F636:F644)</f>
        <v>0</v>
      </c>
      <c r="G645" s="46">
        <f>SUM(G636:G644)</f>
        <v>0</v>
      </c>
      <c r="H645" s="46">
        <f>SUM(H636:H644)</f>
        <v>0</v>
      </c>
      <c r="I645" s="37">
        <f>SUM(F645:H645)</f>
        <v>0</v>
      </c>
      <c r="J645" s="46">
        <f>SUM(J636:J644)</f>
        <v>0</v>
      </c>
      <c r="K645" s="46">
        <f>SUM(K636:K644)</f>
        <v>0</v>
      </c>
      <c r="L645" s="46">
        <f>SUM(L636:L644)</f>
        <v>0</v>
      </c>
      <c r="M645" s="37">
        <f>SUM(J645:L645)</f>
        <v>0</v>
      </c>
      <c r="N645" s="46">
        <f>SUM(N636:N644)</f>
        <v>0</v>
      </c>
      <c r="O645" s="46">
        <f>SUM(O636:O644)</f>
        <v>1200</v>
      </c>
      <c r="P645" s="46">
        <f>SUM(P636:P644)</f>
        <v>0</v>
      </c>
      <c r="Q645" s="37">
        <f>SUM(N645:P645)</f>
        <v>1200</v>
      </c>
      <c r="R645" s="37">
        <f>+E645+I645+M645+Q645</f>
        <v>1200</v>
      </c>
    </row>
    <row r="646" spans="1:20" ht="15.75" hidden="1" customHeight="1" x14ac:dyDescent="0.3">
      <c r="A646" s="234" t="s">
        <v>1712</v>
      </c>
      <c r="B646" s="10"/>
      <c r="C646" s="10"/>
      <c r="D646" s="10"/>
      <c r="E646" s="38" t="s">
        <v>852</v>
      </c>
      <c r="F646" s="10"/>
      <c r="G646" s="10"/>
      <c r="H646" s="10"/>
      <c r="I646" s="38" t="s">
        <v>852</v>
      </c>
      <c r="J646" s="10"/>
      <c r="K646" s="10"/>
      <c r="L646" s="10"/>
      <c r="M646" s="38" t="s">
        <v>852</v>
      </c>
      <c r="N646" s="10"/>
      <c r="O646" s="10"/>
      <c r="P646" s="10"/>
      <c r="Q646" s="38" t="s">
        <v>852</v>
      </c>
      <c r="R646" s="38" t="s">
        <v>852</v>
      </c>
    </row>
    <row r="647" spans="1:20" ht="15.75" hidden="1" customHeight="1" x14ac:dyDescent="0.3">
      <c r="A647" s="234" t="s">
        <v>1021</v>
      </c>
      <c r="B647" s="10"/>
      <c r="C647" s="10"/>
      <c r="D647" s="10"/>
      <c r="E647" s="38" t="s">
        <v>852</v>
      </c>
      <c r="F647" s="10"/>
      <c r="G647" s="10"/>
      <c r="H647" s="10"/>
      <c r="I647" s="38" t="s">
        <v>852</v>
      </c>
      <c r="J647" s="10"/>
      <c r="K647" s="10"/>
      <c r="L647" s="10"/>
      <c r="M647" s="38" t="s">
        <v>852</v>
      </c>
      <c r="N647" s="10"/>
      <c r="O647" s="10"/>
      <c r="P647" s="10"/>
      <c r="Q647" s="38" t="s">
        <v>852</v>
      </c>
      <c r="R647" s="38" t="s">
        <v>852</v>
      </c>
    </row>
    <row r="648" spans="1:20" ht="15.75" hidden="1" customHeight="1" x14ac:dyDescent="0.3">
      <c r="A648" s="539" t="s">
        <v>3265</v>
      </c>
      <c r="B648" s="10"/>
      <c r="C648" s="10"/>
      <c r="D648" s="10"/>
      <c r="E648" s="38">
        <f>SUM(B648:D648)</f>
        <v>0</v>
      </c>
      <c r="F648" s="10"/>
      <c r="G648" s="10"/>
      <c r="H648" s="10"/>
      <c r="I648" s="38">
        <f>SUM(F648:H648)</f>
        <v>0</v>
      </c>
      <c r="J648" s="10"/>
      <c r="K648" s="10"/>
      <c r="L648" s="10"/>
      <c r="M648" s="38">
        <f>SUM(J648:L648)</f>
        <v>0</v>
      </c>
      <c r="N648" s="10"/>
      <c r="O648" s="10"/>
      <c r="P648" s="10"/>
      <c r="Q648" s="38">
        <f>SUM(N648:P648)</f>
        <v>0</v>
      </c>
      <c r="R648" s="38">
        <f>+E648+I648+M648+Q648</f>
        <v>0</v>
      </c>
      <c r="T648" t="s">
        <v>2766</v>
      </c>
    </row>
    <row r="649" spans="1:20" ht="15.75" hidden="1" customHeight="1" x14ac:dyDescent="0.3">
      <c r="A649" s="310" t="s">
        <v>1787</v>
      </c>
      <c r="B649" s="10"/>
      <c r="C649" s="10"/>
      <c r="D649" s="10"/>
      <c r="E649" s="38">
        <f>SUM(B649:D649)</f>
        <v>0</v>
      </c>
      <c r="F649" s="10"/>
      <c r="G649" s="10"/>
      <c r="H649" s="10"/>
      <c r="I649" s="38">
        <f>SUM(F649:H649)</f>
        <v>0</v>
      </c>
      <c r="J649" s="10"/>
      <c r="K649" s="10"/>
      <c r="L649" s="10"/>
      <c r="M649" s="38">
        <f>SUM(J649:L649)</f>
        <v>0</v>
      </c>
      <c r="N649" s="10"/>
      <c r="O649" s="10"/>
      <c r="P649" s="10"/>
      <c r="Q649" s="38">
        <f>SUM(N649:P649)</f>
        <v>0</v>
      </c>
      <c r="R649" s="38">
        <f>+E649+I649+M649+Q649</f>
        <v>0</v>
      </c>
      <c r="T649" t="s">
        <v>2766</v>
      </c>
    </row>
    <row r="650" spans="1:20" ht="15.75" hidden="1" customHeight="1" x14ac:dyDescent="0.3">
      <c r="A650" s="234" t="s">
        <v>557</v>
      </c>
      <c r="B650" s="10"/>
      <c r="C650" s="10"/>
      <c r="D650" s="10"/>
      <c r="E650" s="38" t="s">
        <v>852</v>
      </c>
      <c r="F650" s="10"/>
      <c r="G650" s="10"/>
      <c r="H650" s="10"/>
      <c r="I650" s="38" t="s">
        <v>852</v>
      </c>
      <c r="J650" s="10"/>
      <c r="K650" s="10"/>
      <c r="L650" s="10"/>
      <c r="M650" s="38" t="s">
        <v>852</v>
      </c>
      <c r="N650" s="10"/>
      <c r="O650" s="10"/>
      <c r="P650" s="10"/>
      <c r="Q650" s="38" t="s">
        <v>852</v>
      </c>
      <c r="R650" s="38" t="s">
        <v>852</v>
      </c>
    </row>
    <row r="651" spans="1:20" ht="15.75" hidden="1" customHeight="1" x14ac:dyDescent="0.3">
      <c r="A651" s="539" t="s">
        <v>2812</v>
      </c>
      <c r="B651" s="10"/>
      <c r="C651" s="10"/>
      <c r="D651" s="10"/>
      <c r="E651" s="38">
        <f>SUM(B651:D651)</f>
        <v>0</v>
      </c>
      <c r="F651" s="10"/>
      <c r="G651" s="10"/>
      <c r="H651" s="10"/>
      <c r="I651" s="38">
        <f>SUM(F651:H651)</f>
        <v>0</v>
      </c>
      <c r="J651" s="10"/>
      <c r="K651" s="10"/>
      <c r="L651" s="10"/>
      <c r="M651" s="38">
        <f>SUM(J651:L651)</f>
        <v>0</v>
      </c>
      <c r="N651" s="10"/>
      <c r="O651" s="10"/>
      <c r="P651" s="10"/>
      <c r="Q651" s="38">
        <f>SUM(N651:P651)</f>
        <v>0</v>
      </c>
      <c r="R651" s="38">
        <f>+E651+I651+M651+Q651</f>
        <v>0</v>
      </c>
    </row>
    <row r="652" spans="1:20" ht="15.75" hidden="1" customHeight="1" x14ac:dyDescent="0.3">
      <c r="A652" s="539" t="s">
        <v>2579</v>
      </c>
      <c r="B652" s="10"/>
      <c r="C652" s="10"/>
      <c r="D652" s="10"/>
      <c r="E652" s="38">
        <f>SUM(B652:D652)</f>
        <v>0</v>
      </c>
      <c r="F652" s="10"/>
      <c r="G652" s="10"/>
      <c r="H652" s="10"/>
      <c r="I652" s="38">
        <f>SUM(F652:H652)</f>
        <v>0</v>
      </c>
      <c r="J652" s="10"/>
      <c r="K652" s="10"/>
      <c r="L652" s="10"/>
      <c r="M652" s="38">
        <f>SUM(J652:L652)</f>
        <v>0</v>
      </c>
      <c r="N652" s="10"/>
      <c r="O652" s="10"/>
      <c r="P652" s="10"/>
      <c r="Q652" s="38">
        <f>SUM(N652:P652)</f>
        <v>0</v>
      </c>
      <c r="R652" s="38">
        <f>+E652+I652+M652+Q652</f>
        <v>0</v>
      </c>
    </row>
    <row r="653" spans="1:20" ht="15.75" hidden="1" customHeight="1" x14ac:dyDescent="0.3">
      <c r="A653" s="539" t="s">
        <v>2581</v>
      </c>
      <c r="B653" s="10"/>
      <c r="C653" s="10"/>
      <c r="D653" s="10"/>
      <c r="E653" s="38">
        <f>SUM(B653:D653)</f>
        <v>0</v>
      </c>
      <c r="F653" s="10"/>
      <c r="G653" s="10"/>
      <c r="H653" s="10"/>
      <c r="I653" s="38">
        <f>SUM(F653:H653)</f>
        <v>0</v>
      </c>
      <c r="J653" s="10"/>
      <c r="K653" s="10"/>
      <c r="L653" s="10"/>
      <c r="M653" s="38">
        <f>SUM(J653:L653)</f>
        <v>0</v>
      </c>
      <c r="N653" s="10"/>
      <c r="O653" s="10"/>
      <c r="P653" s="10"/>
      <c r="Q653" s="38">
        <f>SUM(N653:P653)</f>
        <v>0</v>
      </c>
      <c r="R653" s="38">
        <f>+E653+I653+M653+Q653</f>
        <v>0</v>
      </c>
      <c r="T653" t="s">
        <v>2766</v>
      </c>
    </row>
    <row r="654" spans="1:20" ht="15.75" hidden="1" customHeight="1" x14ac:dyDescent="0.3">
      <c r="A654" s="539" t="s">
        <v>2582</v>
      </c>
      <c r="B654" s="10"/>
      <c r="C654" s="10"/>
      <c r="D654" s="10"/>
      <c r="E654" s="38">
        <f>SUM(B654:D654)</f>
        <v>0</v>
      </c>
      <c r="F654" s="10"/>
      <c r="G654" s="10"/>
      <c r="H654" s="10"/>
      <c r="I654" s="38">
        <f>SUM(F654:H654)</f>
        <v>0</v>
      </c>
      <c r="J654" s="10"/>
      <c r="K654" s="10"/>
      <c r="L654" s="10"/>
      <c r="M654" s="38">
        <f>SUM(J654:L654)</f>
        <v>0</v>
      </c>
      <c r="N654" s="10"/>
      <c r="O654" s="10"/>
      <c r="P654" s="10"/>
      <c r="Q654" s="38">
        <f>SUM(N654:P654)</f>
        <v>0</v>
      </c>
      <c r="R654" s="38">
        <f>+E654+I654+M654+Q654</f>
        <v>0</v>
      </c>
      <c r="T654" t="s">
        <v>2766</v>
      </c>
    </row>
    <row r="655" spans="1:20" ht="15.75" hidden="1" customHeight="1" x14ac:dyDescent="0.3">
      <c r="A655" s="234" t="s">
        <v>1022</v>
      </c>
      <c r="B655" s="10"/>
      <c r="C655" s="10"/>
      <c r="D655" s="10"/>
      <c r="E655" s="38" t="s">
        <v>852</v>
      </c>
      <c r="F655" s="10"/>
      <c r="G655" s="10"/>
      <c r="H655" s="10"/>
      <c r="I655" s="38" t="s">
        <v>852</v>
      </c>
      <c r="J655" s="10"/>
      <c r="K655" s="10"/>
      <c r="L655" s="10"/>
      <c r="M655" s="38" t="s">
        <v>852</v>
      </c>
      <c r="N655" s="10"/>
      <c r="O655" s="10"/>
      <c r="P655" s="10"/>
      <c r="Q655" s="38" t="s">
        <v>852</v>
      </c>
      <c r="R655" s="38" t="s">
        <v>852</v>
      </c>
    </row>
    <row r="656" spans="1:20" ht="15.75" hidden="1" customHeight="1" x14ac:dyDescent="0.3">
      <c r="A656" s="539" t="s">
        <v>3273</v>
      </c>
      <c r="B656" s="10"/>
      <c r="C656" s="10"/>
      <c r="D656" s="10"/>
      <c r="E656" s="38">
        <f>SUM(B656:D656)</f>
        <v>0</v>
      </c>
      <c r="F656" s="10"/>
      <c r="G656" s="10"/>
      <c r="H656" s="10"/>
      <c r="I656" s="38">
        <f>SUM(F656:H656)</f>
        <v>0</v>
      </c>
      <c r="J656" s="10"/>
      <c r="K656" s="10"/>
      <c r="L656" s="10"/>
      <c r="M656" s="38">
        <f>SUM(J656:L656)</f>
        <v>0</v>
      </c>
      <c r="N656" s="10"/>
      <c r="O656" s="10"/>
      <c r="P656" s="10"/>
      <c r="Q656" s="38">
        <f>SUM(N656:P656)</f>
        <v>0</v>
      </c>
      <c r="R656" s="38">
        <f>+E656+I656+M656+Q656</f>
        <v>0</v>
      </c>
    </row>
    <row r="657" spans="1:18" ht="15.75" hidden="1" customHeight="1" x14ac:dyDescent="0.3">
      <c r="A657" s="539" t="s">
        <v>3230</v>
      </c>
      <c r="B657" s="10"/>
      <c r="C657" s="10"/>
      <c r="D657" s="10"/>
      <c r="E657" s="38">
        <f>SUM(B657:D657)</f>
        <v>0</v>
      </c>
      <c r="F657" s="10"/>
      <c r="G657" s="10"/>
      <c r="H657" s="10"/>
      <c r="I657" s="38">
        <f>SUM(F657:H657)</f>
        <v>0</v>
      </c>
      <c r="J657" s="10"/>
      <c r="K657" s="10"/>
      <c r="L657" s="10"/>
      <c r="M657" s="38">
        <f>SUM(J657:L657)</f>
        <v>0</v>
      </c>
      <c r="N657" s="10"/>
      <c r="O657" s="10"/>
      <c r="P657" s="10"/>
      <c r="Q657" s="38">
        <f>SUM(N657:P657)</f>
        <v>0</v>
      </c>
      <c r="R657" s="38">
        <f>+E657+I657+M657+Q657</f>
        <v>0</v>
      </c>
    </row>
    <row r="658" spans="1:18" ht="15.75" hidden="1" customHeight="1" x14ac:dyDescent="0.3">
      <c r="A658" s="234" t="s">
        <v>559</v>
      </c>
      <c r="B658" s="10"/>
      <c r="C658" s="10"/>
      <c r="D658" s="10"/>
      <c r="E658" s="38" t="s">
        <v>852</v>
      </c>
      <c r="F658" s="10"/>
      <c r="G658" s="10"/>
      <c r="H658" s="10"/>
      <c r="I658" s="38" t="s">
        <v>852</v>
      </c>
      <c r="J658" s="10"/>
      <c r="K658" s="10"/>
      <c r="L658" s="10"/>
      <c r="M658" s="38" t="s">
        <v>852</v>
      </c>
      <c r="N658" s="10"/>
      <c r="O658" s="10"/>
      <c r="P658" s="10"/>
      <c r="Q658" s="38" t="s">
        <v>852</v>
      </c>
      <c r="R658" s="38" t="s">
        <v>852</v>
      </c>
    </row>
    <row r="659" spans="1:18" ht="15.75" hidden="1" customHeight="1" x14ac:dyDescent="0.3">
      <c r="A659" s="539" t="s">
        <v>2597</v>
      </c>
      <c r="B659" s="10"/>
      <c r="C659" s="10"/>
      <c r="D659" s="10"/>
      <c r="E659" s="38">
        <f t="shared" ref="E659:E661" si="254">SUM(B659:D659)</f>
        <v>0</v>
      </c>
      <c r="F659" s="10"/>
      <c r="G659" s="10"/>
      <c r="H659" s="10"/>
      <c r="I659" s="38">
        <f t="shared" ref="I659:I661" si="255">SUM(F659:H659)</f>
        <v>0</v>
      </c>
      <c r="J659" s="10"/>
      <c r="K659" s="10"/>
      <c r="L659" s="10"/>
      <c r="M659" s="38">
        <f t="shared" ref="M659:M661" si="256">SUM(J659:L659)</f>
        <v>0</v>
      </c>
      <c r="N659" s="10"/>
      <c r="O659" s="10"/>
      <c r="P659" s="10"/>
      <c r="Q659" s="38">
        <f t="shared" ref="Q659:Q665" si="257">SUM(N659:P659)</f>
        <v>0</v>
      </c>
      <c r="R659" s="38">
        <f t="shared" ref="R659:R665" si="258">+E659+I659+M659+Q659</f>
        <v>0</v>
      </c>
    </row>
    <row r="660" spans="1:18" ht="15.75" hidden="1" customHeight="1" x14ac:dyDescent="0.3">
      <c r="A660" s="539" t="s">
        <v>3227</v>
      </c>
      <c r="B660" s="10"/>
      <c r="C660" s="10"/>
      <c r="D660" s="10"/>
      <c r="E660" s="38">
        <f t="shared" ref="E660" si="259">SUM(B660:D660)</f>
        <v>0</v>
      </c>
      <c r="F660" s="10"/>
      <c r="G660" s="10"/>
      <c r="H660" s="10"/>
      <c r="I660" s="38">
        <f t="shared" ref="I660" si="260">SUM(F660:H660)</f>
        <v>0</v>
      </c>
      <c r="J660" s="10"/>
      <c r="K660" s="10"/>
      <c r="L660" s="10"/>
      <c r="M660" s="38">
        <f t="shared" ref="M660" si="261">SUM(J660:L660)</f>
        <v>0</v>
      </c>
      <c r="N660" s="10"/>
      <c r="O660" s="10"/>
      <c r="P660" s="10"/>
      <c r="Q660" s="38">
        <f t="shared" ref="Q660" si="262">SUM(N660:P660)</f>
        <v>0</v>
      </c>
      <c r="R660" s="38">
        <f t="shared" si="258"/>
        <v>0</v>
      </c>
    </row>
    <row r="661" spans="1:18" ht="15.75" hidden="1" customHeight="1" thickBot="1" x14ac:dyDescent="0.35">
      <c r="A661" s="539" t="s">
        <v>2583</v>
      </c>
      <c r="B661" s="10"/>
      <c r="C661" s="10"/>
      <c r="D661" s="10"/>
      <c r="E661" s="38">
        <f t="shared" si="254"/>
        <v>0</v>
      </c>
      <c r="F661" s="10"/>
      <c r="G661" s="10"/>
      <c r="H661" s="10"/>
      <c r="I661" s="38">
        <f t="shared" si="255"/>
        <v>0</v>
      </c>
      <c r="J661" s="10"/>
      <c r="K661" s="10"/>
      <c r="L661" s="10"/>
      <c r="M661" s="38">
        <f t="shared" si="256"/>
        <v>0</v>
      </c>
      <c r="N661" s="10"/>
      <c r="O661" s="10"/>
      <c r="P661" s="10"/>
      <c r="Q661" s="38">
        <f t="shared" si="257"/>
        <v>0</v>
      </c>
      <c r="R661" s="38">
        <f t="shared" si="258"/>
        <v>0</v>
      </c>
    </row>
    <row r="662" spans="1:18" ht="16.5" hidden="1" customHeight="1" thickBot="1" x14ac:dyDescent="0.35">
      <c r="A662" s="43" t="s">
        <v>1019</v>
      </c>
      <c r="B662" s="745">
        <f>SUM(B655:B661)</f>
        <v>0</v>
      </c>
      <c r="C662" s="745">
        <f>SUM(C655:C661)</f>
        <v>0</v>
      </c>
      <c r="D662" s="745">
        <f>SUM(D655:D661)</f>
        <v>0</v>
      </c>
      <c r="E662" s="39">
        <f t="shared" ref="E662:E665" si="263">SUM(B662:D662)</f>
        <v>0</v>
      </c>
      <c r="F662" s="745">
        <f>SUM(F655:F661)</f>
        <v>0</v>
      </c>
      <c r="G662" s="745">
        <f>SUM(G655:G661)</f>
        <v>0</v>
      </c>
      <c r="H662" s="745">
        <f>SUM(H655:H661)</f>
        <v>0</v>
      </c>
      <c r="I662" s="39">
        <f t="shared" ref="I662:I665" si="264">SUM(F662:H662)</f>
        <v>0</v>
      </c>
      <c r="J662" s="745">
        <f>SUM(J655:J661)</f>
        <v>0</v>
      </c>
      <c r="K662" s="745">
        <f>SUM(K655:K661)</f>
        <v>0</v>
      </c>
      <c r="L662" s="745">
        <f>SUM(L655:L661)</f>
        <v>0</v>
      </c>
      <c r="M662" s="39">
        <f t="shared" ref="M662:M665" si="265">SUM(J662:L662)</f>
        <v>0</v>
      </c>
      <c r="N662" s="745">
        <f>SUM(N655:N661)</f>
        <v>0</v>
      </c>
      <c r="O662" s="745">
        <f>SUM(O655:O661)</f>
        <v>0</v>
      </c>
      <c r="P662" s="745">
        <f>SUM(P655:P661)</f>
        <v>0</v>
      </c>
      <c r="Q662" s="39">
        <f t="shared" si="257"/>
        <v>0</v>
      </c>
      <c r="R662" s="37">
        <f t="shared" si="258"/>
        <v>0</v>
      </c>
    </row>
    <row r="663" spans="1:18" ht="16.5" hidden="1" customHeight="1" thickBot="1" x14ac:dyDescent="0.35">
      <c r="A663" s="277" t="s">
        <v>1221</v>
      </c>
      <c r="B663" s="45">
        <f>SUM(B646:B661)</f>
        <v>0</v>
      </c>
      <c r="C663" s="46">
        <f>SUM(C646:C661)</f>
        <v>0</v>
      </c>
      <c r="D663" s="58">
        <f>SUM(D646:D661)</f>
        <v>0</v>
      </c>
      <c r="E663" s="39">
        <f t="shared" si="263"/>
        <v>0</v>
      </c>
      <c r="F663" s="45">
        <f>SUM(F646:F661)</f>
        <v>0</v>
      </c>
      <c r="G663" s="46">
        <f>SUM(G646:G661)</f>
        <v>0</v>
      </c>
      <c r="H663" s="58">
        <f>SUM(H646:H661)</f>
        <v>0</v>
      </c>
      <c r="I663" s="39">
        <f t="shared" si="264"/>
        <v>0</v>
      </c>
      <c r="J663" s="45">
        <f>SUM(J646:J661)</f>
        <v>0</v>
      </c>
      <c r="K663" s="46">
        <f>SUM(K646:K661)</f>
        <v>0</v>
      </c>
      <c r="L663" s="58">
        <f>SUM(L646:L661)</f>
        <v>0</v>
      </c>
      <c r="M663" s="39">
        <f t="shared" si="265"/>
        <v>0</v>
      </c>
      <c r="N663" s="45">
        <f>SUM(N646:N661)</f>
        <v>0</v>
      </c>
      <c r="O663" s="46">
        <f>SUM(O646:O661)</f>
        <v>0</v>
      </c>
      <c r="P663" s="58">
        <f>SUM(P646:P661)</f>
        <v>0</v>
      </c>
      <c r="Q663" s="39">
        <f t="shared" si="257"/>
        <v>0</v>
      </c>
      <c r="R663" s="37">
        <f t="shared" si="258"/>
        <v>0</v>
      </c>
    </row>
    <row r="664" spans="1:18" ht="16.5" hidden="1" customHeight="1" thickBot="1" x14ac:dyDescent="0.35">
      <c r="A664" s="43" t="s">
        <v>1222</v>
      </c>
      <c r="B664" s="337">
        <f>+B629+B635+B645+B663</f>
        <v>3352</v>
      </c>
      <c r="C664" s="338">
        <f>+C629+C635+C645+C663</f>
        <v>4247</v>
      </c>
      <c r="D664" s="338">
        <f>+D629+D635+D645+D663</f>
        <v>6130</v>
      </c>
      <c r="E664" s="37">
        <f t="shared" si="263"/>
        <v>13729</v>
      </c>
      <c r="F664" s="42">
        <f>+F629+F635+F645+F663</f>
        <v>5382</v>
      </c>
      <c r="G664" s="42">
        <f>+G629+G635+G645+G663</f>
        <v>5694</v>
      </c>
      <c r="H664" s="42">
        <f>+H629+H635+H645+H663</f>
        <v>5565</v>
      </c>
      <c r="I664" s="37">
        <f t="shared" si="264"/>
        <v>16641</v>
      </c>
      <c r="J664" s="42">
        <f>+J629+J635+J645+J663</f>
        <v>5080</v>
      </c>
      <c r="K664" s="42">
        <f>+K629+K635+K645+K663</f>
        <v>4333</v>
      </c>
      <c r="L664" s="42">
        <f>+L629+L635+L645+L663</f>
        <v>1800</v>
      </c>
      <c r="M664" s="37">
        <f t="shared" si="265"/>
        <v>11213</v>
      </c>
      <c r="N664" s="42">
        <f>+N629+N635+N645+N663</f>
        <v>1300</v>
      </c>
      <c r="O664" s="42">
        <f>+O629+O635+O645+O663</f>
        <v>1505</v>
      </c>
      <c r="P664" s="42">
        <f>+P629+P635+P645+P663</f>
        <v>0</v>
      </c>
      <c r="Q664" s="37">
        <f t="shared" si="257"/>
        <v>2805</v>
      </c>
      <c r="R664" s="40">
        <f t="shared" si="258"/>
        <v>44388</v>
      </c>
    </row>
    <row r="665" spans="1:18" ht="16.5" hidden="1" customHeight="1" thickBot="1" x14ac:dyDescent="0.35">
      <c r="A665" s="299" t="s">
        <v>853</v>
      </c>
      <c r="B665" s="294">
        <v>17</v>
      </c>
      <c r="C665" s="294">
        <v>47</v>
      </c>
      <c r="D665" s="294">
        <v>84</v>
      </c>
      <c r="E665" s="38">
        <f t="shared" si="263"/>
        <v>148</v>
      </c>
      <c r="F665" s="294">
        <v>116</v>
      </c>
      <c r="G665" s="294">
        <v>132</v>
      </c>
      <c r="H665" s="294">
        <v>138</v>
      </c>
      <c r="I665" s="38">
        <f t="shared" si="264"/>
        <v>386</v>
      </c>
      <c r="J665" s="294">
        <v>126</v>
      </c>
      <c r="K665" s="294">
        <v>95</v>
      </c>
      <c r="L665" s="294">
        <v>99</v>
      </c>
      <c r="M665" s="38">
        <f t="shared" si="265"/>
        <v>320</v>
      </c>
      <c r="N665" s="294">
        <v>91</v>
      </c>
      <c r="O665" s="294">
        <v>67</v>
      </c>
      <c r="P665" s="294">
        <v>38</v>
      </c>
      <c r="Q665" s="38">
        <f t="shared" si="257"/>
        <v>196</v>
      </c>
      <c r="R665" s="38">
        <f t="shared" si="258"/>
        <v>1050</v>
      </c>
    </row>
    <row r="666" spans="1:18" ht="16.5" hidden="1" customHeight="1" thickBot="1" x14ac:dyDescent="0.35">
      <c r="A666" s="22"/>
      <c r="B666" s="297"/>
      <c r="C666" s="297"/>
      <c r="D666" s="297"/>
      <c r="E666" s="21"/>
      <c r="F666" s="297"/>
      <c r="G666" s="297"/>
      <c r="H666" s="297"/>
      <c r="I666" s="21"/>
      <c r="J666" s="297"/>
      <c r="K666" s="297"/>
      <c r="L666" s="297"/>
      <c r="M666" s="21"/>
      <c r="N666" s="297"/>
      <c r="O666" s="297"/>
      <c r="P666" s="297"/>
      <c r="Q666" s="21"/>
      <c r="R666" s="21"/>
    </row>
    <row r="667" spans="1:18" ht="15.75" hidden="1" customHeight="1" x14ac:dyDescent="0.3">
      <c r="A667" s="259" t="s">
        <v>120</v>
      </c>
      <c r="B667" s="741">
        <f>SUM(B664:B665)</f>
        <v>3369</v>
      </c>
      <c r="C667" s="741">
        <f>SUM(C664:C665)</f>
        <v>4294</v>
      </c>
      <c r="D667" s="741">
        <f>SUM(D664:D665)</f>
        <v>6214</v>
      </c>
      <c r="E667" s="39">
        <f>SUM(B667:D667)</f>
        <v>13877</v>
      </c>
      <c r="F667" s="741">
        <f>SUM(F664:F665)</f>
        <v>5498</v>
      </c>
      <c r="G667" s="741">
        <f>SUM(G664:G665)</f>
        <v>5826</v>
      </c>
      <c r="H667" s="741">
        <f>SUM(H664:H665)</f>
        <v>5703</v>
      </c>
      <c r="I667" s="39">
        <f>SUM(F667:H667)</f>
        <v>17027</v>
      </c>
      <c r="J667" s="741">
        <f>SUM(J664:J665)</f>
        <v>5206</v>
      </c>
      <c r="K667" s="741">
        <f>SUM(K664:K665)</f>
        <v>4428</v>
      </c>
      <c r="L667" s="741">
        <f>SUM(L664:L665)</f>
        <v>1899</v>
      </c>
      <c r="M667" s="39">
        <f>SUM(J667:L667)</f>
        <v>11533</v>
      </c>
      <c r="N667" s="741">
        <f>SUM(N664:N665)</f>
        <v>1391</v>
      </c>
      <c r="O667" s="741">
        <f>SUM(O664:O665)</f>
        <v>1572</v>
      </c>
      <c r="P667" s="741">
        <f>SUM(P664:P665)</f>
        <v>38</v>
      </c>
      <c r="Q667" s="39">
        <f>SUM(N667:P667)</f>
        <v>3001</v>
      </c>
      <c r="R667" s="39">
        <f>+E667+I667+M667+Q667</f>
        <v>45438</v>
      </c>
    </row>
    <row r="668" spans="1:18" ht="15.75" hidden="1" customHeight="1" x14ac:dyDescent="0.3">
      <c r="A668" s="262" t="s">
        <v>1897</v>
      </c>
      <c r="B668" s="10">
        <f>(B667/B10)/1.983</f>
        <v>54.804548338294858</v>
      </c>
      <c r="C668" s="10">
        <f>(C667/C10)/1.983</f>
        <v>77.335926806426045</v>
      </c>
      <c r="D668" s="10">
        <f>(D667/D10)/1.983</f>
        <v>101.08502919981129</v>
      </c>
      <c r="E668" s="38" t="s">
        <v>852</v>
      </c>
      <c r="F668" s="10">
        <f>(F667/F10)/1.983</f>
        <v>92.418893931753232</v>
      </c>
      <c r="G668" s="10">
        <f>(G667/G10)/1.983</f>
        <v>94.773315113952464</v>
      </c>
      <c r="H668" s="10">
        <f>(H667/H10)/1.983</f>
        <v>95.86485123550176</v>
      </c>
      <c r="I668" s="38" t="s">
        <v>852</v>
      </c>
      <c r="J668" s="10">
        <f>(J667/J10)/1.983</f>
        <v>84.68758642005433</v>
      </c>
      <c r="K668" s="10">
        <f>(K667/K10)/1.983</f>
        <v>72.031623639646668</v>
      </c>
      <c r="L668" s="10">
        <f>(L667/L10)/1.983</f>
        <v>31.92133131618759</v>
      </c>
      <c r="M668" s="38" t="s">
        <v>852</v>
      </c>
      <c r="N668" s="10">
        <f>(N667/N10)/1.983</f>
        <v>22.627820343890811</v>
      </c>
      <c r="O668" s="10">
        <f>(O667/O10)/1.983</f>
        <v>26.42460917801311</v>
      </c>
      <c r="P668" s="10">
        <f>(P667/P10)/1.983</f>
        <v>0.61815756510988562</v>
      </c>
      <c r="Q668" s="38" t="s">
        <v>852</v>
      </c>
      <c r="R668" s="38" t="s">
        <v>852</v>
      </c>
    </row>
    <row r="669" spans="1:18" ht="15.75" hidden="1" customHeight="1" x14ac:dyDescent="0.3">
      <c r="A669" s="262" t="s">
        <v>1535</v>
      </c>
      <c r="B669" s="10">
        <f>B667+B679</f>
        <v>15893</v>
      </c>
      <c r="C669" s="10">
        <f>C667+C679</f>
        <v>22588</v>
      </c>
      <c r="D669" s="10">
        <f>D667+D679</f>
        <v>26433</v>
      </c>
      <c r="E669" s="38">
        <f>SUM(B669:D669)</f>
        <v>64914</v>
      </c>
      <c r="F669" s="10">
        <f>F667+F679</f>
        <v>26568</v>
      </c>
      <c r="G669" s="10">
        <f>G667+G679</f>
        <v>28263</v>
      </c>
      <c r="H669" s="10">
        <f>H667+H679</f>
        <v>26847</v>
      </c>
      <c r="I669" s="38">
        <f>SUM(F669:H669)</f>
        <v>81678</v>
      </c>
      <c r="J669" s="10">
        <f>J667+J679</f>
        <v>26386</v>
      </c>
      <c r="K669" s="10">
        <f>K667+K679</f>
        <v>27979</v>
      </c>
      <c r="L669" s="10">
        <f>L667+L679</f>
        <v>23413</v>
      </c>
      <c r="M669" s="38">
        <f>SUM(J669:L669)</f>
        <v>77778</v>
      </c>
      <c r="N669" s="10">
        <f>N667+N679</f>
        <v>13808</v>
      </c>
      <c r="O669" s="10">
        <f>O667+O679</f>
        <v>4691</v>
      </c>
      <c r="P669" s="10">
        <f>P667+P679</f>
        <v>2920</v>
      </c>
      <c r="Q669" s="38">
        <f>SUM(N669:P669)</f>
        <v>21419</v>
      </c>
      <c r="R669" s="38">
        <f>+E669+I669+M669+Q669</f>
        <v>245789</v>
      </c>
    </row>
    <row r="670" spans="1:18" ht="16.5" hidden="1" customHeight="1" thickBot="1" x14ac:dyDescent="0.35">
      <c r="A670" s="263" t="s">
        <v>1536</v>
      </c>
      <c r="B670" s="315">
        <f>(B669/B10)/1.983</f>
        <v>258.53626795503715</v>
      </c>
      <c r="C670" s="315">
        <f>(C669/C10)/1.983</f>
        <v>406.81507096030543</v>
      </c>
      <c r="D670" s="315">
        <f>(D669/D10)/1.983</f>
        <v>429.99365575130543</v>
      </c>
      <c r="E670" s="40" t="s">
        <v>852</v>
      </c>
      <c r="F670" s="315">
        <f>(F669/F10)/1.983</f>
        <v>446.59606656580939</v>
      </c>
      <c r="G670" s="315">
        <f>(G669/G10)/1.983</f>
        <v>459.76282270264994</v>
      </c>
      <c r="H670" s="315">
        <f>(H669/H10)/1.983</f>
        <v>451.28593040847198</v>
      </c>
      <c r="I670" s="40" t="s">
        <v>852</v>
      </c>
      <c r="J670" s="315">
        <f>(J669/J10)/1.983</f>
        <v>429.22909244709058</v>
      </c>
      <c r="K670" s="315">
        <f>(K669/K10)/1.983</f>
        <v>455.14290826867074</v>
      </c>
      <c r="L670" s="315">
        <f>(L669/L10)/1.983</f>
        <v>393.56194318372832</v>
      </c>
      <c r="M670" s="40" t="s">
        <v>852</v>
      </c>
      <c r="N670" s="315">
        <f>(N669/N10)/1.983</f>
        <v>224.61893839571843</v>
      </c>
      <c r="O670" s="315">
        <f>(O669/O10)/1.983</f>
        <v>78.85358883846024</v>
      </c>
      <c r="P670" s="315">
        <f>(P669/P10)/1.983</f>
        <v>47.50052868739121</v>
      </c>
      <c r="Q670" s="40" t="s">
        <v>852</v>
      </c>
      <c r="R670" s="40" t="s">
        <v>852</v>
      </c>
    </row>
    <row r="671" spans="1:18" ht="15.75" hidden="1" customHeight="1" x14ac:dyDescent="0.3">
      <c r="A671" s="17"/>
      <c r="B671" s="10"/>
      <c r="C671" s="10"/>
      <c r="D671" s="10"/>
      <c r="E671" s="10"/>
      <c r="F671" s="10"/>
      <c r="G671" s="10"/>
      <c r="H671" s="10"/>
      <c r="I671" s="10"/>
      <c r="J671" s="10"/>
      <c r="K671" s="10"/>
      <c r="L671" s="10"/>
      <c r="M671" s="10"/>
      <c r="N671" s="10"/>
      <c r="O671" s="10"/>
      <c r="P671" s="10"/>
      <c r="Q671" s="10"/>
      <c r="R671" s="17"/>
    </row>
    <row r="672" spans="1:18" ht="16.5" hidden="1" customHeight="1" thickBot="1" x14ac:dyDescent="0.35">
      <c r="A672" s="24"/>
      <c r="B672" s="294"/>
      <c r="C672" s="294"/>
      <c r="D672" s="294"/>
      <c r="E672" s="294"/>
      <c r="F672" s="294"/>
      <c r="G672" s="294"/>
      <c r="H672" s="294"/>
      <c r="I672" s="294"/>
      <c r="J672" s="294"/>
      <c r="K672" s="294"/>
      <c r="L672" s="294"/>
      <c r="M672" s="294"/>
      <c r="N672" s="294"/>
      <c r="O672" s="294"/>
      <c r="P672" s="294"/>
      <c r="Q672" s="294"/>
      <c r="R672" s="24"/>
    </row>
    <row r="673" spans="1:18" ht="16.5" hidden="1" customHeight="1" thickBot="1" x14ac:dyDescent="0.35">
      <c r="A673" s="278" t="s">
        <v>1537</v>
      </c>
      <c r="B673" s="4" t="s">
        <v>2090</v>
      </c>
      <c r="C673" s="5" t="s">
        <v>2091</v>
      </c>
      <c r="D673" s="5" t="s">
        <v>2234</v>
      </c>
      <c r="E673" s="33" t="s">
        <v>1594</v>
      </c>
      <c r="F673" s="5" t="s">
        <v>2235</v>
      </c>
      <c r="G673" s="5" t="s">
        <v>2236</v>
      </c>
      <c r="H673" s="5" t="s">
        <v>2237</v>
      </c>
      <c r="I673" s="35" t="s">
        <v>1595</v>
      </c>
      <c r="J673" s="5" t="s">
        <v>1504</v>
      </c>
      <c r="K673" s="5" t="s">
        <v>1505</v>
      </c>
      <c r="L673" s="5" t="s">
        <v>1506</v>
      </c>
      <c r="M673" s="35" t="s">
        <v>1596</v>
      </c>
      <c r="N673" s="5" t="s">
        <v>1507</v>
      </c>
      <c r="O673" s="5" t="s">
        <v>1508</v>
      </c>
      <c r="P673" s="5" t="s">
        <v>1509</v>
      </c>
      <c r="Q673" s="33" t="s">
        <v>1597</v>
      </c>
      <c r="R673" s="34" t="s">
        <v>1510</v>
      </c>
    </row>
    <row r="674" spans="1:18" ht="16.5" hidden="1" customHeight="1" thickBot="1" x14ac:dyDescent="0.35">
      <c r="A674" s="22"/>
      <c r="B674" s="297"/>
      <c r="C674" s="297"/>
      <c r="D674" s="297"/>
      <c r="E674" s="298"/>
      <c r="F674" s="297"/>
      <c r="G674" s="297"/>
      <c r="H674" s="297"/>
      <c r="I674" s="298"/>
      <c r="J674" s="297"/>
      <c r="K674" s="297"/>
      <c r="L674" s="297"/>
      <c r="M674" s="298"/>
      <c r="N674" s="297"/>
      <c r="O674" s="297"/>
      <c r="P674" s="297"/>
      <c r="Q674" s="323"/>
      <c r="R674" s="32"/>
    </row>
    <row r="675" spans="1:18" ht="16.5" hidden="1" customHeight="1" thickBot="1" x14ac:dyDescent="0.35">
      <c r="A675" s="299" t="s">
        <v>853</v>
      </c>
      <c r="B675" s="294">
        <v>20</v>
      </c>
      <c r="C675" s="294">
        <v>22</v>
      </c>
      <c r="D675" s="294">
        <v>28</v>
      </c>
      <c r="E675" s="38">
        <f>SUM(B675:D675)</f>
        <v>70</v>
      </c>
      <c r="F675" s="294">
        <v>37</v>
      </c>
      <c r="G675" s="294">
        <v>42</v>
      </c>
      <c r="H675" s="294">
        <v>44</v>
      </c>
      <c r="I675" s="38">
        <f>SUM(F675:H675)</f>
        <v>123</v>
      </c>
      <c r="J675" s="294">
        <v>39</v>
      </c>
      <c r="K675" s="294">
        <v>36</v>
      </c>
      <c r="L675" s="294">
        <v>34</v>
      </c>
      <c r="M675" s="38">
        <f>SUM(J675:L675)</f>
        <v>109</v>
      </c>
      <c r="N675" s="294">
        <v>29</v>
      </c>
      <c r="O675" s="294">
        <v>23</v>
      </c>
      <c r="P675" s="294">
        <v>19</v>
      </c>
      <c r="Q675" s="38">
        <f>SUM(N675:P675)</f>
        <v>71</v>
      </c>
      <c r="R675" s="38">
        <f>+E675+I675+M675+Q675</f>
        <v>373</v>
      </c>
    </row>
    <row r="676" spans="1:18" ht="16.5" hidden="1" customHeight="1" thickBot="1" x14ac:dyDescent="0.35">
      <c r="A676" s="22"/>
      <c r="B676" s="297"/>
      <c r="C676" s="297"/>
      <c r="D676" s="297"/>
      <c r="E676" s="302"/>
      <c r="F676" s="297"/>
      <c r="G676" s="297"/>
      <c r="H676" s="297"/>
      <c r="I676" s="302"/>
      <c r="J676" s="297"/>
      <c r="K676" s="297"/>
      <c r="L676" s="297"/>
      <c r="M676" s="302"/>
      <c r="N676" s="297"/>
      <c r="O676" s="297"/>
      <c r="P676" s="297"/>
      <c r="Q676" s="302"/>
      <c r="R676" s="21"/>
    </row>
    <row r="677" spans="1:18" ht="15.75" hidden="1" customHeight="1" x14ac:dyDescent="0.3">
      <c r="A677" s="259" t="s">
        <v>120</v>
      </c>
      <c r="B677" s="741">
        <f>B675</f>
        <v>20</v>
      </c>
      <c r="C677" s="741">
        <f>C675</f>
        <v>22</v>
      </c>
      <c r="D677" s="741">
        <f>D675</f>
        <v>28</v>
      </c>
      <c r="E677" s="39">
        <f>SUM(B677:D677)</f>
        <v>70</v>
      </c>
      <c r="F677" s="741">
        <f>F675</f>
        <v>37</v>
      </c>
      <c r="G677" s="741">
        <f>G675</f>
        <v>42</v>
      </c>
      <c r="H677" s="741">
        <f>H675</f>
        <v>44</v>
      </c>
      <c r="I677" s="39">
        <f>SUM(F677:H677)</f>
        <v>123</v>
      </c>
      <c r="J677" s="741">
        <f>J675</f>
        <v>39</v>
      </c>
      <c r="K677" s="741">
        <f>K675</f>
        <v>36</v>
      </c>
      <c r="L677" s="741">
        <f>L675</f>
        <v>34</v>
      </c>
      <c r="M677" s="39">
        <f>SUM(J677:L677)</f>
        <v>109</v>
      </c>
      <c r="N677" s="741">
        <f>N675</f>
        <v>29</v>
      </c>
      <c r="O677" s="741">
        <f>O675</f>
        <v>23</v>
      </c>
      <c r="P677" s="741">
        <f>P675</f>
        <v>19</v>
      </c>
      <c r="Q677" s="39">
        <f>SUM(N677:P677)</f>
        <v>71</v>
      </c>
      <c r="R677" s="39">
        <f>+E677+I677+M677+Q677</f>
        <v>373</v>
      </c>
    </row>
    <row r="678" spans="1:18" ht="15.75" hidden="1" customHeight="1" x14ac:dyDescent="0.3">
      <c r="A678" s="262" t="s">
        <v>1897</v>
      </c>
      <c r="B678" s="10">
        <f>(B677/B10)/1.983</f>
        <v>0.32534608689993977</v>
      </c>
      <c r="C678" s="10">
        <f>(C677/C10)/1.983</f>
        <v>0.39622505583171236</v>
      </c>
      <c r="D678" s="10">
        <f>(D677/D10)/1.983</f>
        <v>0.45548452165991571</v>
      </c>
      <c r="E678" s="38" t="s">
        <v>852</v>
      </c>
      <c r="F678" s="10">
        <f>(F677/F10)/1.983</f>
        <v>0.62195326945705165</v>
      </c>
      <c r="G678" s="10">
        <f>(G677/G10)/1.983</f>
        <v>0.68322678248987356</v>
      </c>
      <c r="H678" s="10">
        <f>(H677/H10)/1.983</f>
        <v>0.73962010421919644</v>
      </c>
      <c r="I678" s="38" t="s">
        <v>852</v>
      </c>
      <c r="J678" s="10">
        <f>(J677/J10)/1.983</f>
        <v>0.63442486945488263</v>
      </c>
      <c r="K678" s="10">
        <f>(K677/K10)/1.983</f>
        <v>0.5856229564198917</v>
      </c>
      <c r="L678" s="10">
        <f>(L677/L10)/1.983</f>
        <v>0.57152462598756093</v>
      </c>
      <c r="M678" s="38" t="s">
        <v>852</v>
      </c>
      <c r="N678" s="10">
        <f>(N677/N10)/1.983</f>
        <v>0.47175182600491267</v>
      </c>
      <c r="O678" s="10">
        <f>(O677/O10)/1.983</f>
        <v>0.38661959993276179</v>
      </c>
      <c r="P678" s="10">
        <f>(P677/P10)/1.983</f>
        <v>0.30907878255494281</v>
      </c>
      <c r="Q678" s="38" t="s">
        <v>852</v>
      </c>
      <c r="R678" s="38" t="s">
        <v>852</v>
      </c>
    </row>
    <row r="679" spans="1:18" ht="15.75" hidden="1" customHeight="1" x14ac:dyDescent="0.3">
      <c r="A679" s="262" t="s">
        <v>2019</v>
      </c>
      <c r="B679" s="10">
        <f>B677+B715</f>
        <v>12524</v>
      </c>
      <c r="C679" s="10">
        <f>C677+C715</f>
        <v>18294</v>
      </c>
      <c r="D679" s="10">
        <f>D677+D715</f>
        <v>20219</v>
      </c>
      <c r="E679" s="38">
        <f>SUM(B679:D679)</f>
        <v>51037</v>
      </c>
      <c r="F679" s="10">
        <f>F677+F715</f>
        <v>21070</v>
      </c>
      <c r="G679" s="10">
        <f>G677+G715</f>
        <v>22437</v>
      </c>
      <c r="H679" s="10">
        <f>H677+H715</f>
        <v>21144</v>
      </c>
      <c r="I679" s="38">
        <f>SUM(F679:H679)</f>
        <v>64651</v>
      </c>
      <c r="J679" s="10">
        <f>J677+J715</f>
        <v>21180</v>
      </c>
      <c r="K679" s="10">
        <f>K677+K715</f>
        <v>23551</v>
      </c>
      <c r="L679" s="10">
        <f>L677+L715</f>
        <v>21514</v>
      </c>
      <c r="M679" s="38">
        <f>SUM(J679:L679)</f>
        <v>66245</v>
      </c>
      <c r="N679" s="10">
        <f>N677+N715</f>
        <v>12417</v>
      </c>
      <c r="O679" s="10">
        <f>O677+O715</f>
        <v>3119</v>
      </c>
      <c r="P679" s="10">
        <f>P677+P715</f>
        <v>2882</v>
      </c>
      <c r="Q679" s="38">
        <f>SUM(N679:P679)</f>
        <v>18418</v>
      </c>
      <c r="R679" s="38">
        <f>+E679+I679+M679+Q679</f>
        <v>200351</v>
      </c>
    </row>
    <row r="680" spans="1:18" ht="16.5" hidden="1" customHeight="1" thickBot="1" x14ac:dyDescent="0.35">
      <c r="A680" s="263" t="s">
        <v>1332</v>
      </c>
      <c r="B680" s="315">
        <f>(B679/B10)/1.983</f>
        <v>203.73171961674231</v>
      </c>
      <c r="C680" s="315">
        <f>(C679/C10)/1.983</f>
        <v>329.47914415387942</v>
      </c>
      <c r="D680" s="315">
        <f>(D679/D10)/1.983</f>
        <v>328.90862655149414</v>
      </c>
      <c r="E680" s="40" t="s">
        <v>852</v>
      </c>
      <c r="F680" s="315">
        <f>(F679/F10)/1.983</f>
        <v>354.17717263405615</v>
      </c>
      <c r="G680" s="315">
        <f>(G679/G10)/1.983</f>
        <v>364.98950758869745</v>
      </c>
      <c r="H680" s="315">
        <f>(H679/H10)/1.983</f>
        <v>355.42107917297022</v>
      </c>
      <c r="I680" s="40" t="s">
        <v>852</v>
      </c>
      <c r="J680" s="315">
        <f>(J679/J10)/1.983</f>
        <v>344.54150602703623</v>
      </c>
      <c r="K680" s="315">
        <f>(K679/K10)/1.983</f>
        <v>383.11128462902411</v>
      </c>
      <c r="L680" s="315">
        <f>(L679/L10)/1.983</f>
        <v>361.64061186754077</v>
      </c>
      <c r="M680" s="40" t="s">
        <v>852</v>
      </c>
      <c r="N680" s="315">
        <f>(N679/N10)/1.983</f>
        <v>201.99111805182764</v>
      </c>
      <c r="O680" s="315">
        <f>(O679/O10)/1.983</f>
        <v>52.428979660447133</v>
      </c>
      <c r="P680" s="315">
        <f>(P679/P10)/1.983</f>
        <v>46.882371122281327</v>
      </c>
      <c r="Q680" s="40" t="s">
        <v>852</v>
      </c>
      <c r="R680" s="40" t="s">
        <v>852</v>
      </c>
    </row>
    <row r="681" spans="1:18" ht="15.75" hidden="1" customHeight="1" x14ac:dyDescent="0.3">
      <c r="A681" s="18"/>
      <c r="B681" s="10"/>
      <c r="C681" s="10"/>
      <c r="D681" s="10"/>
      <c r="E681" s="10"/>
      <c r="F681" s="10"/>
      <c r="G681" s="10"/>
      <c r="H681" s="10"/>
      <c r="I681" s="10"/>
      <c r="J681" s="10"/>
      <c r="K681" s="10"/>
      <c r="L681" s="10"/>
      <c r="M681" s="10"/>
      <c r="N681" s="10"/>
      <c r="O681" s="10"/>
      <c r="P681" s="10"/>
      <c r="Q681" s="10"/>
      <c r="R681" s="17"/>
    </row>
    <row r="682" spans="1:18" ht="15.75" hidden="1" customHeight="1" thickBot="1" x14ac:dyDescent="0.35">
      <c r="A682" s="18"/>
      <c r="B682" s="10"/>
      <c r="C682" s="10"/>
      <c r="D682" s="10"/>
      <c r="E682" s="10"/>
      <c r="F682" s="10"/>
      <c r="G682" s="10"/>
      <c r="H682" s="10"/>
      <c r="I682" s="10"/>
      <c r="J682" s="10"/>
      <c r="K682" s="10"/>
      <c r="L682" s="10"/>
      <c r="M682" s="10"/>
      <c r="N682" s="10"/>
      <c r="O682" s="10"/>
      <c r="P682" s="10"/>
      <c r="Q682" s="10"/>
      <c r="R682" s="17"/>
    </row>
    <row r="683" spans="1:18" ht="16.5" hidden="1" customHeight="1" thickBot="1" x14ac:dyDescent="0.35">
      <c r="A683" s="240" t="s">
        <v>1333</v>
      </c>
      <c r="B683" s="4" t="s">
        <v>2090</v>
      </c>
      <c r="C683" s="5" t="s">
        <v>2091</v>
      </c>
      <c r="D683" s="5" t="s">
        <v>2234</v>
      </c>
      <c r="E683" s="33" t="s">
        <v>1594</v>
      </c>
      <c r="F683" s="5" t="s">
        <v>2235</v>
      </c>
      <c r="G683" s="5" t="s">
        <v>2236</v>
      </c>
      <c r="H683" s="5" t="s">
        <v>2237</v>
      </c>
      <c r="I683" s="35" t="s">
        <v>1595</v>
      </c>
      <c r="J683" s="5" t="s">
        <v>1504</v>
      </c>
      <c r="K683" s="5" t="s">
        <v>1505</v>
      </c>
      <c r="L683" s="5" t="s">
        <v>1506</v>
      </c>
      <c r="M683" s="35" t="s">
        <v>1596</v>
      </c>
      <c r="N683" s="5" t="s">
        <v>1507</v>
      </c>
      <c r="O683" s="5" t="s">
        <v>1508</v>
      </c>
      <c r="P683" s="5" t="s">
        <v>1509</v>
      </c>
      <c r="Q683" s="35" t="s">
        <v>1597</v>
      </c>
      <c r="R683" s="36" t="s">
        <v>1510</v>
      </c>
    </row>
    <row r="684" spans="1:18" ht="16.5" hidden="1" customHeight="1" thickBot="1" x14ac:dyDescent="0.35">
      <c r="A684" s="22"/>
      <c r="B684" s="297"/>
      <c r="C684" s="297"/>
      <c r="D684" s="297"/>
      <c r="E684" s="302"/>
      <c r="F684" s="297"/>
      <c r="G684" s="297"/>
      <c r="H684" s="297"/>
      <c r="I684" s="302"/>
      <c r="J684" s="297"/>
      <c r="K684" s="297"/>
      <c r="L684" s="297"/>
      <c r="M684" s="302"/>
      <c r="N684" s="297"/>
      <c r="O684" s="297"/>
      <c r="P684" s="297"/>
      <c r="Q684" s="302"/>
      <c r="R684" s="19"/>
    </row>
    <row r="685" spans="1:18" ht="15.75" hidden="1" customHeight="1" x14ac:dyDescent="0.3">
      <c r="A685" s="234" t="s">
        <v>2417</v>
      </c>
      <c r="B685" s="10" t="s">
        <v>852</v>
      </c>
      <c r="C685" s="10" t="s">
        <v>852</v>
      </c>
      <c r="D685" s="10" t="s">
        <v>852</v>
      </c>
      <c r="E685" s="38" t="s">
        <v>852</v>
      </c>
      <c r="F685" s="10" t="s">
        <v>852</v>
      </c>
      <c r="G685" s="10" t="s">
        <v>852</v>
      </c>
      <c r="H685" s="10" t="s">
        <v>852</v>
      </c>
      <c r="I685" s="38" t="s">
        <v>852</v>
      </c>
      <c r="J685" s="10" t="s">
        <v>852</v>
      </c>
      <c r="K685" s="10" t="s">
        <v>852</v>
      </c>
      <c r="L685" s="10" t="s">
        <v>852</v>
      </c>
      <c r="M685" s="38" t="s">
        <v>852</v>
      </c>
      <c r="N685" s="10" t="s">
        <v>852</v>
      </c>
      <c r="O685" s="10" t="s">
        <v>852</v>
      </c>
      <c r="P685" s="10" t="s">
        <v>852</v>
      </c>
      <c r="Q685" s="38" t="s">
        <v>852</v>
      </c>
      <c r="R685" s="38" t="s">
        <v>852</v>
      </c>
    </row>
    <row r="686" spans="1:18" ht="15.75" hidden="1" customHeight="1" x14ac:dyDescent="0.3">
      <c r="A686" s="234" t="s">
        <v>2160</v>
      </c>
      <c r="B686" s="10"/>
      <c r="C686" s="10"/>
      <c r="D686" s="10"/>
      <c r="E686" s="38" t="s">
        <v>852</v>
      </c>
      <c r="F686" s="10"/>
      <c r="G686" s="10"/>
      <c r="H686" s="10"/>
      <c r="I686" s="38" t="s">
        <v>852</v>
      </c>
      <c r="J686" s="10"/>
      <c r="K686" s="10"/>
      <c r="L686" s="10"/>
      <c r="M686" s="38" t="s">
        <v>852</v>
      </c>
      <c r="N686" s="10"/>
      <c r="O686" s="10"/>
      <c r="P686" s="10"/>
      <c r="Q686" s="38" t="s">
        <v>852</v>
      </c>
      <c r="R686" s="38" t="s">
        <v>852</v>
      </c>
    </row>
    <row r="687" spans="1:18" ht="15.75" hidden="1" customHeight="1" x14ac:dyDescent="0.3">
      <c r="A687" s="539" t="s">
        <v>2747</v>
      </c>
      <c r="B687" s="10">
        <v>100</v>
      </c>
      <c r="C687" s="10">
        <v>200</v>
      </c>
      <c r="D687" s="10">
        <v>500</v>
      </c>
      <c r="E687" s="38">
        <f>SUM(B687:D687)</f>
        <v>800</v>
      </c>
      <c r="F687" s="10">
        <v>700</v>
      </c>
      <c r="G687" s="10">
        <v>1300</v>
      </c>
      <c r="H687" s="10">
        <v>1500</v>
      </c>
      <c r="I687" s="38">
        <f>SUM(F687:H687)</f>
        <v>3500</v>
      </c>
      <c r="J687" s="10">
        <v>2000</v>
      </c>
      <c r="K687" s="10">
        <v>1600</v>
      </c>
      <c r="L687" s="10">
        <v>1200</v>
      </c>
      <c r="M687" s="38">
        <f>SUM(J687:L687)</f>
        <v>4800</v>
      </c>
      <c r="N687" s="10">
        <v>400</v>
      </c>
      <c r="O687" s="10">
        <v>100</v>
      </c>
      <c r="P687" s="10">
        <v>200</v>
      </c>
      <c r="Q687" s="38">
        <f>SUM(N687:P687)</f>
        <v>700</v>
      </c>
      <c r="R687" s="38">
        <f>+E687+I687+M687+Q687</f>
        <v>9800</v>
      </c>
    </row>
    <row r="688" spans="1:18" ht="15.75" hidden="1" customHeight="1" x14ac:dyDescent="0.3">
      <c r="A688" s="539" t="s">
        <v>2748</v>
      </c>
      <c r="B688" s="356">
        <v>200</v>
      </c>
      <c r="C688" s="356">
        <v>400</v>
      </c>
      <c r="D688" s="356">
        <v>400</v>
      </c>
      <c r="E688" s="38">
        <f>SUM(B688:D688)</f>
        <v>1000</v>
      </c>
      <c r="F688" s="356">
        <v>400</v>
      </c>
      <c r="G688" s="356"/>
      <c r="H688" s="356">
        <v>200</v>
      </c>
      <c r="I688" s="38">
        <f>SUM(F688:H688)</f>
        <v>600</v>
      </c>
      <c r="J688" s="356">
        <v>300</v>
      </c>
      <c r="K688" s="356">
        <v>200</v>
      </c>
      <c r="L688" s="10">
        <v>200</v>
      </c>
      <c r="M688" s="38">
        <f>SUM(J688:L688)</f>
        <v>700</v>
      </c>
      <c r="N688" s="10">
        <v>200</v>
      </c>
      <c r="O688" s="10"/>
      <c r="P688" s="10">
        <v>200</v>
      </c>
      <c r="Q688" s="38">
        <f>SUM(N688:P688)</f>
        <v>400</v>
      </c>
      <c r="R688" s="38">
        <f>+E688+I688+M688+Q688</f>
        <v>2700</v>
      </c>
    </row>
    <row r="689" spans="1:18" ht="15.75" hidden="1" customHeight="1" x14ac:dyDescent="0.3">
      <c r="A689" s="310" t="s">
        <v>537</v>
      </c>
      <c r="B689" s="10">
        <v>80</v>
      </c>
      <c r="C689" s="10">
        <v>50</v>
      </c>
      <c r="D689" s="10">
        <v>70</v>
      </c>
      <c r="E689" s="38">
        <f>SUM(B689:D689)</f>
        <v>200</v>
      </c>
      <c r="F689" s="10">
        <v>70</v>
      </c>
      <c r="G689" s="10">
        <v>50</v>
      </c>
      <c r="H689" s="10"/>
      <c r="I689" s="38">
        <f>SUM(F689:H689)</f>
        <v>120</v>
      </c>
      <c r="J689" s="10"/>
      <c r="K689" s="10"/>
      <c r="L689" s="10"/>
      <c r="M689" s="38">
        <f>SUM(J689:L689)</f>
        <v>0</v>
      </c>
      <c r="N689" s="10"/>
      <c r="O689" s="10"/>
      <c r="P689" s="10">
        <v>100</v>
      </c>
      <c r="Q689" s="38">
        <f>SUM(N689:P689)</f>
        <v>100</v>
      </c>
      <c r="R689" s="38">
        <f>+E689+I689+M689+Q689</f>
        <v>420</v>
      </c>
    </row>
    <row r="690" spans="1:18" ht="15.75" hidden="1" customHeight="1" x14ac:dyDescent="0.3">
      <c r="A690" s="234" t="s">
        <v>2161</v>
      </c>
      <c r="B690" s="10"/>
      <c r="C690" s="10"/>
      <c r="D690" s="10"/>
      <c r="E690" s="38" t="s">
        <v>852</v>
      </c>
      <c r="F690" s="10"/>
      <c r="G690" s="10"/>
      <c r="H690" s="10"/>
      <c r="I690" s="38" t="s">
        <v>852</v>
      </c>
      <c r="J690" s="10"/>
      <c r="K690" s="10"/>
      <c r="L690" s="10"/>
      <c r="M690" s="38" t="s">
        <v>852</v>
      </c>
      <c r="N690" s="10"/>
      <c r="O690" s="10"/>
      <c r="P690" s="10"/>
      <c r="Q690" s="38" t="s">
        <v>852</v>
      </c>
      <c r="R690" s="38" t="s">
        <v>852</v>
      </c>
    </row>
    <row r="691" spans="1:18" ht="15.75" hidden="1" customHeight="1" x14ac:dyDescent="0.3">
      <c r="A691" s="234" t="s">
        <v>3245</v>
      </c>
      <c r="B691" s="10"/>
      <c r="C691" s="10"/>
      <c r="D691" s="10"/>
      <c r="E691" s="38" t="s">
        <v>852</v>
      </c>
      <c r="F691" s="10"/>
      <c r="G691" s="10"/>
      <c r="H691" s="10"/>
      <c r="I691" s="38" t="s">
        <v>852</v>
      </c>
      <c r="J691" s="10"/>
      <c r="K691" s="10"/>
      <c r="L691" s="10"/>
      <c r="M691" s="38" t="s">
        <v>852</v>
      </c>
      <c r="N691" s="10"/>
      <c r="O691" s="10"/>
      <c r="P691" s="10"/>
      <c r="Q691" s="38" t="s">
        <v>852</v>
      </c>
      <c r="R691" s="38" t="s">
        <v>852</v>
      </c>
    </row>
    <row r="692" spans="1:18" ht="15.75" hidden="1" customHeight="1" thickBot="1" x14ac:dyDescent="0.35">
      <c r="A692" s="234" t="s">
        <v>2164</v>
      </c>
      <c r="B692" s="10"/>
      <c r="C692" s="10"/>
      <c r="D692" s="10"/>
      <c r="E692" s="38" t="s">
        <v>852</v>
      </c>
      <c r="F692" s="10"/>
      <c r="G692" s="10"/>
      <c r="H692" s="10"/>
      <c r="I692" s="38" t="s">
        <v>852</v>
      </c>
      <c r="J692" s="10"/>
      <c r="K692" s="10"/>
      <c r="L692" s="10"/>
      <c r="M692" s="38" t="s">
        <v>852</v>
      </c>
      <c r="N692" s="10"/>
      <c r="O692" s="10"/>
      <c r="P692" s="10"/>
      <c r="Q692" s="38" t="s">
        <v>852</v>
      </c>
      <c r="R692" s="38" t="s">
        <v>852</v>
      </c>
    </row>
    <row r="693" spans="1:18" ht="16.5" hidden="1" customHeight="1" thickBot="1" x14ac:dyDescent="0.35">
      <c r="A693" s="322" t="s">
        <v>1218</v>
      </c>
      <c r="B693" s="45">
        <f>SUM(B685:B692)</f>
        <v>380</v>
      </c>
      <c r="C693" s="46">
        <f>SUM(C685:C692)</f>
        <v>650</v>
      </c>
      <c r="D693" s="46">
        <f>SUM(D685:D692)</f>
        <v>970</v>
      </c>
      <c r="E693" s="37">
        <f>SUM(B693:D693)</f>
        <v>2000</v>
      </c>
      <c r="F693" s="46">
        <f>SUM(F685:F692)</f>
        <v>1170</v>
      </c>
      <c r="G693" s="46">
        <f>SUM(G685:G692)</f>
        <v>1350</v>
      </c>
      <c r="H693" s="46">
        <f>SUM(H685:H692)</f>
        <v>1700</v>
      </c>
      <c r="I693" s="37">
        <f>SUM(F693:H693)</f>
        <v>4220</v>
      </c>
      <c r="J693" s="46">
        <f>SUM(J685:J692)</f>
        <v>2300</v>
      </c>
      <c r="K693" s="46">
        <f>SUM(K685:K692)</f>
        <v>1800</v>
      </c>
      <c r="L693" s="46">
        <f>SUM(L685:L692)</f>
        <v>1400</v>
      </c>
      <c r="M693" s="37">
        <f>SUM(J693:L693)</f>
        <v>5500</v>
      </c>
      <c r="N693" s="46">
        <f>SUM(N685:N692)</f>
        <v>600</v>
      </c>
      <c r="O693" s="46">
        <f>SUM(O685:O692)</f>
        <v>100</v>
      </c>
      <c r="P693" s="46">
        <f>SUM(P685:P692)</f>
        <v>500</v>
      </c>
      <c r="Q693" s="37">
        <f>SUM(N693:P693)</f>
        <v>1200</v>
      </c>
      <c r="R693" s="37">
        <f>+E693+I693+M693+Q693</f>
        <v>12920</v>
      </c>
    </row>
    <row r="694" spans="1:18" ht="15.75" hidden="1" customHeight="1" x14ac:dyDescent="0.3">
      <c r="A694" s="234" t="s">
        <v>1172</v>
      </c>
      <c r="B694" s="10"/>
      <c r="C694" s="10"/>
      <c r="D694" s="10"/>
      <c r="E694" s="38" t="s">
        <v>852</v>
      </c>
      <c r="F694" s="10"/>
      <c r="G694" s="10"/>
      <c r="H694" s="10"/>
      <c r="I694" s="38" t="s">
        <v>852</v>
      </c>
      <c r="J694" s="10"/>
      <c r="K694" s="10"/>
      <c r="L694" s="10"/>
      <c r="M694" s="38" t="s">
        <v>852</v>
      </c>
      <c r="N694" s="10"/>
      <c r="O694" s="10"/>
      <c r="P694" s="10"/>
      <c r="Q694" s="38" t="s">
        <v>852</v>
      </c>
      <c r="R694" s="38" t="s">
        <v>852</v>
      </c>
    </row>
    <row r="695" spans="1:18" ht="15.75" hidden="1" customHeight="1" x14ac:dyDescent="0.3">
      <c r="A695" s="234" t="s">
        <v>2409</v>
      </c>
      <c r="B695" s="10"/>
      <c r="C695" s="10"/>
      <c r="D695" s="10"/>
      <c r="E695" s="38" t="s">
        <v>852</v>
      </c>
      <c r="F695" s="10"/>
      <c r="G695" s="10"/>
      <c r="H695" s="10"/>
      <c r="I695" s="38" t="s">
        <v>852</v>
      </c>
      <c r="J695" s="10"/>
      <c r="K695" s="10"/>
      <c r="L695" s="10"/>
      <c r="M695" s="38" t="s">
        <v>852</v>
      </c>
      <c r="N695" s="10"/>
      <c r="O695" s="10"/>
      <c r="P695" s="10"/>
      <c r="Q695" s="38" t="s">
        <v>852</v>
      </c>
      <c r="R695" s="38" t="s">
        <v>852</v>
      </c>
    </row>
    <row r="696" spans="1:18" ht="15.75" hidden="1" customHeight="1" thickBot="1" x14ac:dyDescent="0.35">
      <c r="A696" s="234" t="s">
        <v>2165</v>
      </c>
      <c r="B696" s="10"/>
      <c r="C696" s="10"/>
      <c r="D696" s="10"/>
      <c r="E696" s="38" t="s">
        <v>852</v>
      </c>
      <c r="F696" s="10"/>
      <c r="G696" s="10"/>
      <c r="H696" s="10"/>
      <c r="I696" s="38" t="s">
        <v>852</v>
      </c>
      <c r="J696" s="10"/>
      <c r="K696" s="10"/>
      <c r="L696" s="10"/>
      <c r="M696" s="38" t="s">
        <v>852</v>
      </c>
      <c r="N696" s="10"/>
      <c r="O696" s="10"/>
      <c r="P696" s="10"/>
      <c r="Q696" s="38" t="s">
        <v>852</v>
      </c>
      <c r="R696" s="38" t="s">
        <v>852</v>
      </c>
    </row>
    <row r="697" spans="1:18" ht="16.5" hidden="1" customHeight="1" thickBot="1" x14ac:dyDescent="0.35">
      <c r="A697" s="43" t="s">
        <v>1219</v>
      </c>
      <c r="B697" s="45">
        <f>SUM(B694:B696)</f>
        <v>0</v>
      </c>
      <c r="C697" s="46">
        <f>SUM(C694:C696)</f>
        <v>0</v>
      </c>
      <c r="D697" s="46">
        <f>SUM(D694:D696)</f>
        <v>0</v>
      </c>
      <c r="E697" s="37">
        <f>SUM(B697:D697)</f>
        <v>0</v>
      </c>
      <c r="F697" s="46">
        <f>SUM(F694:F696)</f>
        <v>0</v>
      </c>
      <c r="G697" s="46">
        <f>SUM(G694:G696)</f>
        <v>0</v>
      </c>
      <c r="H697" s="46">
        <f>SUM(H694:H696)</f>
        <v>0</v>
      </c>
      <c r="I697" s="37">
        <f>SUM(F697:H697)</f>
        <v>0</v>
      </c>
      <c r="J697" s="46">
        <f>SUM(J694:J696)</f>
        <v>0</v>
      </c>
      <c r="K697" s="46">
        <f>SUM(K694:K696)</f>
        <v>0</v>
      </c>
      <c r="L697" s="46">
        <f>SUM(L694:L696)</f>
        <v>0</v>
      </c>
      <c r="M697" s="37">
        <f>SUM(J697:L697)</f>
        <v>0</v>
      </c>
      <c r="N697" s="46">
        <f>SUM(N694:N696)</f>
        <v>0</v>
      </c>
      <c r="O697" s="46">
        <f>SUM(O694:O696)</f>
        <v>0</v>
      </c>
      <c r="P697" s="46">
        <f>SUM(P694:P696)</f>
        <v>0</v>
      </c>
      <c r="Q697" s="37">
        <f>SUM(N697:P697)</f>
        <v>0</v>
      </c>
      <c r="R697" s="37">
        <f>+E697+I697+M697+Q697</f>
        <v>0</v>
      </c>
    </row>
    <row r="698" spans="1:18" ht="15.75" hidden="1" customHeight="1" x14ac:dyDescent="0.3">
      <c r="A698" s="234" t="s">
        <v>2166</v>
      </c>
      <c r="B698" s="10"/>
      <c r="C698" s="10"/>
      <c r="D698" s="10"/>
      <c r="E698" s="38" t="s">
        <v>852</v>
      </c>
      <c r="F698" s="10"/>
      <c r="G698" s="10"/>
      <c r="H698" s="10"/>
      <c r="I698" s="38" t="s">
        <v>852</v>
      </c>
      <c r="J698" s="10"/>
      <c r="K698" s="10"/>
      <c r="L698" s="10"/>
      <c r="M698" s="38" t="s">
        <v>852</v>
      </c>
      <c r="N698" s="10"/>
      <c r="O698" s="10"/>
      <c r="P698" s="10"/>
      <c r="Q698" s="38" t="s">
        <v>852</v>
      </c>
      <c r="R698" s="38" t="s">
        <v>852</v>
      </c>
    </row>
    <row r="699" spans="1:18" ht="15.75" hidden="1" customHeight="1" x14ac:dyDescent="0.3">
      <c r="A699" s="234" t="s">
        <v>1245</v>
      </c>
      <c r="B699" s="10"/>
      <c r="C699" s="10"/>
      <c r="D699" s="10"/>
      <c r="E699" s="38" t="s">
        <v>852</v>
      </c>
      <c r="F699" s="10"/>
      <c r="G699" s="10"/>
      <c r="H699" s="10"/>
      <c r="I699" s="38" t="s">
        <v>852</v>
      </c>
      <c r="J699" s="10"/>
      <c r="K699" s="10"/>
      <c r="L699" s="10"/>
      <c r="M699" s="38" t="s">
        <v>852</v>
      </c>
      <c r="N699" s="10"/>
      <c r="O699" s="10"/>
      <c r="P699" s="10"/>
      <c r="Q699" s="38" t="s">
        <v>852</v>
      </c>
      <c r="R699" s="38" t="s">
        <v>852</v>
      </c>
    </row>
    <row r="700" spans="1:18" ht="15.75" hidden="1" customHeight="1" thickBot="1" x14ac:dyDescent="0.35">
      <c r="A700" s="234" t="s">
        <v>1711</v>
      </c>
      <c r="B700" s="10"/>
      <c r="C700" s="10"/>
      <c r="D700" s="10"/>
      <c r="E700" s="38" t="s">
        <v>852</v>
      </c>
      <c r="F700" s="10"/>
      <c r="G700" s="10"/>
      <c r="H700" s="10"/>
      <c r="I700" s="38" t="s">
        <v>852</v>
      </c>
      <c r="J700" s="10"/>
      <c r="K700" s="10"/>
      <c r="L700" s="10"/>
      <c r="M700" s="38" t="s">
        <v>852</v>
      </c>
      <c r="N700" s="10"/>
      <c r="O700" s="10"/>
      <c r="P700" s="10"/>
      <c r="Q700" s="38" t="s">
        <v>852</v>
      </c>
      <c r="R700" s="38" t="s">
        <v>852</v>
      </c>
    </row>
    <row r="701" spans="1:18" ht="16.5" hidden="1" customHeight="1" thickBot="1" x14ac:dyDescent="0.35">
      <c r="A701" s="277" t="s">
        <v>1220</v>
      </c>
      <c r="B701" s="45">
        <f>SUM(B698:B700)</f>
        <v>0</v>
      </c>
      <c r="C701" s="46">
        <f>SUM(C698:C700)</f>
        <v>0</v>
      </c>
      <c r="D701" s="46">
        <f>SUM(D698:D700)</f>
        <v>0</v>
      </c>
      <c r="E701" s="37">
        <f>SUM(B701:D701)</f>
        <v>0</v>
      </c>
      <c r="F701" s="46">
        <f>SUM(F698:F700)</f>
        <v>0</v>
      </c>
      <c r="G701" s="46">
        <f>SUM(G698:G700)</f>
        <v>0</v>
      </c>
      <c r="H701" s="46">
        <f>SUM(H698:H700)</f>
        <v>0</v>
      </c>
      <c r="I701" s="37">
        <f>SUM(F701:H701)</f>
        <v>0</v>
      </c>
      <c r="J701" s="46">
        <f>SUM(J698:J700)</f>
        <v>0</v>
      </c>
      <c r="K701" s="46">
        <f>SUM(K698:K700)</f>
        <v>0</v>
      </c>
      <c r="L701" s="46">
        <f>SUM(L698:L700)</f>
        <v>0</v>
      </c>
      <c r="M701" s="37">
        <f>SUM(J701:L701)</f>
        <v>0</v>
      </c>
      <c r="N701" s="46">
        <f>SUM(N698:N700)</f>
        <v>0</v>
      </c>
      <c r="O701" s="46">
        <f>SUM(O698:O700)</f>
        <v>0</v>
      </c>
      <c r="P701" s="46">
        <f>SUM(P698:P700)</f>
        <v>0</v>
      </c>
      <c r="Q701" s="37">
        <f>SUM(N701:P701)</f>
        <v>0</v>
      </c>
      <c r="R701" s="37">
        <f>+E701+I701+M701+Q701</f>
        <v>0</v>
      </c>
    </row>
    <row r="702" spans="1:18" ht="15.75" hidden="1" customHeight="1" x14ac:dyDescent="0.3">
      <c r="A702" s="234" t="s">
        <v>1712</v>
      </c>
      <c r="B702" s="10"/>
      <c r="C702" s="10"/>
      <c r="D702" s="10"/>
      <c r="E702" s="38" t="s">
        <v>852</v>
      </c>
      <c r="F702" s="10"/>
      <c r="G702" s="10"/>
      <c r="H702" s="10"/>
      <c r="I702" s="38" t="s">
        <v>852</v>
      </c>
      <c r="J702" s="10"/>
      <c r="K702" s="10"/>
      <c r="L702" s="10"/>
      <c r="M702" s="38" t="s">
        <v>852</v>
      </c>
      <c r="N702" s="10"/>
      <c r="O702" s="10"/>
      <c r="P702" s="10"/>
      <c r="Q702" s="38" t="s">
        <v>852</v>
      </c>
      <c r="R702" s="38" t="s">
        <v>852</v>
      </c>
    </row>
    <row r="703" spans="1:18" ht="15.75" hidden="1" customHeight="1" x14ac:dyDescent="0.3">
      <c r="A703" s="234" t="s">
        <v>1021</v>
      </c>
      <c r="B703" s="10"/>
      <c r="C703" s="10"/>
      <c r="D703" s="10"/>
      <c r="E703" s="38" t="s">
        <v>852</v>
      </c>
      <c r="F703" s="10"/>
      <c r="G703" s="10"/>
      <c r="H703" s="10"/>
      <c r="I703" s="38" t="s">
        <v>852</v>
      </c>
      <c r="J703" s="10"/>
      <c r="K703" s="10"/>
      <c r="L703" s="10"/>
      <c r="M703" s="38" t="s">
        <v>852</v>
      </c>
      <c r="N703" s="10"/>
      <c r="O703" s="10"/>
      <c r="P703" s="10"/>
      <c r="Q703" s="38" t="s">
        <v>852</v>
      </c>
      <c r="R703" s="38" t="s">
        <v>852</v>
      </c>
    </row>
    <row r="704" spans="1:18" ht="15.75" hidden="1" customHeight="1" x14ac:dyDescent="0.3">
      <c r="A704" s="234" t="s">
        <v>557</v>
      </c>
      <c r="B704" s="10"/>
      <c r="C704" s="10"/>
      <c r="D704" s="10"/>
      <c r="E704" s="38" t="s">
        <v>852</v>
      </c>
      <c r="F704" s="10"/>
      <c r="G704" s="10"/>
      <c r="H704" s="10"/>
      <c r="I704" s="38" t="s">
        <v>852</v>
      </c>
      <c r="J704" s="10"/>
      <c r="K704" s="10"/>
      <c r="L704" s="10"/>
      <c r="M704" s="38" t="s">
        <v>852</v>
      </c>
      <c r="N704" s="10"/>
      <c r="O704" s="10"/>
      <c r="P704" s="10"/>
      <c r="Q704" s="38" t="s">
        <v>852</v>
      </c>
      <c r="R704" s="38" t="s">
        <v>852</v>
      </c>
    </row>
    <row r="705" spans="1:18" ht="15.75" hidden="1" customHeight="1" x14ac:dyDescent="0.3">
      <c r="A705" s="539" t="s">
        <v>2584</v>
      </c>
      <c r="B705" s="10"/>
      <c r="C705" s="10"/>
      <c r="D705" s="10"/>
      <c r="E705" s="38">
        <f>SUM(B705:D705)</f>
        <v>0</v>
      </c>
      <c r="F705" s="10"/>
      <c r="G705" s="10"/>
      <c r="H705" s="10"/>
      <c r="I705" s="38">
        <f>SUM(F705:H705)</f>
        <v>0</v>
      </c>
      <c r="J705" s="10"/>
      <c r="K705" s="10"/>
      <c r="L705" s="10"/>
      <c r="M705" s="38">
        <f>SUM(J705:L705)</f>
        <v>0</v>
      </c>
      <c r="N705" s="10"/>
      <c r="O705" s="10"/>
      <c r="P705" s="10"/>
      <c r="Q705" s="38">
        <f>SUM(N705:P705)</f>
        <v>0</v>
      </c>
      <c r="R705" s="38">
        <f>+E705+I705+M705+Q705</f>
        <v>0</v>
      </c>
    </row>
    <row r="706" spans="1:18" ht="15.75" hidden="1" customHeight="1" x14ac:dyDescent="0.3">
      <c r="A706" s="234" t="s">
        <v>1022</v>
      </c>
      <c r="B706" s="10"/>
      <c r="C706" s="10"/>
      <c r="D706" s="10"/>
      <c r="E706" s="38" t="s">
        <v>852</v>
      </c>
      <c r="F706" s="10"/>
      <c r="G706" s="10"/>
      <c r="H706" s="10"/>
      <c r="I706" s="38" t="s">
        <v>852</v>
      </c>
      <c r="J706" s="10"/>
      <c r="K706" s="10"/>
      <c r="L706" s="10"/>
      <c r="M706" s="38" t="s">
        <v>852</v>
      </c>
      <c r="N706" s="10"/>
      <c r="O706" s="10"/>
      <c r="P706" s="10"/>
      <c r="Q706" s="38" t="s">
        <v>852</v>
      </c>
      <c r="R706" s="38" t="s">
        <v>852</v>
      </c>
    </row>
    <row r="707" spans="1:18" ht="15.75" hidden="1" customHeight="1" thickBot="1" x14ac:dyDescent="0.35">
      <c r="A707" s="234" t="s">
        <v>559</v>
      </c>
      <c r="B707" s="10"/>
      <c r="C707" s="10"/>
      <c r="D707" s="10"/>
      <c r="E707" s="38" t="s">
        <v>852</v>
      </c>
      <c r="F707" s="10"/>
      <c r="G707" s="10"/>
      <c r="H707" s="10"/>
      <c r="I707" s="38" t="s">
        <v>852</v>
      </c>
      <c r="J707" s="10"/>
      <c r="K707" s="10"/>
      <c r="L707" s="10"/>
      <c r="M707" s="38" t="s">
        <v>852</v>
      </c>
      <c r="N707" s="10"/>
      <c r="O707" s="10"/>
      <c r="P707" s="10"/>
      <c r="Q707" s="38" t="s">
        <v>852</v>
      </c>
      <c r="R707" s="38" t="s">
        <v>852</v>
      </c>
    </row>
    <row r="708" spans="1:18" ht="16.5" hidden="1" customHeight="1" thickBot="1" x14ac:dyDescent="0.35">
      <c r="A708" s="43" t="s">
        <v>1019</v>
      </c>
      <c r="B708" s="42">
        <f>SUM(B706:B707)</f>
        <v>0</v>
      </c>
      <c r="C708" s="42">
        <f>SUM(C706:C707)</f>
        <v>0</v>
      </c>
      <c r="D708" s="42">
        <f>SUM(D706:D707)</f>
        <v>0</v>
      </c>
      <c r="E708" s="39">
        <f>SUM(B708:D708)</f>
        <v>0</v>
      </c>
      <c r="F708" s="42">
        <f>SUM(F706:F707)</f>
        <v>0</v>
      </c>
      <c r="G708" s="42">
        <f>SUM(G706:G707)</f>
        <v>0</v>
      </c>
      <c r="H708" s="42">
        <f>SUM(H706:H707)</f>
        <v>0</v>
      </c>
      <c r="I708" s="39">
        <f>SUM(F708:H708)</f>
        <v>0</v>
      </c>
      <c r="J708" s="42">
        <f>SUM(J706:J707)</f>
        <v>0</v>
      </c>
      <c r="K708" s="42">
        <f>SUM(K706:K707)</f>
        <v>0</v>
      </c>
      <c r="L708" s="42">
        <f>SUM(L706:L707)</f>
        <v>0</v>
      </c>
      <c r="M708" s="39">
        <f>SUM(J708:L708)</f>
        <v>0</v>
      </c>
      <c r="N708" s="42">
        <f>SUM(N706:N707)</f>
        <v>0</v>
      </c>
      <c r="O708" s="42">
        <f>SUM(O706:O707)</f>
        <v>0</v>
      </c>
      <c r="P708" s="42">
        <f>SUM(P706:P707)</f>
        <v>0</v>
      </c>
      <c r="Q708" s="39">
        <f>SUM(N708:P708)</f>
        <v>0</v>
      </c>
      <c r="R708" s="37">
        <f>+E708+I708+M708+Q708</f>
        <v>0</v>
      </c>
    </row>
    <row r="709" spans="1:18" ht="16.5" hidden="1" customHeight="1" thickBot="1" x14ac:dyDescent="0.35">
      <c r="A709" s="277" t="s">
        <v>1221</v>
      </c>
      <c r="B709" s="45">
        <f>SUM(B702:B707)</f>
        <v>0</v>
      </c>
      <c r="C709" s="46">
        <f>SUM(C702:C707)</f>
        <v>0</v>
      </c>
      <c r="D709" s="58">
        <f>SUM(D702:D707)</f>
        <v>0</v>
      </c>
      <c r="E709" s="39">
        <f>SUM(B709:D709)</f>
        <v>0</v>
      </c>
      <c r="F709" s="46">
        <f>SUM(F702:F707)</f>
        <v>0</v>
      </c>
      <c r="G709" s="46">
        <f>SUM(G702:G707)</f>
        <v>0</v>
      </c>
      <c r="H709" s="46">
        <f>SUM(H702:H707)</f>
        <v>0</v>
      </c>
      <c r="I709" s="39">
        <f>SUM(F709:H709)</f>
        <v>0</v>
      </c>
      <c r="J709" s="46">
        <f>SUM(J702:J707)</f>
        <v>0</v>
      </c>
      <c r="K709" s="46">
        <f>SUM(K702:K707)</f>
        <v>0</v>
      </c>
      <c r="L709" s="46">
        <f>SUM(L702:L707)</f>
        <v>0</v>
      </c>
      <c r="M709" s="39">
        <f>SUM(J709:L709)</f>
        <v>0</v>
      </c>
      <c r="N709" s="46">
        <f>SUM(N702:N707)</f>
        <v>0</v>
      </c>
      <c r="O709" s="46">
        <f>SUM(O702:O707)</f>
        <v>0</v>
      </c>
      <c r="P709" s="46">
        <f>SUM(P702:P707)</f>
        <v>0</v>
      </c>
      <c r="Q709" s="39">
        <f>SUM(N709:P709)</f>
        <v>0</v>
      </c>
      <c r="R709" s="37">
        <f>+E709+I709+M709+Q709</f>
        <v>0</v>
      </c>
    </row>
    <row r="710" spans="1:18" ht="16.5" hidden="1" customHeight="1" thickBot="1" x14ac:dyDescent="0.35">
      <c r="A710" s="43" t="s">
        <v>1222</v>
      </c>
      <c r="B710" s="47">
        <f>+B693+B697+B701+B709</f>
        <v>380</v>
      </c>
      <c r="C710" s="42">
        <f>+C693+C697+C701+C709</f>
        <v>650</v>
      </c>
      <c r="D710" s="42">
        <f>+D693+D697+D701+D709</f>
        <v>970</v>
      </c>
      <c r="E710" s="37">
        <f>SUM(B710:D710)</f>
        <v>2000</v>
      </c>
      <c r="F710" s="42">
        <f>+F693+F697+F701+F709</f>
        <v>1170</v>
      </c>
      <c r="G710" s="42">
        <f>+G693+G697+G701+G709</f>
        <v>1350</v>
      </c>
      <c r="H710" s="42">
        <f>+H693+H697+H701+H709</f>
        <v>1700</v>
      </c>
      <c r="I710" s="37">
        <f>SUM(F710:H710)</f>
        <v>4220</v>
      </c>
      <c r="J710" s="42">
        <f>+J693+J697+J701+J709</f>
        <v>2300</v>
      </c>
      <c r="K710" s="42">
        <f>+K693+K697+K701+K709</f>
        <v>1800</v>
      </c>
      <c r="L710" s="42">
        <f>+L693+L697+L701+L709</f>
        <v>1400</v>
      </c>
      <c r="M710" s="37">
        <f>SUM(J710:L710)</f>
        <v>5500</v>
      </c>
      <c r="N710" s="42">
        <f>+N693+N697+N701+N709</f>
        <v>600</v>
      </c>
      <c r="O710" s="42">
        <f>+O693+O697+O701+O709</f>
        <v>100</v>
      </c>
      <c r="P710" s="42">
        <f>+P693+P697+P701+P709</f>
        <v>500</v>
      </c>
      <c r="Q710" s="37">
        <f>SUM(N710:P710)</f>
        <v>1200</v>
      </c>
      <c r="R710" s="40">
        <f>+E710+I710+M710+Q710</f>
        <v>12920</v>
      </c>
    </row>
    <row r="711" spans="1:18" ht="16.5" hidden="1" customHeight="1" thickBot="1" x14ac:dyDescent="0.35">
      <c r="A711" s="299" t="s">
        <v>853</v>
      </c>
      <c r="B711" s="294">
        <v>10</v>
      </c>
      <c r="C711" s="294">
        <v>11</v>
      </c>
      <c r="D711" s="294">
        <v>14</v>
      </c>
      <c r="E711" s="38">
        <f>SUM(B711:D711)</f>
        <v>35</v>
      </c>
      <c r="F711" s="294">
        <v>18</v>
      </c>
      <c r="G711" s="294">
        <v>21</v>
      </c>
      <c r="H711" s="294">
        <v>22</v>
      </c>
      <c r="I711" s="38">
        <f>SUM(F711:H711)</f>
        <v>61</v>
      </c>
      <c r="J711" s="294">
        <v>19</v>
      </c>
      <c r="K711" s="294">
        <v>17</v>
      </c>
      <c r="L711" s="294">
        <v>17</v>
      </c>
      <c r="M711" s="38">
        <f>SUM(J711:L711)</f>
        <v>53</v>
      </c>
      <c r="N711" s="294">
        <v>14</v>
      </c>
      <c r="O711" s="294">
        <v>11</v>
      </c>
      <c r="P711" s="294">
        <v>9</v>
      </c>
      <c r="Q711" s="38">
        <f>SUM(N711:P711)</f>
        <v>34</v>
      </c>
      <c r="R711" s="38">
        <f>+E711+I711+M711+Q711</f>
        <v>183</v>
      </c>
    </row>
    <row r="712" spans="1:18" ht="16.5" hidden="1" customHeight="1" thickBot="1" x14ac:dyDescent="0.35">
      <c r="A712" s="22"/>
      <c r="B712" s="297"/>
      <c r="C712" s="297"/>
      <c r="D712" s="297"/>
      <c r="E712" s="302"/>
      <c r="F712" s="297"/>
      <c r="G712" s="297"/>
      <c r="H712" s="297"/>
      <c r="I712" s="302"/>
      <c r="J712" s="297"/>
      <c r="K712" s="297"/>
      <c r="L712" s="297"/>
      <c r="M712" s="324"/>
      <c r="N712" s="297"/>
      <c r="O712" s="297"/>
      <c r="P712" s="297"/>
      <c r="Q712" s="324"/>
      <c r="R712" s="14"/>
    </row>
    <row r="713" spans="1:18" ht="15.75" hidden="1" customHeight="1" x14ac:dyDescent="0.3">
      <c r="A713" s="234" t="s">
        <v>120</v>
      </c>
      <c r="B713" s="10">
        <f>SUM(B710:B711)</f>
        <v>390</v>
      </c>
      <c r="C713" s="10">
        <f>SUM(C710:C711)</f>
        <v>661</v>
      </c>
      <c r="D713" s="10">
        <f>SUM(D710:D711)</f>
        <v>984</v>
      </c>
      <c r="E713" s="38">
        <f>SUM(B713:D713)</f>
        <v>2035</v>
      </c>
      <c r="F713" s="10">
        <f>SUM(F710:F711)</f>
        <v>1188</v>
      </c>
      <c r="G713" s="10">
        <f>SUM(G710:G711)</f>
        <v>1371</v>
      </c>
      <c r="H713" s="10">
        <f>SUM(H710:H711)</f>
        <v>1722</v>
      </c>
      <c r="I713" s="39">
        <f>SUM(F713:H713)</f>
        <v>4281</v>
      </c>
      <c r="J713" s="10">
        <f>SUM(J710:J711)</f>
        <v>2319</v>
      </c>
      <c r="K713" s="10">
        <f>SUM(K710:K711)</f>
        <v>1817</v>
      </c>
      <c r="L713" s="10">
        <f>SUM(L710:L711)</f>
        <v>1417</v>
      </c>
      <c r="M713" s="39">
        <f>SUM(J713:L713)</f>
        <v>5553</v>
      </c>
      <c r="N713" s="10">
        <f>SUM(N710:N711)</f>
        <v>614</v>
      </c>
      <c r="O713" s="10">
        <f>SUM(O710:O711)</f>
        <v>111</v>
      </c>
      <c r="P713" s="10">
        <f>SUM(P710:P711)</f>
        <v>509</v>
      </c>
      <c r="Q713" s="39">
        <f>SUM(N713:P713)</f>
        <v>1234</v>
      </c>
      <c r="R713" s="39">
        <f>+E713+I713+M713+Q713</f>
        <v>13103</v>
      </c>
    </row>
    <row r="714" spans="1:18" ht="15.75" hidden="1" customHeight="1" x14ac:dyDescent="0.3">
      <c r="A714" s="234" t="s">
        <v>1897</v>
      </c>
      <c r="B714" s="10">
        <f>(B713/B10)/1.983</f>
        <v>6.3442486945488259</v>
      </c>
      <c r="C714" s="10">
        <f>(C713/C10)/1.983</f>
        <v>11.904761904761905</v>
      </c>
      <c r="D714" s="10">
        <f>(D713/D10)/1.983</f>
        <v>16.007027475477038</v>
      </c>
      <c r="E714" s="38" t="s">
        <v>852</v>
      </c>
      <c r="F714" s="10">
        <f>(F713/F10)/1.983</f>
        <v>19.969742813918305</v>
      </c>
      <c r="G714" s="10">
        <f>(G713/G10)/1.983</f>
        <v>22.302474256990873</v>
      </c>
      <c r="H714" s="10">
        <f>(H713/H10)/1.983</f>
        <v>28.946041351487644</v>
      </c>
      <c r="I714" s="38" t="s">
        <v>852</v>
      </c>
      <c r="J714" s="10">
        <f>(J713/J10)/1.983</f>
        <v>37.723878776048025</v>
      </c>
      <c r="K714" s="10">
        <f>(K713/K10)/1.983</f>
        <v>29.557691994859528</v>
      </c>
      <c r="L714" s="10">
        <f>(L713/L10)/1.983</f>
        <v>23.81912926542276</v>
      </c>
      <c r="M714" s="38" t="s">
        <v>852</v>
      </c>
      <c r="N714" s="10">
        <f>(N713/N10)/1.983</f>
        <v>9.9881248678281516</v>
      </c>
      <c r="O714" s="10">
        <f>(O713/O10)/1.983</f>
        <v>1.8658598083711548</v>
      </c>
      <c r="P714" s="10">
        <f>(P713/P10)/1.983</f>
        <v>8.2800579116034676</v>
      </c>
      <c r="Q714" s="38" t="s">
        <v>852</v>
      </c>
      <c r="R714" s="38" t="s">
        <v>852</v>
      </c>
    </row>
    <row r="715" spans="1:18" ht="15.75" hidden="1" customHeight="1" x14ac:dyDescent="0.3">
      <c r="A715" s="234" t="s">
        <v>1334</v>
      </c>
      <c r="B715" s="10">
        <f>B713+B767</f>
        <v>12504</v>
      </c>
      <c r="C715" s="10">
        <f>C713+C767</f>
        <v>18272</v>
      </c>
      <c r="D715" s="10">
        <f>D713+D767</f>
        <v>20191</v>
      </c>
      <c r="E715" s="38">
        <f>SUM(B715:D715)</f>
        <v>50967</v>
      </c>
      <c r="F715" s="10">
        <f>F713+F767</f>
        <v>21033</v>
      </c>
      <c r="G715" s="10">
        <f>G713+G767</f>
        <v>22395</v>
      </c>
      <c r="H715" s="10">
        <f>H713+H767</f>
        <v>21100</v>
      </c>
      <c r="I715" s="38">
        <f>SUM(F715:H715)</f>
        <v>64528</v>
      </c>
      <c r="J715" s="10">
        <f>J713+J767</f>
        <v>21141</v>
      </c>
      <c r="K715" s="10">
        <f>K713+K767</f>
        <v>23515</v>
      </c>
      <c r="L715" s="10">
        <f>L713+L767</f>
        <v>21480</v>
      </c>
      <c r="M715" s="38">
        <f>SUM(J715:L715)</f>
        <v>66136</v>
      </c>
      <c r="N715" s="10">
        <f>N713+N767</f>
        <v>12388</v>
      </c>
      <c r="O715" s="10">
        <f>O713+O767</f>
        <v>3096</v>
      </c>
      <c r="P715" s="10">
        <f>P713+P767</f>
        <v>2863</v>
      </c>
      <c r="Q715" s="38">
        <f>SUM(N715:P715)</f>
        <v>18347</v>
      </c>
      <c r="R715" s="38">
        <f>+E715+I715+M715+Q715</f>
        <v>199978</v>
      </c>
    </row>
    <row r="716" spans="1:18" ht="16.5" hidden="1" customHeight="1" thickBot="1" x14ac:dyDescent="0.35">
      <c r="A716" s="237" t="s">
        <v>1335</v>
      </c>
      <c r="B716" s="294">
        <f>(B715/B10)/1.983</f>
        <v>203.40637352984237</v>
      </c>
      <c r="C716" s="294">
        <f>(C715/C10)/1.983</f>
        <v>329.08291909804768</v>
      </c>
      <c r="D716" s="294">
        <f>(D715/D10)/1.983</f>
        <v>328.45314202983423</v>
      </c>
      <c r="E716" s="40" t="s">
        <v>852</v>
      </c>
      <c r="F716" s="294">
        <f>(F715/F10)/1.983</f>
        <v>353.55521936459911</v>
      </c>
      <c r="G716" s="294">
        <f>(G715/G10)/1.983</f>
        <v>364.30628080620755</v>
      </c>
      <c r="H716" s="294">
        <f>(H715/H10)/1.983</f>
        <v>354.68145906875105</v>
      </c>
      <c r="I716" s="40" t="s">
        <v>852</v>
      </c>
      <c r="J716" s="294">
        <f>(J715/J10)/1.983</f>
        <v>343.90708115758139</v>
      </c>
      <c r="K716" s="294">
        <f>(K715/K10)/1.983</f>
        <v>382.5256616726042</v>
      </c>
      <c r="L716" s="294">
        <f>(L715/L10)/1.983</f>
        <v>361.06908724155318</v>
      </c>
      <c r="M716" s="40" t="s">
        <v>852</v>
      </c>
      <c r="N716" s="294">
        <f>(N715/N10)/1.983</f>
        <v>201.51936622582272</v>
      </c>
      <c r="O716" s="294">
        <f>(O715/O10)/1.983</f>
        <v>52.042360060514369</v>
      </c>
      <c r="P716" s="294">
        <f>(P715/P10)/1.983</f>
        <v>46.573292339726386</v>
      </c>
      <c r="Q716" s="40" t="s">
        <v>852</v>
      </c>
      <c r="R716" s="40" t="s">
        <v>852</v>
      </c>
    </row>
    <row r="717" spans="1:18" ht="15.75" hidden="1" customHeight="1" x14ac:dyDescent="0.3">
      <c r="A717" s="17"/>
      <c r="B717" s="10"/>
      <c r="C717" s="10"/>
      <c r="D717" s="10"/>
      <c r="E717" s="10"/>
      <c r="F717" s="10"/>
      <c r="G717" s="10"/>
      <c r="H717" s="10"/>
      <c r="I717" s="10"/>
      <c r="J717" s="10"/>
      <c r="K717" s="10"/>
      <c r="L717" s="10"/>
      <c r="M717" s="10"/>
      <c r="N717" s="10"/>
      <c r="O717" s="10"/>
      <c r="P717" s="10"/>
      <c r="Q717" s="10"/>
      <c r="R717" s="17"/>
    </row>
    <row r="718" spans="1:18" ht="16.5" hidden="1" customHeight="1" thickBot="1" x14ac:dyDescent="0.35">
      <c r="A718" s="24"/>
      <c r="B718" s="294"/>
      <c r="C718" s="294"/>
      <c r="D718" s="294"/>
      <c r="E718" s="294"/>
      <c r="F718" s="294"/>
      <c r="G718" s="294"/>
      <c r="H718" s="294"/>
      <c r="I718" s="294"/>
      <c r="J718" s="294"/>
      <c r="K718" s="294"/>
      <c r="L718" s="294"/>
      <c r="M718" s="294"/>
      <c r="N718" s="294"/>
      <c r="O718" s="294"/>
      <c r="P718" s="294"/>
      <c r="Q718" s="294"/>
      <c r="R718" s="24"/>
    </row>
    <row r="719" spans="1:18" ht="15.75" hidden="1" customHeight="1" thickBot="1" x14ac:dyDescent="0.35">
      <c r="A719" s="274" t="s">
        <v>1772</v>
      </c>
      <c r="B719" s="25" t="s">
        <v>2090</v>
      </c>
      <c r="C719" s="26" t="s">
        <v>2091</v>
      </c>
      <c r="D719" s="26" t="s">
        <v>2234</v>
      </c>
      <c r="E719" s="33" t="s">
        <v>1594</v>
      </c>
      <c r="F719" s="26" t="s">
        <v>2235</v>
      </c>
      <c r="G719" s="26" t="s">
        <v>2236</v>
      </c>
      <c r="H719" s="26" t="s">
        <v>2237</v>
      </c>
      <c r="I719" s="33" t="s">
        <v>1595</v>
      </c>
      <c r="J719" s="26" t="s">
        <v>1504</v>
      </c>
      <c r="K719" s="26" t="s">
        <v>1505</v>
      </c>
      <c r="L719" s="26" t="s">
        <v>1506</v>
      </c>
      <c r="M719" s="33" t="s">
        <v>1596</v>
      </c>
      <c r="N719" s="26" t="s">
        <v>1507</v>
      </c>
      <c r="O719" s="26" t="s">
        <v>1508</v>
      </c>
      <c r="P719" s="26" t="s">
        <v>1509</v>
      </c>
      <c r="Q719" s="33" t="s">
        <v>1597</v>
      </c>
      <c r="R719" s="34" t="s">
        <v>1510</v>
      </c>
    </row>
    <row r="720" spans="1:18" ht="16.5" hidden="1" customHeight="1" thickBot="1" x14ac:dyDescent="0.35">
      <c r="A720" s="281"/>
      <c r="B720" s="301"/>
      <c r="C720" s="301"/>
      <c r="D720" s="301"/>
      <c r="E720" s="302"/>
      <c r="F720" s="301"/>
      <c r="G720" s="301"/>
      <c r="H720" s="301"/>
      <c r="I720" s="302"/>
      <c r="J720" s="301"/>
      <c r="K720" s="301"/>
      <c r="L720" s="301"/>
      <c r="M720" s="302"/>
      <c r="N720" s="301"/>
      <c r="O720" s="301"/>
      <c r="P720" s="301"/>
      <c r="Q720" s="302"/>
      <c r="R720" s="75"/>
    </row>
    <row r="721" spans="1:18" ht="15.75" hidden="1" customHeight="1" x14ac:dyDescent="0.3">
      <c r="A721" s="234" t="s">
        <v>2417</v>
      </c>
      <c r="B721" s="10" t="s">
        <v>852</v>
      </c>
      <c r="C721" s="10" t="s">
        <v>852</v>
      </c>
      <c r="D721" s="10" t="s">
        <v>852</v>
      </c>
      <c r="E721" s="38" t="s">
        <v>852</v>
      </c>
      <c r="F721" s="10" t="s">
        <v>852</v>
      </c>
      <c r="G721" s="10" t="s">
        <v>852</v>
      </c>
      <c r="H721" s="10" t="s">
        <v>852</v>
      </c>
      <c r="I721" s="38" t="s">
        <v>852</v>
      </c>
      <c r="J721" s="10" t="s">
        <v>852</v>
      </c>
      <c r="K721" s="10" t="s">
        <v>852</v>
      </c>
      <c r="L721" s="10" t="s">
        <v>852</v>
      </c>
      <c r="M721" s="38" t="s">
        <v>852</v>
      </c>
      <c r="N721" s="10" t="s">
        <v>852</v>
      </c>
      <c r="O721" s="10" t="s">
        <v>852</v>
      </c>
      <c r="P721" s="10" t="s">
        <v>852</v>
      </c>
      <c r="Q721" s="38" t="s">
        <v>852</v>
      </c>
      <c r="R721" s="38" t="s">
        <v>852</v>
      </c>
    </row>
    <row r="722" spans="1:18" ht="15.75" hidden="1" customHeight="1" x14ac:dyDescent="0.3">
      <c r="A722" s="234" t="s">
        <v>2160</v>
      </c>
      <c r="B722" s="10"/>
      <c r="C722" s="10"/>
      <c r="D722" s="10"/>
      <c r="E722" s="38" t="s">
        <v>852</v>
      </c>
      <c r="F722" s="10"/>
      <c r="G722" s="10"/>
      <c r="H722" s="10"/>
      <c r="I722" s="38" t="s">
        <v>852</v>
      </c>
      <c r="J722" s="10"/>
      <c r="K722" s="10"/>
      <c r="L722" s="10"/>
      <c r="M722" s="38" t="s">
        <v>852</v>
      </c>
      <c r="N722" s="10"/>
      <c r="O722" s="10"/>
      <c r="P722" s="10"/>
      <c r="Q722" s="38" t="s">
        <v>852</v>
      </c>
      <c r="R722" s="38" t="s">
        <v>852</v>
      </c>
    </row>
    <row r="723" spans="1:18" ht="15.75" hidden="1" customHeight="1" x14ac:dyDescent="0.3">
      <c r="A723" s="310" t="s">
        <v>2171</v>
      </c>
      <c r="B723" s="10">
        <v>3325</v>
      </c>
      <c r="C723" s="10">
        <v>6950</v>
      </c>
      <c r="D723" s="10">
        <v>6950</v>
      </c>
      <c r="E723" s="38">
        <f t="shared" ref="E723:E724" si="266">SUM(B723:D723)</f>
        <v>17225</v>
      </c>
      <c r="F723" s="10">
        <v>6950</v>
      </c>
      <c r="G723" s="10">
        <v>6950</v>
      </c>
      <c r="H723" s="10">
        <v>6000</v>
      </c>
      <c r="I723" s="38">
        <f t="shared" ref="I723:I724" si="267">SUM(F723:H723)</f>
        <v>19900</v>
      </c>
      <c r="J723" s="10">
        <v>6000</v>
      </c>
      <c r="K723" s="10">
        <v>5950</v>
      </c>
      <c r="L723" s="10">
        <v>5950</v>
      </c>
      <c r="M723" s="38">
        <f t="shared" ref="M723:M724" si="268">SUM(J723:L723)</f>
        <v>17900</v>
      </c>
      <c r="N723" s="10">
        <v>5050</v>
      </c>
      <c r="O723" s="10"/>
      <c r="P723" s="10">
        <v>255</v>
      </c>
      <c r="Q723" s="38">
        <f t="shared" ref="Q723:Q728" si="269">SUM(N723:P723)</f>
        <v>5305</v>
      </c>
      <c r="R723" s="38">
        <f>+E723+I723+M723+Q723</f>
        <v>60330</v>
      </c>
    </row>
    <row r="724" spans="1:18" ht="15.75" hidden="1" customHeight="1" x14ac:dyDescent="0.3">
      <c r="A724" s="310" t="s">
        <v>2146</v>
      </c>
      <c r="B724" s="10">
        <v>2432</v>
      </c>
      <c r="C724" s="10">
        <v>2789</v>
      </c>
      <c r="D724" s="10">
        <v>3789</v>
      </c>
      <c r="E724" s="38">
        <f t="shared" si="266"/>
        <v>9010</v>
      </c>
      <c r="F724" s="10">
        <v>4385</v>
      </c>
      <c r="G724" s="10">
        <v>3646</v>
      </c>
      <c r="H724" s="10">
        <v>2000</v>
      </c>
      <c r="I724" s="38">
        <f t="shared" si="267"/>
        <v>10031</v>
      </c>
      <c r="J724" s="10">
        <v>1000</v>
      </c>
      <c r="K724" s="10">
        <v>1000</v>
      </c>
      <c r="L724" s="10">
        <v>1000</v>
      </c>
      <c r="M724" s="38">
        <f t="shared" si="268"/>
        <v>3000</v>
      </c>
      <c r="N724" s="10">
        <v>2000</v>
      </c>
      <c r="O724" s="10"/>
      <c r="P724" s="10"/>
      <c r="Q724" s="38">
        <f t="shared" si="269"/>
        <v>2000</v>
      </c>
      <c r="R724" s="38">
        <f t="shared" ref="R724:R728" si="270">+E724+I724+M724+Q724</f>
        <v>24041</v>
      </c>
    </row>
    <row r="725" spans="1:18" ht="15.75" hidden="1" customHeight="1" x14ac:dyDescent="0.3">
      <c r="A725" s="539" t="s">
        <v>3064</v>
      </c>
      <c r="B725" s="10"/>
      <c r="C725" s="10"/>
      <c r="D725" s="10"/>
      <c r="E725" s="38">
        <f t="shared" ref="E725:E728" si="271">SUM(B725:D725)</f>
        <v>0</v>
      </c>
      <c r="F725" s="10"/>
      <c r="G725" s="10"/>
      <c r="H725" s="10"/>
      <c r="I725" s="38">
        <f t="shared" ref="I725:I728" si="272">SUM(F725:H725)</f>
        <v>0</v>
      </c>
      <c r="J725" s="10"/>
      <c r="K725" s="10"/>
      <c r="L725" s="10"/>
      <c r="M725" s="38">
        <f t="shared" ref="M725:M728" si="273">SUM(J725:L725)</f>
        <v>0</v>
      </c>
      <c r="N725" s="10"/>
      <c r="O725" s="10"/>
      <c r="P725" s="10"/>
      <c r="Q725" s="38">
        <f t="shared" si="269"/>
        <v>0</v>
      </c>
      <c r="R725" s="38">
        <f t="shared" si="270"/>
        <v>0</v>
      </c>
    </row>
    <row r="726" spans="1:18" ht="15.75" hidden="1" customHeight="1" x14ac:dyDescent="0.3">
      <c r="A726" s="539" t="s">
        <v>2992</v>
      </c>
      <c r="B726" s="10">
        <v>264</v>
      </c>
      <c r="C726" s="10">
        <v>3500</v>
      </c>
      <c r="D726" s="10">
        <v>2800</v>
      </c>
      <c r="E726" s="38">
        <f t="shared" si="271"/>
        <v>6564</v>
      </c>
      <c r="F726" s="356">
        <v>2200</v>
      </c>
      <c r="G726" s="356">
        <v>3000</v>
      </c>
      <c r="H726" s="10">
        <v>4500</v>
      </c>
      <c r="I726" s="38">
        <f t="shared" si="272"/>
        <v>9700</v>
      </c>
      <c r="J726" s="10">
        <v>5600</v>
      </c>
      <c r="K726" s="10">
        <v>1948</v>
      </c>
      <c r="L726" s="10"/>
      <c r="M726" s="38">
        <f t="shared" si="273"/>
        <v>7548</v>
      </c>
      <c r="N726" s="10"/>
      <c r="O726" s="10"/>
      <c r="P726" s="10"/>
      <c r="Q726" s="38">
        <f t="shared" si="269"/>
        <v>0</v>
      </c>
      <c r="R726" s="38">
        <f t="shared" si="270"/>
        <v>23812</v>
      </c>
    </row>
    <row r="727" spans="1:18" ht="15.75" hidden="1" customHeight="1" x14ac:dyDescent="0.3">
      <c r="A727" s="539" t="s">
        <v>2596</v>
      </c>
      <c r="B727" s="10">
        <v>250</v>
      </c>
      <c r="C727" s="10"/>
      <c r="D727" s="10">
        <v>300</v>
      </c>
      <c r="E727" s="38">
        <f t="shared" si="271"/>
        <v>550</v>
      </c>
      <c r="F727" s="10">
        <v>300</v>
      </c>
      <c r="G727" s="10">
        <v>300</v>
      </c>
      <c r="H727" s="10">
        <v>300</v>
      </c>
      <c r="I727" s="38">
        <f t="shared" si="272"/>
        <v>900</v>
      </c>
      <c r="J727" s="10">
        <v>300</v>
      </c>
      <c r="K727" s="10">
        <v>300</v>
      </c>
      <c r="L727" s="10">
        <v>300</v>
      </c>
      <c r="M727" s="38">
        <f t="shared" si="273"/>
        <v>900</v>
      </c>
      <c r="N727" s="10">
        <v>300</v>
      </c>
      <c r="O727" s="10"/>
      <c r="P727" s="10">
        <v>350</v>
      </c>
      <c r="Q727" s="38">
        <f t="shared" si="269"/>
        <v>650</v>
      </c>
      <c r="R727" s="38">
        <f t="shared" si="270"/>
        <v>3000</v>
      </c>
    </row>
    <row r="728" spans="1:18" ht="15.75" hidden="1" customHeight="1" x14ac:dyDescent="0.3">
      <c r="A728" s="539" t="s">
        <v>3015</v>
      </c>
      <c r="B728" s="10">
        <v>120</v>
      </c>
      <c r="C728" s="10">
        <v>120</v>
      </c>
      <c r="D728" s="10">
        <v>120</v>
      </c>
      <c r="E728" s="38">
        <f t="shared" si="271"/>
        <v>360</v>
      </c>
      <c r="F728" s="10">
        <v>120</v>
      </c>
      <c r="G728" s="10">
        <v>130</v>
      </c>
      <c r="H728" s="10">
        <v>130</v>
      </c>
      <c r="I728" s="38">
        <f t="shared" si="272"/>
        <v>380</v>
      </c>
      <c r="J728" s="10">
        <v>130</v>
      </c>
      <c r="K728" s="10">
        <v>130</v>
      </c>
      <c r="L728" s="10">
        <v>130</v>
      </c>
      <c r="M728" s="38">
        <f t="shared" si="273"/>
        <v>390</v>
      </c>
      <c r="N728" s="10">
        <v>130</v>
      </c>
      <c r="O728" s="10"/>
      <c r="P728" s="10">
        <v>60</v>
      </c>
      <c r="Q728" s="38">
        <f t="shared" si="269"/>
        <v>190</v>
      </c>
      <c r="R728" s="38">
        <f t="shared" si="270"/>
        <v>1320</v>
      </c>
    </row>
    <row r="729" spans="1:18" ht="15.75" hidden="1" customHeight="1" x14ac:dyDescent="0.3">
      <c r="A729" s="234" t="s">
        <v>2161</v>
      </c>
      <c r="B729" s="10"/>
      <c r="C729" s="10"/>
      <c r="D729" s="10"/>
      <c r="E729" s="38" t="s">
        <v>852</v>
      </c>
      <c r="F729" s="10"/>
      <c r="G729" s="10"/>
      <c r="H729" s="10"/>
      <c r="I729" s="38" t="s">
        <v>852</v>
      </c>
      <c r="J729" s="10"/>
      <c r="K729" s="10"/>
      <c r="L729" s="10"/>
      <c r="M729" s="38" t="s">
        <v>852</v>
      </c>
      <c r="N729" s="10"/>
      <c r="O729" s="10"/>
      <c r="P729" s="10"/>
      <c r="Q729" s="38" t="s">
        <v>852</v>
      </c>
      <c r="R729" s="38" t="s">
        <v>852</v>
      </c>
    </row>
    <row r="730" spans="1:18" ht="15.75" hidden="1" customHeight="1" x14ac:dyDescent="0.3">
      <c r="A730" s="234" t="s">
        <v>3245</v>
      </c>
      <c r="B730" s="10"/>
      <c r="C730" s="10"/>
      <c r="D730" s="10"/>
      <c r="E730" s="38" t="s">
        <v>852</v>
      </c>
      <c r="F730" s="10"/>
      <c r="G730" s="10"/>
      <c r="H730" s="10"/>
      <c r="I730" s="38" t="s">
        <v>852</v>
      </c>
      <c r="J730" s="10"/>
      <c r="K730" s="10"/>
      <c r="L730" s="10"/>
      <c r="M730" s="38" t="s">
        <v>852</v>
      </c>
      <c r="N730" s="10"/>
      <c r="O730" s="10"/>
      <c r="P730" s="10"/>
      <c r="Q730" s="38" t="s">
        <v>852</v>
      </c>
      <c r="R730" s="38" t="s">
        <v>852</v>
      </c>
    </row>
    <row r="731" spans="1:18" ht="15.75" hidden="1" customHeight="1" thickBot="1" x14ac:dyDescent="0.35">
      <c r="A731" s="234" t="s">
        <v>2164</v>
      </c>
      <c r="B731" s="10"/>
      <c r="C731" s="10"/>
      <c r="D731" s="10"/>
      <c r="E731" s="38" t="s">
        <v>852</v>
      </c>
      <c r="F731" s="10"/>
      <c r="G731" s="10"/>
      <c r="H731" s="10"/>
      <c r="I731" s="38" t="s">
        <v>852</v>
      </c>
      <c r="J731" s="10"/>
      <c r="K731" s="10"/>
      <c r="L731" s="10"/>
      <c r="M731" s="38" t="s">
        <v>852</v>
      </c>
      <c r="N731" s="10"/>
      <c r="O731" s="10"/>
      <c r="P731" s="10"/>
      <c r="Q731" s="38" t="s">
        <v>852</v>
      </c>
      <c r="R731" s="38" t="s">
        <v>852</v>
      </c>
    </row>
    <row r="732" spans="1:18" ht="16.5" hidden="1" customHeight="1" thickBot="1" x14ac:dyDescent="0.35">
      <c r="A732" s="322" t="s">
        <v>1218</v>
      </c>
      <c r="B732" s="45">
        <f>SUM(B721:B731)</f>
        <v>6391</v>
      </c>
      <c r="C732" s="46">
        <f>SUM(C721:C731)</f>
        <v>13359</v>
      </c>
      <c r="D732" s="46">
        <f>SUM(D721:D731)</f>
        <v>13959</v>
      </c>
      <c r="E732" s="37">
        <f>SUM(B732:D732)</f>
        <v>33709</v>
      </c>
      <c r="F732" s="46">
        <f>SUM(F721:F731)</f>
        <v>13955</v>
      </c>
      <c r="G732" s="46">
        <f>SUM(G721:G731)</f>
        <v>14026</v>
      </c>
      <c r="H732" s="46">
        <f>SUM(H721:H731)</f>
        <v>12930</v>
      </c>
      <c r="I732" s="37">
        <f>SUM(F732:H732)</f>
        <v>40911</v>
      </c>
      <c r="J732" s="46">
        <f>SUM(J721:J731)</f>
        <v>13030</v>
      </c>
      <c r="K732" s="46">
        <f>SUM(K721:K731)</f>
        <v>9328</v>
      </c>
      <c r="L732" s="46">
        <f>SUM(L721:L731)</f>
        <v>7380</v>
      </c>
      <c r="M732" s="37">
        <f>SUM(J732:L732)</f>
        <v>29738</v>
      </c>
      <c r="N732" s="46">
        <f>SUM(N721:N731)</f>
        <v>7480</v>
      </c>
      <c r="O732" s="46">
        <f>SUM(O721:O731)</f>
        <v>0</v>
      </c>
      <c r="P732" s="46">
        <f>SUM(P721:P731)</f>
        <v>665</v>
      </c>
      <c r="Q732" s="37">
        <f>SUM(N732:P732)</f>
        <v>8145</v>
      </c>
      <c r="R732" s="37">
        <f>+E732+I732+M732+Q732</f>
        <v>112503</v>
      </c>
    </row>
    <row r="733" spans="1:18" ht="15.75" hidden="1" customHeight="1" x14ac:dyDescent="0.3">
      <c r="A733" s="234" t="s">
        <v>1172</v>
      </c>
      <c r="B733" s="10"/>
      <c r="C733" s="10"/>
      <c r="D733" s="10"/>
      <c r="E733" s="38" t="s">
        <v>852</v>
      </c>
      <c r="F733" s="10"/>
      <c r="G733" s="10"/>
      <c r="H733" s="10"/>
      <c r="I733" s="38" t="s">
        <v>852</v>
      </c>
      <c r="J733" s="10"/>
      <c r="K733" s="10"/>
      <c r="L733" s="10"/>
      <c r="M733" s="38" t="s">
        <v>852</v>
      </c>
      <c r="N733" s="10"/>
      <c r="O733" s="10"/>
      <c r="P733" s="10"/>
      <c r="Q733" s="38" t="s">
        <v>852</v>
      </c>
      <c r="R733" s="38" t="s">
        <v>852</v>
      </c>
    </row>
    <row r="734" spans="1:18" ht="15.75" hidden="1" customHeight="1" x14ac:dyDescent="0.3">
      <c r="A734" s="234" t="s">
        <v>2409</v>
      </c>
      <c r="B734" s="10"/>
      <c r="C734" s="10"/>
      <c r="D734" s="10"/>
      <c r="E734" s="38" t="s">
        <v>852</v>
      </c>
      <c r="F734" s="10"/>
      <c r="G734" s="10"/>
      <c r="H734" s="10"/>
      <c r="I734" s="38" t="s">
        <v>852</v>
      </c>
      <c r="J734" s="10"/>
      <c r="K734" s="10"/>
      <c r="L734" s="10"/>
      <c r="M734" s="38" t="s">
        <v>852</v>
      </c>
      <c r="N734" s="10"/>
      <c r="O734" s="10"/>
      <c r="P734" s="10"/>
      <c r="Q734" s="38" t="s">
        <v>852</v>
      </c>
      <c r="R734" s="38" t="s">
        <v>852</v>
      </c>
    </row>
    <row r="735" spans="1:18" ht="15.75" hidden="1" customHeight="1" thickBot="1" x14ac:dyDescent="0.35">
      <c r="A735" s="234" t="s">
        <v>2165</v>
      </c>
      <c r="B735" s="10"/>
      <c r="C735" s="10"/>
      <c r="D735" s="10"/>
      <c r="E735" s="38" t="s">
        <v>852</v>
      </c>
      <c r="F735" s="10"/>
      <c r="G735" s="10"/>
      <c r="H735" s="10"/>
      <c r="I735" s="38" t="s">
        <v>852</v>
      </c>
      <c r="J735" s="10"/>
      <c r="K735" s="10"/>
      <c r="L735" s="10"/>
      <c r="M735" s="38" t="s">
        <v>852</v>
      </c>
      <c r="N735" s="10"/>
      <c r="O735" s="10"/>
      <c r="P735" s="10"/>
      <c r="Q735" s="38" t="s">
        <v>852</v>
      </c>
      <c r="R735" s="38" t="s">
        <v>852</v>
      </c>
    </row>
    <row r="736" spans="1:18" ht="16.5" hidden="1" customHeight="1" thickBot="1" x14ac:dyDescent="0.35">
      <c r="A736" s="43" t="s">
        <v>1219</v>
      </c>
      <c r="B736" s="45">
        <f>SUM(B733:B735)</f>
        <v>0</v>
      </c>
      <c r="C736" s="46">
        <f>SUM(C733:C735)</f>
        <v>0</v>
      </c>
      <c r="D736" s="46">
        <f>SUM(D733:D735)</f>
        <v>0</v>
      </c>
      <c r="E736" s="37">
        <f>SUM(B736:D736)</f>
        <v>0</v>
      </c>
      <c r="F736" s="46">
        <f>SUM(F733:F735)</f>
        <v>0</v>
      </c>
      <c r="G736" s="46">
        <f>SUM(G733:G735)</f>
        <v>0</v>
      </c>
      <c r="H736" s="46">
        <f>SUM(H733:H735)</f>
        <v>0</v>
      </c>
      <c r="I736" s="37">
        <f>SUM(F736:H736)</f>
        <v>0</v>
      </c>
      <c r="J736" s="46">
        <f>SUM(J733:J735)</f>
        <v>0</v>
      </c>
      <c r="K736" s="46">
        <f>SUM(K733:K735)</f>
        <v>0</v>
      </c>
      <c r="L736" s="46">
        <f>SUM(L733:L735)</f>
        <v>0</v>
      </c>
      <c r="M736" s="37">
        <f>SUM(J736:L736)</f>
        <v>0</v>
      </c>
      <c r="N736" s="46">
        <f>SUM(N733:N735)</f>
        <v>0</v>
      </c>
      <c r="O736" s="46">
        <f>SUM(O733:O735)</f>
        <v>0</v>
      </c>
      <c r="P736" s="46">
        <f>SUM(P733:P735)</f>
        <v>0</v>
      </c>
      <c r="Q736" s="37">
        <f>SUM(N736:P736)</f>
        <v>0</v>
      </c>
      <c r="R736" s="37">
        <f>+E736+I736+M736+Q736</f>
        <v>0</v>
      </c>
    </row>
    <row r="737" spans="1:20" ht="15.75" hidden="1" customHeight="1" x14ac:dyDescent="0.3">
      <c r="A737" s="234" t="s">
        <v>2166</v>
      </c>
      <c r="B737" s="10"/>
      <c r="C737" s="10"/>
      <c r="D737" s="10"/>
      <c r="E737" s="38" t="s">
        <v>852</v>
      </c>
      <c r="F737" s="10"/>
      <c r="G737" s="10"/>
      <c r="H737" s="10"/>
      <c r="I737" s="38" t="s">
        <v>852</v>
      </c>
      <c r="J737" s="10"/>
      <c r="K737" s="10"/>
      <c r="L737" s="10"/>
      <c r="M737" s="38" t="s">
        <v>852</v>
      </c>
      <c r="N737" s="10"/>
      <c r="O737" s="10"/>
      <c r="P737" s="10"/>
      <c r="Q737" s="38" t="s">
        <v>852</v>
      </c>
      <c r="R737" s="38" t="s">
        <v>852</v>
      </c>
    </row>
    <row r="738" spans="1:20" ht="15.75" hidden="1" customHeight="1" x14ac:dyDescent="0.3">
      <c r="A738" s="234" t="s">
        <v>1245</v>
      </c>
      <c r="B738" s="10"/>
      <c r="C738" s="10"/>
      <c r="D738" s="10"/>
      <c r="E738" s="38" t="s">
        <v>852</v>
      </c>
      <c r="F738" s="10"/>
      <c r="G738" s="10"/>
      <c r="H738" s="10"/>
      <c r="I738" s="38" t="s">
        <v>852</v>
      </c>
      <c r="J738" s="10"/>
      <c r="K738" s="10"/>
      <c r="L738" s="10"/>
      <c r="M738" s="38" t="s">
        <v>852</v>
      </c>
      <c r="N738" s="10"/>
      <c r="O738" s="10"/>
      <c r="P738" s="10"/>
      <c r="Q738" s="38" t="s">
        <v>852</v>
      </c>
      <c r="R738" s="38" t="s">
        <v>852</v>
      </c>
    </row>
    <row r="739" spans="1:20" ht="15.75" hidden="1" customHeight="1" x14ac:dyDescent="0.3">
      <c r="A739" s="310" t="s">
        <v>641</v>
      </c>
      <c r="B739" s="10">
        <v>500</v>
      </c>
      <c r="C739" s="10">
        <v>480</v>
      </c>
      <c r="D739" s="10">
        <v>1350</v>
      </c>
      <c r="E739" s="38">
        <f>SUM(B739:D739)</f>
        <v>2330</v>
      </c>
      <c r="F739" s="10">
        <v>1500</v>
      </c>
      <c r="G739" s="10">
        <v>1950</v>
      </c>
      <c r="H739" s="10">
        <v>1600</v>
      </c>
      <c r="I739" s="38">
        <f>SUM(F739:H739)</f>
        <v>5050</v>
      </c>
      <c r="J739" s="10">
        <v>2000</v>
      </c>
      <c r="K739" s="10">
        <f>1420+80</f>
        <v>1500</v>
      </c>
      <c r="L739" s="10">
        <v>1220</v>
      </c>
      <c r="M739" s="38">
        <f>SUM(J739:L739)</f>
        <v>4720</v>
      </c>
      <c r="N739" s="10">
        <v>400</v>
      </c>
      <c r="O739" s="10">
        <v>150</v>
      </c>
      <c r="P739" s="10">
        <v>150</v>
      </c>
      <c r="Q739" s="38">
        <f>SUM(N739:P739)</f>
        <v>700</v>
      </c>
      <c r="R739" s="38">
        <f>+E739+I739+M739+Q739</f>
        <v>12800</v>
      </c>
      <c r="T739" t="s">
        <v>2804</v>
      </c>
    </row>
    <row r="740" spans="1:20" ht="15.75" hidden="1" customHeight="1" x14ac:dyDescent="0.3">
      <c r="A740" s="234" t="s">
        <v>1711</v>
      </c>
      <c r="B740" s="10"/>
      <c r="C740" s="10"/>
      <c r="D740" s="10"/>
      <c r="E740" s="38" t="s">
        <v>852</v>
      </c>
      <c r="F740" s="10"/>
      <c r="G740" s="10"/>
      <c r="H740" s="10"/>
      <c r="I740" s="38" t="s">
        <v>852</v>
      </c>
      <c r="J740" s="10"/>
      <c r="K740" s="10"/>
      <c r="L740" s="10"/>
      <c r="M740" s="38" t="s">
        <v>852</v>
      </c>
      <c r="N740" s="10"/>
      <c r="O740" s="10"/>
      <c r="P740" s="10"/>
      <c r="Q740" s="38" t="s">
        <v>852</v>
      </c>
      <c r="R740" s="38" t="s">
        <v>852</v>
      </c>
    </row>
    <row r="741" spans="1:20" ht="15.75" hidden="1" customHeight="1" x14ac:dyDescent="0.3">
      <c r="A741" s="539" t="s">
        <v>2699</v>
      </c>
      <c r="B741" s="10"/>
      <c r="C741" s="10"/>
      <c r="D741" s="10"/>
      <c r="E741" s="38">
        <f t="shared" ref="E741:E750" si="274">SUM(B741:D741)</f>
        <v>0</v>
      </c>
      <c r="F741" s="10"/>
      <c r="G741" s="10"/>
      <c r="H741" s="10"/>
      <c r="I741" s="38">
        <f t="shared" ref="I741:I750" si="275">SUM(F741:H741)</f>
        <v>0</v>
      </c>
      <c r="J741" s="10"/>
      <c r="K741" s="10"/>
      <c r="L741" s="10"/>
      <c r="M741" s="38">
        <f t="shared" ref="M741:M750" si="276">SUM(J741:L741)</f>
        <v>0</v>
      </c>
      <c r="N741" s="10"/>
      <c r="O741" s="10"/>
      <c r="P741" s="10"/>
      <c r="Q741" s="38">
        <f t="shared" ref="Q741:Q750" si="277">SUM(N741:P741)</f>
        <v>0</v>
      </c>
      <c r="R741" s="38">
        <f t="shared" ref="R741:R750" si="278">+E741+I741+M741+Q741</f>
        <v>0</v>
      </c>
      <c r="T741" t="s">
        <v>2801</v>
      </c>
    </row>
    <row r="742" spans="1:20" ht="15.75" hidden="1" customHeight="1" x14ac:dyDescent="0.3">
      <c r="A742" s="539" t="s">
        <v>2790</v>
      </c>
      <c r="B742" s="10"/>
      <c r="C742" s="10"/>
      <c r="D742" s="10"/>
      <c r="E742" s="38">
        <f t="shared" si="274"/>
        <v>0</v>
      </c>
      <c r="F742" s="10"/>
      <c r="G742" s="10"/>
      <c r="H742" s="10"/>
      <c r="I742" s="38">
        <f>SUM(F742:H742)</f>
        <v>0</v>
      </c>
      <c r="J742" s="10"/>
      <c r="K742" s="10"/>
      <c r="L742" s="10"/>
      <c r="M742" s="38">
        <f t="shared" si="276"/>
        <v>0</v>
      </c>
      <c r="N742" s="10"/>
      <c r="O742" s="10"/>
      <c r="P742" s="10"/>
      <c r="Q742" s="38">
        <f t="shared" si="277"/>
        <v>0</v>
      </c>
      <c r="R742" s="38">
        <f t="shared" si="278"/>
        <v>0</v>
      </c>
      <c r="T742" t="s">
        <v>2801</v>
      </c>
    </row>
    <row r="743" spans="1:20" ht="15.75" hidden="1" customHeight="1" x14ac:dyDescent="0.3">
      <c r="A743" s="539" t="s">
        <v>2701</v>
      </c>
      <c r="B743" s="10">
        <v>125</v>
      </c>
      <c r="C743" s="10">
        <v>125</v>
      </c>
      <c r="D743" s="10">
        <v>125</v>
      </c>
      <c r="E743" s="38">
        <f t="shared" si="274"/>
        <v>375</v>
      </c>
      <c r="F743" s="10">
        <v>125</v>
      </c>
      <c r="G743" s="10">
        <v>125</v>
      </c>
      <c r="H743" s="10">
        <v>125</v>
      </c>
      <c r="I743" s="38">
        <f t="shared" si="275"/>
        <v>375</v>
      </c>
      <c r="J743" s="10">
        <v>125</v>
      </c>
      <c r="K743" s="10">
        <v>125</v>
      </c>
      <c r="L743" s="10">
        <v>125</v>
      </c>
      <c r="M743" s="38">
        <f t="shared" si="276"/>
        <v>375</v>
      </c>
      <c r="N743" s="10">
        <v>125</v>
      </c>
      <c r="O743" s="10">
        <v>125</v>
      </c>
      <c r="P743" s="10">
        <v>125</v>
      </c>
      <c r="Q743" s="38">
        <f t="shared" si="277"/>
        <v>375</v>
      </c>
      <c r="R743" s="38">
        <f t="shared" si="278"/>
        <v>1500</v>
      </c>
      <c r="T743" t="s">
        <v>2801</v>
      </c>
    </row>
    <row r="744" spans="1:20" ht="15.75" hidden="1" customHeight="1" x14ac:dyDescent="0.3">
      <c r="A744" s="539" t="s">
        <v>3327</v>
      </c>
      <c r="B744" s="10">
        <v>1136</v>
      </c>
      <c r="C744" s="10"/>
      <c r="D744" s="10"/>
      <c r="E744" s="38">
        <f t="shared" si="274"/>
        <v>1136</v>
      </c>
      <c r="F744" s="10"/>
      <c r="G744" s="10"/>
      <c r="H744" s="10"/>
      <c r="I744" s="38">
        <f t="shared" si="275"/>
        <v>0</v>
      </c>
      <c r="J744" s="10"/>
      <c r="K744" s="10"/>
      <c r="L744" s="10"/>
      <c r="M744" s="38">
        <f t="shared" si="276"/>
        <v>0</v>
      </c>
      <c r="N744" s="10"/>
      <c r="O744" s="10"/>
      <c r="P744" s="10"/>
      <c r="Q744" s="38">
        <f t="shared" ref="Q744" si="279">SUM(N744:P744)</f>
        <v>0</v>
      </c>
      <c r="R744" s="38">
        <f t="shared" si="278"/>
        <v>1136</v>
      </c>
    </row>
    <row r="745" spans="1:20" ht="15.75" hidden="1" customHeight="1" x14ac:dyDescent="0.3">
      <c r="A745" s="539" t="s">
        <v>3208</v>
      </c>
      <c r="B745" s="10"/>
      <c r="C745" s="10"/>
      <c r="D745" s="10"/>
      <c r="E745" s="38">
        <f t="shared" si="274"/>
        <v>0</v>
      </c>
      <c r="F745" s="10"/>
      <c r="G745" s="10"/>
      <c r="H745" s="10"/>
      <c r="I745" s="38">
        <f t="shared" si="275"/>
        <v>0</v>
      </c>
      <c r="J745" s="10"/>
      <c r="K745" s="10">
        <v>3752</v>
      </c>
      <c r="L745" s="10"/>
      <c r="M745" s="38">
        <f t="shared" si="276"/>
        <v>3752</v>
      </c>
      <c r="N745" s="10"/>
      <c r="O745" s="10"/>
      <c r="P745" s="10"/>
      <c r="Q745" s="38">
        <f t="shared" si="277"/>
        <v>0</v>
      </c>
      <c r="R745" s="38">
        <f t="shared" si="278"/>
        <v>3752</v>
      </c>
    </row>
    <row r="746" spans="1:20" ht="15.75" hidden="1" customHeight="1" x14ac:dyDescent="0.3">
      <c r="A746" s="539" t="s">
        <v>3209</v>
      </c>
      <c r="B746" s="10"/>
      <c r="C746" s="10"/>
      <c r="D746" s="10"/>
      <c r="E746" s="38">
        <f t="shared" si="274"/>
        <v>0</v>
      </c>
      <c r="F746" s="10"/>
      <c r="G746" s="10"/>
      <c r="H746" s="10"/>
      <c r="I746" s="38">
        <f t="shared" si="275"/>
        <v>0</v>
      </c>
      <c r="J746" s="10"/>
      <c r="K746" s="10"/>
      <c r="L746" s="10">
        <v>5700</v>
      </c>
      <c r="M746" s="38">
        <f t="shared" si="276"/>
        <v>5700</v>
      </c>
      <c r="N746" s="10"/>
      <c r="O746" s="10"/>
      <c r="P746" s="10"/>
      <c r="Q746" s="38">
        <f t="shared" si="277"/>
        <v>0</v>
      </c>
      <c r="R746" s="38">
        <f t="shared" si="278"/>
        <v>5700</v>
      </c>
    </row>
    <row r="747" spans="1:20" ht="15.75" hidden="1" customHeight="1" x14ac:dyDescent="0.3">
      <c r="A747" s="539" t="s">
        <v>3210</v>
      </c>
      <c r="B747" s="10"/>
      <c r="C747" s="10"/>
      <c r="D747" s="10"/>
      <c r="E747" s="38">
        <f t="shared" si="274"/>
        <v>0</v>
      </c>
      <c r="F747" s="10"/>
      <c r="G747" s="10"/>
      <c r="H747" s="10"/>
      <c r="I747" s="38">
        <f t="shared" si="275"/>
        <v>0</v>
      </c>
      <c r="J747" s="10"/>
      <c r="K747" s="10"/>
      <c r="L747" s="10"/>
      <c r="M747" s="38">
        <f t="shared" si="276"/>
        <v>0</v>
      </c>
      <c r="N747" s="10"/>
      <c r="O747" s="10"/>
      <c r="P747" s="10"/>
      <c r="Q747" s="38">
        <f t="shared" si="277"/>
        <v>0</v>
      </c>
      <c r="R747" s="38">
        <f t="shared" si="278"/>
        <v>0</v>
      </c>
    </row>
    <row r="748" spans="1:20" ht="15.75" hidden="1" customHeight="1" x14ac:dyDescent="0.3">
      <c r="A748" s="539" t="s">
        <v>3316</v>
      </c>
      <c r="B748" s="10"/>
      <c r="C748" s="10"/>
      <c r="D748" s="10"/>
      <c r="E748" s="38">
        <f t="shared" si="274"/>
        <v>0</v>
      </c>
      <c r="F748" s="10"/>
      <c r="G748" s="10"/>
      <c r="H748" s="10"/>
      <c r="I748" s="38">
        <f t="shared" si="275"/>
        <v>0</v>
      </c>
      <c r="J748" s="10"/>
      <c r="K748" s="10"/>
      <c r="L748" s="10"/>
      <c r="M748" s="38">
        <f t="shared" si="276"/>
        <v>0</v>
      </c>
      <c r="N748" s="10"/>
      <c r="O748" s="10"/>
      <c r="P748" s="10"/>
      <c r="Q748" s="38">
        <f t="shared" ref="Q748" si="280">SUM(N748:P748)</f>
        <v>0</v>
      </c>
      <c r="R748" s="38">
        <f t="shared" si="278"/>
        <v>0</v>
      </c>
    </row>
    <row r="749" spans="1:20" ht="15.75" hidden="1" customHeight="1" thickBot="1" x14ac:dyDescent="0.35">
      <c r="A749" s="310" t="s">
        <v>40</v>
      </c>
      <c r="B749" s="10"/>
      <c r="C749" s="10"/>
      <c r="D749" s="10"/>
      <c r="E749" s="38">
        <f t="shared" si="274"/>
        <v>0</v>
      </c>
      <c r="F749" s="10"/>
      <c r="G749" s="10"/>
      <c r="H749" s="10"/>
      <c r="I749" s="38">
        <f t="shared" si="275"/>
        <v>0</v>
      </c>
      <c r="J749" s="10"/>
      <c r="K749" s="10"/>
      <c r="L749" s="10"/>
      <c r="M749" s="38">
        <f t="shared" si="276"/>
        <v>0</v>
      </c>
      <c r="N749" s="10"/>
      <c r="O749" s="10"/>
      <c r="P749" s="10"/>
      <c r="Q749" s="38">
        <f t="shared" si="277"/>
        <v>0</v>
      </c>
      <c r="R749" s="38">
        <f t="shared" si="278"/>
        <v>0</v>
      </c>
      <c r="T749" t="s">
        <v>2801</v>
      </c>
    </row>
    <row r="750" spans="1:20" ht="16.5" hidden="1" customHeight="1" thickBot="1" x14ac:dyDescent="0.35">
      <c r="A750" s="43" t="s">
        <v>1220</v>
      </c>
      <c r="B750" s="45">
        <f>SUM(B737:B749)</f>
        <v>1761</v>
      </c>
      <c r="C750" s="46">
        <f>SUM(C737:C749)</f>
        <v>605</v>
      </c>
      <c r="D750" s="46">
        <f>SUM(D737:D749)</f>
        <v>1475</v>
      </c>
      <c r="E750" s="37">
        <f t="shared" si="274"/>
        <v>3841</v>
      </c>
      <c r="F750" s="46">
        <f>SUM(F737:F749)</f>
        <v>1625</v>
      </c>
      <c r="G750" s="46">
        <f>SUM(G737:G749)</f>
        <v>2075</v>
      </c>
      <c r="H750" s="46">
        <f>SUM(H737:H749)</f>
        <v>1725</v>
      </c>
      <c r="I750" s="37">
        <f t="shared" si="275"/>
        <v>5425</v>
      </c>
      <c r="J750" s="46">
        <f>SUM(J737:J749)</f>
        <v>2125</v>
      </c>
      <c r="K750" s="46">
        <f>SUM(K737:K749)</f>
        <v>5377</v>
      </c>
      <c r="L750" s="46">
        <f>SUM(L737:L749)</f>
        <v>7045</v>
      </c>
      <c r="M750" s="37">
        <f t="shared" si="276"/>
        <v>14547</v>
      </c>
      <c r="N750" s="46">
        <f>SUM(N737:N749)</f>
        <v>525</v>
      </c>
      <c r="O750" s="46">
        <f>SUM(O737:O749)</f>
        <v>275</v>
      </c>
      <c r="P750" s="46">
        <f>SUM(P737:P749)</f>
        <v>275</v>
      </c>
      <c r="Q750" s="37">
        <f t="shared" si="277"/>
        <v>1075</v>
      </c>
      <c r="R750" s="58">
        <f t="shared" si="278"/>
        <v>24888</v>
      </c>
    </row>
    <row r="751" spans="1:20" ht="15.75" hidden="1" customHeight="1" x14ac:dyDescent="0.3">
      <c r="A751" s="234" t="s">
        <v>1712</v>
      </c>
      <c r="B751" s="10"/>
      <c r="C751" s="10"/>
      <c r="D751" s="10"/>
      <c r="E751" s="38" t="s">
        <v>852</v>
      </c>
      <c r="F751" s="10"/>
      <c r="G751" s="10"/>
      <c r="H751" s="10"/>
      <c r="I751" s="38" t="s">
        <v>852</v>
      </c>
      <c r="J751" s="10"/>
      <c r="K751" s="10"/>
      <c r="L751" s="10"/>
      <c r="M751" s="38" t="s">
        <v>852</v>
      </c>
      <c r="N751" s="10"/>
      <c r="O751" s="10"/>
      <c r="P751" s="10"/>
      <c r="Q751" s="38" t="s">
        <v>852</v>
      </c>
      <c r="R751" s="38" t="s">
        <v>852</v>
      </c>
    </row>
    <row r="752" spans="1:20" ht="15.75" hidden="1" customHeight="1" x14ac:dyDescent="0.3">
      <c r="A752" s="234" t="s">
        <v>1021</v>
      </c>
      <c r="B752" s="10"/>
      <c r="C752" s="10"/>
      <c r="D752" s="10"/>
      <c r="E752" s="38" t="s">
        <v>852</v>
      </c>
      <c r="F752" s="10"/>
      <c r="G752" s="10"/>
      <c r="H752" s="10"/>
      <c r="I752" s="38" t="s">
        <v>852</v>
      </c>
      <c r="J752" s="10"/>
      <c r="K752" s="10"/>
      <c r="L752" s="10"/>
      <c r="M752" s="38" t="s">
        <v>852</v>
      </c>
      <c r="N752" s="10"/>
      <c r="O752" s="10"/>
      <c r="P752" s="10"/>
      <c r="Q752" s="38" t="s">
        <v>852</v>
      </c>
      <c r="R752" s="38" t="s">
        <v>852</v>
      </c>
    </row>
    <row r="753" spans="1:18" ht="15.75" hidden="1" customHeight="1" x14ac:dyDescent="0.3">
      <c r="A753" s="234" t="s">
        <v>557</v>
      </c>
      <c r="B753" s="10"/>
      <c r="C753" s="10"/>
      <c r="D753" s="10"/>
      <c r="E753" s="38" t="s">
        <v>852</v>
      </c>
      <c r="F753" s="10"/>
      <c r="G753" s="10"/>
      <c r="H753" s="10"/>
      <c r="I753" s="38" t="s">
        <v>852</v>
      </c>
      <c r="J753" s="10"/>
      <c r="K753" s="10"/>
      <c r="L753" s="10"/>
      <c r="M753" s="38" t="s">
        <v>852</v>
      </c>
      <c r="N753" s="10"/>
      <c r="O753" s="10"/>
      <c r="P753" s="10"/>
      <c r="Q753" s="38" t="s">
        <v>852</v>
      </c>
      <c r="R753" s="38" t="s">
        <v>852</v>
      </c>
    </row>
    <row r="754" spans="1:18" ht="15.75" hidden="1" customHeight="1" x14ac:dyDescent="0.3">
      <c r="A754" s="539" t="s">
        <v>2585</v>
      </c>
      <c r="B754" s="10"/>
      <c r="C754" s="10"/>
      <c r="D754" s="10"/>
      <c r="E754" s="38">
        <f>SUM(B754:D754)</f>
        <v>0</v>
      </c>
      <c r="F754" s="10"/>
      <c r="G754" s="10"/>
      <c r="H754" s="10"/>
      <c r="I754" s="38">
        <f>SUM(F754:H754)</f>
        <v>0</v>
      </c>
      <c r="J754" s="10"/>
      <c r="K754" s="10"/>
      <c r="L754" s="10"/>
      <c r="M754" s="38">
        <f>SUM(J754:L754)</f>
        <v>0</v>
      </c>
      <c r="N754" s="10"/>
      <c r="O754" s="10"/>
      <c r="P754" s="10"/>
      <c r="Q754" s="38">
        <f>SUM(N754:P754)</f>
        <v>0</v>
      </c>
      <c r="R754" s="38">
        <f>+E754+I754+M754+Q754</f>
        <v>0</v>
      </c>
    </row>
    <row r="755" spans="1:18" ht="15.75" hidden="1" customHeight="1" x14ac:dyDescent="0.3">
      <c r="A755" s="539" t="s">
        <v>2586</v>
      </c>
      <c r="B755" s="10"/>
      <c r="C755" s="10"/>
      <c r="D755" s="10"/>
      <c r="E755" s="38">
        <f>SUM(B755:D755)</f>
        <v>0</v>
      </c>
      <c r="F755" s="10"/>
      <c r="G755" s="10"/>
      <c r="H755" s="10"/>
      <c r="I755" s="38">
        <f>SUM(F755:H755)</f>
        <v>0</v>
      </c>
      <c r="J755" s="10"/>
      <c r="K755" s="10"/>
      <c r="L755" s="10"/>
      <c r="M755" s="38">
        <f>SUM(J755:L755)</f>
        <v>0</v>
      </c>
      <c r="N755" s="10"/>
      <c r="O755" s="10"/>
      <c r="P755" s="10"/>
      <c r="Q755" s="38">
        <f>SUM(N755:P755)</f>
        <v>0</v>
      </c>
      <c r="R755" s="38">
        <f>+E755+I755+M755+Q755</f>
        <v>0</v>
      </c>
    </row>
    <row r="756" spans="1:18" ht="15.75" hidden="1" customHeight="1" x14ac:dyDescent="0.3">
      <c r="A756" s="539" t="s">
        <v>2587</v>
      </c>
      <c r="B756" s="10"/>
      <c r="C756" s="10"/>
      <c r="D756" s="10"/>
      <c r="E756" s="38">
        <f>SUM(B756:D756)</f>
        <v>0</v>
      </c>
      <c r="F756" s="10"/>
      <c r="G756" s="10"/>
      <c r="H756" s="10"/>
      <c r="I756" s="38">
        <f>SUM(F756:H756)</f>
        <v>0</v>
      </c>
      <c r="J756" s="10"/>
      <c r="K756" s="10"/>
      <c r="L756" s="10"/>
      <c r="M756" s="38">
        <f>SUM(J756:L756)</f>
        <v>0</v>
      </c>
      <c r="N756" s="10"/>
      <c r="O756" s="10"/>
      <c r="P756" s="10"/>
      <c r="Q756" s="38">
        <f>SUM(N756:P756)</f>
        <v>0</v>
      </c>
      <c r="R756" s="38">
        <f>+E756+I756+M756+Q756</f>
        <v>0</v>
      </c>
    </row>
    <row r="757" spans="1:18" ht="15.75" hidden="1" customHeight="1" x14ac:dyDescent="0.3">
      <c r="A757" s="539" t="s">
        <v>2588</v>
      </c>
      <c r="B757" s="10"/>
      <c r="C757" s="10"/>
      <c r="D757" s="10"/>
      <c r="E757" s="38">
        <f>SUM(B757:D757)</f>
        <v>0</v>
      </c>
      <c r="F757" s="10"/>
      <c r="G757" s="10"/>
      <c r="H757" s="10"/>
      <c r="I757" s="38">
        <f>SUM(F757:H757)</f>
        <v>0</v>
      </c>
      <c r="J757" s="10"/>
      <c r="K757" s="10"/>
      <c r="L757" s="10"/>
      <c r="M757" s="38">
        <f>SUM(J757:L757)</f>
        <v>0</v>
      </c>
      <c r="N757" s="10"/>
      <c r="O757" s="10"/>
      <c r="P757" s="10"/>
      <c r="Q757" s="38">
        <f>SUM(N757:P757)</f>
        <v>0</v>
      </c>
      <c r="R757" s="38">
        <f>+E757+I757+M757+Q757</f>
        <v>0</v>
      </c>
    </row>
    <row r="758" spans="1:18" ht="15.75" hidden="1" customHeight="1" x14ac:dyDescent="0.3">
      <c r="A758" s="234" t="s">
        <v>1022</v>
      </c>
      <c r="B758" s="10"/>
      <c r="C758" s="10"/>
      <c r="D758" s="10"/>
      <c r="E758" s="38" t="s">
        <v>852</v>
      </c>
      <c r="F758" s="10"/>
      <c r="G758" s="10"/>
      <c r="H758" s="10"/>
      <c r="I758" s="38" t="s">
        <v>852</v>
      </c>
      <c r="J758" s="10"/>
      <c r="K758" s="10"/>
      <c r="L758" s="10"/>
      <c r="M758" s="38" t="s">
        <v>852</v>
      </c>
      <c r="N758" s="10"/>
      <c r="O758" s="10"/>
      <c r="P758" s="10"/>
      <c r="Q758" s="38" t="s">
        <v>852</v>
      </c>
      <c r="R758" s="38" t="s">
        <v>852</v>
      </c>
    </row>
    <row r="759" spans="1:18" ht="15.75" hidden="1" customHeight="1" thickBot="1" x14ac:dyDescent="0.35">
      <c r="A759" s="234" t="s">
        <v>559</v>
      </c>
      <c r="B759" s="10"/>
      <c r="C759" s="10"/>
      <c r="D759" s="10"/>
      <c r="E759" s="38" t="s">
        <v>852</v>
      </c>
      <c r="F759" s="10"/>
      <c r="G759" s="10"/>
      <c r="H759" s="10"/>
      <c r="I759" s="38" t="s">
        <v>852</v>
      </c>
      <c r="J759" s="10"/>
      <c r="K759" s="10"/>
      <c r="L759" s="10"/>
      <c r="M759" s="38" t="s">
        <v>852</v>
      </c>
      <c r="N759" s="10"/>
      <c r="O759" s="10"/>
      <c r="P759" s="10"/>
      <c r="Q759" s="38" t="s">
        <v>852</v>
      </c>
      <c r="R759" s="38" t="s">
        <v>852</v>
      </c>
    </row>
    <row r="760" spans="1:18" ht="16.5" hidden="1" customHeight="1" thickBot="1" x14ac:dyDescent="0.35">
      <c r="A760" s="43" t="s">
        <v>1019</v>
      </c>
      <c r="B760" s="42">
        <f>SUM(B758:B759)</f>
        <v>0</v>
      </c>
      <c r="C760" s="42">
        <f>SUM(C758:C759)</f>
        <v>0</v>
      </c>
      <c r="D760" s="42">
        <f>SUM(D758:D759)</f>
        <v>0</v>
      </c>
      <c r="E760" s="39">
        <f>SUM(B760:D760)</f>
        <v>0</v>
      </c>
      <c r="F760" s="42">
        <f>SUM(F758:F759)</f>
        <v>0</v>
      </c>
      <c r="G760" s="42">
        <f>SUM(G758:G759)</f>
        <v>0</v>
      </c>
      <c r="H760" s="42">
        <f>SUM(H758:H759)</f>
        <v>0</v>
      </c>
      <c r="I760" s="39">
        <f>SUM(F760:H760)</f>
        <v>0</v>
      </c>
      <c r="J760" s="42">
        <f>SUM(J758:J759)</f>
        <v>0</v>
      </c>
      <c r="K760" s="42">
        <f>SUM(K758:K759)</f>
        <v>0</v>
      </c>
      <c r="L760" s="42">
        <f>SUM(L758:L759)</f>
        <v>0</v>
      </c>
      <c r="M760" s="39">
        <f>SUM(J760:L760)</f>
        <v>0</v>
      </c>
      <c r="N760" s="42">
        <f>SUM(N758:N759)</f>
        <v>0</v>
      </c>
      <c r="O760" s="42">
        <f>SUM(O758:O759)</f>
        <v>0</v>
      </c>
      <c r="P760" s="42">
        <f>SUM(P758:P759)</f>
        <v>0</v>
      </c>
      <c r="Q760" s="39">
        <f>SUM(N760:P760)</f>
        <v>0</v>
      </c>
      <c r="R760" s="37">
        <f>+E760+I760+M760+Q760</f>
        <v>0</v>
      </c>
    </row>
    <row r="761" spans="1:18" ht="16.5" hidden="1" customHeight="1" thickBot="1" x14ac:dyDescent="0.35">
      <c r="A761" s="277" t="s">
        <v>1221</v>
      </c>
      <c r="B761" s="45">
        <f>SUM(B751:B759)</f>
        <v>0</v>
      </c>
      <c r="C761" s="46">
        <f>SUM(C751:C759)</f>
        <v>0</v>
      </c>
      <c r="D761" s="58">
        <f>SUM(D751:D759)</f>
        <v>0</v>
      </c>
      <c r="E761" s="39">
        <f>SUM(B761:D761)</f>
        <v>0</v>
      </c>
      <c r="F761" s="46">
        <f>SUM(F751:F759)</f>
        <v>0</v>
      </c>
      <c r="G761" s="46">
        <f>SUM(G751:G759)</f>
        <v>0</v>
      </c>
      <c r="H761" s="46">
        <f>SUM(H751:H759)</f>
        <v>0</v>
      </c>
      <c r="I761" s="39">
        <f>SUM(F761:H761)</f>
        <v>0</v>
      </c>
      <c r="J761" s="46">
        <f>SUM(J751:J759)</f>
        <v>0</v>
      </c>
      <c r="K761" s="46">
        <f>SUM(K751:K759)</f>
        <v>0</v>
      </c>
      <c r="L761" s="46">
        <f>SUM(L751:L759)</f>
        <v>0</v>
      </c>
      <c r="M761" s="39">
        <f>SUM(J761:L761)</f>
        <v>0</v>
      </c>
      <c r="N761" s="46">
        <f>SUM(N751:N759)</f>
        <v>0</v>
      </c>
      <c r="O761" s="46">
        <f>SUM(O751:O759)</f>
        <v>0</v>
      </c>
      <c r="P761" s="46">
        <f>SUM(P751:P759)</f>
        <v>0</v>
      </c>
      <c r="Q761" s="39">
        <f>SUM(N761:P761)</f>
        <v>0</v>
      </c>
      <c r="R761" s="37">
        <f>+E761+I761+M761+Q761</f>
        <v>0</v>
      </c>
    </row>
    <row r="762" spans="1:18" ht="16.5" hidden="1" customHeight="1" thickBot="1" x14ac:dyDescent="0.35">
      <c r="A762" s="43" t="s">
        <v>1222</v>
      </c>
      <c r="B762" s="47">
        <f>+B732+B736+B750+B761</f>
        <v>8152</v>
      </c>
      <c r="C762" s="42">
        <f>+C732+C736+C750+C761</f>
        <v>13964</v>
      </c>
      <c r="D762" s="42">
        <f>+D732+D736+D750+D761</f>
        <v>15434</v>
      </c>
      <c r="E762" s="37">
        <f>SUM(B762:D762)</f>
        <v>37550</v>
      </c>
      <c r="F762" s="42">
        <f>+F732+F736+F750+F761</f>
        <v>15580</v>
      </c>
      <c r="G762" s="42">
        <f>+G732+G736+G750+G761</f>
        <v>16101</v>
      </c>
      <c r="H762" s="42">
        <f>+H732+H736+H750+H761</f>
        <v>14655</v>
      </c>
      <c r="I762" s="37">
        <f>SUM(F762:H762)</f>
        <v>46336</v>
      </c>
      <c r="J762" s="42">
        <f>+J732+J736+J750+J761</f>
        <v>15155</v>
      </c>
      <c r="K762" s="42">
        <f>+K732+K736+K750+K761</f>
        <v>14705</v>
      </c>
      <c r="L762" s="42">
        <f>+L732+L736+L750+L761</f>
        <v>14425</v>
      </c>
      <c r="M762" s="37">
        <f>SUM(J762:L762)</f>
        <v>44285</v>
      </c>
      <c r="N762" s="42">
        <f>+N732+N736+N750+N761</f>
        <v>8005</v>
      </c>
      <c r="O762" s="42">
        <f>+O732+O736+O750+O761</f>
        <v>275</v>
      </c>
      <c r="P762" s="42">
        <f>+P732+P736+P750+P761</f>
        <v>940</v>
      </c>
      <c r="Q762" s="37">
        <f>SUM(N762:P762)</f>
        <v>9220</v>
      </c>
      <c r="R762" s="40">
        <f>+E762+I762+M762+Q762</f>
        <v>137391</v>
      </c>
    </row>
    <row r="763" spans="1:18" ht="16.5" hidden="1" customHeight="1" thickBot="1" x14ac:dyDescent="0.35">
      <c r="A763" s="304" t="s">
        <v>853</v>
      </c>
      <c r="B763" s="294">
        <v>22</v>
      </c>
      <c r="C763" s="294">
        <v>24</v>
      </c>
      <c r="D763" s="294">
        <v>31</v>
      </c>
      <c r="E763" s="37">
        <f>SUM(B763:D763)</f>
        <v>77</v>
      </c>
      <c r="F763" s="294">
        <v>40</v>
      </c>
      <c r="G763" s="294">
        <v>45</v>
      </c>
      <c r="H763" s="294">
        <v>48</v>
      </c>
      <c r="I763" s="37">
        <f>SUM(F763:H763)</f>
        <v>133</v>
      </c>
      <c r="J763" s="294">
        <v>42</v>
      </c>
      <c r="K763" s="294">
        <v>39</v>
      </c>
      <c r="L763" s="294">
        <v>38</v>
      </c>
      <c r="M763" s="37">
        <f>SUM(J763:L763)</f>
        <v>119</v>
      </c>
      <c r="N763" s="294">
        <v>32</v>
      </c>
      <c r="O763" s="294">
        <v>25</v>
      </c>
      <c r="P763" s="294">
        <v>21</v>
      </c>
      <c r="Q763" s="37">
        <f>SUM(N763:P763)</f>
        <v>78</v>
      </c>
      <c r="R763" s="39">
        <f>+E763+I763+M763+Q763</f>
        <v>407</v>
      </c>
    </row>
    <row r="764" spans="1:18" ht="16.5" hidden="1" customHeight="1" thickBot="1" x14ac:dyDescent="0.35">
      <c r="A764" s="22"/>
      <c r="B764" s="297"/>
      <c r="C764" s="297"/>
      <c r="D764" s="297"/>
      <c r="E764" s="302"/>
      <c r="F764" s="297"/>
      <c r="G764" s="297"/>
      <c r="H764" s="297"/>
      <c r="I764" s="302"/>
      <c r="J764" s="297"/>
      <c r="K764" s="297"/>
      <c r="L764" s="297"/>
      <c r="M764" s="302"/>
      <c r="N764" s="297"/>
      <c r="O764" s="297"/>
      <c r="P764" s="297"/>
      <c r="Q764" s="302"/>
      <c r="R764" s="21"/>
    </row>
    <row r="765" spans="1:18" ht="15.75" hidden="1" customHeight="1" x14ac:dyDescent="0.3">
      <c r="A765" s="234" t="s">
        <v>120</v>
      </c>
      <c r="B765" s="10">
        <f>+SUM(B762:B763)</f>
        <v>8174</v>
      </c>
      <c r="C765" s="10">
        <f>+SUM(C762:C763)</f>
        <v>13988</v>
      </c>
      <c r="D765" s="10">
        <f>+SUM(D762:D763)</f>
        <v>15465</v>
      </c>
      <c r="E765" s="39">
        <f>SUM(B765:D765)</f>
        <v>37627</v>
      </c>
      <c r="F765" s="10">
        <f>+SUM(F762:F763)</f>
        <v>15620</v>
      </c>
      <c r="G765" s="10">
        <f>+SUM(G762:G763)</f>
        <v>16146</v>
      </c>
      <c r="H765" s="10">
        <f>+SUM(H762:H763)</f>
        <v>14703</v>
      </c>
      <c r="I765" s="39">
        <f>SUM(F765:H765)</f>
        <v>46469</v>
      </c>
      <c r="J765" s="10">
        <f>+SUM(J762:J763)</f>
        <v>15197</v>
      </c>
      <c r="K765" s="10">
        <f>+SUM(K762:K763)</f>
        <v>14744</v>
      </c>
      <c r="L765" s="10">
        <f>+SUM(L762:L763)</f>
        <v>14463</v>
      </c>
      <c r="M765" s="39">
        <f>SUM(J765:L765)</f>
        <v>44404</v>
      </c>
      <c r="N765" s="10">
        <f>+SUM(N762:N763)</f>
        <v>8037</v>
      </c>
      <c r="O765" s="10">
        <f>+SUM(O762:O763)</f>
        <v>300</v>
      </c>
      <c r="P765" s="10">
        <f>+SUM(P762:P763)</f>
        <v>961</v>
      </c>
      <c r="Q765" s="39">
        <f>SUM(N765:P765)</f>
        <v>9298</v>
      </c>
      <c r="R765" s="39">
        <f>+E765+I765+M765+Q765</f>
        <v>137798</v>
      </c>
    </row>
    <row r="766" spans="1:18" ht="15.75" hidden="1" customHeight="1" x14ac:dyDescent="0.3">
      <c r="A766" s="234" t="s">
        <v>1897</v>
      </c>
      <c r="B766" s="10">
        <f>(B765/B10)/1.983</f>
        <v>132.96894571600541</v>
      </c>
      <c r="C766" s="10">
        <f>(C765/C10)/1.983</f>
        <v>251.92709458972695</v>
      </c>
      <c r="D766" s="10">
        <f>(D765/D10)/1.983</f>
        <v>251.57386169537844</v>
      </c>
      <c r="E766" s="38" t="s">
        <v>852</v>
      </c>
      <c r="F766" s="10">
        <f>(F765/F10)/1.983</f>
        <v>262.5651369978147</v>
      </c>
      <c r="G766" s="10">
        <f>(G765/G10)/1.983</f>
        <v>262.65189595432139</v>
      </c>
      <c r="H766" s="10">
        <f>(H765/H10)/1.983</f>
        <v>247.15078164397377</v>
      </c>
      <c r="I766" s="38" t="s">
        <v>852</v>
      </c>
      <c r="J766" s="10">
        <f>(J765/J10)/1.983</f>
        <v>247.21422413091926</v>
      </c>
      <c r="K766" s="10">
        <f>(K765/K10)/1.983</f>
        <v>239.84513526263564</v>
      </c>
      <c r="L766" s="10">
        <f>(L765/L10)/1.983</f>
        <v>243.11649016641454</v>
      </c>
      <c r="M766" s="38" t="s">
        <v>852</v>
      </c>
      <c r="N766" s="10">
        <f>(N765/N10)/1.983</f>
        <v>130.74032502074081</v>
      </c>
      <c r="O766" s="10">
        <f>(O765/O10)/1.983</f>
        <v>5.0428643469490666</v>
      </c>
      <c r="P766" s="10">
        <f>(P765/P10)/1.983</f>
        <v>15.632879475542108</v>
      </c>
      <c r="Q766" s="38" t="s">
        <v>852</v>
      </c>
      <c r="R766" s="38" t="s">
        <v>852</v>
      </c>
    </row>
    <row r="767" spans="1:18" ht="15.75" hidden="1" customHeight="1" x14ac:dyDescent="0.3">
      <c r="A767" s="234" t="s">
        <v>2390</v>
      </c>
      <c r="B767" s="10">
        <f>B765+B777</f>
        <v>12114</v>
      </c>
      <c r="C767" s="10">
        <f>C765+C777</f>
        <v>17611</v>
      </c>
      <c r="D767" s="10">
        <f>D765+D777</f>
        <v>19207</v>
      </c>
      <c r="E767" s="38">
        <f>SUM(B767:D767)</f>
        <v>48932</v>
      </c>
      <c r="F767" s="10">
        <f>F765+F777</f>
        <v>19845</v>
      </c>
      <c r="G767" s="10">
        <f>G765+G777</f>
        <v>21024</v>
      </c>
      <c r="H767" s="10">
        <f>H765+H777</f>
        <v>19378</v>
      </c>
      <c r="I767" s="38">
        <f>SUM(F767:H767)</f>
        <v>60247</v>
      </c>
      <c r="J767" s="10">
        <f>J765+J777</f>
        <v>18822</v>
      </c>
      <c r="K767" s="10">
        <f>K765+K777</f>
        <v>21698</v>
      </c>
      <c r="L767" s="10">
        <f>L765+L777</f>
        <v>20063</v>
      </c>
      <c r="M767" s="38">
        <f>SUM(J767:L767)</f>
        <v>60583</v>
      </c>
      <c r="N767" s="10">
        <f>N765+N777</f>
        <v>11774</v>
      </c>
      <c r="O767" s="10">
        <f>O765+O777</f>
        <v>2985</v>
      </c>
      <c r="P767" s="10">
        <f>P765+P777</f>
        <v>2354</v>
      </c>
      <c r="Q767" s="38">
        <f>SUM(N767:P767)</f>
        <v>17113</v>
      </c>
      <c r="R767" s="38">
        <f>+E767+I767+M767+Q767</f>
        <v>186875</v>
      </c>
    </row>
    <row r="768" spans="1:18" ht="16.5" hidden="1" customHeight="1" thickBot="1" x14ac:dyDescent="0.35">
      <c r="A768" s="237" t="s">
        <v>1716</v>
      </c>
      <c r="B768" s="294">
        <f>(B767/B10)/1.983</f>
        <v>197.06212483529353</v>
      </c>
      <c r="C768" s="294">
        <f>(C767/C10)/1.983</f>
        <v>317.17815719328576</v>
      </c>
      <c r="D768" s="294">
        <f>(D767/D10)/1.983</f>
        <v>312.44611455435722</v>
      </c>
      <c r="E768" s="40" t="s">
        <v>852</v>
      </c>
      <c r="F768" s="294">
        <f>(F767/F10)/1.983</f>
        <v>333.58547655068077</v>
      </c>
      <c r="G768" s="294">
        <f>(G767/G10)/1.983</f>
        <v>342.00380654921673</v>
      </c>
      <c r="H768" s="294">
        <f>(H767/H10)/1.983</f>
        <v>325.73541771726337</v>
      </c>
      <c r="I768" s="40" t="s">
        <v>852</v>
      </c>
      <c r="J768" s="294">
        <f>(J767/J10)/1.983</f>
        <v>306.18320238153331</v>
      </c>
      <c r="K768" s="294">
        <f>(K767/K10)/1.983</f>
        <v>352.96796967774463</v>
      </c>
      <c r="L768" s="294">
        <f>(L767/L10)/1.983</f>
        <v>337.24995797613042</v>
      </c>
      <c r="M768" s="40" t="s">
        <v>852</v>
      </c>
      <c r="N768" s="294">
        <f>(N767/N10)/1.983</f>
        <v>191.53124135799456</v>
      </c>
      <c r="O768" s="294">
        <f>(O767/O10)/1.983</f>
        <v>50.176500252143214</v>
      </c>
      <c r="P768" s="294">
        <f>(P767/P10)/1.983</f>
        <v>38.293234428122915</v>
      </c>
      <c r="Q768" s="40" t="s">
        <v>852</v>
      </c>
      <c r="R768" s="40" t="s">
        <v>852</v>
      </c>
    </row>
    <row r="769" spans="1:18" ht="15.75" hidden="1" customHeight="1" x14ac:dyDescent="0.3">
      <c r="A769" s="17"/>
      <c r="B769" s="10"/>
      <c r="C769" s="10"/>
      <c r="D769" s="10"/>
      <c r="E769" s="10"/>
      <c r="F769" s="10"/>
      <c r="G769" s="10"/>
      <c r="H769" s="10"/>
      <c r="I769" s="10"/>
      <c r="J769" s="10"/>
      <c r="K769" s="10"/>
      <c r="L769" s="10"/>
      <c r="M769" s="10"/>
      <c r="N769" s="10"/>
      <c r="O769" s="10"/>
      <c r="P769" s="10"/>
      <c r="Q769" s="10"/>
      <c r="R769" s="17"/>
    </row>
    <row r="770" spans="1:18" ht="15.75" hidden="1" customHeight="1" thickBot="1" x14ac:dyDescent="0.35">
      <c r="A770" s="17"/>
      <c r="B770" s="10"/>
      <c r="C770" s="10"/>
      <c r="D770" s="10"/>
      <c r="E770" s="10"/>
      <c r="F770" s="10"/>
      <c r="G770" s="10"/>
      <c r="H770" s="10"/>
      <c r="I770" s="10"/>
      <c r="J770" s="10"/>
      <c r="K770" s="10"/>
      <c r="L770" s="10"/>
      <c r="M770" s="10"/>
      <c r="N770" s="10"/>
      <c r="O770" s="10"/>
      <c r="P770" s="10"/>
      <c r="Q770" s="10"/>
      <c r="R770" s="17"/>
    </row>
    <row r="771" spans="1:18" ht="16.5" hidden="1" customHeight="1" thickBot="1" x14ac:dyDescent="0.35">
      <c r="A771" s="278" t="s">
        <v>374</v>
      </c>
      <c r="B771" s="4" t="s">
        <v>2090</v>
      </c>
      <c r="C771" s="5" t="s">
        <v>2091</v>
      </c>
      <c r="D771" s="5" t="s">
        <v>2234</v>
      </c>
      <c r="E771" s="33" t="s">
        <v>1594</v>
      </c>
      <c r="F771" s="5" t="s">
        <v>2235</v>
      </c>
      <c r="G771" s="5" t="s">
        <v>2236</v>
      </c>
      <c r="H771" s="5" t="s">
        <v>2237</v>
      </c>
      <c r="I771" s="35" t="s">
        <v>1595</v>
      </c>
      <c r="J771" s="5" t="s">
        <v>1504</v>
      </c>
      <c r="K771" s="5" t="s">
        <v>1505</v>
      </c>
      <c r="L771" s="5" t="s">
        <v>1506</v>
      </c>
      <c r="M771" s="35" t="s">
        <v>1596</v>
      </c>
      <c r="N771" s="5" t="s">
        <v>1507</v>
      </c>
      <c r="O771" s="5" t="s">
        <v>1508</v>
      </c>
      <c r="P771" s="5" t="s">
        <v>1509</v>
      </c>
      <c r="Q771" s="35" t="s">
        <v>1597</v>
      </c>
      <c r="R771" s="36" t="s">
        <v>1510</v>
      </c>
    </row>
    <row r="772" spans="1:18" ht="16.5" hidden="1" customHeight="1" thickBot="1" x14ac:dyDescent="0.35">
      <c r="A772" s="22"/>
      <c r="B772" s="297"/>
      <c r="C772" s="297"/>
      <c r="D772" s="297"/>
      <c r="E772" s="298"/>
      <c r="F772" s="297"/>
      <c r="G772" s="297"/>
      <c r="H772" s="297"/>
      <c r="I772" s="298"/>
      <c r="J772" s="297"/>
      <c r="K772" s="297"/>
      <c r="L772" s="297"/>
      <c r="M772" s="298"/>
      <c r="N772" s="297"/>
      <c r="O772" s="297"/>
      <c r="P772" s="297"/>
      <c r="Q772" s="298"/>
      <c r="R772" s="22"/>
    </row>
    <row r="773" spans="1:18" ht="16.5" hidden="1" customHeight="1" thickBot="1" x14ac:dyDescent="0.35">
      <c r="A773" s="299" t="s">
        <v>853</v>
      </c>
      <c r="B773" s="294">
        <v>2</v>
      </c>
      <c r="C773" s="294">
        <v>3</v>
      </c>
      <c r="D773" s="294">
        <v>5</v>
      </c>
      <c r="E773" s="38">
        <f>SUM(B773:D773)</f>
        <v>10</v>
      </c>
      <c r="F773" s="294">
        <v>7</v>
      </c>
      <c r="G773" s="294">
        <v>8</v>
      </c>
      <c r="H773" s="294">
        <v>9</v>
      </c>
      <c r="I773" s="38">
        <f>SUM(F773:H773)</f>
        <v>24</v>
      </c>
      <c r="J773" s="294">
        <v>7</v>
      </c>
      <c r="K773" s="294">
        <v>6</v>
      </c>
      <c r="L773" s="294">
        <v>6</v>
      </c>
      <c r="M773" s="38">
        <f>SUM(J773:L773)</f>
        <v>19</v>
      </c>
      <c r="N773" s="294">
        <v>5</v>
      </c>
      <c r="O773" s="294">
        <v>3</v>
      </c>
      <c r="P773" s="294">
        <v>2</v>
      </c>
      <c r="Q773" s="38">
        <f>SUM(N773:P773)</f>
        <v>10</v>
      </c>
      <c r="R773" s="39">
        <f>+E773+I773+M773+Q773</f>
        <v>63</v>
      </c>
    </row>
    <row r="774" spans="1:18" ht="16.5" hidden="1" customHeight="1" thickBot="1" x14ac:dyDescent="0.35">
      <c r="A774" s="22"/>
      <c r="B774" s="297"/>
      <c r="C774" s="297"/>
      <c r="D774" s="297"/>
      <c r="E774" s="302"/>
      <c r="F774" s="297"/>
      <c r="G774" s="297"/>
      <c r="H774" s="297"/>
      <c r="I774" s="302"/>
      <c r="J774" s="297"/>
      <c r="K774" s="297"/>
      <c r="L774" s="297"/>
      <c r="M774" s="302"/>
      <c r="N774" s="297"/>
      <c r="O774" s="297"/>
      <c r="P774" s="297"/>
      <c r="Q774" s="302"/>
      <c r="R774" s="21"/>
    </row>
    <row r="775" spans="1:18" ht="15.75" hidden="1" customHeight="1" x14ac:dyDescent="0.3">
      <c r="A775" s="234" t="s">
        <v>120</v>
      </c>
      <c r="B775" s="10">
        <f>B773</f>
        <v>2</v>
      </c>
      <c r="C775" s="10">
        <f>C773</f>
        <v>3</v>
      </c>
      <c r="D775" s="10">
        <f>D773</f>
        <v>5</v>
      </c>
      <c r="E775" s="39">
        <f>SUM(B775:D775)</f>
        <v>10</v>
      </c>
      <c r="F775" s="10">
        <f>F773</f>
        <v>7</v>
      </c>
      <c r="G775" s="10">
        <f>G773</f>
        <v>8</v>
      </c>
      <c r="H775" s="10">
        <f>H773</f>
        <v>9</v>
      </c>
      <c r="I775" s="39">
        <f>SUM(F775:H775)</f>
        <v>24</v>
      </c>
      <c r="J775" s="10">
        <f>J773</f>
        <v>7</v>
      </c>
      <c r="K775" s="10">
        <f>K773</f>
        <v>6</v>
      </c>
      <c r="L775" s="10">
        <f>L773</f>
        <v>6</v>
      </c>
      <c r="M775" s="39">
        <f>SUM(J775:L775)</f>
        <v>19</v>
      </c>
      <c r="N775" s="10">
        <f>N773</f>
        <v>5</v>
      </c>
      <c r="O775" s="10">
        <f>O773</f>
        <v>3</v>
      </c>
      <c r="P775" s="10">
        <f>P773</f>
        <v>2</v>
      </c>
      <c r="Q775" s="39">
        <f>SUM(N775:P775)</f>
        <v>10</v>
      </c>
      <c r="R775" s="39">
        <f>+E775+I775+M775+Q775</f>
        <v>63</v>
      </c>
    </row>
    <row r="776" spans="1:18" ht="15.75" hidden="1" customHeight="1" x14ac:dyDescent="0.3">
      <c r="A776" s="234" t="s">
        <v>1897</v>
      </c>
      <c r="B776" s="10">
        <f>(B775/B10)/1.983</f>
        <v>3.2534608689993978E-2</v>
      </c>
      <c r="C776" s="10">
        <f>(C775/C10)/1.983</f>
        <v>5.403068943159714E-2</v>
      </c>
      <c r="D776" s="10">
        <f>(D775/D10)/1.983</f>
        <v>8.1336521724984942E-2</v>
      </c>
      <c r="E776" s="38" t="s">
        <v>852</v>
      </c>
      <c r="F776" s="10">
        <f>(F775/F10)/1.983</f>
        <v>0.1176668347621449</v>
      </c>
      <c r="G776" s="10">
        <f>(G775/G10)/1.983</f>
        <v>0.13013843475997591</v>
      </c>
      <c r="H776" s="10">
        <f>(H775/H10)/1.983</f>
        <v>0.15128593040847199</v>
      </c>
      <c r="I776" s="38" t="s">
        <v>852</v>
      </c>
      <c r="J776" s="10">
        <f>(J775/J10)/1.983</f>
        <v>0.11387113041497893</v>
      </c>
      <c r="K776" s="10">
        <f>(K775/K10)/1.983</f>
        <v>9.7603826069981942E-2</v>
      </c>
      <c r="L776" s="10">
        <f>(L775/L10)/1.983</f>
        <v>0.10085728693898134</v>
      </c>
      <c r="M776" s="38" t="s">
        <v>852</v>
      </c>
      <c r="N776" s="10">
        <f>(N775/N10)/1.983</f>
        <v>8.1336521724984942E-2</v>
      </c>
      <c r="O776" s="10">
        <f>(O775/O10)/1.983</f>
        <v>5.0428643469490671E-2</v>
      </c>
      <c r="P776" s="10">
        <f>(P775/P10)/1.983</f>
        <v>3.2534608689993978E-2</v>
      </c>
      <c r="Q776" s="38" t="s">
        <v>852</v>
      </c>
      <c r="R776" s="38" t="s">
        <v>852</v>
      </c>
    </row>
    <row r="777" spans="1:18" ht="15.75" hidden="1" customHeight="1" x14ac:dyDescent="0.3">
      <c r="A777" s="234" t="s">
        <v>585</v>
      </c>
      <c r="B777" s="10">
        <f>B775+B811+B862-B806</f>
        <v>3940</v>
      </c>
      <c r="C777" s="10">
        <f>C775+C811+C862-C806</f>
        <v>3623</v>
      </c>
      <c r="D777" s="10">
        <f>D775+D811+D862-D806</f>
        <v>3742</v>
      </c>
      <c r="E777" s="38">
        <f>SUM(B777:D777)</f>
        <v>11305</v>
      </c>
      <c r="F777" s="10">
        <f>F775+F811+F862-F806</f>
        <v>4225</v>
      </c>
      <c r="G777" s="10">
        <f>G775+G811+G862-G806</f>
        <v>4878</v>
      </c>
      <c r="H777" s="10">
        <f>H775+H811+H862-H806</f>
        <v>4675</v>
      </c>
      <c r="I777" s="38">
        <f>SUM(F777:H777)</f>
        <v>13778</v>
      </c>
      <c r="J777" s="10">
        <f>J775+J811+J862-J806</f>
        <v>3625</v>
      </c>
      <c r="K777" s="10">
        <f>K775+K811+K862-K806</f>
        <v>6954</v>
      </c>
      <c r="L777" s="10">
        <f>L775+L811+L862-L806</f>
        <v>5600</v>
      </c>
      <c r="M777" s="38">
        <f>SUM(J777:L777)</f>
        <v>16179</v>
      </c>
      <c r="N777" s="10">
        <f>N775+N811+N862-N806</f>
        <v>3737</v>
      </c>
      <c r="O777" s="10">
        <f>O775+O811+O862-O806</f>
        <v>2685</v>
      </c>
      <c r="P777" s="10">
        <f>P775+P811+P862-P806</f>
        <v>1393</v>
      </c>
      <c r="Q777" s="38">
        <f>SUM(N777:P777)</f>
        <v>7815</v>
      </c>
      <c r="R777" s="38">
        <f>+E777+I777+M777+Q777</f>
        <v>49077</v>
      </c>
    </row>
    <row r="778" spans="1:18" ht="16.5" hidden="1" customHeight="1" thickBot="1" x14ac:dyDescent="0.35">
      <c r="A778" s="237" t="s">
        <v>57</v>
      </c>
      <c r="B778" s="294">
        <f>(B777/B10)/1.983</f>
        <v>64.093179119288138</v>
      </c>
      <c r="C778" s="294">
        <f>(C777/C10)/1.983</f>
        <v>65.251062603558822</v>
      </c>
      <c r="D778" s="294">
        <f>(D777/D10)/1.983</f>
        <v>60.872252858978733</v>
      </c>
      <c r="E778" s="40" t="s">
        <v>852</v>
      </c>
      <c r="F778" s="294">
        <f>(F777/F10)/1.983</f>
        <v>71.020339552866034</v>
      </c>
      <c r="G778" s="294">
        <f>(G777/G10)/1.983</f>
        <v>79.351910594895315</v>
      </c>
      <c r="H778" s="294">
        <f>(H777/H10)/1.983</f>
        <v>78.58463607328963</v>
      </c>
      <c r="I778" s="40" t="s">
        <v>852</v>
      </c>
      <c r="J778" s="294">
        <f>(J777/J10)/1.983</f>
        <v>58.968978250614086</v>
      </c>
      <c r="K778" s="294">
        <f>(K777/K10)/1.983</f>
        <v>113.12283441510907</v>
      </c>
      <c r="L778" s="294">
        <f>(L777/L10)/1.983</f>
        <v>94.13346780971591</v>
      </c>
      <c r="M778" s="40" t="s">
        <v>852</v>
      </c>
      <c r="N778" s="294">
        <f>(N777/N10)/1.983</f>
        <v>60.790916337253748</v>
      </c>
      <c r="O778" s="294">
        <f>(O777/O10)/1.983</f>
        <v>45.133635905194147</v>
      </c>
      <c r="P778" s="294">
        <f>(P777/P10)/1.983</f>
        <v>22.660354952580807</v>
      </c>
      <c r="Q778" s="40" t="s">
        <v>852</v>
      </c>
      <c r="R778" s="40" t="s">
        <v>852</v>
      </c>
    </row>
    <row r="779" spans="1:18" ht="15.75" hidden="1" customHeight="1" x14ac:dyDescent="0.3">
      <c r="A779" s="17"/>
      <c r="B779" s="10"/>
      <c r="C779" s="10"/>
      <c r="D779" s="10"/>
      <c r="E779" s="10"/>
      <c r="F779" s="10"/>
      <c r="G779" s="10"/>
      <c r="H779" s="10"/>
      <c r="I779" s="10"/>
      <c r="J779" s="10"/>
      <c r="K779" s="10"/>
      <c r="L779" s="10"/>
      <c r="M779" s="10"/>
      <c r="N779" s="10"/>
      <c r="O779" s="10"/>
      <c r="P779" s="10"/>
      <c r="Q779" s="10"/>
      <c r="R779" s="17"/>
    </row>
    <row r="780" spans="1:18" ht="15.75" hidden="1" customHeight="1" thickBot="1" x14ac:dyDescent="0.35">
      <c r="A780" s="17"/>
      <c r="B780" s="10"/>
      <c r="C780" s="10"/>
      <c r="D780" s="10"/>
      <c r="E780" s="10"/>
      <c r="F780" s="10"/>
      <c r="G780" s="10"/>
      <c r="H780" s="10"/>
      <c r="I780" s="10"/>
      <c r="J780" s="10"/>
      <c r="K780" s="10"/>
      <c r="L780" s="10"/>
      <c r="M780" s="10"/>
      <c r="N780" s="10"/>
      <c r="O780" s="10"/>
      <c r="P780" s="10"/>
      <c r="Q780" s="10"/>
      <c r="R780" s="17"/>
    </row>
    <row r="781" spans="1:18" ht="16.5" hidden="1" customHeight="1" thickBot="1" x14ac:dyDescent="0.35">
      <c r="A781" s="278" t="s">
        <v>1709</v>
      </c>
      <c r="B781" s="4" t="s">
        <v>2090</v>
      </c>
      <c r="C781" s="5" t="s">
        <v>2091</v>
      </c>
      <c r="D781" s="5" t="s">
        <v>2234</v>
      </c>
      <c r="E781" s="35" t="s">
        <v>1594</v>
      </c>
      <c r="F781" s="5" t="s">
        <v>2235</v>
      </c>
      <c r="G781" s="5" t="s">
        <v>2236</v>
      </c>
      <c r="H781" s="5" t="s">
        <v>2237</v>
      </c>
      <c r="I781" s="35" t="s">
        <v>1595</v>
      </c>
      <c r="J781" s="5" t="s">
        <v>1504</v>
      </c>
      <c r="K781" s="5" t="s">
        <v>1505</v>
      </c>
      <c r="L781" s="5" t="s">
        <v>1506</v>
      </c>
      <c r="M781" s="35" t="s">
        <v>1596</v>
      </c>
      <c r="N781" s="5" t="s">
        <v>1507</v>
      </c>
      <c r="O781" s="5" t="s">
        <v>1508</v>
      </c>
      <c r="P781" s="5" t="s">
        <v>1509</v>
      </c>
      <c r="Q781" s="35" t="s">
        <v>1597</v>
      </c>
      <c r="R781" s="59" t="s">
        <v>1510</v>
      </c>
    </row>
    <row r="782" spans="1:18" ht="16.5" hidden="1" customHeight="1" thickBot="1" x14ac:dyDescent="0.35">
      <c r="A782" s="22"/>
      <c r="B782" s="297"/>
      <c r="C782" s="297"/>
      <c r="D782" s="297"/>
      <c r="E782" s="325"/>
      <c r="F782" s="297"/>
      <c r="G782" s="297"/>
      <c r="H782" s="297"/>
      <c r="I782" s="325"/>
      <c r="J782" s="297"/>
      <c r="K782" s="297"/>
      <c r="L782" s="297"/>
      <c r="M782" s="325"/>
      <c r="N782" s="297"/>
      <c r="O782" s="297"/>
      <c r="P782" s="297"/>
      <c r="Q782" s="325"/>
      <c r="R782" s="19"/>
    </row>
    <row r="783" spans="1:18" ht="15.75" hidden="1" customHeight="1" x14ac:dyDescent="0.3">
      <c r="A783" s="234" t="s">
        <v>2417</v>
      </c>
      <c r="B783" s="10" t="s">
        <v>852</v>
      </c>
      <c r="C783" s="10" t="s">
        <v>852</v>
      </c>
      <c r="D783" s="10" t="s">
        <v>852</v>
      </c>
      <c r="E783" s="38" t="s">
        <v>852</v>
      </c>
      <c r="F783" s="10" t="s">
        <v>852</v>
      </c>
      <c r="G783" s="10" t="s">
        <v>852</v>
      </c>
      <c r="H783" s="10" t="s">
        <v>852</v>
      </c>
      <c r="I783" s="38" t="s">
        <v>852</v>
      </c>
      <c r="J783" s="10" t="s">
        <v>852</v>
      </c>
      <c r="K783" s="10" t="s">
        <v>852</v>
      </c>
      <c r="L783" s="10" t="s">
        <v>852</v>
      </c>
      <c r="M783" s="38" t="s">
        <v>852</v>
      </c>
      <c r="N783" s="10" t="s">
        <v>852</v>
      </c>
      <c r="O783" s="10" t="s">
        <v>852</v>
      </c>
      <c r="P783" s="10" t="s">
        <v>852</v>
      </c>
      <c r="Q783" s="38" t="s">
        <v>852</v>
      </c>
      <c r="R783" s="38" t="s">
        <v>852</v>
      </c>
    </row>
    <row r="784" spans="1:18" ht="15.75" hidden="1" customHeight="1" x14ac:dyDescent="0.3">
      <c r="A784" s="234" t="s">
        <v>2160</v>
      </c>
      <c r="B784" s="10"/>
      <c r="C784" s="10"/>
      <c r="D784" s="10"/>
      <c r="E784" s="38" t="s">
        <v>852</v>
      </c>
      <c r="F784" s="10"/>
      <c r="G784" s="10"/>
      <c r="H784" s="10"/>
      <c r="I784" s="38" t="s">
        <v>852</v>
      </c>
      <c r="J784" s="10"/>
      <c r="K784" s="10"/>
      <c r="L784" s="10"/>
      <c r="M784" s="38" t="s">
        <v>852</v>
      </c>
      <c r="N784" s="10"/>
      <c r="O784" s="10"/>
      <c r="P784" s="10"/>
      <c r="Q784" s="38" t="s">
        <v>852</v>
      </c>
      <c r="R784" s="38" t="s">
        <v>852</v>
      </c>
    </row>
    <row r="785" spans="1:18" ht="15.75" hidden="1" customHeight="1" x14ac:dyDescent="0.3">
      <c r="A785" s="310" t="s">
        <v>573</v>
      </c>
      <c r="B785" s="10"/>
      <c r="C785" s="10"/>
      <c r="D785" s="10"/>
      <c r="E785" s="38">
        <f>SUM(B785:D785)</f>
        <v>0</v>
      </c>
      <c r="F785" s="10"/>
      <c r="G785" s="10"/>
      <c r="H785" s="10"/>
      <c r="I785" s="38">
        <f>SUM(F785:H785)</f>
        <v>0</v>
      </c>
      <c r="J785" s="10"/>
      <c r="K785" s="10"/>
      <c r="L785" s="10"/>
      <c r="M785" s="38">
        <f>SUM(J785:L785)</f>
        <v>0</v>
      </c>
      <c r="N785" s="10"/>
      <c r="O785" s="10"/>
      <c r="P785" s="10"/>
      <c r="Q785" s="38">
        <f>SUM(N785:P785)</f>
        <v>0</v>
      </c>
      <c r="R785" s="38">
        <f>+E785+I785+M785+Q785</f>
        <v>0</v>
      </c>
    </row>
    <row r="786" spans="1:18" ht="15.75" hidden="1" customHeight="1" x14ac:dyDescent="0.3">
      <c r="A786" s="234" t="s">
        <v>2161</v>
      </c>
      <c r="B786" s="10"/>
      <c r="C786" s="10"/>
      <c r="D786" s="10"/>
      <c r="E786" s="38" t="s">
        <v>852</v>
      </c>
      <c r="F786" s="10"/>
      <c r="G786" s="10"/>
      <c r="H786" s="10"/>
      <c r="I786" s="38" t="s">
        <v>852</v>
      </c>
      <c r="J786" s="10"/>
      <c r="K786" s="10"/>
      <c r="L786" s="10"/>
      <c r="M786" s="38" t="s">
        <v>852</v>
      </c>
      <c r="N786" s="10"/>
      <c r="O786" s="10"/>
      <c r="P786" s="10"/>
      <c r="Q786" s="38" t="s">
        <v>852</v>
      </c>
      <c r="R786" s="38" t="s">
        <v>852</v>
      </c>
    </row>
    <row r="787" spans="1:18" ht="15.75" hidden="1" customHeight="1" x14ac:dyDescent="0.3">
      <c r="A787" s="234" t="s">
        <v>3245</v>
      </c>
      <c r="B787" s="10"/>
      <c r="C787" s="10"/>
      <c r="D787" s="10"/>
      <c r="E787" s="38" t="s">
        <v>852</v>
      </c>
      <c r="F787" s="10"/>
      <c r="G787" s="10"/>
      <c r="H787" s="10"/>
      <c r="I787" s="38" t="s">
        <v>852</v>
      </c>
      <c r="J787" s="10"/>
      <c r="K787" s="10"/>
      <c r="L787" s="10"/>
      <c r="M787" s="38" t="s">
        <v>852</v>
      </c>
      <c r="N787" s="10"/>
      <c r="O787" s="10"/>
      <c r="P787" s="10"/>
      <c r="Q787" s="38" t="s">
        <v>852</v>
      </c>
      <c r="R787" s="38" t="s">
        <v>852</v>
      </c>
    </row>
    <row r="788" spans="1:18" ht="15.75" hidden="1" customHeight="1" thickBot="1" x14ac:dyDescent="0.35">
      <c r="A788" s="234" t="s">
        <v>2164</v>
      </c>
      <c r="B788" s="10"/>
      <c r="C788" s="10"/>
      <c r="D788" s="10"/>
      <c r="E788" s="38" t="s">
        <v>852</v>
      </c>
      <c r="F788" s="10"/>
      <c r="G788" s="10"/>
      <c r="H788" s="10"/>
      <c r="I788" s="38" t="s">
        <v>852</v>
      </c>
      <c r="J788" s="10"/>
      <c r="K788" s="10"/>
      <c r="L788" s="10"/>
      <c r="M788" s="38" t="s">
        <v>852</v>
      </c>
      <c r="N788" s="10"/>
      <c r="O788" s="10"/>
      <c r="P788" s="10"/>
      <c r="Q788" s="38" t="s">
        <v>852</v>
      </c>
      <c r="R788" s="38" t="s">
        <v>852</v>
      </c>
    </row>
    <row r="789" spans="1:18" ht="16.5" hidden="1" customHeight="1" thickBot="1" x14ac:dyDescent="0.35">
      <c r="A789" s="43" t="s">
        <v>1218</v>
      </c>
      <c r="B789" s="45">
        <f>SUM(B783:B788)</f>
        <v>0</v>
      </c>
      <c r="C789" s="46">
        <f>SUM(C783:C788)</f>
        <v>0</v>
      </c>
      <c r="D789" s="46">
        <f>SUM(D783:D788)</f>
        <v>0</v>
      </c>
      <c r="E789" s="37">
        <f>SUM(B789:D789)</f>
        <v>0</v>
      </c>
      <c r="F789" s="46">
        <f>SUM(F783:F788)</f>
        <v>0</v>
      </c>
      <c r="G789" s="46">
        <f>SUM(G783:G788)</f>
        <v>0</v>
      </c>
      <c r="H789" s="46">
        <f>SUM(H783:H788)</f>
        <v>0</v>
      </c>
      <c r="I789" s="37">
        <f>SUM(F789:H789)</f>
        <v>0</v>
      </c>
      <c r="J789" s="46">
        <f>SUM(J783:J788)</f>
        <v>0</v>
      </c>
      <c r="K789" s="46">
        <f>SUM(K783:K788)</f>
        <v>0</v>
      </c>
      <c r="L789" s="46">
        <f>SUM(L783:L788)</f>
        <v>0</v>
      </c>
      <c r="M789" s="37">
        <f>SUM(J789:L789)</f>
        <v>0</v>
      </c>
      <c r="N789" s="46">
        <f>SUM(N783:N788)</f>
        <v>0</v>
      </c>
      <c r="O789" s="46">
        <f>SUM(O783:O788)</f>
        <v>0</v>
      </c>
      <c r="P789" s="46">
        <f>SUM(P783:P788)</f>
        <v>0</v>
      </c>
      <c r="Q789" s="37">
        <f>SUM(N789:P789)</f>
        <v>0</v>
      </c>
      <c r="R789" s="37">
        <f>+E789+I789+M789+Q789</f>
        <v>0</v>
      </c>
    </row>
    <row r="790" spans="1:18" ht="15.75" hidden="1" customHeight="1" x14ac:dyDescent="0.3">
      <c r="A790" s="234" t="s">
        <v>1172</v>
      </c>
      <c r="B790" s="10"/>
      <c r="C790" s="10"/>
      <c r="D790" s="10"/>
      <c r="E790" s="38" t="s">
        <v>852</v>
      </c>
      <c r="F790" s="10"/>
      <c r="G790" s="10"/>
      <c r="H790" s="10"/>
      <c r="I790" s="38" t="s">
        <v>852</v>
      </c>
      <c r="J790" s="10"/>
      <c r="K790" s="10"/>
      <c r="L790" s="10"/>
      <c r="M790" s="38" t="s">
        <v>852</v>
      </c>
      <c r="N790" s="10"/>
      <c r="O790" s="10"/>
      <c r="P790" s="10"/>
      <c r="Q790" s="38" t="s">
        <v>852</v>
      </c>
      <c r="R790" s="38" t="s">
        <v>852</v>
      </c>
    </row>
    <row r="791" spans="1:18" ht="15.75" hidden="1" customHeight="1" x14ac:dyDescent="0.3">
      <c r="A791" s="234" t="s">
        <v>2409</v>
      </c>
      <c r="B791" s="10"/>
      <c r="C791" s="10"/>
      <c r="D791" s="10"/>
      <c r="E791" s="38" t="s">
        <v>852</v>
      </c>
      <c r="F791" s="10"/>
      <c r="G791" s="10"/>
      <c r="H791" s="10"/>
      <c r="I791" s="38" t="s">
        <v>852</v>
      </c>
      <c r="J791" s="10"/>
      <c r="K791" s="10"/>
      <c r="L791" s="10"/>
      <c r="M791" s="38" t="s">
        <v>852</v>
      </c>
      <c r="N791" s="10"/>
      <c r="O791" s="10"/>
      <c r="P791" s="10"/>
      <c r="Q791" s="38" t="s">
        <v>852</v>
      </c>
      <c r="R791" s="38" t="s">
        <v>852</v>
      </c>
    </row>
    <row r="792" spans="1:18" ht="15.75" hidden="1" customHeight="1" thickBot="1" x14ac:dyDescent="0.35">
      <c r="A792" s="234" t="s">
        <v>2165</v>
      </c>
      <c r="B792" s="10"/>
      <c r="C792" s="10"/>
      <c r="D792" s="10"/>
      <c r="E792" s="38" t="s">
        <v>852</v>
      </c>
      <c r="F792" s="10"/>
      <c r="G792" s="10"/>
      <c r="H792" s="10"/>
      <c r="I792" s="38" t="s">
        <v>852</v>
      </c>
      <c r="J792" s="10"/>
      <c r="K792" s="10"/>
      <c r="L792" s="10"/>
      <c r="M792" s="38" t="s">
        <v>852</v>
      </c>
      <c r="N792" s="10"/>
      <c r="O792" s="10"/>
      <c r="P792" s="10"/>
      <c r="Q792" s="38" t="s">
        <v>852</v>
      </c>
      <c r="R792" s="38" t="s">
        <v>852</v>
      </c>
    </row>
    <row r="793" spans="1:18" ht="16.5" hidden="1" customHeight="1" thickBot="1" x14ac:dyDescent="0.35">
      <c r="A793" s="43" t="s">
        <v>1219</v>
      </c>
      <c r="B793" s="45">
        <f>SUM(B790:B792)</f>
        <v>0</v>
      </c>
      <c r="C793" s="46">
        <f>SUM(C790:C792)</f>
        <v>0</v>
      </c>
      <c r="D793" s="46">
        <f>SUM(D790:D792)</f>
        <v>0</v>
      </c>
      <c r="E793" s="37">
        <f>SUM(B793:D793)</f>
        <v>0</v>
      </c>
      <c r="F793" s="46">
        <f>SUM(F790:F792)</f>
        <v>0</v>
      </c>
      <c r="G793" s="46">
        <f>SUM(G790:G792)</f>
        <v>0</v>
      </c>
      <c r="H793" s="46">
        <f>SUM(H790:H792)</f>
        <v>0</v>
      </c>
      <c r="I793" s="37">
        <f>SUM(F793:H793)</f>
        <v>0</v>
      </c>
      <c r="J793" s="46">
        <f>SUM(J790:J792)</f>
        <v>0</v>
      </c>
      <c r="K793" s="46">
        <f>SUM(K790:K792)</f>
        <v>0</v>
      </c>
      <c r="L793" s="46">
        <f>SUM(L790:L792)</f>
        <v>0</v>
      </c>
      <c r="M793" s="37">
        <f>SUM(J793:L793)</f>
        <v>0</v>
      </c>
      <c r="N793" s="46">
        <f>SUM(N790:N792)</f>
        <v>0</v>
      </c>
      <c r="O793" s="46">
        <f>SUM(O790:O792)</f>
        <v>0</v>
      </c>
      <c r="P793" s="46">
        <f>SUM(P790:P792)</f>
        <v>0</v>
      </c>
      <c r="Q793" s="37">
        <f>SUM(N793:P793)</f>
        <v>0</v>
      </c>
      <c r="R793" s="37">
        <f>+E793+I793+M793+Q793</f>
        <v>0</v>
      </c>
    </row>
    <row r="794" spans="1:18" ht="15.75" hidden="1" customHeight="1" x14ac:dyDescent="0.3">
      <c r="A794" s="234" t="s">
        <v>2166</v>
      </c>
      <c r="B794" s="10"/>
      <c r="C794" s="10"/>
      <c r="D794" s="10"/>
      <c r="E794" s="38" t="s">
        <v>852</v>
      </c>
      <c r="F794" s="10"/>
      <c r="G794" s="10"/>
      <c r="H794" s="10"/>
      <c r="I794" s="38" t="s">
        <v>852</v>
      </c>
      <c r="J794" s="10"/>
      <c r="K794" s="10"/>
      <c r="L794" s="10"/>
      <c r="M794" s="38" t="s">
        <v>852</v>
      </c>
      <c r="N794" s="10"/>
      <c r="O794" s="10"/>
      <c r="P794" s="10"/>
      <c r="Q794" s="38" t="s">
        <v>852</v>
      </c>
      <c r="R794" s="38" t="s">
        <v>852</v>
      </c>
    </row>
    <row r="795" spans="1:18" ht="15.75" hidden="1" customHeight="1" x14ac:dyDescent="0.3">
      <c r="A795" s="234" t="s">
        <v>1245</v>
      </c>
      <c r="B795" s="10"/>
      <c r="C795" s="10"/>
      <c r="D795" s="10"/>
      <c r="E795" s="38" t="s">
        <v>852</v>
      </c>
      <c r="F795" s="10"/>
      <c r="G795" s="10"/>
      <c r="H795" s="10"/>
      <c r="I795" s="38" t="s">
        <v>852</v>
      </c>
      <c r="J795" s="10"/>
      <c r="K795" s="10"/>
      <c r="L795" s="10"/>
      <c r="M795" s="38" t="s">
        <v>852</v>
      </c>
      <c r="N795" s="10"/>
      <c r="O795" s="10"/>
      <c r="P795" s="10"/>
      <c r="Q795" s="38" t="s">
        <v>852</v>
      </c>
      <c r="R795" s="38" t="s">
        <v>852</v>
      </c>
    </row>
    <row r="796" spans="1:18" ht="15.75" hidden="1" customHeight="1" thickBot="1" x14ac:dyDescent="0.35">
      <c r="A796" s="234" t="s">
        <v>1711</v>
      </c>
      <c r="B796" s="10"/>
      <c r="C796" s="10"/>
      <c r="D796" s="10"/>
      <c r="E796" s="38" t="s">
        <v>852</v>
      </c>
      <c r="F796" s="10"/>
      <c r="G796" s="10"/>
      <c r="H796" s="10"/>
      <c r="I796" s="38" t="s">
        <v>852</v>
      </c>
      <c r="J796" s="10"/>
      <c r="K796" s="10"/>
      <c r="L796" s="10"/>
      <c r="M796" s="38" t="s">
        <v>852</v>
      </c>
      <c r="N796" s="10"/>
      <c r="O796" s="10"/>
      <c r="P796" s="10"/>
      <c r="Q796" s="38" t="s">
        <v>852</v>
      </c>
      <c r="R796" s="38" t="s">
        <v>852</v>
      </c>
    </row>
    <row r="797" spans="1:18" ht="16.5" hidden="1" customHeight="1" thickBot="1" x14ac:dyDescent="0.35">
      <c r="A797" s="43" t="s">
        <v>1220</v>
      </c>
      <c r="B797" s="45">
        <f>SUM(B794:B796)</f>
        <v>0</v>
      </c>
      <c r="C797" s="46">
        <f>SUM(C794:C796)</f>
        <v>0</v>
      </c>
      <c r="D797" s="46">
        <f>SUM(D794:D796)</f>
        <v>0</v>
      </c>
      <c r="E797" s="37">
        <f>SUM(B797:D797)</f>
        <v>0</v>
      </c>
      <c r="F797" s="46">
        <f>SUM(F794:F796)</f>
        <v>0</v>
      </c>
      <c r="G797" s="46">
        <f>SUM(G794:G796)</f>
        <v>0</v>
      </c>
      <c r="H797" s="46">
        <f>SUM(H794:H796)</f>
        <v>0</v>
      </c>
      <c r="I797" s="37">
        <f>SUM(F797:H797)</f>
        <v>0</v>
      </c>
      <c r="J797" s="46">
        <f>SUM(J794:J796)</f>
        <v>0</v>
      </c>
      <c r="K797" s="46">
        <f>SUM(K794:K796)</f>
        <v>0</v>
      </c>
      <c r="L797" s="46">
        <f>SUM(L794:L796)</f>
        <v>0</v>
      </c>
      <c r="M797" s="37">
        <f>SUM(J797:L797)</f>
        <v>0</v>
      </c>
      <c r="N797" s="46">
        <f>SUM(N794:N796)</f>
        <v>0</v>
      </c>
      <c r="O797" s="46">
        <f>SUM(O794:O796)</f>
        <v>0</v>
      </c>
      <c r="P797" s="46">
        <f>SUM(P794:P796)</f>
        <v>0</v>
      </c>
      <c r="Q797" s="37">
        <f>SUM(N797:P797)</f>
        <v>0</v>
      </c>
      <c r="R797" s="37">
        <f>+E797+I797+M797+Q797</f>
        <v>0</v>
      </c>
    </row>
    <row r="798" spans="1:18" ht="15.75" hidden="1" customHeight="1" x14ac:dyDescent="0.3">
      <c r="A798" s="234" t="s">
        <v>1712</v>
      </c>
      <c r="B798" s="10"/>
      <c r="C798" s="10"/>
      <c r="D798" s="10"/>
      <c r="E798" s="38" t="s">
        <v>852</v>
      </c>
      <c r="F798" s="10"/>
      <c r="G798" s="10"/>
      <c r="H798" s="10"/>
      <c r="I798" s="38" t="s">
        <v>852</v>
      </c>
      <c r="J798" s="10"/>
      <c r="K798" s="10"/>
      <c r="L798" s="10"/>
      <c r="M798" s="38" t="s">
        <v>852</v>
      </c>
      <c r="N798" s="10"/>
      <c r="O798" s="10"/>
      <c r="P798" s="10"/>
      <c r="Q798" s="38" t="s">
        <v>852</v>
      </c>
      <c r="R798" s="38" t="s">
        <v>852</v>
      </c>
    </row>
    <row r="799" spans="1:18" ht="15.75" hidden="1" customHeight="1" x14ac:dyDescent="0.3">
      <c r="A799" s="234" t="s">
        <v>1021</v>
      </c>
      <c r="B799" s="10"/>
      <c r="C799" s="10"/>
      <c r="D799" s="10"/>
      <c r="E799" s="38" t="s">
        <v>852</v>
      </c>
      <c r="F799" s="10"/>
      <c r="G799" s="10"/>
      <c r="H799" s="10"/>
      <c r="I799" s="38" t="s">
        <v>852</v>
      </c>
      <c r="J799" s="10"/>
      <c r="K799" s="10"/>
      <c r="L799" s="10"/>
      <c r="M799" s="38" t="s">
        <v>852</v>
      </c>
      <c r="N799" s="10"/>
      <c r="O799" s="10"/>
      <c r="P799" s="10"/>
      <c r="Q799" s="38" t="s">
        <v>852</v>
      </c>
      <c r="R799" s="38" t="s">
        <v>852</v>
      </c>
    </row>
    <row r="800" spans="1:18" ht="15.75" hidden="1" customHeight="1" x14ac:dyDescent="0.3">
      <c r="A800" s="234" t="s">
        <v>557</v>
      </c>
      <c r="B800" s="10"/>
      <c r="C800" s="10"/>
      <c r="D800" s="10"/>
      <c r="E800" s="38" t="s">
        <v>852</v>
      </c>
      <c r="F800" s="10"/>
      <c r="G800" s="10"/>
      <c r="H800" s="10"/>
      <c r="I800" s="38" t="s">
        <v>852</v>
      </c>
      <c r="J800" s="10"/>
      <c r="K800" s="10"/>
      <c r="L800" s="10"/>
      <c r="M800" s="38" t="s">
        <v>852</v>
      </c>
      <c r="N800" s="10"/>
      <c r="O800" s="10"/>
      <c r="P800" s="10"/>
      <c r="Q800" s="38" t="s">
        <v>852</v>
      </c>
      <c r="R800" s="38" t="s">
        <v>852</v>
      </c>
    </row>
    <row r="801" spans="1:18" ht="15.75" hidden="1" customHeight="1" x14ac:dyDescent="0.3">
      <c r="A801" s="234" t="s">
        <v>1022</v>
      </c>
      <c r="B801" s="10"/>
      <c r="C801" s="10"/>
      <c r="D801" s="10"/>
      <c r="E801" s="38" t="s">
        <v>852</v>
      </c>
      <c r="F801" s="10"/>
      <c r="G801" s="10"/>
      <c r="H801" s="10"/>
      <c r="I801" s="38" t="s">
        <v>852</v>
      </c>
      <c r="J801" s="10"/>
      <c r="K801" s="10"/>
      <c r="L801" s="10"/>
      <c r="M801" s="38" t="s">
        <v>852</v>
      </c>
      <c r="N801" s="10"/>
      <c r="O801" s="10"/>
      <c r="P801" s="10"/>
      <c r="Q801" s="38" t="s">
        <v>852</v>
      </c>
      <c r="R801" s="38" t="s">
        <v>852</v>
      </c>
    </row>
    <row r="802" spans="1:18" ht="15.75" hidden="1" customHeight="1" thickBot="1" x14ac:dyDescent="0.35">
      <c r="A802" s="234" t="s">
        <v>559</v>
      </c>
      <c r="B802" s="10"/>
      <c r="C802" s="10"/>
      <c r="D802" s="10"/>
      <c r="E802" s="38" t="s">
        <v>852</v>
      </c>
      <c r="F802" s="10"/>
      <c r="G802" s="10"/>
      <c r="H802" s="10"/>
      <c r="I802" s="38" t="s">
        <v>852</v>
      </c>
      <c r="J802" s="10"/>
      <c r="K802" s="10"/>
      <c r="L802" s="10"/>
      <c r="M802" s="38" t="s">
        <v>852</v>
      </c>
      <c r="N802" s="10"/>
      <c r="O802" s="10"/>
      <c r="P802" s="10"/>
      <c r="Q802" s="38" t="s">
        <v>852</v>
      </c>
      <c r="R802" s="38" t="s">
        <v>852</v>
      </c>
    </row>
    <row r="803" spans="1:18" ht="16.5" hidden="1" customHeight="1" thickBot="1" x14ac:dyDescent="0.35">
      <c r="A803" s="43" t="s">
        <v>1019</v>
      </c>
      <c r="B803" s="42">
        <f>SUM(B801:B802)</f>
        <v>0</v>
      </c>
      <c r="C803" s="42">
        <f>SUM(C801:C802)</f>
        <v>0</v>
      </c>
      <c r="D803" s="42">
        <f>SUM(D801:D802)</f>
        <v>0</v>
      </c>
      <c r="E803" s="39">
        <f>SUM(B803:D803)</f>
        <v>0</v>
      </c>
      <c r="F803" s="42">
        <f>SUM(F801:F802)</f>
        <v>0</v>
      </c>
      <c r="G803" s="42">
        <f>SUM(G801:G802)</f>
        <v>0</v>
      </c>
      <c r="H803" s="42">
        <f>SUM(H801:H802)</f>
        <v>0</v>
      </c>
      <c r="I803" s="39">
        <f>SUM(F803:H803)</f>
        <v>0</v>
      </c>
      <c r="J803" s="42">
        <f>SUM(J801:J802)</f>
        <v>0</v>
      </c>
      <c r="K803" s="42">
        <f>SUM(K801:K802)</f>
        <v>0</v>
      </c>
      <c r="L803" s="42">
        <f>SUM(L801:L802)</f>
        <v>0</v>
      </c>
      <c r="M803" s="39">
        <f>SUM(J803:L803)</f>
        <v>0</v>
      </c>
      <c r="N803" s="42">
        <f>SUM(N801:N802)</f>
        <v>0</v>
      </c>
      <c r="O803" s="42">
        <f>SUM(O801:O802)</f>
        <v>0</v>
      </c>
      <c r="P803" s="42">
        <f>SUM(P801:P802)</f>
        <v>0</v>
      </c>
      <c r="Q803" s="39">
        <f>SUM(N803:P803)</f>
        <v>0</v>
      </c>
      <c r="R803" s="37">
        <f>+E803+I803+M803+Q803</f>
        <v>0</v>
      </c>
    </row>
    <row r="804" spans="1:18" ht="16.5" hidden="1" customHeight="1" thickBot="1" x14ac:dyDescent="0.35">
      <c r="A804" s="43" t="s">
        <v>1221</v>
      </c>
      <c r="B804" s="45">
        <f>SUM(B798:B802)</f>
        <v>0</v>
      </c>
      <c r="C804" s="46">
        <f>SUM(C798:C802)</f>
        <v>0</v>
      </c>
      <c r="D804" s="58">
        <f>SUM(D798:D802)</f>
        <v>0</v>
      </c>
      <c r="E804" s="39">
        <f>SUM(B804:D804)</f>
        <v>0</v>
      </c>
      <c r="F804" s="46">
        <f>SUM(F798:F802)</f>
        <v>0</v>
      </c>
      <c r="G804" s="46">
        <f>SUM(G798:G802)</f>
        <v>0</v>
      </c>
      <c r="H804" s="46">
        <f>SUM(H798:H802)</f>
        <v>0</v>
      </c>
      <c r="I804" s="39">
        <f>SUM(F804:H804)</f>
        <v>0</v>
      </c>
      <c r="J804" s="46">
        <f>SUM(J798:J802)</f>
        <v>0</v>
      </c>
      <c r="K804" s="46">
        <f>SUM(K798:K802)</f>
        <v>0</v>
      </c>
      <c r="L804" s="46">
        <f>SUM(L798:L802)</f>
        <v>0</v>
      </c>
      <c r="M804" s="39">
        <f>SUM(J804:L804)</f>
        <v>0</v>
      </c>
      <c r="N804" s="46">
        <f>SUM(N798:N802)</f>
        <v>0</v>
      </c>
      <c r="O804" s="46">
        <f>SUM(O798:O802)</f>
        <v>0</v>
      </c>
      <c r="P804" s="46">
        <f>SUM(P798:P802)</f>
        <v>0</v>
      </c>
      <c r="Q804" s="39">
        <f>SUM(N804:P804)</f>
        <v>0</v>
      </c>
      <c r="R804" s="37">
        <f>+E804+I804+M804+Q804</f>
        <v>0</v>
      </c>
    </row>
    <row r="805" spans="1:18" ht="16.5" hidden="1" customHeight="1" thickBot="1" x14ac:dyDescent="0.35">
      <c r="A805" s="43" t="s">
        <v>1222</v>
      </c>
      <c r="B805" s="47">
        <f>+B789+B793+B797+B804</f>
        <v>0</v>
      </c>
      <c r="C805" s="42">
        <f>+C789+C793+C797+C804</f>
        <v>0</v>
      </c>
      <c r="D805" s="42">
        <f>+D789+D793+D797+D804</f>
        <v>0</v>
      </c>
      <c r="E805" s="37">
        <f>SUM(B805:D805)</f>
        <v>0</v>
      </c>
      <c r="F805" s="42">
        <f>+F789+F793+F797+F804</f>
        <v>0</v>
      </c>
      <c r="G805" s="42">
        <f>+G789+G793+G797+G804</f>
        <v>0</v>
      </c>
      <c r="H805" s="42">
        <f>+H789+H793+H797+H804</f>
        <v>0</v>
      </c>
      <c r="I805" s="37">
        <f>SUM(F805:H805)</f>
        <v>0</v>
      </c>
      <c r="J805" s="42">
        <f>+J789+J793+J797+J804</f>
        <v>0</v>
      </c>
      <c r="K805" s="42">
        <f>+K789+K793+K797+K804</f>
        <v>0</v>
      </c>
      <c r="L805" s="42">
        <f>+L789+L793+L797+L804</f>
        <v>0</v>
      </c>
      <c r="M805" s="37">
        <f>SUM(J805:L805)</f>
        <v>0</v>
      </c>
      <c r="N805" s="42">
        <f>+N789+N793+N797+N804</f>
        <v>0</v>
      </c>
      <c r="O805" s="42">
        <f>+O789+O793+O797+O804</f>
        <v>0</v>
      </c>
      <c r="P805" s="42">
        <f>+P789+P793+P797+P804</f>
        <v>0</v>
      </c>
      <c r="Q805" s="37">
        <f>SUM(N805:P805)</f>
        <v>0</v>
      </c>
      <c r="R805" s="40">
        <f>+E805+I805+M805+Q805</f>
        <v>0</v>
      </c>
    </row>
    <row r="806" spans="1:18" ht="15.75" hidden="1" customHeight="1" x14ac:dyDescent="0.3">
      <c r="A806" s="310" t="s">
        <v>2117</v>
      </c>
      <c r="B806" s="10">
        <v>3805</v>
      </c>
      <c r="C806" s="10">
        <v>3805</v>
      </c>
      <c r="D806" s="10">
        <v>4757</v>
      </c>
      <c r="E806" s="38">
        <f>SUM(B806:D806)</f>
        <v>12367</v>
      </c>
      <c r="F806" s="10">
        <v>5708</v>
      </c>
      <c r="G806" s="10">
        <v>6659</v>
      </c>
      <c r="H806" s="10">
        <v>6850</v>
      </c>
      <c r="I806" s="38">
        <f>SUM(F806:H806)</f>
        <v>19217</v>
      </c>
      <c r="J806" s="10">
        <v>6184</v>
      </c>
      <c r="K806" s="10">
        <v>5708</v>
      </c>
      <c r="L806" s="10">
        <v>5232</v>
      </c>
      <c r="M806" s="38">
        <f>SUM(J806:L806)</f>
        <v>17124</v>
      </c>
      <c r="N806" s="10">
        <v>4757</v>
      </c>
      <c r="O806" s="10">
        <v>4281</v>
      </c>
      <c r="P806" s="10">
        <v>3805</v>
      </c>
      <c r="Q806" s="38">
        <f>SUM(N806:P806)</f>
        <v>12843</v>
      </c>
      <c r="R806" s="38">
        <f>+E806+I806+M806+Q806</f>
        <v>61551</v>
      </c>
    </row>
    <row r="807" spans="1:18" ht="15.75" hidden="1" customHeight="1" thickBot="1" x14ac:dyDescent="0.35">
      <c r="A807" s="310" t="s">
        <v>853</v>
      </c>
      <c r="B807" s="10">
        <v>0</v>
      </c>
      <c r="C807" s="10">
        <v>0</v>
      </c>
      <c r="D807" s="10">
        <v>0</v>
      </c>
      <c r="E807" s="38">
        <f>SUM(B807:D807)</f>
        <v>0</v>
      </c>
      <c r="F807" s="10">
        <v>0</v>
      </c>
      <c r="G807" s="10">
        <v>0</v>
      </c>
      <c r="H807" s="10">
        <v>0</v>
      </c>
      <c r="I807" s="38">
        <f>SUM(F807:H807)</f>
        <v>0</v>
      </c>
      <c r="J807" s="10">
        <v>0</v>
      </c>
      <c r="K807" s="10">
        <v>0</v>
      </c>
      <c r="L807" s="10">
        <v>0</v>
      </c>
      <c r="M807" s="38">
        <f>SUM(J807:L807)</f>
        <v>0</v>
      </c>
      <c r="N807" s="10">
        <v>0</v>
      </c>
      <c r="O807" s="10">
        <v>0</v>
      </c>
      <c r="P807" s="10">
        <v>0</v>
      </c>
      <c r="Q807" s="38">
        <f>SUM(N807:P807)</f>
        <v>0</v>
      </c>
      <c r="R807" s="38">
        <f>+E807+I807+M807+Q807</f>
        <v>0</v>
      </c>
    </row>
    <row r="808" spans="1:18" ht="16.5" hidden="1" customHeight="1" thickBot="1" x14ac:dyDescent="0.35">
      <c r="A808" s="281"/>
      <c r="B808" s="301"/>
      <c r="C808" s="301"/>
      <c r="D808" s="301"/>
      <c r="E808" s="37" t="s">
        <v>852</v>
      </c>
      <c r="F808" s="301"/>
      <c r="G808" s="301"/>
      <c r="H808" s="301"/>
      <c r="I808" s="37" t="s">
        <v>852</v>
      </c>
      <c r="J808" s="301"/>
      <c r="K808" s="301"/>
      <c r="L808" s="301"/>
      <c r="M808" s="37" t="s">
        <v>852</v>
      </c>
      <c r="N808" s="301"/>
      <c r="O808" s="301"/>
      <c r="P808" s="301"/>
      <c r="Q808" s="37"/>
      <c r="R808" s="37"/>
    </row>
    <row r="809" spans="1:18" ht="15.75" hidden="1" customHeight="1" x14ac:dyDescent="0.3">
      <c r="A809" s="234" t="s">
        <v>2011</v>
      </c>
      <c r="B809" s="10">
        <f>SUM(B805:B807)</f>
        <v>3805</v>
      </c>
      <c r="C809" s="10">
        <f>SUM(C805:C807)</f>
        <v>3805</v>
      </c>
      <c r="D809" s="10">
        <f>SUM(D805:D807)</f>
        <v>4757</v>
      </c>
      <c r="E809" s="39">
        <f>SUM(B809:D809)</f>
        <v>12367</v>
      </c>
      <c r="F809" s="10">
        <f>SUM(F805:F807)</f>
        <v>5708</v>
      </c>
      <c r="G809" s="10">
        <f>SUM(G805:G807)</f>
        <v>6659</v>
      </c>
      <c r="H809" s="10">
        <f>SUM(H805:H807)</f>
        <v>6850</v>
      </c>
      <c r="I809" s="39">
        <f>SUM(F809:H809)</f>
        <v>19217</v>
      </c>
      <c r="J809" s="10">
        <f>SUM(J805:J807)</f>
        <v>6184</v>
      </c>
      <c r="K809" s="10">
        <f>SUM(K805:K807)</f>
        <v>5708</v>
      </c>
      <c r="L809" s="10">
        <f>SUM(L805:L807)</f>
        <v>5232</v>
      </c>
      <c r="M809" s="39">
        <f>SUM(J809:L809)</f>
        <v>17124</v>
      </c>
      <c r="N809" s="10">
        <f>SUM(N805:N807)</f>
        <v>4757</v>
      </c>
      <c r="O809" s="10">
        <f>SUM(O805:O807)</f>
        <v>4281</v>
      </c>
      <c r="P809" s="10">
        <f>SUM(P805:P807)</f>
        <v>3805</v>
      </c>
      <c r="Q809" s="39">
        <f>SUM(N809:P809)</f>
        <v>12843</v>
      </c>
      <c r="R809" s="39">
        <f>+E809+I809+M809+Q809</f>
        <v>61551</v>
      </c>
    </row>
    <row r="810" spans="1:18" ht="15.75" hidden="1" customHeight="1" x14ac:dyDescent="0.3">
      <c r="A810" s="234" t="s">
        <v>1897</v>
      </c>
      <c r="B810" s="10">
        <f>(B809/B10)/1.983</f>
        <v>61.897093032713542</v>
      </c>
      <c r="C810" s="10">
        <f>(C809/C10)/1.983</f>
        <v>68.528924429075715</v>
      </c>
      <c r="D810" s="10">
        <f>(D809/D10)/1.983</f>
        <v>77.383566769150676</v>
      </c>
      <c r="E810" s="38" t="s">
        <v>852</v>
      </c>
      <c r="F810" s="10">
        <f>(F809/F10)/1.983</f>
        <v>95.948898974617592</v>
      </c>
      <c r="G810" s="10">
        <f>(G809/G10)/1.983</f>
        <v>108.32397963333496</v>
      </c>
      <c r="H810" s="10">
        <f>(H809/H10)/1.983</f>
        <v>115.14540258867036</v>
      </c>
      <c r="I810" s="38" t="s">
        <v>852</v>
      </c>
      <c r="J810" s="10">
        <f>(J809/J10)/1.983</f>
        <v>100.59701006946138</v>
      </c>
      <c r="K810" s="10">
        <f>(K809/K10)/1.983</f>
        <v>92.853773201242817</v>
      </c>
      <c r="L810" s="10">
        <f>(L809/L10)/1.983</f>
        <v>87.947554210791722</v>
      </c>
      <c r="M810" s="38" t="s">
        <v>852</v>
      </c>
      <c r="N810" s="10">
        <f>(N809/N10)/1.983</f>
        <v>77.383566769150676</v>
      </c>
      <c r="O810" s="10">
        <f>(O809/O10)/1.983</f>
        <v>71.961674230963183</v>
      </c>
      <c r="P810" s="10">
        <f>(P809/P10)/1.983</f>
        <v>61.897093032713542</v>
      </c>
      <c r="Q810" s="38" t="s">
        <v>852</v>
      </c>
      <c r="R810" s="38" t="s">
        <v>852</v>
      </c>
    </row>
    <row r="811" spans="1:18" ht="15.75" hidden="1" customHeight="1" x14ac:dyDescent="0.3">
      <c r="A811" s="234" t="s">
        <v>647</v>
      </c>
      <c r="B811" s="10">
        <f>B809</f>
        <v>3805</v>
      </c>
      <c r="C811" s="10">
        <f>C809</f>
        <v>3805</v>
      </c>
      <c r="D811" s="10">
        <f>D809</f>
        <v>4757</v>
      </c>
      <c r="E811" s="38">
        <f>SUM(B811:D811)</f>
        <v>12367</v>
      </c>
      <c r="F811" s="10">
        <f>F809</f>
        <v>5708</v>
      </c>
      <c r="G811" s="10">
        <f>G809</f>
        <v>6659</v>
      </c>
      <c r="H811" s="10">
        <f>H809</f>
        <v>6850</v>
      </c>
      <c r="I811" s="38">
        <f>SUM(F811:H811)</f>
        <v>19217</v>
      </c>
      <c r="J811" s="10">
        <f>J809</f>
        <v>6184</v>
      </c>
      <c r="K811" s="10">
        <f>K809</f>
        <v>5708</v>
      </c>
      <c r="L811" s="10">
        <f>L809</f>
        <v>5232</v>
      </c>
      <c r="M811" s="38">
        <f>SUM(J811:L811)</f>
        <v>17124</v>
      </c>
      <c r="N811" s="10">
        <f>N809</f>
        <v>4757</v>
      </c>
      <c r="O811" s="10">
        <f>O809</f>
        <v>4281</v>
      </c>
      <c r="P811" s="10">
        <f>P809</f>
        <v>3805</v>
      </c>
      <c r="Q811" s="38">
        <f>SUM(N811:P811)</f>
        <v>12843</v>
      </c>
      <c r="R811" s="38">
        <f>+E811+I811+M811+Q811</f>
        <v>61551</v>
      </c>
    </row>
    <row r="812" spans="1:18" ht="16.5" hidden="1" customHeight="1" thickBot="1" x14ac:dyDescent="0.35">
      <c r="A812" s="237" t="s">
        <v>2191</v>
      </c>
      <c r="B812" s="294">
        <f>(B811/B10)/1.983</f>
        <v>61.897093032713542</v>
      </c>
      <c r="C812" s="294">
        <f>(C811/C10)/1.983</f>
        <v>68.528924429075715</v>
      </c>
      <c r="D812" s="294">
        <f>(D811/D10)/1.983</f>
        <v>77.383566769150676</v>
      </c>
      <c r="E812" s="40" t="s">
        <v>852</v>
      </c>
      <c r="F812" s="294">
        <f>(F811/F10)/1.983</f>
        <v>95.948898974617592</v>
      </c>
      <c r="G812" s="294">
        <f>(G811/G10)/1.983</f>
        <v>108.32397963333496</v>
      </c>
      <c r="H812" s="294">
        <f>(H811/H10)/1.983</f>
        <v>115.14540258867036</v>
      </c>
      <c r="I812" s="40" t="s">
        <v>852</v>
      </c>
      <c r="J812" s="294">
        <f>(J811/J10)/1.983</f>
        <v>100.59701006946138</v>
      </c>
      <c r="K812" s="294">
        <f>(K811/K10)/1.983</f>
        <v>92.853773201242817</v>
      </c>
      <c r="L812" s="294">
        <f>(L811/L10)/1.983</f>
        <v>87.947554210791722</v>
      </c>
      <c r="M812" s="40" t="s">
        <v>852</v>
      </c>
      <c r="N812" s="294">
        <f>(N811/N10)/1.983</f>
        <v>77.383566769150676</v>
      </c>
      <c r="O812" s="294">
        <f>(O811/O10)/1.983</f>
        <v>71.961674230963183</v>
      </c>
      <c r="P812" s="294">
        <f>(P811/P10)/1.983</f>
        <v>61.897093032713542</v>
      </c>
      <c r="Q812" s="40" t="s">
        <v>852</v>
      </c>
      <c r="R812" s="40" t="s">
        <v>852</v>
      </c>
    </row>
    <row r="813" spans="1:18" ht="15.75" hidden="1" customHeight="1" x14ac:dyDescent="0.3">
      <c r="A813" s="17"/>
      <c r="B813" s="10"/>
      <c r="C813" s="10"/>
      <c r="D813" s="10"/>
      <c r="E813" s="10"/>
      <c r="F813" s="10"/>
      <c r="G813" s="10"/>
      <c r="H813" s="10"/>
      <c r="I813" s="10"/>
      <c r="J813" s="10"/>
      <c r="K813" s="10"/>
      <c r="L813" s="10"/>
      <c r="M813" s="10"/>
      <c r="N813" s="10"/>
      <c r="O813" s="10"/>
      <c r="P813" s="10"/>
      <c r="Q813" s="10"/>
      <c r="R813" s="17"/>
    </row>
    <row r="814" spans="1:18" ht="15.75" hidden="1" customHeight="1" thickBot="1" x14ac:dyDescent="0.35">
      <c r="A814" s="17"/>
      <c r="B814" s="10"/>
      <c r="C814" s="10"/>
      <c r="D814" s="10"/>
      <c r="E814" s="10"/>
      <c r="F814" s="10"/>
      <c r="G814" s="10"/>
      <c r="H814" s="10"/>
      <c r="I814" s="10"/>
      <c r="J814" s="10"/>
      <c r="K814" s="10"/>
      <c r="L814" s="10"/>
      <c r="M814" s="10"/>
      <c r="N814" s="10"/>
      <c r="O814" s="10"/>
      <c r="P814" s="10"/>
      <c r="Q814" s="10"/>
      <c r="R814" s="17"/>
    </row>
    <row r="815" spans="1:18" ht="16.5" hidden="1" customHeight="1" thickBot="1" x14ac:dyDescent="0.35">
      <c r="A815" s="278" t="s">
        <v>2192</v>
      </c>
      <c r="B815" s="4" t="s">
        <v>2090</v>
      </c>
      <c r="C815" s="5" t="s">
        <v>2091</v>
      </c>
      <c r="D815" s="5" t="s">
        <v>2234</v>
      </c>
      <c r="E815" s="33" t="s">
        <v>1594</v>
      </c>
      <c r="F815" s="5" t="s">
        <v>2235</v>
      </c>
      <c r="G815" s="5" t="s">
        <v>2236</v>
      </c>
      <c r="H815" s="5" t="s">
        <v>2237</v>
      </c>
      <c r="I815" s="35" t="s">
        <v>1595</v>
      </c>
      <c r="J815" s="5" t="s">
        <v>1504</v>
      </c>
      <c r="K815" s="5" t="s">
        <v>1505</v>
      </c>
      <c r="L815" s="5" t="s">
        <v>1506</v>
      </c>
      <c r="M815" s="35" t="s">
        <v>1596</v>
      </c>
      <c r="N815" s="5" t="s">
        <v>1507</v>
      </c>
      <c r="O815" s="5" t="s">
        <v>1508</v>
      </c>
      <c r="P815" s="5" t="s">
        <v>1509</v>
      </c>
      <c r="Q815" s="35" t="s">
        <v>1597</v>
      </c>
      <c r="R815" s="60" t="s">
        <v>1510</v>
      </c>
    </row>
    <row r="816" spans="1:18" ht="16.5" hidden="1" customHeight="1" thickBot="1" x14ac:dyDescent="0.35">
      <c r="A816" s="22"/>
      <c r="B816" s="297"/>
      <c r="C816" s="297"/>
      <c r="D816" s="297"/>
      <c r="E816" s="302"/>
      <c r="F816" s="297"/>
      <c r="G816" s="297"/>
      <c r="H816" s="297"/>
      <c r="I816" s="325"/>
      <c r="J816" s="297"/>
      <c r="K816" s="297"/>
      <c r="L816" s="297"/>
      <c r="M816" s="325"/>
      <c r="N816" s="297"/>
      <c r="O816" s="297"/>
      <c r="P816" s="297"/>
      <c r="Q816" s="326"/>
      <c r="R816" s="61"/>
    </row>
    <row r="817" spans="1:20" ht="15.75" hidden="1" customHeight="1" x14ac:dyDescent="0.3">
      <c r="A817" s="234" t="s">
        <v>2417</v>
      </c>
      <c r="B817" s="10" t="s">
        <v>852</v>
      </c>
      <c r="C817" s="10" t="s">
        <v>852</v>
      </c>
      <c r="D817" s="10" t="s">
        <v>852</v>
      </c>
      <c r="E817" s="327"/>
      <c r="F817" s="10" t="s">
        <v>852</v>
      </c>
      <c r="G817" s="10" t="s">
        <v>852</v>
      </c>
      <c r="H817" s="10" t="s">
        <v>852</v>
      </c>
      <c r="I817" s="327"/>
      <c r="J817" s="10" t="s">
        <v>852</v>
      </c>
      <c r="K817" s="10" t="s">
        <v>852</v>
      </c>
      <c r="L817" s="10" t="s">
        <v>852</v>
      </c>
      <c r="M817" s="327"/>
      <c r="N817" s="10" t="s">
        <v>852</v>
      </c>
      <c r="O817" s="10" t="s">
        <v>852</v>
      </c>
      <c r="P817" s="10" t="s">
        <v>852</v>
      </c>
      <c r="Q817" s="328"/>
      <c r="R817" s="62" t="s">
        <v>852</v>
      </c>
    </row>
    <row r="818" spans="1:20" ht="15.75" hidden="1" customHeight="1" x14ac:dyDescent="0.3">
      <c r="A818" s="234" t="s">
        <v>2160</v>
      </c>
      <c r="B818" s="10"/>
      <c r="C818" s="10"/>
      <c r="D818" s="10"/>
      <c r="E818" s="38" t="s">
        <v>852</v>
      </c>
      <c r="F818" s="10"/>
      <c r="G818" s="10"/>
      <c r="H818" s="10"/>
      <c r="I818" s="38" t="s">
        <v>852</v>
      </c>
      <c r="J818" s="10"/>
      <c r="K818" s="10"/>
      <c r="L818" s="10"/>
      <c r="M818" s="38" t="s">
        <v>852</v>
      </c>
      <c r="N818" s="10"/>
      <c r="O818" s="10"/>
      <c r="P818" s="10"/>
      <c r="Q818" s="38" t="s">
        <v>852</v>
      </c>
      <c r="R818" s="38" t="s">
        <v>852</v>
      </c>
    </row>
    <row r="819" spans="1:20" ht="15.75" hidden="1" customHeight="1" x14ac:dyDescent="0.3">
      <c r="A819" s="539" t="s">
        <v>3095</v>
      </c>
      <c r="B819" s="10"/>
      <c r="C819" s="10"/>
      <c r="D819" s="10">
        <v>200</v>
      </c>
      <c r="E819" s="38">
        <f t="shared" ref="E819:E824" si="281">SUM(B819:D819)</f>
        <v>200</v>
      </c>
      <c r="F819" s="10">
        <v>400</v>
      </c>
      <c r="G819" s="10">
        <v>500</v>
      </c>
      <c r="H819" s="10">
        <v>500</v>
      </c>
      <c r="I819" s="38">
        <f t="shared" ref="I819:I824" si="282">SUM(F819:H819)</f>
        <v>1400</v>
      </c>
      <c r="J819" s="10">
        <v>450</v>
      </c>
      <c r="K819" s="10">
        <v>400</v>
      </c>
      <c r="L819" s="10">
        <v>408</v>
      </c>
      <c r="M819" s="38">
        <f t="shared" ref="M819:M824" si="283">SUM(J819:L819)</f>
        <v>1258</v>
      </c>
      <c r="N819" s="10"/>
      <c r="O819" s="10"/>
      <c r="P819" s="10"/>
      <c r="Q819" s="38">
        <f t="shared" ref="Q819:Q824" si="284">SUM(N819:P819)</f>
        <v>0</v>
      </c>
      <c r="R819" s="38">
        <f t="shared" ref="R819:R824" si="285">+E819+I819+M819+Q819</f>
        <v>2858</v>
      </c>
      <c r="T819" t="s">
        <v>2765</v>
      </c>
    </row>
    <row r="820" spans="1:20" ht="15.75" hidden="1" customHeight="1" x14ac:dyDescent="0.3">
      <c r="A820" s="310" t="s">
        <v>1910</v>
      </c>
      <c r="B820" s="10"/>
      <c r="C820" s="10"/>
      <c r="D820" s="10"/>
      <c r="E820" s="38">
        <f t="shared" si="281"/>
        <v>0</v>
      </c>
      <c r="F820" s="10"/>
      <c r="G820" s="10"/>
      <c r="H820" s="10"/>
      <c r="I820" s="38">
        <f t="shared" si="282"/>
        <v>0</v>
      </c>
      <c r="J820" s="10"/>
      <c r="K820" s="10"/>
      <c r="L820" s="10"/>
      <c r="M820" s="38">
        <f t="shared" si="283"/>
        <v>0</v>
      </c>
      <c r="N820" s="10"/>
      <c r="O820" s="10"/>
      <c r="P820" s="10"/>
      <c r="Q820" s="38">
        <f t="shared" si="284"/>
        <v>0</v>
      </c>
      <c r="R820" s="38">
        <f t="shared" si="285"/>
        <v>0</v>
      </c>
    </row>
    <row r="821" spans="1:20" ht="15.75" hidden="1" customHeight="1" x14ac:dyDescent="0.3">
      <c r="A821" s="539" t="s">
        <v>604</v>
      </c>
      <c r="B821" s="10"/>
      <c r="C821" s="10"/>
      <c r="D821" s="10"/>
      <c r="E821" s="38">
        <f t="shared" si="281"/>
        <v>0</v>
      </c>
      <c r="F821" s="10"/>
      <c r="G821" s="10"/>
      <c r="H821" s="10"/>
      <c r="I821" s="38">
        <f t="shared" si="282"/>
        <v>0</v>
      </c>
      <c r="J821" s="10"/>
      <c r="K821" s="10"/>
      <c r="L821" s="10"/>
      <c r="M821" s="38">
        <f t="shared" si="283"/>
        <v>0</v>
      </c>
      <c r="N821" s="10"/>
      <c r="O821" s="10"/>
      <c r="P821" s="10"/>
      <c r="Q821" s="38">
        <f t="shared" si="284"/>
        <v>0</v>
      </c>
      <c r="R821" s="38">
        <f t="shared" si="285"/>
        <v>0</v>
      </c>
    </row>
    <row r="822" spans="1:20" ht="15.75" hidden="1" customHeight="1" x14ac:dyDescent="0.3">
      <c r="A822" s="539" t="s">
        <v>2996</v>
      </c>
      <c r="B822" s="10">
        <v>250</v>
      </c>
      <c r="C822" s="10"/>
      <c r="D822" s="10"/>
      <c r="E822" s="38">
        <f t="shared" si="281"/>
        <v>250</v>
      </c>
      <c r="F822" s="10"/>
      <c r="G822" s="10"/>
      <c r="H822" s="10"/>
      <c r="I822" s="38">
        <f t="shared" si="282"/>
        <v>0</v>
      </c>
      <c r="J822" s="10"/>
      <c r="K822" s="10"/>
      <c r="L822" s="10"/>
      <c r="M822" s="38">
        <f t="shared" si="283"/>
        <v>0</v>
      </c>
      <c r="N822" s="10"/>
      <c r="O822" s="10"/>
      <c r="P822" s="10"/>
      <c r="Q822" s="38">
        <f t="shared" si="284"/>
        <v>0</v>
      </c>
      <c r="R822" s="38">
        <f t="shared" si="285"/>
        <v>250</v>
      </c>
    </row>
    <row r="823" spans="1:20" ht="15.75" hidden="1" customHeight="1" x14ac:dyDescent="0.3">
      <c r="A823" s="539" t="s">
        <v>3401</v>
      </c>
      <c r="B823" s="10"/>
      <c r="C823" s="10"/>
      <c r="D823" s="10"/>
      <c r="E823" s="38">
        <f t="shared" si="281"/>
        <v>0</v>
      </c>
      <c r="F823" s="10"/>
      <c r="G823" s="10"/>
      <c r="H823" s="10"/>
      <c r="I823" s="38">
        <f t="shared" si="282"/>
        <v>0</v>
      </c>
      <c r="J823" s="10"/>
      <c r="K823" s="10">
        <v>800</v>
      </c>
      <c r="L823" s="10">
        <v>1300</v>
      </c>
      <c r="M823" s="38">
        <f t="shared" si="283"/>
        <v>2100</v>
      </c>
      <c r="N823" s="10">
        <v>800</v>
      </c>
      <c r="O823" s="10"/>
      <c r="P823" s="10"/>
      <c r="Q823" s="38">
        <f t="shared" si="284"/>
        <v>800</v>
      </c>
      <c r="R823" s="38">
        <f t="shared" si="285"/>
        <v>2900</v>
      </c>
    </row>
    <row r="824" spans="1:20" ht="15.75" hidden="1" customHeight="1" x14ac:dyDescent="0.3">
      <c r="A824" s="539" t="s">
        <v>715</v>
      </c>
      <c r="B824" s="10">
        <v>2352</v>
      </c>
      <c r="C824" s="10">
        <v>2554</v>
      </c>
      <c r="D824" s="10">
        <v>2016</v>
      </c>
      <c r="E824" s="38">
        <f t="shared" si="281"/>
        <v>6922</v>
      </c>
      <c r="F824" s="10">
        <v>2099</v>
      </c>
      <c r="G824" s="10">
        <v>2204</v>
      </c>
      <c r="H824" s="10">
        <v>2000</v>
      </c>
      <c r="I824" s="38">
        <f t="shared" si="282"/>
        <v>6303</v>
      </c>
      <c r="J824" s="10"/>
      <c r="K824" s="10">
        <v>3000</v>
      </c>
      <c r="L824" s="10">
        <v>2479</v>
      </c>
      <c r="M824" s="38">
        <f t="shared" si="283"/>
        <v>5479</v>
      </c>
      <c r="N824" s="10">
        <v>2000</v>
      </c>
      <c r="O824" s="10">
        <v>1296</v>
      </c>
      <c r="P824" s="10"/>
      <c r="Q824" s="38">
        <f t="shared" si="284"/>
        <v>3296</v>
      </c>
      <c r="R824" s="38">
        <f t="shared" si="285"/>
        <v>22000</v>
      </c>
    </row>
    <row r="825" spans="1:20" ht="15.75" hidden="1" customHeight="1" x14ac:dyDescent="0.3">
      <c r="A825" s="234" t="s">
        <v>2161</v>
      </c>
      <c r="B825" s="10"/>
      <c r="C825" s="10"/>
      <c r="D825" s="10"/>
      <c r="E825" s="38" t="s">
        <v>852</v>
      </c>
      <c r="F825" s="10"/>
      <c r="G825" s="10"/>
      <c r="H825" s="10"/>
      <c r="I825" s="38" t="s">
        <v>852</v>
      </c>
      <c r="J825" s="10"/>
      <c r="K825" s="10"/>
      <c r="L825" s="10"/>
      <c r="M825" s="38" t="s">
        <v>852</v>
      </c>
      <c r="N825" s="10"/>
      <c r="O825" s="10"/>
      <c r="P825" s="10"/>
      <c r="Q825" s="38" t="s">
        <v>852</v>
      </c>
      <c r="R825" s="38" t="s">
        <v>852</v>
      </c>
    </row>
    <row r="826" spans="1:20" ht="15.75" hidden="1" customHeight="1" x14ac:dyDescent="0.3">
      <c r="A826" s="234" t="s">
        <v>3245</v>
      </c>
      <c r="B826" s="10"/>
      <c r="C826" s="10"/>
      <c r="D826" s="10"/>
      <c r="E826" s="38" t="s">
        <v>852</v>
      </c>
      <c r="F826" s="10"/>
      <c r="G826" s="10"/>
      <c r="H826" s="10"/>
      <c r="I826" s="38" t="s">
        <v>852</v>
      </c>
      <c r="J826" s="10"/>
      <c r="K826" s="10"/>
      <c r="L826" s="10"/>
      <c r="M826" s="38" t="s">
        <v>852</v>
      </c>
      <c r="N826" s="10"/>
      <c r="O826" s="10"/>
      <c r="P826" s="10"/>
      <c r="Q826" s="38" t="s">
        <v>852</v>
      </c>
      <c r="R826" s="38" t="s">
        <v>852</v>
      </c>
    </row>
    <row r="827" spans="1:20" ht="15.75" hidden="1" customHeight="1" x14ac:dyDescent="0.3">
      <c r="A827" s="539" t="s">
        <v>3266</v>
      </c>
      <c r="B827" s="10"/>
      <c r="C827" s="10"/>
      <c r="D827" s="10"/>
      <c r="E827" s="38">
        <f>SUM(B827:D827)</f>
        <v>0</v>
      </c>
      <c r="F827" s="10"/>
      <c r="G827" s="10"/>
      <c r="H827" s="10"/>
      <c r="I827" s="38">
        <f>SUM(F827:H827)</f>
        <v>0</v>
      </c>
      <c r="J827" s="10"/>
      <c r="K827" s="10"/>
      <c r="L827" s="10"/>
      <c r="M827" s="38">
        <f>SUM(J827:L827)</f>
        <v>0</v>
      </c>
      <c r="N827" s="10"/>
      <c r="O827" s="10"/>
      <c r="P827" s="10"/>
      <c r="Q827" s="38">
        <f>SUM(N827:P827)</f>
        <v>0</v>
      </c>
      <c r="R827" s="38">
        <f>+E827+I827+M827+Q827</f>
        <v>0</v>
      </c>
      <c r="S827" s="735" t="s">
        <v>3214</v>
      </c>
    </row>
    <row r="828" spans="1:20" ht="15.75" hidden="1" customHeight="1" thickBot="1" x14ac:dyDescent="0.35">
      <c r="A828" s="234" t="s">
        <v>2164</v>
      </c>
      <c r="B828" s="10"/>
      <c r="C828" s="10"/>
      <c r="D828" s="10"/>
      <c r="E828" s="38" t="s">
        <v>852</v>
      </c>
      <c r="F828" s="10"/>
      <c r="G828" s="10"/>
      <c r="H828" s="10"/>
      <c r="I828" s="38" t="s">
        <v>852</v>
      </c>
      <c r="J828" s="10"/>
      <c r="K828" s="10"/>
      <c r="L828" s="10"/>
      <c r="M828" s="38" t="s">
        <v>852</v>
      </c>
      <c r="N828" s="10"/>
      <c r="O828" s="10"/>
      <c r="P828" s="10"/>
      <c r="Q828" s="38" t="s">
        <v>852</v>
      </c>
      <c r="R828" s="38" t="s">
        <v>852</v>
      </c>
    </row>
    <row r="829" spans="1:20" ht="16.5" hidden="1" customHeight="1" thickBot="1" x14ac:dyDescent="0.35">
      <c r="A829" s="43" t="s">
        <v>1218</v>
      </c>
      <c r="B829" s="45">
        <f>SUM(B817:B828)</f>
        <v>2602</v>
      </c>
      <c r="C829" s="46">
        <f>SUM(C817:C828)</f>
        <v>2554</v>
      </c>
      <c r="D829" s="46">
        <f>SUM(D817:D828)</f>
        <v>2216</v>
      </c>
      <c r="E829" s="37">
        <f>SUM(B829:D829)</f>
        <v>7372</v>
      </c>
      <c r="F829" s="46">
        <f>SUM(F817:F828)</f>
        <v>2499</v>
      </c>
      <c r="G829" s="46">
        <f>SUM(G817:G828)</f>
        <v>2704</v>
      </c>
      <c r="H829" s="46">
        <f>SUM(H817:H828)</f>
        <v>2500</v>
      </c>
      <c r="I829" s="37">
        <f>SUM(F829:H829)</f>
        <v>7703</v>
      </c>
      <c r="J829" s="46">
        <f>SUM(J817:J828)</f>
        <v>450</v>
      </c>
      <c r="K829" s="46">
        <f>SUM(K817:K828)</f>
        <v>4200</v>
      </c>
      <c r="L829" s="46">
        <f>SUM(L817:L828)</f>
        <v>4187</v>
      </c>
      <c r="M829" s="37">
        <f>SUM(J829:L829)</f>
        <v>8837</v>
      </c>
      <c r="N829" s="46">
        <f>SUM(N817:N828)</f>
        <v>2800</v>
      </c>
      <c r="O829" s="46">
        <f>SUM(O817:O828)</f>
        <v>1296</v>
      </c>
      <c r="P829" s="46">
        <f>SUM(P817:P828)</f>
        <v>0</v>
      </c>
      <c r="Q829" s="37">
        <f>SUM(N829:P829)</f>
        <v>4096</v>
      </c>
      <c r="R829" s="37">
        <f>+E829+I829+M829+Q829</f>
        <v>28008</v>
      </c>
    </row>
    <row r="830" spans="1:20" ht="15.75" hidden="1" customHeight="1" x14ac:dyDescent="0.3">
      <c r="A830" s="234" t="s">
        <v>1172</v>
      </c>
      <c r="B830" s="10"/>
      <c r="C830" s="10"/>
      <c r="D830" s="10"/>
      <c r="E830" s="38" t="s">
        <v>852</v>
      </c>
      <c r="F830" s="10"/>
      <c r="G830" s="10"/>
      <c r="H830" s="10"/>
      <c r="I830" s="38" t="s">
        <v>852</v>
      </c>
      <c r="J830" s="10"/>
      <c r="K830" s="10"/>
      <c r="L830" s="10"/>
      <c r="M830" s="38" t="s">
        <v>852</v>
      </c>
      <c r="N830" s="10"/>
      <c r="O830" s="10"/>
      <c r="P830" s="10"/>
      <c r="Q830" s="38" t="s">
        <v>852</v>
      </c>
      <c r="R830" s="38" t="s">
        <v>852</v>
      </c>
    </row>
    <row r="831" spans="1:20" ht="15.75" hidden="1" customHeight="1" x14ac:dyDescent="0.3">
      <c r="A831" s="234" t="s">
        <v>2409</v>
      </c>
      <c r="B831" s="10"/>
      <c r="C831" s="10"/>
      <c r="D831" s="10"/>
      <c r="E831" s="38" t="s">
        <v>852</v>
      </c>
      <c r="F831" s="10"/>
      <c r="G831" s="10"/>
      <c r="H831" s="10"/>
      <c r="I831" s="38" t="s">
        <v>852</v>
      </c>
      <c r="J831" s="10"/>
      <c r="K831" s="10"/>
      <c r="L831" s="10"/>
      <c r="M831" s="38" t="s">
        <v>852</v>
      </c>
      <c r="N831" s="10"/>
      <c r="O831" s="10"/>
      <c r="P831" s="10"/>
      <c r="Q831" s="38" t="s">
        <v>852</v>
      </c>
      <c r="R831" s="38" t="s">
        <v>852</v>
      </c>
    </row>
    <row r="832" spans="1:20" ht="15.75" hidden="1" customHeight="1" x14ac:dyDescent="0.3">
      <c r="A832" s="539" t="s">
        <v>1648</v>
      </c>
      <c r="B832" s="10"/>
      <c r="C832" s="10"/>
      <c r="D832" s="10"/>
      <c r="E832" s="38">
        <f>SUM(B832:D832)</f>
        <v>0</v>
      </c>
      <c r="F832" s="10"/>
      <c r="G832" s="10"/>
      <c r="H832" s="10"/>
      <c r="I832" s="38">
        <f>SUM(F832:H832)</f>
        <v>0</v>
      </c>
      <c r="J832" s="10"/>
      <c r="K832" s="10"/>
      <c r="L832" s="10"/>
      <c r="M832" s="38">
        <f>SUM(J832:L832)</f>
        <v>0</v>
      </c>
      <c r="N832" s="10"/>
      <c r="O832" s="10"/>
      <c r="P832" s="10"/>
      <c r="Q832" s="38">
        <f>SUM(N832:P832)</f>
        <v>0</v>
      </c>
      <c r="R832" s="38">
        <f>+E832+I832+M832+Q832</f>
        <v>0</v>
      </c>
    </row>
    <row r="833" spans="1:20" ht="15.75" hidden="1" customHeight="1" thickBot="1" x14ac:dyDescent="0.35">
      <c r="A833" s="234" t="s">
        <v>2165</v>
      </c>
      <c r="B833" s="10"/>
      <c r="C833" s="10"/>
      <c r="D833" s="10"/>
      <c r="E833" s="38" t="s">
        <v>852</v>
      </c>
      <c r="F833" s="10"/>
      <c r="G833" s="10"/>
      <c r="H833" s="10"/>
      <c r="I833" s="38" t="s">
        <v>852</v>
      </c>
      <c r="J833" s="10"/>
      <c r="K833" s="10"/>
      <c r="L833" s="10"/>
      <c r="M833" s="38" t="s">
        <v>852</v>
      </c>
      <c r="N833" s="10"/>
      <c r="O833" s="10"/>
      <c r="P833" s="10"/>
      <c r="Q833" s="38" t="s">
        <v>852</v>
      </c>
      <c r="R833" s="38" t="s">
        <v>852</v>
      </c>
    </row>
    <row r="834" spans="1:20" ht="16.5" hidden="1" customHeight="1" thickBot="1" x14ac:dyDescent="0.35">
      <c r="A834" s="43" t="s">
        <v>1219</v>
      </c>
      <c r="B834" s="45">
        <f>SUM(B830:B833)</f>
        <v>0</v>
      </c>
      <c r="C834" s="46">
        <f>SUM(C830:C833)</f>
        <v>0</v>
      </c>
      <c r="D834" s="46">
        <f>SUM(D830:D833)</f>
        <v>0</v>
      </c>
      <c r="E834" s="37">
        <f>SUM(B834:D834)</f>
        <v>0</v>
      </c>
      <c r="F834" s="46">
        <f>SUM(F830:F833)</f>
        <v>0</v>
      </c>
      <c r="G834" s="46">
        <f>SUM(G830:G833)</f>
        <v>0</v>
      </c>
      <c r="H834" s="46">
        <f>SUM(H830:H833)</f>
        <v>0</v>
      </c>
      <c r="I834" s="37">
        <f>SUM(F834:H834)</f>
        <v>0</v>
      </c>
      <c r="J834" s="46">
        <f>SUM(J830:J833)</f>
        <v>0</v>
      </c>
      <c r="K834" s="46">
        <f>SUM(K830:K833)</f>
        <v>0</v>
      </c>
      <c r="L834" s="46">
        <f>SUM(L830:L833)</f>
        <v>0</v>
      </c>
      <c r="M834" s="37">
        <f>SUM(J834:L834)</f>
        <v>0</v>
      </c>
      <c r="N834" s="46">
        <f>SUM(N830:N833)</f>
        <v>0</v>
      </c>
      <c r="O834" s="46">
        <f>SUM(O830:O833)</f>
        <v>0</v>
      </c>
      <c r="P834" s="46">
        <f>SUM(P830:P833)</f>
        <v>0</v>
      </c>
      <c r="Q834" s="37">
        <f>SUM(N834:P834)</f>
        <v>0</v>
      </c>
      <c r="R834" s="37">
        <f>+E834+I834+M834+Q834</f>
        <v>0</v>
      </c>
    </row>
    <row r="835" spans="1:20" ht="15.75" hidden="1" customHeight="1" x14ac:dyDescent="0.3">
      <c r="A835" s="234" t="s">
        <v>2166</v>
      </c>
      <c r="B835" s="10"/>
      <c r="C835" s="10"/>
      <c r="D835" s="10"/>
      <c r="E835" s="38" t="s">
        <v>852</v>
      </c>
      <c r="F835" s="10"/>
      <c r="G835" s="10"/>
      <c r="H835" s="10"/>
      <c r="I835" s="38" t="s">
        <v>852</v>
      </c>
      <c r="J835" s="10" t="s">
        <v>852</v>
      </c>
      <c r="K835" s="10"/>
      <c r="L835" s="10"/>
      <c r="M835" s="38" t="s">
        <v>852</v>
      </c>
      <c r="N835" s="10"/>
      <c r="O835" s="10"/>
      <c r="P835" s="10"/>
      <c r="Q835" s="38" t="s">
        <v>852</v>
      </c>
      <c r="R835" s="38" t="s">
        <v>852</v>
      </c>
    </row>
    <row r="836" spans="1:20" ht="18" hidden="1" customHeight="1" x14ac:dyDescent="0.3">
      <c r="A836" s="234" t="s">
        <v>1245</v>
      </c>
      <c r="B836" s="10"/>
      <c r="C836" s="10"/>
      <c r="D836" s="10"/>
      <c r="E836" s="38" t="s">
        <v>852</v>
      </c>
      <c r="F836" s="10"/>
      <c r="G836" s="10"/>
      <c r="H836" s="10"/>
      <c r="I836" s="38" t="s">
        <v>852</v>
      </c>
      <c r="J836" s="10"/>
      <c r="K836" s="10"/>
      <c r="L836" s="10"/>
      <c r="M836" s="38" t="s">
        <v>852</v>
      </c>
      <c r="N836" s="10"/>
      <c r="O836" s="10"/>
      <c r="P836" s="10"/>
      <c r="Q836" s="38" t="s">
        <v>852</v>
      </c>
      <c r="R836" s="38" t="s">
        <v>852</v>
      </c>
    </row>
    <row r="837" spans="1:20" ht="15.75" hidden="1" customHeight="1" x14ac:dyDescent="0.3">
      <c r="A837" s="539" t="s">
        <v>2750</v>
      </c>
      <c r="B837" s="10">
        <v>451</v>
      </c>
      <c r="C837" s="10">
        <v>254</v>
      </c>
      <c r="D837" s="10">
        <v>605</v>
      </c>
      <c r="E837" s="38">
        <f>SUM(B837:D837)</f>
        <v>1310</v>
      </c>
      <c r="F837" s="10">
        <v>806</v>
      </c>
      <c r="G837" s="10">
        <v>1209</v>
      </c>
      <c r="H837" s="10">
        <v>1219</v>
      </c>
      <c r="I837" s="38">
        <f>SUM(F837:H837)</f>
        <v>3234</v>
      </c>
      <c r="J837" s="10">
        <v>809</v>
      </c>
      <c r="K837" s="10">
        <v>1208</v>
      </c>
      <c r="L837" s="10">
        <v>506</v>
      </c>
      <c r="M837" s="38">
        <f>SUM(J837:L837)</f>
        <v>2523</v>
      </c>
      <c r="N837" s="10">
        <v>1</v>
      </c>
      <c r="O837" s="10">
        <v>501</v>
      </c>
      <c r="P837" s="10">
        <v>501</v>
      </c>
      <c r="Q837" s="38">
        <f>SUM(N837:P837)</f>
        <v>1003</v>
      </c>
      <c r="R837" s="38">
        <f>+E837+I837+M837+Q837</f>
        <v>8070</v>
      </c>
      <c r="T837" t="s">
        <v>2805</v>
      </c>
    </row>
    <row r="838" spans="1:20" ht="15.75" hidden="1" customHeight="1" x14ac:dyDescent="0.3">
      <c r="A838" s="539" t="s">
        <v>2702</v>
      </c>
      <c r="B838" s="10">
        <v>25</v>
      </c>
      <c r="C838" s="10">
        <v>30</v>
      </c>
      <c r="D838" s="10">
        <v>50</v>
      </c>
      <c r="E838" s="38">
        <f>SUM(B838:D838)</f>
        <v>105</v>
      </c>
      <c r="F838" s="10">
        <v>70</v>
      </c>
      <c r="G838" s="10">
        <v>85</v>
      </c>
      <c r="H838" s="10">
        <v>100</v>
      </c>
      <c r="I838" s="38">
        <f t="shared" ref="I838" si="286">SUM(F838:H838)</f>
        <v>255</v>
      </c>
      <c r="J838" s="10">
        <v>85</v>
      </c>
      <c r="K838" s="10">
        <v>55</v>
      </c>
      <c r="L838" s="10"/>
      <c r="M838" s="38">
        <f>SUM(J838:L838)</f>
        <v>140</v>
      </c>
      <c r="N838" s="10"/>
      <c r="O838" s="10"/>
      <c r="P838" s="10"/>
      <c r="Q838" s="38">
        <f>SUM(N838:P838)</f>
        <v>0</v>
      </c>
      <c r="R838" s="38">
        <f>+E838+I838+M838+Q838</f>
        <v>500</v>
      </c>
      <c r="T838" t="s">
        <v>2785</v>
      </c>
    </row>
    <row r="839" spans="1:20" ht="15.75" hidden="1" customHeight="1" x14ac:dyDescent="0.3">
      <c r="A839" s="234" t="s">
        <v>1711</v>
      </c>
      <c r="B839" s="10"/>
      <c r="C839" s="10"/>
      <c r="D839" s="10"/>
      <c r="E839" s="38" t="s">
        <v>852</v>
      </c>
      <c r="F839" s="10"/>
      <c r="G839" s="10"/>
      <c r="H839" s="10"/>
      <c r="I839" s="38" t="s">
        <v>852</v>
      </c>
      <c r="J839" s="10"/>
      <c r="K839" s="10"/>
      <c r="L839" s="10"/>
      <c r="M839" s="38" t="s">
        <v>852</v>
      </c>
      <c r="N839" s="10"/>
      <c r="O839" s="10"/>
      <c r="P839" s="10"/>
      <c r="Q839" s="38" t="s">
        <v>852</v>
      </c>
      <c r="R839" s="38" t="s">
        <v>852</v>
      </c>
    </row>
    <row r="840" spans="1:20" ht="15.75" hidden="1" customHeight="1" x14ac:dyDescent="0.3">
      <c r="A840" s="539" t="s">
        <v>3402</v>
      </c>
      <c r="B840" s="10"/>
      <c r="C840" s="10"/>
      <c r="D840" s="10"/>
      <c r="E840" s="38">
        <f t="shared" ref="E840:E845" si="287">SUM(B840:D840)</f>
        <v>0</v>
      </c>
      <c r="F840" s="10"/>
      <c r="G840" s="10"/>
      <c r="H840" s="10"/>
      <c r="I840" s="38">
        <f t="shared" ref="I840:I845" si="288">SUM(F840:H840)</f>
        <v>0</v>
      </c>
      <c r="J840" s="10">
        <v>1400</v>
      </c>
      <c r="K840" s="10">
        <v>600</v>
      </c>
      <c r="L840" s="10"/>
      <c r="M840" s="38">
        <f t="shared" ref="M840:M845" si="289">SUM(J840:L840)</f>
        <v>2000</v>
      </c>
      <c r="N840" s="10"/>
      <c r="O840" s="10"/>
      <c r="P840" s="10"/>
      <c r="Q840" s="38">
        <f t="shared" ref="Q840:Q845" si="290">SUM(N840:P840)</f>
        <v>0</v>
      </c>
      <c r="R840" s="38">
        <f t="shared" ref="R840:R845" si="291">+E840+I840+M840+Q840</f>
        <v>2000</v>
      </c>
      <c r="T840" t="s">
        <v>2785</v>
      </c>
    </row>
    <row r="841" spans="1:20" ht="15.75" hidden="1" customHeight="1" x14ac:dyDescent="0.3">
      <c r="A841" s="539" t="s">
        <v>2935</v>
      </c>
      <c r="B841" s="10"/>
      <c r="C841" s="10"/>
      <c r="D841" s="10"/>
      <c r="E841" s="38">
        <f t="shared" si="287"/>
        <v>0</v>
      </c>
      <c r="F841" s="10"/>
      <c r="G841" s="10"/>
      <c r="H841" s="10"/>
      <c r="I841" s="38">
        <f t="shared" si="288"/>
        <v>0</v>
      </c>
      <c r="J841" s="10"/>
      <c r="K841" s="10"/>
      <c r="L841" s="10"/>
      <c r="M841" s="38">
        <f t="shared" si="289"/>
        <v>0</v>
      </c>
      <c r="N841" s="10"/>
      <c r="O841" s="10"/>
      <c r="P841" s="10"/>
      <c r="Q841" s="38">
        <f t="shared" si="290"/>
        <v>0</v>
      </c>
      <c r="R841" s="38">
        <f t="shared" si="291"/>
        <v>0</v>
      </c>
    </row>
    <row r="842" spans="1:20" ht="15.75" hidden="1" customHeight="1" x14ac:dyDescent="0.3">
      <c r="A842" s="539" t="s">
        <v>2749</v>
      </c>
      <c r="B842" s="10"/>
      <c r="C842" s="10"/>
      <c r="D842" s="10"/>
      <c r="E842" s="38">
        <f t="shared" si="287"/>
        <v>0</v>
      </c>
      <c r="F842" s="10"/>
      <c r="G842" s="10"/>
      <c r="H842" s="10"/>
      <c r="I842" s="38">
        <f t="shared" si="288"/>
        <v>0</v>
      </c>
      <c r="J842" s="10"/>
      <c r="K842" s="10">
        <v>15</v>
      </c>
      <c r="L842" s="10">
        <v>60</v>
      </c>
      <c r="M842" s="38">
        <f t="shared" si="289"/>
        <v>75</v>
      </c>
      <c r="N842" s="10">
        <v>65</v>
      </c>
      <c r="O842" s="10">
        <v>50</v>
      </c>
      <c r="P842" s="10">
        <v>30</v>
      </c>
      <c r="Q842" s="38">
        <f t="shared" si="290"/>
        <v>145</v>
      </c>
      <c r="R842" s="38">
        <f t="shared" si="291"/>
        <v>220</v>
      </c>
    </row>
    <row r="843" spans="1:20" ht="15.75" hidden="1" customHeight="1" x14ac:dyDescent="0.3">
      <c r="A843" s="310" t="s">
        <v>783</v>
      </c>
      <c r="B843" s="10"/>
      <c r="C843" s="10"/>
      <c r="D843" s="10"/>
      <c r="E843" s="38">
        <f t="shared" si="287"/>
        <v>0</v>
      </c>
      <c r="F843" s="10"/>
      <c r="G843" s="10"/>
      <c r="H843" s="10"/>
      <c r="I843" s="38">
        <f t="shared" si="288"/>
        <v>0</v>
      </c>
      <c r="J843" s="10"/>
      <c r="K843" s="10"/>
      <c r="L843" s="10"/>
      <c r="M843" s="38">
        <f t="shared" si="289"/>
        <v>0</v>
      </c>
      <c r="N843" s="10"/>
      <c r="O843" s="10"/>
      <c r="P843" s="10"/>
      <c r="Q843" s="38">
        <f t="shared" si="290"/>
        <v>0</v>
      </c>
      <c r="R843" s="38">
        <f t="shared" si="291"/>
        <v>0</v>
      </c>
      <c r="T843" t="s">
        <v>2765</v>
      </c>
    </row>
    <row r="844" spans="1:20" ht="15.75" hidden="1" customHeight="1" thickBot="1" x14ac:dyDescent="0.35">
      <c r="A844" s="539" t="s">
        <v>2540</v>
      </c>
      <c r="B844" s="10">
        <v>849</v>
      </c>
      <c r="C844" s="10">
        <v>769</v>
      </c>
      <c r="D844" s="10">
        <v>849</v>
      </c>
      <c r="E844" s="38">
        <f t="shared" si="287"/>
        <v>2467</v>
      </c>
      <c r="F844" s="10">
        <v>822</v>
      </c>
      <c r="G844" s="10">
        <v>849</v>
      </c>
      <c r="H844" s="10">
        <v>822</v>
      </c>
      <c r="I844" s="38">
        <f t="shared" si="288"/>
        <v>2493</v>
      </c>
      <c r="J844" s="10">
        <v>849</v>
      </c>
      <c r="K844" s="10">
        <v>849</v>
      </c>
      <c r="L844" s="10">
        <v>822</v>
      </c>
      <c r="M844" s="38">
        <f t="shared" si="289"/>
        <v>2520</v>
      </c>
      <c r="N844" s="10">
        <v>849</v>
      </c>
      <c r="O844" s="10">
        <v>822</v>
      </c>
      <c r="P844" s="10">
        <v>849</v>
      </c>
      <c r="Q844" s="38">
        <f t="shared" si="290"/>
        <v>2520</v>
      </c>
      <c r="R844" s="38">
        <f t="shared" si="291"/>
        <v>10000</v>
      </c>
      <c r="T844" t="s">
        <v>2806</v>
      </c>
    </row>
    <row r="845" spans="1:20" ht="16.5" hidden="1" customHeight="1" thickBot="1" x14ac:dyDescent="0.35">
      <c r="A845" s="43" t="s">
        <v>1220</v>
      </c>
      <c r="B845" s="45">
        <f>SUM(B835:B844)</f>
        <v>1325</v>
      </c>
      <c r="C845" s="46">
        <f>SUM(C835:C844)</f>
        <v>1053</v>
      </c>
      <c r="D845" s="46">
        <f>SUM(D835:D844)</f>
        <v>1504</v>
      </c>
      <c r="E845" s="37">
        <f t="shared" si="287"/>
        <v>3882</v>
      </c>
      <c r="F845" s="46">
        <f>SUM(F835:F844)</f>
        <v>1698</v>
      </c>
      <c r="G845" s="46">
        <f>SUM(G835:G844)</f>
        <v>2143</v>
      </c>
      <c r="H845" s="46">
        <f>SUM(H835:H844)</f>
        <v>2141</v>
      </c>
      <c r="I845" s="37">
        <f t="shared" si="288"/>
        <v>5982</v>
      </c>
      <c r="J845" s="46">
        <f>SUM(J835:J844)</f>
        <v>3143</v>
      </c>
      <c r="K845" s="46">
        <f>SUM(K835:K844)</f>
        <v>2727</v>
      </c>
      <c r="L845" s="46">
        <f>SUM(L835:L844)</f>
        <v>1388</v>
      </c>
      <c r="M845" s="37">
        <f t="shared" si="289"/>
        <v>7258</v>
      </c>
      <c r="N845" s="46">
        <f>SUM(N835:N844)</f>
        <v>915</v>
      </c>
      <c r="O845" s="46">
        <f>SUM(O835:O844)</f>
        <v>1373</v>
      </c>
      <c r="P845" s="46">
        <f>SUM(P835:P844)</f>
        <v>1380</v>
      </c>
      <c r="Q845" s="37">
        <f t="shared" si="290"/>
        <v>3668</v>
      </c>
      <c r="R845" s="37">
        <f t="shared" si="291"/>
        <v>20790</v>
      </c>
    </row>
    <row r="846" spans="1:20" ht="15.75" hidden="1" customHeight="1" x14ac:dyDescent="0.3">
      <c r="A846" s="234" t="s">
        <v>1712</v>
      </c>
      <c r="B846" s="10"/>
      <c r="C846" s="10"/>
      <c r="D846" s="10"/>
      <c r="E846" s="38" t="s">
        <v>852</v>
      </c>
      <c r="F846" s="10"/>
      <c r="G846" s="10"/>
      <c r="H846" s="10"/>
      <c r="I846" s="38" t="s">
        <v>852</v>
      </c>
      <c r="J846" s="10"/>
      <c r="K846" s="10"/>
      <c r="L846" s="10"/>
      <c r="M846" s="38" t="s">
        <v>852</v>
      </c>
      <c r="N846" s="10"/>
      <c r="O846" s="10"/>
      <c r="P846" s="10"/>
      <c r="Q846" s="38" t="s">
        <v>852</v>
      </c>
      <c r="R846" s="38" t="s">
        <v>852</v>
      </c>
    </row>
    <row r="847" spans="1:20" ht="15.75" hidden="1" customHeight="1" x14ac:dyDescent="0.3">
      <c r="A847" s="234" t="s">
        <v>1021</v>
      </c>
      <c r="B847" s="10"/>
      <c r="C847" s="10"/>
      <c r="D847" s="10"/>
      <c r="E847" s="38" t="s">
        <v>852</v>
      </c>
      <c r="F847" s="10"/>
      <c r="G847" s="10"/>
      <c r="H847" s="10"/>
      <c r="I847" s="38" t="s">
        <v>852</v>
      </c>
      <c r="J847" s="10"/>
      <c r="K847" s="10"/>
      <c r="L847" s="10"/>
      <c r="M847" s="38" t="s">
        <v>852</v>
      </c>
      <c r="N847" s="10"/>
      <c r="O847" s="10"/>
      <c r="P847" s="10"/>
      <c r="Q847" s="38" t="s">
        <v>852</v>
      </c>
      <c r="R847" s="38" t="s">
        <v>852</v>
      </c>
    </row>
    <row r="848" spans="1:20" ht="15.75" hidden="1" customHeight="1" x14ac:dyDescent="0.3">
      <c r="A848" s="539" t="s">
        <v>3267</v>
      </c>
      <c r="B848" s="10"/>
      <c r="C848" s="10"/>
      <c r="D848" s="10"/>
      <c r="E848" s="38">
        <f>SUM(B848:D848)</f>
        <v>0</v>
      </c>
      <c r="F848" s="10"/>
      <c r="G848" s="10"/>
      <c r="H848" s="10"/>
      <c r="I848" s="38">
        <f>SUM(F848:H848)</f>
        <v>0</v>
      </c>
      <c r="J848" s="10"/>
      <c r="K848" s="10"/>
      <c r="L848" s="10"/>
      <c r="M848" s="38">
        <f>SUM(J848:L848)</f>
        <v>0</v>
      </c>
      <c r="N848" s="10"/>
      <c r="O848" s="10"/>
      <c r="P848" s="10"/>
      <c r="Q848" s="38">
        <f>SUM(N848:P848)</f>
        <v>0</v>
      </c>
      <c r="R848" s="38">
        <f>+E848+I848+M848+Q848</f>
        <v>0</v>
      </c>
    </row>
    <row r="849" spans="1:18" ht="15.75" hidden="1" customHeight="1" x14ac:dyDescent="0.3">
      <c r="A849" s="310" t="s">
        <v>2392</v>
      </c>
      <c r="B849" s="10"/>
      <c r="C849" s="10"/>
      <c r="D849" s="10"/>
      <c r="E849" s="38">
        <f>SUM(B849:D849)</f>
        <v>0</v>
      </c>
      <c r="F849" s="10"/>
      <c r="G849" s="10"/>
      <c r="H849" s="10"/>
      <c r="I849" s="38">
        <f>SUM(F849:H849)</f>
        <v>0</v>
      </c>
      <c r="J849" s="10"/>
      <c r="K849" s="10"/>
      <c r="L849" s="10"/>
      <c r="M849" s="38">
        <f>SUM(J849:L849)</f>
        <v>0</v>
      </c>
      <c r="N849" s="10"/>
      <c r="O849" s="10"/>
      <c r="P849" s="10"/>
      <c r="Q849" s="38">
        <f>SUM(N849:P849)</f>
        <v>0</v>
      </c>
      <c r="R849" s="38">
        <f>+E849+I849+M849+Q849</f>
        <v>0</v>
      </c>
    </row>
    <row r="850" spans="1:18" ht="15.75" hidden="1" customHeight="1" x14ac:dyDescent="0.3">
      <c r="A850" s="234" t="s">
        <v>557</v>
      </c>
      <c r="B850" s="10"/>
      <c r="C850" s="10"/>
      <c r="D850" s="10"/>
      <c r="E850" s="38" t="s">
        <v>852</v>
      </c>
      <c r="F850" s="10"/>
      <c r="G850" s="10"/>
      <c r="H850" s="10"/>
      <c r="I850" s="38" t="s">
        <v>852</v>
      </c>
      <c r="J850" s="10"/>
      <c r="K850" s="10"/>
      <c r="L850" s="10"/>
      <c r="M850" s="38" t="s">
        <v>852</v>
      </c>
      <c r="N850" s="10"/>
      <c r="O850" s="10"/>
      <c r="P850" s="10"/>
      <c r="Q850" s="38" t="s">
        <v>852</v>
      </c>
      <c r="R850" s="38" t="s">
        <v>852</v>
      </c>
    </row>
    <row r="851" spans="1:18" ht="15.75" hidden="1" customHeight="1" x14ac:dyDescent="0.3">
      <c r="A851" s="539" t="s">
        <v>2589</v>
      </c>
      <c r="B851" s="10"/>
      <c r="C851" s="10"/>
      <c r="D851" s="10"/>
      <c r="E851" s="38">
        <f>SUM(B851:D851)</f>
        <v>0</v>
      </c>
      <c r="F851" s="10"/>
      <c r="G851" s="10"/>
      <c r="H851" s="10"/>
      <c r="I851" s="38">
        <f>SUM(F851:H851)</f>
        <v>0</v>
      </c>
      <c r="J851" s="10"/>
      <c r="K851" s="10"/>
      <c r="L851" s="10"/>
      <c r="M851" s="38">
        <f>SUM(J851:L851)</f>
        <v>0</v>
      </c>
      <c r="N851" s="10"/>
      <c r="O851" s="10"/>
      <c r="P851" s="10"/>
      <c r="Q851" s="38">
        <f>SUM(N851:P851)</f>
        <v>0</v>
      </c>
      <c r="R851" s="38">
        <f>+E851+I851+M851+Q851</f>
        <v>0</v>
      </c>
    </row>
    <row r="852" spans="1:18" ht="15.75" hidden="1" customHeight="1" x14ac:dyDescent="0.3">
      <c r="A852" s="539" t="s">
        <v>2590</v>
      </c>
      <c r="B852" s="10"/>
      <c r="C852" s="10"/>
      <c r="D852" s="10"/>
      <c r="E852" s="38">
        <f>SUM(B852:D852)</f>
        <v>0</v>
      </c>
      <c r="F852" s="10"/>
      <c r="G852" s="10"/>
      <c r="H852" s="10"/>
      <c r="I852" s="38">
        <f>SUM(F852:H852)</f>
        <v>0</v>
      </c>
      <c r="J852" s="10"/>
      <c r="K852" s="10"/>
      <c r="L852" s="10"/>
      <c r="M852" s="38">
        <f>SUM(J852:L852)</f>
        <v>0</v>
      </c>
      <c r="N852" s="10"/>
      <c r="O852" s="10"/>
      <c r="P852" s="10"/>
      <c r="Q852" s="38">
        <f>SUM(N852:P852)</f>
        <v>0</v>
      </c>
      <c r="R852" s="38">
        <f>+E852+I852+M852+Q852</f>
        <v>0</v>
      </c>
    </row>
    <row r="853" spans="1:18" ht="15.75" hidden="1" customHeight="1" x14ac:dyDescent="0.3">
      <c r="A853" s="234" t="s">
        <v>1022</v>
      </c>
      <c r="B853" s="10"/>
      <c r="C853" s="10"/>
      <c r="D853" s="10"/>
      <c r="E853" s="38" t="s">
        <v>852</v>
      </c>
      <c r="F853" s="10"/>
      <c r="G853" s="10"/>
      <c r="H853" s="10"/>
      <c r="I853" s="38" t="s">
        <v>852</v>
      </c>
      <c r="J853" s="10"/>
      <c r="K853" s="10"/>
      <c r="L853" s="10"/>
      <c r="M853" s="38" t="s">
        <v>852</v>
      </c>
      <c r="N853" s="10"/>
      <c r="O853" s="10"/>
      <c r="P853" s="10"/>
      <c r="Q853" s="38" t="s">
        <v>852</v>
      </c>
      <c r="R853" s="38" t="s">
        <v>852</v>
      </c>
    </row>
    <row r="854" spans="1:18" ht="15.75" hidden="1" customHeight="1" thickBot="1" x14ac:dyDescent="0.35">
      <c r="A854" s="234" t="s">
        <v>559</v>
      </c>
      <c r="B854" s="10"/>
      <c r="C854" s="10"/>
      <c r="D854" s="10"/>
      <c r="E854" s="38" t="s">
        <v>852</v>
      </c>
      <c r="F854" s="10"/>
      <c r="G854" s="10"/>
      <c r="H854" s="10"/>
      <c r="I854" s="38" t="s">
        <v>852</v>
      </c>
      <c r="J854" s="10"/>
      <c r="K854" s="10"/>
      <c r="L854" s="10"/>
      <c r="M854" s="38" t="s">
        <v>852</v>
      </c>
      <c r="N854" s="10"/>
      <c r="O854" s="10"/>
      <c r="P854" s="10"/>
      <c r="Q854" s="38" t="s">
        <v>852</v>
      </c>
      <c r="R854" s="38" t="s">
        <v>852</v>
      </c>
    </row>
    <row r="855" spans="1:18" ht="16.5" hidden="1" customHeight="1" thickBot="1" x14ac:dyDescent="0.35">
      <c r="A855" s="43" t="s">
        <v>1019</v>
      </c>
      <c r="B855" s="42">
        <f>SUM(B853:B854)</f>
        <v>0</v>
      </c>
      <c r="C855" s="42">
        <f>SUM(C853:C854)</f>
        <v>0</v>
      </c>
      <c r="D855" s="42">
        <f>SUM(D853:D854)</f>
        <v>0</v>
      </c>
      <c r="E855" s="39">
        <f>SUM(B855:D855)</f>
        <v>0</v>
      </c>
      <c r="F855" s="42">
        <f>SUM(F853:F854)</f>
        <v>0</v>
      </c>
      <c r="G855" s="42">
        <f>SUM(G853:G854)</f>
        <v>0</v>
      </c>
      <c r="H855" s="42">
        <f>SUM(H853:H854)</f>
        <v>0</v>
      </c>
      <c r="I855" s="39">
        <f>SUM(F855:H855)</f>
        <v>0</v>
      </c>
      <c r="J855" s="42">
        <f>SUM(J853:J854)</f>
        <v>0</v>
      </c>
      <c r="K855" s="42">
        <f>SUM(K853:K854)</f>
        <v>0</v>
      </c>
      <c r="L855" s="42">
        <f>SUM(L853:L854)</f>
        <v>0</v>
      </c>
      <c r="M855" s="39">
        <f>SUM(J855:L855)</f>
        <v>0</v>
      </c>
      <c r="N855" s="42">
        <f>SUM(N853:N854)</f>
        <v>0</v>
      </c>
      <c r="O855" s="42">
        <f>SUM(O853:O854)</f>
        <v>0</v>
      </c>
      <c r="P855" s="42">
        <f>SUM(P853:P854)</f>
        <v>0</v>
      </c>
      <c r="Q855" s="39">
        <f>SUM(N855:P855)</f>
        <v>0</v>
      </c>
      <c r="R855" s="37">
        <f>+E855+I855+M855+Q855</f>
        <v>0</v>
      </c>
    </row>
    <row r="856" spans="1:18" ht="16.5" hidden="1" customHeight="1" thickBot="1" x14ac:dyDescent="0.35">
      <c r="A856" s="43" t="s">
        <v>1221</v>
      </c>
      <c r="B856" s="45">
        <f>SUM(B846:B854)</f>
        <v>0</v>
      </c>
      <c r="C856" s="46">
        <f>SUM(C846:C854)</f>
        <v>0</v>
      </c>
      <c r="D856" s="58">
        <f>SUM(D846:D854)</f>
        <v>0</v>
      </c>
      <c r="E856" s="39">
        <f>SUM(B856:D856)</f>
        <v>0</v>
      </c>
      <c r="F856" s="46">
        <f>SUM(F846:F854)</f>
        <v>0</v>
      </c>
      <c r="G856" s="46">
        <f>SUM(G846:G854)</f>
        <v>0</v>
      </c>
      <c r="H856" s="46">
        <f>SUM(H846:H854)</f>
        <v>0</v>
      </c>
      <c r="I856" s="39">
        <f>SUM(F856:H856)</f>
        <v>0</v>
      </c>
      <c r="J856" s="46">
        <f>SUM(J846:J854)</f>
        <v>0</v>
      </c>
      <c r="K856" s="46">
        <f>SUM(K846:K854)</f>
        <v>0</v>
      </c>
      <c r="L856" s="46">
        <f>SUM(L846:L854)</f>
        <v>0</v>
      </c>
      <c r="M856" s="39">
        <f>SUM(J856:L856)</f>
        <v>0</v>
      </c>
      <c r="N856" s="46">
        <f>SUM(N846:N854)</f>
        <v>0</v>
      </c>
      <c r="O856" s="46">
        <f>SUM(O846:O854)</f>
        <v>0</v>
      </c>
      <c r="P856" s="46">
        <f>SUM(P846:P854)</f>
        <v>0</v>
      </c>
      <c r="Q856" s="39">
        <f>SUM(N856:P856)</f>
        <v>0</v>
      </c>
      <c r="R856" s="37">
        <f>+E856+I856+M856+Q856</f>
        <v>0</v>
      </c>
    </row>
    <row r="857" spans="1:18" ht="16.5" hidden="1" customHeight="1" thickBot="1" x14ac:dyDescent="0.35">
      <c r="A857" s="43" t="s">
        <v>1222</v>
      </c>
      <c r="B857" s="47">
        <f>+B829+B834+B845+B856</f>
        <v>3927</v>
      </c>
      <c r="C857" s="42">
        <f>+C829+C834+C845+C856</f>
        <v>3607</v>
      </c>
      <c r="D857" s="42">
        <f>+D829+D834+D845+D856</f>
        <v>3720</v>
      </c>
      <c r="E857" s="37">
        <f>SUM(B857:D857)</f>
        <v>11254</v>
      </c>
      <c r="F857" s="42">
        <f>+F829+F834+F845+F856</f>
        <v>4197</v>
      </c>
      <c r="G857" s="42">
        <f>+G829+G834+G845+G856</f>
        <v>4847</v>
      </c>
      <c r="H857" s="42">
        <f>+H829+H834+H845+H856</f>
        <v>4641</v>
      </c>
      <c r="I857" s="37">
        <f>SUM(F857:H857)</f>
        <v>13685</v>
      </c>
      <c r="J857" s="42">
        <f>+J829+J834+J845+J856</f>
        <v>3593</v>
      </c>
      <c r="K857" s="42">
        <f>+K829+K834+K845+K856</f>
        <v>6927</v>
      </c>
      <c r="L857" s="42">
        <f>+L829+L834+L845+L856</f>
        <v>5575</v>
      </c>
      <c r="M857" s="37">
        <f>SUM(J857:L857)</f>
        <v>16095</v>
      </c>
      <c r="N857" s="42">
        <f>+N829+N834+N845+N856</f>
        <v>3715</v>
      </c>
      <c r="O857" s="42">
        <f>+O829+O834+O845+O856</f>
        <v>2669</v>
      </c>
      <c r="P857" s="42">
        <f>+P829+P834+P845+P856</f>
        <v>1380</v>
      </c>
      <c r="Q857" s="37">
        <f>SUM(N857:P857)</f>
        <v>7764</v>
      </c>
      <c r="R857" s="40">
        <f>+E857+I857+M857+Q857</f>
        <v>48798</v>
      </c>
    </row>
    <row r="858" spans="1:18" ht="16.5" hidden="1" customHeight="1" thickBot="1" x14ac:dyDescent="0.35">
      <c r="A858" s="299" t="s">
        <v>853</v>
      </c>
      <c r="B858" s="294">
        <v>11</v>
      </c>
      <c r="C858" s="294">
        <v>13</v>
      </c>
      <c r="D858" s="294">
        <v>17</v>
      </c>
      <c r="E858" s="38">
        <f>SUM(B858:D858)</f>
        <v>41</v>
      </c>
      <c r="F858" s="294">
        <v>21</v>
      </c>
      <c r="G858" s="294">
        <v>23</v>
      </c>
      <c r="H858" s="294">
        <v>25</v>
      </c>
      <c r="I858" s="38">
        <f>SUM(F858:H858)</f>
        <v>69</v>
      </c>
      <c r="J858" s="294">
        <v>25</v>
      </c>
      <c r="K858" s="294">
        <v>21</v>
      </c>
      <c r="L858" s="294">
        <v>19</v>
      </c>
      <c r="M858" s="38">
        <f>SUM(J858:L858)</f>
        <v>65</v>
      </c>
      <c r="N858" s="294">
        <v>17</v>
      </c>
      <c r="O858" s="294">
        <v>13</v>
      </c>
      <c r="P858" s="294">
        <v>11</v>
      </c>
      <c r="Q858" s="38">
        <f>SUM(N858:P858)</f>
        <v>41</v>
      </c>
      <c r="R858" s="38">
        <f>+E858+I858+M858+Q858</f>
        <v>216</v>
      </c>
    </row>
    <row r="859" spans="1:18" ht="16.5" hidden="1" customHeight="1" thickBot="1" x14ac:dyDescent="0.35">
      <c r="A859" s="22"/>
      <c r="B859" s="297"/>
      <c r="C859" s="297"/>
      <c r="D859" s="297"/>
      <c r="E859" s="37" t="s">
        <v>852</v>
      </c>
      <c r="F859" s="297"/>
      <c r="G859" s="297"/>
      <c r="H859" s="297"/>
      <c r="I859" s="37" t="s">
        <v>852</v>
      </c>
      <c r="J859" s="297"/>
      <c r="K859" s="297"/>
      <c r="L859" s="297"/>
      <c r="M859" s="37" t="s">
        <v>852</v>
      </c>
      <c r="N859" s="297"/>
      <c r="O859" s="297"/>
      <c r="P859" s="297"/>
      <c r="Q859" s="37" t="s">
        <v>852</v>
      </c>
      <c r="R859" s="37" t="s">
        <v>852</v>
      </c>
    </row>
    <row r="860" spans="1:18" ht="15.75" hidden="1" customHeight="1" x14ac:dyDescent="0.3">
      <c r="A860" s="234" t="s">
        <v>2011</v>
      </c>
      <c r="B860" s="10">
        <f>SUM(B857:B858)</f>
        <v>3938</v>
      </c>
      <c r="C860" s="10">
        <f>SUM(C857:C858)</f>
        <v>3620</v>
      </c>
      <c r="D860" s="10">
        <f>SUM(D857:D858)</f>
        <v>3737</v>
      </c>
      <c r="E860" s="39">
        <f>SUM(B860:D860)</f>
        <v>11295</v>
      </c>
      <c r="F860" s="10">
        <f>SUM(F857:F858)</f>
        <v>4218</v>
      </c>
      <c r="G860" s="10">
        <f>SUM(G857:G858)</f>
        <v>4870</v>
      </c>
      <c r="H860" s="10">
        <f>SUM(H857:H858)</f>
        <v>4666</v>
      </c>
      <c r="I860" s="39">
        <f>SUM(F860:H860)</f>
        <v>13754</v>
      </c>
      <c r="J860" s="10">
        <f>SUM(J857:J858)</f>
        <v>3618</v>
      </c>
      <c r="K860" s="10">
        <f>SUM(K857:K858)</f>
        <v>6948</v>
      </c>
      <c r="L860" s="10">
        <f>SUM(L857:L858)</f>
        <v>5594</v>
      </c>
      <c r="M860" s="39">
        <f>SUM(J860:L860)</f>
        <v>16160</v>
      </c>
      <c r="N860" s="10">
        <f>SUM(N857:N858)</f>
        <v>3732</v>
      </c>
      <c r="O860" s="10">
        <f>SUM(O857:O858)</f>
        <v>2682</v>
      </c>
      <c r="P860" s="10">
        <f>SUM(P857:P858)</f>
        <v>1391</v>
      </c>
      <c r="Q860" s="39">
        <f>SUM(N860:P860)</f>
        <v>7805</v>
      </c>
      <c r="R860" s="39">
        <f>+E860+I860+M860+Q860</f>
        <v>49014</v>
      </c>
    </row>
    <row r="861" spans="1:18" ht="15.75" hidden="1" customHeight="1" x14ac:dyDescent="0.3">
      <c r="A861" s="234" t="s">
        <v>1897</v>
      </c>
      <c r="B861" s="10">
        <f>(B860/B10)/1.983</f>
        <v>64.060644510598152</v>
      </c>
      <c r="C861" s="10">
        <f>(C860/C10)/1.983</f>
        <v>65.197031914127223</v>
      </c>
      <c r="D861" s="10">
        <f>(D860/D10)/1.983</f>
        <v>60.790916337253748</v>
      </c>
      <c r="E861" s="38" t="s">
        <v>852</v>
      </c>
      <c r="F861" s="10">
        <f>(F860/F10)/1.983</f>
        <v>70.902672718103872</v>
      </c>
      <c r="G861" s="10">
        <f>(G860/G10)/1.983</f>
        <v>79.221772160135345</v>
      </c>
      <c r="H861" s="10">
        <f>(H860/H10)/1.983</f>
        <v>78.433350142881153</v>
      </c>
      <c r="I861" s="38" t="s">
        <v>852</v>
      </c>
      <c r="J861" s="10">
        <f>(J860/J10)/1.983</f>
        <v>58.855107120199108</v>
      </c>
      <c r="K861" s="10">
        <f>(K860/K10)/1.983</f>
        <v>113.02523058903908</v>
      </c>
      <c r="L861" s="10">
        <f>(L860/L10)/1.983</f>
        <v>94.032610522776935</v>
      </c>
      <c r="M861" s="38" t="s">
        <v>852</v>
      </c>
      <c r="N861" s="10">
        <f>(N860/N10)/1.983</f>
        <v>60.70957981552877</v>
      </c>
      <c r="O861" s="10">
        <f>(O860/O10)/1.983</f>
        <v>45.08320726172466</v>
      </c>
      <c r="P861" s="10">
        <f>(P860/P10)/1.983</f>
        <v>22.627820343890811</v>
      </c>
      <c r="Q861" s="38" t="s">
        <v>852</v>
      </c>
      <c r="R861" s="38" t="s">
        <v>852</v>
      </c>
    </row>
    <row r="862" spans="1:18" ht="15.75" hidden="1" customHeight="1" x14ac:dyDescent="0.3">
      <c r="A862" s="234" t="s">
        <v>2050</v>
      </c>
      <c r="B862" s="10">
        <f>B860</f>
        <v>3938</v>
      </c>
      <c r="C862" s="10">
        <f>C860</f>
        <v>3620</v>
      </c>
      <c r="D862" s="10">
        <f>D860</f>
        <v>3737</v>
      </c>
      <c r="E862" s="38">
        <f>SUM(B862:D862)</f>
        <v>11295</v>
      </c>
      <c r="F862" s="10">
        <f>F860</f>
        <v>4218</v>
      </c>
      <c r="G862" s="10">
        <f>G860</f>
        <v>4870</v>
      </c>
      <c r="H862" s="10">
        <f>H860</f>
        <v>4666</v>
      </c>
      <c r="I862" s="38">
        <f>SUM(F862:H862)</f>
        <v>13754</v>
      </c>
      <c r="J862" s="10">
        <f>J860</f>
        <v>3618</v>
      </c>
      <c r="K862" s="10">
        <f>K860</f>
        <v>6948</v>
      </c>
      <c r="L862" s="10">
        <f>L860</f>
        <v>5594</v>
      </c>
      <c r="M862" s="38">
        <f>SUM(J862:L862)</f>
        <v>16160</v>
      </c>
      <c r="N862" s="10">
        <f>N860</f>
        <v>3732</v>
      </c>
      <c r="O862" s="10">
        <f>O860</f>
        <v>2682</v>
      </c>
      <c r="P862" s="10">
        <f>P860</f>
        <v>1391</v>
      </c>
      <c r="Q862" s="38">
        <f>SUM(N862:P862)</f>
        <v>7805</v>
      </c>
      <c r="R862" s="38">
        <f>+E862+I862+M862+Q862</f>
        <v>49014</v>
      </c>
    </row>
    <row r="863" spans="1:18" ht="16.5" hidden="1" customHeight="1" thickBot="1" x14ac:dyDescent="0.35">
      <c r="A863" s="237" t="s">
        <v>2051</v>
      </c>
      <c r="B863" s="294">
        <f>(B862/B10)/1.983</f>
        <v>64.060644510598152</v>
      </c>
      <c r="C863" s="294">
        <f>(C862/C10)/1.983</f>
        <v>65.197031914127223</v>
      </c>
      <c r="D863" s="294">
        <f>(D862/D10)/1.983</f>
        <v>60.790916337253748</v>
      </c>
      <c r="E863" s="40" t="s">
        <v>852</v>
      </c>
      <c r="F863" s="294">
        <f>(F862/F10)/1.983</f>
        <v>70.902672718103872</v>
      </c>
      <c r="G863" s="294">
        <f>(G862/G10)/1.983</f>
        <v>79.221772160135345</v>
      </c>
      <c r="H863" s="294">
        <f>(H862/H10)/1.983</f>
        <v>78.433350142881153</v>
      </c>
      <c r="I863" s="40" t="s">
        <v>852</v>
      </c>
      <c r="J863" s="294">
        <f>(J862/J10)/1.983</f>
        <v>58.855107120199108</v>
      </c>
      <c r="K863" s="294">
        <f>(K862/K10)/1.983</f>
        <v>113.02523058903908</v>
      </c>
      <c r="L863" s="294">
        <f>(L862/L10)/1.983</f>
        <v>94.032610522776935</v>
      </c>
      <c r="M863" s="40" t="s">
        <v>852</v>
      </c>
      <c r="N863" s="294">
        <f>(N862/N10)/1.983</f>
        <v>60.70957981552877</v>
      </c>
      <c r="O863" s="294">
        <f>(O862/O10)/1.983</f>
        <v>45.08320726172466</v>
      </c>
      <c r="P863" s="294">
        <f>(P862/P10)/1.983</f>
        <v>22.627820343890811</v>
      </c>
      <c r="Q863" s="40" t="s">
        <v>852</v>
      </c>
      <c r="R863" s="40" t="s">
        <v>852</v>
      </c>
    </row>
    <row r="864" spans="1:18" ht="15.75" hidden="1" customHeight="1" x14ac:dyDescent="0.3">
      <c r="A864" s="18"/>
      <c r="B864" s="10"/>
      <c r="C864" s="10"/>
      <c r="D864" s="10"/>
      <c r="E864" s="17"/>
      <c r="F864" s="10"/>
      <c r="G864" s="10"/>
      <c r="H864" s="10"/>
      <c r="I864" s="17"/>
      <c r="J864" s="10"/>
      <c r="K864" s="10"/>
      <c r="L864" s="10"/>
      <c r="M864" s="17"/>
      <c r="N864" s="10"/>
      <c r="O864" s="10"/>
      <c r="P864" s="10"/>
      <c r="Q864" s="17"/>
      <c r="R864" s="17"/>
    </row>
    <row r="865" spans="1:18" ht="15.75" hidden="1" customHeight="1" x14ac:dyDescent="0.3">
      <c r="A865" s="18"/>
      <c r="B865" s="10"/>
      <c r="C865" s="10"/>
      <c r="D865" s="10"/>
      <c r="E865" s="10"/>
      <c r="F865" s="10"/>
      <c r="G865" s="10"/>
      <c r="H865" s="10"/>
      <c r="I865" s="10"/>
      <c r="J865" s="10"/>
      <c r="K865" s="10"/>
      <c r="L865" s="10"/>
      <c r="M865" s="10"/>
      <c r="N865" s="10"/>
      <c r="O865" s="10"/>
      <c r="P865" s="10"/>
      <c r="Q865" s="680" t="str">
        <f>+Q1</f>
        <v xml:space="preserve">PRINTED:  </v>
      </c>
      <c r="R865" s="681">
        <f ca="1">+R1</f>
        <v>44881.729633912037</v>
      </c>
    </row>
    <row r="866" spans="1:18" ht="15.75" hidden="1" customHeight="1" x14ac:dyDescent="0.3">
      <c r="A866" s="778" t="s">
        <v>43</v>
      </c>
      <c r="B866" s="778"/>
      <c r="C866" s="778"/>
      <c r="D866" s="778"/>
      <c r="E866" s="778"/>
      <c r="F866" s="778"/>
      <c r="G866" s="778"/>
      <c r="H866" s="778"/>
      <c r="I866" s="778"/>
      <c r="J866" s="778"/>
      <c r="K866" s="778"/>
      <c r="L866" s="778"/>
      <c r="M866" s="778"/>
      <c r="N866" s="778"/>
      <c r="O866" s="778"/>
      <c r="P866" s="778"/>
      <c r="Q866" s="778"/>
      <c r="R866" s="778"/>
    </row>
    <row r="867" spans="1:18" ht="15.75" hidden="1" customHeight="1" x14ac:dyDescent="0.3">
      <c r="A867" s="778" t="s">
        <v>1988</v>
      </c>
      <c r="B867" s="778"/>
      <c r="C867" s="778"/>
      <c r="D867" s="778"/>
      <c r="E867" s="778"/>
      <c r="F867" s="778"/>
      <c r="G867" s="778"/>
      <c r="H867" s="778"/>
      <c r="I867" s="778"/>
      <c r="J867" s="778"/>
      <c r="K867" s="778"/>
      <c r="L867" s="778"/>
      <c r="M867" s="778"/>
      <c r="N867" s="778"/>
      <c r="O867" s="778"/>
      <c r="P867" s="778"/>
      <c r="Q867" s="778"/>
      <c r="R867" s="778"/>
    </row>
    <row r="868" spans="1:18" ht="15.75" hidden="1" customHeight="1" x14ac:dyDescent="0.3">
      <c r="A868" s="778" t="s">
        <v>544</v>
      </c>
      <c r="B868" s="778"/>
      <c r="C868" s="778"/>
      <c r="D868" s="778"/>
      <c r="E868" s="778"/>
      <c r="F868" s="778"/>
      <c r="G868" s="778"/>
      <c r="H868" s="778"/>
      <c r="I868" s="778"/>
      <c r="J868" s="778"/>
      <c r="K868" s="778"/>
      <c r="L868" s="778"/>
      <c r="M868" s="778"/>
      <c r="N868" s="778"/>
      <c r="O868" s="778"/>
      <c r="P868" s="778"/>
      <c r="Q868" s="778"/>
      <c r="R868" s="778"/>
    </row>
    <row r="869" spans="1:18" ht="15.75" hidden="1" customHeight="1" x14ac:dyDescent="0.3">
      <c r="A869" s="783">
        <f>+A5</f>
        <v>2021</v>
      </c>
      <c r="B869" s="783"/>
      <c r="C869" s="783"/>
      <c r="D869" s="783"/>
      <c r="E869" s="783"/>
      <c r="F869" s="783"/>
      <c r="G869" s="783"/>
      <c r="H869" s="783"/>
      <c r="I869" s="783"/>
      <c r="J869" s="783"/>
      <c r="K869" s="783"/>
      <c r="L869" s="783"/>
      <c r="M869" s="783"/>
      <c r="N869" s="783"/>
      <c r="O869" s="783"/>
      <c r="P869" s="783"/>
      <c r="Q869" s="783"/>
      <c r="R869" s="783"/>
    </row>
    <row r="870" spans="1:18" ht="15.75" hidden="1" customHeight="1" x14ac:dyDescent="0.3">
      <c r="A870" s="10"/>
      <c r="B870" s="10"/>
      <c r="C870" s="10"/>
      <c r="D870" s="1"/>
      <c r="E870" s="1"/>
      <c r="F870" s="1"/>
      <c r="G870" s="220"/>
      <c r="H870" s="1"/>
      <c r="I870" s="1"/>
      <c r="J870" s="220"/>
      <c r="K870" s="220"/>
      <c r="L870" s="220"/>
      <c r="M870" s="220"/>
      <c r="N870" s="10"/>
      <c r="O870" s="220"/>
      <c r="P870" s="220"/>
      <c r="Q870" s="220"/>
      <c r="R870" s="220"/>
    </row>
    <row r="871" spans="1:18" ht="15.75" hidden="1" customHeight="1" x14ac:dyDescent="0.3">
      <c r="A871" s="778" t="str">
        <f>+A8</f>
        <v>Revised:  2/5/2020</v>
      </c>
      <c r="B871" s="778"/>
      <c r="C871" s="778"/>
      <c r="D871" s="778"/>
      <c r="E871" s="778"/>
      <c r="F871" s="778"/>
      <c r="G871" s="778"/>
      <c r="H871" s="778"/>
      <c r="I871" s="778"/>
      <c r="J871" s="778"/>
      <c r="K871" s="778"/>
      <c r="L871" s="778"/>
      <c r="M871" s="778"/>
      <c r="N871" s="778"/>
      <c r="O871" s="778"/>
      <c r="P871" s="778"/>
      <c r="Q871" s="778"/>
      <c r="R871" s="778"/>
    </row>
    <row r="872" spans="1:18" ht="15.75" hidden="1" customHeight="1" x14ac:dyDescent="0.3">
      <c r="A872" s="448"/>
      <c r="B872" s="448"/>
      <c r="C872" s="448"/>
      <c r="D872" s="448"/>
      <c r="E872" s="448"/>
      <c r="F872" s="448"/>
      <c r="G872" s="448"/>
      <c r="H872" s="448"/>
      <c r="I872" s="448"/>
      <c r="J872" s="448"/>
      <c r="K872" s="448"/>
      <c r="L872" s="448"/>
      <c r="M872" s="448"/>
      <c r="N872" s="448"/>
      <c r="O872" s="448"/>
      <c r="P872" s="448"/>
      <c r="Q872" s="448"/>
      <c r="R872" s="448"/>
    </row>
    <row r="873" spans="1:18" ht="15.75" hidden="1" customHeight="1" x14ac:dyDescent="0.3">
      <c r="A873" s="448"/>
      <c r="B873" s="448"/>
      <c r="C873" s="448"/>
      <c r="D873" s="448"/>
      <c r="E873" s="448"/>
      <c r="F873" s="448"/>
      <c r="G873" s="448"/>
      <c r="H873" s="448"/>
      <c r="I873" s="448"/>
      <c r="J873" s="448"/>
      <c r="K873" s="448"/>
      <c r="L873" s="448"/>
      <c r="M873" s="448"/>
      <c r="N873" s="448"/>
      <c r="O873" s="448"/>
      <c r="P873" s="448"/>
      <c r="Q873" s="448"/>
      <c r="R873" s="448"/>
    </row>
    <row r="874" spans="1:18" ht="15.75" hidden="1" customHeight="1" thickBot="1" x14ac:dyDescent="0.35">
      <c r="A874" s="18"/>
      <c r="B874" s="10"/>
      <c r="C874" s="10"/>
      <c r="D874" s="10"/>
      <c r="E874" s="10"/>
      <c r="F874" s="10"/>
      <c r="G874" s="10"/>
      <c r="H874" s="10"/>
      <c r="I874" s="10"/>
      <c r="J874" s="10"/>
      <c r="K874" s="10"/>
      <c r="L874" s="10"/>
      <c r="M874" s="10"/>
      <c r="N874" s="10"/>
      <c r="O874" s="10"/>
      <c r="P874" s="10"/>
      <c r="Q874" s="10"/>
      <c r="R874" s="17"/>
    </row>
    <row r="875" spans="1:18" ht="16.5" hidden="1" customHeight="1" thickBot="1" x14ac:dyDescent="0.35">
      <c r="A875" s="278" t="s">
        <v>1661</v>
      </c>
      <c r="B875" s="4" t="s">
        <v>2090</v>
      </c>
      <c r="C875" s="5" t="s">
        <v>2091</v>
      </c>
      <c r="D875" s="5" t="s">
        <v>2234</v>
      </c>
      <c r="E875" s="33" t="s">
        <v>1594</v>
      </c>
      <c r="F875" s="5" t="s">
        <v>2235</v>
      </c>
      <c r="G875" s="5" t="s">
        <v>2236</v>
      </c>
      <c r="H875" s="5" t="s">
        <v>2237</v>
      </c>
      <c r="I875" s="35" t="s">
        <v>1595</v>
      </c>
      <c r="J875" s="5" t="s">
        <v>1504</v>
      </c>
      <c r="K875" s="5" t="s">
        <v>1505</v>
      </c>
      <c r="L875" s="5" t="s">
        <v>1506</v>
      </c>
      <c r="M875" s="35" t="s">
        <v>1596</v>
      </c>
      <c r="N875" s="5" t="s">
        <v>1507</v>
      </c>
      <c r="O875" s="5" t="s">
        <v>1508</v>
      </c>
      <c r="P875" s="5" t="s">
        <v>1509</v>
      </c>
      <c r="Q875" s="35" t="s">
        <v>1597</v>
      </c>
      <c r="R875" s="60" t="s">
        <v>1510</v>
      </c>
    </row>
    <row r="876" spans="1:18" ht="16.5" hidden="1" customHeight="1" thickBot="1" x14ac:dyDescent="0.35">
      <c r="A876" s="22"/>
      <c r="B876" s="297"/>
      <c r="C876" s="297"/>
      <c r="D876" s="297"/>
      <c r="E876" s="302"/>
      <c r="F876" s="297"/>
      <c r="G876" s="297"/>
      <c r="H876" s="297"/>
      <c r="I876" s="325"/>
      <c r="J876" s="297"/>
      <c r="K876" s="297"/>
      <c r="L876" s="297"/>
      <c r="M876" s="325"/>
      <c r="N876" s="297"/>
      <c r="O876" s="297"/>
      <c r="P876" s="297"/>
      <c r="Q876" s="326"/>
      <c r="R876" s="61"/>
    </row>
    <row r="877" spans="1:18" ht="15.75" hidden="1" customHeight="1" x14ac:dyDescent="0.3">
      <c r="A877" s="234" t="s">
        <v>2417</v>
      </c>
      <c r="B877" s="10" t="s">
        <v>852</v>
      </c>
      <c r="C877" s="10" t="s">
        <v>852</v>
      </c>
      <c r="D877" s="10" t="s">
        <v>852</v>
      </c>
      <c r="E877" s="327"/>
      <c r="F877" s="10" t="s">
        <v>852</v>
      </c>
      <c r="G877" s="10" t="s">
        <v>852</v>
      </c>
      <c r="H877" s="10" t="s">
        <v>852</v>
      </c>
      <c r="I877" s="327"/>
      <c r="J877" s="10" t="s">
        <v>852</v>
      </c>
      <c r="K877" s="10" t="s">
        <v>852</v>
      </c>
      <c r="L877" s="10" t="s">
        <v>852</v>
      </c>
      <c r="M877" s="327"/>
      <c r="N877" s="10" t="s">
        <v>852</v>
      </c>
      <c r="O877" s="10" t="s">
        <v>852</v>
      </c>
      <c r="P877" s="10" t="s">
        <v>852</v>
      </c>
      <c r="Q877" s="328"/>
      <c r="R877" s="62" t="s">
        <v>852</v>
      </c>
    </row>
    <row r="878" spans="1:18" ht="15.75" hidden="1" customHeight="1" x14ac:dyDescent="0.3">
      <c r="A878" s="545" t="s">
        <v>2160</v>
      </c>
      <c r="B878" s="10">
        <f>+SUM(B71:B82)+SUM(B141:B197)+SUM(B337:B372)+SUM(B522:B527)+SUM(B566:B571)+SUM(B611:B623)+SUM(B686:B689)+SUM(B722:B728)+SUM(B784:B785)+SUM(B818:B824)</f>
        <v>36134</v>
      </c>
      <c r="C878" s="10">
        <f>+SUM(C71:C82)+SUM(C141:C197)+SUM(C337:C372)+SUM(C522:C527)+SUM(C566:C571)+SUM(C611:C623)+SUM(C686:C689)+SUM(C722:C728)+SUM(C784:C785)+SUM(C818:C824)</f>
        <v>39463</v>
      </c>
      <c r="D878" s="10">
        <f>+SUM(D71:D82)+SUM(D141:D197)+SUM(D337:D372)+SUM(D522:D527)+SUM(D566:D571)+SUM(D611:D623)+SUM(D686:D689)+SUM(D722:D728)+SUM(D784:D785)+SUM(D818:D824)</f>
        <v>44127</v>
      </c>
      <c r="E878" s="38">
        <f t="shared" ref="E878:E884" si="292">SUM(B878:D878)</f>
        <v>119724</v>
      </c>
      <c r="F878" s="10">
        <f>+SUM(F71:F82)+SUM(F141:F197)+SUM(F337:F372)+SUM(F522:F527)+SUM(F566:F571)+SUM(F611:F623)+SUM(F686:F689)+SUM(F722:F728)+SUM(F784:F785)+SUM(F818:F824)</f>
        <v>57547</v>
      </c>
      <c r="G878" s="10">
        <f>+SUM(G71:G82)+SUM(G141:G197)+SUM(G337:G372)+SUM(G522:G527)+SUM(G566:G571)+SUM(G611:G623)+SUM(G686:G689)+SUM(G722:G728)+SUM(G784:G785)+SUM(G818:G824)</f>
        <v>66717</v>
      </c>
      <c r="H878" s="10">
        <f>+SUM(H71:H82)+SUM(H141:H197)+SUM(H337:H372)+SUM(H522:H527)+SUM(H566:H571)+SUM(H611:H623)+SUM(H686:H689)+SUM(H722:H728)+SUM(H784:H785)+SUM(H818:H824)</f>
        <v>80334</v>
      </c>
      <c r="I878" s="38">
        <f t="shared" ref="I878:I884" si="293">SUM(F878:H878)</f>
        <v>204598</v>
      </c>
      <c r="J878" s="10">
        <f>+SUM(J71:J82)+SUM(J141:J197)+SUM(J337:J372)+SUM(J522:J527)+SUM(J566:J571)+SUM(J611:J623)+SUM(J686:J689)+SUM(J722:J728)+SUM(J784:J785)+SUM(J818:J824)</f>
        <v>74837</v>
      </c>
      <c r="K878" s="10">
        <f>+SUM(K71:K82)+SUM(K141:K197)+SUM(K337:K372)+SUM(K522:K527)+SUM(K566:K571)+SUM(K611:K623)+SUM(K686:K689)+SUM(K722:K728)+SUM(K784:K785)+SUM(K818:K824)</f>
        <v>68523</v>
      </c>
      <c r="L878" s="10">
        <f>+SUM(L71:L82)+SUM(L141:L197)+SUM(L337:L372)+SUM(L522:L527)+SUM(L566:L571)+SUM(L611:L623)+SUM(L686:L689)+SUM(L722:L728)+SUM(L784:L785)+SUM(L818:L824)</f>
        <v>53099</v>
      </c>
      <c r="M878" s="38">
        <f t="shared" ref="M878:M884" si="294">SUM(J878:L878)</f>
        <v>196459</v>
      </c>
      <c r="N878" s="10">
        <f>+SUM(N71:N82)+SUM(N141:N197)+SUM(N337:N372)+SUM(N522:N527)+SUM(N566:N571)+SUM(N611:N623)+SUM(N686:N689)+SUM(N722:N728)+SUM(N784:N785)+SUM(N818:N824)</f>
        <v>48941</v>
      </c>
      <c r="O878" s="10">
        <f>+SUM(O71:O82)+SUM(O141:O197)+SUM(O337:O372)+SUM(O522:O527)+SUM(O566:O571)+SUM(O611:O623)+SUM(O686:O689)+SUM(O722:O728)+SUM(O784:O785)+SUM(O818:O824)</f>
        <v>32438</v>
      </c>
      <c r="P878" s="10">
        <f>+SUM(P71:P82)+SUM(P141:P197)+SUM(P337:P372)+SUM(P522:P527)+SUM(P566:P571)+SUM(P611:P623)+SUM(P686:P689)+SUM(P722:P728)+SUM(P784:P785)+SUM(P818:P824)</f>
        <v>24107</v>
      </c>
      <c r="Q878" s="38">
        <f t="shared" ref="Q878:Q884" si="295">SUM(N878:P878)</f>
        <v>105486</v>
      </c>
      <c r="R878" s="38">
        <f t="shared" ref="R878:R884" si="296">+E878+I878+M878+Q878</f>
        <v>626267</v>
      </c>
    </row>
    <row r="879" spans="1:18" ht="15.75" hidden="1" customHeight="1" x14ac:dyDescent="0.3">
      <c r="A879" s="234" t="s">
        <v>2642</v>
      </c>
      <c r="B879" s="10">
        <f>+B38+SUM(B83:B84)+SUM(B199:B208)+SUM(B374:B384)+SUM(B529:B530)+B572+SUM(B624:B625)+B690+B729+B786+SUM(B825:B825)</f>
        <v>0</v>
      </c>
      <c r="C879" s="10">
        <f>+C38+SUM(C83:C84)+SUM(C199:C208)+SUM(C374:C384)+SUM(C529:C530)+C572+SUM(C624:C625)+C690+C729+C786+SUM(C825:C825)</f>
        <v>0</v>
      </c>
      <c r="D879" s="10">
        <f>+D38+SUM(D83:D84)+SUM(D199:D208)+SUM(D374:D384)+SUM(D529:D530)+D572+SUM(D624:D625)+D690+D729+D786+SUM(D825:D825)</f>
        <v>0</v>
      </c>
      <c r="E879" s="38">
        <f t="shared" si="292"/>
        <v>0</v>
      </c>
      <c r="F879" s="10">
        <f>+F38+SUM(F83:F84)+SUM(F199:F208)+SUM(F374:F384)+SUM(F529:F530)+F572+SUM(F624:F625)+F690+F729+F786+SUM(F825:F825)</f>
        <v>0</v>
      </c>
      <c r="G879" s="10">
        <f>+G38+SUM(G83:G84)+SUM(G199:G208)+SUM(G374:G384)+SUM(G529:G530)+G572+SUM(G624:G625)+G690+G729+G786+SUM(G825:G825)</f>
        <v>0</v>
      </c>
      <c r="H879" s="10">
        <f>+H38+SUM(H83:H84)+SUM(H199:H208)+SUM(H374:H384)+SUM(H529:H530)+H572+SUM(H624:H625)+H690+H729+H786+SUM(H825:H825)</f>
        <v>0</v>
      </c>
      <c r="I879" s="38">
        <f t="shared" si="293"/>
        <v>0</v>
      </c>
      <c r="J879" s="10">
        <f>+J38+SUM(J83:J84)+SUM(J199:J208)+SUM(J374:J384)+SUM(J529:J530)+J572+SUM(J624:J625)+J690+J729+J786+SUM(J825:J825)</f>
        <v>0</v>
      </c>
      <c r="K879" s="10">
        <f>+K38+SUM(K83:K84)+SUM(K199:K208)+SUM(K374:K384)+SUM(K529:K530)+K572+SUM(K624:K625)+K690+K729+K786+SUM(K825:K825)</f>
        <v>0</v>
      </c>
      <c r="L879" s="10">
        <f>+L38+SUM(L83:L84)+SUM(L199:L208)+SUM(L374:L384)+SUM(L529:L530)+L572+SUM(L624:L625)+L690+L729+L786+SUM(L825:L825)</f>
        <v>0</v>
      </c>
      <c r="M879" s="38">
        <f t="shared" si="294"/>
        <v>0</v>
      </c>
      <c r="N879" s="10">
        <f>+N38+SUM(N83:N84)+SUM(N199:N208)+SUM(N374:N384)+SUM(N529:N530)+N572+SUM(N624:N625)+N690+N729+N786+SUM(N825:N825)</f>
        <v>0</v>
      </c>
      <c r="O879" s="10">
        <f>+O38+SUM(O83:O84)+SUM(O199:O208)+SUM(O374:O384)+SUM(O529:O530)+O572+SUM(O624:O625)+O690+O729+O786+SUM(O825:O825)</f>
        <v>0</v>
      </c>
      <c r="P879" s="10">
        <f>+P38+SUM(P83:P84)+SUM(P199:P208)+SUM(P374:P384)+SUM(P529:P530)+P572+SUM(P624:P625)+P690+P729+P786+SUM(P825:P825)</f>
        <v>0</v>
      </c>
      <c r="Q879" s="38">
        <f t="shared" si="295"/>
        <v>0</v>
      </c>
      <c r="R879" s="38">
        <f t="shared" si="296"/>
        <v>0</v>
      </c>
    </row>
    <row r="880" spans="1:18" ht="15.75" hidden="1" customHeight="1" x14ac:dyDescent="0.3">
      <c r="A880" s="545" t="s">
        <v>2647</v>
      </c>
      <c r="B880" s="10">
        <f>+SUM(B85:B87)+SUM(B209:B212)+SUM(B385:B389)+B531+B573+SUM(B626:B627)+B691+B730+B787+SUM(B826:B827)</f>
        <v>0</v>
      </c>
      <c r="C880" s="10">
        <f>+SUM(C85:C87)+SUM(C209:C212)+SUM(C385:C389)+C531+C573+SUM(C626:C627)+C691+C730+C787+SUM(C826:C827)</f>
        <v>0</v>
      </c>
      <c r="D880" s="10">
        <f>+SUM(D85:D87)+SUM(D209:D212)+SUM(D385:D389)+D531+D573+SUM(D626:D627)+D691+D730+D787+SUM(D826:D827)</f>
        <v>0</v>
      </c>
      <c r="E880" s="38">
        <f t="shared" si="292"/>
        <v>0</v>
      </c>
      <c r="F880" s="10">
        <f>+SUM(F85:F87)+SUM(F209:F212)+SUM(F385:F389)+F531+F573+SUM(F626:F627)+F691+F730+F787+SUM(F826:F827)</f>
        <v>0</v>
      </c>
      <c r="G880" s="10">
        <f>+SUM(G85:G87)+SUM(G209:G212)+SUM(G385:G389)+G531+G573+SUM(G626:G627)+G691+G730+G787+SUM(G826:G827)</f>
        <v>0</v>
      </c>
      <c r="H880" s="10">
        <f>+SUM(H85:H87)+SUM(H209:H212)+SUM(H385:H389)+H531+H573+SUM(H626:H627)+H691+H730+H787+SUM(H826:H827)</f>
        <v>0</v>
      </c>
      <c r="I880" s="38">
        <f t="shared" si="293"/>
        <v>0</v>
      </c>
      <c r="J880" s="10">
        <f>+SUM(J85:J87)+SUM(J209:J212)+SUM(J385:J389)+J531+J573+SUM(J626:J627)+J691+J730+J787+SUM(J826:J827)</f>
        <v>0</v>
      </c>
      <c r="K880" s="10">
        <f>+SUM(K85:K87)+SUM(K209:K212)+SUM(K385:K389)+K531+K573+SUM(K626:K627)+K691+K730+K787+SUM(K826:K827)</f>
        <v>0</v>
      </c>
      <c r="L880" s="10">
        <f>+SUM(L85:L87)+SUM(L209:L212)+SUM(L385:L389)+L531+L573+SUM(L626:L627)+L691+L730+L787+SUM(L826:L827)</f>
        <v>0</v>
      </c>
      <c r="M880" s="38">
        <f t="shared" si="294"/>
        <v>0</v>
      </c>
      <c r="N880" s="10">
        <f>+SUM(N85:N87)+SUM(N209:N212)+SUM(N385:N389)+N531+N573+SUM(N626:N627)+N691+N730+N787+SUM(N826:N827)</f>
        <v>0</v>
      </c>
      <c r="O880" s="10">
        <f>+SUM(O85:O87)+SUM(O209:O212)+SUM(O385:O389)+O531+O573+SUM(O626:O627)+O691+O730+O787+SUM(O826:O827)</f>
        <v>0</v>
      </c>
      <c r="P880" s="10">
        <f>+SUM(P85:P87)+SUM(P209:P212)+SUM(P385:P389)+P531+P573+SUM(P626:P627)+P691+P730+P787+SUM(P826:P827)</f>
        <v>0</v>
      </c>
      <c r="Q880" s="38">
        <f t="shared" si="295"/>
        <v>0</v>
      </c>
      <c r="R880" s="38">
        <f>+E880+I880+M880+Q880</f>
        <v>0</v>
      </c>
    </row>
    <row r="881" spans="1:20" ht="15.75" hidden="1" customHeight="1" x14ac:dyDescent="0.3">
      <c r="A881" s="234" t="s">
        <v>2958</v>
      </c>
      <c r="B881" s="10">
        <f>+B314+B503+B504</f>
        <v>0</v>
      </c>
      <c r="C881" s="10">
        <f>+C314+C503+C504</f>
        <v>0</v>
      </c>
      <c r="D881" s="10">
        <f>+D314+D503+D504</f>
        <v>0</v>
      </c>
      <c r="E881" s="38">
        <f t="shared" si="292"/>
        <v>0</v>
      </c>
      <c r="F881" s="10">
        <f>+F314+F503+F504</f>
        <v>0</v>
      </c>
      <c r="G881" s="10">
        <f>+G314+G503+G504</f>
        <v>0</v>
      </c>
      <c r="H881" s="10">
        <f>+H314+H503+H504</f>
        <v>0</v>
      </c>
      <c r="I881" s="38">
        <f t="shared" si="293"/>
        <v>0</v>
      </c>
      <c r="J881" s="10">
        <f>+J314+J503+J504</f>
        <v>0</v>
      </c>
      <c r="K881" s="10">
        <f>+K314+K503+K504</f>
        <v>0</v>
      </c>
      <c r="L881" s="10">
        <f>+L314+L503+L504</f>
        <v>0</v>
      </c>
      <c r="M881" s="38">
        <f t="shared" si="294"/>
        <v>0</v>
      </c>
      <c r="N881" s="10">
        <f>+N314+N503+N504</f>
        <v>0</v>
      </c>
      <c r="O881" s="10">
        <f>+O314+O503+O504</f>
        <v>0</v>
      </c>
      <c r="P881" s="10">
        <f>+P314+P503+P504</f>
        <v>0</v>
      </c>
      <c r="Q881" s="38">
        <f t="shared" si="295"/>
        <v>0</v>
      </c>
      <c r="R881" s="38">
        <f t="shared" si="296"/>
        <v>0</v>
      </c>
    </row>
    <row r="882" spans="1:20" ht="15.75" customHeight="1" x14ac:dyDescent="0.3">
      <c r="A882" s="545" t="s">
        <v>2163</v>
      </c>
      <c r="B882" s="10">
        <f>+B315</f>
        <v>42</v>
      </c>
      <c r="C882" s="10">
        <f>+C315</f>
        <v>43</v>
      </c>
      <c r="D882" s="10">
        <f>+D315</f>
        <v>47</v>
      </c>
      <c r="E882" s="38">
        <f>SUM(B882:D882)</f>
        <v>132</v>
      </c>
      <c r="F882" s="10">
        <f>+F315</f>
        <v>52</v>
      </c>
      <c r="G882" s="10">
        <f>+G315</f>
        <v>52</v>
      </c>
      <c r="H882" s="10">
        <f>+H315</f>
        <v>57</v>
      </c>
      <c r="I882" s="38">
        <f>SUM(F882:H882)</f>
        <v>161</v>
      </c>
      <c r="J882" s="10">
        <f>+J315</f>
        <v>62</v>
      </c>
      <c r="K882" s="10">
        <f>+K315</f>
        <v>62</v>
      </c>
      <c r="L882" s="10">
        <f>+L315</f>
        <v>62</v>
      </c>
      <c r="M882" s="38">
        <f>SUM(J882:L882)</f>
        <v>186</v>
      </c>
      <c r="N882" s="10">
        <f>+N315</f>
        <v>57</v>
      </c>
      <c r="O882" s="10">
        <f>+O315</f>
        <v>42</v>
      </c>
      <c r="P882" s="10">
        <f>+P315</f>
        <v>47</v>
      </c>
      <c r="Q882" s="38">
        <f t="shared" si="295"/>
        <v>146</v>
      </c>
      <c r="R882" s="38">
        <f>+E882+I882+M882+Q882</f>
        <v>625</v>
      </c>
    </row>
    <row r="883" spans="1:20" ht="15.75" hidden="1" customHeight="1" thickBot="1" x14ac:dyDescent="0.35">
      <c r="A883" s="234" t="s">
        <v>2164</v>
      </c>
      <c r="B883" s="10">
        <f>+B88+B532+B574+B628+B692+B731+B788+B828</f>
        <v>0</v>
      </c>
      <c r="C883" s="10">
        <f>+C88+C532+C574+C628+C692+C731+C788+C828</f>
        <v>0</v>
      </c>
      <c r="D883" s="10">
        <f>+D88+D532+D574+D628+D692+D731+D788+D828</f>
        <v>0</v>
      </c>
      <c r="E883" s="38">
        <f t="shared" si="292"/>
        <v>0</v>
      </c>
      <c r="F883" s="10">
        <f>+F88+F532+F574+F628+F692+F731+F788+F828</f>
        <v>0</v>
      </c>
      <c r="G883" s="10">
        <f>+G88+G532+G574+G628+G692+G731+G788+G828</f>
        <v>0</v>
      </c>
      <c r="H883" s="10">
        <f>+H88+H532+H574+H628+H692+H731+H788+H828</f>
        <v>0</v>
      </c>
      <c r="I883" s="38">
        <f t="shared" si="293"/>
        <v>0</v>
      </c>
      <c r="J883" s="10">
        <f>+J88+J532+J574+J628+J692+J731+J788+J828</f>
        <v>0</v>
      </c>
      <c r="K883" s="10">
        <f>+K88+K532+K574+K628+K692+K731+K788+K828</f>
        <v>0</v>
      </c>
      <c r="L883" s="10">
        <f>+L88+L532+L574+L628+L692+L731+L788+L828</f>
        <v>0</v>
      </c>
      <c r="M883" s="38">
        <f t="shared" si="294"/>
        <v>0</v>
      </c>
      <c r="N883" s="10">
        <f>+N88+N532+N574+N628+N692+N731+N788+N828</f>
        <v>0</v>
      </c>
      <c r="O883" s="10">
        <f>+O88+O532+O574+O628+O692+O731+O788+O828</f>
        <v>0</v>
      </c>
      <c r="P883" s="10">
        <f>+P88+P532+P574+P628+P692+P731+P788+P828</f>
        <v>0</v>
      </c>
      <c r="Q883" s="38">
        <f t="shared" si="295"/>
        <v>0</v>
      </c>
      <c r="R883" s="38">
        <f t="shared" si="296"/>
        <v>0</v>
      </c>
    </row>
    <row r="884" spans="1:20" ht="16.5" hidden="1" customHeight="1" thickBot="1" x14ac:dyDescent="0.35">
      <c r="A884" s="43" t="s">
        <v>1218</v>
      </c>
      <c r="B884" s="45">
        <f>SUM(B877:B883)</f>
        <v>36176</v>
      </c>
      <c r="C884" s="46">
        <f>SUM(C877:C883)</f>
        <v>39506</v>
      </c>
      <c r="D884" s="46">
        <f>SUM(D877:D883)</f>
        <v>44174</v>
      </c>
      <c r="E884" s="37">
        <f t="shared" si="292"/>
        <v>119856</v>
      </c>
      <c r="F884" s="46">
        <f>SUM(F877:F883)</f>
        <v>57599</v>
      </c>
      <c r="G884" s="46">
        <f>SUM(G877:G883)</f>
        <v>66769</v>
      </c>
      <c r="H884" s="46">
        <f>SUM(H877:H883)</f>
        <v>80391</v>
      </c>
      <c r="I884" s="37">
        <f t="shared" si="293"/>
        <v>204759</v>
      </c>
      <c r="J884" s="46">
        <f>SUM(J877:J883)</f>
        <v>74899</v>
      </c>
      <c r="K884" s="46">
        <f>SUM(K877:K883)</f>
        <v>68585</v>
      </c>
      <c r="L884" s="46">
        <f>SUM(L877:L883)</f>
        <v>53161</v>
      </c>
      <c r="M884" s="37">
        <f t="shared" si="294"/>
        <v>196645</v>
      </c>
      <c r="N884" s="46">
        <f>SUM(N877:N883)</f>
        <v>48998</v>
      </c>
      <c r="O884" s="46">
        <f>SUM(O877:O883)</f>
        <v>32480</v>
      </c>
      <c r="P884" s="46">
        <f>SUM(P877:P883)</f>
        <v>24154</v>
      </c>
      <c r="Q884" s="37">
        <f t="shared" si="295"/>
        <v>105632</v>
      </c>
      <c r="R884" s="37">
        <f t="shared" si="296"/>
        <v>626892</v>
      </c>
      <c r="T884">
        <f>+R884-R881-R880</f>
        <v>626892</v>
      </c>
    </row>
    <row r="885" spans="1:20" ht="15.75" hidden="1" customHeight="1" x14ac:dyDescent="0.3">
      <c r="A885" s="234" t="s">
        <v>1172</v>
      </c>
      <c r="B885" s="10"/>
      <c r="C885" s="10"/>
      <c r="D885" s="10"/>
      <c r="E885" s="38" t="s">
        <v>852</v>
      </c>
      <c r="F885" s="10"/>
      <c r="G885" s="10"/>
      <c r="H885" s="10"/>
      <c r="I885" s="38" t="s">
        <v>852</v>
      </c>
      <c r="J885" s="10"/>
      <c r="K885" s="10"/>
      <c r="L885" s="10"/>
      <c r="M885" s="38" t="s">
        <v>852</v>
      </c>
      <c r="N885" s="10"/>
      <c r="O885" s="10"/>
      <c r="P885" s="10"/>
      <c r="Q885" s="38" t="s">
        <v>852</v>
      </c>
      <c r="R885" s="38" t="s">
        <v>852</v>
      </c>
    </row>
    <row r="886" spans="1:20" ht="15.75" hidden="1" customHeight="1" x14ac:dyDescent="0.3">
      <c r="A886" s="234" t="s">
        <v>1658</v>
      </c>
      <c r="B886" s="10">
        <f>SUM(B43:B43)+SUM(B216:B216)+SUM(B91:B91)+SUM(B393:B393)</f>
        <v>0</v>
      </c>
      <c r="C886" s="10">
        <f>SUM(C43:C43)+SUM(C216:C216)+SUM(C91:C91)+SUM(C393:C393)</f>
        <v>0</v>
      </c>
      <c r="D886" s="10">
        <f>SUM(D43:D43)+SUM(D216:D216)+SUM(D91:D91)+SUM(D393:D393)</f>
        <v>0</v>
      </c>
      <c r="E886" s="38">
        <f>SUM(B886:D886)</f>
        <v>0</v>
      </c>
      <c r="F886" s="10">
        <f>SUM(F43:F43)+SUM(F216:F216)+SUM(F91:F91)+SUM(F393:F393)</f>
        <v>0</v>
      </c>
      <c r="G886" s="10">
        <f>SUM(G43:G43)+SUM(G216:G216)+SUM(G91:G91)+SUM(G393:G393)</f>
        <v>0</v>
      </c>
      <c r="H886" s="10">
        <f>SUM(H43:H43)+SUM(H216:H216)+SUM(H91:H91)+SUM(H393:H393)</f>
        <v>0</v>
      </c>
      <c r="I886" s="38">
        <f>SUM(F886:H886)</f>
        <v>0</v>
      </c>
      <c r="J886" s="10">
        <f>SUM(J43:J43)+SUM(J216:J216)+SUM(J91:J91)+SUM(J393:J393)</f>
        <v>0</v>
      </c>
      <c r="K886" s="10">
        <f>SUM(K43:K43)+SUM(K216:K216)+SUM(K91:K91)+SUM(K393:K393)</f>
        <v>0</v>
      </c>
      <c r="L886" s="10">
        <f>SUM(L43:L43)+SUM(L216:L216)+SUM(L91:L91)+SUM(L393:L393)</f>
        <v>0</v>
      </c>
      <c r="M886" s="38">
        <f>SUM(J886:L886)</f>
        <v>0</v>
      </c>
      <c r="N886" s="10">
        <f>SUM(N43:N43)+SUM(N216:N216)+SUM(N91:N91)+SUM(N393:N393)</f>
        <v>0</v>
      </c>
      <c r="O886" s="10">
        <f>SUM(O43:O43)+SUM(O216:O216)+SUM(O91:O91)+SUM(O393:O393)</f>
        <v>0</v>
      </c>
      <c r="P886" s="10">
        <f>SUM(P43:P43)+SUM(P216:P216)+SUM(P91:P91)+SUM(P393:P393)</f>
        <v>0</v>
      </c>
      <c r="Q886" s="38">
        <f>SUM(N886:P886)</f>
        <v>0</v>
      </c>
      <c r="R886" s="38">
        <f>+E886+I886+M886+Q886</f>
        <v>0</v>
      </c>
    </row>
    <row r="887" spans="1:20" ht="15.75" hidden="1" customHeight="1" x14ac:dyDescent="0.3">
      <c r="A887" s="545" t="s">
        <v>2409</v>
      </c>
      <c r="B887" s="10">
        <f>+SUM(B93:B94)+SUM(B217:B219)+SUM(B394:B403)+B536+SUM(B577:B579)+SUM(B631:B633)+SUM(B695:B695)+B734+B791+SUM(B831:B832)</f>
        <v>2329</v>
      </c>
      <c r="C887" s="10">
        <f>+SUM(C93:C94)+SUM(C217:C219)+SUM(C394:C403)+C536+SUM(C577:C579)+SUM(C631:C633)+SUM(C695:C695)+C734+C791+SUM(C831:C832)</f>
        <v>5179</v>
      </c>
      <c r="D887" s="10">
        <f>+SUM(D93:D94)+SUM(D217:D219)+SUM(D394:D403)+D536+SUM(D577:D579)+SUM(D631:D633)+SUM(D695:D695)+D734+D791+SUM(D831:D832)</f>
        <v>18967</v>
      </c>
      <c r="E887" s="38">
        <f>SUM(B887:D887)</f>
        <v>26475</v>
      </c>
      <c r="F887" s="10">
        <f>+SUM(F93:F94)+SUM(F217:F219)+SUM(F394:F403)+F536+SUM(F577:F579)+SUM(F631:F633)+SUM(F695:F695)+F734+F791+SUM(F831:F832)</f>
        <v>39927</v>
      </c>
      <c r="G887" s="10">
        <f>+SUM(G93:G94)+SUM(G217:G219)+SUM(G394:G403)+G536+SUM(G577:G579)+SUM(G631:G633)+SUM(G695:G695)+G734+G791+SUM(G831:G832)</f>
        <v>36332</v>
      </c>
      <c r="H887" s="10">
        <f>+SUM(H93:H94)+SUM(H217:H219)+SUM(H394:H403)+H536+SUM(H577:H579)+SUM(H631:H633)+SUM(H695:H695)+H734+H791+SUM(H831:H832)</f>
        <v>46715</v>
      </c>
      <c r="I887" s="38">
        <f>SUM(F887:H887)</f>
        <v>122974</v>
      </c>
      <c r="J887" s="10">
        <f>+SUM(J93:J94)+SUM(J217:J219)+SUM(J394:J403)+J536+SUM(J577:J579)+SUM(J631:J633)+SUM(J695:J695)+J734+J791+SUM(J831:J832)</f>
        <v>32933</v>
      </c>
      <c r="K887" s="10">
        <f>+SUM(K93:K94)+SUM(K217:K219)+SUM(K394:K403)+K536+SUM(K577:K579)+SUM(K631:K633)+SUM(K695:K695)+K734+K791+SUM(K831:K832)</f>
        <v>29109</v>
      </c>
      <c r="L887" s="10">
        <f>+SUM(L93:L94)+SUM(L217:L219)+SUM(L394:L403)+L536+SUM(L577:L579)+SUM(L631:L633)+SUM(L695:L695)+L734+L791+SUM(L831:L832)</f>
        <v>11050</v>
      </c>
      <c r="M887" s="38">
        <f>SUM(J887:L887)</f>
        <v>73092</v>
      </c>
      <c r="N887" s="10">
        <f>+SUM(N93:N94)+SUM(N217:N219)+SUM(N394:N403)+N536+SUM(N577:N579)+SUM(N631:N633)+SUM(N695:N695)+N734+N791+SUM(N831:N832)</f>
        <v>9203</v>
      </c>
      <c r="O887" s="10">
        <f>+SUM(O93:O94)+SUM(O217:O219)+SUM(O394:O403)+O536+SUM(O577:O579)+SUM(O631:O633)+SUM(O695:O695)+O734+O791+SUM(O831:O832)</f>
        <v>6238</v>
      </c>
      <c r="P887" s="10">
        <f>+SUM(P93:P94)+SUM(P217:P219)+SUM(P394:P403)+P536+SUM(P577:P579)+SUM(P631:P633)+SUM(P695:P695)+P734+P791+SUM(P831:P832)</f>
        <v>6467</v>
      </c>
      <c r="Q887" s="38">
        <f>SUM(N887:P887)</f>
        <v>21908</v>
      </c>
      <c r="R887" s="38">
        <f>+E887+I887+M887+Q887</f>
        <v>244449</v>
      </c>
    </row>
    <row r="888" spans="1:20" ht="15.75" hidden="1" customHeight="1" thickBot="1" x14ac:dyDescent="0.35">
      <c r="A888" s="234" t="s">
        <v>2165</v>
      </c>
      <c r="B888" s="10">
        <f>+B95+B537+B580+B634+B696+B735+B792+B833+B404+B220+B45</f>
        <v>0</v>
      </c>
      <c r="C888" s="10">
        <f>+C95+C537+C580+C634+C696+C735+C792+C833+C404+C220+C45</f>
        <v>0</v>
      </c>
      <c r="D888" s="10">
        <f>+D95+D537+D580+D634+D696+D735+D792+D833+D404+D220+D45</f>
        <v>0</v>
      </c>
      <c r="E888" s="38">
        <f>SUM(B888:D888)</f>
        <v>0</v>
      </c>
      <c r="F888" s="10">
        <f>+F95+F537+F580+F634+F696+F735+F792+F833+F404+F220+F45</f>
        <v>0</v>
      </c>
      <c r="G888" s="10">
        <f>+G95+G537+G580+G634+G696+G735+G792+G833+G404+G220+G45</f>
        <v>0</v>
      </c>
      <c r="H888" s="10">
        <f>+H95+H537+H580+H634+H696+H735+H792+H833+H404+H220+H45</f>
        <v>0</v>
      </c>
      <c r="I888" s="38">
        <f>SUM(F888:H888)</f>
        <v>0</v>
      </c>
      <c r="J888" s="10">
        <f>+J95+J537+J580+J634+J696+J735+J792+J833+J404+J220+J45</f>
        <v>0</v>
      </c>
      <c r="K888" s="10">
        <f>+K95+K537+K580+K634+K696+K735+K792+K833+K404+K220+K45</f>
        <v>0</v>
      </c>
      <c r="L888" s="10">
        <f>+L95+L537+L580+L634+L696+L735+L792+L833+L404+L220+L45</f>
        <v>0</v>
      </c>
      <c r="M888" s="38">
        <f>SUM(J888:L888)</f>
        <v>0</v>
      </c>
      <c r="N888" s="10">
        <f>+N95+N537+N580+N634+N696+N735+N792+N833+N404+N220+N45</f>
        <v>0</v>
      </c>
      <c r="O888" s="10">
        <f>+O95+O537+O580+O634+O696+O735+O792+O833+O404+O220+O45</f>
        <v>0</v>
      </c>
      <c r="P888" s="10">
        <f>+P95+P537+P580+P634+P696+P735+P792+P833+P404+P220+P45</f>
        <v>0</v>
      </c>
      <c r="Q888" s="38">
        <f>SUM(N888:P888)</f>
        <v>0</v>
      </c>
      <c r="R888" s="38">
        <f>+E888+I888+M888+Q888</f>
        <v>0</v>
      </c>
    </row>
    <row r="889" spans="1:20" ht="16.5" hidden="1" customHeight="1" thickBot="1" x14ac:dyDescent="0.35">
      <c r="A889" s="43" t="s">
        <v>1219</v>
      </c>
      <c r="B889" s="45">
        <f>SUM(B885:B888)</f>
        <v>2329</v>
      </c>
      <c r="C889" s="46">
        <f>SUM(C885:C888)</f>
        <v>5179</v>
      </c>
      <c r="D889" s="46">
        <f>SUM(D885:D888)</f>
        <v>18967</v>
      </c>
      <c r="E889" s="37">
        <f>SUM(B889:D889)</f>
        <v>26475</v>
      </c>
      <c r="F889" s="46">
        <f>SUM(F885:F888)</f>
        <v>39927</v>
      </c>
      <c r="G889" s="46">
        <f>SUM(G885:G888)</f>
        <v>36332</v>
      </c>
      <c r="H889" s="46">
        <f>SUM(H885:H888)</f>
        <v>46715</v>
      </c>
      <c r="I889" s="37">
        <f>SUM(F889:H889)</f>
        <v>122974</v>
      </c>
      <c r="J889" s="46">
        <f>SUM(J885:J888)</f>
        <v>32933</v>
      </c>
      <c r="K889" s="46">
        <f>SUM(K885:K888)</f>
        <v>29109</v>
      </c>
      <c r="L889" s="46">
        <f>SUM(L885:L888)</f>
        <v>11050</v>
      </c>
      <c r="M889" s="37">
        <f>SUM(J889:L889)</f>
        <v>73092</v>
      </c>
      <c r="N889" s="46">
        <f>SUM(N885:N888)</f>
        <v>9203</v>
      </c>
      <c r="O889" s="46">
        <f>SUM(O885:O888)</f>
        <v>6238</v>
      </c>
      <c r="P889" s="46">
        <f>SUM(P885:P888)</f>
        <v>6467</v>
      </c>
      <c r="Q889" s="37">
        <f>SUM(N889:P889)</f>
        <v>21908</v>
      </c>
      <c r="R889" s="37">
        <f>+E889+I889+M889+Q889</f>
        <v>244449</v>
      </c>
    </row>
    <row r="890" spans="1:20" ht="15.75" hidden="1" customHeight="1" x14ac:dyDescent="0.3">
      <c r="A890" s="234" t="s">
        <v>2166</v>
      </c>
      <c r="B890" s="10"/>
      <c r="C890" s="10"/>
      <c r="D890" s="10"/>
      <c r="E890" s="38" t="s">
        <v>852</v>
      </c>
      <c r="F890" s="10"/>
      <c r="G890" s="10"/>
      <c r="H890" s="10"/>
      <c r="I890" s="38" t="s">
        <v>852</v>
      </c>
      <c r="J890" s="10"/>
      <c r="K890" s="10"/>
      <c r="L890" s="10"/>
      <c r="M890" s="38" t="s">
        <v>852</v>
      </c>
      <c r="N890" s="10"/>
      <c r="O890" s="10"/>
      <c r="P890" s="10"/>
      <c r="Q890" s="38" t="s">
        <v>852</v>
      </c>
      <c r="R890" s="38" t="s">
        <v>852</v>
      </c>
    </row>
    <row r="891" spans="1:20" ht="15.75" hidden="1" customHeight="1" x14ac:dyDescent="0.3">
      <c r="A891" s="545" t="s">
        <v>1245</v>
      </c>
      <c r="B891" s="10">
        <f>+B48+B98+B223+SUM(B407:B411)+B540+B583+B637+B699+SUM(B738:B739)+B795+SUM(B836:B838)</f>
        <v>9751</v>
      </c>
      <c r="C891" s="10">
        <f>+C48+C98+C223+SUM(C407:C411)+C540+C583+C637+C699+SUM(C738:C739)+C795+SUM(C836:C838)</f>
        <v>10291</v>
      </c>
      <c r="D891" s="10">
        <f>+D48+D98+D223+SUM(D407:D411)+D540+D583+D637+D699+SUM(D738:D739)+D795+SUM(D836:D838)</f>
        <v>16977</v>
      </c>
      <c r="E891" s="38">
        <f>SUM(B891:D891)</f>
        <v>37019</v>
      </c>
      <c r="F891" s="10">
        <f>+F48+F98+F223+SUM(F407:F411)+F540+F583+F637+F699+SUM(F738:F739)+F795+SUM(F836:F838)</f>
        <v>18609</v>
      </c>
      <c r="G891" s="10">
        <f>+G48+G98+G223+SUM(G407:G411)+G540+G583+G637+G699+SUM(G738:G739)+G795+SUM(G836:G838)</f>
        <v>21286</v>
      </c>
      <c r="H891" s="10">
        <f>+H48+H98+H223+SUM(H407:H411)+H540+H583+H637+H699+SUM(H738:H739)+H795+SUM(H836:H838)</f>
        <v>24306</v>
      </c>
      <c r="I891" s="38">
        <f>SUM(F891:H891)</f>
        <v>64201</v>
      </c>
      <c r="J891" s="10">
        <f>+J48+J98+J223+SUM(J407:J411)+J540+J583+J637+J699+SUM(J738:J739)+J795+SUM(J836:J838)</f>
        <v>24205</v>
      </c>
      <c r="K891" s="10">
        <f>+K48+K98+K223+SUM(K407:K411)+K540+K583+K637+K699+SUM(K738:K739)+K795+SUM(K836:K838)</f>
        <v>23105</v>
      </c>
      <c r="L891" s="10">
        <f>+L48+L98+L223+SUM(L407:L411)+L540+L583+L637+L699+SUM(L738:L739)+L795+SUM(L836:L838)</f>
        <v>17756</v>
      </c>
      <c r="M891" s="38">
        <f>SUM(J891:L891)</f>
        <v>65066</v>
      </c>
      <c r="N891" s="10">
        <f>+N48+N98+N223+SUM(N407:N411)+N540+N583+N637+N699+SUM(N738:N739)+N795+SUM(N836:N838)</f>
        <v>14254</v>
      </c>
      <c r="O891" s="10">
        <f>+O48+O98+O223+SUM(O407:O411)+O540+O583+O637+O699+SUM(O738:O739)+O795+SUM(O836:O838)</f>
        <v>13352</v>
      </c>
      <c r="P891" s="10">
        <f>+P48+P98+P223+SUM(P407:P411)+P540+P583+P637+P699+SUM(P738:P739)+P795+SUM(P836:P838)</f>
        <v>7570</v>
      </c>
      <c r="Q891" s="38">
        <f>SUM(N891:P891)</f>
        <v>35176</v>
      </c>
      <c r="R891" s="38">
        <f>+E891+I891+M891+Q891</f>
        <v>201462</v>
      </c>
    </row>
    <row r="892" spans="1:20" ht="15.75" hidden="1" customHeight="1" thickBot="1" x14ac:dyDescent="0.35">
      <c r="A892" s="545" t="s">
        <v>1711</v>
      </c>
      <c r="B892" s="10">
        <f>+B49+SUM(B99:B107)+SUM(B224:B289)+SUM(B412:B474)+SUM(B541:B543)+SUM(B584:B585)+SUM(B638:B644)+B700+SUM(B740:B749)+B796+SUM(B839:B844)</f>
        <v>20426</v>
      </c>
      <c r="C892" s="10">
        <f>+C49+SUM(C99:C107)+SUM(C224:C289)+SUM(C412:C474)+SUM(C541:C543)+SUM(C584:C585)+SUM(C638:C644)+C700+SUM(C740:C749)+C796+SUM(C839:C844)</f>
        <v>24571</v>
      </c>
      <c r="D892" s="10">
        <f>+D49+SUM(D99:D107)+SUM(D224:D289)+SUM(D412:D474)+SUM(D541:D543)+SUM(D584:D585)+SUM(D638:D644)+D700+SUM(D740:D749)+D796+SUM(D839:D844)</f>
        <v>33676</v>
      </c>
      <c r="E892" s="38">
        <f>SUM(B892:D892)</f>
        <v>78673</v>
      </c>
      <c r="F892" s="10">
        <f>+F49+SUM(F99:F107)+SUM(F224:F289)+SUM(F412:F474)+SUM(F541:F543)+SUM(F584:F585)+SUM(F638:F644)+F700+SUM(F740:F749)+F796+SUM(F839:F844)</f>
        <v>32906</v>
      </c>
      <c r="G892" s="10">
        <f>+G49+SUM(G99:G107)+SUM(G224:G289)+SUM(G412:G474)+SUM(G541:G543)+SUM(G584:G585)+SUM(G638:G644)+G700+SUM(G740:G749)+G796+SUM(G839:G844)</f>
        <v>32229</v>
      </c>
      <c r="H892" s="10">
        <f>+H49+SUM(H99:H107)+SUM(H224:H289)+SUM(H412:H474)+SUM(H541:H543)+SUM(H584:H585)+SUM(H638:H644)+H700+SUM(H740:H749)+H796+SUM(H839:H844)</f>
        <v>49527</v>
      </c>
      <c r="I892" s="38">
        <f>SUM(F892:H892)</f>
        <v>114662</v>
      </c>
      <c r="J892" s="10">
        <f>+J49+SUM(J99:J107)+SUM(J224:J289)+SUM(J412:J474)+SUM(J541:J543)+SUM(J584:J585)+SUM(J638:J644)+J700+SUM(J740:J749)+J796+SUM(J839:J844)</f>
        <v>33057</v>
      </c>
      <c r="K892" s="10">
        <f>+K49+SUM(K99:K107)+SUM(K224:K289)+SUM(K412:K474)+SUM(K541:K543)+SUM(K584:K585)+SUM(K638:K644)+K700+SUM(K740:K749)+K796+SUM(K839:K844)</f>
        <v>29594</v>
      </c>
      <c r="L892" s="10">
        <f>+L49+SUM(L99:L107)+SUM(L224:L289)+SUM(L412:L474)+SUM(L541:L543)+SUM(L584:L585)+SUM(L638:L644)+L700+SUM(L740:L749)+L796+SUM(L839:L844)</f>
        <v>27409</v>
      </c>
      <c r="M892" s="38">
        <f>SUM(J892:L892)</f>
        <v>90060</v>
      </c>
      <c r="N892" s="10">
        <f>+N49+SUM(N99:N107)+SUM(N224:N289)+SUM(N412:N474)+SUM(N541:N543)+SUM(N584:N585)+SUM(N638:N644)+N700+SUM(N740:N749)+N796+SUM(N839:N844)</f>
        <v>15994</v>
      </c>
      <c r="O892" s="10">
        <f>+O49+SUM(O99:O107)+SUM(O224:O289)+SUM(O412:O474)+SUM(O541:O543)+SUM(O584:O585)+SUM(O638:O644)+O700+SUM(O740:O749)+O796+SUM(O839:O844)</f>
        <v>12913</v>
      </c>
      <c r="P892" s="10">
        <f>+P49+SUM(P99:P107)+SUM(P224:P289)+SUM(P412:P474)+SUM(P541:P543)+SUM(P584:P585)+SUM(P638:P644)+P700+SUM(P740:P749)+P796+SUM(P839:P844)</f>
        <v>9587</v>
      </c>
      <c r="Q892" s="38">
        <f>SUM(N892:P892)</f>
        <v>38494</v>
      </c>
      <c r="R892" s="38">
        <f>+E892+I892+M892+Q892</f>
        <v>321889</v>
      </c>
    </row>
    <row r="893" spans="1:20" ht="16.5" hidden="1" customHeight="1" thickBot="1" x14ac:dyDescent="0.35">
      <c r="A893" s="43" t="s">
        <v>1220</v>
      </c>
      <c r="B893" s="45">
        <f>SUM(B890:B892)</f>
        <v>30177</v>
      </c>
      <c r="C893" s="46">
        <f>SUM(C890:C892)</f>
        <v>34862</v>
      </c>
      <c r="D893" s="58">
        <f>SUM(D890:D892)</f>
        <v>50653</v>
      </c>
      <c r="E893" s="37">
        <f>SUM(B893:D893)</f>
        <v>115692</v>
      </c>
      <c r="F893" s="46">
        <f>SUM(F890:F892)</f>
        <v>51515</v>
      </c>
      <c r="G893" s="46">
        <f>SUM(G890:G892)</f>
        <v>53515</v>
      </c>
      <c r="H893" s="46">
        <f>SUM(H890:H892)</f>
        <v>73833</v>
      </c>
      <c r="I893" s="37">
        <f>SUM(F893:H893)</f>
        <v>178863</v>
      </c>
      <c r="J893" s="46">
        <f>SUM(J890:J892)</f>
        <v>57262</v>
      </c>
      <c r="K893" s="46">
        <f>SUM(K890:K892)</f>
        <v>52699</v>
      </c>
      <c r="L893" s="46">
        <f>SUM(L890:L892)</f>
        <v>45165</v>
      </c>
      <c r="M893" s="37">
        <f>SUM(J893:L893)</f>
        <v>155126</v>
      </c>
      <c r="N893" s="46">
        <f>SUM(N890:N892)</f>
        <v>30248</v>
      </c>
      <c r="O893" s="46">
        <f>SUM(O890:O892)</f>
        <v>26265</v>
      </c>
      <c r="P893" s="46">
        <f>SUM(P890:P892)</f>
        <v>17157</v>
      </c>
      <c r="Q893" s="37">
        <f>SUM(N893:P893)</f>
        <v>73670</v>
      </c>
      <c r="R893" s="37">
        <f>+E893+I893+M893+Q893</f>
        <v>523351</v>
      </c>
      <c r="T893">
        <v>1600000</v>
      </c>
    </row>
    <row r="894" spans="1:20" ht="20.25" hidden="1" customHeight="1" x14ac:dyDescent="0.3">
      <c r="A894" s="234" t="s">
        <v>2645</v>
      </c>
      <c r="B894" s="10"/>
      <c r="C894" s="10"/>
      <c r="D894" s="10"/>
      <c r="E894" s="38" t="s">
        <v>852</v>
      </c>
      <c r="F894" s="10"/>
      <c r="G894" s="10"/>
      <c r="H894" s="10"/>
      <c r="I894" s="38" t="s">
        <v>852</v>
      </c>
      <c r="J894" s="10"/>
      <c r="K894" s="10"/>
      <c r="L894" s="10"/>
      <c r="M894" s="38" t="s">
        <v>852</v>
      </c>
      <c r="N894" s="10"/>
      <c r="O894" s="10"/>
      <c r="P894" s="10"/>
      <c r="Q894" s="38" t="s">
        <v>852</v>
      </c>
      <c r="R894" s="38" t="s">
        <v>852</v>
      </c>
      <c r="T894">
        <f>+T893-28000-R878-R879-400000-R891-R892+12000</f>
        <v>34382</v>
      </c>
    </row>
    <row r="895" spans="1:20" ht="15.75" hidden="1" customHeight="1" x14ac:dyDescent="0.3">
      <c r="A895" s="234" t="s">
        <v>2643</v>
      </c>
      <c r="B895" s="10">
        <f>SUM(B52:B52)+SUM(B110:B118)+SUM(B292:B295)+SUM(B477:B478)+SUM(B546:B546)+B588+SUM(B647:B649)+B703+B752+B799+SUM(B847:B849)</f>
        <v>0</v>
      </c>
      <c r="C895" s="10">
        <f>SUM(C52:C52)+SUM(C110:C118)+SUM(C292:C295)+SUM(C477:C478)+SUM(C546:C546)+C588+SUM(C647:C649)+C703+C752+C799+SUM(C847:C849)</f>
        <v>0</v>
      </c>
      <c r="D895" s="10">
        <f>SUM(D52:D52)+SUM(D110:D118)+SUM(D292:D295)+SUM(D477:D478)+SUM(D546:D546)+D588+SUM(D647:D649)+D703+D752+D799+SUM(D847:D849)</f>
        <v>0</v>
      </c>
      <c r="E895" s="38">
        <f t="shared" ref="E895:E903" si="297">SUM(B895:D895)</f>
        <v>0</v>
      </c>
      <c r="F895" s="10">
        <f>SUM(F52:F52)+SUM(F110:F118)+SUM(F292:F295)+SUM(F477:F478)+SUM(F546:F546)+F588+SUM(F647:F649)+F703+F752+F799+SUM(F847:F849)</f>
        <v>0</v>
      </c>
      <c r="G895" s="10">
        <f>SUM(G52:G52)+SUM(G110:G118)+SUM(G292:G295)+SUM(G477:G478)+SUM(G546:G546)+G588+SUM(G647:G649)+G703+G752+G799+SUM(G847:G849)</f>
        <v>0</v>
      </c>
      <c r="H895" s="10">
        <f>SUM(H52:H52)+SUM(H110:H118)+SUM(H292:H295)+SUM(H477:H478)+SUM(H546:H546)+H588+SUM(H647:H649)+H703+H752+H799+SUM(H847:H849)</f>
        <v>0</v>
      </c>
      <c r="I895" s="38">
        <f t="shared" ref="I895:I903" si="298">SUM(F895:H895)</f>
        <v>0</v>
      </c>
      <c r="J895" s="10">
        <f>SUM(J52:J52)+SUM(J110:J118)+SUM(J292:J295)+SUM(J477:J478)+SUM(J546:J546)+J588+SUM(J647:J649)+J703+J752+J799+SUM(J847:J849)</f>
        <v>0</v>
      </c>
      <c r="K895" s="10">
        <f>SUM(K52:K52)+SUM(K110:K118)+SUM(K292:K295)+SUM(K477:K478)+SUM(K546:K546)+K588+SUM(K647:K649)+K703+K752+K799+SUM(K847:K849)</f>
        <v>0</v>
      </c>
      <c r="L895" s="10">
        <f>SUM(L52:L52)+SUM(L110:L118)+SUM(L292:L295)+SUM(L477:L478)+SUM(L546:L546)+L588+SUM(L647:L649)+L703+L752+L799+SUM(L847:L849)</f>
        <v>0</v>
      </c>
      <c r="M895" s="38">
        <f t="shared" ref="M895:M903" si="299">SUM(J895:L895)</f>
        <v>0</v>
      </c>
      <c r="N895" s="10">
        <f>SUM(N52:N52)+SUM(N110:N118)+SUM(N292:N295)+SUM(N477:N478)+SUM(N546:N546)+N588+SUM(N647:N649)+N703+N752+N799+SUM(N847:N849)</f>
        <v>0</v>
      </c>
      <c r="O895" s="10">
        <f>SUM(O52:O52)+SUM(O110:O118)+SUM(O292:O295)+SUM(O477:O478)+SUM(O546:O546)+O588+SUM(O647:O649)+O703+O752+O799+SUM(O847:O849)</f>
        <v>0</v>
      </c>
      <c r="P895" s="10">
        <f>SUM(P52:P52)+SUM(P110:P118)+SUM(P292:P295)+SUM(P477:P478)+SUM(P546:P546)+P588+SUM(P647:P649)+P703+P752+P799+SUM(P847:P849)</f>
        <v>0</v>
      </c>
      <c r="Q895" s="38">
        <f t="shared" ref="Q895:Q903" si="300">SUM(N895:P895)</f>
        <v>0</v>
      </c>
      <c r="R895" s="38">
        <f>+E895+I895+M895+Q895</f>
        <v>0</v>
      </c>
    </row>
    <row r="896" spans="1:20" ht="15.75" hidden="1" customHeight="1" x14ac:dyDescent="0.3">
      <c r="A896" s="234" t="s">
        <v>557</v>
      </c>
      <c r="B896" s="10">
        <f>SUM(B53:B54)+SUM(B119:B120)+SUM(B296:B297)+B299+B301+B303+B304+SUM(B479:B481)+B547+B589+SUM(B650:B651)+B653+SUM(B704:B705)+B754+B756+B800+SUM(B850:B851)</f>
        <v>0</v>
      </c>
      <c r="C896" s="10">
        <f>SUM(C53:C54)+SUM(C119:C120)+SUM(C296:C297)+C299+C301+C303+C304+SUM(C479:C481)+C547+C589+SUM(C650:C651)+C653+SUM(C704:C705)+C754+C756+C800+SUM(C850:C851)</f>
        <v>0</v>
      </c>
      <c r="D896" s="10">
        <f>SUM(D53:D54)+SUM(D119:D120)+SUM(D296:D297)+D299+D301+D303+D304+SUM(D479:D481)+D547+D589+SUM(D650:D651)+D653+SUM(D704:D705)+D754+D756+D800+SUM(D850:D851)</f>
        <v>0</v>
      </c>
      <c r="E896" s="38">
        <f t="shared" si="297"/>
        <v>0</v>
      </c>
      <c r="F896" s="10">
        <f>SUM(F53:F54)+SUM(F119:F120)+SUM(F296:F297)+F299+F301+F303+F304+SUM(F479:F481)+F547+F589+SUM(F650:F651)+F653+SUM(F704:F705)+F754+F756+F800+SUM(F850:F851)</f>
        <v>0</v>
      </c>
      <c r="G896" s="10">
        <f>SUM(G53:G54)+SUM(G119:G120)+SUM(G296:G297)+G299+G301+G303+G304+SUM(G479:G481)+G547+G589+SUM(G650:G651)+G653+SUM(G704:G705)+G754+G756+G800+SUM(G850:G851)</f>
        <v>0</v>
      </c>
      <c r="H896" s="10">
        <f>SUM(H53:H54)+SUM(H119:H120)+SUM(H296:H297)+H299+H301+H303+H304+SUM(H479:H481)+H547+H589+SUM(H650:H651)+H653+SUM(H704:H705)+H754+H756+H800+SUM(H850:H851)</f>
        <v>0</v>
      </c>
      <c r="I896" s="38">
        <f t="shared" si="298"/>
        <v>0</v>
      </c>
      <c r="J896" s="10">
        <f>SUM(J53:J54)+SUM(J119:J120)+SUM(J296:J297)+J299+J301+J303+J304+SUM(J479:J481)+J547+J589+SUM(J650:J651)+J653+SUM(J704:J705)+J754+J756+J800+SUM(J850:J851)</f>
        <v>0</v>
      </c>
      <c r="K896" s="10">
        <f>SUM(K53:K54)+SUM(K119:K120)+SUM(K296:K297)+K299+K301+K303+K304+SUM(K479:K481)+K547+K589+SUM(K650:K651)+K653+SUM(K704:K705)+K754+K756+K800+SUM(K850:K851)</f>
        <v>0</v>
      </c>
      <c r="L896" s="10">
        <f>SUM(L53:L54)+SUM(L119:L120)+SUM(L296:L297)+L299+L301+L303+L304+SUM(L479:L481)+L547+L589+SUM(L650:L651)+L653+SUM(L704:L705)+L754+L756+L800+SUM(L850:L851)</f>
        <v>0</v>
      </c>
      <c r="M896" s="38">
        <f t="shared" si="299"/>
        <v>0</v>
      </c>
      <c r="N896" s="10">
        <f>SUM(N53:N54)+SUM(N119:N120)+SUM(N296:N297)+N299+N301+N303+N304+SUM(N479:N481)+N547+N589+SUM(N650:N651)+N653+SUM(N704:N705)+N754+N756+N800+SUM(N850:N851)</f>
        <v>0</v>
      </c>
      <c r="O896" s="10">
        <f>SUM(O53:O54)+SUM(O119:O120)+SUM(O296:O297)+O299+O301+O303+O304+SUM(O479:O481)+O547+O589+SUM(O650:O651)+O653+SUM(O704:O705)+O754+O756+O800+SUM(O850:O851)</f>
        <v>0</v>
      </c>
      <c r="P896" s="10">
        <f>SUM(P53:P54)+SUM(P119:P120)+SUM(P296:P297)+P299+P301+P303+P304+SUM(P479:P481)+P547+P589+SUM(P650:P651)+P653+SUM(P704:P705)+P754+P756+P800+SUM(P850:P851)</f>
        <v>0</v>
      </c>
      <c r="Q896" s="38">
        <f t="shared" si="300"/>
        <v>0</v>
      </c>
      <c r="R896" s="38">
        <f t="shared" ref="R896:R903" si="301">+E896+I896+M896+Q896</f>
        <v>0</v>
      </c>
    </row>
    <row r="897" spans="1:18" ht="17.399999999999999" hidden="1" x14ac:dyDescent="0.3">
      <c r="A897" s="539" t="s">
        <v>3281</v>
      </c>
      <c r="B897" s="10">
        <f>B121+B298+B300+B302+B652+B654+B755+B757+B852</f>
        <v>0</v>
      </c>
      <c r="C897" s="10">
        <f>C121+C298+C300+C302+C652+C654+C755+C757+C852</f>
        <v>0</v>
      </c>
      <c r="D897" s="10">
        <f>D121+D298+D300+D302+D652+D654+D755+D757+D852</f>
        <v>0</v>
      </c>
      <c r="E897" s="38">
        <f t="shared" si="297"/>
        <v>0</v>
      </c>
      <c r="F897" s="10">
        <f>F121+F298+F300+F302+F652+F654+F755+F757+F852</f>
        <v>0</v>
      </c>
      <c r="G897" s="10">
        <f>G121+G298+G300+G302+G652+G654+G755+G757+G852</f>
        <v>0</v>
      </c>
      <c r="H897" s="10">
        <f>H121+H298+H300+H302+H652+H654+H755+H757+H852</f>
        <v>0</v>
      </c>
      <c r="I897" s="38">
        <f t="shared" si="298"/>
        <v>0</v>
      </c>
      <c r="J897" s="10">
        <f>J121+J298+J300+J302+J652+J654+J755+J757+J852</f>
        <v>0</v>
      </c>
      <c r="K897" s="10">
        <f>K121+K298+K300+K302+K652+K654+K755+K757+K852</f>
        <v>0</v>
      </c>
      <c r="L897" s="10">
        <f>L121+L298+L300+L302+L652+L654+L755+L757+L852</f>
        <v>0</v>
      </c>
      <c r="M897" s="38">
        <f t="shared" si="299"/>
        <v>0</v>
      </c>
      <c r="N897" s="10">
        <f>N121+N298+N300+N302+N652+N654+N755+N757+N852</f>
        <v>0</v>
      </c>
      <c r="O897" s="10">
        <f>O121+O298+O300+O302+O652+O654+O755+O757+O852</f>
        <v>0</v>
      </c>
      <c r="P897" s="10">
        <f>P121+P298+P300+P302+P652+P654+P755+P757+P852</f>
        <v>0</v>
      </c>
      <c r="Q897" s="38">
        <f t="shared" si="300"/>
        <v>0</v>
      </c>
      <c r="R897" s="38">
        <f t="shared" si="301"/>
        <v>0</v>
      </c>
    </row>
    <row r="898" spans="1:18" ht="15.75" hidden="1" customHeight="1" x14ac:dyDescent="0.3">
      <c r="A898" s="234" t="s">
        <v>2644</v>
      </c>
      <c r="B898" s="10">
        <f>+B55+SUM(B122:B123)+SUM(B305:B306)+SUM(B482:B488)+SUM(B548:B548)+SUM(B590:B591)+SUM(B655:B657)+B706+B758+B853+B853+B801</f>
        <v>0</v>
      </c>
      <c r="C898" s="10">
        <f>+C55+SUM(C122:C123)+SUM(C305:C306)+SUM(C482:C488)+SUM(C548:C548)+SUM(C590:C591)+SUM(C655:C657)+C706+C758+C853+C853+C801</f>
        <v>0</v>
      </c>
      <c r="D898" s="10">
        <f>+D55+SUM(D122:D123)+SUM(D305:D306)+SUM(D482:D488)+SUM(D548:D548)+SUM(D590:D591)+SUM(D655:D657)+D706+D758+D853+D853+D801</f>
        <v>0</v>
      </c>
      <c r="E898" s="38">
        <f t="shared" si="297"/>
        <v>0</v>
      </c>
      <c r="F898" s="10">
        <f>+F55+SUM(F122:F123)+SUM(F305:F306)+SUM(F482:F488)+SUM(F548:F548)+SUM(F590:F591)+SUM(F655:F657)+F706+F758+F853+F853+F801</f>
        <v>0</v>
      </c>
      <c r="G898" s="10">
        <f>+G55+SUM(G122:G123)+SUM(G305:G306)+SUM(G482:G488)+SUM(G548:G548)+SUM(G590:G591)+SUM(G655:G657)+G706+G758+G853+G853+G801</f>
        <v>0</v>
      </c>
      <c r="H898" s="10">
        <f>+H55+SUM(H122:H123)+SUM(H305:H306)+SUM(H482:H488)+SUM(H548:H548)+SUM(H590:H591)+SUM(H655:H657)+H706+H758+H853+H853+H801</f>
        <v>0</v>
      </c>
      <c r="I898" s="38">
        <f t="shared" si="298"/>
        <v>0</v>
      </c>
      <c r="J898" s="10">
        <f>+J55+SUM(J122:J123)+SUM(J305:J306)+SUM(J482:J488)+SUM(J548:J548)+SUM(J590:J591)+SUM(J655:J657)+J706+J758+J853+J853+J801</f>
        <v>0</v>
      </c>
      <c r="K898" s="10">
        <f>+K55+SUM(K122:K123)+SUM(K305:K306)+SUM(K482:K488)+SUM(K548:K548)+SUM(K590:K591)+SUM(K655:K657)+K706+K758+K853+K853+K801</f>
        <v>0</v>
      </c>
      <c r="L898" s="10">
        <f>+L55+SUM(L122:L123)+SUM(L305:L306)+SUM(L482:L488)+SUM(L548:L548)+SUM(L590:L591)+SUM(L655:L657)+L706+L758+L853+L853+L801</f>
        <v>0</v>
      </c>
      <c r="M898" s="38">
        <f t="shared" si="299"/>
        <v>0</v>
      </c>
      <c r="N898" s="10">
        <f>+N55+SUM(N122:N123)+SUM(N305:N306)+SUM(N482:N488)+SUM(N548:N548)+SUM(N590:N591)+SUM(N655:N657)+N706+N758+N853+N853+N801</f>
        <v>0</v>
      </c>
      <c r="O898" s="10">
        <f>+O55+SUM(O122:O123)+SUM(O305:O306)+SUM(O482:O488)+SUM(O548:O548)+SUM(O590:O591)+SUM(O655:O657)+O706+O758+O853+O853+O801</f>
        <v>0</v>
      </c>
      <c r="P898" s="10">
        <f>+P55+SUM(P122:P123)+SUM(P305:P306)+SUM(P482:P488)+SUM(P548:P548)+SUM(P590:P591)+SUM(P655:P657)+P706+P758+P853+P853+P801</f>
        <v>0</v>
      </c>
      <c r="Q898" s="38">
        <f t="shared" si="300"/>
        <v>0</v>
      </c>
      <c r="R898" s="38">
        <f>+E898+I898+M898+Q898</f>
        <v>0</v>
      </c>
    </row>
    <row r="899" spans="1:18" ht="22.5" hidden="1" customHeight="1" x14ac:dyDescent="0.3">
      <c r="A899" s="234" t="s">
        <v>559</v>
      </c>
      <c r="B899" s="10">
        <f>SUM(B126:B126)+SUM(B307:B308)+B490+B493+B494+B496+B499+SUM(B549:B550)+B593+B596+B658+B659+B661+B707+B759+B802+B854</f>
        <v>0</v>
      </c>
      <c r="C899" s="10">
        <f>SUM(C126:C126)+SUM(C307:C308)+C490+C493+C494+C496+C499+SUM(C549:C550)+C593+C596+C658+C659+C661+C707+C759+C802+C854</f>
        <v>0</v>
      </c>
      <c r="D899" s="10">
        <f>SUM(D126:D126)+SUM(D307:D308)+D490+D493+D494+D496+D499+SUM(D549:D550)+D593+D596+D658+D659+D661+D707+D759+D802+D854</f>
        <v>0</v>
      </c>
      <c r="E899" s="38">
        <f t="shared" si="297"/>
        <v>0</v>
      </c>
      <c r="F899" s="10">
        <f>SUM(F126:F126)+SUM(F307:F308)+F490+F493+F494+F496+F499+SUM(F549:F550)+F593+F596+F658+F659+F661+F707+F759+F802+F854</f>
        <v>0</v>
      </c>
      <c r="G899" s="10">
        <f>SUM(G126:G126)+SUM(G307:G308)+G490+G493+G494+G496+G499+SUM(G549:G550)+G593+G596+G658+G659+G661+G707+G759+G802+G854</f>
        <v>0</v>
      </c>
      <c r="H899" s="10">
        <f>SUM(H126:H126)+SUM(H307:H308)+H490+H493+H494+H496+H499+SUM(H549:H550)+H593+H596+H658+H659+H661+H707+H759+H802+H854</f>
        <v>0</v>
      </c>
      <c r="I899" s="38">
        <f t="shared" si="298"/>
        <v>0</v>
      </c>
      <c r="J899" s="10">
        <f>SUM(J126:J126)+SUM(J307:J308)+J490+J493+J494+J496+J499+SUM(J549:J550)+J593+J596+J658+J659+J661+J707+J759+J802+J854</f>
        <v>0</v>
      </c>
      <c r="K899" s="10">
        <f>SUM(K126:K126)+SUM(K307:K308)+K490+K493+K494+K496+K499+SUM(K549:K550)+K593+K596+K658+K659+K661+K707+K759+K802+K854</f>
        <v>0</v>
      </c>
      <c r="L899" s="10">
        <f>SUM(L126:L126)+SUM(L307:L308)+L490+L493+L494+L496+L499+SUM(L549:L550)+L593+L596+L658+L659+L661+L707+L759+L802+L854</f>
        <v>0</v>
      </c>
      <c r="M899" s="38">
        <f t="shared" si="299"/>
        <v>0</v>
      </c>
      <c r="N899" s="10">
        <f>SUM(N126:N126)+SUM(N307:N308)+N490+N493+N494+N496+N499+SUM(N549:N550)+N593+N596+N658+N659+N661+N707+N759+N802+N854</f>
        <v>0</v>
      </c>
      <c r="O899" s="10">
        <f>SUM(O126:O126)+SUM(O307:O308)+O490+O493+O494+O496+O499+SUM(O549:O550)+O593+O596+O658+O659+O661+O707+O759+O802+O854</f>
        <v>0</v>
      </c>
      <c r="P899" s="10">
        <f>SUM(P126:P126)+SUM(P307:P308)+P490+P493+P494+P496+P499+SUM(P549:P550)+P593+P596+P658+P659+P661+P707+P759+P802+P854</f>
        <v>0</v>
      </c>
      <c r="Q899" s="38">
        <f t="shared" si="300"/>
        <v>0</v>
      </c>
      <c r="R899" s="38">
        <f>+E899+I899+M899+Q899</f>
        <v>0</v>
      </c>
    </row>
    <row r="900" spans="1:18" ht="17.399999999999999" hidden="1" x14ac:dyDescent="0.3">
      <c r="A900" s="539" t="s">
        <v>3280</v>
      </c>
      <c r="B900" s="10">
        <f>+B491+B495+B497+B551+B125+B492+B498+B594+B595+B660</f>
        <v>0</v>
      </c>
      <c r="C900" s="10">
        <f>+C491+C495+C497+C551+C125+C492+C498+C594+C595+C660</f>
        <v>0</v>
      </c>
      <c r="D900" s="10">
        <f>+D491+D495+D497+D551+D125+D492+D498+D594+D595+D660</f>
        <v>0</v>
      </c>
      <c r="E900" s="38">
        <f>SUM(B900:D900)</f>
        <v>0</v>
      </c>
      <c r="F900" s="10">
        <f>+F491+F495+F497+F551+F125+F492+F498+F594+F595+F660</f>
        <v>0</v>
      </c>
      <c r="G900" s="10">
        <f>+G491+G495+G497+G551+G125+G492+G498+G594+G595+G660</f>
        <v>0</v>
      </c>
      <c r="H900" s="10">
        <f>+H491+H495+H497+H551+H125+H492+H498+H594+H595+H660</f>
        <v>0</v>
      </c>
      <c r="I900" s="38">
        <f>SUM(F900:H900)</f>
        <v>0</v>
      </c>
      <c r="J900" s="10">
        <f>+J491+J495+J497+J551+J125+J492+J498+J594+J595+J660</f>
        <v>0</v>
      </c>
      <c r="K900" s="10">
        <f>+K491+K495+K497+K551+K125+K492+K498+K594+K595+K660</f>
        <v>0</v>
      </c>
      <c r="L900" s="10">
        <f>+L491+L495+L497+L551+L125+L492+L498+L594+L595+L660</f>
        <v>0</v>
      </c>
      <c r="M900" s="38">
        <f>SUM(J900:L900)</f>
        <v>0</v>
      </c>
      <c r="N900" s="10">
        <f>+N491+N495+N497+N551+N125+N492+N498+N594+N595+N660</f>
        <v>0</v>
      </c>
      <c r="O900" s="10">
        <f>+O491+O495+O497+O551+O125+O492+O498+O594+O595+O660</f>
        <v>0</v>
      </c>
      <c r="P900" s="10">
        <f>+P491+P495+P497+P551+P125+P492+P498+P594+P595+P660</f>
        <v>0</v>
      </c>
      <c r="Q900" s="38">
        <f>SUM(N900:P900)</f>
        <v>0</v>
      </c>
      <c r="R900" s="38">
        <f>+E900+I900+M900+Q900</f>
        <v>0</v>
      </c>
    </row>
    <row r="901" spans="1:18" ht="16.5" hidden="1" customHeight="1" thickBot="1" x14ac:dyDescent="0.35">
      <c r="A901" s="43" t="s">
        <v>1019</v>
      </c>
      <c r="B901" s="745">
        <f>SUM(B898:B900)</f>
        <v>0</v>
      </c>
      <c r="C901" s="745">
        <f>SUM(C898:C900)</f>
        <v>0</v>
      </c>
      <c r="D901" s="745">
        <f>SUM(D898:D900)</f>
        <v>0</v>
      </c>
      <c r="E901" s="39">
        <f t="shared" si="297"/>
        <v>0</v>
      </c>
      <c r="F901" s="745">
        <f>SUM(F898:F900)</f>
        <v>0</v>
      </c>
      <c r="G901" s="745">
        <f>SUM(G898:G900)</f>
        <v>0</v>
      </c>
      <c r="H901" s="745">
        <f>SUM(H898:H900)</f>
        <v>0</v>
      </c>
      <c r="I901" s="39">
        <f t="shared" si="298"/>
        <v>0</v>
      </c>
      <c r="J901" s="745">
        <f>SUM(J898:J900)</f>
        <v>0</v>
      </c>
      <c r="K901" s="745">
        <f>SUM(K898:K900)</f>
        <v>0</v>
      </c>
      <c r="L901" s="745">
        <f>SUM(L898:L900)</f>
        <v>0</v>
      </c>
      <c r="M901" s="39">
        <f t="shared" si="299"/>
        <v>0</v>
      </c>
      <c r="N901" s="745">
        <f>SUM(N898:N900)</f>
        <v>0</v>
      </c>
      <c r="O901" s="745">
        <f>SUM(O898:O900)</f>
        <v>0</v>
      </c>
      <c r="P901" s="745">
        <f>SUM(P898:P900)</f>
        <v>0</v>
      </c>
      <c r="Q901" s="39">
        <f t="shared" si="300"/>
        <v>0</v>
      </c>
      <c r="R901" s="37">
        <f t="shared" si="301"/>
        <v>0</v>
      </c>
    </row>
    <row r="902" spans="1:18" ht="16.5" hidden="1" customHeight="1" thickBot="1" x14ac:dyDescent="0.35">
      <c r="A902" s="277" t="s">
        <v>1221</v>
      </c>
      <c r="B902" s="45">
        <f>SUM(B894:B900)</f>
        <v>0</v>
      </c>
      <c r="C902" s="46">
        <f>SUM(C894:C900)</f>
        <v>0</v>
      </c>
      <c r="D902" s="58">
        <f>SUM(D894:D900)</f>
        <v>0</v>
      </c>
      <c r="E902" s="746">
        <f t="shared" si="297"/>
        <v>0</v>
      </c>
      <c r="F902" s="45">
        <f>SUM(F894:F900)</f>
        <v>0</v>
      </c>
      <c r="G902" s="46">
        <f>SUM(G894:G900)</f>
        <v>0</v>
      </c>
      <c r="H902" s="58">
        <f>SUM(H894:H900)</f>
        <v>0</v>
      </c>
      <c r="I902" s="39">
        <f t="shared" si="298"/>
        <v>0</v>
      </c>
      <c r="J902" s="45">
        <f>SUM(J894:J900)</f>
        <v>0</v>
      </c>
      <c r="K902" s="46">
        <f>SUM(K894:K900)</f>
        <v>0</v>
      </c>
      <c r="L902" s="58">
        <f>SUM(L894:L900)</f>
        <v>0</v>
      </c>
      <c r="M902" s="39">
        <f t="shared" si="299"/>
        <v>0</v>
      </c>
      <c r="N902" s="45">
        <f>SUM(N894:N900)</f>
        <v>0</v>
      </c>
      <c r="O902" s="46">
        <f>SUM(O894:O900)</f>
        <v>0</v>
      </c>
      <c r="P902" s="58">
        <f>SUM(P894:P900)</f>
        <v>0</v>
      </c>
      <c r="Q902" s="39">
        <f t="shared" si="300"/>
        <v>0</v>
      </c>
      <c r="R902" s="37">
        <f t="shared" si="301"/>
        <v>0</v>
      </c>
    </row>
    <row r="903" spans="1:18" ht="16.5" hidden="1" customHeight="1" thickBot="1" x14ac:dyDescent="0.35">
      <c r="A903" s="43" t="s">
        <v>1222</v>
      </c>
      <c r="B903" s="337">
        <f>+B884+B889+B893+B902</f>
        <v>68682</v>
      </c>
      <c r="C903" s="338">
        <f>+C884+C889+C893+C902</f>
        <v>79547</v>
      </c>
      <c r="D903" s="338">
        <f>+D884+D889+D893+D902</f>
        <v>113794</v>
      </c>
      <c r="E903" s="37">
        <f t="shared" si="297"/>
        <v>262023</v>
      </c>
      <c r="F903" s="42">
        <f>+F884+F889+F893+F902</f>
        <v>149041</v>
      </c>
      <c r="G903" s="42">
        <f>+G884+G889+G893+G902</f>
        <v>156616</v>
      </c>
      <c r="H903" s="42">
        <f>+H884+H889+H893+H902</f>
        <v>200939</v>
      </c>
      <c r="I903" s="37">
        <f t="shared" si="298"/>
        <v>506596</v>
      </c>
      <c r="J903" s="42">
        <f>+J884+J889+J893+J902</f>
        <v>165094</v>
      </c>
      <c r="K903" s="42">
        <f>+K884+K889+K893+K902</f>
        <v>150393</v>
      </c>
      <c r="L903" s="42">
        <f>+L884+L889+L893+L902</f>
        <v>109376</v>
      </c>
      <c r="M903" s="37">
        <f t="shared" si="299"/>
        <v>424863</v>
      </c>
      <c r="N903" s="42">
        <f>+N884+N889+N893+N902</f>
        <v>88449</v>
      </c>
      <c r="O903" s="42">
        <f>+O884+O889+O893+O902</f>
        <v>64983</v>
      </c>
      <c r="P903" s="42">
        <f>+P884+P889+P893+P902</f>
        <v>47778</v>
      </c>
      <c r="Q903" s="37">
        <f t="shared" si="300"/>
        <v>201210</v>
      </c>
      <c r="R903" s="40">
        <f t="shared" si="301"/>
        <v>1394692</v>
      </c>
    </row>
    <row r="904" spans="1:18" ht="15.75" hidden="1" customHeight="1" x14ac:dyDescent="0.3">
      <c r="A904" s="356" t="s">
        <v>3282</v>
      </c>
      <c r="B904" s="10"/>
      <c r="C904" s="10"/>
      <c r="D904" s="10"/>
      <c r="E904" s="10"/>
      <c r="F904" s="10"/>
      <c r="G904" s="10"/>
      <c r="H904" s="10"/>
      <c r="I904" s="10"/>
      <c r="J904" s="10"/>
      <c r="K904" s="10"/>
      <c r="L904" s="10"/>
      <c r="M904" s="10"/>
      <c r="N904" s="10"/>
      <c r="O904" s="747"/>
      <c r="P904" s="10"/>
      <c r="Q904" s="10"/>
      <c r="R904" s="17"/>
    </row>
    <row r="905" spans="1:18" ht="15.75" hidden="1" customHeight="1" x14ac:dyDescent="0.3">
      <c r="A905" s="356" t="s">
        <v>3279</v>
      </c>
      <c r="B905" s="10"/>
      <c r="C905" s="10"/>
      <c r="D905" s="10"/>
      <c r="E905" s="10"/>
      <c r="F905" s="10"/>
      <c r="G905" s="10"/>
      <c r="H905" s="10"/>
      <c r="I905" s="10"/>
      <c r="J905" s="10"/>
      <c r="K905" s="10"/>
      <c r="L905" s="10"/>
      <c r="M905" s="10"/>
      <c r="N905" s="10"/>
      <c r="O905" s="747"/>
      <c r="P905" s="10"/>
      <c r="Q905" s="10"/>
      <c r="R905" s="17"/>
    </row>
    <row r="906" spans="1:18" ht="15.75" hidden="1" customHeight="1" x14ac:dyDescent="0.3">
      <c r="A906" s="10"/>
      <c r="B906" s="10"/>
      <c r="C906" s="10"/>
      <c r="D906" s="10"/>
      <c r="E906" s="10"/>
      <c r="F906" s="10"/>
      <c r="G906" s="10"/>
      <c r="H906" s="10"/>
      <c r="I906" s="10"/>
      <c r="J906" s="10"/>
      <c r="K906" s="10"/>
      <c r="L906" s="10"/>
      <c r="M906" s="10"/>
      <c r="N906" s="10"/>
      <c r="O906" s="747"/>
      <c r="P906" s="10"/>
      <c r="Q906" s="680" t="str">
        <f>+Q1</f>
        <v xml:space="preserve">PRINTED:  </v>
      </c>
      <c r="R906" s="681">
        <f ca="1">+R1</f>
        <v>44881.729633912037</v>
      </c>
    </row>
    <row r="907" spans="1:18" ht="15.75" hidden="1" customHeight="1" x14ac:dyDescent="0.3">
      <c r="A907" s="778" t="s">
        <v>43</v>
      </c>
      <c r="B907" s="778"/>
      <c r="C907" s="778"/>
      <c r="D907" s="778"/>
      <c r="E907" s="778"/>
      <c r="F907" s="778"/>
      <c r="G907" s="778"/>
      <c r="H907" s="778"/>
      <c r="I907" s="778"/>
      <c r="J907" s="778"/>
      <c r="K907" s="778"/>
      <c r="L907" s="778"/>
      <c r="M907" s="778"/>
      <c r="N907" s="778"/>
      <c r="O907" s="778"/>
      <c r="P907" s="778"/>
      <c r="Q907" s="778"/>
      <c r="R907" s="778"/>
    </row>
    <row r="908" spans="1:18" ht="15.75" hidden="1" customHeight="1" x14ac:dyDescent="0.3">
      <c r="A908" s="778" t="s">
        <v>1988</v>
      </c>
      <c r="B908" s="778"/>
      <c r="C908" s="778"/>
      <c r="D908" s="778"/>
      <c r="E908" s="778"/>
      <c r="F908" s="778"/>
      <c r="G908" s="778"/>
      <c r="H908" s="778"/>
      <c r="I908" s="778"/>
      <c r="J908" s="778"/>
      <c r="K908" s="778"/>
      <c r="L908" s="778"/>
      <c r="M908" s="778"/>
      <c r="N908" s="778"/>
      <c r="O908" s="778"/>
      <c r="P908" s="778"/>
      <c r="Q908" s="778"/>
      <c r="R908" s="778"/>
    </row>
    <row r="909" spans="1:18" ht="15.75" hidden="1" customHeight="1" x14ac:dyDescent="0.3">
      <c r="A909" s="778" t="s">
        <v>544</v>
      </c>
      <c r="B909" s="778"/>
      <c r="C909" s="778"/>
      <c r="D909" s="778"/>
      <c r="E909" s="778"/>
      <c r="F909" s="778"/>
      <c r="G909" s="778"/>
      <c r="H909" s="778"/>
      <c r="I909" s="778"/>
      <c r="J909" s="778"/>
      <c r="K909" s="778"/>
      <c r="L909" s="778"/>
      <c r="M909" s="778"/>
      <c r="N909" s="778"/>
      <c r="O909" s="778"/>
      <c r="P909" s="778"/>
      <c r="Q909" s="778"/>
      <c r="R909" s="778"/>
    </row>
    <row r="910" spans="1:18" ht="15.75" hidden="1" customHeight="1" x14ac:dyDescent="0.3">
      <c r="A910" s="784">
        <f>+A5</f>
        <v>2021</v>
      </c>
      <c r="B910" s="784"/>
      <c r="C910" s="784"/>
      <c r="D910" s="784"/>
      <c r="E910" s="784"/>
      <c r="F910" s="784"/>
      <c r="G910" s="784"/>
      <c r="H910" s="784"/>
      <c r="I910" s="784"/>
      <c r="J910" s="784"/>
      <c r="K910" s="784"/>
      <c r="L910" s="784"/>
      <c r="M910" s="784"/>
      <c r="N910" s="784"/>
      <c r="O910" s="784"/>
      <c r="P910" s="784"/>
      <c r="Q910" s="784"/>
      <c r="R910" s="784"/>
    </row>
    <row r="911" spans="1:18" ht="15.75" hidden="1" customHeight="1" x14ac:dyDescent="0.3">
      <c r="A911" s="10"/>
      <c r="B911" s="10"/>
      <c r="C911" s="10"/>
      <c r="D911" s="1"/>
      <c r="E911" s="1"/>
      <c r="F911" s="1"/>
      <c r="G911" s="220"/>
      <c r="H911" s="1"/>
      <c r="I911" s="1"/>
      <c r="J911" s="220"/>
      <c r="K911" s="220"/>
      <c r="L911" s="220"/>
      <c r="M911" s="220"/>
      <c r="N911" s="10"/>
      <c r="O911" s="220"/>
      <c r="P911" s="220"/>
      <c r="Q911" s="220"/>
      <c r="R911" s="220"/>
    </row>
    <row r="912" spans="1:18" ht="15.75" hidden="1" customHeight="1" x14ac:dyDescent="0.3">
      <c r="A912" s="778" t="str">
        <f>+A8</f>
        <v>Revised:  2/5/2020</v>
      </c>
      <c r="B912" s="778"/>
      <c r="C912" s="778"/>
      <c r="D912" s="778"/>
      <c r="E912" s="778"/>
      <c r="F912" s="778"/>
      <c r="G912" s="778"/>
      <c r="H912" s="778"/>
      <c r="I912" s="778"/>
      <c r="J912" s="778"/>
      <c r="K912" s="778"/>
      <c r="L912" s="778"/>
      <c r="M912" s="778"/>
      <c r="N912" s="778"/>
      <c r="O912" s="778"/>
      <c r="P912" s="778"/>
      <c r="Q912" s="778"/>
      <c r="R912" s="778"/>
    </row>
    <row r="913" spans="1:46" ht="15.75" hidden="1" customHeight="1" x14ac:dyDescent="0.3">
      <c r="A913" s="448"/>
      <c r="B913" s="448"/>
      <c r="C913" s="448"/>
      <c r="D913" s="448"/>
      <c r="E913" s="448"/>
      <c r="F913" s="448"/>
      <c r="G913" s="448"/>
      <c r="H913" s="448"/>
      <c r="I913" s="448"/>
      <c r="J913" s="448"/>
      <c r="K913" s="448"/>
      <c r="L913" s="448"/>
      <c r="M913" s="448"/>
      <c r="N913" s="448"/>
      <c r="O913" s="448"/>
      <c r="P913" s="448"/>
      <c r="Q913" s="448"/>
      <c r="R913" s="448"/>
    </row>
    <row r="914" spans="1:46" ht="15.75" hidden="1" customHeight="1" x14ac:dyDescent="0.3">
      <c r="A914" s="18"/>
      <c r="B914" s="10"/>
      <c r="C914" s="10"/>
      <c r="D914" s="10"/>
      <c r="E914" s="10"/>
      <c r="F914" s="10"/>
      <c r="G914" s="10"/>
      <c r="H914" s="10"/>
      <c r="I914" s="10"/>
      <c r="J914" s="10"/>
      <c r="K914" s="10"/>
      <c r="L914" s="10"/>
      <c r="M914" s="10"/>
      <c r="N914" s="10"/>
      <c r="O914" s="10"/>
      <c r="P914" s="10"/>
      <c r="Q914" s="10"/>
      <c r="R914" s="17"/>
    </row>
    <row r="915" spans="1:46" ht="15.75" hidden="1" customHeight="1" thickBot="1" x14ac:dyDescent="0.35">
      <c r="A915" s="10"/>
      <c r="B915" s="10"/>
      <c r="C915" s="10"/>
      <c r="D915" s="10"/>
      <c r="E915" s="10"/>
      <c r="F915" s="10"/>
      <c r="G915" s="10"/>
      <c r="H915" s="10"/>
      <c r="I915" s="10"/>
      <c r="J915" s="10"/>
      <c r="K915" s="10"/>
      <c r="L915" s="10"/>
      <c r="M915" s="10"/>
      <c r="N915" s="10"/>
      <c r="O915" s="747"/>
      <c r="P915" s="10"/>
      <c r="Q915" s="10"/>
      <c r="R915" s="17"/>
    </row>
    <row r="916" spans="1:46" ht="15.75" hidden="1" customHeight="1" thickBot="1" x14ac:dyDescent="0.35">
      <c r="A916" s="274" t="s">
        <v>1088</v>
      </c>
      <c r="B916" s="25" t="s">
        <v>2090</v>
      </c>
      <c r="C916" s="26" t="s">
        <v>2091</v>
      </c>
      <c r="D916" s="26" t="s">
        <v>2234</v>
      </c>
      <c r="E916" s="33" t="s">
        <v>1594</v>
      </c>
      <c r="F916" s="26" t="s">
        <v>2235</v>
      </c>
      <c r="G916" s="26" t="s">
        <v>2236</v>
      </c>
      <c r="H916" s="26" t="s">
        <v>2237</v>
      </c>
      <c r="I916" s="33" t="s">
        <v>1595</v>
      </c>
      <c r="J916" s="26" t="s">
        <v>1504</v>
      </c>
      <c r="K916" s="26" t="s">
        <v>1505</v>
      </c>
      <c r="L916" s="26" t="s">
        <v>1506</v>
      </c>
      <c r="M916" s="33" t="s">
        <v>1596</v>
      </c>
      <c r="N916" s="26" t="s">
        <v>1507</v>
      </c>
      <c r="O916" s="26" t="s">
        <v>1508</v>
      </c>
      <c r="P916" s="26" t="s">
        <v>1509</v>
      </c>
      <c r="Q916" s="33" t="s">
        <v>1597</v>
      </c>
      <c r="R916" s="339" t="s">
        <v>1510</v>
      </c>
    </row>
    <row r="917" spans="1:46" ht="16.5" hidden="1" customHeight="1" thickBot="1" x14ac:dyDescent="0.35">
      <c r="A917" s="340"/>
      <c r="B917" s="748"/>
      <c r="C917" s="748"/>
      <c r="D917" s="748"/>
      <c r="E917" s="302"/>
      <c r="F917" s="748"/>
      <c r="G917" s="748"/>
      <c r="H917" s="748"/>
      <c r="I917" s="298"/>
      <c r="J917" s="748"/>
      <c r="K917" s="748"/>
      <c r="L917" s="748"/>
      <c r="M917" s="298"/>
      <c r="N917" s="748"/>
      <c r="O917" s="748"/>
      <c r="P917" s="748"/>
      <c r="Q917" s="323"/>
      <c r="R917" s="342"/>
    </row>
    <row r="918" spans="1:46" ht="16.5" hidden="1" customHeight="1" thickBot="1" x14ac:dyDescent="0.35">
      <c r="A918" s="343" t="s">
        <v>673</v>
      </c>
      <c r="B918" s="344">
        <f>+B884</f>
        <v>36176</v>
      </c>
      <c r="C918" s="344">
        <f>+C884</f>
        <v>39506</v>
      </c>
      <c r="D918" s="344">
        <f>+D884</f>
        <v>44174</v>
      </c>
      <c r="E918" s="45">
        <f>+SUM(B918:D918)</f>
        <v>119856</v>
      </c>
      <c r="F918" s="344">
        <f>+F884</f>
        <v>57599</v>
      </c>
      <c r="G918" s="344">
        <f>+G884</f>
        <v>66769</v>
      </c>
      <c r="H918" s="344">
        <f>+H884</f>
        <v>80391</v>
      </c>
      <c r="I918" s="45">
        <f>+SUM(F918:H918)</f>
        <v>204759</v>
      </c>
      <c r="J918" s="344">
        <f>+J884</f>
        <v>74899</v>
      </c>
      <c r="K918" s="344">
        <f>+K884</f>
        <v>68585</v>
      </c>
      <c r="L918" s="344">
        <f>+L884</f>
        <v>53161</v>
      </c>
      <c r="M918" s="45">
        <f>+SUM(J918:L918)</f>
        <v>196645</v>
      </c>
      <c r="N918" s="344">
        <f>+N884</f>
        <v>48998</v>
      </c>
      <c r="O918" s="344">
        <f>+O884</f>
        <v>32480</v>
      </c>
      <c r="P918" s="344">
        <f>+P884</f>
        <v>24154</v>
      </c>
      <c r="Q918" s="45">
        <f>+SUM(N918:P918)</f>
        <v>105632</v>
      </c>
      <c r="R918" s="37">
        <f>+E918+I918+M918+Q918</f>
        <v>626892</v>
      </c>
    </row>
    <row r="919" spans="1:46" ht="16.5" hidden="1" customHeight="1" thickBot="1" x14ac:dyDescent="0.35">
      <c r="A919" s="35"/>
      <c r="B919" s="45"/>
      <c r="C919" s="45"/>
      <c r="D919" s="45"/>
      <c r="E919" s="45"/>
      <c r="F919" s="45"/>
      <c r="G919" s="45"/>
      <c r="H919" s="45"/>
      <c r="I919" s="45"/>
      <c r="J919" s="45"/>
      <c r="K919" s="45"/>
      <c r="L919" s="45"/>
      <c r="M919" s="45"/>
      <c r="N919" s="45"/>
      <c r="O919" s="45"/>
      <c r="P919" s="45"/>
      <c r="Q919" s="45"/>
      <c r="R919" s="37"/>
    </row>
    <row r="920" spans="1:46" ht="16.5" hidden="1" customHeight="1" thickBot="1" x14ac:dyDescent="0.35">
      <c r="A920" s="343" t="s">
        <v>672</v>
      </c>
      <c r="B920" s="344">
        <f>+B889</f>
        <v>2329</v>
      </c>
      <c r="C920" s="344">
        <f>+C889</f>
        <v>5179</v>
      </c>
      <c r="D920" s="344">
        <f>+D889</f>
        <v>18967</v>
      </c>
      <c r="E920" s="45">
        <f>+SUM(B920:D920)</f>
        <v>26475</v>
      </c>
      <c r="F920" s="344">
        <f>+F889</f>
        <v>39927</v>
      </c>
      <c r="G920" s="344">
        <f>+G889</f>
        <v>36332</v>
      </c>
      <c r="H920" s="344">
        <f>+H889</f>
        <v>46715</v>
      </c>
      <c r="I920" s="45">
        <f>+SUM(F920:H920)</f>
        <v>122974</v>
      </c>
      <c r="J920" s="344">
        <f>+J889</f>
        <v>32933</v>
      </c>
      <c r="K920" s="344">
        <f>+K889</f>
        <v>29109</v>
      </c>
      <c r="L920" s="344">
        <f>+L889</f>
        <v>11050</v>
      </c>
      <c r="M920" s="45">
        <f>+SUM(J920:L920)</f>
        <v>73092</v>
      </c>
      <c r="N920" s="344">
        <f>+N889</f>
        <v>9203</v>
      </c>
      <c r="O920" s="344">
        <f>+O889</f>
        <v>6238</v>
      </c>
      <c r="P920" s="344">
        <f>+P889</f>
        <v>6467</v>
      </c>
      <c r="Q920" s="45">
        <f>+SUM(N920:P920)</f>
        <v>21908</v>
      </c>
      <c r="R920" s="37">
        <f>+E920+I920+M920+Q920</f>
        <v>244449</v>
      </c>
    </row>
    <row r="921" spans="1:46" ht="16.5" hidden="1" customHeight="1" thickBot="1" x14ac:dyDescent="0.35">
      <c r="A921" s="35"/>
      <c r="B921" s="45"/>
      <c r="C921" s="45"/>
      <c r="D921" s="45"/>
      <c r="E921" s="45"/>
      <c r="F921" s="45"/>
      <c r="G921" s="45"/>
      <c r="H921" s="45"/>
      <c r="I921" s="45"/>
      <c r="J921" s="45"/>
      <c r="K921" s="45"/>
      <c r="L921" s="45"/>
      <c r="M921" s="45"/>
      <c r="N921" s="45"/>
      <c r="O921" s="45"/>
      <c r="P921" s="45"/>
      <c r="Q921" s="45"/>
      <c r="R921" s="37"/>
      <c r="AC921" s="749"/>
      <c r="AD921" s="701"/>
      <c r="AE921" s="750" t="s">
        <v>2434</v>
      </c>
      <c r="AF921" s="701"/>
      <c r="AG921" s="701"/>
      <c r="AH921" s="701"/>
      <c r="AI921" s="701"/>
      <c r="AJ921" s="701"/>
      <c r="AK921" s="701" t="s">
        <v>2435</v>
      </c>
      <c r="AL921" s="701"/>
      <c r="AM921" s="701" t="s">
        <v>852</v>
      </c>
      <c r="AN921" s="751" t="str">
        <f>+A8</f>
        <v>Revised:  2/5/2020</v>
      </c>
      <c r="AO921" s="701"/>
      <c r="AP921" s="701"/>
      <c r="AQ921" s="701"/>
      <c r="AR921" s="701"/>
      <c r="AS921" s="752" t="str">
        <f>+Q1</f>
        <v xml:space="preserve">PRINTED:  </v>
      </c>
      <c r="AT921" s="753">
        <f ca="1">+R1</f>
        <v>44881.729633912037</v>
      </c>
    </row>
    <row r="922" spans="1:46" ht="16.5" hidden="1" customHeight="1" thickBot="1" x14ac:dyDescent="0.35">
      <c r="A922" s="343" t="s">
        <v>1089</v>
      </c>
      <c r="B922" s="344">
        <f>+B893</f>
        <v>30177</v>
      </c>
      <c r="C922" s="344">
        <f>+C893</f>
        <v>34862</v>
      </c>
      <c r="D922" s="344">
        <f>+D893</f>
        <v>50653</v>
      </c>
      <c r="E922" s="45">
        <f>+SUM(B922:D922)</f>
        <v>115692</v>
      </c>
      <c r="F922" s="344">
        <f>+F893</f>
        <v>51515</v>
      </c>
      <c r="G922" s="344">
        <f>+G893</f>
        <v>53515</v>
      </c>
      <c r="H922" s="344">
        <f>+H893</f>
        <v>73833</v>
      </c>
      <c r="I922" s="45">
        <f>+SUM(F922:H922)</f>
        <v>178863</v>
      </c>
      <c r="J922" s="344">
        <f>+J893</f>
        <v>57262</v>
      </c>
      <c r="K922" s="344">
        <f>+K893</f>
        <v>52699</v>
      </c>
      <c r="L922" s="344">
        <f>+L893</f>
        <v>45165</v>
      </c>
      <c r="M922" s="45">
        <f>+SUM(J922:L922)</f>
        <v>155126</v>
      </c>
      <c r="N922" s="344">
        <f>+N893</f>
        <v>30248</v>
      </c>
      <c r="O922" s="344">
        <f>+O893</f>
        <v>26265</v>
      </c>
      <c r="P922" s="344">
        <f>+P893</f>
        <v>17157</v>
      </c>
      <c r="Q922" s="45">
        <f>+SUM(N922:P922)</f>
        <v>73670</v>
      </c>
      <c r="R922" s="37">
        <f>+E922+I922+M922+Q922</f>
        <v>523351</v>
      </c>
      <c r="AC922" s="551"/>
      <c r="AD922" s="67"/>
      <c r="AE922" s="67"/>
      <c r="AF922" s="67">
        <f>++A5</f>
        <v>2021</v>
      </c>
      <c r="AG922" s="67"/>
      <c r="AH922" s="67"/>
      <c r="AI922" s="67"/>
      <c r="AJ922" s="67"/>
      <c r="AK922" s="67"/>
      <c r="AL922" s="67"/>
      <c r="AM922" s="67"/>
      <c r="AN922" s="67"/>
      <c r="AO922" s="67"/>
      <c r="AP922" s="67"/>
      <c r="AQ922" s="67"/>
      <c r="AR922" s="67"/>
      <c r="AS922" s="67"/>
      <c r="AT922" s="754"/>
    </row>
    <row r="923" spans="1:46" ht="16.5" hidden="1" customHeight="1" thickBot="1" x14ac:dyDescent="0.35">
      <c r="A923" s="35"/>
      <c r="B923" s="45"/>
      <c r="C923" s="45"/>
      <c r="D923" s="45"/>
      <c r="E923" s="45"/>
      <c r="F923" s="45"/>
      <c r="G923" s="45"/>
      <c r="H923" s="45"/>
      <c r="I923" s="45"/>
      <c r="J923" s="45"/>
      <c r="K923" s="45"/>
      <c r="L923" s="45"/>
      <c r="M923" s="45"/>
      <c r="N923" s="45"/>
      <c r="O923" s="45"/>
      <c r="P923" s="45"/>
      <c r="Q923" s="45"/>
      <c r="R923" s="37"/>
      <c r="AC923" s="551"/>
      <c r="AD923" s="67"/>
      <c r="AE923" s="67"/>
      <c r="AF923" s="67"/>
      <c r="AG923" s="67"/>
      <c r="AH923" s="67"/>
      <c r="AI923" s="67"/>
      <c r="AJ923" s="67"/>
      <c r="AK923" s="67"/>
      <c r="AL923" s="67"/>
      <c r="AM923" s="67"/>
      <c r="AN923" s="67"/>
      <c r="AO923" s="67"/>
      <c r="AP923" s="67"/>
      <c r="AQ923" s="67"/>
      <c r="AR923" s="67"/>
      <c r="AS923" s="67"/>
      <c r="AT923" s="754"/>
    </row>
    <row r="924" spans="1:46" ht="16.5" hidden="1" customHeight="1" thickBot="1" x14ac:dyDescent="0.35">
      <c r="A924" s="343" t="s">
        <v>1090</v>
      </c>
      <c r="B924" s="344">
        <f>+B902</f>
        <v>0</v>
      </c>
      <c r="C924" s="344">
        <f>+C902</f>
        <v>0</v>
      </c>
      <c r="D924" s="344">
        <f>+D902</f>
        <v>0</v>
      </c>
      <c r="E924" s="45">
        <f>+SUM(B924:D924)</f>
        <v>0</v>
      </c>
      <c r="F924" s="344">
        <f>+F902</f>
        <v>0</v>
      </c>
      <c r="G924" s="344">
        <f>+G902</f>
        <v>0</v>
      </c>
      <c r="H924" s="344">
        <f>+H902</f>
        <v>0</v>
      </c>
      <c r="I924" s="45">
        <f>+SUM(F924:H924)</f>
        <v>0</v>
      </c>
      <c r="J924" s="344">
        <f>+J902</f>
        <v>0</v>
      </c>
      <c r="K924" s="344">
        <f>+K902</f>
        <v>0</v>
      </c>
      <c r="L924" s="344">
        <f>+L902</f>
        <v>0</v>
      </c>
      <c r="M924" s="45">
        <f>+SUM(J924:L924)</f>
        <v>0</v>
      </c>
      <c r="N924" s="344">
        <f>+N902</f>
        <v>0</v>
      </c>
      <c r="O924" s="344">
        <f>+O902</f>
        <v>0</v>
      </c>
      <c r="P924" s="344">
        <f>+P902</f>
        <v>0</v>
      </c>
      <c r="Q924" s="45">
        <f>+SUM(N924:P924)</f>
        <v>0</v>
      </c>
      <c r="R924" s="37">
        <f>+E924+I924+M924+Q924</f>
        <v>0</v>
      </c>
      <c r="AC924" s="551"/>
      <c r="AD924" s="67"/>
      <c r="AE924" s="67"/>
      <c r="AF924" s="67"/>
      <c r="AG924" s="67"/>
      <c r="AH924" s="67"/>
      <c r="AI924" s="70" t="s">
        <v>2438</v>
      </c>
      <c r="AJ924" s="67"/>
      <c r="AK924" s="67"/>
      <c r="AL924" s="67"/>
      <c r="AM924" s="67"/>
      <c r="AN924" s="67"/>
      <c r="AO924" s="67"/>
      <c r="AP924" s="67"/>
      <c r="AQ924" s="67"/>
      <c r="AR924" s="67"/>
      <c r="AS924" s="67"/>
      <c r="AT924" s="754"/>
    </row>
    <row r="925" spans="1:46" ht="16.5" hidden="1" customHeight="1" thickBot="1" x14ac:dyDescent="0.35">
      <c r="A925" s="35"/>
      <c r="B925" s="45"/>
      <c r="C925" s="45"/>
      <c r="D925" s="45"/>
      <c r="E925" s="45"/>
      <c r="F925" s="45"/>
      <c r="G925" s="45"/>
      <c r="H925" s="45"/>
      <c r="I925" s="45"/>
      <c r="J925" s="45"/>
      <c r="K925" s="45"/>
      <c r="L925" s="45"/>
      <c r="M925" s="45"/>
      <c r="N925" s="45"/>
      <c r="O925" s="45"/>
      <c r="P925" s="45"/>
      <c r="Q925" s="45"/>
      <c r="R925" s="37"/>
      <c r="AC925" s="551"/>
      <c r="AD925" s="67" t="s">
        <v>2435</v>
      </c>
      <c r="AE925" s="67"/>
      <c r="AF925" s="70" t="s">
        <v>2436</v>
      </c>
      <c r="AG925" s="70" t="s">
        <v>2436</v>
      </c>
      <c r="AH925" s="70" t="s">
        <v>2437</v>
      </c>
      <c r="AI925" s="70" t="s">
        <v>525</v>
      </c>
      <c r="AJ925" s="70" t="s">
        <v>2439</v>
      </c>
      <c r="AK925" s="70" t="s">
        <v>2463</v>
      </c>
      <c r="AL925" s="70" t="s">
        <v>2356</v>
      </c>
      <c r="AM925" s="67" t="s">
        <v>2435</v>
      </c>
      <c r="AN925" s="70" t="s">
        <v>2464</v>
      </c>
      <c r="AO925" s="70" t="s">
        <v>2464</v>
      </c>
      <c r="AP925" s="70" t="s">
        <v>2464</v>
      </c>
      <c r="AQ925" s="67"/>
      <c r="AR925" s="67"/>
      <c r="AS925" s="67"/>
      <c r="AT925" s="754"/>
    </row>
    <row r="926" spans="1:46" ht="16.5" hidden="1" customHeight="1" thickBot="1" x14ac:dyDescent="0.4">
      <c r="A926" s="35" t="s">
        <v>574</v>
      </c>
      <c r="B926" s="47">
        <f t="shared" ref="B926:Q926" si="302">+SUM(B918:B924)</f>
        <v>68682</v>
      </c>
      <c r="C926" s="47">
        <f t="shared" si="302"/>
        <v>79547</v>
      </c>
      <c r="D926" s="47">
        <f t="shared" si="302"/>
        <v>113794</v>
      </c>
      <c r="E926" s="47">
        <f t="shared" si="302"/>
        <v>262023</v>
      </c>
      <c r="F926" s="47">
        <f t="shared" si="302"/>
        <v>149041</v>
      </c>
      <c r="G926" s="47">
        <f t="shared" si="302"/>
        <v>156616</v>
      </c>
      <c r="H926" s="47">
        <f t="shared" si="302"/>
        <v>200939</v>
      </c>
      <c r="I926" s="47">
        <f t="shared" si="302"/>
        <v>506596</v>
      </c>
      <c r="J926" s="47">
        <f t="shared" si="302"/>
        <v>165094</v>
      </c>
      <c r="K926" s="47">
        <f t="shared" si="302"/>
        <v>150393</v>
      </c>
      <c r="L926" s="47">
        <f t="shared" si="302"/>
        <v>109376</v>
      </c>
      <c r="M926" s="47">
        <f t="shared" si="302"/>
        <v>424863</v>
      </c>
      <c r="N926" s="47">
        <f t="shared" si="302"/>
        <v>88449</v>
      </c>
      <c r="O926" s="47">
        <f t="shared" si="302"/>
        <v>64983</v>
      </c>
      <c r="P926" s="47">
        <f t="shared" si="302"/>
        <v>47778</v>
      </c>
      <c r="Q926" s="47">
        <f t="shared" si="302"/>
        <v>201210</v>
      </c>
      <c r="R926" s="345">
        <f>+SUM(R918:R924)</f>
        <v>1394692</v>
      </c>
      <c r="AC926" s="551"/>
      <c r="AD926" s="70" t="s">
        <v>284</v>
      </c>
      <c r="AE926" s="70" t="s">
        <v>2379</v>
      </c>
      <c r="AF926" s="70" t="s">
        <v>844</v>
      </c>
      <c r="AG926" s="70" t="s">
        <v>844</v>
      </c>
      <c r="AH926" s="70" t="s">
        <v>845</v>
      </c>
      <c r="AI926" s="214" t="s">
        <v>955</v>
      </c>
      <c r="AJ926" s="70" t="s">
        <v>275</v>
      </c>
      <c r="AK926" s="70" t="s">
        <v>276</v>
      </c>
      <c r="AL926" s="70" t="s">
        <v>1554</v>
      </c>
      <c r="AM926" s="67" t="s">
        <v>2435</v>
      </c>
      <c r="AN926" s="70" t="s">
        <v>1555</v>
      </c>
      <c r="AO926" s="70" t="s">
        <v>955</v>
      </c>
      <c r="AP926" s="70" t="s">
        <v>1194</v>
      </c>
      <c r="AQ926" s="67"/>
      <c r="AR926" s="67"/>
      <c r="AS926" s="67"/>
      <c r="AT926" s="754"/>
    </row>
    <row r="927" spans="1:46" ht="15.75" hidden="1" customHeight="1" x14ac:dyDescent="0.35">
      <c r="A927" s="201"/>
      <c r="B927" s="286"/>
      <c r="C927" s="286"/>
      <c r="D927" s="286"/>
      <c r="E927" s="286"/>
      <c r="F927" s="286"/>
      <c r="G927" s="286"/>
      <c r="H927" s="544" t="s">
        <v>2538</v>
      </c>
      <c r="I927" s="286"/>
      <c r="J927" s="286"/>
      <c r="K927" s="286"/>
      <c r="L927" s="286"/>
      <c r="M927" s="286"/>
      <c r="N927" s="286"/>
      <c r="O927" s="286"/>
      <c r="P927" s="286"/>
      <c r="Q927" s="286"/>
      <c r="R927" s="286"/>
      <c r="AC927" s="551"/>
      <c r="AD927" s="70" t="s">
        <v>1193</v>
      </c>
      <c r="AE927" s="70" t="s">
        <v>956</v>
      </c>
      <c r="AF927" s="70" t="s">
        <v>333</v>
      </c>
      <c r="AG927" s="70" t="s">
        <v>334</v>
      </c>
      <c r="AH927" s="70" t="s">
        <v>335</v>
      </c>
      <c r="AI927" s="70" t="s">
        <v>335</v>
      </c>
      <c r="AJ927" s="70" t="s">
        <v>335</v>
      </c>
      <c r="AK927" s="70" t="s">
        <v>335</v>
      </c>
      <c r="AL927" s="70" t="s">
        <v>1486</v>
      </c>
      <c r="AM927" s="67" t="s">
        <v>2435</v>
      </c>
      <c r="AN927" s="70" t="s">
        <v>1487</v>
      </c>
      <c r="AO927" s="70" t="s">
        <v>929</v>
      </c>
      <c r="AP927" s="70" t="s">
        <v>929</v>
      </c>
      <c r="AQ927" s="67"/>
      <c r="AR927" s="67"/>
      <c r="AS927" s="67"/>
      <c r="AT927" s="754"/>
    </row>
    <row r="928" spans="1:46" ht="15.75" hidden="1" customHeight="1" x14ac:dyDescent="0.35">
      <c r="A928" s="201"/>
      <c r="B928" s="286"/>
      <c r="C928" s="286"/>
      <c r="D928" s="286"/>
      <c r="E928" s="286"/>
      <c r="F928" s="286"/>
      <c r="G928" s="286"/>
      <c r="H928" s="286"/>
      <c r="I928" s="286"/>
      <c r="J928" s="286"/>
      <c r="K928" s="286"/>
      <c r="L928" s="286"/>
      <c r="M928" s="286"/>
      <c r="N928" s="286"/>
      <c r="O928" s="286"/>
      <c r="P928" s="286"/>
      <c r="Q928" s="286"/>
      <c r="R928" s="286"/>
      <c r="AC928" s="551"/>
      <c r="AD928" s="70" t="s">
        <v>930</v>
      </c>
      <c r="AE928" s="70" t="s">
        <v>931</v>
      </c>
      <c r="AF928" s="70" t="s">
        <v>932</v>
      </c>
      <c r="AG928" s="70" t="s">
        <v>932</v>
      </c>
      <c r="AH928" s="70" t="s">
        <v>932</v>
      </c>
      <c r="AI928" s="70" t="s">
        <v>932</v>
      </c>
      <c r="AJ928" s="70" t="s">
        <v>932</v>
      </c>
      <c r="AK928" s="70" t="s">
        <v>932</v>
      </c>
      <c r="AL928" s="70" t="s">
        <v>932</v>
      </c>
      <c r="AM928" s="67" t="s">
        <v>2435</v>
      </c>
      <c r="AN928" s="70" t="s">
        <v>946</v>
      </c>
      <c r="AO928" s="70" t="s">
        <v>946</v>
      </c>
      <c r="AP928" s="70" t="s">
        <v>946</v>
      </c>
      <c r="AQ928" s="67"/>
      <c r="AR928" s="67"/>
      <c r="AS928" s="67"/>
      <c r="AT928" s="754"/>
    </row>
    <row r="929" spans="1:46" ht="15.75" hidden="1" customHeight="1" thickBot="1" x14ac:dyDescent="0.4">
      <c r="A929" s="201"/>
      <c r="B929" s="286"/>
      <c r="C929" s="286"/>
      <c r="D929" s="286"/>
      <c r="E929" s="286"/>
      <c r="F929" s="286"/>
      <c r="G929" s="286"/>
      <c r="H929" s="544"/>
      <c r="I929" s="286"/>
      <c r="J929" s="286"/>
      <c r="K929" s="286"/>
      <c r="L929" s="286"/>
      <c r="M929" s="286"/>
      <c r="N929" s="286"/>
      <c r="O929" s="286"/>
      <c r="P929" s="286"/>
      <c r="Q929" s="286"/>
      <c r="R929" s="286"/>
      <c r="AC929" s="551"/>
      <c r="AD929" s="67" t="s">
        <v>1353</v>
      </c>
      <c r="AE929" s="67" t="s">
        <v>1353</v>
      </c>
      <c r="AF929" s="67" t="s">
        <v>1353</v>
      </c>
      <c r="AG929" s="67" t="s">
        <v>1353</v>
      </c>
      <c r="AH929" s="67" t="s">
        <v>1353</v>
      </c>
      <c r="AI929" s="67" t="s">
        <v>1353</v>
      </c>
      <c r="AJ929" s="67" t="s">
        <v>1353</v>
      </c>
      <c r="AK929" s="67" t="s">
        <v>1353</v>
      </c>
      <c r="AL929" s="67" t="s">
        <v>1353</v>
      </c>
      <c r="AM929" s="67" t="s">
        <v>2435</v>
      </c>
      <c r="AN929" s="67" t="s">
        <v>1353</v>
      </c>
      <c r="AO929" s="67" t="s">
        <v>1353</v>
      </c>
      <c r="AP929" s="67" t="s">
        <v>1353</v>
      </c>
      <c r="AQ929" s="67"/>
      <c r="AR929" s="67"/>
      <c r="AS929" s="67"/>
      <c r="AT929" s="754"/>
    </row>
    <row r="930" spans="1:46" ht="15.75" hidden="1" customHeight="1" x14ac:dyDescent="0.3">
      <c r="A930" s="755"/>
      <c r="B930" s="821" t="s">
        <v>864</v>
      </c>
      <c r="C930" s="821"/>
      <c r="D930" s="821"/>
      <c r="E930" s="821"/>
      <c r="F930" s="821"/>
      <c r="G930" s="821"/>
      <c r="H930" s="821"/>
      <c r="I930" s="821"/>
      <c r="J930" s="821"/>
      <c r="K930" s="821"/>
      <c r="L930" s="821"/>
      <c r="M930" s="821"/>
      <c r="N930" s="821"/>
      <c r="O930" s="821"/>
      <c r="P930" s="821"/>
      <c r="Q930" s="752" t="str">
        <f>+Q1</f>
        <v xml:space="preserve">PRINTED:  </v>
      </c>
      <c r="R930" s="753">
        <f ca="1">+R1</f>
        <v>44881.729633912037</v>
      </c>
      <c r="AC930" s="553" t="s">
        <v>1354</v>
      </c>
      <c r="AD930" s="67">
        <f t="shared" ref="AD930:AD941" si="303">(F939)</f>
        <v>0</v>
      </c>
      <c r="AE930" s="67">
        <f t="shared" ref="AE930:AE941" si="304">SUM($B$994:$E$994)+(T939-1526.8)/0.7702</f>
        <v>1633.417956964503</v>
      </c>
      <c r="AF930" s="67">
        <f>(AD930*AE930/1000)</f>
        <v>0</v>
      </c>
      <c r="AG930" s="67">
        <f t="shared" ref="AG930:AG941" si="305">(((B939-F939)*B$994)+((C939-F939)*C$994)+((D939-F939)*D$994)+((E939-F939)*E$994))/1000</f>
        <v>91661.339000000007</v>
      </c>
      <c r="AH930" s="67">
        <f>(AF930+AG930)</f>
        <v>91661.339000000007</v>
      </c>
      <c r="AI930" s="67">
        <f t="shared" ref="AI930:AI941" si="306">SUM(H996:Q996)</f>
        <v>24693</v>
      </c>
      <c r="AJ930" s="67">
        <f>+AH930+AI930</f>
        <v>116354.33900000001</v>
      </c>
      <c r="AK930" s="67">
        <f t="shared" ref="AK930:AK937" si="307">(G1024)</f>
        <v>0</v>
      </c>
      <c r="AL930" s="67">
        <f t="shared" ref="AL930:AL941" si="308">(AJ930-AK930)</f>
        <v>116354.33900000001</v>
      </c>
      <c r="AM930" s="67" t="s">
        <v>2435</v>
      </c>
      <c r="AN930" s="67">
        <f>+B939/31/1.98</f>
        <v>1050.7820136852395</v>
      </c>
      <c r="AO930" s="67">
        <f>(AD930*43560/31/24/3600)</f>
        <v>0</v>
      </c>
      <c r="AP930" s="67">
        <f>+B331</f>
        <v>0</v>
      </c>
      <c r="AQ930" s="67"/>
      <c r="AR930" s="67"/>
      <c r="AS930" s="67"/>
      <c r="AT930" s="754"/>
    </row>
    <row r="931" spans="1:46" ht="15.75" hidden="1" customHeight="1" x14ac:dyDescent="0.3">
      <c r="A931" s="553"/>
      <c r="B931" s="786" t="str">
        <f>+A8</f>
        <v>Revised:  2/5/2020</v>
      </c>
      <c r="C931" s="786"/>
      <c r="D931" s="786"/>
      <c r="E931" s="786"/>
      <c r="F931" s="786"/>
      <c r="G931" s="786"/>
      <c r="H931" s="786"/>
      <c r="I931" s="786"/>
      <c r="J931" s="786"/>
      <c r="K931" s="786"/>
      <c r="L931" s="786"/>
      <c r="M931" s="786"/>
      <c r="N931" s="786"/>
      <c r="O931" s="786"/>
      <c r="P931" s="786"/>
      <c r="Q931" s="67"/>
      <c r="R931" s="754"/>
      <c r="AC931" s="553" t="s">
        <v>706</v>
      </c>
      <c r="AD931" s="67">
        <f t="shared" si="303"/>
        <v>52000</v>
      </c>
      <c r="AE931" s="67">
        <f t="shared" si="304"/>
        <v>1641.9669945609774</v>
      </c>
      <c r="AF931" s="67">
        <f>(AD931*AE931/1000)</f>
        <v>85382.283717170823</v>
      </c>
      <c r="AG931" s="67">
        <f t="shared" si="305"/>
        <v>105273.342</v>
      </c>
      <c r="AH931" s="67">
        <f t="shared" ref="AH931:AH941" si="309">(AF931+AG931)</f>
        <v>190655.62571717083</v>
      </c>
      <c r="AI931" s="67">
        <f t="shared" si="306"/>
        <v>32881</v>
      </c>
      <c r="AJ931" s="67">
        <f t="shared" ref="AJ931:AJ941" si="310">+AH931+AI931</f>
        <v>223536.62571717083</v>
      </c>
      <c r="AK931" s="67">
        <f t="shared" si="307"/>
        <v>0</v>
      </c>
      <c r="AL931" s="67">
        <f t="shared" si="308"/>
        <v>223536.62571717083</v>
      </c>
      <c r="AM931" s="67" t="s">
        <v>2435</v>
      </c>
      <c r="AN931" s="67">
        <f>+B940/28/1.98</f>
        <v>2274.5310245310243</v>
      </c>
      <c r="AO931" s="67">
        <f>(AD931*43560/29/24/3600)</f>
        <v>904.02298850574721</v>
      </c>
      <c r="AP931" s="67">
        <f>+C331</f>
        <v>0</v>
      </c>
      <c r="AQ931" s="67"/>
      <c r="AR931" s="67"/>
      <c r="AS931" s="67"/>
      <c r="AT931" s="754"/>
    </row>
    <row r="932" spans="1:46" ht="15.75" hidden="1" customHeight="1" x14ac:dyDescent="0.3">
      <c r="A932" s="553"/>
      <c r="B932" s="786" t="s">
        <v>2878</v>
      </c>
      <c r="C932" s="786"/>
      <c r="D932" s="786"/>
      <c r="E932" s="786"/>
      <c r="F932" s="786"/>
      <c r="G932" s="786"/>
      <c r="H932" s="786"/>
      <c r="I932" s="786"/>
      <c r="J932" s="786"/>
      <c r="K932" s="786"/>
      <c r="L932" s="786"/>
      <c r="M932" s="786"/>
      <c r="N932" s="786"/>
      <c r="O932" s="786"/>
      <c r="P932" s="786"/>
      <c r="Q932" s="67"/>
      <c r="R932" s="754"/>
      <c r="AC932" s="553" t="s">
        <v>707</v>
      </c>
      <c r="AD932" s="67">
        <f t="shared" si="303"/>
        <v>60000</v>
      </c>
      <c r="AE932" s="67">
        <f t="shared" si="304"/>
        <v>1645.8565577144309</v>
      </c>
      <c r="AF932" s="67">
        <f t="shared" ref="AF932:AF941" si="311">(AD932*AE932/1000)</f>
        <v>98751.393462865861</v>
      </c>
      <c r="AG932" s="67">
        <f t="shared" si="305"/>
        <v>149904.878</v>
      </c>
      <c r="AH932" s="67">
        <f t="shared" si="309"/>
        <v>248656.27146286587</v>
      </c>
      <c r="AI932" s="67">
        <f t="shared" si="306"/>
        <v>40693</v>
      </c>
      <c r="AJ932" s="67">
        <f t="shared" si="310"/>
        <v>289349.27146286587</v>
      </c>
      <c r="AK932" s="67">
        <f t="shared" si="307"/>
        <v>0</v>
      </c>
      <c r="AL932" s="67">
        <f t="shared" si="308"/>
        <v>289349.27146286587</v>
      </c>
      <c r="AM932" s="67" t="s">
        <v>2435</v>
      </c>
      <c r="AN932" s="67">
        <f>+B941/31/1.98</f>
        <v>2702.2482893450633</v>
      </c>
      <c r="AO932" s="67">
        <f>(AD932*43560/31/24/3600)</f>
        <v>975.80645161290329</v>
      </c>
      <c r="AP932" s="67">
        <f>+D331</f>
        <v>0</v>
      </c>
      <c r="AQ932" s="67"/>
      <c r="AR932" s="67"/>
      <c r="AS932" s="67"/>
      <c r="AT932" s="754"/>
    </row>
    <row r="933" spans="1:46" ht="15.75" hidden="1" customHeight="1" x14ac:dyDescent="0.3">
      <c r="A933" s="553"/>
      <c r="B933" s="786"/>
      <c r="C933" s="786"/>
      <c r="D933" s="786"/>
      <c r="E933" s="786"/>
      <c r="F933" s="786"/>
      <c r="G933" s="786"/>
      <c r="H933" s="786"/>
      <c r="I933" s="786"/>
      <c r="J933" s="786"/>
      <c r="K933" s="786"/>
      <c r="L933" s="786"/>
      <c r="M933" s="786"/>
      <c r="N933" s="786"/>
      <c r="O933" s="786"/>
      <c r="P933" s="786"/>
      <c r="Q933" s="67"/>
      <c r="R933" s="754"/>
      <c r="AC933" s="553" t="s">
        <v>1321</v>
      </c>
      <c r="AD933" s="67">
        <f t="shared" si="303"/>
        <v>6000</v>
      </c>
      <c r="AE933" s="67">
        <f t="shared" si="304"/>
        <v>1643.955448493638</v>
      </c>
      <c r="AF933" s="67">
        <f t="shared" si="311"/>
        <v>9863.7326909618278</v>
      </c>
      <c r="AG933" s="67">
        <f t="shared" si="305"/>
        <v>220147.57800000001</v>
      </c>
      <c r="AH933" s="67">
        <f t="shared" si="309"/>
        <v>230011.31069096184</v>
      </c>
      <c r="AI933" s="67">
        <f t="shared" si="306"/>
        <v>46321</v>
      </c>
      <c r="AJ933" s="67">
        <f t="shared" si="310"/>
        <v>276332.31069096184</v>
      </c>
      <c r="AK933" s="67">
        <f t="shared" si="307"/>
        <v>0</v>
      </c>
      <c r="AL933" s="67">
        <f t="shared" si="308"/>
        <v>276332.31069096184</v>
      </c>
      <c r="AM933" s="67" t="s">
        <v>2435</v>
      </c>
      <c r="AN933" s="67">
        <f>+B942/30/1.98</f>
        <v>2717.3569023569025</v>
      </c>
      <c r="AO933" s="67">
        <f>(AD933*43560/30/24/3600)</f>
        <v>100.83333333333333</v>
      </c>
      <c r="AP933" s="67">
        <f>+F331</f>
        <v>0</v>
      </c>
      <c r="AQ933" s="67"/>
      <c r="AR933" s="67"/>
      <c r="AS933" s="67"/>
      <c r="AT933" s="754"/>
    </row>
    <row r="934" spans="1:46" ht="15.75" hidden="1" customHeight="1" x14ac:dyDescent="0.3">
      <c r="A934" s="553"/>
      <c r="B934" s="787">
        <f>+A5</f>
        <v>2021</v>
      </c>
      <c r="C934" s="787"/>
      <c r="D934" s="787"/>
      <c r="E934" s="787"/>
      <c r="F934" s="787"/>
      <c r="G934" s="787"/>
      <c r="H934" s="787"/>
      <c r="I934" s="787"/>
      <c r="J934" s="787"/>
      <c r="K934" s="787"/>
      <c r="L934" s="787"/>
      <c r="M934" s="787"/>
      <c r="N934" s="787"/>
      <c r="O934" s="787"/>
      <c r="P934" s="787"/>
      <c r="Q934" s="67"/>
      <c r="R934" s="754"/>
      <c r="AC934" s="553" t="s">
        <v>1905</v>
      </c>
      <c r="AD934" s="67">
        <f t="shared" si="303"/>
        <v>5000</v>
      </c>
      <c r="AE934" s="67">
        <f t="shared" si="304"/>
        <v>1642.8698430885411</v>
      </c>
      <c r="AF934" s="67">
        <f t="shared" si="311"/>
        <v>8214.3492154427058</v>
      </c>
      <c r="AG934" s="67">
        <f t="shared" si="305"/>
        <v>231434.18900000001</v>
      </c>
      <c r="AH934" s="67">
        <f t="shared" si="309"/>
        <v>239648.53821544271</v>
      </c>
      <c r="AI934" s="67">
        <f t="shared" si="306"/>
        <v>46344</v>
      </c>
      <c r="AJ934" s="67">
        <f t="shared" si="310"/>
        <v>285992.53821544268</v>
      </c>
      <c r="AK934" s="67">
        <f t="shared" si="307"/>
        <v>0</v>
      </c>
      <c r="AL934" s="67">
        <f t="shared" si="308"/>
        <v>285992.53821544268</v>
      </c>
      <c r="AM934" s="67" t="s">
        <v>2435</v>
      </c>
      <c r="AN934" s="67">
        <f>+B943/31/1.98</f>
        <v>2746.33431085044</v>
      </c>
      <c r="AO934" s="67">
        <f>(AD934*43560/31/24/3600)</f>
        <v>81.317204301075265</v>
      </c>
      <c r="AP934" s="67">
        <f>+G331</f>
        <v>0</v>
      </c>
      <c r="AQ934" s="67"/>
      <c r="AR934" s="67"/>
      <c r="AS934" s="67"/>
      <c r="AT934" s="754"/>
    </row>
    <row r="935" spans="1:46" ht="15.75" hidden="1" customHeight="1" x14ac:dyDescent="0.3">
      <c r="A935" s="553"/>
      <c r="B935" s="786" t="s">
        <v>2918</v>
      </c>
      <c r="C935" s="786"/>
      <c r="D935" s="786"/>
      <c r="E935" s="786"/>
      <c r="F935" s="786"/>
      <c r="G935" s="786"/>
      <c r="H935" s="786"/>
      <c r="I935" s="786"/>
      <c r="J935" s="786"/>
      <c r="K935" s="786"/>
      <c r="L935" s="786"/>
      <c r="M935" s="786"/>
      <c r="N935" s="786"/>
      <c r="O935" s="786"/>
      <c r="P935" s="786"/>
      <c r="Q935" s="67"/>
      <c r="R935" s="754"/>
      <c r="AC935" s="553" t="s">
        <v>1906</v>
      </c>
      <c r="AD935" s="67">
        <f t="shared" si="303"/>
        <v>0</v>
      </c>
      <c r="AE935" s="67">
        <f t="shared" si="304"/>
        <v>1624.3723379900016</v>
      </c>
      <c r="AF935" s="67">
        <f t="shared" si="311"/>
        <v>0</v>
      </c>
      <c r="AG935" s="67">
        <f t="shared" si="305"/>
        <v>135272.86799999999</v>
      </c>
      <c r="AH935" s="67">
        <f t="shared" si="309"/>
        <v>135272.86799999999</v>
      </c>
      <c r="AI935" s="67">
        <f t="shared" si="306"/>
        <v>51221</v>
      </c>
      <c r="AJ935" s="67">
        <f t="shared" si="310"/>
        <v>186493.86799999999</v>
      </c>
      <c r="AK935" s="67">
        <f t="shared" si="307"/>
        <v>14753.108656983868</v>
      </c>
      <c r="AL935" s="67">
        <f t="shared" si="308"/>
        <v>171740.75934301611</v>
      </c>
      <c r="AM935" s="67" t="s">
        <v>2435</v>
      </c>
      <c r="AN935" s="67">
        <f>+B944/30/1.98</f>
        <v>1618.9898989898988</v>
      </c>
      <c r="AO935" s="67">
        <f t="shared" ref="AO935:AO940" si="312">(AD935*43560/30/24/3600)</f>
        <v>0</v>
      </c>
      <c r="AP935" s="67">
        <f>+H331</f>
        <v>-1865.8598083711547</v>
      </c>
      <c r="AQ935" s="67"/>
      <c r="AR935" s="67"/>
      <c r="AS935" s="67"/>
      <c r="AT935" s="754"/>
    </row>
    <row r="936" spans="1:46" ht="15.75" hidden="1" customHeight="1" x14ac:dyDescent="0.3">
      <c r="A936" s="553"/>
      <c r="B936" s="67"/>
      <c r="C936" s="67"/>
      <c r="D936" s="67"/>
      <c r="E936" s="67"/>
      <c r="F936" s="67"/>
      <c r="G936" s="67"/>
      <c r="H936" s="67"/>
      <c r="I936" s="67"/>
      <c r="J936" s="67"/>
      <c r="K936" s="67"/>
      <c r="L936" s="67"/>
      <c r="M936" s="67"/>
      <c r="N936" s="67"/>
      <c r="O936" s="67"/>
      <c r="P936" s="67"/>
      <c r="Q936" s="67"/>
      <c r="R936" s="754"/>
      <c r="AC936" s="553" t="s">
        <v>1907</v>
      </c>
      <c r="AD936" s="67">
        <f t="shared" si="303"/>
        <v>0</v>
      </c>
      <c r="AE936" s="67">
        <f t="shared" si="304"/>
        <v>1600.1168045192444</v>
      </c>
      <c r="AF936" s="67">
        <f t="shared" si="311"/>
        <v>0</v>
      </c>
      <c r="AG936" s="67">
        <f t="shared" si="305"/>
        <v>71735.485000000001</v>
      </c>
      <c r="AH936" s="67">
        <f t="shared" si="309"/>
        <v>71735.485000000001</v>
      </c>
      <c r="AI936" s="67">
        <f t="shared" si="306"/>
        <v>46705</v>
      </c>
      <c r="AJ936" s="67">
        <f t="shared" si="310"/>
        <v>118440.485</v>
      </c>
      <c r="AK936" s="67">
        <f t="shared" si="307"/>
        <v>12570.56750698814</v>
      </c>
      <c r="AL936" s="67">
        <f t="shared" si="308"/>
        <v>105869.91749301186</v>
      </c>
      <c r="AM936" s="67" t="s">
        <v>2435</v>
      </c>
      <c r="AN936" s="67">
        <f>+B945/31/1.98</f>
        <v>840.5506679700228</v>
      </c>
      <c r="AO936" s="67">
        <f t="shared" si="312"/>
        <v>0</v>
      </c>
      <c r="AP936" s="67">
        <f>+J331</f>
        <v>-1952.0765213996388</v>
      </c>
      <c r="AQ936" s="67"/>
      <c r="AR936" s="67"/>
      <c r="AS936" s="67"/>
      <c r="AT936" s="754"/>
    </row>
    <row r="937" spans="1:46" ht="15.75" hidden="1" customHeight="1" thickBot="1" x14ac:dyDescent="0.35">
      <c r="A937" s="553" t="s">
        <v>845</v>
      </c>
      <c r="B937" s="634" t="s">
        <v>1308</v>
      </c>
      <c r="C937" s="634" t="s">
        <v>1309</v>
      </c>
      <c r="D937" s="634" t="s">
        <v>1029</v>
      </c>
      <c r="E937" s="634" t="s">
        <v>1030</v>
      </c>
      <c r="F937" s="634" t="s">
        <v>284</v>
      </c>
      <c r="G937" s="634" t="s">
        <v>284</v>
      </c>
      <c r="H937" s="634" t="s">
        <v>285</v>
      </c>
      <c r="I937" s="634" t="s">
        <v>286</v>
      </c>
      <c r="J937" s="634" t="s">
        <v>287</v>
      </c>
      <c r="K937" s="634" t="s">
        <v>288</v>
      </c>
      <c r="L937" s="634" t="s">
        <v>289</v>
      </c>
      <c r="M937" s="634" t="s">
        <v>633</v>
      </c>
      <c r="N937" s="634" t="s">
        <v>634</v>
      </c>
      <c r="O937" s="634" t="s">
        <v>1192</v>
      </c>
      <c r="P937" s="634" t="s">
        <v>524</v>
      </c>
      <c r="Q937" s="634" t="s">
        <v>525</v>
      </c>
      <c r="R937" s="754"/>
      <c r="T937" s="350" t="s">
        <v>2756</v>
      </c>
      <c r="AC937" s="553" t="s">
        <v>1908</v>
      </c>
      <c r="AD937" s="67">
        <f t="shared" si="303"/>
        <v>0</v>
      </c>
      <c r="AE937" s="67">
        <f t="shared" si="304"/>
        <v>1581.0255421077782</v>
      </c>
      <c r="AF937" s="67">
        <f t="shared" si="311"/>
        <v>0</v>
      </c>
      <c r="AG937" s="67">
        <f t="shared" si="305"/>
        <v>72055.210999999996</v>
      </c>
      <c r="AH937" s="67">
        <f t="shared" si="309"/>
        <v>72055.210999999996</v>
      </c>
      <c r="AI937" s="67">
        <f t="shared" si="306"/>
        <v>49232</v>
      </c>
      <c r="AJ937" s="67">
        <f t="shared" si="310"/>
        <v>121287.211</v>
      </c>
      <c r="AK937" s="67">
        <f t="shared" si="307"/>
        <v>8507.1126913870175</v>
      </c>
      <c r="AL937" s="67">
        <f t="shared" si="308"/>
        <v>112780.09830861297</v>
      </c>
      <c r="AM937" s="67" t="s">
        <v>2435</v>
      </c>
      <c r="AN937" s="67">
        <f>+B946/31/1.98</f>
        <v>840.42033235581619</v>
      </c>
      <c r="AO937" s="67">
        <f t="shared" si="312"/>
        <v>0</v>
      </c>
      <c r="AP937" s="67">
        <f>+K331</f>
        <v>-1675.53234753469</v>
      </c>
      <c r="AQ937" s="67"/>
      <c r="AR937" s="67"/>
      <c r="AS937" s="67"/>
      <c r="AT937" s="754"/>
    </row>
    <row r="938" spans="1:46" ht="15.75" hidden="1" customHeight="1" x14ac:dyDescent="0.3">
      <c r="A938" s="553"/>
      <c r="B938" s="67"/>
      <c r="C938" s="67"/>
      <c r="D938" s="67"/>
      <c r="E938" s="67"/>
      <c r="F938" s="70" t="s">
        <v>1193</v>
      </c>
      <c r="G938" s="70" t="s">
        <v>1194</v>
      </c>
      <c r="H938" s="67"/>
      <c r="I938" s="67"/>
      <c r="J938" s="67"/>
      <c r="K938" s="67"/>
      <c r="L938" s="67"/>
      <c r="M938" s="67"/>
      <c r="N938" s="67"/>
      <c r="O938" s="67"/>
      <c r="P938" s="67"/>
      <c r="Q938" s="67"/>
      <c r="R938" s="754"/>
      <c r="AC938" s="553" t="s">
        <v>2352</v>
      </c>
      <c r="AD938" s="67">
        <f t="shared" si="303"/>
        <v>17000</v>
      </c>
      <c r="AE938" s="67">
        <f t="shared" si="304"/>
        <v>1584.4101397954946</v>
      </c>
      <c r="AF938" s="67">
        <f t="shared" si="311"/>
        <v>26934.972376523408</v>
      </c>
      <c r="AG938" s="67">
        <f t="shared" si="305"/>
        <v>162145.88800000001</v>
      </c>
      <c r="AH938" s="67">
        <f t="shared" si="309"/>
        <v>189080.8603765234</v>
      </c>
      <c r="AI938" s="67">
        <f t="shared" si="306"/>
        <v>38456</v>
      </c>
      <c r="AJ938" s="67">
        <f t="shared" si="310"/>
        <v>227536.8603765234</v>
      </c>
      <c r="AK938" s="67">
        <v>0</v>
      </c>
      <c r="AL938" s="67">
        <f t="shared" si="308"/>
        <v>227536.8603765234</v>
      </c>
      <c r="AM938" s="67" t="s">
        <v>2435</v>
      </c>
      <c r="AN938" s="67">
        <f>+B947/30/1.98</f>
        <v>2214.1919191919192</v>
      </c>
      <c r="AO938" s="67">
        <f t="shared" si="312"/>
        <v>285.69444444444446</v>
      </c>
      <c r="AP938" s="67">
        <f>+L331</f>
        <v>0</v>
      </c>
      <c r="AQ938" s="67"/>
      <c r="AR938" s="67"/>
      <c r="AS938" s="67"/>
      <c r="AT938" s="754"/>
    </row>
    <row r="939" spans="1:46" ht="15.75" hidden="1" customHeight="1" x14ac:dyDescent="0.3">
      <c r="A939" s="139" t="s">
        <v>2843</v>
      </c>
      <c r="B939" s="67">
        <f>+B29</f>
        <v>64497</v>
      </c>
      <c r="C939" s="67">
        <f>+B64</f>
        <v>64400</v>
      </c>
      <c r="D939" s="67">
        <f>+B134</f>
        <v>64304</v>
      </c>
      <c r="E939" s="67">
        <f>+B321</f>
        <v>63242</v>
      </c>
      <c r="F939" s="67">
        <f>+B316</f>
        <v>0</v>
      </c>
      <c r="G939" s="67">
        <f>+B328</f>
        <v>0</v>
      </c>
      <c r="H939" s="67">
        <f>+B509</f>
        <v>45213</v>
      </c>
      <c r="I939" s="67">
        <f>+B559</f>
        <v>16213</v>
      </c>
      <c r="J939" s="67">
        <f>+B604</f>
        <v>16039</v>
      </c>
      <c r="K939" s="67">
        <f>+B669</f>
        <v>15893</v>
      </c>
      <c r="L939" s="67">
        <f>+B679</f>
        <v>12524</v>
      </c>
      <c r="M939" s="67">
        <f>+B715</f>
        <v>12504</v>
      </c>
      <c r="N939" s="67">
        <f>+B767</f>
        <v>12114</v>
      </c>
      <c r="O939" s="67">
        <f>+B777</f>
        <v>3940</v>
      </c>
      <c r="P939" s="67">
        <f>+B811</f>
        <v>3805</v>
      </c>
      <c r="Q939" s="67">
        <f>+B862</f>
        <v>3938</v>
      </c>
      <c r="R939" s="754"/>
      <c r="T939" s="619">
        <f>'Lake Pleasant Forecast'!B83</f>
        <v>1686.5533104540602</v>
      </c>
      <c r="AC939" s="553" t="s">
        <v>2353</v>
      </c>
      <c r="AD939" s="67">
        <f t="shared" si="303"/>
        <v>66000</v>
      </c>
      <c r="AE939" s="67">
        <f t="shared" si="304"/>
        <v>1595.979563906973</v>
      </c>
      <c r="AF939" s="67">
        <f t="shared" si="311"/>
        <v>105334.65121786023</v>
      </c>
      <c r="AG939" s="67">
        <f t="shared" si="305"/>
        <v>134010.28</v>
      </c>
      <c r="AH939" s="67">
        <f t="shared" si="309"/>
        <v>239344.93121786023</v>
      </c>
      <c r="AI939" s="67">
        <f t="shared" si="306"/>
        <v>24698</v>
      </c>
      <c r="AJ939" s="67">
        <f t="shared" si="310"/>
        <v>264042.9312178602</v>
      </c>
      <c r="AK939" s="67">
        <v>0</v>
      </c>
      <c r="AL939" s="67">
        <f t="shared" si="308"/>
        <v>264042.9312178602</v>
      </c>
      <c r="AM939" s="67" t="s">
        <v>2435</v>
      </c>
      <c r="AN939" s="67">
        <f>+B948/31/1.98</f>
        <v>2615.7706093189963</v>
      </c>
      <c r="AO939" s="67">
        <f t="shared" si="312"/>
        <v>1109.1666666666667</v>
      </c>
      <c r="AP939" s="67">
        <f>+N331</f>
        <v>0</v>
      </c>
      <c r="AQ939" s="67"/>
      <c r="AR939" s="67"/>
      <c r="AS939" s="67"/>
      <c r="AT939" s="754"/>
    </row>
    <row r="940" spans="1:46" ht="15.75" hidden="1" customHeight="1" x14ac:dyDescent="0.3">
      <c r="A940" s="139" t="s">
        <v>2091</v>
      </c>
      <c r="B940" s="67">
        <f>+C29</f>
        <v>126100</v>
      </c>
      <c r="C940" s="67">
        <f>+C64</f>
        <v>125952</v>
      </c>
      <c r="D940" s="67">
        <f>+C134</f>
        <v>125807</v>
      </c>
      <c r="E940" s="67">
        <f>+C321</f>
        <v>124558</v>
      </c>
      <c r="F940" s="67">
        <f>+C316</f>
        <v>52000</v>
      </c>
      <c r="G940" s="67">
        <f>+C328</f>
        <v>0</v>
      </c>
      <c r="H940" s="67">
        <f>+C509</f>
        <v>56257</v>
      </c>
      <c r="I940" s="67">
        <f>+C559</f>
        <v>23435</v>
      </c>
      <c r="J940" s="67">
        <f>+C604</f>
        <v>23206</v>
      </c>
      <c r="K940" s="67">
        <f>+C669</f>
        <v>22588</v>
      </c>
      <c r="L940" s="67">
        <f>+C679</f>
        <v>18294</v>
      </c>
      <c r="M940" s="67">
        <f>+C715</f>
        <v>18272</v>
      </c>
      <c r="N940" s="67">
        <f>+C767</f>
        <v>17611</v>
      </c>
      <c r="O940" s="67">
        <f>+C777</f>
        <v>3623</v>
      </c>
      <c r="P940" s="67">
        <f>+C811</f>
        <v>3805</v>
      </c>
      <c r="Q940" s="67">
        <f>+C862</f>
        <v>3620</v>
      </c>
      <c r="R940" s="754"/>
      <c r="T940" s="619">
        <f>'Lake Pleasant Forecast'!B85</f>
        <v>1693.1377792108647</v>
      </c>
      <c r="AC940" s="553" t="s">
        <v>2354</v>
      </c>
      <c r="AD940" s="67">
        <f t="shared" si="303"/>
        <v>74000</v>
      </c>
      <c r="AE940" s="67">
        <f t="shared" si="304"/>
        <v>1610.5024657252754</v>
      </c>
      <c r="AF940" s="67">
        <f t="shared" si="311"/>
        <v>119177.18246367038</v>
      </c>
      <c r="AG940" s="67">
        <f t="shared" si="305"/>
        <v>96233.373999999996</v>
      </c>
      <c r="AH940" s="67">
        <f t="shared" si="309"/>
        <v>215410.55646367039</v>
      </c>
      <c r="AI940" s="67">
        <f t="shared" si="306"/>
        <v>11332</v>
      </c>
      <c r="AJ940" s="67">
        <f t="shared" si="310"/>
        <v>226742.55646367039</v>
      </c>
      <c r="AK940" s="67">
        <f>(G1034)</f>
        <v>0</v>
      </c>
      <c r="AL940" s="67">
        <f t="shared" si="308"/>
        <v>226742.55646367039</v>
      </c>
      <c r="AM940" s="67" t="s">
        <v>2435</v>
      </c>
      <c r="AN940" s="67">
        <f>+B949/30/1.98</f>
        <v>2387.4747474747473</v>
      </c>
      <c r="AO940" s="67">
        <f t="shared" si="312"/>
        <v>1243.6111111111111</v>
      </c>
      <c r="AP940" s="67">
        <f>+O331</f>
        <v>0</v>
      </c>
      <c r="AQ940" s="67"/>
      <c r="AR940" s="67"/>
      <c r="AS940" s="67"/>
      <c r="AT940" s="754"/>
    </row>
    <row r="941" spans="1:46" ht="15.75" hidden="1" customHeight="1" x14ac:dyDescent="0.3">
      <c r="A941" s="139" t="s">
        <v>2234</v>
      </c>
      <c r="B941" s="67">
        <f>+D29</f>
        <v>165864</v>
      </c>
      <c r="C941" s="67">
        <f>+D64</f>
        <v>165590</v>
      </c>
      <c r="D941" s="67">
        <f>+D134</f>
        <v>165329</v>
      </c>
      <c r="E941" s="67">
        <f>+D321</f>
        <v>161502</v>
      </c>
      <c r="F941" s="67">
        <f>+D316</f>
        <v>60000</v>
      </c>
      <c r="G941" s="67">
        <f>+D328</f>
        <v>0</v>
      </c>
      <c r="H941" s="67">
        <f>+D509</f>
        <v>83728</v>
      </c>
      <c r="I941" s="67">
        <f>+D559</f>
        <v>32620</v>
      </c>
      <c r="J941" s="67">
        <f>+D604</f>
        <v>29049</v>
      </c>
      <c r="K941" s="67">
        <f>+D669</f>
        <v>26433</v>
      </c>
      <c r="L941" s="67">
        <f>+D679</f>
        <v>20219</v>
      </c>
      <c r="M941" s="67">
        <f>+D715</f>
        <v>20191</v>
      </c>
      <c r="N941" s="67">
        <f>+D767</f>
        <v>19207</v>
      </c>
      <c r="O941" s="67">
        <f>+D777</f>
        <v>3742</v>
      </c>
      <c r="P941" s="67">
        <f>+D811</f>
        <v>4757</v>
      </c>
      <c r="Q941" s="67">
        <f>+D862</f>
        <v>3737</v>
      </c>
      <c r="R941" s="754"/>
      <c r="T941" s="619">
        <f>'Lake Pleasant Forecast'!B87</f>
        <v>1696.1335207516547</v>
      </c>
      <c r="AC941" s="553" t="s">
        <v>2355</v>
      </c>
      <c r="AD941" s="67">
        <f t="shared" si="303"/>
        <v>50000</v>
      </c>
      <c r="AE941" s="67">
        <f t="shared" si="304"/>
        <v>1618.9547533206844</v>
      </c>
      <c r="AF941" s="67">
        <f t="shared" si="311"/>
        <v>80947.737666034227</v>
      </c>
      <c r="AG941" s="67">
        <f t="shared" si="305"/>
        <v>69768.188999999998</v>
      </c>
      <c r="AH941" s="67">
        <f t="shared" si="309"/>
        <v>150715.92666603421</v>
      </c>
      <c r="AI941" s="67">
        <f t="shared" si="306"/>
        <v>7563</v>
      </c>
      <c r="AJ941" s="67">
        <f t="shared" si="310"/>
        <v>158278.92666603421</v>
      </c>
      <c r="AK941" s="67">
        <f>(G1035)</f>
        <v>0</v>
      </c>
      <c r="AL941" s="67">
        <f t="shared" si="308"/>
        <v>158278.92666603421</v>
      </c>
      <c r="AM941" s="67" t="s">
        <v>2435</v>
      </c>
      <c r="AN941" s="67">
        <f>+B950/31/1.98</f>
        <v>1616.177908113392</v>
      </c>
      <c r="AO941" s="67">
        <f>(AD941*43560/31/24/3600)</f>
        <v>813.17204301075276</v>
      </c>
      <c r="AP941" s="67">
        <f>+P331</f>
        <v>0</v>
      </c>
      <c r="AQ941" s="67"/>
      <c r="AR941" s="67"/>
      <c r="AS941" s="67"/>
      <c r="AT941" s="754"/>
    </row>
    <row r="942" spans="1:46" ht="15.75" hidden="1" customHeight="1" x14ac:dyDescent="0.3">
      <c r="A942" s="139" t="s">
        <v>2235</v>
      </c>
      <c r="B942" s="67">
        <f>+F29</f>
        <v>161411</v>
      </c>
      <c r="C942" s="67">
        <f>+F64</f>
        <v>161044</v>
      </c>
      <c r="D942" s="67">
        <f>+F134</f>
        <v>160694</v>
      </c>
      <c r="E942" s="67">
        <f>+F321</f>
        <v>155329</v>
      </c>
      <c r="F942" s="67">
        <f>+F316</f>
        <v>6000</v>
      </c>
      <c r="G942" s="67">
        <f>+F328</f>
        <v>0</v>
      </c>
      <c r="H942" s="67">
        <f>+F509</f>
        <v>111062</v>
      </c>
      <c r="I942" s="67">
        <f>+F559</f>
        <v>42309</v>
      </c>
      <c r="J942" s="67">
        <f>+F604</f>
        <v>30715</v>
      </c>
      <c r="K942" s="67">
        <f>+F669</f>
        <v>26568</v>
      </c>
      <c r="L942" s="67">
        <f>+F679</f>
        <v>21070</v>
      </c>
      <c r="M942" s="67">
        <f>+F715</f>
        <v>21033</v>
      </c>
      <c r="N942" s="67">
        <f>+F767</f>
        <v>19845</v>
      </c>
      <c r="O942" s="67">
        <f>+F777</f>
        <v>4225</v>
      </c>
      <c r="P942" s="67">
        <f>+F811</f>
        <v>5708</v>
      </c>
      <c r="Q942" s="67">
        <f>+F862</f>
        <v>4218</v>
      </c>
      <c r="R942" s="754"/>
      <c r="T942" s="619">
        <f>'Lake Pleasant Forecast'!B89</f>
        <v>1694.6692864298</v>
      </c>
      <c r="AC942" s="551"/>
      <c r="AD942" s="67"/>
      <c r="AE942" s="67"/>
      <c r="AF942" s="67"/>
      <c r="AG942" s="67"/>
      <c r="AH942" s="67"/>
      <c r="AI942" s="67"/>
      <c r="AJ942" s="67"/>
      <c r="AK942" s="67"/>
      <c r="AL942" s="67"/>
      <c r="AM942" s="67" t="s">
        <v>2435</v>
      </c>
      <c r="AN942" s="67"/>
      <c r="AO942" s="67"/>
      <c r="AP942" s="67"/>
      <c r="AQ942" s="67"/>
      <c r="AR942" s="67"/>
      <c r="AS942" s="67"/>
      <c r="AT942" s="754"/>
    </row>
    <row r="943" spans="1:46" ht="15.75" hidden="1" customHeight="1" x14ac:dyDescent="0.3">
      <c r="A943" s="139" t="s">
        <v>2236</v>
      </c>
      <c r="B943" s="67">
        <f>+G29</f>
        <v>168570</v>
      </c>
      <c r="C943" s="67">
        <f>+G64</f>
        <v>168145</v>
      </c>
      <c r="D943" s="67">
        <f>+G134</f>
        <v>167743</v>
      </c>
      <c r="E943" s="67">
        <f>+G321</f>
        <v>160995</v>
      </c>
      <c r="F943" s="67">
        <f>+G316</f>
        <v>5000</v>
      </c>
      <c r="G943" s="67">
        <f>+G328</f>
        <v>0</v>
      </c>
      <c r="H943" s="67">
        <f>+G509</f>
        <v>103671</v>
      </c>
      <c r="I943" s="67">
        <f>+G559</f>
        <v>36212</v>
      </c>
      <c r="J943" s="67">
        <f>+G604</f>
        <v>30481</v>
      </c>
      <c r="K943" s="67">
        <f>+G669</f>
        <v>28263</v>
      </c>
      <c r="L943" s="67">
        <f>+G679</f>
        <v>22437</v>
      </c>
      <c r="M943" s="67">
        <f>+G715</f>
        <v>22395</v>
      </c>
      <c r="N943" s="67">
        <f>+G767</f>
        <v>21024</v>
      </c>
      <c r="O943" s="67">
        <f>+G777</f>
        <v>4878</v>
      </c>
      <c r="P943" s="67">
        <f>+G811</f>
        <v>6659</v>
      </c>
      <c r="Q943" s="67">
        <f>+G862</f>
        <v>4870</v>
      </c>
      <c r="R943" s="754"/>
      <c r="T943" s="619">
        <f>'Lake Pleasant Forecast'!B91</f>
        <v>1693.8331531467943</v>
      </c>
      <c r="AC943" s="551" t="s">
        <v>2356</v>
      </c>
      <c r="AD943" s="67">
        <f>SUM(AD930:AD941)</f>
        <v>330000</v>
      </c>
      <c r="AE943" s="67"/>
      <c r="AF943" s="67">
        <f t="shared" ref="AF943:AL943" si="313">SUM(AF930:AF941)</f>
        <v>534606.30281052948</v>
      </c>
      <c r="AG943" s="67">
        <f t="shared" si="313"/>
        <v>1539642.621</v>
      </c>
      <c r="AH943" s="67">
        <f t="shared" si="313"/>
        <v>2074248.9238105293</v>
      </c>
      <c r="AI943" s="67">
        <f t="shared" si="313"/>
        <v>420139</v>
      </c>
      <c r="AJ943" s="67">
        <f t="shared" si="313"/>
        <v>2494387.9238105295</v>
      </c>
      <c r="AK943" s="67">
        <f t="shared" si="313"/>
        <v>35830.788855359024</v>
      </c>
      <c r="AL943" s="67">
        <f t="shared" si="313"/>
        <v>2458557.1349551706</v>
      </c>
      <c r="AM943" s="67"/>
      <c r="AN943" s="67"/>
      <c r="AO943" s="67"/>
      <c r="AP943" s="67"/>
      <c r="AQ943" s="67"/>
      <c r="AR943" s="67"/>
      <c r="AS943" s="67"/>
      <c r="AT943" s="754"/>
    </row>
    <row r="944" spans="1:46" ht="15.75" hidden="1" customHeight="1" x14ac:dyDescent="0.3">
      <c r="A944" s="139" t="s">
        <v>2237</v>
      </c>
      <c r="B944" s="67">
        <f>+H29</f>
        <v>96168</v>
      </c>
      <c r="C944" s="67">
        <f>+H64</f>
        <v>95751</v>
      </c>
      <c r="D944" s="67">
        <f>+H134</f>
        <v>95355</v>
      </c>
      <c r="E944" s="67">
        <f>+H321</f>
        <v>88370</v>
      </c>
      <c r="F944" s="67">
        <f>+H316</f>
        <v>0</v>
      </c>
      <c r="G944" s="67">
        <f>+H328</f>
        <v>-111000</v>
      </c>
      <c r="H944" s="67">
        <f>+H509</f>
        <v>143622</v>
      </c>
      <c r="I944" s="67">
        <f>+H559</f>
        <v>45261</v>
      </c>
      <c r="J944" s="67">
        <f>+H604</f>
        <v>33206</v>
      </c>
      <c r="K944" s="67">
        <f>+H669</f>
        <v>26847</v>
      </c>
      <c r="L944" s="67">
        <f>+H679</f>
        <v>21144</v>
      </c>
      <c r="M944" s="67">
        <f>+H715</f>
        <v>21100</v>
      </c>
      <c r="N944" s="67">
        <f>+H767</f>
        <v>19378</v>
      </c>
      <c r="O944" s="67">
        <f>+H777</f>
        <v>4675</v>
      </c>
      <c r="P944" s="67">
        <f>+H811</f>
        <v>6850</v>
      </c>
      <c r="Q944" s="67">
        <f>+H862</f>
        <v>4666</v>
      </c>
      <c r="R944" s="754"/>
      <c r="T944" s="619">
        <f>'Lake Pleasant Forecast'!B93</f>
        <v>1679.5863747198991</v>
      </c>
      <c r="AC944" s="551"/>
      <c r="AD944" s="67"/>
      <c r="AE944" s="67"/>
      <c r="AF944" s="67"/>
      <c r="AG944" s="67"/>
      <c r="AH944" s="67"/>
      <c r="AI944" s="67"/>
      <c r="AJ944" s="67"/>
      <c r="AK944" s="67"/>
      <c r="AL944" s="67"/>
      <c r="AM944" s="67"/>
      <c r="AN944" s="67"/>
      <c r="AO944" s="67"/>
      <c r="AP944" s="67"/>
      <c r="AQ944" s="67"/>
      <c r="AR944" s="67"/>
      <c r="AS944" s="67"/>
      <c r="AT944" s="754"/>
    </row>
    <row r="945" spans="1:50" ht="15.75" hidden="1" customHeight="1" x14ac:dyDescent="0.3">
      <c r="A945" s="139" t="s">
        <v>1504</v>
      </c>
      <c r="B945" s="67">
        <f>+J29</f>
        <v>51593</v>
      </c>
      <c r="C945" s="67">
        <f>+J64</f>
        <v>51177</v>
      </c>
      <c r="D945" s="67">
        <f>+J134</f>
        <v>50783</v>
      </c>
      <c r="E945" s="67">
        <f>+J321</f>
        <v>43914</v>
      </c>
      <c r="F945" s="67">
        <f>+J316</f>
        <v>0</v>
      </c>
      <c r="G945" s="67">
        <f>+J328</f>
        <v>-120000</v>
      </c>
      <c r="H945" s="67">
        <f>+J509</f>
        <v>113865</v>
      </c>
      <c r="I945" s="67">
        <f>+J559</f>
        <v>45180</v>
      </c>
      <c r="J945" s="67">
        <f>+J604</f>
        <v>31327</v>
      </c>
      <c r="K945" s="67">
        <f>+J669</f>
        <v>26386</v>
      </c>
      <c r="L945" s="67">
        <f>+J679</f>
        <v>21180</v>
      </c>
      <c r="M945" s="67">
        <f>+J715</f>
        <v>21141</v>
      </c>
      <c r="N945" s="67">
        <f>+J767</f>
        <v>18822</v>
      </c>
      <c r="O945" s="67">
        <f>+J777</f>
        <v>3625</v>
      </c>
      <c r="P945" s="67">
        <f>+J811</f>
        <v>6184</v>
      </c>
      <c r="Q945" s="67">
        <f>+J862</f>
        <v>3618</v>
      </c>
      <c r="R945" s="754"/>
      <c r="T945" s="619">
        <f>'Lake Pleasant Forecast'!B95</f>
        <v>1660.904762840722</v>
      </c>
      <c r="AC945" s="551" t="s">
        <v>1696</v>
      </c>
      <c r="AD945" s="67"/>
      <c r="AE945" s="67"/>
      <c r="AF945" s="67"/>
      <c r="AG945" s="67"/>
      <c r="AH945" s="67"/>
      <c r="AI945" s="67"/>
      <c r="AJ945" s="67"/>
      <c r="AK945" s="67"/>
      <c r="AL945" s="67"/>
      <c r="AM945" s="67"/>
      <c r="AN945" s="67"/>
      <c r="AO945" s="67"/>
      <c r="AP945" s="67"/>
      <c r="AQ945" s="67"/>
      <c r="AR945" s="67"/>
      <c r="AS945" s="67"/>
      <c r="AT945" s="754"/>
    </row>
    <row r="946" spans="1:50" ht="15.75" hidden="1" customHeight="1" x14ac:dyDescent="0.3">
      <c r="A946" s="139" t="s">
        <v>1505</v>
      </c>
      <c r="B946" s="67">
        <f>+K29</f>
        <v>51585</v>
      </c>
      <c r="C946" s="67">
        <f>+K64</f>
        <v>51251</v>
      </c>
      <c r="D946" s="67">
        <f>+K134</f>
        <v>50933</v>
      </c>
      <c r="E946" s="67">
        <f>+K321</f>
        <v>45280</v>
      </c>
      <c r="F946" s="67">
        <f>+K316</f>
        <v>0</v>
      </c>
      <c r="G946" s="67">
        <f>+K328</f>
        <v>-103000</v>
      </c>
      <c r="H946" s="67">
        <f>+K509</f>
        <v>100954</v>
      </c>
      <c r="I946" s="67">
        <f>+K559</f>
        <v>44320</v>
      </c>
      <c r="J946" s="67">
        <f>+K604</f>
        <v>32516</v>
      </c>
      <c r="K946" s="67">
        <f>+K669</f>
        <v>27979</v>
      </c>
      <c r="L946" s="67">
        <f>+K679</f>
        <v>23551</v>
      </c>
      <c r="M946" s="67">
        <f>+K715</f>
        <v>23515</v>
      </c>
      <c r="N946" s="67">
        <f>+K767</f>
        <v>21698</v>
      </c>
      <c r="O946" s="67">
        <f>+K777</f>
        <v>6954</v>
      </c>
      <c r="P946" s="67">
        <f>+K811</f>
        <v>5708</v>
      </c>
      <c r="Q946" s="67">
        <f>+K862</f>
        <v>6948</v>
      </c>
      <c r="R946" s="754"/>
      <c r="T946" s="619">
        <f>'Lake Pleasant Forecast'!B97</f>
        <v>1646.2006725314106</v>
      </c>
      <c r="AC946" s="551" t="s">
        <v>785</v>
      </c>
      <c r="AD946" s="67"/>
      <c r="AE946" s="67"/>
      <c r="AF946" s="67"/>
      <c r="AG946" s="67"/>
      <c r="AH946" s="67"/>
      <c r="AI946" s="67"/>
      <c r="AJ946" s="67"/>
      <c r="AK946" s="67"/>
      <c r="AL946" s="67"/>
      <c r="AM946" s="67"/>
      <c r="AN946" s="67"/>
      <c r="AO946" s="67"/>
      <c r="AP946" s="67"/>
      <c r="AQ946" s="67"/>
      <c r="AR946" s="67"/>
      <c r="AS946" s="67"/>
      <c r="AT946" s="754"/>
    </row>
    <row r="947" spans="1:50" ht="15.75" hidden="1" customHeight="1" x14ac:dyDescent="0.3">
      <c r="A947" s="139" t="s">
        <v>1506</v>
      </c>
      <c r="B947" s="67">
        <f>+L29</f>
        <v>131523</v>
      </c>
      <c r="C947" s="67">
        <f>+L64</f>
        <v>131207</v>
      </c>
      <c r="D947" s="67">
        <f>+L134</f>
        <v>130906</v>
      </c>
      <c r="E947" s="67">
        <f>+L321</f>
        <v>126745</v>
      </c>
      <c r="F947" s="67">
        <f>+L316</f>
        <v>17000</v>
      </c>
      <c r="G947" s="67">
        <f>+L328</f>
        <v>0</v>
      </c>
      <c r="H947" s="67">
        <f>+L509</f>
        <v>68918</v>
      </c>
      <c r="I947" s="67">
        <f>+L559</f>
        <v>26713</v>
      </c>
      <c r="J947" s="67">
        <f>+L604</f>
        <v>25393</v>
      </c>
      <c r="K947" s="67">
        <f>+L669</f>
        <v>23413</v>
      </c>
      <c r="L947" s="67">
        <f>+L679</f>
        <v>21514</v>
      </c>
      <c r="M947" s="67">
        <f>+L715</f>
        <v>21480</v>
      </c>
      <c r="N947" s="67">
        <f>+L767</f>
        <v>20063</v>
      </c>
      <c r="O947" s="67">
        <f>+L777</f>
        <v>5600</v>
      </c>
      <c r="P947" s="67">
        <f>+L811</f>
        <v>5232</v>
      </c>
      <c r="Q947" s="67">
        <f>+L862</f>
        <v>5594</v>
      </c>
      <c r="R947" s="754"/>
      <c r="T947" s="619">
        <f>'Lake Pleasant Forecast'!B99</f>
        <v>1648.80748967049</v>
      </c>
      <c r="AC947" s="551"/>
      <c r="AD947" s="67"/>
      <c r="AE947" s="67"/>
      <c r="AF947" s="67"/>
      <c r="AG947" s="67"/>
      <c r="AH947" s="67"/>
      <c r="AI947" s="67"/>
      <c r="AJ947" s="67"/>
      <c r="AK947" s="67"/>
      <c r="AL947" s="67"/>
      <c r="AM947" s="67"/>
      <c r="AN947" s="67"/>
      <c r="AO947" s="67"/>
      <c r="AP947" s="67"/>
      <c r="AQ947" s="67"/>
      <c r="AR947" s="67"/>
      <c r="AS947" s="67"/>
      <c r="AT947" s="754"/>
    </row>
    <row r="948" spans="1:50" ht="15.75" hidden="1" customHeight="1" x14ac:dyDescent="0.3">
      <c r="A948" s="139" t="s">
        <v>1507</v>
      </c>
      <c r="B948" s="67">
        <f>+N29</f>
        <v>160556</v>
      </c>
      <c r="C948" s="67">
        <f>+N64</f>
        <v>160271</v>
      </c>
      <c r="D948" s="67">
        <f>+N134</f>
        <v>159999</v>
      </c>
      <c r="E948" s="67">
        <f>+N321</f>
        <v>157266</v>
      </c>
      <c r="F948" s="67">
        <f>+N316</f>
        <v>66000</v>
      </c>
      <c r="G948" s="67">
        <f>+N328</f>
        <v>0</v>
      </c>
      <c r="H948" s="67">
        <f>+N509</f>
        <v>52227</v>
      </c>
      <c r="I948" s="67">
        <f>+N559</f>
        <v>16354</v>
      </c>
      <c r="J948" s="67">
        <f>+N604</f>
        <v>15082</v>
      </c>
      <c r="K948" s="67">
        <f>+N669</f>
        <v>13808</v>
      </c>
      <c r="L948" s="67">
        <f>+N679</f>
        <v>12417</v>
      </c>
      <c r="M948" s="67">
        <f>+N715</f>
        <v>12388</v>
      </c>
      <c r="N948" s="67">
        <f>+N767</f>
        <v>11774</v>
      </c>
      <c r="O948" s="67">
        <f>+N777</f>
        <v>3737</v>
      </c>
      <c r="P948" s="67">
        <f>+N811</f>
        <v>4757</v>
      </c>
      <c r="Q948" s="67">
        <f>+N862</f>
        <v>3732</v>
      </c>
      <c r="R948" s="754"/>
      <c r="T948" s="619">
        <f>'Lake Pleasant Forecast'!B101</f>
        <v>1657.7182601211505</v>
      </c>
      <c r="AC948" s="551" t="s">
        <v>440</v>
      </c>
      <c r="AD948" s="67"/>
      <c r="AE948" s="67"/>
      <c r="AF948" s="67"/>
      <c r="AG948" s="67"/>
      <c r="AH948" s="67"/>
      <c r="AI948" s="67"/>
      <c r="AJ948" s="67"/>
      <c r="AK948" s="67"/>
      <c r="AL948" s="67"/>
      <c r="AM948" s="67"/>
      <c r="AN948" s="67"/>
      <c r="AO948" s="67"/>
      <c r="AP948" s="67"/>
      <c r="AQ948" s="67"/>
      <c r="AR948" s="67"/>
      <c r="AS948" s="67"/>
      <c r="AT948" s="754"/>
    </row>
    <row r="949" spans="1:50" ht="15.75" hidden="1" customHeight="1" x14ac:dyDescent="0.3">
      <c r="A949" s="139" t="s">
        <v>1508</v>
      </c>
      <c r="B949" s="67">
        <f>+O29</f>
        <v>141816</v>
      </c>
      <c r="C949" s="67">
        <f>+O64</f>
        <v>141581</v>
      </c>
      <c r="D949" s="67">
        <f>+O134</f>
        <v>141355</v>
      </c>
      <c r="E949" s="67">
        <f>+O321</f>
        <v>140060</v>
      </c>
      <c r="F949" s="67">
        <f>+O316</f>
        <v>74000</v>
      </c>
      <c r="G949" s="67">
        <f>+O328</f>
        <v>0</v>
      </c>
      <c r="H949" s="67">
        <f>+O509</f>
        <v>35025</v>
      </c>
      <c r="I949" s="67">
        <f>+O559</f>
        <v>5702</v>
      </c>
      <c r="J949" s="67">
        <f>+O604</f>
        <v>4829</v>
      </c>
      <c r="K949" s="67">
        <f>+O669</f>
        <v>4691</v>
      </c>
      <c r="L949" s="67">
        <f>+O679</f>
        <v>3119</v>
      </c>
      <c r="M949" s="67">
        <f>+O715</f>
        <v>3096</v>
      </c>
      <c r="N949" s="67">
        <f>+O767</f>
        <v>2985</v>
      </c>
      <c r="O949" s="67">
        <f>+O777</f>
        <v>2685</v>
      </c>
      <c r="P949" s="67">
        <f>+O811</f>
        <v>4281</v>
      </c>
      <c r="Q949" s="67">
        <f>+O862</f>
        <v>2682</v>
      </c>
      <c r="R949" s="754"/>
      <c r="T949" s="619">
        <f>'Lake Pleasant Forecast'!B103</f>
        <v>1668.9037991016071</v>
      </c>
      <c r="AC949" s="551"/>
      <c r="AD949" s="67"/>
      <c r="AE949" s="67"/>
      <c r="AF949" s="67"/>
      <c r="AG949" s="67"/>
      <c r="AH949" s="67"/>
      <c r="AI949" s="67"/>
      <c r="AJ949" s="67"/>
      <c r="AK949" s="67"/>
      <c r="AL949" s="67"/>
      <c r="AM949" s="67"/>
      <c r="AN949" s="67"/>
      <c r="AO949" s="67"/>
      <c r="AP949" s="67"/>
      <c r="AQ949" s="67"/>
      <c r="AR949" s="67"/>
      <c r="AS949" s="67"/>
      <c r="AT949" s="754"/>
    </row>
    <row r="950" spans="1:50" ht="15.75" hidden="1" customHeight="1" thickBot="1" x14ac:dyDescent="0.35">
      <c r="A950" s="139" t="s">
        <v>1509</v>
      </c>
      <c r="B950" s="67">
        <f>+P29</f>
        <v>99201</v>
      </c>
      <c r="C950" s="67">
        <f>+P64</f>
        <v>99015</v>
      </c>
      <c r="D950" s="67">
        <f>+P134</f>
        <v>98836</v>
      </c>
      <c r="E950" s="67">
        <f>+P321</f>
        <v>97726</v>
      </c>
      <c r="F950" s="67">
        <f>+P316</f>
        <v>50000</v>
      </c>
      <c r="G950" s="67">
        <f>+P328</f>
        <v>0</v>
      </c>
      <c r="H950" s="67">
        <f>+P509</f>
        <v>21315</v>
      </c>
      <c r="I950" s="67">
        <f>+P559</f>
        <v>3632</v>
      </c>
      <c r="J950" s="67">
        <f>+P604</f>
        <v>3018</v>
      </c>
      <c r="K950" s="67">
        <f>+P669</f>
        <v>2920</v>
      </c>
      <c r="L950" s="67">
        <f>+P679</f>
        <v>2882</v>
      </c>
      <c r="M950" s="67">
        <f>+P715</f>
        <v>2863</v>
      </c>
      <c r="N950" s="67">
        <f>+P767</f>
        <v>2354</v>
      </c>
      <c r="O950" s="67">
        <f>+P777</f>
        <v>1393</v>
      </c>
      <c r="P950" s="67">
        <f>+P811</f>
        <v>3805</v>
      </c>
      <c r="Q950" s="67">
        <f>+P862</f>
        <v>1391</v>
      </c>
      <c r="R950" s="754"/>
      <c r="T950" s="619">
        <f>'Lake Pleasant Forecast'!B105</f>
        <v>1675.4137510075911</v>
      </c>
      <c r="AC950" s="554" t="s">
        <v>1480</v>
      </c>
      <c r="AD950" s="555"/>
      <c r="AE950" s="555"/>
      <c r="AF950" s="555"/>
      <c r="AG950" s="555"/>
      <c r="AH950" s="555"/>
      <c r="AI950" s="555"/>
      <c r="AJ950" s="555"/>
      <c r="AK950" s="555"/>
      <c r="AL950" s="555"/>
      <c r="AM950" s="555"/>
      <c r="AN950" s="555"/>
      <c r="AO950" s="555"/>
      <c r="AP950" s="555"/>
      <c r="AQ950" s="555"/>
      <c r="AR950" s="555"/>
      <c r="AS950" s="555"/>
      <c r="AT950" s="556"/>
    </row>
    <row r="951" spans="1:50" ht="15.75" customHeight="1" x14ac:dyDescent="0.3">
      <c r="A951" s="553"/>
      <c r="B951" s="67"/>
      <c r="C951" s="67"/>
      <c r="D951" s="67"/>
      <c r="E951" s="67"/>
      <c r="F951" s="67"/>
      <c r="G951" s="67"/>
      <c r="H951" s="67"/>
      <c r="I951" s="67"/>
      <c r="J951" s="67"/>
      <c r="K951" s="67"/>
      <c r="L951" s="67"/>
      <c r="M951" s="67"/>
      <c r="N951" s="67"/>
      <c r="O951" s="67"/>
      <c r="P951" s="67"/>
      <c r="Q951" s="67"/>
      <c r="R951" s="754"/>
    </row>
    <row r="952" spans="1:50" ht="15.75" customHeight="1" thickBot="1" x14ac:dyDescent="0.35">
      <c r="A952" s="553" t="s">
        <v>2356</v>
      </c>
      <c r="B952" s="67">
        <f t="shared" ref="B952:Q952" si="314">SUM(B939:B950)</f>
        <v>1418884</v>
      </c>
      <c r="C952" s="67">
        <f t="shared" si="314"/>
        <v>1415384</v>
      </c>
      <c r="D952" s="67">
        <f t="shared" si="314"/>
        <v>1412044</v>
      </c>
      <c r="E952" s="67">
        <f t="shared" si="314"/>
        <v>1364987</v>
      </c>
      <c r="F952" s="67">
        <f t="shared" si="314"/>
        <v>330000</v>
      </c>
      <c r="G952" s="67">
        <f t="shared" si="314"/>
        <v>-334000</v>
      </c>
      <c r="H952" s="67">
        <f t="shared" si="314"/>
        <v>935857</v>
      </c>
      <c r="I952" s="67">
        <f t="shared" si="314"/>
        <v>337951</v>
      </c>
      <c r="J952" s="67">
        <f t="shared" si="314"/>
        <v>274861</v>
      </c>
      <c r="K952" s="67">
        <f t="shared" si="314"/>
        <v>245789</v>
      </c>
      <c r="L952" s="67">
        <f t="shared" si="314"/>
        <v>200351</v>
      </c>
      <c r="M952" s="67">
        <f t="shared" si="314"/>
        <v>199978</v>
      </c>
      <c r="N952" s="67">
        <f t="shared" si="314"/>
        <v>186875</v>
      </c>
      <c r="O952" s="67">
        <f t="shared" si="314"/>
        <v>49077</v>
      </c>
      <c r="P952" s="67">
        <f t="shared" si="314"/>
        <v>61551</v>
      </c>
      <c r="Q952" s="67">
        <f t="shared" si="314"/>
        <v>49014</v>
      </c>
      <c r="R952" s="754"/>
    </row>
    <row r="953" spans="1:50" ht="15.75" customHeight="1" thickBot="1" x14ac:dyDescent="0.35">
      <c r="A953" s="581"/>
      <c r="B953" s="581"/>
      <c r="C953" s="581"/>
      <c r="D953" s="581"/>
      <c r="E953" s="581"/>
      <c r="F953" s="581"/>
      <c r="G953" s="581"/>
      <c r="H953" s="581"/>
      <c r="I953" s="581"/>
      <c r="J953" s="581"/>
      <c r="K953" s="581"/>
      <c r="L953" s="581"/>
      <c r="M953" s="581"/>
      <c r="N953" s="581"/>
      <c r="O953" s="581"/>
      <c r="P953" s="581"/>
      <c r="Q953" s="581"/>
      <c r="R953" s="556"/>
      <c r="AC953" s="749"/>
      <c r="AD953" s="701"/>
      <c r="AE953" s="701"/>
      <c r="AF953" s="701"/>
      <c r="AG953" s="701"/>
      <c r="AH953" s="701"/>
      <c r="AI953" s="701"/>
      <c r="AJ953" s="701"/>
      <c r="AK953" s="701"/>
      <c r="AL953" s="701"/>
      <c r="AM953" s="701"/>
      <c r="AN953" s="701"/>
      <c r="AO953" s="701"/>
      <c r="AP953" s="701"/>
      <c r="AQ953" s="701"/>
      <c r="AR953" s="701"/>
      <c r="AS953" s="752" t="str">
        <f>+Q1</f>
        <v xml:space="preserve">PRINTED:  </v>
      </c>
      <c r="AT953" s="756">
        <f ca="1">+R1</f>
        <v>44881.729633912037</v>
      </c>
      <c r="AU953" s="702"/>
      <c r="AW953" s="71" t="s">
        <v>253</v>
      </c>
      <c r="AX953" s="67"/>
    </row>
    <row r="954" spans="1:50" ht="15.75" customHeight="1" x14ac:dyDescent="0.35">
      <c r="A954" s="703"/>
      <c r="B954" s="703"/>
      <c r="C954" s="703"/>
      <c r="D954" s="703"/>
      <c r="E954" s="703"/>
      <c r="F954" s="703"/>
      <c r="G954" s="703"/>
      <c r="H954" s="703"/>
      <c r="I954" s="703"/>
      <c r="J954" s="703"/>
      <c r="K954" s="703"/>
      <c r="L954" s="703"/>
      <c r="M954" s="703"/>
      <c r="N954" s="703"/>
      <c r="O954" s="703"/>
      <c r="P954" s="703"/>
      <c r="Q954" s="703"/>
      <c r="R954" s="701"/>
      <c r="AC954" s="551"/>
      <c r="AD954" s="67"/>
      <c r="AE954" s="71" t="s">
        <v>2125</v>
      </c>
      <c r="AF954" s="67"/>
      <c r="AG954" s="67"/>
      <c r="AH954" s="67"/>
      <c r="AI954" s="67"/>
      <c r="AJ954" s="67"/>
      <c r="AK954" s="67"/>
      <c r="AL954" s="67"/>
      <c r="AM954" s="67"/>
      <c r="AN954" s="215"/>
      <c r="AO954" s="71" t="s">
        <v>1456</v>
      </c>
      <c r="AP954" s="67"/>
      <c r="AQ954" s="67"/>
      <c r="AR954" s="67"/>
      <c r="AS954" s="67"/>
      <c r="AT954" s="67"/>
      <c r="AU954" s="727"/>
      <c r="AW954" s="67" t="s">
        <v>254</v>
      </c>
      <c r="AX954" s="67"/>
    </row>
    <row r="955" spans="1:50" ht="16.5" customHeight="1" x14ac:dyDescent="0.3">
      <c r="A955" s="553" t="s">
        <v>852</v>
      </c>
      <c r="B955" s="67"/>
      <c r="C955" s="67"/>
      <c r="D955" s="67"/>
      <c r="E955" s="67"/>
      <c r="F955" s="67"/>
      <c r="G955" s="67"/>
      <c r="H955" s="67"/>
      <c r="I955" s="67"/>
      <c r="J955" s="67"/>
      <c r="K955" s="67"/>
      <c r="L955" s="67"/>
      <c r="M955" s="67"/>
      <c r="N955" s="67"/>
      <c r="O955" s="67"/>
      <c r="P955" s="67"/>
      <c r="Q955" s="67"/>
      <c r="R955" s="67"/>
      <c r="AC955" s="551"/>
      <c r="AD955" s="67"/>
      <c r="AE955" s="67"/>
      <c r="AF955" s="67"/>
      <c r="AG955" s="67" t="s">
        <v>852</v>
      </c>
      <c r="AH955" s="69" t="str">
        <f>+A8</f>
        <v>Revised:  2/5/2020</v>
      </c>
      <c r="AI955" s="67"/>
      <c r="AJ955" s="67"/>
      <c r="AK955" s="67"/>
      <c r="AL955" s="67"/>
      <c r="AM955" s="67"/>
      <c r="AN955" s="67"/>
      <c r="AO955" s="67"/>
      <c r="AP955" s="67"/>
      <c r="AQ955" s="67"/>
      <c r="AR955" s="67" t="s">
        <v>852</v>
      </c>
      <c r="AS955" s="69" t="str">
        <f>+A8</f>
        <v>Revised:  2/5/2020</v>
      </c>
      <c r="AT955" s="67"/>
      <c r="AU955" s="727"/>
      <c r="AW955" s="67"/>
      <c r="AX955" s="67"/>
    </row>
    <row r="956" spans="1:50" ht="15.75" customHeight="1" x14ac:dyDescent="0.3">
      <c r="A956" s="70"/>
      <c r="B956" s="67"/>
      <c r="C956" s="67"/>
      <c r="D956" s="67"/>
      <c r="E956" s="67"/>
      <c r="F956" s="67"/>
      <c r="G956" s="67"/>
      <c r="H956" s="67"/>
      <c r="I956" s="67"/>
      <c r="J956" s="67"/>
      <c r="K956" s="67"/>
      <c r="L956" s="67"/>
      <c r="M956" s="67"/>
      <c r="N956" s="67"/>
      <c r="O956" s="67"/>
      <c r="P956" s="67"/>
      <c r="Q956" s="67"/>
      <c r="R956" s="67"/>
      <c r="AC956" s="551"/>
      <c r="AD956" s="67"/>
      <c r="AE956" s="67"/>
      <c r="AF956" s="67" t="s">
        <v>2545</v>
      </c>
      <c r="AG956" s="67"/>
      <c r="AH956" s="67"/>
      <c r="AI956" s="67"/>
      <c r="AJ956" s="67"/>
      <c r="AK956" s="67"/>
      <c r="AL956" s="67"/>
      <c r="AM956" s="67"/>
      <c r="AN956" s="67"/>
      <c r="AO956" s="67"/>
      <c r="AP956" s="67" t="s">
        <v>2545</v>
      </c>
      <c r="AQ956" s="67"/>
      <c r="AR956" s="67"/>
      <c r="AS956" s="67"/>
      <c r="AT956" s="67"/>
      <c r="AU956" s="727"/>
      <c r="AW956" s="67" t="s">
        <v>2435</v>
      </c>
      <c r="AX956" s="70" t="s">
        <v>335</v>
      </c>
    </row>
    <row r="957" spans="1:50" ht="15.75" customHeight="1" x14ac:dyDescent="0.3">
      <c r="A957" s="139"/>
      <c r="AC957" s="551"/>
      <c r="AD957" s="67"/>
      <c r="AE957" s="67"/>
      <c r="AF957" s="67"/>
      <c r="AG957" s="67"/>
      <c r="AH957" s="67"/>
      <c r="AI957" s="67"/>
      <c r="AJ957" s="67"/>
      <c r="AK957" s="67"/>
      <c r="AL957" s="67"/>
      <c r="AM957" s="67"/>
      <c r="AN957" s="67"/>
      <c r="AO957" s="67"/>
      <c r="AP957" s="67"/>
      <c r="AQ957" s="67"/>
      <c r="AR957" s="67"/>
      <c r="AS957" s="67"/>
      <c r="AT957" s="67"/>
      <c r="AU957" s="727"/>
      <c r="AW957" s="70" t="s">
        <v>335</v>
      </c>
      <c r="AX957" s="70" t="s">
        <v>956</v>
      </c>
    </row>
    <row r="958" spans="1:50" ht="15.75" customHeight="1" thickBot="1" x14ac:dyDescent="0.35">
      <c r="A958" s="139"/>
      <c r="AC958" s="551"/>
      <c r="AD958" s="67"/>
      <c r="AE958" s="67"/>
      <c r="AF958" s="67"/>
      <c r="AG958" s="67">
        <f>+A5</f>
        <v>2021</v>
      </c>
      <c r="AH958" s="67"/>
      <c r="AI958" s="67"/>
      <c r="AJ958" s="67"/>
      <c r="AK958" s="67"/>
      <c r="AL958" s="67"/>
      <c r="AM958" s="67"/>
      <c r="AN958" s="67"/>
      <c r="AO958" s="67"/>
      <c r="AP958" s="67"/>
      <c r="AQ958" s="67"/>
      <c r="AR958" s="67">
        <f>+A5</f>
        <v>2021</v>
      </c>
      <c r="AS958" s="67"/>
      <c r="AT958" s="67"/>
      <c r="AU958" s="727"/>
      <c r="AW958" s="70" t="s">
        <v>998</v>
      </c>
      <c r="AX958" s="70" t="s">
        <v>2201</v>
      </c>
    </row>
    <row r="959" spans="1:50" ht="15.75" customHeight="1" x14ac:dyDescent="0.3">
      <c r="A959" s="755"/>
      <c r="B959" s="821" t="s">
        <v>1898</v>
      </c>
      <c r="C959" s="821"/>
      <c r="D959" s="821"/>
      <c r="E959" s="821"/>
      <c r="F959" s="821"/>
      <c r="G959" s="821"/>
      <c r="H959" s="821"/>
      <c r="I959" s="821"/>
      <c r="J959" s="821"/>
      <c r="K959" s="821"/>
      <c r="L959" s="821"/>
      <c r="M959" s="821"/>
      <c r="N959" s="821"/>
      <c r="O959" s="821"/>
      <c r="P959" s="821"/>
      <c r="Q959" s="752" t="str">
        <f>+Q1</f>
        <v xml:space="preserve">PRINTED:  </v>
      </c>
      <c r="R959" s="753">
        <f ca="1">+R1</f>
        <v>44881.729633912037</v>
      </c>
      <c r="AC959" s="551"/>
      <c r="AD959" s="67"/>
      <c r="AE959" s="67"/>
      <c r="AF959" s="67"/>
      <c r="AG959" s="67" t="s">
        <v>1199</v>
      </c>
      <c r="AH959" s="67"/>
      <c r="AI959" s="67"/>
      <c r="AJ959" s="67"/>
      <c r="AK959" s="67"/>
      <c r="AL959" s="67"/>
      <c r="AM959" s="67"/>
      <c r="AN959" s="67"/>
      <c r="AO959" s="67"/>
      <c r="AP959" s="67"/>
      <c r="AQ959" s="67"/>
      <c r="AR959" s="67" t="s">
        <v>1199</v>
      </c>
      <c r="AS959" s="67"/>
      <c r="AT959" s="67"/>
      <c r="AU959" s="727"/>
      <c r="AW959" s="70" t="s">
        <v>1353</v>
      </c>
      <c r="AX959" s="70" t="s">
        <v>1353</v>
      </c>
    </row>
    <row r="960" spans="1:50" ht="15.75" customHeight="1" x14ac:dyDescent="0.3">
      <c r="A960" s="553"/>
      <c r="B960" s="786" t="str">
        <f>+A8</f>
        <v>Revised:  2/5/2020</v>
      </c>
      <c r="C960" s="786"/>
      <c r="D960" s="786"/>
      <c r="E960" s="786"/>
      <c r="F960" s="786"/>
      <c r="G960" s="786"/>
      <c r="H960" s="786"/>
      <c r="I960" s="786"/>
      <c r="J960" s="786"/>
      <c r="K960" s="786"/>
      <c r="L960" s="786"/>
      <c r="M960" s="786"/>
      <c r="N960" s="786"/>
      <c r="O960" s="786"/>
      <c r="P960" s="786"/>
      <c r="Q960" s="67"/>
      <c r="R960" s="754"/>
      <c r="AC960" s="551"/>
      <c r="AD960" s="67"/>
      <c r="AE960" s="67"/>
      <c r="AF960" s="67"/>
      <c r="AG960" s="67"/>
      <c r="AH960" s="67"/>
      <c r="AI960" s="67"/>
      <c r="AJ960" s="67"/>
      <c r="AK960" s="67"/>
      <c r="AL960" s="67"/>
      <c r="AM960" s="67"/>
      <c r="AN960" s="67"/>
      <c r="AO960" s="67"/>
      <c r="AP960" s="67"/>
      <c r="AQ960" s="67"/>
      <c r="AR960" s="67"/>
      <c r="AS960" s="67"/>
      <c r="AT960" s="67"/>
      <c r="AU960" s="727"/>
      <c r="AW960" s="67">
        <f t="shared" ref="AW960:AW971" si="315">SUM(L996:Q996)</f>
        <v>9571</v>
      </c>
      <c r="AX960" s="72">
        <v>2.4700000000000002</v>
      </c>
    </row>
    <row r="961" spans="1:50" ht="15.75" customHeight="1" x14ac:dyDescent="0.3">
      <c r="A961" s="553"/>
      <c r="B961" s="786" t="s">
        <v>2878</v>
      </c>
      <c r="C961" s="786"/>
      <c r="D961" s="786"/>
      <c r="E961" s="786"/>
      <c r="F961" s="786"/>
      <c r="G961" s="786"/>
      <c r="H961" s="786"/>
      <c r="I961" s="786"/>
      <c r="J961" s="786"/>
      <c r="K961" s="786"/>
      <c r="L961" s="786"/>
      <c r="M961" s="786"/>
      <c r="N961" s="786"/>
      <c r="O961" s="786"/>
      <c r="P961" s="786"/>
      <c r="Q961" s="67"/>
      <c r="R961" s="754"/>
      <c r="AC961" s="551" t="s">
        <v>1307</v>
      </c>
      <c r="AD961" s="70" t="s">
        <v>1308</v>
      </c>
      <c r="AE961" s="70" t="s">
        <v>1309</v>
      </c>
      <c r="AF961" s="70" t="s">
        <v>1029</v>
      </c>
      <c r="AG961" s="70" t="s">
        <v>1030</v>
      </c>
      <c r="AH961" s="70" t="s">
        <v>284</v>
      </c>
      <c r="AI961" s="67"/>
      <c r="AJ961" s="70" t="s">
        <v>2356</v>
      </c>
      <c r="AK961" s="67"/>
      <c r="AL961" s="67"/>
      <c r="AM961" s="67"/>
      <c r="AN961" s="67" t="s">
        <v>1307</v>
      </c>
      <c r="AO961" s="70" t="s">
        <v>1308</v>
      </c>
      <c r="AP961" s="70" t="s">
        <v>1309</v>
      </c>
      <c r="AQ961" s="70" t="s">
        <v>1029</v>
      </c>
      <c r="AR961" s="70" t="s">
        <v>1030</v>
      </c>
      <c r="AS961" s="70" t="s">
        <v>284</v>
      </c>
      <c r="AT961" s="70" t="s">
        <v>2356</v>
      </c>
      <c r="AU961" s="727"/>
      <c r="AW961" s="67">
        <f t="shared" si="315"/>
        <v>11999</v>
      </c>
      <c r="AX961" s="72">
        <v>2.4700000000000002</v>
      </c>
    </row>
    <row r="962" spans="1:50" ht="15.75" customHeight="1" x14ac:dyDescent="0.3">
      <c r="A962" s="553"/>
      <c r="B962" s="786"/>
      <c r="C962" s="786"/>
      <c r="D962" s="786"/>
      <c r="E962" s="786"/>
      <c r="F962" s="786"/>
      <c r="G962" s="786"/>
      <c r="H962" s="786"/>
      <c r="I962" s="786"/>
      <c r="J962" s="786"/>
      <c r="K962" s="786"/>
      <c r="L962" s="786"/>
      <c r="M962" s="786"/>
      <c r="N962" s="786"/>
      <c r="O962" s="786"/>
      <c r="P962" s="786"/>
      <c r="Q962" s="67"/>
      <c r="R962" s="754"/>
      <c r="AC962" s="551" t="s">
        <v>526</v>
      </c>
      <c r="AD962" s="67"/>
      <c r="AE962" s="67"/>
      <c r="AF962" s="67"/>
      <c r="AG962" s="67"/>
      <c r="AH962" s="70" t="s">
        <v>1193</v>
      </c>
      <c r="AI962" s="67"/>
      <c r="AJ962" s="70" t="s">
        <v>252</v>
      </c>
      <c r="AK962" s="67"/>
      <c r="AL962" s="67"/>
      <c r="AM962" s="67"/>
      <c r="AN962" s="67" t="s">
        <v>526</v>
      </c>
      <c r="AO962" s="67"/>
      <c r="AP962" s="67"/>
      <c r="AQ962" s="67"/>
      <c r="AR962" s="67"/>
      <c r="AS962" s="70" t="s">
        <v>1193</v>
      </c>
      <c r="AT962" s="70" t="s">
        <v>252</v>
      </c>
      <c r="AU962" s="727"/>
      <c r="AW962" s="67">
        <f t="shared" si="315"/>
        <v>13217</v>
      </c>
      <c r="AX962" s="72">
        <v>2.4700000000000002</v>
      </c>
    </row>
    <row r="963" spans="1:50" ht="15.75" customHeight="1" x14ac:dyDescent="0.3">
      <c r="A963" s="553"/>
      <c r="B963" s="787">
        <f>+A5</f>
        <v>2021</v>
      </c>
      <c r="C963" s="787"/>
      <c r="D963" s="787"/>
      <c r="E963" s="787"/>
      <c r="F963" s="787"/>
      <c r="G963" s="787"/>
      <c r="H963" s="787"/>
      <c r="I963" s="787"/>
      <c r="J963" s="787"/>
      <c r="K963" s="787"/>
      <c r="L963" s="787"/>
      <c r="M963" s="787"/>
      <c r="N963" s="787"/>
      <c r="O963" s="787"/>
      <c r="P963" s="787"/>
      <c r="Q963" s="67"/>
      <c r="R963" s="754"/>
      <c r="AC963" s="551" t="s">
        <v>1195</v>
      </c>
      <c r="AD963" s="67">
        <f>+$B$994</f>
        <v>957</v>
      </c>
      <c r="AE963" s="67">
        <f>+C$994</f>
        <v>122</v>
      </c>
      <c r="AF963" s="67">
        <f>+D$994</f>
        <v>128</v>
      </c>
      <c r="AG963" s="67">
        <f>+E$994</f>
        <v>219</v>
      </c>
      <c r="AH963" s="67"/>
      <c r="AI963" s="67"/>
      <c r="AJ963" s="70" t="s">
        <v>335</v>
      </c>
      <c r="AK963" s="67"/>
      <c r="AL963" s="67"/>
      <c r="AM963" s="67"/>
      <c r="AN963" s="67" t="s">
        <v>1195</v>
      </c>
      <c r="AO963" s="67">
        <f>+$B$994</f>
        <v>957</v>
      </c>
      <c r="AP963" s="67">
        <f>+C$994</f>
        <v>122</v>
      </c>
      <c r="AQ963" s="67">
        <f>+D$994</f>
        <v>128</v>
      </c>
      <c r="AR963" s="67">
        <f>+E$994</f>
        <v>219</v>
      </c>
      <c r="AS963" s="67"/>
      <c r="AT963" s="70" t="s">
        <v>335</v>
      </c>
      <c r="AU963" s="727"/>
      <c r="AW963" s="67">
        <f t="shared" si="315"/>
        <v>14192</v>
      </c>
      <c r="AX963" s="72">
        <v>2.4700000000000002</v>
      </c>
    </row>
    <row r="964" spans="1:50" ht="15.75" customHeight="1" x14ac:dyDescent="0.3">
      <c r="A964" s="553"/>
      <c r="B964" s="786" t="s">
        <v>2879</v>
      </c>
      <c r="C964" s="786"/>
      <c r="D964" s="786"/>
      <c r="E964" s="786"/>
      <c r="F964" s="786"/>
      <c r="G964" s="786"/>
      <c r="H964" s="786"/>
      <c r="I964" s="786"/>
      <c r="J964" s="786"/>
      <c r="K964" s="786"/>
      <c r="L964" s="786"/>
      <c r="M964" s="786"/>
      <c r="N964" s="786"/>
      <c r="O964" s="786"/>
      <c r="P964" s="786"/>
      <c r="Q964" s="67"/>
      <c r="R964" s="754"/>
      <c r="AC964" s="551"/>
      <c r="AD964" s="67" t="s">
        <v>1353</v>
      </c>
      <c r="AE964" s="67" t="s">
        <v>1353</v>
      </c>
      <c r="AF964" s="67" t="s">
        <v>1353</v>
      </c>
      <c r="AG964" s="67" t="s">
        <v>1353</v>
      </c>
      <c r="AH964" s="67" t="s">
        <v>1353</v>
      </c>
      <c r="AI964" s="67"/>
      <c r="AJ964" s="67" t="s">
        <v>251</v>
      </c>
      <c r="AK964" s="67"/>
      <c r="AL964" s="67"/>
      <c r="AM964" s="67"/>
      <c r="AN964" s="67"/>
      <c r="AO964" s="67" t="s">
        <v>1353</v>
      </c>
      <c r="AP964" s="67" t="s">
        <v>1353</v>
      </c>
      <c r="AQ964" s="67" t="s">
        <v>1353</v>
      </c>
      <c r="AR964" s="67" t="s">
        <v>1353</v>
      </c>
      <c r="AS964" s="67" t="s">
        <v>1353</v>
      </c>
      <c r="AT964" s="67" t="s">
        <v>251</v>
      </c>
      <c r="AU964" s="727"/>
      <c r="AW964" s="67">
        <f t="shared" si="315"/>
        <v>15526</v>
      </c>
      <c r="AX964" s="72">
        <v>2.4700000000000002</v>
      </c>
    </row>
    <row r="965" spans="1:50" ht="15.75" customHeight="1" x14ac:dyDescent="0.3">
      <c r="A965" s="553"/>
      <c r="B965" s="67"/>
      <c r="C965" s="67"/>
      <c r="D965" s="67"/>
      <c r="E965" s="67"/>
      <c r="F965" s="67"/>
      <c r="G965" s="67"/>
      <c r="H965" s="67"/>
      <c r="I965" s="67"/>
      <c r="J965" s="67"/>
      <c r="K965" s="67"/>
      <c r="L965" s="67"/>
      <c r="M965" s="67"/>
      <c r="N965" s="67"/>
      <c r="O965" s="67"/>
      <c r="P965" s="67"/>
      <c r="Q965" s="67"/>
      <c r="R965" s="754"/>
      <c r="AC965" s="553" t="s">
        <v>1354</v>
      </c>
      <c r="AD965" s="67">
        <f t="shared" ref="AD965:AD976" si="316">ROUND($F939*$AD$963/1000,0)</f>
        <v>0</v>
      </c>
      <c r="AE965" s="67">
        <f t="shared" ref="AE965:AE976" si="317">ROUND($F939*$AE$963/1000,0)</f>
        <v>0</v>
      </c>
      <c r="AF965" s="67">
        <f t="shared" ref="AF965:AF976" si="318">ROUND($F939*$AF$963/1000,0)</f>
        <v>0</v>
      </c>
      <c r="AG965" s="67">
        <f t="shared" ref="AG965:AG976" si="319">ROUND($F939*$AG$963/1000,0)</f>
        <v>0</v>
      </c>
      <c r="AH965" s="67">
        <f t="shared" ref="AH965:AH976" si="320">(F939*((T939-1526.8)/0.7702))/1000</f>
        <v>0</v>
      </c>
      <c r="AI965" s="67"/>
      <c r="AJ965" s="67">
        <f t="shared" ref="AJ965:AJ976" si="321">SUM(AD965:AH965)</f>
        <v>0</v>
      </c>
      <c r="AK965" s="67"/>
      <c r="AL965" s="67"/>
      <c r="AM965" s="67"/>
      <c r="AN965" s="70" t="s">
        <v>1354</v>
      </c>
      <c r="AO965" s="67">
        <f t="shared" ref="AO965:AO976" si="322">ROUND((B939-$F939)*$AO$963/1000,0)</f>
        <v>61724</v>
      </c>
      <c r="AP965" s="67">
        <f t="shared" ref="AP965:AP976" si="323">ROUND((C939-$F939)*$AP$963/1000,0)</f>
        <v>7857</v>
      </c>
      <c r="AQ965" s="67">
        <f t="shared" ref="AQ965:AQ976" si="324">ROUND((D939-$F939)*$AQ$963/1000,0)</f>
        <v>8231</v>
      </c>
      <c r="AR965" s="67">
        <f t="shared" ref="AR965:AR976" si="325">ROUND((E939-$F939)*$AR$963/1000,0)</f>
        <v>13850</v>
      </c>
      <c r="AS965" s="67">
        <f>((F939-$F939)*((T939-1526.8)/0.7702))/1000</f>
        <v>0</v>
      </c>
      <c r="AT965" s="67">
        <f t="shared" ref="AT965:AT976" si="326">SUM(AN965:AR965)</f>
        <v>91662</v>
      </c>
      <c r="AU965" s="727"/>
      <c r="AW965" s="67">
        <f t="shared" si="315"/>
        <v>14766</v>
      </c>
      <c r="AX965" s="72">
        <v>2.4700000000000002</v>
      </c>
    </row>
    <row r="966" spans="1:50" ht="15.75" customHeight="1" thickBot="1" x14ac:dyDescent="0.35">
      <c r="A966" s="553" t="s">
        <v>845</v>
      </c>
      <c r="B966" s="634" t="s">
        <v>1308</v>
      </c>
      <c r="C966" s="634" t="s">
        <v>1309</v>
      </c>
      <c r="D966" s="634" t="s">
        <v>1029</v>
      </c>
      <c r="E966" s="634" t="s">
        <v>1030</v>
      </c>
      <c r="F966" s="634" t="s">
        <v>284</v>
      </c>
      <c r="G966" s="634" t="s">
        <v>284</v>
      </c>
      <c r="H966" s="634" t="s">
        <v>285</v>
      </c>
      <c r="I966" s="634" t="s">
        <v>286</v>
      </c>
      <c r="J966" s="634" t="s">
        <v>287</v>
      </c>
      <c r="K966" s="634" t="s">
        <v>288</v>
      </c>
      <c r="L966" s="634" t="s">
        <v>289</v>
      </c>
      <c r="M966" s="634" t="s">
        <v>633</v>
      </c>
      <c r="N966" s="634" t="s">
        <v>634</v>
      </c>
      <c r="O966" s="634" t="s">
        <v>1192</v>
      </c>
      <c r="P966" s="634" t="s">
        <v>524</v>
      </c>
      <c r="Q966" s="634" t="s">
        <v>525</v>
      </c>
      <c r="R966" s="754"/>
      <c r="AC966" s="553" t="s">
        <v>706</v>
      </c>
      <c r="AD966" s="67">
        <f t="shared" si="316"/>
        <v>49764</v>
      </c>
      <c r="AE966" s="67">
        <f t="shared" si="317"/>
        <v>6344</v>
      </c>
      <c r="AF966" s="67">
        <f t="shared" si="318"/>
        <v>6656</v>
      </c>
      <c r="AG966" s="67">
        <f t="shared" si="319"/>
        <v>11388</v>
      </c>
      <c r="AH966" s="67">
        <f t="shared" si="320"/>
        <v>11230.28371717082</v>
      </c>
      <c r="AI966" s="67"/>
      <c r="AJ966" s="67">
        <f t="shared" si="321"/>
        <v>85382.283717170823</v>
      </c>
      <c r="AK966" s="67"/>
      <c r="AL966" s="67"/>
      <c r="AM966" s="67"/>
      <c r="AN966" s="70" t="s">
        <v>706</v>
      </c>
      <c r="AO966" s="67">
        <f t="shared" si="322"/>
        <v>70914</v>
      </c>
      <c r="AP966" s="67">
        <f t="shared" si="323"/>
        <v>9022</v>
      </c>
      <c r="AQ966" s="67">
        <f t="shared" si="324"/>
        <v>9447</v>
      </c>
      <c r="AR966" s="67">
        <f t="shared" si="325"/>
        <v>15890</v>
      </c>
      <c r="AS966" s="67">
        <f t="shared" ref="AS966:AS976" si="327">((F940-$F940)*((T940-1526.8)/0.7702))/1000</f>
        <v>0</v>
      </c>
      <c r="AT966" s="67">
        <f t="shared" si="326"/>
        <v>105273</v>
      </c>
      <c r="AU966" s="727"/>
      <c r="AW966" s="67">
        <f t="shared" si="315"/>
        <v>13739</v>
      </c>
      <c r="AX966" s="72">
        <v>2.4700000000000002</v>
      </c>
    </row>
    <row r="967" spans="1:50" ht="15.75" customHeight="1" x14ac:dyDescent="0.3">
      <c r="A967" s="553"/>
      <c r="B967" s="67"/>
      <c r="C967" s="67"/>
      <c r="D967" s="67"/>
      <c r="E967" s="67"/>
      <c r="F967" s="70" t="s">
        <v>1193</v>
      </c>
      <c r="G967" s="70" t="s">
        <v>1194</v>
      </c>
      <c r="H967" s="67"/>
      <c r="I967" s="67"/>
      <c r="J967" s="67"/>
      <c r="K967" s="67"/>
      <c r="L967" s="67"/>
      <c r="M967" s="67"/>
      <c r="N967" s="67"/>
      <c r="O967" s="67"/>
      <c r="P967" s="67"/>
      <c r="Q967" s="67"/>
      <c r="R967" s="754"/>
      <c r="AC967" s="553" t="s">
        <v>707</v>
      </c>
      <c r="AD967" s="67">
        <f t="shared" si="316"/>
        <v>57420</v>
      </c>
      <c r="AE967" s="67">
        <f t="shared" si="317"/>
        <v>7320</v>
      </c>
      <c r="AF967" s="67">
        <f t="shared" si="318"/>
        <v>7680</v>
      </c>
      <c r="AG967" s="67">
        <f t="shared" si="319"/>
        <v>13140</v>
      </c>
      <c r="AH967" s="67">
        <f t="shared" si="320"/>
        <v>13191.393462865861</v>
      </c>
      <c r="AI967" s="67"/>
      <c r="AJ967" s="67">
        <f t="shared" si="321"/>
        <v>98751.393462865861</v>
      </c>
      <c r="AK967" s="67"/>
      <c r="AL967" s="67"/>
      <c r="AM967" s="67"/>
      <c r="AN967" s="70" t="s">
        <v>707</v>
      </c>
      <c r="AO967" s="67">
        <f t="shared" si="322"/>
        <v>101312</v>
      </c>
      <c r="AP967" s="67">
        <f t="shared" si="323"/>
        <v>12882</v>
      </c>
      <c r="AQ967" s="67">
        <f t="shared" si="324"/>
        <v>13482</v>
      </c>
      <c r="AR967" s="67">
        <f t="shared" si="325"/>
        <v>22229</v>
      </c>
      <c r="AS967" s="67">
        <f t="shared" si="327"/>
        <v>0</v>
      </c>
      <c r="AT967" s="67">
        <f t="shared" si="326"/>
        <v>149905</v>
      </c>
      <c r="AU967" s="727"/>
      <c r="AW967" s="67">
        <f t="shared" si="315"/>
        <v>16944</v>
      </c>
      <c r="AX967" s="72">
        <v>2.4700000000000002</v>
      </c>
    </row>
    <row r="968" spans="1:50" ht="15.75" customHeight="1" x14ac:dyDescent="0.3">
      <c r="A968" s="139" t="s">
        <v>2843</v>
      </c>
      <c r="B968" s="67">
        <f t="shared" ref="B968:Q968" si="328">(B939/$B$10/1.983)</f>
        <v>1049.1923283392707</v>
      </c>
      <c r="C968" s="67">
        <f t="shared" si="328"/>
        <v>1047.6143998178061</v>
      </c>
      <c r="D968" s="67">
        <f t="shared" si="328"/>
        <v>1046.0527386006866</v>
      </c>
      <c r="E968" s="67">
        <f t="shared" si="328"/>
        <v>1028.7768613862995</v>
      </c>
      <c r="F968" s="67">
        <f t="shared" si="328"/>
        <v>0</v>
      </c>
      <c r="G968" s="67">
        <f t="shared" si="328"/>
        <v>0</v>
      </c>
      <c r="H968" s="67">
        <f t="shared" si="328"/>
        <v>735.49363135034889</v>
      </c>
      <c r="I968" s="67">
        <f t="shared" si="328"/>
        <v>263.74180534543621</v>
      </c>
      <c r="J968" s="67">
        <f t="shared" si="328"/>
        <v>260.91129438940669</v>
      </c>
      <c r="K968" s="67">
        <f t="shared" si="328"/>
        <v>258.53626795503715</v>
      </c>
      <c r="L968" s="67">
        <f t="shared" si="328"/>
        <v>203.73171961674231</v>
      </c>
      <c r="M968" s="67">
        <f t="shared" si="328"/>
        <v>203.40637352984237</v>
      </c>
      <c r="N968" s="67">
        <f t="shared" si="328"/>
        <v>197.06212483529353</v>
      </c>
      <c r="O968" s="67">
        <f t="shared" si="328"/>
        <v>64.093179119288138</v>
      </c>
      <c r="P968" s="67">
        <f t="shared" si="328"/>
        <v>61.897093032713542</v>
      </c>
      <c r="Q968" s="67">
        <f t="shared" si="328"/>
        <v>64.060644510598152</v>
      </c>
      <c r="R968" s="754"/>
      <c r="AC968" s="553" t="s">
        <v>1321</v>
      </c>
      <c r="AD968" s="67">
        <f t="shared" si="316"/>
        <v>5742</v>
      </c>
      <c r="AE968" s="67">
        <f t="shared" si="317"/>
        <v>732</v>
      </c>
      <c r="AF968" s="67">
        <f t="shared" si="318"/>
        <v>768</v>
      </c>
      <c r="AG968" s="67">
        <f t="shared" si="319"/>
        <v>1314</v>
      </c>
      <c r="AH968" s="67">
        <f t="shared" si="320"/>
        <v>1307.7326909618282</v>
      </c>
      <c r="AI968" s="67"/>
      <c r="AJ968" s="67">
        <f t="shared" si="321"/>
        <v>9863.7326909618278</v>
      </c>
      <c r="AK968" s="67"/>
      <c r="AL968" s="67"/>
      <c r="AM968" s="67"/>
      <c r="AN968" s="70" t="s">
        <v>1321</v>
      </c>
      <c r="AO968" s="67">
        <f t="shared" si="322"/>
        <v>148728</v>
      </c>
      <c r="AP968" s="67">
        <f t="shared" si="323"/>
        <v>18915</v>
      </c>
      <c r="AQ968" s="67">
        <f t="shared" si="324"/>
        <v>19801</v>
      </c>
      <c r="AR968" s="67">
        <f t="shared" si="325"/>
        <v>32703</v>
      </c>
      <c r="AS968" s="67">
        <f t="shared" si="327"/>
        <v>0</v>
      </c>
      <c r="AT968" s="67">
        <f t="shared" si="326"/>
        <v>220147</v>
      </c>
      <c r="AU968" s="727"/>
      <c r="AW968" s="67">
        <f t="shared" si="315"/>
        <v>15062</v>
      </c>
      <c r="AX968" s="72">
        <v>2.4700000000000002</v>
      </c>
    </row>
    <row r="969" spans="1:50" ht="15.75" customHeight="1" x14ac:dyDescent="0.3">
      <c r="A969" s="139" t="s">
        <v>2091</v>
      </c>
      <c r="B969" s="67">
        <f t="shared" ref="B969:Q969" si="329">(B940/$C$10/1.983)</f>
        <v>2271.0899791081333</v>
      </c>
      <c r="C969" s="67">
        <f t="shared" si="329"/>
        <v>2268.4244650961746</v>
      </c>
      <c r="D969" s="67">
        <f t="shared" si="329"/>
        <v>2265.8129817736476</v>
      </c>
      <c r="E969" s="67">
        <f t="shared" si="329"/>
        <v>2243.3182047402925</v>
      </c>
      <c r="F969" s="67">
        <f t="shared" si="329"/>
        <v>936.5319501476838</v>
      </c>
      <c r="G969" s="67">
        <f t="shared" si="329"/>
        <v>0</v>
      </c>
      <c r="H969" s="67">
        <f t="shared" si="329"/>
        <v>1013.2014984511202</v>
      </c>
      <c r="I969" s="67">
        <f t="shared" si="329"/>
        <v>422.06973560982635</v>
      </c>
      <c r="J969" s="67">
        <f t="shared" si="329"/>
        <v>417.94539298321445</v>
      </c>
      <c r="K969" s="67">
        <f t="shared" si="329"/>
        <v>406.81507096030543</v>
      </c>
      <c r="L969" s="67">
        <f t="shared" si="329"/>
        <v>329.47914415387942</v>
      </c>
      <c r="M969" s="67">
        <f t="shared" si="329"/>
        <v>329.08291909804768</v>
      </c>
      <c r="N969" s="67">
        <f t="shared" si="329"/>
        <v>317.17815719328576</v>
      </c>
      <c r="O969" s="67">
        <f t="shared" si="329"/>
        <v>65.251062603558822</v>
      </c>
      <c r="P969" s="67">
        <f t="shared" si="329"/>
        <v>68.528924429075715</v>
      </c>
      <c r="Q969" s="67">
        <f t="shared" si="329"/>
        <v>65.197031914127223</v>
      </c>
      <c r="R969" s="754"/>
      <c r="AC969" s="553" t="s">
        <v>1905</v>
      </c>
      <c r="AD969" s="67">
        <f t="shared" si="316"/>
        <v>4785</v>
      </c>
      <c r="AE969" s="67">
        <f t="shared" si="317"/>
        <v>610</v>
      </c>
      <c r="AF969" s="67">
        <f t="shared" si="318"/>
        <v>640</v>
      </c>
      <c r="AG969" s="67">
        <f t="shared" si="319"/>
        <v>1095</v>
      </c>
      <c r="AH969" s="67">
        <f t="shared" si="320"/>
        <v>1084.3492154427054</v>
      </c>
      <c r="AI969" s="67"/>
      <c r="AJ969" s="67">
        <f t="shared" si="321"/>
        <v>8214.3492154427058</v>
      </c>
      <c r="AK969" s="67"/>
      <c r="AL969" s="67"/>
      <c r="AM969" s="67"/>
      <c r="AN969" s="70" t="s">
        <v>1905</v>
      </c>
      <c r="AO969" s="67">
        <f t="shared" si="322"/>
        <v>156536</v>
      </c>
      <c r="AP969" s="67">
        <f t="shared" si="323"/>
        <v>19904</v>
      </c>
      <c r="AQ969" s="67">
        <f t="shared" si="324"/>
        <v>20831</v>
      </c>
      <c r="AR969" s="67">
        <f t="shared" si="325"/>
        <v>34163</v>
      </c>
      <c r="AS969" s="67">
        <f t="shared" si="327"/>
        <v>0</v>
      </c>
      <c r="AT969" s="67">
        <f t="shared" si="326"/>
        <v>231434</v>
      </c>
      <c r="AU969" s="727"/>
      <c r="AW969" s="67">
        <f t="shared" si="315"/>
        <v>9654</v>
      </c>
      <c r="AX969" s="72">
        <v>2.4700000000000002</v>
      </c>
    </row>
    <row r="970" spans="1:50" ht="15.75" customHeight="1" x14ac:dyDescent="0.3">
      <c r="A970" s="139" t="s">
        <v>2234</v>
      </c>
      <c r="B970" s="67">
        <f t="shared" ref="B970:Q970" si="330">(B941/$D$10/1.983)</f>
        <v>2698.1601678785805</v>
      </c>
      <c r="C970" s="67">
        <f t="shared" si="330"/>
        <v>2693.7029264880516</v>
      </c>
      <c r="D970" s="67">
        <f t="shared" si="330"/>
        <v>2689.4571600540071</v>
      </c>
      <c r="E970" s="67">
        <f t="shared" si="330"/>
        <v>2627.2021863257041</v>
      </c>
      <c r="F970" s="67">
        <f t="shared" si="330"/>
        <v>976.03826069981938</v>
      </c>
      <c r="G970" s="67">
        <f t="shared" si="330"/>
        <v>0</v>
      </c>
      <c r="H970" s="67">
        <f t="shared" si="330"/>
        <v>1362.028858197908</v>
      </c>
      <c r="I970" s="67">
        <f t="shared" si="330"/>
        <v>530.63946773380178</v>
      </c>
      <c r="J970" s="67">
        <f t="shared" si="330"/>
        <v>472.5489239178176</v>
      </c>
      <c r="K970" s="67">
        <f t="shared" si="330"/>
        <v>429.99365575130543</v>
      </c>
      <c r="L970" s="67">
        <f t="shared" si="330"/>
        <v>328.90862655149414</v>
      </c>
      <c r="M970" s="67">
        <f t="shared" si="330"/>
        <v>328.45314202983423</v>
      </c>
      <c r="N970" s="67">
        <f t="shared" si="330"/>
        <v>312.44611455435722</v>
      </c>
      <c r="O970" s="67">
        <f t="shared" si="330"/>
        <v>60.872252858978733</v>
      </c>
      <c r="P970" s="67">
        <f t="shared" si="330"/>
        <v>77.383566769150676</v>
      </c>
      <c r="Q970" s="67">
        <f t="shared" si="330"/>
        <v>60.790916337253748</v>
      </c>
      <c r="R970" s="754"/>
      <c r="AC970" s="553" t="s">
        <v>1906</v>
      </c>
      <c r="AD970" s="67">
        <f t="shared" si="316"/>
        <v>0</v>
      </c>
      <c r="AE970" s="67">
        <f t="shared" si="317"/>
        <v>0</v>
      </c>
      <c r="AF970" s="67">
        <f t="shared" si="318"/>
        <v>0</v>
      </c>
      <c r="AG970" s="67">
        <f t="shared" si="319"/>
        <v>0</v>
      </c>
      <c r="AH970" s="67">
        <f t="shared" si="320"/>
        <v>0</v>
      </c>
      <c r="AI970" s="67"/>
      <c r="AJ970" s="67">
        <f t="shared" si="321"/>
        <v>0</v>
      </c>
      <c r="AK970" s="67"/>
      <c r="AL970" s="67"/>
      <c r="AM970" s="67"/>
      <c r="AN970" s="70" t="s">
        <v>1906</v>
      </c>
      <c r="AO970" s="67">
        <f t="shared" si="322"/>
        <v>92033</v>
      </c>
      <c r="AP970" s="67">
        <f t="shared" si="323"/>
        <v>11682</v>
      </c>
      <c r="AQ970" s="67">
        <f t="shared" si="324"/>
        <v>12205</v>
      </c>
      <c r="AR970" s="67">
        <f t="shared" si="325"/>
        <v>19353</v>
      </c>
      <c r="AS970" s="67">
        <f t="shared" si="327"/>
        <v>0</v>
      </c>
      <c r="AT970" s="67">
        <f t="shared" si="326"/>
        <v>135273</v>
      </c>
      <c r="AU970" s="727"/>
      <c r="AW970" s="67">
        <f t="shared" si="315"/>
        <v>4596</v>
      </c>
      <c r="AX970" s="72">
        <v>2.4700000000000002</v>
      </c>
    </row>
    <row r="971" spans="1:50" ht="15.75" customHeight="1" x14ac:dyDescent="0.3">
      <c r="A971" s="139" t="s">
        <v>2235</v>
      </c>
      <c r="B971" s="67">
        <f t="shared" ref="B971:Q971" si="331">(B942/$F$10/1.983)</f>
        <v>2713.245923684653</v>
      </c>
      <c r="C971" s="67">
        <f t="shared" si="331"/>
        <v>2707.0768196335516</v>
      </c>
      <c r="D971" s="67">
        <f t="shared" si="331"/>
        <v>2701.1934778954442</v>
      </c>
      <c r="E971" s="67">
        <f t="shared" si="331"/>
        <v>2611.0102538241717</v>
      </c>
      <c r="F971" s="67">
        <f t="shared" si="331"/>
        <v>100.85728693898133</v>
      </c>
      <c r="G971" s="67">
        <f t="shared" si="331"/>
        <v>0</v>
      </c>
      <c r="H971" s="67">
        <f t="shared" si="331"/>
        <v>1866.9020003361909</v>
      </c>
      <c r="I971" s="67">
        <f t="shared" si="331"/>
        <v>711.1951588502269</v>
      </c>
      <c r="J971" s="67">
        <f t="shared" si="331"/>
        <v>516.30526138846869</v>
      </c>
      <c r="K971" s="67">
        <f t="shared" si="331"/>
        <v>446.59606656580939</v>
      </c>
      <c r="L971" s="67">
        <f t="shared" si="331"/>
        <v>354.17717263405615</v>
      </c>
      <c r="M971" s="67">
        <f t="shared" si="331"/>
        <v>353.55521936459911</v>
      </c>
      <c r="N971" s="67">
        <f t="shared" si="331"/>
        <v>333.58547655068077</v>
      </c>
      <c r="O971" s="67">
        <f t="shared" si="331"/>
        <v>71.020339552866034</v>
      </c>
      <c r="P971" s="67">
        <f t="shared" si="331"/>
        <v>95.948898974617592</v>
      </c>
      <c r="Q971" s="67">
        <f t="shared" si="331"/>
        <v>70.902672718103872</v>
      </c>
      <c r="R971" s="754"/>
      <c r="AC971" s="553" t="s">
        <v>1907</v>
      </c>
      <c r="AD971" s="67">
        <f t="shared" si="316"/>
        <v>0</v>
      </c>
      <c r="AE971" s="67">
        <f t="shared" si="317"/>
        <v>0</v>
      </c>
      <c r="AF971" s="67">
        <f t="shared" si="318"/>
        <v>0</v>
      </c>
      <c r="AG971" s="67">
        <f t="shared" si="319"/>
        <v>0</v>
      </c>
      <c r="AH971" s="67">
        <f t="shared" si="320"/>
        <v>0</v>
      </c>
      <c r="AI971" s="67"/>
      <c r="AJ971" s="67">
        <f t="shared" si="321"/>
        <v>0</v>
      </c>
      <c r="AK971" s="67"/>
      <c r="AL971" s="67"/>
      <c r="AM971" s="67"/>
      <c r="AN971" s="70" t="s">
        <v>1907</v>
      </c>
      <c r="AO971" s="67">
        <f t="shared" si="322"/>
        <v>49375</v>
      </c>
      <c r="AP971" s="67">
        <f t="shared" si="323"/>
        <v>6244</v>
      </c>
      <c r="AQ971" s="67">
        <f t="shared" si="324"/>
        <v>6500</v>
      </c>
      <c r="AR971" s="67">
        <f t="shared" si="325"/>
        <v>9617</v>
      </c>
      <c r="AS971" s="67">
        <f t="shared" si="327"/>
        <v>0</v>
      </c>
      <c r="AT971" s="67">
        <f t="shared" si="326"/>
        <v>71736</v>
      </c>
      <c r="AU971" s="727"/>
      <c r="AW971" s="67">
        <f t="shared" si="315"/>
        <v>3400</v>
      </c>
      <c r="AX971" s="72">
        <v>2.4700000000000002</v>
      </c>
    </row>
    <row r="972" spans="1:50" ht="15.75" customHeight="1" x14ac:dyDescent="0.3">
      <c r="A972" s="139" t="s">
        <v>2236</v>
      </c>
      <c r="B972" s="67">
        <f t="shared" ref="B972:Q972" si="332">(B943/$G$10/1.983)</f>
        <v>2742.1794934361428</v>
      </c>
      <c r="C972" s="67">
        <f t="shared" si="332"/>
        <v>2735.2658890895186</v>
      </c>
      <c r="D972" s="67">
        <f t="shared" si="332"/>
        <v>2728.7264327428302</v>
      </c>
      <c r="E972" s="67">
        <f t="shared" si="332"/>
        <v>2618.9546630227901</v>
      </c>
      <c r="F972" s="67">
        <f t="shared" si="332"/>
        <v>81.336521724984948</v>
      </c>
      <c r="G972" s="67">
        <f>(G943/$G$10/1.983)</f>
        <v>0</v>
      </c>
      <c r="H972" s="67">
        <f t="shared" si="332"/>
        <v>1686.4477087501828</v>
      </c>
      <c r="I972" s="67">
        <f t="shared" si="332"/>
        <v>589.07162494103102</v>
      </c>
      <c r="J972" s="67">
        <f t="shared" si="332"/>
        <v>495.84370373985325</v>
      </c>
      <c r="K972" s="67">
        <f t="shared" si="332"/>
        <v>459.76282270264994</v>
      </c>
      <c r="L972" s="67">
        <f t="shared" si="332"/>
        <v>364.98950758869745</v>
      </c>
      <c r="M972" s="67">
        <f t="shared" si="332"/>
        <v>364.30628080620755</v>
      </c>
      <c r="N972" s="67">
        <f t="shared" si="332"/>
        <v>342.00380654921673</v>
      </c>
      <c r="O972" s="67">
        <f t="shared" si="332"/>
        <v>79.351910594895315</v>
      </c>
      <c r="P972" s="67">
        <f t="shared" si="332"/>
        <v>108.32397963333496</v>
      </c>
      <c r="Q972" s="67">
        <f t="shared" si="332"/>
        <v>79.221772160135345</v>
      </c>
      <c r="R972" s="754"/>
      <c r="AC972" s="553" t="s">
        <v>1908</v>
      </c>
      <c r="AD972" s="67">
        <f t="shared" si="316"/>
        <v>0</v>
      </c>
      <c r="AE972" s="67">
        <f t="shared" si="317"/>
        <v>0</v>
      </c>
      <c r="AF972" s="67">
        <f t="shared" si="318"/>
        <v>0</v>
      </c>
      <c r="AG972" s="67">
        <f t="shared" si="319"/>
        <v>0</v>
      </c>
      <c r="AH972" s="67">
        <f t="shared" si="320"/>
        <v>0</v>
      </c>
      <c r="AI972" s="67"/>
      <c r="AJ972" s="67">
        <f t="shared" si="321"/>
        <v>0</v>
      </c>
      <c r="AK972" s="67"/>
      <c r="AL972" s="67"/>
      <c r="AM972" s="67"/>
      <c r="AN972" s="70" t="s">
        <v>1908</v>
      </c>
      <c r="AO972" s="67">
        <f t="shared" si="322"/>
        <v>49367</v>
      </c>
      <c r="AP972" s="67">
        <f t="shared" si="323"/>
        <v>6253</v>
      </c>
      <c r="AQ972" s="67">
        <f t="shared" si="324"/>
        <v>6519</v>
      </c>
      <c r="AR972" s="67">
        <f t="shared" si="325"/>
        <v>9916</v>
      </c>
      <c r="AS972" s="67">
        <f t="shared" si="327"/>
        <v>0</v>
      </c>
      <c r="AT972" s="67">
        <f t="shared" si="326"/>
        <v>72055</v>
      </c>
      <c r="AU972" s="727"/>
      <c r="AW972" s="67"/>
      <c r="AX972" s="72"/>
    </row>
    <row r="973" spans="1:50" ht="15.75" customHeight="1" x14ac:dyDescent="0.3">
      <c r="A973" s="139" t="s">
        <v>2237</v>
      </c>
      <c r="B973" s="67">
        <f t="shared" ref="B973:Q973" si="333">(B944/$H$10/1.983)</f>
        <v>1616.5405950579927</v>
      </c>
      <c r="C973" s="67">
        <f t="shared" si="333"/>
        <v>1609.5310136157336</v>
      </c>
      <c r="D973" s="67">
        <f t="shared" si="333"/>
        <v>1602.874432677761</v>
      </c>
      <c r="E973" s="67">
        <f t="shared" si="333"/>
        <v>1485.4597411329635</v>
      </c>
      <c r="F973" s="67">
        <f t="shared" si="333"/>
        <v>0</v>
      </c>
      <c r="G973" s="67">
        <f t="shared" si="333"/>
        <v>-1865.8598083711547</v>
      </c>
      <c r="H973" s="67">
        <f t="shared" si="333"/>
        <v>2414.220877458396</v>
      </c>
      <c r="I973" s="67">
        <f t="shared" si="333"/>
        <v>760.81694402420578</v>
      </c>
      <c r="J973" s="67">
        <f t="shared" si="333"/>
        <v>558.17784501596896</v>
      </c>
      <c r="K973" s="67">
        <f t="shared" si="333"/>
        <v>451.28593040847198</v>
      </c>
      <c r="L973" s="67">
        <f t="shared" si="333"/>
        <v>355.42107917297022</v>
      </c>
      <c r="M973" s="67">
        <f t="shared" si="333"/>
        <v>354.68145906875105</v>
      </c>
      <c r="N973" s="67">
        <f t="shared" si="333"/>
        <v>325.73541771726337</v>
      </c>
      <c r="O973" s="67">
        <f t="shared" si="333"/>
        <v>78.58463607328963</v>
      </c>
      <c r="P973" s="67">
        <f t="shared" si="333"/>
        <v>115.14540258867036</v>
      </c>
      <c r="Q973" s="67">
        <f t="shared" si="333"/>
        <v>78.433350142881153</v>
      </c>
      <c r="R973" s="754"/>
      <c r="AC973" s="553" t="s">
        <v>2352</v>
      </c>
      <c r="AD973" s="67">
        <f t="shared" si="316"/>
        <v>16269</v>
      </c>
      <c r="AE973" s="67">
        <f t="shared" si="317"/>
        <v>2074</v>
      </c>
      <c r="AF973" s="67">
        <f t="shared" si="318"/>
        <v>2176</v>
      </c>
      <c r="AG973" s="67">
        <f t="shared" si="319"/>
        <v>3723</v>
      </c>
      <c r="AH973" s="67">
        <f t="shared" si="320"/>
        <v>2692.9723765234103</v>
      </c>
      <c r="AI973" s="67"/>
      <c r="AJ973" s="67">
        <f t="shared" si="321"/>
        <v>26934.972376523408</v>
      </c>
      <c r="AK973" s="67"/>
      <c r="AL973" s="67"/>
      <c r="AM973" s="67"/>
      <c r="AN973" s="70" t="s">
        <v>2352</v>
      </c>
      <c r="AO973" s="67">
        <f t="shared" si="322"/>
        <v>109599</v>
      </c>
      <c r="AP973" s="67">
        <f t="shared" si="323"/>
        <v>13933</v>
      </c>
      <c r="AQ973" s="67">
        <f t="shared" si="324"/>
        <v>14580</v>
      </c>
      <c r="AR973" s="67">
        <f t="shared" si="325"/>
        <v>24034</v>
      </c>
      <c r="AS973" s="67">
        <f t="shared" si="327"/>
        <v>0</v>
      </c>
      <c r="AT973" s="67">
        <f t="shared" si="326"/>
        <v>162146</v>
      </c>
      <c r="AU973" s="727"/>
      <c r="AW973" s="67">
        <f>(SUM(AW960:AW971))</f>
        <v>142666</v>
      </c>
      <c r="AX973" s="72"/>
    </row>
    <row r="974" spans="1:50" ht="15.75" customHeight="1" x14ac:dyDescent="0.3">
      <c r="A974" s="139" t="s">
        <v>1504</v>
      </c>
      <c r="B974" s="67">
        <f t="shared" ref="B974:Q974" si="334">(B945/$J$10/1.983)</f>
        <v>839.27903307142969</v>
      </c>
      <c r="C974" s="67">
        <f t="shared" si="334"/>
        <v>832.51183446391087</v>
      </c>
      <c r="D974" s="67">
        <f t="shared" si="334"/>
        <v>826.10251655198215</v>
      </c>
      <c r="E974" s="67">
        <f t="shared" si="334"/>
        <v>714.36240300619772</v>
      </c>
      <c r="F974" s="67">
        <f t="shared" si="334"/>
        <v>0</v>
      </c>
      <c r="G974" s="67">
        <f t="shared" si="334"/>
        <v>-1952.0765213996388</v>
      </c>
      <c r="H974" s="67">
        <f t="shared" si="334"/>
        <v>1852.2766092430822</v>
      </c>
      <c r="I974" s="67">
        <f t="shared" si="334"/>
        <v>734.95681030696403</v>
      </c>
      <c r="J974" s="67">
        <f t="shared" si="334"/>
        <v>509.60584321572065</v>
      </c>
      <c r="K974" s="67">
        <f t="shared" si="334"/>
        <v>429.22909244709058</v>
      </c>
      <c r="L974" s="67">
        <f t="shared" si="334"/>
        <v>344.54150602703623</v>
      </c>
      <c r="M974" s="67">
        <f t="shared" si="334"/>
        <v>343.90708115758139</v>
      </c>
      <c r="N974" s="67">
        <f t="shared" si="334"/>
        <v>306.18320238153331</v>
      </c>
      <c r="O974" s="67">
        <f t="shared" si="334"/>
        <v>58.968978250614086</v>
      </c>
      <c r="P974" s="67">
        <f t="shared" si="334"/>
        <v>100.59701006946138</v>
      </c>
      <c r="Q974" s="67">
        <f t="shared" si="334"/>
        <v>58.855107120199108</v>
      </c>
      <c r="R974" s="754"/>
      <c r="AC974" s="553" t="s">
        <v>2353</v>
      </c>
      <c r="AD974" s="67">
        <f t="shared" si="316"/>
        <v>63162</v>
      </c>
      <c r="AE974" s="67">
        <f t="shared" si="317"/>
        <v>8052</v>
      </c>
      <c r="AF974" s="67">
        <f t="shared" si="318"/>
        <v>8448</v>
      </c>
      <c r="AG974" s="67">
        <f t="shared" si="319"/>
        <v>14454</v>
      </c>
      <c r="AH974" s="67">
        <f t="shared" si="320"/>
        <v>11218.651217860212</v>
      </c>
      <c r="AI974" s="67"/>
      <c r="AJ974" s="67">
        <f t="shared" si="321"/>
        <v>105334.65121786021</v>
      </c>
      <c r="AK974" s="67"/>
      <c r="AL974" s="67"/>
      <c r="AM974" s="67"/>
      <c r="AN974" s="70" t="s">
        <v>2353</v>
      </c>
      <c r="AO974" s="67">
        <f t="shared" si="322"/>
        <v>90490</v>
      </c>
      <c r="AP974" s="67">
        <f t="shared" si="323"/>
        <v>11501</v>
      </c>
      <c r="AQ974" s="67">
        <f t="shared" si="324"/>
        <v>12032</v>
      </c>
      <c r="AR974" s="67">
        <f t="shared" si="325"/>
        <v>19987</v>
      </c>
      <c r="AS974" s="67">
        <f t="shared" si="327"/>
        <v>0</v>
      </c>
      <c r="AT974" s="67">
        <f t="shared" si="326"/>
        <v>134010</v>
      </c>
      <c r="AU974" s="727"/>
    </row>
    <row r="975" spans="1:50" ht="15.75" customHeight="1" x14ac:dyDescent="0.3">
      <c r="A975" s="139" t="s">
        <v>1505</v>
      </c>
      <c r="B975" s="67">
        <f t="shared" ref="B975:Q975" si="335">(B946/$K$10/1.983)</f>
        <v>839.14889463666975</v>
      </c>
      <c r="C975" s="67">
        <f t="shared" si="335"/>
        <v>833.71561498544077</v>
      </c>
      <c r="D975" s="67">
        <f t="shared" si="335"/>
        <v>828.54261220373166</v>
      </c>
      <c r="E975" s="67">
        <f t="shared" si="335"/>
        <v>736.58354074146371</v>
      </c>
      <c r="F975" s="67">
        <f t="shared" si="335"/>
        <v>0</v>
      </c>
      <c r="G975" s="67">
        <f t="shared" si="335"/>
        <v>-1675.53234753469</v>
      </c>
      <c r="H975" s="67">
        <f t="shared" si="335"/>
        <v>1642.249442844826</v>
      </c>
      <c r="I975" s="67">
        <f t="shared" si="335"/>
        <v>720.96692857026665</v>
      </c>
      <c r="J975" s="67">
        <f t="shared" si="335"/>
        <v>528.94766808192219</v>
      </c>
      <c r="K975" s="67">
        <f t="shared" si="335"/>
        <v>455.14290826867074</v>
      </c>
      <c r="L975" s="67">
        <f t="shared" si="335"/>
        <v>383.11128462902411</v>
      </c>
      <c r="M975" s="67">
        <f t="shared" si="335"/>
        <v>382.5256616726042</v>
      </c>
      <c r="N975" s="67">
        <f t="shared" si="335"/>
        <v>352.96796967774463</v>
      </c>
      <c r="O975" s="67">
        <f t="shared" si="335"/>
        <v>113.12283441510907</v>
      </c>
      <c r="P975" s="67">
        <f t="shared" si="335"/>
        <v>92.853773201242817</v>
      </c>
      <c r="Q975" s="67">
        <f t="shared" si="335"/>
        <v>113.02523058903908</v>
      </c>
      <c r="R975" s="754"/>
      <c r="AC975" s="553" t="s">
        <v>2354</v>
      </c>
      <c r="AD975" s="67">
        <f t="shared" si="316"/>
        <v>70818</v>
      </c>
      <c r="AE975" s="67">
        <f t="shared" si="317"/>
        <v>9028</v>
      </c>
      <c r="AF975" s="67">
        <f t="shared" si="318"/>
        <v>9472</v>
      </c>
      <c r="AG975" s="67">
        <f t="shared" si="319"/>
        <v>16206</v>
      </c>
      <c r="AH975" s="67">
        <f t="shared" si="320"/>
        <v>13653.182463670382</v>
      </c>
      <c r="AI975" s="67"/>
      <c r="AJ975" s="67">
        <f t="shared" si="321"/>
        <v>119177.18246367038</v>
      </c>
      <c r="AK975" s="67"/>
      <c r="AL975" s="67"/>
      <c r="AM975" s="67"/>
      <c r="AN975" s="70" t="s">
        <v>2354</v>
      </c>
      <c r="AO975" s="67">
        <f t="shared" si="322"/>
        <v>64900</v>
      </c>
      <c r="AP975" s="67">
        <f t="shared" si="323"/>
        <v>8245</v>
      </c>
      <c r="AQ975" s="67">
        <f t="shared" si="324"/>
        <v>8621</v>
      </c>
      <c r="AR975" s="67">
        <f t="shared" si="325"/>
        <v>14467</v>
      </c>
      <c r="AS975" s="67">
        <f t="shared" si="327"/>
        <v>0</v>
      </c>
      <c r="AT975" s="67">
        <f t="shared" si="326"/>
        <v>96233</v>
      </c>
      <c r="AU975" s="727"/>
    </row>
    <row r="976" spans="1:50" ht="15.75" customHeight="1" x14ac:dyDescent="0.3">
      <c r="A976" s="139" t="s">
        <v>1506</v>
      </c>
      <c r="B976" s="67">
        <f t="shared" ref="B976:Q976" si="336">(B947/$L$10/1.983)</f>
        <v>2210.8421583459408</v>
      </c>
      <c r="C976" s="67">
        <f t="shared" si="336"/>
        <v>2205.5303412338208</v>
      </c>
      <c r="D976" s="67">
        <f t="shared" si="336"/>
        <v>2200.4706673390488</v>
      </c>
      <c r="E976" s="67">
        <f t="shared" si="336"/>
        <v>2130.5261388468648</v>
      </c>
      <c r="F976" s="67">
        <f t="shared" si="336"/>
        <v>285.76231299378043</v>
      </c>
      <c r="G976" s="67">
        <f t="shared" si="336"/>
        <v>0</v>
      </c>
      <c r="H976" s="67">
        <f t="shared" si="336"/>
        <v>1158.480416876786</v>
      </c>
      <c r="I976" s="67">
        <f t="shared" si="336"/>
        <v>449.03345100016804</v>
      </c>
      <c r="J976" s="67">
        <f t="shared" si="336"/>
        <v>426.84484787359213</v>
      </c>
      <c r="K976" s="67">
        <f t="shared" si="336"/>
        <v>393.56194318372832</v>
      </c>
      <c r="L976" s="67">
        <f t="shared" si="336"/>
        <v>361.64061186754077</v>
      </c>
      <c r="M976" s="67">
        <f t="shared" si="336"/>
        <v>361.06908724155318</v>
      </c>
      <c r="N976" s="67">
        <f t="shared" si="336"/>
        <v>337.24995797613042</v>
      </c>
      <c r="O976" s="67">
        <f t="shared" si="336"/>
        <v>94.13346780971591</v>
      </c>
      <c r="P976" s="67">
        <f t="shared" si="336"/>
        <v>87.947554210791722</v>
      </c>
      <c r="Q976" s="67">
        <f t="shared" si="336"/>
        <v>94.032610522776935</v>
      </c>
      <c r="R976" s="754"/>
      <c r="AC976" s="553" t="s">
        <v>2355</v>
      </c>
      <c r="AD976" s="67">
        <f t="shared" si="316"/>
        <v>47850</v>
      </c>
      <c r="AE976" s="67">
        <f t="shared" si="317"/>
        <v>6100</v>
      </c>
      <c r="AF976" s="67">
        <f t="shared" si="318"/>
        <v>6400</v>
      </c>
      <c r="AG976" s="67">
        <f t="shared" si="319"/>
        <v>10950</v>
      </c>
      <c r="AH976" s="67">
        <f t="shared" si="320"/>
        <v>9647.7376660342252</v>
      </c>
      <c r="AI976" s="67"/>
      <c r="AJ976" s="67">
        <f t="shared" si="321"/>
        <v>80947.737666034227</v>
      </c>
      <c r="AK976" s="67"/>
      <c r="AL976" s="67"/>
      <c r="AM976" s="67"/>
      <c r="AN976" s="70" t="s">
        <v>2355</v>
      </c>
      <c r="AO976" s="67">
        <f t="shared" si="322"/>
        <v>47085</v>
      </c>
      <c r="AP976" s="67">
        <f t="shared" si="323"/>
        <v>5980</v>
      </c>
      <c r="AQ976" s="67">
        <f t="shared" si="324"/>
        <v>6251</v>
      </c>
      <c r="AR976" s="67">
        <f t="shared" si="325"/>
        <v>10452</v>
      </c>
      <c r="AS976" s="67">
        <f t="shared" si="327"/>
        <v>0</v>
      </c>
      <c r="AT976" s="67">
        <f t="shared" si="326"/>
        <v>69768</v>
      </c>
      <c r="AU976" s="727"/>
    </row>
    <row r="977" spans="1:47" ht="15.75" customHeight="1" x14ac:dyDescent="0.3">
      <c r="A977" s="139" t="s">
        <v>1507</v>
      </c>
      <c r="B977" s="67">
        <f t="shared" ref="B977:Q977" si="337">(B948/$N$10/1.983)</f>
        <v>2611.8133164153364</v>
      </c>
      <c r="C977" s="67">
        <f t="shared" si="337"/>
        <v>2607.1771346770124</v>
      </c>
      <c r="D977" s="67">
        <f t="shared" si="337"/>
        <v>2602.7524278951732</v>
      </c>
      <c r="E977" s="67">
        <f t="shared" si="337"/>
        <v>2558.2938851202966</v>
      </c>
      <c r="F977" s="67">
        <f t="shared" si="337"/>
        <v>1073.6420867698014</v>
      </c>
      <c r="G977" s="67">
        <f t="shared" si="337"/>
        <v>0</v>
      </c>
      <c r="H977" s="67">
        <f t="shared" si="337"/>
        <v>849.59250402615783</v>
      </c>
      <c r="I977" s="67">
        <f t="shared" si="337"/>
        <v>266.03549525808074</v>
      </c>
      <c r="J977" s="67">
        <f t="shared" si="337"/>
        <v>245.34348413124459</v>
      </c>
      <c r="K977" s="67">
        <f t="shared" si="337"/>
        <v>224.61893839571843</v>
      </c>
      <c r="L977" s="67">
        <f t="shared" si="337"/>
        <v>201.99111805182764</v>
      </c>
      <c r="M977" s="67">
        <f t="shared" si="337"/>
        <v>201.51936622582272</v>
      </c>
      <c r="N977" s="67">
        <f t="shared" si="337"/>
        <v>191.53124135799456</v>
      </c>
      <c r="O977" s="67">
        <f t="shared" si="337"/>
        <v>60.790916337253748</v>
      </c>
      <c r="P977" s="67">
        <f t="shared" si="337"/>
        <v>77.383566769150676</v>
      </c>
      <c r="Q977" s="67">
        <f t="shared" si="337"/>
        <v>60.70957981552877</v>
      </c>
      <c r="R977" s="754"/>
      <c r="AC977" s="551"/>
      <c r="AD977" s="67"/>
      <c r="AE977" s="67"/>
      <c r="AF977" s="67"/>
      <c r="AG977" s="67"/>
      <c r="AH977" s="67"/>
      <c r="AI977" s="67"/>
      <c r="AJ977" s="67"/>
      <c r="AK977" s="67"/>
      <c r="AL977" s="67"/>
      <c r="AM977" s="67"/>
      <c r="AN977" s="67"/>
      <c r="AO977" s="67"/>
      <c r="AP977" s="67"/>
      <c r="AQ977" s="67"/>
      <c r="AR977" s="67"/>
      <c r="AS977" s="67"/>
      <c r="AT977" s="67"/>
      <c r="AU977" s="727"/>
    </row>
    <row r="978" spans="1:47" ht="15.75" customHeight="1" thickBot="1" x14ac:dyDescent="0.35">
      <c r="A978" s="139" t="s">
        <v>1508</v>
      </c>
      <c r="B978" s="67">
        <f t="shared" ref="B978:Q978" si="338">(B949/$O$10/1.983)</f>
        <v>2383.8628340897626</v>
      </c>
      <c r="C978" s="67">
        <f t="shared" si="338"/>
        <v>2379.9125903513195</v>
      </c>
      <c r="D978" s="67">
        <f t="shared" si="338"/>
        <v>2376.1136325432844</v>
      </c>
      <c r="E978" s="67">
        <f t="shared" si="338"/>
        <v>2354.3452681122876</v>
      </c>
      <c r="F978" s="67">
        <f t="shared" si="338"/>
        <v>1243.9065389141031</v>
      </c>
      <c r="G978" s="67">
        <f t="shared" si="338"/>
        <v>0</v>
      </c>
      <c r="H978" s="67">
        <f t="shared" si="338"/>
        <v>588.75441250630354</v>
      </c>
      <c r="I978" s="67">
        <f t="shared" si="338"/>
        <v>95.848041687678588</v>
      </c>
      <c r="J978" s="67">
        <f t="shared" si="338"/>
        <v>81.173306438056812</v>
      </c>
      <c r="K978" s="67">
        <f t="shared" si="338"/>
        <v>78.85358883846024</v>
      </c>
      <c r="L978" s="67">
        <f t="shared" si="338"/>
        <v>52.428979660447133</v>
      </c>
      <c r="M978" s="67">
        <f t="shared" si="338"/>
        <v>52.042360060514369</v>
      </c>
      <c r="N978" s="67">
        <f t="shared" si="338"/>
        <v>50.176500252143214</v>
      </c>
      <c r="O978" s="67">
        <f t="shared" si="338"/>
        <v>45.133635905194147</v>
      </c>
      <c r="P978" s="67">
        <f t="shared" si="338"/>
        <v>71.961674230963183</v>
      </c>
      <c r="Q978" s="67">
        <f t="shared" si="338"/>
        <v>45.08320726172466</v>
      </c>
      <c r="R978" s="754"/>
      <c r="AC978" s="558" t="s">
        <v>2356</v>
      </c>
      <c r="AD978" s="555">
        <f>SUM(AD965:AD976)</f>
        <v>315810</v>
      </c>
      <c r="AE978" s="555">
        <f>SUM(AE965:AE976)</f>
        <v>40260</v>
      </c>
      <c r="AF978" s="555">
        <f>SUM(AF965:AF976)</f>
        <v>42240</v>
      </c>
      <c r="AG978" s="555">
        <f>SUM(AG965:AG976)</f>
        <v>72270</v>
      </c>
      <c r="AH978" s="555">
        <f>SUM(AH965:AH976)</f>
        <v>64026.302810529443</v>
      </c>
      <c r="AI978" s="555"/>
      <c r="AJ978" s="555">
        <f>SUM(AJ965:AJ976)</f>
        <v>534606.30281052948</v>
      </c>
      <c r="AK978" s="555"/>
      <c r="AL978" s="555"/>
      <c r="AM978" s="555"/>
      <c r="AN978" s="564" t="s">
        <v>2356</v>
      </c>
      <c r="AO978" s="555">
        <f t="shared" ref="AO978:AT978" si="339">SUM(AO965:AO976)</f>
        <v>1042063</v>
      </c>
      <c r="AP978" s="555">
        <f t="shared" si="339"/>
        <v>132418</v>
      </c>
      <c r="AQ978" s="555">
        <f t="shared" si="339"/>
        <v>138500</v>
      </c>
      <c r="AR978" s="555">
        <f t="shared" si="339"/>
        <v>226661</v>
      </c>
      <c r="AS978" s="555">
        <f t="shared" si="339"/>
        <v>0</v>
      </c>
      <c r="AT978" s="555">
        <f t="shared" si="339"/>
        <v>1539642</v>
      </c>
      <c r="AU978" s="565"/>
    </row>
    <row r="979" spans="1:47" ht="15.75" customHeight="1" thickBot="1" x14ac:dyDescent="0.35">
      <c r="A979" s="645" t="s">
        <v>1509</v>
      </c>
      <c r="B979" s="555">
        <f t="shared" ref="B979:Q979" si="340">(B950/$P$10/1.983)</f>
        <v>1613.7328583280464</v>
      </c>
      <c r="C979" s="555">
        <f t="shared" si="340"/>
        <v>1610.707139719877</v>
      </c>
      <c r="D979" s="555">
        <f t="shared" si="340"/>
        <v>1607.7952922421225</v>
      </c>
      <c r="E979" s="555">
        <f t="shared" si="340"/>
        <v>1589.7385844191758</v>
      </c>
      <c r="F979" s="555">
        <f t="shared" si="340"/>
        <v>813.36521724984948</v>
      </c>
      <c r="G979" s="555">
        <f t="shared" si="340"/>
        <v>0</v>
      </c>
      <c r="H979" s="555">
        <f t="shared" si="340"/>
        <v>346.73759211361084</v>
      </c>
      <c r="I979" s="555">
        <f t="shared" si="340"/>
        <v>59.082849381029064</v>
      </c>
      <c r="J979" s="555">
        <f t="shared" si="340"/>
        <v>49.094724513200916</v>
      </c>
      <c r="K979" s="555">
        <f t="shared" si="340"/>
        <v>47.50052868739121</v>
      </c>
      <c r="L979" s="555">
        <f t="shared" si="340"/>
        <v>46.882371122281327</v>
      </c>
      <c r="M979" s="555">
        <f t="shared" si="340"/>
        <v>46.573292339726386</v>
      </c>
      <c r="N979" s="555">
        <f t="shared" si="340"/>
        <v>38.293234428122915</v>
      </c>
      <c r="O979" s="555">
        <f t="shared" si="340"/>
        <v>22.660354952580807</v>
      </c>
      <c r="P979" s="555">
        <f t="shared" si="340"/>
        <v>61.897093032713542</v>
      </c>
      <c r="Q979" s="555">
        <f t="shared" si="340"/>
        <v>22.627820343890811</v>
      </c>
      <c r="R979" s="556"/>
    </row>
    <row r="980" spans="1:47" ht="15.75" customHeight="1" x14ac:dyDescent="0.3">
      <c r="R980" s="701"/>
      <c r="AC980" s="704"/>
      <c r="AD980" s="821" t="s">
        <v>2922</v>
      </c>
      <c r="AE980" s="823"/>
      <c r="AF980" s="823"/>
      <c r="AG980" s="823"/>
      <c r="AH980" s="823"/>
      <c r="AI980" s="823"/>
      <c r="AJ980" s="823"/>
      <c r="AK980" s="823"/>
      <c r="AL980" s="823"/>
      <c r="AM980" s="823"/>
      <c r="AN980" s="823"/>
      <c r="AO980" s="823"/>
      <c r="AP980" s="823"/>
      <c r="AQ980" s="823"/>
      <c r="AR980" s="752" t="str">
        <f>$Q$1</f>
        <v xml:space="preserve">PRINTED:  </v>
      </c>
      <c r="AS980" s="757">
        <f ca="1">$R$1</f>
        <v>44881.729633912037</v>
      </c>
    </row>
    <row r="981" spans="1:47" ht="15.75" customHeight="1" x14ac:dyDescent="0.3">
      <c r="R981" s="67"/>
      <c r="AC981" s="579"/>
      <c r="AD981" s="786" t="str">
        <f>+$A$8</f>
        <v>Revised:  2/5/2020</v>
      </c>
      <c r="AE981" s="788"/>
      <c r="AF981" s="788"/>
      <c r="AG981" s="788"/>
      <c r="AH981" s="788"/>
      <c r="AI981" s="788"/>
      <c r="AJ981" s="788"/>
      <c r="AK981" s="788"/>
      <c r="AL981" s="788"/>
      <c r="AM981" s="788"/>
      <c r="AN981" s="788"/>
      <c r="AO981" s="788"/>
      <c r="AP981" s="788"/>
      <c r="AQ981" s="788"/>
      <c r="AR981" s="139"/>
      <c r="AS981" s="727"/>
    </row>
    <row r="982" spans="1:47" ht="15.75" customHeight="1" x14ac:dyDescent="0.3">
      <c r="A982" s="139"/>
      <c r="AC982" s="579"/>
      <c r="AD982" s="786" t="s">
        <v>2878</v>
      </c>
      <c r="AE982" s="789"/>
      <c r="AF982" s="789"/>
      <c r="AG982" s="789"/>
      <c r="AH982" s="789"/>
      <c r="AI982" s="789"/>
      <c r="AJ982" s="789"/>
      <c r="AK982" s="789"/>
      <c r="AL982" s="789"/>
      <c r="AM982" s="789"/>
      <c r="AN982" s="789"/>
      <c r="AO982" s="789"/>
      <c r="AP982" s="789"/>
      <c r="AQ982" s="789"/>
      <c r="AS982" s="727"/>
    </row>
    <row r="983" spans="1:47" ht="15.75" customHeight="1" x14ac:dyDescent="0.3">
      <c r="A983" s="139"/>
      <c r="AC983" s="579"/>
      <c r="AS983" s="727"/>
    </row>
    <row r="984" spans="1:47" ht="15.75" customHeight="1" thickBot="1" x14ac:dyDescent="0.35">
      <c r="A984" s="139"/>
      <c r="AC984" s="579"/>
      <c r="AD984" s="787">
        <f>$A$5</f>
        <v>2021</v>
      </c>
      <c r="AE984" s="789"/>
      <c r="AF984" s="789"/>
      <c r="AG984" s="789"/>
      <c r="AH984" s="789"/>
      <c r="AI984" s="789"/>
      <c r="AJ984" s="789"/>
      <c r="AK984" s="789"/>
      <c r="AL984" s="789"/>
      <c r="AM984" s="789"/>
      <c r="AN984" s="789"/>
      <c r="AO984" s="789"/>
      <c r="AP984" s="789"/>
      <c r="AQ984" s="789"/>
      <c r="AS984" s="727"/>
    </row>
    <row r="985" spans="1:47" ht="15.75" customHeight="1" x14ac:dyDescent="0.3">
      <c r="A985" s="755"/>
      <c r="B985" s="821" t="s">
        <v>1198</v>
      </c>
      <c r="C985" s="821"/>
      <c r="D985" s="821"/>
      <c r="E985" s="821"/>
      <c r="F985" s="821"/>
      <c r="G985" s="821"/>
      <c r="H985" s="821"/>
      <c r="I985" s="821"/>
      <c r="J985" s="821"/>
      <c r="K985" s="821"/>
      <c r="L985" s="821"/>
      <c r="M985" s="821"/>
      <c r="N985" s="821"/>
      <c r="O985" s="821"/>
      <c r="P985" s="821"/>
      <c r="Q985" s="752" t="str">
        <f>+Q1</f>
        <v xml:space="preserve">PRINTED:  </v>
      </c>
      <c r="R985" s="753">
        <f ca="1">+R1</f>
        <v>44881.729633912037</v>
      </c>
      <c r="AC985" s="579"/>
      <c r="AD985" s="786" t="s">
        <v>2919</v>
      </c>
      <c r="AE985" s="788"/>
      <c r="AF985" s="788"/>
      <c r="AG985" s="788"/>
      <c r="AH985" s="788"/>
      <c r="AI985" s="788"/>
      <c r="AJ985" s="788"/>
      <c r="AK985" s="788"/>
      <c r="AL985" s="788"/>
      <c r="AM985" s="788"/>
      <c r="AN985" s="788"/>
      <c r="AO985" s="788"/>
      <c r="AP985" s="788"/>
      <c r="AQ985" s="788"/>
      <c r="AR985" s="70"/>
      <c r="AS985" s="727"/>
    </row>
    <row r="986" spans="1:47" ht="16.5" customHeight="1" x14ac:dyDescent="0.3">
      <c r="A986" s="553"/>
      <c r="B986" s="786" t="str">
        <f>+A8</f>
        <v>Revised:  2/5/2020</v>
      </c>
      <c r="C986" s="786"/>
      <c r="D986" s="786"/>
      <c r="E986" s="786"/>
      <c r="F986" s="786"/>
      <c r="G986" s="786"/>
      <c r="H986" s="786"/>
      <c r="I986" s="786"/>
      <c r="J986" s="786"/>
      <c r="K986" s="786"/>
      <c r="L986" s="786"/>
      <c r="M986" s="786"/>
      <c r="N986" s="786"/>
      <c r="O986" s="786"/>
      <c r="P986" s="786"/>
      <c r="Q986" s="67"/>
      <c r="R986" s="754"/>
      <c r="AC986" s="579"/>
      <c r="AK986" s="670"/>
      <c r="AS986" s="727"/>
    </row>
    <row r="987" spans="1:47" ht="15.75" customHeight="1" thickBot="1" x14ac:dyDescent="0.35">
      <c r="A987" s="553"/>
      <c r="B987" s="786" t="s">
        <v>2878</v>
      </c>
      <c r="C987" s="786"/>
      <c r="D987" s="786"/>
      <c r="E987" s="786"/>
      <c r="F987" s="786"/>
      <c r="G987" s="786"/>
      <c r="H987" s="786"/>
      <c r="I987" s="786"/>
      <c r="J987" s="786"/>
      <c r="K987" s="786"/>
      <c r="L987" s="786"/>
      <c r="M987" s="786"/>
      <c r="N987" s="786"/>
      <c r="O987" s="786"/>
      <c r="P987" s="786"/>
      <c r="Q987" s="67"/>
      <c r="R987" s="754"/>
      <c r="AC987" s="579"/>
      <c r="AD987" s="634" t="s">
        <v>1308</v>
      </c>
      <c r="AE987" s="634" t="s">
        <v>1309</v>
      </c>
      <c r="AF987" s="634" t="s">
        <v>1029</v>
      </c>
      <c r="AG987" s="634" t="s">
        <v>1030</v>
      </c>
      <c r="AH987" s="634" t="s">
        <v>284</v>
      </c>
      <c r="AI987" s="634" t="s">
        <v>285</v>
      </c>
      <c r="AJ987" s="634" t="s">
        <v>286</v>
      </c>
      <c r="AK987" s="634" t="s">
        <v>287</v>
      </c>
      <c r="AL987" s="634" t="s">
        <v>288</v>
      </c>
      <c r="AM987" s="634" t="s">
        <v>289</v>
      </c>
      <c r="AN987" s="634" t="s">
        <v>633</v>
      </c>
      <c r="AO987" s="634" t="s">
        <v>634</v>
      </c>
      <c r="AP987" s="634" t="s">
        <v>1192</v>
      </c>
      <c r="AQ987" s="634" t="s">
        <v>524</v>
      </c>
      <c r="AR987" s="634" t="s">
        <v>525</v>
      </c>
      <c r="AS987" s="684" t="s">
        <v>2356</v>
      </c>
    </row>
    <row r="988" spans="1:47" ht="15.75" customHeight="1" x14ac:dyDescent="0.3">
      <c r="A988" s="553"/>
      <c r="B988" s="67"/>
      <c r="C988" s="67"/>
      <c r="D988" s="67"/>
      <c r="E988" s="67"/>
      <c r="F988" s="67"/>
      <c r="G988" s="67"/>
      <c r="H988" s="67"/>
      <c r="I988" s="67"/>
      <c r="J988" s="67"/>
      <c r="K988" s="67"/>
      <c r="L988" s="67"/>
      <c r="M988" s="67"/>
      <c r="N988" s="67"/>
      <c r="O988" s="67"/>
      <c r="P988" s="67"/>
      <c r="Q988" s="67"/>
      <c r="R988" s="754"/>
      <c r="AC988" s="579"/>
      <c r="AD988" s="67"/>
      <c r="AE988" s="67"/>
      <c r="AF988" s="67"/>
      <c r="AG988" s="67"/>
      <c r="AH988" s="70" t="s">
        <v>2910</v>
      </c>
      <c r="AI988" s="67"/>
      <c r="AJ988" s="67"/>
      <c r="AK988" s="67"/>
      <c r="AL988" s="67"/>
      <c r="AM988" s="67"/>
      <c r="AN988" s="67"/>
      <c r="AO988" s="67"/>
      <c r="AP988" s="67"/>
      <c r="AQ988" s="67"/>
      <c r="AR988" s="67"/>
      <c r="AS988" s="636"/>
    </row>
    <row r="989" spans="1:47" ht="15.75" customHeight="1" x14ac:dyDescent="0.3">
      <c r="A989" s="553"/>
      <c r="B989" s="787">
        <f>A5</f>
        <v>2021</v>
      </c>
      <c r="C989" s="787"/>
      <c r="D989" s="787"/>
      <c r="E989" s="787"/>
      <c r="F989" s="787"/>
      <c r="G989" s="787"/>
      <c r="H989" s="787"/>
      <c r="I989" s="787"/>
      <c r="J989" s="787"/>
      <c r="K989" s="787"/>
      <c r="L989" s="787"/>
      <c r="M989" s="787"/>
      <c r="N989" s="787"/>
      <c r="O989" s="787"/>
      <c r="P989" s="787"/>
      <c r="Q989" s="67"/>
      <c r="R989" s="754"/>
      <c r="S989" s="67"/>
      <c r="AC989" s="642" t="s">
        <v>3040</v>
      </c>
      <c r="AD989" s="687">
        <v>1.7000000000000001E-2</v>
      </c>
      <c r="AE989" s="687">
        <v>1.7000000000000001E-2</v>
      </c>
      <c r="AF989" s="687">
        <v>1.7000000000000001E-2</v>
      </c>
      <c r="AG989" s="687">
        <v>1.7000000000000001E-2</v>
      </c>
      <c r="AH989" s="687"/>
      <c r="AI989" s="687"/>
      <c r="AJ989" s="687"/>
      <c r="AK989" s="687"/>
      <c r="AL989" s="687"/>
      <c r="AM989" s="687"/>
      <c r="AN989" s="687"/>
      <c r="AO989" s="687"/>
      <c r="AP989" s="687"/>
      <c r="AQ989" s="687"/>
      <c r="AR989" s="687"/>
      <c r="AS989" s="592"/>
    </row>
    <row r="990" spans="1:47" ht="15.75" customHeight="1" x14ac:dyDescent="0.3">
      <c r="A990" s="553"/>
      <c r="B990" s="786" t="s">
        <v>2919</v>
      </c>
      <c r="C990" s="786"/>
      <c r="D990" s="786"/>
      <c r="E990" s="786"/>
      <c r="F990" s="786"/>
      <c r="G990" s="786"/>
      <c r="H990" s="786"/>
      <c r="I990" s="786"/>
      <c r="J990" s="786"/>
      <c r="K990" s="786"/>
      <c r="L990" s="786"/>
      <c r="M990" s="786"/>
      <c r="N990" s="786"/>
      <c r="O990" s="786"/>
      <c r="P990" s="786"/>
      <c r="Q990" s="67"/>
      <c r="R990" s="754"/>
      <c r="S990" s="67"/>
      <c r="AC990" s="642" t="s">
        <v>2908</v>
      </c>
      <c r="AD990" s="687"/>
      <c r="AE990" s="687">
        <v>0.03</v>
      </c>
      <c r="AF990" s="687"/>
      <c r="AG990" s="687"/>
      <c r="AH990" s="687"/>
      <c r="AI990" s="687"/>
      <c r="AJ990" s="687"/>
      <c r="AK990" s="687"/>
      <c r="AL990" s="687"/>
      <c r="AM990" s="687">
        <v>0.03</v>
      </c>
      <c r="AN990" s="687">
        <v>0.03</v>
      </c>
      <c r="AO990" s="687">
        <v>0.03</v>
      </c>
      <c r="AP990" s="687">
        <v>0.03</v>
      </c>
      <c r="AQ990" s="687">
        <v>0.03</v>
      </c>
      <c r="AR990" s="687">
        <v>0.03</v>
      </c>
      <c r="AS990" s="592"/>
    </row>
    <row r="991" spans="1:47" ht="15.75" customHeight="1" x14ac:dyDescent="0.3">
      <c r="A991" s="553"/>
      <c r="B991" s="67"/>
      <c r="C991" s="67"/>
      <c r="D991" s="67"/>
      <c r="E991" s="67"/>
      <c r="F991" s="67"/>
      <c r="G991" s="67"/>
      <c r="H991" s="67"/>
      <c r="I991" s="67"/>
      <c r="J991" s="67"/>
      <c r="K991" s="67"/>
      <c r="L991" s="67"/>
      <c r="M991" s="67"/>
      <c r="N991" s="67"/>
      <c r="O991" s="67"/>
      <c r="P991" s="67"/>
      <c r="Q991" s="67"/>
      <c r="R991" s="754"/>
      <c r="S991" s="67"/>
      <c r="AC991" s="642" t="s">
        <v>2909</v>
      </c>
      <c r="AD991" s="687"/>
      <c r="AE991" s="687"/>
      <c r="AF991" s="687">
        <v>0.03</v>
      </c>
      <c r="AG991" s="687">
        <v>0.03</v>
      </c>
      <c r="AH991" s="687"/>
      <c r="AI991" s="687"/>
      <c r="AJ991" s="687"/>
      <c r="AK991" s="687"/>
      <c r="AL991" s="687"/>
      <c r="AM991" s="687"/>
      <c r="AN991" s="687"/>
      <c r="AO991" s="687"/>
      <c r="AP991" s="687"/>
      <c r="AQ991" s="687"/>
      <c r="AR991" s="687"/>
      <c r="AS991" s="592"/>
    </row>
    <row r="992" spans="1:47" ht="15.75" customHeight="1" thickBot="1" x14ac:dyDescent="0.35">
      <c r="A992" s="553" t="s">
        <v>845</v>
      </c>
      <c r="B992" s="634" t="s">
        <v>1308</v>
      </c>
      <c r="C992" s="634" t="s">
        <v>1309</v>
      </c>
      <c r="D992" s="634" t="s">
        <v>1029</v>
      </c>
      <c r="E992" s="634" t="s">
        <v>1030</v>
      </c>
      <c r="F992" s="634" t="s">
        <v>284</v>
      </c>
      <c r="G992" s="634" t="s">
        <v>284</v>
      </c>
      <c r="H992" s="634" t="s">
        <v>285</v>
      </c>
      <c r="I992" s="634" t="s">
        <v>286</v>
      </c>
      <c r="J992" s="634" t="s">
        <v>287</v>
      </c>
      <c r="K992" s="634" t="s">
        <v>288</v>
      </c>
      <c r="L992" s="634" t="s">
        <v>289</v>
      </c>
      <c r="M992" s="634" t="s">
        <v>633</v>
      </c>
      <c r="N992" s="634" t="s">
        <v>634</v>
      </c>
      <c r="O992" s="634" t="s">
        <v>1192</v>
      </c>
      <c r="P992" s="634" t="s">
        <v>524</v>
      </c>
      <c r="Q992" s="634" t="s">
        <v>525</v>
      </c>
      <c r="R992" s="684" t="s">
        <v>2356</v>
      </c>
      <c r="S992" s="70"/>
      <c r="AC992" s="642" t="s">
        <v>2760</v>
      </c>
      <c r="AD992" s="687"/>
      <c r="AE992" s="687"/>
      <c r="AF992" s="687"/>
      <c r="AG992" s="687"/>
      <c r="AH992" s="687"/>
      <c r="AI992" s="687">
        <v>0.03</v>
      </c>
      <c r="AJ992" s="687"/>
      <c r="AK992" s="687"/>
      <c r="AL992" s="687"/>
      <c r="AM992" s="687"/>
      <c r="AN992" s="687"/>
      <c r="AO992" s="687"/>
      <c r="AP992" s="687"/>
      <c r="AQ992" s="687"/>
      <c r="AR992" s="687"/>
      <c r="AS992" s="592"/>
    </row>
    <row r="993" spans="1:48" ht="15.75" customHeight="1" x14ac:dyDescent="0.3">
      <c r="A993" s="553"/>
      <c r="B993" s="67"/>
      <c r="C993" s="67"/>
      <c r="D993" s="67"/>
      <c r="E993" s="67"/>
      <c r="F993" s="70" t="s">
        <v>1193</v>
      </c>
      <c r="G993" s="70" t="s">
        <v>1194</v>
      </c>
      <c r="H993" s="67"/>
      <c r="I993" s="67"/>
      <c r="J993" s="67"/>
      <c r="K993" s="67"/>
      <c r="L993" s="67"/>
      <c r="M993" s="67"/>
      <c r="N993" s="67"/>
      <c r="O993" s="67"/>
      <c r="P993" s="67"/>
      <c r="Q993" s="67"/>
      <c r="R993" s="592" t="s">
        <v>1236</v>
      </c>
      <c r="S993" s="70"/>
      <c r="AC993" s="642" t="s">
        <v>2634</v>
      </c>
      <c r="AD993" s="687">
        <v>0.03</v>
      </c>
      <c r="AE993" s="687"/>
      <c r="AF993" s="687"/>
      <c r="AG993" s="687"/>
      <c r="AH993" s="687"/>
      <c r="AI993" s="687"/>
      <c r="AJ993" s="687">
        <v>0.03</v>
      </c>
      <c r="AK993" s="687">
        <v>0.03</v>
      </c>
      <c r="AL993" s="687">
        <v>0.03</v>
      </c>
      <c r="AM993" s="687"/>
      <c r="AN993" s="687"/>
      <c r="AO993" s="687"/>
      <c r="AP993" s="687"/>
      <c r="AQ993" s="687"/>
      <c r="AR993" s="687"/>
      <c r="AS993" s="592"/>
    </row>
    <row r="994" spans="1:48" ht="15.75" customHeight="1" x14ac:dyDescent="0.3">
      <c r="A994" s="553" t="s">
        <v>2917</v>
      </c>
      <c r="B994" s="677">
        <v>957</v>
      </c>
      <c r="C994" s="677">
        <v>122</v>
      </c>
      <c r="D994" s="677">
        <v>128</v>
      </c>
      <c r="E994" s="677">
        <v>219</v>
      </c>
      <c r="F994" s="677"/>
      <c r="G994" s="677"/>
      <c r="H994" s="677">
        <v>97</v>
      </c>
      <c r="I994" s="677">
        <v>160</v>
      </c>
      <c r="J994" s="677">
        <v>250</v>
      </c>
      <c r="K994" s="677">
        <v>260</v>
      </c>
      <c r="L994" s="677">
        <v>100</v>
      </c>
      <c r="M994" s="677">
        <v>118</v>
      </c>
      <c r="N994" s="677">
        <v>250</v>
      </c>
      <c r="O994" s="677">
        <v>190</v>
      </c>
      <c r="P994" s="677">
        <v>340</v>
      </c>
      <c r="Q994" s="677">
        <v>450</v>
      </c>
      <c r="R994" s="592" t="s">
        <v>335</v>
      </c>
      <c r="S994" s="70"/>
      <c r="AC994" s="642" t="s">
        <v>2356</v>
      </c>
      <c r="AD994" s="217">
        <f>SUM(AD989:AD993)</f>
        <v>4.7E-2</v>
      </c>
      <c r="AE994" s="217">
        <f t="shared" ref="AE994:AR994" si="341">SUM(AE989:AE993)</f>
        <v>4.7E-2</v>
      </c>
      <c r="AF994" s="217">
        <f t="shared" si="341"/>
        <v>4.7E-2</v>
      </c>
      <c r="AG994" s="217">
        <f t="shared" si="341"/>
        <v>4.7E-2</v>
      </c>
      <c r="AH994" s="217">
        <f t="shared" si="341"/>
        <v>0</v>
      </c>
      <c r="AI994" s="217">
        <f t="shared" si="341"/>
        <v>0.03</v>
      </c>
      <c r="AJ994" s="217">
        <f t="shared" si="341"/>
        <v>0.03</v>
      </c>
      <c r="AK994" s="217">
        <f t="shared" si="341"/>
        <v>0.03</v>
      </c>
      <c r="AL994" s="217">
        <f t="shared" si="341"/>
        <v>0.03</v>
      </c>
      <c r="AM994" s="217">
        <f t="shared" si="341"/>
        <v>0.03</v>
      </c>
      <c r="AN994" s="217">
        <f t="shared" si="341"/>
        <v>0.03</v>
      </c>
      <c r="AO994" s="217">
        <f t="shared" si="341"/>
        <v>0.03</v>
      </c>
      <c r="AP994" s="217">
        <f t="shared" si="341"/>
        <v>0.03</v>
      </c>
      <c r="AQ994" s="217">
        <f t="shared" si="341"/>
        <v>0.03</v>
      </c>
      <c r="AR994" s="217">
        <f t="shared" si="341"/>
        <v>0.03</v>
      </c>
      <c r="AS994" s="592"/>
      <c r="AU994" s="139" t="s">
        <v>3084</v>
      </c>
      <c r="AV994" t="s">
        <v>3085</v>
      </c>
    </row>
    <row r="995" spans="1:48" ht="15.75" customHeight="1" x14ac:dyDescent="0.3">
      <c r="A995" s="553"/>
      <c r="B995" s="70" t="s">
        <v>1353</v>
      </c>
      <c r="C995" s="70" t="s">
        <v>1353</v>
      </c>
      <c r="D995" s="70" t="s">
        <v>1353</v>
      </c>
      <c r="E995" s="70" t="s">
        <v>1353</v>
      </c>
      <c r="F995" s="70" t="s">
        <v>1353</v>
      </c>
      <c r="G995" s="70" t="s">
        <v>1353</v>
      </c>
      <c r="H995" s="70" t="s">
        <v>1353</v>
      </c>
      <c r="I995" s="70" t="s">
        <v>1353</v>
      </c>
      <c r="J995" s="70" t="s">
        <v>1353</v>
      </c>
      <c r="K995" s="70" t="s">
        <v>1353</v>
      </c>
      <c r="L995" s="70" t="s">
        <v>1353</v>
      </c>
      <c r="M995" s="70" t="s">
        <v>1353</v>
      </c>
      <c r="N995" s="70" t="s">
        <v>1353</v>
      </c>
      <c r="O995" s="70" t="s">
        <v>1353</v>
      </c>
      <c r="P995" s="70" t="s">
        <v>1353</v>
      </c>
      <c r="Q995" s="70" t="s">
        <v>1353</v>
      </c>
      <c r="R995" s="592" t="s">
        <v>251</v>
      </c>
      <c r="S995" s="70"/>
      <c r="T995" s="70"/>
      <c r="AC995" s="553" t="s">
        <v>1353</v>
      </c>
      <c r="AD995" s="70" t="s">
        <v>1353</v>
      </c>
      <c r="AE995" s="70" t="s">
        <v>1353</v>
      </c>
      <c r="AF995" s="70" t="s">
        <v>1353</v>
      </c>
      <c r="AG995" s="70" t="s">
        <v>1353</v>
      </c>
      <c r="AH995" s="70" t="s">
        <v>1353</v>
      </c>
      <c r="AI995" s="70" t="s">
        <v>1353</v>
      </c>
      <c r="AJ995" s="70" t="s">
        <v>1353</v>
      </c>
      <c r="AK995" s="70" t="s">
        <v>1353</v>
      </c>
      <c r="AL995" s="70" t="s">
        <v>1353</v>
      </c>
      <c r="AM995" s="70" t="s">
        <v>1353</v>
      </c>
      <c r="AN995" s="70" t="s">
        <v>1353</v>
      </c>
      <c r="AO995" s="70" t="s">
        <v>1353</v>
      </c>
      <c r="AP995" s="70" t="s">
        <v>1353</v>
      </c>
      <c r="AQ995" s="70" t="s">
        <v>1353</v>
      </c>
      <c r="AR995" s="70" t="s">
        <v>1353</v>
      </c>
      <c r="AS995" s="592" t="s">
        <v>1353</v>
      </c>
    </row>
    <row r="996" spans="1:48" ht="15.75" customHeight="1" x14ac:dyDescent="0.3">
      <c r="A996" s="139" t="s">
        <v>2843</v>
      </c>
      <c r="B996" s="67">
        <f>ROUND((B939*$B$994)/1000,0)</f>
        <v>61724</v>
      </c>
      <c r="C996" s="67">
        <f t="shared" ref="C996:C1007" si="342">ROUND((C939*$C$994)/1000,0)</f>
        <v>7857</v>
      </c>
      <c r="D996" s="67">
        <f t="shared" ref="D996:D1007" si="343">ROUND((D939*$D$994)/1000,0)</f>
        <v>8231</v>
      </c>
      <c r="E996" s="67">
        <f t="shared" ref="E996:E1007" si="344">ROUND((E939*$E$994)/1000,0)</f>
        <v>13850</v>
      </c>
      <c r="F996" s="67">
        <f>(F939*((T939-1526.8)/0.7702))/1000</f>
        <v>0</v>
      </c>
      <c r="G996" s="67">
        <f t="shared" ref="G996:G1007" si="345">(G939*((T939-1591.4)/0.6635))/1000</f>
        <v>0</v>
      </c>
      <c r="H996" s="67">
        <f t="shared" ref="H996:H1007" si="346">ROUND((H939*$H$994)/1000,0)</f>
        <v>4386</v>
      </c>
      <c r="I996" s="67">
        <f t="shared" ref="I996:I1007" si="347">ROUND((I939*$I$994)/1000,0)</f>
        <v>2594</v>
      </c>
      <c r="J996" s="67">
        <f t="shared" ref="J996:J1007" si="348">ROUND((J939*$J$994)/1000,0)</f>
        <v>4010</v>
      </c>
      <c r="K996" s="67">
        <f t="shared" ref="K996:K1007" si="349">ROUND((K939*$K$994)/1000,0)</f>
        <v>4132</v>
      </c>
      <c r="L996" s="67">
        <f t="shared" ref="L996:L1007" si="350">ROUND((L939*$L$994)/1000,0)</f>
        <v>1252</v>
      </c>
      <c r="M996" s="67">
        <f t="shared" ref="M996:M1007" si="351">ROUND((M939*$M$994)/1000,0)</f>
        <v>1475</v>
      </c>
      <c r="N996" s="67">
        <f t="shared" ref="N996:N1007" si="352">ROUND((N939*$N$994)/1000,0)</f>
        <v>3029</v>
      </c>
      <c r="O996" s="67">
        <f t="shared" ref="O996:O1007" si="353">ROUND((O939*$O$994)/1000,0)</f>
        <v>749</v>
      </c>
      <c r="P996" s="67">
        <f t="shared" ref="P996:P1007" si="354">ROUND((P939*$P$994)/1000,0)</f>
        <v>1294</v>
      </c>
      <c r="Q996" s="67">
        <f t="shared" ref="Q996:Q1007" si="355">ROUND((Q939*$Q$994)/1000,0)</f>
        <v>1772</v>
      </c>
      <c r="R996" s="638">
        <f>(SUM(B996:Q996))</f>
        <v>116355</v>
      </c>
      <c r="S996" s="73"/>
      <c r="AC996" s="642" t="s">
        <v>2843</v>
      </c>
      <c r="AD996" s="67">
        <f>ROUND(B996*$AD$994, 0)</f>
        <v>2901</v>
      </c>
      <c r="AE996" s="67">
        <f>ROUND(C996*$AE$994,0)</f>
        <v>369</v>
      </c>
      <c r="AF996" s="67">
        <f>ROUND(D996*$AF$994,0)</f>
        <v>387</v>
      </c>
      <c r="AG996" s="67">
        <f>ROUND(E996*$AG$994,0)</f>
        <v>651</v>
      </c>
      <c r="AH996" s="67">
        <f>ROUND(F996*$AH$994,0)</f>
        <v>0</v>
      </c>
      <c r="AI996" s="67">
        <f>ROUND(H996*$AI$994,0)</f>
        <v>132</v>
      </c>
      <c r="AJ996" s="67">
        <f>ROUND(I996*$AJ$994,0)</f>
        <v>78</v>
      </c>
      <c r="AK996" s="67">
        <f>ROUND(J996*$AK$994,0)</f>
        <v>120</v>
      </c>
      <c r="AL996" s="67">
        <f>ROUND(K996*$AL$994,0)</f>
        <v>124</v>
      </c>
      <c r="AM996" s="67">
        <f>ROUND(L996*$AM$994,0)</f>
        <v>38</v>
      </c>
      <c r="AN996" s="67">
        <f>ROUND(M996*$AN$994,0)</f>
        <v>44</v>
      </c>
      <c r="AO996" s="67">
        <f>ROUND(N996*$AO$994,0)</f>
        <v>91</v>
      </c>
      <c r="AP996" s="67">
        <f>ROUND(O996*$AP$994,0)</f>
        <v>22</v>
      </c>
      <c r="AQ996" s="67">
        <f>ROUND(P996*$AQ$994,0)</f>
        <v>39</v>
      </c>
      <c r="AR996" s="67">
        <f>ROUND(Q996*$AR$994,0)</f>
        <v>53</v>
      </c>
      <c r="AS996" s="636">
        <f>SUM(AD996:AR996)</f>
        <v>5049</v>
      </c>
      <c r="AU996" s="708">
        <f>AS996/R996</f>
        <v>4.3393064328993168E-2</v>
      </c>
    </row>
    <row r="997" spans="1:48" ht="15.75" customHeight="1" x14ac:dyDescent="0.3">
      <c r="A997" s="139" t="s">
        <v>2091</v>
      </c>
      <c r="B997" s="67">
        <f t="shared" ref="B997:B1007" si="356">ROUND((B940*$B$994)/1000,0)</f>
        <v>120678</v>
      </c>
      <c r="C997" s="67">
        <f t="shared" si="342"/>
        <v>15366</v>
      </c>
      <c r="D997" s="67">
        <f t="shared" si="343"/>
        <v>16103</v>
      </c>
      <c r="E997" s="67">
        <f t="shared" si="344"/>
        <v>27278</v>
      </c>
      <c r="F997" s="67">
        <f t="shared" ref="F997:F1007" si="357">(F940*((T940-1526.8)/0.7702))/1000</f>
        <v>11230.28371717082</v>
      </c>
      <c r="G997" s="67">
        <f>(G940*((T940-1591.4)/0.6635))/1000</f>
        <v>0</v>
      </c>
      <c r="H997" s="67">
        <f t="shared" si="346"/>
        <v>5457</v>
      </c>
      <c r="I997" s="67">
        <f t="shared" si="347"/>
        <v>3750</v>
      </c>
      <c r="J997" s="67">
        <f t="shared" si="348"/>
        <v>5802</v>
      </c>
      <c r="K997" s="67">
        <f t="shared" si="349"/>
        <v>5873</v>
      </c>
      <c r="L997" s="67">
        <f t="shared" si="350"/>
        <v>1829</v>
      </c>
      <c r="M997" s="67">
        <f t="shared" si="351"/>
        <v>2156</v>
      </c>
      <c r="N997" s="67">
        <f t="shared" si="352"/>
        <v>4403</v>
      </c>
      <c r="O997" s="67">
        <f t="shared" si="353"/>
        <v>688</v>
      </c>
      <c r="P997" s="67">
        <f t="shared" si="354"/>
        <v>1294</v>
      </c>
      <c r="Q997" s="67">
        <f t="shared" si="355"/>
        <v>1629</v>
      </c>
      <c r="R997" s="638">
        <f>(SUM(B997:Q997))</f>
        <v>223536.28371717082</v>
      </c>
      <c r="S997" s="73"/>
      <c r="AC997" s="642" t="s">
        <v>2091</v>
      </c>
      <c r="AD997" s="67">
        <f t="shared" ref="AD997:AD1007" si="358">ROUND(B997*$AD$994, 0)</f>
        <v>5672</v>
      </c>
      <c r="AE997" s="67">
        <f t="shared" ref="AE997:AE1007" si="359">ROUND(C997*$AE$994,0)</f>
        <v>722</v>
      </c>
      <c r="AF997" s="67">
        <f t="shared" ref="AF997:AF1007" si="360">ROUND(D997*$AF$994,0)</f>
        <v>757</v>
      </c>
      <c r="AG997" s="67">
        <f t="shared" ref="AG997:AG1007" si="361">ROUND(E997*$AG$994,0)</f>
        <v>1282</v>
      </c>
      <c r="AH997" s="67">
        <f t="shared" ref="AH997:AH1007" si="362">ROUND(F997*$AH$994,0)</f>
        <v>0</v>
      </c>
      <c r="AI997" s="67">
        <f t="shared" ref="AI997:AI1007" si="363">ROUND(H997*$AI$994,0)</f>
        <v>164</v>
      </c>
      <c r="AJ997" s="67">
        <f t="shared" ref="AJ997:AJ1007" si="364">ROUND(I997*$AJ$994,0)</f>
        <v>113</v>
      </c>
      <c r="AK997" s="67">
        <f t="shared" ref="AK997:AK1007" si="365">ROUND(J997*$AK$994,0)</f>
        <v>174</v>
      </c>
      <c r="AL997" s="67">
        <f t="shared" ref="AL997:AL1007" si="366">ROUND(K997*$AL$994,0)</f>
        <v>176</v>
      </c>
      <c r="AM997" s="67">
        <f t="shared" ref="AM997:AM1007" si="367">ROUND(L997*$AM$994,0)</f>
        <v>55</v>
      </c>
      <c r="AN997" s="67">
        <f t="shared" ref="AN997:AN1007" si="368">ROUND(M997*$AN$994,0)</f>
        <v>65</v>
      </c>
      <c r="AO997" s="67">
        <f t="shared" ref="AO997:AO1007" si="369">ROUND(N997*$AO$994,0)</f>
        <v>132</v>
      </c>
      <c r="AP997" s="67">
        <f t="shared" ref="AP997:AP1007" si="370">ROUND(O997*$AP$994,0)</f>
        <v>21</v>
      </c>
      <c r="AQ997" s="67">
        <f t="shared" ref="AQ997:AQ1007" si="371">ROUND(P997*$AQ$994,0)</f>
        <v>39</v>
      </c>
      <c r="AR997" s="67">
        <f t="shared" ref="AR997:AR1007" si="372">ROUND(Q997*$AR$994,0)</f>
        <v>49</v>
      </c>
      <c r="AS997" s="636">
        <f t="shared" ref="AS997:AS1007" si="373">SUM(AD997:AR997)</f>
        <v>9421</v>
      </c>
      <c r="AU997" s="708">
        <f t="shared" ref="AU997:AU1009" si="374">AS997/R997</f>
        <v>4.2145283277232597E-2</v>
      </c>
    </row>
    <row r="998" spans="1:48" ht="15.75" customHeight="1" x14ac:dyDescent="0.3">
      <c r="A998" s="139" t="s">
        <v>2234</v>
      </c>
      <c r="B998" s="67">
        <f t="shared" si="356"/>
        <v>158732</v>
      </c>
      <c r="C998" s="67">
        <f t="shared" si="342"/>
        <v>20202</v>
      </c>
      <c r="D998" s="67">
        <f t="shared" si="343"/>
        <v>21162</v>
      </c>
      <c r="E998" s="67">
        <f t="shared" si="344"/>
        <v>35369</v>
      </c>
      <c r="F998" s="67">
        <f t="shared" si="357"/>
        <v>13191.393462865861</v>
      </c>
      <c r="G998" s="67">
        <f t="shared" si="345"/>
        <v>0</v>
      </c>
      <c r="H998" s="67">
        <f t="shared" si="346"/>
        <v>8122</v>
      </c>
      <c r="I998" s="67">
        <f t="shared" si="347"/>
        <v>5219</v>
      </c>
      <c r="J998" s="67">
        <f t="shared" si="348"/>
        <v>7262</v>
      </c>
      <c r="K998" s="67">
        <f t="shared" si="349"/>
        <v>6873</v>
      </c>
      <c r="L998" s="67">
        <f t="shared" si="350"/>
        <v>2022</v>
      </c>
      <c r="M998" s="67">
        <f t="shared" si="351"/>
        <v>2383</v>
      </c>
      <c r="N998" s="67">
        <f t="shared" si="352"/>
        <v>4802</v>
      </c>
      <c r="O998" s="67">
        <f t="shared" si="353"/>
        <v>711</v>
      </c>
      <c r="P998" s="67">
        <f t="shared" si="354"/>
        <v>1617</v>
      </c>
      <c r="Q998" s="67">
        <f t="shared" si="355"/>
        <v>1682</v>
      </c>
      <c r="R998" s="638">
        <f t="shared" ref="R998:R1007" si="375">(SUM(B998:Q998))</f>
        <v>289349.39346286585</v>
      </c>
      <c r="S998" s="73"/>
      <c r="AC998" s="642" t="s">
        <v>2234</v>
      </c>
      <c r="AD998" s="67">
        <f t="shared" si="358"/>
        <v>7460</v>
      </c>
      <c r="AE998" s="67">
        <f t="shared" si="359"/>
        <v>949</v>
      </c>
      <c r="AF998" s="67">
        <f t="shared" si="360"/>
        <v>995</v>
      </c>
      <c r="AG998" s="67">
        <f t="shared" si="361"/>
        <v>1662</v>
      </c>
      <c r="AH998" s="67">
        <f t="shared" si="362"/>
        <v>0</v>
      </c>
      <c r="AI998" s="67">
        <f t="shared" si="363"/>
        <v>244</v>
      </c>
      <c r="AJ998" s="67">
        <f t="shared" si="364"/>
        <v>157</v>
      </c>
      <c r="AK998" s="67">
        <f t="shared" si="365"/>
        <v>218</v>
      </c>
      <c r="AL998" s="67">
        <f t="shared" si="366"/>
        <v>206</v>
      </c>
      <c r="AM998" s="67">
        <f t="shared" si="367"/>
        <v>61</v>
      </c>
      <c r="AN998" s="67">
        <f t="shared" si="368"/>
        <v>71</v>
      </c>
      <c r="AO998" s="67">
        <f t="shared" si="369"/>
        <v>144</v>
      </c>
      <c r="AP998" s="67">
        <f t="shared" si="370"/>
        <v>21</v>
      </c>
      <c r="AQ998" s="67">
        <f t="shared" si="371"/>
        <v>49</v>
      </c>
      <c r="AR998" s="67">
        <f t="shared" si="372"/>
        <v>50</v>
      </c>
      <c r="AS998" s="636">
        <f t="shared" si="373"/>
        <v>12287</v>
      </c>
      <c r="AU998" s="708">
        <f t="shared" si="374"/>
        <v>4.2464232784289117E-2</v>
      </c>
    </row>
    <row r="999" spans="1:48" ht="15.75" customHeight="1" x14ac:dyDescent="0.3">
      <c r="A999" s="139" t="s">
        <v>2235</v>
      </c>
      <c r="B999" s="67">
        <f t="shared" si="356"/>
        <v>154470</v>
      </c>
      <c r="C999" s="67">
        <f t="shared" si="342"/>
        <v>19647</v>
      </c>
      <c r="D999" s="67">
        <f t="shared" si="343"/>
        <v>20569</v>
      </c>
      <c r="E999" s="67">
        <f t="shared" si="344"/>
        <v>34017</v>
      </c>
      <c r="F999" s="67">
        <f t="shared" si="357"/>
        <v>1307.7326909618282</v>
      </c>
      <c r="G999" s="67">
        <f t="shared" si="345"/>
        <v>0</v>
      </c>
      <c r="H999" s="67">
        <f t="shared" si="346"/>
        <v>10773</v>
      </c>
      <c r="I999" s="67">
        <f t="shared" si="347"/>
        <v>6769</v>
      </c>
      <c r="J999" s="67">
        <f t="shared" si="348"/>
        <v>7679</v>
      </c>
      <c r="K999" s="67">
        <f t="shared" si="349"/>
        <v>6908</v>
      </c>
      <c r="L999" s="67">
        <f t="shared" si="350"/>
        <v>2107</v>
      </c>
      <c r="M999" s="67">
        <f t="shared" si="351"/>
        <v>2482</v>
      </c>
      <c r="N999" s="67">
        <f t="shared" si="352"/>
        <v>4961</v>
      </c>
      <c r="O999" s="67">
        <f t="shared" si="353"/>
        <v>803</v>
      </c>
      <c r="P999" s="67">
        <f t="shared" si="354"/>
        <v>1941</v>
      </c>
      <c r="Q999" s="67">
        <f t="shared" si="355"/>
        <v>1898</v>
      </c>
      <c r="R999" s="638">
        <f t="shared" si="375"/>
        <v>276331.7326909618</v>
      </c>
      <c r="S999" s="73"/>
      <c r="AC999" s="642" t="s">
        <v>2235</v>
      </c>
      <c r="AD999" s="67">
        <f t="shared" si="358"/>
        <v>7260</v>
      </c>
      <c r="AE999" s="67">
        <f t="shared" si="359"/>
        <v>923</v>
      </c>
      <c r="AF999" s="67">
        <f t="shared" si="360"/>
        <v>967</v>
      </c>
      <c r="AG999" s="67">
        <f t="shared" si="361"/>
        <v>1599</v>
      </c>
      <c r="AH999" s="67">
        <f t="shared" si="362"/>
        <v>0</v>
      </c>
      <c r="AI999" s="67">
        <f t="shared" si="363"/>
        <v>323</v>
      </c>
      <c r="AJ999" s="67">
        <f t="shared" si="364"/>
        <v>203</v>
      </c>
      <c r="AK999" s="67">
        <f t="shared" si="365"/>
        <v>230</v>
      </c>
      <c r="AL999" s="67">
        <f t="shared" si="366"/>
        <v>207</v>
      </c>
      <c r="AM999" s="67">
        <f t="shared" si="367"/>
        <v>63</v>
      </c>
      <c r="AN999" s="67">
        <f t="shared" si="368"/>
        <v>74</v>
      </c>
      <c r="AO999" s="67">
        <f t="shared" si="369"/>
        <v>149</v>
      </c>
      <c r="AP999" s="67">
        <f t="shared" si="370"/>
        <v>24</v>
      </c>
      <c r="AQ999" s="67">
        <f t="shared" si="371"/>
        <v>58</v>
      </c>
      <c r="AR999" s="67">
        <f t="shared" si="372"/>
        <v>57</v>
      </c>
      <c r="AS999" s="636">
        <f t="shared" si="373"/>
        <v>12137</v>
      </c>
      <c r="AU999" s="708">
        <f t="shared" si="374"/>
        <v>4.3921846694217809E-2</v>
      </c>
    </row>
    <row r="1000" spans="1:48" ht="15.75" customHeight="1" x14ac:dyDescent="0.3">
      <c r="A1000" s="139" t="s">
        <v>2236</v>
      </c>
      <c r="B1000" s="67">
        <f t="shared" si="356"/>
        <v>161321</v>
      </c>
      <c r="C1000" s="67">
        <f t="shared" si="342"/>
        <v>20514</v>
      </c>
      <c r="D1000" s="67">
        <f t="shared" si="343"/>
        <v>21471</v>
      </c>
      <c r="E1000" s="67">
        <f t="shared" si="344"/>
        <v>35258</v>
      </c>
      <c r="F1000" s="67">
        <f t="shared" si="357"/>
        <v>1084.3492154427054</v>
      </c>
      <c r="G1000" s="67">
        <f t="shared" si="345"/>
        <v>0</v>
      </c>
      <c r="H1000" s="67">
        <f t="shared" si="346"/>
        <v>10056</v>
      </c>
      <c r="I1000" s="67">
        <f t="shared" si="347"/>
        <v>5794</v>
      </c>
      <c r="J1000" s="67">
        <f t="shared" si="348"/>
        <v>7620</v>
      </c>
      <c r="K1000" s="67">
        <f t="shared" si="349"/>
        <v>7348</v>
      </c>
      <c r="L1000" s="67">
        <f t="shared" si="350"/>
        <v>2244</v>
      </c>
      <c r="M1000" s="67">
        <f t="shared" si="351"/>
        <v>2643</v>
      </c>
      <c r="N1000" s="67">
        <f t="shared" si="352"/>
        <v>5256</v>
      </c>
      <c r="O1000" s="67">
        <f t="shared" si="353"/>
        <v>927</v>
      </c>
      <c r="P1000" s="67">
        <f t="shared" si="354"/>
        <v>2264</v>
      </c>
      <c r="Q1000" s="67">
        <f t="shared" si="355"/>
        <v>2192</v>
      </c>
      <c r="R1000" s="638">
        <f t="shared" si="375"/>
        <v>285992.34921544266</v>
      </c>
      <c r="S1000" s="73"/>
      <c r="AC1000" s="642" t="s">
        <v>2236</v>
      </c>
      <c r="AD1000" s="67">
        <f t="shared" si="358"/>
        <v>7582</v>
      </c>
      <c r="AE1000" s="67">
        <f t="shared" si="359"/>
        <v>964</v>
      </c>
      <c r="AF1000" s="67">
        <f t="shared" si="360"/>
        <v>1009</v>
      </c>
      <c r="AG1000" s="67">
        <f t="shared" si="361"/>
        <v>1657</v>
      </c>
      <c r="AH1000" s="67">
        <f t="shared" si="362"/>
        <v>0</v>
      </c>
      <c r="AI1000" s="67">
        <f t="shared" si="363"/>
        <v>302</v>
      </c>
      <c r="AJ1000" s="67">
        <f t="shared" si="364"/>
        <v>174</v>
      </c>
      <c r="AK1000" s="67">
        <f t="shared" si="365"/>
        <v>229</v>
      </c>
      <c r="AL1000" s="67">
        <f t="shared" si="366"/>
        <v>220</v>
      </c>
      <c r="AM1000" s="67">
        <f t="shared" si="367"/>
        <v>67</v>
      </c>
      <c r="AN1000" s="67">
        <f t="shared" si="368"/>
        <v>79</v>
      </c>
      <c r="AO1000" s="67">
        <f t="shared" si="369"/>
        <v>158</v>
      </c>
      <c r="AP1000" s="67">
        <f t="shared" si="370"/>
        <v>28</v>
      </c>
      <c r="AQ1000" s="67">
        <f t="shared" si="371"/>
        <v>68</v>
      </c>
      <c r="AR1000" s="67">
        <f t="shared" si="372"/>
        <v>66</v>
      </c>
      <c r="AS1000" s="636">
        <f t="shared" si="373"/>
        <v>12603</v>
      </c>
      <c r="AU1000" s="708">
        <f t="shared" si="374"/>
        <v>4.4067612418911092E-2</v>
      </c>
    </row>
    <row r="1001" spans="1:48" ht="15.75" customHeight="1" x14ac:dyDescent="0.3">
      <c r="A1001" s="139" t="s">
        <v>2237</v>
      </c>
      <c r="B1001" s="67">
        <f t="shared" si="356"/>
        <v>92033</v>
      </c>
      <c r="C1001" s="67">
        <f t="shared" si="342"/>
        <v>11682</v>
      </c>
      <c r="D1001" s="67">
        <f t="shared" si="343"/>
        <v>12205</v>
      </c>
      <c r="E1001" s="67">
        <f t="shared" si="344"/>
        <v>19353</v>
      </c>
      <c r="F1001" s="67">
        <f t="shared" si="357"/>
        <v>0</v>
      </c>
      <c r="G1001" s="67">
        <f t="shared" si="345"/>
        <v>-14753.108656983868</v>
      </c>
      <c r="H1001" s="67">
        <f t="shared" si="346"/>
        <v>13931</v>
      </c>
      <c r="I1001" s="67">
        <f t="shared" si="347"/>
        <v>7242</v>
      </c>
      <c r="J1001" s="67">
        <f t="shared" si="348"/>
        <v>8302</v>
      </c>
      <c r="K1001" s="67">
        <f t="shared" si="349"/>
        <v>6980</v>
      </c>
      <c r="L1001" s="67">
        <f t="shared" si="350"/>
        <v>2114</v>
      </c>
      <c r="M1001" s="67">
        <f t="shared" si="351"/>
        <v>2490</v>
      </c>
      <c r="N1001" s="67">
        <f t="shared" si="352"/>
        <v>4845</v>
      </c>
      <c r="O1001" s="67">
        <f t="shared" si="353"/>
        <v>888</v>
      </c>
      <c r="P1001" s="67">
        <f t="shared" si="354"/>
        <v>2329</v>
      </c>
      <c r="Q1001" s="67">
        <f t="shared" si="355"/>
        <v>2100</v>
      </c>
      <c r="R1001" s="638">
        <f>(SUM(B1001:Q1001))</f>
        <v>171740.89134301612</v>
      </c>
      <c r="S1001" s="73"/>
      <c r="AC1001" s="642" t="s">
        <v>2237</v>
      </c>
      <c r="AD1001" s="67">
        <f t="shared" si="358"/>
        <v>4326</v>
      </c>
      <c r="AE1001" s="67">
        <f t="shared" si="359"/>
        <v>549</v>
      </c>
      <c r="AF1001" s="67">
        <f t="shared" si="360"/>
        <v>574</v>
      </c>
      <c r="AG1001" s="67">
        <f t="shared" si="361"/>
        <v>910</v>
      </c>
      <c r="AH1001" s="67">
        <f t="shared" si="362"/>
        <v>0</v>
      </c>
      <c r="AI1001" s="67">
        <f t="shared" si="363"/>
        <v>418</v>
      </c>
      <c r="AJ1001" s="67">
        <f t="shared" si="364"/>
        <v>217</v>
      </c>
      <c r="AK1001" s="67">
        <f t="shared" si="365"/>
        <v>249</v>
      </c>
      <c r="AL1001" s="67">
        <f t="shared" si="366"/>
        <v>209</v>
      </c>
      <c r="AM1001" s="67">
        <f t="shared" si="367"/>
        <v>63</v>
      </c>
      <c r="AN1001" s="67">
        <f t="shared" si="368"/>
        <v>75</v>
      </c>
      <c r="AO1001" s="67">
        <f t="shared" si="369"/>
        <v>145</v>
      </c>
      <c r="AP1001" s="67">
        <f t="shared" si="370"/>
        <v>27</v>
      </c>
      <c r="AQ1001" s="67">
        <f t="shared" si="371"/>
        <v>70</v>
      </c>
      <c r="AR1001" s="67">
        <f t="shared" si="372"/>
        <v>63</v>
      </c>
      <c r="AS1001" s="636">
        <f t="shared" si="373"/>
        <v>7895</v>
      </c>
      <c r="AU1001" s="708">
        <f t="shared" si="374"/>
        <v>4.5970414723371891E-2</v>
      </c>
    </row>
    <row r="1002" spans="1:48" ht="15.75" customHeight="1" x14ac:dyDescent="0.3">
      <c r="A1002" s="139" t="s">
        <v>1504</v>
      </c>
      <c r="B1002" s="67">
        <f t="shared" si="356"/>
        <v>49375</v>
      </c>
      <c r="C1002" s="67">
        <f t="shared" si="342"/>
        <v>6244</v>
      </c>
      <c r="D1002" s="67">
        <f t="shared" si="343"/>
        <v>6500</v>
      </c>
      <c r="E1002" s="67">
        <f t="shared" si="344"/>
        <v>9617</v>
      </c>
      <c r="F1002" s="67">
        <f t="shared" si="357"/>
        <v>0</v>
      </c>
      <c r="G1002" s="67">
        <f t="shared" si="345"/>
        <v>-12570.56750698814</v>
      </c>
      <c r="H1002" s="67">
        <f t="shared" si="346"/>
        <v>11045</v>
      </c>
      <c r="I1002" s="67">
        <f t="shared" si="347"/>
        <v>7229</v>
      </c>
      <c r="J1002" s="67">
        <f t="shared" si="348"/>
        <v>7832</v>
      </c>
      <c r="K1002" s="67">
        <f t="shared" si="349"/>
        <v>6860</v>
      </c>
      <c r="L1002" s="67">
        <f t="shared" si="350"/>
        <v>2118</v>
      </c>
      <c r="M1002" s="67">
        <f t="shared" si="351"/>
        <v>2495</v>
      </c>
      <c r="N1002" s="67">
        <f t="shared" si="352"/>
        <v>4706</v>
      </c>
      <c r="O1002" s="67">
        <f t="shared" si="353"/>
        <v>689</v>
      </c>
      <c r="P1002" s="67">
        <f t="shared" si="354"/>
        <v>2103</v>
      </c>
      <c r="Q1002" s="67">
        <f t="shared" si="355"/>
        <v>1628</v>
      </c>
      <c r="R1002" s="638">
        <f t="shared" si="375"/>
        <v>105870.43249301186</v>
      </c>
      <c r="S1002" s="73"/>
      <c r="AC1002" s="642" t="s">
        <v>1504</v>
      </c>
      <c r="AD1002" s="67">
        <f t="shared" si="358"/>
        <v>2321</v>
      </c>
      <c r="AE1002" s="67">
        <f t="shared" si="359"/>
        <v>293</v>
      </c>
      <c r="AF1002" s="67">
        <f t="shared" si="360"/>
        <v>306</v>
      </c>
      <c r="AG1002" s="67">
        <f t="shared" si="361"/>
        <v>452</v>
      </c>
      <c r="AH1002" s="67">
        <f t="shared" si="362"/>
        <v>0</v>
      </c>
      <c r="AI1002" s="67">
        <f t="shared" si="363"/>
        <v>331</v>
      </c>
      <c r="AJ1002" s="67">
        <f t="shared" si="364"/>
        <v>217</v>
      </c>
      <c r="AK1002" s="67">
        <f t="shared" si="365"/>
        <v>235</v>
      </c>
      <c r="AL1002" s="67">
        <f t="shared" si="366"/>
        <v>206</v>
      </c>
      <c r="AM1002" s="67">
        <f t="shared" si="367"/>
        <v>64</v>
      </c>
      <c r="AN1002" s="67">
        <f t="shared" si="368"/>
        <v>75</v>
      </c>
      <c r="AO1002" s="67">
        <f t="shared" si="369"/>
        <v>141</v>
      </c>
      <c r="AP1002" s="67">
        <f t="shared" si="370"/>
        <v>21</v>
      </c>
      <c r="AQ1002" s="67">
        <f t="shared" si="371"/>
        <v>63</v>
      </c>
      <c r="AR1002" s="67">
        <f t="shared" si="372"/>
        <v>49</v>
      </c>
      <c r="AS1002" s="636">
        <f t="shared" si="373"/>
        <v>4774</v>
      </c>
      <c r="AU1002" s="708">
        <f t="shared" si="374"/>
        <v>4.509285442198524E-2</v>
      </c>
    </row>
    <row r="1003" spans="1:48" ht="15.75" customHeight="1" x14ac:dyDescent="0.3">
      <c r="A1003" s="139" t="s">
        <v>1505</v>
      </c>
      <c r="B1003" s="67">
        <f t="shared" si="356"/>
        <v>49367</v>
      </c>
      <c r="C1003" s="67">
        <f t="shared" si="342"/>
        <v>6253</v>
      </c>
      <c r="D1003" s="67">
        <f t="shared" si="343"/>
        <v>6519</v>
      </c>
      <c r="E1003" s="67">
        <f t="shared" si="344"/>
        <v>9916</v>
      </c>
      <c r="F1003" s="67">
        <f t="shared" si="357"/>
        <v>0</v>
      </c>
      <c r="G1003" s="67">
        <f t="shared" si="345"/>
        <v>-8507.1126913870175</v>
      </c>
      <c r="H1003" s="67">
        <f t="shared" si="346"/>
        <v>9793</v>
      </c>
      <c r="I1003" s="67">
        <f t="shared" si="347"/>
        <v>7091</v>
      </c>
      <c r="J1003" s="67">
        <f t="shared" si="348"/>
        <v>8129</v>
      </c>
      <c r="K1003" s="67">
        <f t="shared" si="349"/>
        <v>7275</v>
      </c>
      <c r="L1003" s="67">
        <f t="shared" si="350"/>
        <v>2355</v>
      </c>
      <c r="M1003" s="67">
        <f t="shared" si="351"/>
        <v>2775</v>
      </c>
      <c r="N1003" s="67">
        <f t="shared" si="352"/>
        <v>5425</v>
      </c>
      <c r="O1003" s="67">
        <f t="shared" si="353"/>
        <v>1321</v>
      </c>
      <c r="P1003" s="67">
        <f t="shared" si="354"/>
        <v>1941</v>
      </c>
      <c r="Q1003" s="67">
        <f t="shared" si="355"/>
        <v>3127</v>
      </c>
      <c r="R1003" s="638">
        <f t="shared" si="375"/>
        <v>112779.88730861299</v>
      </c>
      <c r="S1003" s="73"/>
      <c r="AC1003" s="642" t="s">
        <v>1505</v>
      </c>
      <c r="AD1003" s="67">
        <f t="shared" si="358"/>
        <v>2320</v>
      </c>
      <c r="AE1003" s="67">
        <f t="shared" si="359"/>
        <v>294</v>
      </c>
      <c r="AF1003" s="67">
        <f t="shared" si="360"/>
        <v>306</v>
      </c>
      <c r="AG1003" s="67">
        <f t="shared" si="361"/>
        <v>466</v>
      </c>
      <c r="AH1003" s="67">
        <f t="shared" si="362"/>
        <v>0</v>
      </c>
      <c r="AI1003" s="67">
        <f t="shared" si="363"/>
        <v>294</v>
      </c>
      <c r="AJ1003" s="67">
        <f t="shared" si="364"/>
        <v>213</v>
      </c>
      <c r="AK1003" s="67">
        <f t="shared" si="365"/>
        <v>244</v>
      </c>
      <c r="AL1003" s="67">
        <f t="shared" si="366"/>
        <v>218</v>
      </c>
      <c r="AM1003" s="67">
        <f t="shared" si="367"/>
        <v>71</v>
      </c>
      <c r="AN1003" s="67">
        <f t="shared" si="368"/>
        <v>83</v>
      </c>
      <c r="AO1003" s="67">
        <f t="shared" si="369"/>
        <v>163</v>
      </c>
      <c r="AP1003" s="67">
        <f t="shared" si="370"/>
        <v>40</v>
      </c>
      <c r="AQ1003" s="67">
        <f t="shared" si="371"/>
        <v>58</v>
      </c>
      <c r="AR1003" s="67">
        <f t="shared" si="372"/>
        <v>94</v>
      </c>
      <c r="AS1003" s="636">
        <f t="shared" si="373"/>
        <v>4864</v>
      </c>
      <c r="AU1003" s="708">
        <f t="shared" si="374"/>
        <v>4.3128257316750636E-2</v>
      </c>
    </row>
    <row r="1004" spans="1:48" ht="15.75" customHeight="1" x14ac:dyDescent="0.3">
      <c r="A1004" s="139" t="s">
        <v>1506</v>
      </c>
      <c r="B1004" s="67">
        <f t="shared" si="356"/>
        <v>125868</v>
      </c>
      <c r="C1004" s="67">
        <f t="shared" si="342"/>
        <v>16007</v>
      </c>
      <c r="D1004" s="67">
        <f t="shared" si="343"/>
        <v>16756</v>
      </c>
      <c r="E1004" s="67">
        <f t="shared" si="344"/>
        <v>27757</v>
      </c>
      <c r="F1004" s="67">
        <f t="shared" si="357"/>
        <v>2692.9723765234103</v>
      </c>
      <c r="G1004" s="67">
        <f t="shared" si="345"/>
        <v>0</v>
      </c>
      <c r="H1004" s="67">
        <f t="shared" si="346"/>
        <v>6685</v>
      </c>
      <c r="I1004" s="67">
        <f t="shared" si="347"/>
        <v>4274</v>
      </c>
      <c r="J1004" s="67">
        <f t="shared" si="348"/>
        <v>6348</v>
      </c>
      <c r="K1004" s="67">
        <f t="shared" si="349"/>
        <v>6087</v>
      </c>
      <c r="L1004" s="67">
        <f t="shared" si="350"/>
        <v>2151</v>
      </c>
      <c r="M1004" s="67">
        <f t="shared" si="351"/>
        <v>2535</v>
      </c>
      <c r="N1004" s="67">
        <f t="shared" si="352"/>
        <v>5016</v>
      </c>
      <c r="O1004" s="67">
        <f t="shared" si="353"/>
        <v>1064</v>
      </c>
      <c r="P1004" s="67">
        <f t="shared" si="354"/>
        <v>1779</v>
      </c>
      <c r="Q1004" s="67">
        <f t="shared" si="355"/>
        <v>2517</v>
      </c>
      <c r="R1004" s="638">
        <f t="shared" si="375"/>
        <v>227536.97237652342</v>
      </c>
      <c r="S1004" s="73"/>
      <c r="AC1004" s="642" t="s">
        <v>1506</v>
      </c>
      <c r="AD1004" s="67">
        <f t="shared" si="358"/>
        <v>5916</v>
      </c>
      <c r="AE1004" s="67">
        <f t="shared" si="359"/>
        <v>752</v>
      </c>
      <c r="AF1004" s="67">
        <f t="shared" si="360"/>
        <v>788</v>
      </c>
      <c r="AG1004" s="67">
        <f t="shared" si="361"/>
        <v>1305</v>
      </c>
      <c r="AH1004" s="67">
        <f t="shared" si="362"/>
        <v>0</v>
      </c>
      <c r="AI1004" s="67">
        <f t="shared" si="363"/>
        <v>201</v>
      </c>
      <c r="AJ1004" s="67">
        <f t="shared" si="364"/>
        <v>128</v>
      </c>
      <c r="AK1004" s="67">
        <f t="shared" si="365"/>
        <v>190</v>
      </c>
      <c r="AL1004" s="67">
        <f t="shared" si="366"/>
        <v>183</v>
      </c>
      <c r="AM1004" s="67">
        <f t="shared" si="367"/>
        <v>65</v>
      </c>
      <c r="AN1004" s="67">
        <f t="shared" si="368"/>
        <v>76</v>
      </c>
      <c r="AO1004" s="67">
        <f t="shared" si="369"/>
        <v>150</v>
      </c>
      <c r="AP1004" s="67">
        <f t="shared" si="370"/>
        <v>32</v>
      </c>
      <c r="AQ1004" s="67">
        <f t="shared" si="371"/>
        <v>53</v>
      </c>
      <c r="AR1004" s="67">
        <f t="shared" si="372"/>
        <v>76</v>
      </c>
      <c r="AS1004" s="636">
        <f t="shared" si="373"/>
        <v>9915</v>
      </c>
      <c r="AU1004" s="708">
        <f t="shared" si="374"/>
        <v>4.3575335895710457E-2</v>
      </c>
    </row>
    <row r="1005" spans="1:48" ht="15.75" customHeight="1" x14ac:dyDescent="0.3">
      <c r="A1005" s="139" t="s">
        <v>1507</v>
      </c>
      <c r="B1005" s="67">
        <f t="shared" si="356"/>
        <v>153652</v>
      </c>
      <c r="C1005" s="67">
        <f t="shared" si="342"/>
        <v>19553</v>
      </c>
      <c r="D1005" s="67">
        <f t="shared" si="343"/>
        <v>20480</v>
      </c>
      <c r="E1005" s="67">
        <f t="shared" si="344"/>
        <v>34441</v>
      </c>
      <c r="F1005" s="67">
        <f t="shared" si="357"/>
        <v>11218.651217860212</v>
      </c>
      <c r="G1005" s="67">
        <f t="shared" si="345"/>
        <v>0</v>
      </c>
      <c r="H1005" s="67">
        <f t="shared" si="346"/>
        <v>5066</v>
      </c>
      <c r="I1005" s="67">
        <f t="shared" si="347"/>
        <v>2617</v>
      </c>
      <c r="J1005" s="67">
        <f t="shared" si="348"/>
        <v>3771</v>
      </c>
      <c r="K1005" s="67">
        <f t="shared" si="349"/>
        <v>3590</v>
      </c>
      <c r="L1005" s="67">
        <f t="shared" si="350"/>
        <v>1242</v>
      </c>
      <c r="M1005" s="67">
        <f t="shared" si="351"/>
        <v>1462</v>
      </c>
      <c r="N1005" s="67">
        <f t="shared" si="352"/>
        <v>2944</v>
      </c>
      <c r="O1005" s="67">
        <f t="shared" si="353"/>
        <v>710</v>
      </c>
      <c r="P1005" s="67">
        <f t="shared" si="354"/>
        <v>1617</v>
      </c>
      <c r="Q1005" s="67">
        <f t="shared" si="355"/>
        <v>1679</v>
      </c>
      <c r="R1005" s="638">
        <f t="shared" si="375"/>
        <v>264042.65121786017</v>
      </c>
      <c r="S1005" s="73"/>
      <c r="AC1005" s="642" t="s">
        <v>1507</v>
      </c>
      <c r="AD1005" s="67">
        <f t="shared" si="358"/>
        <v>7222</v>
      </c>
      <c r="AE1005" s="67">
        <f t="shared" si="359"/>
        <v>919</v>
      </c>
      <c r="AF1005" s="67">
        <f t="shared" si="360"/>
        <v>963</v>
      </c>
      <c r="AG1005" s="67">
        <f t="shared" si="361"/>
        <v>1619</v>
      </c>
      <c r="AH1005" s="67">
        <f t="shared" si="362"/>
        <v>0</v>
      </c>
      <c r="AI1005" s="67">
        <f t="shared" si="363"/>
        <v>152</v>
      </c>
      <c r="AJ1005" s="67">
        <f t="shared" si="364"/>
        <v>79</v>
      </c>
      <c r="AK1005" s="67">
        <f t="shared" si="365"/>
        <v>113</v>
      </c>
      <c r="AL1005" s="67">
        <f t="shared" si="366"/>
        <v>108</v>
      </c>
      <c r="AM1005" s="67">
        <f t="shared" si="367"/>
        <v>37</v>
      </c>
      <c r="AN1005" s="67">
        <f t="shared" si="368"/>
        <v>44</v>
      </c>
      <c r="AO1005" s="67">
        <f t="shared" si="369"/>
        <v>88</v>
      </c>
      <c r="AP1005" s="67">
        <f t="shared" si="370"/>
        <v>21</v>
      </c>
      <c r="AQ1005" s="67">
        <f t="shared" si="371"/>
        <v>49</v>
      </c>
      <c r="AR1005" s="67">
        <f t="shared" si="372"/>
        <v>50</v>
      </c>
      <c r="AS1005" s="636">
        <f t="shared" si="373"/>
        <v>11464</v>
      </c>
      <c r="AU1005" s="708">
        <f t="shared" si="374"/>
        <v>4.341722803919703E-2</v>
      </c>
    </row>
    <row r="1006" spans="1:48" ht="15.75" customHeight="1" x14ac:dyDescent="0.3">
      <c r="A1006" s="139" t="s">
        <v>1508</v>
      </c>
      <c r="B1006" s="67">
        <f t="shared" si="356"/>
        <v>135718</v>
      </c>
      <c r="C1006" s="67">
        <f t="shared" si="342"/>
        <v>17273</v>
      </c>
      <c r="D1006" s="67">
        <f t="shared" si="343"/>
        <v>18093</v>
      </c>
      <c r="E1006" s="67">
        <f t="shared" si="344"/>
        <v>30673</v>
      </c>
      <c r="F1006" s="67">
        <f t="shared" si="357"/>
        <v>13653.182463670382</v>
      </c>
      <c r="G1006" s="67">
        <f t="shared" si="345"/>
        <v>0</v>
      </c>
      <c r="H1006" s="67">
        <f t="shared" si="346"/>
        <v>3397</v>
      </c>
      <c r="I1006" s="67">
        <f t="shared" si="347"/>
        <v>912</v>
      </c>
      <c r="J1006" s="67">
        <f t="shared" si="348"/>
        <v>1207</v>
      </c>
      <c r="K1006" s="67">
        <f t="shared" si="349"/>
        <v>1220</v>
      </c>
      <c r="L1006" s="67">
        <f t="shared" si="350"/>
        <v>312</v>
      </c>
      <c r="M1006" s="67">
        <f t="shared" si="351"/>
        <v>365</v>
      </c>
      <c r="N1006" s="67">
        <f t="shared" si="352"/>
        <v>746</v>
      </c>
      <c r="O1006" s="67">
        <f t="shared" si="353"/>
        <v>510</v>
      </c>
      <c r="P1006" s="67">
        <f t="shared" si="354"/>
        <v>1456</v>
      </c>
      <c r="Q1006" s="67">
        <f t="shared" si="355"/>
        <v>1207</v>
      </c>
      <c r="R1006" s="638">
        <f t="shared" si="375"/>
        <v>226742.18246367038</v>
      </c>
      <c r="S1006" s="73"/>
      <c r="AC1006" s="642" t="s">
        <v>1508</v>
      </c>
      <c r="AD1006" s="67">
        <f t="shared" si="358"/>
        <v>6379</v>
      </c>
      <c r="AE1006" s="67">
        <f t="shared" si="359"/>
        <v>812</v>
      </c>
      <c r="AF1006" s="67">
        <f t="shared" si="360"/>
        <v>850</v>
      </c>
      <c r="AG1006" s="67">
        <f t="shared" si="361"/>
        <v>1442</v>
      </c>
      <c r="AH1006" s="67">
        <f t="shared" si="362"/>
        <v>0</v>
      </c>
      <c r="AI1006" s="67">
        <f t="shared" si="363"/>
        <v>102</v>
      </c>
      <c r="AJ1006" s="67">
        <f t="shared" si="364"/>
        <v>27</v>
      </c>
      <c r="AK1006" s="67">
        <f t="shared" si="365"/>
        <v>36</v>
      </c>
      <c r="AL1006" s="67">
        <f t="shared" si="366"/>
        <v>37</v>
      </c>
      <c r="AM1006" s="67">
        <f t="shared" si="367"/>
        <v>9</v>
      </c>
      <c r="AN1006" s="67">
        <f t="shared" si="368"/>
        <v>11</v>
      </c>
      <c r="AO1006" s="67">
        <f t="shared" si="369"/>
        <v>22</v>
      </c>
      <c r="AP1006" s="67">
        <f t="shared" si="370"/>
        <v>15</v>
      </c>
      <c r="AQ1006" s="67">
        <f t="shared" si="371"/>
        <v>44</v>
      </c>
      <c r="AR1006" s="67">
        <f t="shared" si="372"/>
        <v>36</v>
      </c>
      <c r="AS1006" s="636">
        <f t="shared" si="373"/>
        <v>9822</v>
      </c>
      <c r="AU1006" s="708">
        <f t="shared" si="374"/>
        <v>4.3317921232295289E-2</v>
      </c>
    </row>
    <row r="1007" spans="1:48" ht="15.75" customHeight="1" x14ac:dyDescent="0.3">
      <c r="A1007" s="139" t="s">
        <v>1509</v>
      </c>
      <c r="B1007" s="67">
        <f t="shared" si="356"/>
        <v>94935</v>
      </c>
      <c r="C1007" s="67">
        <f t="shared" si="342"/>
        <v>12080</v>
      </c>
      <c r="D1007" s="67">
        <f t="shared" si="343"/>
        <v>12651</v>
      </c>
      <c r="E1007" s="67">
        <f t="shared" si="344"/>
        <v>21402</v>
      </c>
      <c r="F1007" s="67">
        <f t="shared" si="357"/>
        <v>9647.7376660342252</v>
      </c>
      <c r="G1007" s="67">
        <f t="shared" si="345"/>
        <v>0</v>
      </c>
      <c r="H1007" s="67">
        <f t="shared" si="346"/>
        <v>2068</v>
      </c>
      <c r="I1007" s="67">
        <f t="shared" si="347"/>
        <v>581</v>
      </c>
      <c r="J1007" s="67">
        <f t="shared" si="348"/>
        <v>755</v>
      </c>
      <c r="K1007" s="67">
        <f t="shared" si="349"/>
        <v>759</v>
      </c>
      <c r="L1007" s="67">
        <f t="shared" si="350"/>
        <v>288</v>
      </c>
      <c r="M1007" s="67">
        <f t="shared" si="351"/>
        <v>338</v>
      </c>
      <c r="N1007" s="67">
        <f t="shared" si="352"/>
        <v>589</v>
      </c>
      <c r="O1007" s="67">
        <f t="shared" si="353"/>
        <v>265</v>
      </c>
      <c r="P1007" s="67">
        <f t="shared" si="354"/>
        <v>1294</v>
      </c>
      <c r="Q1007" s="67">
        <f t="shared" si="355"/>
        <v>626</v>
      </c>
      <c r="R1007" s="638">
        <f t="shared" si="375"/>
        <v>158278.73766603423</v>
      </c>
      <c r="S1007" s="73"/>
      <c r="AC1007" s="642" t="s">
        <v>1509</v>
      </c>
      <c r="AD1007" s="67">
        <f t="shared" si="358"/>
        <v>4462</v>
      </c>
      <c r="AE1007" s="67">
        <f t="shared" si="359"/>
        <v>568</v>
      </c>
      <c r="AF1007" s="67">
        <f t="shared" si="360"/>
        <v>595</v>
      </c>
      <c r="AG1007" s="67">
        <f t="shared" si="361"/>
        <v>1006</v>
      </c>
      <c r="AH1007" s="67">
        <f t="shared" si="362"/>
        <v>0</v>
      </c>
      <c r="AI1007" s="67">
        <f t="shared" si="363"/>
        <v>62</v>
      </c>
      <c r="AJ1007" s="67">
        <f t="shared" si="364"/>
        <v>17</v>
      </c>
      <c r="AK1007" s="67">
        <f t="shared" si="365"/>
        <v>23</v>
      </c>
      <c r="AL1007" s="67">
        <f t="shared" si="366"/>
        <v>23</v>
      </c>
      <c r="AM1007" s="67">
        <f t="shared" si="367"/>
        <v>9</v>
      </c>
      <c r="AN1007" s="67">
        <f t="shared" si="368"/>
        <v>10</v>
      </c>
      <c r="AO1007" s="67">
        <f t="shared" si="369"/>
        <v>18</v>
      </c>
      <c r="AP1007" s="67">
        <f t="shared" si="370"/>
        <v>8</v>
      </c>
      <c r="AQ1007" s="67">
        <f t="shared" si="371"/>
        <v>39</v>
      </c>
      <c r="AR1007" s="67">
        <f t="shared" si="372"/>
        <v>19</v>
      </c>
      <c r="AS1007" s="636">
        <f t="shared" si="373"/>
        <v>6859</v>
      </c>
      <c r="AU1007" s="708">
        <f t="shared" si="374"/>
        <v>4.3334942526976603E-2</v>
      </c>
    </row>
    <row r="1008" spans="1:48" ht="15.75" customHeight="1" x14ac:dyDescent="0.3">
      <c r="A1008" s="553"/>
      <c r="B1008" s="67"/>
      <c r="C1008" s="67"/>
      <c r="D1008" s="67"/>
      <c r="E1008" s="67"/>
      <c r="F1008" s="67"/>
      <c r="G1008" s="67"/>
      <c r="H1008" s="67"/>
      <c r="I1008" s="67"/>
      <c r="J1008" s="67"/>
      <c r="K1008" s="67"/>
      <c r="L1008" s="67"/>
      <c r="M1008" s="67"/>
      <c r="N1008" s="67"/>
      <c r="O1008" s="67"/>
      <c r="P1008" s="67"/>
      <c r="Q1008" s="67"/>
      <c r="R1008" s="636"/>
      <c r="S1008" s="73"/>
      <c r="AC1008" s="579"/>
      <c r="AD1008" s="67"/>
      <c r="AE1008" s="67"/>
      <c r="AF1008" s="67"/>
      <c r="AG1008" s="67"/>
      <c r="AH1008" s="67"/>
      <c r="AI1008" s="67"/>
      <c r="AJ1008" s="67"/>
      <c r="AK1008" s="67"/>
      <c r="AL1008" s="67"/>
      <c r="AM1008" s="67"/>
      <c r="AN1008" s="67"/>
      <c r="AO1008" s="67"/>
      <c r="AP1008" s="67"/>
      <c r="AQ1008" s="67"/>
      <c r="AR1008" s="67"/>
      <c r="AS1008" s="636"/>
    </row>
    <row r="1009" spans="1:47" ht="15.75" customHeight="1" thickBot="1" x14ac:dyDescent="0.35">
      <c r="A1009" s="553" t="s">
        <v>2356</v>
      </c>
      <c r="B1009" s="67">
        <f>SUM(B996:B1007)</f>
        <v>1357873</v>
      </c>
      <c r="C1009" s="67">
        <f t="shared" ref="C1009:Q1009" si="376">SUM(C996:C1007)</f>
        <v>172678</v>
      </c>
      <c r="D1009" s="67">
        <f t="shared" si="376"/>
        <v>180740</v>
      </c>
      <c r="E1009" s="67">
        <f t="shared" si="376"/>
        <v>298931</v>
      </c>
      <c r="F1009" s="67">
        <f t="shared" si="376"/>
        <v>64026.302810529443</v>
      </c>
      <c r="G1009" s="67">
        <f t="shared" si="376"/>
        <v>-35830.788855359024</v>
      </c>
      <c r="H1009" s="67">
        <f t="shared" si="376"/>
        <v>90779</v>
      </c>
      <c r="I1009" s="67">
        <f t="shared" si="376"/>
        <v>54072</v>
      </c>
      <c r="J1009" s="67">
        <f t="shared" si="376"/>
        <v>68717</v>
      </c>
      <c r="K1009" s="67">
        <f t="shared" si="376"/>
        <v>63905</v>
      </c>
      <c r="L1009" s="67">
        <f t="shared" si="376"/>
        <v>20034</v>
      </c>
      <c r="M1009" s="67">
        <f t="shared" si="376"/>
        <v>23599</v>
      </c>
      <c r="N1009" s="67">
        <f t="shared" si="376"/>
        <v>46722</v>
      </c>
      <c r="O1009" s="67">
        <f t="shared" si="376"/>
        <v>9325</v>
      </c>
      <c r="P1009" s="67">
        <f t="shared" si="376"/>
        <v>20929</v>
      </c>
      <c r="Q1009" s="67">
        <f t="shared" si="376"/>
        <v>22057</v>
      </c>
      <c r="R1009" s="639">
        <f>SUM(R996:R1007)</f>
        <v>2458556.5139551703</v>
      </c>
      <c r="S1009" s="73"/>
      <c r="AC1009" s="644" t="s">
        <v>2356</v>
      </c>
      <c r="AD1009" s="555">
        <f>SUM(AD996:AD1007)</f>
        <v>63821</v>
      </c>
      <c r="AE1009" s="555">
        <f t="shared" ref="AE1009:AS1009" si="377">SUM(AE996:AE1007)</f>
        <v>8114</v>
      </c>
      <c r="AF1009" s="555">
        <f t="shared" si="377"/>
        <v>8497</v>
      </c>
      <c r="AG1009" s="555">
        <f t="shared" si="377"/>
        <v>14051</v>
      </c>
      <c r="AH1009" s="555">
        <f t="shared" si="377"/>
        <v>0</v>
      </c>
      <c r="AI1009" s="555">
        <f t="shared" si="377"/>
        <v>2725</v>
      </c>
      <c r="AJ1009" s="555">
        <f t="shared" si="377"/>
        <v>1623</v>
      </c>
      <c r="AK1009" s="555">
        <f t="shared" si="377"/>
        <v>2061</v>
      </c>
      <c r="AL1009" s="555">
        <f t="shared" si="377"/>
        <v>1917</v>
      </c>
      <c r="AM1009" s="555">
        <f t="shared" si="377"/>
        <v>602</v>
      </c>
      <c r="AN1009" s="555">
        <f t="shared" si="377"/>
        <v>707</v>
      </c>
      <c r="AO1009" s="555">
        <f t="shared" si="377"/>
        <v>1401</v>
      </c>
      <c r="AP1009" s="555">
        <f t="shared" si="377"/>
        <v>280</v>
      </c>
      <c r="AQ1009" s="555">
        <f t="shared" si="377"/>
        <v>629</v>
      </c>
      <c r="AR1009" s="555">
        <f t="shared" si="377"/>
        <v>662</v>
      </c>
      <c r="AS1009" s="637">
        <f t="shared" si="377"/>
        <v>107090</v>
      </c>
      <c r="AU1009" s="708">
        <f t="shared" si="374"/>
        <v>4.35580794633516E-2</v>
      </c>
    </row>
    <row r="1010" spans="1:47" ht="16.5" customHeight="1" thickBot="1" x14ac:dyDescent="0.35">
      <c r="A1010" s="558" t="s">
        <v>852</v>
      </c>
      <c r="B1010" s="555"/>
      <c r="C1010" s="555"/>
      <c r="D1010" s="555"/>
      <c r="E1010" s="555"/>
      <c r="F1010" s="555"/>
      <c r="G1010" s="555"/>
      <c r="H1010" s="555"/>
      <c r="I1010" s="555"/>
      <c r="J1010" s="555"/>
      <c r="K1010" s="555"/>
      <c r="L1010" s="555"/>
      <c r="M1010" s="555"/>
      <c r="N1010" s="555"/>
      <c r="O1010" s="555"/>
      <c r="P1010" s="555"/>
      <c r="Q1010" s="555"/>
      <c r="R1010" s="637"/>
      <c r="S1010" s="67"/>
    </row>
    <row r="1011" spans="1:47" ht="15.75" customHeight="1" x14ac:dyDescent="0.3">
      <c r="A1011" s="67"/>
      <c r="B1011" s="67"/>
      <c r="C1011" s="67"/>
      <c r="D1011" s="67"/>
      <c r="E1011" s="67"/>
      <c r="F1011" s="67"/>
      <c r="G1011" s="67"/>
      <c r="H1011" s="67"/>
      <c r="I1011" s="67"/>
      <c r="J1011" s="67"/>
      <c r="K1011" s="67"/>
      <c r="L1011" s="67"/>
      <c r="M1011" s="67"/>
      <c r="N1011" s="67"/>
      <c r="O1011" s="67"/>
      <c r="P1011" s="67"/>
      <c r="Q1011" s="67"/>
      <c r="R1011" s="67"/>
    </row>
    <row r="1012" spans="1:47" ht="15.75" customHeight="1" x14ac:dyDescent="0.3"/>
    <row r="1013" spans="1:47" ht="15.75" customHeight="1" thickBot="1" x14ac:dyDescent="0.35"/>
    <row r="1014" spans="1:47" ht="15.75" customHeight="1" thickBot="1" x14ac:dyDescent="0.35">
      <c r="B1014" s="822" t="s">
        <v>2921</v>
      </c>
      <c r="C1014" s="821"/>
      <c r="D1014" s="821"/>
      <c r="E1014" s="821"/>
      <c r="F1014" s="821"/>
      <c r="G1014" s="821"/>
      <c r="H1014" s="821"/>
      <c r="I1014" s="821"/>
      <c r="J1014" s="821"/>
      <c r="K1014" s="821"/>
      <c r="L1014" s="821"/>
      <c r="M1014" s="821"/>
      <c r="N1014" s="821"/>
      <c r="O1014" s="821"/>
      <c r="P1014" s="821"/>
      <c r="Q1014" s="752" t="str">
        <f>+Q1</f>
        <v xml:space="preserve">PRINTED:  </v>
      </c>
      <c r="R1014" s="756">
        <f ca="1">+R1</f>
        <v>44881.729633912037</v>
      </c>
      <c r="S1014" s="701"/>
      <c r="T1014" s="703"/>
      <c r="U1014" s="703"/>
      <c r="V1014" s="702"/>
    </row>
    <row r="1015" spans="1:47" ht="15.75" customHeight="1" x14ac:dyDescent="0.3">
      <c r="B1015" s="791">
        <f>+A5</f>
        <v>2021</v>
      </c>
      <c r="C1015" s="787"/>
      <c r="D1015" s="787"/>
      <c r="E1015" s="787"/>
      <c r="F1015" s="787"/>
      <c r="G1015" s="787"/>
      <c r="H1015" s="787"/>
      <c r="I1015" s="787"/>
      <c r="J1015" s="787"/>
      <c r="K1015" s="787"/>
      <c r="L1015" s="787"/>
      <c r="M1015" s="787"/>
      <c r="N1015" s="787"/>
      <c r="O1015" s="787"/>
      <c r="P1015" s="787"/>
      <c r="Q1015" s="67"/>
      <c r="R1015" s="67"/>
      <c r="S1015" s="67"/>
      <c r="V1015" s="727"/>
      <c r="AC1015" s="704"/>
      <c r="AD1015" s="821" t="s">
        <v>2923</v>
      </c>
      <c r="AE1015" s="823"/>
      <c r="AF1015" s="823"/>
      <c r="AG1015" s="823"/>
      <c r="AH1015" s="823"/>
      <c r="AI1015" s="823"/>
      <c r="AJ1015" s="823"/>
      <c r="AK1015" s="823"/>
      <c r="AL1015" s="823"/>
      <c r="AM1015" s="823"/>
      <c r="AN1015" s="823"/>
      <c r="AO1015" s="823"/>
      <c r="AP1015" s="823"/>
      <c r="AQ1015" s="823"/>
      <c r="AR1015" s="752" t="str">
        <f>$Q$1</f>
        <v xml:space="preserve">PRINTED:  </v>
      </c>
      <c r="AS1015" s="757">
        <f ca="1">$R$1</f>
        <v>44881.729633912037</v>
      </c>
    </row>
    <row r="1016" spans="1:47" ht="15.75" customHeight="1" x14ac:dyDescent="0.3">
      <c r="B1016" s="792" t="str">
        <f>+A8</f>
        <v>Revised:  2/5/2020</v>
      </c>
      <c r="C1016" s="786"/>
      <c r="D1016" s="786"/>
      <c r="E1016" s="786"/>
      <c r="F1016" s="786"/>
      <c r="G1016" s="786"/>
      <c r="H1016" s="786"/>
      <c r="I1016" s="786"/>
      <c r="J1016" s="786"/>
      <c r="K1016" s="786"/>
      <c r="L1016" s="786"/>
      <c r="M1016" s="786"/>
      <c r="N1016" s="786"/>
      <c r="O1016" s="786"/>
      <c r="P1016" s="786"/>
      <c r="Q1016" s="67"/>
      <c r="R1016" s="67"/>
      <c r="S1016" s="67"/>
      <c r="V1016" s="727"/>
      <c r="AC1016" s="579"/>
      <c r="AD1016" s="786" t="str">
        <f>+$A$8</f>
        <v>Revised:  2/5/2020</v>
      </c>
      <c r="AE1016" s="788"/>
      <c r="AF1016" s="788"/>
      <c r="AG1016" s="788"/>
      <c r="AH1016" s="788"/>
      <c r="AI1016" s="788"/>
      <c r="AJ1016" s="788"/>
      <c r="AK1016" s="788"/>
      <c r="AL1016" s="788"/>
      <c r="AM1016" s="788"/>
      <c r="AN1016" s="788"/>
      <c r="AO1016" s="788"/>
      <c r="AP1016" s="788"/>
      <c r="AQ1016" s="788"/>
      <c r="AR1016" s="139"/>
      <c r="AS1016" s="727"/>
    </row>
    <row r="1017" spans="1:47" ht="15.75" customHeight="1" thickBot="1" x14ac:dyDescent="0.35">
      <c r="B1017" s="793" t="s">
        <v>2676</v>
      </c>
      <c r="C1017" s="794"/>
      <c r="D1017" s="794"/>
      <c r="E1017" s="794"/>
      <c r="F1017" s="794"/>
      <c r="G1017" s="794"/>
      <c r="H1017" s="794"/>
      <c r="I1017" s="794"/>
      <c r="J1017" s="794"/>
      <c r="K1017" s="794"/>
      <c r="L1017" s="794"/>
      <c r="M1017" s="794"/>
      <c r="N1017" s="794"/>
      <c r="O1017" s="794"/>
      <c r="P1017" s="794"/>
      <c r="Q1017" s="67"/>
      <c r="R1017" s="67"/>
      <c r="S1017" s="555"/>
      <c r="V1017" s="727"/>
      <c r="AC1017" s="579"/>
      <c r="AD1017" s="786" t="s">
        <v>2878</v>
      </c>
      <c r="AE1017" s="789"/>
      <c r="AF1017" s="789"/>
      <c r="AG1017" s="789"/>
      <c r="AH1017" s="789"/>
      <c r="AI1017" s="789"/>
      <c r="AJ1017" s="789"/>
      <c r="AK1017" s="789"/>
      <c r="AL1017" s="789"/>
      <c r="AM1017" s="789"/>
      <c r="AN1017" s="789"/>
      <c r="AO1017" s="789"/>
      <c r="AP1017" s="789"/>
      <c r="AQ1017" s="789"/>
      <c r="AS1017" s="727"/>
    </row>
    <row r="1018" spans="1:47" ht="15.75" customHeight="1" thickBot="1" x14ac:dyDescent="0.35">
      <c r="A1018" s="649"/>
      <c r="B1018" s="795" t="s">
        <v>2633</v>
      </c>
      <c r="C1018" s="796"/>
      <c r="D1018" s="796"/>
      <c r="E1018" s="796"/>
      <c r="F1018" s="797"/>
      <c r="G1018" s="795" t="s">
        <v>2674</v>
      </c>
      <c r="H1018" s="796"/>
      <c r="I1018" s="796"/>
      <c r="J1018" s="796"/>
      <c r="K1018" s="796"/>
      <c r="L1018" s="796"/>
      <c r="M1018" s="798" t="s">
        <v>2677</v>
      </c>
      <c r="N1018" s="799"/>
      <c r="O1018" s="799"/>
      <c r="P1018" s="799"/>
      <c r="Q1018" s="799"/>
      <c r="R1018" s="800"/>
      <c r="S1018" s="795" t="s">
        <v>2682</v>
      </c>
      <c r="T1018" s="801"/>
      <c r="U1018" s="802"/>
      <c r="V1018" s="727"/>
      <c r="AC1018" s="579"/>
      <c r="AS1018" s="727"/>
    </row>
    <row r="1019" spans="1:47" ht="15.75" customHeight="1" x14ac:dyDescent="0.3">
      <c r="A1019" s="649"/>
      <c r="B1019" s="553" t="s">
        <v>2439</v>
      </c>
      <c r="C1019" s="70"/>
      <c r="D1019" s="70" t="s">
        <v>336</v>
      </c>
      <c r="E1019" s="70" t="s">
        <v>596</v>
      </c>
      <c r="F1019" s="758" t="s">
        <v>2652</v>
      </c>
      <c r="G1019" s="553" t="s">
        <v>228</v>
      </c>
      <c r="H1019" s="70"/>
      <c r="I1019" s="70"/>
      <c r="J1019" s="70" t="s">
        <v>229</v>
      </c>
      <c r="K1019" s="70" t="s">
        <v>2638</v>
      </c>
      <c r="L1019" s="70" t="s">
        <v>2639</v>
      </c>
      <c r="M1019" s="803" t="s">
        <v>3116</v>
      </c>
      <c r="N1019" s="804"/>
      <c r="O1019" s="805"/>
      <c r="P1019" s="604"/>
      <c r="Q1019" s="599"/>
      <c r="R1019" s="713"/>
      <c r="S1019" s="70" t="s">
        <v>2683</v>
      </c>
      <c r="T1019" s="610" t="s">
        <v>134</v>
      </c>
      <c r="U1019" s="759" t="s">
        <v>2685</v>
      </c>
      <c r="V1019" s="727"/>
      <c r="AC1019" s="579"/>
      <c r="AD1019" s="787">
        <f>$A$5</f>
        <v>2021</v>
      </c>
      <c r="AE1019" s="789"/>
      <c r="AF1019" s="789"/>
      <c r="AG1019" s="789"/>
      <c r="AH1019" s="789"/>
      <c r="AI1019" s="789"/>
      <c r="AJ1019" s="789"/>
      <c r="AK1019" s="789"/>
      <c r="AL1019" s="789"/>
      <c r="AM1019" s="789"/>
      <c r="AN1019" s="789"/>
      <c r="AO1019" s="789"/>
      <c r="AP1019" s="789"/>
      <c r="AQ1019" s="789"/>
      <c r="AS1019" s="727"/>
    </row>
    <row r="1020" spans="1:47" ht="15.75" customHeight="1" x14ac:dyDescent="0.3">
      <c r="A1020" s="649"/>
      <c r="B1020" s="593" t="s">
        <v>2648</v>
      </c>
      <c r="C1020" s="588" t="s">
        <v>2656</v>
      </c>
      <c r="D1020" s="588" t="s">
        <v>2651</v>
      </c>
      <c r="E1020" s="70" t="s">
        <v>335</v>
      </c>
      <c r="F1020" s="760" t="s">
        <v>2653</v>
      </c>
      <c r="G1020" s="553" t="s">
        <v>2463</v>
      </c>
      <c r="H1020" s="70" t="s">
        <v>1416</v>
      </c>
      <c r="I1020" s="70" t="s">
        <v>1417</v>
      </c>
      <c r="J1020" s="588" t="s">
        <v>2632</v>
      </c>
      <c r="K1020" s="70" t="s">
        <v>2634</v>
      </c>
      <c r="L1020" s="588" t="s">
        <v>2637</v>
      </c>
      <c r="M1020" s="603" t="s">
        <v>2679</v>
      </c>
      <c r="N1020" s="604" t="s">
        <v>2680</v>
      </c>
      <c r="O1020" s="761" t="s">
        <v>2356</v>
      </c>
      <c r="P1020" s="604" t="s">
        <v>3112</v>
      </c>
      <c r="Q1020" s="604" t="s">
        <v>3112</v>
      </c>
      <c r="R1020" s="761" t="s">
        <v>3117</v>
      </c>
      <c r="S1020" s="70" t="s">
        <v>2684</v>
      </c>
      <c r="T1020" s="70" t="s">
        <v>2686</v>
      </c>
      <c r="U1020" s="758" t="s">
        <v>2687</v>
      </c>
      <c r="V1020" s="727"/>
      <c r="AC1020" s="579"/>
      <c r="AD1020" s="786" t="s">
        <v>2919</v>
      </c>
      <c r="AE1020" s="788"/>
      <c r="AF1020" s="788"/>
      <c r="AG1020" s="788"/>
      <c r="AH1020" s="788"/>
      <c r="AI1020" s="788"/>
      <c r="AJ1020" s="788"/>
      <c r="AK1020" s="788"/>
      <c r="AL1020" s="788"/>
      <c r="AM1020" s="788"/>
      <c r="AN1020" s="788"/>
      <c r="AO1020" s="788"/>
      <c r="AP1020" s="788"/>
      <c r="AQ1020" s="788"/>
      <c r="AR1020" s="70"/>
      <c r="AS1020" s="727"/>
    </row>
    <row r="1021" spans="1:47" ht="15.75" customHeight="1" x14ac:dyDescent="0.3">
      <c r="A1021" s="649"/>
      <c r="B1021" s="594" t="s">
        <v>2654</v>
      </c>
      <c r="C1021" s="217">
        <v>0</v>
      </c>
      <c r="D1021" s="217"/>
      <c r="E1021" s="70" t="s">
        <v>133</v>
      </c>
      <c r="F1021" s="762" t="s">
        <v>2649</v>
      </c>
      <c r="G1021" s="553" t="s">
        <v>2650</v>
      </c>
      <c r="H1021" s="70" t="s">
        <v>335</v>
      </c>
      <c r="I1021" s="70" t="s">
        <v>335</v>
      </c>
      <c r="J1021" s="70" t="s">
        <v>335</v>
      </c>
      <c r="K1021" s="70" t="s">
        <v>134</v>
      </c>
      <c r="L1021" s="70" t="s">
        <v>2636</v>
      </c>
      <c r="M1021" s="605" t="s">
        <v>955</v>
      </c>
      <c r="N1021" s="599" t="s">
        <v>2681</v>
      </c>
      <c r="O1021" s="761" t="s">
        <v>2688</v>
      </c>
      <c r="P1021" s="599" t="s">
        <v>3113</v>
      </c>
      <c r="Q1021" s="604" t="s">
        <v>3113</v>
      </c>
      <c r="R1021" s="761" t="s">
        <v>2688</v>
      </c>
      <c r="S1021" s="70" t="s">
        <v>335</v>
      </c>
      <c r="T1021" s="70" t="s">
        <v>335</v>
      </c>
      <c r="U1021" s="758" t="s">
        <v>335</v>
      </c>
      <c r="V1021" s="727"/>
      <c r="AC1021" s="579"/>
      <c r="AK1021" s="670"/>
      <c r="AS1021" s="727"/>
    </row>
    <row r="1022" spans="1:47" ht="15.75" customHeight="1" thickBot="1" x14ac:dyDescent="0.35">
      <c r="A1022" s="592" t="s">
        <v>249</v>
      </c>
      <c r="B1022" s="553" t="s">
        <v>998</v>
      </c>
      <c r="C1022" s="70" t="s">
        <v>998</v>
      </c>
      <c r="D1022" s="70" t="s">
        <v>998</v>
      </c>
      <c r="E1022" s="70" t="s">
        <v>998</v>
      </c>
      <c r="F1022" s="758" t="s">
        <v>998</v>
      </c>
      <c r="G1022" s="553" t="s">
        <v>998</v>
      </c>
      <c r="H1022" s="70" t="s">
        <v>998</v>
      </c>
      <c r="I1022" s="70" t="s">
        <v>998</v>
      </c>
      <c r="J1022" s="70" t="s">
        <v>998</v>
      </c>
      <c r="K1022" s="70" t="s">
        <v>998</v>
      </c>
      <c r="L1022" s="70" t="s">
        <v>998</v>
      </c>
      <c r="M1022" s="605" t="s">
        <v>998</v>
      </c>
      <c r="N1022" s="599" t="s">
        <v>998</v>
      </c>
      <c r="O1022" s="761" t="s">
        <v>998</v>
      </c>
      <c r="P1022" s="599" t="s">
        <v>3013</v>
      </c>
      <c r="Q1022" s="604" t="s">
        <v>998</v>
      </c>
      <c r="R1022" s="761" t="s">
        <v>998</v>
      </c>
      <c r="S1022" s="70" t="s">
        <v>998</v>
      </c>
      <c r="T1022" s="70" t="s">
        <v>998</v>
      </c>
      <c r="U1022" s="758" t="s">
        <v>998</v>
      </c>
      <c r="V1022" s="727"/>
      <c r="AC1022" s="579"/>
      <c r="AD1022" s="634" t="s">
        <v>1308</v>
      </c>
      <c r="AE1022" s="634" t="s">
        <v>1309</v>
      </c>
      <c r="AF1022" s="634" t="s">
        <v>1029</v>
      </c>
      <c r="AG1022" s="634" t="s">
        <v>1030</v>
      </c>
      <c r="AH1022" s="634" t="s">
        <v>284</v>
      </c>
      <c r="AI1022" s="634" t="s">
        <v>285</v>
      </c>
      <c r="AJ1022" s="634" t="s">
        <v>286</v>
      </c>
      <c r="AK1022" s="634" t="s">
        <v>287</v>
      </c>
      <c r="AL1022" s="634" t="s">
        <v>288</v>
      </c>
      <c r="AM1022" s="634" t="s">
        <v>289</v>
      </c>
      <c r="AN1022" s="634" t="s">
        <v>633</v>
      </c>
      <c r="AO1022" s="634" t="s">
        <v>634</v>
      </c>
      <c r="AP1022" s="634" t="s">
        <v>1192</v>
      </c>
      <c r="AQ1022" s="634" t="s">
        <v>524</v>
      </c>
      <c r="AR1022" s="634" t="s">
        <v>525</v>
      </c>
      <c r="AS1022" s="684" t="s">
        <v>2356</v>
      </c>
    </row>
    <row r="1023" spans="1:47" ht="15.75" customHeight="1" x14ac:dyDescent="0.3">
      <c r="A1023" s="592" t="s">
        <v>1353</v>
      </c>
      <c r="B1023" s="553" t="s">
        <v>1353</v>
      </c>
      <c r="C1023" s="70" t="s">
        <v>1353</v>
      </c>
      <c r="D1023" s="70" t="s">
        <v>1353</v>
      </c>
      <c r="E1023" s="70" t="s">
        <v>2202</v>
      </c>
      <c r="F1023" s="758" t="s">
        <v>1353</v>
      </c>
      <c r="G1023" s="553" t="s">
        <v>1353</v>
      </c>
      <c r="H1023" s="70" t="s">
        <v>2119</v>
      </c>
      <c r="I1023" s="70" t="s">
        <v>2119</v>
      </c>
      <c r="J1023" s="70" t="s">
        <v>1353</v>
      </c>
      <c r="K1023" s="70" t="s">
        <v>1353</v>
      </c>
      <c r="L1023" s="70" t="s">
        <v>1353</v>
      </c>
      <c r="M1023" s="605" t="s">
        <v>1353</v>
      </c>
      <c r="N1023" s="599" t="s">
        <v>1353</v>
      </c>
      <c r="O1023" s="761" t="s">
        <v>1353</v>
      </c>
      <c r="P1023" s="605" t="s">
        <v>1353</v>
      </c>
      <c r="Q1023" s="599" t="s">
        <v>1353</v>
      </c>
      <c r="R1023" s="761" t="s">
        <v>1353</v>
      </c>
      <c r="S1023" s="70" t="s">
        <v>1353</v>
      </c>
      <c r="T1023" s="70" t="s">
        <v>1353</v>
      </c>
      <c r="U1023" s="758" t="s">
        <v>1353</v>
      </c>
      <c r="V1023" s="727"/>
      <c r="AC1023" s="579"/>
      <c r="AD1023" s="67"/>
      <c r="AE1023" s="67"/>
      <c r="AF1023" s="67"/>
      <c r="AG1023" s="67"/>
      <c r="AH1023" s="70" t="s">
        <v>2910</v>
      </c>
      <c r="AI1023" s="67"/>
      <c r="AJ1023" s="67"/>
      <c r="AK1023" s="67"/>
      <c r="AL1023" s="67"/>
      <c r="AM1023" s="67"/>
      <c r="AN1023" s="67"/>
      <c r="AO1023" s="67"/>
      <c r="AP1023" s="67"/>
      <c r="AQ1023" s="67"/>
      <c r="AR1023" s="67"/>
      <c r="AS1023" s="636"/>
    </row>
    <row r="1024" spans="1:47" ht="15.75" customHeight="1" x14ac:dyDescent="0.3">
      <c r="A1024" s="139" t="s">
        <v>2843</v>
      </c>
      <c r="B1024" s="553">
        <f>ROUND(R996-G996,0)</f>
        <v>116355</v>
      </c>
      <c r="C1024" s="70">
        <f>+ROUND(B1024*$C$1021,0)</f>
        <v>0</v>
      </c>
      <c r="D1024" s="70">
        <f>AS996</f>
        <v>5049</v>
      </c>
      <c r="E1024" s="70">
        <f>+B1024+C1024</f>
        <v>116355</v>
      </c>
      <c r="F1024" s="758">
        <f>(D1024+E1024)</f>
        <v>121404</v>
      </c>
      <c r="G1024" s="553">
        <f>ABS(G996)</f>
        <v>0</v>
      </c>
      <c r="H1024" s="600">
        <v>9026</v>
      </c>
      <c r="I1024" s="600">
        <v>0</v>
      </c>
      <c r="J1024" s="70">
        <f>(H1024+I1024)</f>
        <v>9026</v>
      </c>
      <c r="K1024" s="600">
        <v>0</v>
      </c>
      <c r="L1024" s="600">
        <v>0</v>
      </c>
      <c r="M1024" s="606">
        <f>D1024+E1024-G1024-J1024-K1024-L1024</f>
        <v>112378</v>
      </c>
      <c r="N1024" s="607">
        <v>0</v>
      </c>
      <c r="O1024" s="761">
        <f>M1024+N1024</f>
        <v>112378</v>
      </c>
      <c r="P1024" s="710">
        <v>0.2</v>
      </c>
      <c r="Q1024" s="599">
        <f>-O1024*P1024</f>
        <v>-22475.600000000002</v>
      </c>
      <c r="R1024" s="761">
        <f>O1024+Q1024</f>
        <v>89902.399999999994</v>
      </c>
      <c r="S1024" s="628">
        <f t="shared" ref="S1024:S1035" si="378">(F1024-G1024-J1024-K1024-L1024-R1024)</f>
        <v>22475.600000000006</v>
      </c>
      <c r="T1024" s="70">
        <f>+IF(S1024&gt;=0,ABS(S1024),"")</f>
        <v>22475.600000000006</v>
      </c>
      <c r="U1024" s="758" t="str">
        <f>+IF(S1024&lt;=0,ABS(S1024),"")</f>
        <v/>
      </c>
      <c r="V1024" s="727"/>
      <c r="AC1024" s="642" t="s">
        <v>3041</v>
      </c>
      <c r="AD1024" s="687"/>
      <c r="AE1024" s="687"/>
      <c r="AF1024" s="687"/>
      <c r="AG1024" s="687"/>
      <c r="AH1024" s="687">
        <v>1.6E-2</v>
      </c>
      <c r="AI1024" s="687">
        <v>1.6E-2</v>
      </c>
      <c r="AJ1024" s="687">
        <v>1.6E-2</v>
      </c>
      <c r="AK1024" s="687">
        <v>1.6E-2</v>
      </c>
      <c r="AL1024" s="687">
        <v>1.6E-2</v>
      </c>
      <c r="AM1024" s="687">
        <v>1.6E-2</v>
      </c>
      <c r="AN1024" s="687">
        <v>1.6E-2</v>
      </c>
      <c r="AO1024" s="687">
        <v>1.6E-2</v>
      </c>
      <c r="AP1024" s="687">
        <v>1.6E-2</v>
      </c>
      <c r="AQ1024" s="687">
        <v>1.6E-2</v>
      </c>
      <c r="AR1024" s="687">
        <v>1.6E-2</v>
      </c>
      <c r="AS1024" s="592"/>
    </row>
    <row r="1025" spans="1:45" ht="15.75" customHeight="1" x14ac:dyDescent="0.3">
      <c r="A1025" s="139" t="s">
        <v>2091</v>
      </c>
      <c r="B1025" s="553">
        <f>ROUND(R997-G997,0)</f>
        <v>223536</v>
      </c>
      <c r="C1025" s="70">
        <f t="shared" ref="C1025:C1035" si="379">+ROUND(B1025*$C$1021,0)</f>
        <v>0</v>
      </c>
      <c r="D1025" s="70">
        <f t="shared" ref="D1025:D1035" si="380">AS997</f>
        <v>9421</v>
      </c>
      <c r="E1025" s="70">
        <f t="shared" ref="E1025:E1037" si="381">+B1025+C1025</f>
        <v>223536</v>
      </c>
      <c r="F1025" s="758">
        <f t="shared" ref="F1025:F1035" si="382">(D1025+E1025)</f>
        <v>232957</v>
      </c>
      <c r="G1025" s="553">
        <f t="shared" ref="G1025:G1035" si="383">ABS(G997)</f>
        <v>0</v>
      </c>
      <c r="H1025" s="600">
        <v>10267</v>
      </c>
      <c r="I1025" s="600">
        <v>0</v>
      </c>
      <c r="J1025" s="70">
        <f t="shared" ref="J1025:J1034" si="384">(H1025+I1025)</f>
        <v>10267</v>
      </c>
      <c r="K1025" s="600">
        <v>0</v>
      </c>
      <c r="L1025" s="600">
        <v>0</v>
      </c>
      <c r="M1025" s="606">
        <f t="shared" ref="M1025:M1035" si="385">D1025+E1025-G1025-J1025-K1025-L1025</f>
        <v>222690</v>
      </c>
      <c r="N1025" s="607">
        <v>0</v>
      </c>
      <c r="O1025" s="761">
        <f t="shared" ref="O1025:O1035" si="386">M1025+N1025</f>
        <v>222690</v>
      </c>
      <c r="P1025" s="710">
        <v>0.25</v>
      </c>
      <c r="Q1025" s="599">
        <f t="shared" ref="Q1025:Q1035" si="387">-O1025*P1025</f>
        <v>-55672.5</v>
      </c>
      <c r="R1025" s="761">
        <f t="shared" ref="R1025:R1035" si="388">O1025+Q1025</f>
        <v>167017.5</v>
      </c>
      <c r="S1025" s="628">
        <f t="shared" si="378"/>
        <v>55672.5</v>
      </c>
      <c r="T1025" s="70">
        <f t="shared" ref="T1025:T1035" si="389">+IF(S1025&gt;=0,ABS(S1025),"")</f>
        <v>55672.5</v>
      </c>
      <c r="U1025" s="758" t="str">
        <f t="shared" ref="U1025:U1035" si="390">+IF(S1025&lt;=0,ABS(S1025),"")</f>
        <v/>
      </c>
      <c r="V1025" s="727"/>
      <c r="AC1025" s="642" t="s">
        <v>2908</v>
      </c>
      <c r="AD1025" s="687"/>
      <c r="AE1025" s="687"/>
      <c r="AF1025" s="687"/>
      <c r="AG1025" s="687"/>
      <c r="AH1025" s="687"/>
      <c r="AI1025" s="687"/>
      <c r="AJ1025" s="687"/>
      <c r="AK1025" s="687"/>
      <c r="AL1025" s="687"/>
      <c r="AM1025" s="687"/>
      <c r="AN1025" s="687"/>
      <c r="AO1025" s="687"/>
      <c r="AP1025" s="687"/>
      <c r="AQ1025" s="687"/>
      <c r="AR1025" s="687"/>
      <c r="AS1025" s="592"/>
    </row>
    <row r="1026" spans="1:45" ht="15.75" customHeight="1" x14ac:dyDescent="0.3">
      <c r="A1026" s="139" t="s">
        <v>2234</v>
      </c>
      <c r="B1026" s="553">
        <f t="shared" ref="B1026:B1035" si="391">ROUND(R998-G998,0)</f>
        <v>289349</v>
      </c>
      <c r="C1026" s="70">
        <f t="shared" si="379"/>
        <v>0</v>
      </c>
      <c r="D1026" s="70">
        <f t="shared" si="380"/>
        <v>12287</v>
      </c>
      <c r="E1026" s="70">
        <f t="shared" si="381"/>
        <v>289349</v>
      </c>
      <c r="F1026" s="758">
        <f t="shared" si="382"/>
        <v>301636</v>
      </c>
      <c r="G1026" s="553">
        <f t="shared" si="383"/>
        <v>0</v>
      </c>
      <c r="H1026" s="600">
        <v>15833</v>
      </c>
      <c r="I1026" s="600">
        <v>0</v>
      </c>
      <c r="J1026" s="70">
        <f t="shared" si="384"/>
        <v>15833</v>
      </c>
      <c r="K1026" s="600">
        <v>0</v>
      </c>
      <c r="L1026" s="600">
        <v>0</v>
      </c>
      <c r="M1026" s="606">
        <f t="shared" si="385"/>
        <v>285803</v>
      </c>
      <c r="N1026" s="607">
        <v>0</v>
      </c>
      <c r="O1026" s="761">
        <f t="shared" si="386"/>
        <v>285803</v>
      </c>
      <c r="P1026" s="710">
        <v>0.3</v>
      </c>
      <c r="Q1026" s="599">
        <f t="shared" si="387"/>
        <v>-85740.9</v>
      </c>
      <c r="R1026" s="761">
        <f t="shared" si="388"/>
        <v>200062.1</v>
      </c>
      <c r="S1026" s="628">
        <f t="shared" si="378"/>
        <v>85740.9</v>
      </c>
      <c r="T1026" s="70">
        <f t="shared" si="389"/>
        <v>85740.9</v>
      </c>
      <c r="U1026" s="758" t="str">
        <f t="shared" si="390"/>
        <v/>
      </c>
      <c r="V1026" s="727"/>
      <c r="AC1026" s="642" t="s">
        <v>2909</v>
      </c>
      <c r="AD1026" s="687"/>
      <c r="AE1026" s="687"/>
      <c r="AF1026" s="687"/>
      <c r="AG1026" s="687"/>
      <c r="AH1026" s="687"/>
      <c r="AI1026" s="687"/>
      <c r="AJ1026" s="687"/>
      <c r="AK1026" s="687"/>
      <c r="AL1026" s="687"/>
      <c r="AM1026" s="687"/>
      <c r="AN1026" s="687"/>
      <c r="AO1026" s="687"/>
      <c r="AP1026" s="687"/>
      <c r="AQ1026" s="687"/>
      <c r="AR1026" s="687"/>
      <c r="AS1026" s="592"/>
    </row>
    <row r="1027" spans="1:45" ht="15.75" customHeight="1" x14ac:dyDescent="0.3">
      <c r="A1027" s="139" t="s">
        <v>2235</v>
      </c>
      <c r="B1027" s="553">
        <f t="shared" si="391"/>
        <v>276332</v>
      </c>
      <c r="C1027" s="70">
        <f t="shared" si="379"/>
        <v>0</v>
      </c>
      <c r="D1027" s="70">
        <f t="shared" si="380"/>
        <v>12137</v>
      </c>
      <c r="E1027" s="70">
        <f t="shared" si="381"/>
        <v>276332</v>
      </c>
      <c r="F1027" s="758">
        <f t="shared" si="382"/>
        <v>288469</v>
      </c>
      <c r="G1027" s="553">
        <f t="shared" si="383"/>
        <v>0</v>
      </c>
      <c r="H1027" s="600">
        <v>15927</v>
      </c>
      <c r="I1027" s="600">
        <v>0</v>
      </c>
      <c r="J1027" s="70">
        <f t="shared" si="384"/>
        <v>15927</v>
      </c>
      <c r="K1027" s="600">
        <v>0</v>
      </c>
      <c r="L1027" s="600">
        <v>0</v>
      </c>
      <c r="M1027" s="606">
        <f t="shared" si="385"/>
        <v>272542</v>
      </c>
      <c r="N1027" s="607">
        <v>-22320</v>
      </c>
      <c r="O1027" s="761">
        <f t="shared" si="386"/>
        <v>250222</v>
      </c>
      <c r="P1027" s="710">
        <v>0.35</v>
      </c>
      <c r="Q1027" s="599">
        <f t="shared" si="387"/>
        <v>-87577.7</v>
      </c>
      <c r="R1027" s="761">
        <f t="shared" si="388"/>
        <v>162644.29999999999</v>
      </c>
      <c r="S1027" s="628">
        <f t="shared" si="378"/>
        <v>109897.70000000001</v>
      </c>
      <c r="T1027" s="70">
        <f t="shared" si="389"/>
        <v>109897.70000000001</v>
      </c>
      <c r="U1027" s="758" t="str">
        <f t="shared" si="390"/>
        <v/>
      </c>
      <c r="V1027" s="727"/>
      <c r="AC1027" s="642" t="s">
        <v>2760</v>
      </c>
      <c r="AD1027" s="687"/>
      <c r="AE1027" s="687"/>
      <c r="AF1027" s="687"/>
      <c r="AG1027" s="687"/>
      <c r="AH1027" s="687"/>
      <c r="AI1027" s="687"/>
      <c r="AJ1027" s="687"/>
      <c r="AK1027" s="687"/>
      <c r="AL1027" s="687"/>
      <c r="AM1027" s="687"/>
      <c r="AN1027" s="687"/>
      <c r="AO1027" s="687"/>
      <c r="AP1027" s="687"/>
      <c r="AQ1027" s="687"/>
      <c r="AR1027" s="687"/>
      <c r="AS1027" s="592"/>
    </row>
    <row r="1028" spans="1:45" ht="15.75" customHeight="1" x14ac:dyDescent="0.3">
      <c r="A1028" s="139" t="s">
        <v>2236</v>
      </c>
      <c r="B1028" s="553">
        <f t="shared" si="391"/>
        <v>285992</v>
      </c>
      <c r="C1028" s="70">
        <f t="shared" si="379"/>
        <v>0</v>
      </c>
      <c r="D1028" s="70">
        <f t="shared" si="380"/>
        <v>12603</v>
      </c>
      <c r="E1028" s="70">
        <f t="shared" si="381"/>
        <v>285992</v>
      </c>
      <c r="F1028" s="758">
        <f t="shared" si="382"/>
        <v>298595</v>
      </c>
      <c r="G1028" s="553">
        <f t="shared" si="383"/>
        <v>0</v>
      </c>
      <c r="H1028" s="600">
        <v>14250</v>
      </c>
      <c r="I1028" s="600">
        <v>0</v>
      </c>
      <c r="J1028" s="70">
        <f t="shared" si="384"/>
        <v>14250</v>
      </c>
      <c r="K1028" s="600">
        <v>0</v>
      </c>
      <c r="L1028" s="600">
        <v>0</v>
      </c>
      <c r="M1028" s="606">
        <f t="shared" si="385"/>
        <v>284345</v>
      </c>
      <c r="N1028" s="607">
        <v>0</v>
      </c>
      <c r="O1028" s="761">
        <f t="shared" si="386"/>
        <v>284345</v>
      </c>
      <c r="P1028" s="710">
        <v>0.35</v>
      </c>
      <c r="Q1028" s="599">
        <f t="shared" si="387"/>
        <v>-99520.75</v>
      </c>
      <c r="R1028" s="761">
        <f t="shared" si="388"/>
        <v>184824.25</v>
      </c>
      <c r="S1028" s="628">
        <f t="shared" si="378"/>
        <v>99520.75</v>
      </c>
      <c r="T1028" s="70">
        <f t="shared" si="389"/>
        <v>99520.75</v>
      </c>
      <c r="U1028" s="758" t="str">
        <f t="shared" si="390"/>
        <v/>
      </c>
      <c r="V1028" s="727"/>
      <c r="AC1028" s="642" t="s">
        <v>1114</v>
      </c>
      <c r="AD1028" s="687"/>
      <c r="AE1028" s="687"/>
      <c r="AF1028" s="687"/>
      <c r="AG1028" s="687"/>
      <c r="AH1028" s="687"/>
      <c r="AI1028" s="687"/>
      <c r="AJ1028" s="687">
        <v>2.5000000000000001E-2</v>
      </c>
      <c r="AK1028" s="687">
        <v>2.5000000000000001E-2</v>
      </c>
      <c r="AL1028" s="687">
        <v>2.5000000000000001E-2</v>
      </c>
      <c r="AM1028" s="687">
        <v>2.5000000000000001E-2</v>
      </c>
      <c r="AN1028" s="687">
        <v>2.5000000000000001E-2</v>
      </c>
      <c r="AO1028" s="687">
        <v>2.5000000000000001E-2</v>
      </c>
      <c r="AP1028" s="687">
        <v>2.5000000000000001E-2</v>
      </c>
      <c r="AQ1028" s="687">
        <v>2.5000000000000001E-2</v>
      </c>
      <c r="AR1028" s="687">
        <v>2.5000000000000001E-2</v>
      </c>
      <c r="AS1028" s="592"/>
    </row>
    <row r="1029" spans="1:45" ht="15.75" customHeight="1" x14ac:dyDescent="0.3">
      <c r="A1029" s="139" t="s">
        <v>2237</v>
      </c>
      <c r="B1029" s="553">
        <f>ROUND(R1001-G1001,0)</f>
        <v>186494</v>
      </c>
      <c r="C1029" s="70">
        <f t="shared" si="379"/>
        <v>0</v>
      </c>
      <c r="D1029" s="70">
        <f t="shared" si="380"/>
        <v>7895</v>
      </c>
      <c r="E1029" s="70">
        <f t="shared" si="381"/>
        <v>186494</v>
      </c>
      <c r="F1029" s="758">
        <f t="shared" si="382"/>
        <v>194389</v>
      </c>
      <c r="G1029" s="553">
        <f t="shared" si="383"/>
        <v>14753.108656983868</v>
      </c>
      <c r="H1029" s="600">
        <v>12696</v>
      </c>
      <c r="I1029" s="600">
        <v>0</v>
      </c>
      <c r="J1029" s="70">
        <f t="shared" si="384"/>
        <v>12696</v>
      </c>
      <c r="K1029" s="600">
        <v>0</v>
      </c>
      <c r="L1029" s="600">
        <v>0</v>
      </c>
      <c r="M1029" s="606">
        <f t="shared" si="385"/>
        <v>166939.89134301612</v>
      </c>
      <c r="N1029" s="607">
        <v>47280</v>
      </c>
      <c r="O1029" s="761">
        <f t="shared" si="386"/>
        <v>214219.89134301612</v>
      </c>
      <c r="P1029" s="710">
        <v>7.4999999999999997E-2</v>
      </c>
      <c r="Q1029" s="599">
        <f t="shared" si="387"/>
        <v>-16066.491850726208</v>
      </c>
      <c r="R1029" s="761">
        <f t="shared" si="388"/>
        <v>198153.3994922899</v>
      </c>
      <c r="S1029" s="628">
        <f t="shared" si="378"/>
        <v>-31213.508149273781</v>
      </c>
      <c r="T1029" s="70" t="str">
        <f t="shared" si="389"/>
        <v/>
      </c>
      <c r="U1029" s="758">
        <f t="shared" si="390"/>
        <v>31213.508149273781</v>
      </c>
      <c r="V1029" s="727"/>
      <c r="AC1029" s="642" t="s">
        <v>2356</v>
      </c>
      <c r="AD1029" s="217">
        <f>SUM(AD1024:AD1028)</f>
        <v>0</v>
      </c>
      <c r="AE1029" s="217">
        <f t="shared" ref="AE1029:AR1029" si="392">SUM(AE1024:AE1028)</f>
        <v>0</v>
      </c>
      <c r="AF1029" s="217">
        <f t="shared" si="392"/>
        <v>0</v>
      </c>
      <c r="AG1029" s="217">
        <f t="shared" si="392"/>
        <v>0</v>
      </c>
      <c r="AH1029" s="217">
        <f t="shared" si="392"/>
        <v>1.6E-2</v>
      </c>
      <c r="AI1029" s="217">
        <f t="shared" si="392"/>
        <v>1.6E-2</v>
      </c>
      <c r="AJ1029" s="217">
        <f t="shared" si="392"/>
        <v>4.1000000000000002E-2</v>
      </c>
      <c r="AK1029" s="217">
        <f t="shared" si="392"/>
        <v>4.1000000000000002E-2</v>
      </c>
      <c r="AL1029" s="217">
        <f t="shared" si="392"/>
        <v>4.1000000000000002E-2</v>
      </c>
      <c r="AM1029" s="217">
        <f t="shared" si="392"/>
        <v>4.1000000000000002E-2</v>
      </c>
      <c r="AN1029" s="217">
        <f t="shared" si="392"/>
        <v>4.1000000000000002E-2</v>
      </c>
      <c r="AO1029" s="217">
        <f t="shared" si="392"/>
        <v>4.1000000000000002E-2</v>
      </c>
      <c r="AP1029" s="217">
        <f t="shared" si="392"/>
        <v>4.1000000000000002E-2</v>
      </c>
      <c r="AQ1029" s="217">
        <f t="shared" si="392"/>
        <v>4.1000000000000002E-2</v>
      </c>
      <c r="AR1029" s="217">
        <f t="shared" si="392"/>
        <v>4.1000000000000002E-2</v>
      </c>
      <c r="AS1029" s="592"/>
    </row>
    <row r="1030" spans="1:45" ht="15.75" customHeight="1" x14ac:dyDescent="0.3">
      <c r="A1030" s="139" t="s">
        <v>1504</v>
      </c>
      <c r="B1030" s="553">
        <f t="shared" si="391"/>
        <v>118441</v>
      </c>
      <c r="C1030" s="70">
        <f t="shared" si="379"/>
        <v>0</v>
      </c>
      <c r="D1030" s="70">
        <f t="shared" si="380"/>
        <v>4774</v>
      </c>
      <c r="E1030" s="70">
        <f t="shared" si="381"/>
        <v>118441</v>
      </c>
      <c r="F1030" s="758">
        <f t="shared" si="382"/>
        <v>123215</v>
      </c>
      <c r="G1030" s="553">
        <f t="shared" si="383"/>
        <v>12570.56750698814</v>
      </c>
      <c r="H1030" s="600">
        <v>11620</v>
      </c>
      <c r="I1030" s="600">
        <v>0</v>
      </c>
      <c r="J1030" s="70">
        <f t="shared" si="384"/>
        <v>11620</v>
      </c>
      <c r="K1030" s="600">
        <v>0</v>
      </c>
      <c r="L1030" s="600">
        <v>0</v>
      </c>
      <c r="M1030" s="606">
        <f t="shared" si="385"/>
        <v>99024.43249301186</v>
      </c>
      <c r="N1030" s="607">
        <v>47120</v>
      </c>
      <c r="O1030" s="761">
        <f t="shared" si="386"/>
        <v>146144.43249301187</v>
      </c>
      <c r="P1030" s="710">
        <v>0.05</v>
      </c>
      <c r="Q1030" s="599">
        <f t="shared" si="387"/>
        <v>-7307.2216246505941</v>
      </c>
      <c r="R1030" s="761">
        <f t="shared" si="388"/>
        <v>138837.21086836129</v>
      </c>
      <c r="S1030" s="628">
        <f t="shared" si="378"/>
        <v>-39812.77837534943</v>
      </c>
      <c r="T1030" s="70" t="str">
        <f t="shared" si="389"/>
        <v/>
      </c>
      <c r="U1030" s="758">
        <f t="shared" si="390"/>
        <v>39812.77837534943</v>
      </c>
      <c r="V1030" s="727"/>
      <c r="AC1030" s="553" t="s">
        <v>1353</v>
      </c>
      <c r="AD1030" s="70" t="s">
        <v>1353</v>
      </c>
      <c r="AE1030" s="70" t="s">
        <v>1353</v>
      </c>
      <c r="AF1030" s="70" t="s">
        <v>1353</v>
      </c>
      <c r="AG1030" s="70" t="s">
        <v>1353</v>
      </c>
      <c r="AH1030" s="70" t="s">
        <v>1353</v>
      </c>
      <c r="AI1030" s="70" t="s">
        <v>1353</v>
      </c>
      <c r="AJ1030" s="70" t="s">
        <v>1353</v>
      </c>
      <c r="AK1030" s="70" t="s">
        <v>1353</v>
      </c>
      <c r="AL1030" s="70" t="s">
        <v>1353</v>
      </c>
      <c r="AM1030" s="70" t="s">
        <v>1353</v>
      </c>
      <c r="AN1030" s="70" t="s">
        <v>1353</v>
      </c>
      <c r="AO1030" s="70" t="s">
        <v>1353</v>
      </c>
      <c r="AP1030" s="70" t="s">
        <v>1353</v>
      </c>
      <c r="AQ1030" s="70" t="s">
        <v>1353</v>
      </c>
      <c r="AR1030" s="70" t="s">
        <v>1353</v>
      </c>
      <c r="AS1030" s="592" t="s">
        <v>1353</v>
      </c>
    </row>
    <row r="1031" spans="1:45" ht="15.75" customHeight="1" x14ac:dyDescent="0.3">
      <c r="A1031" s="139" t="s">
        <v>1505</v>
      </c>
      <c r="B1031" s="553">
        <f t="shared" si="391"/>
        <v>121287</v>
      </c>
      <c r="C1031" s="70">
        <f t="shared" si="379"/>
        <v>0</v>
      </c>
      <c r="D1031" s="70">
        <f t="shared" si="380"/>
        <v>4864</v>
      </c>
      <c r="E1031" s="70">
        <f t="shared" si="381"/>
        <v>121287</v>
      </c>
      <c r="F1031" s="758">
        <f t="shared" si="382"/>
        <v>126151</v>
      </c>
      <c r="G1031" s="553">
        <f t="shared" si="383"/>
        <v>8507.1126913870175</v>
      </c>
      <c r="H1031" s="600">
        <v>10241</v>
      </c>
      <c r="I1031" s="600">
        <v>0</v>
      </c>
      <c r="J1031" s="70">
        <f t="shared" si="384"/>
        <v>10241</v>
      </c>
      <c r="K1031" s="600">
        <v>0</v>
      </c>
      <c r="L1031" s="600">
        <v>0</v>
      </c>
      <c r="M1031" s="606">
        <f t="shared" si="385"/>
        <v>107402.88730861299</v>
      </c>
      <c r="N1031" s="607">
        <v>58776</v>
      </c>
      <c r="O1031" s="761">
        <f t="shared" si="386"/>
        <v>166178.88730861299</v>
      </c>
      <c r="P1031" s="710">
        <v>0</v>
      </c>
      <c r="Q1031" s="599">
        <f t="shared" si="387"/>
        <v>0</v>
      </c>
      <c r="R1031" s="761">
        <f t="shared" si="388"/>
        <v>166178.88730861299</v>
      </c>
      <c r="S1031" s="628">
        <f t="shared" si="378"/>
        <v>-58776</v>
      </c>
      <c r="T1031" s="70" t="str">
        <f t="shared" si="389"/>
        <v/>
      </c>
      <c r="U1031" s="758">
        <f t="shared" si="390"/>
        <v>58776</v>
      </c>
      <c r="V1031" s="727"/>
      <c r="AC1031" s="642" t="s">
        <v>2843</v>
      </c>
      <c r="AD1031" s="67">
        <f>ROUND(B996*$AD$1029, 0)</f>
        <v>0</v>
      </c>
      <c r="AE1031" s="67">
        <f>ROUND(C996*$AE$1029,0)</f>
        <v>0</v>
      </c>
      <c r="AF1031" s="67">
        <f>ROUND(D996*$AF$1029,0)</f>
        <v>0</v>
      </c>
      <c r="AG1031" s="67">
        <f>ROUND(E996*$AG$1029,0)</f>
        <v>0</v>
      </c>
      <c r="AH1031" s="67">
        <f>ROUND(F996*$AH$1029,0)</f>
        <v>0</v>
      </c>
      <c r="AI1031" s="67">
        <f>ROUND(H996*$AI$1029,0)</f>
        <v>70</v>
      </c>
      <c r="AJ1031" s="67">
        <f>ROUND(I996*$AJ$1029,0)</f>
        <v>106</v>
      </c>
      <c r="AK1031" s="67">
        <f>ROUND(J996*$AK$1029,0)</f>
        <v>164</v>
      </c>
      <c r="AL1031" s="67">
        <f>ROUND(K996*$AL$1029,0)</f>
        <v>169</v>
      </c>
      <c r="AM1031" s="67">
        <f>ROUND(L996*$AM$1029,0)</f>
        <v>51</v>
      </c>
      <c r="AN1031" s="67">
        <f>ROUND(M996*$AN$1029,0)</f>
        <v>60</v>
      </c>
      <c r="AO1031" s="67">
        <f>ROUND(N996*$AO$1029,0)</f>
        <v>124</v>
      </c>
      <c r="AP1031" s="67">
        <f>ROUND(O996*$AP$1029,0)</f>
        <v>31</v>
      </c>
      <c r="AQ1031" s="67">
        <f>ROUND(P996*$AQ$1029,0)</f>
        <v>53</v>
      </c>
      <c r="AR1031" s="67">
        <f>ROUND(Q996*$AR$1029,0)</f>
        <v>73</v>
      </c>
      <c r="AS1031" s="636">
        <f>SUM(AD1031:AR1031)</f>
        <v>901</v>
      </c>
    </row>
    <row r="1032" spans="1:45" ht="15.75" customHeight="1" x14ac:dyDescent="0.3">
      <c r="A1032" s="139" t="s">
        <v>1506</v>
      </c>
      <c r="B1032" s="553">
        <f t="shared" si="391"/>
        <v>227537</v>
      </c>
      <c r="C1032" s="70">
        <f t="shared" si="379"/>
        <v>0</v>
      </c>
      <c r="D1032" s="70">
        <f t="shared" si="380"/>
        <v>9915</v>
      </c>
      <c r="E1032" s="70">
        <f t="shared" si="381"/>
        <v>227537</v>
      </c>
      <c r="F1032" s="758">
        <f t="shared" si="382"/>
        <v>237452</v>
      </c>
      <c r="G1032" s="553">
        <f t="shared" si="383"/>
        <v>0</v>
      </c>
      <c r="H1032" s="600">
        <v>10229</v>
      </c>
      <c r="I1032" s="600">
        <v>0</v>
      </c>
      <c r="J1032" s="70">
        <f t="shared" si="384"/>
        <v>10229</v>
      </c>
      <c r="K1032" s="600">
        <v>0</v>
      </c>
      <c r="L1032" s="600">
        <v>0</v>
      </c>
      <c r="M1032" s="606">
        <f t="shared" si="385"/>
        <v>227223</v>
      </c>
      <c r="N1032" s="607">
        <v>0</v>
      </c>
      <c r="O1032" s="761">
        <f t="shared" si="386"/>
        <v>227223</v>
      </c>
      <c r="P1032" s="710">
        <v>0.05</v>
      </c>
      <c r="Q1032" s="599">
        <f t="shared" si="387"/>
        <v>-11361.150000000001</v>
      </c>
      <c r="R1032" s="761">
        <f t="shared" si="388"/>
        <v>215861.85</v>
      </c>
      <c r="S1032" s="628">
        <f t="shared" si="378"/>
        <v>11361.149999999994</v>
      </c>
      <c r="T1032" s="70">
        <f t="shared" si="389"/>
        <v>11361.149999999994</v>
      </c>
      <c r="U1032" s="758" t="str">
        <f t="shared" si="390"/>
        <v/>
      </c>
      <c r="V1032" s="727"/>
      <c r="AC1032" s="642" t="s">
        <v>2091</v>
      </c>
      <c r="AD1032" s="67">
        <f t="shared" ref="AD1032:AD1042" si="393">ROUND(B997*$AD$1029, 0)</f>
        <v>0</v>
      </c>
      <c r="AE1032" s="67">
        <f t="shared" ref="AE1032:AE1042" si="394">ROUND(C997*$AE$1029,0)</f>
        <v>0</v>
      </c>
      <c r="AF1032" s="67">
        <f t="shared" ref="AF1032:AF1042" si="395">ROUND(D997*$AF$1029,0)</f>
        <v>0</v>
      </c>
      <c r="AG1032" s="67">
        <f t="shared" ref="AG1032:AG1042" si="396">ROUND(E997*$AG$1029,0)</f>
        <v>0</v>
      </c>
      <c r="AH1032" s="67">
        <f t="shared" ref="AH1032:AH1042" si="397">ROUND(F997*$AH$1029,0)</f>
        <v>180</v>
      </c>
      <c r="AI1032" s="67">
        <f t="shared" ref="AI1032:AI1042" si="398">ROUND(H997*$AI$1029,0)</f>
        <v>87</v>
      </c>
      <c r="AJ1032" s="67">
        <f t="shared" ref="AJ1032:AJ1042" si="399">ROUND(I997*$AJ$1029,0)</f>
        <v>154</v>
      </c>
      <c r="AK1032" s="67">
        <f t="shared" ref="AK1032:AK1042" si="400">ROUND(J997*$AK$1029,0)</f>
        <v>238</v>
      </c>
      <c r="AL1032" s="67">
        <f t="shared" ref="AL1032:AL1042" si="401">ROUND(K997*$AL$1029,0)</f>
        <v>241</v>
      </c>
      <c r="AM1032" s="67">
        <f t="shared" ref="AM1032:AM1042" si="402">ROUND(L997*$AM$1029,0)</f>
        <v>75</v>
      </c>
      <c r="AN1032" s="67">
        <f t="shared" ref="AN1032:AN1042" si="403">ROUND(M997*$AN$1029,0)</f>
        <v>88</v>
      </c>
      <c r="AO1032" s="67">
        <f t="shared" ref="AO1032:AO1042" si="404">ROUND(N997*$AO$1029,0)</f>
        <v>181</v>
      </c>
      <c r="AP1032" s="67">
        <f t="shared" ref="AP1032:AP1042" si="405">ROUND(O997*$AP$1029,0)</f>
        <v>28</v>
      </c>
      <c r="AQ1032" s="67">
        <f t="shared" ref="AQ1032:AQ1042" si="406">ROUND(P997*$AQ$1029,0)</f>
        <v>53</v>
      </c>
      <c r="AR1032" s="67">
        <f t="shared" ref="AR1032:AR1042" si="407">ROUND(Q997*$AR$1029,0)</f>
        <v>67</v>
      </c>
      <c r="AS1032" s="636">
        <f t="shared" ref="AS1032:AS1042" si="408">SUM(AD1032:AR1032)</f>
        <v>1392</v>
      </c>
    </row>
    <row r="1033" spans="1:45" ht="15.75" customHeight="1" x14ac:dyDescent="0.3">
      <c r="A1033" s="139" t="s">
        <v>1507</v>
      </c>
      <c r="B1033" s="553">
        <f t="shared" si="391"/>
        <v>264043</v>
      </c>
      <c r="C1033" s="70">
        <f t="shared" si="379"/>
        <v>0</v>
      </c>
      <c r="D1033" s="70">
        <f t="shared" si="380"/>
        <v>11464</v>
      </c>
      <c r="E1033" s="70">
        <f t="shared" si="381"/>
        <v>264043</v>
      </c>
      <c r="F1033" s="758">
        <f t="shared" si="382"/>
        <v>275507</v>
      </c>
      <c r="G1033" s="553">
        <f t="shared" si="383"/>
        <v>0</v>
      </c>
      <c r="H1033" s="600">
        <v>10104</v>
      </c>
      <c r="I1033" s="600">
        <v>0</v>
      </c>
      <c r="J1033" s="70">
        <f t="shared" si="384"/>
        <v>10104</v>
      </c>
      <c r="K1033" s="600">
        <v>0</v>
      </c>
      <c r="L1033" s="600">
        <v>0</v>
      </c>
      <c r="M1033" s="606">
        <f t="shared" si="385"/>
        <v>265403</v>
      </c>
      <c r="N1033" s="607">
        <v>0</v>
      </c>
      <c r="O1033" s="761">
        <f t="shared" si="386"/>
        <v>265403</v>
      </c>
      <c r="P1033" s="710">
        <v>0.2</v>
      </c>
      <c r="Q1033" s="599">
        <f t="shared" si="387"/>
        <v>-53080.600000000006</v>
      </c>
      <c r="R1033" s="761">
        <f t="shared" si="388"/>
        <v>212322.4</v>
      </c>
      <c r="S1033" s="628">
        <f t="shared" si="378"/>
        <v>53080.600000000006</v>
      </c>
      <c r="T1033" s="70">
        <f t="shared" si="389"/>
        <v>53080.600000000006</v>
      </c>
      <c r="U1033" s="758" t="str">
        <f t="shared" si="390"/>
        <v/>
      </c>
      <c r="V1033" s="727"/>
      <c r="AC1033" s="642" t="s">
        <v>2234</v>
      </c>
      <c r="AD1033" s="67">
        <f t="shared" si="393"/>
        <v>0</v>
      </c>
      <c r="AE1033" s="67">
        <f t="shared" si="394"/>
        <v>0</v>
      </c>
      <c r="AF1033" s="67">
        <f t="shared" si="395"/>
        <v>0</v>
      </c>
      <c r="AG1033" s="67">
        <f t="shared" si="396"/>
        <v>0</v>
      </c>
      <c r="AH1033" s="67">
        <f t="shared" si="397"/>
        <v>211</v>
      </c>
      <c r="AI1033" s="67">
        <f t="shared" si="398"/>
        <v>130</v>
      </c>
      <c r="AJ1033" s="67">
        <f t="shared" si="399"/>
        <v>214</v>
      </c>
      <c r="AK1033" s="67">
        <f t="shared" si="400"/>
        <v>298</v>
      </c>
      <c r="AL1033" s="67">
        <f t="shared" si="401"/>
        <v>282</v>
      </c>
      <c r="AM1033" s="67">
        <f t="shared" si="402"/>
        <v>83</v>
      </c>
      <c r="AN1033" s="67">
        <f t="shared" si="403"/>
        <v>98</v>
      </c>
      <c r="AO1033" s="67">
        <f t="shared" si="404"/>
        <v>197</v>
      </c>
      <c r="AP1033" s="67">
        <f t="shared" si="405"/>
        <v>29</v>
      </c>
      <c r="AQ1033" s="67">
        <f t="shared" si="406"/>
        <v>66</v>
      </c>
      <c r="AR1033" s="67">
        <f t="shared" si="407"/>
        <v>69</v>
      </c>
      <c r="AS1033" s="636">
        <f t="shared" si="408"/>
        <v>1677</v>
      </c>
    </row>
    <row r="1034" spans="1:45" ht="15.75" customHeight="1" x14ac:dyDescent="0.3">
      <c r="A1034" s="139" t="s">
        <v>1508</v>
      </c>
      <c r="B1034" s="553">
        <f t="shared" si="391"/>
        <v>226742</v>
      </c>
      <c r="C1034" s="70">
        <f t="shared" si="379"/>
        <v>0</v>
      </c>
      <c r="D1034" s="70">
        <f t="shared" si="380"/>
        <v>9822</v>
      </c>
      <c r="E1034" s="70">
        <f t="shared" si="381"/>
        <v>226742</v>
      </c>
      <c r="F1034" s="758">
        <f t="shared" si="382"/>
        <v>236564</v>
      </c>
      <c r="G1034" s="553">
        <f t="shared" si="383"/>
        <v>0</v>
      </c>
      <c r="H1034" s="600">
        <v>10826</v>
      </c>
      <c r="I1034" s="600">
        <v>0</v>
      </c>
      <c r="J1034" s="70">
        <f t="shared" si="384"/>
        <v>10826</v>
      </c>
      <c r="K1034" s="600">
        <v>0</v>
      </c>
      <c r="L1034" s="600">
        <v>0</v>
      </c>
      <c r="M1034" s="606">
        <f t="shared" si="385"/>
        <v>225738</v>
      </c>
      <c r="N1034" s="607">
        <v>0</v>
      </c>
      <c r="O1034" s="761">
        <f t="shared" si="386"/>
        <v>225738</v>
      </c>
      <c r="P1034" s="710">
        <v>0.2</v>
      </c>
      <c r="Q1034" s="599">
        <f t="shared" si="387"/>
        <v>-45147.600000000006</v>
      </c>
      <c r="R1034" s="761">
        <f t="shared" si="388"/>
        <v>180590.4</v>
      </c>
      <c r="S1034" s="628">
        <f t="shared" si="378"/>
        <v>45147.600000000006</v>
      </c>
      <c r="T1034" s="70">
        <f t="shared" si="389"/>
        <v>45147.600000000006</v>
      </c>
      <c r="U1034" s="758" t="str">
        <f t="shared" si="390"/>
        <v/>
      </c>
      <c r="V1034" s="727"/>
      <c r="AC1034" s="642" t="s">
        <v>2235</v>
      </c>
      <c r="AD1034" s="67">
        <f t="shared" si="393"/>
        <v>0</v>
      </c>
      <c r="AE1034" s="67">
        <f t="shared" si="394"/>
        <v>0</v>
      </c>
      <c r="AF1034" s="67">
        <f t="shared" si="395"/>
        <v>0</v>
      </c>
      <c r="AG1034" s="67">
        <f t="shared" si="396"/>
        <v>0</v>
      </c>
      <c r="AH1034" s="67">
        <f t="shared" si="397"/>
        <v>21</v>
      </c>
      <c r="AI1034" s="67">
        <f t="shared" si="398"/>
        <v>172</v>
      </c>
      <c r="AJ1034" s="67">
        <f t="shared" si="399"/>
        <v>278</v>
      </c>
      <c r="AK1034" s="67">
        <f t="shared" si="400"/>
        <v>315</v>
      </c>
      <c r="AL1034" s="67">
        <f t="shared" si="401"/>
        <v>283</v>
      </c>
      <c r="AM1034" s="67">
        <f t="shared" si="402"/>
        <v>86</v>
      </c>
      <c r="AN1034" s="67">
        <f t="shared" si="403"/>
        <v>102</v>
      </c>
      <c r="AO1034" s="67">
        <f t="shared" si="404"/>
        <v>203</v>
      </c>
      <c r="AP1034" s="67">
        <f t="shared" si="405"/>
        <v>33</v>
      </c>
      <c r="AQ1034" s="67">
        <f t="shared" si="406"/>
        <v>80</v>
      </c>
      <c r="AR1034" s="67">
        <f t="shared" si="407"/>
        <v>78</v>
      </c>
      <c r="AS1034" s="636">
        <f t="shared" si="408"/>
        <v>1651</v>
      </c>
    </row>
    <row r="1035" spans="1:45" ht="15.75" customHeight="1" x14ac:dyDescent="0.3">
      <c r="A1035" s="139" t="s">
        <v>1509</v>
      </c>
      <c r="B1035" s="553">
        <f t="shared" si="391"/>
        <v>158279</v>
      </c>
      <c r="C1035" s="70">
        <f t="shared" si="379"/>
        <v>0</v>
      </c>
      <c r="D1035" s="70">
        <f t="shared" si="380"/>
        <v>6859</v>
      </c>
      <c r="E1035" s="70">
        <f t="shared" si="381"/>
        <v>158279</v>
      </c>
      <c r="F1035" s="758">
        <f t="shared" si="382"/>
        <v>165138</v>
      </c>
      <c r="G1035" s="553">
        <f t="shared" si="383"/>
        <v>0</v>
      </c>
      <c r="H1035" s="600">
        <v>6676</v>
      </c>
      <c r="I1035" s="600">
        <v>0</v>
      </c>
      <c r="J1035" s="70">
        <f>(H1035+I1035)</f>
        <v>6676</v>
      </c>
      <c r="K1035" s="600">
        <v>0</v>
      </c>
      <c r="L1035" s="600">
        <v>0</v>
      </c>
      <c r="M1035" s="606">
        <f t="shared" si="385"/>
        <v>158462</v>
      </c>
      <c r="N1035" s="607">
        <v>0</v>
      </c>
      <c r="O1035" s="761">
        <f t="shared" si="386"/>
        <v>158462</v>
      </c>
      <c r="P1035" s="710">
        <v>0.2</v>
      </c>
      <c r="Q1035" s="599">
        <f t="shared" si="387"/>
        <v>-31692.400000000001</v>
      </c>
      <c r="R1035" s="761">
        <f t="shared" si="388"/>
        <v>126769.60000000001</v>
      </c>
      <c r="S1035" s="628">
        <f t="shared" si="378"/>
        <v>31692.399999999994</v>
      </c>
      <c r="T1035" s="70">
        <f t="shared" si="389"/>
        <v>31692.399999999994</v>
      </c>
      <c r="U1035" s="758" t="str">
        <f t="shared" si="390"/>
        <v/>
      </c>
      <c r="V1035" s="727"/>
      <c r="AC1035" s="642" t="s">
        <v>2236</v>
      </c>
      <c r="AD1035" s="67">
        <f t="shared" si="393"/>
        <v>0</v>
      </c>
      <c r="AE1035" s="67">
        <f t="shared" si="394"/>
        <v>0</v>
      </c>
      <c r="AF1035" s="67">
        <f t="shared" si="395"/>
        <v>0</v>
      </c>
      <c r="AG1035" s="67">
        <f t="shared" si="396"/>
        <v>0</v>
      </c>
      <c r="AH1035" s="67">
        <f t="shared" si="397"/>
        <v>17</v>
      </c>
      <c r="AI1035" s="67">
        <f t="shared" si="398"/>
        <v>161</v>
      </c>
      <c r="AJ1035" s="67">
        <f t="shared" si="399"/>
        <v>238</v>
      </c>
      <c r="AK1035" s="67">
        <f t="shared" si="400"/>
        <v>312</v>
      </c>
      <c r="AL1035" s="67">
        <f t="shared" si="401"/>
        <v>301</v>
      </c>
      <c r="AM1035" s="67">
        <f t="shared" si="402"/>
        <v>92</v>
      </c>
      <c r="AN1035" s="67">
        <f t="shared" si="403"/>
        <v>108</v>
      </c>
      <c r="AO1035" s="67">
        <f t="shared" si="404"/>
        <v>215</v>
      </c>
      <c r="AP1035" s="67">
        <f t="shared" si="405"/>
        <v>38</v>
      </c>
      <c r="AQ1035" s="67">
        <f t="shared" si="406"/>
        <v>93</v>
      </c>
      <c r="AR1035" s="67">
        <f t="shared" si="407"/>
        <v>90</v>
      </c>
      <c r="AS1035" s="636">
        <f t="shared" si="408"/>
        <v>1665</v>
      </c>
    </row>
    <row r="1036" spans="1:45" ht="15.75" customHeight="1" x14ac:dyDescent="0.3">
      <c r="A1036" s="592" t="s">
        <v>2435</v>
      </c>
      <c r="B1036" s="553" t="s">
        <v>2435</v>
      </c>
      <c r="C1036" s="70"/>
      <c r="D1036" s="70"/>
      <c r="E1036" s="70" t="s">
        <v>852</v>
      </c>
      <c r="F1036" s="758"/>
      <c r="G1036" s="553"/>
      <c r="H1036" s="70"/>
      <c r="I1036" s="70" t="s">
        <v>852</v>
      </c>
      <c r="J1036" s="70" t="s">
        <v>852</v>
      </c>
      <c r="K1036" s="601"/>
      <c r="L1036" s="70"/>
      <c r="M1036" s="606"/>
      <c r="N1036" s="607"/>
      <c r="O1036" s="761"/>
      <c r="P1036" s="710"/>
      <c r="Q1036" s="607"/>
      <c r="R1036" s="761"/>
      <c r="S1036" s="628"/>
      <c r="T1036" s="70"/>
      <c r="U1036" s="758"/>
      <c r="V1036" s="727"/>
      <c r="AC1036" s="642" t="s">
        <v>2237</v>
      </c>
      <c r="AD1036" s="67">
        <f t="shared" si="393"/>
        <v>0</v>
      </c>
      <c r="AE1036" s="67">
        <f t="shared" si="394"/>
        <v>0</v>
      </c>
      <c r="AF1036" s="67">
        <f t="shared" si="395"/>
        <v>0</v>
      </c>
      <c r="AG1036" s="67">
        <f t="shared" si="396"/>
        <v>0</v>
      </c>
      <c r="AH1036" s="67">
        <f t="shared" si="397"/>
        <v>0</v>
      </c>
      <c r="AI1036" s="67">
        <f t="shared" si="398"/>
        <v>223</v>
      </c>
      <c r="AJ1036" s="67">
        <f t="shared" si="399"/>
        <v>297</v>
      </c>
      <c r="AK1036" s="67">
        <f t="shared" si="400"/>
        <v>340</v>
      </c>
      <c r="AL1036" s="67">
        <f t="shared" si="401"/>
        <v>286</v>
      </c>
      <c r="AM1036" s="67">
        <f t="shared" si="402"/>
        <v>87</v>
      </c>
      <c r="AN1036" s="67">
        <f t="shared" si="403"/>
        <v>102</v>
      </c>
      <c r="AO1036" s="67">
        <f t="shared" si="404"/>
        <v>199</v>
      </c>
      <c r="AP1036" s="67">
        <f t="shared" si="405"/>
        <v>36</v>
      </c>
      <c r="AQ1036" s="67">
        <f t="shared" si="406"/>
        <v>95</v>
      </c>
      <c r="AR1036" s="67">
        <f t="shared" si="407"/>
        <v>86</v>
      </c>
      <c r="AS1036" s="636">
        <f t="shared" si="408"/>
        <v>1751</v>
      </c>
    </row>
    <row r="1037" spans="1:45" ht="16.5" customHeight="1" thickBot="1" x14ac:dyDescent="0.35">
      <c r="A1037" s="596" t="s">
        <v>2356</v>
      </c>
      <c r="B1037" s="558">
        <f>SUM(B1024:B1035)</f>
        <v>2494387</v>
      </c>
      <c r="C1037" s="564">
        <f>+SUM(C1024:C1035)</f>
        <v>0</v>
      </c>
      <c r="D1037" s="564">
        <f>SUM(D1024:D1035)</f>
        <v>107090</v>
      </c>
      <c r="E1037" s="564">
        <f t="shared" si="381"/>
        <v>2494387</v>
      </c>
      <c r="F1037" s="602">
        <f>SUM(F1024:F1035)</f>
        <v>2601477</v>
      </c>
      <c r="G1037" s="558">
        <f>SUM(G1024:G1035)</f>
        <v>35830.788855359024</v>
      </c>
      <c r="H1037" s="564">
        <f>SUM(H1024:H1035)</f>
        <v>137695</v>
      </c>
      <c r="I1037" s="564">
        <f>SUM(I1024:I1035)</f>
        <v>0</v>
      </c>
      <c r="J1037" s="564">
        <f>(H1037+I1037)</f>
        <v>137695</v>
      </c>
      <c r="K1037" s="564">
        <f>SUM(K1024:K1035)</f>
        <v>0</v>
      </c>
      <c r="L1037" s="564">
        <f>SUM(L1024:L1035)</f>
        <v>0</v>
      </c>
      <c r="M1037" s="608">
        <f>SUM(M1024:M1035)</f>
        <v>2427951.211144641</v>
      </c>
      <c r="N1037" s="609">
        <f>SUM(N1024:N1035)</f>
        <v>130856</v>
      </c>
      <c r="O1037" s="631">
        <f>+M1037+N1037</f>
        <v>2558807.211144641</v>
      </c>
      <c r="P1037" s="711">
        <f>Q1037/O1037</f>
        <v>-0.20151690648265458</v>
      </c>
      <c r="Q1037" s="616">
        <f>SUM(Q1024:Q1035)</f>
        <v>-515642.91347537679</v>
      </c>
      <c r="R1037" s="631">
        <f>SUM(R1024:R1035)</f>
        <v>2043164.297669264</v>
      </c>
      <c r="S1037" s="629">
        <f>(F1037-G1037-J1037-K1037-L1037-R1037)</f>
        <v>384786.91347537702</v>
      </c>
      <c r="T1037" s="564">
        <f>+SUM(T1024:T1035)</f>
        <v>514589.19999999995</v>
      </c>
      <c r="U1037" s="602">
        <f>+SUM(U1024:U1035)</f>
        <v>129802.28652462321</v>
      </c>
      <c r="V1037" s="727"/>
      <c r="AC1037" s="642" t="s">
        <v>1504</v>
      </c>
      <c r="AD1037" s="67">
        <f t="shared" si="393"/>
        <v>0</v>
      </c>
      <c r="AE1037" s="67">
        <f t="shared" si="394"/>
        <v>0</v>
      </c>
      <c r="AF1037" s="67">
        <f t="shared" si="395"/>
        <v>0</v>
      </c>
      <c r="AG1037" s="67">
        <f t="shared" si="396"/>
        <v>0</v>
      </c>
      <c r="AH1037" s="67">
        <f t="shared" si="397"/>
        <v>0</v>
      </c>
      <c r="AI1037" s="67">
        <f t="shared" si="398"/>
        <v>177</v>
      </c>
      <c r="AJ1037" s="67">
        <f t="shared" si="399"/>
        <v>296</v>
      </c>
      <c r="AK1037" s="67">
        <f t="shared" si="400"/>
        <v>321</v>
      </c>
      <c r="AL1037" s="67">
        <f t="shared" si="401"/>
        <v>281</v>
      </c>
      <c r="AM1037" s="67">
        <f t="shared" si="402"/>
        <v>87</v>
      </c>
      <c r="AN1037" s="67">
        <f t="shared" si="403"/>
        <v>102</v>
      </c>
      <c r="AO1037" s="67">
        <f t="shared" si="404"/>
        <v>193</v>
      </c>
      <c r="AP1037" s="67">
        <f t="shared" si="405"/>
        <v>28</v>
      </c>
      <c r="AQ1037" s="67">
        <f t="shared" si="406"/>
        <v>86</v>
      </c>
      <c r="AR1037" s="67">
        <f t="shared" si="407"/>
        <v>67</v>
      </c>
      <c r="AS1037" s="636">
        <f t="shared" si="408"/>
        <v>1638</v>
      </c>
    </row>
    <row r="1038" spans="1:45" ht="15.75" customHeight="1" x14ac:dyDescent="0.3">
      <c r="A1038" s="579"/>
      <c r="B1038" s="67"/>
      <c r="C1038" s="67"/>
      <c r="D1038" s="67"/>
      <c r="E1038" s="67"/>
      <c r="F1038" s="67" t="s">
        <v>2435</v>
      </c>
      <c r="G1038" s="67"/>
      <c r="H1038" s="67"/>
      <c r="I1038" s="67"/>
      <c r="K1038" s="67"/>
      <c r="L1038" s="67"/>
      <c r="M1038" s="219"/>
      <c r="O1038" s="703"/>
      <c r="P1038" s="701"/>
      <c r="V1038" s="727"/>
      <c r="AC1038" s="642" t="s">
        <v>1505</v>
      </c>
      <c r="AD1038" s="67">
        <f t="shared" si="393"/>
        <v>0</v>
      </c>
      <c r="AE1038" s="67">
        <f t="shared" si="394"/>
        <v>0</v>
      </c>
      <c r="AF1038" s="67">
        <f t="shared" si="395"/>
        <v>0</v>
      </c>
      <c r="AG1038" s="67">
        <f t="shared" si="396"/>
        <v>0</v>
      </c>
      <c r="AH1038" s="67">
        <f t="shared" si="397"/>
        <v>0</v>
      </c>
      <c r="AI1038" s="67">
        <f t="shared" si="398"/>
        <v>157</v>
      </c>
      <c r="AJ1038" s="67">
        <f t="shared" si="399"/>
        <v>291</v>
      </c>
      <c r="AK1038" s="67">
        <f t="shared" si="400"/>
        <v>333</v>
      </c>
      <c r="AL1038" s="67">
        <f t="shared" si="401"/>
        <v>298</v>
      </c>
      <c r="AM1038" s="67">
        <f t="shared" si="402"/>
        <v>97</v>
      </c>
      <c r="AN1038" s="67">
        <f t="shared" si="403"/>
        <v>114</v>
      </c>
      <c r="AO1038" s="67">
        <f t="shared" si="404"/>
        <v>222</v>
      </c>
      <c r="AP1038" s="67">
        <f t="shared" si="405"/>
        <v>54</v>
      </c>
      <c r="AQ1038" s="67">
        <f t="shared" si="406"/>
        <v>80</v>
      </c>
      <c r="AR1038" s="67">
        <f t="shared" si="407"/>
        <v>128</v>
      </c>
      <c r="AS1038" s="636">
        <f t="shared" si="408"/>
        <v>1774</v>
      </c>
    </row>
    <row r="1039" spans="1:45" ht="15.75" customHeight="1" x14ac:dyDescent="0.3">
      <c r="A1039" s="551" t="s">
        <v>2640</v>
      </c>
      <c r="P1039" s="67"/>
      <c r="Q1039" s="67"/>
      <c r="R1039" s="67"/>
      <c r="V1039" s="727"/>
      <c r="AC1039" s="642" t="s">
        <v>1506</v>
      </c>
      <c r="AD1039" s="67">
        <f t="shared" si="393"/>
        <v>0</v>
      </c>
      <c r="AE1039" s="67">
        <f t="shared" si="394"/>
        <v>0</v>
      </c>
      <c r="AF1039" s="67">
        <f t="shared" si="395"/>
        <v>0</v>
      </c>
      <c r="AG1039" s="67">
        <f t="shared" si="396"/>
        <v>0</v>
      </c>
      <c r="AH1039" s="67">
        <f t="shared" si="397"/>
        <v>43</v>
      </c>
      <c r="AI1039" s="67">
        <f t="shared" si="398"/>
        <v>107</v>
      </c>
      <c r="AJ1039" s="67">
        <f t="shared" si="399"/>
        <v>175</v>
      </c>
      <c r="AK1039" s="67">
        <f t="shared" si="400"/>
        <v>260</v>
      </c>
      <c r="AL1039" s="67">
        <f t="shared" si="401"/>
        <v>250</v>
      </c>
      <c r="AM1039" s="67">
        <f t="shared" si="402"/>
        <v>88</v>
      </c>
      <c r="AN1039" s="67">
        <f t="shared" si="403"/>
        <v>104</v>
      </c>
      <c r="AO1039" s="67">
        <f t="shared" si="404"/>
        <v>206</v>
      </c>
      <c r="AP1039" s="67">
        <f t="shared" si="405"/>
        <v>44</v>
      </c>
      <c r="AQ1039" s="67">
        <f t="shared" si="406"/>
        <v>73</v>
      </c>
      <c r="AR1039" s="67">
        <f t="shared" si="407"/>
        <v>103</v>
      </c>
      <c r="AS1039" s="636">
        <f t="shared" si="408"/>
        <v>1453</v>
      </c>
    </row>
    <row r="1040" spans="1:45" ht="15.75" customHeight="1" x14ac:dyDescent="0.3">
      <c r="A1040" s="551" t="s">
        <v>1660</v>
      </c>
      <c r="D1040" s="67"/>
      <c r="E1040" s="67"/>
      <c r="F1040" s="67"/>
      <c r="G1040" s="67"/>
      <c r="H1040" s="67"/>
      <c r="I1040" s="67"/>
      <c r="J1040" s="67"/>
      <c r="K1040" s="67"/>
      <c r="L1040" s="67"/>
      <c r="M1040" s="67"/>
      <c r="N1040" s="67"/>
      <c r="O1040" s="67"/>
      <c r="P1040" s="67"/>
      <c r="Q1040" s="67"/>
      <c r="R1040" s="67"/>
      <c r="V1040" s="727"/>
      <c r="AC1040" s="642" t="s">
        <v>1507</v>
      </c>
      <c r="AD1040" s="67">
        <f t="shared" si="393"/>
        <v>0</v>
      </c>
      <c r="AE1040" s="67">
        <f t="shared" si="394"/>
        <v>0</v>
      </c>
      <c r="AF1040" s="67">
        <f t="shared" si="395"/>
        <v>0</v>
      </c>
      <c r="AG1040" s="67">
        <f t="shared" si="396"/>
        <v>0</v>
      </c>
      <c r="AH1040" s="67">
        <f t="shared" si="397"/>
        <v>179</v>
      </c>
      <c r="AI1040" s="67">
        <f t="shared" si="398"/>
        <v>81</v>
      </c>
      <c r="AJ1040" s="67">
        <f t="shared" si="399"/>
        <v>107</v>
      </c>
      <c r="AK1040" s="67">
        <f t="shared" si="400"/>
        <v>155</v>
      </c>
      <c r="AL1040" s="67">
        <f t="shared" si="401"/>
        <v>147</v>
      </c>
      <c r="AM1040" s="67">
        <f t="shared" si="402"/>
        <v>51</v>
      </c>
      <c r="AN1040" s="67">
        <f t="shared" si="403"/>
        <v>60</v>
      </c>
      <c r="AO1040" s="67">
        <f t="shared" si="404"/>
        <v>121</v>
      </c>
      <c r="AP1040" s="67">
        <f t="shared" si="405"/>
        <v>29</v>
      </c>
      <c r="AQ1040" s="67">
        <f t="shared" si="406"/>
        <v>66</v>
      </c>
      <c r="AR1040" s="67">
        <f t="shared" si="407"/>
        <v>69</v>
      </c>
      <c r="AS1040" s="636">
        <f t="shared" si="408"/>
        <v>1065</v>
      </c>
    </row>
    <row r="1041" spans="1:45" ht="15.75" customHeight="1" x14ac:dyDescent="0.3">
      <c r="A1041" s="551" t="s">
        <v>2853</v>
      </c>
      <c r="D1041" s="67"/>
      <c r="E1041" s="67"/>
      <c r="F1041" s="67"/>
      <c r="G1041" s="67"/>
      <c r="H1041" s="67"/>
      <c r="I1041" s="67"/>
      <c r="J1041" s="67"/>
      <c r="K1041" s="67"/>
      <c r="L1041" s="67"/>
      <c r="M1041" s="67"/>
      <c r="N1041" s="67"/>
      <c r="O1041" s="67"/>
      <c r="P1041" s="67"/>
      <c r="Q1041" s="67"/>
      <c r="R1041" s="67"/>
      <c r="V1041" s="727"/>
      <c r="AC1041" s="642" t="s">
        <v>1508</v>
      </c>
      <c r="AD1041" s="67">
        <f t="shared" si="393"/>
        <v>0</v>
      </c>
      <c r="AE1041" s="67">
        <f t="shared" si="394"/>
        <v>0</v>
      </c>
      <c r="AF1041" s="67">
        <f t="shared" si="395"/>
        <v>0</v>
      </c>
      <c r="AG1041" s="67">
        <f t="shared" si="396"/>
        <v>0</v>
      </c>
      <c r="AH1041" s="67">
        <f t="shared" si="397"/>
        <v>218</v>
      </c>
      <c r="AI1041" s="67">
        <f t="shared" si="398"/>
        <v>54</v>
      </c>
      <c r="AJ1041" s="67">
        <f t="shared" si="399"/>
        <v>37</v>
      </c>
      <c r="AK1041" s="67">
        <f t="shared" si="400"/>
        <v>49</v>
      </c>
      <c r="AL1041" s="67">
        <f t="shared" si="401"/>
        <v>50</v>
      </c>
      <c r="AM1041" s="67">
        <f t="shared" si="402"/>
        <v>13</v>
      </c>
      <c r="AN1041" s="67">
        <f t="shared" si="403"/>
        <v>15</v>
      </c>
      <c r="AO1041" s="67">
        <f t="shared" si="404"/>
        <v>31</v>
      </c>
      <c r="AP1041" s="67">
        <f t="shared" si="405"/>
        <v>21</v>
      </c>
      <c r="AQ1041" s="67">
        <f t="shared" si="406"/>
        <v>60</v>
      </c>
      <c r="AR1041" s="67">
        <f t="shared" si="407"/>
        <v>49</v>
      </c>
      <c r="AS1041" s="636">
        <f t="shared" si="408"/>
        <v>597</v>
      </c>
    </row>
    <row r="1042" spans="1:45" ht="15.75" customHeight="1" thickBot="1" x14ac:dyDescent="0.35">
      <c r="A1042" s="554" t="s">
        <v>2626</v>
      </c>
      <c r="B1042" s="581"/>
      <c r="C1042" s="581"/>
      <c r="D1042" s="555"/>
      <c r="E1042" s="555"/>
      <c r="F1042" s="555"/>
      <c r="G1042" s="555"/>
      <c r="H1042" s="555"/>
      <c r="I1042" s="555"/>
      <c r="J1042" s="555"/>
      <c r="K1042" s="555"/>
      <c r="L1042" s="555"/>
      <c r="M1042" s="555"/>
      <c r="N1042" s="555"/>
      <c r="O1042" s="555"/>
      <c r="P1042" s="555"/>
      <c r="Q1042" s="555"/>
      <c r="R1042" s="555"/>
      <c r="S1042" s="581"/>
      <c r="T1042" s="581"/>
      <c r="U1042" s="581"/>
      <c r="V1042" s="565"/>
      <c r="AC1042" s="642" t="s">
        <v>1509</v>
      </c>
      <c r="AD1042" s="67">
        <f t="shared" si="393"/>
        <v>0</v>
      </c>
      <c r="AE1042" s="67">
        <f t="shared" si="394"/>
        <v>0</v>
      </c>
      <c r="AF1042" s="67">
        <f t="shared" si="395"/>
        <v>0</v>
      </c>
      <c r="AG1042" s="67">
        <f t="shared" si="396"/>
        <v>0</v>
      </c>
      <c r="AH1042" s="67">
        <f t="shared" si="397"/>
        <v>154</v>
      </c>
      <c r="AI1042" s="67">
        <f t="shared" si="398"/>
        <v>33</v>
      </c>
      <c r="AJ1042" s="67">
        <f t="shared" si="399"/>
        <v>24</v>
      </c>
      <c r="AK1042" s="67">
        <f t="shared" si="400"/>
        <v>31</v>
      </c>
      <c r="AL1042" s="67">
        <f t="shared" si="401"/>
        <v>31</v>
      </c>
      <c r="AM1042" s="67">
        <f t="shared" si="402"/>
        <v>12</v>
      </c>
      <c r="AN1042" s="67">
        <f t="shared" si="403"/>
        <v>14</v>
      </c>
      <c r="AO1042" s="67">
        <f t="shared" si="404"/>
        <v>24</v>
      </c>
      <c r="AP1042" s="67">
        <f t="shared" si="405"/>
        <v>11</v>
      </c>
      <c r="AQ1042" s="67">
        <f t="shared" si="406"/>
        <v>53</v>
      </c>
      <c r="AR1042" s="67">
        <f t="shared" si="407"/>
        <v>26</v>
      </c>
      <c r="AS1042" s="636">
        <f t="shared" si="408"/>
        <v>413</v>
      </c>
    </row>
    <row r="1043" spans="1:45" ht="15.75" customHeight="1" thickBot="1" x14ac:dyDescent="0.35">
      <c r="A1043" s="551"/>
      <c r="D1043" s="67"/>
      <c r="E1043" s="67"/>
      <c r="F1043" s="67"/>
      <c r="G1043" s="67"/>
      <c r="H1043" s="67"/>
      <c r="I1043" s="67"/>
      <c r="J1043" s="67"/>
      <c r="K1043" s="67"/>
      <c r="L1043" s="67"/>
      <c r="M1043" s="67"/>
      <c r="N1043" s="67"/>
      <c r="O1043" s="67"/>
      <c r="P1043" s="67"/>
      <c r="Q1043" s="67"/>
      <c r="R1043" s="67"/>
      <c r="S1043" s="703"/>
      <c r="V1043" s="705"/>
      <c r="AC1043" s="579"/>
      <c r="AD1043" s="67"/>
      <c r="AE1043" s="67"/>
      <c r="AF1043" s="67"/>
      <c r="AG1043" s="67"/>
      <c r="AH1043" s="67"/>
      <c r="AI1043" s="67"/>
      <c r="AJ1043" s="67"/>
      <c r="AK1043" s="67"/>
      <c r="AL1043" s="67"/>
      <c r="AM1043" s="67"/>
      <c r="AN1043" s="67"/>
      <c r="AO1043" s="67"/>
      <c r="AP1043" s="67"/>
      <c r="AQ1043" s="67"/>
      <c r="AR1043" s="67"/>
      <c r="AS1043" s="636"/>
    </row>
    <row r="1044" spans="1:45" ht="15.75" customHeight="1" thickBot="1" x14ac:dyDescent="0.35">
      <c r="A1044" s="139"/>
      <c r="B1044" s="806" t="s">
        <v>2689</v>
      </c>
      <c r="C1044" s="807"/>
      <c r="D1044" s="807"/>
      <c r="E1044" s="807"/>
      <c r="F1044" s="807"/>
      <c r="G1044" s="807"/>
      <c r="H1044" s="807"/>
      <c r="I1044" s="807"/>
      <c r="J1044" s="807"/>
      <c r="K1044" s="807"/>
      <c r="L1044" s="807"/>
      <c r="M1044" s="807"/>
      <c r="N1044" s="807"/>
      <c r="O1044" s="807"/>
      <c r="P1044" s="807"/>
      <c r="Q1044" s="701"/>
      <c r="R1044" s="701"/>
      <c r="S1044" s="705"/>
      <c r="T1044" s="703"/>
      <c r="U1044" s="703"/>
      <c r="V1044" s="702"/>
      <c r="AC1044" s="644" t="s">
        <v>2356</v>
      </c>
      <c r="AD1044" s="555">
        <f>SUM(AD1031:AD1042)</f>
        <v>0</v>
      </c>
      <c r="AE1044" s="555">
        <f t="shared" ref="AE1044:AS1044" si="409">SUM(AE1031:AE1042)</f>
        <v>0</v>
      </c>
      <c r="AF1044" s="555">
        <f t="shared" si="409"/>
        <v>0</v>
      </c>
      <c r="AG1044" s="555">
        <f t="shared" si="409"/>
        <v>0</v>
      </c>
      <c r="AH1044" s="555">
        <f t="shared" si="409"/>
        <v>1023</v>
      </c>
      <c r="AI1044" s="555">
        <f t="shared" si="409"/>
        <v>1452</v>
      </c>
      <c r="AJ1044" s="555">
        <f t="shared" si="409"/>
        <v>2217</v>
      </c>
      <c r="AK1044" s="555">
        <f t="shared" si="409"/>
        <v>2816</v>
      </c>
      <c r="AL1044" s="555">
        <f t="shared" si="409"/>
        <v>2619</v>
      </c>
      <c r="AM1044" s="555">
        <f t="shared" si="409"/>
        <v>822</v>
      </c>
      <c r="AN1044" s="555">
        <f t="shared" si="409"/>
        <v>967</v>
      </c>
      <c r="AO1044" s="555">
        <f t="shared" si="409"/>
        <v>1916</v>
      </c>
      <c r="AP1044" s="555">
        <f t="shared" si="409"/>
        <v>382</v>
      </c>
      <c r="AQ1044" s="555">
        <f t="shared" si="409"/>
        <v>858</v>
      </c>
      <c r="AR1044" s="555">
        <f t="shared" si="409"/>
        <v>905</v>
      </c>
      <c r="AS1044" s="637">
        <f t="shared" si="409"/>
        <v>15977</v>
      </c>
    </row>
    <row r="1045" spans="1:45" ht="15.75" customHeight="1" thickBot="1" x14ac:dyDescent="0.35">
      <c r="A1045" s="139"/>
      <c r="B1045" s="795" t="s">
        <v>2633</v>
      </c>
      <c r="C1045" s="796"/>
      <c r="D1045" s="796"/>
      <c r="E1045" s="796"/>
      <c r="F1045" s="797"/>
      <c r="G1045" s="795" t="s">
        <v>2674</v>
      </c>
      <c r="H1045" s="796"/>
      <c r="I1045" s="796"/>
      <c r="J1045" s="796"/>
      <c r="K1045" s="796"/>
      <c r="L1045" s="796"/>
      <c r="M1045" s="798" t="s">
        <v>2677</v>
      </c>
      <c r="N1045" s="811"/>
      <c r="O1045" s="811"/>
      <c r="P1045" s="799"/>
      <c r="Q1045" s="799"/>
      <c r="R1045" s="800"/>
      <c r="S1045" s="795" t="s">
        <v>2682</v>
      </c>
      <c r="T1045" s="801"/>
      <c r="U1045" s="802"/>
      <c r="V1045" s="727"/>
    </row>
    <row r="1046" spans="1:45" ht="15.75" customHeight="1" x14ac:dyDescent="0.3">
      <c r="A1046" s="592"/>
      <c r="B1046" s="553" t="s">
        <v>2439</v>
      </c>
      <c r="C1046" s="70"/>
      <c r="D1046" s="70" t="s">
        <v>336</v>
      </c>
      <c r="E1046" s="70" t="s">
        <v>596</v>
      </c>
      <c r="F1046" s="758" t="s">
        <v>2652</v>
      </c>
      <c r="G1046" s="553" t="s">
        <v>228</v>
      </c>
      <c r="H1046" s="70"/>
      <c r="I1046" s="70"/>
      <c r="J1046" s="70" t="s">
        <v>229</v>
      </c>
      <c r="K1046" s="70" t="s">
        <v>2638</v>
      </c>
      <c r="L1046" s="70" t="s">
        <v>2639</v>
      </c>
      <c r="M1046" s="808" t="str">
        <f>+M1019</f>
        <v>(NE)* per WAPA</v>
      </c>
      <c r="N1046" s="809"/>
      <c r="O1046" s="809"/>
      <c r="P1046" s="715"/>
      <c r="Q1046" s="599"/>
      <c r="R1046" s="761"/>
      <c r="S1046" s="553" t="s">
        <v>2683</v>
      </c>
      <c r="T1046" s="610" t="s">
        <v>134</v>
      </c>
      <c r="U1046" s="759" t="s">
        <v>2685</v>
      </c>
      <c r="V1046" s="727"/>
    </row>
    <row r="1047" spans="1:45" ht="15.75" customHeight="1" x14ac:dyDescent="0.3">
      <c r="A1047" s="592"/>
      <c r="B1047" s="593" t="s">
        <v>2648</v>
      </c>
      <c r="C1047" s="588" t="s">
        <v>2656</v>
      </c>
      <c r="D1047" s="588" t="s">
        <v>2651</v>
      </c>
      <c r="E1047" s="70" t="s">
        <v>335</v>
      </c>
      <c r="F1047" s="760" t="s">
        <v>2653</v>
      </c>
      <c r="G1047" s="553" t="s">
        <v>2463</v>
      </c>
      <c r="H1047" s="70" t="s">
        <v>1416</v>
      </c>
      <c r="I1047" s="70" t="s">
        <v>1417</v>
      </c>
      <c r="J1047" s="588" t="s">
        <v>2632</v>
      </c>
      <c r="K1047" s="70" t="s">
        <v>2634</v>
      </c>
      <c r="L1047" s="588" t="s">
        <v>2637</v>
      </c>
      <c r="M1047" s="603" t="s">
        <v>2679</v>
      </c>
      <c r="N1047" s="604" t="s">
        <v>2680</v>
      </c>
      <c r="O1047" s="599" t="s">
        <v>2356</v>
      </c>
      <c r="P1047" s="603" t="s">
        <v>3112</v>
      </c>
      <c r="Q1047" s="604" t="s">
        <v>3112</v>
      </c>
      <c r="R1047" s="761" t="s">
        <v>3117</v>
      </c>
      <c r="S1047" s="553" t="s">
        <v>2684</v>
      </c>
      <c r="T1047" s="70" t="s">
        <v>2686</v>
      </c>
      <c r="U1047" s="758" t="s">
        <v>2687</v>
      </c>
      <c r="V1047" s="727"/>
    </row>
    <row r="1048" spans="1:45" ht="15.75" customHeight="1" x14ac:dyDescent="0.3">
      <c r="A1048" s="592"/>
      <c r="B1048" s="594" t="s">
        <v>2654</v>
      </c>
      <c r="C1048" s="217">
        <v>5.0000000000000001E-3</v>
      </c>
      <c r="D1048" s="217">
        <v>4.2999999999999997E-2</v>
      </c>
      <c r="E1048" s="70" t="s">
        <v>133</v>
      </c>
      <c r="F1048" s="762" t="s">
        <v>2649</v>
      </c>
      <c r="G1048" s="553" t="s">
        <v>2650</v>
      </c>
      <c r="H1048" s="70" t="s">
        <v>335</v>
      </c>
      <c r="I1048" s="70" t="s">
        <v>335</v>
      </c>
      <c r="J1048" s="70" t="s">
        <v>335</v>
      </c>
      <c r="K1048" s="70" t="s">
        <v>134</v>
      </c>
      <c r="L1048" s="70" t="s">
        <v>2636</v>
      </c>
      <c r="M1048" s="605" t="s">
        <v>955</v>
      </c>
      <c r="N1048" s="599" t="s">
        <v>2681</v>
      </c>
      <c r="O1048" s="599" t="s">
        <v>2688</v>
      </c>
      <c r="P1048" s="605" t="s">
        <v>3113</v>
      </c>
      <c r="Q1048" s="604" t="s">
        <v>3113</v>
      </c>
      <c r="R1048" s="761" t="s">
        <v>2688</v>
      </c>
      <c r="S1048" s="553" t="s">
        <v>335</v>
      </c>
      <c r="T1048" s="70" t="s">
        <v>335</v>
      </c>
      <c r="U1048" s="758" t="s">
        <v>335</v>
      </c>
      <c r="V1048" s="727"/>
    </row>
    <row r="1049" spans="1:45" ht="15.75" customHeight="1" x14ac:dyDescent="0.3">
      <c r="A1049" s="592" t="s">
        <v>249</v>
      </c>
      <c r="B1049" s="553" t="s">
        <v>2695</v>
      </c>
      <c r="C1049" s="70" t="s">
        <v>2695</v>
      </c>
      <c r="D1049" s="70" t="s">
        <v>2695</v>
      </c>
      <c r="E1049" s="70" t="s">
        <v>2695</v>
      </c>
      <c r="F1049" s="70" t="s">
        <v>2695</v>
      </c>
      <c r="G1049" s="553" t="s">
        <v>2695</v>
      </c>
      <c r="H1049" s="70" t="s">
        <v>2695</v>
      </c>
      <c r="I1049" s="70" t="s">
        <v>2695</v>
      </c>
      <c r="J1049" s="70" t="s">
        <v>2695</v>
      </c>
      <c r="K1049" s="70" t="s">
        <v>2695</v>
      </c>
      <c r="L1049" s="70" t="s">
        <v>2695</v>
      </c>
      <c r="M1049" s="605" t="s">
        <v>2695</v>
      </c>
      <c r="N1049" s="599" t="s">
        <v>2696</v>
      </c>
      <c r="O1049" s="599" t="s">
        <v>2695</v>
      </c>
      <c r="P1049" s="605" t="s">
        <v>3013</v>
      </c>
      <c r="Q1049" s="604" t="s">
        <v>998</v>
      </c>
      <c r="R1049" s="761" t="s">
        <v>998</v>
      </c>
      <c r="S1049" s="553" t="s">
        <v>2695</v>
      </c>
      <c r="T1049" s="70" t="s">
        <v>2695</v>
      </c>
      <c r="U1049" s="758" t="s">
        <v>2695</v>
      </c>
      <c r="V1049" s="727"/>
    </row>
    <row r="1050" spans="1:45" ht="15.75" customHeight="1" x14ac:dyDescent="0.3">
      <c r="A1050" s="592" t="s">
        <v>1353</v>
      </c>
      <c r="B1050" s="553" t="s">
        <v>1353</v>
      </c>
      <c r="C1050" s="70" t="s">
        <v>1353</v>
      </c>
      <c r="D1050" s="70" t="s">
        <v>1353</v>
      </c>
      <c r="E1050" s="70" t="s">
        <v>2202</v>
      </c>
      <c r="F1050" s="758" t="s">
        <v>1353</v>
      </c>
      <c r="G1050" s="553" t="s">
        <v>1353</v>
      </c>
      <c r="H1050" s="70" t="s">
        <v>2119</v>
      </c>
      <c r="I1050" s="70" t="s">
        <v>2119</v>
      </c>
      <c r="J1050" s="70" t="s">
        <v>1353</v>
      </c>
      <c r="K1050" s="70" t="s">
        <v>1353</v>
      </c>
      <c r="L1050" s="70" t="s">
        <v>1353</v>
      </c>
      <c r="M1050" s="605" t="s">
        <v>1353</v>
      </c>
      <c r="N1050" s="599" t="s">
        <v>1353</v>
      </c>
      <c r="O1050" s="599" t="s">
        <v>1353</v>
      </c>
      <c r="P1050" s="605" t="s">
        <v>1353</v>
      </c>
      <c r="Q1050" s="599" t="s">
        <v>1353</v>
      </c>
      <c r="R1050" s="761" t="s">
        <v>1353</v>
      </c>
      <c r="S1050" s="553" t="s">
        <v>1353</v>
      </c>
      <c r="T1050" s="70" t="s">
        <v>1353</v>
      </c>
      <c r="U1050" s="758" t="s">
        <v>1353</v>
      </c>
      <c r="V1050" s="727"/>
    </row>
    <row r="1051" spans="1:45" ht="15.75" customHeight="1" x14ac:dyDescent="0.3">
      <c r="A1051" s="139" t="s">
        <v>2843</v>
      </c>
      <c r="B1051" s="553">
        <f>+B1024/($B$10*24)</f>
        <v>156.39112903225808</v>
      </c>
      <c r="C1051" s="70">
        <f t="shared" ref="C1051:L1051" si="410">+C1024/($B$10*24)</f>
        <v>0</v>
      </c>
      <c r="D1051" s="70">
        <f t="shared" si="410"/>
        <v>6.786290322580645</v>
      </c>
      <c r="E1051" s="70">
        <f t="shared" si="410"/>
        <v>156.39112903225808</v>
      </c>
      <c r="F1051" s="758">
        <f t="shared" si="410"/>
        <v>163.17741935483872</v>
      </c>
      <c r="G1051" s="70">
        <f t="shared" si="410"/>
        <v>0</v>
      </c>
      <c r="H1051" s="70">
        <f t="shared" si="410"/>
        <v>12.131720430107526</v>
      </c>
      <c r="I1051" s="70">
        <f t="shared" si="410"/>
        <v>0</v>
      </c>
      <c r="J1051" s="70">
        <f t="shared" si="410"/>
        <v>12.131720430107526</v>
      </c>
      <c r="K1051" s="70">
        <f t="shared" si="410"/>
        <v>0</v>
      </c>
      <c r="L1051" s="70">
        <f t="shared" si="410"/>
        <v>0</v>
      </c>
      <c r="M1051" s="605">
        <f>+M1024/($B$10*24)</f>
        <v>151.04569892473117</v>
      </c>
      <c r="N1051" s="599">
        <f t="shared" ref="N1051" si="411">+N1024/($B$10*24)</f>
        <v>0</v>
      </c>
      <c r="O1051" s="599">
        <f>+O1024/($B$10*24)</f>
        <v>151.04569892473117</v>
      </c>
      <c r="P1051" s="716">
        <f>P1024</f>
        <v>0.2</v>
      </c>
      <c r="Q1051" s="599">
        <f>-O1051*P1051</f>
        <v>-30.209139784946235</v>
      </c>
      <c r="R1051" s="761">
        <f>O1051+Q1051</f>
        <v>120.83655913978494</v>
      </c>
      <c r="S1051" s="612">
        <f>+S1024/($B$10*24)</f>
        <v>30.209139784946245</v>
      </c>
      <c r="T1051" s="70">
        <f>+IF(S1051&gt;=0,ABS(S1051),"")</f>
        <v>30.209139784946245</v>
      </c>
      <c r="U1051" s="758" t="str">
        <f>+IF(S1051&lt;=0,ABS(S1051),"")</f>
        <v/>
      </c>
      <c r="V1051" s="727"/>
    </row>
    <row r="1052" spans="1:45" ht="15.75" customHeight="1" x14ac:dyDescent="0.3">
      <c r="A1052" s="139" t="s">
        <v>2091</v>
      </c>
      <c r="B1052" s="553">
        <f>+B1025/($C$10*24)</f>
        <v>332.64285714285717</v>
      </c>
      <c r="C1052" s="70">
        <f t="shared" ref="C1052:N1052" si="412">+C1025/($C$10*24)</f>
        <v>0</v>
      </c>
      <c r="D1052" s="70">
        <f t="shared" si="412"/>
        <v>14.019345238095237</v>
      </c>
      <c r="E1052" s="70">
        <f t="shared" si="412"/>
        <v>332.64285714285717</v>
      </c>
      <c r="F1052" s="758">
        <f t="shared" si="412"/>
        <v>346.66220238095241</v>
      </c>
      <c r="G1052" s="70">
        <f t="shared" si="412"/>
        <v>0</v>
      </c>
      <c r="H1052" s="70">
        <f t="shared" si="412"/>
        <v>15.27827380952381</v>
      </c>
      <c r="I1052" s="70">
        <f t="shared" si="412"/>
        <v>0</v>
      </c>
      <c r="J1052" s="70">
        <f t="shared" si="412"/>
        <v>15.27827380952381</v>
      </c>
      <c r="K1052" s="70">
        <f t="shared" si="412"/>
        <v>0</v>
      </c>
      <c r="L1052" s="70">
        <f t="shared" si="412"/>
        <v>0</v>
      </c>
      <c r="M1052" s="605">
        <f t="shared" si="412"/>
        <v>331.38392857142856</v>
      </c>
      <c r="N1052" s="599">
        <f t="shared" si="412"/>
        <v>0</v>
      </c>
      <c r="O1052" s="599">
        <f t="shared" ref="O1052:O1062" si="413">+O1025/($B$10*24)</f>
        <v>299.31451612903226</v>
      </c>
      <c r="P1052" s="716">
        <f t="shared" ref="P1052:P1062" si="414">P1025</f>
        <v>0.25</v>
      </c>
      <c r="Q1052" s="599">
        <f t="shared" ref="Q1052:Q1062" si="415">-O1052*P1052</f>
        <v>-74.828629032258064</v>
      </c>
      <c r="R1052" s="761">
        <f t="shared" ref="R1052:R1062" si="416">O1052+Q1052</f>
        <v>224.48588709677421</v>
      </c>
      <c r="S1052" s="612">
        <f>+S1025/($C$10*24)</f>
        <v>82.845982142857139</v>
      </c>
      <c r="T1052" s="70">
        <f t="shared" ref="T1052:T1062" si="417">+IF(S1052&gt;=0,ABS(S1052),"")</f>
        <v>82.845982142857139</v>
      </c>
      <c r="U1052" s="758" t="str">
        <f t="shared" ref="U1052:U1062" si="418">+IF(S1052&lt;=0,ABS(S1052),"")</f>
        <v/>
      </c>
      <c r="V1052" s="727"/>
    </row>
    <row r="1053" spans="1:45" ht="15.75" customHeight="1" x14ac:dyDescent="0.3">
      <c r="A1053" s="139" t="s">
        <v>2234</v>
      </c>
      <c r="B1053" s="553">
        <f>+B1026/($D$10*24)</f>
        <v>388.90994623655916</v>
      </c>
      <c r="C1053" s="70">
        <f t="shared" ref="C1053:N1053" si="419">+C1026/($D$10*24)</f>
        <v>0</v>
      </c>
      <c r="D1053" s="70">
        <f t="shared" si="419"/>
        <v>16.51478494623656</v>
      </c>
      <c r="E1053" s="70">
        <f t="shared" si="419"/>
        <v>388.90994623655916</v>
      </c>
      <c r="F1053" s="758">
        <f t="shared" si="419"/>
        <v>405.42473118279571</v>
      </c>
      <c r="G1053" s="70">
        <f t="shared" si="419"/>
        <v>0</v>
      </c>
      <c r="H1053" s="70">
        <f>+H1026/($D$10*24)</f>
        <v>21.280913978494624</v>
      </c>
      <c r="I1053" s="70">
        <f t="shared" si="419"/>
        <v>0</v>
      </c>
      <c r="J1053" s="70">
        <f t="shared" si="419"/>
        <v>21.280913978494624</v>
      </c>
      <c r="K1053" s="70">
        <f t="shared" si="419"/>
        <v>0</v>
      </c>
      <c r="L1053" s="70">
        <f t="shared" si="419"/>
        <v>0</v>
      </c>
      <c r="M1053" s="605">
        <f t="shared" si="419"/>
        <v>384.14381720430106</v>
      </c>
      <c r="N1053" s="599">
        <f t="shared" si="419"/>
        <v>0</v>
      </c>
      <c r="O1053" s="599">
        <f t="shared" si="413"/>
        <v>384.14381720430106</v>
      </c>
      <c r="P1053" s="716">
        <f t="shared" si="414"/>
        <v>0.3</v>
      </c>
      <c r="Q1053" s="599">
        <f t="shared" si="415"/>
        <v>-115.24314516129031</v>
      </c>
      <c r="R1053" s="761">
        <f t="shared" si="416"/>
        <v>268.90067204301073</v>
      </c>
      <c r="S1053" s="612">
        <f>+S1026/($D$10*24)</f>
        <v>115.24314516129031</v>
      </c>
      <c r="T1053" s="70">
        <f t="shared" si="417"/>
        <v>115.24314516129031</v>
      </c>
      <c r="U1053" s="758" t="str">
        <f t="shared" si="418"/>
        <v/>
      </c>
      <c r="V1053" s="727"/>
    </row>
    <row r="1054" spans="1:45" ht="15.75" customHeight="1" x14ac:dyDescent="0.3">
      <c r="A1054" s="139" t="s">
        <v>2235</v>
      </c>
      <c r="B1054" s="553">
        <f>+B1027/($F$10*24)</f>
        <v>383.79444444444442</v>
      </c>
      <c r="C1054" s="70">
        <f t="shared" ref="C1054:N1054" si="420">+C1027/($F$10*24)</f>
        <v>0</v>
      </c>
      <c r="D1054" s="70">
        <f t="shared" si="420"/>
        <v>16.856944444444444</v>
      </c>
      <c r="E1054" s="70">
        <f t="shared" si="420"/>
        <v>383.79444444444442</v>
      </c>
      <c r="F1054" s="758">
        <f t="shared" si="420"/>
        <v>400.6513888888889</v>
      </c>
      <c r="G1054" s="70">
        <f t="shared" si="420"/>
        <v>0</v>
      </c>
      <c r="H1054" s="70">
        <f t="shared" si="420"/>
        <v>22.120833333333334</v>
      </c>
      <c r="I1054" s="70">
        <f t="shared" si="420"/>
        <v>0</v>
      </c>
      <c r="J1054" s="70">
        <f t="shared" si="420"/>
        <v>22.120833333333334</v>
      </c>
      <c r="K1054" s="70">
        <f t="shared" si="420"/>
        <v>0</v>
      </c>
      <c r="L1054" s="70">
        <f t="shared" si="420"/>
        <v>0</v>
      </c>
      <c r="M1054" s="605">
        <f t="shared" si="420"/>
        <v>378.53055555555557</v>
      </c>
      <c r="N1054" s="599">
        <f t="shared" si="420"/>
        <v>-31</v>
      </c>
      <c r="O1054" s="599">
        <f t="shared" si="413"/>
        <v>336.31989247311827</v>
      </c>
      <c r="P1054" s="716">
        <f t="shared" si="414"/>
        <v>0.35</v>
      </c>
      <c r="Q1054" s="599">
        <f t="shared" si="415"/>
        <v>-117.71196236559139</v>
      </c>
      <c r="R1054" s="761">
        <f t="shared" si="416"/>
        <v>218.6079301075269</v>
      </c>
      <c r="S1054" s="612">
        <f>+S1027/($F$10*24)</f>
        <v>152.63569444444445</v>
      </c>
      <c r="T1054" s="70">
        <f t="shared" si="417"/>
        <v>152.63569444444445</v>
      </c>
      <c r="U1054" s="758" t="str">
        <f t="shared" si="418"/>
        <v/>
      </c>
      <c r="V1054" s="727"/>
    </row>
    <row r="1055" spans="1:45" ht="15.75" customHeight="1" x14ac:dyDescent="0.3">
      <c r="A1055" s="139" t="s">
        <v>2236</v>
      </c>
      <c r="B1055" s="553">
        <f>+B1028/($G$10*24)</f>
        <v>384.39784946236557</v>
      </c>
      <c r="C1055" s="70">
        <f t="shared" ref="C1055:N1055" si="421">+C1028/($G$10*24)</f>
        <v>0</v>
      </c>
      <c r="D1055" s="70">
        <f t="shared" si="421"/>
        <v>16.93951612903226</v>
      </c>
      <c r="E1055" s="70">
        <f t="shared" si="421"/>
        <v>384.39784946236557</v>
      </c>
      <c r="F1055" s="758">
        <f t="shared" si="421"/>
        <v>401.33736559139783</v>
      </c>
      <c r="G1055" s="70">
        <f t="shared" si="421"/>
        <v>0</v>
      </c>
      <c r="H1055" s="70">
        <f t="shared" si="421"/>
        <v>19.153225806451612</v>
      </c>
      <c r="I1055" s="70">
        <f t="shared" si="421"/>
        <v>0</v>
      </c>
      <c r="J1055" s="70">
        <f t="shared" si="421"/>
        <v>19.153225806451612</v>
      </c>
      <c r="K1055" s="70">
        <f t="shared" si="421"/>
        <v>0</v>
      </c>
      <c r="L1055" s="70">
        <f t="shared" si="421"/>
        <v>0</v>
      </c>
      <c r="M1055" s="605">
        <f t="shared" si="421"/>
        <v>382.18413978494624</v>
      </c>
      <c r="N1055" s="599">
        <f t="shared" si="421"/>
        <v>0</v>
      </c>
      <c r="O1055" s="599">
        <f t="shared" si="413"/>
        <v>382.18413978494624</v>
      </c>
      <c r="P1055" s="716">
        <f t="shared" si="414"/>
        <v>0.35</v>
      </c>
      <c r="Q1055" s="599">
        <f t="shared" si="415"/>
        <v>-133.76444892473117</v>
      </c>
      <c r="R1055" s="761">
        <f t="shared" si="416"/>
        <v>248.41969086021507</v>
      </c>
      <c r="S1055" s="612">
        <f>+S1028/($G$10*24)</f>
        <v>133.76444892473117</v>
      </c>
      <c r="T1055" s="70">
        <f t="shared" si="417"/>
        <v>133.76444892473117</v>
      </c>
      <c r="U1055" s="758" t="str">
        <f t="shared" si="418"/>
        <v/>
      </c>
      <c r="V1055" s="727"/>
    </row>
    <row r="1056" spans="1:45" ht="15.75" customHeight="1" x14ac:dyDescent="0.3">
      <c r="A1056" s="139" t="s">
        <v>2237</v>
      </c>
      <c r="B1056" s="553">
        <f>+B1029/($H$10*24)</f>
        <v>259.01944444444445</v>
      </c>
      <c r="C1056" s="70">
        <f t="shared" ref="C1056:N1056" si="422">+C1029/($H$10*24)</f>
        <v>0</v>
      </c>
      <c r="D1056" s="70">
        <f t="shared" si="422"/>
        <v>10.965277777777779</v>
      </c>
      <c r="E1056" s="70">
        <f t="shared" si="422"/>
        <v>259.01944444444445</v>
      </c>
      <c r="F1056" s="758">
        <f t="shared" si="422"/>
        <v>269.98472222222222</v>
      </c>
      <c r="G1056" s="70">
        <f t="shared" si="422"/>
        <v>20.490428690255371</v>
      </c>
      <c r="H1056" s="70">
        <f t="shared" si="422"/>
        <v>17.633333333333333</v>
      </c>
      <c r="I1056" s="70">
        <f t="shared" si="422"/>
        <v>0</v>
      </c>
      <c r="J1056" s="70">
        <f t="shared" si="422"/>
        <v>17.633333333333333</v>
      </c>
      <c r="K1056" s="70">
        <f t="shared" si="422"/>
        <v>0</v>
      </c>
      <c r="L1056" s="70">
        <f t="shared" si="422"/>
        <v>0</v>
      </c>
      <c r="M1056" s="605">
        <f t="shared" si="422"/>
        <v>231.86096019863351</v>
      </c>
      <c r="N1056" s="599">
        <f t="shared" si="422"/>
        <v>65.666666666666671</v>
      </c>
      <c r="O1056" s="599">
        <f t="shared" si="413"/>
        <v>287.92996148254855</v>
      </c>
      <c r="P1056" s="716">
        <f t="shared" si="414"/>
        <v>7.4999999999999997E-2</v>
      </c>
      <c r="Q1056" s="599">
        <f t="shared" si="415"/>
        <v>-21.59474711119114</v>
      </c>
      <c r="R1056" s="761">
        <f t="shared" si="416"/>
        <v>266.33521437135744</v>
      </c>
      <c r="S1056" s="612">
        <f>+S1029/($H$10*24)</f>
        <v>-43.352094651769143</v>
      </c>
      <c r="T1056" s="70" t="str">
        <f t="shared" si="417"/>
        <v/>
      </c>
      <c r="U1056" s="758">
        <f t="shared" si="418"/>
        <v>43.352094651769143</v>
      </c>
      <c r="V1056" s="727"/>
    </row>
    <row r="1057" spans="1:33" ht="15.75" customHeight="1" x14ac:dyDescent="0.3">
      <c r="A1057" s="139" t="s">
        <v>1504</v>
      </c>
      <c r="B1057" s="553">
        <f>+B1030/($J$10*24)</f>
        <v>159.19489247311827</v>
      </c>
      <c r="C1057" s="70">
        <f t="shared" ref="C1057:N1057" si="423">+C1030/($J$10*24)</f>
        <v>0</v>
      </c>
      <c r="D1057" s="70">
        <f t="shared" si="423"/>
        <v>6.416666666666667</v>
      </c>
      <c r="E1057" s="70">
        <f t="shared" si="423"/>
        <v>159.19489247311827</v>
      </c>
      <c r="F1057" s="758">
        <f t="shared" si="423"/>
        <v>165.61155913978496</v>
      </c>
      <c r="G1057" s="70">
        <f t="shared" si="423"/>
        <v>16.895924068532445</v>
      </c>
      <c r="H1057" s="70">
        <f t="shared" si="423"/>
        <v>15.618279569892474</v>
      </c>
      <c r="I1057" s="70">
        <f t="shared" si="423"/>
        <v>0</v>
      </c>
      <c r="J1057" s="70">
        <f t="shared" si="423"/>
        <v>15.618279569892474</v>
      </c>
      <c r="K1057" s="70">
        <f t="shared" si="423"/>
        <v>0</v>
      </c>
      <c r="L1057" s="70">
        <f t="shared" si="423"/>
        <v>0</v>
      </c>
      <c r="M1057" s="605">
        <f t="shared" si="423"/>
        <v>133.09735550136003</v>
      </c>
      <c r="N1057" s="599">
        <f t="shared" si="423"/>
        <v>63.333333333333336</v>
      </c>
      <c r="O1057" s="599">
        <f t="shared" si="413"/>
        <v>196.43068883469337</v>
      </c>
      <c r="P1057" s="716">
        <f t="shared" si="414"/>
        <v>0.05</v>
      </c>
      <c r="Q1057" s="599">
        <f t="shared" si="415"/>
        <v>-9.8215344417346699</v>
      </c>
      <c r="R1057" s="761">
        <f t="shared" si="416"/>
        <v>186.60915439295871</v>
      </c>
      <c r="S1057" s="612">
        <f>+S1030/($J$10*24)</f>
        <v>-53.511798891598694</v>
      </c>
      <c r="T1057" s="70" t="str">
        <f t="shared" si="417"/>
        <v/>
      </c>
      <c r="U1057" s="758">
        <f t="shared" si="418"/>
        <v>53.511798891598694</v>
      </c>
      <c r="V1057" s="727"/>
    </row>
    <row r="1058" spans="1:33" ht="15.75" customHeight="1" x14ac:dyDescent="0.3">
      <c r="A1058" s="139" t="s">
        <v>1505</v>
      </c>
      <c r="B1058" s="553">
        <f>+B1031/($K$10*24)</f>
        <v>163.02016129032259</v>
      </c>
      <c r="C1058" s="70">
        <f t="shared" ref="C1058:N1058" si="424">+C1031/($K$10*24)</f>
        <v>0</v>
      </c>
      <c r="D1058" s="70">
        <f t="shared" si="424"/>
        <v>6.5376344086021509</v>
      </c>
      <c r="E1058" s="70">
        <f t="shared" si="424"/>
        <v>163.02016129032259</v>
      </c>
      <c r="F1058" s="758">
        <f t="shared" si="424"/>
        <v>169.55779569892474</v>
      </c>
      <c r="G1058" s="70">
        <f t="shared" si="424"/>
        <v>11.434291251864272</v>
      </c>
      <c r="H1058" s="70">
        <f t="shared" si="424"/>
        <v>13.76478494623656</v>
      </c>
      <c r="I1058" s="70">
        <f t="shared" si="424"/>
        <v>0</v>
      </c>
      <c r="J1058" s="70">
        <f t="shared" si="424"/>
        <v>13.76478494623656</v>
      </c>
      <c r="K1058" s="70">
        <f t="shared" si="424"/>
        <v>0</v>
      </c>
      <c r="L1058" s="70">
        <f t="shared" si="424"/>
        <v>0</v>
      </c>
      <c r="M1058" s="605">
        <f t="shared" si="424"/>
        <v>144.35871950082392</v>
      </c>
      <c r="N1058" s="599">
        <f t="shared" si="424"/>
        <v>79</v>
      </c>
      <c r="O1058" s="599">
        <f t="shared" si="413"/>
        <v>223.35871950082392</v>
      </c>
      <c r="P1058" s="716">
        <f t="shared" si="414"/>
        <v>0</v>
      </c>
      <c r="Q1058" s="599">
        <f t="shared" si="415"/>
        <v>0</v>
      </c>
      <c r="R1058" s="761">
        <f t="shared" si="416"/>
        <v>223.35871950082392</v>
      </c>
      <c r="S1058" s="612">
        <f>+S1031/($K$10*24)</f>
        <v>-79</v>
      </c>
      <c r="T1058" s="70" t="str">
        <f t="shared" si="417"/>
        <v/>
      </c>
      <c r="U1058" s="758">
        <f t="shared" si="418"/>
        <v>79</v>
      </c>
      <c r="V1058" s="727"/>
    </row>
    <row r="1059" spans="1:33" ht="15.75" customHeight="1" x14ac:dyDescent="0.3">
      <c r="A1059" s="139" t="s">
        <v>1506</v>
      </c>
      <c r="B1059" s="553">
        <f>+B1032/($L$10*24)</f>
        <v>316.02361111111111</v>
      </c>
      <c r="C1059" s="70">
        <f t="shared" ref="C1059:N1059" si="425">+C1032/($L$10*24)</f>
        <v>0</v>
      </c>
      <c r="D1059" s="70">
        <f t="shared" si="425"/>
        <v>13.770833333333334</v>
      </c>
      <c r="E1059" s="70">
        <f t="shared" si="425"/>
        <v>316.02361111111111</v>
      </c>
      <c r="F1059" s="758">
        <f t="shared" si="425"/>
        <v>329.79444444444442</v>
      </c>
      <c r="G1059" s="70">
        <f t="shared" si="425"/>
        <v>0</v>
      </c>
      <c r="H1059" s="70">
        <f t="shared" si="425"/>
        <v>14.206944444444444</v>
      </c>
      <c r="I1059" s="70">
        <f t="shared" si="425"/>
        <v>0</v>
      </c>
      <c r="J1059" s="70">
        <f t="shared" si="425"/>
        <v>14.206944444444444</v>
      </c>
      <c r="K1059" s="70">
        <f t="shared" si="425"/>
        <v>0</v>
      </c>
      <c r="L1059" s="70">
        <f t="shared" si="425"/>
        <v>0</v>
      </c>
      <c r="M1059" s="605">
        <f t="shared" si="425"/>
        <v>315.58749999999998</v>
      </c>
      <c r="N1059" s="599">
        <f t="shared" si="425"/>
        <v>0</v>
      </c>
      <c r="O1059" s="599">
        <f t="shared" si="413"/>
        <v>305.40725806451616</v>
      </c>
      <c r="P1059" s="716">
        <f t="shared" si="414"/>
        <v>0.05</v>
      </c>
      <c r="Q1059" s="599">
        <f t="shared" si="415"/>
        <v>-15.270362903225809</v>
      </c>
      <c r="R1059" s="761">
        <f t="shared" si="416"/>
        <v>290.13689516129034</v>
      </c>
      <c r="S1059" s="612">
        <f>+S1032/($L$10*24)</f>
        <v>15.779374999999991</v>
      </c>
      <c r="T1059" s="70">
        <f t="shared" si="417"/>
        <v>15.779374999999991</v>
      </c>
      <c r="U1059" s="758" t="str">
        <f t="shared" si="418"/>
        <v/>
      </c>
      <c r="V1059" s="727"/>
    </row>
    <row r="1060" spans="1:33" ht="15.75" customHeight="1" x14ac:dyDescent="0.3">
      <c r="A1060" s="139" t="s">
        <v>1507</v>
      </c>
      <c r="B1060" s="553">
        <f>+B1033/($N$10*24)</f>
        <v>354.89650537634407</v>
      </c>
      <c r="C1060" s="70">
        <f t="shared" ref="C1060:N1060" si="426">+C1033/($N$10*24)</f>
        <v>0</v>
      </c>
      <c r="D1060" s="70">
        <f t="shared" si="426"/>
        <v>15.408602150537634</v>
      </c>
      <c r="E1060" s="70">
        <f t="shared" si="426"/>
        <v>354.89650537634407</v>
      </c>
      <c r="F1060" s="758">
        <f t="shared" si="426"/>
        <v>370.30510752688173</v>
      </c>
      <c r="G1060" s="70">
        <f t="shared" si="426"/>
        <v>0</v>
      </c>
      <c r="H1060" s="70">
        <f t="shared" si="426"/>
        <v>13.580645161290322</v>
      </c>
      <c r="I1060" s="70">
        <f t="shared" si="426"/>
        <v>0</v>
      </c>
      <c r="J1060" s="70">
        <f t="shared" si="426"/>
        <v>13.580645161290322</v>
      </c>
      <c r="K1060" s="70">
        <f t="shared" si="426"/>
        <v>0</v>
      </c>
      <c r="L1060" s="70">
        <f t="shared" si="426"/>
        <v>0</v>
      </c>
      <c r="M1060" s="605">
        <f t="shared" si="426"/>
        <v>356.72446236559142</v>
      </c>
      <c r="N1060" s="599">
        <f t="shared" si="426"/>
        <v>0</v>
      </c>
      <c r="O1060" s="599">
        <f t="shared" si="413"/>
        <v>356.72446236559142</v>
      </c>
      <c r="P1060" s="716">
        <f t="shared" si="414"/>
        <v>0.2</v>
      </c>
      <c r="Q1060" s="599">
        <f t="shared" si="415"/>
        <v>-71.344892473118293</v>
      </c>
      <c r="R1060" s="761">
        <f t="shared" si="416"/>
        <v>285.37956989247311</v>
      </c>
      <c r="S1060" s="612">
        <f>+S1033/($N$10*24)</f>
        <v>71.344892473118293</v>
      </c>
      <c r="T1060" s="70">
        <f t="shared" si="417"/>
        <v>71.344892473118293</v>
      </c>
      <c r="U1060" s="758" t="str">
        <f t="shared" si="418"/>
        <v/>
      </c>
      <c r="V1060" s="727"/>
    </row>
    <row r="1061" spans="1:33" ht="15.75" customHeight="1" x14ac:dyDescent="0.3">
      <c r="A1061" s="139" t="s">
        <v>1508</v>
      </c>
      <c r="B1061" s="553">
        <f>+B1034/($O$10*24)</f>
        <v>314.91944444444442</v>
      </c>
      <c r="C1061" s="70">
        <f t="shared" ref="C1061:N1061" si="427">+C1034/($O$10*24)</f>
        <v>0</v>
      </c>
      <c r="D1061" s="70">
        <f t="shared" si="427"/>
        <v>13.641666666666667</v>
      </c>
      <c r="E1061" s="70">
        <f t="shared" si="427"/>
        <v>314.91944444444442</v>
      </c>
      <c r="F1061" s="758">
        <f t="shared" si="427"/>
        <v>328.56111111111113</v>
      </c>
      <c r="G1061" s="70">
        <f t="shared" si="427"/>
        <v>0</v>
      </c>
      <c r="H1061" s="70">
        <f t="shared" si="427"/>
        <v>15.036111111111111</v>
      </c>
      <c r="I1061" s="70">
        <f t="shared" si="427"/>
        <v>0</v>
      </c>
      <c r="J1061" s="70">
        <f t="shared" si="427"/>
        <v>15.036111111111111</v>
      </c>
      <c r="K1061" s="70">
        <f t="shared" si="427"/>
        <v>0</v>
      </c>
      <c r="L1061" s="70">
        <f t="shared" si="427"/>
        <v>0</v>
      </c>
      <c r="M1061" s="605">
        <f t="shared" si="427"/>
        <v>313.52499999999998</v>
      </c>
      <c r="N1061" s="599">
        <f t="shared" si="427"/>
        <v>0</v>
      </c>
      <c r="O1061" s="599">
        <f t="shared" si="413"/>
        <v>303.41129032258067</v>
      </c>
      <c r="P1061" s="716">
        <f t="shared" si="414"/>
        <v>0.2</v>
      </c>
      <c r="Q1061" s="599">
        <f t="shared" si="415"/>
        <v>-60.682258064516134</v>
      </c>
      <c r="R1061" s="761">
        <f t="shared" si="416"/>
        <v>242.72903225806454</v>
      </c>
      <c r="S1061" s="612">
        <f>+S1034/($O$10*24)</f>
        <v>62.705000000000005</v>
      </c>
      <c r="T1061" s="70">
        <f t="shared" si="417"/>
        <v>62.705000000000005</v>
      </c>
      <c r="U1061" s="758" t="str">
        <f t="shared" si="418"/>
        <v/>
      </c>
      <c r="V1061" s="727"/>
    </row>
    <row r="1062" spans="1:33" ht="15.75" customHeight="1" thickBot="1" x14ac:dyDescent="0.35">
      <c r="A1062" s="139" t="s">
        <v>1509</v>
      </c>
      <c r="B1062" s="558">
        <f>+B1035/($P$10*24)</f>
        <v>212.74059139784947</v>
      </c>
      <c r="C1062" s="564">
        <f t="shared" ref="C1062:N1062" si="428">+C1035/($P$10*24)</f>
        <v>0</v>
      </c>
      <c r="D1062" s="564">
        <f t="shared" si="428"/>
        <v>9.219086021505376</v>
      </c>
      <c r="E1062" s="564">
        <f t="shared" si="428"/>
        <v>212.74059139784947</v>
      </c>
      <c r="F1062" s="602">
        <f t="shared" si="428"/>
        <v>221.95967741935485</v>
      </c>
      <c r="G1062" s="564">
        <f t="shared" si="428"/>
        <v>0</v>
      </c>
      <c r="H1062" s="564">
        <f t="shared" si="428"/>
        <v>8.9731182795698921</v>
      </c>
      <c r="I1062" s="564">
        <f t="shared" si="428"/>
        <v>0</v>
      </c>
      <c r="J1062" s="564">
        <f t="shared" si="428"/>
        <v>8.9731182795698921</v>
      </c>
      <c r="K1062" s="564">
        <f t="shared" si="428"/>
        <v>0</v>
      </c>
      <c r="L1062" s="564">
        <f t="shared" si="428"/>
        <v>0</v>
      </c>
      <c r="M1062" s="608">
        <f t="shared" si="428"/>
        <v>212.98655913978496</v>
      </c>
      <c r="N1062" s="609">
        <f t="shared" si="428"/>
        <v>0</v>
      </c>
      <c r="O1062" s="631">
        <f t="shared" si="413"/>
        <v>212.98655913978496</v>
      </c>
      <c r="P1062" s="711">
        <f t="shared" si="414"/>
        <v>0.2</v>
      </c>
      <c r="Q1062" s="609">
        <f t="shared" si="415"/>
        <v>-42.597311827956993</v>
      </c>
      <c r="R1062" s="631">
        <f t="shared" si="416"/>
        <v>170.38924731182797</v>
      </c>
      <c r="S1062" s="613">
        <f>+S1035/($P$10*24)</f>
        <v>42.597311827956979</v>
      </c>
      <c r="T1062" s="564">
        <f t="shared" si="417"/>
        <v>42.597311827956979</v>
      </c>
      <c r="U1062" s="602" t="str">
        <f t="shared" si="418"/>
        <v/>
      </c>
      <c r="V1062" s="727"/>
    </row>
    <row r="1063" spans="1:33" ht="15.75" customHeight="1" x14ac:dyDescent="0.3">
      <c r="A1063" s="647"/>
      <c r="V1063" s="727"/>
    </row>
    <row r="1064" spans="1:33" ht="16.5" customHeight="1" thickBot="1" x14ac:dyDescent="0.35">
      <c r="A1064" s="648"/>
      <c r="B1064" s="581"/>
      <c r="C1064" s="581"/>
      <c r="D1064" s="581"/>
      <c r="E1064" s="581"/>
      <c r="F1064" s="581"/>
      <c r="G1064" s="581"/>
      <c r="H1064" s="581"/>
      <c r="I1064" s="581"/>
      <c r="J1064" s="581"/>
      <c r="K1064" s="581"/>
      <c r="L1064" s="581"/>
      <c r="M1064" s="581"/>
      <c r="N1064" s="581"/>
      <c r="O1064" s="581"/>
      <c r="P1064" s="581"/>
      <c r="Q1064" s="581"/>
      <c r="R1064" s="581"/>
      <c r="S1064" s="581"/>
      <c r="T1064" s="581"/>
      <c r="U1064" s="581"/>
      <c r="V1064" s="565"/>
    </row>
    <row r="1065" spans="1:33" ht="15.75" customHeight="1" x14ac:dyDescent="0.3">
      <c r="A1065" s="74"/>
      <c r="B1065" s="67"/>
      <c r="C1065" s="67"/>
      <c r="D1065" s="67"/>
      <c r="E1065" s="67"/>
      <c r="F1065" s="67"/>
      <c r="G1065" s="67"/>
      <c r="H1065" s="67"/>
      <c r="I1065" s="67"/>
      <c r="J1065" s="67"/>
      <c r="K1065" s="67"/>
      <c r="L1065" s="67"/>
      <c r="M1065" s="67"/>
      <c r="N1065" s="67"/>
      <c r="O1065" s="67"/>
      <c r="P1065" s="67"/>
      <c r="Q1065" s="67"/>
      <c r="R1065" s="67"/>
    </row>
    <row r="1066" spans="1:33" ht="15.75" customHeight="1" x14ac:dyDescent="0.3">
      <c r="A1066" s="641"/>
    </row>
    <row r="1067" spans="1:33" ht="15.75" customHeight="1" thickBot="1" x14ac:dyDescent="0.35">
      <c r="A1067" s="641"/>
    </row>
    <row r="1068" spans="1:33" ht="15.75" customHeight="1" x14ac:dyDescent="0.3">
      <c r="A1068" s="763"/>
      <c r="B1068" s="821" t="s">
        <v>2880</v>
      </c>
      <c r="C1068" s="821"/>
      <c r="D1068" s="821"/>
      <c r="E1068" s="821"/>
      <c r="F1068" s="821"/>
      <c r="G1068" s="821"/>
      <c r="H1068" s="821"/>
      <c r="I1068" s="821"/>
      <c r="J1068" s="821"/>
      <c r="K1068" s="821"/>
      <c r="L1068" s="821"/>
      <c r="M1068" s="821"/>
      <c r="N1068" s="821"/>
      <c r="O1068" s="821"/>
      <c r="P1068" s="821"/>
      <c r="Q1068" s="752" t="str">
        <f>+Q1</f>
        <v xml:space="preserve">PRINTED:  </v>
      </c>
      <c r="R1068" s="756">
        <f ca="1">+R1</f>
        <v>44881.729633912037</v>
      </c>
      <c r="S1068" s="702"/>
    </row>
    <row r="1069" spans="1:33" ht="15.75" customHeight="1" x14ac:dyDescent="0.3">
      <c r="A1069" s="640"/>
      <c r="B1069" s="786" t="str">
        <f>+A8</f>
        <v>Revised:  2/5/2020</v>
      </c>
      <c r="C1069" s="786"/>
      <c r="D1069" s="786"/>
      <c r="E1069" s="786"/>
      <c r="F1069" s="786"/>
      <c r="G1069" s="786"/>
      <c r="H1069" s="786"/>
      <c r="I1069" s="786"/>
      <c r="J1069" s="786"/>
      <c r="K1069" s="786"/>
      <c r="L1069" s="786"/>
      <c r="M1069" s="786"/>
      <c r="N1069" s="786"/>
      <c r="O1069" s="786"/>
      <c r="P1069" s="786"/>
      <c r="Q1069" s="67"/>
      <c r="R1069" s="67"/>
      <c r="S1069" s="727"/>
    </row>
    <row r="1070" spans="1:33" ht="16.5" customHeight="1" x14ac:dyDescent="0.3">
      <c r="A1070" s="640"/>
      <c r="B1070" s="786" t="s">
        <v>2878</v>
      </c>
      <c r="C1070" s="786"/>
      <c r="D1070" s="786"/>
      <c r="E1070" s="786"/>
      <c r="F1070" s="786"/>
      <c r="G1070" s="786"/>
      <c r="H1070" s="786"/>
      <c r="I1070" s="786"/>
      <c r="J1070" s="786"/>
      <c r="K1070" s="786"/>
      <c r="L1070" s="786"/>
      <c r="M1070" s="786"/>
      <c r="N1070" s="786"/>
      <c r="O1070" s="786"/>
      <c r="P1070" s="786"/>
      <c r="Q1070" s="67"/>
      <c r="R1070" s="67"/>
      <c r="S1070" s="727"/>
    </row>
    <row r="1071" spans="1:33" ht="15.75" customHeight="1" x14ac:dyDescent="0.3">
      <c r="A1071" s="640"/>
      <c r="B1071" s="67"/>
      <c r="C1071" s="67"/>
      <c r="D1071" s="67"/>
      <c r="E1071" s="67"/>
      <c r="F1071" s="67"/>
      <c r="G1071" s="67"/>
      <c r="H1071" s="67"/>
      <c r="I1071" s="67"/>
      <c r="J1071" s="67"/>
      <c r="K1071" s="67"/>
      <c r="L1071" s="67"/>
      <c r="M1071" s="67"/>
      <c r="N1071" s="67"/>
      <c r="O1071" s="67"/>
      <c r="P1071" s="67"/>
      <c r="Q1071" s="67"/>
      <c r="R1071" s="67"/>
      <c r="S1071" s="727"/>
      <c r="AG1071" s="139"/>
    </row>
    <row r="1072" spans="1:33" ht="15.75" customHeight="1" x14ac:dyDescent="0.3">
      <c r="A1072" s="640"/>
      <c r="B1072" s="810">
        <f>+A5</f>
        <v>2021</v>
      </c>
      <c r="C1072" s="787"/>
      <c r="D1072" s="787"/>
      <c r="E1072" s="787"/>
      <c r="F1072" s="787"/>
      <c r="G1072" s="787"/>
      <c r="H1072" s="787"/>
      <c r="I1072" s="787"/>
      <c r="J1072" s="787"/>
      <c r="K1072" s="787"/>
      <c r="L1072" s="787"/>
      <c r="M1072" s="787"/>
      <c r="N1072" s="787"/>
      <c r="O1072" s="787"/>
      <c r="P1072" s="787"/>
      <c r="Q1072" s="67"/>
      <c r="R1072" s="67"/>
      <c r="S1072" s="727"/>
      <c r="AE1072" t="s">
        <v>2912</v>
      </c>
      <c r="AF1072" t="s">
        <v>2913</v>
      </c>
    </row>
    <row r="1073" spans="1:50" ht="15.75" customHeight="1" thickBot="1" x14ac:dyDescent="0.35">
      <c r="A1073" s="640"/>
      <c r="B1073" s="786" t="s">
        <v>1199</v>
      </c>
      <c r="C1073" s="786"/>
      <c r="D1073" s="786"/>
      <c r="E1073" s="786"/>
      <c r="F1073" s="786"/>
      <c r="G1073" s="786"/>
      <c r="H1073" s="786"/>
      <c r="I1073" s="786"/>
      <c r="J1073" s="786"/>
      <c r="K1073" s="786"/>
      <c r="L1073" s="786"/>
      <c r="M1073" s="786"/>
      <c r="N1073" s="786"/>
      <c r="O1073" s="786"/>
      <c r="P1073" s="786"/>
      <c r="Q1073" s="67"/>
      <c r="R1073" s="67"/>
      <c r="S1073" s="727"/>
      <c r="V1073" t="s">
        <v>3174</v>
      </c>
      <c r="AC1073" t="s">
        <v>2911</v>
      </c>
      <c r="AD1073" s="671" t="s">
        <v>3179</v>
      </c>
      <c r="AE1073">
        <f>DAY(DATE($A$5,MONTH(CONCATENATE(1,"-",AD1073,"-",$A$5))+1,1)-1)</f>
        <v>28</v>
      </c>
      <c r="AI1073" s="134"/>
      <c r="AJ1073" s="134"/>
    </row>
    <row r="1074" spans="1:50" ht="15.75" customHeight="1" x14ac:dyDescent="0.3">
      <c r="A1074" s="640"/>
      <c r="B1074" s="818" t="s">
        <v>2888</v>
      </c>
      <c r="C1074" s="819"/>
      <c r="D1074" s="820"/>
      <c r="E1074" s="70"/>
      <c r="F1074" s="70"/>
      <c r="G1074" s="70"/>
      <c r="H1074" s="70"/>
      <c r="I1074" s="70"/>
      <c r="J1074" s="70"/>
      <c r="K1074" s="70"/>
      <c r="L1074" s="70"/>
      <c r="M1074" s="70"/>
      <c r="N1074" s="70"/>
      <c r="O1074" s="70"/>
      <c r="P1074" s="70"/>
      <c r="Q1074" s="67"/>
      <c r="R1074" s="67"/>
      <c r="S1074" s="675"/>
      <c r="T1074" s="812" t="s">
        <v>3169</v>
      </c>
      <c r="U1074" s="813"/>
      <c r="V1074" s="813" t="s">
        <v>3171</v>
      </c>
      <c r="W1074" s="813"/>
      <c r="X1074" s="719" t="s">
        <v>2463</v>
      </c>
      <c r="Y1074" s="719" t="s">
        <v>3180</v>
      </c>
      <c r="Z1074" s="719" t="s">
        <v>3172</v>
      </c>
    </row>
    <row r="1075" spans="1:50" ht="15.75" customHeight="1" thickBot="1" x14ac:dyDescent="0.35">
      <c r="A1075" s="634" t="s">
        <v>249</v>
      </c>
      <c r="B1075" s="653" t="s">
        <v>2886</v>
      </c>
      <c r="C1075" s="654" t="s">
        <v>2885</v>
      </c>
      <c r="D1075" s="655" t="s">
        <v>2915</v>
      </c>
      <c r="E1075" s="654" t="s">
        <v>1309</v>
      </c>
      <c r="F1075" s="654" t="s">
        <v>1029</v>
      </c>
      <c r="G1075" s="654" t="s">
        <v>1030</v>
      </c>
      <c r="H1075" s="654" t="s">
        <v>2881</v>
      </c>
      <c r="I1075" s="654" t="s">
        <v>2882</v>
      </c>
      <c r="J1075" s="654" t="s">
        <v>285</v>
      </c>
      <c r="K1075" s="654" t="s">
        <v>286</v>
      </c>
      <c r="L1075" s="654" t="s">
        <v>287</v>
      </c>
      <c r="M1075" s="654" t="s">
        <v>288</v>
      </c>
      <c r="N1075" s="654" t="s">
        <v>289</v>
      </c>
      <c r="O1075" s="654" t="s">
        <v>633</v>
      </c>
      <c r="P1075" s="654" t="s">
        <v>634</v>
      </c>
      <c r="Q1075" s="654" t="s">
        <v>1192</v>
      </c>
      <c r="R1075" s="654" t="s">
        <v>524</v>
      </c>
      <c r="S1075" s="655" t="s">
        <v>525</v>
      </c>
      <c r="T1075" s="654" t="s">
        <v>3170</v>
      </c>
      <c r="U1075" s="654" t="s">
        <v>2885</v>
      </c>
      <c r="V1075" s="654" t="s">
        <v>3173</v>
      </c>
      <c r="W1075" s="654" t="s">
        <v>2885</v>
      </c>
      <c r="X1075" s="654" t="s">
        <v>1193</v>
      </c>
      <c r="Y1075" s="654" t="s">
        <v>3181</v>
      </c>
      <c r="Z1075" s="654" t="s">
        <v>3182</v>
      </c>
      <c r="AD1075" s="634" t="s">
        <v>1308</v>
      </c>
      <c r="AE1075" s="634" t="s">
        <v>1309</v>
      </c>
      <c r="AF1075" s="634" t="s">
        <v>1029</v>
      </c>
      <c r="AG1075" s="634" t="s">
        <v>1030</v>
      </c>
      <c r="AH1075" s="634" t="s">
        <v>284</v>
      </c>
      <c r="AI1075" s="634" t="s">
        <v>285</v>
      </c>
      <c r="AJ1075" s="634" t="s">
        <v>286</v>
      </c>
      <c r="AK1075" s="634" t="s">
        <v>287</v>
      </c>
      <c r="AL1075" s="634" t="s">
        <v>288</v>
      </c>
      <c r="AM1075" s="634" t="s">
        <v>289</v>
      </c>
      <c r="AN1075" s="634" t="s">
        <v>633</v>
      </c>
      <c r="AO1075" s="634" t="s">
        <v>634</v>
      </c>
      <c r="AP1075" s="634" t="s">
        <v>1192</v>
      </c>
      <c r="AQ1075" s="634" t="s">
        <v>524</v>
      </c>
      <c r="AR1075" s="634" t="s">
        <v>525</v>
      </c>
      <c r="AS1075" s="634" t="s">
        <v>2356</v>
      </c>
      <c r="AT1075" s="634" t="s">
        <v>1415</v>
      </c>
      <c r="AU1075" s="634" t="s">
        <v>2356</v>
      </c>
      <c r="AW1075" s="669" t="s">
        <v>2925</v>
      </c>
      <c r="AX1075" s="669" t="s">
        <v>2926</v>
      </c>
    </row>
    <row r="1076" spans="1:50" ht="15.75" customHeight="1" x14ac:dyDescent="0.3">
      <c r="A1076" s="642" t="s">
        <v>2843</v>
      </c>
      <c r="B1076" s="642">
        <f>+F1103</f>
        <v>196</v>
      </c>
      <c r="C1076" s="139">
        <f t="shared" ref="B1076:C1087" si="429">+G1103</f>
        <v>0</v>
      </c>
      <c r="D1076" s="764" t="s">
        <v>2916</v>
      </c>
      <c r="E1076" s="139">
        <f>+C996/$B$10/24</f>
        <v>10.560483870967742</v>
      </c>
      <c r="F1076" s="139">
        <f t="shared" ref="F1076:S1076" si="430">+D996/$B$10/24</f>
        <v>11.063172043010752</v>
      </c>
      <c r="G1076" s="139">
        <f t="shared" si="430"/>
        <v>18.61559139784946</v>
      </c>
      <c r="H1076" s="139">
        <f t="shared" si="430"/>
        <v>0</v>
      </c>
      <c r="I1076" s="139">
        <f t="shared" si="430"/>
        <v>0</v>
      </c>
      <c r="J1076" s="139">
        <f t="shared" si="430"/>
        <v>5.8951612903225801</v>
      </c>
      <c r="K1076" s="139">
        <f t="shared" si="430"/>
        <v>3.486559139784946</v>
      </c>
      <c r="L1076" s="139">
        <f t="shared" si="430"/>
        <v>5.389784946236559</v>
      </c>
      <c r="M1076" s="139">
        <f t="shared" si="430"/>
        <v>5.553763440860215</v>
      </c>
      <c r="N1076" s="139">
        <f t="shared" si="430"/>
        <v>1.6827956989247312</v>
      </c>
      <c r="O1076" s="139">
        <f t="shared" si="430"/>
        <v>1.98252688172043</v>
      </c>
      <c r="P1076" s="139">
        <f t="shared" si="430"/>
        <v>4.071236559139785</v>
      </c>
      <c r="Q1076" s="139">
        <f t="shared" si="430"/>
        <v>1.0067204301075268</v>
      </c>
      <c r="R1076" s="139">
        <f t="shared" si="430"/>
        <v>1.739247311827957</v>
      </c>
      <c r="S1076" s="764">
        <f t="shared" si="430"/>
        <v>2.381720430107527</v>
      </c>
      <c r="T1076" s="139">
        <f>+B1076+SUM(E1076:S1076)</f>
        <v>269.42876344086017</v>
      </c>
      <c r="U1076" s="139">
        <f t="shared" ref="U1076:U1087" si="431">+C1076+SUM(E1076:S1076)</f>
        <v>73.428763440860195</v>
      </c>
      <c r="V1076" s="139">
        <f>+B1076+SUM(E1076:G1076)</f>
        <v>236.23924731182797</v>
      </c>
      <c r="W1076" s="139">
        <f>+C1076+SUM(E1076:G1076)</f>
        <v>40.239247311827953</v>
      </c>
      <c r="X1076" s="139">
        <f>+H1076</f>
        <v>0</v>
      </c>
      <c r="Y1076" s="139">
        <f>+I1076</f>
        <v>0</v>
      </c>
      <c r="Z1076" s="139">
        <f>+SUM(J1076:S1076)</f>
        <v>33.189516129032256</v>
      </c>
      <c r="AC1076">
        <v>1</v>
      </c>
      <c r="AD1076" s="139">
        <f>IF($AF$1073=1,VLOOKUP($AD$1073,$A$1103:$P$1114,12,FALSE),VLOOKUP($AD$1073,$A$1076:$S$1087,2,FALSE))</f>
        <v>98</v>
      </c>
      <c r="AE1076" s="139">
        <f>VLOOKUP($AD$1073,$A$1076:$S$1087,5,FALSE)</f>
        <v>22.866071428571431</v>
      </c>
      <c r="AF1076" s="139">
        <f>VLOOKUP($AD$1073,$A$1076:$S$1087,6,FALSE)</f>
        <v>23.96279761904762</v>
      </c>
      <c r="AG1076" s="139">
        <f>VLOOKUP($AD$1073,$A$1076:$S$1087,7,FALSE)</f>
        <v>40.592261904761905</v>
      </c>
      <c r="AH1076" s="139">
        <f>VLOOKUP($AD$1073,$A$1076:$S$1087,8,FALSE)</f>
        <v>16.711731721980389</v>
      </c>
      <c r="AI1076" s="139">
        <f>VLOOKUP($AD$1073,$A$1076:$S$1087,10,FALSE)</f>
        <v>8.1205357142857135</v>
      </c>
      <c r="AJ1076" s="139">
        <f>VLOOKUP($AD$1073,$A$1076:$S$1087,11,FALSE)</f>
        <v>5.5803571428571423</v>
      </c>
      <c r="AK1076" s="139">
        <f>VLOOKUP($AD$1073,$A$1076:$S$1087,12,FALSE)</f>
        <v>8.6339285714285712</v>
      </c>
      <c r="AL1076" s="139">
        <f>VLOOKUP($AD$1073,$A$1076:$S$1087,13,FALSE)</f>
        <v>8.7395833333333339</v>
      </c>
      <c r="AM1076" s="139">
        <f>VLOOKUP($AD$1073,$A$1076:$S$1087,14,FALSE)</f>
        <v>2.7217261904761902</v>
      </c>
      <c r="AN1076" s="139">
        <f>VLOOKUP($AD$1073,$A$1076:$S$1087,15,FALSE)</f>
        <v>3.2083333333333335</v>
      </c>
      <c r="AO1076" s="139">
        <f>VLOOKUP($AD$1073,$A$1076:$S$1087,16,FALSE)</f>
        <v>6.552083333333333</v>
      </c>
      <c r="AP1076" s="139">
        <f>VLOOKUP($AD$1073,$A$1076:$S$1087,17,FALSE)</f>
        <v>1.0238095238095239</v>
      </c>
      <c r="AQ1076" s="139">
        <f>VLOOKUP($AD$1073,$A$1076:$S$1087,18,FALSE)</f>
        <v>1.9255952380952381</v>
      </c>
      <c r="AR1076" s="139">
        <f>VLOOKUP($AD$1073,$A$1076:$S$1087,19,FALSE)</f>
        <v>2.4241071428571428</v>
      </c>
      <c r="AS1076" s="139">
        <f>SUM(AD1076:AR1076)</f>
        <v>251.0629221981709</v>
      </c>
      <c r="AT1076" s="139">
        <f>VLOOKUP($AD$1073,$AC$996:$AS$1007,17,FALSE)/$AE$1073*(AS1076/$AS$1100)</f>
        <v>18.950872633130363</v>
      </c>
      <c r="AU1076" s="139">
        <f>AS1076+AT1076</f>
        <v>270.01379483130125</v>
      </c>
      <c r="AW1076" s="139">
        <f>VLOOKUP($AD$1073,$A$1024:$O$1037,15,FALSE)/$AE$1073/24</f>
        <v>331.38392857142856</v>
      </c>
      <c r="AX1076" s="139">
        <f>AU1076-AW1076</f>
        <v>-61.370133740127301</v>
      </c>
    </row>
    <row r="1077" spans="1:50" ht="15.75" customHeight="1" x14ac:dyDescent="0.3">
      <c r="A1077" s="642" t="s">
        <v>2091</v>
      </c>
      <c r="B1077" s="642">
        <f t="shared" si="429"/>
        <v>98</v>
      </c>
      <c r="C1077" s="139">
        <f t="shared" si="429"/>
        <v>0</v>
      </c>
      <c r="D1077" s="764" t="s">
        <v>2916</v>
      </c>
      <c r="E1077" s="139">
        <f t="shared" ref="E1077:S1077" si="432">+C997/$C$10/24</f>
        <v>22.866071428571431</v>
      </c>
      <c r="F1077" s="139">
        <f t="shared" si="432"/>
        <v>23.96279761904762</v>
      </c>
      <c r="G1077" s="139">
        <f t="shared" si="432"/>
        <v>40.592261904761905</v>
      </c>
      <c r="H1077" s="139">
        <f t="shared" si="432"/>
        <v>16.711731721980389</v>
      </c>
      <c r="I1077" s="139">
        <f t="shared" si="432"/>
        <v>0</v>
      </c>
      <c r="J1077" s="139">
        <f t="shared" si="432"/>
        <v>8.1205357142857135</v>
      </c>
      <c r="K1077" s="139">
        <f t="shared" si="432"/>
        <v>5.5803571428571423</v>
      </c>
      <c r="L1077" s="139">
        <f t="shared" si="432"/>
        <v>8.6339285714285712</v>
      </c>
      <c r="M1077" s="139">
        <f t="shared" si="432"/>
        <v>8.7395833333333339</v>
      </c>
      <c r="N1077" s="139">
        <f t="shared" si="432"/>
        <v>2.7217261904761902</v>
      </c>
      <c r="O1077" s="139">
        <f t="shared" si="432"/>
        <v>3.2083333333333335</v>
      </c>
      <c r="P1077" s="139">
        <f t="shared" si="432"/>
        <v>6.552083333333333</v>
      </c>
      <c r="Q1077" s="139">
        <f t="shared" si="432"/>
        <v>1.0238095238095239</v>
      </c>
      <c r="R1077" s="139">
        <f t="shared" si="432"/>
        <v>1.9255952380952381</v>
      </c>
      <c r="S1077" s="764">
        <f t="shared" si="432"/>
        <v>2.4241071428571428</v>
      </c>
      <c r="T1077" s="139">
        <f t="shared" ref="T1077:T1087" si="433">+B1077+SUM(E1077:S1077)</f>
        <v>251.0629221981709</v>
      </c>
      <c r="U1077" s="139">
        <f t="shared" si="431"/>
        <v>153.0629221981709</v>
      </c>
      <c r="V1077" s="139">
        <f t="shared" ref="V1077:V1087" si="434">+B1077+SUM(E1077:G1077)</f>
        <v>185.42113095238096</v>
      </c>
      <c r="W1077" s="139">
        <f t="shared" ref="W1077:W1087" si="435">+C1077+SUM(E1077:G1077)</f>
        <v>87.421130952380963</v>
      </c>
      <c r="X1077" s="139">
        <f t="shared" ref="X1077:Y1087" si="436">+H1077</f>
        <v>16.711731721980389</v>
      </c>
      <c r="Y1077" s="139">
        <f t="shared" si="436"/>
        <v>0</v>
      </c>
      <c r="Z1077" s="139">
        <f t="shared" ref="Z1077:Z1087" si="437">+SUM(J1077:S1077)</f>
        <v>48.930059523809533</v>
      </c>
      <c r="AC1077">
        <v>2</v>
      </c>
      <c r="AD1077" s="139">
        <f t="shared" ref="AD1077:AD1081" si="438">IF($AF$1073=1,VLOOKUP($AD$1073,$A$1103:$P$1114,12,FALSE),VLOOKUP($AD$1073,$A$1076:$S$1087,2,FALSE))</f>
        <v>98</v>
      </c>
      <c r="AE1077" s="139">
        <f t="shared" ref="AE1077:AE1099" si="439">VLOOKUP($AD$1073,$A$1076:$S$1087,5,FALSE)</f>
        <v>22.866071428571431</v>
      </c>
      <c r="AF1077" s="139">
        <f t="shared" ref="AF1077:AF1099" si="440">VLOOKUP($AD$1073,$A$1076:$S$1087,6,FALSE)</f>
        <v>23.96279761904762</v>
      </c>
      <c r="AG1077" s="139">
        <f t="shared" ref="AG1077:AG1099" si="441">VLOOKUP($AD$1073,$A$1076:$S$1087,7,FALSE)</f>
        <v>40.592261904761905</v>
      </c>
      <c r="AH1077" s="139">
        <f t="shared" ref="AH1077:AH1099" si="442">VLOOKUP($AD$1073,$A$1076:$S$1087,8,FALSE)</f>
        <v>16.711731721980389</v>
      </c>
      <c r="AI1077" s="139">
        <f t="shared" ref="AI1077:AI1099" si="443">VLOOKUP($AD$1073,$A$1076:$S$1087,10,FALSE)</f>
        <v>8.1205357142857135</v>
      </c>
      <c r="AJ1077" s="139">
        <f t="shared" ref="AJ1077:AJ1099" si="444">VLOOKUP($AD$1073,$A$1076:$S$1087,11,FALSE)</f>
        <v>5.5803571428571423</v>
      </c>
      <c r="AK1077" s="139">
        <f t="shared" ref="AK1077:AK1099" si="445">VLOOKUP($AD$1073,$A$1076:$S$1087,12,FALSE)</f>
        <v>8.6339285714285712</v>
      </c>
      <c r="AL1077" s="139">
        <f t="shared" ref="AL1077:AL1099" si="446">VLOOKUP($AD$1073,$A$1076:$S$1087,13,FALSE)</f>
        <v>8.7395833333333339</v>
      </c>
      <c r="AM1077" s="139">
        <f t="shared" ref="AM1077:AM1099" si="447">VLOOKUP($AD$1073,$A$1076:$S$1087,14,FALSE)</f>
        <v>2.7217261904761902</v>
      </c>
      <c r="AN1077" s="139">
        <f t="shared" ref="AN1077:AN1099" si="448">VLOOKUP($AD$1073,$A$1076:$S$1087,15,FALSE)</f>
        <v>3.2083333333333335</v>
      </c>
      <c r="AO1077" s="139">
        <f t="shared" ref="AO1077:AO1099" si="449">VLOOKUP($AD$1073,$A$1076:$S$1087,16,FALSE)</f>
        <v>6.552083333333333</v>
      </c>
      <c r="AP1077" s="139">
        <f t="shared" ref="AP1077:AP1099" si="450">VLOOKUP($AD$1073,$A$1076:$S$1087,17,FALSE)</f>
        <v>1.0238095238095239</v>
      </c>
      <c r="AQ1077" s="139">
        <f t="shared" ref="AQ1077:AQ1099" si="451">VLOOKUP($AD$1073,$A$1076:$S$1087,18,FALSE)</f>
        <v>1.9255952380952381</v>
      </c>
      <c r="AR1077" s="139">
        <f t="shared" ref="AR1077:AR1099" si="452">VLOOKUP($AD$1073,$A$1076:$S$1087,19,FALSE)</f>
        <v>2.4241071428571428</v>
      </c>
      <c r="AS1077" s="139">
        <f t="shared" ref="AS1077:AS1099" si="453">SUM(AD1077:AR1077)</f>
        <v>251.0629221981709</v>
      </c>
      <c r="AT1077" s="139">
        <f t="shared" ref="AT1077:AT1099" si="454">VLOOKUP($AD$1073,$AC$996:$AS$1007,17,FALSE)/$AE$1073*(AS1077/$AS$1100)</f>
        <v>18.950872633130363</v>
      </c>
      <c r="AU1077" s="139">
        <f t="shared" ref="AU1077:AU1099" si="455">AS1077+AT1077</f>
        <v>270.01379483130125</v>
      </c>
      <c r="AW1077" s="139">
        <f t="shared" ref="AW1077:AW1099" si="456">VLOOKUP($AD$1073,$A$1024:$O$1037,15,FALSE)/$AE$1073/24</f>
        <v>331.38392857142856</v>
      </c>
      <c r="AX1077" s="139">
        <f t="shared" ref="AX1077:AX1099" si="457">AU1077-AW1077</f>
        <v>-61.370133740127301</v>
      </c>
    </row>
    <row r="1078" spans="1:50" ht="15.75" customHeight="1" x14ac:dyDescent="0.3">
      <c r="A1078" s="642" t="s">
        <v>2234</v>
      </c>
      <c r="B1078" s="642">
        <f t="shared" si="429"/>
        <v>294</v>
      </c>
      <c r="C1078" s="139">
        <f t="shared" si="429"/>
        <v>0</v>
      </c>
      <c r="D1078" s="764" t="s">
        <v>2916</v>
      </c>
      <c r="E1078" s="139">
        <f t="shared" ref="E1078:S1078" si="458">+C998/$D$10/24</f>
        <v>27.153225806451612</v>
      </c>
      <c r="F1078" s="139">
        <f t="shared" si="458"/>
        <v>28.443548387096772</v>
      </c>
      <c r="G1078" s="139">
        <f t="shared" si="458"/>
        <v>47.538978494623656</v>
      </c>
      <c r="H1078" s="139">
        <f t="shared" si="458"/>
        <v>17.730367557615406</v>
      </c>
      <c r="I1078" s="139">
        <f t="shared" si="458"/>
        <v>0</v>
      </c>
      <c r="J1078" s="139">
        <f t="shared" si="458"/>
        <v>10.916666666666666</v>
      </c>
      <c r="K1078" s="139">
        <f t="shared" si="458"/>
        <v>7.014784946236559</v>
      </c>
      <c r="L1078" s="139">
        <f t="shared" si="458"/>
        <v>9.7607526881720421</v>
      </c>
      <c r="M1078" s="139">
        <f t="shared" si="458"/>
        <v>9.237903225806452</v>
      </c>
      <c r="N1078" s="139">
        <f t="shared" si="458"/>
        <v>2.7177419354838706</v>
      </c>
      <c r="O1078" s="139">
        <f t="shared" si="458"/>
        <v>3.202956989247312</v>
      </c>
      <c r="P1078" s="139">
        <f t="shared" si="458"/>
        <v>6.454301075268817</v>
      </c>
      <c r="Q1078" s="139">
        <f t="shared" si="458"/>
        <v>0.95564516129032251</v>
      </c>
      <c r="R1078" s="139">
        <f t="shared" si="458"/>
        <v>2.1733870967741935</v>
      </c>
      <c r="S1078" s="764">
        <f t="shared" si="458"/>
        <v>2.260752688172043</v>
      </c>
      <c r="T1078" s="139">
        <f t="shared" si="433"/>
        <v>469.56101271890572</v>
      </c>
      <c r="U1078" s="139">
        <f t="shared" si="431"/>
        <v>175.56101271890572</v>
      </c>
      <c r="V1078" s="139">
        <f t="shared" si="434"/>
        <v>397.13575268817203</v>
      </c>
      <c r="W1078" s="139">
        <f t="shared" si="435"/>
        <v>103.13575268817203</v>
      </c>
      <c r="X1078" s="139">
        <f t="shared" si="436"/>
        <v>17.730367557615406</v>
      </c>
      <c r="Y1078" s="139">
        <f t="shared" si="436"/>
        <v>0</v>
      </c>
      <c r="Z1078" s="139">
        <f t="shared" si="437"/>
        <v>54.694892473118266</v>
      </c>
      <c r="AC1078">
        <v>3</v>
      </c>
      <c r="AD1078" s="139">
        <f t="shared" si="438"/>
        <v>98</v>
      </c>
      <c r="AE1078" s="139">
        <f t="shared" si="439"/>
        <v>22.866071428571431</v>
      </c>
      <c r="AF1078" s="139">
        <f t="shared" si="440"/>
        <v>23.96279761904762</v>
      </c>
      <c r="AG1078" s="139">
        <f t="shared" si="441"/>
        <v>40.592261904761905</v>
      </c>
      <c r="AH1078" s="139">
        <f t="shared" si="442"/>
        <v>16.711731721980389</v>
      </c>
      <c r="AI1078" s="139">
        <f t="shared" si="443"/>
        <v>8.1205357142857135</v>
      </c>
      <c r="AJ1078" s="139">
        <f t="shared" si="444"/>
        <v>5.5803571428571423</v>
      </c>
      <c r="AK1078" s="139">
        <f t="shared" si="445"/>
        <v>8.6339285714285712</v>
      </c>
      <c r="AL1078" s="139">
        <f t="shared" si="446"/>
        <v>8.7395833333333339</v>
      </c>
      <c r="AM1078" s="139">
        <f t="shared" si="447"/>
        <v>2.7217261904761902</v>
      </c>
      <c r="AN1078" s="139">
        <f t="shared" si="448"/>
        <v>3.2083333333333335</v>
      </c>
      <c r="AO1078" s="139">
        <f t="shared" si="449"/>
        <v>6.552083333333333</v>
      </c>
      <c r="AP1078" s="139">
        <f t="shared" si="450"/>
        <v>1.0238095238095239</v>
      </c>
      <c r="AQ1078" s="139">
        <f t="shared" si="451"/>
        <v>1.9255952380952381</v>
      </c>
      <c r="AR1078" s="139">
        <f t="shared" si="452"/>
        <v>2.4241071428571428</v>
      </c>
      <c r="AS1078" s="139">
        <f t="shared" si="453"/>
        <v>251.0629221981709</v>
      </c>
      <c r="AT1078" s="139">
        <f t="shared" si="454"/>
        <v>18.950872633130363</v>
      </c>
      <c r="AU1078" s="139">
        <f t="shared" si="455"/>
        <v>270.01379483130125</v>
      </c>
      <c r="AW1078" s="139">
        <f t="shared" si="456"/>
        <v>331.38392857142856</v>
      </c>
      <c r="AX1078" s="139">
        <f t="shared" si="457"/>
        <v>-61.370133740127301</v>
      </c>
    </row>
    <row r="1079" spans="1:50" ht="15.75" customHeight="1" x14ac:dyDescent="0.3">
      <c r="A1079" s="642" t="s">
        <v>2235</v>
      </c>
      <c r="B1079" s="642">
        <f t="shared" si="429"/>
        <v>294</v>
      </c>
      <c r="C1079" s="139">
        <f t="shared" si="429"/>
        <v>0</v>
      </c>
      <c r="D1079" s="764" t="s">
        <v>2916</v>
      </c>
      <c r="E1079" s="139">
        <f t="shared" ref="E1079:S1079" si="459">+C999/$F$10/24</f>
        <v>27.287499999999998</v>
      </c>
      <c r="F1079" s="139">
        <f t="shared" si="459"/>
        <v>28.568055555555556</v>
      </c>
      <c r="G1079" s="139">
        <f t="shared" si="459"/>
        <v>47.245833333333337</v>
      </c>
      <c r="H1079" s="139">
        <f t="shared" si="459"/>
        <v>1.8162954041136503</v>
      </c>
      <c r="I1079" s="139">
        <f t="shared" si="459"/>
        <v>0</v>
      </c>
      <c r="J1079" s="139">
        <f t="shared" si="459"/>
        <v>14.9625</v>
      </c>
      <c r="K1079" s="139">
        <f t="shared" si="459"/>
        <v>9.4013888888888886</v>
      </c>
      <c r="L1079" s="139">
        <f t="shared" si="459"/>
        <v>10.665277777777778</v>
      </c>
      <c r="M1079" s="139">
        <f t="shared" si="459"/>
        <v>9.594444444444445</v>
      </c>
      <c r="N1079" s="139">
        <f t="shared" si="459"/>
        <v>2.9263888888888889</v>
      </c>
      <c r="O1079" s="139">
        <f t="shared" si="459"/>
        <v>3.4472222222222224</v>
      </c>
      <c r="P1079" s="139">
        <f t="shared" si="459"/>
        <v>6.8902777777777784</v>
      </c>
      <c r="Q1079" s="139">
        <f t="shared" si="459"/>
        <v>1.1152777777777778</v>
      </c>
      <c r="R1079" s="139">
        <f t="shared" si="459"/>
        <v>2.6958333333333333</v>
      </c>
      <c r="S1079" s="764">
        <f t="shared" si="459"/>
        <v>2.6361111111111111</v>
      </c>
      <c r="T1079" s="139">
        <f t="shared" si="433"/>
        <v>463.25240651522472</v>
      </c>
      <c r="U1079" s="139">
        <f t="shared" si="431"/>
        <v>169.25240651522475</v>
      </c>
      <c r="V1079" s="139">
        <f t="shared" si="434"/>
        <v>397.10138888888889</v>
      </c>
      <c r="W1079" s="139">
        <f t="shared" si="435"/>
        <v>103.10138888888889</v>
      </c>
      <c r="X1079" s="139">
        <f t="shared" si="436"/>
        <v>1.8162954041136503</v>
      </c>
      <c r="Y1079" s="139">
        <f t="shared" si="436"/>
        <v>0</v>
      </c>
      <c r="Z1079" s="139">
        <f t="shared" si="437"/>
        <v>64.334722222222226</v>
      </c>
      <c r="AC1079">
        <v>4</v>
      </c>
      <c r="AD1079" s="139">
        <f t="shared" si="438"/>
        <v>98</v>
      </c>
      <c r="AE1079" s="139">
        <f t="shared" si="439"/>
        <v>22.866071428571431</v>
      </c>
      <c r="AF1079" s="139">
        <f t="shared" si="440"/>
        <v>23.96279761904762</v>
      </c>
      <c r="AG1079" s="139">
        <f t="shared" si="441"/>
        <v>40.592261904761905</v>
      </c>
      <c r="AH1079" s="139">
        <f t="shared" si="442"/>
        <v>16.711731721980389</v>
      </c>
      <c r="AI1079" s="139">
        <f t="shared" si="443"/>
        <v>8.1205357142857135</v>
      </c>
      <c r="AJ1079" s="139">
        <f t="shared" si="444"/>
        <v>5.5803571428571423</v>
      </c>
      <c r="AK1079" s="139">
        <f t="shared" si="445"/>
        <v>8.6339285714285712</v>
      </c>
      <c r="AL1079" s="139">
        <f t="shared" si="446"/>
        <v>8.7395833333333339</v>
      </c>
      <c r="AM1079" s="139">
        <f t="shared" si="447"/>
        <v>2.7217261904761902</v>
      </c>
      <c r="AN1079" s="139">
        <f t="shared" si="448"/>
        <v>3.2083333333333335</v>
      </c>
      <c r="AO1079" s="139">
        <f t="shared" si="449"/>
        <v>6.552083333333333</v>
      </c>
      <c r="AP1079" s="139">
        <f t="shared" si="450"/>
        <v>1.0238095238095239</v>
      </c>
      <c r="AQ1079" s="139">
        <f t="shared" si="451"/>
        <v>1.9255952380952381</v>
      </c>
      <c r="AR1079" s="139">
        <f t="shared" si="452"/>
        <v>2.4241071428571428</v>
      </c>
      <c r="AS1079" s="139">
        <f t="shared" si="453"/>
        <v>251.0629221981709</v>
      </c>
      <c r="AT1079" s="139">
        <f t="shared" si="454"/>
        <v>18.950872633130363</v>
      </c>
      <c r="AU1079" s="139">
        <f t="shared" si="455"/>
        <v>270.01379483130125</v>
      </c>
      <c r="AW1079" s="139">
        <f t="shared" si="456"/>
        <v>331.38392857142856</v>
      </c>
      <c r="AX1079" s="139">
        <f t="shared" si="457"/>
        <v>-61.370133740127301</v>
      </c>
    </row>
    <row r="1080" spans="1:50" ht="15.75" customHeight="1" x14ac:dyDescent="0.3">
      <c r="A1080" s="642" t="s">
        <v>2236</v>
      </c>
      <c r="B1080" s="642">
        <f t="shared" si="429"/>
        <v>294</v>
      </c>
      <c r="C1080" s="139">
        <f t="shared" si="429"/>
        <v>0</v>
      </c>
      <c r="D1080" s="764" t="s">
        <v>2916</v>
      </c>
      <c r="E1080" s="139">
        <f t="shared" ref="E1080:S1080" si="460">+C1000/$G$10/24</f>
        <v>27.572580645161292</v>
      </c>
      <c r="F1080" s="139">
        <f t="shared" si="460"/>
        <v>28.858870967741936</v>
      </c>
      <c r="G1080" s="139">
        <f t="shared" si="460"/>
        <v>47.389784946236553</v>
      </c>
      <c r="H1080" s="139">
        <f t="shared" si="460"/>
        <v>1.457458622906862</v>
      </c>
      <c r="I1080" s="139">
        <f t="shared" si="460"/>
        <v>0</v>
      </c>
      <c r="J1080" s="139">
        <f t="shared" si="460"/>
        <v>13.516129032258064</v>
      </c>
      <c r="K1080" s="139">
        <f t="shared" si="460"/>
        <v>7.7876344086021509</v>
      </c>
      <c r="L1080" s="139">
        <f t="shared" si="460"/>
        <v>10.241935483870968</v>
      </c>
      <c r="M1080" s="139">
        <f t="shared" si="460"/>
        <v>9.8763440860215059</v>
      </c>
      <c r="N1080" s="139">
        <f t="shared" si="460"/>
        <v>3.0161290322580645</v>
      </c>
      <c r="O1080" s="139">
        <f t="shared" si="460"/>
        <v>3.55241935483871</v>
      </c>
      <c r="P1080" s="139">
        <f t="shared" si="460"/>
        <v>7.0645161290322589</v>
      </c>
      <c r="Q1080" s="139">
        <f t="shared" si="460"/>
        <v>1.2459677419354838</v>
      </c>
      <c r="R1080" s="139">
        <f t="shared" si="460"/>
        <v>3.043010752688172</v>
      </c>
      <c r="S1080" s="764">
        <f t="shared" si="460"/>
        <v>2.9462365591397845</v>
      </c>
      <c r="T1080" s="139">
        <f t="shared" si="433"/>
        <v>461.56901776269183</v>
      </c>
      <c r="U1080" s="139">
        <f t="shared" si="431"/>
        <v>167.5690177626918</v>
      </c>
      <c r="V1080" s="139">
        <f t="shared" si="434"/>
        <v>397.82123655913978</v>
      </c>
      <c r="W1080" s="139">
        <f t="shared" si="435"/>
        <v>103.82123655913978</v>
      </c>
      <c r="X1080" s="139">
        <f t="shared" si="436"/>
        <v>1.457458622906862</v>
      </c>
      <c r="Y1080" s="139">
        <f t="shared" si="436"/>
        <v>0</v>
      </c>
      <c r="Z1080" s="139">
        <f t="shared" si="437"/>
        <v>62.29032258064516</v>
      </c>
      <c r="AC1080">
        <v>5</v>
      </c>
      <c r="AD1080" s="139">
        <f t="shared" si="438"/>
        <v>98</v>
      </c>
      <c r="AE1080" s="139">
        <f t="shared" si="439"/>
        <v>22.866071428571431</v>
      </c>
      <c r="AF1080" s="139">
        <f t="shared" si="440"/>
        <v>23.96279761904762</v>
      </c>
      <c r="AG1080" s="139">
        <f t="shared" si="441"/>
        <v>40.592261904761905</v>
      </c>
      <c r="AH1080" s="139">
        <f t="shared" si="442"/>
        <v>16.711731721980389</v>
      </c>
      <c r="AI1080" s="139">
        <f t="shared" si="443"/>
        <v>8.1205357142857135</v>
      </c>
      <c r="AJ1080" s="139">
        <f t="shared" si="444"/>
        <v>5.5803571428571423</v>
      </c>
      <c r="AK1080" s="139">
        <f t="shared" si="445"/>
        <v>8.6339285714285712</v>
      </c>
      <c r="AL1080" s="139">
        <f t="shared" si="446"/>
        <v>8.7395833333333339</v>
      </c>
      <c r="AM1080" s="139">
        <f t="shared" si="447"/>
        <v>2.7217261904761902</v>
      </c>
      <c r="AN1080" s="139">
        <f t="shared" si="448"/>
        <v>3.2083333333333335</v>
      </c>
      <c r="AO1080" s="139">
        <f t="shared" si="449"/>
        <v>6.552083333333333</v>
      </c>
      <c r="AP1080" s="139">
        <f t="shared" si="450"/>
        <v>1.0238095238095239</v>
      </c>
      <c r="AQ1080" s="139">
        <f t="shared" si="451"/>
        <v>1.9255952380952381</v>
      </c>
      <c r="AR1080" s="139">
        <f t="shared" si="452"/>
        <v>2.4241071428571428</v>
      </c>
      <c r="AS1080" s="139">
        <f t="shared" si="453"/>
        <v>251.0629221981709</v>
      </c>
      <c r="AT1080" s="139">
        <f t="shared" si="454"/>
        <v>18.950872633130363</v>
      </c>
      <c r="AU1080" s="139">
        <f t="shared" si="455"/>
        <v>270.01379483130125</v>
      </c>
      <c r="AW1080" s="139">
        <f t="shared" si="456"/>
        <v>331.38392857142856</v>
      </c>
      <c r="AX1080" s="139">
        <f t="shared" si="457"/>
        <v>-61.370133740127301</v>
      </c>
    </row>
    <row r="1081" spans="1:50" ht="15.75" customHeight="1" x14ac:dyDescent="0.3">
      <c r="A1081" s="642" t="s">
        <v>2237</v>
      </c>
      <c r="B1081" s="642">
        <f t="shared" si="429"/>
        <v>147</v>
      </c>
      <c r="C1081" s="139">
        <f t="shared" si="429"/>
        <v>0</v>
      </c>
      <c r="D1081" s="764" t="str">
        <f>H1108</f>
        <v>n/a</v>
      </c>
      <c r="E1081" s="139">
        <f t="shared" ref="E1081:S1081" si="461">+C1001/$H$10/24</f>
        <v>16.224999999999998</v>
      </c>
      <c r="F1081" s="139">
        <f t="shared" si="461"/>
        <v>16.951388888888889</v>
      </c>
      <c r="G1081" s="139">
        <f t="shared" si="461"/>
        <v>26.879166666666666</v>
      </c>
      <c r="H1081" s="139">
        <f t="shared" si="461"/>
        <v>0</v>
      </c>
      <c r="I1081" s="139">
        <f t="shared" si="461"/>
        <v>-20.490428690255374</v>
      </c>
      <c r="J1081" s="139">
        <f t="shared" si="461"/>
        <v>19.348611111111111</v>
      </c>
      <c r="K1081" s="139">
        <f t="shared" si="461"/>
        <v>10.058333333333334</v>
      </c>
      <c r="L1081" s="139">
        <f t="shared" si="461"/>
        <v>11.530555555555557</v>
      </c>
      <c r="M1081" s="139">
        <f t="shared" si="461"/>
        <v>9.6944444444444446</v>
      </c>
      <c r="N1081" s="139">
        <f t="shared" si="461"/>
        <v>2.9361111111111113</v>
      </c>
      <c r="O1081" s="139">
        <f t="shared" si="461"/>
        <v>3.4583333333333335</v>
      </c>
      <c r="P1081" s="139">
        <f t="shared" si="461"/>
        <v>6.729166666666667</v>
      </c>
      <c r="Q1081" s="139">
        <f t="shared" si="461"/>
        <v>1.2333333333333334</v>
      </c>
      <c r="R1081" s="139">
        <f t="shared" si="461"/>
        <v>3.2347222222222225</v>
      </c>
      <c r="S1081" s="764">
        <f t="shared" si="461"/>
        <v>2.9166666666666665</v>
      </c>
      <c r="T1081" s="139">
        <f t="shared" si="433"/>
        <v>257.70540464307794</v>
      </c>
      <c r="U1081" s="139">
        <f t="shared" si="431"/>
        <v>110.70540464307797</v>
      </c>
      <c r="V1081" s="139">
        <f t="shared" si="434"/>
        <v>207.05555555555554</v>
      </c>
      <c r="W1081" s="139">
        <f t="shared" si="435"/>
        <v>60.055555555555557</v>
      </c>
      <c r="X1081" s="139">
        <f t="shared" si="436"/>
        <v>0</v>
      </c>
      <c r="Y1081" s="139">
        <f t="shared" si="436"/>
        <v>-20.490428690255374</v>
      </c>
      <c r="Z1081" s="139">
        <f t="shared" si="437"/>
        <v>71.140277777777769</v>
      </c>
      <c r="AC1081">
        <v>6</v>
      </c>
      <c r="AD1081" s="139">
        <f t="shared" si="438"/>
        <v>98</v>
      </c>
      <c r="AE1081" s="139">
        <f t="shared" si="439"/>
        <v>22.866071428571431</v>
      </c>
      <c r="AF1081" s="139">
        <f t="shared" si="440"/>
        <v>23.96279761904762</v>
      </c>
      <c r="AG1081" s="139">
        <f t="shared" si="441"/>
        <v>40.592261904761905</v>
      </c>
      <c r="AH1081" s="139">
        <f t="shared" si="442"/>
        <v>16.711731721980389</v>
      </c>
      <c r="AI1081" s="139">
        <f t="shared" si="443"/>
        <v>8.1205357142857135</v>
      </c>
      <c r="AJ1081" s="139">
        <f t="shared" si="444"/>
        <v>5.5803571428571423</v>
      </c>
      <c r="AK1081" s="139">
        <f t="shared" si="445"/>
        <v>8.6339285714285712</v>
      </c>
      <c r="AL1081" s="139">
        <f t="shared" si="446"/>
        <v>8.7395833333333339</v>
      </c>
      <c r="AM1081" s="139">
        <f t="shared" si="447"/>
        <v>2.7217261904761902</v>
      </c>
      <c r="AN1081" s="139">
        <f t="shared" si="448"/>
        <v>3.2083333333333335</v>
      </c>
      <c r="AO1081" s="139">
        <f t="shared" si="449"/>
        <v>6.552083333333333</v>
      </c>
      <c r="AP1081" s="139">
        <f t="shared" si="450"/>
        <v>1.0238095238095239</v>
      </c>
      <c r="AQ1081" s="139">
        <f t="shared" si="451"/>
        <v>1.9255952380952381</v>
      </c>
      <c r="AR1081" s="139">
        <f t="shared" si="452"/>
        <v>2.4241071428571428</v>
      </c>
      <c r="AS1081" s="139">
        <f t="shared" si="453"/>
        <v>251.0629221981709</v>
      </c>
      <c r="AT1081" s="139">
        <f t="shared" si="454"/>
        <v>18.950872633130363</v>
      </c>
      <c r="AU1081" s="139">
        <f t="shared" si="455"/>
        <v>270.01379483130125</v>
      </c>
      <c r="AW1081" s="139">
        <f t="shared" si="456"/>
        <v>331.38392857142856</v>
      </c>
      <c r="AX1081" s="139">
        <f t="shared" si="457"/>
        <v>-61.370133740127301</v>
      </c>
    </row>
    <row r="1082" spans="1:50" ht="15.75" customHeight="1" x14ac:dyDescent="0.3">
      <c r="A1082" s="642" t="s">
        <v>1504</v>
      </c>
      <c r="B1082" s="642">
        <f t="shared" si="429"/>
        <v>147</v>
      </c>
      <c r="C1082" s="139">
        <f t="shared" si="429"/>
        <v>0</v>
      </c>
      <c r="D1082" s="764" t="str">
        <f>H1109</f>
        <v>n/a</v>
      </c>
      <c r="E1082" s="139">
        <f t="shared" ref="E1082:S1082" si="462">+C1002/$J$10/24</f>
        <v>8.39247311827957</v>
      </c>
      <c r="F1082" s="139">
        <f t="shared" si="462"/>
        <v>8.736559139784946</v>
      </c>
      <c r="G1082" s="139">
        <f t="shared" si="462"/>
        <v>12.926075268817206</v>
      </c>
      <c r="H1082" s="139">
        <f t="shared" si="462"/>
        <v>0</v>
      </c>
      <c r="I1082" s="139">
        <f t="shared" si="462"/>
        <v>-16.895924068532448</v>
      </c>
      <c r="J1082" s="139">
        <f t="shared" si="462"/>
        <v>14.845430107526882</v>
      </c>
      <c r="K1082" s="139">
        <f t="shared" si="462"/>
        <v>9.716397849462366</v>
      </c>
      <c r="L1082" s="139">
        <f t="shared" si="462"/>
        <v>10.526881720430108</v>
      </c>
      <c r="M1082" s="139">
        <f t="shared" si="462"/>
        <v>9.220430107526882</v>
      </c>
      <c r="N1082" s="139">
        <f t="shared" si="462"/>
        <v>2.8467741935483875</v>
      </c>
      <c r="O1082" s="139">
        <f t="shared" si="462"/>
        <v>3.353494623655914</v>
      </c>
      <c r="P1082" s="139">
        <f t="shared" si="462"/>
        <v>6.325268817204301</v>
      </c>
      <c r="Q1082" s="139">
        <f t="shared" si="462"/>
        <v>0.92607526881720437</v>
      </c>
      <c r="R1082" s="139">
        <f t="shared" si="462"/>
        <v>2.8266129032258065</v>
      </c>
      <c r="S1082" s="764">
        <f t="shared" si="462"/>
        <v>2.1881720430107525</v>
      </c>
      <c r="T1082" s="139">
        <f t="shared" si="433"/>
        <v>222.93472109275785</v>
      </c>
      <c r="U1082" s="139">
        <f t="shared" si="431"/>
        <v>75.934721092757869</v>
      </c>
      <c r="V1082" s="139">
        <f t="shared" si="434"/>
        <v>177.05510752688173</v>
      </c>
      <c r="W1082" s="139">
        <f t="shared" si="435"/>
        <v>30.05510752688172</v>
      </c>
      <c r="X1082" s="139">
        <f t="shared" si="436"/>
        <v>0</v>
      </c>
      <c r="Y1082" s="139">
        <f t="shared" si="436"/>
        <v>-16.895924068532448</v>
      </c>
      <c r="Z1082" s="139">
        <f t="shared" si="437"/>
        <v>62.775537634408607</v>
      </c>
      <c r="AC1082">
        <v>7</v>
      </c>
      <c r="AD1082" s="139">
        <f>IF($AF$1073=1,VLOOKUP($AD$1073,$A$1103:$P$1114,12,FALSE),IF(OR($AD$1073="JAN",$AD$1073="FEB",$AD$1073="NOV",$AD$1073="DEC"),VLOOKUP($AD$1073,$A$1076:$S$1087,2,FALSE),VLOOKUP($AD$1073,$A$1076:$S$1087,3,FALSE)))</f>
        <v>98</v>
      </c>
      <c r="AE1082" s="139">
        <f t="shared" si="439"/>
        <v>22.866071428571431</v>
      </c>
      <c r="AF1082" s="139">
        <f t="shared" si="440"/>
        <v>23.96279761904762</v>
      </c>
      <c r="AG1082" s="139">
        <f t="shared" si="441"/>
        <v>40.592261904761905</v>
      </c>
      <c r="AH1082" s="139">
        <f t="shared" si="442"/>
        <v>16.711731721980389</v>
      </c>
      <c r="AI1082" s="139">
        <f t="shared" si="443"/>
        <v>8.1205357142857135</v>
      </c>
      <c r="AJ1082" s="139">
        <f t="shared" si="444"/>
        <v>5.5803571428571423</v>
      </c>
      <c r="AK1082" s="139">
        <f t="shared" si="445"/>
        <v>8.6339285714285712</v>
      </c>
      <c r="AL1082" s="139">
        <f t="shared" si="446"/>
        <v>8.7395833333333339</v>
      </c>
      <c r="AM1082" s="139">
        <f t="shared" si="447"/>
        <v>2.7217261904761902</v>
      </c>
      <c r="AN1082" s="139">
        <f t="shared" si="448"/>
        <v>3.2083333333333335</v>
      </c>
      <c r="AO1082" s="139">
        <f t="shared" si="449"/>
        <v>6.552083333333333</v>
      </c>
      <c r="AP1082" s="139">
        <f t="shared" si="450"/>
        <v>1.0238095238095239</v>
      </c>
      <c r="AQ1082" s="139">
        <f t="shared" si="451"/>
        <v>1.9255952380952381</v>
      </c>
      <c r="AR1082" s="139">
        <f t="shared" si="452"/>
        <v>2.4241071428571428</v>
      </c>
      <c r="AS1082" s="139">
        <f t="shared" si="453"/>
        <v>251.0629221981709</v>
      </c>
      <c r="AT1082" s="139">
        <f t="shared" si="454"/>
        <v>18.950872633130363</v>
      </c>
      <c r="AU1082" s="139">
        <f t="shared" si="455"/>
        <v>270.01379483130125</v>
      </c>
      <c r="AW1082" s="139">
        <f t="shared" si="456"/>
        <v>331.38392857142856</v>
      </c>
      <c r="AX1082" s="139">
        <f t="shared" si="457"/>
        <v>-61.370133740127301</v>
      </c>
    </row>
    <row r="1083" spans="1:50" ht="15.75" customHeight="1" x14ac:dyDescent="0.3">
      <c r="A1083" s="642" t="s">
        <v>1505</v>
      </c>
      <c r="B1083" s="642">
        <f t="shared" si="429"/>
        <v>147</v>
      </c>
      <c r="C1083" s="139">
        <f t="shared" si="429"/>
        <v>0</v>
      </c>
      <c r="D1083" s="764" t="str">
        <f>H1110</f>
        <v>n/a</v>
      </c>
      <c r="E1083" s="139">
        <f t="shared" ref="E1083:S1083" si="463">+C1003/$K$10/24</f>
        <v>8.404569892473118</v>
      </c>
      <c r="F1083" s="139">
        <f t="shared" si="463"/>
        <v>8.762096774193548</v>
      </c>
      <c r="G1083" s="139">
        <f t="shared" si="463"/>
        <v>13.327956989247312</v>
      </c>
      <c r="H1083" s="139">
        <f t="shared" si="463"/>
        <v>0</v>
      </c>
      <c r="I1083" s="139">
        <f t="shared" si="463"/>
        <v>-11.434291251864272</v>
      </c>
      <c r="J1083" s="139">
        <f t="shared" si="463"/>
        <v>13.16263440860215</v>
      </c>
      <c r="K1083" s="139">
        <f t="shared" si="463"/>
        <v>9.530913978494624</v>
      </c>
      <c r="L1083" s="139">
        <f t="shared" si="463"/>
        <v>10.926075268817206</v>
      </c>
      <c r="M1083" s="139">
        <f t="shared" si="463"/>
        <v>9.7782258064516139</v>
      </c>
      <c r="N1083" s="139">
        <f t="shared" si="463"/>
        <v>3.1653225806451615</v>
      </c>
      <c r="O1083" s="139">
        <f t="shared" si="463"/>
        <v>3.7298387096774195</v>
      </c>
      <c r="P1083" s="139">
        <f t="shared" si="463"/>
        <v>7.291666666666667</v>
      </c>
      <c r="Q1083" s="139">
        <f t="shared" si="463"/>
        <v>1.775537634408602</v>
      </c>
      <c r="R1083" s="139">
        <f t="shared" si="463"/>
        <v>2.6088709677419355</v>
      </c>
      <c r="S1083" s="764">
        <f t="shared" si="463"/>
        <v>4.202956989247312</v>
      </c>
      <c r="T1083" s="139">
        <f t="shared" si="433"/>
        <v>232.23237541480242</v>
      </c>
      <c r="U1083" s="139">
        <f t="shared" si="431"/>
        <v>85.232375414802419</v>
      </c>
      <c r="V1083" s="139">
        <f t="shared" si="434"/>
        <v>177.49462365591398</v>
      </c>
      <c r="W1083" s="139">
        <f t="shared" si="435"/>
        <v>30.494623655913976</v>
      </c>
      <c r="X1083" s="139">
        <f t="shared" si="436"/>
        <v>0</v>
      </c>
      <c r="Y1083" s="139">
        <f t="shared" si="436"/>
        <v>-11.434291251864272</v>
      </c>
      <c r="Z1083" s="139">
        <f t="shared" si="437"/>
        <v>66.172043010752688</v>
      </c>
      <c r="AC1083">
        <v>8</v>
      </c>
      <c r="AD1083" s="139">
        <f>IF($AF$1073=1,VLOOKUP($AD$1073,$A$1103:$P$1114,12,FALSE),VLOOKUP($AD$1073,$A$1076:$S$1087,3,FALSE))</f>
        <v>0</v>
      </c>
      <c r="AE1083" s="139">
        <f t="shared" si="439"/>
        <v>22.866071428571431</v>
      </c>
      <c r="AF1083" s="139">
        <f t="shared" si="440"/>
        <v>23.96279761904762</v>
      </c>
      <c r="AG1083" s="139">
        <f t="shared" si="441"/>
        <v>40.592261904761905</v>
      </c>
      <c r="AH1083" s="139">
        <f t="shared" si="442"/>
        <v>16.711731721980389</v>
      </c>
      <c r="AI1083" s="139">
        <f t="shared" si="443"/>
        <v>8.1205357142857135</v>
      </c>
      <c r="AJ1083" s="139">
        <f t="shared" si="444"/>
        <v>5.5803571428571423</v>
      </c>
      <c r="AK1083" s="139">
        <f t="shared" si="445"/>
        <v>8.6339285714285712</v>
      </c>
      <c r="AL1083" s="139">
        <f t="shared" si="446"/>
        <v>8.7395833333333339</v>
      </c>
      <c r="AM1083" s="139">
        <f t="shared" si="447"/>
        <v>2.7217261904761902</v>
      </c>
      <c r="AN1083" s="139">
        <f t="shared" si="448"/>
        <v>3.2083333333333335</v>
      </c>
      <c r="AO1083" s="139">
        <f t="shared" si="449"/>
        <v>6.552083333333333</v>
      </c>
      <c r="AP1083" s="139">
        <f t="shared" si="450"/>
        <v>1.0238095238095239</v>
      </c>
      <c r="AQ1083" s="139">
        <f t="shared" si="451"/>
        <v>1.9255952380952381</v>
      </c>
      <c r="AR1083" s="139">
        <f t="shared" si="452"/>
        <v>2.4241071428571428</v>
      </c>
      <c r="AS1083" s="139">
        <f t="shared" si="453"/>
        <v>153.0629221981709</v>
      </c>
      <c r="AT1083" s="139">
        <f t="shared" si="454"/>
        <v>11.553581540577685</v>
      </c>
      <c r="AU1083" s="139">
        <f t="shared" si="455"/>
        <v>164.61650373874858</v>
      </c>
      <c r="AW1083" s="139">
        <f t="shared" si="456"/>
        <v>331.38392857142856</v>
      </c>
      <c r="AX1083" s="139">
        <f t="shared" si="457"/>
        <v>-166.76742483267998</v>
      </c>
    </row>
    <row r="1084" spans="1:50" ht="15.75" customHeight="1" x14ac:dyDescent="0.3">
      <c r="A1084" s="642" t="s">
        <v>1506</v>
      </c>
      <c r="B1084" s="642">
        <f t="shared" si="429"/>
        <v>245</v>
      </c>
      <c r="C1084" s="139">
        <f t="shared" si="429"/>
        <v>0</v>
      </c>
      <c r="D1084" s="764" t="s">
        <v>2916</v>
      </c>
      <c r="E1084" s="139">
        <f t="shared" ref="E1084:S1084" si="464">+C1004/$L$10/24</f>
        <v>22.231944444444448</v>
      </c>
      <c r="F1084" s="139">
        <f t="shared" si="464"/>
        <v>23.272222222222222</v>
      </c>
      <c r="G1084" s="139">
        <f t="shared" si="464"/>
        <v>38.551388888888887</v>
      </c>
      <c r="H1084" s="139">
        <f t="shared" si="464"/>
        <v>3.7402394118380697</v>
      </c>
      <c r="I1084" s="139">
        <f t="shared" si="464"/>
        <v>0</v>
      </c>
      <c r="J1084" s="139">
        <f t="shared" si="464"/>
        <v>9.2847222222222232</v>
      </c>
      <c r="K1084" s="139">
        <f t="shared" si="464"/>
        <v>5.9361111111111109</v>
      </c>
      <c r="L1084" s="139">
        <f t="shared" si="464"/>
        <v>8.8166666666666664</v>
      </c>
      <c r="M1084" s="139">
        <f t="shared" si="464"/>
        <v>8.4541666666666675</v>
      </c>
      <c r="N1084" s="139">
        <f t="shared" si="464"/>
        <v>2.9875000000000003</v>
      </c>
      <c r="O1084" s="139">
        <f t="shared" si="464"/>
        <v>3.5208333333333335</v>
      </c>
      <c r="P1084" s="139">
        <f t="shared" si="464"/>
        <v>6.9666666666666659</v>
      </c>
      <c r="Q1084" s="139">
        <f t="shared" si="464"/>
        <v>1.4777777777777779</v>
      </c>
      <c r="R1084" s="139">
        <f t="shared" si="464"/>
        <v>2.4708333333333332</v>
      </c>
      <c r="S1084" s="764">
        <f t="shared" si="464"/>
        <v>3.4958333333333336</v>
      </c>
      <c r="T1084" s="139">
        <f t="shared" si="433"/>
        <v>386.20690607850474</v>
      </c>
      <c r="U1084" s="139">
        <f t="shared" si="431"/>
        <v>141.20690607850474</v>
      </c>
      <c r="V1084" s="139">
        <f t="shared" si="434"/>
        <v>329.05555555555554</v>
      </c>
      <c r="W1084" s="139">
        <f t="shared" si="435"/>
        <v>84.055555555555557</v>
      </c>
      <c r="X1084" s="139">
        <f t="shared" si="436"/>
        <v>3.7402394118380697</v>
      </c>
      <c r="Y1084" s="139">
        <f t="shared" si="436"/>
        <v>0</v>
      </c>
      <c r="Z1084" s="139">
        <f t="shared" si="437"/>
        <v>53.411111111111111</v>
      </c>
      <c r="AC1084">
        <v>9</v>
      </c>
      <c r="AD1084" s="139">
        <f>IF($AF$1073=1,VLOOKUP($AD$1073,$A$1103:$P$1114,12,FALSE),VLOOKUP($AD$1073,$A$1076:$S$1087,3,FALSE))</f>
        <v>0</v>
      </c>
      <c r="AE1084" s="139">
        <f t="shared" si="439"/>
        <v>22.866071428571431</v>
      </c>
      <c r="AF1084" s="139">
        <f t="shared" si="440"/>
        <v>23.96279761904762</v>
      </c>
      <c r="AG1084" s="139">
        <f t="shared" si="441"/>
        <v>40.592261904761905</v>
      </c>
      <c r="AH1084" s="139">
        <f t="shared" si="442"/>
        <v>16.711731721980389</v>
      </c>
      <c r="AI1084" s="139">
        <f t="shared" si="443"/>
        <v>8.1205357142857135</v>
      </c>
      <c r="AJ1084" s="139">
        <f t="shared" si="444"/>
        <v>5.5803571428571423</v>
      </c>
      <c r="AK1084" s="139">
        <f t="shared" si="445"/>
        <v>8.6339285714285712</v>
      </c>
      <c r="AL1084" s="139">
        <f t="shared" si="446"/>
        <v>8.7395833333333339</v>
      </c>
      <c r="AM1084" s="139">
        <f t="shared" si="447"/>
        <v>2.7217261904761902</v>
      </c>
      <c r="AN1084" s="139">
        <f t="shared" si="448"/>
        <v>3.2083333333333335</v>
      </c>
      <c r="AO1084" s="139">
        <f t="shared" si="449"/>
        <v>6.552083333333333</v>
      </c>
      <c r="AP1084" s="139">
        <f t="shared" si="450"/>
        <v>1.0238095238095239</v>
      </c>
      <c r="AQ1084" s="139">
        <f t="shared" si="451"/>
        <v>1.9255952380952381</v>
      </c>
      <c r="AR1084" s="139">
        <f t="shared" si="452"/>
        <v>2.4241071428571428</v>
      </c>
      <c r="AS1084" s="139">
        <f t="shared" si="453"/>
        <v>153.0629221981709</v>
      </c>
      <c r="AT1084" s="139">
        <f t="shared" si="454"/>
        <v>11.553581540577685</v>
      </c>
      <c r="AU1084" s="139">
        <f t="shared" si="455"/>
        <v>164.61650373874858</v>
      </c>
      <c r="AW1084" s="139">
        <f t="shared" si="456"/>
        <v>331.38392857142856</v>
      </c>
      <c r="AX1084" s="139">
        <f t="shared" si="457"/>
        <v>-166.76742483267998</v>
      </c>
    </row>
    <row r="1085" spans="1:50" ht="15.75" customHeight="1" x14ac:dyDescent="0.3">
      <c r="A1085" s="642" t="s">
        <v>1507</v>
      </c>
      <c r="B1085" s="642">
        <f t="shared" si="429"/>
        <v>245</v>
      </c>
      <c r="C1085" s="139">
        <f t="shared" si="429"/>
        <v>0</v>
      </c>
      <c r="D1085" s="764" t="s">
        <v>2916</v>
      </c>
      <c r="E1085" s="139">
        <f t="shared" ref="E1085:S1085" si="465">+C1005/$N$10/24</f>
        <v>26.280913978494624</v>
      </c>
      <c r="F1085" s="139">
        <f t="shared" si="465"/>
        <v>27.526881720430108</v>
      </c>
      <c r="G1085" s="139">
        <f t="shared" si="465"/>
        <v>46.291666666666664</v>
      </c>
      <c r="H1085" s="139">
        <f t="shared" si="465"/>
        <v>15.078832282070175</v>
      </c>
      <c r="I1085" s="139">
        <f t="shared" si="465"/>
        <v>0</v>
      </c>
      <c r="J1085" s="139">
        <f t="shared" si="465"/>
        <v>6.8091397849462361</v>
      </c>
      <c r="K1085" s="139">
        <f t="shared" si="465"/>
        <v>3.51747311827957</v>
      </c>
      <c r="L1085" s="139">
        <f t="shared" si="465"/>
        <v>5.068548387096774</v>
      </c>
      <c r="M1085" s="139">
        <f t="shared" si="465"/>
        <v>4.825268817204301</v>
      </c>
      <c r="N1085" s="139">
        <f t="shared" si="465"/>
        <v>1.6693548387096773</v>
      </c>
      <c r="O1085" s="139">
        <f t="shared" si="465"/>
        <v>1.9650537634408602</v>
      </c>
      <c r="P1085" s="139">
        <f t="shared" si="465"/>
        <v>3.956989247311828</v>
      </c>
      <c r="Q1085" s="139">
        <f t="shared" si="465"/>
        <v>0.95430107526881713</v>
      </c>
      <c r="R1085" s="139">
        <f t="shared" si="465"/>
        <v>2.1733870967741935</v>
      </c>
      <c r="S1085" s="764">
        <f t="shared" si="465"/>
        <v>2.256720430107527</v>
      </c>
      <c r="T1085" s="139">
        <f t="shared" si="433"/>
        <v>393.37453120680141</v>
      </c>
      <c r="U1085" s="139">
        <f t="shared" si="431"/>
        <v>148.37453120680138</v>
      </c>
      <c r="V1085" s="139">
        <f t="shared" si="434"/>
        <v>345.09946236559142</v>
      </c>
      <c r="W1085" s="139">
        <f t="shared" si="435"/>
        <v>100.09946236559139</v>
      </c>
      <c r="X1085" s="139">
        <f t="shared" si="436"/>
        <v>15.078832282070175</v>
      </c>
      <c r="Y1085" s="139">
        <f t="shared" si="436"/>
        <v>0</v>
      </c>
      <c r="Z1085" s="139">
        <f t="shared" si="437"/>
        <v>33.196236559139777</v>
      </c>
      <c r="AC1085">
        <v>10</v>
      </c>
      <c r="AD1085" s="139">
        <f>IF($AF$1073=1,VLOOKUP($AD$1073,$A$1103:$P$1114,12,FALSE),VLOOKUP($AD$1073,$A$1076:$S$1087,3,FALSE))</f>
        <v>0</v>
      </c>
      <c r="AE1085" s="139">
        <f t="shared" si="439"/>
        <v>22.866071428571431</v>
      </c>
      <c r="AF1085" s="139">
        <f t="shared" si="440"/>
        <v>23.96279761904762</v>
      </c>
      <c r="AG1085" s="139">
        <f t="shared" si="441"/>
        <v>40.592261904761905</v>
      </c>
      <c r="AH1085" s="139">
        <f t="shared" si="442"/>
        <v>16.711731721980389</v>
      </c>
      <c r="AI1085" s="139">
        <f t="shared" si="443"/>
        <v>8.1205357142857135</v>
      </c>
      <c r="AJ1085" s="139">
        <f t="shared" si="444"/>
        <v>5.5803571428571423</v>
      </c>
      <c r="AK1085" s="139">
        <f t="shared" si="445"/>
        <v>8.6339285714285712</v>
      </c>
      <c r="AL1085" s="139">
        <f t="shared" si="446"/>
        <v>8.7395833333333339</v>
      </c>
      <c r="AM1085" s="139">
        <f t="shared" si="447"/>
        <v>2.7217261904761902</v>
      </c>
      <c r="AN1085" s="139">
        <f t="shared" si="448"/>
        <v>3.2083333333333335</v>
      </c>
      <c r="AO1085" s="139">
        <f t="shared" si="449"/>
        <v>6.552083333333333</v>
      </c>
      <c r="AP1085" s="139">
        <f t="shared" si="450"/>
        <v>1.0238095238095239</v>
      </c>
      <c r="AQ1085" s="139">
        <f t="shared" si="451"/>
        <v>1.9255952380952381</v>
      </c>
      <c r="AR1085" s="139">
        <f t="shared" si="452"/>
        <v>2.4241071428571428</v>
      </c>
      <c r="AS1085" s="139">
        <f t="shared" si="453"/>
        <v>153.0629221981709</v>
      </c>
      <c r="AT1085" s="139">
        <f t="shared" si="454"/>
        <v>11.553581540577685</v>
      </c>
      <c r="AU1085" s="139">
        <f t="shared" si="455"/>
        <v>164.61650373874858</v>
      </c>
      <c r="AW1085" s="139">
        <f t="shared" si="456"/>
        <v>331.38392857142856</v>
      </c>
      <c r="AX1085" s="139">
        <f t="shared" si="457"/>
        <v>-166.76742483267998</v>
      </c>
    </row>
    <row r="1086" spans="1:50" ht="15.75" customHeight="1" x14ac:dyDescent="0.3">
      <c r="A1086" s="642" t="s">
        <v>1508</v>
      </c>
      <c r="B1086" s="642">
        <f t="shared" si="429"/>
        <v>245</v>
      </c>
      <c r="C1086" s="139">
        <f t="shared" si="429"/>
        <v>0</v>
      </c>
      <c r="D1086" s="764" t="s">
        <v>2916</v>
      </c>
      <c r="E1086" s="139">
        <f t="shared" ref="E1086:S1086" si="466">+C1006/$O$10/24</f>
        <v>23.990277777777777</v>
      </c>
      <c r="F1086" s="139">
        <f t="shared" si="466"/>
        <v>25.129166666666666</v>
      </c>
      <c r="G1086" s="139">
        <f t="shared" si="466"/>
        <v>42.601388888888884</v>
      </c>
      <c r="H1086" s="139">
        <f t="shared" si="466"/>
        <v>18.962753421764422</v>
      </c>
      <c r="I1086" s="139">
        <f t="shared" si="466"/>
        <v>0</v>
      </c>
      <c r="J1086" s="139">
        <f t="shared" si="466"/>
        <v>4.7180555555555559</v>
      </c>
      <c r="K1086" s="139">
        <f t="shared" si="466"/>
        <v>1.2666666666666666</v>
      </c>
      <c r="L1086" s="139">
        <f t="shared" si="466"/>
        <v>1.6763888888888889</v>
      </c>
      <c r="M1086" s="139">
        <f t="shared" si="466"/>
        <v>1.6944444444444444</v>
      </c>
      <c r="N1086" s="139">
        <f t="shared" si="466"/>
        <v>0.43333333333333335</v>
      </c>
      <c r="O1086" s="139">
        <f t="shared" si="466"/>
        <v>0.50694444444444442</v>
      </c>
      <c r="P1086" s="139">
        <f t="shared" si="466"/>
        <v>1.0361111111111112</v>
      </c>
      <c r="Q1086" s="139">
        <f t="shared" si="466"/>
        <v>0.70833333333333337</v>
      </c>
      <c r="R1086" s="139">
        <f t="shared" si="466"/>
        <v>2.0222222222222221</v>
      </c>
      <c r="S1086" s="764">
        <f t="shared" si="466"/>
        <v>1.6763888888888889</v>
      </c>
      <c r="T1086" s="139">
        <f t="shared" si="433"/>
        <v>371.42247564398667</v>
      </c>
      <c r="U1086" s="139">
        <f t="shared" si="431"/>
        <v>126.42247564398664</v>
      </c>
      <c r="V1086" s="139">
        <f t="shared" si="434"/>
        <v>336.7208333333333</v>
      </c>
      <c r="W1086" s="139">
        <f t="shared" si="435"/>
        <v>91.720833333333331</v>
      </c>
      <c r="X1086" s="139">
        <f t="shared" si="436"/>
        <v>18.962753421764422</v>
      </c>
      <c r="Y1086" s="139">
        <f t="shared" si="436"/>
        <v>0</v>
      </c>
      <c r="Z1086" s="139">
        <f t="shared" si="437"/>
        <v>15.738888888888891</v>
      </c>
      <c r="AC1086">
        <v>11</v>
      </c>
      <c r="AD1086" s="139">
        <f>IF($AF$1073=1,VLOOKUP($AD$1073,$A$1103:$P$1114,12,FALSE),VLOOKUP($AD$1073,$A$1076:$S$1087,3,FALSE))</f>
        <v>0</v>
      </c>
      <c r="AE1086" s="139">
        <f t="shared" si="439"/>
        <v>22.866071428571431</v>
      </c>
      <c r="AF1086" s="139">
        <f t="shared" si="440"/>
        <v>23.96279761904762</v>
      </c>
      <c r="AG1086" s="139">
        <f t="shared" si="441"/>
        <v>40.592261904761905</v>
      </c>
      <c r="AH1086" s="139">
        <f t="shared" si="442"/>
        <v>16.711731721980389</v>
      </c>
      <c r="AI1086" s="139">
        <f t="shared" si="443"/>
        <v>8.1205357142857135</v>
      </c>
      <c r="AJ1086" s="139">
        <f t="shared" si="444"/>
        <v>5.5803571428571423</v>
      </c>
      <c r="AK1086" s="139">
        <f t="shared" si="445"/>
        <v>8.6339285714285712</v>
      </c>
      <c r="AL1086" s="139">
        <f t="shared" si="446"/>
        <v>8.7395833333333339</v>
      </c>
      <c r="AM1086" s="139">
        <f t="shared" si="447"/>
        <v>2.7217261904761902</v>
      </c>
      <c r="AN1086" s="139">
        <f t="shared" si="448"/>
        <v>3.2083333333333335</v>
      </c>
      <c r="AO1086" s="139">
        <f t="shared" si="449"/>
        <v>6.552083333333333</v>
      </c>
      <c r="AP1086" s="139">
        <f t="shared" si="450"/>
        <v>1.0238095238095239</v>
      </c>
      <c r="AQ1086" s="139">
        <f t="shared" si="451"/>
        <v>1.9255952380952381</v>
      </c>
      <c r="AR1086" s="139">
        <f t="shared" si="452"/>
        <v>2.4241071428571428</v>
      </c>
      <c r="AS1086" s="139">
        <f t="shared" si="453"/>
        <v>153.0629221981709</v>
      </c>
      <c r="AT1086" s="139">
        <f t="shared" si="454"/>
        <v>11.553581540577685</v>
      </c>
      <c r="AU1086" s="139">
        <f t="shared" si="455"/>
        <v>164.61650373874858</v>
      </c>
      <c r="AW1086" s="139">
        <f t="shared" si="456"/>
        <v>331.38392857142856</v>
      </c>
      <c r="AX1086" s="139">
        <f t="shared" si="457"/>
        <v>-166.76742483267998</v>
      </c>
    </row>
    <row r="1087" spans="1:50" ht="15.75" customHeight="1" thickBot="1" x14ac:dyDescent="0.35">
      <c r="A1087" s="644" t="s">
        <v>1509</v>
      </c>
      <c r="B1087" s="644">
        <f t="shared" si="429"/>
        <v>245</v>
      </c>
      <c r="C1087" s="645">
        <f t="shared" si="429"/>
        <v>0</v>
      </c>
      <c r="D1087" s="646" t="s">
        <v>2916</v>
      </c>
      <c r="E1087" s="645">
        <f t="shared" ref="E1087:S1087" si="467">+C1007/$P$10/24</f>
        <v>16.236559139784948</v>
      </c>
      <c r="F1087" s="645">
        <f t="shared" si="467"/>
        <v>17.004032258064516</v>
      </c>
      <c r="G1087" s="645">
        <f t="shared" si="467"/>
        <v>28.766129032258064</v>
      </c>
      <c r="H1087" s="645">
        <f t="shared" si="467"/>
        <v>12.967389336067507</v>
      </c>
      <c r="I1087" s="645">
        <f t="shared" si="467"/>
        <v>0</v>
      </c>
      <c r="J1087" s="645">
        <f t="shared" si="467"/>
        <v>2.779569892473118</v>
      </c>
      <c r="K1087" s="645">
        <f t="shared" si="467"/>
        <v>0.78091397849462363</v>
      </c>
      <c r="L1087" s="645">
        <f t="shared" si="467"/>
        <v>1.0147849462365592</v>
      </c>
      <c r="M1087" s="645">
        <f t="shared" si="467"/>
        <v>1.0201612903225807</v>
      </c>
      <c r="N1087" s="645">
        <f t="shared" si="467"/>
        <v>0.38709677419354843</v>
      </c>
      <c r="O1087" s="645">
        <f t="shared" si="467"/>
        <v>0.45430107526881719</v>
      </c>
      <c r="P1087" s="645">
        <f t="shared" si="467"/>
        <v>0.79166666666666663</v>
      </c>
      <c r="Q1087" s="645">
        <f t="shared" si="467"/>
        <v>0.35618279569892475</v>
      </c>
      <c r="R1087" s="645">
        <f t="shared" si="467"/>
        <v>1.739247311827957</v>
      </c>
      <c r="S1087" s="646">
        <f t="shared" si="467"/>
        <v>0.84139784946236562</v>
      </c>
      <c r="T1087" s="139">
        <f t="shared" si="433"/>
        <v>330.13943234682017</v>
      </c>
      <c r="U1087" s="139">
        <f t="shared" si="431"/>
        <v>85.1394323468202</v>
      </c>
      <c r="V1087" s="139">
        <f t="shared" si="434"/>
        <v>307.00672043010752</v>
      </c>
      <c r="W1087" s="139">
        <f t="shared" si="435"/>
        <v>62.006720430107528</v>
      </c>
      <c r="X1087" s="139">
        <f t="shared" si="436"/>
        <v>12.967389336067507</v>
      </c>
      <c r="Y1087" s="139">
        <f t="shared" si="436"/>
        <v>0</v>
      </c>
      <c r="Z1087" s="139">
        <f t="shared" si="437"/>
        <v>10.165322580645162</v>
      </c>
      <c r="AC1087">
        <v>12</v>
      </c>
      <c r="AD1087" s="139">
        <f>IF($AF$1073=1,VLOOKUP($AD$1073,$A$1103:$P$1114,12,FALSE),VLOOKUP($AD$1073,$A$1076:$S$1087,3,FALSE))</f>
        <v>0</v>
      </c>
      <c r="AE1087" s="139">
        <f t="shared" si="439"/>
        <v>22.866071428571431</v>
      </c>
      <c r="AF1087" s="139">
        <f t="shared" si="440"/>
        <v>23.96279761904762</v>
      </c>
      <c r="AG1087" s="139">
        <f t="shared" si="441"/>
        <v>40.592261904761905</v>
      </c>
      <c r="AH1087" s="139">
        <f t="shared" si="442"/>
        <v>16.711731721980389</v>
      </c>
      <c r="AI1087" s="139">
        <f t="shared" si="443"/>
        <v>8.1205357142857135</v>
      </c>
      <c r="AJ1087" s="139">
        <f t="shared" si="444"/>
        <v>5.5803571428571423</v>
      </c>
      <c r="AK1087" s="139">
        <f t="shared" si="445"/>
        <v>8.6339285714285712</v>
      </c>
      <c r="AL1087" s="139">
        <f t="shared" si="446"/>
        <v>8.7395833333333339</v>
      </c>
      <c r="AM1087" s="139">
        <f t="shared" si="447"/>
        <v>2.7217261904761902</v>
      </c>
      <c r="AN1087" s="139">
        <f t="shared" si="448"/>
        <v>3.2083333333333335</v>
      </c>
      <c r="AO1087" s="139">
        <f t="shared" si="449"/>
        <v>6.552083333333333</v>
      </c>
      <c r="AP1087" s="139">
        <f t="shared" si="450"/>
        <v>1.0238095238095239</v>
      </c>
      <c r="AQ1087" s="139">
        <f t="shared" si="451"/>
        <v>1.9255952380952381</v>
      </c>
      <c r="AR1087" s="139">
        <f t="shared" si="452"/>
        <v>2.4241071428571428</v>
      </c>
      <c r="AS1087" s="139">
        <f t="shared" si="453"/>
        <v>153.0629221981709</v>
      </c>
      <c r="AT1087" s="139">
        <f t="shared" si="454"/>
        <v>11.553581540577685</v>
      </c>
      <c r="AU1087" s="139">
        <f t="shared" si="455"/>
        <v>164.61650373874858</v>
      </c>
      <c r="AW1087" s="139">
        <f t="shared" si="456"/>
        <v>331.38392857142856</v>
      </c>
      <c r="AX1087" s="139">
        <f t="shared" si="457"/>
        <v>-166.76742483267998</v>
      </c>
    </row>
    <row r="1088" spans="1:50" ht="15.75" customHeight="1" x14ac:dyDescent="0.3">
      <c r="A1088" s="641"/>
      <c r="AC1088">
        <v>13</v>
      </c>
      <c r="AD1088" s="139">
        <f>IF($AF$1073=1,VLOOKUP($AD$1073,$A$1103:$P$1114,12,FALSE),IF(OR($AD$1073="JUN",$AD$1073="JUL",$AD$1073="AUG"),VLOOKUP($AD$1073,$A$1076:$S$1087,4,FALSE),VLOOKUP($AD$1073,$A$1076:$S$1087,3,FALSE)))</f>
        <v>0</v>
      </c>
      <c r="AE1088" s="139">
        <f t="shared" si="439"/>
        <v>22.866071428571431</v>
      </c>
      <c r="AF1088" s="139">
        <f t="shared" si="440"/>
        <v>23.96279761904762</v>
      </c>
      <c r="AG1088" s="139">
        <f t="shared" si="441"/>
        <v>40.592261904761905</v>
      </c>
      <c r="AH1088" s="139">
        <f t="shared" si="442"/>
        <v>16.711731721980389</v>
      </c>
      <c r="AI1088" s="139">
        <f t="shared" si="443"/>
        <v>8.1205357142857135</v>
      </c>
      <c r="AJ1088" s="139">
        <f t="shared" si="444"/>
        <v>5.5803571428571423</v>
      </c>
      <c r="AK1088" s="139">
        <f t="shared" si="445"/>
        <v>8.6339285714285712</v>
      </c>
      <c r="AL1088" s="139">
        <f t="shared" si="446"/>
        <v>8.7395833333333339</v>
      </c>
      <c r="AM1088" s="139">
        <f t="shared" si="447"/>
        <v>2.7217261904761902</v>
      </c>
      <c r="AN1088" s="139">
        <f t="shared" si="448"/>
        <v>3.2083333333333335</v>
      </c>
      <c r="AO1088" s="139">
        <f t="shared" si="449"/>
        <v>6.552083333333333</v>
      </c>
      <c r="AP1088" s="139">
        <f t="shared" si="450"/>
        <v>1.0238095238095239</v>
      </c>
      <c r="AQ1088" s="139">
        <f t="shared" si="451"/>
        <v>1.9255952380952381</v>
      </c>
      <c r="AR1088" s="139">
        <f t="shared" si="452"/>
        <v>2.4241071428571428</v>
      </c>
      <c r="AS1088" s="139">
        <f t="shared" si="453"/>
        <v>153.0629221981709</v>
      </c>
      <c r="AT1088" s="139">
        <f t="shared" si="454"/>
        <v>11.553581540577685</v>
      </c>
      <c r="AU1088" s="139">
        <f t="shared" si="455"/>
        <v>164.61650373874858</v>
      </c>
      <c r="AW1088" s="139">
        <f t="shared" si="456"/>
        <v>331.38392857142856</v>
      </c>
      <c r="AX1088" s="139">
        <f t="shared" si="457"/>
        <v>-166.76742483267998</v>
      </c>
    </row>
    <row r="1089" spans="1:50" ht="27.75" customHeight="1" x14ac:dyDescent="0.3">
      <c r="A1089" s="641" t="s">
        <v>2889</v>
      </c>
      <c r="AC1089">
        <v>14</v>
      </c>
      <c r="AD1089" s="139">
        <f t="shared" ref="AD1089:AD1095" si="468">IF($AF$1073=1,VLOOKUP($AD$1073,$A$1103:$P$1114,12,FALSE),IF(OR($AD$1073="JUN",$AD$1073="JUL",$AD$1073="AUG"),VLOOKUP($AD$1073,$A$1076:$S$1087,4,FALSE),VLOOKUP($AD$1073,$A$1076:$S$1087,3,FALSE)))</f>
        <v>0</v>
      </c>
      <c r="AE1089" s="139">
        <f t="shared" si="439"/>
        <v>22.866071428571431</v>
      </c>
      <c r="AF1089" s="139">
        <f t="shared" si="440"/>
        <v>23.96279761904762</v>
      </c>
      <c r="AG1089" s="139">
        <f t="shared" si="441"/>
        <v>40.592261904761905</v>
      </c>
      <c r="AH1089" s="139">
        <f t="shared" si="442"/>
        <v>16.711731721980389</v>
      </c>
      <c r="AI1089" s="139">
        <f t="shared" si="443"/>
        <v>8.1205357142857135</v>
      </c>
      <c r="AJ1089" s="139">
        <f t="shared" si="444"/>
        <v>5.5803571428571423</v>
      </c>
      <c r="AK1089" s="139">
        <f t="shared" si="445"/>
        <v>8.6339285714285712</v>
      </c>
      <c r="AL1089" s="139">
        <f t="shared" si="446"/>
        <v>8.7395833333333339</v>
      </c>
      <c r="AM1089" s="139">
        <f t="shared" si="447"/>
        <v>2.7217261904761902</v>
      </c>
      <c r="AN1089" s="139">
        <f t="shared" si="448"/>
        <v>3.2083333333333335</v>
      </c>
      <c r="AO1089" s="139">
        <f t="shared" si="449"/>
        <v>6.552083333333333</v>
      </c>
      <c r="AP1089" s="139">
        <f t="shared" si="450"/>
        <v>1.0238095238095239</v>
      </c>
      <c r="AQ1089" s="139">
        <f t="shared" si="451"/>
        <v>1.9255952380952381</v>
      </c>
      <c r="AR1089" s="139">
        <f t="shared" si="452"/>
        <v>2.4241071428571428</v>
      </c>
      <c r="AS1089" s="139">
        <f t="shared" si="453"/>
        <v>153.0629221981709</v>
      </c>
      <c r="AT1089" s="139">
        <f t="shared" si="454"/>
        <v>11.553581540577685</v>
      </c>
      <c r="AU1089" s="139">
        <f t="shared" si="455"/>
        <v>164.61650373874858</v>
      </c>
      <c r="AW1089" s="139">
        <f t="shared" si="456"/>
        <v>331.38392857142856</v>
      </c>
      <c r="AX1089" s="139">
        <f t="shared" si="457"/>
        <v>-166.76742483267998</v>
      </c>
    </row>
    <row r="1090" spans="1:50" ht="15.75" customHeight="1" x14ac:dyDescent="0.3">
      <c r="A1090" s="641"/>
      <c r="AC1090">
        <v>15</v>
      </c>
      <c r="AD1090" s="139">
        <f t="shared" si="468"/>
        <v>0</v>
      </c>
      <c r="AE1090" s="139">
        <f t="shared" si="439"/>
        <v>22.866071428571431</v>
      </c>
      <c r="AF1090" s="139">
        <f t="shared" si="440"/>
        <v>23.96279761904762</v>
      </c>
      <c r="AG1090" s="139">
        <f t="shared" si="441"/>
        <v>40.592261904761905</v>
      </c>
      <c r="AH1090" s="139">
        <f t="shared" si="442"/>
        <v>16.711731721980389</v>
      </c>
      <c r="AI1090" s="139">
        <f t="shared" si="443"/>
        <v>8.1205357142857135</v>
      </c>
      <c r="AJ1090" s="139">
        <f t="shared" si="444"/>
        <v>5.5803571428571423</v>
      </c>
      <c r="AK1090" s="139">
        <f t="shared" si="445"/>
        <v>8.6339285714285712</v>
      </c>
      <c r="AL1090" s="139">
        <f t="shared" si="446"/>
        <v>8.7395833333333339</v>
      </c>
      <c r="AM1090" s="139">
        <f t="shared" si="447"/>
        <v>2.7217261904761902</v>
      </c>
      <c r="AN1090" s="139">
        <f t="shared" si="448"/>
        <v>3.2083333333333335</v>
      </c>
      <c r="AO1090" s="139">
        <f t="shared" si="449"/>
        <v>6.552083333333333</v>
      </c>
      <c r="AP1090" s="139">
        <f t="shared" si="450"/>
        <v>1.0238095238095239</v>
      </c>
      <c r="AQ1090" s="139">
        <f t="shared" si="451"/>
        <v>1.9255952380952381</v>
      </c>
      <c r="AR1090" s="139">
        <f t="shared" si="452"/>
        <v>2.4241071428571428</v>
      </c>
      <c r="AS1090" s="139">
        <f t="shared" si="453"/>
        <v>153.0629221981709</v>
      </c>
      <c r="AT1090" s="139">
        <f t="shared" si="454"/>
        <v>11.553581540577685</v>
      </c>
      <c r="AU1090" s="139">
        <f t="shared" si="455"/>
        <v>164.61650373874858</v>
      </c>
      <c r="AW1090" s="139">
        <f t="shared" si="456"/>
        <v>331.38392857142856</v>
      </c>
      <c r="AX1090" s="139">
        <f t="shared" si="457"/>
        <v>-166.76742483267998</v>
      </c>
    </row>
    <row r="1091" spans="1:50" ht="15.75" customHeight="1" x14ac:dyDescent="0.3">
      <c r="A1091" s="641"/>
      <c r="AC1091">
        <v>16</v>
      </c>
      <c r="AD1091" s="139">
        <f t="shared" si="468"/>
        <v>0</v>
      </c>
      <c r="AE1091" s="139">
        <f t="shared" si="439"/>
        <v>22.866071428571431</v>
      </c>
      <c r="AF1091" s="139">
        <f t="shared" si="440"/>
        <v>23.96279761904762</v>
      </c>
      <c r="AG1091" s="139">
        <f t="shared" si="441"/>
        <v>40.592261904761905</v>
      </c>
      <c r="AH1091" s="139">
        <f t="shared" si="442"/>
        <v>16.711731721980389</v>
      </c>
      <c r="AI1091" s="139">
        <f t="shared" si="443"/>
        <v>8.1205357142857135</v>
      </c>
      <c r="AJ1091" s="139">
        <f t="shared" si="444"/>
        <v>5.5803571428571423</v>
      </c>
      <c r="AK1091" s="139">
        <f t="shared" si="445"/>
        <v>8.6339285714285712</v>
      </c>
      <c r="AL1091" s="139">
        <f t="shared" si="446"/>
        <v>8.7395833333333339</v>
      </c>
      <c r="AM1091" s="139">
        <f t="shared" si="447"/>
        <v>2.7217261904761902</v>
      </c>
      <c r="AN1091" s="139">
        <f t="shared" si="448"/>
        <v>3.2083333333333335</v>
      </c>
      <c r="AO1091" s="139">
        <f t="shared" si="449"/>
        <v>6.552083333333333</v>
      </c>
      <c r="AP1091" s="139">
        <f t="shared" si="450"/>
        <v>1.0238095238095239</v>
      </c>
      <c r="AQ1091" s="139">
        <f t="shared" si="451"/>
        <v>1.9255952380952381</v>
      </c>
      <c r="AR1091" s="139">
        <f t="shared" si="452"/>
        <v>2.4241071428571428</v>
      </c>
      <c r="AS1091" s="139">
        <f t="shared" si="453"/>
        <v>153.0629221981709</v>
      </c>
      <c r="AT1091" s="139">
        <f t="shared" si="454"/>
        <v>11.553581540577685</v>
      </c>
      <c r="AU1091" s="139">
        <f t="shared" si="455"/>
        <v>164.61650373874858</v>
      </c>
      <c r="AW1091" s="139">
        <f t="shared" si="456"/>
        <v>331.38392857142856</v>
      </c>
      <c r="AX1091" s="139">
        <f t="shared" si="457"/>
        <v>-166.76742483267998</v>
      </c>
    </row>
    <row r="1092" spans="1:50" ht="15.75" customHeight="1" thickBot="1" x14ac:dyDescent="0.35">
      <c r="A1092" s="641"/>
      <c r="AC1092">
        <v>17</v>
      </c>
      <c r="AD1092" s="139">
        <f t="shared" si="468"/>
        <v>0</v>
      </c>
      <c r="AE1092" s="139">
        <f t="shared" si="439"/>
        <v>22.866071428571431</v>
      </c>
      <c r="AF1092" s="139">
        <f t="shared" si="440"/>
        <v>23.96279761904762</v>
      </c>
      <c r="AG1092" s="139">
        <f t="shared" si="441"/>
        <v>40.592261904761905</v>
      </c>
      <c r="AH1092" s="139">
        <f t="shared" si="442"/>
        <v>16.711731721980389</v>
      </c>
      <c r="AI1092" s="139">
        <f t="shared" si="443"/>
        <v>8.1205357142857135</v>
      </c>
      <c r="AJ1092" s="139">
        <f t="shared" si="444"/>
        <v>5.5803571428571423</v>
      </c>
      <c r="AK1092" s="139">
        <f t="shared" si="445"/>
        <v>8.6339285714285712</v>
      </c>
      <c r="AL1092" s="139">
        <f t="shared" si="446"/>
        <v>8.7395833333333339</v>
      </c>
      <c r="AM1092" s="139">
        <f t="shared" si="447"/>
        <v>2.7217261904761902</v>
      </c>
      <c r="AN1092" s="139">
        <f t="shared" si="448"/>
        <v>3.2083333333333335</v>
      </c>
      <c r="AO1092" s="139">
        <f t="shared" si="449"/>
        <v>6.552083333333333</v>
      </c>
      <c r="AP1092" s="139">
        <f t="shared" si="450"/>
        <v>1.0238095238095239</v>
      </c>
      <c r="AQ1092" s="139">
        <f t="shared" si="451"/>
        <v>1.9255952380952381</v>
      </c>
      <c r="AR1092" s="139">
        <f t="shared" si="452"/>
        <v>2.4241071428571428</v>
      </c>
      <c r="AS1092" s="139">
        <f t="shared" si="453"/>
        <v>153.0629221981709</v>
      </c>
      <c r="AT1092" s="139">
        <f t="shared" si="454"/>
        <v>11.553581540577685</v>
      </c>
      <c r="AU1092" s="139">
        <f t="shared" si="455"/>
        <v>164.61650373874858</v>
      </c>
      <c r="AW1092" s="139">
        <f t="shared" si="456"/>
        <v>331.38392857142856</v>
      </c>
      <c r="AX1092" s="139">
        <f t="shared" si="457"/>
        <v>-166.76742483267998</v>
      </c>
    </row>
    <row r="1093" spans="1:50" ht="15.75" customHeight="1" x14ac:dyDescent="0.3">
      <c r="A1093" s="765"/>
      <c r="B1093" s="821" t="s">
        <v>2887</v>
      </c>
      <c r="C1093" s="821"/>
      <c r="D1093" s="821"/>
      <c r="E1093" s="821"/>
      <c r="F1093" s="821"/>
      <c r="G1093" s="821"/>
      <c r="H1093" s="821"/>
      <c r="I1093" s="821"/>
      <c r="J1093" s="821"/>
      <c r="K1093" s="821"/>
      <c r="L1093" s="821"/>
      <c r="M1093" s="821"/>
      <c r="N1093" s="821"/>
      <c r="O1093" s="821"/>
      <c r="P1093" s="821"/>
      <c r="Q1093" s="752" t="str">
        <f>+Q1</f>
        <v xml:space="preserve">PRINTED:  </v>
      </c>
      <c r="R1093" s="753">
        <f ca="1">+R1</f>
        <v>44881.729633912037</v>
      </c>
      <c r="AC1093">
        <v>18</v>
      </c>
      <c r="AD1093" s="139">
        <f t="shared" si="468"/>
        <v>0</v>
      </c>
      <c r="AE1093" s="139">
        <f t="shared" si="439"/>
        <v>22.866071428571431</v>
      </c>
      <c r="AF1093" s="139">
        <f t="shared" si="440"/>
        <v>23.96279761904762</v>
      </c>
      <c r="AG1093" s="139">
        <f t="shared" si="441"/>
        <v>40.592261904761905</v>
      </c>
      <c r="AH1093" s="139">
        <f t="shared" si="442"/>
        <v>16.711731721980389</v>
      </c>
      <c r="AI1093" s="139">
        <f t="shared" si="443"/>
        <v>8.1205357142857135</v>
      </c>
      <c r="AJ1093" s="139">
        <f t="shared" si="444"/>
        <v>5.5803571428571423</v>
      </c>
      <c r="AK1093" s="139">
        <f t="shared" si="445"/>
        <v>8.6339285714285712</v>
      </c>
      <c r="AL1093" s="139">
        <f t="shared" si="446"/>
        <v>8.7395833333333339</v>
      </c>
      <c r="AM1093" s="139">
        <f t="shared" si="447"/>
        <v>2.7217261904761902</v>
      </c>
      <c r="AN1093" s="139">
        <f t="shared" si="448"/>
        <v>3.2083333333333335</v>
      </c>
      <c r="AO1093" s="139">
        <f t="shared" si="449"/>
        <v>6.552083333333333</v>
      </c>
      <c r="AP1093" s="139">
        <f t="shared" si="450"/>
        <v>1.0238095238095239</v>
      </c>
      <c r="AQ1093" s="139">
        <f t="shared" si="451"/>
        <v>1.9255952380952381</v>
      </c>
      <c r="AR1093" s="139">
        <f t="shared" si="452"/>
        <v>2.4241071428571428</v>
      </c>
      <c r="AS1093" s="139">
        <f t="shared" si="453"/>
        <v>153.0629221981709</v>
      </c>
      <c r="AT1093" s="139">
        <f t="shared" si="454"/>
        <v>11.553581540577685</v>
      </c>
      <c r="AU1093" s="139">
        <f t="shared" si="455"/>
        <v>164.61650373874858</v>
      </c>
      <c r="AW1093" s="139">
        <f t="shared" si="456"/>
        <v>331.38392857142856</v>
      </c>
      <c r="AX1093" s="139">
        <f t="shared" si="457"/>
        <v>-166.76742483267998</v>
      </c>
    </row>
    <row r="1094" spans="1:50" ht="16.5" customHeight="1" x14ac:dyDescent="0.3">
      <c r="A1094" s="647"/>
      <c r="B1094" s="786" t="str">
        <f>+A8</f>
        <v>Revised:  2/5/2020</v>
      </c>
      <c r="C1094" s="786"/>
      <c r="D1094" s="786"/>
      <c r="E1094" s="786"/>
      <c r="F1094" s="786"/>
      <c r="G1094" s="786"/>
      <c r="H1094" s="786"/>
      <c r="I1094" s="786"/>
      <c r="J1094" s="786"/>
      <c r="K1094" s="786"/>
      <c r="L1094" s="786"/>
      <c r="M1094" s="786"/>
      <c r="N1094" s="786"/>
      <c r="O1094" s="786"/>
      <c r="P1094" s="786"/>
      <c r="R1094" s="727"/>
      <c r="AC1094">
        <v>19</v>
      </c>
      <c r="AD1094" s="139">
        <f t="shared" si="468"/>
        <v>0</v>
      </c>
      <c r="AE1094" s="139">
        <f t="shared" si="439"/>
        <v>22.866071428571431</v>
      </c>
      <c r="AF1094" s="139">
        <f t="shared" si="440"/>
        <v>23.96279761904762</v>
      </c>
      <c r="AG1094" s="139">
        <f t="shared" si="441"/>
        <v>40.592261904761905</v>
      </c>
      <c r="AH1094" s="139">
        <f t="shared" si="442"/>
        <v>16.711731721980389</v>
      </c>
      <c r="AI1094" s="139">
        <f t="shared" si="443"/>
        <v>8.1205357142857135</v>
      </c>
      <c r="AJ1094" s="139">
        <f t="shared" si="444"/>
        <v>5.5803571428571423</v>
      </c>
      <c r="AK1094" s="139">
        <f t="shared" si="445"/>
        <v>8.6339285714285712</v>
      </c>
      <c r="AL1094" s="139">
        <f t="shared" si="446"/>
        <v>8.7395833333333339</v>
      </c>
      <c r="AM1094" s="139">
        <f t="shared" si="447"/>
        <v>2.7217261904761902</v>
      </c>
      <c r="AN1094" s="139">
        <f t="shared" si="448"/>
        <v>3.2083333333333335</v>
      </c>
      <c r="AO1094" s="139">
        <f t="shared" si="449"/>
        <v>6.552083333333333</v>
      </c>
      <c r="AP1094" s="139">
        <f t="shared" si="450"/>
        <v>1.0238095238095239</v>
      </c>
      <c r="AQ1094" s="139">
        <f t="shared" si="451"/>
        <v>1.9255952380952381</v>
      </c>
      <c r="AR1094" s="139">
        <f t="shared" si="452"/>
        <v>2.4241071428571428</v>
      </c>
      <c r="AS1094" s="139">
        <f t="shared" si="453"/>
        <v>153.0629221981709</v>
      </c>
      <c r="AT1094" s="139">
        <f t="shared" si="454"/>
        <v>11.553581540577685</v>
      </c>
      <c r="AU1094" s="139">
        <f t="shared" si="455"/>
        <v>164.61650373874858</v>
      </c>
      <c r="AW1094" s="139">
        <f t="shared" si="456"/>
        <v>331.38392857142856</v>
      </c>
      <c r="AX1094" s="139">
        <f t="shared" si="457"/>
        <v>-166.76742483267998</v>
      </c>
    </row>
    <row r="1095" spans="1:50" ht="16.5" customHeight="1" x14ac:dyDescent="0.3">
      <c r="A1095" s="647"/>
      <c r="B1095" s="786" t="s">
        <v>2878</v>
      </c>
      <c r="C1095" s="786"/>
      <c r="D1095" s="786"/>
      <c r="E1095" s="786"/>
      <c r="F1095" s="786"/>
      <c r="G1095" s="786"/>
      <c r="H1095" s="786"/>
      <c r="I1095" s="786"/>
      <c r="J1095" s="786"/>
      <c r="K1095" s="786"/>
      <c r="L1095" s="786"/>
      <c r="M1095" s="786"/>
      <c r="N1095" s="786"/>
      <c r="O1095" s="786"/>
      <c r="P1095" s="786"/>
      <c r="R1095" s="727"/>
      <c r="AC1095">
        <v>20</v>
      </c>
      <c r="AD1095" s="139">
        <f t="shared" si="468"/>
        <v>0</v>
      </c>
      <c r="AE1095" s="139">
        <f t="shared" si="439"/>
        <v>22.866071428571431</v>
      </c>
      <c r="AF1095" s="139">
        <f t="shared" si="440"/>
        <v>23.96279761904762</v>
      </c>
      <c r="AG1095" s="139">
        <f t="shared" si="441"/>
        <v>40.592261904761905</v>
      </c>
      <c r="AH1095" s="139">
        <f t="shared" si="442"/>
        <v>16.711731721980389</v>
      </c>
      <c r="AI1095" s="139">
        <f t="shared" si="443"/>
        <v>8.1205357142857135</v>
      </c>
      <c r="AJ1095" s="139">
        <f t="shared" si="444"/>
        <v>5.5803571428571423</v>
      </c>
      <c r="AK1095" s="139">
        <f t="shared" si="445"/>
        <v>8.6339285714285712</v>
      </c>
      <c r="AL1095" s="139">
        <f t="shared" si="446"/>
        <v>8.7395833333333339</v>
      </c>
      <c r="AM1095" s="139">
        <f t="shared" si="447"/>
        <v>2.7217261904761902</v>
      </c>
      <c r="AN1095" s="139">
        <f t="shared" si="448"/>
        <v>3.2083333333333335</v>
      </c>
      <c r="AO1095" s="139">
        <f t="shared" si="449"/>
        <v>6.552083333333333</v>
      </c>
      <c r="AP1095" s="139">
        <f t="shared" si="450"/>
        <v>1.0238095238095239</v>
      </c>
      <c r="AQ1095" s="139">
        <f t="shared" si="451"/>
        <v>1.9255952380952381</v>
      </c>
      <c r="AR1095" s="139">
        <f t="shared" si="452"/>
        <v>2.4241071428571428</v>
      </c>
      <c r="AS1095" s="139">
        <f t="shared" si="453"/>
        <v>153.0629221981709</v>
      </c>
      <c r="AT1095" s="139">
        <f t="shared" si="454"/>
        <v>11.553581540577685</v>
      </c>
      <c r="AU1095" s="139">
        <f t="shared" si="455"/>
        <v>164.61650373874858</v>
      </c>
      <c r="AW1095" s="139">
        <f t="shared" si="456"/>
        <v>331.38392857142856</v>
      </c>
      <c r="AX1095" s="139">
        <f t="shared" si="457"/>
        <v>-166.76742483267998</v>
      </c>
    </row>
    <row r="1096" spans="1:50" ht="16.5" customHeight="1" x14ac:dyDescent="0.3">
      <c r="A1096" s="647"/>
      <c r="B1096" s="67"/>
      <c r="C1096" s="67"/>
      <c r="D1096" s="67"/>
      <c r="E1096" s="67"/>
      <c r="F1096" s="67"/>
      <c r="G1096" s="67"/>
      <c r="H1096" s="67"/>
      <c r="I1096" s="67"/>
      <c r="J1096" s="67"/>
      <c r="K1096" s="67"/>
      <c r="L1096" s="67"/>
      <c r="M1096" s="67"/>
      <c r="N1096" s="67"/>
      <c r="O1096" s="67"/>
      <c r="P1096" s="67"/>
      <c r="R1096" s="727"/>
      <c r="AC1096">
        <v>21</v>
      </c>
      <c r="AD1096" s="139">
        <f>IF($AF$1073=1,VLOOKUP($AD$1073,$A$1103:$P$1114,12,FALSE),VLOOKUP($AD$1073,$A$1076:$S$1087,3,FALSE))</f>
        <v>0</v>
      </c>
      <c r="AE1096" s="139">
        <f t="shared" si="439"/>
        <v>22.866071428571431</v>
      </c>
      <c r="AF1096" s="139">
        <f t="shared" si="440"/>
        <v>23.96279761904762</v>
      </c>
      <c r="AG1096" s="139">
        <f t="shared" si="441"/>
        <v>40.592261904761905</v>
      </c>
      <c r="AH1096" s="139">
        <f t="shared" si="442"/>
        <v>16.711731721980389</v>
      </c>
      <c r="AI1096" s="139">
        <f t="shared" si="443"/>
        <v>8.1205357142857135</v>
      </c>
      <c r="AJ1096" s="139">
        <f t="shared" si="444"/>
        <v>5.5803571428571423</v>
      </c>
      <c r="AK1096" s="139">
        <f t="shared" si="445"/>
        <v>8.6339285714285712</v>
      </c>
      <c r="AL1096" s="139">
        <f t="shared" si="446"/>
        <v>8.7395833333333339</v>
      </c>
      <c r="AM1096" s="139">
        <f t="shared" si="447"/>
        <v>2.7217261904761902</v>
      </c>
      <c r="AN1096" s="139">
        <f t="shared" si="448"/>
        <v>3.2083333333333335</v>
      </c>
      <c r="AO1096" s="139">
        <f t="shared" si="449"/>
        <v>6.552083333333333</v>
      </c>
      <c r="AP1096" s="139">
        <f t="shared" si="450"/>
        <v>1.0238095238095239</v>
      </c>
      <c r="AQ1096" s="139">
        <f t="shared" si="451"/>
        <v>1.9255952380952381</v>
      </c>
      <c r="AR1096" s="139">
        <f t="shared" si="452"/>
        <v>2.4241071428571428</v>
      </c>
      <c r="AS1096" s="139">
        <f t="shared" si="453"/>
        <v>153.0629221981709</v>
      </c>
      <c r="AT1096" s="139">
        <f t="shared" si="454"/>
        <v>11.553581540577685</v>
      </c>
      <c r="AU1096" s="139">
        <f t="shared" si="455"/>
        <v>164.61650373874858</v>
      </c>
      <c r="AW1096" s="139">
        <f t="shared" si="456"/>
        <v>331.38392857142856</v>
      </c>
      <c r="AX1096" s="139">
        <f t="shared" si="457"/>
        <v>-166.76742483267998</v>
      </c>
    </row>
    <row r="1097" spans="1:50" ht="16.5" customHeight="1" x14ac:dyDescent="0.3">
      <c r="A1097" s="647"/>
      <c r="B1097" s="810">
        <f>+A5</f>
        <v>2021</v>
      </c>
      <c r="C1097" s="787"/>
      <c r="D1097" s="787"/>
      <c r="E1097" s="787"/>
      <c r="F1097" s="787"/>
      <c r="G1097" s="787"/>
      <c r="H1097" s="787"/>
      <c r="I1097" s="787"/>
      <c r="J1097" s="787"/>
      <c r="K1097" s="787"/>
      <c r="L1097" s="787"/>
      <c r="M1097" s="787"/>
      <c r="N1097" s="787"/>
      <c r="O1097" s="787"/>
      <c r="P1097" s="787"/>
      <c r="R1097" s="727"/>
      <c r="AC1097">
        <v>22</v>
      </c>
      <c r="AD1097" s="139">
        <f>IF($AF$1073=1,VLOOKUP($AD$1073,$A$1103:$P$1114,12,FALSE),VLOOKUP($AD$1073,$A$1076:$S$1087,3,FALSE))</f>
        <v>0</v>
      </c>
      <c r="AE1097" s="139">
        <f t="shared" si="439"/>
        <v>22.866071428571431</v>
      </c>
      <c r="AF1097" s="139">
        <f t="shared" si="440"/>
        <v>23.96279761904762</v>
      </c>
      <c r="AG1097" s="139">
        <f t="shared" si="441"/>
        <v>40.592261904761905</v>
      </c>
      <c r="AH1097" s="139">
        <f t="shared" si="442"/>
        <v>16.711731721980389</v>
      </c>
      <c r="AI1097" s="139">
        <f t="shared" si="443"/>
        <v>8.1205357142857135</v>
      </c>
      <c r="AJ1097" s="139">
        <f t="shared" si="444"/>
        <v>5.5803571428571423</v>
      </c>
      <c r="AK1097" s="139">
        <f t="shared" si="445"/>
        <v>8.6339285714285712</v>
      </c>
      <c r="AL1097" s="139">
        <f t="shared" si="446"/>
        <v>8.7395833333333339</v>
      </c>
      <c r="AM1097" s="139">
        <f t="shared" si="447"/>
        <v>2.7217261904761902</v>
      </c>
      <c r="AN1097" s="139">
        <f t="shared" si="448"/>
        <v>3.2083333333333335</v>
      </c>
      <c r="AO1097" s="139">
        <f t="shared" si="449"/>
        <v>6.552083333333333</v>
      </c>
      <c r="AP1097" s="139">
        <f t="shared" si="450"/>
        <v>1.0238095238095239</v>
      </c>
      <c r="AQ1097" s="139">
        <f t="shared" si="451"/>
        <v>1.9255952380952381</v>
      </c>
      <c r="AR1097" s="139">
        <f t="shared" si="452"/>
        <v>2.4241071428571428</v>
      </c>
      <c r="AS1097" s="139">
        <f t="shared" si="453"/>
        <v>153.0629221981709</v>
      </c>
      <c r="AT1097" s="139">
        <f t="shared" si="454"/>
        <v>11.553581540577685</v>
      </c>
      <c r="AU1097" s="139">
        <f t="shared" si="455"/>
        <v>164.61650373874858</v>
      </c>
      <c r="AW1097" s="139">
        <f t="shared" si="456"/>
        <v>331.38392857142856</v>
      </c>
      <c r="AX1097" s="139">
        <f t="shared" si="457"/>
        <v>-166.76742483267998</v>
      </c>
    </row>
    <row r="1098" spans="1:50" ht="15.75" customHeight="1" x14ac:dyDescent="0.3">
      <c r="A1098" s="647"/>
      <c r="B1098" s="786" t="s">
        <v>1199</v>
      </c>
      <c r="C1098" s="786"/>
      <c r="D1098" s="786"/>
      <c r="E1098" s="786"/>
      <c r="F1098" s="786"/>
      <c r="G1098" s="786"/>
      <c r="H1098" s="786"/>
      <c r="I1098" s="786"/>
      <c r="J1098" s="786"/>
      <c r="K1098" s="786"/>
      <c r="L1098" s="786"/>
      <c r="M1098" s="786"/>
      <c r="N1098" s="786"/>
      <c r="O1098" s="786"/>
      <c r="P1098" s="786"/>
      <c r="R1098" s="727"/>
      <c r="AC1098">
        <v>23</v>
      </c>
      <c r="AD1098" s="139">
        <f>IF($AF$1073=1,VLOOKUP($AD$1073,$A$1103:$P$1114,12,FALSE),IF(OR($AD$1073="JAN",$AD$1073="FEB",$AD$1073="NOV",$AD$1073="DEC"),VLOOKUP($AD$1073,$A$1076:$S$1087,3,FALSE),VLOOKUP($AD$1073,$A$1076:$S$1087,2,FALSE)))</f>
        <v>0</v>
      </c>
      <c r="AE1098" s="139">
        <f t="shared" si="439"/>
        <v>22.866071428571431</v>
      </c>
      <c r="AF1098" s="139">
        <f t="shared" si="440"/>
        <v>23.96279761904762</v>
      </c>
      <c r="AG1098" s="139">
        <f t="shared" si="441"/>
        <v>40.592261904761905</v>
      </c>
      <c r="AH1098" s="139">
        <f t="shared" si="442"/>
        <v>16.711731721980389</v>
      </c>
      <c r="AI1098" s="139">
        <f t="shared" si="443"/>
        <v>8.1205357142857135</v>
      </c>
      <c r="AJ1098" s="139">
        <f t="shared" si="444"/>
        <v>5.5803571428571423</v>
      </c>
      <c r="AK1098" s="139">
        <f t="shared" si="445"/>
        <v>8.6339285714285712</v>
      </c>
      <c r="AL1098" s="139">
        <f t="shared" si="446"/>
        <v>8.7395833333333339</v>
      </c>
      <c r="AM1098" s="139">
        <f t="shared" si="447"/>
        <v>2.7217261904761902</v>
      </c>
      <c r="AN1098" s="139">
        <f t="shared" si="448"/>
        <v>3.2083333333333335</v>
      </c>
      <c r="AO1098" s="139">
        <f t="shared" si="449"/>
        <v>6.552083333333333</v>
      </c>
      <c r="AP1098" s="139">
        <f t="shared" si="450"/>
        <v>1.0238095238095239</v>
      </c>
      <c r="AQ1098" s="139">
        <f t="shared" si="451"/>
        <v>1.9255952380952381</v>
      </c>
      <c r="AR1098" s="139">
        <f t="shared" si="452"/>
        <v>2.4241071428571428</v>
      </c>
      <c r="AS1098" s="139">
        <f t="shared" si="453"/>
        <v>153.0629221981709</v>
      </c>
      <c r="AT1098" s="139">
        <f t="shared" si="454"/>
        <v>11.553581540577685</v>
      </c>
      <c r="AU1098" s="139">
        <f t="shared" si="455"/>
        <v>164.61650373874858</v>
      </c>
      <c r="AW1098" s="139">
        <f t="shared" si="456"/>
        <v>331.38392857142856</v>
      </c>
      <c r="AX1098" s="139">
        <f t="shared" si="457"/>
        <v>-166.76742483267998</v>
      </c>
    </row>
    <row r="1099" spans="1:50" ht="15.75" customHeight="1" thickBot="1" x14ac:dyDescent="0.35">
      <c r="A1099" s="647"/>
      <c r="R1099" s="727"/>
      <c r="AC1099">
        <v>24</v>
      </c>
      <c r="AD1099" s="139">
        <f>IF($AF$1073=1,VLOOKUP($AD$1073,$A$1103:$P$1114,12,FALSE),VLOOKUP($AD$1073,$A$1076:$S$1087,2,FALSE))</f>
        <v>98</v>
      </c>
      <c r="AE1099" s="139">
        <f t="shared" si="439"/>
        <v>22.866071428571431</v>
      </c>
      <c r="AF1099" s="139">
        <f t="shared" si="440"/>
        <v>23.96279761904762</v>
      </c>
      <c r="AG1099" s="139">
        <f t="shared" si="441"/>
        <v>40.592261904761905</v>
      </c>
      <c r="AH1099" s="139">
        <f t="shared" si="442"/>
        <v>16.711731721980389</v>
      </c>
      <c r="AI1099" s="139">
        <f t="shared" si="443"/>
        <v>8.1205357142857135</v>
      </c>
      <c r="AJ1099" s="139">
        <f t="shared" si="444"/>
        <v>5.5803571428571423</v>
      </c>
      <c r="AK1099" s="139">
        <f t="shared" si="445"/>
        <v>8.6339285714285712</v>
      </c>
      <c r="AL1099" s="139">
        <f t="shared" si="446"/>
        <v>8.7395833333333339</v>
      </c>
      <c r="AM1099" s="139">
        <f t="shared" si="447"/>
        <v>2.7217261904761902</v>
      </c>
      <c r="AN1099" s="139">
        <f t="shared" si="448"/>
        <v>3.2083333333333335</v>
      </c>
      <c r="AO1099" s="139">
        <f t="shared" si="449"/>
        <v>6.552083333333333</v>
      </c>
      <c r="AP1099" s="139">
        <f t="shared" si="450"/>
        <v>1.0238095238095239</v>
      </c>
      <c r="AQ1099" s="139">
        <f t="shared" si="451"/>
        <v>1.9255952380952381</v>
      </c>
      <c r="AR1099" s="139">
        <f t="shared" si="452"/>
        <v>2.4241071428571428</v>
      </c>
      <c r="AS1099" s="139">
        <f t="shared" si="453"/>
        <v>251.0629221981709</v>
      </c>
      <c r="AT1099" s="139">
        <f t="shared" si="454"/>
        <v>18.950872633130363</v>
      </c>
      <c r="AU1099" s="139">
        <f t="shared" si="455"/>
        <v>270.01379483130125</v>
      </c>
      <c r="AW1099" s="139">
        <f t="shared" si="456"/>
        <v>331.38392857142856</v>
      </c>
      <c r="AX1099" s="139">
        <f t="shared" si="457"/>
        <v>-61.370133740127301</v>
      </c>
    </row>
    <row r="1100" spans="1:50" ht="15.75" customHeight="1" x14ac:dyDescent="0.3">
      <c r="A1100" s="647"/>
      <c r="B1100" s="814" t="s">
        <v>2883</v>
      </c>
      <c r="C1100" s="815"/>
      <c r="D1100" s="815"/>
      <c r="E1100" s="815"/>
      <c r="F1100" s="815"/>
      <c r="G1100" s="815"/>
      <c r="H1100" s="815"/>
      <c r="I1100" s="815"/>
      <c r="J1100" s="815"/>
      <c r="K1100" s="815"/>
      <c r="L1100" s="816"/>
      <c r="M1100" s="817" t="s">
        <v>2884</v>
      </c>
      <c r="N1100" s="815"/>
      <c r="O1100" s="815"/>
      <c r="P1100" s="815"/>
      <c r="Q1100" s="139" t="s">
        <v>2899</v>
      </c>
      <c r="R1100" s="764" t="s">
        <v>2898</v>
      </c>
      <c r="S1100" s="139" t="s">
        <v>3193</v>
      </c>
      <c r="T1100" s="139" t="s">
        <v>2913</v>
      </c>
      <c r="AC1100" t="s">
        <v>2356</v>
      </c>
      <c r="AD1100" s="139">
        <f>SUM(AD1076:AD1099)</f>
        <v>784</v>
      </c>
      <c r="AE1100" s="139">
        <f>SUM(AE1076:AE1099)</f>
        <v>548.78571428571456</v>
      </c>
      <c r="AF1100" s="139">
        <f t="shared" ref="AF1100:AW1100" si="469">SUM(AF1076:AF1099)</f>
        <v>575.10714285714255</v>
      </c>
      <c r="AG1100" s="139">
        <f t="shared" si="469"/>
        <v>974.21428571428601</v>
      </c>
      <c r="AH1100" s="139">
        <f t="shared" si="469"/>
        <v>401.08156132752953</v>
      </c>
      <c r="AI1100" s="139">
        <f t="shared" si="469"/>
        <v>194.89285714285717</v>
      </c>
      <c r="AJ1100" s="139">
        <f t="shared" si="469"/>
        <v>133.92857142857136</v>
      </c>
      <c r="AK1100" s="139">
        <f t="shared" si="469"/>
        <v>207.21428571428581</v>
      </c>
      <c r="AL1100" s="139">
        <f t="shared" si="469"/>
        <v>209.75000000000006</v>
      </c>
      <c r="AM1100" s="139">
        <f t="shared" si="469"/>
        <v>65.321428571428569</v>
      </c>
      <c r="AN1100" s="139">
        <f t="shared" si="469"/>
        <v>77</v>
      </c>
      <c r="AO1100" s="139">
        <f t="shared" si="469"/>
        <v>157.25</v>
      </c>
      <c r="AP1100" s="139">
        <f t="shared" si="469"/>
        <v>24.571428571428587</v>
      </c>
      <c r="AQ1100" s="139">
        <f t="shared" si="469"/>
        <v>46.214285714285722</v>
      </c>
      <c r="AR1100" s="139">
        <f t="shared" si="469"/>
        <v>58.178571428571459</v>
      </c>
      <c r="AS1100" s="139">
        <f t="shared" si="469"/>
        <v>4457.5101327560997</v>
      </c>
      <c r="AT1100" s="139">
        <f t="shared" si="469"/>
        <v>336.46428571428584</v>
      </c>
      <c r="AU1100" s="139">
        <f t="shared" si="469"/>
        <v>4793.9744184703868</v>
      </c>
      <c r="AW1100" s="139">
        <f t="shared" si="469"/>
        <v>7953.2142857142835</v>
      </c>
      <c r="AX1100" s="139">
        <f>SUMIF(AX1076:AX1099,"&gt;0")</f>
        <v>0</v>
      </c>
    </row>
    <row r="1101" spans="1:50" ht="15.75" customHeight="1" thickBot="1" x14ac:dyDescent="0.35">
      <c r="A1101" s="647" t="s">
        <v>249</v>
      </c>
      <c r="B1101" s="658" t="s">
        <v>2890</v>
      </c>
      <c r="C1101" s="659" t="s">
        <v>2886</v>
      </c>
      <c r="D1101" s="659" t="s">
        <v>2885</v>
      </c>
      <c r="E1101" s="659" t="s">
        <v>2914</v>
      </c>
      <c r="F1101" s="659" t="s">
        <v>2886</v>
      </c>
      <c r="G1101" s="659" t="s">
        <v>2885</v>
      </c>
      <c r="H1101" s="659" t="s">
        <v>2915</v>
      </c>
      <c r="I1101" s="659" t="s">
        <v>2886</v>
      </c>
      <c r="J1101" s="659" t="s">
        <v>2885</v>
      </c>
      <c r="K1101" s="659" t="s">
        <v>2915</v>
      </c>
      <c r="L1101" s="660" t="s">
        <v>2897</v>
      </c>
      <c r="M1101" s="658" t="s">
        <v>2893</v>
      </c>
      <c r="N1101" s="659" t="s">
        <v>2886</v>
      </c>
      <c r="O1101" s="659" t="s">
        <v>2886</v>
      </c>
      <c r="P1101" s="660" t="s">
        <v>2897</v>
      </c>
      <c r="Q1101" s="668" t="s">
        <v>2356</v>
      </c>
      <c r="R1101" s="766" t="s">
        <v>2900</v>
      </c>
      <c r="S1101" s="659" t="s">
        <v>3175</v>
      </c>
      <c r="T1101" s="659" t="s">
        <v>3175</v>
      </c>
      <c r="AU1101" s="139"/>
      <c r="AW1101" s="139"/>
      <c r="AX1101" s="139"/>
    </row>
    <row r="1102" spans="1:50" ht="15.75" customHeight="1" thickTop="1" thickBot="1" x14ac:dyDescent="0.35">
      <c r="A1102" s="647"/>
      <c r="B1102" s="661"/>
      <c r="C1102" s="664" t="s">
        <v>2895</v>
      </c>
      <c r="D1102" s="664" t="s">
        <v>2895</v>
      </c>
      <c r="E1102" s="664" t="s">
        <v>2895</v>
      </c>
      <c r="F1102" s="662" t="s">
        <v>2696</v>
      </c>
      <c r="G1102" s="662" t="s">
        <v>2696</v>
      </c>
      <c r="H1102" s="662" t="s">
        <v>2696</v>
      </c>
      <c r="I1102" s="662" t="s">
        <v>2896</v>
      </c>
      <c r="J1102" s="662" t="s">
        <v>2896</v>
      </c>
      <c r="K1102" s="662" t="s">
        <v>2896</v>
      </c>
      <c r="L1102" s="767" t="s">
        <v>2892</v>
      </c>
      <c r="M1102" s="665"/>
      <c r="N1102" s="664" t="s">
        <v>2895</v>
      </c>
      <c r="O1102" s="662" t="s">
        <v>2696</v>
      </c>
      <c r="P1102" s="767" t="s">
        <v>2896</v>
      </c>
      <c r="Q1102" s="668" t="s">
        <v>2896</v>
      </c>
      <c r="R1102" s="766" t="s">
        <v>2896</v>
      </c>
      <c r="S1102" s="662" t="s">
        <v>3192</v>
      </c>
      <c r="T1102" s="662" t="s">
        <v>3192</v>
      </c>
    </row>
    <row r="1103" spans="1:50" ht="15.75" customHeight="1" x14ac:dyDescent="0.3">
      <c r="A1103" s="647" t="s">
        <v>2843</v>
      </c>
      <c r="B1103" s="642">
        <f ca="1">+$B$10-M1103</f>
        <v>26</v>
      </c>
      <c r="C1103" s="656">
        <v>4</v>
      </c>
      <c r="D1103" s="656">
        <v>0</v>
      </c>
      <c r="E1103" s="656" t="s">
        <v>2916</v>
      </c>
      <c r="F1103" s="139">
        <f>+I1103/(24-S1103)</f>
        <v>196</v>
      </c>
      <c r="G1103" s="139">
        <f>+J1103/S1103</f>
        <v>0</v>
      </c>
      <c r="H1103" s="139" t="s">
        <v>2916</v>
      </c>
      <c r="I1103" s="139">
        <f>+C1103*49*(24-S1103)</f>
        <v>3724</v>
      </c>
      <c r="J1103" s="139">
        <f>+D1103*49*S1103</f>
        <v>0</v>
      </c>
      <c r="K1103" s="139" t="s">
        <v>2916</v>
      </c>
      <c r="L1103" s="764">
        <f>+J1103+I1103</f>
        <v>3724</v>
      </c>
      <c r="M1103" s="642">
        <f ca="1">SUMPRODUCT(--(WEEKDAY(ROW(INDIRECT(DATE($B$1097,MonthFromText(A1103),1)&amp;":"&amp;DATE($B$1097,MonthFromText(A1103),$B$10))),1)=1))</f>
        <v>5</v>
      </c>
      <c r="N1103" s="656">
        <v>4</v>
      </c>
      <c r="O1103">
        <f>+P1103/(24-T1103)</f>
        <v>196</v>
      </c>
      <c r="P1103" s="764">
        <f>+N1103*49*(24-T1103)</f>
        <v>3724</v>
      </c>
      <c r="Q1103" s="139">
        <f ca="1">+(L1103*B1103)+(M1103*P1103)</f>
        <v>115444</v>
      </c>
      <c r="R1103" s="764">
        <f ca="1">+Q1103-B996</f>
        <v>53720</v>
      </c>
      <c r="S1103" s="726">
        <v>5</v>
      </c>
      <c r="T1103" s="726">
        <v>5</v>
      </c>
      <c r="AD1103" s="704"/>
      <c r="AE1103" s="703"/>
      <c r="AF1103" s="725" t="s">
        <v>3186</v>
      </c>
      <c r="AG1103" s="720" t="s">
        <v>3183</v>
      </c>
      <c r="AH1103" s="720" t="s">
        <v>3184</v>
      </c>
      <c r="AI1103" s="720" t="s">
        <v>3185</v>
      </c>
      <c r="AJ1103" s="702"/>
    </row>
    <row r="1104" spans="1:50" ht="15.75" customHeight="1" x14ac:dyDescent="0.3">
      <c r="A1104" s="647" t="s">
        <v>2091</v>
      </c>
      <c r="B1104" s="642">
        <f ca="1">+$C$10-M1104</f>
        <v>24</v>
      </c>
      <c r="C1104" s="656">
        <v>2</v>
      </c>
      <c r="D1104" s="656">
        <v>0</v>
      </c>
      <c r="E1104" s="656" t="s">
        <v>2916</v>
      </c>
      <c r="F1104" s="139">
        <f t="shared" ref="F1104:F1114" si="470">+I1104/(24-S1104)</f>
        <v>98</v>
      </c>
      <c r="G1104" s="139">
        <f t="shared" ref="G1104:G1114" si="471">+J1104/S1104</f>
        <v>0</v>
      </c>
      <c r="H1104" s="139" t="s">
        <v>2916</v>
      </c>
      <c r="I1104" s="139">
        <f t="shared" ref="I1104:I1114" si="472">+C1104*49*(24-S1104)</f>
        <v>1862</v>
      </c>
      <c r="J1104" s="139">
        <f t="shared" ref="J1104:J1114" si="473">+D1104*49*S1104</f>
        <v>0</v>
      </c>
      <c r="K1104" s="139" t="s">
        <v>2916</v>
      </c>
      <c r="L1104" s="764">
        <f t="shared" ref="L1104:L1114" si="474">+J1104+I1104</f>
        <v>1862</v>
      </c>
      <c r="M1104" s="642">
        <f ca="1">SUMPRODUCT(--(WEEKDAY(ROW(INDIRECT(DATE($B$1097,MonthFromText(A1104),1)&amp;":"&amp;DATE($B$1097,MonthFromText(A1104),$C$10))),1)=1))</f>
        <v>4</v>
      </c>
      <c r="N1104" s="656">
        <f t="shared" ref="N1104:N1112" si="475">+C1104</f>
        <v>2</v>
      </c>
      <c r="O1104">
        <f t="shared" ref="O1104:O1114" si="476">+P1104/24</f>
        <v>98</v>
      </c>
      <c r="P1104" s="764">
        <f t="shared" ref="P1104:P1114" si="477">+N1104*49*24</f>
        <v>2352</v>
      </c>
      <c r="Q1104" s="139">
        <f ca="1">+(L1104*B1104)+(M1104*P1104)</f>
        <v>54096</v>
      </c>
      <c r="R1104" s="764">
        <f t="shared" ref="R1104:R1114" ca="1" si="478">+Q1104-B997</f>
        <v>-66582</v>
      </c>
      <c r="S1104" s="726">
        <v>5</v>
      </c>
      <c r="T1104" s="726">
        <v>5</v>
      </c>
      <c r="AD1104" s="721" t="s">
        <v>1354</v>
      </c>
      <c r="AE1104" s="723" t="s">
        <v>3176</v>
      </c>
      <c r="AF1104">
        <f>V1076</f>
        <v>236.23924731182797</v>
      </c>
      <c r="AG1104">
        <f>X1076</f>
        <v>0</v>
      </c>
      <c r="AH1104">
        <f>Y1076</f>
        <v>0</v>
      </c>
      <c r="AI1104">
        <f>Z1076</f>
        <v>33.189516129032256</v>
      </c>
      <c r="AJ1104" s="727"/>
    </row>
    <row r="1105" spans="1:36" ht="16.5" customHeight="1" x14ac:dyDescent="0.3">
      <c r="A1105" s="647" t="s">
        <v>2234</v>
      </c>
      <c r="B1105" s="642">
        <f ca="1">+$D$10-M1105</f>
        <v>27</v>
      </c>
      <c r="C1105" s="656">
        <v>6</v>
      </c>
      <c r="D1105" s="656">
        <v>0</v>
      </c>
      <c r="E1105" s="656" t="s">
        <v>2916</v>
      </c>
      <c r="F1105" s="139">
        <f t="shared" si="470"/>
        <v>294</v>
      </c>
      <c r="G1105" s="139">
        <f t="shared" si="471"/>
        <v>0</v>
      </c>
      <c r="H1105" s="139" t="s">
        <v>2916</v>
      </c>
      <c r="I1105" s="139">
        <f t="shared" si="472"/>
        <v>5586</v>
      </c>
      <c r="J1105" s="139">
        <f t="shared" si="473"/>
        <v>0</v>
      </c>
      <c r="K1105" s="139" t="s">
        <v>2916</v>
      </c>
      <c r="L1105" s="764">
        <f t="shared" si="474"/>
        <v>5586</v>
      </c>
      <c r="M1105" s="642">
        <f ca="1">SUMPRODUCT(--(WEEKDAY(ROW(INDIRECT(DATE($B$1097,MonthFromText(A1105),1)&amp;":"&amp;DATE($B$1097,MonthFromText(A1105),$D$10))),1)=1))</f>
        <v>4</v>
      </c>
      <c r="N1105" s="656">
        <v>3</v>
      </c>
      <c r="O1105">
        <f t="shared" si="476"/>
        <v>147</v>
      </c>
      <c r="P1105" s="764">
        <f t="shared" si="477"/>
        <v>3528</v>
      </c>
      <c r="Q1105" s="139">
        <f t="shared" ref="Q1105:Q1114" ca="1" si="479">+(L1105*B1105)+(M1105*P1105)</f>
        <v>164934</v>
      </c>
      <c r="R1105" s="764">
        <f t="shared" ca="1" si="478"/>
        <v>6202</v>
      </c>
      <c r="S1105" s="726">
        <v>5</v>
      </c>
      <c r="T1105" s="726">
        <v>5</v>
      </c>
      <c r="AD1105" s="721"/>
      <c r="AE1105" s="723" t="s">
        <v>3175</v>
      </c>
      <c r="AF1105">
        <f>W1076</f>
        <v>40.239247311827953</v>
      </c>
      <c r="AG1105">
        <f>X1076</f>
        <v>0</v>
      </c>
      <c r="AH1105">
        <f>Y1076</f>
        <v>0</v>
      </c>
      <c r="AI1105">
        <f>Z1076</f>
        <v>33.189516129032256</v>
      </c>
      <c r="AJ1105" s="727"/>
    </row>
    <row r="1106" spans="1:36" ht="16.5" customHeight="1" x14ac:dyDescent="0.3">
      <c r="A1106" s="647" t="s">
        <v>2235</v>
      </c>
      <c r="B1106" s="642">
        <f ca="1">+$F$10-M1106</f>
        <v>26</v>
      </c>
      <c r="C1106" s="656">
        <v>6</v>
      </c>
      <c r="D1106" s="656">
        <v>0</v>
      </c>
      <c r="E1106" s="656" t="s">
        <v>2916</v>
      </c>
      <c r="F1106" s="139">
        <f t="shared" si="470"/>
        <v>294</v>
      </c>
      <c r="G1106" s="139">
        <f t="shared" si="471"/>
        <v>0</v>
      </c>
      <c r="H1106" s="139" t="s">
        <v>2916</v>
      </c>
      <c r="I1106" s="139">
        <f t="shared" si="472"/>
        <v>5586</v>
      </c>
      <c r="J1106" s="139">
        <f t="shared" si="473"/>
        <v>0</v>
      </c>
      <c r="K1106" s="139" t="s">
        <v>2916</v>
      </c>
      <c r="L1106" s="764">
        <f t="shared" si="474"/>
        <v>5586</v>
      </c>
      <c r="M1106" s="642">
        <f ca="1">SUMPRODUCT(--(WEEKDAY(ROW(INDIRECT(DATE($B$1097,MonthFromText(A1106),1)&amp;":"&amp;DATE($B$1097,MonthFromText(A1106),$F$10))),1)=1))</f>
        <v>4</v>
      </c>
      <c r="N1106" s="656">
        <v>5</v>
      </c>
      <c r="O1106">
        <f t="shared" si="476"/>
        <v>245</v>
      </c>
      <c r="P1106" s="764">
        <f t="shared" si="477"/>
        <v>5880</v>
      </c>
      <c r="Q1106" s="139">
        <f t="shared" ca="1" si="479"/>
        <v>168756</v>
      </c>
      <c r="R1106" s="764">
        <f t="shared" ca="1" si="478"/>
        <v>14286</v>
      </c>
      <c r="S1106" s="726">
        <v>5</v>
      </c>
      <c r="T1106" s="726">
        <v>5</v>
      </c>
      <c r="AD1106" s="721" t="s">
        <v>3178</v>
      </c>
      <c r="AE1106" s="723" t="s">
        <v>852</v>
      </c>
      <c r="AJ1106" s="727"/>
    </row>
    <row r="1107" spans="1:36" ht="15.75" customHeight="1" x14ac:dyDescent="0.3">
      <c r="A1107" s="647" t="s">
        <v>2236</v>
      </c>
      <c r="B1107" s="642">
        <f ca="1">+$G$10-M1107</f>
        <v>26</v>
      </c>
      <c r="C1107" s="656">
        <v>6</v>
      </c>
      <c r="D1107" s="656">
        <v>0</v>
      </c>
      <c r="E1107" s="656" t="s">
        <v>2916</v>
      </c>
      <c r="F1107" s="139">
        <f t="shared" si="470"/>
        <v>294</v>
      </c>
      <c r="G1107" s="139">
        <f t="shared" si="471"/>
        <v>0</v>
      </c>
      <c r="H1107" s="139" t="s">
        <v>2916</v>
      </c>
      <c r="I1107" s="139">
        <f t="shared" si="472"/>
        <v>5586</v>
      </c>
      <c r="J1107" s="139">
        <f t="shared" si="473"/>
        <v>0</v>
      </c>
      <c r="K1107" s="139" t="s">
        <v>2916</v>
      </c>
      <c r="L1107" s="764">
        <f t="shared" si="474"/>
        <v>5586</v>
      </c>
      <c r="M1107" s="642">
        <f ca="1">SUMPRODUCT(--(WEEKDAY(ROW(INDIRECT(DATE($B$1097,MonthFromText(A1107),1)&amp;":"&amp;DATE($B$1097,MonthFromText(A1107),$G$10))),1)=1))</f>
        <v>5</v>
      </c>
      <c r="N1107" s="656">
        <f t="shared" si="475"/>
        <v>6</v>
      </c>
      <c r="O1107">
        <f t="shared" si="476"/>
        <v>294</v>
      </c>
      <c r="P1107" s="764">
        <f t="shared" si="477"/>
        <v>7056</v>
      </c>
      <c r="Q1107" s="139">
        <f t="shared" ca="1" si="479"/>
        <v>180516</v>
      </c>
      <c r="R1107" s="764">
        <f t="shared" ca="1" si="478"/>
        <v>19195</v>
      </c>
      <c r="S1107" s="726">
        <v>5</v>
      </c>
      <c r="T1107" s="726">
        <v>5</v>
      </c>
      <c r="AD1107" s="721" t="s">
        <v>706</v>
      </c>
      <c r="AE1107" s="723" t="s">
        <v>3176</v>
      </c>
      <c r="AF1107">
        <f>V1077</f>
        <v>185.42113095238096</v>
      </c>
      <c r="AG1107">
        <f>X1077</f>
        <v>16.711731721980389</v>
      </c>
      <c r="AH1107">
        <f>Y1077</f>
        <v>0</v>
      </c>
      <c r="AI1107">
        <f>Z1077</f>
        <v>48.930059523809533</v>
      </c>
      <c r="AJ1107" s="727"/>
    </row>
    <row r="1108" spans="1:36" ht="15.75" customHeight="1" x14ac:dyDescent="0.3">
      <c r="A1108" s="647" t="s">
        <v>2237</v>
      </c>
      <c r="B1108" s="642">
        <f ca="1">+$H$10-M1108</f>
        <v>26</v>
      </c>
      <c r="C1108" s="656">
        <v>3</v>
      </c>
      <c r="D1108" s="656">
        <v>0</v>
      </c>
      <c r="E1108" s="656">
        <v>0</v>
      </c>
      <c r="F1108" s="139">
        <f t="shared" si="470"/>
        <v>147</v>
      </c>
      <c r="G1108" s="139">
        <f t="shared" si="471"/>
        <v>0</v>
      </c>
      <c r="H1108" s="139" t="s">
        <v>2916</v>
      </c>
      <c r="I1108" s="139">
        <f t="shared" si="472"/>
        <v>2205</v>
      </c>
      <c r="J1108" s="139">
        <f t="shared" si="473"/>
        <v>0</v>
      </c>
      <c r="K1108" s="139" t="s">
        <v>2916</v>
      </c>
      <c r="L1108" s="764">
        <f t="shared" si="474"/>
        <v>2205</v>
      </c>
      <c r="M1108" s="642">
        <f ca="1">SUMPRODUCT(--(WEEKDAY(ROW(INDIRECT(DATE($B$1097,MonthFromText(A1108),1)&amp;":"&amp;DATE($B$1097,MonthFromText(A1108),$H$10))),1)=1))</f>
        <v>4</v>
      </c>
      <c r="N1108" s="656">
        <f t="shared" si="475"/>
        <v>3</v>
      </c>
      <c r="O1108">
        <f t="shared" si="476"/>
        <v>147</v>
      </c>
      <c r="P1108" s="764">
        <f t="shared" si="477"/>
        <v>3528</v>
      </c>
      <c r="Q1108" s="139">
        <f ca="1">+(L1108*B1108)+(M1108*P1108)</f>
        <v>71442</v>
      </c>
      <c r="R1108" s="764">
        <f t="shared" ca="1" si="478"/>
        <v>-20591</v>
      </c>
      <c r="S1108" s="726">
        <v>9</v>
      </c>
      <c r="T1108" s="726">
        <v>9</v>
      </c>
      <c r="AD1108" s="721"/>
      <c r="AE1108" s="723" t="s">
        <v>3175</v>
      </c>
      <c r="AF1108">
        <f>W1077</f>
        <v>87.421130952380963</v>
      </c>
      <c r="AG1108">
        <f>X1077</f>
        <v>16.711731721980389</v>
      </c>
      <c r="AH1108">
        <f>Y1077</f>
        <v>0</v>
      </c>
      <c r="AI1108">
        <f>Z1077</f>
        <v>48.930059523809533</v>
      </c>
      <c r="AJ1108" s="727"/>
    </row>
    <row r="1109" spans="1:36" ht="15.75" customHeight="1" x14ac:dyDescent="0.3">
      <c r="A1109" s="647" t="s">
        <v>1504</v>
      </c>
      <c r="B1109" s="642">
        <f ca="1">+$J$10-M1109</f>
        <v>27</v>
      </c>
      <c r="C1109" s="656">
        <v>3</v>
      </c>
      <c r="D1109" s="656">
        <v>0</v>
      </c>
      <c r="E1109" s="656">
        <v>0</v>
      </c>
      <c r="F1109" s="139">
        <f t="shared" si="470"/>
        <v>147</v>
      </c>
      <c r="G1109" s="139">
        <f t="shared" si="471"/>
        <v>0</v>
      </c>
      <c r="H1109" s="139" t="s">
        <v>2916</v>
      </c>
      <c r="I1109" s="139">
        <f t="shared" si="472"/>
        <v>2205</v>
      </c>
      <c r="J1109" s="139">
        <f t="shared" si="473"/>
        <v>0</v>
      </c>
      <c r="K1109" s="139" t="s">
        <v>2916</v>
      </c>
      <c r="L1109" s="764">
        <f t="shared" si="474"/>
        <v>2205</v>
      </c>
      <c r="M1109" s="642">
        <f ca="1">SUMPRODUCT(--(WEEKDAY(ROW(INDIRECT(DATE($B$1097,MonthFromText(A1109),1)&amp;":"&amp;DATE($B$1097,MonthFromText(A1109),$J$10))),1)=1))</f>
        <v>4</v>
      </c>
      <c r="N1109" s="656">
        <f t="shared" si="475"/>
        <v>3</v>
      </c>
      <c r="O1109">
        <f t="shared" si="476"/>
        <v>147</v>
      </c>
      <c r="P1109" s="764">
        <f t="shared" si="477"/>
        <v>3528</v>
      </c>
      <c r="Q1109" s="139">
        <f t="shared" ca="1" si="479"/>
        <v>73647</v>
      </c>
      <c r="R1109" s="764">
        <f t="shared" ca="1" si="478"/>
        <v>24272</v>
      </c>
      <c r="S1109" s="726">
        <v>9</v>
      </c>
      <c r="T1109" s="726">
        <v>9</v>
      </c>
      <c r="AD1109" s="721" t="s">
        <v>3178</v>
      </c>
      <c r="AE1109" s="723" t="s">
        <v>852</v>
      </c>
      <c r="AJ1109" s="727"/>
    </row>
    <row r="1110" spans="1:36" ht="15.75" customHeight="1" x14ac:dyDescent="0.3">
      <c r="A1110" s="647" t="s">
        <v>1505</v>
      </c>
      <c r="B1110" s="642">
        <f ca="1">+$K$10-M1110</f>
        <v>26</v>
      </c>
      <c r="C1110" s="656">
        <v>3</v>
      </c>
      <c r="D1110" s="656">
        <v>0</v>
      </c>
      <c r="E1110" s="656">
        <v>0</v>
      </c>
      <c r="F1110" s="139">
        <f t="shared" si="470"/>
        <v>147</v>
      </c>
      <c r="G1110" s="139">
        <f t="shared" si="471"/>
        <v>0</v>
      </c>
      <c r="H1110" s="139" t="s">
        <v>2916</v>
      </c>
      <c r="I1110" s="139">
        <f t="shared" si="472"/>
        <v>2205</v>
      </c>
      <c r="J1110" s="139">
        <f t="shared" si="473"/>
        <v>0</v>
      </c>
      <c r="K1110" s="139" t="s">
        <v>2916</v>
      </c>
      <c r="L1110" s="764">
        <f t="shared" si="474"/>
        <v>2205</v>
      </c>
      <c r="M1110" s="642">
        <f ca="1">SUMPRODUCT(--(WEEKDAY(ROW(INDIRECT(DATE($B$1097,MonthFromText(A1110),1)&amp;":"&amp;DATE($B$1097,MonthFromText(A1110),$K$10))),1)=1))</f>
        <v>5</v>
      </c>
      <c r="N1110" s="656">
        <f t="shared" si="475"/>
        <v>3</v>
      </c>
      <c r="O1110">
        <f t="shared" si="476"/>
        <v>147</v>
      </c>
      <c r="P1110" s="764">
        <f t="shared" si="477"/>
        <v>3528</v>
      </c>
      <c r="Q1110" s="139">
        <f t="shared" ca="1" si="479"/>
        <v>74970</v>
      </c>
      <c r="R1110" s="764">
        <f t="shared" ca="1" si="478"/>
        <v>25603</v>
      </c>
      <c r="S1110" s="726">
        <v>9</v>
      </c>
      <c r="T1110" s="726">
        <v>9</v>
      </c>
      <c r="AD1110" s="721" t="s">
        <v>707</v>
      </c>
      <c r="AE1110" s="723" t="s">
        <v>3176</v>
      </c>
      <c r="AF1110">
        <f>V1078</f>
        <v>397.13575268817203</v>
      </c>
      <c r="AG1110">
        <f>X1078</f>
        <v>17.730367557615406</v>
      </c>
      <c r="AH1110">
        <f>Y1078</f>
        <v>0</v>
      </c>
      <c r="AI1110">
        <f>Z1078</f>
        <v>54.694892473118266</v>
      </c>
      <c r="AJ1110" s="727"/>
    </row>
    <row r="1111" spans="1:36" ht="15.75" customHeight="1" x14ac:dyDescent="0.3">
      <c r="A1111" s="647" t="s">
        <v>1506</v>
      </c>
      <c r="B1111" s="642">
        <f ca="1">+$L$10-M1111</f>
        <v>26</v>
      </c>
      <c r="C1111" s="656">
        <v>5</v>
      </c>
      <c r="D1111" s="656">
        <v>0</v>
      </c>
      <c r="E1111" s="656" t="s">
        <v>2916</v>
      </c>
      <c r="F1111" s="139">
        <f t="shared" si="470"/>
        <v>245</v>
      </c>
      <c r="G1111" s="139">
        <f t="shared" si="471"/>
        <v>0</v>
      </c>
      <c r="H1111" s="139" t="s">
        <v>2916</v>
      </c>
      <c r="I1111" s="139">
        <f t="shared" si="472"/>
        <v>4410</v>
      </c>
      <c r="J1111" s="139">
        <f t="shared" si="473"/>
        <v>0</v>
      </c>
      <c r="K1111" s="139" t="s">
        <v>2916</v>
      </c>
      <c r="L1111" s="764">
        <f t="shared" si="474"/>
        <v>4410</v>
      </c>
      <c r="M1111" s="642">
        <f ca="1">SUMPRODUCT(--(WEEKDAY(ROW(INDIRECT(DATE($B$1097,MonthFromText(A1111),1)&amp;":"&amp;DATE($B$1097,MonthFromText(A1111),$L$10))),1)=1))</f>
        <v>4</v>
      </c>
      <c r="N1111" s="656">
        <f t="shared" si="475"/>
        <v>5</v>
      </c>
      <c r="O1111">
        <f t="shared" si="476"/>
        <v>245</v>
      </c>
      <c r="P1111" s="764">
        <f t="shared" si="477"/>
        <v>5880</v>
      </c>
      <c r="Q1111" s="139">
        <f t="shared" ca="1" si="479"/>
        <v>138180</v>
      </c>
      <c r="R1111" s="764">
        <f t="shared" ca="1" si="478"/>
        <v>12312</v>
      </c>
      <c r="S1111" s="726">
        <v>6</v>
      </c>
      <c r="T1111" s="726">
        <v>4</v>
      </c>
      <c r="AD1111" s="721"/>
      <c r="AE1111" s="723" t="s">
        <v>3175</v>
      </c>
      <c r="AF1111">
        <f>W1078</f>
        <v>103.13575268817203</v>
      </c>
      <c r="AG1111">
        <f>X1078</f>
        <v>17.730367557615406</v>
      </c>
      <c r="AH1111">
        <f>Y1078</f>
        <v>0</v>
      </c>
      <c r="AI1111">
        <f>Z1078</f>
        <v>54.694892473118266</v>
      </c>
      <c r="AJ1111" s="727"/>
    </row>
    <row r="1112" spans="1:36" ht="15.75" customHeight="1" x14ac:dyDescent="0.3">
      <c r="A1112" s="647" t="s">
        <v>1507</v>
      </c>
      <c r="B1112" s="642">
        <f ca="1">+$N$10-M1112</f>
        <v>26</v>
      </c>
      <c r="C1112" s="656">
        <v>5</v>
      </c>
      <c r="D1112" s="656">
        <v>0</v>
      </c>
      <c r="E1112" s="656" t="s">
        <v>2916</v>
      </c>
      <c r="F1112" s="139">
        <f t="shared" si="470"/>
        <v>245</v>
      </c>
      <c r="G1112" s="139">
        <f t="shared" si="471"/>
        <v>0</v>
      </c>
      <c r="H1112" s="139" t="s">
        <v>2916</v>
      </c>
      <c r="I1112" s="139">
        <f t="shared" si="472"/>
        <v>4410</v>
      </c>
      <c r="J1112" s="139">
        <f t="shared" si="473"/>
        <v>0</v>
      </c>
      <c r="K1112" s="139" t="s">
        <v>2916</v>
      </c>
      <c r="L1112" s="764">
        <f t="shared" si="474"/>
        <v>4410</v>
      </c>
      <c r="M1112" s="642">
        <f ca="1">SUMPRODUCT(--(WEEKDAY(ROW(INDIRECT(DATE($B$1097,MonthFromText(A1112),1)&amp;":"&amp;DATE($B$1097,MonthFromText(A1112),$N$10))),1)=1))</f>
        <v>5</v>
      </c>
      <c r="N1112" s="656">
        <f t="shared" si="475"/>
        <v>5</v>
      </c>
      <c r="O1112">
        <f t="shared" si="476"/>
        <v>245</v>
      </c>
      <c r="P1112" s="764">
        <f t="shared" si="477"/>
        <v>5880</v>
      </c>
      <c r="Q1112" s="139">
        <f t="shared" ca="1" si="479"/>
        <v>144060</v>
      </c>
      <c r="R1112" s="764">
        <f t="shared" ca="1" si="478"/>
        <v>-9592</v>
      </c>
      <c r="S1112" s="726">
        <v>6</v>
      </c>
      <c r="T1112" s="726">
        <v>4</v>
      </c>
      <c r="AD1112" s="721" t="s">
        <v>3178</v>
      </c>
      <c r="AE1112" s="723" t="s">
        <v>852</v>
      </c>
      <c r="AJ1112" s="727"/>
    </row>
    <row r="1113" spans="1:36" ht="15.75" customHeight="1" x14ac:dyDescent="0.3">
      <c r="A1113" s="647" t="s">
        <v>1508</v>
      </c>
      <c r="B1113" s="642">
        <f ca="1">+$O$10-M1113</f>
        <v>26</v>
      </c>
      <c r="C1113" s="656">
        <v>5</v>
      </c>
      <c r="D1113" s="656">
        <v>0</v>
      </c>
      <c r="E1113" s="656" t="s">
        <v>2916</v>
      </c>
      <c r="F1113" s="139">
        <f t="shared" si="470"/>
        <v>245</v>
      </c>
      <c r="G1113" s="139">
        <f t="shared" si="471"/>
        <v>0</v>
      </c>
      <c r="H1113" s="139" t="s">
        <v>2916</v>
      </c>
      <c r="I1113" s="139">
        <f t="shared" si="472"/>
        <v>4410</v>
      </c>
      <c r="J1113" s="139">
        <f t="shared" si="473"/>
        <v>0</v>
      </c>
      <c r="K1113" s="139" t="s">
        <v>2916</v>
      </c>
      <c r="L1113" s="764">
        <f t="shared" si="474"/>
        <v>4410</v>
      </c>
      <c r="M1113" s="642">
        <f ca="1">SUMPRODUCT(--(WEEKDAY(ROW(INDIRECT(DATE($B$1097,MonthFromText(A1113),1)&amp;":"&amp;DATE($B$1097,MonthFromText(A1113),$O$10))),1)=1))</f>
        <v>4</v>
      </c>
      <c r="N1113" s="656">
        <v>3</v>
      </c>
      <c r="O1113">
        <f t="shared" si="476"/>
        <v>147</v>
      </c>
      <c r="P1113" s="764">
        <f t="shared" si="477"/>
        <v>3528</v>
      </c>
      <c r="Q1113" s="139">
        <f t="shared" ca="1" si="479"/>
        <v>128772</v>
      </c>
      <c r="R1113" s="764">
        <f t="shared" ca="1" si="478"/>
        <v>-6946</v>
      </c>
      <c r="S1113" s="726">
        <v>6</v>
      </c>
      <c r="T1113" s="726">
        <v>4</v>
      </c>
      <c r="AD1113" s="721" t="s">
        <v>1321</v>
      </c>
      <c r="AE1113" s="723" t="s">
        <v>3176</v>
      </c>
      <c r="AF1113">
        <f>V1079</f>
        <v>397.10138888888889</v>
      </c>
      <c r="AG1113">
        <f>X1079</f>
        <v>1.8162954041136503</v>
      </c>
      <c r="AH1113">
        <f>Y1079</f>
        <v>0</v>
      </c>
      <c r="AI1113">
        <f>Z1079</f>
        <v>64.334722222222226</v>
      </c>
      <c r="AJ1113" s="727"/>
    </row>
    <row r="1114" spans="1:36" ht="15.75" customHeight="1" thickBot="1" x14ac:dyDescent="0.35">
      <c r="A1114" s="647" t="s">
        <v>1509</v>
      </c>
      <c r="B1114" s="644">
        <f ca="1">+$P$10-M1114</f>
        <v>27</v>
      </c>
      <c r="C1114" s="657">
        <v>5</v>
      </c>
      <c r="D1114" s="657">
        <v>0</v>
      </c>
      <c r="E1114" s="656" t="s">
        <v>2916</v>
      </c>
      <c r="F1114" s="139">
        <f t="shared" si="470"/>
        <v>245</v>
      </c>
      <c r="G1114" s="139">
        <f t="shared" si="471"/>
        <v>0</v>
      </c>
      <c r="H1114" s="139" t="s">
        <v>2916</v>
      </c>
      <c r="I1114" s="139">
        <f t="shared" si="472"/>
        <v>4410</v>
      </c>
      <c r="J1114" s="139">
        <f t="shared" si="473"/>
        <v>0</v>
      </c>
      <c r="K1114" s="139" t="s">
        <v>2916</v>
      </c>
      <c r="L1114" s="764">
        <f t="shared" si="474"/>
        <v>4410</v>
      </c>
      <c r="M1114" s="644">
        <f ca="1">SUMPRODUCT(--(WEEKDAY(ROW(INDIRECT(DATE($B$1097,MonthFromText(A1114),1)&amp;":"&amp;DATE($B$1097,MonthFromText(A1114),$P$10))),1)=1))</f>
        <v>4</v>
      </c>
      <c r="N1114" s="656">
        <v>3</v>
      </c>
      <c r="O1114" s="581">
        <f t="shared" si="476"/>
        <v>147</v>
      </c>
      <c r="P1114" s="646">
        <f t="shared" si="477"/>
        <v>3528</v>
      </c>
      <c r="Q1114" s="666">
        <f t="shared" ca="1" si="479"/>
        <v>133182</v>
      </c>
      <c r="R1114" s="673">
        <f t="shared" ca="1" si="478"/>
        <v>38247</v>
      </c>
      <c r="S1114" s="726">
        <v>6</v>
      </c>
      <c r="T1114" s="726">
        <v>4</v>
      </c>
      <c r="AD1114" s="721"/>
      <c r="AE1114" s="723" t="s">
        <v>3175</v>
      </c>
      <c r="AF1114">
        <f>W1079</f>
        <v>103.10138888888889</v>
      </c>
      <c r="AG1114">
        <f>X1079</f>
        <v>1.8162954041136503</v>
      </c>
      <c r="AH1114">
        <f>Y1079</f>
        <v>0</v>
      </c>
      <c r="AI1114">
        <f>Z1079</f>
        <v>64.334722222222226</v>
      </c>
      <c r="AJ1114" s="727"/>
    </row>
    <row r="1115" spans="1:36" ht="15.75" customHeight="1" thickBot="1" x14ac:dyDescent="0.35">
      <c r="A1115" s="580"/>
      <c r="B1115" s="581"/>
      <c r="C1115" s="581"/>
      <c r="D1115" s="581"/>
      <c r="E1115" s="705"/>
      <c r="F1115" s="705"/>
      <c r="G1115" s="705"/>
      <c r="H1115" s="705"/>
      <c r="I1115" s="705"/>
      <c r="J1115" s="705"/>
      <c r="K1115" s="705"/>
      <c r="L1115" s="705"/>
      <c r="M1115" s="581"/>
      <c r="N1115" s="581"/>
      <c r="O1115" s="581"/>
      <c r="P1115" s="581"/>
      <c r="Q1115" s="645">
        <f ca="1">+SUM(Q1103:Q1114)</f>
        <v>1447999</v>
      </c>
      <c r="R1115" s="646">
        <f ca="1">+Q1115-B1009</f>
        <v>90126</v>
      </c>
      <c r="AD1115" s="721" t="s">
        <v>3178</v>
      </c>
      <c r="AE1115" s="723" t="s">
        <v>852</v>
      </c>
      <c r="AJ1115" s="727"/>
    </row>
    <row r="1116" spans="1:36" ht="15.75" customHeight="1" x14ac:dyDescent="0.3">
      <c r="A1116" s="641" t="s">
        <v>2891</v>
      </c>
      <c r="J1116" s="139"/>
      <c r="AD1116" s="721" t="s">
        <v>1905</v>
      </c>
      <c r="AE1116" s="723" t="s">
        <v>3176</v>
      </c>
      <c r="AF1116">
        <f>V1080</f>
        <v>397.82123655913978</v>
      </c>
      <c r="AG1116">
        <f>X1080</f>
        <v>1.457458622906862</v>
      </c>
      <c r="AH1116">
        <f>Y1080</f>
        <v>0</v>
      </c>
      <c r="AI1116">
        <f>Z1080</f>
        <v>62.29032258064516</v>
      </c>
      <c r="AJ1116" s="727"/>
    </row>
    <row r="1117" spans="1:36" ht="15.75" customHeight="1" x14ac:dyDescent="0.3">
      <c r="A1117" s="641" t="s">
        <v>2894</v>
      </c>
      <c r="AD1117" s="721"/>
      <c r="AE1117" s="723" t="s">
        <v>3175</v>
      </c>
      <c r="AF1117">
        <f>W1080</f>
        <v>103.82123655913978</v>
      </c>
      <c r="AG1117">
        <f>X1080</f>
        <v>1.457458622906862</v>
      </c>
      <c r="AH1117">
        <f>Y1080</f>
        <v>0</v>
      </c>
      <c r="AI1117">
        <f>Z1080</f>
        <v>62.29032258064516</v>
      </c>
      <c r="AJ1117" s="727"/>
    </row>
    <row r="1118" spans="1:36" ht="15.75" customHeight="1" x14ac:dyDescent="0.3">
      <c r="A1118" s="641" t="s">
        <v>2901</v>
      </c>
      <c r="AD1118" s="721" t="s">
        <v>3178</v>
      </c>
      <c r="AE1118" s="723" t="s">
        <v>852</v>
      </c>
      <c r="AJ1118" s="727"/>
    </row>
    <row r="1119" spans="1:36" ht="15.75" customHeight="1" x14ac:dyDescent="0.3">
      <c r="AD1119" s="721" t="s">
        <v>1906</v>
      </c>
      <c r="AE1119" s="723" t="s">
        <v>3176</v>
      </c>
      <c r="AF1119">
        <f>V1081</f>
        <v>207.05555555555554</v>
      </c>
      <c r="AG1119">
        <f>X1081</f>
        <v>0</v>
      </c>
      <c r="AH1119">
        <f>Y1081</f>
        <v>-20.490428690255374</v>
      </c>
      <c r="AI1119">
        <f>Z1081</f>
        <v>71.140277777777769</v>
      </c>
      <c r="AJ1119" s="727"/>
    </row>
    <row r="1120" spans="1:36" ht="15.75" customHeight="1" x14ac:dyDescent="0.3">
      <c r="A1120" t="s">
        <v>3191</v>
      </c>
      <c r="AD1120" s="721"/>
      <c r="AE1120" s="723" t="s">
        <v>3175</v>
      </c>
      <c r="AF1120">
        <f>W1081</f>
        <v>60.055555555555557</v>
      </c>
      <c r="AG1120">
        <f>X1081</f>
        <v>0</v>
      </c>
      <c r="AH1120">
        <f>Y1081</f>
        <v>-20.490428690255374</v>
      </c>
      <c r="AI1120">
        <f>Z1081</f>
        <v>71.140277777777769</v>
      </c>
      <c r="AJ1120" s="727"/>
    </row>
    <row r="1121" spans="9:36" ht="15.75" customHeight="1" x14ac:dyDescent="0.3">
      <c r="AD1121" s="721" t="s">
        <v>3178</v>
      </c>
      <c r="AE1121" s="723" t="s">
        <v>852</v>
      </c>
      <c r="AJ1121" s="727"/>
    </row>
    <row r="1122" spans="9:36" ht="15.75" customHeight="1" x14ac:dyDescent="0.3">
      <c r="AD1122" s="721" t="s">
        <v>1907</v>
      </c>
      <c r="AE1122" s="723" t="s">
        <v>3176</v>
      </c>
      <c r="AF1122">
        <f>V1082</f>
        <v>177.05510752688173</v>
      </c>
      <c r="AG1122">
        <f>X1082</f>
        <v>0</v>
      </c>
      <c r="AH1122">
        <f>Y1082</f>
        <v>-16.895924068532448</v>
      </c>
      <c r="AI1122">
        <f>Z1082</f>
        <v>62.775537634408607</v>
      </c>
      <c r="AJ1122" s="727"/>
    </row>
    <row r="1123" spans="9:36" ht="16.5" customHeight="1" x14ac:dyDescent="0.3">
      <c r="AD1123" s="721"/>
      <c r="AE1123" s="723" t="s">
        <v>3175</v>
      </c>
      <c r="AF1123">
        <f>W1082</f>
        <v>30.05510752688172</v>
      </c>
      <c r="AG1123">
        <f>X1082</f>
        <v>0</v>
      </c>
      <c r="AH1123">
        <f>Y1082</f>
        <v>-16.895924068532448</v>
      </c>
      <c r="AI1123">
        <f>Z1082</f>
        <v>62.775537634408607</v>
      </c>
      <c r="AJ1123" s="727"/>
    </row>
    <row r="1124" spans="9:36" ht="15.75" customHeight="1" x14ac:dyDescent="0.3">
      <c r="AD1124" s="721" t="s">
        <v>3178</v>
      </c>
      <c r="AE1124" s="723" t="s">
        <v>852</v>
      </c>
      <c r="AJ1124" s="727"/>
    </row>
    <row r="1125" spans="9:36" ht="16.5" customHeight="1" x14ac:dyDescent="0.3">
      <c r="AD1125" s="721" t="s">
        <v>1908</v>
      </c>
      <c r="AE1125" s="723" t="s">
        <v>3176</v>
      </c>
      <c r="AF1125">
        <f>V1083</f>
        <v>177.49462365591398</v>
      </c>
      <c r="AG1125">
        <f>X1083</f>
        <v>0</v>
      </c>
      <c r="AH1125">
        <f>Y1083</f>
        <v>-11.434291251864272</v>
      </c>
      <c r="AI1125">
        <f>Z1083</f>
        <v>66.172043010752688</v>
      </c>
      <c r="AJ1125" s="727"/>
    </row>
    <row r="1126" spans="9:36" ht="15.75" customHeight="1" x14ac:dyDescent="0.3">
      <c r="AD1126" s="721"/>
      <c r="AE1126" s="723" t="s">
        <v>3175</v>
      </c>
      <c r="AF1126">
        <f>W1083</f>
        <v>30.494623655913976</v>
      </c>
      <c r="AG1126">
        <f>X1083</f>
        <v>0</v>
      </c>
      <c r="AH1126">
        <f>Y1083</f>
        <v>-11.434291251864272</v>
      </c>
      <c r="AI1126">
        <f>Z1083</f>
        <v>66.172043010752688</v>
      </c>
      <c r="AJ1126" s="727"/>
    </row>
    <row r="1127" spans="9:36" ht="15.75" customHeight="1" x14ac:dyDescent="0.3">
      <c r="AD1127" s="721" t="s">
        <v>3178</v>
      </c>
      <c r="AE1127" s="723" t="s">
        <v>852</v>
      </c>
      <c r="AJ1127" s="727"/>
    </row>
    <row r="1128" spans="9:36" ht="15.75" customHeight="1" x14ac:dyDescent="0.3">
      <c r="AD1128" s="721" t="s">
        <v>3177</v>
      </c>
      <c r="AE1128" s="723" t="s">
        <v>3176</v>
      </c>
      <c r="AF1128">
        <f>V1084</f>
        <v>329.05555555555554</v>
      </c>
      <c r="AG1128">
        <f>X1084</f>
        <v>3.7402394118380697</v>
      </c>
      <c r="AH1128">
        <f>Y1084</f>
        <v>0</v>
      </c>
      <c r="AI1128">
        <f>Z1084</f>
        <v>53.411111111111111</v>
      </c>
      <c r="AJ1128" s="727"/>
    </row>
    <row r="1129" spans="9:36" ht="15.75" customHeight="1" x14ac:dyDescent="0.3">
      <c r="AD1129" s="721"/>
      <c r="AE1129" s="723" t="s">
        <v>3175</v>
      </c>
      <c r="AF1129">
        <f>W1084</f>
        <v>84.055555555555557</v>
      </c>
      <c r="AG1129">
        <f>X1084</f>
        <v>3.7402394118380697</v>
      </c>
      <c r="AH1129">
        <f>Y1084</f>
        <v>0</v>
      </c>
      <c r="AI1129">
        <f>Z1084</f>
        <v>53.411111111111111</v>
      </c>
      <c r="AJ1129" s="727"/>
    </row>
    <row r="1130" spans="9:36" ht="15.75" customHeight="1" x14ac:dyDescent="0.3">
      <c r="I1130" s="139"/>
      <c r="J1130" s="139"/>
      <c r="AD1130" s="721" t="s">
        <v>3178</v>
      </c>
      <c r="AE1130" s="723" t="s">
        <v>852</v>
      </c>
      <c r="AJ1130" s="727"/>
    </row>
    <row r="1131" spans="9:36" ht="15.75" customHeight="1" x14ac:dyDescent="0.3">
      <c r="AD1131" s="721" t="s">
        <v>2353</v>
      </c>
      <c r="AE1131" s="723" t="s">
        <v>3176</v>
      </c>
      <c r="AF1131">
        <f>V1085</f>
        <v>345.09946236559142</v>
      </c>
      <c r="AG1131">
        <f>X1085</f>
        <v>15.078832282070175</v>
      </c>
      <c r="AH1131">
        <f>Y1085</f>
        <v>0</v>
      </c>
      <c r="AI1131">
        <f>Z1085</f>
        <v>33.196236559139777</v>
      </c>
      <c r="AJ1131" s="727"/>
    </row>
    <row r="1132" spans="9:36" ht="15.75" customHeight="1" x14ac:dyDescent="0.3">
      <c r="AD1132" s="721"/>
      <c r="AE1132" s="723" t="s">
        <v>3175</v>
      </c>
      <c r="AF1132">
        <f>W1085</f>
        <v>100.09946236559139</v>
      </c>
      <c r="AG1132">
        <f>X1085</f>
        <v>15.078832282070175</v>
      </c>
      <c r="AH1132">
        <f>Y1085</f>
        <v>0</v>
      </c>
      <c r="AI1132">
        <f>Z1085</f>
        <v>33.196236559139777</v>
      </c>
      <c r="AJ1132" s="727"/>
    </row>
    <row r="1133" spans="9:36" ht="15.75" customHeight="1" x14ac:dyDescent="0.3">
      <c r="AD1133" s="721" t="s">
        <v>3178</v>
      </c>
      <c r="AE1133" s="723" t="s">
        <v>852</v>
      </c>
      <c r="AJ1133" s="727"/>
    </row>
    <row r="1134" spans="9:36" ht="15.75" customHeight="1" x14ac:dyDescent="0.3">
      <c r="AD1134" s="721" t="s">
        <v>2354</v>
      </c>
      <c r="AE1134" s="723" t="s">
        <v>3176</v>
      </c>
      <c r="AF1134">
        <f>V1086</f>
        <v>336.7208333333333</v>
      </c>
      <c r="AG1134">
        <f>X1086</f>
        <v>18.962753421764422</v>
      </c>
      <c r="AH1134">
        <f>Y1086</f>
        <v>0</v>
      </c>
      <c r="AI1134">
        <f>Z1086</f>
        <v>15.738888888888891</v>
      </c>
      <c r="AJ1134" s="727"/>
    </row>
    <row r="1135" spans="9:36" ht="15.75" customHeight="1" x14ac:dyDescent="0.3">
      <c r="AD1135" s="721"/>
      <c r="AE1135" s="723" t="s">
        <v>3175</v>
      </c>
      <c r="AF1135">
        <f>W1086</f>
        <v>91.720833333333331</v>
      </c>
      <c r="AG1135">
        <f>X1086</f>
        <v>18.962753421764422</v>
      </c>
      <c r="AH1135">
        <f>Y1086</f>
        <v>0</v>
      </c>
      <c r="AI1135">
        <f>Z1086</f>
        <v>15.738888888888891</v>
      </c>
      <c r="AJ1135" s="727"/>
    </row>
    <row r="1136" spans="9:36" ht="15.75" customHeight="1" x14ac:dyDescent="0.3">
      <c r="AD1136" s="721" t="s">
        <v>3178</v>
      </c>
      <c r="AE1136" s="723" t="s">
        <v>852</v>
      </c>
      <c r="AJ1136" s="727"/>
    </row>
    <row r="1137" spans="1:36" ht="15.75" customHeight="1" thickBot="1" x14ac:dyDescent="0.35">
      <c r="AD1137" s="721" t="s">
        <v>2355</v>
      </c>
      <c r="AE1137" s="723" t="s">
        <v>3176</v>
      </c>
      <c r="AF1137">
        <f>V1087</f>
        <v>307.00672043010752</v>
      </c>
      <c r="AG1137">
        <f>X1087</f>
        <v>12.967389336067507</v>
      </c>
      <c r="AH1137">
        <f>Y1087</f>
        <v>0</v>
      </c>
      <c r="AI1137">
        <f>Z1087</f>
        <v>10.165322580645162</v>
      </c>
      <c r="AJ1137" s="727"/>
    </row>
    <row r="1138" spans="1:36" ht="15.75" customHeight="1" x14ac:dyDescent="0.35">
      <c r="A1138" s="749"/>
      <c r="B1138" s="701"/>
      <c r="C1138" s="768"/>
      <c r="D1138" s="768"/>
      <c r="E1138" s="768"/>
      <c r="F1138" s="768"/>
      <c r="G1138" s="768"/>
      <c r="H1138" s="750" t="s">
        <v>1623</v>
      </c>
      <c r="I1138" s="701"/>
      <c r="J1138" s="701"/>
      <c r="K1138" s="701"/>
      <c r="L1138" s="701"/>
      <c r="M1138" s="701"/>
      <c r="N1138" s="701"/>
      <c r="O1138" s="701"/>
      <c r="P1138" s="701"/>
      <c r="Q1138" s="752" t="str">
        <f>+Q1</f>
        <v xml:space="preserve">PRINTED:  </v>
      </c>
      <c r="R1138" s="756">
        <f ca="1">+R1</f>
        <v>44881.729633912037</v>
      </c>
      <c r="S1138" s="702"/>
      <c r="AD1138" s="721"/>
      <c r="AE1138" s="723" t="s">
        <v>3175</v>
      </c>
      <c r="AF1138">
        <f>W1087</f>
        <v>62.006720430107528</v>
      </c>
      <c r="AG1138">
        <f>X1087</f>
        <v>12.967389336067507</v>
      </c>
      <c r="AH1138">
        <f>Y1087</f>
        <v>0</v>
      </c>
      <c r="AI1138">
        <f>Z1087</f>
        <v>10.165322580645162</v>
      </c>
      <c r="AJ1138" s="727"/>
    </row>
    <row r="1139" spans="1:36" ht="15.75" customHeight="1" thickBot="1" x14ac:dyDescent="0.4">
      <c r="A1139" s="551"/>
      <c r="B1139" s="67"/>
      <c r="C1139" s="215"/>
      <c r="D1139" s="215"/>
      <c r="E1139" s="215"/>
      <c r="F1139" s="215"/>
      <c r="G1139" s="215"/>
      <c r="H1139" s="67" t="s">
        <v>2435</v>
      </c>
      <c r="I1139" s="67" t="s">
        <v>852</v>
      </c>
      <c r="J1139" s="69" t="str">
        <f>+A8</f>
        <v>Revised:  2/5/2020</v>
      </c>
      <c r="K1139" s="67"/>
      <c r="L1139" s="67"/>
      <c r="M1139" s="67"/>
      <c r="N1139" s="67"/>
      <c r="O1139" s="67"/>
      <c r="P1139" s="67"/>
      <c r="Q1139" s="67"/>
      <c r="R1139" s="67"/>
      <c r="S1139" s="727"/>
      <c r="AD1139" s="722" t="s">
        <v>3178</v>
      </c>
      <c r="AE1139" s="724" t="s">
        <v>852</v>
      </c>
      <c r="AF1139" s="581"/>
      <c r="AG1139" s="581"/>
      <c r="AH1139" s="581"/>
      <c r="AI1139" s="581"/>
      <c r="AJ1139" s="565"/>
    </row>
    <row r="1140" spans="1:36" ht="15.75" customHeight="1" x14ac:dyDescent="0.35">
      <c r="A1140" s="551"/>
      <c r="B1140" s="67"/>
      <c r="C1140" s="215"/>
      <c r="D1140" s="215"/>
      <c r="E1140" s="215"/>
      <c r="F1140" s="215"/>
      <c r="G1140" s="215"/>
      <c r="H1140" s="67" t="s">
        <v>2126</v>
      </c>
      <c r="I1140" s="67"/>
      <c r="J1140" s="67"/>
      <c r="K1140" s="67"/>
      <c r="L1140" s="67"/>
      <c r="M1140" s="67"/>
      <c r="N1140" s="67"/>
      <c r="O1140" s="67"/>
      <c r="P1140" s="67"/>
      <c r="Q1140" s="67"/>
      <c r="R1140" s="67"/>
      <c r="S1140" s="727"/>
    </row>
    <row r="1141" spans="1:36" ht="15.75" customHeight="1" x14ac:dyDescent="0.35">
      <c r="A1141" s="551"/>
      <c r="B1141" s="67"/>
      <c r="C1141" s="215"/>
      <c r="D1141" s="215"/>
      <c r="E1141" s="215"/>
      <c r="F1141" s="215"/>
      <c r="G1141" s="215"/>
      <c r="H1141" s="67"/>
      <c r="I1141" s="67"/>
      <c r="J1141" s="67"/>
      <c r="K1141" s="67"/>
      <c r="L1141" s="67"/>
      <c r="M1141" s="67"/>
      <c r="N1141" s="67"/>
      <c r="O1141" s="67"/>
      <c r="P1141" s="67"/>
      <c r="Q1141" s="67"/>
      <c r="R1141" s="67"/>
      <c r="S1141" s="727"/>
    </row>
    <row r="1142" spans="1:36" ht="15.75" customHeight="1" x14ac:dyDescent="0.35">
      <c r="A1142" s="551"/>
      <c r="B1142" s="67"/>
      <c r="C1142" s="215"/>
      <c r="D1142" s="215"/>
      <c r="E1142" s="215"/>
      <c r="F1142" s="215"/>
      <c r="G1142" s="215"/>
      <c r="H1142" s="67" t="s">
        <v>2435</v>
      </c>
      <c r="I1142" s="676">
        <f>+A5</f>
        <v>2021</v>
      </c>
      <c r="J1142" s="67"/>
      <c r="K1142" s="67"/>
      <c r="L1142" s="67"/>
      <c r="M1142" s="67"/>
      <c r="N1142" s="67"/>
      <c r="O1142" s="67"/>
      <c r="P1142" s="67"/>
      <c r="Q1142" s="67"/>
      <c r="R1142" s="67"/>
      <c r="S1142" s="727"/>
    </row>
    <row r="1143" spans="1:36" ht="15.75" customHeight="1" x14ac:dyDescent="0.3">
      <c r="A1143" s="551"/>
      <c r="B1143" s="67"/>
      <c r="C1143" s="67"/>
      <c r="D1143" s="67"/>
      <c r="E1143" s="67"/>
      <c r="F1143" s="67"/>
      <c r="G1143" s="67"/>
      <c r="H1143" s="67"/>
      <c r="I1143" s="67"/>
      <c r="J1143" s="67"/>
      <c r="K1143" s="67"/>
      <c r="L1143" s="67"/>
      <c r="M1143" s="67"/>
      <c r="N1143" s="67"/>
      <c r="O1143" s="67"/>
      <c r="P1143" s="67"/>
      <c r="Q1143" s="67"/>
      <c r="R1143" s="67"/>
      <c r="S1143" s="727"/>
    </row>
    <row r="1144" spans="1:36" ht="15.75" customHeight="1" x14ac:dyDescent="0.3">
      <c r="A1144" s="551"/>
      <c r="B1144" s="67"/>
      <c r="C1144" s="71" t="s">
        <v>1442</v>
      </c>
      <c r="D1144" s="67"/>
      <c r="E1144" s="67"/>
      <c r="F1144" s="67"/>
      <c r="G1144" s="71" t="s">
        <v>1409</v>
      </c>
      <c r="H1144" s="67"/>
      <c r="I1144" s="67"/>
      <c r="J1144" s="67"/>
      <c r="K1144" s="68" t="s">
        <v>234</v>
      </c>
      <c r="L1144" s="67"/>
      <c r="M1144" s="67"/>
      <c r="N1144" s="67"/>
      <c r="O1144" s="68" t="s">
        <v>1701</v>
      </c>
      <c r="P1144" s="67"/>
      <c r="Q1144" s="67"/>
      <c r="R1144" s="67"/>
      <c r="S1144" s="727"/>
    </row>
    <row r="1145" spans="1:36" ht="15.75" customHeight="1" x14ac:dyDescent="0.3">
      <c r="A1145" s="551"/>
      <c r="B1145" s="67"/>
      <c r="C1145" s="67">
        <f>+A5</f>
        <v>2021</v>
      </c>
      <c r="D1145" s="67"/>
      <c r="E1145" s="67"/>
      <c r="F1145" s="67" t="s">
        <v>2415</v>
      </c>
      <c r="G1145" s="67"/>
      <c r="H1145" s="67"/>
      <c r="I1145" s="67"/>
      <c r="J1145" s="67"/>
      <c r="K1145" s="67">
        <f>+A5</f>
        <v>2021</v>
      </c>
      <c r="L1145" s="67"/>
      <c r="M1145" s="67"/>
      <c r="N1145" s="67"/>
      <c r="O1145" s="67">
        <f>+A5</f>
        <v>2021</v>
      </c>
      <c r="P1145" s="67"/>
      <c r="Q1145" s="67"/>
      <c r="R1145" s="67"/>
      <c r="S1145" s="727"/>
    </row>
    <row r="1146" spans="1:36" ht="15.75" customHeight="1" x14ac:dyDescent="0.3">
      <c r="A1146" s="551"/>
      <c r="B1146" s="67"/>
      <c r="C1146" s="67"/>
      <c r="D1146" s="67"/>
      <c r="E1146" s="67"/>
      <c r="F1146" s="67"/>
      <c r="G1146" s="67">
        <f>+A5</f>
        <v>2021</v>
      </c>
      <c r="H1146" s="67"/>
      <c r="I1146" s="67"/>
      <c r="J1146" s="67"/>
      <c r="K1146" s="67"/>
      <c r="L1146" s="67"/>
      <c r="M1146" s="67"/>
      <c r="N1146" s="67"/>
      <c r="O1146" s="67"/>
      <c r="P1146" s="67"/>
      <c r="Q1146" s="67"/>
      <c r="R1146" s="67"/>
      <c r="S1146" s="727"/>
    </row>
    <row r="1147" spans="1:36" ht="15.75" customHeight="1" x14ac:dyDescent="0.3">
      <c r="A1147" s="551"/>
      <c r="B1147" s="67"/>
      <c r="C1147" s="70" t="s">
        <v>1413</v>
      </c>
      <c r="D1147" s="70" t="s">
        <v>31</v>
      </c>
      <c r="E1147" s="70" t="s">
        <v>32</v>
      </c>
      <c r="F1147" s="67"/>
      <c r="G1147" s="70" t="s">
        <v>1412</v>
      </c>
      <c r="H1147" s="70" t="s">
        <v>31</v>
      </c>
      <c r="I1147" s="70" t="s">
        <v>1077</v>
      </c>
      <c r="J1147" s="67"/>
      <c r="K1147" s="70" t="s">
        <v>229</v>
      </c>
      <c r="L1147" s="70" t="s">
        <v>31</v>
      </c>
      <c r="M1147" s="70" t="s">
        <v>1078</v>
      </c>
      <c r="N1147" s="67"/>
      <c r="O1147" s="70" t="s">
        <v>229</v>
      </c>
      <c r="P1147" s="70" t="s">
        <v>31</v>
      </c>
      <c r="Q1147" s="70" t="s">
        <v>1078</v>
      </c>
      <c r="R1147" s="67"/>
      <c r="S1147" s="727"/>
    </row>
    <row r="1148" spans="1:36" ht="15.75" customHeight="1" x14ac:dyDescent="0.3">
      <c r="A1148" s="551"/>
      <c r="B1148" s="67"/>
      <c r="C1148" s="70" t="s">
        <v>429</v>
      </c>
      <c r="D1148" s="70" t="s">
        <v>335</v>
      </c>
      <c r="E1148" s="70" t="s">
        <v>2000</v>
      </c>
      <c r="F1148" s="67"/>
      <c r="G1148" s="70" t="s">
        <v>1318</v>
      </c>
      <c r="H1148" s="70" t="s">
        <v>335</v>
      </c>
      <c r="I1148" s="70" t="s">
        <v>2000</v>
      </c>
      <c r="J1148" s="67"/>
      <c r="K1148" s="70" t="s">
        <v>1180</v>
      </c>
      <c r="L1148" s="70" t="s">
        <v>335</v>
      </c>
      <c r="M1148" s="70" t="s">
        <v>2000</v>
      </c>
      <c r="N1148" s="67"/>
      <c r="O1148" s="70" t="s">
        <v>1180</v>
      </c>
      <c r="P1148" s="70" t="s">
        <v>335</v>
      </c>
      <c r="Q1148" s="70" t="s">
        <v>2000</v>
      </c>
      <c r="R1148" s="67"/>
      <c r="S1148" s="727"/>
    </row>
    <row r="1149" spans="1:36" ht="15.75" customHeight="1" x14ac:dyDescent="0.3">
      <c r="A1149" s="551"/>
      <c r="B1149" s="67"/>
      <c r="C1149" s="70" t="s">
        <v>335</v>
      </c>
      <c r="D1149" s="70" t="s">
        <v>956</v>
      </c>
      <c r="E1149" s="70" t="s">
        <v>242</v>
      </c>
      <c r="F1149" s="67"/>
      <c r="G1149" s="70" t="s">
        <v>134</v>
      </c>
      <c r="H1149" s="70" t="s">
        <v>956</v>
      </c>
      <c r="I1149" s="70" t="s">
        <v>242</v>
      </c>
      <c r="J1149" s="67"/>
      <c r="K1149" s="70" t="s">
        <v>335</v>
      </c>
      <c r="L1149" s="70" t="s">
        <v>956</v>
      </c>
      <c r="M1149" s="70" t="s">
        <v>242</v>
      </c>
      <c r="N1149" s="67"/>
      <c r="O1149" s="70" t="s">
        <v>335</v>
      </c>
      <c r="P1149" s="70" t="s">
        <v>956</v>
      </c>
      <c r="Q1149" s="70" t="s">
        <v>242</v>
      </c>
      <c r="R1149" s="67"/>
      <c r="S1149" s="727"/>
    </row>
    <row r="1150" spans="1:36" ht="15.75" customHeight="1" x14ac:dyDescent="0.3">
      <c r="A1150" s="551"/>
      <c r="B1150" s="67"/>
      <c r="C1150" s="70" t="s">
        <v>932</v>
      </c>
      <c r="D1150" s="70" t="s">
        <v>1917</v>
      </c>
      <c r="E1150" s="70" t="s">
        <v>1481</v>
      </c>
      <c r="F1150" s="67"/>
      <c r="G1150" s="70" t="s">
        <v>932</v>
      </c>
      <c r="H1150" s="70" t="s">
        <v>1917</v>
      </c>
      <c r="I1150" s="70" t="s">
        <v>1481</v>
      </c>
      <c r="J1150" s="67"/>
      <c r="K1150" s="70" t="s">
        <v>932</v>
      </c>
      <c r="L1150" s="70" t="s">
        <v>1917</v>
      </c>
      <c r="M1150" s="70" t="s">
        <v>1481</v>
      </c>
      <c r="N1150" s="67"/>
      <c r="O1150" s="70" t="s">
        <v>932</v>
      </c>
      <c r="P1150" s="70" t="s">
        <v>1917</v>
      </c>
      <c r="Q1150" s="70" t="s">
        <v>1481</v>
      </c>
      <c r="R1150" s="67"/>
      <c r="S1150" s="727"/>
    </row>
    <row r="1151" spans="1:36" ht="15.75" customHeight="1" x14ac:dyDescent="0.3">
      <c r="A1151" s="551"/>
      <c r="B1151" s="67"/>
      <c r="C1151" s="67" t="s">
        <v>1353</v>
      </c>
      <c r="D1151" s="67" t="s">
        <v>1353</v>
      </c>
      <c r="E1151" s="67" t="s">
        <v>1353</v>
      </c>
      <c r="F1151" s="67"/>
      <c r="G1151" s="70" t="s">
        <v>1353</v>
      </c>
      <c r="H1151" s="70" t="s">
        <v>1353</v>
      </c>
      <c r="I1151" s="70" t="s">
        <v>1353</v>
      </c>
      <c r="J1151" s="67"/>
      <c r="K1151" s="67" t="s">
        <v>1353</v>
      </c>
      <c r="L1151" s="67" t="s">
        <v>1353</v>
      </c>
      <c r="M1151" s="67" t="s">
        <v>1353</v>
      </c>
      <c r="N1151" s="67"/>
      <c r="O1151" s="67" t="s">
        <v>1353</v>
      </c>
      <c r="P1151" s="67" t="s">
        <v>1353</v>
      </c>
      <c r="Q1151" s="67" t="s">
        <v>1353</v>
      </c>
      <c r="R1151" s="67"/>
      <c r="S1151" s="727"/>
    </row>
    <row r="1152" spans="1:36" ht="15.75" customHeight="1" x14ac:dyDescent="0.3">
      <c r="A1152" s="553" t="s">
        <v>1354</v>
      </c>
      <c r="B1152" s="67"/>
      <c r="C1152" s="67">
        <f t="shared" ref="C1152:C1163" si="480">(P1024)</f>
        <v>0.2</v>
      </c>
      <c r="D1152" s="72">
        <v>0</v>
      </c>
      <c r="E1152" s="73">
        <f t="shared" ref="E1152:E1163" si="481">(P1024*D1152/1000)</f>
        <v>0</v>
      </c>
      <c r="F1152" s="67"/>
      <c r="G1152" s="67">
        <v>0</v>
      </c>
      <c r="H1152" s="72">
        <v>0</v>
      </c>
      <c r="I1152" s="73">
        <f t="shared" ref="I1152:I1163" si="482">(G1152*H1152/1000)</f>
        <v>0</v>
      </c>
      <c r="J1152" s="67"/>
      <c r="K1152" s="589">
        <v>11848</v>
      </c>
      <c r="L1152" s="590">
        <v>0</v>
      </c>
      <c r="M1152" s="73">
        <f t="shared" ref="M1152:M1163" si="483">(K1152*L1152/1000)</f>
        <v>0</v>
      </c>
      <c r="N1152" s="67"/>
      <c r="O1152" s="589">
        <v>0</v>
      </c>
      <c r="P1152" s="72">
        <v>0</v>
      </c>
      <c r="Q1152" s="73">
        <f t="shared" ref="Q1152:Q1163" si="484">(O1152*P1152/1000)</f>
        <v>0</v>
      </c>
      <c r="R1152" s="67"/>
      <c r="S1152" s="727"/>
    </row>
    <row r="1153" spans="1:19" ht="15.75" customHeight="1" x14ac:dyDescent="0.3">
      <c r="A1153" s="553" t="s">
        <v>706</v>
      </c>
      <c r="B1153" s="67"/>
      <c r="C1153" s="67">
        <f t="shared" si="480"/>
        <v>0.25</v>
      </c>
      <c r="D1153" s="72">
        <v>0</v>
      </c>
      <c r="E1153" s="73">
        <f t="shared" si="481"/>
        <v>0</v>
      </c>
      <c r="F1153" s="67"/>
      <c r="G1153" s="67" t="e">
        <f>#REF!</f>
        <v>#REF!</v>
      </c>
      <c r="H1153" s="72">
        <v>0</v>
      </c>
      <c r="I1153" s="73" t="e">
        <f t="shared" si="482"/>
        <v>#REF!</v>
      </c>
      <c r="J1153" s="67"/>
      <c r="K1153" s="589">
        <v>11489</v>
      </c>
      <c r="L1153" s="590">
        <v>0</v>
      </c>
      <c r="M1153" s="73">
        <f t="shared" si="483"/>
        <v>0</v>
      </c>
      <c r="N1153" s="67"/>
      <c r="O1153" s="589">
        <v>0</v>
      </c>
      <c r="P1153" s="72">
        <v>0</v>
      </c>
      <c r="Q1153" s="73">
        <f t="shared" si="484"/>
        <v>0</v>
      </c>
      <c r="R1153" s="67"/>
      <c r="S1153" s="727"/>
    </row>
    <row r="1154" spans="1:19" ht="15.75" customHeight="1" x14ac:dyDescent="0.3">
      <c r="A1154" s="553" t="s">
        <v>707</v>
      </c>
      <c r="B1154" s="67"/>
      <c r="C1154" s="67">
        <f t="shared" si="480"/>
        <v>0.3</v>
      </c>
      <c r="D1154" s="72">
        <v>0</v>
      </c>
      <c r="E1154" s="73">
        <f t="shared" si="481"/>
        <v>0</v>
      </c>
      <c r="F1154" s="67">
        <f>SUM(E1152:E1154)</f>
        <v>0</v>
      </c>
      <c r="G1154" s="67" t="e">
        <f>#REF!</f>
        <v>#REF!</v>
      </c>
      <c r="H1154" s="72">
        <v>0</v>
      </c>
      <c r="I1154" s="73" t="e">
        <f t="shared" si="482"/>
        <v>#REF!</v>
      </c>
      <c r="J1154" s="67" t="e">
        <f>SUM(I1152:I1154)</f>
        <v>#REF!</v>
      </c>
      <c r="K1154" s="589">
        <v>16247</v>
      </c>
      <c r="L1154" s="590">
        <v>0</v>
      </c>
      <c r="M1154" s="73">
        <f t="shared" si="483"/>
        <v>0</v>
      </c>
      <c r="N1154" s="67">
        <f>SUM(M1152:M1154)</f>
        <v>0</v>
      </c>
      <c r="O1154" s="589">
        <v>0</v>
      </c>
      <c r="P1154" s="72">
        <v>0</v>
      </c>
      <c r="Q1154" s="73">
        <f t="shared" si="484"/>
        <v>0</v>
      </c>
      <c r="R1154" s="67">
        <f>SUM(Q1152:Q1154)</f>
        <v>0</v>
      </c>
      <c r="S1154" s="727"/>
    </row>
    <row r="1155" spans="1:19" ht="15.75" customHeight="1" x14ac:dyDescent="0.3">
      <c r="A1155" s="553" t="s">
        <v>1321</v>
      </c>
      <c r="B1155" s="67"/>
      <c r="C1155" s="67">
        <f t="shared" si="480"/>
        <v>0.35</v>
      </c>
      <c r="D1155" s="72">
        <v>0</v>
      </c>
      <c r="E1155" s="73">
        <f t="shared" si="481"/>
        <v>0</v>
      </c>
      <c r="F1155" s="67"/>
      <c r="G1155" s="67" t="e">
        <f>#REF!</f>
        <v>#REF!</v>
      </c>
      <c r="H1155" s="72">
        <v>0</v>
      </c>
      <c r="I1155" s="73" t="e">
        <f t="shared" si="482"/>
        <v>#REF!</v>
      </c>
      <c r="J1155" s="67"/>
      <c r="K1155" s="589">
        <v>17740</v>
      </c>
      <c r="L1155" s="590">
        <v>0</v>
      </c>
      <c r="M1155" s="73">
        <f t="shared" si="483"/>
        <v>0</v>
      </c>
      <c r="N1155" s="67"/>
      <c r="O1155" s="589">
        <v>0</v>
      </c>
      <c r="P1155" s="72">
        <v>0</v>
      </c>
      <c r="Q1155" s="73">
        <f t="shared" si="484"/>
        <v>0</v>
      </c>
      <c r="R1155" s="67"/>
      <c r="S1155" s="727"/>
    </row>
    <row r="1156" spans="1:19" ht="15.75" customHeight="1" x14ac:dyDescent="0.3">
      <c r="A1156" s="553" t="s">
        <v>1905</v>
      </c>
      <c r="B1156" s="67"/>
      <c r="C1156" s="67">
        <f t="shared" si="480"/>
        <v>0.35</v>
      </c>
      <c r="D1156" s="72">
        <v>0</v>
      </c>
      <c r="E1156" s="73">
        <f t="shared" si="481"/>
        <v>0</v>
      </c>
      <c r="F1156" s="67"/>
      <c r="G1156" s="67" t="e">
        <f>#REF!</f>
        <v>#REF!</v>
      </c>
      <c r="H1156" s="72">
        <v>0</v>
      </c>
      <c r="I1156" s="73" t="e">
        <f t="shared" si="482"/>
        <v>#REF!</v>
      </c>
      <c r="J1156" s="67"/>
      <c r="K1156" s="589">
        <v>15434</v>
      </c>
      <c r="L1156" s="590">
        <v>0</v>
      </c>
      <c r="M1156" s="73">
        <f t="shared" si="483"/>
        <v>0</v>
      </c>
      <c r="N1156" s="67"/>
      <c r="O1156" s="589">
        <v>0</v>
      </c>
      <c r="P1156" s="72">
        <v>0</v>
      </c>
      <c r="Q1156" s="73">
        <f t="shared" si="484"/>
        <v>0</v>
      </c>
      <c r="R1156" s="67"/>
      <c r="S1156" s="727"/>
    </row>
    <row r="1157" spans="1:19" ht="15.75" customHeight="1" x14ac:dyDescent="0.3">
      <c r="A1157" s="553" t="s">
        <v>1906</v>
      </c>
      <c r="B1157" s="67"/>
      <c r="C1157" s="67">
        <f t="shared" si="480"/>
        <v>7.4999999999999997E-2</v>
      </c>
      <c r="D1157" s="72">
        <v>0</v>
      </c>
      <c r="E1157" s="73">
        <f t="shared" si="481"/>
        <v>0</v>
      </c>
      <c r="F1157" s="67">
        <f>SUM(E1155:E1157)</f>
        <v>0</v>
      </c>
      <c r="G1157" s="67" t="e">
        <f>#REF!</f>
        <v>#REF!</v>
      </c>
      <c r="H1157" s="72">
        <v>0</v>
      </c>
      <c r="I1157" s="73" t="e">
        <f t="shared" si="482"/>
        <v>#REF!</v>
      </c>
      <c r="J1157" s="67" t="e">
        <f>SUM(I1155:I1157)</f>
        <v>#REF!</v>
      </c>
      <c r="K1157" s="589">
        <v>14355</v>
      </c>
      <c r="L1157" s="590">
        <v>0</v>
      </c>
      <c r="M1157" s="73">
        <f t="shared" si="483"/>
        <v>0</v>
      </c>
      <c r="N1157" s="67">
        <f>SUM(M1155:M1157)</f>
        <v>0</v>
      </c>
      <c r="O1157" s="589">
        <v>0</v>
      </c>
      <c r="P1157" s="72">
        <v>0</v>
      </c>
      <c r="Q1157" s="73">
        <f t="shared" si="484"/>
        <v>0</v>
      </c>
      <c r="R1157" s="67">
        <f>SUM(Q1155:Q1157)</f>
        <v>0</v>
      </c>
      <c r="S1157" s="727"/>
    </row>
    <row r="1158" spans="1:19" ht="15.75" customHeight="1" x14ac:dyDescent="0.3">
      <c r="A1158" s="553" t="s">
        <v>1907</v>
      </c>
      <c r="B1158" s="67"/>
      <c r="C1158" s="67">
        <f t="shared" si="480"/>
        <v>0.05</v>
      </c>
      <c r="D1158" s="72">
        <v>0</v>
      </c>
      <c r="E1158" s="73">
        <f t="shared" si="481"/>
        <v>0</v>
      </c>
      <c r="F1158" s="67"/>
      <c r="G1158" s="67" t="e">
        <f>#REF!</f>
        <v>#REF!</v>
      </c>
      <c r="H1158" s="72">
        <v>0</v>
      </c>
      <c r="I1158" s="73" t="e">
        <f t="shared" si="482"/>
        <v>#REF!</v>
      </c>
      <c r="J1158" s="67"/>
      <c r="K1158" s="589">
        <v>13129</v>
      </c>
      <c r="L1158" s="590">
        <v>0</v>
      </c>
      <c r="M1158" s="73">
        <f t="shared" si="483"/>
        <v>0</v>
      </c>
      <c r="N1158" s="67"/>
      <c r="O1158" s="589">
        <v>0</v>
      </c>
      <c r="P1158" s="72">
        <v>0</v>
      </c>
      <c r="Q1158" s="73">
        <f t="shared" si="484"/>
        <v>0</v>
      </c>
      <c r="R1158" s="67"/>
      <c r="S1158" s="727"/>
    </row>
    <row r="1159" spans="1:19" ht="15.75" customHeight="1" x14ac:dyDescent="0.3">
      <c r="A1159" s="553" t="s">
        <v>1908</v>
      </c>
      <c r="B1159" s="67"/>
      <c r="C1159" s="67">
        <f t="shared" si="480"/>
        <v>0</v>
      </c>
      <c r="D1159" s="72">
        <v>0</v>
      </c>
      <c r="E1159" s="73">
        <f t="shared" si="481"/>
        <v>0</v>
      </c>
      <c r="F1159" s="67"/>
      <c r="G1159" s="67" t="e">
        <f>#REF!</f>
        <v>#REF!</v>
      </c>
      <c r="H1159" s="72">
        <v>0</v>
      </c>
      <c r="I1159" s="73" t="e">
        <f t="shared" si="482"/>
        <v>#REF!</v>
      </c>
      <c r="J1159" s="67"/>
      <c r="K1159" s="589">
        <v>12545</v>
      </c>
      <c r="L1159" s="590">
        <v>0</v>
      </c>
      <c r="M1159" s="73">
        <f t="shared" si="483"/>
        <v>0</v>
      </c>
      <c r="N1159" s="67"/>
      <c r="O1159" s="589">
        <v>0</v>
      </c>
      <c r="P1159" s="72">
        <v>0</v>
      </c>
      <c r="Q1159" s="73">
        <f t="shared" si="484"/>
        <v>0</v>
      </c>
      <c r="R1159" s="67"/>
      <c r="S1159" s="727"/>
    </row>
    <row r="1160" spans="1:19" ht="15.75" customHeight="1" x14ac:dyDescent="0.3">
      <c r="A1160" s="553" t="s">
        <v>2352</v>
      </c>
      <c r="B1160" s="67"/>
      <c r="C1160" s="67">
        <f t="shared" si="480"/>
        <v>0.05</v>
      </c>
      <c r="D1160" s="72">
        <v>0</v>
      </c>
      <c r="E1160" s="73">
        <f t="shared" si="481"/>
        <v>0</v>
      </c>
      <c r="F1160" s="67">
        <f>SUM(E1158:E1160)</f>
        <v>0</v>
      </c>
      <c r="G1160" s="67" t="e">
        <f>#REF!</f>
        <v>#REF!</v>
      </c>
      <c r="H1160" s="72">
        <v>0</v>
      </c>
      <c r="I1160" s="73" t="e">
        <f t="shared" si="482"/>
        <v>#REF!</v>
      </c>
      <c r="J1160" s="67" t="e">
        <f>SUM(I1158:I1160)</f>
        <v>#REF!</v>
      </c>
      <c r="K1160" s="589">
        <v>9350</v>
      </c>
      <c r="L1160" s="590">
        <v>0</v>
      </c>
      <c r="M1160" s="73">
        <f t="shared" si="483"/>
        <v>0</v>
      </c>
      <c r="N1160" s="67">
        <f>SUM(M1158:M1160)</f>
        <v>0</v>
      </c>
      <c r="O1160" s="589">
        <v>0</v>
      </c>
      <c r="P1160" s="72">
        <v>0</v>
      </c>
      <c r="Q1160" s="73">
        <f t="shared" si="484"/>
        <v>0</v>
      </c>
      <c r="R1160" s="67">
        <f>SUM(Q1158:Q1160)</f>
        <v>0</v>
      </c>
      <c r="S1160" s="727"/>
    </row>
    <row r="1161" spans="1:19" ht="15.75" customHeight="1" x14ac:dyDescent="0.3">
      <c r="A1161" s="553" t="s">
        <v>2353</v>
      </c>
      <c r="B1161" s="67"/>
      <c r="C1161" s="67">
        <f t="shared" si="480"/>
        <v>0.2</v>
      </c>
      <c r="D1161" s="72">
        <v>0</v>
      </c>
      <c r="E1161" s="73">
        <f t="shared" si="481"/>
        <v>0</v>
      </c>
      <c r="F1161" s="67"/>
      <c r="G1161" s="67" t="e">
        <f>#REF!</f>
        <v>#REF!</v>
      </c>
      <c r="H1161" s="72">
        <v>0</v>
      </c>
      <c r="I1161" s="73" t="e">
        <f t="shared" si="482"/>
        <v>#REF!</v>
      </c>
      <c r="J1161" s="67"/>
      <c r="K1161" s="589">
        <v>11649</v>
      </c>
      <c r="L1161" s="590">
        <v>0</v>
      </c>
      <c r="M1161" s="73">
        <f t="shared" si="483"/>
        <v>0</v>
      </c>
      <c r="N1161" s="67"/>
      <c r="O1161" s="589">
        <v>0</v>
      </c>
      <c r="P1161" s="72">
        <v>0</v>
      </c>
      <c r="Q1161" s="73">
        <f t="shared" si="484"/>
        <v>0</v>
      </c>
      <c r="R1161" s="67"/>
      <c r="S1161" s="727"/>
    </row>
    <row r="1162" spans="1:19" ht="15.75" customHeight="1" x14ac:dyDescent="0.3">
      <c r="A1162" s="553" t="s">
        <v>2354</v>
      </c>
      <c r="B1162" s="67"/>
      <c r="C1162" s="67">
        <f t="shared" si="480"/>
        <v>0.2</v>
      </c>
      <c r="D1162" s="72">
        <v>0</v>
      </c>
      <c r="E1162" s="73">
        <f t="shared" si="481"/>
        <v>0</v>
      </c>
      <c r="F1162" s="67"/>
      <c r="G1162" s="67" t="e">
        <f>#REF!</f>
        <v>#REF!</v>
      </c>
      <c r="H1162" s="72">
        <v>0</v>
      </c>
      <c r="I1162" s="73" t="e">
        <f t="shared" si="482"/>
        <v>#REF!</v>
      </c>
      <c r="J1162" s="67"/>
      <c r="K1162" s="589">
        <v>8035</v>
      </c>
      <c r="L1162" s="590">
        <v>0</v>
      </c>
      <c r="M1162" s="73">
        <f t="shared" si="483"/>
        <v>0</v>
      </c>
      <c r="N1162" s="67"/>
      <c r="O1162" s="589">
        <v>0</v>
      </c>
      <c r="P1162" s="72">
        <v>0</v>
      </c>
      <c r="Q1162" s="73">
        <f t="shared" si="484"/>
        <v>0</v>
      </c>
      <c r="R1162" s="67"/>
      <c r="S1162" s="727"/>
    </row>
    <row r="1163" spans="1:19" ht="15.75" customHeight="1" x14ac:dyDescent="0.3">
      <c r="A1163" s="553" t="s">
        <v>2355</v>
      </c>
      <c r="B1163" s="67"/>
      <c r="C1163" s="67">
        <f t="shared" si="480"/>
        <v>0.2</v>
      </c>
      <c r="D1163" s="72">
        <v>0</v>
      </c>
      <c r="E1163" s="73">
        <f t="shared" si="481"/>
        <v>0</v>
      </c>
      <c r="F1163" s="67">
        <f>SUM(E1161:E1163)</f>
        <v>0</v>
      </c>
      <c r="G1163" s="67" t="e">
        <f>#REF!</f>
        <v>#REF!</v>
      </c>
      <c r="H1163" s="72">
        <v>0</v>
      </c>
      <c r="I1163" s="73" t="e">
        <f t="shared" si="482"/>
        <v>#REF!</v>
      </c>
      <c r="J1163" s="67" t="e">
        <f>SUM(I1161:I1163)</f>
        <v>#REF!</v>
      </c>
      <c r="K1163" s="589">
        <v>8092</v>
      </c>
      <c r="L1163" s="590">
        <v>0</v>
      </c>
      <c r="M1163" s="73">
        <f t="shared" si="483"/>
        <v>0</v>
      </c>
      <c r="N1163" s="67">
        <f>SUM(M1161:M1163)</f>
        <v>0</v>
      </c>
      <c r="O1163" s="589">
        <v>0</v>
      </c>
      <c r="P1163" s="72">
        <v>0</v>
      </c>
      <c r="Q1163" s="73">
        <f t="shared" si="484"/>
        <v>0</v>
      </c>
      <c r="R1163" s="67">
        <f>SUM(Q1161:Q1163)</f>
        <v>0</v>
      </c>
      <c r="S1163" s="727"/>
    </row>
    <row r="1164" spans="1:19" ht="15.75" customHeight="1" x14ac:dyDescent="0.3">
      <c r="A1164" s="551"/>
      <c r="B1164" s="67"/>
      <c r="C1164" s="67"/>
      <c r="D1164" s="67"/>
      <c r="E1164" s="67"/>
      <c r="F1164" s="67"/>
      <c r="G1164" s="67"/>
      <c r="H1164" s="67"/>
      <c r="I1164" s="67"/>
      <c r="J1164" s="67"/>
      <c r="K1164" s="67"/>
      <c r="L1164" s="67"/>
      <c r="M1164" s="67"/>
      <c r="N1164" s="67"/>
      <c r="O1164" s="67"/>
      <c r="P1164" s="67"/>
      <c r="Q1164" s="67"/>
      <c r="R1164" s="67"/>
      <c r="S1164" s="727"/>
    </row>
    <row r="1165" spans="1:19" ht="15.75" customHeight="1" x14ac:dyDescent="0.3">
      <c r="A1165" s="551"/>
      <c r="B1165" s="67"/>
      <c r="C1165" s="67"/>
      <c r="D1165" s="67"/>
      <c r="E1165" s="67"/>
      <c r="F1165" s="67"/>
      <c r="G1165" s="67"/>
      <c r="H1165" s="67"/>
      <c r="I1165" s="67"/>
      <c r="J1165" s="67"/>
      <c r="K1165" s="67"/>
      <c r="L1165" s="67"/>
      <c r="M1165" s="67"/>
      <c r="N1165" s="67"/>
      <c r="O1165" s="67"/>
      <c r="P1165" s="67"/>
      <c r="Q1165" s="67"/>
      <c r="R1165" s="67"/>
      <c r="S1165" s="727"/>
    </row>
    <row r="1166" spans="1:19" ht="16.5" customHeight="1" thickBot="1" x14ac:dyDescent="0.35">
      <c r="A1166" s="554" t="s">
        <v>2356</v>
      </c>
      <c r="B1166" s="555"/>
      <c r="C1166" s="555">
        <f>SUM(C1152:C1163)</f>
        <v>2.2250000000000005</v>
      </c>
      <c r="D1166" s="555"/>
      <c r="E1166" s="567">
        <f>SUM(E1152:E1163)</f>
        <v>0</v>
      </c>
      <c r="F1166" s="555"/>
      <c r="G1166" s="555" t="e">
        <f>SUM(G1152:G1163)</f>
        <v>#REF!</v>
      </c>
      <c r="H1166" s="555" t="s">
        <v>2435</v>
      </c>
      <c r="I1166" s="567" t="e">
        <f>SUM(I1152:I1163)</f>
        <v>#REF!</v>
      </c>
      <c r="J1166" s="555"/>
      <c r="K1166" s="555">
        <f>SUM(K1152:K1163)</f>
        <v>149913</v>
      </c>
      <c r="L1166" s="555" t="s">
        <v>2435</v>
      </c>
      <c r="M1166" s="567">
        <f>SUM(M1152:M1163)</f>
        <v>0</v>
      </c>
      <c r="N1166" s="555"/>
      <c r="O1166" s="555">
        <f>(SUM(O1152:O1163))</f>
        <v>0</v>
      </c>
      <c r="P1166" s="555" t="s">
        <v>2435</v>
      </c>
      <c r="Q1166" s="567">
        <f>SUM(Q1152:Q1163)</f>
        <v>0</v>
      </c>
      <c r="R1166" s="555"/>
      <c r="S1166" s="565"/>
    </row>
  </sheetData>
  <scenarios current="0">
    <scenario name="Jan" count="1" user="Windows User" comment="Created by Windows User on 4/11/2013">
      <inputCells r="B316" val="57771.3688407242" numFmtId="37"/>
    </scenario>
  </scenarios>
  <autoFilter ref="A31:R950" xr:uid="{00000000-0009-0000-0000-000008000000}">
    <filterColumn colId="0">
      <filters>
        <filter val="Temporary  Water Use Permits"/>
        <filter val="Temporary (-) for reduced deliveries (m&amp;i)"/>
        <filter val="Temporary Water Permits (various locals)"/>
      </filters>
    </filterColumn>
  </autoFilter>
  <mergeCells count="73">
    <mergeCell ref="B1097:P1097"/>
    <mergeCell ref="B1098:P1098"/>
    <mergeCell ref="B1100:L1100"/>
    <mergeCell ref="M1100:P1100"/>
    <mergeCell ref="B1074:D1074"/>
    <mergeCell ref="T1074:U1074"/>
    <mergeCell ref="V1074:W1074"/>
    <mergeCell ref="B1093:P1093"/>
    <mergeCell ref="B1094:P1094"/>
    <mergeCell ref="B1095:P1095"/>
    <mergeCell ref="B1073:P1073"/>
    <mergeCell ref="M1019:O1019"/>
    <mergeCell ref="AD1019:AQ1019"/>
    <mergeCell ref="AD1020:AQ1020"/>
    <mergeCell ref="B1044:P1044"/>
    <mergeCell ref="B1045:F1045"/>
    <mergeCell ref="G1045:L1045"/>
    <mergeCell ref="M1045:R1045"/>
    <mergeCell ref="S1045:U1045"/>
    <mergeCell ref="M1046:O1046"/>
    <mergeCell ref="B1068:P1068"/>
    <mergeCell ref="B1069:P1069"/>
    <mergeCell ref="B1070:P1070"/>
    <mergeCell ref="B1072:P1072"/>
    <mergeCell ref="B1017:P1017"/>
    <mergeCell ref="AD1017:AQ1017"/>
    <mergeCell ref="B1018:F1018"/>
    <mergeCell ref="G1018:L1018"/>
    <mergeCell ref="M1018:R1018"/>
    <mergeCell ref="S1018:U1018"/>
    <mergeCell ref="B1016:P1016"/>
    <mergeCell ref="AD1016:AQ1016"/>
    <mergeCell ref="AD982:AQ982"/>
    <mergeCell ref="AD984:AQ984"/>
    <mergeCell ref="B985:P985"/>
    <mergeCell ref="AD985:AQ985"/>
    <mergeCell ref="B986:P986"/>
    <mergeCell ref="B987:P987"/>
    <mergeCell ref="B989:P989"/>
    <mergeCell ref="B990:P990"/>
    <mergeCell ref="B1014:P1014"/>
    <mergeCell ref="B1015:P1015"/>
    <mergeCell ref="AD1015:AQ1015"/>
    <mergeCell ref="AD981:AQ981"/>
    <mergeCell ref="B932:P932"/>
    <mergeCell ref="B933:P933"/>
    <mergeCell ref="B934:P934"/>
    <mergeCell ref="B935:P935"/>
    <mergeCell ref="B959:P959"/>
    <mergeCell ref="B960:P960"/>
    <mergeCell ref="B961:P961"/>
    <mergeCell ref="B962:P962"/>
    <mergeCell ref="B963:P963"/>
    <mergeCell ref="B964:P964"/>
    <mergeCell ref="AD980:AQ980"/>
    <mergeCell ref="B931:P931"/>
    <mergeCell ref="A866:R866"/>
    <mergeCell ref="A867:R867"/>
    <mergeCell ref="A868:R868"/>
    <mergeCell ref="A869:R869"/>
    <mergeCell ref="A871:R871"/>
    <mergeCell ref="A907:R907"/>
    <mergeCell ref="A908:R908"/>
    <mergeCell ref="A909:R909"/>
    <mergeCell ref="A910:R910"/>
    <mergeCell ref="A912:R912"/>
    <mergeCell ref="B930:P930"/>
    <mergeCell ref="A8:R8"/>
    <mergeCell ref="A2:R2"/>
    <mergeCell ref="A3:R3"/>
    <mergeCell ref="A4:R4"/>
    <mergeCell ref="A5:R5"/>
    <mergeCell ref="A6:R6"/>
  </mergeCells>
  <conditionalFormatting sqref="S1024:S1035 S1037">
    <cfRule type="cellIs" dxfId="23" priority="3" operator="lessThan">
      <formula>0</formula>
    </cfRule>
    <cfRule type="cellIs" dxfId="22" priority="4" operator="greaterThan">
      <formula>0</formula>
    </cfRule>
  </conditionalFormatting>
  <conditionalFormatting sqref="S1051:S1062">
    <cfRule type="cellIs" dxfId="21" priority="1" operator="lessThan">
      <formula>0</formula>
    </cfRule>
    <cfRule type="cellIs" dxfId="20" priority="2" operator="greaterThan">
      <formula>0</formula>
    </cfRule>
  </conditionalFormatting>
  <printOptions horizontalCentered="1"/>
  <pageMargins left="0.25" right="0.25" top="0.25" bottom="0.25" header="0" footer="0"/>
  <pageSetup paperSize="17" scale="10" orientation="landscape" r:id="rId1"/>
  <headerFooter alignWithMargins="0"/>
  <rowBreaks count="5" manualBreakCount="5">
    <brk id="876" max="17" man="1"/>
    <brk id="916" max="17" man="1"/>
    <brk id="969" max="18" man="1"/>
    <brk id="997" max="18" man="1"/>
    <brk id="965" min="28" max="46"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S3719"/>
  <sheetViews>
    <sheetView workbookViewId="0">
      <selection activeCell="G19" sqref="G19"/>
    </sheetView>
  </sheetViews>
  <sheetFormatPr defaultColWidth="12.08984375" defaultRowHeight="15.6" x14ac:dyDescent="0.3"/>
  <cols>
    <col min="1" max="1" width="5.54296875" customWidth="1"/>
    <col min="2" max="2" width="12.81640625" customWidth="1"/>
    <col min="3" max="3" width="12.453125" customWidth="1"/>
    <col min="4" max="4" width="10.81640625" customWidth="1"/>
    <col min="5" max="6" width="9.453125" customWidth="1"/>
    <col min="8" max="8" width="20.1796875" customWidth="1"/>
    <col min="9" max="9" width="14.453125" customWidth="1"/>
    <col min="10" max="10" width="12.1796875" customWidth="1"/>
    <col min="11" max="14" width="9.453125" customWidth="1"/>
    <col min="15" max="15" width="14.81640625" customWidth="1"/>
    <col min="16" max="16" width="11.81640625" customWidth="1"/>
    <col min="17" max="17" width="12.1796875" customWidth="1"/>
    <col min="18" max="23" width="9.453125" customWidth="1"/>
  </cols>
  <sheetData>
    <row r="1" spans="2:18" x14ac:dyDescent="0.3">
      <c r="B1" t="s">
        <v>2142</v>
      </c>
    </row>
    <row r="6" spans="2:18" x14ac:dyDescent="0.3">
      <c r="F6" s="134"/>
      <c r="G6" s="135"/>
    </row>
    <row r="7" spans="2:18" x14ac:dyDescent="0.3">
      <c r="F7" s="134"/>
      <c r="G7" s="135"/>
      <c r="H7" t="s">
        <v>2143</v>
      </c>
      <c r="I7" t="s">
        <v>2144</v>
      </c>
      <c r="Q7" s="136"/>
    </row>
    <row r="8" spans="2:18" x14ac:dyDescent="0.3">
      <c r="C8" t="s">
        <v>2403</v>
      </c>
      <c r="Q8" s="136"/>
    </row>
    <row r="9" spans="2:18" x14ac:dyDescent="0.3">
      <c r="B9" t="s">
        <v>1351</v>
      </c>
      <c r="H9" t="s">
        <v>2167</v>
      </c>
      <c r="Q9" s="136"/>
    </row>
    <row r="10" spans="2:18" x14ac:dyDescent="0.3">
      <c r="H10" t="s">
        <v>265</v>
      </c>
      <c r="Q10" s="136"/>
    </row>
    <row r="11" spans="2:18" x14ac:dyDescent="0.3">
      <c r="B11" t="s">
        <v>258</v>
      </c>
      <c r="Q11" s="136"/>
    </row>
    <row r="14" spans="2:18" x14ac:dyDescent="0.3">
      <c r="B14" s="137"/>
      <c r="C14" s="138" t="s">
        <v>1510</v>
      </c>
      <c r="D14" s="138" t="s">
        <v>1510</v>
      </c>
      <c r="E14" s="138"/>
      <c r="F14" s="137"/>
      <c r="G14" s="138" t="s">
        <v>259</v>
      </c>
      <c r="H14" s="137"/>
      <c r="I14" s="137"/>
      <c r="K14" t="s">
        <v>1719</v>
      </c>
    </row>
    <row r="15" spans="2:18" x14ac:dyDescent="0.3">
      <c r="B15" s="139" t="s">
        <v>2169</v>
      </c>
      <c r="C15" s="139" t="s">
        <v>2170</v>
      </c>
      <c r="D15" s="139" t="s">
        <v>314</v>
      </c>
      <c r="E15" s="139"/>
    </row>
    <row r="16" spans="2:18" ht="16.2" thickBot="1" x14ac:dyDescent="0.35">
      <c r="B16" s="140" t="s">
        <v>1720</v>
      </c>
      <c r="C16" s="140" t="s">
        <v>2001</v>
      </c>
      <c r="D16" s="140" t="s">
        <v>620</v>
      </c>
      <c r="E16" s="140"/>
      <c r="F16" s="141"/>
      <c r="G16" s="141" t="s">
        <v>650</v>
      </c>
      <c r="H16" s="141" t="s">
        <v>651</v>
      </c>
      <c r="I16" s="141" t="s">
        <v>2280</v>
      </c>
      <c r="K16" s="141" t="s">
        <v>651</v>
      </c>
      <c r="L16" s="141" t="s">
        <v>650</v>
      </c>
      <c r="P16" s="139"/>
      <c r="R16" s="139"/>
    </row>
    <row r="17" spans="1:19" ht="16.2" thickTop="1" x14ac:dyDescent="0.3">
      <c r="A17">
        <v>1</v>
      </c>
      <c r="B17" s="142">
        <v>1550</v>
      </c>
      <c r="C17" s="143">
        <v>35091</v>
      </c>
      <c r="D17" s="143">
        <v>1339</v>
      </c>
      <c r="F17" s="134"/>
      <c r="G17" s="144">
        <v>1697</v>
      </c>
      <c r="H17" s="145">
        <f>+LookupVolume(G17)</f>
        <v>800887.00000023923</v>
      </c>
      <c r="I17" s="146">
        <f>LookupArea(G17)</f>
        <v>9546.0000000020009</v>
      </c>
      <c r="K17" s="147">
        <v>772604</v>
      </c>
      <c r="L17" s="148">
        <f t="shared" ref="L17:L26" si="0">+LookupElev(K17)</f>
        <v>1693.9999999999782</v>
      </c>
      <c r="M17" s="149"/>
      <c r="O17" s="139"/>
      <c r="P17" s="139"/>
      <c r="R17" s="139"/>
    </row>
    <row r="18" spans="1:19" x14ac:dyDescent="0.3">
      <c r="A18">
        <v>2</v>
      </c>
      <c r="B18" s="142">
        <v>1550.5</v>
      </c>
      <c r="C18" s="143">
        <v>35765</v>
      </c>
      <c r="D18" s="143">
        <v>1357</v>
      </c>
      <c r="F18" s="134"/>
      <c r="G18" s="144">
        <v>1694.81</v>
      </c>
      <c r="H18" s="150">
        <f t="shared" ref="H18:H26" si="1">+LookupVolume(G18)</f>
        <v>780173.70000021253</v>
      </c>
      <c r="I18" s="146">
        <f t="shared" ref="I18:I26" si="2">LookupArea(G18)</f>
        <v>9372.5600000017239</v>
      </c>
      <c r="K18" s="147">
        <f>+K17-128000</f>
        <v>644604</v>
      </c>
      <c r="L18" s="151">
        <f t="shared" si="0"/>
        <v>1679.4140435835266</v>
      </c>
      <c r="M18" s="149"/>
      <c r="O18" s="139"/>
      <c r="P18" s="139"/>
      <c r="R18" s="139"/>
    </row>
    <row r="19" spans="1:19" x14ac:dyDescent="0.3">
      <c r="A19">
        <v>3</v>
      </c>
      <c r="B19" s="142">
        <v>1551</v>
      </c>
      <c r="C19" s="143">
        <v>36448</v>
      </c>
      <c r="D19" s="143">
        <v>1375</v>
      </c>
      <c r="F19" s="134"/>
      <c r="G19" s="144">
        <v>1679.41</v>
      </c>
      <c r="H19" s="150">
        <f t="shared" si="1"/>
        <v>644570.60000007204</v>
      </c>
      <c r="I19" s="146">
        <f t="shared" si="2"/>
        <v>8269.0100000005314</v>
      </c>
      <c r="K19" s="147">
        <f t="shared" ref="K19:K26" si="3">+K18+50000</f>
        <v>694604</v>
      </c>
      <c r="L19" s="151">
        <f t="shared" si="0"/>
        <v>1685.3201339182497</v>
      </c>
      <c r="M19" s="149"/>
      <c r="O19" s="152"/>
      <c r="P19" s="152"/>
      <c r="Q19" s="152"/>
      <c r="R19" s="152"/>
      <c r="S19" s="152"/>
    </row>
    <row r="20" spans="1:19" x14ac:dyDescent="0.3">
      <c r="A20">
        <v>4</v>
      </c>
      <c r="B20" s="142">
        <v>1551.5</v>
      </c>
      <c r="C20" s="143">
        <v>37140</v>
      </c>
      <c r="D20" s="143">
        <v>1393</v>
      </c>
      <c r="F20" s="134"/>
      <c r="G20" s="144">
        <v>1605</v>
      </c>
      <c r="H20" s="150">
        <f t="shared" si="1"/>
        <v>183114.00000005905</v>
      </c>
      <c r="I20" s="146">
        <f t="shared" si="2"/>
        <v>4175.0000000008458</v>
      </c>
      <c r="K20" s="147">
        <v>183114</v>
      </c>
      <c r="L20" s="151">
        <f t="shared" si="0"/>
        <v>1604.9999999999864</v>
      </c>
      <c r="M20" s="149"/>
    </row>
    <row r="21" spans="1:19" x14ac:dyDescent="0.3">
      <c r="A21">
        <v>5</v>
      </c>
      <c r="B21" s="142">
        <v>1552</v>
      </c>
      <c r="C21" s="143">
        <v>37841</v>
      </c>
      <c r="D21" s="143">
        <v>1411</v>
      </c>
      <c r="F21" s="134"/>
      <c r="G21" s="144">
        <v>1620</v>
      </c>
      <c r="H21" s="150">
        <f t="shared" si="1"/>
        <v>251869.00000004788</v>
      </c>
      <c r="I21" s="146">
        <f t="shared" si="2"/>
        <v>5001.0000000005539</v>
      </c>
      <c r="K21" s="147">
        <f>+K20+22822+20000</f>
        <v>225936</v>
      </c>
      <c r="L21" s="151">
        <f t="shared" si="0"/>
        <v>1614.6350427350428</v>
      </c>
      <c r="M21" s="149"/>
    </row>
    <row r="22" spans="1:19" x14ac:dyDescent="0.3">
      <c r="A22">
        <v>6</v>
      </c>
      <c r="B22" s="142">
        <v>1552.5</v>
      </c>
      <c r="C22" s="143">
        <v>38551</v>
      </c>
      <c r="D22" s="143">
        <v>1429</v>
      </c>
      <c r="F22" s="134"/>
      <c r="G22" s="144">
        <v>1635</v>
      </c>
      <c r="H22" s="150">
        <f t="shared" si="1"/>
        <v>333394</v>
      </c>
      <c r="I22" s="146">
        <f t="shared" si="2"/>
        <v>5919</v>
      </c>
      <c r="K22" s="147">
        <f t="shared" si="3"/>
        <v>275936</v>
      </c>
      <c r="L22" s="151">
        <f t="shared" si="0"/>
        <v>1624.6845395983194</v>
      </c>
      <c r="M22" s="149"/>
    </row>
    <row r="23" spans="1:19" x14ac:dyDescent="0.3">
      <c r="A23">
        <v>7</v>
      </c>
      <c r="B23" s="142">
        <v>1553</v>
      </c>
      <c r="C23" s="143">
        <v>39270</v>
      </c>
      <c r="D23" s="143">
        <v>1447</v>
      </c>
      <c r="G23" s="144">
        <v>1650</v>
      </c>
      <c r="H23" s="150">
        <f t="shared" si="1"/>
        <v>426551.00000012299</v>
      </c>
      <c r="I23" s="146">
        <f t="shared" si="2"/>
        <v>6582.0000000010068</v>
      </c>
      <c r="K23" s="147">
        <f t="shared" si="3"/>
        <v>325936</v>
      </c>
      <c r="L23" s="151">
        <f t="shared" si="0"/>
        <v>1633.7297529169527</v>
      </c>
      <c r="M23" s="149"/>
      <c r="O23" s="136"/>
    </row>
    <row r="24" spans="1:19" x14ac:dyDescent="0.3">
      <c r="A24">
        <v>8</v>
      </c>
      <c r="B24" s="142">
        <v>1553.5</v>
      </c>
      <c r="C24" s="143">
        <v>39998</v>
      </c>
      <c r="D24" s="143">
        <v>1465</v>
      </c>
      <c r="G24" s="144">
        <v>1665</v>
      </c>
      <c r="H24" s="150">
        <f t="shared" si="1"/>
        <v>531564.00000024005</v>
      </c>
      <c r="I24" s="146">
        <f t="shared" si="2"/>
        <v>7423.0000000018726</v>
      </c>
      <c r="K24" s="147">
        <f t="shared" si="3"/>
        <v>375936</v>
      </c>
      <c r="L24" s="151">
        <f t="shared" si="0"/>
        <v>1642.0594043379624</v>
      </c>
      <c r="M24" s="149"/>
      <c r="O24" s="136"/>
    </row>
    <row r="25" spans="1:19" x14ac:dyDescent="0.3">
      <c r="A25">
        <v>9</v>
      </c>
      <c r="B25" s="142">
        <v>1554</v>
      </c>
      <c r="C25" s="143">
        <v>40735</v>
      </c>
      <c r="D25" s="143">
        <v>1483</v>
      </c>
      <c r="G25" s="144">
        <v>1680</v>
      </c>
      <c r="H25" s="150">
        <f t="shared" si="1"/>
        <v>649459.00000007951</v>
      </c>
      <c r="I25" s="146">
        <f t="shared" si="2"/>
        <v>8305.0000000006494</v>
      </c>
      <c r="K25" s="147">
        <f t="shared" si="3"/>
        <v>425936</v>
      </c>
      <c r="L25" s="151">
        <f t="shared" si="0"/>
        <v>1649.9063641899941</v>
      </c>
      <c r="M25" s="149"/>
      <c r="O25" s="136"/>
    </row>
    <row r="26" spans="1:19" x14ac:dyDescent="0.3">
      <c r="A26">
        <v>10</v>
      </c>
      <c r="B26" s="142">
        <v>1554.5</v>
      </c>
      <c r="C26" s="143">
        <v>41481</v>
      </c>
      <c r="D26" s="143">
        <v>1501</v>
      </c>
      <c r="G26" s="144">
        <v>1695</v>
      </c>
      <c r="H26" s="150">
        <f t="shared" si="1"/>
        <v>781954.00000021816</v>
      </c>
      <c r="I26" s="146">
        <f t="shared" si="2"/>
        <v>9387.0000000018554</v>
      </c>
      <c r="K26" s="147">
        <f t="shared" si="3"/>
        <v>475936</v>
      </c>
      <c r="L26" s="151">
        <f t="shared" si="0"/>
        <v>1657.2841397079626</v>
      </c>
      <c r="M26" s="149"/>
      <c r="O26" s="136"/>
    </row>
    <row r="27" spans="1:19" x14ac:dyDescent="0.3">
      <c r="A27">
        <v>11</v>
      </c>
      <c r="B27" s="142">
        <v>1555</v>
      </c>
      <c r="C27" s="143">
        <v>42236</v>
      </c>
      <c r="D27" s="143">
        <v>1519</v>
      </c>
      <c r="O27" s="136"/>
    </row>
    <row r="28" spans="1:19" x14ac:dyDescent="0.3">
      <c r="A28">
        <v>12</v>
      </c>
      <c r="B28" s="142">
        <v>1555.5</v>
      </c>
      <c r="C28" s="143">
        <v>42999</v>
      </c>
      <c r="D28" s="143">
        <v>1537</v>
      </c>
      <c r="O28" s="136"/>
    </row>
    <row r="29" spans="1:19" x14ac:dyDescent="0.3">
      <c r="A29">
        <v>13</v>
      </c>
      <c r="B29" s="142">
        <v>1556</v>
      </c>
      <c r="C29" s="143">
        <v>43772</v>
      </c>
      <c r="D29" s="143">
        <v>1554</v>
      </c>
      <c r="O29" s="136"/>
    </row>
    <row r="30" spans="1:19" x14ac:dyDescent="0.3">
      <c r="A30">
        <v>14</v>
      </c>
      <c r="B30" s="142">
        <v>1556.5</v>
      </c>
      <c r="C30" s="143">
        <v>44554</v>
      </c>
      <c r="D30" s="143">
        <v>1572</v>
      </c>
      <c r="O30" s="136"/>
    </row>
    <row r="31" spans="1:19" x14ac:dyDescent="0.3">
      <c r="A31">
        <v>15</v>
      </c>
      <c r="B31" s="142">
        <v>1557</v>
      </c>
      <c r="C31" s="143">
        <v>45344</v>
      </c>
      <c r="D31" s="143">
        <v>1589</v>
      </c>
    </row>
    <row r="32" spans="1:19" x14ac:dyDescent="0.3">
      <c r="A32">
        <v>16</v>
      </c>
      <c r="B32" s="142">
        <v>1557.5</v>
      </c>
      <c r="C32" s="143">
        <v>46143</v>
      </c>
      <c r="D32" s="143">
        <v>1607</v>
      </c>
    </row>
    <row r="33" spans="1:15" x14ac:dyDescent="0.3">
      <c r="A33">
        <v>17</v>
      </c>
      <c r="B33" s="142">
        <v>1558</v>
      </c>
      <c r="C33" s="143">
        <v>46951</v>
      </c>
      <c r="D33" s="143">
        <v>1625</v>
      </c>
    </row>
    <row r="34" spans="1:15" x14ac:dyDescent="0.3">
      <c r="A34">
        <v>18</v>
      </c>
      <c r="B34" s="142">
        <v>1558.5</v>
      </c>
      <c r="C34" s="143">
        <v>47768</v>
      </c>
      <c r="D34" s="143">
        <v>1642</v>
      </c>
    </row>
    <row r="35" spans="1:15" x14ac:dyDescent="0.3">
      <c r="A35">
        <v>19</v>
      </c>
      <c r="B35" s="142">
        <v>1559</v>
      </c>
      <c r="C35" s="143">
        <v>48593</v>
      </c>
      <c r="D35" s="143">
        <v>1660</v>
      </c>
    </row>
    <row r="36" spans="1:15" x14ac:dyDescent="0.3">
      <c r="A36">
        <v>20</v>
      </c>
      <c r="B36" s="142">
        <v>1559.5</v>
      </c>
      <c r="C36" s="143">
        <v>49427</v>
      </c>
      <c r="D36" s="143">
        <v>1677</v>
      </c>
      <c r="O36" s="136"/>
    </row>
    <row r="37" spans="1:15" x14ac:dyDescent="0.3">
      <c r="A37">
        <v>21</v>
      </c>
      <c r="B37" s="142">
        <v>1560</v>
      </c>
      <c r="C37" s="143">
        <v>50271</v>
      </c>
      <c r="D37" s="143">
        <v>1695</v>
      </c>
      <c r="O37" s="136"/>
    </row>
    <row r="38" spans="1:15" x14ac:dyDescent="0.3">
      <c r="A38">
        <v>22</v>
      </c>
      <c r="B38" s="142">
        <v>1560.5</v>
      </c>
      <c r="C38" s="143">
        <v>51124</v>
      </c>
      <c r="D38" s="143">
        <v>1717</v>
      </c>
      <c r="O38" s="136"/>
    </row>
    <row r="39" spans="1:15" x14ac:dyDescent="0.3">
      <c r="A39">
        <v>23</v>
      </c>
      <c r="B39" s="142">
        <v>1561</v>
      </c>
      <c r="C39" s="143">
        <v>51988</v>
      </c>
      <c r="D39" s="143">
        <v>1740</v>
      </c>
      <c r="O39" s="136"/>
    </row>
    <row r="40" spans="1:15" x14ac:dyDescent="0.3">
      <c r="A40">
        <v>24</v>
      </c>
      <c r="B40" s="142">
        <v>1561.5</v>
      </c>
      <c r="C40" s="143">
        <v>52863</v>
      </c>
      <c r="D40" s="143">
        <v>1762</v>
      </c>
      <c r="O40" s="136"/>
    </row>
    <row r="41" spans="1:15" x14ac:dyDescent="0.3">
      <c r="A41">
        <v>25</v>
      </c>
      <c r="B41" s="142">
        <v>1562</v>
      </c>
      <c r="C41" s="143">
        <v>53750</v>
      </c>
      <c r="D41" s="143">
        <v>1784</v>
      </c>
      <c r="O41" s="136"/>
    </row>
    <row r="42" spans="1:15" x14ac:dyDescent="0.3">
      <c r="A42">
        <v>26</v>
      </c>
      <c r="B42" s="142">
        <v>1562.5</v>
      </c>
      <c r="C42" s="143">
        <v>54647</v>
      </c>
      <c r="D42" s="143">
        <v>1807</v>
      </c>
      <c r="O42" s="136"/>
    </row>
    <row r="43" spans="1:15" x14ac:dyDescent="0.3">
      <c r="A43">
        <v>27</v>
      </c>
      <c r="B43" s="142">
        <v>1563</v>
      </c>
      <c r="C43" s="143">
        <v>55556</v>
      </c>
      <c r="D43" s="143">
        <v>1829</v>
      </c>
      <c r="O43" s="136"/>
    </row>
    <row r="44" spans="1:15" x14ac:dyDescent="0.3">
      <c r="A44">
        <v>28</v>
      </c>
      <c r="B44" s="142">
        <v>1563.5</v>
      </c>
      <c r="C44" s="143">
        <v>56476</v>
      </c>
      <c r="D44" s="143">
        <v>1851</v>
      </c>
      <c r="O44" s="136"/>
    </row>
    <row r="45" spans="1:15" x14ac:dyDescent="0.3">
      <c r="A45">
        <v>29</v>
      </c>
      <c r="B45" s="142">
        <v>1564</v>
      </c>
      <c r="C45" s="143">
        <v>57407</v>
      </c>
      <c r="D45" s="143">
        <v>1873</v>
      </c>
      <c r="L45" s="152"/>
      <c r="O45" s="136"/>
    </row>
    <row r="46" spans="1:15" x14ac:dyDescent="0.3">
      <c r="A46">
        <v>30</v>
      </c>
      <c r="B46" s="142">
        <v>1564.5</v>
      </c>
      <c r="C46" s="143">
        <v>58350</v>
      </c>
      <c r="D46" s="143">
        <v>1896</v>
      </c>
      <c r="O46" s="136"/>
    </row>
    <row r="47" spans="1:15" x14ac:dyDescent="0.3">
      <c r="A47">
        <v>31</v>
      </c>
      <c r="B47" s="142">
        <v>1565</v>
      </c>
      <c r="C47" s="143">
        <v>59303</v>
      </c>
      <c r="D47" s="143">
        <v>1918</v>
      </c>
      <c r="O47" s="136"/>
    </row>
    <row r="48" spans="1:15" x14ac:dyDescent="0.3">
      <c r="A48">
        <v>32</v>
      </c>
      <c r="B48" s="142">
        <v>1565.5</v>
      </c>
      <c r="C48" s="143">
        <v>60270</v>
      </c>
      <c r="D48" s="143">
        <v>1951</v>
      </c>
      <c r="O48" s="136"/>
    </row>
    <row r="49" spans="1:15" x14ac:dyDescent="0.3">
      <c r="A49">
        <v>33</v>
      </c>
      <c r="B49" s="142">
        <v>1566</v>
      </c>
      <c r="C49" s="143">
        <v>61254</v>
      </c>
      <c r="D49" s="143">
        <v>1983</v>
      </c>
      <c r="O49" s="136"/>
    </row>
    <row r="50" spans="1:15" x14ac:dyDescent="0.3">
      <c r="A50">
        <v>34</v>
      </c>
      <c r="B50" s="142">
        <v>1566.5</v>
      </c>
      <c r="C50" s="143">
        <v>62254</v>
      </c>
      <c r="D50" s="143">
        <v>2016</v>
      </c>
      <c r="O50" s="136"/>
    </row>
    <row r="51" spans="1:15" x14ac:dyDescent="0.3">
      <c r="A51">
        <v>35</v>
      </c>
      <c r="B51" s="142">
        <v>1567</v>
      </c>
      <c r="C51" s="143">
        <v>63270</v>
      </c>
      <c r="D51" s="143">
        <v>2049</v>
      </c>
      <c r="O51" s="136"/>
    </row>
    <row r="52" spans="1:15" x14ac:dyDescent="0.3">
      <c r="A52">
        <v>36</v>
      </c>
      <c r="B52" s="142">
        <v>1567.5</v>
      </c>
      <c r="C52" s="143">
        <v>64302</v>
      </c>
      <c r="D52" s="143">
        <v>2081</v>
      </c>
      <c r="O52" s="136"/>
    </row>
    <row r="53" spans="1:15" x14ac:dyDescent="0.3">
      <c r="A53">
        <v>37</v>
      </c>
      <c r="B53" s="142">
        <v>1568</v>
      </c>
      <c r="C53" s="143">
        <v>65351</v>
      </c>
      <c r="D53" s="143">
        <v>2114</v>
      </c>
      <c r="O53" s="136"/>
    </row>
    <row r="54" spans="1:15" x14ac:dyDescent="0.3">
      <c r="A54">
        <v>38</v>
      </c>
      <c r="B54" s="142">
        <v>1568.5</v>
      </c>
      <c r="C54" s="143">
        <v>66416</v>
      </c>
      <c r="D54" s="143">
        <v>2147</v>
      </c>
      <c r="O54" s="136"/>
    </row>
    <row r="55" spans="1:15" x14ac:dyDescent="0.3">
      <c r="A55">
        <v>39</v>
      </c>
      <c r="B55" s="142">
        <v>1569</v>
      </c>
      <c r="C55" s="143">
        <v>67498</v>
      </c>
      <c r="D55" s="143">
        <v>2179</v>
      </c>
      <c r="O55" s="136"/>
    </row>
    <row r="56" spans="1:15" x14ac:dyDescent="0.3">
      <c r="A56">
        <v>40</v>
      </c>
      <c r="B56" s="142">
        <v>1569.5</v>
      </c>
      <c r="C56" s="143">
        <v>68596</v>
      </c>
      <c r="D56" s="143">
        <v>2212</v>
      </c>
      <c r="O56" s="136"/>
    </row>
    <row r="57" spans="1:15" x14ac:dyDescent="0.3">
      <c r="A57">
        <v>41</v>
      </c>
      <c r="B57" s="142">
        <v>1570</v>
      </c>
      <c r="C57" s="143">
        <v>69710</v>
      </c>
      <c r="D57" s="143">
        <v>2245</v>
      </c>
      <c r="O57" s="136"/>
    </row>
    <row r="58" spans="1:15" x14ac:dyDescent="0.3">
      <c r="A58">
        <v>42</v>
      </c>
      <c r="B58" s="142">
        <v>1570.5</v>
      </c>
      <c r="C58" s="143">
        <v>70840</v>
      </c>
      <c r="D58" s="143">
        <v>2277</v>
      </c>
      <c r="O58" s="136"/>
    </row>
    <row r="59" spans="1:15" x14ac:dyDescent="0.3">
      <c r="A59">
        <v>43</v>
      </c>
      <c r="B59" s="142">
        <v>1571</v>
      </c>
      <c r="C59" s="143">
        <v>71987</v>
      </c>
      <c r="D59" s="143">
        <v>2310</v>
      </c>
      <c r="O59" s="136"/>
    </row>
    <row r="60" spans="1:15" x14ac:dyDescent="0.3">
      <c r="A60">
        <v>44</v>
      </c>
      <c r="B60" s="142">
        <v>1571.5</v>
      </c>
      <c r="C60" s="143">
        <v>73151</v>
      </c>
      <c r="D60" s="143">
        <v>2346</v>
      </c>
      <c r="O60" s="136"/>
    </row>
    <row r="61" spans="1:15" x14ac:dyDescent="0.3">
      <c r="A61">
        <v>45</v>
      </c>
      <c r="B61" s="142">
        <v>1572</v>
      </c>
      <c r="C61" s="143">
        <v>74334</v>
      </c>
      <c r="D61" s="143">
        <v>2383</v>
      </c>
      <c r="O61" s="136"/>
    </row>
    <row r="62" spans="1:15" x14ac:dyDescent="0.3">
      <c r="A62">
        <v>46</v>
      </c>
      <c r="B62" s="142">
        <v>1572.5</v>
      </c>
      <c r="C62" s="143">
        <v>75534</v>
      </c>
      <c r="D62" s="143">
        <v>2420</v>
      </c>
      <c r="O62" s="136"/>
    </row>
    <row r="63" spans="1:15" x14ac:dyDescent="0.3">
      <c r="A63">
        <v>47</v>
      </c>
      <c r="B63" s="142">
        <v>1573</v>
      </c>
      <c r="C63" s="143">
        <v>76753</v>
      </c>
      <c r="D63" s="143">
        <v>2456</v>
      </c>
      <c r="O63" s="136"/>
    </row>
    <row r="64" spans="1:15" x14ac:dyDescent="0.3">
      <c r="A64">
        <v>48</v>
      </c>
      <c r="B64" s="142">
        <v>1573.5</v>
      </c>
      <c r="C64" s="143">
        <v>77990</v>
      </c>
      <c r="D64" s="143">
        <v>2493</v>
      </c>
      <c r="O64" s="136"/>
    </row>
    <row r="65" spans="1:15" x14ac:dyDescent="0.3">
      <c r="A65">
        <v>49</v>
      </c>
      <c r="B65" s="142">
        <v>1574</v>
      </c>
      <c r="C65" s="143">
        <v>79246</v>
      </c>
      <c r="D65" s="143">
        <v>2529</v>
      </c>
      <c r="O65" s="136"/>
    </row>
    <row r="66" spans="1:15" x14ac:dyDescent="0.3">
      <c r="A66">
        <v>50</v>
      </c>
      <c r="B66" s="142">
        <v>1574.5</v>
      </c>
      <c r="C66" s="143">
        <v>80519</v>
      </c>
      <c r="D66" s="143">
        <v>2566</v>
      </c>
      <c r="O66" s="136"/>
    </row>
    <row r="67" spans="1:15" x14ac:dyDescent="0.3">
      <c r="A67">
        <v>51</v>
      </c>
      <c r="B67" s="142">
        <v>1575</v>
      </c>
      <c r="C67" s="143">
        <v>81811</v>
      </c>
      <c r="D67" s="143">
        <v>2602</v>
      </c>
      <c r="O67" s="136"/>
    </row>
    <row r="68" spans="1:15" x14ac:dyDescent="0.3">
      <c r="A68">
        <v>52</v>
      </c>
      <c r="B68" s="142">
        <v>1575.5</v>
      </c>
      <c r="C68" s="143">
        <v>83118</v>
      </c>
      <c r="D68" s="143">
        <v>2624</v>
      </c>
      <c r="O68" s="136"/>
    </row>
    <row r="69" spans="1:15" x14ac:dyDescent="0.3">
      <c r="A69">
        <v>53</v>
      </c>
      <c r="B69" s="142">
        <v>1576</v>
      </c>
      <c r="C69" s="143">
        <v>84436</v>
      </c>
      <c r="D69" s="143">
        <v>2647</v>
      </c>
      <c r="O69" s="136"/>
    </row>
    <row r="70" spans="1:15" x14ac:dyDescent="0.3">
      <c r="A70">
        <v>54</v>
      </c>
      <c r="B70" s="142">
        <v>1576.5</v>
      </c>
      <c r="C70" s="143">
        <v>85765</v>
      </c>
      <c r="D70" s="143">
        <v>2670</v>
      </c>
    </row>
    <row r="71" spans="1:15" x14ac:dyDescent="0.3">
      <c r="A71">
        <v>55</v>
      </c>
      <c r="B71" s="142">
        <v>1577</v>
      </c>
      <c r="C71" s="143">
        <v>87105</v>
      </c>
      <c r="D71" s="143">
        <v>2692</v>
      </c>
      <c r="O71" s="136"/>
    </row>
    <row r="72" spans="1:15" x14ac:dyDescent="0.3">
      <c r="A72">
        <v>56</v>
      </c>
      <c r="B72" s="142">
        <v>1577.5</v>
      </c>
      <c r="C72" s="143">
        <v>88457</v>
      </c>
      <c r="D72" s="143">
        <v>2715</v>
      </c>
      <c r="O72" s="136"/>
    </row>
    <row r="73" spans="1:15" x14ac:dyDescent="0.3">
      <c r="A73">
        <v>57</v>
      </c>
      <c r="B73" s="142">
        <v>1578</v>
      </c>
      <c r="C73" s="143">
        <v>89820</v>
      </c>
      <c r="D73" s="143">
        <v>2737</v>
      </c>
      <c r="O73" s="136"/>
    </row>
    <row r="74" spans="1:15" x14ac:dyDescent="0.3">
      <c r="A74">
        <v>58</v>
      </c>
      <c r="B74" s="142">
        <v>1578.5</v>
      </c>
      <c r="C74" s="143">
        <v>91194</v>
      </c>
      <c r="D74" s="143">
        <v>2760</v>
      </c>
      <c r="O74" s="136"/>
    </row>
    <row r="75" spans="1:15" x14ac:dyDescent="0.3">
      <c r="A75">
        <v>59</v>
      </c>
      <c r="B75" s="142">
        <v>1579</v>
      </c>
      <c r="C75" s="143">
        <v>92579</v>
      </c>
      <c r="D75" s="143">
        <v>2782</v>
      </c>
      <c r="O75" s="136"/>
    </row>
    <row r="76" spans="1:15" x14ac:dyDescent="0.3">
      <c r="A76">
        <v>60</v>
      </c>
      <c r="B76" s="142">
        <v>1579.5</v>
      </c>
      <c r="C76" s="143">
        <v>93976</v>
      </c>
      <c r="D76" s="143">
        <v>2805</v>
      </c>
      <c r="O76" s="136"/>
    </row>
    <row r="77" spans="1:15" x14ac:dyDescent="0.3">
      <c r="A77">
        <v>61</v>
      </c>
      <c r="B77" s="142">
        <v>1580</v>
      </c>
      <c r="C77" s="143">
        <v>95384</v>
      </c>
      <c r="D77" s="143">
        <v>2827</v>
      </c>
      <c r="O77" s="136"/>
    </row>
    <row r="78" spans="1:15" x14ac:dyDescent="0.3">
      <c r="A78">
        <v>62</v>
      </c>
      <c r="B78" s="142">
        <v>1580.5</v>
      </c>
      <c r="C78" s="143">
        <v>96803</v>
      </c>
      <c r="D78" s="143">
        <v>2850</v>
      </c>
      <c r="O78" s="136"/>
    </row>
    <row r="79" spans="1:15" x14ac:dyDescent="0.3">
      <c r="A79">
        <v>63</v>
      </c>
      <c r="B79" s="142">
        <v>1581</v>
      </c>
      <c r="C79" s="143">
        <v>98233</v>
      </c>
      <c r="D79" s="143">
        <v>2872</v>
      </c>
      <c r="O79" s="136"/>
    </row>
    <row r="80" spans="1:15" x14ac:dyDescent="0.3">
      <c r="A80">
        <v>64</v>
      </c>
      <c r="B80" s="142">
        <v>1581.5</v>
      </c>
      <c r="C80" s="143">
        <v>99675</v>
      </c>
      <c r="D80" s="143">
        <v>2895</v>
      </c>
      <c r="O80" s="136"/>
    </row>
    <row r="81" spans="1:15" x14ac:dyDescent="0.3">
      <c r="A81">
        <v>65</v>
      </c>
      <c r="B81" s="142">
        <v>1582</v>
      </c>
      <c r="C81" s="143">
        <v>10128</v>
      </c>
      <c r="D81" s="143">
        <v>2917</v>
      </c>
      <c r="O81" s="136"/>
    </row>
    <row r="82" spans="1:15" x14ac:dyDescent="0.3">
      <c r="A82">
        <v>66</v>
      </c>
      <c r="B82" s="142">
        <v>1582.5</v>
      </c>
      <c r="C82" s="143">
        <v>102592</v>
      </c>
      <c r="D82" s="143">
        <v>2940</v>
      </c>
      <c r="O82" s="136"/>
    </row>
    <row r="83" spans="1:15" x14ac:dyDescent="0.3">
      <c r="A83">
        <v>67</v>
      </c>
      <c r="B83" s="142">
        <v>1583</v>
      </c>
      <c r="C83" s="143">
        <v>104068</v>
      </c>
      <c r="D83" s="143">
        <v>2963</v>
      </c>
      <c r="O83" s="136"/>
    </row>
    <row r="84" spans="1:15" x14ac:dyDescent="0.3">
      <c r="A84">
        <v>68</v>
      </c>
      <c r="B84" s="142">
        <v>1583.5</v>
      </c>
      <c r="C84" s="143">
        <v>105555</v>
      </c>
      <c r="D84" s="143">
        <v>2985</v>
      </c>
      <c r="O84" s="136"/>
    </row>
    <row r="85" spans="1:15" x14ac:dyDescent="0.3">
      <c r="A85">
        <v>69</v>
      </c>
      <c r="B85" s="142">
        <v>1584</v>
      </c>
      <c r="C85" s="143">
        <v>107053</v>
      </c>
      <c r="D85" s="143">
        <v>3008</v>
      </c>
      <c r="O85" s="136"/>
    </row>
    <row r="86" spans="1:15" x14ac:dyDescent="0.3">
      <c r="A86">
        <v>70</v>
      </c>
      <c r="B86" s="142">
        <v>1584.5</v>
      </c>
      <c r="C86" s="143">
        <v>108563</v>
      </c>
      <c r="D86" s="143">
        <v>3030</v>
      </c>
      <c r="O86" s="136"/>
    </row>
    <row r="87" spans="1:15" x14ac:dyDescent="0.3">
      <c r="A87">
        <v>71</v>
      </c>
      <c r="B87" s="142">
        <v>1585</v>
      </c>
      <c r="C87" s="143">
        <v>110084</v>
      </c>
      <c r="D87" s="143">
        <v>3053</v>
      </c>
      <c r="O87" s="136"/>
    </row>
    <row r="88" spans="1:15" x14ac:dyDescent="0.3">
      <c r="A88">
        <v>72</v>
      </c>
      <c r="B88" s="142">
        <v>1585.5</v>
      </c>
      <c r="C88" s="143">
        <v>111617</v>
      </c>
      <c r="D88" s="143">
        <v>3081</v>
      </c>
      <c r="O88" s="136"/>
    </row>
    <row r="89" spans="1:15" x14ac:dyDescent="0.3">
      <c r="A89">
        <v>73</v>
      </c>
      <c r="B89" s="142">
        <v>1586</v>
      </c>
      <c r="C89" s="143">
        <v>113164</v>
      </c>
      <c r="D89" s="143">
        <v>3109</v>
      </c>
      <c r="O89" s="136"/>
    </row>
    <row r="90" spans="1:15" x14ac:dyDescent="0.3">
      <c r="A90">
        <v>74</v>
      </c>
      <c r="B90" s="142">
        <v>1586.5</v>
      </c>
      <c r="C90" s="143">
        <v>114726</v>
      </c>
      <c r="D90" s="143">
        <v>3137</v>
      </c>
      <c r="O90" s="136"/>
    </row>
    <row r="91" spans="1:15" x14ac:dyDescent="0.3">
      <c r="A91">
        <v>75</v>
      </c>
      <c r="B91" s="142">
        <v>1587</v>
      </c>
      <c r="C91" s="143">
        <v>116301</v>
      </c>
      <c r="D91" s="143">
        <v>3165</v>
      </c>
      <c r="O91" s="136"/>
    </row>
    <row r="92" spans="1:15" x14ac:dyDescent="0.3">
      <c r="A92">
        <v>76</v>
      </c>
      <c r="B92" s="142">
        <v>1587.5</v>
      </c>
      <c r="C92" s="143">
        <v>117890</v>
      </c>
      <c r="D92" s="143">
        <v>3192</v>
      </c>
      <c r="O92" s="136"/>
    </row>
    <row r="93" spans="1:15" x14ac:dyDescent="0.3">
      <c r="A93">
        <v>77</v>
      </c>
      <c r="B93" s="142">
        <v>1588</v>
      </c>
      <c r="C93" s="143">
        <v>119494</v>
      </c>
      <c r="D93" s="143">
        <v>3220</v>
      </c>
      <c r="O93" s="136"/>
    </row>
    <row r="94" spans="1:15" x14ac:dyDescent="0.3">
      <c r="A94">
        <v>78</v>
      </c>
      <c r="B94" s="142">
        <v>1588.5</v>
      </c>
      <c r="C94" s="143">
        <v>121111</v>
      </c>
      <c r="D94" s="143">
        <v>3248</v>
      </c>
      <c r="O94" s="136"/>
    </row>
    <row r="95" spans="1:15" x14ac:dyDescent="0.3">
      <c r="A95">
        <v>79</v>
      </c>
      <c r="B95" s="142">
        <v>1589</v>
      </c>
      <c r="C95" s="143">
        <v>122742</v>
      </c>
      <c r="D95" s="143">
        <v>3276</v>
      </c>
      <c r="O95" s="136"/>
    </row>
    <row r="96" spans="1:15" x14ac:dyDescent="0.3">
      <c r="A96">
        <v>80</v>
      </c>
      <c r="B96" s="142">
        <v>1589.5</v>
      </c>
      <c r="C96" s="143">
        <v>124387</v>
      </c>
      <c r="D96" s="143">
        <v>3304</v>
      </c>
      <c r="O96" s="136"/>
    </row>
    <row r="97" spans="1:15" x14ac:dyDescent="0.3">
      <c r="A97">
        <v>81</v>
      </c>
      <c r="B97" s="153">
        <v>1590</v>
      </c>
      <c r="C97" s="154">
        <v>126046</v>
      </c>
      <c r="D97" s="154">
        <v>3332</v>
      </c>
      <c r="O97" s="136"/>
    </row>
    <row r="98" spans="1:15" x14ac:dyDescent="0.3">
      <c r="A98">
        <v>82</v>
      </c>
      <c r="B98" s="153">
        <v>1590.5</v>
      </c>
      <c r="C98" s="154">
        <v>127722</v>
      </c>
      <c r="D98" s="154">
        <v>3373</v>
      </c>
      <c r="O98" s="136"/>
    </row>
    <row r="99" spans="1:15" x14ac:dyDescent="0.3">
      <c r="A99">
        <v>83</v>
      </c>
      <c r="B99" s="153">
        <v>1591</v>
      </c>
      <c r="C99" s="154">
        <v>129419</v>
      </c>
      <c r="D99" s="154">
        <v>3413</v>
      </c>
      <c r="O99" s="136"/>
    </row>
    <row r="100" spans="1:15" x14ac:dyDescent="0.3">
      <c r="A100">
        <v>84</v>
      </c>
      <c r="B100" s="153">
        <v>1591.5</v>
      </c>
      <c r="C100" s="154">
        <v>131135</v>
      </c>
      <c r="D100" s="154">
        <v>3454</v>
      </c>
      <c r="O100" s="136"/>
    </row>
    <row r="101" spans="1:15" x14ac:dyDescent="0.3">
      <c r="A101">
        <v>85</v>
      </c>
      <c r="B101" s="153">
        <v>1592</v>
      </c>
      <c r="C101" s="154">
        <v>132872</v>
      </c>
      <c r="D101" s="154">
        <v>3494</v>
      </c>
      <c r="O101" s="136"/>
    </row>
    <row r="102" spans="1:15" x14ac:dyDescent="0.3">
      <c r="A102">
        <v>86</v>
      </c>
      <c r="B102" s="153">
        <v>1592.5</v>
      </c>
      <c r="C102" s="154">
        <v>134630</v>
      </c>
      <c r="D102" s="154">
        <v>3535</v>
      </c>
      <c r="O102" s="136"/>
    </row>
    <row r="103" spans="1:15" x14ac:dyDescent="0.3">
      <c r="A103">
        <v>87</v>
      </c>
      <c r="B103" s="153">
        <v>1593</v>
      </c>
      <c r="C103" s="154">
        <v>136407</v>
      </c>
      <c r="D103" s="154">
        <v>3576</v>
      </c>
      <c r="O103" s="136"/>
    </row>
    <row r="104" spans="1:15" x14ac:dyDescent="0.3">
      <c r="A104">
        <v>88</v>
      </c>
      <c r="B104" s="153">
        <v>1593.5</v>
      </c>
      <c r="C104" s="154">
        <v>138205</v>
      </c>
      <c r="D104" s="154">
        <v>3616</v>
      </c>
      <c r="O104" s="136"/>
    </row>
    <row r="105" spans="1:15" x14ac:dyDescent="0.3">
      <c r="A105">
        <v>89</v>
      </c>
      <c r="B105" s="153">
        <v>1594</v>
      </c>
      <c r="C105" s="154">
        <v>140024</v>
      </c>
      <c r="D105" s="154">
        <v>3657</v>
      </c>
      <c r="O105" s="136"/>
    </row>
    <row r="106" spans="1:15" x14ac:dyDescent="0.3">
      <c r="A106">
        <v>90</v>
      </c>
      <c r="B106" s="153">
        <v>1594.5</v>
      </c>
      <c r="C106" s="154">
        <v>141862</v>
      </c>
      <c r="D106" s="154">
        <v>3697</v>
      </c>
      <c r="O106" s="136"/>
    </row>
    <row r="107" spans="1:15" x14ac:dyDescent="0.3">
      <c r="A107">
        <v>91</v>
      </c>
      <c r="B107" s="153">
        <v>1595</v>
      </c>
      <c r="C107" s="154">
        <v>143721</v>
      </c>
      <c r="D107" s="154">
        <v>3738</v>
      </c>
      <c r="O107" s="136"/>
    </row>
    <row r="108" spans="1:15" x14ac:dyDescent="0.3">
      <c r="A108">
        <v>92</v>
      </c>
      <c r="B108" s="153">
        <v>1595.5</v>
      </c>
      <c r="C108" s="154">
        <v>145595</v>
      </c>
      <c r="D108" s="154">
        <v>3756</v>
      </c>
      <c r="O108" s="136"/>
    </row>
    <row r="109" spans="1:15" x14ac:dyDescent="0.3">
      <c r="A109">
        <v>93</v>
      </c>
      <c r="B109" s="153">
        <v>1595.9999999999945</v>
      </c>
      <c r="C109" s="154">
        <v>147477</v>
      </c>
      <c r="D109" s="154">
        <v>3775</v>
      </c>
      <c r="O109" s="136"/>
    </row>
    <row r="110" spans="1:15" x14ac:dyDescent="0.3">
      <c r="A110">
        <v>94</v>
      </c>
      <c r="B110" s="153">
        <v>1596.4999999999941</v>
      </c>
      <c r="C110" s="154">
        <v>149369</v>
      </c>
      <c r="D110" s="154">
        <v>3793</v>
      </c>
      <c r="O110" s="136"/>
    </row>
    <row r="111" spans="1:15" x14ac:dyDescent="0.3">
      <c r="A111">
        <v>95</v>
      </c>
      <c r="B111" s="153">
        <v>1596.9999999999936</v>
      </c>
      <c r="C111" s="154">
        <v>151271</v>
      </c>
      <c r="D111" s="154">
        <v>3812</v>
      </c>
      <c r="O111" s="136"/>
    </row>
    <row r="112" spans="1:15" x14ac:dyDescent="0.3">
      <c r="A112">
        <v>96</v>
      </c>
      <c r="B112" s="153">
        <v>1597.4999999999932</v>
      </c>
      <c r="C112" s="154">
        <v>153181</v>
      </c>
      <c r="D112" s="154">
        <v>3830</v>
      </c>
      <c r="O112" s="136"/>
    </row>
    <row r="113" spans="1:15" x14ac:dyDescent="0.3">
      <c r="A113">
        <v>97</v>
      </c>
      <c r="B113" s="153">
        <v>1597.9999999999927</v>
      </c>
      <c r="C113" s="154">
        <v>155101</v>
      </c>
      <c r="D113" s="154">
        <v>3848</v>
      </c>
      <c r="O113" s="136"/>
    </row>
    <row r="114" spans="1:15" x14ac:dyDescent="0.3">
      <c r="A114">
        <v>98</v>
      </c>
      <c r="B114" s="153">
        <v>1598.4999999999923</v>
      </c>
      <c r="C114" s="154">
        <v>157029</v>
      </c>
      <c r="D114" s="154">
        <v>3867</v>
      </c>
      <c r="O114" s="136"/>
    </row>
    <row r="115" spans="1:15" x14ac:dyDescent="0.3">
      <c r="A115">
        <v>99</v>
      </c>
      <c r="B115" s="153">
        <v>1598.9999999999918</v>
      </c>
      <c r="C115" s="154">
        <v>158967</v>
      </c>
      <c r="D115" s="154">
        <v>3885</v>
      </c>
      <c r="O115" s="136"/>
    </row>
    <row r="116" spans="1:15" x14ac:dyDescent="0.3">
      <c r="A116">
        <v>100</v>
      </c>
      <c r="B116" s="153">
        <v>1599.4999999999914</v>
      </c>
      <c r="C116" s="154">
        <v>160915</v>
      </c>
      <c r="D116" s="154">
        <v>3904</v>
      </c>
      <c r="O116" s="136"/>
    </row>
    <row r="117" spans="1:15" x14ac:dyDescent="0.3">
      <c r="A117">
        <v>101</v>
      </c>
      <c r="B117" s="153">
        <v>1599.9999999999909</v>
      </c>
      <c r="C117" s="154">
        <v>162871</v>
      </c>
      <c r="D117" s="154">
        <v>3922</v>
      </c>
      <c r="O117" s="136"/>
    </row>
    <row r="118" spans="1:15" x14ac:dyDescent="0.3">
      <c r="A118">
        <v>102</v>
      </c>
      <c r="B118" s="153">
        <v>1600.4999999999905</v>
      </c>
      <c r="C118" s="154">
        <v>164838</v>
      </c>
      <c r="D118" s="154">
        <v>3947</v>
      </c>
      <c r="O118" s="136"/>
    </row>
    <row r="119" spans="1:15" x14ac:dyDescent="0.3">
      <c r="A119">
        <v>103</v>
      </c>
      <c r="B119" s="153">
        <v>1600.99999999999</v>
      </c>
      <c r="C119" s="154">
        <v>166818</v>
      </c>
      <c r="D119" s="154">
        <v>3973</v>
      </c>
      <c r="O119" s="136"/>
    </row>
    <row r="120" spans="1:15" x14ac:dyDescent="0.3">
      <c r="A120">
        <v>104</v>
      </c>
      <c r="B120" s="153">
        <v>1601.4999999999895</v>
      </c>
      <c r="C120" s="154">
        <v>168811</v>
      </c>
      <c r="D120" s="154">
        <v>3998</v>
      </c>
    </row>
    <row r="121" spans="1:15" x14ac:dyDescent="0.3">
      <c r="A121">
        <v>105</v>
      </c>
      <c r="B121" s="153">
        <v>1601.9999999999891</v>
      </c>
      <c r="C121" s="154">
        <v>170816</v>
      </c>
      <c r="D121" s="154">
        <v>4023</v>
      </c>
      <c r="O121" s="136"/>
    </row>
    <row r="122" spans="1:15" x14ac:dyDescent="0.3">
      <c r="A122">
        <v>106</v>
      </c>
      <c r="B122" s="153">
        <v>1602.4999999999886</v>
      </c>
      <c r="C122" s="154">
        <v>172834</v>
      </c>
      <c r="D122" s="154">
        <v>4049</v>
      </c>
      <c r="O122" s="136"/>
    </row>
    <row r="123" spans="1:15" x14ac:dyDescent="0.3">
      <c r="A123">
        <v>107</v>
      </c>
      <c r="B123" s="153">
        <v>1602.9999999999882</v>
      </c>
      <c r="C123" s="154">
        <v>174865</v>
      </c>
      <c r="D123" s="154">
        <v>4074</v>
      </c>
      <c r="O123" s="136"/>
    </row>
    <row r="124" spans="1:15" x14ac:dyDescent="0.3">
      <c r="A124">
        <v>108</v>
      </c>
      <c r="B124" s="153">
        <v>1603.4999999999877</v>
      </c>
      <c r="C124" s="154">
        <v>176908</v>
      </c>
      <c r="D124" s="154">
        <v>4099</v>
      </c>
      <c r="O124" s="136"/>
    </row>
    <row r="125" spans="1:15" x14ac:dyDescent="0.3">
      <c r="A125">
        <v>109</v>
      </c>
      <c r="B125" s="153">
        <v>1603.9999999999873</v>
      </c>
      <c r="C125" s="154">
        <v>178964</v>
      </c>
      <c r="D125" s="154">
        <v>4124</v>
      </c>
      <c r="O125" s="136"/>
    </row>
    <row r="126" spans="1:15" x14ac:dyDescent="0.3">
      <c r="A126">
        <v>110</v>
      </c>
      <c r="B126" s="153">
        <v>1604.4999999999868</v>
      </c>
      <c r="C126" s="154">
        <v>181032</v>
      </c>
      <c r="D126" s="154">
        <v>4150</v>
      </c>
      <c r="O126" s="136"/>
    </row>
    <row r="127" spans="1:15" x14ac:dyDescent="0.3">
      <c r="A127">
        <v>111</v>
      </c>
      <c r="B127" s="153">
        <v>1604.9999999999864</v>
      </c>
      <c r="C127" s="154">
        <v>183114</v>
      </c>
      <c r="D127" s="154">
        <v>4175</v>
      </c>
      <c r="O127" s="136"/>
    </row>
    <row r="128" spans="1:15" x14ac:dyDescent="0.3">
      <c r="A128">
        <v>112</v>
      </c>
      <c r="B128" s="153">
        <v>1605.4999999999859</v>
      </c>
      <c r="C128" s="154">
        <v>185208</v>
      </c>
      <c r="D128" s="154">
        <v>4205</v>
      </c>
      <c r="O128" s="136"/>
    </row>
    <row r="129" spans="1:15" x14ac:dyDescent="0.3">
      <c r="A129">
        <v>113</v>
      </c>
      <c r="B129" s="153">
        <v>1605.9999999999854</v>
      </c>
      <c r="C129" s="154">
        <v>187318</v>
      </c>
      <c r="D129" s="154">
        <v>4235</v>
      </c>
      <c r="O129" s="136"/>
    </row>
    <row r="130" spans="1:15" x14ac:dyDescent="0.3">
      <c r="A130">
        <v>114</v>
      </c>
      <c r="B130" s="153">
        <v>1606.499999999985</v>
      </c>
      <c r="C130" s="154">
        <v>189443</v>
      </c>
      <c r="D130" s="154">
        <v>4265</v>
      </c>
      <c r="O130" s="136"/>
    </row>
    <row r="131" spans="1:15" x14ac:dyDescent="0.3">
      <c r="A131">
        <v>115</v>
      </c>
      <c r="B131" s="153">
        <v>1606.9999999999845</v>
      </c>
      <c r="C131" s="154">
        <v>191583</v>
      </c>
      <c r="D131" s="154">
        <v>4295</v>
      </c>
      <c r="O131" s="136"/>
    </row>
    <row r="132" spans="1:15" x14ac:dyDescent="0.3">
      <c r="A132">
        <v>116</v>
      </c>
      <c r="B132" s="153">
        <v>1607.4999999999841</v>
      </c>
      <c r="C132" s="154">
        <v>193738</v>
      </c>
      <c r="D132" s="154">
        <v>4325</v>
      </c>
      <c r="O132" s="136"/>
    </row>
    <row r="133" spans="1:15" x14ac:dyDescent="0.3">
      <c r="A133">
        <v>117</v>
      </c>
      <c r="B133" s="153">
        <v>1607.9999999999836</v>
      </c>
      <c r="C133" s="154">
        <v>195908</v>
      </c>
      <c r="D133" s="154">
        <v>4354</v>
      </c>
      <c r="O133" s="136"/>
    </row>
    <row r="134" spans="1:15" x14ac:dyDescent="0.3">
      <c r="A134">
        <v>118</v>
      </c>
      <c r="B134" s="153">
        <v>1608.4999999999832</v>
      </c>
      <c r="C134" s="154">
        <v>198092</v>
      </c>
      <c r="D134" s="154">
        <v>4384</v>
      </c>
      <c r="O134" s="136"/>
    </row>
    <row r="135" spans="1:15" x14ac:dyDescent="0.3">
      <c r="A135">
        <v>119</v>
      </c>
      <c r="B135" s="153">
        <v>1608.9999999999827</v>
      </c>
      <c r="C135" s="154">
        <v>200292</v>
      </c>
      <c r="D135" s="154">
        <v>4414</v>
      </c>
      <c r="O135" s="136"/>
    </row>
    <row r="136" spans="1:15" x14ac:dyDescent="0.3">
      <c r="A136">
        <v>120</v>
      </c>
      <c r="B136" s="153">
        <v>1609.4999999999823</v>
      </c>
      <c r="C136" s="154">
        <v>202506</v>
      </c>
      <c r="D136" s="154">
        <v>4444</v>
      </c>
      <c r="O136" s="136"/>
    </row>
    <row r="137" spans="1:15" x14ac:dyDescent="0.3">
      <c r="A137">
        <v>121</v>
      </c>
      <c r="B137" s="153">
        <v>1610</v>
      </c>
      <c r="C137" s="154">
        <v>204736</v>
      </c>
      <c r="D137" s="154">
        <v>4474</v>
      </c>
      <c r="O137" s="136"/>
    </row>
    <row r="138" spans="1:15" x14ac:dyDescent="0.3">
      <c r="A138">
        <v>122</v>
      </c>
      <c r="B138" s="153">
        <v>1610.5</v>
      </c>
      <c r="C138" s="154">
        <v>206978</v>
      </c>
      <c r="D138" s="154">
        <v>4496</v>
      </c>
      <c r="O138" s="136"/>
    </row>
    <row r="139" spans="1:15" x14ac:dyDescent="0.3">
      <c r="A139">
        <v>123</v>
      </c>
      <c r="B139" s="153">
        <v>1611</v>
      </c>
      <c r="C139" s="154">
        <v>209232</v>
      </c>
      <c r="D139" s="154">
        <v>4517</v>
      </c>
      <c r="O139" s="136"/>
    </row>
    <row r="140" spans="1:15" x14ac:dyDescent="0.3">
      <c r="A140">
        <v>124</v>
      </c>
      <c r="B140" s="153">
        <v>1611.5</v>
      </c>
      <c r="C140" s="154">
        <v>211495</v>
      </c>
      <c r="D140" s="154">
        <v>4539</v>
      </c>
      <c r="O140" s="136"/>
    </row>
    <row r="141" spans="1:15" x14ac:dyDescent="0.3">
      <c r="A141">
        <v>125</v>
      </c>
      <c r="B141" s="153">
        <v>1612</v>
      </c>
      <c r="C141" s="154">
        <v>213770</v>
      </c>
      <c r="D141" s="154">
        <v>4560</v>
      </c>
      <c r="O141" s="136"/>
    </row>
    <row r="142" spans="1:15" x14ac:dyDescent="0.3">
      <c r="A142">
        <v>126</v>
      </c>
      <c r="B142" s="153">
        <v>1612.5</v>
      </c>
      <c r="C142" s="154">
        <v>216055</v>
      </c>
      <c r="D142" s="154">
        <v>4582</v>
      </c>
      <c r="O142" s="136"/>
    </row>
    <row r="143" spans="1:15" x14ac:dyDescent="0.3">
      <c r="A143">
        <v>127</v>
      </c>
      <c r="B143" s="153">
        <v>1613</v>
      </c>
      <c r="C143" s="154">
        <v>218532</v>
      </c>
      <c r="D143" s="154">
        <v>4603</v>
      </c>
      <c r="O143" s="136"/>
    </row>
    <row r="144" spans="1:15" x14ac:dyDescent="0.3">
      <c r="A144">
        <v>128</v>
      </c>
      <c r="B144" s="153">
        <v>1613.5</v>
      </c>
      <c r="C144" s="154">
        <v>220658</v>
      </c>
      <c r="D144" s="154">
        <v>4625</v>
      </c>
      <c r="O144" s="136"/>
    </row>
    <row r="145" spans="1:15" x14ac:dyDescent="0.3">
      <c r="A145">
        <v>129</v>
      </c>
      <c r="B145" s="153">
        <v>1614</v>
      </c>
      <c r="C145" s="154">
        <v>222976</v>
      </c>
      <c r="D145" s="154">
        <v>4646</v>
      </c>
      <c r="O145" s="136"/>
    </row>
    <row r="146" spans="1:15" x14ac:dyDescent="0.3">
      <c r="A146">
        <v>130</v>
      </c>
      <c r="B146" s="153">
        <v>1614.5</v>
      </c>
      <c r="C146" s="154">
        <v>225304</v>
      </c>
      <c r="D146" s="154">
        <v>4668</v>
      </c>
      <c r="O146" s="136"/>
    </row>
    <row r="147" spans="1:15" x14ac:dyDescent="0.3">
      <c r="A147">
        <v>131</v>
      </c>
      <c r="B147" s="153">
        <v>1615</v>
      </c>
      <c r="C147" s="154">
        <v>227644</v>
      </c>
      <c r="D147" s="154">
        <v>4689</v>
      </c>
      <c r="O147" s="136"/>
    </row>
    <row r="148" spans="1:15" x14ac:dyDescent="0.3">
      <c r="A148">
        <v>132</v>
      </c>
      <c r="B148" s="153">
        <v>1615.5</v>
      </c>
      <c r="C148" s="154">
        <v>229996</v>
      </c>
      <c r="D148" s="154">
        <v>4720</v>
      </c>
      <c r="O148" s="136"/>
    </row>
    <row r="149" spans="1:15" x14ac:dyDescent="0.3">
      <c r="A149">
        <v>133</v>
      </c>
      <c r="B149" s="153">
        <v>1615.9999999999945</v>
      </c>
      <c r="C149" s="154">
        <v>232364</v>
      </c>
      <c r="D149" s="154">
        <v>4751</v>
      </c>
      <c r="O149" s="136"/>
    </row>
    <row r="150" spans="1:15" x14ac:dyDescent="0.3">
      <c r="A150">
        <v>134</v>
      </c>
      <c r="B150" s="153">
        <v>1616.4999999999941</v>
      </c>
      <c r="C150" s="154">
        <v>234747</v>
      </c>
      <c r="D150" s="154">
        <v>4783</v>
      </c>
      <c r="O150" s="136"/>
    </row>
    <row r="151" spans="1:15" x14ac:dyDescent="0.3">
      <c r="A151">
        <v>135</v>
      </c>
      <c r="B151" s="153">
        <v>1616.9999999999936</v>
      </c>
      <c r="C151" s="154">
        <v>237146</v>
      </c>
      <c r="D151" s="154">
        <v>4814</v>
      </c>
      <c r="O151" s="136"/>
    </row>
    <row r="152" spans="1:15" x14ac:dyDescent="0.3">
      <c r="A152">
        <v>136</v>
      </c>
      <c r="B152" s="153">
        <v>1617.4999999999932</v>
      </c>
      <c r="C152" s="154">
        <v>239561</v>
      </c>
      <c r="D152" s="154">
        <v>4845</v>
      </c>
      <c r="O152" s="136"/>
    </row>
    <row r="153" spans="1:15" x14ac:dyDescent="0.3">
      <c r="A153">
        <v>137</v>
      </c>
      <c r="B153" s="153">
        <v>1617.9999999999927</v>
      </c>
      <c r="C153" s="154">
        <v>241991</v>
      </c>
      <c r="D153" s="154">
        <v>4876</v>
      </c>
      <c r="O153" s="136"/>
    </row>
    <row r="154" spans="1:15" x14ac:dyDescent="0.3">
      <c r="A154">
        <v>138</v>
      </c>
      <c r="B154" s="153">
        <v>1618.4999999999923</v>
      </c>
      <c r="C154" s="154">
        <v>244437</v>
      </c>
      <c r="D154" s="154">
        <v>4907</v>
      </c>
      <c r="O154" s="136"/>
    </row>
    <row r="155" spans="1:15" x14ac:dyDescent="0.3">
      <c r="A155">
        <v>139</v>
      </c>
      <c r="B155" s="153">
        <v>1618.9999999999918</v>
      </c>
      <c r="C155" s="154">
        <v>246899</v>
      </c>
      <c r="D155" s="154">
        <v>4939</v>
      </c>
      <c r="O155" s="136"/>
    </row>
    <row r="156" spans="1:15" x14ac:dyDescent="0.3">
      <c r="A156">
        <v>140</v>
      </c>
      <c r="B156" s="153">
        <v>1619.4999999999914</v>
      </c>
      <c r="C156" s="154">
        <v>249376</v>
      </c>
      <c r="D156" s="154">
        <v>4970</v>
      </c>
      <c r="O156" s="136"/>
    </row>
    <row r="157" spans="1:15" x14ac:dyDescent="0.3">
      <c r="A157">
        <v>141</v>
      </c>
      <c r="B157" s="153">
        <v>1619.9999999999909</v>
      </c>
      <c r="C157" s="154">
        <v>251869</v>
      </c>
      <c r="D157" s="154">
        <v>5001</v>
      </c>
      <c r="O157" s="136"/>
    </row>
    <row r="158" spans="1:15" x14ac:dyDescent="0.3">
      <c r="A158">
        <v>142</v>
      </c>
      <c r="B158" s="153">
        <v>1620.4999999999905</v>
      </c>
      <c r="C158" s="154">
        <v>254376</v>
      </c>
      <c r="D158" s="154">
        <v>5030</v>
      </c>
      <c r="O158" s="136"/>
    </row>
    <row r="159" spans="1:15" x14ac:dyDescent="0.3">
      <c r="A159">
        <v>143</v>
      </c>
      <c r="B159" s="153">
        <v>1620.99999999999</v>
      </c>
      <c r="C159" s="154">
        <v>256899</v>
      </c>
      <c r="D159" s="154">
        <v>5059</v>
      </c>
      <c r="O159" s="136"/>
    </row>
    <row r="160" spans="1:15" x14ac:dyDescent="0.3">
      <c r="A160">
        <v>144</v>
      </c>
      <c r="B160" s="153">
        <v>1621.4999999999895</v>
      </c>
      <c r="C160" s="154">
        <v>259435</v>
      </c>
      <c r="D160" s="154">
        <v>5088</v>
      </c>
      <c r="O160" s="136"/>
    </row>
    <row r="161" spans="1:15" x14ac:dyDescent="0.3">
      <c r="A161">
        <v>145</v>
      </c>
      <c r="B161" s="153">
        <v>1621.9999999999891</v>
      </c>
      <c r="C161" s="154">
        <v>261987</v>
      </c>
      <c r="D161" s="154">
        <v>5117</v>
      </c>
      <c r="O161" s="136"/>
    </row>
    <row r="162" spans="1:15" x14ac:dyDescent="0.3">
      <c r="A162">
        <v>146</v>
      </c>
      <c r="B162" s="153">
        <v>1622.4999999999886</v>
      </c>
      <c r="C162" s="154">
        <v>264553</v>
      </c>
      <c r="D162" s="154">
        <v>5147</v>
      </c>
      <c r="O162" s="136"/>
    </row>
    <row r="163" spans="1:15" x14ac:dyDescent="0.3">
      <c r="A163">
        <v>147</v>
      </c>
      <c r="B163" s="153">
        <v>1622.9999999999882</v>
      </c>
      <c r="C163" s="154">
        <v>267133</v>
      </c>
      <c r="D163" s="154">
        <v>5176</v>
      </c>
      <c r="O163" s="136"/>
    </row>
    <row r="164" spans="1:15" x14ac:dyDescent="0.3">
      <c r="A164">
        <v>148</v>
      </c>
      <c r="B164" s="153">
        <v>1623.4999999999877</v>
      </c>
      <c r="C164" s="154">
        <v>269728</v>
      </c>
      <c r="D164" s="154">
        <v>5205</v>
      </c>
      <c r="O164" s="136"/>
    </row>
    <row r="165" spans="1:15" x14ac:dyDescent="0.3">
      <c r="A165">
        <v>149</v>
      </c>
      <c r="B165" s="153">
        <v>1623.9999999999873</v>
      </c>
      <c r="C165" s="154">
        <v>272338</v>
      </c>
      <c r="D165" s="154">
        <v>5234</v>
      </c>
      <c r="O165" s="136"/>
    </row>
    <row r="166" spans="1:15" x14ac:dyDescent="0.3">
      <c r="A166">
        <v>150</v>
      </c>
      <c r="B166" s="153">
        <v>1624.4999999999868</v>
      </c>
      <c r="C166" s="154">
        <v>274962</v>
      </c>
      <c r="D166" s="154">
        <v>5263</v>
      </c>
      <c r="O166" s="136"/>
    </row>
    <row r="167" spans="1:15" x14ac:dyDescent="0.3">
      <c r="A167">
        <v>151</v>
      </c>
      <c r="B167" s="153">
        <v>1624.9999999999864</v>
      </c>
      <c r="C167" s="154">
        <v>277601</v>
      </c>
      <c r="D167" s="154">
        <v>5292</v>
      </c>
    </row>
    <row r="168" spans="1:15" x14ac:dyDescent="0.3">
      <c r="A168">
        <v>152</v>
      </c>
      <c r="B168" s="153">
        <v>1625.4999999999859</v>
      </c>
      <c r="C168" s="154">
        <v>280254</v>
      </c>
      <c r="D168" s="154">
        <v>5318</v>
      </c>
    </row>
    <row r="169" spans="1:15" x14ac:dyDescent="0.3">
      <c r="A169">
        <v>153</v>
      </c>
      <c r="B169" s="153">
        <v>1625.9999999999854</v>
      </c>
      <c r="C169" s="154">
        <v>282919</v>
      </c>
      <c r="D169" s="154">
        <v>5344</v>
      </c>
    </row>
    <row r="170" spans="1:15" x14ac:dyDescent="0.3">
      <c r="A170">
        <v>154</v>
      </c>
      <c r="B170" s="153">
        <v>1626.499999999985</v>
      </c>
      <c r="C170" s="154">
        <v>285598</v>
      </c>
      <c r="D170" s="154">
        <v>5370</v>
      </c>
    </row>
    <row r="171" spans="1:15" x14ac:dyDescent="0.3">
      <c r="A171">
        <v>155</v>
      </c>
      <c r="B171" s="153">
        <v>1626.9999999999845</v>
      </c>
      <c r="C171" s="154">
        <v>288289</v>
      </c>
      <c r="D171" s="154">
        <v>5396</v>
      </c>
      <c r="O171" s="136"/>
    </row>
    <row r="172" spans="1:15" x14ac:dyDescent="0.3">
      <c r="A172">
        <v>156</v>
      </c>
      <c r="B172" s="153">
        <v>1627.4999999999841</v>
      </c>
      <c r="C172" s="154">
        <v>290994</v>
      </c>
      <c r="D172" s="154">
        <v>5423</v>
      </c>
      <c r="O172" s="136"/>
    </row>
    <row r="173" spans="1:15" x14ac:dyDescent="0.3">
      <c r="A173">
        <v>157</v>
      </c>
      <c r="B173" s="153">
        <v>1627.9999999999836</v>
      </c>
      <c r="C173" s="154">
        <v>293712</v>
      </c>
      <c r="D173" s="154">
        <v>5449</v>
      </c>
      <c r="O173" s="136"/>
    </row>
    <row r="174" spans="1:15" x14ac:dyDescent="0.3">
      <c r="A174">
        <v>158</v>
      </c>
      <c r="B174" s="153">
        <v>1628.4999999999832</v>
      </c>
      <c r="C174" s="154">
        <v>296443</v>
      </c>
      <c r="D174" s="154">
        <v>5475</v>
      </c>
      <c r="O174" s="136"/>
    </row>
    <row r="175" spans="1:15" x14ac:dyDescent="0.3">
      <c r="A175">
        <v>159</v>
      </c>
      <c r="B175" s="153">
        <v>1628.9999999999827</v>
      </c>
      <c r="C175" s="154">
        <v>299187</v>
      </c>
      <c r="D175" s="154">
        <v>5501</v>
      </c>
      <c r="O175" s="136"/>
    </row>
    <row r="176" spans="1:15" x14ac:dyDescent="0.3">
      <c r="A176">
        <v>160</v>
      </c>
      <c r="B176" s="153">
        <v>1629.4999999999823</v>
      </c>
      <c r="C176" s="154">
        <v>301944</v>
      </c>
      <c r="D176" s="154">
        <v>5527</v>
      </c>
      <c r="O176" s="136"/>
    </row>
    <row r="177" spans="1:15" x14ac:dyDescent="0.3">
      <c r="A177">
        <v>161</v>
      </c>
      <c r="B177" s="153">
        <v>1630</v>
      </c>
      <c r="C177" s="154">
        <v>304714</v>
      </c>
      <c r="D177" s="154">
        <v>5553</v>
      </c>
      <c r="O177" s="136"/>
    </row>
    <row r="178" spans="1:15" x14ac:dyDescent="0.3">
      <c r="A178">
        <v>162</v>
      </c>
      <c r="B178" s="153">
        <v>1630.5</v>
      </c>
      <c r="C178" s="154">
        <v>307499</v>
      </c>
      <c r="D178" s="154">
        <v>5590</v>
      </c>
      <c r="O178" s="136"/>
    </row>
    <row r="179" spans="1:15" x14ac:dyDescent="0.3">
      <c r="A179">
        <v>163</v>
      </c>
      <c r="B179" s="153">
        <v>1631</v>
      </c>
      <c r="C179" s="154">
        <v>310303</v>
      </c>
      <c r="D179" s="154">
        <v>5626</v>
      </c>
      <c r="O179" s="136"/>
    </row>
    <row r="180" spans="1:15" x14ac:dyDescent="0.3">
      <c r="A180">
        <v>164</v>
      </c>
      <c r="B180" s="153">
        <v>1631.5</v>
      </c>
      <c r="C180" s="154">
        <v>313125</v>
      </c>
      <c r="D180" s="154">
        <v>5663</v>
      </c>
      <c r="O180" s="136"/>
    </row>
    <row r="181" spans="1:15" x14ac:dyDescent="0.3">
      <c r="A181">
        <v>165</v>
      </c>
      <c r="B181" s="153">
        <v>1632</v>
      </c>
      <c r="C181" s="154">
        <v>315966</v>
      </c>
      <c r="D181" s="154">
        <v>5699</v>
      </c>
      <c r="O181" s="136"/>
    </row>
    <row r="182" spans="1:15" x14ac:dyDescent="0.3">
      <c r="A182">
        <v>166</v>
      </c>
      <c r="B182" s="153">
        <v>1632.5</v>
      </c>
      <c r="C182" s="154">
        <v>318825</v>
      </c>
      <c r="D182" s="154">
        <v>5736</v>
      </c>
      <c r="O182" s="136"/>
    </row>
    <row r="183" spans="1:15" x14ac:dyDescent="0.3">
      <c r="A183">
        <v>167</v>
      </c>
      <c r="B183" s="153">
        <v>1633</v>
      </c>
      <c r="C183" s="154">
        <v>321702</v>
      </c>
      <c r="D183" s="154">
        <v>5773</v>
      </c>
      <c r="O183" s="136"/>
    </row>
    <row r="184" spans="1:15" x14ac:dyDescent="0.3">
      <c r="A184">
        <v>168</v>
      </c>
      <c r="B184" s="153">
        <v>1633.5</v>
      </c>
      <c r="C184" s="154">
        <v>324597</v>
      </c>
      <c r="D184" s="154">
        <v>5809</v>
      </c>
      <c r="O184" s="136"/>
    </row>
    <row r="185" spans="1:15" x14ac:dyDescent="0.3">
      <c r="A185">
        <v>169</v>
      </c>
      <c r="B185" s="153">
        <v>1634</v>
      </c>
      <c r="C185" s="154">
        <v>327511</v>
      </c>
      <c r="D185" s="154">
        <v>5846</v>
      </c>
      <c r="O185" s="136"/>
    </row>
    <row r="186" spans="1:15" x14ac:dyDescent="0.3">
      <c r="A186">
        <v>170</v>
      </c>
      <c r="B186" s="153">
        <v>1634.5</v>
      </c>
      <c r="C186" s="154">
        <v>330443</v>
      </c>
      <c r="D186" s="154">
        <v>5882</v>
      </c>
      <c r="O186" s="136"/>
    </row>
    <row r="187" spans="1:15" x14ac:dyDescent="0.3">
      <c r="A187">
        <v>171</v>
      </c>
      <c r="B187" s="153">
        <v>1635</v>
      </c>
      <c r="C187" s="154">
        <v>333394</v>
      </c>
      <c r="D187" s="154">
        <v>5919</v>
      </c>
      <c r="O187" s="136"/>
    </row>
    <row r="188" spans="1:15" x14ac:dyDescent="0.3">
      <c r="A188">
        <v>172</v>
      </c>
      <c r="B188" s="153">
        <v>1635.5</v>
      </c>
      <c r="C188" s="154">
        <v>336357</v>
      </c>
      <c r="D188" s="154">
        <v>5933</v>
      </c>
      <c r="O188" s="136"/>
    </row>
    <row r="189" spans="1:15" x14ac:dyDescent="0.3">
      <c r="A189">
        <v>173</v>
      </c>
      <c r="B189" s="153">
        <v>1635.9999999999945</v>
      </c>
      <c r="C189" s="154">
        <v>339327</v>
      </c>
      <c r="D189" s="154">
        <v>5947</v>
      </c>
      <c r="O189" s="136"/>
    </row>
    <row r="190" spans="1:15" x14ac:dyDescent="0.3">
      <c r="A190">
        <v>174</v>
      </c>
      <c r="B190" s="153">
        <v>1636.4999999999941</v>
      </c>
      <c r="C190" s="154">
        <v>342304</v>
      </c>
      <c r="D190" s="154">
        <v>5962</v>
      </c>
      <c r="O190" s="136"/>
    </row>
    <row r="191" spans="1:15" x14ac:dyDescent="0.3">
      <c r="A191">
        <v>175</v>
      </c>
      <c r="B191" s="153">
        <v>1636.9999999999936</v>
      </c>
      <c r="C191" s="154">
        <v>345288</v>
      </c>
      <c r="D191" s="154">
        <v>5976</v>
      </c>
      <c r="O191" s="136"/>
    </row>
    <row r="192" spans="1:15" x14ac:dyDescent="0.3">
      <c r="A192">
        <v>176</v>
      </c>
      <c r="B192" s="153">
        <v>1637.4999999999932</v>
      </c>
      <c r="C192" s="154">
        <v>348280</v>
      </c>
      <c r="D192" s="154">
        <v>5990</v>
      </c>
      <c r="O192" s="136"/>
    </row>
    <row r="193" spans="1:15" x14ac:dyDescent="0.3">
      <c r="A193">
        <v>177</v>
      </c>
      <c r="B193" s="153">
        <v>1637.9999999999927</v>
      </c>
      <c r="C193" s="154">
        <v>351278</v>
      </c>
      <c r="D193" s="154">
        <v>6004</v>
      </c>
      <c r="O193" s="136"/>
    </row>
    <row r="194" spans="1:15" x14ac:dyDescent="0.3">
      <c r="A194">
        <v>178</v>
      </c>
      <c r="B194" s="153">
        <v>1638.4999999999923</v>
      </c>
      <c r="C194" s="154">
        <v>354284</v>
      </c>
      <c r="D194" s="154">
        <v>6018</v>
      </c>
      <c r="O194" s="136"/>
    </row>
    <row r="195" spans="1:15" x14ac:dyDescent="0.3">
      <c r="A195">
        <v>179</v>
      </c>
      <c r="B195" s="153">
        <v>1638.9999999999918</v>
      </c>
      <c r="C195" s="154">
        <v>357297</v>
      </c>
      <c r="D195" s="154">
        <v>6033</v>
      </c>
      <c r="O195" s="136"/>
    </row>
    <row r="196" spans="1:15" x14ac:dyDescent="0.3">
      <c r="A196">
        <v>180</v>
      </c>
      <c r="B196" s="153">
        <v>1639.4999999999914</v>
      </c>
      <c r="C196" s="154">
        <v>360317</v>
      </c>
      <c r="D196" s="154">
        <v>6047</v>
      </c>
      <c r="O196" s="136"/>
    </row>
    <row r="197" spans="1:15" x14ac:dyDescent="0.3">
      <c r="A197">
        <v>181</v>
      </c>
      <c r="B197" s="153">
        <v>1639.9999999999909</v>
      </c>
      <c r="C197" s="154">
        <v>363344</v>
      </c>
      <c r="D197" s="154">
        <v>6061</v>
      </c>
      <c r="O197" s="136"/>
    </row>
    <row r="198" spans="1:15" x14ac:dyDescent="0.3">
      <c r="A198">
        <v>182</v>
      </c>
      <c r="B198" s="153">
        <v>1640.4999999999905</v>
      </c>
      <c r="C198" s="154">
        <v>366380</v>
      </c>
      <c r="D198" s="154">
        <v>6087</v>
      </c>
      <c r="O198" s="136"/>
    </row>
    <row r="199" spans="1:15" x14ac:dyDescent="0.3">
      <c r="A199">
        <v>183</v>
      </c>
      <c r="B199" s="153">
        <v>1640.99999999999</v>
      </c>
      <c r="C199" s="154">
        <v>369430</v>
      </c>
      <c r="D199" s="154">
        <v>6113</v>
      </c>
      <c r="O199" s="136"/>
    </row>
    <row r="200" spans="1:15" x14ac:dyDescent="0.3">
      <c r="A200">
        <v>184</v>
      </c>
      <c r="B200" s="153">
        <v>1641.4999999999895</v>
      </c>
      <c r="C200" s="154">
        <v>372493</v>
      </c>
      <c r="D200" s="154">
        <v>6139</v>
      </c>
      <c r="O200" s="136"/>
    </row>
    <row r="201" spans="1:15" x14ac:dyDescent="0.3">
      <c r="A201">
        <v>185</v>
      </c>
      <c r="B201" s="153">
        <v>1641.9999999999891</v>
      </c>
      <c r="C201" s="154">
        <v>375569</v>
      </c>
      <c r="D201" s="154">
        <v>6165</v>
      </c>
      <c r="O201" s="136"/>
    </row>
    <row r="202" spans="1:15" x14ac:dyDescent="0.3">
      <c r="A202">
        <v>186</v>
      </c>
      <c r="B202" s="153">
        <v>1642.4999999999886</v>
      </c>
      <c r="C202" s="154">
        <v>378658</v>
      </c>
      <c r="D202" s="154">
        <v>6190</v>
      </c>
      <c r="O202" s="136"/>
    </row>
    <row r="203" spans="1:15" x14ac:dyDescent="0.3">
      <c r="A203">
        <v>187</v>
      </c>
      <c r="B203" s="153">
        <v>1642.9999999999882</v>
      </c>
      <c r="C203" s="154">
        <v>381760</v>
      </c>
      <c r="D203" s="154">
        <v>6216</v>
      </c>
      <c r="O203" s="136"/>
    </row>
    <row r="204" spans="1:15" x14ac:dyDescent="0.3">
      <c r="A204">
        <v>188</v>
      </c>
      <c r="B204" s="153">
        <v>1643.4999999999877</v>
      </c>
      <c r="C204" s="154">
        <v>384874</v>
      </c>
      <c r="D204" s="154">
        <v>6242</v>
      </c>
      <c r="O204" s="136"/>
    </row>
    <row r="205" spans="1:15" x14ac:dyDescent="0.3">
      <c r="A205">
        <v>189</v>
      </c>
      <c r="B205" s="153">
        <v>1643.9999999999873</v>
      </c>
      <c r="C205" s="154">
        <v>388002</v>
      </c>
      <c r="D205" s="154">
        <v>6268</v>
      </c>
      <c r="O205" s="136"/>
    </row>
    <row r="206" spans="1:15" x14ac:dyDescent="0.3">
      <c r="A206">
        <v>190</v>
      </c>
      <c r="B206" s="153">
        <v>1644.4999999999868</v>
      </c>
      <c r="C206" s="154">
        <v>391142</v>
      </c>
      <c r="D206" s="154">
        <v>6294</v>
      </c>
      <c r="O206" s="136"/>
    </row>
    <row r="207" spans="1:15" x14ac:dyDescent="0.3">
      <c r="A207">
        <v>191</v>
      </c>
      <c r="B207" s="153">
        <v>1644.9999999999864</v>
      </c>
      <c r="C207" s="154">
        <v>394296</v>
      </c>
      <c r="D207" s="154">
        <v>6320</v>
      </c>
      <c r="O207" s="136"/>
    </row>
    <row r="208" spans="1:15" x14ac:dyDescent="0.3">
      <c r="A208">
        <v>192</v>
      </c>
      <c r="B208" s="153">
        <v>1645.4999999999859</v>
      </c>
      <c r="C208" s="154">
        <v>397463</v>
      </c>
      <c r="D208" s="154">
        <v>6346</v>
      </c>
      <c r="O208" s="136"/>
    </row>
    <row r="209" spans="1:15" x14ac:dyDescent="0.3">
      <c r="A209">
        <v>193</v>
      </c>
      <c r="B209" s="153">
        <v>1645.9999999999854</v>
      </c>
      <c r="C209" s="154">
        <v>400642</v>
      </c>
      <c r="D209" s="154">
        <v>6372</v>
      </c>
      <c r="O209" s="136"/>
    </row>
    <row r="210" spans="1:15" x14ac:dyDescent="0.3">
      <c r="A210">
        <v>194</v>
      </c>
      <c r="B210" s="153">
        <v>1646.499999999985</v>
      </c>
      <c r="C210" s="154">
        <v>403835</v>
      </c>
      <c r="D210" s="154">
        <v>6399</v>
      </c>
      <c r="O210" s="136"/>
    </row>
    <row r="211" spans="1:15" x14ac:dyDescent="0.3">
      <c r="A211">
        <v>195</v>
      </c>
      <c r="B211" s="153">
        <v>1646.9999999999845</v>
      </c>
      <c r="C211" s="154">
        <v>407041</v>
      </c>
      <c r="D211" s="154">
        <v>6425</v>
      </c>
      <c r="O211" s="136"/>
    </row>
    <row r="212" spans="1:15" x14ac:dyDescent="0.3">
      <c r="A212">
        <v>196</v>
      </c>
      <c r="B212" s="153">
        <v>1647.4999999999841</v>
      </c>
      <c r="C212" s="154">
        <v>410260</v>
      </c>
      <c r="D212" s="154">
        <v>6451</v>
      </c>
      <c r="O212" s="136"/>
    </row>
    <row r="213" spans="1:15" x14ac:dyDescent="0.3">
      <c r="A213">
        <v>197</v>
      </c>
      <c r="B213" s="153">
        <v>1647.9999999999836</v>
      </c>
      <c r="C213" s="154">
        <v>413492</v>
      </c>
      <c r="D213" s="154">
        <v>6477</v>
      </c>
      <c r="O213" s="136"/>
    </row>
    <row r="214" spans="1:15" x14ac:dyDescent="0.3">
      <c r="A214">
        <v>198</v>
      </c>
      <c r="B214" s="153">
        <v>1648.4999999999832</v>
      </c>
      <c r="C214" s="154">
        <v>416737</v>
      </c>
      <c r="D214" s="154">
        <v>6503</v>
      </c>
      <c r="O214" s="136"/>
    </row>
    <row r="215" spans="1:15" x14ac:dyDescent="0.3">
      <c r="A215">
        <v>199</v>
      </c>
      <c r="B215" s="153">
        <v>1648.9999999999827</v>
      </c>
      <c r="C215" s="154">
        <v>419995</v>
      </c>
      <c r="D215" s="154">
        <v>6530</v>
      </c>
    </row>
    <row r="216" spans="1:15" x14ac:dyDescent="0.3">
      <c r="A216">
        <v>200</v>
      </c>
      <c r="B216" s="153">
        <v>1649.4999999999823</v>
      </c>
      <c r="C216" s="154">
        <v>423267</v>
      </c>
      <c r="D216" s="154">
        <v>6556</v>
      </c>
    </row>
    <row r="217" spans="1:15" x14ac:dyDescent="0.3">
      <c r="A217">
        <v>201</v>
      </c>
      <c r="B217" s="153">
        <v>1649.9999999999818</v>
      </c>
      <c r="C217" s="154">
        <v>426551</v>
      </c>
      <c r="D217" s="154">
        <v>6582</v>
      </c>
    </row>
    <row r="218" spans="1:15" x14ac:dyDescent="0.3">
      <c r="A218">
        <v>202</v>
      </c>
      <c r="B218" s="153">
        <v>1650.4999999999814</v>
      </c>
      <c r="C218" s="154">
        <v>429849</v>
      </c>
      <c r="D218" s="154">
        <v>6609</v>
      </c>
    </row>
    <row r="219" spans="1:15" x14ac:dyDescent="0.3">
      <c r="A219">
        <v>203</v>
      </c>
      <c r="B219" s="153">
        <v>1650.9999999999809</v>
      </c>
      <c r="C219" s="154">
        <v>433160</v>
      </c>
      <c r="D219" s="154">
        <v>6636</v>
      </c>
    </row>
    <row r="220" spans="1:15" x14ac:dyDescent="0.3">
      <c r="A220">
        <v>204</v>
      </c>
      <c r="B220" s="153">
        <v>1651.4999999999804</v>
      </c>
      <c r="C220" s="154">
        <v>436484</v>
      </c>
      <c r="D220" s="154">
        <v>6662</v>
      </c>
    </row>
    <row r="221" spans="1:15" x14ac:dyDescent="0.3">
      <c r="A221">
        <v>205</v>
      </c>
      <c r="B221" s="153">
        <v>1651.99999999998</v>
      </c>
      <c r="C221" s="154">
        <v>439822</v>
      </c>
      <c r="D221" s="154">
        <v>6689</v>
      </c>
      <c r="O221" s="136"/>
    </row>
    <row r="222" spans="1:15" x14ac:dyDescent="0.3">
      <c r="A222">
        <v>206</v>
      </c>
      <c r="B222" s="153">
        <v>1652.4999999999795</v>
      </c>
      <c r="C222" s="154">
        <v>443174</v>
      </c>
      <c r="D222" s="154">
        <v>6716</v>
      </c>
      <c r="O222" s="136"/>
    </row>
    <row r="223" spans="1:15" x14ac:dyDescent="0.3">
      <c r="A223">
        <v>207</v>
      </c>
      <c r="B223" s="153">
        <v>1652.9999999999791</v>
      </c>
      <c r="C223" s="154">
        <v>446538</v>
      </c>
      <c r="D223" s="154">
        <v>6743</v>
      </c>
      <c r="O223" s="136"/>
    </row>
    <row r="224" spans="1:15" x14ac:dyDescent="0.3">
      <c r="A224">
        <v>208</v>
      </c>
      <c r="B224" s="153">
        <v>1653.4999999999786</v>
      </c>
      <c r="C224" s="154">
        <v>449916</v>
      </c>
      <c r="D224" s="154">
        <v>6770</v>
      </c>
      <c r="O224" s="136"/>
    </row>
    <row r="225" spans="1:15" x14ac:dyDescent="0.3">
      <c r="A225">
        <v>209</v>
      </c>
      <c r="B225" s="153">
        <v>1653.9999999999782</v>
      </c>
      <c r="C225" s="154">
        <v>453308</v>
      </c>
      <c r="D225" s="154">
        <v>6796</v>
      </c>
      <c r="O225" s="136"/>
    </row>
    <row r="226" spans="1:15" x14ac:dyDescent="0.3">
      <c r="A226">
        <v>210</v>
      </c>
      <c r="B226" s="153">
        <v>1654.4999999999777</v>
      </c>
      <c r="C226" s="154">
        <v>456713</v>
      </c>
      <c r="D226" s="154">
        <v>6823</v>
      </c>
      <c r="O226" s="136"/>
    </row>
    <row r="227" spans="1:15" x14ac:dyDescent="0.3">
      <c r="A227">
        <v>211</v>
      </c>
      <c r="B227" s="153">
        <v>1654.9999999999773</v>
      </c>
      <c r="C227" s="154">
        <v>460131</v>
      </c>
      <c r="D227" s="154">
        <v>6850</v>
      </c>
      <c r="O227" s="136"/>
    </row>
    <row r="228" spans="1:15" x14ac:dyDescent="0.3">
      <c r="A228">
        <v>212</v>
      </c>
      <c r="B228" s="153">
        <v>1655.4999999999768</v>
      </c>
      <c r="C228" s="154">
        <v>463564</v>
      </c>
      <c r="D228" s="154">
        <v>6880</v>
      </c>
      <c r="O228" s="136"/>
    </row>
    <row r="229" spans="1:15" x14ac:dyDescent="0.3">
      <c r="A229">
        <v>213</v>
      </c>
      <c r="B229" s="153">
        <v>1655.9999999999764</v>
      </c>
      <c r="C229" s="154">
        <v>467011</v>
      </c>
      <c r="D229" s="154">
        <v>6910</v>
      </c>
      <c r="O229" s="136"/>
    </row>
    <row r="230" spans="1:15" x14ac:dyDescent="0.3">
      <c r="A230">
        <v>214</v>
      </c>
      <c r="B230" s="153">
        <v>1656.4999999999759</v>
      </c>
      <c r="C230" s="154">
        <v>470474</v>
      </c>
      <c r="D230" s="154">
        <v>6940</v>
      </c>
      <c r="O230" s="136"/>
    </row>
    <row r="231" spans="1:15" x14ac:dyDescent="0.3">
      <c r="A231">
        <v>215</v>
      </c>
      <c r="B231" s="153">
        <v>1656.9999999999754</v>
      </c>
      <c r="C231" s="154">
        <v>473951</v>
      </c>
      <c r="D231" s="154">
        <v>6970</v>
      </c>
      <c r="O231" s="136"/>
    </row>
    <row r="232" spans="1:15" x14ac:dyDescent="0.3">
      <c r="A232">
        <v>216</v>
      </c>
      <c r="B232" s="153">
        <v>1657.499999999975</v>
      </c>
      <c r="C232" s="154">
        <v>477444</v>
      </c>
      <c r="D232" s="154">
        <v>7000</v>
      </c>
      <c r="O232" s="136"/>
    </row>
    <row r="233" spans="1:15" x14ac:dyDescent="0.3">
      <c r="A233">
        <v>217</v>
      </c>
      <c r="B233" s="153">
        <v>1657.9999999999745</v>
      </c>
      <c r="C233" s="154">
        <v>480951</v>
      </c>
      <c r="D233" s="154">
        <v>7030</v>
      </c>
      <c r="O233" s="136"/>
    </row>
    <row r="234" spans="1:15" x14ac:dyDescent="0.3">
      <c r="A234">
        <v>218</v>
      </c>
      <c r="B234" s="153">
        <v>1658.4999999999741</v>
      </c>
      <c r="C234" s="154">
        <v>484474</v>
      </c>
      <c r="D234" s="154">
        <v>7060</v>
      </c>
      <c r="O234" s="136"/>
    </row>
    <row r="235" spans="1:15" x14ac:dyDescent="0.3">
      <c r="A235">
        <v>219</v>
      </c>
      <c r="B235" s="153">
        <v>1658.9999999999736</v>
      </c>
      <c r="C235" s="154">
        <v>488011</v>
      </c>
      <c r="D235" s="154">
        <v>7090</v>
      </c>
      <c r="O235" s="136"/>
    </row>
    <row r="236" spans="1:15" x14ac:dyDescent="0.3">
      <c r="A236">
        <v>220</v>
      </c>
      <c r="B236" s="153">
        <v>1659.4999999999732</v>
      </c>
      <c r="C236" s="154">
        <v>491564</v>
      </c>
      <c r="D236" s="154">
        <v>7120</v>
      </c>
      <c r="O236" s="136"/>
    </row>
    <row r="237" spans="1:15" x14ac:dyDescent="0.3">
      <c r="A237">
        <v>221</v>
      </c>
      <c r="B237" s="153">
        <v>1659.9999999999727</v>
      </c>
      <c r="C237" s="154">
        <v>495131</v>
      </c>
      <c r="D237" s="154">
        <v>7150</v>
      </c>
      <c r="O237" s="136"/>
    </row>
    <row r="238" spans="1:15" x14ac:dyDescent="0.3">
      <c r="A238">
        <v>222</v>
      </c>
      <c r="B238" s="153">
        <v>1660.4999999999723</v>
      </c>
      <c r="C238" s="154">
        <v>498713</v>
      </c>
      <c r="D238" s="154">
        <v>7177</v>
      </c>
      <c r="O238" s="136"/>
    </row>
    <row r="239" spans="1:15" x14ac:dyDescent="0.3">
      <c r="A239">
        <v>223</v>
      </c>
      <c r="B239" s="153">
        <v>1660.9999999999718</v>
      </c>
      <c r="C239" s="154">
        <v>502308</v>
      </c>
      <c r="D239" s="154">
        <v>7205</v>
      </c>
      <c r="O239" s="136"/>
    </row>
    <row r="240" spans="1:15" x14ac:dyDescent="0.3">
      <c r="A240">
        <v>224</v>
      </c>
      <c r="B240" s="153">
        <v>1661.4999999999714</v>
      </c>
      <c r="C240" s="154">
        <v>505917</v>
      </c>
      <c r="D240" s="154">
        <v>7232</v>
      </c>
      <c r="O240" s="136"/>
    </row>
    <row r="241" spans="1:15" x14ac:dyDescent="0.3">
      <c r="A241">
        <v>225</v>
      </c>
      <c r="B241" s="153">
        <v>1661.9999999999709</v>
      </c>
      <c r="C241" s="154">
        <v>509540</v>
      </c>
      <c r="D241" s="154">
        <v>7259</v>
      </c>
      <c r="O241" s="136"/>
    </row>
    <row r="242" spans="1:15" x14ac:dyDescent="0.3">
      <c r="A242">
        <v>226</v>
      </c>
      <c r="B242" s="153">
        <v>1662.4999999999704</v>
      </c>
      <c r="C242" s="154">
        <v>513177</v>
      </c>
      <c r="D242" s="154">
        <v>7287</v>
      </c>
      <c r="O242" s="136"/>
    </row>
    <row r="243" spans="1:15" x14ac:dyDescent="0.3">
      <c r="A243">
        <v>227</v>
      </c>
      <c r="B243" s="153">
        <v>1662.99999999997</v>
      </c>
      <c r="C243" s="154">
        <v>516827</v>
      </c>
      <c r="D243" s="154">
        <v>7314</v>
      </c>
      <c r="O243" s="136"/>
    </row>
    <row r="244" spans="1:15" x14ac:dyDescent="0.3">
      <c r="A244">
        <v>228</v>
      </c>
      <c r="B244" s="153">
        <v>1663.4999999999695</v>
      </c>
      <c r="C244" s="154">
        <v>520490</v>
      </c>
      <c r="D244" s="154">
        <v>7341</v>
      </c>
      <c r="O244" s="136"/>
    </row>
    <row r="245" spans="1:15" x14ac:dyDescent="0.3">
      <c r="A245">
        <v>229</v>
      </c>
      <c r="B245" s="153">
        <v>1663.9999999999691</v>
      </c>
      <c r="C245" s="154">
        <v>524168</v>
      </c>
      <c r="D245" s="154">
        <v>7368</v>
      </c>
      <c r="O245" s="136"/>
    </row>
    <row r="246" spans="1:15" x14ac:dyDescent="0.3">
      <c r="A246">
        <v>230</v>
      </c>
      <c r="B246" s="153">
        <v>1664.4999999999686</v>
      </c>
      <c r="C246" s="154">
        <v>527859</v>
      </c>
      <c r="D246" s="154">
        <v>7396</v>
      </c>
      <c r="O246" s="136"/>
    </row>
    <row r="247" spans="1:15" x14ac:dyDescent="0.3">
      <c r="A247">
        <v>231</v>
      </c>
      <c r="B247" s="153">
        <v>1664.9999999999682</v>
      </c>
      <c r="C247" s="154">
        <v>531564</v>
      </c>
      <c r="D247" s="154">
        <v>7423</v>
      </c>
      <c r="O247" s="136"/>
    </row>
    <row r="248" spans="1:15" x14ac:dyDescent="0.3">
      <c r="A248">
        <v>232</v>
      </c>
      <c r="B248" s="153">
        <v>1665.4999999999677</v>
      </c>
      <c r="C248" s="154">
        <v>535282</v>
      </c>
      <c r="D248" s="154">
        <v>7452</v>
      </c>
      <c r="O248" s="136"/>
    </row>
    <row r="249" spans="1:15" x14ac:dyDescent="0.3">
      <c r="A249">
        <v>233</v>
      </c>
      <c r="B249" s="153">
        <v>1665.9999999999673</v>
      </c>
      <c r="C249" s="154">
        <v>539016</v>
      </c>
      <c r="D249" s="154">
        <v>7481</v>
      </c>
      <c r="O249" s="136"/>
    </row>
    <row r="250" spans="1:15" x14ac:dyDescent="0.3">
      <c r="A250">
        <v>234</v>
      </c>
      <c r="B250" s="153">
        <v>1666.4999999999668</v>
      </c>
      <c r="C250" s="154">
        <v>542764</v>
      </c>
      <c r="D250" s="154">
        <v>7511</v>
      </c>
      <c r="O250" s="136"/>
    </row>
    <row r="251" spans="1:15" x14ac:dyDescent="0.3">
      <c r="A251">
        <v>235</v>
      </c>
      <c r="B251" s="153">
        <v>1666.9999999999663</v>
      </c>
      <c r="C251" s="154">
        <v>546526</v>
      </c>
      <c r="D251" s="154">
        <v>7540</v>
      </c>
      <c r="O251" s="136"/>
    </row>
    <row r="252" spans="1:15" x14ac:dyDescent="0.3">
      <c r="A252">
        <v>236</v>
      </c>
      <c r="B252" s="153">
        <v>1667.4999999999659</v>
      </c>
      <c r="C252" s="154">
        <v>550304</v>
      </c>
      <c r="D252" s="154">
        <v>7511</v>
      </c>
      <c r="O252" s="136"/>
    </row>
    <row r="253" spans="1:15" x14ac:dyDescent="0.3">
      <c r="A253">
        <v>237</v>
      </c>
      <c r="B253" s="153">
        <v>1667.9999999999654</v>
      </c>
      <c r="C253" s="154">
        <v>554095</v>
      </c>
      <c r="D253" s="154">
        <v>7598</v>
      </c>
      <c r="O253" s="136"/>
    </row>
    <row r="254" spans="1:15" x14ac:dyDescent="0.3">
      <c r="A254">
        <v>238</v>
      </c>
      <c r="B254" s="153">
        <v>1668.499999999965</v>
      </c>
      <c r="C254" s="154">
        <v>557902</v>
      </c>
      <c r="D254" s="154">
        <v>7627</v>
      </c>
      <c r="O254" s="136"/>
    </row>
    <row r="255" spans="1:15" x14ac:dyDescent="0.3">
      <c r="A255">
        <v>239</v>
      </c>
      <c r="B255" s="153">
        <v>1669</v>
      </c>
      <c r="C255" s="154">
        <v>561723</v>
      </c>
      <c r="D255" s="154">
        <v>7657</v>
      </c>
      <c r="O255" s="136"/>
    </row>
    <row r="256" spans="1:15" x14ac:dyDescent="0.3">
      <c r="A256">
        <v>240</v>
      </c>
      <c r="B256" s="153">
        <v>1669.5</v>
      </c>
      <c r="C256" s="154">
        <v>565558</v>
      </c>
      <c r="D256" s="154">
        <v>7686</v>
      </c>
      <c r="O256" s="136"/>
    </row>
    <row r="257" spans="1:15" x14ac:dyDescent="0.3">
      <c r="A257">
        <v>241</v>
      </c>
      <c r="B257" s="153">
        <v>1670</v>
      </c>
      <c r="C257" s="154">
        <v>569409</v>
      </c>
      <c r="D257" s="154">
        <v>7714.9999999999927</v>
      </c>
      <c r="O257" s="136"/>
    </row>
    <row r="258" spans="1:15" x14ac:dyDescent="0.3">
      <c r="A258">
        <v>242</v>
      </c>
      <c r="B258" s="153">
        <v>1670.5</v>
      </c>
      <c r="C258" s="154">
        <v>573273</v>
      </c>
      <c r="D258" s="154">
        <v>7744</v>
      </c>
      <c r="O258" s="136"/>
    </row>
    <row r="259" spans="1:15" x14ac:dyDescent="0.3">
      <c r="A259">
        <v>243</v>
      </c>
      <c r="B259" s="153">
        <v>1671</v>
      </c>
      <c r="C259" s="154">
        <v>577152</v>
      </c>
      <c r="D259" s="154">
        <v>7772.4999999999854</v>
      </c>
      <c r="O259" s="136"/>
    </row>
    <row r="260" spans="1:15" x14ac:dyDescent="0.3">
      <c r="A260">
        <v>244</v>
      </c>
      <c r="B260" s="153">
        <v>1671.5</v>
      </c>
      <c r="C260" s="154">
        <v>581045</v>
      </c>
      <c r="D260" s="154">
        <v>7800.5</v>
      </c>
      <c r="O260" s="136"/>
    </row>
    <row r="261" spans="1:15" x14ac:dyDescent="0.3">
      <c r="A261">
        <v>245</v>
      </c>
      <c r="B261" s="153">
        <v>1672</v>
      </c>
      <c r="C261" s="154">
        <v>584953</v>
      </c>
      <c r="D261" s="154">
        <v>7829</v>
      </c>
      <c r="O261" s="136"/>
    </row>
    <row r="262" spans="1:15" x14ac:dyDescent="0.3">
      <c r="A262">
        <v>246</v>
      </c>
      <c r="B262" s="153">
        <v>1672.5</v>
      </c>
      <c r="C262" s="154">
        <v>588874</v>
      </c>
      <c r="D262" s="154">
        <v>7857.5</v>
      </c>
      <c r="O262" s="136"/>
    </row>
    <row r="263" spans="1:15" x14ac:dyDescent="0.3">
      <c r="A263">
        <v>247</v>
      </c>
      <c r="B263" s="153">
        <v>1673</v>
      </c>
      <c r="C263" s="154">
        <v>592810</v>
      </c>
      <c r="D263" s="154">
        <v>7886</v>
      </c>
      <c r="O263" s="136"/>
    </row>
    <row r="264" spans="1:15" x14ac:dyDescent="0.3">
      <c r="A264">
        <v>248</v>
      </c>
      <c r="B264" s="153">
        <v>1673.5</v>
      </c>
      <c r="C264" s="154">
        <v>596760</v>
      </c>
      <c r="D264" s="154">
        <v>7914.5</v>
      </c>
    </row>
    <row r="265" spans="1:15" x14ac:dyDescent="0.3">
      <c r="A265">
        <v>249</v>
      </c>
      <c r="B265" s="153">
        <v>1674</v>
      </c>
      <c r="C265" s="154">
        <v>600725</v>
      </c>
      <c r="D265" s="154">
        <v>7943</v>
      </c>
    </row>
    <row r="266" spans="1:15" x14ac:dyDescent="0.3">
      <c r="A266">
        <v>250</v>
      </c>
      <c r="B266" s="153">
        <v>1674.5</v>
      </c>
      <c r="C266" s="154">
        <v>604703</v>
      </c>
      <c r="D266" s="154">
        <v>7971.5</v>
      </c>
    </row>
    <row r="267" spans="1:15" x14ac:dyDescent="0.3">
      <c r="A267">
        <v>251</v>
      </c>
      <c r="B267" s="153">
        <v>1675</v>
      </c>
      <c r="C267" s="154">
        <v>608696</v>
      </c>
      <c r="D267" s="154">
        <v>8000</v>
      </c>
    </row>
    <row r="268" spans="1:15" x14ac:dyDescent="0.3">
      <c r="A268">
        <v>252</v>
      </c>
      <c r="B268" s="153">
        <v>1675.5</v>
      </c>
      <c r="C268" s="154">
        <v>612704</v>
      </c>
      <c r="D268" s="154">
        <v>8030.5</v>
      </c>
    </row>
    <row r="269" spans="1:15" x14ac:dyDescent="0.3">
      <c r="A269">
        <v>253</v>
      </c>
      <c r="B269" s="153">
        <v>1675.9999999999945</v>
      </c>
      <c r="C269" s="154">
        <v>616727</v>
      </c>
      <c r="D269" s="154">
        <v>8061</v>
      </c>
    </row>
    <row r="270" spans="1:15" x14ac:dyDescent="0.3">
      <c r="A270">
        <v>254</v>
      </c>
      <c r="B270" s="153">
        <v>1676.4999999999941</v>
      </c>
      <c r="C270" s="154">
        <v>620765</v>
      </c>
      <c r="D270" s="154">
        <v>8091.5</v>
      </c>
    </row>
    <row r="271" spans="1:15" x14ac:dyDescent="0.3">
      <c r="A271">
        <v>255</v>
      </c>
      <c r="B271" s="153">
        <v>1676.9999999999936</v>
      </c>
      <c r="C271" s="154">
        <v>624818</v>
      </c>
      <c r="D271" s="154">
        <v>8122</v>
      </c>
      <c r="O271" s="136"/>
    </row>
    <row r="272" spans="1:15" x14ac:dyDescent="0.3">
      <c r="A272">
        <v>256</v>
      </c>
      <c r="B272" s="153">
        <v>1677.4999999999932</v>
      </c>
      <c r="C272" s="154">
        <v>628887</v>
      </c>
      <c r="D272" s="154">
        <v>8152.5</v>
      </c>
      <c r="O272" s="136"/>
    </row>
    <row r="273" spans="1:15" x14ac:dyDescent="0.3">
      <c r="A273">
        <v>257</v>
      </c>
      <c r="B273" s="153">
        <v>1677.9999999999927</v>
      </c>
      <c r="C273" s="154">
        <v>632971</v>
      </c>
      <c r="D273" s="154">
        <v>8183</v>
      </c>
      <c r="O273" s="136"/>
    </row>
    <row r="274" spans="1:15" x14ac:dyDescent="0.3">
      <c r="A274">
        <v>258</v>
      </c>
      <c r="B274" s="153">
        <v>1678.4999999999923</v>
      </c>
      <c r="C274" s="154">
        <v>637070</v>
      </c>
      <c r="D274" s="154">
        <v>8213.5</v>
      </c>
      <c r="O274" s="136"/>
    </row>
    <row r="275" spans="1:15" x14ac:dyDescent="0.3">
      <c r="A275">
        <v>259</v>
      </c>
      <c r="B275" s="153">
        <v>1678.9999999999918</v>
      </c>
      <c r="C275" s="154">
        <v>641184</v>
      </c>
      <c r="D275" s="154">
        <v>8244</v>
      </c>
      <c r="O275" s="136"/>
    </row>
    <row r="276" spans="1:15" x14ac:dyDescent="0.3">
      <c r="A276">
        <v>260</v>
      </c>
      <c r="B276" s="153">
        <v>1679.4999999999914</v>
      </c>
      <c r="C276" s="154">
        <v>645314</v>
      </c>
      <c r="D276" s="154">
        <v>8274.5</v>
      </c>
      <c r="O276" s="136"/>
    </row>
    <row r="277" spans="1:15" x14ac:dyDescent="0.3">
      <c r="A277">
        <v>261</v>
      </c>
      <c r="B277" s="153">
        <v>1679.9999999999909</v>
      </c>
      <c r="C277" s="154">
        <v>649459</v>
      </c>
      <c r="D277" s="154">
        <v>8305</v>
      </c>
      <c r="O277" s="136"/>
    </row>
    <row r="278" spans="1:15" x14ac:dyDescent="0.3">
      <c r="A278">
        <v>262</v>
      </c>
      <c r="B278" s="153">
        <v>1680.4999999999905</v>
      </c>
      <c r="C278" s="154">
        <v>653620</v>
      </c>
      <c r="D278" s="154">
        <v>8339</v>
      </c>
      <c r="O278" s="136"/>
    </row>
    <row r="279" spans="1:15" x14ac:dyDescent="0.3">
      <c r="A279">
        <v>263</v>
      </c>
      <c r="B279" s="153">
        <v>1680.99999999999</v>
      </c>
      <c r="C279" s="154">
        <v>657797</v>
      </c>
      <c r="D279" s="154">
        <v>8373</v>
      </c>
      <c r="O279" s="136"/>
    </row>
    <row r="280" spans="1:15" x14ac:dyDescent="0.3">
      <c r="A280">
        <v>264</v>
      </c>
      <c r="B280" s="153">
        <v>1681.4999999999895</v>
      </c>
      <c r="C280" s="154">
        <v>661992</v>
      </c>
      <c r="D280" s="154">
        <v>8407</v>
      </c>
      <c r="O280" s="136"/>
    </row>
    <row r="281" spans="1:15" x14ac:dyDescent="0.3">
      <c r="A281">
        <v>265</v>
      </c>
      <c r="B281" s="153">
        <v>1681.9999999999891</v>
      </c>
      <c r="C281" s="154">
        <v>666204</v>
      </c>
      <c r="D281" s="154">
        <v>8441</v>
      </c>
      <c r="O281" s="136"/>
    </row>
    <row r="282" spans="1:15" x14ac:dyDescent="0.3">
      <c r="A282">
        <v>266</v>
      </c>
      <c r="B282" s="153">
        <v>1682.4999999999886</v>
      </c>
      <c r="C282" s="154">
        <v>670433</v>
      </c>
      <c r="D282" s="154">
        <v>8474.5</v>
      </c>
      <c r="O282" s="136"/>
    </row>
    <row r="283" spans="1:15" x14ac:dyDescent="0.3">
      <c r="A283">
        <v>267</v>
      </c>
      <c r="B283" s="153">
        <v>1682.9999999999882</v>
      </c>
      <c r="C283" s="154">
        <v>674679</v>
      </c>
      <c r="D283" s="154">
        <v>8508</v>
      </c>
      <c r="O283" s="136"/>
    </row>
    <row r="284" spans="1:15" x14ac:dyDescent="0.3">
      <c r="A284">
        <v>268</v>
      </c>
      <c r="B284" s="153">
        <v>1683.4999999999877</v>
      </c>
      <c r="C284" s="154">
        <v>678941</v>
      </c>
      <c r="D284" s="154">
        <v>8542</v>
      </c>
      <c r="O284" s="136"/>
    </row>
    <row r="285" spans="1:15" x14ac:dyDescent="0.3">
      <c r="A285">
        <v>269</v>
      </c>
      <c r="B285" s="153">
        <v>1683.9999999999873</v>
      </c>
      <c r="C285" s="154">
        <v>683221</v>
      </c>
      <c r="D285" s="154">
        <v>8576</v>
      </c>
      <c r="O285" s="136"/>
    </row>
    <row r="286" spans="1:15" x14ac:dyDescent="0.3">
      <c r="A286">
        <v>270</v>
      </c>
      <c r="B286" s="153">
        <v>1684.4999999999868</v>
      </c>
      <c r="C286" s="154">
        <v>687518</v>
      </c>
      <c r="D286" s="154">
        <v>8610</v>
      </c>
      <c r="O286" s="136"/>
    </row>
    <row r="287" spans="1:15" x14ac:dyDescent="0.3">
      <c r="A287">
        <v>271</v>
      </c>
      <c r="B287" s="153">
        <v>1684.9999999999864</v>
      </c>
      <c r="C287" s="154">
        <v>691831</v>
      </c>
      <c r="D287" s="154">
        <v>8644</v>
      </c>
      <c r="O287" s="136"/>
    </row>
    <row r="288" spans="1:15" x14ac:dyDescent="0.3">
      <c r="A288">
        <v>272</v>
      </c>
      <c r="B288" s="153">
        <v>1685.4999999999859</v>
      </c>
      <c r="C288" s="154">
        <v>696162</v>
      </c>
      <c r="D288" s="154">
        <v>8680.5</v>
      </c>
      <c r="O288" s="136"/>
    </row>
    <row r="289" spans="1:15" x14ac:dyDescent="0.3">
      <c r="A289">
        <v>273</v>
      </c>
      <c r="B289" s="153">
        <v>1685.9999999999854</v>
      </c>
      <c r="C289" s="154">
        <v>700512</v>
      </c>
      <c r="D289" s="154">
        <v>8717</v>
      </c>
      <c r="O289" s="136"/>
    </row>
    <row r="290" spans="1:15" x14ac:dyDescent="0.3">
      <c r="A290">
        <v>274</v>
      </c>
      <c r="B290" s="153">
        <v>1686.499999999985</v>
      </c>
      <c r="C290" s="154">
        <v>704879</v>
      </c>
      <c r="D290" s="154">
        <v>8753.5</v>
      </c>
      <c r="O290" s="136"/>
    </row>
    <row r="291" spans="1:15" x14ac:dyDescent="0.3">
      <c r="A291">
        <v>275</v>
      </c>
      <c r="B291" s="153">
        <v>1686.9999999999845</v>
      </c>
      <c r="C291" s="154">
        <v>709265</v>
      </c>
      <c r="D291" s="154">
        <v>8790</v>
      </c>
      <c r="O291" s="136"/>
    </row>
    <row r="292" spans="1:15" x14ac:dyDescent="0.3">
      <c r="A292">
        <v>276</v>
      </c>
      <c r="B292" s="153">
        <v>1687.4999999999841</v>
      </c>
      <c r="C292" s="154">
        <v>713669</v>
      </c>
      <c r="D292" s="154">
        <v>8826.5</v>
      </c>
      <c r="O292" s="136"/>
    </row>
    <row r="293" spans="1:15" x14ac:dyDescent="0.3">
      <c r="A293">
        <v>277</v>
      </c>
      <c r="B293" s="153">
        <v>1687.9999999999836</v>
      </c>
      <c r="C293" s="154">
        <v>718092</v>
      </c>
      <c r="D293" s="154">
        <v>8863</v>
      </c>
      <c r="O293" s="136"/>
    </row>
    <row r="294" spans="1:15" x14ac:dyDescent="0.3">
      <c r="A294">
        <v>278</v>
      </c>
      <c r="B294" s="153">
        <v>1688.4999999999832</v>
      </c>
      <c r="C294" s="154">
        <v>722532</v>
      </c>
      <c r="D294" s="154">
        <v>8899.5</v>
      </c>
      <c r="O294" s="136"/>
    </row>
    <row r="295" spans="1:15" x14ac:dyDescent="0.3">
      <c r="A295">
        <v>279</v>
      </c>
      <c r="B295" s="153">
        <v>1688.9999999999827</v>
      </c>
      <c r="C295" s="154">
        <v>726991</v>
      </c>
      <c r="D295" s="154">
        <v>8936</v>
      </c>
      <c r="O295" s="136"/>
    </row>
    <row r="296" spans="1:15" x14ac:dyDescent="0.3">
      <c r="A296">
        <v>280</v>
      </c>
      <c r="B296" s="153">
        <v>1689.4999999999823</v>
      </c>
      <c r="C296" s="154">
        <v>731468</v>
      </c>
      <c r="D296" s="154">
        <v>8972.5</v>
      </c>
      <c r="O296" s="136"/>
    </row>
    <row r="297" spans="1:15" x14ac:dyDescent="0.3">
      <c r="A297">
        <v>281</v>
      </c>
      <c r="B297" s="153">
        <v>1689.9999999999818</v>
      </c>
      <c r="C297" s="154">
        <v>735964</v>
      </c>
      <c r="D297" s="154">
        <v>9009</v>
      </c>
      <c r="O297" s="136"/>
    </row>
    <row r="298" spans="1:15" x14ac:dyDescent="0.3">
      <c r="A298">
        <v>282</v>
      </c>
      <c r="B298" s="153">
        <v>1690.4999999999814</v>
      </c>
      <c r="C298" s="154">
        <v>740477</v>
      </c>
      <c r="D298" s="154">
        <v>9047</v>
      </c>
      <c r="O298" s="136"/>
    </row>
    <row r="299" spans="1:15" x14ac:dyDescent="0.3">
      <c r="A299">
        <v>283</v>
      </c>
      <c r="B299" s="153">
        <v>1690.9999999999809</v>
      </c>
      <c r="C299" s="154">
        <v>745010</v>
      </c>
      <c r="D299" s="154">
        <v>9085</v>
      </c>
      <c r="O299" s="136"/>
    </row>
    <row r="300" spans="1:15" x14ac:dyDescent="0.3">
      <c r="A300">
        <v>284</v>
      </c>
      <c r="B300" s="153">
        <v>1691.4999999999804</v>
      </c>
      <c r="C300" s="154">
        <v>749562</v>
      </c>
      <c r="D300" s="154">
        <v>9122.5</v>
      </c>
      <c r="O300" s="136"/>
    </row>
    <row r="301" spans="1:15" x14ac:dyDescent="0.3">
      <c r="A301">
        <v>285</v>
      </c>
      <c r="B301" s="153">
        <v>1691.99999999998</v>
      </c>
      <c r="C301" s="154">
        <v>754133</v>
      </c>
      <c r="D301" s="154">
        <v>9160</v>
      </c>
      <c r="O301" s="136"/>
    </row>
    <row r="302" spans="1:15" x14ac:dyDescent="0.3">
      <c r="A302">
        <v>286</v>
      </c>
      <c r="B302" s="153">
        <v>1692.4999999999795</v>
      </c>
      <c r="C302" s="154">
        <v>758722</v>
      </c>
      <c r="D302" s="154">
        <v>9198</v>
      </c>
      <c r="O302" s="136"/>
    </row>
    <row r="303" spans="1:15" x14ac:dyDescent="0.3">
      <c r="A303">
        <v>287</v>
      </c>
      <c r="B303" s="153">
        <v>1692.9999999999791</v>
      </c>
      <c r="C303" s="154">
        <v>763331</v>
      </c>
      <c r="D303" s="154">
        <v>9236</v>
      </c>
      <c r="O303" s="136"/>
    </row>
    <row r="304" spans="1:15" x14ac:dyDescent="0.3">
      <c r="A304">
        <v>288</v>
      </c>
      <c r="B304" s="153">
        <v>1693.4999999999786</v>
      </c>
      <c r="C304" s="154">
        <v>767958</v>
      </c>
      <c r="D304" s="154">
        <v>9273.5</v>
      </c>
      <c r="O304" s="136"/>
    </row>
    <row r="305" spans="1:15" x14ac:dyDescent="0.3">
      <c r="A305">
        <v>289</v>
      </c>
      <c r="B305" s="153">
        <v>1693.9999999999782</v>
      </c>
      <c r="C305" s="154">
        <v>772604</v>
      </c>
      <c r="D305" s="154">
        <v>9311</v>
      </c>
      <c r="O305" s="136"/>
    </row>
    <row r="306" spans="1:15" x14ac:dyDescent="0.3">
      <c r="A306">
        <v>290</v>
      </c>
      <c r="B306" s="153">
        <v>1694.4999999999777</v>
      </c>
      <c r="C306" s="154">
        <v>777269</v>
      </c>
      <c r="D306" s="154">
        <v>9349</v>
      </c>
      <c r="O306" s="136"/>
    </row>
    <row r="307" spans="1:15" x14ac:dyDescent="0.3">
      <c r="A307">
        <v>291</v>
      </c>
      <c r="B307" s="153">
        <v>1694.9999999999773</v>
      </c>
      <c r="C307" s="154">
        <v>781954</v>
      </c>
      <c r="D307" s="154">
        <v>9387</v>
      </c>
      <c r="O307" s="136"/>
    </row>
    <row r="308" spans="1:15" x14ac:dyDescent="0.3">
      <c r="A308">
        <v>292</v>
      </c>
      <c r="B308" s="153">
        <v>1695.4999999999768</v>
      </c>
      <c r="C308" s="154">
        <v>786657</v>
      </c>
      <c r="D308" s="154">
        <v>9427</v>
      </c>
      <c r="O308" s="136"/>
    </row>
    <row r="309" spans="1:15" x14ac:dyDescent="0.3">
      <c r="A309">
        <v>293</v>
      </c>
      <c r="B309" s="153">
        <v>1695.9999999999764</v>
      </c>
      <c r="C309" s="154">
        <v>791380</v>
      </c>
      <c r="D309" s="154">
        <v>9467</v>
      </c>
      <c r="O309" s="136"/>
    </row>
    <row r="310" spans="1:15" x14ac:dyDescent="0.3">
      <c r="A310">
        <v>294</v>
      </c>
      <c r="B310" s="153">
        <v>1696.4999999999759</v>
      </c>
      <c r="C310" s="154">
        <v>796124</v>
      </c>
      <c r="D310" s="154">
        <v>9506.5</v>
      </c>
      <c r="O310" s="136"/>
    </row>
    <row r="311" spans="1:15" x14ac:dyDescent="0.3">
      <c r="A311">
        <v>295</v>
      </c>
      <c r="B311" s="153">
        <v>1696.9999999999754</v>
      </c>
      <c r="C311" s="154">
        <v>800887</v>
      </c>
      <c r="D311" s="154">
        <v>9546</v>
      </c>
      <c r="O311" s="136"/>
    </row>
    <row r="312" spans="1:15" x14ac:dyDescent="0.3">
      <c r="A312">
        <v>296</v>
      </c>
      <c r="B312" s="153">
        <v>1697.499999999975</v>
      </c>
      <c r="C312" s="154">
        <v>805670</v>
      </c>
      <c r="D312" s="154">
        <v>9586</v>
      </c>
      <c r="O312" s="136"/>
    </row>
    <row r="313" spans="1:15" x14ac:dyDescent="0.3">
      <c r="A313">
        <v>297</v>
      </c>
      <c r="B313" s="153">
        <v>1697.9999999999745</v>
      </c>
      <c r="C313" s="154">
        <v>810473</v>
      </c>
      <c r="D313" s="154">
        <v>9626</v>
      </c>
      <c r="O313" s="136"/>
    </row>
    <row r="314" spans="1:15" x14ac:dyDescent="0.3">
      <c r="A314">
        <v>298</v>
      </c>
      <c r="B314" s="153">
        <v>1698.4999999999741</v>
      </c>
      <c r="C314" s="154">
        <v>815296</v>
      </c>
      <c r="D314" s="154">
        <v>9665.5</v>
      </c>
    </row>
    <row r="315" spans="1:15" x14ac:dyDescent="0.3">
      <c r="A315">
        <v>299</v>
      </c>
      <c r="B315" s="153">
        <v>1698.9999999999736</v>
      </c>
      <c r="C315" s="154">
        <v>820138</v>
      </c>
      <c r="D315" s="154">
        <v>9705</v>
      </c>
    </row>
    <row r="316" spans="1:15" x14ac:dyDescent="0.3">
      <c r="A316">
        <v>300</v>
      </c>
      <c r="B316" s="153">
        <v>1699.4999999999732</v>
      </c>
      <c r="C316" s="154">
        <v>825001</v>
      </c>
      <c r="D316" s="154">
        <v>9745</v>
      </c>
    </row>
    <row r="317" spans="1:15" x14ac:dyDescent="0.3">
      <c r="A317">
        <v>301</v>
      </c>
      <c r="B317" s="153">
        <v>1699.9999999999727</v>
      </c>
      <c r="C317" s="154">
        <v>829884</v>
      </c>
      <c r="D317" s="154">
        <v>9785</v>
      </c>
    </row>
    <row r="318" spans="1:15" x14ac:dyDescent="0.3">
      <c r="A318">
        <v>302</v>
      </c>
      <c r="B318" s="153">
        <v>1700.4999999999723</v>
      </c>
      <c r="C318" s="154">
        <v>834787</v>
      </c>
      <c r="D318" s="154">
        <v>9828</v>
      </c>
    </row>
    <row r="319" spans="1:15" x14ac:dyDescent="0.3">
      <c r="A319">
        <v>303</v>
      </c>
      <c r="B319" s="153">
        <v>1700.9999999999718</v>
      </c>
      <c r="C319" s="154">
        <v>839711</v>
      </c>
      <c r="D319" s="154">
        <v>9871</v>
      </c>
    </row>
    <row r="320" spans="1:15" x14ac:dyDescent="0.3">
      <c r="A320">
        <v>304</v>
      </c>
      <c r="B320" s="153">
        <v>1701.4999999999714</v>
      </c>
      <c r="C320" s="154">
        <v>844658</v>
      </c>
      <c r="D320" s="154">
        <v>9914</v>
      </c>
    </row>
    <row r="321" spans="1:15" x14ac:dyDescent="0.3">
      <c r="A321">
        <v>305</v>
      </c>
      <c r="B321" s="153">
        <v>1701.9999999999709</v>
      </c>
      <c r="C321" s="154">
        <v>849625</v>
      </c>
      <c r="D321" s="154">
        <v>9957</v>
      </c>
      <c r="O321" s="136"/>
    </row>
    <row r="322" spans="1:15" x14ac:dyDescent="0.3">
      <c r="A322">
        <v>306</v>
      </c>
      <c r="B322" s="153">
        <v>1702.4999999999704</v>
      </c>
      <c r="C322" s="154">
        <v>854614</v>
      </c>
      <c r="D322" s="154">
        <v>9999.5</v>
      </c>
      <c r="O322" s="136"/>
    </row>
    <row r="323" spans="1:15" x14ac:dyDescent="0.3">
      <c r="A323">
        <v>307</v>
      </c>
      <c r="B323" s="153">
        <v>1702.99999999997</v>
      </c>
      <c r="C323" s="154">
        <v>859625</v>
      </c>
      <c r="D323" s="154">
        <v>10042</v>
      </c>
      <c r="O323" s="136"/>
    </row>
    <row r="324" spans="1:15" x14ac:dyDescent="0.3">
      <c r="A324">
        <v>308</v>
      </c>
      <c r="B324" s="153">
        <v>1703.4999999999695</v>
      </c>
      <c r="C324" s="154">
        <v>864657</v>
      </c>
      <c r="D324" s="154">
        <v>10085</v>
      </c>
      <c r="O324" s="136"/>
    </row>
    <row r="325" spans="1:15" x14ac:dyDescent="0.3">
      <c r="A325">
        <v>309</v>
      </c>
      <c r="B325" s="153">
        <v>1703.9999999999691</v>
      </c>
      <c r="C325" s="154">
        <v>869710</v>
      </c>
      <c r="D325" s="154">
        <v>10128</v>
      </c>
      <c r="O325" s="136"/>
    </row>
    <row r="326" spans="1:15" x14ac:dyDescent="0.3">
      <c r="A326">
        <v>310</v>
      </c>
      <c r="B326" s="153">
        <v>1704.4999999999686</v>
      </c>
      <c r="C326" s="154">
        <v>874785</v>
      </c>
      <c r="D326" s="154">
        <v>10171</v>
      </c>
      <c r="O326" s="136"/>
    </row>
    <row r="327" spans="1:15" x14ac:dyDescent="0.3">
      <c r="A327">
        <v>311</v>
      </c>
      <c r="B327" s="153">
        <v>1704.9999999999682</v>
      </c>
      <c r="C327" s="154">
        <v>879881</v>
      </c>
      <c r="D327" s="154">
        <v>10214</v>
      </c>
      <c r="O327" s="136"/>
    </row>
    <row r="328" spans="1:15" x14ac:dyDescent="0.3">
      <c r="A328">
        <v>312</v>
      </c>
      <c r="B328" s="153">
        <v>1705.4999999999677</v>
      </c>
      <c r="C328" s="154">
        <v>884999</v>
      </c>
      <c r="D328" s="154">
        <v>10256</v>
      </c>
      <c r="O328" s="136"/>
    </row>
    <row r="329" spans="1:15" x14ac:dyDescent="0.3">
      <c r="A329">
        <v>313</v>
      </c>
      <c r="B329" s="153">
        <v>1705.9999999999673</v>
      </c>
      <c r="C329" s="154">
        <v>890137</v>
      </c>
      <c r="D329" s="154">
        <v>10298</v>
      </c>
      <c r="O329" s="136"/>
    </row>
    <row r="330" spans="1:15" x14ac:dyDescent="0.3">
      <c r="A330">
        <v>314</v>
      </c>
      <c r="B330" s="153">
        <v>1706.4999999999668</v>
      </c>
      <c r="C330" s="154">
        <v>895296</v>
      </c>
      <c r="D330" s="154">
        <v>10340</v>
      </c>
      <c r="O330" s="136"/>
    </row>
    <row r="331" spans="1:15" x14ac:dyDescent="0.3">
      <c r="O331" s="136"/>
    </row>
    <row r="332" spans="1:15" x14ac:dyDescent="0.3">
      <c r="O332" s="136"/>
    </row>
    <row r="333" spans="1:15" x14ac:dyDescent="0.3">
      <c r="O333" s="136"/>
    </row>
    <row r="334" spans="1:15" x14ac:dyDescent="0.3">
      <c r="O334" s="136"/>
    </row>
    <row r="335" spans="1:15" x14ac:dyDescent="0.3">
      <c r="O335" s="136"/>
    </row>
    <row r="336" spans="1:15" x14ac:dyDescent="0.3">
      <c r="O336" s="136"/>
    </row>
    <row r="337" spans="15:15" x14ac:dyDescent="0.3">
      <c r="O337" s="136"/>
    </row>
    <row r="338" spans="15:15" x14ac:dyDescent="0.3">
      <c r="O338" s="136"/>
    </row>
    <row r="339" spans="15:15" x14ac:dyDescent="0.3">
      <c r="O339" s="136"/>
    </row>
    <row r="340" spans="15:15" x14ac:dyDescent="0.3">
      <c r="O340" s="136"/>
    </row>
    <row r="341" spans="15:15" x14ac:dyDescent="0.3">
      <c r="O341" s="136"/>
    </row>
    <row r="342" spans="15:15" x14ac:dyDescent="0.3">
      <c r="O342" s="136"/>
    </row>
    <row r="343" spans="15:15" x14ac:dyDescent="0.3">
      <c r="O343" s="136"/>
    </row>
    <row r="344" spans="15:15" x14ac:dyDescent="0.3">
      <c r="O344" s="136"/>
    </row>
    <row r="345" spans="15:15" x14ac:dyDescent="0.3">
      <c r="O345" s="136"/>
    </row>
    <row r="346" spans="15:15" x14ac:dyDescent="0.3">
      <c r="O346" s="136"/>
    </row>
    <row r="347" spans="15:15" x14ac:dyDescent="0.3">
      <c r="O347" s="136"/>
    </row>
    <row r="348" spans="15:15" x14ac:dyDescent="0.3">
      <c r="O348" s="136"/>
    </row>
    <row r="349" spans="15:15" x14ac:dyDescent="0.3">
      <c r="O349" s="136"/>
    </row>
    <row r="350" spans="15:15" x14ac:dyDescent="0.3">
      <c r="O350" s="136"/>
    </row>
    <row r="351" spans="15:15" x14ac:dyDescent="0.3">
      <c r="O351" s="136"/>
    </row>
    <row r="352" spans="15:15" x14ac:dyDescent="0.3">
      <c r="O352" s="136"/>
    </row>
    <row r="353" spans="15:15" x14ac:dyDescent="0.3">
      <c r="O353" s="136"/>
    </row>
    <row r="354" spans="15:15" x14ac:dyDescent="0.3">
      <c r="O354" s="136"/>
    </row>
    <row r="355" spans="15:15" x14ac:dyDescent="0.3">
      <c r="O355" s="136"/>
    </row>
    <row r="356" spans="15:15" x14ac:dyDescent="0.3">
      <c r="O356" s="136"/>
    </row>
    <row r="357" spans="15:15" x14ac:dyDescent="0.3">
      <c r="O357" s="136"/>
    </row>
    <row r="358" spans="15:15" x14ac:dyDescent="0.3">
      <c r="O358" s="136"/>
    </row>
    <row r="359" spans="15:15" x14ac:dyDescent="0.3">
      <c r="O359" s="136"/>
    </row>
    <row r="360" spans="15:15" x14ac:dyDescent="0.3">
      <c r="O360" s="136"/>
    </row>
    <row r="361" spans="15:15" x14ac:dyDescent="0.3">
      <c r="O361" s="136"/>
    </row>
    <row r="362" spans="15:15" x14ac:dyDescent="0.3">
      <c r="O362" s="136"/>
    </row>
    <row r="371" spans="15:15" x14ac:dyDescent="0.3">
      <c r="O371" s="136"/>
    </row>
    <row r="372" spans="15:15" x14ac:dyDescent="0.3">
      <c r="O372" s="136"/>
    </row>
    <row r="373" spans="15:15" x14ac:dyDescent="0.3">
      <c r="O373" s="136"/>
    </row>
    <row r="374" spans="15:15" x14ac:dyDescent="0.3">
      <c r="O374" s="136"/>
    </row>
    <row r="375" spans="15:15" x14ac:dyDescent="0.3">
      <c r="O375" s="136"/>
    </row>
    <row r="376" spans="15:15" x14ac:dyDescent="0.3">
      <c r="O376" s="136"/>
    </row>
    <row r="377" spans="15:15" x14ac:dyDescent="0.3">
      <c r="O377" s="136"/>
    </row>
    <row r="378" spans="15:15" x14ac:dyDescent="0.3">
      <c r="O378" s="136"/>
    </row>
    <row r="379" spans="15:15" x14ac:dyDescent="0.3">
      <c r="O379" s="136"/>
    </row>
    <row r="380" spans="15:15" x14ac:dyDescent="0.3">
      <c r="O380" s="136"/>
    </row>
    <row r="381" spans="15:15" x14ac:dyDescent="0.3">
      <c r="O381" s="136"/>
    </row>
    <row r="382" spans="15:15" x14ac:dyDescent="0.3">
      <c r="O382" s="136"/>
    </row>
    <row r="383" spans="15:15" x14ac:dyDescent="0.3">
      <c r="O383" s="136"/>
    </row>
    <row r="384" spans="15:15" x14ac:dyDescent="0.3">
      <c r="O384" s="136"/>
    </row>
    <row r="385" spans="15:15" x14ac:dyDescent="0.3">
      <c r="O385" s="136"/>
    </row>
    <row r="386" spans="15:15" x14ac:dyDescent="0.3">
      <c r="O386" s="136"/>
    </row>
    <row r="387" spans="15:15" x14ac:dyDescent="0.3">
      <c r="O387" s="136"/>
    </row>
    <row r="388" spans="15:15" x14ac:dyDescent="0.3">
      <c r="O388" s="136"/>
    </row>
    <row r="389" spans="15:15" x14ac:dyDescent="0.3">
      <c r="O389" s="136"/>
    </row>
    <row r="390" spans="15:15" x14ac:dyDescent="0.3">
      <c r="O390" s="136"/>
    </row>
    <row r="391" spans="15:15" x14ac:dyDescent="0.3">
      <c r="O391" s="136"/>
    </row>
    <row r="392" spans="15:15" x14ac:dyDescent="0.3">
      <c r="O392" s="136"/>
    </row>
    <row r="393" spans="15:15" x14ac:dyDescent="0.3">
      <c r="O393" s="136"/>
    </row>
    <row r="394" spans="15:15" x14ac:dyDescent="0.3">
      <c r="O394" s="136"/>
    </row>
    <row r="395" spans="15:15" x14ac:dyDescent="0.3">
      <c r="O395" s="136"/>
    </row>
    <row r="396" spans="15:15" x14ac:dyDescent="0.3">
      <c r="O396" s="136"/>
    </row>
    <row r="397" spans="15:15" x14ac:dyDescent="0.3">
      <c r="O397" s="136"/>
    </row>
    <row r="398" spans="15:15" x14ac:dyDescent="0.3">
      <c r="O398" s="136"/>
    </row>
    <row r="399" spans="15:15" x14ac:dyDescent="0.3">
      <c r="O399" s="136"/>
    </row>
    <row r="400" spans="15:15" x14ac:dyDescent="0.3">
      <c r="O400" s="136"/>
    </row>
    <row r="401" spans="15:15" x14ac:dyDescent="0.3">
      <c r="O401" s="136"/>
    </row>
    <row r="402" spans="15:15" x14ac:dyDescent="0.3">
      <c r="O402" s="136"/>
    </row>
    <row r="403" spans="15:15" x14ac:dyDescent="0.3">
      <c r="O403" s="136"/>
    </row>
    <row r="404" spans="15:15" x14ac:dyDescent="0.3">
      <c r="O404" s="136"/>
    </row>
    <row r="405" spans="15:15" x14ac:dyDescent="0.3">
      <c r="O405" s="136"/>
    </row>
    <row r="406" spans="15:15" x14ac:dyDescent="0.3">
      <c r="O406" s="136"/>
    </row>
    <row r="407" spans="15:15" x14ac:dyDescent="0.3">
      <c r="O407" s="136"/>
    </row>
    <row r="408" spans="15:15" x14ac:dyDescent="0.3">
      <c r="O408" s="136"/>
    </row>
    <row r="409" spans="15:15" x14ac:dyDescent="0.3">
      <c r="O409" s="136"/>
    </row>
    <row r="410" spans="15:15" x14ac:dyDescent="0.3">
      <c r="O410" s="136"/>
    </row>
    <row r="411" spans="15:15" x14ac:dyDescent="0.3">
      <c r="O411" s="136"/>
    </row>
    <row r="421" spans="15:15" x14ac:dyDescent="0.3">
      <c r="O421" s="136"/>
    </row>
    <row r="422" spans="15:15" x14ac:dyDescent="0.3">
      <c r="O422" s="136"/>
    </row>
    <row r="423" spans="15:15" x14ac:dyDescent="0.3">
      <c r="O423" s="136"/>
    </row>
    <row r="424" spans="15:15" x14ac:dyDescent="0.3">
      <c r="O424" s="136"/>
    </row>
    <row r="425" spans="15:15" x14ac:dyDescent="0.3">
      <c r="O425" s="136"/>
    </row>
    <row r="426" spans="15:15" x14ac:dyDescent="0.3">
      <c r="O426" s="136"/>
    </row>
    <row r="427" spans="15:15" x14ac:dyDescent="0.3">
      <c r="O427" s="136"/>
    </row>
    <row r="428" spans="15:15" x14ac:dyDescent="0.3">
      <c r="O428" s="136"/>
    </row>
    <row r="429" spans="15:15" x14ac:dyDescent="0.3">
      <c r="O429" s="136"/>
    </row>
    <row r="430" spans="15:15" x14ac:dyDescent="0.3">
      <c r="O430" s="136"/>
    </row>
    <row r="431" spans="15:15" x14ac:dyDescent="0.3">
      <c r="O431" s="136"/>
    </row>
    <row r="432" spans="15:15" x14ac:dyDescent="0.3">
      <c r="O432" s="136"/>
    </row>
    <row r="433" spans="15:15" x14ac:dyDescent="0.3">
      <c r="O433" s="136"/>
    </row>
    <row r="434" spans="15:15" x14ac:dyDescent="0.3">
      <c r="O434" s="136"/>
    </row>
    <row r="435" spans="15:15" x14ac:dyDescent="0.3">
      <c r="O435" s="136"/>
    </row>
    <row r="436" spans="15:15" x14ac:dyDescent="0.3">
      <c r="O436" s="136"/>
    </row>
    <row r="437" spans="15:15" x14ac:dyDescent="0.3">
      <c r="O437" s="136"/>
    </row>
    <row r="438" spans="15:15" x14ac:dyDescent="0.3">
      <c r="O438" s="136"/>
    </row>
    <row r="439" spans="15:15" x14ac:dyDescent="0.3">
      <c r="O439" s="136"/>
    </row>
    <row r="440" spans="15:15" x14ac:dyDescent="0.3">
      <c r="O440" s="136"/>
    </row>
    <row r="441" spans="15:15" x14ac:dyDescent="0.3">
      <c r="O441" s="136"/>
    </row>
    <row r="442" spans="15:15" x14ac:dyDescent="0.3">
      <c r="O442" s="136"/>
    </row>
    <row r="443" spans="15:15" x14ac:dyDescent="0.3">
      <c r="O443" s="136"/>
    </row>
    <row r="444" spans="15:15" x14ac:dyDescent="0.3">
      <c r="O444" s="136"/>
    </row>
    <row r="445" spans="15:15" x14ac:dyDescent="0.3">
      <c r="O445" s="136"/>
    </row>
    <row r="446" spans="15:15" x14ac:dyDescent="0.3">
      <c r="O446" s="136"/>
    </row>
    <row r="447" spans="15:15" x14ac:dyDescent="0.3">
      <c r="O447" s="136"/>
    </row>
    <row r="448" spans="15:15" x14ac:dyDescent="0.3">
      <c r="O448" s="136"/>
    </row>
    <row r="449" spans="15:15" x14ac:dyDescent="0.3">
      <c r="O449" s="136"/>
    </row>
    <row r="450" spans="15:15" x14ac:dyDescent="0.3">
      <c r="O450" s="136"/>
    </row>
    <row r="451" spans="15:15" x14ac:dyDescent="0.3">
      <c r="O451" s="136"/>
    </row>
    <row r="452" spans="15:15" x14ac:dyDescent="0.3">
      <c r="O452" s="136"/>
    </row>
    <row r="453" spans="15:15" x14ac:dyDescent="0.3">
      <c r="O453" s="136"/>
    </row>
    <row r="454" spans="15:15" x14ac:dyDescent="0.3">
      <c r="O454" s="136"/>
    </row>
    <row r="455" spans="15:15" x14ac:dyDescent="0.3">
      <c r="O455" s="136"/>
    </row>
    <row r="456" spans="15:15" x14ac:dyDescent="0.3">
      <c r="O456" s="136"/>
    </row>
    <row r="457" spans="15:15" x14ac:dyDescent="0.3">
      <c r="O457" s="136"/>
    </row>
    <row r="458" spans="15:15" x14ac:dyDescent="0.3">
      <c r="O458" s="136"/>
    </row>
    <row r="459" spans="15:15" x14ac:dyDescent="0.3">
      <c r="O459" s="136"/>
    </row>
    <row r="460" spans="15:15" x14ac:dyDescent="0.3">
      <c r="O460" s="136"/>
    </row>
    <row r="471" spans="15:15" x14ac:dyDescent="0.3">
      <c r="O471" s="136"/>
    </row>
    <row r="472" spans="15:15" x14ac:dyDescent="0.3">
      <c r="O472" s="136"/>
    </row>
    <row r="473" spans="15:15" x14ac:dyDescent="0.3">
      <c r="O473" s="136"/>
    </row>
    <row r="474" spans="15:15" x14ac:dyDescent="0.3">
      <c r="O474" s="136"/>
    </row>
    <row r="475" spans="15:15" x14ac:dyDescent="0.3">
      <c r="O475" s="136"/>
    </row>
    <row r="476" spans="15:15" x14ac:dyDescent="0.3">
      <c r="O476" s="136"/>
    </row>
    <row r="477" spans="15:15" x14ac:dyDescent="0.3">
      <c r="O477" s="136"/>
    </row>
    <row r="478" spans="15:15" x14ac:dyDescent="0.3">
      <c r="O478" s="136"/>
    </row>
    <row r="479" spans="15:15" x14ac:dyDescent="0.3">
      <c r="O479" s="136"/>
    </row>
    <row r="480" spans="15:15" x14ac:dyDescent="0.3">
      <c r="O480" s="136"/>
    </row>
    <row r="481" spans="15:15" x14ac:dyDescent="0.3">
      <c r="O481" s="136"/>
    </row>
    <row r="482" spans="15:15" x14ac:dyDescent="0.3">
      <c r="O482" s="136"/>
    </row>
    <row r="483" spans="15:15" x14ac:dyDescent="0.3">
      <c r="O483" s="136"/>
    </row>
    <row r="484" spans="15:15" x14ac:dyDescent="0.3">
      <c r="O484" s="136"/>
    </row>
    <row r="485" spans="15:15" x14ac:dyDescent="0.3">
      <c r="O485" s="136"/>
    </row>
    <row r="486" spans="15:15" x14ac:dyDescent="0.3">
      <c r="O486" s="136"/>
    </row>
    <row r="487" spans="15:15" x14ac:dyDescent="0.3">
      <c r="O487" s="136"/>
    </row>
    <row r="488" spans="15:15" x14ac:dyDescent="0.3">
      <c r="O488" s="136"/>
    </row>
    <row r="489" spans="15:15" x14ac:dyDescent="0.3">
      <c r="O489" s="136"/>
    </row>
    <row r="490" spans="15:15" x14ac:dyDescent="0.3">
      <c r="O490" s="136"/>
    </row>
    <row r="491" spans="15:15" x14ac:dyDescent="0.3">
      <c r="O491" s="136"/>
    </row>
    <row r="492" spans="15:15" x14ac:dyDescent="0.3">
      <c r="O492" s="136"/>
    </row>
    <row r="493" spans="15:15" x14ac:dyDescent="0.3">
      <c r="O493" s="136"/>
    </row>
    <row r="494" spans="15:15" x14ac:dyDescent="0.3">
      <c r="O494" s="136"/>
    </row>
    <row r="495" spans="15:15" x14ac:dyDescent="0.3">
      <c r="O495" s="136"/>
    </row>
    <row r="496" spans="15:15" x14ac:dyDescent="0.3">
      <c r="O496" s="136"/>
    </row>
    <row r="497" spans="15:15" x14ac:dyDescent="0.3">
      <c r="O497" s="136"/>
    </row>
    <row r="498" spans="15:15" x14ac:dyDescent="0.3">
      <c r="O498" s="136"/>
    </row>
    <row r="499" spans="15:15" x14ac:dyDescent="0.3">
      <c r="O499" s="136"/>
    </row>
    <row r="500" spans="15:15" x14ac:dyDescent="0.3">
      <c r="O500" s="136"/>
    </row>
    <row r="501" spans="15:15" x14ac:dyDescent="0.3">
      <c r="O501" s="136"/>
    </row>
    <row r="502" spans="15:15" x14ac:dyDescent="0.3">
      <c r="O502" s="136"/>
    </row>
    <row r="503" spans="15:15" x14ac:dyDescent="0.3">
      <c r="O503" s="136"/>
    </row>
    <row r="504" spans="15:15" x14ac:dyDescent="0.3">
      <c r="O504" s="136"/>
    </row>
    <row r="505" spans="15:15" x14ac:dyDescent="0.3">
      <c r="O505" s="136"/>
    </row>
    <row r="506" spans="15:15" x14ac:dyDescent="0.3">
      <c r="O506" s="136"/>
    </row>
    <row r="507" spans="15:15" x14ac:dyDescent="0.3">
      <c r="O507" s="136"/>
    </row>
    <row r="508" spans="15:15" x14ac:dyDescent="0.3">
      <c r="O508" s="136"/>
    </row>
    <row r="509" spans="15:15" x14ac:dyDescent="0.3">
      <c r="O509" s="136"/>
    </row>
    <row r="521" spans="15:15" x14ac:dyDescent="0.3">
      <c r="O521" s="136"/>
    </row>
    <row r="522" spans="15:15" x14ac:dyDescent="0.3">
      <c r="O522" s="136"/>
    </row>
    <row r="523" spans="15:15" x14ac:dyDescent="0.3">
      <c r="O523" s="136"/>
    </row>
    <row r="524" spans="15:15" x14ac:dyDescent="0.3">
      <c r="O524" s="136"/>
    </row>
    <row r="525" spans="15:15" x14ac:dyDescent="0.3">
      <c r="O525" s="136"/>
    </row>
    <row r="526" spans="15:15" x14ac:dyDescent="0.3">
      <c r="O526" s="136"/>
    </row>
    <row r="527" spans="15:15" x14ac:dyDescent="0.3">
      <c r="O527" s="136"/>
    </row>
    <row r="528" spans="15:15" x14ac:dyDescent="0.3">
      <c r="O528" s="136"/>
    </row>
    <row r="529" spans="15:15" x14ac:dyDescent="0.3">
      <c r="O529" s="136"/>
    </row>
    <row r="530" spans="15:15" x14ac:dyDescent="0.3">
      <c r="O530" s="136"/>
    </row>
    <row r="531" spans="15:15" x14ac:dyDescent="0.3">
      <c r="O531" s="136"/>
    </row>
    <row r="532" spans="15:15" x14ac:dyDescent="0.3">
      <c r="O532" s="136"/>
    </row>
    <row r="533" spans="15:15" x14ac:dyDescent="0.3">
      <c r="O533" s="136"/>
    </row>
    <row r="534" spans="15:15" x14ac:dyDescent="0.3">
      <c r="O534" s="136"/>
    </row>
    <row r="535" spans="15:15" x14ac:dyDescent="0.3">
      <c r="O535" s="136"/>
    </row>
    <row r="536" spans="15:15" x14ac:dyDescent="0.3">
      <c r="O536" s="136"/>
    </row>
    <row r="537" spans="15:15" x14ac:dyDescent="0.3">
      <c r="O537" s="136"/>
    </row>
    <row r="538" spans="15:15" x14ac:dyDescent="0.3">
      <c r="O538" s="136"/>
    </row>
    <row r="539" spans="15:15" x14ac:dyDescent="0.3">
      <c r="O539" s="136"/>
    </row>
    <row r="540" spans="15:15" x14ac:dyDescent="0.3">
      <c r="O540" s="136"/>
    </row>
    <row r="541" spans="15:15" x14ac:dyDescent="0.3">
      <c r="O541" s="136"/>
    </row>
    <row r="542" spans="15:15" x14ac:dyDescent="0.3">
      <c r="O542" s="136"/>
    </row>
    <row r="543" spans="15:15" x14ac:dyDescent="0.3">
      <c r="O543" s="136"/>
    </row>
    <row r="544" spans="15:15" x14ac:dyDescent="0.3">
      <c r="O544" s="136"/>
    </row>
    <row r="545" spans="15:15" x14ac:dyDescent="0.3">
      <c r="O545" s="136"/>
    </row>
    <row r="546" spans="15:15" x14ac:dyDescent="0.3">
      <c r="O546" s="136"/>
    </row>
    <row r="547" spans="15:15" x14ac:dyDescent="0.3">
      <c r="O547" s="136"/>
    </row>
    <row r="548" spans="15:15" x14ac:dyDescent="0.3">
      <c r="O548" s="136"/>
    </row>
    <row r="549" spans="15:15" x14ac:dyDescent="0.3">
      <c r="O549" s="136"/>
    </row>
    <row r="550" spans="15:15" x14ac:dyDescent="0.3">
      <c r="O550" s="136"/>
    </row>
    <row r="551" spans="15:15" x14ac:dyDescent="0.3">
      <c r="O551" s="136"/>
    </row>
    <row r="552" spans="15:15" x14ac:dyDescent="0.3">
      <c r="O552" s="136"/>
    </row>
    <row r="553" spans="15:15" x14ac:dyDescent="0.3">
      <c r="O553" s="136"/>
    </row>
    <row r="554" spans="15:15" x14ac:dyDescent="0.3">
      <c r="O554" s="136"/>
    </row>
    <row r="555" spans="15:15" x14ac:dyDescent="0.3">
      <c r="O555" s="136"/>
    </row>
    <row r="556" spans="15:15" x14ac:dyDescent="0.3">
      <c r="O556" s="136"/>
    </row>
    <row r="557" spans="15:15" x14ac:dyDescent="0.3">
      <c r="O557" s="136"/>
    </row>
    <row r="558" spans="15:15" x14ac:dyDescent="0.3">
      <c r="O558" s="136"/>
    </row>
    <row r="571" spans="15:15" x14ac:dyDescent="0.3">
      <c r="O571" s="136"/>
    </row>
    <row r="572" spans="15:15" x14ac:dyDescent="0.3">
      <c r="O572" s="136"/>
    </row>
    <row r="573" spans="15:15" x14ac:dyDescent="0.3">
      <c r="O573" s="136"/>
    </row>
    <row r="574" spans="15:15" x14ac:dyDescent="0.3">
      <c r="O574" s="136"/>
    </row>
    <row r="575" spans="15:15" x14ac:dyDescent="0.3">
      <c r="O575" s="136"/>
    </row>
    <row r="576" spans="15:15" x14ac:dyDescent="0.3">
      <c r="O576" s="136"/>
    </row>
    <row r="577" spans="15:15" x14ac:dyDescent="0.3">
      <c r="O577" s="136"/>
    </row>
    <row r="578" spans="15:15" x14ac:dyDescent="0.3">
      <c r="O578" s="136"/>
    </row>
    <row r="579" spans="15:15" x14ac:dyDescent="0.3">
      <c r="O579" s="136"/>
    </row>
    <row r="580" spans="15:15" x14ac:dyDescent="0.3">
      <c r="O580" s="136"/>
    </row>
    <row r="581" spans="15:15" x14ac:dyDescent="0.3">
      <c r="O581" s="136"/>
    </row>
    <row r="582" spans="15:15" x14ac:dyDescent="0.3">
      <c r="O582" s="136"/>
    </row>
    <row r="583" spans="15:15" x14ac:dyDescent="0.3">
      <c r="O583" s="136"/>
    </row>
    <row r="584" spans="15:15" x14ac:dyDescent="0.3">
      <c r="O584" s="136"/>
    </row>
    <row r="585" spans="15:15" x14ac:dyDescent="0.3">
      <c r="O585" s="136"/>
    </row>
    <row r="586" spans="15:15" x14ac:dyDescent="0.3">
      <c r="O586" s="136"/>
    </row>
    <row r="587" spans="15:15" x14ac:dyDescent="0.3">
      <c r="O587" s="136"/>
    </row>
    <row r="588" spans="15:15" x14ac:dyDescent="0.3">
      <c r="O588" s="136"/>
    </row>
    <row r="589" spans="15:15" x14ac:dyDescent="0.3">
      <c r="O589" s="136"/>
    </row>
    <row r="590" spans="15:15" x14ac:dyDescent="0.3">
      <c r="O590" s="136"/>
    </row>
    <row r="591" spans="15:15" x14ac:dyDescent="0.3">
      <c r="O591" s="136"/>
    </row>
    <row r="592" spans="15:15" x14ac:dyDescent="0.3">
      <c r="O592" s="136"/>
    </row>
    <row r="593" spans="15:15" x14ac:dyDescent="0.3">
      <c r="O593" s="136"/>
    </row>
    <row r="594" spans="15:15" x14ac:dyDescent="0.3">
      <c r="O594" s="136"/>
    </row>
    <row r="595" spans="15:15" x14ac:dyDescent="0.3">
      <c r="O595" s="136"/>
    </row>
    <row r="596" spans="15:15" x14ac:dyDescent="0.3">
      <c r="O596" s="136"/>
    </row>
    <row r="597" spans="15:15" x14ac:dyDescent="0.3">
      <c r="O597" s="136"/>
    </row>
    <row r="598" spans="15:15" x14ac:dyDescent="0.3">
      <c r="O598" s="136"/>
    </row>
    <row r="599" spans="15:15" x14ac:dyDescent="0.3">
      <c r="O599" s="136"/>
    </row>
    <row r="600" spans="15:15" x14ac:dyDescent="0.3">
      <c r="O600" s="136"/>
    </row>
    <row r="601" spans="15:15" x14ac:dyDescent="0.3">
      <c r="O601" s="136"/>
    </row>
    <row r="602" spans="15:15" x14ac:dyDescent="0.3">
      <c r="O602" s="136"/>
    </row>
    <row r="603" spans="15:15" x14ac:dyDescent="0.3">
      <c r="O603" s="136"/>
    </row>
    <row r="604" spans="15:15" x14ac:dyDescent="0.3">
      <c r="O604" s="136"/>
    </row>
    <row r="605" spans="15:15" x14ac:dyDescent="0.3">
      <c r="O605" s="136"/>
    </row>
    <row r="606" spans="15:15" x14ac:dyDescent="0.3">
      <c r="O606" s="136"/>
    </row>
    <row r="607" spans="15:15" x14ac:dyDescent="0.3">
      <c r="O607" s="136"/>
    </row>
    <row r="621" spans="15:15" x14ac:dyDescent="0.3">
      <c r="O621" s="136"/>
    </row>
    <row r="622" spans="15:15" x14ac:dyDescent="0.3">
      <c r="O622" s="136"/>
    </row>
    <row r="623" spans="15:15" x14ac:dyDescent="0.3">
      <c r="O623" s="136"/>
    </row>
    <row r="624" spans="15:15" x14ac:dyDescent="0.3">
      <c r="O624" s="136"/>
    </row>
    <row r="625" spans="15:15" x14ac:dyDescent="0.3">
      <c r="O625" s="136"/>
    </row>
    <row r="626" spans="15:15" x14ac:dyDescent="0.3">
      <c r="O626" s="136"/>
    </row>
    <row r="627" spans="15:15" x14ac:dyDescent="0.3">
      <c r="O627" s="136"/>
    </row>
    <row r="628" spans="15:15" x14ac:dyDescent="0.3">
      <c r="O628" s="136"/>
    </row>
    <row r="629" spans="15:15" x14ac:dyDescent="0.3">
      <c r="O629" s="136"/>
    </row>
    <row r="630" spans="15:15" x14ac:dyDescent="0.3">
      <c r="O630" s="136"/>
    </row>
    <row r="631" spans="15:15" x14ac:dyDescent="0.3">
      <c r="O631" s="136"/>
    </row>
    <row r="632" spans="15:15" x14ac:dyDescent="0.3">
      <c r="O632" s="136"/>
    </row>
    <row r="633" spans="15:15" x14ac:dyDescent="0.3">
      <c r="O633" s="136"/>
    </row>
    <row r="634" spans="15:15" x14ac:dyDescent="0.3">
      <c r="O634" s="136"/>
    </row>
    <row r="635" spans="15:15" x14ac:dyDescent="0.3">
      <c r="O635" s="136"/>
    </row>
    <row r="636" spans="15:15" x14ac:dyDescent="0.3">
      <c r="O636" s="136"/>
    </row>
    <row r="637" spans="15:15" x14ac:dyDescent="0.3">
      <c r="O637" s="136"/>
    </row>
    <row r="638" spans="15:15" x14ac:dyDescent="0.3">
      <c r="O638" s="136"/>
    </row>
    <row r="639" spans="15:15" x14ac:dyDescent="0.3">
      <c r="O639" s="136"/>
    </row>
    <row r="640" spans="15:15" x14ac:dyDescent="0.3">
      <c r="O640" s="136"/>
    </row>
    <row r="641" spans="15:15" x14ac:dyDescent="0.3">
      <c r="O641" s="136"/>
    </row>
    <row r="642" spans="15:15" x14ac:dyDescent="0.3">
      <c r="O642" s="136"/>
    </row>
    <row r="643" spans="15:15" x14ac:dyDescent="0.3">
      <c r="O643" s="136"/>
    </row>
    <row r="644" spans="15:15" x14ac:dyDescent="0.3">
      <c r="O644" s="136"/>
    </row>
    <row r="645" spans="15:15" x14ac:dyDescent="0.3">
      <c r="O645" s="136"/>
    </row>
    <row r="646" spans="15:15" x14ac:dyDescent="0.3">
      <c r="O646" s="136"/>
    </row>
    <row r="647" spans="15:15" x14ac:dyDescent="0.3">
      <c r="O647" s="136"/>
    </row>
    <row r="648" spans="15:15" x14ac:dyDescent="0.3">
      <c r="O648" s="136"/>
    </row>
    <row r="649" spans="15:15" x14ac:dyDescent="0.3">
      <c r="O649" s="136"/>
    </row>
    <row r="650" spans="15:15" x14ac:dyDescent="0.3">
      <c r="O650" s="136"/>
    </row>
    <row r="651" spans="15:15" x14ac:dyDescent="0.3">
      <c r="O651" s="136"/>
    </row>
    <row r="652" spans="15:15" x14ac:dyDescent="0.3">
      <c r="O652" s="136"/>
    </row>
    <row r="653" spans="15:15" x14ac:dyDescent="0.3">
      <c r="O653" s="136"/>
    </row>
    <row r="654" spans="15:15" x14ac:dyDescent="0.3">
      <c r="O654" s="136"/>
    </row>
    <row r="655" spans="15:15" x14ac:dyDescent="0.3">
      <c r="O655" s="136"/>
    </row>
    <row r="656" spans="15:15" x14ac:dyDescent="0.3">
      <c r="O656" s="136"/>
    </row>
    <row r="671" spans="15:15" x14ac:dyDescent="0.3">
      <c r="O671" s="136"/>
    </row>
    <row r="672" spans="15:15" x14ac:dyDescent="0.3">
      <c r="O672" s="136"/>
    </row>
    <row r="673" spans="15:15" x14ac:dyDescent="0.3">
      <c r="O673" s="136"/>
    </row>
    <row r="674" spans="15:15" x14ac:dyDescent="0.3">
      <c r="O674" s="136"/>
    </row>
    <row r="675" spans="15:15" x14ac:dyDescent="0.3">
      <c r="O675" s="136"/>
    </row>
    <row r="676" spans="15:15" x14ac:dyDescent="0.3">
      <c r="O676" s="136"/>
    </row>
    <row r="677" spans="15:15" x14ac:dyDescent="0.3">
      <c r="O677" s="136"/>
    </row>
    <row r="678" spans="15:15" x14ac:dyDescent="0.3">
      <c r="O678" s="136"/>
    </row>
    <row r="679" spans="15:15" x14ac:dyDescent="0.3">
      <c r="O679" s="136"/>
    </row>
    <row r="680" spans="15:15" x14ac:dyDescent="0.3">
      <c r="O680" s="136"/>
    </row>
    <row r="681" spans="15:15" x14ac:dyDescent="0.3">
      <c r="O681" s="136"/>
    </row>
    <row r="682" spans="15:15" x14ac:dyDescent="0.3">
      <c r="O682" s="136"/>
    </row>
    <row r="683" spans="15:15" x14ac:dyDescent="0.3">
      <c r="O683" s="136"/>
    </row>
    <row r="684" spans="15:15" x14ac:dyDescent="0.3">
      <c r="O684" s="136"/>
    </row>
    <row r="685" spans="15:15" x14ac:dyDescent="0.3">
      <c r="O685" s="136"/>
    </row>
    <row r="686" spans="15:15" x14ac:dyDescent="0.3">
      <c r="O686" s="136"/>
    </row>
    <row r="687" spans="15:15" x14ac:dyDescent="0.3">
      <c r="O687" s="136"/>
    </row>
    <row r="688" spans="15:15" x14ac:dyDescent="0.3">
      <c r="O688" s="136"/>
    </row>
    <row r="689" spans="15:15" x14ac:dyDescent="0.3">
      <c r="O689" s="136"/>
    </row>
    <row r="690" spans="15:15" x14ac:dyDescent="0.3">
      <c r="O690" s="136"/>
    </row>
    <row r="691" spans="15:15" x14ac:dyDescent="0.3">
      <c r="O691" s="136"/>
    </row>
    <row r="692" spans="15:15" x14ac:dyDescent="0.3">
      <c r="O692" s="136"/>
    </row>
    <row r="693" spans="15:15" x14ac:dyDescent="0.3">
      <c r="O693" s="136"/>
    </row>
    <row r="694" spans="15:15" x14ac:dyDescent="0.3">
      <c r="O694" s="136"/>
    </row>
    <row r="695" spans="15:15" x14ac:dyDescent="0.3">
      <c r="O695" s="136"/>
    </row>
    <row r="696" spans="15:15" x14ac:dyDescent="0.3">
      <c r="O696" s="136"/>
    </row>
    <row r="697" spans="15:15" x14ac:dyDescent="0.3">
      <c r="O697" s="136"/>
    </row>
    <row r="698" spans="15:15" x14ac:dyDescent="0.3">
      <c r="O698" s="136"/>
    </row>
    <row r="699" spans="15:15" x14ac:dyDescent="0.3">
      <c r="O699" s="136"/>
    </row>
    <row r="700" spans="15:15" x14ac:dyDescent="0.3">
      <c r="O700" s="136"/>
    </row>
    <row r="701" spans="15:15" x14ac:dyDescent="0.3">
      <c r="O701" s="136"/>
    </row>
    <row r="702" spans="15:15" x14ac:dyDescent="0.3">
      <c r="O702" s="136"/>
    </row>
    <row r="703" spans="15:15" x14ac:dyDescent="0.3">
      <c r="O703" s="136"/>
    </row>
    <row r="704" spans="15:15" x14ac:dyDescent="0.3">
      <c r="O704" s="136"/>
    </row>
    <row r="705" spans="15:15" x14ac:dyDescent="0.3">
      <c r="O705" s="136"/>
    </row>
    <row r="721" spans="15:15" x14ac:dyDescent="0.3">
      <c r="O721" s="136"/>
    </row>
    <row r="722" spans="15:15" x14ac:dyDescent="0.3">
      <c r="O722" s="136"/>
    </row>
    <row r="723" spans="15:15" x14ac:dyDescent="0.3">
      <c r="O723" s="136"/>
    </row>
    <row r="724" spans="15:15" x14ac:dyDescent="0.3">
      <c r="O724" s="136"/>
    </row>
    <row r="725" spans="15:15" x14ac:dyDescent="0.3">
      <c r="O725" s="136"/>
    </row>
    <row r="726" spans="15:15" x14ac:dyDescent="0.3">
      <c r="O726" s="136"/>
    </row>
    <row r="727" spans="15:15" x14ac:dyDescent="0.3">
      <c r="O727" s="136"/>
    </row>
    <row r="728" spans="15:15" x14ac:dyDescent="0.3">
      <c r="O728" s="136"/>
    </row>
    <row r="729" spans="15:15" x14ac:dyDescent="0.3">
      <c r="O729" s="136"/>
    </row>
    <row r="730" spans="15:15" x14ac:dyDescent="0.3">
      <c r="O730" s="136"/>
    </row>
    <row r="731" spans="15:15" x14ac:dyDescent="0.3">
      <c r="O731" s="136"/>
    </row>
    <row r="732" spans="15:15" x14ac:dyDescent="0.3">
      <c r="O732" s="136"/>
    </row>
    <row r="733" spans="15:15" x14ac:dyDescent="0.3">
      <c r="O733" s="136"/>
    </row>
    <row r="734" spans="15:15" x14ac:dyDescent="0.3">
      <c r="O734" s="136"/>
    </row>
    <row r="735" spans="15:15" x14ac:dyDescent="0.3">
      <c r="O735" s="136"/>
    </row>
    <row r="736" spans="15:15" x14ac:dyDescent="0.3">
      <c r="O736" s="136"/>
    </row>
    <row r="737" spans="15:15" x14ac:dyDescent="0.3">
      <c r="O737" s="136"/>
    </row>
    <row r="738" spans="15:15" x14ac:dyDescent="0.3">
      <c r="O738" s="136"/>
    </row>
    <row r="739" spans="15:15" x14ac:dyDescent="0.3">
      <c r="O739" s="136"/>
    </row>
    <row r="740" spans="15:15" x14ac:dyDescent="0.3">
      <c r="O740" s="136"/>
    </row>
    <row r="741" spans="15:15" x14ac:dyDescent="0.3">
      <c r="O741" s="136"/>
    </row>
    <row r="742" spans="15:15" x14ac:dyDescent="0.3">
      <c r="O742" s="136"/>
    </row>
    <row r="743" spans="15:15" x14ac:dyDescent="0.3">
      <c r="O743" s="136"/>
    </row>
    <row r="744" spans="15:15" x14ac:dyDescent="0.3">
      <c r="O744" s="136"/>
    </row>
    <row r="745" spans="15:15" x14ac:dyDescent="0.3">
      <c r="O745" s="136"/>
    </row>
    <row r="746" spans="15:15" x14ac:dyDescent="0.3">
      <c r="O746" s="136"/>
    </row>
    <row r="747" spans="15:15" x14ac:dyDescent="0.3">
      <c r="O747" s="136"/>
    </row>
    <row r="748" spans="15:15" x14ac:dyDescent="0.3">
      <c r="O748" s="136"/>
    </row>
    <row r="749" spans="15:15" x14ac:dyDescent="0.3">
      <c r="O749" s="136"/>
    </row>
    <row r="750" spans="15:15" x14ac:dyDescent="0.3">
      <c r="O750" s="136"/>
    </row>
    <row r="751" spans="15:15" x14ac:dyDescent="0.3">
      <c r="O751" s="136"/>
    </row>
    <row r="752" spans="15:15" x14ac:dyDescent="0.3">
      <c r="O752" s="136"/>
    </row>
    <row r="753" spans="15:15" x14ac:dyDescent="0.3">
      <c r="O753" s="136"/>
    </row>
    <row r="771" spans="15:15" x14ac:dyDescent="0.3">
      <c r="O771" s="136"/>
    </row>
    <row r="772" spans="15:15" x14ac:dyDescent="0.3">
      <c r="O772" s="136"/>
    </row>
    <row r="773" spans="15:15" x14ac:dyDescent="0.3">
      <c r="O773" s="136"/>
    </row>
    <row r="774" spans="15:15" x14ac:dyDescent="0.3">
      <c r="O774" s="136"/>
    </row>
    <row r="775" spans="15:15" x14ac:dyDescent="0.3">
      <c r="O775" s="136"/>
    </row>
    <row r="776" spans="15:15" x14ac:dyDescent="0.3">
      <c r="O776" s="136"/>
    </row>
    <row r="777" spans="15:15" x14ac:dyDescent="0.3">
      <c r="O777" s="136"/>
    </row>
    <row r="778" spans="15:15" x14ac:dyDescent="0.3">
      <c r="O778" s="136"/>
    </row>
    <row r="779" spans="15:15" x14ac:dyDescent="0.3">
      <c r="O779" s="136"/>
    </row>
    <row r="780" spans="15:15" x14ac:dyDescent="0.3">
      <c r="O780" s="136"/>
    </row>
    <row r="781" spans="15:15" x14ac:dyDescent="0.3">
      <c r="O781" s="136"/>
    </row>
    <row r="782" spans="15:15" x14ac:dyDescent="0.3">
      <c r="O782" s="136"/>
    </row>
    <row r="783" spans="15:15" x14ac:dyDescent="0.3">
      <c r="O783" s="136"/>
    </row>
    <row r="784" spans="15:15" x14ac:dyDescent="0.3">
      <c r="O784" s="136"/>
    </row>
    <row r="785" spans="15:15" x14ac:dyDescent="0.3">
      <c r="O785" s="136"/>
    </row>
    <row r="786" spans="15:15" x14ac:dyDescent="0.3">
      <c r="O786" s="136"/>
    </row>
    <row r="787" spans="15:15" x14ac:dyDescent="0.3">
      <c r="O787" s="136"/>
    </row>
    <row r="788" spans="15:15" x14ac:dyDescent="0.3">
      <c r="O788" s="136"/>
    </row>
    <row r="789" spans="15:15" x14ac:dyDescent="0.3">
      <c r="O789" s="136"/>
    </row>
    <row r="790" spans="15:15" x14ac:dyDescent="0.3">
      <c r="O790" s="136"/>
    </row>
    <row r="791" spans="15:15" x14ac:dyDescent="0.3">
      <c r="O791" s="136"/>
    </row>
    <row r="792" spans="15:15" x14ac:dyDescent="0.3">
      <c r="O792" s="136"/>
    </row>
    <row r="793" spans="15:15" x14ac:dyDescent="0.3">
      <c r="O793" s="136"/>
    </row>
    <row r="794" spans="15:15" x14ac:dyDescent="0.3">
      <c r="O794" s="136"/>
    </row>
    <row r="795" spans="15:15" x14ac:dyDescent="0.3">
      <c r="O795" s="136"/>
    </row>
    <row r="796" spans="15:15" x14ac:dyDescent="0.3">
      <c r="O796" s="136"/>
    </row>
    <row r="797" spans="15:15" x14ac:dyDescent="0.3">
      <c r="O797" s="136"/>
    </row>
    <row r="798" spans="15:15" x14ac:dyDescent="0.3">
      <c r="O798" s="136"/>
    </row>
    <row r="799" spans="15:15" x14ac:dyDescent="0.3">
      <c r="O799" s="136"/>
    </row>
    <row r="800" spans="15:15" x14ac:dyDescent="0.3">
      <c r="O800" s="136"/>
    </row>
    <row r="801" spans="15:15" x14ac:dyDescent="0.3">
      <c r="O801" s="136"/>
    </row>
    <row r="802" spans="15:15" x14ac:dyDescent="0.3">
      <c r="O802" s="136"/>
    </row>
    <row r="803" spans="15:15" x14ac:dyDescent="0.3">
      <c r="O803" s="136"/>
    </row>
    <row r="821" spans="15:15" x14ac:dyDescent="0.3">
      <c r="O821" s="136"/>
    </row>
    <row r="822" spans="15:15" x14ac:dyDescent="0.3">
      <c r="O822" s="136"/>
    </row>
    <row r="823" spans="15:15" x14ac:dyDescent="0.3">
      <c r="O823" s="136"/>
    </row>
    <row r="824" spans="15:15" x14ac:dyDescent="0.3">
      <c r="O824" s="136"/>
    </row>
    <row r="825" spans="15:15" x14ac:dyDescent="0.3">
      <c r="O825" s="136"/>
    </row>
    <row r="826" spans="15:15" x14ac:dyDescent="0.3">
      <c r="O826" s="136"/>
    </row>
    <row r="827" spans="15:15" x14ac:dyDescent="0.3">
      <c r="O827" s="136"/>
    </row>
    <row r="828" spans="15:15" x14ac:dyDescent="0.3">
      <c r="O828" s="136"/>
    </row>
    <row r="829" spans="15:15" x14ac:dyDescent="0.3">
      <c r="O829" s="136"/>
    </row>
    <row r="830" spans="15:15" x14ac:dyDescent="0.3">
      <c r="O830" s="136"/>
    </row>
    <row r="831" spans="15:15" x14ac:dyDescent="0.3">
      <c r="O831" s="136"/>
    </row>
    <row r="832" spans="15:15" x14ac:dyDescent="0.3">
      <c r="O832" s="136"/>
    </row>
    <row r="833" spans="15:15" x14ac:dyDescent="0.3">
      <c r="O833" s="136"/>
    </row>
    <row r="834" spans="15:15" x14ac:dyDescent="0.3">
      <c r="O834" s="136"/>
    </row>
    <row r="835" spans="15:15" x14ac:dyDescent="0.3">
      <c r="O835" s="136"/>
    </row>
    <row r="836" spans="15:15" x14ac:dyDescent="0.3">
      <c r="O836" s="136"/>
    </row>
    <row r="837" spans="15:15" x14ac:dyDescent="0.3">
      <c r="O837" s="136"/>
    </row>
    <row r="838" spans="15:15" x14ac:dyDescent="0.3">
      <c r="O838" s="136"/>
    </row>
    <row r="839" spans="15:15" x14ac:dyDescent="0.3">
      <c r="O839" s="136"/>
    </row>
    <row r="840" spans="15:15" x14ac:dyDescent="0.3">
      <c r="O840" s="136"/>
    </row>
    <row r="841" spans="15:15" x14ac:dyDescent="0.3">
      <c r="O841" s="136"/>
    </row>
    <row r="842" spans="15:15" x14ac:dyDescent="0.3">
      <c r="O842" s="136"/>
    </row>
    <row r="843" spans="15:15" x14ac:dyDescent="0.3">
      <c r="O843" s="136"/>
    </row>
    <row r="844" spans="15:15" x14ac:dyDescent="0.3">
      <c r="O844" s="136"/>
    </row>
    <row r="845" spans="15:15" x14ac:dyDescent="0.3">
      <c r="O845" s="136"/>
    </row>
    <row r="846" spans="15:15" x14ac:dyDescent="0.3">
      <c r="O846" s="136"/>
    </row>
    <row r="847" spans="15:15" x14ac:dyDescent="0.3">
      <c r="O847" s="136"/>
    </row>
    <row r="848" spans="15:15" x14ac:dyDescent="0.3">
      <c r="O848" s="136"/>
    </row>
    <row r="849" spans="15:15" x14ac:dyDescent="0.3">
      <c r="O849" s="136"/>
    </row>
    <row r="850" spans="15:15" x14ac:dyDescent="0.3">
      <c r="O850" s="136"/>
    </row>
    <row r="851" spans="15:15" x14ac:dyDescent="0.3">
      <c r="O851" s="136"/>
    </row>
    <row r="852" spans="15:15" x14ac:dyDescent="0.3">
      <c r="O852" s="136"/>
    </row>
    <row r="871" spans="15:15" x14ac:dyDescent="0.3">
      <c r="O871" s="136"/>
    </row>
    <row r="872" spans="15:15" x14ac:dyDescent="0.3">
      <c r="O872" s="136"/>
    </row>
    <row r="873" spans="15:15" x14ac:dyDescent="0.3">
      <c r="O873" s="136"/>
    </row>
    <row r="874" spans="15:15" x14ac:dyDescent="0.3">
      <c r="O874" s="136"/>
    </row>
    <row r="875" spans="15:15" x14ac:dyDescent="0.3">
      <c r="O875" s="136"/>
    </row>
    <row r="876" spans="15:15" x14ac:dyDescent="0.3">
      <c r="O876" s="136"/>
    </row>
    <row r="877" spans="15:15" x14ac:dyDescent="0.3">
      <c r="O877" s="136"/>
    </row>
    <row r="878" spans="15:15" x14ac:dyDescent="0.3">
      <c r="O878" s="136"/>
    </row>
    <row r="879" spans="15:15" x14ac:dyDescent="0.3">
      <c r="O879" s="136"/>
    </row>
    <row r="880" spans="15:15" x14ac:dyDescent="0.3">
      <c r="O880" s="136"/>
    </row>
    <row r="881" spans="15:15" x14ac:dyDescent="0.3">
      <c r="O881" s="136"/>
    </row>
    <row r="882" spans="15:15" x14ac:dyDescent="0.3">
      <c r="O882" s="136"/>
    </row>
    <row r="883" spans="15:15" x14ac:dyDescent="0.3">
      <c r="O883" s="136"/>
    </row>
    <row r="884" spans="15:15" x14ac:dyDescent="0.3">
      <c r="O884" s="136"/>
    </row>
    <row r="885" spans="15:15" x14ac:dyDescent="0.3">
      <c r="O885" s="136"/>
    </row>
    <row r="886" spans="15:15" x14ac:dyDescent="0.3">
      <c r="O886" s="136"/>
    </row>
    <row r="887" spans="15:15" x14ac:dyDescent="0.3">
      <c r="O887" s="136"/>
    </row>
    <row r="888" spans="15:15" x14ac:dyDescent="0.3">
      <c r="O888" s="136"/>
    </row>
    <row r="889" spans="15:15" x14ac:dyDescent="0.3">
      <c r="O889" s="136"/>
    </row>
    <row r="890" spans="15:15" x14ac:dyDescent="0.3">
      <c r="O890" s="136"/>
    </row>
    <row r="891" spans="15:15" x14ac:dyDescent="0.3">
      <c r="O891" s="136"/>
    </row>
    <row r="892" spans="15:15" x14ac:dyDescent="0.3">
      <c r="O892" s="136"/>
    </row>
    <row r="893" spans="15:15" x14ac:dyDescent="0.3">
      <c r="O893" s="136"/>
    </row>
    <row r="894" spans="15:15" x14ac:dyDescent="0.3">
      <c r="O894" s="136"/>
    </row>
    <row r="895" spans="15:15" x14ac:dyDescent="0.3">
      <c r="O895" s="136"/>
    </row>
    <row r="896" spans="15:15" x14ac:dyDescent="0.3">
      <c r="O896" s="136"/>
    </row>
    <row r="897" spans="15:15" x14ac:dyDescent="0.3">
      <c r="O897" s="136"/>
    </row>
    <row r="898" spans="15:15" x14ac:dyDescent="0.3">
      <c r="O898" s="136"/>
    </row>
    <row r="899" spans="15:15" x14ac:dyDescent="0.3">
      <c r="O899" s="136"/>
    </row>
    <row r="900" spans="15:15" x14ac:dyDescent="0.3">
      <c r="O900" s="136"/>
    </row>
    <row r="921" spans="15:15" x14ac:dyDescent="0.3">
      <c r="O921" s="136"/>
    </row>
    <row r="922" spans="15:15" x14ac:dyDescent="0.3">
      <c r="O922" s="136"/>
    </row>
    <row r="923" spans="15:15" x14ac:dyDescent="0.3">
      <c r="O923" s="136"/>
    </row>
    <row r="924" spans="15:15" x14ac:dyDescent="0.3">
      <c r="O924" s="136"/>
    </row>
    <row r="925" spans="15:15" x14ac:dyDescent="0.3">
      <c r="O925" s="136"/>
    </row>
    <row r="926" spans="15:15" x14ac:dyDescent="0.3">
      <c r="O926" s="136"/>
    </row>
    <row r="927" spans="15:15" x14ac:dyDescent="0.3">
      <c r="O927" s="136"/>
    </row>
    <row r="928" spans="15:15" x14ac:dyDescent="0.3">
      <c r="O928" s="136"/>
    </row>
    <row r="929" spans="15:15" x14ac:dyDescent="0.3">
      <c r="O929" s="136"/>
    </row>
    <row r="930" spans="15:15" x14ac:dyDescent="0.3">
      <c r="O930" s="136"/>
    </row>
    <row r="931" spans="15:15" x14ac:dyDescent="0.3">
      <c r="O931" s="136"/>
    </row>
    <row r="932" spans="15:15" x14ac:dyDescent="0.3">
      <c r="O932" s="136"/>
    </row>
    <row r="933" spans="15:15" x14ac:dyDescent="0.3">
      <c r="O933" s="136"/>
    </row>
    <row r="934" spans="15:15" x14ac:dyDescent="0.3">
      <c r="O934" s="136"/>
    </row>
    <row r="935" spans="15:15" x14ac:dyDescent="0.3">
      <c r="O935" s="136"/>
    </row>
    <row r="936" spans="15:15" x14ac:dyDescent="0.3">
      <c r="O936" s="136"/>
    </row>
    <row r="937" spans="15:15" x14ac:dyDescent="0.3">
      <c r="O937" s="136"/>
    </row>
    <row r="938" spans="15:15" x14ac:dyDescent="0.3">
      <c r="O938" s="136"/>
    </row>
    <row r="939" spans="15:15" x14ac:dyDescent="0.3">
      <c r="O939" s="136"/>
    </row>
    <row r="940" spans="15:15" x14ac:dyDescent="0.3">
      <c r="O940" s="136"/>
    </row>
    <row r="941" spans="15:15" x14ac:dyDescent="0.3">
      <c r="O941" s="136"/>
    </row>
    <row r="942" spans="15:15" x14ac:dyDescent="0.3">
      <c r="O942" s="136"/>
    </row>
    <row r="943" spans="15:15" x14ac:dyDescent="0.3">
      <c r="O943" s="136"/>
    </row>
    <row r="944" spans="15:15" x14ac:dyDescent="0.3">
      <c r="O944" s="136"/>
    </row>
    <row r="945" spans="15:15" x14ac:dyDescent="0.3">
      <c r="O945" s="136"/>
    </row>
    <row r="946" spans="15:15" x14ac:dyDescent="0.3">
      <c r="O946" s="136"/>
    </row>
    <row r="947" spans="15:15" x14ac:dyDescent="0.3">
      <c r="O947" s="136"/>
    </row>
    <row r="948" spans="15:15" x14ac:dyDescent="0.3">
      <c r="O948" s="136"/>
    </row>
    <row r="949" spans="15:15" x14ac:dyDescent="0.3">
      <c r="O949" s="136"/>
    </row>
    <row r="950" spans="15:15" x14ac:dyDescent="0.3">
      <c r="O950" s="136"/>
    </row>
    <row r="971" spans="15:15" x14ac:dyDescent="0.3">
      <c r="O971" s="136"/>
    </row>
    <row r="972" spans="15:15" x14ac:dyDescent="0.3">
      <c r="O972" s="136"/>
    </row>
    <row r="973" spans="15:15" x14ac:dyDescent="0.3">
      <c r="O973" s="136"/>
    </row>
    <row r="974" spans="15:15" x14ac:dyDescent="0.3">
      <c r="O974" s="136"/>
    </row>
    <row r="975" spans="15:15" x14ac:dyDescent="0.3">
      <c r="O975" s="136"/>
    </row>
    <row r="976" spans="15:15" x14ac:dyDescent="0.3">
      <c r="O976" s="136"/>
    </row>
    <row r="977" spans="15:15" x14ac:dyDescent="0.3">
      <c r="O977" s="136"/>
    </row>
    <row r="978" spans="15:15" x14ac:dyDescent="0.3">
      <c r="O978" s="136"/>
    </row>
    <row r="979" spans="15:15" x14ac:dyDescent="0.3">
      <c r="O979" s="136"/>
    </row>
    <row r="980" spans="15:15" x14ac:dyDescent="0.3">
      <c r="O980" s="136"/>
    </row>
    <row r="981" spans="15:15" x14ac:dyDescent="0.3">
      <c r="O981" s="136"/>
    </row>
    <row r="982" spans="15:15" x14ac:dyDescent="0.3">
      <c r="O982" s="136"/>
    </row>
    <row r="983" spans="15:15" x14ac:dyDescent="0.3">
      <c r="O983" s="136"/>
    </row>
    <row r="984" spans="15:15" x14ac:dyDescent="0.3">
      <c r="O984" s="136"/>
    </row>
    <row r="985" spans="15:15" x14ac:dyDescent="0.3">
      <c r="O985" s="136"/>
    </row>
    <row r="986" spans="15:15" x14ac:dyDescent="0.3">
      <c r="O986" s="136"/>
    </row>
    <row r="987" spans="15:15" x14ac:dyDescent="0.3">
      <c r="O987" s="136"/>
    </row>
    <row r="988" spans="15:15" x14ac:dyDescent="0.3">
      <c r="O988" s="136"/>
    </row>
    <row r="989" spans="15:15" x14ac:dyDescent="0.3">
      <c r="O989" s="136"/>
    </row>
    <row r="990" spans="15:15" x14ac:dyDescent="0.3">
      <c r="O990" s="136"/>
    </row>
    <row r="991" spans="15:15" x14ac:dyDescent="0.3">
      <c r="O991" s="136"/>
    </row>
    <row r="992" spans="15:15" x14ac:dyDescent="0.3">
      <c r="O992" s="136"/>
    </row>
    <row r="993" spans="15:15" x14ac:dyDescent="0.3">
      <c r="O993" s="136"/>
    </row>
    <row r="994" spans="15:15" x14ac:dyDescent="0.3">
      <c r="O994" s="136"/>
    </row>
    <row r="995" spans="15:15" x14ac:dyDescent="0.3">
      <c r="O995" s="136"/>
    </row>
    <row r="996" spans="15:15" x14ac:dyDescent="0.3">
      <c r="O996" s="136"/>
    </row>
    <row r="997" spans="15:15" x14ac:dyDescent="0.3">
      <c r="O997" s="136"/>
    </row>
    <row r="998" spans="15:15" x14ac:dyDescent="0.3">
      <c r="O998" s="136"/>
    </row>
    <row r="999" spans="15:15" x14ac:dyDescent="0.3">
      <c r="O999" s="136"/>
    </row>
    <row r="1021" spans="15:15" x14ac:dyDescent="0.3">
      <c r="O1021" s="136"/>
    </row>
    <row r="1022" spans="15:15" x14ac:dyDescent="0.3">
      <c r="O1022" s="136"/>
    </row>
    <row r="1023" spans="15:15" x14ac:dyDescent="0.3">
      <c r="O1023" s="136"/>
    </row>
    <row r="1024" spans="15:15" x14ac:dyDescent="0.3">
      <c r="O1024" s="136"/>
    </row>
    <row r="1025" spans="15:15" x14ac:dyDescent="0.3">
      <c r="O1025" s="136"/>
    </row>
    <row r="1026" spans="15:15" x14ac:dyDescent="0.3">
      <c r="O1026" s="136"/>
    </row>
    <row r="1027" spans="15:15" x14ac:dyDescent="0.3">
      <c r="O1027" s="136"/>
    </row>
    <row r="1028" spans="15:15" x14ac:dyDescent="0.3">
      <c r="O1028" s="136"/>
    </row>
    <row r="1029" spans="15:15" x14ac:dyDescent="0.3">
      <c r="O1029" s="136"/>
    </row>
    <row r="1030" spans="15:15" x14ac:dyDescent="0.3">
      <c r="O1030" s="136"/>
    </row>
    <row r="1031" spans="15:15" x14ac:dyDescent="0.3">
      <c r="O1031" s="136"/>
    </row>
    <row r="1032" spans="15:15" x14ac:dyDescent="0.3">
      <c r="O1032" s="136"/>
    </row>
    <row r="1033" spans="15:15" x14ac:dyDescent="0.3">
      <c r="O1033" s="136"/>
    </row>
    <row r="1034" spans="15:15" x14ac:dyDescent="0.3">
      <c r="O1034" s="136"/>
    </row>
    <row r="1035" spans="15:15" x14ac:dyDescent="0.3">
      <c r="O1035" s="136"/>
    </row>
    <row r="1036" spans="15:15" x14ac:dyDescent="0.3">
      <c r="O1036" s="136"/>
    </row>
    <row r="1037" spans="15:15" x14ac:dyDescent="0.3">
      <c r="O1037" s="136"/>
    </row>
    <row r="1038" spans="15:15" x14ac:dyDescent="0.3">
      <c r="O1038" s="136"/>
    </row>
    <row r="1039" spans="15:15" x14ac:dyDescent="0.3">
      <c r="O1039" s="136"/>
    </row>
    <row r="1040" spans="15:15" x14ac:dyDescent="0.3">
      <c r="O1040" s="136"/>
    </row>
    <row r="1041" spans="15:15" x14ac:dyDescent="0.3">
      <c r="O1041" s="136"/>
    </row>
    <row r="1042" spans="15:15" x14ac:dyDescent="0.3">
      <c r="O1042" s="136"/>
    </row>
    <row r="1043" spans="15:15" x14ac:dyDescent="0.3">
      <c r="O1043" s="136"/>
    </row>
    <row r="1044" spans="15:15" x14ac:dyDescent="0.3">
      <c r="O1044" s="136"/>
    </row>
    <row r="1045" spans="15:15" x14ac:dyDescent="0.3">
      <c r="O1045" s="136"/>
    </row>
    <row r="1046" spans="15:15" x14ac:dyDescent="0.3">
      <c r="O1046" s="136"/>
    </row>
    <row r="1047" spans="15:15" x14ac:dyDescent="0.3">
      <c r="O1047" s="136"/>
    </row>
    <row r="1048" spans="15:15" x14ac:dyDescent="0.3">
      <c r="O1048" s="136"/>
    </row>
    <row r="1369" spans="15:15" x14ac:dyDescent="0.3">
      <c r="O1369" s="136"/>
    </row>
    <row r="1418" spans="15:15" x14ac:dyDescent="0.3">
      <c r="O1418" s="136"/>
    </row>
    <row r="1419" spans="15:15" x14ac:dyDescent="0.3">
      <c r="O1419" s="136"/>
    </row>
    <row r="1467" spans="15:15" x14ac:dyDescent="0.3">
      <c r="O1467" s="136"/>
    </row>
    <row r="1468" spans="15:15" x14ac:dyDescent="0.3">
      <c r="O1468" s="136"/>
    </row>
    <row r="1469" spans="15:15" x14ac:dyDescent="0.3">
      <c r="O1469" s="136"/>
    </row>
    <row r="1516" spans="15:15" x14ac:dyDescent="0.3">
      <c r="O1516" s="136"/>
    </row>
    <row r="1517" spans="15:15" x14ac:dyDescent="0.3">
      <c r="O1517" s="136"/>
    </row>
    <row r="1518" spans="15:15" x14ac:dyDescent="0.3">
      <c r="O1518" s="136"/>
    </row>
    <row r="1519" spans="15:15" x14ac:dyDescent="0.3">
      <c r="O1519" s="136"/>
    </row>
    <row r="1565" spans="15:15" x14ac:dyDescent="0.3">
      <c r="O1565" s="136"/>
    </row>
    <row r="1566" spans="15:15" x14ac:dyDescent="0.3">
      <c r="O1566" s="136"/>
    </row>
    <row r="1567" spans="15:15" x14ac:dyDescent="0.3">
      <c r="O1567" s="136"/>
    </row>
    <row r="1568" spans="15:15" x14ac:dyDescent="0.3">
      <c r="O1568" s="136"/>
    </row>
    <row r="1569" spans="15:15" x14ac:dyDescent="0.3">
      <c r="O1569" s="136"/>
    </row>
    <row r="1614" spans="15:15" x14ac:dyDescent="0.3">
      <c r="O1614" s="136"/>
    </row>
    <row r="1615" spans="15:15" x14ac:dyDescent="0.3">
      <c r="O1615" s="136"/>
    </row>
    <row r="1616" spans="15:15" x14ac:dyDescent="0.3">
      <c r="O1616" s="136"/>
    </row>
    <row r="1617" spans="15:15" x14ac:dyDescent="0.3">
      <c r="O1617" s="136"/>
    </row>
    <row r="1618" spans="15:15" x14ac:dyDescent="0.3">
      <c r="O1618" s="136"/>
    </row>
    <row r="1619" spans="15:15" x14ac:dyDescent="0.3">
      <c r="O1619" s="136"/>
    </row>
    <row r="1663" spans="15:15" x14ac:dyDescent="0.3">
      <c r="O1663" s="136"/>
    </row>
    <row r="1664" spans="15:15" x14ac:dyDescent="0.3">
      <c r="O1664" s="136"/>
    </row>
    <row r="1665" spans="15:15" x14ac:dyDescent="0.3">
      <c r="O1665" s="136"/>
    </row>
    <row r="1666" spans="15:15" x14ac:dyDescent="0.3">
      <c r="O1666" s="136"/>
    </row>
    <row r="1667" spans="15:15" x14ac:dyDescent="0.3">
      <c r="O1667" s="136"/>
    </row>
    <row r="1668" spans="15:15" x14ac:dyDescent="0.3">
      <c r="O1668" s="136"/>
    </row>
    <row r="1669" spans="15:15" x14ac:dyDescent="0.3">
      <c r="O1669" s="136"/>
    </row>
    <row r="1712" spans="15:15" x14ac:dyDescent="0.3">
      <c r="O1712" s="136"/>
    </row>
    <row r="1713" spans="15:15" x14ac:dyDescent="0.3">
      <c r="O1713" s="136"/>
    </row>
    <row r="1714" spans="15:15" x14ac:dyDescent="0.3">
      <c r="O1714" s="136"/>
    </row>
    <row r="1715" spans="15:15" x14ac:dyDescent="0.3">
      <c r="O1715" s="136"/>
    </row>
    <row r="1716" spans="15:15" x14ac:dyDescent="0.3">
      <c r="O1716" s="136"/>
    </row>
    <row r="1717" spans="15:15" x14ac:dyDescent="0.3">
      <c r="O1717" s="136"/>
    </row>
    <row r="1718" spans="15:15" x14ac:dyDescent="0.3">
      <c r="O1718" s="136"/>
    </row>
    <row r="1719" spans="15:15" x14ac:dyDescent="0.3">
      <c r="O1719" s="136"/>
    </row>
    <row r="1761" spans="15:15" x14ac:dyDescent="0.3">
      <c r="O1761" s="136"/>
    </row>
    <row r="1762" spans="15:15" x14ac:dyDescent="0.3">
      <c r="O1762" s="136"/>
    </row>
    <row r="1763" spans="15:15" x14ac:dyDescent="0.3">
      <c r="O1763" s="136"/>
    </row>
    <row r="1764" spans="15:15" x14ac:dyDescent="0.3">
      <c r="O1764" s="136"/>
    </row>
    <row r="1765" spans="15:15" x14ac:dyDescent="0.3">
      <c r="O1765" s="136"/>
    </row>
    <row r="1766" spans="15:15" x14ac:dyDescent="0.3">
      <c r="O1766" s="136"/>
    </row>
    <row r="1767" spans="15:15" x14ac:dyDescent="0.3">
      <c r="O1767" s="136"/>
    </row>
    <row r="1768" spans="15:15" x14ac:dyDescent="0.3">
      <c r="O1768" s="136"/>
    </row>
    <row r="1769" spans="15:15" x14ac:dyDescent="0.3">
      <c r="O1769" s="136"/>
    </row>
    <row r="1810" spans="15:15" x14ac:dyDescent="0.3">
      <c r="O1810" s="136"/>
    </row>
    <row r="1811" spans="15:15" x14ac:dyDescent="0.3">
      <c r="O1811" s="136"/>
    </row>
    <row r="1812" spans="15:15" x14ac:dyDescent="0.3">
      <c r="O1812" s="136"/>
    </row>
    <row r="1813" spans="15:15" x14ac:dyDescent="0.3">
      <c r="O1813" s="136"/>
    </row>
    <row r="1814" spans="15:15" x14ac:dyDescent="0.3">
      <c r="O1814" s="136"/>
    </row>
    <row r="1815" spans="15:15" x14ac:dyDescent="0.3">
      <c r="O1815" s="136"/>
    </row>
    <row r="1816" spans="15:15" x14ac:dyDescent="0.3">
      <c r="O1816" s="136"/>
    </row>
    <row r="1817" spans="15:15" x14ac:dyDescent="0.3">
      <c r="O1817" s="136"/>
    </row>
    <row r="1818" spans="15:15" x14ac:dyDescent="0.3">
      <c r="O1818" s="136"/>
    </row>
    <row r="1819" spans="15:15" x14ac:dyDescent="0.3">
      <c r="O1819" s="136"/>
    </row>
    <row r="1859" spans="15:15" x14ac:dyDescent="0.3">
      <c r="O1859" s="136"/>
    </row>
    <row r="1860" spans="15:15" x14ac:dyDescent="0.3">
      <c r="O1860" s="136"/>
    </row>
    <row r="1861" spans="15:15" x14ac:dyDescent="0.3">
      <c r="O1861" s="136"/>
    </row>
    <row r="1862" spans="15:15" x14ac:dyDescent="0.3">
      <c r="O1862" s="136"/>
    </row>
    <row r="1863" spans="15:15" x14ac:dyDescent="0.3">
      <c r="O1863" s="136"/>
    </row>
    <row r="1864" spans="15:15" x14ac:dyDescent="0.3">
      <c r="O1864" s="136"/>
    </row>
    <row r="1865" spans="15:15" x14ac:dyDescent="0.3">
      <c r="O1865" s="136"/>
    </row>
    <row r="1866" spans="15:15" x14ac:dyDescent="0.3">
      <c r="O1866" s="136"/>
    </row>
    <row r="1867" spans="15:15" x14ac:dyDescent="0.3">
      <c r="O1867" s="136"/>
    </row>
    <row r="1868" spans="15:15" x14ac:dyDescent="0.3">
      <c r="O1868" s="136"/>
    </row>
    <row r="1869" spans="15:15" x14ac:dyDescent="0.3">
      <c r="O1869" s="136"/>
    </row>
    <row r="1908" spans="15:15" x14ac:dyDescent="0.3">
      <c r="O1908" s="136"/>
    </row>
    <row r="1909" spans="15:15" x14ac:dyDescent="0.3">
      <c r="O1909" s="136"/>
    </row>
    <row r="1910" spans="15:15" x14ac:dyDescent="0.3">
      <c r="O1910" s="136"/>
    </row>
    <row r="1911" spans="15:15" x14ac:dyDescent="0.3">
      <c r="O1911" s="136"/>
    </row>
    <row r="1912" spans="15:15" x14ac:dyDescent="0.3">
      <c r="O1912" s="136"/>
    </row>
    <row r="1913" spans="15:15" x14ac:dyDescent="0.3">
      <c r="O1913" s="136"/>
    </row>
    <row r="1914" spans="15:15" x14ac:dyDescent="0.3">
      <c r="O1914" s="136"/>
    </row>
    <row r="1915" spans="15:15" x14ac:dyDescent="0.3">
      <c r="O1915" s="136"/>
    </row>
    <row r="1916" spans="15:15" x14ac:dyDescent="0.3">
      <c r="O1916" s="136"/>
    </row>
    <row r="1917" spans="15:15" x14ac:dyDescent="0.3">
      <c r="O1917" s="136"/>
    </row>
    <row r="1918" spans="15:15" x14ac:dyDescent="0.3">
      <c r="O1918" s="136"/>
    </row>
    <row r="1919" spans="15:15" x14ac:dyDescent="0.3">
      <c r="O1919" s="136"/>
    </row>
    <row r="1957" spans="15:15" x14ac:dyDescent="0.3">
      <c r="O1957" s="136"/>
    </row>
    <row r="1958" spans="15:15" x14ac:dyDescent="0.3">
      <c r="O1958" s="136"/>
    </row>
    <row r="1959" spans="15:15" x14ac:dyDescent="0.3">
      <c r="O1959" s="136"/>
    </row>
    <row r="1960" spans="15:15" x14ac:dyDescent="0.3">
      <c r="O1960" s="136"/>
    </row>
    <row r="1961" spans="15:15" x14ac:dyDescent="0.3">
      <c r="O1961" s="136"/>
    </row>
    <row r="1962" spans="15:15" x14ac:dyDescent="0.3">
      <c r="O1962" s="136"/>
    </row>
    <row r="1963" spans="15:15" x14ac:dyDescent="0.3">
      <c r="O1963" s="136"/>
    </row>
    <row r="1964" spans="15:15" x14ac:dyDescent="0.3">
      <c r="O1964" s="136"/>
    </row>
    <row r="1965" spans="15:15" x14ac:dyDescent="0.3">
      <c r="O1965" s="136"/>
    </row>
    <row r="1966" spans="15:15" x14ac:dyDescent="0.3">
      <c r="O1966" s="136"/>
    </row>
    <row r="1967" spans="15:15" x14ac:dyDescent="0.3">
      <c r="O1967" s="136"/>
    </row>
    <row r="1968" spans="15:15" x14ac:dyDescent="0.3">
      <c r="O1968" s="136"/>
    </row>
    <row r="1969" spans="15:15" x14ac:dyDescent="0.3">
      <c r="O1969" s="136"/>
    </row>
    <row r="2006" spans="15:15" x14ac:dyDescent="0.3">
      <c r="O2006" s="136"/>
    </row>
    <row r="2007" spans="15:15" x14ac:dyDescent="0.3">
      <c r="O2007" s="136"/>
    </row>
    <row r="2008" spans="15:15" x14ac:dyDescent="0.3">
      <c r="O2008" s="136"/>
    </row>
    <row r="2009" spans="15:15" x14ac:dyDescent="0.3">
      <c r="O2009" s="136"/>
    </row>
    <row r="2010" spans="15:15" x14ac:dyDescent="0.3">
      <c r="O2010" s="136"/>
    </row>
    <row r="2011" spans="15:15" x14ac:dyDescent="0.3">
      <c r="O2011" s="136"/>
    </row>
    <row r="2012" spans="15:15" x14ac:dyDescent="0.3">
      <c r="O2012" s="136"/>
    </row>
    <row r="2013" spans="15:15" x14ac:dyDescent="0.3">
      <c r="O2013" s="136"/>
    </row>
    <row r="2014" spans="15:15" x14ac:dyDescent="0.3">
      <c r="O2014" s="136"/>
    </row>
    <row r="2015" spans="15:15" x14ac:dyDescent="0.3">
      <c r="O2015" s="136"/>
    </row>
    <row r="2016" spans="15:15" x14ac:dyDescent="0.3">
      <c r="O2016" s="136"/>
    </row>
    <row r="2017" spans="15:15" x14ac:dyDescent="0.3">
      <c r="O2017" s="136"/>
    </row>
    <row r="2018" spans="15:15" x14ac:dyDescent="0.3">
      <c r="O2018" s="136"/>
    </row>
    <row r="2019" spans="15:15" x14ac:dyDescent="0.3">
      <c r="O2019" s="136"/>
    </row>
    <row r="2055" spans="15:15" x14ac:dyDescent="0.3">
      <c r="O2055" s="136"/>
    </row>
    <row r="2056" spans="15:15" x14ac:dyDescent="0.3">
      <c r="O2056" s="136"/>
    </row>
    <row r="2057" spans="15:15" x14ac:dyDescent="0.3">
      <c r="O2057" s="136"/>
    </row>
    <row r="2058" spans="15:15" x14ac:dyDescent="0.3">
      <c r="O2058" s="136"/>
    </row>
    <row r="2059" spans="15:15" x14ac:dyDescent="0.3">
      <c r="O2059" s="136"/>
    </row>
    <row r="2060" spans="15:15" x14ac:dyDescent="0.3">
      <c r="O2060" s="136"/>
    </row>
    <row r="2061" spans="15:15" x14ac:dyDescent="0.3">
      <c r="O2061" s="136"/>
    </row>
    <row r="2062" spans="15:15" x14ac:dyDescent="0.3">
      <c r="O2062" s="136"/>
    </row>
    <row r="2063" spans="15:15" x14ac:dyDescent="0.3">
      <c r="O2063" s="136"/>
    </row>
    <row r="2064" spans="15:15" x14ac:dyDescent="0.3">
      <c r="O2064" s="136"/>
    </row>
    <row r="2065" spans="15:15" x14ac:dyDescent="0.3">
      <c r="O2065" s="136"/>
    </row>
    <row r="2066" spans="15:15" x14ac:dyDescent="0.3">
      <c r="O2066" s="136"/>
    </row>
    <row r="2067" spans="15:15" x14ac:dyDescent="0.3">
      <c r="O2067" s="136"/>
    </row>
    <row r="2068" spans="15:15" x14ac:dyDescent="0.3">
      <c r="O2068" s="136"/>
    </row>
    <row r="2069" spans="15:15" x14ac:dyDescent="0.3">
      <c r="O2069" s="136"/>
    </row>
    <row r="2104" spans="15:15" x14ac:dyDescent="0.3">
      <c r="O2104" s="136"/>
    </row>
    <row r="2105" spans="15:15" x14ac:dyDescent="0.3">
      <c r="O2105" s="136"/>
    </row>
    <row r="2106" spans="15:15" x14ac:dyDescent="0.3">
      <c r="O2106" s="136"/>
    </row>
    <row r="2107" spans="15:15" x14ac:dyDescent="0.3">
      <c r="O2107" s="136"/>
    </row>
    <row r="2108" spans="15:15" x14ac:dyDescent="0.3">
      <c r="O2108" s="136"/>
    </row>
    <row r="2109" spans="15:15" x14ac:dyDescent="0.3">
      <c r="O2109" s="136"/>
    </row>
    <row r="2110" spans="15:15" x14ac:dyDescent="0.3">
      <c r="O2110" s="136"/>
    </row>
    <row r="2111" spans="15:15" x14ac:dyDescent="0.3">
      <c r="O2111" s="136"/>
    </row>
    <row r="2112" spans="15:15" x14ac:dyDescent="0.3">
      <c r="O2112" s="136"/>
    </row>
    <row r="2113" spans="15:15" x14ac:dyDescent="0.3">
      <c r="O2113" s="136"/>
    </row>
    <row r="2114" spans="15:15" x14ac:dyDescent="0.3">
      <c r="O2114" s="136"/>
    </row>
    <row r="2115" spans="15:15" x14ac:dyDescent="0.3">
      <c r="O2115" s="136"/>
    </row>
    <row r="2116" spans="15:15" x14ac:dyDescent="0.3">
      <c r="O2116" s="136"/>
    </row>
    <row r="2117" spans="15:15" x14ac:dyDescent="0.3">
      <c r="O2117" s="136"/>
    </row>
    <row r="2118" spans="15:15" x14ac:dyDescent="0.3">
      <c r="O2118" s="136"/>
    </row>
    <row r="2119" spans="15:15" x14ac:dyDescent="0.3">
      <c r="O2119" s="136"/>
    </row>
    <row r="2153" spans="15:15" x14ac:dyDescent="0.3">
      <c r="O2153" s="136"/>
    </row>
    <row r="2154" spans="15:15" x14ac:dyDescent="0.3">
      <c r="O2154" s="136"/>
    </row>
    <row r="2155" spans="15:15" x14ac:dyDescent="0.3">
      <c r="O2155" s="136"/>
    </row>
    <row r="2156" spans="15:15" x14ac:dyDescent="0.3">
      <c r="O2156" s="136"/>
    </row>
    <row r="2157" spans="15:15" x14ac:dyDescent="0.3">
      <c r="O2157" s="136"/>
    </row>
    <row r="2158" spans="15:15" x14ac:dyDescent="0.3">
      <c r="O2158" s="136"/>
    </row>
    <row r="2159" spans="15:15" x14ac:dyDescent="0.3">
      <c r="O2159" s="136"/>
    </row>
    <row r="2160" spans="15:15" x14ac:dyDescent="0.3">
      <c r="O2160" s="136"/>
    </row>
    <row r="2161" spans="15:15" x14ac:dyDescent="0.3">
      <c r="O2161" s="136"/>
    </row>
    <row r="2162" spans="15:15" x14ac:dyDescent="0.3">
      <c r="O2162" s="136"/>
    </row>
    <row r="2163" spans="15:15" x14ac:dyDescent="0.3">
      <c r="O2163" s="136"/>
    </row>
    <row r="2164" spans="15:15" x14ac:dyDescent="0.3">
      <c r="O2164" s="136"/>
    </row>
    <row r="2165" spans="15:15" x14ac:dyDescent="0.3">
      <c r="O2165" s="136"/>
    </row>
    <row r="2166" spans="15:15" x14ac:dyDescent="0.3">
      <c r="O2166" s="136"/>
    </row>
    <row r="2167" spans="15:15" x14ac:dyDescent="0.3">
      <c r="O2167" s="136"/>
    </row>
    <row r="2168" spans="15:15" x14ac:dyDescent="0.3">
      <c r="O2168" s="136"/>
    </row>
    <row r="2169" spans="15:15" x14ac:dyDescent="0.3">
      <c r="O2169" s="136"/>
    </row>
    <row r="2202" spans="15:15" x14ac:dyDescent="0.3">
      <c r="O2202" s="136"/>
    </row>
    <row r="2203" spans="15:15" x14ac:dyDescent="0.3">
      <c r="O2203" s="136"/>
    </row>
    <row r="2204" spans="15:15" x14ac:dyDescent="0.3">
      <c r="O2204" s="136"/>
    </row>
    <row r="2205" spans="15:15" x14ac:dyDescent="0.3">
      <c r="O2205" s="136"/>
    </row>
    <row r="2206" spans="15:15" x14ac:dyDescent="0.3">
      <c r="O2206" s="136"/>
    </row>
    <row r="2207" spans="15:15" x14ac:dyDescent="0.3">
      <c r="O2207" s="136"/>
    </row>
    <row r="2208" spans="15:15" x14ac:dyDescent="0.3">
      <c r="O2208" s="136"/>
    </row>
    <row r="2209" spans="15:15" x14ac:dyDescent="0.3">
      <c r="O2209" s="136"/>
    </row>
    <row r="2210" spans="15:15" x14ac:dyDescent="0.3">
      <c r="O2210" s="136"/>
    </row>
    <row r="2211" spans="15:15" x14ac:dyDescent="0.3">
      <c r="O2211" s="136"/>
    </row>
    <row r="2212" spans="15:15" x14ac:dyDescent="0.3">
      <c r="O2212" s="136"/>
    </row>
    <row r="2213" spans="15:15" x14ac:dyDescent="0.3">
      <c r="O2213" s="136"/>
    </row>
    <row r="2214" spans="15:15" x14ac:dyDescent="0.3">
      <c r="O2214" s="136"/>
    </row>
    <row r="2215" spans="15:15" x14ac:dyDescent="0.3">
      <c r="O2215" s="136"/>
    </row>
    <row r="2216" spans="15:15" x14ac:dyDescent="0.3">
      <c r="O2216" s="136"/>
    </row>
    <row r="2217" spans="15:15" x14ac:dyDescent="0.3">
      <c r="O2217" s="136"/>
    </row>
    <row r="2218" spans="15:15" x14ac:dyDescent="0.3">
      <c r="O2218" s="136"/>
    </row>
    <row r="2219" spans="15:15" x14ac:dyDescent="0.3">
      <c r="O2219" s="136"/>
    </row>
    <row r="2251" spans="15:15" x14ac:dyDescent="0.3">
      <c r="O2251" s="136"/>
    </row>
    <row r="2252" spans="15:15" x14ac:dyDescent="0.3">
      <c r="O2252" s="136"/>
    </row>
    <row r="2253" spans="15:15" x14ac:dyDescent="0.3">
      <c r="O2253" s="136"/>
    </row>
    <row r="2254" spans="15:15" x14ac:dyDescent="0.3">
      <c r="O2254" s="136"/>
    </row>
    <row r="2255" spans="15:15" x14ac:dyDescent="0.3">
      <c r="O2255" s="136"/>
    </row>
    <row r="2256" spans="15:15" x14ac:dyDescent="0.3">
      <c r="O2256" s="136"/>
    </row>
    <row r="2257" spans="15:15" x14ac:dyDescent="0.3">
      <c r="O2257" s="136"/>
    </row>
    <row r="2258" spans="15:15" x14ac:dyDescent="0.3">
      <c r="O2258" s="136"/>
    </row>
    <row r="2259" spans="15:15" x14ac:dyDescent="0.3">
      <c r="O2259" s="136"/>
    </row>
    <row r="2260" spans="15:15" x14ac:dyDescent="0.3">
      <c r="O2260" s="136"/>
    </row>
    <row r="2261" spans="15:15" x14ac:dyDescent="0.3">
      <c r="O2261" s="136"/>
    </row>
    <row r="2262" spans="15:15" x14ac:dyDescent="0.3">
      <c r="O2262" s="136"/>
    </row>
    <row r="2263" spans="15:15" x14ac:dyDescent="0.3">
      <c r="O2263" s="136"/>
    </row>
    <row r="2264" spans="15:15" x14ac:dyDescent="0.3">
      <c r="O2264" s="136"/>
    </row>
    <row r="2265" spans="15:15" x14ac:dyDescent="0.3">
      <c r="O2265" s="136"/>
    </row>
    <row r="2266" spans="15:15" x14ac:dyDescent="0.3">
      <c r="O2266" s="136"/>
    </row>
    <row r="2267" spans="15:15" x14ac:dyDescent="0.3">
      <c r="O2267" s="136"/>
    </row>
    <row r="2268" spans="15:15" x14ac:dyDescent="0.3">
      <c r="O2268" s="136"/>
    </row>
    <row r="2269" spans="15:15" x14ac:dyDescent="0.3">
      <c r="O2269" s="136"/>
    </row>
    <row r="2300" spans="15:15" x14ac:dyDescent="0.3">
      <c r="O2300" s="136"/>
    </row>
    <row r="2301" spans="15:15" x14ac:dyDescent="0.3">
      <c r="O2301" s="136"/>
    </row>
    <row r="2302" spans="15:15" x14ac:dyDescent="0.3">
      <c r="O2302" s="136"/>
    </row>
    <row r="2303" spans="15:15" x14ac:dyDescent="0.3">
      <c r="O2303" s="136"/>
    </row>
    <row r="2304" spans="15:15" x14ac:dyDescent="0.3">
      <c r="O2304" s="136"/>
    </row>
    <row r="2305" spans="15:15" x14ac:dyDescent="0.3">
      <c r="O2305" s="136"/>
    </row>
    <row r="2306" spans="15:15" x14ac:dyDescent="0.3">
      <c r="O2306" s="136"/>
    </row>
    <row r="2307" spans="15:15" x14ac:dyDescent="0.3">
      <c r="O2307" s="136"/>
    </row>
    <row r="2308" spans="15:15" x14ac:dyDescent="0.3">
      <c r="O2308" s="136"/>
    </row>
    <row r="2309" spans="15:15" x14ac:dyDescent="0.3">
      <c r="O2309" s="136"/>
    </row>
    <row r="2310" spans="15:15" x14ac:dyDescent="0.3">
      <c r="O2310" s="136"/>
    </row>
    <row r="2311" spans="15:15" x14ac:dyDescent="0.3">
      <c r="O2311" s="136"/>
    </row>
    <row r="2312" spans="15:15" x14ac:dyDescent="0.3">
      <c r="O2312" s="136"/>
    </row>
    <row r="2313" spans="15:15" x14ac:dyDescent="0.3">
      <c r="O2313" s="136"/>
    </row>
    <row r="2314" spans="15:15" x14ac:dyDescent="0.3">
      <c r="O2314" s="136"/>
    </row>
    <row r="2315" spans="15:15" x14ac:dyDescent="0.3">
      <c r="O2315" s="136"/>
    </row>
    <row r="2316" spans="15:15" x14ac:dyDescent="0.3">
      <c r="O2316" s="136"/>
    </row>
    <row r="2317" spans="15:15" x14ac:dyDescent="0.3">
      <c r="O2317" s="136"/>
    </row>
    <row r="2318" spans="15:15" x14ac:dyDescent="0.3">
      <c r="O2318" s="136"/>
    </row>
    <row r="2319" spans="15:15" x14ac:dyDescent="0.3">
      <c r="O2319" s="136"/>
    </row>
    <row r="2349" spans="15:15" x14ac:dyDescent="0.3">
      <c r="O2349" s="136"/>
    </row>
    <row r="2350" spans="15:15" x14ac:dyDescent="0.3">
      <c r="O2350" s="136"/>
    </row>
    <row r="2351" spans="15:15" x14ac:dyDescent="0.3">
      <c r="O2351" s="136"/>
    </row>
    <row r="2352" spans="15:15" x14ac:dyDescent="0.3">
      <c r="O2352" s="136"/>
    </row>
    <row r="2353" spans="15:15" x14ac:dyDescent="0.3">
      <c r="O2353" s="136"/>
    </row>
    <row r="2354" spans="15:15" x14ac:dyDescent="0.3">
      <c r="O2354" s="136"/>
    </row>
    <row r="2355" spans="15:15" x14ac:dyDescent="0.3">
      <c r="O2355" s="136"/>
    </row>
    <row r="2356" spans="15:15" x14ac:dyDescent="0.3">
      <c r="O2356" s="136"/>
    </row>
    <row r="2357" spans="15:15" x14ac:dyDescent="0.3">
      <c r="O2357" s="136"/>
    </row>
    <row r="2358" spans="15:15" x14ac:dyDescent="0.3">
      <c r="O2358" s="136"/>
    </row>
    <row r="2359" spans="15:15" x14ac:dyDescent="0.3">
      <c r="O2359" s="136"/>
    </row>
    <row r="2360" spans="15:15" x14ac:dyDescent="0.3">
      <c r="O2360" s="136"/>
    </row>
    <row r="2361" spans="15:15" x14ac:dyDescent="0.3">
      <c r="O2361" s="136"/>
    </row>
    <row r="2362" spans="15:15" x14ac:dyDescent="0.3">
      <c r="O2362" s="136"/>
    </row>
    <row r="2363" spans="15:15" x14ac:dyDescent="0.3">
      <c r="O2363" s="136"/>
    </row>
    <row r="2364" spans="15:15" x14ac:dyDescent="0.3">
      <c r="O2364" s="136"/>
    </row>
    <row r="2365" spans="15:15" x14ac:dyDescent="0.3">
      <c r="O2365" s="136"/>
    </row>
    <row r="2366" spans="15:15" x14ac:dyDescent="0.3">
      <c r="O2366" s="136"/>
    </row>
    <row r="2367" spans="15:15" x14ac:dyDescent="0.3">
      <c r="O2367" s="136"/>
    </row>
    <row r="2368" spans="15:15" x14ac:dyDescent="0.3">
      <c r="O2368" s="136"/>
    </row>
    <row r="2369" spans="15:15" x14ac:dyDescent="0.3">
      <c r="O2369" s="136"/>
    </row>
    <row r="2398" spans="15:15" x14ac:dyDescent="0.3">
      <c r="O2398" s="136"/>
    </row>
    <row r="2399" spans="15:15" x14ac:dyDescent="0.3">
      <c r="O2399" s="136"/>
    </row>
    <row r="2400" spans="15:15" x14ac:dyDescent="0.3">
      <c r="O2400" s="136"/>
    </row>
    <row r="2401" spans="15:15" x14ac:dyDescent="0.3">
      <c r="O2401" s="136"/>
    </row>
    <row r="2402" spans="15:15" x14ac:dyDescent="0.3">
      <c r="O2402" s="136"/>
    </row>
    <row r="2403" spans="15:15" x14ac:dyDescent="0.3">
      <c r="O2403" s="136"/>
    </row>
    <row r="2404" spans="15:15" x14ac:dyDescent="0.3">
      <c r="O2404" s="136"/>
    </row>
    <row r="2405" spans="15:15" x14ac:dyDescent="0.3">
      <c r="O2405" s="136"/>
    </row>
    <row r="2406" spans="15:15" x14ac:dyDescent="0.3">
      <c r="O2406" s="136"/>
    </row>
    <row r="2407" spans="15:15" x14ac:dyDescent="0.3">
      <c r="O2407" s="136"/>
    </row>
    <row r="2408" spans="15:15" x14ac:dyDescent="0.3">
      <c r="O2408" s="136"/>
    </row>
    <row r="2409" spans="15:15" x14ac:dyDescent="0.3">
      <c r="O2409" s="136"/>
    </row>
    <row r="2410" spans="15:15" x14ac:dyDescent="0.3">
      <c r="O2410" s="136"/>
    </row>
    <row r="2411" spans="15:15" x14ac:dyDescent="0.3">
      <c r="O2411" s="136"/>
    </row>
    <row r="2412" spans="15:15" x14ac:dyDescent="0.3">
      <c r="O2412" s="136"/>
    </row>
    <row r="2413" spans="15:15" x14ac:dyDescent="0.3">
      <c r="O2413" s="136"/>
    </row>
    <row r="2414" spans="15:15" x14ac:dyDescent="0.3">
      <c r="O2414" s="136"/>
    </row>
    <row r="2415" spans="15:15" x14ac:dyDescent="0.3">
      <c r="O2415" s="136"/>
    </row>
    <row r="2416" spans="15:15" x14ac:dyDescent="0.3">
      <c r="O2416" s="136"/>
    </row>
    <row r="2417" spans="15:15" x14ac:dyDescent="0.3">
      <c r="O2417" s="136"/>
    </row>
    <row r="2418" spans="15:15" x14ac:dyDescent="0.3">
      <c r="O2418" s="136"/>
    </row>
    <row r="2419" spans="15:15" x14ac:dyDescent="0.3">
      <c r="O2419" s="136"/>
    </row>
    <row r="2447" spans="15:15" x14ac:dyDescent="0.3">
      <c r="O2447" s="136"/>
    </row>
    <row r="2448" spans="15:15" x14ac:dyDescent="0.3">
      <c r="O2448" s="136"/>
    </row>
    <row r="2449" spans="15:15" x14ac:dyDescent="0.3">
      <c r="O2449" s="136"/>
    </row>
    <row r="2450" spans="15:15" x14ac:dyDescent="0.3">
      <c r="O2450" s="136"/>
    </row>
    <row r="2451" spans="15:15" x14ac:dyDescent="0.3">
      <c r="O2451" s="136"/>
    </row>
    <row r="2452" spans="15:15" x14ac:dyDescent="0.3">
      <c r="O2452" s="136"/>
    </row>
    <row r="2453" spans="15:15" x14ac:dyDescent="0.3">
      <c r="O2453" s="136"/>
    </row>
    <row r="2454" spans="15:15" x14ac:dyDescent="0.3">
      <c r="O2454" s="136"/>
    </row>
    <row r="2455" spans="15:15" x14ac:dyDescent="0.3">
      <c r="O2455" s="136"/>
    </row>
    <row r="2456" spans="15:15" x14ac:dyDescent="0.3">
      <c r="O2456" s="136"/>
    </row>
    <row r="2457" spans="15:15" x14ac:dyDescent="0.3">
      <c r="O2457" s="136"/>
    </row>
    <row r="2458" spans="15:15" x14ac:dyDescent="0.3">
      <c r="O2458" s="136"/>
    </row>
    <row r="2459" spans="15:15" x14ac:dyDescent="0.3">
      <c r="O2459" s="136"/>
    </row>
    <row r="2460" spans="15:15" x14ac:dyDescent="0.3">
      <c r="O2460" s="136"/>
    </row>
    <row r="2461" spans="15:15" x14ac:dyDescent="0.3">
      <c r="O2461" s="136"/>
    </row>
    <row r="2462" spans="15:15" x14ac:dyDescent="0.3">
      <c r="O2462" s="136"/>
    </row>
    <row r="2463" spans="15:15" x14ac:dyDescent="0.3">
      <c r="O2463" s="136"/>
    </row>
    <row r="2464" spans="15:15" x14ac:dyDescent="0.3">
      <c r="O2464" s="136"/>
    </row>
    <row r="2465" spans="15:15" x14ac:dyDescent="0.3">
      <c r="O2465" s="136"/>
    </row>
    <row r="2466" spans="15:15" x14ac:dyDescent="0.3">
      <c r="O2466" s="136"/>
    </row>
    <row r="2467" spans="15:15" x14ac:dyDescent="0.3">
      <c r="O2467" s="136"/>
    </row>
    <row r="2468" spans="15:15" x14ac:dyDescent="0.3">
      <c r="O2468" s="136"/>
    </row>
    <row r="2469" spans="15:15" x14ac:dyDescent="0.3">
      <c r="O2469" s="136"/>
    </row>
    <row r="2496" spans="15:15" x14ac:dyDescent="0.3">
      <c r="O2496" s="136"/>
    </row>
    <row r="2497" spans="15:15" x14ac:dyDescent="0.3">
      <c r="O2497" s="136"/>
    </row>
    <row r="2498" spans="15:15" x14ac:dyDescent="0.3">
      <c r="O2498" s="136"/>
    </row>
    <row r="2499" spans="15:15" x14ac:dyDescent="0.3">
      <c r="O2499" s="136"/>
    </row>
    <row r="2500" spans="15:15" x14ac:dyDescent="0.3">
      <c r="O2500" s="136"/>
    </row>
    <row r="2501" spans="15:15" x14ac:dyDescent="0.3">
      <c r="O2501" s="136"/>
    </row>
    <row r="2502" spans="15:15" x14ac:dyDescent="0.3">
      <c r="O2502" s="136"/>
    </row>
    <row r="2503" spans="15:15" x14ac:dyDescent="0.3">
      <c r="O2503" s="136"/>
    </row>
    <row r="2504" spans="15:15" x14ac:dyDescent="0.3">
      <c r="O2504" s="136"/>
    </row>
    <row r="2505" spans="15:15" x14ac:dyDescent="0.3">
      <c r="O2505" s="136"/>
    </row>
    <row r="2506" spans="15:15" x14ac:dyDescent="0.3">
      <c r="O2506" s="136"/>
    </row>
    <row r="2507" spans="15:15" x14ac:dyDescent="0.3">
      <c r="O2507" s="136"/>
    </row>
    <row r="2508" spans="15:15" x14ac:dyDescent="0.3">
      <c r="O2508" s="136"/>
    </row>
    <row r="2509" spans="15:15" x14ac:dyDescent="0.3">
      <c r="O2509" s="136"/>
    </row>
    <row r="2510" spans="15:15" x14ac:dyDescent="0.3">
      <c r="O2510" s="136"/>
    </row>
    <row r="2511" spans="15:15" x14ac:dyDescent="0.3">
      <c r="O2511" s="136"/>
    </row>
    <row r="2512" spans="15:15" x14ac:dyDescent="0.3">
      <c r="O2512" s="136"/>
    </row>
    <row r="2513" spans="15:15" x14ac:dyDescent="0.3">
      <c r="O2513" s="136"/>
    </row>
    <row r="2514" spans="15:15" x14ac:dyDescent="0.3">
      <c r="O2514" s="136"/>
    </row>
    <row r="2515" spans="15:15" x14ac:dyDescent="0.3">
      <c r="O2515" s="136"/>
    </row>
    <row r="2516" spans="15:15" x14ac:dyDescent="0.3">
      <c r="O2516" s="136"/>
    </row>
    <row r="2517" spans="15:15" x14ac:dyDescent="0.3">
      <c r="O2517" s="136"/>
    </row>
    <row r="2518" spans="15:15" x14ac:dyDescent="0.3">
      <c r="O2518" s="136"/>
    </row>
    <row r="2519" spans="15:15" x14ac:dyDescent="0.3">
      <c r="O2519" s="136"/>
    </row>
    <row r="2545" spans="15:15" x14ac:dyDescent="0.3">
      <c r="O2545" s="136"/>
    </row>
    <row r="2546" spans="15:15" x14ac:dyDescent="0.3">
      <c r="O2546" s="136"/>
    </row>
    <row r="2547" spans="15:15" x14ac:dyDescent="0.3">
      <c r="O2547" s="136"/>
    </row>
    <row r="2548" spans="15:15" x14ac:dyDescent="0.3">
      <c r="O2548" s="136"/>
    </row>
    <row r="2549" spans="15:15" x14ac:dyDescent="0.3">
      <c r="O2549" s="136"/>
    </row>
    <row r="2550" spans="15:15" x14ac:dyDescent="0.3">
      <c r="O2550" s="136"/>
    </row>
    <row r="2551" spans="15:15" x14ac:dyDescent="0.3">
      <c r="O2551" s="136"/>
    </row>
    <row r="2552" spans="15:15" x14ac:dyDescent="0.3">
      <c r="O2552" s="136"/>
    </row>
    <row r="2553" spans="15:15" x14ac:dyDescent="0.3">
      <c r="O2553" s="136"/>
    </row>
    <row r="2554" spans="15:15" x14ac:dyDescent="0.3">
      <c r="O2554" s="136"/>
    </row>
    <row r="2555" spans="15:15" x14ac:dyDescent="0.3">
      <c r="O2555" s="136"/>
    </row>
    <row r="2556" spans="15:15" x14ac:dyDescent="0.3">
      <c r="O2556" s="136"/>
    </row>
    <row r="2557" spans="15:15" x14ac:dyDescent="0.3">
      <c r="O2557" s="136"/>
    </row>
    <row r="2558" spans="15:15" x14ac:dyDescent="0.3">
      <c r="O2558" s="136"/>
    </row>
    <row r="2559" spans="15:15" x14ac:dyDescent="0.3">
      <c r="O2559" s="136"/>
    </row>
    <row r="2560" spans="15:15" x14ac:dyDescent="0.3">
      <c r="O2560" s="136"/>
    </row>
    <row r="2561" spans="15:15" x14ac:dyDescent="0.3">
      <c r="O2561" s="136"/>
    </row>
    <row r="2562" spans="15:15" x14ac:dyDescent="0.3">
      <c r="O2562" s="136"/>
    </row>
    <row r="2563" spans="15:15" x14ac:dyDescent="0.3">
      <c r="O2563" s="136"/>
    </row>
    <row r="2564" spans="15:15" x14ac:dyDescent="0.3">
      <c r="O2564" s="136"/>
    </row>
    <row r="2565" spans="15:15" x14ac:dyDescent="0.3">
      <c r="O2565" s="136"/>
    </row>
    <row r="2566" spans="15:15" x14ac:dyDescent="0.3">
      <c r="O2566" s="136"/>
    </row>
    <row r="2567" spans="15:15" x14ac:dyDescent="0.3">
      <c r="O2567" s="136"/>
    </row>
    <row r="2568" spans="15:15" x14ac:dyDescent="0.3">
      <c r="O2568" s="136"/>
    </row>
    <row r="2569" spans="15:15" x14ac:dyDescent="0.3">
      <c r="O2569" s="136"/>
    </row>
    <row r="2594" spans="15:15" x14ac:dyDescent="0.3">
      <c r="O2594" s="136"/>
    </row>
    <row r="2595" spans="15:15" x14ac:dyDescent="0.3">
      <c r="O2595" s="136"/>
    </row>
    <row r="2596" spans="15:15" x14ac:dyDescent="0.3">
      <c r="O2596" s="136"/>
    </row>
    <row r="2597" spans="15:15" x14ac:dyDescent="0.3">
      <c r="O2597" s="136"/>
    </row>
    <row r="2598" spans="15:15" x14ac:dyDescent="0.3">
      <c r="O2598" s="136"/>
    </row>
    <row r="2599" spans="15:15" x14ac:dyDescent="0.3">
      <c r="O2599" s="136"/>
    </row>
    <row r="2600" spans="15:15" x14ac:dyDescent="0.3">
      <c r="O2600" s="136"/>
    </row>
    <row r="2601" spans="15:15" x14ac:dyDescent="0.3">
      <c r="O2601" s="136"/>
    </row>
    <row r="2602" spans="15:15" x14ac:dyDescent="0.3">
      <c r="O2602" s="136"/>
    </row>
    <row r="2603" spans="15:15" x14ac:dyDescent="0.3">
      <c r="O2603" s="136"/>
    </row>
    <row r="2604" spans="15:15" x14ac:dyDescent="0.3">
      <c r="O2604" s="136"/>
    </row>
    <row r="2605" spans="15:15" x14ac:dyDescent="0.3">
      <c r="O2605" s="136"/>
    </row>
    <row r="2606" spans="15:15" x14ac:dyDescent="0.3">
      <c r="O2606" s="136"/>
    </row>
    <row r="2607" spans="15:15" x14ac:dyDescent="0.3">
      <c r="O2607" s="136"/>
    </row>
    <row r="2608" spans="15:15" x14ac:dyDescent="0.3">
      <c r="O2608" s="136"/>
    </row>
    <row r="2609" spans="15:15" x14ac:dyDescent="0.3">
      <c r="O2609" s="136"/>
    </row>
    <row r="2610" spans="15:15" x14ac:dyDescent="0.3">
      <c r="O2610" s="136"/>
    </row>
    <row r="2611" spans="15:15" x14ac:dyDescent="0.3">
      <c r="O2611" s="136"/>
    </row>
    <row r="2612" spans="15:15" x14ac:dyDescent="0.3">
      <c r="O2612" s="136"/>
    </row>
    <row r="2613" spans="15:15" x14ac:dyDescent="0.3">
      <c r="O2613" s="136"/>
    </row>
    <row r="2614" spans="15:15" x14ac:dyDescent="0.3">
      <c r="O2614" s="136"/>
    </row>
    <row r="2615" spans="15:15" x14ac:dyDescent="0.3">
      <c r="O2615" s="136"/>
    </row>
    <row r="2616" spans="15:15" x14ac:dyDescent="0.3">
      <c r="O2616" s="136"/>
    </row>
    <row r="2617" spans="15:15" x14ac:dyDescent="0.3">
      <c r="O2617" s="136"/>
    </row>
    <row r="2618" spans="15:15" x14ac:dyDescent="0.3">
      <c r="O2618" s="136"/>
    </row>
    <row r="2619" spans="15:15" x14ac:dyDescent="0.3">
      <c r="O2619" s="136"/>
    </row>
    <row r="2643" spans="15:15" x14ac:dyDescent="0.3">
      <c r="O2643" s="136"/>
    </row>
    <row r="2644" spans="15:15" x14ac:dyDescent="0.3">
      <c r="O2644" s="136"/>
    </row>
    <row r="2645" spans="15:15" x14ac:dyDescent="0.3">
      <c r="O2645" s="136"/>
    </row>
    <row r="2646" spans="15:15" x14ac:dyDescent="0.3">
      <c r="O2646" s="136"/>
    </row>
    <row r="2647" spans="15:15" x14ac:dyDescent="0.3">
      <c r="O2647" s="136"/>
    </row>
    <row r="2648" spans="15:15" x14ac:dyDescent="0.3">
      <c r="O2648" s="136"/>
    </row>
    <row r="2649" spans="15:15" x14ac:dyDescent="0.3">
      <c r="O2649" s="136"/>
    </row>
    <row r="2650" spans="15:15" x14ac:dyDescent="0.3">
      <c r="O2650" s="136"/>
    </row>
    <row r="2651" spans="15:15" x14ac:dyDescent="0.3">
      <c r="O2651" s="136"/>
    </row>
    <row r="2652" spans="15:15" x14ac:dyDescent="0.3">
      <c r="O2652" s="136"/>
    </row>
    <row r="2653" spans="15:15" x14ac:dyDescent="0.3">
      <c r="O2653" s="136"/>
    </row>
    <row r="2654" spans="15:15" x14ac:dyDescent="0.3">
      <c r="O2654" s="136"/>
    </row>
    <row r="2655" spans="15:15" x14ac:dyDescent="0.3">
      <c r="O2655" s="136"/>
    </row>
    <row r="2656" spans="15:15" x14ac:dyDescent="0.3">
      <c r="O2656" s="136"/>
    </row>
    <row r="2657" spans="15:15" x14ac:dyDescent="0.3">
      <c r="O2657" s="136"/>
    </row>
    <row r="2658" spans="15:15" x14ac:dyDescent="0.3">
      <c r="O2658" s="136"/>
    </row>
    <row r="2659" spans="15:15" x14ac:dyDescent="0.3">
      <c r="O2659" s="136"/>
    </row>
    <row r="2660" spans="15:15" x14ac:dyDescent="0.3">
      <c r="O2660" s="136"/>
    </row>
    <row r="2661" spans="15:15" x14ac:dyDescent="0.3">
      <c r="O2661" s="136"/>
    </row>
    <row r="2662" spans="15:15" x14ac:dyDescent="0.3">
      <c r="O2662" s="136"/>
    </row>
    <row r="2663" spans="15:15" x14ac:dyDescent="0.3">
      <c r="O2663" s="136"/>
    </row>
    <row r="2664" spans="15:15" x14ac:dyDescent="0.3">
      <c r="O2664" s="136"/>
    </row>
    <row r="2665" spans="15:15" x14ac:dyDescent="0.3">
      <c r="O2665" s="136"/>
    </row>
    <row r="2666" spans="15:15" x14ac:dyDescent="0.3">
      <c r="O2666" s="136"/>
    </row>
    <row r="2667" spans="15:15" x14ac:dyDescent="0.3">
      <c r="O2667" s="136"/>
    </row>
    <row r="2668" spans="15:15" x14ac:dyDescent="0.3">
      <c r="O2668" s="136"/>
    </row>
    <row r="2669" spans="15:15" x14ac:dyDescent="0.3">
      <c r="O2669" s="136"/>
    </row>
    <row r="2692" spans="15:15" x14ac:dyDescent="0.3">
      <c r="O2692" s="136"/>
    </row>
    <row r="2693" spans="15:15" x14ac:dyDescent="0.3">
      <c r="O2693" s="136"/>
    </row>
    <row r="2694" spans="15:15" x14ac:dyDescent="0.3">
      <c r="O2694" s="136"/>
    </row>
    <row r="2695" spans="15:15" x14ac:dyDescent="0.3">
      <c r="O2695" s="136"/>
    </row>
    <row r="2696" spans="15:15" x14ac:dyDescent="0.3">
      <c r="O2696" s="136"/>
    </row>
    <row r="2697" spans="15:15" x14ac:dyDescent="0.3">
      <c r="O2697" s="136"/>
    </row>
    <row r="2698" spans="15:15" x14ac:dyDescent="0.3">
      <c r="O2698" s="136"/>
    </row>
    <row r="2699" spans="15:15" x14ac:dyDescent="0.3">
      <c r="O2699" s="136"/>
    </row>
    <row r="2700" spans="15:15" x14ac:dyDescent="0.3">
      <c r="O2700" s="136"/>
    </row>
    <row r="2701" spans="15:15" x14ac:dyDescent="0.3">
      <c r="O2701" s="136"/>
    </row>
    <row r="2702" spans="15:15" x14ac:dyDescent="0.3">
      <c r="O2702" s="136"/>
    </row>
    <row r="2703" spans="15:15" x14ac:dyDescent="0.3">
      <c r="O2703" s="136"/>
    </row>
    <row r="2704" spans="15:15" x14ac:dyDescent="0.3">
      <c r="O2704" s="136"/>
    </row>
    <row r="2705" spans="15:15" x14ac:dyDescent="0.3">
      <c r="O2705" s="136"/>
    </row>
    <row r="2706" spans="15:15" x14ac:dyDescent="0.3">
      <c r="O2706" s="136"/>
    </row>
    <row r="2707" spans="15:15" x14ac:dyDescent="0.3">
      <c r="O2707" s="136"/>
    </row>
    <row r="2708" spans="15:15" x14ac:dyDescent="0.3">
      <c r="O2708" s="136"/>
    </row>
    <row r="2709" spans="15:15" x14ac:dyDescent="0.3">
      <c r="O2709" s="136"/>
    </row>
    <row r="2710" spans="15:15" x14ac:dyDescent="0.3">
      <c r="O2710" s="136"/>
    </row>
    <row r="2711" spans="15:15" x14ac:dyDescent="0.3">
      <c r="O2711" s="136"/>
    </row>
    <row r="2712" spans="15:15" x14ac:dyDescent="0.3">
      <c r="O2712" s="136"/>
    </row>
    <row r="2713" spans="15:15" x14ac:dyDescent="0.3">
      <c r="O2713" s="136"/>
    </row>
    <row r="2714" spans="15:15" x14ac:dyDescent="0.3">
      <c r="O2714" s="136"/>
    </row>
    <row r="2715" spans="15:15" x14ac:dyDescent="0.3">
      <c r="O2715" s="136"/>
    </row>
    <row r="2716" spans="15:15" x14ac:dyDescent="0.3">
      <c r="O2716" s="136"/>
    </row>
    <row r="2717" spans="15:15" x14ac:dyDescent="0.3">
      <c r="O2717" s="136"/>
    </row>
    <row r="2718" spans="15:15" x14ac:dyDescent="0.3">
      <c r="O2718" s="136"/>
    </row>
    <row r="2719" spans="15:15" x14ac:dyDescent="0.3">
      <c r="O2719" s="136"/>
    </row>
    <row r="2741" spans="15:15" x14ac:dyDescent="0.3">
      <c r="O2741" s="136"/>
    </row>
    <row r="2742" spans="15:15" x14ac:dyDescent="0.3">
      <c r="O2742" s="136"/>
    </row>
    <row r="2743" spans="15:15" x14ac:dyDescent="0.3">
      <c r="O2743" s="136"/>
    </row>
    <row r="2744" spans="15:15" x14ac:dyDescent="0.3">
      <c r="O2744" s="136"/>
    </row>
    <row r="2745" spans="15:15" x14ac:dyDescent="0.3">
      <c r="O2745" s="136"/>
    </row>
    <row r="2746" spans="15:15" x14ac:dyDescent="0.3">
      <c r="O2746" s="136"/>
    </row>
    <row r="2747" spans="15:15" x14ac:dyDescent="0.3">
      <c r="O2747" s="136"/>
    </row>
    <row r="2748" spans="15:15" x14ac:dyDescent="0.3">
      <c r="O2748" s="136"/>
    </row>
    <row r="2749" spans="15:15" x14ac:dyDescent="0.3">
      <c r="O2749" s="136"/>
    </row>
    <row r="2750" spans="15:15" x14ac:dyDescent="0.3">
      <c r="O2750" s="136"/>
    </row>
    <row r="2751" spans="15:15" x14ac:dyDescent="0.3">
      <c r="O2751" s="136"/>
    </row>
    <row r="2752" spans="15:15" x14ac:dyDescent="0.3">
      <c r="O2752" s="136"/>
    </row>
    <row r="2753" spans="15:15" x14ac:dyDescent="0.3">
      <c r="O2753" s="136"/>
    </row>
    <row r="2754" spans="15:15" x14ac:dyDescent="0.3">
      <c r="O2754" s="136"/>
    </row>
    <row r="2755" spans="15:15" x14ac:dyDescent="0.3">
      <c r="O2755" s="136"/>
    </row>
    <row r="2756" spans="15:15" x14ac:dyDescent="0.3">
      <c r="O2756" s="136"/>
    </row>
    <row r="2757" spans="15:15" x14ac:dyDescent="0.3">
      <c r="O2757" s="136"/>
    </row>
    <row r="2758" spans="15:15" x14ac:dyDescent="0.3">
      <c r="O2758" s="136"/>
    </row>
    <row r="2759" spans="15:15" x14ac:dyDescent="0.3">
      <c r="O2759" s="136"/>
    </row>
    <row r="2760" spans="15:15" x14ac:dyDescent="0.3">
      <c r="O2760" s="136"/>
    </row>
    <row r="2761" spans="15:15" x14ac:dyDescent="0.3">
      <c r="O2761" s="136"/>
    </row>
    <row r="2762" spans="15:15" x14ac:dyDescent="0.3">
      <c r="O2762" s="136"/>
    </row>
    <row r="2763" spans="15:15" x14ac:dyDescent="0.3">
      <c r="O2763" s="136"/>
    </row>
    <row r="2764" spans="15:15" x14ac:dyDescent="0.3">
      <c r="O2764" s="136"/>
    </row>
    <row r="2765" spans="15:15" x14ac:dyDescent="0.3">
      <c r="O2765" s="136"/>
    </row>
    <row r="2766" spans="15:15" x14ac:dyDescent="0.3">
      <c r="O2766" s="136"/>
    </row>
    <row r="2767" spans="15:15" x14ac:dyDescent="0.3">
      <c r="O2767" s="136"/>
    </row>
    <row r="2768" spans="15:15" x14ac:dyDescent="0.3">
      <c r="O2768" s="136"/>
    </row>
    <row r="2769" spans="15:15" x14ac:dyDescent="0.3">
      <c r="O2769" s="136"/>
    </row>
    <row r="2790" spans="15:15" x14ac:dyDescent="0.3">
      <c r="O2790" s="136"/>
    </row>
    <row r="2791" spans="15:15" x14ac:dyDescent="0.3">
      <c r="O2791" s="136"/>
    </row>
    <row r="2792" spans="15:15" x14ac:dyDescent="0.3">
      <c r="O2792" s="136"/>
    </row>
    <row r="2793" spans="15:15" x14ac:dyDescent="0.3">
      <c r="O2793" s="136"/>
    </row>
    <row r="2794" spans="15:15" x14ac:dyDescent="0.3">
      <c r="O2794" s="136"/>
    </row>
    <row r="2795" spans="15:15" x14ac:dyDescent="0.3">
      <c r="O2795" s="136"/>
    </row>
    <row r="2796" spans="15:15" x14ac:dyDescent="0.3">
      <c r="O2796" s="136"/>
    </row>
    <row r="2797" spans="15:15" x14ac:dyDescent="0.3">
      <c r="O2797" s="136"/>
    </row>
    <row r="2798" spans="15:15" x14ac:dyDescent="0.3">
      <c r="O2798" s="136"/>
    </row>
    <row r="2799" spans="15:15" x14ac:dyDescent="0.3">
      <c r="O2799" s="136"/>
    </row>
    <row r="2800" spans="15:15" x14ac:dyDescent="0.3">
      <c r="O2800" s="136"/>
    </row>
    <row r="2801" spans="15:15" x14ac:dyDescent="0.3">
      <c r="O2801" s="136"/>
    </row>
    <row r="2802" spans="15:15" x14ac:dyDescent="0.3">
      <c r="O2802" s="136"/>
    </row>
    <row r="2803" spans="15:15" x14ac:dyDescent="0.3">
      <c r="O2803" s="136"/>
    </row>
    <row r="2804" spans="15:15" x14ac:dyDescent="0.3">
      <c r="O2804" s="136"/>
    </row>
    <row r="2805" spans="15:15" x14ac:dyDescent="0.3">
      <c r="O2805" s="136"/>
    </row>
    <row r="2806" spans="15:15" x14ac:dyDescent="0.3">
      <c r="O2806" s="136"/>
    </row>
    <row r="2807" spans="15:15" x14ac:dyDescent="0.3">
      <c r="O2807" s="136"/>
    </row>
    <row r="2808" spans="15:15" x14ac:dyDescent="0.3">
      <c r="O2808" s="136"/>
    </row>
    <row r="2809" spans="15:15" x14ac:dyDescent="0.3">
      <c r="O2809" s="136"/>
    </row>
    <row r="2810" spans="15:15" x14ac:dyDescent="0.3">
      <c r="O2810" s="136"/>
    </row>
    <row r="2811" spans="15:15" x14ac:dyDescent="0.3">
      <c r="O2811" s="136"/>
    </row>
    <row r="2812" spans="15:15" x14ac:dyDescent="0.3">
      <c r="O2812" s="136"/>
    </row>
    <row r="2813" spans="15:15" x14ac:dyDescent="0.3">
      <c r="O2813" s="136"/>
    </row>
    <row r="2814" spans="15:15" x14ac:dyDescent="0.3">
      <c r="O2814" s="136"/>
    </row>
    <row r="2815" spans="15:15" x14ac:dyDescent="0.3">
      <c r="O2815" s="136"/>
    </row>
    <row r="2816" spans="15:15" x14ac:dyDescent="0.3">
      <c r="O2816" s="136"/>
    </row>
    <row r="2817" spans="15:15" x14ac:dyDescent="0.3">
      <c r="O2817" s="136"/>
    </row>
    <row r="2818" spans="15:15" x14ac:dyDescent="0.3">
      <c r="O2818" s="136"/>
    </row>
    <row r="2819" spans="15:15" x14ac:dyDescent="0.3">
      <c r="O2819" s="136"/>
    </row>
    <row r="2839" spans="15:15" x14ac:dyDescent="0.3">
      <c r="O2839" s="136"/>
    </row>
    <row r="2840" spans="15:15" x14ac:dyDescent="0.3">
      <c r="O2840" s="136"/>
    </row>
    <row r="2841" spans="15:15" x14ac:dyDescent="0.3">
      <c r="O2841" s="136"/>
    </row>
    <row r="2842" spans="15:15" x14ac:dyDescent="0.3">
      <c r="O2842" s="136"/>
    </row>
    <row r="2843" spans="15:15" x14ac:dyDescent="0.3">
      <c r="O2843" s="136"/>
    </row>
    <row r="2844" spans="15:15" x14ac:dyDescent="0.3">
      <c r="O2844" s="136"/>
    </row>
    <row r="2845" spans="15:15" x14ac:dyDescent="0.3">
      <c r="O2845" s="136"/>
    </row>
    <row r="2846" spans="15:15" x14ac:dyDescent="0.3">
      <c r="O2846" s="136"/>
    </row>
    <row r="2847" spans="15:15" x14ac:dyDescent="0.3">
      <c r="O2847" s="136"/>
    </row>
    <row r="2848" spans="15:15" x14ac:dyDescent="0.3">
      <c r="O2848" s="136"/>
    </row>
    <row r="2849" spans="15:15" x14ac:dyDescent="0.3">
      <c r="O2849" s="136"/>
    </row>
    <row r="2850" spans="15:15" x14ac:dyDescent="0.3">
      <c r="O2850" s="136"/>
    </row>
    <row r="2851" spans="15:15" x14ac:dyDescent="0.3">
      <c r="O2851" s="136"/>
    </row>
    <row r="2852" spans="15:15" x14ac:dyDescent="0.3">
      <c r="O2852" s="136"/>
    </row>
    <row r="2853" spans="15:15" x14ac:dyDescent="0.3">
      <c r="O2853" s="136"/>
    </row>
    <row r="2854" spans="15:15" x14ac:dyDescent="0.3">
      <c r="O2854" s="136"/>
    </row>
    <row r="2855" spans="15:15" x14ac:dyDescent="0.3">
      <c r="O2855" s="136"/>
    </row>
    <row r="2856" spans="15:15" x14ac:dyDescent="0.3">
      <c r="O2856" s="136"/>
    </row>
    <row r="2857" spans="15:15" x14ac:dyDescent="0.3">
      <c r="O2857" s="136"/>
    </row>
    <row r="2858" spans="15:15" x14ac:dyDescent="0.3">
      <c r="O2858" s="136"/>
    </row>
    <row r="2859" spans="15:15" x14ac:dyDescent="0.3">
      <c r="O2859" s="136"/>
    </row>
    <row r="2860" spans="15:15" x14ac:dyDescent="0.3">
      <c r="O2860" s="136"/>
    </row>
    <row r="2861" spans="15:15" x14ac:dyDescent="0.3">
      <c r="O2861" s="136"/>
    </row>
    <row r="2862" spans="15:15" x14ac:dyDescent="0.3">
      <c r="O2862" s="136"/>
    </row>
    <row r="2863" spans="15:15" x14ac:dyDescent="0.3">
      <c r="O2863" s="136"/>
    </row>
    <row r="2864" spans="15:15" x14ac:dyDescent="0.3">
      <c r="O2864" s="136"/>
    </row>
    <row r="2865" spans="15:15" x14ac:dyDescent="0.3">
      <c r="O2865" s="136"/>
    </row>
    <row r="2866" spans="15:15" x14ac:dyDescent="0.3">
      <c r="O2866" s="136"/>
    </row>
    <row r="2867" spans="15:15" x14ac:dyDescent="0.3">
      <c r="O2867" s="136"/>
    </row>
    <row r="2868" spans="15:15" x14ac:dyDescent="0.3">
      <c r="O2868" s="136"/>
    </row>
    <row r="2869" spans="15:15" x14ac:dyDescent="0.3">
      <c r="O2869" s="136"/>
    </row>
    <row r="2888" spans="15:15" x14ac:dyDescent="0.3">
      <c r="O2888" s="136"/>
    </row>
    <row r="2889" spans="15:15" x14ac:dyDescent="0.3">
      <c r="O2889" s="136"/>
    </row>
    <row r="2890" spans="15:15" x14ac:dyDescent="0.3">
      <c r="O2890" s="136"/>
    </row>
    <row r="2891" spans="15:15" x14ac:dyDescent="0.3">
      <c r="O2891" s="136"/>
    </row>
    <row r="2892" spans="15:15" x14ac:dyDescent="0.3">
      <c r="O2892" s="136"/>
    </row>
    <row r="2893" spans="15:15" x14ac:dyDescent="0.3">
      <c r="O2893" s="136"/>
    </row>
    <row r="2894" spans="15:15" x14ac:dyDescent="0.3">
      <c r="O2894" s="136"/>
    </row>
    <row r="2895" spans="15:15" x14ac:dyDescent="0.3">
      <c r="O2895" s="136"/>
    </row>
    <row r="2896" spans="15:15" x14ac:dyDescent="0.3">
      <c r="O2896" s="136"/>
    </row>
    <row r="2897" spans="15:15" x14ac:dyDescent="0.3">
      <c r="O2897" s="136"/>
    </row>
    <row r="2898" spans="15:15" x14ac:dyDescent="0.3">
      <c r="O2898" s="136"/>
    </row>
    <row r="2899" spans="15:15" x14ac:dyDescent="0.3">
      <c r="O2899" s="136"/>
    </row>
    <row r="2900" spans="15:15" x14ac:dyDescent="0.3">
      <c r="O2900" s="136"/>
    </row>
    <row r="2901" spans="15:15" x14ac:dyDescent="0.3">
      <c r="O2901" s="136"/>
    </row>
    <row r="2902" spans="15:15" x14ac:dyDescent="0.3">
      <c r="O2902" s="136"/>
    </row>
    <row r="2903" spans="15:15" x14ac:dyDescent="0.3">
      <c r="O2903" s="136"/>
    </row>
    <row r="2904" spans="15:15" x14ac:dyDescent="0.3">
      <c r="O2904" s="136"/>
    </row>
    <row r="2905" spans="15:15" x14ac:dyDescent="0.3">
      <c r="O2905" s="136"/>
    </row>
    <row r="2906" spans="15:15" x14ac:dyDescent="0.3">
      <c r="O2906" s="136"/>
    </row>
    <row r="2907" spans="15:15" x14ac:dyDescent="0.3">
      <c r="O2907" s="136"/>
    </row>
    <row r="2908" spans="15:15" x14ac:dyDescent="0.3">
      <c r="O2908" s="136"/>
    </row>
    <row r="2909" spans="15:15" x14ac:dyDescent="0.3">
      <c r="O2909" s="136"/>
    </row>
    <row r="2910" spans="15:15" x14ac:dyDescent="0.3">
      <c r="O2910" s="136"/>
    </row>
    <row r="2911" spans="15:15" x14ac:dyDescent="0.3">
      <c r="O2911" s="136"/>
    </row>
    <row r="2912" spans="15:15" x14ac:dyDescent="0.3">
      <c r="O2912" s="136"/>
    </row>
    <row r="2913" spans="15:15" x14ac:dyDescent="0.3">
      <c r="O2913" s="136"/>
    </row>
    <row r="2914" spans="15:15" x14ac:dyDescent="0.3">
      <c r="O2914" s="136"/>
    </row>
    <row r="2915" spans="15:15" x14ac:dyDescent="0.3">
      <c r="O2915" s="136"/>
    </row>
    <row r="2916" spans="15:15" x14ac:dyDescent="0.3">
      <c r="O2916" s="136"/>
    </row>
    <row r="2917" spans="15:15" x14ac:dyDescent="0.3">
      <c r="O2917" s="136"/>
    </row>
    <row r="2918" spans="15:15" x14ac:dyDescent="0.3">
      <c r="O2918" s="136"/>
    </row>
    <row r="2919" spans="15:15" x14ac:dyDescent="0.3">
      <c r="O2919" s="136"/>
    </row>
    <row r="2937" spans="15:15" x14ac:dyDescent="0.3">
      <c r="O2937" s="136"/>
    </row>
    <row r="2938" spans="15:15" x14ac:dyDescent="0.3">
      <c r="O2938" s="136"/>
    </row>
    <row r="2939" spans="15:15" x14ac:dyDescent="0.3">
      <c r="O2939" s="136"/>
    </row>
    <row r="2940" spans="15:15" x14ac:dyDescent="0.3">
      <c r="O2940" s="136"/>
    </row>
    <row r="2941" spans="15:15" x14ac:dyDescent="0.3">
      <c r="O2941" s="136"/>
    </row>
    <row r="2942" spans="15:15" x14ac:dyDescent="0.3">
      <c r="O2942" s="136"/>
    </row>
    <row r="2943" spans="15:15" x14ac:dyDescent="0.3">
      <c r="O2943" s="136"/>
    </row>
    <row r="2944" spans="15:15" x14ac:dyDescent="0.3">
      <c r="O2944" s="136"/>
    </row>
    <row r="2945" spans="15:15" x14ac:dyDescent="0.3">
      <c r="O2945" s="136"/>
    </row>
    <row r="2946" spans="15:15" x14ac:dyDescent="0.3">
      <c r="O2946" s="136"/>
    </row>
    <row r="2947" spans="15:15" x14ac:dyDescent="0.3">
      <c r="O2947" s="136"/>
    </row>
    <row r="2948" spans="15:15" x14ac:dyDescent="0.3">
      <c r="O2948" s="136"/>
    </row>
    <row r="2949" spans="15:15" x14ac:dyDescent="0.3">
      <c r="O2949" s="136"/>
    </row>
    <row r="2950" spans="15:15" x14ac:dyDescent="0.3">
      <c r="O2950" s="136"/>
    </row>
    <row r="2951" spans="15:15" x14ac:dyDescent="0.3">
      <c r="O2951" s="136"/>
    </row>
    <row r="2952" spans="15:15" x14ac:dyDescent="0.3">
      <c r="O2952" s="136"/>
    </row>
    <row r="2953" spans="15:15" x14ac:dyDescent="0.3">
      <c r="O2953" s="136"/>
    </row>
    <row r="2954" spans="15:15" x14ac:dyDescent="0.3">
      <c r="O2954" s="136"/>
    </row>
    <row r="2955" spans="15:15" x14ac:dyDescent="0.3">
      <c r="O2955" s="136"/>
    </row>
    <row r="2956" spans="15:15" x14ac:dyDescent="0.3">
      <c r="O2956" s="136"/>
    </row>
    <row r="2957" spans="15:15" x14ac:dyDescent="0.3">
      <c r="O2957" s="136"/>
    </row>
    <row r="2958" spans="15:15" x14ac:dyDescent="0.3">
      <c r="O2958" s="136"/>
    </row>
    <row r="2959" spans="15:15" x14ac:dyDescent="0.3">
      <c r="O2959" s="136"/>
    </row>
    <row r="2960" spans="15:15" x14ac:dyDescent="0.3">
      <c r="O2960" s="136"/>
    </row>
    <row r="2961" spans="15:15" x14ac:dyDescent="0.3">
      <c r="O2961" s="136"/>
    </row>
    <row r="2962" spans="15:15" x14ac:dyDescent="0.3">
      <c r="O2962" s="136"/>
    </row>
    <row r="2963" spans="15:15" x14ac:dyDescent="0.3">
      <c r="O2963" s="136"/>
    </row>
    <row r="2964" spans="15:15" x14ac:dyDescent="0.3">
      <c r="O2964" s="136"/>
    </row>
    <row r="2965" spans="15:15" x14ac:dyDescent="0.3">
      <c r="O2965" s="136"/>
    </row>
    <row r="2966" spans="15:15" x14ac:dyDescent="0.3">
      <c r="O2966" s="136"/>
    </row>
    <row r="2967" spans="15:15" x14ac:dyDescent="0.3">
      <c r="O2967" s="136"/>
    </row>
    <row r="2968" spans="15:15" x14ac:dyDescent="0.3">
      <c r="O2968" s="136"/>
    </row>
    <row r="2969" spans="15:15" x14ac:dyDescent="0.3">
      <c r="O2969" s="136"/>
    </row>
    <row r="2986" spans="15:15" x14ac:dyDescent="0.3">
      <c r="O2986" s="136"/>
    </row>
    <row r="2987" spans="15:15" x14ac:dyDescent="0.3">
      <c r="O2987" s="136"/>
    </row>
    <row r="2988" spans="15:15" x14ac:dyDescent="0.3">
      <c r="O2988" s="136"/>
    </row>
    <row r="2989" spans="15:15" x14ac:dyDescent="0.3">
      <c r="O2989" s="136"/>
    </row>
    <row r="2990" spans="15:15" x14ac:dyDescent="0.3">
      <c r="O2990" s="136"/>
    </row>
    <row r="2991" spans="15:15" x14ac:dyDescent="0.3">
      <c r="O2991" s="136"/>
    </row>
    <row r="2992" spans="15:15" x14ac:dyDescent="0.3">
      <c r="O2992" s="136"/>
    </row>
    <row r="2993" spans="15:15" x14ac:dyDescent="0.3">
      <c r="O2993" s="136"/>
    </row>
    <row r="2994" spans="15:15" x14ac:dyDescent="0.3">
      <c r="O2994" s="136"/>
    </row>
    <row r="2995" spans="15:15" x14ac:dyDescent="0.3">
      <c r="O2995" s="136"/>
    </row>
    <row r="2996" spans="15:15" x14ac:dyDescent="0.3">
      <c r="O2996" s="136"/>
    </row>
    <row r="2997" spans="15:15" x14ac:dyDescent="0.3">
      <c r="O2997" s="136"/>
    </row>
    <row r="2998" spans="15:15" x14ac:dyDescent="0.3">
      <c r="O2998" s="136"/>
    </row>
    <row r="2999" spans="15:15" x14ac:dyDescent="0.3">
      <c r="O2999" s="136"/>
    </row>
    <row r="3000" spans="15:15" x14ac:dyDescent="0.3">
      <c r="O3000" s="136"/>
    </row>
    <row r="3001" spans="15:15" x14ac:dyDescent="0.3">
      <c r="O3001" s="136"/>
    </row>
    <row r="3002" spans="15:15" x14ac:dyDescent="0.3">
      <c r="O3002" s="136"/>
    </row>
    <row r="3003" spans="15:15" x14ac:dyDescent="0.3">
      <c r="O3003" s="136"/>
    </row>
    <row r="3004" spans="15:15" x14ac:dyDescent="0.3">
      <c r="O3004" s="136"/>
    </row>
    <row r="3005" spans="15:15" x14ac:dyDescent="0.3">
      <c r="O3005" s="136"/>
    </row>
    <row r="3006" spans="15:15" x14ac:dyDescent="0.3">
      <c r="O3006" s="136"/>
    </row>
    <row r="3007" spans="15:15" x14ac:dyDescent="0.3">
      <c r="O3007" s="136"/>
    </row>
    <row r="3008" spans="15:15" x14ac:dyDescent="0.3">
      <c r="O3008" s="136"/>
    </row>
    <row r="3009" spans="15:15" x14ac:dyDescent="0.3">
      <c r="O3009" s="136"/>
    </row>
    <row r="3010" spans="15:15" x14ac:dyDescent="0.3">
      <c r="O3010" s="136"/>
    </row>
    <row r="3011" spans="15:15" x14ac:dyDescent="0.3">
      <c r="O3011" s="136"/>
    </row>
    <row r="3012" spans="15:15" x14ac:dyDescent="0.3">
      <c r="O3012" s="136"/>
    </row>
    <row r="3013" spans="15:15" x14ac:dyDescent="0.3">
      <c r="O3013" s="136"/>
    </row>
    <row r="3014" spans="15:15" x14ac:dyDescent="0.3">
      <c r="O3014" s="136"/>
    </row>
    <row r="3015" spans="15:15" x14ac:dyDescent="0.3">
      <c r="O3015" s="136"/>
    </row>
    <row r="3016" spans="15:15" x14ac:dyDescent="0.3">
      <c r="O3016" s="136"/>
    </row>
    <row r="3017" spans="15:15" x14ac:dyDescent="0.3">
      <c r="O3017" s="136"/>
    </row>
    <row r="3018" spans="15:15" x14ac:dyDescent="0.3">
      <c r="O3018" s="136"/>
    </row>
    <row r="3019" spans="15:15" x14ac:dyDescent="0.3">
      <c r="O3019" s="136"/>
    </row>
    <row r="3035" spans="15:15" x14ac:dyDescent="0.3">
      <c r="O3035" s="136"/>
    </row>
    <row r="3036" spans="15:15" x14ac:dyDescent="0.3">
      <c r="O3036" s="136"/>
    </row>
    <row r="3037" spans="15:15" x14ac:dyDescent="0.3">
      <c r="O3037" s="136"/>
    </row>
    <row r="3038" spans="15:15" x14ac:dyDescent="0.3">
      <c r="O3038" s="136"/>
    </row>
    <row r="3039" spans="15:15" x14ac:dyDescent="0.3">
      <c r="O3039" s="136"/>
    </row>
    <row r="3040" spans="15:15" x14ac:dyDescent="0.3">
      <c r="O3040" s="136"/>
    </row>
    <row r="3041" spans="15:15" x14ac:dyDescent="0.3">
      <c r="O3041" s="136"/>
    </row>
    <row r="3042" spans="15:15" x14ac:dyDescent="0.3">
      <c r="O3042" s="136"/>
    </row>
    <row r="3043" spans="15:15" x14ac:dyDescent="0.3">
      <c r="O3043" s="136"/>
    </row>
    <row r="3044" spans="15:15" x14ac:dyDescent="0.3">
      <c r="O3044" s="136"/>
    </row>
    <row r="3045" spans="15:15" x14ac:dyDescent="0.3">
      <c r="O3045" s="136"/>
    </row>
    <row r="3046" spans="15:15" x14ac:dyDescent="0.3">
      <c r="O3046" s="136"/>
    </row>
    <row r="3047" spans="15:15" x14ac:dyDescent="0.3">
      <c r="O3047" s="136"/>
    </row>
    <row r="3048" spans="15:15" x14ac:dyDescent="0.3">
      <c r="O3048" s="136"/>
    </row>
    <row r="3049" spans="15:15" x14ac:dyDescent="0.3">
      <c r="O3049" s="136"/>
    </row>
    <row r="3050" spans="15:15" x14ac:dyDescent="0.3">
      <c r="O3050" s="136"/>
    </row>
    <row r="3051" spans="15:15" x14ac:dyDescent="0.3">
      <c r="O3051" s="136"/>
    </row>
    <row r="3052" spans="15:15" x14ac:dyDescent="0.3">
      <c r="O3052" s="136"/>
    </row>
    <row r="3053" spans="15:15" x14ac:dyDescent="0.3">
      <c r="O3053" s="136"/>
    </row>
    <row r="3054" spans="15:15" x14ac:dyDescent="0.3">
      <c r="O3054" s="136"/>
    </row>
    <row r="3055" spans="15:15" x14ac:dyDescent="0.3">
      <c r="O3055" s="136"/>
    </row>
    <row r="3056" spans="15:15" x14ac:dyDescent="0.3">
      <c r="O3056" s="136"/>
    </row>
    <row r="3057" spans="15:15" x14ac:dyDescent="0.3">
      <c r="O3057" s="136"/>
    </row>
    <row r="3058" spans="15:15" x14ac:dyDescent="0.3">
      <c r="O3058" s="136"/>
    </row>
    <row r="3059" spans="15:15" x14ac:dyDescent="0.3">
      <c r="O3059" s="136"/>
    </row>
    <row r="3060" spans="15:15" x14ac:dyDescent="0.3">
      <c r="O3060" s="136"/>
    </row>
    <row r="3061" spans="15:15" x14ac:dyDescent="0.3">
      <c r="O3061" s="136"/>
    </row>
    <row r="3062" spans="15:15" x14ac:dyDescent="0.3">
      <c r="O3062" s="136"/>
    </row>
    <row r="3063" spans="15:15" x14ac:dyDescent="0.3">
      <c r="O3063" s="136"/>
    </row>
    <row r="3064" spans="15:15" x14ac:dyDescent="0.3">
      <c r="O3064" s="136"/>
    </row>
    <row r="3065" spans="15:15" x14ac:dyDescent="0.3">
      <c r="O3065" s="136"/>
    </row>
    <row r="3066" spans="15:15" x14ac:dyDescent="0.3">
      <c r="O3066" s="136"/>
    </row>
    <row r="3067" spans="15:15" x14ac:dyDescent="0.3">
      <c r="O3067" s="136"/>
    </row>
    <row r="3068" spans="15:15" x14ac:dyDescent="0.3">
      <c r="O3068" s="136"/>
    </row>
    <row r="3069" spans="15:15" x14ac:dyDescent="0.3">
      <c r="O3069" s="136"/>
    </row>
    <row r="3084" spans="15:15" x14ac:dyDescent="0.3">
      <c r="O3084" s="136"/>
    </row>
    <row r="3085" spans="15:15" x14ac:dyDescent="0.3">
      <c r="O3085" s="136"/>
    </row>
    <row r="3086" spans="15:15" x14ac:dyDescent="0.3">
      <c r="O3086" s="136"/>
    </row>
    <row r="3087" spans="15:15" x14ac:dyDescent="0.3">
      <c r="O3087" s="136"/>
    </row>
    <row r="3088" spans="15:15" x14ac:dyDescent="0.3">
      <c r="O3088" s="136"/>
    </row>
    <row r="3089" spans="15:15" x14ac:dyDescent="0.3">
      <c r="O3089" s="136"/>
    </row>
    <row r="3090" spans="15:15" x14ac:dyDescent="0.3">
      <c r="O3090" s="136"/>
    </row>
    <row r="3091" spans="15:15" x14ac:dyDescent="0.3">
      <c r="O3091" s="136"/>
    </row>
    <row r="3092" spans="15:15" x14ac:dyDescent="0.3">
      <c r="O3092" s="136"/>
    </row>
    <row r="3093" spans="15:15" x14ac:dyDescent="0.3">
      <c r="O3093" s="136"/>
    </row>
    <row r="3094" spans="15:15" x14ac:dyDescent="0.3">
      <c r="O3094" s="136"/>
    </row>
    <row r="3095" spans="15:15" x14ac:dyDescent="0.3">
      <c r="O3095" s="136"/>
    </row>
    <row r="3096" spans="15:15" x14ac:dyDescent="0.3">
      <c r="O3096" s="136"/>
    </row>
    <row r="3097" spans="15:15" x14ac:dyDescent="0.3">
      <c r="O3097" s="136"/>
    </row>
    <row r="3098" spans="15:15" x14ac:dyDescent="0.3">
      <c r="O3098" s="136"/>
    </row>
    <row r="3099" spans="15:15" x14ac:dyDescent="0.3">
      <c r="O3099" s="136"/>
    </row>
    <row r="3100" spans="15:15" x14ac:dyDescent="0.3">
      <c r="O3100" s="136"/>
    </row>
    <row r="3101" spans="15:15" x14ac:dyDescent="0.3">
      <c r="O3101" s="136"/>
    </row>
    <row r="3102" spans="15:15" x14ac:dyDescent="0.3">
      <c r="O3102" s="136"/>
    </row>
    <row r="3103" spans="15:15" x14ac:dyDescent="0.3">
      <c r="O3103" s="136"/>
    </row>
    <row r="3104" spans="15:15" x14ac:dyDescent="0.3">
      <c r="O3104" s="136"/>
    </row>
    <row r="3105" spans="15:15" x14ac:dyDescent="0.3">
      <c r="O3105" s="136"/>
    </row>
    <row r="3106" spans="15:15" x14ac:dyDescent="0.3">
      <c r="O3106" s="136"/>
    </row>
    <row r="3107" spans="15:15" x14ac:dyDescent="0.3">
      <c r="O3107" s="136"/>
    </row>
    <row r="3108" spans="15:15" x14ac:dyDescent="0.3">
      <c r="O3108" s="136"/>
    </row>
    <row r="3109" spans="15:15" x14ac:dyDescent="0.3">
      <c r="O3109" s="136"/>
    </row>
    <row r="3110" spans="15:15" x14ac:dyDescent="0.3">
      <c r="O3110" s="136"/>
    </row>
    <row r="3111" spans="15:15" x14ac:dyDescent="0.3">
      <c r="O3111" s="136"/>
    </row>
    <row r="3112" spans="15:15" x14ac:dyDescent="0.3">
      <c r="O3112" s="136"/>
    </row>
    <row r="3113" spans="15:15" x14ac:dyDescent="0.3">
      <c r="O3113" s="136"/>
    </row>
    <row r="3114" spans="15:15" x14ac:dyDescent="0.3">
      <c r="O3114" s="136"/>
    </row>
    <row r="3115" spans="15:15" x14ac:dyDescent="0.3">
      <c r="O3115" s="136"/>
    </row>
    <row r="3116" spans="15:15" x14ac:dyDescent="0.3">
      <c r="O3116" s="136"/>
    </row>
    <row r="3117" spans="15:15" x14ac:dyDescent="0.3">
      <c r="O3117" s="136"/>
    </row>
    <row r="3118" spans="15:15" x14ac:dyDescent="0.3">
      <c r="O3118" s="136"/>
    </row>
    <row r="3119" spans="15:15" x14ac:dyDescent="0.3">
      <c r="O3119" s="136"/>
    </row>
    <row r="3133" spans="15:15" x14ac:dyDescent="0.3">
      <c r="O3133" s="136"/>
    </row>
    <row r="3134" spans="15:15" x14ac:dyDescent="0.3">
      <c r="O3134" s="136"/>
    </row>
    <row r="3135" spans="15:15" x14ac:dyDescent="0.3">
      <c r="O3135" s="136"/>
    </row>
    <row r="3136" spans="15:15" x14ac:dyDescent="0.3">
      <c r="O3136" s="136"/>
    </row>
    <row r="3137" spans="15:15" x14ac:dyDescent="0.3">
      <c r="O3137" s="136"/>
    </row>
    <row r="3138" spans="15:15" x14ac:dyDescent="0.3">
      <c r="O3138" s="136"/>
    </row>
    <row r="3139" spans="15:15" x14ac:dyDescent="0.3">
      <c r="O3139" s="136"/>
    </row>
    <row r="3140" spans="15:15" x14ac:dyDescent="0.3">
      <c r="O3140" s="136"/>
    </row>
    <row r="3141" spans="15:15" x14ac:dyDescent="0.3">
      <c r="O3141" s="136"/>
    </row>
    <row r="3142" spans="15:15" x14ac:dyDescent="0.3">
      <c r="O3142" s="136"/>
    </row>
    <row r="3143" spans="15:15" x14ac:dyDescent="0.3">
      <c r="O3143" s="136"/>
    </row>
    <row r="3144" spans="15:15" x14ac:dyDescent="0.3">
      <c r="O3144" s="136"/>
    </row>
    <row r="3145" spans="15:15" x14ac:dyDescent="0.3">
      <c r="O3145" s="136"/>
    </row>
    <row r="3146" spans="15:15" x14ac:dyDescent="0.3">
      <c r="O3146" s="136"/>
    </row>
    <row r="3147" spans="15:15" x14ac:dyDescent="0.3">
      <c r="O3147" s="136"/>
    </row>
    <row r="3148" spans="15:15" x14ac:dyDescent="0.3">
      <c r="O3148" s="136"/>
    </row>
    <row r="3149" spans="15:15" x14ac:dyDescent="0.3">
      <c r="O3149" s="136"/>
    </row>
    <row r="3150" spans="15:15" x14ac:dyDescent="0.3">
      <c r="O3150" s="136"/>
    </row>
    <row r="3151" spans="15:15" x14ac:dyDescent="0.3">
      <c r="O3151" s="136"/>
    </row>
    <row r="3152" spans="15:15" x14ac:dyDescent="0.3">
      <c r="O3152" s="136"/>
    </row>
    <row r="3153" spans="15:15" x14ac:dyDescent="0.3">
      <c r="O3153" s="136"/>
    </row>
    <row r="3154" spans="15:15" x14ac:dyDescent="0.3">
      <c r="O3154" s="136"/>
    </row>
    <row r="3155" spans="15:15" x14ac:dyDescent="0.3">
      <c r="O3155" s="136"/>
    </row>
    <row r="3156" spans="15:15" x14ac:dyDescent="0.3">
      <c r="O3156" s="136"/>
    </row>
    <row r="3157" spans="15:15" x14ac:dyDescent="0.3">
      <c r="O3157" s="136"/>
    </row>
    <row r="3158" spans="15:15" x14ac:dyDescent="0.3">
      <c r="O3158" s="136"/>
    </row>
    <row r="3159" spans="15:15" x14ac:dyDescent="0.3">
      <c r="O3159" s="136"/>
    </row>
    <row r="3160" spans="15:15" x14ac:dyDescent="0.3">
      <c r="O3160" s="136"/>
    </row>
    <row r="3161" spans="15:15" x14ac:dyDescent="0.3">
      <c r="O3161" s="136"/>
    </row>
    <row r="3162" spans="15:15" x14ac:dyDescent="0.3">
      <c r="O3162" s="136"/>
    </row>
    <row r="3163" spans="15:15" x14ac:dyDescent="0.3">
      <c r="O3163" s="136"/>
    </row>
    <row r="3164" spans="15:15" x14ac:dyDescent="0.3">
      <c r="O3164" s="136"/>
    </row>
    <row r="3165" spans="15:15" x14ac:dyDescent="0.3">
      <c r="O3165" s="136"/>
    </row>
    <row r="3166" spans="15:15" x14ac:dyDescent="0.3">
      <c r="O3166" s="136"/>
    </row>
    <row r="3167" spans="15:15" x14ac:dyDescent="0.3">
      <c r="O3167" s="136"/>
    </row>
    <row r="3168" spans="15:15" x14ac:dyDescent="0.3">
      <c r="O3168" s="136"/>
    </row>
    <row r="3169" spans="15:15" x14ac:dyDescent="0.3">
      <c r="O3169" s="136"/>
    </row>
    <row r="3182" spans="15:15" x14ac:dyDescent="0.3">
      <c r="O3182" s="136"/>
    </row>
    <row r="3183" spans="15:15" x14ac:dyDescent="0.3">
      <c r="O3183" s="136"/>
    </row>
    <row r="3184" spans="15:15" x14ac:dyDescent="0.3">
      <c r="O3184" s="136"/>
    </row>
    <row r="3185" spans="15:15" x14ac:dyDescent="0.3">
      <c r="O3185" s="136"/>
    </row>
    <row r="3186" spans="15:15" x14ac:dyDescent="0.3">
      <c r="O3186" s="136"/>
    </row>
    <row r="3187" spans="15:15" x14ac:dyDescent="0.3">
      <c r="O3187" s="136"/>
    </row>
    <row r="3188" spans="15:15" x14ac:dyDescent="0.3">
      <c r="O3188" s="136"/>
    </row>
    <row r="3189" spans="15:15" x14ac:dyDescent="0.3">
      <c r="O3189" s="136"/>
    </row>
    <row r="3190" spans="15:15" x14ac:dyDescent="0.3">
      <c r="O3190" s="136"/>
    </row>
    <row r="3191" spans="15:15" x14ac:dyDescent="0.3">
      <c r="O3191" s="136"/>
    </row>
    <row r="3192" spans="15:15" x14ac:dyDescent="0.3">
      <c r="O3192" s="136"/>
    </row>
    <row r="3193" spans="15:15" x14ac:dyDescent="0.3">
      <c r="O3193" s="136"/>
    </row>
    <row r="3194" spans="15:15" x14ac:dyDescent="0.3">
      <c r="O3194" s="136"/>
    </row>
    <row r="3195" spans="15:15" x14ac:dyDescent="0.3">
      <c r="O3195" s="136"/>
    </row>
    <row r="3196" spans="15:15" x14ac:dyDescent="0.3">
      <c r="O3196" s="136"/>
    </row>
    <row r="3197" spans="15:15" x14ac:dyDescent="0.3">
      <c r="O3197" s="136"/>
    </row>
    <row r="3198" spans="15:15" x14ac:dyDescent="0.3">
      <c r="O3198" s="136"/>
    </row>
    <row r="3199" spans="15:15" x14ac:dyDescent="0.3">
      <c r="O3199" s="136"/>
    </row>
    <row r="3200" spans="15:15" x14ac:dyDescent="0.3">
      <c r="O3200" s="136"/>
    </row>
    <row r="3201" spans="15:15" x14ac:dyDescent="0.3">
      <c r="O3201" s="136"/>
    </row>
    <row r="3202" spans="15:15" x14ac:dyDescent="0.3">
      <c r="O3202" s="136"/>
    </row>
    <row r="3203" spans="15:15" x14ac:dyDescent="0.3">
      <c r="O3203" s="136"/>
    </row>
    <row r="3204" spans="15:15" x14ac:dyDescent="0.3">
      <c r="O3204" s="136"/>
    </row>
    <row r="3205" spans="15:15" x14ac:dyDescent="0.3">
      <c r="O3205" s="136"/>
    </row>
    <row r="3206" spans="15:15" x14ac:dyDescent="0.3">
      <c r="O3206" s="136"/>
    </row>
    <row r="3207" spans="15:15" x14ac:dyDescent="0.3">
      <c r="O3207" s="136"/>
    </row>
    <row r="3208" spans="15:15" x14ac:dyDescent="0.3">
      <c r="O3208" s="136"/>
    </row>
    <row r="3209" spans="15:15" x14ac:dyDescent="0.3">
      <c r="O3209" s="136"/>
    </row>
    <row r="3210" spans="15:15" x14ac:dyDescent="0.3">
      <c r="O3210" s="136"/>
    </row>
    <row r="3211" spans="15:15" x14ac:dyDescent="0.3">
      <c r="O3211" s="136"/>
    </row>
    <row r="3212" spans="15:15" x14ac:dyDescent="0.3">
      <c r="O3212" s="136"/>
    </row>
    <row r="3213" spans="15:15" x14ac:dyDescent="0.3">
      <c r="O3213" s="136"/>
    </row>
    <row r="3214" spans="15:15" x14ac:dyDescent="0.3">
      <c r="O3214" s="136"/>
    </row>
    <row r="3215" spans="15:15" x14ac:dyDescent="0.3">
      <c r="O3215" s="136"/>
    </row>
    <row r="3216" spans="15:15" x14ac:dyDescent="0.3">
      <c r="O3216" s="136"/>
    </row>
    <row r="3217" spans="15:15" x14ac:dyDescent="0.3">
      <c r="O3217" s="136"/>
    </row>
    <row r="3218" spans="15:15" x14ac:dyDescent="0.3">
      <c r="O3218" s="136"/>
    </row>
    <row r="3219" spans="15:15" x14ac:dyDescent="0.3">
      <c r="O3219" s="136"/>
    </row>
    <row r="3231" spans="15:15" x14ac:dyDescent="0.3">
      <c r="O3231" s="136"/>
    </row>
    <row r="3232" spans="15:15" x14ac:dyDescent="0.3">
      <c r="O3232" s="136"/>
    </row>
    <row r="3233" spans="15:15" x14ac:dyDescent="0.3">
      <c r="O3233" s="136"/>
    </row>
    <row r="3234" spans="15:15" x14ac:dyDescent="0.3">
      <c r="O3234" s="136"/>
    </row>
    <row r="3235" spans="15:15" x14ac:dyDescent="0.3">
      <c r="O3235" s="136"/>
    </row>
    <row r="3236" spans="15:15" x14ac:dyDescent="0.3">
      <c r="O3236" s="136"/>
    </row>
    <row r="3237" spans="15:15" x14ac:dyDescent="0.3">
      <c r="O3237" s="136"/>
    </row>
    <row r="3238" spans="15:15" x14ac:dyDescent="0.3">
      <c r="O3238" s="136"/>
    </row>
    <row r="3239" spans="15:15" x14ac:dyDescent="0.3">
      <c r="O3239" s="136"/>
    </row>
    <row r="3240" spans="15:15" x14ac:dyDescent="0.3">
      <c r="O3240" s="136"/>
    </row>
    <row r="3241" spans="15:15" x14ac:dyDescent="0.3">
      <c r="O3241" s="136"/>
    </row>
    <row r="3242" spans="15:15" x14ac:dyDescent="0.3">
      <c r="O3242" s="136"/>
    </row>
    <row r="3243" spans="15:15" x14ac:dyDescent="0.3">
      <c r="O3243" s="136"/>
    </row>
    <row r="3244" spans="15:15" x14ac:dyDescent="0.3">
      <c r="O3244" s="136"/>
    </row>
    <row r="3245" spans="15:15" x14ac:dyDescent="0.3">
      <c r="O3245" s="136"/>
    </row>
    <row r="3246" spans="15:15" x14ac:dyDescent="0.3">
      <c r="O3246" s="136"/>
    </row>
    <row r="3247" spans="15:15" x14ac:dyDescent="0.3">
      <c r="O3247" s="136"/>
    </row>
    <row r="3248" spans="15:15" x14ac:dyDescent="0.3">
      <c r="O3248" s="136"/>
    </row>
    <row r="3249" spans="15:15" x14ac:dyDescent="0.3">
      <c r="O3249" s="136"/>
    </row>
    <row r="3250" spans="15:15" x14ac:dyDescent="0.3">
      <c r="O3250" s="136"/>
    </row>
    <row r="3251" spans="15:15" x14ac:dyDescent="0.3">
      <c r="O3251" s="136"/>
    </row>
    <row r="3252" spans="15:15" x14ac:dyDescent="0.3">
      <c r="O3252" s="136"/>
    </row>
    <row r="3253" spans="15:15" x14ac:dyDescent="0.3">
      <c r="O3253" s="136"/>
    </row>
    <row r="3254" spans="15:15" x14ac:dyDescent="0.3">
      <c r="O3254" s="136"/>
    </row>
    <row r="3255" spans="15:15" x14ac:dyDescent="0.3">
      <c r="O3255" s="136"/>
    </row>
    <row r="3256" spans="15:15" x14ac:dyDescent="0.3">
      <c r="O3256" s="136"/>
    </row>
    <row r="3257" spans="15:15" x14ac:dyDescent="0.3">
      <c r="O3257" s="136"/>
    </row>
    <row r="3258" spans="15:15" x14ac:dyDescent="0.3">
      <c r="O3258" s="136"/>
    </row>
    <row r="3259" spans="15:15" x14ac:dyDescent="0.3">
      <c r="O3259" s="136"/>
    </row>
    <row r="3260" spans="15:15" x14ac:dyDescent="0.3">
      <c r="O3260" s="136"/>
    </row>
    <row r="3261" spans="15:15" x14ac:dyDescent="0.3">
      <c r="O3261" s="136"/>
    </row>
    <row r="3262" spans="15:15" x14ac:dyDescent="0.3">
      <c r="O3262" s="136"/>
    </row>
    <row r="3263" spans="15:15" x14ac:dyDescent="0.3">
      <c r="O3263" s="136"/>
    </row>
    <row r="3264" spans="15:15" x14ac:dyDescent="0.3">
      <c r="O3264" s="136"/>
    </row>
    <row r="3265" spans="15:15" x14ac:dyDescent="0.3">
      <c r="O3265" s="136"/>
    </row>
    <row r="3266" spans="15:15" x14ac:dyDescent="0.3">
      <c r="O3266" s="136"/>
    </row>
    <row r="3267" spans="15:15" x14ac:dyDescent="0.3">
      <c r="O3267" s="136"/>
    </row>
    <row r="3268" spans="15:15" x14ac:dyDescent="0.3">
      <c r="O3268" s="136"/>
    </row>
    <row r="3269" spans="15:15" x14ac:dyDescent="0.3">
      <c r="O3269" s="136"/>
    </row>
    <row r="3280" spans="15:15" x14ac:dyDescent="0.3">
      <c r="O3280" s="136"/>
    </row>
    <row r="3281" spans="15:15" x14ac:dyDescent="0.3">
      <c r="O3281" s="136"/>
    </row>
    <row r="3282" spans="15:15" x14ac:dyDescent="0.3">
      <c r="O3282" s="136"/>
    </row>
    <row r="3283" spans="15:15" x14ac:dyDescent="0.3">
      <c r="O3283" s="136"/>
    </row>
    <row r="3284" spans="15:15" x14ac:dyDescent="0.3">
      <c r="O3284" s="136"/>
    </row>
    <row r="3285" spans="15:15" x14ac:dyDescent="0.3">
      <c r="O3285" s="136"/>
    </row>
    <row r="3286" spans="15:15" x14ac:dyDescent="0.3">
      <c r="O3286" s="136"/>
    </row>
    <row r="3287" spans="15:15" x14ac:dyDescent="0.3">
      <c r="O3287" s="136"/>
    </row>
    <row r="3288" spans="15:15" x14ac:dyDescent="0.3">
      <c r="O3288" s="136"/>
    </row>
    <row r="3289" spans="15:15" x14ac:dyDescent="0.3">
      <c r="O3289" s="136"/>
    </row>
    <row r="3290" spans="15:15" x14ac:dyDescent="0.3">
      <c r="O3290" s="136"/>
    </row>
    <row r="3291" spans="15:15" x14ac:dyDescent="0.3">
      <c r="O3291" s="136"/>
    </row>
    <row r="3292" spans="15:15" x14ac:dyDescent="0.3">
      <c r="O3292" s="136"/>
    </row>
    <row r="3293" spans="15:15" x14ac:dyDescent="0.3">
      <c r="O3293" s="136"/>
    </row>
    <row r="3294" spans="15:15" x14ac:dyDescent="0.3">
      <c r="O3294" s="136"/>
    </row>
    <row r="3295" spans="15:15" x14ac:dyDescent="0.3">
      <c r="O3295" s="136"/>
    </row>
    <row r="3296" spans="15:15" x14ac:dyDescent="0.3">
      <c r="O3296" s="136"/>
    </row>
    <row r="3297" spans="15:15" x14ac:dyDescent="0.3">
      <c r="O3297" s="136"/>
    </row>
    <row r="3298" spans="15:15" x14ac:dyDescent="0.3">
      <c r="O3298" s="136"/>
    </row>
    <row r="3299" spans="15:15" x14ac:dyDescent="0.3">
      <c r="O3299" s="136"/>
    </row>
    <row r="3300" spans="15:15" x14ac:dyDescent="0.3">
      <c r="O3300" s="136"/>
    </row>
    <row r="3301" spans="15:15" x14ac:dyDescent="0.3">
      <c r="O3301" s="136"/>
    </row>
    <row r="3302" spans="15:15" x14ac:dyDescent="0.3">
      <c r="O3302" s="136"/>
    </row>
    <row r="3303" spans="15:15" x14ac:dyDescent="0.3">
      <c r="O3303" s="136"/>
    </row>
    <row r="3304" spans="15:15" x14ac:dyDescent="0.3">
      <c r="O3304" s="136"/>
    </row>
    <row r="3305" spans="15:15" x14ac:dyDescent="0.3">
      <c r="O3305" s="136"/>
    </row>
    <row r="3306" spans="15:15" x14ac:dyDescent="0.3">
      <c r="O3306" s="136"/>
    </row>
    <row r="3307" spans="15:15" x14ac:dyDescent="0.3">
      <c r="O3307" s="136"/>
    </row>
    <row r="3308" spans="15:15" x14ac:dyDescent="0.3">
      <c r="O3308" s="136"/>
    </row>
    <row r="3309" spans="15:15" x14ac:dyDescent="0.3">
      <c r="O3309" s="136"/>
    </row>
    <row r="3310" spans="15:15" x14ac:dyDescent="0.3">
      <c r="O3310" s="136"/>
    </row>
    <row r="3311" spans="15:15" x14ac:dyDescent="0.3">
      <c r="O3311" s="136"/>
    </row>
    <row r="3312" spans="15:15" x14ac:dyDescent="0.3">
      <c r="O3312" s="136"/>
    </row>
    <row r="3313" spans="15:15" x14ac:dyDescent="0.3">
      <c r="O3313" s="136"/>
    </row>
    <row r="3314" spans="15:15" x14ac:dyDescent="0.3">
      <c r="O3314" s="136"/>
    </row>
    <row r="3315" spans="15:15" x14ac:dyDescent="0.3">
      <c r="O3315" s="136"/>
    </row>
    <row r="3316" spans="15:15" x14ac:dyDescent="0.3">
      <c r="O3316" s="136"/>
    </row>
    <row r="3317" spans="15:15" x14ac:dyDescent="0.3">
      <c r="O3317" s="136"/>
    </row>
    <row r="3318" spans="15:15" x14ac:dyDescent="0.3">
      <c r="O3318" s="136"/>
    </row>
    <row r="3319" spans="15:15" x14ac:dyDescent="0.3">
      <c r="O3319" s="136"/>
    </row>
    <row r="3329" spans="15:15" x14ac:dyDescent="0.3">
      <c r="O3329" s="136"/>
    </row>
    <row r="3330" spans="15:15" x14ac:dyDescent="0.3">
      <c r="O3330" s="136"/>
    </row>
    <row r="3331" spans="15:15" x14ac:dyDescent="0.3">
      <c r="O3331" s="136"/>
    </row>
    <row r="3332" spans="15:15" x14ac:dyDescent="0.3">
      <c r="O3332" s="136"/>
    </row>
    <row r="3333" spans="15:15" x14ac:dyDescent="0.3">
      <c r="O3333" s="136"/>
    </row>
    <row r="3334" spans="15:15" x14ac:dyDescent="0.3">
      <c r="O3334" s="136"/>
    </row>
    <row r="3335" spans="15:15" x14ac:dyDescent="0.3">
      <c r="O3335" s="136"/>
    </row>
    <row r="3336" spans="15:15" x14ac:dyDescent="0.3">
      <c r="O3336" s="136"/>
    </row>
    <row r="3337" spans="15:15" x14ac:dyDescent="0.3">
      <c r="O3337" s="136"/>
    </row>
    <row r="3338" spans="15:15" x14ac:dyDescent="0.3">
      <c r="O3338" s="136"/>
    </row>
    <row r="3339" spans="15:15" x14ac:dyDescent="0.3">
      <c r="O3339" s="136"/>
    </row>
    <row r="3340" spans="15:15" x14ac:dyDescent="0.3">
      <c r="O3340" s="136"/>
    </row>
    <row r="3341" spans="15:15" x14ac:dyDescent="0.3">
      <c r="O3341" s="136"/>
    </row>
    <row r="3342" spans="15:15" x14ac:dyDescent="0.3">
      <c r="O3342" s="136"/>
    </row>
    <row r="3343" spans="15:15" x14ac:dyDescent="0.3">
      <c r="O3343" s="136"/>
    </row>
    <row r="3344" spans="15:15" x14ac:dyDescent="0.3">
      <c r="O3344" s="136"/>
    </row>
    <row r="3345" spans="15:15" x14ac:dyDescent="0.3">
      <c r="O3345" s="136"/>
    </row>
    <row r="3346" spans="15:15" x14ac:dyDescent="0.3">
      <c r="O3346" s="136"/>
    </row>
    <row r="3347" spans="15:15" x14ac:dyDescent="0.3">
      <c r="O3347" s="136"/>
    </row>
    <row r="3348" spans="15:15" x14ac:dyDescent="0.3">
      <c r="O3348" s="136"/>
    </row>
    <row r="3349" spans="15:15" x14ac:dyDescent="0.3">
      <c r="O3349" s="136"/>
    </row>
    <row r="3350" spans="15:15" x14ac:dyDescent="0.3">
      <c r="O3350" s="136"/>
    </row>
    <row r="3351" spans="15:15" x14ac:dyDescent="0.3">
      <c r="O3351" s="136"/>
    </row>
    <row r="3352" spans="15:15" x14ac:dyDescent="0.3">
      <c r="O3352" s="136"/>
    </row>
    <row r="3353" spans="15:15" x14ac:dyDescent="0.3">
      <c r="O3353" s="136"/>
    </row>
    <row r="3354" spans="15:15" x14ac:dyDescent="0.3">
      <c r="O3354" s="136"/>
    </row>
    <row r="3355" spans="15:15" x14ac:dyDescent="0.3">
      <c r="O3355" s="136"/>
    </row>
    <row r="3356" spans="15:15" x14ac:dyDescent="0.3">
      <c r="O3356" s="136"/>
    </row>
    <row r="3357" spans="15:15" x14ac:dyDescent="0.3">
      <c r="O3357" s="136"/>
    </row>
    <row r="3358" spans="15:15" x14ac:dyDescent="0.3">
      <c r="O3358" s="136"/>
    </row>
    <row r="3359" spans="15:15" x14ac:dyDescent="0.3">
      <c r="O3359" s="136"/>
    </row>
    <row r="3360" spans="15:15" x14ac:dyDescent="0.3">
      <c r="O3360" s="136"/>
    </row>
    <row r="3361" spans="15:15" x14ac:dyDescent="0.3">
      <c r="O3361" s="136"/>
    </row>
    <row r="3362" spans="15:15" x14ac:dyDescent="0.3">
      <c r="O3362" s="136"/>
    </row>
    <row r="3363" spans="15:15" x14ac:dyDescent="0.3">
      <c r="O3363" s="136"/>
    </row>
    <row r="3364" spans="15:15" x14ac:dyDescent="0.3">
      <c r="O3364" s="136"/>
    </row>
    <row r="3365" spans="15:15" x14ac:dyDescent="0.3">
      <c r="O3365" s="136"/>
    </row>
    <row r="3366" spans="15:15" x14ac:dyDescent="0.3">
      <c r="O3366" s="136"/>
    </row>
    <row r="3367" spans="15:15" x14ac:dyDescent="0.3">
      <c r="O3367" s="136"/>
    </row>
    <row r="3368" spans="15:15" x14ac:dyDescent="0.3">
      <c r="O3368" s="136"/>
    </row>
    <row r="3369" spans="15:15" x14ac:dyDescent="0.3">
      <c r="O3369" s="136"/>
    </row>
    <row r="3378" spans="15:15" x14ac:dyDescent="0.3">
      <c r="O3378" s="136"/>
    </row>
    <row r="3379" spans="15:15" x14ac:dyDescent="0.3">
      <c r="O3379" s="136"/>
    </row>
    <row r="3380" spans="15:15" x14ac:dyDescent="0.3">
      <c r="O3380" s="136"/>
    </row>
    <row r="3381" spans="15:15" x14ac:dyDescent="0.3">
      <c r="O3381" s="136"/>
    </row>
    <row r="3382" spans="15:15" x14ac:dyDescent="0.3">
      <c r="O3382" s="136"/>
    </row>
    <row r="3383" spans="15:15" x14ac:dyDescent="0.3">
      <c r="O3383" s="136"/>
    </row>
    <row r="3384" spans="15:15" x14ac:dyDescent="0.3">
      <c r="O3384" s="136"/>
    </row>
    <row r="3385" spans="15:15" x14ac:dyDescent="0.3">
      <c r="O3385" s="136"/>
    </row>
    <row r="3386" spans="15:15" x14ac:dyDescent="0.3">
      <c r="O3386" s="136"/>
    </row>
    <row r="3387" spans="15:15" x14ac:dyDescent="0.3">
      <c r="O3387" s="136"/>
    </row>
    <row r="3388" spans="15:15" x14ac:dyDescent="0.3">
      <c r="O3388" s="136"/>
    </row>
    <row r="3389" spans="15:15" x14ac:dyDescent="0.3">
      <c r="O3389" s="136"/>
    </row>
    <row r="3390" spans="15:15" x14ac:dyDescent="0.3">
      <c r="O3390" s="136"/>
    </row>
    <row r="3391" spans="15:15" x14ac:dyDescent="0.3">
      <c r="O3391" s="136"/>
    </row>
    <row r="3392" spans="15:15" x14ac:dyDescent="0.3">
      <c r="O3392" s="136"/>
    </row>
    <row r="3393" spans="15:15" x14ac:dyDescent="0.3">
      <c r="O3393" s="136"/>
    </row>
    <row r="3394" spans="15:15" x14ac:dyDescent="0.3">
      <c r="O3394" s="136"/>
    </row>
    <row r="3395" spans="15:15" x14ac:dyDescent="0.3">
      <c r="O3395" s="136"/>
    </row>
    <row r="3396" spans="15:15" x14ac:dyDescent="0.3">
      <c r="O3396" s="136"/>
    </row>
    <row r="3397" spans="15:15" x14ac:dyDescent="0.3">
      <c r="O3397" s="136"/>
    </row>
    <row r="3398" spans="15:15" x14ac:dyDescent="0.3">
      <c r="O3398" s="136"/>
    </row>
    <row r="3399" spans="15:15" x14ac:dyDescent="0.3">
      <c r="O3399" s="136"/>
    </row>
    <row r="3400" spans="15:15" x14ac:dyDescent="0.3">
      <c r="O3400" s="136"/>
    </row>
    <row r="3401" spans="15:15" x14ac:dyDescent="0.3">
      <c r="O3401" s="136"/>
    </row>
    <row r="3402" spans="15:15" x14ac:dyDescent="0.3">
      <c r="O3402" s="136"/>
    </row>
    <row r="3403" spans="15:15" x14ac:dyDescent="0.3">
      <c r="O3403" s="136"/>
    </row>
    <row r="3404" spans="15:15" x14ac:dyDescent="0.3">
      <c r="O3404" s="136"/>
    </row>
    <row r="3405" spans="15:15" x14ac:dyDescent="0.3">
      <c r="O3405" s="136"/>
    </row>
    <row r="3406" spans="15:15" x14ac:dyDescent="0.3">
      <c r="O3406" s="136"/>
    </row>
    <row r="3407" spans="15:15" x14ac:dyDescent="0.3">
      <c r="O3407" s="136"/>
    </row>
    <row r="3408" spans="15:15" x14ac:dyDescent="0.3">
      <c r="O3408" s="136"/>
    </row>
    <row r="3409" spans="15:15" x14ac:dyDescent="0.3">
      <c r="O3409" s="136"/>
    </row>
    <row r="3410" spans="15:15" x14ac:dyDescent="0.3">
      <c r="O3410" s="136"/>
    </row>
    <row r="3411" spans="15:15" x14ac:dyDescent="0.3">
      <c r="O3411" s="136"/>
    </row>
    <row r="3412" spans="15:15" x14ac:dyDescent="0.3">
      <c r="O3412" s="136"/>
    </row>
    <row r="3413" spans="15:15" x14ac:dyDescent="0.3">
      <c r="O3413" s="136"/>
    </row>
    <row r="3414" spans="15:15" x14ac:dyDescent="0.3">
      <c r="O3414" s="136"/>
    </row>
    <row r="3415" spans="15:15" x14ac:dyDescent="0.3">
      <c r="O3415" s="136"/>
    </row>
    <row r="3416" spans="15:15" x14ac:dyDescent="0.3">
      <c r="O3416" s="136"/>
    </row>
    <row r="3417" spans="15:15" x14ac:dyDescent="0.3">
      <c r="O3417" s="136"/>
    </row>
    <row r="3418" spans="15:15" x14ac:dyDescent="0.3">
      <c r="O3418" s="136"/>
    </row>
    <row r="3419" spans="15:15" x14ac:dyDescent="0.3">
      <c r="O3419" s="136"/>
    </row>
    <row r="3427" spans="15:15" x14ac:dyDescent="0.3">
      <c r="O3427" s="136"/>
    </row>
    <row r="3428" spans="15:15" x14ac:dyDescent="0.3">
      <c r="O3428" s="136"/>
    </row>
    <row r="3429" spans="15:15" x14ac:dyDescent="0.3">
      <c r="O3429" s="136"/>
    </row>
    <row r="3430" spans="15:15" x14ac:dyDescent="0.3">
      <c r="O3430" s="136"/>
    </row>
    <row r="3431" spans="15:15" x14ac:dyDescent="0.3">
      <c r="O3431" s="136"/>
    </row>
    <row r="3432" spans="15:15" x14ac:dyDescent="0.3">
      <c r="O3432" s="136"/>
    </row>
    <row r="3433" spans="15:15" x14ac:dyDescent="0.3">
      <c r="O3433" s="136"/>
    </row>
    <row r="3434" spans="15:15" x14ac:dyDescent="0.3">
      <c r="O3434" s="136"/>
    </row>
    <row r="3435" spans="15:15" x14ac:dyDescent="0.3">
      <c r="O3435" s="136"/>
    </row>
    <row r="3436" spans="15:15" x14ac:dyDescent="0.3">
      <c r="O3436" s="136"/>
    </row>
    <row r="3437" spans="15:15" x14ac:dyDescent="0.3">
      <c r="O3437" s="136"/>
    </row>
    <row r="3438" spans="15:15" x14ac:dyDescent="0.3">
      <c r="O3438" s="136"/>
    </row>
    <row r="3439" spans="15:15" x14ac:dyDescent="0.3">
      <c r="O3439" s="136"/>
    </row>
    <row r="3440" spans="15:15" x14ac:dyDescent="0.3">
      <c r="O3440" s="136"/>
    </row>
    <row r="3441" spans="15:15" x14ac:dyDescent="0.3">
      <c r="O3441" s="136"/>
    </row>
    <row r="3442" spans="15:15" x14ac:dyDescent="0.3">
      <c r="O3442" s="136"/>
    </row>
    <row r="3443" spans="15:15" x14ac:dyDescent="0.3">
      <c r="O3443" s="136"/>
    </row>
    <row r="3444" spans="15:15" x14ac:dyDescent="0.3">
      <c r="O3444" s="136"/>
    </row>
    <row r="3445" spans="15:15" x14ac:dyDescent="0.3">
      <c r="O3445" s="136"/>
    </row>
    <row r="3446" spans="15:15" x14ac:dyDescent="0.3">
      <c r="O3446" s="136"/>
    </row>
    <row r="3447" spans="15:15" x14ac:dyDescent="0.3">
      <c r="O3447" s="136"/>
    </row>
    <row r="3448" spans="15:15" x14ac:dyDescent="0.3">
      <c r="O3448" s="136"/>
    </row>
    <row r="3449" spans="15:15" x14ac:dyDescent="0.3">
      <c r="O3449" s="136"/>
    </row>
    <row r="3450" spans="15:15" x14ac:dyDescent="0.3">
      <c r="O3450" s="136"/>
    </row>
    <row r="3451" spans="15:15" x14ac:dyDescent="0.3">
      <c r="O3451" s="136"/>
    </row>
    <row r="3452" spans="15:15" x14ac:dyDescent="0.3">
      <c r="O3452" s="136"/>
    </row>
    <row r="3453" spans="15:15" x14ac:dyDescent="0.3">
      <c r="O3453" s="136"/>
    </row>
    <row r="3454" spans="15:15" x14ac:dyDescent="0.3">
      <c r="O3454" s="136"/>
    </row>
    <row r="3455" spans="15:15" x14ac:dyDescent="0.3">
      <c r="O3455" s="136"/>
    </row>
    <row r="3456" spans="15:15" x14ac:dyDescent="0.3">
      <c r="O3456" s="136"/>
    </row>
    <row r="3457" spans="15:15" x14ac:dyDescent="0.3">
      <c r="O3457" s="136"/>
    </row>
    <row r="3458" spans="15:15" x14ac:dyDescent="0.3">
      <c r="O3458" s="136"/>
    </row>
    <row r="3459" spans="15:15" x14ac:dyDescent="0.3">
      <c r="O3459" s="136"/>
    </row>
    <row r="3460" spans="15:15" x14ac:dyDescent="0.3">
      <c r="O3460" s="136"/>
    </row>
    <row r="3461" spans="15:15" x14ac:dyDescent="0.3">
      <c r="O3461" s="136"/>
    </row>
    <row r="3462" spans="15:15" x14ac:dyDescent="0.3">
      <c r="O3462" s="136"/>
    </row>
    <row r="3463" spans="15:15" x14ac:dyDescent="0.3">
      <c r="O3463" s="136"/>
    </row>
    <row r="3464" spans="15:15" x14ac:dyDescent="0.3">
      <c r="O3464" s="136"/>
    </row>
    <row r="3465" spans="15:15" x14ac:dyDescent="0.3">
      <c r="O3465" s="136"/>
    </row>
    <row r="3466" spans="15:15" x14ac:dyDescent="0.3">
      <c r="O3466" s="136"/>
    </row>
    <row r="3467" spans="15:15" x14ac:dyDescent="0.3">
      <c r="O3467" s="136"/>
    </row>
    <row r="3468" spans="15:15" x14ac:dyDescent="0.3">
      <c r="O3468" s="136"/>
    </row>
    <row r="3469" spans="15:15" x14ac:dyDescent="0.3">
      <c r="O3469" s="136"/>
    </row>
    <row r="3476" spans="15:15" x14ac:dyDescent="0.3">
      <c r="O3476" s="136"/>
    </row>
    <row r="3477" spans="15:15" x14ac:dyDescent="0.3">
      <c r="O3477" s="136"/>
    </row>
    <row r="3478" spans="15:15" x14ac:dyDescent="0.3">
      <c r="O3478" s="136"/>
    </row>
    <row r="3479" spans="15:15" x14ac:dyDescent="0.3">
      <c r="O3479" s="136"/>
    </row>
    <row r="3480" spans="15:15" x14ac:dyDescent="0.3">
      <c r="O3480" s="136"/>
    </row>
    <row r="3481" spans="15:15" x14ac:dyDescent="0.3">
      <c r="O3481" s="136"/>
    </row>
    <row r="3482" spans="15:15" x14ac:dyDescent="0.3">
      <c r="O3482" s="136"/>
    </row>
    <row r="3483" spans="15:15" x14ac:dyDescent="0.3">
      <c r="O3483" s="136"/>
    </row>
    <row r="3484" spans="15:15" x14ac:dyDescent="0.3">
      <c r="O3484" s="136"/>
    </row>
    <row r="3485" spans="15:15" x14ac:dyDescent="0.3">
      <c r="O3485" s="136"/>
    </row>
    <row r="3486" spans="15:15" x14ac:dyDescent="0.3">
      <c r="O3486" s="136"/>
    </row>
    <row r="3487" spans="15:15" x14ac:dyDescent="0.3">
      <c r="O3487" s="136"/>
    </row>
    <row r="3488" spans="15:15" x14ac:dyDescent="0.3">
      <c r="O3488" s="136"/>
    </row>
    <row r="3489" spans="15:15" x14ac:dyDescent="0.3">
      <c r="O3489" s="136"/>
    </row>
    <row r="3490" spans="15:15" x14ac:dyDescent="0.3">
      <c r="O3490" s="136"/>
    </row>
    <row r="3491" spans="15:15" x14ac:dyDescent="0.3">
      <c r="O3491" s="136"/>
    </row>
    <row r="3492" spans="15:15" x14ac:dyDescent="0.3">
      <c r="O3492" s="136"/>
    </row>
    <row r="3493" spans="15:15" x14ac:dyDescent="0.3">
      <c r="O3493" s="136"/>
    </row>
    <row r="3494" spans="15:15" x14ac:dyDescent="0.3">
      <c r="O3494" s="136"/>
    </row>
    <row r="3495" spans="15:15" x14ac:dyDescent="0.3">
      <c r="O3495" s="136"/>
    </row>
    <row r="3496" spans="15:15" x14ac:dyDescent="0.3">
      <c r="O3496" s="136"/>
    </row>
    <row r="3497" spans="15:15" x14ac:dyDescent="0.3">
      <c r="O3497" s="136"/>
    </row>
    <row r="3498" spans="15:15" x14ac:dyDescent="0.3">
      <c r="O3498" s="136"/>
    </row>
    <row r="3499" spans="15:15" x14ac:dyDescent="0.3">
      <c r="O3499" s="136"/>
    </row>
    <row r="3500" spans="15:15" x14ac:dyDescent="0.3">
      <c r="O3500" s="136"/>
    </row>
    <row r="3501" spans="15:15" x14ac:dyDescent="0.3">
      <c r="O3501" s="136"/>
    </row>
    <row r="3502" spans="15:15" x14ac:dyDescent="0.3">
      <c r="O3502" s="136"/>
    </row>
    <row r="3503" spans="15:15" x14ac:dyDescent="0.3">
      <c r="O3503" s="136"/>
    </row>
    <row r="3504" spans="15:15" x14ac:dyDescent="0.3">
      <c r="O3504" s="136"/>
    </row>
    <row r="3505" spans="15:15" x14ac:dyDescent="0.3">
      <c r="O3505" s="136"/>
    </row>
    <row r="3506" spans="15:15" x14ac:dyDescent="0.3">
      <c r="O3506" s="136"/>
    </row>
    <row r="3507" spans="15:15" x14ac:dyDescent="0.3">
      <c r="O3507" s="136"/>
    </row>
    <row r="3508" spans="15:15" x14ac:dyDescent="0.3">
      <c r="O3508" s="136"/>
    </row>
    <row r="3509" spans="15:15" x14ac:dyDescent="0.3">
      <c r="O3509" s="136"/>
    </row>
    <row r="3510" spans="15:15" x14ac:dyDescent="0.3">
      <c r="O3510" s="136"/>
    </row>
    <row r="3511" spans="15:15" x14ac:dyDescent="0.3">
      <c r="O3511" s="136"/>
    </row>
    <row r="3512" spans="15:15" x14ac:dyDescent="0.3">
      <c r="O3512" s="136"/>
    </row>
    <row r="3513" spans="15:15" x14ac:dyDescent="0.3">
      <c r="O3513" s="136"/>
    </row>
    <row r="3514" spans="15:15" x14ac:dyDescent="0.3">
      <c r="O3514" s="136"/>
    </row>
    <row r="3515" spans="15:15" x14ac:dyDescent="0.3">
      <c r="O3515" s="136"/>
    </row>
    <row r="3516" spans="15:15" x14ac:dyDescent="0.3">
      <c r="O3516" s="136"/>
    </row>
    <row r="3517" spans="15:15" x14ac:dyDescent="0.3">
      <c r="O3517" s="136"/>
    </row>
    <row r="3518" spans="15:15" x14ac:dyDescent="0.3">
      <c r="O3518" s="136"/>
    </row>
    <row r="3519" spans="15:15" x14ac:dyDescent="0.3">
      <c r="O3519" s="136"/>
    </row>
    <row r="3525" spans="15:15" x14ac:dyDescent="0.3">
      <c r="O3525" s="136"/>
    </row>
    <row r="3526" spans="15:15" x14ac:dyDescent="0.3">
      <c r="O3526" s="136"/>
    </row>
    <row r="3527" spans="15:15" x14ac:dyDescent="0.3">
      <c r="O3527" s="136"/>
    </row>
    <row r="3528" spans="15:15" x14ac:dyDescent="0.3">
      <c r="O3528" s="136"/>
    </row>
    <row r="3529" spans="15:15" x14ac:dyDescent="0.3">
      <c r="O3529" s="136"/>
    </row>
    <row r="3530" spans="15:15" x14ac:dyDescent="0.3">
      <c r="O3530" s="136"/>
    </row>
    <row r="3531" spans="15:15" x14ac:dyDescent="0.3">
      <c r="O3531" s="136"/>
    </row>
    <row r="3532" spans="15:15" x14ac:dyDescent="0.3">
      <c r="O3532" s="136"/>
    </row>
    <row r="3533" spans="15:15" x14ac:dyDescent="0.3">
      <c r="O3533" s="136"/>
    </row>
    <row r="3534" spans="15:15" x14ac:dyDescent="0.3">
      <c r="O3534" s="136"/>
    </row>
    <row r="3535" spans="15:15" x14ac:dyDescent="0.3">
      <c r="O3535" s="136"/>
    </row>
    <row r="3536" spans="15:15" x14ac:dyDescent="0.3">
      <c r="O3536" s="136"/>
    </row>
    <row r="3537" spans="15:15" x14ac:dyDescent="0.3">
      <c r="O3537" s="136"/>
    </row>
    <row r="3538" spans="15:15" x14ac:dyDescent="0.3">
      <c r="O3538" s="136"/>
    </row>
    <row r="3539" spans="15:15" x14ac:dyDescent="0.3">
      <c r="O3539" s="136"/>
    </row>
    <row r="3540" spans="15:15" x14ac:dyDescent="0.3">
      <c r="O3540" s="136"/>
    </row>
    <row r="3541" spans="15:15" x14ac:dyDescent="0.3">
      <c r="O3541" s="136"/>
    </row>
    <row r="3542" spans="15:15" x14ac:dyDescent="0.3">
      <c r="O3542" s="136"/>
    </row>
    <row r="3543" spans="15:15" x14ac:dyDescent="0.3">
      <c r="O3543" s="136"/>
    </row>
    <row r="3544" spans="15:15" x14ac:dyDescent="0.3">
      <c r="O3544" s="136"/>
    </row>
    <row r="3545" spans="15:15" x14ac:dyDescent="0.3">
      <c r="O3545" s="136"/>
    </row>
    <row r="3546" spans="15:15" x14ac:dyDescent="0.3">
      <c r="O3546" s="136"/>
    </row>
    <row r="3547" spans="15:15" x14ac:dyDescent="0.3">
      <c r="O3547" s="136"/>
    </row>
    <row r="3548" spans="15:15" x14ac:dyDescent="0.3">
      <c r="O3548" s="136"/>
    </row>
    <row r="3549" spans="15:15" x14ac:dyDescent="0.3">
      <c r="O3549" s="136"/>
    </row>
    <row r="3550" spans="15:15" x14ac:dyDescent="0.3">
      <c r="O3550" s="136"/>
    </row>
    <row r="3551" spans="15:15" x14ac:dyDescent="0.3">
      <c r="O3551" s="136"/>
    </row>
    <row r="3552" spans="15:15" x14ac:dyDescent="0.3">
      <c r="O3552" s="136"/>
    </row>
    <row r="3553" spans="15:15" x14ac:dyDescent="0.3">
      <c r="O3553" s="136"/>
    </row>
    <row r="3554" spans="15:15" x14ac:dyDescent="0.3">
      <c r="O3554" s="136"/>
    </row>
    <row r="3555" spans="15:15" x14ac:dyDescent="0.3">
      <c r="O3555" s="136"/>
    </row>
    <row r="3556" spans="15:15" x14ac:dyDescent="0.3">
      <c r="O3556" s="136"/>
    </row>
    <row r="3557" spans="15:15" x14ac:dyDescent="0.3">
      <c r="O3557" s="136"/>
    </row>
    <row r="3558" spans="15:15" x14ac:dyDescent="0.3">
      <c r="O3558" s="136"/>
    </row>
    <row r="3559" spans="15:15" x14ac:dyDescent="0.3">
      <c r="O3559" s="136"/>
    </row>
    <row r="3560" spans="15:15" x14ac:dyDescent="0.3">
      <c r="O3560" s="136"/>
    </row>
    <row r="3561" spans="15:15" x14ac:dyDescent="0.3">
      <c r="O3561" s="136"/>
    </row>
    <row r="3562" spans="15:15" x14ac:dyDescent="0.3">
      <c r="O3562" s="136"/>
    </row>
    <row r="3563" spans="15:15" x14ac:dyDescent="0.3">
      <c r="O3563" s="136"/>
    </row>
    <row r="3564" spans="15:15" x14ac:dyDescent="0.3">
      <c r="O3564" s="136"/>
    </row>
    <row r="3565" spans="15:15" x14ac:dyDescent="0.3">
      <c r="O3565" s="136"/>
    </row>
    <row r="3566" spans="15:15" x14ac:dyDescent="0.3">
      <c r="O3566" s="136"/>
    </row>
    <row r="3567" spans="15:15" x14ac:dyDescent="0.3">
      <c r="O3567" s="136"/>
    </row>
    <row r="3568" spans="15:15" x14ac:dyDescent="0.3">
      <c r="O3568" s="136"/>
    </row>
    <row r="3569" spans="15:15" x14ac:dyDescent="0.3">
      <c r="O3569" s="136"/>
    </row>
    <row r="3574" spans="15:15" x14ac:dyDescent="0.3">
      <c r="O3574" s="136"/>
    </row>
    <row r="3575" spans="15:15" x14ac:dyDescent="0.3">
      <c r="O3575" s="136"/>
    </row>
    <row r="3576" spans="15:15" x14ac:dyDescent="0.3">
      <c r="O3576" s="136"/>
    </row>
    <row r="3577" spans="15:15" x14ac:dyDescent="0.3">
      <c r="O3577" s="136"/>
    </row>
    <row r="3578" spans="15:15" x14ac:dyDescent="0.3">
      <c r="O3578" s="136"/>
    </row>
    <row r="3579" spans="15:15" x14ac:dyDescent="0.3">
      <c r="O3579" s="136"/>
    </row>
    <row r="3580" spans="15:15" x14ac:dyDescent="0.3">
      <c r="O3580" s="136"/>
    </row>
    <row r="3581" spans="15:15" x14ac:dyDescent="0.3">
      <c r="O3581" s="136"/>
    </row>
    <row r="3582" spans="15:15" x14ac:dyDescent="0.3">
      <c r="O3582" s="136"/>
    </row>
    <row r="3583" spans="15:15" x14ac:dyDescent="0.3">
      <c r="O3583" s="136"/>
    </row>
    <row r="3584" spans="15:15" x14ac:dyDescent="0.3">
      <c r="O3584" s="136"/>
    </row>
    <row r="3585" spans="15:15" x14ac:dyDescent="0.3">
      <c r="O3585" s="136"/>
    </row>
    <row r="3586" spans="15:15" x14ac:dyDescent="0.3">
      <c r="O3586" s="136"/>
    </row>
    <row r="3587" spans="15:15" x14ac:dyDescent="0.3">
      <c r="O3587" s="136"/>
    </row>
    <row r="3588" spans="15:15" x14ac:dyDescent="0.3">
      <c r="O3588" s="136"/>
    </row>
    <row r="3589" spans="15:15" x14ac:dyDescent="0.3">
      <c r="O3589" s="136"/>
    </row>
    <row r="3590" spans="15:15" x14ac:dyDescent="0.3">
      <c r="O3590" s="136"/>
    </row>
    <row r="3591" spans="15:15" x14ac:dyDescent="0.3">
      <c r="O3591" s="136"/>
    </row>
    <row r="3592" spans="15:15" x14ac:dyDescent="0.3">
      <c r="O3592" s="136"/>
    </row>
    <row r="3593" spans="15:15" x14ac:dyDescent="0.3">
      <c r="O3593" s="136"/>
    </row>
    <row r="3594" spans="15:15" x14ac:dyDescent="0.3">
      <c r="O3594" s="136"/>
    </row>
    <row r="3595" spans="15:15" x14ac:dyDescent="0.3">
      <c r="O3595" s="136"/>
    </row>
    <row r="3596" spans="15:15" x14ac:dyDescent="0.3">
      <c r="O3596" s="136"/>
    </row>
    <row r="3597" spans="15:15" x14ac:dyDescent="0.3">
      <c r="O3597" s="136"/>
    </row>
    <row r="3598" spans="15:15" x14ac:dyDescent="0.3">
      <c r="O3598" s="136"/>
    </row>
    <row r="3599" spans="15:15" x14ac:dyDescent="0.3">
      <c r="O3599" s="136"/>
    </row>
    <row r="3600" spans="15:15" x14ac:dyDescent="0.3">
      <c r="O3600" s="136"/>
    </row>
    <row r="3601" spans="15:15" x14ac:dyDescent="0.3">
      <c r="O3601" s="136"/>
    </row>
    <row r="3602" spans="15:15" x14ac:dyDescent="0.3">
      <c r="O3602" s="136"/>
    </row>
    <row r="3603" spans="15:15" x14ac:dyDescent="0.3">
      <c r="O3603" s="136"/>
    </row>
    <row r="3604" spans="15:15" x14ac:dyDescent="0.3">
      <c r="O3604" s="136"/>
    </row>
    <row r="3605" spans="15:15" x14ac:dyDescent="0.3">
      <c r="O3605" s="136"/>
    </row>
    <row r="3606" spans="15:15" x14ac:dyDescent="0.3">
      <c r="O3606" s="136"/>
    </row>
    <row r="3607" spans="15:15" x14ac:dyDescent="0.3">
      <c r="O3607" s="136"/>
    </row>
    <row r="3608" spans="15:15" x14ac:dyDescent="0.3">
      <c r="O3608" s="136"/>
    </row>
    <row r="3609" spans="15:15" x14ac:dyDescent="0.3">
      <c r="O3609" s="136"/>
    </row>
    <row r="3610" spans="15:15" x14ac:dyDescent="0.3">
      <c r="O3610" s="136"/>
    </row>
    <row r="3611" spans="15:15" x14ac:dyDescent="0.3">
      <c r="O3611" s="136"/>
    </row>
    <row r="3612" spans="15:15" x14ac:dyDescent="0.3">
      <c r="O3612" s="136"/>
    </row>
    <row r="3613" spans="15:15" x14ac:dyDescent="0.3">
      <c r="O3613" s="136"/>
    </row>
    <row r="3614" spans="15:15" x14ac:dyDescent="0.3">
      <c r="O3614" s="136"/>
    </row>
    <row r="3615" spans="15:15" x14ac:dyDescent="0.3">
      <c r="O3615" s="136"/>
    </row>
    <row r="3616" spans="15:15" x14ac:dyDescent="0.3">
      <c r="O3616" s="136"/>
    </row>
    <row r="3617" spans="15:15" x14ac:dyDescent="0.3">
      <c r="O3617" s="136"/>
    </row>
    <row r="3618" spans="15:15" x14ac:dyDescent="0.3">
      <c r="O3618" s="136"/>
    </row>
    <row r="3619" spans="15:15" x14ac:dyDescent="0.3">
      <c r="O3619" s="136"/>
    </row>
    <row r="3623" spans="15:15" x14ac:dyDescent="0.3">
      <c r="O3623" s="136"/>
    </row>
    <row r="3624" spans="15:15" x14ac:dyDescent="0.3">
      <c r="O3624" s="136"/>
    </row>
    <row r="3625" spans="15:15" x14ac:dyDescent="0.3">
      <c r="O3625" s="136"/>
    </row>
    <row r="3626" spans="15:15" x14ac:dyDescent="0.3">
      <c r="O3626" s="136"/>
    </row>
    <row r="3627" spans="15:15" x14ac:dyDescent="0.3">
      <c r="O3627" s="136"/>
    </row>
    <row r="3628" spans="15:15" x14ac:dyDescent="0.3">
      <c r="O3628" s="136"/>
    </row>
    <row r="3629" spans="15:15" x14ac:dyDescent="0.3">
      <c r="O3629" s="136"/>
    </row>
    <row r="3630" spans="15:15" x14ac:dyDescent="0.3">
      <c r="O3630" s="136"/>
    </row>
    <row r="3631" spans="15:15" x14ac:dyDescent="0.3">
      <c r="O3631" s="136"/>
    </row>
    <row r="3632" spans="15:15" x14ac:dyDescent="0.3">
      <c r="O3632" s="136"/>
    </row>
    <row r="3633" spans="15:15" x14ac:dyDescent="0.3">
      <c r="O3633" s="136"/>
    </row>
    <row r="3634" spans="15:15" x14ac:dyDescent="0.3">
      <c r="O3634" s="136"/>
    </row>
    <row r="3635" spans="15:15" x14ac:dyDescent="0.3">
      <c r="O3635" s="136"/>
    </row>
    <row r="3636" spans="15:15" x14ac:dyDescent="0.3">
      <c r="O3636" s="136"/>
    </row>
    <row r="3637" spans="15:15" x14ac:dyDescent="0.3">
      <c r="O3637" s="136"/>
    </row>
    <row r="3638" spans="15:15" x14ac:dyDescent="0.3">
      <c r="O3638" s="136"/>
    </row>
    <row r="3639" spans="15:15" x14ac:dyDescent="0.3">
      <c r="O3639" s="136"/>
    </row>
    <row r="3640" spans="15:15" x14ac:dyDescent="0.3">
      <c r="O3640" s="136"/>
    </row>
    <row r="3641" spans="15:15" x14ac:dyDescent="0.3">
      <c r="O3641" s="136"/>
    </row>
    <row r="3642" spans="15:15" x14ac:dyDescent="0.3">
      <c r="O3642" s="136"/>
    </row>
    <row r="3643" spans="15:15" x14ac:dyDescent="0.3">
      <c r="O3643" s="136"/>
    </row>
    <row r="3644" spans="15:15" x14ac:dyDescent="0.3">
      <c r="O3644" s="136"/>
    </row>
    <row r="3645" spans="15:15" x14ac:dyDescent="0.3">
      <c r="O3645" s="136"/>
    </row>
    <row r="3646" spans="15:15" x14ac:dyDescent="0.3">
      <c r="O3646" s="136"/>
    </row>
    <row r="3647" spans="15:15" x14ac:dyDescent="0.3">
      <c r="O3647" s="136"/>
    </row>
    <row r="3648" spans="15:15" x14ac:dyDescent="0.3">
      <c r="O3648" s="136"/>
    </row>
    <row r="3649" spans="15:15" x14ac:dyDescent="0.3">
      <c r="O3649" s="136"/>
    </row>
    <row r="3650" spans="15:15" x14ac:dyDescent="0.3">
      <c r="O3650" s="136"/>
    </row>
    <row r="3651" spans="15:15" x14ac:dyDescent="0.3">
      <c r="O3651" s="136"/>
    </row>
    <row r="3652" spans="15:15" x14ac:dyDescent="0.3">
      <c r="O3652" s="136"/>
    </row>
    <row r="3653" spans="15:15" x14ac:dyDescent="0.3">
      <c r="O3653" s="136"/>
    </row>
    <row r="3654" spans="15:15" x14ac:dyDescent="0.3">
      <c r="O3654" s="136"/>
    </row>
    <row r="3655" spans="15:15" x14ac:dyDescent="0.3">
      <c r="O3655" s="136"/>
    </row>
    <row r="3656" spans="15:15" x14ac:dyDescent="0.3">
      <c r="O3656" s="136"/>
    </row>
    <row r="3657" spans="15:15" x14ac:dyDescent="0.3">
      <c r="O3657" s="136"/>
    </row>
    <row r="3658" spans="15:15" x14ac:dyDescent="0.3">
      <c r="O3658" s="136"/>
    </row>
    <row r="3659" spans="15:15" x14ac:dyDescent="0.3">
      <c r="O3659" s="136"/>
    </row>
    <row r="3660" spans="15:15" x14ac:dyDescent="0.3">
      <c r="O3660" s="136"/>
    </row>
    <row r="3661" spans="15:15" x14ac:dyDescent="0.3">
      <c r="O3661" s="136"/>
    </row>
    <row r="3662" spans="15:15" x14ac:dyDescent="0.3">
      <c r="O3662" s="136"/>
    </row>
    <row r="3663" spans="15:15" x14ac:dyDescent="0.3">
      <c r="O3663" s="136"/>
    </row>
    <row r="3664" spans="15:15" x14ac:dyDescent="0.3">
      <c r="O3664" s="136"/>
    </row>
    <row r="3665" spans="15:15" x14ac:dyDescent="0.3">
      <c r="O3665" s="136"/>
    </row>
    <row r="3666" spans="15:15" x14ac:dyDescent="0.3">
      <c r="O3666" s="136"/>
    </row>
    <row r="3667" spans="15:15" x14ac:dyDescent="0.3">
      <c r="O3667" s="136"/>
    </row>
    <row r="3668" spans="15:15" x14ac:dyDescent="0.3">
      <c r="O3668" s="136"/>
    </row>
    <row r="3669" spans="15:15" x14ac:dyDescent="0.3">
      <c r="O3669" s="136"/>
    </row>
    <row r="3672" spans="15:15" x14ac:dyDescent="0.3">
      <c r="O3672" s="136"/>
    </row>
    <row r="3673" spans="15:15" x14ac:dyDescent="0.3">
      <c r="O3673" s="136"/>
    </row>
    <row r="3674" spans="15:15" x14ac:dyDescent="0.3">
      <c r="O3674" s="136"/>
    </row>
    <row r="3675" spans="15:15" x14ac:dyDescent="0.3">
      <c r="O3675" s="136"/>
    </row>
    <row r="3676" spans="15:15" x14ac:dyDescent="0.3">
      <c r="O3676" s="136"/>
    </row>
    <row r="3677" spans="15:15" x14ac:dyDescent="0.3">
      <c r="O3677" s="136"/>
    </row>
    <row r="3678" spans="15:15" x14ac:dyDescent="0.3">
      <c r="O3678" s="136"/>
    </row>
    <row r="3679" spans="15:15" x14ac:dyDescent="0.3">
      <c r="O3679" s="136"/>
    </row>
    <row r="3680" spans="15:15" x14ac:dyDescent="0.3">
      <c r="O3680" s="136"/>
    </row>
    <row r="3681" spans="15:15" x14ac:dyDescent="0.3">
      <c r="O3681" s="136"/>
    </row>
    <row r="3682" spans="15:15" x14ac:dyDescent="0.3">
      <c r="O3682" s="136"/>
    </row>
    <row r="3683" spans="15:15" x14ac:dyDescent="0.3">
      <c r="O3683" s="136"/>
    </row>
    <row r="3684" spans="15:15" x14ac:dyDescent="0.3">
      <c r="O3684" s="136"/>
    </row>
    <row r="3685" spans="15:15" x14ac:dyDescent="0.3">
      <c r="O3685" s="136"/>
    </row>
    <row r="3686" spans="15:15" x14ac:dyDescent="0.3">
      <c r="O3686" s="136"/>
    </row>
    <row r="3687" spans="15:15" x14ac:dyDescent="0.3">
      <c r="O3687" s="136"/>
    </row>
    <row r="3688" spans="15:15" x14ac:dyDescent="0.3">
      <c r="O3688" s="136"/>
    </row>
    <row r="3689" spans="15:15" x14ac:dyDescent="0.3">
      <c r="O3689" s="136"/>
    </row>
    <row r="3690" spans="15:15" x14ac:dyDescent="0.3">
      <c r="O3690" s="136"/>
    </row>
    <row r="3691" spans="15:15" x14ac:dyDescent="0.3">
      <c r="O3691" s="136"/>
    </row>
    <row r="3692" spans="15:15" x14ac:dyDescent="0.3">
      <c r="O3692" s="136"/>
    </row>
    <row r="3693" spans="15:15" x14ac:dyDescent="0.3">
      <c r="O3693" s="136"/>
    </row>
    <row r="3694" spans="15:15" x14ac:dyDescent="0.3">
      <c r="O3694" s="136"/>
    </row>
    <row r="3695" spans="15:15" x14ac:dyDescent="0.3">
      <c r="O3695" s="136"/>
    </row>
    <row r="3696" spans="15:15" x14ac:dyDescent="0.3">
      <c r="O3696" s="136"/>
    </row>
    <row r="3697" spans="15:15" x14ac:dyDescent="0.3">
      <c r="O3697" s="136"/>
    </row>
    <row r="3698" spans="15:15" x14ac:dyDescent="0.3">
      <c r="O3698" s="136"/>
    </row>
    <row r="3699" spans="15:15" x14ac:dyDescent="0.3">
      <c r="O3699" s="136"/>
    </row>
    <row r="3700" spans="15:15" x14ac:dyDescent="0.3">
      <c r="O3700" s="136"/>
    </row>
    <row r="3701" spans="15:15" x14ac:dyDescent="0.3">
      <c r="O3701" s="136"/>
    </row>
    <row r="3702" spans="15:15" x14ac:dyDescent="0.3">
      <c r="O3702" s="136"/>
    </row>
    <row r="3703" spans="15:15" x14ac:dyDescent="0.3">
      <c r="O3703" s="136"/>
    </row>
    <row r="3704" spans="15:15" x14ac:dyDescent="0.3">
      <c r="O3704" s="136"/>
    </row>
    <row r="3705" spans="15:15" x14ac:dyDescent="0.3">
      <c r="O3705" s="136"/>
    </row>
    <row r="3706" spans="15:15" x14ac:dyDescent="0.3">
      <c r="O3706" s="136"/>
    </row>
    <row r="3707" spans="15:15" x14ac:dyDescent="0.3">
      <c r="O3707" s="136"/>
    </row>
    <row r="3708" spans="15:15" x14ac:dyDescent="0.3">
      <c r="O3708" s="136"/>
    </row>
    <row r="3709" spans="15:15" x14ac:dyDescent="0.3">
      <c r="O3709" s="136"/>
    </row>
    <row r="3710" spans="15:15" x14ac:dyDescent="0.3">
      <c r="O3710" s="136"/>
    </row>
    <row r="3711" spans="15:15" x14ac:dyDescent="0.3">
      <c r="O3711" s="136"/>
    </row>
    <row r="3712" spans="15:15" x14ac:dyDescent="0.3">
      <c r="O3712" s="136"/>
    </row>
    <row r="3713" spans="15:15" x14ac:dyDescent="0.3">
      <c r="O3713" s="136"/>
    </row>
    <row r="3714" spans="15:15" x14ac:dyDescent="0.3">
      <c r="O3714" s="136"/>
    </row>
    <row r="3715" spans="15:15" x14ac:dyDescent="0.3">
      <c r="O3715" s="136"/>
    </row>
    <row r="3716" spans="15:15" x14ac:dyDescent="0.3">
      <c r="O3716" s="136"/>
    </row>
    <row r="3717" spans="15:15" x14ac:dyDescent="0.3">
      <c r="O3717" s="136"/>
    </row>
    <row r="3718" spans="15:15" x14ac:dyDescent="0.3">
      <c r="O3718" s="136"/>
    </row>
    <row r="3719" spans="15:15" x14ac:dyDescent="0.3">
      <c r="O3719" s="136"/>
    </row>
  </sheetData>
  <phoneticPr fontId="0"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filterMode="1">
    <pageSetUpPr fitToPage="1"/>
  </sheetPr>
  <dimension ref="A1:AX1078"/>
  <sheetViews>
    <sheetView zoomScale="80" zoomScaleNormal="80" workbookViewId="0">
      <selection activeCell="A459" sqref="A459"/>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19" width="10.453125" bestFit="1" customWidth="1"/>
    <col min="20" max="20" width="9.453125" bestFit="1" customWidth="1"/>
    <col min="22" max="22" width="8.81640625" customWidth="1"/>
    <col min="29" max="29" width="11.5429687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44881.729634027775</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2016</v>
      </c>
      <c r="B5" s="781"/>
      <c r="C5" s="781"/>
      <c r="D5" s="781"/>
      <c r="E5" s="781"/>
      <c r="F5" s="781"/>
      <c r="G5" s="781"/>
      <c r="H5" s="781"/>
      <c r="I5" s="781"/>
      <c r="J5" s="781"/>
      <c r="K5" s="781"/>
      <c r="L5" s="781"/>
      <c r="M5" s="781"/>
      <c r="N5" s="781"/>
      <c r="O5" s="781"/>
      <c r="P5" s="781"/>
      <c r="Q5" s="781"/>
      <c r="R5" s="781"/>
    </row>
    <row r="6" spans="1:36" ht="19.5" customHeight="1" x14ac:dyDescent="0.35">
      <c r="A6" s="780" t="s">
        <v>3195</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3196</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5.75" hidden="1" customHeight="1" thickBot="1" x14ac:dyDescent="0.35">
      <c r="A10" s="356" t="s">
        <v>2844</v>
      </c>
      <c r="B10" s="10">
        <f>DAY(DATE($A$5,MonthFromText(B11)+1,1)-1)</f>
        <v>31</v>
      </c>
      <c r="C10" s="10">
        <f>DAY(DATE($A$5,MonthFromText(C11)+1,1)-1)</f>
        <v>29</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231"/>
      <c r="B12" s="232"/>
      <c r="C12" s="232"/>
      <c r="D12" s="232"/>
      <c r="E12" s="233"/>
      <c r="F12" s="232"/>
      <c r="G12" s="232"/>
      <c r="H12" s="232"/>
      <c r="I12" s="233"/>
      <c r="J12" s="232"/>
      <c r="K12" s="232"/>
      <c r="L12" s="232"/>
      <c r="M12" s="233"/>
      <c r="N12" s="232"/>
      <c r="O12" s="232"/>
      <c r="P12" s="232"/>
      <c r="Q12" s="233"/>
      <c r="R12" s="233"/>
    </row>
    <row r="13" spans="1:36" ht="15.75" customHeight="1" x14ac:dyDescent="0.3">
      <c r="A13" s="234" t="s">
        <v>1277</v>
      </c>
      <c r="B13" s="172">
        <f>+B838</f>
        <v>43148</v>
      </c>
      <c r="C13" s="172">
        <f>+C838</f>
        <v>77253</v>
      </c>
      <c r="D13" s="172">
        <f>+D838</f>
        <v>122146</v>
      </c>
      <c r="E13" s="15">
        <f>SUM(B13:D13)</f>
        <v>242547</v>
      </c>
      <c r="F13" s="172">
        <f>+F838</f>
        <v>138443</v>
      </c>
      <c r="G13" s="172">
        <f>+G838</f>
        <v>166029</v>
      </c>
      <c r="H13" s="172">
        <f>+H838</f>
        <v>201550</v>
      </c>
      <c r="I13" s="15">
        <f t="shared" ref="I13:I19" si="0">SUM(F13:H13)</f>
        <v>506022</v>
      </c>
      <c r="J13" s="172">
        <f>+J838</f>
        <v>193428</v>
      </c>
      <c r="K13" s="172">
        <f>+K838</f>
        <v>151816</v>
      </c>
      <c r="L13" s="172">
        <f>+L838</f>
        <v>129194</v>
      </c>
      <c r="M13" s="15">
        <f t="shared" ref="M13:M20" si="1">SUM(J13:L13)</f>
        <v>474438</v>
      </c>
      <c r="N13" s="172">
        <f>+N838</f>
        <v>88804</v>
      </c>
      <c r="O13" s="172">
        <f>+O838</f>
        <v>57369</v>
      </c>
      <c r="P13" s="172">
        <f>+P838</f>
        <v>61730</v>
      </c>
      <c r="Q13" s="29">
        <f t="shared" ref="Q13:Q19" si="2">SUM(N13:P13)</f>
        <v>207903</v>
      </c>
      <c r="R13" s="15">
        <f t="shared" ref="R13:R20" si="3">+E13+I13+M13+Q13</f>
        <v>1430910</v>
      </c>
      <c r="S13">
        <f>1495413+25265</f>
        <v>1520678</v>
      </c>
      <c r="T13">
        <f>+R13-S13</f>
        <v>-89768</v>
      </c>
      <c r="U13">
        <f>+R13-1478209</f>
        <v>-47299</v>
      </c>
      <c r="V13" s="617"/>
      <c r="W13" s="617"/>
      <c r="X13" s="617"/>
      <c r="Z13" s="617"/>
      <c r="AA13" s="617"/>
      <c r="AB13" s="617"/>
      <c r="AD13" s="617"/>
      <c r="AE13" s="617"/>
      <c r="AF13" s="617"/>
      <c r="AH13" s="617"/>
      <c r="AI13" s="617"/>
      <c r="AJ13" s="617"/>
    </row>
    <row r="14" spans="1:36" ht="15.75" customHeight="1" x14ac:dyDescent="0.3">
      <c r="A14" s="234" t="s">
        <v>1278</v>
      </c>
      <c r="B14" s="172">
        <f>B25+B60+B126+B289+B439+B486+B530+B585+B595+B631+B678+B688+B722+B770</f>
        <v>739</v>
      </c>
      <c r="C14" s="172">
        <f>C25+C60+C126+C289+C439+C486+C530+C585+C595+C631+C678+C688+C722+C770</f>
        <v>1283</v>
      </c>
      <c r="D14" s="172">
        <f>D25+D60+D126+D289+D439+D486+D530+D585+D595+D631+D678+D688+D722+D770</f>
        <v>2185</v>
      </c>
      <c r="E14" s="15">
        <f t="shared" ref="E14:E19" si="4">SUM(B14:D14)</f>
        <v>4207</v>
      </c>
      <c r="F14" s="172">
        <f>F25+F60+F126+F289+F439+F486+F530+F585+F595+F631+F678+F688+F722+F770</f>
        <v>2959</v>
      </c>
      <c r="G14" s="172">
        <f>G25+G60+G126+G289+G439+G486+G530+G585+G595+G631+G678+G688+G722+G770</f>
        <v>3425</v>
      </c>
      <c r="H14" s="172">
        <f>H25+H60+H126+H289+H439+H486+H530+H585+H595+H631+H678+H688+H722+H770</f>
        <v>3464</v>
      </c>
      <c r="I14" s="15">
        <f t="shared" si="0"/>
        <v>9848</v>
      </c>
      <c r="J14" s="172">
        <f>J25+J60+J126+J289+J439+J486+J530+J585+J595+J631+J678+J688+J722+J770</f>
        <v>3382</v>
      </c>
      <c r="K14" s="172">
        <f>K25+K60+K126+K289+K439+K486+K530+K585+K595+K631+K678+K688+K722+K770</f>
        <v>2663</v>
      </c>
      <c r="L14" s="172">
        <f>L25+L60+L126+L289+L439+L486+L530+L585+L595+L631+L678+L688+L722+L770</f>
        <v>2559</v>
      </c>
      <c r="M14" s="15">
        <f t="shared" si="1"/>
        <v>8604</v>
      </c>
      <c r="N14" s="172">
        <f>N25+N60+N126+N289+N439+N486+N530+N585+N595+N631+N678+N688+N722+N770</f>
        <v>2343</v>
      </c>
      <c r="O14" s="172">
        <f>O25+O60+O126+O289+O439+O486+O530+O585+O595+O631+O678+O688+O722+O770</f>
        <v>1892</v>
      </c>
      <c r="P14" s="172">
        <f>P25+P60+P126+P289+P439+P486+P530+P585+P595+P631+P678+P688+P722+P770</f>
        <v>1423</v>
      </c>
      <c r="Q14" s="29">
        <f t="shared" si="2"/>
        <v>5658</v>
      </c>
      <c r="R14" s="15">
        <f t="shared" si="3"/>
        <v>28317</v>
      </c>
    </row>
    <row r="15" spans="1:36" ht="15.75" customHeight="1" x14ac:dyDescent="0.3">
      <c r="A15" s="234" t="s">
        <v>397</v>
      </c>
      <c r="B15" s="172">
        <f>B284</f>
        <v>0</v>
      </c>
      <c r="C15" s="172">
        <f>C284</f>
        <v>2526</v>
      </c>
      <c r="D15" s="172">
        <f>D284</f>
        <v>4089</v>
      </c>
      <c r="E15" s="15">
        <f t="shared" si="4"/>
        <v>6615</v>
      </c>
      <c r="F15" s="172">
        <f>F284</f>
        <v>1608</v>
      </c>
      <c r="G15" s="172">
        <f>G284</f>
        <v>2278</v>
      </c>
      <c r="H15" s="172">
        <f>H284</f>
        <v>3295</v>
      </c>
      <c r="I15" s="15">
        <f t="shared" si="0"/>
        <v>7181</v>
      </c>
      <c r="J15" s="172">
        <f>J284</f>
        <v>2560</v>
      </c>
      <c r="K15" s="172">
        <f>K284</f>
        <v>948</v>
      </c>
      <c r="L15" s="172">
        <f>L284</f>
        <v>2584</v>
      </c>
      <c r="M15" s="15">
        <f t="shared" si="1"/>
        <v>6092</v>
      </c>
      <c r="N15" s="172">
        <f>N284</f>
        <v>3444</v>
      </c>
      <c r="O15" s="172">
        <f>O284</f>
        <v>4424</v>
      </c>
      <c r="P15" s="172">
        <f>P284</f>
        <v>1662</v>
      </c>
      <c r="Q15" s="29">
        <f t="shared" si="2"/>
        <v>9530</v>
      </c>
      <c r="R15" s="15">
        <f t="shared" si="3"/>
        <v>29418</v>
      </c>
    </row>
    <row r="16" spans="1:36" ht="15.75" customHeight="1" x14ac:dyDescent="0.3">
      <c r="A16" s="235" t="s">
        <v>967</v>
      </c>
      <c r="B16" s="172">
        <f>+B285</f>
        <v>0</v>
      </c>
      <c r="C16" s="172">
        <f>+C285</f>
        <v>0</v>
      </c>
      <c r="D16" s="172">
        <f>+D285</f>
        <v>0</v>
      </c>
      <c r="E16" s="15">
        <f t="shared" si="4"/>
        <v>0</v>
      </c>
      <c r="F16" s="172">
        <f>+F285</f>
        <v>-4000</v>
      </c>
      <c r="G16" s="172">
        <f>+G285</f>
        <v>-6000</v>
      </c>
      <c r="H16" s="172">
        <f>+H285</f>
        <v>-4000</v>
      </c>
      <c r="I16" s="15">
        <f t="shared" si="0"/>
        <v>-14000</v>
      </c>
      <c r="J16" s="172">
        <f>+J285</f>
        <v>-2000</v>
      </c>
      <c r="K16" s="172">
        <f>+K285</f>
        <v>0</v>
      </c>
      <c r="L16" s="172">
        <f>+L285</f>
        <v>0</v>
      </c>
      <c r="M16" s="15">
        <f t="shared" si="1"/>
        <v>-2000</v>
      </c>
      <c r="N16" s="172">
        <f>+N285</f>
        <v>0</v>
      </c>
      <c r="O16" s="172">
        <f>+O285</f>
        <v>0</v>
      </c>
      <c r="P16" s="172">
        <f>+P285</f>
        <v>-11</v>
      </c>
      <c r="Q16" s="29">
        <f t="shared" si="2"/>
        <v>-11</v>
      </c>
      <c r="R16" s="15">
        <f t="shared" si="3"/>
        <v>-16011</v>
      </c>
    </row>
    <row r="17" spans="1:20" ht="15.75" customHeight="1" x14ac:dyDescent="0.3">
      <c r="A17" s="236" t="s">
        <v>1176</v>
      </c>
      <c r="B17" s="172">
        <f>B288</f>
        <v>108452</v>
      </c>
      <c r="C17" s="172">
        <f>C288</f>
        <v>32889</v>
      </c>
      <c r="D17" s="172">
        <f>D288</f>
        <v>4539</v>
      </c>
      <c r="E17" s="15">
        <f t="shared" si="4"/>
        <v>145880</v>
      </c>
      <c r="F17" s="172">
        <f>F288</f>
        <v>28044</v>
      </c>
      <c r="G17" s="172">
        <f>G288</f>
        <v>12390</v>
      </c>
      <c r="H17" s="172">
        <f>H288</f>
        <v>0</v>
      </c>
      <c r="I17" s="15">
        <f t="shared" si="0"/>
        <v>40434</v>
      </c>
      <c r="J17" s="172">
        <f>J288</f>
        <v>0</v>
      </c>
      <c r="K17" s="172">
        <f>K288</f>
        <v>0</v>
      </c>
      <c r="L17" s="172">
        <f>L288</f>
        <v>19406</v>
      </c>
      <c r="M17" s="15">
        <f t="shared" si="1"/>
        <v>19406</v>
      </c>
      <c r="N17" s="172">
        <f>N288</f>
        <v>40011</v>
      </c>
      <c r="O17" s="172">
        <f>O288</f>
        <v>74729</v>
      </c>
      <c r="P17" s="172">
        <f>P288</f>
        <v>52389</v>
      </c>
      <c r="Q17" s="29">
        <f t="shared" si="2"/>
        <v>167129</v>
      </c>
      <c r="R17" s="15">
        <f t="shared" si="3"/>
        <v>372849</v>
      </c>
    </row>
    <row r="18" spans="1:20" ht="15.75" customHeight="1" x14ac:dyDescent="0.3">
      <c r="A18" s="236" t="s">
        <v>662</v>
      </c>
      <c r="B18" s="172">
        <f>B300</f>
        <v>0</v>
      </c>
      <c r="C18" s="172">
        <f>C300</f>
        <v>0</v>
      </c>
      <c r="D18" s="172">
        <f>D300</f>
        <v>-10501</v>
      </c>
      <c r="E18" s="15">
        <f t="shared" si="4"/>
        <v>-10501</v>
      </c>
      <c r="F18" s="172">
        <f>F300</f>
        <v>0</v>
      </c>
      <c r="G18" s="172">
        <f>G300</f>
        <v>0</v>
      </c>
      <c r="H18" s="172">
        <f>H300</f>
        <v>-112673</v>
      </c>
      <c r="I18" s="15">
        <f t="shared" si="0"/>
        <v>-112673</v>
      </c>
      <c r="J18" s="172">
        <f>J300</f>
        <v>-119947</v>
      </c>
      <c r="K18" s="172">
        <f>K300</f>
        <v>-87736</v>
      </c>
      <c r="L18" s="172">
        <f>L300</f>
        <v>-22496</v>
      </c>
      <c r="M18" s="15">
        <f t="shared" si="1"/>
        <v>-230179</v>
      </c>
      <c r="N18" s="172">
        <f>N300</f>
        <v>-1165</v>
      </c>
      <c r="O18" s="172">
        <f>O300</f>
        <v>0</v>
      </c>
      <c r="P18" s="172">
        <f>P300</f>
        <v>0</v>
      </c>
      <c r="Q18" s="29">
        <f t="shared" si="2"/>
        <v>-1165</v>
      </c>
      <c r="R18" s="15">
        <f t="shared" si="3"/>
        <v>-354518</v>
      </c>
    </row>
    <row r="19" spans="1:20" ht="16.5" customHeight="1" thickBot="1" x14ac:dyDescent="0.35">
      <c r="A19" s="237" t="s">
        <v>851</v>
      </c>
      <c r="B19" s="238">
        <f>(B29)</f>
        <v>152339</v>
      </c>
      <c r="C19" s="238">
        <f>(C29)</f>
        <v>113951</v>
      </c>
      <c r="D19" s="238">
        <f>(D29)</f>
        <v>122458</v>
      </c>
      <c r="E19" s="16">
        <f t="shared" si="4"/>
        <v>388748</v>
      </c>
      <c r="F19" s="238">
        <f>(F29)</f>
        <v>167054</v>
      </c>
      <c r="G19" s="238">
        <f>(G29)</f>
        <v>178122</v>
      </c>
      <c r="H19" s="238">
        <f>(H29)</f>
        <v>91636</v>
      </c>
      <c r="I19" s="16">
        <f t="shared" si="0"/>
        <v>436812</v>
      </c>
      <c r="J19" s="238">
        <f>(J29)</f>
        <v>77423</v>
      </c>
      <c r="K19" s="238">
        <f>(K29)</f>
        <v>67691</v>
      </c>
      <c r="L19" s="238">
        <f>(L29)</f>
        <v>131247</v>
      </c>
      <c r="M19" s="16">
        <f t="shared" si="1"/>
        <v>276361</v>
      </c>
      <c r="N19" s="238">
        <f>(N29)</f>
        <v>133437</v>
      </c>
      <c r="O19" s="238">
        <f>(O29)</f>
        <v>138414</v>
      </c>
      <c r="P19" s="238">
        <f>(P29)</f>
        <v>117193</v>
      </c>
      <c r="Q19" s="30">
        <f t="shared" si="2"/>
        <v>389044</v>
      </c>
      <c r="R19" s="16">
        <f>+E19+I19+M19+Q19</f>
        <v>1490965</v>
      </c>
      <c r="S19">
        <v>1491000</v>
      </c>
      <c r="T19" t="s">
        <v>3083</v>
      </c>
    </row>
    <row r="20" spans="1:20" ht="16.5" customHeight="1" thickBot="1" x14ac:dyDescent="0.35">
      <c r="A20" s="237" t="s">
        <v>496</v>
      </c>
      <c r="B20" s="238">
        <v>155980</v>
      </c>
      <c r="C20" s="238">
        <v>116971</v>
      </c>
      <c r="D20" s="238">
        <v>122518</v>
      </c>
      <c r="E20" s="16">
        <f>SUM(B20:D20)</f>
        <v>395469</v>
      </c>
      <c r="F20" s="238">
        <v>168623</v>
      </c>
      <c r="G20" s="238">
        <v>176141</v>
      </c>
      <c r="H20" s="238">
        <v>88596</v>
      </c>
      <c r="I20" s="16">
        <f>SUM(F20:H20)</f>
        <v>433360</v>
      </c>
      <c r="J20" s="238">
        <v>74494</v>
      </c>
      <c r="K20" s="238">
        <v>64682</v>
      </c>
      <c r="L20" s="238">
        <v>133630</v>
      </c>
      <c r="M20" s="16">
        <f t="shared" si="1"/>
        <v>272806</v>
      </c>
      <c r="N20" s="238">
        <v>133167</v>
      </c>
      <c r="O20" s="238">
        <v>140485</v>
      </c>
      <c r="P20" s="238">
        <v>117864</v>
      </c>
      <c r="Q20" s="30">
        <f>SUM(N20:P20)</f>
        <v>391516</v>
      </c>
      <c r="R20" s="16">
        <f t="shared" si="3"/>
        <v>1493151</v>
      </c>
    </row>
    <row r="21" spans="1:20" ht="15.75" customHeight="1" x14ac:dyDescent="0.3">
      <c r="A21" s="172"/>
      <c r="B21" s="172"/>
      <c r="C21" s="172"/>
      <c r="D21" s="172"/>
      <c r="E21" s="172"/>
      <c r="F21" s="172"/>
      <c r="G21" s="172"/>
      <c r="H21" s="172"/>
      <c r="I21" s="172"/>
      <c r="J21" s="172"/>
      <c r="K21" s="172"/>
      <c r="L21" s="172"/>
      <c r="M21" s="172"/>
      <c r="N21" s="172"/>
      <c r="O21" s="172"/>
      <c r="P21" s="172"/>
      <c r="Q21" s="172"/>
      <c r="R21" s="17"/>
    </row>
    <row r="22" spans="1:20" ht="15.75" customHeight="1" thickBot="1" x14ac:dyDescent="0.35">
      <c r="A22" s="172"/>
      <c r="B22" s="172"/>
      <c r="C22" s="172"/>
      <c r="D22" s="172"/>
      <c r="E22" s="172"/>
      <c r="F22" s="239" t="s">
        <v>852</v>
      </c>
      <c r="G22" s="239" t="s">
        <v>852</v>
      </c>
      <c r="H22" s="172"/>
      <c r="I22" s="172"/>
      <c r="J22" s="172"/>
      <c r="K22" s="172"/>
      <c r="L22" s="172"/>
      <c r="M22" s="172"/>
      <c r="N22" s="239" t="s">
        <v>852</v>
      </c>
      <c r="O22" s="239" t="s">
        <v>852</v>
      </c>
      <c r="P22" s="239" t="s">
        <v>852</v>
      </c>
      <c r="Q22" s="239"/>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41"/>
      <c r="B24" s="242"/>
      <c r="C24" s="242"/>
      <c r="D24" s="242"/>
      <c r="E24" s="243"/>
      <c r="F24" s="242"/>
      <c r="G24" s="242"/>
      <c r="H24" s="242"/>
      <c r="I24" s="243"/>
      <c r="J24" s="242"/>
      <c r="K24" s="242"/>
      <c r="L24" s="242"/>
      <c r="M24" s="243"/>
      <c r="N24" s="242"/>
      <c r="O24" s="242"/>
      <c r="P24" s="242"/>
      <c r="Q24" s="243"/>
      <c r="R24" s="19"/>
    </row>
    <row r="25" spans="1:20" ht="16.5" customHeight="1" thickBot="1" x14ac:dyDescent="0.35">
      <c r="A25" s="244" t="s">
        <v>853</v>
      </c>
      <c r="B25" s="238">
        <v>97</v>
      </c>
      <c r="C25" s="238">
        <v>148</v>
      </c>
      <c r="D25" s="238">
        <v>274</v>
      </c>
      <c r="E25" s="14">
        <f>SUM(B25:D25)</f>
        <v>519</v>
      </c>
      <c r="F25" s="238">
        <v>367</v>
      </c>
      <c r="G25" s="238">
        <v>425</v>
      </c>
      <c r="H25" s="238">
        <v>417</v>
      </c>
      <c r="I25" s="14">
        <f>SUM(F25:H25)</f>
        <v>1209</v>
      </c>
      <c r="J25" s="238">
        <v>416</v>
      </c>
      <c r="K25" s="238">
        <v>334</v>
      </c>
      <c r="L25" s="238">
        <v>316</v>
      </c>
      <c r="M25" s="14">
        <f>SUM(J25:L25)</f>
        <v>1066</v>
      </c>
      <c r="N25" s="238">
        <v>285</v>
      </c>
      <c r="O25" s="238">
        <v>235</v>
      </c>
      <c r="P25" s="238">
        <v>186</v>
      </c>
      <c r="Q25" s="14">
        <f>SUM(N25:P25)</f>
        <v>706</v>
      </c>
      <c r="R25" s="16">
        <f>+E25+I25+M25+Q25</f>
        <v>3500</v>
      </c>
    </row>
    <row r="26" spans="1:20" ht="16.5" customHeight="1" thickBot="1" x14ac:dyDescent="0.35">
      <c r="A26" s="22"/>
      <c r="B26" s="242"/>
      <c r="C26" s="242"/>
      <c r="D26" s="242"/>
      <c r="E26" s="21"/>
      <c r="F26" s="242"/>
      <c r="G26" s="242"/>
      <c r="H26" s="242"/>
      <c r="I26" s="21"/>
      <c r="J26" s="242"/>
      <c r="K26" s="242"/>
      <c r="L26" s="242"/>
      <c r="M26" s="21"/>
      <c r="N26" s="242"/>
      <c r="O26" s="242"/>
      <c r="P26" s="242"/>
      <c r="Q26" s="21"/>
      <c r="R26" s="13"/>
    </row>
    <row r="27" spans="1:20" ht="15.75" customHeight="1" x14ac:dyDescent="0.3">
      <c r="A27" s="234" t="s">
        <v>2011</v>
      </c>
      <c r="B27" s="172">
        <f>B25</f>
        <v>97</v>
      </c>
      <c r="C27" s="172">
        <f>C25</f>
        <v>148</v>
      </c>
      <c r="D27" s="172">
        <f>D25</f>
        <v>274</v>
      </c>
      <c r="E27" s="14">
        <f>SUM(B27:D27)</f>
        <v>519</v>
      </c>
      <c r="F27" s="172">
        <f>F25</f>
        <v>367</v>
      </c>
      <c r="G27" s="172">
        <f>G25</f>
        <v>425</v>
      </c>
      <c r="H27" s="172">
        <f>H25</f>
        <v>417</v>
      </c>
      <c r="I27" s="14">
        <f>SUM(F27:H27)</f>
        <v>1209</v>
      </c>
      <c r="J27" s="172">
        <f>J25</f>
        <v>416</v>
      </c>
      <c r="K27" s="172">
        <f>K25</f>
        <v>334</v>
      </c>
      <c r="L27" s="172">
        <f>L25</f>
        <v>316</v>
      </c>
      <c r="M27" s="14">
        <f>SUM(J27:L27)</f>
        <v>1066</v>
      </c>
      <c r="N27" s="172">
        <f>N25</f>
        <v>285</v>
      </c>
      <c r="O27" s="172">
        <f>O25</f>
        <v>235</v>
      </c>
      <c r="P27" s="172">
        <f>P25</f>
        <v>186</v>
      </c>
      <c r="Q27" s="28">
        <f>SUM(N27:P27)</f>
        <v>706</v>
      </c>
      <c r="R27" s="14">
        <f>+E27+I27+M27+Q27</f>
        <v>3500</v>
      </c>
    </row>
    <row r="28" spans="1:20" ht="15.75" customHeight="1" x14ac:dyDescent="0.3">
      <c r="A28" s="234" t="s">
        <v>1897</v>
      </c>
      <c r="B28" s="172">
        <f>(B27/B10)/1.983</f>
        <v>1.5779285214647079</v>
      </c>
      <c r="C28" s="172">
        <f>(C27/C10)/1.983</f>
        <v>2.5735997356843514</v>
      </c>
      <c r="D28" s="172">
        <f>(D27/D10)/1.983</f>
        <v>4.457241390529175</v>
      </c>
      <c r="E28" s="15"/>
      <c r="F28" s="172">
        <f>(F27/F10)/1.983</f>
        <v>6.1691040511010247</v>
      </c>
      <c r="G28" s="172">
        <f>(G27/G10)/1.983</f>
        <v>6.9136043466237203</v>
      </c>
      <c r="H28" s="172">
        <f>(H27/H10)/1.983</f>
        <v>7.0095814422592033</v>
      </c>
      <c r="I28" s="15"/>
      <c r="J28" s="172">
        <f>(J27/J10)/1.983</f>
        <v>6.7671986075187478</v>
      </c>
      <c r="K28" s="172">
        <f>(K27/K10)/1.983</f>
        <v>5.433279651228994</v>
      </c>
      <c r="L28" s="172">
        <f>(L27/L10)/1.983</f>
        <v>5.3118171121196838</v>
      </c>
      <c r="M28" s="15"/>
      <c r="N28" s="172">
        <f>(N27/N10)/1.983</f>
        <v>4.6361817383241419</v>
      </c>
      <c r="O28" s="172">
        <f>(O27/O10)/1.983</f>
        <v>3.9502437384434357</v>
      </c>
      <c r="P28" s="172">
        <f>(P27/P10)/1.983</f>
        <v>3.02571860816944</v>
      </c>
      <c r="Q28" s="29"/>
      <c r="R28" s="15"/>
    </row>
    <row r="29" spans="1:20" ht="15.75" customHeight="1" x14ac:dyDescent="0.3">
      <c r="A29" s="234" t="s">
        <v>1119</v>
      </c>
      <c r="B29" s="172">
        <f>B27+B64</f>
        <v>152339</v>
      </c>
      <c r="C29" s="172">
        <f>C27+C64</f>
        <v>113951</v>
      </c>
      <c r="D29" s="172">
        <f>D27+D64</f>
        <v>122458</v>
      </c>
      <c r="E29" s="15">
        <f>SUM(B29:D29)</f>
        <v>388748</v>
      </c>
      <c r="F29" s="172">
        <f>F27+F64</f>
        <v>167054</v>
      </c>
      <c r="G29" s="172">
        <f>G27+G64</f>
        <v>178122</v>
      </c>
      <c r="H29" s="172">
        <f>H27+H64</f>
        <v>91636</v>
      </c>
      <c r="I29" s="15">
        <f>SUM(F29:H29)</f>
        <v>436812</v>
      </c>
      <c r="J29" s="172">
        <f>J27+J64</f>
        <v>77423</v>
      </c>
      <c r="K29" s="172">
        <f>K27+K64</f>
        <v>67691</v>
      </c>
      <c r="L29" s="172">
        <f>L27+L64</f>
        <v>131247</v>
      </c>
      <c r="M29" s="15">
        <f>SUM(J29:L29)</f>
        <v>276361</v>
      </c>
      <c r="N29" s="172">
        <f>N27+N64</f>
        <v>133437</v>
      </c>
      <c r="O29" s="172">
        <f>O27+O64</f>
        <v>138414</v>
      </c>
      <c r="P29" s="172">
        <f>P27+P64</f>
        <v>117193</v>
      </c>
      <c r="Q29" s="29">
        <f>SUM(N29:P29)</f>
        <v>389044</v>
      </c>
      <c r="R29" s="15">
        <f>+E29+I29+M29+Q29</f>
        <v>1490965</v>
      </c>
    </row>
    <row r="30" spans="1:20" s="574" customFormat="1" ht="16.5" customHeight="1" thickBot="1" x14ac:dyDescent="0.35">
      <c r="A30" s="570" t="s">
        <v>1968</v>
      </c>
      <c r="B30" s="571">
        <f>(B29/B10)/1.983</f>
        <v>2478.1448766124963</v>
      </c>
      <c r="C30" s="571">
        <f>(C29/C10)/1.983</f>
        <v>1981.515293790321</v>
      </c>
      <c r="D30" s="571">
        <f>(D29/D10)/1.983</f>
        <v>1992.0615554796416</v>
      </c>
      <c r="E30" s="572"/>
      <c r="F30" s="571">
        <f>(F29/F10)/1.983</f>
        <v>2808.1022020507644</v>
      </c>
      <c r="G30" s="571">
        <f>(G29/G10)/1.983</f>
        <v>2897.5647845395538</v>
      </c>
      <c r="H30" s="571">
        <f>(H29/H10)/1.983</f>
        <v>1540.3597243234155</v>
      </c>
      <c r="I30" s="572"/>
      <c r="J30" s="571">
        <f>(J29/J10)/1.983</f>
        <v>1259.4635043027019</v>
      </c>
      <c r="K30" s="571">
        <f>(K29/K10)/1.983</f>
        <v>1101.1500984171912</v>
      </c>
      <c r="L30" s="571">
        <f>(L29/L10)/1.983</f>
        <v>2206.2027231467468</v>
      </c>
      <c r="M30" s="572"/>
      <c r="N30" s="571">
        <f>(N29/N10)/1.983</f>
        <v>2170.660289883363</v>
      </c>
      <c r="O30" s="571">
        <f>(O29/O10)/1.983</f>
        <v>2326.6767523953604</v>
      </c>
      <c r="P30" s="571">
        <f>(P29/P10)/1.983</f>
        <v>1906.4141981032324</v>
      </c>
      <c r="Q30" s="573"/>
      <c r="R30" s="572"/>
      <c r="T30" s="575" t="s">
        <v>2172</v>
      </c>
    </row>
    <row r="31" spans="1:20" ht="15.75" customHeight="1" x14ac:dyDescent="0.3">
      <c r="A31" s="17"/>
      <c r="B31" s="172"/>
      <c r="C31" s="172"/>
      <c r="D31" s="172"/>
      <c r="E31" s="172"/>
      <c r="F31" s="172"/>
      <c r="G31" s="172"/>
      <c r="H31" s="172"/>
      <c r="I31" s="172"/>
      <c r="J31" s="172"/>
      <c r="K31" s="172"/>
      <c r="L31" s="172"/>
      <c r="M31" s="172"/>
      <c r="N31" s="172"/>
      <c r="O31" s="172"/>
      <c r="P31" s="172"/>
      <c r="Q31" s="172"/>
      <c r="R31" s="17"/>
      <c r="T31" s="350" t="s">
        <v>2173</v>
      </c>
    </row>
    <row r="32" spans="1:20" ht="15.75" hidden="1" customHeight="1" thickBot="1" x14ac:dyDescent="0.35">
      <c r="A32" s="17"/>
      <c r="B32" s="172"/>
      <c r="C32" s="172"/>
      <c r="D32" s="172"/>
      <c r="E32" s="172"/>
      <c r="F32" s="172"/>
      <c r="G32" s="172"/>
      <c r="H32" s="172"/>
      <c r="I32" s="172"/>
      <c r="J32" s="172"/>
      <c r="K32" s="172"/>
      <c r="L32" s="172"/>
      <c r="M32" s="172"/>
      <c r="N32" s="172"/>
      <c r="O32" s="172"/>
      <c r="P32" s="172"/>
      <c r="Q32" s="172"/>
      <c r="R32" s="17"/>
    </row>
    <row r="33" spans="1:18" ht="15.75" hidden="1"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hidden="1" customHeight="1" thickBot="1" x14ac:dyDescent="0.35">
      <c r="A34" s="21"/>
      <c r="B34" s="246"/>
      <c r="C34" s="232"/>
      <c r="D34" s="232"/>
      <c r="E34" s="233"/>
      <c r="F34" s="232"/>
      <c r="G34" s="232"/>
      <c r="H34" s="232"/>
      <c r="I34" s="233"/>
      <c r="J34" s="232"/>
      <c r="K34" s="232"/>
      <c r="L34" s="232"/>
      <c r="M34" s="233"/>
      <c r="N34" s="232"/>
      <c r="O34" s="232"/>
      <c r="P34" s="232"/>
      <c r="Q34" s="233"/>
      <c r="R34" s="75"/>
    </row>
    <row r="35" spans="1:18" ht="15.75" hidden="1"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hidden="1"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hidden="1"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hidden="1" customHeight="1" x14ac:dyDescent="0.3">
      <c r="A38" s="422" t="s">
        <v>2971</v>
      </c>
      <c r="B38" s="172"/>
      <c r="C38" s="172"/>
      <c r="D38" s="172"/>
      <c r="E38" s="38">
        <f>SUM(B38:D38)</f>
        <v>0</v>
      </c>
      <c r="F38" s="172"/>
      <c r="G38" s="172"/>
      <c r="H38" s="172"/>
      <c r="I38" s="38">
        <f>SUM(F38:H38)</f>
        <v>0</v>
      </c>
      <c r="J38" s="172"/>
      <c r="K38" s="172"/>
      <c r="L38" s="172"/>
      <c r="M38" s="38">
        <f>SUM(J38:L38)</f>
        <v>0</v>
      </c>
      <c r="N38" s="172"/>
      <c r="O38" s="172"/>
      <c r="P38" s="172"/>
      <c r="Q38" s="38">
        <f>SUM(N38:P38)</f>
        <v>0</v>
      </c>
      <c r="R38" s="38">
        <f>+E38+I38+M38+Q38</f>
        <v>0</v>
      </c>
    </row>
    <row r="39" spans="1:18" ht="15.75" hidden="1" customHeight="1" x14ac:dyDescent="0.3">
      <c r="A39" s="235" t="s">
        <v>2162</v>
      </c>
      <c r="B39" s="18"/>
      <c r="C39" s="18"/>
      <c r="D39" s="18"/>
      <c r="E39" s="38" t="s">
        <v>1598</v>
      </c>
      <c r="F39" s="18"/>
      <c r="G39" s="18"/>
      <c r="H39" s="18"/>
      <c r="I39" s="38" t="s">
        <v>1598</v>
      </c>
      <c r="J39" s="18"/>
      <c r="K39" s="18"/>
      <c r="L39" s="18"/>
      <c r="M39" s="38" t="s">
        <v>1598</v>
      </c>
      <c r="N39" s="18"/>
      <c r="O39" s="18"/>
      <c r="P39" s="18"/>
      <c r="Q39" s="38" t="s">
        <v>1598</v>
      </c>
      <c r="R39" s="38" t="s">
        <v>1598</v>
      </c>
    </row>
    <row r="40" spans="1:18" ht="15.75" hidden="1"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hidden="1"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hidden="1"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hidden="1"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hidden="1"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hidden="1"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hidden="1"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hidden="1"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hidden="1"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hidden="1"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hidden="1"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hidden="1"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hidden="1"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hidden="1"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hidden="1" customHeight="1" x14ac:dyDescent="0.3">
      <c r="A54" s="422" t="s">
        <v>2557</v>
      </c>
      <c r="B54" s="172"/>
      <c r="C54" s="172"/>
      <c r="D54" s="172"/>
      <c r="E54" s="38">
        <f>SUM(B54:D54)</f>
        <v>0</v>
      </c>
      <c r="F54" s="172"/>
      <c r="G54" s="172"/>
      <c r="H54" s="172"/>
      <c r="I54" s="38">
        <f>SUM(F54:H54)</f>
        <v>0</v>
      </c>
      <c r="J54" s="172"/>
      <c r="K54" s="172"/>
      <c r="L54" s="172"/>
      <c r="M54" s="38">
        <f>SUM(J54:L54)</f>
        <v>0</v>
      </c>
      <c r="N54" s="172"/>
      <c r="O54" s="172"/>
      <c r="P54" s="172"/>
      <c r="Q54" s="38">
        <f>SUM(N54:P54)</f>
        <v>0</v>
      </c>
      <c r="R54" s="38">
        <f>+E54+I54+M54+Q54</f>
        <v>0</v>
      </c>
    </row>
    <row r="55" spans="1:18" ht="15.75" hidden="1"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hidden="1"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hidden="1"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hidden="1"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hidden="1"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hidden="1" customHeight="1" thickBot="1" x14ac:dyDescent="0.35">
      <c r="A60" s="250" t="s">
        <v>853</v>
      </c>
      <c r="B60" s="251">
        <v>96</v>
      </c>
      <c r="C60" s="251">
        <v>145</v>
      </c>
      <c r="D60" s="251">
        <v>261</v>
      </c>
      <c r="E60" s="21">
        <f>SUM(B60:D60)</f>
        <v>502</v>
      </c>
      <c r="F60" s="251">
        <v>350</v>
      </c>
      <c r="G60" s="251">
        <v>402</v>
      </c>
      <c r="H60" s="251">
        <v>396</v>
      </c>
      <c r="I60" s="21">
        <f>SUM(F60:H60)</f>
        <v>1148</v>
      </c>
      <c r="J60" s="251">
        <v>394</v>
      </c>
      <c r="K60" s="251">
        <v>318</v>
      </c>
      <c r="L60" s="251">
        <v>301</v>
      </c>
      <c r="M60" s="21">
        <f>SUM(J60:L60)</f>
        <v>1013</v>
      </c>
      <c r="N60" s="251">
        <v>272</v>
      </c>
      <c r="O60" s="251">
        <v>226</v>
      </c>
      <c r="P60" s="251">
        <v>179</v>
      </c>
      <c r="Q60" s="21">
        <f>SUM(N60:P60)</f>
        <v>677</v>
      </c>
      <c r="R60" s="21">
        <f>+E60+I60+M60+Q60</f>
        <v>3340</v>
      </c>
    </row>
    <row r="61" spans="1:18" ht="16.5" hidden="1" customHeight="1" thickBot="1" x14ac:dyDescent="0.35">
      <c r="A61" s="22"/>
      <c r="B61" s="242"/>
      <c r="C61" s="242"/>
      <c r="D61" s="242"/>
      <c r="E61" s="16"/>
      <c r="F61" s="242"/>
      <c r="G61" s="242"/>
      <c r="H61" s="242"/>
      <c r="I61" s="16"/>
      <c r="J61" s="242"/>
      <c r="K61" s="242"/>
      <c r="L61" s="242"/>
      <c r="M61" s="16"/>
      <c r="N61" s="242"/>
      <c r="O61" s="242"/>
      <c r="P61" s="242"/>
      <c r="Q61" s="16"/>
      <c r="R61" s="22"/>
    </row>
    <row r="62" spans="1:18" ht="15.75" hidden="1" customHeight="1" x14ac:dyDescent="0.3">
      <c r="A62" s="234" t="s">
        <v>2011</v>
      </c>
      <c r="B62" s="172">
        <f>+B59+B60</f>
        <v>96</v>
      </c>
      <c r="C62" s="172">
        <f>+C59+C60</f>
        <v>145</v>
      </c>
      <c r="D62" s="172">
        <f>+D59+D60</f>
        <v>261</v>
      </c>
      <c r="E62" s="14">
        <f>SUM(B62:D62)</f>
        <v>502</v>
      </c>
      <c r="F62" s="172">
        <f>+F59+F60</f>
        <v>350</v>
      </c>
      <c r="G62" s="172">
        <f>+G59+G60</f>
        <v>402</v>
      </c>
      <c r="H62" s="172">
        <f>+H59+H60</f>
        <v>396</v>
      </c>
      <c r="I62" s="14">
        <f>SUM(F62:H62)</f>
        <v>1148</v>
      </c>
      <c r="J62" s="172">
        <f>+J59+J60</f>
        <v>394</v>
      </c>
      <c r="K62" s="172">
        <f>+K59+K60</f>
        <v>318</v>
      </c>
      <c r="L62" s="172">
        <f>+L59+L60</f>
        <v>301</v>
      </c>
      <c r="M62" s="14">
        <f>SUM(J62:L62)</f>
        <v>1013</v>
      </c>
      <c r="N62" s="172">
        <f>+N59+N60</f>
        <v>272</v>
      </c>
      <c r="O62" s="172">
        <f>+O59+O60</f>
        <v>226</v>
      </c>
      <c r="P62" s="172">
        <f>+P59+P60</f>
        <v>179</v>
      </c>
      <c r="Q62" s="28">
        <f>SUM(N62:P62)</f>
        <v>677</v>
      </c>
      <c r="R62" s="15">
        <f>+E62+I62+M62+Q62</f>
        <v>3340</v>
      </c>
    </row>
    <row r="63" spans="1:18" ht="15.75" hidden="1" customHeight="1" x14ac:dyDescent="0.3">
      <c r="A63" s="234" t="s">
        <v>1897</v>
      </c>
      <c r="B63" s="172">
        <f>(B62/B10)/1.983</f>
        <v>1.5616612171197111</v>
      </c>
      <c r="C63" s="172">
        <f>(C62/C10)/1.983</f>
        <v>2.5214321734745333</v>
      </c>
      <c r="D63" s="172">
        <f>(D62/D10)/1.983</f>
        <v>4.2457664340442145</v>
      </c>
      <c r="E63" s="15"/>
      <c r="F63" s="172">
        <f>(F62/F10)/1.983</f>
        <v>5.8833417381072444</v>
      </c>
      <c r="G63" s="172">
        <f>(G62/G10)/1.983</f>
        <v>6.5394563466887892</v>
      </c>
      <c r="H63" s="172">
        <f>(H62/H10)/1.983</f>
        <v>6.6565809379727678</v>
      </c>
      <c r="I63" s="15"/>
      <c r="J63" s="172">
        <f>(J62/J10)/1.983</f>
        <v>6.4093179119288139</v>
      </c>
      <c r="K63" s="172">
        <f>(K62/K10)/1.983</f>
        <v>5.1730027817090427</v>
      </c>
      <c r="L63" s="172">
        <f>(L62/L10)/1.983</f>
        <v>5.0596738947722306</v>
      </c>
      <c r="M63" s="15"/>
      <c r="N63" s="172">
        <f>(N62/N10)/1.983</f>
        <v>4.4247067818391805</v>
      </c>
      <c r="O63" s="172">
        <f>(O62/O10)/1.983</f>
        <v>3.7989578080349635</v>
      </c>
      <c r="P63" s="172">
        <f>(P62/P10)/1.983</f>
        <v>2.9118474777544612</v>
      </c>
      <c r="Q63" s="29"/>
      <c r="R63" s="20"/>
    </row>
    <row r="64" spans="1:18" ht="15.75" hidden="1" customHeight="1" x14ac:dyDescent="0.3">
      <c r="A64" s="234" t="s">
        <v>1969</v>
      </c>
      <c r="B64" s="172">
        <f>B62+B130</f>
        <v>152242</v>
      </c>
      <c r="C64" s="172">
        <f>C62+C130</f>
        <v>113803</v>
      </c>
      <c r="D64" s="172">
        <f>D62+D130</f>
        <v>122184</v>
      </c>
      <c r="E64" s="15">
        <f>SUM(B64:D64)</f>
        <v>388229</v>
      </c>
      <c r="F64" s="172">
        <f>F62+F130</f>
        <v>166687</v>
      </c>
      <c r="G64" s="172">
        <f>G62+G130</f>
        <v>177697</v>
      </c>
      <c r="H64" s="172">
        <f>H62+H130</f>
        <v>91219</v>
      </c>
      <c r="I64" s="15">
        <f>SUM(F64:H64)</f>
        <v>435603</v>
      </c>
      <c r="J64" s="172">
        <f>J62+J130</f>
        <v>77007</v>
      </c>
      <c r="K64" s="172">
        <f>K62+K130</f>
        <v>67357</v>
      </c>
      <c r="L64" s="172">
        <f>L62+L130</f>
        <v>130931</v>
      </c>
      <c r="M64" s="15">
        <f>SUM(J64:L64)</f>
        <v>275295</v>
      </c>
      <c r="N64" s="172">
        <f>N62+N130</f>
        <v>133152</v>
      </c>
      <c r="O64" s="172">
        <f>O62+O130</f>
        <v>138179</v>
      </c>
      <c r="P64" s="172">
        <f>P62+P130</f>
        <v>117007</v>
      </c>
      <c r="Q64" s="29">
        <f>SUM(N64:P64)</f>
        <v>388338</v>
      </c>
      <c r="R64" s="15">
        <f>+E64+I64+M64+Q64</f>
        <v>1487465</v>
      </c>
    </row>
    <row r="65" spans="1:20" ht="16.5" hidden="1" customHeight="1" thickBot="1" x14ac:dyDescent="0.35">
      <c r="A65" s="237" t="s">
        <v>1970</v>
      </c>
      <c r="B65" s="238">
        <f>(B64/B10)/1.983</f>
        <v>2476.5669480910319</v>
      </c>
      <c r="C65" s="238">
        <f>(C64/C10)/1.983</f>
        <v>1978.9416940546366</v>
      </c>
      <c r="D65" s="238">
        <f>(D64/D10)/1.983</f>
        <v>1987.6043140891122</v>
      </c>
      <c r="E65" s="16"/>
      <c r="F65" s="238">
        <f>(F64/F10)/1.983</f>
        <v>2801.9330979996639</v>
      </c>
      <c r="G65" s="238">
        <f>(G64/G10)/1.983</f>
        <v>2890.65118019293</v>
      </c>
      <c r="H65" s="238">
        <f>(H64/H10)/1.983</f>
        <v>1533.3501428811564</v>
      </c>
      <c r="I65" s="16"/>
      <c r="J65" s="238">
        <f>(J64/J10)/1.983</f>
        <v>1252.6963056951831</v>
      </c>
      <c r="K65" s="238">
        <f>(K64/K10)/1.983</f>
        <v>1095.7168187659622</v>
      </c>
      <c r="L65" s="238">
        <f>(L64/L10)/1.983</f>
        <v>2200.8909060346277</v>
      </c>
      <c r="M65" s="16"/>
      <c r="N65" s="238">
        <f>(N64/N10)/1.983</f>
        <v>2166.024108145039</v>
      </c>
      <c r="O65" s="238">
        <f>(O64/O10)/1.983</f>
        <v>2322.7265086569168</v>
      </c>
      <c r="P65" s="238">
        <f>(P64/P10)/1.983</f>
        <v>1903.3884794950627</v>
      </c>
      <c r="Q65" s="30"/>
      <c r="R65" s="23" t="s">
        <v>852</v>
      </c>
    </row>
    <row r="66" spans="1:20" ht="15.75" hidden="1" customHeight="1" x14ac:dyDescent="0.3">
      <c r="A66" s="17"/>
      <c r="B66" s="172"/>
      <c r="C66" s="172"/>
      <c r="D66" s="172"/>
      <c r="E66" s="172"/>
      <c r="F66" s="172"/>
      <c r="G66" s="172"/>
      <c r="H66" s="172"/>
      <c r="I66" s="172"/>
      <c r="J66" s="172"/>
      <c r="K66" s="172"/>
      <c r="L66" s="172"/>
      <c r="M66" s="172"/>
      <c r="N66" s="172"/>
      <c r="O66" s="172"/>
      <c r="P66" s="172"/>
      <c r="Q66" s="172"/>
      <c r="R66" s="17"/>
    </row>
    <row r="67" spans="1:20" ht="15.75" hidden="1" customHeight="1" thickBot="1" x14ac:dyDescent="0.35">
      <c r="A67" s="17"/>
      <c r="B67" s="172"/>
      <c r="C67" s="172"/>
      <c r="D67" s="172"/>
      <c r="E67" s="172"/>
      <c r="F67" s="172"/>
      <c r="G67" s="172"/>
      <c r="H67" s="172"/>
      <c r="I67" s="172"/>
      <c r="J67" s="172"/>
      <c r="K67" s="172"/>
      <c r="L67" s="172"/>
      <c r="M67" s="172"/>
      <c r="N67" s="172"/>
      <c r="O67" s="172"/>
      <c r="P67" s="172"/>
      <c r="Q67" s="172"/>
      <c r="R67" s="17"/>
    </row>
    <row r="68" spans="1:20" ht="16.5" hidden="1"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hidden="1" customHeight="1" thickBot="1" x14ac:dyDescent="0.35">
      <c r="A69" s="252"/>
      <c r="B69" s="231"/>
      <c r="C69" s="253"/>
      <c r="D69" s="253"/>
      <c r="E69" s="254"/>
      <c r="F69" s="253"/>
      <c r="G69" s="253"/>
      <c r="H69" s="253"/>
      <c r="I69" s="254"/>
      <c r="J69" s="253"/>
      <c r="K69" s="253"/>
      <c r="L69" s="253"/>
      <c r="M69" s="254"/>
      <c r="N69" s="253"/>
      <c r="O69" s="253"/>
      <c r="P69" s="255"/>
      <c r="Q69" s="254"/>
      <c r="R69" s="37"/>
    </row>
    <row r="70" spans="1:20" ht="15.75" hidden="1"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hidden="1"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hidden="1" customHeight="1" x14ac:dyDescent="0.3">
      <c r="A72" s="539" t="s">
        <v>2731</v>
      </c>
      <c r="B72" s="172"/>
      <c r="C72" s="172"/>
      <c r="D72" s="172"/>
      <c r="E72" s="38">
        <f t="shared" ref="E72:E81" si="5">SUM(B72:D72)</f>
        <v>0</v>
      </c>
      <c r="F72" s="172"/>
      <c r="G72" s="172"/>
      <c r="H72" s="172"/>
      <c r="I72" s="38">
        <f t="shared" ref="I72:I81" si="6">SUM(F72:H72)</f>
        <v>0</v>
      </c>
      <c r="J72" s="172"/>
      <c r="K72" s="172"/>
      <c r="L72" s="172"/>
      <c r="M72" s="38">
        <f t="shared" ref="M72:M81" si="7">SUM(J72:L72)</f>
        <v>0</v>
      </c>
      <c r="N72" s="172"/>
      <c r="O72" s="172"/>
      <c r="P72" s="172"/>
      <c r="Q72" s="38">
        <f t="shared" ref="Q72:Q81" si="8">SUM(N72:P72)</f>
        <v>0</v>
      </c>
      <c r="R72" s="38">
        <f t="shared" ref="R72:R81" si="9">+E72+I72+M72+Q72</f>
        <v>0</v>
      </c>
    </row>
    <row r="73" spans="1:20" ht="15.75" hidden="1" customHeight="1" x14ac:dyDescent="0.3">
      <c r="A73" s="539" t="s">
        <v>2732</v>
      </c>
      <c r="B73" s="172"/>
      <c r="C73" s="172"/>
      <c r="D73" s="172"/>
      <c r="E73" s="38">
        <f>SUM(B73:D73)</f>
        <v>0</v>
      </c>
      <c r="F73" s="172"/>
      <c r="G73" s="172"/>
      <c r="H73" s="172"/>
      <c r="I73" s="38">
        <f>SUM(F73:H73)</f>
        <v>0</v>
      </c>
      <c r="J73" s="172"/>
      <c r="K73" s="172"/>
      <c r="L73" s="172"/>
      <c r="M73" s="38">
        <f>SUM(J73:L73)</f>
        <v>0</v>
      </c>
      <c r="N73" s="172"/>
      <c r="O73" s="172"/>
      <c r="P73" s="172"/>
      <c r="Q73" s="38">
        <f>SUM(N73:P73)</f>
        <v>0</v>
      </c>
      <c r="R73" s="38">
        <f>+E73+I73+M73+Q73</f>
        <v>0</v>
      </c>
    </row>
    <row r="74" spans="1:20" ht="15.75" hidden="1" customHeight="1" x14ac:dyDescent="0.3">
      <c r="A74" s="539" t="s">
        <v>2060</v>
      </c>
      <c r="B74" s="172"/>
      <c r="C74" s="172"/>
      <c r="D74" s="172"/>
      <c r="E74" s="38">
        <f t="shared" si="5"/>
        <v>0</v>
      </c>
      <c r="F74" s="172"/>
      <c r="G74" s="172"/>
      <c r="H74" s="172"/>
      <c r="I74" s="38">
        <f t="shared" si="6"/>
        <v>0</v>
      </c>
      <c r="J74" s="172"/>
      <c r="K74" s="172"/>
      <c r="L74" s="172"/>
      <c r="M74" s="38">
        <f t="shared" si="7"/>
        <v>0</v>
      </c>
      <c r="N74" s="172"/>
      <c r="O74" s="172"/>
      <c r="P74" s="172"/>
      <c r="Q74" s="38">
        <f t="shared" si="8"/>
        <v>0</v>
      </c>
      <c r="R74" s="38">
        <f t="shared" si="9"/>
        <v>0</v>
      </c>
    </row>
    <row r="75" spans="1:20" ht="15.75" hidden="1" customHeight="1" x14ac:dyDescent="0.3">
      <c r="A75" s="539" t="s">
        <v>2773</v>
      </c>
      <c r="B75" s="172"/>
      <c r="C75" s="172"/>
      <c r="D75" s="172"/>
      <c r="E75" s="38">
        <f t="shared" si="5"/>
        <v>0</v>
      </c>
      <c r="F75" s="172"/>
      <c r="G75" s="172"/>
      <c r="H75" s="172"/>
      <c r="I75" s="38">
        <f t="shared" si="6"/>
        <v>0</v>
      </c>
      <c r="J75" s="172"/>
      <c r="K75" s="172"/>
      <c r="L75" s="172"/>
      <c r="M75" s="38">
        <f t="shared" si="7"/>
        <v>0</v>
      </c>
      <c r="N75" s="172"/>
      <c r="O75" s="172"/>
      <c r="P75" s="172"/>
      <c r="Q75" s="38">
        <f t="shared" si="8"/>
        <v>0</v>
      </c>
      <c r="R75" s="38">
        <f t="shared" si="9"/>
        <v>0</v>
      </c>
      <c r="T75" t="s">
        <v>2774</v>
      </c>
    </row>
    <row r="76" spans="1:20" ht="15.75" hidden="1" customHeight="1" x14ac:dyDescent="0.3">
      <c r="A76" s="539" t="s">
        <v>2794</v>
      </c>
      <c r="B76" s="172"/>
      <c r="C76" s="172"/>
      <c r="D76" s="172"/>
      <c r="E76" s="38">
        <f t="shared" si="5"/>
        <v>0</v>
      </c>
      <c r="F76" s="172"/>
      <c r="G76" s="172"/>
      <c r="H76" s="172"/>
      <c r="I76" s="38">
        <f t="shared" si="6"/>
        <v>0</v>
      </c>
      <c r="J76" s="172"/>
      <c r="K76" s="172"/>
      <c r="L76" s="172"/>
      <c r="M76" s="38">
        <f t="shared" si="7"/>
        <v>0</v>
      </c>
      <c r="N76" s="172"/>
      <c r="O76" s="172"/>
      <c r="P76" s="172"/>
      <c r="Q76" s="38">
        <f t="shared" si="8"/>
        <v>0</v>
      </c>
      <c r="R76" s="38">
        <f t="shared" si="9"/>
        <v>0</v>
      </c>
      <c r="T76" t="s">
        <v>2774</v>
      </c>
    </row>
    <row r="77" spans="1:20" ht="15.75" hidden="1" customHeight="1" x14ac:dyDescent="0.3">
      <c r="A77" s="539" t="s">
        <v>2262</v>
      </c>
      <c r="B77" s="172"/>
      <c r="C77" s="172"/>
      <c r="D77" s="172"/>
      <c r="E77" s="38">
        <f t="shared" si="5"/>
        <v>0</v>
      </c>
      <c r="F77" s="172"/>
      <c r="G77" s="172"/>
      <c r="H77" s="172"/>
      <c r="I77" s="38">
        <f t="shared" si="6"/>
        <v>0</v>
      </c>
      <c r="J77" s="172"/>
      <c r="K77" s="172"/>
      <c r="L77" s="172"/>
      <c r="M77" s="38">
        <f t="shared" si="7"/>
        <v>0</v>
      </c>
      <c r="N77" s="172"/>
      <c r="O77" s="172"/>
      <c r="P77" s="172"/>
      <c r="Q77" s="38">
        <f t="shared" si="8"/>
        <v>0</v>
      </c>
      <c r="R77" s="38">
        <f t="shared" si="9"/>
        <v>0</v>
      </c>
    </row>
    <row r="78" spans="1:20" ht="15.75" hidden="1" customHeight="1" x14ac:dyDescent="0.3">
      <c r="A78" s="539" t="s">
        <v>789</v>
      </c>
      <c r="B78" s="172"/>
      <c r="C78" s="172"/>
      <c r="D78" s="172"/>
      <c r="E78" s="38">
        <f t="shared" si="5"/>
        <v>0</v>
      </c>
      <c r="F78" s="172"/>
      <c r="G78" s="172"/>
      <c r="H78" s="172"/>
      <c r="I78" s="38">
        <f t="shared" si="6"/>
        <v>0</v>
      </c>
      <c r="J78" s="172"/>
      <c r="K78" s="172"/>
      <c r="L78" s="172"/>
      <c r="M78" s="38">
        <f t="shared" si="7"/>
        <v>0</v>
      </c>
      <c r="N78" s="172"/>
      <c r="O78" s="172"/>
      <c r="P78" s="172"/>
      <c r="Q78" s="38">
        <f t="shared" si="8"/>
        <v>0</v>
      </c>
      <c r="R78" s="38">
        <f t="shared" si="9"/>
        <v>0</v>
      </c>
      <c r="T78" t="s">
        <v>2799</v>
      </c>
    </row>
    <row r="79" spans="1:20" ht="15.75" hidden="1" customHeight="1" x14ac:dyDescent="0.3">
      <c r="A79" s="410" t="s">
        <v>2183</v>
      </c>
      <c r="B79" s="172"/>
      <c r="C79" s="172"/>
      <c r="D79" s="172"/>
      <c r="E79" s="38">
        <f t="shared" si="5"/>
        <v>0</v>
      </c>
      <c r="F79" s="172"/>
      <c r="G79" s="172"/>
      <c r="H79" s="172"/>
      <c r="I79" s="38">
        <f t="shared" si="6"/>
        <v>0</v>
      </c>
      <c r="J79" s="172"/>
      <c r="K79" s="172"/>
      <c r="L79" s="172"/>
      <c r="M79" s="38">
        <f t="shared" si="7"/>
        <v>0</v>
      </c>
      <c r="N79" s="172"/>
      <c r="O79" s="172"/>
      <c r="P79" s="172"/>
      <c r="Q79" s="38">
        <f t="shared" si="8"/>
        <v>0</v>
      </c>
      <c r="R79" s="38">
        <f t="shared" si="9"/>
        <v>0</v>
      </c>
    </row>
    <row r="80" spans="1:20" ht="15.75" hidden="1" customHeight="1" x14ac:dyDescent="0.3">
      <c r="A80" s="410" t="s">
        <v>2947</v>
      </c>
      <c r="B80" s="172"/>
      <c r="C80" s="172"/>
      <c r="D80" s="172"/>
      <c r="E80" s="38">
        <f>SUM(B80:D80)</f>
        <v>0</v>
      </c>
      <c r="F80" s="172"/>
      <c r="G80" s="172"/>
      <c r="H80" s="172"/>
      <c r="I80" s="38">
        <f>SUM(F80:H80)</f>
        <v>0</v>
      </c>
      <c r="J80" s="172"/>
      <c r="K80" s="172"/>
      <c r="L80" s="172"/>
      <c r="M80" s="38">
        <f>SUM(J80:L80)</f>
        <v>0</v>
      </c>
      <c r="N80" s="172"/>
      <c r="O80" s="172"/>
      <c r="P80" s="172"/>
      <c r="Q80" s="38">
        <f>SUM(N80:P80)</f>
        <v>0</v>
      </c>
      <c r="R80" s="38">
        <f t="shared" si="9"/>
        <v>0</v>
      </c>
    </row>
    <row r="81" spans="1:20" ht="15.75" hidden="1" customHeight="1" x14ac:dyDescent="0.3">
      <c r="A81" s="410" t="s">
        <v>86</v>
      </c>
      <c r="B81" s="172"/>
      <c r="C81" s="172"/>
      <c r="D81" s="172"/>
      <c r="E81" s="38">
        <f t="shared" si="5"/>
        <v>0</v>
      </c>
      <c r="F81" s="172"/>
      <c r="G81" s="172"/>
      <c r="H81" s="172"/>
      <c r="I81" s="38">
        <f t="shared" si="6"/>
        <v>0</v>
      </c>
      <c r="J81" s="172"/>
      <c r="K81" s="172"/>
      <c r="L81" s="172"/>
      <c r="M81" s="38">
        <f t="shared" si="7"/>
        <v>0</v>
      </c>
      <c r="N81" s="172"/>
      <c r="O81" s="172"/>
      <c r="P81" s="172"/>
      <c r="Q81" s="38">
        <f t="shared" si="8"/>
        <v>0</v>
      </c>
      <c r="R81" s="38">
        <f t="shared" si="9"/>
        <v>0</v>
      </c>
      <c r="S81">
        <f>SUM(R72:R81)</f>
        <v>0</v>
      </c>
    </row>
    <row r="82" spans="1:20" ht="15.75" hidden="1" customHeight="1" x14ac:dyDescent="0.3">
      <c r="A82" s="235" t="s">
        <v>2161</v>
      </c>
      <c r="B82" s="18"/>
      <c r="C82" s="18"/>
      <c r="D82" s="18"/>
      <c r="E82" s="38" t="s">
        <v>852</v>
      </c>
      <c r="F82" s="18"/>
      <c r="G82" s="18"/>
      <c r="H82" s="18"/>
      <c r="I82" s="38" t="s">
        <v>852</v>
      </c>
      <c r="J82" s="18"/>
      <c r="K82" s="18"/>
      <c r="L82" s="18"/>
      <c r="M82" s="38" t="s">
        <v>852</v>
      </c>
      <c r="N82" s="18"/>
      <c r="O82" s="18"/>
      <c r="P82" s="18"/>
      <c r="Q82" s="38" t="s">
        <v>852</v>
      </c>
      <c r="R82" s="38" t="s">
        <v>852</v>
      </c>
    </row>
    <row r="83" spans="1:20" ht="15.75" hidden="1" customHeight="1" x14ac:dyDescent="0.3">
      <c r="A83" s="410" t="s">
        <v>2419</v>
      </c>
      <c r="B83" s="172"/>
      <c r="C83" s="172"/>
      <c r="D83" s="172"/>
      <c r="E83" s="38">
        <f>SUM(B83:D83)</f>
        <v>0</v>
      </c>
      <c r="F83" s="172"/>
      <c r="G83" s="172"/>
      <c r="H83" s="172"/>
      <c r="I83" s="38">
        <f>SUM(F83:H83)</f>
        <v>0</v>
      </c>
      <c r="J83" s="172"/>
      <c r="K83" s="172"/>
      <c r="L83" s="172"/>
      <c r="M83" s="38">
        <f>SUM(J83:L83)</f>
        <v>0</v>
      </c>
      <c r="N83" s="172"/>
      <c r="O83" s="172"/>
      <c r="P83" s="172"/>
      <c r="Q83" s="38">
        <f>SUM(N83:P83)</f>
        <v>0</v>
      </c>
      <c r="R83" s="38">
        <f>+E83+I83+M83+Q83</f>
        <v>0</v>
      </c>
    </row>
    <row r="84" spans="1:20" ht="15.75" hidden="1" customHeight="1" x14ac:dyDescent="0.3">
      <c r="A84" s="235" t="s">
        <v>2162</v>
      </c>
      <c r="B84" s="18"/>
      <c r="C84" s="18"/>
      <c r="D84" s="18"/>
      <c r="E84" s="38" t="s">
        <v>1598</v>
      </c>
      <c r="F84" s="18"/>
      <c r="G84" s="18"/>
      <c r="H84" s="18"/>
      <c r="I84" s="38" t="s">
        <v>1598</v>
      </c>
      <c r="J84" s="18"/>
      <c r="K84" s="18"/>
      <c r="L84" s="18"/>
      <c r="M84" s="38" t="s">
        <v>1598</v>
      </c>
      <c r="N84" s="18"/>
      <c r="O84" s="18"/>
      <c r="P84" s="18"/>
      <c r="Q84" s="38" t="s">
        <v>1598</v>
      </c>
      <c r="R84" s="38" t="s">
        <v>1598</v>
      </c>
    </row>
    <row r="85" spans="1:20" ht="15.75" hidden="1" customHeight="1" x14ac:dyDescent="0.3">
      <c r="A85" s="422" t="s">
        <v>2546</v>
      </c>
      <c r="B85" s="172"/>
      <c r="C85" s="172"/>
      <c r="D85" s="172"/>
      <c r="E85" s="38">
        <f>SUM(B85:D85)</f>
        <v>0</v>
      </c>
      <c r="F85" s="172"/>
      <c r="G85" s="172"/>
      <c r="H85" s="172"/>
      <c r="I85" s="38">
        <f>SUM(F85:H85)</f>
        <v>0</v>
      </c>
      <c r="J85" s="172"/>
      <c r="K85" s="172"/>
      <c r="L85" s="172"/>
      <c r="M85" s="38">
        <f>SUM(J85:L85)</f>
        <v>0</v>
      </c>
      <c r="N85" s="172"/>
      <c r="O85" s="172"/>
      <c r="P85" s="172"/>
      <c r="Q85" s="38">
        <f>SUM(N85:P85)</f>
        <v>0</v>
      </c>
      <c r="R85" s="38">
        <f>+E85+I85+M85+Q85</f>
        <v>0</v>
      </c>
    </row>
    <row r="86" spans="1:20" ht="15.75" hidden="1" customHeight="1" x14ac:dyDescent="0.3">
      <c r="A86" s="422" t="s">
        <v>2547</v>
      </c>
      <c r="B86" s="172">
        <v>188</v>
      </c>
      <c r="C86" s="172">
        <v>931</v>
      </c>
      <c r="D86" s="172">
        <v>1504</v>
      </c>
      <c r="E86" s="38">
        <f>SUM(B86:D86)</f>
        <v>2623</v>
      </c>
      <c r="F86" s="172">
        <v>1810</v>
      </c>
      <c r="G86" s="172">
        <v>1984</v>
      </c>
      <c r="H86" s="172">
        <v>2025</v>
      </c>
      <c r="I86" s="38">
        <f>SUM(F86:H86)</f>
        <v>5819</v>
      </c>
      <c r="J86" s="172">
        <v>2034</v>
      </c>
      <c r="K86" s="172">
        <v>2073</v>
      </c>
      <c r="L86" s="172">
        <v>91</v>
      </c>
      <c r="M86" s="38">
        <f>SUM(J86:L86)</f>
        <v>4198</v>
      </c>
      <c r="N86" s="172"/>
      <c r="O86" s="172"/>
      <c r="P86" s="172"/>
      <c r="Q86" s="38">
        <f>SUM(N86:P86)</f>
        <v>0</v>
      </c>
      <c r="R86" s="38">
        <f>+E86+I86+M86+Q86</f>
        <v>12640</v>
      </c>
      <c r="T86" t="s">
        <v>2774</v>
      </c>
    </row>
    <row r="87" spans="1:20" ht="15.75" hidden="1" customHeight="1" thickBot="1" x14ac:dyDescent="0.35">
      <c r="A87" s="235" t="s">
        <v>2164</v>
      </c>
      <c r="B87" s="248"/>
      <c r="C87" s="248"/>
      <c r="D87" s="248"/>
      <c r="E87" s="38" t="s">
        <v>852</v>
      </c>
      <c r="F87" s="248"/>
      <c r="G87" s="248"/>
      <c r="H87" s="248"/>
      <c r="I87" s="38" t="s">
        <v>852</v>
      </c>
      <c r="J87" s="248"/>
      <c r="K87" s="248"/>
      <c r="L87" s="248"/>
      <c r="M87" s="38" t="s">
        <v>852</v>
      </c>
      <c r="N87" s="248"/>
      <c r="O87" s="248"/>
      <c r="P87" s="248"/>
      <c r="Q87" s="38" t="s">
        <v>852</v>
      </c>
      <c r="R87" s="38" t="s">
        <v>852</v>
      </c>
    </row>
    <row r="88" spans="1:20" ht="16.5" hidden="1" customHeight="1" thickBot="1" x14ac:dyDescent="0.35">
      <c r="A88" s="43" t="s">
        <v>1218</v>
      </c>
      <c r="B88" s="42">
        <f>SUM(B70:B87)</f>
        <v>188</v>
      </c>
      <c r="C88" s="42">
        <f>SUM(C70:C87)</f>
        <v>931</v>
      </c>
      <c r="D88" s="42">
        <f>SUM(D70:D87)</f>
        <v>1504</v>
      </c>
      <c r="E88" s="37">
        <f>SUM(B88:D88)</f>
        <v>2623</v>
      </c>
      <c r="F88" s="42">
        <f>SUM(F70:F87)</f>
        <v>1810</v>
      </c>
      <c r="G88" s="42">
        <f>SUM(G70:G87)</f>
        <v>1984</v>
      </c>
      <c r="H88" s="42">
        <f>SUM(H70:H87)</f>
        <v>2025</v>
      </c>
      <c r="I88" s="37">
        <f>SUM(F88:H88)</f>
        <v>5819</v>
      </c>
      <c r="J88" s="42">
        <f>SUM(J70:J87)</f>
        <v>2034</v>
      </c>
      <c r="K88" s="42">
        <f>SUM(K70:K87)</f>
        <v>2073</v>
      </c>
      <c r="L88" s="42">
        <f>SUM(L70:L87)</f>
        <v>91</v>
      </c>
      <c r="M88" s="37">
        <f>SUM(J88:L88)</f>
        <v>4198</v>
      </c>
      <c r="N88" s="42">
        <f>SUM(N70:N87)</f>
        <v>0</v>
      </c>
      <c r="O88" s="42">
        <f>SUM(O70:O87)</f>
        <v>0</v>
      </c>
      <c r="P88" s="42">
        <f>SUM(P70:P87)</f>
        <v>0</v>
      </c>
      <c r="Q88" s="37">
        <f>SUM(N88:P88)</f>
        <v>0</v>
      </c>
      <c r="R88" s="37">
        <f>+E88+I88+M88+Q88</f>
        <v>12640</v>
      </c>
    </row>
    <row r="89" spans="1:20" ht="15.75" hidden="1" customHeight="1" x14ac:dyDescent="0.3">
      <c r="A89" s="235" t="s">
        <v>1172</v>
      </c>
      <c r="B89" s="248"/>
      <c r="C89" s="248"/>
      <c r="D89" s="248"/>
      <c r="E89" s="38" t="s">
        <v>852</v>
      </c>
      <c r="F89" s="248"/>
      <c r="G89" s="248"/>
      <c r="H89" s="248"/>
      <c r="I89" s="38" t="s">
        <v>852</v>
      </c>
      <c r="J89" s="248"/>
      <c r="K89" s="248"/>
      <c r="L89" s="248"/>
      <c r="M89" s="38" t="s">
        <v>852</v>
      </c>
      <c r="N89" s="248"/>
      <c r="O89" s="248"/>
      <c r="P89" s="248"/>
      <c r="Q89" s="38" t="s">
        <v>852</v>
      </c>
      <c r="R89" s="39" t="s">
        <v>852</v>
      </c>
    </row>
    <row r="90" spans="1:20" ht="15.75" hidden="1" customHeight="1" x14ac:dyDescent="0.3">
      <c r="A90" s="235" t="s">
        <v>1658</v>
      </c>
      <c r="B90" s="248"/>
      <c r="C90" s="248"/>
      <c r="D90" s="248"/>
      <c r="E90" s="38" t="s">
        <v>852</v>
      </c>
      <c r="F90" s="248"/>
      <c r="G90" s="248"/>
      <c r="H90" s="248"/>
      <c r="I90" s="38" t="s">
        <v>852</v>
      </c>
      <c r="J90" s="248"/>
      <c r="K90" s="248"/>
      <c r="L90" s="248"/>
      <c r="M90" s="38" t="s">
        <v>852</v>
      </c>
      <c r="N90" s="248"/>
      <c r="O90" s="248"/>
      <c r="P90" s="248"/>
      <c r="Q90" s="38" t="s">
        <v>852</v>
      </c>
      <c r="R90" s="38" t="s">
        <v>852</v>
      </c>
    </row>
    <row r="91" spans="1:20" ht="15.75" hidden="1" customHeight="1" x14ac:dyDescent="0.3">
      <c r="A91" s="235" t="s">
        <v>2409</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hidden="1" customHeight="1" x14ac:dyDescent="0.3">
      <c r="A92" s="410" t="s">
        <v>701</v>
      </c>
      <c r="B92" s="10">
        <v>874</v>
      </c>
      <c r="C92" s="10">
        <v>1985</v>
      </c>
      <c r="D92" s="10">
        <v>3543</v>
      </c>
      <c r="E92" s="38">
        <f>SUM(B92:D92)</f>
        <v>6402</v>
      </c>
      <c r="F92" s="10">
        <v>4224</v>
      </c>
      <c r="G92" s="10">
        <v>4415</v>
      </c>
      <c r="H92" s="10">
        <v>5133</v>
      </c>
      <c r="I92" s="38">
        <f>SUM(F92:H92)</f>
        <v>13772</v>
      </c>
      <c r="J92" s="10">
        <v>5647</v>
      </c>
      <c r="K92" s="10">
        <v>4691</v>
      </c>
      <c r="L92" s="10">
        <v>1653</v>
      </c>
      <c r="M92" s="38">
        <f>SUM(J92:L92)</f>
        <v>11991</v>
      </c>
      <c r="N92" s="10">
        <v>943</v>
      </c>
      <c r="O92" s="10">
        <v>451</v>
      </c>
      <c r="P92" s="10">
        <v>723</v>
      </c>
      <c r="Q92" s="38">
        <f>SUM(N92:P92)</f>
        <v>2117</v>
      </c>
      <c r="R92" s="38">
        <f>+E92+I92+M92+Q92</f>
        <v>34282</v>
      </c>
      <c r="T92" t="s">
        <v>2810</v>
      </c>
    </row>
    <row r="93" spans="1:20" ht="15.75" hidden="1" customHeight="1" x14ac:dyDescent="0.3">
      <c r="A93" s="410" t="s">
        <v>702</v>
      </c>
      <c r="B93" s="10"/>
      <c r="C93" s="10"/>
      <c r="D93" s="10"/>
      <c r="E93" s="38">
        <f>SUM(B93:D93)</f>
        <v>0</v>
      </c>
      <c r="F93" s="10"/>
      <c r="G93" s="10">
        <v>220</v>
      </c>
      <c r="H93" s="10">
        <v>319</v>
      </c>
      <c r="I93" s="38">
        <f>SUM(F93:H93)</f>
        <v>539</v>
      </c>
      <c r="J93" s="10">
        <v>220</v>
      </c>
      <c r="K93" s="10">
        <v>101</v>
      </c>
      <c r="L93" s="10">
        <v>580</v>
      </c>
      <c r="M93" s="38">
        <f>SUM(J93:L93)</f>
        <v>901</v>
      </c>
      <c r="N93" s="10">
        <v>565</v>
      </c>
      <c r="O93" s="10">
        <v>163</v>
      </c>
      <c r="P93" s="10">
        <v>93</v>
      </c>
      <c r="Q93" s="38">
        <f>SUM(N93:P93)</f>
        <v>821</v>
      </c>
      <c r="R93" s="38">
        <f>+E93+I93+M93+Q93</f>
        <v>2261</v>
      </c>
      <c r="T93" t="s">
        <v>2774</v>
      </c>
    </row>
    <row r="94" spans="1:20" ht="15.75" hidden="1" customHeight="1" thickBot="1" x14ac:dyDescent="0.35">
      <c r="A94" s="235" t="s">
        <v>2165</v>
      </c>
      <c r="B94" s="248"/>
      <c r="C94" s="248"/>
      <c r="D94" s="248"/>
      <c r="E94" s="38" t="s">
        <v>852</v>
      </c>
      <c r="F94" s="248"/>
      <c r="G94" s="248"/>
      <c r="H94" s="248"/>
      <c r="I94" s="38" t="s">
        <v>852</v>
      </c>
      <c r="J94" s="248"/>
      <c r="K94" s="248"/>
      <c r="L94" s="248"/>
      <c r="M94" s="38" t="s">
        <v>852</v>
      </c>
      <c r="N94" s="248"/>
      <c r="O94" s="248"/>
      <c r="P94" s="248"/>
      <c r="Q94" s="38" t="s">
        <v>852</v>
      </c>
      <c r="R94" s="38" t="s">
        <v>852</v>
      </c>
    </row>
    <row r="95" spans="1:20" ht="16.5" hidden="1" customHeight="1" thickBot="1" x14ac:dyDescent="0.35">
      <c r="A95" s="43" t="s">
        <v>1219</v>
      </c>
      <c r="B95" s="42">
        <f>SUM(B89:B94)</f>
        <v>874</v>
      </c>
      <c r="C95" s="42">
        <f>SUM(C89:C94)</f>
        <v>1985</v>
      </c>
      <c r="D95" s="42">
        <f>SUM(D89:D94)</f>
        <v>3543</v>
      </c>
      <c r="E95" s="37">
        <f>SUM(B95:D95)</f>
        <v>6402</v>
      </c>
      <c r="F95" s="42">
        <f>SUM(F89:F94)</f>
        <v>4224</v>
      </c>
      <c r="G95" s="42">
        <f>SUM(G89:G94)</f>
        <v>4635</v>
      </c>
      <c r="H95" s="42">
        <f>SUM(H89:H94)</f>
        <v>5452</v>
      </c>
      <c r="I95" s="37">
        <f>SUM(F95:H95)</f>
        <v>14311</v>
      </c>
      <c r="J95" s="42">
        <f>SUM(J89:J94)</f>
        <v>5867</v>
      </c>
      <c r="K95" s="42">
        <f>SUM(K89:K94)</f>
        <v>4792</v>
      </c>
      <c r="L95" s="42">
        <f>SUM(L89:L94)</f>
        <v>2233</v>
      </c>
      <c r="M95" s="37">
        <f>SUM(J95:L95)</f>
        <v>12892</v>
      </c>
      <c r="N95" s="42">
        <f>SUM(N89:N94)</f>
        <v>1508</v>
      </c>
      <c r="O95" s="42">
        <f>SUM(O89:O94)</f>
        <v>614</v>
      </c>
      <c r="P95" s="42">
        <f>SUM(P89:P94)</f>
        <v>816</v>
      </c>
      <c r="Q95" s="37">
        <f>SUM(N95:P95)</f>
        <v>2938</v>
      </c>
      <c r="R95" s="37">
        <f>+E95+I95+M95+Q95</f>
        <v>36543</v>
      </c>
    </row>
    <row r="96" spans="1:20" ht="15.75" hidden="1" customHeight="1" x14ac:dyDescent="0.3">
      <c r="A96" s="235" t="s">
        <v>2166</v>
      </c>
      <c r="B96" s="248"/>
      <c r="C96" s="248"/>
      <c r="D96" s="248"/>
      <c r="E96" s="38" t="s">
        <v>852</v>
      </c>
      <c r="F96" s="248"/>
      <c r="G96" s="248"/>
      <c r="H96" s="248"/>
      <c r="I96" s="38" t="s">
        <v>852</v>
      </c>
      <c r="J96" s="248"/>
      <c r="K96" s="248"/>
      <c r="L96" s="248"/>
      <c r="M96" s="38" t="s">
        <v>852</v>
      </c>
      <c r="N96" s="248"/>
      <c r="O96" s="248"/>
      <c r="P96" s="248"/>
      <c r="Q96" s="38" t="s">
        <v>852</v>
      </c>
      <c r="R96" s="38" t="s">
        <v>852</v>
      </c>
    </row>
    <row r="97" spans="1:20" ht="15.75" hidden="1" customHeight="1" x14ac:dyDescent="0.3">
      <c r="A97" s="235" t="s">
        <v>1245</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hidden="1" customHeight="1" x14ac:dyDescent="0.3">
      <c r="A98" s="235" t="s">
        <v>1711</v>
      </c>
      <c r="B98" s="248"/>
      <c r="C98" s="248"/>
      <c r="D98" s="248"/>
      <c r="E98" s="38"/>
      <c r="F98" s="248"/>
      <c r="G98" s="248"/>
      <c r="H98" s="248"/>
      <c r="I98" s="38"/>
      <c r="J98" s="248"/>
      <c r="K98" s="248"/>
      <c r="L98" s="248"/>
      <c r="M98" s="38"/>
      <c r="N98" s="248"/>
      <c r="O98" s="248"/>
      <c r="P98" s="248"/>
      <c r="Q98" s="38"/>
      <c r="R98" s="38"/>
    </row>
    <row r="99" spans="1:20" ht="15.75" hidden="1" customHeight="1" x14ac:dyDescent="0.3">
      <c r="A99" s="410" t="s">
        <v>1584</v>
      </c>
      <c r="B99" s="172"/>
      <c r="C99" s="172"/>
      <c r="D99" s="172"/>
      <c r="E99" s="38">
        <f t="shared" ref="E99:E106" si="10">SUM(B99:D99)</f>
        <v>0</v>
      </c>
      <c r="F99" s="172"/>
      <c r="G99" s="172"/>
      <c r="H99" s="172"/>
      <c r="I99" s="38">
        <f t="shared" ref="I99:I106" si="11">SUM(F99:H99)</f>
        <v>0</v>
      </c>
      <c r="J99" s="172"/>
      <c r="K99" s="172"/>
      <c r="L99" s="172"/>
      <c r="M99" s="38">
        <f t="shared" ref="M99:M106" si="12">SUM(J99:L99)</f>
        <v>0</v>
      </c>
      <c r="N99" s="172"/>
      <c r="O99" s="172"/>
      <c r="P99" s="172"/>
      <c r="Q99" s="38">
        <f t="shared" ref="Q99:Q106" si="13">SUM(N99:P99)</f>
        <v>0</v>
      </c>
      <c r="R99" s="38">
        <f t="shared" ref="R99:R106" si="14">+E99+I99+M99+Q99</f>
        <v>0</v>
      </c>
    </row>
    <row r="100" spans="1:20" ht="15.75" hidden="1" customHeight="1" x14ac:dyDescent="0.3">
      <c r="A100" s="410" t="s">
        <v>1977</v>
      </c>
      <c r="B100" s="172"/>
      <c r="C100" s="172"/>
      <c r="D100" s="172"/>
      <c r="E100" s="38">
        <f t="shared" si="10"/>
        <v>0</v>
      </c>
      <c r="F100" s="172"/>
      <c r="G100" s="172"/>
      <c r="H100" s="172"/>
      <c r="I100" s="38">
        <f t="shared" si="11"/>
        <v>0</v>
      </c>
      <c r="J100" s="172"/>
      <c r="K100" s="172"/>
      <c r="L100" s="172"/>
      <c r="M100" s="38">
        <f t="shared" si="12"/>
        <v>0</v>
      </c>
      <c r="N100" s="172"/>
      <c r="O100" s="172"/>
      <c r="P100" s="172"/>
      <c r="Q100" s="38">
        <f t="shared" si="13"/>
        <v>0</v>
      </c>
      <c r="R100" s="38">
        <f t="shared" si="14"/>
        <v>0</v>
      </c>
    </row>
    <row r="101" spans="1:20" ht="15.75" hidden="1" customHeight="1" x14ac:dyDescent="0.3">
      <c r="A101" s="410" t="s">
        <v>1571</v>
      </c>
      <c r="B101" s="172"/>
      <c r="C101" s="172"/>
      <c r="D101" s="172"/>
      <c r="E101" s="38">
        <f>SUM(B101:D101)</f>
        <v>0</v>
      </c>
      <c r="F101" s="172"/>
      <c r="G101" s="172"/>
      <c r="H101" s="172"/>
      <c r="I101" s="38">
        <f>SUM(F101:H101)</f>
        <v>0</v>
      </c>
      <c r="J101" s="172"/>
      <c r="K101" s="172"/>
      <c r="L101" s="172"/>
      <c r="M101" s="38">
        <f>SUM(J101:L101)</f>
        <v>0</v>
      </c>
      <c r="N101" s="172"/>
      <c r="O101" s="172"/>
      <c r="P101" s="172"/>
      <c r="Q101" s="38">
        <f>SUM(N101:P101)</f>
        <v>0</v>
      </c>
      <c r="R101" s="38">
        <f>+E101+I101+M101+Q101</f>
        <v>0</v>
      </c>
    </row>
    <row r="102" spans="1:20" ht="15.75" hidden="1" customHeight="1" x14ac:dyDescent="0.3">
      <c r="A102" s="410" t="s">
        <v>2506</v>
      </c>
      <c r="B102" s="172"/>
      <c r="C102" s="172"/>
      <c r="D102" s="172"/>
      <c r="E102" s="38">
        <f>SUM(B102:D102)</f>
        <v>0</v>
      </c>
      <c r="F102" s="172"/>
      <c r="G102" s="172"/>
      <c r="H102" s="172"/>
      <c r="I102" s="38">
        <f>SUM(F102:H102)</f>
        <v>0</v>
      </c>
      <c r="J102" s="172"/>
      <c r="K102" s="172"/>
      <c r="L102" s="172"/>
      <c r="M102" s="38">
        <f>SUM(J102:L102)</f>
        <v>0</v>
      </c>
      <c r="N102" s="172"/>
      <c r="O102" s="172"/>
      <c r="P102" s="172"/>
      <c r="Q102" s="38">
        <f>SUM(N102:P102)</f>
        <v>0</v>
      </c>
      <c r="R102" s="38">
        <f>+E102+I102+M102+Q102</f>
        <v>0</v>
      </c>
      <c r="T102" t="s">
        <v>2799</v>
      </c>
    </row>
    <row r="103" spans="1:20" ht="15.75" hidden="1" customHeight="1" x14ac:dyDescent="0.3">
      <c r="A103" s="410" t="s">
        <v>436</v>
      </c>
      <c r="B103" s="10"/>
      <c r="C103" s="10"/>
      <c r="D103" s="10"/>
      <c r="E103" s="38">
        <f>SUM(B103:D103)</f>
        <v>0</v>
      </c>
      <c r="F103" s="10"/>
      <c r="G103" s="10"/>
      <c r="H103" s="10"/>
      <c r="I103" s="38">
        <f>SUM(F103:H103)</f>
        <v>0</v>
      </c>
      <c r="J103" s="10"/>
      <c r="K103" s="10"/>
      <c r="L103" s="10"/>
      <c r="M103" s="38">
        <f>SUM(J103:L103)</f>
        <v>0</v>
      </c>
      <c r="N103" s="10"/>
      <c r="O103" s="10"/>
      <c r="P103" s="10"/>
      <c r="Q103" s="38">
        <f>SUM(N103:P103)</f>
        <v>0</v>
      </c>
      <c r="R103" s="38">
        <f>+E103+I103+M103+Q103</f>
        <v>0</v>
      </c>
    </row>
    <row r="104" spans="1:20" ht="15.75" hidden="1" customHeight="1" x14ac:dyDescent="0.3">
      <c r="A104" s="410" t="s">
        <v>2182</v>
      </c>
      <c r="B104" s="172"/>
      <c r="C104" s="172"/>
      <c r="D104" s="172"/>
      <c r="E104" s="38">
        <f t="shared" si="10"/>
        <v>0</v>
      </c>
      <c r="F104" s="172"/>
      <c r="G104" s="172"/>
      <c r="H104" s="172"/>
      <c r="I104" s="38">
        <f t="shared" si="11"/>
        <v>0</v>
      </c>
      <c r="J104" s="172"/>
      <c r="K104" s="172"/>
      <c r="L104" s="172"/>
      <c r="M104" s="38">
        <f t="shared" si="12"/>
        <v>0</v>
      </c>
      <c r="N104" s="172"/>
      <c r="O104" s="172"/>
      <c r="P104" s="172"/>
      <c r="Q104" s="38">
        <f t="shared" si="13"/>
        <v>0</v>
      </c>
      <c r="R104" s="38">
        <f t="shared" si="14"/>
        <v>0</v>
      </c>
    </row>
    <row r="105" spans="1:20" ht="15.75" hidden="1" customHeight="1" thickBot="1" x14ac:dyDescent="0.35">
      <c r="A105" s="410" t="s">
        <v>2261</v>
      </c>
      <c r="B105" s="172"/>
      <c r="C105" s="172"/>
      <c r="D105" s="172"/>
      <c r="E105" s="38">
        <f t="shared" si="10"/>
        <v>0</v>
      </c>
      <c r="F105" s="172"/>
      <c r="G105" s="172"/>
      <c r="H105" s="172"/>
      <c r="I105" s="38">
        <f t="shared" si="11"/>
        <v>0</v>
      </c>
      <c r="J105" s="172"/>
      <c r="K105" s="172"/>
      <c r="L105" s="172"/>
      <c r="M105" s="38">
        <f t="shared" si="12"/>
        <v>0</v>
      </c>
      <c r="N105" s="172"/>
      <c r="O105" s="172"/>
      <c r="P105" s="172"/>
      <c r="Q105" s="38">
        <f t="shared" si="13"/>
        <v>0</v>
      </c>
      <c r="R105" s="38">
        <f t="shared" si="14"/>
        <v>0</v>
      </c>
    </row>
    <row r="106" spans="1:20" ht="16.5" hidden="1" customHeight="1" thickBot="1" x14ac:dyDescent="0.35">
      <c r="A106" s="43" t="s">
        <v>1220</v>
      </c>
      <c r="B106" s="42">
        <f>SUM(B96:B105)</f>
        <v>0</v>
      </c>
      <c r="C106" s="42">
        <f>SUM(C96:C105)</f>
        <v>0</v>
      </c>
      <c r="D106" s="42">
        <f>SUM(D96:D105)</f>
        <v>0</v>
      </c>
      <c r="E106" s="37">
        <f t="shared" si="10"/>
        <v>0</v>
      </c>
      <c r="F106" s="42">
        <f>SUM(F96:F105)</f>
        <v>0</v>
      </c>
      <c r="G106" s="42">
        <f>SUM(G96:G105)</f>
        <v>0</v>
      </c>
      <c r="H106" s="42">
        <f>SUM(H96:H105)</f>
        <v>0</v>
      </c>
      <c r="I106" s="37">
        <f t="shared" si="11"/>
        <v>0</v>
      </c>
      <c r="J106" s="42">
        <f>SUM(J96:J105)</f>
        <v>0</v>
      </c>
      <c r="K106" s="42">
        <f>SUM(K96:K105)</f>
        <v>0</v>
      </c>
      <c r="L106" s="42">
        <f>SUM(L96:L105)</f>
        <v>0</v>
      </c>
      <c r="M106" s="37">
        <f t="shared" si="12"/>
        <v>0</v>
      </c>
      <c r="N106" s="42">
        <f>SUM(N96:N105)</f>
        <v>0</v>
      </c>
      <c r="O106" s="42">
        <f>SUM(O96:O105)</f>
        <v>0</v>
      </c>
      <c r="P106" s="42">
        <f>SUM(P96:P105)</f>
        <v>0</v>
      </c>
      <c r="Q106" s="37">
        <f t="shared" si="13"/>
        <v>0</v>
      </c>
      <c r="R106" s="37">
        <f t="shared" si="14"/>
        <v>0</v>
      </c>
    </row>
    <row r="107" spans="1:20" ht="15.75" hidden="1" customHeight="1" x14ac:dyDescent="0.3">
      <c r="A107" s="235" t="s">
        <v>1712</v>
      </c>
      <c r="B107" s="248"/>
      <c r="C107" s="248"/>
      <c r="D107" s="248"/>
      <c r="E107" s="38" t="s">
        <v>852</v>
      </c>
      <c r="F107" s="248"/>
      <c r="G107" s="248"/>
      <c r="H107" s="248"/>
      <c r="I107" s="38" t="s">
        <v>852</v>
      </c>
      <c r="J107" s="248"/>
      <c r="K107" s="248"/>
      <c r="L107" s="248"/>
      <c r="M107" s="38" t="s">
        <v>852</v>
      </c>
      <c r="N107" s="248"/>
      <c r="O107" s="248"/>
      <c r="P107" s="248"/>
      <c r="Q107" s="38" t="s">
        <v>852</v>
      </c>
      <c r="R107" s="38" t="s">
        <v>852</v>
      </c>
    </row>
    <row r="108" spans="1:20" ht="15.75" hidden="1" customHeight="1" x14ac:dyDescent="0.3">
      <c r="A108" s="235" t="s">
        <v>1021</v>
      </c>
      <c r="B108" s="248"/>
      <c r="C108" s="248"/>
      <c r="D108" s="248"/>
      <c r="E108" s="38" t="s">
        <v>852</v>
      </c>
      <c r="F108" s="248"/>
      <c r="G108" s="248"/>
      <c r="H108" s="248"/>
      <c r="I108" s="38" t="s">
        <v>852</v>
      </c>
      <c r="J108" s="248"/>
      <c r="K108" s="248"/>
      <c r="L108" s="248"/>
      <c r="M108" s="38" t="s">
        <v>852</v>
      </c>
      <c r="N108" s="248"/>
      <c r="O108" s="248"/>
      <c r="P108" s="248"/>
      <c r="Q108" s="38" t="s">
        <v>852</v>
      </c>
      <c r="R108" s="38" t="s">
        <v>852</v>
      </c>
    </row>
    <row r="109" spans="1:20" ht="15.75" hidden="1" customHeight="1" x14ac:dyDescent="0.3">
      <c r="A109" s="422" t="s">
        <v>2751</v>
      </c>
      <c r="B109" s="172"/>
      <c r="C109" s="172"/>
      <c r="D109" s="172"/>
      <c r="E109" s="38">
        <f t="shared" ref="E109:E114" si="15">SUM(B109:D109)</f>
        <v>0</v>
      </c>
      <c r="F109" s="172"/>
      <c r="G109" s="172"/>
      <c r="H109" s="172"/>
      <c r="I109" s="38">
        <f t="shared" ref="I109:I114" si="16">SUM(F109:H109)</f>
        <v>0</v>
      </c>
      <c r="J109" s="172"/>
      <c r="K109" s="172"/>
      <c r="L109" s="172"/>
      <c r="M109" s="38">
        <f t="shared" ref="M109:M114" si="17">SUM(J109:L109)</f>
        <v>0</v>
      </c>
      <c r="N109" s="172"/>
      <c r="O109" s="172"/>
      <c r="P109" s="172"/>
      <c r="Q109" s="38">
        <f t="shared" ref="Q109:Q114" si="18">SUM(N109:P109)</f>
        <v>0</v>
      </c>
      <c r="R109" s="38">
        <f t="shared" ref="R109:R114" si="19">+E109+I109+M109+Q109</f>
        <v>0</v>
      </c>
    </row>
    <row r="110" spans="1:20" ht="15.75" hidden="1" customHeight="1" x14ac:dyDescent="0.3">
      <c r="A110" s="422" t="s">
        <v>656</v>
      </c>
      <c r="B110" s="172"/>
      <c r="C110" s="172"/>
      <c r="D110" s="172"/>
      <c r="E110" s="38">
        <f t="shared" si="15"/>
        <v>0</v>
      </c>
      <c r="F110" s="172"/>
      <c r="G110" s="172"/>
      <c r="H110" s="172"/>
      <c r="I110" s="38">
        <f t="shared" si="16"/>
        <v>0</v>
      </c>
      <c r="J110" s="172"/>
      <c r="K110" s="172"/>
      <c r="L110" s="172"/>
      <c r="M110" s="38">
        <f t="shared" si="17"/>
        <v>0</v>
      </c>
      <c r="N110" s="172"/>
      <c r="O110" s="172"/>
      <c r="P110" s="172"/>
      <c r="Q110" s="38">
        <f t="shared" si="18"/>
        <v>0</v>
      </c>
      <c r="R110" s="38">
        <f t="shared" si="19"/>
        <v>0</v>
      </c>
    </row>
    <row r="111" spans="1:20" ht="15.75" hidden="1" customHeight="1" x14ac:dyDescent="0.3">
      <c r="A111" s="422" t="s">
        <v>320</v>
      </c>
      <c r="B111" s="172"/>
      <c r="C111" s="172"/>
      <c r="D111" s="172"/>
      <c r="E111" s="38">
        <f t="shared" si="15"/>
        <v>0</v>
      </c>
      <c r="F111" s="172"/>
      <c r="G111" s="172"/>
      <c r="H111" s="172"/>
      <c r="I111" s="38">
        <f t="shared" si="16"/>
        <v>0</v>
      </c>
      <c r="J111" s="172"/>
      <c r="K111" s="172"/>
      <c r="L111" s="172"/>
      <c r="M111" s="38">
        <f t="shared" si="17"/>
        <v>0</v>
      </c>
      <c r="N111" s="172"/>
      <c r="O111" s="172"/>
      <c r="P111" s="172"/>
      <c r="Q111" s="38">
        <f t="shared" si="18"/>
        <v>0</v>
      </c>
      <c r="R111" s="38">
        <f t="shared" si="19"/>
        <v>0</v>
      </c>
    </row>
    <row r="112" spans="1:20" ht="15.75" hidden="1" customHeight="1" x14ac:dyDescent="0.3">
      <c r="A112" s="422" t="s">
        <v>563</v>
      </c>
      <c r="B112" s="172"/>
      <c r="C112" s="172"/>
      <c r="D112" s="172"/>
      <c r="E112" s="38">
        <f t="shared" si="15"/>
        <v>0</v>
      </c>
      <c r="F112" s="172"/>
      <c r="G112" s="172"/>
      <c r="H112" s="172"/>
      <c r="I112" s="38">
        <f t="shared" si="16"/>
        <v>0</v>
      </c>
      <c r="J112" s="172"/>
      <c r="K112" s="172"/>
      <c r="L112" s="172"/>
      <c r="M112" s="38">
        <f t="shared" si="17"/>
        <v>0</v>
      </c>
      <c r="N112" s="172"/>
      <c r="O112" s="172"/>
      <c r="P112" s="172"/>
      <c r="Q112" s="38">
        <f t="shared" si="18"/>
        <v>0</v>
      </c>
      <c r="R112" s="38">
        <f t="shared" si="19"/>
        <v>0</v>
      </c>
    </row>
    <row r="113" spans="1:20" ht="15.75" hidden="1" customHeight="1" x14ac:dyDescent="0.3">
      <c r="A113" s="422" t="s">
        <v>2123</v>
      </c>
      <c r="B113" s="172"/>
      <c r="C113" s="172"/>
      <c r="D113" s="172"/>
      <c r="E113" s="38">
        <f t="shared" si="15"/>
        <v>0</v>
      </c>
      <c r="F113" s="172"/>
      <c r="G113" s="172"/>
      <c r="H113" s="172"/>
      <c r="I113" s="38">
        <f t="shared" si="16"/>
        <v>0</v>
      </c>
      <c r="J113" s="172"/>
      <c r="K113" s="172"/>
      <c r="L113" s="172"/>
      <c r="M113" s="38">
        <f t="shared" si="17"/>
        <v>0</v>
      </c>
      <c r="N113" s="172"/>
      <c r="O113" s="172"/>
      <c r="P113" s="172"/>
      <c r="Q113" s="38">
        <f t="shared" si="18"/>
        <v>0</v>
      </c>
      <c r="R113" s="38">
        <f t="shared" si="19"/>
        <v>0</v>
      </c>
    </row>
    <row r="114" spans="1:20" ht="15.75" hidden="1" customHeight="1" x14ac:dyDescent="0.3">
      <c r="A114" s="422" t="s">
        <v>2752</v>
      </c>
      <c r="B114" s="172"/>
      <c r="C114" s="172"/>
      <c r="D114" s="172"/>
      <c r="E114" s="38">
        <f t="shared" si="15"/>
        <v>0</v>
      </c>
      <c r="F114" s="172"/>
      <c r="G114" s="172"/>
      <c r="H114" s="172"/>
      <c r="I114" s="38">
        <f t="shared" si="16"/>
        <v>0</v>
      </c>
      <c r="J114" s="172"/>
      <c r="K114" s="172"/>
      <c r="L114" s="172"/>
      <c r="M114" s="38">
        <f t="shared" si="17"/>
        <v>0</v>
      </c>
      <c r="N114" s="172"/>
      <c r="O114" s="172"/>
      <c r="P114" s="172"/>
      <c r="Q114" s="38">
        <f t="shared" si="18"/>
        <v>0</v>
      </c>
      <c r="R114" s="38">
        <f t="shared" si="19"/>
        <v>0</v>
      </c>
    </row>
    <row r="115" spans="1:20" ht="15.75" hidden="1" customHeight="1" x14ac:dyDescent="0.3">
      <c r="A115" s="422" t="s">
        <v>2690</v>
      </c>
      <c r="B115" s="172"/>
      <c r="C115" s="172"/>
      <c r="D115" s="172"/>
      <c r="E115" s="38">
        <f>SUM(B115:D115)</f>
        <v>0</v>
      </c>
      <c r="F115" s="172"/>
      <c r="G115" s="172"/>
      <c r="H115" s="172"/>
      <c r="I115" s="38">
        <f>SUM(F115:H115)</f>
        <v>0</v>
      </c>
      <c r="J115" s="172"/>
      <c r="K115" s="172"/>
      <c r="L115" s="172"/>
      <c r="M115" s="38">
        <f>SUM(J115:L115)</f>
        <v>0</v>
      </c>
      <c r="N115" s="172"/>
      <c r="O115" s="172"/>
      <c r="P115" s="172"/>
      <c r="Q115" s="38">
        <f>SUM(N115:P115)</f>
        <v>0</v>
      </c>
      <c r="R115" s="38">
        <f>+E115+I115+M115+Q115</f>
        <v>0</v>
      </c>
    </row>
    <row r="116" spans="1:20" ht="15.75" hidden="1" customHeight="1" x14ac:dyDescent="0.3">
      <c r="A116" s="618" t="s">
        <v>2503</v>
      </c>
      <c r="B116" s="172"/>
      <c r="C116" s="172"/>
      <c r="D116" s="172"/>
      <c r="E116" s="38">
        <f>SUM(B116:D116)</f>
        <v>0</v>
      </c>
      <c r="F116" s="172"/>
      <c r="G116" s="172"/>
      <c r="H116" s="172"/>
      <c r="I116" s="38">
        <f>SUM(F116:H116)</f>
        <v>0</v>
      </c>
      <c r="J116" s="172"/>
      <c r="K116" s="172"/>
      <c r="L116" s="172"/>
      <c r="M116" s="38">
        <f>SUM(J116:L116)</f>
        <v>0</v>
      </c>
      <c r="N116" s="172"/>
      <c r="O116" s="172"/>
      <c r="P116" s="172"/>
      <c r="Q116" s="38">
        <f>SUM(N116:P116)</f>
        <v>0</v>
      </c>
      <c r="R116" s="38">
        <f>+E116+I116+M116+Q116</f>
        <v>0</v>
      </c>
      <c r="T116" t="s">
        <v>2811</v>
      </c>
    </row>
    <row r="117" spans="1:20" ht="15.75" hidden="1" customHeight="1" x14ac:dyDescent="0.3">
      <c r="A117" s="235" t="s">
        <v>557</v>
      </c>
      <c r="B117" s="248"/>
      <c r="C117" s="248"/>
      <c r="D117" s="248"/>
      <c r="E117" s="38" t="s">
        <v>852</v>
      </c>
      <c r="F117" s="248"/>
      <c r="G117" s="248"/>
      <c r="H117" s="248"/>
      <c r="I117" s="38" t="s">
        <v>852</v>
      </c>
      <c r="J117" s="248"/>
      <c r="K117" s="248"/>
      <c r="L117" s="248"/>
      <c r="M117" s="38" t="s">
        <v>852</v>
      </c>
      <c r="N117" s="248"/>
      <c r="O117" s="248"/>
      <c r="P117" s="248"/>
      <c r="Q117" s="38" t="s">
        <v>852</v>
      </c>
      <c r="R117" s="38" t="s">
        <v>852</v>
      </c>
    </row>
    <row r="118" spans="1:20" ht="15.75" hidden="1" customHeight="1" x14ac:dyDescent="0.3">
      <c r="A118" s="422" t="s">
        <v>2606</v>
      </c>
      <c r="B118" s="172"/>
      <c r="C118" s="172"/>
      <c r="D118" s="172"/>
      <c r="E118" s="38">
        <f>SUM(B118:D118)</f>
        <v>0</v>
      </c>
      <c r="F118" s="172"/>
      <c r="G118" s="172"/>
      <c r="H118" s="172"/>
      <c r="I118" s="38">
        <f>SUM(F118:H118)</f>
        <v>0</v>
      </c>
      <c r="J118" s="172"/>
      <c r="K118" s="172"/>
      <c r="L118" s="172"/>
      <c r="M118" s="38">
        <f>SUM(J118:L118)</f>
        <v>0</v>
      </c>
      <c r="N118" s="172"/>
      <c r="O118" s="172"/>
      <c r="P118" s="172"/>
      <c r="Q118" s="38">
        <f>SUM(N118:P118)</f>
        <v>0</v>
      </c>
      <c r="R118" s="38">
        <f>+E118+I118+M118+Q118</f>
        <v>0</v>
      </c>
    </row>
    <row r="119" spans="1:20" ht="15.75" hidden="1" customHeight="1" x14ac:dyDescent="0.3">
      <c r="A119" s="422" t="s">
        <v>2548</v>
      </c>
      <c r="B119" s="172"/>
      <c r="C119" s="172"/>
      <c r="D119" s="172"/>
      <c r="E119" s="38">
        <f>SUM(B119:D119)</f>
        <v>0</v>
      </c>
      <c r="F119" s="172"/>
      <c r="G119" s="172"/>
      <c r="H119" s="172"/>
      <c r="I119" s="38">
        <f>SUM(F119:H119)</f>
        <v>0</v>
      </c>
      <c r="J119" s="172"/>
      <c r="K119" s="172"/>
      <c r="L119" s="172"/>
      <c r="M119" s="38">
        <f>SUM(J119:L119)</f>
        <v>0</v>
      </c>
      <c r="N119" s="172"/>
      <c r="O119" s="172"/>
      <c r="P119" s="172"/>
      <c r="Q119" s="38">
        <f>SUM(N119:P119)</f>
        <v>0</v>
      </c>
      <c r="R119" s="38">
        <f>+E119+I119+M119+Q119</f>
        <v>0</v>
      </c>
    </row>
    <row r="120" spans="1:20" ht="15.75" hidden="1" customHeight="1" x14ac:dyDescent="0.3">
      <c r="A120" s="235" t="s">
        <v>1022</v>
      </c>
      <c r="B120" s="248"/>
      <c r="C120" s="248"/>
      <c r="D120" s="248"/>
      <c r="E120" s="38" t="s">
        <v>852</v>
      </c>
      <c r="F120" s="248"/>
      <c r="G120" s="248"/>
      <c r="H120" s="248"/>
      <c r="I120" s="38" t="s">
        <v>852</v>
      </c>
      <c r="J120" s="248"/>
      <c r="K120" s="248"/>
      <c r="L120" s="248"/>
      <c r="M120" s="38" t="s">
        <v>852</v>
      </c>
      <c r="N120" s="248"/>
      <c r="O120" s="248"/>
      <c r="P120" s="248"/>
      <c r="Q120" s="38" t="s">
        <v>852</v>
      </c>
      <c r="R120" s="38" t="s">
        <v>852</v>
      </c>
    </row>
    <row r="121" spans="1:20" ht="15.75" hidden="1" customHeight="1" x14ac:dyDescent="0.3">
      <c r="A121" s="422" t="s">
        <v>239</v>
      </c>
      <c r="B121" s="172"/>
      <c r="C121" s="172"/>
      <c r="D121" s="172"/>
      <c r="E121" s="38">
        <f>SUM(B121:D121)</f>
        <v>0</v>
      </c>
      <c r="F121" s="172"/>
      <c r="G121" s="172"/>
      <c r="H121" s="172"/>
      <c r="I121" s="38">
        <f>SUM(F121:H121)</f>
        <v>0</v>
      </c>
      <c r="J121" s="172"/>
      <c r="K121" s="172"/>
      <c r="L121" s="172">
        <v>1168</v>
      </c>
      <c r="M121" s="38">
        <f>SUM(J121:L121)</f>
        <v>1168</v>
      </c>
      <c r="N121" s="172">
        <v>629</v>
      </c>
      <c r="O121" s="172"/>
      <c r="P121" s="172">
        <v>202</v>
      </c>
      <c r="Q121" s="38">
        <f>SUM(N121:P121)</f>
        <v>831</v>
      </c>
      <c r="R121" s="38">
        <f>+E121+I121+M121+Q121</f>
        <v>1999</v>
      </c>
      <c r="T121" t="s">
        <v>2774</v>
      </c>
    </row>
    <row r="122" spans="1:20" ht="15.75" hidden="1" customHeight="1" thickBot="1" x14ac:dyDescent="0.35">
      <c r="A122" s="235" t="s">
        <v>559</v>
      </c>
      <c r="B122" s="248"/>
      <c r="C122" s="248"/>
      <c r="D122" s="248"/>
      <c r="E122" s="38" t="s">
        <v>852</v>
      </c>
      <c r="F122" s="248"/>
      <c r="G122" s="248"/>
      <c r="H122" s="248"/>
      <c r="I122" s="38" t="s">
        <v>852</v>
      </c>
      <c r="J122" s="248"/>
      <c r="K122" s="248"/>
      <c r="L122" s="248"/>
      <c r="M122" s="38" t="s">
        <v>852</v>
      </c>
      <c r="N122" s="248"/>
      <c r="O122" s="248"/>
      <c r="P122" s="248"/>
      <c r="Q122" s="38" t="s">
        <v>852</v>
      </c>
      <c r="R122" s="38" t="s">
        <v>852</v>
      </c>
    </row>
    <row r="123" spans="1:20" ht="16.5" hidden="1" customHeight="1" thickBot="1" x14ac:dyDescent="0.35">
      <c r="A123" s="43" t="s">
        <v>1019</v>
      </c>
      <c r="B123" s="42">
        <f>SUM(B120:B122)</f>
        <v>0</v>
      </c>
      <c r="C123" s="42">
        <f>SUM(C120:C122)</f>
        <v>0</v>
      </c>
      <c r="D123" s="42">
        <f>SUM(D120:D122)</f>
        <v>0</v>
      </c>
      <c r="E123" s="39">
        <f>SUM(B123:D123)</f>
        <v>0</v>
      </c>
      <c r="F123" s="42">
        <f>SUM(F120:F122)</f>
        <v>0</v>
      </c>
      <c r="G123" s="42">
        <f>SUM(G120:G122)</f>
        <v>0</v>
      </c>
      <c r="H123" s="42">
        <f>SUM(H120:H122)</f>
        <v>0</v>
      </c>
      <c r="I123" s="39">
        <f>SUM(F123:H123)</f>
        <v>0</v>
      </c>
      <c r="J123" s="42">
        <f>SUM(J120:J122)</f>
        <v>0</v>
      </c>
      <c r="K123" s="42">
        <f>SUM(K120:K122)</f>
        <v>0</v>
      </c>
      <c r="L123" s="42">
        <f>SUM(L120:L122)</f>
        <v>1168</v>
      </c>
      <c r="M123" s="39">
        <f>SUM(J123:L123)</f>
        <v>1168</v>
      </c>
      <c r="N123" s="42">
        <f>SUM(N120:N122)</f>
        <v>629</v>
      </c>
      <c r="O123" s="42">
        <f>SUM(O120:O122)</f>
        <v>0</v>
      </c>
      <c r="P123" s="42">
        <f>SUM(P120:P122)</f>
        <v>202</v>
      </c>
      <c r="Q123" s="39">
        <f>SUM(N123:P123)</f>
        <v>831</v>
      </c>
      <c r="R123" s="37">
        <f>+E123+I123+M123+Q123</f>
        <v>1999</v>
      </c>
    </row>
    <row r="124" spans="1:20" ht="16.5" hidden="1" customHeight="1" thickBot="1" x14ac:dyDescent="0.35">
      <c r="A124" s="43" t="s">
        <v>1221</v>
      </c>
      <c r="B124" s="42">
        <f>SUM(B107:B122)</f>
        <v>0</v>
      </c>
      <c r="C124" s="42">
        <f>SUM(C107:C122)</f>
        <v>0</v>
      </c>
      <c r="D124" s="42">
        <f>SUM(D107:D122)</f>
        <v>0</v>
      </c>
      <c r="E124" s="39">
        <f>SUM(B124:D124)</f>
        <v>0</v>
      </c>
      <c r="F124" s="42">
        <f>SUM(F107:F122)</f>
        <v>0</v>
      </c>
      <c r="G124" s="42">
        <f>SUM(G107:G122)</f>
        <v>0</v>
      </c>
      <c r="H124" s="42">
        <f>SUM(H107:H122)</f>
        <v>0</v>
      </c>
      <c r="I124" s="39">
        <f>SUM(F124:H124)</f>
        <v>0</v>
      </c>
      <c r="J124" s="42">
        <f>SUM(J107:J122)</f>
        <v>0</v>
      </c>
      <c r="K124" s="42">
        <f>SUM(K107:K122)</f>
        <v>0</v>
      </c>
      <c r="L124" s="42">
        <f>SUM(L107:L122)</f>
        <v>1168</v>
      </c>
      <c r="M124" s="39">
        <f>SUM(J124:L124)</f>
        <v>1168</v>
      </c>
      <c r="N124" s="42">
        <f>SUM(N107:N122)</f>
        <v>629</v>
      </c>
      <c r="O124" s="42">
        <f>SUM(O107:O122)</f>
        <v>0</v>
      </c>
      <c r="P124" s="42">
        <f>SUM(P107:P122)</f>
        <v>202</v>
      </c>
      <c r="Q124" s="39">
        <f>SUM(N124:P124)</f>
        <v>831</v>
      </c>
      <c r="R124" s="37">
        <f>+E124+I124+M124+Q124</f>
        <v>1999</v>
      </c>
    </row>
    <row r="125" spans="1:20" ht="16.5" hidden="1" customHeight="1" thickBot="1" x14ac:dyDescent="0.35">
      <c r="A125" s="43" t="s">
        <v>1222</v>
      </c>
      <c r="B125" s="42">
        <f>+B88+B95+B106+B124</f>
        <v>1062</v>
      </c>
      <c r="C125" s="42">
        <f>+C88+C95+C106+C124</f>
        <v>2916</v>
      </c>
      <c r="D125" s="42">
        <f>+D88+D95+D106+D124</f>
        <v>5047</v>
      </c>
      <c r="E125" s="37">
        <f>SUM(B125:D125)</f>
        <v>9025</v>
      </c>
      <c r="F125" s="42">
        <f>+F88+F95+F106+F124</f>
        <v>6034</v>
      </c>
      <c r="G125" s="42">
        <f>+G88+G95+G106+G124</f>
        <v>6619</v>
      </c>
      <c r="H125" s="42">
        <f>+H88+H95+H106+H124</f>
        <v>7477</v>
      </c>
      <c r="I125" s="37">
        <f>SUM(F125:H125)</f>
        <v>20130</v>
      </c>
      <c r="J125" s="42">
        <f>+J88+J95+J106+J124</f>
        <v>7901</v>
      </c>
      <c r="K125" s="42">
        <f>+K88+K95+K106+K124</f>
        <v>6865</v>
      </c>
      <c r="L125" s="42">
        <f>+L88+L95+L106+L124</f>
        <v>3492</v>
      </c>
      <c r="M125" s="37">
        <f>SUM(J125:L125)</f>
        <v>18258</v>
      </c>
      <c r="N125" s="42">
        <f>+N88+N95+N106+N124</f>
        <v>2137</v>
      </c>
      <c r="O125" s="42">
        <f>+O88+O95+O106+O124</f>
        <v>614</v>
      </c>
      <c r="P125" s="42">
        <f>+P88+P95+P106+P124</f>
        <v>1018</v>
      </c>
      <c r="Q125" s="37">
        <f>SUM(N125:P125)</f>
        <v>3769</v>
      </c>
      <c r="R125" s="37">
        <f>+E125+I125+M125+Q125</f>
        <v>51182</v>
      </c>
    </row>
    <row r="126" spans="1:20" ht="16.5" hidden="1" customHeight="1" thickBot="1" x14ac:dyDescent="0.35">
      <c r="A126" s="257" t="s">
        <v>853</v>
      </c>
      <c r="B126" s="238">
        <v>173</v>
      </c>
      <c r="C126" s="238">
        <v>260</v>
      </c>
      <c r="D126" s="238">
        <v>471</v>
      </c>
      <c r="E126" s="38">
        <f>SUM(B126:D126)</f>
        <v>904</v>
      </c>
      <c r="F126" s="238">
        <v>629</v>
      </c>
      <c r="G126" s="238">
        <v>725</v>
      </c>
      <c r="H126" s="238">
        <v>712</v>
      </c>
      <c r="I126" s="38">
        <f>SUM(F126:H126)</f>
        <v>2066</v>
      </c>
      <c r="J126" s="238">
        <v>711</v>
      </c>
      <c r="K126" s="238">
        <v>573</v>
      </c>
      <c r="L126" s="238">
        <v>542</v>
      </c>
      <c r="M126" s="38">
        <f>SUM(J126:L126)</f>
        <v>1826</v>
      </c>
      <c r="N126" s="238">
        <v>490</v>
      </c>
      <c r="O126" s="238">
        <v>407</v>
      </c>
      <c r="P126" s="238">
        <v>323</v>
      </c>
      <c r="Q126" s="38">
        <f>SUM(N126:P126)</f>
        <v>1220</v>
      </c>
      <c r="R126" s="38">
        <f>+E126+I126+M126+Q126</f>
        <v>6016</v>
      </c>
    </row>
    <row r="127" spans="1:20" ht="16.5" hidden="1" customHeight="1" thickBot="1" x14ac:dyDescent="0.35">
      <c r="A127" s="44"/>
      <c r="B127" s="258"/>
      <c r="C127" s="258"/>
      <c r="D127" s="258"/>
      <c r="E127" s="37" t="s">
        <v>852</v>
      </c>
      <c r="F127" s="258"/>
      <c r="G127" s="258"/>
      <c r="H127" s="258"/>
      <c r="I127" s="37" t="s">
        <v>852</v>
      </c>
      <c r="J127" s="258"/>
      <c r="K127" s="258"/>
      <c r="L127" s="258"/>
      <c r="M127" s="37" t="s">
        <v>852</v>
      </c>
      <c r="N127" s="258"/>
      <c r="O127" s="258"/>
      <c r="P127" s="258"/>
      <c r="Q127" s="37" t="s">
        <v>852</v>
      </c>
      <c r="R127" s="37" t="s">
        <v>852</v>
      </c>
    </row>
    <row r="128" spans="1:20" ht="15.75" hidden="1" customHeight="1" x14ac:dyDescent="0.3">
      <c r="A128" s="259" t="s">
        <v>2011</v>
      </c>
      <c r="B128" s="260">
        <f>+B125+B126</f>
        <v>1235</v>
      </c>
      <c r="C128" s="260">
        <f>+C125+C126</f>
        <v>3176</v>
      </c>
      <c r="D128" s="260">
        <f>+D125+D126</f>
        <v>5518</v>
      </c>
      <c r="E128" s="38">
        <f>SUM(B128:D128)</f>
        <v>9929</v>
      </c>
      <c r="F128" s="260">
        <f>+F125+F126</f>
        <v>6663</v>
      </c>
      <c r="G128" s="260">
        <f>+G125+G126</f>
        <v>7344</v>
      </c>
      <c r="H128" s="260">
        <f>+H125+H126</f>
        <v>8189</v>
      </c>
      <c r="I128" s="38">
        <f>SUM(F128:H128)</f>
        <v>22196</v>
      </c>
      <c r="J128" s="260">
        <f>+J125+J126</f>
        <v>8612</v>
      </c>
      <c r="K128" s="260">
        <f>+K125+K126</f>
        <v>7438</v>
      </c>
      <c r="L128" s="260">
        <f>+L125+L126</f>
        <v>4034</v>
      </c>
      <c r="M128" s="38">
        <f>SUM(J128:L128)</f>
        <v>20084</v>
      </c>
      <c r="N128" s="260">
        <f>+N125+N126</f>
        <v>2627</v>
      </c>
      <c r="O128" s="260">
        <f>+O125+O126</f>
        <v>1021</v>
      </c>
      <c r="P128" s="260">
        <f>+P125+P126</f>
        <v>1341</v>
      </c>
      <c r="Q128" s="38">
        <f>SUM(N128:P128)</f>
        <v>4989</v>
      </c>
      <c r="R128" s="38">
        <f>+E128+I128+M128+Q128</f>
        <v>57198</v>
      </c>
    </row>
    <row r="129" spans="1:20" ht="15.75" hidden="1" customHeight="1" x14ac:dyDescent="0.3">
      <c r="A129" s="261" t="s">
        <v>1897</v>
      </c>
      <c r="B129" s="172">
        <f>(B128/B10)/1.983</f>
        <v>20.090120866071281</v>
      </c>
      <c r="C129" s="172">
        <f>(C128/C10)/1.983</f>
        <v>55.228059192793921</v>
      </c>
      <c r="D129" s="172">
        <f>(D128/D10)/1.983</f>
        <v>89.76298537569339</v>
      </c>
      <c r="E129" s="38" t="s">
        <v>852</v>
      </c>
      <c r="F129" s="172">
        <f>(F128/F10)/1.983</f>
        <v>112.00201714573878</v>
      </c>
      <c r="G129" s="172">
        <f>(G128/G10)/1.983</f>
        <v>119.46708310965789</v>
      </c>
      <c r="H129" s="172">
        <f>(H128/H10)/1.983</f>
        <v>137.65338712388635</v>
      </c>
      <c r="I129" s="38" t="s">
        <v>852</v>
      </c>
      <c r="J129" s="172">
        <f>(J128/J10)/1.983</f>
        <v>140.09402501911407</v>
      </c>
      <c r="K129" s="172">
        <f>(K128/K10)/1.983</f>
        <v>120.99620971808761</v>
      </c>
      <c r="L129" s="172">
        <f>(L128/L10)/1.983</f>
        <v>67.809715918641785</v>
      </c>
      <c r="M129" s="38" t="s">
        <v>852</v>
      </c>
      <c r="N129" s="172">
        <f>(N128/N10)/1.983</f>
        <v>42.734208514307092</v>
      </c>
      <c r="O129" s="172">
        <f>(O128/O10)/1.983</f>
        <v>17.16254832744999</v>
      </c>
      <c r="P129" s="172">
        <f>(P128/P10)/1.983</f>
        <v>21.814455126640961</v>
      </c>
      <c r="Q129" s="38" t="s">
        <v>852</v>
      </c>
      <c r="R129" s="38" t="s">
        <v>852</v>
      </c>
    </row>
    <row r="130" spans="1:20" ht="15.75" hidden="1" customHeight="1" x14ac:dyDescent="0.3">
      <c r="A130" s="262" t="s">
        <v>1679</v>
      </c>
      <c r="B130" s="172">
        <f>B128+B293</f>
        <v>152146</v>
      </c>
      <c r="C130" s="172">
        <f>C128+C293</f>
        <v>113658</v>
      </c>
      <c r="D130" s="172">
        <f>D128+D293</f>
        <v>121923</v>
      </c>
      <c r="E130" s="38">
        <f>SUM(B130:D130)</f>
        <v>387727</v>
      </c>
      <c r="F130" s="172">
        <f>F128+F293</f>
        <v>166337</v>
      </c>
      <c r="G130" s="172">
        <f>G128+G293</f>
        <v>177295</v>
      </c>
      <c r="H130" s="172">
        <f>H128+H293</f>
        <v>90823</v>
      </c>
      <c r="I130" s="38">
        <f>SUM(F130:H130)</f>
        <v>434455</v>
      </c>
      <c r="J130" s="172">
        <f>J128+J293</f>
        <v>76613</v>
      </c>
      <c r="K130" s="172">
        <f>K128+K293</f>
        <v>67039</v>
      </c>
      <c r="L130" s="172">
        <f>L128+L293</f>
        <v>130630</v>
      </c>
      <c r="M130" s="38">
        <f>SUM(J130:L130)</f>
        <v>274282</v>
      </c>
      <c r="N130" s="172">
        <f>N128+N293</f>
        <v>132880</v>
      </c>
      <c r="O130" s="172">
        <f>O128+O293</f>
        <v>137953</v>
      </c>
      <c r="P130" s="172">
        <f>P128+P293</f>
        <v>116828</v>
      </c>
      <c r="Q130" s="38">
        <f>SUM(N130:P130)</f>
        <v>387661</v>
      </c>
      <c r="R130" s="38">
        <f>+E130+I130+M130+Q130</f>
        <v>1484125</v>
      </c>
    </row>
    <row r="131" spans="1:20" ht="16.5" hidden="1" customHeight="1" thickBot="1" x14ac:dyDescent="0.35">
      <c r="A131" s="263" t="s">
        <v>6</v>
      </c>
      <c r="B131" s="264">
        <f>(B130/B10)/1.983</f>
        <v>2475.0052868739122</v>
      </c>
      <c r="C131" s="264">
        <f>(C130/C10)/1.983</f>
        <v>1976.4202618811621</v>
      </c>
      <c r="D131" s="264">
        <f>(D130/D10)/1.983</f>
        <v>1983.3585476550679</v>
      </c>
      <c r="E131" s="40" t="s">
        <v>852</v>
      </c>
      <c r="F131" s="264">
        <f>(F130/F10)/1.983</f>
        <v>2796.0497562615565</v>
      </c>
      <c r="G131" s="264">
        <f>(G130/G10)/1.983</f>
        <v>2884.1117238462411</v>
      </c>
      <c r="H131" s="264">
        <f>(H130/H10)/1.983</f>
        <v>1526.6935619431838</v>
      </c>
      <c r="I131" s="40" t="s">
        <v>852</v>
      </c>
      <c r="J131" s="264">
        <f>(J130/J10)/1.983</f>
        <v>1246.2869877832545</v>
      </c>
      <c r="K131" s="264">
        <f>(K130/K10)/1.983</f>
        <v>1090.5438159842531</v>
      </c>
      <c r="L131" s="264">
        <f>(L130/L10)/1.983</f>
        <v>2195.8312321398553</v>
      </c>
      <c r="M131" s="40" t="s">
        <v>852</v>
      </c>
      <c r="N131" s="264">
        <f>(N130/N10)/1.983</f>
        <v>2161.5994013631998</v>
      </c>
      <c r="O131" s="264">
        <f>(O130/O10)/1.983</f>
        <v>2318.9275508488822</v>
      </c>
      <c r="P131" s="264">
        <f>(P130/P10)/1.983</f>
        <v>1900.4766320173082</v>
      </c>
      <c r="Q131" s="40" t="s">
        <v>852</v>
      </c>
      <c r="R131" s="40" t="s">
        <v>852</v>
      </c>
    </row>
    <row r="132" spans="1:20" ht="15.75" hidden="1" customHeight="1" x14ac:dyDescent="0.3">
      <c r="A132" s="18"/>
      <c r="B132" s="172"/>
      <c r="C132" s="172"/>
      <c r="D132" s="172"/>
      <c r="E132" s="172"/>
      <c r="F132" s="172"/>
      <c r="G132" s="172"/>
      <c r="H132" s="172"/>
      <c r="I132" s="172"/>
      <c r="J132" s="172"/>
      <c r="K132" s="172"/>
      <c r="L132" s="172"/>
      <c r="M132" s="172"/>
      <c r="N132" s="172"/>
      <c r="O132" s="172"/>
      <c r="P132" s="172"/>
      <c r="Q132" s="172"/>
      <c r="R132" s="17"/>
    </row>
    <row r="133" spans="1:20" ht="15.75" hidden="1" customHeight="1" thickBot="1" x14ac:dyDescent="0.35">
      <c r="A133" s="18" t="s">
        <v>852</v>
      </c>
      <c r="B133" s="172"/>
      <c r="C133" s="172"/>
      <c r="D133" s="172"/>
      <c r="E133" s="172"/>
      <c r="F133" s="172"/>
      <c r="G133" s="172"/>
      <c r="H133" s="172"/>
      <c r="I133" s="172"/>
      <c r="J133" s="172"/>
      <c r="K133" s="172"/>
      <c r="L133" s="172"/>
      <c r="M133" s="172"/>
      <c r="N133" s="172"/>
      <c r="O133" s="172"/>
      <c r="P133" s="172"/>
      <c r="Q133" s="172"/>
      <c r="R133" s="17"/>
    </row>
    <row r="134" spans="1:20" ht="16.5" hidden="1" customHeight="1" thickBot="1" x14ac:dyDescent="0.35">
      <c r="A134" s="240" t="s">
        <v>1446</v>
      </c>
      <c r="B134" s="4" t="s">
        <v>2090</v>
      </c>
      <c r="C134" s="5" t="s">
        <v>2091</v>
      </c>
      <c r="D134" s="5" t="s">
        <v>2234</v>
      </c>
      <c r="E134" s="33" t="s">
        <v>1594</v>
      </c>
      <c r="F134" s="5" t="s">
        <v>2235</v>
      </c>
      <c r="G134" s="5" t="s">
        <v>2236</v>
      </c>
      <c r="H134" s="5" t="s">
        <v>2237</v>
      </c>
      <c r="I134" s="35" t="s">
        <v>1595</v>
      </c>
      <c r="J134" s="5" t="s">
        <v>1504</v>
      </c>
      <c r="K134" s="5" t="s">
        <v>1505</v>
      </c>
      <c r="L134" s="5" t="s">
        <v>1506</v>
      </c>
      <c r="M134" s="35" t="s">
        <v>1596</v>
      </c>
      <c r="N134" s="5" t="s">
        <v>1507</v>
      </c>
      <c r="O134" s="5" t="s">
        <v>1508</v>
      </c>
      <c r="P134" s="5" t="s">
        <v>1509</v>
      </c>
      <c r="Q134" s="35" t="s">
        <v>1597</v>
      </c>
      <c r="R134" s="36" t="s">
        <v>1510</v>
      </c>
    </row>
    <row r="135" spans="1:20" ht="16.5" hidden="1" customHeight="1" thickBot="1" x14ac:dyDescent="0.35">
      <c r="A135" s="44"/>
      <c r="B135" s="258"/>
      <c r="C135" s="258"/>
      <c r="D135" s="258"/>
      <c r="E135" s="265"/>
      <c r="F135" s="258"/>
      <c r="G135" s="258"/>
      <c r="H135" s="258"/>
      <c r="I135" s="265"/>
      <c r="J135" s="258"/>
      <c r="K135" s="258"/>
      <c r="L135" s="258"/>
      <c r="M135" s="265"/>
      <c r="N135" s="258"/>
      <c r="O135" s="258"/>
      <c r="P135" s="258"/>
      <c r="Q135" s="265"/>
      <c r="R135" s="44"/>
    </row>
    <row r="136" spans="1:20" ht="15.75" hidden="1" customHeight="1" x14ac:dyDescent="0.3">
      <c r="A136" s="234" t="s">
        <v>2417</v>
      </c>
      <c r="B136" s="172" t="s">
        <v>852</v>
      </c>
      <c r="C136" s="172" t="s">
        <v>852</v>
      </c>
      <c r="D136" s="172" t="s">
        <v>852</v>
      </c>
      <c r="E136" s="38" t="s">
        <v>852</v>
      </c>
      <c r="F136" s="172" t="s">
        <v>852</v>
      </c>
      <c r="G136" s="172" t="s">
        <v>852</v>
      </c>
      <c r="H136" s="172" t="s">
        <v>852</v>
      </c>
      <c r="I136" s="38" t="s">
        <v>852</v>
      </c>
      <c r="J136" s="172" t="s">
        <v>852</v>
      </c>
      <c r="K136" s="172" t="s">
        <v>852</v>
      </c>
      <c r="L136" s="172" t="s">
        <v>852</v>
      </c>
      <c r="M136" s="38" t="s">
        <v>852</v>
      </c>
      <c r="N136" s="172" t="s">
        <v>852</v>
      </c>
      <c r="O136" s="172" t="s">
        <v>852</v>
      </c>
      <c r="P136" s="172" t="s">
        <v>852</v>
      </c>
      <c r="Q136" s="38" t="s">
        <v>852</v>
      </c>
      <c r="R136" s="48" t="s">
        <v>852</v>
      </c>
    </row>
    <row r="137" spans="1:20" ht="15.75" hidden="1" customHeight="1" x14ac:dyDescent="0.3">
      <c r="A137" s="234" t="s">
        <v>2160</v>
      </c>
      <c r="B137" s="172"/>
      <c r="C137" s="172"/>
      <c r="D137" s="172"/>
      <c r="E137" s="38" t="s">
        <v>852</v>
      </c>
      <c r="F137" s="172"/>
      <c r="G137" s="172"/>
      <c r="H137" s="172"/>
      <c r="I137" s="38" t="s">
        <v>852</v>
      </c>
      <c r="J137" s="172"/>
      <c r="K137" s="172"/>
      <c r="L137" s="172"/>
      <c r="M137" s="38" t="s">
        <v>852</v>
      </c>
      <c r="N137" s="172"/>
      <c r="O137" s="172"/>
      <c r="P137" s="172"/>
      <c r="Q137" s="38" t="s">
        <v>852</v>
      </c>
      <c r="R137" s="48"/>
    </row>
    <row r="138" spans="1:20" ht="15.75" hidden="1" customHeight="1" x14ac:dyDescent="0.3">
      <c r="A138" s="569" t="s">
        <v>2730</v>
      </c>
      <c r="B138" s="172"/>
      <c r="C138" s="172"/>
      <c r="D138" s="172">
        <v>328</v>
      </c>
      <c r="E138" s="38">
        <f t="shared" ref="E138:E143" si="20">SUM(B138:D138)</f>
        <v>328</v>
      </c>
      <c r="F138" s="172">
        <v>335</v>
      </c>
      <c r="G138" s="172">
        <v>611</v>
      </c>
      <c r="H138" s="172">
        <v>585</v>
      </c>
      <c r="I138" s="38">
        <f t="shared" ref="I138:I143" si="21">SUM(F138:H138)</f>
        <v>1531</v>
      </c>
      <c r="J138" s="172">
        <v>656</v>
      </c>
      <c r="K138" s="172">
        <v>443</v>
      </c>
      <c r="L138" s="172">
        <v>703</v>
      </c>
      <c r="M138" s="38">
        <f t="shared" ref="M138:M143" si="22">SUM(J138:L138)</f>
        <v>1802</v>
      </c>
      <c r="N138" s="172">
        <v>528</v>
      </c>
      <c r="O138" s="172"/>
      <c r="P138" s="172"/>
      <c r="Q138" s="38">
        <f t="shared" ref="Q138:Q143" si="23">SUM(N138:P138)</f>
        <v>528</v>
      </c>
      <c r="R138" s="38">
        <f t="shared" ref="R138:R143" si="24">+E138+I138+M138+Q138</f>
        <v>4189</v>
      </c>
      <c r="T138" t="s">
        <v>2764</v>
      </c>
    </row>
    <row r="139" spans="1:20" ht="15.75" hidden="1" customHeight="1" x14ac:dyDescent="0.3">
      <c r="A139" s="569" t="s">
        <v>2733</v>
      </c>
      <c r="B139" s="172"/>
      <c r="C139" s="172">
        <v>81</v>
      </c>
      <c r="D139" s="172">
        <v>869</v>
      </c>
      <c r="E139" s="38">
        <f t="shared" si="20"/>
        <v>950</v>
      </c>
      <c r="F139" s="172">
        <f>524+1085</f>
        <v>1609</v>
      </c>
      <c r="G139" s="172">
        <f>156+1183</f>
        <v>1339</v>
      </c>
      <c r="H139" s="172">
        <f>146+1549</f>
        <v>1695</v>
      </c>
      <c r="I139" s="38">
        <f t="shared" si="21"/>
        <v>4643</v>
      </c>
      <c r="J139" s="172">
        <f>173+1615</f>
        <v>1788</v>
      </c>
      <c r="K139" s="172">
        <v>1502</v>
      </c>
      <c r="L139" s="172">
        <v>1297</v>
      </c>
      <c r="M139" s="38">
        <f t="shared" si="22"/>
        <v>4587</v>
      </c>
      <c r="N139" s="172">
        <v>913</v>
      </c>
      <c r="O139" s="172"/>
      <c r="P139" s="172"/>
      <c r="Q139" s="38">
        <f t="shared" si="23"/>
        <v>913</v>
      </c>
      <c r="R139" s="38">
        <f t="shared" si="24"/>
        <v>11093</v>
      </c>
      <c r="T139" t="s">
        <v>2764</v>
      </c>
    </row>
    <row r="140" spans="1:20" ht="15.75" hidden="1" customHeight="1" x14ac:dyDescent="0.3">
      <c r="A140" s="569" t="s">
        <v>2734</v>
      </c>
      <c r="B140" s="172"/>
      <c r="C140" s="172"/>
      <c r="D140" s="172"/>
      <c r="E140" s="38">
        <f t="shared" si="20"/>
        <v>0</v>
      </c>
      <c r="F140" s="172">
        <v>358</v>
      </c>
      <c r="G140" s="172">
        <v>346</v>
      </c>
      <c r="H140" s="172">
        <v>331</v>
      </c>
      <c r="I140" s="38">
        <f t="shared" si="21"/>
        <v>1035</v>
      </c>
      <c r="J140" s="172">
        <v>371</v>
      </c>
      <c r="K140" s="172">
        <v>251</v>
      </c>
      <c r="L140" s="172">
        <v>248</v>
      </c>
      <c r="M140" s="38">
        <f t="shared" si="22"/>
        <v>870</v>
      </c>
      <c r="N140" s="172">
        <v>467</v>
      </c>
      <c r="O140" s="172"/>
      <c r="P140" s="172"/>
      <c r="Q140" s="38">
        <f t="shared" si="23"/>
        <v>467</v>
      </c>
      <c r="R140" s="38">
        <f t="shared" si="24"/>
        <v>2372</v>
      </c>
      <c r="T140" t="s">
        <v>2764</v>
      </c>
    </row>
    <row r="141" spans="1:20" ht="15.75" hidden="1" customHeight="1" x14ac:dyDescent="0.3">
      <c r="A141" s="569" t="s">
        <v>2735</v>
      </c>
      <c r="B141" s="172"/>
      <c r="C141" s="172"/>
      <c r="D141" s="172"/>
      <c r="E141" s="38">
        <f t="shared" si="20"/>
        <v>0</v>
      </c>
      <c r="F141" s="172">
        <v>488</v>
      </c>
      <c r="G141" s="172">
        <v>471</v>
      </c>
      <c r="H141" s="172">
        <v>451</v>
      </c>
      <c r="I141" s="38">
        <f t="shared" si="21"/>
        <v>1410</v>
      </c>
      <c r="J141" s="172">
        <v>506</v>
      </c>
      <c r="K141" s="172">
        <v>342</v>
      </c>
      <c r="L141" s="172">
        <v>790</v>
      </c>
      <c r="M141" s="38">
        <f t="shared" si="22"/>
        <v>1638</v>
      </c>
      <c r="N141" s="172">
        <v>183</v>
      </c>
      <c r="O141" s="172"/>
      <c r="P141" s="172"/>
      <c r="Q141" s="38">
        <f t="shared" si="23"/>
        <v>183</v>
      </c>
      <c r="R141" s="38">
        <f t="shared" si="24"/>
        <v>3231</v>
      </c>
      <c r="T141" t="s">
        <v>2764</v>
      </c>
    </row>
    <row r="142" spans="1:20" ht="15.75" hidden="1" customHeight="1" x14ac:dyDescent="0.3">
      <c r="A142" s="539" t="s">
        <v>2238</v>
      </c>
      <c r="B142" s="10"/>
      <c r="C142" s="10"/>
      <c r="D142" s="10"/>
      <c r="E142" s="38">
        <f t="shared" si="20"/>
        <v>0</v>
      </c>
      <c r="F142" s="10"/>
      <c r="G142" s="10"/>
      <c r="H142" s="10">
        <v>6</v>
      </c>
      <c r="I142" s="38">
        <f t="shared" si="21"/>
        <v>6</v>
      </c>
      <c r="J142" s="10">
        <v>7</v>
      </c>
      <c r="K142" s="10">
        <v>4</v>
      </c>
      <c r="L142" s="10">
        <v>4</v>
      </c>
      <c r="M142" s="38">
        <f t="shared" si="22"/>
        <v>15</v>
      </c>
      <c r="N142" s="10">
        <v>3</v>
      </c>
      <c r="O142" s="10">
        <v>1</v>
      </c>
      <c r="P142" s="10">
        <v>3</v>
      </c>
      <c r="Q142" s="38">
        <f t="shared" si="23"/>
        <v>7</v>
      </c>
      <c r="R142" s="38">
        <f t="shared" si="24"/>
        <v>28</v>
      </c>
      <c r="T142" t="s">
        <v>1193</v>
      </c>
    </row>
    <row r="143" spans="1:20" ht="15.75" hidden="1" customHeight="1" x14ac:dyDescent="0.3">
      <c r="A143" s="569" t="s">
        <v>3046</v>
      </c>
      <c r="B143" s="10"/>
      <c r="C143" s="10"/>
      <c r="D143" s="10">
        <v>375</v>
      </c>
      <c r="E143" s="38">
        <f t="shared" si="20"/>
        <v>375</v>
      </c>
      <c r="F143" s="10"/>
      <c r="G143" s="10"/>
      <c r="H143" s="10"/>
      <c r="I143" s="38">
        <f t="shared" si="21"/>
        <v>0</v>
      </c>
      <c r="J143" s="10"/>
      <c r="K143" s="10"/>
      <c r="L143" s="10"/>
      <c r="M143" s="38">
        <f t="shared" si="22"/>
        <v>0</v>
      </c>
      <c r="N143" s="10"/>
      <c r="O143" s="10"/>
      <c r="P143" s="10"/>
      <c r="Q143" s="38">
        <f t="shared" si="23"/>
        <v>0</v>
      </c>
      <c r="R143" s="38">
        <f t="shared" si="24"/>
        <v>375</v>
      </c>
      <c r="T143" t="s">
        <v>2764</v>
      </c>
    </row>
    <row r="144" spans="1:20" ht="15.75" hidden="1" customHeight="1" x14ac:dyDescent="0.3">
      <c r="A144" s="569" t="s">
        <v>2736</v>
      </c>
      <c r="B144" s="172"/>
      <c r="C144" s="172"/>
      <c r="D144" s="172"/>
      <c r="E144" s="38">
        <f t="shared" ref="E144:E155" si="25">SUM(B144:D144)</f>
        <v>0</v>
      </c>
      <c r="F144" s="172"/>
      <c r="G144" s="172"/>
      <c r="H144" s="172"/>
      <c r="I144" s="38">
        <f t="shared" ref="I144:I155" si="26">SUM(F144:H144)</f>
        <v>0</v>
      </c>
      <c r="J144" s="172"/>
      <c r="K144" s="172"/>
      <c r="L144" s="172"/>
      <c r="M144" s="38">
        <f t="shared" ref="M144:M155" si="27">SUM(J144:L144)</f>
        <v>0</v>
      </c>
      <c r="N144" s="172"/>
      <c r="O144" s="172"/>
      <c r="P144" s="172"/>
      <c r="Q144" s="38">
        <f t="shared" ref="Q144:Q155" si="28">SUM(N144:P144)</f>
        <v>0</v>
      </c>
      <c r="R144" s="38">
        <f t="shared" ref="R144:R180" si="29">+E144+I144+M144+Q144</f>
        <v>0</v>
      </c>
      <c r="T144" t="s">
        <v>2769</v>
      </c>
    </row>
    <row r="145" spans="1:20" ht="15.75" hidden="1" customHeight="1" x14ac:dyDescent="0.3">
      <c r="A145" s="569" t="s">
        <v>917</v>
      </c>
      <c r="B145" s="10"/>
      <c r="C145" s="10">
        <v>1000</v>
      </c>
      <c r="D145" s="10">
        <v>1000</v>
      </c>
      <c r="E145" s="38">
        <f t="shared" si="25"/>
        <v>2000</v>
      </c>
      <c r="F145" s="10">
        <v>1512</v>
      </c>
      <c r="G145" s="10">
        <v>1904</v>
      </c>
      <c r="H145" s="10"/>
      <c r="I145" s="38">
        <f t="shared" si="26"/>
        <v>3416</v>
      </c>
      <c r="J145" s="172"/>
      <c r="K145" s="172"/>
      <c r="L145" s="172"/>
      <c r="M145" s="38">
        <f t="shared" si="27"/>
        <v>0</v>
      </c>
      <c r="N145" s="172"/>
      <c r="O145" s="172"/>
      <c r="P145" s="172"/>
      <c r="Q145" s="38">
        <f t="shared" si="28"/>
        <v>0</v>
      </c>
      <c r="R145" s="38">
        <f t="shared" si="29"/>
        <v>5416</v>
      </c>
      <c r="T145" t="s">
        <v>2770</v>
      </c>
    </row>
    <row r="146" spans="1:20" ht="15.75" hidden="1" customHeight="1" x14ac:dyDescent="0.3">
      <c r="A146" s="539" t="s">
        <v>3001</v>
      </c>
      <c r="B146" s="172"/>
      <c r="C146" s="172"/>
      <c r="D146" s="172"/>
      <c r="E146" s="38">
        <f t="shared" si="25"/>
        <v>0</v>
      </c>
      <c r="F146" s="172"/>
      <c r="G146" s="172"/>
      <c r="H146" s="172"/>
      <c r="I146" s="38">
        <f t="shared" si="26"/>
        <v>0</v>
      </c>
      <c r="J146" s="172"/>
      <c r="K146" s="172"/>
      <c r="L146" s="172"/>
      <c r="M146" s="38">
        <f t="shared" si="27"/>
        <v>0</v>
      </c>
      <c r="N146" s="172"/>
      <c r="O146" s="172"/>
      <c r="P146" s="172"/>
      <c r="Q146" s="38">
        <f t="shared" si="28"/>
        <v>0</v>
      </c>
      <c r="R146" s="38">
        <f t="shared" si="29"/>
        <v>0</v>
      </c>
      <c r="S146" t="s">
        <v>3020</v>
      </c>
      <c r="T146" t="s">
        <v>2760</v>
      </c>
    </row>
    <row r="147" spans="1:20" ht="15.75" hidden="1" customHeight="1" x14ac:dyDescent="0.3">
      <c r="A147" s="569" t="s">
        <v>1323</v>
      </c>
      <c r="B147" s="172"/>
      <c r="C147" s="10"/>
      <c r="D147" s="10">
        <v>1000</v>
      </c>
      <c r="E147" s="38">
        <f>SUM(B147:D147)</f>
        <v>1000</v>
      </c>
      <c r="F147" s="10">
        <v>318</v>
      </c>
      <c r="G147" s="10">
        <v>1055</v>
      </c>
      <c r="H147" s="172">
        <v>1247</v>
      </c>
      <c r="I147" s="38">
        <f t="shared" si="26"/>
        <v>2620</v>
      </c>
      <c r="J147" s="172"/>
      <c r="K147" s="172">
        <v>453</v>
      </c>
      <c r="L147" s="172">
        <v>279</v>
      </c>
      <c r="M147" s="38">
        <f t="shared" si="27"/>
        <v>732</v>
      </c>
      <c r="N147" s="172"/>
      <c r="O147" s="172">
        <v>487</v>
      </c>
      <c r="P147" s="172"/>
      <c r="Q147" s="38">
        <f t="shared" si="28"/>
        <v>487</v>
      </c>
      <c r="R147" s="38">
        <f t="shared" si="29"/>
        <v>4839</v>
      </c>
      <c r="T147" t="s">
        <v>2769</v>
      </c>
    </row>
    <row r="148" spans="1:20" ht="15.75" hidden="1" customHeight="1" x14ac:dyDescent="0.3">
      <c r="A148" s="569" t="s">
        <v>2317</v>
      </c>
      <c r="B148" s="172"/>
      <c r="C148" s="172"/>
      <c r="D148" s="172"/>
      <c r="E148" s="38">
        <f t="shared" si="25"/>
        <v>0</v>
      </c>
      <c r="F148" s="172"/>
      <c r="G148" s="172"/>
      <c r="H148" s="172"/>
      <c r="I148" s="38">
        <f t="shared" si="26"/>
        <v>0</v>
      </c>
      <c r="J148" s="172"/>
      <c r="K148" s="172"/>
      <c r="L148" s="172">
        <v>157</v>
      </c>
      <c r="M148" s="38">
        <f t="shared" si="27"/>
        <v>157</v>
      </c>
      <c r="N148" s="172"/>
      <c r="O148" s="172"/>
      <c r="P148" s="172"/>
      <c r="Q148" s="38">
        <f t="shared" si="28"/>
        <v>0</v>
      </c>
      <c r="R148" s="38">
        <f t="shared" si="29"/>
        <v>157</v>
      </c>
      <c r="T148" t="s">
        <v>2770</v>
      </c>
    </row>
    <row r="149" spans="1:20" ht="15.75" hidden="1" customHeight="1" x14ac:dyDescent="0.3">
      <c r="A149" s="569" t="s">
        <v>2988</v>
      </c>
      <c r="B149" s="172"/>
      <c r="C149" s="172"/>
      <c r="D149" s="172"/>
      <c r="E149" s="38">
        <f t="shared" si="25"/>
        <v>0</v>
      </c>
      <c r="F149" s="172">
        <v>1000</v>
      </c>
      <c r="G149" s="172">
        <v>1000</v>
      </c>
      <c r="H149" s="172">
        <v>1000</v>
      </c>
      <c r="I149" s="38">
        <f t="shared" si="26"/>
        <v>3000</v>
      </c>
      <c r="J149" s="172"/>
      <c r="K149" s="172"/>
      <c r="L149" s="172"/>
      <c r="M149" s="38">
        <f t="shared" si="27"/>
        <v>0</v>
      </c>
      <c r="N149" s="172"/>
      <c r="O149" s="172"/>
      <c r="P149" s="172"/>
      <c r="Q149" s="38">
        <f t="shared" si="28"/>
        <v>0</v>
      </c>
      <c r="R149" s="38">
        <f t="shared" si="29"/>
        <v>3000</v>
      </c>
      <c r="T149" t="s">
        <v>2764</v>
      </c>
    </row>
    <row r="150" spans="1:20" ht="15.75" hidden="1" customHeight="1" x14ac:dyDescent="0.3">
      <c r="A150" s="539" t="s">
        <v>1880</v>
      </c>
      <c r="B150" s="172">
        <v>36</v>
      </c>
      <c r="C150" s="172">
        <v>33</v>
      </c>
      <c r="D150" s="172">
        <v>36</v>
      </c>
      <c r="E150" s="38">
        <f t="shared" si="25"/>
        <v>105</v>
      </c>
      <c r="F150" s="172">
        <v>40</v>
      </c>
      <c r="G150" s="172">
        <v>43</v>
      </c>
      <c r="H150" s="172">
        <v>50</v>
      </c>
      <c r="I150" s="38">
        <f t="shared" si="26"/>
        <v>133</v>
      </c>
      <c r="J150" s="172">
        <v>51</v>
      </c>
      <c r="K150" s="172">
        <v>55</v>
      </c>
      <c r="L150" s="172">
        <v>52</v>
      </c>
      <c r="M150" s="38">
        <f t="shared" si="27"/>
        <v>158</v>
      </c>
      <c r="N150" s="172">
        <v>63</v>
      </c>
      <c r="O150" s="172">
        <v>32</v>
      </c>
      <c r="P150" s="172">
        <v>27</v>
      </c>
      <c r="Q150" s="38">
        <f t="shared" si="28"/>
        <v>122</v>
      </c>
      <c r="R150" s="38">
        <f t="shared" si="29"/>
        <v>518</v>
      </c>
      <c r="T150" t="s">
        <v>2761</v>
      </c>
    </row>
    <row r="151" spans="1:20" ht="15.75" hidden="1" customHeight="1" x14ac:dyDescent="0.3">
      <c r="A151" s="539" t="s">
        <v>703</v>
      </c>
      <c r="B151" s="10">
        <v>115</v>
      </c>
      <c r="C151" s="10">
        <v>136</v>
      </c>
      <c r="D151" s="10">
        <v>141</v>
      </c>
      <c r="E151" s="38">
        <f t="shared" si="25"/>
        <v>392</v>
      </c>
      <c r="F151" s="10">
        <v>145</v>
      </c>
      <c r="G151" s="10">
        <v>162</v>
      </c>
      <c r="H151" s="10">
        <v>189</v>
      </c>
      <c r="I151" s="38">
        <f t="shared" si="26"/>
        <v>496</v>
      </c>
      <c r="J151" s="10">
        <v>205</v>
      </c>
      <c r="K151" s="10">
        <v>165</v>
      </c>
      <c r="L151" s="10">
        <v>168</v>
      </c>
      <c r="M151" s="38">
        <f t="shared" si="27"/>
        <v>538</v>
      </c>
      <c r="N151" s="10">
        <v>223</v>
      </c>
      <c r="O151" s="10">
        <v>148</v>
      </c>
      <c r="P151" s="10">
        <v>134</v>
      </c>
      <c r="Q151" s="38">
        <f t="shared" si="28"/>
        <v>505</v>
      </c>
      <c r="R151" s="38">
        <f t="shared" si="29"/>
        <v>1931</v>
      </c>
      <c r="T151" t="s">
        <v>2874</v>
      </c>
    </row>
    <row r="152" spans="1:20" ht="15.75" hidden="1" customHeight="1" x14ac:dyDescent="0.3">
      <c r="A152" s="539" t="s">
        <v>2967</v>
      </c>
      <c r="B152" s="172"/>
      <c r="C152" s="172"/>
      <c r="D152" s="172"/>
      <c r="E152" s="38">
        <f t="shared" si="25"/>
        <v>0</v>
      </c>
      <c r="F152" s="172"/>
      <c r="G152" s="172"/>
      <c r="H152" s="172"/>
      <c r="I152" s="38">
        <f t="shared" si="26"/>
        <v>0</v>
      </c>
      <c r="J152" s="172"/>
      <c r="K152" s="172"/>
      <c r="L152" s="172">
        <f>24+300</f>
        <v>324</v>
      </c>
      <c r="M152" s="38">
        <f t="shared" si="27"/>
        <v>324</v>
      </c>
      <c r="N152" s="356">
        <f>637+126</f>
        <v>763</v>
      </c>
      <c r="O152" s="172">
        <f>500+148</f>
        <v>648</v>
      </c>
      <c r="P152" s="172"/>
      <c r="Q152" s="38">
        <f t="shared" si="28"/>
        <v>1411</v>
      </c>
      <c r="R152" s="38">
        <f t="shared" si="29"/>
        <v>1735</v>
      </c>
      <c r="S152" t="s">
        <v>3020</v>
      </c>
    </row>
    <row r="153" spans="1:20" ht="15.75" hidden="1" customHeight="1" x14ac:dyDescent="0.3">
      <c r="A153" s="569" t="s">
        <v>2829</v>
      </c>
      <c r="B153" s="172"/>
      <c r="C153" s="172"/>
      <c r="D153" s="172"/>
      <c r="E153" s="38">
        <f t="shared" si="25"/>
        <v>0</v>
      </c>
      <c r="F153" s="172"/>
      <c r="G153" s="172">
        <v>63</v>
      </c>
      <c r="H153" s="172">
        <v>63</v>
      </c>
      <c r="I153" s="38">
        <f t="shared" si="26"/>
        <v>126</v>
      </c>
      <c r="J153" s="172">
        <v>62</v>
      </c>
      <c r="K153" s="172">
        <v>158</v>
      </c>
      <c r="L153" s="172">
        <v>154</v>
      </c>
      <c r="M153" s="38">
        <f t="shared" si="27"/>
        <v>374</v>
      </c>
      <c r="N153" s="172"/>
      <c r="O153" s="172"/>
      <c r="P153" s="172"/>
      <c r="Q153" s="38">
        <f t="shared" si="28"/>
        <v>0</v>
      </c>
      <c r="R153" s="38">
        <f t="shared" si="29"/>
        <v>500</v>
      </c>
      <c r="T153" t="s">
        <v>2764</v>
      </c>
    </row>
    <row r="154" spans="1:20" ht="15.75" hidden="1" customHeight="1" x14ac:dyDescent="0.3">
      <c r="A154" s="539" t="s">
        <v>2830</v>
      </c>
      <c r="B154" s="172">
        <v>370</v>
      </c>
      <c r="C154" s="172">
        <v>391</v>
      </c>
      <c r="D154" s="172">
        <v>454</v>
      </c>
      <c r="E154" s="38">
        <f t="shared" si="25"/>
        <v>1215</v>
      </c>
      <c r="F154" s="172">
        <v>458</v>
      </c>
      <c r="G154" s="172">
        <v>492</v>
      </c>
      <c r="H154" s="172">
        <v>527</v>
      </c>
      <c r="I154" s="38">
        <f t="shared" si="26"/>
        <v>1477</v>
      </c>
      <c r="J154" s="172">
        <v>490</v>
      </c>
      <c r="K154" s="172">
        <v>394</v>
      </c>
      <c r="L154" s="172">
        <v>420</v>
      </c>
      <c r="M154" s="38">
        <f t="shared" si="27"/>
        <v>1304</v>
      </c>
      <c r="N154" s="172">
        <v>354</v>
      </c>
      <c r="O154" s="172">
        <v>142</v>
      </c>
      <c r="P154" s="172">
        <v>132</v>
      </c>
      <c r="Q154" s="38">
        <f t="shared" si="28"/>
        <v>628</v>
      </c>
      <c r="R154" s="38">
        <f t="shared" si="29"/>
        <v>4624</v>
      </c>
      <c r="T154" t="s">
        <v>2762</v>
      </c>
    </row>
    <row r="155" spans="1:20" ht="15.75" hidden="1" customHeight="1" x14ac:dyDescent="0.3">
      <c r="A155" s="569" t="s">
        <v>2845</v>
      </c>
      <c r="B155" s="172"/>
      <c r="C155" s="172"/>
      <c r="D155" s="172"/>
      <c r="E155" s="38">
        <f t="shared" si="25"/>
        <v>0</v>
      </c>
      <c r="F155" s="172"/>
      <c r="G155" s="172"/>
      <c r="H155" s="172"/>
      <c r="I155" s="38">
        <f t="shared" si="26"/>
        <v>0</v>
      </c>
      <c r="J155" s="172"/>
      <c r="K155" s="172">
        <v>17</v>
      </c>
      <c r="L155" s="172">
        <v>491</v>
      </c>
      <c r="M155" s="38">
        <f t="shared" si="27"/>
        <v>508</v>
      </c>
      <c r="N155" s="172"/>
      <c r="O155" s="172"/>
      <c r="P155" s="172"/>
      <c r="Q155" s="38">
        <f t="shared" si="28"/>
        <v>0</v>
      </c>
      <c r="R155" s="38">
        <f t="shared" si="29"/>
        <v>508</v>
      </c>
      <c r="T155" t="s">
        <v>2770</v>
      </c>
    </row>
    <row r="156" spans="1:20" ht="15.75" hidden="1" customHeight="1" x14ac:dyDescent="0.3">
      <c r="A156" s="539" t="s">
        <v>2809</v>
      </c>
      <c r="B156" s="172"/>
      <c r="C156" s="172"/>
      <c r="D156" s="172"/>
      <c r="E156" s="38">
        <f t="shared" ref="E156:E176" si="30">SUM(B156:D156)</f>
        <v>0</v>
      </c>
      <c r="F156" s="172">
        <v>140</v>
      </c>
      <c r="G156" s="172">
        <v>140</v>
      </c>
      <c r="H156" s="172">
        <v>140</v>
      </c>
      <c r="I156" s="38">
        <f t="shared" ref="I156:I177" si="31">SUM(F156:H156)</f>
        <v>420</v>
      </c>
      <c r="J156" s="172">
        <f>140+719</f>
        <v>859</v>
      </c>
      <c r="K156" s="172">
        <v>140</v>
      </c>
      <c r="L156" s="172">
        <f>140+800</f>
        <v>940</v>
      </c>
      <c r="M156" s="38">
        <f t="shared" ref="M156:M177" si="32">SUM(J156:L156)</f>
        <v>1939</v>
      </c>
      <c r="N156" s="172">
        <v>140</v>
      </c>
      <c r="O156" s="172">
        <v>219</v>
      </c>
      <c r="P156" s="172"/>
      <c r="Q156" s="38">
        <f t="shared" ref="Q156:Q173" si="33">SUM(N156:P156)</f>
        <v>359</v>
      </c>
      <c r="R156" s="38">
        <f t="shared" si="29"/>
        <v>2718</v>
      </c>
      <c r="S156" t="s">
        <v>3020</v>
      </c>
      <c r="T156" t="s">
        <v>2760</v>
      </c>
    </row>
    <row r="157" spans="1:20" s="353" customFormat="1" ht="15.75" hidden="1" customHeight="1" x14ac:dyDescent="0.3">
      <c r="A157" s="535" t="s">
        <v>1242</v>
      </c>
      <c r="B157" s="352"/>
      <c r="C157" s="352"/>
      <c r="D157" s="352"/>
      <c r="E157" s="331">
        <f t="shared" si="30"/>
        <v>0</v>
      </c>
      <c r="F157" s="352"/>
      <c r="G157" s="352"/>
      <c r="H157" s="352"/>
      <c r="I157" s="331">
        <f t="shared" si="31"/>
        <v>0</v>
      </c>
      <c r="J157" s="352"/>
      <c r="K157" s="352"/>
      <c r="L157" s="352"/>
      <c r="M157" s="331">
        <f t="shared" si="32"/>
        <v>0</v>
      </c>
      <c r="N157" s="352"/>
      <c r="O157" s="352"/>
      <c r="P157" s="352"/>
      <c r="Q157" s="331">
        <f t="shared" si="33"/>
        <v>0</v>
      </c>
      <c r="R157" s="331">
        <f t="shared" si="29"/>
        <v>0</v>
      </c>
      <c r="S157"/>
    </row>
    <row r="158" spans="1:20" ht="15.75" hidden="1" customHeight="1" x14ac:dyDescent="0.3">
      <c r="A158" s="539" t="s">
        <v>1379</v>
      </c>
      <c r="B158" s="172"/>
      <c r="C158" s="172"/>
      <c r="D158" s="172"/>
      <c r="E158" s="38">
        <f t="shared" ref="E158:E165" si="34">SUM(B158:D158)</f>
        <v>0</v>
      </c>
      <c r="F158" s="172"/>
      <c r="G158" s="172"/>
      <c r="H158" s="172">
        <v>1473</v>
      </c>
      <c r="I158" s="38">
        <f t="shared" ref="I158:I165" si="35">SUM(F158:H158)</f>
        <v>1473</v>
      </c>
      <c r="J158" s="172">
        <v>1695</v>
      </c>
      <c r="K158" s="172">
        <v>1276</v>
      </c>
      <c r="L158" s="172">
        <v>1039</v>
      </c>
      <c r="M158" s="38">
        <f t="shared" ref="M158:M165" si="36">SUM(J158:L158)</f>
        <v>4010</v>
      </c>
      <c r="N158" s="172">
        <v>1815</v>
      </c>
      <c r="O158" s="172">
        <v>1453</v>
      </c>
      <c r="P158" s="172">
        <v>1670</v>
      </c>
      <c r="Q158" s="38">
        <f t="shared" ref="Q158:Q165" si="37">SUM(N158:P158)</f>
        <v>4938</v>
      </c>
      <c r="R158" s="38">
        <f>+E158+I158+M158+Q158</f>
        <v>10421</v>
      </c>
      <c r="T158" t="s">
        <v>2775</v>
      </c>
    </row>
    <row r="159" spans="1:20" ht="15.75" hidden="1" customHeight="1" x14ac:dyDescent="0.3">
      <c r="A159" s="569" t="s">
        <v>2984</v>
      </c>
      <c r="B159" s="172"/>
      <c r="C159" s="172"/>
      <c r="D159" s="172"/>
      <c r="E159" s="38">
        <f t="shared" si="34"/>
        <v>0</v>
      </c>
      <c r="F159" s="172"/>
      <c r="G159" s="172"/>
      <c r="H159" s="172"/>
      <c r="I159" s="38">
        <f t="shared" si="35"/>
        <v>0</v>
      </c>
      <c r="J159" s="172">
        <v>500</v>
      </c>
      <c r="K159" s="172">
        <v>500</v>
      </c>
      <c r="L159" s="172"/>
      <c r="M159" s="38">
        <f t="shared" si="36"/>
        <v>1000</v>
      </c>
      <c r="N159" s="172"/>
      <c r="O159" s="172"/>
      <c r="P159" s="172"/>
      <c r="Q159" s="38">
        <f t="shared" si="37"/>
        <v>0</v>
      </c>
      <c r="R159" s="38">
        <f t="shared" ref="R159:R164" si="38">+E159+I159+M159+Q159</f>
        <v>1000</v>
      </c>
      <c r="T159" t="s">
        <v>2764</v>
      </c>
    </row>
    <row r="160" spans="1:20" ht="15.75" hidden="1" customHeight="1" x14ac:dyDescent="0.3">
      <c r="A160" s="569" t="s">
        <v>2987</v>
      </c>
      <c r="B160" s="172"/>
      <c r="C160" s="172"/>
      <c r="D160" s="172">
        <v>500</v>
      </c>
      <c r="E160" s="38">
        <f t="shared" si="34"/>
        <v>500</v>
      </c>
      <c r="F160" s="172"/>
      <c r="G160" s="172"/>
      <c r="H160" s="172">
        <v>500</v>
      </c>
      <c r="I160" s="38">
        <f t="shared" si="35"/>
        <v>500</v>
      </c>
      <c r="J160" s="172"/>
      <c r="K160" s="172"/>
      <c r="L160" s="172"/>
      <c r="M160" s="38">
        <f t="shared" si="36"/>
        <v>0</v>
      </c>
      <c r="N160" s="172"/>
      <c r="O160" s="172"/>
      <c r="P160" s="172"/>
      <c r="Q160" s="38">
        <f t="shared" si="37"/>
        <v>0</v>
      </c>
      <c r="R160" s="38">
        <f t="shared" si="38"/>
        <v>1000</v>
      </c>
      <c r="T160" t="s">
        <v>2770</v>
      </c>
    </row>
    <row r="161" spans="1:20" ht="15.75" hidden="1" customHeight="1" x14ac:dyDescent="0.3">
      <c r="A161" s="539" t="s">
        <v>2985</v>
      </c>
      <c r="B161" s="172"/>
      <c r="C161" s="172"/>
      <c r="D161" s="172"/>
      <c r="E161" s="38">
        <f t="shared" si="34"/>
        <v>0</v>
      </c>
      <c r="F161" s="172"/>
      <c r="G161" s="172"/>
      <c r="H161" s="172"/>
      <c r="I161" s="38">
        <f t="shared" si="35"/>
        <v>0</v>
      </c>
      <c r="J161" s="172">
        <v>1000</v>
      </c>
      <c r="K161" s="172"/>
      <c r="L161" s="172"/>
      <c r="M161" s="38">
        <f t="shared" si="36"/>
        <v>1000</v>
      </c>
      <c r="N161" s="172"/>
      <c r="O161" s="172"/>
      <c r="P161" s="172"/>
      <c r="Q161" s="38">
        <f t="shared" si="37"/>
        <v>0</v>
      </c>
      <c r="R161" s="38">
        <f t="shared" si="38"/>
        <v>1000</v>
      </c>
      <c r="S161" t="s">
        <v>3020</v>
      </c>
      <c r="T161" t="s">
        <v>2986</v>
      </c>
    </row>
    <row r="162" spans="1:20" ht="15.75" hidden="1" customHeight="1" x14ac:dyDescent="0.3">
      <c r="A162" s="569" t="s">
        <v>2767</v>
      </c>
      <c r="B162" s="172"/>
      <c r="C162" s="172"/>
      <c r="D162" s="172">
        <v>310</v>
      </c>
      <c r="E162" s="38">
        <f t="shared" si="34"/>
        <v>310</v>
      </c>
      <c r="F162" s="172">
        <v>1690</v>
      </c>
      <c r="G162" s="172"/>
      <c r="H162" s="172"/>
      <c r="I162" s="38">
        <f t="shared" si="35"/>
        <v>1690</v>
      </c>
      <c r="J162" s="172"/>
      <c r="K162" s="172"/>
      <c r="L162" s="172"/>
      <c r="M162" s="38">
        <f t="shared" si="36"/>
        <v>0</v>
      </c>
      <c r="N162" s="172"/>
      <c r="O162" s="172"/>
      <c r="P162" s="172"/>
      <c r="Q162" s="38">
        <f t="shared" si="37"/>
        <v>0</v>
      </c>
      <c r="R162" s="38">
        <f t="shared" si="38"/>
        <v>2000</v>
      </c>
      <c r="T162" t="s">
        <v>2769</v>
      </c>
    </row>
    <row r="163" spans="1:20" ht="15.75" hidden="1" customHeight="1" x14ac:dyDescent="0.3">
      <c r="A163" s="569" t="s">
        <v>2768</v>
      </c>
      <c r="B163" s="172"/>
      <c r="C163" s="172"/>
      <c r="D163" s="172"/>
      <c r="E163" s="38">
        <f t="shared" si="34"/>
        <v>0</v>
      </c>
      <c r="F163" s="172"/>
      <c r="G163" s="172"/>
      <c r="H163" s="172"/>
      <c r="I163" s="38">
        <f t="shared" si="35"/>
        <v>0</v>
      </c>
      <c r="J163" s="172"/>
      <c r="K163" s="172"/>
      <c r="L163" s="172"/>
      <c r="M163" s="38">
        <f t="shared" si="36"/>
        <v>0</v>
      </c>
      <c r="N163" s="172"/>
      <c r="O163" s="172"/>
      <c r="P163" s="172"/>
      <c r="Q163" s="38">
        <f t="shared" si="37"/>
        <v>0</v>
      </c>
      <c r="R163" s="38">
        <f t="shared" si="38"/>
        <v>0</v>
      </c>
      <c r="T163" t="s">
        <v>2770</v>
      </c>
    </row>
    <row r="164" spans="1:20" ht="15.75" hidden="1" customHeight="1" x14ac:dyDescent="0.3">
      <c r="A164" s="539" t="s">
        <v>1879</v>
      </c>
      <c r="B164" s="172">
        <v>18</v>
      </c>
      <c r="C164" s="172">
        <v>30</v>
      </c>
      <c r="D164" s="172">
        <v>35</v>
      </c>
      <c r="E164" s="38">
        <f t="shared" si="34"/>
        <v>83</v>
      </c>
      <c r="F164" s="172">
        <v>47</v>
      </c>
      <c r="G164" s="172">
        <v>79</v>
      </c>
      <c r="H164" s="172">
        <v>76</v>
      </c>
      <c r="I164" s="38">
        <f t="shared" si="35"/>
        <v>202</v>
      </c>
      <c r="J164" s="172">
        <v>80</v>
      </c>
      <c r="K164" s="172">
        <v>68</v>
      </c>
      <c r="L164" s="172">
        <v>50</v>
      </c>
      <c r="M164" s="38">
        <f t="shared" si="36"/>
        <v>198</v>
      </c>
      <c r="N164" s="172">
        <v>73</v>
      </c>
      <c r="O164" s="172">
        <v>26</v>
      </c>
      <c r="P164" s="172">
        <v>15</v>
      </c>
      <c r="Q164" s="38">
        <f t="shared" si="37"/>
        <v>114</v>
      </c>
      <c r="R164" s="38">
        <f t="shared" si="38"/>
        <v>597</v>
      </c>
      <c r="T164" t="s">
        <v>1193</v>
      </c>
    </row>
    <row r="165" spans="1:20" ht="15.75" hidden="1" customHeight="1" x14ac:dyDescent="0.3">
      <c r="A165" s="569" t="s">
        <v>2737</v>
      </c>
      <c r="B165" s="172">
        <v>300</v>
      </c>
      <c r="C165" s="172"/>
      <c r="D165" s="172">
        <v>533</v>
      </c>
      <c r="E165" s="38">
        <f t="shared" si="34"/>
        <v>833</v>
      </c>
      <c r="F165" s="172"/>
      <c r="G165" s="172">
        <v>67</v>
      </c>
      <c r="H165" s="172"/>
      <c r="I165" s="38">
        <f t="shared" si="35"/>
        <v>67</v>
      </c>
      <c r="J165" s="356"/>
      <c r="K165" s="172"/>
      <c r="L165" s="172">
        <v>750</v>
      </c>
      <c r="M165" s="38">
        <f t="shared" si="36"/>
        <v>750</v>
      </c>
      <c r="N165" s="172"/>
      <c r="O165" s="172"/>
      <c r="P165" s="172"/>
      <c r="Q165" s="38">
        <f t="shared" si="37"/>
        <v>0</v>
      </c>
      <c r="R165" s="38">
        <f t="shared" si="29"/>
        <v>1650</v>
      </c>
      <c r="T165" t="s">
        <v>2769</v>
      </c>
    </row>
    <row r="166" spans="1:20" ht="15.75" hidden="1" customHeight="1" x14ac:dyDescent="0.3">
      <c r="A166" s="569" t="s">
        <v>2738</v>
      </c>
      <c r="B166" s="172"/>
      <c r="C166" s="172"/>
      <c r="D166" s="172"/>
      <c r="E166" s="38">
        <f t="shared" si="30"/>
        <v>0</v>
      </c>
      <c r="F166" s="172"/>
      <c r="G166" s="172"/>
      <c r="H166" s="172"/>
      <c r="I166" s="38">
        <f t="shared" si="31"/>
        <v>0</v>
      </c>
      <c r="J166" s="356"/>
      <c r="K166" s="172"/>
      <c r="L166" s="172"/>
      <c r="M166" s="38">
        <f t="shared" si="32"/>
        <v>0</v>
      </c>
      <c r="N166" s="172"/>
      <c r="O166" s="172"/>
      <c r="P166" s="172">
        <v>430</v>
      </c>
      <c r="Q166" s="38">
        <f t="shared" si="33"/>
        <v>430</v>
      </c>
      <c r="R166" s="38">
        <f t="shared" si="29"/>
        <v>430</v>
      </c>
      <c r="T166" t="s">
        <v>2770</v>
      </c>
    </row>
    <row r="167" spans="1:20" ht="15.75" hidden="1" customHeight="1" x14ac:dyDescent="0.3">
      <c r="A167" s="569" t="s">
        <v>2816</v>
      </c>
      <c r="B167" s="172"/>
      <c r="C167" s="172"/>
      <c r="D167" s="172"/>
      <c r="E167" s="38">
        <f t="shared" si="30"/>
        <v>0</v>
      </c>
      <c r="F167" s="172"/>
      <c r="G167" s="172">
        <v>11</v>
      </c>
      <c r="H167" s="172">
        <v>84</v>
      </c>
      <c r="I167" s="38">
        <f t="shared" si="31"/>
        <v>95</v>
      </c>
      <c r="J167" s="356">
        <v>35</v>
      </c>
      <c r="K167" s="172">
        <v>64</v>
      </c>
      <c r="L167" s="172">
        <v>52</v>
      </c>
      <c r="M167" s="38">
        <f t="shared" si="32"/>
        <v>151</v>
      </c>
      <c r="N167" s="172">
        <v>87</v>
      </c>
      <c r="O167" s="172">
        <v>33</v>
      </c>
      <c r="P167" s="172">
        <v>19</v>
      </c>
      <c r="Q167" s="38">
        <f t="shared" si="33"/>
        <v>139</v>
      </c>
      <c r="R167" s="38">
        <f t="shared" si="29"/>
        <v>385</v>
      </c>
      <c r="T167" t="s">
        <v>2819</v>
      </c>
    </row>
    <row r="168" spans="1:20" ht="15.75" hidden="1" customHeight="1" x14ac:dyDescent="0.3">
      <c r="A168" s="569" t="s">
        <v>2817</v>
      </c>
      <c r="B168" s="172"/>
      <c r="C168" s="172"/>
      <c r="D168" s="172"/>
      <c r="E168" s="38">
        <f t="shared" si="30"/>
        <v>0</v>
      </c>
      <c r="F168" s="172"/>
      <c r="G168" s="172"/>
      <c r="H168" s="172">
        <v>38</v>
      </c>
      <c r="I168" s="38">
        <f t="shared" si="31"/>
        <v>38</v>
      </c>
      <c r="J168" s="356">
        <v>135</v>
      </c>
      <c r="K168" s="172">
        <v>86</v>
      </c>
      <c r="L168" s="172">
        <v>74</v>
      </c>
      <c r="M168" s="38">
        <f t="shared" si="32"/>
        <v>295</v>
      </c>
      <c r="N168" s="172">
        <v>76</v>
      </c>
      <c r="O168" s="172">
        <v>20</v>
      </c>
      <c r="P168" s="172">
        <v>4</v>
      </c>
      <c r="Q168" s="38">
        <f t="shared" si="33"/>
        <v>100</v>
      </c>
      <c r="R168" s="38">
        <f t="shared" si="29"/>
        <v>433</v>
      </c>
      <c r="T168" t="s">
        <v>1193</v>
      </c>
    </row>
    <row r="169" spans="1:20" ht="15.75" hidden="1" customHeight="1" x14ac:dyDescent="0.3">
      <c r="A169" s="569" t="s">
        <v>2818</v>
      </c>
      <c r="B169" s="172"/>
      <c r="C169" s="172"/>
      <c r="D169" s="172"/>
      <c r="E169" s="38">
        <f t="shared" si="30"/>
        <v>0</v>
      </c>
      <c r="F169" s="172"/>
      <c r="G169" s="172"/>
      <c r="H169" s="172"/>
      <c r="I169" s="38">
        <f t="shared" si="31"/>
        <v>0</v>
      </c>
      <c r="J169" s="356">
        <v>20</v>
      </c>
      <c r="K169" s="172">
        <v>14</v>
      </c>
      <c r="L169" s="172">
        <v>10</v>
      </c>
      <c r="M169" s="38">
        <f t="shared" si="32"/>
        <v>44</v>
      </c>
      <c r="N169" s="172"/>
      <c r="O169" s="172"/>
      <c r="P169" s="172"/>
      <c r="Q169" s="38">
        <f t="shared" si="33"/>
        <v>0</v>
      </c>
      <c r="R169" s="38">
        <f t="shared" si="29"/>
        <v>44</v>
      </c>
      <c r="T169" t="s">
        <v>2764</v>
      </c>
    </row>
    <row r="170" spans="1:20" ht="15.75" hidden="1" customHeight="1" x14ac:dyDescent="0.3">
      <c r="A170" s="539" t="s">
        <v>2758</v>
      </c>
      <c r="B170" s="172"/>
      <c r="C170" s="172"/>
      <c r="D170" s="172"/>
      <c r="E170" s="38">
        <f t="shared" si="30"/>
        <v>0</v>
      </c>
      <c r="F170" s="172"/>
      <c r="G170" s="172"/>
      <c r="H170" s="172"/>
      <c r="I170" s="38">
        <f t="shared" si="31"/>
        <v>0</v>
      </c>
      <c r="J170" s="356">
        <v>960</v>
      </c>
      <c r="K170" s="172">
        <v>958</v>
      </c>
      <c r="L170" s="172">
        <v>848</v>
      </c>
      <c r="M170" s="38">
        <f t="shared" si="32"/>
        <v>2766</v>
      </c>
      <c r="N170" s="172">
        <v>757</v>
      </c>
      <c r="O170" s="172">
        <v>707</v>
      </c>
      <c r="P170" s="172">
        <v>691</v>
      </c>
      <c r="Q170" s="38">
        <f t="shared" si="33"/>
        <v>2155</v>
      </c>
      <c r="R170" s="38">
        <f t="shared" si="29"/>
        <v>4921</v>
      </c>
      <c r="T170" t="s">
        <v>2775</v>
      </c>
    </row>
    <row r="171" spans="1:20" ht="15.75" hidden="1" customHeight="1" x14ac:dyDescent="0.3">
      <c r="A171" s="539" t="s">
        <v>2813</v>
      </c>
      <c r="B171" s="172"/>
      <c r="C171" s="172"/>
      <c r="D171" s="172"/>
      <c r="E171" s="38">
        <f t="shared" si="30"/>
        <v>0</v>
      </c>
      <c r="F171" s="172"/>
      <c r="G171" s="172"/>
      <c r="H171" s="172"/>
      <c r="I171" s="38">
        <f t="shared" si="31"/>
        <v>0</v>
      </c>
      <c r="J171" s="356">
        <v>2500</v>
      </c>
      <c r="K171" s="172">
        <v>2850</v>
      </c>
      <c r="L171" s="172">
        <v>2150</v>
      </c>
      <c r="M171" s="38">
        <f t="shared" si="32"/>
        <v>7500</v>
      </c>
      <c r="N171" s="172"/>
      <c r="O171" s="172"/>
      <c r="P171" s="172"/>
      <c r="Q171" s="38">
        <f t="shared" si="33"/>
        <v>0</v>
      </c>
      <c r="R171" s="38">
        <f t="shared" si="29"/>
        <v>7500</v>
      </c>
      <c r="S171" t="s">
        <v>3020</v>
      </c>
      <c r="T171" t="s">
        <v>2760</v>
      </c>
    </row>
    <row r="172" spans="1:20" ht="15.75" hidden="1" customHeight="1" x14ac:dyDescent="0.3">
      <c r="A172" s="539" t="s">
        <v>2820</v>
      </c>
      <c r="B172" s="172"/>
      <c r="C172" s="172"/>
      <c r="D172" s="172"/>
      <c r="E172" s="38">
        <f t="shared" si="30"/>
        <v>0</v>
      </c>
      <c r="F172" s="172"/>
      <c r="G172" s="172"/>
      <c r="H172" s="172"/>
      <c r="I172" s="38">
        <f t="shared" si="31"/>
        <v>0</v>
      </c>
      <c r="J172" s="172"/>
      <c r="K172" s="172"/>
      <c r="L172" s="172"/>
      <c r="M172" s="38">
        <f t="shared" si="32"/>
        <v>0</v>
      </c>
      <c r="N172" s="172"/>
      <c r="O172" s="172"/>
      <c r="P172" s="172"/>
      <c r="Q172" s="38">
        <f t="shared" si="33"/>
        <v>0</v>
      </c>
      <c r="R172" s="38">
        <f t="shared" si="29"/>
        <v>0</v>
      </c>
      <c r="T172" t="s">
        <v>2760</v>
      </c>
    </row>
    <row r="173" spans="1:20" ht="15.75" hidden="1" customHeight="1" x14ac:dyDescent="0.3">
      <c r="A173" s="539" t="s">
        <v>2426</v>
      </c>
      <c r="B173" s="10">
        <f>5056+19</f>
        <v>5075</v>
      </c>
      <c r="C173" s="10">
        <f>2961+30</f>
        <v>2991</v>
      </c>
      <c r="D173" s="10">
        <v>60</v>
      </c>
      <c r="E173" s="38">
        <f t="shared" si="30"/>
        <v>8126</v>
      </c>
      <c r="F173" s="356">
        <f>3269+1+3+64</f>
        <v>3337</v>
      </c>
      <c r="G173" s="10">
        <f>9194+1+2+100</f>
        <v>9297</v>
      </c>
      <c r="H173" s="10">
        <f>11325+1+2+103</f>
        <v>11431</v>
      </c>
      <c r="I173" s="38">
        <f t="shared" si="31"/>
        <v>24065</v>
      </c>
      <c r="J173" s="10">
        <f>4339+7550+1+2+101</f>
        <v>11993</v>
      </c>
      <c r="K173" s="10">
        <f>10059+1+2+58</f>
        <v>10120</v>
      </c>
      <c r="L173" s="10">
        <f>9507+1+2+65</f>
        <v>9575</v>
      </c>
      <c r="M173" s="38">
        <f t="shared" si="32"/>
        <v>31688</v>
      </c>
      <c r="N173" s="10">
        <f>9930+1+2+76</f>
        <v>10009</v>
      </c>
      <c r="O173" s="10">
        <f>8123+1+2+34</f>
        <v>8160</v>
      </c>
      <c r="P173" s="10">
        <f>4082+1+1106+2+18</f>
        <v>5209</v>
      </c>
      <c r="Q173" s="38">
        <f t="shared" si="33"/>
        <v>23378</v>
      </c>
      <c r="R173" s="38">
        <f t="shared" si="29"/>
        <v>87257</v>
      </c>
      <c r="S173" t="s">
        <v>3020</v>
      </c>
    </row>
    <row r="174" spans="1:20" ht="15.75" hidden="1" customHeight="1" x14ac:dyDescent="0.3">
      <c r="A174" s="539" t="s">
        <v>3059</v>
      </c>
      <c r="B174" s="10"/>
      <c r="C174" s="10"/>
      <c r="D174" s="10"/>
      <c r="E174" s="38">
        <f t="shared" si="30"/>
        <v>0</v>
      </c>
      <c r="F174" s="356"/>
      <c r="G174" s="10"/>
      <c r="H174" s="10"/>
      <c r="I174" s="38">
        <f t="shared" si="31"/>
        <v>0</v>
      </c>
      <c r="J174" s="10">
        <f>4600+350</f>
        <v>4950</v>
      </c>
      <c r="K174" s="10">
        <f>5400+1030</f>
        <v>6430</v>
      </c>
      <c r="L174" s="10">
        <v>1030</v>
      </c>
      <c r="M174" s="38">
        <f t="shared" si="32"/>
        <v>12410</v>
      </c>
      <c r="N174" s="10">
        <v>1030</v>
      </c>
      <c r="O174" s="10">
        <v>1030</v>
      </c>
      <c r="P174" s="10">
        <v>1030</v>
      </c>
      <c r="Q174" s="38">
        <f t="shared" ref="Q174:Q183" si="39">SUM(N174:P174)</f>
        <v>3090</v>
      </c>
      <c r="R174" s="38">
        <f>+E174+I174+M174+Q174</f>
        <v>15500</v>
      </c>
      <c r="T174" t="s">
        <v>2760</v>
      </c>
    </row>
    <row r="175" spans="1:20" ht="15.75" hidden="1" customHeight="1" x14ac:dyDescent="0.3">
      <c r="A175" s="539" t="s">
        <v>2864</v>
      </c>
      <c r="B175" s="172">
        <v>30</v>
      </c>
      <c r="C175" s="172">
        <v>30</v>
      </c>
      <c r="D175" s="172">
        <v>30</v>
      </c>
      <c r="E175" s="38">
        <f t="shared" si="30"/>
        <v>90</v>
      </c>
      <c r="F175" s="172">
        <v>30</v>
      </c>
      <c r="G175" s="172">
        <v>35</v>
      </c>
      <c r="H175" s="172">
        <v>35</v>
      </c>
      <c r="I175" s="38">
        <f t="shared" si="31"/>
        <v>100</v>
      </c>
      <c r="J175" s="172">
        <v>35</v>
      </c>
      <c r="K175" s="172">
        <v>35</v>
      </c>
      <c r="L175" s="172">
        <v>35</v>
      </c>
      <c r="M175" s="38">
        <f t="shared" si="32"/>
        <v>105</v>
      </c>
      <c r="N175" s="172">
        <v>30</v>
      </c>
      <c r="O175" s="172">
        <v>30</v>
      </c>
      <c r="P175" s="172">
        <v>30</v>
      </c>
      <c r="Q175" s="38">
        <f t="shared" si="39"/>
        <v>90</v>
      </c>
      <c r="R175" s="38">
        <f t="shared" si="29"/>
        <v>385</v>
      </c>
      <c r="S175" t="s">
        <v>3020</v>
      </c>
      <c r="T175" t="s">
        <v>2760</v>
      </c>
    </row>
    <row r="176" spans="1:20" ht="15.75" hidden="1" customHeight="1" x14ac:dyDescent="0.3">
      <c r="A176" s="539" t="s">
        <v>1520</v>
      </c>
      <c r="B176" s="10">
        <f>3165+88+65+10</f>
        <v>3328</v>
      </c>
      <c r="C176" s="172">
        <f>118+85+234+23</f>
        <v>460</v>
      </c>
      <c r="D176" s="172">
        <f>95+470+50</f>
        <v>615</v>
      </c>
      <c r="E176" s="38">
        <f t="shared" si="30"/>
        <v>4403</v>
      </c>
      <c r="F176" s="172">
        <f>111+583+50</f>
        <v>744</v>
      </c>
      <c r="G176" s="10">
        <f>139+471+59</f>
        <v>669</v>
      </c>
      <c r="H176" s="10">
        <f>143+734+57</f>
        <v>934</v>
      </c>
      <c r="I176" s="38">
        <f t="shared" si="31"/>
        <v>2347</v>
      </c>
      <c r="J176" s="172">
        <f>5625+743+143+54</f>
        <v>6565</v>
      </c>
      <c r="K176" s="172">
        <f>5427+455+123+36</f>
        <v>6041</v>
      </c>
      <c r="L176" s="172">
        <f>5508+459+118+30</f>
        <v>6115</v>
      </c>
      <c r="M176" s="38">
        <f t="shared" si="32"/>
        <v>18721</v>
      </c>
      <c r="N176" s="172">
        <f>6001+535+125+55</f>
        <v>6716</v>
      </c>
      <c r="O176" s="172">
        <f>4932+178+100+25</f>
        <v>5235</v>
      </c>
      <c r="P176" s="172">
        <f>3300+236+26+14</f>
        <v>3576</v>
      </c>
      <c r="Q176" s="38">
        <f t="shared" si="39"/>
        <v>15527</v>
      </c>
      <c r="R176" s="38">
        <f>+E176+I176+M176+Q176</f>
        <v>40998</v>
      </c>
    </row>
    <row r="177" spans="1:20" ht="15.75" hidden="1" customHeight="1" x14ac:dyDescent="0.3">
      <c r="A177" s="539" t="s">
        <v>3062</v>
      </c>
      <c r="C177" s="10"/>
      <c r="D177" s="10">
        <v>2500</v>
      </c>
      <c r="E177" s="38">
        <f t="shared" ref="E177:E183" si="40">SUM(B177:D177)</f>
        <v>2500</v>
      </c>
      <c r="F177" s="10"/>
      <c r="G177" s="10"/>
      <c r="H177">
        <v>500</v>
      </c>
      <c r="I177" s="38">
        <f t="shared" si="31"/>
        <v>500</v>
      </c>
      <c r="J177" s="10">
        <v>500</v>
      </c>
      <c r="K177" s="10">
        <v>250</v>
      </c>
      <c r="L177" s="10">
        <v>250</v>
      </c>
      <c r="M177" s="38">
        <f t="shared" si="32"/>
        <v>1000</v>
      </c>
      <c r="N177" s="10">
        <f>2200+250</f>
        <v>2450</v>
      </c>
      <c r="O177" s="10"/>
      <c r="P177" s="10"/>
      <c r="Q177" s="38">
        <f t="shared" si="39"/>
        <v>2450</v>
      </c>
      <c r="R177" s="38">
        <f t="shared" si="29"/>
        <v>6450</v>
      </c>
      <c r="S177" t="s">
        <v>3020</v>
      </c>
    </row>
    <row r="178" spans="1:20" ht="15.75" hidden="1" customHeight="1" x14ac:dyDescent="0.3">
      <c r="A178" s="569" t="s">
        <v>2739</v>
      </c>
      <c r="B178" s="10"/>
      <c r="C178" s="10"/>
      <c r="D178" s="10"/>
      <c r="E178" s="38">
        <f t="shared" si="40"/>
        <v>0</v>
      </c>
      <c r="F178" s="10"/>
      <c r="G178" s="10"/>
      <c r="H178" s="10"/>
      <c r="I178" s="38">
        <f t="shared" ref="I178:I183" si="41">SUM(F178:H178)</f>
        <v>0</v>
      </c>
      <c r="J178" s="10"/>
      <c r="K178" s="10"/>
      <c r="L178" s="10">
        <v>125</v>
      </c>
      <c r="M178" s="38">
        <f t="shared" ref="M178:M183" si="42">SUM(J178:L178)</f>
        <v>125</v>
      </c>
      <c r="N178" s="10"/>
      <c r="O178" s="10"/>
      <c r="P178" s="10"/>
      <c r="Q178" s="38">
        <f t="shared" si="39"/>
        <v>0</v>
      </c>
      <c r="R178" s="38">
        <f t="shared" si="29"/>
        <v>125</v>
      </c>
      <c r="T178" t="s">
        <v>2769</v>
      </c>
    </row>
    <row r="179" spans="1:20" ht="15.75" hidden="1" customHeight="1" x14ac:dyDescent="0.3">
      <c r="A179" s="569" t="s">
        <v>2740</v>
      </c>
      <c r="B179" s="10"/>
      <c r="C179" s="10"/>
      <c r="D179" s="10">
        <v>1378</v>
      </c>
      <c r="E179" s="38">
        <f t="shared" si="40"/>
        <v>1378</v>
      </c>
      <c r="F179" s="10">
        <v>1746</v>
      </c>
      <c r="G179" s="10"/>
      <c r="H179" s="10"/>
      <c r="I179" s="38">
        <f t="shared" si="41"/>
        <v>1746</v>
      </c>
      <c r="J179" s="10"/>
      <c r="K179" s="10"/>
      <c r="L179" s="10"/>
      <c r="M179" s="38">
        <f t="shared" si="42"/>
        <v>0</v>
      </c>
      <c r="N179" s="10"/>
      <c r="O179" s="10"/>
      <c r="P179" s="10"/>
      <c r="Q179" s="38">
        <f t="shared" si="39"/>
        <v>0</v>
      </c>
      <c r="R179" s="38">
        <f>+E179+I179+M179+Q179</f>
        <v>3124</v>
      </c>
    </row>
    <row r="180" spans="1:20" ht="15.75" hidden="1" customHeight="1" x14ac:dyDescent="0.3">
      <c r="A180" s="569" t="s">
        <v>3055</v>
      </c>
      <c r="B180" s="10"/>
      <c r="C180" s="10"/>
      <c r="D180" s="10">
        <v>500</v>
      </c>
      <c r="E180" s="38">
        <f t="shared" si="40"/>
        <v>500</v>
      </c>
      <c r="F180" s="10">
        <v>500</v>
      </c>
      <c r="G180" s="10">
        <v>500</v>
      </c>
      <c r="H180" s="10">
        <v>500</v>
      </c>
      <c r="I180" s="38">
        <f t="shared" si="41"/>
        <v>1500</v>
      </c>
      <c r="J180" s="10"/>
      <c r="K180" s="10"/>
      <c r="L180" s="10"/>
      <c r="M180" s="38">
        <f t="shared" si="42"/>
        <v>0</v>
      </c>
      <c r="N180" s="10"/>
      <c r="O180" s="10"/>
      <c r="P180" s="10"/>
      <c r="Q180" s="38">
        <f t="shared" si="39"/>
        <v>0</v>
      </c>
      <c r="R180" s="38">
        <f t="shared" si="29"/>
        <v>2000</v>
      </c>
    </row>
    <row r="181" spans="1:20" ht="15.75" hidden="1" customHeight="1" x14ac:dyDescent="0.3">
      <c r="A181" s="539" t="s">
        <v>2821</v>
      </c>
      <c r="B181" s="172">
        <f>94+28</f>
        <v>122</v>
      </c>
      <c r="C181" s="172">
        <f>94+206</f>
        <v>300</v>
      </c>
      <c r="D181" s="172">
        <f>94+256</f>
        <v>350</v>
      </c>
      <c r="E181" s="38">
        <f t="shared" si="40"/>
        <v>772</v>
      </c>
      <c r="F181" s="172">
        <f>94+256</f>
        <v>350</v>
      </c>
      <c r="G181" s="172">
        <f>94+306</f>
        <v>400</v>
      </c>
      <c r="H181" s="172">
        <f>94+356</f>
        <v>450</v>
      </c>
      <c r="I181" s="38">
        <f t="shared" si="41"/>
        <v>1200</v>
      </c>
      <c r="J181" s="172">
        <v>493</v>
      </c>
      <c r="K181" s="172">
        <f>94+406</f>
        <v>500</v>
      </c>
      <c r="L181" s="172">
        <v>306</v>
      </c>
      <c r="M181" s="38">
        <f t="shared" si="42"/>
        <v>1299</v>
      </c>
      <c r="N181" s="172">
        <f>306+94</f>
        <v>400</v>
      </c>
      <c r="O181" s="172">
        <f>206+94</f>
        <v>300</v>
      </c>
      <c r="P181" s="172">
        <f>156+94</f>
        <v>250</v>
      </c>
      <c r="Q181" s="38">
        <f t="shared" si="39"/>
        <v>950</v>
      </c>
      <c r="R181" s="38">
        <f>+E181+I181+M181+Q181</f>
        <v>4221</v>
      </c>
      <c r="S181" t="s">
        <v>3020</v>
      </c>
      <c r="T181" t="s">
        <v>2760</v>
      </c>
    </row>
    <row r="182" spans="1:20" ht="15.75" hidden="1" customHeight="1" x14ac:dyDescent="0.3">
      <c r="A182" s="539" t="s">
        <v>1574</v>
      </c>
      <c r="B182" s="172">
        <v>3</v>
      </c>
      <c r="C182" s="172">
        <v>2</v>
      </c>
      <c r="D182" s="172">
        <v>2</v>
      </c>
      <c r="E182" s="38">
        <f t="shared" si="40"/>
        <v>7</v>
      </c>
      <c r="F182" s="172">
        <v>3</v>
      </c>
      <c r="G182" s="172">
        <v>3</v>
      </c>
      <c r="H182" s="172">
        <v>3</v>
      </c>
      <c r="I182" s="38">
        <f t="shared" si="41"/>
        <v>9</v>
      </c>
      <c r="J182" s="172">
        <v>3</v>
      </c>
      <c r="K182" s="172">
        <v>3</v>
      </c>
      <c r="L182" s="172">
        <v>3</v>
      </c>
      <c r="M182" s="38">
        <f t="shared" si="42"/>
        <v>9</v>
      </c>
      <c r="N182" s="172">
        <v>3</v>
      </c>
      <c r="O182" s="172">
        <v>3</v>
      </c>
      <c r="P182" s="172">
        <v>2</v>
      </c>
      <c r="Q182" s="38">
        <f t="shared" si="39"/>
        <v>8</v>
      </c>
      <c r="R182" s="38">
        <f>+E182+I182+M182+Q182</f>
        <v>33</v>
      </c>
      <c r="S182">
        <f>SUM(R138:R182)</f>
        <v>238708</v>
      </c>
    </row>
    <row r="183" spans="1:20" ht="15.75" hidden="1" customHeight="1" x14ac:dyDescent="0.3">
      <c r="A183" s="539" t="s">
        <v>3008</v>
      </c>
      <c r="B183" s="172"/>
      <c r="C183" s="172"/>
      <c r="D183" s="172"/>
      <c r="E183" s="38">
        <f t="shared" si="40"/>
        <v>0</v>
      </c>
      <c r="F183" s="172"/>
      <c r="G183" s="172"/>
      <c r="H183" s="172"/>
      <c r="I183" s="38">
        <f t="shared" si="41"/>
        <v>0</v>
      </c>
      <c r="J183" s="172"/>
      <c r="K183" s="172"/>
      <c r="L183" s="172"/>
      <c r="M183" s="38">
        <f t="shared" si="42"/>
        <v>0</v>
      </c>
      <c r="N183" s="172"/>
      <c r="O183" s="172"/>
      <c r="P183" s="172"/>
      <c r="Q183" s="38">
        <f t="shared" si="39"/>
        <v>0</v>
      </c>
      <c r="R183" s="38">
        <f>+E183+I183+M183+Q183</f>
        <v>0</v>
      </c>
      <c r="S183" t="s">
        <v>3020</v>
      </c>
      <c r="T183" t="s">
        <v>2760</v>
      </c>
    </row>
    <row r="184" spans="1:20" ht="15.75" hidden="1" customHeight="1" x14ac:dyDescent="0.3">
      <c r="A184" s="234" t="s">
        <v>2161</v>
      </c>
      <c r="B184" s="172"/>
      <c r="C184" s="172"/>
      <c r="D184" s="172"/>
      <c r="E184" s="38" t="s">
        <v>852</v>
      </c>
      <c r="F184" s="172"/>
      <c r="G184" s="172"/>
      <c r="H184" s="172"/>
      <c r="I184" s="38" t="s">
        <v>852</v>
      </c>
      <c r="J184" s="172"/>
      <c r="K184" s="172"/>
      <c r="L184" s="172"/>
      <c r="M184" s="38" t="s">
        <v>852</v>
      </c>
      <c r="N184" s="172"/>
      <c r="O184" s="172"/>
      <c r="P184" s="172"/>
      <c r="Q184" s="38" t="s">
        <v>852</v>
      </c>
      <c r="R184" s="38" t="s">
        <v>852</v>
      </c>
    </row>
    <row r="185" spans="1:20" ht="15.75" hidden="1" customHeight="1" x14ac:dyDescent="0.3">
      <c r="A185" s="539" t="s">
        <v>2515</v>
      </c>
      <c r="B185" s="10"/>
      <c r="C185" s="10"/>
      <c r="D185" s="10"/>
      <c r="E185" s="38">
        <f t="shared" ref="E185:E194" si="43">SUM(B185:D185)</f>
        <v>0</v>
      </c>
      <c r="F185" s="10"/>
      <c r="G185" s="10"/>
      <c r="H185" s="10"/>
      <c r="I185" s="38">
        <f t="shared" ref="I185:I194" si="44">SUM(F185:H185)</f>
        <v>0</v>
      </c>
      <c r="J185" s="10"/>
      <c r="K185" s="10"/>
      <c r="L185" s="10"/>
      <c r="M185" s="38">
        <f t="shared" ref="M185:M194" si="45">SUM(J185:L185)</f>
        <v>0</v>
      </c>
      <c r="N185" s="10"/>
      <c r="O185" s="10"/>
      <c r="P185" s="10"/>
      <c r="Q185" s="38">
        <f t="shared" ref="Q185:Q194" si="46">SUM(N185:P185)</f>
        <v>0</v>
      </c>
      <c r="R185" s="38">
        <f t="shared" ref="R185:R194" si="47">+E185+I185+M185+Q185</f>
        <v>0</v>
      </c>
    </row>
    <row r="186" spans="1:20" ht="15.75" hidden="1" customHeight="1" x14ac:dyDescent="0.3">
      <c r="A186" s="266" t="s">
        <v>2368</v>
      </c>
      <c r="B186" s="10"/>
      <c r="C186" s="10"/>
      <c r="D186" s="10"/>
      <c r="E186" s="38">
        <f>SUM(B186:D186)</f>
        <v>0</v>
      </c>
      <c r="F186" s="10"/>
      <c r="G186" s="10"/>
      <c r="H186" s="10"/>
      <c r="I186" s="38">
        <f>SUM(F186:H186)</f>
        <v>0</v>
      </c>
      <c r="J186" s="10"/>
      <c r="K186" s="10"/>
      <c r="L186" s="10"/>
      <c r="M186" s="38">
        <f>SUM(J186:L186)</f>
        <v>0</v>
      </c>
      <c r="N186" s="10"/>
      <c r="O186" s="10"/>
      <c r="P186" s="10"/>
      <c r="Q186" s="38">
        <f>SUM(N186:P186)</f>
        <v>0</v>
      </c>
      <c r="R186" s="38">
        <f>+E186+I186+M186+Q186</f>
        <v>0</v>
      </c>
      <c r="T186" t="s">
        <v>1193</v>
      </c>
    </row>
    <row r="187" spans="1:20" ht="15.75" hidden="1" customHeight="1" x14ac:dyDescent="0.3">
      <c r="A187" s="266" t="s">
        <v>1747</v>
      </c>
      <c r="B187" s="172"/>
      <c r="C187" s="172"/>
      <c r="D187" s="172"/>
      <c r="E187" s="38">
        <f t="shared" si="43"/>
        <v>0</v>
      </c>
      <c r="F187" s="172"/>
      <c r="G187" s="172"/>
      <c r="H187" s="172"/>
      <c r="I187" s="38">
        <f t="shared" si="44"/>
        <v>0</v>
      </c>
      <c r="J187" s="172"/>
      <c r="K187" s="172"/>
      <c r="L187" s="172"/>
      <c r="M187" s="38">
        <f t="shared" si="45"/>
        <v>0</v>
      </c>
      <c r="N187" s="172"/>
      <c r="O187" s="172"/>
      <c r="P187" s="172"/>
      <c r="Q187" s="38">
        <f t="shared" si="46"/>
        <v>0</v>
      </c>
      <c r="R187" s="38">
        <f t="shared" si="47"/>
        <v>0</v>
      </c>
    </row>
    <row r="188" spans="1:20" ht="15.75" hidden="1" customHeight="1" x14ac:dyDescent="0.3">
      <c r="A188" s="539" t="s">
        <v>2822</v>
      </c>
      <c r="B188" s="172"/>
      <c r="C188" s="172"/>
      <c r="D188" s="172"/>
      <c r="E188" s="38">
        <f t="shared" si="43"/>
        <v>0</v>
      </c>
      <c r="F188" s="172"/>
      <c r="G188" s="172"/>
      <c r="H188" s="172"/>
      <c r="I188" s="38">
        <f t="shared" si="44"/>
        <v>0</v>
      </c>
      <c r="J188" s="172"/>
      <c r="K188" s="172"/>
      <c r="L188" s="172"/>
      <c r="M188" s="38">
        <f t="shared" si="45"/>
        <v>0</v>
      </c>
      <c r="N188" s="172"/>
      <c r="O188" s="172"/>
      <c r="P188" s="172"/>
      <c r="Q188" s="38">
        <f t="shared" si="46"/>
        <v>0</v>
      </c>
      <c r="R188" s="38">
        <f t="shared" si="47"/>
        <v>0</v>
      </c>
      <c r="T188" t="s">
        <v>2760</v>
      </c>
    </row>
    <row r="189" spans="1:20" ht="15.75" hidden="1" customHeight="1" x14ac:dyDescent="0.3">
      <c r="A189" s="266" t="s">
        <v>1824</v>
      </c>
      <c r="B189" s="172"/>
      <c r="C189" s="172"/>
      <c r="D189" s="172"/>
      <c r="E189" s="38">
        <f t="shared" si="43"/>
        <v>0</v>
      </c>
      <c r="F189" s="172"/>
      <c r="G189" s="172"/>
      <c r="H189" s="172"/>
      <c r="I189" s="38">
        <f t="shared" si="44"/>
        <v>0</v>
      </c>
      <c r="J189" s="172"/>
      <c r="K189" s="172"/>
      <c r="L189" s="172"/>
      <c r="M189" s="38">
        <f t="shared" si="45"/>
        <v>0</v>
      </c>
      <c r="N189" s="172"/>
      <c r="O189" s="172"/>
      <c r="P189" s="172"/>
      <c r="Q189" s="38">
        <f t="shared" si="46"/>
        <v>0</v>
      </c>
      <c r="R189" s="38">
        <f t="shared" si="47"/>
        <v>0</v>
      </c>
    </row>
    <row r="190" spans="1:20" ht="15.75" hidden="1" customHeight="1" x14ac:dyDescent="0.3">
      <c r="A190" s="266" t="s">
        <v>1746</v>
      </c>
      <c r="B190" s="172"/>
      <c r="C190" s="172"/>
      <c r="D190" s="172"/>
      <c r="E190" s="38">
        <f t="shared" si="43"/>
        <v>0</v>
      </c>
      <c r="F190" s="172"/>
      <c r="G190" s="172"/>
      <c r="H190" s="172"/>
      <c r="I190" s="38">
        <f t="shared" si="44"/>
        <v>0</v>
      </c>
      <c r="J190" s="172"/>
      <c r="K190" s="172"/>
      <c r="L190" s="172"/>
      <c r="M190" s="38">
        <f t="shared" si="45"/>
        <v>0</v>
      </c>
      <c r="N190" s="172"/>
      <c r="O190" s="172"/>
      <c r="P190" s="172"/>
      <c r="Q190" s="38">
        <f t="shared" si="46"/>
        <v>0</v>
      </c>
      <c r="R190" s="38">
        <f t="shared" si="47"/>
        <v>0</v>
      </c>
    </row>
    <row r="191" spans="1:20" ht="15.75" hidden="1" customHeight="1" x14ac:dyDescent="0.3">
      <c r="A191" s="267" t="s">
        <v>1546</v>
      </c>
      <c r="B191" s="172"/>
      <c r="C191" s="172"/>
      <c r="D191" s="172"/>
      <c r="E191" s="38">
        <f t="shared" si="43"/>
        <v>0</v>
      </c>
      <c r="F191" s="172"/>
      <c r="G191" s="172"/>
      <c r="H191" s="172"/>
      <c r="I191" s="38">
        <f t="shared" si="44"/>
        <v>0</v>
      </c>
      <c r="J191" s="172"/>
      <c r="K191" s="172"/>
      <c r="L191" s="172"/>
      <c r="M191" s="38">
        <f t="shared" si="45"/>
        <v>0</v>
      </c>
      <c r="N191" s="172"/>
      <c r="O191" s="172"/>
      <c r="P191" s="172"/>
      <c r="Q191" s="38">
        <f t="shared" si="46"/>
        <v>0</v>
      </c>
      <c r="R191" s="38">
        <f t="shared" si="47"/>
        <v>0</v>
      </c>
      <c r="T191" t="s">
        <v>2764</v>
      </c>
    </row>
    <row r="192" spans="1:20" ht="15.75" hidden="1" customHeight="1" x14ac:dyDescent="0.3">
      <c r="A192" s="539" t="s">
        <v>2823</v>
      </c>
      <c r="B192" s="172"/>
      <c r="C192" s="172"/>
      <c r="D192" s="172"/>
      <c r="E192" s="38">
        <f t="shared" si="43"/>
        <v>0</v>
      </c>
      <c r="F192" s="172"/>
      <c r="G192" s="172"/>
      <c r="H192" s="172"/>
      <c r="I192" s="38">
        <f t="shared" si="44"/>
        <v>0</v>
      </c>
      <c r="J192" s="172"/>
      <c r="K192" s="172"/>
      <c r="L192" s="172"/>
      <c r="M192" s="38">
        <f t="shared" si="45"/>
        <v>0</v>
      </c>
      <c r="N192" s="172"/>
      <c r="O192" s="172"/>
      <c r="P192" s="172"/>
      <c r="Q192" s="38">
        <f t="shared" si="46"/>
        <v>0</v>
      </c>
      <c r="R192" s="38">
        <f t="shared" si="47"/>
        <v>0</v>
      </c>
      <c r="T192" t="s">
        <v>2760</v>
      </c>
    </row>
    <row r="193" spans="1:20" ht="15.75" hidden="1" customHeight="1" x14ac:dyDescent="0.3">
      <c r="A193" s="539" t="s">
        <v>2815</v>
      </c>
      <c r="B193" s="172"/>
      <c r="C193" s="172"/>
      <c r="D193" s="172"/>
      <c r="E193" s="38">
        <f t="shared" si="43"/>
        <v>0</v>
      </c>
      <c r="F193" s="172"/>
      <c r="G193" s="172"/>
      <c r="H193" s="172"/>
      <c r="I193" s="38">
        <f t="shared" si="44"/>
        <v>0</v>
      </c>
      <c r="J193" s="172"/>
      <c r="K193" s="172"/>
      <c r="L193" s="172"/>
      <c r="M193" s="38">
        <f t="shared" si="45"/>
        <v>0</v>
      </c>
      <c r="N193" s="172"/>
      <c r="O193" s="172"/>
      <c r="P193" s="172"/>
      <c r="Q193" s="38">
        <f t="shared" si="46"/>
        <v>0</v>
      </c>
      <c r="R193" s="38">
        <f t="shared" si="47"/>
        <v>0</v>
      </c>
      <c r="T193" t="s">
        <v>2631</v>
      </c>
    </row>
    <row r="194" spans="1:20" ht="15.75" hidden="1" customHeight="1" x14ac:dyDescent="0.3">
      <c r="A194" s="267" t="s">
        <v>5</v>
      </c>
      <c r="B194" s="172"/>
      <c r="C194" s="172"/>
      <c r="D194" s="172"/>
      <c r="E194" s="38">
        <f t="shared" si="43"/>
        <v>0</v>
      </c>
      <c r="F194" s="172"/>
      <c r="G194" s="172"/>
      <c r="H194" s="172"/>
      <c r="I194" s="38">
        <f t="shared" si="44"/>
        <v>0</v>
      </c>
      <c r="J194" s="172"/>
      <c r="K194" s="172"/>
      <c r="L194" s="172"/>
      <c r="M194" s="38">
        <f t="shared" si="45"/>
        <v>0</v>
      </c>
      <c r="N194" s="172"/>
      <c r="O194" s="172"/>
      <c r="P194" s="172"/>
      <c r="Q194" s="38">
        <f t="shared" si="46"/>
        <v>0</v>
      </c>
      <c r="R194" s="38">
        <f t="shared" si="47"/>
        <v>0</v>
      </c>
    </row>
    <row r="195" spans="1:20" ht="15.75" hidden="1" customHeight="1" x14ac:dyDescent="0.3">
      <c r="A195" s="234" t="s">
        <v>2162</v>
      </c>
      <c r="B195" s="172"/>
      <c r="C195" s="172"/>
      <c r="D195" s="172"/>
      <c r="E195" s="38" t="s">
        <v>852</v>
      </c>
      <c r="F195" s="172"/>
      <c r="G195" s="172"/>
      <c r="H195" s="172"/>
      <c r="I195" s="38" t="s">
        <v>852</v>
      </c>
      <c r="J195" s="172"/>
      <c r="K195" s="172"/>
      <c r="L195" s="172"/>
      <c r="M195" s="38" t="s">
        <v>852</v>
      </c>
      <c r="N195" s="172"/>
      <c r="O195" s="172"/>
      <c r="P195" s="172"/>
      <c r="Q195" s="38" t="s">
        <v>852</v>
      </c>
      <c r="R195" s="38" t="s">
        <v>852</v>
      </c>
    </row>
    <row r="196" spans="1:20" ht="15.75" hidden="1" customHeight="1" x14ac:dyDescent="0.3">
      <c r="A196" s="568" t="s">
        <v>2846</v>
      </c>
      <c r="B196" s="172"/>
      <c r="C196" s="172"/>
      <c r="D196" s="172"/>
      <c r="E196" s="38">
        <f>SUM(B196:D196)</f>
        <v>0</v>
      </c>
      <c r="F196" s="172"/>
      <c r="G196" s="172"/>
      <c r="H196" s="172"/>
      <c r="I196" s="38">
        <f>SUM(F196:H196)</f>
        <v>0</v>
      </c>
      <c r="J196" s="172"/>
      <c r="K196" s="172"/>
      <c r="L196" s="172"/>
      <c r="M196" s="38">
        <f>SUM(J196:L196)</f>
        <v>0</v>
      </c>
      <c r="N196" s="172"/>
      <c r="O196" s="172"/>
      <c r="P196" s="172"/>
      <c r="Q196" s="38">
        <f>SUM(N196:P196)</f>
        <v>0</v>
      </c>
      <c r="R196" s="38">
        <f>+E196+I196+M196+Q196</f>
        <v>0</v>
      </c>
      <c r="T196" t="s">
        <v>2769</v>
      </c>
    </row>
    <row r="197" spans="1:20" ht="15.75" hidden="1" customHeight="1" x14ac:dyDescent="0.3">
      <c r="A197" s="568" t="s">
        <v>2847</v>
      </c>
      <c r="B197" s="172"/>
      <c r="C197" s="172"/>
      <c r="D197" s="172"/>
      <c r="E197" s="38">
        <f>SUM(B197:D197)</f>
        <v>0</v>
      </c>
      <c r="F197" s="172"/>
      <c r="G197" s="172"/>
      <c r="H197" s="172"/>
      <c r="I197" s="38">
        <f>SUM(F197:H197)</f>
        <v>0</v>
      </c>
      <c r="J197" s="172"/>
      <c r="K197" s="172"/>
      <c r="L197" s="172"/>
      <c r="M197" s="38">
        <f>SUM(J197:L197)</f>
        <v>0</v>
      </c>
      <c r="N197" s="172"/>
      <c r="O197" s="172"/>
      <c r="P197" s="172"/>
      <c r="Q197" s="38">
        <f>SUM(N197:P197)</f>
        <v>0</v>
      </c>
      <c r="R197" s="38">
        <f>+E197+I197+M197+Q197</f>
        <v>0</v>
      </c>
      <c r="T197" t="s">
        <v>2770</v>
      </c>
    </row>
    <row r="198" spans="1:20" ht="15.75" hidden="1" customHeight="1" x14ac:dyDescent="0.3">
      <c r="A198" s="422" t="s">
        <v>2551</v>
      </c>
      <c r="B198" s="172">
        <v>8</v>
      </c>
      <c r="C198" s="172">
        <v>25</v>
      </c>
      <c r="D198" s="172">
        <v>102</v>
      </c>
      <c r="E198" s="38">
        <f>SUM(B198:D198)</f>
        <v>135</v>
      </c>
      <c r="F198" s="172">
        <v>66</v>
      </c>
      <c r="G198" s="172">
        <v>100</v>
      </c>
      <c r="H198" s="172">
        <v>275</v>
      </c>
      <c r="I198" s="38">
        <f>SUM(F198:H198)</f>
        <v>441</v>
      </c>
      <c r="J198" s="172">
        <v>255</v>
      </c>
      <c r="K198" s="172">
        <v>162</v>
      </c>
      <c r="L198" s="172">
        <v>126</v>
      </c>
      <c r="M198" s="38">
        <f>SUM(J198:L198)</f>
        <v>543</v>
      </c>
      <c r="N198" s="172">
        <v>109</v>
      </c>
      <c r="O198" s="172">
        <v>38</v>
      </c>
      <c r="P198" s="172">
        <v>15</v>
      </c>
      <c r="Q198" s="38">
        <f>SUM(N198:P198)</f>
        <v>162</v>
      </c>
      <c r="R198" s="38">
        <f>+E198+I198+M198+Q198</f>
        <v>1281</v>
      </c>
      <c r="T198" t="s">
        <v>2793</v>
      </c>
    </row>
    <row r="199" spans="1:20" ht="15.75" hidden="1" customHeight="1" thickBot="1" x14ac:dyDescent="0.35">
      <c r="A199" s="234" t="s">
        <v>2164</v>
      </c>
      <c r="B199" s="172"/>
      <c r="C199" s="172"/>
      <c r="D199" s="172"/>
      <c r="E199" s="38" t="s">
        <v>852</v>
      </c>
      <c r="F199" s="172"/>
      <c r="G199" s="172"/>
      <c r="H199" s="172"/>
      <c r="I199" s="38" t="s">
        <v>852</v>
      </c>
      <c r="J199" s="172"/>
      <c r="K199" s="172"/>
      <c r="L199" s="172"/>
      <c r="M199" s="38" t="s">
        <v>852</v>
      </c>
      <c r="N199" s="172"/>
      <c r="O199" s="172"/>
      <c r="P199" s="172"/>
      <c r="Q199" s="38" t="s">
        <v>852</v>
      </c>
      <c r="R199" s="38" t="s">
        <v>852</v>
      </c>
    </row>
    <row r="200" spans="1:20" ht="16.5" hidden="1" customHeight="1" thickBot="1" x14ac:dyDescent="0.35">
      <c r="A200" s="43" t="s">
        <v>1218</v>
      </c>
      <c r="B200" s="45">
        <f>SUM(B136:B199)</f>
        <v>9405</v>
      </c>
      <c r="C200" s="46">
        <f>SUM(C136:C199)</f>
        <v>5479</v>
      </c>
      <c r="D200" s="46">
        <f>SUM(D136:D199)</f>
        <v>11118</v>
      </c>
      <c r="E200" s="37">
        <f>SUM(B200:D200)</f>
        <v>26002</v>
      </c>
      <c r="F200" s="46">
        <f>SUM(F136:F199)</f>
        <v>14916</v>
      </c>
      <c r="G200" s="46">
        <f>SUM(G136:G199)</f>
        <v>18787</v>
      </c>
      <c r="H200" s="46">
        <f>SUM(H136:H199)</f>
        <v>22583</v>
      </c>
      <c r="I200" s="37">
        <f>SUM(F200:H200)</f>
        <v>56286</v>
      </c>
      <c r="J200" s="46">
        <f>SUM(J136:J199)</f>
        <v>36714</v>
      </c>
      <c r="K200" s="46">
        <f>SUM(K136:K199)</f>
        <v>33281</v>
      </c>
      <c r="L200" s="46">
        <f>SUM(L136:L199)</f>
        <v>28565</v>
      </c>
      <c r="M200" s="37">
        <f>SUM(J200:L200)</f>
        <v>98560</v>
      </c>
      <c r="N200" s="46">
        <f>SUM(N136:N199)</f>
        <v>27192</v>
      </c>
      <c r="O200" s="46">
        <f>SUM(O136:O199)</f>
        <v>18712</v>
      </c>
      <c r="P200" s="46">
        <f>SUM(P136:P199)</f>
        <v>13237</v>
      </c>
      <c r="Q200" s="37">
        <f>SUM(N200:P200)</f>
        <v>59141</v>
      </c>
      <c r="R200" s="37">
        <f>+E200+I200+M200+Q200</f>
        <v>239989</v>
      </c>
    </row>
    <row r="201" spans="1:20" ht="15.75" hidden="1" customHeight="1" x14ac:dyDescent="0.3">
      <c r="A201" s="234" t="s">
        <v>1172</v>
      </c>
      <c r="B201" s="172"/>
      <c r="C201" s="172"/>
      <c r="D201" s="172"/>
      <c r="E201" s="38" t="s">
        <v>852</v>
      </c>
      <c r="F201" s="172"/>
      <c r="G201" s="172"/>
      <c r="H201" s="172"/>
      <c r="I201" s="38" t="s">
        <v>852</v>
      </c>
      <c r="J201" s="172"/>
      <c r="K201" s="172"/>
      <c r="L201" s="172"/>
      <c r="M201" s="38" t="s">
        <v>852</v>
      </c>
      <c r="N201" s="172"/>
      <c r="O201" s="172"/>
      <c r="P201" s="172"/>
      <c r="Q201" s="38" t="s">
        <v>852</v>
      </c>
      <c r="R201" s="38" t="s">
        <v>852</v>
      </c>
    </row>
    <row r="202" spans="1:20" ht="15.75" hidden="1" customHeight="1" x14ac:dyDescent="0.3">
      <c r="A202" s="234" t="s">
        <v>1658</v>
      </c>
      <c r="B202" s="172"/>
      <c r="C202" s="172"/>
      <c r="D202" s="172"/>
      <c r="E202" s="38" t="s">
        <v>852</v>
      </c>
      <c r="F202" s="172"/>
      <c r="G202" s="172"/>
      <c r="H202" s="172"/>
      <c r="I202" s="38" t="s">
        <v>852</v>
      </c>
      <c r="J202" s="172"/>
      <c r="K202" s="172"/>
      <c r="L202" s="172"/>
      <c r="M202" s="38" t="s">
        <v>852</v>
      </c>
      <c r="N202" s="172"/>
      <c r="O202" s="172"/>
      <c r="P202" s="172"/>
      <c r="Q202" s="38" t="s">
        <v>852</v>
      </c>
      <c r="R202" s="38" t="s">
        <v>852</v>
      </c>
    </row>
    <row r="203" spans="1:20" ht="15.75" hidden="1" customHeight="1" x14ac:dyDescent="0.3">
      <c r="A203" s="234" t="s">
        <v>2409</v>
      </c>
      <c r="B203" s="172"/>
      <c r="C203" s="172"/>
      <c r="D203" s="172"/>
      <c r="E203" s="38" t="s">
        <v>852</v>
      </c>
      <c r="F203" s="172"/>
      <c r="G203" s="172"/>
      <c r="H203" s="172"/>
      <c r="I203" s="38" t="s">
        <v>852</v>
      </c>
      <c r="J203" s="172"/>
      <c r="K203" s="172"/>
      <c r="L203" s="172"/>
      <c r="M203" s="38" t="s">
        <v>852</v>
      </c>
      <c r="N203" s="172"/>
      <c r="O203" s="172"/>
      <c r="P203" s="172"/>
      <c r="Q203" s="38" t="s">
        <v>852</v>
      </c>
      <c r="R203" s="38" t="s">
        <v>852</v>
      </c>
    </row>
    <row r="204" spans="1:20" ht="15.75" hidden="1" customHeight="1" x14ac:dyDescent="0.3">
      <c r="A204" s="568" t="s">
        <v>1645</v>
      </c>
      <c r="B204" s="172"/>
      <c r="C204" s="172"/>
      <c r="D204" s="172"/>
      <c r="E204" s="38">
        <f>SUM(B204:D204)</f>
        <v>0</v>
      </c>
      <c r="F204" s="172"/>
      <c r="G204" s="172"/>
      <c r="H204" s="172"/>
      <c r="I204" s="38">
        <f>SUM(F204:H204)</f>
        <v>0</v>
      </c>
      <c r="J204" s="172"/>
      <c r="K204" s="172"/>
      <c r="L204" s="172"/>
      <c r="M204" s="38">
        <f>SUM(J204:L204)</f>
        <v>0</v>
      </c>
      <c r="N204" s="172"/>
      <c r="O204" s="172"/>
      <c r="P204" s="172"/>
      <c r="Q204" s="38">
        <f>SUM(N204:P204)</f>
        <v>0</v>
      </c>
      <c r="R204" s="38">
        <f>+E204+I204+M204+Q204</f>
        <v>0</v>
      </c>
      <c r="T204" t="s">
        <v>2764</v>
      </c>
    </row>
    <row r="205" spans="1:20" ht="15.75" hidden="1" customHeight="1" x14ac:dyDescent="0.3">
      <c r="A205" s="410" t="s">
        <v>2824</v>
      </c>
      <c r="B205" s="172"/>
      <c r="C205" s="172"/>
      <c r="D205" s="172"/>
      <c r="E205" s="38">
        <f>SUM(B205:D205)</f>
        <v>0</v>
      </c>
      <c r="F205" s="172"/>
      <c r="G205" s="172"/>
      <c r="H205" s="172"/>
      <c r="I205" s="38">
        <f>SUM(F205:H205)</f>
        <v>0</v>
      </c>
      <c r="J205" s="172"/>
      <c r="K205" s="172"/>
      <c r="L205" s="172"/>
      <c r="M205" s="38">
        <f>SUM(J205:L205)</f>
        <v>0</v>
      </c>
      <c r="N205" s="172"/>
      <c r="O205" s="172"/>
      <c r="P205" s="172"/>
      <c r="Q205" s="38">
        <f>SUM(N205:P205)</f>
        <v>0</v>
      </c>
      <c r="R205" s="38">
        <f>+E205+I205+M205+Q205</f>
        <v>0</v>
      </c>
      <c r="S205" t="s">
        <v>3020</v>
      </c>
      <c r="T205" t="s">
        <v>2760</v>
      </c>
    </row>
    <row r="206" spans="1:20" ht="15.75" hidden="1" customHeight="1" thickBot="1" x14ac:dyDescent="0.35">
      <c r="A206" s="234" t="s">
        <v>2165</v>
      </c>
      <c r="B206" s="172"/>
      <c r="C206" s="172"/>
      <c r="D206" s="172"/>
      <c r="E206" s="38" t="s">
        <v>852</v>
      </c>
      <c r="F206" s="172"/>
      <c r="G206" s="172"/>
      <c r="H206" s="172"/>
      <c r="I206" s="38" t="s">
        <v>852</v>
      </c>
      <c r="J206" s="172"/>
      <c r="K206" s="172"/>
      <c r="L206" s="172"/>
      <c r="M206" s="38" t="s">
        <v>852</v>
      </c>
      <c r="N206" s="172"/>
      <c r="O206" s="172"/>
      <c r="P206" s="172"/>
      <c r="Q206" s="38" t="s">
        <v>852</v>
      </c>
      <c r="R206" s="38" t="s">
        <v>852</v>
      </c>
    </row>
    <row r="207" spans="1:20" ht="16.5" hidden="1" customHeight="1" thickBot="1" x14ac:dyDescent="0.35">
      <c r="A207" s="43" t="s">
        <v>1219</v>
      </c>
      <c r="B207" s="45">
        <f>SUM(B201:B206)</f>
        <v>0</v>
      </c>
      <c r="C207" s="46">
        <f>SUM(C201:C206)</f>
        <v>0</v>
      </c>
      <c r="D207" s="46">
        <f>SUM(D201:D206)</f>
        <v>0</v>
      </c>
      <c r="E207" s="37">
        <f>SUM(B207:D207)</f>
        <v>0</v>
      </c>
      <c r="F207" s="46">
        <f>SUM(F201:F206)</f>
        <v>0</v>
      </c>
      <c r="G207" s="46">
        <f>SUM(G201:G206)</f>
        <v>0</v>
      </c>
      <c r="H207" s="46">
        <f>SUM(H201:H206)</f>
        <v>0</v>
      </c>
      <c r="I207" s="37">
        <f>SUM(F207:H207)</f>
        <v>0</v>
      </c>
      <c r="J207" s="46">
        <f>SUM(J201:J206)</f>
        <v>0</v>
      </c>
      <c r="K207" s="46">
        <f>SUM(K201:K206)</f>
        <v>0</v>
      </c>
      <c r="L207" s="46">
        <f>SUM(L201:L206)</f>
        <v>0</v>
      </c>
      <c r="M207" s="37">
        <f>SUM(J207:L207)</f>
        <v>0</v>
      </c>
      <c r="N207" s="46">
        <f>SUM(N201:N206)</f>
        <v>0</v>
      </c>
      <c r="O207" s="46">
        <f>SUM(O201:O206)</f>
        <v>0</v>
      </c>
      <c r="P207" s="46">
        <f>SUM(P201:P206)</f>
        <v>0</v>
      </c>
      <c r="Q207" s="37">
        <f>SUM(N207:P207)</f>
        <v>0</v>
      </c>
      <c r="R207" s="37">
        <f>+E207+I207+M207+Q207</f>
        <v>0</v>
      </c>
    </row>
    <row r="208" spans="1:20" ht="15.75" hidden="1" customHeight="1" x14ac:dyDescent="0.3">
      <c r="A208" s="234" t="s">
        <v>2166</v>
      </c>
      <c r="B208" s="172"/>
      <c r="C208" s="172"/>
      <c r="D208" s="172"/>
      <c r="E208" s="38" t="s">
        <v>852</v>
      </c>
      <c r="F208" s="172"/>
      <c r="G208" s="172"/>
      <c r="H208" s="172"/>
      <c r="I208" s="38" t="s">
        <v>852</v>
      </c>
      <c r="J208" s="172"/>
      <c r="K208" s="172"/>
      <c r="L208" s="172"/>
      <c r="M208" s="38" t="s">
        <v>852</v>
      </c>
      <c r="N208" s="172"/>
      <c r="O208" s="172"/>
      <c r="P208" s="172"/>
      <c r="Q208" s="38" t="s">
        <v>852</v>
      </c>
      <c r="R208" s="38" t="s">
        <v>852</v>
      </c>
    </row>
    <row r="209" spans="1:20" ht="15.75" hidden="1" customHeight="1" x14ac:dyDescent="0.3">
      <c r="A209" s="234" t="s">
        <v>1245</v>
      </c>
      <c r="B209" s="172"/>
      <c r="C209" s="172"/>
      <c r="D209" s="172"/>
      <c r="E209" s="38" t="s">
        <v>852</v>
      </c>
      <c r="F209" s="172"/>
      <c r="G209" s="172"/>
      <c r="H209" s="172"/>
      <c r="I209" s="38" t="s">
        <v>852</v>
      </c>
      <c r="J209" s="172"/>
      <c r="K209" s="172"/>
      <c r="L209" s="172"/>
      <c r="M209" s="38" t="s">
        <v>852</v>
      </c>
      <c r="N209" s="172"/>
      <c r="O209" s="172"/>
      <c r="P209" s="172"/>
      <c r="Q209" s="38" t="s">
        <v>852</v>
      </c>
      <c r="R209" s="38" t="s">
        <v>852</v>
      </c>
    </row>
    <row r="210" spans="1:20" ht="15.75" hidden="1" customHeight="1" x14ac:dyDescent="0.3">
      <c r="A210" s="234" t="s">
        <v>1711</v>
      </c>
      <c r="B210" s="172"/>
      <c r="C210" s="172"/>
      <c r="D210" s="172"/>
      <c r="E210" s="38" t="s">
        <v>852</v>
      </c>
      <c r="F210" s="172"/>
      <c r="G210" s="172"/>
      <c r="H210" s="172"/>
      <c r="I210" s="38" t="s">
        <v>852</v>
      </c>
      <c r="J210" s="172"/>
      <c r="K210" s="172"/>
      <c r="L210" s="172"/>
      <c r="M210" s="38" t="s">
        <v>852</v>
      </c>
      <c r="N210" s="172"/>
      <c r="O210" s="172"/>
      <c r="P210" s="172"/>
      <c r="Q210" s="38" t="s">
        <v>852</v>
      </c>
      <c r="R210" s="38" t="s">
        <v>852</v>
      </c>
    </row>
    <row r="211" spans="1:20" ht="15.75" hidden="1" customHeight="1" x14ac:dyDescent="0.3">
      <c r="A211" s="540" t="s">
        <v>3189</v>
      </c>
      <c r="B211" s="172"/>
      <c r="C211" s="172"/>
      <c r="D211" s="172"/>
      <c r="E211" s="38">
        <f t="shared" ref="E211:E216" si="48">SUM(B211:D211)</f>
        <v>0</v>
      </c>
      <c r="F211" s="172"/>
      <c r="G211" s="172"/>
      <c r="H211" s="172"/>
      <c r="I211" s="38">
        <f t="shared" ref="I211:I216" si="49">SUM(F211:H211)</f>
        <v>0</v>
      </c>
      <c r="J211" s="172"/>
      <c r="K211" s="172"/>
      <c r="L211" s="172"/>
      <c r="M211" s="38">
        <f t="shared" ref="M211:M216" si="50">SUM(J211:L211)</f>
        <v>0</v>
      </c>
      <c r="N211" s="172"/>
      <c r="O211" s="172"/>
      <c r="P211" s="172">
        <v>1000</v>
      </c>
      <c r="Q211" s="38">
        <f t="shared" ref="Q211:Q216" si="51">SUM(N211:P211)</f>
        <v>1000</v>
      </c>
      <c r="R211" s="38">
        <f t="shared" ref="R211:R263" si="52">+E211+I211+M211+Q211</f>
        <v>1000</v>
      </c>
      <c r="T211" t="s">
        <v>2800</v>
      </c>
    </row>
    <row r="212" spans="1:20" ht="15.75" hidden="1" customHeight="1" x14ac:dyDescent="0.3">
      <c r="A212" s="540" t="s">
        <v>1364</v>
      </c>
      <c r="B212" s="172">
        <v>282</v>
      </c>
      <c r="C212" s="172">
        <v>281</v>
      </c>
      <c r="D212" s="172">
        <v>348</v>
      </c>
      <c r="E212" s="38">
        <f t="shared" si="48"/>
        <v>911</v>
      </c>
      <c r="F212" s="172">
        <v>369</v>
      </c>
      <c r="G212" s="172">
        <v>452</v>
      </c>
      <c r="H212" s="172">
        <v>507</v>
      </c>
      <c r="I212" s="38">
        <f t="shared" si="49"/>
        <v>1328</v>
      </c>
      <c r="J212" s="172">
        <v>585</v>
      </c>
      <c r="K212" s="172">
        <v>452</v>
      </c>
      <c r="L212" s="172">
        <v>436</v>
      </c>
      <c r="M212" s="38">
        <f t="shared" si="50"/>
        <v>1473</v>
      </c>
      <c r="N212" s="172">
        <v>452</v>
      </c>
      <c r="O212" s="172">
        <v>334</v>
      </c>
      <c r="P212" s="172">
        <v>315</v>
      </c>
      <c r="Q212" s="38">
        <f t="shared" si="51"/>
        <v>1101</v>
      </c>
      <c r="R212" s="38">
        <f t="shared" ref="R212" si="53">+E212+I212+M212+Q212</f>
        <v>4813</v>
      </c>
    </row>
    <row r="213" spans="1:20" ht="15.75" hidden="1" customHeight="1" x14ac:dyDescent="0.3">
      <c r="A213" s="540" t="s">
        <v>1388</v>
      </c>
      <c r="B213" s="172"/>
      <c r="C213" s="172"/>
      <c r="D213" s="172">
        <v>357</v>
      </c>
      <c r="E213" s="38">
        <f t="shared" si="48"/>
        <v>357</v>
      </c>
      <c r="F213" s="172"/>
      <c r="G213" s="172"/>
      <c r="H213" s="172"/>
      <c r="I213" s="38">
        <f t="shared" si="49"/>
        <v>0</v>
      </c>
      <c r="J213" s="172">
        <v>500</v>
      </c>
      <c r="K213" s="172">
        <v>300</v>
      </c>
      <c r="L213" s="172"/>
      <c r="M213" s="38">
        <f t="shared" si="50"/>
        <v>800</v>
      </c>
      <c r="N213" s="172"/>
      <c r="O213" s="172"/>
      <c r="P213" s="172"/>
      <c r="Q213" s="38">
        <f t="shared" si="51"/>
        <v>0</v>
      </c>
      <c r="R213" s="38">
        <f t="shared" si="52"/>
        <v>1157</v>
      </c>
      <c r="T213" t="s">
        <v>2764</v>
      </c>
    </row>
    <row r="214" spans="1:20" ht="15.75" hidden="1" customHeight="1" x14ac:dyDescent="0.3">
      <c r="A214" s="540" t="s">
        <v>693</v>
      </c>
      <c r="B214" s="172">
        <v>2</v>
      </c>
      <c r="C214" s="172">
        <v>16</v>
      </c>
      <c r="D214" s="172">
        <v>56</v>
      </c>
      <c r="E214" s="38">
        <f t="shared" si="48"/>
        <v>74</v>
      </c>
      <c r="F214" s="172">
        <v>31</v>
      </c>
      <c r="G214" s="172">
        <v>62</v>
      </c>
      <c r="H214" s="172">
        <v>83</v>
      </c>
      <c r="I214" s="38">
        <f t="shared" si="49"/>
        <v>176</v>
      </c>
      <c r="J214" s="172">
        <v>97</v>
      </c>
      <c r="K214" s="172">
        <v>63</v>
      </c>
      <c r="L214" s="172">
        <v>55</v>
      </c>
      <c r="M214" s="38">
        <f t="shared" si="50"/>
        <v>215</v>
      </c>
      <c r="N214" s="172">
        <v>50</v>
      </c>
      <c r="O214" s="172">
        <v>14</v>
      </c>
      <c r="P214" s="172">
        <v>14</v>
      </c>
      <c r="Q214" s="38">
        <f t="shared" si="51"/>
        <v>78</v>
      </c>
      <c r="R214" s="38">
        <f t="shared" si="52"/>
        <v>543</v>
      </c>
      <c r="T214" t="s">
        <v>1193</v>
      </c>
    </row>
    <row r="215" spans="1:20" ht="15.75" hidden="1" customHeight="1" x14ac:dyDescent="0.3">
      <c r="A215" s="540" t="s">
        <v>3072</v>
      </c>
      <c r="B215" s="172"/>
      <c r="C215" s="172"/>
      <c r="D215" s="172"/>
      <c r="E215" s="38">
        <f t="shared" si="48"/>
        <v>0</v>
      </c>
      <c r="F215" s="172"/>
      <c r="G215" s="172"/>
      <c r="H215" s="172">
        <v>100</v>
      </c>
      <c r="I215" s="38">
        <f t="shared" si="49"/>
        <v>100</v>
      </c>
      <c r="J215" s="172"/>
      <c r="K215" s="172"/>
      <c r="L215" s="172"/>
      <c r="M215" s="38">
        <f t="shared" si="50"/>
        <v>0</v>
      </c>
      <c r="N215" s="172"/>
      <c r="O215" s="172"/>
      <c r="P215" s="172"/>
      <c r="Q215" s="38">
        <f t="shared" si="51"/>
        <v>0</v>
      </c>
      <c r="R215" s="38">
        <f>+E215+I215+M215+Q215</f>
        <v>100</v>
      </c>
      <c r="T215" t="s">
        <v>2770</v>
      </c>
    </row>
    <row r="216" spans="1:20" ht="15.75" hidden="1" customHeight="1" x14ac:dyDescent="0.3">
      <c r="A216" s="410" t="s">
        <v>3063</v>
      </c>
      <c r="B216" s="172"/>
      <c r="C216" s="172"/>
      <c r="D216" s="172"/>
      <c r="E216" s="38">
        <f t="shared" si="48"/>
        <v>0</v>
      </c>
      <c r="F216" s="172"/>
      <c r="G216" s="172">
        <v>500</v>
      </c>
      <c r="H216" s="172">
        <v>2182</v>
      </c>
      <c r="I216" s="38">
        <f t="shared" si="49"/>
        <v>2682</v>
      </c>
      <c r="J216" s="172">
        <v>3218</v>
      </c>
      <c r="K216" s="172"/>
      <c r="L216" s="172">
        <v>239</v>
      </c>
      <c r="M216" s="38">
        <f t="shared" si="50"/>
        <v>3457</v>
      </c>
      <c r="N216" s="172"/>
      <c r="O216" s="172"/>
      <c r="P216" s="172"/>
      <c r="Q216" s="38">
        <f t="shared" si="51"/>
        <v>0</v>
      </c>
      <c r="R216" s="38">
        <f>+E216+I216+M216+Q216</f>
        <v>6139</v>
      </c>
      <c r="T216" t="s">
        <v>2760</v>
      </c>
    </row>
    <row r="217" spans="1:20" ht="15.75" hidden="1" customHeight="1" x14ac:dyDescent="0.3">
      <c r="A217" s="410" t="s">
        <v>2965</v>
      </c>
      <c r="B217" s="172"/>
      <c r="C217" s="172"/>
      <c r="D217" s="172"/>
      <c r="E217" s="38">
        <f t="shared" ref="E217:E263" si="54">SUM(B217:D217)</f>
        <v>0</v>
      </c>
      <c r="F217" s="172"/>
      <c r="G217" s="172"/>
      <c r="H217" s="172"/>
      <c r="I217" s="38">
        <f t="shared" ref="I217:I263" si="55">SUM(F217:H217)</f>
        <v>0</v>
      </c>
      <c r="J217" s="172"/>
      <c r="K217" s="172"/>
      <c r="L217" s="172"/>
      <c r="M217" s="38">
        <f t="shared" ref="M217:M263" si="56">SUM(J217:L217)</f>
        <v>0</v>
      </c>
      <c r="N217" s="172"/>
      <c r="O217" s="172"/>
      <c r="P217" s="172"/>
      <c r="Q217" s="38">
        <f t="shared" ref="Q217:Q263" si="57">SUM(N217:P217)</f>
        <v>0</v>
      </c>
      <c r="R217" s="38">
        <f t="shared" si="52"/>
        <v>0</v>
      </c>
      <c r="S217" t="s">
        <v>3020</v>
      </c>
    </row>
    <row r="218" spans="1:20" ht="15.75" hidden="1" customHeight="1" x14ac:dyDescent="0.3">
      <c r="A218" s="410" t="s">
        <v>568</v>
      </c>
      <c r="B218" s="172">
        <v>321</v>
      </c>
      <c r="C218" s="172">
        <v>361</v>
      </c>
      <c r="D218" s="172"/>
      <c r="E218" s="38">
        <f>SUM(B218:D218)</f>
        <v>682</v>
      </c>
      <c r="F218" s="172"/>
      <c r="G218" s="172"/>
      <c r="H218" s="172"/>
      <c r="I218" s="38">
        <f>SUM(F218:H218)</f>
        <v>0</v>
      </c>
      <c r="J218" s="172"/>
      <c r="K218" s="172"/>
      <c r="L218" s="172"/>
      <c r="M218" s="38">
        <f>SUM(J218:L218)</f>
        <v>0</v>
      </c>
      <c r="N218" s="172"/>
      <c r="O218" s="172"/>
      <c r="P218" s="172"/>
      <c r="Q218" s="38">
        <f>SUM(N218:P218)</f>
        <v>0</v>
      </c>
      <c r="R218" s="38">
        <f t="shared" si="52"/>
        <v>682</v>
      </c>
      <c r="T218" t="s">
        <v>2775</v>
      </c>
    </row>
    <row r="219" spans="1:20" ht="15.75" hidden="1" customHeight="1" x14ac:dyDescent="0.3">
      <c r="A219" s="410" t="s">
        <v>1150</v>
      </c>
      <c r="B219" s="172"/>
      <c r="C219" s="172"/>
      <c r="D219" s="172"/>
      <c r="E219" s="38">
        <f t="shared" si="54"/>
        <v>0</v>
      </c>
      <c r="F219" s="172"/>
      <c r="G219" s="172"/>
      <c r="H219" s="172"/>
      <c r="I219" s="38">
        <f t="shared" si="55"/>
        <v>0</v>
      </c>
      <c r="J219" s="172"/>
      <c r="K219" s="172"/>
      <c r="L219" s="172"/>
      <c r="M219" s="38">
        <f t="shared" si="56"/>
        <v>0</v>
      </c>
      <c r="N219" s="172"/>
      <c r="O219" s="172"/>
      <c r="P219" s="172"/>
      <c r="Q219" s="38">
        <f t="shared" si="57"/>
        <v>0</v>
      </c>
      <c r="R219" s="38">
        <f t="shared" si="52"/>
        <v>0</v>
      </c>
    </row>
    <row r="220" spans="1:20" ht="15.75" hidden="1" customHeight="1" x14ac:dyDescent="0.3">
      <c r="A220" s="410" t="s">
        <v>2599</v>
      </c>
      <c r="B220" s="172">
        <v>1136</v>
      </c>
      <c r="C220" s="172"/>
      <c r="D220" s="172"/>
      <c r="E220" s="38">
        <f t="shared" si="54"/>
        <v>1136</v>
      </c>
      <c r="F220" s="172"/>
      <c r="G220" s="172"/>
      <c r="H220" s="172"/>
      <c r="I220" s="38">
        <f t="shared" si="55"/>
        <v>0</v>
      </c>
      <c r="J220" s="172"/>
      <c r="K220" s="172"/>
      <c r="L220" s="172"/>
      <c r="M220" s="38">
        <f t="shared" si="56"/>
        <v>0</v>
      </c>
      <c r="N220" s="172"/>
      <c r="O220" s="172"/>
      <c r="P220" s="172"/>
      <c r="Q220" s="38">
        <f t="shared" si="57"/>
        <v>0</v>
      </c>
      <c r="R220" s="38">
        <f t="shared" si="52"/>
        <v>1136</v>
      </c>
    </row>
    <row r="221" spans="1:20" ht="15.75" hidden="1" customHeight="1" x14ac:dyDescent="0.3">
      <c r="A221" s="410" t="s">
        <v>1974</v>
      </c>
      <c r="B221" s="172">
        <v>23</v>
      </c>
      <c r="C221" s="172"/>
      <c r="D221" s="172"/>
      <c r="E221" s="38">
        <f t="shared" si="54"/>
        <v>23</v>
      </c>
      <c r="F221" s="172"/>
      <c r="G221" s="172"/>
      <c r="H221" s="172"/>
      <c r="I221" s="38">
        <f t="shared" si="55"/>
        <v>0</v>
      </c>
      <c r="J221" s="172"/>
      <c r="K221" s="172"/>
      <c r="L221" s="172"/>
      <c r="M221" s="38">
        <f t="shared" si="56"/>
        <v>0</v>
      </c>
      <c r="N221" s="172"/>
      <c r="O221" s="172"/>
      <c r="P221" s="172"/>
      <c r="Q221" s="38">
        <f t="shared" si="57"/>
        <v>0</v>
      </c>
      <c r="R221" s="38">
        <f t="shared" si="52"/>
        <v>23</v>
      </c>
    </row>
    <row r="222" spans="1:20" ht="15.75" hidden="1" customHeight="1" x14ac:dyDescent="0.3">
      <c r="A222" s="410" t="s">
        <v>2848</v>
      </c>
      <c r="B222" s="172">
        <v>23</v>
      </c>
      <c r="C222" s="172"/>
      <c r="D222" s="172"/>
      <c r="E222" s="38">
        <f t="shared" si="54"/>
        <v>23</v>
      </c>
      <c r="F222" s="172"/>
      <c r="G222" s="172"/>
      <c r="H222" s="172"/>
      <c r="I222" s="38">
        <f t="shared" si="55"/>
        <v>0</v>
      </c>
      <c r="J222" s="172"/>
      <c r="K222" s="172"/>
      <c r="L222" s="172"/>
      <c r="M222" s="38">
        <f t="shared" si="56"/>
        <v>0</v>
      </c>
      <c r="N222" s="172"/>
      <c r="O222" s="172"/>
      <c r="P222" s="172"/>
      <c r="Q222" s="38">
        <f t="shared" si="57"/>
        <v>0</v>
      </c>
      <c r="R222" s="38">
        <f t="shared" si="52"/>
        <v>23</v>
      </c>
      <c r="S222" t="s">
        <v>3020</v>
      </c>
      <c r="T222" t="s">
        <v>2760</v>
      </c>
    </row>
    <row r="223" spans="1:20" ht="15.75" hidden="1" customHeight="1" x14ac:dyDescent="0.3">
      <c r="A223" s="410" t="s">
        <v>2791</v>
      </c>
      <c r="B223" s="172"/>
      <c r="C223" s="172"/>
      <c r="D223" s="172"/>
      <c r="E223" s="38">
        <f t="shared" si="54"/>
        <v>0</v>
      </c>
      <c r="F223" s="172"/>
      <c r="G223" s="172"/>
      <c r="H223" s="172"/>
      <c r="I223" s="38">
        <f t="shared" si="55"/>
        <v>0</v>
      </c>
      <c r="J223" s="172"/>
      <c r="K223" s="172"/>
      <c r="L223" s="172"/>
      <c r="M223" s="38">
        <f t="shared" si="56"/>
        <v>0</v>
      </c>
      <c r="N223" s="172"/>
      <c r="O223" s="172"/>
      <c r="P223" s="172"/>
      <c r="Q223" s="38">
        <f t="shared" si="57"/>
        <v>0</v>
      </c>
      <c r="R223" s="38">
        <f t="shared" si="52"/>
        <v>0</v>
      </c>
      <c r="S223" t="s">
        <v>3020</v>
      </c>
      <c r="T223" t="s">
        <v>2760</v>
      </c>
    </row>
    <row r="224" spans="1:20" ht="15.75" hidden="1" customHeight="1" x14ac:dyDescent="0.3">
      <c r="A224" s="410" t="s">
        <v>1495</v>
      </c>
      <c r="B224" s="172"/>
      <c r="C224" s="172"/>
      <c r="D224" s="172">
        <v>2138</v>
      </c>
      <c r="E224" s="38">
        <f t="shared" si="54"/>
        <v>2138</v>
      </c>
      <c r="F224" s="172">
        <v>2162</v>
      </c>
      <c r="G224" s="172"/>
      <c r="H224" s="172"/>
      <c r="I224" s="38">
        <f t="shared" si="55"/>
        <v>2162</v>
      </c>
      <c r="J224" s="172"/>
      <c r="K224" s="172"/>
      <c r="L224" s="172"/>
      <c r="M224" s="38">
        <f t="shared" si="56"/>
        <v>0</v>
      </c>
      <c r="N224" s="172"/>
      <c r="O224" s="172"/>
      <c r="P224" s="172"/>
      <c r="Q224" s="38">
        <f t="shared" si="57"/>
        <v>0</v>
      </c>
      <c r="R224" s="38">
        <f t="shared" si="52"/>
        <v>4300</v>
      </c>
    </row>
    <row r="225" spans="1:23" ht="15.75" hidden="1" customHeight="1" x14ac:dyDescent="0.3">
      <c r="A225" s="540" t="s">
        <v>2938</v>
      </c>
      <c r="B225" s="172"/>
      <c r="C225" s="172"/>
      <c r="D225" s="172"/>
      <c r="E225" s="38">
        <f t="shared" si="54"/>
        <v>0</v>
      </c>
      <c r="F225" s="172"/>
      <c r="G225" s="172"/>
      <c r="H225" s="172"/>
      <c r="I225" s="38">
        <f t="shared" si="55"/>
        <v>0</v>
      </c>
      <c r="J225" s="172"/>
      <c r="K225" s="172"/>
      <c r="L225" s="172"/>
      <c r="M225" s="38">
        <f t="shared" si="56"/>
        <v>0</v>
      </c>
      <c r="N225" s="172"/>
      <c r="O225" s="172"/>
      <c r="P225" s="172"/>
      <c r="Q225" s="38">
        <f t="shared" si="57"/>
        <v>0</v>
      </c>
      <c r="R225" s="38">
        <f t="shared" si="52"/>
        <v>0</v>
      </c>
      <c r="T225" t="s">
        <v>2764</v>
      </c>
    </row>
    <row r="226" spans="1:23" ht="15.75" hidden="1" customHeight="1" x14ac:dyDescent="0.3">
      <c r="A226" s="410" t="s">
        <v>3051</v>
      </c>
      <c r="B226" s="172"/>
      <c r="C226" s="172"/>
      <c r="D226" s="172"/>
      <c r="E226" s="38">
        <f t="shared" si="54"/>
        <v>0</v>
      </c>
      <c r="F226" s="172"/>
      <c r="G226" s="172"/>
      <c r="H226" s="172">
        <v>1634</v>
      </c>
      <c r="I226" s="38">
        <f t="shared" si="55"/>
        <v>1634</v>
      </c>
      <c r="J226" s="172">
        <v>816</v>
      </c>
      <c r="K226" s="172">
        <v>1634</v>
      </c>
      <c r="L226" s="172">
        <v>1416</v>
      </c>
      <c r="M226" s="38">
        <f t="shared" si="56"/>
        <v>3866</v>
      </c>
      <c r="N226" s="172"/>
      <c r="O226" s="172"/>
      <c r="P226" s="172"/>
      <c r="Q226" s="38">
        <f>SUM(N226:P226)</f>
        <v>0</v>
      </c>
      <c r="R226" s="38">
        <f>+E226+I226+M226+Q226</f>
        <v>5500</v>
      </c>
      <c r="T226" t="s">
        <v>2760</v>
      </c>
    </row>
    <row r="227" spans="1:23" ht="15.75" hidden="1" customHeight="1" x14ac:dyDescent="0.3">
      <c r="A227" s="540" t="s">
        <v>3049</v>
      </c>
      <c r="B227" s="172"/>
      <c r="C227" s="172">
        <v>946</v>
      </c>
      <c r="D227" s="10">
        <v>1000</v>
      </c>
      <c r="E227" s="38">
        <f t="shared" si="54"/>
        <v>1946</v>
      </c>
      <c r="F227" s="10">
        <v>1512</v>
      </c>
      <c r="G227" s="10">
        <v>1542</v>
      </c>
      <c r="H227" s="10"/>
      <c r="I227" s="38">
        <f t="shared" si="55"/>
        <v>3054</v>
      </c>
      <c r="J227" s="10"/>
      <c r="K227" s="172"/>
      <c r="L227" s="172"/>
      <c r="M227" s="38">
        <f t="shared" si="56"/>
        <v>0</v>
      </c>
      <c r="N227" s="172"/>
      <c r="O227" s="172"/>
      <c r="P227" s="172"/>
      <c r="Q227" s="38">
        <f t="shared" si="57"/>
        <v>0</v>
      </c>
      <c r="R227" s="38">
        <f t="shared" si="52"/>
        <v>5000</v>
      </c>
    </row>
    <row r="228" spans="1:23" ht="15.75" hidden="1" customHeight="1" x14ac:dyDescent="0.3">
      <c r="A228" s="540" t="s">
        <v>3050</v>
      </c>
      <c r="B228" s="10">
        <v>703</v>
      </c>
      <c r="C228" s="10">
        <v>607</v>
      </c>
      <c r="D228" s="10">
        <v>690</v>
      </c>
      <c r="E228" s="38">
        <f t="shared" si="54"/>
        <v>2000</v>
      </c>
      <c r="F228" s="172"/>
      <c r="G228" s="172"/>
      <c r="H228" s="172"/>
      <c r="I228" s="38">
        <f t="shared" si="55"/>
        <v>0</v>
      </c>
      <c r="J228" s="172"/>
      <c r="K228" s="172"/>
      <c r="L228" s="172"/>
      <c r="M228" s="38">
        <f t="shared" si="56"/>
        <v>0</v>
      </c>
      <c r="N228" s="172"/>
      <c r="O228" s="172"/>
      <c r="P228" s="172"/>
      <c r="Q228" s="38">
        <f t="shared" si="57"/>
        <v>0</v>
      </c>
      <c r="R228" s="38">
        <f t="shared" si="52"/>
        <v>2000</v>
      </c>
    </row>
    <row r="229" spans="1:23" ht="15.75" hidden="1" customHeight="1" x14ac:dyDescent="0.3">
      <c r="A229" s="540" t="s">
        <v>2753</v>
      </c>
      <c r="B229" s="172">
        <v>229</v>
      </c>
      <c r="C229" s="172">
        <v>607</v>
      </c>
      <c r="D229" s="172">
        <v>293</v>
      </c>
      <c r="E229" s="38">
        <f t="shared" si="54"/>
        <v>1129</v>
      </c>
      <c r="F229" s="172"/>
      <c r="G229" s="172"/>
      <c r="H229" s="172"/>
      <c r="I229" s="38">
        <f t="shared" si="55"/>
        <v>0</v>
      </c>
      <c r="J229" s="172"/>
      <c r="K229" s="172"/>
      <c r="L229" s="172"/>
      <c r="M229" s="38">
        <f t="shared" si="56"/>
        <v>0</v>
      </c>
      <c r="N229" s="172"/>
      <c r="O229" s="172"/>
      <c r="P229" s="172"/>
      <c r="Q229" s="38">
        <f t="shared" si="57"/>
        <v>0</v>
      </c>
      <c r="R229" s="38">
        <f t="shared" si="52"/>
        <v>1129</v>
      </c>
      <c r="W229">
        <v>1129</v>
      </c>
    </row>
    <row r="230" spans="1:23" ht="15.75" hidden="1" customHeight="1" x14ac:dyDescent="0.3">
      <c r="A230" s="540" t="s">
        <v>2754</v>
      </c>
      <c r="B230" s="172"/>
      <c r="C230" s="172">
        <v>280</v>
      </c>
      <c r="D230" s="172"/>
      <c r="E230" s="38">
        <f t="shared" si="54"/>
        <v>280</v>
      </c>
      <c r="F230" s="172"/>
      <c r="G230" s="172"/>
      <c r="H230" s="172"/>
      <c r="I230" s="38">
        <f t="shared" si="55"/>
        <v>0</v>
      </c>
      <c r="J230" s="172"/>
      <c r="K230" s="172"/>
      <c r="L230" s="172"/>
      <c r="M230" s="38">
        <f t="shared" si="56"/>
        <v>0</v>
      </c>
      <c r="N230" s="172"/>
      <c r="O230" s="172"/>
      <c r="P230" s="172"/>
      <c r="Q230" s="38">
        <f t="shared" si="57"/>
        <v>0</v>
      </c>
      <c r="R230" s="38">
        <f t="shared" si="52"/>
        <v>280</v>
      </c>
      <c r="W230">
        <v>280</v>
      </c>
    </row>
    <row r="231" spans="1:23" ht="15.75" hidden="1" customHeight="1" x14ac:dyDescent="0.3">
      <c r="A231" s="410" t="s">
        <v>2755</v>
      </c>
      <c r="B231" s="10">
        <v>709</v>
      </c>
      <c r="C231" s="10">
        <v>799</v>
      </c>
      <c r="D231" s="10">
        <v>759</v>
      </c>
      <c r="E231" s="38">
        <f t="shared" si="54"/>
        <v>2267</v>
      </c>
      <c r="F231" s="10">
        <v>833</v>
      </c>
      <c r="G231" s="10">
        <v>961</v>
      </c>
      <c r="H231" s="10">
        <v>987</v>
      </c>
      <c r="I231" s="38">
        <f t="shared" si="55"/>
        <v>2781</v>
      </c>
      <c r="J231" s="10"/>
      <c r="K231" s="10"/>
      <c r="L231" s="10"/>
      <c r="M231" s="38">
        <f t="shared" si="56"/>
        <v>0</v>
      </c>
      <c r="N231" s="10"/>
      <c r="O231" s="10"/>
      <c r="P231" s="10"/>
      <c r="Q231" s="38">
        <f t="shared" si="57"/>
        <v>0</v>
      </c>
      <c r="R231" s="38">
        <f t="shared" si="52"/>
        <v>5048</v>
      </c>
      <c r="W231">
        <v>5079</v>
      </c>
    </row>
    <row r="232" spans="1:23" ht="15.75" hidden="1" customHeight="1" x14ac:dyDescent="0.3">
      <c r="A232" s="569" t="s">
        <v>2989</v>
      </c>
      <c r="B232" s="10">
        <v>22</v>
      </c>
      <c r="C232" s="10">
        <v>33</v>
      </c>
      <c r="D232" s="10">
        <v>52</v>
      </c>
      <c r="E232" s="38">
        <f>SUM(B232:D232)</f>
        <v>107</v>
      </c>
      <c r="F232" s="10">
        <v>52</v>
      </c>
      <c r="G232" s="10">
        <v>55</v>
      </c>
      <c r="H232" s="10"/>
      <c r="I232" s="38">
        <f t="shared" si="55"/>
        <v>107</v>
      </c>
      <c r="J232" s="10">
        <v>45</v>
      </c>
      <c r="K232" s="10"/>
      <c r="L232" s="10"/>
      <c r="M232" s="38">
        <f t="shared" si="56"/>
        <v>45</v>
      </c>
      <c r="N232" s="10"/>
      <c r="O232" s="10"/>
      <c r="P232" s="10"/>
      <c r="Q232" s="38">
        <f t="shared" si="57"/>
        <v>0</v>
      </c>
      <c r="R232" s="38">
        <f t="shared" si="52"/>
        <v>259</v>
      </c>
      <c r="W232">
        <v>214</v>
      </c>
    </row>
    <row r="233" spans="1:23" ht="15.75" hidden="1" customHeight="1" x14ac:dyDescent="0.3">
      <c r="A233" s="569" t="s">
        <v>2990</v>
      </c>
      <c r="B233" s="10"/>
      <c r="C233" s="10">
        <v>15</v>
      </c>
      <c r="D233" s="10">
        <v>26</v>
      </c>
      <c r="E233" s="38">
        <f>SUM(B233:D233)</f>
        <v>41</v>
      </c>
      <c r="F233" s="10">
        <v>43</v>
      </c>
      <c r="G233" s="10">
        <v>86</v>
      </c>
      <c r="H233" s="10">
        <v>88</v>
      </c>
      <c r="I233" s="38">
        <f t="shared" si="55"/>
        <v>217</v>
      </c>
      <c r="J233" s="10"/>
      <c r="K233" s="10"/>
      <c r="L233" s="10"/>
      <c r="M233" s="38">
        <f t="shared" si="56"/>
        <v>0</v>
      </c>
      <c r="N233" s="10"/>
      <c r="O233" s="10"/>
      <c r="P233" s="10"/>
      <c r="Q233" s="38">
        <f t="shared" si="57"/>
        <v>0</v>
      </c>
      <c r="R233" s="38">
        <f t="shared" si="52"/>
        <v>258</v>
      </c>
      <c r="W233">
        <v>258</v>
      </c>
    </row>
    <row r="234" spans="1:23" ht="15.75" hidden="1" customHeight="1" x14ac:dyDescent="0.3">
      <c r="A234" s="569" t="s">
        <v>2991</v>
      </c>
      <c r="B234" s="10"/>
      <c r="C234" s="10"/>
      <c r="D234" s="10"/>
      <c r="E234" s="38">
        <f>SUM(B234:D234)</f>
        <v>0</v>
      </c>
      <c r="F234" s="10">
        <v>2</v>
      </c>
      <c r="G234" s="10">
        <v>7</v>
      </c>
      <c r="H234" s="10">
        <v>17</v>
      </c>
      <c r="I234" s="38">
        <f t="shared" si="55"/>
        <v>26</v>
      </c>
      <c r="J234" s="10"/>
      <c r="K234" s="10"/>
      <c r="L234" s="10"/>
      <c r="M234" s="38">
        <f t="shared" si="56"/>
        <v>0</v>
      </c>
      <c r="N234" s="10"/>
      <c r="O234" s="10"/>
      <c r="P234" s="10"/>
      <c r="Q234" s="38">
        <f t="shared" si="57"/>
        <v>0</v>
      </c>
      <c r="R234" s="38">
        <f t="shared" si="52"/>
        <v>26</v>
      </c>
      <c r="T234" t="s">
        <v>2764</v>
      </c>
      <c r="W234">
        <v>40</v>
      </c>
    </row>
    <row r="235" spans="1:23" ht="15.75" hidden="1" customHeight="1" x14ac:dyDescent="0.3">
      <c r="A235" s="410" t="s">
        <v>1851</v>
      </c>
      <c r="B235" s="10"/>
      <c r="C235" s="10"/>
      <c r="D235" s="10"/>
      <c r="E235" s="38">
        <f t="shared" si="54"/>
        <v>0</v>
      </c>
      <c r="F235" s="10"/>
      <c r="G235" s="10"/>
      <c r="H235" s="10">
        <v>1778</v>
      </c>
      <c r="I235" s="38">
        <f t="shared" si="55"/>
        <v>1778</v>
      </c>
      <c r="J235" s="10">
        <v>2347</v>
      </c>
      <c r="K235" s="10">
        <v>2473</v>
      </c>
      <c r="L235" s="10">
        <v>2359</v>
      </c>
      <c r="M235" s="38">
        <f t="shared" si="56"/>
        <v>7179</v>
      </c>
      <c r="N235" s="10">
        <v>2430</v>
      </c>
      <c r="O235" s="10">
        <v>2334</v>
      </c>
      <c r="P235" s="10">
        <v>1279</v>
      </c>
      <c r="Q235" s="38">
        <f t="shared" si="57"/>
        <v>6043</v>
      </c>
      <c r="R235" s="38">
        <f t="shared" si="52"/>
        <v>15000</v>
      </c>
      <c r="S235" t="s">
        <v>3020</v>
      </c>
    </row>
    <row r="236" spans="1:23" ht="15.75" hidden="1" customHeight="1" x14ac:dyDescent="0.3">
      <c r="A236" s="410" t="s">
        <v>1850</v>
      </c>
      <c r="B236" s="10"/>
      <c r="C236" s="10"/>
      <c r="D236" s="10"/>
      <c r="E236" s="38">
        <f t="shared" si="54"/>
        <v>0</v>
      </c>
      <c r="F236" s="10"/>
      <c r="G236" s="10">
        <v>5798</v>
      </c>
      <c r="H236" s="10">
        <v>5754</v>
      </c>
      <c r="I236" s="38">
        <f t="shared" si="55"/>
        <v>11552</v>
      </c>
      <c r="J236" s="10">
        <v>448</v>
      </c>
      <c r="K236" s="10"/>
      <c r="L236" s="10"/>
      <c r="M236" s="38">
        <f t="shared" si="56"/>
        <v>448</v>
      </c>
      <c r="N236" s="10"/>
      <c r="O236" s="10"/>
      <c r="P236" s="10"/>
      <c r="Q236" s="38">
        <f t="shared" si="57"/>
        <v>0</v>
      </c>
      <c r="R236" s="38">
        <f t="shared" si="52"/>
        <v>12000</v>
      </c>
      <c r="S236" t="s">
        <v>3020</v>
      </c>
    </row>
    <row r="237" spans="1:23" ht="15.75" hidden="1" customHeight="1" x14ac:dyDescent="0.3">
      <c r="A237" s="410" t="s">
        <v>3081</v>
      </c>
      <c r="B237" s="10"/>
      <c r="C237" s="10"/>
      <c r="D237" s="10"/>
      <c r="E237" s="38">
        <f t="shared" si="54"/>
        <v>0</v>
      </c>
      <c r="F237" s="10"/>
      <c r="G237" s="10"/>
      <c r="H237" s="10"/>
      <c r="I237" s="38">
        <f t="shared" si="55"/>
        <v>0</v>
      </c>
      <c r="J237" s="10"/>
      <c r="K237" s="10"/>
      <c r="L237" s="10"/>
      <c r="M237" s="38">
        <f t="shared" si="56"/>
        <v>0</v>
      </c>
      <c r="N237" s="10"/>
      <c r="O237" s="10"/>
      <c r="P237" s="10"/>
      <c r="Q237" s="38">
        <f>SUM(N237:P237)</f>
        <v>0</v>
      </c>
      <c r="R237" s="38">
        <f>+E237+I237+M237+Q237</f>
        <v>0</v>
      </c>
    </row>
    <row r="238" spans="1:23" ht="15.75" hidden="1" customHeight="1" x14ac:dyDescent="0.3">
      <c r="A238" s="410" t="s">
        <v>2979</v>
      </c>
      <c r="B238" s="172">
        <v>500</v>
      </c>
      <c r="C238" s="172"/>
      <c r="D238" s="172">
        <v>400</v>
      </c>
      <c r="E238" s="38">
        <f t="shared" si="54"/>
        <v>900</v>
      </c>
      <c r="F238" s="172">
        <v>500</v>
      </c>
      <c r="G238" s="172">
        <v>610</v>
      </c>
      <c r="H238" s="172"/>
      <c r="I238" s="38">
        <f t="shared" si="55"/>
        <v>1110</v>
      </c>
      <c r="J238" s="172"/>
      <c r="K238" s="172"/>
      <c r="L238" s="172">
        <v>176</v>
      </c>
      <c r="M238" s="38">
        <f t="shared" si="56"/>
        <v>176</v>
      </c>
      <c r="N238" s="172"/>
      <c r="O238" s="172"/>
      <c r="P238" s="172"/>
      <c r="Q238" s="38">
        <f t="shared" si="57"/>
        <v>0</v>
      </c>
      <c r="R238" s="38">
        <f t="shared" si="52"/>
        <v>2186</v>
      </c>
      <c r="S238" t="s">
        <v>3020</v>
      </c>
      <c r="T238" t="s">
        <v>2760</v>
      </c>
    </row>
    <row r="239" spans="1:23" ht="15.75" hidden="1" customHeight="1" x14ac:dyDescent="0.3">
      <c r="A239" s="410" t="s">
        <v>2807</v>
      </c>
      <c r="B239" s="172"/>
      <c r="C239" s="172"/>
      <c r="D239" s="172"/>
      <c r="E239" s="38">
        <f t="shared" si="54"/>
        <v>0</v>
      </c>
      <c r="F239" s="172"/>
      <c r="G239" s="172"/>
      <c r="H239" s="172"/>
      <c r="I239" s="38">
        <f t="shared" si="55"/>
        <v>0</v>
      </c>
      <c r="J239" s="172"/>
      <c r="K239" s="172">
        <v>723</v>
      </c>
      <c r="L239" s="172"/>
      <c r="M239" s="38">
        <f t="shared" si="56"/>
        <v>723</v>
      </c>
      <c r="N239" s="172">
        <v>600</v>
      </c>
      <c r="O239" s="172">
        <v>300</v>
      </c>
      <c r="P239" s="172"/>
      <c r="Q239" s="38">
        <f t="shared" si="57"/>
        <v>900</v>
      </c>
      <c r="R239" s="38">
        <f t="shared" si="52"/>
        <v>1623</v>
      </c>
      <c r="S239" t="s">
        <v>3020</v>
      </c>
      <c r="T239" s="230" t="s">
        <v>2760</v>
      </c>
      <c r="U239" s="230"/>
    </row>
    <row r="240" spans="1:23" ht="15.75" hidden="1" customHeight="1" x14ac:dyDescent="0.3">
      <c r="A240" s="410" t="s">
        <v>1163</v>
      </c>
      <c r="B240" s="172"/>
      <c r="C240" s="172"/>
      <c r="D240" s="172"/>
      <c r="E240" s="38">
        <f>SUM(B240:D240)</f>
        <v>0</v>
      </c>
      <c r="F240" s="172">
        <v>544</v>
      </c>
      <c r="G240" s="172">
        <v>1225</v>
      </c>
      <c r="H240" s="172">
        <v>45</v>
      </c>
      <c r="I240" s="38">
        <f>SUM(F240:H240)</f>
        <v>1814</v>
      </c>
      <c r="J240" s="172"/>
      <c r="K240" s="172"/>
      <c r="L240" s="172"/>
      <c r="M240" s="38">
        <f t="shared" si="56"/>
        <v>0</v>
      </c>
      <c r="N240" s="172"/>
      <c r="O240" s="172"/>
      <c r="P240" s="172"/>
      <c r="Q240" s="38">
        <f t="shared" si="57"/>
        <v>0</v>
      </c>
      <c r="R240" s="38">
        <f t="shared" si="52"/>
        <v>1814</v>
      </c>
      <c r="T240" t="s">
        <v>3030</v>
      </c>
    </row>
    <row r="241" spans="1:20" ht="15.75" hidden="1" customHeight="1" x14ac:dyDescent="0.3">
      <c r="A241" s="569" t="s">
        <v>3054</v>
      </c>
      <c r="B241" s="172"/>
      <c r="C241" s="172"/>
      <c r="D241" s="172"/>
      <c r="E241" s="38">
        <f>SUM(B241:D241)</f>
        <v>0</v>
      </c>
      <c r="F241" s="172"/>
      <c r="G241" s="172"/>
      <c r="H241" s="172"/>
      <c r="I241" s="38">
        <f>SUM(F241:H241)</f>
        <v>0</v>
      </c>
      <c r="J241" s="172"/>
      <c r="K241" s="172"/>
      <c r="L241" s="172"/>
      <c r="M241" s="38">
        <f t="shared" si="56"/>
        <v>0</v>
      </c>
      <c r="N241" s="172"/>
      <c r="O241" s="172"/>
      <c r="P241" s="172"/>
      <c r="Q241" s="38">
        <f>SUM(N241:P241)</f>
        <v>0</v>
      </c>
      <c r="R241" s="38">
        <f>+E241+I241+M241+Q241</f>
        <v>0</v>
      </c>
      <c r="T241" t="s">
        <v>2770</v>
      </c>
    </row>
    <row r="242" spans="1:20" ht="15.75" hidden="1" customHeight="1" x14ac:dyDescent="0.3">
      <c r="A242" s="410" t="s">
        <v>1097</v>
      </c>
      <c r="B242" s="172"/>
      <c r="C242" s="172"/>
      <c r="E242" s="38">
        <f t="shared" si="54"/>
        <v>0</v>
      </c>
      <c r="F242" s="172"/>
      <c r="H242" s="172"/>
      <c r="I242" s="38">
        <f t="shared" si="55"/>
        <v>0</v>
      </c>
      <c r="J242" s="172"/>
      <c r="K242" s="172"/>
      <c r="L242" s="172"/>
      <c r="M242" s="38">
        <f t="shared" si="56"/>
        <v>0</v>
      </c>
      <c r="N242" s="172"/>
      <c r="O242" s="172"/>
      <c r="P242" s="172"/>
      <c r="Q242" s="38">
        <f t="shared" si="57"/>
        <v>0</v>
      </c>
      <c r="R242" s="38">
        <f t="shared" si="52"/>
        <v>0</v>
      </c>
    </row>
    <row r="243" spans="1:20" ht="15.75" hidden="1" customHeight="1" x14ac:dyDescent="0.3">
      <c r="A243" s="410" t="s">
        <v>14</v>
      </c>
      <c r="B243" s="172"/>
      <c r="C243" s="172"/>
      <c r="D243" s="172"/>
      <c r="E243" s="38">
        <f t="shared" si="54"/>
        <v>0</v>
      </c>
      <c r="F243" s="172">
        <v>176</v>
      </c>
      <c r="G243" s="172">
        <v>2341</v>
      </c>
      <c r="H243" s="172">
        <v>506</v>
      </c>
      <c r="I243" s="38">
        <f t="shared" si="55"/>
        <v>3023</v>
      </c>
      <c r="J243" s="172"/>
      <c r="K243" s="172"/>
      <c r="L243" s="172"/>
      <c r="M243" s="38">
        <f t="shared" si="56"/>
        <v>0</v>
      </c>
      <c r="N243" s="172"/>
      <c r="O243" s="172"/>
      <c r="P243" s="172"/>
      <c r="Q243" s="38">
        <f t="shared" si="57"/>
        <v>0</v>
      </c>
      <c r="R243" s="38">
        <f t="shared" si="52"/>
        <v>3023</v>
      </c>
    </row>
    <row r="244" spans="1:20" ht="15.75" hidden="1" customHeight="1" x14ac:dyDescent="0.3">
      <c r="A244" s="410" t="s">
        <v>2410</v>
      </c>
      <c r="B244" s="172">
        <v>60</v>
      </c>
      <c r="C244" s="172"/>
      <c r="D244" s="172"/>
      <c r="E244" s="38">
        <f t="shared" si="54"/>
        <v>60</v>
      </c>
      <c r="F244" s="172"/>
      <c r="G244" s="172"/>
      <c r="H244" s="172"/>
      <c r="I244" s="38">
        <f t="shared" si="55"/>
        <v>0</v>
      </c>
      <c r="J244" s="172"/>
      <c r="K244" s="172"/>
      <c r="L244" s="172"/>
      <c r="M244" s="38">
        <f t="shared" si="56"/>
        <v>0</v>
      </c>
      <c r="N244" s="172"/>
      <c r="O244" s="172"/>
      <c r="P244" s="172"/>
      <c r="Q244" s="38">
        <f t="shared" si="57"/>
        <v>0</v>
      </c>
      <c r="R244" s="38">
        <f t="shared" si="52"/>
        <v>60</v>
      </c>
    </row>
    <row r="245" spans="1:20" ht="15.75" hidden="1" customHeight="1" x14ac:dyDescent="0.3">
      <c r="A245" s="410" t="s">
        <v>2849</v>
      </c>
      <c r="B245" s="172">
        <v>60</v>
      </c>
      <c r="C245" s="172"/>
      <c r="D245" s="172"/>
      <c r="E245" s="38">
        <f t="shared" si="54"/>
        <v>60</v>
      </c>
      <c r="F245" s="172"/>
      <c r="G245" s="172"/>
      <c r="H245" s="172"/>
      <c r="I245" s="38">
        <f t="shared" si="55"/>
        <v>0</v>
      </c>
      <c r="J245" s="172"/>
      <c r="K245" s="172"/>
      <c r="L245" s="172"/>
      <c r="M245" s="38">
        <f t="shared" si="56"/>
        <v>0</v>
      </c>
      <c r="N245" s="172"/>
      <c r="O245" s="172"/>
      <c r="P245" s="172"/>
      <c r="Q245" s="38">
        <f t="shared" si="57"/>
        <v>0</v>
      </c>
      <c r="R245" s="38">
        <f t="shared" si="52"/>
        <v>60</v>
      </c>
      <c r="S245" t="s">
        <v>3020</v>
      </c>
      <c r="T245" t="s">
        <v>2760</v>
      </c>
    </row>
    <row r="246" spans="1:20" ht="15.75" hidden="1" customHeight="1" x14ac:dyDescent="0.3">
      <c r="A246" s="410" t="s">
        <v>2802</v>
      </c>
      <c r="B246" s="172"/>
      <c r="C246" s="172"/>
      <c r="D246" s="172"/>
      <c r="E246" s="38">
        <f t="shared" si="54"/>
        <v>0</v>
      </c>
      <c r="F246" s="172"/>
      <c r="G246" s="172"/>
      <c r="H246" s="172"/>
      <c r="I246" s="38">
        <f t="shared" si="55"/>
        <v>0</v>
      </c>
      <c r="J246" s="172"/>
      <c r="K246" s="172"/>
      <c r="L246" s="172"/>
      <c r="M246" s="38">
        <f t="shared" si="56"/>
        <v>0</v>
      </c>
      <c r="N246" s="172"/>
      <c r="O246" s="172"/>
      <c r="P246" s="172"/>
      <c r="Q246" s="38">
        <f t="shared" si="57"/>
        <v>0</v>
      </c>
      <c r="R246" s="38">
        <f t="shared" si="52"/>
        <v>0</v>
      </c>
      <c r="T246" t="s">
        <v>2760</v>
      </c>
    </row>
    <row r="247" spans="1:20" ht="15.75" hidden="1" customHeight="1" x14ac:dyDescent="0.3">
      <c r="A247" s="410" t="s">
        <v>3053</v>
      </c>
      <c r="B247" s="172">
        <v>998</v>
      </c>
      <c r="C247" s="172">
        <v>992</v>
      </c>
      <c r="D247" s="172">
        <v>1089</v>
      </c>
      <c r="E247" s="38">
        <f t="shared" si="54"/>
        <v>3079</v>
      </c>
      <c r="F247" s="172">
        <v>1094</v>
      </c>
      <c r="G247" s="172">
        <v>1308</v>
      </c>
      <c r="H247" s="172">
        <f>319+1366</f>
        <v>1685</v>
      </c>
      <c r="I247" s="38">
        <f t="shared" si="55"/>
        <v>4087</v>
      </c>
      <c r="J247" s="172">
        <f>188+684</f>
        <v>872</v>
      </c>
      <c r="K247" s="172">
        <f>939+1366</f>
        <v>2305</v>
      </c>
      <c r="L247" s="172">
        <f>742+1184</f>
        <v>1926</v>
      </c>
      <c r="M247" s="38">
        <f t="shared" si="56"/>
        <v>5103</v>
      </c>
      <c r="N247" s="172">
        <v>773</v>
      </c>
      <c r="O247" s="172">
        <v>555</v>
      </c>
      <c r="P247" s="172">
        <v>403</v>
      </c>
      <c r="Q247" s="38">
        <f t="shared" si="57"/>
        <v>1731</v>
      </c>
      <c r="R247" s="38">
        <f t="shared" si="52"/>
        <v>14000</v>
      </c>
      <c r="S247" t="s">
        <v>3020</v>
      </c>
      <c r="T247" t="s">
        <v>2760</v>
      </c>
    </row>
    <row r="248" spans="1:20" ht="15.75" hidden="1" customHeight="1" x14ac:dyDescent="0.3">
      <c r="A248" s="620" t="s">
        <v>2939</v>
      </c>
      <c r="B248" s="172"/>
      <c r="C248" s="172"/>
      <c r="D248" s="172">
        <v>2500</v>
      </c>
      <c r="E248" s="38">
        <f t="shared" si="54"/>
        <v>2500</v>
      </c>
      <c r="F248" s="172">
        <v>2000</v>
      </c>
      <c r="G248" s="172">
        <v>4500</v>
      </c>
      <c r="H248" s="172">
        <v>3000</v>
      </c>
      <c r="I248" s="38">
        <f t="shared" si="55"/>
        <v>9500</v>
      </c>
      <c r="J248" s="172">
        <v>4500</v>
      </c>
      <c r="K248" s="172">
        <v>4000</v>
      </c>
      <c r="L248" s="172">
        <v>8689</v>
      </c>
      <c r="M248" s="38">
        <f t="shared" si="56"/>
        <v>17189</v>
      </c>
      <c r="N248" s="172">
        <v>2000</v>
      </c>
      <c r="O248" s="172">
        <v>1500</v>
      </c>
      <c r="P248" s="172">
        <v>2200</v>
      </c>
      <c r="Q248" s="38">
        <f t="shared" si="57"/>
        <v>5700</v>
      </c>
      <c r="R248" s="38">
        <f t="shared" si="52"/>
        <v>34889</v>
      </c>
      <c r="S248" t="s">
        <v>3020</v>
      </c>
      <c r="T248" t="s">
        <v>2760</v>
      </c>
    </row>
    <row r="249" spans="1:20" ht="15.75" hidden="1" customHeight="1" x14ac:dyDescent="0.3">
      <c r="A249" s="540" t="s">
        <v>2741</v>
      </c>
      <c r="B249" s="172"/>
      <c r="C249" s="172"/>
      <c r="D249" s="172"/>
      <c r="E249" s="38">
        <f t="shared" si="54"/>
        <v>0</v>
      </c>
      <c r="F249" s="172"/>
      <c r="G249" s="172"/>
      <c r="H249" s="172"/>
      <c r="I249" s="38">
        <f t="shared" si="55"/>
        <v>0</v>
      </c>
      <c r="J249" s="172"/>
      <c r="K249" s="172"/>
      <c r="L249" s="172"/>
      <c r="M249" s="38">
        <f t="shared" si="56"/>
        <v>0</v>
      </c>
      <c r="N249" s="172"/>
      <c r="O249" s="172"/>
      <c r="P249" s="172"/>
      <c r="Q249" s="38">
        <f t="shared" si="57"/>
        <v>0</v>
      </c>
      <c r="R249" s="38">
        <f t="shared" si="52"/>
        <v>0</v>
      </c>
      <c r="T249" t="s">
        <v>2769</v>
      </c>
    </row>
    <row r="250" spans="1:20" ht="15.75" hidden="1" customHeight="1" x14ac:dyDescent="0.3">
      <c r="A250" s="540" t="s">
        <v>2742</v>
      </c>
      <c r="B250" s="172"/>
      <c r="C250" s="172"/>
      <c r="D250" s="172"/>
      <c r="E250" s="38">
        <f t="shared" si="54"/>
        <v>0</v>
      </c>
      <c r="F250" s="172"/>
      <c r="G250" s="172"/>
      <c r="H250" s="10"/>
      <c r="I250" s="38">
        <f>SUM(F250:H250)</f>
        <v>0</v>
      </c>
      <c r="J250" s="10"/>
      <c r="K250" s="10"/>
      <c r="L250" s="10"/>
      <c r="M250" s="38">
        <f>SUM(J250:L250)</f>
        <v>0</v>
      </c>
      <c r="N250" s="10"/>
      <c r="O250" s="172"/>
      <c r="P250" s="172"/>
      <c r="Q250" s="38">
        <f t="shared" si="57"/>
        <v>0</v>
      </c>
      <c r="R250" s="38">
        <f t="shared" si="52"/>
        <v>0</v>
      </c>
      <c r="T250" t="s">
        <v>2770</v>
      </c>
    </row>
    <row r="251" spans="1:20" ht="15.75" hidden="1" customHeight="1" x14ac:dyDescent="0.3">
      <c r="A251" s="410" t="s">
        <v>2798</v>
      </c>
      <c r="B251" s="172"/>
      <c r="C251" s="172"/>
      <c r="D251" s="172"/>
      <c r="E251" s="38">
        <f t="shared" si="54"/>
        <v>0</v>
      </c>
      <c r="F251" s="172"/>
      <c r="G251" s="172">
        <v>390</v>
      </c>
      <c r="H251" s="172">
        <v>1400</v>
      </c>
      <c r="I251" s="38">
        <f t="shared" si="55"/>
        <v>1790</v>
      </c>
      <c r="J251" s="172">
        <v>500</v>
      </c>
      <c r="K251" s="172">
        <v>1000</v>
      </c>
      <c r="L251" s="172">
        <v>500</v>
      </c>
      <c r="M251" s="38">
        <f>SUM(J251:L251)</f>
        <v>2000</v>
      </c>
      <c r="N251" s="172"/>
      <c r="O251" s="172"/>
      <c r="P251" s="172"/>
      <c r="Q251" s="38">
        <f t="shared" si="57"/>
        <v>0</v>
      </c>
      <c r="R251" s="38">
        <f t="shared" si="52"/>
        <v>3790</v>
      </c>
      <c r="S251" t="s">
        <v>3020</v>
      </c>
      <c r="T251" t="s">
        <v>2760</v>
      </c>
    </row>
    <row r="252" spans="1:20" ht="15.75" hidden="1" customHeight="1" x14ac:dyDescent="0.3">
      <c r="A252" s="410" t="s">
        <v>2808</v>
      </c>
      <c r="B252" s="172"/>
      <c r="C252" s="172"/>
      <c r="D252" s="172"/>
      <c r="E252" s="38">
        <f t="shared" si="54"/>
        <v>0</v>
      </c>
      <c r="F252" s="172"/>
      <c r="G252" s="172"/>
      <c r="H252" s="172"/>
      <c r="I252" s="38">
        <f t="shared" si="55"/>
        <v>0</v>
      </c>
      <c r="J252" s="172"/>
      <c r="K252" s="172"/>
      <c r="L252" s="172"/>
      <c r="M252" s="38">
        <f t="shared" si="56"/>
        <v>0</v>
      </c>
      <c r="N252" s="172"/>
      <c r="O252" s="172"/>
      <c r="P252" s="172"/>
      <c r="Q252" s="38">
        <f t="shared" si="57"/>
        <v>0</v>
      </c>
      <c r="R252" s="38">
        <f t="shared" si="52"/>
        <v>0</v>
      </c>
      <c r="T252" t="s">
        <v>2760</v>
      </c>
    </row>
    <row r="253" spans="1:20" ht="15.75" hidden="1" customHeight="1" x14ac:dyDescent="0.3">
      <c r="A253" s="410" t="s">
        <v>100</v>
      </c>
      <c r="B253" s="172"/>
      <c r="C253" s="172">
        <v>220</v>
      </c>
      <c r="D253" s="172">
        <v>1778</v>
      </c>
      <c r="E253" s="38">
        <f t="shared" si="54"/>
        <v>1998</v>
      </c>
      <c r="F253" s="172">
        <v>852</v>
      </c>
      <c r="G253" s="172"/>
      <c r="H253" s="172"/>
      <c r="I253" s="38">
        <f t="shared" si="55"/>
        <v>852</v>
      </c>
      <c r="J253" s="172"/>
      <c r="K253" s="172"/>
      <c r="L253" s="172"/>
      <c r="M253" s="38">
        <f t="shared" si="56"/>
        <v>0</v>
      </c>
      <c r="N253" s="172"/>
      <c r="O253" s="172"/>
      <c r="P253" s="172"/>
      <c r="Q253" s="38">
        <f t="shared" si="57"/>
        <v>0</v>
      </c>
      <c r="R253" s="38">
        <f t="shared" si="52"/>
        <v>2850</v>
      </c>
      <c r="T253" t="s">
        <v>2775</v>
      </c>
    </row>
    <row r="254" spans="1:20" ht="15.75" hidden="1" customHeight="1" x14ac:dyDescent="0.3">
      <c r="A254" s="410" t="s">
        <v>101</v>
      </c>
      <c r="B254" s="172"/>
      <c r="C254" s="172"/>
      <c r="D254" s="172"/>
      <c r="E254" s="38">
        <f t="shared" si="54"/>
        <v>0</v>
      </c>
      <c r="F254" s="172"/>
      <c r="G254" s="172"/>
      <c r="H254" s="172"/>
      <c r="I254" s="38">
        <f t="shared" si="55"/>
        <v>0</v>
      </c>
      <c r="J254" s="172"/>
      <c r="K254" s="172"/>
      <c r="L254" s="172"/>
      <c r="M254" s="38">
        <f t="shared" si="56"/>
        <v>0</v>
      </c>
      <c r="N254" s="172"/>
      <c r="O254" s="172"/>
      <c r="P254" s="172"/>
      <c r="Q254" s="38">
        <f t="shared" si="57"/>
        <v>0</v>
      </c>
      <c r="R254" s="38">
        <f t="shared" si="52"/>
        <v>0</v>
      </c>
    </row>
    <row r="255" spans="1:20" ht="15.75" hidden="1" customHeight="1" x14ac:dyDescent="0.3">
      <c r="A255" s="410" t="s">
        <v>2446</v>
      </c>
      <c r="B255" s="172">
        <v>2313</v>
      </c>
      <c r="C255" s="172">
        <v>2188</v>
      </c>
      <c r="D255" s="172">
        <v>249</v>
      </c>
      <c r="E255" s="38">
        <f t="shared" si="54"/>
        <v>4750</v>
      </c>
      <c r="F255" s="10"/>
      <c r="G255" s="10"/>
      <c r="H255" s="172"/>
      <c r="I255" s="38">
        <f t="shared" si="55"/>
        <v>0</v>
      </c>
      <c r="J255" s="172"/>
      <c r="K255" s="172"/>
      <c r="L255" s="172"/>
      <c r="M255" s="38">
        <f t="shared" si="56"/>
        <v>0</v>
      </c>
      <c r="N255" s="172"/>
      <c r="O255" s="172"/>
      <c r="P255" s="172"/>
      <c r="Q255" s="38">
        <f t="shared" si="57"/>
        <v>0</v>
      </c>
      <c r="R255" s="38">
        <f t="shared" si="52"/>
        <v>4750</v>
      </c>
      <c r="S255" t="s">
        <v>3020</v>
      </c>
    </row>
    <row r="256" spans="1:20" ht="15.75" hidden="1" customHeight="1" x14ac:dyDescent="0.3">
      <c r="A256" s="410" t="s">
        <v>829</v>
      </c>
      <c r="B256" s="172">
        <v>95</v>
      </c>
      <c r="C256" s="172"/>
      <c r="D256" s="172"/>
      <c r="E256" s="38">
        <f t="shared" si="54"/>
        <v>95</v>
      </c>
      <c r="F256" s="172"/>
      <c r="G256" s="172"/>
      <c r="H256" s="172"/>
      <c r="I256" s="38">
        <f t="shared" si="55"/>
        <v>0</v>
      </c>
      <c r="J256" s="172"/>
      <c r="K256" s="172"/>
      <c r="L256" s="172"/>
      <c r="M256" s="38">
        <f t="shared" si="56"/>
        <v>0</v>
      </c>
      <c r="N256" s="172"/>
      <c r="O256" s="172"/>
      <c r="P256" s="172"/>
      <c r="Q256" s="38">
        <f t="shared" si="57"/>
        <v>0</v>
      </c>
      <c r="R256" s="38">
        <f t="shared" si="52"/>
        <v>95</v>
      </c>
    </row>
    <row r="257" spans="1:20" ht="15.75" hidden="1" customHeight="1" x14ac:dyDescent="0.3">
      <c r="A257" s="410" t="s">
        <v>2850</v>
      </c>
      <c r="B257" s="172">
        <v>95</v>
      </c>
      <c r="C257" s="172"/>
      <c r="D257" s="172"/>
      <c r="E257" s="38">
        <f t="shared" si="54"/>
        <v>95</v>
      </c>
      <c r="F257" s="172"/>
      <c r="G257" s="172"/>
      <c r="H257" s="172"/>
      <c r="I257" s="38">
        <f t="shared" si="55"/>
        <v>0</v>
      </c>
      <c r="J257" s="172"/>
      <c r="K257" s="172"/>
      <c r="L257" s="172"/>
      <c r="M257" s="38">
        <f t="shared" si="56"/>
        <v>0</v>
      </c>
      <c r="N257" s="172"/>
      <c r="O257" s="172"/>
      <c r="P257" s="172"/>
      <c r="Q257" s="38">
        <f t="shared" si="57"/>
        <v>0</v>
      </c>
      <c r="R257" s="38">
        <f t="shared" si="52"/>
        <v>95</v>
      </c>
      <c r="S257" t="s">
        <v>3020</v>
      </c>
      <c r="T257" t="s">
        <v>2760</v>
      </c>
    </row>
    <row r="258" spans="1:20" ht="15.75" hidden="1" customHeight="1" x14ac:dyDescent="0.3">
      <c r="A258" s="410" t="s">
        <v>2942</v>
      </c>
      <c r="B258" s="172">
        <v>619</v>
      </c>
      <c r="C258" s="172">
        <v>178</v>
      </c>
      <c r="D258" s="172">
        <v>276</v>
      </c>
      <c r="E258" s="38">
        <f t="shared" si="54"/>
        <v>1073</v>
      </c>
      <c r="F258" s="172">
        <v>368</v>
      </c>
      <c r="G258" s="172">
        <v>737</v>
      </c>
      <c r="H258" s="172">
        <v>822</v>
      </c>
      <c r="I258" s="38">
        <f t="shared" si="55"/>
        <v>1927</v>
      </c>
      <c r="J258" s="172"/>
      <c r="K258" s="172"/>
      <c r="L258" s="172"/>
      <c r="M258" s="38">
        <f t="shared" si="56"/>
        <v>0</v>
      </c>
      <c r="N258" s="172"/>
      <c r="O258" s="172"/>
      <c r="P258" s="172"/>
      <c r="Q258" s="38">
        <f t="shared" si="57"/>
        <v>0</v>
      </c>
      <c r="R258" s="38">
        <f t="shared" si="52"/>
        <v>3000</v>
      </c>
      <c r="S258" t="s">
        <v>3020</v>
      </c>
    </row>
    <row r="259" spans="1:20" ht="15.75" hidden="1" customHeight="1" x14ac:dyDescent="0.3">
      <c r="A259" s="410" t="s">
        <v>1453</v>
      </c>
      <c r="B259" s="172">
        <v>441</v>
      </c>
      <c r="C259" s="172">
        <v>3289</v>
      </c>
      <c r="D259" s="172">
        <v>4215</v>
      </c>
      <c r="E259" s="38">
        <f>SUM(B259:D259)</f>
        <v>7945</v>
      </c>
      <c r="F259" s="172">
        <v>4375</v>
      </c>
      <c r="G259" s="172">
        <v>180</v>
      </c>
      <c r="H259" s="172"/>
      <c r="I259" s="38">
        <f>SUM(F259:H259)</f>
        <v>4555</v>
      </c>
      <c r="J259" s="172"/>
      <c r="K259" s="172"/>
      <c r="L259" s="172"/>
      <c r="M259" s="38">
        <f>SUM(J259:L259)</f>
        <v>0</v>
      </c>
      <c r="N259" s="172"/>
      <c r="O259" s="172"/>
      <c r="P259" s="172"/>
      <c r="Q259" s="38">
        <f>SUM(N259:P259)</f>
        <v>0</v>
      </c>
      <c r="R259" s="38">
        <f>+E259+I259+M259+Q259</f>
        <v>12500</v>
      </c>
      <c r="S259" t="s">
        <v>3020</v>
      </c>
    </row>
    <row r="260" spans="1:20" ht="15.75" hidden="1" customHeight="1" x14ac:dyDescent="0.3">
      <c r="A260" s="410" t="s">
        <v>3080</v>
      </c>
      <c r="B260" s="172"/>
      <c r="C260" s="172"/>
      <c r="D260" s="172"/>
      <c r="E260" s="38">
        <f>SUM(B260:D260)</f>
        <v>0</v>
      </c>
      <c r="F260" s="172"/>
      <c r="G260" s="172"/>
      <c r="H260" s="172"/>
      <c r="I260" s="38">
        <f>SUM(F260:H260)</f>
        <v>0</v>
      </c>
      <c r="J260" s="172"/>
      <c r="K260" s="172"/>
      <c r="L260" s="172"/>
      <c r="M260" s="38">
        <f>SUM(J260:L260)</f>
        <v>0</v>
      </c>
      <c r="N260" s="172"/>
      <c r="O260" s="172"/>
      <c r="P260" s="172"/>
      <c r="Q260" s="38">
        <f>SUM(N260:P260)</f>
        <v>0</v>
      </c>
      <c r="R260" s="38">
        <f>+E260+I260+M260+Q260</f>
        <v>0</v>
      </c>
    </row>
    <row r="261" spans="1:20" ht="15.75" hidden="1" customHeight="1" x14ac:dyDescent="0.3">
      <c r="A261" s="410" t="s">
        <v>1410</v>
      </c>
      <c r="B261" s="172">
        <v>500</v>
      </c>
      <c r="C261" s="172"/>
      <c r="D261" s="172"/>
      <c r="E261" s="38">
        <f t="shared" si="54"/>
        <v>500</v>
      </c>
      <c r="F261" s="172"/>
      <c r="G261" s="172"/>
      <c r="H261" s="172"/>
      <c r="I261" s="38">
        <f t="shared" si="55"/>
        <v>0</v>
      </c>
      <c r="J261" s="172"/>
      <c r="K261" s="172"/>
      <c r="L261" s="172"/>
      <c r="M261" s="38">
        <f t="shared" si="56"/>
        <v>0</v>
      </c>
      <c r="N261" s="172"/>
      <c r="O261" s="172"/>
      <c r="P261" s="172"/>
      <c r="Q261" s="38">
        <f t="shared" si="57"/>
        <v>0</v>
      </c>
      <c r="R261" s="38">
        <f t="shared" si="52"/>
        <v>500</v>
      </c>
    </row>
    <row r="262" spans="1:20" ht="15.75" hidden="1" customHeight="1" thickBot="1" x14ac:dyDescent="0.35">
      <c r="A262" s="410" t="s">
        <v>3025</v>
      </c>
      <c r="B262" s="172"/>
      <c r="C262" s="172"/>
      <c r="D262" s="172"/>
      <c r="E262" s="38">
        <f>SUM(B262:D262)</f>
        <v>0</v>
      </c>
      <c r="F262" s="172"/>
      <c r="G262" s="172"/>
      <c r="H262" s="172"/>
      <c r="I262" s="38">
        <f>SUM(F262:H262)</f>
        <v>0</v>
      </c>
      <c r="J262" s="172"/>
      <c r="K262" s="172"/>
      <c r="L262" s="172"/>
      <c r="M262" s="38">
        <f>SUM(J262:L262)</f>
        <v>0</v>
      </c>
      <c r="N262" s="172"/>
      <c r="O262" s="172"/>
      <c r="P262" s="172"/>
      <c r="Q262" s="38">
        <f>SUM(N262:P262)</f>
        <v>0</v>
      </c>
      <c r="R262" s="38">
        <f t="shared" si="52"/>
        <v>0</v>
      </c>
      <c r="S262" t="s">
        <v>3020</v>
      </c>
    </row>
    <row r="263" spans="1:20" ht="16.5" hidden="1" customHeight="1" thickBot="1" x14ac:dyDescent="0.35">
      <c r="A263" s="43" t="s">
        <v>1220</v>
      </c>
      <c r="B263" s="45">
        <f>SUM(B208:B262)</f>
        <v>9131</v>
      </c>
      <c r="C263" s="46">
        <f>SUM(C208:C262)</f>
        <v>10812</v>
      </c>
      <c r="D263" s="46">
        <f>SUM(D208:D262)</f>
        <v>16226</v>
      </c>
      <c r="E263" s="37">
        <f t="shared" si="54"/>
        <v>36169</v>
      </c>
      <c r="F263" s="46">
        <f>SUM(F208:F262)</f>
        <v>14913</v>
      </c>
      <c r="G263" s="46">
        <f>SUM(G208:G262)</f>
        <v>20754</v>
      </c>
      <c r="H263" s="46">
        <f>SUM(H208:H262)</f>
        <v>20588</v>
      </c>
      <c r="I263" s="37">
        <f t="shared" si="55"/>
        <v>56255</v>
      </c>
      <c r="J263" s="46">
        <f>SUM(J208:J262)</f>
        <v>13928</v>
      </c>
      <c r="K263" s="46">
        <f>SUM(K208:K262)</f>
        <v>12950</v>
      </c>
      <c r="L263" s="46">
        <f>SUM(L208:L262)</f>
        <v>15796</v>
      </c>
      <c r="M263" s="37">
        <f t="shared" si="56"/>
        <v>42674</v>
      </c>
      <c r="N263" s="46">
        <f>SUM(N208:N262)</f>
        <v>6305</v>
      </c>
      <c r="O263" s="46">
        <f>SUM(O208:O262)</f>
        <v>5037</v>
      </c>
      <c r="P263" s="46">
        <f>SUM(P208:P262)</f>
        <v>5211</v>
      </c>
      <c r="Q263" s="37">
        <f t="shared" si="57"/>
        <v>16553</v>
      </c>
      <c r="R263" s="37">
        <f t="shared" si="52"/>
        <v>151651</v>
      </c>
    </row>
    <row r="264" spans="1:20" ht="15.75" hidden="1" customHeight="1" x14ac:dyDescent="0.3">
      <c r="A264" s="234" t="s">
        <v>1712</v>
      </c>
      <c r="B264" s="172"/>
      <c r="C264" s="172"/>
      <c r="D264" s="172"/>
      <c r="E264" s="38" t="s">
        <v>852</v>
      </c>
      <c r="F264" s="172"/>
      <c r="G264" s="172"/>
      <c r="H264" s="172"/>
      <c r="I264" s="38" t="s">
        <v>852</v>
      </c>
      <c r="J264" s="172"/>
      <c r="K264" s="172"/>
      <c r="L264" s="172"/>
      <c r="M264" s="38" t="s">
        <v>852</v>
      </c>
      <c r="N264" s="172"/>
      <c r="O264" s="172"/>
      <c r="P264" s="172"/>
      <c r="Q264" s="38" t="s">
        <v>852</v>
      </c>
      <c r="R264" s="38" t="s">
        <v>852</v>
      </c>
    </row>
    <row r="265" spans="1:20" ht="15.75" hidden="1" customHeight="1" x14ac:dyDescent="0.3">
      <c r="A265" s="234" t="s">
        <v>1021</v>
      </c>
      <c r="B265" s="172"/>
      <c r="C265" s="172"/>
      <c r="D265" s="172"/>
      <c r="E265" s="38" t="s">
        <v>852</v>
      </c>
      <c r="F265" s="172"/>
      <c r="G265" s="172"/>
      <c r="H265" s="172"/>
      <c r="I265" s="38" t="s">
        <v>852</v>
      </c>
      <c r="J265" s="172"/>
      <c r="K265" s="172"/>
      <c r="L265" s="172"/>
      <c r="M265" s="38" t="s">
        <v>852</v>
      </c>
      <c r="N265" s="172"/>
      <c r="O265" s="172"/>
      <c r="P265" s="172"/>
      <c r="Q265" s="38" t="s">
        <v>852</v>
      </c>
      <c r="R265" s="38" t="s">
        <v>852</v>
      </c>
    </row>
    <row r="266" spans="1:20" ht="15.75" hidden="1" customHeight="1" x14ac:dyDescent="0.3">
      <c r="A266" s="618" t="s">
        <v>2796</v>
      </c>
      <c r="B266" s="172"/>
      <c r="C266" s="172"/>
      <c r="D266" s="172"/>
      <c r="E266" s="38">
        <f>SUM(B266:D266)</f>
        <v>0</v>
      </c>
      <c r="F266" s="172"/>
      <c r="G266" s="172"/>
      <c r="H266" s="172"/>
      <c r="I266" s="38">
        <f>SUM(F266:H266)</f>
        <v>0</v>
      </c>
      <c r="J266" s="172"/>
      <c r="K266" s="172"/>
      <c r="L266" s="172"/>
      <c r="M266" s="38">
        <f>SUM(J266:L266)</f>
        <v>0</v>
      </c>
      <c r="N266" s="172"/>
      <c r="O266" s="172"/>
      <c r="P266" s="172"/>
      <c r="Q266" s="38">
        <f>SUM(N266:P266)</f>
        <v>0</v>
      </c>
      <c r="R266" s="38">
        <f>+E266+I266+M266+Q266</f>
        <v>0</v>
      </c>
      <c r="T266" t="s">
        <v>2760</v>
      </c>
    </row>
    <row r="267" spans="1:20" ht="15.75" hidden="1" customHeight="1" x14ac:dyDescent="0.3">
      <c r="A267" s="568" t="s">
        <v>1323</v>
      </c>
      <c r="B267" s="172"/>
      <c r="C267" s="172"/>
      <c r="D267" s="172"/>
      <c r="E267" s="38">
        <f>SUM(B267:D267)</f>
        <v>0</v>
      </c>
      <c r="F267" s="172"/>
      <c r="G267" s="172"/>
      <c r="H267" s="172"/>
      <c r="I267" s="38">
        <f>SUM(F267:H267)</f>
        <v>0</v>
      </c>
      <c r="J267" s="172"/>
      <c r="K267" s="172">
        <v>279</v>
      </c>
      <c r="L267" s="172"/>
      <c r="M267" s="38">
        <f>SUM(J267:L267)</f>
        <v>279</v>
      </c>
      <c r="N267" s="172"/>
      <c r="O267" s="172">
        <v>11</v>
      </c>
      <c r="P267" s="172">
        <v>475</v>
      </c>
      <c r="Q267" s="38">
        <f>SUM(N267:P267)</f>
        <v>486</v>
      </c>
      <c r="R267" s="38">
        <f>+E267+I267+M267+Q267</f>
        <v>765</v>
      </c>
      <c r="T267" t="s">
        <v>2769</v>
      </c>
    </row>
    <row r="268" spans="1:20" ht="15.75" hidden="1" customHeight="1" x14ac:dyDescent="0.3">
      <c r="A268" s="568" t="s">
        <v>2317</v>
      </c>
      <c r="B268" s="172"/>
      <c r="C268" s="172"/>
      <c r="D268" s="172"/>
      <c r="E268" s="38">
        <f>SUM(B268:D268)</f>
        <v>0</v>
      </c>
      <c r="F268" s="172"/>
      <c r="G268" s="172">
        <v>659</v>
      </c>
      <c r="H268" s="172">
        <v>1870</v>
      </c>
      <c r="I268" s="38">
        <f>SUM(F268:H268)</f>
        <v>2529</v>
      </c>
      <c r="J268" s="172">
        <v>1978</v>
      </c>
      <c r="K268" s="172"/>
      <c r="L268" s="172">
        <v>114</v>
      </c>
      <c r="M268" s="38">
        <f>SUM(J268:L268)</f>
        <v>2092</v>
      </c>
      <c r="N268" s="172">
        <v>18</v>
      </c>
      <c r="O268" s="172"/>
      <c r="P268" s="172">
        <v>360</v>
      </c>
      <c r="Q268" s="38">
        <f>SUM(N268:P268)</f>
        <v>378</v>
      </c>
      <c r="R268" s="38">
        <f>+E268+I268+M268+Q268</f>
        <v>4999</v>
      </c>
      <c r="T268" t="s">
        <v>2770</v>
      </c>
    </row>
    <row r="269" spans="1:20" ht="15.75" hidden="1" customHeight="1" x14ac:dyDescent="0.3">
      <c r="A269" s="234" t="s">
        <v>557</v>
      </c>
      <c r="B269" s="172"/>
      <c r="C269" s="172"/>
      <c r="D269" s="172"/>
      <c r="E269" s="38" t="s">
        <v>852</v>
      </c>
      <c r="F269" s="172"/>
      <c r="G269" s="172"/>
      <c r="H269" s="172"/>
      <c r="I269" s="38" t="s">
        <v>852</v>
      </c>
      <c r="J269" s="172"/>
      <c r="K269" s="172"/>
      <c r="L269" s="172"/>
      <c r="M269" s="38" t="s">
        <v>852</v>
      </c>
      <c r="N269" s="172"/>
      <c r="O269" s="172"/>
      <c r="P269" s="172"/>
      <c r="Q269" s="38" t="s">
        <v>852</v>
      </c>
      <c r="R269" s="38" t="s">
        <v>852</v>
      </c>
    </row>
    <row r="270" spans="1:20" ht="15.75" hidden="1" customHeight="1" x14ac:dyDescent="0.3">
      <c r="A270" s="568" t="s">
        <v>3006</v>
      </c>
      <c r="B270" s="172"/>
      <c r="C270" s="172"/>
      <c r="D270" s="172"/>
      <c r="E270" s="38">
        <f>SUM(B270:D270)</f>
        <v>0</v>
      </c>
      <c r="F270" s="172">
        <v>318</v>
      </c>
      <c r="G270" s="172">
        <v>1056</v>
      </c>
      <c r="H270" s="172">
        <v>1247</v>
      </c>
      <c r="I270" s="38">
        <f>SUM(F270:H270)</f>
        <v>2621</v>
      </c>
      <c r="J270" s="172">
        <v>2176</v>
      </c>
      <c r="K270" s="172">
        <v>731</v>
      </c>
      <c r="L270" s="172">
        <v>226</v>
      </c>
      <c r="M270" s="38">
        <f>SUM(J270:L270)</f>
        <v>3133</v>
      </c>
      <c r="N270" s="172"/>
      <c r="O270" s="172"/>
      <c r="P270" s="172"/>
      <c r="Q270" s="38">
        <f>SUM(N270:P270)</f>
        <v>0</v>
      </c>
      <c r="R270" s="38">
        <f>+E270+I270+M270+Q270</f>
        <v>5754</v>
      </c>
    </row>
    <row r="271" spans="1:20" ht="15.75" hidden="1" customHeight="1" x14ac:dyDescent="0.3">
      <c r="A271" s="568" t="s">
        <v>3010</v>
      </c>
      <c r="B271" s="172"/>
      <c r="C271" s="172"/>
      <c r="D271" s="172"/>
      <c r="E271" s="38">
        <f>SUM(B271:D271)</f>
        <v>0</v>
      </c>
      <c r="F271" s="172"/>
      <c r="G271" s="172"/>
      <c r="H271" s="172"/>
      <c r="I271" s="38">
        <f>SUM(F271:H271)</f>
        <v>0</v>
      </c>
      <c r="J271" s="172"/>
      <c r="K271" s="172"/>
      <c r="L271" s="172"/>
      <c r="M271" s="38">
        <f>SUM(J271:L271)</f>
        <v>0</v>
      </c>
      <c r="N271" s="172"/>
      <c r="O271" s="172"/>
      <c r="P271" s="172"/>
      <c r="Q271" s="38">
        <f>SUM(N271:P271)</f>
        <v>0</v>
      </c>
      <c r="R271" s="38">
        <f>+E271+I271+M271+Q271</f>
        <v>0</v>
      </c>
      <c r="T271">
        <f>24000-SUM(R144,R147,R162,R165,R178,R196,R228,R229,R249,R267,R270,R271)</f>
        <v>5738</v>
      </c>
    </row>
    <row r="272" spans="1:20" ht="15.75" hidden="1" customHeight="1" x14ac:dyDescent="0.3">
      <c r="A272" s="539" t="s">
        <v>3021</v>
      </c>
      <c r="B272" s="172"/>
      <c r="C272" s="172">
        <v>500</v>
      </c>
      <c r="D272" s="172"/>
      <c r="E272" s="38">
        <f t="shared" ref="E272:E277" si="58">SUM(B272:D272)</f>
        <v>500</v>
      </c>
      <c r="F272" s="172"/>
      <c r="G272" s="172"/>
      <c r="H272" s="172">
        <v>2000</v>
      </c>
      <c r="I272" s="38">
        <f t="shared" ref="I272:I277" si="59">SUM(F272:H272)</f>
        <v>2000</v>
      </c>
      <c r="J272" s="172">
        <v>1600</v>
      </c>
      <c r="K272" s="172">
        <v>1600</v>
      </c>
      <c r="L272" s="172">
        <v>1600</v>
      </c>
      <c r="M272" s="38">
        <f t="shared" ref="M272:M277" si="60">SUM(J272:L272)</f>
        <v>4800</v>
      </c>
      <c r="N272" s="172">
        <v>1600</v>
      </c>
      <c r="O272" s="172">
        <v>1220</v>
      </c>
      <c r="P272" s="172"/>
      <c r="Q272" s="38">
        <f t="shared" ref="Q272:Q277" si="61">SUM(N272:P272)</f>
        <v>2820</v>
      </c>
      <c r="R272" s="38">
        <f t="shared" ref="R272:R277" si="62">+E272+I272+M272+Q272</f>
        <v>10120</v>
      </c>
      <c r="S272" t="s">
        <v>3020</v>
      </c>
    </row>
    <row r="273" spans="1:20" ht="15.75" hidden="1" customHeight="1" x14ac:dyDescent="0.3">
      <c r="A273" s="539" t="s">
        <v>2561</v>
      </c>
      <c r="B273" s="172"/>
      <c r="C273" s="172"/>
      <c r="D273" s="172"/>
      <c r="E273" s="38">
        <f t="shared" si="58"/>
        <v>0</v>
      </c>
      <c r="F273" s="172"/>
      <c r="G273" s="172"/>
      <c r="H273" s="172"/>
      <c r="I273" s="38">
        <f t="shared" si="59"/>
        <v>0</v>
      </c>
      <c r="J273" s="172"/>
      <c r="K273" s="172"/>
      <c r="L273" s="172"/>
      <c r="M273" s="38">
        <f t="shared" si="60"/>
        <v>0</v>
      </c>
      <c r="N273" s="172"/>
      <c r="O273" s="172"/>
      <c r="P273" s="172"/>
      <c r="Q273" s="38">
        <f t="shared" si="61"/>
        <v>0</v>
      </c>
      <c r="R273" s="38">
        <f t="shared" si="62"/>
        <v>0</v>
      </c>
    </row>
    <row r="274" spans="1:20" ht="15.75" hidden="1" customHeight="1" x14ac:dyDescent="0.3">
      <c r="A274" s="569" t="s">
        <v>2828</v>
      </c>
      <c r="B274" s="172"/>
      <c r="C274" s="172"/>
      <c r="D274" s="172">
        <v>1000</v>
      </c>
      <c r="E274" s="38">
        <f t="shared" si="58"/>
        <v>1000</v>
      </c>
      <c r="F274" s="172"/>
      <c r="G274" s="172"/>
      <c r="H274" s="172">
        <v>1870</v>
      </c>
      <c r="I274" s="38">
        <f t="shared" si="59"/>
        <v>1870</v>
      </c>
      <c r="J274" s="172">
        <v>1977</v>
      </c>
      <c r="K274" s="172"/>
      <c r="L274" s="172">
        <v>60</v>
      </c>
      <c r="M274" s="38">
        <f t="shared" si="60"/>
        <v>2037</v>
      </c>
      <c r="N274" s="172"/>
      <c r="O274" s="172"/>
      <c r="P274" s="172"/>
      <c r="Q274" s="38">
        <f t="shared" si="61"/>
        <v>0</v>
      </c>
      <c r="R274" s="38">
        <f t="shared" si="62"/>
        <v>4907</v>
      </c>
    </row>
    <row r="275" spans="1:20" ht="15.75" hidden="1" customHeight="1" x14ac:dyDescent="0.3">
      <c r="A275" s="569" t="s">
        <v>2563</v>
      </c>
      <c r="B275" s="172"/>
      <c r="C275" s="172"/>
      <c r="D275" s="172"/>
      <c r="E275" s="38">
        <f t="shared" si="58"/>
        <v>0</v>
      </c>
      <c r="F275" s="172"/>
      <c r="G275" s="172"/>
      <c r="H275" s="172"/>
      <c r="I275" s="38">
        <f t="shared" si="59"/>
        <v>0</v>
      </c>
      <c r="J275" s="172"/>
      <c r="K275" s="172"/>
      <c r="L275" s="172"/>
      <c r="M275" s="38">
        <f t="shared" si="60"/>
        <v>0</v>
      </c>
      <c r="N275" s="172"/>
      <c r="O275" s="172"/>
      <c r="P275" s="172"/>
      <c r="Q275" s="38">
        <f t="shared" si="61"/>
        <v>0</v>
      </c>
      <c r="R275" s="38">
        <f t="shared" si="62"/>
        <v>0</v>
      </c>
    </row>
    <row r="276" spans="1:20" ht="15.75" hidden="1" customHeight="1" x14ac:dyDescent="0.3">
      <c r="A276" s="422" t="s">
        <v>2564</v>
      </c>
      <c r="B276" s="172"/>
      <c r="C276" s="172"/>
      <c r="D276" s="172"/>
      <c r="E276" s="38">
        <f t="shared" si="58"/>
        <v>0</v>
      </c>
      <c r="F276" s="172"/>
      <c r="G276" s="172"/>
      <c r="H276" s="172"/>
      <c r="I276" s="38">
        <f t="shared" si="59"/>
        <v>0</v>
      </c>
      <c r="J276" s="172"/>
      <c r="K276" s="172"/>
      <c r="L276" s="172"/>
      <c r="M276" s="38">
        <f t="shared" si="60"/>
        <v>0</v>
      </c>
      <c r="N276" s="172"/>
      <c r="O276" s="172"/>
      <c r="P276" s="172"/>
      <c r="Q276" s="38">
        <f t="shared" si="61"/>
        <v>0</v>
      </c>
      <c r="R276" s="38">
        <f t="shared" si="62"/>
        <v>0</v>
      </c>
    </row>
    <row r="277" spans="1:20" ht="15.75" hidden="1" customHeight="1" x14ac:dyDescent="0.3">
      <c r="A277" s="422" t="s">
        <v>2565</v>
      </c>
      <c r="B277" s="172"/>
      <c r="C277" s="172"/>
      <c r="D277" s="172"/>
      <c r="E277" s="38">
        <f t="shared" si="58"/>
        <v>0</v>
      </c>
      <c r="F277" s="172"/>
      <c r="G277" s="172"/>
      <c r="H277" s="172"/>
      <c r="I277" s="38">
        <f t="shared" si="59"/>
        <v>0</v>
      </c>
      <c r="J277" s="172"/>
      <c r="K277" s="172"/>
      <c r="L277" s="172"/>
      <c r="M277" s="38">
        <f t="shared" si="60"/>
        <v>0</v>
      </c>
      <c r="N277" s="172"/>
      <c r="O277" s="172"/>
      <c r="P277" s="172"/>
      <c r="Q277" s="38">
        <f t="shared" si="61"/>
        <v>0</v>
      </c>
      <c r="R277" s="38">
        <f t="shared" si="62"/>
        <v>0</v>
      </c>
    </row>
    <row r="278" spans="1:20" ht="15.75" hidden="1" customHeight="1" x14ac:dyDescent="0.3">
      <c r="A278" s="234" t="s">
        <v>1022</v>
      </c>
      <c r="B278" s="172"/>
      <c r="C278" s="172"/>
      <c r="D278" s="172"/>
      <c r="E278" s="38" t="s">
        <v>852</v>
      </c>
      <c r="F278" s="172"/>
      <c r="G278" s="172"/>
      <c r="H278" s="172"/>
      <c r="I278" s="38" t="s">
        <v>852</v>
      </c>
      <c r="J278" s="172"/>
      <c r="K278" s="172"/>
      <c r="L278" s="172"/>
      <c r="M278" s="38" t="s">
        <v>852</v>
      </c>
      <c r="N278" s="172"/>
      <c r="O278" s="172"/>
      <c r="P278" s="172"/>
      <c r="Q278" s="38" t="s">
        <v>852</v>
      </c>
      <c r="R278" s="38" t="s">
        <v>852</v>
      </c>
    </row>
    <row r="279" spans="1:20" ht="15.75" hidden="1" customHeight="1" x14ac:dyDescent="0.3">
      <c r="A279" s="234" t="s">
        <v>559</v>
      </c>
      <c r="B279" s="172"/>
      <c r="C279" s="172"/>
      <c r="D279" s="172"/>
      <c r="E279" s="38" t="s">
        <v>852</v>
      </c>
      <c r="F279" s="172"/>
      <c r="G279" s="172"/>
      <c r="H279" s="172"/>
      <c r="I279" s="38" t="s">
        <v>852</v>
      </c>
      <c r="J279" s="172"/>
      <c r="K279" s="172"/>
      <c r="L279" s="172"/>
      <c r="M279" s="38" t="s">
        <v>852</v>
      </c>
      <c r="N279" s="172"/>
      <c r="O279" s="172"/>
      <c r="P279" s="172"/>
      <c r="Q279" s="38" t="s">
        <v>852</v>
      </c>
      <c r="R279" s="38" t="s">
        <v>852</v>
      </c>
    </row>
    <row r="280" spans="1:20" ht="15.75" hidden="1" customHeight="1" thickBot="1" x14ac:dyDescent="0.35">
      <c r="A280" s="539" t="s">
        <v>3074</v>
      </c>
      <c r="B280" s="172"/>
      <c r="C280" s="172"/>
      <c r="D280" s="172"/>
      <c r="E280" s="38">
        <f>SUM(B280:D280)</f>
        <v>0</v>
      </c>
      <c r="F280" s="172"/>
      <c r="G280" s="172"/>
      <c r="H280" s="172"/>
      <c r="I280" s="38">
        <f>SUM(F280:H280)</f>
        <v>0</v>
      </c>
      <c r="J280" s="172"/>
      <c r="K280" s="172"/>
      <c r="L280" s="172"/>
      <c r="M280" s="38">
        <f>SUM(J280:L280)</f>
        <v>0</v>
      </c>
      <c r="N280" s="172"/>
      <c r="O280" s="172"/>
      <c r="P280" s="172"/>
      <c r="Q280" s="38">
        <f>SUM(N280:P280)</f>
        <v>0</v>
      </c>
      <c r="R280" s="38">
        <f>+E280+I280+M280+Q280</f>
        <v>0</v>
      </c>
      <c r="S280" t="s">
        <v>3020</v>
      </c>
    </row>
    <row r="281" spans="1:20" ht="16.5" hidden="1" customHeight="1" thickBot="1" x14ac:dyDescent="0.35">
      <c r="A281" s="43" t="s">
        <v>1019</v>
      </c>
      <c r="B281" s="42">
        <f>SUM(B278:B280)</f>
        <v>0</v>
      </c>
      <c r="C281" s="42">
        <f>SUM(C278:C280)</f>
        <v>0</v>
      </c>
      <c r="D281" s="42">
        <f>SUM(D278:D280)</f>
        <v>0</v>
      </c>
      <c r="E281" s="39">
        <f t="shared" ref="E281:E289" si="63">SUM(B281:D281)</f>
        <v>0</v>
      </c>
      <c r="F281" s="42">
        <f>SUM(F278:F280)</f>
        <v>0</v>
      </c>
      <c r="G281" s="42">
        <f>SUM(G278:G280)</f>
        <v>0</v>
      </c>
      <c r="H281" s="42">
        <f>SUM(H278:H280)</f>
        <v>0</v>
      </c>
      <c r="I281" s="39">
        <f t="shared" ref="I281:I289" si="64">SUM(F281:H281)</f>
        <v>0</v>
      </c>
      <c r="J281" s="42">
        <f>SUM(J278:J280)</f>
        <v>0</v>
      </c>
      <c r="K281" s="42">
        <f>SUM(K278:K280)</f>
        <v>0</v>
      </c>
      <c r="L281" s="42">
        <f>SUM(L278:L280)</f>
        <v>0</v>
      </c>
      <c r="M281" s="39">
        <f t="shared" ref="M281:M289" si="65">SUM(J281:L281)</f>
        <v>0</v>
      </c>
      <c r="N281" s="42">
        <f>SUM(N278:N280)</f>
        <v>0</v>
      </c>
      <c r="O281" s="42">
        <f>SUM(O278:O280)</f>
        <v>0</v>
      </c>
      <c r="P281" s="42">
        <f>SUM(P278:P280)</f>
        <v>0</v>
      </c>
      <c r="Q281" s="39">
        <f t="shared" ref="Q281:Q289" si="66">SUM(N281:P281)</f>
        <v>0</v>
      </c>
      <c r="R281" s="37">
        <f t="shared" ref="R281:R289" si="67">+E281+I281+M281+Q281</f>
        <v>0</v>
      </c>
    </row>
    <row r="282" spans="1:20" ht="16.5" hidden="1" customHeight="1" thickBot="1" x14ac:dyDescent="0.35">
      <c r="A282" s="43" t="s">
        <v>1221</v>
      </c>
      <c r="B282" s="45">
        <f>SUM(B264:B280)</f>
        <v>0</v>
      </c>
      <c r="C282" s="46">
        <f>SUM(C264:C280)</f>
        <v>500</v>
      </c>
      <c r="D282" s="46">
        <f>SUM(D264:D280)</f>
        <v>1000</v>
      </c>
      <c r="E282" s="37">
        <f t="shared" si="63"/>
        <v>1500</v>
      </c>
      <c r="F282" s="46">
        <f>SUM(F264:F280)</f>
        <v>318</v>
      </c>
      <c r="G282" s="46">
        <f>SUM(G264:G280)</f>
        <v>1715</v>
      </c>
      <c r="H282" s="46">
        <f>SUM(H264:H280)</f>
        <v>6987</v>
      </c>
      <c r="I282" s="37">
        <f t="shared" si="64"/>
        <v>9020</v>
      </c>
      <c r="J282" s="46">
        <f>SUM(J264:J280)</f>
        <v>7731</v>
      </c>
      <c r="K282" s="46">
        <f>SUM(K264:K280)</f>
        <v>2610</v>
      </c>
      <c r="L282" s="46">
        <f>SUM(L264:L280)</f>
        <v>2000</v>
      </c>
      <c r="M282" s="37">
        <f t="shared" si="65"/>
        <v>12341</v>
      </c>
      <c r="N282" s="46">
        <f>SUM(N264:N280)</f>
        <v>1618</v>
      </c>
      <c r="O282" s="46">
        <f>SUM(O264:O280)</f>
        <v>1231</v>
      </c>
      <c r="P282" s="46">
        <f>SUM(P264:P280)</f>
        <v>835</v>
      </c>
      <c r="Q282" s="37">
        <f t="shared" si="66"/>
        <v>3684</v>
      </c>
      <c r="R282" s="37">
        <f t="shared" si="67"/>
        <v>26545</v>
      </c>
    </row>
    <row r="283" spans="1:20" ht="16.5" hidden="1" customHeight="1" thickBot="1" x14ac:dyDescent="0.35">
      <c r="A283" s="43" t="s">
        <v>1222</v>
      </c>
      <c r="B283" s="47">
        <f>+B200+B207+B263+B282</f>
        <v>18536</v>
      </c>
      <c r="C283" s="42">
        <f>+C200+C207+C263+C282</f>
        <v>16791</v>
      </c>
      <c r="D283" s="42">
        <f>+D200+D207+D263+D282</f>
        <v>28344</v>
      </c>
      <c r="E283" s="40">
        <f t="shared" si="63"/>
        <v>63671</v>
      </c>
      <c r="F283" s="42">
        <f>+F200+F207+F263+F282</f>
        <v>30147</v>
      </c>
      <c r="G283" s="42">
        <f>+G200+G207+G263+G282</f>
        <v>41256</v>
      </c>
      <c r="H283" s="42">
        <f>+H200+H207+H263+H282</f>
        <v>50158</v>
      </c>
      <c r="I283" s="40">
        <f t="shared" si="64"/>
        <v>121561</v>
      </c>
      <c r="J283" s="42">
        <f>+J200+J207+J263+J282</f>
        <v>58373</v>
      </c>
      <c r="K283" s="42">
        <f>+K200+K207+K263+K282</f>
        <v>48841</v>
      </c>
      <c r="L283" s="42">
        <f>+L200+L207+L263+L282</f>
        <v>46361</v>
      </c>
      <c r="M283" s="40">
        <f t="shared" si="65"/>
        <v>153575</v>
      </c>
      <c r="N283" s="42">
        <f>+N200+N207+N263+N282</f>
        <v>35115</v>
      </c>
      <c r="O283" s="42">
        <f>+O200+O207+O263+O282</f>
        <v>24980</v>
      </c>
      <c r="P283" s="42">
        <f>+P200+P207+P263+P282</f>
        <v>19283</v>
      </c>
      <c r="Q283" s="40">
        <f t="shared" si="66"/>
        <v>79378</v>
      </c>
      <c r="R283" s="40">
        <f t="shared" si="67"/>
        <v>418185</v>
      </c>
    </row>
    <row r="284" spans="1:20" ht="15.75" hidden="1" customHeight="1" x14ac:dyDescent="0.3">
      <c r="A284" s="540" t="s">
        <v>2827</v>
      </c>
      <c r="B284" s="172"/>
      <c r="C284" s="172">
        <v>2526</v>
      </c>
      <c r="D284" s="356">
        <v>4089</v>
      </c>
      <c r="E284" s="38">
        <f t="shared" si="63"/>
        <v>6615</v>
      </c>
      <c r="F284" s="356">
        <v>1608</v>
      </c>
      <c r="G284" s="172">
        <v>2278</v>
      </c>
      <c r="H284" s="172">
        <v>3295</v>
      </c>
      <c r="I284" s="38">
        <f t="shared" si="64"/>
        <v>7181</v>
      </c>
      <c r="J284" s="172">
        <v>2560</v>
      </c>
      <c r="K284" s="172">
        <v>948</v>
      </c>
      <c r="L284" s="172">
        <v>2584</v>
      </c>
      <c r="M284" s="38">
        <f t="shared" si="65"/>
        <v>6092</v>
      </c>
      <c r="N284" s="172">
        <v>3444</v>
      </c>
      <c r="O284" s="172">
        <v>4424</v>
      </c>
      <c r="P284" s="172">
        <v>1662</v>
      </c>
      <c r="Q284" s="38">
        <f t="shared" si="66"/>
        <v>9530</v>
      </c>
      <c r="R284" s="38">
        <f t="shared" si="67"/>
        <v>29418</v>
      </c>
      <c r="T284" t="s">
        <v>2764</v>
      </c>
    </row>
    <row r="285" spans="1:20" ht="15.75" hidden="1" customHeight="1" x14ac:dyDescent="0.3">
      <c r="A285" s="270" t="s">
        <v>899</v>
      </c>
      <c r="B285" s="172"/>
      <c r="C285" s="172"/>
      <c r="D285" s="172"/>
      <c r="E285" s="38">
        <f t="shared" si="63"/>
        <v>0</v>
      </c>
      <c r="F285" s="172">
        <v>-4000</v>
      </c>
      <c r="G285" s="172">
        <v>-6000</v>
      </c>
      <c r="H285" s="172">
        <v>-4000</v>
      </c>
      <c r="I285" s="38">
        <f t="shared" si="64"/>
        <v>-14000</v>
      </c>
      <c r="J285" s="172">
        <v>-2000</v>
      </c>
      <c r="K285" s="172"/>
      <c r="L285" s="172"/>
      <c r="M285" s="38">
        <f t="shared" si="65"/>
        <v>-2000</v>
      </c>
      <c r="N285" s="172"/>
      <c r="O285" s="172"/>
      <c r="P285" s="172">
        <v>-11</v>
      </c>
      <c r="Q285" s="38">
        <f t="shared" si="66"/>
        <v>-11</v>
      </c>
      <c r="R285" s="38">
        <f t="shared" si="67"/>
        <v>-16011</v>
      </c>
    </row>
    <row r="286" spans="1:20" ht="15.75" hidden="1" customHeight="1" x14ac:dyDescent="0.3">
      <c r="A286" s="539" t="s">
        <v>2271</v>
      </c>
      <c r="B286" s="10"/>
      <c r="C286" s="10"/>
      <c r="D286" s="10"/>
      <c r="E286" s="38">
        <f t="shared" si="63"/>
        <v>0</v>
      </c>
      <c r="F286" s="10"/>
      <c r="G286" s="10"/>
      <c r="H286" s="10"/>
      <c r="I286" s="38">
        <f t="shared" si="64"/>
        <v>0</v>
      </c>
      <c r="J286" s="10"/>
      <c r="K286" s="10"/>
      <c r="L286" s="10"/>
      <c r="M286" s="38">
        <f t="shared" si="65"/>
        <v>0</v>
      </c>
      <c r="N286" s="10"/>
      <c r="O286" s="10"/>
      <c r="P286" s="10"/>
      <c r="Q286" s="38">
        <f t="shared" si="66"/>
        <v>0</v>
      </c>
      <c r="R286" s="38">
        <f t="shared" si="67"/>
        <v>0</v>
      </c>
    </row>
    <row r="287" spans="1:20" ht="15.75" hidden="1" customHeight="1" x14ac:dyDescent="0.3">
      <c r="A287" s="270" t="s">
        <v>2475</v>
      </c>
      <c r="B287" s="10">
        <v>9</v>
      </c>
      <c r="C287" s="10">
        <v>39</v>
      </c>
      <c r="D287" s="10">
        <v>42</v>
      </c>
      <c r="E287" s="38">
        <f>SUM(B287:D287)</f>
        <v>90</v>
      </c>
      <c r="F287" s="10">
        <v>42</v>
      </c>
      <c r="G287" s="10">
        <v>61</v>
      </c>
      <c r="H287" s="10">
        <v>52</v>
      </c>
      <c r="I287" s="38">
        <f>SUM(F287:H287)</f>
        <v>155</v>
      </c>
      <c r="J287" s="10">
        <v>42</v>
      </c>
      <c r="K287" s="10">
        <v>55</v>
      </c>
      <c r="L287" s="10">
        <v>86</v>
      </c>
      <c r="M287" s="38">
        <f>SUM(J287:L287)</f>
        <v>183</v>
      </c>
      <c r="N287" s="10">
        <v>74</v>
      </c>
      <c r="O287" s="10">
        <v>41</v>
      </c>
      <c r="P287" s="10">
        <v>34</v>
      </c>
      <c r="Q287" s="38">
        <f>SUM(N287:P287)</f>
        <v>149</v>
      </c>
      <c r="R287" s="38">
        <f t="shared" si="67"/>
        <v>577</v>
      </c>
    </row>
    <row r="288" spans="1:20" ht="15.75" hidden="1" customHeight="1" x14ac:dyDescent="0.3">
      <c r="A288" s="267" t="s">
        <v>2096</v>
      </c>
      <c r="B288" s="172">
        <v>108452</v>
      </c>
      <c r="C288" s="172">
        <v>32889</v>
      </c>
      <c r="D288" s="172">
        <v>4539</v>
      </c>
      <c r="E288" s="38">
        <f t="shared" si="63"/>
        <v>145880</v>
      </c>
      <c r="F288" s="172">
        <v>28044</v>
      </c>
      <c r="G288" s="172">
        <v>12390</v>
      </c>
      <c r="H288" s="172"/>
      <c r="I288" s="38">
        <f t="shared" si="64"/>
        <v>40434</v>
      </c>
      <c r="J288" s="172"/>
      <c r="K288" s="172"/>
      <c r="L288" s="172">
        <v>19406</v>
      </c>
      <c r="M288" s="38">
        <f t="shared" si="65"/>
        <v>19406</v>
      </c>
      <c r="N288" s="172">
        <v>40011</v>
      </c>
      <c r="O288" s="172">
        <v>74729</v>
      </c>
      <c r="P288" s="172">
        <v>52389</v>
      </c>
      <c r="Q288" s="38">
        <f t="shared" si="66"/>
        <v>167129</v>
      </c>
      <c r="R288" s="38">
        <f t="shared" si="67"/>
        <v>372849</v>
      </c>
    </row>
    <row r="289" spans="1:18" ht="16.5" hidden="1" customHeight="1" thickBot="1" x14ac:dyDescent="0.35">
      <c r="A289" s="244" t="s">
        <v>853</v>
      </c>
      <c r="B289" s="238">
        <v>104</v>
      </c>
      <c r="C289" s="238">
        <v>268</v>
      </c>
      <c r="D289" s="238">
        <v>474</v>
      </c>
      <c r="E289" s="38">
        <f t="shared" si="63"/>
        <v>846</v>
      </c>
      <c r="F289" s="238">
        <v>647</v>
      </c>
      <c r="G289" s="238">
        <v>742</v>
      </c>
      <c r="H289" s="238">
        <v>781</v>
      </c>
      <c r="I289" s="38">
        <f t="shared" si="64"/>
        <v>2170</v>
      </c>
      <c r="J289" s="238">
        <v>774</v>
      </c>
      <c r="K289" s="238">
        <v>596</v>
      </c>
      <c r="L289" s="238">
        <v>546</v>
      </c>
      <c r="M289" s="38">
        <f t="shared" si="65"/>
        <v>1916</v>
      </c>
      <c r="N289" s="238">
        <v>517</v>
      </c>
      <c r="O289" s="238">
        <v>413</v>
      </c>
      <c r="P289" s="238">
        <v>302</v>
      </c>
      <c r="Q289" s="38">
        <f t="shared" si="66"/>
        <v>1232</v>
      </c>
      <c r="R289" s="38">
        <f t="shared" si="67"/>
        <v>6164</v>
      </c>
    </row>
    <row r="290" spans="1:18" ht="16.5" hidden="1" customHeight="1" thickBot="1" x14ac:dyDescent="0.35">
      <c r="A290" s="44"/>
      <c r="B290" s="258"/>
      <c r="C290" s="258"/>
      <c r="D290" s="258"/>
      <c r="E290" s="39"/>
      <c r="F290" s="258"/>
      <c r="G290" s="258"/>
      <c r="H290" s="258"/>
      <c r="I290" s="37"/>
      <c r="J290" s="258"/>
      <c r="K290" s="258"/>
      <c r="L290" s="258"/>
      <c r="M290" s="37"/>
      <c r="N290" s="258"/>
      <c r="O290" s="258"/>
      <c r="P290" s="258"/>
      <c r="Q290" s="37"/>
      <c r="R290" s="37" t="s">
        <v>852</v>
      </c>
    </row>
    <row r="291" spans="1:18" ht="15.75" hidden="1" customHeight="1" x14ac:dyDescent="0.3">
      <c r="A291" s="259" t="s">
        <v>2011</v>
      </c>
      <c r="B291" s="260">
        <f>SUM(B283:B289)</f>
        <v>127101</v>
      </c>
      <c r="C291" s="260">
        <f>SUM(C283:C289)</f>
        <v>52513</v>
      </c>
      <c r="D291" s="260">
        <f>SUM(D283:D289)</f>
        <v>37488</v>
      </c>
      <c r="E291" s="39">
        <f>SUM(B291:D291)</f>
        <v>217102</v>
      </c>
      <c r="F291" s="260">
        <f>SUM(F283:F289)</f>
        <v>56488</v>
      </c>
      <c r="G291" s="260">
        <f>SUM(G283:G289)</f>
        <v>50727</v>
      </c>
      <c r="H291" s="260">
        <f>SUM(H283:H289)</f>
        <v>50286</v>
      </c>
      <c r="I291" s="39">
        <f>SUM(F291:H291)</f>
        <v>157501</v>
      </c>
      <c r="J291" s="260">
        <f>SUM(J283:J289)</f>
        <v>59749</v>
      </c>
      <c r="K291" s="260">
        <f>SUM(K283:K289)</f>
        <v>50440</v>
      </c>
      <c r="L291" s="260">
        <f>SUM(L283:L289)</f>
        <v>68983</v>
      </c>
      <c r="M291" s="39">
        <f>SUM(J291:L291)</f>
        <v>179172</v>
      </c>
      <c r="N291" s="260">
        <f>SUM(N283:N289)</f>
        <v>79161</v>
      </c>
      <c r="O291" s="260">
        <f>SUM(O283:O289)</f>
        <v>104587</v>
      </c>
      <c r="P291" s="260">
        <f>SUM(P283:P289)</f>
        <v>73659</v>
      </c>
      <c r="Q291" s="49">
        <f>SUM(N291:P291)</f>
        <v>257407</v>
      </c>
      <c r="R291" s="39">
        <f>+E291+I291+M291+Q291</f>
        <v>811182</v>
      </c>
    </row>
    <row r="292" spans="1:18" ht="15.75" hidden="1" customHeight="1" x14ac:dyDescent="0.3">
      <c r="A292" s="262" t="s">
        <v>1897</v>
      </c>
      <c r="B292" s="172">
        <f>(B291/B10)/1.983</f>
        <v>2067.5906495534623</v>
      </c>
      <c r="C292" s="172">
        <f>(C291/C10)/1.983</f>
        <v>913.1583981080563</v>
      </c>
      <c r="D292" s="172">
        <f>(D291/D10)/1.983</f>
        <v>609.82870528524711</v>
      </c>
      <c r="E292" s="38" t="s">
        <v>852</v>
      </c>
      <c r="F292" s="172">
        <f>(F291/F10)/1.983</f>
        <v>949.53773743486295</v>
      </c>
      <c r="G292" s="172">
        <f>(G291/G10)/1.983</f>
        <v>825.19154750866221</v>
      </c>
      <c r="H292" s="172">
        <f>(H291/H10)/1.983</f>
        <v>845.28492183560263</v>
      </c>
      <c r="I292" s="38" t="s">
        <v>852</v>
      </c>
      <c r="J292" s="172">
        <f>(J291/J10)/1.983</f>
        <v>971.9551673092252</v>
      </c>
      <c r="K292" s="172">
        <f>(K291/K10)/1.983</f>
        <v>820.52283116164813</v>
      </c>
      <c r="L292" s="172">
        <f>(L291/L10)/1.983</f>
        <v>1159.5730374852917</v>
      </c>
      <c r="M292" s="38" t="s">
        <v>852</v>
      </c>
      <c r="N292" s="172">
        <f>(N291/N10)/1.983</f>
        <v>1287.7360792543066</v>
      </c>
      <c r="O292" s="172">
        <f>(O291/O10)/1.983</f>
        <v>1758.0601781812068</v>
      </c>
      <c r="P292" s="172">
        <f>(P291/P10)/1.983</f>
        <v>1198.2333707481332</v>
      </c>
      <c r="Q292" s="50" t="s">
        <v>852</v>
      </c>
      <c r="R292" s="38" t="s">
        <v>852</v>
      </c>
    </row>
    <row r="293" spans="1:18" ht="15.75" hidden="1" customHeight="1" x14ac:dyDescent="0.3">
      <c r="A293" s="262" t="s">
        <v>154</v>
      </c>
      <c r="B293" s="172">
        <f>(+B291+B443)+B300</f>
        <v>150911</v>
      </c>
      <c r="C293" s="172">
        <f>(+C291+C443)+C300</f>
        <v>110482</v>
      </c>
      <c r="D293" s="172">
        <f>(+D291+D443)+D300</f>
        <v>116405</v>
      </c>
      <c r="E293" s="38">
        <f>SUM(B293:D293)</f>
        <v>377798</v>
      </c>
      <c r="F293" s="172">
        <f>(+F291+F443)+F300</f>
        <v>159674</v>
      </c>
      <c r="G293" s="172">
        <f>(+G291+G443)+G300</f>
        <v>169951</v>
      </c>
      <c r="H293" s="172">
        <f>(+H291+H443)+H300</f>
        <v>82634</v>
      </c>
      <c r="I293" s="38">
        <f>SUM(F293:H293)</f>
        <v>412259</v>
      </c>
      <c r="J293" s="172">
        <f>(+J291+J443)+J300</f>
        <v>68001</v>
      </c>
      <c r="K293" s="172">
        <f>(+K291+K443)+K300</f>
        <v>59601</v>
      </c>
      <c r="L293" s="172">
        <f>(+L291+L443)+L300</f>
        <v>126596</v>
      </c>
      <c r="M293" s="38">
        <f>SUM(J293:L293)</f>
        <v>254198</v>
      </c>
      <c r="N293" s="172">
        <f>(+N291+N443)+N300</f>
        <v>130253</v>
      </c>
      <c r="O293" s="172">
        <f>(+O291+O443)+O300</f>
        <v>136932</v>
      </c>
      <c r="P293" s="172">
        <f>(+P291+P443)+P300</f>
        <v>115487</v>
      </c>
      <c r="Q293" s="50">
        <f>SUM(N293:P293)</f>
        <v>382672</v>
      </c>
      <c r="R293" s="38">
        <f>+E293+I293+M293+Q293</f>
        <v>1426927</v>
      </c>
    </row>
    <row r="294" spans="1:18" ht="16.5" hidden="1" customHeight="1" thickBot="1" x14ac:dyDescent="0.35">
      <c r="A294" s="263" t="s">
        <v>2110</v>
      </c>
      <c r="B294" s="264">
        <f>(B293/B10)/1.983</f>
        <v>2454.9151660078405</v>
      </c>
      <c r="C294" s="264">
        <f>(C293/C10)/1.983</f>
        <v>1921.1922026883683</v>
      </c>
      <c r="D294" s="264">
        <f>(D293/D10)/1.983</f>
        <v>1893.5955622793747</v>
      </c>
      <c r="E294" s="40" t="s">
        <v>852</v>
      </c>
      <c r="F294" s="264">
        <f>(F293/F10)/1.983</f>
        <v>2684.0477391158174</v>
      </c>
      <c r="G294" s="264">
        <f>(G293/G10)/1.983</f>
        <v>2764.6446407365834</v>
      </c>
      <c r="H294" s="264">
        <f>(H293/H10)/1.983</f>
        <v>1389.0401748192974</v>
      </c>
      <c r="I294" s="40" t="s">
        <v>852</v>
      </c>
      <c r="J294" s="264">
        <f>(J293/J10)/1.983</f>
        <v>1106.1929627641402</v>
      </c>
      <c r="K294" s="264">
        <f>(K293/K10)/1.983</f>
        <v>969.54760626616553</v>
      </c>
      <c r="L294" s="264">
        <f>(L293/L10)/1.983</f>
        <v>2128.0215162212135</v>
      </c>
      <c r="M294" s="40" t="s">
        <v>852</v>
      </c>
      <c r="N294" s="264">
        <f>(N293/N10)/1.983</f>
        <v>2118.865192848893</v>
      </c>
      <c r="O294" s="264">
        <f>(O293/O10)/1.983</f>
        <v>2301.7650025214321</v>
      </c>
      <c r="P294" s="264">
        <f>(P293/P10)/1.983</f>
        <v>1878.6621768906673</v>
      </c>
      <c r="Q294" s="51" t="s">
        <v>852</v>
      </c>
      <c r="R294" s="40" t="s">
        <v>852</v>
      </c>
    </row>
    <row r="295" spans="1:18" ht="16.5" hidden="1" customHeight="1" thickBot="1" x14ac:dyDescent="0.35">
      <c r="A295" s="271" t="s">
        <v>1700</v>
      </c>
      <c r="B295" s="229">
        <f>+(B293-(B138+B139+B140+B141+B143+B144+B145+B147+B148+B149+B153+B155++B159+B160+B162+B163+B165+B166+B167+B168+B169+B178+B179+B180+B191+B194+B196+B197+B204+B211+B212+B213+B214+B215+B225+B227+B228+B229+B230+B232+B233+B234+B241+B249+B250+B267+B268+B270+B271+B274+B275+B284+B288+B296)-B300)/(B10*1.983)</f>
        <v>636.42574788931722</v>
      </c>
      <c r="C295" s="229">
        <f t="shared" ref="C295:D295" si="68">+(C293-(C138+C139+C140+C141+C143+C144+C145+C147+C148+C149+C153+C155++C159+C160+C162+C163+C165+C166+C167+C168+C169+C178+C179+C180+C191+C194+C196+C197+C204+C211+C212+C213+C214+C215+C225+C227+C228+C229+C230+C232+C233+C234+C241+C249+C250+C267+C268+C270+C271+C274+C275+C284+C288+C296)-C300)/(C10*1.983)</f>
        <v>1179.0216843166918</v>
      </c>
      <c r="D295" s="229">
        <f t="shared" si="68"/>
        <v>1680.6728157077089</v>
      </c>
      <c r="E295" s="227"/>
      <c r="F295" s="229">
        <f>+(F293-(F138+F139+F140+F141+F143+F144+F145+F147+F148+F149+F153+F155++F159+F160+F162+F163+F165+F166+F167+F168+F169+F178+F179+F180+F191+F194+F196+F197+F204+F211+F212+F213+F214+F215+F225+F227+F228+F229+F230+F232+F233+F234+F241+F249+F250+F267+F268+F270+F271+F274+F275+F284+F288+F296)-F300)/(F10*1.983)</f>
        <v>1947.2348293830896</v>
      </c>
      <c r="G295" s="229">
        <f t="shared" ref="G295" si="69">+(G293-(G138+G139+G140+G141+G143+G144+G145+G147+G148+G149+G153+G155++G159+G160+G162+G163+G165+G166+G167+G168+G169+G178+G179+G180+G191+G194+G196+G197+G204+G211+G212+G213+G214+G215+G225+G227+G228+G229+G230+G232+G233+G234+G241+G249+G250+G267+G268+G270+G271+G274+G275+G284+G288+G296)-G300)/(G10*1.983)</f>
        <v>2296.9271062092298</v>
      </c>
      <c r="H295" s="229">
        <f t="shared" ref="H295" si="70">+(H293-(H138+H139+H140+H141+H143+H144+H145+H147+H148+H149+H153+H155++H159+H160+H162+H163+H165+H166+H167+H168+H169+H178+H179+H180+H191+H194+H196+H197+H204+H211+H212+H213+H214+H215+H225+H227+H228+H229+H230+H232+H233+H234+H241+H249+H250+H267+H268+H270+H271+H274+H275+H284+H288+H296)-H300)/(H10*1.983)</f>
        <v>2974.2477727349133</v>
      </c>
      <c r="I295" s="227"/>
      <c r="J295" s="229">
        <f>+(J293-(J138+J139+J140+J141+J143+J144+J145+J147+J148+J149+J153+J155++J159+J160+J162+J163+J165+J166+J167+J168+J169+J178+J179+J180+J191+J194+J196+J197+J204+J211+J212+J213+J214+J215+J225+J227+J228+J229+J230+J232+J233+J234+J241+J249+J250+J267+J268+J270+J271+J274+J275+J284+J288+J296)-J300)/(J10*1.983)</f>
        <v>2785.9222748198395</v>
      </c>
      <c r="K295" s="229">
        <f t="shared" ref="K295" si="71">+(K293-(K138+K139+K140+K141+K143+K144+K145+K147+K148+K149+K153+K155++K159+K160+K162+K163+K165+K166+K167+K168+K169+K178+K179+K180+K191+K194+K196+K197+K204+K211+K212+K213+K214+K215+K225+K227+K228+K229+K230+K232+K233+K234+K241+K249+K250+K267+K268+K270+K271+K274+K275+K284+K288+K296)-K300)/(K10*1.983)</f>
        <v>2243.8468921315048</v>
      </c>
      <c r="L295" s="229">
        <f t="shared" ref="L295" si="72">+(L293-(L138+L139+L140+L141+L143+L144+L145+L147+L148+L149+L153+L155++L159+L160+L162+L163+L165+L166+L167+L168+L169+L178+L179+L180+L191+L194+L196+L197+L204+L211+L212+L213+L214+L215+L225+L227+L228+L229+L230+L232+L233+L234+L241+L249+L250+L267+L268+L270+L271+L274+L275+L284+L288+L296)-L300)/(L10*1.983)</f>
        <v>1991.6456547318876</v>
      </c>
      <c r="M295" s="227"/>
      <c r="N295" s="229">
        <f>+(N293-(N138+N139+N140+N141+N143+N144+N145+N147+N148+N149+N153+N155++N159+N160+N162+N163+N165+N166+N167+N168+N169+N178+N179+N180+N191+N194+N196+N197+N204+N211+N212+N213+N214+N215+N225+N227+N228+N229+N230+N232+N233+N234+N241+N249+N250+N267+N268+N270+N271+N274+N275+N284+N288+N296)-N300)/(N10*1.983)</f>
        <v>1341.9224700274915</v>
      </c>
      <c r="O295" s="229">
        <f t="shared" ref="O295" si="73">+(O293-(O138+O139+O140+O141+O143+O144+O145+O147+O148+O149+O153+O155++O159+O160+O162+O163+O165+O166+O167+O168+O169+O178+O179+O180+O191+O194+O196+O197+O204+O211+O212+O213+O214+O215+O225+O227+O228+O229+O230+O232+O233+O234+O241+O249+O250+O267+O268+O270+O271+O274+O275+O284+O288+O296)-O300)/(O10*1.983)</f>
        <v>915.81778450159686</v>
      </c>
      <c r="P295" s="229">
        <f t="shared" ref="P295" si="74">+(P293-(P138+P139+P140+P141+P143+P144+P145+P147+P148+P149+P153+P155++P159+P160+P162+P163+P165+P166+P167+P168+P169+P178+P179+P180+P191+P194+P196+P197+P204+P211+P212+P213+P214+P215+P225+P227+P228+P229+P230+P232+P233+P234+P241+P249+P250+P267+P268+P270+P271+P274+P275+P284+P288+P296)-P300)/(P10*1.983)</f>
        <v>922.69776975257423</v>
      </c>
      <c r="Q295" s="228"/>
      <c r="R295" s="227"/>
    </row>
    <row r="296" spans="1:18" ht="15.75" hidden="1" customHeight="1" x14ac:dyDescent="0.3">
      <c r="A296" s="541" t="s">
        <v>2272</v>
      </c>
      <c r="B296" s="172">
        <v>1798</v>
      </c>
      <c r="C296" s="172">
        <v>3399</v>
      </c>
      <c r="D296" s="172">
        <v>4347</v>
      </c>
      <c r="E296" s="172"/>
      <c r="F296" s="172">
        <v>2298</v>
      </c>
      <c r="G296" s="172">
        <v>2798</v>
      </c>
      <c r="H296" s="172">
        <v>2798</v>
      </c>
      <c r="I296" s="172"/>
      <c r="J296" s="172">
        <v>2698</v>
      </c>
      <c r="K296" s="172">
        <v>2798</v>
      </c>
      <c r="L296" s="172">
        <v>2598</v>
      </c>
      <c r="M296" s="172"/>
      <c r="N296" s="172">
        <v>2697</v>
      </c>
      <c r="O296" s="172">
        <v>2398</v>
      </c>
      <c r="P296" s="172">
        <v>2098</v>
      </c>
      <c r="Q296" s="172"/>
      <c r="R296" s="17"/>
    </row>
    <row r="297" spans="1:18" ht="15.75" hidden="1" customHeight="1" thickBot="1" x14ac:dyDescent="0.35">
      <c r="A297" s="18"/>
      <c r="B297" s="172"/>
      <c r="C297" s="172"/>
      <c r="D297" s="172"/>
      <c r="E297" s="172"/>
      <c r="F297" s="172"/>
      <c r="G297" s="172"/>
      <c r="H297" s="172"/>
      <c r="I297" s="172"/>
      <c r="J297" s="172"/>
      <c r="K297" s="172"/>
      <c r="L297" s="172"/>
      <c r="M297" s="172"/>
      <c r="N297" s="172"/>
      <c r="O297" s="172"/>
      <c r="P297" s="172"/>
      <c r="Q297" s="172"/>
      <c r="R297" s="17"/>
    </row>
    <row r="298" spans="1:18" ht="16.5" hidden="1" customHeight="1" thickBot="1" x14ac:dyDescent="0.35">
      <c r="A298" s="240" t="s">
        <v>1754</v>
      </c>
      <c r="B298" s="4" t="s">
        <v>2090</v>
      </c>
      <c r="C298" s="5" t="s">
        <v>2091</v>
      </c>
      <c r="D298" s="5" t="s">
        <v>2234</v>
      </c>
      <c r="E298" s="33" t="s">
        <v>1594</v>
      </c>
      <c r="F298" s="5" t="s">
        <v>2235</v>
      </c>
      <c r="G298" s="5" t="s">
        <v>2236</v>
      </c>
      <c r="H298" s="5" t="s">
        <v>2237</v>
      </c>
      <c r="I298" s="35" t="s">
        <v>1595</v>
      </c>
      <c r="J298" s="5" t="s">
        <v>1504</v>
      </c>
      <c r="K298" s="5" t="s">
        <v>1505</v>
      </c>
      <c r="L298" s="5" t="s">
        <v>1506</v>
      </c>
      <c r="M298" s="35" t="s">
        <v>1596</v>
      </c>
      <c r="N298" s="5" t="s">
        <v>1507</v>
      </c>
      <c r="O298" s="5" t="s">
        <v>1508</v>
      </c>
      <c r="P298" s="5" t="s">
        <v>1509</v>
      </c>
      <c r="Q298" s="35" t="s">
        <v>1597</v>
      </c>
      <c r="R298" s="36" t="s">
        <v>1510</v>
      </c>
    </row>
    <row r="299" spans="1:18" ht="16.5" hidden="1" customHeight="1" thickBot="1" x14ac:dyDescent="0.35">
      <c r="A299" s="44"/>
      <c r="B299" s="258"/>
      <c r="C299" s="258"/>
      <c r="D299" s="258"/>
      <c r="E299" s="265"/>
      <c r="F299" s="258"/>
      <c r="G299" s="258"/>
      <c r="H299" s="258"/>
      <c r="I299" s="265"/>
      <c r="J299" s="258"/>
      <c r="K299" s="258"/>
      <c r="L299" s="258"/>
      <c r="M299" s="265"/>
      <c r="N299" s="258"/>
      <c r="O299" s="258"/>
      <c r="P299" s="258"/>
      <c r="Q299" s="265"/>
      <c r="R299" s="52"/>
    </row>
    <row r="300" spans="1:18" ht="15.75" hidden="1" customHeight="1" thickBot="1" x14ac:dyDescent="0.35">
      <c r="A300" s="266" t="s">
        <v>1000</v>
      </c>
      <c r="B300" s="172"/>
      <c r="C300" s="172"/>
      <c r="D300" s="172">
        <v>-10501</v>
      </c>
      <c r="E300" s="38">
        <f>SUM(B300:D300)</f>
        <v>-10501</v>
      </c>
      <c r="F300" s="172"/>
      <c r="G300" s="172"/>
      <c r="H300" s="172">
        <v>-112673</v>
      </c>
      <c r="I300" s="38">
        <f>SUM(F300:H300)</f>
        <v>-112673</v>
      </c>
      <c r="J300" s="356">
        <v>-119947</v>
      </c>
      <c r="K300" s="172">
        <v>-87736</v>
      </c>
      <c r="L300" s="356">
        <v>-22496</v>
      </c>
      <c r="M300" s="38">
        <f>SUM(J300:L300)</f>
        <v>-230179</v>
      </c>
      <c r="N300" s="172">
        <v>-1165</v>
      </c>
      <c r="O300" s="172"/>
      <c r="P300" s="172"/>
      <c r="Q300" s="38">
        <f>SUM(N300:P300)</f>
        <v>-1165</v>
      </c>
      <c r="R300" s="38">
        <f>+E300+I300+M300+Q300</f>
        <v>-354518</v>
      </c>
    </row>
    <row r="301" spans="1:18" ht="16.5" hidden="1" customHeight="1" thickBot="1" x14ac:dyDescent="0.35">
      <c r="A301" s="272"/>
      <c r="B301" s="273"/>
      <c r="C301" s="273"/>
      <c r="D301" s="273"/>
      <c r="E301" s="53"/>
      <c r="F301" s="273"/>
      <c r="G301" s="273"/>
      <c r="H301" s="273"/>
      <c r="I301" s="53"/>
      <c r="J301" s="273"/>
      <c r="K301" s="273"/>
      <c r="L301" s="273"/>
      <c r="M301" s="53"/>
      <c r="N301" s="273"/>
      <c r="O301" s="273"/>
      <c r="P301" s="273"/>
      <c r="Q301" s="53"/>
      <c r="R301" s="54"/>
    </row>
    <row r="302" spans="1:18" ht="15.75" hidden="1" customHeight="1" x14ac:dyDescent="0.3">
      <c r="A302" s="234" t="s">
        <v>662</v>
      </c>
      <c r="B302" s="172">
        <f>B300</f>
        <v>0</v>
      </c>
      <c r="C302" s="172">
        <f>C300</f>
        <v>0</v>
      </c>
      <c r="D302" s="172">
        <f>D300</f>
        <v>-10501</v>
      </c>
      <c r="E302" s="38">
        <f>SUM(B302:D302)</f>
        <v>-10501</v>
      </c>
      <c r="F302" s="172">
        <f>F300</f>
        <v>0</v>
      </c>
      <c r="G302" s="172">
        <f>G300</f>
        <v>0</v>
      </c>
      <c r="H302" s="172">
        <f>H300</f>
        <v>-112673</v>
      </c>
      <c r="I302" s="38">
        <f>SUM(F302:H302)</f>
        <v>-112673</v>
      </c>
      <c r="J302" s="172">
        <f>J300</f>
        <v>-119947</v>
      </c>
      <c r="K302" s="172">
        <f>K300</f>
        <v>-87736</v>
      </c>
      <c r="L302" s="172">
        <f>L300</f>
        <v>-22496</v>
      </c>
      <c r="M302" s="38">
        <f>SUM(J302:L302)</f>
        <v>-230179</v>
      </c>
      <c r="N302" s="172">
        <f>N300</f>
        <v>-1165</v>
      </c>
      <c r="O302" s="172">
        <f>O300</f>
        <v>0</v>
      </c>
      <c r="P302" s="172">
        <f>P300</f>
        <v>0</v>
      </c>
      <c r="Q302" s="38">
        <f>SUM(N302:P302)</f>
        <v>-1165</v>
      </c>
      <c r="R302" s="55">
        <f>R300</f>
        <v>-354518</v>
      </c>
    </row>
    <row r="303" spans="1:18" ht="16.5" hidden="1" customHeight="1" thickBot="1" x14ac:dyDescent="0.35">
      <c r="A303" s="237" t="s">
        <v>1897</v>
      </c>
      <c r="B303" s="238">
        <f>(B302/B10)/1.983</f>
        <v>0</v>
      </c>
      <c r="C303" s="238">
        <f>(C302/C10)/1.983</f>
        <v>0</v>
      </c>
      <c r="D303" s="238">
        <f>(D302/D10)/1.983</f>
        <v>-170.8229629268134</v>
      </c>
      <c r="E303" s="40"/>
      <c r="F303" s="238">
        <f>(F302/F10)/1.983</f>
        <v>0</v>
      </c>
      <c r="G303" s="238">
        <f>(G302/G10)/1.983</f>
        <v>0</v>
      </c>
      <c r="H303" s="238">
        <f>(H302/H10)/1.983</f>
        <v>-1893.9821818793075</v>
      </c>
      <c r="I303" s="40"/>
      <c r="J303" s="238">
        <f>(J302/J10)/1.983</f>
        <v>-1951.2143542693541</v>
      </c>
      <c r="K303" s="238">
        <f>(K302/K10)/1.983</f>
        <v>-1427.2282140126558</v>
      </c>
      <c r="L303" s="238">
        <f>(L302/L10)/1.983</f>
        <v>-378.14758782988736</v>
      </c>
      <c r="M303" s="40"/>
      <c r="N303" s="238">
        <f>(N302/N10)/1.983</f>
        <v>-18.951409561921491</v>
      </c>
      <c r="O303" s="238">
        <f>(O302/O10)/1.983</f>
        <v>0</v>
      </c>
      <c r="P303" s="238">
        <f>(P302/P10)/1.983</f>
        <v>0</v>
      </c>
      <c r="Q303" s="40"/>
      <c r="R303" s="52" t="s">
        <v>852</v>
      </c>
    </row>
    <row r="304" spans="1:18" ht="15.75" hidden="1" customHeight="1" x14ac:dyDescent="0.3">
      <c r="A304" s="17"/>
      <c r="B304" s="172"/>
      <c r="C304" s="172"/>
      <c r="D304" s="172"/>
      <c r="E304" s="172"/>
      <c r="F304" s="172"/>
      <c r="G304" s="172"/>
      <c r="H304" s="172"/>
      <c r="I304" s="172"/>
      <c r="J304" s="172"/>
      <c r="K304" s="172"/>
      <c r="L304" s="172"/>
      <c r="M304" s="172"/>
      <c r="N304" s="172"/>
      <c r="O304" s="172"/>
      <c r="P304" s="172"/>
      <c r="Q304" s="172"/>
      <c r="R304" s="17"/>
    </row>
    <row r="305" spans="1:20" ht="16.5" hidden="1" customHeight="1" thickBot="1" x14ac:dyDescent="0.35">
      <c r="A305" s="24"/>
      <c r="B305" s="238"/>
      <c r="C305" s="238"/>
      <c r="D305" s="238"/>
      <c r="E305" s="238"/>
      <c r="F305" s="238"/>
      <c r="G305" s="238"/>
      <c r="H305" s="238"/>
      <c r="I305" s="238"/>
      <c r="J305" s="238"/>
      <c r="K305" s="238"/>
      <c r="L305" s="238"/>
      <c r="M305" s="238"/>
      <c r="N305" s="238"/>
      <c r="O305" s="238"/>
      <c r="P305" s="238"/>
      <c r="Q305" s="238"/>
      <c r="R305" s="24"/>
    </row>
    <row r="306" spans="1:20" ht="16.5" hidden="1" customHeight="1" thickBot="1" x14ac:dyDescent="0.35">
      <c r="A306" s="274" t="s">
        <v>89</v>
      </c>
      <c r="B306" s="4" t="s">
        <v>2090</v>
      </c>
      <c r="C306" s="5" t="s">
        <v>2091</v>
      </c>
      <c r="D306" s="5" t="s">
        <v>2234</v>
      </c>
      <c r="E306" s="33" t="s">
        <v>1594</v>
      </c>
      <c r="F306" s="5" t="s">
        <v>2235</v>
      </c>
      <c r="G306" s="5" t="s">
        <v>2236</v>
      </c>
      <c r="H306" s="5" t="s">
        <v>2237</v>
      </c>
      <c r="I306" s="35" t="s">
        <v>1595</v>
      </c>
      <c r="J306" s="5" t="s">
        <v>1504</v>
      </c>
      <c r="K306" s="5" t="s">
        <v>1505</v>
      </c>
      <c r="L306" s="5" t="s">
        <v>1506</v>
      </c>
      <c r="M306" s="35" t="s">
        <v>1596</v>
      </c>
      <c r="N306" s="5" t="s">
        <v>1507</v>
      </c>
      <c r="O306" s="5" t="s">
        <v>1508</v>
      </c>
      <c r="P306" s="5" t="s">
        <v>1509</v>
      </c>
      <c r="Q306" s="35" t="s">
        <v>1597</v>
      </c>
      <c r="R306" s="36" t="s">
        <v>1510</v>
      </c>
    </row>
    <row r="307" spans="1:20" ht="16.5" hidden="1" customHeight="1" thickBot="1" x14ac:dyDescent="0.35">
      <c r="A307" s="37"/>
      <c r="B307" s="258"/>
      <c r="C307" s="258"/>
      <c r="D307" s="258"/>
      <c r="E307" s="254"/>
      <c r="F307" s="258"/>
      <c r="G307" s="258"/>
      <c r="H307" s="258"/>
      <c r="I307" s="265"/>
      <c r="J307" s="258"/>
      <c r="K307" s="258"/>
      <c r="L307" s="258"/>
      <c r="M307" s="265"/>
      <c r="N307" s="258"/>
      <c r="O307" s="258"/>
      <c r="P307" s="258"/>
      <c r="Q307" s="265"/>
      <c r="R307" s="55"/>
    </row>
    <row r="308" spans="1:20" ht="15.75" hidden="1" customHeight="1" x14ac:dyDescent="0.3">
      <c r="A308" s="234" t="s">
        <v>2417</v>
      </c>
      <c r="B308" s="172" t="s">
        <v>852</v>
      </c>
      <c r="C308" s="172" t="s">
        <v>852</v>
      </c>
      <c r="D308" s="172" t="s">
        <v>852</v>
      </c>
      <c r="E308" s="38" t="s">
        <v>852</v>
      </c>
      <c r="F308" s="172" t="s">
        <v>852</v>
      </c>
      <c r="G308" s="172" t="s">
        <v>852</v>
      </c>
      <c r="H308" s="172" t="s">
        <v>852</v>
      </c>
      <c r="I308" s="38" t="s">
        <v>852</v>
      </c>
      <c r="J308" s="172" t="s">
        <v>852</v>
      </c>
      <c r="K308" s="172" t="s">
        <v>852</v>
      </c>
      <c r="L308" s="172" t="s">
        <v>852</v>
      </c>
      <c r="M308" s="38" t="s">
        <v>852</v>
      </c>
      <c r="N308" s="172" t="s">
        <v>852</v>
      </c>
      <c r="O308" s="172" t="s">
        <v>852</v>
      </c>
      <c r="P308" s="172" t="s">
        <v>852</v>
      </c>
      <c r="Q308" s="38" t="s">
        <v>852</v>
      </c>
      <c r="R308" s="39" t="s">
        <v>852</v>
      </c>
    </row>
    <row r="309" spans="1:20" ht="15.75" hidden="1" customHeight="1" x14ac:dyDescent="0.3">
      <c r="A309" s="234" t="s">
        <v>2160</v>
      </c>
      <c r="B309" s="172"/>
      <c r="C309" s="172"/>
      <c r="D309" s="172"/>
      <c r="E309" s="38" t="s">
        <v>852</v>
      </c>
      <c r="F309" s="172"/>
      <c r="G309" s="172"/>
      <c r="H309" s="172"/>
      <c r="I309" s="38" t="s">
        <v>852</v>
      </c>
      <c r="J309" s="172"/>
      <c r="K309" s="172"/>
      <c r="L309" s="172"/>
      <c r="M309" s="38" t="s">
        <v>852</v>
      </c>
      <c r="N309" s="172"/>
      <c r="O309" s="172"/>
      <c r="P309" s="172"/>
      <c r="Q309" s="38" t="s">
        <v>852</v>
      </c>
      <c r="R309" s="38" t="s">
        <v>852</v>
      </c>
    </row>
    <row r="310" spans="1:20" ht="15.75" hidden="1" customHeight="1" x14ac:dyDescent="0.3">
      <c r="A310" s="410" t="s">
        <v>2869</v>
      </c>
      <c r="B310" s="172">
        <v>1</v>
      </c>
      <c r="C310" s="275">
        <v>1</v>
      </c>
      <c r="D310" s="172">
        <v>1</v>
      </c>
      <c r="E310" s="38">
        <f t="shared" ref="E310:E334" si="75">SUM(B310:D310)</f>
        <v>3</v>
      </c>
      <c r="F310" s="356">
        <v>1</v>
      </c>
      <c r="G310" s="172">
        <v>1</v>
      </c>
      <c r="H310" s="172">
        <v>1</v>
      </c>
      <c r="I310" s="38">
        <f t="shared" ref="I310:I334" si="76">SUM(F310:H310)</f>
        <v>3</v>
      </c>
      <c r="J310" s="172">
        <v>51</v>
      </c>
      <c r="K310" s="172">
        <v>1</v>
      </c>
      <c r="L310" s="172">
        <v>91</v>
      </c>
      <c r="M310" s="38">
        <f t="shared" ref="M310:M334" si="77">SUM(J310:L310)</f>
        <v>143</v>
      </c>
      <c r="N310" s="172">
        <v>109</v>
      </c>
      <c r="O310" s="172">
        <v>95</v>
      </c>
      <c r="P310" s="172">
        <v>101</v>
      </c>
      <c r="Q310" s="38">
        <f t="shared" ref="Q310:Q334" si="78">SUM(N310:P310)</f>
        <v>305</v>
      </c>
      <c r="R310" s="38">
        <f t="shared" ref="R310:R334" si="79">+E310+I310+M310+Q310</f>
        <v>454</v>
      </c>
      <c r="T310" t="s">
        <v>2870</v>
      </c>
    </row>
    <row r="311" spans="1:20" ht="15.75" hidden="1" customHeight="1" x14ac:dyDescent="0.3">
      <c r="A311" s="410" t="s">
        <v>2993</v>
      </c>
      <c r="B311" s="172"/>
      <c r="C311" s="275"/>
      <c r="D311" s="172"/>
      <c r="E311" s="38">
        <f t="shared" si="75"/>
        <v>0</v>
      </c>
      <c r="F311" s="172"/>
      <c r="G311" s="172"/>
      <c r="H311" s="172"/>
      <c r="I311" s="38">
        <f t="shared" si="76"/>
        <v>0</v>
      </c>
      <c r="J311" s="172"/>
      <c r="K311" s="172"/>
      <c r="L311" s="172">
        <v>250</v>
      </c>
      <c r="M311" s="38">
        <f t="shared" si="77"/>
        <v>250</v>
      </c>
      <c r="N311" s="172"/>
      <c r="O311" s="172"/>
      <c r="P311" s="172"/>
      <c r="Q311" s="38">
        <f t="shared" si="78"/>
        <v>0</v>
      </c>
      <c r="R311" s="38">
        <f t="shared" si="79"/>
        <v>250</v>
      </c>
    </row>
    <row r="312" spans="1:20" ht="15.75" hidden="1" customHeight="1" x14ac:dyDescent="0.3">
      <c r="A312" s="410" t="s">
        <v>349</v>
      </c>
      <c r="B312" s="172">
        <v>31</v>
      </c>
      <c r="C312" s="172">
        <v>54</v>
      </c>
      <c r="D312" s="172">
        <v>188</v>
      </c>
      <c r="E312" s="38">
        <f t="shared" si="75"/>
        <v>273</v>
      </c>
      <c r="F312" s="172">
        <v>157</v>
      </c>
      <c r="G312" s="172">
        <v>271</v>
      </c>
      <c r="H312" s="172">
        <v>273</v>
      </c>
      <c r="I312" s="38">
        <f t="shared" si="76"/>
        <v>701</v>
      </c>
      <c r="J312" s="172">
        <v>318</v>
      </c>
      <c r="K312" s="172">
        <v>193</v>
      </c>
      <c r="L312" s="172">
        <v>152</v>
      </c>
      <c r="M312" s="38">
        <f t="shared" si="77"/>
        <v>663</v>
      </c>
      <c r="N312" s="172">
        <v>137</v>
      </c>
      <c r="O312" s="172">
        <v>85</v>
      </c>
      <c r="P312" s="172">
        <v>57</v>
      </c>
      <c r="Q312" s="38">
        <f t="shared" si="78"/>
        <v>279</v>
      </c>
      <c r="R312" s="38">
        <f t="shared" si="79"/>
        <v>1916</v>
      </c>
      <c r="T312" t="s">
        <v>2174</v>
      </c>
    </row>
    <row r="313" spans="1:20" ht="15.75" hidden="1" customHeight="1" x14ac:dyDescent="0.3">
      <c r="A313" s="410" t="s">
        <v>3065</v>
      </c>
      <c r="B313" s="172"/>
      <c r="C313" s="172"/>
      <c r="D313" s="172"/>
      <c r="E313" s="38">
        <f t="shared" si="75"/>
        <v>0</v>
      </c>
      <c r="F313" s="172"/>
      <c r="G313" s="172"/>
      <c r="H313" s="172"/>
      <c r="I313" s="38">
        <f t="shared" si="76"/>
        <v>0</v>
      </c>
      <c r="J313" s="172"/>
      <c r="K313" s="172"/>
      <c r="L313" s="172"/>
      <c r="M313" s="38">
        <f t="shared" si="77"/>
        <v>0</v>
      </c>
      <c r="N313" s="172"/>
      <c r="O313" s="172">
        <v>400</v>
      </c>
      <c r="P313" s="172"/>
      <c r="Q313" s="38">
        <f t="shared" si="78"/>
        <v>400</v>
      </c>
      <c r="R313" s="38">
        <f t="shared" si="79"/>
        <v>400</v>
      </c>
      <c r="T313" t="s">
        <v>2776</v>
      </c>
    </row>
    <row r="314" spans="1:20" ht="15.75" customHeight="1" x14ac:dyDescent="0.3">
      <c r="A314" s="410" t="s">
        <v>2983</v>
      </c>
      <c r="B314" s="172"/>
      <c r="C314" s="172"/>
      <c r="D314" s="172"/>
      <c r="E314" s="38">
        <f>SUM(B314:D314)</f>
        <v>0</v>
      </c>
      <c r="F314" s="172">
        <v>2500</v>
      </c>
      <c r="G314" s="172"/>
      <c r="H314" s="172"/>
      <c r="I314" s="38">
        <f>SUM(F314:H314)</f>
        <v>2500</v>
      </c>
      <c r="J314" s="172"/>
      <c r="K314" s="172"/>
      <c r="L314" s="172"/>
      <c r="M314" s="38">
        <f>SUM(J314:L314)</f>
        <v>0</v>
      </c>
      <c r="N314" s="172"/>
      <c r="O314" s="172"/>
      <c r="P314" s="172"/>
      <c r="Q314" s="38">
        <f>SUM(N314:P314)</f>
        <v>0</v>
      </c>
      <c r="R314" s="38">
        <f t="shared" si="79"/>
        <v>2500</v>
      </c>
      <c r="T314" t="s">
        <v>2174</v>
      </c>
    </row>
    <row r="315" spans="1:20" ht="15.75" hidden="1" customHeight="1" x14ac:dyDescent="0.3">
      <c r="A315" s="410" t="s">
        <v>3066</v>
      </c>
      <c r="B315" s="172"/>
      <c r="C315" s="172"/>
      <c r="D315" s="172"/>
      <c r="E315" s="38">
        <f>SUM(B315:D315)</f>
        <v>0</v>
      </c>
      <c r="F315" s="172"/>
      <c r="G315" s="172"/>
      <c r="H315" s="172"/>
      <c r="I315" s="38">
        <f>SUM(F315:H315)</f>
        <v>0</v>
      </c>
      <c r="J315" s="172"/>
      <c r="K315" s="172"/>
      <c r="L315" s="172"/>
      <c r="M315" s="38">
        <f>SUM(J315:L315)</f>
        <v>0</v>
      </c>
      <c r="N315" s="172"/>
      <c r="O315" s="172">
        <v>600</v>
      </c>
      <c r="P315" s="172"/>
      <c r="Q315" s="38">
        <f>SUM(N315:P315)</f>
        <v>600</v>
      </c>
      <c r="R315" s="38">
        <f t="shared" si="79"/>
        <v>600</v>
      </c>
      <c r="T315" t="s">
        <v>2776</v>
      </c>
    </row>
    <row r="316" spans="1:20" ht="15.75" hidden="1" customHeight="1" x14ac:dyDescent="0.3">
      <c r="A316" s="410" t="s">
        <v>2873</v>
      </c>
      <c r="B316" s="172">
        <v>103</v>
      </c>
      <c r="C316" s="172">
        <v>193</v>
      </c>
      <c r="D316" s="172">
        <v>208</v>
      </c>
      <c r="E316" s="38">
        <f>SUM(B316:D316)</f>
        <v>504</v>
      </c>
      <c r="F316" s="172">
        <v>241</v>
      </c>
      <c r="G316" s="172">
        <v>390</v>
      </c>
      <c r="H316" s="172">
        <v>429</v>
      </c>
      <c r="I316" s="38">
        <f>SUM(F316:H316)</f>
        <v>1060</v>
      </c>
      <c r="J316" s="172">
        <v>395</v>
      </c>
      <c r="K316" s="172">
        <v>320</v>
      </c>
      <c r="L316" s="172">
        <v>295</v>
      </c>
      <c r="M316" s="38">
        <f>SUM(J316:L316)</f>
        <v>1010</v>
      </c>
      <c r="N316" s="172">
        <v>458</v>
      </c>
      <c r="O316" s="172">
        <v>156</v>
      </c>
      <c r="P316" s="172">
        <v>106</v>
      </c>
      <c r="Q316" s="38">
        <f>SUM(N316:P316)</f>
        <v>720</v>
      </c>
      <c r="R316" s="38">
        <f>+E316+I316+M316+Q316</f>
        <v>3294</v>
      </c>
      <c r="T316" t="s">
        <v>2871</v>
      </c>
    </row>
    <row r="317" spans="1:20" ht="15.75" hidden="1" customHeight="1" x14ac:dyDescent="0.3">
      <c r="A317" s="410" t="s">
        <v>3045</v>
      </c>
      <c r="B317" s="172"/>
      <c r="C317" s="172"/>
      <c r="D317" s="172"/>
      <c r="E317" s="38">
        <f>SUM(B317:D317)</f>
        <v>0</v>
      </c>
      <c r="F317" s="172"/>
      <c r="G317" s="172"/>
      <c r="H317" s="172"/>
      <c r="I317" s="38">
        <f>SUM(F317:H317)</f>
        <v>0</v>
      </c>
      <c r="J317" s="172"/>
      <c r="K317" s="172"/>
      <c r="L317" s="172">
        <v>529</v>
      </c>
      <c r="M317" s="38">
        <f>SUM(J317:L317)</f>
        <v>529</v>
      </c>
      <c r="N317" s="172">
        <v>1071</v>
      </c>
      <c r="O317" s="172"/>
      <c r="P317" s="172"/>
      <c r="Q317" s="38">
        <f>SUM(N317:P317)</f>
        <v>1071</v>
      </c>
      <c r="R317" s="38">
        <f>+E317+I317+M317+Q317</f>
        <v>1600</v>
      </c>
      <c r="T317" t="s">
        <v>2178</v>
      </c>
    </row>
    <row r="318" spans="1:20" ht="15.75" hidden="1" customHeight="1" x14ac:dyDescent="0.3">
      <c r="A318" s="410" t="s">
        <v>3037</v>
      </c>
      <c r="B318" s="172"/>
      <c r="C318" s="172"/>
      <c r="D318" s="172"/>
      <c r="E318" s="38">
        <f>SUM(B318:D318)</f>
        <v>0</v>
      </c>
      <c r="F318" s="172"/>
      <c r="G318" s="172">
        <v>315</v>
      </c>
      <c r="H318" s="172"/>
      <c r="I318" s="38">
        <f>SUM(F318:H318)</f>
        <v>315</v>
      </c>
      <c r="J318" s="172"/>
      <c r="K318" s="172"/>
      <c r="L318" s="172"/>
      <c r="M318" s="38">
        <f>SUM(J318:L318)</f>
        <v>0</v>
      </c>
      <c r="N318" s="172"/>
      <c r="O318" s="172"/>
      <c r="P318" s="172"/>
      <c r="Q318" s="38">
        <f>SUM(N318:P318)</f>
        <v>0</v>
      </c>
      <c r="R318" s="38">
        <f>+E318+I318+M318+Q318</f>
        <v>315</v>
      </c>
    </row>
    <row r="319" spans="1:20" ht="15.75" hidden="1" customHeight="1" x14ac:dyDescent="0.3">
      <c r="A319" s="410" t="s">
        <v>2743</v>
      </c>
      <c r="B319" s="172">
        <v>28</v>
      </c>
      <c r="C319" s="172">
        <v>1000</v>
      </c>
      <c r="D319" s="172">
        <v>1900</v>
      </c>
      <c r="E319" s="38">
        <f t="shared" si="75"/>
        <v>2928</v>
      </c>
      <c r="F319" s="172"/>
      <c r="G319" s="172"/>
      <c r="H319" s="172"/>
      <c r="I319" s="38">
        <f t="shared" si="76"/>
        <v>0</v>
      </c>
      <c r="J319" s="172"/>
      <c r="K319" s="172"/>
      <c r="L319" s="172"/>
      <c r="M319" s="38">
        <f t="shared" si="77"/>
        <v>0</v>
      </c>
      <c r="N319" s="172"/>
      <c r="O319" s="172"/>
      <c r="P319" s="172"/>
      <c r="Q319" s="38">
        <f t="shared" si="78"/>
        <v>0</v>
      </c>
      <c r="R319" s="38">
        <f t="shared" si="79"/>
        <v>2928</v>
      </c>
      <c r="T319" t="s">
        <v>1358</v>
      </c>
    </row>
    <row r="320" spans="1:20" ht="15.75" hidden="1" customHeight="1" x14ac:dyDescent="0.3">
      <c r="A320" s="410" t="s">
        <v>2744</v>
      </c>
      <c r="B320" s="10"/>
      <c r="C320" s="10"/>
      <c r="D320" s="10"/>
      <c r="E320" s="38">
        <f t="shared" si="75"/>
        <v>0</v>
      </c>
      <c r="F320" s="10"/>
      <c r="G320" s="10"/>
      <c r="H320" s="10">
        <v>1118</v>
      </c>
      <c r="I320" s="38">
        <f t="shared" si="76"/>
        <v>1118</v>
      </c>
      <c r="J320" s="10">
        <v>1153</v>
      </c>
      <c r="K320" s="10">
        <v>1154</v>
      </c>
      <c r="L320" s="10">
        <v>1125</v>
      </c>
      <c r="M320" s="38">
        <f t="shared" si="77"/>
        <v>3432</v>
      </c>
      <c r="N320" s="10">
        <v>390</v>
      </c>
      <c r="O320" s="10">
        <v>610</v>
      </c>
      <c r="P320" s="10">
        <v>1143</v>
      </c>
      <c r="Q320" s="38">
        <f t="shared" si="78"/>
        <v>2143</v>
      </c>
      <c r="R320" s="38">
        <f t="shared" si="79"/>
        <v>6693</v>
      </c>
      <c r="T320" t="s">
        <v>2780</v>
      </c>
    </row>
    <row r="321" spans="1:20" ht="15.75" customHeight="1" x14ac:dyDescent="0.3">
      <c r="A321" s="410" t="s">
        <v>2608</v>
      </c>
      <c r="B321" s="172">
        <v>16</v>
      </c>
      <c r="C321" s="172">
        <v>28</v>
      </c>
      <c r="D321" s="172">
        <v>46</v>
      </c>
      <c r="E321" s="38">
        <f t="shared" si="75"/>
        <v>90</v>
      </c>
      <c r="F321" s="172">
        <v>27</v>
      </c>
      <c r="G321" s="172">
        <v>8</v>
      </c>
      <c r="H321" s="172">
        <f>1600+21</f>
        <v>1621</v>
      </c>
      <c r="I321" s="38">
        <f t="shared" si="76"/>
        <v>1656</v>
      </c>
      <c r="J321" s="172">
        <v>11</v>
      </c>
      <c r="K321" s="172">
        <v>14</v>
      </c>
      <c r="L321" s="172">
        <v>11</v>
      </c>
      <c r="M321" s="38">
        <f t="shared" si="77"/>
        <v>36</v>
      </c>
      <c r="N321" s="172"/>
      <c r="O321" s="172"/>
      <c r="P321" s="172">
        <v>10</v>
      </c>
      <c r="Q321" s="38">
        <f t="shared" si="78"/>
        <v>10</v>
      </c>
      <c r="R321" s="38">
        <f t="shared" si="79"/>
        <v>1792</v>
      </c>
      <c r="T321" t="s">
        <v>2174</v>
      </c>
    </row>
    <row r="322" spans="1:20" ht="15.75" customHeight="1" x14ac:dyDescent="0.3">
      <c r="A322" s="410" t="s">
        <v>2607</v>
      </c>
      <c r="B322" s="172"/>
      <c r="C322" s="172"/>
      <c r="D322" s="172"/>
      <c r="E322" s="38">
        <f t="shared" si="75"/>
        <v>0</v>
      </c>
      <c r="F322" s="172"/>
      <c r="G322" s="172"/>
      <c r="H322" s="172">
        <v>2048</v>
      </c>
      <c r="I322" s="38">
        <f t="shared" si="76"/>
        <v>2048</v>
      </c>
      <c r="J322" s="172"/>
      <c r="K322" s="172"/>
      <c r="L322" s="172"/>
      <c r="M322" s="38">
        <f t="shared" si="77"/>
        <v>0</v>
      </c>
      <c r="N322" s="172"/>
      <c r="O322" s="172"/>
      <c r="P322" s="172"/>
      <c r="Q322" s="38">
        <f t="shared" si="78"/>
        <v>0</v>
      </c>
      <c r="R322" s="38">
        <f t="shared" si="79"/>
        <v>2048</v>
      </c>
      <c r="T322" t="s">
        <v>2174</v>
      </c>
    </row>
    <row r="323" spans="1:20" ht="15.75" hidden="1" customHeight="1" x14ac:dyDescent="0.3">
      <c r="A323" s="410" t="s">
        <v>2692</v>
      </c>
      <c r="B323" s="172">
        <v>1000</v>
      </c>
      <c r="C323" s="172"/>
      <c r="D323" s="172"/>
      <c r="E323" s="38">
        <f>SUM(B323:D323)</f>
        <v>1000</v>
      </c>
      <c r="F323" s="172"/>
      <c r="G323" s="172"/>
      <c r="H323" s="172"/>
      <c r="I323" s="38">
        <f>SUM(F323:H323)</f>
        <v>0</v>
      </c>
      <c r="J323" s="172"/>
      <c r="K323" s="172"/>
      <c r="L323" s="172"/>
      <c r="M323" s="38">
        <f>SUM(J323:L323)</f>
        <v>0</v>
      </c>
      <c r="N323" s="172"/>
      <c r="O323" s="172"/>
      <c r="P323" s="172"/>
      <c r="Q323" s="38">
        <f>SUM(N323:P323)</f>
        <v>0</v>
      </c>
      <c r="R323" s="38">
        <f t="shared" si="79"/>
        <v>1000</v>
      </c>
      <c r="T323" t="s">
        <v>1358</v>
      </c>
    </row>
    <row r="324" spans="1:20" ht="15.75" hidden="1" customHeight="1" x14ac:dyDescent="0.3">
      <c r="A324" s="410" t="s">
        <v>347</v>
      </c>
      <c r="B324" s="172"/>
      <c r="C324" s="172"/>
      <c r="D324" s="172"/>
      <c r="E324" s="38">
        <f t="shared" si="75"/>
        <v>0</v>
      </c>
      <c r="F324" s="172">
        <v>1000</v>
      </c>
      <c r="G324" s="172">
        <v>1000</v>
      </c>
      <c r="H324" s="172"/>
      <c r="I324" s="38">
        <f t="shared" si="76"/>
        <v>2000</v>
      </c>
      <c r="J324" s="172"/>
      <c r="K324" s="172"/>
      <c r="L324" s="172"/>
      <c r="M324" s="38">
        <f t="shared" si="77"/>
        <v>0</v>
      </c>
      <c r="N324" s="172"/>
      <c r="O324" s="172">
        <v>140</v>
      </c>
      <c r="P324" s="172">
        <v>1134</v>
      </c>
      <c r="Q324" s="38">
        <f t="shared" si="78"/>
        <v>1274</v>
      </c>
      <c r="R324" s="38">
        <f t="shared" si="79"/>
        <v>3274</v>
      </c>
      <c r="T324" t="s">
        <v>2780</v>
      </c>
    </row>
    <row r="325" spans="1:20" ht="15.75" hidden="1" customHeight="1" x14ac:dyDescent="0.3">
      <c r="A325" s="410" t="s">
        <v>2954</v>
      </c>
      <c r="B325" s="172"/>
      <c r="C325" s="172"/>
      <c r="D325" s="172"/>
      <c r="E325" s="38">
        <f>SUM(B325:D325)</f>
        <v>0</v>
      </c>
      <c r="F325" s="172"/>
      <c r="G325" s="172"/>
      <c r="H325" s="172"/>
      <c r="I325" s="38">
        <f>SUM(F325:H325)</f>
        <v>0</v>
      </c>
      <c r="J325" s="172"/>
      <c r="K325" s="172"/>
      <c r="L325" s="172"/>
      <c r="M325" s="38">
        <f>SUM(J325:L325)</f>
        <v>0</v>
      </c>
      <c r="N325" s="172"/>
      <c r="O325" s="172"/>
      <c r="P325" s="172"/>
      <c r="Q325" s="38">
        <f>SUM(N325:P325)</f>
        <v>0</v>
      </c>
      <c r="R325" s="38">
        <f t="shared" si="79"/>
        <v>0</v>
      </c>
      <c r="T325" t="s">
        <v>1358</v>
      </c>
    </row>
    <row r="326" spans="1:20" ht="15.75" hidden="1" customHeight="1" x14ac:dyDescent="0.3">
      <c r="A326" s="410" t="s">
        <v>2593</v>
      </c>
      <c r="B326" s="10"/>
      <c r="C326" s="10"/>
      <c r="D326" s="10"/>
      <c r="E326" s="38">
        <f t="shared" si="75"/>
        <v>0</v>
      </c>
      <c r="F326" s="10"/>
      <c r="G326" s="10"/>
      <c r="H326" s="10"/>
      <c r="I326" s="38">
        <f t="shared" si="76"/>
        <v>0</v>
      </c>
      <c r="J326" s="10"/>
      <c r="K326" s="10"/>
      <c r="L326" s="10"/>
      <c r="M326" s="38">
        <f t="shared" si="77"/>
        <v>0</v>
      </c>
      <c r="N326" s="10"/>
      <c r="O326" s="10"/>
      <c r="P326" s="10"/>
      <c r="Q326" s="38">
        <f t="shared" si="78"/>
        <v>0</v>
      </c>
      <c r="R326" s="38">
        <f t="shared" si="79"/>
        <v>0</v>
      </c>
      <c r="T326" t="s">
        <v>2175</v>
      </c>
    </row>
    <row r="327" spans="1:20" ht="15.75" hidden="1" customHeight="1" x14ac:dyDescent="0.3">
      <c r="A327" s="410" t="s">
        <v>3056</v>
      </c>
      <c r="B327" s="172">
        <v>15</v>
      </c>
      <c r="C327" s="172">
        <v>35</v>
      </c>
      <c r="D327" s="172">
        <v>42</v>
      </c>
      <c r="E327" s="38">
        <f>SUM(B327:D327)</f>
        <v>92</v>
      </c>
      <c r="F327" s="172">
        <v>47</v>
      </c>
      <c r="G327" s="172">
        <v>74</v>
      </c>
      <c r="H327" s="172">
        <v>76</v>
      </c>
      <c r="I327" s="38">
        <f>SUM(F327:H327)</f>
        <v>197</v>
      </c>
      <c r="J327" s="172">
        <v>69</v>
      </c>
      <c r="K327" s="172">
        <v>59</v>
      </c>
      <c r="L327" s="172">
        <v>30</v>
      </c>
      <c r="M327" s="38">
        <f>SUM(J327:L327)</f>
        <v>158</v>
      </c>
      <c r="N327" s="172">
        <v>51</v>
      </c>
      <c r="O327" s="172">
        <v>29</v>
      </c>
      <c r="P327" s="172">
        <v>19</v>
      </c>
      <c r="Q327" s="38">
        <f>SUM(N327:P327)</f>
        <v>99</v>
      </c>
      <c r="R327" s="38">
        <f>+E327+I327+M327+Q327</f>
        <v>546</v>
      </c>
      <c r="T327" t="s">
        <v>1193</v>
      </c>
    </row>
    <row r="328" spans="1:20" ht="15.75" hidden="1" customHeight="1" x14ac:dyDescent="0.3">
      <c r="A328" s="256" t="s">
        <v>92</v>
      </c>
      <c r="B328" s="172">
        <v>1298</v>
      </c>
      <c r="C328" s="172">
        <v>1070</v>
      </c>
      <c r="D328" s="172">
        <v>1936</v>
      </c>
      <c r="E328" s="38">
        <f t="shared" si="75"/>
        <v>4304</v>
      </c>
      <c r="F328" s="172">
        <v>620</v>
      </c>
      <c r="G328" s="172">
        <v>1846</v>
      </c>
      <c r="H328" s="172">
        <v>5165</v>
      </c>
      <c r="I328" s="38">
        <f t="shared" si="76"/>
        <v>7631</v>
      </c>
      <c r="J328" s="172">
        <v>5277</v>
      </c>
      <c r="K328" s="172">
        <v>4806</v>
      </c>
      <c r="L328" s="172">
        <v>4340</v>
      </c>
      <c r="M328" s="38">
        <f t="shared" si="77"/>
        <v>14423</v>
      </c>
      <c r="N328" s="172">
        <v>4493</v>
      </c>
      <c r="O328" s="172">
        <v>3836</v>
      </c>
      <c r="P328" s="172">
        <v>3434</v>
      </c>
      <c r="Q328" s="38">
        <f t="shared" si="78"/>
        <v>11763</v>
      </c>
      <c r="R328" s="38">
        <f t="shared" si="79"/>
        <v>38121</v>
      </c>
      <c r="T328" t="s">
        <v>2177</v>
      </c>
    </row>
    <row r="329" spans="1:20" ht="15.75" hidden="1" customHeight="1" x14ac:dyDescent="0.3">
      <c r="A329" s="410" t="s">
        <v>2543</v>
      </c>
      <c r="B329" s="172"/>
      <c r="C329" s="172"/>
      <c r="D329" s="172"/>
      <c r="E329" s="38">
        <f t="shared" si="75"/>
        <v>0</v>
      </c>
      <c r="F329" s="172"/>
      <c r="G329" s="172"/>
      <c r="H329" s="172"/>
      <c r="I329" s="38">
        <f t="shared" si="76"/>
        <v>0</v>
      </c>
      <c r="J329" s="172"/>
      <c r="K329" s="172"/>
      <c r="L329" s="172"/>
      <c r="M329" s="38">
        <f t="shared" si="77"/>
        <v>0</v>
      </c>
      <c r="N329" s="172"/>
      <c r="O329" s="172"/>
      <c r="P329" s="172"/>
      <c r="Q329" s="38">
        <f t="shared" si="78"/>
        <v>0</v>
      </c>
      <c r="R329" s="38">
        <f t="shared" si="79"/>
        <v>0</v>
      </c>
    </row>
    <row r="330" spans="1:20" ht="15.75" hidden="1" customHeight="1" x14ac:dyDescent="0.3">
      <c r="A330" s="410" t="s">
        <v>3060</v>
      </c>
      <c r="B330" s="172">
        <v>1000</v>
      </c>
      <c r="C330" s="172">
        <v>2344</v>
      </c>
      <c r="D330" s="172">
        <v>4028</v>
      </c>
      <c r="E330" s="38">
        <f t="shared" si="75"/>
        <v>7372</v>
      </c>
      <c r="F330" s="172"/>
      <c r="G330" s="172"/>
      <c r="H330" s="172"/>
      <c r="I330" s="38">
        <f t="shared" si="76"/>
        <v>0</v>
      </c>
      <c r="J330" s="172"/>
      <c r="K330" s="172"/>
      <c r="L330" s="172"/>
      <c r="M330" s="38">
        <f t="shared" si="77"/>
        <v>0</v>
      </c>
      <c r="N330" s="172"/>
      <c r="O330" s="172"/>
      <c r="P330" s="172"/>
      <c r="Q330" s="38">
        <f>SUM(N330:P330)</f>
        <v>0</v>
      </c>
      <c r="R330" s="38">
        <f>+E330+I330+M330+Q330</f>
        <v>7372</v>
      </c>
      <c r="T330" t="s">
        <v>1358</v>
      </c>
    </row>
    <row r="331" spans="1:20" ht="15.75" hidden="1" customHeight="1" x14ac:dyDescent="0.3">
      <c r="A331" s="410" t="s">
        <v>3057</v>
      </c>
      <c r="B331" s="172">
        <v>44</v>
      </c>
      <c r="C331" s="172">
        <v>40</v>
      </c>
      <c r="D331" s="172">
        <v>55</v>
      </c>
      <c r="E331" s="38">
        <f>SUM(B331:D331)</f>
        <v>139</v>
      </c>
      <c r="F331" s="172">
        <v>46</v>
      </c>
      <c r="G331" s="172">
        <v>83</v>
      </c>
      <c r="H331" s="172">
        <v>74</v>
      </c>
      <c r="I331" s="38">
        <f>SUM(F331:H331)</f>
        <v>203</v>
      </c>
      <c r="J331" s="172">
        <v>57</v>
      </c>
      <c r="K331" s="172">
        <v>59</v>
      </c>
      <c r="L331" s="172">
        <v>45</v>
      </c>
      <c r="M331" s="38">
        <f>SUM(J331:L331)</f>
        <v>161</v>
      </c>
      <c r="N331" s="172">
        <v>76</v>
      </c>
      <c r="O331" s="172">
        <v>40</v>
      </c>
      <c r="P331" s="172">
        <v>23</v>
      </c>
      <c r="Q331" s="38">
        <f>SUM(N331:P331)</f>
        <v>139</v>
      </c>
      <c r="R331" s="38">
        <f>+E331+I331+M331+Q331</f>
        <v>642</v>
      </c>
      <c r="T331" t="s">
        <v>1193</v>
      </c>
    </row>
    <row r="332" spans="1:20" ht="15.75" hidden="1" customHeight="1" x14ac:dyDescent="0.3">
      <c r="A332" s="410" t="s">
        <v>3131</v>
      </c>
      <c r="B332" s="172"/>
      <c r="C332" s="172"/>
      <c r="D332" s="172"/>
      <c r="E332" s="38">
        <f>SUM(B332:D332)</f>
        <v>0</v>
      </c>
      <c r="F332" s="172"/>
      <c r="G332" s="172"/>
      <c r="H332" s="172"/>
      <c r="I332" s="38">
        <f>SUM(F332:H332)</f>
        <v>0</v>
      </c>
      <c r="J332" s="172"/>
      <c r="K332" s="172"/>
      <c r="L332" s="172"/>
      <c r="M332" s="38">
        <f>SUM(J332:L332)</f>
        <v>0</v>
      </c>
      <c r="N332" s="172"/>
      <c r="O332" s="172">
        <v>4817</v>
      </c>
      <c r="P332" s="172">
        <v>183</v>
      </c>
      <c r="Q332" s="38">
        <f>SUM(N332:P332)</f>
        <v>5000</v>
      </c>
      <c r="R332" s="38">
        <f>+E332+I332+M332+Q332</f>
        <v>5000</v>
      </c>
      <c r="T332" t="s">
        <v>1193</v>
      </c>
    </row>
    <row r="333" spans="1:20" ht="15.75" hidden="1" customHeight="1" x14ac:dyDescent="0.3">
      <c r="A333" s="539" t="s">
        <v>2944</v>
      </c>
      <c r="B333" s="172"/>
      <c r="C333" s="172"/>
      <c r="D333" s="172"/>
      <c r="E333" s="38">
        <f>SUM(B333:D333)</f>
        <v>0</v>
      </c>
      <c r="F333" s="172"/>
      <c r="G333" s="172"/>
      <c r="H333" s="172"/>
      <c r="I333" s="38">
        <f>SUM(F333:H333)</f>
        <v>0</v>
      </c>
      <c r="J333" s="172"/>
      <c r="K333" s="172"/>
      <c r="L333" s="172">
        <v>37</v>
      </c>
      <c r="M333" s="38">
        <f>SUM(J333:L333)</f>
        <v>37</v>
      </c>
      <c r="N333" s="172"/>
      <c r="O333" s="172"/>
      <c r="P333" s="172">
        <v>1</v>
      </c>
      <c r="Q333" s="38">
        <f>SUM(N333:P333)</f>
        <v>1</v>
      </c>
      <c r="R333" s="38">
        <f t="shared" si="79"/>
        <v>38</v>
      </c>
    </row>
    <row r="334" spans="1:20" ht="15.75" hidden="1" customHeight="1" x14ac:dyDescent="0.3">
      <c r="A334" s="410" t="s">
        <v>2609</v>
      </c>
      <c r="B334" s="172"/>
      <c r="C334" s="172"/>
      <c r="D334" s="172">
        <v>25</v>
      </c>
      <c r="E334" s="38">
        <f t="shared" si="75"/>
        <v>25</v>
      </c>
      <c r="F334" s="172">
        <v>29</v>
      </c>
      <c r="G334" s="172">
        <v>121</v>
      </c>
      <c r="H334" s="172">
        <v>112</v>
      </c>
      <c r="I334" s="38">
        <f t="shared" si="76"/>
        <v>262</v>
      </c>
      <c r="J334" s="172">
        <v>172</v>
      </c>
      <c r="K334" s="172">
        <v>36</v>
      </c>
      <c r="L334" s="172"/>
      <c r="M334" s="38">
        <f t="shared" si="77"/>
        <v>208</v>
      </c>
      <c r="N334" s="172"/>
      <c r="O334" s="172"/>
      <c r="P334" s="172"/>
      <c r="Q334" s="38">
        <f t="shared" si="78"/>
        <v>0</v>
      </c>
      <c r="R334" s="38">
        <f t="shared" si="79"/>
        <v>495</v>
      </c>
      <c r="S334">
        <f>SUM(R310:R334)</f>
        <v>81278</v>
      </c>
      <c r="T334" t="s">
        <v>2175</v>
      </c>
    </row>
    <row r="335" spans="1:20" ht="15.75" hidden="1" customHeight="1" x14ac:dyDescent="0.3">
      <c r="A335" s="410" t="s">
        <v>3058</v>
      </c>
      <c r="B335" s="172">
        <v>11</v>
      </c>
      <c r="C335" s="172">
        <v>25</v>
      </c>
      <c r="D335" s="172">
        <v>37</v>
      </c>
      <c r="E335" s="38">
        <f>SUM(B335:D335)</f>
        <v>73</v>
      </c>
      <c r="F335" s="172">
        <v>38</v>
      </c>
      <c r="G335" s="172">
        <v>70</v>
      </c>
      <c r="H335" s="172">
        <v>73</v>
      </c>
      <c r="I335" s="38">
        <f>SUM(F335:H335)</f>
        <v>181</v>
      </c>
      <c r="J335" s="172">
        <v>73</v>
      </c>
      <c r="K335" s="172">
        <v>48</v>
      </c>
      <c r="L335" s="172">
        <v>41</v>
      </c>
      <c r="M335" s="38">
        <f>SUM(J335:L335)</f>
        <v>162</v>
      </c>
      <c r="N335" s="172">
        <v>65</v>
      </c>
      <c r="O335" s="172">
        <v>32</v>
      </c>
      <c r="P335" s="172">
        <v>12</v>
      </c>
      <c r="Q335" s="38">
        <f>SUM(N335:P335)</f>
        <v>109</v>
      </c>
      <c r="R335" s="38">
        <f>+E335+I335+M335+Q335</f>
        <v>525</v>
      </c>
      <c r="T335" t="s">
        <v>1193</v>
      </c>
    </row>
    <row r="336" spans="1:20" ht="15.75" hidden="1" customHeight="1" x14ac:dyDescent="0.3">
      <c r="A336" s="234" t="s">
        <v>2161</v>
      </c>
      <c r="B336" s="172"/>
      <c r="C336" s="172"/>
      <c r="D336" s="172"/>
      <c r="E336" s="38" t="s">
        <v>852</v>
      </c>
      <c r="F336" s="172"/>
      <c r="G336" s="172"/>
      <c r="H336" s="172"/>
      <c r="I336" s="38" t="s">
        <v>852</v>
      </c>
      <c r="J336" s="172"/>
      <c r="K336" s="172"/>
      <c r="L336" s="172"/>
      <c r="M336" s="38" t="s">
        <v>852</v>
      </c>
      <c r="N336" s="172"/>
      <c r="O336" s="172"/>
      <c r="P336" s="172"/>
      <c r="Q336" s="38" t="s">
        <v>852</v>
      </c>
      <c r="R336" s="38" t="s">
        <v>852</v>
      </c>
    </row>
    <row r="337" spans="1:20" ht="15.75" hidden="1" customHeight="1" x14ac:dyDescent="0.3">
      <c r="A337" s="256" t="s">
        <v>754</v>
      </c>
      <c r="B337" s="172"/>
      <c r="C337" s="172"/>
      <c r="D337" s="172"/>
      <c r="E337" s="38">
        <f t="shared" ref="E337:E347" si="80">SUM(B337:D337)</f>
        <v>0</v>
      </c>
      <c r="F337" s="172"/>
      <c r="G337" s="172"/>
      <c r="H337" s="172"/>
      <c r="I337" s="38">
        <f t="shared" ref="I337:I347" si="81">SUM(F337:H337)</f>
        <v>0</v>
      </c>
      <c r="J337" s="172"/>
      <c r="K337" s="172"/>
      <c r="L337" s="172"/>
      <c r="M337" s="38">
        <f t="shared" ref="M337:M347" si="82">SUM(J337:L337)</f>
        <v>0</v>
      </c>
      <c r="N337" s="172"/>
      <c r="O337" s="172"/>
      <c r="P337" s="172"/>
      <c r="Q337" s="38">
        <f t="shared" ref="Q337:Q347" si="83">SUM(N337:P337)</f>
        <v>0</v>
      </c>
      <c r="R337" s="38">
        <f t="shared" ref="R337:R347" si="84">+E337+I337+M337+Q337</f>
        <v>0</v>
      </c>
    </row>
    <row r="338" spans="1:20" ht="15.75" hidden="1" customHeight="1" x14ac:dyDescent="0.3">
      <c r="A338" s="410" t="s">
        <v>2759</v>
      </c>
      <c r="B338" s="10"/>
      <c r="C338" s="10"/>
      <c r="D338" s="10"/>
      <c r="E338" s="38">
        <f>SUM(B338:D338)</f>
        <v>0</v>
      </c>
      <c r="F338" s="10"/>
      <c r="G338" s="10"/>
      <c r="H338" s="10"/>
      <c r="I338" s="38">
        <f>SUM(F338:H338)</f>
        <v>0</v>
      </c>
      <c r="J338" s="10"/>
      <c r="K338" s="10"/>
      <c r="L338" s="10"/>
      <c r="M338" s="38">
        <f>SUM(J338:L338)</f>
        <v>0</v>
      </c>
      <c r="N338" s="10"/>
      <c r="O338" s="10"/>
      <c r="P338" s="10"/>
      <c r="Q338" s="38">
        <f>SUM(N338:P338)</f>
        <v>0</v>
      </c>
      <c r="R338" s="38">
        <f>+E338+I338+M338+Q338</f>
        <v>0</v>
      </c>
      <c r="T338" t="s">
        <v>131</v>
      </c>
    </row>
    <row r="339" spans="1:20" ht="15.75" hidden="1" customHeight="1" x14ac:dyDescent="0.3">
      <c r="A339" s="311" t="s">
        <v>970</v>
      </c>
      <c r="B339" s="172"/>
      <c r="C339" s="172"/>
      <c r="D339" s="172"/>
      <c r="E339" s="38">
        <f>SUM(B339:D339)</f>
        <v>0</v>
      </c>
      <c r="F339" s="172"/>
      <c r="G339" s="172"/>
      <c r="H339" s="172"/>
      <c r="I339" s="38">
        <f>SUM(F339:H339)</f>
        <v>0</v>
      </c>
      <c r="J339" s="172"/>
      <c r="K339" s="172"/>
      <c r="L339" s="172"/>
      <c r="M339" s="38">
        <f>SUM(J339:L339)</f>
        <v>0</v>
      </c>
      <c r="N339" s="172"/>
      <c r="O339" s="172"/>
      <c r="P339" s="172"/>
      <c r="Q339" s="38">
        <f>SUM(N339:P339)</f>
        <v>0</v>
      </c>
      <c r="R339" s="38">
        <f>+E339+I339+M339+Q339</f>
        <v>0</v>
      </c>
      <c r="T339" t="s">
        <v>2176</v>
      </c>
    </row>
    <row r="340" spans="1:20" ht="15.75" hidden="1" customHeight="1" x14ac:dyDescent="0.3">
      <c r="A340" s="410" t="s">
        <v>2593</v>
      </c>
      <c r="B340" s="10"/>
      <c r="C340" s="10"/>
      <c r="D340" s="10"/>
      <c r="E340" s="38">
        <f t="shared" si="80"/>
        <v>0</v>
      </c>
      <c r="F340" s="10"/>
      <c r="G340" s="10"/>
      <c r="H340" s="10"/>
      <c r="I340" s="38">
        <f t="shared" si="81"/>
        <v>0</v>
      </c>
      <c r="J340" s="10"/>
      <c r="K340" s="10"/>
      <c r="L340" s="10"/>
      <c r="M340" s="38">
        <f t="shared" si="82"/>
        <v>0</v>
      </c>
      <c r="N340" s="10"/>
      <c r="O340" s="10"/>
      <c r="P340" s="10"/>
      <c r="Q340" s="38">
        <f t="shared" si="83"/>
        <v>0</v>
      </c>
      <c r="R340" s="38">
        <f>+E340+I340+M340+Q340</f>
        <v>0</v>
      </c>
      <c r="T340" t="s">
        <v>2175</v>
      </c>
    </row>
    <row r="341" spans="1:20" ht="15.75" hidden="1" customHeight="1" x14ac:dyDescent="0.3">
      <c r="A341" s="410" t="s">
        <v>2517</v>
      </c>
      <c r="B341" s="10"/>
      <c r="C341" s="10"/>
      <c r="D341" s="10"/>
      <c r="E341" s="38">
        <f>SUM(B341:D341)</f>
        <v>0</v>
      </c>
      <c r="F341" s="10"/>
      <c r="G341" s="10"/>
      <c r="H341" s="10"/>
      <c r="I341" s="38">
        <f>SUM(F341:H341)</f>
        <v>0</v>
      </c>
      <c r="J341" s="10"/>
      <c r="K341" s="10"/>
      <c r="L341" s="10"/>
      <c r="M341" s="38">
        <f>SUM(J341:L341)</f>
        <v>0</v>
      </c>
      <c r="N341" s="10"/>
      <c r="O341" s="10"/>
      <c r="P341" s="10"/>
      <c r="Q341" s="38">
        <f>SUM(N341:P341)</f>
        <v>0</v>
      </c>
      <c r="R341" s="38">
        <f>+E341+I341+M341+Q341</f>
        <v>0</v>
      </c>
      <c r="T341" t="s">
        <v>2229</v>
      </c>
    </row>
    <row r="342" spans="1:20" ht="15.75" hidden="1" customHeight="1" x14ac:dyDescent="0.3">
      <c r="A342" s="256" t="s">
        <v>1732</v>
      </c>
      <c r="B342" s="172"/>
      <c r="C342" s="172"/>
      <c r="D342" s="172"/>
      <c r="E342" s="38">
        <f t="shared" si="80"/>
        <v>0</v>
      </c>
      <c r="F342" s="172"/>
      <c r="G342" s="172"/>
      <c r="H342" s="172"/>
      <c r="I342" s="38">
        <f t="shared" si="81"/>
        <v>0</v>
      </c>
      <c r="J342" s="172"/>
      <c r="K342" s="172"/>
      <c r="L342" s="172"/>
      <c r="M342" s="38">
        <f t="shared" si="82"/>
        <v>0</v>
      </c>
      <c r="N342" s="172"/>
      <c r="O342" s="172"/>
      <c r="P342" s="172"/>
      <c r="Q342" s="38">
        <f t="shared" si="83"/>
        <v>0</v>
      </c>
      <c r="R342" s="38">
        <f t="shared" si="84"/>
        <v>0</v>
      </c>
    </row>
    <row r="343" spans="1:20" ht="15.75" hidden="1" customHeight="1" x14ac:dyDescent="0.3">
      <c r="A343" s="410" t="s">
        <v>2771</v>
      </c>
      <c r="B343" s="172"/>
      <c r="C343" s="172"/>
      <c r="D343" s="172"/>
      <c r="E343" s="38">
        <f t="shared" si="80"/>
        <v>0</v>
      </c>
      <c r="F343" s="172"/>
      <c r="G343" s="172"/>
      <c r="H343" s="172"/>
      <c r="I343" s="38">
        <f t="shared" si="81"/>
        <v>0</v>
      </c>
      <c r="J343" s="172"/>
      <c r="K343" s="172"/>
      <c r="L343" s="172"/>
      <c r="M343" s="38">
        <f t="shared" si="82"/>
        <v>0</v>
      </c>
      <c r="N343" s="172"/>
      <c r="O343" s="172"/>
      <c r="P343" s="172"/>
      <c r="Q343" s="38">
        <f t="shared" si="83"/>
        <v>0</v>
      </c>
      <c r="R343" s="38">
        <f t="shared" si="84"/>
        <v>0</v>
      </c>
      <c r="T343" t="s">
        <v>2230</v>
      </c>
    </row>
    <row r="344" spans="1:20" ht="15.75" hidden="1" customHeight="1" x14ac:dyDescent="0.3">
      <c r="A344" s="256" t="s">
        <v>1138</v>
      </c>
      <c r="B344" s="172"/>
      <c r="C344" s="172"/>
      <c r="D344" s="172"/>
      <c r="E344" s="38">
        <f t="shared" si="80"/>
        <v>0</v>
      </c>
      <c r="F344" s="172"/>
      <c r="G344" s="172"/>
      <c r="H344" s="172"/>
      <c r="I344" s="38">
        <f t="shared" si="81"/>
        <v>0</v>
      </c>
      <c r="J344" s="172"/>
      <c r="K344" s="172"/>
      <c r="L344" s="172"/>
      <c r="M344" s="38">
        <f t="shared" si="82"/>
        <v>0</v>
      </c>
      <c r="N344" s="172"/>
      <c r="O344" s="172"/>
      <c r="P344" s="172"/>
      <c r="Q344" s="38">
        <f t="shared" si="83"/>
        <v>0</v>
      </c>
      <c r="R344" s="38">
        <f t="shared" si="84"/>
        <v>0</v>
      </c>
      <c r="T344" t="s">
        <v>2230</v>
      </c>
    </row>
    <row r="345" spans="1:20" ht="15.75" hidden="1" customHeight="1" x14ac:dyDescent="0.3">
      <c r="A345" s="410" t="s">
        <v>2951</v>
      </c>
      <c r="B345" s="172"/>
      <c r="C345" s="172"/>
      <c r="D345" s="172"/>
      <c r="E345" s="38">
        <f t="shared" si="80"/>
        <v>0</v>
      </c>
      <c r="F345" s="172"/>
      <c r="G345" s="172"/>
      <c r="H345" s="172"/>
      <c r="I345" s="38">
        <f t="shared" si="81"/>
        <v>0</v>
      </c>
      <c r="J345" s="172"/>
      <c r="K345" s="172"/>
      <c r="L345" s="172"/>
      <c r="M345" s="38">
        <f t="shared" si="82"/>
        <v>0</v>
      </c>
      <c r="N345" s="172"/>
      <c r="O345" s="172"/>
      <c r="P345" s="172"/>
      <c r="Q345" s="38">
        <f t="shared" si="83"/>
        <v>0</v>
      </c>
      <c r="R345" s="38">
        <f t="shared" si="84"/>
        <v>0</v>
      </c>
      <c r="T345" t="s">
        <v>1193</v>
      </c>
    </row>
    <row r="346" spans="1:20" ht="15.75" hidden="1" customHeight="1" x14ac:dyDescent="0.3">
      <c r="A346" s="311" t="s">
        <v>644</v>
      </c>
      <c r="B346" s="172"/>
      <c r="C346" s="172"/>
      <c r="D346" s="172"/>
      <c r="E346" s="38">
        <f>SUM(B346:D346)</f>
        <v>0</v>
      </c>
      <c r="F346" s="172"/>
      <c r="G346" s="172"/>
      <c r="H346" s="172"/>
      <c r="I346" s="38">
        <f>SUM(F346:H346)</f>
        <v>0</v>
      </c>
      <c r="J346" s="172"/>
      <c r="K346" s="172"/>
      <c r="L346" s="172"/>
      <c r="M346" s="38">
        <f>SUM(J346:L346)</f>
        <v>0</v>
      </c>
      <c r="N346" s="172"/>
      <c r="O346" s="172"/>
      <c r="P346" s="172"/>
      <c r="Q346" s="38">
        <f>SUM(N346:P346)</f>
        <v>0</v>
      </c>
      <c r="R346" s="38">
        <f>+E346+I346+M346+Q346</f>
        <v>0</v>
      </c>
      <c r="T346" t="s">
        <v>1193</v>
      </c>
    </row>
    <row r="347" spans="1:20" ht="15.75" hidden="1" customHeight="1" x14ac:dyDescent="0.3">
      <c r="A347" s="256" t="s">
        <v>231</v>
      </c>
      <c r="B347" s="172"/>
      <c r="C347" s="172"/>
      <c r="D347" s="172"/>
      <c r="E347" s="38">
        <f t="shared" si="80"/>
        <v>0</v>
      </c>
      <c r="F347" s="172"/>
      <c r="G347" s="172"/>
      <c r="H347" s="172"/>
      <c r="I347" s="38">
        <f t="shared" si="81"/>
        <v>0</v>
      </c>
      <c r="J347" s="172"/>
      <c r="K347" s="172"/>
      <c r="L347" s="172"/>
      <c r="M347" s="38">
        <f t="shared" si="82"/>
        <v>0</v>
      </c>
      <c r="N347" s="172"/>
      <c r="O347" s="172"/>
      <c r="P347" s="172"/>
      <c r="Q347" s="38">
        <f t="shared" si="83"/>
        <v>0</v>
      </c>
      <c r="R347" s="38">
        <f t="shared" si="84"/>
        <v>0</v>
      </c>
      <c r="T347" t="s">
        <v>2179</v>
      </c>
    </row>
    <row r="348" spans="1:20" ht="15.75" hidden="1" customHeight="1" x14ac:dyDescent="0.3">
      <c r="A348" s="234" t="s">
        <v>2162</v>
      </c>
      <c r="B348" s="172"/>
      <c r="C348" s="172"/>
      <c r="D348" s="172"/>
      <c r="E348" s="38" t="s">
        <v>852</v>
      </c>
      <c r="F348" s="172"/>
      <c r="G348" s="172"/>
      <c r="H348" s="172"/>
      <c r="I348" s="38" t="s">
        <v>852</v>
      </c>
      <c r="J348" s="172"/>
      <c r="K348" s="172"/>
      <c r="L348" s="172"/>
      <c r="M348" s="38" t="s">
        <v>852</v>
      </c>
      <c r="N348" s="172"/>
      <c r="O348" s="172"/>
      <c r="P348" s="172"/>
      <c r="Q348" s="38" t="s">
        <v>852</v>
      </c>
      <c r="R348" s="38" t="s">
        <v>852</v>
      </c>
    </row>
    <row r="349" spans="1:20" ht="15.75" customHeight="1" x14ac:dyDescent="0.3">
      <c r="A349" s="410" t="s">
        <v>2552</v>
      </c>
      <c r="B349" s="10"/>
      <c r="C349" s="10"/>
      <c r="D349" s="10"/>
      <c r="E349" s="38">
        <f>SUM(B349:D349)</f>
        <v>0</v>
      </c>
      <c r="F349" s="10"/>
      <c r="G349" s="10"/>
      <c r="H349" s="10"/>
      <c r="I349" s="38">
        <f>SUM(F349:H349)</f>
        <v>0</v>
      </c>
      <c r="J349" s="10"/>
      <c r="K349" s="10"/>
      <c r="L349" s="10">
        <v>160</v>
      </c>
      <c r="M349" s="38">
        <f>SUM(J349:L349)</f>
        <v>160</v>
      </c>
      <c r="N349" s="10"/>
      <c r="O349" s="10"/>
      <c r="P349" s="10"/>
      <c r="Q349" s="38">
        <f>SUM(N349:P349)</f>
        <v>0</v>
      </c>
      <c r="R349" s="38">
        <f>+E349+I349+M349+Q349</f>
        <v>160</v>
      </c>
      <c r="T349" t="s">
        <v>2174</v>
      </c>
    </row>
    <row r="350" spans="1:20" ht="15.75" hidden="1" customHeight="1" x14ac:dyDescent="0.3">
      <c r="A350" s="410" t="s">
        <v>2553</v>
      </c>
      <c r="B350" s="10"/>
      <c r="C350" s="10"/>
      <c r="D350" s="10"/>
      <c r="E350" s="38">
        <f>SUM(B350:D350)</f>
        <v>0</v>
      </c>
      <c r="F350" s="10"/>
      <c r="G350" s="10">
        <v>3000</v>
      </c>
      <c r="H350" s="10">
        <v>3000</v>
      </c>
      <c r="I350" s="38">
        <f>SUM(F350:H350)</f>
        <v>6000</v>
      </c>
      <c r="J350" s="10"/>
      <c r="K350" s="10">
        <v>3000</v>
      </c>
      <c r="L350" s="10"/>
      <c r="M350" s="38">
        <f>SUM(J350:L350)</f>
        <v>3000</v>
      </c>
      <c r="N350" s="10"/>
      <c r="O350" s="10"/>
      <c r="P350" s="10"/>
      <c r="Q350" s="38">
        <f>SUM(N350:P350)</f>
        <v>0</v>
      </c>
      <c r="R350" s="38">
        <f>+E350+I350+M350+Q350</f>
        <v>9000</v>
      </c>
    </row>
    <row r="351" spans="1:20" ht="15.75" hidden="1" customHeight="1" x14ac:dyDescent="0.3">
      <c r="A351" s="410" t="s">
        <v>2554</v>
      </c>
      <c r="B351" s="10"/>
      <c r="C351" s="10"/>
      <c r="D351" s="10"/>
      <c r="E351" s="38">
        <f>SUM(B351:D351)</f>
        <v>0</v>
      </c>
      <c r="F351" s="10"/>
      <c r="G351" s="10">
        <v>2685</v>
      </c>
      <c r="H351" s="10"/>
      <c r="I351" s="38">
        <f>SUM(F351:H351)</f>
        <v>2685</v>
      </c>
      <c r="J351" s="10"/>
      <c r="K351" s="10"/>
      <c r="L351" s="10"/>
      <c r="M351" s="38">
        <f>SUM(J351:L351)</f>
        <v>0</v>
      </c>
      <c r="N351" s="10"/>
      <c r="O351" s="10"/>
      <c r="P351" s="10"/>
      <c r="Q351" s="38">
        <f>SUM(N351:P351)</f>
        <v>0</v>
      </c>
      <c r="R351" s="38">
        <f>+E351+I351+M351+Q351</f>
        <v>2685</v>
      </c>
      <c r="T351" t="s">
        <v>2175</v>
      </c>
    </row>
    <row r="352" spans="1:20" ht="15.75" hidden="1" customHeight="1" x14ac:dyDescent="0.3">
      <c r="A352" s="410" t="s">
        <v>2727</v>
      </c>
      <c r="B352" s="10">
        <v>699</v>
      </c>
      <c r="C352" s="10">
        <v>1000</v>
      </c>
      <c r="D352" s="10"/>
      <c r="E352" s="38">
        <f>SUM(B352:D352)</f>
        <v>1699</v>
      </c>
      <c r="F352" s="10">
        <v>2915</v>
      </c>
      <c r="G352" s="10">
        <v>941</v>
      </c>
      <c r="H352" s="10"/>
      <c r="I352" s="38">
        <f>SUM(F352:H352)</f>
        <v>3856</v>
      </c>
      <c r="J352" s="10"/>
      <c r="K352" s="10"/>
      <c r="L352" s="10"/>
      <c r="M352" s="38">
        <f>SUM(J352:L352)</f>
        <v>0</v>
      </c>
      <c r="N352" s="10"/>
      <c r="O352" s="10"/>
      <c r="P352" s="10"/>
      <c r="Q352" s="38">
        <f>SUM(N352:P352)</f>
        <v>0</v>
      </c>
      <c r="R352" s="38">
        <f>+E352+I352+M352+Q352</f>
        <v>5555</v>
      </c>
      <c r="T352" t="s">
        <v>1358</v>
      </c>
    </row>
    <row r="353" spans="1:39" ht="16.5" hidden="1" customHeight="1" thickBot="1" x14ac:dyDescent="0.35">
      <c r="A353" s="234" t="s">
        <v>2164</v>
      </c>
      <c r="B353" s="172"/>
      <c r="C353" s="172"/>
      <c r="D353" s="172"/>
      <c r="E353" s="38" t="s">
        <v>852</v>
      </c>
      <c r="F353" s="172"/>
      <c r="G353" s="172"/>
      <c r="H353" s="172"/>
      <c r="I353" s="38" t="s">
        <v>852</v>
      </c>
      <c r="J353" s="172"/>
      <c r="K353" s="172"/>
      <c r="L353" s="172"/>
      <c r="M353" s="38" t="s">
        <v>852</v>
      </c>
      <c r="N353" s="172"/>
      <c r="O353" s="172"/>
      <c r="P353" s="172"/>
      <c r="Q353" s="38" t="s">
        <v>852</v>
      </c>
      <c r="R353" s="40" t="s">
        <v>852</v>
      </c>
      <c r="V353" t="s">
        <v>3012</v>
      </c>
      <c r="W353" t="s">
        <v>3013</v>
      </c>
    </row>
    <row r="354" spans="1:39" ht="16.5" hidden="1" customHeight="1" thickBot="1" x14ac:dyDescent="0.35">
      <c r="A354" s="276" t="s">
        <v>1218</v>
      </c>
      <c r="B354" s="45">
        <f>SUM(B308:B353)</f>
        <v>4246</v>
      </c>
      <c r="C354" s="46">
        <f>SUM(C308:C353)</f>
        <v>5790</v>
      </c>
      <c r="D354" s="46">
        <f>SUM(D308:D353)</f>
        <v>8466</v>
      </c>
      <c r="E354" s="37">
        <f>SUM(B354:D354)</f>
        <v>18502</v>
      </c>
      <c r="F354" s="46">
        <f>SUM(F308:F353)</f>
        <v>7621</v>
      </c>
      <c r="G354" s="46">
        <f>SUM(G308:G353)</f>
        <v>10805</v>
      </c>
      <c r="H354" s="46">
        <f>SUM(H308:H353)</f>
        <v>13990</v>
      </c>
      <c r="I354" s="37">
        <f>SUM(F354:H354)</f>
        <v>32416</v>
      </c>
      <c r="J354" s="46">
        <f>SUM(J308:J353)</f>
        <v>7576</v>
      </c>
      <c r="K354" s="46">
        <f>SUM(K308:K353)</f>
        <v>9690</v>
      </c>
      <c r="L354" s="46">
        <f>SUM(L308:L353)</f>
        <v>7106</v>
      </c>
      <c r="M354" s="37">
        <f>SUM(J354:L354)</f>
        <v>24372</v>
      </c>
      <c r="N354" s="46">
        <f>SUM(N308:N353)</f>
        <v>6850</v>
      </c>
      <c r="O354" s="46">
        <f>SUM(O308:O353)</f>
        <v>10840</v>
      </c>
      <c r="P354" s="46">
        <f>SUM(P308:P353)</f>
        <v>6223</v>
      </c>
      <c r="Q354" s="37">
        <f>SUM(N354:P354)</f>
        <v>23913</v>
      </c>
      <c r="R354" s="37">
        <f>+E354+I354+M354+Q354</f>
        <v>99203</v>
      </c>
      <c r="T354" s="230"/>
      <c r="V354" t="s">
        <v>2174</v>
      </c>
      <c r="W354" s="695">
        <v>0.18</v>
      </c>
    </row>
    <row r="355" spans="1:39" ht="15.75" hidden="1" customHeight="1" x14ac:dyDescent="0.3">
      <c r="A355" s="234" t="s">
        <v>1172</v>
      </c>
      <c r="B355" s="172"/>
      <c r="C355" s="172"/>
      <c r="D355" s="172"/>
      <c r="E355" s="38" t="s">
        <v>852</v>
      </c>
      <c r="F355" s="172"/>
      <c r="G355" s="172"/>
      <c r="H355" s="172"/>
      <c r="I355" s="38" t="s">
        <v>852</v>
      </c>
      <c r="J355" s="172"/>
      <c r="K355" s="172"/>
      <c r="L355" s="172"/>
      <c r="M355" s="38" t="s">
        <v>852</v>
      </c>
      <c r="N355" s="172"/>
      <c r="O355" s="172"/>
      <c r="P355" s="172"/>
      <c r="Q355" s="38" t="s">
        <v>852</v>
      </c>
      <c r="R355" s="38" t="s">
        <v>852</v>
      </c>
      <c r="V355" t="s">
        <v>500</v>
      </c>
      <c r="W355" s="695">
        <v>0.52</v>
      </c>
    </row>
    <row r="356" spans="1:39" ht="15.75" hidden="1" customHeight="1" x14ac:dyDescent="0.3">
      <c r="A356" s="234" t="s">
        <v>1025</v>
      </c>
      <c r="B356" s="172"/>
      <c r="C356" s="172"/>
      <c r="D356" s="172"/>
      <c r="E356" s="38"/>
      <c r="F356" s="172"/>
      <c r="G356" s="172"/>
      <c r="H356" s="172"/>
      <c r="I356" s="38"/>
      <c r="J356" s="172"/>
      <c r="K356" s="172"/>
      <c r="L356" s="172"/>
      <c r="M356" s="38"/>
      <c r="N356" s="172"/>
      <c r="O356" s="172"/>
      <c r="P356" s="172"/>
      <c r="Q356" s="38"/>
      <c r="R356" s="38"/>
      <c r="V356" t="s">
        <v>505</v>
      </c>
      <c r="W356" s="695">
        <v>0.3</v>
      </c>
    </row>
    <row r="357" spans="1:39" ht="15.75" hidden="1" customHeight="1" thickBot="1" x14ac:dyDescent="0.35">
      <c r="A357" s="234" t="s">
        <v>2409</v>
      </c>
      <c r="B357" s="172"/>
      <c r="C357" s="172"/>
      <c r="D357" s="172"/>
      <c r="E357" s="38" t="s">
        <v>852</v>
      </c>
      <c r="F357" s="172"/>
      <c r="G357" s="172"/>
      <c r="H357" s="172"/>
      <c r="I357" s="38" t="s">
        <v>852</v>
      </c>
      <c r="J357" s="172"/>
      <c r="K357" s="172"/>
      <c r="L357" s="172"/>
      <c r="M357" s="38" t="s">
        <v>852</v>
      </c>
      <c r="N357" s="172"/>
      <c r="O357" s="172"/>
      <c r="P357" s="172"/>
      <c r="Q357" s="38" t="s">
        <v>852</v>
      </c>
      <c r="R357" s="38" t="s">
        <v>852</v>
      </c>
      <c r="W357" s="691">
        <f>+SUM(W354:W356)</f>
        <v>1</v>
      </c>
    </row>
    <row r="358" spans="1:39" s="353" customFormat="1" ht="15.75" hidden="1" customHeight="1" x14ac:dyDescent="0.3">
      <c r="A358" s="690" t="s">
        <v>3076</v>
      </c>
      <c r="B358" s="352"/>
      <c r="C358" s="352"/>
      <c r="D358" s="352"/>
      <c r="E358" s="331">
        <f>SUM(B358:D358)</f>
        <v>0</v>
      </c>
      <c r="F358" s="352"/>
      <c r="G358" s="352"/>
      <c r="H358" s="352"/>
      <c r="I358" s="331">
        <f>SUM(F358:H358)</f>
        <v>0</v>
      </c>
      <c r="J358" s="352"/>
      <c r="K358" s="352"/>
      <c r="L358" s="352"/>
      <c r="M358" s="331">
        <f>SUM(J358:L358)</f>
        <v>0</v>
      </c>
      <c r="N358" s="352"/>
      <c r="O358" s="352"/>
      <c r="P358" s="352"/>
      <c r="Q358" s="331">
        <f>SUM(N358:P358)</f>
        <v>0</v>
      </c>
      <c r="R358" s="331">
        <f t="shared" ref="R358:R368" si="85">+E358+I358+M358+Q358</f>
        <v>0</v>
      </c>
      <c r="S358"/>
      <c r="V358" s="831" t="s">
        <v>3011</v>
      </c>
      <c r="W358" s="832"/>
      <c r="X358" s="832"/>
      <c r="Y358" s="832"/>
      <c r="Z358" s="832"/>
      <c r="AA358" s="832"/>
      <c r="AB358" s="832"/>
      <c r="AC358" s="832"/>
      <c r="AD358" s="832"/>
      <c r="AE358" s="832"/>
      <c r="AF358" s="832"/>
      <c r="AG358" s="832"/>
      <c r="AH358" s="832"/>
      <c r="AI358" s="832"/>
      <c r="AJ358" s="832"/>
      <c r="AK358" s="832"/>
      <c r="AL358" s="832"/>
      <c r="AM358" s="833"/>
    </row>
    <row r="359" spans="1:39" ht="15.75" hidden="1" customHeight="1" x14ac:dyDescent="0.3">
      <c r="A359" s="256" t="s">
        <v>2099</v>
      </c>
      <c r="B359" s="10">
        <v>50</v>
      </c>
      <c r="C359" s="10">
        <v>46</v>
      </c>
      <c r="D359" s="10">
        <v>1730</v>
      </c>
      <c r="E359" s="38">
        <f>SUM(B359:D359)</f>
        <v>1826</v>
      </c>
      <c r="F359" s="10">
        <v>1534</v>
      </c>
      <c r="G359" s="10">
        <v>1098</v>
      </c>
      <c r="H359" s="10">
        <v>3563</v>
      </c>
      <c r="I359" s="38">
        <f>SUM(F359:H359)</f>
        <v>6195</v>
      </c>
      <c r="J359" s="10">
        <v>2715</v>
      </c>
      <c r="K359" s="10">
        <v>2510</v>
      </c>
      <c r="L359" s="10">
        <v>579</v>
      </c>
      <c r="M359" s="38">
        <f>SUM(J359:L359)</f>
        <v>5804</v>
      </c>
      <c r="N359" s="10"/>
      <c r="O359" s="10"/>
      <c r="P359" s="10"/>
      <c r="Q359" s="38">
        <f>SUM(N359:P359)</f>
        <v>0</v>
      </c>
      <c r="R359" s="38">
        <f t="shared" si="85"/>
        <v>13825</v>
      </c>
      <c r="T359" t="s">
        <v>2174</v>
      </c>
      <c r="V359" s="693" t="s">
        <v>2610</v>
      </c>
      <c r="W359" s="18" t="s">
        <v>2090</v>
      </c>
      <c r="X359" s="680" t="s">
        <v>2091</v>
      </c>
      <c r="Y359" s="680" t="s">
        <v>2234</v>
      </c>
      <c r="Z359" s="692" t="s">
        <v>1594</v>
      </c>
      <c r="AA359" s="680" t="s">
        <v>2235</v>
      </c>
      <c r="AB359" s="680" t="s">
        <v>2236</v>
      </c>
      <c r="AC359" s="680" t="s">
        <v>2237</v>
      </c>
      <c r="AD359" s="692" t="s">
        <v>1595</v>
      </c>
      <c r="AE359" s="680" t="s">
        <v>1504</v>
      </c>
      <c r="AF359" s="680" t="s">
        <v>1505</v>
      </c>
      <c r="AG359" s="680" t="s">
        <v>1506</v>
      </c>
      <c r="AH359" s="692" t="s">
        <v>1596</v>
      </c>
      <c r="AI359" s="680" t="s">
        <v>1507</v>
      </c>
      <c r="AJ359" s="680" t="s">
        <v>1508</v>
      </c>
      <c r="AK359" s="680" t="s">
        <v>1509</v>
      </c>
      <c r="AL359" s="692" t="s">
        <v>1597</v>
      </c>
      <c r="AM359" s="694" t="s">
        <v>1510</v>
      </c>
    </row>
    <row r="360" spans="1:39" ht="15.75" hidden="1" customHeight="1" x14ac:dyDescent="0.3">
      <c r="A360" s="256" t="s">
        <v>357</v>
      </c>
      <c r="B360" s="172"/>
      <c r="C360" s="172"/>
      <c r="D360" s="172"/>
      <c r="E360" s="38">
        <f>SUM(B360:D360)</f>
        <v>0</v>
      </c>
      <c r="F360" s="172"/>
      <c r="G360" s="172"/>
      <c r="H360" s="172"/>
      <c r="I360" s="38">
        <f>SUM(F360:H360)</f>
        <v>0</v>
      </c>
      <c r="J360" s="172"/>
      <c r="K360" s="172"/>
      <c r="L360" s="172"/>
      <c r="M360" s="38">
        <f>SUM(J360:L360)</f>
        <v>0</v>
      </c>
      <c r="N360" s="172"/>
      <c r="O360" s="172"/>
      <c r="P360" s="172"/>
      <c r="Q360" s="38">
        <f>SUM(N360:P360)</f>
        <v>0</v>
      </c>
      <c r="R360" s="38">
        <f t="shared" si="85"/>
        <v>0</v>
      </c>
      <c r="T360" t="s">
        <v>2175</v>
      </c>
      <c r="V360" s="579" t="s">
        <v>3014</v>
      </c>
      <c r="W360" s="696">
        <v>1500</v>
      </c>
      <c r="X360" s="696">
        <v>1500</v>
      </c>
      <c r="Y360" s="696">
        <v>6800</v>
      </c>
      <c r="Z360">
        <f>+SUM(W360:Y360)</f>
        <v>9800</v>
      </c>
      <c r="AA360" s="696">
        <f>8000+1500</f>
        <v>9500</v>
      </c>
      <c r="AB360" s="696">
        <f>10000+2000</f>
        <v>12000</v>
      </c>
      <c r="AC360" s="696">
        <f>12000+1500</f>
        <v>13500</v>
      </c>
      <c r="AD360">
        <f>+SUM(AA360:AC360)</f>
        <v>35000</v>
      </c>
      <c r="AE360" s="696">
        <v>25500</v>
      </c>
      <c r="AF360" s="696">
        <v>19000</v>
      </c>
      <c r="AG360" s="696">
        <v>4000</v>
      </c>
      <c r="AH360">
        <f>+SUM(AE360:AG360)</f>
        <v>48500</v>
      </c>
      <c r="AI360" s="696">
        <v>1500</v>
      </c>
      <c r="AJ360" s="696">
        <v>1000</v>
      </c>
      <c r="AK360" s="696">
        <v>1069</v>
      </c>
      <c r="AL360">
        <f>+SUM(AI360:AK360)</f>
        <v>3569</v>
      </c>
      <c r="AM360" s="561">
        <f>+Z360+AD360+AH360+AL360</f>
        <v>96869</v>
      </c>
    </row>
    <row r="361" spans="1:39" ht="15.75" hidden="1" customHeight="1" x14ac:dyDescent="0.3">
      <c r="A361" s="311" t="s">
        <v>909</v>
      </c>
      <c r="B361" s="172">
        <v>398</v>
      </c>
      <c r="C361" s="172">
        <v>1986</v>
      </c>
      <c r="D361" s="172">
        <v>5759</v>
      </c>
      <c r="E361" s="38">
        <f t="shared" ref="E361:E366" si="86">SUM(B361:D361)</f>
        <v>8143</v>
      </c>
      <c r="F361" s="172">
        <v>6811</v>
      </c>
      <c r="G361" s="172">
        <v>8736</v>
      </c>
      <c r="H361" s="172">
        <v>8912</v>
      </c>
      <c r="I361" s="38">
        <f t="shared" ref="I361:I366" si="87">SUM(F361:H361)</f>
        <v>24459</v>
      </c>
      <c r="J361" s="172"/>
      <c r="K361" s="172">
        <v>2949</v>
      </c>
      <c r="L361" s="172">
        <v>2000</v>
      </c>
      <c r="M361" s="38">
        <f t="shared" ref="M361:M366" si="88">SUM(J361:L361)</f>
        <v>4949</v>
      </c>
      <c r="N361" s="172"/>
      <c r="O361" s="172"/>
      <c r="P361" s="172"/>
      <c r="Q361" s="38">
        <f t="shared" ref="Q361:Q368" si="89">SUM(N361:P361)</f>
        <v>0</v>
      </c>
      <c r="R361" s="38">
        <f t="shared" si="85"/>
        <v>37551</v>
      </c>
      <c r="T361" t="s">
        <v>2776</v>
      </c>
      <c r="V361" s="579" t="s">
        <v>2174</v>
      </c>
      <c r="W361">
        <f>+$W$354*W360</f>
        <v>270</v>
      </c>
      <c r="X361">
        <f>+$W$354*X360</f>
        <v>270</v>
      </c>
      <c r="Y361">
        <f>+$W$354*Y360</f>
        <v>1224</v>
      </c>
      <c r="Z361">
        <f>+SUM(W361:Y361)</f>
        <v>1764</v>
      </c>
      <c r="AA361">
        <f>+$W$354*AA360</f>
        <v>1710</v>
      </c>
      <c r="AB361">
        <f>+$W$354*AB360</f>
        <v>2160</v>
      </c>
      <c r="AC361">
        <f>+$W$354*AC360</f>
        <v>2430</v>
      </c>
      <c r="AD361">
        <f>+SUM(AA361:AC361)</f>
        <v>6300</v>
      </c>
      <c r="AE361">
        <f>+$W$354*AE360</f>
        <v>4590</v>
      </c>
      <c r="AF361">
        <f>+$W$354*AF360</f>
        <v>3420</v>
      </c>
      <c r="AG361">
        <f>+$W$354*AG360</f>
        <v>720</v>
      </c>
      <c r="AH361">
        <f>+SUM(AE361:AG361)</f>
        <v>8730</v>
      </c>
      <c r="AI361">
        <f>+$W$354*AI360</f>
        <v>270</v>
      </c>
      <c r="AJ361">
        <f>+$W$354*AJ360</f>
        <v>180</v>
      </c>
      <c r="AK361">
        <f>+$W$354*AK360</f>
        <v>192.42</v>
      </c>
      <c r="AL361">
        <f>+SUM(AI361:AK361)</f>
        <v>642.41999999999996</v>
      </c>
      <c r="AM361" s="561">
        <f>+Z361+AD361+AH361+AL361</f>
        <v>17436.419999999998</v>
      </c>
    </row>
    <row r="362" spans="1:39" ht="15.75" customHeight="1" x14ac:dyDescent="0.3">
      <c r="A362" s="410" t="s">
        <v>2539</v>
      </c>
      <c r="B362" s="356">
        <v>131</v>
      </c>
      <c r="C362" s="172">
        <v>7941</v>
      </c>
      <c r="D362" s="172">
        <v>7347</v>
      </c>
      <c r="E362" s="38">
        <f t="shared" si="86"/>
        <v>15419</v>
      </c>
      <c r="F362" s="356">
        <v>8951</v>
      </c>
      <c r="G362" s="172">
        <v>18383</v>
      </c>
      <c r="H362" s="172">
        <v>20410</v>
      </c>
      <c r="I362" s="38">
        <f t="shared" si="87"/>
        <v>47744</v>
      </c>
      <c r="J362" s="172">
        <v>10201</v>
      </c>
      <c r="K362" s="172">
        <v>8306</v>
      </c>
      <c r="L362" s="172">
        <v>6170</v>
      </c>
      <c r="M362" s="38">
        <f t="shared" si="88"/>
        <v>24677</v>
      </c>
      <c r="N362" s="172">
        <v>8043</v>
      </c>
      <c r="O362" s="172">
        <v>1594</v>
      </c>
      <c r="P362" s="172">
        <v>3472</v>
      </c>
      <c r="Q362" s="38">
        <f t="shared" si="89"/>
        <v>13109</v>
      </c>
      <c r="R362" s="38">
        <f t="shared" si="85"/>
        <v>100949</v>
      </c>
      <c r="T362" t="s">
        <v>2174</v>
      </c>
      <c r="V362" s="579" t="s">
        <v>500</v>
      </c>
      <c r="W362">
        <f>+$W$355*W360</f>
        <v>780</v>
      </c>
      <c r="X362">
        <f>+$W$355*X360</f>
        <v>780</v>
      </c>
      <c r="Y362">
        <f>+$W$355*Y360</f>
        <v>3536</v>
      </c>
      <c r="Z362">
        <f>+SUM(W362:Y362)</f>
        <v>5096</v>
      </c>
      <c r="AA362">
        <f>+$W$355*AA360</f>
        <v>4940</v>
      </c>
      <c r="AB362">
        <f>+$W$355*AB360</f>
        <v>6240</v>
      </c>
      <c r="AC362">
        <f>+$W$355*AC360</f>
        <v>7020</v>
      </c>
      <c r="AD362">
        <f>+SUM(AA362:AC362)</f>
        <v>18200</v>
      </c>
      <c r="AE362">
        <f>+$W$355*AE360</f>
        <v>13260</v>
      </c>
      <c r="AF362">
        <f>+$W$355*AF360</f>
        <v>9880</v>
      </c>
      <c r="AG362">
        <f>+$W$355*AG360</f>
        <v>2080</v>
      </c>
      <c r="AH362">
        <f>+SUM(AE362:AG362)</f>
        <v>25220</v>
      </c>
      <c r="AI362">
        <f>+$W$355*AI360</f>
        <v>780</v>
      </c>
      <c r="AJ362">
        <f>+$W$355*AJ360</f>
        <v>520</v>
      </c>
      <c r="AK362">
        <f>+$W$355*AK360</f>
        <v>555.88</v>
      </c>
      <c r="AL362">
        <f>+SUM(AI362:AK362)</f>
        <v>1855.88</v>
      </c>
      <c r="AM362" s="561">
        <f>+Z362+AD362+AH362+AL362</f>
        <v>50371.88</v>
      </c>
    </row>
    <row r="363" spans="1:39" ht="15.75" hidden="1" customHeight="1" x14ac:dyDescent="0.3">
      <c r="A363" s="410" t="s">
        <v>2728</v>
      </c>
      <c r="B363" s="172"/>
      <c r="C363" s="172"/>
      <c r="D363" s="172"/>
      <c r="E363" s="38">
        <f t="shared" si="86"/>
        <v>0</v>
      </c>
      <c r="F363" s="172"/>
      <c r="G363" s="172"/>
      <c r="H363" s="172"/>
      <c r="I363" s="38">
        <f t="shared" si="87"/>
        <v>0</v>
      </c>
      <c r="J363" s="172"/>
      <c r="K363" s="172"/>
      <c r="L363" s="172"/>
      <c r="M363" s="38">
        <f t="shared" si="88"/>
        <v>0</v>
      </c>
      <c r="N363" s="172"/>
      <c r="O363" s="172"/>
      <c r="P363" s="172"/>
      <c r="Q363" s="38">
        <f t="shared" si="89"/>
        <v>0</v>
      </c>
      <c r="R363" s="38">
        <f t="shared" si="85"/>
        <v>0</v>
      </c>
      <c r="T363" t="s">
        <v>2777</v>
      </c>
      <c r="V363" s="579" t="s">
        <v>505</v>
      </c>
      <c r="W363">
        <f>+$W$356*W360</f>
        <v>450</v>
      </c>
      <c r="X363">
        <f>+$W$356*X360</f>
        <v>450</v>
      </c>
      <c r="Y363">
        <f>+$W$356*Y360</f>
        <v>2040</v>
      </c>
      <c r="Z363">
        <f>+SUM(W363:Y363)</f>
        <v>2940</v>
      </c>
      <c r="AA363">
        <f>+$W$356*AA360</f>
        <v>2850</v>
      </c>
      <c r="AB363">
        <f>+$W$356*AB360</f>
        <v>3600</v>
      </c>
      <c r="AC363">
        <f>+$W$356*AC360</f>
        <v>4050</v>
      </c>
      <c r="AD363">
        <f>+SUM(AA363:AC363)</f>
        <v>10500</v>
      </c>
      <c r="AE363">
        <f>+$W$356*AE360</f>
        <v>7650</v>
      </c>
      <c r="AF363">
        <f>+$W$356*AF360</f>
        <v>5700</v>
      </c>
      <c r="AG363">
        <f>+$W$356*AG360</f>
        <v>1200</v>
      </c>
      <c r="AH363">
        <f>+SUM(AE363:AG363)</f>
        <v>14550</v>
      </c>
      <c r="AI363">
        <f>+$W$356*AI360</f>
        <v>450</v>
      </c>
      <c r="AJ363">
        <f>+$W$356*AJ360</f>
        <v>300</v>
      </c>
      <c r="AK363">
        <f>+$W$356*AK360</f>
        <v>320.7</v>
      </c>
      <c r="AL363">
        <f>+$W$356*AL360</f>
        <v>1070.7</v>
      </c>
      <c r="AM363" s="561">
        <f>+Z363+AD363+AH363+AL363</f>
        <v>29060.7</v>
      </c>
    </row>
    <row r="364" spans="1:39" ht="15.75" hidden="1" customHeight="1" thickBot="1" x14ac:dyDescent="0.35">
      <c r="A364" s="410" t="s">
        <v>2814</v>
      </c>
      <c r="B364" s="172">
        <v>372</v>
      </c>
      <c r="C364" s="172">
        <v>2044</v>
      </c>
      <c r="D364" s="172">
        <v>2126</v>
      </c>
      <c r="E364" s="38">
        <f t="shared" si="86"/>
        <v>4542</v>
      </c>
      <c r="F364" s="172"/>
      <c r="G364" s="172"/>
      <c r="H364" s="172"/>
      <c r="I364" s="38">
        <f t="shared" si="87"/>
        <v>0</v>
      </c>
      <c r="J364" s="172"/>
      <c r="K364" s="172"/>
      <c r="L364" s="172"/>
      <c r="M364" s="38">
        <f t="shared" si="88"/>
        <v>0</v>
      </c>
      <c r="N364" s="172"/>
      <c r="O364" s="172"/>
      <c r="P364" s="172">
        <v>56</v>
      </c>
      <c r="Q364" s="38">
        <f t="shared" si="89"/>
        <v>56</v>
      </c>
      <c r="R364" s="38">
        <f t="shared" si="85"/>
        <v>4598</v>
      </c>
      <c r="T364" t="s">
        <v>2175</v>
      </c>
      <c r="V364" s="580"/>
      <c r="W364" s="581"/>
      <c r="X364" s="581"/>
      <c r="Y364" s="581"/>
      <c r="Z364" s="581"/>
      <c r="AA364" s="581"/>
      <c r="AB364" s="581"/>
      <c r="AC364" s="581"/>
      <c r="AD364" s="581"/>
      <c r="AE364" s="581"/>
      <c r="AF364" s="581"/>
      <c r="AG364" s="581"/>
      <c r="AH364" s="581"/>
      <c r="AI364" s="581"/>
      <c r="AJ364" s="581"/>
      <c r="AK364" s="581"/>
      <c r="AL364" s="581"/>
      <c r="AM364" s="565"/>
    </row>
    <row r="365" spans="1:39" ht="15.75" hidden="1" customHeight="1" x14ac:dyDescent="0.3">
      <c r="A365" s="410" t="s">
        <v>2779</v>
      </c>
      <c r="B365" s="172"/>
      <c r="C365" s="172"/>
      <c r="D365" s="172"/>
      <c r="E365" s="38">
        <f t="shared" si="86"/>
        <v>0</v>
      </c>
      <c r="F365" s="172"/>
      <c r="G365" s="172"/>
      <c r="H365" s="172"/>
      <c r="I365" s="38">
        <f t="shared" si="87"/>
        <v>0</v>
      </c>
      <c r="J365" s="172"/>
      <c r="K365" s="172"/>
      <c r="L365" s="172"/>
      <c r="M365" s="38">
        <f t="shared" si="88"/>
        <v>0</v>
      </c>
      <c r="N365" s="172"/>
      <c r="O365" s="172"/>
      <c r="P365" s="172"/>
      <c r="Q365" s="38">
        <f t="shared" si="89"/>
        <v>0</v>
      </c>
      <c r="R365" s="38">
        <f t="shared" si="85"/>
        <v>0</v>
      </c>
      <c r="T365" t="s">
        <v>2178</v>
      </c>
    </row>
    <row r="366" spans="1:39" ht="15.75" hidden="1" customHeight="1" x14ac:dyDescent="0.3">
      <c r="A366" s="256" t="s">
        <v>1513</v>
      </c>
      <c r="B366" s="172"/>
      <c r="C366" s="172"/>
      <c r="D366" s="172"/>
      <c r="E366" s="38">
        <f t="shared" si="86"/>
        <v>0</v>
      </c>
      <c r="F366" s="172"/>
      <c r="G366" s="172"/>
      <c r="H366" s="172">
        <v>142</v>
      </c>
      <c r="I366" s="38">
        <f t="shared" si="87"/>
        <v>142</v>
      </c>
      <c r="J366" s="172">
        <v>1872</v>
      </c>
      <c r="K366" s="172">
        <v>2328</v>
      </c>
      <c r="L366" s="172">
        <v>1752</v>
      </c>
      <c r="M366" s="38">
        <f t="shared" si="88"/>
        <v>5952</v>
      </c>
      <c r="N366" s="172">
        <v>51</v>
      </c>
      <c r="O366" s="172">
        <v>177</v>
      </c>
      <c r="P366" s="172">
        <v>713</v>
      </c>
      <c r="Q366" s="38">
        <f t="shared" si="89"/>
        <v>941</v>
      </c>
      <c r="R366" s="38">
        <f t="shared" si="85"/>
        <v>7035</v>
      </c>
    </row>
    <row r="367" spans="1:39" ht="15.75" hidden="1" customHeight="1" x14ac:dyDescent="0.3">
      <c r="A367" s="234" t="s">
        <v>2165</v>
      </c>
      <c r="B367" s="172"/>
      <c r="C367" s="172"/>
      <c r="D367" s="172"/>
      <c r="E367" s="38" t="s">
        <v>852</v>
      </c>
      <c r="F367" s="172"/>
      <c r="G367" s="172"/>
      <c r="H367" s="172"/>
      <c r="I367" s="38" t="s">
        <v>852</v>
      </c>
      <c r="J367" s="172"/>
      <c r="K367" s="172"/>
      <c r="L367" s="172"/>
      <c r="M367" s="38" t="s">
        <v>852</v>
      </c>
      <c r="N367" s="172"/>
      <c r="O367" s="172"/>
      <c r="P367" s="172"/>
      <c r="Q367" s="38" t="s">
        <v>852</v>
      </c>
      <c r="R367" s="38" t="s">
        <v>852</v>
      </c>
    </row>
    <row r="368" spans="1:39" ht="15.75" hidden="1" customHeight="1" thickBot="1" x14ac:dyDescent="0.35">
      <c r="A368" s="410" t="s">
        <v>2779</v>
      </c>
      <c r="B368" s="172"/>
      <c r="C368" s="172"/>
      <c r="D368" s="172"/>
      <c r="E368" s="38"/>
      <c r="F368" s="172"/>
      <c r="G368" s="172"/>
      <c r="H368" s="172"/>
      <c r="I368" s="38"/>
      <c r="J368" s="172"/>
      <c r="K368" s="172"/>
      <c r="L368" s="172"/>
      <c r="M368" s="38"/>
      <c r="N368" s="172"/>
      <c r="O368" s="172"/>
      <c r="P368" s="172">
        <v>41</v>
      </c>
      <c r="Q368" s="38">
        <f t="shared" si="89"/>
        <v>41</v>
      </c>
      <c r="R368" s="38">
        <f t="shared" si="85"/>
        <v>41</v>
      </c>
    </row>
    <row r="369" spans="1:20" ht="16.5" hidden="1" customHeight="1" thickBot="1" x14ac:dyDescent="0.35">
      <c r="A369" s="43" t="s">
        <v>1219</v>
      </c>
      <c r="B369" s="45">
        <f>SUM(B355:B368)</f>
        <v>951</v>
      </c>
      <c r="C369" s="46">
        <f t="shared" ref="C369:D369" si="90">SUM(C355:C368)</f>
        <v>12017</v>
      </c>
      <c r="D369" s="46">
        <f t="shared" si="90"/>
        <v>16962</v>
      </c>
      <c r="E369" s="37">
        <f>SUM(B369:D369)</f>
        <v>29930</v>
      </c>
      <c r="F369" s="46">
        <f t="shared" ref="F369:H369" si="91">SUM(F355:F368)</f>
        <v>17296</v>
      </c>
      <c r="G369" s="46">
        <f t="shared" si="91"/>
        <v>28217</v>
      </c>
      <c r="H369" s="46">
        <f t="shared" si="91"/>
        <v>33027</v>
      </c>
      <c r="I369" s="37">
        <f>SUM(F369:H369)</f>
        <v>78540</v>
      </c>
      <c r="J369" s="46">
        <f t="shared" ref="J369:L369" si="92">SUM(J355:J368)</f>
        <v>14788</v>
      </c>
      <c r="K369" s="46">
        <f t="shared" si="92"/>
        <v>16093</v>
      </c>
      <c r="L369" s="46">
        <f t="shared" si="92"/>
        <v>10501</v>
      </c>
      <c r="M369" s="37">
        <f>SUM(J369:L369)</f>
        <v>41382</v>
      </c>
      <c r="N369" s="46">
        <f t="shared" ref="N369:P369" si="93">SUM(N355:N368)</f>
        <v>8094</v>
      </c>
      <c r="O369" s="46">
        <f t="shared" si="93"/>
        <v>1771</v>
      </c>
      <c r="P369" s="46">
        <f t="shared" si="93"/>
        <v>4282</v>
      </c>
      <c r="Q369" s="37">
        <f>SUM(N369:P369)</f>
        <v>14147</v>
      </c>
      <c r="R369" s="37">
        <f>+E369+I369+M369+Q369</f>
        <v>163999</v>
      </c>
    </row>
    <row r="370" spans="1:20" ht="15.75" hidden="1" customHeight="1" x14ac:dyDescent="0.3">
      <c r="A370" s="234" t="s">
        <v>2166</v>
      </c>
      <c r="B370" s="172"/>
      <c r="C370" s="172"/>
      <c r="D370" s="172"/>
      <c r="E370" s="38" t="s">
        <v>852</v>
      </c>
      <c r="F370" s="172"/>
      <c r="G370" s="172"/>
      <c r="H370" s="172"/>
      <c r="I370" s="38" t="s">
        <v>852</v>
      </c>
      <c r="J370" s="172"/>
      <c r="K370" s="172"/>
      <c r="L370" s="172"/>
      <c r="M370" s="38" t="s">
        <v>852</v>
      </c>
      <c r="N370" s="172"/>
      <c r="O370" s="172"/>
      <c r="P370" s="172"/>
      <c r="Q370" s="38" t="s">
        <v>852</v>
      </c>
      <c r="R370" s="38" t="s">
        <v>852</v>
      </c>
    </row>
    <row r="371" spans="1:20" ht="15.75" hidden="1" customHeight="1" x14ac:dyDescent="0.3">
      <c r="A371" s="234" t="s">
        <v>1245</v>
      </c>
      <c r="B371" s="172"/>
      <c r="C371" s="172"/>
      <c r="D371" s="172"/>
      <c r="E371" s="38" t="s">
        <v>852</v>
      </c>
      <c r="F371" s="172"/>
      <c r="G371" s="172"/>
      <c r="H371" s="172"/>
      <c r="I371" s="38" t="s">
        <v>852</v>
      </c>
      <c r="J371" s="172"/>
      <c r="K371" s="172"/>
      <c r="L371" s="172"/>
      <c r="M371" s="38" t="s">
        <v>852</v>
      </c>
      <c r="N371" s="172"/>
      <c r="O371" s="172"/>
      <c r="P371" s="172"/>
      <c r="Q371" s="38" t="s">
        <v>852</v>
      </c>
      <c r="R371" s="38" t="s">
        <v>852</v>
      </c>
    </row>
    <row r="372" spans="1:20" ht="15.75" hidden="1" customHeight="1" x14ac:dyDescent="0.3">
      <c r="A372" s="256" t="s">
        <v>727</v>
      </c>
      <c r="B372" s="172">
        <v>1381</v>
      </c>
      <c r="C372" s="172">
        <v>5497</v>
      </c>
      <c r="D372" s="172">
        <v>7533</v>
      </c>
      <c r="E372" s="38">
        <f>SUM(B372:D372)</f>
        <v>14411</v>
      </c>
      <c r="F372" s="172">
        <v>9399</v>
      </c>
      <c r="G372" s="172">
        <v>12770</v>
      </c>
      <c r="H372" s="172">
        <v>12598</v>
      </c>
      <c r="I372" s="38">
        <f>SUM(F372:H372)</f>
        <v>34767</v>
      </c>
      <c r="J372" s="172">
        <v>10262</v>
      </c>
      <c r="K372" s="172">
        <v>6731</v>
      </c>
      <c r="L372" s="172">
        <v>3206</v>
      </c>
      <c r="M372" s="38">
        <f>SUM(J372:L372)</f>
        <v>20199</v>
      </c>
      <c r="N372" s="172">
        <v>2522</v>
      </c>
      <c r="O372" s="172">
        <v>737</v>
      </c>
      <c r="P372" s="172">
        <v>1272</v>
      </c>
      <c r="Q372" s="38">
        <f>SUM(N372:P372)</f>
        <v>4531</v>
      </c>
      <c r="R372" s="38">
        <f>+E372+I372+M372+Q372</f>
        <v>73908</v>
      </c>
      <c r="T372" t="s">
        <v>2174</v>
      </c>
    </row>
    <row r="373" spans="1:20" ht="15.75" hidden="1" customHeight="1" x14ac:dyDescent="0.3">
      <c r="A373" s="410" t="s">
        <v>2618</v>
      </c>
      <c r="B373" s="10">
        <f>80+1932</f>
        <v>2012</v>
      </c>
      <c r="C373" s="10">
        <f>548+1477</f>
        <v>2025</v>
      </c>
      <c r="D373" s="10">
        <f>437+192</f>
        <v>629</v>
      </c>
      <c r="E373" s="38">
        <f>SUM(B373:D373)</f>
        <v>4666</v>
      </c>
      <c r="F373" s="10">
        <v>597</v>
      </c>
      <c r="G373" s="10">
        <f>603+118</f>
        <v>721</v>
      </c>
      <c r="H373" s="10">
        <f>9151</f>
        <v>9151</v>
      </c>
      <c r="I373" s="38">
        <f>SUM(F373:H373)</f>
        <v>10469</v>
      </c>
      <c r="J373" s="10">
        <v>14635</v>
      </c>
      <c r="K373" s="10">
        <v>10711</v>
      </c>
      <c r="L373" s="10">
        <v>7874</v>
      </c>
      <c r="M373" s="38">
        <f>SUM(J373:L373)</f>
        <v>33220</v>
      </c>
      <c r="N373" s="10">
        <f>630+5461</f>
        <v>6091</v>
      </c>
      <c r="O373" s="10"/>
      <c r="P373" s="10">
        <v>3647</v>
      </c>
      <c r="Q373" s="38">
        <f>SUM(N373:P373)</f>
        <v>9738</v>
      </c>
      <c r="R373" s="38">
        <f>+E373+I373+M373+Q373</f>
        <v>58093</v>
      </c>
      <c r="T373" t="s">
        <v>2176</v>
      </c>
    </row>
    <row r="374" spans="1:20" ht="15.75" hidden="1" customHeight="1" x14ac:dyDescent="0.3">
      <c r="A374" s="234" t="s">
        <v>1711</v>
      </c>
      <c r="B374" s="172"/>
      <c r="C374" s="172"/>
      <c r="D374" s="172"/>
      <c r="E374" s="38" t="s">
        <v>852</v>
      </c>
      <c r="F374" s="172"/>
      <c r="G374" s="172"/>
      <c r="H374" s="172"/>
      <c r="I374" s="38" t="s">
        <v>852</v>
      </c>
      <c r="J374" s="172"/>
      <c r="K374" s="172"/>
      <c r="L374" s="172"/>
      <c r="M374" s="38" t="s">
        <v>852</v>
      </c>
      <c r="N374" s="172"/>
      <c r="O374" s="172"/>
      <c r="P374" s="172"/>
      <c r="Q374" s="38" t="s">
        <v>852</v>
      </c>
      <c r="R374" s="38" t="s">
        <v>852</v>
      </c>
    </row>
    <row r="375" spans="1:20" ht="15.75" hidden="1" customHeight="1" x14ac:dyDescent="0.3">
      <c r="A375" s="410" t="s">
        <v>3048</v>
      </c>
      <c r="B375" s="10">
        <v>972</v>
      </c>
      <c r="C375" s="10"/>
      <c r="D375" s="10"/>
      <c r="E375" s="38">
        <f t="shared" ref="E375:E411" si="94">SUM(B375:D375)</f>
        <v>972</v>
      </c>
      <c r="F375" s="10"/>
      <c r="G375" s="10"/>
      <c r="H375" s="10"/>
      <c r="I375" s="38">
        <f t="shared" ref="I375:I411" si="95">SUM(F375:H375)</f>
        <v>0</v>
      </c>
      <c r="J375" s="10"/>
      <c r="K375" s="10"/>
      <c r="L375" s="10"/>
      <c r="M375" s="38">
        <f t="shared" ref="M375:M411" si="96">SUM(J375:L375)</f>
        <v>0</v>
      </c>
      <c r="N375" s="10"/>
      <c r="O375" s="10"/>
      <c r="P375" s="10"/>
      <c r="Q375" s="38">
        <f t="shared" ref="Q375:Q411" si="97">SUM(N375:P375)</f>
        <v>0</v>
      </c>
      <c r="R375" s="38">
        <f>+E375+I375+M375+Q375</f>
        <v>972</v>
      </c>
      <c r="T375" t="s">
        <v>1358</v>
      </c>
    </row>
    <row r="376" spans="1:20" ht="15.75" hidden="1" customHeight="1" x14ac:dyDescent="0.3">
      <c r="A376" s="410" t="s">
        <v>2781</v>
      </c>
      <c r="B376" s="172">
        <v>466</v>
      </c>
      <c r="C376" s="172">
        <v>985</v>
      </c>
      <c r="D376" s="172">
        <v>86</v>
      </c>
      <c r="E376" s="38">
        <f t="shared" si="94"/>
        <v>1537</v>
      </c>
      <c r="F376" s="172"/>
      <c r="G376" s="172"/>
      <c r="H376" s="172"/>
      <c r="I376" s="38">
        <f t="shared" si="95"/>
        <v>0</v>
      </c>
      <c r="J376" s="172"/>
      <c r="K376" s="172"/>
      <c r="L376" s="172"/>
      <c r="M376" s="38">
        <f t="shared" si="96"/>
        <v>0</v>
      </c>
      <c r="N376" s="172"/>
      <c r="O376" s="172"/>
      <c r="P376" s="172"/>
      <c r="Q376" s="38">
        <f t="shared" si="97"/>
        <v>0</v>
      </c>
      <c r="R376" s="38">
        <f>+E376+I376+M376+Q376</f>
        <v>1537</v>
      </c>
      <c r="T376" t="s">
        <v>2780</v>
      </c>
    </row>
    <row r="377" spans="1:20" ht="15.75" hidden="1" customHeight="1" x14ac:dyDescent="0.3">
      <c r="A377" s="410" t="s">
        <v>2782</v>
      </c>
      <c r="B377" s="172"/>
      <c r="C377" s="172"/>
      <c r="D377" s="172"/>
      <c r="E377" s="38">
        <f t="shared" si="94"/>
        <v>0</v>
      </c>
      <c r="F377" s="172"/>
      <c r="G377" s="172"/>
      <c r="H377" s="172"/>
      <c r="I377" s="38">
        <f t="shared" si="95"/>
        <v>0</v>
      </c>
      <c r="J377" s="172"/>
      <c r="K377" s="172"/>
      <c r="L377" s="172"/>
      <c r="M377" s="38">
        <f t="shared" si="96"/>
        <v>0</v>
      </c>
      <c r="N377" s="172"/>
      <c r="O377" s="172"/>
      <c r="P377" s="172"/>
      <c r="Q377" s="38">
        <f t="shared" si="97"/>
        <v>0</v>
      </c>
      <c r="R377" s="38">
        <f>+E377+I377+M377+Q377</f>
        <v>0</v>
      </c>
      <c r="T377" t="s">
        <v>1358</v>
      </c>
    </row>
    <row r="378" spans="1:20" ht="15.75" hidden="1" customHeight="1" x14ac:dyDescent="0.3">
      <c r="A378" s="256" t="s">
        <v>1150</v>
      </c>
      <c r="B378" s="172"/>
      <c r="C378" s="172"/>
      <c r="D378" s="172"/>
      <c r="E378" s="38">
        <f t="shared" si="94"/>
        <v>0</v>
      </c>
      <c r="F378" s="172">
        <v>627</v>
      </c>
      <c r="G378" s="172"/>
      <c r="H378" s="172"/>
      <c r="I378" s="38">
        <f t="shared" si="95"/>
        <v>627</v>
      </c>
      <c r="J378" s="172"/>
      <c r="K378" s="172"/>
      <c r="L378" s="172"/>
      <c r="M378" s="38">
        <f t="shared" si="96"/>
        <v>0</v>
      </c>
      <c r="N378" s="172"/>
      <c r="O378" s="172"/>
      <c r="P378" s="172"/>
      <c r="Q378" s="38">
        <f t="shared" si="97"/>
        <v>0</v>
      </c>
      <c r="R378" s="38">
        <f t="shared" ref="R378:R410" si="98">+E378+I378+M378+Q378</f>
        <v>627</v>
      </c>
    </row>
    <row r="379" spans="1:20" ht="15.75" hidden="1" customHeight="1" x14ac:dyDescent="0.3">
      <c r="A379" s="410" t="s">
        <v>2598</v>
      </c>
      <c r="B379" s="172"/>
      <c r="C379" s="172"/>
      <c r="D379" s="172">
        <v>2230</v>
      </c>
      <c r="E379" s="38">
        <f t="shared" si="94"/>
        <v>2230</v>
      </c>
      <c r="F379" s="172">
        <v>4272</v>
      </c>
      <c r="G379" s="172">
        <v>6818</v>
      </c>
      <c r="H379" s="172">
        <v>6143</v>
      </c>
      <c r="I379" s="38">
        <f t="shared" si="95"/>
        <v>17233</v>
      </c>
      <c r="J379" s="172">
        <v>2002</v>
      </c>
      <c r="K379" s="172">
        <v>2926</v>
      </c>
      <c r="L379" s="172">
        <v>4109</v>
      </c>
      <c r="M379" s="38">
        <f t="shared" si="96"/>
        <v>9037</v>
      </c>
      <c r="N379" s="172"/>
      <c r="O379" s="172">
        <v>1905</v>
      </c>
      <c r="P379" s="172">
        <v>1095</v>
      </c>
      <c r="Q379" s="38">
        <f t="shared" si="97"/>
        <v>3000</v>
      </c>
      <c r="R379" s="38">
        <f>+E379+I379+M379+Q379</f>
        <v>31500</v>
      </c>
      <c r="T379" t="s">
        <v>2178</v>
      </c>
    </row>
    <row r="380" spans="1:20" ht="15.75" hidden="1" customHeight="1" x14ac:dyDescent="0.3">
      <c r="A380" s="410" t="s">
        <v>2978</v>
      </c>
      <c r="B380" s="10"/>
      <c r="C380" s="10"/>
      <c r="D380" s="10"/>
      <c r="E380" s="38">
        <f t="shared" si="94"/>
        <v>0</v>
      </c>
      <c r="F380" s="10"/>
      <c r="G380" s="10"/>
      <c r="H380" s="10"/>
      <c r="I380" s="38">
        <f t="shared" si="95"/>
        <v>0</v>
      </c>
      <c r="J380" s="10"/>
      <c r="K380" s="10"/>
      <c r="L380" s="10"/>
      <c r="M380" s="38">
        <f t="shared" si="96"/>
        <v>0</v>
      </c>
      <c r="N380" s="10"/>
      <c r="O380" s="10">
        <v>46</v>
      </c>
      <c r="P380" s="10">
        <v>822</v>
      </c>
      <c r="Q380" s="38">
        <f t="shared" si="97"/>
        <v>868</v>
      </c>
      <c r="R380" s="38">
        <f t="shared" si="98"/>
        <v>868</v>
      </c>
      <c r="T380" t="s">
        <v>2174</v>
      </c>
    </row>
    <row r="381" spans="1:20" ht="15.75" hidden="1" customHeight="1" x14ac:dyDescent="0.3">
      <c r="A381" s="410" t="s">
        <v>2729</v>
      </c>
      <c r="B381" s="10">
        <v>473</v>
      </c>
      <c r="C381" s="10">
        <v>3000</v>
      </c>
      <c r="D381" s="10">
        <v>4500</v>
      </c>
      <c r="E381" s="38">
        <f t="shared" si="94"/>
        <v>7973</v>
      </c>
      <c r="F381" s="10">
        <v>1166</v>
      </c>
      <c r="G381" s="10">
        <v>3820</v>
      </c>
      <c r="H381" s="10">
        <v>3046</v>
      </c>
      <c r="I381" s="38">
        <f t="shared" si="95"/>
        <v>8032</v>
      </c>
      <c r="J381" s="10">
        <v>6382</v>
      </c>
      <c r="K381" s="10">
        <v>2500</v>
      </c>
      <c r="L381" s="10">
        <v>3577</v>
      </c>
      <c r="M381" s="38">
        <f t="shared" si="96"/>
        <v>12459</v>
      </c>
      <c r="N381" s="10">
        <v>4000</v>
      </c>
      <c r="O381" s="10"/>
      <c r="P381" s="10">
        <v>2406</v>
      </c>
      <c r="Q381" s="38">
        <f t="shared" si="97"/>
        <v>6406</v>
      </c>
      <c r="R381" s="38">
        <f t="shared" si="98"/>
        <v>34870</v>
      </c>
    </row>
    <row r="382" spans="1:20" ht="15.75" customHeight="1" x14ac:dyDescent="0.3">
      <c r="A382" s="311" t="s">
        <v>464</v>
      </c>
      <c r="B382" s="10">
        <v>100</v>
      </c>
      <c r="C382" s="10">
        <v>1760</v>
      </c>
      <c r="D382" s="10">
        <v>3470</v>
      </c>
      <c r="E382" s="38">
        <f t="shared" si="94"/>
        <v>5330</v>
      </c>
      <c r="F382" s="10">
        <v>4910</v>
      </c>
      <c r="G382" s="10">
        <v>6100</v>
      </c>
      <c r="H382" s="10">
        <v>7790</v>
      </c>
      <c r="I382" s="38">
        <f t="shared" si="95"/>
        <v>18800</v>
      </c>
      <c r="J382" s="10">
        <v>2650</v>
      </c>
      <c r="K382" s="10">
        <v>1220</v>
      </c>
      <c r="L382" s="10">
        <v>2500</v>
      </c>
      <c r="M382" s="38">
        <f t="shared" si="96"/>
        <v>6370</v>
      </c>
      <c r="N382" s="10">
        <v>2500</v>
      </c>
      <c r="O382" s="10">
        <v>1500</v>
      </c>
      <c r="P382" s="10">
        <v>500</v>
      </c>
      <c r="Q382" s="38">
        <f t="shared" si="97"/>
        <v>4500</v>
      </c>
      <c r="R382" s="38">
        <f t="shared" si="98"/>
        <v>35000</v>
      </c>
      <c r="T382" t="s">
        <v>2174</v>
      </c>
    </row>
    <row r="383" spans="1:20" ht="15.75" hidden="1" customHeight="1" x14ac:dyDescent="0.3">
      <c r="A383" s="410" t="s">
        <v>1381</v>
      </c>
      <c r="B383" s="10"/>
      <c r="C383" s="10"/>
      <c r="D383" s="10"/>
      <c r="E383" s="38">
        <f t="shared" si="94"/>
        <v>0</v>
      </c>
      <c r="F383" s="10"/>
      <c r="G383" s="10"/>
      <c r="H383" s="10"/>
      <c r="I383" s="38">
        <f t="shared" si="95"/>
        <v>0</v>
      </c>
      <c r="J383" s="10">
        <v>5726</v>
      </c>
      <c r="K383" s="10">
        <v>4540</v>
      </c>
      <c r="L383" s="10">
        <v>2258</v>
      </c>
      <c r="M383" s="38">
        <f t="shared" si="96"/>
        <v>12524</v>
      </c>
      <c r="N383" s="10">
        <v>2521</v>
      </c>
      <c r="O383" s="10">
        <v>146</v>
      </c>
      <c r="P383" s="10">
        <v>2760</v>
      </c>
      <c r="Q383" s="38">
        <f t="shared" si="97"/>
        <v>5427</v>
      </c>
      <c r="R383" s="38">
        <f t="shared" si="98"/>
        <v>17951</v>
      </c>
    </row>
    <row r="384" spans="1:20" ht="15.75" hidden="1" customHeight="1" x14ac:dyDescent="0.3">
      <c r="A384" s="410" t="s">
        <v>3052</v>
      </c>
      <c r="B384" s="10">
        <v>798</v>
      </c>
      <c r="C384" s="10">
        <v>3052</v>
      </c>
      <c r="D384" s="10">
        <v>2650</v>
      </c>
      <c r="E384" s="38">
        <f t="shared" si="94"/>
        <v>6500</v>
      </c>
      <c r="F384" s="10"/>
      <c r="G384" s="10"/>
      <c r="H384" s="10"/>
      <c r="I384" s="38">
        <f t="shared" si="95"/>
        <v>0</v>
      </c>
      <c r="J384" s="10"/>
      <c r="K384" s="10"/>
      <c r="L384" s="10"/>
      <c r="M384" s="38">
        <f t="shared" si="96"/>
        <v>0</v>
      </c>
      <c r="N384" s="10"/>
      <c r="O384" s="10"/>
      <c r="P384" s="10"/>
      <c r="Q384" s="38">
        <f t="shared" si="97"/>
        <v>0</v>
      </c>
      <c r="R384" s="38">
        <f t="shared" si="98"/>
        <v>6500</v>
      </c>
    </row>
    <row r="385" spans="1:20" ht="15.75" hidden="1" customHeight="1" x14ac:dyDescent="0.3">
      <c r="A385" s="410" t="s">
        <v>3036</v>
      </c>
      <c r="B385" s="10">
        <v>100</v>
      </c>
      <c r="C385" s="10">
        <v>102</v>
      </c>
      <c r="D385" s="10">
        <v>120</v>
      </c>
      <c r="E385" s="38">
        <f t="shared" si="94"/>
        <v>322</v>
      </c>
      <c r="F385" s="10">
        <v>103</v>
      </c>
      <c r="G385" s="10">
        <v>110</v>
      </c>
      <c r="H385" s="10">
        <v>127</v>
      </c>
      <c r="I385" s="38">
        <f t="shared" si="95"/>
        <v>340</v>
      </c>
      <c r="J385" s="10">
        <v>124</v>
      </c>
      <c r="K385" s="10">
        <v>158</v>
      </c>
      <c r="L385" s="10">
        <v>56</v>
      </c>
      <c r="M385" s="38">
        <f t="shared" si="96"/>
        <v>338</v>
      </c>
      <c r="N385" s="10"/>
      <c r="O385" s="10"/>
      <c r="P385" s="10"/>
      <c r="Q385" s="38">
        <f t="shared" si="97"/>
        <v>0</v>
      </c>
      <c r="R385" s="38">
        <f t="shared" si="98"/>
        <v>1000</v>
      </c>
    </row>
    <row r="386" spans="1:20" ht="15.75" hidden="1" customHeight="1" x14ac:dyDescent="0.3">
      <c r="A386" s="410" t="s">
        <v>2953</v>
      </c>
      <c r="B386" s="10"/>
      <c r="C386" s="10"/>
      <c r="D386" s="10"/>
      <c r="E386" s="38">
        <f t="shared" si="94"/>
        <v>0</v>
      </c>
      <c r="F386" s="10"/>
      <c r="G386" s="10"/>
      <c r="H386" s="10"/>
      <c r="I386" s="38">
        <f t="shared" si="95"/>
        <v>0</v>
      </c>
      <c r="J386" s="10"/>
      <c r="K386" s="10"/>
      <c r="L386" s="10"/>
      <c r="M386" s="38">
        <f t="shared" si="96"/>
        <v>0</v>
      </c>
      <c r="N386" s="10"/>
      <c r="O386" s="10"/>
      <c r="P386" s="10"/>
      <c r="Q386" s="38">
        <f t="shared" si="97"/>
        <v>0</v>
      </c>
      <c r="R386" s="38">
        <f t="shared" si="98"/>
        <v>0</v>
      </c>
      <c r="T386" t="s">
        <v>1358</v>
      </c>
    </row>
    <row r="387" spans="1:20" ht="15.75" hidden="1" customHeight="1" x14ac:dyDescent="0.3">
      <c r="A387" s="410" t="s">
        <v>3031</v>
      </c>
      <c r="B387" s="10"/>
      <c r="C387" s="10">
        <v>30</v>
      </c>
      <c r="D387" s="10"/>
      <c r="E387" s="38">
        <f t="shared" si="94"/>
        <v>30</v>
      </c>
      <c r="F387" s="10">
        <v>12</v>
      </c>
      <c r="G387" s="10">
        <v>13</v>
      </c>
      <c r="H387" s="10">
        <v>12</v>
      </c>
      <c r="I387" s="38">
        <f t="shared" si="95"/>
        <v>37</v>
      </c>
      <c r="J387" s="10">
        <v>12</v>
      </c>
      <c r="K387" s="10">
        <v>24</v>
      </c>
      <c r="L387" s="10">
        <v>12</v>
      </c>
      <c r="M387" s="38">
        <f t="shared" si="96"/>
        <v>48</v>
      </c>
      <c r="N387" s="10">
        <v>12</v>
      </c>
      <c r="O387" s="10">
        <v>24</v>
      </c>
      <c r="P387" s="10">
        <v>8</v>
      </c>
      <c r="Q387" s="38">
        <f t="shared" si="97"/>
        <v>44</v>
      </c>
      <c r="R387" s="38">
        <f t="shared" si="98"/>
        <v>159</v>
      </c>
      <c r="T387" t="s">
        <v>131</v>
      </c>
    </row>
    <row r="388" spans="1:20" ht="15.75" hidden="1" customHeight="1" x14ac:dyDescent="0.3">
      <c r="A388" s="410" t="s">
        <v>2959</v>
      </c>
      <c r="B388" s="10">
        <v>519</v>
      </c>
      <c r="C388" s="10">
        <v>947</v>
      </c>
      <c r="D388" s="10">
        <v>1113</v>
      </c>
      <c r="E388" s="38">
        <f t="shared" si="94"/>
        <v>2579</v>
      </c>
      <c r="F388" s="10">
        <v>1117</v>
      </c>
      <c r="G388" s="10">
        <v>1156</v>
      </c>
      <c r="H388" s="10">
        <v>230</v>
      </c>
      <c r="I388" s="38">
        <f t="shared" si="95"/>
        <v>2503</v>
      </c>
      <c r="J388" s="10"/>
      <c r="K388" s="10"/>
      <c r="L388" s="10"/>
      <c r="M388" s="38">
        <f t="shared" si="96"/>
        <v>0</v>
      </c>
      <c r="N388" s="10"/>
      <c r="O388" s="10"/>
      <c r="P388" s="10"/>
      <c r="Q388" s="38">
        <f t="shared" si="97"/>
        <v>0</v>
      </c>
      <c r="R388" s="38">
        <f t="shared" si="98"/>
        <v>5082</v>
      </c>
      <c r="T388" t="s">
        <v>2780</v>
      </c>
    </row>
    <row r="389" spans="1:20" ht="15.75" hidden="1" customHeight="1" x14ac:dyDescent="0.3">
      <c r="A389" s="256" t="s">
        <v>2362</v>
      </c>
      <c r="B389" s="172">
        <v>2553</v>
      </c>
      <c r="C389" s="172">
        <v>2600</v>
      </c>
      <c r="D389" s="172">
        <v>2030</v>
      </c>
      <c r="E389" s="38">
        <f t="shared" si="94"/>
        <v>7183</v>
      </c>
      <c r="F389" s="172">
        <v>939</v>
      </c>
      <c r="G389" s="172"/>
      <c r="H389" s="172"/>
      <c r="I389" s="38">
        <f t="shared" si="95"/>
        <v>939</v>
      </c>
      <c r="J389" s="172"/>
      <c r="K389" s="172"/>
      <c r="L389" s="172"/>
      <c r="M389" s="38">
        <f t="shared" si="96"/>
        <v>0</v>
      </c>
      <c r="N389" s="172"/>
      <c r="O389" s="172"/>
      <c r="P389" s="172"/>
      <c r="Q389" s="38">
        <f t="shared" si="97"/>
        <v>0</v>
      </c>
      <c r="R389" s="38">
        <f>+E389+I389+M389+Q389</f>
        <v>8122</v>
      </c>
    </row>
    <row r="390" spans="1:20" ht="15.75" customHeight="1" x14ac:dyDescent="0.3">
      <c r="A390" s="256" t="s">
        <v>2263</v>
      </c>
      <c r="B390" s="172"/>
      <c r="C390" s="172"/>
      <c r="D390" s="172"/>
      <c r="E390" s="38">
        <f t="shared" si="94"/>
        <v>0</v>
      </c>
      <c r="F390" s="172"/>
      <c r="G390" s="172"/>
      <c r="H390" s="172"/>
      <c r="I390" s="38">
        <f t="shared" si="95"/>
        <v>0</v>
      </c>
      <c r="J390" s="172"/>
      <c r="K390" s="172"/>
      <c r="L390" s="172"/>
      <c r="M390" s="38">
        <f t="shared" si="96"/>
        <v>0</v>
      </c>
      <c r="N390" s="172"/>
      <c r="O390" s="172"/>
      <c r="P390" s="172"/>
      <c r="Q390" s="38">
        <f t="shared" si="97"/>
        <v>0</v>
      </c>
      <c r="R390" s="38">
        <f>+E390+I390+M390+Q390</f>
        <v>0</v>
      </c>
    </row>
    <row r="391" spans="1:20" ht="15.75" hidden="1" customHeight="1" x14ac:dyDescent="0.3">
      <c r="A391" s="410" t="s">
        <v>2981</v>
      </c>
      <c r="B391" s="172"/>
      <c r="C391" s="172"/>
      <c r="D391" s="172"/>
      <c r="E391" s="38">
        <f t="shared" si="94"/>
        <v>0</v>
      </c>
      <c r="F391" s="172"/>
      <c r="G391" s="172"/>
      <c r="H391" s="172"/>
      <c r="I391" s="38">
        <f t="shared" si="95"/>
        <v>0</v>
      </c>
      <c r="J391" s="172"/>
      <c r="K391" s="172"/>
      <c r="L391" s="172"/>
      <c r="M391" s="38">
        <f t="shared" si="96"/>
        <v>0</v>
      </c>
      <c r="N391" s="172"/>
      <c r="O391" s="172"/>
      <c r="P391" s="172"/>
      <c r="Q391" s="38">
        <f t="shared" si="97"/>
        <v>0</v>
      </c>
      <c r="R391" s="38">
        <f>+E391+I391+M391+Q391</f>
        <v>0</v>
      </c>
    </row>
    <row r="392" spans="1:20" ht="15.75" hidden="1" customHeight="1" x14ac:dyDescent="0.3">
      <c r="A392" s="410" t="s">
        <v>2792</v>
      </c>
      <c r="B392" s="172"/>
      <c r="C392" s="172"/>
      <c r="D392" s="172"/>
      <c r="E392" s="38">
        <f t="shared" si="94"/>
        <v>0</v>
      </c>
      <c r="F392" s="356"/>
      <c r="G392" s="172"/>
      <c r="H392" s="172"/>
      <c r="I392" s="38">
        <f t="shared" si="95"/>
        <v>0</v>
      </c>
      <c r="J392" s="172"/>
      <c r="K392" s="172"/>
      <c r="L392" s="172"/>
      <c r="M392" s="38">
        <f t="shared" si="96"/>
        <v>0</v>
      </c>
      <c r="N392" s="172"/>
      <c r="O392" s="172"/>
      <c r="P392" s="172"/>
      <c r="Q392" s="38">
        <f t="shared" si="97"/>
        <v>0</v>
      </c>
      <c r="R392" s="38">
        <f>+E392+I392+M392+Q392</f>
        <v>0</v>
      </c>
      <c r="T392" t="s">
        <v>1358</v>
      </c>
    </row>
    <row r="393" spans="1:20" ht="15.75" hidden="1" customHeight="1" x14ac:dyDescent="0.3">
      <c r="A393" s="410" t="s">
        <v>2786</v>
      </c>
      <c r="B393" s="10"/>
      <c r="C393" s="10"/>
      <c r="D393" s="10"/>
      <c r="E393" s="38">
        <f t="shared" si="94"/>
        <v>0</v>
      </c>
      <c r="F393" s="10">
        <v>2144</v>
      </c>
      <c r="G393" s="10">
        <v>2385</v>
      </c>
      <c r="H393" s="10">
        <v>1471</v>
      </c>
      <c r="I393" s="38">
        <f t="shared" si="95"/>
        <v>6000</v>
      </c>
      <c r="J393" s="10"/>
      <c r="K393" s="10"/>
      <c r="L393" s="10"/>
      <c r="M393" s="38">
        <f t="shared" si="96"/>
        <v>0</v>
      </c>
      <c r="N393" s="10"/>
      <c r="O393" s="10"/>
      <c r="P393" s="10"/>
      <c r="Q393" s="38">
        <f t="shared" si="97"/>
        <v>0</v>
      </c>
      <c r="R393" s="38">
        <f t="shared" si="98"/>
        <v>6000</v>
      </c>
      <c r="T393" t="s">
        <v>2777</v>
      </c>
    </row>
    <row r="394" spans="1:20" ht="15.75" hidden="1" customHeight="1" x14ac:dyDescent="0.3">
      <c r="A394" s="410" t="s">
        <v>2787</v>
      </c>
      <c r="B394" s="172"/>
      <c r="C394" s="172"/>
      <c r="D394" s="172">
        <v>1275</v>
      </c>
      <c r="E394" s="38">
        <f t="shared" si="94"/>
        <v>1275</v>
      </c>
      <c r="F394" s="172">
        <f>1790+96</f>
        <v>1886</v>
      </c>
      <c r="G394" s="172">
        <f>68+121</f>
        <v>189</v>
      </c>
      <c r="H394" s="172">
        <f>3137+114</f>
        <v>3251</v>
      </c>
      <c r="I394" s="38">
        <f t="shared" si="95"/>
        <v>5326</v>
      </c>
      <c r="J394" s="172">
        <f>3154+13</f>
        <v>3167</v>
      </c>
      <c r="K394" s="172">
        <v>1232</v>
      </c>
      <c r="L394" s="172"/>
      <c r="M394" s="38">
        <f t="shared" si="96"/>
        <v>4399</v>
      </c>
      <c r="N394" s="172"/>
      <c r="O394" s="172"/>
      <c r="P394" s="172"/>
      <c r="Q394" s="38">
        <f t="shared" si="97"/>
        <v>0</v>
      </c>
      <c r="R394" s="38">
        <f t="shared" si="98"/>
        <v>11000</v>
      </c>
      <c r="T394" t="s">
        <v>2175</v>
      </c>
    </row>
    <row r="395" spans="1:20" ht="15.75" hidden="1" customHeight="1" x14ac:dyDescent="0.3">
      <c r="A395" s="410" t="s">
        <v>2788</v>
      </c>
      <c r="B395" s="10"/>
      <c r="C395" s="10"/>
      <c r="D395" s="10"/>
      <c r="E395" s="38">
        <f t="shared" si="94"/>
        <v>0</v>
      </c>
      <c r="F395" s="10"/>
      <c r="G395" s="10"/>
      <c r="H395" s="10"/>
      <c r="I395" s="38">
        <f t="shared" si="95"/>
        <v>0</v>
      </c>
      <c r="J395" s="10"/>
      <c r="K395" s="10"/>
      <c r="L395" s="10"/>
      <c r="M395" s="38">
        <f t="shared" si="96"/>
        <v>0</v>
      </c>
      <c r="N395" s="10"/>
      <c r="O395" s="10"/>
      <c r="P395" s="10"/>
      <c r="Q395" s="38">
        <f t="shared" si="97"/>
        <v>0</v>
      </c>
      <c r="R395" s="38">
        <f>+E395+I395+M395+Q395</f>
        <v>0</v>
      </c>
      <c r="T395" t="s">
        <v>2780</v>
      </c>
    </row>
    <row r="396" spans="1:20" ht="15.75" hidden="1" customHeight="1" x14ac:dyDescent="0.3">
      <c r="A396" s="410" t="s">
        <v>2789</v>
      </c>
      <c r="B396" s="10"/>
      <c r="C396" s="10"/>
      <c r="D396" s="10"/>
      <c r="E396" s="38">
        <f t="shared" si="94"/>
        <v>0</v>
      </c>
      <c r="F396" s="10"/>
      <c r="G396" s="10"/>
      <c r="H396" s="10"/>
      <c r="I396" s="38">
        <f t="shared" si="95"/>
        <v>0</v>
      </c>
      <c r="J396" s="10"/>
      <c r="K396" s="10"/>
      <c r="L396" s="10"/>
      <c r="M396" s="38">
        <f t="shared" si="96"/>
        <v>0</v>
      </c>
      <c r="N396" s="10"/>
      <c r="O396" s="10"/>
      <c r="P396" s="10"/>
      <c r="Q396" s="38">
        <f t="shared" si="97"/>
        <v>0</v>
      </c>
      <c r="R396" s="38">
        <f>+E396+I396+M396+Q396</f>
        <v>0</v>
      </c>
      <c r="T396" t="s">
        <v>1358</v>
      </c>
    </row>
    <row r="397" spans="1:20" ht="15.75" hidden="1" customHeight="1" x14ac:dyDescent="0.3">
      <c r="A397" s="410" t="s">
        <v>3073</v>
      </c>
      <c r="B397" s="10"/>
      <c r="C397" s="10"/>
      <c r="D397" s="10"/>
      <c r="E397" s="38">
        <f t="shared" si="94"/>
        <v>0</v>
      </c>
      <c r="F397" s="10"/>
      <c r="G397" s="10"/>
      <c r="H397" s="10"/>
      <c r="I397" s="38">
        <f t="shared" si="95"/>
        <v>0</v>
      </c>
      <c r="J397" s="10"/>
      <c r="K397" s="10"/>
      <c r="L397" s="10"/>
      <c r="M397" s="38">
        <f t="shared" si="96"/>
        <v>0</v>
      </c>
      <c r="N397" s="10"/>
      <c r="O397" s="10"/>
      <c r="P397" s="10"/>
      <c r="Q397" s="38">
        <f>SUM(N397:P397)</f>
        <v>0</v>
      </c>
      <c r="R397" s="38">
        <f>+E397+I397+M397+Q397</f>
        <v>0</v>
      </c>
    </row>
    <row r="398" spans="1:20" ht="15.75" hidden="1" customHeight="1" x14ac:dyDescent="0.3">
      <c r="A398" s="410" t="s">
        <v>3061</v>
      </c>
      <c r="B398" s="10"/>
      <c r="C398" s="10"/>
      <c r="D398" s="10"/>
      <c r="E398" s="38">
        <f t="shared" si="94"/>
        <v>0</v>
      </c>
      <c r="F398" s="10"/>
      <c r="G398" s="10"/>
      <c r="H398" s="10"/>
      <c r="I398" s="38">
        <f t="shared" si="95"/>
        <v>0</v>
      </c>
      <c r="J398" s="10"/>
      <c r="K398" s="10"/>
      <c r="L398" s="10"/>
      <c r="M398" s="38">
        <f t="shared" si="96"/>
        <v>0</v>
      </c>
      <c r="N398" s="10"/>
      <c r="O398" s="10"/>
      <c r="P398" s="10"/>
      <c r="Q398" s="38">
        <f t="shared" si="97"/>
        <v>0</v>
      </c>
      <c r="R398" s="38">
        <f>+E398+I398+M398+Q398</f>
        <v>0</v>
      </c>
    </row>
    <row r="399" spans="1:20" ht="15.75" hidden="1" customHeight="1" x14ac:dyDescent="0.3">
      <c r="A399" s="410" t="s">
        <v>3042</v>
      </c>
      <c r="B399" s="10"/>
      <c r="C399" s="10"/>
      <c r="D399" s="10"/>
      <c r="E399" s="38">
        <f t="shared" si="94"/>
        <v>0</v>
      </c>
      <c r="F399" s="10"/>
      <c r="G399" s="10"/>
      <c r="H399" s="10"/>
      <c r="I399" s="38">
        <f t="shared" si="95"/>
        <v>0</v>
      </c>
      <c r="J399" s="10"/>
      <c r="K399" s="10"/>
      <c r="L399" s="10"/>
      <c r="M399" s="38">
        <f t="shared" si="96"/>
        <v>0</v>
      </c>
      <c r="N399" s="10">
        <v>400</v>
      </c>
      <c r="O399" s="10"/>
      <c r="P399" s="10"/>
      <c r="Q399" s="38">
        <f t="shared" si="97"/>
        <v>400</v>
      </c>
      <c r="R399" s="38">
        <f>+E399+I399+M399+Q399</f>
        <v>400</v>
      </c>
      <c r="T399" t="s">
        <v>2780</v>
      </c>
    </row>
    <row r="400" spans="1:20" ht="15.75" hidden="1" customHeight="1" x14ac:dyDescent="0.3">
      <c r="A400" s="410" t="s">
        <v>2941</v>
      </c>
      <c r="B400" s="172"/>
      <c r="C400" s="172"/>
      <c r="D400" s="172"/>
      <c r="E400" s="38">
        <f t="shared" si="94"/>
        <v>0</v>
      </c>
      <c r="F400" s="172"/>
      <c r="G400" s="172"/>
      <c r="H400" s="172"/>
      <c r="I400" s="38">
        <f t="shared" si="95"/>
        <v>0</v>
      </c>
      <c r="J400" s="172"/>
      <c r="K400" s="172"/>
      <c r="L400" s="172">
        <v>1064</v>
      </c>
      <c r="M400" s="38">
        <f t="shared" si="96"/>
        <v>1064</v>
      </c>
      <c r="N400" s="172">
        <v>561</v>
      </c>
      <c r="O400" s="172">
        <v>834</v>
      </c>
      <c r="P400" s="172">
        <v>6</v>
      </c>
      <c r="Q400" s="38">
        <f t="shared" si="97"/>
        <v>1401</v>
      </c>
      <c r="R400" s="38">
        <f t="shared" si="98"/>
        <v>2465</v>
      </c>
      <c r="T400" t="s">
        <v>2780</v>
      </c>
    </row>
    <row r="401" spans="1:21" ht="15.75" hidden="1" customHeight="1" x14ac:dyDescent="0.3">
      <c r="A401" s="410" t="s">
        <v>2711</v>
      </c>
      <c r="B401" s="172"/>
      <c r="C401" s="172"/>
      <c r="D401" s="172"/>
      <c r="E401" s="38">
        <f t="shared" si="94"/>
        <v>0</v>
      </c>
      <c r="F401" s="172"/>
      <c r="G401" s="172"/>
      <c r="H401" s="172"/>
      <c r="I401" s="38">
        <f t="shared" si="95"/>
        <v>0</v>
      </c>
      <c r="J401" s="172"/>
      <c r="K401" s="172"/>
      <c r="L401" s="172"/>
      <c r="M401" s="38">
        <f t="shared" si="96"/>
        <v>0</v>
      </c>
      <c r="N401" s="172"/>
      <c r="O401" s="172"/>
      <c r="P401" s="172"/>
      <c r="Q401" s="38">
        <f t="shared" si="97"/>
        <v>0</v>
      </c>
      <c r="R401" s="38">
        <f t="shared" si="98"/>
        <v>0</v>
      </c>
      <c r="T401" t="s">
        <v>1358</v>
      </c>
    </row>
    <row r="402" spans="1:21" ht="15.75" hidden="1" customHeight="1" x14ac:dyDescent="0.3">
      <c r="A402" s="256" t="s">
        <v>1097</v>
      </c>
      <c r="B402" s="172"/>
      <c r="C402" s="10"/>
      <c r="D402" s="10"/>
      <c r="E402" s="38">
        <f t="shared" si="94"/>
        <v>0</v>
      </c>
      <c r="F402">
        <v>1669</v>
      </c>
      <c r="G402" s="172"/>
      <c r="H402" s="172"/>
      <c r="I402" s="38">
        <f t="shared" si="95"/>
        <v>1669</v>
      </c>
      <c r="J402" s="172"/>
      <c r="K402" s="172"/>
      <c r="L402" s="172"/>
      <c r="M402" s="38">
        <f t="shared" si="96"/>
        <v>0</v>
      </c>
      <c r="N402" s="172"/>
      <c r="O402" s="172"/>
      <c r="P402" s="172"/>
      <c r="Q402" s="38">
        <f t="shared" si="97"/>
        <v>0</v>
      </c>
      <c r="R402" s="38">
        <f t="shared" si="98"/>
        <v>1669</v>
      </c>
    </row>
    <row r="403" spans="1:21" ht="15.75" hidden="1" customHeight="1" x14ac:dyDescent="0.3">
      <c r="A403" s="410" t="s">
        <v>3043</v>
      </c>
      <c r="B403" s="172"/>
      <c r="C403" s="10"/>
      <c r="D403" s="10"/>
      <c r="E403" s="38">
        <f t="shared" si="94"/>
        <v>0</v>
      </c>
      <c r="F403" s="172"/>
      <c r="G403" s="172"/>
      <c r="H403" s="172"/>
      <c r="I403" s="38">
        <f t="shared" si="95"/>
        <v>0</v>
      </c>
      <c r="J403" s="172"/>
      <c r="K403" s="172"/>
      <c r="L403" s="172"/>
      <c r="M403" s="38">
        <f t="shared" si="96"/>
        <v>0</v>
      </c>
      <c r="N403" s="172"/>
      <c r="O403" s="172"/>
      <c r="P403" s="172"/>
      <c r="Q403" s="38">
        <f t="shared" si="97"/>
        <v>0</v>
      </c>
      <c r="R403" s="38">
        <f t="shared" si="98"/>
        <v>0</v>
      </c>
      <c r="T403" t="s">
        <v>1358</v>
      </c>
    </row>
    <row r="404" spans="1:21" ht="15.75" hidden="1" customHeight="1" x14ac:dyDescent="0.3">
      <c r="A404" s="410" t="s">
        <v>2745</v>
      </c>
      <c r="B404" s="10"/>
      <c r="C404" s="10"/>
      <c r="D404" s="10"/>
      <c r="E404" s="38">
        <f t="shared" si="94"/>
        <v>0</v>
      </c>
      <c r="F404" s="10"/>
      <c r="G404" s="10"/>
      <c r="H404" s="356"/>
      <c r="I404" s="38">
        <f t="shared" si="95"/>
        <v>0</v>
      </c>
      <c r="J404" s="10"/>
      <c r="K404" s="10"/>
      <c r="L404" s="10"/>
      <c r="M404" s="38">
        <f t="shared" si="96"/>
        <v>0</v>
      </c>
      <c r="N404" s="10">
        <v>274</v>
      </c>
      <c r="O404" s="10"/>
      <c r="P404" s="10"/>
      <c r="Q404" s="38">
        <f t="shared" si="97"/>
        <v>274</v>
      </c>
      <c r="R404" s="38">
        <f t="shared" si="98"/>
        <v>274</v>
      </c>
      <c r="T404" t="s">
        <v>2780</v>
      </c>
    </row>
    <row r="405" spans="1:21" ht="15.75" hidden="1" customHeight="1" x14ac:dyDescent="0.3">
      <c r="A405" s="410" t="s">
        <v>2268</v>
      </c>
      <c r="B405" s="10"/>
      <c r="C405" s="10"/>
      <c r="D405" s="10"/>
      <c r="E405" s="38">
        <f t="shared" si="94"/>
        <v>0</v>
      </c>
      <c r="F405" s="10"/>
      <c r="G405" s="10"/>
      <c r="H405" s="10"/>
      <c r="I405" s="38">
        <f t="shared" si="95"/>
        <v>0</v>
      </c>
      <c r="J405" s="10"/>
      <c r="K405" s="10"/>
      <c r="L405" s="10"/>
      <c r="M405" s="38">
        <f t="shared" si="96"/>
        <v>0</v>
      </c>
      <c r="N405" s="10"/>
      <c r="O405" s="10"/>
      <c r="P405" s="10"/>
      <c r="Q405" s="38">
        <f t="shared" si="97"/>
        <v>0</v>
      </c>
      <c r="R405" s="38">
        <f>+E405+I405+M405+Q405</f>
        <v>0</v>
      </c>
      <c r="T405" t="s">
        <v>1358</v>
      </c>
    </row>
    <row r="406" spans="1:21" ht="15.75" hidden="1" customHeight="1" x14ac:dyDescent="0.3">
      <c r="A406" s="410" t="s">
        <v>3110</v>
      </c>
      <c r="B406" s="10"/>
      <c r="C406" s="10"/>
      <c r="D406" s="10"/>
      <c r="E406" s="38">
        <f t="shared" si="94"/>
        <v>0</v>
      </c>
      <c r="F406" s="10"/>
      <c r="G406" s="10"/>
      <c r="H406" s="10"/>
      <c r="I406" s="38">
        <f t="shared" si="95"/>
        <v>0</v>
      </c>
      <c r="J406" s="10"/>
      <c r="K406" s="10"/>
      <c r="L406" s="10"/>
      <c r="M406" s="38">
        <f t="shared" si="96"/>
        <v>0</v>
      </c>
      <c r="N406" s="10"/>
      <c r="O406" s="10"/>
      <c r="P406" s="10"/>
      <c r="Q406" s="38">
        <f t="shared" ref="Q406" si="99">SUM(N406:P406)</f>
        <v>0</v>
      </c>
      <c r="R406" s="38">
        <f>+E406+I406+M406+Q406</f>
        <v>0</v>
      </c>
    </row>
    <row r="407" spans="1:21" ht="15.75" hidden="1" customHeight="1" x14ac:dyDescent="0.3">
      <c r="A407" s="410" t="s">
        <v>2783</v>
      </c>
      <c r="B407" s="172"/>
      <c r="C407" s="172"/>
      <c r="D407" s="172">
        <v>1050</v>
      </c>
      <c r="E407" s="38">
        <f t="shared" si="94"/>
        <v>1050</v>
      </c>
      <c r="F407" s="172">
        <v>1098</v>
      </c>
      <c r="G407" s="172">
        <v>1135</v>
      </c>
      <c r="H407" s="172">
        <v>867</v>
      </c>
      <c r="I407" s="38">
        <f t="shared" si="95"/>
        <v>3100</v>
      </c>
      <c r="J407" s="172">
        <v>1129</v>
      </c>
      <c r="K407" s="172">
        <v>1125</v>
      </c>
      <c r="L407" s="172">
        <v>20</v>
      </c>
      <c r="M407" s="38">
        <f t="shared" si="96"/>
        <v>2274</v>
      </c>
      <c r="N407" s="172"/>
      <c r="O407" s="172"/>
      <c r="P407" s="172"/>
      <c r="Q407" s="38">
        <f t="shared" si="97"/>
        <v>0</v>
      </c>
      <c r="R407" s="38">
        <f t="shared" si="98"/>
        <v>6424</v>
      </c>
      <c r="T407" t="s">
        <v>2780</v>
      </c>
    </row>
    <row r="408" spans="1:21" ht="15.75" hidden="1" customHeight="1" x14ac:dyDescent="0.3">
      <c r="A408" s="410" t="s">
        <v>2784</v>
      </c>
      <c r="B408" s="172"/>
      <c r="C408" s="172"/>
      <c r="D408" s="172"/>
      <c r="E408" s="38">
        <f t="shared" si="94"/>
        <v>0</v>
      </c>
      <c r="F408" s="172"/>
      <c r="G408" s="172"/>
      <c r="H408" s="172"/>
      <c r="I408" s="38">
        <f t="shared" si="95"/>
        <v>0</v>
      </c>
      <c r="J408" s="172"/>
      <c r="K408" s="172"/>
      <c r="L408" s="172"/>
      <c r="M408" s="38">
        <f t="shared" si="96"/>
        <v>0</v>
      </c>
      <c r="N408" s="172"/>
      <c r="O408" s="172"/>
      <c r="P408" s="172"/>
      <c r="Q408" s="38">
        <f t="shared" si="97"/>
        <v>0</v>
      </c>
      <c r="R408" s="38">
        <f t="shared" si="98"/>
        <v>0</v>
      </c>
      <c r="T408" t="s">
        <v>1358</v>
      </c>
    </row>
    <row r="409" spans="1:21" ht="15.75" hidden="1" customHeight="1" x14ac:dyDescent="0.3">
      <c r="A409" s="256" t="s">
        <v>101</v>
      </c>
      <c r="B409" s="172"/>
      <c r="C409" s="172"/>
      <c r="D409" s="172"/>
      <c r="E409" s="38">
        <f t="shared" si="94"/>
        <v>0</v>
      </c>
      <c r="F409" s="172">
        <v>15</v>
      </c>
      <c r="G409" s="172">
        <v>2607</v>
      </c>
      <c r="H409" s="172"/>
      <c r="I409" s="38">
        <f t="shared" si="95"/>
        <v>2622</v>
      </c>
      <c r="J409" s="172"/>
      <c r="K409" s="172"/>
      <c r="L409" s="172"/>
      <c r="M409" s="38">
        <f t="shared" si="96"/>
        <v>0</v>
      </c>
      <c r="N409" s="172"/>
      <c r="O409" s="172"/>
      <c r="P409" s="172"/>
      <c r="Q409" s="38">
        <f t="shared" si="97"/>
        <v>0</v>
      </c>
      <c r="R409" s="38">
        <f t="shared" si="98"/>
        <v>2622</v>
      </c>
    </row>
    <row r="410" spans="1:21" ht="15.75" hidden="1" customHeight="1" thickBot="1" x14ac:dyDescent="0.35">
      <c r="A410" s="256" t="s">
        <v>2717</v>
      </c>
      <c r="B410" s="172"/>
      <c r="C410" s="172">
        <v>1129</v>
      </c>
      <c r="D410" s="172">
        <v>4138</v>
      </c>
      <c r="E410" s="38">
        <f t="shared" si="94"/>
        <v>5267</v>
      </c>
      <c r="F410" s="172">
        <v>4256</v>
      </c>
      <c r="G410" s="172">
        <v>1767</v>
      </c>
      <c r="H410" s="172">
        <v>3297</v>
      </c>
      <c r="I410" s="38">
        <f t="shared" si="95"/>
        <v>9320</v>
      </c>
      <c r="J410" s="172">
        <v>3054</v>
      </c>
      <c r="K410" s="172">
        <v>2045</v>
      </c>
      <c r="L410" s="172">
        <v>1921</v>
      </c>
      <c r="M410" s="38">
        <f t="shared" si="96"/>
        <v>7020</v>
      </c>
      <c r="N410" s="172">
        <v>1492</v>
      </c>
      <c r="O410" s="172"/>
      <c r="P410" s="172">
        <v>1901</v>
      </c>
      <c r="Q410" s="38">
        <f t="shared" si="97"/>
        <v>3393</v>
      </c>
      <c r="R410" s="38">
        <f t="shared" si="98"/>
        <v>25000</v>
      </c>
    </row>
    <row r="411" spans="1:21" ht="16.5" hidden="1" customHeight="1" thickBot="1" x14ac:dyDescent="0.35">
      <c r="A411" s="277" t="s">
        <v>1220</v>
      </c>
      <c r="B411" s="47">
        <f>SUM(B370:B410)</f>
        <v>9374</v>
      </c>
      <c r="C411" s="42">
        <f>SUM(C370:C410)</f>
        <v>21127</v>
      </c>
      <c r="D411" s="42">
        <f>SUM(D370:D410)</f>
        <v>30824</v>
      </c>
      <c r="E411" s="37">
        <f t="shared" si="94"/>
        <v>61325</v>
      </c>
      <c r="F411" s="42">
        <f>SUM(F370:F410)</f>
        <v>34210</v>
      </c>
      <c r="G411" s="42">
        <f>SUM(G370:G410)</f>
        <v>39591</v>
      </c>
      <c r="H411" s="42">
        <f>SUM(H370:H410)</f>
        <v>47983</v>
      </c>
      <c r="I411" s="37">
        <f t="shared" si="95"/>
        <v>121784</v>
      </c>
      <c r="J411" s="42">
        <f>SUM(J370:J410)</f>
        <v>49143</v>
      </c>
      <c r="K411" s="42">
        <f>SUM(K370:K410)</f>
        <v>33212</v>
      </c>
      <c r="L411" s="42">
        <f>SUM(L370:L410)</f>
        <v>26597</v>
      </c>
      <c r="M411" s="37">
        <f t="shared" si="96"/>
        <v>108952</v>
      </c>
      <c r="N411" s="42">
        <f>SUM(N370:N410)</f>
        <v>20373</v>
      </c>
      <c r="O411" s="42">
        <f>SUM(O370:O410)</f>
        <v>5192</v>
      </c>
      <c r="P411" s="42">
        <f>SUM(P370:P410)</f>
        <v>14417</v>
      </c>
      <c r="Q411" s="37">
        <f t="shared" si="97"/>
        <v>39982</v>
      </c>
      <c r="R411" s="37">
        <f>+E411+I411+M411+Q411</f>
        <v>332043</v>
      </c>
      <c r="T411" s="230"/>
    </row>
    <row r="412" spans="1:21" ht="15.75" hidden="1" customHeight="1" x14ac:dyDescent="0.3">
      <c r="A412" s="234" t="s">
        <v>1712</v>
      </c>
      <c r="B412" s="172"/>
      <c r="C412" s="172"/>
      <c r="D412" s="172"/>
      <c r="E412" s="38" t="s">
        <v>852</v>
      </c>
      <c r="F412" s="172"/>
      <c r="G412" s="172"/>
      <c r="H412" s="172"/>
      <c r="I412" s="38" t="s">
        <v>852</v>
      </c>
      <c r="J412" s="172"/>
      <c r="K412" s="172"/>
      <c r="L412" s="172"/>
      <c r="M412" s="38" t="s">
        <v>852</v>
      </c>
      <c r="N412" s="172"/>
      <c r="O412" s="172"/>
      <c r="P412" s="172"/>
      <c r="Q412" s="38" t="s">
        <v>852</v>
      </c>
      <c r="R412" s="38" t="s">
        <v>852</v>
      </c>
    </row>
    <row r="413" spans="1:21" ht="15.75" hidden="1" customHeight="1" x14ac:dyDescent="0.3">
      <c r="A413" s="234" t="s">
        <v>1021</v>
      </c>
      <c r="B413" s="172"/>
      <c r="C413" s="172"/>
      <c r="D413" s="172"/>
      <c r="E413" s="38" t="s">
        <v>852</v>
      </c>
      <c r="F413" s="172"/>
      <c r="G413" s="172"/>
      <c r="H413" s="172"/>
      <c r="I413" s="38" t="s">
        <v>852</v>
      </c>
      <c r="J413" s="172"/>
      <c r="K413" s="172"/>
      <c r="L413" s="172"/>
      <c r="M413" s="38" t="s">
        <v>852</v>
      </c>
      <c r="N413" s="172"/>
      <c r="O413" s="172"/>
      <c r="P413" s="172"/>
      <c r="Q413" s="38" t="s">
        <v>852</v>
      </c>
      <c r="R413" s="38" t="s">
        <v>852</v>
      </c>
    </row>
    <row r="414" spans="1:21" ht="15.75" hidden="1" customHeight="1" x14ac:dyDescent="0.3">
      <c r="A414" s="410" t="s">
        <v>2746</v>
      </c>
      <c r="B414" s="172"/>
      <c r="C414" s="172"/>
      <c r="D414" s="172"/>
      <c r="E414" s="38">
        <f>SUM(B414:D414)</f>
        <v>0</v>
      </c>
      <c r="F414" s="172"/>
      <c r="G414" s="172"/>
      <c r="H414" s="172"/>
      <c r="I414" s="38">
        <f>SUM(F414:H414)</f>
        <v>0</v>
      </c>
      <c r="J414" s="172"/>
      <c r="K414" s="172"/>
      <c r="L414" s="172"/>
      <c r="M414" s="38">
        <f>SUM(J414:L414)</f>
        <v>0</v>
      </c>
      <c r="N414" s="172"/>
      <c r="O414" s="172"/>
      <c r="P414" s="172"/>
      <c r="Q414" s="38">
        <f>SUM(N414:P414)</f>
        <v>0</v>
      </c>
      <c r="R414" s="38">
        <f>+E414+I414+M414+Q414</f>
        <v>0</v>
      </c>
      <c r="U414" s="707"/>
    </row>
    <row r="415" spans="1:21" ht="15.75" hidden="1" customHeight="1" x14ac:dyDescent="0.3">
      <c r="A415" s="234" t="s">
        <v>557</v>
      </c>
      <c r="B415" s="172"/>
      <c r="C415" s="172"/>
      <c r="D415" s="172"/>
      <c r="E415" s="38" t="s">
        <v>852</v>
      </c>
      <c r="F415" s="172"/>
      <c r="G415" s="172"/>
      <c r="H415" s="172"/>
      <c r="I415" s="38" t="s">
        <v>852</v>
      </c>
      <c r="J415" s="172"/>
      <c r="K415" s="172"/>
      <c r="L415" s="172"/>
      <c r="M415" s="38" t="s">
        <v>852</v>
      </c>
      <c r="N415" s="172"/>
      <c r="O415" s="172"/>
      <c r="P415" s="172"/>
      <c r="Q415" s="38" t="s">
        <v>852</v>
      </c>
      <c r="R415" s="38" t="s">
        <v>852</v>
      </c>
    </row>
    <row r="416" spans="1:21" ht="15.75" hidden="1" customHeight="1" x14ac:dyDescent="0.3">
      <c r="A416" s="410" t="s">
        <v>2566</v>
      </c>
      <c r="B416" s="172"/>
      <c r="C416" s="172"/>
      <c r="D416" s="172"/>
      <c r="E416" s="38">
        <f>SUM(B416:D416)</f>
        <v>0</v>
      </c>
      <c r="F416" s="172"/>
      <c r="G416" s="172"/>
      <c r="H416" s="172"/>
      <c r="I416" s="38">
        <f>SUM(F416:H416)</f>
        <v>0</v>
      </c>
      <c r="J416" s="172"/>
      <c r="K416" s="172"/>
      <c r="L416" s="172"/>
      <c r="M416" s="38">
        <f>SUM(J416:L416)</f>
        <v>0</v>
      </c>
      <c r="N416" s="172"/>
      <c r="O416" s="172"/>
      <c r="P416" s="172"/>
      <c r="Q416" s="38">
        <f>SUM(N416:P416)</f>
        <v>0</v>
      </c>
      <c r="R416" s="38">
        <f>+E416+I416+M416+Q416</f>
        <v>0</v>
      </c>
    </row>
    <row r="417" spans="1:21" ht="15.75" hidden="1" customHeight="1" x14ac:dyDescent="0.3">
      <c r="A417" s="410" t="s">
        <v>2657</v>
      </c>
      <c r="B417" s="172"/>
      <c r="C417" s="172"/>
      <c r="D417" s="172"/>
      <c r="E417" s="38">
        <f>SUM(B417:D417)</f>
        <v>0</v>
      </c>
      <c r="F417" s="172">
        <v>2915</v>
      </c>
      <c r="G417" s="172">
        <v>2230</v>
      </c>
      <c r="H417" s="172"/>
      <c r="I417" s="38">
        <f>SUM(F417:H417)</f>
        <v>5145</v>
      </c>
      <c r="J417" s="172">
        <v>2029</v>
      </c>
      <c r="K417" s="172"/>
      <c r="L417" s="172"/>
      <c r="M417" s="38">
        <f>SUM(J417:L417)</f>
        <v>2029</v>
      </c>
      <c r="N417" s="172"/>
      <c r="O417" s="172"/>
      <c r="P417" s="172"/>
      <c r="Q417" s="38">
        <f>SUM(N417:P417)</f>
        <v>0</v>
      </c>
      <c r="R417" s="38">
        <f>+E417+I417+M417+Q417</f>
        <v>7174</v>
      </c>
    </row>
    <row r="418" spans="1:21" ht="15.75" hidden="1" customHeight="1" x14ac:dyDescent="0.3">
      <c r="A418" s="234" t="s">
        <v>1022</v>
      </c>
      <c r="B418" s="172"/>
      <c r="C418" s="172"/>
      <c r="D418" s="172"/>
      <c r="E418" s="38" t="s">
        <v>852</v>
      </c>
      <c r="F418" s="172"/>
      <c r="G418" s="172"/>
      <c r="H418" s="172"/>
      <c r="I418" s="38" t="s">
        <v>852</v>
      </c>
      <c r="J418" s="172"/>
      <c r="K418" s="172"/>
      <c r="L418" s="172"/>
      <c r="M418" s="38" t="s">
        <v>852</v>
      </c>
      <c r="N418" s="172"/>
      <c r="O418" s="172"/>
      <c r="P418" s="172"/>
      <c r="Q418" s="38" t="s">
        <v>852</v>
      </c>
      <c r="R418" s="38" t="s">
        <v>852</v>
      </c>
    </row>
    <row r="419" spans="1:21" ht="15.75" hidden="1" customHeight="1" x14ac:dyDescent="0.3">
      <c r="A419" s="256" t="s">
        <v>2486</v>
      </c>
      <c r="B419" s="172"/>
      <c r="C419" s="172"/>
      <c r="D419" s="172"/>
      <c r="E419" s="38">
        <f t="shared" ref="E419:E424" si="100">SUM(B419:D419)</f>
        <v>0</v>
      </c>
      <c r="F419" s="172"/>
      <c r="G419" s="172"/>
      <c r="H419" s="172"/>
      <c r="I419" s="38">
        <f t="shared" ref="I419:I424" si="101">SUM(F419:H419)</f>
        <v>0</v>
      </c>
      <c r="J419" s="172"/>
      <c r="K419" s="172"/>
      <c r="L419" s="172"/>
      <c r="M419" s="38">
        <f t="shared" ref="M419:M424" si="102">SUM(J419:L419)</f>
        <v>0</v>
      </c>
      <c r="N419" s="172"/>
      <c r="O419" s="172"/>
      <c r="P419" s="172"/>
      <c r="Q419" s="38">
        <f t="shared" ref="Q419:Q424" si="103">SUM(N419:P419)</f>
        <v>0</v>
      </c>
      <c r="R419" s="38">
        <f t="shared" ref="R419:R424" si="104">+E419+I419+M419+Q419</f>
        <v>0</v>
      </c>
      <c r="T419" t="s">
        <v>2178</v>
      </c>
    </row>
    <row r="420" spans="1:21" ht="15.75" hidden="1" customHeight="1" x14ac:dyDescent="0.3">
      <c r="A420" s="311" t="s">
        <v>1374</v>
      </c>
      <c r="B420" s="10"/>
      <c r="C420" s="10"/>
      <c r="D420" s="10"/>
      <c r="E420" s="38">
        <f t="shared" si="100"/>
        <v>0</v>
      </c>
      <c r="F420" s="10"/>
      <c r="G420" s="10"/>
      <c r="H420" s="10"/>
      <c r="I420" s="38">
        <f t="shared" si="101"/>
        <v>0</v>
      </c>
      <c r="J420" s="10"/>
      <c r="K420" s="10"/>
      <c r="L420" s="10"/>
      <c r="M420" s="38">
        <f t="shared" si="102"/>
        <v>0</v>
      </c>
      <c r="N420" s="10">
        <v>3792</v>
      </c>
      <c r="O420" s="10">
        <v>1208</v>
      </c>
      <c r="P420" s="10"/>
      <c r="Q420" s="38">
        <f t="shared" si="103"/>
        <v>5000</v>
      </c>
      <c r="R420" s="38">
        <f t="shared" si="104"/>
        <v>5000</v>
      </c>
      <c r="T420" t="s">
        <v>2178</v>
      </c>
    </row>
    <row r="421" spans="1:21" ht="15.75" hidden="1" customHeight="1" x14ac:dyDescent="0.3">
      <c r="A421" s="256" t="s">
        <v>1866</v>
      </c>
      <c r="B421" s="172"/>
      <c r="C421" s="172"/>
      <c r="D421" s="172"/>
      <c r="E421" s="38">
        <f t="shared" si="100"/>
        <v>0</v>
      </c>
      <c r="F421" s="172"/>
      <c r="G421" s="172"/>
      <c r="H421" s="172">
        <v>1000</v>
      </c>
      <c r="I421" s="38">
        <f t="shared" si="101"/>
        <v>1000</v>
      </c>
      <c r="J421" s="172"/>
      <c r="K421" s="172"/>
      <c r="L421" s="172"/>
      <c r="M421" s="38">
        <f t="shared" si="102"/>
        <v>0</v>
      </c>
      <c r="N421" s="172"/>
      <c r="O421" s="172"/>
      <c r="P421" s="172"/>
      <c r="Q421" s="38">
        <f t="shared" si="103"/>
        <v>0</v>
      </c>
      <c r="R421" s="38">
        <f t="shared" si="104"/>
        <v>1000</v>
      </c>
      <c r="T421" t="s">
        <v>2175</v>
      </c>
    </row>
    <row r="422" spans="1:21" ht="15.75" hidden="1" customHeight="1" x14ac:dyDescent="0.3">
      <c r="A422" s="256" t="s">
        <v>2340</v>
      </c>
      <c r="B422" s="172"/>
      <c r="C422" s="172"/>
      <c r="D422" s="172"/>
      <c r="E422" s="38">
        <f t="shared" si="100"/>
        <v>0</v>
      </c>
      <c r="F422" s="172"/>
      <c r="G422" s="172"/>
      <c r="H422" s="172"/>
      <c r="I422" s="38">
        <f t="shared" si="101"/>
        <v>0</v>
      </c>
      <c r="J422" s="172"/>
      <c r="K422" s="172"/>
      <c r="L422" s="172"/>
      <c r="M422" s="38">
        <f t="shared" si="102"/>
        <v>0</v>
      </c>
      <c r="N422" s="172"/>
      <c r="O422" s="172"/>
      <c r="P422" s="172"/>
      <c r="Q422" s="38">
        <f t="shared" si="103"/>
        <v>0</v>
      </c>
      <c r="R422" s="38">
        <f t="shared" si="104"/>
        <v>0</v>
      </c>
    </row>
    <row r="423" spans="1:21" ht="15.75" hidden="1" customHeight="1" x14ac:dyDescent="0.3">
      <c r="A423" s="311" t="s">
        <v>1376</v>
      </c>
      <c r="B423" s="10"/>
      <c r="C423" s="10"/>
      <c r="D423" s="10"/>
      <c r="E423" s="38">
        <f t="shared" si="100"/>
        <v>0</v>
      </c>
      <c r="F423" s="10"/>
      <c r="G423" s="10"/>
      <c r="H423" s="10"/>
      <c r="I423" s="38">
        <f t="shared" si="101"/>
        <v>0</v>
      </c>
      <c r="J423" s="10"/>
      <c r="K423" s="10"/>
      <c r="L423" s="10"/>
      <c r="M423" s="38">
        <f t="shared" si="102"/>
        <v>0</v>
      </c>
      <c r="N423" s="10"/>
      <c r="O423" s="10"/>
      <c r="P423" s="10"/>
      <c r="Q423" s="38">
        <f t="shared" si="103"/>
        <v>0</v>
      </c>
      <c r="R423" s="38">
        <f t="shared" si="104"/>
        <v>0</v>
      </c>
    </row>
    <row r="424" spans="1:21" ht="15.75" hidden="1" customHeight="1" x14ac:dyDescent="0.3">
      <c r="A424" s="311" t="s">
        <v>1227</v>
      </c>
      <c r="B424" s="10"/>
      <c r="C424" s="10"/>
      <c r="D424" s="10"/>
      <c r="E424" s="38">
        <f t="shared" si="100"/>
        <v>0</v>
      </c>
      <c r="F424" s="10"/>
      <c r="G424" s="10"/>
      <c r="H424" s="10"/>
      <c r="I424" s="38">
        <f t="shared" si="101"/>
        <v>0</v>
      </c>
      <c r="J424" s="10"/>
      <c r="K424" s="10"/>
      <c r="L424" s="10"/>
      <c r="M424" s="38">
        <f t="shared" si="102"/>
        <v>0</v>
      </c>
      <c r="N424" s="10"/>
      <c r="O424" s="10"/>
      <c r="P424" s="10"/>
      <c r="Q424" s="38">
        <f t="shared" si="103"/>
        <v>0</v>
      </c>
      <c r="R424" s="38">
        <f t="shared" si="104"/>
        <v>0</v>
      </c>
      <c r="T424" t="s">
        <v>2178</v>
      </c>
    </row>
    <row r="425" spans="1:21" ht="15.75" hidden="1" customHeight="1" x14ac:dyDescent="0.3">
      <c r="A425" s="234" t="s">
        <v>559</v>
      </c>
      <c r="B425" s="172"/>
      <c r="C425" s="172"/>
      <c r="D425" s="172"/>
      <c r="E425" s="38" t="s">
        <v>852</v>
      </c>
      <c r="F425" s="172"/>
      <c r="G425" s="172"/>
      <c r="H425" s="172"/>
      <c r="I425" s="38" t="s">
        <v>852</v>
      </c>
      <c r="J425" s="172"/>
      <c r="K425" s="172"/>
      <c r="L425" s="172"/>
      <c r="M425" s="38" t="s">
        <v>852</v>
      </c>
      <c r="N425" s="172"/>
      <c r="O425" s="172"/>
      <c r="P425" s="172"/>
      <c r="Q425" s="38" t="s">
        <v>852</v>
      </c>
      <c r="R425" s="38" t="s">
        <v>852</v>
      </c>
    </row>
    <row r="426" spans="1:21" ht="15.75" hidden="1" customHeight="1" x14ac:dyDescent="0.3">
      <c r="A426" s="410" t="s">
        <v>2936</v>
      </c>
      <c r="B426" s="10"/>
      <c r="C426" s="10"/>
      <c r="D426" s="10"/>
      <c r="E426" s="38">
        <f>SUM(B426:D426)</f>
        <v>0</v>
      </c>
      <c r="F426" s="10"/>
      <c r="G426" s="10"/>
      <c r="H426" s="10"/>
      <c r="I426" s="38">
        <f>SUM(F426:H426)</f>
        <v>0</v>
      </c>
      <c r="J426" s="10"/>
      <c r="K426" s="10"/>
      <c r="L426" s="10"/>
      <c r="M426" s="38">
        <f>SUM(J426:L426)</f>
        <v>0</v>
      </c>
      <c r="N426" s="10"/>
      <c r="O426" s="10"/>
      <c r="P426" s="10"/>
      <c r="Q426" s="38">
        <f>SUM(N426:P426)</f>
        <v>0</v>
      </c>
      <c r="R426" s="38">
        <f>+E426+I426+M426+Q426</f>
        <v>0</v>
      </c>
      <c r="T426" t="s">
        <v>2174</v>
      </c>
    </row>
    <row r="427" spans="1:21" ht="15.75" hidden="1" customHeight="1" x14ac:dyDescent="0.3">
      <c r="A427" s="410" t="s">
        <v>2832</v>
      </c>
      <c r="B427" s="172"/>
      <c r="C427" s="172"/>
      <c r="D427" s="172"/>
      <c r="E427" s="38">
        <f>SUM(B427:D427)</f>
        <v>0</v>
      </c>
      <c r="F427" s="172"/>
      <c r="G427" s="172"/>
      <c r="H427" s="172"/>
      <c r="I427" s="38">
        <f>SUM(F427:H427)</f>
        <v>0</v>
      </c>
      <c r="J427" s="172"/>
      <c r="K427" s="172"/>
      <c r="L427" s="172"/>
      <c r="M427" s="38">
        <f>SUM(J427:L427)</f>
        <v>0</v>
      </c>
      <c r="N427" s="172"/>
      <c r="O427" s="172"/>
      <c r="P427" s="172"/>
      <c r="Q427" s="38">
        <f>SUM(N427:P427)</f>
        <v>0</v>
      </c>
      <c r="R427" s="38">
        <f>+E427+I427+M427+Q427</f>
        <v>0</v>
      </c>
      <c r="T427" t="s">
        <v>2174</v>
      </c>
    </row>
    <row r="428" spans="1:21" ht="15.75" hidden="1" customHeight="1" x14ac:dyDescent="0.3">
      <c r="A428" s="410" t="s">
        <v>2569</v>
      </c>
      <c r="B428" s="172"/>
      <c r="C428" s="172"/>
      <c r="D428" s="172"/>
      <c r="E428" s="38">
        <f>SUM(B428:D428)</f>
        <v>0</v>
      </c>
      <c r="F428" s="172"/>
      <c r="G428" s="172"/>
      <c r="H428" s="172"/>
      <c r="I428" s="38">
        <f>SUM(F428:H428)</f>
        <v>0</v>
      </c>
      <c r="J428" s="172"/>
      <c r="K428" s="172"/>
      <c r="L428" s="172"/>
      <c r="M428" s="38">
        <f>SUM(J428:L428)</f>
        <v>0</v>
      </c>
      <c r="N428" s="172"/>
      <c r="O428" s="172"/>
      <c r="P428" s="172"/>
      <c r="Q428" s="38">
        <f>SUM(N428:P428)</f>
        <v>0</v>
      </c>
      <c r="R428" s="38">
        <f>+E428+I428+M428+Q428</f>
        <v>0</v>
      </c>
    </row>
    <row r="429" spans="1:21" ht="15.75" hidden="1" customHeight="1" x14ac:dyDescent="0.3">
      <c r="A429" s="410" t="s">
        <v>2570</v>
      </c>
      <c r="B429" s="172"/>
      <c r="C429" s="172"/>
      <c r="D429" s="172"/>
      <c r="E429" s="38">
        <f t="shared" ref="E429:E439" si="105">SUM(B429:D429)</f>
        <v>0</v>
      </c>
      <c r="F429" s="172"/>
      <c r="G429" s="172"/>
      <c r="H429" s="172">
        <v>2381</v>
      </c>
      <c r="I429" s="38">
        <f t="shared" ref="I429:I439" si="106">SUM(F429:H429)</f>
        <v>2381</v>
      </c>
      <c r="J429" s="172">
        <v>3459</v>
      </c>
      <c r="K429" s="172"/>
      <c r="L429" s="172"/>
      <c r="M429" s="38">
        <f t="shared" ref="M429:M439" si="107">SUM(J429:L429)</f>
        <v>3459</v>
      </c>
      <c r="N429" s="172"/>
      <c r="O429" s="172"/>
      <c r="P429" s="172"/>
      <c r="Q429" s="38">
        <f t="shared" ref="Q429:Q439" si="108">SUM(N429:P429)</f>
        <v>0</v>
      </c>
      <c r="R429" s="38">
        <f t="shared" ref="R429:R439" si="109">+E429+I429+M429+Q429</f>
        <v>5840</v>
      </c>
    </row>
    <row r="430" spans="1:21" ht="15.75" hidden="1" customHeight="1" x14ac:dyDescent="0.3">
      <c r="A430" s="410" t="s">
        <v>2571</v>
      </c>
      <c r="B430" s="172"/>
      <c r="C430" s="172"/>
      <c r="D430" s="172"/>
      <c r="E430" s="38">
        <f>SUM(B430:D430)</f>
        <v>0</v>
      </c>
      <c r="F430" s="172"/>
      <c r="G430" s="172"/>
      <c r="H430" s="172"/>
      <c r="I430" s="38">
        <f>SUM(F430:H430)</f>
        <v>0</v>
      </c>
      <c r="J430" s="172"/>
      <c r="K430" s="172"/>
      <c r="L430" s="172"/>
      <c r="M430" s="38">
        <f>SUM(J430:L430)</f>
        <v>0</v>
      </c>
      <c r="N430" s="172"/>
      <c r="O430" s="172"/>
      <c r="P430" s="172"/>
      <c r="Q430" s="38">
        <f>SUM(N430:P430)</f>
        <v>0</v>
      </c>
      <c r="R430" s="38">
        <f>+E430+I430+M430+Q430</f>
        <v>0</v>
      </c>
    </row>
    <row r="431" spans="1:21" ht="15.75" customHeight="1" x14ac:dyDescent="0.3">
      <c r="A431" s="410" t="s">
        <v>2572</v>
      </c>
      <c r="B431" s="10"/>
      <c r="C431" s="10">
        <v>700</v>
      </c>
      <c r="D431" s="10">
        <v>1090</v>
      </c>
      <c r="E431" s="38">
        <f>SUM(B431:D431)</f>
        <v>1790</v>
      </c>
      <c r="F431" s="10">
        <v>1200</v>
      </c>
      <c r="G431" s="10">
        <v>1260</v>
      </c>
      <c r="H431" s="10">
        <v>510</v>
      </c>
      <c r="I431" s="38">
        <f>SUM(F431:H431)</f>
        <v>2970</v>
      </c>
      <c r="J431" s="10">
        <v>510</v>
      </c>
      <c r="K431" s="10">
        <v>310</v>
      </c>
      <c r="L431" s="10">
        <v>200</v>
      </c>
      <c r="M431" s="38">
        <f>SUM(J431:L431)</f>
        <v>1020</v>
      </c>
      <c r="N431" s="172">
        <v>60</v>
      </c>
      <c r="O431" s="172"/>
      <c r="P431" s="172"/>
      <c r="Q431" s="38">
        <f>SUM(N431:P431)</f>
        <v>60</v>
      </c>
      <c r="R431" s="38">
        <f>+E431+I431+M431+Q431</f>
        <v>5840</v>
      </c>
      <c r="T431" t="s">
        <v>2174</v>
      </c>
      <c r="U431" s="707"/>
    </row>
    <row r="432" spans="1:21" ht="15.75" customHeight="1" x14ac:dyDescent="0.3">
      <c r="A432" s="410" t="s">
        <v>2573</v>
      </c>
      <c r="B432" s="10"/>
      <c r="C432" s="10"/>
      <c r="D432" s="10"/>
      <c r="E432" s="38">
        <f>SUM(B432:D432)</f>
        <v>0</v>
      </c>
      <c r="F432" s="10"/>
      <c r="G432" s="10"/>
      <c r="H432" s="10"/>
      <c r="I432" s="38">
        <f>SUM(F432:H432)</f>
        <v>0</v>
      </c>
      <c r="J432" s="10"/>
      <c r="K432" s="10"/>
      <c r="L432" s="10"/>
      <c r="M432" s="38">
        <f>SUM(J432:L432)</f>
        <v>0</v>
      </c>
      <c r="N432" s="172"/>
      <c r="O432" s="172"/>
      <c r="P432" s="172"/>
      <c r="Q432" s="38">
        <f>SUM(N432:P432)</f>
        <v>0</v>
      </c>
      <c r="R432" s="38">
        <f>+E432+I432+M432+Q432</f>
        <v>0</v>
      </c>
    </row>
    <row r="433" spans="1:20" ht="15.75" hidden="1" customHeight="1" thickBot="1" x14ac:dyDescent="0.35">
      <c r="A433" s="410" t="s">
        <v>2574</v>
      </c>
      <c r="B433" s="10"/>
      <c r="C433" s="10"/>
      <c r="D433" s="10"/>
      <c r="E433" s="38">
        <f>SUM(B433:D433)</f>
        <v>0</v>
      </c>
      <c r="F433" s="10"/>
      <c r="G433" s="10"/>
      <c r="H433" s="10"/>
      <c r="I433" s="38">
        <f>SUM(F433:H433)</f>
        <v>0</v>
      </c>
      <c r="J433" s="10"/>
      <c r="K433" s="10">
        <v>1118</v>
      </c>
      <c r="L433" s="10">
        <v>1769</v>
      </c>
      <c r="M433" s="38">
        <f>SUM(J433:L433)</f>
        <v>2887</v>
      </c>
      <c r="N433" s="10">
        <v>1540</v>
      </c>
      <c r="O433" s="10">
        <v>952</v>
      </c>
      <c r="P433" s="10">
        <v>654</v>
      </c>
      <c r="Q433" s="38">
        <f>SUM(N433:P433)</f>
        <v>3146</v>
      </c>
      <c r="R433" s="38">
        <f>+E433+I433+M433+Q433</f>
        <v>6033</v>
      </c>
      <c r="T433" t="s">
        <v>2175</v>
      </c>
    </row>
    <row r="434" spans="1:20" ht="16.5" hidden="1" customHeight="1" thickBot="1" x14ac:dyDescent="0.35">
      <c r="A434" s="43" t="s">
        <v>1019</v>
      </c>
      <c r="B434" s="42">
        <f>SUM(B418:B433)</f>
        <v>0</v>
      </c>
      <c r="C434" s="42">
        <f>SUM(C418:C433)</f>
        <v>700</v>
      </c>
      <c r="D434" s="42">
        <f>SUM(D418:D433)</f>
        <v>1090</v>
      </c>
      <c r="E434" s="39">
        <f t="shared" si="105"/>
        <v>1790</v>
      </c>
      <c r="F434" s="42">
        <f>SUM(F418:F433)</f>
        <v>1200</v>
      </c>
      <c r="G434" s="42">
        <f>SUM(G418:G433)</f>
        <v>1260</v>
      </c>
      <c r="H434" s="42">
        <f>SUM(H418:H433)</f>
        <v>3891</v>
      </c>
      <c r="I434" s="39">
        <f t="shared" si="106"/>
        <v>6351</v>
      </c>
      <c r="J434" s="42">
        <f>SUM(J418:J433)</f>
        <v>3969</v>
      </c>
      <c r="K434" s="42">
        <f>SUM(K418:K433)</f>
        <v>1428</v>
      </c>
      <c r="L434" s="42">
        <f>SUM(L418:L433)</f>
        <v>1969</v>
      </c>
      <c r="M434" s="39">
        <f t="shared" si="107"/>
        <v>7366</v>
      </c>
      <c r="N434" s="42">
        <f>SUM(N418:N433)</f>
        <v>5392</v>
      </c>
      <c r="O434" s="42">
        <f>SUM(O418:O433)</f>
        <v>2160</v>
      </c>
      <c r="P434" s="42">
        <f>SUM(P418:P433)</f>
        <v>654</v>
      </c>
      <c r="Q434" s="39">
        <f t="shared" si="108"/>
        <v>8206</v>
      </c>
      <c r="R434" s="37">
        <f t="shared" si="109"/>
        <v>23713</v>
      </c>
    </row>
    <row r="435" spans="1:20" ht="16.5" hidden="1" customHeight="1" thickBot="1" x14ac:dyDescent="0.35">
      <c r="A435" s="277" t="s">
        <v>1221</v>
      </c>
      <c r="B435" s="45">
        <f>SUM(B412:B433)</f>
        <v>0</v>
      </c>
      <c r="C435" s="46">
        <f>SUM(C412:C433)</f>
        <v>700</v>
      </c>
      <c r="D435" s="58">
        <f>SUM(D412:D433)</f>
        <v>1090</v>
      </c>
      <c r="E435" s="39">
        <f t="shared" si="105"/>
        <v>1790</v>
      </c>
      <c r="F435" s="46">
        <f>SUM(F412:F433)</f>
        <v>4115</v>
      </c>
      <c r="G435" s="46">
        <f>SUM(G412:G433)</f>
        <v>3490</v>
      </c>
      <c r="H435" s="46">
        <f>SUM(H412:H433)</f>
        <v>3891</v>
      </c>
      <c r="I435" s="39">
        <f t="shared" si="106"/>
        <v>11496</v>
      </c>
      <c r="J435" s="46">
        <f>SUM(J412:J433)</f>
        <v>5998</v>
      </c>
      <c r="K435" s="46">
        <f>SUM(K412:K433)</f>
        <v>1428</v>
      </c>
      <c r="L435" s="46">
        <f>SUM(L412:L433)</f>
        <v>1969</v>
      </c>
      <c r="M435" s="39">
        <f t="shared" si="107"/>
        <v>9395</v>
      </c>
      <c r="N435" s="46">
        <f>SUM(N412:N433)</f>
        <v>5392</v>
      </c>
      <c r="O435" s="46">
        <f>SUM(O412:O433)</f>
        <v>2160</v>
      </c>
      <c r="P435" s="46">
        <f>SUM(P412:P433)</f>
        <v>654</v>
      </c>
      <c r="Q435" s="39">
        <f t="shared" si="108"/>
        <v>8206</v>
      </c>
      <c r="R435" s="37">
        <f t="shared" si="109"/>
        <v>30887</v>
      </c>
    </row>
    <row r="436" spans="1:20" ht="16.5" hidden="1" customHeight="1" thickBot="1" x14ac:dyDescent="0.35">
      <c r="A436" s="43" t="s">
        <v>1222</v>
      </c>
      <c r="B436" s="47">
        <f>+B354+B369+B411+B435</f>
        <v>14571</v>
      </c>
      <c r="C436" s="42">
        <f>+C354+C369+C411+C435</f>
        <v>39634</v>
      </c>
      <c r="D436" s="42">
        <f>+D354+D369+D411+D435</f>
        <v>57342</v>
      </c>
      <c r="E436" s="37">
        <f t="shared" si="105"/>
        <v>111547</v>
      </c>
      <c r="F436" s="42">
        <f>+F354+F369+F411+F435</f>
        <v>63242</v>
      </c>
      <c r="G436" s="42">
        <f>+G354+G369+G411+G435</f>
        <v>82103</v>
      </c>
      <c r="H436" s="42">
        <f>+H354+H369+H411+H435</f>
        <v>98891</v>
      </c>
      <c r="I436" s="37">
        <f t="shared" si="106"/>
        <v>244236</v>
      </c>
      <c r="J436" s="42">
        <f>+J354+J369+J411+J435</f>
        <v>77505</v>
      </c>
      <c r="K436" s="42">
        <f>+K354+K369+K411+K435</f>
        <v>60423</v>
      </c>
      <c r="L436" s="42">
        <f>+L354+L369+L411+L435</f>
        <v>46173</v>
      </c>
      <c r="M436" s="37">
        <f t="shared" si="107"/>
        <v>184101</v>
      </c>
      <c r="N436" s="42">
        <f>+N354+N369+N411+N435</f>
        <v>40709</v>
      </c>
      <c r="O436" s="42">
        <f>+O354+O369+O411+O435</f>
        <v>19963</v>
      </c>
      <c r="P436" s="42">
        <f>+P354+P369+P411+P435</f>
        <v>25576</v>
      </c>
      <c r="Q436" s="37">
        <f t="shared" si="108"/>
        <v>86248</v>
      </c>
      <c r="R436" s="40">
        <f t="shared" si="109"/>
        <v>626132</v>
      </c>
    </row>
    <row r="437" spans="1:20" ht="15.75" hidden="1" customHeight="1" x14ac:dyDescent="0.3">
      <c r="A437" s="539" t="s">
        <v>2273</v>
      </c>
      <c r="B437" s="172"/>
      <c r="C437" s="172"/>
      <c r="D437" s="172"/>
      <c r="E437" s="38">
        <f t="shared" si="105"/>
        <v>0</v>
      </c>
      <c r="F437" s="172"/>
      <c r="G437" s="172"/>
      <c r="H437" s="172"/>
      <c r="I437" s="38">
        <f t="shared" si="106"/>
        <v>0</v>
      </c>
      <c r="J437" s="172"/>
      <c r="K437" s="172"/>
      <c r="L437" s="172"/>
      <c r="M437" s="38">
        <f t="shared" si="107"/>
        <v>0</v>
      </c>
      <c r="N437" s="172"/>
      <c r="O437" s="172"/>
      <c r="P437" s="172"/>
      <c r="Q437" s="38">
        <f t="shared" si="108"/>
        <v>0</v>
      </c>
      <c r="R437" s="38">
        <f t="shared" si="109"/>
        <v>0</v>
      </c>
    </row>
    <row r="438" spans="1:20" ht="15.75" customHeight="1" x14ac:dyDescent="0.3">
      <c r="A438" s="539" t="s">
        <v>2274</v>
      </c>
      <c r="B438" s="172"/>
      <c r="C438" s="172"/>
      <c r="D438" s="172"/>
      <c r="E438" s="38">
        <f t="shared" si="105"/>
        <v>0</v>
      </c>
      <c r="F438" s="172"/>
      <c r="G438" s="172"/>
      <c r="H438" s="172"/>
      <c r="I438" s="38">
        <f t="shared" si="106"/>
        <v>0</v>
      </c>
      <c r="J438" s="172"/>
      <c r="K438" s="172"/>
      <c r="L438" s="172"/>
      <c r="M438" s="38">
        <f t="shared" si="107"/>
        <v>0</v>
      </c>
      <c r="N438" s="172"/>
      <c r="O438" s="172"/>
      <c r="P438" s="172"/>
      <c r="Q438" s="38">
        <f t="shared" si="108"/>
        <v>0</v>
      </c>
      <c r="R438" s="38">
        <f t="shared" si="109"/>
        <v>0</v>
      </c>
    </row>
    <row r="439" spans="1:20" ht="16.5" hidden="1" customHeight="1" thickBot="1" x14ac:dyDescent="0.35">
      <c r="A439" s="257" t="s">
        <v>853</v>
      </c>
      <c r="B439" s="238">
        <v>155</v>
      </c>
      <c r="C439" s="238">
        <v>283</v>
      </c>
      <c r="D439" s="238">
        <v>435</v>
      </c>
      <c r="E439" s="40">
        <f t="shared" si="105"/>
        <v>873</v>
      </c>
      <c r="F439" s="238">
        <v>602</v>
      </c>
      <c r="G439" s="238">
        <v>711</v>
      </c>
      <c r="H439" s="238">
        <v>722</v>
      </c>
      <c r="I439" s="40">
        <f t="shared" si="106"/>
        <v>2035</v>
      </c>
      <c r="J439" s="238">
        <v>686</v>
      </c>
      <c r="K439" s="238">
        <v>519</v>
      </c>
      <c r="L439" s="238">
        <v>531</v>
      </c>
      <c r="M439" s="40">
        <f t="shared" si="107"/>
        <v>1736</v>
      </c>
      <c r="N439" s="238">
        <v>489</v>
      </c>
      <c r="O439" s="238">
        <v>389</v>
      </c>
      <c r="P439" s="238">
        <v>275</v>
      </c>
      <c r="Q439" s="40">
        <f t="shared" si="108"/>
        <v>1153</v>
      </c>
      <c r="R439" s="38">
        <f t="shared" si="109"/>
        <v>5797</v>
      </c>
    </row>
    <row r="440" spans="1:20" ht="16.5" hidden="1" customHeight="1" thickBot="1" x14ac:dyDescent="0.35">
      <c r="A440" s="44"/>
      <c r="B440" s="258"/>
      <c r="C440" s="258"/>
      <c r="D440" s="258"/>
      <c r="E440" s="37"/>
      <c r="F440" s="258"/>
      <c r="G440" s="258"/>
      <c r="H440" s="258"/>
      <c r="I440" s="37"/>
      <c r="J440" s="258"/>
      <c r="K440" s="258"/>
      <c r="L440" s="258"/>
      <c r="M440" s="37"/>
      <c r="N440" s="258"/>
      <c r="O440" s="258"/>
      <c r="P440" s="258"/>
      <c r="Q440" s="37"/>
      <c r="R440" s="37" t="s">
        <v>852</v>
      </c>
    </row>
    <row r="441" spans="1:20" ht="15.75" hidden="1" customHeight="1" x14ac:dyDescent="0.3">
      <c r="A441" s="259" t="s">
        <v>2011</v>
      </c>
      <c r="B441" s="260">
        <f>SUM(B436:B439)</f>
        <v>14726</v>
      </c>
      <c r="C441" s="260">
        <f>SUM(C436:C439)</f>
        <v>39917</v>
      </c>
      <c r="D441" s="260">
        <f>SUM(D436:D439)</f>
        <v>57777</v>
      </c>
      <c r="E441" s="39">
        <f>SUM(B441:D441)</f>
        <v>112420</v>
      </c>
      <c r="F441" s="260">
        <f>SUM(F436:F439)</f>
        <v>63844</v>
      </c>
      <c r="G441" s="260">
        <f>SUM(G436:G439)</f>
        <v>82814</v>
      </c>
      <c r="H441" s="260">
        <f>SUM(H436:H439)</f>
        <v>99613</v>
      </c>
      <c r="I441" s="39">
        <f>SUM(F441:H441)</f>
        <v>246271</v>
      </c>
      <c r="J441" s="260">
        <f>SUM(J436:J439)</f>
        <v>78191</v>
      </c>
      <c r="K441" s="260">
        <f>SUM(K436:K439)</f>
        <v>60942</v>
      </c>
      <c r="L441" s="260">
        <f>SUM(L436:L439)</f>
        <v>46704</v>
      </c>
      <c r="M441" s="39">
        <f>SUM(J441:L441)</f>
        <v>185837</v>
      </c>
      <c r="N441" s="260">
        <f>SUM(N436:N439)</f>
        <v>41198</v>
      </c>
      <c r="O441" s="260">
        <f>SUM(O436:O439)</f>
        <v>20352</v>
      </c>
      <c r="P441" s="260">
        <f>SUM(P436:P439)</f>
        <v>25851</v>
      </c>
      <c r="Q441" s="39">
        <f>SUM(N441:P441)</f>
        <v>87401</v>
      </c>
      <c r="R441" s="39">
        <f>+E441+I441+M441+Q441</f>
        <v>631929</v>
      </c>
    </row>
    <row r="442" spans="1:20" ht="15.75" hidden="1" customHeight="1" x14ac:dyDescent="0.3">
      <c r="A442" s="262" t="s">
        <v>1897</v>
      </c>
      <c r="B442" s="172">
        <f>(B441/B10)/1.983</f>
        <v>239.55232378442568</v>
      </c>
      <c r="C442" s="172">
        <f>(C441/C10)/1.983</f>
        <v>694.12419357643421</v>
      </c>
      <c r="D442" s="172">
        <f>(D441/D10)/1.983</f>
        <v>939.87604314089106</v>
      </c>
      <c r="E442" s="38" t="s">
        <v>852</v>
      </c>
      <c r="F442" s="172">
        <f>(F441/F10)/1.983</f>
        <v>1073.1887712220539</v>
      </c>
      <c r="G442" s="172">
        <f>(G441/G10)/1.983</f>
        <v>1347.1605420265807</v>
      </c>
      <c r="H442" s="172">
        <f>(H441/H10)/1.983</f>
        <v>1674.4494873087913</v>
      </c>
      <c r="I442" s="38" t="s">
        <v>852</v>
      </c>
      <c r="J442" s="172">
        <f>(J441/J10)/1.983</f>
        <v>1271.9567940396598</v>
      </c>
      <c r="K442" s="172">
        <f>(K441/K10)/1.983</f>
        <v>991.36206139280648</v>
      </c>
      <c r="L442" s="172">
        <f>(L441/L10)/1.983</f>
        <v>785.07312153303064</v>
      </c>
      <c r="M442" s="38" t="s">
        <v>852</v>
      </c>
      <c r="N442" s="172">
        <f>(N441/N10)/1.983</f>
        <v>670.18040440518598</v>
      </c>
      <c r="O442" s="172">
        <f>(O441/O10)/1.983</f>
        <v>342.1079172970247</v>
      </c>
      <c r="P442" s="172">
        <f>(P441/P10)/1.983</f>
        <v>420.52608462251715</v>
      </c>
      <c r="Q442" s="38" t="s">
        <v>852</v>
      </c>
      <c r="R442" s="38" t="s">
        <v>852</v>
      </c>
    </row>
    <row r="443" spans="1:20" ht="15.75" hidden="1" customHeight="1" x14ac:dyDescent="0.3">
      <c r="A443" s="262" t="s">
        <v>2432</v>
      </c>
      <c r="B443" s="172">
        <f>B441+B490</f>
        <v>23810</v>
      </c>
      <c r="C443" s="172">
        <f>C441+C490</f>
        <v>57969</v>
      </c>
      <c r="D443" s="172">
        <f>D441+D490</f>
        <v>89418</v>
      </c>
      <c r="E443" s="38">
        <f>SUM(B443:D443)</f>
        <v>171197</v>
      </c>
      <c r="F443" s="172">
        <f>F441+F490</f>
        <v>103186</v>
      </c>
      <c r="G443" s="172">
        <f>G441+G490</f>
        <v>119224</v>
      </c>
      <c r="H443" s="172">
        <f>H441+H490</f>
        <v>145021</v>
      </c>
      <c r="I443" s="38">
        <f>SUM(F443:H443)</f>
        <v>367431</v>
      </c>
      <c r="J443" s="172">
        <f>J441+J490</f>
        <v>128199</v>
      </c>
      <c r="K443" s="172">
        <f>K441+K490</f>
        <v>96897</v>
      </c>
      <c r="L443" s="172">
        <f>L441+L490</f>
        <v>80109</v>
      </c>
      <c r="M443" s="38">
        <f>SUM(J443:L443)</f>
        <v>305205</v>
      </c>
      <c r="N443" s="172">
        <f>N441+N490</f>
        <v>52257</v>
      </c>
      <c r="O443" s="172">
        <f>O441+O490</f>
        <v>32345</v>
      </c>
      <c r="P443" s="172">
        <f>P441+P490</f>
        <v>41828</v>
      </c>
      <c r="Q443" s="38">
        <f>SUM(N443:P443)</f>
        <v>126430</v>
      </c>
      <c r="R443" s="38">
        <f>+E443+I443+M443+Q443</f>
        <v>970263</v>
      </c>
    </row>
    <row r="444" spans="1:20" s="574" customFormat="1" ht="16.5" hidden="1" customHeight="1" thickBot="1" x14ac:dyDescent="0.35">
      <c r="A444" s="576" t="s">
        <v>104</v>
      </c>
      <c r="B444" s="577">
        <f>(B443/B10)/1.983</f>
        <v>387.32451645437834</v>
      </c>
      <c r="C444" s="577">
        <f>(C443/C10)/1.983</f>
        <v>1008.0338045803119</v>
      </c>
      <c r="D444" s="577">
        <f>(D443/D10)/1.983</f>
        <v>1454.589819920941</v>
      </c>
      <c r="E444" s="578" t="s">
        <v>852</v>
      </c>
      <c r="F444" s="577">
        <f>(F443/F10)/1.983</f>
        <v>1734.5100016809547</v>
      </c>
      <c r="G444" s="577">
        <f>(G443/G10)/1.983</f>
        <v>1939.453093227921</v>
      </c>
      <c r="H444" s="577">
        <f>(H443/H10)/1.983</f>
        <v>2437.7374348630024</v>
      </c>
      <c r="I444" s="578" t="s">
        <v>852</v>
      </c>
      <c r="J444" s="577">
        <f>(J443/J10)/1.983</f>
        <v>2085.452149724269</v>
      </c>
      <c r="K444" s="577">
        <f>(K443/K10)/1.983</f>
        <v>1576.2529891171732</v>
      </c>
      <c r="L444" s="577">
        <f>(L443/L10)/1.983</f>
        <v>1346.5960665658095</v>
      </c>
      <c r="M444" s="578" t="s">
        <v>852</v>
      </c>
      <c r="N444" s="577">
        <f>(N443/N10)/1.983</f>
        <v>850.08052315650775</v>
      </c>
      <c r="O444" s="577">
        <f>(O443/O10)/1.983</f>
        <v>543.70482434022529</v>
      </c>
      <c r="P444" s="577">
        <f>(P443/P10)/1.983</f>
        <v>680.42880614253409</v>
      </c>
      <c r="Q444" s="578" t="s">
        <v>852</v>
      </c>
      <c r="R444" s="578" t="s">
        <v>852</v>
      </c>
      <c r="S444"/>
    </row>
    <row r="445" spans="1:20" ht="15.75" hidden="1" customHeight="1" x14ac:dyDescent="0.3">
      <c r="A445" s="351" t="s">
        <v>1011</v>
      </c>
      <c r="B445" s="352">
        <f>B$446+(SUMIF($T$301:$T$422,"FLG",B$308:B$438)/B10/1.98)+(SUMIF($T$301:$T$422,"FCA",B$308:B$438)/B10/1.98)+(SUMIF($T$301:$T$422,"NSC",B$308:B$438)/B10/1.98)</f>
        <v>226.72299097558965</v>
      </c>
      <c r="C445" s="352">
        <f>C$446+(SUMIF($T$301:$T$422,"FLG",C$308:C$438)/C10/1.98)+(SUMIF($T$301:$T$422,"FCA",C$308:C$438)/C10/1.98)+(SUMIF($T$301:$T$422,"NSC",C$308:C$438)/C10/1.98)</f>
        <v>605.53273883390216</v>
      </c>
      <c r="D445" s="352">
        <f>D$446+(SUMIF($T$301:$T$422,"FLG",D$308:D$438)/D10/1.98)+(SUMIF($T$301:$T$422,"FCA",D$308:D$438)/D10/1.98)+(SUMIF($T$301:$T$422,"NSC",D$308:D$438)/D10/1.98)</f>
        <v>944.47917267447792</v>
      </c>
      <c r="E445" s="329"/>
      <c r="F445" s="352">
        <f>F$446+(SUMIF($T$301:$T$422,"FLG",F$308:F$438)/F10/1.98)+(SUMIF($T$301:$T$422,"FCA",F$308:F$438)/F10/1.98)+(SUMIF($T$301:$T$422,"NSC",F$308:F$438)/F10/1.98)</f>
        <v>1083.0720722097424</v>
      </c>
      <c r="G445" s="352">
        <f>G$446+(SUMIF($T$301:$T$422,"FLG",G$308:G$438)/G10/1.98)+(SUMIF($T$301:$T$422,"FCA",G$308:G$438)/G10/1.98)+(SUMIF($T$301:$T$422,"NSC",G$308:G$438)/G10/1.98)</f>
        <v>1196.5773345183818</v>
      </c>
      <c r="H445" s="352">
        <f>H$446+(SUMIF($T$301:$T$422,"FLG",H$308:H$438)/H10/1.98)+(SUMIF($T$301:$T$422,"FCA",H$308:H$438)/H10/1.98)+(SUMIF($T$301:$T$422,"NSC",H$308:H$438)/H10/1.98)</f>
        <v>1594.2812135474767</v>
      </c>
      <c r="I445" s="350"/>
      <c r="J445" s="352">
        <f>J$446+(SUMIF($T$301:$T$422,"FLG",J$308:J$438)/J10/1.98)+(SUMIF($T$301:$T$422,"FCA",J$308:J$438)/J10/1.98)+(SUMIF($T$301:$T$422,"NSC",J$308:J$438)/J10/1.98)</f>
        <v>1255.4797154109049</v>
      </c>
      <c r="K445" s="352">
        <f>K$446+(SUMIF($T$301:$T$422,"FLG",K$308:K$438)/K10/1.98)+(SUMIF($T$301:$T$422,"FCA",K$308:K$438)/K10/1.98)+(SUMIF($T$301:$T$422,"NSC",K$308:K$438)/K10/1.98)</f>
        <v>1031.6651212727538</v>
      </c>
      <c r="L445" s="352">
        <f>L$446+(SUMIF($T$301:$T$422,"FLG",L$308:L$438)/L10/1.98)+(SUMIF($T$301:$T$422,"FCA",L$308:L$438)/L10/1.98)+(SUMIF($T$301:$T$422,"NSC",L$308:L$438)/L10/1.98)</f>
        <v>910.42866893850248</v>
      </c>
      <c r="M445" s="350"/>
      <c r="N445" s="352">
        <f>N$446+(SUMIF($T$301:$T$422,"FLG",N$308:N$438)/N10/1.98)+(SUMIF($T$301:$T$422,"FCA",N$308:N$438)/N10/1.98)+(SUMIF($T$301:$T$422,"NSC",N$308:N$438)/N10/1.98)</f>
        <v>385.99330871547943</v>
      </c>
      <c r="O445" s="352">
        <f>O$446+(SUMIF($T$301:$T$422,"FLG",O$308:O$438)/O10/1.98)+(SUMIF($T$301:$T$422,"FCA",O$308:O$438)/O10/1.98)+(SUMIF($T$301:$T$422,"NSC",O$308:O$438)/O10/1.98)</f>
        <v>332.2198026660962</v>
      </c>
      <c r="P445" s="352">
        <f>P$446+(SUMIF($T$301:$T$422,"FLG",P$308:P$438)/P10/1.98)+(SUMIF($T$301:$T$422,"FCA",P$308:P$438)/P10/1.98)+(SUMIF($T$301:$T$422,"NSC",P$308:P$438)/P10/1.98)</f>
        <v>428.7525097246438</v>
      </c>
      <c r="Q445" s="350"/>
      <c r="R445" s="350"/>
    </row>
    <row r="446" spans="1:20" ht="15.75" hidden="1" customHeight="1" x14ac:dyDescent="0.3">
      <c r="A446" s="351" t="s">
        <v>1012</v>
      </c>
      <c r="B446" s="352">
        <f>B$447+(SUMIF($T$301:$T$422,"FCI",B$308:B$438)/B10/1.98)+(SUMIF($T$301:$T$422,"FCC",B$308:B$438)/B10/1.98)</f>
        <v>226.72299097558965</v>
      </c>
      <c r="C446" s="352">
        <f>C$447+(SUMIF($T$301:$T$422,"FCI",C$308:C$438)/C10/1.98)+(SUMIF($T$301:$T$422,"FCC",C$308:C$438)/C10/1.98)</f>
        <v>605.53273883390216</v>
      </c>
      <c r="D446" s="352">
        <f>D$447+(SUMIF($T$301:$T$422,"FCI",D$308:D$438)/D10/1.98)+(SUMIF($T$301:$T$422,"FCC",D$308:D$438)/D10/1.98)</f>
        <v>944.47917267447792</v>
      </c>
      <c r="E446" s="329"/>
      <c r="F446" s="352">
        <f>F$447+(SUMIF($T$301:$T$422,"FCI",F$308:F$438)/F10/1.98)+(SUMIF($T$301:$T$422,"FCC",F$308:F$438)/F10/1.98)</f>
        <v>1083.0720722097424</v>
      </c>
      <c r="G446" s="352">
        <f>G$447+(SUMIF($T$301:$T$422,"FCI",G$308:G$438)/G10/1.98)+(SUMIF($T$301:$T$422,"FCC",G$308:G$438)/G10/1.98)</f>
        <v>1196.5773345183818</v>
      </c>
      <c r="H446" s="352">
        <f>H$447+(SUMIF($T$301:$T$422,"FCI",H$308:H$438)/H10/1.98)+(SUMIF($T$301:$T$422,"FCC",H$308:H$438)/H10/1.98)</f>
        <v>1594.2812135474767</v>
      </c>
      <c r="I446" s="350"/>
      <c r="J446" s="352">
        <f>J$447+(SUMIF($T$301:$T$422,"FCI",J$308:J$438)/J10/1.98)+(SUMIF($T$301:$T$422,"FCC",J$308:J$438)/J10/1.98)</f>
        <v>1255.4797154109049</v>
      </c>
      <c r="K446" s="352">
        <f>K$447+(SUMIF($T$301:$T$422,"FCI",K$308:K$438)/K10/1.98)+(SUMIF($T$301:$T$422,"FCC",K$308:K$438)/K10/1.98)</f>
        <v>1031.6651212727538</v>
      </c>
      <c r="L446" s="352">
        <f>L$447+(SUMIF($T$301:$T$422,"FCI",L$308:L$438)/L10/1.98)+(SUMIF($T$301:$T$422,"FCC",L$308:L$438)/L10/1.98)</f>
        <v>910.42866893850248</v>
      </c>
      <c r="M446" s="350"/>
      <c r="N446" s="352">
        <f>N$447+(SUMIF($T$301:$T$422,"FCI",N$308:N$438)/N10/1.98)+(SUMIF($T$301:$T$422,"FCC",N$308:N$438)/N10/1.98)</f>
        <v>385.99330871547943</v>
      </c>
      <c r="O446" s="352">
        <f>O$447+(SUMIF($T$301:$T$422,"FCI",O$308:O$438)/O10/1.98)+(SUMIF($T$301:$T$422,"FCC",O$308:O$438)/O10/1.98)</f>
        <v>332.2198026660962</v>
      </c>
      <c r="P446" s="352">
        <f>P$447+(SUMIF($T$301:$T$422,"FCI",P$308:P$438)/P10/1.98)+(SUMIF($T$301:$T$422,"FCC",P$308:P$438)/P10/1.98)</f>
        <v>428.7525097246438</v>
      </c>
      <c r="Q446" s="350"/>
      <c r="R446" s="350"/>
    </row>
    <row r="447" spans="1:20" ht="15.75" hidden="1" customHeight="1" x14ac:dyDescent="0.3">
      <c r="A447" s="351" t="s">
        <v>1013</v>
      </c>
      <c r="B447" s="352">
        <f>B$448+(SUMIF($T$301:$T$422,"PIL",B$308:B$438)/B10/1.98)+(SUMIF($T$301:$T$422,"KLK",B$308:B$438)/B10/1.98)</f>
        <v>226.72299097558965</v>
      </c>
      <c r="C447" s="352">
        <f>C$448+(SUMIF($T$301:$T$422,"PIL",C$308:C$438)/C10/1.98)+(SUMIF($T$301:$T$422,"KLK",C$308:C$438)/C10/1.98)</f>
        <v>605.53273883390216</v>
      </c>
      <c r="D447" s="352">
        <f>D$448+(SUMIF($T$301:$T$422,"PIL",D$308:D$438)/D10/1.98)+(SUMIF($T$301:$T$422,"KLK",D$308:D$438)/D10/1.98)</f>
        <v>944.47917267447792</v>
      </c>
      <c r="E447" s="329"/>
      <c r="F447" s="352">
        <f>F$448+(SUMIF($T$301:$T$422,"PIL",F$308:F$438)/F10/1.98)+(SUMIF($T$301:$T$422,"KLK",F$308:F$438)/F10/1.98)</f>
        <v>1083.0720722097424</v>
      </c>
      <c r="G447" s="352">
        <f>G$448+(SUMIF($T$301:$T$422,"PIL",G$308:G$438)/G10/1.98)+(SUMIF($T$301:$T$422,"KLK",G$308:G$438)/G10/1.98)</f>
        <v>1196.5773345183818</v>
      </c>
      <c r="H447" s="352">
        <f>H$448+(SUMIF($T$301:$T$422,"PIL",H$308:H$438)/H10/1.98)+(SUMIF($T$301:$T$422,"KLK",H$308:H$438)/H10/1.98)</f>
        <v>1594.2812135474767</v>
      </c>
      <c r="I447" s="350"/>
      <c r="J447" s="352">
        <f>J$448+(SUMIF($T$301:$T$422,"PIL",J$308:J$438)/J10/1.98)+(SUMIF($T$301:$T$422,"KLK",J$308:J$438)/J10/1.98)</f>
        <v>1255.4797154109049</v>
      </c>
      <c r="K447" s="352">
        <f>K$448+(SUMIF($T$301:$T$422,"PIL",K$308:K$438)/K10/1.98)+(SUMIF($T$301:$T$422,"KLK",K$308:K$438)/K10/1.98)</f>
        <v>1031.6651212727538</v>
      </c>
      <c r="L447" s="352">
        <f>L$448+(SUMIF($T$301:$T$422,"PIL",L$308:L$438)/L10/1.98)+(SUMIF($T$301:$T$422,"KLK",L$308:L$438)/L10/1.98)</f>
        <v>910.42866893850248</v>
      </c>
      <c r="M447" s="350"/>
      <c r="N447" s="352">
        <f>N$448+(SUMIF($T$301:$T$422,"PIL",N$308:N$438)/N10/1.98)+(SUMIF($T$301:$T$422,"KLK",N$308:N$438)/N10/1.98)</f>
        <v>385.99330871547943</v>
      </c>
      <c r="O447" s="352">
        <f>O$448+(SUMIF($T$301:$T$422,"PIL",O$308:O$438)/O10/1.98)+(SUMIF($T$301:$T$422,"KLK",O$308:O$438)/O10/1.98)</f>
        <v>332.2198026660962</v>
      </c>
      <c r="P447" s="352">
        <f>P$448+(SUMIF($T$301:$T$422,"PIL",P$308:P$438)/P10/1.98)+(SUMIF($T$301:$T$422,"KLK",P$308:P$438)/P10/1.98)</f>
        <v>428.7525097246438</v>
      </c>
      <c r="Q447" s="350"/>
      <c r="R447" s="350"/>
    </row>
    <row r="448" spans="1:20" ht="15.75" hidden="1" customHeight="1" x14ac:dyDescent="0.3">
      <c r="A448" s="351" t="s">
        <v>1014</v>
      </c>
      <c r="B448" s="352">
        <f>B$449+(SUMIF($T$301:$T$422,"CGE",B$308:B$438)/B10/1.98)</f>
        <v>226.72299097558965</v>
      </c>
      <c r="C448" s="352">
        <f>C$449+(SUMIF($T$301:$T$422,"CGE",C$308:C$438)/C10/1.98)</f>
        <v>605.53273883390216</v>
      </c>
      <c r="D448" s="352">
        <f>D$449+(SUMIF($T$301:$T$422,"CGE",D$308:D$438)/D10/1.98)</f>
        <v>944.47917267447792</v>
      </c>
      <c r="E448" s="329"/>
      <c r="F448" s="352">
        <f>F$449+(SUMIF($T$301:$T$422,"CGE",F$308:F$438)/F10/1.98)</f>
        <v>1083.0720722097424</v>
      </c>
      <c r="G448" s="352">
        <f>G$449+(SUMIF($T$301:$T$422,"CGE",G$308:G$438)/G10/1.98)</f>
        <v>1196.5773345183818</v>
      </c>
      <c r="H448" s="352">
        <f>H$449+(SUMIF($T$301:$T$422,"CGE",H$308:H$438)/H10/1.98)</f>
        <v>1594.2812135474767</v>
      </c>
      <c r="I448" s="350"/>
      <c r="J448" s="352">
        <f>J$449+(SUMIF($T$301:$T$422,"CGE",J$308:J$438)/J10/1.98)</f>
        <v>1255.4797154109049</v>
      </c>
      <c r="K448" s="352">
        <f>K$449+(SUMIF($T$301:$T$422,"CGE",K$308:K$438)/K10/1.98)</f>
        <v>1031.6651212727538</v>
      </c>
      <c r="L448" s="352">
        <f>L$449+(SUMIF($T$301:$T$422,"CGE",L$308:L$438)/L10/1.98)</f>
        <v>910.42866893850248</v>
      </c>
      <c r="M448" s="350"/>
      <c r="N448" s="352">
        <f>N$449+(SUMIF($T$301:$T$422,"CGE",N$308:N$438)/N10/1.98)</f>
        <v>385.99330871547943</v>
      </c>
      <c r="O448" s="352">
        <f>O$449+(SUMIF($T$301:$T$422,"CGE",O$308:O$438)/O10/1.98)</f>
        <v>331.4453918916854</v>
      </c>
      <c r="P448" s="352">
        <f>P$449+(SUMIF($T$301:$T$422,"CGE",P$308:P$438)/P10/1.98)</f>
        <v>415.36052536491752</v>
      </c>
      <c r="Q448" s="350"/>
      <c r="R448" s="350"/>
    </row>
    <row r="449" spans="1:20" ht="15.75" hidden="1" customHeight="1" x14ac:dyDescent="0.3">
      <c r="A449" s="351" t="s">
        <v>1015</v>
      </c>
      <c r="B449" s="352">
        <f>B$450+(SUMIF($T$301:$T$422,"SRO",B$308:B$438)/B10/1.98)</f>
        <v>226.72299097558965</v>
      </c>
      <c r="C449" s="352">
        <f>C$450+(SUMIF($T$301:$T$422,"SRO",C$308:C$438)/C10/1.98)</f>
        <v>605.53273883390216</v>
      </c>
      <c r="D449" s="352">
        <f>D$450+(SUMIF($T$301:$T$422,"SRO",D$308:D$438)/D10/1.98)</f>
        <v>923.70693416030394</v>
      </c>
      <c r="E449" s="329"/>
      <c r="F449" s="352">
        <f>F$450+(SUMIF($T$301:$T$422,"SRO",F$308:F$438)/F10/1.98)</f>
        <v>1051.3212304589006</v>
      </c>
      <c r="G449" s="352">
        <f>G$450+(SUMIF($T$301:$T$422,"SRO",G$308:G$438)/G10/1.98)</f>
        <v>1193.4981556327514</v>
      </c>
      <c r="H449" s="352">
        <f>H$450+(SUMIF($T$301:$T$422,"SRO",H$308:H$438)/H10/1.98)</f>
        <v>1539.550573816837</v>
      </c>
      <c r="I449" s="350"/>
      <c r="J449" s="352">
        <f>J$450+(SUMIF($T$301:$T$422,"SRO",J$308:J$438)/J10/1.98)</f>
        <v>1203.8831041368742</v>
      </c>
      <c r="K449" s="352">
        <f>K$450+(SUMIF($T$301:$T$422,"SRO",K$308:K$438)/K10/1.98)</f>
        <v>1011.5934366849402</v>
      </c>
      <c r="L449" s="352">
        <f>L$450+(SUMIF($T$301:$T$422,"SRO",L$308:L$438)/L10/1.98)</f>
        <v>910.42866893850248</v>
      </c>
      <c r="M449" s="350"/>
      <c r="N449" s="352">
        <f>N$450+(SUMIF($T$301:$T$422,"SRO",N$308:N$438)/N10/1.98)</f>
        <v>385.99330871547943</v>
      </c>
      <c r="O449" s="352">
        <f>O$450+(SUMIF($T$301:$T$422,"SRO",O$308:O$438)/O10/1.98)</f>
        <v>331.4453918916854</v>
      </c>
      <c r="P449" s="352">
        <f>P$450+(SUMIF($T$301:$T$422,"SRO",P$308:P$438)/P10/1.98)</f>
        <v>415.36052536491752</v>
      </c>
      <c r="Q449" s="350"/>
      <c r="R449" s="350"/>
    </row>
    <row r="450" spans="1:20" ht="15.75" hidden="1" customHeight="1" x14ac:dyDescent="0.3">
      <c r="A450" s="351" t="s">
        <v>130</v>
      </c>
      <c r="B450" s="352">
        <f>B$490/B10/1.983</f>
        <v>147.77219266995266</v>
      </c>
      <c r="C450" s="352">
        <f>C$490/C10/1.983</f>
        <v>313.90961100387779</v>
      </c>
      <c r="D450" s="352">
        <f>D$490/D10/1.983</f>
        <v>514.71377678004978</v>
      </c>
      <c r="E450" s="353"/>
      <c r="F450" s="352">
        <f>F$490/F10/1.983</f>
        <v>661.32123045890069</v>
      </c>
      <c r="G450" s="352">
        <f>G$490/G10/1.983</f>
        <v>592.29255120134042</v>
      </c>
      <c r="H450" s="352">
        <f>H$490/H10/1.983</f>
        <v>763.28794755421075</v>
      </c>
      <c r="I450" s="450"/>
      <c r="J450" s="352">
        <f>J$490/J10/1.983</f>
        <v>813.49535568460954</v>
      </c>
      <c r="K450" s="352">
        <f>K$490/K10/1.983</f>
        <v>584.89092772436675</v>
      </c>
      <c r="L450" s="352">
        <f>L$490/L10/1.983</f>
        <v>561.52294503277858</v>
      </c>
      <c r="M450" s="451"/>
      <c r="N450" s="352">
        <f>N$490/N10/1.983</f>
        <v>179.90011875132171</v>
      </c>
      <c r="O450" s="352">
        <f>O$490/O10/1.983</f>
        <v>201.59690704320053</v>
      </c>
      <c r="P450" s="352">
        <f>P$490/P10/1.983</f>
        <v>259.90272152001688</v>
      </c>
      <c r="Q450" s="451"/>
      <c r="R450" s="350"/>
    </row>
    <row r="451" spans="1:20" ht="15.75" hidden="1" customHeight="1" x14ac:dyDescent="0.3">
      <c r="A451" s="351"/>
      <c r="B451" s="352"/>
      <c r="C451" s="352"/>
      <c r="D451" s="352"/>
      <c r="E451" s="353"/>
      <c r="F451" s="352"/>
      <c r="G451" s="352"/>
      <c r="H451" s="352"/>
      <c r="I451" s="450"/>
      <c r="J451" s="352"/>
      <c r="K451" s="352"/>
      <c r="L451" s="352"/>
      <c r="M451" s="451"/>
      <c r="N451" s="352"/>
      <c r="O451" s="352"/>
      <c r="P451" s="352"/>
      <c r="Q451" s="451"/>
      <c r="R451" s="350"/>
    </row>
    <row r="452" spans="1:20" ht="15.75" hidden="1" customHeight="1" thickBot="1" x14ac:dyDescent="0.35">
      <c r="A452" s="18"/>
      <c r="B452" s="172"/>
      <c r="C452" s="172"/>
      <c r="D452" s="172"/>
      <c r="E452" s="172"/>
      <c r="F452" s="172"/>
      <c r="G452" s="172"/>
      <c r="H452" s="172"/>
      <c r="I452" s="172"/>
      <c r="J452" s="172"/>
      <c r="K452" s="172"/>
      <c r="L452" s="172"/>
      <c r="M452" s="172"/>
      <c r="N452" s="172"/>
      <c r="O452" s="172"/>
      <c r="P452" s="172"/>
      <c r="Q452" s="172"/>
      <c r="R452" s="17"/>
    </row>
    <row r="453" spans="1:20" ht="16.5" hidden="1" customHeight="1" thickBot="1" x14ac:dyDescent="0.35">
      <c r="A453" s="240" t="s">
        <v>813</v>
      </c>
      <c r="B453" s="4" t="s">
        <v>2090</v>
      </c>
      <c r="C453" s="5" t="s">
        <v>2091</v>
      </c>
      <c r="D453" s="5" t="s">
        <v>2234</v>
      </c>
      <c r="E453" s="33" t="s">
        <v>1594</v>
      </c>
      <c r="F453" s="5" t="s">
        <v>2235</v>
      </c>
      <c r="G453" s="5" t="s">
        <v>2236</v>
      </c>
      <c r="H453" s="5" t="s">
        <v>2237</v>
      </c>
      <c r="I453" s="35" t="s">
        <v>1595</v>
      </c>
      <c r="J453" s="5" t="s">
        <v>1504</v>
      </c>
      <c r="K453" s="5" t="s">
        <v>1505</v>
      </c>
      <c r="L453" s="5" t="s">
        <v>1506</v>
      </c>
      <c r="M453" s="35" t="s">
        <v>1596</v>
      </c>
      <c r="N453" s="5" t="s">
        <v>1507</v>
      </c>
      <c r="O453" s="5" t="s">
        <v>1508</v>
      </c>
      <c r="P453" s="5" t="s">
        <v>1509</v>
      </c>
      <c r="Q453" s="35" t="s">
        <v>1597</v>
      </c>
      <c r="R453" s="36" t="s">
        <v>1510</v>
      </c>
    </row>
    <row r="454" spans="1:20" ht="16.5" hidden="1" customHeight="1" thickBot="1" x14ac:dyDescent="0.35">
      <c r="A454" s="37"/>
      <c r="B454" s="258"/>
      <c r="C454" s="258"/>
      <c r="D454" s="258"/>
      <c r="E454" s="254"/>
      <c r="F454" s="258"/>
      <c r="G454" s="258"/>
      <c r="H454" s="258"/>
      <c r="I454" s="265"/>
      <c r="J454" s="258"/>
      <c r="K454" s="258"/>
      <c r="L454" s="258"/>
      <c r="M454" s="265"/>
      <c r="N454" s="258"/>
      <c r="O454" s="258"/>
      <c r="P454" s="258"/>
      <c r="Q454" s="265"/>
      <c r="R454" s="52"/>
    </row>
    <row r="455" spans="1:20" ht="15.75" hidden="1" customHeight="1" x14ac:dyDescent="0.3">
      <c r="A455" s="234" t="s">
        <v>2417</v>
      </c>
      <c r="B455" s="172" t="s">
        <v>852</v>
      </c>
      <c r="C455" s="172" t="s">
        <v>852</v>
      </c>
      <c r="D455" s="172" t="s">
        <v>852</v>
      </c>
      <c r="E455" s="38" t="s">
        <v>852</v>
      </c>
      <c r="F455" s="172" t="s">
        <v>852</v>
      </c>
      <c r="G455" s="172" t="s">
        <v>852</v>
      </c>
      <c r="H455" s="172" t="s">
        <v>852</v>
      </c>
      <c r="I455" s="38" t="s">
        <v>852</v>
      </c>
      <c r="J455" s="172" t="s">
        <v>852</v>
      </c>
      <c r="K455" s="172" t="s">
        <v>852</v>
      </c>
      <c r="L455" s="172" t="s">
        <v>852</v>
      </c>
      <c r="M455" s="38" t="s">
        <v>852</v>
      </c>
      <c r="N455" s="172" t="s">
        <v>852</v>
      </c>
      <c r="O455" s="172" t="s">
        <v>852</v>
      </c>
      <c r="P455" s="172" t="s">
        <v>852</v>
      </c>
      <c r="Q455" s="38" t="s">
        <v>852</v>
      </c>
      <c r="R455" s="38" t="s">
        <v>852</v>
      </c>
    </row>
    <row r="456" spans="1:20" ht="15.75" hidden="1" customHeight="1" x14ac:dyDescent="0.3">
      <c r="A456" s="234" t="s">
        <v>2160</v>
      </c>
      <c r="B456" s="172"/>
      <c r="C456" s="172"/>
      <c r="D456" s="172"/>
      <c r="E456" s="38" t="s">
        <v>852</v>
      </c>
      <c r="F456" s="172"/>
      <c r="G456" s="172"/>
      <c r="H456" s="172"/>
      <c r="I456" s="38" t="s">
        <v>852</v>
      </c>
      <c r="J456" s="172"/>
      <c r="K456" s="172"/>
      <c r="L456" s="172"/>
      <c r="M456" s="38" t="s">
        <v>852</v>
      </c>
      <c r="N456" s="172"/>
      <c r="O456" s="172"/>
      <c r="P456" s="172"/>
      <c r="Q456" s="38" t="s">
        <v>852</v>
      </c>
      <c r="R456" s="38" t="s">
        <v>852</v>
      </c>
    </row>
    <row r="457" spans="1:20" ht="15.75" hidden="1" customHeight="1" x14ac:dyDescent="0.3">
      <c r="A457" s="539" t="s">
        <v>2797</v>
      </c>
      <c r="B457" s="172"/>
      <c r="C457" s="172"/>
      <c r="D457" s="172">
        <v>2</v>
      </c>
      <c r="E457" s="38">
        <f>SUM(B457:D457)</f>
        <v>2</v>
      </c>
      <c r="F457" s="172">
        <v>5</v>
      </c>
      <c r="G457" s="172">
        <v>10</v>
      </c>
      <c r="H457" s="172">
        <v>6</v>
      </c>
      <c r="I457" s="38">
        <f>SUM(F457:H457)</f>
        <v>21</v>
      </c>
      <c r="J457" s="172">
        <v>11</v>
      </c>
      <c r="K457" s="172">
        <v>2</v>
      </c>
      <c r="L457" s="172">
        <v>0</v>
      </c>
      <c r="M457" s="38">
        <f>SUM(J457:L457)</f>
        <v>13</v>
      </c>
      <c r="N457" s="172"/>
      <c r="O457" s="172"/>
      <c r="P457" s="172"/>
      <c r="Q457" s="38">
        <f>SUM(N457:P457)</f>
        <v>0</v>
      </c>
      <c r="R457" s="38">
        <f>+E457+I457+M457+Q457</f>
        <v>36</v>
      </c>
      <c r="T457" t="s">
        <v>500</v>
      </c>
    </row>
    <row r="458" spans="1:20" ht="15.75" hidden="1" customHeight="1" x14ac:dyDescent="0.3">
      <c r="A458" s="539" t="s">
        <v>2977</v>
      </c>
      <c r="B458" s="172"/>
      <c r="C458" s="172"/>
      <c r="D458" s="172"/>
      <c r="E458" s="38">
        <f>SUM(B458:D458)</f>
        <v>0</v>
      </c>
      <c r="F458" s="172"/>
      <c r="G458" s="172">
        <v>1100</v>
      </c>
      <c r="H458" s="172"/>
      <c r="I458" s="38">
        <f>SUM(F458:H458)</f>
        <v>1100</v>
      </c>
      <c r="J458" s="172"/>
      <c r="K458" s="172"/>
      <c r="L458" s="172"/>
      <c r="M458" s="38">
        <f>SUM(J458:L458)</f>
        <v>0</v>
      </c>
      <c r="N458" s="172"/>
      <c r="O458" s="172"/>
      <c r="P458" s="172"/>
      <c r="Q458" s="38">
        <f>SUM(N458:P458)</f>
        <v>0</v>
      </c>
      <c r="R458" s="38">
        <f>+E458+I458+M458+Q458</f>
        <v>1100</v>
      </c>
      <c r="T458" t="s">
        <v>500</v>
      </c>
    </row>
    <row r="459" spans="1:20" ht="15.75" hidden="1" customHeight="1" x14ac:dyDescent="0.3">
      <c r="A459" s="410" t="s">
        <v>2795</v>
      </c>
      <c r="B459" s="172"/>
      <c r="C459" s="172"/>
      <c r="D459" s="172"/>
      <c r="E459" s="38">
        <f>SUM(B459:D459)</f>
        <v>0</v>
      </c>
      <c r="F459" s="172"/>
      <c r="G459" s="172"/>
      <c r="H459" s="172"/>
      <c r="I459" s="38">
        <f>SUM(F459:H459)</f>
        <v>0</v>
      </c>
      <c r="J459" s="172"/>
      <c r="K459" s="172"/>
      <c r="L459" s="172"/>
      <c r="M459" s="38">
        <f>SUM(J459:L459)</f>
        <v>0</v>
      </c>
      <c r="N459" s="172"/>
      <c r="O459" s="172"/>
      <c r="P459" s="172"/>
      <c r="Q459" s="38">
        <f>SUM(N459:P459)</f>
        <v>0</v>
      </c>
      <c r="R459" s="38">
        <f>+E459+I459+M459+Q459</f>
        <v>0</v>
      </c>
      <c r="T459" t="s">
        <v>500</v>
      </c>
    </row>
    <row r="460" spans="1:20" ht="15.75" hidden="1" customHeight="1" x14ac:dyDescent="0.3">
      <c r="A460" s="234" t="s">
        <v>2161</v>
      </c>
      <c r="B460" s="172"/>
      <c r="C460" s="172"/>
      <c r="D460" s="172"/>
      <c r="E460" s="38" t="s">
        <v>852</v>
      </c>
      <c r="F460" s="172"/>
      <c r="G460" s="172"/>
      <c r="H460" s="172"/>
      <c r="I460" s="38" t="s">
        <v>852</v>
      </c>
      <c r="J460" s="172"/>
      <c r="K460" s="172"/>
      <c r="L460" s="172"/>
      <c r="M460" s="38" t="s">
        <v>852</v>
      </c>
      <c r="N460" s="172"/>
      <c r="O460" s="172"/>
      <c r="P460" s="172"/>
      <c r="Q460" s="38" t="s">
        <v>852</v>
      </c>
      <c r="R460" s="38" t="s">
        <v>852</v>
      </c>
    </row>
    <row r="461" spans="1:20" ht="15.75" hidden="1" customHeight="1" x14ac:dyDescent="0.3">
      <c r="A461" s="310" t="s">
        <v>1065</v>
      </c>
      <c r="B461" s="10"/>
      <c r="C461" s="10"/>
      <c r="D461" s="10"/>
      <c r="E461" s="38">
        <f>SUM(B461:D461)</f>
        <v>0</v>
      </c>
      <c r="F461" s="10"/>
      <c r="G461" s="10"/>
      <c r="H461" s="10"/>
      <c r="I461" s="38">
        <f>SUM(F461:H461)</f>
        <v>0</v>
      </c>
      <c r="J461" s="10"/>
      <c r="K461" s="10"/>
      <c r="L461" s="10"/>
      <c r="M461" s="38">
        <f>SUM(J461:L461)</f>
        <v>0</v>
      </c>
      <c r="N461" s="10"/>
      <c r="O461" s="10"/>
      <c r="P461" s="10"/>
      <c r="Q461" s="38">
        <f>SUM(N461:P461)</f>
        <v>0</v>
      </c>
      <c r="R461" s="38">
        <f>+E461+I461+M461+Q461</f>
        <v>0</v>
      </c>
    </row>
    <row r="462" spans="1:20" ht="15.75" hidden="1" customHeight="1" x14ac:dyDescent="0.3">
      <c r="A462" s="266" t="s">
        <v>355</v>
      </c>
      <c r="B462" s="172"/>
      <c r="C462" s="172"/>
      <c r="D462" s="172"/>
      <c r="E462" s="38">
        <f>SUM(B462:D462)</f>
        <v>0</v>
      </c>
      <c r="F462" s="172"/>
      <c r="G462" s="172"/>
      <c r="H462" s="172"/>
      <c r="I462" s="38">
        <f>SUM(F462:H462)</f>
        <v>0</v>
      </c>
      <c r="J462" s="172"/>
      <c r="K462" s="172"/>
      <c r="L462" s="172"/>
      <c r="M462" s="38">
        <f>SUM(J462:L462)</f>
        <v>0</v>
      </c>
      <c r="N462" s="172"/>
      <c r="O462" s="172"/>
      <c r="P462" s="172"/>
      <c r="Q462" s="38">
        <f>SUM(N462:P462)</f>
        <v>0</v>
      </c>
      <c r="R462" s="38">
        <f>+E462+I462+M462+Q462</f>
        <v>0</v>
      </c>
    </row>
    <row r="463" spans="1:20" ht="15.75" hidden="1" customHeight="1" x14ac:dyDescent="0.3">
      <c r="A463" s="234" t="s">
        <v>2162</v>
      </c>
      <c r="B463" s="172"/>
      <c r="C463" s="172"/>
      <c r="D463" s="172"/>
      <c r="E463" s="38" t="s">
        <v>852</v>
      </c>
      <c r="F463" s="172"/>
      <c r="G463" s="172"/>
      <c r="H463" s="172"/>
      <c r="I463" s="38" t="s">
        <v>852</v>
      </c>
      <c r="J463" s="172"/>
      <c r="K463" s="172"/>
      <c r="L463" s="172"/>
      <c r="M463" s="38" t="s">
        <v>852</v>
      </c>
      <c r="N463" s="172"/>
      <c r="O463" s="172"/>
      <c r="P463" s="172"/>
      <c r="Q463" s="38" t="s">
        <v>852</v>
      </c>
      <c r="R463" s="38" t="s">
        <v>852</v>
      </c>
    </row>
    <row r="464" spans="1:20" ht="15.75" hidden="1" customHeight="1" thickBot="1" x14ac:dyDescent="0.35">
      <c r="A464" s="234" t="s">
        <v>2164</v>
      </c>
      <c r="B464" s="172"/>
      <c r="C464" s="172"/>
      <c r="D464" s="172"/>
      <c r="E464" s="38" t="s">
        <v>852</v>
      </c>
      <c r="F464" s="172"/>
      <c r="G464" s="172"/>
      <c r="H464" s="172"/>
      <c r="I464" s="38" t="s">
        <v>852</v>
      </c>
      <c r="J464" s="172"/>
      <c r="K464" s="172"/>
      <c r="L464" s="172"/>
      <c r="M464" s="38" t="s">
        <v>852</v>
      </c>
      <c r="N464" s="172"/>
      <c r="O464" s="172"/>
      <c r="P464" s="172"/>
      <c r="Q464" s="38" t="s">
        <v>852</v>
      </c>
      <c r="R464" s="38" t="s">
        <v>852</v>
      </c>
    </row>
    <row r="465" spans="1:20" ht="16.5" hidden="1" customHeight="1" thickBot="1" x14ac:dyDescent="0.35">
      <c r="A465" s="276" t="s">
        <v>1218</v>
      </c>
      <c r="B465" s="45">
        <f>SUM(B455:B464)</f>
        <v>0</v>
      </c>
      <c r="C465" s="46">
        <f>SUM(C455:C464)</f>
        <v>0</v>
      </c>
      <c r="D465" s="46">
        <f>SUM(D455:D464)</f>
        <v>2</v>
      </c>
      <c r="E465" s="37">
        <f>SUM(B465:D465)</f>
        <v>2</v>
      </c>
      <c r="F465" s="46">
        <f>SUM(F455:F464)</f>
        <v>5</v>
      </c>
      <c r="G465" s="46">
        <f>SUM(G455:G464)</f>
        <v>1110</v>
      </c>
      <c r="H465" s="46">
        <f>SUM(H455:H464)</f>
        <v>6</v>
      </c>
      <c r="I465" s="37">
        <f>SUM(F465:H465)</f>
        <v>1121</v>
      </c>
      <c r="J465" s="46">
        <f>SUM(J455:J464)</f>
        <v>11</v>
      </c>
      <c r="K465" s="46">
        <f>SUM(K455:K464)</f>
        <v>2</v>
      </c>
      <c r="L465" s="46">
        <f>SUM(L455:L464)</f>
        <v>0</v>
      </c>
      <c r="M465" s="37">
        <f>SUM(J465:L465)</f>
        <v>13</v>
      </c>
      <c r="N465" s="46">
        <f>SUM(N455:N464)</f>
        <v>0</v>
      </c>
      <c r="O465" s="46">
        <f>SUM(O455:O464)</f>
        <v>0</v>
      </c>
      <c r="P465" s="46">
        <f>SUM(P455:P464)</f>
        <v>0</v>
      </c>
      <c r="Q465" s="37">
        <f>SUM(N465:P465)</f>
        <v>0</v>
      </c>
      <c r="R465" s="37">
        <f>+E465+I465+M465+Q465</f>
        <v>1136</v>
      </c>
    </row>
    <row r="466" spans="1:20" ht="15.75" hidden="1" customHeight="1" x14ac:dyDescent="0.3">
      <c r="A466" s="234" t="s">
        <v>1172</v>
      </c>
      <c r="B466" s="172"/>
      <c r="C466" s="172"/>
      <c r="D466" s="172"/>
      <c r="E466" s="38" t="s">
        <v>852</v>
      </c>
      <c r="F466" s="172"/>
      <c r="G466" s="172"/>
      <c r="H466" s="172"/>
      <c r="I466" s="38" t="s">
        <v>852</v>
      </c>
      <c r="J466" s="172"/>
      <c r="K466" s="172"/>
      <c r="L466" s="172"/>
      <c r="M466" s="38" t="s">
        <v>852</v>
      </c>
      <c r="N466" s="172" t="s">
        <v>852</v>
      </c>
      <c r="O466" s="172"/>
      <c r="P466" s="172"/>
      <c r="Q466" s="38" t="s">
        <v>852</v>
      </c>
      <c r="R466" s="38" t="s">
        <v>852</v>
      </c>
    </row>
    <row r="467" spans="1:20" ht="15.75" hidden="1" customHeight="1" x14ac:dyDescent="0.3">
      <c r="A467" s="234" t="s">
        <v>2409</v>
      </c>
      <c r="B467" s="172"/>
      <c r="C467" s="172"/>
      <c r="D467" s="172"/>
      <c r="E467" s="38" t="s">
        <v>852</v>
      </c>
      <c r="F467" s="172"/>
      <c r="G467" s="172"/>
      <c r="H467" s="172"/>
      <c r="I467" s="38" t="s">
        <v>852</v>
      </c>
      <c r="J467" s="172"/>
      <c r="K467" s="172"/>
      <c r="L467" s="172"/>
      <c r="M467" s="38" t="s">
        <v>852</v>
      </c>
      <c r="N467" s="172"/>
      <c r="O467" s="172"/>
      <c r="P467" s="172"/>
      <c r="Q467" s="38" t="s">
        <v>852</v>
      </c>
      <c r="R467" s="38" t="s">
        <v>852</v>
      </c>
    </row>
    <row r="468" spans="1:20" ht="15.75" hidden="1" customHeight="1" x14ac:dyDescent="0.3">
      <c r="A468" s="266" t="s">
        <v>473</v>
      </c>
      <c r="B468" s="10">
        <v>12</v>
      </c>
      <c r="C468" s="10">
        <v>373</v>
      </c>
      <c r="D468" s="10">
        <v>4009</v>
      </c>
      <c r="E468" s="38">
        <f>SUM(B468:D468)</f>
        <v>4394</v>
      </c>
      <c r="F468" s="10">
        <v>3101</v>
      </c>
      <c r="G468" s="10">
        <v>2221</v>
      </c>
      <c r="H468" s="10">
        <v>16285</v>
      </c>
      <c r="I468" s="38">
        <f>SUM(F468:H468)</f>
        <v>21607</v>
      </c>
      <c r="J468" s="10">
        <v>18529</v>
      </c>
      <c r="K468" s="10">
        <v>10662</v>
      </c>
      <c r="L468" s="10">
        <v>5951</v>
      </c>
      <c r="M468" s="38">
        <f>SUM(J468:L468)</f>
        <v>35142</v>
      </c>
      <c r="N468" s="10"/>
      <c r="O468" s="10"/>
      <c r="P468" s="10"/>
      <c r="Q468" s="38">
        <f>SUM(N468:P468)</f>
        <v>0</v>
      </c>
      <c r="R468" s="38">
        <f>+E468+I468+M468+Q468</f>
        <v>61143</v>
      </c>
    </row>
    <row r="469" spans="1:20" ht="15.75" hidden="1" customHeight="1" thickBot="1" x14ac:dyDescent="0.35">
      <c r="A469" s="234" t="s">
        <v>2165</v>
      </c>
      <c r="B469" s="172"/>
      <c r="C469" s="172"/>
      <c r="D469" s="172"/>
      <c r="E469" s="38" t="s">
        <v>852</v>
      </c>
      <c r="F469" s="172"/>
      <c r="G469" s="172"/>
      <c r="H469" s="172"/>
      <c r="I469" s="38" t="s">
        <v>852</v>
      </c>
      <c r="J469" s="172"/>
      <c r="K469" s="172"/>
      <c r="L469" s="172"/>
      <c r="M469" s="38" t="s">
        <v>852</v>
      </c>
      <c r="N469" s="172"/>
      <c r="O469" s="172"/>
      <c r="P469" s="172"/>
      <c r="Q469" s="38" t="s">
        <v>852</v>
      </c>
      <c r="R469" s="38" t="s">
        <v>852</v>
      </c>
    </row>
    <row r="470" spans="1:20" ht="16.5" hidden="1" customHeight="1" thickBot="1" x14ac:dyDescent="0.35">
      <c r="A470" s="43" t="s">
        <v>1219</v>
      </c>
      <c r="B470" s="45">
        <f>SUM(B466:B469)</f>
        <v>12</v>
      </c>
      <c r="C470" s="46">
        <f>SUM(C466:C469)</f>
        <v>373</v>
      </c>
      <c r="D470" s="46">
        <f>SUM(D466:D469)</f>
        <v>4009</v>
      </c>
      <c r="E470" s="37">
        <f>SUM(B470:D470)</f>
        <v>4394</v>
      </c>
      <c r="F470" s="46">
        <f>SUM(F466:F469)</f>
        <v>3101</v>
      </c>
      <c r="G470" s="46">
        <f>SUM(G466:G469)</f>
        <v>2221</v>
      </c>
      <c r="H470" s="46">
        <f>SUM(H466:H469)</f>
        <v>16285</v>
      </c>
      <c r="I470" s="37">
        <f>SUM(F470:H470)</f>
        <v>21607</v>
      </c>
      <c r="J470" s="46">
        <f>SUM(J466:J469)</f>
        <v>18529</v>
      </c>
      <c r="K470" s="46">
        <f>SUM(K466:K469)</f>
        <v>10662</v>
      </c>
      <c r="L470" s="46">
        <f>SUM(L466:L469)</f>
        <v>5951</v>
      </c>
      <c r="M470" s="37">
        <f>SUM(J470:L470)</f>
        <v>35142</v>
      </c>
      <c r="N470" s="46">
        <f>SUM(N466:N469)</f>
        <v>0</v>
      </c>
      <c r="O470" s="46">
        <f>SUM(O466:O469)</f>
        <v>0</v>
      </c>
      <c r="P470" s="46">
        <f>SUM(P466:P469)</f>
        <v>0</v>
      </c>
      <c r="Q470" s="37">
        <f>SUM(N470:P470)</f>
        <v>0</v>
      </c>
      <c r="R470" s="37">
        <f>+E470+I470+M470+Q470</f>
        <v>61143</v>
      </c>
    </row>
    <row r="471" spans="1:20" ht="15.75" hidden="1" customHeight="1" x14ac:dyDescent="0.3">
      <c r="A471" s="234" t="s">
        <v>2166</v>
      </c>
      <c r="B471" s="172"/>
      <c r="C471" s="172"/>
      <c r="D471" s="172"/>
      <c r="E471" s="38" t="s">
        <v>852</v>
      </c>
      <c r="F471" s="172"/>
      <c r="G471" s="172"/>
      <c r="H471" s="172"/>
      <c r="I471" s="38" t="s">
        <v>852</v>
      </c>
      <c r="J471" s="172"/>
      <c r="K471" s="172"/>
      <c r="L471" s="172"/>
      <c r="M471" s="38" t="s">
        <v>852</v>
      </c>
      <c r="N471" s="172"/>
      <c r="O471" s="172"/>
      <c r="P471" s="172"/>
      <c r="Q471" s="38" t="s">
        <v>852</v>
      </c>
      <c r="R471" s="38" t="s">
        <v>852</v>
      </c>
    </row>
    <row r="472" spans="1:20" ht="15.75" hidden="1" customHeight="1" x14ac:dyDescent="0.3">
      <c r="A472" s="234" t="s">
        <v>1245</v>
      </c>
      <c r="B472" s="172"/>
      <c r="C472" s="172"/>
      <c r="D472" s="172"/>
      <c r="E472" s="38" t="s">
        <v>852</v>
      </c>
      <c r="F472" s="172"/>
      <c r="G472" s="172"/>
      <c r="H472" s="172"/>
      <c r="I472" s="38" t="s">
        <v>852</v>
      </c>
      <c r="J472" s="172"/>
      <c r="K472" s="172"/>
      <c r="L472" s="172"/>
      <c r="M472" s="38" t="s">
        <v>852</v>
      </c>
      <c r="N472" s="172"/>
      <c r="O472" s="172"/>
      <c r="P472" s="172"/>
      <c r="Q472" s="38" t="s">
        <v>852</v>
      </c>
      <c r="R472" s="38" t="s">
        <v>852</v>
      </c>
    </row>
    <row r="473" spans="1:20" ht="15.75" hidden="1" customHeight="1" x14ac:dyDescent="0.3">
      <c r="A473" s="234" t="s">
        <v>1711</v>
      </c>
      <c r="B473" s="172"/>
      <c r="C473" s="172"/>
      <c r="D473" s="172"/>
      <c r="E473" s="38" t="s">
        <v>852</v>
      </c>
      <c r="F473" s="172"/>
      <c r="G473" s="172"/>
      <c r="H473" s="172"/>
      <c r="I473" s="38" t="s">
        <v>852</v>
      </c>
      <c r="J473" s="172"/>
      <c r="K473" s="172"/>
      <c r="L473" s="172"/>
      <c r="M473" s="38" t="s">
        <v>852</v>
      </c>
      <c r="N473" s="172"/>
      <c r="O473" s="172"/>
      <c r="P473" s="172"/>
      <c r="Q473" s="38" t="s">
        <v>852</v>
      </c>
      <c r="R473" s="38" t="s">
        <v>852</v>
      </c>
    </row>
    <row r="474" spans="1:20" ht="15.75" hidden="1" customHeight="1" thickBot="1" x14ac:dyDescent="0.35">
      <c r="A474" s="689" t="s">
        <v>2937</v>
      </c>
      <c r="B474" s="10"/>
      <c r="C474" s="10"/>
      <c r="D474" s="354">
        <v>3000</v>
      </c>
      <c r="E474" s="38">
        <f>SUM(B474:D474)</f>
        <v>3000</v>
      </c>
      <c r="F474" s="10">
        <v>6000</v>
      </c>
      <c r="G474" s="10">
        <v>6000</v>
      </c>
      <c r="H474" s="10"/>
      <c r="I474" s="38">
        <f>SUM(F474:H474)</f>
        <v>12000</v>
      </c>
      <c r="J474" s="10">
        <v>3000</v>
      </c>
      <c r="K474" s="10"/>
      <c r="L474" s="10"/>
      <c r="M474" s="38">
        <f>SUM(J474:L474)</f>
        <v>3000</v>
      </c>
      <c r="N474" s="10"/>
      <c r="O474" s="10"/>
      <c r="P474" s="10">
        <v>1092</v>
      </c>
      <c r="Q474" s="38">
        <f>SUM(N474:P474)</f>
        <v>1092</v>
      </c>
      <c r="R474" s="38">
        <f>+E474+I474+M474+Q474</f>
        <v>19092</v>
      </c>
      <c r="T474" t="s">
        <v>500</v>
      </c>
    </row>
    <row r="475" spans="1:20" ht="16.5" hidden="1" customHeight="1" thickBot="1" x14ac:dyDescent="0.35">
      <c r="A475" s="277" t="s">
        <v>1220</v>
      </c>
      <c r="B475" s="45">
        <f>SUM(B471:B474)</f>
        <v>0</v>
      </c>
      <c r="C475" s="46">
        <f>SUM(C471:C474)</f>
        <v>0</v>
      </c>
      <c r="D475" s="46">
        <f>SUM(D471:D474)</f>
        <v>3000</v>
      </c>
      <c r="E475" s="37">
        <f>SUM(B475:D475)</f>
        <v>3000</v>
      </c>
      <c r="F475" s="46">
        <f>SUM(F471:F474)</f>
        <v>6000</v>
      </c>
      <c r="G475" s="46">
        <f>SUM(G471:G474)</f>
        <v>6000</v>
      </c>
      <c r="H475" s="46">
        <f>SUM(H471:H474)</f>
        <v>0</v>
      </c>
      <c r="I475" s="37">
        <f>SUM(F475:H475)</f>
        <v>12000</v>
      </c>
      <c r="J475" s="46">
        <f>SUM(J471:J474)</f>
        <v>3000</v>
      </c>
      <c r="K475" s="46">
        <f>SUM(K471:K474)</f>
        <v>0</v>
      </c>
      <c r="L475" s="46">
        <f>SUM(L471:L474)</f>
        <v>0</v>
      </c>
      <c r="M475" s="37">
        <f>SUM(J475:L475)</f>
        <v>3000</v>
      </c>
      <c r="N475" s="46">
        <f>SUM(N471:N474)</f>
        <v>0</v>
      </c>
      <c r="O475" s="46">
        <f>SUM(O471:O474)</f>
        <v>0</v>
      </c>
      <c r="P475" s="46">
        <f>SUM(P471:P474)</f>
        <v>1092</v>
      </c>
      <c r="Q475" s="37">
        <f>SUM(N475:P475)</f>
        <v>1092</v>
      </c>
      <c r="R475" s="37">
        <f>+E475+I475+M475+Q475</f>
        <v>19092</v>
      </c>
    </row>
    <row r="476" spans="1:20" ht="15.75" hidden="1" customHeight="1" x14ac:dyDescent="0.3">
      <c r="A476" s="234" t="s">
        <v>1712</v>
      </c>
      <c r="B476" s="172"/>
      <c r="C476" s="172"/>
      <c r="D476" s="172"/>
      <c r="E476" s="38" t="s">
        <v>852</v>
      </c>
      <c r="F476" s="172"/>
      <c r="G476" s="172"/>
      <c r="H476" s="172"/>
      <c r="I476" s="38" t="s">
        <v>852</v>
      </c>
      <c r="J476" s="172"/>
      <c r="K476" s="172"/>
      <c r="L476" s="172"/>
      <c r="M476" s="38" t="s">
        <v>852</v>
      </c>
      <c r="N476" s="172"/>
      <c r="O476" s="172"/>
      <c r="P476" s="172"/>
      <c r="Q476" s="38" t="s">
        <v>852</v>
      </c>
      <c r="R476" s="38" t="s">
        <v>852</v>
      </c>
    </row>
    <row r="477" spans="1:20" ht="15.75" hidden="1" customHeight="1" x14ac:dyDescent="0.3">
      <c r="A477" s="234" t="s">
        <v>1021</v>
      </c>
      <c r="B477" s="172"/>
      <c r="C477" s="172"/>
      <c r="D477" s="172"/>
      <c r="E477" s="38" t="s">
        <v>852</v>
      </c>
      <c r="F477" s="172"/>
      <c r="G477" s="172"/>
      <c r="H477" s="172"/>
      <c r="I477" s="38" t="s">
        <v>852</v>
      </c>
      <c r="J477" s="172"/>
      <c r="K477" s="172"/>
      <c r="L477" s="172"/>
      <c r="M477" s="38" t="s">
        <v>852</v>
      </c>
      <c r="N477" s="172"/>
      <c r="O477" s="172"/>
      <c r="P477" s="172"/>
      <c r="Q477" s="38" t="s">
        <v>852</v>
      </c>
      <c r="R477" s="38" t="s">
        <v>852</v>
      </c>
    </row>
    <row r="478" spans="1:20" ht="15.75" hidden="1" customHeight="1" x14ac:dyDescent="0.3">
      <c r="A478" s="234" t="s">
        <v>557</v>
      </c>
      <c r="B478" s="172"/>
      <c r="C478" s="172"/>
      <c r="D478" s="172"/>
      <c r="E478" s="38" t="s">
        <v>852</v>
      </c>
      <c r="F478" s="172"/>
      <c r="G478" s="172"/>
      <c r="H478" s="172"/>
      <c r="I478" s="38" t="s">
        <v>852</v>
      </c>
      <c r="J478" s="172"/>
      <c r="K478" s="172"/>
      <c r="L478" s="172"/>
      <c r="M478" s="38" t="s">
        <v>852</v>
      </c>
      <c r="N478" s="172"/>
      <c r="O478" s="172"/>
      <c r="P478" s="172"/>
      <c r="Q478" s="38" t="s">
        <v>852</v>
      </c>
      <c r="R478" s="38" t="s">
        <v>852</v>
      </c>
    </row>
    <row r="479" spans="1:20" ht="15.75" hidden="1" customHeight="1" x14ac:dyDescent="0.3">
      <c r="A479" s="234" t="s">
        <v>1022</v>
      </c>
      <c r="B479" s="172"/>
      <c r="C479" s="172"/>
      <c r="D479" s="172"/>
      <c r="E479" s="38" t="s">
        <v>852</v>
      </c>
      <c r="F479" s="172"/>
      <c r="G479" s="172"/>
      <c r="H479" s="172"/>
      <c r="I479" s="38" t="s">
        <v>852</v>
      </c>
      <c r="J479" s="172"/>
      <c r="K479" s="172"/>
      <c r="L479" s="172"/>
      <c r="M479" s="38" t="s">
        <v>852</v>
      </c>
      <c r="N479" s="172"/>
      <c r="O479" s="172"/>
      <c r="P479" s="172"/>
      <c r="Q479" s="38" t="s">
        <v>852</v>
      </c>
      <c r="R479" s="38" t="s">
        <v>852</v>
      </c>
    </row>
    <row r="480" spans="1:20" ht="15.75" hidden="1" customHeight="1" x14ac:dyDescent="0.3">
      <c r="A480" s="234" t="s">
        <v>559</v>
      </c>
      <c r="B480" s="172"/>
      <c r="C480" s="172"/>
      <c r="D480" s="172"/>
      <c r="E480" s="38" t="s">
        <v>852</v>
      </c>
      <c r="F480" s="172"/>
      <c r="G480" s="172"/>
      <c r="H480" s="172"/>
      <c r="I480" s="38" t="s">
        <v>852</v>
      </c>
      <c r="J480" s="172"/>
      <c r="K480" s="172"/>
      <c r="L480" s="172"/>
      <c r="M480" s="38" t="s">
        <v>852</v>
      </c>
      <c r="N480" s="172"/>
      <c r="O480" s="172"/>
      <c r="P480" s="172"/>
      <c r="Q480" s="38" t="s">
        <v>852</v>
      </c>
      <c r="R480" s="38" t="s">
        <v>852</v>
      </c>
    </row>
    <row r="481" spans="1:20" ht="15.75" hidden="1" customHeight="1" x14ac:dyDescent="0.3">
      <c r="A481" s="539" t="s">
        <v>2936</v>
      </c>
      <c r="B481" s="10"/>
      <c r="C481" s="10"/>
      <c r="D481" s="10"/>
      <c r="E481" s="38">
        <f t="shared" ref="E481:E486" si="110">SUM(B481:D481)</f>
        <v>0</v>
      </c>
      <c r="F481" s="10"/>
      <c r="G481" s="10"/>
      <c r="H481" s="10"/>
      <c r="I481" s="38">
        <f t="shared" ref="I481:I486" si="111">SUM(F481:H481)</f>
        <v>0</v>
      </c>
      <c r="J481" s="10"/>
      <c r="K481" s="10"/>
      <c r="L481" s="10">
        <v>1457</v>
      </c>
      <c r="M481" s="38">
        <f t="shared" ref="M481:M486" si="112">SUM(J481:L481)</f>
        <v>1457</v>
      </c>
      <c r="N481" s="10">
        <v>2810</v>
      </c>
      <c r="O481" s="10">
        <v>1573</v>
      </c>
      <c r="P481" s="10"/>
      <c r="Q481" s="38">
        <f t="shared" ref="Q481:Q486" si="113">SUM(N481:P481)</f>
        <v>4383</v>
      </c>
      <c r="R481" s="38">
        <f t="shared" ref="R481:R486" si="114">+E481+I481+M481+Q481</f>
        <v>5840</v>
      </c>
      <c r="T481" t="s">
        <v>500</v>
      </c>
    </row>
    <row r="482" spans="1:20" ht="15.75" hidden="1" customHeight="1" thickBot="1" x14ac:dyDescent="0.35">
      <c r="A482" s="539" t="s">
        <v>2834</v>
      </c>
      <c r="B482" s="172"/>
      <c r="C482" s="172"/>
      <c r="D482" s="172"/>
      <c r="E482" s="38">
        <f t="shared" si="110"/>
        <v>0</v>
      </c>
      <c r="F482" s="172"/>
      <c r="G482" s="172"/>
      <c r="H482" s="172"/>
      <c r="I482" s="38">
        <f t="shared" si="111"/>
        <v>0</v>
      </c>
      <c r="J482" s="172"/>
      <c r="K482" s="172"/>
      <c r="L482" s="172"/>
      <c r="M482" s="38">
        <f t="shared" si="112"/>
        <v>0</v>
      </c>
      <c r="N482" s="172"/>
      <c r="O482" s="172"/>
      <c r="P482" s="172"/>
      <c r="Q482" s="38">
        <f t="shared" si="113"/>
        <v>0</v>
      </c>
      <c r="R482" s="38">
        <f t="shared" si="114"/>
        <v>0</v>
      </c>
      <c r="T482" t="s">
        <v>500</v>
      </c>
    </row>
    <row r="483" spans="1:20" ht="16.5" hidden="1" customHeight="1" thickBot="1" x14ac:dyDescent="0.35">
      <c r="A483" s="43" t="s">
        <v>1019</v>
      </c>
      <c r="B483" s="42">
        <f>SUM(B479:B482)</f>
        <v>0</v>
      </c>
      <c r="C483" s="42">
        <f>SUM(C479:C482)</f>
        <v>0</v>
      </c>
      <c r="D483" s="42">
        <f>SUM(D479:D482)</f>
        <v>0</v>
      </c>
      <c r="E483" s="39">
        <f t="shared" si="110"/>
        <v>0</v>
      </c>
      <c r="F483" s="42">
        <f>SUM(F479:F482)</f>
        <v>0</v>
      </c>
      <c r="G483" s="42">
        <f>SUM(G479:G482)</f>
        <v>0</v>
      </c>
      <c r="H483" s="42">
        <f>SUM(H479:H482)</f>
        <v>0</v>
      </c>
      <c r="I483" s="39">
        <f t="shared" si="111"/>
        <v>0</v>
      </c>
      <c r="J483" s="42">
        <f>SUM(J479:J482)</f>
        <v>0</v>
      </c>
      <c r="K483" s="42">
        <f>SUM(K479:K482)</f>
        <v>0</v>
      </c>
      <c r="L483" s="42">
        <f>SUM(L479:L482)</f>
        <v>1457</v>
      </c>
      <c r="M483" s="39">
        <f t="shared" si="112"/>
        <v>1457</v>
      </c>
      <c r="N483" s="42">
        <f>SUM(N479:N482)</f>
        <v>2810</v>
      </c>
      <c r="O483" s="42">
        <f>SUM(O479:O482)</f>
        <v>1573</v>
      </c>
      <c r="P483" s="42">
        <f>SUM(P479:P482)</f>
        <v>0</v>
      </c>
      <c r="Q483" s="39">
        <f t="shared" si="113"/>
        <v>4383</v>
      </c>
      <c r="R483" s="37">
        <f t="shared" si="114"/>
        <v>5840</v>
      </c>
    </row>
    <row r="484" spans="1:20" ht="16.5" hidden="1" customHeight="1" thickBot="1" x14ac:dyDescent="0.35">
      <c r="A484" s="277" t="s">
        <v>1221</v>
      </c>
      <c r="B484" s="45">
        <f>SUM(B476:B482)</f>
        <v>0</v>
      </c>
      <c r="C484" s="46">
        <f>SUM(C476:C482)</f>
        <v>0</v>
      </c>
      <c r="D484" s="58">
        <f>SUM(D476:D482)</f>
        <v>0</v>
      </c>
      <c r="E484" s="39">
        <f t="shared" si="110"/>
        <v>0</v>
      </c>
      <c r="F484" s="46">
        <f>SUM(F476:F482)</f>
        <v>0</v>
      </c>
      <c r="G484" s="46">
        <f>SUM(G476:G482)</f>
        <v>0</v>
      </c>
      <c r="H484" s="46">
        <f>SUM(H476:H482)</f>
        <v>0</v>
      </c>
      <c r="I484" s="39">
        <f t="shared" si="111"/>
        <v>0</v>
      </c>
      <c r="J484" s="46">
        <f>SUM(J476:J482)</f>
        <v>0</v>
      </c>
      <c r="K484" s="46">
        <f>SUM(K476:K482)</f>
        <v>0</v>
      </c>
      <c r="L484" s="46">
        <f>SUM(L476:L482)</f>
        <v>1457</v>
      </c>
      <c r="M484" s="39">
        <f t="shared" si="112"/>
        <v>1457</v>
      </c>
      <c r="N484" s="46">
        <f>SUM(N476:N482)</f>
        <v>2810</v>
      </c>
      <c r="O484" s="46">
        <f>SUM(O476:O482)</f>
        <v>1573</v>
      </c>
      <c r="P484" s="46">
        <f>SUM(P476:P482)</f>
        <v>0</v>
      </c>
      <c r="Q484" s="39">
        <f t="shared" si="113"/>
        <v>4383</v>
      </c>
      <c r="R484" s="37">
        <f t="shared" si="114"/>
        <v>5840</v>
      </c>
    </row>
    <row r="485" spans="1:20" ht="16.5" hidden="1" customHeight="1" thickBot="1" x14ac:dyDescent="0.35">
      <c r="A485" s="43" t="s">
        <v>1222</v>
      </c>
      <c r="B485" s="47">
        <f>+B465+B470+B475+B484</f>
        <v>12</v>
      </c>
      <c r="C485" s="42">
        <f>+C465+C470+C475+C484</f>
        <v>373</v>
      </c>
      <c r="D485" s="42">
        <f>+D465+D470+D475+D484</f>
        <v>7011</v>
      </c>
      <c r="E485" s="37">
        <f t="shared" si="110"/>
        <v>7396</v>
      </c>
      <c r="F485" s="42">
        <f>+F465+F470+F475+F484</f>
        <v>9106</v>
      </c>
      <c r="G485" s="42">
        <f>+G465+G470+G475+G484</f>
        <v>9331</v>
      </c>
      <c r="H485" s="42">
        <f>+H465+H470+H475+H484</f>
        <v>16291</v>
      </c>
      <c r="I485" s="37">
        <f t="shared" si="111"/>
        <v>34728</v>
      </c>
      <c r="J485" s="42">
        <f>+J465+J470+J475+J484</f>
        <v>21540</v>
      </c>
      <c r="K485" s="42">
        <f>+K465+K470+K475+K484</f>
        <v>10664</v>
      </c>
      <c r="L485" s="42">
        <f>+L465+L470+L475+L484</f>
        <v>7408</v>
      </c>
      <c r="M485" s="37">
        <f t="shared" si="112"/>
        <v>39612</v>
      </c>
      <c r="N485" s="42">
        <f>+N465+N470+N475+N484</f>
        <v>2810</v>
      </c>
      <c r="O485" s="42">
        <f>+O465+O470+O475+O484</f>
        <v>1573</v>
      </c>
      <c r="P485" s="42">
        <f>+P465+P470+P475+P484</f>
        <v>1092</v>
      </c>
      <c r="Q485" s="37">
        <f t="shared" si="113"/>
        <v>5475</v>
      </c>
      <c r="R485" s="40">
        <f t="shared" si="114"/>
        <v>87211</v>
      </c>
    </row>
    <row r="486" spans="1:20" ht="16.5" hidden="1" customHeight="1" thickBot="1" x14ac:dyDescent="0.35">
      <c r="A486" s="244" t="s">
        <v>853</v>
      </c>
      <c r="B486" s="238">
        <v>9</v>
      </c>
      <c r="C486" s="238">
        <v>16</v>
      </c>
      <c r="D486" s="238">
        <v>25</v>
      </c>
      <c r="E486" s="38">
        <f t="shared" si="110"/>
        <v>50</v>
      </c>
      <c r="F486" s="238">
        <v>34</v>
      </c>
      <c r="G486" s="238">
        <v>41</v>
      </c>
      <c r="H486" s="238">
        <v>41</v>
      </c>
      <c r="I486" s="38">
        <f t="shared" si="111"/>
        <v>116</v>
      </c>
      <c r="J486" s="238">
        <v>39</v>
      </c>
      <c r="K486" s="238">
        <v>30</v>
      </c>
      <c r="L486" s="238">
        <v>30</v>
      </c>
      <c r="M486" s="38">
        <f t="shared" si="112"/>
        <v>99</v>
      </c>
      <c r="N486" s="238">
        <v>28</v>
      </c>
      <c r="O486" s="238">
        <v>22</v>
      </c>
      <c r="P486" s="238">
        <v>16</v>
      </c>
      <c r="Q486" s="38">
        <f t="shared" si="113"/>
        <v>66</v>
      </c>
      <c r="R486" s="38">
        <f t="shared" si="114"/>
        <v>331</v>
      </c>
    </row>
    <row r="487" spans="1:20" ht="16.5" hidden="1" customHeight="1" thickBot="1" x14ac:dyDescent="0.35">
      <c r="A487" s="44"/>
      <c r="B487" s="258"/>
      <c r="C487" s="258"/>
      <c r="D487" s="258"/>
      <c r="E487" s="37"/>
      <c r="F487" s="258"/>
      <c r="G487" s="258"/>
      <c r="H487" s="258"/>
      <c r="I487" s="37"/>
      <c r="J487" s="258"/>
      <c r="K487" s="258"/>
      <c r="L487" s="258"/>
      <c r="M487" s="37"/>
      <c r="N487" s="258"/>
      <c r="O487" s="258"/>
      <c r="P487" s="258"/>
      <c r="Q487" s="37"/>
      <c r="R487" s="37" t="s">
        <v>852</v>
      </c>
    </row>
    <row r="488" spans="1:20" ht="15.75" hidden="1" customHeight="1" x14ac:dyDescent="0.3">
      <c r="A488" s="259" t="s">
        <v>2011</v>
      </c>
      <c r="B488" s="260">
        <f>SUM(B485:B486)</f>
        <v>21</v>
      </c>
      <c r="C488" s="260">
        <f>SUM(C485:C486)</f>
        <v>389</v>
      </c>
      <c r="D488" s="260">
        <f>SUM(D485:D486)</f>
        <v>7036</v>
      </c>
      <c r="E488" s="39">
        <f>SUM(B488:D488)</f>
        <v>7446</v>
      </c>
      <c r="F488" s="260">
        <f>SUM(F485:F486)</f>
        <v>9140</v>
      </c>
      <c r="G488" s="260">
        <f>SUM(G485:G486)</f>
        <v>9372</v>
      </c>
      <c r="H488" s="260">
        <f>SUM(H485:H486)</f>
        <v>16332</v>
      </c>
      <c r="I488" s="39">
        <f>SUM(F488:H488)</f>
        <v>34844</v>
      </c>
      <c r="J488" s="260">
        <f>SUM(J485:J486)</f>
        <v>21579</v>
      </c>
      <c r="K488" s="260">
        <f>SUM(K485:K486)</f>
        <v>10694</v>
      </c>
      <c r="L488" s="260">
        <f>SUM(L485:L486)</f>
        <v>7438</v>
      </c>
      <c r="M488" s="39">
        <f>SUM(J488:L488)</f>
        <v>39711</v>
      </c>
      <c r="N488" s="260">
        <f>SUM(N485:N486)</f>
        <v>2838</v>
      </c>
      <c r="O488" s="260">
        <f>SUM(O485:O486)</f>
        <v>1595</v>
      </c>
      <c r="P488" s="260">
        <f>SUM(P485:P486)</f>
        <v>1108</v>
      </c>
      <c r="Q488" s="39">
        <f>SUM(N488:P488)</f>
        <v>5541</v>
      </c>
      <c r="R488" s="39">
        <f>+E488+I488+M488+Q488</f>
        <v>87542</v>
      </c>
    </row>
    <row r="489" spans="1:20" ht="15.75" hidden="1" customHeight="1" x14ac:dyDescent="0.3">
      <c r="A489" s="262" t="s">
        <v>1897</v>
      </c>
      <c r="B489" s="172">
        <f>(B488/B10)/1.983</f>
        <v>0.34161339124493678</v>
      </c>
      <c r="C489" s="172">
        <f>(C488/C10)/1.983</f>
        <v>6.7643938998730588</v>
      </c>
      <c r="D489" s="172">
        <f>(D488/D10)/1.983</f>
        <v>114.45675337139882</v>
      </c>
      <c r="E489" s="38" t="s">
        <v>852</v>
      </c>
      <c r="F489" s="172">
        <f>(F488/F10)/1.983</f>
        <v>153.6392671037149</v>
      </c>
      <c r="G489" s="172">
        <f>(G488/G10)/1.983</f>
        <v>152.45717632131178</v>
      </c>
      <c r="H489" s="172">
        <f>(H488/H10)/1.983</f>
        <v>274.53353504790721</v>
      </c>
      <c r="I489" s="38" t="s">
        <v>852</v>
      </c>
      <c r="J489" s="172">
        <f>(J488/J10)/1.983</f>
        <v>351.03216046069008</v>
      </c>
      <c r="K489" s="172">
        <f>(K488/K10)/1.983</f>
        <v>173.96255266539779</v>
      </c>
      <c r="L489" s="172">
        <f>(L488/L10)/1.983</f>
        <v>125.02941670869053</v>
      </c>
      <c r="M489" s="38" t="s">
        <v>852</v>
      </c>
      <c r="N489" s="172">
        <f>(N488/N10)/1.983</f>
        <v>46.16660973110146</v>
      </c>
      <c r="O489" s="172">
        <f>(O488/O10)/1.983</f>
        <v>26.811228777945871</v>
      </c>
      <c r="P489" s="172">
        <f>(P488/P10)/1.983</f>
        <v>18.024173214256663</v>
      </c>
      <c r="Q489" s="38" t="s">
        <v>852</v>
      </c>
      <c r="R489" s="38" t="s">
        <v>852</v>
      </c>
    </row>
    <row r="490" spans="1:20" ht="15.75" hidden="1" customHeight="1" x14ac:dyDescent="0.3">
      <c r="A490" s="262" t="s">
        <v>575</v>
      </c>
      <c r="B490" s="172">
        <f>B488+B534</f>
        <v>9084</v>
      </c>
      <c r="C490" s="172">
        <f>C488+C534</f>
        <v>18052</v>
      </c>
      <c r="D490" s="172">
        <f>D488+D534</f>
        <v>31641</v>
      </c>
      <c r="E490" s="38">
        <f>SUM(B490:D490)</f>
        <v>58777</v>
      </c>
      <c r="F490" s="172">
        <f>F488+F534</f>
        <v>39342</v>
      </c>
      <c r="G490" s="172">
        <f>G488+G534</f>
        <v>36410</v>
      </c>
      <c r="H490" s="172">
        <f>H488+H534</f>
        <v>45408</v>
      </c>
      <c r="I490" s="38">
        <f>SUM(F490:H490)</f>
        <v>121160</v>
      </c>
      <c r="J490" s="172">
        <f>J488+J534</f>
        <v>50008</v>
      </c>
      <c r="K490" s="172">
        <f>K488+K534</f>
        <v>35955</v>
      </c>
      <c r="L490" s="172">
        <f>L488+L534</f>
        <v>33405</v>
      </c>
      <c r="M490" s="38">
        <f>SUM(J490:L490)</f>
        <v>119368</v>
      </c>
      <c r="N490" s="172">
        <f>N488+N534</f>
        <v>11059</v>
      </c>
      <c r="O490" s="172">
        <f>O488+O534</f>
        <v>11993</v>
      </c>
      <c r="P490" s="172">
        <f>P488+P534</f>
        <v>15977</v>
      </c>
      <c r="Q490" s="38">
        <f>SUM(N490:P490)</f>
        <v>39029</v>
      </c>
      <c r="R490" s="38">
        <f>+E490+I490+M490+Q490</f>
        <v>338334</v>
      </c>
    </row>
    <row r="491" spans="1:20" ht="16.5" hidden="1" customHeight="1" thickBot="1" x14ac:dyDescent="0.35">
      <c r="A491" s="263" t="s">
        <v>576</v>
      </c>
      <c r="B491" s="264">
        <f>(B490/B10)/1.983</f>
        <v>147.77219266995266</v>
      </c>
      <c r="C491" s="264">
        <f>(C490/C10)/1.983</f>
        <v>313.90961100387779</v>
      </c>
      <c r="D491" s="264">
        <f>(D490/D10)/1.983</f>
        <v>514.71377678004978</v>
      </c>
      <c r="E491" s="40" t="s">
        <v>852</v>
      </c>
      <c r="F491" s="264">
        <f>(F490/F10)/1.983</f>
        <v>661.32123045890069</v>
      </c>
      <c r="G491" s="264">
        <f>(G490/G10)/1.983</f>
        <v>592.29255120134042</v>
      </c>
      <c r="H491" s="264">
        <f>(H490/H10)/1.983</f>
        <v>763.28794755421075</v>
      </c>
      <c r="I491" s="40" t="s">
        <v>852</v>
      </c>
      <c r="J491" s="264">
        <f>(J490/J10)/1.983</f>
        <v>813.49535568460954</v>
      </c>
      <c r="K491" s="264">
        <f>(K490/K10)/1.983</f>
        <v>584.89092772436675</v>
      </c>
      <c r="L491" s="264">
        <f>(L490/L10)/1.983</f>
        <v>561.52294503277858</v>
      </c>
      <c r="M491" s="40" t="s">
        <v>852</v>
      </c>
      <c r="N491" s="264">
        <f>(N490/N10)/1.983</f>
        <v>179.90011875132171</v>
      </c>
      <c r="O491" s="264">
        <f>(O490/O10)/1.983</f>
        <v>201.59690704320053</v>
      </c>
      <c r="P491" s="264">
        <f>(P490/P10)/1.983</f>
        <v>259.90272152001688</v>
      </c>
      <c r="Q491" s="40" t="s">
        <v>852</v>
      </c>
      <c r="R491" s="40" t="s">
        <v>852</v>
      </c>
    </row>
    <row r="492" spans="1:20" ht="15.75" hidden="1" customHeight="1" x14ac:dyDescent="0.3">
      <c r="A492" s="17"/>
      <c r="B492" s="172"/>
      <c r="C492" s="172"/>
      <c r="D492" s="172"/>
      <c r="E492" s="172"/>
      <c r="F492" s="172"/>
      <c r="G492" s="172"/>
      <c r="H492" s="172"/>
      <c r="I492" s="172"/>
      <c r="J492" s="172"/>
      <c r="K492" s="172"/>
      <c r="L492" s="172"/>
      <c r="M492" s="172"/>
      <c r="N492" s="172"/>
      <c r="O492" s="172"/>
      <c r="P492" s="172"/>
      <c r="Q492" s="172"/>
      <c r="R492" s="17"/>
    </row>
    <row r="493" spans="1:20" ht="15.75" hidden="1" customHeight="1" thickBot="1" x14ac:dyDescent="0.35">
      <c r="A493" s="17"/>
      <c r="B493" s="172"/>
      <c r="C493" s="172"/>
      <c r="D493" s="172"/>
      <c r="E493" s="172"/>
      <c r="F493" s="172"/>
      <c r="G493" s="172"/>
      <c r="H493" s="172"/>
      <c r="I493" s="172"/>
      <c r="J493" s="172"/>
      <c r="K493" s="172"/>
      <c r="L493" s="172"/>
      <c r="M493" s="172"/>
      <c r="N493" s="172"/>
      <c r="O493" s="172"/>
      <c r="P493" s="172"/>
      <c r="Q493" s="172"/>
      <c r="R493" s="17"/>
    </row>
    <row r="494" spans="1:20" ht="16.5" hidden="1" customHeight="1" thickBot="1" x14ac:dyDescent="0.35">
      <c r="A494" s="278" t="s">
        <v>689</v>
      </c>
      <c r="B494" s="4" t="s">
        <v>2090</v>
      </c>
      <c r="C494" s="5" t="s">
        <v>2091</v>
      </c>
      <c r="D494" s="5" t="s">
        <v>2234</v>
      </c>
      <c r="E494" s="33" t="s">
        <v>1594</v>
      </c>
      <c r="F494" s="5" t="s">
        <v>2235</v>
      </c>
      <c r="G494" s="5" t="s">
        <v>2236</v>
      </c>
      <c r="H494" s="5" t="s">
        <v>2237</v>
      </c>
      <c r="I494" s="35" t="s">
        <v>1595</v>
      </c>
      <c r="J494" s="5" t="s">
        <v>1504</v>
      </c>
      <c r="K494" s="5" t="s">
        <v>1505</v>
      </c>
      <c r="L494" s="5" t="s">
        <v>1506</v>
      </c>
      <c r="M494" s="35" t="s">
        <v>1596</v>
      </c>
      <c r="N494" s="5" t="s">
        <v>1507</v>
      </c>
      <c r="O494" s="5" t="s">
        <v>1508</v>
      </c>
      <c r="P494" s="5" t="s">
        <v>1509</v>
      </c>
      <c r="Q494" s="35" t="s">
        <v>1597</v>
      </c>
      <c r="R494" s="36" t="s">
        <v>1510</v>
      </c>
    </row>
    <row r="495" spans="1:20" ht="16.5" hidden="1" customHeight="1" thickBot="1" x14ac:dyDescent="0.35">
      <c r="A495" s="37"/>
      <c r="B495" s="258"/>
      <c r="C495" s="258"/>
      <c r="D495" s="258"/>
      <c r="E495" s="254"/>
      <c r="F495" s="258"/>
      <c r="G495" s="258"/>
      <c r="H495" s="258"/>
      <c r="I495" s="265"/>
      <c r="J495" s="258"/>
      <c r="K495" s="258"/>
      <c r="L495" s="258"/>
      <c r="M495" s="265"/>
      <c r="N495" s="258"/>
      <c r="O495" s="258"/>
      <c r="P495" s="258"/>
      <c r="Q495" s="265"/>
      <c r="R495" s="52"/>
    </row>
    <row r="496" spans="1:20" ht="15.75" hidden="1" customHeight="1" x14ac:dyDescent="0.3">
      <c r="A496" s="234" t="s">
        <v>2417</v>
      </c>
      <c r="B496" s="172" t="s">
        <v>852</v>
      </c>
      <c r="C496" s="172" t="s">
        <v>852</v>
      </c>
      <c r="D496" s="172" t="s">
        <v>852</v>
      </c>
      <c r="E496" s="38" t="s">
        <v>852</v>
      </c>
      <c r="F496" s="172" t="s">
        <v>852</v>
      </c>
      <c r="G496" s="172" t="s">
        <v>852</v>
      </c>
      <c r="H496" s="172" t="s">
        <v>852</v>
      </c>
      <c r="I496" s="38" t="s">
        <v>852</v>
      </c>
      <c r="J496" s="172" t="s">
        <v>852</v>
      </c>
      <c r="K496" s="172" t="s">
        <v>852</v>
      </c>
      <c r="L496" s="172" t="s">
        <v>852</v>
      </c>
      <c r="M496" s="38" t="s">
        <v>852</v>
      </c>
      <c r="N496" s="172" t="s">
        <v>852</v>
      </c>
      <c r="O496" s="172" t="s">
        <v>852</v>
      </c>
      <c r="P496" s="172" t="s">
        <v>852</v>
      </c>
      <c r="Q496" s="38" t="s">
        <v>852</v>
      </c>
      <c r="R496" s="38" t="s">
        <v>852</v>
      </c>
    </row>
    <row r="497" spans="1:20" ht="15.75" hidden="1" customHeight="1" x14ac:dyDescent="0.3">
      <c r="A497" s="234" t="s">
        <v>2160</v>
      </c>
      <c r="B497" s="172"/>
      <c r="C497" s="172"/>
      <c r="D497" s="172"/>
      <c r="E497" s="38" t="s">
        <v>852</v>
      </c>
      <c r="F497" s="172"/>
      <c r="G497" s="172"/>
      <c r="H497" s="172"/>
      <c r="I497" s="38" t="s">
        <v>852</v>
      </c>
      <c r="J497" s="172"/>
      <c r="K497" s="172"/>
      <c r="L497" s="172"/>
      <c r="M497" s="38" t="s">
        <v>852</v>
      </c>
      <c r="N497" s="172"/>
      <c r="O497" s="172"/>
      <c r="P497" s="172"/>
      <c r="Q497" s="38" t="s">
        <v>852</v>
      </c>
      <c r="R497" s="38" t="s">
        <v>852</v>
      </c>
    </row>
    <row r="498" spans="1:20" ht="15.75" hidden="1" customHeight="1" x14ac:dyDescent="0.3">
      <c r="A498" s="234" t="s">
        <v>2976</v>
      </c>
      <c r="B498" s="10"/>
      <c r="C498" s="10"/>
      <c r="D498" s="10"/>
      <c r="E498" s="38">
        <f>SUM(B498:D498)</f>
        <v>0</v>
      </c>
      <c r="F498" s="10"/>
      <c r="G498" s="10">
        <v>1400</v>
      </c>
      <c r="H498" s="10"/>
      <c r="I498" s="38">
        <f>SUM(F498:H498)</f>
        <v>1400</v>
      </c>
      <c r="J498" s="10"/>
      <c r="K498" s="10"/>
      <c r="L498" s="10"/>
      <c r="M498" s="38">
        <f>SUM(J498:L498)</f>
        <v>0</v>
      </c>
      <c r="N498" s="10"/>
      <c r="O498" s="10"/>
      <c r="P498" s="10"/>
      <c r="Q498" s="38">
        <f>SUM(N498:P498)</f>
        <v>0</v>
      </c>
      <c r="R498" s="38">
        <f>+E498+I498+M498+Q498</f>
        <v>1400</v>
      </c>
      <c r="T498" t="s">
        <v>505</v>
      </c>
    </row>
    <row r="499" spans="1:20" ht="15.75" hidden="1" customHeight="1" x14ac:dyDescent="0.3">
      <c r="A499" s="310" t="s">
        <v>1478</v>
      </c>
      <c r="B499" s="10"/>
      <c r="C499" s="10">
        <v>312</v>
      </c>
      <c r="D499" s="10"/>
      <c r="E499" s="38">
        <f>SUM(B499:D499)</f>
        <v>312</v>
      </c>
      <c r="F499" s="10">
        <v>197</v>
      </c>
      <c r="G499" s="10">
        <v>591</v>
      </c>
      <c r="H499" s="10"/>
      <c r="I499" s="38">
        <f>SUM(F499:H499)</f>
        <v>788</v>
      </c>
      <c r="J499" s="10"/>
      <c r="K499" s="10"/>
      <c r="L499" s="10"/>
      <c r="M499" s="38">
        <f>SUM(J499:L499)</f>
        <v>0</v>
      </c>
      <c r="N499" s="10"/>
      <c r="O499" s="10"/>
      <c r="P499" s="10"/>
      <c r="Q499" s="38">
        <f>SUM(N499:P499)</f>
        <v>0</v>
      </c>
      <c r="R499" s="38">
        <f>+E499+I499+M499+Q499</f>
        <v>1100</v>
      </c>
    </row>
    <row r="500" spans="1:20" ht="15.75" hidden="1" customHeight="1" x14ac:dyDescent="0.3">
      <c r="A500" s="266" t="s">
        <v>485</v>
      </c>
      <c r="B500" s="172"/>
      <c r="C500" s="172"/>
      <c r="D500" s="172">
        <v>140</v>
      </c>
      <c r="E500" s="38">
        <f>SUM(B500:D500)</f>
        <v>140</v>
      </c>
      <c r="F500" s="172">
        <v>250</v>
      </c>
      <c r="G500" s="172">
        <v>703</v>
      </c>
      <c r="H500" s="172">
        <v>1105</v>
      </c>
      <c r="I500" s="38">
        <f>SUM(F500:H500)</f>
        <v>2058</v>
      </c>
      <c r="J500" s="172">
        <v>1194</v>
      </c>
      <c r="K500" s="172">
        <v>608</v>
      </c>
      <c r="L500" s="172"/>
      <c r="M500" s="38">
        <f>SUM(J500:L500)</f>
        <v>1802</v>
      </c>
      <c r="N500" s="172"/>
      <c r="O500" s="172"/>
      <c r="P500" s="172"/>
      <c r="Q500" s="38">
        <f>SUM(N500:P500)</f>
        <v>0</v>
      </c>
      <c r="R500" s="38">
        <f>+E500+I500+M500+Q500</f>
        <v>4000</v>
      </c>
    </row>
    <row r="501" spans="1:20" ht="15.75" hidden="1" customHeight="1" x14ac:dyDescent="0.3">
      <c r="A501" s="310" t="s">
        <v>1938</v>
      </c>
      <c r="B501" s="10"/>
      <c r="C501" s="10"/>
      <c r="D501" s="10"/>
      <c r="E501" s="38">
        <f>SUM(B501:D501)</f>
        <v>0</v>
      </c>
      <c r="F501" s="10"/>
      <c r="G501" s="10"/>
      <c r="H501" s="10"/>
      <c r="I501" s="38">
        <f>SUM(F501:H501)</f>
        <v>0</v>
      </c>
      <c r="J501" s="10">
        <v>257</v>
      </c>
      <c r="K501" s="10">
        <v>500</v>
      </c>
      <c r="L501" s="10"/>
      <c r="M501" s="38">
        <f>SUM(J501:L501)</f>
        <v>757</v>
      </c>
      <c r="N501" s="10"/>
      <c r="O501" s="10"/>
      <c r="P501" s="10"/>
      <c r="Q501" s="38">
        <f>SUM(N501:P501)</f>
        <v>0</v>
      </c>
      <c r="R501" s="38">
        <f>+E501+I501+M501+Q501</f>
        <v>757</v>
      </c>
    </row>
    <row r="502" spans="1:20" ht="15.75" hidden="1" customHeight="1" x14ac:dyDescent="0.3">
      <c r="A502" s="234" t="s">
        <v>2161</v>
      </c>
      <c r="B502" s="172"/>
      <c r="C502" s="172"/>
      <c r="D502" s="172"/>
      <c r="E502" s="38" t="s">
        <v>852</v>
      </c>
      <c r="F502" s="172"/>
      <c r="G502" s="172"/>
      <c r="H502" s="172"/>
      <c r="I502" s="38" t="s">
        <v>852</v>
      </c>
      <c r="J502" s="172"/>
      <c r="K502" s="172"/>
      <c r="L502" s="172"/>
      <c r="M502" s="38" t="s">
        <v>852</v>
      </c>
      <c r="N502" s="172"/>
      <c r="O502" s="172"/>
      <c r="P502" s="172"/>
      <c r="Q502" s="38" t="s">
        <v>852</v>
      </c>
      <c r="R502" s="38" t="s">
        <v>852</v>
      </c>
    </row>
    <row r="503" spans="1:20" ht="15.75" hidden="1" customHeight="1" x14ac:dyDescent="0.3">
      <c r="A503" s="234" t="s">
        <v>2162</v>
      </c>
      <c r="B503" s="172"/>
      <c r="C503" s="172"/>
      <c r="D503" s="172"/>
      <c r="E503" s="38" t="s">
        <v>852</v>
      </c>
      <c r="F503" s="172"/>
      <c r="G503" s="172"/>
      <c r="H503" s="172"/>
      <c r="I503" s="38" t="s">
        <v>852</v>
      </c>
      <c r="J503" s="172"/>
      <c r="K503" s="172"/>
      <c r="L503" s="172"/>
      <c r="M503" s="38" t="s">
        <v>852</v>
      </c>
      <c r="N503" s="172"/>
      <c r="O503" s="172"/>
      <c r="P503" s="172"/>
      <c r="Q503" s="38" t="s">
        <v>852</v>
      </c>
      <c r="R503" s="38" t="s">
        <v>852</v>
      </c>
    </row>
    <row r="504" spans="1:20" ht="15.75" hidden="1" customHeight="1" thickBot="1" x14ac:dyDescent="0.35">
      <c r="A504" s="234" t="s">
        <v>2164</v>
      </c>
      <c r="B504" s="172"/>
      <c r="C504" s="172"/>
      <c r="D504" s="172"/>
      <c r="E504" s="38" t="s">
        <v>852</v>
      </c>
      <c r="F504" s="172"/>
      <c r="G504" s="172"/>
      <c r="H504" s="172"/>
      <c r="I504" s="38" t="s">
        <v>852</v>
      </c>
      <c r="J504" s="172"/>
      <c r="K504" s="172"/>
      <c r="L504" s="172"/>
      <c r="M504" s="38" t="s">
        <v>852</v>
      </c>
      <c r="N504" s="172"/>
      <c r="O504" s="172"/>
      <c r="P504" s="172"/>
      <c r="Q504" s="38" t="s">
        <v>852</v>
      </c>
      <c r="R504" s="38" t="s">
        <v>852</v>
      </c>
    </row>
    <row r="505" spans="1:20" ht="16.5" hidden="1" customHeight="1" thickBot="1" x14ac:dyDescent="0.35">
      <c r="A505" s="276" t="s">
        <v>1218</v>
      </c>
      <c r="B505" s="45">
        <f>SUM(B496:B504)</f>
        <v>0</v>
      </c>
      <c r="C505" s="46">
        <f>SUM(C496:C504)</f>
        <v>312</v>
      </c>
      <c r="D505" s="46">
        <f>SUM(D496:D504)</f>
        <v>140</v>
      </c>
      <c r="E505" s="37">
        <f>SUM(B505:D505)</f>
        <v>452</v>
      </c>
      <c r="F505" s="46">
        <f>SUM(F496:F504)</f>
        <v>447</v>
      </c>
      <c r="G505" s="46">
        <f>SUM(G496:G504)</f>
        <v>2694</v>
      </c>
      <c r="H505" s="46">
        <f>SUM(H496:H504)</f>
        <v>1105</v>
      </c>
      <c r="I505" s="37">
        <f>SUM(F505:H505)</f>
        <v>4246</v>
      </c>
      <c r="J505" s="46">
        <f>SUM(J496:J504)</f>
        <v>1451</v>
      </c>
      <c r="K505" s="46">
        <f>SUM(K496:K504)</f>
        <v>1108</v>
      </c>
      <c r="L505" s="46">
        <f>SUM(L496:L504)</f>
        <v>0</v>
      </c>
      <c r="M505" s="37">
        <f>SUM(J505:L505)</f>
        <v>2559</v>
      </c>
      <c r="N505" s="46">
        <f>SUM(N496:N504)</f>
        <v>0</v>
      </c>
      <c r="O505" s="46">
        <f>SUM(O496:O504)</f>
        <v>0</v>
      </c>
      <c r="P505" s="46">
        <f>SUM(P496:P504)</f>
        <v>0</v>
      </c>
      <c r="Q505" s="37">
        <f>SUM(N505:P505)</f>
        <v>0</v>
      </c>
      <c r="R505" s="37">
        <f>+E505+I505+M505+Q505</f>
        <v>7257</v>
      </c>
    </row>
    <row r="506" spans="1:20" ht="15.75" hidden="1" customHeight="1" x14ac:dyDescent="0.3">
      <c r="A506" s="234" t="s">
        <v>1172</v>
      </c>
      <c r="B506" s="172"/>
      <c r="C506" s="172"/>
      <c r="D506" s="172"/>
      <c r="E506" s="39" t="s">
        <v>852</v>
      </c>
      <c r="F506" s="172"/>
      <c r="G506" s="172"/>
      <c r="H506" s="172"/>
      <c r="I506" s="39" t="s">
        <v>852</v>
      </c>
      <c r="J506" s="172"/>
      <c r="K506" s="172"/>
      <c r="L506" s="172"/>
      <c r="M506" s="39" t="s">
        <v>852</v>
      </c>
      <c r="N506" s="172"/>
      <c r="O506" s="172"/>
      <c r="P506" s="172"/>
      <c r="Q506" s="39" t="s">
        <v>852</v>
      </c>
      <c r="R506" s="63" t="s">
        <v>852</v>
      </c>
    </row>
    <row r="507" spans="1:20" ht="15.75" hidden="1" customHeight="1" x14ac:dyDescent="0.3">
      <c r="A507" s="234" t="s">
        <v>2409</v>
      </c>
      <c r="B507" s="172"/>
      <c r="C507" s="172"/>
      <c r="D507" s="172"/>
      <c r="E507" s="38" t="s">
        <v>852</v>
      </c>
      <c r="F507" s="172"/>
      <c r="G507" s="172"/>
      <c r="H507" s="172"/>
      <c r="I507" s="38" t="s">
        <v>852</v>
      </c>
      <c r="J507" s="172"/>
      <c r="K507" s="172"/>
      <c r="L507" s="172"/>
      <c r="M507" s="38" t="s">
        <v>852</v>
      </c>
      <c r="N507" s="172"/>
      <c r="O507" s="172"/>
      <c r="P507" s="172"/>
      <c r="Q507" s="38" t="s">
        <v>852</v>
      </c>
      <c r="R507" s="63" t="s">
        <v>852</v>
      </c>
    </row>
    <row r="508" spans="1:20" ht="15.75" hidden="1" customHeight="1" x14ac:dyDescent="0.3">
      <c r="A508" s="266" t="s">
        <v>791</v>
      </c>
      <c r="B508" s="10">
        <v>76</v>
      </c>
      <c r="C508" s="10">
        <v>1241</v>
      </c>
      <c r="D508" s="10">
        <v>2397</v>
      </c>
      <c r="E508" s="38">
        <f>SUM(B508:D508)</f>
        <v>3714</v>
      </c>
      <c r="F508" s="10">
        <v>4424</v>
      </c>
      <c r="G508" s="10">
        <v>0</v>
      </c>
      <c r="H508" s="10">
        <v>4918</v>
      </c>
      <c r="I508" s="38">
        <f>SUM(F508:H508)</f>
        <v>9342</v>
      </c>
      <c r="J508" s="10">
        <v>1503</v>
      </c>
      <c r="K508" s="10">
        <v>2346</v>
      </c>
      <c r="L508" s="10">
        <v>2196</v>
      </c>
      <c r="M508" s="38">
        <f>SUM(J508:L508)</f>
        <v>6045</v>
      </c>
      <c r="N508" s="10"/>
      <c r="O508" s="10"/>
      <c r="P508" s="10"/>
      <c r="Q508" s="38">
        <f>SUM(N508:P508)</f>
        <v>0</v>
      </c>
      <c r="R508" s="38">
        <f>+E508+I508+M508+Q508</f>
        <v>19101</v>
      </c>
      <c r="S508">
        <f>+SUM(R508,R468,R359)</f>
        <v>94069</v>
      </c>
      <c r="T508" t="s">
        <v>2704</v>
      </c>
    </row>
    <row r="509" spans="1:20" ht="15.75" hidden="1" customHeight="1" x14ac:dyDescent="0.3">
      <c r="A509" s="266" t="s">
        <v>2300</v>
      </c>
      <c r="B509" s="172"/>
      <c r="C509" s="172"/>
      <c r="D509" s="172"/>
      <c r="E509" s="38">
        <f>SUM(B509:D509)</f>
        <v>0</v>
      </c>
      <c r="F509" s="172"/>
      <c r="G509" s="172"/>
      <c r="H509" s="172"/>
      <c r="I509" s="38">
        <f>SUM(F509:H509)</f>
        <v>0</v>
      </c>
      <c r="J509" s="172"/>
      <c r="K509" s="172"/>
      <c r="L509" s="172"/>
      <c r="M509" s="38">
        <f>SUM(J509:L509)</f>
        <v>0</v>
      </c>
      <c r="N509" s="172"/>
      <c r="O509" s="172"/>
      <c r="P509" s="172"/>
      <c r="Q509" s="38">
        <f>SUM(N509:P509)</f>
        <v>0</v>
      </c>
      <c r="R509" s="38">
        <f>+E509+I509+M509+Q509</f>
        <v>0</v>
      </c>
    </row>
    <row r="510" spans="1:20" ht="15.75" hidden="1" customHeight="1" x14ac:dyDescent="0.3">
      <c r="A510" s="234" t="s">
        <v>2165</v>
      </c>
      <c r="B510" s="172"/>
      <c r="C510" s="172"/>
      <c r="D510" s="172"/>
      <c r="E510" s="38" t="s">
        <v>852</v>
      </c>
      <c r="F510" s="172"/>
      <c r="G510" s="172"/>
      <c r="H510" s="172"/>
      <c r="I510" s="38" t="s">
        <v>852</v>
      </c>
      <c r="J510" s="172"/>
      <c r="K510" s="172"/>
      <c r="L510" s="172"/>
      <c r="M510" s="38" t="s">
        <v>852</v>
      </c>
      <c r="N510" s="172"/>
      <c r="O510" s="172"/>
      <c r="P510" s="172"/>
      <c r="Q510" s="38" t="s">
        <v>852</v>
      </c>
      <c r="R510" s="38"/>
    </row>
    <row r="511" spans="1:20" ht="15.75" hidden="1" customHeight="1" thickBot="1" x14ac:dyDescent="0.35">
      <c r="A511" s="266" t="s">
        <v>2300</v>
      </c>
      <c r="B511" s="172"/>
      <c r="C511" s="172"/>
      <c r="D511" s="172"/>
      <c r="E511" s="38"/>
      <c r="F511" s="172"/>
      <c r="G511" s="172"/>
      <c r="H511" s="172"/>
      <c r="I511" s="38"/>
      <c r="J511" s="172"/>
      <c r="K511" s="172"/>
      <c r="L511" s="172"/>
      <c r="M511" s="38"/>
      <c r="N511" s="172"/>
      <c r="O511" s="172">
        <v>11</v>
      </c>
      <c r="P511" s="172"/>
      <c r="Q511" s="38">
        <f>SUM(N511:P511)</f>
        <v>11</v>
      </c>
      <c r="R511" s="38">
        <f>+E511+I511+M511+Q511</f>
        <v>11</v>
      </c>
    </row>
    <row r="512" spans="1:20" ht="16.5" hidden="1" customHeight="1" thickBot="1" x14ac:dyDescent="0.35">
      <c r="A512" s="43" t="s">
        <v>1219</v>
      </c>
      <c r="B512" s="45">
        <f>SUM(B506:B511)</f>
        <v>76</v>
      </c>
      <c r="C512" s="46">
        <f t="shared" ref="C512:D512" si="115">SUM(C506:C511)</f>
        <v>1241</v>
      </c>
      <c r="D512" s="46">
        <f t="shared" si="115"/>
        <v>2397</v>
      </c>
      <c r="E512" s="37">
        <f>SUM(B512:D512)</f>
        <v>3714</v>
      </c>
      <c r="F512" s="46">
        <f t="shared" ref="F512:H512" si="116">SUM(F506:F511)</f>
        <v>4424</v>
      </c>
      <c r="G512" s="46">
        <f t="shared" si="116"/>
        <v>0</v>
      </c>
      <c r="H512" s="46">
        <f t="shared" si="116"/>
        <v>4918</v>
      </c>
      <c r="I512" s="37">
        <f>SUM(F512:H512)</f>
        <v>9342</v>
      </c>
      <c r="J512" s="46">
        <f t="shared" ref="J512:L512" si="117">SUM(J506:J511)</f>
        <v>1503</v>
      </c>
      <c r="K512" s="46">
        <f t="shared" si="117"/>
        <v>2346</v>
      </c>
      <c r="L512" s="46">
        <f t="shared" si="117"/>
        <v>2196</v>
      </c>
      <c r="M512" s="37">
        <f>SUM(J512:L512)</f>
        <v>6045</v>
      </c>
      <c r="N512" s="46">
        <f t="shared" ref="N512:P512" si="118">SUM(N506:N511)</f>
        <v>0</v>
      </c>
      <c r="O512" s="46">
        <f t="shared" si="118"/>
        <v>11</v>
      </c>
      <c r="P512" s="46">
        <f t="shared" si="118"/>
        <v>0</v>
      </c>
      <c r="Q512" s="37">
        <f>SUM(N512:P512)</f>
        <v>11</v>
      </c>
      <c r="R512" s="37">
        <f>+E512+I512+M512+Q512</f>
        <v>19112</v>
      </c>
    </row>
    <row r="513" spans="1:20" ht="15.75" hidden="1" customHeight="1" x14ac:dyDescent="0.3">
      <c r="A513" s="234" t="s">
        <v>2166</v>
      </c>
      <c r="B513" s="172"/>
      <c r="C513" s="172"/>
      <c r="D513" s="172"/>
      <c r="E513" s="38" t="s">
        <v>852</v>
      </c>
      <c r="F513" s="172"/>
      <c r="G513" s="172"/>
      <c r="H513" s="172"/>
      <c r="I513" s="38" t="s">
        <v>852</v>
      </c>
      <c r="J513" s="172"/>
      <c r="K513" s="172"/>
      <c r="L513" s="172"/>
      <c r="M513" s="38" t="s">
        <v>852</v>
      </c>
      <c r="N513" s="172"/>
      <c r="O513" s="172"/>
      <c r="P513" s="172"/>
      <c r="Q513" s="38" t="s">
        <v>852</v>
      </c>
      <c r="R513" s="38" t="s">
        <v>852</v>
      </c>
    </row>
    <row r="514" spans="1:20" ht="15.75" hidden="1" customHeight="1" x14ac:dyDescent="0.3">
      <c r="A514" s="234" t="s">
        <v>1245</v>
      </c>
      <c r="B514" s="172"/>
      <c r="C514" s="172"/>
      <c r="D514" s="172"/>
      <c r="E514" s="38" t="s">
        <v>852</v>
      </c>
      <c r="F514" s="172"/>
      <c r="G514" s="172"/>
      <c r="H514" s="172"/>
      <c r="I514" s="38" t="s">
        <v>852</v>
      </c>
      <c r="J514" s="172"/>
      <c r="K514" s="172"/>
      <c r="L514" s="172"/>
      <c r="M514" s="38" t="s">
        <v>852</v>
      </c>
      <c r="N514" s="172"/>
      <c r="O514" s="172"/>
      <c r="P514" s="172"/>
      <c r="Q514" s="38" t="s">
        <v>852</v>
      </c>
      <c r="R514" s="38" t="s">
        <v>852</v>
      </c>
    </row>
    <row r="515" spans="1:20" ht="15.75" hidden="1" customHeight="1" x14ac:dyDescent="0.3">
      <c r="A515" s="234" t="s">
        <v>1711</v>
      </c>
      <c r="B515" s="172"/>
      <c r="C515" s="172"/>
      <c r="D515" s="172"/>
      <c r="E515" s="38" t="s">
        <v>852</v>
      </c>
      <c r="F515" s="172"/>
      <c r="G515" s="172"/>
      <c r="H515" s="172"/>
      <c r="I515" s="38" t="s">
        <v>852</v>
      </c>
      <c r="J515" s="172"/>
      <c r="K515" s="172"/>
      <c r="L515" s="172"/>
      <c r="M515" s="38" t="s">
        <v>852</v>
      </c>
      <c r="N515" s="172"/>
      <c r="O515" s="172"/>
      <c r="P515" s="172"/>
      <c r="Q515" s="38" t="s">
        <v>852</v>
      </c>
      <c r="R515" s="38" t="s">
        <v>852</v>
      </c>
    </row>
    <row r="516" spans="1:20" ht="15.75" hidden="1" customHeight="1" thickBot="1" x14ac:dyDescent="0.35">
      <c r="A516" s="689" t="s">
        <v>2937</v>
      </c>
      <c r="B516" s="172"/>
      <c r="C516" s="172"/>
      <c r="D516" s="172"/>
      <c r="E516" s="38">
        <f>SUM(B516:D516)</f>
        <v>0</v>
      </c>
      <c r="F516" s="172"/>
      <c r="G516" s="172"/>
      <c r="H516" s="172"/>
      <c r="I516" s="38">
        <f>SUM(F516:H516)</f>
        <v>0</v>
      </c>
      <c r="J516" s="172"/>
      <c r="K516" s="172"/>
      <c r="L516" s="172"/>
      <c r="M516" s="38">
        <f>SUM(J516:L516)</f>
        <v>0</v>
      </c>
      <c r="N516" s="172"/>
      <c r="O516" s="172"/>
      <c r="P516" s="172"/>
      <c r="Q516" s="38">
        <f>SUM(N516:P516)</f>
        <v>0</v>
      </c>
      <c r="R516" s="38">
        <f>+E516+I516+M516+Q516</f>
        <v>0</v>
      </c>
      <c r="T516" t="s">
        <v>505</v>
      </c>
    </row>
    <row r="517" spans="1:20" ht="16.5" hidden="1" customHeight="1" thickBot="1" x14ac:dyDescent="0.35">
      <c r="A517" s="277" t="s">
        <v>1220</v>
      </c>
      <c r="B517" s="45">
        <f>SUM(B513:B516)</f>
        <v>0</v>
      </c>
      <c r="C517" s="46">
        <f>SUM(C513:C516)</f>
        <v>0</v>
      </c>
      <c r="D517" s="46">
        <f>SUM(D513:D516)</f>
        <v>0</v>
      </c>
      <c r="E517" s="37">
        <f>SUM(B517:D517)</f>
        <v>0</v>
      </c>
      <c r="F517" s="46">
        <f>SUM(F513:F516)</f>
        <v>0</v>
      </c>
      <c r="G517" s="46">
        <f>SUM(G513:G516)</f>
        <v>0</v>
      </c>
      <c r="H517" s="46">
        <f>SUM(H513:H516)</f>
        <v>0</v>
      </c>
      <c r="I517" s="37">
        <f>SUM(F517:H517)</f>
        <v>0</v>
      </c>
      <c r="J517" s="46">
        <f>SUM(J513:J516)</f>
        <v>0</v>
      </c>
      <c r="K517" s="46">
        <f>SUM(K513:K516)</f>
        <v>0</v>
      </c>
      <c r="L517" s="46">
        <f>SUM(L513:L516)</f>
        <v>0</v>
      </c>
      <c r="M517" s="37">
        <f>SUM(J517:L517)</f>
        <v>0</v>
      </c>
      <c r="N517" s="46">
        <f>SUM(N513:N516)</f>
        <v>0</v>
      </c>
      <c r="O517" s="46">
        <f>SUM(O513:O516)</f>
        <v>0</v>
      </c>
      <c r="P517" s="46">
        <f>SUM(P513:P516)</f>
        <v>0</v>
      </c>
      <c r="Q517" s="37">
        <f>SUM(N517:P517)</f>
        <v>0</v>
      </c>
      <c r="R517" s="37">
        <f>+E517+I517+M517+Q517</f>
        <v>0</v>
      </c>
    </row>
    <row r="518" spans="1:20" ht="15.75" hidden="1" customHeight="1" x14ac:dyDescent="0.3">
      <c r="A518" s="234" t="s">
        <v>1712</v>
      </c>
      <c r="B518" s="172"/>
      <c r="C518" s="172"/>
      <c r="D518" s="172"/>
      <c r="E518" s="38" t="s">
        <v>852</v>
      </c>
      <c r="F518" s="172"/>
      <c r="G518" s="172"/>
      <c r="H518" s="172"/>
      <c r="I518" s="38" t="s">
        <v>852</v>
      </c>
      <c r="J518" s="172"/>
      <c r="K518" s="172"/>
      <c r="L518" s="172"/>
      <c r="M518" s="38" t="s">
        <v>852</v>
      </c>
      <c r="N518" s="172"/>
      <c r="O518" s="172"/>
      <c r="P518" s="172"/>
      <c r="Q518" s="38" t="s">
        <v>852</v>
      </c>
      <c r="R518" s="38" t="s">
        <v>852</v>
      </c>
    </row>
    <row r="519" spans="1:20" ht="15.75" hidden="1" customHeight="1" x14ac:dyDescent="0.3">
      <c r="A519" s="234" t="s">
        <v>1021</v>
      </c>
      <c r="B519" s="172"/>
      <c r="C519" s="172"/>
      <c r="D519" s="172"/>
      <c r="E519" s="38" t="s">
        <v>852</v>
      </c>
      <c r="F519" s="172"/>
      <c r="G519" s="172"/>
      <c r="H519" s="172"/>
      <c r="I519" s="38" t="s">
        <v>852</v>
      </c>
      <c r="J519" s="172"/>
      <c r="K519" s="172"/>
      <c r="L519" s="172"/>
      <c r="M519" s="38" t="s">
        <v>852</v>
      </c>
      <c r="N519" s="172"/>
      <c r="O519" s="172"/>
      <c r="P519" s="172"/>
      <c r="Q519" s="38" t="s">
        <v>852</v>
      </c>
      <c r="R519" s="38" t="s">
        <v>852</v>
      </c>
    </row>
    <row r="520" spans="1:20" ht="15.75" hidden="1" customHeight="1" x14ac:dyDescent="0.3">
      <c r="A520" s="234" t="s">
        <v>557</v>
      </c>
      <c r="B520" s="172"/>
      <c r="C520" s="172"/>
      <c r="D520" s="172"/>
      <c r="E520" s="38" t="s">
        <v>852</v>
      </c>
      <c r="F520" s="172"/>
      <c r="G520" s="172"/>
      <c r="H520" s="172"/>
      <c r="I520" s="38" t="s">
        <v>852</v>
      </c>
      <c r="J520" s="172"/>
      <c r="K520" s="172"/>
      <c r="L520" s="172"/>
      <c r="M520" s="38" t="s">
        <v>852</v>
      </c>
      <c r="N520" s="172"/>
      <c r="O520" s="172"/>
      <c r="P520" s="172"/>
      <c r="Q520" s="38" t="s">
        <v>852</v>
      </c>
      <c r="R520" s="38" t="s">
        <v>852</v>
      </c>
    </row>
    <row r="521" spans="1:20" ht="15.75" hidden="1" customHeight="1" x14ac:dyDescent="0.3">
      <c r="A521" s="234" t="s">
        <v>1022</v>
      </c>
      <c r="B521" s="172"/>
      <c r="C521" s="172"/>
      <c r="D521" s="172"/>
      <c r="E521" s="38" t="s">
        <v>852</v>
      </c>
      <c r="F521" s="172"/>
      <c r="G521" s="172"/>
      <c r="H521" s="172"/>
      <c r="I521" s="38" t="s">
        <v>852</v>
      </c>
      <c r="J521" s="172"/>
      <c r="K521" s="172"/>
      <c r="L521" s="172"/>
      <c r="M521" s="38" t="s">
        <v>852</v>
      </c>
      <c r="N521" s="172"/>
      <c r="O521" s="172"/>
      <c r="P521" s="172"/>
      <c r="Q521" s="38" t="s">
        <v>852</v>
      </c>
      <c r="R521" s="38" t="s">
        <v>852</v>
      </c>
    </row>
    <row r="522" spans="1:20" ht="15.75" hidden="1" customHeight="1" x14ac:dyDescent="0.3">
      <c r="A522" s="266" t="s">
        <v>2102</v>
      </c>
      <c r="B522" s="172"/>
      <c r="C522" s="172"/>
      <c r="D522" s="172"/>
      <c r="E522" s="38">
        <f>SUM(B522:D522)</f>
        <v>0</v>
      </c>
      <c r="F522" s="172"/>
      <c r="G522" s="172"/>
      <c r="H522" s="172"/>
      <c r="I522" s="38">
        <f>SUM(F522:H522)</f>
        <v>0</v>
      </c>
      <c r="J522" s="172"/>
      <c r="K522" s="172">
        <v>43</v>
      </c>
      <c r="L522" s="172">
        <v>457</v>
      </c>
      <c r="M522" s="38">
        <f>SUM(J522:L522)</f>
        <v>500</v>
      </c>
      <c r="N522" s="172"/>
      <c r="O522" s="172"/>
      <c r="P522" s="172"/>
      <c r="Q522" s="38">
        <f>SUM(N522:P522)</f>
        <v>0</v>
      </c>
      <c r="R522" s="38">
        <f>+E522+I522+M522+Q522</f>
        <v>500</v>
      </c>
    </row>
    <row r="523" spans="1:20" ht="15.75" hidden="1" customHeight="1" x14ac:dyDescent="0.3">
      <c r="A523" s="234" t="s">
        <v>559</v>
      </c>
      <c r="B523" s="172"/>
      <c r="C523" s="172"/>
      <c r="D523" s="172"/>
      <c r="E523" s="38"/>
      <c r="F523" s="172"/>
      <c r="G523" s="172"/>
      <c r="H523" s="172"/>
      <c r="I523" s="38"/>
      <c r="J523" s="172"/>
      <c r="K523" s="172"/>
      <c r="L523" s="172"/>
      <c r="M523" s="38"/>
      <c r="N523" s="172"/>
      <c r="O523" s="172"/>
      <c r="P523" s="172"/>
      <c r="Q523" s="38"/>
      <c r="R523" s="38" t="s">
        <v>852</v>
      </c>
    </row>
    <row r="524" spans="1:20" ht="15.75" hidden="1" customHeight="1" x14ac:dyDescent="0.3">
      <c r="A524" s="539" t="s">
        <v>2936</v>
      </c>
      <c r="B524" s="10"/>
      <c r="C524" s="10"/>
      <c r="D524" s="10"/>
      <c r="E524" s="38">
        <f t="shared" ref="E524:E530" si="119">SUM(B524:D524)</f>
        <v>0</v>
      </c>
      <c r="F524" s="10"/>
      <c r="G524" s="10"/>
      <c r="H524" s="10"/>
      <c r="I524" s="38">
        <f t="shared" ref="I524:I530" si="120">SUM(F524:H524)</f>
        <v>0</v>
      </c>
      <c r="J524" s="10"/>
      <c r="K524" s="10"/>
      <c r="L524" s="10"/>
      <c r="M524" s="38">
        <f t="shared" ref="M524:M530" si="121">SUM(J524:L524)</f>
        <v>0</v>
      </c>
      <c r="N524" s="10"/>
      <c r="O524" s="10"/>
      <c r="P524" s="10"/>
      <c r="Q524" s="38">
        <f t="shared" ref="Q524:Q530" si="122">SUM(N524:P524)</f>
        <v>0</v>
      </c>
      <c r="R524" s="38">
        <f t="shared" ref="R524:R530" si="123">+E524+I524+M524+Q524</f>
        <v>0</v>
      </c>
      <c r="T524" t="s">
        <v>505</v>
      </c>
    </row>
    <row r="525" spans="1:20" ht="15.75" hidden="1" customHeight="1" x14ac:dyDescent="0.3">
      <c r="A525" s="539" t="s">
        <v>2836</v>
      </c>
      <c r="B525" s="172"/>
      <c r="C525" s="172"/>
      <c r="D525" s="172"/>
      <c r="E525" s="38">
        <f>SUM(B525:D525)</f>
        <v>0</v>
      </c>
      <c r="F525" s="172"/>
      <c r="G525" s="172"/>
      <c r="H525" s="172"/>
      <c r="I525" s="38">
        <f>SUM(F525:H525)</f>
        <v>0</v>
      </c>
      <c r="J525" s="172"/>
      <c r="K525" s="172"/>
      <c r="L525" s="172"/>
      <c r="M525" s="38">
        <f>SUM(J525:L525)</f>
        <v>0</v>
      </c>
      <c r="N525" s="172"/>
      <c r="O525" s="172"/>
      <c r="P525" s="172"/>
      <c r="Q525" s="38">
        <f>SUM(N525:P525)</f>
        <v>0</v>
      </c>
      <c r="R525" s="38">
        <f>+E525+I525+M525+Q525</f>
        <v>0</v>
      </c>
      <c r="T525" t="s">
        <v>505</v>
      </c>
    </row>
    <row r="526" spans="1:20" ht="15.75" hidden="1" customHeight="1" thickBot="1" x14ac:dyDescent="0.35">
      <c r="A526" s="539" t="s">
        <v>2577</v>
      </c>
      <c r="B526" s="172"/>
      <c r="C526" s="172"/>
      <c r="D526" s="172"/>
      <c r="E526" s="38">
        <f t="shared" si="119"/>
        <v>0</v>
      </c>
      <c r="F526" s="172"/>
      <c r="G526" s="172"/>
      <c r="H526" s="172"/>
      <c r="I526" s="38">
        <f t="shared" si="120"/>
        <v>0</v>
      </c>
      <c r="J526" s="172"/>
      <c r="K526" s="172"/>
      <c r="L526" s="172">
        <v>298</v>
      </c>
      <c r="M526" s="38">
        <f t="shared" si="121"/>
        <v>298</v>
      </c>
      <c r="N526" s="172">
        <v>242</v>
      </c>
      <c r="O526" s="172"/>
      <c r="P526" s="172"/>
      <c r="Q526" s="38">
        <f t="shared" si="122"/>
        <v>242</v>
      </c>
      <c r="R526" s="38">
        <f t="shared" si="123"/>
        <v>540</v>
      </c>
    </row>
    <row r="527" spans="1:20" ht="16.5" hidden="1" customHeight="1" thickBot="1" x14ac:dyDescent="0.35">
      <c r="A527" s="43" t="s">
        <v>1019</v>
      </c>
      <c r="B527" s="42">
        <f>SUM(B521:B526)</f>
        <v>0</v>
      </c>
      <c r="C527" s="42">
        <f>SUM(C521:C526)</f>
        <v>0</v>
      </c>
      <c r="D527" s="42">
        <f>SUM(D521:D526)</f>
        <v>0</v>
      </c>
      <c r="E527" s="39">
        <f t="shared" si="119"/>
        <v>0</v>
      </c>
      <c r="F527" s="42">
        <f>SUM(F521:F526)</f>
        <v>0</v>
      </c>
      <c r="G527" s="42">
        <f>SUM(G521:G526)</f>
        <v>0</v>
      </c>
      <c r="H527" s="42">
        <f>SUM(H521:H526)</f>
        <v>0</v>
      </c>
      <c r="I527" s="39">
        <f t="shared" si="120"/>
        <v>0</v>
      </c>
      <c r="J527" s="42">
        <f>SUM(J521:J526)</f>
        <v>0</v>
      </c>
      <c r="K527" s="42">
        <f>SUM(K521:K526)</f>
        <v>43</v>
      </c>
      <c r="L527" s="42">
        <f>SUM(L521:L526)</f>
        <v>755</v>
      </c>
      <c r="M527" s="39">
        <f t="shared" si="121"/>
        <v>798</v>
      </c>
      <c r="N527" s="42">
        <f>SUM(N521:N526)</f>
        <v>242</v>
      </c>
      <c r="O527" s="42">
        <f>SUM(O521:O526)</f>
        <v>0</v>
      </c>
      <c r="P527" s="42">
        <f>SUM(P521:P526)</f>
        <v>0</v>
      </c>
      <c r="Q527" s="39">
        <f t="shared" si="122"/>
        <v>242</v>
      </c>
      <c r="R527" s="37">
        <f t="shared" si="123"/>
        <v>1040</v>
      </c>
    </row>
    <row r="528" spans="1:20" ht="16.5" hidden="1" customHeight="1" thickBot="1" x14ac:dyDescent="0.35">
      <c r="A528" s="277" t="s">
        <v>1221</v>
      </c>
      <c r="B528" s="45">
        <f>SUM(B518:B526)</f>
        <v>0</v>
      </c>
      <c r="C528" s="46">
        <f>SUM(C518:C526)</f>
        <v>0</v>
      </c>
      <c r="D528" s="58">
        <f>SUM(D518:D526)</f>
        <v>0</v>
      </c>
      <c r="E528" s="39">
        <f t="shared" si="119"/>
        <v>0</v>
      </c>
      <c r="F528" s="46">
        <f>SUM(F518:F526)</f>
        <v>0</v>
      </c>
      <c r="G528" s="46">
        <f>SUM(G518:G526)</f>
        <v>0</v>
      </c>
      <c r="H528" s="46">
        <f>SUM(H518:H526)</f>
        <v>0</v>
      </c>
      <c r="I528" s="39">
        <f t="shared" si="120"/>
        <v>0</v>
      </c>
      <c r="J528" s="46">
        <f>SUM(J518:J526)</f>
        <v>0</v>
      </c>
      <c r="K528" s="46">
        <f>SUM(K518:K526)</f>
        <v>43</v>
      </c>
      <c r="L528" s="46">
        <f>SUM(L518:L526)</f>
        <v>755</v>
      </c>
      <c r="M528" s="39">
        <f t="shared" si="121"/>
        <v>798</v>
      </c>
      <c r="N528" s="46">
        <f>SUM(N518:N526)</f>
        <v>242</v>
      </c>
      <c r="O528" s="46">
        <f>SUM(O518:O526)</f>
        <v>0</v>
      </c>
      <c r="P528" s="46">
        <f>SUM(P518:P526)</f>
        <v>0</v>
      </c>
      <c r="Q528" s="39">
        <f t="shared" si="122"/>
        <v>242</v>
      </c>
      <c r="R528" s="37">
        <f t="shared" si="123"/>
        <v>1040</v>
      </c>
    </row>
    <row r="529" spans="1:20" ht="16.5" hidden="1" customHeight="1" thickBot="1" x14ac:dyDescent="0.35">
      <c r="A529" s="43" t="s">
        <v>1222</v>
      </c>
      <c r="B529" s="47">
        <f>+B505+B512+B517+B528</f>
        <v>76</v>
      </c>
      <c r="C529" s="42">
        <f>+C505+C512+C517+C528</f>
        <v>1553</v>
      </c>
      <c r="D529" s="42">
        <f>+D505+D512+D517+D528</f>
        <v>2537</v>
      </c>
      <c r="E529" s="37">
        <f t="shared" si="119"/>
        <v>4166</v>
      </c>
      <c r="F529" s="42">
        <f>+F505+F512+F517+F528</f>
        <v>4871</v>
      </c>
      <c r="G529" s="42">
        <f>+G505+G512+G517+G528</f>
        <v>2694</v>
      </c>
      <c r="H529" s="42">
        <f>+H505+H512+H517+H528</f>
        <v>6023</v>
      </c>
      <c r="I529" s="37">
        <f t="shared" si="120"/>
        <v>13588</v>
      </c>
      <c r="J529" s="42">
        <f>+J505+J512+J517+J528</f>
        <v>2954</v>
      </c>
      <c r="K529" s="42">
        <f>+K505+K512+K517+K528</f>
        <v>3497</v>
      </c>
      <c r="L529" s="42">
        <f>+L505+L512+L517+L528</f>
        <v>2951</v>
      </c>
      <c r="M529" s="37">
        <f t="shared" si="121"/>
        <v>9402</v>
      </c>
      <c r="N529" s="42">
        <f>+N505+N512+N517+N528</f>
        <v>242</v>
      </c>
      <c r="O529" s="42">
        <f>+O505+O512+O517+O528</f>
        <v>11</v>
      </c>
      <c r="P529" s="42">
        <f>+P505+P512+P517+P528</f>
        <v>0</v>
      </c>
      <c r="Q529" s="37">
        <f t="shared" si="122"/>
        <v>253</v>
      </c>
      <c r="R529" s="40">
        <f t="shared" si="123"/>
        <v>27409</v>
      </c>
    </row>
    <row r="530" spans="1:20" ht="16.5" hidden="1" customHeight="1" thickBot="1" x14ac:dyDescent="0.35">
      <c r="A530" s="244" t="s">
        <v>853</v>
      </c>
      <c r="B530" s="238">
        <v>23</v>
      </c>
      <c r="C530" s="238">
        <v>43</v>
      </c>
      <c r="D530" s="238">
        <v>66</v>
      </c>
      <c r="E530" s="40">
        <f t="shared" si="119"/>
        <v>132</v>
      </c>
      <c r="F530" s="238">
        <v>91</v>
      </c>
      <c r="G530" s="238">
        <v>108</v>
      </c>
      <c r="H530" s="238">
        <v>109</v>
      </c>
      <c r="I530" s="40">
        <f t="shared" si="120"/>
        <v>308</v>
      </c>
      <c r="J530" s="238">
        <v>104</v>
      </c>
      <c r="K530" s="238">
        <v>79</v>
      </c>
      <c r="L530" s="238">
        <v>80</v>
      </c>
      <c r="M530" s="40">
        <f t="shared" si="121"/>
        <v>263</v>
      </c>
      <c r="N530" s="238">
        <v>74</v>
      </c>
      <c r="O530" s="238">
        <v>58</v>
      </c>
      <c r="P530" s="238">
        <v>42</v>
      </c>
      <c r="Q530" s="40">
        <f t="shared" si="122"/>
        <v>174</v>
      </c>
      <c r="R530" s="38">
        <f t="shared" si="123"/>
        <v>877</v>
      </c>
    </row>
    <row r="531" spans="1:20" ht="16.5" hidden="1" customHeight="1" thickBot="1" x14ac:dyDescent="0.35">
      <c r="A531" s="22"/>
      <c r="B531" s="242"/>
      <c r="C531" s="242"/>
      <c r="D531" s="242"/>
      <c r="E531" s="21"/>
      <c r="F531" s="242"/>
      <c r="G531" s="242"/>
      <c r="H531" s="242"/>
      <c r="I531" s="31"/>
      <c r="J531" s="242"/>
      <c r="K531" s="242"/>
      <c r="L531" s="242"/>
      <c r="M531" s="31"/>
      <c r="N531" s="242"/>
      <c r="O531" s="242"/>
      <c r="P531" s="242"/>
      <c r="Q531" s="31"/>
      <c r="R531" s="21"/>
    </row>
    <row r="532" spans="1:20" ht="15.75" hidden="1" customHeight="1" x14ac:dyDescent="0.3">
      <c r="A532" s="234" t="s">
        <v>120</v>
      </c>
      <c r="B532" s="260">
        <f>SUM(B529:B530)</f>
        <v>99</v>
      </c>
      <c r="C532" s="260">
        <f>SUM(C529:C530)</f>
        <v>1596</v>
      </c>
      <c r="D532" s="260">
        <f>SUM(D529:D530)</f>
        <v>2603</v>
      </c>
      <c r="E532" s="39">
        <f>SUM(B532:D532)</f>
        <v>4298</v>
      </c>
      <c r="F532" s="260">
        <f>SUM(F529:F530)</f>
        <v>4962</v>
      </c>
      <c r="G532" s="260">
        <f>SUM(G529:G530)</f>
        <v>2802</v>
      </c>
      <c r="H532" s="260">
        <f>SUM(H529:H530)</f>
        <v>6132</v>
      </c>
      <c r="I532" s="39">
        <f>SUM(F532:H532)</f>
        <v>13896</v>
      </c>
      <c r="J532" s="260">
        <f>SUM(J529:J530)</f>
        <v>3058</v>
      </c>
      <c r="K532" s="260">
        <f>SUM(K529:K530)</f>
        <v>3576</v>
      </c>
      <c r="L532" s="260">
        <f>SUM(L529:L530)</f>
        <v>3031</v>
      </c>
      <c r="M532" s="39">
        <f>SUM(J532:L532)</f>
        <v>9665</v>
      </c>
      <c r="N532" s="260">
        <f>SUM(N529:N530)</f>
        <v>316</v>
      </c>
      <c r="O532" s="260">
        <f>SUM(O529:O530)</f>
        <v>69</v>
      </c>
      <c r="P532" s="260">
        <f>SUM(P529:P530)</f>
        <v>42</v>
      </c>
      <c r="Q532" s="39">
        <f>SUM(N532:P532)</f>
        <v>427</v>
      </c>
      <c r="R532" s="39">
        <f>+E532+I532+M532+Q532</f>
        <v>28286</v>
      </c>
    </row>
    <row r="533" spans="1:20" ht="15.75" hidden="1" customHeight="1" x14ac:dyDescent="0.3">
      <c r="A533" s="234" t="s">
        <v>1897</v>
      </c>
      <c r="B533" s="172">
        <f>(B532/B10)/1.983</f>
        <v>1.6104631301547019</v>
      </c>
      <c r="C533" s="172">
        <f>(C532/C10)/1.983</f>
        <v>27.753143095623141</v>
      </c>
      <c r="D533" s="172">
        <f>(D532/D10)/1.983</f>
        <v>42.343793210027165</v>
      </c>
      <c r="E533" s="38" t="s">
        <v>852</v>
      </c>
      <c r="F533" s="172">
        <f>(F532/F10)/1.983</f>
        <v>83.408976298537567</v>
      </c>
      <c r="G533" s="172">
        <f>(G532/G10)/1.983</f>
        <v>45.58098677468157</v>
      </c>
      <c r="H533" s="172">
        <f>(H532/H10)/1.983</f>
        <v>103.07614725163893</v>
      </c>
      <c r="I533" s="38" t="s">
        <v>852</v>
      </c>
      <c r="J533" s="172">
        <f>(J532/J10)/1.983</f>
        <v>49.745416687000791</v>
      </c>
      <c r="K533" s="172">
        <f>(K532/K10)/1.983</f>
        <v>58.17188033770924</v>
      </c>
      <c r="L533" s="172">
        <f>(L532/L10)/1.983</f>
        <v>50.949739452008735</v>
      </c>
      <c r="M533" s="38" t="s">
        <v>852</v>
      </c>
      <c r="N533" s="172">
        <f>(N532/N10)/1.983</f>
        <v>5.1404681730190482</v>
      </c>
      <c r="O533" s="172">
        <f>(O532/O10)/1.983</f>
        <v>1.1598587997982852</v>
      </c>
      <c r="P533" s="172">
        <f>(P532/P10)/1.983</f>
        <v>0.68322678248987356</v>
      </c>
      <c r="Q533" s="38" t="s">
        <v>852</v>
      </c>
      <c r="R533" s="38" t="s">
        <v>852</v>
      </c>
    </row>
    <row r="534" spans="1:20" ht="15.75" hidden="1" customHeight="1" x14ac:dyDescent="0.3">
      <c r="A534" s="234" t="s">
        <v>1433</v>
      </c>
      <c r="B534" s="172">
        <f>B532+B589</f>
        <v>9063</v>
      </c>
      <c r="C534" s="172">
        <f>C532+C589</f>
        <v>17663</v>
      </c>
      <c r="D534" s="172">
        <f>D532+D589</f>
        <v>24605</v>
      </c>
      <c r="E534" s="38">
        <f>SUM(B534:D534)</f>
        <v>51331</v>
      </c>
      <c r="F534" s="172">
        <f>F532+F589</f>
        <v>30202</v>
      </c>
      <c r="G534" s="172">
        <f>G532+G589</f>
        <v>27038</v>
      </c>
      <c r="H534" s="172">
        <f>H532+H589</f>
        <v>29076</v>
      </c>
      <c r="I534" s="38">
        <f>SUM(F534:H534)</f>
        <v>86316</v>
      </c>
      <c r="J534" s="172">
        <f>J532+J589</f>
        <v>28429</v>
      </c>
      <c r="K534" s="172">
        <f>K532+K589</f>
        <v>25261</v>
      </c>
      <c r="L534" s="172">
        <f>L532+L589</f>
        <v>25967</v>
      </c>
      <c r="M534" s="38">
        <f>SUM(J534:L534)</f>
        <v>79657</v>
      </c>
      <c r="N534" s="172">
        <f>N532+N589</f>
        <v>8221</v>
      </c>
      <c r="O534" s="172">
        <f>O532+O589</f>
        <v>10398</v>
      </c>
      <c r="P534" s="172">
        <f>P532+P589</f>
        <v>14869</v>
      </c>
      <c r="Q534" s="38">
        <f>SUM(N534:P534)</f>
        <v>33488</v>
      </c>
      <c r="R534" s="38">
        <f>+E534+I534+M534+Q534</f>
        <v>250792</v>
      </c>
    </row>
    <row r="535" spans="1:20" ht="16.5" hidden="1" customHeight="1" thickBot="1" x14ac:dyDescent="0.35">
      <c r="A535" s="237" t="s">
        <v>426</v>
      </c>
      <c r="B535" s="264">
        <f>(B534/B10)/1.983</f>
        <v>147.43057927870774</v>
      </c>
      <c r="C535" s="264">
        <f>(C534/C10)/1.983</f>
        <v>307.1452171040047</v>
      </c>
      <c r="D535" s="264">
        <f>(D534/D10)/1.983</f>
        <v>400.25702340865098</v>
      </c>
      <c r="E535" s="40" t="s">
        <v>852</v>
      </c>
      <c r="F535" s="264">
        <f>(F534/F10)/1.983</f>
        <v>507.6819633551857</v>
      </c>
      <c r="G535" s="264">
        <f>(G534/G10)/1.983</f>
        <v>439.83537488002861</v>
      </c>
      <c r="H535" s="264">
        <f>(H534/H10)/1.983</f>
        <v>488.75441250630359</v>
      </c>
      <c r="I535" s="40" t="s">
        <v>852</v>
      </c>
      <c r="J535" s="264">
        <f>(J534/J10)/1.983</f>
        <v>462.46319522391946</v>
      </c>
      <c r="K535" s="264">
        <f>(K534/K10)/1.983</f>
        <v>410.92837505896898</v>
      </c>
      <c r="L535" s="264">
        <f>(L534/L10)/1.983</f>
        <v>436.49352832408806</v>
      </c>
      <c r="M535" s="40" t="s">
        <v>852</v>
      </c>
      <c r="N535" s="264">
        <f>(N534/N10)/1.983</f>
        <v>133.73350902022025</v>
      </c>
      <c r="O535" s="264">
        <f>(O534/O10)/1.983</f>
        <v>174.78567826525466</v>
      </c>
      <c r="P535" s="264">
        <f>(P534/P10)/1.983</f>
        <v>241.87854830576023</v>
      </c>
      <c r="Q535" s="40" t="s">
        <v>852</v>
      </c>
      <c r="R535" s="40" t="s">
        <v>852</v>
      </c>
    </row>
    <row r="536" spans="1:20" ht="15.75" hidden="1" customHeight="1" x14ac:dyDescent="0.3">
      <c r="A536" s="17"/>
      <c r="B536" s="172"/>
      <c r="C536" s="172"/>
      <c r="D536" s="172"/>
      <c r="E536" s="172"/>
      <c r="F536" s="172"/>
      <c r="G536" s="172"/>
      <c r="H536" s="172"/>
      <c r="I536" s="172"/>
      <c r="J536" s="172"/>
      <c r="K536" s="172"/>
      <c r="L536" s="172"/>
      <c r="M536" s="172"/>
      <c r="N536" s="172"/>
      <c r="O536" s="172"/>
      <c r="P536" s="172"/>
      <c r="Q536" s="172"/>
      <c r="R536" s="17"/>
    </row>
    <row r="537" spans="1:20" ht="15.75" hidden="1" customHeight="1" thickBot="1" x14ac:dyDescent="0.35">
      <c r="A537" s="17"/>
      <c r="B537" s="172"/>
      <c r="C537" s="172"/>
      <c r="D537" s="172"/>
      <c r="E537" s="172"/>
      <c r="F537" s="172"/>
      <c r="G537" s="172"/>
      <c r="H537" s="172"/>
      <c r="I537" s="172"/>
      <c r="J537" s="172"/>
      <c r="K537" s="172"/>
      <c r="L537" s="172"/>
      <c r="M537" s="172"/>
      <c r="N537" s="172"/>
      <c r="O537" s="172"/>
      <c r="P537" s="172"/>
      <c r="Q537" s="172"/>
      <c r="R537" s="17"/>
    </row>
    <row r="538" spans="1:20" ht="16.5" hidden="1" customHeight="1" thickBot="1" x14ac:dyDescent="0.35">
      <c r="A538" s="278" t="s">
        <v>1069</v>
      </c>
      <c r="B538" s="4" t="s">
        <v>2090</v>
      </c>
      <c r="C538" s="5" t="s">
        <v>2091</v>
      </c>
      <c r="D538" s="5" t="s">
        <v>2234</v>
      </c>
      <c r="E538" s="33" t="s">
        <v>1594</v>
      </c>
      <c r="F538" s="5" t="s">
        <v>2235</v>
      </c>
      <c r="G538" s="5" t="s">
        <v>2236</v>
      </c>
      <c r="H538" s="5" t="s">
        <v>2237</v>
      </c>
      <c r="I538" s="35" t="s">
        <v>1595</v>
      </c>
      <c r="J538" s="5" t="s">
        <v>1504</v>
      </c>
      <c r="K538" s="5" t="s">
        <v>1505</v>
      </c>
      <c r="L538" s="5" t="s">
        <v>1506</v>
      </c>
      <c r="M538" s="35" t="s">
        <v>1596</v>
      </c>
      <c r="N538" s="5" t="s">
        <v>1507</v>
      </c>
      <c r="O538" s="5" t="s">
        <v>1508</v>
      </c>
      <c r="P538" s="5" t="s">
        <v>1509</v>
      </c>
      <c r="Q538" s="35" t="s">
        <v>1597</v>
      </c>
      <c r="R538" s="36" t="s">
        <v>1510</v>
      </c>
    </row>
    <row r="539" spans="1:20" ht="16.5" hidden="1" customHeight="1" thickBot="1" x14ac:dyDescent="0.35">
      <c r="A539" s="37"/>
      <c r="B539" s="258"/>
      <c r="C539" s="258"/>
      <c r="D539" s="258"/>
      <c r="E539" s="254"/>
      <c r="F539" s="258"/>
      <c r="G539" s="258"/>
      <c r="H539" s="258"/>
      <c r="I539" s="265"/>
      <c r="J539" s="258"/>
      <c r="K539" s="258"/>
      <c r="L539" s="258"/>
      <c r="M539" s="265"/>
      <c r="N539" s="258"/>
      <c r="O539" s="258"/>
      <c r="P539" s="258"/>
      <c r="Q539" s="265"/>
      <c r="R539" s="52"/>
    </row>
    <row r="540" spans="1:20" ht="15.75" hidden="1" customHeight="1" x14ac:dyDescent="0.3">
      <c r="A540" s="234" t="s">
        <v>2417</v>
      </c>
      <c r="B540" s="172" t="s">
        <v>852</v>
      </c>
      <c r="C540" s="172" t="s">
        <v>852</v>
      </c>
      <c r="D540" s="172" t="s">
        <v>852</v>
      </c>
      <c r="E540" s="38" t="s">
        <v>852</v>
      </c>
      <c r="F540" s="172" t="s">
        <v>852</v>
      </c>
      <c r="G540" s="172" t="s">
        <v>852</v>
      </c>
      <c r="H540" s="172" t="s">
        <v>852</v>
      </c>
      <c r="I540" s="38" t="s">
        <v>852</v>
      </c>
      <c r="J540" s="172" t="s">
        <v>852</v>
      </c>
      <c r="K540" s="172" t="s">
        <v>852</v>
      </c>
      <c r="L540" s="172" t="s">
        <v>852</v>
      </c>
      <c r="M540" s="38" t="s">
        <v>852</v>
      </c>
      <c r="N540" s="172" t="s">
        <v>852</v>
      </c>
      <c r="O540" s="172" t="s">
        <v>852</v>
      </c>
      <c r="P540" s="172" t="s">
        <v>852</v>
      </c>
      <c r="Q540" s="38" t="s">
        <v>852</v>
      </c>
      <c r="R540" s="38" t="s">
        <v>852</v>
      </c>
    </row>
    <row r="541" spans="1:20" ht="15.75" hidden="1" customHeight="1" x14ac:dyDescent="0.3">
      <c r="A541" s="234" t="s">
        <v>2160</v>
      </c>
      <c r="B541" s="172"/>
      <c r="C541" s="172"/>
      <c r="D541" s="172"/>
      <c r="E541" s="38" t="s">
        <v>852</v>
      </c>
      <c r="F541" s="172"/>
      <c r="G541" s="172"/>
      <c r="H541" s="172"/>
      <c r="I541" s="38" t="s">
        <v>852</v>
      </c>
      <c r="J541" s="172"/>
      <c r="K541" s="172"/>
      <c r="L541" s="172"/>
      <c r="M541" s="38" t="s">
        <v>852</v>
      </c>
      <c r="N541" s="172"/>
      <c r="O541" s="172"/>
      <c r="P541" s="172"/>
      <c r="Q541" s="38" t="s">
        <v>852</v>
      </c>
      <c r="R541" s="38" t="s">
        <v>852</v>
      </c>
    </row>
    <row r="542" spans="1:20" ht="15.75" hidden="1" customHeight="1" x14ac:dyDescent="0.3">
      <c r="A542" s="310" t="s">
        <v>746</v>
      </c>
      <c r="B542" s="10">
        <v>685</v>
      </c>
      <c r="C542" s="10">
        <v>450</v>
      </c>
      <c r="D542" s="10">
        <v>382</v>
      </c>
      <c r="E542" s="38">
        <f t="shared" ref="E542:E550" si="124">SUM(B542:D542)</f>
        <v>1517</v>
      </c>
      <c r="F542" s="10">
        <v>165</v>
      </c>
      <c r="G542" s="10">
        <v>554</v>
      </c>
      <c r="H542" s="10">
        <v>494</v>
      </c>
      <c r="I542" s="38">
        <f t="shared" ref="I542:I550" si="125">SUM(F542:H542)</f>
        <v>1213</v>
      </c>
      <c r="J542" s="10">
        <v>520</v>
      </c>
      <c r="K542" s="10">
        <v>377</v>
      </c>
      <c r="L542" s="10">
        <v>284</v>
      </c>
      <c r="M542" s="38">
        <f t="shared" ref="M542:M550" si="126">SUM(J542:L542)</f>
        <v>1181</v>
      </c>
      <c r="N542" s="10">
        <v>39</v>
      </c>
      <c r="O542" s="10"/>
      <c r="P542" s="10">
        <v>45</v>
      </c>
      <c r="Q542" s="38">
        <f t="shared" ref="Q542:Q550" si="127">SUM(N542:P542)</f>
        <v>84</v>
      </c>
      <c r="R542" s="38">
        <f t="shared" ref="R542:R550" si="128">+E542+I542+M542+Q542</f>
        <v>3995</v>
      </c>
    </row>
    <row r="543" spans="1:20" ht="15.75" hidden="1" customHeight="1" x14ac:dyDescent="0.3">
      <c r="A543" s="310" t="s">
        <v>639</v>
      </c>
      <c r="B543" s="10">
        <v>172</v>
      </c>
      <c r="C543" s="10">
        <v>426</v>
      </c>
      <c r="D543" s="10">
        <v>600</v>
      </c>
      <c r="E543" s="38">
        <f>SUM(B543:D543)</f>
        <v>1198</v>
      </c>
      <c r="F543" s="10">
        <v>301</v>
      </c>
      <c r="G543" s="10">
        <v>400</v>
      </c>
      <c r="H543" s="10">
        <v>501</v>
      </c>
      <c r="I543" s="38">
        <f>SUM(F543:H543)</f>
        <v>1202</v>
      </c>
      <c r="J543" s="10"/>
      <c r="K543" s="10"/>
      <c r="L543" s="10"/>
      <c r="M543" s="38">
        <f>SUM(J543:L543)</f>
        <v>0</v>
      </c>
      <c r="N543" s="10"/>
      <c r="O543" s="10"/>
      <c r="P543" s="10"/>
      <c r="Q543" s="38">
        <f>SUM(N543:P543)</f>
        <v>0</v>
      </c>
      <c r="R543" s="38">
        <f>+E543+I543+M543+Q543</f>
        <v>2400</v>
      </c>
    </row>
    <row r="544" spans="1:20" ht="15.75" hidden="1" customHeight="1" x14ac:dyDescent="0.3">
      <c r="A544" s="310" t="s">
        <v>1185</v>
      </c>
      <c r="B544" s="10"/>
      <c r="C544" s="10">
        <v>419</v>
      </c>
      <c r="D544" s="10">
        <v>1313</v>
      </c>
      <c r="E544" s="38">
        <f t="shared" si="124"/>
        <v>1732</v>
      </c>
      <c r="F544" s="10">
        <v>1466</v>
      </c>
      <c r="G544" s="10"/>
      <c r="H544" s="10"/>
      <c r="I544" s="38">
        <f t="shared" si="125"/>
        <v>1466</v>
      </c>
      <c r="J544" s="10">
        <v>1214</v>
      </c>
      <c r="K544" s="10"/>
      <c r="L544" s="10"/>
      <c r="M544" s="38">
        <f t="shared" si="126"/>
        <v>1214</v>
      </c>
      <c r="N544" s="10"/>
      <c r="O544" s="10"/>
      <c r="P544" s="10"/>
      <c r="Q544" s="38">
        <f t="shared" si="127"/>
        <v>0</v>
      </c>
      <c r="R544" s="38">
        <f t="shared" si="128"/>
        <v>4412</v>
      </c>
      <c r="T544" t="s">
        <v>2763</v>
      </c>
    </row>
    <row r="545" spans="1:20" ht="15.75" hidden="1" customHeight="1" x14ac:dyDescent="0.3">
      <c r="A545" s="310" t="s">
        <v>745</v>
      </c>
      <c r="B545" s="10"/>
      <c r="C545" s="10"/>
      <c r="D545" s="10"/>
      <c r="E545" s="38">
        <f>SUM(B545:D545)</f>
        <v>0</v>
      </c>
      <c r="F545" s="10"/>
      <c r="G545" s="10"/>
      <c r="H545" s="10"/>
      <c r="I545" s="38">
        <f>SUM(F545:H545)</f>
        <v>0</v>
      </c>
      <c r="J545" s="10"/>
      <c r="K545" s="10"/>
      <c r="L545" s="10"/>
      <c r="M545" s="38">
        <f>SUM(J545:L545)</f>
        <v>0</v>
      </c>
      <c r="N545" s="10"/>
      <c r="O545" s="10"/>
      <c r="P545" s="10"/>
      <c r="Q545" s="38">
        <f>SUM(N545:P545)</f>
        <v>0</v>
      </c>
      <c r="R545" s="38">
        <f>+E545+I545+M545+Q545</f>
        <v>0</v>
      </c>
      <c r="T545" t="s">
        <v>2766</v>
      </c>
    </row>
    <row r="546" spans="1:20" ht="15.75" hidden="1" customHeight="1" x14ac:dyDescent="0.3">
      <c r="A546" s="310" t="s">
        <v>484</v>
      </c>
      <c r="B546" s="10"/>
      <c r="C546" s="10">
        <v>1500</v>
      </c>
      <c r="D546" s="10">
        <v>1486</v>
      </c>
      <c r="E546" s="38">
        <f t="shared" si="124"/>
        <v>2986</v>
      </c>
      <c r="F546" s="10"/>
      <c r="G546" s="10"/>
      <c r="H546" s="10"/>
      <c r="I546" s="38">
        <f t="shared" si="125"/>
        <v>0</v>
      </c>
      <c r="J546" s="10"/>
      <c r="K546" s="10"/>
      <c r="L546" s="10">
        <v>19</v>
      </c>
      <c r="M546" s="38">
        <f t="shared" si="126"/>
        <v>19</v>
      </c>
      <c r="N546" s="10"/>
      <c r="O546" s="10"/>
      <c r="P546" s="10"/>
      <c r="Q546" s="38">
        <f t="shared" si="127"/>
        <v>0</v>
      </c>
      <c r="R546" s="38">
        <f t="shared" si="128"/>
        <v>3005</v>
      </c>
      <c r="T546" t="s">
        <v>2766</v>
      </c>
    </row>
    <row r="547" spans="1:20" ht="15.75" hidden="1" customHeight="1" x14ac:dyDescent="0.3">
      <c r="A547" s="539" t="s">
        <v>2982</v>
      </c>
      <c r="B547" s="10"/>
      <c r="C547" s="10">
        <v>300</v>
      </c>
      <c r="D547" s="10">
        <v>150</v>
      </c>
      <c r="E547" s="38">
        <f>SUM(B547:D547)</f>
        <v>450</v>
      </c>
      <c r="F547" s="10">
        <v>150</v>
      </c>
      <c r="G547" s="10">
        <v>150</v>
      </c>
      <c r="H547" s="10">
        <v>150</v>
      </c>
      <c r="I547" s="38">
        <f>SUM(F547:H547)</f>
        <v>450</v>
      </c>
      <c r="J547" s="10">
        <v>150</v>
      </c>
      <c r="K547" s="10">
        <v>200</v>
      </c>
      <c r="L547" s="10">
        <v>250</v>
      </c>
      <c r="M547" s="38">
        <f>SUM(J547:L547)</f>
        <v>600</v>
      </c>
      <c r="N547" s="10"/>
      <c r="O547" s="10"/>
      <c r="P547" s="10"/>
      <c r="Q547" s="38">
        <f>SUM(N547:P547)</f>
        <v>0</v>
      </c>
      <c r="R547" s="38">
        <f t="shared" si="128"/>
        <v>1500</v>
      </c>
    </row>
    <row r="548" spans="1:20" ht="15.75" hidden="1" customHeight="1" x14ac:dyDescent="0.3">
      <c r="A548" s="266" t="s">
        <v>1836</v>
      </c>
      <c r="B548" s="172"/>
      <c r="C548" s="172"/>
      <c r="D548" s="172"/>
      <c r="E548" s="38">
        <f t="shared" si="124"/>
        <v>0</v>
      </c>
      <c r="F548" s="172"/>
      <c r="G548" s="172"/>
      <c r="H548" s="172"/>
      <c r="I548" s="38">
        <f t="shared" si="125"/>
        <v>0</v>
      </c>
      <c r="J548" s="172"/>
      <c r="K548" s="172"/>
      <c r="L548" s="172">
        <v>2800</v>
      </c>
      <c r="M548" s="38">
        <f t="shared" si="126"/>
        <v>2800</v>
      </c>
      <c r="N548" s="172"/>
      <c r="O548" s="172"/>
      <c r="P548" s="172"/>
      <c r="Q548" s="38">
        <f t="shared" si="127"/>
        <v>0</v>
      </c>
      <c r="R548" s="38">
        <f t="shared" si="128"/>
        <v>2800</v>
      </c>
      <c r="T548" t="s">
        <v>2766</v>
      </c>
    </row>
    <row r="549" spans="1:20" ht="15.75" hidden="1" customHeight="1" x14ac:dyDescent="0.3">
      <c r="A549" s="539" t="s">
        <v>3047</v>
      </c>
      <c r="B549" s="172"/>
      <c r="C549" s="172"/>
      <c r="D549" s="172"/>
      <c r="E549" s="38">
        <f t="shared" si="124"/>
        <v>0</v>
      </c>
      <c r="F549" s="172">
        <v>500</v>
      </c>
      <c r="G549" s="172">
        <v>700</v>
      </c>
      <c r="H549" s="172">
        <v>328</v>
      </c>
      <c r="I549" s="38">
        <f t="shared" si="125"/>
        <v>1528</v>
      </c>
      <c r="J549" s="172"/>
      <c r="K549" s="172"/>
      <c r="L549" s="172"/>
      <c r="M549" s="38">
        <f t="shared" si="126"/>
        <v>0</v>
      </c>
      <c r="N549" s="172"/>
      <c r="O549" s="172"/>
      <c r="P549" s="172"/>
      <c r="Q549" s="38">
        <f>SUM(N549:P549)</f>
        <v>0</v>
      </c>
      <c r="R549" s="38">
        <f>+E549+I549+M549+Q549</f>
        <v>1528</v>
      </c>
    </row>
    <row r="550" spans="1:20" ht="15.75" hidden="1" customHeight="1" x14ac:dyDescent="0.3">
      <c r="A550" s="539" t="s">
        <v>1295</v>
      </c>
      <c r="B550" s="172"/>
      <c r="C550" s="172"/>
      <c r="D550" s="172"/>
      <c r="E550" s="38">
        <f t="shared" si="124"/>
        <v>0</v>
      </c>
      <c r="F550" s="172"/>
      <c r="G550" s="172"/>
      <c r="H550" s="172"/>
      <c r="I550" s="38">
        <f t="shared" si="125"/>
        <v>0</v>
      </c>
      <c r="J550" s="172"/>
      <c r="K550" s="172"/>
      <c r="L550" s="172"/>
      <c r="M550" s="38">
        <f t="shared" si="126"/>
        <v>0</v>
      </c>
      <c r="N550" s="172"/>
      <c r="O550" s="172"/>
      <c r="P550" s="172"/>
      <c r="Q550" s="38">
        <f t="shared" si="127"/>
        <v>0</v>
      </c>
      <c r="R550" s="38">
        <f t="shared" si="128"/>
        <v>0</v>
      </c>
      <c r="T550" t="s">
        <v>2766</v>
      </c>
    </row>
    <row r="551" spans="1:20" ht="15.75" hidden="1" customHeight="1" x14ac:dyDescent="0.3">
      <c r="A551" s="310" t="s">
        <v>2448</v>
      </c>
      <c r="B551" s="10"/>
      <c r="C551" s="10">
        <v>500</v>
      </c>
      <c r="D551" s="10">
        <v>250</v>
      </c>
      <c r="E551" s="38">
        <f>SUM(B551:D551)</f>
        <v>750</v>
      </c>
      <c r="F551" s="10">
        <v>1466</v>
      </c>
      <c r="G551" s="10">
        <v>244</v>
      </c>
      <c r="H551" s="10">
        <v>224</v>
      </c>
      <c r="I551" s="38">
        <f>SUM(F551:H551)</f>
        <v>1934</v>
      </c>
      <c r="J551" s="10">
        <v>303</v>
      </c>
      <c r="K551" s="10"/>
      <c r="L551" s="10"/>
      <c r="M551" s="38">
        <f>SUM(J551:L551)</f>
        <v>303</v>
      </c>
      <c r="N551" s="10"/>
      <c r="O551" s="10"/>
      <c r="P551" s="10"/>
      <c r="Q551" s="38">
        <f>SUM(N551:P551)</f>
        <v>0</v>
      </c>
      <c r="R551" s="38">
        <f>+E551+I551+M551+Q551</f>
        <v>2987</v>
      </c>
      <c r="T551" t="s">
        <v>2763</v>
      </c>
    </row>
    <row r="552" spans="1:20" ht="15.75" hidden="1" customHeight="1" x14ac:dyDescent="0.3">
      <c r="A552" s="234" t="s">
        <v>2161</v>
      </c>
      <c r="B552" s="172"/>
      <c r="C552" s="172"/>
      <c r="D552" s="172"/>
      <c r="E552" s="38" t="s">
        <v>852</v>
      </c>
      <c r="F552" s="172"/>
      <c r="G552" s="172"/>
      <c r="H552" s="172"/>
      <c r="I552" s="38" t="s">
        <v>852</v>
      </c>
      <c r="J552" s="172"/>
      <c r="K552" s="172"/>
      <c r="L552" s="172"/>
      <c r="M552" s="38" t="s">
        <v>852</v>
      </c>
      <c r="N552" s="172"/>
      <c r="O552" s="172"/>
      <c r="P552" s="172"/>
      <c r="Q552" s="38" t="s">
        <v>852</v>
      </c>
      <c r="R552" s="38" t="s">
        <v>852</v>
      </c>
    </row>
    <row r="553" spans="1:20" ht="15.75" hidden="1" customHeight="1" x14ac:dyDescent="0.3">
      <c r="A553" s="266" t="s">
        <v>1295</v>
      </c>
      <c r="B553" s="172"/>
      <c r="C553" s="172"/>
      <c r="D553" s="172"/>
      <c r="E553" s="38">
        <f>SUM(B553:D553)</f>
        <v>0</v>
      </c>
      <c r="F553" s="172"/>
      <c r="G553" s="172"/>
      <c r="H553" s="172"/>
      <c r="I553" s="38">
        <f>SUM(F553:H553)</f>
        <v>0</v>
      </c>
      <c r="J553" s="172"/>
      <c r="K553" s="172"/>
      <c r="L553" s="172"/>
      <c r="M553" s="38">
        <f>SUM(J553:L553)</f>
        <v>0</v>
      </c>
      <c r="N553" s="172"/>
      <c r="O553" s="172"/>
      <c r="P553" s="172"/>
      <c r="Q553" s="38">
        <f>SUM(N553:P553)</f>
        <v>0</v>
      </c>
      <c r="R553" s="38">
        <f>+E553+I553+M553+Q553</f>
        <v>0</v>
      </c>
      <c r="T553" t="s">
        <v>2766</v>
      </c>
    </row>
    <row r="554" spans="1:20" ht="15.75" hidden="1" customHeight="1" x14ac:dyDescent="0.3">
      <c r="A554" s="234" t="s">
        <v>2162</v>
      </c>
      <c r="B554" s="172"/>
      <c r="C554" s="172"/>
      <c r="D554" s="172"/>
      <c r="E554" s="38" t="s">
        <v>852</v>
      </c>
      <c r="F554" s="172"/>
      <c r="G554" s="172"/>
      <c r="H554" s="172"/>
      <c r="I554" s="38" t="s">
        <v>852</v>
      </c>
      <c r="J554" s="172"/>
      <c r="K554" s="172"/>
      <c r="L554" s="172"/>
      <c r="M554" s="38" t="s">
        <v>852</v>
      </c>
      <c r="N554" s="172"/>
      <c r="O554" s="172"/>
      <c r="P554" s="172"/>
      <c r="Q554" s="38" t="s">
        <v>852</v>
      </c>
      <c r="R554" s="38" t="s">
        <v>852</v>
      </c>
    </row>
    <row r="555" spans="1:20" ht="15.75" hidden="1" customHeight="1" x14ac:dyDescent="0.3">
      <c r="A555" s="266" t="s">
        <v>624</v>
      </c>
      <c r="B555" s="172"/>
      <c r="C555" s="172">
        <v>965</v>
      </c>
      <c r="D555" s="172"/>
      <c r="E555" s="38">
        <f>SUM(B555:D555)</f>
        <v>965</v>
      </c>
      <c r="F555" s="172"/>
      <c r="G555" s="172"/>
      <c r="H555" s="172"/>
      <c r="I555" s="38">
        <f>SUM(F555:H555)</f>
        <v>0</v>
      </c>
      <c r="J555" s="172"/>
      <c r="K555" s="172"/>
      <c r="L555" s="172">
        <v>35</v>
      </c>
      <c r="M555" s="38">
        <f>SUM(J555:L555)</f>
        <v>35</v>
      </c>
      <c r="N555" s="172"/>
      <c r="O555" s="172">
        <v>2190</v>
      </c>
      <c r="P555" s="172"/>
      <c r="Q555" s="38">
        <f>SUM(N555:P555)</f>
        <v>2190</v>
      </c>
      <c r="R555" s="38">
        <f>+E555+I555+M555+Q555</f>
        <v>3190</v>
      </c>
      <c r="T555" t="s">
        <v>2766</v>
      </c>
    </row>
    <row r="556" spans="1:20" ht="15.75" hidden="1" customHeight="1" thickBot="1" x14ac:dyDescent="0.35">
      <c r="A556" s="234" t="s">
        <v>2164</v>
      </c>
      <c r="B556" s="172"/>
      <c r="C556" s="172"/>
      <c r="D556" s="172"/>
      <c r="E556" s="38" t="s">
        <v>852</v>
      </c>
      <c r="F556" s="172"/>
      <c r="G556" s="172"/>
      <c r="H556" s="172"/>
      <c r="I556" s="38" t="s">
        <v>852</v>
      </c>
      <c r="J556" s="172"/>
      <c r="K556" s="172"/>
      <c r="L556" s="172"/>
      <c r="M556" s="38" t="s">
        <v>852</v>
      </c>
      <c r="N556" s="172"/>
      <c r="O556" s="172"/>
      <c r="P556" s="172"/>
      <c r="Q556" s="38" t="s">
        <v>852</v>
      </c>
      <c r="R556" s="38" t="s">
        <v>852</v>
      </c>
    </row>
    <row r="557" spans="1:20" ht="16.5" hidden="1" customHeight="1" thickBot="1" x14ac:dyDescent="0.35">
      <c r="A557" s="276" t="s">
        <v>1218</v>
      </c>
      <c r="B557" s="45">
        <f>SUM(B540:B556)</f>
        <v>857</v>
      </c>
      <c r="C557" s="46">
        <f>SUM(C540:C556)</f>
        <v>4560</v>
      </c>
      <c r="D557" s="46">
        <f>SUM(D540:D556)</f>
        <v>4181</v>
      </c>
      <c r="E557" s="37">
        <f>SUM(B557:D557)</f>
        <v>9598</v>
      </c>
      <c r="F557" s="46">
        <f>SUM(F540:F556)</f>
        <v>4048</v>
      </c>
      <c r="G557" s="46">
        <f>SUM(G540:G556)</f>
        <v>2048</v>
      </c>
      <c r="H557" s="46">
        <f>SUM(H540:H556)</f>
        <v>1697</v>
      </c>
      <c r="I557" s="37">
        <f>SUM(F557:H557)</f>
        <v>7793</v>
      </c>
      <c r="J557" s="46">
        <f>SUM(J540:J556)</f>
        <v>2187</v>
      </c>
      <c r="K557" s="46">
        <f>SUM(K540:K556)</f>
        <v>577</v>
      </c>
      <c r="L557" s="46">
        <f>SUM(L540:L556)</f>
        <v>3388</v>
      </c>
      <c r="M557" s="37">
        <f>SUM(J557:L557)</f>
        <v>6152</v>
      </c>
      <c r="N557" s="46">
        <f>SUM(N540:N556)</f>
        <v>39</v>
      </c>
      <c r="O557" s="46">
        <f>SUM(O540:O556)</f>
        <v>2190</v>
      </c>
      <c r="P557" s="46">
        <f>SUM(P540:P556)</f>
        <v>45</v>
      </c>
      <c r="Q557" s="37">
        <f>SUM(N557:P557)</f>
        <v>2274</v>
      </c>
      <c r="R557" s="37">
        <f>+E557+I557+M557+Q557</f>
        <v>25817</v>
      </c>
    </row>
    <row r="558" spans="1:20" ht="15.75" hidden="1" customHeight="1" x14ac:dyDescent="0.3">
      <c r="A558" s="234" t="s">
        <v>1172</v>
      </c>
      <c r="B558" s="172"/>
      <c r="C558" s="172"/>
      <c r="D558" s="172"/>
      <c r="E558" s="38" t="s">
        <v>852</v>
      </c>
      <c r="F558" s="172"/>
      <c r="G558" s="172"/>
      <c r="H558" s="172"/>
      <c r="I558" s="38" t="s">
        <v>852</v>
      </c>
      <c r="J558" s="172"/>
      <c r="K558" s="172"/>
      <c r="L558" s="172"/>
      <c r="M558" s="38" t="s">
        <v>852</v>
      </c>
      <c r="N558" s="172"/>
      <c r="O558" s="172"/>
      <c r="P558" s="172"/>
      <c r="Q558" s="38" t="s">
        <v>852</v>
      </c>
      <c r="R558" s="38" t="s">
        <v>852</v>
      </c>
    </row>
    <row r="559" spans="1:20" ht="15.75" hidden="1" customHeight="1" x14ac:dyDescent="0.3">
      <c r="A559" s="234" t="s">
        <v>2409</v>
      </c>
      <c r="B559" s="172"/>
      <c r="C559" s="172"/>
      <c r="D559" s="172"/>
      <c r="E559" s="38" t="s">
        <v>852</v>
      </c>
      <c r="F559" s="172"/>
      <c r="G559" s="172"/>
      <c r="H559" s="172"/>
      <c r="I559" s="38" t="s">
        <v>852</v>
      </c>
      <c r="J559" s="172"/>
      <c r="K559" s="172"/>
      <c r="L559" s="172"/>
      <c r="M559" s="38" t="s">
        <v>852</v>
      </c>
      <c r="N559" s="172"/>
      <c r="O559" s="172"/>
      <c r="P559" s="172"/>
      <c r="Q559" s="38" t="s">
        <v>852</v>
      </c>
      <c r="R559" s="38" t="s">
        <v>852</v>
      </c>
    </row>
    <row r="560" spans="1:20" ht="15.75" hidden="1" customHeight="1" x14ac:dyDescent="0.3">
      <c r="A560" s="266" t="s">
        <v>2478</v>
      </c>
      <c r="B560" s="172"/>
      <c r="C560" s="172"/>
      <c r="D560" s="172"/>
      <c r="E560" s="38">
        <f>SUM(B560:D560)</f>
        <v>0</v>
      </c>
      <c r="F560" s="172"/>
      <c r="G560" s="172"/>
      <c r="H560" s="172"/>
      <c r="I560" s="38">
        <f>SUM(F560:H560)</f>
        <v>0</v>
      </c>
      <c r="J560" s="172"/>
      <c r="K560" s="172"/>
      <c r="L560" s="172"/>
      <c r="M560" s="38">
        <f>SUM(J560:L560)</f>
        <v>0</v>
      </c>
      <c r="N560" s="172"/>
      <c r="O560" s="172"/>
      <c r="P560" s="172"/>
      <c r="Q560" s="38">
        <f>SUM(N560:P560)</f>
        <v>0</v>
      </c>
      <c r="R560" s="38">
        <f>+E560+I560+M560+Q560</f>
        <v>0</v>
      </c>
    </row>
    <row r="561" spans="1:20" ht="15.75" hidden="1" customHeight="1" x14ac:dyDescent="0.3">
      <c r="A561" s="266" t="s">
        <v>1958</v>
      </c>
      <c r="B561" s="172"/>
      <c r="C561" s="172"/>
      <c r="D561" s="172"/>
      <c r="E561" s="38">
        <f>SUM(B561:D561)</f>
        <v>0</v>
      </c>
      <c r="F561" s="172"/>
      <c r="G561" s="172"/>
      <c r="H561" s="172"/>
      <c r="I561" s="38">
        <f>SUM(F561:H561)</f>
        <v>0</v>
      </c>
      <c r="J561" s="172"/>
      <c r="K561" s="172"/>
      <c r="L561" s="172"/>
      <c r="M561" s="38">
        <f>SUM(J561:L561)</f>
        <v>0</v>
      </c>
      <c r="N561" s="172"/>
      <c r="O561" s="172"/>
      <c r="P561" s="172"/>
      <c r="Q561" s="38">
        <f>SUM(N561:P561)</f>
        <v>0</v>
      </c>
      <c r="R561" s="38">
        <f>+E561+I561+M561+Q561</f>
        <v>0</v>
      </c>
    </row>
    <row r="562" spans="1:20" ht="15.75" hidden="1" customHeight="1" thickBot="1" x14ac:dyDescent="0.35">
      <c r="A562" s="234" t="s">
        <v>2165</v>
      </c>
      <c r="B562" s="172"/>
      <c r="C562" s="172"/>
      <c r="D562" s="172"/>
      <c r="E562" s="38" t="s">
        <v>852</v>
      </c>
      <c r="F562" s="172"/>
      <c r="G562" s="172"/>
      <c r="H562" s="172"/>
      <c r="I562" s="38" t="s">
        <v>852</v>
      </c>
      <c r="J562" s="172"/>
      <c r="K562" s="172"/>
      <c r="L562" s="172"/>
      <c r="M562" s="38" t="s">
        <v>852</v>
      </c>
      <c r="N562" s="172"/>
      <c r="O562" s="172"/>
      <c r="P562" s="172"/>
      <c r="Q562" s="38" t="s">
        <v>852</v>
      </c>
      <c r="R562" s="38" t="s">
        <v>852</v>
      </c>
    </row>
    <row r="563" spans="1:20" ht="16.5" hidden="1" customHeight="1" thickBot="1" x14ac:dyDescent="0.35">
      <c r="A563" s="43" t="s">
        <v>1219</v>
      </c>
      <c r="B563" s="45">
        <f>SUM(B558:B562)</f>
        <v>0</v>
      </c>
      <c r="C563" s="46">
        <f>SUM(C558:C562)</f>
        <v>0</v>
      </c>
      <c r="D563" s="46">
        <f>SUM(D558:D562)</f>
        <v>0</v>
      </c>
      <c r="E563" s="37">
        <f>SUM(B563:D563)</f>
        <v>0</v>
      </c>
      <c r="F563" s="46">
        <f>SUM(F558:F562)</f>
        <v>0</v>
      </c>
      <c r="G563" s="46">
        <f>SUM(G558:G562)</f>
        <v>0</v>
      </c>
      <c r="H563" s="46">
        <f>SUM(H558:H562)</f>
        <v>0</v>
      </c>
      <c r="I563" s="37">
        <f>SUM(F563:H563)</f>
        <v>0</v>
      </c>
      <c r="J563" s="46">
        <f>SUM(J558:J562)</f>
        <v>0</v>
      </c>
      <c r="K563" s="46">
        <f>SUM(K558:K562)</f>
        <v>0</v>
      </c>
      <c r="L563" s="46">
        <f>SUM(L558:L562)</f>
        <v>0</v>
      </c>
      <c r="M563" s="37">
        <f>SUM(J563:L563)</f>
        <v>0</v>
      </c>
      <c r="N563" s="46">
        <f>SUM(N558:N562)</f>
        <v>0</v>
      </c>
      <c r="O563" s="46">
        <f>SUM(O558:O562)</f>
        <v>0</v>
      </c>
      <c r="P563" s="46">
        <f>SUM(P558:P562)</f>
        <v>0</v>
      </c>
      <c r="Q563" s="37">
        <f>SUM(N563:P563)</f>
        <v>0</v>
      </c>
      <c r="R563" s="37">
        <f>+E563+I563+M563+Q563</f>
        <v>0</v>
      </c>
    </row>
    <row r="564" spans="1:20" ht="15.75" hidden="1" customHeight="1" x14ac:dyDescent="0.3">
      <c r="A564" s="234" t="s">
        <v>2166</v>
      </c>
      <c r="B564" s="172"/>
      <c r="C564" s="172"/>
      <c r="D564" s="172"/>
      <c r="E564" s="38" t="s">
        <v>852</v>
      </c>
      <c r="F564" s="172"/>
      <c r="G564" s="172"/>
      <c r="H564" s="172"/>
      <c r="I564" s="38" t="s">
        <v>852</v>
      </c>
      <c r="J564" s="172"/>
      <c r="K564" s="172"/>
      <c r="L564" s="172"/>
      <c r="M564" s="38" t="s">
        <v>852</v>
      </c>
      <c r="N564" s="172"/>
      <c r="O564" s="172"/>
      <c r="P564" s="172"/>
      <c r="Q564" s="38" t="s">
        <v>852</v>
      </c>
      <c r="R564" s="38" t="s">
        <v>852</v>
      </c>
    </row>
    <row r="565" spans="1:20" ht="15.75" hidden="1" customHeight="1" x14ac:dyDescent="0.3">
      <c r="A565" s="234" t="s">
        <v>1245</v>
      </c>
      <c r="B565" s="172"/>
      <c r="C565" s="172"/>
      <c r="D565" s="172"/>
      <c r="E565" s="38" t="s">
        <v>852</v>
      </c>
      <c r="F565" s="172"/>
      <c r="G565" s="172"/>
      <c r="H565" s="172"/>
      <c r="I565" s="38" t="s">
        <v>852</v>
      </c>
      <c r="J565" s="172"/>
      <c r="K565" s="172"/>
      <c r="L565" s="172"/>
      <c r="M565" s="38" t="s">
        <v>852</v>
      </c>
      <c r="N565" s="172"/>
      <c r="O565" s="172"/>
      <c r="P565" s="172"/>
      <c r="Q565" s="38" t="s">
        <v>852</v>
      </c>
      <c r="R565" s="38" t="s">
        <v>852</v>
      </c>
    </row>
    <row r="566" spans="1:20" ht="15.75" hidden="1" customHeight="1" x14ac:dyDescent="0.3">
      <c r="A566" s="234" t="s">
        <v>1711</v>
      </c>
      <c r="B566" s="172"/>
      <c r="C566" s="172"/>
      <c r="D566" s="172"/>
      <c r="E566" s="38" t="s">
        <v>852</v>
      </c>
      <c r="F566" s="172"/>
      <c r="G566" s="172"/>
      <c r="H566" s="172"/>
      <c r="I566" s="38" t="s">
        <v>852</v>
      </c>
      <c r="J566" s="172"/>
      <c r="K566" s="172"/>
      <c r="L566" s="172"/>
      <c r="M566" s="38" t="s">
        <v>852</v>
      </c>
      <c r="N566" s="172"/>
      <c r="O566" s="172"/>
      <c r="P566" s="172"/>
      <c r="Q566" s="38" t="s">
        <v>852</v>
      </c>
      <c r="R566" s="38" t="s">
        <v>852</v>
      </c>
    </row>
    <row r="567" spans="1:20" ht="15.75" hidden="1" customHeight="1" thickBot="1" x14ac:dyDescent="0.35">
      <c r="A567" s="539" t="s">
        <v>2720</v>
      </c>
      <c r="B567" s="172">
        <v>43</v>
      </c>
      <c r="C567" s="172"/>
      <c r="D567" s="172"/>
      <c r="E567" s="38">
        <f>SUM(B567:D567)</f>
        <v>43</v>
      </c>
      <c r="F567" s="172"/>
      <c r="G567" s="172"/>
      <c r="H567" s="172"/>
      <c r="I567" s="38">
        <f>SUM(F567:H567)</f>
        <v>0</v>
      </c>
      <c r="J567" s="172"/>
      <c r="K567" s="172"/>
      <c r="L567" s="172"/>
      <c r="M567" s="38">
        <f>SUM(J567:L567)</f>
        <v>0</v>
      </c>
      <c r="N567" s="172"/>
      <c r="O567" s="172"/>
      <c r="P567" s="172"/>
      <c r="Q567" s="38">
        <f>SUM(N567:P567)</f>
        <v>0</v>
      </c>
      <c r="R567" s="38">
        <f>+E567+I567+M567+Q567</f>
        <v>43</v>
      </c>
      <c r="T567" t="s">
        <v>2766</v>
      </c>
    </row>
    <row r="568" spans="1:20" ht="16.5" hidden="1" customHeight="1" thickBot="1" x14ac:dyDescent="0.35">
      <c r="A568" s="277" t="s">
        <v>1220</v>
      </c>
      <c r="B568" s="45">
        <f>SUM(B564:B567)</f>
        <v>43</v>
      </c>
      <c r="C568" s="46">
        <f>SUM(C564:C567)</f>
        <v>0</v>
      </c>
      <c r="D568" s="46">
        <f>SUM(D564:D567)</f>
        <v>0</v>
      </c>
      <c r="E568" s="37">
        <f>SUM(B568:D568)</f>
        <v>43</v>
      </c>
      <c r="F568" s="46">
        <f>SUM(F564:F567)</f>
        <v>0</v>
      </c>
      <c r="G568" s="46">
        <f>SUM(G564:G567)</f>
        <v>0</v>
      </c>
      <c r="H568" s="46">
        <f>SUM(H564:H567)</f>
        <v>0</v>
      </c>
      <c r="I568" s="37">
        <f>SUM(F568:H568)</f>
        <v>0</v>
      </c>
      <c r="J568" s="46">
        <f>SUM(J564:J567)</f>
        <v>0</v>
      </c>
      <c r="K568" s="46">
        <f>SUM(K564:K567)</f>
        <v>0</v>
      </c>
      <c r="L568" s="46">
        <f>SUM(L564:L567)</f>
        <v>0</v>
      </c>
      <c r="M568" s="37">
        <f>SUM(J568:L568)</f>
        <v>0</v>
      </c>
      <c r="N568" s="46">
        <f>SUM(N564:N567)</f>
        <v>0</v>
      </c>
      <c r="O568" s="46">
        <f>SUM(O564:O567)</f>
        <v>0</v>
      </c>
      <c r="P568" s="46">
        <f>SUM(P564:P567)</f>
        <v>0</v>
      </c>
      <c r="Q568" s="37">
        <f>SUM(N568:P568)</f>
        <v>0</v>
      </c>
      <c r="R568" s="37">
        <f>+E568+I568+M568+Q568</f>
        <v>43</v>
      </c>
    </row>
    <row r="569" spans="1:20" ht="15.75" hidden="1" customHeight="1" x14ac:dyDescent="0.3">
      <c r="A569" s="234" t="s">
        <v>1712</v>
      </c>
      <c r="B569" s="172"/>
      <c r="C569" s="172"/>
      <c r="D569" s="172"/>
      <c r="E569" s="38" t="s">
        <v>852</v>
      </c>
      <c r="F569" s="172"/>
      <c r="G569" s="172"/>
      <c r="H569" s="172"/>
      <c r="I569" s="38" t="s">
        <v>852</v>
      </c>
      <c r="J569" s="172"/>
      <c r="K569" s="172"/>
      <c r="L569" s="172"/>
      <c r="M569" s="38" t="s">
        <v>852</v>
      </c>
      <c r="N569" s="172"/>
      <c r="O569" s="172"/>
      <c r="P569" s="172"/>
      <c r="Q569" s="38" t="s">
        <v>852</v>
      </c>
      <c r="R569" s="38" t="s">
        <v>852</v>
      </c>
    </row>
    <row r="570" spans="1:20" ht="15.75" hidden="1" customHeight="1" x14ac:dyDescent="0.3">
      <c r="A570" s="234" t="s">
        <v>1021</v>
      </c>
      <c r="B570" s="172"/>
      <c r="C570" s="172"/>
      <c r="D570" s="172"/>
      <c r="E570" s="38" t="s">
        <v>852</v>
      </c>
      <c r="F570" s="172"/>
      <c r="G570" s="172"/>
      <c r="H570" s="172"/>
      <c r="I570" s="38" t="s">
        <v>852</v>
      </c>
      <c r="J570" s="172"/>
      <c r="K570" s="172"/>
      <c r="L570" s="172"/>
      <c r="M570" s="38" t="s">
        <v>852</v>
      </c>
      <c r="N570" s="172"/>
      <c r="O570" s="172"/>
      <c r="P570" s="172"/>
      <c r="Q570" s="38" t="s">
        <v>852</v>
      </c>
      <c r="R570" s="38" t="s">
        <v>852</v>
      </c>
    </row>
    <row r="571" spans="1:20" ht="15.75" hidden="1" customHeight="1" x14ac:dyDescent="0.3">
      <c r="A571" s="266" t="s">
        <v>624</v>
      </c>
      <c r="B571" s="172"/>
      <c r="C571" s="172"/>
      <c r="D571" s="172"/>
      <c r="E571" s="38">
        <f>SUM(B571:D571)</f>
        <v>0</v>
      </c>
      <c r="F571" s="172"/>
      <c r="G571" s="172"/>
      <c r="H571" s="172"/>
      <c r="I571" s="38">
        <f>SUM(F571:H571)</f>
        <v>0</v>
      </c>
      <c r="J571" s="172"/>
      <c r="K571" s="172"/>
      <c r="L571" s="172">
        <v>100</v>
      </c>
      <c r="M571" s="38">
        <f>SUM(J571:L571)</f>
        <v>100</v>
      </c>
      <c r="N571" s="172"/>
      <c r="O571" s="172">
        <v>1</v>
      </c>
      <c r="P571" s="172"/>
      <c r="Q571" s="38">
        <f>SUM(N571:P571)</f>
        <v>1</v>
      </c>
      <c r="R571" s="38">
        <f>+E571+I571+M571+Q571</f>
        <v>101</v>
      </c>
      <c r="T571" t="s">
        <v>2766</v>
      </c>
    </row>
    <row r="572" spans="1:20" ht="15.75" hidden="1" customHeight="1" x14ac:dyDescent="0.3">
      <c r="A572" s="266" t="s">
        <v>1787</v>
      </c>
      <c r="B572" s="172"/>
      <c r="C572" s="172"/>
      <c r="D572" s="172"/>
      <c r="E572" s="38">
        <f>SUM(B572:D572)</f>
        <v>0</v>
      </c>
      <c r="F572" s="172"/>
      <c r="G572" s="172"/>
      <c r="H572" s="172"/>
      <c r="I572" s="38">
        <f>SUM(F572:H572)</f>
        <v>0</v>
      </c>
      <c r="J572" s="172"/>
      <c r="K572" s="172"/>
      <c r="L572" s="172"/>
      <c r="M572" s="38">
        <f>SUM(J572:L572)</f>
        <v>0</v>
      </c>
      <c r="N572" s="172"/>
      <c r="O572" s="172"/>
      <c r="P572" s="172"/>
      <c r="Q572" s="38">
        <f>SUM(N572:P572)</f>
        <v>0</v>
      </c>
      <c r="R572" s="38">
        <f>+E572+I572+M572+Q572</f>
        <v>0</v>
      </c>
      <c r="T572" t="s">
        <v>2766</v>
      </c>
    </row>
    <row r="573" spans="1:20" ht="15.75" hidden="1" customHeight="1" x14ac:dyDescent="0.3">
      <c r="A573" s="234" t="s">
        <v>557</v>
      </c>
      <c r="B573" s="172"/>
      <c r="C573" s="172"/>
      <c r="D573" s="172"/>
      <c r="E573" s="38" t="s">
        <v>852</v>
      </c>
      <c r="F573" s="172"/>
      <c r="G573" s="172"/>
      <c r="H573" s="172"/>
      <c r="I573" s="38" t="s">
        <v>852</v>
      </c>
      <c r="J573" s="172"/>
      <c r="K573" s="172"/>
      <c r="L573" s="172"/>
      <c r="M573" s="38" t="s">
        <v>852</v>
      </c>
      <c r="N573" s="172"/>
      <c r="O573" s="172"/>
      <c r="P573" s="172"/>
      <c r="Q573" s="38" t="s">
        <v>852</v>
      </c>
      <c r="R573" s="38" t="s">
        <v>852</v>
      </c>
    </row>
    <row r="574" spans="1:20" ht="15.75" hidden="1" customHeight="1" x14ac:dyDescent="0.3">
      <c r="A574" s="539" t="s">
        <v>2812</v>
      </c>
      <c r="B574" s="172"/>
      <c r="C574" s="172"/>
      <c r="D574" s="172"/>
      <c r="E574" s="38">
        <f>SUM(B574:D574)</f>
        <v>0</v>
      </c>
      <c r="F574" s="172"/>
      <c r="G574" s="172"/>
      <c r="H574" s="172"/>
      <c r="I574" s="38">
        <f>SUM(F574:H574)</f>
        <v>0</v>
      </c>
      <c r="J574" s="172"/>
      <c r="K574" s="172"/>
      <c r="L574" s="172"/>
      <c r="M574" s="38">
        <f>SUM(J574:L574)</f>
        <v>0</v>
      </c>
      <c r="N574" s="172">
        <v>179</v>
      </c>
      <c r="O574" s="172">
        <v>542</v>
      </c>
      <c r="P574" s="172">
        <v>429</v>
      </c>
      <c r="Q574" s="38">
        <f>SUM(N574:P574)</f>
        <v>1150</v>
      </c>
      <c r="R574" s="38">
        <f>+E574+I574+M574+Q574</f>
        <v>1150</v>
      </c>
    </row>
    <row r="575" spans="1:20" ht="15.75" hidden="1" customHeight="1" x14ac:dyDescent="0.3">
      <c r="A575" s="539" t="s">
        <v>2579</v>
      </c>
      <c r="B575" s="172"/>
      <c r="C575" s="172"/>
      <c r="D575" s="172"/>
      <c r="E575" s="38">
        <f>SUM(B575:D575)</f>
        <v>0</v>
      </c>
      <c r="F575" s="172"/>
      <c r="G575" s="172"/>
      <c r="H575" s="172"/>
      <c r="I575" s="38">
        <f>SUM(F575:H575)</f>
        <v>0</v>
      </c>
      <c r="J575" s="172"/>
      <c r="K575" s="172"/>
      <c r="L575" s="172"/>
      <c r="M575" s="38">
        <f>SUM(J575:L575)</f>
        <v>0</v>
      </c>
      <c r="N575" s="172"/>
      <c r="O575" s="172"/>
      <c r="P575" s="172"/>
      <c r="Q575" s="38">
        <f>SUM(N575:P575)</f>
        <v>0</v>
      </c>
      <c r="R575" s="38">
        <f>+E575+I575+M575+Q575</f>
        <v>0</v>
      </c>
    </row>
    <row r="576" spans="1:20" ht="15.75" hidden="1" customHeight="1" x14ac:dyDescent="0.3">
      <c r="A576" s="539" t="s">
        <v>2581</v>
      </c>
      <c r="B576" s="172"/>
      <c r="C576" s="172"/>
      <c r="D576" s="172"/>
      <c r="E576" s="38">
        <f>SUM(B576:D576)</f>
        <v>0</v>
      </c>
      <c r="F576" s="172"/>
      <c r="G576" s="172"/>
      <c r="H576" s="172"/>
      <c r="I576" s="38">
        <f>SUM(F576:H576)</f>
        <v>0</v>
      </c>
      <c r="J576" s="172"/>
      <c r="K576" s="172"/>
      <c r="L576" s="172">
        <v>272</v>
      </c>
      <c r="M576" s="38">
        <f>SUM(J576:L576)</f>
        <v>272</v>
      </c>
      <c r="N576" s="172">
        <v>1228</v>
      </c>
      <c r="O576" s="172">
        <v>350</v>
      </c>
      <c r="P576" s="172"/>
      <c r="Q576" s="38">
        <f>SUM(N576:P576)</f>
        <v>1578</v>
      </c>
      <c r="R576" s="38">
        <f>+E576+I576+M576+Q576</f>
        <v>1850</v>
      </c>
      <c r="T576" t="s">
        <v>2766</v>
      </c>
    </row>
    <row r="577" spans="1:20" ht="15.75" hidden="1" customHeight="1" x14ac:dyDescent="0.3">
      <c r="A577" s="539" t="s">
        <v>2582</v>
      </c>
      <c r="B577" s="172"/>
      <c r="C577" s="172"/>
      <c r="D577" s="172"/>
      <c r="E577" s="38">
        <f>SUM(B577:D577)</f>
        <v>0</v>
      </c>
      <c r="F577" s="172"/>
      <c r="G577" s="172"/>
      <c r="H577" s="172"/>
      <c r="I577" s="38">
        <f>SUM(F577:H577)</f>
        <v>0</v>
      </c>
      <c r="J577" s="172"/>
      <c r="K577" s="172"/>
      <c r="L577" s="172"/>
      <c r="M577" s="38">
        <f>SUM(J577:L577)</f>
        <v>0</v>
      </c>
      <c r="N577" s="172"/>
      <c r="O577" s="172"/>
      <c r="P577" s="172"/>
      <c r="Q577" s="38">
        <f>SUM(N577:P577)</f>
        <v>0</v>
      </c>
      <c r="R577" s="38">
        <f>+E577+I577+M577+Q577</f>
        <v>0</v>
      </c>
      <c r="T577" t="s">
        <v>2766</v>
      </c>
    </row>
    <row r="578" spans="1:20" ht="15.75" hidden="1" customHeight="1" x14ac:dyDescent="0.3">
      <c r="A578" s="234" t="s">
        <v>1022</v>
      </c>
      <c r="B578" s="172"/>
      <c r="C578" s="172"/>
      <c r="D578" s="172"/>
      <c r="E578" s="38" t="s">
        <v>852</v>
      </c>
      <c r="F578" s="172"/>
      <c r="G578" s="172"/>
      <c r="H578" s="172"/>
      <c r="I578" s="38" t="s">
        <v>852</v>
      </c>
      <c r="J578" s="172"/>
      <c r="K578" s="172"/>
      <c r="L578" s="172"/>
      <c r="M578" s="38" t="s">
        <v>852</v>
      </c>
      <c r="N578" s="172"/>
      <c r="O578" s="172"/>
      <c r="P578" s="172"/>
      <c r="Q578" s="38" t="s">
        <v>852</v>
      </c>
      <c r="R578" s="38" t="s">
        <v>852</v>
      </c>
    </row>
    <row r="579" spans="1:20" ht="15.75" hidden="1" customHeight="1" x14ac:dyDescent="0.3">
      <c r="A579" s="234" t="s">
        <v>559</v>
      </c>
      <c r="B579" s="172"/>
      <c r="C579" s="172"/>
      <c r="D579" s="172"/>
      <c r="E579" s="38" t="s">
        <v>852</v>
      </c>
      <c r="F579" s="172"/>
      <c r="G579" s="172"/>
      <c r="H579" s="172"/>
      <c r="I579" s="38" t="s">
        <v>852</v>
      </c>
      <c r="J579" s="172"/>
      <c r="K579" s="172"/>
      <c r="L579" s="172"/>
      <c r="M579" s="38" t="s">
        <v>852</v>
      </c>
      <c r="N579" s="172"/>
      <c r="O579" s="172"/>
      <c r="P579" s="172"/>
      <c r="Q579" s="38" t="s">
        <v>852</v>
      </c>
      <c r="R579" s="38" t="s">
        <v>852</v>
      </c>
    </row>
    <row r="580" spans="1:20" ht="15.75" hidden="1" customHeight="1" x14ac:dyDescent="0.3">
      <c r="A580" s="539" t="s">
        <v>2597</v>
      </c>
      <c r="B580" s="172"/>
      <c r="C580" s="172"/>
      <c r="D580" s="172"/>
      <c r="E580" s="38">
        <f t="shared" ref="E580:E585" si="129">SUM(B580:D580)</f>
        <v>0</v>
      </c>
      <c r="F580" s="172"/>
      <c r="G580" s="172"/>
      <c r="H580" s="172"/>
      <c r="I580" s="38">
        <f t="shared" ref="I580:I585" si="130">SUM(F580:H580)</f>
        <v>0</v>
      </c>
      <c r="J580" s="172">
        <v>1000</v>
      </c>
      <c r="K580" s="172"/>
      <c r="L580" s="172"/>
      <c r="M580" s="38">
        <f t="shared" ref="M580:M585" si="131">SUM(J580:L580)</f>
        <v>1000</v>
      </c>
      <c r="N580" s="172"/>
      <c r="O580" s="172"/>
      <c r="P580" s="172"/>
      <c r="Q580" s="38">
        <f t="shared" ref="Q580:Q585" si="132">SUM(N580:P580)</f>
        <v>0</v>
      </c>
      <c r="R580" s="38">
        <f t="shared" ref="R580:R585" si="133">+E580+I580+M580+Q580</f>
        <v>1000</v>
      </c>
    </row>
    <row r="581" spans="1:20" ht="15.75" hidden="1" customHeight="1" thickBot="1" x14ac:dyDescent="0.35">
      <c r="A581" s="539" t="s">
        <v>2583</v>
      </c>
      <c r="B581" s="172">
        <v>246</v>
      </c>
      <c r="C581" s="172"/>
      <c r="D581" s="172">
        <v>250</v>
      </c>
      <c r="E581" s="38">
        <f t="shared" si="129"/>
        <v>496</v>
      </c>
      <c r="F581" s="172"/>
      <c r="G581" s="172"/>
      <c r="H581" s="172"/>
      <c r="I581" s="38">
        <f t="shared" si="130"/>
        <v>0</v>
      </c>
      <c r="J581" s="172">
        <v>77</v>
      </c>
      <c r="K581" s="172">
        <v>871</v>
      </c>
      <c r="L581" s="172">
        <v>54</v>
      </c>
      <c r="M581" s="38">
        <f t="shared" si="131"/>
        <v>1002</v>
      </c>
      <c r="N581" s="172"/>
      <c r="O581" s="172">
        <v>2</v>
      </c>
      <c r="P581" s="172"/>
      <c r="Q581" s="38">
        <f t="shared" si="132"/>
        <v>2</v>
      </c>
      <c r="R581" s="38">
        <f t="shared" si="133"/>
        <v>1500</v>
      </c>
    </row>
    <row r="582" spans="1:20" ht="16.5" hidden="1" customHeight="1" thickBot="1" x14ac:dyDescent="0.35">
      <c r="A582" s="43" t="s">
        <v>1019</v>
      </c>
      <c r="B582" s="335">
        <f>SUM(B578:B581)</f>
        <v>246</v>
      </c>
      <c r="C582" s="335">
        <f>SUM(C578:C581)</f>
        <v>0</v>
      </c>
      <c r="D582" s="335">
        <f>SUM(D578:D581)</f>
        <v>250</v>
      </c>
      <c r="E582" s="39">
        <f t="shared" si="129"/>
        <v>496</v>
      </c>
      <c r="F582" s="335">
        <f>SUM(F578:F581)</f>
        <v>0</v>
      </c>
      <c r="G582" s="335">
        <f>SUM(G578:G581)</f>
        <v>0</v>
      </c>
      <c r="H582" s="335">
        <f>SUM(H578:H581)</f>
        <v>0</v>
      </c>
      <c r="I582" s="39">
        <f t="shared" si="130"/>
        <v>0</v>
      </c>
      <c r="J582" s="335">
        <f>SUM(J578:J581)</f>
        <v>1077</v>
      </c>
      <c r="K582" s="335">
        <f>SUM(K578:K581)</f>
        <v>871</v>
      </c>
      <c r="L582" s="335">
        <f>SUM(L578:L581)</f>
        <v>54</v>
      </c>
      <c r="M582" s="39">
        <f t="shared" si="131"/>
        <v>2002</v>
      </c>
      <c r="N582" s="335">
        <f>SUM(N578:N581)</f>
        <v>0</v>
      </c>
      <c r="O582" s="335">
        <f>SUM(O578:O581)</f>
        <v>2</v>
      </c>
      <c r="P582" s="335">
        <f>SUM(P578:P581)</f>
        <v>0</v>
      </c>
      <c r="Q582" s="39">
        <f t="shared" si="132"/>
        <v>2</v>
      </c>
      <c r="R582" s="37">
        <f t="shared" si="133"/>
        <v>2500</v>
      </c>
    </row>
    <row r="583" spans="1:20" ht="16.5" hidden="1" customHeight="1" thickBot="1" x14ac:dyDescent="0.35">
      <c r="A583" s="277" t="s">
        <v>1221</v>
      </c>
      <c r="B583" s="45">
        <f>SUM(B569:B581)</f>
        <v>246</v>
      </c>
      <c r="C583" s="46">
        <f>SUM(C569:C581)</f>
        <v>0</v>
      </c>
      <c r="D583" s="58">
        <f>SUM(D569:D581)</f>
        <v>250</v>
      </c>
      <c r="E583" s="39">
        <f t="shared" si="129"/>
        <v>496</v>
      </c>
      <c r="F583" s="45">
        <f>SUM(F569:F581)</f>
        <v>0</v>
      </c>
      <c r="G583" s="46">
        <f>SUM(G569:G581)</f>
        <v>0</v>
      </c>
      <c r="H583" s="58">
        <f>SUM(H569:H581)</f>
        <v>0</v>
      </c>
      <c r="I583" s="39">
        <f t="shared" si="130"/>
        <v>0</v>
      </c>
      <c r="J583" s="45">
        <f>SUM(J569:J581)</f>
        <v>1077</v>
      </c>
      <c r="K583" s="46">
        <f>SUM(K569:K581)</f>
        <v>871</v>
      </c>
      <c r="L583" s="58">
        <f>SUM(L569:L581)</f>
        <v>426</v>
      </c>
      <c r="M583" s="39">
        <f t="shared" si="131"/>
        <v>2374</v>
      </c>
      <c r="N583" s="45">
        <f>SUM(N569:N581)</f>
        <v>1407</v>
      </c>
      <c r="O583" s="46">
        <f>SUM(O569:O581)</f>
        <v>895</v>
      </c>
      <c r="P583" s="58">
        <f>SUM(P569:P581)</f>
        <v>429</v>
      </c>
      <c r="Q583" s="39">
        <f t="shared" si="132"/>
        <v>2731</v>
      </c>
      <c r="R583" s="37">
        <f t="shared" si="133"/>
        <v>5601</v>
      </c>
    </row>
    <row r="584" spans="1:20" ht="16.5" hidden="1" customHeight="1" thickBot="1" x14ac:dyDescent="0.35">
      <c r="A584" s="43" t="s">
        <v>1222</v>
      </c>
      <c r="B584" s="337">
        <f>+B557+B563+B568+B583</f>
        <v>1146</v>
      </c>
      <c r="C584" s="338">
        <f>+C557+C563+C568+C583</f>
        <v>4560</v>
      </c>
      <c r="D584" s="338">
        <f>+D557+D563+D568+D583</f>
        <v>4431</v>
      </c>
      <c r="E584" s="37">
        <f t="shared" si="129"/>
        <v>10137</v>
      </c>
      <c r="F584" s="42">
        <f>+F557+F563+F568+F583</f>
        <v>4048</v>
      </c>
      <c r="G584" s="42">
        <f>+G557+G563+G568+G583</f>
        <v>2048</v>
      </c>
      <c r="H584" s="42">
        <f>+H557+H563+H568+H583</f>
        <v>1697</v>
      </c>
      <c r="I584" s="37">
        <f t="shared" si="130"/>
        <v>7793</v>
      </c>
      <c r="J584" s="42">
        <f>+J557+J563+J568+J583</f>
        <v>3264</v>
      </c>
      <c r="K584" s="42">
        <f>+K557+K563+K568+K583</f>
        <v>1448</v>
      </c>
      <c r="L584" s="42">
        <f>+L557+L563+L568+L583</f>
        <v>3814</v>
      </c>
      <c r="M584" s="37">
        <f t="shared" si="131"/>
        <v>8526</v>
      </c>
      <c r="N584" s="42">
        <f>+N557+N563+N568+N583</f>
        <v>1446</v>
      </c>
      <c r="O584" s="42">
        <f>+O557+O563+O568+O583</f>
        <v>3085</v>
      </c>
      <c r="P584" s="42">
        <f>+P557+P563+P568+P583</f>
        <v>474</v>
      </c>
      <c r="Q584" s="37">
        <f t="shared" si="132"/>
        <v>5005</v>
      </c>
      <c r="R584" s="40">
        <f t="shared" si="133"/>
        <v>31461</v>
      </c>
    </row>
    <row r="585" spans="1:20" ht="16.5" hidden="1" customHeight="1" thickBot="1" x14ac:dyDescent="0.35">
      <c r="A585" s="244" t="s">
        <v>853</v>
      </c>
      <c r="B585" s="238">
        <v>17</v>
      </c>
      <c r="C585" s="238">
        <v>47</v>
      </c>
      <c r="D585" s="238">
        <v>84</v>
      </c>
      <c r="E585" s="38">
        <f t="shared" si="129"/>
        <v>148</v>
      </c>
      <c r="F585" s="238">
        <v>116</v>
      </c>
      <c r="G585" s="238">
        <v>132</v>
      </c>
      <c r="H585" s="238">
        <v>138</v>
      </c>
      <c r="I585" s="38">
        <f t="shared" si="130"/>
        <v>386</v>
      </c>
      <c r="J585" s="238">
        <v>126</v>
      </c>
      <c r="K585" s="238">
        <v>95</v>
      </c>
      <c r="L585" s="238">
        <v>99</v>
      </c>
      <c r="M585" s="38">
        <f t="shared" si="131"/>
        <v>320</v>
      </c>
      <c r="N585" s="238">
        <v>91</v>
      </c>
      <c r="O585" s="238">
        <v>67</v>
      </c>
      <c r="P585" s="238">
        <v>38</v>
      </c>
      <c r="Q585" s="38">
        <f t="shared" si="132"/>
        <v>196</v>
      </c>
      <c r="R585" s="38">
        <f t="shared" si="133"/>
        <v>1050</v>
      </c>
    </row>
    <row r="586" spans="1:20" ht="16.5" hidden="1" customHeight="1" thickBot="1" x14ac:dyDescent="0.35">
      <c r="A586" s="22"/>
      <c r="B586" s="242"/>
      <c r="C586" s="242"/>
      <c r="D586" s="242"/>
      <c r="E586" s="21"/>
      <c r="F586" s="242"/>
      <c r="G586" s="242"/>
      <c r="H586" s="242"/>
      <c r="I586" s="21"/>
      <c r="J586" s="242"/>
      <c r="K586" s="242"/>
      <c r="L586" s="242"/>
      <c r="M586" s="21"/>
      <c r="N586" s="242"/>
      <c r="O586" s="242"/>
      <c r="P586" s="242"/>
      <c r="Q586" s="21"/>
      <c r="R586" s="21"/>
    </row>
    <row r="587" spans="1:20" ht="15.75" hidden="1" customHeight="1" x14ac:dyDescent="0.3">
      <c r="A587" s="259" t="s">
        <v>120</v>
      </c>
      <c r="B587" s="260">
        <f>SUM(B584:B585)</f>
        <v>1163</v>
      </c>
      <c r="C587" s="260">
        <f>SUM(C584:C585)</f>
        <v>4607</v>
      </c>
      <c r="D587" s="260">
        <f>SUM(D584:D585)</f>
        <v>4515</v>
      </c>
      <c r="E587" s="39">
        <f>SUM(B587:D587)</f>
        <v>10285</v>
      </c>
      <c r="F587" s="260">
        <f>SUM(F584:F585)</f>
        <v>4164</v>
      </c>
      <c r="G587" s="260">
        <f>SUM(G584:G585)</f>
        <v>2180</v>
      </c>
      <c r="H587" s="260">
        <f>SUM(H584:H585)</f>
        <v>1835</v>
      </c>
      <c r="I587" s="39">
        <f>SUM(F587:H587)</f>
        <v>8179</v>
      </c>
      <c r="J587" s="260">
        <f>SUM(J584:J585)</f>
        <v>3390</v>
      </c>
      <c r="K587" s="260">
        <f>SUM(K584:K585)</f>
        <v>1543</v>
      </c>
      <c r="L587" s="260">
        <f>SUM(L584:L585)</f>
        <v>3913</v>
      </c>
      <c r="M587" s="39">
        <f>SUM(J587:L587)</f>
        <v>8846</v>
      </c>
      <c r="N587" s="260">
        <f>SUM(N584:N585)</f>
        <v>1537</v>
      </c>
      <c r="O587" s="260">
        <f>SUM(O584:O585)</f>
        <v>3152</v>
      </c>
      <c r="P587" s="260">
        <f>SUM(P584:P585)</f>
        <v>512</v>
      </c>
      <c r="Q587" s="39">
        <f>SUM(N587:P587)</f>
        <v>5201</v>
      </c>
      <c r="R587" s="39">
        <f>+E587+I587+M587+Q587</f>
        <v>32511</v>
      </c>
    </row>
    <row r="588" spans="1:20" ht="15.75" hidden="1" customHeight="1" x14ac:dyDescent="0.3">
      <c r="A588" s="262" t="s">
        <v>1897</v>
      </c>
      <c r="B588" s="172">
        <f>(B587/B10)/1.983</f>
        <v>18.918874953231498</v>
      </c>
      <c r="C588" s="172">
        <f>(C587/C10)/1.983</f>
        <v>80.111986366877076</v>
      </c>
      <c r="D588" s="172">
        <f>(D587/D10)/1.983</f>
        <v>73.44687911766141</v>
      </c>
      <c r="E588" s="38" t="s">
        <v>852</v>
      </c>
      <c r="F588" s="172">
        <f>(F587/F10)/1.983</f>
        <v>69.994957135653053</v>
      </c>
      <c r="G588" s="172">
        <f>(G587/G10)/1.983</f>
        <v>35.462723472093437</v>
      </c>
      <c r="H588" s="172">
        <f>(H587/H10)/1.983</f>
        <v>30.845520255505125</v>
      </c>
      <c r="I588" s="38" t="s">
        <v>852</v>
      </c>
      <c r="J588" s="172">
        <f>(J587/J10)/1.983</f>
        <v>55.146161729539799</v>
      </c>
      <c r="K588" s="172">
        <f>(K587/K10)/1.983</f>
        <v>25.100450604330355</v>
      </c>
      <c r="L588" s="172">
        <f>(L587/L10)/1.983</f>
        <v>65.775760632038995</v>
      </c>
      <c r="M588" s="38" t="s">
        <v>852</v>
      </c>
      <c r="N588" s="172">
        <f>(N587/N10)/1.983</f>
        <v>25.002846778260373</v>
      </c>
      <c r="O588" s="172">
        <f>(O587/O10)/1.983</f>
        <v>52.983694738611526</v>
      </c>
      <c r="P588" s="172">
        <f>(P587/P10)/1.983</f>
        <v>8.3288598246384584</v>
      </c>
      <c r="Q588" s="38" t="s">
        <v>852</v>
      </c>
      <c r="R588" s="38" t="s">
        <v>852</v>
      </c>
    </row>
    <row r="589" spans="1:20" ht="15.75" hidden="1" customHeight="1" x14ac:dyDescent="0.3">
      <c r="A589" s="262" t="s">
        <v>1535</v>
      </c>
      <c r="B589" s="172">
        <f>B587+B599</f>
        <v>8964</v>
      </c>
      <c r="C589" s="172">
        <f>C587+C599</f>
        <v>16067</v>
      </c>
      <c r="D589" s="172">
        <f>D587+D599</f>
        <v>22002</v>
      </c>
      <c r="E589" s="38">
        <f>SUM(B589:D589)</f>
        <v>47033</v>
      </c>
      <c r="F589" s="172">
        <f>F587+F599</f>
        <v>25240</v>
      </c>
      <c r="G589" s="172">
        <f>G587+G599</f>
        <v>24236</v>
      </c>
      <c r="H589" s="172">
        <f>H587+H599</f>
        <v>22944</v>
      </c>
      <c r="I589" s="38">
        <f>SUM(F589:H589)</f>
        <v>72420</v>
      </c>
      <c r="J589" s="172">
        <f>J587+J599</f>
        <v>25371</v>
      </c>
      <c r="K589" s="172">
        <f>K587+K599</f>
        <v>21685</v>
      </c>
      <c r="L589" s="172">
        <f>L587+L599</f>
        <v>22936</v>
      </c>
      <c r="M589" s="38">
        <f>SUM(J589:L589)</f>
        <v>69992</v>
      </c>
      <c r="N589" s="172">
        <f>N587+N599</f>
        <v>7905</v>
      </c>
      <c r="O589" s="172">
        <f>O587+O599</f>
        <v>10329</v>
      </c>
      <c r="P589" s="172">
        <f>P587+P599</f>
        <v>14827</v>
      </c>
      <c r="Q589" s="38">
        <f>SUM(N589:P589)</f>
        <v>33061</v>
      </c>
      <c r="R589" s="38">
        <f>+E589+I589+M589+Q589</f>
        <v>222506</v>
      </c>
    </row>
    <row r="590" spans="1:20" ht="16.5" hidden="1" customHeight="1" thickBot="1" x14ac:dyDescent="0.35">
      <c r="A590" s="263" t="s">
        <v>1536</v>
      </c>
      <c r="B590" s="264">
        <f>(B589/B10)/1.983</f>
        <v>145.82011614855304</v>
      </c>
      <c r="C590" s="264">
        <f>(C589/C10)/1.983</f>
        <v>279.3920740083816</v>
      </c>
      <c r="D590" s="264">
        <f>(D589/D10)/1.983</f>
        <v>357.91323019862375</v>
      </c>
      <c r="E590" s="40" t="s">
        <v>852</v>
      </c>
      <c r="F590" s="264">
        <f>(F589/F10)/1.983</f>
        <v>424.27298705664816</v>
      </c>
      <c r="G590" s="264">
        <f>(G589/G10)/1.983</f>
        <v>394.254388105347</v>
      </c>
      <c r="H590" s="264">
        <f>(H589/H10)/1.983</f>
        <v>385.67826525466461</v>
      </c>
      <c r="I590" s="40" t="s">
        <v>852</v>
      </c>
      <c r="J590" s="264">
        <f>(J589/J10)/1.983</f>
        <v>412.71777853691862</v>
      </c>
      <c r="K590" s="264">
        <f>(K589/K10)/1.983</f>
        <v>352.75649472125974</v>
      </c>
      <c r="L590" s="264">
        <f>(L589/L10)/1.983</f>
        <v>385.54378887207929</v>
      </c>
      <c r="M590" s="40" t="s">
        <v>852</v>
      </c>
      <c r="N590" s="264">
        <f>(N589/N10)/1.983</f>
        <v>128.59304084720119</v>
      </c>
      <c r="O590" s="264">
        <f>(O589/O10)/1.983</f>
        <v>173.62581946545637</v>
      </c>
      <c r="P590" s="264">
        <f>(P589/P10)/1.983</f>
        <v>241.19532152327037</v>
      </c>
      <c r="Q590" s="40" t="s">
        <v>852</v>
      </c>
      <c r="R590" s="40" t="s">
        <v>852</v>
      </c>
    </row>
    <row r="591" spans="1:20" ht="15.75" hidden="1" customHeight="1" x14ac:dyDescent="0.3">
      <c r="A591" s="17"/>
      <c r="B591" s="172"/>
      <c r="C591" s="172"/>
      <c r="D591" s="172"/>
      <c r="E591" s="172"/>
      <c r="F591" s="172"/>
      <c r="G591" s="172"/>
      <c r="H591" s="172"/>
      <c r="I591" s="172"/>
      <c r="J591" s="172"/>
      <c r="K591" s="172"/>
      <c r="L591" s="172"/>
      <c r="M591" s="172"/>
      <c r="N591" s="172"/>
      <c r="O591" s="172"/>
      <c r="P591" s="172"/>
      <c r="Q591" s="172"/>
      <c r="R591" s="17"/>
    </row>
    <row r="592" spans="1:20" ht="16.5" hidden="1" customHeight="1" thickBot="1" x14ac:dyDescent="0.35">
      <c r="A592" s="24"/>
      <c r="B592" s="238"/>
      <c r="C592" s="238"/>
      <c r="D592" s="238"/>
      <c r="E592" s="238"/>
      <c r="F592" s="238"/>
      <c r="G592" s="238"/>
      <c r="H592" s="238"/>
      <c r="I592" s="238"/>
      <c r="J592" s="238"/>
      <c r="K592" s="238"/>
      <c r="L592" s="238"/>
      <c r="M592" s="238"/>
      <c r="N592" s="238"/>
      <c r="O592" s="238"/>
      <c r="P592" s="238"/>
      <c r="Q592" s="238"/>
      <c r="R592" s="24"/>
    </row>
    <row r="593" spans="1:18" ht="16.5" hidden="1" customHeight="1" thickBot="1" x14ac:dyDescent="0.35">
      <c r="A593" s="278" t="s">
        <v>1537</v>
      </c>
      <c r="B593" s="4" t="s">
        <v>2090</v>
      </c>
      <c r="C593" s="5" t="s">
        <v>2091</v>
      </c>
      <c r="D593" s="5" t="s">
        <v>2234</v>
      </c>
      <c r="E593" s="33" t="s">
        <v>1594</v>
      </c>
      <c r="F593" s="5" t="s">
        <v>2235</v>
      </c>
      <c r="G593" s="5" t="s">
        <v>2236</v>
      </c>
      <c r="H593" s="5" t="s">
        <v>2237</v>
      </c>
      <c r="I593" s="35" t="s">
        <v>1595</v>
      </c>
      <c r="J593" s="5" t="s">
        <v>1504</v>
      </c>
      <c r="K593" s="5" t="s">
        <v>1505</v>
      </c>
      <c r="L593" s="5" t="s">
        <v>1506</v>
      </c>
      <c r="M593" s="35" t="s">
        <v>1596</v>
      </c>
      <c r="N593" s="5" t="s">
        <v>1507</v>
      </c>
      <c r="O593" s="5" t="s">
        <v>1508</v>
      </c>
      <c r="P593" s="5" t="s">
        <v>1509</v>
      </c>
      <c r="Q593" s="33" t="s">
        <v>1597</v>
      </c>
      <c r="R593" s="34" t="s">
        <v>1510</v>
      </c>
    </row>
    <row r="594" spans="1:18" ht="16.5" hidden="1" customHeight="1" thickBot="1" x14ac:dyDescent="0.35">
      <c r="A594" s="22"/>
      <c r="B594" s="242"/>
      <c r="C594" s="242"/>
      <c r="D594" s="242"/>
      <c r="E594" s="243"/>
      <c r="F594" s="242"/>
      <c r="G594" s="242"/>
      <c r="H594" s="242"/>
      <c r="I594" s="243"/>
      <c r="J594" s="242"/>
      <c r="K594" s="242"/>
      <c r="L594" s="242"/>
      <c r="M594" s="243"/>
      <c r="N594" s="242"/>
      <c r="O594" s="242"/>
      <c r="P594" s="242"/>
      <c r="Q594" s="279"/>
      <c r="R594" s="32"/>
    </row>
    <row r="595" spans="1:18" ht="16.5" hidden="1" customHeight="1" thickBot="1" x14ac:dyDescent="0.35">
      <c r="A595" s="244" t="s">
        <v>853</v>
      </c>
      <c r="B595" s="238">
        <v>20</v>
      </c>
      <c r="C595" s="238">
        <v>22</v>
      </c>
      <c r="D595" s="238">
        <v>28</v>
      </c>
      <c r="E595" s="38">
        <f>SUM(B595:D595)</f>
        <v>70</v>
      </c>
      <c r="F595" s="238">
        <v>37</v>
      </c>
      <c r="G595" s="238">
        <v>42</v>
      </c>
      <c r="H595" s="238">
        <v>44</v>
      </c>
      <c r="I595" s="38">
        <f>SUM(F595:H595)</f>
        <v>123</v>
      </c>
      <c r="J595" s="238">
        <v>39</v>
      </c>
      <c r="K595" s="238">
        <v>36</v>
      </c>
      <c r="L595" s="238">
        <v>34</v>
      </c>
      <c r="M595" s="38">
        <f>SUM(J595:L595)</f>
        <v>109</v>
      </c>
      <c r="N595" s="238">
        <v>29</v>
      </c>
      <c r="O595" s="238">
        <v>23</v>
      </c>
      <c r="P595" s="238">
        <v>19</v>
      </c>
      <c r="Q595" s="38">
        <f>SUM(N595:P595)</f>
        <v>71</v>
      </c>
      <c r="R595" s="38">
        <f>+E595+I595+M595+Q595</f>
        <v>373</v>
      </c>
    </row>
    <row r="596" spans="1:18" ht="16.5" hidden="1" customHeight="1" thickBot="1" x14ac:dyDescent="0.35">
      <c r="A596" s="22"/>
      <c r="B596" s="242"/>
      <c r="C596" s="242"/>
      <c r="D596" s="242"/>
      <c r="E596" s="233"/>
      <c r="F596" s="242"/>
      <c r="G596" s="242"/>
      <c r="H596" s="242"/>
      <c r="I596" s="233"/>
      <c r="J596" s="242"/>
      <c r="K596" s="242"/>
      <c r="L596" s="242"/>
      <c r="M596" s="233"/>
      <c r="N596" s="242"/>
      <c r="O596" s="242"/>
      <c r="P596" s="242"/>
      <c r="Q596" s="233"/>
      <c r="R596" s="21"/>
    </row>
    <row r="597" spans="1:18" ht="15.75" hidden="1" customHeight="1" x14ac:dyDescent="0.3">
      <c r="A597" s="259" t="s">
        <v>120</v>
      </c>
      <c r="B597" s="260">
        <f>B595</f>
        <v>20</v>
      </c>
      <c r="C597" s="260">
        <f>C595</f>
        <v>22</v>
      </c>
      <c r="D597" s="260">
        <f>D595</f>
        <v>28</v>
      </c>
      <c r="E597" s="39">
        <f>SUM(B597:D597)</f>
        <v>70</v>
      </c>
      <c r="F597" s="260">
        <f>F595</f>
        <v>37</v>
      </c>
      <c r="G597" s="260">
        <f>G595</f>
        <v>42</v>
      </c>
      <c r="H597" s="260">
        <f>H595</f>
        <v>44</v>
      </c>
      <c r="I597" s="39">
        <f>SUM(F597:H597)</f>
        <v>123</v>
      </c>
      <c r="J597" s="260">
        <f>J595</f>
        <v>39</v>
      </c>
      <c r="K597" s="260">
        <f>K595</f>
        <v>36</v>
      </c>
      <c r="L597" s="260">
        <f>L595</f>
        <v>34</v>
      </c>
      <c r="M597" s="39">
        <f>SUM(J597:L597)</f>
        <v>109</v>
      </c>
      <c r="N597" s="260">
        <f>N595</f>
        <v>29</v>
      </c>
      <c r="O597" s="260">
        <f>O595</f>
        <v>23</v>
      </c>
      <c r="P597" s="260">
        <f>P595</f>
        <v>19</v>
      </c>
      <c r="Q597" s="39">
        <f>SUM(N597:P597)</f>
        <v>71</v>
      </c>
      <c r="R597" s="39">
        <f>+E597+I597+M597+Q597</f>
        <v>373</v>
      </c>
    </row>
    <row r="598" spans="1:18" ht="15.75" hidden="1" customHeight="1" x14ac:dyDescent="0.3">
      <c r="A598" s="262" t="s">
        <v>1897</v>
      </c>
      <c r="B598" s="172">
        <f>(B597/B10)/1.983</f>
        <v>0.32534608689993977</v>
      </c>
      <c r="C598" s="172">
        <f>(C597/C10)/1.983</f>
        <v>0.38256212287199814</v>
      </c>
      <c r="D598" s="172">
        <f>(D597/D10)/1.983</f>
        <v>0.45548452165991571</v>
      </c>
      <c r="E598" s="38" t="s">
        <v>852</v>
      </c>
      <c r="F598" s="172">
        <f>(F597/F10)/1.983</f>
        <v>0.62195326945705165</v>
      </c>
      <c r="G598" s="172">
        <f>(G597/G10)/1.983</f>
        <v>0.68322678248987356</v>
      </c>
      <c r="H598" s="172">
        <f>(H597/H10)/1.983</f>
        <v>0.73962010421919644</v>
      </c>
      <c r="I598" s="38" t="s">
        <v>852</v>
      </c>
      <c r="J598" s="172">
        <f>(J597/J10)/1.983</f>
        <v>0.63442486945488263</v>
      </c>
      <c r="K598" s="172">
        <f>(K597/K10)/1.983</f>
        <v>0.5856229564198917</v>
      </c>
      <c r="L598" s="172">
        <f>(L597/L10)/1.983</f>
        <v>0.57152462598756093</v>
      </c>
      <c r="M598" s="38" t="s">
        <v>852</v>
      </c>
      <c r="N598" s="172">
        <f>(N597/N10)/1.983</f>
        <v>0.47175182600491267</v>
      </c>
      <c r="O598" s="172">
        <f>(O597/O10)/1.983</f>
        <v>0.38661959993276179</v>
      </c>
      <c r="P598" s="172">
        <f>(P597/P10)/1.983</f>
        <v>0.30907878255494281</v>
      </c>
      <c r="Q598" s="38" t="s">
        <v>852</v>
      </c>
      <c r="R598" s="38" t="s">
        <v>852</v>
      </c>
    </row>
    <row r="599" spans="1:18" ht="15.75" hidden="1" customHeight="1" x14ac:dyDescent="0.3">
      <c r="A599" s="262" t="s">
        <v>2019</v>
      </c>
      <c r="B599" s="172">
        <f>B597+B635</f>
        <v>7801</v>
      </c>
      <c r="C599" s="172">
        <f>C597+C635</f>
        <v>11460</v>
      </c>
      <c r="D599" s="172">
        <f>D597+D635</f>
        <v>17487</v>
      </c>
      <c r="E599" s="38">
        <f>SUM(B599:D599)</f>
        <v>36748</v>
      </c>
      <c r="F599" s="172">
        <f>F597+F635</f>
        <v>21076</v>
      </c>
      <c r="G599" s="172">
        <f>G597+G635</f>
        <v>22056</v>
      </c>
      <c r="H599" s="172">
        <f>H597+H635</f>
        <v>21109</v>
      </c>
      <c r="I599" s="38">
        <f>SUM(F599:H599)</f>
        <v>64241</v>
      </c>
      <c r="J599" s="172">
        <f>J597+J635</f>
        <v>21981</v>
      </c>
      <c r="K599" s="172">
        <f>K597+K635</f>
        <v>20142</v>
      </c>
      <c r="L599" s="172">
        <f>L597+L635</f>
        <v>19023</v>
      </c>
      <c r="M599" s="38">
        <f>SUM(J599:L599)</f>
        <v>61146</v>
      </c>
      <c r="N599" s="172">
        <f>N597+N635</f>
        <v>6368</v>
      </c>
      <c r="O599" s="172">
        <f>O597+O635</f>
        <v>7177</v>
      </c>
      <c r="P599" s="172">
        <f>P597+P635</f>
        <v>14315</v>
      </c>
      <c r="Q599" s="38">
        <f>SUM(N599:P599)</f>
        <v>27860</v>
      </c>
      <c r="R599" s="38">
        <f>+E599+I599+M599+Q599</f>
        <v>189995</v>
      </c>
    </row>
    <row r="600" spans="1:18" ht="16.5" hidden="1" customHeight="1" thickBot="1" x14ac:dyDescent="0.35">
      <c r="A600" s="263" t="s">
        <v>1332</v>
      </c>
      <c r="B600" s="264">
        <f>(B599/B10)/1.983</f>
        <v>126.90124119532152</v>
      </c>
      <c r="C600" s="264">
        <f>(C599/C10)/1.983</f>
        <v>199.28008764150451</v>
      </c>
      <c r="D600" s="264">
        <f>(D599/D10)/1.983</f>
        <v>284.4663510809624</v>
      </c>
      <c r="E600" s="40" t="s">
        <v>852</v>
      </c>
      <c r="F600" s="264">
        <f>(F599/F10)/1.983</f>
        <v>354.2780299209951</v>
      </c>
      <c r="G600" s="264">
        <f>(G599/G10)/1.983</f>
        <v>358.79166463325362</v>
      </c>
      <c r="H600" s="264">
        <f>(H599/H10)/1.983</f>
        <v>354.8327449991595</v>
      </c>
      <c r="I600" s="40" t="s">
        <v>852</v>
      </c>
      <c r="J600" s="264">
        <f>(J599/J10)/1.983</f>
        <v>357.57161680737886</v>
      </c>
      <c r="K600" s="264">
        <f>(K599/K10)/1.983</f>
        <v>327.65604411692937</v>
      </c>
      <c r="L600" s="264">
        <f>(L599/L10)/1.983</f>
        <v>319.76802824004034</v>
      </c>
      <c r="M600" s="40" t="s">
        <v>852</v>
      </c>
      <c r="N600" s="264">
        <f>(N599/N10)/1.983</f>
        <v>103.59019406894082</v>
      </c>
      <c r="O600" s="264">
        <f>(O599/O10)/1.983</f>
        <v>120.64212472684484</v>
      </c>
      <c r="P600" s="264">
        <f>(P599/P10)/1.983</f>
        <v>232.86646169863189</v>
      </c>
      <c r="Q600" s="40" t="s">
        <v>852</v>
      </c>
      <c r="R600" s="40" t="s">
        <v>852</v>
      </c>
    </row>
    <row r="601" spans="1:18" ht="15.75" hidden="1" customHeight="1" x14ac:dyDescent="0.3">
      <c r="A601" s="18"/>
      <c r="B601" s="172"/>
      <c r="C601" s="172"/>
      <c r="D601" s="172"/>
      <c r="E601" s="172"/>
      <c r="F601" s="172"/>
      <c r="G601" s="172"/>
      <c r="H601" s="172"/>
      <c r="I601" s="172"/>
      <c r="J601" s="172"/>
      <c r="K601" s="172"/>
      <c r="L601" s="172"/>
      <c r="M601" s="172"/>
      <c r="N601" s="172"/>
      <c r="O601" s="172"/>
      <c r="P601" s="172"/>
      <c r="Q601" s="172"/>
      <c r="R601" s="17"/>
    </row>
    <row r="602" spans="1:18" ht="15.75" hidden="1" customHeight="1" thickBot="1" x14ac:dyDescent="0.35">
      <c r="A602" s="18"/>
      <c r="B602" s="172"/>
      <c r="C602" s="172"/>
      <c r="D602" s="172"/>
      <c r="E602" s="172"/>
      <c r="F602" s="172"/>
      <c r="G602" s="172"/>
      <c r="H602" s="172"/>
      <c r="I602" s="172"/>
      <c r="J602" s="172"/>
      <c r="K602" s="172"/>
      <c r="L602" s="172"/>
      <c r="M602" s="172"/>
      <c r="N602" s="172"/>
      <c r="O602" s="172"/>
      <c r="P602" s="172"/>
      <c r="Q602" s="172"/>
      <c r="R602" s="17"/>
    </row>
    <row r="603" spans="1:18" ht="16.5" hidden="1" customHeight="1" thickBot="1" x14ac:dyDescent="0.35">
      <c r="A603" s="240" t="s">
        <v>1333</v>
      </c>
      <c r="B603" s="4" t="s">
        <v>2090</v>
      </c>
      <c r="C603" s="5" t="s">
        <v>2091</v>
      </c>
      <c r="D603" s="5" t="s">
        <v>2234</v>
      </c>
      <c r="E603" s="33" t="s">
        <v>1594</v>
      </c>
      <c r="F603" s="5" t="s">
        <v>2235</v>
      </c>
      <c r="G603" s="5" t="s">
        <v>2236</v>
      </c>
      <c r="H603" s="5" t="s">
        <v>2237</v>
      </c>
      <c r="I603" s="35" t="s">
        <v>1595</v>
      </c>
      <c r="J603" s="5" t="s">
        <v>1504</v>
      </c>
      <c r="K603" s="5" t="s">
        <v>1505</v>
      </c>
      <c r="L603" s="5" t="s">
        <v>1506</v>
      </c>
      <c r="M603" s="35" t="s">
        <v>1596</v>
      </c>
      <c r="N603" s="5" t="s">
        <v>1507</v>
      </c>
      <c r="O603" s="5" t="s">
        <v>1508</v>
      </c>
      <c r="P603" s="5" t="s">
        <v>1509</v>
      </c>
      <c r="Q603" s="35" t="s">
        <v>1597</v>
      </c>
      <c r="R603" s="36" t="s">
        <v>1510</v>
      </c>
    </row>
    <row r="604" spans="1:18" ht="16.5" hidden="1" customHeight="1" thickBot="1" x14ac:dyDescent="0.35">
      <c r="A604" s="22"/>
      <c r="B604" s="242"/>
      <c r="C604" s="242"/>
      <c r="D604" s="242"/>
      <c r="E604" s="233"/>
      <c r="F604" s="242"/>
      <c r="G604" s="242"/>
      <c r="H604" s="242"/>
      <c r="I604" s="233"/>
      <c r="J604" s="242"/>
      <c r="K604" s="242"/>
      <c r="L604" s="242"/>
      <c r="M604" s="233"/>
      <c r="N604" s="242"/>
      <c r="O604" s="242"/>
      <c r="P604" s="242"/>
      <c r="Q604" s="233"/>
      <c r="R604" s="19"/>
    </row>
    <row r="605" spans="1:18" ht="15.75" hidden="1" customHeight="1" x14ac:dyDescent="0.3">
      <c r="A605" s="234" t="s">
        <v>2417</v>
      </c>
      <c r="B605" s="172" t="s">
        <v>852</v>
      </c>
      <c r="C605" s="172" t="s">
        <v>852</v>
      </c>
      <c r="D605" s="172" t="s">
        <v>852</v>
      </c>
      <c r="E605" s="38" t="s">
        <v>852</v>
      </c>
      <c r="F605" s="172" t="s">
        <v>852</v>
      </c>
      <c r="G605" s="172" t="s">
        <v>852</v>
      </c>
      <c r="H605" s="172" t="s">
        <v>852</v>
      </c>
      <c r="I605" s="38" t="s">
        <v>852</v>
      </c>
      <c r="J605" s="172" t="s">
        <v>852</v>
      </c>
      <c r="K605" s="172" t="s">
        <v>852</v>
      </c>
      <c r="L605" s="172" t="s">
        <v>852</v>
      </c>
      <c r="M605" s="38" t="s">
        <v>852</v>
      </c>
      <c r="N605" s="172" t="s">
        <v>852</v>
      </c>
      <c r="O605" s="172" t="s">
        <v>852</v>
      </c>
      <c r="P605" s="172" t="s">
        <v>852</v>
      </c>
      <c r="Q605" s="38" t="s">
        <v>852</v>
      </c>
      <c r="R605" s="38" t="s">
        <v>852</v>
      </c>
    </row>
    <row r="606" spans="1:18" ht="15.75" hidden="1" customHeight="1" x14ac:dyDescent="0.3">
      <c r="A606" s="234" t="s">
        <v>2160</v>
      </c>
      <c r="B606" s="172"/>
      <c r="C606" s="172"/>
      <c r="D606" s="172"/>
      <c r="E606" s="38" t="s">
        <v>852</v>
      </c>
      <c r="F606" s="172"/>
      <c r="G606" s="172"/>
      <c r="H606" s="172"/>
      <c r="I606" s="38" t="s">
        <v>852</v>
      </c>
      <c r="J606" s="172"/>
      <c r="K606" s="172"/>
      <c r="L606" s="172"/>
      <c r="M606" s="38" t="s">
        <v>852</v>
      </c>
      <c r="N606" s="172"/>
      <c r="O606" s="172"/>
      <c r="P606" s="172"/>
      <c r="Q606" s="38" t="s">
        <v>852</v>
      </c>
      <c r="R606" s="38" t="s">
        <v>852</v>
      </c>
    </row>
    <row r="607" spans="1:18" ht="15.75" hidden="1" customHeight="1" x14ac:dyDescent="0.3">
      <c r="A607" s="539" t="s">
        <v>2747</v>
      </c>
      <c r="B607" s="172">
        <v>100</v>
      </c>
      <c r="C607" s="172">
        <v>150</v>
      </c>
      <c r="D607" s="172">
        <v>329</v>
      </c>
      <c r="E607" s="38">
        <f>SUM(B607:D607)</f>
        <v>579</v>
      </c>
      <c r="F607" s="172">
        <v>150</v>
      </c>
      <c r="G607" s="172">
        <v>440</v>
      </c>
      <c r="H607" s="172">
        <v>870</v>
      </c>
      <c r="I607" s="38">
        <f>SUM(F607:H607)</f>
        <v>1460</v>
      </c>
      <c r="J607" s="172">
        <v>1456</v>
      </c>
      <c r="K607" s="172">
        <v>1822</v>
      </c>
      <c r="L607" s="172">
        <v>1410</v>
      </c>
      <c r="M607" s="38">
        <f>SUM(J607:L607)</f>
        <v>4688</v>
      </c>
      <c r="N607" s="172">
        <v>567</v>
      </c>
      <c r="O607" s="172">
        <v>32</v>
      </c>
      <c r="P607" s="172">
        <v>194</v>
      </c>
      <c r="Q607" s="38">
        <f>SUM(N607:P607)</f>
        <v>793</v>
      </c>
      <c r="R607" s="38">
        <f>+E607+I607+M607+Q607</f>
        <v>7520</v>
      </c>
    </row>
    <row r="608" spans="1:18" ht="15.75" hidden="1" customHeight="1" x14ac:dyDescent="0.3">
      <c r="A608" s="539" t="s">
        <v>2748</v>
      </c>
      <c r="B608" s="172"/>
      <c r="C608" s="172">
        <v>493</v>
      </c>
      <c r="D608" s="172">
        <v>449</v>
      </c>
      <c r="E608" s="38">
        <f>SUM(B608:D608)</f>
        <v>942</v>
      </c>
      <c r="F608" s="172">
        <v>318</v>
      </c>
      <c r="G608" s="172">
        <v>677</v>
      </c>
      <c r="H608" s="172">
        <v>759</v>
      </c>
      <c r="I608" s="38">
        <f>SUM(F608:H608)</f>
        <v>1754</v>
      </c>
      <c r="J608" s="172">
        <v>661</v>
      </c>
      <c r="K608" s="172">
        <v>274</v>
      </c>
      <c r="L608" s="172">
        <v>339</v>
      </c>
      <c r="M608" s="38">
        <f>SUM(J608:L608)</f>
        <v>1274</v>
      </c>
      <c r="N608" s="172">
        <v>129</v>
      </c>
      <c r="O608" s="172"/>
      <c r="P608" s="172"/>
      <c r="Q608" s="38">
        <f>SUM(N608:P608)</f>
        <v>129</v>
      </c>
      <c r="R608" s="38">
        <f>+E608+I608+M608+Q608</f>
        <v>4099</v>
      </c>
    </row>
    <row r="609" spans="1:18" ht="15.75" hidden="1" customHeight="1" x14ac:dyDescent="0.3">
      <c r="A609" s="266" t="s">
        <v>537</v>
      </c>
      <c r="B609" s="172"/>
      <c r="C609" s="172"/>
      <c r="D609" s="172"/>
      <c r="E609" s="38">
        <f>SUM(B609:D609)</f>
        <v>0</v>
      </c>
      <c r="F609" s="172"/>
      <c r="G609" s="172"/>
      <c r="H609" s="172"/>
      <c r="I609" s="38">
        <f>SUM(F609:H609)</f>
        <v>0</v>
      </c>
      <c r="J609" s="172"/>
      <c r="K609" s="172"/>
      <c r="L609" s="172"/>
      <c r="M609" s="38">
        <f>SUM(J609:L609)</f>
        <v>0</v>
      </c>
      <c r="N609" s="172"/>
      <c r="O609" s="172"/>
      <c r="P609" s="172"/>
      <c r="Q609" s="38">
        <f>SUM(N609:P609)</f>
        <v>0</v>
      </c>
      <c r="R609" s="38">
        <f>+E609+I609+M609+Q609</f>
        <v>0</v>
      </c>
    </row>
    <row r="610" spans="1:18" ht="15.75" hidden="1" customHeight="1" x14ac:dyDescent="0.3">
      <c r="A610" s="234" t="s">
        <v>2161</v>
      </c>
      <c r="B610" s="172"/>
      <c r="C610" s="172"/>
      <c r="D610" s="172"/>
      <c r="E610" s="38" t="s">
        <v>852</v>
      </c>
      <c r="F610" s="172"/>
      <c r="G610" s="172"/>
      <c r="H610" s="172"/>
      <c r="I610" s="38" t="s">
        <v>852</v>
      </c>
      <c r="J610" s="172"/>
      <c r="K610" s="172"/>
      <c r="L610" s="172"/>
      <c r="M610" s="38" t="s">
        <v>852</v>
      </c>
      <c r="N610" s="172"/>
      <c r="O610" s="172"/>
      <c r="P610" s="172"/>
      <c r="Q610" s="38" t="s">
        <v>852</v>
      </c>
      <c r="R610" s="38" t="s">
        <v>852</v>
      </c>
    </row>
    <row r="611" spans="1:18" ht="15.75" hidden="1" customHeight="1" x14ac:dyDescent="0.3">
      <c r="A611" s="234" t="s">
        <v>2162</v>
      </c>
      <c r="B611" s="172"/>
      <c r="C611" s="172"/>
      <c r="D611" s="172"/>
      <c r="E611" s="38" t="s">
        <v>852</v>
      </c>
      <c r="F611" s="172"/>
      <c r="G611" s="172"/>
      <c r="H611" s="172"/>
      <c r="I611" s="38" t="s">
        <v>852</v>
      </c>
      <c r="J611" s="172"/>
      <c r="K611" s="172"/>
      <c r="L611" s="172"/>
      <c r="M611" s="38" t="s">
        <v>852</v>
      </c>
      <c r="N611" s="172"/>
      <c r="O611" s="172"/>
      <c r="P611" s="172"/>
      <c r="Q611" s="38" t="s">
        <v>852</v>
      </c>
      <c r="R611" s="38" t="s">
        <v>852</v>
      </c>
    </row>
    <row r="612" spans="1:18" ht="15.75" hidden="1" customHeight="1" thickBot="1" x14ac:dyDescent="0.35">
      <c r="A612" s="234" t="s">
        <v>2164</v>
      </c>
      <c r="B612" s="172"/>
      <c r="C612" s="172"/>
      <c r="D612" s="172"/>
      <c r="E612" s="38" t="s">
        <v>852</v>
      </c>
      <c r="F612" s="172"/>
      <c r="G612" s="172"/>
      <c r="H612" s="172"/>
      <c r="I612" s="38" t="s">
        <v>852</v>
      </c>
      <c r="J612" s="172"/>
      <c r="K612" s="172"/>
      <c r="L612" s="172"/>
      <c r="M612" s="38" t="s">
        <v>852</v>
      </c>
      <c r="N612" s="172"/>
      <c r="O612" s="172"/>
      <c r="P612" s="172"/>
      <c r="Q612" s="38" t="s">
        <v>852</v>
      </c>
      <c r="R612" s="38" t="s">
        <v>852</v>
      </c>
    </row>
    <row r="613" spans="1:18" ht="16.5" hidden="1" customHeight="1" thickBot="1" x14ac:dyDescent="0.35">
      <c r="A613" s="276" t="s">
        <v>1218</v>
      </c>
      <c r="B613" s="45">
        <f>SUM(B605:B612)</f>
        <v>100</v>
      </c>
      <c r="C613" s="46">
        <f>SUM(C605:C612)</f>
        <v>643</v>
      </c>
      <c r="D613" s="46">
        <f>SUM(D605:D612)</f>
        <v>778</v>
      </c>
      <c r="E613" s="37">
        <f>SUM(B613:D613)</f>
        <v>1521</v>
      </c>
      <c r="F613" s="46">
        <f>SUM(F605:F612)</f>
        <v>468</v>
      </c>
      <c r="G613" s="46">
        <f>SUM(G605:G612)</f>
        <v>1117</v>
      </c>
      <c r="H613" s="46">
        <f>SUM(H605:H612)</f>
        <v>1629</v>
      </c>
      <c r="I613" s="37">
        <f>SUM(F613:H613)</f>
        <v>3214</v>
      </c>
      <c r="J613" s="46">
        <f>SUM(J605:J612)</f>
        <v>2117</v>
      </c>
      <c r="K613" s="46">
        <f>SUM(K605:K612)</f>
        <v>2096</v>
      </c>
      <c r="L613" s="46">
        <f>SUM(L605:L612)</f>
        <v>1749</v>
      </c>
      <c r="M613" s="37">
        <f>SUM(J613:L613)</f>
        <v>5962</v>
      </c>
      <c r="N613" s="46">
        <f>SUM(N605:N612)</f>
        <v>696</v>
      </c>
      <c r="O613" s="46">
        <f>SUM(O605:O612)</f>
        <v>32</v>
      </c>
      <c r="P613" s="46">
        <f>SUM(P605:P612)</f>
        <v>194</v>
      </c>
      <c r="Q613" s="37">
        <f>SUM(N613:P613)</f>
        <v>922</v>
      </c>
      <c r="R613" s="37">
        <f>+E613+I613+M613+Q613</f>
        <v>11619</v>
      </c>
    </row>
    <row r="614" spans="1:18" ht="15.75" hidden="1" customHeight="1" x14ac:dyDescent="0.3">
      <c r="A614" s="234" t="s">
        <v>1172</v>
      </c>
      <c r="B614" s="172"/>
      <c r="C614" s="172"/>
      <c r="D614" s="172"/>
      <c r="E614" s="38" t="s">
        <v>852</v>
      </c>
      <c r="F614" s="172"/>
      <c r="G614" s="172"/>
      <c r="H614" s="172"/>
      <c r="I614" s="38" t="s">
        <v>852</v>
      </c>
      <c r="J614" s="172"/>
      <c r="K614" s="172"/>
      <c r="L614" s="172"/>
      <c r="M614" s="38" t="s">
        <v>852</v>
      </c>
      <c r="N614" s="172"/>
      <c r="O614" s="172"/>
      <c r="P614" s="172"/>
      <c r="Q614" s="38" t="s">
        <v>852</v>
      </c>
      <c r="R614" s="38" t="s">
        <v>852</v>
      </c>
    </row>
    <row r="615" spans="1:18" ht="15.75" hidden="1" customHeight="1" x14ac:dyDescent="0.3">
      <c r="A615" s="234" t="s">
        <v>2409</v>
      </c>
      <c r="B615" s="172"/>
      <c r="C615" s="172"/>
      <c r="D615" s="172"/>
      <c r="E615" s="38" t="s">
        <v>852</v>
      </c>
      <c r="F615" s="172"/>
      <c r="G615" s="172"/>
      <c r="H615" s="172"/>
      <c r="I615" s="38" t="s">
        <v>852</v>
      </c>
      <c r="J615" s="172"/>
      <c r="K615" s="172"/>
      <c r="L615" s="172"/>
      <c r="M615" s="38" t="s">
        <v>852</v>
      </c>
      <c r="N615" s="172"/>
      <c r="O615" s="172"/>
      <c r="P615" s="172"/>
      <c r="Q615" s="38" t="s">
        <v>852</v>
      </c>
      <c r="R615" s="38" t="s">
        <v>852</v>
      </c>
    </row>
    <row r="616" spans="1:18" ht="15.75" hidden="1" customHeight="1" thickBot="1" x14ac:dyDescent="0.35">
      <c r="A616" s="234" t="s">
        <v>2165</v>
      </c>
      <c r="B616" s="172"/>
      <c r="C616" s="172"/>
      <c r="D616" s="172"/>
      <c r="E616" s="38" t="s">
        <v>852</v>
      </c>
      <c r="F616" s="172"/>
      <c r="G616" s="172"/>
      <c r="H616" s="172"/>
      <c r="I616" s="38" t="s">
        <v>852</v>
      </c>
      <c r="J616" s="172"/>
      <c r="K616" s="172"/>
      <c r="L616" s="172"/>
      <c r="M616" s="38" t="s">
        <v>852</v>
      </c>
      <c r="N616" s="172"/>
      <c r="O616" s="172"/>
      <c r="P616" s="172"/>
      <c r="Q616" s="38" t="s">
        <v>852</v>
      </c>
      <c r="R616" s="38" t="s">
        <v>852</v>
      </c>
    </row>
    <row r="617" spans="1:18" ht="16.5" hidden="1" customHeight="1" thickBot="1" x14ac:dyDescent="0.35">
      <c r="A617" s="43" t="s">
        <v>1219</v>
      </c>
      <c r="B617" s="45">
        <f>SUM(B614:B616)</f>
        <v>0</v>
      </c>
      <c r="C617" s="46">
        <f>SUM(C614:C616)</f>
        <v>0</v>
      </c>
      <c r="D617" s="46">
        <f>SUM(D614:D616)</f>
        <v>0</v>
      </c>
      <c r="E617" s="37">
        <f>SUM(B617:D617)</f>
        <v>0</v>
      </c>
      <c r="F617" s="46">
        <f>SUM(F614:F616)</f>
        <v>0</v>
      </c>
      <c r="G617" s="46">
        <f>SUM(G614:G616)</f>
        <v>0</v>
      </c>
      <c r="H617" s="46">
        <f>SUM(H614:H616)</f>
        <v>0</v>
      </c>
      <c r="I617" s="37">
        <f>SUM(F617:H617)</f>
        <v>0</v>
      </c>
      <c r="J617" s="46">
        <f>SUM(J614:J616)</f>
        <v>0</v>
      </c>
      <c r="K617" s="46">
        <f>SUM(K614:K616)</f>
        <v>0</v>
      </c>
      <c r="L617" s="46">
        <f>SUM(L614:L616)</f>
        <v>0</v>
      </c>
      <c r="M617" s="37">
        <f>SUM(J617:L617)</f>
        <v>0</v>
      </c>
      <c r="N617" s="46">
        <f>SUM(N614:N616)</f>
        <v>0</v>
      </c>
      <c r="O617" s="46">
        <f>SUM(O614:O616)</f>
        <v>0</v>
      </c>
      <c r="P617" s="46">
        <f>SUM(P614:P616)</f>
        <v>0</v>
      </c>
      <c r="Q617" s="37">
        <f>SUM(N617:P617)</f>
        <v>0</v>
      </c>
      <c r="R617" s="37">
        <f>+E617+I617+M617+Q617</f>
        <v>0</v>
      </c>
    </row>
    <row r="618" spans="1:18" ht="15.75" hidden="1" customHeight="1" x14ac:dyDescent="0.3">
      <c r="A618" s="234" t="s">
        <v>2166</v>
      </c>
      <c r="B618" s="172"/>
      <c r="C618" s="172"/>
      <c r="D618" s="172"/>
      <c r="E618" s="38" t="s">
        <v>852</v>
      </c>
      <c r="F618" s="172"/>
      <c r="G618" s="172"/>
      <c r="H618" s="172"/>
      <c r="I618" s="38" t="s">
        <v>852</v>
      </c>
      <c r="J618" s="172"/>
      <c r="K618" s="172"/>
      <c r="L618" s="172"/>
      <c r="M618" s="38" t="s">
        <v>852</v>
      </c>
      <c r="N618" s="172"/>
      <c r="O618" s="172"/>
      <c r="P618" s="172"/>
      <c r="Q618" s="38" t="s">
        <v>852</v>
      </c>
      <c r="R618" s="38" t="s">
        <v>852</v>
      </c>
    </row>
    <row r="619" spans="1:18" ht="15.75" hidden="1" customHeight="1" x14ac:dyDescent="0.3">
      <c r="A619" s="234" t="s">
        <v>1245</v>
      </c>
      <c r="B619" s="172"/>
      <c r="C619" s="172"/>
      <c r="D619" s="172"/>
      <c r="E619" s="38" t="s">
        <v>852</v>
      </c>
      <c r="F619" s="172"/>
      <c r="G619" s="172"/>
      <c r="H619" s="172"/>
      <c r="I619" s="38" t="s">
        <v>852</v>
      </c>
      <c r="J619" s="172"/>
      <c r="K619" s="172"/>
      <c r="L619" s="172"/>
      <c r="M619" s="38" t="s">
        <v>852</v>
      </c>
      <c r="N619" s="172"/>
      <c r="O619" s="172"/>
      <c r="P619" s="172"/>
      <c r="Q619" s="38" t="s">
        <v>852</v>
      </c>
      <c r="R619" s="38" t="s">
        <v>852</v>
      </c>
    </row>
    <row r="620" spans="1:18" ht="15.75" hidden="1" customHeight="1" thickBot="1" x14ac:dyDescent="0.35">
      <c r="A620" s="234" t="s">
        <v>1711</v>
      </c>
      <c r="B620" s="172"/>
      <c r="C620" s="172"/>
      <c r="D620" s="172"/>
      <c r="E620" s="38" t="s">
        <v>852</v>
      </c>
      <c r="F620" s="172"/>
      <c r="G620" s="172"/>
      <c r="H620" s="172"/>
      <c r="I620" s="38" t="s">
        <v>852</v>
      </c>
      <c r="J620" s="172"/>
      <c r="K620" s="172"/>
      <c r="L620" s="172"/>
      <c r="M620" s="38" t="s">
        <v>852</v>
      </c>
      <c r="N620" s="172"/>
      <c r="O620" s="172"/>
      <c r="P620" s="172"/>
      <c r="Q620" s="38" t="s">
        <v>852</v>
      </c>
      <c r="R620" s="38" t="s">
        <v>852</v>
      </c>
    </row>
    <row r="621" spans="1:18" ht="16.5" hidden="1" customHeight="1" thickBot="1" x14ac:dyDescent="0.35">
      <c r="A621" s="277" t="s">
        <v>1220</v>
      </c>
      <c r="B621" s="45">
        <f>SUM(B618:B620)</f>
        <v>0</v>
      </c>
      <c r="C621" s="46">
        <f>SUM(C618:C620)</f>
        <v>0</v>
      </c>
      <c r="D621" s="46">
        <f>SUM(D618:D620)</f>
        <v>0</v>
      </c>
      <c r="E621" s="37">
        <f>SUM(B621:D621)</f>
        <v>0</v>
      </c>
      <c r="F621" s="46">
        <f>SUM(F618:F620)</f>
        <v>0</v>
      </c>
      <c r="G621" s="46">
        <f>SUM(G618:G620)</f>
        <v>0</v>
      </c>
      <c r="H621" s="46">
        <f>SUM(H618:H620)</f>
        <v>0</v>
      </c>
      <c r="I621" s="37">
        <f>SUM(F621:H621)</f>
        <v>0</v>
      </c>
      <c r="J621" s="46">
        <f>SUM(J618:J620)</f>
        <v>0</v>
      </c>
      <c r="K621" s="46">
        <f>SUM(K618:K620)</f>
        <v>0</v>
      </c>
      <c r="L621" s="46">
        <f>SUM(L618:L620)</f>
        <v>0</v>
      </c>
      <c r="M621" s="37">
        <f>SUM(J621:L621)</f>
        <v>0</v>
      </c>
      <c r="N621" s="46">
        <f>SUM(N618:N620)</f>
        <v>0</v>
      </c>
      <c r="O621" s="46">
        <f>SUM(O618:O620)</f>
        <v>0</v>
      </c>
      <c r="P621" s="46">
        <f>SUM(P618:P620)</f>
        <v>0</v>
      </c>
      <c r="Q621" s="37">
        <f>SUM(N621:P621)</f>
        <v>0</v>
      </c>
      <c r="R621" s="37">
        <f>+E621+I621+M621+Q621</f>
        <v>0</v>
      </c>
    </row>
    <row r="622" spans="1:18" ht="15.75" hidden="1" customHeight="1" x14ac:dyDescent="0.3">
      <c r="A622" s="234" t="s">
        <v>1712</v>
      </c>
      <c r="B622" s="172"/>
      <c r="C622" s="172"/>
      <c r="D622" s="172"/>
      <c r="E622" s="38" t="s">
        <v>852</v>
      </c>
      <c r="F622" s="172"/>
      <c r="G622" s="172"/>
      <c r="H622" s="172"/>
      <c r="I622" s="38" t="s">
        <v>852</v>
      </c>
      <c r="J622" s="172"/>
      <c r="K622" s="172"/>
      <c r="L622" s="172"/>
      <c r="M622" s="38" t="s">
        <v>852</v>
      </c>
      <c r="N622" s="172"/>
      <c r="O622" s="172"/>
      <c r="P622" s="172"/>
      <c r="Q622" s="38" t="s">
        <v>852</v>
      </c>
      <c r="R622" s="38" t="s">
        <v>852</v>
      </c>
    </row>
    <row r="623" spans="1:18" ht="15.75" hidden="1" customHeight="1" x14ac:dyDescent="0.3">
      <c r="A623" s="234" t="s">
        <v>1021</v>
      </c>
      <c r="B623" s="172"/>
      <c r="C623" s="172"/>
      <c r="D623" s="172"/>
      <c r="E623" s="38" t="s">
        <v>852</v>
      </c>
      <c r="F623" s="172"/>
      <c r="G623" s="172"/>
      <c r="H623" s="172"/>
      <c r="I623" s="38" t="s">
        <v>852</v>
      </c>
      <c r="J623" s="172"/>
      <c r="K623" s="172"/>
      <c r="L623" s="172"/>
      <c r="M623" s="38" t="s">
        <v>852</v>
      </c>
      <c r="N623" s="172"/>
      <c r="O623" s="172"/>
      <c r="P623" s="172"/>
      <c r="Q623" s="38" t="s">
        <v>852</v>
      </c>
      <c r="R623" s="38" t="s">
        <v>852</v>
      </c>
    </row>
    <row r="624" spans="1:18" ht="15.75" hidden="1" customHeight="1" x14ac:dyDescent="0.3">
      <c r="A624" s="234" t="s">
        <v>557</v>
      </c>
      <c r="B624" s="172"/>
      <c r="C624" s="172"/>
      <c r="D624" s="172"/>
      <c r="E624" s="38" t="s">
        <v>852</v>
      </c>
      <c r="F624" s="172"/>
      <c r="G624" s="172"/>
      <c r="H624" s="172"/>
      <c r="I624" s="38" t="s">
        <v>852</v>
      </c>
      <c r="J624" s="172"/>
      <c r="K624" s="172"/>
      <c r="L624" s="172"/>
      <c r="M624" s="38" t="s">
        <v>852</v>
      </c>
      <c r="N624" s="172"/>
      <c r="O624" s="172"/>
      <c r="P624" s="172"/>
      <c r="Q624" s="38" t="s">
        <v>852</v>
      </c>
      <c r="R624" s="38" t="s">
        <v>852</v>
      </c>
    </row>
    <row r="625" spans="1:18" ht="15.75" hidden="1" customHeight="1" x14ac:dyDescent="0.3">
      <c r="A625" s="539" t="s">
        <v>2584</v>
      </c>
      <c r="B625" s="172"/>
      <c r="C625" s="172"/>
      <c r="D625" s="172"/>
      <c r="E625" s="38">
        <f>SUM(B625:D625)</f>
        <v>0</v>
      </c>
      <c r="F625" s="172"/>
      <c r="G625" s="172"/>
      <c r="H625" s="172"/>
      <c r="I625" s="38">
        <f>SUM(F625:H625)</f>
        <v>0</v>
      </c>
      <c r="J625" s="172"/>
      <c r="K625" s="172"/>
      <c r="L625" s="172"/>
      <c r="M625" s="38">
        <f>SUM(J625:L625)</f>
        <v>0</v>
      </c>
      <c r="N625" s="172"/>
      <c r="O625" s="172"/>
      <c r="P625" s="172"/>
      <c r="Q625" s="38">
        <f>SUM(N625:P625)</f>
        <v>0</v>
      </c>
      <c r="R625" s="38">
        <f>+E625+I625+M625+Q625</f>
        <v>0</v>
      </c>
    </row>
    <row r="626" spans="1:18" ht="15.75" hidden="1" customHeight="1" x14ac:dyDescent="0.3">
      <c r="A626" s="234" t="s">
        <v>1022</v>
      </c>
      <c r="B626" s="172"/>
      <c r="C626" s="172"/>
      <c r="D626" s="172"/>
      <c r="E626" s="38" t="s">
        <v>852</v>
      </c>
      <c r="F626" s="172"/>
      <c r="G626" s="172"/>
      <c r="H626" s="172"/>
      <c r="I626" s="38" t="s">
        <v>852</v>
      </c>
      <c r="J626" s="172"/>
      <c r="K626" s="172"/>
      <c r="L626" s="172"/>
      <c r="M626" s="38" t="s">
        <v>852</v>
      </c>
      <c r="N626" s="172"/>
      <c r="O626" s="172"/>
      <c r="P626" s="172"/>
      <c r="Q626" s="38" t="s">
        <v>852</v>
      </c>
      <c r="R626" s="38" t="s">
        <v>852</v>
      </c>
    </row>
    <row r="627" spans="1:18" ht="15.75" hidden="1" customHeight="1" thickBot="1" x14ac:dyDescent="0.35">
      <c r="A627" s="234" t="s">
        <v>559</v>
      </c>
      <c r="B627" s="172"/>
      <c r="C627" s="172"/>
      <c r="D627" s="172"/>
      <c r="E627" s="38" t="s">
        <v>852</v>
      </c>
      <c r="F627" s="172"/>
      <c r="G627" s="172"/>
      <c r="H627" s="172"/>
      <c r="I627" s="38" t="s">
        <v>852</v>
      </c>
      <c r="J627" s="172"/>
      <c r="K627" s="172"/>
      <c r="L627" s="172"/>
      <c r="M627" s="38" t="s">
        <v>852</v>
      </c>
      <c r="N627" s="172"/>
      <c r="O627" s="172"/>
      <c r="P627" s="172"/>
      <c r="Q627" s="38" t="s">
        <v>852</v>
      </c>
      <c r="R627" s="38" t="s">
        <v>852</v>
      </c>
    </row>
    <row r="628" spans="1:18" ht="16.5" hidden="1" customHeight="1" thickBot="1" x14ac:dyDescent="0.35">
      <c r="A628" s="43" t="s">
        <v>1019</v>
      </c>
      <c r="B628" s="42">
        <f>SUM(B626:B627)</f>
        <v>0</v>
      </c>
      <c r="C628" s="42">
        <f>SUM(C626:C627)</f>
        <v>0</v>
      </c>
      <c r="D628" s="42">
        <f>SUM(D626:D627)</f>
        <v>0</v>
      </c>
      <c r="E628" s="39">
        <f>SUM(B628:D628)</f>
        <v>0</v>
      </c>
      <c r="F628" s="42">
        <f>SUM(F626:F627)</f>
        <v>0</v>
      </c>
      <c r="G628" s="42">
        <f>SUM(G626:G627)</f>
        <v>0</v>
      </c>
      <c r="H628" s="42">
        <f>SUM(H626:H627)</f>
        <v>0</v>
      </c>
      <c r="I628" s="39">
        <f>SUM(F628:H628)</f>
        <v>0</v>
      </c>
      <c r="J628" s="42">
        <f>SUM(J626:J627)</f>
        <v>0</v>
      </c>
      <c r="K628" s="42">
        <f>SUM(K626:K627)</f>
        <v>0</v>
      </c>
      <c r="L628" s="42">
        <f>SUM(L626:L627)</f>
        <v>0</v>
      </c>
      <c r="M628" s="39">
        <f>SUM(J628:L628)</f>
        <v>0</v>
      </c>
      <c r="N628" s="42">
        <f>SUM(N626:N627)</f>
        <v>0</v>
      </c>
      <c r="O628" s="42">
        <f>SUM(O626:O627)</f>
        <v>0</v>
      </c>
      <c r="P628" s="42">
        <f>SUM(P626:P627)</f>
        <v>0</v>
      </c>
      <c r="Q628" s="39">
        <f>SUM(N628:P628)</f>
        <v>0</v>
      </c>
      <c r="R628" s="37">
        <f>+E628+I628+M628+Q628</f>
        <v>0</v>
      </c>
    </row>
    <row r="629" spans="1:18" ht="16.5" hidden="1" customHeight="1" thickBot="1" x14ac:dyDescent="0.35">
      <c r="A629" s="277" t="s">
        <v>1221</v>
      </c>
      <c r="B629" s="45">
        <f>SUM(B622:B627)</f>
        <v>0</v>
      </c>
      <c r="C629" s="46">
        <f>SUM(C622:C627)</f>
        <v>0</v>
      </c>
      <c r="D629" s="58">
        <f>SUM(D622:D627)</f>
        <v>0</v>
      </c>
      <c r="E629" s="39">
        <f>SUM(B629:D629)</f>
        <v>0</v>
      </c>
      <c r="F629" s="46">
        <f>SUM(F622:F627)</f>
        <v>0</v>
      </c>
      <c r="G629" s="46">
        <f>SUM(G622:G627)</f>
        <v>0</v>
      </c>
      <c r="H629" s="46">
        <f>SUM(H622:H627)</f>
        <v>0</v>
      </c>
      <c r="I629" s="39">
        <f>SUM(F629:H629)</f>
        <v>0</v>
      </c>
      <c r="J629" s="46">
        <f>SUM(J622:J627)</f>
        <v>0</v>
      </c>
      <c r="K629" s="46">
        <f>SUM(K622:K627)</f>
        <v>0</v>
      </c>
      <c r="L629" s="46">
        <f>SUM(L622:L627)</f>
        <v>0</v>
      </c>
      <c r="M629" s="39">
        <f>SUM(J629:L629)</f>
        <v>0</v>
      </c>
      <c r="N629" s="46">
        <f>SUM(N622:N627)</f>
        <v>0</v>
      </c>
      <c r="O629" s="46">
        <f>SUM(O622:O627)</f>
        <v>0</v>
      </c>
      <c r="P629" s="46">
        <f>SUM(P622:P627)</f>
        <v>0</v>
      </c>
      <c r="Q629" s="39">
        <f>SUM(N629:P629)</f>
        <v>0</v>
      </c>
      <c r="R629" s="37">
        <f>+E629+I629+M629+Q629</f>
        <v>0</v>
      </c>
    </row>
    <row r="630" spans="1:18" ht="16.5" hidden="1" customHeight="1" thickBot="1" x14ac:dyDescent="0.35">
      <c r="A630" s="43" t="s">
        <v>1222</v>
      </c>
      <c r="B630" s="47">
        <f>+B613+B617+B621+B629</f>
        <v>100</v>
      </c>
      <c r="C630" s="42">
        <f>+C613+C617+C621+C629</f>
        <v>643</v>
      </c>
      <c r="D630" s="42">
        <f>+D613+D617+D621+D629</f>
        <v>778</v>
      </c>
      <c r="E630" s="37">
        <f>SUM(B630:D630)</f>
        <v>1521</v>
      </c>
      <c r="F630" s="42">
        <f>+F613+F617+F621+F629</f>
        <v>468</v>
      </c>
      <c r="G630" s="42">
        <f>+G613+G617+G621+G629</f>
        <v>1117</v>
      </c>
      <c r="H630" s="42">
        <f>+H613+H617+H621+H629</f>
        <v>1629</v>
      </c>
      <c r="I630" s="37">
        <f>SUM(F630:H630)</f>
        <v>3214</v>
      </c>
      <c r="J630" s="42">
        <f>+J613+J617+J621+J629</f>
        <v>2117</v>
      </c>
      <c r="K630" s="42">
        <f>+K613+K617+K621+K629</f>
        <v>2096</v>
      </c>
      <c r="L630" s="42">
        <f>+L613+L617+L621+L629</f>
        <v>1749</v>
      </c>
      <c r="M630" s="37">
        <f>SUM(J630:L630)</f>
        <v>5962</v>
      </c>
      <c r="N630" s="42">
        <f>+N613+N617+N621+N629</f>
        <v>696</v>
      </c>
      <c r="O630" s="42">
        <f>+O613+O617+O621+O629</f>
        <v>32</v>
      </c>
      <c r="P630" s="42">
        <f>+P613+P617+P621+P629</f>
        <v>194</v>
      </c>
      <c r="Q630" s="37">
        <f>SUM(N630:P630)</f>
        <v>922</v>
      </c>
      <c r="R630" s="40">
        <f>+E630+I630+M630+Q630</f>
        <v>11619</v>
      </c>
    </row>
    <row r="631" spans="1:18" ht="16.5" hidden="1" customHeight="1" thickBot="1" x14ac:dyDescent="0.35">
      <c r="A631" s="244" t="s">
        <v>853</v>
      </c>
      <c r="B631" s="238">
        <v>10</v>
      </c>
      <c r="C631" s="238">
        <v>11</v>
      </c>
      <c r="D631" s="238">
        <v>14</v>
      </c>
      <c r="E631" s="38">
        <f>SUM(B631:D631)</f>
        <v>35</v>
      </c>
      <c r="F631" s="238">
        <v>18</v>
      </c>
      <c r="G631" s="238">
        <v>21</v>
      </c>
      <c r="H631" s="238">
        <v>22</v>
      </c>
      <c r="I631" s="38">
        <f>SUM(F631:H631)</f>
        <v>61</v>
      </c>
      <c r="J631" s="238">
        <v>19</v>
      </c>
      <c r="K631" s="238">
        <v>17</v>
      </c>
      <c r="L631" s="238">
        <v>17</v>
      </c>
      <c r="M631" s="38">
        <f>SUM(J631:L631)</f>
        <v>53</v>
      </c>
      <c r="N631" s="238">
        <v>14</v>
      </c>
      <c r="O631" s="238">
        <v>11</v>
      </c>
      <c r="P631" s="238">
        <v>9</v>
      </c>
      <c r="Q631" s="38">
        <f>SUM(N631:P631)</f>
        <v>34</v>
      </c>
      <c r="R631" s="38">
        <f>+E631+I631+M631+Q631</f>
        <v>183</v>
      </c>
    </row>
    <row r="632" spans="1:18" ht="16.5" hidden="1" customHeight="1" thickBot="1" x14ac:dyDescent="0.35">
      <c r="A632" s="22"/>
      <c r="B632" s="242"/>
      <c r="C632" s="242"/>
      <c r="D632" s="242"/>
      <c r="E632" s="233"/>
      <c r="F632" s="242"/>
      <c r="G632" s="242"/>
      <c r="H632" s="242"/>
      <c r="I632" s="233"/>
      <c r="J632" s="242"/>
      <c r="K632" s="242"/>
      <c r="L632" s="242"/>
      <c r="M632" s="280"/>
      <c r="N632" s="242"/>
      <c r="O632" s="242"/>
      <c r="P632" s="242"/>
      <c r="Q632" s="280"/>
      <c r="R632" s="14"/>
    </row>
    <row r="633" spans="1:18" ht="15.75" hidden="1" customHeight="1" x14ac:dyDescent="0.3">
      <c r="A633" s="234" t="s">
        <v>120</v>
      </c>
      <c r="B633" s="172">
        <f>SUM(B630:B631)</f>
        <v>110</v>
      </c>
      <c r="C633" s="172">
        <f>SUM(C630:C631)</f>
        <v>654</v>
      </c>
      <c r="D633" s="172">
        <f>SUM(D630:D631)</f>
        <v>792</v>
      </c>
      <c r="E633" s="38">
        <f>SUM(B633:D633)</f>
        <v>1556</v>
      </c>
      <c r="F633" s="172">
        <f>SUM(F630:F631)</f>
        <v>486</v>
      </c>
      <c r="G633" s="172">
        <f>SUM(G630:G631)</f>
        <v>1138</v>
      </c>
      <c r="H633" s="172">
        <f>SUM(H630:H631)</f>
        <v>1651</v>
      </c>
      <c r="I633" s="39">
        <f>SUM(F633:H633)</f>
        <v>3275</v>
      </c>
      <c r="J633" s="172">
        <f>SUM(J630:J631)</f>
        <v>2136</v>
      </c>
      <c r="K633" s="172">
        <f>SUM(K630:K631)</f>
        <v>2113</v>
      </c>
      <c r="L633" s="172">
        <f>SUM(L630:L631)</f>
        <v>1766</v>
      </c>
      <c r="M633" s="39">
        <f>SUM(J633:L633)</f>
        <v>6015</v>
      </c>
      <c r="N633" s="172">
        <f>SUM(N630:N631)</f>
        <v>710</v>
      </c>
      <c r="O633" s="172">
        <f>SUM(O630:O631)</f>
        <v>43</v>
      </c>
      <c r="P633" s="172">
        <f>SUM(P630:P631)</f>
        <v>203</v>
      </c>
      <c r="Q633" s="39">
        <f>SUM(N633:P633)</f>
        <v>956</v>
      </c>
      <c r="R633" s="39">
        <f>+E633+I633+M633+Q633</f>
        <v>11802</v>
      </c>
    </row>
    <row r="634" spans="1:18" ht="15.75" hidden="1" customHeight="1" x14ac:dyDescent="0.3">
      <c r="A634" s="234" t="s">
        <v>1897</v>
      </c>
      <c r="B634" s="172">
        <f>(B633/B10)/1.983</f>
        <v>1.7894034779496688</v>
      </c>
      <c r="C634" s="172">
        <f>(C633/C10)/1.983</f>
        <v>11.37252856174031</v>
      </c>
      <c r="D634" s="172">
        <f>(D633/D10)/1.983</f>
        <v>12.883705041237615</v>
      </c>
      <c r="E634" s="38" t="s">
        <v>852</v>
      </c>
      <c r="F634" s="172">
        <f>(F633/F10)/1.983</f>
        <v>8.1694402420574885</v>
      </c>
      <c r="G634" s="172">
        <f>(G633/G10)/1.983</f>
        <v>18.512192344606575</v>
      </c>
      <c r="H634" s="172">
        <f>(H633/H10)/1.983</f>
        <v>27.752563456043031</v>
      </c>
      <c r="I634" s="38" t="s">
        <v>852</v>
      </c>
      <c r="J634" s="172">
        <f>(J633/J10)/1.983</f>
        <v>34.746962080913569</v>
      </c>
      <c r="K634" s="172">
        <f>(K633/K10)/1.983</f>
        <v>34.372814080978635</v>
      </c>
      <c r="L634" s="172">
        <f>(L633/L10)/1.983</f>
        <v>29.685661455706839</v>
      </c>
      <c r="M634" s="38" t="s">
        <v>852</v>
      </c>
      <c r="N634" s="172">
        <f>(N633/N10)/1.983</f>
        <v>11.549786084947863</v>
      </c>
      <c r="O634" s="172">
        <f>(O633/O10)/1.983</f>
        <v>0.72281055639603287</v>
      </c>
      <c r="P634" s="172">
        <f>(P633/P10)/1.983</f>
        <v>3.3022627820343891</v>
      </c>
      <c r="Q634" s="38" t="s">
        <v>852</v>
      </c>
      <c r="R634" s="38" t="s">
        <v>852</v>
      </c>
    </row>
    <row r="635" spans="1:18" ht="15.75" hidden="1" customHeight="1" x14ac:dyDescent="0.3">
      <c r="A635" s="234" t="s">
        <v>1334</v>
      </c>
      <c r="B635" s="172">
        <f>B633+B682</f>
        <v>7781</v>
      </c>
      <c r="C635" s="172">
        <f>C633+C682</f>
        <v>11438</v>
      </c>
      <c r="D635" s="172">
        <f>D633+D682</f>
        <v>17459</v>
      </c>
      <c r="E635" s="38">
        <f>SUM(B635:D635)</f>
        <v>36678</v>
      </c>
      <c r="F635" s="172">
        <f>F633+F682</f>
        <v>21039</v>
      </c>
      <c r="G635" s="172">
        <f>G633+G682</f>
        <v>22014</v>
      </c>
      <c r="H635" s="172">
        <f>H633+H682</f>
        <v>21065</v>
      </c>
      <c r="I635" s="38">
        <f>SUM(F635:H635)</f>
        <v>64118</v>
      </c>
      <c r="J635" s="172">
        <f>J633+J682</f>
        <v>21942</v>
      </c>
      <c r="K635" s="172">
        <f>K633+K682</f>
        <v>20106</v>
      </c>
      <c r="L635" s="172">
        <f>L633+L682</f>
        <v>18989</v>
      </c>
      <c r="M635" s="38">
        <f>SUM(J635:L635)</f>
        <v>61037</v>
      </c>
      <c r="N635" s="172">
        <f>N633+N682</f>
        <v>6339</v>
      </c>
      <c r="O635" s="172">
        <f>O633+O682</f>
        <v>7154</v>
      </c>
      <c r="P635" s="172">
        <f>P633+P682</f>
        <v>14296</v>
      </c>
      <c r="Q635" s="38">
        <f>SUM(N635:P635)</f>
        <v>27789</v>
      </c>
      <c r="R635" s="38">
        <f>+E635+I635+M635+Q635</f>
        <v>189622</v>
      </c>
    </row>
    <row r="636" spans="1:18" ht="16.5" hidden="1" customHeight="1" thickBot="1" x14ac:dyDescent="0.35">
      <c r="A636" s="237" t="s">
        <v>1335</v>
      </c>
      <c r="B636" s="238">
        <f>(B635/B10)/1.983</f>
        <v>126.57589510842158</v>
      </c>
      <c r="C636" s="238">
        <f>(C635/C10)/1.983</f>
        <v>198.89752551863251</v>
      </c>
      <c r="D636" s="238">
        <f>(D635/D10)/1.983</f>
        <v>284.01086655930249</v>
      </c>
      <c r="E636" s="40" t="s">
        <v>852</v>
      </c>
      <c r="F636" s="238">
        <f>(F635/F10)/1.983</f>
        <v>353.65607665153806</v>
      </c>
      <c r="G636" s="238">
        <f>(G635/G10)/1.983</f>
        <v>358.10843785076372</v>
      </c>
      <c r="H636" s="238">
        <f>(H635/H10)/1.983</f>
        <v>354.09312489494027</v>
      </c>
      <c r="I636" s="40" t="s">
        <v>852</v>
      </c>
      <c r="J636" s="238">
        <f>(J635/J10)/1.983</f>
        <v>356.9371919379239</v>
      </c>
      <c r="K636" s="238">
        <f>(K635/K10)/1.983</f>
        <v>327.07042116050951</v>
      </c>
      <c r="L636" s="238">
        <f>(L635/L10)/1.983</f>
        <v>319.1965036140528</v>
      </c>
      <c r="M636" s="40" t="s">
        <v>852</v>
      </c>
      <c r="N636" s="238">
        <f>(N635/N10)/1.983</f>
        <v>103.11844224293591</v>
      </c>
      <c r="O636" s="238">
        <f>(O635/O10)/1.983</f>
        <v>120.25550512691208</v>
      </c>
      <c r="P636" s="238">
        <f>(P635/P10)/1.983</f>
        <v>232.55738291607699</v>
      </c>
      <c r="Q636" s="40" t="s">
        <v>852</v>
      </c>
      <c r="R636" s="40" t="s">
        <v>852</v>
      </c>
    </row>
    <row r="637" spans="1:18" ht="15.75" hidden="1" customHeight="1" x14ac:dyDescent="0.3">
      <c r="A637" s="17"/>
      <c r="B637" s="172"/>
      <c r="C637" s="172"/>
      <c r="D637" s="172"/>
      <c r="E637" s="172"/>
      <c r="F637" s="172"/>
      <c r="G637" s="172"/>
      <c r="H637" s="172"/>
      <c r="I637" s="172"/>
      <c r="J637" s="172"/>
      <c r="K637" s="172"/>
      <c r="L637" s="172"/>
      <c r="M637" s="172"/>
      <c r="N637" s="172"/>
      <c r="O637" s="172"/>
      <c r="P637" s="172"/>
      <c r="Q637" s="172"/>
      <c r="R637" s="17"/>
    </row>
    <row r="638" spans="1:18" ht="16.5" hidden="1" customHeight="1" thickBot="1" x14ac:dyDescent="0.35">
      <c r="A638" s="24"/>
      <c r="B638" s="238"/>
      <c r="C638" s="238"/>
      <c r="D638" s="238"/>
      <c r="E638" s="238"/>
      <c r="F638" s="238"/>
      <c r="G638" s="238"/>
      <c r="H638" s="238"/>
      <c r="I638" s="238"/>
      <c r="J638" s="238"/>
      <c r="K638" s="238"/>
      <c r="L638" s="238"/>
      <c r="M638" s="238"/>
      <c r="N638" s="238"/>
      <c r="O638" s="238"/>
      <c r="P638" s="238"/>
      <c r="Q638" s="238"/>
      <c r="R638" s="24"/>
    </row>
    <row r="639" spans="1:18" ht="15.75" hidden="1" customHeight="1" thickBot="1" x14ac:dyDescent="0.35">
      <c r="A639" s="274" t="s">
        <v>1772</v>
      </c>
      <c r="B639" s="25" t="s">
        <v>2090</v>
      </c>
      <c r="C639" s="26" t="s">
        <v>2091</v>
      </c>
      <c r="D639" s="26" t="s">
        <v>2234</v>
      </c>
      <c r="E639" s="33" t="s">
        <v>1594</v>
      </c>
      <c r="F639" s="26" t="s">
        <v>2235</v>
      </c>
      <c r="G639" s="26" t="s">
        <v>2236</v>
      </c>
      <c r="H639" s="26" t="s">
        <v>2237</v>
      </c>
      <c r="I639" s="33" t="s">
        <v>1595</v>
      </c>
      <c r="J639" s="26" t="s">
        <v>1504</v>
      </c>
      <c r="K639" s="26" t="s">
        <v>1505</v>
      </c>
      <c r="L639" s="26" t="s">
        <v>1506</v>
      </c>
      <c r="M639" s="33" t="s">
        <v>1596</v>
      </c>
      <c r="N639" s="26" t="s">
        <v>1507</v>
      </c>
      <c r="O639" s="26" t="s">
        <v>1508</v>
      </c>
      <c r="P639" s="26" t="s">
        <v>1509</v>
      </c>
      <c r="Q639" s="33" t="s">
        <v>1597</v>
      </c>
      <c r="R639" s="34" t="s">
        <v>1510</v>
      </c>
    </row>
    <row r="640" spans="1:18" ht="16.5" hidden="1" customHeight="1" thickBot="1" x14ac:dyDescent="0.35">
      <c r="A640" s="281"/>
      <c r="B640" s="232"/>
      <c r="C640" s="232"/>
      <c r="D640" s="232"/>
      <c r="E640" s="233"/>
      <c r="F640" s="232"/>
      <c r="G640" s="232"/>
      <c r="H640" s="232"/>
      <c r="I640" s="233"/>
      <c r="J640" s="232"/>
      <c r="K640" s="232"/>
      <c r="L640" s="232"/>
      <c r="M640" s="233"/>
      <c r="N640" s="232"/>
      <c r="O640" s="232"/>
      <c r="P640" s="232"/>
      <c r="Q640" s="233"/>
      <c r="R640" s="75"/>
    </row>
    <row r="641" spans="1:18" ht="15.75" hidden="1" customHeight="1" x14ac:dyDescent="0.3">
      <c r="A641" s="234" t="s">
        <v>2417</v>
      </c>
      <c r="B641" s="172" t="s">
        <v>852</v>
      </c>
      <c r="C641" s="172" t="s">
        <v>852</v>
      </c>
      <c r="D641" s="172" t="s">
        <v>852</v>
      </c>
      <c r="E641" s="38" t="s">
        <v>852</v>
      </c>
      <c r="F641" s="172" t="s">
        <v>852</v>
      </c>
      <c r="G641" s="172" t="s">
        <v>852</v>
      </c>
      <c r="H641" s="172" t="s">
        <v>852</v>
      </c>
      <c r="I641" s="38" t="s">
        <v>852</v>
      </c>
      <c r="J641" s="172" t="s">
        <v>852</v>
      </c>
      <c r="K641" s="172" t="s">
        <v>852</v>
      </c>
      <c r="L641" s="172" t="s">
        <v>852</v>
      </c>
      <c r="M641" s="38" t="s">
        <v>852</v>
      </c>
      <c r="N641" s="172" t="s">
        <v>852</v>
      </c>
      <c r="O641" s="172" t="s">
        <v>852</v>
      </c>
      <c r="P641" s="172" t="s">
        <v>852</v>
      </c>
      <c r="Q641" s="38" t="s">
        <v>852</v>
      </c>
      <c r="R641" s="38" t="s">
        <v>852</v>
      </c>
    </row>
    <row r="642" spans="1:18" ht="15.75" hidden="1" customHeight="1" x14ac:dyDescent="0.3">
      <c r="A642" s="234" t="s">
        <v>2160</v>
      </c>
      <c r="B642" s="172"/>
      <c r="C642" s="172"/>
      <c r="D642" s="172"/>
      <c r="E642" s="38" t="s">
        <v>852</v>
      </c>
      <c r="F642" s="172"/>
      <c r="G642" s="172"/>
      <c r="H642" s="172"/>
      <c r="I642" s="38" t="s">
        <v>852</v>
      </c>
      <c r="J642" s="172"/>
      <c r="K642" s="172"/>
      <c r="L642" s="172"/>
      <c r="M642" s="38" t="s">
        <v>852</v>
      </c>
      <c r="N642" s="172"/>
      <c r="O642" s="172"/>
      <c r="P642" s="172"/>
      <c r="Q642" s="38" t="s">
        <v>852</v>
      </c>
      <c r="R642" s="38" t="s">
        <v>852</v>
      </c>
    </row>
    <row r="643" spans="1:18" ht="15.75" hidden="1" customHeight="1" x14ac:dyDescent="0.3">
      <c r="A643" s="266" t="s">
        <v>2171</v>
      </c>
      <c r="B643" s="10"/>
      <c r="C643" s="10">
        <v>1348</v>
      </c>
      <c r="D643" s="10">
        <v>3797</v>
      </c>
      <c r="E643" s="38">
        <f t="shared" ref="E643:E648" si="134">SUM(B643:D643)</f>
        <v>5145</v>
      </c>
      <c r="F643" s="10">
        <v>6861</v>
      </c>
      <c r="G643" s="10">
        <v>7454</v>
      </c>
      <c r="H643" s="10">
        <v>5483</v>
      </c>
      <c r="I643" s="38">
        <f t="shared" ref="I643:I648" si="135">SUM(F643:H643)</f>
        <v>19798</v>
      </c>
      <c r="J643" s="10">
        <v>6328</v>
      </c>
      <c r="K643" s="10">
        <v>7080</v>
      </c>
      <c r="L643" s="10">
        <v>3647</v>
      </c>
      <c r="M643" s="38">
        <f t="shared" ref="M643:M648" si="136">SUM(J643:L643)</f>
        <v>17055</v>
      </c>
      <c r="N643" s="10">
        <v>718</v>
      </c>
      <c r="O643" s="10">
        <v>1912</v>
      </c>
      <c r="P643" s="10">
        <v>5388</v>
      </c>
      <c r="Q643" s="38">
        <f t="shared" ref="Q643:Q648" si="137">SUM(N643:P643)</f>
        <v>8018</v>
      </c>
      <c r="R643" s="38">
        <f t="shared" ref="R643:R648" si="138">+E643+I643+M643+Q643</f>
        <v>50016</v>
      </c>
    </row>
    <row r="644" spans="1:18" ht="15.75" hidden="1" customHeight="1" x14ac:dyDescent="0.3">
      <c r="A644" s="266" t="s">
        <v>2146</v>
      </c>
      <c r="B644" s="172">
        <v>1793</v>
      </c>
      <c r="C644" s="172">
        <v>4097</v>
      </c>
      <c r="D644" s="172">
        <v>5901</v>
      </c>
      <c r="E644" s="38">
        <f t="shared" si="134"/>
        <v>11791</v>
      </c>
      <c r="F644" s="172">
        <v>5879</v>
      </c>
      <c r="G644" s="172">
        <v>6459</v>
      </c>
      <c r="H644" s="172">
        <v>6064</v>
      </c>
      <c r="I644" s="38">
        <f t="shared" si="135"/>
        <v>18402</v>
      </c>
      <c r="J644" s="172">
        <v>6188</v>
      </c>
      <c r="K644" s="172">
        <v>6016</v>
      </c>
      <c r="L644" s="172">
        <v>6883</v>
      </c>
      <c r="M644" s="38">
        <f t="shared" si="136"/>
        <v>19087</v>
      </c>
      <c r="N644" s="172">
        <v>2367</v>
      </c>
      <c r="O644" s="172">
        <v>3261</v>
      </c>
      <c r="P644" s="172">
        <v>3193</v>
      </c>
      <c r="Q644" s="38">
        <f t="shared" si="137"/>
        <v>8821</v>
      </c>
      <c r="R644" s="38">
        <f t="shared" si="138"/>
        <v>58101</v>
      </c>
    </row>
    <row r="645" spans="1:18" ht="15.75" hidden="1" customHeight="1" x14ac:dyDescent="0.3">
      <c r="A645" s="539" t="s">
        <v>3064</v>
      </c>
      <c r="B645" s="172">
        <v>50</v>
      </c>
      <c r="C645" s="172"/>
      <c r="D645" s="172"/>
      <c r="E645" s="38">
        <f t="shared" si="134"/>
        <v>50</v>
      </c>
      <c r="F645" s="172"/>
      <c r="G645" s="172"/>
      <c r="H645" s="172"/>
      <c r="I645" s="38">
        <f t="shared" si="135"/>
        <v>0</v>
      </c>
      <c r="J645" s="172"/>
      <c r="K645" s="172"/>
      <c r="L645" s="172"/>
      <c r="M645" s="38">
        <f t="shared" si="136"/>
        <v>0</v>
      </c>
      <c r="N645" s="172"/>
      <c r="O645" s="172"/>
      <c r="P645" s="172"/>
      <c r="Q645" s="38">
        <f t="shared" si="137"/>
        <v>0</v>
      </c>
      <c r="R645" s="38">
        <f t="shared" si="138"/>
        <v>50</v>
      </c>
    </row>
    <row r="646" spans="1:18" ht="15.75" hidden="1" customHeight="1" x14ac:dyDescent="0.3">
      <c r="A646" s="539" t="s">
        <v>2992</v>
      </c>
      <c r="B646" s="172">
        <v>350</v>
      </c>
      <c r="C646" s="172">
        <v>350</v>
      </c>
      <c r="D646" s="172">
        <v>350</v>
      </c>
      <c r="E646" s="38">
        <f t="shared" si="134"/>
        <v>1050</v>
      </c>
      <c r="F646" s="172">
        <v>350</v>
      </c>
      <c r="G646" s="172">
        <v>350</v>
      </c>
      <c r="H646" s="172">
        <v>350</v>
      </c>
      <c r="I646" s="38">
        <f t="shared" si="135"/>
        <v>1050</v>
      </c>
      <c r="J646" s="172">
        <v>350</v>
      </c>
      <c r="K646" s="172">
        <v>350</v>
      </c>
      <c r="L646" s="172">
        <v>350</v>
      </c>
      <c r="M646" s="38">
        <f t="shared" si="136"/>
        <v>1050</v>
      </c>
      <c r="N646" s="172">
        <v>250</v>
      </c>
      <c r="O646" s="172">
        <v>250</v>
      </c>
      <c r="P646" s="172">
        <v>350</v>
      </c>
      <c r="Q646" s="38">
        <f t="shared" si="137"/>
        <v>850</v>
      </c>
      <c r="R646" s="38">
        <f t="shared" si="138"/>
        <v>4000</v>
      </c>
    </row>
    <row r="647" spans="1:18" ht="15.75" hidden="1" customHeight="1" x14ac:dyDescent="0.3">
      <c r="A647" s="539" t="s">
        <v>2596</v>
      </c>
      <c r="B647" s="172">
        <v>89</v>
      </c>
      <c r="C647" s="172">
        <v>225</v>
      </c>
      <c r="D647" s="172">
        <v>200</v>
      </c>
      <c r="E647" s="38">
        <f t="shared" si="134"/>
        <v>514</v>
      </c>
      <c r="F647" s="172">
        <v>250</v>
      </c>
      <c r="G647" s="172">
        <v>250</v>
      </c>
      <c r="H647" s="172">
        <v>250</v>
      </c>
      <c r="I647" s="38">
        <f t="shared" si="135"/>
        <v>750</v>
      </c>
      <c r="J647" s="172">
        <v>250</v>
      </c>
      <c r="K647" s="172">
        <v>250</v>
      </c>
      <c r="L647" s="172">
        <v>350</v>
      </c>
      <c r="M647" s="38">
        <f t="shared" si="136"/>
        <v>850</v>
      </c>
      <c r="N647" s="172"/>
      <c r="O647" s="172"/>
      <c r="P647" s="172">
        <v>186</v>
      </c>
      <c r="Q647" s="38">
        <f t="shared" si="137"/>
        <v>186</v>
      </c>
      <c r="R647" s="38">
        <f t="shared" si="138"/>
        <v>2300</v>
      </c>
    </row>
    <row r="648" spans="1:18" ht="15.75" hidden="1" customHeight="1" x14ac:dyDescent="0.3">
      <c r="A648" s="539" t="s">
        <v>3015</v>
      </c>
      <c r="B648" s="172">
        <v>100</v>
      </c>
      <c r="C648" s="172">
        <v>100</v>
      </c>
      <c r="D648" s="172">
        <v>100</v>
      </c>
      <c r="E648" s="38">
        <f t="shared" si="134"/>
        <v>300</v>
      </c>
      <c r="F648" s="172">
        <v>100</v>
      </c>
      <c r="G648" s="172">
        <v>100</v>
      </c>
      <c r="H648" s="172">
        <v>100</v>
      </c>
      <c r="I648" s="38">
        <f t="shared" si="135"/>
        <v>300</v>
      </c>
      <c r="J648" s="172">
        <v>100</v>
      </c>
      <c r="K648" s="172">
        <v>100</v>
      </c>
      <c r="L648" s="172">
        <v>100</v>
      </c>
      <c r="M648" s="38">
        <f t="shared" si="136"/>
        <v>300</v>
      </c>
      <c r="N648" s="172"/>
      <c r="O648" s="172">
        <v>100</v>
      </c>
      <c r="P648" s="172">
        <v>100</v>
      </c>
      <c r="Q648" s="38">
        <f t="shared" si="137"/>
        <v>200</v>
      </c>
      <c r="R648" s="38">
        <f t="shared" si="138"/>
        <v>1100</v>
      </c>
    </row>
    <row r="649" spans="1:18" ht="15.75" hidden="1" customHeight="1" x14ac:dyDescent="0.3">
      <c r="A649" s="234" t="s">
        <v>2161</v>
      </c>
      <c r="B649" s="172"/>
      <c r="C649" s="172"/>
      <c r="D649" s="172"/>
      <c r="E649" s="38" t="s">
        <v>852</v>
      </c>
      <c r="F649" s="172"/>
      <c r="G649" s="172"/>
      <c r="H649" s="172"/>
      <c r="I649" s="38" t="s">
        <v>852</v>
      </c>
      <c r="J649" s="172"/>
      <c r="K649" s="172"/>
      <c r="L649" s="172"/>
      <c r="M649" s="38" t="s">
        <v>852</v>
      </c>
      <c r="N649" s="172"/>
      <c r="O649" s="172"/>
      <c r="P649" s="172"/>
      <c r="Q649" s="38" t="s">
        <v>852</v>
      </c>
      <c r="R649" s="38" t="s">
        <v>852</v>
      </c>
    </row>
    <row r="650" spans="1:18" ht="15.75" hidden="1" customHeight="1" x14ac:dyDescent="0.3">
      <c r="A650" s="234" t="s">
        <v>2162</v>
      </c>
      <c r="B650" s="172"/>
      <c r="C650" s="172"/>
      <c r="D650" s="172"/>
      <c r="E650" s="38" t="s">
        <v>852</v>
      </c>
      <c r="F650" s="172"/>
      <c r="G650" s="172"/>
      <c r="H650" s="172"/>
      <c r="I650" s="38" t="s">
        <v>852</v>
      </c>
      <c r="J650" s="172"/>
      <c r="K650" s="172"/>
      <c r="L650" s="172"/>
      <c r="M650" s="38" t="s">
        <v>852</v>
      </c>
      <c r="N650" s="172"/>
      <c r="O650" s="172"/>
      <c r="P650" s="172"/>
      <c r="Q650" s="38" t="s">
        <v>852</v>
      </c>
      <c r="R650" s="38" t="s">
        <v>852</v>
      </c>
    </row>
    <row r="651" spans="1:18" ht="15.75" hidden="1" customHeight="1" thickBot="1" x14ac:dyDescent="0.35">
      <c r="A651" s="234" t="s">
        <v>2164</v>
      </c>
      <c r="B651" s="172"/>
      <c r="C651" s="172"/>
      <c r="D651" s="172"/>
      <c r="E651" s="38" t="s">
        <v>852</v>
      </c>
      <c r="F651" s="172"/>
      <c r="G651" s="172"/>
      <c r="H651" s="172"/>
      <c r="I651" s="38" t="s">
        <v>852</v>
      </c>
      <c r="J651" s="172"/>
      <c r="K651" s="172"/>
      <c r="L651" s="172"/>
      <c r="M651" s="38" t="s">
        <v>852</v>
      </c>
      <c r="N651" s="172"/>
      <c r="O651" s="172"/>
      <c r="P651" s="172"/>
      <c r="Q651" s="38" t="s">
        <v>852</v>
      </c>
      <c r="R651" s="38" t="s">
        <v>852</v>
      </c>
    </row>
    <row r="652" spans="1:18" ht="16.5" hidden="1" customHeight="1" thickBot="1" x14ac:dyDescent="0.35">
      <c r="A652" s="276" t="s">
        <v>1218</v>
      </c>
      <c r="B652" s="45">
        <f>SUM(B641:B651)</f>
        <v>2382</v>
      </c>
      <c r="C652" s="46">
        <f>SUM(C641:C651)</f>
        <v>6120</v>
      </c>
      <c r="D652" s="46">
        <f>SUM(D641:D651)</f>
        <v>10348</v>
      </c>
      <c r="E652" s="37">
        <f>SUM(B652:D652)</f>
        <v>18850</v>
      </c>
      <c r="F652" s="46">
        <f>SUM(F641:F651)</f>
        <v>13440</v>
      </c>
      <c r="G652" s="46">
        <f>SUM(G641:G651)</f>
        <v>14613</v>
      </c>
      <c r="H652" s="46">
        <f>SUM(H641:H651)</f>
        <v>12247</v>
      </c>
      <c r="I652" s="37">
        <f>SUM(F652:H652)</f>
        <v>40300</v>
      </c>
      <c r="J652" s="46">
        <f>SUM(J641:J651)</f>
        <v>13216</v>
      </c>
      <c r="K652" s="46">
        <f>SUM(K641:K651)</f>
        <v>13796</v>
      </c>
      <c r="L652" s="46">
        <f>SUM(L641:L651)</f>
        <v>11330</v>
      </c>
      <c r="M652" s="37">
        <f>SUM(J652:L652)</f>
        <v>38342</v>
      </c>
      <c r="N652" s="46">
        <f>SUM(N641:N651)</f>
        <v>3335</v>
      </c>
      <c r="O652" s="46">
        <f>SUM(O641:O651)</f>
        <v>5523</v>
      </c>
      <c r="P652" s="46">
        <f>SUM(P641:P651)</f>
        <v>9217</v>
      </c>
      <c r="Q652" s="37">
        <f>SUM(N652:P652)</f>
        <v>18075</v>
      </c>
      <c r="R652" s="37">
        <f>+E652+I652+M652+Q652</f>
        <v>115567</v>
      </c>
    </row>
    <row r="653" spans="1:18" ht="15.75" hidden="1" customHeight="1" x14ac:dyDescent="0.3">
      <c r="A653" s="234" t="s">
        <v>1172</v>
      </c>
      <c r="B653" s="172"/>
      <c r="C653" s="172"/>
      <c r="D653" s="172"/>
      <c r="E653" s="38" t="s">
        <v>852</v>
      </c>
      <c r="F653" s="172"/>
      <c r="G653" s="172"/>
      <c r="H653" s="172"/>
      <c r="I653" s="38" t="s">
        <v>852</v>
      </c>
      <c r="J653" s="172"/>
      <c r="K653" s="172"/>
      <c r="L653" s="172"/>
      <c r="M653" s="38" t="s">
        <v>852</v>
      </c>
      <c r="N653" s="172"/>
      <c r="O653" s="172"/>
      <c r="P653" s="172"/>
      <c r="Q653" s="38" t="s">
        <v>852</v>
      </c>
      <c r="R653" s="38" t="s">
        <v>852</v>
      </c>
    </row>
    <row r="654" spans="1:18" ht="15.75" hidden="1" customHeight="1" x14ac:dyDescent="0.3">
      <c r="A654" s="234" t="s">
        <v>2409</v>
      </c>
      <c r="B654" s="172"/>
      <c r="C654" s="172"/>
      <c r="D654" s="172"/>
      <c r="E654" s="38" t="s">
        <v>852</v>
      </c>
      <c r="F654" s="172"/>
      <c r="G654" s="172"/>
      <c r="H654" s="172"/>
      <c r="I654" s="38" t="s">
        <v>852</v>
      </c>
      <c r="J654" s="172"/>
      <c r="K654" s="172"/>
      <c r="L654" s="172"/>
      <c r="M654" s="38" t="s">
        <v>852</v>
      </c>
      <c r="N654" s="172"/>
      <c r="O654" s="172"/>
      <c r="P654" s="172"/>
      <c r="Q654" s="38" t="s">
        <v>852</v>
      </c>
      <c r="R654" s="38" t="s">
        <v>852</v>
      </c>
    </row>
    <row r="655" spans="1:18" ht="15.75" hidden="1" customHeight="1" thickBot="1" x14ac:dyDescent="0.35">
      <c r="A655" s="234" t="s">
        <v>2165</v>
      </c>
      <c r="B655" s="172"/>
      <c r="C655" s="172"/>
      <c r="D655" s="172"/>
      <c r="E655" s="38" t="s">
        <v>852</v>
      </c>
      <c r="F655" s="172"/>
      <c r="G655" s="172"/>
      <c r="H655" s="172"/>
      <c r="I655" s="38" t="s">
        <v>852</v>
      </c>
      <c r="J655" s="172"/>
      <c r="K655" s="172"/>
      <c r="L655" s="172"/>
      <c r="M655" s="38" t="s">
        <v>852</v>
      </c>
      <c r="N655" s="172"/>
      <c r="O655" s="172"/>
      <c r="P655" s="172"/>
      <c r="Q655" s="38" t="s">
        <v>852</v>
      </c>
      <c r="R655" s="38" t="s">
        <v>852</v>
      </c>
    </row>
    <row r="656" spans="1:18" ht="16.5" hidden="1" customHeight="1" thickBot="1" x14ac:dyDescent="0.35">
      <c r="A656" s="43" t="s">
        <v>1219</v>
      </c>
      <c r="B656" s="45">
        <f>SUM(B653:B655)</f>
        <v>0</v>
      </c>
      <c r="C656" s="46">
        <f>SUM(C653:C655)</f>
        <v>0</v>
      </c>
      <c r="D656" s="46">
        <f>SUM(D653:D655)</f>
        <v>0</v>
      </c>
      <c r="E656" s="37">
        <f>SUM(B656:D656)</f>
        <v>0</v>
      </c>
      <c r="F656" s="46">
        <f>SUM(F653:F655)</f>
        <v>0</v>
      </c>
      <c r="G656" s="46">
        <f>SUM(G653:G655)</f>
        <v>0</v>
      </c>
      <c r="H656" s="46">
        <f>SUM(H653:H655)</f>
        <v>0</v>
      </c>
      <c r="I656" s="37">
        <f>SUM(F656:H656)</f>
        <v>0</v>
      </c>
      <c r="J656" s="46">
        <f>SUM(J653:J655)</f>
        <v>0</v>
      </c>
      <c r="K656" s="46">
        <f>SUM(K653:K655)</f>
        <v>0</v>
      </c>
      <c r="L656" s="46">
        <f>SUM(L653:L655)</f>
        <v>0</v>
      </c>
      <c r="M656" s="37">
        <f>SUM(J656:L656)</f>
        <v>0</v>
      </c>
      <c r="N656" s="46">
        <f>SUM(N653:N655)</f>
        <v>0</v>
      </c>
      <c r="O656" s="46">
        <f>SUM(O653:O655)</f>
        <v>0</v>
      </c>
      <c r="P656" s="46">
        <f>SUM(P653:P655)</f>
        <v>0</v>
      </c>
      <c r="Q656" s="37">
        <f>SUM(N656:P656)</f>
        <v>0</v>
      </c>
      <c r="R656" s="37">
        <f>+E656+I656+M656+Q656</f>
        <v>0</v>
      </c>
    </row>
    <row r="657" spans="1:20" ht="15.75" hidden="1" customHeight="1" x14ac:dyDescent="0.3">
      <c r="A657" s="234" t="s">
        <v>2166</v>
      </c>
      <c r="B657" s="172"/>
      <c r="C657" s="172"/>
      <c r="D657" s="172"/>
      <c r="E657" s="38" t="s">
        <v>852</v>
      </c>
      <c r="F657" s="172"/>
      <c r="G657" s="172"/>
      <c r="H657" s="172"/>
      <c r="I657" s="38" t="s">
        <v>852</v>
      </c>
      <c r="J657" s="172"/>
      <c r="K657" s="172"/>
      <c r="L657" s="172"/>
      <c r="M657" s="38" t="s">
        <v>852</v>
      </c>
      <c r="N657" s="172"/>
      <c r="O657" s="172"/>
      <c r="P657" s="172"/>
      <c r="Q657" s="38" t="s">
        <v>852</v>
      </c>
      <c r="R657" s="38" t="s">
        <v>852</v>
      </c>
    </row>
    <row r="658" spans="1:20" ht="15.75" hidden="1" customHeight="1" x14ac:dyDescent="0.3">
      <c r="A658" s="234" t="s">
        <v>1245</v>
      </c>
      <c r="B658" s="172"/>
      <c r="C658" s="172"/>
      <c r="D658" s="172"/>
      <c r="E658" s="38" t="s">
        <v>852</v>
      </c>
      <c r="F658" s="172"/>
      <c r="G658" s="172"/>
      <c r="H658" s="172"/>
      <c r="I658" s="38" t="s">
        <v>852</v>
      </c>
      <c r="J658" s="172"/>
      <c r="K658" s="172"/>
      <c r="L658" s="172"/>
      <c r="M658" s="38" t="s">
        <v>852</v>
      </c>
      <c r="N658" s="172"/>
      <c r="O658" s="172"/>
      <c r="P658" s="172"/>
      <c r="Q658" s="38" t="s">
        <v>852</v>
      </c>
      <c r="R658" s="38" t="s">
        <v>852</v>
      </c>
    </row>
    <row r="659" spans="1:20" ht="15.75" hidden="1" customHeight="1" x14ac:dyDescent="0.3">
      <c r="A659" s="266" t="s">
        <v>641</v>
      </c>
      <c r="B659" s="172">
        <v>241</v>
      </c>
      <c r="C659" s="172">
        <v>479</v>
      </c>
      <c r="D659" s="172">
        <v>1150</v>
      </c>
      <c r="E659" s="38">
        <f>SUM(B659:D659)</f>
        <v>1870</v>
      </c>
      <c r="F659" s="172">
        <v>1760</v>
      </c>
      <c r="G659" s="172">
        <v>966</v>
      </c>
      <c r="H659" s="172">
        <v>1583</v>
      </c>
      <c r="I659" s="38">
        <f>SUM(F659:H659)</f>
        <v>4309</v>
      </c>
      <c r="J659" s="172">
        <v>1748</v>
      </c>
      <c r="K659" s="172">
        <v>862</v>
      </c>
      <c r="L659" s="172">
        <v>904</v>
      </c>
      <c r="M659" s="38">
        <f>SUM(J659:L659)</f>
        <v>3514</v>
      </c>
      <c r="N659" s="172">
        <v>277</v>
      </c>
      <c r="O659" s="172">
        <v>270</v>
      </c>
      <c r="P659" s="172">
        <v>224</v>
      </c>
      <c r="Q659" s="38">
        <f>SUM(N659:P659)</f>
        <v>771</v>
      </c>
      <c r="R659" s="38">
        <f>+E659+I659+M659+Q659</f>
        <v>10464</v>
      </c>
      <c r="T659" t="s">
        <v>2804</v>
      </c>
    </row>
    <row r="660" spans="1:20" ht="15.75" hidden="1" customHeight="1" x14ac:dyDescent="0.3">
      <c r="A660" s="234" t="s">
        <v>1711</v>
      </c>
      <c r="B660" s="172"/>
      <c r="C660" s="172"/>
      <c r="D660" s="172"/>
      <c r="E660" s="38" t="s">
        <v>852</v>
      </c>
      <c r="F660" s="172"/>
      <c r="G660" s="172"/>
      <c r="H660" s="172"/>
      <c r="I660" s="38" t="s">
        <v>852</v>
      </c>
      <c r="J660" s="172"/>
      <c r="K660" s="172"/>
      <c r="L660" s="172"/>
      <c r="M660" s="38" t="s">
        <v>852</v>
      </c>
      <c r="N660" s="172"/>
      <c r="O660" s="172"/>
      <c r="P660" s="172"/>
      <c r="Q660" s="38" t="s">
        <v>852</v>
      </c>
      <c r="R660" s="38" t="s">
        <v>852</v>
      </c>
    </row>
    <row r="661" spans="1:20" ht="15.75" hidden="1" customHeight="1" x14ac:dyDescent="0.3">
      <c r="A661" s="539" t="s">
        <v>2699</v>
      </c>
      <c r="B661" s="172"/>
      <c r="C661" s="172"/>
      <c r="D661" s="172"/>
      <c r="E661" s="38">
        <f>SUM(B661:D661)</f>
        <v>0</v>
      </c>
      <c r="F661" s="172"/>
      <c r="G661" s="172"/>
      <c r="H661" s="172"/>
      <c r="I661" s="38">
        <f>SUM(F661:H661)</f>
        <v>0</v>
      </c>
      <c r="J661" s="172"/>
      <c r="K661" s="172"/>
      <c r="L661" s="172"/>
      <c r="M661" s="38">
        <f>SUM(J661:L661)</f>
        <v>0</v>
      </c>
      <c r="N661" s="172"/>
      <c r="O661" s="172"/>
      <c r="P661" s="172"/>
      <c r="Q661" s="38">
        <f>SUM(N661:P661)</f>
        <v>0</v>
      </c>
      <c r="R661" s="38">
        <f>+E661+I661+M661+Q661</f>
        <v>0</v>
      </c>
      <c r="T661" t="s">
        <v>2801</v>
      </c>
    </row>
    <row r="662" spans="1:20" ht="15.75" hidden="1" customHeight="1" x14ac:dyDescent="0.3">
      <c r="A662" s="539" t="s">
        <v>2790</v>
      </c>
      <c r="B662" s="172">
        <v>126</v>
      </c>
      <c r="C662" s="172">
        <v>126</v>
      </c>
      <c r="D662" s="172"/>
      <c r="E662" s="38">
        <f>SUM(B662:D662)</f>
        <v>252</v>
      </c>
      <c r="F662" s="172">
        <v>126</v>
      </c>
      <c r="G662" s="172">
        <v>60</v>
      </c>
      <c r="H662" s="172">
        <v>126</v>
      </c>
      <c r="I662" s="38">
        <f>SUM(F662:H662)</f>
        <v>312</v>
      </c>
      <c r="J662" s="172">
        <v>126</v>
      </c>
      <c r="K662" s="172">
        <v>80</v>
      </c>
      <c r="L662" s="172"/>
      <c r="M662" s="38">
        <f>SUM(J662:L662)</f>
        <v>206</v>
      </c>
      <c r="N662" s="172"/>
      <c r="O662" s="172"/>
      <c r="P662" s="172">
        <v>34</v>
      </c>
      <c r="Q662" s="38">
        <f>SUM(N662:P662)</f>
        <v>34</v>
      </c>
      <c r="R662" s="38">
        <f>+E662+I662+M662+Q662</f>
        <v>804</v>
      </c>
      <c r="T662" t="s">
        <v>2801</v>
      </c>
    </row>
    <row r="663" spans="1:20" ht="15.75" hidden="1" customHeight="1" x14ac:dyDescent="0.3">
      <c r="A663" s="539" t="s">
        <v>2701</v>
      </c>
      <c r="B663" s="172"/>
      <c r="C663" s="172"/>
      <c r="D663" s="172">
        <v>126</v>
      </c>
      <c r="E663" s="38">
        <f>SUM(B663:D663)</f>
        <v>126</v>
      </c>
      <c r="F663" s="172"/>
      <c r="G663" s="172">
        <v>66</v>
      </c>
      <c r="H663" s="172"/>
      <c r="I663" s="38">
        <f>SUM(F663:H663)</f>
        <v>66</v>
      </c>
      <c r="J663" s="172"/>
      <c r="K663" s="172">
        <v>46</v>
      </c>
      <c r="L663" s="172">
        <v>126</v>
      </c>
      <c r="M663" s="38">
        <f>SUM(J663:L663)</f>
        <v>172</v>
      </c>
      <c r="N663" s="172">
        <v>126</v>
      </c>
      <c r="O663" s="172">
        <v>126</v>
      </c>
      <c r="P663" s="172">
        <v>174</v>
      </c>
      <c r="Q663" s="38">
        <f>SUM(N663:P663)</f>
        <v>426</v>
      </c>
      <c r="R663" s="38">
        <f>+E663+I663+M663+Q663</f>
        <v>790</v>
      </c>
      <c r="T663" t="s">
        <v>2801</v>
      </c>
    </row>
    <row r="664" spans="1:20" ht="15.75" hidden="1" customHeight="1" thickBot="1" x14ac:dyDescent="0.35">
      <c r="A664" s="266" t="s">
        <v>40</v>
      </c>
      <c r="B664" s="172"/>
      <c r="C664" s="172"/>
      <c r="D664" s="172"/>
      <c r="E664" s="38">
        <f>SUM(B664:D664)</f>
        <v>0</v>
      </c>
      <c r="F664" s="172"/>
      <c r="G664" s="172"/>
      <c r="H664" s="172"/>
      <c r="I664" s="38">
        <f>SUM(F664:H664)</f>
        <v>0</v>
      </c>
      <c r="J664" s="172"/>
      <c r="K664" s="172"/>
      <c r="L664" s="172"/>
      <c r="M664" s="38">
        <f>SUM(J664:L664)</f>
        <v>0</v>
      </c>
      <c r="N664" s="172"/>
      <c r="O664" s="172"/>
      <c r="P664" s="172"/>
      <c r="Q664" s="38">
        <f>SUM(N664:P664)</f>
        <v>0</v>
      </c>
      <c r="R664" s="38">
        <f>+E664+I664+M664+Q664</f>
        <v>0</v>
      </c>
      <c r="T664" t="s">
        <v>2801</v>
      </c>
    </row>
    <row r="665" spans="1:20" ht="16.5" hidden="1" customHeight="1" thickBot="1" x14ac:dyDescent="0.35">
      <c r="A665" s="43" t="s">
        <v>1220</v>
      </c>
      <c r="B665" s="45">
        <f>SUM(B657:B664)</f>
        <v>367</v>
      </c>
      <c r="C665" s="46">
        <f>SUM(C657:C664)</f>
        <v>605</v>
      </c>
      <c r="D665" s="46">
        <f>SUM(D657:D664)</f>
        <v>1276</v>
      </c>
      <c r="E665" s="37">
        <f>SUM(B665:D665)</f>
        <v>2248</v>
      </c>
      <c r="F665" s="46">
        <f>SUM(F657:F664)</f>
        <v>1886</v>
      </c>
      <c r="G665" s="46">
        <f>SUM(G657:G664)</f>
        <v>1092</v>
      </c>
      <c r="H665" s="46">
        <f>SUM(H657:H664)</f>
        <v>1709</v>
      </c>
      <c r="I665" s="37">
        <f>SUM(F665:H665)</f>
        <v>4687</v>
      </c>
      <c r="J665" s="46">
        <f>SUM(J657:J664)</f>
        <v>1874</v>
      </c>
      <c r="K665" s="46">
        <f>SUM(K657:K664)</f>
        <v>988</v>
      </c>
      <c r="L665" s="46">
        <f>SUM(L657:L664)</f>
        <v>1030</v>
      </c>
      <c r="M665" s="37">
        <f>SUM(J665:L665)</f>
        <v>3892</v>
      </c>
      <c r="N665" s="46">
        <f>SUM(N657:N664)</f>
        <v>403</v>
      </c>
      <c r="O665" s="46">
        <f>SUM(O657:O664)</f>
        <v>396</v>
      </c>
      <c r="P665" s="46">
        <f>SUM(P657:P664)</f>
        <v>432</v>
      </c>
      <c r="Q665" s="37">
        <f>SUM(N665:P665)</f>
        <v>1231</v>
      </c>
      <c r="R665" s="58">
        <f>+E665+I665+M665+Q665</f>
        <v>12058</v>
      </c>
    </row>
    <row r="666" spans="1:20" ht="15.75" hidden="1" customHeight="1" x14ac:dyDescent="0.3">
      <c r="A666" s="234" t="s">
        <v>1712</v>
      </c>
      <c r="B666" s="172"/>
      <c r="C666" s="172"/>
      <c r="D666" s="172"/>
      <c r="E666" s="38" t="s">
        <v>852</v>
      </c>
      <c r="F666" s="172"/>
      <c r="G666" s="172"/>
      <c r="H666" s="172"/>
      <c r="I666" s="38" t="s">
        <v>852</v>
      </c>
      <c r="J666" s="172"/>
      <c r="K666" s="172"/>
      <c r="L666" s="172"/>
      <c r="M666" s="38" t="s">
        <v>852</v>
      </c>
      <c r="N666" s="172"/>
      <c r="O666" s="172"/>
      <c r="P666" s="172"/>
      <c r="Q666" s="38" t="s">
        <v>852</v>
      </c>
      <c r="R666" s="38" t="s">
        <v>852</v>
      </c>
    </row>
    <row r="667" spans="1:20" ht="15.75" hidden="1" customHeight="1" x14ac:dyDescent="0.3">
      <c r="A667" s="234" t="s">
        <v>1021</v>
      </c>
      <c r="B667" s="172"/>
      <c r="C667" s="172"/>
      <c r="D667" s="172"/>
      <c r="E667" s="38" t="s">
        <v>852</v>
      </c>
      <c r="F667" s="172"/>
      <c r="G667" s="172"/>
      <c r="H667" s="172"/>
      <c r="I667" s="38" t="s">
        <v>852</v>
      </c>
      <c r="J667" s="172"/>
      <c r="K667" s="172"/>
      <c r="L667" s="172"/>
      <c r="M667" s="38" t="s">
        <v>852</v>
      </c>
      <c r="N667" s="172"/>
      <c r="O667" s="172"/>
      <c r="P667" s="172"/>
      <c r="Q667" s="38" t="s">
        <v>852</v>
      </c>
      <c r="R667" s="38" t="s">
        <v>852</v>
      </c>
    </row>
    <row r="668" spans="1:20" ht="15.75" hidden="1" customHeight="1" x14ac:dyDescent="0.3">
      <c r="A668" s="234" t="s">
        <v>557</v>
      </c>
      <c r="B668" s="172"/>
      <c r="C668" s="172"/>
      <c r="D668" s="172"/>
      <c r="E668" s="38" t="s">
        <v>852</v>
      </c>
      <c r="F668" s="172"/>
      <c r="G668" s="172"/>
      <c r="H668" s="172"/>
      <c r="I668" s="38" t="s">
        <v>852</v>
      </c>
      <c r="J668" s="172"/>
      <c r="K668" s="172"/>
      <c r="L668" s="172"/>
      <c r="M668" s="38" t="s">
        <v>852</v>
      </c>
      <c r="N668" s="172"/>
      <c r="O668" s="172"/>
      <c r="P668" s="172"/>
      <c r="Q668" s="38" t="s">
        <v>852</v>
      </c>
      <c r="R668" s="38" t="s">
        <v>852</v>
      </c>
    </row>
    <row r="669" spans="1:20" ht="15.75" hidden="1" customHeight="1" x14ac:dyDescent="0.3">
      <c r="A669" s="539" t="s">
        <v>2585</v>
      </c>
      <c r="B669" s="172"/>
      <c r="C669" s="172"/>
      <c r="D669" s="172"/>
      <c r="E669" s="38">
        <f>SUM(B669:D669)</f>
        <v>0</v>
      </c>
      <c r="F669" s="172"/>
      <c r="G669" s="172"/>
      <c r="H669" s="172"/>
      <c r="I669" s="38">
        <f>SUM(F669:H669)</f>
        <v>0</v>
      </c>
      <c r="J669" s="172"/>
      <c r="K669" s="172"/>
      <c r="L669" s="172"/>
      <c r="M669" s="38">
        <f>SUM(J669:L669)</f>
        <v>0</v>
      </c>
      <c r="N669" s="172"/>
      <c r="O669" s="172"/>
      <c r="P669" s="172"/>
      <c r="Q669" s="38">
        <f>SUM(N669:P669)</f>
        <v>0</v>
      </c>
      <c r="R669" s="38">
        <f>+E669+I669+M669+Q669</f>
        <v>0</v>
      </c>
    </row>
    <row r="670" spans="1:20" ht="15.75" hidden="1" customHeight="1" x14ac:dyDescent="0.3">
      <c r="A670" s="539" t="s">
        <v>2586</v>
      </c>
      <c r="B670" s="172"/>
      <c r="C670" s="172"/>
      <c r="D670" s="172"/>
      <c r="E670" s="38">
        <f>SUM(B670:D670)</f>
        <v>0</v>
      </c>
      <c r="F670" s="172"/>
      <c r="G670" s="172"/>
      <c r="H670" s="172"/>
      <c r="I670" s="38">
        <f>SUM(F670:H670)</f>
        <v>0</v>
      </c>
      <c r="J670" s="172"/>
      <c r="K670" s="172"/>
      <c r="L670" s="172"/>
      <c r="M670" s="38">
        <f>SUM(J670:L670)</f>
        <v>0</v>
      </c>
      <c r="N670" s="172"/>
      <c r="O670" s="172"/>
      <c r="P670" s="172"/>
      <c r="Q670" s="38">
        <f>SUM(N670:P670)</f>
        <v>0</v>
      </c>
      <c r="R670" s="38">
        <f>+E670+I670+M670+Q670</f>
        <v>0</v>
      </c>
    </row>
    <row r="671" spans="1:20" ht="15.75" hidden="1" customHeight="1" x14ac:dyDescent="0.3">
      <c r="A671" s="539" t="s">
        <v>2587</v>
      </c>
      <c r="B671" s="172">
        <v>1020</v>
      </c>
      <c r="C671" s="172">
        <v>1020</v>
      </c>
      <c r="D671" s="172">
        <v>1020</v>
      </c>
      <c r="E671" s="38">
        <f>SUM(B671:D671)</f>
        <v>3060</v>
      </c>
      <c r="F671" s="172">
        <v>1020</v>
      </c>
      <c r="G671" s="172">
        <v>1020</v>
      </c>
      <c r="H671" s="172">
        <v>1020</v>
      </c>
      <c r="I671" s="38">
        <f>SUM(F671:H671)</f>
        <v>3060</v>
      </c>
      <c r="J671" s="172">
        <v>1020</v>
      </c>
      <c r="K671" s="172">
        <v>1020</v>
      </c>
      <c r="L671" s="172"/>
      <c r="M671" s="38">
        <f>SUM(J671:L671)</f>
        <v>2040</v>
      </c>
      <c r="N671" s="172"/>
      <c r="O671" s="172"/>
      <c r="P671" s="172"/>
      <c r="Q671" s="38">
        <f>SUM(N671:P671)</f>
        <v>0</v>
      </c>
      <c r="R671" s="38">
        <f>+E671+I671+M671+Q671</f>
        <v>8160</v>
      </c>
    </row>
    <row r="672" spans="1:20" ht="15.75" hidden="1" customHeight="1" x14ac:dyDescent="0.3">
      <c r="A672" s="539" t="s">
        <v>2588</v>
      </c>
      <c r="B672" s="172"/>
      <c r="C672" s="172"/>
      <c r="D672" s="172"/>
      <c r="E672" s="38">
        <f>SUM(B672:D672)</f>
        <v>0</v>
      </c>
      <c r="F672" s="172"/>
      <c r="G672" s="172"/>
      <c r="H672" s="172"/>
      <c r="I672" s="38">
        <f>SUM(F672:H672)</f>
        <v>0</v>
      </c>
      <c r="J672" s="172"/>
      <c r="K672" s="172"/>
      <c r="L672" s="172"/>
      <c r="M672" s="38">
        <f>SUM(J672:L672)</f>
        <v>0</v>
      </c>
      <c r="N672" s="172"/>
      <c r="O672" s="172"/>
      <c r="P672" s="172"/>
      <c r="Q672" s="38">
        <f>SUM(N672:P672)</f>
        <v>0</v>
      </c>
      <c r="R672" s="38">
        <f>+E672+I672+M672+Q672</f>
        <v>0</v>
      </c>
    </row>
    <row r="673" spans="1:18" ht="15.75" hidden="1" customHeight="1" x14ac:dyDescent="0.3">
      <c r="A673" s="234" t="s">
        <v>1022</v>
      </c>
      <c r="B673" s="172"/>
      <c r="C673" s="172"/>
      <c r="D673" s="172"/>
      <c r="E673" s="38" t="s">
        <v>852</v>
      </c>
      <c r="F673" s="172"/>
      <c r="G673" s="172"/>
      <c r="H673" s="172"/>
      <c r="I673" s="38" t="s">
        <v>852</v>
      </c>
      <c r="J673" s="172"/>
      <c r="K673" s="172"/>
      <c r="L673" s="172"/>
      <c r="M673" s="38" t="s">
        <v>852</v>
      </c>
      <c r="N673" s="172"/>
      <c r="O673" s="172"/>
      <c r="P673" s="172"/>
      <c r="Q673" s="38" t="s">
        <v>852</v>
      </c>
      <c r="R673" s="38" t="s">
        <v>852</v>
      </c>
    </row>
    <row r="674" spans="1:18" ht="15.75" hidden="1" customHeight="1" thickBot="1" x14ac:dyDescent="0.35">
      <c r="A674" s="234" t="s">
        <v>559</v>
      </c>
      <c r="B674" s="172"/>
      <c r="C674" s="172"/>
      <c r="D674" s="172"/>
      <c r="E674" s="38" t="s">
        <v>852</v>
      </c>
      <c r="F674" s="172"/>
      <c r="G674" s="172"/>
      <c r="H674" s="172"/>
      <c r="I674" s="38" t="s">
        <v>852</v>
      </c>
      <c r="J674" s="172"/>
      <c r="K674" s="172"/>
      <c r="L674" s="172"/>
      <c r="M674" s="38" t="s">
        <v>852</v>
      </c>
      <c r="N674" s="172"/>
      <c r="O674" s="172"/>
      <c r="P674" s="172"/>
      <c r="Q674" s="38" t="s">
        <v>852</v>
      </c>
      <c r="R674" s="38" t="s">
        <v>852</v>
      </c>
    </row>
    <row r="675" spans="1:18" ht="16.5" hidden="1" customHeight="1" thickBot="1" x14ac:dyDescent="0.35">
      <c r="A675" s="43" t="s">
        <v>1019</v>
      </c>
      <c r="B675" s="42">
        <f>SUM(B673:B674)</f>
        <v>0</v>
      </c>
      <c r="C675" s="42">
        <f>SUM(C673:C674)</f>
        <v>0</v>
      </c>
      <c r="D675" s="42">
        <f>SUM(D673:D674)</f>
        <v>0</v>
      </c>
      <c r="E675" s="39">
        <f>SUM(B675:D675)</f>
        <v>0</v>
      </c>
      <c r="F675" s="42">
        <f>SUM(F673:F674)</f>
        <v>0</v>
      </c>
      <c r="G675" s="42">
        <f>SUM(G673:G674)</f>
        <v>0</v>
      </c>
      <c r="H675" s="42">
        <f>SUM(H673:H674)</f>
        <v>0</v>
      </c>
      <c r="I675" s="39">
        <f>SUM(F675:H675)</f>
        <v>0</v>
      </c>
      <c r="J675" s="42">
        <f>SUM(J673:J674)</f>
        <v>0</v>
      </c>
      <c r="K675" s="42">
        <f>SUM(K673:K674)</f>
        <v>0</v>
      </c>
      <c r="L675" s="42">
        <f>SUM(L673:L674)</f>
        <v>0</v>
      </c>
      <c r="M675" s="39">
        <f>SUM(J675:L675)</f>
        <v>0</v>
      </c>
      <c r="N675" s="42">
        <f>SUM(N673:N674)</f>
        <v>0</v>
      </c>
      <c r="O675" s="42">
        <f>SUM(O673:O674)</f>
        <v>0</v>
      </c>
      <c r="P675" s="42">
        <f>SUM(P673:P674)</f>
        <v>0</v>
      </c>
      <c r="Q675" s="39">
        <f>SUM(N675:P675)</f>
        <v>0</v>
      </c>
      <c r="R675" s="37">
        <f>+E675+I675+M675+Q675</f>
        <v>0</v>
      </c>
    </row>
    <row r="676" spans="1:18" ht="16.5" hidden="1" customHeight="1" thickBot="1" x14ac:dyDescent="0.35">
      <c r="A676" s="277" t="s">
        <v>1221</v>
      </c>
      <c r="B676" s="45">
        <f>SUM(B666:B674)</f>
        <v>1020</v>
      </c>
      <c r="C676" s="46">
        <f>SUM(C666:C674)</f>
        <v>1020</v>
      </c>
      <c r="D676" s="58">
        <f>SUM(D666:D674)</f>
        <v>1020</v>
      </c>
      <c r="E676" s="39">
        <f>SUM(B676:D676)</f>
        <v>3060</v>
      </c>
      <c r="F676" s="46">
        <f>SUM(F666:F674)</f>
        <v>1020</v>
      </c>
      <c r="G676" s="46">
        <f>SUM(G666:G674)</f>
        <v>1020</v>
      </c>
      <c r="H676" s="46">
        <f>SUM(H666:H674)</f>
        <v>1020</v>
      </c>
      <c r="I676" s="39">
        <f>SUM(F676:H676)</f>
        <v>3060</v>
      </c>
      <c r="J676" s="46">
        <f>SUM(J666:J674)</f>
        <v>1020</v>
      </c>
      <c r="K676" s="46">
        <f>SUM(K666:K674)</f>
        <v>1020</v>
      </c>
      <c r="L676" s="46">
        <f>SUM(L666:L674)</f>
        <v>0</v>
      </c>
      <c r="M676" s="39">
        <f>SUM(J676:L676)</f>
        <v>2040</v>
      </c>
      <c r="N676" s="46">
        <f>SUM(N666:N674)</f>
        <v>0</v>
      </c>
      <c r="O676" s="46">
        <f>SUM(O666:O674)</f>
        <v>0</v>
      </c>
      <c r="P676" s="46">
        <f>SUM(P666:P674)</f>
        <v>0</v>
      </c>
      <c r="Q676" s="39">
        <f>SUM(N676:P676)</f>
        <v>0</v>
      </c>
      <c r="R676" s="37">
        <f>+E676+I676+M676+Q676</f>
        <v>8160</v>
      </c>
    </row>
    <row r="677" spans="1:18" ht="16.5" hidden="1" customHeight="1" thickBot="1" x14ac:dyDescent="0.35">
      <c r="A677" s="43" t="s">
        <v>1222</v>
      </c>
      <c r="B677" s="47">
        <f>+B652+B656+B665+B676</f>
        <v>3769</v>
      </c>
      <c r="C677" s="42">
        <f>+C652+C656+C665+C676</f>
        <v>7745</v>
      </c>
      <c r="D677" s="42">
        <f>+D652+D656+D665+D676</f>
        <v>12644</v>
      </c>
      <c r="E677" s="37">
        <f>SUM(B677:D677)</f>
        <v>24158</v>
      </c>
      <c r="F677" s="42">
        <f>+F652+F656+F665+F676</f>
        <v>16346</v>
      </c>
      <c r="G677" s="42">
        <f>+G652+G656+G665+G676</f>
        <v>16725</v>
      </c>
      <c r="H677" s="42">
        <f>+H652+H656+H665+H676</f>
        <v>14976</v>
      </c>
      <c r="I677" s="37">
        <f>SUM(F677:H677)</f>
        <v>48047</v>
      </c>
      <c r="J677" s="42">
        <f>+J652+J656+J665+J676</f>
        <v>16110</v>
      </c>
      <c r="K677" s="42">
        <f>+K652+K656+K665+K676</f>
        <v>15804</v>
      </c>
      <c r="L677" s="42">
        <f>+L652+L656+L665+L676</f>
        <v>12360</v>
      </c>
      <c r="M677" s="37">
        <f>SUM(J677:L677)</f>
        <v>44274</v>
      </c>
      <c r="N677" s="42">
        <f>+N652+N656+N665+N676</f>
        <v>3738</v>
      </c>
      <c r="O677" s="42">
        <f>+O652+O656+O665+O676</f>
        <v>5919</v>
      </c>
      <c r="P677" s="42">
        <f>+P652+P656+P665+P676</f>
        <v>9649</v>
      </c>
      <c r="Q677" s="37">
        <f>SUM(N677:P677)</f>
        <v>19306</v>
      </c>
      <c r="R677" s="40">
        <f>+E677+I677+M677+Q677</f>
        <v>135785</v>
      </c>
    </row>
    <row r="678" spans="1:18" ht="16.5" hidden="1" customHeight="1" thickBot="1" x14ac:dyDescent="0.35">
      <c r="A678" s="250" t="s">
        <v>853</v>
      </c>
      <c r="B678" s="238">
        <v>22</v>
      </c>
      <c r="C678" s="238">
        <v>24</v>
      </c>
      <c r="D678" s="238">
        <v>31</v>
      </c>
      <c r="E678" s="37">
        <f>SUM(B678:D678)</f>
        <v>77</v>
      </c>
      <c r="F678" s="238">
        <v>40</v>
      </c>
      <c r="G678" s="238">
        <v>45</v>
      </c>
      <c r="H678" s="238">
        <v>48</v>
      </c>
      <c r="I678" s="37">
        <f>SUM(F678:H678)</f>
        <v>133</v>
      </c>
      <c r="J678" s="238">
        <v>42</v>
      </c>
      <c r="K678" s="238">
        <v>39</v>
      </c>
      <c r="L678" s="238">
        <v>38</v>
      </c>
      <c r="M678" s="37">
        <f>SUM(J678:L678)</f>
        <v>119</v>
      </c>
      <c r="N678" s="238">
        <v>32</v>
      </c>
      <c r="O678" s="238">
        <v>25</v>
      </c>
      <c r="P678" s="238">
        <v>21</v>
      </c>
      <c r="Q678" s="37">
        <f>SUM(N678:P678)</f>
        <v>78</v>
      </c>
      <c r="R678" s="39">
        <f>+E678+I678+M678+Q678</f>
        <v>407</v>
      </c>
    </row>
    <row r="679" spans="1:18" ht="16.5" hidden="1" customHeight="1" thickBot="1" x14ac:dyDescent="0.35">
      <c r="A679" s="22"/>
      <c r="B679" s="242"/>
      <c r="C679" s="242"/>
      <c r="D679" s="242"/>
      <c r="E679" s="233"/>
      <c r="F679" s="242"/>
      <c r="G679" s="242"/>
      <c r="H679" s="242"/>
      <c r="I679" s="233"/>
      <c r="J679" s="242"/>
      <c r="K679" s="242"/>
      <c r="L679" s="242"/>
      <c r="M679" s="233"/>
      <c r="N679" s="242"/>
      <c r="O679" s="242"/>
      <c r="P679" s="242"/>
      <c r="Q679" s="233"/>
      <c r="R679" s="21"/>
    </row>
    <row r="680" spans="1:18" ht="15.75" hidden="1" customHeight="1" x14ac:dyDescent="0.3">
      <c r="A680" s="234" t="s">
        <v>120</v>
      </c>
      <c r="B680" s="172">
        <f>+SUM(B677:B678)</f>
        <v>3791</v>
      </c>
      <c r="C680" s="172">
        <f>+SUM(C677:C678)</f>
        <v>7769</v>
      </c>
      <c r="D680" s="172">
        <f>+SUM(D677:D678)</f>
        <v>12675</v>
      </c>
      <c r="E680" s="39">
        <f>SUM(B680:D680)</f>
        <v>24235</v>
      </c>
      <c r="F680" s="172">
        <f>+SUM(F677:F678)</f>
        <v>16386</v>
      </c>
      <c r="G680" s="172">
        <f>+SUM(G677:G678)</f>
        <v>16770</v>
      </c>
      <c r="H680" s="172">
        <f>+SUM(H677:H678)</f>
        <v>15024</v>
      </c>
      <c r="I680" s="39">
        <f>SUM(F680:H680)</f>
        <v>48180</v>
      </c>
      <c r="J680" s="172">
        <f>+SUM(J677:J678)</f>
        <v>16152</v>
      </c>
      <c r="K680" s="172">
        <f>+SUM(K677:K678)</f>
        <v>15843</v>
      </c>
      <c r="L680" s="172">
        <f>+SUM(L677:L678)</f>
        <v>12398</v>
      </c>
      <c r="M680" s="39">
        <f>SUM(J680:L680)</f>
        <v>44393</v>
      </c>
      <c r="N680" s="172">
        <f>+SUM(N677:N678)</f>
        <v>3770</v>
      </c>
      <c r="O680" s="172">
        <f>+SUM(O677:O678)</f>
        <v>5944</v>
      </c>
      <c r="P680" s="172">
        <f>+SUM(P677:P678)</f>
        <v>9670</v>
      </c>
      <c r="Q680" s="39">
        <f>SUM(N680:P680)</f>
        <v>19384</v>
      </c>
      <c r="R680" s="39">
        <f>+E680+I680+M680+Q680</f>
        <v>136192</v>
      </c>
    </row>
    <row r="681" spans="1:18" ht="15.75" hidden="1" customHeight="1" x14ac:dyDescent="0.3">
      <c r="A681" s="234" t="s">
        <v>1897</v>
      </c>
      <c r="B681" s="172">
        <f>(B680/B10)/1.983</f>
        <v>61.669350771883593</v>
      </c>
      <c r="C681" s="172">
        <f>(C680/C10)/1.983</f>
        <v>135.09659693602515</v>
      </c>
      <c r="D681" s="172">
        <f>(D680/D10)/1.983</f>
        <v>206.18808257283683</v>
      </c>
      <c r="E681" s="38" t="s">
        <v>852</v>
      </c>
      <c r="F681" s="172">
        <f>(F680/F10)/1.983</f>
        <v>275.44125063035807</v>
      </c>
      <c r="G681" s="172">
        <f>(G680/G10)/1.983</f>
        <v>272.80269386559951</v>
      </c>
      <c r="H681" s="172">
        <f>(H680/H10)/1.983</f>
        <v>252.54664649520927</v>
      </c>
      <c r="I681" s="38" t="s">
        <v>852</v>
      </c>
      <c r="J681" s="172">
        <f>(J680/J10)/1.983</f>
        <v>262.74949978039137</v>
      </c>
      <c r="K681" s="172">
        <f>(K680/K10)/1.983</f>
        <v>257.72290273778731</v>
      </c>
      <c r="L681" s="172">
        <f>(L680/L10)/1.983</f>
        <v>208.40477391158177</v>
      </c>
      <c r="M681" s="38" t="s">
        <v>852</v>
      </c>
      <c r="N681" s="172">
        <f>(N680/N10)/1.983</f>
        <v>61.327737380638652</v>
      </c>
      <c r="O681" s="172">
        <f>(O680/O10)/1.983</f>
        <v>99.915952260884168</v>
      </c>
      <c r="P681" s="172">
        <f>(P680/P10)/1.983</f>
        <v>157.30483301612088</v>
      </c>
      <c r="Q681" s="38" t="s">
        <v>852</v>
      </c>
      <c r="R681" s="38" t="s">
        <v>852</v>
      </c>
    </row>
    <row r="682" spans="1:18" ht="15.75" hidden="1" customHeight="1" x14ac:dyDescent="0.3">
      <c r="A682" s="234" t="s">
        <v>2390</v>
      </c>
      <c r="B682" s="172">
        <f>B680+B692</f>
        <v>7671</v>
      </c>
      <c r="C682" s="172">
        <f>C680+C692</f>
        <v>10784</v>
      </c>
      <c r="D682" s="172">
        <f>D680+D692</f>
        <v>16667</v>
      </c>
      <c r="E682" s="38">
        <f>SUM(B682:D682)</f>
        <v>35122</v>
      </c>
      <c r="F682" s="172">
        <f>F680+F692</f>
        <v>20553</v>
      </c>
      <c r="G682" s="172">
        <f>G680+G692</f>
        <v>20876</v>
      </c>
      <c r="H682" s="172">
        <f>H680+H692</f>
        <v>19414</v>
      </c>
      <c r="I682" s="38">
        <f>SUM(F682:H682)</f>
        <v>60843</v>
      </c>
      <c r="J682" s="172">
        <f>J680+J692</f>
        <v>19806</v>
      </c>
      <c r="K682" s="172">
        <f>K680+K692</f>
        <v>17993</v>
      </c>
      <c r="L682" s="172">
        <f>L680+L692</f>
        <v>17223</v>
      </c>
      <c r="M682" s="38">
        <f>SUM(J682:L682)</f>
        <v>55022</v>
      </c>
      <c r="N682" s="172">
        <f>N680+N692</f>
        <v>5629</v>
      </c>
      <c r="O682" s="172">
        <f>O680+O692</f>
        <v>7111</v>
      </c>
      <c r="P682" s="172">
        <f>P680+P692</f>
        <v>14093</v>
      </c>
      <c r="Q682" s="38">
        <f>SUM(N682:P682)</f>
        <v>26833</v>
      </c>
      <c r="R682" s="38">
        <f>+E682+I682+M682+Q682</f>
        <v>177820</v>
      </c>
    </row>
    <row r="683" spans="1:18" ht="16.5" hidden="1" customHeight="1" thickBot="1" x14ac:dyDescent="0.35">
      <c r="A683" s="237" t="s">
        <v>1716</v>
      </c>
      <c r="B683" s="238">
        <f>(B682/B10)/1.983</f>
        <v>124.7864916304719</v>
      </c>
      <c r="C683" s="238">
        <f>(C682/C10)/1.983</f>
        <v>187.52499695689221</v>
      </c>
      <c r="D683" s="238">
        <f>(D682/D10)/1.983</f>
        <v>271.12716151806484</v>
      </c>
      <c r="E683" s="40" t="s">
        <v>852</v>
      </c>
      <c r="F683" s="238">
        <f>(F682/F10)/1.983</f>
        <v>345.48663640948058</v>
      </c>
      <c r="G683" s="238">
        <f>(G682/G10)/1.983</f>
        <v>339.59624550615712</v>
      </c>
      <c r="H683" s="238">
        <f>(H682/H10)/1.983</f>
        <v>326.34056143889728</v>
      </c>
      <c r="I683" s="40" t="s">
        <v>852</v>
      </c>
      <c r="J683" s="238">
        <f>(J682/J10)/1.983</f>
        <v>322.19022985701037</v>
      </c>
      <c r="K683" s="238">
        <f>(K682/K10)/1.983</f>
        <v>292.69760707953083</v>
      </c>
      <c r="L683" s="238">
        <f>(L682/L10)/1.983</f>
        <v>289.51084215834595</v>
      </c>
      <c r="M683" s="40" t="s">
        <v>852</v>
      </c>
      <c r="N683" s="238">
        <f>(N682/N10)/1.983</f>
        <v>91.568656157988059</v>
      </c>
      <c r="O683" s="238">
        <f>(O682/O10)/1.983</f>
        <v>119.53269457051604</v>
      </c>
      <c r="P683" s="238">
        <f>(P682/P10)/1.983</f>
        <v>229.25512013404258</v>
      </c>
      <c r="Q683" s="40" t="s">
        <v>852</v>
      </c>
      <c r="R683" s="40" t="s">
        <v>852</v>
      </c>
    </row>
    <row r="684" spans="1:18" ht="15.75" hidden="1" customHeight="1" x14ac:dyDescent="0.3">
      <c r="A684" s="17"/>
      <c r="B684" s="172"/>
      <c r="C684" s="172"/>
      <c r="D684" s="172"/>
      <c r="E684" s="172"/>
      <c r="F684" s="172"/>
      <c r="G684" s="172"/>
      <c r="H684" s="172"/>
      <c r="I684" s="172"/>
      <c r="J684" s="172"/>
      <c r="K684" s="172"/>
      <c r="L684" s="172"/>
      <c r="M684" s="172"/>
      <c r="N684" s="172"/>
      <c r="O684" s="172"/>
      <c r="P684" s="172"/>
      <c r="Q684" s="172"/>
      <c r="R684" s="17"/>
    </row>
    <row r="685" spans="1:18" ht="15.75" hidden="1" customHeight="1" thickBot="1" x14ac:dyDescent="0.35">
      <c r="A685" s="17"/>
      <c r="B685" s="172"/>
      <c r="C685" s="172"/>
      <c r="D685" s="172"/>
      <c r="E685" s="172"/>
      <c r="F685" s="172"/>
      <c r="G685" s="172"/>
      <c r="H685" s="172"/>
      <c r="I685" s="172"/>
      <c r="J685" s="172"/>
      <c r="K685" s="172"/>
      <c r="L685" s="172"/>
      <c r="M685" s="172"/>
      <c r="N685" s="172"/>
      <c r="O685" s="172"/>
      <c r="P685" s="172"/>
      <c r="Q685" s="172"/>
      <c r="R685" s="17"/>
    </row>
    <row r="686" spans="1:18" ht="16.5" hidden="1" customHeight="1" thickBot="1" x14ac:dyDescent="0.35">
      <c r="A686" s="278" t="s">
        <v>374</v>
      </c>
      <c r="B686" s="4" t="s">
        <v>2090</v>
      </c>
      <c r="C686" s="5" t="s">
        <v>2091</v>
      </c>
      <c r="D686" s="5" t="s">
        <v>2234</v>
      </c>
      <c r="E686" s="33" t="s">
        <v>1594</v>
      </c>
      <c r="F686" s="5" t="s">
        <v>2235</v>
      </c>
      <c r="G686" s="5" t="s">
        <v>2236</v>
      </c>
      <c r="H686" s="5" t="s">
        <v>2237</v>
      </c>
      <c r="I686" s="35" t="s">
        <v>1595</v>
      </c>
      <c r="J686" s="5" t="s">
        <v>1504</v>
      </c>
      <c r="K686" s="5" t="s">
        <v>1505</v>
      </c>
      <c r="L686" s="5" t="s">
        <v>1506</v>
      </c>
      <c r="M686" s="35" t="s">
        <v>1596</v>
      </c>
      <c r="N686" s="5" t="s">
        <v>1507</v>
      </c>
      <c r="O686" s="5" t="s">
        <v>1508</v>
      </c>
      <c r="P686" s="5" t="s">
        <v>1509</v>
      </c>
      <c r="Q686" s="35" t="s">
        <v>1597</v>
      </c>
      <c r="R686" s="36" t="s">
        <v>1510</v>
      </c>
    </row>
    <row r="687" spans="1:18" ht="16.5" hidden="1" customHeight="1" thickBot="1" x14ac:dyDescent="0.35">
      <c r="A687" s="22"/>
      <c r="B687" s="242"/>
      <c r="C687" s="242"/>
      <c r="D687" s="242"/>
      <c r="E687" s="243"/>
      <c r="F687" s="242"/>
      <c r="G687" s="242"/>
      <c r="H687" s="242"/>
      <c r="I687" s="243"/>
      <c r="J687" s="242"/>
      <c r="K687" s="242"/>
      <c r="L687" s="242"/>
      <c r="M687" s="243"/>
      <c r="N687" s="242"/>
      <c r="O687" s="242"/>
      <c r="P687" s="242"/>
      <c r="Q687" s="243"/>
      <c r="R687" s="22"/>
    </row>
    <row r="688" spans="1:18" ht="16.5" hidden="1" customHeight="1" thickBot="1" x14ac:dyDescent="0.35">
      <c r="A688" s="244" t="s">
        <v>853</v>
      </c>
      <c r="B688" s="238">
        <v>2</v>
      </c>
      <c r="C688" s="238">
        <v>3</v>
      </c>
      <c r="D688" s="238">
        <v>5</v>
      </c>
      <c r="E688" s="38">
        <f>SUM(B688:D688)</f>
        <v>10</v>
      </c>
      <c r="F688" s="238">
        <v>7</v>
      </c>
      <c r="G688" s="238">
        <v>8</v>
      </c>
      <c r="H688" s="238">
        <v>9</v>
      </c>
      <c r="I688" s="38">
        <f>SUM(F688:H688)</f>
        <v>24</v>
      </c>
      <c r="J688" s="238">
        <v>7</v>
      </c>
      <c r="K688" s="238">
        <v>6</v>
      </c>
      <c r="L688" s="238">
        <v>6</v>
      </c>
      <c r="M688" s="38">
        <f>SUM(J688:L688)</f>
        <v>19</v>
      </c>
      <c r="N688" s="238">
        <v>5</v>
      </c>
      <c r="O688" s="238">
        <v>3</v>
      </c>
      <c r="P688" s="238">
        <v>2</v>
      </c>
      <c r="Q688" s="38">
        <f>SUM(N688:P688)</f>
        <v>10</v>
      </c>
      <c r="R688" s="39">
        <f>+E688+I688+M688+Q688</f>
        <v>63</v>
      </c>
    </row>
    <row r="689" spans="1:18" ht="16.5" hidden="1" customHeight="1" thickBot="1" x14ac:dyDescent="0.35">
      <c r="A689" s="22"/>
      <c r="B689" s="242"/>
      <c r="C689" s="242"/>
      <c r="D689" s="242"/>
      <c r="E689" s="233"/>
      <c r="F689" s="242"/>
      <c r="G689" s="242"/>
      <c r="H689" s="242"/>
      <c r="I689" s="233"/>
      <c r="J689" s="242"/>
      <c r="K689" s="242"/>
      <c r="L689" s="242"/>
      <c r="M689" s="233"/>
      <c r="N689" s="242"/>
      <c r="O689" s="242"/>
      <c r="P689" s="242"/>
      <c r="Q689" s="233"/>
      <c r="R689" s="21"/>
    </row>
    <row r="690" spans="1:18" ht="15.75" hidden="1" customHeight="1" x14ac:dyDescent="0.3">
      <c r="A690" s="234" t="s">
        <v>120</v>
      </c>
      <c r="B690" s="172">
        <f>B688</f>
        <v>2</v>
      </c>
      <c r="C690" s="172">
        <f>C688</f>
        <v>3</v>
      </c>
      <c r="D690" s="172">
        <f>D688</f>
        <v>5</v>
      </c>
      <c r="E690" s="39">
        <f>SUM(B690:D690)</f>
        <v>10</v>
      </c>
      <c r="F690" s="172">
        <f>F688</f>
        <v>7</v>
      </c>
      <c r="G690" s="172">
        <f>G688</f>
        <v>8</v>
      </c>
      <c r="H690" s="172">
        <f>H688</f>
        <v>9</v>
      </c>
      <c r="I690" s="39">
        <f>SUM(F690:H690)</f>
        <v>24</v>
      </c>
      <c r="J690" s="172">
        <f>J688</f>
        <v>7</v>
      </c>
      <c r="K690" s="172">
        <f>K688</f>
        <v>6</v>
      </c>
      <c r="L690" s="172">
        <f>L688</f>
        <v>6</v>
      </c>
      <c r="M690" s="39">
        <f>SUM(J690:L690)</f>
        <v>19</v>
      </c>
      <c r="N690" s="172">
        <f>N688</f>
        <v>5</v>
      </c>
      <c r="O690" s="172">
        <f>O688</f>
        <v>3</v>
      </c>
      <c r="P690" s="172">
        <f>P688</f>
        <v>2</v>
      </c>
      <c r="Q690" s="39">
        <f>SUM(N690:P690)</f>
        <v>10</v>
      </c>
      <c r="R690" s="39">
        <f>+E690+I690+M690+Q690</f>
        <v>63</v>
      </c>
    </row>
    <row r="691" spans="1:18" ht="15.75" hidden="1" customHeight="1" x14ac:dyDescent="0.3">
      <c r="A691" s="234" t="s">
        <v>1897</v>
      </c>
      <c r="B691" s="172">
        <f>(B690/B10)/1.983</f>
        <v>3.2534608689993978E-2</v>
      </c>
      <c r="C691" s="172">
        <f>(C690/C10)/1.983</f>
        <v>5.2167562209817935E-2</v>
      </c>
      <c r="D691" s="172">
        <f>(D690/D10)/1.983</f>
        <v>8.1336521724984942E-2</v>
      </c>
      <c r="E691" s="38" t="s">
        <v>852</v>
      </c>
      <c r="F691" s="172">
        <f>(F690/F10)/1.983</f>
        <v>0.1176668347621449</v>
      </c>
      <c r="G691" s="172">
        <f>(G690/G10)/1.983</f>
        <v>0.13013843475997591</v>
      </c>
      <c r="H691" s="172">
        <f>(H690/H10)/1.983</f>
        <v>0.15128593040847199</v>
      </c>
      <c r="I691" s="38" t="s">
        <v>852</v>
      </c>
      <c r="J691" s="172">
        <f>(J690/J10)/1.983</f>
        <v>0.11387113041497893</v>
      </c>
      <c r="K691" s="172">
        <f>(K690/K10)/1.983</f>
        <v>9.7603826069981942E-2</v>
      </c>
      <c r="L691" s="172">
        <f>(L690/L10)/1.983</f>
        <v>0.10085728693898134</v>
      </c>
      <c r="M691" s="38" t="s">
        <v>852</v>
      </c>
      <c r="N691" s="172">
        <f>(N690/N10)/1.983</f>
        <v>8.1336521724984942E-2</v>
      </c>
      <c r="O691" s="172">
        <f>(O690/O10)/1.983</f>
        <v>5.0428643469490671E-2</v>
      </c>
      <c r="P691" s="172">
        <f>(P690/P10)/1.983</f>
        <v>3.2534608689993978E-2</v>
      </c>
      <c r="Q691" s="38" t="s">
        <v>852</v>
      </c>
      <c r="R691" s="38" t="s">
        <v>852</v>
      </c>
    </row>
    <row r="692" spans="1:18" ht="15.75" hidden="1" customHeight="1" x14ac:dyDescent="0.3">
      <c r="A692" s="234" t="s">
        <v>585</v>
      </c>
      <c r="B692" s="172">
        <f>B690+B726+B774-B721</f>
        <v>3880</v>
      </c>
      <c r="C692" s="172">
        <f>C690+C726+C774-C721</f>
        <v>3015</v>
      </c>
      <c r="D692" s="172">
        <f>D690+D726+D774-D721</f>
        <v>3992</v>
      </c>
      <c r="E692" s="38">
        <f>SUM(B692:D692)</f>
        <v>10887</v>
      </c>
      <c r="F692" s="172">
        <f>F690+F726+F774-F721</f>
        <v>4167</v>
      </c>
      <c r="G692" s="172">
        <f>G690+G726+G774-G721</f>
        <v>4106</v>
      </c>
      <c r="H692" s="172">
        <f>H690+H726+H774-H721</f>
        <v>4390</v>
      </c>
      <c r="I692" s="38">
        <f>SUM(F692:H692)</f>
        <v>12663</v>
      </c>
      <c r="J692" s="172">
        <f>J690+J726+J774-J721</f>
        <v>3654</v>
      </c>
      <c r="K692" s="172">
        <f>K690+K726+K774-K721</f>
        <v>2150</v>
      </c>
      <c r="L692" s="172">
        <f>L690+L726+L774-L721</f>
        <v>4825</v>
      </c>
      <c r="M692" s="38">
        <f>SUM(J692:L692)</f>
        <v>10629</v>
      </c>
      <c r="N692" s="172">
        <f>N690+N726+N774-N721</f>
        <v>1859</v>
      </c>
      <c r="O692" s="172">
        <f>O690+O726+O774-O721</f>
        <v>1167</v>
      </c>
      <c r="P692" s="172">
        <f>P690+P726+P774-P721</f>
        <v>4423</v>
      </c>
      <c r="Q692" s="38">
        <f>SUM(N692:P692)</f>
        <v>7449</v>
      </c>
      <c r="R692" s="38">
        <f>+E692+I692+M692+Q692</f>
        <v>41628</v>
      </c>
    </row>
    <row r="693" spans="1:18" ht="16.5" hidden="1" customHeight="1" thickBot="1" x14ac:dyDescent="0.35">
      <c r="A693" s="237" t="s">
        <v>57</v>
      </c>
      <c r="B693" s="238">
        <f>(B692/B10)/1.983</f>
        <v>63.117140858588321</v>
      </c>
      <c r="C693" s="238">
        <f>(C692/C10)/1.983</f>
        <v>52.428400020867024</v>
      </c>
      <c r="D693" s="238">
        <f>(D692/D10)/1.983</f>
        <v>64.93907894522799</v>
      </c>
      <c r="E693" s="40" t="s">
        <v>852</v>
      </c>
      <c r="F693" s="238">
        <f>(F692/F10)/1.983</f>
        <v>70.04538577912254</v>
      </c>
      <c r="G693" s="238">
        <f>(G692/G10)/1.983</f>
        <v>66.793551640557638</v>
      </c>
      <c r="H693" s="238">
        <f>(H692/H10)/1.983</f>
        <v>73.793914943688023</v>
      </c>
      <c r="I693" s="40" t="s">
        <v>852</v>
      </c>
      <c r="J693" s="238">
        <f>(J692/J10)/1.983</f>
        <v>59.440730076619005</v>
      </c>
      <c r="K693" s="238">
        <f>(K692/K10)/1.983</f>
        <v>34.974704341743532</v>
      </c>
      <c r="L693" s="238">
        <f>(L692/L10)/1.983</f>
        <v>81.106068246764167</v>
      </c>
      <c r="M693" s="40" t="s">
        <v>852</v>
      </c>
      <c r="N693" s="238">
        <f>(N692/N10)/1.983</f>
        <v>30.240918777349403</v>
      </c>
      <c r="O693" s="238">
        <f>(O692/O10)/1.983</f>
        <v>19.616742309631871</v>
      </c>
      <c r="P693" s="238">
        <f>(P692/P10)/1.983</f>
        <v>71.95028711792169</v>
      </c>
      <c r="Q693" s="40" t="s">
        <v>852</v>
      </c>
      <c r="R693" s="40" t="s">
        <v>852</v>
      </c>
    </row>
    <row r="694" spans="1:18" ht="15.75" hidden="1" customHeight="1" x14ac:dyDescent="0.3">
      <c r="A694" s="17"/>
      <c r="B694" s="172"/>
      <c r="C694" s="172"/>
      <c r="D694" s="172"/>
      <c r="E694" s="172"/>
      <c r="F694" s="172"/>
      <c r="G694" s="172"/>
      <c r="H694" s="172"/>
      <c r="I694" s="172"/>
      <c r="J694" s="172"/>
      <c r="K694" s="172"/>
      <c r="L694" s="172"/>
      <c r="M694" s="172"/>
      <c r="N694" s="172"/>
      <c r="O694" s="172"/>
      <c r="P694" s="172"/>
      <c r="Q694" s="172"/>
      <c r="R694" s="17"/>
    </row>
    <row r="695" spans="1:18" ht="15.75" hidden="1" customHeight="1" thickBot="1" x14ac:dyDescent="0.35">
      <c r="A695" s="17"/>
      <c r="B695" s="172"/>
      <c r="C695" s="172"/>
      <c r="D695" s="172"/>
      <c r="E695" s="172"/>
      <c r="F695" s="172"/>
      <c r="G695" s="172"/>
      <c r="H695" s="172"/>
      <c r="I695" s="172"/>
      <c r="J695" s="172"/>
      <c r="K695" s="172"/>
      <c r="L695" s="172"/>
      <c r="M695" s="172"/>
      <c r="N695" s="172"/>
      <c r="O695" s="172"/>
      <c r="P695" s="172"/>
      <c r="Q695" s="172"/>
      <c r="R695" s="17"/>
    </row>
    <row r="696" spans="1:18" ht="16.5" hidden="1" customHeight="1" thickBot="1" x14ac:dyDescent="0.35">
      <c r="A696" s="278" t="s">
        <v>1709</v>
      </c>
      <c r="B696" s="4" t="s">
        <v>2090</v>
      </c>
      <c r="C696" s="5" t="s">
        <v>2091</v>
      </c>
      <c r="D696" s="5" t="s">
        <v>2234</v>
      </c>
      <c r="E696" s="35" t="s">
        <v>1594</v>
      </c>
      <c r="F696" s="5" t="s">
        <v>2235</v>
      </c>
      <c r="G696" s="5" t="s">
        <v>2236</v>
      </c>
      <c r="H696" s="5" t="s">
        <v>2237</v>
      </c>
      <c r="I696" s="35" t="s">
        <v>1595</v>
      </c>
      <c r="J696" s="5" t="s">
        <v>1504</v>
      </c>
      <c r="K696" s="5" t="s">
        <v>1505</v>
      </c>
      <c r="L696" s="5" t="s">
        <v>1506</v>
      </c>
      <c r="M696" s="35" t="s">
        <v>1596</v>
      </c>
      <c r="N696" s="5" t="s">
        <v>1507</v>
      </c>
      <c r="O696" s="5" t="s">
        <v>1508</v>
      </c>
      <c r="P696" s="5" t="s">
        <v>1509</v>
      </c>
      <c r="Q696" s="35" t="s">
        <v>1597</v>
      </c>
      <c r="R696" s="59" t="s">
        <v>1510</v>
      </c>
    </row>
    <row r="697" spans="1:18" ht="16.5" hidden="1" customHeight="1" thickBot="1" x14ac:dyDescent="0.35">
      <c r="A697" s="22"/>
      <c r="B697" s="242"/>
      <c r="C697" s="242"/>
      <c r="D697" s="242"/>
      <c r="E697" s="282"/>
      <c r="F697" s="242"/>
      <c r="G697" s="242"/>
      <c r="H697" s="242"/>
      <c r="I697" s="282"/>
      <c r="J697" s="242"/>
      <c r="K697" s="242"/>
      <c r="L697" s="242"/>
      <c r="M697" s="282"/>
      <c r="N697" s="242"/>
      <c r="O697" s="242"/>
      <c r="P697" s="242"/>
      <c r="Q697" s="282"/>
      <c r="R697" s="19"/>
    </row>
    <row r="698" spans="1:18" ht="15.75" hidden="1" customHeight="1" x14ac:dyDescent="0.3">
      <c r="A698" s="234" t="s">
        <v>2417</v>
      </c>
      <c r="B698" s="172" t="s">
        <v>852</v>
      </c>
      <c r="C698" s="172" t="s">
        <v>852</v>
      </c>
      <c r="D698" s="172" t="s">
        <v>852</v>
      </c>
      <c r="E698" s="38" t="s">
        <v>852</v>
      </c>
      <c r="F698" s="172" t="s">
        <v>852</v>
      </c>
      <c r="G698" s="172" t="s">
        <v>852</v>
      </c>
      <c r="H698" s="172" t="s">
        <v>852</v>
      </c>
      <c r="I698" s="38" t="s">
        <v>852</v>
      </c>
      <c r="J698" s="172" t="s">
        <v>852</v>
      </c>
      <c r="K698" s="172" t="s">
        <v>852</v>
      </c>
      <c r="L698" s="172" t="s">
        <v>852</v>
      </c>
      <c r="M698" s="38" t="s">
        <v>852</v>
      </c>
      <c r="N698" s="172" t="s">
        <v>852</v>
      </c>
      <c r="O698" s="172" t="s">
        <v>852</v>
      </c>
      <c r="P698" s="172" t="s">
        <v>852</v>
      </c>
      <c r="Q698" s="38" t="s">
        <v>852</v>
      </c>
      <c r="R698" s="38" t="s">
        <v>852</v>
      </c>
    </row>
    <row r="699" spans="1:18" ht="15.75" hidden="1" customHeight="1" x14ac:dyDescent="0.3">
      <c r="A699" s="234" t="s">
        <v>2160</v>
      </c>
      <c r="B699" s="172"/>
      <c r="C699" s="172"/>
      <c r="D699" s="172"/>
      <c r="E699" s="38" t="s">
        <v>852</v>
      </c>
      <c r="F699" s="172"/>
      <c r="G699" s="172"/>
      <c r="H699" s="172"/>
      <c r="I699" s="38" t="s">
        <v>852</v>
      </c>
      <c r="J699" s="172"/>
      <c r="K699" s="172"/>
      <c r="L699" s="172"/>
      <c r="M699" s="38" t="s">
        <v>852</v>
      </c>
      <c r="N699" s="172"/>
      <c r="O699" s="172"/>
      <c r="P699" s="172"/>
      <c r="Q699" s="38" t="s">
        <v>852</v>
      </c>
      <c r="R699" s="38" t="s">
        <v>852</v>
      </c>
    </row>
    <row r="700" spans="1:18" ht="15.75" hidden="1" customHeight="1" x14ac:dyDescent="0.3">
      <c r="A700" s="266" t="s">
        <v>573</v>
      </c>
      <c r="B700" s="172"/>
      <c r="C700" s="172"/>
      <c r="D700" s="172"/>
      <c r="E700" s="38">
        <f>SUM(B700:D700)</f>
        <v>0</v>
      </c>
      <c r="F700" s="172">
        <v>42</v>
      </c>
      <c r="G700" s="172"/>
      <c r="H700" s="172"/>
      <c r="I700" s="38">
        <f>SUM(F700:H700)</f>
        <v>42</v>
      </c>
      <c r="J700" s="172">
        <v>3</v>
      </c>
      <c r="K700" s="172"/>
      <c r="L700" s="172"/>
      <c r="M700" s="38">
        <f>SUM(J700:L700)</f>
        <v>3</v>
      </c>
      <c r="N700" s="172"/>
      <c r="O700" s="172"/>
      <c r="P700" s="172"/>
      <c r="Q700" s="38">
        <f>SUM(N700:P700)</f>
        <v>0</v>
      </c>
      <c r="R700" s="38">
        <f>+E700+I700+M700+Q700</f>
        <v>45</v>
      </c>
    </row>
    <row r="701" spans="1:18" ht="15.75" hidden="1" customHeight="1" x14ac:dyDescent="0.3">
      <c r="A701" s="234" t="s">
        <v>2161</v>
      </c>
      <c r="B701" s="172"/>
      <c r="C701" s="172"/>
      <c r="D701" s="172"/>
      <c r="E701" s="38" t="s">
        <v>852</v>
      </c>
      <c r="F701" s="172"/>
      <c r="G701" s="172"/>
      <c r="H701" s="172"/>
      <c r="I701" s="38" t="s">
        <v>852</v>
      </c>
      <c r="J701" s="172"/>
      <c r="K701" s="172"/>
      <c r="L701" s="172"/>
      <c r="M701" s="38" t="s">
        <v>852</v>
      </c>
      <c r="N701" s="172"/>
      <c r="O701" s="172"/>
      <c r="P701" s="172"/>
      <c r="Q701" s="38" t="s">
        <v>852</v>
      </c>
      <c r="R701" s="38" t="s">
        <v>852</v>
      </c>
    </row>
    <row r="702" spans="1:18" ht="15.75" hidden="1" customHeight="1" x14ac:dyDescent="0.3">
      <c r="A702" s="234" t="s">
        <v>2162</v>
      </c>
      <c r="B702" s="172"/>
      <c r="C702" s="172"/>
      <c r="D702" s="172"/>
      <c r="E702" s="38" t="s">
        <v>852</v>
      </c>
      <c r="F702" s="172"/>
      <c r="G702" s="172"/>
      <c r="H702" s="172"/>
      <c r="I702" s="38" t="s">
        <v>852</v>
      </c>
      <c r="J702" s="172"/>
      <c r="K702" s="172"/>
      <c r="L702" s="172"/>
      <c r="M702" s="38" t="s">
        <v>852</v>
      </c>
      <c r="N702" s="172"/>
      <c r="O702" s="172"/>
      <c r="P702" s="172"/>
      <c r="Q702" s="38" t="s">
        <v>852</v>
      </c>
      <c r="R702" s="38" t="s">
        <v>852</v>
      </c>
    </row>
    <row r="703" spans="1:18" ht="15.75" hidden="1" customHeight="1" thickBot="1" x14ac:dyDescent="0.35">
      <c r="A703" s="234" t="s">
        <v>2164</v>
      </c>
      <c r="B703" s="172"/>
      <c r="C703" s="172"/>
      <c r="D703" s="172"/>
      <c r="E703" s="38" t="s">
        <v>852</v>
      </c>
      <c r="F703" s="172"/>
      <c r="G703" s="172"/>
      <c r="H703" s="172"/>
      <c r="I703" s="38" t="s">
        <v>852</v>
      </c>
      <c r="J703" s="172"/>
      <c r="K703" s="172"/>
      <c r="L703" s="172"/>
      <c r="M703" s="38" t="s">
        <v>852</v>
      </c>
      <c r="N703" s="172"/>
      <c r="O703" s="172"/>
      <c r="P703" s="172"/>
      <c r="Q703" s="38" t="s">
        <v>852</v>
      </c>
      <c r="R703" s="38" t="s">
        <v>852</v>
      </c>
    </row>
    <row r="704" spans="1:18" ht="16.5" hidden="1" customHeight="1" thickBot="1" x14ac:dyDescent="0.35">
      <c r="A704" s="43" t="s">
        <v>1218</v>
      </c>
      <c r="B704" s="45">
        <f>SUM(B698:B703)</f>
        <v>0</v>
      </c>
      <c r="C704" s="46">
        <f>SUM(C698:C703)</f>
        <v>0</v>
      </c>
      <c r="D704" s="46">
        <f>SUM(D698:D703)</f>
        <v>0</v>
      </c>
      <c r="E704" s="37">
        <f>SUM(B704:D704)</f>
        <v>0</v>
      </c>
      <c r="F704" s="46">
        <f>SUM(F698:F703)</f>
        <v>42</v>
      </c>
      <c r="G704" s="46">
        <f>SUM(G698:G703)</f>
        <v>0</v>
      </c>
      <c r="H704" s="46">
        <f>SUM(H698:H703)</f>
        <v>0</v>
      </c>
      <c r="I704" s="37">
        <f>SUM(F704:H704)</f>
        <v>42</v>
      </c>
      <c r="J704" s="46">
        <f>SUM(J698:J703)</f>
        <v>3</v>
      </c>
      <c r="K704" s="46">
        <f>SUM(K698:K703)</f>
        <v>0</v>
      </c>
      <c r="L704" s="46">
        <f>SUM(L698:L703)</f>
        <v>0</v>
      </c>
      <c r="M704" s="37">
        <f>SUM(J704:L704)</f>
        <v>3</v>
      </c>
      <c r="N704" s="46">
        <f>SUM(N698:N703)</f>
        <v>0</v>
      </c>
      <c r="O704" s="46">
        <f>SUM(O698:O703)</f>
        <v>0</v>
      </c>
      <c r="P704" s="46">
        <f>SUM(P698:P703)</f>
        <v>0</v>
      </c>
      <c r="Q704" s="37">
        <f>SUM(N704:P704)</f>
        <v>0</v>
      </c>
      <c r="R704" s="37">
        <f>+E704+I704+M704+Q704</f>
        <v>45</v>
      </c>
    </row>
    <row r="705" spans="1:18" ht="15.75" hidden="1" customHeight="1" x14ac:dyDescent="0.3">
      <c r="A705" s="234" t="s">
        <v>1172</v>
      </c>
      <c r="B705" s="172"/>
      <c r="C705" s="172"/>
      <c r="D705" s="172"/>
      <c r="E705" s="38" t="s">
        <v>852</v>
      </c>
      <c r="F705" s="172"/>
      <c r="G705" s="172"/>
      <c r="H705" s="172"/>
      <c r="I705" s="38" t="s">
        <v>852</v>
      </c>
      <c r="J705" s="172"/>
      <c r="K705" s="172"/>
      <c r="L705" s="172"/>
      <c r="M705" s="38" t="s">
        <v>852</v>
      </c>
      <c r="N705" s="172"/>
      <c r="O705" s="172"/>
      <c r="P705" s="172"/>
      <c r="Q705" s="38" t="s">
        <v>852</v>
      </c>
      <c r="R705" s="38" t="s">
        <v>852</v>
      </c>
    </row>
    <row r="706" spans="1:18" ht="15.75" hidden="1" customHeight="1" x14ac:dyDescent="0.3">
      <c r="A706" s="234" t="s">
        <v>2409</v>
      </c>
      <c r="B706" s="172"/>
      <c r="C706" s="172"/>
      <c r="D706" s="172"/>
      <c r="E706" s="38" t="s">
        <v>852</v>
      </c>
      <c r="F706" s="172"/>
      <c r="G706" s="172"/>
      <c r="H706" s="172"/>
      <c r="I706" s="38" t="s">
        <v>852</v>
      </c>
      <c r="J706" s="172"/>
      <c r="K706" s="172"/>
      <c r="L706" s="172"/>
      <c r="M706" s="38" t="s">
        <v>852</v>
      </c>
      <c r="N706" s="172"/>
      <c r="O706" s="172"/>
      <c r="P706" s="172"/>
      <c r="Q706" s="38" t="s">
        <v>852</v>
      </c>
      <c r="R706" s="38" t="s">
        <v>852</v>
      </c>
    </row>
    <row r="707" spans="1:18" ht="15.75" hidden="1" customHeight="1" thickBot="1" x14ac:dyDescent="0.35">
      <c r="A707" s="234" t="s">
        <v>2165</v>
      </c>
      <c r="B707" s="172"/>
      <c r="C707" s="172"/>
      <c r="D707" s="172"/>
      <c r="E707" s="38" t="s">
        <v>852</v>
      </c>
      <c r="F707" s="172"/>
      <c r="G707" s="172"/>
      <c r="H707" s="172"/>
      <c r="I707" s="38" t="s">
        <v>852</v>
      </c>
      <c r="J707" s="172"/>
      <c r="K707" s="172"/>
      <c r="L707" s="172"/>
      <c r="M707" s="38" t="s">
        <v>852</v>
      </c>
      <c r="N707" s="172"/>
      <c r="O707" s="172"/>
      <c r="P707" s="172"/>
      <c r="Q707" s="38" t="s">
        <v>852</v>
      </c>
      <c r="R707" s="38" t="s">
        <v>852</v>
      </c>
    </row>
    <row r="708" spans="1:18" ht="16.5" hidden="1" customHeight="1" thickBot="1" x14ac:dyDescent="0.35">
      <c r="A708" s="43" t="s">
        <v>1219</v>
      </c>
      <c r="B708" s="45">
        <f>SUM(B705:B707)</f>
        <v>0</v>
      </c>
      <c r="C708" s="46">
        <f>SUM(C705:C707)</f>
        <v>0</v>
      </c>
      <c r="D708" s="46">
        <f>SUM(D705:D707)</f>
        <v>0</v>
      </c>
      <c r="E708" s="37">
        <f>SUM(B708:D708)</f>
        <v>0</v>
      </c>
      <c r="F708" s="46">
        <f>SUM(F705:F707)</f>
        <v>0</v>
      </c>
      <c r="G708" s="46">
        <f>SUM(G705:G707)</f>
        <v>0</v>
      </c>
      <c r="H708" s="46">
        <f>SUM(H705:H707)</f>
        <v>0</v>
      </c>
      <c r="I708" s="37">
        <f>SUM(F708:H708)</f>
        <v>0</v>
      </c>
      <c r="J708" s="46">
        <f>SUM(J705:J707)</f>
        <v>0</v>
      </c>
      <c r="K708" s="46">
        <f>SUM(K705:K707)</f>
        <v>0</v>
      </c>
      <c r="L708" s="46">
        <f>SUM(L705:L707)</f>
        <v>0</v>
      </c>
      <c r="M708" s="37">
        <f>SUM(J708:L708)</f>
        <v>0</v>
      </c>
      <c r="N708" s="46">
        <f>SUM(N705:N707)</f>
        <v>0</v>
      </c>
      <c r="O708" s="46">
        <f>SUM(O705:O707)</f>
        <v>0</v>
      </c>
      <c r="P708" s="46">
        <f>SUM(P705:P707)</f>
        <v>0</v>
      </c>
      <c r="Q708" s="37">
        <f>SUM(N708:P708)</f>
        <v>0</v>
      </c>
      <c r="R708" s="37">
        <f>+E708+I708+M708+Q708</f>
        <v>0</v>
      </c>
    </row>
    <row r="709" spans="1:18" ht="15.75" hidden="1" customHeight="1" x14ac:dyDescent="0.3">
      <c r="A709" s="234" t="s">
        <v>2166</v>
      </c>
      <c r="B709" s="172"/>
      <c r="C709" s="172"/>
      <c r="D709" s="172"/>
      <c r="E709" s="38" t="s">
        <v>852</v>
      </c>
      <c r="F709" s="172"/>
      <c r="G709" s="172"/>
      <c r="H709" s="172"/>
      <c r="I709" s="38" t="s">
        <v>852</v>
      </c>
      <c r="J709" s="172"/>
      <c r="K709" s="172"/>
      <c r="L709" s="172"/>
      <c r="M709" s="38" t="s">
        <v>852</v>
      </c>
      <c r="N709" s="172"/>
      <c r="O709" s="172"/>
      <c r="P709" s="172"/>
      <c r="Q709" s="38" t="s">
        <v>852</v>
      </c>
      <c r="R709" s="38" t="s">
        <v>852</v>
      </c>
    </row>
    <row r="710" spans="1:18" ht="15.75" hidden="1" customHeight="1" x14ac:dyDescent="0.3">
      <c r="A710" s="234" t="s">
        <v>1245</v>
      </c>
      <c r="B710" s="172"/>
      <c r="C710" s="172"/>
      <c r="D710" s="172"/>
      <c r="E710" s="38" t="s">
        <v>852</v>
      </c>
      <c r="F710" s="172"/>
      <c r="G710" s="172"/>
      <c r="H710" s="172"/>
      <c r="I710" s="38" t="s">
        <v>852</v>
      </c>
      <c r="J710" s="172"/>
      <c r="K710" s="172"/>
      <c r="L710" s="172"/>
      <c r="M710" s="38" t="s">
        <v>852</v>
      </c>
      <c r="N710" s="172"/>
      <c r="O710" s="172"/>
      <c r="P710" s="172"/>
      <c r="Q710" s="38" t="s">
        <v>852</v>
      </c>
      <c r="R710" s="38" t="s">
        <v>852</v>
      </c>
    </row>
    <row r="711" spans="1:18" ht="15.75" hidden="1" customHeight="1" thickBot="1" x14ac:dyDescent="0.35">
      <c r="A711" s="234" t="s">
        <v>1711</v>
      </c>
      <c r="B711" s="172"/>
      <c r="C711" s="172"/>
      <c r="D711" s="172"/>
      <c r="E711" s="38" t="s">
        <v>852</v>
      </c>
      <c r="F711" s="172"/>
      <c r="G711" s="172"/>
      <c r="H711" s="172"/>
      <c r="I711" s="38" t="s">
        <v>852</v>
      </c>
      <c r="J711" s="172"/>
      <c r="K711" s="172"/>
      <c r="L711" s="172"/>
      <c r="M711" s="38" t="s">
        <v>852</v>
      </c>
      <c r="N711" s="172"/>
      <c r="O711" s="172"/>
      <c r="P711" s="172"/>
      <c r="Q711" s="38" t="s">
        <v>852</v>
      </c>
      <c r="R711" s="38" t="s">
        <v>852</v>
      </c>
    </row>
    <row r="712" spans="1:18" ht="16.5" hidden="1" customHeight="1" thickBot="1" x14ac:dyDescent="0.35">
      <c r="A712" s="43" t="s">
        <v>1220</v>
      </c>
      <c r="B712" s="45">
        <f>SUM(B709:B711)</f>
        <v>0</v>
      </c>
      <c r="C712" s="46">
        <f>SUM(C709:C711)</f>
        <v>0</v>
      </c>
      <c r="D712" s="46">
        <f>SUM(D709:D711)</f>
        <v>0</v>
      </c>
      <c r="E712" s="37">
        <f>SUM(B712:D712)</f>
        <v>0</v>
      </c>
      <c r="F712" s="46">
        <f>SUM(F709:F711)</f>
        <v>0</v>
      </c>
      <c r="G712" s="46">
        <f>SUM(G709:G711)</f>
        <v>0</v>
      </c>
      <c r="H712" s="46">
        <f>SUM(H709:H711)</f>
        <v>0</v>
      </c>
      <c r="I712" s="37">
        <f>SUM(F712:H712)</f>
        <v>0</v>
      </c>
      <c r="J712" s="46">
        <f>SUM(J709:J711)</f>
        <v>0</v>
      </c>
      <c r="K712" s="46">
        <f>SUM(K709:K711)</f>
        <v>0</v>
      </c>
      <c r="L712" s="46">
        <f>SUM(L709:L711)</f>
        <v>0</v>
      </c>
      <c r="M712" s="37">
        <f>SUM(J712:L712)</f>
        <v>0</v>
      </c>
      <c r="N712" s="46">
        <f>SUM(N709:N711)</f>
        <v>0</v>
      </c>
      <c r="O712" s="46">
        <f>SUM(O709:O711)</f>
        <v>0</v>
      </c>
      <c r="P712" s="46">
        <f>SUM(P709:P711)</f>
        <v>0</v>
      </c>
      <c r="Q712" s="37">
        <f>SUM(N712:P712)</f>
        <v>0</v>
      </c>
      <c r="R712" s="37">
        <f>+E712+I712+M712+Q712</f>
        <v>0</v>
      </c>
    </row>
    <row r="713" spans="1:18" ht="15.75" hidden="1" customHeight="1" x14ac:dyDescent="0.3">
      <c r="A713" s="234" t="s">
        <v>1712</v>
      </c>
      <c r="B713" s="172"/>
      <c r="C713" s="172"/>
      <c r="D713" s="172"/>
      <c r="E713" s="38" t="s">
        <v>852</v>
      </c>
      <c r="F713" s="172"/>
      <c r="G713" s="172"/>
      <c r="H713" s="172"/>
      <c r="I713" s="38" t="s">
        <v>852</v>
      </c>
      <c r="J713" s="172"/>
      <c r="K713" s="172"/>
      <c r="L713" s="172"/>
      <c r="M713" s="38" t="s">
        <v>852</v>
      </c>
      <c r="N713" s="172"/>
      <c r="O713" s="172"/>
      <c r="P713" s="172"/>
      <c r="Q713" s="38" t="s">
        <v>852</v>
      </c>
      <c r="R713" s="38" t="s">
        <v>852</v>
      </c>
    </row>
    <row r="714" spans="1:18" ht="15.75" hidden="1" customHeight="1" x14ac:dyDescent="0.3">
      <c r="A714" s="234" t="s">
        <v>1021</v>
      </c>
      <c r="B714" s="172"/>
      <c r="C714" s="172"/>
      <c r="D714" s="172"/>
      <c r="E714" s="38" t="s">
        <v>852</v>
      </c>
      <c r="F714" s="172"/>
      <c r="G714" s="172"/>
      <c r="H714" s="172"/>
      <c r="I714" s="38" t="s">
        <v>852</v>
      </c>
      <c r="J714" s="172"/>
      <c r="K714" s="172"/>
      <c r="L714" s="172"/>
      <c r="M714" s="38" t="s">
        <v>852</v>
      </c>
      <c r="N714" s="172"/>
      <c r="O714" s="172"/>
      <c r="P714" s="172"/>
      <c r="Q714" s="38" t="s">
        <v>852</v>
      </c>
      <c r="R714" s="38" t="s">
        <v>852</v>
      </c>
    </row>
    <row r="715" spans="1:18" ht="15.75" hidden="1" customHeight="1" x14ac:dyDescent="0.3">
      <c r="A715" s="234" t="s">
        <v>557</v>
      </c>
      <c r="B715" s="172"/>
      <c r="C715" s="172"/>
      <c r="D715" s="172"/>
      <c r="E715" s="38" t="s">
        <v>852</v>
      </c>
      <c r="F715" s="172"/>
      <c r="G715" s="172"/>
      <c r="H715" s="172"/>
      <c r="I715" s="38" t="s">
        <v>852</v>
      </c>
      <c r="J715" s="172"/>
      <c r="K715" s="172"/>
      <c r="L715" s="172"/>
      <c r="M715" s="38" t="s">
        <v>852</v>
      </c>
      <c r="N715" s="172"/>
      <c r="O715" s="172"/>
      <c r="P715" s="172"/>
      <c r="Q715" s="38" t="s">
        <v>852</v>
      </c>
      <c r="R715" s="38" t="s">
        <v>852</v>
      </c>
    </row>
    <row r="716" spans="1:18" ht="15.75" hidden="1" customHeight="1" x14ac:dyDescent="0.3">
      <c r="A716" s="234" t="s">
        <v>1022</v>
      </c>
      <c r="B716" s="172"/>
      <c r="C716" s="172"/>
      <c r="D716" s="172"/>
      <c r="E716" s="38" t="s">
        <v>852</v>
      </c>
      <c r="F716" s="172"/>
      <c r="G716" s="172"/>
      <c r="H716" s="172"/>
      <c r="I716" s="38" t="s">
        <v>852</v>
      </c>
      <c r="J716" s="172"/>
      <c r="K716" s="172"/>
      <c r="L716" s="172"/>
      <c r="M716" s="38" t="s">
        <v>852</v>
      </c>
      <c r="N716" s="172"/>
      <c r="O716" s="172"/>
      <c r="P716" s="172"/>
      <c r="Q716" s="38" t="s">
        <v>852</v>
      </c>
      <c r="R716" s="38" t="s">
        <v>852</v>
      </c>
    </row>
    <row r="717" spans="1:18" ht="15.75" hidden="1" customHeight="1" thickBot="1" x14ac:dyDescent="0.35">
      <c r="A717" s="234" t="s">
        <v>559</v>
      </c>
      <c r="B717" s="172"/>
      <c r="C717" s="172"/>
      <c r="D717" s="172"/>
      <c r="E717" s="38" t="s">
        <v>852</v>
      </c>
      <c r="F717" s="172"/>
      <c r="G717" s="172"/>
      <c r="H717" s="172"/>
      <c r="I717" s="38" t="s">
        <v>852</v>
      </c>
      <c r="J717" s="172"/>
      <c r="K717" s="172"/>
      <c r="L717" s="172"/>
      <c r="M717" s="38" t="s">
        <v>852</v>
      </c>
      <c r="N717" s="172"/>
      <c r="O717" s="172"/>
      <c r="P717" s="172"/>
      <c r="Q717" s="38" t="s">
        <v>852</v>
      </c>
      <c r="R717" s="38" t="s">
        <v>852</v>
      </c>
    </row>
    <row r="718" spans="1:18" ht="16.5" hidden="1" customHeight="1" thickBot="1" x14ac:dyDescent="0.35">
      <c r="A718" s="43" t="s">
        <v>1019</v>
      </c>
      <c r="B718" s="42">
        <f>SUM(B716:B717)</f>
        <v>0</v>
      </c>
      <c r="C718" s="42">
        <f>SUM(C716:C717)</f>
        <v>0</v>
      </c>
      <c r="D718" s="42">
        <f>SUM(D716:D717)</f>
        <v>0</v>
      </c>
      <c r="E718" s="39">
        <f>SUM(B718:D718)</f>
        <v>0</v>
      </c>
      <c r="F718" s="42">
        <f>SUM(F716:F717)</f>
        <v>0</v>
      </c>
      <c r="G718" s="42">
        <f>SUM(G716:G717)</f>
        <v>0</v>
      </c>
      <c r="H718" s="42">
        <f>SUM(H716:H717)</f>
        <v>0</v>
      </c>
      <c r="I718" s="39">
        <f>SUM(F718:H718)</f>
        <v>0</v>
      </c>
      <c r="J718" s="42">
        <f>SUM(J716:J717)</f>
        <v>0</v>
      </c>
      <c r="K718" s="42">
        <f>SUM(K716:K717)</f>
        <v>0</v>
      </c>
      <c r="L718" s="42">
        <f>SUM(L716:L717)</f>
        <v>0</v>
      </c>
      <c r="M718" s="39">
        <f>SUM(J718:L718)</f>
        <v>0</v>
      </c>
      <c r="N718" s="42">
        <f>SUM(N716:N717)</f>
        <v>0</v>
      </c>
      <c r="O718" s="42">
        <f>SUM(O716:O717)</f>
        <v>0</v>
      </c>
      <c r="P718" s="42">
        <f>SUM(P716:P717)</f>
        <v>0</v>
      </c>
      <c r="Q718" s="39">
        <f>SUM(N718:P718)</f>
        <v>0</v>
      </c>
      <c r="R718" s="37">
        <f>+E718+I718+M718+Q718</f>
        <v>0</v>
      </c>
    </row>
    <row r="719" spans="1:18" ht="16.5" hidden="1" customHeight="1" thickBot="1" x14ac:dyDescent="0.35">
      <c r="A719" s="43" t="s">
        <v>1221</v>
      </c>
      <c r="B719" s="45">
        <f>SUM(B713:B717)</f>
        <v>0</v>
      </c>
      <c r="C719" s="46">
        <f>SUM(C713:C717)</f>
        <v>0</v>
      </c>
      <c r="D719" s="58">
        <f>SUM(D713:D717)</f>
        <v>0</v>
      </c>
      <c r="E719" s="39">
        <f>SUM(B719:D719)</f>
        <v>0</v>
      </c>
      <c r="F719" s="46">
        <f>SUM(F713:F717)</f>
        <v>0</v>
      </c>
      <c r="G719" s="46">
        <f>SUM(G713:G717)</f>
        <v>0</v>
      </c>
      <c r="H719" s="46">
        <f>SUM(H713:H717)</f>
        <v>0</v>
      </c>
      <c r="I719" s="39">
        <f>SUM(F719:H719)</f>
        <v>0</v>
      </c>
      <c r="J719" s="46">
        <f>SUM(J713:J717)</f>
        <v>0</v>
      </c>
      <c r="K719" s="46">
        <f>SUM(K713:K717)</f>
        <v>0</v>
      </c>
      <c r="L719" s="46">
        <f>SUM(L713:L717)</f>
        <v>0</v>
      </c>
      <c r="M719" s="39">
        <f>SUM(J719:L719)</f>
        <v>0</v>
      </c>
      <c r="N719" s="46">
        <f>SUM(N713:N717)</f>
        <v>0</v>
      </c>
      <c r="O719" s="46">
        <f>SUM(O713:O717)</f>
        <v>0</v>
      </c>
      <c r="P719" s="46">
        <f>SUM(P713:P717)</f>
        <v>0</v>
      </c>
      <c r="Q719" s="39">
        <f>SUM(N719:P719)</f>
        <v>0</v>
      </c>
      <c r="R719" s="37">
        <f>+E719+I719+M719+Q719</f>
        <v>0</v>
      </c>
    </row>
    <row r="720" spans="1:18" ht="16.5" hidden="1" customHeight="1" thickBot="1" x14ac:dyDescent="0.35">
      <c r="A720" s="43" t="s">
        <v>1222</v>
      </c>
      <c r="B720" s="47">
        <f>+B704+B708+B712+B719</f>
        <v>0</v>
      </c>
      <c r="C720" s="42">
        <f>+C704+C708+C712+C719</f>
        <v>0</v>
      </c>
      <c r="D720" s="42">
        <f>+D704+D708+D712+D719</f>
        <v>0</v>
      </c>
      <c r="E720" s="37">
        <f>SUM(B720:D720)</f>
        <v>0</v>
      </c>
      <c r="F720" s="42">
        <f>+F704+F708+F712+F719</f>
        <v>42</v>
      </c>
      <c r="G720" s="42">
        <f>+G704+G708+G712+G719</f>
        <v>0</v>
      </c>
      <c r="H720" s="42">
        <f>+H704+H708+H712+H719</f>
        <v>0</v>
      </c>
      <c r="I720" s="37">
        <f>SUM(F720:H720)</f>
        <v>42</v>
      </c>
      <c r="J720" s="42">
        <f>+J704+J708+J712+J719</f>
        <v>3</v>
      </c>
      <c r="K720" s="42">
        <f>+K704+K708+K712+K719</f>
        <v>0</v>
      </c>
      <c r="L720" s="42">
        <f>+L704+L708+L712+L719</f>
        <v>0</v>
      </c>
      <c r="M720" s="37">
        <f>SUM(J720:L720)</f>
        <v>3</v>
      </c>
      <c r="N720" s="42">
        <f>+N704+N708+N712+N719</f>
        <v>0</v>
      </c>
      <c r="O720" s="42">
        <f>+O704+O708+O712+O719</f>
        <v>0</v>
      </c>
      <c r="P720" s="42">
        <f>+P704+P708+P712+P719</f>
        <v>0</v>
      </c>
      <c r="Q720" s="37">
        <f>SUM(N720:P720)</f>
        <v>0</v>
      </c>
      <c r="R720" s="40">
        <f>+E720+I720+M720+Q720</f>
        <v>45</v>
      </c>
    </row>
    <row r="721" spans="1:20" ht="15.75" hidden="1" customHeight="1" x14ac:dyDescent="0.3">
      <c r="A721" s="266" t="s">
        <v>2117</v>
      </c>
      <c r="B721" s="172">
        <v>3688</v>
      </c>
      <c r="C721" s="172">
        <v>3129</v>
      </c>
      <c r="D721" s="172">
        <v>3962</v>
      </c>
      <c r="E721" s="38">
        <f>SUM(B721:D721)</f>
        <v>10779</v>
      </c>
      <c r="F721" s="172">
        <v>3372</v>
      </c>
      <c r="G721" s="172">
        <v>1479</v>
      </c>
      <c r="H721" s="172">
        <v>4867</v>
      </c>
      <c r="I721" s="38">
        <f>SUM(F721:H721)</f>
        <v>9718</v>
      </c>
      <c r="J721" s="172">
        <v>4906</v>
      </c>
      <c r="K721" s="172">
        <v>4763</v>
      </c>
      <c r="L721" s="172">
        <v>3380</v>
      </c>
      <c r="M721" s="38">
        <f>SUM(J721:L721)</f>
        <v>13049</v>
      </c>
      <c r="N721" s="172">
        <v>0</v>
      </c>
      <c r="O721" s="172">
        <v>0</v>
      </c>
      <c r="P721" s="172">
        <v>0</v>
      </c>
      <c r="Q721" s="38">
        <f>SUM(N721:P721)</f>
        <v>0</v>
      </c>
      <c r="R721" s="38">
        <f>+E721+I721+M721+Q721</f>
        <v>33546</v>
      </c>
    </row>
    <row r="722" spans="1:20" ht="15.75" hidden="1" customHeight="1" thickBot="1" x14ac:dyDescent="0.35">
      <c r="A722" s="266" t="s">
        <v>853</v>
      </c>
      <c r="B722" s="172">
        <v>0</v>
      </c>
      <c r="C722" s="172">
        <v>0</v>
      </c>
      <c r="D722" s="172">
        <v>0</v>
      </c>
      <c r="E722" s="38">
        <f>SUM(B722:D722)</f>
        <v>0</v>
      </c>
      <c r="F722" s="172">
        <v>0</v>
      </c>
      <c r="G722" s="172">
        <v>0</v>
      </c>
      <c r="H722" s="172">
        <v>0</v>
      </c>
      <c r="I722" s="38">
        <f>SUM(F722:H722)</f>
        <v>0</v>
      </c>
      <c r="J722" s="172">
        <v>0</v>
      </c>
      <c r="K722" s="172">
        <v>0</v>
      </c>
      <c r="L722" s="172">
        <v>0</v>
      </c>
      <c r="M722" s="38">
        <f>SUM(J722:L722)</f>
        <v>0</v>
      </c>
      <c r="N722" s="172">
        <v>0</v>
      </c>
      <c r="O722" s="172">
        <v>0</v>
      </c>
      <c r="P722" s="172">
        <v>0</v>
      </c>
      <c r="Q722" s="38">
        <f>SUM(N722:P722)</f>
        <v>0</v>
      </c>
      <c r="R722" s="38">
        <f>+E722+I722+M722+Q722</f>
        <v>0</v>
      </c>
    </row>
    <row r="723" spans="1:20" ht="16.5" hidden="1" customHeight="1" thickBot="1" x14ac:dyDescent="0.35">
      <c r="A723" s="281"/>
      <c r="B723" s="232"/>
      <c r="C723" s="232"/>
      <c r="D723" s="232"/>
      <c r="E723" s="37" t="s">
        <v>852</v>
      </c>
      <c r="F723" s="232"/>
      <c r="G723" s="232"/>
      <c r="H723" s="232"/>
      <c r="I723" s="37" t="s">
        <v>852</v>
      </c>
      <c r="J723" s="232"/>
      <c r="K723" s="232"/>
      <c r="L723" s="232"/>
      <c r="M723" s="37" t="s">
        <v>852</v>
      </c>
      <c r="N723" s="232"/>
      <c r="O723" s="232"/>
      <c r="P723" s="232"/>
      <c r="Q723" s="37"/>
      <c r="R723" s="37"/>
    </row>
    <row r="724" spans="1:20" ht="15.75" hidden="1" customHeight="1" x14ac:dyDescent="0.3">
      <c r="A724" s="234" t="s">
        <v>2011</v>
      </c>
      <c r="B724" s="172">
        <f>SUM(B720:B722)</f>
        <v>3688</v>
      </c>
      <c r="C724" s="172">
        <f>SUM(C720:C722)</f>
        <v>3129</v>
      </c>
      <c r="D724" s="172">
        <f>SUM(D720:D722)</f>
        <v>3962</v>
      </c>
      <c r="E724" s="39">
        <f>SUM(B724:D724)</f>
        <v>10779</v>
      </c>
      <c r="F724" s="172">
        <f>SUM(F720:F722)</f>
        <v>3414</v>
      </c>
      <c r="G724" s="172">
        <f>SUM(G720:G722)</f>
        <v>1479</v>
      </c>
      <c r="H724" s="172">
        <f>SUM(H720:H722)</f>
        <v>4867</v>
      </c>
      <c r="I724" s="39">
        <f>SUM(F724:H724)</f>
        <v>9760</v>
      </c>
      <c r="J724" s="172">
        <f>SUM(J720:J722)</f>
        <v>4909</v>
      </c>
      <c r="K724" s="172">
        <f>SUM(K720:K722)</f>
        <v>4763</v>
      </c>
      <c r="L724" s="172">
        <f>SUM(L720:L722)</f>
        <v>3380</v>
      </c>
      <c r="M724" s="39">
        <f>SUM(J724:L724)</f>
        <v>13052</v>
      </c>
      <c r="N724" s="172">
        <f>SUM(N720:N722)</f>
        <v>0</v>
      </c>
      <c r="O724" s="172">
        <f>SUM(O720:O722)</f>
        <v>0</v>
      </c>
      <c r="P724" s="172">
        <f>SUM(P720:P722)</f>
        <v>0</v>
      </c>
      <c r="Q724" s="39">
        <f>SUM(N724:P724)</f>
        <v>0</v>
      </c>
      <c r="R724" s="39">
        <f>+E724+I724+M724+Q724</f>
        <v>33591</v>
      </c>
    </row>
    <row r="725" spans="1:20" ht="15.75" hidden="1" customHeight="1" x14ac:dyDescent="0.3">
      <c r="A725" s="234" t="s">
        <v>1897</v>
      </c>
      <c r="B725" s="172">
        <f>(B724/B10)/1.983</f>
        <v>59.993818424348902</v>
      </c>
      <c r="C725" s="172">
        <f>(C724/C10)/1.983</f>
        <v>54.410767384840106</v>
      </c>
      <c r="D725" s="172">
        <f>(D724/D10)/1.983</f>
        <v>64.451059814878079</v>
      </c>
      <c r="E725" s="38" t="s">
        <v>852</v>
      </c>
      <c r="F725" s="172">
        <f>(F724/F10)/1.983</f>
        <v>57.387796268280376</v>
      </c>
      <c r="G725" s="172">
        <f>(G724/G10)/1.983</f>
        <v>24.05934312625055</v>
      </c>
      <c r="H725" s="172">
        <f>(H724/H10)/1.983</f>
        <v>81.812069255337022</v>
      </c>
      <c r="I725" s="38" t="s">
        <v>852</v>
      </c>
      <c r="J725" s="172">
        <f>(J724/J10)/1.983</f>
        <v>79.85619702959022</v>
      </c>
      <c r="K725" s="172">
        <f>(K724/K10)/1.983</f>
        <v>77.481170595220661</v>
      </c>
      <c r="L725" s="172">
        <f>(L724/L10)/1.983</f>
        <v>56.816271642292818</v>
      </c>
      <c r="M725" s="38" t="s">
        <v>852</v>
      </c>
      <c r="N725" s="172">
        <f>(N724/N10)/1.983</f>
        <v>0</v>
      </c>
      <c r="O725" s="172">
        <f>(O724/O10)/1.983</f>
        <v>0</v>
      </c>
      <c r="P725" s="172">
        <f>(P724/P10)/1.983</f>
        <v>0</v>
      </c>
      <c r="Q725" s="38" t="s">
        <v>852</v>
      </c>
      <c r="R725" s="38" t="s">
        <v>852</v>
      </c>
    </row>
    <row r="726" spans="1:20" ht="15.75" hidden="1" customHeight="1" x14ac:dyDescent="0.3">
      <c r="A726" s="234" t="s">
        <v>647</v>
      </c>
      <c r="B726" s="172">
        <f>B724</f>
        <v>3688</v>
      </c>
      <c r="C726" s="172">
        <f>C724</f>
        <v>3129</v>
      </c>
      <c r="D726" s="172">
        <f>D724</f>
        <v>3962</v>
      </c>
      <c r="E726" s="38">
        <f>SUM(B726:D726)</f>
        <v>10779</v>
      </c>
      <c r="F726" s="172">
        <f>F724</f>
        <v>3414</v>
      </c>
      <c r="G726" s="172">
        <f>G724</f>
        <v>1479</v>
      </c>
      <c r="H726" s="172">
        <f>H724</f>
        <v>4867</v>
      </c>
      <c r="I726" s="38">
        <f>SUM(F726:H726)</f>
        <v>9760</v>
      </c>
      <c r="J726" s="172">
        <f>J724</f>
        <v>4909</v>
      </c>
      <c r="K726" s="172">
        <f>K724</f>
        <v>4763</v>
      </c>
      <c r="L726" s="172">
        <f>L724</f>
        <v>3380</v>
      </c>
      <c r="M726" s="38">
        <f>SUM(J726:L726)</f>
        <v>13052</v>
      </c>
      <c r="N726" s="172">
        <f>N724</f>
        <v>0</v>
      </c>
      <c r="O726" s="172">
        <f>O724</f>
        <v>0</v>
      </c>
      <c r="P726" s="172">
        <f>P724</f>
        <v>0</v>
      </c>
      <c r="Q726" s="38">
        <f>SUM(N726:P726)</f>
        <v>0</v>
      </c>
      <c r="R726" s="38">
        <f>+E726+I726+M726+Q726</f>
        <v>33591</v>
      </c>
    </row>
    <row r="727" spans="1:20" ht="16.5" hidden="1" customHeight="1" thickBot="1" x14ac:dyDescent="0.35">
      <c r="A727" s="237" t="s">
        <v>2191</v>
      </c>
      <c r="B727" s="238">
        <f>(B726/B10)/1.983</f>
        <v>59.993818424348902</v>
      </c>
      <c r="C727" s="238">
        <f>(C726/C10)/1.983</f>
        <v>54.410767384840106</v>
      </c>
      <c r="D727" s="238">
        <f>(D726/D10)/1.983</f>
        <v>64.451059814878079</v>
      </c>
      <c r="E727" s="40" t="s">
        <v>852</v>
      </c>
      <c r="F727" s="238">
        <f>(F726/F10)/1.983</f>
        <v>57.387796268280376</v>
      </c>
      <c r="G727" s="238">
        <f>(G726/G10)/1.983</f>
        <v>24.05934312625055</v>
      </c>
      <c r="H727" s="238">
        <f>(H726/H10)/1.983</f>
        <v>81.812069255337022</v>
      </c>
      <c r="I727" s="40" t="s">
        <v>852</v>
      </c>
      <c r="J727" s="238">
        <f>(J726/J10)/1.983</f>
        <v>79.85619702959022</v>
      </c>
      <c r="K727" s="238">
        <f>(K726/K10)/1.983</f>
        <v>77.481170595220661</v>
      </c>
      <c r="L727" s="238">
        <f>(L726/L10)/1.983</f>
        <v>56.816271642292818</v>
      </c>
      <c r="M727" s="40" t="s">
        <v>852</v>
      </c>
      <c r="N727" s="238">
        <f>(N726/N10)/1.983</f>
        <v>0</v>
      </c>
      <c r="O727" s="238">
        <f>(O726/O10)/1.983</f>
        <v>0</v>
      </c>
      <c r="P727" s="238">
        <f>(P726/P10)/1.983</f>
        <v>0</v>
      </c>
      <c r="Q727" s="40" t="s">
        <v>852</v>
      </c>
      <c r="R727" s="40" t="s">
        <v>852</v>
      </c>
    </row>
    <row r="728" spans="1:20" ht="15.75" hidden="1" customHeight="1" x14ac:dyDescent="0.3">
      <c r="A728" s="17"/>
      <c r="B728" s="172"/>
      <c r="C728" s="172"/>
      <c r="D728" s="172"/>
      <c r="E728" s="172"/>
      <c r="F728" s="172"/>
      <c r="G728" s="172"/>
      <c r="H728" s="172"/>
      <c r="I728" s="172"/>
      <c r="J728" s="172"/>
      <c r="K728" s="172"/>
      <c r="L728" s="172"/>
      <c r="M728" s="172"/>
      <c r="N728" s="172"/>
      <c r="O728" s="172"/>
      <c r="P728" s="172"/>
      <c r="Q728" s="172"/>
      <c r="R728" s="17"/>
    </row>
    <row r="729" spans="1:20" ht="15.75" hidden="1" customHeight="1" thickBot="1" x14ac:dyDescent="0.35">
      <c r="A729" s="17"/>
      <c r="B729" s="172"/>
      <c r="C729" s="172"/>
      <c r="D729" s="172"/>
      <c r="E729" s="172"/>
      <c r="F729" s="172"/>
      <c r="G729" s="172"/>
      <c r="H729" s="172"/>
      <c r="I729" s="172"/>
      <c r="J729" s="172"/>
      <c r="K729" s="172"/>
      <c r="L729" s="172"/>
      <c r="M729" s="172"/>
      <c r="N729" s="172"/>
      <c r="O729" s="172"/>
      <c r="P729" s="172"/>
      <c r="Q729" s="172"/>
      <c r="R729" s="17"/>
    </row>
    <row r="730" spans="1:20" ht="16.5" hidden="1" customHeight="1" thickBot="1" x14ac:dyDescent="0.35">
      <c r="A730" s="278" t="s">
        <v>2192</v>
      </c>
      <c r="B730" s="4" t="s">
        <v>2090</v>
      </c>
      <c r="C730" s="5" t="s">
        <v>2091</v>
      </c>
      <c r="D730" s="5" t="s">
        <v>2234</v>
      </c>
      <c r="E730" s="33" t="s">
        <v>1594</v>
      </c>
      <c r="F730" s="5" t="s">
        <v>2235</v>
      </c>
      <c r="G730" s="5" t="s">
        <v>2236</v>
      </c>
      <c r="H730" s="5" t="s">
        <v>2237</v>
      </c>
      <c r="I730" s="35" t="s">
        <v>1595</v>
      </c>
      <c r="J730" s="5" t="s">
        <v>1504</v>
      </c>
      <c r="K730" s="5" t="s">
        <v>1505</v>
      </c>
      <c r="L730" s="5" t="s">
        <v>1506</v>
      </c>
      <c r="M730" s="35" t="s">
        <v>1596</v>
      </c>
      <c r="N730" s="5" t="s">
        <v>1507</v>
      </c>
      <c r="O730" s="5" t="s">
        <v>1508</v>
      </c>
      <c r="P730" s="5" t="s">
        <v>1509</v>
      </c>
      <c r="Q730" s="35" t="s">
        <v>1597</v>
      </c>
      <c r="R730" s="60" t="s">
        <v>1510</v>
      </c>
    </row>
    <row r="731" spans="1:20" ht="16.5" hidden="1" customHeight="1" thickBot="1" x14ac:dyDescent="0.35">
      <c r="A731" s="22"/>
      <c r="B731" s="242"/>
      <c r="C731" s="242"/>
      <c r="D731" s="242"/>
      <c r="E731" s="233"/>
      <c r="F731" s="242"/>
      <c r="G731" s="242"/>
      <c r="H731" s="242"/>
      <c r="I731" s="282"/>
      <c r="J731" s="242"/>
      <c r="K731" s="242"/>
      <c r="L731" s="242"/>
      <c r="M731" s="282"/>
      <c r="N731" s="242"/>
      <c r="O731" s="242"/>
      <c r="P731" s="242"/>
      <c r="Q731" s="283"/>
      <c r="R731" s="61"/>
    </row>
    <row r="732" spans="1:20" ht="15.75" hidden="1" customHeight="1" x14ac:dyDescent="0.3">
      <c r="A732" s="234" t="s">
        <v>2417</v>
      </c>
      <c r="B732" s="172" t="s">
        <v>852</v>
      </c>
      <c r="C732" s="172" t="s">
        <v>852</v>
      </c>
      <c r="D732" s="172" t="s">
        <v>852</v>
      </c>
      <c r="E732" s="284"/>
      <c r="F732" s="172" t="s">
        <v>852</v>
      </c>
      <c r="G732" s="172" t="s">
        <v>852</v>
      </c>
      <c r="H732" s="172" t="s">
        <v>852</v>
      </c>
      <c r="I732" s="284"/>
      <c r="J732" s="172" t="s">
        <v>852</v>
      </c>
      <c r="K732" s="172" t="s">
        <v>852</v>
      </c>
      <c r="L732" s="172" t="s">
        <v>852</v>
      </c>
      <c r="M732" s="284"/>
      <c r="N732" s="172" t="s">
        <v>852</v>
      </c>
      <c r="O732" s="172" t="s">
        <v>852</v>
      </c>
      <c r="P732" s="172" t="s">
        <v>852</v>
      </c>
      <c r="Q732" s="285"/>
      <c r="R732" s="62" t="s">
        <v>852</v>
      </c>
    </row>
    <row r="733" spans="1:20" ht="15.75" hidden="1" customHeight="1" x14ac:dyDescent="0.3">
      <c r="A733" s="234" t="s">
        <v>2160</v>
      </c>
      <c r="B733" s="172"/>
      <c r="C733" s="172"/>
      <c r="D733" s="172"/>
      <c r="E733" s="38" t="s">
        <v>852</v>
      </c>
      <c r="F733" s="172"/>
      <c r="G733" s="172"/>
      <c r="H733" s="172"/>
      <c r="I733" s="38" t="s">
        <v>852</v>
      </c>
      <c r="J733" s="172"/>
      <c r="K733" s="172"/>
      <c r="L733" s="172"/>
      <c r="M733" s="38" t="s">
        <v>852</v>
      </c>
      <c r="N733" s="172"/>
      <c r="O733" s="172"/>
      <c r="P733" s="172"/>
      <c r="Q733" s="38" t="s">
        <v>852</v>
      </c>
      <c r="R733" s="38" t="s">
        <v>852</v>
      </c>
    </row>
    <row r="734" spans="1:20" ht="15.75" hidden="1" customHeight="1" x14ac:dyDescent="0.3">
      <c r="A734" s="266" t="s">
        <v>1910</v>
      </c>
      <c r="B734" s="10"/>
      <c r="C734" s="10"/>
      <c r="D734" s="10"/>
      <c r="E734" s="38">
        <f>SUM(B734:D734)</f>
        <v>0</v>
      </c>
      <c r="F734" s="10"/>
      <c r="G734" s="10"/>
      <c r="H734" s="10"/>
      <c r="I734" s="38">
        <f>SUM(F734:H734)</f>
        <v>0</v>
      </c>
      <c r="J734" s="10"/>
      <c r="K734" s="10"/>
      <c r="L734" s="10"/>
      <c r="M734" s="38">
        <f>SUM(J734:L734)</f>
        <v>0</v>
      </c>
      <c r="N734" s="10"/>
      <c r="O734" s="10"/>
      <c r="P734" s="10"/>
      <c r="Q734" s="38">
        <f>SUM(N734:P734)</f>
        <v>0</v>
      </c>
      <c r="R734" s="38">
        <f>+E734+I734+M734+Q734</f>
        <v>0</v>
      </c>
      <c r="T734" t="s">
        <v>2765</v>
      </c>
    </row>
    <row r="735" spans="1:20" ht="15.75" hidden="1" customHeight="1" x14ac:dyDescent="0.3">
      <c r="A735" s="539" t="s">
        <v>604</v>
      </c>
      <c r="B735" s="172"/>
      <c r="C735" s="172"/>
      <c r="D735" s="172">
        <v>1000</v>
      </c>
      <c r="E735" s="38">
        <f>SUM(B735:D735)</f>
        <v>1000</v>
      </c>
      <c r="F735" s="172"/>
      <c r="G735" s="172"/>
      <c r="H735" s="172"/>
      <c r="I735" s="38">
        <f>SUM(F735:H735)</f>
        <v>0</v>
      </c>
      <c r="J735" s="172"/>
      <c r="K735" s="172"/>
      <c r="L735" s="172"/>
      <c r="M735" s="38">
        <f>SUM(J735:L735)</f>
        <v>0</v>
      </c>
      <c r="N735" s="172"/>
      <c r="O735" s="172"/>
      <c r="P735" s="172"/>
      <c r="Q735" s="38">
        <f>SUM(N735:P735)</f>
        <v>0</v>
      </c>
      <c r="R735" s="38">
        <f>+E735+I735+M735+Q735</f>
        <v>1000</v>
      </c>
    </row>
    <row r="736" spans="1:20" ht="15.75" hidden="1" customHeight="1" x14ac:dyDescent="0.3">
      <c r="A736" s="539" t="s">
        <v>2996</v>
      </c>
      <c r="B736" s="172">
        <v>50</v>
      </c>
      <c r="C736" s="172"/>
      <c r="D736" s="172"/>
      <c r="E736" s="38">
        <f>SUM(B736:D736)</f>
        <v>50</v>
      </c>
      <c r="F736" s="172"/>
      <c r="G736" s="172"/>
      <c r="H736" s="172"/>
      <c r="I736" s="38">
        <f>SUM(F736:H736)</f>
        <v>0</v>
      </c>
      <c r="J736" s="172"/>
      <c r="K736" s="172"/>
      <c r="L736" s="172"/>
      <c r="M736" s="38">
        <f>SUM(J736:L736)</f>
        <v>0</v>
      </c>
      <c r="N736" s="172"/>
      <c r="O736" s="172"/>
      <c r="P736" s="172"/>
      <c r="Q736" s="38">
        <f>SUM(N736:P736)</f>
        <v>0</v>
      </c>
      <c r="R736" s="38">
        <f>+E736+I736+M736+Q736</f>
        <v>50</v>
      </c>
    </row>
    <row r="737" spans="1:20" ht="15.75" hidden="1" customHeight="1" x14ac:dyDescent="0.3">
      <c r="A737" s="310" t="s">
        <v>715</v>
      </c>
      <c r="B737" s="172">
        <v>3184</v>
      </c>
      <c r="C737" s="172">
        <v>2158</v>
      </c>
      <c r="D737" s="172">
        <v>1697</v>
      </c>
      <c r="E737" s="38">
        <f>SUM(B737:D737)</f>
        <v>7039</v>
      </c>
      <c r="F737" s="172">
        <v>2667</v>
      </c>
      <c r="G737" s="172">
        <v>2343</v>
      </c>
      <c r="H737" s="172">
        <v>2878</v>
      </c>
      <c r="I737" s="38">
        <f>SUM(F737:H737)</f>
        <v>7888</v>
      </c>
      <c r="J737" s="172">
        <v>2043</v>
      </c>
      <c r="K737" s="172">
        <v>491</v>
      </c>
      <c r="L737" s="172">
        <v>3079</v>
      </c>
      <c r="M737" s="38">
        <f>SUM(J737:L737)</f>
        <v>5613</v>
      </c>
      <c r="N737" s="172">
        <v>1169</v>
      </c>
      <c r="O737" s="172">
        <v>64</v>
      </c>
      <c r="P737" s="172">
        <v>3227</v>
      </c>
      <c r="Q737" s="38">
        <f>SUM(N737:P737)</f>
        <v>4460</v>
      </c>
      <c r="R737" s="38">
        <f>+E737+I737+M737+Q737</f>
        <v>25000</v>
      </c>
    </row>
    <row r="738" spans="1:20" ht="15.75" hidden="1" customHeight="1" x14ac:dyDescent="0.3">
      <c r="A738" s="234" t="s">
        <v>2161</v>
      </c>
      <c r="B738" s="172"/>
      <c r="C738" s="172"/>
      <c r="D738" s="172"/>
      <c r="E738" s="38" t="s">
        <v>852</v>
      </c>
      <c r="F738" s="172"/>
      <c r="G738" s="172"/>
      <c r="H738" s="172"/>
      <c r="I738" s="38" t="s">
        <v>852</v>
      </c>
      <c r="J738" s="172"/>
      <c r="K738" s="172"/>
      <c r="L738" s="172"/>
      <c r="M738" s="38" t="s">
        <v>852</v>
      </c>
      <c r="N738" s="172"/>
      <c r="O738" s="172"/>
      <c r="P738" s="172"/>
      <c r="Q738" s="38" t="s">
        <v>852</v>
      </c>
      <c r="R738" s="38" t="s">
        <v>852</v>
      </c>
    </row>
    <row r="739" spans="1:20" ht="15.75" hidden="1" customHeight="1" x14ac:dyDescent="0.3">
      <c r="A739" s="234" t="s">
        <v>2162</v>
      </c>
      <c r="B739" s="172"/>
      <c r="C739" s="172"/>
      <c r="D739" s="172"/>
      <c r="E739" s="38" t="s">
        <v>852</v>
      </c>
      <c r="F739" s="172"/>
      <c r="G739" s="172"/>
      <c r="H739" s="172"/>
      <c r="I739" s="38" t="s">
        <v>852</v>
      </c>
      <c r="J739" s="172"/>
      <c r="K739" s="172"/>
      <c r="L739" s="172"/>
      <c r="M739" s="38" t="s">
        <v>852</v>
      </c>
      <c r="N739" s="172"/>
      <c r="O739" s="172"/>
      <c r="P739" s="172"/>
      <c r="Q739" s="38" t="s">
        <v>852</v>
      </c>
      <c r="R739" s="38" t="s">
        <v>852</v>
      </c>
    </row>
    <row r="740" spans="1:20" ht="15.75" hidden="1" customHeight="1" x14ac:dyDescent="0.3">
      <c r="A740" s="266" t="s">
        <v>447</v>
      </c>
      <c r="B740" s="172"/>
      <c r="C740" s="172"/>
      <c r="D740" s="172"/>
      <c r="E740" s="38">
        <f>SUM(B740:D740)</f>
        <v>0</v>
      </c>
      <c r="F740" s="172"/>
      <c r="G740" s="172"/>
      <c r="H740" s="172"/>
      <c r="I740" s="38">
        <f>SUM(F740:H740)</f>
        <v>0</v>
      </c>
      <c r="J740" s="172"/>
      <c r="K740" s="172"/>
      <c r="L740" s="172"/>
      <c r="M740" s="38">
        <f>SUM(J740:L740)</f>
        <v>0</v>
      </c>
      <c r="N740" s="172"/>
      <c r="O740" s="172"/>
      <c r="P740" s="172"/>
      <c r="Q740" s="38">
        <f>SUM(N740:P740)</f>
        <v>0</v>
      </c>
      <c r="R740" s="38">
        <f>+E740+I740+M740+Q740</f>
        <v>0</v>
      </c>
    </row>
    <row r="741" spans="1:20" ht="15.75" hidden="1" customHeight="1" thickBot="1" x14ac:dyDescent="0.35">
      <c r="A741" s="234" t="s">
        <v>2164</v>
      </c>
      <c r="B741" s="172"/>
      <c r="C741" s="172"/>
      <c r="D741" s="172"/>
      <c r="E741" s="38" t="s">
        <v>852</v>
      </c>
      <c r="F741" s="172"/>
      <c r="G741" s="172"/>
      <c r="H741" s="172"/>
      <c r="I741" s="38" t="s">
        <v>852</v>
      </c>
      <c r="J741" s="172"/>
      <c r="K741" s="172"/>
      <c r="L741" s="172"/>
      <c r="M741" s="38" t="s">
        <v>852</v>
      </c>
      <c r="N741" s="172"/>
      <c r="O741" s="172"/>
      <c r="P741" s="172"/>
      <c r="Q741" s="38" t="s">
        <v>852</v>
      </c>
      <c r="R741" s="38" t="s">
        <v>852</v>
      </c>
    </row>
    <row r="742" spans="1:20" ht="16.5" hidden="1" customHeight="1" thickBot="1" x14ac:dyDescent="0.35">
      <c r="A742" s="43" t="s">
        <v>1218</v>
      </c>
      <c r="B742" s="45">
        <f>SUM(B732:B741)</f>
        <v>3234</v>
      </c>
      <c r="C742" s="46">
        <f>SUM(C732:C741)</f>
        <v>2158</v>
      </c>
      <c r="D742" s="46">
        <f>SUM(D732:D741)</f>
        <v>2697</v>
      </c>
      <c r="E742" s="37">
        <f>SUM(B742:D742)</f>
        <v>8089</v>
      </c>
      <c r="F742" s="46">
        <f>SUM(F732:F741)</f>
        <v>2667</v>
      </c>
      <c r="G742" s="46">
        <f>SUM(G732:G741)</f>
        <v>2343</v>
      </c>
      <c r="H742" s="46">
        <f>SUM(H732:H741)</f>
        <v>2878</v>
      </c>
      <c r="I742" s="37">
        <f>SUM(F742:H742)</f>
        <v>7888</v>
      </c>
      <c r="J742" s="46">
        <f>SUM(J732:J741)</f>
        <v>2043</v>
      </c>
      <c r="K742" s="46">
        <f>SUM(K732:K741)</f>
        <v>491</v>
      </c>
      <c r="L742" s="46">
        <f>SUM(L732:L741)</f>
        <v>3079</v>
      </c>
      <c r="M742" s="37">
        <f>SUM(J742:L742)</f>
        <v>5613</v>
      </c>
      <c r="N742" s="46">
        <f>SUM(N732:N741)</f>
        <v>1169</v>
      </c>
      <c r="O742" s="46">
        <f>SUM(O732:O741)</f>
        <v>64</v>
      </c>
      <c r="P742" s="46">
        <f>SUM(P732:P741)</f>
        <v>3227</v>
      </c>
      <c r="Q742" s="37">
        <f>SUM(N742:P742)</f>
        <v>4460</v>
      </c>
      <c r="R742" s="37">
        <f>+E742+I742+M742+Q742</f>
        <v>26050</v>
      </c>
    </row>
    <row r="743" spans="1:20" ht="15.75" hidden="1" customHeight="1" x14ac:dyDescent="0.3">
      <c r="A743" s="234" t="s">
        <v>1172</v>
      </c>
      <c r="B743" s="172"/>
      <c r="C743" s="172"/>
      <c r="D743" s="172"/>
      <c r="E743" s="38" t="s">
        <v>852</v>
      </c>
      <c r="F743" s="172"/>
      <c r="G743" s="172"/>
      <c r="H743" s="172"/>
      <c r="I743" s="38" t="s">
        <v>852</v>
      </c>
      <c r="J743" s="172"/>
      <c r="K743" s="172"/>
      <c r="L743" s="172"/>
      <c r="M743" s="38" t="s">
        <v>852</v>
      </c>
      <c r="N743" s="172"/>
      <c r="O743" s="172"/>
      <c r="P743" s="172"/>
      <c r="Q743" s="38" t="s">
        <v>852</v>
      </c>
      <c r="R743" s="38" t="s">
        <v>852</v>
      </c>
    </row>
    <row r="744" spans="1:20" ht="15.75" hidden="1" customHeight="1" x14ac:dyDescent="0.3">
      <c r="A744" s="234" t="s">
        <v>2409</v>
      </c>
      <c r="B744" s="172"/>
      <c r="C744" s="172"/>
      <c r="D744" s="172"/>
      <c r="E744" s="38" t="s">
        <v>852</v>
      </c>
      <c r="F744" s="172"/>
      <c r="G744" s="172"/>
      <c r="H744" s="172"/>
      <c r="I744" s="38" t="s">
        <v>852</v>
      </c>
      <c r="J744" s="172"/>
      <c r="K744" s="172"/>
      <c r="L744" s="172"/>
      <c r="M744" s="38" t="s">
        <v>852</v>
      </c>
      <c r="N744" s="172"/>
      <c r="O744" s="172"/>
      <c r="P744" s="172"/>
      <c r="Q744" s="38" t="s">
        <v>852</v>
      </c>
      <c r="R744" s="38" t="s">
        <v>852</v>
      </c>
    </row>
    <row r="745" spans="1:20" ht="15.75" hidden="1" customHeight="1" x14ac:dyDescent="0.3">
      <c r="A745" s="539" t="s">
        <v>1648</v>
      </c>
      <c r="B745" s="172"/>
      <c r="C745" s="172"/>
      <c r="D745" s="172"/>
      <c r="E745" s="38">
        <f>SUM(B745:D745)</f>
        <v>0</v>
      </c>
      <c r="F745" s="172"/>
      <c r="G745" s="172"/>
      <c r="H745" s="172"/>
      <c r="I745" s="38">
        <f>SUM(F745:H745)</f>
        <v>0</v>
      </c>
      <c r="J745" s="172"/>
      <c r="K745" s="172"/>
      <c r="L745" s="172"/>
      <c r="M745" s="38">
        <f>SUM(J745:L745)</f>
        <v>0</v>
      </c>
      <c r="N745" s="172"/>
      <c r="O745" s="172"/>
      <c r="P745" s="172"/>
      <c r="Q745" s="38">
        <f>SUM(N745:P745)</f>
        <v>0</v>
      </c>
      <c r="R745" s="38">
        <f>+E745+I745+M745+Q745</f>
        <v>0</v>
      </c>
    </row>
    <row r="746" spans="1:20" ht="15.75" hidden="1" customHeight="1" thickBot="1" x14ac:dyDescent="0.35">
      <c r="A746" s="234" t="s">
        <v>2165</v>
      </c>
      <c r="B746" s="172"/>
      <c r="C746" s="172"/>
      <c r="D746" s="172"/>
      <c r="E746" s="38" t="s">
        <v>852</v>
      </c>
      <c r="F746" s="172"/>
      <c r="G746" s="172"/>
      <c r="H746" s="172"/>
      <c r="I746" s="38" t="s">
        <v>852</v>
      </c>
      <c r="J746" s="172"/>
      <c r="K746" s="172"/>
      <c r="L746" s="172"/>
      <c r="M746" s="38" t="s">
        <v>852</v>
      </c>
      <c r="N746" s="172"/>
      <c r="O746" s="172"/>
      <c r="P746" s="172"/>
      <c r="Q746" s="38" t="s">
        <v>852</v>
      </c>
      <c r="R746" s="38" t="s">
        <v>852</v>
      </c>
    </row>
    <row r="747" spans="1:20" ht="16.5" hidden="1" customHeight="1" thickBot="1" x14ac:dyDescent="0.35">
      <c r="A747" s="43" t="s">
        <v>1219</v>
      </c>
      <c r="B747" s="45">
        <f>SUM(B743:B746)</f>
        <v>0</v>
      </c>
      <c r="C747" s="46">
        <f>SUM(C743:C746)</f>
        <v>0</v>
      </c>
      <c r="D747" s="46">
        <f>SUM(D743:D746)</f>
        <v>0</v>
      </c>
      <c r="E747" s="37">
        <f>SUM(B747:D747)</f>
        <v>0</v>
      </c>
      <c r="F747" s="46">
        <f>SUM(F743:F746)</f>
        <v>0</v>
      </c>
      <c r="G747" s="46">
        <f>SUM(G743:G746)</f>
        <v>0</v>
      </c>
      <c r="H747" s="46">
        <f>SUM(H743:H746)</f>
        <v>0</v>
      </c>
      <c r="I747" s="37">
        <f>SUM(F747:H747)</f>
        <v>0</v>
      </c>
      <c r="J747" s="46">
        <f>SUM(J743:J746)</f>
        <v>0</v>
      </c>
      <c r="K747" s="46">
        <f>SUM(K743:K746)</f>
        <v>0</v>
      </c>
      <c r="L747" s="46">
        <f>SUM(L743:L746)</f>
        <v>0</v>
      </c>
      <c r="M747" s="37">
        <f>SUM(J747:L747)</f>
        <v>0</v>
      </c>
      <c r="N747" s="46">
        <f>SUM(N743:N746)</f>
        <v>0</v>
      </c>
      <c r="O747" s="46">
        <f>SUM(O743:O746)</f>
        <v>0</v>
      </c>
      <c r="P747" s="46">
        <f>SUM(P743:P746)</f>
        <v>0</v>
      </c>
      <c r="Q747" s="37">
        <f>SUM(N747:P747)</f>
        <v>0</v>
      </c>
      <c r="R747" s="37">
        <f>+E747+I747+M747+Q747</f>
        <v>0</v>
      </c>
    </row>
    <row r="748" spans="1:20" ht="15.75" hidden="1" customHeight="1" x14ac:dyDescent="0.3">
      <c r="A748" s="234" t="s">
        <v>2166</v>
      </c>
      <c r="B748" s="172"/>
      <c r="C748" s="172"/>
      <c r="D748" s="172"/>
      <c r="E748" s="38" t="s">
        <v>852</v>
      </c>
      <c r="F748" s="172"/>
      <c r="G748" s="172"/>
      <c r="H748" s="172"/>
      <c r="I748" s="38" t="s">
        <v>852</v>
      </c>
      <c r="J748" s="172" t="s">
        <v>852</v>
      </c>
      <c r="K748" s="172"/>
      <c r="L748" s="172"/>
      <c r="M748" s="38" t="s">
        <v>852</v>
      </c>
      <c r="N748" s="172"/>
      <c r="O748" s="172"/>
      <c r="P748" s="172"/>
      <c r="Q748" s="38" t="s">
        <v>852</v>
      </c>
      <c r="R748" s="38" t="s">
        <v>852</v>
      </c>
    </row>
    <row r="749" spans="1:20" ht="18" hidden="1" customHeight="1" x14ac:dyDescent="0.3">
      <c r="A749" s="234" t="s">
        <v>1245</v>
      </c>
      <c r="B749" s="172"/>
      <c r="C749" s="172"/>
      <c r="D749" s="172"/>
      <c r="E749" s="38" t="s">
        <v>852</v>
      </c>
      <c r="F749" s="172"/>
      <c r="G749" s="172"/>
      <c r="H749" s="172"/>
      <c r="I749" s="38" t="s">
        <v>852</v>
      </c>
      <c r="J749" s="172"/>
      <c r="K749" s="172"/>
      <c r="L749" s="172"/>
      <c r="M749" s="38" t="s">
        <v>852</v>
      </c>
      <c r="N749" s="172"/>
      <c r="O749" s="172"/>
      <c r="P749" s="172"/>
      <c r="Q749" s="38" t="s">
        <v>852</v>
      </c>
      <c r="R749" s="38" t="s">
        <v>852</v>
      </c>
    </row>
    <row r="750" spans="1:20" ht="15.75" hidden="1" customHeight="1" x14ac:dyDescent="0.3">
      <c r="A750" s="539" t="s">
        <v>2750</v>
      </c>
      <c r="B750" s="172">
        <v>64</v>
      </c>
      <c r="C750" s="172">
        <v>216</v>
      </c>
      <c r="D750" s="172">
        <v>541</v>
      </c>
      <c r="E750" s="38">
        <f>SUM(B750:D750)</f>
        <v>821</v>
      </c>
      <c r="F750" s="172">
        <v>683</v>
      </c>
      <c r="G750" s="172">
        <v>896</v>
      </c>
      <c r="H750" s="172">
        <v>885</v>
      </c>
      <c r="I750" s="38">
        <f>SUM(F750:H750)</f>
        <v>2464</v>
      </c>
      <c r="J750" s="172">
        <v>946</v>
      </c>
      <c r="K750" s="172">
        <v>735</v>
      </c>
      <c r="L750" s="172">
        <v>925</v>
      </c>
      <c r="M750" s="38">
        <f>SUM(J750:L750)</f>
        <v>2606</v>
      </c>
      <c r="N750" s="172">
        <v>223</v>
      </c>
      <c r="O750" s="172">
        <v>572</v>
      </c>
      <c r="P750" s="172">
        <v>462</v>
      </c>
      <c r="Q750" s="38">
        <f>SUM(N750:P750)</f>
        <v>1257</v>
      </c>
      <c r="R750" s="38">
        <f>+E750+I750+M750+Q750</f>
        <v>7148</v>
      </c>
      <c r="T750" t="s">
        <v>2805</v>
      </c>
    </row>
    <row r="751" spans="1:20" ht="15.75" hidden="1" customHeight="1" x14ac:dyDescent="0.3">
      <c r="A751" s="539" t="s">
        <v>2702</v>
      </c>
      <c r="B751" s="172">
        <v>20</v>
      </c>
      <c r="C751" s="172">
        <v>49</v>
      </c>
      <c r="D751" s="172">
        <v>45</v>
      </c>
      <c r="E751" s="38">
        <f>SUM(B751:D751)</f>
        <v>114</v>
      </c>
      <c r="F751" s="172">
        <v>76</v>
      </c>
      <c r="G751" s="172">
        <v>79</v>
      </c>
      <c r="H751" s="172">
        <v>108</v>
      </c>
      <c r="I751" s="38">
        <f>SUM(F751:H751)</f>
        <v>263</v>
      </c>
      <c r="J751" s="172">
        <v>85</v>
      </c>
      <c r="K751" s="172">
        <v>38</v>
      </c>
      <c r="L751" s="172"/>
      <c r="M751" s="38">
        <f>SUM(J751:L751)</f>
        <v>123</v>
      </c>
      <c r="N751" s="172"/>
      <c r="O751" s="172"/>
      <c r="P751" s="172"/>
      <c r="Q751" s="38">
        <f>SUM(N751:P751)</f>
        <v>0</v>
      </c>
      <c r="R751" s="38">
        <f>+E751+I751+M751+Q751</f>
        <v>500</v>
      </c>
      <c r="T751" t="s">
        <v>2785</v>
      </c>
    </row>
    <row r="752" spans="1:20" ht="15.75" hidden="1" customHeight="1" x14ac:dyDescent="0.3">
      <c r="A752" s="234" t="s">
        <v>1711</v>
      </c>
      <c r="B752" s="172"/>
      <c r="C752" s="172"/>
      <c r="D752" s="172"/>
      <c r="E752" s="38" t="s">
        <v>852</v>
      </c>
      <c r="F752" s="172"/>
      <c r="G752" s="172"/>
      <c r="H752" s="172"/>
      <c r="I752" s="38" t="s">
        <v>852</v>
      </c>
      <c r="J752" s="172"/>
      <c r="K752" s="172"/>
      <c r="L752" s="172"/>
      <c r="M752" s="38" t="s">
        <v>852</v>
      </c>
      <c r="N752" s="172"/>
      <c r="O752" s="172"/>
      <c r="P752" s="172"/>
      <c r="Q752" s="38" t="s">
        <v>852</v>
      </c>
      <c r="R752" s="38" t="s">
        <v>852</v>
      </c>
    </row>
    <row r="753" spans="1:20" ht="15.75" hidden="1" customHeight="1" x14ac:dyDescent="0.3">
      <c r="A753" s="539" t="s">
        <v>2935</v>
      </c>
      <c r="B753" s="172"/>
      <c r="C753" s="172"/>
      <c r="D753" s="172"/>
      <c r="E753" s="38">
        <f>SUM(B753:D753)</f>
        <v>0</v>
      </c>
      <c r="F753" s="172"/>
      <c r="G753" s="172"/>
      <c r="H753" s="172"/>
      <c r="I753" s="38">
        <f>SUM(F753:H753)</f>
        <v>0</v>
      </c>
      <c r="J753" s="172"/>
      <c r="K753" s="172">
        <v>25</v>
      </c>
      <c r="L753" s="172">
        <v>50</v>
      </c>
      <c r="M753" s="38">
        <f>SUM(J753:L753)</f>
        <v>75</v>
      </c>
      <c r="N753" s="172">
        <v>43</v>
      </c>
      <c r="O753" s="172">
        <v>38</v>
      </c>
      <c r="P753" s="172">
        <v>18</v>
      </c>
      <c r="Q753" s="38">
        <f>SUM(N753:P753)</f>
        <v>99</v>
      </c>
      <c r="R753" s="38">
        <f>+E753+I753+M753+Q753</f>
        <v>174</v>
      </c>
      <c r="T753" t="s">
        <v>2785</v>
      </c>
    </row>
    <row r="754" spans="1:20" ht="15.75" hidden="1" customHeight="1" x14ac:dyDescent="0.3">
      <c r="A754" s="539" t="s">
        <v>2749</v>
      </c>
      <c r="B754" s="172"/>
      <c r="C754" s="172"/>
      <c r="D754" s="172"/>
      <c r="E754" s="38">
        <f>SUM(B754:D754)</f>
        <v>0</v>
      </c>
      <c r="F754" s="172"/>
      <c r="G754" s="172"/>
      <c r="H754" s="172"/>
      <c r="I754" s="38">
        <f>SUM(F754:H754)</f>
        <v>0</v>
      </c>
      <c r="J754" s="172"/>
      <c r="K754" s="172"/>
      <c r="L754" s="172"/>
      <c r="M754" s="38">
        <f>SUM(J754:L754)</f>
        <v>0</v>
      </c>
      <c r="N754" s="172"/>
      <c r="O754" s="172"/>
      <c r="P754" s="172"/>
      <c r="Q754" s="38">
        <f>SUM(N754:P754)</f>
        <v>0</v>
      </c>
      <c r="R754" s="38">
        <f>+E754+I754+M754+Q754</f>
        <v>0</v>
      </c>
    </row>
    <row r="755" spans="1:20" ht="15.75" hidden="1" customHeight="1" x14ac:dyDescent="0.3">
      <c r="A755" s="310" t="s">
        <v>783</v>
      </c>
      <c r="B755" s="172"/>
      <c r="C755" s="172"/>
      <c r="D755" s="172"/>
      <c r="E755" s="38">
        <f>SUM(B755:D755)</f>
        <v>0</v>
      </c>
      <c r="F755" s="172"/>
      <c r="G755" s="172"/>
      <c r="H755" s="172"/>
      <c r="I755" s="38">
        <f>SUM(F755:H755)</f>
        <v>0</v>
      </c>
      <c r="J755" s="172"/>
      <c r="K755" s="172"/>
      <c r="L755" s="172"/>
      <c r="M755" s="38">
        <f>SUM(J755:L755)</f>
        <v>0</v>
      </c>
      <c r="N755" s="172"/>
      <c r="O755" s="172"/>
      <c r="P755" s="172"/>
      <c r="Q755" s="38">
        <f>SUM(N755:P755)</f>
        <v>0</v>
      </c>
      <c r="R755" s="38">
        <f>+E755+I755+M755+Q755</f>
        <v>0</v>
      </c>
      <c r="T755" t="s">
        <v>2765</v>
      </c>
    </row>
    <row r="756" spans="1:20" ht="15.75" hidden="1" customHeight="1" thickBot="1" x14ac:dyDescent="0.35">
      <c r="A756" s="539" t="s">
        <v>2540</v>
      </c>
      <c r="B756" s="172">
        <v>549</v>
      </c>
      <c r="C756" s="172">
        <v>576</v>
      </c>
      <c r="D756" s="172">
        <v>687</v>
      </c>
      <c r="E756" s="38">
        <f>SUM(B756:D756)</f>
        <v>1812</v>
      </c>
      <c r="F756" s="172">
        <v>671</v>
      </c>
      <c r="G756" s="172">
        <v>757</v>
      </c>
      <c r="H756" s="172">
        <v>485</v>
      </c>
      <c r="I756" s="38">
        <f>SUM(F756:H756)</f>
        <v>1913</v>
      </c>
      <c r="J756" s="172">
        <v>545</v>
      </c>
      <c r="K756" s="172">
        <v>834</v>
      </c>
      <c r="L756" s="172">
        <v>746</v>
      </c>
      <c r="M756" s="38">
        <f>SUM(J756:L756)</f>
        <v>2125</v>
      </c>
      <c r="N756" s="172">
        <v>402</v>
      </c>
      <c r="O756" s="172">
        <v>477</v>
      </c>
      <c r="P756" s="172">
        <v>703</v>
      </c>
      <c r="Q756" s="38">
        <f>SUM(N756:P756)</f>
        <v>1582</v>
      </c>
      <c r="R756" s="38">
        <f>+E756+I756+M756+Q756</f>
        <v>7432</v>
      </c>
      <c r="T756" t="s">
        <v>2806</v>
      </c>
    </row>
    <row r="757" spans="1:20" ht="16.5" hidden="1" customHeight="1" thickBot="1" x14ac:dyDescent="0.35">
      <c r="A757" s="43" t="s">
        <v>1220</v>
      </c>
      <c r="B757" s="45">
        <f>SUM(B748:B756)</f>
        <v>633</v>
      </c>
      <c r="C757" s="46">
        <f>SUM(C748:C756)</f>
        <v>841</v>
      </c>
      <c r="D757" s="46">
        <f>SUM(D748:D756)</f>
        <v>1273</v>
      </c>
      <c r="E757" s="37">
        <f>SUM(B757:D757)</f>
        <v>2747</v>
      </c>
      <c r="F757" s="46">
        <f>SUM(F748:F756)</f>
        <v>1430</v>
      </c>
      <c r="G757" s="46">
        <f>SUM(G748:G756)</f>
        <v>1732</v>
      </c>
      <c r="H757" s="46">
        <f>SUM(H748:H756)</f>
        <v>1478</v>
      </c>
      <c r="I757" s="37">
        <f>SUM(F757:H757)</f>
        <v>4640</v>
      </c>
      <c r="J757" s="46">
        <f>SUM(J748:J756)</f>
        <v>1576</v>
      </c>
      <c r="K757" s="46">
        <f>SUM(K748:K756)</f>
        <v>1632</v>
      </c>
      <c r="L757" s="46">
        <f>SUM(L748:L756)</f>
        <v>1721</v>
      </c>
      <c r="M757" s="37">
        <f>SUM(J757:L757)</f>
        <v>4929</v>
      </c>
      <c r="N757" s="46">
        <f>SUM(N748:N756)</f>
        <v>668</v>
      </c>
      <c r="O757" s="46">
        <f>SUM(O748:O756)</f>
        <v>1087</v>
      </c>
      <c r="P757" s="46">
        <f>SUM(P748:P756)</f>
        <v>1183</v>
      </c>
      <c r="Q757" s="37">
        <f>SUM(N757:P757)</f>
        <v>2938</v>
      </c>
      <c r="R757" s="37">
        <f>+E757+I757+M757+Q757</f>
        <v>15254</v>
      </c>
    </row>
    <row r="758" spans="1:20" ht="15.75" hidden="1" customHeight="1" x14ac:dyDescent="0.3">
      <c r="A758" s="234" t="s">
        <v>1712</v>
      </c>
      <c r="B758" s="172"/>
      <c r="C758" s="172"/>
      <c r="D758" s="172"/>
      <c r="E758" s="38" t="s">
        <v>852</v>
      </c>
      <c r="F758" s="172"/>
      <c r="G758" s="172"/>
      <c r="H758" s="172"/>
      <c r="I758" s="38" t="s">
        <v>852</v>
      </c>
      <c r="J758" s="172"/>
      <c r="K758" s="172"/>
      <c r="L758" s="172"/>
      <c r="M758" s="38" t="s">
        <v>852</v>
      </c>
      <c r="N758" s="172"/>
      <c r="O758" s="172"/>
      <c r="P758" s="172"/>
      <c r="Q758" s="38" t="s">
        <v>852</v>
      </c>
      <c r="R758" s="38" t="s">
        <v>852</v>
      </c>
    </row>
    <row r="759" spans="1:20" ht="15.75" hidden="1" customHeight="1" x14ac:dyDescent="0.3">
      <c r="A759" s="234" t="s">
        <v>1021</v>
      </c>
      <c r="B759" s="172"/>
      <c r="C759" s="172"/>
      <c r="D759" s="172"/>
      <c r="E759" s="38" t="s">
        <v>852</v>
      </c>
      <c r="F759" s="172"/>
      <c r="G759" s="172"/>
      <c r="H759" s="172"/>
      <c r="I759" s="38" t="s">
        <v>852</v>
      </c>
      <c r="J759" s="172"/>
      <c r="K759" s="172"/>
      <c r="L759" s="172"/>
      <c r="M759" s="38" t="s">
        <v>852</v>
      </c>
      <c r="N759" s="172"/>
      <c r="O759" s="172"/>
      <c r="P759" s="172"/>
      <c r="Q759" s="38" t="s">
        <v>852</v>
      </c>
      <c r="R759" s="38" t="s">
        <v>852</v>
      </c>
    </row>
    <row r="760" spans="1:20" ht="15.75" hidden="1" customHeight="1" x14ac:dyDescent="0.3">
      <c r="A760" s="266" t="s">
        <v>447</v>
      </c>
      <c r="B760" s="172"/>
      <c r="C760" s="172"/>
      <c r="D760" s="172"/>
      <c r="E760" s="38">
        <f>SUM(B760:D760)</f>
        <v>0</v>
      </c>
      <c r="F760" s="172"/>
      <c r="G760" s="172"/>
      <c r="H760" s="172"/>
      <c r="I760" s="38">
        <f>SUM(F760:H760)</f>
        <v>0</v>
      </c>
      <c r="J760" s="172"/>
      <c r="K760" s="172"/>
      <c r="L760" s="172"/>
      <c r="M760" s="38">
        <f>SUM(J760:L760)</f>
        <v>0</v>
      </c>
      <c r="N760" s="172"/>
      <c r="O760" s="172"/>
      <c r="P760" s="172"/>
      <c r="Q760" s="38">
        <f>SUM(N760:P760)</f>
        <v>0</v>
      </c>
      <c r="R760" s="38">
        <f>+E760+I760+M760+Q760</f>
        <v>0</v>
      </c>
    </row>
    <row r="761" spans="1:20" ht="15.75" hidden="1" customHeight="1" x14ac:dyDescent="0.3">
      <c r="A761" s="266" t="s">
        <v>2392</v>
      </c>
      <c r="B761" s="172"/>
      <c r="C761" s="172"/>
      <c r="D761" s="172"/>
      <c r="E761" s="38">
        <f>SUM(B761:D761)</f>
        <v>0</v>
      </c>
      <c r="F761" s="172"/>
      <c r="G761" s="172"/>
      <c r="H761" s="172"/>
      <c r="I761" s="38">
        <f>SUM(F761:H761)</f>
        <v>0</v>
      </c>
      <c r="J761" s="172"/>
      <c r="K761" s="172"/>
      <c r="L761" s="172"/>
      <c r="M761" s="38">
        <f>SUM(J761:L761)</f>
        <v>0</v>
      </c>
      <c r="N761" s="172"/>
      <c r="O761" s="172"/>
      <c r="P761" s="172"/>
      <c r="Q761" s="38">
        <f>SUM(N761:P761)</f>
        <v>0</v>
      </c>
      <c r="R761" s="38">
        <f>+E761+I761+M761+Q761</f>
        <v>0</v>
      </c>
    </row>
    <row r="762" spans="1:20" ht="15.75" hidden="1" customHeight="1" x14ac:dyDescent="0.3">
      <c r="A762" s="234" t="s">
        <v>557</v>
      </c>
      <c r="B762" s="172"/>
      <c r="C762" s="172"/>
      <c r="D762" s="172"/>
      <c r="E762" s="38" t="s">
        <v>852</v>
      </c>
      <c r="F762" s="172"/>
      <c r="G762" s="172"/>
      <c r="H762" s="172"/>
      <c r="I762" s="38" t="s">
        <v>852</v>
      </c>
      <c r="J762" s="172"/>
      <c r="K762" s="172"/>
      <c r="L762" s="172"/>
      <c r="M762" s="38" t="s">
        <v>852</v>
      </c>
      <c r="N762" s="172"/>
      <c r="O762" s="172"/>
      <c r="P762" s="172"/>
      <c r="Q762" s="38" t="s">
        <v>852</v>
      </c>
      <c r="R762" s="38" t="s">
        <v>852</v>
      </c>
    </row>
    <row r="763" spans="1:20" ht="15.75" hidden="1" customHeight="1" x14ac:dyDescent="0.3">
      <c r="A763" s="539" t="s">
        <v>2589</v>
      </c>
      <c r="B763" s="172"/>
      <c r="C763" s="172"/>
      <c r="D763" s="172"/>
      <c r="E763" s="38">
        <f>SUM(B763:D763)</f>
        <v>0</v>
      </c>
      <c r="F763" s="172"/>
      <c r="G763" s="172"/>
      <c r="H763" s="172"/>
      <c r="I763" s="38">
        <f>SUM(F763:H763)</f>
        <v>0</v>
      </c>
      <c r="J763" s="172"/>
      <c r="K763" s="172"/>
      <c r="L763" s="172"/>
      <c r="M763" s="38">
        <f>SUM(J763:L763)</f>
        <v>0</v>
      </c>
      <c r="N763" s="172"/>
      <c r="O763" s="172"/>
      <c r="P763" s="172"/>
      <c r="Q763" s="38">
        <f>SUM(N763:P763)</f>
        <v>0</v>
      </c>
      <c r="R763" s="38">
        <f>+E763+I763+M763+Q763</f>
        <v>0</v>
      </c>
    </row>
    <row r="764" spans="1:20" ht="15.75" hidden="1" customHeight="1" x14ac:dyDescent="0.3">
      <c r="A764" s="539" t="s">
        <v>2590</v>
      </c>
      <c r="B764" s="172"/>
      <c r="C764" s="172"/>
      <c r="D764" s="172"/>
      <c r="E764" s="38">
        <f>SUM(B764:D764)</f>
        <v>0</v>
      </c>
      <c r="F764" s="172"/>
      <c r="G764" s="172"/>
      <c r="H764" s="172"/>
      <c r="I764" s="38">
        <f>SUM(F764:H764)</f>
        <v>0</v>
      </c>
      <c r="J764" s="172"/>
      <c r="K764" s="172"/>
      <c r="L764" s="172"/>
      <c r="M764" s="38">
        <f>SUM(J764:L764)</f>
        <v>0</v>
      </c>
      <c r="N764" s="172"/>
      <c r="O764" s="172"/>
      <c r="P764" s="172"/>
      <c r="Q764" s="38">
        <f>SUM(N764:P764)</f>
        <v>0</v>
      </c>
      <c r="R764" s="38">
        <f>+E764+I764+M764+Q764</f>
        <v>0</v>
      </c>
    </row>
    <row r="765" spans="1:20" ht="15.75" hidden="1" customHeight="1" x14ac:dyDescent="0.3">
      <c r="A765" s="234" t="s">
        <v>1022</v>
      </c>
      <c r="B765" s="172"/>
      <c r="C765" s="172"/>
      <c r="D765" s="172"/>
      <c r="E765" s="38" t="s">
        <v>852</v>
      </c>
      <c r="F765" s="172"/>
      <c r="G765" s="172"/>
      <c r="H765" s="172"/>
      <c r="I765" s="38" t="s">
        <v>852</v>
      </c>
      <c r="J765" s="172"/>
      <c r="K765" s="172"/>
      <c r="L765" s="172"/>
      <c r="M765" s="38" t="s">
        <v>852</v>
      </c>
      <c r="N765" s="172"/>
      <c r="O765" s="172"/>
      <c r="P765" s="172"/>
      <c r="Q765" s="38" t="s">
        <v>852</v>
      </c>
      <c r="R765" s="38" t="s">
        <v>852</v>
      </c>
    </row>
    <row r="766" spans="1:20" ht="15.75" hidden="1" customHeight="1" thickBot="1" x14ac:dyDescent="0.35">
      <c r="A766" s="234" t="s">
        <v>559</v>
      </c>
      <c r="B766" s="172"/>
      <c r="C766" s="172"/>
      <c r="D766" s="172"/>
      <c r="E766" s="38" t="s">
        <v>852</v>
      </c>
      <c r="F766" s="172"/>
      <c r="G766" s="172"/>
      <c r="H766" s="172"/>
      <c r="I766" s="38" t="s">
        <v>852</v>
      </c>
      <c r="J766" s="172"/>
      <c r="K766" s="172"/>
      <c r="L766" s="172"/>
      <c r="M766" s="38" t="s">
        <v>852</v>
      </c>
      <c r="N766" s="172"/>
      <c r="O766" s="172"/>
      <c r="P766" s="172"/>
      <c r="Q766" s="38" t="s">
        <v>852</v>
      </c>
      <c r="R766" s="38" t="s">
        <v>852</v>
      </c>
    </row>
    <row r="767" spans="1:20" ht="16.5" hidden="1" customHeight="1" thickBot="1" x14ac:dyDescent="0.35">
      <c r="A767" s="43" t="s">
        <v>1019</v>
      </c>
      <c r="B767" s="42">
        <f>SUM(B765:B766)</f>
        <v>0</v>
      </c>
      <c r="C767" s="42">
        <f>SUM(C765:C766)</f>
        <v>0</v>
      </c>
      <c r="D767" s="42">
        <f>SUM(D765:D766)</f>
        <v>0</v>
      </c>
      <c r="E767" s="39">
        <f>SUM(B767:D767)</f>
        <v>0</v>
      </c>
      <c r="F767" s="42">
        <f>SUM(F765:F766)</f>
        <v>0</v>
      </c>
      <c r="G767" s="42">
        <f>SUM(G765:G766)</f>
        <v>0</v>
      </c>
      <c r="H767" s="42">
        <f>SUM(H765:H766)</f>
        <v>0</v>
      </c>
      <c r="I767" s="39">
        <f>SUM(F767:H767)</f>
        <v>0</v>
      </c>
      <c r="J767" s="42">
        <f>SUM(J765:J766)</f>
        <v>0</v>
      </c>
      <c r="K767" s="42">
        <f>SUM(K765:K766)</f>
        <v>0</v>
      </c>
      <c r="L767" s="42">
        <f>SUM(L765:L766)</f>
        <v>0</v>
      </c>
      <c r="M767" s="39">
        <f>SUM(J767:L767)</f>
        <v>0</v>
      </c>
      <c r="N767" s="42">
        <f>SUM(N765:N766)</f>
        <v>0</v>
      </c>
      <c r="O767" s="42">
        <f>SUM(O765:O766)</f>
        <v>0</v>
      </c>
      <c r="P767" s="42">
        <f>SUM(P765:P766)</f>
        <v>0</v>
      </c>
      <c r="Q767" s="39">
        <f>SUM(N767:P767)</f>
        <v>0</v>
      </c>
      <c r="R767" s="37">
        <f>+E767+I767+M767+Q767</f>
        <v>0</v>
      </c>
    </row>
    <row r="768" spans="1:20" ht="16.5" hidden="1" customHeight="1" thickBot="1" x14ac:dyDescent="0.35">
      <c r="A768" s="43" t="s">
        <v>1221</v>
      </c>
      <c r="B768" s="45">
        <f>SUM(B758:B766)</f>
        <v>0</v>
      </c>
      <c r="C768" s="46">
        <f>SUM(C758:C766)</f>
        <v>0</v>
      </c>
      <c r="D768" s="58">
        <f>SUM(D758:D766)</f>
        <v>0</v>
      </c>
      <c r="E768" s="39">
        <f>SUM(B768:D768)</f>
        <v>0</v>
      </c>
      <c r="F768" s="46">
        <f>SUM(F758:F766)</f>
        <v>0</v>
      </c>
      <c r="G768" s="46">
        <f>SUM(G758:G766)</f>
        <v>0</v>
      </c>
      <c r="H768" s="46">
        <f>SUM(H758:H766)</f>
        <v>0</v>
      </c>
      <c r="I768" s="39">
        <f>SUM(F768:H768)</f>
        <v>0</v>
      </c>
      <c r="J768" s="46">
        <f>SUM(J758:J766)</f>
        <v>0</v>
      </c>
      <c r="K768" s="46">
        <f>SUM(K758:K766)</f>
        <v>0</v>
      </c>
      <c r="L768" s="46">
        <f>SUM(L758:L766)</f>
        <v>0</v>
      </c>
      <c r="M768" s="39">
        <f>SUM(J768:L768)</f>
        <v>0</v>
      </c>
      <c r="N768" s="46">
        <f>SUM(N758:N766)</f>
        <v>0</v>
      </c>
      <c r="O768" s="46">
        <f>SUM(O758:O766)</f>
        <v>0</v>
      </c>
      <c r="P768" s="46">
        <f>SUM(P758:P766)</f>
        <v>0</v>
      </c>
      <c r="Q768" s="39">
        <f>SUM(N768:P768)</f>
        <v>0</v>
      </c>
      <c r="R768" s="37">
        <f>+E768+I768+M768+Q768</f>
        <v>0</v>
      </c>
    </row>
    <row r="769" spans="1:18" ht="16.5" hidden="1" customHeight="1" thickBot="1" x14ac:dyDescent="0.35">
      <c r="A769" s="43" t="s">
        <v>1222</v>
      </c>
      <c r="B769" s="47">
        <f>+B742+B747+B757+B768</f>
        <v>3867</v>
      </c>
      <c r="C769" s="42">
        <f>+C742+C747+C757+C768</f>
        <v>2999</v>
      </c>
      <c r="D769" s="42">
        <f>+D742+D747+D757+D768</f>
        <v>3970</v>
      </c>
      <c r="E769" s="37">
        <f>SUM(B769:D769)</f>
        <v>10836</v>
      </c>
      <c r="F769" s="42">
        <f>+F742+F747+F757+F768</f>
        <v>4097</v>
      </c>
      <c r="G769" s="42">
        <f>+G742+G747+G757+G768</f>
        <v>4075</v>
      </c>
      <c r="H769" s="42">
        <f>+H742+H747+H757+H768</f>
        <v>4356</v>
      </c>
      <c r="I769" s="37">
        <f>SUM(F769:H769)</f>
        <v>12528</v>
      </c>
      <c r="J769" s="42">
        <f>+J742+J747+J757+J768</f>
        <v>3619</v>
      </c>
      <c r="K769" s="42">
        <f>+K742+K747+K757+K768</f>
        <v>2123</v>
      </c>
      <c r="L769" s="42">
        <f>+L742+L747+L757+L768</f>
        <v>4800</v>
      </c>
      <c r="M769" s="37">
        <f>SUM(J769:L769)</f>
        <v>10542</v>
      </c>
      <c r="N769" s="42">
        <f>+N742+N747+N757+N768</f>
        <v>1837</v>
      </c>
      <c r="O769" s="42">
        <f>+O742+O747+O757+O768</f>
        <v>1151</v>
      </c>
      <c r="P769" s="42">
        <f>+P742+P747+P757+P768</f>
        <v>4410</v>
      </c>
      <c r="Q769" s="37">
        <f>SUM(N769:P769)</f>
        <v>7398</v>
      </c>
      <c r="R769" s="40">
        <f>+E769+I769+M769+Q769</f>
        <v>41304</v>
      </c>
    </row>
    <row r="770" spans="1:18" ht="16.5" hidden="1" customHeight="1" thickBot="1" x14ac:dyDescent="0.35">
      <c r="A770" s="244" t="s">
        <v>853</v>
      </c>
      <c r="B770" s="238">
        <v>11</v>
      </c>
      <c r="C770" s="238">
        <v>13</v>
      </c>
      <c r="D770" s="238">
        <v>17</v>
      </c>
      <c r="E770" s="38">
        <f>SUM(B770:D770)</f>
        <v>41</v>
      </c>
      <c r="F770" s="238">
        <v>21</v>
      </c>
      <c r="G770" s="238">
        <v>23</v>
      </c>
      <c r="H770" s="238">
        <v>25</v>
      </c>
      <c r="I770" s="38">
        <f>SUM(F770:H770)</f>
        <v>69</v>
      </c>
      <c r="J770" s="238">
        <v>25</v>
      </c>
      <c r="K770" s="238">
        <v>21</v>
      </c>
      <c r="L770" s="238">
        <v>19</v>
      </c>
      <c r="M770" s="38">
        <f>SUM(J770:L770)</f>
        <v>65</v>
      </c>
      <c r="N770" s="238">
        <v>17</v>
      </c>
      <c r="O770" s="238">
        <v>13</v>
      </c>
      <c r="P770" s="238">
        <v>11</v>
      </c>
      <c r="Q770" s="38">
        <f>SUM(N770:P770)</f>
        <v>41</v>
      </c>
      <c r="R770" s="38">
        <f>+E770+I770+M770+Q770</f>
        <v>216</v>
      </c>
    </row>
    <row r="771" spans="1:18" ht="16.5" hidden="1" customHeight="1" thickBot="1" x14ac:dyDescent="0.35">
      <c r="A771" s="22"/>
      <c r="B771" s="242"/>
      <c r="C771" s="242"/>
      <c r="D771" s="242"/>
      <c r="E771" s="37" t="s">
        <v>852</v>
      </c>
      <c r="F771" s="242"/>
      <c r="G771" s="242"/>
      <c r="H771" s="242"/>
      <c r="I771" s="37" t="s">
        <v>852</v>
      </c>
      <c r="J771" s="242"/>
      <c r="K771" s="242"/>
      <c r="L771" s="242"/>
      <c r="M771" s="37" t="s">
        <v>852</v>
      </c>
      <c r="N771" s="242"/>
      <c r="O771" s="242"/>
      <c r="P771" s="242"/>
      <c r="Q771" s="37" t="s">
        <v>852</v>
      </c>
      <c r="R771" s="37" t="s">
        <v>852</v>
      </c>
    </row>
    <row r="772" spans="1:18" ht="15.75" hidden="1" customHeight="1" x14ac:dyDescent="0.3">
      <c r="A772" s="234" t="s">
        <v>2011</v>
      </c>
      <c r="B772" s="172">
        <f>SUM(B769:B770)</f>
        <v>3878</v>
      </c>
      <c r="C772" s="172">
        <f>SUM(C769:C770)</f>
        <v>3012</v>
      </c>
      <c r="D772" s="172">
        <f>SUM(D769:D770)</f>
        <v>3987</v>
      </c>
      <c r="E772" s="39">
        <f>SUM(B772:D772)</f>
        <v>10877</v>
      </c>
      <c r="F772" s="172">
        <f>SUM(F769:F770)</f>
        <v>4118</v>
      </c>
      <c r="G772" s="172">
        <f>SUM(G769:G770)</f>
        <v>4098</v>
      </c>
      <c r="H772" s="172">
        <f>SUM(H769:H770)</f>
        <v>4381</v>
      </c>
      <c r="I772" s="39">
        <f>SUM(F772:H772)</f>
        <v>12597</v>
      </c>
      <c r="J772" s="172">
        <f>SUM(J769:J770)</f>
        <v>3644</v>
      </c>
      <c r="K772" s="172">
        <f>SUM(K769:K770)</f>
        <v>2144</v>
      </c>
      <c r="L772" s="172">
        <f>SUM(L769:L770)</f>
        <v>4819</v>
      </c>
      <c r="M772" s="39">
        <f>SUM(J772:L772)</f>
        <v>10607</v>
      </c>
      <c r="N772" s="172">
        <f>SUM(N769:N770)</f>
        <v>1854</v>
      </c>
      <c r="O772" s="172">
        <f>SUM(O769:O770)</f>
        <v>1164</v>
      </c>
      <c r="P772" s="172">
        <f>SUM(P769:P770)</f>
        <v>4421</v>
      </c>
      <c r="Q772" s="39">
        <f>SUM(N772:P772)</f>
        <v>7439</v>
      </c>
      <c r="R772" s="39">
        <f>+E772+I772+M772+Q772</f>
        <v>41520</v>
      </c>
    </row>
    <row r="773" spans="1:18" ht="15.75" hidden="1" customHeight="1" x14ac:dyDescent="0.3">
      <c r="A773" s="234" t="s">
        <v>1897</v>
      </c>
      <c r="B773" s="172">
        <f>(B772/B10)/1.983</f>
        <v>63.084606249898322</v>
      </c>
      <c r="C773" s="172">
        <f>(C772/C10)/1.983</f>
        <v>52.376232458657206</v>
      </c>
      <c r="D773" s="172">
        <f>(D772/D10)/1.983</f>
        <v>64.857742423502998</v>
      </c>
      <c r="E773" s="38" t="s">
        <v>852</v>
      </c>
      <c r="F773" s="172">
        <f>(F772/F10)/1.983</f>
        <v>69.221717935787524</v>
      </c>
      <c r="G773" s="172">
        <f>(G772/G10)/1.983</f>
        <v>66.663413205797667</v>
      </c>
      <c r="H773" s="172">
        <f>(H772/H10)/1.983</f>
        <v>73.642629013279532</v>
      </c>
      <c r="I773" s="38" t="s">
        <v>852</v>
      </c>
      <c r="J773" s="172">
        <f>(J772/J10)/1.983</f>
        <v>59.278057033169027</v>
      </c>
      <c r="K773" s="172">
        <f>(K772/K10)/1.983</f>
        <v>34.877100515673547</v>
      </c>
      <c r="L773" s="172">
        <f>(L772/L10)/1.983</f>
        <v>81.005210959825177</v>
      </c>
      <c r="M773" s="38" t="s">
        <v>852</v>
      </c>
      <c r="N773" s="172">
        <f>(N772/N10)/1.983</f>
        <v>30.159582255624418</v>
      </c>
      <c r="O773" s="172">
        <f>(O772/O10)/1.983</f>
        <v>19.56631366616238</v>
      </c>
      <c r="P773" s="172">
        <f>(P772/P10)/1.983</f>
        <v>71.917752509231704</v>
      </c>
      <c r="Q773" s="38" t="s">
        <v>852</v>
      </c>
      <c r="R773" s="38" t="s">
        <v>852</v>
      </c>
    </row>
    <row r="774" spans="1:18" ht="15.75" hidden="1" customHeight="1" x14ac:dyDescent="0.3">
      <c r="A774" s="234" t="s">
        <v>2050</v>
      </c>
      <c r="B774" s="172">
        <f>B772</f>
        <v>3878</v>
      </c>
      <c r="C774" s="172">
        <f>C772</f>
        <v>3012</v>
      </c>
      <c r="D774" s="172">
        <f>D772</f>
        <v>3987</v>
      </c>
      <c r="E774" s="38">
        <f>SUM(B774:D774)</f>
        <v>10877</v>
      </c>
      <c r="F774" s="172">
        <f>F772</f>
        <v>4118</v>
      </c>
      <c r="G774" s="172">
        <f>G772</f>
        <v>4098</v>
      </c>
      <c r="H774" s="172">
        <f>H772</f>
        <v>4381</v>
      </c>
      <c r="I774" s="38">
        <f>SUM(F774:H774)</f>
        <v>12597</v>
      </c>
      <c r="J774" s="172">
        <f>J772</f>
        <v>3644</v>
      </c>
      <c r="K774" s="172">
        <f>K772</f>
        <v>2144</v>
      </c>
      <c r="L774" s="172">
        <f>L772</f>
        <v>4819</v>
      </c>
      <c r="M774" s="38">
        <f>SUM(J774:L774)</f>
        <v>10607</v>
      </c>
      <c r="N774" s="172">
        <f>N772</f>
        <v>1854</v>
      </c>
      <c r="O774" s="172">
        <f>O772</f>
        <v>1164</v>
      </c>
      <c r="P774" s="172">
        <f>P772</f>
        <v>4421</v>
      </c>
      <c r="Q774" s="38">
        <f>SUM(N774:P774)</f>
        <v>7439</v>
      </c>
      <c r="R774" s="38">
        <f>+E774+I774+M774+Q774</f>
        <v>41520</v>
      </c>
    </row>
    <row r="775" spans="1:18" ht="16.5" hidden="1" customHeight="1" thickBot="1" x14ac:dyDescent="0.35">
      <c r="A775" s="237" t="s">
        <v>2051</v>
      </c>
      <c r="B775" s="238">
        <f>(B774/B10)/1.983</f>
        <v>63.084606249898322</v>
      </c>
      <c r="C775" s="238">
        <f>(C774/C10)/1.983</f>
        <v>52.376232458657206</v>
      </c>
      <c r="D775" s="238">
        <f>(D774/D10)/1.983</f>
        <v>64.857742423502998</v>
      </c>
      <c r="E775" s="40" t="s">
        <v>852</v>
      </c>
      <c r="F775" s="238">
        <f>(F774/F10)/1.983</f>
        <v>69.221717935787524</v>
      </c>
      <c r="G775" s="238">
        <f>(G774/G10)/1.983</f>
        <v>66.663413205797667</v>
      </c>
      <c r="H775" s="238">
        <f>(H774/H10)/1.983</f>
        <v>73.642629013279532</v>
      </c>
      <c r="I775" s="40" t="s">
        <v>852</v>
      </c>
      <c r="J775" s="238">
        <f>(J774/J10)/1.983</f>
        <v>59.278057033169027</v>
      </c>
      <c r="K775" s="238">
        <f>(K774/K10)/1.983</f>
        <v>34.877100515673547</v>
      </c>
      <c r="L775" s="238">
        <f>(L774/L10)/1.983</f>
        <v>81.005210959825177</v>
      </c>
      <c r="M775" s="40" t="s">
        <v>852</v>
      </c>
      <c r="N775" s="238">
        <f>(N774/N10)/1.983</f>
        <v>30.159582255624418</v>
      </c>
      <c r="O775" s="238">
        <f>(O774/O10)/1.983</f>
        <v>19.56631366616238</v>
      </c>
      <c r="P775" s="238">
        <f>(P774/P10)/1.983</f>
        <v>71.917752509231704</v>
      </c>
      <c r="Q775" s="40" t="s">
        <v>852</v>
      </c>
      <c r="R775" s="40" t="s">
        <v>852</v>
      </c>
    </row>
    <row r="776" spans="1:18" ht="15.75" hidden="1" customHeight="1" x14ac:dyDescent="0.3">
      <c r="A776" s="18"/>
      <c r="B776" s="172"/>
      <c r="C776" s="172"/>
      <c r="D776" s="172"/>
      <c r="E776" s="17"/>
      <c r="F776" s="172"/>
      <c r="G776" s="172"/>
      <c r="H776" s="172"/>
      <c r="I776" s="17"/>
      <c r="J776" s="172"/>
      <c r="K776" s="172"/>
      <c r="L776" s="172"/>
      <c r="M776" s="17"/>
      <c r="N776" s="172"/>
      <c r="O776" s="172"/>
      <c r="P776" s="172"/>
      <c r="Q776" s="17"/>
      <c r="R776" s="17"/>
    </row>
    <row r="777" spans="1:18" ht="15.75" hidden="1" customHeight="1" x14ac:dyDescent="0.3">
      <c r="A777" s="18"/>
      <c r="B777" s="172"/>
      <c r="C777" s="172"/>
      <c r="D777" s="172"/>
      <c r="E777" s="172"/>
      <c r="F777" s="172"/>
      <c r="G777" s="172"/>
      <c r="H777" s="172"/>
      <c r="I777" s="172"/>
      <c r="J777" s="172"/>
      <c r="K777" s="172"/>
      <c r="L777" s="172"/>
      <c r="M777" s="172"/>
      <c r="N777" s="172"/>
      <c r="O777" s="172"/>
      <c r="P777" s="172"/>
      <c r="Q777" s="680" t="str">
        <f>+Q1</f>
        <v xml:space="preserve">PRINTED:  </v>
      </c>
      <c r="R777" s="681">
        <f ca="1">+R1</f>
        <v>44881.729634027775</v>
      </c>
    </row>
    <row r="778" spans="1:18" ht="15.75" hidden="1" customHeight="1" x14ac:dyDescent="0.3">
      <c r="A778" s="778" t="s">
        <v>43</v>
      </c>
      <c r="B778" s="778"/>
      <c r="C778" s="778"/>
      <c r="D778" s="778"/>
      <c r="E778" s="778"/>
      <c r="F778" s="778"/>
      <c r="G778" s="778"/>
      <c r="H778" s="778"/>
      <c r="I778" s="778"/>
      <c r="J778" s="778"/>
      <c r="K778" s="778"/>
      <c r="L778" s="778"/>
      <c r="M778" s="778"/>
      <c r="N778" s="778"/>
      <c r="O778" s="778"/>
      <c r="P778" s="778"/>
      <c r="Q778" s="778"/>
      <c r="R778" s="778"/>
    </row>
    <row r="779" spans="1:18" ht="15.75" hidden="1" customHeight="1" x14ac:dyDescent="0.3">
      <c r="A779" s="778" t="s">
        <v>1988</v>
      </c>
      <c r="B779" s="778"/>
      <c r="C779" s="778"/>
      <c r="D779" s="778"/>
      <c r="E779" s="778"/>
      <c r="F779" s="778"/>
      <c r="G779" s="778"/>
      <c r="H779" s="778"/>
      <c r="I779" s="778"/>
      <c r="J779" s="778"/>
      <c r="K779" s="778"/>
      <c r="L779" s="778"/>
      <c r="M779" s="778"/>
      <c r="N779" s="778"/>
      <c r="O779" s="778"/>
      <c r="P779" s="778"/>
      <c r="Q779" s="778"/>
      <c r="R779" s="778"/>
    </row>
    <row r="780" spans="1:18" ht="15.75" hidden="1" customHeight="1" x14ac:dyDescent="0.3">
      <c r="A780" s="778" t="s">
        <v>544</v>
      </c>
      <c r="B780" s="778"/>
      <c r="C780" s="778"/>
      <c r="D780" s="778"/>
      <c r="E780" s="778"/>
      <c r="F780" s="778"/>
      <c r="G780" s="778"/>
      <c r="H780" s="778"/>
      <c r="I780" s="778"/>
      <c r="J780" s="778"/>
      <c r="K780" s="778"/>
      <c r="L780" s="778"/>
      <c r="M780" s="778"/>
      <c r="N780" s="778"/>
      <c r="O780" s="778"/>
      <c r="P780" s="778"/>
      <c r="Q780" s="778"/>
      <c r="R780" s="778"/>
    </row>
    <row r="781" spans="1:18" ht="15.75" hidden="1" customHeight="1" x14ac:dyDescent="0.3">
      <c r="A781" s="783">
        <f>+A5</f>
        <v>2016</v>
      </c>
      <c r="B781" s="783"/>
      <c r="C781" s="783"/>
      <c r="D781" s="783"/>
      <c r="E781" s="783"/>
      <c r="F781" s="783"/>
      <c r="G781" s="783"/>
      <c r="H781" s="783"/>
      <c r="I781" s="783"/>
      <c r="J781" s="783"/>
      <c r="K781" s="783"/>
      <c r="L781" s="783"/>
      <c r="M781" s="783"/>
      <c r="N781" s="783"/>
      <c r="O781" s="783"/>
      <c r="P781" s="783"/>
      <c r="Q781" s="783"/>
      <c r="R781" s="783"/>
    </row>
    <row r="782" spans="1:18" ht="15.75" hidden="1" customHeight="1" x14ac:dyDescent="0.3">
      <c r="A782" s="172"/>
      <c r="B782" s="172"/>
      <c r="C782" s="172"/>
      <c r="D782" s="1"/>
      <c r="E782" s="1"/>
      <c r="F782" s="1"/>
      <c r="G782" s="452"/>
      <c r="H782" s="1"/>
      <c r="I782" s="1"/>
      <c r="J782" s="452"/>
      <c r="K782" s="452"/>
      <c r="L782" s="452"/>
      <c r="M782" s="452"/>
      <c r="N782" s="172"/>
      <c r="O782" s="452"/>
      <c r="P782" s="452"/>
      <c r="Q782" s="452"/>
      <c r="R782" s="452"/>
    </row>
    <row r="783" spans="1:18" ht="15.75" hidden="1" customHeight="1" x14ac:dyDescent="0.3">
      <c r="A783" s="778" t="str">
        <f>+A8</f>
        <v>Revised:  2/23/2017</v>
      </c>
      <c r="B783" s="778"/>
      <c r="C783" s="778"/>
      <c r="D783" s="778"/>
      <c r="E783" s="778"/>
      <c r="F783" s="778"/>
      <c r="G783" s="778"/>
      <c r="H783" s="778"/>
      <c r="I783" s="778"/>
      <c r="J783" s="778"/>
      <c r="K783" s="778"/>
      <c r="L783" s="778"/>
      <c r="M783" s="778"/>
      <c r="N783" s="778"/>
      <c r="O783" s="778"/>
      <c r="P783" s="778"/>
      <c r="Q783" s="778"/>
      <c r="R783" s="778"/>
    </row>
    <row r="784" spans="1:18" ht="15.75" hidden="1" customHeight="1" x14ac:dyDescent="0.3">
      <c r="A784" s="448"/>
      <c r="B784" s="448"/>
      <c r="C784" s="448"/>
      <c r="D784" s="448"/>
      <c r="E784" s="448"/>
      <c r="F784" s="448"/>
      <c r="G784" s="448"/>
      <c r="H784" s="448"/>
      <c r="I784" s="448"/>
      <c r="J784" s="448"/>
      <c r="K784" s="448"/>
      <c r="L784" s="448"/>
      <c r="M784" s="448"/>
      <c r="N784" s="448"/>
      <c r="O784" s="448"/>
      <c r="P784" s="448"/>
      <c r="Q784" s="448"/>
      <c r="R784" s="448"/>
    </row>
    <row r="785" spans="1:20" ht="15.75" hidden="1" customHeight="1" x14ac:dyDescent="0.3">
      <c r="A785" s="448"/>
      <c r="B785" s="448"/>
      <c r="C785" s="448"/>
      <c r="D785" s="448"/>
      <c r="E785" s="448"/>
      <c r="F785" s="448"/>
      <c r="G785" s="448"/>
      <c r="H785" s="448"/>
      <c r="I785" s="448"/>
      <c r="J785" s="448"/>
      <c r="K785" s="448"/>
      <c r="L785" s="448"/>
      <c r="M785" s="448"/>
      <c r="N785" s="448"/>
      <c r="O785" s="448"/>
      <c r="P785" s="448"/>
      <c r="Q785" s="448"/>
      <c r="R785" s="448"/>
    </row>
    <row r="786" spans="1:20" ht="15.75" hidden="1" customHeight="1" thickBot="1" x14ac:dyDescent="0.35">
      <c r="A786" s="18"/>
      <c r="B786" s="172"/>
      <c r="C786" s="172"/>
      <c r="D786" s="172"/>
      <c r="E786" s="172"/>
      <c r="F786" s="172"/>
      <c r="G786" s="172"/>
      <c r="H786" s="172"/>
      <c r="I786" s="172"/>
      <c r="J786" s="172"/>
      <c r="K786" s="172"/>
      <c r="L786" s="172"/>
      <c r="M786" s="172"/>
      <c r="N786" s="172"/>
      <c r="O786" s="172"/>
      <c r="P786" s="172"/>
      <c r="Q786" s="172"/>
      <c r="R786" s="17"/>
    </row>
    <row r="787" spans="1:20" ht="16.5" hidden="1" customHeight="1" thickBot="1" x14ac:dyDescent="0.35">
      <c r="A787" s="278" t="s">
        <v>1661</v>
      </c>
      <c r="B787" s="4" t="s">
        <v>2090</v>
      </c>
      <c r="C787" s="5" t="s">
        <v>2091</v>
      </c>
      <c r="D787" s="5" t="s">
        <v>2234</v>
      </c>
      <c r="E787" s="33" t="s">
        <v>1594</v>
      </c>
      <c r="F787" s="5" t="s">
        <v>2235</v>
      </c>
      <c r="G787" s="5" t="s">
        <v>2236</v>
      </c>
      <c r="H787" s="5" t="s">
        <v>2237</v>
      </c>
      <c r="I787" s="35" t="s">
        <v>1595</v>
      </c>
      <c r="J787" s="5" t="s">
        <v>1504</v>
      </c>
      <c r="K787" s="5" t="s">
        <v>1505</v>
      </c>
      <c r="L787" s="5" t="s">
        <v>1506</v>
      </c>
      <c r="M787" s="35" t="s">
        <v>1596</v>
      </c>
      <c r="N787" s="5" t="s">
        <v>1507</v>
      </c>
      <c r="O787" s="5" t="s">
        <v>1508</v>
      </c>
      <c r="P787" s="5" t="s">
        <v>1509</v>
      </c>
      <c r="Q787" s="35" t="s">
        <v>1597</v>
      </c>
      <c r="R787" s="60" t="s">
        <v>1510</v>
      </c>
    </row>
    <row r="788" spans="1:20" ht="16.5" hidden="1" customHeight="1" thickBot="1" x14ac:dyDescent="0.35">
      <c r="A788" s="22"/>
      <c r="B788" s="242"/>
      <c r="C788" s="242"/>
      <c r="D788" s="242"/>
      <c r="E788" s="233"/>
      <c r="F788" s="242"/>
      <c r="G788" s="242"/>
      <c r="H788" s="242"/>
      <c r="I788" s="282"/>
      <c r="J788" s="242"/>
      <c r="K788" s="242"/>
      <c r="L788" s="242"/>
      <c r="M788" s="282"/>
      <c r="N788" s="242"/>
      <c r="O788" s="242"/>
      <c r="P788" s="242"/>
      <c r="Q788" s="283"/>
      <c r="R788" s="61"/>
    </row>
    <row r="789" spans="1:20" ht="15.75" hidden="1" customHeight="1" x14ac:dyDescent="0.3">
      <c r="A789" s="234" t="s">
        <v>2417</v>
      </c>
      <c r="B789" s="172" t="s">
        <v>852</v>
      </c>
      <c r="C789" s="172" t="s">
        <v>852</v>
      </c>
      <c r="D789" s="172" t="s">
        <v>852</v>
      </c>
      <c r="E789" s="284"/>
      <c r="F789" s="172" t="s">
        <v>852</v>
      </c>
      <c r="G789" s="172" t="s">
        <v>852</v>
      </c>
      <c r="H789" s="172" t="s">
        <v>852</v>
      </c>
      <c r="I789" s="284"/>
      <c r="J789" s="172" t="s">
        <v>852</v>
      </c>
      <c r="K789" s="172" t="s">
        <v>852</v>
      </c>
      <c r="L789" s="172" t="s">
        <v>852</v>
      </c>
      <c r="M789" s="284"/>
      <c r="N789" s="172" t="s">
        <v>852</v>
      </c>
      <c r="O789" s="172" t="s">
        <v>852</v>
      </c>
      <c r="P789" s="172" t="s">
        <v>852</v>
      </c>
      <c r="Q789" s="285"/>
      <c r="R789" s="62" t="s">
        <v>852</v>
      </c>
    </row>
    <row r="790" spans="1:20" ht="15.75" hidden="1" customHeight="1" x14ac:dyDescent="0.3">
      <c r="A790" s="545" t="s">
        <v>2160</v>
      </c>
      <c r="B790" s="172">
        <f>+SUM(B71:B81)+SUM(B137:B183)+SUM(B309:B335)+SUM(B456:B459)+SUM(B497:B501)+SUM(B541:B551)+SUM(B606:B609)+SUM(B642:B648)+SUM(B699:B700)+SUM(B733:B737)</f>
        <v>19517</v>
      </c>
      <c r="C790" s="172">
        <f>+SUM(C71:C81)+SUM(C137:C183)+SUM(C309:C335)+SUM(C456:C459)+SUM(C497:C501)+SUM(C541:C551)+SUM(C606:C609)+SUM(C642:C648)+SUM(C699:C700)+SUM(C733:C737)</f>
        <v>23072</v>
      </c>
      <c r="D790" s="172">
        <f>+SUM(D71:D81)+SUM(D137:D183)+SUM(D309:D335)+SUM(D456:D459)+SUM(D497:D501)+SUM(D541:D551)+SUM(D606:D609)+SUM(D642:D648)+SUM(D699:D700)+SUM(D733:D737)</f>
        <v>37628</v>
      </c>
      <c r="E790" s="38">
        <f t="shared" ref="E790:E796" si="139">SUM(B790:D790)</f>
        <v>80217</v>
      </c>
      <c r="F790" s="172">
        <f>+SUM(F71:F81)+SUM(F137:F183)+SUM(F309:F335)+SUM(F456:F459)+SUM(F497:F501)+SUM(F541:F551)+SUM(F606:F609)+SUM(F642:F648)+SUM(F699:F700)+SUM(F733:F737)</f>
        <v>40673</v>
      </c>
      <c r="G790" s="172">
        <f>+SUM(G71:G81)+SUM(G137:G183)+SUM(G309:G335)+SUM(G456:G459)+SUM(G497:G501)+SUM(G541:G551)+SUM(G606:G609)+SUM(G642:G648)+SUM(G699:G700)+SUM(G733:G737)</f>
        <v>46791</v>
      </c>
      <c r="H790" s="172">
        <f>+SUM(H71:H81)+SUM(H137:H183)+SUM(H309:H335)+SUM(H456:H459)+SUM(H497:H501)+SUM(H541:H551)+SUM(H606:H609)+SUM(H642:H648)+SUM(H699:H700)+SUM(H733:H737)</f>
        <v>52860</v>
      </c>
      <c r="I790" s="38">
        <f t="shared" ref="I790:I796" si="140">SUM(F790:H790)</f>
        <v>140324</v>
      </c>
      <c r="J790" s="172">
        <f>+SUM(J71:J81)+SUM(J137:J183)+SUM(J309:J335)+SUM(J456:J459)+SUM(J497:J501)+SUM(J541:J551)+SUM(J606:J609)+SUM(J642:J648)+SUM(J699:J700)+SUM(J733:J737)</f>
        <v>65063</v>
      </c>
      <c r="K790" s="172">
        <f>+SUM(K71:K81)+SUM(K137:K183)+SUM(K309:K335)+SUM(K456:K459)+SUM(K497:K501)+SUM(K541:K551)+SUM(K606:K609)+SUM(K642:K648)+SUM(K699:K700)+SUM(K733:K737)</f>
        <v>57879</v>
      </c>
      <c r="L790" s="172">
        <f>+SUM(L71:L81)+SUM(L137:L183)+SUM(L309:L335)+SUM(L456:L459)+SUM(L497:L501)+SUM(L541:L551)+SUM(L606:L609)+SUM(L642:L648)+SUM(L699:L700)+SUM(L733:L737)</f>
        <v>54896</v>
      </c>
      <c r="M790" s="38">
        <f t="shared" ref="M790:M796" si="141">SUM(J790:L790)</f>
        <v>177838</v>
      </c>
      <c r="N790" s="172">
        <f>+SUM(N71:N81)+SUM(N137:N183)+SUM(N309:N335)+SUM(N456:N459)+SUM(N497:N501)+SUM(N541:N551)+SUM(N606:N609)+SUM(N642:N648)+SUM(N699:N700)+SUM(N733:N737)</f>
        <v>39172</v>
      </c>
      <c r="O790" s="172">
        <f>+SUM(O71:O81)+SUM(O137:O183)+SUM(O309:O335)+SUM(O456:O459)+SUM(O497:O501)+SUM(O541:O551)+SUM(O606:O609)+SUM(O642:O648)+SUM(O699:O700)+SUM(O733:O737)</f>
        <v>35133</v>
      </c>
      <c r="P790" s="172">
        <f>+SUM(P71:P81)+SUM(P137:P183)+SUM(P309:P335)+SUM(P456:P459)+SUM(P497:P501)+SUM(P541:P551)+SUM(P606:P609)+SUM(P642:P648)+SUM(P699:P700)+SUM(P733:P737)</f>
        <v>32128</v>
      </c>
      <c r="Q790" s="38">
        <f t="shared" ref="Q790:Q796" si="142">SUM(N790:P790)</f>
        <v>106433</v>
      </c>
      <c r="R790" s="38">
        <f t="shared" ref="R790:R796" si="143">+E790+I790+M790+Q790</f>
        <v>504812</v>
      </c>
    </row>
    <row r="791" spans="1:20" ht="15.75" hidden="1" customHeight="1" x14ac:dyDescent="0.3">
      <c r="A791" s="234" t="s">
        <v>2642</v>
      </c>
      <c r="B791" s="172">
        <f>+B38+SUM(B82:B83)+SUM(B185:B194)+SUM(B337:B347)+SUM(B461:B462)+B502+SUM(B552:B553)+B610+B649+B701+SUM(B738:B738)</f>
        <v>0</v>
      </c>
      <c r="C791" s="172">
        <f>+C38+SUM(C82:C83)+SUM(C185:C194)+SUM(C337:C347)+SUM(C461:C462)+C502+SUM(C552:C553)+C610+C649+C701+SUM(C738:C738)</f>
        <v>0</v>
      </c>
      <c r="D791" s="172">
        <f>+D38+SUM(D82:D83)+SUM(D185:D194)+SUM(D337:D347)+SUM(D461:D462)+D502+SUM(D552:D553)+D610+D649+D701+SUM(D738:D738)</f>
        <v>0</v>
      </c>
      <c r="E791" s="38">
        <f t="shared" si="139"/>
        <v>0</v>
      </c>
      <c r="F791" s="172">
        <f>+F38+SUM(F82:F83)+SUM(F185:F194)+SUM(F337:F347)+SUM(F461:F462)+F502+SUM(F552:F553)+F610+F649+F701+SUM(F738:F738)</f>
        <v>0</v>
      </c>
      <c r="G791" s="172">
        <f>+G38+SUM(G82:G83)+SUM(G185:G194)+SUM(G337:G347)+SUM(G461:G462)+G502+SUM(G552:G553)+G610+G649+G701+SUM(G738:G738)</f>
        <v>0</v>
      </c>
      <c r="H791" s="172">
        <f>+H38+SUM(H82:H83)+SUM(H185:H194)+SUM(H337:H347)+SUM(H461:H462)+H502+SUM(H552:H553)+H610+H649+H701+SUM(H738:H738)</f>
        <v>0</v>
      </c>
      <c r="I791" s="38">
        <f t="shared" si="140"/>
        <v>0</v>
      </c>
      <c r="J791" s="172">
        <f>+J38+SUM(J82:J83)+SUM(J185:J194)+SUM(J337:J347)+SUM(J461:J462)+J502+SUM(J552:J553)+J610+J649+J701+SUM(J738:J738)</f>
        <v>0</v>
      </c>
      <c r="K791" s="172">
        <f>+K38+SUM(K82:K83)+SUM(K185:K194)+SUM(K337:K347)+SUM(K461:K462)+K502+SUM(K552:K553)+K610+K649+K701+SUM(K738:K738)</f>
        <v>0</v>
      </c>
      <c r="L791" s="172">
        <f>+L38+SUM(L82:L83)+SUM(L185:L194)+SUM(L337:L347)+SUM(L461:L462)+L502+SUM(L552:L553)+L610+L649+L701+SUM(L738:L738)</f>
        <v>0</v>
      </c>
      <c r="M791" s="38">
        <f t="shared" si="141"/>
        <v>0</v>
      </c>
      <c r="N791" s="172">
        <f>+N38+SUM(N82:N83)+SUM(N185:N194)+SUM(N337:N347)+SUM(N461:N462)+N502+SUM(N552:N553)+N610+N649+N701+SUM(N738:N738)</f>
        <v>0</v>
      </c>
      <c r="O791" s="172">
        <f>+O38+SUM(O82:O83)+SUM(O185:O194)+SUM(O337:O347)+SUM(O461:O462)+O502+SUM(O552:O553)+O610+O649+O701+SUM(O738:O738)</f>
        <v>0</v>
      </c>
      <c r="P791" s="172">
        <f>+P38+SUM(P82:P83)+SUM(P185:P194)+SUM(P337:P347)+SUM(P461:P462)+P502+SUM(P552:P553)+P610+P649+P701+SUM(P738:P738)</f>
        <v>0</v>
      </c>
      <c r="Q791" s="38">
        <f t="shared" si="142"/>
        <v>0</v>
      </c>
      <c r="R791" s="38">
        <f t="shared" si="143"/>
        <v>0</v>
      </c>
    </row>
    <row r="792" spans="1:20" ht="15.75" hidden="1" customHeight="1" x14ac:dyDescent="0.3">
      <c r="A792" s="545" t="s">
        <v>2647</v>
      </c>
      <c r="B792" s="172">
        <f>+SUM(B84:B86)+SUM(B195:B198)+SUM(B348:B352)+B463+B503+SUM(B554:B555)+B611+B650+B702+SUM(B739:B740)</f>
        <v>895</v>
      </c>
      <c r="C792" s="172">
        <f>+SUM(C84:C86)+SUM(C195:C198)+SUM(C348:C352)+C463+C503+SUM(C554:C555)+C611+C650+C702+SUM(C739:C740)</f>
        <v>2921</v>
      </c>
      <c r="D792" s="172">
        <f>+SUM(D84:D86)+SUM(D195:D198)+SUM(D348:D352)+D463+D503+SUM(D554:D555)+D611+D650+D702+SUM(D739:D740)</f>
        <v>1606</v>
      </c>
      <c r="E792" s="38">
        <f t="shared" si="139"/>
        <v>5422</v>
      </c>
      <c r="F792" s="172">
        <f>+SUM(F84:F86)+SUM(F195:F198)+SUM(F348:F352)+F463+F503+SUM(F554:F555)+F611+F650+F702+SUM(F739:F740)</f>
        <v>4791</v>
      </c>
      <c r="G792" s="172">
        <f>+SUM(G84:G86)+SUM(G195:G198)+SUM(G348:G352)+G463+G503+SUM(G554:G555)+G611+G650+G702+SUM(G739:G740)</f>
        <v>8710</v>
      </c>
      <c r="H792" s="172">
        <f>+SUM(H84:H86)+SUM(H195:H198)+SUM(H348:H352)+H463+H503+SUM(H554:H555)+H611+H650+H702+SUM(H739:H740)</f>
        <v>5300</v>
      </c>
      <c r="I792" s="38">
        <f t="shared" si="140"/>
        <v>18801</v>
      </c>
      <c r="J792" s="172">
        <f>+SUM(J84:J86)+SUM(J195:J198)+SUM(J348:J352)+J463+J503+SUM(J554:J555)+J611+J650+J702+SUM(J739:J740)</f>
        <v>2289</v>
      </c>
      <c r="K792" s="172">
        <f>+SUM(K84:K86)+SUM(K195:K198)+SUM(K348:K352)+K463+K503+SUM(K554:K555)+K611+K650+K702+SUM(K739:K740)</f>
        <v>5235</v>
      </c>
      <c r="L792" s="172">
        <f>+SUM(L84:L86)+SUM(L195:L198)+SUM(L348:L352)+L463+L503+SUM(L554:L555)+L611+L650+L702+SUM(L739:L740)</f>
        <v>412</v>
      </c>
      <c r="M792" s="38">
        <f t="shared" si="141"/>
        <v>7936</v>
      </c>
      <c r="N792" s="172">
        <f>+SUM(N84:N86)+SUM(N195:N198)+SUM(N348:N352)+N463+N503+SUM(N554:N555)+N611+N650+N702+SUM(N739:N740)</f>
        <v>109</v>
      </c>
      <c r="O792" s="172">
        <f>+SUM(O84:O86)+SUM(O195:O198)+SUM(O348:O352)+O463+O503+SUM(O554:O555)+O611+O650+O702+SUM(O739:O740)</f>
        <v>2228</v>
      </c>
      <c r="P792" s="172">
        <f>+SUM(P84:P86)+SUM(P195:P198)+SUM(P348:P352)+P463+P503+SUM(P554:P555)+P611+P650+P702+SUM(P739:P740)</f>
        <v>15</v>
      </c>
      <c r="Q792" s="38">
        <f t="shared" si="142"/>
        <v>2352</v>
      </c>
      <c r="R792" s="38">
        <f t="shared" si="143"/>
        <v>34511</v>
      </c>
    </row>
    <row r="793" spans="1:20" ht="15.75" hidden="1" customHeight="1" x14ac:dyDescent="0.3">
      <c r="A793" s="234" t="s">
        <v>2958</v>
      </c>
      <c r="B793" s="172">
        <f>+B286+B437+B438</f>
        <v>0</v>
      </c>
      <c r="C793" s="172">
        <f>+C286+C437+C438</f>
        <v>0</v>
      </c>
      <c r="D793" s="172">
        <f>+D286+D437+D438</f>
        <v>0</v>
      </c>
      <c r="E793" s="38">
        <f t="shared" si="139"/>
        <v>0</v>
      </c>
      <c r="F793" s="172">
        <f>+F286+F437+F438</f>
        <v>0</v>
      </c>
      <c r="G793" s="172">
        <f>+G286+G437+G438</f>
        <v>0</v>
      </c>
      <c r="H793" s="172">
        <f>+H286+H437+H438</f>
        <v>0</v>
      </c>
      <c r="I793" s="38">
        <f t="shared" si="140"/>
        <v>0</v>
      </c>
      <c r="J793" s="172">
        <f>+J286+J437+J438</f>
        <v>0</v>
      </c>
      <c r="K793" s="172">
        <f>+K286+K437+K438</f>
        <v>0</v>
      </c>
      <c r="L793" s="172">
        <f>+L286+L437+L438</f>
        <v>0</v>
      </c>
      <c r="M793" s="38">
        <f t="shared" si="141"/>
        <v>0</v>
      </c>
      <c r="N793" s="172">
        <f>+N286+N437+N438</f>
        <v>0</v>
      </c>
      <c r="O793" s="172">
        <f>+O286+O437+O438</f>
        <v>0</v>
      </c>
      <c r="P793" s="172">
        <f>+P286+P437+P438</f>
        <v>0</v>
      </c>
      <c r="Q793" s="38">
        <f t="shared" si="142"/>
        <v>0</v>
      </c>
      <c r="R793" s="38">
        <f t="shared" si="143"/>
        <v>0</v>
      </c>
    </row>
    <row r="794" spans="1:20" ht="15.75" hidden="1" customHeight="1" x14ac:dyDescent="0.3">
      <c r="A794" s="545" t="s">
        <v>2163</v>
      </c>
      <c r="B794" s="172">
        <f>+B287</f>
        <v>9</v>
      </c>
      <c r="C794" s="172">
        <f>+C287</f>
        <v>39</v>
      </c>
      <c r="D794" s="172">
        <f>+D287</f>
        <v>42</v>
      </c>
      <c r="E794" s="38">
        <f>SUM(B794:D794)</f>
        <v>90</v>
      </c>
      <c r="F794" s="172">
        <f>+F287</f>
        <v>42</v>
      </c>
      <c r="G794" s="172">
        <f>+G287</f>
        <v>61</v>
      </c>
      <c r="H794" s="172">
        <f>+H287</f>
        <v>52</v>
      </c>
      <c r="I794" s="38">
        <f>SUM(F794:H794)</f>
        <v>155</v>
      </c>
      <c r="J794" s="172">
        <f>+J287</f>
        <v>42</v>
      </c>
      <c r="K794" s="172">
        <f>+K287</f>
        <v>55</v>
      </c>
      <c r="L794" s="172">
        <f>+L287</f>
        <v>86</v>
      </c>
      <c r="M794" s="38">
        <f>SUM(J794:L794)</f>
        <v>183</v>
      </c>
      <c r="N794" s="172">
        <f>+N287</f>
        <v>74</v>
      </c>
      <c r="O794" s="172">
        <f>+O287</f>
        <v>41</v>
      </c>
      <c r="P794" s="172">
        <f>+P287</f>
        <v>34</v>
      </c>
      <c r="Q794" s="38">
        <f t="shared" si="142"/>
        <v>149</v>
      </c>
      <c r="R794" s="38">
        <f>+E794+I794+M794+Q794</f>
        <v>577</v>
      </c>
    </row>
    <row r="795" spans="1:20" ht="15.75" hidden="1" customHeight="1" thickBot="1" x14ac:dyDescent="0.35">
      <c r="A795" s="234" t="s">
        <v>2164</v>
      </c>
      <c r="B795" s="172">
        <f>+B87+B464+B504+B556+B612+B651+B703+B741</f>
        <v>0</v>
      </c>
      <c r="C795" s="172">
        <f>+C87+C464+C504+C556+C612+C651+C703+C741</f>
        <v>0</v>
      </c>
      <c r="D795" s="172">
        <f>+D87+D464+D504+D556+D612+D651+D703+D741</f>
        <v>0</v>
      </c>
      <c r="E795" s="38">
        <f t="shared" si="139"/>
        <v>0</v>
      </c>
      <c r="F795" s="172">
        <f>+F87+F464+F504+F556+F612+F651+F703+F741</f>
        <v>0</v>
      </c>
      <c r="G795" s="172">
        <f>+G87+G464+G504+G556+G612+G651+G703+G741</f>
        <v>0</v>
      </c>
      <c r="H795" s="172">
        <f>+H87+H464+H504+H556+H612+H651+H703+H741</f>
        <v>0</v>
      </c>
      <c r="I795" s="38">
        <f t="shared" si="140"/>
        <v>0</v>
      </c>
      <c r="J795" s="172">
        <f>+J87+J464+J504+J556+J612+J651+J703+J741</f>
        <v>0</v>
      </c>
      <c r="K795" s="172">
        <f>+K87+K464+K504+K556+K612+K651+K703+K741</f>
        <v>0</v>
      </c>
      <c r="L795" s="172">
        <f>+L87+L464+L504+L556+L612+L651+L703+L741</f>
        <v>0</v>
      </c>
      <c r="M795" s="38">
        <f t="shared" si="141"/>
        <v>0</v>
      </c>
      <c r="N795" s="172">
        <f>+N87+N464+N504+N556+N612+N651+N703+N741</f>
        <v>0</v>
      </c>
      <c r="O795" s="172">
        <f>+O87+O464+O504+O556+O612+O651+O703+O741</f>
        <v>0</v>
      </c>
      <c r="P795" s="172">
        <f>+P87+P464+P504+P556+P612+P651+P703+P741</f>
        <v>0</v>
      </c>
      <c r="Q795" s="38">
        <f t="shared" si="142"/>
        <v>0</v>
      </c>
      <c r="R795" s="38">
        <f t="shared" si="143"/>
        <v>0</v>
      </c>
    </row>
    <row r="796" spans="1:20" ht="16.5" hidden="1" customHeight="1" thickBot="1" x14ac:dyDescent="0.35">
      <c r="A796" s="43" t="s">
        <v>1218</v>
      </c>
      <c r="B796" s="45">
        <f>SUM(B789:B795)</f>
        <v>20421</v>
      </c>
      <c r="C796" s="46">
        <f>SUM(C789:C795)</f>
        <v>26032</v>
      </c>
      <c r="D796" s="46">
        <f>SUM(D789:D795)</f>
        <v>39276</v>
      </c>
      <c r="E796" s="37">
        <f t="shared" si="139"/>
        <v>85729</v>
      </c>
      <c r="F796" s="46">
        <f>SUM(F789:F795)</f>
        <v>45506</v>
      </c>
      <c r="G796" s="46">
        <f>SUM(G789:G795)</f>
        <v>55562</v>
      </c>
      <c r="H796" s="46">
        <f>SUM(H789:H795)</f>
        <v>58212</v>
      </c>
      <c r="I796" s="37">
        <f t="shared" si="140"/>
        <v>159280</v>
      </c>
      <c r="J796" s="46">
        <f>SUM(J789:J795)</f>
        <v>67394</v>
      </c>
      <c r="K796" s="46">
        <f>SUM(K789:K795)</f>
        <v>63169</v>
      </c>
      <c r="L796" s="46">
        <f>SUM(L789:L795)</f>
        <v>55394</v>
      </c>
      <c r="M796" s="37">
        <f t="shared" si="141"/>
        <v>185957</v>
      </c>
      <c r="N796" s="46">
        <f>SUM(N789:N795)</f>
        <v>39355</v>
      </c>
      <c r="O796" s="46">
        <f>SUM(O789:O795)</f>
        <v>37402</v>
      </c>
      <c r="P796" s="46">
        <f>SUM(P789:P795)</f>
        <v>32177</v>
      </c>
      <c r="Q796" s="37">
        <f t="shared" si="142"/>
        <v>108934</v>
      </c>
      <c r="R796" s="37">
        <f t="shared" si="143"/>
        <v>539900</v>
      </c>
      <c r="T796">
        <f>+R796-R793-R792</f>
        <v>505389</v>
      </c>
    </row>
    <row r="797" spans="1:20" ht="15.75" hidden="1" customHeight="1" x14ac:dyDescent="0.3">
      <c r="A797" s="234" t="s">
        <v>1172</v>
      </c>
      <c r="B797" s="172"/>
      <c r="C797" s="172"/>
      <c r="D797" s="172"/>
      <c r="E797" s="38" t="s">
        <v>852</v>
      </c>
      <c r="F797" s="172"/>
      <c r="G797" s="172"/>
      <c r="H797" s="172"/>
      <c r="I797" s="38" t="s">
        <v>852</v>
      </c>
      <c r="J797" s="172"/>
      <c r="K797" s="172"/>
      <c r="L797" s="172"/>
      <c r="M797" s="38" t="s">
        <v>852</v>
      </c>
      <c r="N797" s="172"/>
      <c r="O797" s="172"/>
      <c r="P797" s="172"/>
      <c r="Q797" s="38" t="s">
        <v>852</v>
      </c>
      <c r="R797" s="38" t="s">
        <v>852</v>
      </c>
    </row>
    <row r="798" spans="1:20" ht="15.75" hidden="1" customHeight="1" x14ac:dyDescent="0.3">
      <c r="A798" s="234" t="s">
        <v>1658</v>
      </c>
      <c r="B798" s="172">
        <f>SUM(B43:B43)+SUM(B202:B202)+SUM(B90:B90)+SUM(B356:B356)</f>
        <v>0</v>
      </c>
      <c r="C798" s="172">
        <f>SUM(C43:C43)+SUM(C202:C202)+SUM(C90:C90)+SUM(C356:C356)</f>
        <v>0</v>
      </c>
      <c r="D798" s="172">
        <f>SUM(D43:D43)+SUM(D202:D202)+SUM(D90:D90)+SUM(D356:D356)</f>
        <v>0</v>
      </c>
      <c r="E798" s="38">
        <f>SUM(B798:D798)</f>
        <v>0</v>
      </c>
      <c r="F798" s="172">
        <f>SUM(F43:F43)+SUM(F202:F202)+SUM(F90:F90)+SUM(F356:F356)</f>
        <v>0</v>
      </c>
      <c r="G798" s="172">
        <f>SUM(G43:G43)+SUM(G202:G202)+SUM(G90:G90)+SUM(G356:G356)</f>
        <v>0</v>
      </c>
      <c r="H798" s="172">
        <f>SUM(H43:H43)+SUM(H202:H202)+SUM(H90:H90)+SUM(H356:H356)</f>
        <v>0</v>
      </c>
      <c r="I798" s="38">
        <f>SUM(F798:H798)</f>
        <v>0</v>
      </c>
      <c r="J798" s="172">
        <f>SUM(J43:J43)+SUM(J202:J202)+SUM(J90:J90)+SUM(J356:J356)</f>
        <v>0</v>
      </c>
      <c r="K798" s="172">
        <f>SUM(K43:K43)+SUM(K202:K202)+SUM(K90:K90)+SUM(K356:K356)</f>
        <v>0</v>
      </c>
      <c r="L798" s="172">
        <f>SUM(L43:L43)+SUM(L202:L202)+SUM(L90:L90)+SUM(L356:L356)</f>
        <v>0</v>
      </c>
      <c r="M798" s="38">
        <f>SUM(J798:L798)</f>
        <v>0</v>
      </c>
      <c r="N798" s="172">
        <f>SUM(N43:N43)+SUM(N202:N202)+SUM(N90:N90)+SUM(N356:N356)</f>
        <v>0</v>
      </c>
      <c r="O798" s="172">
        <f>SUM(O43:O43)+SUM(O202:O202)+SUM(O90:O90)+SUM(O356:O356)</f>
        <v>0</v>
      </c>
      <c r="P798" s="172">
        <f>SUM(P43:P43)+SUM(P202:P202)+SUM(P90:P90)+SUM(P356:P356)</f>
        <v>0</v>
      </c>
      <c r="Q798" s="38">
        <f>SUM(N798:P798)</f>
        <v>0</v>
      </c>
      <c r="R798" s="38">
        <f>+E798+I798+M798+Q798</f>
        <v>0</v>
      </c>
    </row>
    <row r="799" spans="1:20" ht="15.75" hidden="1" customHeight="1" x14ac:dyDescent="0.3">
      <c r="A799" s="545" t="s">
        <v>2409</v>
      </c>
      <c r="B799" s="172">
        <f>+SUM(B92:B93)+SUM(B203:B205)+SUM(B357:B366)+B468+SUM(B507:B509)+SUM(B559:B561)+SUM(B615:B615)+B654+B706+SUM(B744:B745)</f>
        <v>1913</v>
      </c>
      <c r="C799" s="172">
        <f>+SUM(C92:C93)+SUM(C203:C205)+SUM(C357:C366)+C468+SUM(C507:C509)+SUM(C559:C561)+SUM(C615:C615)+C654+C706+SUM(C744:C745)</f>
        <v>15616</v>
      </c>
      <c r="D799" s="172">
        <f>+SUM(D92:D93)+SUM(D203:D205)+SUM(D357:D366)+D468+SUM(D507:D509)+SUM(D559:D561)+SUM(D615:D615)+D654+D706+SUM(D744:D745)</f>
        <v>26911</v>
      </c>
      <c r="E799" s="38">
        <f>SUM(B799:D799)</f>
        <v>44440</v>
      </c>
      <c r="F799" s="172">
        <f>+SUM(F92:F93)+SUM(F203:F205)+SUM(F357:F366)+F468+SUM(F507:F509)+SUM(F559:F561)+SUM(F615:F615)+F654+F706+SUM(F744:F745)</f>
        <v>29045</v>
      </c>
      <c r="G799" s="172">
        <f>+SUM(G92:G93)+SUM(G203:G205)+SUM(G357:G366)+G468+SUM(G507:G509)+SUM(G559:G561)+SUM(G615:G615)+G654+G706+SUM(G744:G745)</f>
        <v>35073</v>
      </c>
      <c r="H799" s="172">
        <f>+SUM(H92:H93)+SUM(H203:H205)+SUM(H357:H366)+H468+SUM(H507:H509)+SUM(H559:H561)+SUM(H615:H615)+H654+H706+SUM(H744:H745)</f>
        <v>59682</v>
      </c>
      <c r="I799" s="38">
        <f>SUM(F799:H799)</f>
        <v>123800</v>
      </c>
      <c r="J799" s="172">
        <f>+SUM(J92:J93)+SUM(J203:J205)+SUM(J357:J366)+J468+SUM(J507:J509)+SUM(J559:J561)+SUM(J615:J615)+J654+J706+SUM(J744:J745)</f>
        <v>40687</v>
      </c>
      <c r="K799" s="172">
        <f>+SUM(K92:K93)+SUM(K203:K205)+SUM(K357:K366)+K468+SUM(K507:K509)+SUM(K559:K561)+SUM(K615:K615)+K654+K706+SUM(K744:K745)</f>
        <v>33893</v>
      </c>
      <c r="L799" s="172">
        <f>+SUM(L92:L93)+SUM(L203:L205)+SUM(L357:L366)+L468+SUM(L507:L509)+SUM(L559:L561)+SUM(L615:L615)+L654+L706+SUM(L744:L745)</f>
        <v>20881</v>
      </c>
      <c r="M799" s="38">
        <f>SUM(J799:L799)</f>
        <v>95461</v>
      </c>
      <c r="N799" s="172">
        <f>+SUM(N92:N93)+SUM(N203:N205)+SUM(N357:N366)+N468+SUM(N507:N509)+SUM(N559:N561)+SUM(N615:N615)+N654+N706+SUM(N744:N745)</f>
        <v>9602</v>
      </c>
      <c r="O799" s="172">
        <f>+SUM(O92:O93)+SUM(O203:O205)+SUM(O357:O366)+O468+SUM(O507:O509)+SUM(O559:O561)+SUM(O615:O615)+O654+O706+SUM(O744:O745)</f>
        <v>2385</v>
      </c>
      <c r="P799" s="172">
        <f>+SUM(P92:P93)+SUM(P203:P205)+SUM(P357:P366)+P468+SUM(P507:P509)+SUM(P559:P561)+SUM(P615:P615)+P654+P706+SUM(P744:P745)</f>
        <v>5057</v>
      </c>
      <c r="Q799" s="38">
        <f>SUM(N799:P799)</f>
        <v>17044</v>
      </c>
      <c r="R799" s="38">
        <f>+E799+I799+M799+Q799</f>
        <v>280745</v>
      </c>
    </row>
    <row r="800" spans="1:20" ht="15.75" hidden="1" customHeight="1" thickBot="1" x14ac:dyDescent="0.35">
      <c r="A800" s="234" t="s">
        <v>3194</v>
      </c>
      <c r="B800" s="172">
        <f>+B94+B368+B469+B511+B562+B616+B655+B707+B746</f>
        <v>0</v>
      </c>
      <c r="C800" s="172">
        <f t="shared" ref="C800:D800" si="144">+C94+C368+C469+C511+C562+C616+C655+C707+C746</f>
        <v>0</v>
      </c>
      <c r="D800" s="172">
        <f t="shared" si="144"/>
        <v>0</v>
      </c>
      <c r="E800" s="38">
        <f>SUM(B800:D800)</f>
        <v>0</v>
      </c>
      <c r="F800" s="172">
        <f t="shared" ref="F800:H800" si="145">+F94+F368+F469+F511+F562+F616+F655+F707+F746</f>
        <v>0</v>
      </c>
      <c r="G800" s="172">
        <f t="shared" si="145"/>
        <v>0</v>
      </c>
      <c r="H800" s="172">
        <f t="shared" si="145"/>
        <v>0</v>
      </c>
      <c r="I800" s="38">
        <f>SUM(F800:H800)</f>
        <v>0</v>
      </c>
      <c r="J800" s="172">
        <f t="shared" ref="J800:L800" si="146">+J94+J368+J469+J511+J562+J616+J655+J707+J746</f>
        <v>0</v>
      </c>
      <c r="K800" s="172">
        <f t="shared" si="146"/>
        <v>0</v>
      </c>
      <c r="L800" s="172">
        <f t="shared" si="146"/>
        <v>0</v>
      </c>
      <c r="M800" s="38">
        <f>SUM(J800:L800)</f>
        <v>0</v>
      </c>
      <c r="N800" s="172">
        <f t="shared" ref="N800:P800" si="147">+N94+N368+N469+N511+N562+N616+N655+N707+N746</f>
        <v>0</v>
      </c>
      <c r="O800" s="172">
        <f t="shared" si="147"/>
        <v>11</v>
      </c>
      <c r="P800" s="172">
        <f t="shared" si="147"/>
        <v>41</v>
      </c>
      <c r="Q800" s="38">
        <f>SUM(N800:P800)</f>
        <v>52</v>
      </c>
      <c r="R800" s="38">
        <f>+E800+I800+M800+Q800</f>
        <v>52</v>
      </c>
    </row>
    <row r="801" spans="1:20" ht="16.5" hidden="1" customHeight="1" thickBot="1" x14ac:dyDescent="0.35">
      <c r="A801" s="43" t="s">
        <v>1219</v>
      </c>
      <c r="B801" s="45">
        <f>SUM(B797:B800)</f>
        <v>1913</v>
      </c>
      <c r="C801" s="46">
        <f>SUM(C797:C800)</f>
        <v>15616</v>
      </c>
      <c r="D801" s="46">
        <f>SUM(D797:D800)</f>
        <v>26911</v>
      </c>
      <c r="E801" s="37">
        <f>SUM(B801:D801)</f>
        <v>44440</v>
      </c>
      <c r="F801" s="46">
        <f>SUM(F797:F800)</f>
        <v>29045</v>
      </c>
      <c r="G801" s="46">
        <f>SUM(G797:G800)</f>
        <v>35073</v>
      </c>
      <c r="H801" s="46">
        <f>SUM(H797:H800)</f>
        <v>59682</v>
      </c>
      <c r="I801" s="37">
        <f>SUM(F801:H801)</f>
        <v>123800</v>
      </c>
      <c r="J801" s="46">
        <f>SUM(J797:J800)</f>
        <v>40687</v>
      </c>
      <c r="K801" s="46">
        <f>SUM(K797:K800)</f>
        <v>33893</v>
      </c>
      <c r="L801" s="46">
        <f>SUM(L797:L800)</f>
        <v>20881</v>
      </c>
      <c r="M801" s="37">
        <f>SUM(J801:L801)</f>
        <v>95461</v>
      </c>
      <c r="N801" s="46">
        <f>SUM(N797:N800)</f>
        <v>9602</v>
      </c>
      <c r="O801" s="46">
        <f>SUM(O797:O800)</f>
        <v>2396</v>
      </c>
      <c r="P801" s="46">
        <f>SUM(P797:P800)</f>
        <v>5098</v>
      </c>
      <c r="Q801" s="37">
        <f>SUM(N801:P801)</f>
        <v>17096</v>
      </c>
      <c r="R801" s="37">
        <f>+E801+I801+M801+Q801</f>
        <v>280797</v>
      </c>
    </row>
    <row r="802" spans="1:20" ht="15.75" hidden="1" customHeight="1" x14ac:dyDescent="0.3">
      <c r="A802" s="234" t="s">
        <v>2166</v>
      </c>
      <c r="B802" s="172"/>
      <c r="C802" s="172"/>
      <c r="D802" s="172"/>
      <c r="E802" s="38" t="s">
        <v>852</v>
      </c>
      <c r="F802" s="172"/>
      <c r="G802" s="172"/>
      <c r="H802" s="172"/>
      <c r="I802" s="38" t="s">
        <v>852</v>
      </c>
      <c r="J802" s="172"/>
      <c r="K802" s="172"/>
      <c r="L802" s="172"/>
      <c r="M802" s="38" t="s">
        <v>852</v>
      </c>
      <c r="N802" s="172"/>
      <c r="O802" s="172"/>
      <c r="P802" s="172"/>
      <c r="Q802" s="38" t="s">
        <v>852</v>
      </c>
      <c r="R802" s="38" t="s">
        <v>852</v>
      </c>
    </row>
    <row r="803" spans="1:20" ht="15.75" hidden="1" customHeight="1" x14ac:dyDescent="0.3">
      <c r="A803" s="545" t="s">
        <v>1245</v>
      </c>
      <c r="B803" s="172">
        <f>+B48+B97+B209+SUM(B371:B373)+B472+B514+B565+B619+SUM(B658:B659)+B710+SUM(B749:B751)</f>
        <v>3718</v>
      </c>
      <c r="C803" s="172">
        <f>+C48+C97+C209+SUM(C371:C373)+C472+C514+C565+C619+SUM(C658:C659)+C710+SUM(C749:C751)</f>
        <v>8266</v>
      </c>
      <c r="D803" s="172">
        <f>+D48+D97+D209+SUM(D371:D373)+D472+D514+D565+D619+SUM(D658:D659)+D710+SUM(D749:D751)</f>
        <v>9898</v>
      </c>
      <c r="E803" s="38">
        <f>SUM(B803:D803)</f>
        <v>21882</v>
      </c>
      <c r="F803" s="172">
        <f>+F48+F97+F209+SUM(F371:F373)+F472+F514+F565+F619+SUM(F658:F659)+F710+SUM(F749:F751)</f>
        <v>12515</v>
      </c>
      <c r="G803" s="172">
        <f>+G48+G97+G209+SUM(G371:G373)+G472+G514+G565+G619+SUM(G658:G659)+G710+SUM(G749:G751)</f>
        <v>15432</v>
      </c>
      <c r="H803" s="172">
        <f>+H48+H97+H209+SUM(H371:H373)+H472+H514+H565+H619+SUM(H658:H659)+H710+SUM(H749:H751)</f>
        <v>24325</v>
      </c>
      <c r="I803" s="38">
        <f>SUM(F803:H803)</f>
        <v>52272</v>
      </c>
      <c r="J803" s="172">
        <f>+J48+J97+J209+SUM(J371:J373)+J472+J514+J565+J619+SUM(J658:J659)+J710+SUM(J749:J751)</f>
        <v>27676</v>
      </c>
      <c r="K803" s="172">
        <f>+K48+K97+K209+SUM(K371:K373)+K472+K514+K565+K619+SUM(K658:K659)+K710+SUM(K749:K751)</f>
        <v>19077</v>
      </c>
      <c r="L803" s="172">
        <f>+L48+L97+L209+SUM(L371:L373)+L472+L514+L565+L619+SUM(L658:L659)+L710+SUM(L749:L751)</f>
        <v>12909</v>
      </c>
      <c r="M803" s="38">
        <f>SUM(J803:L803)</f>
        <v>59662</v>
      </c>
      <c r="N803" s="172">
        <f>+N48+N97+N209+SUM(N371:N373)+N472+N514+N565+N619+SUM(N658:N659)+N710+SUM(N749:N751)</f>
        <v>9113</v>
      </c>
      <c r="O803" s="172">
        <f>+O48+O97+O209+SUM(O371:O373)+O472+O514+O565+O619+SUM(O658:O659)+O710+SUM(O749:O751)</f>
        <v>1579</v>
      </c>
      <c r="P803" s="172">
        <f>+P48+P97+P209+SUM(P371:P373)+P472+P514+P565+P619+SUM(P658:P659)+P710+SUM(P749:P751)</f>
        <v>5605</v>
      </c>
      <c r="Q803" s="38">
        <f>SUM(N803:P803)</f>
        <v>16297</v>
      </c>
      <c r="R803" s="38">
        <f>+E803+I803+M803+Q803</f>
        <v>150113</v>
      </c>
    </row>
    <row r="804" spans="1:20" ht="15.75" hidden="1" customHeight="1" thickBot="1" x14ac:dyDescent="0.35">
      <c r="A804" s="545" t="s">
        <v>1711</v>
      </c>
      <c r="B804" s="172">
        <f>+B49+SUM(B98:B105)+SUM(B210:B262)+SUM(B374:B410)+SUM(B473:B474)+SUM(B515:B516)+SUM(B566:B567)+B620+SUM(B660:B664)+B711+SUM(B752:B756)</f>
        <v>15830</v>
      </c>
      <c r="C804" s="172">
        <f>+C49+SUM(C98:C105)+SUM(C210:C262)+SUM(C374:C410)+SUM(C473:C474)+SUM(C515:C516)+SUM(C566:C567)+C620+SUM(C660:C664)+C711+SUM(C752:C756)</f>
        <v>25119</v>
      </c>
      <c r="D804" s="172">
        <f>+D49+SUM(D98:D105)+SUM(D210:D262)+SUM(D374:D410)+SUM(D473:D474)+SUM(D515:D516)+SUM(D566:D567)+D620+SUM(D660:D664)+D711+SUM(D752:D756)</f>
        <v>42701</v>
      </c>
      <c r="E804" s="38">
        <f>SUM(B804:D804)</f>
        <v>83650</v>
      </c>
      <c r="F804" s="172">
        <f>+F49+SUM(F98:F105)+SUM(F210:F262)+SUM(F374:F410)+SUM(F473:F474)+SUM(F515:F516)+SUM(F566:F567)+F620+SUM(F660:F664)+F711+SUM(F752:F756)</f>
        <v>45924</v>
      </c>
      <c r="G804" s="172">
        <f>+G49+SUM(G98:G105)+SUM(G210:G262)+SUM(G374:G410)+SUM(G473:G474)+SUM(G515:G516)+SUM(G566:G567)+G620+SUM(G660:G664)+G711+SUM(G752:G756)</f>
        <v>53737</v>
      </c>
      <c r="H804" s="172">
        <f>+H49+SUM(H98:H105)+SUM(H210:H262)+SUM(H374:H410)+SUM(H473:H474)+SUM(H515:H516)+SUM(H566:H567)+H620+SUM(H660:H664)+H711+SUM(H752:H756)</f>
        <v>47433</v>
      </c>
      <c r="I804" s="38">
        <f>SUM(F804:H804)</f>
        <v>147094</v>
      </c>
      <c r="J804" s="172">
        <f>+J49+SUM(J98:J105)+SUM(J210:J262)+SUM(J374:J410)+SUM(J473:J474)+SUM(J515:J516)+SUM(J566:J567)+J620+SUM(J660:J664)+J711+SUM(J752:J756)</f>
        <v>41845</v>
      </c>
      <c r="K804" s="172">
        <f>+K49+SUM(K98:K105)+SUM(K210:K262)+SUM(K374:K410)+SUM(K473:K474)+SUM(K515:K516)+SUM(K566:K567)+K620+SUM(K660:K664)+K711+SUM(K752:K756)</f>
        <v>29705</v>
      </c>
      <c r="L804" s="172">
        <f>+L49+SUM(L98:L105)+SUM(L210:L262)+SUM(L374:L410)+SUM(L473:L474)+SUM(L515:L516)+SUM(L566:L567)+L620+SUM(L660:L664)+L711+SUM(L752:L756)</f>
        <v>32235</v>
      </c>
      <c r="M804" s="38">
        <f>SUM(J804:L804)</f>
        <v>103785</v>
      </c>
      <c r="N804" s="172">
        <f>+N49+SUM(N98:N105)+SUM(N210:N262)+SUM(N374:N410)+SUM(N473:N474)+SUM(N515:N516)+SUM(N566:N567)+N620+SUM(N660:N664)+N711+SUM(N752:N756)</f>
        <v>18636</v>
      </c>
      <c r="O804" s="172">
        <f>+O49+SUM(O98:O105)+SUM(O210:O262)+SUM(O374:O410)+SUM(O473:O474)+SUM(O515:O516)+SUM(O566:O567)+O620+SUM(O660:O664)+O711+SUM(O752:O756)</f>
        <v>10133</v>
      </c>
      <c r="P804" s="172">
        <f>+P49+SUM(P98:P105)+SUM(P210:P262)+SUM(P374:P410)+SUM(P473:P474)+SUM(P515:P516)+SUM(P566:P567)+P620+SUM(P660:P664)+P711+SUM(P752:P756)</f>
        <v>16730</v>
      </c>
      <c r="Q804" s="38">
        <f>SUM(N804:P804)</f>
        <v>45499</v>
      </c>
      <c r="R804" s="38">
        <f>+E804+I804+M804+Q804</f>
        <v>380028</v>
      </c>
    </row>
    <row r="805" spans="1:20" ht="16.5" hidden="1" customHeight="1" thickBot="1" x14ac:dyDescent="0.35">
      <c r="A805" s="43" t="s">
        <v>1220</v>
      </c>
      <c r="B805" s="45">
        <f>SUM(B802:B804)</f>
        <v>19548</v>
      </c>
      <c r="C805" s="46">
        <f>SUM(C802:C804)</f>
        <v>33385</v>
      </c>
      <c r="D805" s="58">
        <f>SUM(D802:D804)</f>
        <v>52599</v>
      </c>
      <c r="E805" s="37">
        <f>SUM(B805:D805)</f>
        <v>105532</v>
      </c>
      <c r="F805" s="46">
        <f>SUM(F802:F804)</f>
        <v>58439</v>
      </c>
      <c r="G805" s="46">
        <f>SUM(G802:G804)</f>
        <v>69169</v>
      </c>
      <c r="H805" s="46">
        <f>SUM(H802:H804)</f>
        <v>71758</v>
      </c>
      <c r="I805" s="37">
        <f>SUM(F805:H805)</f>
        <v>199366</v>
      </c>
      <c r="J805" s="46">
        <f>SUM(J802:J804)</f>
        <v>69521</v>
      </c>
      <c r="K805" s="46">
        <f>SUM(K802:K804)</f>
        <v>48782</v>
      </c>
      <c r="L805" s="46">
        <f>SUM(L802:L804)</f>
        <v>45144</v>
      </c>
      <c r="M805" s="37">
        <f>SUM(J805:L805)</f>
        <v>163447</v>
      </c>
      <c r="N805" s="46">
        <f>SUM(N802:N804)</f>
        <v>27749</v>
      </c>
      <c r="O805" s="46">
        <f>SUM(O802:O804)</f>
        <v>11712</v>
      </c>
      <c r="P805" s="46">
        <f>SUM(P802:P804)</f>
        <v>22335</v>
      </c>
      <c r="Q805" s="37">
        <f>SUM(N805:P805)</f>
        <v>61796</v>
      </c>
      <c r="R805" s="37">
        <f>+E805+I805+M805+Q805</f>
        <v>530141</v>
      </c>
      <c r="T805">
        <v>1600000</v>
      </c>
    </row>
    <row r="806" spans="1:20" ht="20.25" hidden="1" customHeight="1" x14ac:dyDescent="0.3">
      <c r="A806" s="234" t="s">
        <v>2645</v>
      </c>
      <c r="B806" s="172"/>
      <c r="C806" s="172"/>
      <c r="D806" s="172"/>
      <c r="E806" s="38" t="s">
        <v>852</v>
      </c>
      <c r="F806" s="172"/>
      <c r="G806" s="172"/>
      <c r="H806" s="172"/>
      <c r="I806" s="38" t="s">
        <v>852</v>
      </c>
      <c r="J806" s="172"/>
      <c r="K806" s="172"/>
      <c r="L806" s="172"/>
      <c r="M806" s="38" t="s">
        <v>852</v>
      </c>
      <c r="N806" s="172"/>
      <c r="O806" s="172"/>
      <c r="P806" s="172"/>
      <c r="Q806" s="38" t="s">
        <v>852</v>
      </c>
      <c r="R806" s="38" t="s">
        <v>852</v>
      </c>
      <c r="T806">
        <f>+T805-28000-R790-R791-400000-R803-R804+12000</f>
        <v>149047</v>
      </c>
    </row>
    <row r="807" spans="1:20" ht="15.75" hidden="1" customHeight="1" x14ac:dyDescent="0.3">
      <c r="A807" s="234" t="s">
        <v>2643</v>
      </c>
      <c r="B807" s="172">
        <f>SUM(B52:B52)+SUM(B108:B116)+SUM(B265:B268)+SUM(B413:B414)+SUM(B477:B477)+B519+SUM(B570:B572)+B623+B667+B714+SUM(B759:B761)</f>
        <v>0</v>
      </c>
      <c r="C807" s="172">
        <f>SUM(C52:C52)+SUM(C108:C116)+SUM(C265:C268)+SUM(C413:C414)+SUM(C477:C477)+C519+SUM(C570:C572)+C623+C667+C714+SUM(C759:C761)</f>
        <v>0</v>
      </c>
      <c r="D807" s="172">
        <f>SUM(D52:D52)+SUM(D108:D116)+SUM(D265:D268)+SUM(D413:D414)+SUM(D477:D477)+D519+SUM(D570:D572)+D623+D667+D714+SUM(D759:D761)</f>
        <v>0</v>
      </c>
      <c r="E807" s="38">
        <f t="shared" ref="E807:E815" si="148">SUM(B807:D807)</f>
        <v>0</v>
      </c>
      <c r="F807" s="172">
        <f>SUM(F52:F52)+SUM(F108:F116)+SUM(F265:F268)+SUM(F413:F414)+SUM(F477:F477)+F519+SUM(F570:F572)+F623+F667+F714+SUM(F759:F761)</f>
        <v>0</v>
      </c>
      <c r="G807" s="172">
        <f>SUM(G52:G52)+SUM(G108:G116)+SUM(G265:G268)+SUM(G413:G414)+SUM(G477:G477)+G519+SUM(G570:G572)+G623+G667+G714+SUM(G759:G761)</f>
        <v>659</v>
      </c>
      <c r="H807" s="172">
        <f>SUM(H52:H52)+SUM(H108:H116)+SUM(H265:H268)+SUM(H413:H414)+SUM(H477:H477)+H519+SUM(H570:H572)+H623+H667+H714+SUM(H759:H761)</f>
        <v>1870</v>
      </c>
      <c r="I807" s="38">
        <f t="shared" ref="I807:I815" si="149">SUM(F807:H807)</f>
        <v>2529</v>
      </c>
      <c r="J807" s="172">
        <f>SUM(J52:J52)+SUM(J108:J116)+SUM(J265:J268)+SUM(J413:J414)+SUM(J477:J477)+J519+SUM(J570:J572)+J623+J667+J714+SUM(J759:J761)</f>
        <v>1978</v>
      </c>
      <c r="K807" s="172">
        <f>SUM(K52:K52)+SUM(K108:K116)+SUM(K265:K268)+SUM(K413:K414)+SUM(K477:K477)+K519+SUM(K570:K572)+K623+K667+K714+SUM(K759:K761)</f>
        <v>279</v>
      </c>
      <c r="L807" s="172">
        <f>SUM(L52:L52)+SUM(L108:L116)+SUM(L265:L268)+SUM(L413:L414)+SUM(L477:L477)+L519+SUM(L570:L572)+L623+L667+L714+SUM(L759:L761)</f>
        <v>214</v>
      </c>
      <c r="M807" s="38">
        <f t="shared" ref="M807:M815" si="150">SUM(J807:L807)</f>
        <v>2471</v>
      </c>
      <c r="N807" s="172">
        <f>SUM(N52:N52)+SUM(N108:N116)+SUM(N265:N268)+SUM(N413:N414)+SUM(N477:N477)+N519+SUM(N570:N572)+N623+N667+N714+SUM(N759:N761)</f>
        <v>18</v>
      </c>
      <c r="O807" s="172">
        <f>SUM(O52:O52)+SUM(O108:O116)+SUM(O265:O268)+SUM(O413:O414)+SUM(O477:O477)+O519+SUM(O570:O572)+O623+O667+O714+SUM(O759:O761)</f>
        <v>12</v>
      </c>
      <c r="P807" s="172">
        <f>SUM(P52:P52)+SUM(P108:P116)+SUM(P265:P268)+SUM(P413:P414)+SUM(P477:P477)+P519+SUM(P570:P572)+P623+P667+P714+SUM(P759:P761)</f>
        <v>835</v>
      </c>
      <c r="Q807" s="38">
        <f t="shared" ref="Q807:Q815" si="151">SUM(N807:P807)</f>
        <v>865</v>
      </c>
      <c r="R807" s="38">
        <f>+E807+I807+M807+Q807</f>
        <v>5865</v>
      </c>
    </row>
    <row r="808" spans="1:20" ht="15.75" hidden="1" customHeight="1" x14ac:dyDescent="0.3">
      <c r="A808" s="234" t="s">
        <v>557</v>
      </c>
      <c r="B808" s="172">
        <f>SUM(B53:B54)+SUM(B117:B118)+SUM(B269:B270)+B272+B274+B276+B277+SUM(B415:B417)+B478+B520+SUM(B573:B574)+B576+SUM(B624:B625)+B669+B671+B715+SUM(B762:B763)</f>
        <v>1020</v>
      </c>
      <c r="C808" s="172">
        <f>SUM(C53:C54)+SUM(C117:C118)+SUM(C269:C270)+C272+C274+C276+C277+SUM(C415:C417)+C478+C520+SUM(C573:C574)+C576+SUM(C624:C625)+C669+C671+C715+SUM(C762:C763)</f>
        <v>1520</v>
      </c>
      <c r="D808" s="172">
        <f>SUM(D53:D54)+SUM(D117:D118)+SUM(D269:D270)+D272+D274+D276+D277+SUM(D415:D417)+D478+D520+SUM(D573:D574)+D576+SUM(D624:D625)+D669+D671+D715+SUM(D762:D763)</f>
        <v>2020</v>
      </c>
      <c r="E808" s="38">
        <f t="shared" si="148"/>
        <v>4560</v>
      </c>
      <c r="F808" s="172">
        <f>SUM(F53:F54)+SUM(F117:F118)+SUM(F269:F270)+F272+F274+F276+F277+SUM(F415:F417)+F478+F520+SUM(F573:F574)+F576+SUM(F624:F625)+F669+F671+F715+SUM(F762:F763)</f>
        <v>4253</v>
      </c>
      <c r="G808" s="172">
        <f>SUM(G53:G54)+SUM(G117:G118)+SUM(G269:G270)+G272+G274+G276+G277+SUM(G415:G417)+G478+G520+SUM(G573:G574)+G576+SUM(G624:G625)+G669+G671+G715+SUM(G762:G763)</f>
        <v>4306</v>
      </c>
      <c r="H808" s="172">
        <f>SUM(H53:H54)+SUM(H117:H118)+SUM(H269:H270)+H272+H274+H276+H277+SUM(H415:H417)+H478+H520+SUM(H573:H574)+H576+SUM(H624:H625)+H669+H671+H715+SUM(H762:H763)</f>
        <v>6137</v>
      </c>
      <c r="I808" s="38">
        <f t="shared" si="149"/>
        <v>14696</v>
      </c>
      <c r="J808" s="172">
        <f>SUM(J53:J54)+SUM(J117:J118)+SUM(J269:J270)+J272+J274+J276+J277+SUM(J415:J417)+J478+J520+SUM(J573:J574)+J576+SUM(J624:J625)+J669+J671+J715+SUM(J762:J763)</f>
        <v>8802</v>
      </c>
      <c r="K808" s="172">
        <f>SUM(K53:K54)+SUM(K117:K118)+SUM(K269:K270)+K272+K274+K276+K277+SUM(K415:K417)+K478+K520+SUM(K573:K574)+K576+SUM(K624:K625)+K669+K671+K715+SUM(K762:K763)</f>
        <v>3351</v>
      </c>
      <c r="L808" s="172">
        <f>SUM(L53:L54)+SUM(L117:L118)+SUM(L269:L270)+L272+L274+L276+L277+SUM(L415:L417)+L478+L520+SUM(L573:L574)+L576+SUM(L624:L625)+L669+L671+L715+SUM(L762:L763)</f>
        <v>2158</v>
      </c>
      <c r="M808" s="38">
        <f t="shared" si="150"/>
        <v>14311</v>
      </c>
      <c r="N808" s="172">
        <f>SUM(N53:N54)+SUM(N117:N118)+SUM(N269:N270)+N272+N274+N276+N277+SUM(N415:N417)+N478+N520+SUM(N573:N574)+N576+SUM(N624:N625)+N669+N671+N715+SUM(N762:N763)</f>
        <v>3007</v>
      </c>
      <c r="O808" s="172">
        <f>SUM(O53:O54)+SUM(O117:O118)+SUM(O269:O270)+O272+O274+O276+O277+SUM(O415:O417)+O478+O520+SUM(O573:O574)+O576+SUM(O624:O625)+O669+O671+O715+SUM(O762:O763)</f>
        <v>2112</v>
      </c>
      <c r="P808" s="172">
        <f>SUM(P53:P54)+SUM(P117:P118)+SUM(P269:P270)+P272+P274+P276+P277+SUM(P415:P417)+P478+P520+SUM(P573:P574)+P576+SUM(P624:P625)+P669+P671+P715+SUM(P762:P763)</f>
        <v>429</v>
      </c>
      <c r="Q808" s="38">
        <f t="shared" si="151"/>
        <v>5548</v>
      </c>
      <c r="R808" s="38">
        <f t="shared" ref="R808:R815" si="152">+E808+I808+M808+Q808</f>
        <v>39115</v>
      </c>
    </row>
    <row r="809" spans="1:20" ht="15.75" hidden="1" customHeight="1" x14ac:dyDescent="0.3">
      <c r="A809" s="266" t="s">
        <v>614</v>
      </c>
      <c r="B809" s="172">
        <f>B119+B271+B273+B275+B575+B577+B670+B672+B764</f>
        <v>0</v>
      </c>
      <c r="C809" s="172">
        <f>C119+C271+C273+C275+C575+C577+C670+C672+C764</f>
        <v>0</v>
      </c>
      <c r="D809" s="172">
        <f>D119+D271+D273+D275+D575+D577+D670+D672+D764</f>
        <v>0</v>
      </c>
      <c r="E809" s="38">
        <f t="shared" si="148"/>
        <v>0</v>
      </c>
      <c r="F809" s="172">
        <f>F119+F271+F273+F275+F575+F577+F670+F672+F764</f>
        <v>0</v>
      </c>
      <c r="G809" s="172">
        <f>G119+G271+G273+G275+G575+G577+G670+G672+G764</f>
        <v>0</v>
      </c>
      <c r="H809" s="172">
        <f>H119+H271+H273+H275+H575+H577+H670+H672+H764</f>
        <v>0</v>
      </c>
      <c r="I809" s="38">
        <f t="shared" si="149"/>
        <v>0</v>
      </c>
      <c r="J809" s="172">
        <f>J119+J271+J273+J275+J575+J577+J670+J672+J764</f>
        <v>0</v>
      </c>
      <c r="K809" s="172">
        <f>K119+K271+K273+K275+K575+K577+K670+K672+K764</f>
        <v>0</v>
      </c>
      <c r="L809" s="172">
        <f>L119+L271+L273+L275+L575+L577+L670+L672+L764</f>
        <v>0</v>
      </c>
      <c r="M809" s="38">
        <f t="shared" si="150"/>
        <v>0</v>
      </c>
      <c r="N809" s="172">
        <f>N119+N271+N273+N275+N575+N577+N670+N672+N764</f>
        <v>0</v>
      </c>
      <c r="O809" s="172">
        <f>O119+O271+O273+O275+O575+O577+O670+O672+O764</f>
        <v>0</v>
      </c>
      <c r="P809" s="172">
        <f>P119+P271+P273+P275+P575+P577+P670+P672+P764</f>
        <v>0</v>
      </c>
      <c r="Q809" s="38">
        <f t="shared" si="151"/>
        <v>0</v>
      </c>
      <c r="R809" s="38">
        <f t="shared" si="152"/>
        <v>0</v>
      </c>
    </row>
    <row r="810" spans="1:20" ht="15.75" hidden="1" customHeight="1" x14ac:dyDescent="0.3">
      <c r="A810" s="234" t="s">
        <v>2644</v>
      </c>
      <c r="B810" s="172">
        <f>+B55+SUM(B120:B121)+SUM(B278:B278)+SUM(B418:B424)+SUM(B479:B479)+SUM(B521:B522)+B578+B626+B673+B765+B765</f>
        <v>0</v>
      </c>
      <c r="C810" s="172">
        <f>+C55+SUM(C120:C121)+SUM(C278:C278)+SUM(C418:C424)+SUM(C479:C479)+SUM(C521:C522)+C578+C626+C673+C765+C765</f>
        <v>0</v>
      </c>
      <c r="D810" s="172">
        <f>+D55+SUM(D120:D121)+SUM(D278:D278)+SUM(D418:D424)+SUM(D479:D479)+SUM(D521:D522)+D578+D626+D673+D765+D765</f>
        <v>0</v>
      </c>
      <c r="E810" s="38">
        <f t="shared" si="148"/>
        <v>0</v>
      </c>
      <c r="F810" s="172">
        <f>+F55+SUM(F120:F121)+SUM(F278:F278)+SUM(F418:F424)+SUM(F479:F479)+SUM(F521:F522)+F578+F626+F673+F765+F765</f>
        <v>0</v>
      </c>
      <c r="G810" s="172">
        <f>+G55+SUM(G120:G121)+SUM(G278:G278)+SUM(G418:G424)+SUM(G479:G479)+SUM(G521:G522)+G578+G626+G673+G765+G765</f>
        <v>0</v>
      </c>
      <c r="H810" s="172">
        <f>+H55+SUM(H120:H121)+SUM(H278:H278)+SUM(H418:H424)+SUM(H479:H479)+SUM(H521:H522)+H578+H626+H673+H765+H765</f>
        <v>1000</v>
      </c>
      <c r="I810" s="38">
        <f t="shared" si="149"/>
        <v>1000</v>
      </c>
      <c r="J810" s="172">
        <f>+J55+SUM(J120:J121)+SUM(J278:J278)+SUM(J418:J424)+SUM(J479:J479)+SUM(J521:J522)+J578+J626+J673+J765+J765</f>
        <v>0</v>
      </c>
      <c r="K810" s="172">
        <f>+K55+SUM(K120:K121)+SUM(K278:K278)+SUM(K418:K424)+SUM(K479:K479)+SUM(K521:K522)+K578+K626+K673+K765+K765</f>
        <v>43</v>
      </c>
      <c r="L810" s="172">
        <f>+L55+SUM(L120:L121)+SUM(L278:L278)+SUM(L418:L424)+SUM(L479:L479)+SUM(L521:L522)+L578+L626+L673+L765+L765</f>
        <v>1625</v>
      </c>
      <c r="M810" s="38">
        <f t="shared" si="150"/>
        <v>1668</v>
      </c>
      <c r="N810" s="172">
        <f>+N55+SUM(N120:N121)+SUM(N278:N278)+SUM(N418:N424)+SUM(N479:N479)+SUM(N521:N522)+N578+N626+N673+N765+N765</f>
        <v>4421</v>
      </c>
      <c r="O810" s="172">
        <f>+O55+SUM(O120:O121)+SUM(O278:O278)+SUM(O418:O424)+SUM(O479:O479)+SUM(O521:O522)+O578+O626+O673+O765+O765</f>
        <v>1208</v>
      </c>
      <c r="P810" s="172">
        <f>+P55+SUM(P120:P121)+SUM(P278:P278)+SUM(P418:P424)+SUM(P479:P479)+SUM(P521:P522)+P578+P626+P673+P765+P765</f>
        <v>202</v>
      </c>
      <c r="Q810" s="38">
        <f t="shared" si="151"/>
        <v>5831</v>
      </c>
      <c r="R810" s="38">
        <f>+E810+I810+M810+Q810</f>
        <v>8499</v>
      </c>
    </row>
    <row r="811" spans="1:20" ht="22.5" hidden="1" customHeight="1" x14ac:dyDescent="0.3">
      <c r="A811" s="234" t="s">
        <v>2905</v>
      </c>
      <c r="B811" s="172">
        <f>SUM(B122:B122)+SUM(B279:B280)+B426+B428+B429+B431+B433+SUM(B480:B481)+B524+B526+B579+SUM(B580:B581)+B627+B674+B717+B766</f>
        <v>246</v>
      </c>
      <c r="C811" s="172">
        <f>SUM(C122:C122)+SUM(C279:C280)+C426+C428+C429+C431+C433+SUM(C480:C481)+C524+C526+C579+SUM(C580:C581)+C627+C674+C717+C766</f>
        <v>700</v>
      </c>
      <c r="D811" s="172">
        <f>SUM(D122:D122)+SUM(D279:D280)+D426+D428+D429+D431+D433+SUM(D480:D481)+D524+D526+D579+SUM(D580:D581)+D627+D674+D717+D766</f>
        <v>1340</v>
      </c>
      <c r="E811" s="38">
        <f t="shared" si="148"/>
        <v>2286</v>
      </c>
      <c r="F811" s="172">
        <f>SUM(F122:F122)+SUM(F279:F280)+F426+F428+F429+F431+F433+SUM(F480:F481)+F524+F526+F579+SUM(F580:F581)+F627+F674+F717+F766</f>
        <v>1200</v>
      </c>
      <c r="G811" s="172">
        <f>SUM(G122:G122)+SUM(G279:G280)+G426+G428+G429+G431+G433+SUM(G480:G481)+G524+G526+G579+SUM(G580:G581)+G627+G674+G717+G766</f>
        <v>1260</v>
      </c>
      <c r="H811" s="172">
        <f>SUM(H122:H122)+SUM(H279:H280)+H426+H428+H429+H431+H433+SUM(H480:H481)+H524+H526+H579+SUM(H580:H581)+H627+H674+H717+H766</f>
        <v>2891</v>
      </c>
      <c r="I811" s="38">
        <f t="shared" si="149"/>
        <v>5351</v>
      </c>
      <c r="J811" s="172">
        <f>SUM(J122:J122)+SUM(J279:J280)+J426+J428+J429+J431+J433+SUM(J480:J481)+J524+J526+J579+SUM(J580:J581)+J627+J674+J717+J766</f>
        <v>5046</v>
      </c>
      <c r="K811" s="172">
        <f>SUM(K122:K122)+SUM(K279:K280)+K426+K428+K429+K431+K433+SUM(K480:K481)+K524+K526+K579+SUM(K580:K581)+K627+K674+K717+K766</f>
        <v>2299</v>
      </c>
      <c r="L811" s="172">
        <f>SUM(L122:L122)+SUM(L279:L280)+L426+L428+L429+L431+L433+SUM(L480:L481)+L524+L526+L579+SUM(L580:L581)+L627+L674+L717+L766</f>
        <v>3778</v>
      </c>
      <c r="M811" s="38">
        <f t="shared" si="150"/>
        <v>11123</v>
      </c>
      <c r="N811" s="172">
        <f>SUM(N122:N122)+SUM(N279:N280)+N426+N428+N429+N431+N433+SUM(N480:N481)+N524+N526+N579+SUM(N580:N581)+N627+N674+N717+N766</f>
        <v>4652</v>
      </c>
      <c r="O811" s="172">
        <f>SUM(O122:O122)+SUM(O279:O280)+O426+O428+O429+O431+O433+SUM(O480:O481)+O524+O526+O579+SUM(O580:O581)+O627+O674+O717+O766</f>
        <v>2527</v>
      </c>
      <c r="P811" s="172">
        <f>SUM(P122:P122)+SUM(P279:P280)+P426+P428+P429+P431+P433+SUM(P480:P481)+P524+P526+P579+SUM(P580:P581)+P627+P674+P717+P766</f>
        <v>654</v>
      </c>
      <c r="Q811" s="38">
        <f t="shared" si="151"/>
        <v>7833</v>
      </c>
      <c r="R811" s="38">
        <f t="shared" si="152"/>
        <v>26593</v>
      </c>
    </row>
    <row r="812" spans="1:20" ht="15.75" hidden="1" customHeight="1" thickBot="1" x14ac:dyDescent="0.35">
      <c r="A812" s="266" t="s">
        <v>1862</v>
      </c>
      <c r="B812" s="172">
        <f>+B427+B430+B432+B482</f>
        <v>0</v>
      </c>
      <c r="C812" s="172">
        <f>+C427+C430+C432+C482</f>
        <v>0</v>
      </c>
      <c r="D812" s="172">
        <f>+D427+D430+D432+D482</f>
        <v>0</v>
      </c>
      <c r="E812" s="38">
        <f>SUM(B812:D812)</f>
        <v>0</v>
      </c>
      <c r="F812" s="172">
        <f>+F427+F430+F432+F482</f>
        <v>0</v>
      </c>
      <c r="G812" s="172">
        <f>+G427+G430+G432+G482</f>
        <v>0</v>
      </c>
      <c r="H812" s="172">
        <f>+H427+H430+H432+H482</f>
        <v>0</v>
      </c>
      <c r="I812" s="38">
        <f>SUM(F812:H812)</f>
        <v>0</v>
      </c>
      <c r="J812" s="172">
        <f>+J427+J430+J432+J482</f>
        <v>0</v>
      </c>
      <c r="K812" s="172">
        <f>+K427+K430+K432+K482</f>
        <v>0</v>
      </c>
      <c r="L812" s="172">
        <f>+L427+L430+L432+L482</f>
        <v>0</v>
      </c>
      <c r="M812" s="38">
        <f>SUM(J812:L812)</f>
        <v>0</v>
      </c>
      <c r="N812" s="172">
        <f>+N427+N430+N432+N482</f>
        <v>0</v>
      </c>
      <c r="O812" s="172">
        <f>+O427+O430+O432+O482</f>
        <v>0</v>
      </c>
      <c r="P812" s="172">
        <f>+P427+P430+P432+P482</f>
        <v>0</v>
      </c>
      <c r="Q812" s="38">
        <f>SUM(N812:P812)</f>
        <v>0</v>
      </c>
      <c r="R812" s="38">
        <f>+E812+I812+M812+Q812</f>
        <v>0</v>
      </c>
    </row>
    <row r="813" spans="1:20" ht="16.5" hidden="1" customHeight="1" thickBot="1" x14ac:dyDescent="0.35">
      <c r="A813" s="43" t="s">
        <v>1019</v>
      </c>
      <c r="B813" s="335">
        <f>SUM(B810:B812)</f>
        <v>246</v>
      </c>
      <c r="C813" s="335">
        <f>SUM(C810:C812)</f>
        <v>700</v>
      </c>
      <c r="D813" s="335">
        <f>SUM(D810:D812)</f>
        <v>1340</v>
      </c>
      <c r="E813" s="39">
        <f t="shared" si="148"/>
        <v>2286</v>
      </c>
      <c r="F813" s="335">
        <f>SUM(F810:F812)</f>
        <v>1200</v>
      </c>
      <c r="G813" s="335">
        <f>SUM(G810:G812)</f>
        <v>1260</v>
      </c>
      <c r="H813" s="335">
        <f>SUM(H810:H812)</f>
        <v>3891</v>
      </c>
      <c r="I813" s="39">
        <f t="shared" si="149"/>
        <v>6351</v>
      </c>
      <c r="J813" s="335">
        <f>SUM(J810:J812)</f>
        <v>5046</v>
      </c>
      <c r="K813" s="335">
        <f>SUM(K810:K812)</f>
        <v>2342</v>
      </c>
      <c r="L813" s="335">
        <f>SUM(L810:L812)</f>
        <v>5403</v>
      </c>
      <c r="M813" s="39">
        <f t="shared" si="150"/>
        <v>12791</v>
      </c>
      <c r="N813" s="335">
        <f>SUM(N810:N812)</f>
        <v>9073</v>
      </c>
      <c r="O813" s="335">
        <f>SUM(O810:O812)</f>
        <v>3735</v>
      </c>
      <c r="P813" s="335">
        <f>SUM(P810:P812)</f>
        <v>856</v>
      </c>
      <c r="Q813" s="39">
        <f t="shared" si="151"/>
        <v>13664</v>
      </c>
      <c r="R813" s="37">
        <f t="shared" si="152"/>
        <v>35092</v>
      </c>
    </row>
    <row r="814" spans="1:20" ht="16.5" hidden="1" customHeight="1" thickBot="1" x14ac:dyDescent="0.35">
      <c r="A814" s="277" t="s">
        <v>1221</v>
      </c>
      <c r="B814" s="45">
        <f>SUM(B806:B812)</f>
        <v>1266</v>
      </c>
      <c r="C814" s="46">
        <f>SUM(C806:C812)</f>
        <v>2220</v>
      </c>
      <c r="D814" s="58">
        <f>SUM(D806:D812)</f>
        <v>3360</v>
      </c>
      <c r="E814" s="336">
        <f t="shared" si="148"/>
        <v>6846</v>
      </c>
      <c r="F814" s="45">
        <f>SUM(F806:F812)</f>
        <v>5453</v>
      </c>
      <c r="G814" s="46">
        <f>SUM(G806:G812)</f>
        <v>6225</v>
      </c>
      <c r="H814" s="58">
        <f>SUM(H806:H812)</f>
        <v>11898</v>
      </c>
      <c r="I814" s="39">
        <f t="shared" si="149"/>
        <v>23576</v>
      </c>
      <c r="J814" s="45">
        <f>SUM(J806:J812)</f>
        <v>15826</v>
      </c>
      <c r="K814" s="46">
        <f>SUM(K806:K812)</f>
        <v>5972</v>
      </c>
      <c r="L814" s="58">
        <f>SUM(L806:L812)</f>
        <v>7775</v>
      </c>
      <c r="M814" s="39">
        <f t="shared" si="150"/>
        <v>29573</v>
      </c>
      <c r="N814" s="45">
        <f>SUM(N806:N812)</f>
        <v>12098</v>
      </c>
      <c r="O814" s="46">
        <f>SUM(O806:O812)</f>
        <v>5859</v>
      </c>
      <c r="P814" s="58">
        <f>SUM(P806:P812)</f>
        <v>2120</v>
      </c>
      <c r="Q814" s="39">
        <f t="shared" si="151"/>
        <v>20077</v>
      </c>
      <c r="R814" s="37">
        <f t="shared" si="152"/>
        <v>80072</v>
      </c>
    </row>
    <row r="815" spans="1:20" ht="16.5" hidden="1" customHeight="1" thickBot="1" x14ac:dyDescent="0.35">
      <c r="A815" s="43" t="s">
        <v>1222</v>
      </c>
      <c r="B815" s="337">
        <f>+B796+B801+B805+B814</f>
        <v>43148</v>
      </c>
      <c r="C815" s="338">
        <f>+C796+C801+C805+C814</f>
        <v>77253</v>
      </c>
      <c r="D815" s="338">
        <f>+D796+D801+D805+D814</f>
        <v>122146</v>
      </c>
      <c r="E815" s="37">
        <f t="shared" si="148"/>
        <v>242547</v>
      </c>
      <c r="F815" s="42">
        <f>+F796+F801+F805+F814</f>
        <v>138443</v>
      </c>
      <c r="G815" s="42">
        <f>+G796+G801+G805+G814</f>
        <v>166029</v>
      </c>
      <c r="H815" s="42">
        <f>+H796+H801+H805+H814</f>
        <v>201550</v>
      </c>
      <c r="I815" s="37">
        <f t="shared" si="149"/>
        <v>506022</v>
      </c>
      <c r="J815" s="42">
        <f>+J796+J801+J805+J814</f>
        <v>193428</v>
      </c>
      <c r="K815" s="42">
        <f>+K796+K801+K805+K814</f>
        <v>151816</v>
      </c>
      <c r="L815" s="42">
        <f>+L796+L801+L805+L814</f>
        <v>129194</v>
      </c>
      <c r="M815" s="37">
        <f t="shared" si="150"/>
        <v>474438</v>
      </c>
      <c r="N815" s="42">
        <f>+N796+N801+N805+N814</f>
        <v>88804</v>
      </c>
      <c r="O815" s="42">
        <f>+O796+O801+O805+O814</f>
        <v>57369</v>
      </c>
      <c r="P815" s="42">
        <f>+P796+P801+P805+P814</f>
        <v>61730</v>
      </c>
      <c r="Q815" s="37">
        <f t="shared" si="151"/>
        <v>207903</v>
      </c>
      <c r="R815" s="40">
        <f t="shared" si="152"/>
        <v>1430910</v>
      </c>
    </row>
    <row r="816" spans="1:20" ht="15.75" hidden="1" customHeight="1" x14ac:dyDescent="0.3">
      <c r="A816" s="356" t="s">
        <v>2646</v>
      </c>
      <c r="B816" s="172"/>
      <c r="C816" s="172"/>
      <c r="D816" s="172"/>
      <c r="E816" s="172"/>
      <c r="F816" s="172"/>
      <c r="G816" s="172"/>
      <c r="H816" s="172"/>
      <c r="I816" s="172"/>
      <c r="J816" s="172"/>
      <c r="K816" s="172"/>
      <c r="L816" s="172"/>
      <c r="M816" s="172"/>
      <c r="N816" s="172"/>
      <c r="O816" s="453"/>
      <c r="P816" s="172"/>
      <c r="Q816" s="172"/>
      <c r="R816" s="17"/>
    </row>
    <row r="817" spans="1:18" ht="15.75" hidden="1" customHeight="1" x14ac:dyDescent="0.3">
      <c r="A817" s="356" t="s">
        <v>3009</v>
      </c>
      <c r="B817" s="172"/>
      <c r="C817" s="172"/>
      <c r="D817" s="172"/>
      <c r="E817" s="172"/>
      <c r="F817" s="172"/>
      <c r="G817" s="172"/>
      <c r="H817" s="172"/>
      <c r="I817" s="172"/>
      <c r="J817" s="172"/>
      <c r="K817" s="172"/>
      <c r="L817" s="172"/>
      <c r="M817" s="172"/>
      <c r="N817" s="172"/>
      <c r="O817" s="453"/>
      <c r="P817" s="172"/>
      <c r="Q817" s="172"/>
      <c r="R817" s="17"/>
    </row>
    <row r="818" spans="1:18" ht="15.75" hidden="1" customHeight="1" x14ac:dyDescent="0.3">
      <c r="A818" s="172"/>
      <c r="B818" s="172"/>
      <c r="C818" s="172"/>
      <c r="D818" s="172"/>
      <c r="E818" s="172"/>
      <c r="F818" s="172"/>
      <c r="G818" s="172"/>
      <c r="H818" s="172"/>
      <c r="I818" s="172"/>
      <c r="J818" s="172"/>
      <c r="K818" s="172"/>
      <c r="L818" s="172"/>
      <c r="M818" s="172"/>
      <c r="N818" s="172"/>
      <c r="O818" s="453"/>
      <c r="P818" s="172"/>
      <c r="Q818" s="680" t="str">
        <f>+Q1</f>
        <v xml:space="preserve">PRINTED:  </v>
      </c>
      <c r="R818" s="681">
        <f ca="1">+R1</f>
        <v>44881.729634027775</v>
      </c>
    </row>
    <row r="819" spans="1:18" ht="15.75" hidden="1" customHeight="1" x14ac:dyDescent="0.3">
      <c r="A819" s="778" t="s">
        <v>43</v>
      </c>
      <c r="B819" s="778"/>
      <c r="C819" s="778"/>
      <c r="D819" s="778"/>
      <c r="E819" s="778"/>
      <c r="F819" s="778"/>
      <c r="G819" s="778"/>
      <c r="H819" s="778"/>
      <c r="I819" s="778"/>
      <c r="J819" s="778"/>
      <c r="K819" s="778"/>
      <c r="L819" s="778"/>
      <c r="M819" s="778"/>
      <c r="N819" s="778"/>
      <c r="O819" s="778"/>
      <c r="P819" s="778"/>
      <c r="Q819" s="778"/>
      <c r="R819" s="778"/>
    </row>
    <row r="820" spans="1:18" ht="15.75" hidden="1" customHeight="1" x14ac:dyDescent="0.3">
      <c r="A820" s="778" t="s">
        <v>1988</v>
      </c>
      <c r="B820" s="778"/>
      <c r="C820" s="778"/>
      <c r="D820" s="778"/>
      <c r="E820" s="778"/>
      <c r="F820" s="778"/>
      <c r="G820" s="778"/>
      <c r="H820" s="778"/>
      <c r="I820" s="778"/>
      <c r="J820" s="778"/>
      <c r="K820" s="778"/>
      <c r="L820" s="778"/>
      <c r="M820" s="778"/>
      <c r="N820" s="778"/>
      <c r="O820" s="778"/>
      <c r="P820" s="778"/>
      <c r="Q820" s="778"/>
      <c r="R820" s="778"/>
    </row>
    <row r="821" spans="1:18" ht="15.75" hidden="1" customHeight="1" x14ac:dyDescent="0.3">
      <c r="A821" s="778" t="s">
        <v>544</v>
      </c>
      <c r="B821" s="778"/>
      <c r="C821" s="778"/>
      <c r="D821" s="778"/>
      <c r="E821" s="778"/>
      <c r="F821" s="778"/>
      <c r="G821" s="778"/>
      <c r="H821" s="778"/>
      <c r="I821" s="778"/>
      <c r="J821" s="778"/>
      <c r="K821" s="778"/>
      <c r="L821" s="778"/>
      <c r="M821" s="778"/>
      <c r="N821" s="778"/>
      <c r="O821" s="778"/>
      <c r="P821" s="778"/>
      <c r="Q821" s="778"/>
      <c r="R821" s="778"/>
    </row>
    <row r="822" spans="1:18" ht="15.75" hidden="1" customHeight="1" x14ac:dyDescent="0.3">
      <c r="A822" s="784">
        <f>+A5</f>
        <v>2016</v>
      </c>
      <c r="B822" s="784"/>
      <c r="C822" s="784"/>
      <c r="D822" s="784"/>
      <c r="E822" s="784"/>
      <c r="F822" s="784"/>
      <c r="G822" s="784"/>
      <c r="H822" s="784"/>
      <c r="I822" s="784"/>
      <c r="J822" s="784"/>
      <c r="K822" s="784"/>
      <c r="L822" s="784"/>
      <c r="M822" s="784"/>
      <c r="N822" s="784"/>
      <c r="O822" s="784"/>
      <c r="P822" s="784"/>
      <c r="Q822" s="784"/>
      <c r="R822" s="784"/>
    </row>
    <row r="823" spans="1:18" ht="15.75" hidden="1" customHeight="1" x14ac:dyDescent="0.3">
      <c r="A823" s="172"/>
      <c r="B823" s="172"/>
      <c r="C823" s="172"/>
      <c r="D823" s="1"/>
      <c r="E823" s="1"/>
      <c r="F823" s="1"/>
      <c r="G823" s="452"/>
      <c r="H823" s="1"/>
      <c r="I823" s="1"/>
      <c r="J823" s="452"/>
      <c r="K823" s="452"/>
      <c r="L823" s="452"/>
      <c r="M823" s="452"/>
      <c r="N823" s="172"/>
      <c r="O823" s="452"/>
      <c r="P823" s="452"/>
      <c r="Q823" s="452"/>
      <c r="R823" s="452"/>
    </row>
    <row r="824" spans="1:18" ht="15.75" hidden="1" customHeight="1" x14ac:dyDescent="0.3">
      <c r="A824" s="778" t="str">
        <f>+A8</f>
        <v>Revised:  2/23/2017</v>
      </c>
      <c r="B824" s="778"/>
      <c r="C824" s="778"/>
      <c r="D824" s="778"/>
      <c r="E824" s="778"/>
      <c r="F824" s="778"/>
      <c r="G824" s="778"/>
      <c r="H824" s="778"/>
      <c r="I824" s="778"/>
      <c r="J824" s="778"/>
      <c r="K824" s="778"/>
      <c r="L824" s="778"/>
      <c r="M824" s="778"/>
      <c r="N824" s="778"/>
      <c r="O824" s="778"/>
      <c r="P824" s="778"/>
      <c r="Q824" s="778"/>
      <c r="R824" s="778"/>
    </row>
    <row r="825" spans="1:18" ht="15.75" hidden="1" customHeight="1" x14ac:dyDescent="0.3">
      <c r="A825" s="448"/>
      <c r="B825" s="448"/>
      <c r="C825" s="448"/>
      <c r="D825" s="448"/>
      <c r="E825" s="448"/>
      <c r="F825" s="448"/>
      <c r="G825" s="448"/>
      <c r="H825" s="448"/>
      <c r="I825" s="448"/>
      <c r="J825" s="448"/>
      <c r="K825" s="448"/>
      <c r="L825" s="448"/>
      <c r="M825" s="448"/>
      <c r="N825" s="448"/>
      <c r="O825" s="448"/>
      <c r="P825" s="448"/>
      <c r="Q825" s="448"/>
      <c r="R825" s="448"/>
    </row>
    <row r="826" spans="1:18" ht="15.75" hidden="1" customHeight="1" x14ac:dyDescent="0.3">
      <c r="A826" s="18"/>
      <c r="B826" s="172"/>
      <c r="C826" s="172"/>
      <c r="D826" s="172"/>
      <c r="E826" s="172"/>
      <c r="F826" s="172"/>
      <c r="G826" s="172"/>
      <c r="H826" s="172"/>
      <c r="I826" s="172"/>
      <c r="J826" s="172"/>
      <c r="K826" s="172"/>
      <c r="L826" s="172"/>
      <c r="M826" s="172"/>
      <c r="N826" s="172"/>
      <c r="O826" s="172"/>
      <c r="P826" s="172"/>
      <c r="Q826" s="172"/>
      <c r="R826" s="17"/>
    </row>
    <row r="827" spans="1:18" ht="15.75" hidden="1" customHeight="1" thickBot="1" x14ac:dyDescent="0.35">
      <c r="A827" s="172"/>
      <c r="B827" s="172"/>
      <c r="C827" s="172"/>
      <c r="D827" s="172"/>
      <c r="E827" s="172"/>
      <c r="F827" s="172"/>
      <c r="G827" s="172"/>
      <c r="H827" s="172"/>
      <c r="I827" s="172"/>
      <c r="J827" s="172"/>
      <c r="K827" s="172"/>
      <c r="L827" s="172"/>
      <c r="M827" s="172"/>
      <c r="N827" s="172"/>
      <c r="O827" s="453"/>
      <c r="P827" s="172"/>
      <c r="Q827" s="172"/>
      <c r="R827" s="17"/>
    </row>
    <row r="828" spans="1:18" ht="15.75" hidden="1" customHeight="1" thickBot="1" x14ac:dyDescent="0.35">
      <c r="A828" s="274" t="s">
        <v>1088</v>
      </c>
      <c r="B828" s="25" t="s">
        <v>2090</v>
      </c>
      <c r="C828" s="26" t="s">
        <v>2091</v>
      </c>
      <c r="D828" s="26" t="s">
        <v>2234</v>
      </c>
      <c r="E828" s="33" t="s">
        <v>1594</v>
      </c>
      <c r="F828" s="26" t="s">
        <v>2235</v>
      </c>
      <c r="G828" s="26" t="s">
        <v>2236</v>
      </c>
      <c r="H828" s="26" t="s">
        <v>2237</v>
      </c>
      <c r="I828" s="33" t="s">
        <v>1595</v>
      </c>
      <c r="J828" s="26" t="s">
        <v>1504</v>
      </c>
      <c r="K828" s="26" t="s">
        <v>1505</v>
      </c>
      <c r="L828" s="26" t="s">
        <v>1506</v>
      </c>
      <c r="M828" s="33" t="s">
        <v>1596</v>
      </c>
      <c r="N828" s="26" t="s">
        <v>1507</v>
      </c>
      <c r="O828" s="26" t="s">
        <v>1508</v>
      </c>
      <c r="P828" s="26" t="s">
        <v>1509</v>
      </c>
      <c r="Q828" s="33" t="s">
        <v>1597</v>
      </c>
      <c r="R828" s="339" t="s">
        <v>1510</v>
      </c>
    </row>
    <row r="829" spans="1:18" ht="16.5" hidden="1" customHeight="1" thickBot="1" x14ac:dyDescent="0.35">
      <c r="A829" s="340"/>
      <c r="B829" s="341"/>
      <c r="C829" s="341"/>
      <c r="D829" s="341"/>
      <c r="E829" s="233"/>
      <c r="F829" s="341"/>
      <c r="G829" s="341"/>
      <c r="H829" s="341"/>
      <c r="I829" s="243"/>
      <c r="J829" s="341"/>
      <c r="K829" s="341"/>
      <c r="L829" s="341"/>
      <c r="M829" s="243"/>
      <c r="N829" s="341"/>
      <c r="O829" s="341"/>
      <c r="P829" s="341"/>
      <c r="Q829" s="279"/>
      <c r="R829" s="342"/>
    </row>
    <row r="830" spans="1:18" ht="16.5" hidden="1" customHeight="1" thickBot="1" x14ac:dyDescent="0.35">
      <c r="A830" s="343" t="s">
        <v>673</v>
      </c>
      <c r="B830" s="344">
        <f>+B796</f>
        <v>20421</v>
      </c>
      <c r="C830" s="344">
        <f>+C796</f>
        <v>26032</v>
      </c>
      <c r="D830" s="344">
        <f>+D796</f>
        <v>39276</v>
      </c>
      <c r="E830" s="45">
        <f>+SUM(B830:D830)</f>
        <v>85729</v>
      </c>
      <c r="F830" s="344">
        <f>+F796</f>
        <v>45506</v>
      </c>
      <c r="G830" s="344">
        <f>+G796</f>
        <v>55562</v>
      </c>
      <c r="H830" s="344">
        <f>+H796</f>
        <v>58212</v>
      </c>
      <c r="I830" s="45">
        <f>+SUM(F830:H830)</f>
        <v>159280</v>
      </c>
      <c r="J830" s="344">
        <f>+J796</f>
        <v>67394</v>
      </c>
      <c r="K830" s="344">
        <f>+K796</f>
        <v>63169</v>
      </c>
      <c r="L830" s="344">
        <f>+L796</f>
        <v>55394</v>
      </c>
      <c r="M830" s="45">
        <f>+SUM(J830:L830)</f>
        <v>185957</v>
      </c>
      <c r="N830" s="344">
        <f>+N796</f>
        <v>39355</v>
      </c>
      <c r="O830" s="344">
        <f>+O796</f>
        <v>37402</v>
      </c>
      <c r="P830" s="344">
        <f>+P796</f>
        <v>32177</v>
      </c>
      <c r="Q830" s="45">
        <f>+SUM(N830:P830)</f>
        <v>108934</v>
      </c>
      <c r="R830" s="37">
        <f>+E830+I830+M830+Q830</f>
        <v>539900</v>
      </c>
    </row>
    <row r="831" spans="1:18" ht="16.5" hidden="1" customHeight="1" thickBot="1" x14ac:dyDescent="0.35">
      <c r="A831" s="35"/>
      <c r="B831" s="45"/>
      <c r="C831" s="45"/>
      <c r="D831" s="45"/>
      <c r="E831" s="45"/>
      <c r="F831" s="45"/>
      <c r="G831" s="45"/>
      <c r="H831" s="45"/>
      <c r="I831" s="45"/>
      <c r="J831" s="45"/>
      <c r="K831" s="45"/>
      <c r="L831" s="45"/>
      <c r="M831" s="45"/>
      <c r="N831" s="45"/>
      <c r="O831" s="45"/>
      <c r="P831" s="45"/>
      <c r="Q831" s="45"/>
      <c r="R831" s="37"/>
    </row>
    <row r="832" spans="1:18" ht="16.5" hidden="1" customHeight="1" thickBot="1" x14ac:dyDescent="0.35">
      <c r="A832" s="343" t="s">
        <v>672</v>
      </c>
      <c r="B832" s="344">
        <f>+B801</f>
        <v>1913</v>
      </c>
      <c r="C832" s="344">
        <f>+C801</f>
        <v>15616</v>
      </c>
      <c r="D832" s="344">
        <f>+D801</f>
        <v>26911</v>
      </c>
      <c r="E832" s="45">
        <f>+SUM(B832:D832)</f>
        <v>44440</v>
      </c>
      <c r="F832" s="344">
        <f>+F801</f>
        <v>29045</v>
      </c>
      <c r="G832" s="344">
        <f>+G801</f>
        <v>35073</v>
      </c>
      <c r="H832" s="344">
        <f>+H801</f>
        <v>59682</v>
      </c>
      <c r="I832" s="45">
        <f>+SUM(F832:H832)</f>
        <v>123800</v>
      </c>
      <c r="J832" s="344">
        <f>+J801</f>
        <v>40687</v>
      </c>
      <c r="K832" s="344">
        <f>+K801</f>
        <v>33893</v>
      </c>
      <c r="L832" s="344">
        <f>+L801</f>
        <v>20881</v>
      </c>
      <c r="M832" s="45">
        <f>+SUM(J832:L832)</f>
        <v>95461</v>
      </c>
      <c r="N832" s="344">
        <f>+N801</f>
        <v>9602</v>
      </c>
      <c r="O832" s="344">
        <f>+O801</f>
        <v>2396</v>
      </c>
      <c r="P832" s="344">
        <f>+P801</f>
        <v>5098</v>
      </c>
      <c r="Q832" s="45">
        <f>+SUM(N832:P832)</f>
        <v>17096</v>
      </c>
      <c r="R832" s="37">
        <f>+E832+I832+M832+Q832</f>
        <v>280797</v>
      </c>
    </row>
    <row r="833" spans="1:46" ht="16.5" hidden="1" customHeight="1" thickBot="1" x14ac:dyDescent="0.35">
      <c r="A833" s="35"/>
      <c r="B833" s="45"/>
      <c r="C833" s="45"/>
      <c r="D833" s="45"/>
      <c r="E833" s="45"/>
      <c r="F833" s="45"/>
      <c r="G833" s="45"/>
      <c r="H833" s="45"/>
      <c r="I833" s="45"/>
      <c r="J833" s="45"/>
      <c r="K833" s="45"/>
      <c r="L833" s="45"/>
      <c r="M833" s="45"/>
      <c r="N833" s="45"/>
      <c r="O833" s="45"/>
      <c r="P833" s="45"/>
      <c r="Q833" s="45"/>
      <c r="R833" s="37"/>
      <c r="AC833" s="546"/>
      <c r="AD833" s="547"/>
      <c r="AE833" s="549" t="s">
        <v>2434</v>
      </c>
      <c r="AF833" s="547"/>
      <c r="AG833" s="547"/>
      <c r="AH833" s="547"/>
      <c r="AI833" s="547"/>
      <c r="AJ833" s="547"/>
      <c r="AK833" s="547" t="s">
        <v>2435</v>
      </c>
      <c r="AL833" s="547"/>
      <c r="AM833" s="547" t="s">
        <v>852</v>
      </c>
      <c r="AN833" s="557" t="str">
        <f>+A8</f>
        <v>Revised:  2/23/2017</v>
      </c>
      <c r="AO833" s="547"/>
      <c r="AP833" s="547"/>
      <c r="AQ833" s="547"/>
      <c r="AR833" s="547"/>
      <c r="AS833" s="678" t="str">
        <f>+Q1</f>
        <v xml:space="preserve">PRINTED:  </v>
      </c>
      <c r="AT833" s="679">
        <f ca="1">+R1</f>
        <v>44881.729634027775</v>
      </c>
    </row>
    <row r="834" spans="1:46" ht="16.5" hidden="1" customHeight="1" thickBot="1" x14ac:dyDescent="0.35">
      <c r="A834" s="343" t="s">
        <v>1089</v>
      </c>
      <c r="B834" s="344">
        <f>+B805</f>
        <v>19548</v>
      </c>
      <c r="C834" s="344">
        <f>+C805</f>
        <v>33385</v>
      </c>
      <c r="D834" s="344">
        <f>+D805</f>
        <v>52599</v>
      </c>
      <c r="E834" s="45">
        <f>+SUM(B834:D834)</f>
        <v>105532</v>
      </c>
      <c r="F834" s="344">
        <f>+F805</f>
        <v>58439</v>
      </c>
      <c r="G834" s="344">
        <f>+G805</f>
        <v>69169</v>
      </c>
      <c r="H834" s="344">
        <f>+H805</f>
        <v>71758</v>
      </c>
      <c r="I834" s="45">
        <f>+SUM(F834:H834)</f>
        <v>199366</v>
      </c>
      <c r="J834" s="344">
        <f>+J805</f>
        <v>69521</v>
      </c>
      <c r="K834" s="344">
        <f>+K805</f>
        <v>48782</v>
      </c>
      <c r="L834" s="344">
        <f>+L805</f>
        <v>45144</v>
      </c>
      <c r="M834" s="45">
        <f>+SUM(J834:L834)</f>
        <v>163447</v>
      </c>
      <c r="N834" s="344">
        <f>+N805</f>
        <v>27749</v>
      </c>
      <c r="O834" s="344">
        <f>+O805</f>
        <v>11712</v>
      </c>
      <c r="P834" s="344">
        <f>+P805</f>
        <v>22335</v>
      </c>
      <c r="Q834" s="45">
        <f>+SUM(N834:P834)</f>
        <v>61796</v>
      </c>
      <c r="R834" s="37">
        <f>+E834+I834+M834+Q834</f>
        <v>530141</v>
      </c>
      <c r="AC834" s="551"/>
      <c r="AD834" s="67"/>
      <c r="AE834" s="67"/>
      <c r="AF834" s="67">
        <f>++A5</f>
        <v>2016</v>
      </c>
      <c r="AG834" s="67"/>
      <c r="AH834" s="67"/>
      <c r="AI834" s="67"/>
      <c r="AJ834" s="67"/>
      <c r="AK834" s="67"/>
      <c r="AL834" s="67"/>
      <c r="AM834" s="67"/>
      <c r="AN834" s="67"/>
      <c r="AO834" s="67"/>
      <c r="AP834" s="67"/>
      <c r="AQ834" s="67"/>
      <c r="AR834" s="67"/>
      <c r="AS834" s="67"/>
      <c r="AT834" s="552"/>
    </row>
    <row r="835" spans="1:46" ht="16.5" hidden="1" customHeight="1" thickBot="1" x14ac:dyDescent="0.35">
      <c r="A835" s="35"/>
      <c r="B835" s="45"/>
      <c r="C835" s="45"/>
      <c r="D835" s="45"/>
      <c r="E835" s="45"/>
      <c r="F835" s="45"/>
      <c r="G835" s="45"/>
      <c r="H835" s="45"/>
      <c r="I835" s="45"/>
      <c r="J835" s="45"/>
      <c r="K835" s="45"/>
      <c r="L835" s="45"/>
      <c r="M835" s="45"/>
      <c r="N835" s="45"/>
      <c r="O835" s="45"/>
      <c r="P835" s="45"/>
      <c r="Q835" s="45"/>
      <c r="R835" s="37"/>
      <c r="AC835" s="551"/>
      <c r="AD835" s="67"/>
      <c r="AE835" s="67"/>
      <c r="AF835" s="67"/>
      <c r="AG835" s="67"/>
      <c r="AH835" s="67"/>
      <c r="AI835" s="67"/>
      <c r="AJ835" s="67"/>
      <c r="AK835" s="67"/>
      <c r="AL835" s="67"/>
      <c r="AM835" s="67"/>
      <c r="AN835" s="67"/>
      <c r="AO835" s="67"/>
      <c r="AP835" s="67"/>
      <c r="AQ835" s="67"/>
      <c r="AR835" s="67"/>
      <c r="AS835" s="67"/>
      <c r="AT835" s="552"/>
    </row>
    <row r="836" spans="1:46" ht="16.5" hidden="1" customHeight="1" thickBot="1" x14ac:dyDescent="0.35">
      <c r="A836" s="343" t="s">
        <v>1090</v>
      </c>
      <c r="B836" s="344">
        <f>+B814</f>
        <v>1266</v>
      </c>
      <c r="C836" s="344">
        <f>+C814</f>
        <v>2220</v>
      </c>
      <c r="D836" s="344">
        <f>+D814</f>
        <v>3360</v>
      </c>
      <c r="E836" s="45">
        <f>+SUM(B836:D836)</f>
        <v>6846</v>
      </c>
      <c r="F836" s="344">
        <f>+F814</f>
        <v>5453</v>
      </c>
      <c r="G836" s="344">
        <f>+G814</f>
        <v>6225</v>
      </c>
      <c r="H836" s="344">
        <f>+H814</f>
        <v>11898</v>
      </c>
      <c r="I836" s="45">
        <f>+SUM(F836:H836)</f>
        <v>23576</v>
      </c>
      <c r="J836" s="344">
        <f>+J814</f>
        <v>15826</v>
      </c>
      <c r="K836" s="344">
        <f>+K814</f>
        <v>5972</v>
      </c>
      <c r="L836" s="344">
        <f>+L814</f>
        <v>7775</v>
      </c>
      <c r="M836" s="45">
        <f>+SUM(J836:L836)</f>
        <v>29573</v>
      </c>
      <c r="N836" s="344">
        <f>+N814</f>
        <v>12098</v>
      </c>
      <c r="O836" s="344">
        <f>+O814</f>
        <v>5859</v>
      </c>
      <c r="P836" s="344">
        <f>+P814</f>
        <v>2120</v>
      </c>
      <c r="Q836" s="45">
        <f>+SUM(N836:P836)</f>
        <v>20077</v>
      </c>
      <c r="R836" s="37">
        <f>+E836+I836+M836+Q836</f>
        <v>80072</v>
      </c>
      <c r="AC836" s="551"/>
      <c r="AD836" s="67"/>
      <c r="AE836" s="67"/>
      <c r="AF836" s="67"/>
      <c r="AG836" s="67"/>
      <c r="AH836" s="67"/>
      <c r="AI836" s="70" t="s">
        <v>2438</v>
      </c>
      <c r="AJ836" s="67"/>
      <c r="AK836" s="67"/>
      <c r="AL836" s="67"/>
      <c r="AM836" s="67"/>
      <c r="AN836" s="67"/>
      <c r="AO836" s="67"/>
      <c r="AP836" s="67"/>
      <c r="AQ836" s="67"/>
      <c r="AR836" s="67"/>
      <c r="AS836" s="67"/>
      <c r="AT836" s="552"/>
    </row>
    <row r="837" spans="1:46" ht="16.5" hidden="1" customHeight="1" thickBot="1" x14ac:dyDescent="0.35">
      <c r="A837" s="35"/>
      <c r="B837" s="45"/>
      <c r="C837" s="45"/>
      <c r="D837" s="45"/>
      <c r="E837" s="45"/>
      <c r="F837" s="45"/>
      <c r="G837" s="45"/>
      <c r="H837" s="45"/>
      <c r="I837" s="45"/>
      <c r="J837" s="45"/>
      <c r="K837" s="45"/>
      <c r="L837" s="45"/>
      <c r="M837" s="45"/>
      <c r="N837" s="45"/>
      <c r="O837" s="45"/>
      <c r="P837" s="45"/>
      <c r="Q837" s="45"/>
      <c r="R837" s="37"/>
      <c r="AC837" s="551"/>
      <c r="AD837" s="67" t="s">
        <v>2435</v>
      </c>
      <c r="AE837" s="67"/>
      <c r="AF837" s="70" t="s">
        <v>2436</v>
      </c>
      <c r="AG837" s="70" t="s">
        <v>2436</v>
      </c>
      <c r="AH837" s="70" t="s">
        <v>2437</v>
      </c>
      <c r="AI837" s="70" t="s">
        <v>525</v>
      </c>
      <c r="AJ837" s="70" t="s">
        <v>2439</v>
      </c>
      <c r="AK837" s="70" t="s">
        <v>2463</v>
      </c>
      <c r="AL837" s="70" t="s">
        <v>2356</v>
      </c>
      <c r="AM837" s="67" t="s">
        <v>2435</v>
      </c>
      <c r="AN837" s="70" t="s">
        <v>2464</v>
      </c>
      <c r="AO837" s="70" t="s">
        <v>2464</v>
      </c>
      <c r="AP837" s="70" t="s">
        <v>2464</v>
      </c>
      <c r="AQ837" s="67"/>
      <c r="AR837" s="67"/>
      <c r="AS837" s="67"/>
      <c r="AT837" s="552"/>
    </row>
    <row r="838" spans="1:46" ht="16.5" hidden="1" customHeight="1" thickBot="1" x14ac:dyDescent="0.4">
      <c r="A838" s="35" t="s">
        <v>574</v>
      </c>
      <c r="B838" s="47">
        <f t="shared" ref="B838:R838" si="153">+SUM(B830:B836)</f>
        <v>43148</v>
      </c>
      <c r="C838" s="47">
        <f t="shared" si="153"/>
        <v>77253</v>
      </c>
      <c r="D838" s="47">
        <f t="shared" si="153"/>
        <v>122146</v>
      </c>
      <c r="E838" s="47">
        <f t="shared" si="153"/>
        <v>242547</v>
      </c>
      <c r="F838" s="47">
        <f t="shared" si="153"/>
        <v>138443</v>
      </c>
      <c r="G838" s="47">
        <f t="shared" si="153"/>
        <v>166029</v>
      </c>
      <c r="H838" s="47">
        <f t="shared" si="153"/>
        <v>201550</v>
      </c>
      <c r="I838" s="47">
        <f t="shared" si="153"/>
        <v>506022</v>
      </c>
      <c r="J838" s="47">
        <f t="shared" si="153"/>
        <v>193428</v>
      </c>
      <c r="K838" s="47">
        <f t="shared" si="153"/>
        <v>151816</v>
      </c>
      <c r="L838" s="47">
        <f t="shared" si="153"/>
        <v>129194</v>
      </c>
      <c r="M838" s="47">
        <f t="shared" si="153"/>
        <v>474438</v>
      </c>
      <c r="N838" s="47">
        <f t="shared" si="153"/>
        <v>88804</v>
      </c>
      <c r="O838" s="47">
        <f t="shared" si="153"/>
        <v>57369</v>
      </c>
      <c r="P838" s="47">
        <f t="shared" si="153"/>
        <v>61730</v>
      </c>
      <c r="Q838" s="47">
        <f t="shared" si="153"/>
        <v>207903</v>
      </c>
      <c r="R838" s="345">
        <f t="shared" si="153"/>
        <v>1430910</v>
      </c>
      <c r="AC838" s="551"/>
      <c r="AD838" s="70" t="s">
        <v>284</v>
      </c>
      <c r="AE838" s="70" t="s">
        <v>2379</v>
      </c>
      <c r="AF838" s="70" t="s">
        <v>844</v>
      </c>
      <c r="AG838" s="70" t="s">
        <v>844</v>
      </c>
      <c r="AH838" s="70" t="s">
        <v>845</v>
      </c>
      <c r="AI838" s="214" t="s">
        <v>955</v>
      </c>
      <c r="AJ838" s="70" t="s">
        <v>275</v>
      </c>
      <c r="AK838" s="70" t="s">
        <v>276</v>
      </c>
      <c r="AL838" s="70" t="s">
        <v>1554</v>
      </c>
      <c r="AM838" s="67" t="s">
        <v>2435</v>
      </c>
      <c r="AN838" s="70" t="s">
        <v>1555</v>
      </c>
      <c r="AO838" s="70" t="s">
        <v>955</v>
      </c>
      <c r="AP838" s="70" t="s">
        <v>1194</v>
      </c>
      <c r="AQ838" s="67"/>
      <c r="AR838" s="67"/>
      <c r="AS838" s="67"/>
      <c r="AT838" s="552"/>
    </row>
    <row r="839" spans="1:46" ht="15.75" hidden="1" customHeight="1" x14ac:dyDescent="0.35">
      <c r="A839" s="201"/>
      <c r="B839" s="286"/>
      <c r="C839" s="286"/>
      <c r="D839" s="286"/>
      <c r="E839" s="286"/>
      <c r="F839" s="286"/>
      <c r="G839" s="286"/>
      <c r="H839" s="544" t="s">
        <v>2538</v>
      </c>
      <c r="I839" s="286"/>
      <c r="J839" s="286"/>
      <c r="K839" s="286"/>
      <c r="L839" s="286"/>
      <c r="M839" s="286"/>
      <c r="N839" s="286"/>
      <c r="O839" s="286"/>
      <c r="P839" s="286"/>
      <c r="Q839" s="286"/>
      <c r="R839" s="286"/>
      <c r="AC839" s="551"/>
      <c r="AD839" s="70" t="s">
        <v>1193</v>
      </c>
      <c r="AE839" s="70" t="s">
        <v>956</v>
      </c>
      <c r="AF839" s="70" t="s">
        <v>333</v>
      </c>
      <c r="AG839" s="70" t="s">
        <v>334</v>
      </c>
      <c r="AH839" s="70" t="s">
        <v>335</v>
      </c>
      <c r="AI839" s="70" t="s">
        <v>335</v>
      </c>
      <c r="AJ839" s="70" t="s">
        <v>335</v>
      </c>
      <c r="AK839" s="70" t="s">
        <v>335</v>
      </c>
      <c r="AL839" s="70" t="s">
        <v>1486</v>
      </c>
      <c r="AM839" s="67" t="s">
        <v>2435</v>
      </c>
      <c r="AN839" s="70" t="s">
        <v>1487</v>
      </c>
      <c r="AO839" s="70" t="s">
        <v>929</v>
      </c>
      <c r="AP839" s="70" t="s">
        <v>929</v>
      </c>
      <c r="AQ839" s="67"/>
      <c r="AR839" s="67"/>
      <c r="AS839" s="67"/>
      <c r="AT839" s="552"/>
    </row>
    <row r="840" spans="1:46" ht="15.75" customHeight="1" x14ac:dyDescent="0.35">
      <c r="A840" s="201"/>
      <c r="B840" s="286"/>
      <c r="C840" s="286"/>
      <c r="D840" s="286"/>
      <c r="E840" s="286"/>
      <c r="F840" s="286"/>
      <c r="G840" s="286"/>
      <c r="H840" s="544"/>
      <c r="I840" s="286"/>
      <c r="J840" s="286"/>
      <c r="K840" s="286"/>
      <c r="L840" s="286"/>
      <c r="M840" s="286"/>
      <c r="N840" s="286"/>
      <c r="O840" s="286"/>
      <c r="P840" s="286"/>
      <c r="Q840" s="286"/>
      <c r="R840" s="286"/>
      <c r="AC840" s="551"/>
      <c r="AD840" s="70" t="s">
        <v>930</v>
      </c>
      <c r="AE840" s="70" t="s">
        <v>931</v>
      </c>
      <c r="AF840" s="70" t="s">
        <v>932</v>
      </c>
      <c r="AG840" s="70" t="s">
        <v>932</v>
      </c>
      <c r="AH840" s="70" t="s">
        <v>932</v>
      </c>
      <c r="AI840" s="70" t="s">
        <v>932</v>
      </c>
      <c r="AJ840" s="70" t="s">
        <v>932</v>
      </c>
      <c r="AK840" s="70" t="s">
        <v>932</v>
      </c>
      <c r="AL840" s="70" t="s">
        <v>932</v>
      </c>
      <c r="AM840" s="67" t="s">
        <v>2435</v>
      </c>
      <c r="AN840" s="70" t="s">
        <v>946</v>
      </c>
      <c r="AO840" s="70" t="s">
        <v>946</v>
      </c>
      <c r="AP840" s="70" t="s">
        <v>946</v>
      </c>
      <c r="AQ840" s="67"/>
      <c r="AR840" s="67"/>
      <c r="AS840" s="67"/>
      <c r="AT840" s="552"/>
    </row>
    <row r="841" spans="1:46" ht="15.75" customHeight="1" thickBot="1" x14ac:dyDescent="0.4">
      <c r="A841" s="201"/>
      <c r="B841" s="286"/>
      <c r="C841" s="286"/>
      <c r="D841" s="286"/>
      <c r="E841" s="286"/>
      <c r="F841" s="286"/>
      <c r="G841" s="286"/>
      <c r="H841" s="544"/>
      <c r="I841" s="286"/>
      <c r="J841" s="286"/>
      <c r="K841" s="286"/>
      <c r="L841" s="286"/>
      <c r="M841" s="286"/>
      <c r="N841" s="286"/>
      <c r="O841" s="286"/>
      <c r="P841" s="286"/>
      <c r="Q841" s="286"/>
      <c r="R841" s="286"/>
      <c r="AC841" s="551"/>
      <c r="AD841" s="67" t="s">
        <v>1353</v>
      </c>
      <c r="AE841" s="67" t="s">
        <v>1353</v>
      </c>
      <c r="AF841" s="67" t="s">
        <v>1353</v>
      </c>
      <c r="AG841" s="67" t="s">
        <v>1353</v>
      </c>
      <c r="AH841" s="67" t="s">
        <v>1353</v>
      </c>
      <c r="AI841" s="67" t="s">
        <v>1353</v>
      </c>
      <c r="AJ841" s="67" t="s">
        <v>1353</v>
      </c>
      <c r="AK841" s="67" t="s">
        <v>1353</v>
      </c>
      <c r="AL841" s="67" t="s">
        <v>1353</v>
      </c>
      <c r="AM841" s="67" t="s">
        <v>2435</v>
      </c>
      <c r="AN841" s="67" t="s">
        <v>1353</v>
      </c>
      <c r="AO841" s="67" t="s">
        <v>1353</v>
      </c>
      <c r="AP841" s="67" t="s">
        <v>1353</v>
      </c>
      <c r="AQ841" s="67"/>
      <c r="AR841" s="67"/>
      <c r="AS841" s="67"/>
      <c r="AT841" s="552"/>
    </row>
    <row r="842" spans="1:46" ht="15.75" customHeight="1" x14ac:dyDescent="0.3">
      <c r="A842" s="651"/>
      <c r="B842" s="782" t="s">
        <v>864</v>
      </c>
      <c r="C842" s="782"/>
      <c r="D842" s="782"/>
      <c r="E842" s="782"/>
      <c r="F842" s="782"/>
      <c r="G842" s="782"/>
      <c r="H842" s="782"/>
      <c r="I842" s="782"/>
      <c r="J842" s="782"/>
      <c r="K842" s="782"/>
      <c r="L842" s="782"/>
      <c r="M842" s="782"/>
      <c r="N842" s="782"/>
      <c r="O842" s="782"/>
      <c r="P842" s="782"/>
      <c r="Q842" s="678" t="str">
        <f>+Q1</f>
        <v xml:space="preserve">PRINTED:  </v>
      </c>
      <c r="R842" s="679">
        <f ca="1">+R1</f>
        <v>44881.729634027775</v>
      </c>
      <c r="AC842" s="553" t="s">
        <v>1354</v>
      </c>
      <c r="AD842" s="67">
        <f t="shared" ref="AD842:AD853" si="154">(F851)</f>
        <v>108452</v>
      </c>
      <c r="AE842" s="67">
        <f t="shared" ref="AE842:AE853" si="155">SUM($B$906:$E$906)+(T851-1526.8)/0.7702</f>
        <v>1640.619579330044</v>
      </c>
      <c r="AF842" s="67">
        <f>(AD842*AE842/1000)</f>
        <v>177928.47461750192</v>
      </c>
      <c r="AG842" s="67">
        <f t="shared" ref="AG842:AG853" si="156">(((B851-F851)*B$906)+((C851-F851)*C$906)+((D851-F851)*D$906)+((E851-F851)*E$906))/1000</f>
        <v>62233.591999999997</v>
      </c>
      <c r="AH842" s="67">
        <f>(AF842+AG842)</f>
        <v>240162.06661750193</v>
      </c>
      <c r="AI842" s="67">
        <f t="shared" ref="AI842:AI853" si="157">SUM(H908:Q908)</f>
        <v>15712</v>
      </c>
      <c r="AJ842" s="67">
        <f>+AH842+AI842</f>
        <v>255874.06661750193</v>
      </c>
      <c r="AK842" s="67">
        <f t="shared" ref="AK842:AK849" si="158">(G936)</f>
        <v>0</v>
      </c>
      <c r="AL842" s="67">
        <f t="shared" ref="AL842:AL853" si="159">(AJ842-AK842)</f>
        <v>255874.06661750193</v>
      </c>
      <c r="AM842" s="67" t="s">
        <v>2435</v>
      </c>
      <c r="AN842" s="67">
        <f>+B851/31/1.98</f>
        <v>2481.8996415770607</v>
      </c>
      <c r="AO842" s="67">
        <f>(AD842*43560/31/24/3600)</f>
        <v>1763.8026881720427</v>
      </c>
      <c r="AP842" s="67">
        <f>+B303</f>
        <v>0</v>
      </c>
      <c r="AQ842" s="67"/>
      <c r="AR842" s="67"/>
      <c r="AS842" s="67"/>
      <c r="AT842" s="552"/>
    </row>
    <row r="843" spans="1:46" ht="15.75" customHeight="1" x14ac:dyDescent="0.3">
      <c r="A843" s="553"/>
      <c r="B843" s="786" t="str">
        <f>+A8</f>
        <v>Revised:  2/23/2017</v>
      </c>
      <c r="C843" s="786"/>
      <c r="D843" s="786"/>
      <c r="E843" s="786"/>
      <c r="F843" s="786"/>
      <c r="G843" s="786"/>
      <c r="H843" s="786"/>
      <c r="I843" s="786"/>
      <c r="J843" s="786"/>
      <c r="K843" s="786"/>
      <c r="L843" s="786"/>
      <c r="M843" s="786"/>
      <c r="N843" s="786"/>
      <c r="O843" s="786"/>
      <c r="P843" s="786"/>
      <c r="Q843" s="67"/>
      <c r="R843" s="552"/>
      <c r="AC843" s="553" t="s">
        <v>706</v>
      </c>
      <c r="AD843" s="67">
        <f t="shared" si="154"/>
        <v>32889</v>
      </c>
      <c r="AE843" s="67">
        <f t="shared" si="155"/>
        <v>1641.3206959231368</v>
      </c>
      <c r="AF843" s="67">
        <f>(AD843*AE843/1000)</f>
        <v>53981.396368216047</v>
      </c>
      <c r="AG843" s="67">
        <f t="shared" si="156"/>
        <v>114779.141</v>
      </c>
      <c r="AH843" s="67">
        <f t="shared" ref="AH843:AH853" si="160">(AF843+AG843)</f>
        <v>168760.53736821606</v>
      </c>
      <c r="AI843" s="67">
        <f t="shared" si="157"/>
        <v>25288</v>
      </c>
      <c r="AJ843" s="67">
        <f t="shared" ref="AJ843:AJ853" si="161">+AH843+AI843</f>
        <v>194048.53736821606</v>
      </c>
      <c r="AK843" s="67">
        <f t="shared" si="158"/>
        <v>0</v>
      </c>
      <c r="AL843" s="67">
        <f t="shared" si="159"/>
        <v>194048.53736821606</v>
      </c>
      <c r="AM843" s="67" t="s">
        <v>2435</v>
      </c>
      <c r="AN843" s="67">
        <f>+B852/28/1.98</f>
        <v>2055.3932178932178</v>
      </c>
      <c r="AO843" s="67">
        <f>(AD843*43560/29/24/3600)</f>
        <v>571.77715517241381</v>
      </c>
      <c r="AP843" s="67">
        <f>+C303</f>
        <v>0</v>
      </c>
      <c r="AQ843" s="67"/>
      <c r="AR843" s="67"/>
      <c r="AS843" s="67"/>
      <c r="AT843" s="552"/>
    </row>
    <row r="844" spans="1:46" ht="15.75" customHeight="1" x14ac:dyDescent="0.3">
      <c r="A844" s="553"/>
      <c r="B844" s="786" t="s">
        <v>2878</v>
      </c>
      <c r="C844" s="786"/>
      <c r="D844" s="786"/>
      <c r="E844" s="786"/>
      <c r="F844" s="786"/>
      <c r="G844" s="786"/>
      <c r="H844" s="786"/>
      <c r="I844" s="786"/>
      <c r="J844" s="786"/>
      <c r="K844" s="786"/>
      <c r="L844" s="786"/>
      <c r="M844" s="786"/>
      <c r="N844" s="786"/>
      <c r="O844" s="786"/>
      <c r="P844" s="786"/>
      <c r="Q844" s="67"/>
      <c r="R844" s="552"/>
      <c r="AC844" s="553" t="s">
        <v>707</v>
      </c>
      <c r="AD844" s="67">
        <f t="shared" si="154"/>
        <v>4539</v>
      </c>
      <c r="AE844" s="67">
        <f t="shared" si="155"/>
        <v>1648.5525874397988</v>
      </c>
      <c r="AF844" s="67">
        <f t="shared" ref="AF844:AF853" si="162">(AD844*AE844/1000)</f>
        <v>7482.7801943892464</v>
      </c>
      <c r="AG844" s="67">
        <f t="shared" si="156"/>
        <v>166724.97899999999</v>
      </c>
      <c r="AH844" s="67">
        <f t="shared" si="160"/>
        <v>174207.75919438925</v>
      </c>
      <c r="AI844" s="67">
        <f t="shared" si="157"/>
        <v>37484</v>
      </c>
      <c r="AJ844" s="67">
        <f t="shared" si="161"/>
        <v>211691.75919438925</v>
      </c>
      <c r="AK844" s="67">
        <f t="shared" si="158"/>
        <v>1690.4473849091805</v>
      </c>
      <c r="AL844" s="67">
        <f t="shared" si="159"/>
        <v>210001.31180948007</v>
      </c>
      <c r="AM844" s="67" t="s">
        <v>2435</v>
      </c>
      <c r="AN844" s="67">
        <f>+B853/31/1.98</f>
        <v>1995.0798305637018</v>
      </c>
      <c r="AO844" s="67">
        <f>(AD844*43560/31/24/3600)</f>
        <v>73.819758064516122</v>
      </c>
      <c r="AP844" s="67">
        <f>+D303</f>
        <v>-170.8229629268134</v>
      </c>
      <c r="AQ844" s="67"/>
      <c r="AR844" s="67"/>
      <c r="AS844" s="67"/>
      <c r="AT844" s="552"/>
    </row>
    <row r="845" spans="1:46" ht="15.75" customHeight="1" x14ac:dyDescent="0.3">
      <c r="A845" s="553"/>
      <c r="B845" s="786"/>
      <c r="C845" s="786"/>
      <c r="D845" s="786"/>
      <c r="E845" s="786"/>
      <c r="F845" s="786"/>
      <c r="G845" s="786"/>
      <c r="H845" s="786"/>
      <c r="I845" s="786"/>
      <c r="J845" s="786"/>
      <c r="K845" s="786"/>
      <c r="L845" s="786"/>
      <c r="M845" s="786"/>
      <c r="N845" s="786"/>
      <c r="O845" s="786"/>
      <c r="P845" s="786"/>
      <c r="Q845" s="67"/>
      <c r="R845" s="552"/>
      <c r="AC845" s="553" t="s">
        <v>1321</v>
      </c>
      <c r="AD845" s="67">
        <f t="shared" si="154"/>
        <v>28044</v>
      </c>
      <c r="AE845" s="67">
        <f t="shared" si="155"/>
        <v>1648.6824201506106</v>
      </c>
      <c r="AF845" s="67">
        <f t="shared" si="162"/>
        <v>46235.649790703719</v>
      </c>
      <c r="AG845" s="67">
        <f t="shared" si="156"/>
        <v>196475.49</v>
      </c>
      <c r="AH845" s="67">
        <f t="shared" si="160"/>
        <v>242711.13979070372</v>
      </c>
      <c r="AI845" s="67">
        <f t="shared" si="157"/>
        <v>43952</v>
      </c>
      <c r="AJ845" s="67">
        <f t="shared" si="161"/>
        <v>286663.13979070372</v>
      </c>
      <c r="AK845" s="67">
        <f t="shared" si="158"/>
        <v>0</v>
      </c>
      <c r="AL845" s="67">
        <f t="shared" si="159"/>
        <v>286663.13979070372</v>
      </c>
      <c r="AM845" s="67" t="s">
        <v>2435</v>
      </c>
      <c r="AN845" s="67">
        <f>+B854/30/1.98</f>
        <v>2812.3569023569021</v>
      </c>
      <c r="AO845" s="67">
        <f>(AD845*43560/30/24/3600)</f>
        <v>471.29500000000002</v>
      </c>
      <c r="AP845" s="67">
        <f>+F303</f>
        <v>0</v>
      </c>
      <c r="AQ845" s="67"/>
      <c r="AR845" s="67"/>
      <c r="AS845" s="67"/>
      <c r="AT845" s="552"/>
    </row>
    <row r="846" spans="1:46" ht="15.75" customHeight="1" x14ac:dyDescent="0.3">
      <c r="A846" s="553"/>
      <c r="B846" s="787">
        <f>+A5</f>
        <v>2016</v>
      </c>
      <c r="C846" s="787"/>
      <c r="D846" s="787"/>
      <c r="E846" s="787"/>
      <c r="F846" s="787"/>
      <c r="G846" s="787"/>
      <c r="H846" s="787"/>
      <c r="I846" s="787"/>
      <c r="J846" s="787"/>
      <c r="K846" s="787"/>
      <c r="L846" s="787"/>
      <c r="M846" s="787"/>
      <c r="N846" s="787"/>
      <c r="O846" s="787"/>
      <c r="P846" s="787"/>
      <c r="Q846" s="67"/>
      <c r="R846" s="552"/>
      <c r="AC846" s="553" t="s">
        <v>1905</v>
      </c>
      <c r="AD846" s="67">
        <f t="shared" si="154"/>
        <v>12390</v>
      </c>
      <c r="AE846" s="67">
        <f t="shared" si="155"/>
        <v>1646.1506102311087</v>
      </c>
      <c r="AF846" s="67">
        <f t="shared" si="162"/>
        <v>20395.806060763436</v>
      </c>
      <c r="AG846" s="67">
        <f t="shared" si="156"/>
        <v>234386.677</v>
      </c>
      <c r="AH846" s="67">
        <f t="shared" si="160"/>
        <v>254782.48306076342</v>
      </c>
      <c r="AI846" s="67">
        <f t="shared" si="157"/>
        <v>43602</v>
      </c>
      <c r="AJ846" s="67">
        <f t="shared" si="161"/>
        <v>298384.48306076345</v>
      </c>
      <c r="AK846" s="67">
        <f t="shared" si="158"/>
        <v>0</v>
      </c>
      <c r="AL846" s="67">
        <f t="shared" si="159"/>
        <v>298384.48306076345</v>
      </c>
      <c r="AM846" s="67" t="s">
        <v>2435</v>
      </c>
      <c r="AN846" s="67">
        <f>+B855/31/1.98</f>
        <v>2901.9550342130988</v>
      </c>
      <c r="AO846" s="67">
        <f>(AD846*43560/31/24/3600)</f>
        <v>201.50403225806451</v>
      </c>
      <c r="AP846" s="67">
        <f>+G303</f>
        <v>0</v>
      </c>
      <c r="AQ846" s="67"/>
      <c r="AR846" s="67"/>
      <c r="AS846" s="67"/>
      <c r="AT846" s="552"/>
    </row>
    <row r="847" spans="1:46" ht="15.75" customHeight="1" x14ac:dyDescent="0.3">
      <c r="A847" s="553"/>
      <c r="B847" s="786" t="s">
        <v>2918</v>
      </c>
      <c r="C847" s="786"/>
      <c r="D847" s="786"/>
      <c r="E847" s="786"/>
      <c r="F847" s="786"/>
      <c r="G847" s="786"/>
      <c r="H847" s="786"/>
      <c r="I847" s="786"/>
      <c r="J847" s="786"/>
      <c r="K847" s="786"/>
      <c r="L847" s="786"/>
      <c r="M847" s="786"/>
      <c r="N847" s="786"/>
      <c r="O847" s="786"/>
      <c r="P847" s="786"/>
      <c r="Q847" s="67"/>
      <c r="R847" s="552"/>
      <c r="AC847" s="553" t="s">
        <v>1906</v>
      </c>
      <c r="AD847" s="67">
        <f t="shared" si="154"/>
        <v>0</v>
      </c>
      <c r="AE847" s="67">
        <f t="shared" si="155"/>
        <v>1632.5437548688653</v>
      </c>
      <c r="AF847" s="67">
        <f t="shared" si="162"/>
        <v>0</v>
      </c>
      <c r="AG847" s="67">
        <f t="shared" si="156"/>
        <v>128546.56</v>
      </c>
      <c r="AH847" s="67">
        <f t="shared" si="160"/>
        <v>128546.56</v>
      </c>
      <c r="AI847" s="67">
        <f t="shared" si="157"/>
        <v>48477</v>
      </c>
      <c r="AJ847" s="67">
        <f t="shared" si="161"/>
        <v>177023.56</v>
      </c>
      <c r="AK847" s="67">
        <f t="shared" si="158"/>
        <v>16044.22764129616</v>
      </c>
      <c r="AL847" s="67">
        <f t="shared" si="159"/>
        <v>160979.33235870383</v>
      </c>
      <c r="AM847" s="67" t="s">
        <v>2435</v>
      </c>
      <c r="AN847" s="67">
        <f>+B856/30/1.98</f>
        <v>1542.6936026936028</v>
      </c>
      <c r="AO847" s="67">
        <f t="shared" ref="AO847:AO852" si="163">(AD847*43560/30/24/3600)</f>
        <v>0</v>
      </c>
      <c r="AP847" s="67">
        <f>+H303</f>
        <v>-1893.9821818793075</v>
      </c>
      <c r="AQ847" s="67"/>
      <c r="AR847" s="67"/>
      <c r="AS847" s="67"/>
      <c r="AT847" s="552"/>
    </row>
    <row r="848" spans="1:46" ht="15.75" customHeight="1" x14ac:dyDescent="0.3">
      <c r="A848" s="553"/>
      <c r="B848" s="67"/>
      <c r="C848" s="67"/>
      <c r="D848" s="67"/>
      <c r="E848" s="67"/>
      <c r="F848" s="67"/>
      <c r="G848" s="67"/>
      <c r="H848" s="67"/>
      <c r="I848" s="67"/>
      <c r="J848" s="67"/>
      <c r="K848" s="67"/>
      <c r="L848" s="67"/>
      <c r="M848" s="67"/>
      <c r="N848" s="67"/>
      <c r="O848" s="67"/>
      <c r="P848" s="67"/>
      <c r="Q848" s="67"/>
      <c r="R848" s="552"/>
      <c r="AC848" s="553" t="s">
        <v>1907</v>
      </c>
      <c r="AD848" s="67">
        <f t="shared" si="154"/>
        <v>0</v>
      </c>
      <c r="AE848" s="67">
        <f t="shared" si="155"/>
        <v>1613.7694105427163</v>
      </c>
      <c r="AF848" s="67">
        <f t="shared" si="162"/>
        <v>0</v>
      </c>
      <c r="AG848" s="67">
        <f t="shared" si="156"/>
        <v>108187.348</v>
      </c>
      <c r="AH848" s="67">
        <f t="shared" si="160"/>
        <v>108187.348</v>
      </c>
      <c r="AI848" s="67">
        <f t="shared" si="157"/>
        <v>47881</v>
      </c>
      <c r="AJ848" s="67">
        <f t="shared" si="161"/>
        <v>156068.348</v>
      </c>
      <c r="AK848" s="67">
        <f t="shared" si="158"/>
        <v>14465.951680482289</v>
      </c>
      <c r="AL848" s="67">
        <f t="shared" si="159"/>
        <v>141602.39631951772</v>
      </c>
      <c r="AM848" s="67" t="s">
        <v>2435</v>
      </c>
      <c r="AN848" s="67">
        <f>+B857/31/1.98</f>
        <v>1261.3717823395243</v>
      </c>
      <c r="AO848" s="67">
        <f t="shared" si="163"/>
        <v>0</v>
      </c>
      <c r="AP848" s="67">
        <f>+J303</f>
        <v>-1951.2143542693541</v>
      </c>
      <c r="AQ848" s="67"/>
      <c r="AR848" s="67"/>
      <c r="AS848" s="67"/>
      <c r="AT848" s="552"/>
    </row>
    <row r="849" spans="1:46" ht="15.75" customHeight="1" thickBot="1" x14ac:dyDescent="0.35">
      <c r="A849" s="553" t="s">
        <v>845</v>
      </c>
      <c r="B849" s="634" t="s">
        <v>1308</v>
      </c>
      <c r="C849" s="634" t="s">
        <v>1309</v>
      </c>
      <c r="D849" s="634" t="s">
        <v>1029</v>
      </c>
      <c r="E849" s="634" t="s">
        <v>1030</v>
      </c>
      <c r="F849" s="634" t="s">
        <v>284</v>
      </c>
      <c r="G849" s="634" t="s">
        <v>284</v>
      </c>
      <c r="H849" s="634" t="s">
        <v>285</v>
      </c>
      <c r="I849" s="634" t="s">
        <v>286</v>
      </c>
      <c r="J849" s="634" t="s">
        <v>287</v>
      </c>
      <c r="K849" s="634" t="s">
        <v>288</v>
      </c>
      <c r="L849" s="634" t="s">
        <v>289</v>
      </c>
      <c r="M849" s="634" t="s">
        <v>633</v>
      </c>
      <c r="N849" s="634" t="s">
        <v>634</v>
      </c>
      <c r="O849" s="634" t="s">
        <v>1192</v>
      </c>
      <c r="P849" s="634" t="s">
        <v>524</v>
      </c>
      <c r="Q849" s="634" t="s">
        <v>525</v>
      </c>
      <c r="R849" s="552"/>
      <c r="T849" s="350" t="s">
        <v>2756</v>
      </c>
      <c r="AC849" s="553" t="s">
        <v>1908</v>
      </c>
      <c r="AD849" s="67">
        <f t="shared" si="154"/>
        <v>0</v>
      </c>
      <c r="AE849" s="67">
        <f t="shared" si="155"/>
        <v>1591.281686719662</v>
      </c>
      <c r="AF849" s="67">
        <f t="shared" si="162"/>
        <v>0</v>
      </c>
      <c r="AG849" s="67">
        <f t="shared" si="156"/>
        <v>94631.452000000005</v>
      </c>
      <c r="AH849" s="67">
        <f t="shared" si="160"/>
        <v>94631.452000000005</v>
      </c>
      <c r="AI849" s="67">
        <f t="shared" si="157"/>
        <v>38983</v>
      </c>
      <c r="AJ849" s="67">
        <f t="shared" si="161"/>
        <v>133614.45199999999</v>
      </c>
      <c r="AK849" s="67">
        <f t="shared" si="158"/>
        <v>8290.9468902202389</v>
      </c>
      <c r="AL849" s="67">
        <f t="shared" si="159"/>
        <v>125323.50510977976</v>
      </c>
      <c r="AM849" s="67" t="s">
        <v>2435</v>
      </c>
      <c r="AN849" s="67">
        <f>+B858/31/1.98</f>
        <v>1102.8185076572172</v>
      </c>
      <c r="AO849" s="67">
        <f t="shared" si="163"/>
        <v>0</v>
      </c>
      <c r="AP849" s="67">
        <f>+K303</f>
        <v>-1427.2282140126558</v>
      </c>
      <c r="AQ849" s="67"/>
      <c r="AR849" s="67"/>
      <c r="AS849" s="67"/>
      <c r="AT849" s="552"/>
    </row>
    <row r="850" spans="1:46" ht="15.75" customHeight="1" x14ac:dyDescent="0.3">
      <c r="A850" s="553"/>
      <c r="B850" s="67"/>
      <c r="C850" s="67"/>
      <c r="D850" s="67"/>
      <c r="E850" s="67"/>
      <c r="F850" s="70" t="s">
        <v>1193</v>
      </c>
      <c r="G850" s="70" t="s">
        <v>1194</v>
      </c>
      <c r="H850" s="67"/>
      <c r="I850" s="67"/>
      <c r="J850" s="67"/>
      <c r="K850" s="67"/>
      <c r="L850" s="67"/>
      <c r="M850" s="67"/>
      <c r="N850" s="67"/>
      <c r="O850" s="67"/>
      <c r="P850" s="67"/>
      <c r="Q850" s="67"/>
      <c r="R850" s="552"/>
      <c r="AC850" s="553" t="s">
        <v>2352</v>
      </c>
      <c r="AD850" s="67">
        <f t="shared" si="154"/>
        <v>19406</v>
      </c>
      <c r="AE850" s="67">
        <f t="shared" si="155"/>
        <v>1596.3323736446584</v>
      </c>
      <c r="AF850" s="67">
        <f t="shared" si="162"/>
        <v>30978.426042948242</v>
      </c>
      <c r="AG850" s="67">
        <f t="shared" si="156"/>
        <v>158349.16899999999</v>
      </c>
      <c r="AH850" s="67">
        <f t="shared" si="160"/>
        <v>189327.59504294823</v>
      </c>
      <c r="AI850" s="67">
        <f t="shared" si="157"/>
        <v>38255</v>
      </c>
      <c r="AJ850" s="67">
        <f t="shared" si="161"/>
        <v>227582.59504294823</v>
      </c>
      <c r="AK850" s="67">
        <v>0</v>
      </c>
      <c r="AL850" s="67">
        <f t="shared" si="159"/>
        <v>227582.59504294823</v>
      </c>
      <c r="AM850" s="67" t="s">
        <v>2435</v>
      </c>
      <c r="AN850" s="67">
        <f>+B859/30/1.98</f>
        <v>2209.5454545454545</v>
      </c>
      <c r="AO850" s="67">
        <f t="shared" si="163"/>
        <v>326.12861111111113</v>
      </c>
      <c r="AP850" s="67">
        <f>+L303</f>
        <v>-378.14758782988736</v>
      </c>
      <c r="AQ850" s="67"/>
      <c r="AR850" s="67"/>
      <c r="AS850" s="67"/>
      <c r="AT850" s="552"/>
    </row>
    <row r="851" spans="1:46" ht="15.75" customHeight="1" x14ac:dyDescent="0.3">
      <c r="A851" s="139" t="s">
        <v>2843</v>
      </c>
      <c r="B851" s="67">
        <f>+B29</f>
        <v>152339</v>
      </c>
      <c r="C851" s="67">
        <f>+B64</f>
        <v>152242</v>
      </c>
      <c r="D851" s="67">
        <f>+B130</f>
        <v>152146</v>
      </c>
      <c r="E851" s="67">
        <f>+B293</f>
        <v>150911</v>
      </c>
      <c r="F851" s="67">
        <f>+B288</f>
        <v>108452</v>
      </c>
      <c r="G851" s="67">
        <f>+B300</f>
        <v>0</v>
      </c>
      <c r="H851" s="67">
        <f>+B443</f>
        <v>23810</v>
      </c>
      <c r="I851" s="67">
        <f>+B490</f>
        <v>9084</v>
      </c>
      <c r="J851" s="67">
        <f>+B534</f>
        <v>9063</v>
      </c>
      <c r="K851" s="67">
        <f>+B589</f>
        <v>8964</v>
      </c>
      <c r="L851" s="67">
        <f>+B599</f>
        <v>7801</v>
      </c>
      <c r="M851" s="67">
        <f>+B635</f>
        <v>7781</v>
      </c>
      <c r="N851" s="67">
        <f>+B682</f>
        <v>7671</v>
      </c>
      <c r="O851" s="67">
        <f>+B692</f>
        <v>3880</v>
      </c>
      <c r="P851" s="67">
        <f>+B726</f>
        <v>3688</v>
      </c>
      <c r="Q851" s="67">
        <f>+B774</f>
        <v>3878</v>
      </c>
      <c r="R851" s="552"/>
      <c r="T851" s="619">
        <f>'Lake Pleasant Forecast'!B35</f>
        <v>1692.1</v>
      </c>
      <c r="AC851" s="553" t="s">
        <v>2353</v>
      </c>
      <c r="AD851" s="67">
        <f t="shared" si="154"/>
        <v>40011</v>
      </c>
      <c r="AE851" s="67">
        <f t="shared" si="155"/>
        <v>1606.3687353934044</v>
      </c>
      <c r="AF851" s="67">
        <f t="shared" si="162"/>
        <v>64272.419471825502</v>
      </c>
      <c r="AG851" s="67">
        <f t="shared" si="156"/>
        <v>132422.114</v>
      </c>
      <c r="AH851" s="67">
        <f t="shared" si="160"/>
        <v>196694.5334718255</v>
      </c>
      <c r="AI851" s="67">
        <f t="shared" si="157"/>
        <v>14927</v>
      </c>
      <c r="AJ851" s="67">
        <f t="shared" si="161"/>
        <v>211621.5334718255</v>
      </c>
      <c r="AK851" s="67">
        <v>0</v>
      </c>
      <c r="AL851" s="67">
        <f t="shared" si="159"/>
        <v>211621.5334718255</v>
      </c>
      <c r="AM851" s="67" t="s">
        <v>2435</v>
      </c>
      <c r="AN851" s="67">
        <f>+B860/31/1.98</f>
        <v>2173.9491691104595</v>
      </c>
      <c r="AO851" s="67">
        <f t="shared" si="163"/>
        <v>672.40708333333339</v>
      </c>
      <c r="AP851" s="67">
        <f>+N303</f>
        <v>-18.951409561921491</v>
      </c>
      <c r="AQ851" s="67"/>
      <c r="AR851" s="67"/>
      <c r="AS851" s="67"/>
      <c r="AT851" s="552"/>
    </row>
    <row r="852" spans="1:46" ht="15.75" customHeight="1" x14ac:dyDescent="0.3">
      <c r="A852" s="139" t="s">
        <v>2091</v>
      </c>
      <c r="B852" s="67">
        <f>+C29</f>
        <v>113951</v>
      </c>
      <c r="C852" s="67">
        <f>+C64</f>
        <v>113803</v>
      </c>
      <c r="D852" s="67">
        <f>+C130</f>
        <v>113658</v>
      </c>
      <c r="E852" s="67">
        <f>+C293</f>
        <v>110482</v>
      </c>
      <c r="F852" s="67">
        <f>+C288</f>
        <v>32889</v>
      </c>
      <c r="G852" s="67">
        <f>+C300</f>
        <v>0</v>
      </c>
      <c r="H852" s="67">
        <f>+C443</f>
        <v>57969</v>
      </c>
      <c r="I852" s="67">
        <f>+C490</f>
        <v>18052</v>
      </c>
      <c r="J852" s="67">
        <f>+C534</f>
        <v>17663</v>
      </c>
      <c r="K852" s="67">
        <f>+C589</f>
        <v>16067</v>
      </c>
      <c r="L852" s="67">
        <f>+C599</f>
        <v>11460</v>
      </c>
      <c r="M852" s="67">
        <f>+C635</f>
        <v>11438</v>
      </c>
      <c r="N852" s="67">
        <f>+C682</f>
        <v>10784</v>
      </c>
      <c r="O852" s="67">
        <f>+C692</f>
        <v>3015</v>
      </c>
      <c r="P852" s="67">
        <f>+C726</f>
        <v>3129</v>
      </c>
      <c r="Q852" s="67">
        <f>+C774</f>
        <v>3012</v>
      </c>
      <c r="R852" s="552"/>
      <c r="T852" s="619">
        <f>'Lake Pleasant Forecast'!B37</f>
        <v>1692.6399999999999</v>
      </c>
      <c r="AC852" s="553" t="s">
        <v>2354</v>
      </c>
      <c r="AD852" s="67">
        <f t="shared" si="154"/>
        <v>74729</v>
      </c>
      <c r="AE852" s="67">
        <f t="shared" si="155"/>
        <v>1615.8467930407687</v>
      </c>
      <c r="AF852" s="67">
        <f t="shared" si="162"/>
        <v>120750.61499714361</v>
      </c>
      <c r="AG852" s="67">
        <f t="shared" si="156"/>
        <v>90402.573999999993</v>
      </c>
      <c r="AH852" s="67">
        <f t="shared" si="160"/>
        <v>211153.18899714359</v>
      </c>
      <c r="AI852" s="67">
        <f t="shared" si="157"/>
        <v>14428</v>
      </c>
      <c r="AJ852" s="67">
        <f t="shared" si="161"/>
        <v>225581.18899714359</v>
      </c>
      <c r="AK852" s="67">
        <f>(G946)</f>
        <v>0</v>
      </c>
      <c r="AL852" s="67">
        <f t="shared" si="159"/>
        <v>225581.18899714359</v>
      </c>
      <c r="AM852" s="67" t="s">
        <v>2435</v>
      </c>
      <c r="AN852" s="67">
        <f>+B861/30/1.98</f>
        <v>2330.2020202020203</v>
      </c>
      <c r="AO852" s="67">
        <f t="shared" si="163"/>
        <v>1255.8623611111111</v>
      </c>
      <c r="AP852" s="67">
        <f>+O303</f>
        <v>0</v>
      </c>
      <c r="AQ852" s="67"/>
      <c r="AR852" s="67"/>
      <c r="AS852" s="67"/>
      <c r="AT852" s="552"/>
    </row>
    <row r="853" spans="1:46" ht="15.75" customHeight="1" x14ac:dyDescent="0.3">
      <c r="A853" s="139" t="s">
        <v>2234</v>
      </c>
      <c r="B853" s="67">
        <f>+D29</f>
        <v>122458</v>
      </c>
      <c r="C853" s="67">
        <f>+D64</f>
        <v>122184</v>
      </c>
      <c r="D853" s="67">
        <f>+D130</f>
        <v>121923</v>
      </c>
      <c r="E853" s="67">
        <f>+D293</f>
        <v>116405</v>
      </c>
      <c r="F853" s="67">
        <f>+D288</f>
        <v>4539</v>
      </c>
      <c r="G853" s="67">
        <f>+D300</f>
        <v>-10501</v>
      </c>
      <c r="H853" s="67">
        <f>+D443</f>
        <v>89418</v>
      </c>
      <c r="I853" s="67">
        <f>+D490</f>
        <v>31641</v>
      </c>
      <c r="J853" s="67">
        <f>+D534</f>
        <v>24605</v>
      </c>
      <c r="K853" s="67">
        <f>+D589</f>
        <v>22002</v>
      </c>
      <c r="L853" s="67">
        <f>+D599</f>
        <v>17487</v>
      </c>
      <c r="M853" s="67">
        <f>+D635</f>
        <v>17459</v>
      </c>
      <c r="N853" s="67">
        <f>+D682</f>
        <v>16667</v>
      </c>
      <c r="O853" s="67">
        <f>+D692</f>
        <v>3992</v>
      </c>
      <c r="P853" s="67">
        <f>+D726</f>
        <v>3962</v>
      </c>
      <c r="Q853" s="67">
        <f>+D774</f>
        <v>3987</v>
      </c>
      <c r="R853" s="552"/>
      <c r="T853" s="619">
        <f>'Lake Pleasant Forecast'!B39</f>
        <v>1698.210002846133</v>
      </c>
      <c r="AC853" s="553" t="s">
        <v>2355</v>
      </c>
      <c r="AD853" s="67">
        <f t="shared" si="154"/>
        <v>52389</v>
      </c>
      <c r="AE853" s="67">
        <f t="shared" si="155"/>
        <v>1624.8302000837896</v>
      </c>
      <c r="AF853" s="67">
        <f t="shared" si="162"/>
        <v>85123.22935218965</v>
      </c>
      <c r="AG853" s="67">
        <f t="shared" si="156"/>
        <v>91967.478000000003</v>
      </c>
      <c r="AH853" s="67">
        <f t="shared" si="160"/>
        <v>177090.70735218964</v>
      </c>
      <c r="AI853" s="67">
        <f t="shared" si="157"/>
        <v>23656</v>
      </c>
      <c r="AJ853" s="67">
        <f t="shared" si="161"/>
        <v>200746.70735218964</v>
      </c>
      <c r="AK853" s="67">
        <f>(G947)</f>
        <v>0</v>
      </c>
      <c r="AL853" s="67">
        <f t="shared" si="159"/>
        <v>200746.70735218964</v>
      </c>
      <c r="AM853" s="67" t="s">
        <v>2435</v>
      </c>
      <c r="AN853" s="67">
        <f>+B862/31/1.98</f>
        <v>1909.3027044639948</v>
      </c>
      <c r="AO853" s="67">
        <f>(AD853*43560/31/24/3600)</f>
        <v>852.02540322580649</v>
      </c>
      <c r="AP853" s="67">
        <f>+P303</f>
        <v>0</v>
      </c>
      <c r="AQ853" s="67"/>
      <c r="AR853" s="67"/>
      <c r="AS853" s="67"/>
      <c r="AT853" s="552"/>
    </row>
    <row r="854" spans="1:46" ht="15.75" customHeight="1" x14ac:dyDescent="0.3">
      <c r="A854" s="139" t="s">
        <v>2235</v>
      </c>
      <c r="B854" s="67">
        <f>+F29</f>
        <v>167054</v>
      </c>
      <c r="C854" s="67">
        <f>+F64</f>
        <v>166687</v>
      </c>
      <c r="D854" s="67">
        <f>+F130</f>
        <v>166337</v>
      </c>
      <c r="E854" s="67">
        <f>+F293</f>
        <v>159674</v>
      </c>
      <c r="F854" s="67">
        <f>+F288</f>
        <v>28044</v>
      </c>
      <c r="G854" s="67">
        <f>+F300</f>
        <v>0</v>
      </c>
      <c r="H854" s="67">
        <f>+F443</f>
        <v>103186</v>
      </c>
      <c r="I854" s="67">
        <f>+F490</f>
        <v>39342</v>
      </c>
      <c r="J854" s="67">
        <f>+F534</f>
        <v>30202</v>
      </c>
      <c r="K854" s="67">
        <f>+F589</f>
        <v>25240</v>
      </c>
      <c r="L854" s="67">
        <f>+F599</f>
        <v>21076</v>
      </c>
      <c r="M854" s="67">
        <f>+F635</f>
        <v>21039</v>
      </c>
      <c r="N854" s="67">
        <f>+F682</f>
        <v>20553</v>
      </c>
      <c r="O854" s="67">
        <f>+F692</f>
        <v>4167</v>
      </c>
      <c r="P854" s="67">
        <f>+F726</f>
        <v>3414</v>
      </c>
      <c r="Q854" s="67">
        <f>+F774</f>
        <v>4118</v>
      </c>
      <c r="R854" s="552"/>
      <c r="T854" s="619">
        <f>'Lake Pleasant Forecast'!B41</f>
        <v>1698.3100000000002</v>
      </c>
      <c r="AC854" s="551"/>
      <c r="AD854" s="67"/>
      <c r="AE854" s="67"/>
      <c r="AF854" s="67"/>
      <c r="AG854" s="67"/>
      <c r="AH854" s="67"/>
      <c r="AI854" s="67"/>
      <c r="AJ854" s="67"/>
      <c r="AK854" s="67"/>
      <c r="AL854" s="67"/>
      <c r="AM854" s="67" t="s">
        <v>2435</v>
      </c>
      <c r="AN854" s="67"/>
      <c r="AO854" s="67"/>
      <c r="AP854" s="67"/>
      <c r="AQ854" s="67"/>
      <c r="AR854" s="67"/>
      <c r="AS854" s="67"/>
      <c r="AT854" s="552"/>
    </row>
    <row r="855" spans="1:46" ht="15.75" customHeight="1" x14ac:dyDescent="0.3">
      <c r="A855" s="139" t="s">
        <v>2236</v>
      </c>
      <c r="B855" s="67">
        <f>+G29</f>
        <v>178122</v>
      </c>
      <c r="C855" s="67">
        <f>+G64</f>
        <v>177697</v>
      </c>
      <c r="D855" s="67">
        <f>+G130</f>
        <v>177295</v>
      </c>
      <c r="E855" s="67">
        <f>+G293</f>
        <v>169951</v>
      </c>
      <c r="F855" s="67">
        <f>+G288</f>
        <v>12390</v>
      </c>
      <c r="G855" s="67">
        <f>+G300</f>
        <v>0</v>
      </c>
      <c r="H855" s="67">
        <f>+G443</f>
        <v>119224</v>
      </c>
      <c r="I855" s="67">
        <f>+G490</f>
        <v>36410</v>
      </c>
      <c r="J855" s="67">
        <f>+G534</f>
        <v>27038</v>
      </c>
      <c r="K855" s="67">
        <f>+G589</f>
        <v>24236</v>
      </c>
      <c r="L855" s="67">
        <f>+G599</f>
        <v>22056</v>
      </c>
      <c r="M855" s="67">
        <f>+G635</f>
        <v>22014</v>
      </c>
      <c r="N855" s="67">
        <f>+G682</f>
        <v>20876</v>
      </c>
      <c r="O855" s="67">
        <f>+G692</f>
        <v>4106</v>
      </c>
      <c r="P855" s="67">
        <f>+G726</f>
        <v>1479</v>
      </c>
      <c r="Q855" s="67">
        <f>+G774</f>
        <v>4098</v>
      </c>
      <c r="R855" s="552"/>
      <c r="T855" s="619">
        <f>'Lake Pleasant Forecast'!B43</f>
        <v>1696.36</v>
      </c>
      <c r="AC855" s="551" t="s">
        <v>2356</v>
      </c>
      <c r="AD855" s="67">
        <f>SUM(AD842:AD853)</f>
        <v>372849</v>
      </c>
      <c r="AE855" s="67"/>
      <c r="AF855" s="67">
        <f t="shared" ref="AF855:AL855" si="164">SUM(AF842:AF853)</f>
        <v>607148.79689568141</v>
      </c>
      <c r="AG855" s="67">
        <f t="shared" si="164"/>
        <v>1579106.574</v>
      </c>
      <c r="AH855" s="67">
        <f t="shared" si="164"/>
        <v>2186255.3708956814</v>
      </c>
      <c r="AI855" s="67">
        <f t="shared" si="164"/>
        <v>392645</v>
      </c>
      <c r="AJ855" s="67">
        <f t="shared" si="164"/>
        <v>2578900.3708956814</v>
      </c>
      <c r="AK855" s="67">
        <f t="shared" si="164"/>
        <v>40491.573596907867</v>
      </c>
      <c r="AL855" s="67">
        <f t="shared" si="164"/>
        <v>2538408.7972987732</v>
      </c>
      <c r="AM855" s="67"/>
      <c r="AN855" s="67"/>
      <c r="AO855" s="67"/>
      <c r="AP855" s="67"/>
      <c r="AQ855" s="67"/>
      <c r="AR855" s="67"/>
      <c r="AS855" s="67"/>
      <c r="AT855" s="552"/>
    </row>
    <row r="856" spans="1:46" ht="15.75" customHeight="1" x14ac:dyDescent="0.3">
      <c r="A856" s="139" t="s">
        <v>2237</v>
      </c>
      <c r="B856" s="67">
        <f>+H29</f>
        <v>91636</v>
      </c>
      <c r="C856" s="67">
        <f>+H64</f>
        <v>91219</v>
      </c>
      <c r="D856" s="67">
        <f>+H130</f>
        <v>90823</v>
      </c>
      <c r="E856" s="67">
        <f>+H293</f>
        <v>82634</v>
      </c>
      <c r="F856" s="67">
        <f>+H288</f>
        <v>0</v>
      </c>
      <c r="G856" s="67">
        <f>+H300</f>
        <v>-112673</v>
      </c>
      <c r="H856" s="67">
        <f>+H443</f>
        <v>145021</v>
      </c>
      <c r="I856" s="67">
        <f>+H490</f>
        <v>45408</v>
      </c>
      <c r="J856" s="67">
        <f>+H534</f>
        <v>29076</v>
      </c>
      <c r="K856" s="67">
        <f>+H589</f>
        <v>22944</v>
      </c>
      <c r="L856" s="67">
        <f>+H599</f>
        <v>21109</v>
      </c>
      <c r="M856" s="67">
        <f>+H635</f>
        <v>21065</v>
      </c>
      <c r="N856" s="67">
        <f>+H682</f>
        <v>19414</v>
      </c>
      <c r="O856" s="67">
        <f>+H692</f>
        <v>4390</v>
      </c>
      <c r="P856" s="67">
        <f>+H726</f>
        <v>4867</v>
      </c>
      <c r="Q856" s="67">
        <f>+H774</f>
        <v>4381</v>
      </c>
      <c r="R856" s="552"/>
      <c r="T856" s="619">
        <f>'Lake Pleasant Forecast'!B45</f>
        <v>1685.88</v>
      </c>
      <c r="AC856" s="551"/>
      <c r="AD856" s="67"/>
      <c r="AE856" s="67"/>
      <c r="AF856" s="67"/>
      <c r="AG856" s="67"/>
      <c r="AH856" s="67"/>
      <c r="AI856" s="67"/>
      <c r="AJ856" s="67"/>
      <c r="AK856" s="67"/>
      <c r="AL856" s="67"/>
      <c r="AM856" s="67"/>
      <c r="AN856" s="67"/>
      <c r="AO856" s="67"/>
      <c r="AP856" s="67"/>
      <c r="AQ856" s="67"/>
      <c r="AR856" s="67"/>
      <c r="AS856" s="67"/>
      <c r="AT856" s="552"/>
    </row>
    <row r="857" spans="1:46" ht="15.75" customHeight="1" x14ac:dyDescent="0.3">
      <c r="A857" s="139" t="s">
        <v>1504</v>
      </c>
      <c r="B857" s="67">
        <f>+J29</f>
        <v>77423</v>
      </c>
      <c r="C857" s="67">
        <f>+J64</f>
        <v>77007</v>
      </c>
      <c r="D857" s="67">
        <f>+J130</f>
        <v>76613</v>
      </c>
      <c r="E857" s="67">
        <f>+J293</f>
        <v>68001</v>
      </c>
      <c r="F857" s="67">
        <f>+J288</f>
        <v>0</v>
      </c>
      <c r="G857" s="67">
        <f>+J300</f>
        <v>-119947</v>
      </c>
      <c r="H857" s="67">
        <f>+J443</f>
        <v>128199</v>
      </c>
      <c r="I857" s="67">
        <f>+J490</f>
        <v>50008</v>
      </c>
      <c r="J857" s="67">
        <f>+J534</f>
        <v>28429</v>
      </c>
      <c r="K857" s="67">
        <f>+J589</f>
        <v>25371</v>
      </c>
      <c r="L857" s="67">
        <f>+J599</f>
        <v>21981</v>
      </c>
      <c r="M857" s="67">
        <f>+J635</f>
        <v>21942</v>
      </c>
      <c r="N857" s="67">
        <f>+J682</f>
        <v>19806</v>
      </c>
      <c r="O857" s="67">
        <f>+J692</f>
        <v>3654</v>
      </c>
      <c r="P857" s="67">
        <f>+J726</f>
        <v>4909</v>
      </c>
      <c r="Q857" s="67">
        <f>+J774</f>
        <v>3644</v>
      </c>
      <c r="R857" s="552"/>
      <c r="T857" s="619">
        <f>'Lake Pleasant Forecast'!B47</f>
        <v>1671.42</v>
      </c>
      <c r="AC857" s="551" t="s">
        <v>1696</v>
      </c>
      <c r="AD857" s="67"/>
      <c r="AE857" s="67"/>
      <c r="AF857" s="67"/>
      <c r="AG857" s="67"/>
      <c r="AH857" s="67"/>
      <c r="AI857" s="67"/>
      <c r="AJ857" s="67"/>
      <c r="AK857" s="67"/>
      <c r="AL857" s="67"/>
      <c r="AM857" s="67"/>
      <c r="AN857" s="67"/>
      <c r="AO857" s="67"/>
      <c r="AP857" s="67"/>
      <c r="AQ857" s="67"/>
      <c r="AR857" s="67"/>
      <c r="AS857" s="67"/>
      <c r="AT857" s="552"/>
    </row>
    <row r="858" spans="1:46" ht="15.75" customHeight="1" x14ac:dyDescent="0.3">
      <c r="A858" s="139" t="s">
        <v>1505</v>
      </c>
      <c r="B858" s="67">
        <f>+K29</f>
        <v>67691</v>
      </c>
      <c r="C858" s="67">
        <f>+K64</f>
        <v>67357</v>
      </c>
      <c r="D858" s="67">
        <f>+K130</f>
        <v>67039</v>
      </c>
      <c r="E858" s="67">
        <f>+K293</f>
        <v>59601</v>
      </c>
      <c r="F858" s="67">
        <f>+K288</f>
        <v>0</v>
      </c>
      <c r="G858" s="67">
        <f>+K300</f>
        <v>-87736</v>
      </c>
      <c r="H858" s="67">
        <f>+K443</f>
        <v>96897</v>
      </c>
      <c r="I858" s="67">
        <f>+K490</f>
        <v>35955</v>
      </c>
      <c r="J858" s="67">
        <f>+K534</f>
        <v>25261</v>
      </c>
      <c r="K858" s="67">
        <f>+K589</f>
        <v>21685</v>
      </c>
      <c r="L858" s="67">
        <f>+K599</f>
        <v>20142</v>
      </c>
      <c r="M858" s="67">
        <f>+K635</f>
        <v>20106</v>
      </c>
      <c r="N858" s="67">
        <f>+K682</f>
        <v>17993</v>
      </c>
      <c r="O858" s="67">
        <f>+K692</f>
        <v>2150</v>
      </c>
      <c r="P858" s="67">
        <f>+K726</f>
        <v>4763</v>
      </c>
      <c r="Q858" s="67">
        <f>+K774</f>
        <v>2144</v>
      </c>
      <c r="R858" s="552"/>
      <c r="T858" s="619">
        <f>'Lake Pleasant Forecast'!B49</f>
        <v>1654.0999551114837</v>
      </c>
      <c r="AC858" s="551" t="s">
        <v>785</v>
      </c>
      <c r="AD858" s="67"/>
      <c r="AE858" s="67"/>
      <c r="AF858" s="67"/>
      <c r="AG858" s="67"/>
      <c r="AH858" s="67"/>
      <c r="AI858" s="67"/>
      <c r="AJ858" s="67"/>
      <c r="AK858" s="67"/>
      <c r="AL858" s="67"/>
      <c r="AM858" s="67"/>
      <c r="AN858" s="67"/>
      <c r="AO858" s="67"/>
      <c r="AP858" s="67"/>
      <c r="AQ858" s="67"/>
      <c r="AR858" s="67"/>
      <c r="AS858" s="67"/>
      <c r="AT858" s="552"/>
    </row>
    <row r="859" spans="1:46" ht="15.75" customHeight="1" x14ac:dyDescent="0.3">
      <c r="A859" s="139" t="s">
        <v>1506</v>
      </c>
      <c r="B859" s="67">
        <f>+L29</f>
        <v>131247</v>
      </c>
      <c r="C859" s="67">
        <f>+L64</f>
        <v>130931</v>
      </c>
      <c r="D859" s="67">
        <f>+L130</f>
        <v>130630</v>
      </c>
      <c r="E859" s="67">
        <f>+L293</f>
        <v>126596</v>
      </c>
      <c r="F859" s="67">
        <f>+L288</f>
        <v>19406</v>
      </c>
      <c r="G859" s="67">
        <f>+L300</f>
        <v>-22496</v>
      </c>
      <c r="H859" s="67">
        <f>+L443</f>
        <v>80109</v>
      </c>
      <c r="I859" s="67">
        <f>+L490</f>
        <v>33405</v>
      </c>
      <c r="J859" s="67">
        <f>+L534</f>
        <v>25967</v>
      </c>
      <c r="K859" s="67">
        <f>+L589</f>
        <v>22936</v>
      </c>
      <c r="L859" s="67">
        <f>+L599</f>
        <v>19023</v>
      </c>
      <c r="M859" s="67">
        <f>+L635</f>
        <v>18989</v>
      </c>
      <c r="N859" s="67">
        <f>+L682</f>
        <v>17223</v>
      </c>
      <c r="O859" s="67">
        <f>+L692</f>
        <v>4825</v>
      </c>
      <c r="P859" s="67">
        <f>+L726</f>
        <v>3380</v>
      </c>
      <c r="Q859" s="67">
        <f>+L774</f>
        <v>4819</v>
      </c>
      <c r="R859" s="552"/>
      <c r="T859" s="619">
        <f>'Lake Pleasant Forecast'!B51</f>
        <v>1657.9899941811159</v>
      </c>
      <c r="AC859" s="551"/>
      <c r="AD859" s="67"/>
      <c r="AE859" s="67"/>
      <c r="AF859" s="67"/>
      <c r="AG859" s="67"/>
      <c r="AH859" s="67"/>
      <c r="AI859" s="67"/>
      <c r="AJ859" s="67"/>
      <c r="AK859" s="67"/>
      <c r="AL859" s="67"/>
      <c r="AM859" s="67"/>
      <c r="AN859" s="67"/>
      <c r="AO859" s="67"/>
      <c r="AP859" s="67"/>
      <c r="AQ859" s="67"/>
      <c r="AR859" s="67"/>
      <c r="AS859" s="67"/>
      <c r="AT859" s="552"/>
    </row>
    <row r="860" spans="1:46" ht="15.75" customHeight="1" x14ac:dyDescent="0.3">
      <c r="A860" s="139" t="s">
        <v>1507</v>
      </c>
      <c r="B860" s="67">
        <f>+N29</f>
        <v>133437</v>
      </c>
      <c r="C860" s="67">
        <f>+N64</f>
        <v>133152</v>
      </c>
      <c r="D860" s="67">
        <f>+N130</f>
        <v>132880</v>
      </c>
      <c r="E860" s="67">
        <f>+N293</f>
        <v>130253</v>
      </c>
      <c r="F860" s="67">
        <f>+N288</f>
        <v>40011</v>
      </c>
      <c r="G860" s="67">
        <f>+N300</f>
        <v>-1165</v>
      </c>
      <c r="H860" s="67">
        <f>+N443</f>
        <v>52257</v>
      </c>
      <c r="I860" s="67">
        <f>+N490</f>
        <v>11059</v>
      </c>
      <c r="J860" s="67">
        <f>+N534</f>
        <v>8221</v>
      </c>
      <c r="K860" s="67">
        <f>+N589</f>
        <v>7905</v>
      </c>
      <c r="L860" s="67">
        <f>+N599</f>
        <v>6368</v>
      </c>
      <c r="M860" s="67">
        <f>+N635</f>
        <v>6339</v>
      </c>
      <c r="N860" s="67">
        <f>+N682</f>
        <v>5629</v>
      </c>
      <c r="O860" s="67">
        <f>+N692</f>
        <v>1859</v>
      </c>
      <c r="P860" s="67">
        <f>+N726</f>
        <v>0</v>
      </c>
      <c r="Q860" s="67">
        <f>+N774</f>
        <v>1854</v>
      </c>
      <c r="R860" s="552"/>
      <c r="T860" s="619">
        <f>'Lake Pleasant Forecast'!B53</f>
        <v>1665.72</v>
      </c>
      <c r="AC860" s="551" t="s">
        <v>440</v>
      </c>
      <c r="AD860" s="67"/>
      <c r="AE860" s="67"/>
      <c r="AF860" s="67"/>
      <c r="AG860" s="67"/>
      <c r="AH860" s="67"/>
      <c r="AI860" s="67"/>
      <c r="AJ860" s="67"/>
      <c r="AK860" s="67"/>
      <c r="AL860" s="67"/>
      <c r="AM860" s="67"/>
      <c r="AN860" s="67"/>
      <c r="AO860" s="67"/>
      <c r="AP860" s="67"/>
      <c r="AQ860" s="67"/>
      <c r="AR860" s="67"/>
      <c r="AS860" s="67"/>
      <c r="AT860" s="552"/>
    </row>
    <row r="861" spans="1:46" ht="15.75" customHeight="1" x14ac:dyDescent="0.3">
      <c r="A861" s="139" t="s">
        <v>1508</v>
      </c>
      <c r="B861" s="67">
        <f>+O29</f>
        <v>138414</v>
      </c>
      <c r="C861" s="67">
        <f>+O64</f>
        <v>138179</v>
      </c>
      <c r="D861" s="67">
        <f>+O130</f>
        <v>137953</v>
      </c>
      <c r="E861" s="67">
        <f>+O293</f>
        <v>136932</v>
      </c>
      <c r="F861" s="67">
        <f>+O288</f>
        <v>74729</v>
      </c>
      <c r="G861" s="67">
        <f>+O300</f>
        <v>0</v>
      </c>
      <c r="H861" s="67">
        <f>+O443</f>
        <v>32345</v>
      </c>
      <c r="I861" s="67">
        <f>+O490</f>
        <v>11993</v>
      </c>
      <c r="J861" s="67">
        <f>+O534</f>
        <v>10398</v>
      </c>
      <c r="K861" s="67">
        <f>+O589</f>
        <v>10329</v>
      </c>
      <c r="L861" s="67">
        <f>+O599</f>
        <v>7177</v>
      </c>
      <c r="M861" s="67">
        <f>+O635</f>
        <v>7154</v>
      </c>
      <c r="N861" s="67">
        <f>+O682</f>
        <v>7111</v>
      </c>
      <c r="O861" s="67">
        <f>+O692</f>
        <v>1167</v>
      </c>
      <c r="P861" s="67">
        <f>+O726</f>
        <v>0</v>
      </c>
      <c r="Q861" s="67">
        <f>+O774</f>
        <v>1164</v>
      </c>
      <c r="R861" s="552"/>
      <c r="T861" s="619">
        <f>'Lake Pleasant Forecast'!B55</f>
        <v>1673.02</v>
      </c>
      <c r="AC861" s="551"/>
      <c r="AD861" s="67"/>
      <c r="AE861" s="67"/>
      <c r="AF861" s="67"/>
      <c r="AG861" s="67"/>
      <c r="AH861" s="67"/>
      <c r="AI861" s="67"/>
      <c r="AJ861" s="67"/>
      <c r="AK861" s="67"/>
      <c r="AL861" s="67"/>
      <c r="AM861" s="67"/>
      <c r="AN861" s="67"/>
      <c r="AO861" s="67"/>
      <c r="AP861" s="67"/>
      <c r="AQ861" s="67"/>
      <c r="AR861" s="67"/>
      <c r="AS861" s="67"/>
      <c r="AT861" s="552"/>
    </row>
    <row r="862" spans="1:46" ht="15.75" customHeight="1" thickBot="1" x14ac:dyDescent="0.35">
      <c r="A862" s="139" t="s">
        <v>1509</v>
      </c>
      <c r="B862" s="67">
        <f>+P29</f>
        <v>117193</v>
      </c>
      <c r="C862" s="67">
        <f>+P64</f>
        <v>117007</v>
      </c>
      <c r="D862" s="67">
        <f>+P130</f>
        <v>116828</v>
      </c>
      <c r="E862" s="67">
        <f>+P293</f>
        <v>115487</v>
      </c>
      <c r="F862" s="67">
        <f>+P288</f>
        <v>52389</v>
      </c>
      <c r="G862" s="67">
        <f>+P300</f>
        <v>0</v>
      </c>
      <c r="H862" s="67">
        <f>+P443</f>
        <v>41828</v>
      </c>
      <c r="I862" s="67">
        <f>+P490</f>
        <v>15977</v>
      </c>
      <c r="J862" s="67">
        <f>+P534</f>
        <v>14869</v>
      </c>
      <c r="K862" s="67">
        <f>+P589</f>
        <v>14827</v>
      </c>
      <c r="L862" s="67">
        <f>+P599</f>
        <v>14315</v>
      </c>
      <c r="M862" s="67">
        <f>+P635</f>
        <v>14296</v>
      </c>
      <c r="N862" s="67">
        <f>+P682</f>
        <v>14093</v>
      </c>
      <c r="O862" s="67">
        <f>+P692</f>
        <v>4423</v>
      </c>
      <c r="P862" s="67">
        <f>+P726</f>
        <v>0</v>
      </c>
      <c r="Q862" s="67">
        <f>+P774</f>
        <v>4421</v>
      </c>
      <c r="R862" s="552"/>
      <c r="T862" s="619">
        <f>'Lake Pleasant Forecast'!B57</f>
        <v>1679.9390201045346</v>
      </c>
      <c r="AC862" s="554" t="s">
        <v>1480</v>
      </c>
      <c r="AD862" s="555"/>
      <c r="AE862" s="555"/>
      <c r="AF862" s="555"/>
      <c r="AG862" s="555"/>
      <c r="AH862" s="555"/>
      <c r="AI862" s="555"/>
      <c r="AJ862" s="555"/>
      <c r="AK862" s="555"/>
      <c r="AL862" s="555"/>
      <c r="AM862" s="555"/>
      <c r="AN862" s="555"/>
      <c r="AO862" s="555"/>
      <c r="AP862" s="555"/>
      <c r="AQ862" s="555"/>
      <c r="AR862" s="555"/>
      <c r="AS862" s="555"/>
      <c r="AT862" s="556"/>
    </row>
    <row r="863" spans="1:46" ht="15.75" customHeight="1" x14ac:dyDescent="0.3">
      <c r="A863" s="553"/>
      <c r="B863" s="67"/>
      <c r="C863" s="67"/>
      <c r="D863" s="67"/>
      <c r="E863" s="67"/>
      <c r="F863" s="67"/>
      <c r="G863" s="67"/>
      <c r="H863" s="67"/>
      <c r="I863" s="67"/>
      <c r="J863" s="67"/>
      <c r="K863" s="67"/>
      <c r="L863" s="67"/>
      <c r="M863" s="67"/>
      <c r="N863" s="67"/>
      <c r="O863" s="67"/>
      <c r="P863" s="67"/>
      <c r="Q863" s="67"/>
      <c r="R863" s="552"/>
    </row>
    <row r="864" spans="1:46" ht="15.75" customHeight="1" thickBot="1" x14ac:dyDescent="0.35">
      <c r="A864" s="553" t="s">
        <v>2356</v>
      </c>
      <c r="B864" s="67">
        <f t="shared" ref="B864:Q864" si="165">SUM(B851:B862)</f>
        <v>1490965</v>
      </c>
      <c r="C864" s="67">
        <f t="shared" si="165"/>
        <v>1487465</v>
      </c>
      <c r="D864" s="67">
        <f t="shared" si="165"/>
        <v>1484125</v>
      </c>
      <c r="E864" s="67">
        <f t="shared" si="165"/>
        <v>1426927</v>
      </c>
      <c r="F864" s="67">
        <f t="shared" si="165"/>
        <v>372849</v>
      </c>
      <c r="G864" s="67">
        <f t="shared" si="165"/>
        <v>-354518</v>
      </c>
      <c r="H864" s="67">
        <f t="shared" si="165"/>
        <v>970263</v>
      </c>
      <c r="I864" s="67">
        <f t="shared" si="165"/>
        <v>338334</v>
      </c>
      <c r="J864" s="67">
        <f t="shared" si="165"/>
        <v>250792</v>
      </c>
      <c r="K864" s="67">
        <f t="shared" si="165"/>
        <v>222506</v>
      </c>
      <c r="L864" s="67">
        <f t="shared" si="165"/>
        <v>189995</v>
      </c>
      <c r="M864" s="67">
        <f t="shared" si="165"/>
        <v>189622</v>
      </c>
      <c r="N864" s="67">
        <f t="shared" si="165"/>
        <v>177820</v>
      </c>
      <c r="O864" s="67">
        <f t="shared" si="165"/>
        <v>41628</v>
      </c>
      <c r="P864" s="67">
        <f t="shared" si="165"/>
        <v>33591</v>
      </c>
      <c r="Q864" s="67">
        <f t="shared" si="165"/>
        <v>41520</v>
      </c>
      <c r="R864" s="552"/>
    </row>
    <row r="865" spans="1:50" ht="15.75" customHeight="1" thickBot="1" x14ac:dyDescent="0.35">
      <c r="A865" s="581"/>
      <c r="B865" s="581"/>
      <c r="C865" s="581"/>
      <c r="D865" s="581"/>
      <c r="E865" s="581"/>
      <c r="F865" s="581"/>
      <c r="G865" s="581"/>
      <c r="H865" s="581"/>
      <c r="I865" s="581"/>
      <c r="J865" s="581"/>
      <c r="K865" s="581"/>
      <c r="L865" s="581"/>
      <c r="M865" s="581"/>
      <c r="N865" s="581"/>
      <c r="O865" s="581"/>
      <c r="P865" s="581"/>
      <c r="Q865" s="581"/>
      <c r="R865" s="556"/>
      <c r="AC865" s="546"/>
      <c r="AD865" s="547"/>
      <c r="AE865" s="547"/>
      <c r="AF865" s="547"/>
      <c r="AG865" s="547"/>
      <c r="AH865" s="547"/>
      <c r="AI865" s="547"/>
      <c r="AJ865" s="547"/>
      <c r="AK865" s="547"/>
      <c r="AL865" s="547"/>
      <c r="AM865" s="547"/>
      <c r="AN865" s="547"/>
      <c r="AO865" s="547"/>
      <c r="AP865" s="547"/>
      <c r="AQ865" s="547"/>
      <c r="AR865" s="547"/>
      <c r="AS865" s="678" t="str">
        <f>+Q1</f>
        <v xml:space="preserve">PRINTED:  </v>
      </c>
      <c r="AT865" s="682">
        <f ca="1">+R1</f>
        <v>44881.729634027775</v>
      </c>
      <c r="AU865" s="560"/>
      <c r="AW865" s="71" t="s">
        <v>253</v>
      </c>
      <c r="AX865" s="67"/>
    </row>
    <row r="866" spans="1:50" ht="15.75" customHeight="1" x14ac:dyDescent="0.35">
      <c r="A866" s="683"/>
      <c r="B866" s="683"/>
      <c r="C866" s="683"/>
      <c r="D866" s="683"/>
      <c r="E866" s="683"/>
      <c r="F866" s="683"/>
      <c r="G866" s="683"/>
      <c r="H866" s="683"/>
      <c r="I866" s="683"/>
      <c r="J866" s="683"/>
      <c r="K866" s="683"/>
      <c r="L866" s="683"/>
      <c r="M866" s="683"/>
      <c r="N866" s="683"/>
      <c r="O866" s="683"/>
      <c r="P866" s="683"/>
      <c r="Q866" s="683"/>
      <c r="R866" s="547"/>
      <c r="AC866" s="551"/>
      <c r="AD866" s="67"/>
      <c r="AE866" s="71" t="s">
        <v>2125</v>
      </c>
      <c r="AF866" s="67"/>
      <c r="AG866" s="67"/>
      <c r="AH866" s="67"/>
      <c r="AI866" s="67"/>
      <c r="AJ866" s="67"/>
      <c r="AK866" s="67"/>
      <c r="AL866" s="67"/>
      <c r="AM866" s="67"/>
      <c r="AN866" s="215"/>
      <c r="AO866" s="71" t="s">
        <v>1456</v>
      </c>
      <c r="AP866" s="67"/>
      <c r="AQ866" s="67"/>
      <c r="AR866" s="67"/>
      <c r="AS866" s="67"/>
      <c r="AT866" s="67"/>
      <c r="AU866" s="561"/>
      <c r="AW866" s="67" t="s">
        <v>254</v>
      </c>
      <c r="AX866" s="67"/>
    </row>
    <row r="867" spans="1:50" ht="16.5" customHeight="1" x14ac:dyDescent="0.3">
      <c r="A867" s="553" t="s">
        <v>852</v>
      </c>
      <c r="B867" s="67"/>
      <c r="C867" s="67"/>
      <c r="D867" s="67"/>
      <c r="E867" s="67"/>
      <c r="F867" s="67"/>
      <c r="G867" s="67"/>
      <c r="H867" s="67"/>
      <c r="I867" s="67"/>
      <c r="J867" s="67"/>
      <c r="K867" s="67"/>
      <c r="L867" s="67"/>
      <c r="M867" s="67"/>
      <c r="N867" s="67"/>
      <c r="O867" s="67"/>
      <c r="P867" s="67"/>
      <c r="Q867" s="67"/>
      <c r="R867" s="67"/>
      <c r="AC867" s="551"/>
      <c r="AD867" s="67"/>
      <c r="AE867" s="67"/>
      <c r="AF867" s="67"/>
      <c r="AG867" s="67" t="s">
        <v>852</v>
      </c>
      <c r="AH867" s="69" t="str">
        <f>+A8</f>
        <v>Revised:  2/23/2017</v>
      </c>
      <c r="AI867" s="67"/>
      <c r="AJ867" s="67"/>
      <c r="AK867" s="67"/>
      <c r="AL867" s="67"/>
      <c r="AM867" s="67"/>
      <c r="AN867" s="67"/>
      <c r="AO867" s="67"/>
      <c r="AP867" s="67"/>
      <c r="AQ867" s="67"/>
      <c r="AR867" s="67" t="s">
        <v>852</v>
      </c>
      <c r="AS867" s="69" t="str">
        <f>+A8</f>
        <v>Revised:  2/23/2017</v>
      </c>
      <c r="AT867" s="67"/>
      <c r="AU867" s="561"/>
      <c r="AW867" s="67"/>
      <c r="AX867" s="67"/>
    </row>
    <row r="868" spans="1:50" ht="15.75" customHeight="1" x14ac:dyDescent="0.3">
      <c r="A868" s="70"/>
      <c r="B868" s="67"/>
      <c r="C868" s="67"/>
      <c r="D868" s="67"/>
      <c r="E868" s="67"/>
      <c r="F868" s="67"/>
      <c r="G868" s="67"/>
      <c r="H868" s="67"/>
      <c r="I868" s="67"/>
      <c r="J868" s="67"/>
      <c r="K868" s="67"/>
      <c r="L868" s="67"/>
      <c r="M868" s="67"/>
      <c r="N868" s="67"/>
      <c r="O868" s="67"/>
      <c r="P868" s="67"/>
      <c r="Q868" s="67"/>
      <c r="R868" s="67"/>
      <c r="AC868" s="551"/>
      <c r="AD868" s="67"/>
      <c r="AE868" s="67"/>
      <c r="AF868" s="67" t="s">
        <v>2545</v>
      </c>
      <c r="AG868" s="67"/>
      <c r="AH868" s="67"/>
      <c r="AI868" s="67"/>
      <c r="AJ868" s="67"/>
      <c r="AK868" s="67"/>
      <c r="AL868" s="67"/>
      <c r="AM868" s="67"/>
      <c r="AN868" s="67"/>
      <c r="AO868" s="67"/>
      <c r="AP868" s="67" t="s">
        <v>2545</v>
      </c>
      <c r="AQ868" s="67"/>
      <c r="AR868" s="67"/>
      <c r="AS868" s="67"/>
      <c r="AT868" s="67"/>
      <c r="AU868" s="561"/>
      <c r="AW868" s="67" t="s">
        <v>2435</v>
      </c>
      <c r="AX868" s="70" t="s">
        <v>335</v>
      </c>
    </row>
    <row r="869" spans="1:50" ht="15.75" customHeight="1" x14ac:dyDescent="0.3">
      <c r="A869" s="139"/>
      <c r="AC869" s="551"/>
      <c r="AD869" s="67"/>
      <c r="AE869" s="67"/>
      <c r="AF869" s="67"/>
      <c r="AG869" s="67"/>
      <c r="AH869" s="67"/>
      <c r="AI869" s="67"/>
      <c r="AJ869" s="67"/>
      <c r="AK869" s="67"/>
      <c r="AL869" s="67"/>
      <c r="AM869" s="67"/>
      <c r="AN869" s="67"/>
      <c r="AO869" s="67"/>
      <c r="AP869" s="67"/>
      <c r="AQ869" s="67"/>
      <c r="AR869" s="67"/>
      <c r="AS869" s="67"/>
      <c r="AT869" s="67"/>
      <c r="AU869" s="561"/>
      <c r="AW869" s="70" t="s">
        <v>335</v>
      </c>
      <c r="AX869" s="70" t="s">
        <v>956</v>
      </c>
    </row>
    <row r="870" spans="1:50" ht="15.75" customHeight="1" thickBot="1" x14ac:dyDescent="0.35">
      <c r="A870" s="139"/>
      <c r="AC870" s="551"/>
      <c r="AD870" s="67"/>
      <c r="AE870" s="67"/>
      <c r="AF870" s="67"/>
      <c r="AG870" s="67">
        <f>+A5</f>
        <v>2016</v>
      </c>
      <c r="AH870" s="67"/>
      <c r="AI870" s="67"/>
      <c r="AJ870" s="67"/>
      <c r="AK870" s="67"/>
      <c r="AL870" s="67"/>
      <c r="AM870" s="67"/>
      <c r="AN870" s="67"/>
      <c r="AO870" s="67"/>
      <c r="AP870" s="67"/>
      <c r="AQ870" s="67"/>
      <c r="AR870" s="67">
        <f>+A5</f>
        <v>2016</v>
      </c>
      <c r="AS870" s="67"/>
      <c r="AT870" s="67"/>
      <c r="AU870" s="561"/>
      <c r="AW870" s="70" t="s">
        <v>998</v>
      </c>
      <c r="AX870" s="70" t="s">
        <v>2201</v>
      </c>
    </row>
    <row r="871" spans="1:50" ht="15.75" customHeight="1" x14ac:dyDescent="0.3">
      <c r="A871" s="651"/>
      <c r="B871" s="782" t="s">
        <v>1898</v>
      </c>
      <c r="C871" s="782"/>
      <c r="D871" s="782"/>
      <c r="E871" s="782"/>
      <c r="F871" s="782"/>
      <c r="G871" s="782"/>
      <c r="H871" s="782"/>
      <c r="I871" s="782"/>
      <c r="J871" s="782"/>
      <c r="K871" s="782"/>
      <c r="L871" s="782"/>
      <c r="M871" s="782"/>
      <c r="N871" s="782"/>
      <c r="O871" s="782"/>
      <c r="P871" s="782"/>
      <c r="Q871" s="678" t="str">
        <f>+Q1</f>
        <v xml:space="preserve">PRINTED:  </v>
      </c>
      <c r="R871" s="679">
        <f ca="1">+R1</f>
        <v>44881.729634027775</v>
      </c>
      <c r="AC871" s="551"/>
      <c r="AD871" s="67"/>
      <c r="AE871" s="67"/>
      <c r="AF871" s="67"/>
      <c r="AG871" s="67" t="s">
        <v>1199</v>
      </c>
      <c r="AH871" s="67"/>
      <c r="AI871" s="67"/>
      <c r="AJ871" s="67"/>
      <c r="AK871" s="67"/>
      <c r="AL871" s="67"/>
      <c r="AM871" s="67"/>
      <c r="AN871" s="67"/>
      <c r="AO871" s="67"/>
      <c r="AP871" s="67"/>
      <c r="AQ871" s="67"/>
      <c r="AR871" s="67" t="s">
        <v>1199</v>
      </c>
      <c r="AS871" s="67"/>
      <c r="AT871" s="67"/>
      <c r="AU871" s="561"/>
      <c r="AW871" s="70" t="s">
        <v>1353</v>
      </c>
      <c r="AX871" s="70" t="s">
        <v>1353</v>
      </c>
    </row>
    <row r="872" spans="1:50" ht="15.75" customHeight="1" x14ac:dyDescent="0.3">
      <c r="A872" s="553"/>
      <c r="B872" s="786" t="str">
        <f>+A8</f>
        <v>Revised:  2/23/2017</v>
      </c>
      <c r="C872" s="786"/>
      <c r="D872" s="786"/>
      <c r="E872" s="786"/>
      <c r="F872" s="786"/>
      <c r="G872" s="786"/>
      <c r="H872" s="786"/>
      <c r="I872" s="786"/>
      <c r="J872" s="786"/>
      <c r="K872" s="786"/>
      <c r="L872" s="786"/>
      <c r="M872" s="786"/>
      <c r="N872" s="786"/>
      <c r="O872" s="786"/>
      <c r="P872" s="786"/>
      <c r="Q872" s="67"/>
      <c r="R872" s="552"/>
      <c r="AC872" s="551"/>
      <c r="AD872" s="67"/>
      <c r="AE872" s="67"/>
      <c r="AF872" s="67"/>
      <c r="AG872" s="67"/>
      <c r="AH872" s="67"/>
      <c r="AI872" s="67"/>
      <c r="AJ872" s="67"/>
      <c r="AK872" s="67"/>
      <c r="AL872" s="67"/>
      <c r="AM872" s="67"/>
      <c r="AN872" s="67"/>
      <c r="AO872" s="67"/>
      <c r="AP872" s="67"/>
      <c r="AQ872" s="67"/>
      <c r="AR872" s="67"/>
      <c r="AS872" s="67"/>
      <c r="AT872" s="67"/>
      <c r="AU872" s="561"/>
      <c r="AW872" s="67">
        <f t="shared" ref="AW872:AW883" si="166">SUM(L908:Q908)</f>
        <v>7352</v>
      </c>
      <c r="AX872" s="72">
        <v>2.4700000000000002</v>
      </c>
    </row>
    <row r="873" spans="1:50" ht="15.75" customHeight="1" x14ac:dyDescent="0.3">
      <c r="A873" s="553"/>
      <c r="B873" s="786" t="s">
        <v>2878</v>
      </c>
      <c r="C873" s="786"/>
      <c r="D873" s="786"/>
      <c r="E873" s="786"/>
      <c r="F873" s="786"/>
      <c r="G873" s="786"/>
      <c r="H873" s="786"/>
      <c r="I873" s="786"/>
      <c r="J873" s="786"/>
      <c r="K873" s="786"/>
      <c r="L873" s="786"/>
      <c r="M873" s="786"/>
      <c r="N873" s="786"/>
      <c r="O873" s="786"/>
      <c r="P873" s="786"/>
      <c r="Q873" s="67"/>
      <c r="R873" s="552"/>
      <c r="AC873" s="551" t="s">
        <v>1307</v>
      </c>
      <c r="AD873" s="70" t="s">
        <v>1308</v>
      </c>
      <c r="AE873" s="70" t="s">
        <v>1309</v>
      </c>
      <c r="AF873" s="70" t="s">
        <v>1029</v>
      </c>
      <c r="AG873" s="70" t="s">
        <v>1030</v>
      </c>
      <c r="AH873" s="70" t="s">
        <v>284</v>
      </c>
      <c r="AI873" s="67"/>
      <c r="AJ873" s="70" t="s">
        <v>2356</v>
      </c>
      <c r="AK873" s="67"/>
      <c r="AL873" s="67"/>
      <c r="AM873" s="67"/>
      <c r="AN873" s="67" t="s">
        <v>1307</v>
      </c>
      <c r="AO873" s="70" t="s">
        <v>1308</v>
      </c>
      <c r="AP873" s="70" t="s">
        <v>1309</v>
      </c>
      <c r="AQ873" s="70" t="s">
        <v>1029</v>
      </c>
      <c r="AR873" s="70" t="s">
        <v>1030</v>
      </c>
      <c r="AS873" s="70" t="s">
        <v>284</v>
      </c>
      <c r="AT873" s="70" t="s">
        <v>2356</v>
      </c>
      <c r="AU873" s="561"/>
      <c r="AW873" s="67">
        <f t="shared" si="166"/>
        <v>8184</v>
      </c>
      <c r="AX873" s="72">
        <v>2.4700000000000002</v>
      </c>
    </row>
    <row r="874" spans="1:50" ht="15.75" customHeight="1" x14ac:dyDescent="0.3">
      <c r="A874" s="553"/>
      <c r="B874" s="786"/>
      <c r="C874" s="786"/>
      <c r="D874" s="786"/>
      <c r="E874" s="786"/>
      <c r="F874" s="786"/>
      <c r="G874" s="786"/>
      <c r="H874" s="786"/>
      <c r="I874" s="786"/>
      <c r="J874" s="786"/>
      <c r="K874" s="786"/>
      <c r="L874" s="786"/>
      <c r="M874" s="786"/>
      <c r="N874" s="786"/>
      <c r="O874" s="786"/>
      <c r="P874" s="786"/>
      <c r="Q874" s="67"/>
      <c r="R874" s="552"/>
      <c r="AC874" s="551" t="s">
        <v>526</v>
      </c>
      <c r="AD874" s="67"/>
      <c r="AE874" s="67"/>
      <c r="AF874" s="67"/>
      <c r="AG874" s="67"/>
      <c r="AH874" s="70" t="s">
        <v>1193</v>
      </c>
      <c r="AI874" s="67"/>
      <c r="AJ874" s="70" t="s">
        <v>252</v>
      </c>
      <c r="AK874" s="67"/>
      <c r="AL874" s="67"/>
      <c r="AM874" s="67"/>
      <c r="AN874" s="67" t="s">
        <v>526</v>
      </c>
      <c r="AO874" s="67"/>
      <c r="AP874" s="67"/>
      <c r="AQ874" s="67"/>
      <c r="AR874" s="67"/>
      <c r="AS874" s="70" t="s">
        <v>1193</v>
      </c>
      <c r="AT874" s="70" t="s">
        <v>252</v>
      </c>
      <c r="AU874" s="561"/>
      <c r="AW874" s="67">
        <f t="shared" si="166"/>
        <v>11875</v>
      </c>
      <c r="AX874" s="72">
        <v>2.4700000000000002</v>
      </c>
    </row>
    <row r="875" spans="1:50" ht="15.75" customHeight="1" x14ac:dyDescent="0.3">
      <c r="A875" s="553"/>
      <c r="B875" s="787">
        <f>+A5</f>
        <v>2016</v>
      </c>
      <c r="C875" s="787"/>
      <c r="D875" s="787"/>
      <c r="E875" s="787"/>
      <c r="F875" s="787"/>
      <c r="G875" s="787"/>
      <c r="H875" s="787"/>
      <c r="I875" s="787"/>
      <c r="J875" s="787"/>
      <c r="K875" s="787"/>
      <c r="L875" s="787"/>
      <c r="M875" s="787"/>
      <c r="N875" s="787"/>
      <c r="O875" s="787"/>
      <c r="P875" s="787"/>
      <c r="Q875" s="67"/>
      <c r="R875" s="552"/>
      <c r="AC875" s="551" t="s">
        <v>1195</v>
      </c>
      <c r="AD875" s="67">
        <f>+$B$906</f>
        <v>957</v>
      </c>
      <c r="AE875" s="67">
        <f>+C$906</f>
        <v>122</v>
      </c>
      <c r="AF875" s="67">
        <f>+D$906</f>
        <v>128</v>
      </c>
      <c r="AG875" s="67">
        <f>+E$906</f>
        <v>219</v>
      </c>
      <c r="AH875" s="67"/>
      <c r="AI875" s="67"/>
      <c r="AJ875" s="70" t="s">
        <v>335</v>
      </c>
      <c r="AK875" s="67"/>
      <c r="AL875" s="67"/>
      <c r="AM875" s="67"/>
      <c r="AN875" s="67" t="s">
        <v>1195</v>
      </c>
      <c r="AO875" s="67">
        <f>+$B$906</f>
        <v>957</v>
      </c>
      <c r="AP875" s="67">
        <f>+C$906</f>
        <v>122</v>
      </c>
      <c r="AQ875" s="67">
        <f>+D$906</f>
        <v>128</v>
      </c>
      <c r="AR875" s="67">
        <f>+E$906</f>
        <v>219</v>
      </c>
      <c r="AS875" s="67"/>
      <c r="AT875" s="70" t="s">
        <v>335</v>
      </c>
      <c r="AU875" s="561"/>
      <c r="AW875" s="67">
        <f t="shared" si="166"/>
        <v>13535</v>
      </c>
      <c r="AX875" s="72">
        <v>2.4700000000000002</v>
      </c>
    </row>
    <row r="876" spans="1:50" ht="15.75" customHeight="1" x14ac:dyDescent="0.3">
      <c r="A876" s="553"/>
      <c r="B876" s="786" t="s">
        <v>2879</v>
      </c>
      <c r="C876" s="786"/>
      <c r="D876" s="786"/>
      <c r="E876" s="786"/>
      <c r="F876" s="786"/>
      <c r="G876" s="786"/>
      <c r="H876" s="786"/>
      <c r="I876" s="786"/>
      <c r="J876" s="786"/>
      <c r="K876" s="786"/>
      <c r="L876" s="786"/>
      <c r="M876" s="786"/>
      <c r="N876" s="786"/>
      <c r="O876" s="786"/>
      <c r="P876" s="786"/>
      <c r="Q876" s="67"/>
      <c r="R876" s="552"/>
      <c r="AC876" s="551"/>
      <c r="AD876" s="67" t="s">
        <v>1353</v>
      </c>
      <c r="AE876" s="67" t="s">
        <v>1353</v>
      </c>
      <c r="AF876" s="67" t="s">
        <v>1353</v>
      </c>
      <c r="AG876" s="67" t="s">
        <v>1353</v>
      </c>
      <c r="AH876" s="67" t="s">
        <v>1353</v>
      </c>
      <c r="AI876" s="67"/>
      <c r="AJ876" s="67" t="s">
        <v>251</v>
      </c>
      <c r="AK876" s="67"/>
      <c r="AL876" s="67"/>
      <c r="AM876" s="67"/>
      <c r="AN876" s="67"/>
      <c r="AO876" s="67" t="s">
        <v>1353</v>
      </c>
      <c r="AP876" s="67" t="s">
        <v>1353</v>
      </c>
      <c r="AQ876" s="67" t="s">
        <v>1353</v>
      </c>
      <c r="AR876" s="67" t="s">
        <v>1353</v>
      </c>
      <c r="AS876" s="67" t="s">
        <v>1353</v>
      </c>
      <c r="AT876" s="67" t="s">
        <v>251</v>
      </c>
      <c r="AU876" s="561"/>
      <c r="AW876" s="67">
        <f t="shared" si="166"/>
        <v>13150</v>
      </c>
      <c r="AX876" s="72">
        <v>2.4700000000000002</v>
      </c>
    </row>
    <row r="877" spans="1:50" ht="15.75" customHeight="1" x14ac:dyDescent="0.3">
      <c r="A877" s="553"/>
      <c r="B877" s="67"/>
      <c r="C877" s="67"/>
      <c r="D877" s="67"/>
      <c r="E877" s="67"/>
      <c r="F877" s="67"/>
      <c r="G877" s="67"/>
      <c r="H877" s="67"/>
      <c r="I877" s="67"/>
      <c r="J877" s="67"/>
      <c r="K877" s="67"/>
      <c r="L877" s="67"/>
      <c r="M877" s="67"/>
      <c r="N877" s="67"/>
      <c r="O877" s="67"/>
      <c r="P877" s="67"/>
      <c r="Q877" s="67"/>
      <c r="R877" s="552"/>
      <c r="AC877" s="553" t="s">
        <v>1354</v>
      </c>
      <c r="AD877" s="67">
        <f t="shared" ref="AD877:AD888" si="167">ROUND($F851*$AD$875/1000,0)</f>
        <v>103789</v>
      </c>
      <c r="AE877" s="67">
        <f t="shared" ref="AE877:AE888" si="168">ROUND($F851*$AE$875/1000,0)</f>
        <v>13231</v>
      </c>
      <c r="AF877" s="67">
        <f t="shared" ref="AF877:AF888" si="169">ROUND($F851*$AF$875/1000,0)</f>
        <v>13882</v>
      </c>
      <c r="AG877" s="67">
        <f t="shared" ref="AG877:AG888" si="170">ROUND($F851*$AG$875/1000,0)</f>
        <v>23751</v>
      </c>
      <c r="AH877" s="67">
        <f t="shared" ref="AH877:AH888" si="171">(F851*((T851-1526.8)/0.7702))/1000</f>
        <v>23275.922617501939</v>
      </c>
      <c r="AI877" s="67"/>
      <c r="AJ877" s="67">
        <f t="shared" ref="AJ877:AJ888" si="172">SUM(AD877:AH877)</f>
        <v>177928.92261750193</v>
      </c>
      <c r="AK877" s="67"/>
      <c r="AL877" s="67"/>
      <c r="AM877" s="67"/>
      <c r="AN877" s="70" t="s">
        <v>1354</v>
      </c>
      <c r="AO877" s="67">
        <f t="shared" ref="AO877:AO888" si="173">ROUND((B851-$F851)*$AO$875/1000,0)</f>
        <v>42000</v>
      </c>
      <c r="AP877" s="67">
        <f t="shared" ref="AP877:AP888" si="174">ROUND((C851-$F851)*$AP$875/1000,0)</f>
        <v>5342</v>
      </c>
      <c r="AQ877" s="67">
        <f t="shared" ref="AQ877:AQ888" si="175">ROUND((D851-$F851)*$AQ$875/1000,0)</f>
        <v>5593</v>
      </c>
      <c r="AR877" s="67">
        <f t="shared" ref="AR877:AR888" si="176">ROUND((E851-$F851)*$AR$875/1000,0)</f>
        <v>9299</v>
      </c>
      <c r="AS877" s="67">
        <f>((F851-$F851)*(('Lake Pleasant Forecast'!B35-1526.8)/0.7702))/1000</f>
        <v>0</v>
      </c>
      <c r="AT877" s="67">
        <f t="shared" ref="AT877:AT888" si="177">SUM(AN877:AR877)</f>
        <v>62234</v>
      </c>
      <c r="AU877" s="561"/>
      <c r="AW877" s="67">
        <f t="shared" si="166"/>
        <v>13911</v>
      </c>
      <c r="AX877" s="72">
        <v>2.4700000000000002</v>
      </c>
    </row>
    <row r="878" spans="1:50" ht="15.75" customHeight="1" thickBot="1" x14ac:dyDescent="0.35">
      <c r="A878" s="553" t="s">
        <v>845</v>
      </c>
      <c r="B878" s="634" t="s">
        <v>1308</v>
      </c>
      <c r="C878" s="634" t="s">
        <v>1309</v>
      </c>
      <c r="D878" s="634" t="s">
        <v>1029</v>
      </c>
      <c r="E878" s="634" t="s">
        <v>1030</v>
      </c>
      <c r="F878" s="634" t="s">
        <v>284</v>
      </c>
      <c r="G878" s="634" t="s">
        <v>284</v>
      </c>
      <c r="H878" s="634" t="s">
        <v>285</v>
      </c>
      <c r="I878" s="634" t="s">
        <v>286</v>
      </c>
      <c r="J878" s="634" t="s">
        <v>287</v>
      </c>
      <c r="K878" s="634" t="s">
        <v>288</v>
      </c>
      <c r="L878" s="634" t="s">
        <v>289</v>
      </c>
      <c r="M878" s="634" t="s">
        <v>633</v>
      </c>
      <c r="N878" s="634" t="s">
        <v>634</v>
      </c>
      <c r="O878" s="634" t="s">
        <v>1192</v>
      </c>
      <c r="P878" s="634" t="s">
        <v>524</v>
      </c>
      <c r="Q878" s="634" t="s">
        <v>525</v>
      </c>
      <c r="R878" s="552"/>
      <c r="AC878" s="553" t="s">
        <v>706</v>
      </c>
      <c r="AD878" s="67">
        <f t="shared" si="167"/>
        <v>31475</v>
      </c>
      <c r="AE878" s="67">
        <f t="shared" si="168"/>
        <v>4012</v>
      </c>
      <c r="AF878" s="67">
        <f t="shared" si="169"/>
        <v>4210</v>
      </c>
      <c r="AG878" s="67">
        <f t="shared" si="170"/>
        <v>7203</v>
      </c>
      <c r="AH878" s="67">
        <f t="shared" si="171"/>
        <v>7081.6823682160439</v>
      </c>
      <c r="AI878" s="67"/>
      <c r="AJ878" s="67">
        <f t="shared" si="172"/>
        <v>53981.682368216047</v>
      </c>
      <c r="AK878" s="67"/>
      <c r="AL878" s="67"/>
      <c r="AM878" s="67"/>
      <c r="AN878" s="70" t="s">
        <v>706</v>
      </c>
      <c r="AO878" s="67">
        <f t="shared" si="173"/>
        <v>77576</v>
      </c>
      <c r="AP878" s="67">
        <f t="shared" si="174"/>
        <v>9872</v>
      </c>
      <c r="AQ878" s="67">
        <f t="shared" si="175"/>
        <v>10338</v>
      </c>
      <c r="AR878" s="67">
        <f t="shared" si="176"/>
        <v>16993</v>
      </c>
      <c r="AS878" s="67">
        <f>((F852-$F852)*(('Lake Pleasant Forecast'!B37-1526.8)/0.7702))/1000</f>
        <v>0</v>
      </c>
      <c r="AT878" s="67">
        <f t="shared" si="177"/>
        <v>114779</v>
      </c>
      <c r="AU878" s="561"/>
      <c r="AW878" s="67">
        <f t="shared" si="166"/>
        <v>13742</v>
      </c>
      <c r="AX878" s="72">
        <v>2.4700000000000002</v>
      </c>
    </row>
    <row r="879" spans="1:50" ht="15.75" customHeight="1" x14ac:dyDescent="0.3">
      <c r="A879" s="553"/>
      <c r="B879" s="67"/>
      <c r="C879" s="67"/>
      <c r="D879" s="67"/>
      <c r="E879" s="67"/>
      <c r="F879" s="70" t="s">
        <v>1193</v>
      </c>
      <c r="G879" s="70" t="s">
        <v>1194</v>
      </c>
      <c r="H879" s="67"/>
      <c r="I879" s="67"/>
      <c r="J879" s="67"/>
      <c r="K879" s="67"/>
      <c r="L879" s="67"/>
      <c r="M879" s="67"/>
      <c r="N879" s="67"/>
      <c r="O879" s="67"/>
      <c r="P879" s="67"/>
      <c r="Q879" s="67"/>
      <c r="R879" s="552"/>
      <c r="AC879" s="553" t="s">
        <v>707</v>
      </c>
      <c r="AD879" s="67">
        <f t="shared" si="167"/>
        <v>4344</v>
      </c>
      <c r="AE879" s="67">
        <f t="shared" si="168"/>
        <v>554</v>
      </c>
      <c r="AF879" s="67">
        <f t="shared" si="169"/>
        <v>581</v>
      </c>
      <c r="AG879" s="67">
        <f t="shared" si="170"/>
        <v>994</v>
      </c>
      <c r="AH879" s="67">
        <f t="shared" si="171"/>
        <v>1010.1661943892466</v>
      </c>
      <c r="AI879" s="67"/>
      <c r="AJ879" s="67">
        <f t="shared" si="172"/>
        <v>7483.1661943892468</v>
      </c>
      <c r="AK879" s="67"/>
      <c r="AL879" s="67"/>
      <c r="AM879" s="67"/>
      <c r="AN879" s="70" t="s">
        <v>707</v>
      </c>
      <c r="AO879" s="67">
        <f t="shared" si="173"/>
        <v>112848</v>
      </c>
      <c r="AP879" s="67">
        <f t="shared" si="174"/>
        <v>14353</v>
      </c>
      <c r="AQ879" s="67">
        <f t="shared" si="175"/>
        <v>15025</v>
      </c>
      <c r="AR879" s="67">
        <f t="shared" si="176"/>
        <v>24499</v>
      </c>
      <c r="AS879" s="67">
        <f>((F853-$F853)*(('Lake Pleasant Forecast'!B39-1526.8)/0.7702))/1000</f>
        <v>0</v>
      </c>
      <c r="AT879" s="67">
        <f t="shared" si="177"/>
        <v>166725</v>
      </c>
      <c r="AU879" s="561"/>
      <c r="AW879" s="67">
        <f t="shared" si="166"/>
        <v>11878</v>
      </c>
      <c r="AX879" s="72">
        <v>2.4700000000000002</v>
      </c>
    </row>
    <row r="880" spans="1:50" ht="15.75" customHeight="1" x14ac:dyDescent="0.3">
      <c r="A880" s="139" t="s">
        <v>2843</v>
      </c>
      <c r="B880" s="67">
        <f t="shared" ref="B880:Q880" si="178">(B851/$B$10/1.983)</f>
        <v>2478.1448766124963</v>
      </c>
      <c r="C880" s="67">
        <f t="shared" si="178"/>
        <v>2476.5669480910319</v>
      </c>
      <c r="D880" s="67">
        <f t="shared" si="178"/>
        <v>2475.0052868739122</v>
      </c>
      <c r="E880" s="67">
        <f t="shared" si="178"/>
        <v>2454.9151660078405</v>
      </c>
      <c r="F880" s="67">
        <f t="shared" si="178"/>
        <v>1764.2216908236135</v>
      </c>
      <c r="G880" s="67">
        <f t="shared" si="178"/>
        <v>0</v>
      </c>
      <c r="H880" s="67">
        <f t="shared" si="178"/>
        <v>387.32451645437834</v>
      </c>
      <c r="I880" s="67">
        <f t="shared" si="178"/>
        <v>147.77219266995266</v>
      </c>
      <c r="J880" s="67">
        <f t="shared" si="178"/>
        <v>147.43057927870774</v>
      </c>
      <c r="K880" s="67">
        <f t="shared" si="178"/>
        <v>145.82011614855304</v>
      </c>
      <c r="L880" s="67">
        <f t="shared" si="178"/>
        <v>126.90124119532152</v>
      </c>
      <c r="M880" s="67">
        <f t="shared" si="178"/>
        <v>126.57589510842158</v>
      </c>
      <c r="N880" s="67">
        <f t="shared" si="178"/>
        <v>124.7864916304719</v>
      </c>
      <c r="O880" s="67">
        <f t="shared" si="178"/>
        <v>63.117140858588321</v>
      </c>
      <c r="P880" s="67">
        <f t="shared" si="178"/>
        <v>59.993818424348902</v>
      </c>
      <c r="Q880" s="67">
        <f t="shared" si="178"/>
        <v>63.084606249898322</v>
      </c>
      <c r="R880" s="552"/>
      <c r="AC880" s="553" t="s">
        <v>1321</v>
      </c>
      <c r="AD880" s="67">
        <f t="shared" si="167"/>
        <v>26838</v>
      </c>
      <c r="AE880" s="67">
        <f t="shared" si="168"/>
        <v>3421</v>
      </c>
      <c r="AF880" s="67">
        <f t="shared" si="169"/>
        <v>3590</v>
      </c>
      <c r="AG880" s="67">
        <f t="shared" si="170"/>
        <v>6142</v>
      </c>
      <c r="AH880" s="67">
        <f t="shared" si="171"/>
        <v>6244.9057907037213</v>
      </c>
      <c r="AI880" s="67"/>
      <c r="AJ880" s="67">
        <f t="shared" si="172"/>
        <v>46235.90579070372</v>
      </c>
      <c r="AK880" s="67"/>
      <c r="AL880" s="67"/>
      <c r="AM880" s="67"/>
      <c r="AN880" s="70" t="s">
        <v>1321</v>
      </c>
      <c r="AO880" s="67">
        <f t="shared" si="173"/>
        <v>133033</v>
      </c>
      <c r="AP880" s="67">
        <f t="shared" si="174"/>
        <v>16914</v>
      </c>
      <c r="AQ880" s="67">
        <f t="shared" si="175"/>
        <v>17702</v>
      </c>
      <c r="AR880" s="67">
        <f t="shared" si="176"/>
        <v>28827</v>
      </c>
      <c r="AS880" s="67">
        <f>((F854-$F854)*(('Lake Pleasant Forecast'!B41-1526.8)/0.7702))/1000</f>
        <v>0</v>
      </c>
      <c r="AT880" s="67">
        <f t="shared" si="177"/>
        <v>196476</v>
      </c>
      <c r="AU880" s="561"/>
      <c r="AW880" s="67">
        <f t="shared" si="166"/>
        <v>12684</v>
      </c>
      <c r="AX880" s="72">
        <v>2.4700000000000002</v>
      </c>
    </row>
    <row r="881" spans="1:50" ht="15.75" customHeight="1" x14ac:dyDescent="0.3">
      <c r="A881" s="139" t="s">
        <v>2091</v>
      </c>
      <c r="B881" s="67">
        <f t="shared" ref="B881:Q881" si="179">(B852/$C$10/1.983)</f>
        <v>1981.515293790321</v>
      </c>
      <c r="C881" s="67">
        <f t="shared" si="179"/>
        <v>1978.9416940546366</v>
      </c>
      <c r="D881" s="67">
        <f t="shared" si="179"/>
        <v>1976.4202618811621</v>
      </c>
      <c r="E881" s="67">
        <f t="shared" si="179"/>
        <v>1921.1922026883683</v>
      </c>
      <c r="F881" s="67">
        <f t="shared" si="179"/>
        <v>571.91298450623401</v>
      </c>
      <c r="G881" s="67">
        <f t="shared" si="179"/>
        <v>0</v>
      </c>
      <c r="H881" s="67">
        <f t="shared" si="179"/>
        <v>1008.0338045803119</v>
      </c>
      <c r="I881" s="67">
        <f t="shared" si="179"/>
        <v>313.90961100387779</v>
      </c>
      <c r="J881" s="67">
        <f t="shared" si="179"/>
        <v>307.1452171040047</v>
      </c>
      <c r="K881" s="67">
        <f t="shared" si="179"/>
        <v>279.3920740083816</v>
      </c>
      <c r="L881" s="67">
        <f t="shared" si="179"/>
        <v>199.28008764150451</v>
      </c>
      <c r="M881" s="67">
        <f t="shared" si="179"/>
        <v>198.89752551863251</v>
      </c>
      <c r="N881" s="67">
        <f t="shared" si="179"/>
        <v>187.52499695689221</v>
      </c>
      <c r="O881" s="67">
        <f t="shared" si="179"/>
        <v>52.428400020867024</v>
      </c>
      <c r="P881" s="67">
        <f t="shared" si="179"/>
        <v>54.410767384840106</v>
      </c>
      <c r="Q881" s="67">
        <f t="shared" si="179"/>
        <v>52.376232458657206</v>
      </c>
      <c r="R881" s="552"/>
      <c r="AC881" s="553" t="s">
        <v>1905</v>
      </c>
      <c r="AD881" s="67">
        <f t="shared" si="167"/>
        <v>11857</v>
      </c>
      <c r="AE881" s="67">
        <f t="shared" si="168"/>
        <v>1512</v>
      </c>
      <c r="AF881" s="67">
        <f t="shared" si="169"/>
        <v>1586</v>
      </c>
      <c r="AG881" s="67">
        <f t="shared" si="170"/>
        <v>2713</v>
      </c>
      <c r="AH881" s="67">
        <f t="shared" si="171"/>
        <v>2727.6660607634371</v>
      </c>
      <c r="AI881" s="67"/>
      <c r="AJ881" s="67">
        <f t="shared" si="172"/>
        <v>20395.666060763437</v>
      </c>
      <c r="AK881" s="67"/>
      <c r="AL881" s="67"/>
      <c r="AM881" s="67"/>
      <c r="AN881" s="70" t="s">
        <v>1905</v>
      </c>
      <c r="AO881" s="67">
        <f t="shared" si="173"/>
        <v>158606</v>
      </c>
      <c r="AP881" s="67">
        <f t="shared" si="174"/>
        <v>20167</v>
      </c>
      <c r="AQ881" s="67">
        <f t="shared" si="175"/>
        <v>21108</v>
      </c>
      <c r="AR881" s="67">
        <f t="shared" si="176"/>
        <v>34506</v>
      </c>
      <c r="AS881" s="67">
        <f>((F855-$F855)*(('Lake Pleasant Forecast'!B43-1526.8)/0.7702))/1000</f>
        <v>0</v>
      </c>
      <c r="AT881" s="67">
        <f t="shared" si="177"/>
        <v>234387</v>
      </c>
      <c r="AU881" s="561"/>
      <c r="AW881" s="67">
        <f t="shared" si="166"/>
        <v>3979</v>
      </c>
      <c r="AX881" s="72">
        <v>2.4700000000000002</v>
      </c>
    </row>
    <row r="882" spans="1:50" ht="15.75" customHeight="1" x14ac:dyDescent="0.3">
      <c r="A882" s="139" t="s">
        <v>2234</v>
      </c>
      <c r="B882" s="67">
        <f t="shared" ref="B882:Q882" si="180">(B853/$D$10/1.983)</f>
        <v>1992.0615554796416</v>
      </c>
      <c r="C882" s="67">
        <f t="shared" si="180"/>
        <v>1987.6043140891122</v>
      </c>
      <c r="D882" s="67">
        <f t="shared" si="180"/>
        <v>1983.3585476550679</v>
      </c>
      <c r="E882" s="67">
        <f t="shared" si="180"/>
        <v>1893.5955622793747</v>
      </c>
      <c r="F882" s="67">
        <f t="shared" si="180"/>
        <v>73.837294421941337</v>
      </c>
      <c r="G882" s="67">
        <f t="shared" si="180"/>
        <v>-170.8229629268134</v>
      </c>
      <c r="H882" s="67">
        <f t="shared" si="180"/>
        <v>1454.589819920941</v>
      </c>
      <c r="I882" s="67">
        <f t="shared" si="180"/>
        <v>514.71377678004978</v>
      </c>
      <c r="J882" s="67">
        <f t="shared" si="180"/>
        <v>400.25702340865098</v>
      </c>
      <c r="K882" s="67">
        <f t="shared" si="180"/>
        <v>357.91323019862375</v>
      </c>
      <c r="L882" s="67">
        <f t="shared" si="180"/>
        <v>284.4663510809624</v>
      </c>
      <c r="M882" s="67">
        <f t="shared" si="180"/>
        <v>284.01086655930249</v>
      </c>
      <c r="N882" s="67">
        <f t="shared" si="180"/>
        <v>271.12716151806484</v>
      </c>
      <c r="O882" s="67">
        <f t="shared" si="180"/>
        <v>64.93907894522799</v>
      </c>
      <c r="P882" s="67">
        <f t="shared" si="180"/>
        <v>64.451059814878079</v>
      </c>
      <c r="Q882" s="67">
        <f t="shared" si="180"/>
        <v>64.857742423502998</v>
      </c>
      <c r="R882" s="552"/>
      <c r="AC882" s="553" t="s">
        <v>1906</v>
      </c>
      <c r="AD882" s="67">
        <f t="shared" si="167"/>
        <v>0</v>
      </c>
      <c r="AE882" s="67">
        <f t="shared" si="168"/>
        <v>0</v>
      </c>
      <c r="AF882" s="67">
        <f t="shared" si="169"/>
        <v>0</v>
      </c>
      <c r="AG882" s="67">
        <f t="shared" si="170"/>
        <v>0</v>
      </c>
      <c r="AH882" s="67">
        <f t="shared" si="171"/>
        <v>0</v>
      </c>
      <c r="AI882" s="67"/>
      <c r="AJ882" s="67">
        <f t="shared" si="172"/>
        <v>0</v>
      </c>
      <c r="AK882" s="67"/>
      <c r="AL882" s="67"/>
      <c r="AM882" s="67"/>
      <c r="AN882" s="70" t="s">
        <v>1906</v>
      </c>
      <c r="AO882" s="67">
        <f t="shared" si="173"/>
        <v>87696</v>
      </c>
      <c r="AP882" s="67">
        <f t="shared" si="174"/>
        <v>11129</v>
      </c>
      <c r="AQ882" s="67">
        <f t="shared" si="175"/>
        <v>11625</v>
      </c>
      <c r="AR882" s="67">
        <f t="shared" si="176"/>
        <v>18097</v>
      </c>
      <c r="AS882" s="67">
        <f>((F856-$F856)*(('Lake Pleasant Forecast'!B45-1526.8)/0.7702))/1000</f>
        <v>0</v>
      </c>
      <c r="AT882" s="67">
        <f t="shared" si="177"/>
        <v>128547</v>
      </c>
      <c r="AU882" s="561"/>
      <c r="AW882" s="67">
        <f t="shared" si="166"/>
        <v>4086</v>
      </c>
      <c r="AX882" s="72">
        <v>2.4700000000000002</v>
      </c>
    </row>
    <row r="883" spans="1:50" ht="15.75" customHeight="1" x14ac:dyDescent="0.3">
      <c r="A883" s="139" t="s">
        <v>2235</v>
      </c>
      <c r="B883" s="67">
        <f t="shared" ref="B883:Q883" si="181">(B854/$F$10/1.983)</f>
        <v>2808.1022020507644</v>
      </c>
      <c r="C883" s="67">
        <f t="shared" si="181"/>
        <v>2801.9330979996639</v>
      </c>
      <c r="D883" s="67">
        <f t="shared" si="181"/>
        <v>2796.0497562615565</v>
      </c>
      <c r="E883" s="67">
        <f t="shared" si="181"/>
        <v>2684.0477391158174</v>
      </c>
      <c r="F883" s="67">
        <f t="shared" si="181"/>
        <v>471.40695915279872</v>
      </c>
      <c r="G883" s="67">
        <f t="shared" si="181"/>
        <v>0</v>
      </c>
      <c r="H883" s="67">
        <f t="shared" si="181"/>
        <v>1734.5100016809547</v>
      </c>
      <c r="I883" s="67">
        <f t="shared" si="181"/>
        <v>661.32123045890069</v>
      </c>
      <c r="J883" s="67">
        <f t="shared" si="181"/>
        <v>507.6819633551857</v>
      </c>
      <c r="K883" s="67">
        <f t="shared" si="181"/>
        <v>424.27298705664816</v>
      </c>
      <c r="L883" s="67">
        <f t="shared" si="181"/>
        <v>354.2780299209951</v>
      </c>
      <c r="M883" s="67">
        <f t="shared" si="181"/>
        <v>353.65607665153806</v>
      </c>
      <c r="N883" s="67">
        <f t="shared" si="181"/>
        <v>345.48663640948058</v>
      </c>
      <c r="O883" s="67">
        <f t="shared" si="181"/>
        <v>70.04538577912254</v>
      </c>
      <c r="P883" s="67">
        <f t="shared" si="181"/>
        <v>57.387796268280376</v>
      </c>
      <c r="Q883" s="67">
        <f t="shared" si="181"/>
        <v>69.221717935787524</v>
      </c>
      <c r="R883" s="552"/>
      <c r="AC883" s="553" t="s">
        <v>1907</v>
      </c>
      <c r="AD883" s="67">
        <f t="shared" si="167"/>
        <v>0</v>
      </c>
      <c r="AE883" s="67">
        <f t="shared" si="168"/>
        <v>0</v>
      </c>
      <c r="AF883" s="67">
        <f t="shared" si="169"/>
        <v>0</v>
      </c>
      <c r="AG883" s="67">
        <f t="shared" si="170"/>
        <v>0</v>
      </c>
      <c r="AH883" s="67">
        <f t="shared" si="171"/>
        <v>0</v>
      </c>
      <c r="AI883" s="67"/>
      <c r="AJ883" s="67">
        <f t="shared" si="172"/>
        <v>0</v>
      </c>
      <c r="AK883" s="67"/>
      <c r="AL883" s="67"/>
      <c r="AM883" s="67"/>
      <c r="AN883" s="70" t="s">
        <v>1907</v>
      </c>
      <c r="AO883" s="67">
        <f t="shared" si="173"/>
        <v>74094</v>
      </c>
      <c r="AP883" s="67">
        <f t="shared" si="174"/>
        <v>9395</v>
      </c>
      <c r="AQ883" s="67">
        <f t="shared" si="175"/>
        <v>9806</v>
      </c>
      <c r="AR883" s="67">
        <f t="shared" si="176"/>
        <v>14892</v>
      </c>
      <c r="AS883" s="67">
        <f>((F857-$F857)*(('Lake Pleasant Forecast'!B47-1526.8)/0.7702))/1000</f>
        <v>0</v>
      </c>
      <c r="AT883" s="67">
        <f t="shared" si="177"/>
        <v>108187</v>
      </c>
      <c r="AU883" s="561"/>
      <c r="AW883" s="67">
        <f t="shared" si="166"/>
        <v>9471</v>
      </c>
      <c r="AX883" s="72">
        <v>2.4700000000000002</v>
      </c>
    </row>
    <row r="884" spans="1:50" ht="15.75" customHeight="1" x14ac:dyDescent="0.3">
      <c r="A884" s="139" t="s">
        <v>2236</v>
      </c>
      <c r="B884" s="67">
        <f t="shared" ref="B884:Q884" si="182">(B855/$G$10/1.983)</f>
        <v>2897.5647845395538</v>
      </c>
      <c r="C884" s="67">
        <f t="shared" si="182"/>
        <v>2890.65118019293</v>
      </c>
      <c r="D884" s="67">
        <f t="shared" si="182"/>
        <v>2884.1117238462411</v>
      </c>
      <c r="E884" s="67">
        <f t="shared" si="182"/>
        <v>2764.6446407365834</v>
      </c>
      <c r="F884" s="67">
        <f t="shared" si="182"/>
        <v>201.55190083451271</v>
      </c>
      <c r="G884" s="67">
        <f>(G855/$G$10/1.983)</f>
        <v>0</v>
      </c>
      <c r="H884" s="67">
        <f t="shared" si="182"/>
        <v>1939.453093227921</v>
      </c>
      <c r="I884" s="67">
        <f t="shared" si="182"/>
        <v>592.29255120134042</v>
      </c>
      <c r="J884" s="67">
        <f t="shared" si="182"/>
        <v>439.83537488002861</v>
      </c>
      <c r="K884" s="67">
        <f t="shared" si="182"/>
        <v>394.254388105347</v>
      </c>
      <c r="L884" s="67">
        <f t="shared" si="182"/>
        <v>358.79166463325362</v>
      </c>
      <c r="M884" s="67">
        <f t="shared" si="182"/>
        <v>358.10843785076372</v>
      </c>
      <c r="N884" s="67">
        <f t="shared" si="182"/>
        <v>339.59624550615712</v>
      </c>
      <c r="O884" s="67">
        <f t="shared" si="182"/>
        <v>66.793551640557638</v>
      </c>
      <c r="P884" s="67">
        <f t="shared" si="182"/>
        <v>24.05934312625055</v>
      </c>
      <c r="Q884" s="67">
        <f t="shared" si="182"/>
        <v>66.663413205797667</v>
      </c>
      <c r="R884" s="552"/>
      <c r="AC884" s="553" t="s">
        <v>1908</v>
      </c>
      <c r="AD884" s="67">
        <f t="shared" si="167"/>
        <v>0</v>
      </c>
      <c r="AE884" s="67">
        <f t="shared" si="168"/>
        <v>0</v>
      </c>
      <c r="AF884" s="67">
        <f t="shared" si="169"/>
        <v>0</v>
      </c>
      <c r="AG884" s="67">
        <f t="shared" si="170"/>
        <v>0</v>
      </c>
      <c r="AH884" s="67">
        <f t="shared" si="171"/>
        <v>0</v>
      </c>
      <c r="AI884" s="67"/>
      <c r="AJ884" s="67">
        <f t="shared" si="172"/>
        <v>0</v>
      </c>
      <c r="AK884" s="67"/>
      <c r="AL884" s="67"/>
      <c r="AM884" s="67"/>
      <c r="AN884" s="70" t="s">
        <v>1908</v>
      </c>
      <c r="AO884" s="67">
        <f t="shared" si="173"/>
        <v>64780</v>
      </c>
      <c r="AP884" s="67">
        <f t="shared" si="174"/>
        <v>8218</v>
      </c>
      <c r="AQ884" s="67">
        <f t="shared" si="175"/>
        <v>8581</v>
      </c>
      <c r="AR884" s="67">
        <f t="shared" si="176"/>
        <v>13053</v>
      </c>
      <c r="AS884" s="67">
        <f>((F858-$F858)*(('Lake Pleasant Forecast'!B49-1526.8)/0.7702))/1000</f>
        <v>0</v>
      </c>
      <c r="AT884" s="67">
        <f t="shared" si="177"/>
        <v>94632</v>
      </c>
      <c r="AU884" s="561"/>
      <c r="AW884" s="67"/>
      <c r="AX884" s="72"/>
    </row>
    <row r="885" spans="1:50" ht="15.75" customHeight="1" x14ac:dyDescent="0.3">
      <c r="A885" s="139" t="s">
        <v>2237</v>
      </c>
      <c r="B885" s="67">
        <f t="shared" ref="B885:Q885" si="183">(B856/$H$10/1.983)</f>
        <v>1540.3597243234155</v>
      </c>
      <c r="C885" s="67">
        <f t="shared" si="183"/>
        <v>1533.3501428811564</v>
      </c>
      <c r="D885" s="67">
        <f t="shared" si="183"/>
        <v>1526.6935619431838</v>
      </c>
      <c r="E885" s="67">
        <f t="shared" si="183"/>
        <v>1389.0401748192974</v>
      </c>
      <c r="F885" s="67">
        <f t="shared" si="183"/>
        <v>0</v>
      </c>
      <c r="G885" s="67">
        <f t="shared" si="183"/>
        <v>-1893.9821818793075</v>
      </c>
      <c r="H885" s="67">
        <f t="shared" si="183"/>
        <v>2437.7374348630024</v>
      </c>
      <c r="I885" s="67">
        <f t="shared" si="183"/>
        <v>763.28794755421075</v>
      </c>
      <c r="J885" s="67">
        <f t="shared" si="183"/>
        <v>488.75441250630359</v>
      </c>
      <c r="K885" s="67">
        <f t="shared" si="183"/>
        <v>385.67826525466461</v>
      </c>
      <c r="L885" s="67">
        <f t="shared" si="183"/>
        <v>354.8327449991595</v>
      </c>
      <c r="M885" s="67">
        <f t="shared" si="183"/>
        <v>354.09312489494027</v>
      </c>
      <c r="N885" s="67">
        <f t="shared" si="183"/>
        <v>326.34056143889728</v>
      </c>
      <c r="O885" s="67">
        <f t="shared" si="183"/>
        <v>73.793914943688023</v>
      </c>
      <c r="P885" s="67">
        <f t="shared" si="183"/>
        <v>81.812069255337022</v>
      </c>
      <c r="Q885" s="67">
        <f t="shared" si="183"/>
        <v>73.642629013279532</v>
      </c>
      <c r="R885" s="552"/>
      <c r="AC885" s="553" t="s">
        <v>2352</v>
      </c>
      <c r="AD885" s="67">
        <f t="shared" si="167"/>
        <v>18572</v>
      </c>
      <c r="AE885" s="67">
        <f t="shared" si="168"/>
        <v>2368</v>
      </c>
      <c r="AF885" s="67">
        <f t="shared" si="169"/>
        <v>2484</v>
      </c>
      <c r="AG885" s="67">
        <f t="shared" si="170"/>
        <v>4250</v>
      </c>
      <c r="AH885" s="67">
        <f t="shared" si="171"/>
        <v>3305.4700429482418</v>
      </c>
      <c r="AI885" s="67"/>
      <c r="AJ885" s="67">
        <f t="shared" si="172"/>
        <v>30979.47004294824</v>
      </c>
      <c r="AK885" s="67"/>
      <c r="AL885" s="67"/>
      <c r="AM885" s="67"/>
      <c r="AN885" s="70" t="s">
        <v>2352</v>
      </c>
      <c r="AO885" s="67">
        <f t="shared" si="173"/>
        <v>107032</v>
      </c>
      <c r="AP885" s="67">
        <f t="shared" si="174"/>
        <v>13606</v>
      </c>
      <c r="AQ885" s="67">
        <f t="shared" si="175"/>
        <v>14237</v>
      </c>
      <c r="AR885" s="67">
        <f t="shared" si="176"/>
        <v>23475</v>
      </c>
      <c r="AS885" s="67">
        <f>((F859-$F859)*(('Lake Pleasant Forecast'!B51-1526.8)/0.7702))/1000</f>
        <v>0</v>
      </c>
      <c r="AT885" s="67">
        <f t="shared" si="177"/>
        <v>158350</v>
      </c>
      <c r="AU885" s="561"/>
      <c r="AW885" s="67">
        <f>(SUM(AW872:AW883))</f>
        <v>123847</v>
      </c>
      <c r="AX885" s="72"/>
    </row>
    <row r="886" spans="1:50" ht="15.75" customHeight="1" x14ac:dyDescent="0.3">
      <c r="A886" s="139" t="s">
        <v>1504</v>
      </c>
      <c r="B886" s="67">
        <f t="shared" ref="B886:Q886" si="184">(B857/$J$10/1.983)</f>
        <v>1259.4635043027019</v>
      </c>
      <c r="C886" s="67">
        <f t="shared" si="184"/>
        <v>1252.6963056951831</v>
      </c>
      <c r="D886" s="67">
        <f t="shared" si="184"/>
        <v>1246.2869877832545</v>
      </c>
      <c r="E886" s="67">
        <f t="shared" si="184"/>
        <v>1106.1929627641402</v>
      </c>
      <c r="F886" s="67">
        <f t="shared" si="184"/>
        <v>0</v>
      </c>
      <c r="G886" s="67">
        <f t="shared" si="184"/>
        <v>-1951.2143542693541</v>
      </c>
      <c r="H886" s="67">
        <f t="shared" si="184"/>
        <v>2085.452149724269</v>
      </c>
      <c r="I886" s="67">
        <f t="shared" si="184"/>
        <v>813.49535568460954</v>
      </c>
      <c r="J886" s="67">
        <f t="shared" si="184"/>
        <v>462.46319522391946</v>
      </c>
      <c r="K886" s="67">
        <f t="shared" si="184"/>
        <v>412.71777853691862</v>
      </c>
      <c r="L886" s="67">
        <f t="shared" si="184"/>
        <v>357.57161680737886</v>
      </c>
      <c r="M886" s="67">
        <f t="shared" si="184"/>
        <v>356.9371919379239</v>
      </c>
      <c r="N886" s="67">
        <f t="shared" si="184"/>
        <v>322.19022985701037</v>
      </c>
      <c r="O886" s="67">
        <f t="shared" si="184"/>
        <v>59.440730076619005</v>
      </c>
      <c r="P886" s="67">
        <f t="shared" si="184"/>
        <v>79.85619702959022</v>
      </c>
      <c r="Q886" s="67">
        <f t="shared" si="184"/>
        <v>59.278057033169027</v>
      </c>
      <c r="R886" s="552"/>
      <c r="AC886" s="553" t="s">
        <v>2353</v>
      </c>
      <c r="AD886" s="67">
        <f t="shared" si="167"/>
        <v>38291</v>
      </c>
      <c r="AE886" s="67">
        <f t="shared" si="168"/>
        <v>4881</v>
      </c>
      <c r="AF886" s="67">
        <f t="shared" si="169"/>
        <v>5121</v>
      </c>
      <c r="AG886" s="67">
        <f t="shared" si="170"/>
        <v>8762</v>
      </c>
      <c r="AH886" s="67">
        <f t="shared" si="171"/>
        <v>7216.7334718255024</v>
      </c>
      <c r="AI886" s="67"/>
      <c r="AJ886" s="67">
        <f t="shared" si="172"/>
        <v>64271.733471825501</v>
      </c>
      <c r="AK886" s="67"/>
      <c r="AL886" s="67"/>
      <c r="AM886" s="67"/>
      <c r="AN886" s="70" t="s">
        <v>2353</v>
      </c>
      <c r="AO886" s="67">
        <f t="shared" si="173"/>
        <v>89409</v>
      </c>
      <c r="AP886" s="67">
        <f t="shared" si="174"/>
        <v>11363</v>
      </c>
      <c r="AQ886" s="67">
        <f t="shared" si="175"/>
        <v>11887</v>
      </c>
      <c r="AR886" s="67">
        <f t="shared" si="176"/>
        <v>19763</v>
      </c>
      <c r="AS886" s="67">
        <f>((F860-$F860)*(('Lake Pleasant Forecast'!B53-1526.8)/0.7702))/1000</f>
        <v>0</v>
      </c>
      <c r="AT886" s="67">
        <f t="shared" si="177"/>
        <v>132422</v>
      </c>
      <c r="AU886" s="561"/>
    </row>
    <row r="887" spans="1:50" ht="15.75" customHeight="1" x14ac:dyDescent="0.3">
      <c r="A887" s="139" t="s">
        <v>1505</v>
      </c>
      <c r="B887" s="67">
        <f t="shared" ref="B887:Q887" si="185">(B858/$K$10/1.983)</f>
        <v>1101.1500984171912</v>
      </c>
      <c r="C887" s="67">
        <f t="shared" si="185"/>
        <v>1095.7168187659622</v>
      </c>
      <c r="D887" s="67">
        <f t="shared" si="185"/>
        <v>1090.5438159842531</v>
      </c>
      <c r="E887" s="67">
        <f t="shared" si="185"/>
        <v>969.54760626616553</v>
      </c>
      <c r="F887" s="67">
        <f t="shared" si="185"/>
        <v>0</v>
      </c>
      <c r="G887" s="67">
        <f t="shared" si="185"/>
        <v>-1427.2282140126558</v>
      </c>
      <c r="H887" s="67">
        <f t="shared" si="185"/>
        <v>1576.2529891171732</v>
      </c>
      <c r="I887" s="67">
        <f t="shared" si="185"/>
        <v>584.89092772436675</v>
      </c>
      <c r="J887" s="67">
        <f t="shared" si="185"/>
        <v>410.92837505896898</v>
      </c>
      <c r="K887" s="67">
        <f t="shared" si="185"/>
        <v>352.75649472125974</v>
      </c>
      <c r="L887" s="67">
        <f t="shared" si="185"/>
        <v>327.65604411692937</v>
      </c>
      <c r="M887" s="67">
        <f t="shared" si="185"/>
        <v>327.07042116050951</v>
      </c>
      <c r="N887" s="67">
        <f t="shared" si="185"/>
        <v>292.69760707953083</v>
      </c>
      <c r="O887" s="67">
        <f t="shared" si="185"/>
        <v>34.974704341743532</v>
      </c>
      <c r="P887" s="67">
        <f t="shared" si="185"/>
        <v>77.481170595220661</v>
      </c>
      <c r="Q887" s="67">
        <f t="shared" si="185"/>
        <v>34.877100515673547</v>
      </c>
      <c r="R887" s="552"/>
      <c r="AC887" s="553" t="s">
        <v>2354</v>
      </c>
      <c r="AD887" s="67">
        <f t="shared" si="167"/>
        <v>71516</v>
      </c>
      <c r="AE887" s="67">
        <f t="shared" si="168"/>
        <v>9117</v>
      </c>
      <c r="AF887" s="67">
        <f t="shared" si="169"/>
        <v>9565</v>
      </c>
      <c r="AG887" s="67">
        <f t="shared" si="170"/>
        <v>16366</v>
      </c>
      <c r="AH887" s="67">
        <f t="shared" si="171"/>
        <v>14187.060997143602</v>
      </c>
      <c r="AI887" s="67"/>
      <c r="AJ887" s="67">
        <f t="shared" si="172"/>
        <v>120751.06099714361</v>
      </c>
      <c r="AK887" s="67"/>
      <c r="AL887" s="67"/>
      <c r="AM887" s="67"/>
      <c r="AN887" s="70" t="s">
        <v>2354</v>
      </c>
      <c r="AO887" s="67">
        <f t="shared" si="173"/>
        <v>60947</v>
      </c>
      <c r="AP887" s="67">
        <f t="shared" si="174"/>
        <v>7741</v>
      </c>
      <c r="AQ887" s="67">
        <f t="shared" si="175"/>
        <v>8093</v>
      </c>
      <c r="AR887" s="67">
        <f t="shared" si="176"/>
        <v>13622</v>
      </c>
      <c r="AS887" s="67">
        <f>((F861-$F861)*(('Lake Pleasant Forecast'!B55-1526.8)/0.7702))/1000</f>
        <v>0</v>
      </c>
      <c r="AT887" s="67">
        <f t="shared" si="177"/>
        <v>90403</v>
      </c>
      <c r="AU887" s="561"/>
    </row>
    <row r="888" spans="1:50" ht="15.75" customHeight="1" x14ac:dyDescent="0.3">
      <c r="A888" s="139" t="s">
        <v>1506</v>
      </c>
      <c r="B888" s="67">
        <f t="shared" ref="B888:Q888" si="186">(B859/$L$10/1.983)</f>
        <v>2206.2027231467468</v>
      </c>
      <c r="C888" s="67">
        <f t="shared" si="186"/>
        <v>2200.8909060346277</v>
      </c>
      <c r="D888" s="67">
        <f t="shared" si="186"/>
        <v>2195.8312321398553</v>
      </c>
      <c r="E888" s="67">
        <f t="shared" si="186"/>
        <v>2128.0215162212135</v>
      </c>
      <c r="F888" s="67">
        <f t="shared" si="186"/>
        <v>326.20608505631196</v>
      </c>
      <c r="G888" s="67">
        <f t="shared" si="186"/>
        <v>-378.14758782988736</v>
      </c>
      <c r="H888" s="67">
        <f t="shared" si="186"/>
        <v>1346.5960665658095</v>
      </c>
      <c r="I888" s="67">
        <f t="shared" si="186"/>
        <v>561.52294503277858</v>
      </c>
      <c r="J888" s="67">
        <f t="shared" si="186"/>
        <v>436.49352832408806</v>
      </c>
      <c r="K888" s="67">
        <f t="shared" si="186"/>
        <v>385.54378887207929</v>
      </c>
      <c r="L888" s="67">
        <f t="shared" si="186"/>
        <v>319.76802824004034</v>
      </c>
      <c r="M888" s="67">
        <f t="shared" si="186"/>
        <v>319.1965036140528</v>
      </c>
      <c r="N888" s="67">
        <f t="shared" si="186"/>
        <v>289.51084215834595</v>
      </c>
      <c r="O888" s="67">
        <f t="shared" si="186"/>
        <v>81.106068246764167</v>
      </c>
      <c r="P888" s="67">
        <f t="shared" si="186"/>
        <v>56.816271642292818</v>
      </c>
      <c r="Q888" s="67">
        <f t="shared" si="186"/>
        <v>81.005210959825177</v>
      </c>
      <c r="R888" s="552"/>
      <c r="AC888" s="553" t="s">
        <v>2355</v>
      </c>
      <c r="AD888" s="67">
        <f t="shared" si="167"/>
        <v>50136</v>
      </c>
      <c r="AE888" s="67">
        <f t="shared" si="168"/>
        <v>6391</v>
      </c>
      <c r="AF888" s="67">
        <f t="shared" si="169"/>
        <v>6706</v>
      </c>
      <c r="AG888" s="67">
        <f t="shared" si="170"/>
        <v>11473</v>
      </c>
      <c r="AH888" s="67">
        <f t="shared" si="171"/>
        <v>10416.515352189646</v>
      </c>
      <c r="AI888" s="67"/>
      <c r="AJ888" s="67">
        <f t="shared" si="172"/>
        <v>85122.515352189643</v>
      </c>
      <c r="AK888" s="67"/>
      <c r="AL888" s="67"/>
      <c r="AM888" s="67"/>
      <c r="AN888" s="70" t="s">
        <v>2355</v>
      </c>
      <c r="AO888" s="67">
        <f t="shared" si="173"/>
        <v>62017</v>
      </c>
      <c r="AP888" s="67">
        <f t="shared" si="174"/>
        <v>7883</v>
      </c>
      <c r="AQ888" s="67">
        <f t="shared" si="175"/>
        <v>8248</v>
      </c>
      <c r="AR888" s="67">
        <f t="shared" si="176"/>
        <v>13818</v>
      </c>
      <c r="AS888" s="67">
        <f>((F862-$F862)*(('Lake Pleasant Forecast'!B57-1526.8)/0.7702))/1000</f>
        <v>0</v>
      </c>
      <c r="AT888" s="67">
        <f t="shared" si="177"/>
        <v>91966</v>
      </c>
      <c r="AU888" s="561"/>
    </row>
    <row r="889" spans="1:50" ht="15.75" customHeight="1" x14ac:dyDescent="0.3">
      <c r="A889" s="139" t="s">
        <v>1507</v>
      </c>
      <c r="B889" s="67">
        <f t="shared" ref="B889:Q889" si="187">(B860/$N$10/1.983)</f>
        <v>2170.660289883363</v>
      </c>
      <c r="C889" s="67">
        <f t="shared" si="187"/>
        <v>2166.024108145039</v>
      </c>
      <c r="D889" s="67">
        <f t="shared" si="187"/>
        <v>2161.5994013631998</v>
      </c>
      <c r="E889" s="67">
        <f t="shared" si="187"/>
        <v>2118.865192848893</v>
      </c>
      <c r="F889" s="67">
        <f t="shared" si="187"/>
        <v>650.87111414767458</v>
      </c>
      <c r="G889" s="67">
        <f t="shared" si="187"/>
        <v>-18.951409561921491</v>
      </c>
      <c r="H889" s="67">
        <f t="shared" si="187"/>
        <v>850.08052315650775</v>
      </c>
      <c r="I889" s="67">
        <f t="shared" si="187"/>
        <v>179.90011875132171</v>
      </c>
      <c r="J889" s="67">
        <f t="shared" si="187"/>
        <v>133.73350902022025</v>
      </c>
      <c r="K889" s="67">
        <f t="shared" si="187"/>
        <v>128.59304084720119</v>
      </c>
      <c r="L889" s="67">
        <f t="shared" si="187"/>
        <v>103.59019406894082</v>
      </c>
      <c r="M889" s="67">
        <f t="shared" si="187"/>
        <v>103.11844224293591</v>
      </c>
      <c r="N889" s="67">
        <f t="shared" si="187"/>
        <v>91.568656157988059</v>
      </c>
      <c r="O889" s="67">
        <f t="shared" si="187"/>
        <v>30.240918777349403</v>
      </c>
      <c r="P889" s="67">
        <f t="shared" si="187"/>
        <v>0</v>
      </c>
      <c r="Q889" s="67">
        <f t="shared" si="187"/>
        <v>30.159582255624418</v>
      </c>
      <c r="R889" s="552"/>
      <c r="AC889" s="551"/>
      <c r="AD889" s="67"/>
      <c r="AE889" s="67"/>
      <c r="AF889" s="67"/>
      <c r="AG889" s="67"/>
      <c r="AH889" s="67"/>
      <c r="AI889" s="67"/>
      <c r="AJ889" s="67"/>
      <c r="AK889" s="67"/>
      <c r="AL889" s="67"/>
      <c r="AM889" s="67"/>
      <c r="AN889" s="67"/>
      <c r="AO889" s="67"/>
      <c r="AP889" s="67"/>
      <c r="AQ889" s="67"/>
      <c r="AR889" s="67"/>
      <c r="AS889" s="67"/>
      <c r="AT889" s="67"/>
      <c r="AU889" s="561"/>
    </row>
    <row r="890" spans="1:50" ht="15.75" customHeight="1" thickBot="1" x14ac:dyDescent="0.35">
      <c r="A890" s="139" t="s">
        <v>1508</v>
      </c>
      <c r="B890" s="67">
        <f t="shared" ref="B890:Q890" si="188">(B861/$O$10/1.983)</f>
        <v>2326.6767523953604</v>
      </c>
      <c r="C890" s="67">
        <f t="shared" si="188"/>
        <v>2322.7265086569168</v>
      </c>
      <c r="D890" s="67">
        <f t="shared" si="188"/>
        <v>2318.9275508488822</v>
      </c>
      <c r="E890" s="67">
        <f t="shared" si="188"/>
        <v>2301.7650025214321</v>
      </c>
      <c r="F890" s="67">
        <f t="shared" si="188"/>
        <v>1256.1606992771895</v>
      </c>
      <c r="G890" s="67">
        <f t="shared" si="188"/>
        <v>0</v>
      </c>
      <c r="H890" s="67">
        <f t="shared" si="188"/>
        <v>543.70482434022529</v>
      </c>
      <c r="I890" s="67">
        <f t="shared" si="188"/>
        <v>201.59690704320053</v>
      </c>
      <c r="J890" s="67">
        <f t="shared" si="188"/>
        <v>174.78567826525466</v>
      </c>
      <c r="K890" s="67">
        <f t="shared" si="188"/>
        <v>173.62581946545637</v>
      </c>
      <c r="L890" s="67">
        <f t="shared" si="188"/>
        <v>120.64212472684484</v>
      </c>
      <c r="M890" s="67">
        <f t="shared" si="188"/>
        <v>120.25550512691208</v>
      </c>
      <c r="N890" s="67">
        <f t="shared" si="188"/>
        <v>119.53269457051604</v>
      </c>
      <c r="O890" s="67">
        <f t="shared" si="188"/>
        <v>19.616742309631871</v>
      </c>
      <c r="P890" s="67">
        <f t="shared" si="188"/>
        <v>0</v>
      </c>
      <c r="Q890" s="67">
        <f t="shared" si="188"/>
        <v>19.56631366616238</v>
      </c>
      <c r="R890" s="552"/>
      <c r="AC890" s="558" t="s">
        <v>2356</v>
      </c>
      <c r="AD890" s="555">
        <f>SUM(AD877:AD888)</f>
        <v>356818</v>
      </c>
      <c r="AE890" s="555">
        <f>SUM(AE877:AE888)</f>
        <v>45487</v>
      </c>
      <c r="AF890" s="555">
        <f>SUM(AF877:AF888)</f>
        <v>47725</v>
      </c>
      <c r="AG890" s="555">
        <f>SUM(AG877:AG888)</f>
        <v>81654</v>
      </c>
      <c r="AH890" s="555">
        <f>SUM(AH877:AH888)</f>
        <v>75466.122895681372</v>
      </c>
      <c r="AI890" s="555"/>
      <c r="AJ890" s="555">
        <f>SUM(AJ877:AJ888)</f>
        <v>607150.12289568142</v>
      </c>
      <c r="AK890" s="555"/>
      <c r="AL890" s="555"/>
      <c r="AM890" s="555"/>
      <c r="AN890" s="564" t="s">
        <v>2356</v>
      </c>
      <c r="AO890" s="555">
        <f t="shared" ref="AO890:AT890" si="189">SUM(AO877:AO888)</f>
        <v>1070038</v>
      </c>
      <c r="AP890" s="555">
        <f t="shared" si="189"/>
        <v>135983</v>
      </c>
      <c r="AQ890" s="555">
        <f t="shared" si="189"/>
        <v>142243</v>
      </c>
      <c r="AR890" s="555">
        <f t="shared" si="189"/>
        <v>230844</v>
      </c>
      <c r="AS890" s="555">
        <f t="shared" si="189"/>
        <v>0</v>
      </c>
      <c r="AT890" s="555">
        <f t="shared" si="189"/>
        <v>1579108</v>
      </c>
      <c r="AU890" s="565"/>
    </row>
    <row r="891" spans="1:50" ht="15.75" customHeight="1" thickBot="1" x14ac:dyDescent="0.35">
      <c r="A891" s="645" t="s">
        <v>1509</v>
      </c>
      <c r="B891" s="555">
        <f t="shared" ref="B891:Q891" si="190">(B862/$P$10/1.983)</f>
        <v>1906.4141981032324</v>
      </c>
      <c r="C891" s="555">
        <f t="shared" si="190"/>
        <v>1903.3884794950627</v>
      </c>
      <c r="D891" s="555">
        <f t="shared" si="190"/>
        <v>1900.4766320173082</v>
      </c>
      <c r="E891" s="555">
        <f t="shared" si="190"/>
        <v>1878.6621768906673</v>
      </c>
      <c r="F891" s="555">
        <f t="shared" si="190"/>
        <v>852.22780733004731</v>
      </c>
      <c r="G891" s="555">
        <f t="shared" si="190"/>
        <v>0</v>
      </c>
      <c r="H891" s="555">
        <f t="shared" si="190"/>
        <v>680.42880614253409</v>
      </c>
      <c r="I891" s="555">
        <f t="shared" si="190"/>
        <v>259.90272152001688</v>
      </c>
      <c r="J891" s="555">
        <f t="shared" si="190"/>
        <v>241.87854830576023</v>
      </c>
      <c r="K891" s="555">
        <f t="shared" si="190"/>
        <v>241.19532152327037</v>
      </c>
      <c r="L891" s="555">
        <f t="shared" si="190"/>
        <v>232.86646169863189</v>
      </c>
      <c r="M891" s="555">
        <f t="shared" si="190"/>
        <v>232.55738291607699</v>
      </c>
      <c r="N891" s="555">
        <f t="shared" si="190"/>
        <v>229.25512013404258</v>
      </c>
      <c r="O891" s="555">
        <f t="shared" si="190"/>
        <v>71.95028711792169</v>
      </c>
      <c r="P891" s="555">
        <f t="shared" si="190"/>
        <v>0</v>
      </c>
      <c r="Q891" s="555">
        <f t="shared" si="190"/>
        <v>71.917752509231704</v>
      </c>
      <c r="R891" s="556"/>
    </row>
    <row r="892" spans="1:50" ht="15.75" customHeight="1" x14ac:dyDescent="0.3">
      <c r="R892" s="547"/>
      <c r="AC892" s="685"/>
      <c r="AD892" s="782" t="s">
        <v>2922</v>
      </c>
      <c r="AE892" s="785"/>
      <c r="AF892" s="785"/>
      <c r="AG892" s="785"/>
      <c r="AH892" s="785"/>
      <c r="AI892" s="785"/>
      <c r="AJ892" s="785"/>
      <c r="AK892" s="785"/>
      <c r="AL892" s="785"/>
      <c r="AM892" s="785"/>
      <c r="AN892" s="785"/>
      <c r="AO892" s="785"/>
      <c r="AP892" s="785"/>
      <c r="AQ892" s="785"/>
      <c r="AR892" s="678" t="str">
        <f>$Q$1</f>
        <v xml:space="preserve">PRINTED:  </v>
      </c>
      <c r="AS892" s="686">
        <f ca="1">$R$1</f>
        <v>44881.729634027775</v>
      </c>
    </row>
    <row r="893" spans="1:50" ht="15.75" customHeight="1" x14ac:dyDescent="0.3">
      <c r="R893" s="67"/>
      <c r="AC893" s="579"/>
      <c r="AD893" s="786" t="str">
        <f>+$A$8</f>
        <v>Revised:  2/23/2017</v>
      </c>
      <c r="AE893" s="788"/>
      <c r="AF893" s="788"/>
      <c r="AG893" s="788"/>
      <c r="AH893" s="788"/>
      <c r="AI893" s="788"/>
      <c r="AJ893" s="788"/>
      <c r="AK893" s="788"/>
      <c r="AL893" s="788"/>
      <c r="AM893" s="788"/>
      <c r="AN893" s="788"/>
      <c r="AO893" s="788"/>
      <c r="AP893" s="788"/>
      <c r="AQ893" s="788"/>
      <c r="AR893" s="139"/>
      <c r="AS893" s="561"/>
    </row>
    <row r="894" spans="1:50" ht="15.75" customHeight="1" x14ac:dyDescent="0.3">
      <c r="A894" s="139"/>
      <c r="AC894" s="579"/>
      <c r="AD894" s="786" t="s">
        <v>2878</v>
      </c>
      <c r="AE894" s="789"/>
      <c r="AF894" s="789"/>
      <c r="AG894" s="789"/>
      <c r="AH894" s="789"/>
      <c r="AI894" s="789"/>
      <c r="AJ894" s="789"/>
      <c r="AK894" s="789"/>
      <c r="AL894" s="789"/>
      <c r="AM894" s="789"/>
      <c r="AN894" s="789"/>
      <c r="AO894" s="789"/>
      <c r="AP894" s="789"/>
      <c r="AQ894" s="789"/>
      <c r="AS894" s="561"/>
    </row>
    <row r="895" spans="1:50" ht="15.75" customHeight="1" x14ac:dyDescent="0.3">
      <c r="A895" s="139"/>
      <c r="AC895" s="579"/>
      <c r="AS895" s="561"/>
    </row>
    <row r="896" spans="1:50" ht="15.75" customHeight="1" thickBot="1" x14ac:dyDescent="0.35">
      <c r="A896" s="139"/>
      <c r="AC896" s="579"/>
      <c r="AD896" s="787">
        <f>$A$5</f>
        <v>2016</v>
      </c>
      <c r="AE896" s="789"/>
      <c r="AF896" s="789"/>
      <c r="AG896" s="789"/>
      <c r="AH896" s="789"/>
      <c r="AI896" s="789"/>
      <c r="AJ896" s="789"/>
      <c r="AK896" s="789"/>
      <c r="AL896" s="789"/>
      <c r="AM896" s="789"/>
      <c r="AN896" s="789"/>
      <c r="AO896" s="789"/>
      <c r="AP896" s="789"/>
      <c r="AQ896" s="789"/>
      <c r="AS896" s="561"/>
    </row>
    <row r="897" spans="1:48" ht="15.75" customHeight="1" x14ac:dyDescent="0.3">
      <c r="A897" s="651"/>
      <c r="B897" s="782" t="s">
        <v>1198</v>
      </c>
      <c r="C897" s="782"/>
      <c r="D897" s="782"/>
      <c r="E897" s="782"/>
      <c r="F897" s="782"/>
      <c r="G897" s="782"/>
      <c r="H897" s="782"/>
      <c r="I897" s="782"/>
      <c r="J897" s="782"/>
      <c r="K897" s="782"/>
      <c r="L897" s="782"/>
      <c r="M897" s="782"/>
      <c r="N897" s="782"/>
      <c r="O897" s="782"/>
      <c r="P897" s="782"/>
      <c r="Q897" s="678" t="str">
        <f>+Q1</f>
        <v xml:space="preserve">PRINTED:  </v>
      </c>
      <c r="R897" s="679">
        <f ca="1">+R1</f>
        <v>44881.729634027775</v>
      </c>
      <c r="AC897" s="579"/>
      <c r="AD897" s="786" t="s">
        <v>2919</v>
      </c>
      <c r="AE897" s="788"/>
      <c r="AF897" s="788"/>
      <c r="AG897" s="788"/>
      <c r="AH897" s="788"/>
      <c r="AI897" s="788"/>
      <c r="AJ897" s="788"/>
      <c r="AK897" s="788"/>
      <c r="AL897" s="788"/>
      <c r="AM897" s="788"/>
      <c r="AN897" s="788"/>
      <c r="AO897" s="788"/>
      <c r="AP897" s="788"/>
      <c r="AQ897" s="788"/>
      <c r="AR897" s="70"/>
      <c r="AS897" s="561"/>
    </row>
    <row r="898" spans="1:48" ht="16.5" customHeight="1" x14ac:dyDescent="0.3">
      <c r="A898" s="553"/>
      <c r="B898" s="786" t="str">
        <f>+A8</f>
        <v>Revised:  2/23/2017</v>
      </c>
      <c r="C898" s="786"/>
      <c r="D898" s="786"/>
      <c r="E898" s="786"/>
      <c r="F898" s="786"/>
      <c r="G898" s="786"/>
      <c r="H898" s="786"/>
      <c r="I898" s="786"/>
      <c r="J898" s="786"/>
      <c r="K898" s="786"/>
      <c r="L898" s="786"/>
      <c r="M898" s="786"/>
      <c r="N898" s="786"/>
      <c r="O898" s="786"/>
      <c r="P898" s="786"/>
      <c r="Q898" s="67"/>
      <c r="R898" s="552"/>
      <c r="AC898" s="579"/>
      <c r="AK898" s="670"/>
      <c r="AS898" s="561"/>
    </row>
    <row r="899" spans="1:48" ht="15.75" customHeight="1" thickBot="1" x14ac:dyDescent="0.35">
      <c r="A899" s="553"/>
      <c r="B899" s="786" t="s">
        <v>2878</v>
      </c>
      <c r="C899" s="786"/>
      <c r="D899" s="786"/>
      <c r="E899" s="786"/>
      <c r="F899" s="786"/>
      <c r="G899" s="786"/>
      <c r="H899" s="786"/>
      <c r="I899" s="786"/>
      <c r="J899" s="786"/>
      <c r="K899" s="786"/>
      <c r="L899" s="786"/>
      <c r="M899" s="786"/>
      <c r="N899" s="786"/>
      <c r="O899" s="786"/>
      <c r="P899" s="786"/>
      <c r="Q899" s="67"/>
      <c r="R899" s="552"/>
      <c r="AC899" s="579"/>
      <c r="AD899" s="634" t="s">
        <v>1308</v>
      </c>
      <c r="AE899" s="634" t="s">
        <v>1309</v>
      </c>
      <c r="AF899" s="634" t="s">
        <v>1029</v>
      </c>
      <c r="AG899" s="634" t="s">
        <v>1030</v>
      </c>
      <c r="AH899" s="634" t="s">
        <v>284</v>
      </c>
      <c r="AI899" s="634" t="s">
        <v>285</v>
      </c>
      <c r="AJ899" s="634" t="s">
        <v>286</v>
      </c>
      <c r="AK899" s="634" t="s">
        <v>287</v>
      </c>
      <c r="AL899" s="634" t="s">
        <v>288</v>
      </c>
      <c r="AM899" s="634" t="s">
        <v>289</v>
      </c>
      <c r="AN899" s="634" t="s">
        <v>633</v>
      </c>
      <c r="AO899" s="634" t="s">
        <v>634</v>
      </c>
      <c r="AP899" s="634" t="s">
        <v>1192</v>
      </c>
      <c r="AQ899" s="634" t="s">
        <v>524</v>
      </c>
      <c r="AR899" s="634" t="s">
        <v>525</v>
      </c>
      <c r="AS899" s="684" t="s">
        <v>2356</v>
      </c>
    </row>
    <row r="900" spans="1:48" ht="15.75" customHeight="1" x14ac:dyDescent="0.3">
      <c r="A900" s="553"/>
      <c r="B900" s="67"/>
      <c r="C900" s="67"/>
      <c r="D900" s="67"/>
      <c r="E900" s="67"/>
      <c r="F900" s="67"/>
      <c r="G900" s="67"/>
      <c r="H900" s="67"/>
      <c r="I900" s="67"/>
      <c r="J900" s="67"/>
      <c r="K900" s="67"/>
      <c r="L900" s="67"/>
      <c r="M900" s="67"/>
      <c r="N900" s="67"/>
      <c r="O900" s="67"/>
      <c r="P900" s="67"/>
      <c r="Q900" s="67"/>
      <c r="R900" s="552"/>
      <c r="AC900" s="579"/>
      <c r="AD900" s="67"/>
      <c r="AE900" s="67"/>
      <c r="AF900" s="67"/>
      <c r="AG900" s="67"/>
      <c r="AH900" s="70" t="s">
        <v>2910</v>
      </c>
      <c r="AI900" s="67"/>
      <c r="AJ900" s="67"/>
      <c r="AK900" s="67"/>
      <c r="AL900" s="67"/>
      <c r="AM900" s="67"/>
      <c r="AN900" s="67"/>
      <c r="AO900" s="67"/>
      <c r="AP900" s="67"/>
      <c r="AQ900" s="67"/>
      <c r="AR900" s="67"/>
      <c r="AS900" s="636"/>
    </row>
    <row r="901" spans="1:48" ht="15.75" customHeight="1" x14ac:dyDescent="0.3">
      <c r="A901" s="553"/>
      <c r="B901" s="787">
        <f>A5</f>
        <v>2016</v>
      </c>
      <c r="C901" s="787"/>
      <c r="D901" s="787"/>
      <c r="E901" s="787"/>
      <c r="F901" s="787"/>
      <c r="G901" s="787"/>
      <c r="H901" s="787"/>
      <c r="I901" s="787"/>
      <c r="J901" s="787"/>
      <c r="K901" s="787"/>
      <c r="L901" s="787"/>
      <c r="M901" s="787"/>
      <c r="N901" s="787"/>
      <c r="O901" s="787"/>
      <c r="P901" s="787"/>
      <c r="Q901" s="67"/>
      <c r="R901" s="552"/>
      <c r="S901" s="67"/>
      <c r="AC901" s="642" t="s">
        <v>3040</v>
      </c>
      <c r="AD901" s="687">
        <v>1.7000000000000001E-2</v>
      </c>
      <c r="AE901" s="687">
        <v>1.7000000000000001E-2</v>
      </c>
      <c r="AF901" s="687">
        <v>1.7000000000000001E-2</v>
      </c>
      <c r="AG901" s="687">
        <v>1.7000000000000001E-2</v>
      </c>
      <c r="AH901" s="687"/>
      <c r="AI901" s="687"/>
      <c r="AJ901" s="687"/>
      <c r="AK901" s="687"/>
      <c r="AL901" s="687"/>
      <c r="AM901" s="687"/>
      <c r="AN901" s="687"/>
      <c r="AO901" s="687"/>
      <c r="AP901" s="687"/>
      <c r="AQ901" s="687"/>
      <c r="AR901" s="687"/>
      <c r="AS901" s="592"/>
    </row>
    <row r="902" spans="1:48" ht="15.75" customHeight="1" x14ac:dyDescent="0.3">
      <c r="A902" s="553"/>
      <c r="B902" s="786" t="s">
        <v>2919</v>
      </c>
      <c r="C902" s="786"/>
      <c r="D902" s="786"/>
      <c r="E902" s="786"/>
      <c r="F902" s="786"/>
      <c r="G902" s="786"/>
      <c r="H902" s="786"/>
      <c r="I902" s="786"/>
      <c r="J902" s="786"/>
      <c r="K902" s="786"/>
      <c r="L902" s="786"/>
      <c r="M902" s="786"/>
      <c r="N902" s="786"/>
      <c r="O902" s="786"/>
      <c r="P902" s="786"/>
      <c r="Q902" s="67"/>
      <c r="R902" s="552"/>
      <c r="S902" s="67"/>
      <c r="AC902" s="642" t="s">
        <v>2908</v>
      </c>
      <c r="AD902" s="687"/>
      <c r="AE902" s="687">
        <v>0.03</v>
      </c>
      <c r="AF902" s="687"/>
      <c r="AG902" s="687"/>
      <c r="AH902" s="687"/>
      <c r="AI902" s="687"/>
      <c r="AJ902" s="687"/>
      <c r="AK902" s="687"/>
      <c r="AL902" s="687"/>
      <c r="AM902" s="687">
        <v>0.03</v>
      </c>
      <c r="AN902" s="687">
        <v>0.03</v>
      </c>
      <c r="AO902" s="687">
        <v>0.03</v>
      </c>
      <c r="AP902" s="687">
        <v>0.03</v>
      </c>
      <c r="AQ902" s="687">
        <v>0.03</v>
      </c>
      <c r="AR902" s="687">
        <v>0.03</v>
      </c>
      <c r="AS902" s="592"/>
    </row>
    <row r="903" spans="1:48" ht="15.75" customHeight="1" x14ac:dyDescent="0.3">
      <c r="A903" s="553"/>
      <c r="B903" s="67"/>
      <c r="C903" s="67"/>
      <c r="D903" s="67"/>
      <c r="E903" s="67"/>
      <c r="F903" s="67"/>
      <c r="G903" s="67"/>
      <c r="H903" s="67"/>
      <c r="I903" s="67"/>
      <c r="J903" s="67"/>
      <c r="K903" s="67"/>
      <c r="L903" s="67"/>
      <c r="M903" s="67"/>
      <c r="N903" s="67"/>
      <c r="O903" s="67"/>
      <c r="P903" s="67"/>
      <c r="Q903" s="67"/>
      <c r="R903" s="552"/>
      <c r="S903" s="67"/>
      <c r="AC903" s="642" t="s">
        <v>2909</v>
      </c>
      <c r="AD903" s="687"/>
      <c r="AE903" s="687"/>
      <c r="AF903" s="687">
        <v>0.03</v>
      </c>
      <c r="AG903" s="687">
        <v>0.03</v>
      </c>
      <c r="AH903" s="687"/>
      <c r="AI903" s="687"/>
      <c r="AJ903" s="687"/>
      <c r="AK903" s="687"/>
      <c r="AL903" s="687"/>
      <c r="AM903" s="687"/>
      <c r="AN903" s="687"/>
      <c r="AO903" s="687"/>
      <c r="AP903" s="687"/>
      <c r="AQ903" s="687"/>
      <c r="AR903" s="687"/>
      <c r="AS903" s="592"/>
    </row>
    <row r="904" spans="1:48" ht="15.75" customHeight="1" thickBot="1" x14ac:dyDescent="0.35">
      <c r="A904" s="553" t="s">
        <v>845</v>
      </c>
      <c r="B904" s="634" t="s">
        <v>1308</v>
      </c>
      <c r="C904" s="634" t="s">
        <v>1309</v>
      </c>
      <c r="D904" s="634" t="s">
        <v>1029</v>
      </c>
      <c r="E904" s="634" t="s">
        <v>1030</v>
      </c>
      <c r="F904" s="634" t="s">
        <v>284</v>
      </c>
      <c r="G904" s="634" t="s">
        <v>284</v>
      </c>
      <c r="H904" s="634" t="s">
        <v>285</v>
      </c>
      <c r="I904" s="634" t="s">
        <v>286</v>
      </c>
      <c r="J904" s="634" t="s">
        <v>287</v>
      </c>
      <c r="K904" s="634" t="s">
        <v>288</v>
      </c>
      <c r="L904" s="634" t="s">
        <v>289</v>
      </c>
      <c r="M904" s="634" t="s">
        <v>633</v>
      </c>
      <c r="N904" s="634" t="s">
        <v>634</v>
      </c>
      <c r="O904" s="634" t="s">
        <v>1192</v>
      </c>
      <c r="P904" s="634" t="s">
        <v>524</v>
      </c>
      <c r="Q904" s="634" t="s">
        <v>525</v>
      </c>
      <c r="R904" s="684" t="s">
        <v>2356</v>
      </c>
      <c r="S904" s="70"/>
      <c r="AC904" s="642" t="s">
        <v>2760</v>
      </c>
      <c r="AD904" s="687"/>
      <c r="AE904" s="687"/>
      <c r="AF904" s="687"/>
      <c r="AG904" s="687"/>
      <c r="AH904" s="687"/>
      <c r="AI904" s="687">
        <v>0.03</v>
      </c>
      <c r="AJ904" s="687"/>
      <c r="AK904" s="687"/>
      <c r="AL904" s="687"/>
      <c r="AM904" s="687"/>
      <c r="AN904" s="687"/>
      <c r="AO904" s="687"/>
      <c r="AP904" s="687"/>
      <c r="AQ904" s="687"/>
      <c r="AR904" s="687"/>
      <c r="AS904" s="592"/>
    </row>
    <row r="905" spans="1:48" ht="15.75" customHeight="1" x14ac:dyDescent="0.3">
      <c r="A905" s="553"/>
      <c r="B905" s="67"/>
      <c r="C905" s="67"/>
      <c r="D905" s="67"/>
      <c r="E905" s="67"/>
      <c r="F905" s="70" t="s">
        <v>1193</v>
      </c>
      <c r="G905" s="70" t="s">
        <v>1194</v>
      </c>
      <c r="H905" s="67"/>
      <c r="I905" s="67"/>
      <c r="J905" s="67"/>
      <c r="K905" s="67"/>
      <c r="L905" s="67"/>
      <c r="M905" s="67"/>
      <c r="N905" s="67"/>
      <c r="O905" s="67"/>
      <c r="P905" s="67"/>
      <c r="Q905" s="67"/>
      <c r="R905" s="592" t="s">
        <v>1236</v>
      </c>
      <c r="S905" s="70"/>
      <c r="AC905" s="642" t="s">
        <v>2634</v>
      </c>
      <c r="AD905" s="687">
        <v>0.03</v>
      </c>
      <c r="AE905" s="687"/>
      <c r="AF905" s="687"/>
      <c r="AG905" s="687"/>
      <c r="AH905" s="687"/>
      <c r="AI905" s="687"/>
      <c r="AJ905" s="687">
        <v>0.03</v>
      </c>
      <c r="AK905" s="687">
        <v>0.03</v>
      </c>
      <c r="AL905" s="687">
        <v>0.03</v>
      </c>
      <c r="AM905" s="687"/>
      <c r="AN905" s="687"/>
      <c r="AO905" s="687"/>
      <c r="AP905" s="687"/>
      <c r="AQ905" s="687"/>
      <c r="AR905" s="687"/>
      <c r="AS905" s="592"/>
    </row>
    <row r="906" spans="1:48" ht="15.75" customHeight="1" x14ac:dyDescent="0.3">
      <c r="A906" s="553" t="s">
        <v>2917</v>
      </c>
      <c r="B906" s="677">
        <v>957</v>
      </c>
      <c r="C906" s="677">
        <v>122</v>
      </c>
      <c r="D906" s="677">
        <v>128</v>
      </c>
      <c r="E906" s="677">
        <v>219</v>
      </c>
      <c r="F906" s="677"/>
      <c r="G906" s="677"/>
      <c r="H906" s="677">
        <v>97</v>
      </c>
      <c r="I906" s="677">
        <v>160</v>
      </c>
      <c r="J906" s="677">
        <v>250</v>
      </c>
      <c r="K906" s="677">
        <v>260</v>
      </c>
      <c r="L906" s="677">
        <v>100</v>
      </c>
      <c r="M906" s="677">
        <v>118</v>
      </c>
      <c r="N906" s="677">
        <v>250</v>
      </c>
      <c r="O906" s="677">
        <v>190</v>
      </c>
      <c r="P906" s="677">
        <v>340</v>
      </c>
      <c r="Q906" s="677">
        <v>450</v>
      </c>
      <c r="R906" s="592" t="s">
        <v>335</v>
      </c>
      <c r="S906" s="70"/>
      <c r="AC906" s="642" t="s">
        <v>2356</v>
      </c>
      <c r="AD906" s="217">
        <f>SUM(AD901:AD905)</f>
        <v>4.7E-2</v>
      </c>
      <c r="AE906" s="217">
        <f t="shared" ref="AE906:AR906" si="191">SUM(AE901:AE905)</f>
        <v>4.7E-2</v>
      </c>
      <c r="AF906" s="217">
        <f t="shared" si="191"/>
        <v>4.7E-2</v>
      </c>
      <c r="AG906" s="217">
        <f t="shared" si="191"/>
        <v>4.7E-2</v>
      </c>
      <c r="AH906" s="217">
        <f t="shared" si="191"/>
        <v>0</v>
      </c>
      <c r="AI906" s="217">
        <f t="shared" si="191"/>
        <v>0.03</v>
      </c>
      <c r="AJ906" s="217">
        <f t="shared" si="191"/>
        <v>0.03</v>
      </c>
      <c r="AK906" s="217">
        <f t="shared" si="191"/>
        <v>0.03</v>
      </c>
      <c r="AL906" s="217">
        <f t="shared" si="191"/>
        <v>0.03</v>
      </c>
      <c r="AM906" s="217">
        <f t="shared" si="191"/>
        <v>0.03</v>
      </c>
      <c r="AN906" s="217">
        <f t="shared" si="191"/>
        <v>0.03</v>
      </c>
      <c r="AO906" s="217">
        <f t="shared" si="191"/>
        <v>0.03</v>
      </c>
      <c r="AP906" s="217">
        <f t="shared" si="191"/>
        <v>0.03</v>
      </c>
      <c r="AQ906" s="217">
        <f t="shared" si="191"/>
        <v>0.03</v>
      </c>
      <c r="AR906" s="217">
        <f t="shared" si="191"/>
        <v>0.03</v>
      </c>
      <c r="AS906" s="592"/>
      <c r="AU906" s="139" t="s">
        <v>3084</v>
      </c>
      <c r="AV906" t="s">
        <v>3085</v>
      </c>
    </row>
    <row r="907" spans="1:48" ht="15.75" customHeight="1" x14ac:dyDescent="0.3">
      <c r="A907" s="553"/>
      <c r="B907" s="70" t="s">
        <v>1353</v>
      </c>
      <c r="C907" s="70" t="s">
        <v>1353</v>
      </c>
      <c r="D907" s="70" t="s">
        <v>1353</v>
      </c>
      <c r="E907" s="70" t="s">
        <v>1353</v>
      </c>
      <c r="F907" s="70" t="s">
        <v>1353</v>
      </c>
      <c r="G907" s="70" t="s">
        <v>1353</v>
      </c>
      <c r="H907" s="70" t="s">
        <v>1353</v>
      </c>
      <c r="I907" s="70" t="s">
        <v>1353</v>
      </c>
      <c r="J907" s="70" t="s">
        <v>1353</v>
      </c>
      <c r="K907" s="70" t="s">
        <v>1353</v>
      </c>
      <c r="L907" s="70" t="s">
        <v>1353</v>
      </c>
      <c r="M907" s="70" t="s">
        <v>1353</v>
      </c>
      <c r="N907" s="70" t="s">
        <v>1353</v>
      </c>
      <c r="O907" s="70" t="s">
        <v>1353</v>
      </c>
      <c r="P907" s="70" t="s">
        <v>1353</v>
      </c>
      <c r="Q907" s="70" t="s">
        <v>1353</v>
      </c>
      <c r="R907" s="592" t="s">
        <v>251</v>
      </c>
      <c r="S907" s="70"/>
      <c r="T907" s="70"/>
      <c r="AC907" s="553" t="s">
        <v>1353</v>
      </c>
      <c r="AD907" s="70" t="s">
        <v>1353</v>
      </c>
      <c r="AE907" s="70" t="s">
        <v>1353</v>
      </c>
      <c r="AF907" s="70" t="s">
        <v>1353</v>
      </c>
      <c r="AG907" s="70" t="s">
        <v>1353</v>
      </c>
      <c r="AH907" s="70" t="s">
        <v>1353</v>
      </c>
      <c r="AI907" s="70" t="s">
        <v>1353</v>
      </c>
      <c r="AJ907" s="70" t="s">
        <v>1353</v>
      </c>
      <c r="AK907" s="70" t="s">
        <v>1353</v>
      </c>
      <c r="AL907" s="70" t="s">
        <v>1353</v>
      </c>
      <c r="AM907" s="70" t="s">
        <v>1353</v>
      </c>
      <c r="AN907" s="70" t="s">
        <v>1353</v>
      </c>
      <c r="AO907" s="70" t="s">
        <v>1353</v>
      </c>
      <c r="AP907" s="70" t="s">
        <v>1353</v>
      </c>
      <c r="AQ907" s="70" t="s">
        <v>1353</v>
      </c>
      <c r="AR907" s="70" t="s">
        <v>1353</v>
      </c>
      <c r="AS907" s="592" t="s">
        <v>1353</v>
      </c>
    </row>
    <row r="908" spans="1:48" ht="15.75" customHeight="1" x14ac:dyDescent="0.3">
      <c r="A908" s="139" t="s">
        <v>2843</v>
      </c>
      <c r="B908" s="67">
        <f>ROUND((B851*$B$906)/1000,0)</f>
        <v>145788</v>
      </c>
      <c r="C908" s="67">
        <f t="shared" ref="C908:C919" si="192">ROUND((C851*$C$906)/1000,0)</f>
        <v>18574</v>
      </c>
      <c r="D908" s="67">
        <f t="shared" ref="D908:D919" si="193">ROUND((D851*$D$906)/1000,0)</f>
        <v>19475</v>
      </c>
      <c r="E908" s="67">
        <f t="shared" ref="E908:E919" si="194">ROUND((E851*$E$906)/1000,0)</f>
        <v>33050</v>
      </c>
      <c r="F908" s="67">
        <f>(F851*((T851-1526.8)/0.7702))/1000</f>
        <v>23275.922617501939</v>
      </c>
      <c r="G908" s="67">
        <f t="shared" ref="G908:G919" si="195">(G851*((T851-1591.4)/0.6635))/1000</f>
        <v>0</v>
      </c>
      <c r="H908" s="67">
        <f t="shared" ref="H908:H919" si="196">ROUND((H851*$H$906)/1000,0)</f>
        <v>2310</v>
      </c>
      <c r="I908" s="67">
        <f t="shared" ref="I908:I919" si="197">ROUND((I851*$I$906)/1000,0)</f>
        <v>1453</v>
      </c>
      <c r="J908" s="67">
        <f t="shared" ref="J908:J919" si="198">ROUND((J851*$J$906)/1000,0)</f>
        <v>2266</v>
      </c>
      <c r="K908" s="67">
        <f t="shared" ref="K908:K919" si="199">ROUND((K851*$K$906)/1000,0)</f>
        <v>2331</v>
      </c>
      <c r="L908" s="67">
        <f t="shared" ref="L908:L919" si="200">ROUND((L851*$L$906)/1000,0)</f>
        <v>780</v>
      </c>
      <c r="M908" s="67">
        <f t="shared" ref="M908:M919" si="201">ROUND((M851*$M$906)/1000,0)</f>
        <v>918</v>
      </c>
      <c r="N908" s="67">
        <f t="shared" ref="N908:N919" si="202">ROUND((N851*$N$906)/1000,0)</f>
        <v>1918</v>
      </c>
      <c r="O908" s="67">
        <f t="shared" ref="O908:O919" si="203">ROUND((O851*$O$906)/1000,0)</f>
        <v>737</v>
      </c>
      <c r="P908" s="67">
        <f t="shared" ref="P908:P919" si="204">ROUND((P851*$P$906)/1000,0)</f>
        <v>1254</v>
      </c>
      <c r="Q908" s="67">
        <f t="shared" ref="Q908:Q919" si="205">ROUND((Q851*$Q$906)/1000,0)</f>
        <v>1745</v>
      </c>
      <c r="R908" s="638">
        <f>(SUM(B908:Q908))</f>
        <v>255874.92261750193</v>
      </c>
      <c r="S908" s="73"/>
      <c r="AC908" s="642" t="s">
        <v>2843</v>
      </c>
      <c r="AD908" s="67">
        <f>ROUND(B908*$AD$906, 0)</f>
        <v>6852</v>
      </c>
      <c r="AE908" s="67">
        <f>ROUND(C908*$AE$906,0)</f>
        <v>873</v>
      </c>
      <c r="AF908" s="67">
        <f>ROUND(D908*$AF$906,0)</f>
        <v>915</v>
      </c>
      <c r="AG908" s="67">
        <f>ROUND(E908*$AG$906,0)</f>
        <v>1553</v>
      </c>
      <c r="AH908" s="67">
        <f>ROUND(F908*$AH$906,0)</f>
        <v>0</v>
      </c>
      <c r="AI908" s="67">
        <f>ROUND(H908*$AI$906,0)</f>
        <v>69</v>
      </c>
      <c r="AJ908" s="67">
        <f>ROUND(I908*$AJ$906,0)</f>
        <v>44</v>
      </c>
      <c r="AK908" s="67">
        <f>ROUND(J908*$AK$906,0)</f>
        <v>68</v>
      </c>
      <c r="AL908" s="67">
        <f>ROUND(K908*$AL$906,0)</f>
        <v>70</v>
      </c>
      <c r="AM908" s="67">
        <f>ROUND(L908*$AM$906,0)</f>
        <v>23</v>
      </c>
      <c r="AN908" s="67">
        <f>ROUND(M908*$AN$906,0)</f>
        <v>28</v>
      </c>
      <c r="AO908" s="67">
        <f>ROUND(N908*$AO$906,0)</f>
        <v>58</v>
      </c>
      <c r="AP908" s="67">
        <f>ROUND(O908*$AP$906,0)</f>
        <v>22</v>
      </c>
      <c r="AQ908" s="67">
        <f>ROUND(P908*$AQ$906,0)</f>
        <v>38</v>
      </c>
      <c r="AR908" s="67">
        <f>ROUND(Q908*$AR$906,0)</f>
        <v>52</v>
      </c>
      <c r="AS908" s="636">
        <f>SUM(AD908:AR908)</f>
        <v>10665</v>
      </c>
      <c r="AU908" s="708">
        <f>AS908/R908</f>
        <v>4.1680520665726667E-2</v>
      </c>
    </row>
    <row r="909" spans="1:48" ht="15.75" customHeight="1" x14ac:dyDescent="0.3">
      <c r="A909" s="139" t="s">
        <v>2091</v>
      </c>
      <c r="B909" s="67">
        <f t="shared" ref="B909:B919" si="206">ROUND((B852*$B$906)/1000,0)</f>
        <v>109051</v>
      </c>
      <c r="C909" s="67">
        <f t="shared" si="192"/>
        <v>13884</v>
      </c>
      <c r="D909" s="67">
        <f t="shared" si="193"/>
        <v>14548</v>
      </c>
      <c r="E909" s="67">
        <f t="shared" si="194"/>
        <v>24196</v>
      </c>
      <c r="F909" s="67">
        <f t="shared" ref="F909:F919" si="207">(F852*((T852-1526.8)/0.7702))/1000</f>
        <v>7081.6823682160439</v>
      </c>
      <c r="G909" s="67">
        <f t="shared" si="195"/>
        <v>0</v>
      </c>
      <c r="H909" s="67">
        <f t="shared" si="196"/>
        <v>5623</v>
      </c>
      <c r="I909" s="67">
        <f t="shared" si="197"/>
        <v>2888</v>
      </c>
      <c r="J909" s="67">
        <f t="shared" si="198"/>
        <v>4416</v>
      </c>
      <c r="K909" s="67">
        <f t="shared" si="199"/>
        <v>4177</v>
      </c>
      <c r="L909" s="67">
        <f t="shared" si="200"/>
        <v>1146</v>
      </c>
      <c r="M909" s="67">
        <f t="shared" si="201"/>
        <v>1350</v>
      </c>
      <c r="N909" s="67">
        <f t="shared" si="202"/>
        <v>2696</v>
      </c>
      <c r="O909" s="67">
        <f t="shared" si="203"/>
        <v>573</v>
      </c>
      <c r="P909" s="67">
        <f t="shared" si="204"/>
        <v>1064</v>
      </c>
      <c r="Q909" s="67">
        <f t="shared" si="205"/>
        <v>1355</v>
      </c>
      <c r="R909" s="638">
        <f t="shared" ref="R909:R919" si="208">(SUM(B909:Q909))</f>
        <v>194048.68236821605</v>
      </c>
      <c r="S909" s="73"/>
      <c r="AC909" s="642" t="s">
        <v>2091</v>
      </c>
      <c r="AD909" s="67">
        <f t="shared" ref="AD909:AD919" si="209">ROUND(B909*$AD$906, 0)</f>
        <v>5125</v>
      </c>
      <c r="AE909" s="67">
        <f t="shared" ref="AE909:AE919" si="210">ROUND(C909*$AE$906,0)</f>
        <v>653</v>
      </c>
      <c r="AF909" s="67">
        <f t="shared" ref="AF909:AF919" si="211">ROUND(D909*$AF$906,0)</f>
        <v>684</v>
      </c>
      <c r="AG909" s="67">
        <f t="shared" ref="AG909:AG919" si="212">ROUND(E909*$AG$906,0)</f>
        <v>1137</v>
      </c>
      <c r="AH909" s="67">
        <f t="shared" ref="AH909:AH919" si="213">ROUND(F909*$AH$906,0)</f>
        <v>0</v>
      </c>
      <c r="AI909" s="67">
        <f t="shared" ref="AI909:AI919" si="214">ROUND(H909*$AI$906,0)</f>
        <v>169</v>
      </c>
      <c r="AJ909" s="67">
        <f t="shared" ref="AJ909:AJ919" si="215">ROUND(I909*$AJ$906,0)</f>
        <v>87</v>
      </c>
      <c r="AK909" s="67">
        <f t="shared" ref="AK909:AK919" si="216">ROUND(J909*$AK$906,0)</f>
        <v>132</v>
      </c>
      <c r="AL909" s="67">
        <f t="shared" ref="AL909:AL919" si="217">ROUND(K909*$AL$906,0)</f>
        <v>125</v>
      </c>
      <c r="AM909" s="67">
        <f t="shared" ref="AM909:AM919" si="218">ROUND(L909*$AM$906,0)</f>
        <v>34</v>
      </c>
      <c r="AN909" s="67">
        <f t="shared" ref="AN909:AN919" si="219">ROUND(M909*$AN$906,0)</f>
        <v>41</v>
      </c>
      <c r="AO909" s="67">
        <f t="shared" ref="AO909:AO919" si="220">ROUND(N909*$AO$906,0)</f>
        <v>81</v>
      </c>
      <c r="AP909" s="67">
        <f t="shared" ref="AP909:AP919" si="221">ROUND(O909*$AP$906,0)</f>
        <v>17</v>
      </c>
      <c r="AQ909" s="67">
        <f t="shared" ref="AQ909:AQ919" si="222">ROUND(P909*$AQ$906,0)</f>
        <v>32</v>
      </c>
      <c r="AR909" s="67">
        <f t="shared" ref="AR909:AR919" si="223">ROUND(Q909*$AR$906,0)</f>
        <v>41</v>
      </c>
      <c r="AS909" s="636">
        <f t="shared" ref="AS909:AS919" si="224">SUM(AD909:AR909)</f>
        <v>8358</v>
      </c>
      <c r="AU909" s="708">
        <f t="shared" ref="AU909:AU921" si="225">AS909/R909</f>
        <v>4.3071665821158844E-2</v>
      </c>
    </row>
    <row r="910" spans="1:48" ht="15.75" customHeight="1" x14ac:dyDescent="0.3">
      <c r="A910" s="139" t="s">
        <v>2234</v>
      </c>
      <c r="B910" s="67">
        <f t="shared" si="206"/>
        <v>117192</v>
      </c>
      <c r="C910" s="67">
        <f t="shared" si="192"/>
        <v>14906</v>
      </c>
      <c r="D910" s="67">
        <f t="shared" si="193"/>
        <v>15606</v>
      </c>
      <c r="E910" s="67">
        <f t="shared" si="194"/>
        <v>25493</v>
      </c>
      <c r="F910" s="67">
        <f t="shared" si="207"/>
        <v>1010.1661943892466</v>
      </c>
      <c r="G910" s="67">
        <f t="shared" si="195"/>
        <v>-1690.4473849091805</v>
      </c>
      <c r="H910" s="67">
        <f t="shared" si="196"/>
        <v>8674</v>
      </c>
      <c r="I910" s="67">
        <f t="shared" si="197"/>
        <v>5063</v>
      </c>
      <c r="J910" s="67">
        <f t="shared" si="198"/>
        <v>6151</v>
      </c>
      <c r="K910" s="67">
        <f t="shared" si="199"/>
        <v>5721</v>
      </c>
      <c r="L910" s="67">
        <f t="shared" si="200"/>
        <v>1749</v>
      </c>
      <c r="M910" s="67">
        <f t="shared" si="201"/>
        <v>2060</v>
      </c>
      <c r="N910" s="67">
        <f t="shared" si="202"/>
        <v>4167</v>
      </c>
      <c r="O910" s="67">
        <f t="shared" si="203"/>
        <v>758</v>
      </c>
      <c r="P910" s="67">
        <f t="shared" si="204"/>
        <v>1347</v>
      </c>
      <c r="Q910" s="67">
        <f t="shared" si="205"/>
        <v>1794</v>
      </c>
      <c r="R910" s="638">
        <f t="shared" si="208"/>
        <v>210000.71880948008</v>
      </c>
      <c r="S910" s="73"/>
      <c r="AC910" s="642" t="s">
        <v>2234</v>
      </c>
      <c r="AD910" s="67">
        <f t="shared" si="209"/>
        <v>5508</v>
      </c>
      <c r="AE910" s="67">
        <f t="shared" si="210"/>
        <v>701</v>
      </c>
      <c r="AF910" s="67">
        <f t="shared" si="211"/>
        <v>733</v>
      </c>
      <c r="AG910" s="67">
        <f t="shared" si="212"/>
        <v>1198</v>
      </c>
      <c r="AH910" s="67">
        <f t="shared" si="213"/>
        <v>0</v>
      </c>
      <c r="AI910" s="67">
        <f t="shared" si="214"/>
        <v>260</v>
      </c>
      <c r="AJ910" s="67">
        <f t="shared" si="215"/>
        <v>152</v>
      </c>
      <c r="AK910" s="67">
        <f t="shared" si="216"/>
        <v>185</v>
      </c>
      <c r="AL910" s="67">
        <f t="shared" si="217"/>
        <v>172</v>
      </c>
      <c r="AM910" s="67">
        <f t="shared" si="218"/>
        <v>52</v>
      </c>
      <c r="AN910" s="67">
        <f t="shared" si="219"/>
        <v>62</v>
      </c>
      <c r="AO910" s="67">
        <f t="shared" si="220"/>
        <v>125</v>
      </c>
      <c r="AP910" s="67">
        <f t="shared" si="221"/>
        <v>23</v>
      </c>
      <c r="AQ910" s="67">
        <f t="shared" si="222"/>
        <v>40</v>
      </c>
      <c r="AR910" s="67">
        <f t="shared" si="223"/>
        <v>54</v>
      </c>
      <c r="AS910" s="636">
        <f t="shared" si="224"/>
        <v>9265</v>
      </c>
      <c r="AU910" s="708">
        <f t="shared" si="225"/>
        <v>4.4118896604375575E-2</v>
      </c>
    </row>
    <row r="911" spans="1:48" ht="15.75" customHeight="1" x14ac:dyDescent="0.3">
      <c r="A911" s="139" t="s">
        <v>2235</v>
      </c>
      <c r="B911" s="67">
        <f t="shared" si="206"/>
        <v>159871</v>
      </c>
      <c r="C911" s="67">
        <f t="shared" si="192"/>
        <v>20336</v>
      </c>
      <c r="D911" s="67">
        <f t="shared" si="193"/>
        <v>21291</v>
      </c>
      <c r="E911" s="67">
        <f t="shared" si="194"/>
        <v>34969</v>
      </c>
      <c r="F911" s="67">
        <f t="shared" si="207"/>
        <v>6244.9057907037213</v>
      </c>
      <c r="G911" s="67">
        <f t="shared" si="195"/>
        <v>0</v>
      </c>
      <c r="H911" s="67">
        <f t="shared" si="196"/>
        <v>10009</v>
      </c>
      <c r="I911" s="67">
        <f t="shared" si="197"/>
        <v>6295</v>
      </c>
      <c r="J911" s="67">
        <f t="shared" si="198"/>
        <v>7551</v>
      </c>
      <c r="K911" s="67">
        <f t="shared" si="199"/>
        <v>6562</v>
      </c>
      <c r="L911" s="67">
        <f t="shared" si="200"/>
        <v>2108</v>
      </c>
      <c r="M911" s="67">
        <f t="shared" si="201"/>
        <v>2483</v>
      </c>
      <c r="N911" s="67">
        <f t="shared" si="202"/>
        <v>5138</v>
      </c>
      <c r="O911" s="67">
        <f t="shared" si="203"/>
        <v>792</v>
      </c>
      <c r="P911" s="67">
        <f t="shared" si="204"/>
        <v>1161</v>
      </c>
      <c r="Q911" s="67">
        <f t="shared" si="205"/>
        <v>1853</v>
      </c>
      <c r="R911" s="638">
        <f t="shared" si="208"/>
        <v>286663.90579070372</v>
      </c>
      <c r="S911" s="73"/>
      <c r="AC911" s="642" t="s">
        <v>2235</v>
      </c>
      <c r="AD911" s="67">
        <f t="shared" si="209"/>
        <v>7514</v>
      </c>
      <c r="AE911" s="67">
        <f t="shared" si="210"/>
        <v>956</v>
      </c>
      <c r="AF911" s="67">
        <f t="shared" si="211"/>
        <v>1001</v>
      </c>
      <c r="AG911" s="67">
        <f t="shared" si="212"/>
        <v>1644</v>
      </c>
      <c r="AH911" s="67">
        <f t="shared" si="213"/>
        <v>0</v>
      </c>
      <c r="AI911" s="67">
        <f t="shared" si="214"/>
        <v>300</v>
      </c>
      <c r="AJ911" s="67">
        <f t="shared" si="215"/>
        <v>189</v>
      </c>
      <c r="AK911" s="67">
        <f t="shared" si="216"/>
        <v>227</v>
      </c>
      <c r="AL911" s="67">
        <f t="shared" si="217"/>
        <v>197</v>
      </c>
      <c r="AM911" s="67">
        <f t="shared" si="218"/>
        <v>63</v>
      </c>
      <c r="AN911" s="67">
        <f t="shared" si="219"/>
        <v>74</v>
      </c>
      <c r="AO911" s="67">
        <f t="shared" si="220"/>
        <v>154</v>
      </c>
      <c r="AP911" s="67">
        <f t="shared" si="221"/>
        <v>24</v>
      </c>
      <c r="AQ911" s="67">
        <f t="shared" si="222"/>
        <v>35</v>
      </c>
      <c r="AR911" s="67">
        <f t="shared" si="223"/>
        <v>56</v>
      </c>
      <c r="AS911" s="636">
        <f t="shared" si="224"/>
        <v>12434</v>
      </c>
      <c r="AU911" s="708">
        <f t="shared" si="225"/>
        <v>4.3374836346080456E-2</v>
      </c>
    </row>
    <row r="912" spans="1:48" ht="15.75" customHeight="1" x14ac:dyDescent="0.3">
      <c r="A912" s="139" t="s">
        <v>2236</v>
      </c>
      <c r="B912" s="67">
        <f t="shared" si="206"/>
        <v>170463</v>
      </c>
      <c r="C912" s="67">
        <f t="shared" si="192"/>
        <v>21679</v>
      </c>
      <c r="D912" s="67">
        <f t="shared" si="193"/>
        <v>22694</v>
      </c>
      <c r="E912" s="67">
        <f t="shared" si="194"/>
        <v>37219</v>
      </c>
      <c r="F912" s="67">
        <f t="shared" si="207"/>
        <v>2727.6660607634371</v>
      </c>
      <c r="G912" s="67">
        <f t="shared" si="195"/>
        <v>0</v>
      </c>
      <c r="H912" s="67">
        <f t="shared" si="196"/>
        <v>11565</v>
      </c>
      <c r="I912" s="67">
        <f t="shared" si="197"/>
        <v>5826</v>
      </c>
      <c r="J912" s="67">
        <f t="shared" si="198"/>
        <v>6760</v>
      </c>
      <c r="K912" s="67">
        <f t="shared" si="199"/>
        <v>6301</v>
      </c>
      <c r="L912" s="67">
        <f t="shared" si="200"/>
        <v>2206</v>
      </c>
      <c r="M912" s="67">
        <f t="shared" si="201"/>
        <v>2598</v>
      </c>
      <c r="N912" s="67">
        <f t="shared" si="202"/>
        <v>5219</v>
      </c>
      <c r="O912" s="67">
        <f t="shared" si="203"/>
        <v>780</v>
      </c>
      <c r="P912" s="67">
        <f t="shared" si="204"/>
        <v>503</v>
      </c>
      <c r="Q912" s="67">
        <f t="shared" si="205"/>
        <v>1844</v>
      </c>
      <c r="R912" s="638">
        <f t="shared" si="208"/>
        <v>298384.66606076341</v>
      </c>
      <c r="S912" s="73"/>
      <c r="AC912" s="642" t="s">
        <v>2236</v>
      </c>
      <c r="AD912" s="67">
        <f t="shared" si="209"/>
        <v>8012</v>
      </c>
      <c r="AE912" s="67">
        <f t="shared" si="210"/>
        <v>1019</v>
      </c>
      <c r="AF912" s="67">
        <f t="shared" si="211"/>
        <v>1067</v>
      </c>
      <c r="AG912" s="67">
        <f t="shared" si="212"/>
        <v>1749</v>
      </c>
      <c r="AH912" s="67">
        <f t="shared" si="213"/>
        <v>0</v>
      </c>
      <c r="AI912" s="67">
        <f t="shared" si="214"/>
        <v>347</v>
      </c>
      <c r="AJ912" s="67">
        <f t="shared" si="215"/>
        <v>175</v>
      </c>
      <c r="AK912" s="67">
        <f t="shared" si="216"/>
        <v>203</v>
      </c>
      <c r="AL912" s="67">
        <f t="shared" si="217"/>
        <v>189</v>
      </c>
      <c r="AM912" s="67">
        <f t="shared" si="218"/>
        <v>66</v>
      </c>
      <c r="AN912" s="67">
        <f t="shared" si="219"/>
        <v>78</v>
      </c>
      <c r="AO912" s="67">
        <f t="shared" si="220"/>
        <v>157</v>
      </c>
      <c r="AP912" s="67">
        <f t="shared" si="221"/>
        <v>23</v>
      </c>
      <c r="AQ912" s="67">
        <f t="shared" si="222"/>
        <v>15</v>
      </c>
      <c r="AR912" s="67">
        <f t="shared" si="223"/>
        <v>55</v>
      </c>
      <c r="AS912" s="636">
        <f t="shared" si="224"/>
        <v>13155</v>
      </c>
      <c r="AU912" s="708">
        <f t="shared" si="225"/>
        <v>4.4087386170578551E-2</v>
      </c>
    </row>
    <row r="913" spans="1:47" ht="15.75" customHeight="1" x14ac:dyDescent="0.3">
      <c r="A913" s="139" t="s">
        <v>2237</v>
      </c>
      <c r="B913" s="67">
        <f t="shared" si="206"/>
        <v>87696</v>
      </c>
      <c r="C913" s="67">
        <f t="shared" si="192"/>
        <v>11129</v>
      </c>
      <c r="D913" s="67">
        <f t="shared" si="193"/>
        <v>11625</v>
      </c>
      <c r="E913" s="67">
        <f t="shared" si="194"/>
        <v>18097</v>
      </c>
      <c r="F913" s="67">
        <f t="shared" si="207"/>
        <v>0</v>
      </c>
      <c r="G913" s="67">
        <f t="shared" si="195"/>
        <v>-16044.22764129616</v>
      </c>
      <c r="H913" s="67">
        <f t="shared" si="196"/>
        <v>14067</v>
      </c>
      <c r="I913" s="67">
        <f t="shared" si="197"/>
        <v>7265</v>
      </c>
      <c r="J913" s="67">
        <f t="shared" si="198"/>
        <v>7269</v>
      </c>
      <c r="K913" s="67">
        <f t="shared" si="199"/>
        <v>5965</v>
      </c>
      <c r="L913" s="67">
        <f t="shared" si="200"/>
        <v>2111</v>
      </c>
      <c r="M913" s="67">
        <f t="shared" si="201"/>
        <v>2486</v>
      </c>
      <c r="N913" s="67">
        <f t="shared" si="202"/>
        <v>4854</v>
      </c>
      <c r="O913" s="67">
        <f t="shared" si="203"/>
        <v>834</v>
      </c>
      <c r="P913" s="67">
        <f t="shared" si="204"/>
        <v>1655</v>
      </c>
      <c r="Q913" s="67">
        <f t="shared" si="205"/>
        <v>1971</v>
      </c>
      <c r="R913" s="638">
        <f>(SUM(B913:Q913))</f>
        <v>160979.77235870383</v>
      </c>
      <c r="S913" s="73"/>
      <c r="AC913" s="642" t="s">
        <v>2237</v>
      </c>
      <c r="AD913" s="67">
        <f t="shared" si="209"/>
        <v>4122</v>
      </c>
      <c r="AE913" s="67">
        <f t="shared" si="210"/>
        <v>523</v>
      </c>
      <c r="AF913" s="67">
        <f t="shared" si="211"/>
        <v>546</v>
      </c>
      <c r="AG913" s="67">
        <f t="shared" si="212"/>
        <v>851</v>
      </c>
      <c r="AH913" s="67">
        <f t="shared" si="213"/>
        <v>0</v>
      </c>
      <c r="AI913" s="67">
        <f t="shared" si="214"/>
        <v>422</v>
      </c>
      <c r="AJ913" s="67">
        <f t="shared" si="215"/>
        <v>218</v>
      </c>
      <c r="AK913" s="67">
        <f t="shared" si="216"/>
        <v>218</v>
      </c>
      <c r="AL913" s="67">
        <f t="shared" si="217"/>
        <v>179</v>
      </c>
      <c r="AM913" s="67">
        <f t="shared" si="218"/>
        <v>63</v>
      </c>
      <c r="AN913" s="67">
        <f t="shared" si="219"/>
        <v>75</v>
      </c>
      <c r="AO913" s="67">
        <f t="shared" si="220"/>
        <v>146</v>
      </c>
      <c r="AP913" s="67">
        <f t="shared" si="221"/>
        <v>25</v>
      </c>
      <c r="AQ913" s="67">
        <f t="shared" si="222"/>
        <v>50</v>
      </c>
      <c r="AR913" s="67">
        <f t="shared" si="223"/>
        <v>59</v>
      </c>
      <c r="AS913" s="636">
        <f t="shared" si="224"/>
        <v>7497</v>
      </c>
      <c r="AU913" s="708">
        <f t="shared" si="225"/>
        <v>4.6571068465016706E-2</v>
      </c>
    </row>
    <row r="914" spans="1:47" ht="15.75" customHeight="1" x14ac:dyDescent="0.3">
      <c r="A914" s="139" t="s">
        <v>1504</v>
      </c>
      <c r="B914" s="67">
        <f t="shared" si="206"/>
        <v>74094</v>
      </c>
      <c r="C914" s="67">
        <f t="shared" si="192"/>
        <v>9395</v>
      </c>
      <c r="D914" s="67">
        <f t="shared" si="193"/>
        <v>9806</v>
      </c>
      <c r="E914" s="67">
        <f t="shared" si="194"/>
        <v>14892</v>
      </c>
      <c r="F914" s="67">
        <f t="shared" si="207"/>
        <v>0</v>
      </c>
      <c r="G914" s="67">
        <f t="shared" si="195"/>
        <v>-14465.951680482289</v>
      </c>
      <c r="H914" s="67">
        <f t="shared" si="196"/>
        <v>12435</v>
      </c>
      <c r="I914" s="67">
        <f t="shared" si="197"/>
        <v>8001</v>
      </c>
      <c r="J914" s="67">
        <f t="shared" si="198"/>
        <v>7107</v>
      </c>
      <c r="K914" s="67">
        <f t="shared" si="199"/>
        <v>6596</v>
      </c>
      <c r="L914" s="67">
        <f t="shared" si="200"/>
        <v>2198</v>
      </c>
      <c r="M914" s="67">
        <f t="shared" si="201"/>
        <v>2589</v>
      </c>
      <c r="N914" s="67">
        <f t="shared" si="202"/>
        <v>4952</v>
      </c>
      <c r="O914" s="67">
        <f t="shared" si="203"/>
        <v>694</v>
      </c>
      <c r="P914" s="67">
        <f t="shared" si="204"/>
        <v>1669</v>
      </c>
      <c r="Q914" s="67">
        <f t="shared" si="205"/>
        <v>1640</v>
      </c>
      <c r="R914" s="638">
        <f t="shared" si="208"/>
        <v>141602.04831951769</v>
      </c>
      <c r="S914" s="73"/>
      <c r="AC914" s="642" t="s">
        <v>1504</v>
      </c>
      <c r="AD914" s="67">
        <f t="shared" si="209"/>
        <v>3482</v>
      </c>
      <c r="AE914" s="67">
        <f t="shared" si="210"/>
        <v>442</v>
      </c>
      <c r="AF914" s="67">
        <f t="shared" si="211"/>
        <v>461</v>
      </c>
      <c r="AG914" s="67">
        <f t="shared" si="212"/>
        <v>700</v>
      </c>
      <c r="AH914" s="67">
        <f t="shared" si="213"/>
        <v>0</v>
      </c>
      <c r="AI914" s="67">
        <f t="shared" si="214"/>
        <v>373</v>
      </c>
      <c r="AJ914" s="67">
        <f t="shared" si="215"/>
        <v>240</v>
      </c>
      <c r="AK914" s="67">
        <f t="shared" si="216"/>
        <v>213</v>
      </c>
      <c r="AL914" s="67">
        <f t="shared" si="217"/>
        <v>198</v>
      </c>
      <c r="AM914" s="67">
        <f t="shared" si="218"/>
        <v>66</v>
      </c>
      <c r="AN914" s="67">
        <f t="shared" si="219"/>
        <v>78</v>
      </c>
      <c r="AO914" s="67">
        <f t="shared" si="220"/>
        <v>149</v>
      </c>
      <c r="AP914" s="67">
        <f t="shared" si="221"/>
        <v>21</v>
      </c>
      <c r="AQ914" s="67">
        <f t="shared" si="222"/>
        <v>50</v>
      </c>
      <c r="AR914" s="67">
        <f t="shared" si="223"/>
        <v>49</v>
      </c>
      <c r="AS914" s="636">
        <f t="shared" si="224"/>
        <v>6522</v>
      </c>
      <c r="AU914" s="708">
        <f t="shared" si="225"/>
        <v>4.6058655770878712E-2</v>
      </c>
    </row>
    <row r="915" spans="1:47" ht="15.75" customHeight="1" x14ac:dyDescent="0.3">
      <c r="A915" s="139" t="s">
        <v>1505</v>
      </c>
      <c r="B915" s="67">
        <f t="shared" si="206"/>
        <v>64780</v>
      </c>
      <c r="C915" s="67">
        <f t="shared" si="192"/>
        <v>8218</v>
      </c>
      <c r="D915" s="67">
        <f t="shared" si="193"/>
        <v>8581</v>
      </c>
      <c r="E915" s="67">
        <f t="shared" si="194"/>
        <v>13053</v>
      </c>
      <c r="F915" s="67">
        <f t="shared" si="207"/>
        <v>0</v>
      </c>
      <c r="G915" s="67">
        <f t="shared" si="195"/>
        <v>-8290.9468902202389</v>
      </c>
      <c r="H915" s="67">
        <f t="shared" si="196"/>
        <v>9399</v>
      </c>
      <c r="I915" s="67">
        <f t="shared" si="197"/>
        <v>5753</v>
      </c>
      <c r="J915" s="67">
        <f t="shared" si="198"/>
        <v>6315</v>
      </c>
      <c r="K915" s="67">
        <f t="shared" si="199"/>
        <v>5638</v>
      </c>
      <c r="L915" s="67">
        <f t="shared" si="200"/>
        <v>2014</v>
      </c>
      <c r="M915" s="67">
        <f t="shared" si="201"/>
        <v>2373</v>
      </c>
      <c r="N915" s="67">
        <f t="shared" si="202"/>
        <v>4498</v>
      </c>
      <c r="O915" s="67">
        <f t="shared" si="203"/>
        <v>409</v>
      </c>
      <c r="P915" s="67">
        <f t="shared" si="204"/>
        <v>1619</v>
      </c>
      <c r="Q915" s="67">
        <f t="shared" si="205"/>
        <v>965</v>
      </c>
      <c r="R915" s="638">
        <f t="shared" si="208"/>
        <v>125324.05310977976</v>
      </c>
      <c r="S915" s="73"/>
      <c r="AC915" s="642" t="s">
        <v>1505</v>
      </c>
      <c r="AD915" s="67">
        <f t="shared" si="209"/>
        <v>3045</v>
      </c>
      <c r="AE915" s="67">
        <f t="shared" si="210"/>
        <v>386</v>
      </c>
      <c r="AF915" s="67">
        <f t="shared" si="211"/>
        <v>403</v>
      </c>
      <c r="AG915" s="67">
        <f t="shared" si="212"/>
        <v>613</v>
      </c>
      <c r="AH915" s="67">
        <f t="shared" si="213"/>
        <v>0</v>
      </c>
      <c r="AI915" s="67">
        <f t="shared" si="214"/>
        <v>282</v>
      </c>
      <c r="AJ915" s="67">
        <f t="shared" si="215"/>
        <v>173</v>
      </c>
      <c r="AK915" s="67">
        <f t="shared" si="216"/>
        <v>189</v>
      </c>
      <c r="AL915" s="67">
        <f t="shared" si="217"/>
        <v>169</v>
      </c>
      <c r="AM915" s="67">
        <f t="shared" si="218"/>
        <v>60</v>
      </c>
      <c r="AN915" s="67">
        <f t="shared" si="219"/>
        <v>71</v>
      </c>
      <c r="AO915" s="67">
        <f t="shared" si="220"/>
        <v>135</v>
      </c>
      <c r="AP915" s="67">
        <f t="shared" si="221"/>
        <v>12</v>
      </c>
      <c r="AQ915" s="67">
        <f t="shared" si="222"/>
        <v>49</v>
      </c>
      <c r="AR915" s="67">
        <f t="shared" si="223"/>
        <v>29</v>
      </c>
      <c r="AS915" s="636">
        <f t="shared" si="224"/>
        <v>5616</v>
      </c>
      <c r="AU915" s="708">
        <f t="shared" si="225"/>
        <v>4.4811828700437643E-2</v>
      </c>
    </row>
    <row r="916" spans="1:47" ht="15.75" customHeight="1" x14ac:dyDescent="0.3">
      <c r="A916" s="139" t="s">
        <v>1506</v>
      </c>
      <c r="B916" s="67">
        <f t="shared" si="206"/>
        <v>125603</v>
      </c>
      <c r="C916" s="67">
        <f t="shared" si="192"/>
        <v>15974</v>
      </c>
      <c r="D916" s="67">
        <f t="shared" si="193"/>
        <v>16721</v>
      </c>
      <c r="E916" s="67">
        <f t="shared" si="194"/>
        <v>27725</v>
      </c>
      <c r="F916" s="67">
        <f t="shared" si="207"/>
        <v>3305.4700429482418</v>
      </c>
      <c r="G916" s="67">
        <f t="shared" si="195"/>
        <v>-2257.7370144662864</v>
      </c>
      <c r="H916" s="67">
        <f t="shared" si="196"/>
        <v>7771</v>
      </c>
      <c r="I916" s="67">
        <f t="shared" si="197"/>
        <v>5345</v>
      </c>
      <c r="J916" s="67">
        <f t="shared" si="198"/>
        <v>6492</v>
      </c>
      <c r="K916" s="67">
        <f t="shared" si="199"/>
        <v>5963</v>
      </c>
      <c r="L916" s="67">
        <f t="shared" si="200"/>
        <v>1902</v>
      </c>
      <c r="M916" s="67">
        <f t="shared" si="201"/>
        <v>2241</v>
      </c>
      <c r="N916" s="67">
        <f t="shared" si="202"/>
        <v>4306</v>
      </c>
      <c r="O916" s="67">
        <f t="shared" si="203"/>
        <v>917</v>
      </c>
      <c r="P916" s="67">
        <f t="shared" si="204"/>
        <v>1149</v>
      </c>
      <c r="Q916" s="67">
        <f t="shared" si="205"/>
        <v>2169</v>
      </c>
      <c r="R916" s="638">
        <f t="shared" si="208"/>
        <v>225325.73302848195</v>
      </c>
      <c r="S916" s="73"/>
      <c r="AC916" s="642" t="s">
        <v>1506</v>
      </c>
      <c r="AD916" s="67">
        <f t="shared" si="209"/>
        <v>5903</v>
      </c>
      <c r="AE916" s="67">
        <f t="shared" si="210"/>
        <v>751</v>
      </c>
      <c r="AF916" s="67">
        <f t="shared" si="211"/>
        <v>786</v>
      </c>
      <c r="AG916" s="67">
        <f t="shared" si="212"/>
        <v>1303</v>
      </c>
      <c r="AH916" s="67">
        <f t="shared" si="213"/>
        <v>0</v>
      </c>
      <c r="AI916" s="67">
        <f t="shared" si="214"/>
        <v>233</v>
      </c>
      <c r="AJ916" s="67">
        <f t="shared" si="215"/>
        <v>160</v>
      </c>
      <c r="AK916" s="67">
        <f t="shared" si="216"/>
        <v>195</v>
      </c>
      <c r="AL916" s="67">
        <f t="shared" si="217"/>
        <v>179</v>
      </c>
      <c r="AM916" s="67">
        <f t="shared" si="218"/>
        <v>57</v>
      </c>
      <c r="AN916" s="67">
        <f t="shared" si="219"/>
        <v>67</v>
      </c>
      <c r="AO916" s="67">
        <f t="shared" si="220"/>
        <v>129</v>
      </c>
      <c r="AP916" s="67">
        <f t="shared" si="221"/>
        <v>28</v>
      </c>
      <c r="AQ916" s="67">
        <f t="shared" si="222"/>
        <v>34</v>
      </c>
      <c r="AR916" s="67">
        <f t="shared" si="223"/>
        <v>65</v>
      </c>
      <c r="AS916" s="636">
        <f t="shared" si="224"/>
        <v>9890</v>
      </c>
      <c r="AU916" s="708">
        <f t="shared" si="225"/>
        <v>4.3892012985262852E-2</v>
      </c>
    </row>
    <row r="917" spans="1:47" ht="15.75" customHeight="1" x14ac:dyDescent="0.3">
      <c r="A917" s="139" t="s">
        <v>1507</v>
      </c>
      <c r="B917" s="67">
        <f t="shared" si="206"/>
        <v>127699</v>
      </c>
      <c r="C917" s="67">
        <f t="shared" si="192"/>
        <v>16245</v>
      </c>
      <c r="D917" s="67">
        <f t="shared" si="193"/>
        <v>17009</v>
      </c>
      <c r="E917" s="67">
        <f t="shared" si="194"/>
        <v>28525</v>
      </c>
      <c r="F917" s="67">
        <f t="shared" si="207"/>
        <v>7216.7334718255024</v>
      </c>
      <c r="G917" s="67">
        <f t="shared" si="195"/>
        <v>-130.49404672192907</v>
      </c>
      <c r="H917" s="67">
        <f t="shared" si="196"/>
        <v>5069</v>
      </c>
      <c r="I917" s="67">
        <f t="shared" si="197"/>
        <v>1769</v>
      </c>
      <c r="J917" s="67">
        <f t="shared" si="198"/>
        <v>2055</v>
      </c>
      <c r="K917" s="67">
        <f t="shared" si="199"/>
        <v>2055</v>
      </c>
      <c r="L917" s="67">
        <f t="shared" si="200"/>
        <v>637</v>
      </c>
      <c r="M917" s="67">
        <f t="shared" si="201"/>
        <v>748</v>
      </c>
      <c r="N917" s="67">
        <f t="shared" si="202"/>
        <v>1407</v>
      </c>
      <c r="O917" s="67">
        <f t="shared" si="203"/>
        <v>353</v>
      </c>
      <c r="P917" s="67">
        <f t="shared" si="204"/>
        <v>0</v>
      </c>
      <c r="Q917" s="67">
        <f t="shared" si="205"/>
        <v>834</v>
      </c>
      <c r="R917" s="638">
        <f t="shared" si="208"/>
        <v>211491.23942510359</v>
      </c>
      <c r="S917" s="73"/>
      <c r="AC917" s="642" t="s">
        <v>1507</v>
      </c>
      <c r="AD917" s="67">
        <f t="shared" si="209"/>
        <v>6002</v>
      </c>
      <c r="AE917" s="67">
        <f t="shared" si="210"/>
        <v>764</v>
      </c>
      <c r="AF917" s="67">
        <f t="shared" si="211"/>
        <v>799</v>
      </c>
      <c r="AG917" s="67">
        <f t="shared" si="212"/>
        <v>1341</v>
      </c>
      <c r="AH917" s="67">
        <f t="shared" si="213"/>
        <v>0</v>
      </c>
      <c r="AI917" s="67">
        <f t="shared" si="214"/>
        <v>152</v>
      </c>
      <c r="AJ917" s="67">
        <f t="shared" si="215"/>
        <v>53</v>
      </c>
      <c r="AK917" s="67">
        <f t="shared" si="216"/>
        <v>62</v>
      </c>
      <c r="AL917" s="67">
        <f t="shared" si="217"/>
        <v>62</v>
      </c>
      <c r="AM917" s="67">
        <f t="shared" si="218"/>
        <v>19</v>
      </c>
      <c r="AN917" s="67">
        <f t="shared" si="219"/>
        <v>22</v>
      </c>
      <c r="AO917" s="67">
        <f t="shared" si="220"/>
        <v>42</v>
      </c>
      <c r="AP917" s="67">
        <f t="shared" si="221"/>
        <v>11</v>
      </c>
      <c r="AQ917" s="67">
        <f t="shared" si="222"/>
        <v>0</v>
      </c>
      <c r="AR917" s="67">
        <f t="shared" si="223"/>
        <v>25</v>
      </c>
      <c r="AS917" s="636">
        <f t="shared" si="224"/>
        <v>9354</v>
      </c>
      <c r="AU917" s="708">
        <f t="shared" si="225"/>
        <v>4.4228782361987989E-2</v>
      </c>
    </row>
    <row r="918" spans="1:47" ht="15.75" customHeight="1" x14ac:dyDescent="0.3">
      <c r="A918" s="139" t="s">
        <v>1508</v>
      </c>
      <c r="B918" s="67">
        <f t="shared" si="206"/>
        <v>132462</v>
      </c>
      <c r="C918" s="67">
        <f t="shared" si="192"/>
        <v>16858</v>
      </c>
      <c r="D918" s="67">
        <f t="shared" si="193"/>
        <v>17658</v>
      </c>
      <c r="E918" s="67">
        <f t="shared" si="194"/>
        <v>29988</v>
      </c>
      <c r="F918" s="67">
        <f t="shared" si="207"/>
        <v>14187.060997143602</v>
      </c>
      <c r="G918" s="67">
        <f t="shared" si="195"/>
        <v>0</v>
      </c>
      <c r="H918" s="67">
        <f t="shared" si="196"/>
        <v>3137</v>
      </c>
      <c r="I918" s="67">
        <f t="shared" si="197"/>
        <v>1919</v>
      </c>
      <c r="J918" s="67">
        <f t="shared" si="198"/>
        <v>2600</v>
      </c>
      <c r="K918" s="67">
        <f t="shared" si="199"/>
        <v>2686</v>
      </c>
      <c r="L918" s="67">
        <f t="shared" si="200"/>
        <v>718</v>
      </c>
      <c r="M918" s="67">
        <f t="shared" si="201"/>
        <v>844</v>
      </c>
      <c r="N918" s="67">
        <f t="shared" si="202"/>
        <v>1778</v>
      </c>
      <c r="O918" s="67">
        <f t="shared" si="203"/>
        <v>222</v>
      </c>
      <c r="P918" s="67">
        <f t="shared" si="204"/>
        <v>0</v>
      </c>
      <c r="Q918" s="67">
        <f t="shared" si="205"/>
        <v>524</v>
      </c>
      <c r="R918" s="638">
        <f t="shared" si="208"/>
        <v>225581.06099714359</v>
      </c>
      <c r="S918" s="73"/>
      <c r="AC918" s="642" t="s">
        <v>1508</v>
      </c>
      <c r="AD918" s="67">
        <f t="shared" si="209"/>
        <v>6226</v>
      </c>
      <c r="AE918" s="67">
        <f t="shared" si="210"/>
        <v>792</v>
      </c>
      <c r="AF918" s="67">
        <f t="shared" si="211"/>
        <v>830</v>
      </c>
      <c r="AG918" s="67">
        <f t="shared" si="212"/>
        <v>1409</v>
      </c>
      <c r="AH918" s="67">
        <f t="shared" si="213"/>
        <v>0</v>
      </c>
      <c r="AI918" s="67">
        <f t="shared" si="214"/>
        <v>94</v>
      </c>
      <c r="AJ918" s="67">
        <f t="shared" si="215"/>
        <v>58</v>
      </c>
      <c r="AK918" s="67">
        <f t="shared" si="216"/>
        <v>78</v>
      </c>
      <c r="AL918" s="67">
        <f t="shared" si="217"/>
        <v>81</v>
      </c>
      <c r="AM918" s="67">
        <f t="shared" si="218"/>
        <v>22</v>
      </c>
      <c r="AN918" s="67">
        <f t="shared" si="219"/>
        <v>25</v>
      </c>
      <c r="AO918" s="67">
        <f t="shared" si="220"/>
        <v>53</v>
      </c>
      <c r="AP918" s="67">
        <f t="shared" si="221"/>
        <v>7</v>
      </c>
      <c r="AQ918" s="67">
        <f t="shared" si="222"/>
        <v>0</v>
      </c>
      <c r="AR918" s="67">
        <f t="shared" si="223"/>
        <v>16</v>
      </c>
      <c r="AS918" s="636">
        <f t="shared" si="224"/>
        <v>9691</v>
      </c>
      <c r="AU918" s="708">
        <f t="shared" si="225"/>
        <v>4.2960166767380847E-2</v>
      </c>
    </row>
    <row r="919" spans="1:47" ht="15.75" customHeight="1" x14ac:dyDescent="0.3">
      <c r="A919" s="139" t="s">
        <v>1509</v>
      </c>
      <c r="B919" s="67">
        <f t="shared" si="206"/>
        <v>112154</v>
      </c>
      <c r="C919" s="67">
        <f t="shared" si="192"/>
        <v>14275</v>
      </c>
      <c r="D919" s="67">
        <f t="shared" si="193"/>
        <v>14954</v>
      </c>
      <c r="E919" s="67">
        <f t="shared" si="194"/>
        <v>25292</v>
      </c>
      <c r="F919" s="67">
        <f t="shared" si="207"/>
        <v>10416.515352189646</v>
      </c>
      <c r="G919" s="67">
        <f t="shared" si="195"/>
        <v>0</v>
      </c>
      <c r="H919" s="67">
        <f t="shared" si="196"/>
        <v>4057</v>
      </c>
      <c r="I919" s="67">
        <f t="shared" si="197"/>
        <v>2556</v>
      </c>
      <c r="J919" s="67">
        <f t="shared" si="198"/>
        <v>3717</v>
      </c>
      <c r="K919" s="67">
        <f t="shared" si="199"/>
        <v>3855</v>
      </c>
      <c r="L919" s="67">
        <f t="shared" si="200"/>
        <v>1432</v>
      </c>
      <c r="M919" s="67">
        <f t="shared" si="201"/>
        <v>1687</v>
      </c>
      <c r="N919" s="67">
        <f t="shared" si="202"/>
        <v>3523</v>
      </c>
      <c r="O919" s="67">
        <f t="shared" si="203"/>
        <v>840</v>
      </c>
      <c r="P919" s="67">
        <f t="shared" si="204"/>
        <v>0</v>
      </c>
      <c r="Q919" s="67">
        <f t="shared" si="205"/>
        <v>1989</v>
      </c>
      <c r="R919" s="638">
        <f t="shared" si="208"/>
        <v>200747.51535218966</v>
      </c>
      <c r="S919" s="73"/>
      <c r="AC919" s="642" t="s">
        <v>1509</v>
      </c>
      <c r="AD919" s="67">
        <f t="shared" si="209"/>
        <v>5271</v>
      </c>
      <c r="AE919" s="67">
        <f t="shared" si="210"/>
        <v>671</v>
      </c>
      <c r="AF919" s="67">
        <f t="shared" si="211"/>
        <v>703</v>
      </c>
      <c r="AG919" s="67">
        <f t="shared" si="212"/>
        <v>1189</v>
      </c>
      <c r="AH919" s="67">
        <f t="shared" si="213"/>
        <v>0</v>
      </c>
      <c r="AI919" s="67">
        <f t="shared" si="214"/>
        <v>122</v>
      </c>
      <c r="AJ919" s="67">
        <f t="shared" si="215"/>
        <v>77</v>
      </c>
      <c r="AK919" s="67">
        <f t="shared" si="216"/>
        <v>112</v>
      </c>
      <c r="AL919" s="67">
        <f t="shared" si="217"/>
        <v>116</v>
      </c>
      <c r="AM919" s="67">
        <f t="shared" si="218"/>
        <v>43</v>
      </c>
      <c r="AN919" s="67">
        <f t="shared" si="219"/>
        <v>51</v>
      </c>
      <c r="AO919" s="67">
        <f t="shared" si="220"/>
        <v>106</v>
      </c>
      <c r="AP919" s="67">
        <f t="shared" si="221"/>
        <v>25</v>
      </c>
      <c r="AQ919" s="67">
        <f t="shared" si="222"/>
        <v>0</v>
      </c>
      <c r="AR919" s="67">
        <f t="shared" si="223"/>
        <v>60</v>
      </c>
      <c r="AS919" s="636">
        <f t="shared" si="224"/>
        <v>8546</v>
      </c>
      <c r="AU919" s="708">
        <f t="shared" si="225"/>
        <v>4.2570888038175582E-2</v>
      </c>
    </row>
    <row r="920" spans="1:47" ht="15.75" customHeight="1" x14ac:dyDescent="0.3">
      <c r="A920" s="553"/>
      <c r="B920" s="67"/>
      <c r="C920" s="67"/>
      <c r="D920" s="67"/>
      <c r="E920" s="67"/>
      <c r="F920" s="67"/>
      <c r="G920" s="67"/>
      <c r="H920" s="67"/>
      <c r="I920" s="67"/>
      <c r="J920" s="67"/>
      <c r="K920" s="67"/>
      <c r="L920" s="67"/>
      <c r="M920" s="67"/>
      <c r="N920" s="67"/>
      <c r="O920" s="67"/>
      <c r="P920" s="67"/>
      <c r="Q920" s="67"/>
      <c r="R920" s="636"/>
      <c r="S920" s="73"/>
      <c r="AC920" s="579"/>
      <c r="AD920" s="67"/>
      <c r="AE920" s="67"/>
      <c r="AF920" s="67"/>
      <c r="AG920" s="67"/>
      <c r="AH920" s="67"/>
      <c r="AI920" s="67"/>
      <c r="AJ920" s="67"/>
      <c r="AK920" s="67"/>
      <c r="AL920" s="67"/>
      <c r="AM920" s="67"/>
      <c r="AN920" s="67"/>
      <c r="AO920" s="67"/>
      <c r="AP920" s="67"/>
      <c r="AQ920" s="67"/>
      <c r="AR920" s="67"/>
      <c r="AS920" s="636"/>
    </row>
    <row r="921" spans="1:47" ht="15.75" customHeight="1" thickBot="1" x14ac:dyDescent="0.35">
      <c r="A921" s="553" t="s">
        <v>2356</v>
      </c>
      <c r="B921" s="67">
        <f>SUM(B908:B919)</f>
        <v>1426853</v>
      </c>
      <c r="C921" s="67">
        <f t="shared" ref="C921:R921" si="226">SUM(C908:C919)</f>
        <v>181473</v>
      </c>
      <c r="D921" s="67">
        <f t="shared" si="226"/>
        <v>189968</v>
      </c>
      <c r="E921" s="67">
        <f t="shared" si="226"/>
        <v>312499</v>
      </c>
      <c r="F921" s="67">
        <f t="shared" si="226"/>
        <v>75466.122895681372</v>
      </c>
      <c r="G921" s="67">
        <f t="shared" si="226"/>
        <v>-42879.80465809608</v>
      </c>
      <c r="H921" s="67">
        <f t="shared" si="226"/>
        <v>94116</v>
      </c>
      <c r="I921" s="67">
        <f t="shared" si="226"/>
        <v>54133</v>
      </c>
      <c r="J921" s="67">
        <f t="shared" si="226"/>
        <v>62699</v>
      </c>
      <c r="K921" s="67">
        <f t="shared" si="226"/>
        <v>57850</v>
      </c>
      <c r="L921" s="67">
        <f t="shared" si="226"/>
        <v>19001</v>
      </c>
      <c r="M921" s="67">
        <f t="shared" si="226"/>
        <v>22377</v>
      </c>
      <c r="N921" s="67">
        <f t="shared" si="226"/>
        <v>44456</v>
      </c>
      <c r="O921" s="67">
        <f t="shared" si="226"/>
        <v>7909</v>
      </c>
      <c r="P921" s="67">
        <f t="shared" si="226"/>
        <v>11421</v>
      </c>
      <c r="Q921" s="67">
        <f t="shared" si="226"/>
        <v>18683</v>
      </c>
      <c r="R921" s="639">
        <f t="shared" si="226"/>
        <v>2536024.318237585</v>
      </c>
      <c r="S921" s="73"/>
      <c r="AC921" s="644" t="s">
        <v>2356</v>
      </c>
      <c r="AD921" s="555">
        <f>SUM(AD908:AD919)</f>
        <v>67062</v>
      </c>
      <c r="AE921" s="555">
        <f t="shared" ref="AE921:AS921" si="227">SUM(AE908:AE919)</f>
        <v>8531</v>
      </c>
      <c r="AF921" s="555">
        <f t="shared" si="227"/>
        <v>8928</v>
      </c>
      <c r="AG921" s="555">
        <f t="shared" si="227"/>
        <v>14687</v>
      </c>
      <c r="AH921" s="555">
        <f t="shared" si="227"/>
        <v>0</v>
      </c>
      <c r="AI921" s="555">
        <f t="shared" si="227"/>
        <v>2823</v>
      </c>
      <c r="AJ921" s="555">
        <f t="shared" si="227"/>
        <v>1626</v>
      </c>
      <c r="AK921" s="555">
        <f t="shared" si="227"/>
        <v>1882</v>
      </c>
      <c r="AL921" s="555">
        <f t="shared" si="227"/>
        <v>1737</v>
      </c>
      <c r="AM921" s="555">
        <f t="shared" si="227"/>
        <v>568</v>
      </c>
      <c r="AN921" s="555">
        <f t="shared" si="227"/>
        <v>672</v>
      </c>
      <c r="AO921" s="555">
        <f t="shared" si="227"/>
        <v>1335</v>
      </c>
      <c r="AP921" s="555">
        <f t="shared" si="227"/>
        <v>238</v>
      </c>
      <c r="AQ921" s="555">
        <f t="shared" si="227"/>
        <v>343</v>
      </c>
      <c r="AR921" s="555">
        <f t="shared" si="227"/>
        <v>561</v>
      </c>
      <c r="AS921" s="637">
        <f t="shared" si="227"/>
        <v>110993</v>
      </c>
      <c r="AU921" s="708">
        <f t="shared" si="225"/>
        <v>4.3766536149438345E-2</v>
      </c>
    </row>
    <row r="922" spans="1:47" ht="16.5" customHeight="1" thickBot="1" x14ac:dyDescent="0.35">
      <c r="A922" s="558" t="s">
        <v>852</v>
      </c>
      <c r="B922" s="555"/>
      <c r="C922" s="555"/>
      <c r="D922" s="555"/>
      <c r="E922" s="555"/>
      <c r="F922" s="555"/>
      <c r="G922" s="555"/>
      <c r="H922" s="555"/>
      <c r="I922" s="555"/>
      <c r="J922" s="555"/>
      <c r="K922" s="555"/>
      <c r="L922" s="555"/>
      <c r="M922" s="555"/>
      <c r="N922" s="555"/>
      <c r="O922" s="555"/>
      <c r="P922" s="555"/>
      <c r="Q922" s="555"/>
      <c r="R922" s="637"/>
      <c r="S922" s="67"/>
    </row>
    <row r="923" spans="1:47" ht="15.75" customHeight="1" x14ac:dyDescent="0.3">
      <c r="A923" s="67"/>
      <c r="B923" s="67"/>
      <c r="C923" s="67"/>
      <c r="D923" s="67"/>
      <c r="E923" s="67"/>
      <c r="F923" s="67"/>
      <c r="G923" s="67"/>
      <c r="H923" s="67"/>
      <c r="I923" s="67"/>
      <c r="J923" s="67"/>
      <c r="K923" s="67"/>
      <c r="L923" s="67"/>
      <c r="M923" s="67"/>
      <c r="N923" s="67"/>
      <c r="O923" s="67"/>
      <c r="P923" s="67"/>
      <c r="Q923" s="67"/>
      <c r="R923" s="67"/>
    </row>
    <row r="924" spans="1:47" ht="15.75" customHeight="1" x14ac:dyDescent="0.3"/>
    <row r="925" spans="1:47" ht="15.75" customHeight="1" thickBot="1" x14ac:dyDescent="0.35"/>
    <row r="926" spans="1:47" ht="15.75" customHeight="1" thickBot="1" x14ac:dyDescent="0.35">
      <c r="B926" s="790" t="s">
        <v>2921</v>
      </c>
      <c r="C926" s="782"/>
      <c r="D926" s="782"/>
      <c r="E926" s="782"/>
      <c r="F926" s="782"/>
      <c r="G926" s="782"/>
      <c r="H926" s="782"/>
      <c r="I926" s="782"/>
      <c r="J926" s="782"/>
      <c r="K926" s="782"/>
      <c r="L926" s="782"/>
      <c r="M926" s="782"/>
      <c r="N926" s="782"/>
      <c r="O926" s="782"/>
      <c r="P926" s="782"/>
      <c r="Q926" s="678" t="str">
        <f>+Q1</f>
        <v xml:space="preserve">PRINTED:  </v>
      </c>
      <c r="R926" s="682">
        <f ca="1">+R1</f>
        <v>44881.729634027775</v>
      </c>
      <c r="S926" s="701"/>
      <c r="T926" s="703"/>
      <c r="U926" s="703"/>
      <c r="V926" s="702"/>
    </row>
    <row r="927" spans="1:47" ht="15.75" customHeight="1" x14ac:dyDescent="0.3">
      <c r="B927" s="791">
        <f>+A5</f>
        <v>2016</v>
      </c>
      <c r="C927" s="787"/>
      <c r="D927" s="787"/>
      <c r="E927" s="787"/>
      <c r="F927" s="787"/>
      <c r="G927" s="787"/>
      <c r="H927" s="787"/>
      <c r="I927" s="787"/>
      <c r="J927" s="787"/>
      <c r="K927" s="787"/>
      <c r="L927" s="787"/>
      <c r="M927" s="787"/>
      <c r="N927" s="787"/>
      <c r="O927" s="787"/>
      <c r="P927" s="787"/>
      <c r="Q927" s="67"/>
      <c r="R927" s="67"/>
      <c r="S927" s="67"/>
      <c r="V927" s="712"/>
      <c r="AC927" s="685"/>
      <c r="AD927" s="782" t="s">
        <v>2923</v>
      </c>
      <c r="AE927" s="785"/>
      <c r="AF927" s="785"/>
      <c r="AG927" s="785"/>
      <c r="AH927" s="785"/>
      <c r="AI927" s="785"/>
      <c r="AJ927" s="785"/>
      <c r="AK927" s="785"/>
      <c r="AL927" s="785"/>
      <c r="AM927" s="785"/>
      <c r="AN927" s="785"/>
      <c r="AO927" s="785"/>
      <c r="AP927" s="785"/>
      <c r="AQ927" s="785"/>
      <c r="AR927" s="678" t="str">
        <f>$Q$1</f>
        <v xml:space="preserve">PRINTED:  </v>
      </c>
      <c r="AS927" s="686">
        <f ca="1">$R$1</f>
        <v>44881.729634027775</v>
      </c>
    </row>
    <row r="928" spans="1:47" ht="15.75" customHeight="1" x14ac:dyDescent="0.3">
      <c r="B928" s="792" t="str">
        <f>+A8</f>
        <v>Revised:  2/23/2017</v>
      </c>
      <c r="C928" s="786"/>
      <c r="D928" s="786"/>
      <c r="E928" s="786"/>
      <c r="F928" s="786"/>
      <c r="G928" s="786"/>
      <c r="H928" s="786"/>
      <c r="I928" s="786"/>
      <c r="J928" s="786"/>
      <c r="K928" s="786"/>
      <c r="L928" s="786"/>
      <c r="M928" s="786"/>
      <c r="N928" s="786"/>
      <c r="O928" s="786"/>
      <c r="P928" s="786"/>
      <c r="Q928" s="67"/>
      <c r="R928" s="67"/>
      <c r="S928" s="67"/>
      <c r="V928" s="712"/>
      <c r="AC928" s="579"/>
      <c r="AD928" s="786" t="str">
        <f>+$A$8</f>
        <v>Revised:  2/23/2017</v>
      </c>
      <c r="AE928" s="788"/>
      <c r="AF928" s="788"/>
      <c r="AG928" s="788"/>
      <c r="AH928" s="788"/>
      <c r="AI928" s="788"/>
      <c r="AJ928" s="788"/>
      <c r="AK928" s="788"/>
      <c r="AL928" s="788"/>
      <c r="AM928" s="788"/>
      <c r="AN928" s="788"/>
      <c r="AO928" s="788"/>
      <c r="AP928" s="788"/>
      <c r="AQ928" s="788"/>
      <c r="AR928" s="139"/>
      <c r="AS928" s="561"/>
    </row>
    <row r="929" spans="1:45" ht="15.75" customHeight="1" thickBot="1" x14ac:dyDescent="0.35">
      <c r="B929" s="793" t="s">
        <v>2676</v>
      </c>
      <c r="C929" s="794"/>
      <c r="D929" s="794"/>
      <c r="E929" s="794"/>
      <c r="F929" s="794"/>
      <c r="G929" s="794"/>
      <c r="H929" s="794"/>
      <c r="I929" s="794"/>
      <c r="J929" s="794"/>
      <c r="K929" s="794"/>
      <c r="L929" s="794"/>
      <c r="M929" s="794"/>
      <c r="N929" s="794"/>
      <c r="O929" s="794"/>
      <c r="P929" s="794"/>
      <c r="Q929" s="67"/>
      <c r="R929" s="67"/>
      <c r="S929" s="67"/>
      <c r="V929" s="712"/>
      <c r="AC929" s="579"/>
      <c r="AD929" s="786" t="s">
        <v>2878</v>
      </c>
      <c r="AE929" s="789"/>
      <c r="AF929" s="789"/>
      <c r="AG929" s="789"/>
      <c r="AH929" s="789"/>
      <c r="AI929" s="789"/>
      <c r="AJ929" s="789"/>
      <c r="AK929" s="789"/>
      <c r="AL929" s="789"/>
      <c r="AM929" s="789"/>
      <c r="AN929" s="789"/>
      <c r="AO929" s="789"/>
      <c r="AP929" s="789"/>
      <c r="AQ929" s="789"/>
      <c r="AS929" s="561"/>
    </row>
    <row r="930" spans="1:45" ht="15.75" customHeight="1" thickBot="1" x14ac:dyDescent="0.35">
      <c r="A930" s="649"/>
      <c r="B930" s="795" t="s">
        <v>2633</v>
      </c>
      <c r="C930" s="796"/>
      <c r="D930" s="796"/>
      <c r="E930" s="796"/>
      <c r="F930" s="797"/>
      <c r="G930" s="795" t="s">
        <v>2674</v>
      </c>
      <c r="H930" s="796"/>
      <c r="I930" s="796"/>
      <c r="J930" s="796"/>
      <c r="K930" s="796"/>
      <c r="L930" s="796"/>
      <c r="M930" s="798" t="s">
        <v>2677</v>
      </c>
      <c r="N930" s="799"/>
      <c r="O930" s="799"/>
      <c r="P930" s="799"/>
      <c r="Q930" s="799"/>
      <c r="R930" s="800"/>
      <c r="S930" s="795" t="s">
        <v>2682</v>
      </c>
      <c r="T930" s="801"/>
      <c r="U930" s="802"/>
      <c r="V930" s="712"/>
      <c r="AC930" s="579"/>
      <c r="AS930" s="561"/>
    </row>
    <row r="931" spans="1:45" ht="15.75" customHeight="1" x14ac:dyDescent="0.3">
      <c r="A931" s="649"/>
      <c r="B931" s="553" t="s">
        <v>2439</v>
      </c>
      <c r="C931" s="70"/>
      <c r="D931" s="70" t="s">
        <v>336</v>
      </c>
      <c r="E931" s="70" t="s">
        <v>596</v>
      </c>
      <c r="F931" s="562" t="s">
        <v>2652</v>
      </c>
      <c r="G931" s="553" t="s">
        <v>228</v>
      </c>
      <c r="H931" s="70"/>
      <c r="I931" s="70"/>
      <c r="J931" s="70" t="s">
        <v>229</v>
      </c>
      <c r="K931" s="70" t="s">
        <v>2638</v>
      </c>
      <c r="L931" s="70" t="s">
        <v>2639</v>
      </c>
      <c r="M931" s="803" t="s">
        <v>3116</v>
      </c>
      <c r="N931" s="823"/>
      <c r="O931" s="830"/>
      <c r="P931" s="604"/>
      <c r="Q931" s="599"/>
      <c r="R931" s="713"/>
      <c r="S931" s="70" t="s">
        <v>2683</v>
      </c>
      <c r="T931" s="610" t="s">
        <v>134</v>
      </c>
      <c r="U931" s="611" t="s">
        <v>2685</v>
      </c>
      <c r="V931" s="712"/>
      <c r="AC931" s="579"/>
      <c r="AD931" s="787">
        <f>$A$5</f>
        <v>2016</v>
      </c>
      <c r="AE931" s="789"/>
      <c r="AF931" s="789"/>
      <c r="AG931" s="789"/>
      <c r="AH931" s="789"/>
      <c r="AI931" s="789"/>
      <c r="AJ931" s="789"/>
      <c r="AK931" s="789"/>
      <c r="AL931" s="789"/>
      <c r="AM931" s="789"/>
      <c r="AN931" s="789"/>
      <c r="AO931" s="789"/>
      <c r="AP931" s="789"/>
      <c r="AQ931" s="789"/>
      <c r="AS931" s="561"/>
    </row>
    <row r="932" spans="1:45" ht="15.75" customHeight="1" x14ac:dyDescent="0.3">
      <c r="A932" s="649"/>
      <c r="B932" s="593" t="s">
        <v>2648</v>
      </c>
      <c r="C932" s="588" t="s">
        <v>2656</v>
      </c>
      <c r="D932" s="588" t="s">
        <v>2651</v>
      </c>
      <c r="E932" s="70" t="s">
        <v>335</v>
      </c>
      <c r="F932" s="591" t="s">
        <v>2653</v>
      </c>
      <c r="G932" s="553" t="s">
        <v>2463</v>
      </c>
      <c r="H932" s="70" t="s">
        <v>1416</v>
      </c>
      <c r="I932" s="70" t="s">
        <v>1417</v>
      </c>
      <c r="J932" s="588" t="s">
        <v>2632</v>
      </c>
      <c r="K932" s="70" t="s">
        <v>2634</v>
      </c>
      <c r="L932" s="588" t="s">
        <v>2637</v>
      </c>
      <c r="M932" s="603" t="s">
        <v>2679</v>
      </c>
      <c r="N932" s="604" t="s">
        <v>2680</v>
      </c>
      <c r="O932" s="630" t="s">
        <v>2356</v>
      </c>
      <c r="P932" s="604" t="s">
        <v>3112</v>
      </c>
      <c r="Q932" s="604" t="s">
        <v>3112</v>
      </c>
      <c r="R932" s="630" t="s">
        <v>3117</v>
      </c>
      <c r="S932" s="70" t="s">
        <v>2684</v>
      </c>
      <c r="T932" s="70" t="s">
        <v>2686</v>
      </c>
      <c r="U932" s="562" t="s">
        <v>2687</v>
      </c>
      <c r="V932" s="712"/>
      <c r="AC932" s="579"/>
      <c r="AD932" s="786" t="s">
        <v>2919</v>
      </c>
      <c r="AE932" s="788"/>
      <c r="AF932" s="788"/>
      <c r="AG932" s="788"/>
      <c r="AH932" s="788"/>
      <c r="AI932" s="788"/>
      <c r="AJ932" s="788"/>
      <c r="AK932" s="788"/>
      <c r="AL932" s="788"/>
      <c r="AM932" s="788"/>
      <c r="AN932" s="788"/>
      <c r="AO932" s="788"/>
      <c r="AP932" s="788"/>
      <c r="AQ932" s="788"/>
      <c r="AR932" s="70"/>
      <c r="AS932" s="561"/>
    </row>
    <row r="933" spans="1:45" ht="15.75" customHeight="1" x14ac:dyDescent="0.3">
      <c r="A933" s="649"/>
      <c r="B933" s="594" t="s">
        <v>2654</v>
      </c>
      <c r="C933" s="217">
        <v>0</v>
      </c>
      <c r="D933" s="217"/>
      <c r="E933" s="70" t="s">
        <v>133</v>
      </c>
      <c r="F933" s="595" t="s">
        <v>2649</v>
      </c>
      <c r="G933" s="553" t="s">
        <v>2650</v>
      </c>
      <c r="H933" s="70" t="s">
        <v>335</v>
      </c>
      <c r="I933" s="70" t="s">
        <v>335</v>
      </c>
      <c r="J933" s="70" t="s">
        <v>335</v>
      </c>
      <c r="K933" s="70" t="s">
        <v>134</v>
      </c>
      <c r="L933" s="70" t="s">
        <v>2636</v>
      </c>
      <c r="M933" s="605" t="s">
        <v>955</v>
      </c>
      <c r="N933" s="599" t="s">
        <v>2681</v>
      </c>
      <c r="O933" s="630" t="s">
        <v>2688</v>
      </c>
      <c r="P933" s="599" t="s">
        <v>3113</v>
      </c>
      <c r="Q933" s="604" t="s">
        <v>3113</v>
      </c>
      <c r="R933" s="630" t="s">
        <v>2688</v>
      </c>
      <c r="S933" s="70" t="s">
        <v>335</v>
      </c>
      <c r="T933" s="70" t="s">
        <v>335</v>
      </c>
      <c r="U933" s="562" t="s">
        <v>335</v>
      </c>
      <c r="V933" s="712"/>
      <c r="AC933" s="579"/>
      <c r="AK933" s="670"/>
      <c r="AS933" s="561"/>
    </row>
    <row r="934" spans="1:45" ht="15.75" customHeight="1" thickBot="1" x14ac:dyDescent="0.35">
      <c r="A934" s="592" t="s">
        <v>249</v>
      </c>
      <c r="B934" s="553" t="s">
        <v>998</v>
      </c>
      <c r="C934" s="70" t="s">
        <v>998</v>
      </c>
      <c r="D934" s="70" t="s">
        <v>998</v>
      </c>
      <c r="E934" s="70" t="s">
        <v>998</v>
      </c>
      <c r="F934" s="562" t="s">
        <v>998</v>
      </c>
      <c r="G934" s="553" t="s">
        <v>998</v>
      </c>
      <c r="H934" s="70" t="s">
        <v>998</v>
      </c>
      <c r="I934" s="70" t="s">
        <v>998</v>
      </c>
      <c r="J934" s="70" t="s">
        <v>998</v>
      </c>
      <c r="K934" s="70" t="s">
        <v>998</v>
      </c>
      <c r="L934" s="70" t="s">
        <v>998</v>
      </c>
      <c r="M934" s="605" t="s">
        <v>998</v>
      </c>
      <c r="N934" s="599" t="s">
        <v>998</v>
      </c>
      <c r="O934" s="630" t="s">
        <v>998</v>
      </c>
      <c r="P934" s="599" t="s">
        <v>3013</v>
      </c>
      <c r="Q934" s="604" t="s">
        <v>998</v>
      </c>
      <c r="R934" s="630" t="s">
        <v>998</v>
      </c>
      <c r="S934" s="70" t="s">
        <v>998</v>
      </c>
      <c r="T934" s="70" t="s">
        <v>998</v>
      </c>
      <c r="U934" s="562" t="s">
        <v>998</v>
      </c>
      <c r="V934" s="712"/>
      <c r="AC934" s="579"/>
      <c r="AD934" s="634" t="s">
        <v>1308</v>
      </c>
      <c r="AE934" s="634" t="s">
        <v>1309</v>
      </c>
      <c r="AF934" s="634" t="s">
        <v>1029</v>
      </c>
      <c r="AG934" s="634" t="s">
        <v>1030</v>
      </c>
      <c r="AH934" s="634" t="s">
        <v>284</v>
      </c>
      <c r="AI934" s="634" t="s">
        <v>285</v>
      </c>
      <c r="AJ934" s="634" t="s">
        <v>286</v>
      </c>
      <c r="AK934" s="634" t="s">
        <v>287</v>
      </c>
      <c r="AL934" s="634" t="s">
        <v>288</v>
      </c>
      <c r="AM934" s="634" t="s">
        <v>289</v>
      </c>
      <c r="AN934" s="634" t="s">
        <v>633</v>
      </c>
      <c r="AO934" s="634" t="s">
        <v>634</v>
      </c>
      <c r="AP934" s="634" t="s">
        <v>1192</v>
      </c>
      <c r="AQ934" s="634" t="s">
        <v>524</v>
      </c>
      <c r="AR934" s="634" t="s">
        <v>525</v>
      </c>
      <c r="AS934" s="684" t="s">
        <v>2356</v>
      </c>
    </row>
    <row r="935" spans="1:45" ht="15.75" customHeight="1" x14ac:dyDescent="0.3">
      <c r="A935" s="592" t="s">
        <v>1353</v>
      </c>
      <c r="B935" s="553" t="s">
        <v>1353</v>
      </c>
      <c r="C935" s="70" t="s">
        <v>1353</v>
      </c>
      <c r="D935" s="70" t="s">
        <v>1353</v>
      </c>
      <c r="E935" s="70" t="s">
        <v>2202</v>
      </c>
      <c r="F935" s="562" t="s">
        <v>1353</v>
      </c>
      <c r="G935" s="553" t="s">
        <v>1353</v>
      </c>
      <c r="H935" s="70" t="s">
        <v>2119</v>
      </c>
      <c r="I935" s="70" t="s">
        <v>2119</v>
      </c>
      <c r="J935" s="70" t="s">
        <v>1353</v>
      </c>
      <c r="K935" s="70" t="s">
        <v>1353</v>
      </c>
      <c r="L935" s="70" t="s">
        <v>1353</v>
      </c>
      <c r="M935" s="605" t="s">
        <v>1353</v>
      </c>
      <c r="N935" s="599" t="s">
        <v>1353</v>
      </c>
      <c r="O935" s="630" t="s">
        <v>1353</v>
      </c>
      <c r="P935" s="605" t="s">
        <v>1353</v>
      </c>
      <c r="Q935" s="599" t="s">
        <v>1353</v>
      </c>
      <c r="R935" s="630" t="s">
        <v>1353</v>
      </c>
      <c r="S935" s="70" t="s">
        <v>1353</v>
      </c>
      <c r="T935" s="70" t="s">
        <v>1353</v>
      </c>
      <c r="U935" s="562" t="s">
        <v>1353</v>
      </c>
      <c r="V935" s="712"/>
      <c r="AC935" s="579"/>
      <c r="AD935" s="67"/>
      <c r="AE935" s="67"/>
      <c r="AF935" s="67"/>
      <c r="AG935" s="67"/>
      <c r="AH935" s="70" t="s">
        <v>2910</v>
      </c>
      <c r="AI935" s="67"/>
      <c r="AJ935" s="67"/>
      <c r="AK935" s="67"/>
      <c r="AL935" s="67"/>
      <c r="AM935" s="67"/>
      <c r="AN935" s="67"/>
      <c r="AO935" s="67"/>
      <c r="AP935" s="67"/>
      <c r="AQ935" s="67"/>
      <c r="AR935" s="67"/>
      <c r="AS935" s="636"/>
    </row>
    <row r="936" spans="1:45" ht="15.75" customHeight="1" x14ac:dyDescent="0.3">
      <c r="A936" s="139" t="s">
        <v>2843</v>
      </c>
      <c r="B936" s="553">
        <f>ROUND(R908-G908,0)</f>
        <v>255875</v>
      </c>
      <c r="C936" s="70">
        <f>+ROUND(B936*$C$933,0)</f>
        <v>0</v>
      </c>
      <c r="D936" s="70">
        <f>AS908</f>
        <v>10665</v>
      </c>
      <c r="E936" s="70">
        <f>+B936+C936</f>
        <v>255875</v>
      </c>
      <c r="F936" s="562">
        <f>(D936+E936)</f>
        <v>266540</v>
      </c>
      <c r="G936" s="553">
        <f>ABS(G908)</f>
        <v>0</v>
      </c>
      <c r="H936" s="600">
        <v>10239</v>
      </c>
      <c r="I936" s="600">
        <v>0</v>
      </c>
      <c r="J936" s="70">
        <f>(H936+I936)</f>
        <v>10239</v>
      </c>
      <c r="K936" s="600">
        <v>0</v>
      </c>
      <c r="L936" s="600">
        <v>0</v>
      </c>
      <c r="M936" s="606">
        <v>261552</v>
      </c>
      <c r="N936" s="607"/>
      <c r="O936" s="630">
        <f>M936+N936</f>
        <v>261552</v>
      </c>
      <c r="P936" s="710">
        <v>0</v>
      </c>
      <c r="Q936" s="599">
        <f>-O936*P936</f>
        <v>0</v>
      </c>
      <c r="R936" s="630">
        <f>O936+Q936</f>
        <v>261552</v>
      </c>
      <c r="S936" s="628">
        <f t="shared" ref="S936:S947" si="228">(F936-G936-J936-K936-L936-R936)</f>
        <v>-5251</v>
      </c>
      <c r="T936" s="70" t="str">
        <f>+IF(S936&gt;=0,ABS(S936),"")</f>
        <v/>
      </c>
      <c r="U936" s="562">
        <f>+IF(S936&lt;=0,ABS(S936),"")</f>
        <v>5251</v>
      </c>
      <c r="V936" s="712"/>
      <c r="AC936" s="642" t="s">
        <v>3041</v>
      </c>
      <c r="AD936" s="687"/>
      <c r="AE936" s="687"/>
      <c r="AF936" s="687"/>
      <c r="AG936" s="687"/>
      <c r="AH936" s="687">
        <v>1.6E-2</v>
      </c>
      <c r="AI936" s="687">
        <v>1.6E-2</v>
      </c>
      <c r="AJ936" s="687">
        <v>1.6E-2</v>
      </c>
      <c r="AK936" s="687">
        <v>1.6E-2</v>
      </c>
      <c r="AL936" s="687">
        <v>1.6E-2</v>
      </c>
      <c r="AM936" s="687">
        <v>1.6E-2</v>
      </c>
      <c r="AN936" s="687">
        <v>1.6E-2</v>
      </c>
      <c r="AO936" s="687">
        <v>1.6E-2</v>
      </c>
      <c r="AP936" s="687">
        <v>1.6E-2</v>
      </c>
      <c r="AQ936" s="687">
        <v>1.6E-2</v>
      </c>
      <c r="AR936" s="687">
        <v>1.6E-2</v>
      </c>
      <c r="AS936" s="592"/>
    </row>
    <row r="937" spans="1:45" ht="15.75" customHeight="1" x14ac:dyDescent="0.3">
      <c r="A937" s="139" t="s">
        <v>2091</v>
      </c>
      <c r="B937" s="553">
        <f t="shared" ref="B937:B947" si="229">ROUND(R909-G909,0)</f>
        <v>194049</v>
      </c>
      <c r="C937" s="70">
        <f t="shared" ref="C937:C947" si="230">+ROUND(B937*$C$933,0)</f>
        <v>0</v>
      </c>
      <c r="D937" s="70">
        <f t="shared" ref="D937:D947" si="231">AS909</f>
        <v>8358</v>
      </c>
      <c r="E937" s="70">
        <f t="shared" ref="E937:E949" si="232">+B937+C937</f>
        <v>194049</v>
      </c>
      <c r="F937" s="562">
        <f t="shared" ref="F937:F947" si="233">(D937+E937)</f>
        <v>202407</v>
      </c>
      <c r="G937" s="553">
        <f t="shared" ref="G937:G947" si="234">ABS(G909)</f>
        <v>0</v>
      </c>
      <c r="H937" s="600">
        <v>12163</v>
      </c>
      <c r="I937" s="600">
        <v>0</v>
      </c>
      <c r="J937" s="70">
        <f t="shared" ref="J937:J946" si="235">(H937+I937)</f>
        <v>12163</v>
      </c>
      <c r="K937" s="600">
        <v>0</v>
      </c>
      <c r="L937" s="600">
        <v>0</v>
      </c>
      <c r="M937" s="606">
        <v>178176</v>
      </c>
      <c r="N937" s="607"/>
      <c r="O937" s="630">
        <f t="shared" ref="O937:O949" si="236">M937+N937</f>
        <v>178176</v>
      </c>
      <c r="P937" s="710">
        <v>0.35</v>
      </c>
      <c r="Q937" s="599">
        <f t="shared" ref="Q937:Q947" si="237">-O937*P937</f>
        <v>-62361.599999999999</v>
      </c>
      <c r="R937" s="630">
        <f t="shared" ref="R937:R947" si="238">O937+Q937</f>
        <v>115814.39999999999</v>
      </c>
      <c r="S937" s="628">
        <f t="shared" si="228"/>
        <v>74429.600000000006</v>
      </c>
      <c r="T937" s="70">
        <f t="shared" ref="T937:T947" si="239">+IF(S937&gt;=0,ABS(S937),"")</f>
        <v>74429.600000000006</v>
      </c>
      <c r="U937" s="562" t="str">
        <f t="shared" ref="U937:U947" si="240">+IF(S937&lt;=0,ABS(S937),"")</f>
        <v/>
      </c>
      <c r="V937" s="712"/>
      <c r="AC937" s="642" t="s">
        <v>2908</v>
      </c>
      <c r="AD937" s="687"/>
      <c r="AE937" s="687"/>
      <c r="AF937" s="687"/>
      <c r="AG937" s="687"/>
      <c r="AH937" s="687"/>
      <c r="AI937" s="687"/>
      <c r="AJ937" s="687"/>
      <c r="AK937" s="687"/>
      <c r="AL937" s="687"/>
      <c r="AM937" s="687"/>
      <c r="AN937" s="687"/>
      <c r="AO937" s="687"/>
      <c r="AP937" s="687"/>
      <c r="AQ937" s="687"/>
      <c r="AR937" s="687"/>
      <c r="AS937" s="592"/>
    </row>
    <row r="938" spans="1:45" ht="15.75" customHeight="1" x14ac:dyDescent="0.3">
      <c r="A938" s="139" t="s">
        <v>2234</v>
      </c>
      <c r="B938" s="553">
        <f t="shared" si="229"/>
        <v>211691</v>
      </c>
      <c r="C938" s="70">
        <f t="shared" si="230"/>
        <v>0</v>
      </c>
      <c r="D938" s="70">
        <f t="shared" si="231"/>
        <v>9265</v>
      </c>
      <c r="E938" s="70">
        <f t="shared" si="232"/>
        <v>211691</v>
      </c>
      <c r="F938" s="562">
        <f t="shared" si="233"/>
        <v>220956</v>
      </c>
      <c r="G938" s="553">
        <f t="shared" si="234"/>
        <v>1690.4473849091805</v>
      </c>
      <c r="H938" s="600">
        <v>15955</v>
      </c>
      <c r="I938" s="600">
        <v>0</v>
      </c>
      <c r="J938" s="70">
        <f t="shared" si="235"/>
        <v>15955</v>
      </c>
      <c r="K938" s="600">
        <v>0</v>
      </c>
      <c r="L938" s="600">
        <v>0</v>
      </c>
      <c r="M938" s="606">
        <v>189720</v>
      </c>
      <c r="N938" s="607"/>
      <c r="O938" s="630">
        <f t="shared" si="236"/>
        <v>189720</v>
      </c>
      <c r="P938" s="710">
        <v>0.33</v>
      </c>
      <c r="Q938" s="599">
        <f t="shared" si="237"/>
        <v>-62607.600000000006</v>
      </c>
      <c r="R938" s="630">
        <f t="shared" si="238"/>
        <v>127112.4</v>
      </c>
      <c r="S938" s="628">
        <f t="shared" si="228"/>
        <v>76198.152615090832</v>
      </c>
      <c r="T938" s="70">
        <f t="shared" si="239"/>
        <v>76198.152615090832</v>
      </c>
      <c r="U938" s="562" t="str">
        <f t="shared" si="240"/>
        <v/>
      </c>
      <c r="V938" s="712"/>
      <c r="AC938" s="642" t="s">
        <v>2909</v>
      </c>
      <c r="AD938" s="687"/>
      <c r="AE938" s="687"/>
      <c r="AF938" s="687"/>
      <c r="AG938" s="687"/>
      <c r="AH938" s="687"/>
      <c r="AI938" s="687"/>
      <c r="AJ938" s="687"/>
      <c r="AK938" s="687"/>
      <c r="AL938" s="687"/>
      <c r="AM938" s="687"/>
      <c r="AN938" s="687"/>
      <c r="AO938" s="687"/>
      <c r="AP938" s="687"/>
      <c r="AQ938" s="687"/>
      <c r="AR938" s="687"/>
      <c r="AS938" s="592"/>
    </row>
    <row r="939" spans="1:45" ht="15.75" customHeight="1" x14ac:dyDescent="0.3">
      <c r="A939" s="139" t="s">
        <v>2235</v>
      </c>
      <c r="B939" s="553">
        <f t="shared" si="229"/>
        <v>286664</v>
      </c>
      <c r="C939" s="70">
        <f t="shared" si="230"/>
        <v>0</v>
      </c>
      <c r="D939" s="70">
        <f t="shared" si="231"/>
        <v>12434</v>
      </c>
      <c r="E939" s="70">
        <f t="shared" si="232"/>
        <v>286664</v>
      </c>
      <c r="F939" s="562">
        <f t="shared" si="233"/>
        <v>299098</v>
      </c>
      <c r="G939" s="553">
        <f t="shared" si="234"/>
        <v>0</v>
      </c>
      <c r="H939" s="600">
        <v>16907</v>
      </c>
      <c r="I939" s="600">
        <v>0</v>
      </c>
      <c r="J939" s="70">
        <f t="shared" si="235"/>
        <v>16907</v>
      </c>
      <c r="K939" s="600">
        <v>0</v>
      </c>
      <c r="L939" s="600">
        <v>0</v>
      </c>
      <c r="M939" s="606">
        <v>292320</v>
      </c>
      <c r="N939" s="607"/>
      <c r="O939" s="630">
        <f t="shared" si="236"/>
        <v>292320</v>
      </c>
      <c r="P939" s="710">
        <v>0.3</v>
      </c>
      <c r="Q939" s="599">
        <f t="shared" si="237"/>
        <v>-87696</v>
      </c>
      <c r="R939" s="630">
        <f t="shared" si="238"/>
        <v>204624</v>
      </c>
      <c r="S939" s="628">
        <f t="shared" si="228"/>
        <v>77567</v>
      </c>
      <c r="T939" s="70">
        <f t="shared" si="239"/>
        <v>77567</v>
      </c>
      <c r="U939" s="562" t="str">
        <f t="shared" si="240"/>
        <v/>
      </c>
      <c r="V939" s="712"/>
      <c r="AC939" s="642" t="s">
        <v>2760</v>
      </c>
      <c r="AD939" s="687"/>
      <c r="AE939" s="687"/>
      <c r="AF939" s="687"/>
      <c r="AG939" s="687"/>
      <c r="AH939" s="687"/>
      <c r="AI939" s="687"/>
      <c r="AJ939" s="687"/>
      <c r="AK939" s="687"/>
      <c r="AL939" s="687"/>
      <c r="AM939" s="687"/>
      <c r="AN939" s="687"/>
      <c r="AO939" s="687"/>
      <c r="AP939" s="687"/>
      <c r="AQ939" s="687"/>
      <c r="AR939" s="687"/>
      <c r="AS939" s="592"/>
    </row>
    <row r="940" spans="1:45" ht="15.75" customHeight="1" x14ac:dyDescent="0.3">
      <c r="A940" s="139" t="s">
        <v>2236</v>
      </c>
      <c r="B940" s="553">
        <f t="shared" si="229"/>
        <v>298385</v>
      </c>
      <c r="C940" s="70">
        <f t="shared" si="230"/>
        <v>0</v>
      </c>
      <c r="D940" s="70">
        <f t="shared" si="231"/>
        <v>13155</v>
      </c>
      <c r="E940" s="70">
        <f t="shared" si="232"/>
        <v>298385</v>
      </c>
      <c r="F940" s="562">
        <f t="shared" si="233"/>
        <v>311540</v>
      </c>
      <c r="G940" s="553">
        <f t="shared" si="234"/>
        <v>0</v>
      </c>
      <c r="H940" s="600">
        <v>13531</v>
      </c>
      <c r="I940" s="600">
        <v>0</v>
      </c>
      <c r="J940" s="70">
        <f t="shared" si="235"/>
        <v>13531</v>
      </c>
      <c r="K940" s="600">
        <v>0</v>
      </c>
      <c r="L940" s="600">
        <v>0</v>
      </c>
      <c r="M940" s="606">
        <v>300552</v>
      </c>
      <c r="N940" s="607"/>
      <c r="O940" s="630">
        <f t="shared" si="236"/>
        <v>300552</v>
      </c>
      <c r="P940" s="710">
        <v>0.09</v>
      </c>
      <c r="Q940" s="599">
        <f t="shared" si="237"/>
        <v>-27049.68</v>
      </c>
      <c r="R940" s="630">
        <f t="shared" si="238"/>
        <v>273502.32</v>
      </c>
      <c r="S940" s="628">
        <f t="shared" si="228"/>
        <v>24506.679999999993</v>
      </c>
      <c r="T940" s="70">
        <f t="shared" si="239"/>
        <v>24506.679999999993</v>
      </c>
      <c r="U940" s="562" t="str">
        <f t="shared" si="240"/>
        <v/>
      </c>
      <c r="V940" s="712"/>
      <c r="AC940" s="642" t="s">
        <v>1114</v>
      </c>
      <c r="AD940" s="687"/>
      <c r="AE940" s="687"/>
      <c r="AF940" s="687"/>
      <c r="AG940" s="687"/>
      <c r="AH940" s="687"/>
      <c r="AI940" s="687"/>
      <c r="AJ940" s="687">
        <v>2.5000000000000001E-2</v>
      </c>
      <c r="AK940" s="687">
        <v>2.5000000000000001E-2</v>
      </c>
      <c r="AL940" s="687">
        <v>2.5000000000000001E-2</v>
      </c>
      <c r="AM940" s="687">
        <v>2.5000000000000001E-2</v>
      </c>
      <c r="AN940" s="687">
        <v>2.5000000000000001E-2</v>
      </c>
      <c r="AO940" s="687">
        <v>2.5000000000000001E-2</v>
      </c>
      <c r="AP940" s="687">
        <v>2.5000000000000001E-2</v>
      </c>
      <c r="AQ940" s="687">
        <v>2.5000000000000001E-2</v>
      </c>
      <c r="AR940" s="687">
        <v>2.5000000000000001E-2</v>
      </c>
      <c r="AS940" s="592"/>
    </row>
    <row r="941" spans="1:45" ht="15.75" customHeight="1" x14ac:dyDescent="0.3">
      <c r="A941" s="139" t="s">
        <v>2237</v>
      </c>
      <c r="B941" s="553">
        <f t="shared" si="229"/>
        <v>177024</v>
      </c>
      <c r="C941" s="70">
        <f t="shared" si="230"/>
        <v>0</v>
      </c>
      <c r="D941" s="70">
        <f t="shared" si="231"/>
        <v>7497</v>
      </c>
      <c r="E941" s="70">
        <f t="shared" si="232"/>
        <v>177024</v>
      </c>
      <c r="F941" s="562">
        <f t="shared" si="233"/>
        <v>184521</v>
      </c>
      <c r="G941" s="553">
        <f t="shared" si="234"/>
        <v>16044.22764129616</v>
      </c>
      <c r="H941" s="600">
        <v>13636</v>
      </c>
      <c r="I941" s="600">
        <v>0</v>
      </c>
      <c r="J941" s="70">
        <f t="shared" si="235"/>
        <v>13636</v>
      </c>
      <c r="K941" s="600">
        <v>0</v>
      </c>
      <c r="L941" s="600">
        <v>0</v>
      </c>
      <c r="M941" s="606">
        <v>151020</v>
      </c>
      <c r="N941" s="607">
        <v>15300</v>
      </c>
      <c r="O941" s="630">
        <f t="shared" si="236"/>
        <v>166320</v>
      </c>
      <c r="P941" s="710">
        <v>7.0000000000000007E-2</v>
      </c>
      <c r="Q941" s="599">
        <f t="shared" si="237"/>
        <v>-11642.400000000001</v>
      </c>
      <c r="R941" s="630">
        <f t="shared" si="238"/>
        <v>154677.6</v>
      </c>
      <c r="S941" s="628">
        <f t="shared" si="228"/>
        <v>163.17235870382865</v>
      </c>
      <c r="T941" s="70">
        <f t="shared" si="239"/>
        <v>163.17235870382865</v>
      </c>
      <c r="U941" s="562" t="str">
        <f t="shared" si="240"/>
        <v/>
      </c>
      <c r="V941" s="712"/>
      <c r="AC941" s="642" t="s">
        <v>2356</v>
      </c>
      <c r="AD941" s="217">
        <f>SUM(AD936:AD940)</f>
        <v>0</v>
      </c>
      <c r="AE941" s="217">
        <f t="shared" ref="AE941:AR941" si="241">SUM(AE936:AE940)</f>
        <v>0</v>
      </c>
      <c r="AF941" s="217">
        <f t="shared" si="241"/>
        <v>0</v>
      </c>
      <c r="AG941" s="217">
        <f t="shared" si="241"/>
        <v>0</v>
      </c>
      <c r="AH941" s="217">
        <f t="shared" si="241"/>
        <v>1.6E-2</v>
      </c>
      <c r="AI941" s="217">
        <f t="shared" si="241"/>
        <v>1.6E-2</v>
      </c>
      <c r="AJ941" s="217">
        <f t="shared" si="241"/>
        <v>4.1000000000000002E-2</v>
      </c>
      <c r="AK941" s="217">
        <f t="shared" si="241"/>
        <v>4.1000000000000002E-2</v>
      </c>
      <c r="AL941" s="217">
        <f t="shared" si="241"/>
        <v>4.1000000000000002E-2</v>
      </c>
      <c r="AM941" s="217">
        <f t="shared" si="241"/>
        <v>4.1000000000000002E-2</v>
      </c>
      <c r="AN941" s="217">
        <f t="shared" si="241"/>
        <v>4.1000000000000002E-2</v>
      </c>
      <c r="AO941" s="217">
        <f t="shared" si="241"/>
        <v>4.1000000000000002E-2</v>
      </c>
      <c r="AP941" s="217">
        <f t="shared" si="241"/>
        <v>4.1000000000000002E-2</v>
      </c>
      <c r="AQ941" s="217">
        <f t="shared" si="241"/>
        <v>4.1000000000000002E-2</v>
      </c>
      <c r="AR941" s="217">
        <f t="shared" si="241"/>
        <v>4.1000000000000002E-2</v>
      </c>
      <c r="AS941" s="592"/>
    </row>
    <row r="942" spans="1:45" ht="15.75" customHeight="1" x14ac:dyDescent="0.3">
      <c r="A942" s="139" t="s">
        <v>1504</v>
      </c>
      <c r="B942" s="553">
        <f t="shared" si="229"/>
        <v>156068</v>
      </c>
      <c r="C942" s="70">
        <f t="shared" si="230"/>
        <v>0</v>
      </c>
      <c r="D942" s="70">
        <f t="shared" si="231"/>
        <v>6522</v>
      </c>
      <c r="E942" s="70">
        <f t="shared" si="232"/>
        <v>156068</v>
      </c>
      <c r="F942" s="562">
        <f t="shared" si="233"/>
        <v>162590</v>
      </c>
      <c r="G942" s="553">
        <f t="shared" si="234"/>
        <v>14465.951680482289</v>
      </c>
      <c r="H942" s="600">
        <v>12010</v>
      </c>
      <c r="I942" s="600">
        <v>0</v>
      </c>
      <c r="J942" s="70">
        <f t="shared" si="235"/>
        <v>12010</v>
      </c>
      <c r="K942" s="600">
        <v>0</v>
      </c>
      <c r="L942" s="600">
        <v>0</v>
      </c>
      <c r="M942" s="606">
        <v>159216</v>
      </c>
      <c r="N942" s="607">
        <v>15872</v>
      </c>
      <c r="O942" s="630">
        <f t="shared" si="236"/>
        <v>175088</v>
      </c>
      <c r="P942" s="710">
        <v>7.4999999999999997E-2</v>
      </c>
      <c r="Q942" s="599">
        <f t="shared" si="237"/>
        <v>-13131.6</v>
      </c>
      <c r="R942" s="630">
        <f t="shared" si="238"/>
        <v>161956.4</v>
      </c>
      <c r="S942" s="628">
        <f t="shared" si="228"/>
        <v>-25842.351680482272</v>
      </c>
      <c r="T942" s="70" t="str">
        <f t="shared" si="239"/>
        <v/>
      </c>
      <c r="U942" s="562">
        <f t="shared" si="240"/>
        <v>25842.351680482272</v>
      </c>
      <c r="V942" s="712"/>
      <c r="AC942" s="553" t="s">
        <v>1353</v>
      </c>
      <c r="AD942" s="70" t="s">
        <v>1353</v>
      </c>
      <c r="AE942" s="70" t="s">
        <v>1353</v>
      </c>
      <c r="AF942" s="70" t="s">
        <v>1353</v>
      </c>
      <c r="AG942" s="70" t="s">
        <v>1353</v>
      </c>
      <c r="AH942" s="70" t="s">
        <v>1353</v>
      </c>
      <c r="AI942" s="70" t="s">
        <v>1353</v>
      </c>
      <c r="AJ942" s="70" t="s">
        <v>1353</v>
      </c>
      <c r="AK942" s="70" t="s">
        <v>1353</v>
      </c>
      <c r="AL942" s="70" t="s">
        <v>1353</v>
      </c>
      <c r="AM942" s="70" t="s">
        <v>1353</v>
      </c>
      <c r="AN942" s="70" t="s">
        <v>1353</v>
      </c>
      <c r="AO942" s="70" t="s">
        <v>1353</v>
      </c>
      <c r="AP942" s="70" t="s">
        <v>1353</v>
      </c>
      <c r="AQ942" s="70" t="s">
        <v>1353</v>
      </c>
      <c r="AR942" s="70" t="s">
        <v>1353</v>
      </c>
      <c r="AS942" s="592" t="s">
        <v>1353</v>
      </c>
    </row>
    <row r="943" spans="1:45" ht="15.75" customHeight="1" x14ac:dyDescent="0.3">
      <c r="A943" s="139" t="s">
        <v>1505</v>
      </c>
      <c r="B943" s="553">
        <f t="shared" si="229"/>
        <v>133615</v>
      </c>
      <c r="C943" s="70">
        <f t="shared" si="230"/>
        <v>0</v>
      </c>
      <c r="D943" s="70">
        <f t="shared" si="231"/>
        <v>5616</v>
      </c>
      <c r="E943" s="70">
        <f t="shared" si="232"/>
        <v>133615</v>
      </c>
      <c r="F943" s="562">
        <f t="shared" si="233"/>
        <v>139231</v>
      </c>
      <c r="G943" s="553">
        <f t="shared" si="234"/>
        <v>8290.9468902202389</v>
      </c>
      <c r="H943" s="600">
        <v>9563</v>
      </c>
      <c r="I943" s="600">
        <v>0</v>
      </c>
      <c r="J943" s="70">
        <f t="shared" si="235"/>
        <v>9563</v>
      </c>
      <c r="K943" s="600">
        <v>0</v>
      </c>
      <c r="L943" s="600">
        <v>0</v>
      </c>
      <c r="M943" s="606">
        <v>159960</v>
      </c>
      <c r="N943" s="607">
        <v>15376</v>
      </c>
      <c r="O943" s="630">
        <f t="shared" si="236"/>
        <v>175336</v>
      </c>
      <c r="P943" s="710">
        <v>7.4999999999999997E-2</v>
      </c>
      <c r="Q943" s="599">
        <f t="shared" si="237"/>
        <v>-13150.199999999999</v>
      </c>
      <c r="R943" s="630">
        <f t="shared" si="238"/>
        <v>162185.79999999999</v>
      </c>
      <c r="S943" s="628">
        <f t="shared" si="228"/>
        <v>-40808.746890220224</v>
      </c>
      <c r="T943" s="70" t="str">
        <f t="shared" si="239"/>
        <v/>
      </c>
      <c r="U943" s="562">
        <f t="shared" si="240"/>
        <v>40808.746890220224</v>
      </c>
      <c r="V943" s="712"/>
      <c r="AC943" s="642" t="s">
        <v>2843</v>
      </c>
      <c r="AD943" s="67">
        <f>ROUND(B908*$AD$941, 0)</f>
        <v>0</v>
      </c>
      <c r="AE943" s="67">
        <f>ROUND(C908*$AE$941,0)</f>
        <v>0</v>
      </c>
      <c r="AF943" s="67">
        <f>ROUND(D908*$AF$941,0)</f>
        <v>0</v>
      </c>
      <c r="AG943" s="67">
        <f>ROUND(E908*$AG$941,0)</f>
        <v>0</v>
      </c>
      <c r="AH943" s="67">
        <f>ROUND(F908*$AH$941,0)</f>
        <v>372</v>
      </c>
      <c r="AI943" s="67">
        <f>ROUND(H908*$AI$941,0)</f>
        <v>37</v>
      </c>
      <c r="AJ943" s="67">
        <f>ROUND(I908*$AJ$941,0)</f>
        <v>60</v>
      </c>
      <c r="AK943" s="67">
        <f>ROUND(J908*$AK$941,0)</f>
        <v>93</v>
      </c>
      <c r="AL943" s="67">
        <f>ROUND(K908*$AL$941,0)</f>
        <v>96</v>
      </c>
      <c r="AM943" s="67">
        <f>ROUND(L908*$AM$941,0)</f>
        <v>32</v>
      </c>
      <c r="AN943" s="67">
        <f>ROUND(M908*$AN$941,0)</f>
        <v>38</v>
      </c>
      <c r="AO943" s="67">
        <f>ROUND(N908*$AO$941,0)</f>
        <v>79</v>
      </c>
      <c r="AP943" s="67">
        <f>ROUND(O908*$AP$941,0)</f>
        <v>30</v>
      </c>
      <c r="AQ943" s="67">
        <f>ROUND(P908*$AQ$941,0)</f>
        <v>51</v>
      </c>
      <c r="AR943" s="67">
        <f>ROUND(Q908*$AR$941,0)</f>
        <v>72</v>
      </c>
      <c r="AS943" s="636">
        <f>SUM(AD943:AR943)</f>
        <v>960</v>
      </c>
    </row>
    <row r="944" spans="1:45" ht="15.75" customHeight="1" x14ac:dyDescent="0.3">
      <c r="A944" s="139" t="s">
        <v>1506</v>
      </c>
      <c r="B944" s="553">
        <f t="shared" si="229"/>
        <v>227583</v>
      </c>
      <c r="C944" s="70">
        <f t="shared" si="230"/>
        <v>0</v>
      </c>
      <c r="D944" s="70">
        <f t="shared" si="231"/>
        <v>9890</v>
      </c>
      <c r="E944" s="70">
        <f t="shared" si="232"/>
        <v>227583</v>
      </c>
      <c r="F944" s="562">
        <f t="shared" si="233"/>
        <v>237473</v>
      </c>
      <c r="G944" s="553">
        <f t="shared" si="234"/>
        <v>2257.7370144662864</v>
      </c>
      <c r="H944" s="600">
        <v>10083</v>
      </c>
      <c r="I944" s="600">
        <v>0</v>
      </c>
      <c r="J944" s="70">
        <f t="shared" si="235"/>
        <v>10083</v>
      </c>
      <c r="K944" s="600">
        <v>0</v>
      </c>
      <c r="L944" s="600">
        <v>0</v>
      </c>
      <c r="M944" s="606">
        <v>246720</v>
      </c>
      <c r="N944" s="607">
        <v>37200</v>
      </c>
      <c r="O944" s="630">
        <f t="shared" si="236"/>
        <v>283920</v>
      </c>
      <c r="P944" s="710">
        <v>7.4999999999999997E-2</v>
      </c>
      <c r="Q944" s="599">
        <f t="shared" si="237"/>
        <v>-21294</v>
      </c>
      <c r="R944" s="630">
        <f t="shared" si="238"/>
        <v>262626</v>
      </c>
      <c r="S944" s="628">
        <f t="shared" si="228"/>
        <v>-37493.737014466285</v>
      </c>
      <c r="T944" s="70" t="str">
        <f t="shared" si="239"/>
        <v/>
      </c>
      <c r="U944" s="562">
        <f t="shared" si="240"/>
        <v>37493.737014466285</v>
      </c>
      <c r="V944" s="712"/>
      <c r="AC944" s="642" t="s">
        <v>2091</v>
      </c>
      <c r="AD944" s="67">
        <f t="shared" ref="AD944:AD954" si="242">ROUND(B909*$AD$941, 0)</f>
        <v>0</v>
      </c>
      <c r="AE944" s="67">
        <f t="shared" ref="AE944:AE954" si="243">ROUND(C909*$AE$941,0)</f>
        <v>0</v>
      </c>
      <c r="AF944" s="67">
        <f t="shared" ref="AF944:AF954" si="244">ROUND(D909*$AF$941,0)</f>
        <v>0</v>
      </c>
      <c r="AG944" s="67">
        <f t="shared" ref="AG944:AG954" si="245">ROUND(E909*$AG$941,0)</f>
        <v>0</v>
      </c>
      <c r="AH944" s="67">
        <f t="shared" ref="AH944:AH954" si="246">ROUND(F909*$AH$941,0)</f>
        <v>113</v>
      </c>
      <c r="AI944" s="67">
        <f t="shared" ref="AI944:AI954" si="247">ROUND(H909*$AI$941,0)</f>
        <v>90</v>
      </c>
      <c r="AJ944" s="67">
        <f t="shared" ref="AJ944:AJ954" si="248">ROUND(I909*$AJ$941,0)</f>
        <v>118</v>
      </c>
      <c r="AK944" s="67">
        <f t="shared" ref="AK944:AK954" si="249">ROUND(J909*$AK$941,0)</f>
        <v>181</v>
      </c>
      <c r="AL944" s="67">
        <f t="shared" ref="AL944:AL954" si="250">ROUND(K909*$AL$941,0)</f>
        <v>171</v>
      </c>
      <c r="AM944" s="67">
        <f t="shared" ref="AM944:AM954" si="251">ROUND(L909*$AM$941,0)</f>
        <v>47</v>
      </c>
      <c r="AN944" s="67">
        <f t="shared" ref="AN944:AN954" si="252">ROUND(M909*$AN$941,0)</f>
        <v>55</v>
      </c>
      <c r="AO944" s="67">
        <f t="shared" ref="AO944:AO954" si="253">ROUND(N909*$AO$941,0)</f>
        <v>111</v>
      </c>
      <c r="AP944" s="67">
        <f t="shared" ref="AP944:AP954" si="254">ROUND(O909*$AP$941,0)</f>
        <v>23</v>
      </c>
      <c r="AQ944" s="67">
        <f t="shared" ref="AQ944:AQ954" si="255">ROUND(P909*$AQ$941,0)</f>
        <v>44</v>
      </c>
      <c r="AR944" s="67">
        <f t="shared" ref="AR944:AR954" si="256">ROUND(Q909*$AR$941,0)</f>
        <v>56</v>
      </c>
      <c r="AS944" s="636">
        <f t="shared" ref="AS944:AS954" si="257">SUM(AD944:AR944)</f>
        <v>1009</v>
      </c>
    </row>
    <row r="945" spans="1:45" ht="15.75" customHeight="1" x14ac:dyDescent="0.3">
      <c r="A945" s="139" t="s">
        <v>1507</v>
      </c>
      <c r="B945" s="553">
        <f t="shared" si="229"/>
        <v>211622</v>
      </c>
      <c r="C945" s="70">
        <f t="shared" si="230"/>
        <v>0</v>
      </c>
      <c r="D945" s="70">
        <f t="shared" si="231"/>
        <v>9354</v>
      </c>
      <c r="E945" s="70">
        <f t="shared" si="232"/>
        <v>211622</v>
      </c>
      <c r="F945" s="562">
        <f t="shared" si="233"/>
        <v>220976</v>
      </c>
      <c r="G945" s="553">
        <f t="shared" si="234"/>
        <v>130.49404672192907</v>
      </c>
      <c r="H945" s="600">
        <v>7997</v>
      </c>
      <c r="I945" s="600">
        <v>0</v>
      </c>
      <c r="J945" s="70">
        <f t="shared" si="235"/>
        <v>7997</v>
      </c>
      <c r="K945" s="600">
        <v>0</v>
      </c>
      <c r="L945" s="600">
        <v>0</v>
      </c>
      <c r="M945" s="606">
        <v>220720</v>
      </c>
      <c r="N945" s="607"/>
      <c r="O945" s="630">
        <f t="shared" si="236"/>
        <v>220720</v>
      </c>
      <c r="P945" s="710">
        <v>0.3</v>
      </c>
      <c r="Q945" s="599">
        <f t="shared" si="237"/>
        <v>-66216</v>
      </c>
      <c r="R945" s="630">
        <f t="shared" si="238"/>
        <v>154504</v>
      </c>
      <c r="S945" s="628">
        <f t="shared" si="228"/>
        <v>58344.505953278072</v>
      </c>
      <c r="T945" s="70">
        <f t="shared" si="239"/>
        <v>58344.505953278072</v>
      </c>
      <c r="U945" s="562" t="str">
        <f t="shared" si="240"/>
        <v/>
      </c>
      <c r="V945" s="712"/>
      <c r="AC945" s="642" t="s">
        <v>2234</v>
      </c>
      <c r="AD945" s="67">
        <f t="shared" si="242"/>
        <v>0</v>
      </c>
      <c r="AE945" s="67">
        <f t="shared" si="243"/>
        <v>0</v>
      </c>
      <c r="AF945" s="67">
        <f t="shared" si="244"/>
        <v>0</v>
      </c>
      <c r="AG945" s="67">
        <f t="shared" si="245"/>
        <v>0</v>
      </c>
      <c r="AH945" s="67">
        <f t="shared" si="246"/>
        <v>16</v>
      </c>
      <c r="AI945" s="67">
        <f t="shared" si="247"/>
        <v>139</v>
      </c>
      <c r="AJ945" s="67">
        <f t="shared" si="248"/>
        <v>208</v>
      </c>
      <c r="AK945" s="67">
        <f t="shared" si="249"/>
        <v>252</v>
      </c>
      <c r="AL945" s="67">
        <f t="shared" si="250"/>
        <v>235</v>
      </c>
      <c r="AM945" s="67">
        <f t="shared" si="251"/>
        <v>72</v>
      </c>
      <c r="AN945" s="67">
        <f t="shared" si="252"/>
        <v>84</v>
      </c>
      <c r="AO945" s="67">
        <f t="shared" si="253"/>
        <v>171</v>
      </c>
      <c r="AP945" s="67">
        <f t="shared" si="254"/>
        <v>31</v>
      </c>
      <c r="AQ945" s="67">
        <f t="shared" si="255"/>
        <v>55</v>
      </c>
      <c r="AR945" s="67">
        <f t="shared" si="256"/>
        <v>74</v>
      </c>
      <c r="AS945" s="636">
        <f t="shared" si="257"/>
        <v>1337</v>
      </c>
    </row>
    <row r="946" spans="1:45" ht="15.75" customHeight="1" x14ac:dyDescent="0.3">
      <c r="A946" s="139" t="s">
        <v>1508</v>
      </c>
      <c r="B946" s="553">
        <f t="shared" si="229"/>
        <v>225581</v>
      </c>
      <c r="C946" s="70">
        <f t="shared" si="230"/>
        <v>0</v>
      </c>
      <c r="D946" s="70">
        <f t="shared" si="231"/>
        <v>9691</v>
      </c>
      <c r="E946" s="70">
        <f t="shared" si="232"/>
        <v>225581</v>
      </c>
      <c r="F946" s="562">
        <f t="shared" si="233"/>
        <v>235272</v>
      </c>
      <c r="G946" s="553">
        <f t="shared" si="234"/>
        <v>0</v>
      </c>
      <c r="H946" s="600">
        <v>11493</v>
      </c>
      <c r="I946" s="600">
        <v>0</v>
      </c>
      <c r="J946" s="70">
        <f t="shared" si="235"/>
        <v>11493</v>
      </c>
      <c r="K946" s="600">
        <v>0</v>
      </c>
      <c r="L946" s="600">
        <v>0</v>
      </c>
      <c r="M946" s="606">
        <v>214560</v>
      </c>
      <c r="N946" s="607"/>
      <c r="O946" s="630">
        <f t="shared" si="236"/>
        <v>214560</v>
      </c>
      <c r="P946" s="710">
        <v>0.3</v>
      </c>
      <c r="Q946" s="599">
        <f t="shared" si="237"/>
        <v>-64368</v>
      </c>
      <c r="R946" s="630">
        <f t="shared" si="238"/>
        <v>150192</v>
      </c>
      <c r="S946" s="628">
        <f t="shared" si="228"/>
        <v>73587</v>
      </c>
      <c r="T946" s="70">
        <f t="shared" si="239"/>
        <v>73587</v>
      </c>
      <c r="U946" s="562" t="str">
        <f t="shared" si="240"/>
        <v/>
      </c>
      <c r="V946" s="712"/>
      <c r="AC946" s="642" t="s">
        <v>2235</v>
      </c>
      <c r="AD946" s="67">
        <f t="shared" si="242"/>
        <v>0</v>
      </c>
      <c r="AE946" s="67">
        <f t="shared" si="243"/>
        <v>0</v>
      </c>
      <c r="AF946" s="67">
        <f t="shared" si="244"/>
        <v>0</v>
      </c>
      <c r="AG946" s="67">
        <f t="shared" si="245"/>
        <v>0</v>
      </c>
      <c r="AH946" s="67">
        <f t="shared" si="246"/>
        <v>100</v>
      </c>
      <c r="AI946" s="67">
        <f t="shared" si="247"/>
        <v>160</v>
      </c>
      <c r="AJ946" s="67">
        <f t="shared" si="248"/>
        <v>258</v>
      </c>
      <c r="AK946" s="67">
        <f t="shared" si="249"/>
        <v>310</v>
      </c>
      <c r="AL946" s="67">
        <f t="shared" si="250"/>
        <v>269</v>
      </c>
      <c r="AM946" s="67">
        <f t="shared" si="251"/>
        <v>86</v>
      </c>
      <c r="AN946" s="67">
        <f t="shared" si="252"/>
        <v>102</v>
      </c>
      <c r="AO946" s="67">
        <f t="shared" si="253"/>
        <v>211</v>
      </c>
      <c r="AP946" s="67">
        <f t="shared" si="254"/>
        <v>32</v>
      </c>
      <c r="AQ946" s="67">
        <f t="shared" si="255"/>
        <v>48</v>
      </c>
      <c r="AR946" s="67">
        <f t="shared" si="256"/>
        <v>76</v>
      </c>
      <c r="AS946" s="636">
        <f t="shared" si="257"/>
        <v>1652</v>
      </c>
    </row>
    <row r="947" spans="1:45" ht="15.75" customHeight="1" x14ac:dyDescent="0.3">
      <c r="A947" s="139" t="s">
        <v>1509</v>
      </c>
      <c r="B947" s="553">
        <f t="shared" si="229"/>
        <v>200748</v>
      </c>
      <c r="C947" s="70">
        <f t="shared" si="230"/>
        <v>0</v>
      </c>
      <c r="D947" s="70">
        <f t="shared" si="231"/>
        <v>8546</v>
      </c>
      <c r="E947" s="70">
        <f t="shared" si="232"/>
        <v>200748</v>
      </c>
      <c r="F947" s="562">
        <f t="shared" si="233"/>
        <v>209294</v>
      </c>
      <c r="G947" s="553">
        <f t="shared" si="234"/>
        <v>0</v>
      </c>
      <c r="H947" s="600">
        <v>7495</v>
      </c>
      <c r="I947" s="600">
        <v>0</v>
      </c>
      <c r="J947" s="70">
        <f>(H947+I947)</f>
        <v>7495</v>
      </c>
      <c r="K947" s="600">
        <v>0</v>
      </c>
      <c r="L947" s="600">
        <v>0</v>
      </c>
      <c r="M947" s="606">
        <v>234112</v>
      </c>
      <c r="N947" s="607"/>
      <c r="O947" s="630">
        <f t="shared" si="236"/>
        <v>234112</v>
      </c>
      <c r="P947" s="710">
        <v>0.3</v>
      </c>
      <c r="Q947" s="599">
        <f t="shared" si="237"/>
        <v>-70233.599999999991</v>
      </c>
      <c r="R947" s="630">
        <f t="shared" si="238"/>
        <v>163878.40000000002</v>
      </c>
      <c r="S947" s="628">
        <f t="shared" si="228"/>
        <v>37920.599999999977</v>
      </c>
      <c r="T947" s="70">
        <f t="shared" si="239"/>
        <v>37920.599999999977</v>
      </c>
      <c r="U947" s="562" t="str">
        <f t="shared" si="240"/>
        <v/>
      </c>
      <c r="V947" s="712"/>
      <c r="AC947" s="642" t="s">
        <v>2236</v>
      </c>
      <c r="AD947" s="67">
        <f t="shared" si="242"/>
        <v>0</v>
      </c>
      <c r="AE947" s="67">
        <f t="shared" si="243"/>
        <v>0</v>
      </c>
      <c r="AF947" s="67">
        <f t="shared" si="244"/>
        <v>0</v>
      </c>
      <c r="AG947" s="67">
        <f t="shared" si="245"/>
        <v>0</v>
      </c>
      <c r="AH947" s="67">
        <f t="shared" si="246"/>
        <v>44</v>
      </c>
      <c r="AI947" s="67">
        <f t="shared" si="247"/>
        <v>185</v>
      </c>
      <c r="AJ947" s="67">
        <f t="shared" si="248"/>
        <v>239</v>
      </c>
      <c r="AK947" s="67">
        <f t="shared" si="249"/>
        <v>277</v>
      </c>
      <c r="AL947" s="67">
        <f t="shared" si="250"/>
        <v>258</v>
      </c>
      <c r="AM947" s="67">
        <f t="shared" si="251"/>
        <v>90</v>
      </c>
      <c r="AN947" s="67">
        <f t="shared" si="252"/>
        <v>107</v>
      </c>
      <c r="AO947" s="67">
        <f t="shared" si="253"/>
        <v>214</v>
      </c>
      <c r="AP947" s="67">
        <f t="shared" si="254"/>
        <v>32</v>
      </c>
      <c r="AQ947" s="67">
        <f t="shared" si="255"/>
        <v>21</v>
      </c>
      <c r="AR947" s="67">
        <f t="shared" si="256"/>
        <v>76</v>
      </c>
      <c r="AS947" s="636">
        <f t="shared" si="257"/>
        <v>1543</v>
      </c>
    </row>
    <row r="948" spans="1:45" ht="15.75" customHeight="1" x14ac:dyDescent="0.3">
      <c r="A948" s="592" t="s">
        <v>2435</v>
      </c>
      <c r="B948" s="553" t="s">
        <v>2435</v>
      </c>
      <c r="C948" s="70"/>
      <c r="D948" s="70"/>
      <c r="E948" s="70" t="s">
        <v>852</v>
      </c>
      <c r="F948" s="562"/>
      <c r="G948" s="553"/>
      <c r="H948" s="70"/>
      <c r="I948" s="70" t="s">
        <v>852</v>
      </c>
      <c r="J948" s="70" t="s">
        <v>852</v>
      </c>
      <c r="K948" s="601"/>
      <c r="L948" s="70"/>
      <c r="M948" s="606"/>
      <c r="N948" s="607"/>
      <c r="O948" s="630"/>
      <c r="P948" s="710"/>
      <c r="Q948" s="607"/>
      <c r="R948" s="630"/>
      <c r="S948" s="628"/>
      <c r="T948" s="70"/>
      <c r="U948" s="562"/>
      <c r="V948" s="712"/>
      <c r="AC948" s="642" t="s">
        <v>2237</v>
      </c>
      <c r="AD948" s="67">
        <f t="shared" si="242"/>
        <v>0</v>
      </c>
      <c r="AE948" s="67">
        <f t="shared" si="243"/>
        <v>0</v>
      </c>
      <c r="AF948" s="67">
        <f t="shared" si="244"/>
        <v>0</v>
      </c>
      <c r="AG948" s="67">
        <f t="shared" si="245"/>
        <v>0</v>
      </c>
      <c r="AH948" s="67">
        <f t="shared" si="246"/>
        <v>0</v>
      </c>
      <c r="AI948" s="67">
        <f t="shared" si="247"/>
        <v>225</v>
      </c>
      <c r="AJ948" s="67">
        <f t="shared" si="248"/>
        <v>298</v>
      </c>
      <c r="AK948" s="67">
        <f t="shared" si="249"/>
        <v>298</v>
      </c>
      <c r="AL948" s="67">
        <f t="shared" si="250"/>
        <v>245</v>
      </c>
      <c r="AM948" s="67">
        <f t="shared" si="251"/>
        <v>87</v>
      </c>
      <c r="AN948" s="67">
        <f t="shared" si="252"/>
        <v>102</v>
      </c>
      <c r="AO948" s="67">
        <f t="shared" si="253"/>
        <v>199</v>
      </c>
      <c r="AP948" s="67">
        <f t="shared" si="254"/>
        <v>34</v>
      </c>
      <c r="AQ948" s="67">
        <f t="shared" si="255"/>
        <v>68</v>
      </c>
      <c r="AR948" s="67">
        <f t="shared" si="256"/>
        <v>81</v>
      </c>
      <c r="AS948" s="636">
        <f t="shared" si="257"/>
        <v>1637</v>
      </c>
    </row>
    <row r="949" spans="1:45" ht="16.5" customHeight="1" thickBot="1" x14ac:dyDescent="0.35">
      <c r="A949" s="596" t="s">
        <v>2356</v>
      </c>
      <c r="B949" s="558">
        <f>SUM(B936:B947)</f>
        <v>2578905</v>
      </c>
      <c r="C949" s="564">
        <f>+SUM(C936:C947)</f>
        <v>0</v>
      </c>
      <c r="D949" s="564">
        <f>SUM(D936:D947)</f>
        <v>110993</v>
      </c>
      <c r="E949" s="564">
        <f t="shared" si="232"/>
        <v>2578905</v>
      </c>
      <c r="F949" s="602">
        <f>SUM(F936:F947)</f>
        <v>2689898</v>
      </c>
      <c r="G949" s="558">
        <f>SUM(G936:G947)</f>
        <v>42879.80465809608</v>
      </c>
      <c r="H949" s="564">
        <f>SUM(H936:H947)</f>
        <v>141072</v>
      </c>
      <c r="I949" s="564">
        <f>SUM(I936:I947)</f>
        <v>0</v>
      </c>
      <c r="J949" s="564">
        <f>(H949+I949)</f>
        <v>141072</v>
      </c>
      <c r="K949" s="564">
        <f>SUM(K936:K947)</f>
        <v>0</v>
      </c>
      <c r="L949" s="564">
        <f>SUM(L936:L947)</f>
        <v>0</v>
      </c>
      <c r="M949" s="608">
        <f>SUM(M936:M947)</f>
        <v>2608628</v>
      </c>
      <c r="N949" s="609">
        <f>SUM(N936:N947)</f>
        <v>83748</v>
      </c>
      <c r="O949" s="631">
        <f t="shared" si="236"/>
        <v>2692376</v>
      </c>
      <c r="P949" s="711">
        <f>Q949/O949</f>
        <v>-0.1856169717751161</v>
      </c>
      <c r="Q949" s="616">
        <f>SUM(Q936:Q947)</f>
        <v>-499750.68</v>
      </c>
      <c r="R949" s="631">
        <f>SUM(R936:R947)</f>
        <v>2192625.3200000003</v>
      </c>
      <c r="S949" s="629">
        <f>(F949-G949-J949-K949-L949-R949)</f>
        <v>313320.87534190342</v>
      </c>
      <c r="T949" s="564">
        <f>+SUM(T936:T947)</f>
        <v>422716.71092707268</v>
      </c>
      <c r="U949" s="602">
        <f>+SUM(U936:U947)</f>
        <v>109395.83558516878</v>
      </c>
      <c r="V949" s="712"/>
      <c r="AC949" s="642" t="s">
        <v>1504</v>
      </c>
      <c r="AD949" s="67">
        <f t="shared" si="242"/>
        <v>0</v>
      </c>
      <c r="AE949" s="67">
        <f t="shared" si="243"/>
        <v>0</v>
      </c>
      <c r="AF949" s="67">
        <f t="shared" si="244"/>
        <v>0</v>
      </c>
      <c r="AG949" s="67">
        <f t="shared" si="245"/>
        <v>0</v>
      </c>
      <c r="AH949" s="67">
        <f t="shared" si="246"/>
        <v>0</v>
      </c>
      <c r="AI949" s="67">
        <f t="shared" si="247"/>
        <v>199</v>
      </c>
      <c r="AJ949" s="67">
        <f t="shared" si="248"/>
        <v>328</v>
      </c>
      <c r="AK949" s="67">
        <f t="shared" si="249"/>
        <v>291</v>
      </c>
      <c r="AL949" s="67">
        <f t="shared" si="250"/>
        <v>270</v>
      </c>
      <c r="AM949" s="67">
        <f t="shared" si="251"/>
        <v>90</v>
      </c>
      <c r="AN949" s="67">
        <f t="shared" si="252"/>
        <v>106</v>
      </c>
      <c r="AO949" s="67">
        <f t="shared" si="253"/>
        <v>203</v>
      </c>
      <c r="AP949" s="67">
        <f t="shared" si="254"/>
        <v>28</v>
      </c>
      <c r="AQ949" s="67">
        <f t="shared" si="255"/>
        <v>68</v>
      </c>
      <c r="AR949" s="67">
        <f t="shared" si="256"/>
        <v>67</v>
      </c>
      <c r="AS949" s="636">
        <f t="shared" si="257"/>
        <v>1650</v>
      </c>
    </row>
    <row r="950" spans="1:45" ht="15.75" customHeight="1" x14ac:dyDescent="0.3">
      <c r="A950" s="579"/>
      <c r="B950" s="67"/>
      <c r="C950" s="67"/>
      <c r="D950" s="67"/>
      <c r="E950" s="67"/>
      <c r="F950" s="67" t="s">
        <v>2435</v>
      </c>
      <c r="G950" s="67"/>
      <c r="H950" s="67"/>
      <c r="I950" s="67"/>
      <c r="K950" s="67"/>
      <c r="L950" s="67"/>
      <c r="M950" s="219"/>
      <c r="P950" s="701"/>
      <c r="V950" s="712"/>
      <c r="AC950" s="642" t="s">
        <v>1505</v>
      </c>
      <c r="AD950" s="67">
        <f t="shared" si="242"/>
        <v>0</v>
      </c>
      <c r="AE950" s="67">
        <f t="shared" si="243"/>
        <v>0</v>
      </c>
      <c r="AF950" s="67">
        <f t="shared" si="244"/>
        <v>0</v>
      </c>
      <c r="AG950" s="67">
        <f t="shared" si="245"/>
        <v>0</v>
      </c>
      <c r="AH950" s="67">
        <f t="shared" si="246"/>
        <v>0</v>
      </c>
      <c r="AI950" s="67">
        <f t="shared" si="247"/>
        <v>150</v>
      </c>
      <c r="AJ950" s="67">
        <f t="shared" si="248"/>
        <v>236</v>
      </c>
      <c r="AK950" s="67">
        <f t="shared" si="249"/>
        <v>259</v>
      </c>
      <c r="AL950" s="67">
        <f t="shared" si="250"/>
        <v>231</v>
      </c>
      <c r="AM950" s="67">
        <f t="shared" si="251"/>
        <v>83</v>
      </c>
      <c r="AN950" s="67">
        <f t="shared" si="252"/>
        <v>97</v>
      </c>
      <c r="AO950" s="67">
        <f t="shared" si="253"/>
        <v>184</v>
      </c>
      <c r="AP950" s="67">
        <f t="shared" si="254"/>
        <v>17</v>
      </c>
      <c r="AQ950" s="67">
        <f t="shared" si="255"/>
        <v>66</v>
      </c>
      <c r="AR950" s="67">
        <f t="shared" si="256"/>
        <v>40</v>
      </c>
      <c r="AS950" s="636">
        <f t="shared" si="257"/>
        <v>1363</v>
      </c>
    </row>
    <row r="951" spans="1:45" ht="15.75" customHeight="1" x14ac:dyDescent="0.3">
      <c r="A951" s="551" t="s">
        <v>2640</v>
      </c>
      <c r="P951" s="67"/>
      <c r="Q951" s="67"/>
      <c r="R951" s="67"/>
      <c r="V951" s="712"/>
      <c r="AC951" s="642" t="s">
        <v>1506</v>
      </c>
      <c r="AD951" s="67">
        <f t="shared" si="242"/>
        <v>0</v>
      </c>
      <c r="AE951" s="67">
        <f t="shared" si="243"/>
        <v>0</v>
      </c>
      <c r="AF951" s="67">
        <f t="shared" si="244"/>
        <v>0</v>
      </c>
      <c r="AG951" s="67">
        <f t="shared" si="245"/>
        <v>0</v>
      </c>
      <c r="AH951" s="67">
        <f t="shared" si="246"/>
        <v>53</v>
      </c>
      <c r="AI951" s="67">
        <f t="shared" si="247"/>
        <v>124</v>
      </c>
      <c r="AJ951" s="67">
        <f t="shared" si="248"/>
        <v>219</v>
      </c>
      <c r="AK951" s="67">
        <f t="shared" si="249"/>
        <v>266</v>
      </c>
      <c r="AL951" s="67">
        <f t="shared" si="250"/>
        <v>244</v>
      </c>
      <c r="AM951" s="67">
        <f t="shared" si="251"/>
        <v>78</v>
      </c>
      <c r="AN951" s="67">
        <f t="shared" si="252"/>
        <v>92</v>
      </c>
      <c r="AO951" s="67">
        <f t="shared" si="253"/>
        <v>177</v>
      </c>
      <c r="AP951" s="67">
        <f t="shared" si="254"/>
        <v>38</v>
      </c>
      <c r="AQ951" s="67">
        <f t="shared" si="255"/>
        <v>47</v>
      </c>
      <c r="AR951" s="67">
        <f t="shared" si="256"/>
        <v>89</v>
      </c>
      <c r="AS951" s="636">
        <f t="shared" si="257"/>
        <v>1427</v>
      </c>
    </row>
    <row r="952" spans="1:45" ht="15.75" customHeight="1" x14ac:dyDescent="0.3">
      <c r="A952" s="551" t="s">
        <v>1660</v>
      </c>
      <c r="D952" s="67"/>
      <c r="E952" s="67"/>
      <c r="F952" s="67"/>
      <c r="G952" s="67"/>
      <c r="H952" s="67"/>
      <c r="I952" s="67"/>
      <c r="J952" s="67"/>
      <c r="K952" s="67"/>
      <c r="L952" s="67"/>
      <c r="M952" s="67"/>
      <c r="N952" s="67"/>
      <c r="O952" s="67"/>
      <c r="P952" s="67"/>
      <c r="Q952" s="67"/>
      <c r="R952" s="67"/>
      <c r="V952" s="712"/>
      <c r="AC952" s="642" t="s">
        <v>1507</v>
      </c>
      <c r="AD952" s="67">
        <f t="shared" si="242"/>
        <v>0</v>
      </c>
      <c r="AE952" s="67">
        <f t="shared" si="243"/>
        <v>0</v>
      </c>
      <c r="AF952" s="67">
        <f t="shared" si="244"/>
        <v>0</v>
      </c>
      <c r="AG952" s="67">
        <f t="shared" si="245"/>
        <v>0</v>
      </c>
      <c r="AH952" s="67">
        <f t="shared" si="246"/>
        <v>115</v>
      </c>
      <c r="AI952" s="67">
        <f t="shared" si="247"/>
        <v>81</v>
      </c>
      <c r="AJ952" s="67">
        <f t="shared" si="248"/>
        <v>73</v>
      </c>
      <c r="AK952" s="67">
        <f t="shared" si="249"/>
        <v>84</v>
      </c>
      <c r="AL952" s="67">
        <f t="shared" si="250"/>
        <v>84</v>
      </c>
      <c r="AM952" s="67">
        <f t="shared" si="251"/>
        <v>26</v>
      </c>
      <c r="AN952" s="67">
        <f t="shared" si="252"/>
        <v>31</v>
      </c>
      <c r="AO952" s="67">
        <f t="shared" si="253"/>
        <v>58</v>
      </c>
      <c r="AP952" s="67">
        <f t="shared" si="254"/>
        <v>14</v>
      </c>
      <c r="AQ952" s="67">
        <f t="shared" si="255"/>
        <v>0</v>
      </c>
      <c r="AR952" s="67">
        <f t="shared" si="256"/>
        <v>34</v>
      </c>
      <c r="AS952" s="636">
        <f t="shared" si="257"/>
        <v>600</v>
      </c>
    </row>
    <row r="953" spans="1:45" ht="15.75" customHeight="1" x14ac:dyDescent="0.3">
      <c r="A953" s="551" t="s">
        <v>2853</v>
      </c>
      <c r="D953" s="67"/>
      <c r="E953" s="67"/>
      <c r="F953" s="67"/>
      <c r="G953" s="67"/>
      <c r="H953" s="67"/>
      <c r="I953" s="67"/>
      <c r="J953" s="67"/>
      <c r="K953" s="67"/>
      <c r="L953" s="67"/>
      <c r="M953" s="67"/>
      <c r="N953" s="67"/>
      <c r="O953" s="67"/>
      <c r="P953" s="67"/>
      <c r="Q953" s="67"/>
      <c r="R953" s="67"/>
      <c r="V953" s="712"/>
      <c r="AC953" s="642" t="s">
        <v>1508</v>
      </c>
      <c r="AD953" s="67">
        <f t="shared" si="242"/>
        <v>0</v>
      </c>
      <c r="AE953" s="67">
        <f t="shared" si="243"/>
        <v>0</v>
      </c>
      <c r="AF953" s="67">
        <f t="shared" si="244"/>
        <v>0</v>
      </c>
      <c r="AG953" s="67">
        <f t="shared" si="245"/>
        <v>0</v>
      </c>
      <c r="AH953" s="67">
        <f t="shared" si="246"/>
        <v>227</v>
      </c>
      <c r="AI953" s="67">
        <f t="shared" si="247"/>
        <v>50</v>
      </c>
      <c r="AJ953" s="67">
        <f t="shared" si="248"/>
        <v>79</v>
      </c>
      <c r="AK953" s="67">
        <f t="shared" si="249"/>
        <v>107</v>
      </c>
      <c r="AL953" s="67">
        <f t="shared" si="250"/>
        <v>110</v>
      </c>
      <c r="AM953" s="67">
        <f t="shared" si="251"/>
        <v>29</v>
      </c>
      <c r="AN953" s="67">
        <f t="shared" si="252"/>
        <v>35</v>
      </c>
      <c r="AO953" s="67">
        <f t="shared" si="253"/>
        <v>73</v>
      </c>
      <c r="AP953" s="67">
        <f t="shared" si="254"/>
        <v>9</v>
      </c>
      <c r="AQ953" s="67">
        <f t="shared" si="255"/>
        <v>0</v>
      </c>
      <c r="AR953" s="67">
        <f t="shared" si="256"/>
        <v>21</v>
      </c>
      <c r="AS953" s="636">
        <f t="shared" si="257"/>
        <v>740</v>
      </c>
    </row>
    <row r="954" spans="1:45" ht="15.75" customHeight="1" thickBot="1" x14ac:dyDescent="0.35">
      <c r="A954" s="554" t="s">
        <v>2626</v>
      </c>
      <c r="B954" s="581"/>
      <c r="C954" s="581"/>
      <c r="D954" s="555"/>
      <c r="E954" s="555"/>
      <c r="F954" s="555"/>
      <c r="G954" s="555"/>
      <c r="H954" s="555"/>
      <c r="I954" s="555"/>
      <c r="J954" s="555"/>
      <c r="K954" s="555"/>
      <c r="L954" s="555"/>
      <c r="M954" s="555"/>
      <c r="N954" s="555"/>
      <c r="O954" s="555"/>
      <c r="P954" s="555"/>
      <c r="Q954" s="555"/>
      <c r="R954" s="555"/>
      <c r="S954" s="581"/>
      <c r="T954" s="581"/>
      <c r="U954" s="581"/>
      <c r="V954" s="565"/>
      <c r="AC954" s="642" t="s">
        <v>1509</v>
      </c>
      <c r="AD954" s="67">
        <f t="shared" si="242"/>
        <v>0</v>
      </c>
      <c r="AE954" s="67">
        <f t="shared" si="243"/>
        <v>0</v>
      </c>
      <c r="AF954" s="67">
        <f t="shared" si="244"/>
        <v>0</v>
      </c>
      <c r="AG954" s="67">
        <f t="shared" si="245"/>
        <v>0</v>
      </c>
      <c r="AH954" s="67">
        <f t="shared" si="246"/>
        <v>167</v>
      </c>
      <c r="AI954" s="67">
        <f t="shared" si="247"/>
        <v>65</v>
      </c>
      <c r="AJ954" s="67">
        <f t="shared" si="248"/>
        <v>105</v>
      </c>
      <c r="AK954" s="67">
        <f t="shared" si="249"/>
        <v>152</v>
      </c>
      <c r="AL954" s="67">
        <f t="shared" si="250"/>
        <v>158</v>
      </c>
      <c r="AM954" s="67">
        <f t="shared" si="251"/>
        <v>59</v>
      </c>
      <c r="AN954" s="67">
        <f t="shared" si="252"/>
        <v>69</v>
      </c>
      <c r="AO954" s="67">
        <f t="shared" si="253"/>
        <v>144</v>
      </c>
      <c r="AP954" s="67">
        <f t="shared" si="254"/>
        <v>34</v>
      </c>
      <c r="AQ954" s="67">
        <f t="shared" si="255"/>
        <v>0</v>
      </c>
      <c r="AR954" s="67">
        <f t="shared" si="256"/>
        <v>82</v>
      </c>
      <c r="AS954" s="636">
        <f t="shared" si="257"/>
        <v>1035</v>
      </c>
    </row>
    <row r="955" spans="1:45" ht="15.75" customHeight="1" thickBot="1" x14ac:dyDescent="0.35">
      <c r="A955" s="551"/>
      <c r="D955" s="67"/>
      <c r="E955" s="67"/>
      <c r="F955" s="67"/>
      <c r="G955" s="67"/>
      <c r="H955" s="67"/>
      <c r="I955" s="67"/>
      <c r="J955" s="67"/>
      <c r="K955" s="67"/>
      <c r="L955" s="67"/>
      <c r="M955" s="67"/>
      <c r="N955" s="67"/>
      <c r="O955" s="67"/>
      <c r="P955" s="67"/>
      <c r="Q955" s="67"/>
      <c r="R955" s="67"/>
      <c r="AC955" s="579"/>
      <c r="AD955" s="67"/>
      <c r="AE955" s="67"/>
      <c r="AF955" s="67"/>
      <c r="AG955" s="67"/>
      <c r="AH955" s="67"/>
      <c r="AI955" s="67"/>
      <c r="AJ955" s="67"/>
      <c r="AK955" s="67"/>
      <c r="AL955" s="67"/>
      <c r="AM955" s="67"/>
      <c r="AN955" s="67"/>
      <c r="AO955" s="67"/>
      <c r="AP955" s="67"/>
      <c r="AQ955" s="67"/>
      <c r="AR955" s="67"/>
      <c r="AS955" s="636"/>
    </row>
    <row r="956" spans="1:45" ht="15.75" customHeight="1" thickBot="1" x14ac:dyDescent="0.35">
      <c r="A956" s="139"/>
      <c r="B956" s="806" t="s">
        <v>2689</v>
      </c>
      <c r="C956" s="807"/>
      <c r="D956" s="807"/>
      <c r="E956" s="807"/>
      <c r="F956" s="807"/>
      <c r="G956" s="807"/>
      <c r="H956" s="807"/>
      <c r="I956" s="807"/>
      <c r="J956" s="807"/>
      <c r="K956" s="807"/>
      <c r="L956" s="807"/>
      <c r="M956" s="807"/>
      <c r="N956" s="807"/>
      <c r="O956" s="807"/>
      <c r="P956" s="807"/>
      <c r="Q956" s="701"/>
      <c r="R956" s="701"/>
      <c r="S956" s="703"/>
      <c r="T956" s="703"/>
      <c r="U956" s="703"/>
      <c r="V956" s="702"/>
      <c r="AC956" s="644" t="s">
        <v>2356</v>
      </c>
      <c r="AD956" s="555">
        <f>SUM(AD943:AD954)</f>
        <v>0</v>
      </c>
      <c r="AE956" s="555">
        <f t="shared" ref="AE956:AS956" si="258">SUM(AE943:AE954)</f>
        <v>0</v>
      </c>
      <c r="AF956" s="555">
        <f t="shared" si="258"/>
        <v>0</v>
      </c>
      <c r="AG956" s="555">
        <f t="shared" si="258"/>
        <v>0</v>
      </c>
      <c r="AH956" s="555">
        <f t="shared" si="258"/>
        <v>1207</v>
      </c>
      <c r="AI956" s="555">
        <f t="shared" si="258"/>
        <v>1505</v>
      </c>
      <c r="AJ956" s="555">
        <f t="shared" si="258"/>
        <v>2221</v>
      </c>
      <c r="AK956" s="555">
        <f t="shared" si="258"/>
        <v>2570</v>
      </c>
      <c r="AL956" s="555">
        <f t="shared" si="258"/>
        <v>2371</v>
      </c>
      <c r="AM956" s="555">
        <f t="shared" si="258"/>
        <v>779</v>
      </c>
      <c r="AN956" s="555">
        <f t="shared" si="258"/>
        <v>918</v>
      </c>
      <c r="AO956" s="555">
        <f t="shared" si="258"/>
        <v>1824</v>
      </c>
      <c r="AP956" s="555">
        <f t="shared" si="258"/>
        <v>322</v>
      </c>
      <c r="AQ956" s="555">
        <f t="shared" si="258"/>
        <v>468</v>
      </c>
      <c r="AR956" s="555">
        <f t="shared" si="258"/>
        <v>768</v>
      </c>
      <c r="AS956" s="637">
        <f t="shared" si="258"/>
        <v>14953</v>
      </c>
    </row>
    <row r="957" spans="1:45" ht="15.75" customHeight="1" thickBot="1" x14ac:dyDescent="0.35">
      <c r="A957" s="139"/>
      <c r="B957" s="795" t="s">
        <v>2633</v>
      </c>
      <c r="C957" s="796"/>
      <c r="D957" s="796"/>
      <c r="E957" s="796"/>
      <c r="F957" s="797"/>
      <c r="G957" s="795" t="s">
        <v>2674</v>
      </c>
      <c r="H957" s="796"/>
      <c r="I957" s="796"/>
      <c r="J957" s="796"/>
      <c r="K957" s="796"/>
      <c r="L957" s="796"/>
      <c r="M957" s="798" t="s">
        <v>2677</v>
      </c>
      <c r="N957" s="811"/>
      <c r="O957" s="811"/>
      <c r="P957" s="799"/>
      <c r="Q957" s="799"/>
      <c r="R957" s="800"/>
      <c r="S957" s="795" t="s">
        <v>2682</v>
      </c>
      <c r="T957" s="801"/>
      <c r="U957" s="802"/>
      <c r="V957" s="727"/>
    </row>
    <row r="958" spans="1:45" ht="15.75" customHeight="1" x14ac:dyDescent="0.3">
      <c r="A958" s="592"/>
      <c r="B958" s="553" t="s">
        <v>2439</v>
      </c>
      <c r="C958" s="70"/>
      <c r="D958" s="70" t="s">
        <v>336</v>
      </c>
      <c r="E958" s="70" t="s">
        <v>596</v>
      </c>
      <c r="F958" s="562" t="s">
        <v>2652</v>
      </c>
      <c r="G958" s="553" t="s">
        <v>228</v>
      </c>
      <c r="H958" s="70"/>
      <c r="I958" s="70"/>
      <c r="J958" s="70" t="s">
        <v>229</v>
      </c>
      <c r="K958" s="70" t="s">
        <v>2638</v>
      </c>
      <c r="L958" s="70" t="s">
        <v>2639</v>
      </c>
      <c r="M958" s="808" t="str">
        <f>+M931</f>
        <v>(NE)* per WAPA</v>
      </c>
      <c r="N958" s="809"/>
      <c r="O958" s="809"/>
      <c r="P958" s="715"/>
      <c r="Q958" s="599"/>
      <c r="R958" s="714"/>
      <c r="S958" s="553" t="s">
        <v>2683</v>
      </c>
      <c r="T958" s="610" t="s">
        <v>134</v>
      </c>
      <c r="U958" s="611" t="s">
        <v>2685</v>
      </c>
      <c r="V958" s="727"/>
    </row>
    <row r="959" spans="1:45" ht="15.75" customHeight="1" x14ac:dyDescent="0.3">
      <c r="A959" s="592"/>
      <c r="B959" s="593" t="s">
        <v>2648</v>
      </c>
      <c r="C959" s="588" t="s">
        <v>2656</v>
      </c>
      <c r="D959" s="588" t="s">
        <v>2651</v>
      </c>
      <c r="E959" s="70" t="s">
        <v>335</v>
      </c>
      <c r="F959" s="591" t="s">
        <v>2653</v>
      </c>
      <c r="G959" s="553" t="s">
        <v>2463</v>
      </c>
      <c r="H959" s="70" t="s">
        <v>1416</v>
      </c>
      <c r="I959" s="70" t="s">
        <v>1417</v>
      </c>
      <c r="J959" s="588" t="s">
        <v>2632</v>
      </c>
      <c r="K959" s="70" t="s">
        <v>2634</v>
      </c>
      <c r="L959" s="588" t="s">
        <v>2637</v>
      </c>
      <c r="M959" s="603" t="s">
        <v>2679</v>
      </c>
      <c r="N959" s="604" t="s">
        <v>2680</v>
      </c>
      <c r="O959" s="599" t="s">
        <v>2356</v>
      </c>
      <c r="P959" s="603" t="s">
        <v>3112</v>
      </c>
      <c r="Q959" s="604" t="s">
        <v>3112</v>
      </c>
      <c r="R959" s="630" t="s">
        <v>3117</v>
      </c>
      <c r="S959" s="553" t="s">
        <v>2684</v>
      </c>
      <c r="T959" s="70" t="s">
        <v>2686</v>
      </c>
      <c r="U959" s="562" t="s">
        <v>2687</v>
      </c>
      <c r="V959" s="727"/>
    </row>
    <row r="960" spans="1:45" ht="15.75" customHeight="1" x14ac:dyDescent="0.3">
      <c r="A960" s="592"/>
      <c r="B960" s="594" t="s">
        <v>2654</v>
      </c>
      <c r="C960" s="217">
        <v>5.0000000000000001E-3</v>
      </c>
      <c r="D960" s="217">
        <v>4.2999999999999997E-2</v>
      </c>
      <c r="E960" s="70" t="s">
        <v>133</v>
      </c>
      <c r="F960" s="595" t="s">
        <v>2649</v>
      </c>
      <c r="G960" s="553" t="s">
        <v>2650</v>
      </c>
      <c r="H960" s="70" t="s">
        <v>335</v>
      </c>
      <c r="I960" s="70" t="s">
        <v>335</v>
      </c>
      <c r="J960" s="70" t="s">
        <v>335</v>
      </c>
      <c r="K960" s="70" t="s">
        <v>134</v>
      </c>
      <c r="L960" s="70" t="s">
        <v>2636</v>
      </c>
      <c r="M960" s="605" t="s">
        <v>955</v>
      </c>
      <c r="N960" s="599" t="s">
        <v>2681</v>
      </c>
      <c r="O960" s="599" t="s">
        <v>2688</v>
      </c>
      <c r="P960" s="605" t="s">
        <v>3113</v>
      </c>
      <c r="Q960" s="604" t="s">
        <v>3113</v>
      </c>
      <c r="R960" s="630" t="s">
        <v>2688</v>
      </c>
      <c r="S960" s="553" t="s">
        <v>335</v>
      </c>
      <c r="T960" s="70" t="s">
        <v>335</v>
      </c>
      <c r="U960" s="562" t="s">
        <v>335</v>
      </c>
      <c r="V960" s="727"/>
    </row>
    <row r="961" spans="1:22" ht="15.75" customHeight="1" x14ac:dyDescent="0.3">
      <c r="A961" s="592" t="s">
        <v>249</v>
      </c>
      <c r="B961" s="553" t="s">
        <v>2695</v>
      </c>
      <c r="C961" s="70" t="s">
        <v>2695</v>
      </c>
      <c r="D961" s="70" t="s">
        <v>2695</v>
      </c>
      <c r="E961" s="70" t="s">
        <v>2695</v>
      </c>
      <c r="F961" s="70" t="s">
        <v>2695</v>
      </c>
      <c r="G961" s="553" t="s">
        <v>2695</v>
      </c>
      <c r="H961" s="70" t="s">
        <v>2695</v>
      </c>
      <c r="I961" s="70" t="s">
        <v>2695</v>
      </c>
      <c r="J961" s="70" t="s">
        <v>2695</v>
      </c>
      <c r="K961" s="70" t="s">
        <v>2695</v>
      </c>
      <c r="L961" s="70" t="s">
        <v>2695</v>
      </c>
      <c r="M961" s="605" t="s">
        <v>2695</v>
      </c>
      <c r="N961" s="599" t="s">
        <v>2696</v>
      </c>
      <c r="O961" s="599" t="s">
        <v>2695</v>
      </c>
      <c r="P961" s="605" t="s">
        <v>3013</v>
      </c>
      <c r="Q961" s="604" t="s">
        <v>998</v>
      </c>
      <c r="R961" s="630" t="s">
        <v>998</v>
      </c>
      <c r="S961" s="553" t="s">
        <v>2695</v>
      </c>
      <c r="T961" s="70" t="s">
        <v>2695</v>
      </c>
      <c r="U961" s="562" t="s">
        <v>2695</v>
      </c>
      <c r="V961" s="727"/>
    </row>
    <row r="962" spans="1:22" ht="15.75" customHeight="1" x14ac:dyDescent="0.3">
      <c r="A962" s="592" t="s">
        <v>1353</v>
      </c>
      <c r="B962" s="553" t="s">
        <v>1353</v>
      </c>
      <c r="C962" s="70" t="s">
        <v>1353</v>
      </c>
      <c r="D962" s="70" t="s">
        <v>1353</v>
      </c>
      <c r="E962" s="70" t="s">
        <v>2202</v>
      </c>
      <c r="F962" s="562" t="s">
        <v>1353</v>
      </c>
      <c r="G962" s="553" t="s">
        <v>1353</v>
      </c>
      <c r="H962" s="70" t="s">
        <v>2119</v>
      </c>
      <c r="I962" s="70" t="s">
        <v>2119</v>
      </c>
      <c r="J962" s="70" t="s">
        <v>1353</v>
      </c>
      <c r="K962" s="70" t="s">
        <v>1353</v>
      </c>
      <c r="L962" s="70" t="s">
        <v>1353</v>
      </c>
      <c r="M962" s="605" t="s">
        <v>1353</v>
      </c>
      <c r="N962" s="599" t="s">
        <v>1353</v>
      </c>
      <c r="O962" s="599" t="s">
        <v>1353</v>
      </c>
      <c r="P962" s="605" t="s">
        <v>1353</v>
      </c>
      <c r="Q962" s="599" t="s">
        <v>1353</v>
      </c>
      <c r="R962" s="630" t="s">
        <v>1353</v>
      </c>
      <c r="S962" s="553" t="s">
        <v>1353</v>
      </c>
      <c r="T962" s="70" t="s">
        <v>1353</v>
      </c>
      <c r="U962" s="562" t="s">
        <v>1353</v>
      </c>
      <c r="V962" s="727"/>
    </row>
    <row r="963" spans="1:22" ht="15.75" customHeight="1" x14ac:dyDescent="0.3">
      <c r="A963" s="139" t="s">
        <v>2843</v>
      </c>
      <c r="B963" s="553">
        <f>+B936/($B$10*24)</f>
        <v>343.91801075268819</v>
      </c>
      <c r="C963" s="70">
        <f t="shared" ref="C963:N963" si="259">+C936/($B$10*24)</f>
        <v>0</v>
      </c>
      <c r="D963" s="70">
        <f t="shared" si="259"/>
        <v>14.334677419354838</v>
      </c>
      <c r="E963" s="70">
        <f t="shared" si="259"/>
        <v>343.91801075268819</v>
      </c>
      <c r="F963" s="562">
        <f t="shared" si="259"/>
        <v>358.25268817204301</v>
      </c>
      <c r="G963" s="70">
        <f t="shared" si="259"/>
        <v>0</v>
      </c>
      <c r="H963" s="70">
        <f t="shared" si="259"/>
        <v>13.762096774193548</v>
      </c>
      <c r="I963" s="70">
        <f t="shared" si="259"/>
        <v>0</v>
      </c>
      <c r="J963" s="70">
        <f t="shared" si="259"/>
        <v>13.762096774193548</v>
      </c>
      <c r="K963" s="70">
        <f t="shared" si="259"/>
        <v>0</v>
      </c>
      <c r="L963" s="70">
        <f t="shared" si="259"/>
        <v>0</v>
      </c>
      <c r="M963" s="605">
        <f>+M936/($B$10*24)</f>
        <v>351.54838709677421</v>
      </c>
      <c r="N963" s="599">
        <f t="shared" si="259"/>
        <v>0</v>
      </c>
      <c r="O963" s="599">
        <f>+O936/($B$10*24)</f>
        <v>351.54838709677421</v>
      </c>
      <c r="P963" s="716">
        <f>P936</f>
        <v>0</v>
      </c>
      <c r="Q963" s="599">
        <f>-O963*P963</f>
        <v>0</v>
      </c>
      <c r="R963" s="630">
        <f>O963+Q963</f>
        <v>351.54838709677421</v>
      </c>
      <c r="S963" s="612">
        <f>+S936/($B$10*24)</f>
        <v>-7.057795698924731</v>
      </c>
      <c r="T963" s="70" t="str">
        <f>+IF(S963&gt;=0,ABS(S963),"")</f>
        <v/>
      </c>
      <c r="U963" s="562">
        <f>+IF(S963&lt;=0,ABS(S963),"")</f>
        <v>7.057795698924731</v>
      </c>
      <c r="V963" s="727"/>
    </row>
    <row r="964" spans="1:22" ht="15.75" customHeight="1" x14ac:dyDescent="0.3">
      <c r="A964" s="139" t="s">
        <v>2091</v>
      </c>
      <c r="B964" s="553">
        <f>+B937/($C$10*24)</f>
        <v>278.80603448275861</v>
      </c>
      <c r="C964" s="70">
        <f t="shared" ref="C964:N964" si="260">+C937/($C$10*24)</f>
        <v>0</v>
      </c>
      <c r="D964" s="70">
        <f t="shared" si="260"/>
        <v>12.008620689655173</v>
      </c>
      <c r="E964" s="70">
        <f t="shared" si="260"/>
        <v>278.80603448275861</v>
      </c>
      <c r="F964" s="562">
        <f t="shared" si="260"/>
        <v>290.81465517241378</v>
      </c>
      <c r="G964" s="70">
        <f t="shared" si="260"/>
        <v>0</v>
      </c>
      <c r="H964" s="70">
        <f t="shared" si="260"/>
        <v>17.475574712643677</v>
      </c>
      <c r="I964" s="70">
        <f t="shared" si="260"/>
        <v>0</v>
      </c>
      <c r="J964" s="70">
        <f t="shared" si="260"/>
        <v>17.475574712643677</v>
      </c>
      <c r="K964" s="70">
        <f t="shared" si="260"/>
        <v>0</v>
      </c>
      <c r="L964" s="70">
        <f t="shared" si="260"/>
        <v>0</v>
      </c>
      <c r="M964" s="605">
        <f t="shared" si="260"/>
        <v>256</v>
      </c>
      <c r="N964" s="599">
        <f t="shared" si="260"/>
        <v>0</v>
      </c>
      <c r="O964" s="599">
        <f t="shared" ref="O964:O974" si="261">+O937/($B$10*24)</f>
        <v>239.48387096774192</v>
      </c>
      <c r="P964" s="716">
        <f t="shared" ref="P964:P974" si="262">P937</f>
        <v>0.35</v>
      </c>
      <c r="Q964" s="599">
        <f t="shared" ref="Q964:Q974" si="263">-O964*P964</f>
        <v>-83.819354838709671</v>
      </c>
      <c r="R964" s="630">
        <f t="shared" ref="R964:R974" si="264">O964+Q964</f>
        <v>155.66451612903225</v>
      </c>
      <c r="S964" s="612">
        <f>+S937/($C$10*24)</f>
        <v>106.93908045977012</v>
      </c>
      <c r="T964" s="70">
        <f t="shared" ref="T964:T974" si="265">+IF(S964&gt;=0,ABS(S964),"")</f>
        <v>106.93908045977012</v>
      </c>
      <c r="U964" s="562" t="str">
        <f t="shared" ref="U964:U974" si="266">+IF(S964&lt;=0,ABS(S964),"")</f>
        <v/>
      </c>
      <c r="V964" s="727"/>
    </row>
    <row r="965" spans="1:22" ht="15.75" customHeight="1" x14ac:dyDescent="0.3">
      <c r="A965" s="139" t="s">
        <v>2234</v>
      </c>
      <c r="B965" s="553">
        <f>+B938/($D$10*24)</f>
        <v>284.5309139784946</v>
      </c>
      <c r="C965" s="70">
        <f t="shared" ref="C965:N965" si="267">+C938/($D$10*24)</f>
        <v>0</v>
      </c>
      <c r="D965" s="70">
        <f t="shared" si="267"/>
        <v>12.452956989247312</v>
      </c>
      <c r="E965" s="70">
        <f t="shared" si="267"/>
        <v>284.5309139784946</v>
      </c>
      <c r="F965" s="562">
        <f t="shared" si="267"/>
        <v>296.98387096774195</v>
      </c>
      <c r="G965" s="70">
        <f t="shared" si="267"/>
        <v>2.2721067001467481</v>
      </c>
      <c r="H965" s="70">
        <f t="shared" si="267"/>
        <v>21.44489247311828</v>
      </c>
      <c r="I965" s="70">
        <f t="shared" si="267"/>
        <v>0</v>
      </c>
      <c r="J965" s="70">
        <f t="shared" si="267"/>
        <v>21.44489247311828</v>
      </c>
      <c r="K965" s="70">
        <f t="shared" si="267"/>
        <v>0</v>
      </c>
      <c r="L965" s="70">
        <f t="shared" si="267"/>
        <v>0</v>
      </c>
      <c r="M965" s="605">
        <f t="shared" si="267"/>
        <v>255</v>
      </c>
      <c r="N965" s="599">
        <f t="shared" si="267"/>
        <v>0</v>
      </c>
      <c r="O965" s="599">
        <f t="shared" si="261"/>
        <v>255</v>
      </c>
      <c r="P965" s="716">
        <f t="shared" si="262"/>
        <v>0.33</v>
      </c>
      <c r="Q965" s="599">
        <f t="shared" si="263"/>
        <v>-84.15</v>
      </c>
      <c r="R965" s="630">
        <f t="shared" si="264"/>
        <v>170.85</v>
      </c>
      <c r="S965" s="612">
        <f>+S938/($D$10*24)</f>
        <v>102.41687179447692</v>
      </c>
      <c r="T965" s="70">
        <f t="shared" si="265"/>
        <v>102.41687179447692</v>
      </c>
      <c r="U965" s="562" t="str">
        <f t="shared" si="266"/>
        <v/>
      </c>
      <c r="V965" s="727"/>
    </row>
    <row r="966" spans="1:22" ht="15.75" customHeight="1" x14ac:dyDescent="0.3">
      <c r="A966" s="139" t="s">
        <v>2235</v>
      </c>
      <c r="B966" s="553">
        <f>+B939/($F$10*24)</f>
        <v>398.14444444444445</v>
      </c>
      <c r="C966" s="70">
        <f t="shared" ref="C966:N966" si="268">+C939/($F$10*24)</f>
        <v>0</v>
      </c>
      <c r="D966" s="70">
        <f t="shared" si="268"/>
        <v>17.269444444444446</v>
      </c>
      <c r="E966" s="70">
        <f t="shared" si="268"/>
        <v>398.14444444444445</v>
      </c>
      <c r="F966" s="562">
        <f t="shared" si="268"/>
        <v>415.41388888888889</v>
      </c>
      <c r="G966" s="70">
        <f t="shared" si="268"/>
        <v>0</v>
      </c>
      <c r="H966" s="70">
        <f t="shared" si="268"/>
        <v>23.481944444444444</v>
      </c>
      <c r="I966" s="70">
        <f t="shared" si="268"/>
        <v>0</v>
      </c>
      <c r="J966" s="70">
        <f t="shared" si="268"/>
        <v>23.481944444444444</v>
      </c>
      <c r="K966" s="70">
        <f t="shared" si="268"/>
        <v>0</v>
      </c>
      <c r="L966" s="70">
        <f t="shared" si="268"/>
        <v>0</v>
      </c>
      <c r="M966" s="605">
        <f t="shared" si="268"/>
        <v>406</v>
      </c>
      <c r="N966" s="599">
        <f t="shared" si="268"/>
        <v>0</v>
      </c>
      <c r="O966" s="599">
        <f t="shared" si="261"/>
        <v>392.90322580645159</v>
      </c>
      <c r="P966" s="716">
        <f t="shared" si="262"/>
        <v>0.3</v>
      </c>
      <c r="Q966" s="599">
        <f t="shared" si="263"/>
        <v>-117.87096774193547</v>
      </c>
      <c r="R966" s="630">
        <f t="shared" si="264"/>
        <v>275.0322580645161</v>
      </c>
      <c r="S966" s="612">
        <f>+S939/($F$10*24)</f>
        <v>107.73194444444445</v>
      </c>
      <c r="T966" s="70">
        <f t="shared" si="265"/>
        <v>107.73194444444445</v>
      </c>
      <c r="U966" s="562" t="str">
        <f t="shared" si="266"/>
        <v/>
      </c>
      <c r="V966" s="727"/>
    </row>
    <row r="967" spans="1:22" ht="15.75" customHeight="1" x14ac:dyDescent="0.3">
      <c r="A967" s="139" t="s">
        <v>2236</v>
      </c>
      <c r="B967" s="553">
        <f>+B940/($G$10*24)</f>
        <v>401.05510752688173</v>
      </c>
      <c r="C967" s="70">
        <f t="shared" ref="C967:N967" si="269">+C940/($G$10*24)</f>
        <v>0</v>
      </c>
      <c r="D967" s="70">
        <f t="shared" si="269"/>
        <v>17.681451612903224</v>
      </c>
      <c r="E967" s="70">
        <f t="shared" si="269"/>
        <v>401.05510752688173</v>
      </c>
      <c r="F967" s="562">
        <f t="shared" si="269"/>
        <v>418.73655913978496</v>
      </c>
      <c r="G967" s="70">
        <f t="shared" si="269"/>
        <v>0</v>
      </c>
      <c r="H967" s="70">
        <f t="shared" si="269"/>
        <v>18.186827956989248</v>
      </c>
      <c r="I967" s="70">
        <f t="shared" si="269"/>
        <v>0</v>
      </c>
      <c r="J967" s="70">
        <f t="shared" si="269"/>
        <v>18.186827956989248</v>
      </c>
      <c r="K967" s="70">
        <f t="shared" si="269"/>
        <v>0</v>
      </c>
      <c r="L967" s="70">
        <f t="shared" si="269"/>
        <v>0</v>
      </c>
      <c r="M967" s="605">
        <f t="shared" si="269"/>
        <v>403.96774193548384</v>
      </c>
      <c r="N967" s="599">
        <f t="shared" si="269"/>
        <v>0</v>
      </c>
      <c r="O967" s="599">
        <f t="shared" si="261"/>
        <v>403.96774193548384</v>
      </c>
      <c r="P967" s="716">
        <f t="shared" si="262"/>
        <v>0.09</v>
      </c>
      <c r="Q967" s="599">
        <f t="shared" si="263"/>
        <v>-36.357096774193543</v>
      </c>
      <c r="R967" s="630">
        <f t="shared" si="264"/>
        <v>367.61064516129028</v>
      </c>
      <c r="S967" s="612">
        <f>+S940/($G$10*24)</f>
        <v>32.939086021505368</v>
      </c>
      <c r="T967" s="70">
        <f t="shared" si="265"/>
        <v>32.939086021505368</v>
      </c>
      <c r="U967" s="562" t="str">
        <f t="shared" si="266"/>
        <v/>
      </c>
      <c r="V967" s="727"/>
    </row>
    <row r="968" spans="1:22" ht="15.75" customHeight="1" x14ac:dyDescent="0.3">
      <c r="A968" s="139" t="s">
        <v>2237</v>
      </c>
      <c r="B968" s="553">
        <f>+B941/($H$10*24)</f>
        <v>245.86666666666667</v>
      </c>
      <c r="C968" s="70">
        <f t="shared" ref="C968:N968" si="270">+C941/($H$10*24)</f>
        <v>0</v>
      </c>
      <c r="D968" s="70">
        <f t="shared" si="270"/>
        <v>10.4125</v>
      </c>
      <c r="E968" s="70">
        <f t="shared" si="270"/>
        <v>245.86666666666667</v>
      </c>
      <c r="F968" s="562">
        <f t="shared" si="270"/>
        <v>256.27916666666664</v>
      </c>
      <c r="G968" s="70">
        <f t="shared" si="270"/>
        <v>22.283649501800223</v>
      </c>
      <c r="H968" s="70">
        <f t="shared" si="270"/>
        <v>18.93888888888889</v>
      </c>
      <c r="I968" s="70">
        <f t="shared" si="270"/>
        <v>0</v>
      </c>
      <c r="J968" s="70">
        <f t="shared" si="270"/>
        <v>18.93888888888889</v>
      </c>
      <c r="K968" s="70">
        <f t="shared" si="270"/>
        <v>0</v>
      </c>
      <c r="L968" s="70">
        <f t="shared" si="270"/>
        <v>0</v>
      </c>
      <c r="M968" s="605">
        <f t="shared" si="270"/>
        <v>209.75</v>
      </c>
      <c r="N968" s="599">
        <f t="shared" si="270"/>
        <v>21.25</v>
      </c>
      <c r="O968" s="599">
        <f t="shared" si="261"/>
        <v>223.54838709677421</v>
      </c>
      <c r="P968" s="716">
        <f t="shared" si="262"/>
        <v>7.0000000000000007E-2</v>
      </c>
      <c r="Q968" s="599">
        <f t="shared" si="263"/>
        <v>-15.648387096774195</v>
      </c>
      <c r="R968" s="630">
        <f t="shared" si="264"/>
        <v>207.9</v>
      </c>
      <c r="S968" s="612">
        <f>+S941/($H$10*24)</f>
        <v>0.22662827597753979</v>
      </c>
      <c r="T968" s="70">
        <f t="shared" si="265"/>
        <v>0.22662827597753979</v>
      </c>
      <c r="U968" s="562" t="str">
        <f t="shared" si="266"/>
        <v/>
      </c>
      <c r="V968" s="727"/>
    </row>
    <row r="969" spans="1:22" ht="15.75" customHeight="1" x14ac:dyDescent="0.3">
      <c r="A969" s="139" t="s">
        <v>1504</v>
      </c>
      <c r="B969" s="553">
        <f>+B942/($J$10*24)</f>
        <v>209.76881720430109</v>
      </c>
      <c r="C969" s="70">
        <f t="shared" ref="C969:N969" si="271">+C942/($J$10*24)</f>
        <v>0</v>
      </c>
      <c r="D969" s="70">
        <f t="shared" si="271"/>
        <v>8.7661290322580641</v>
      </c>
      <c r="E969" s="70">
        <f t="shared" si="271"/>
        <v>209.76881720430109</v>
      </c>
      <c r="F969" s="562">
        <f t="shared" si="271"/>
        <v>218.53494623655914</v>
      </c>
      <c r="G969" s="70">
        <f t="shared" si="271"/>
        <v>19.443483441508452</v>
      </c>
      <c r="H969" s="70">
        <f t="shared" si="271"/>
        <v>16.142473118279568</v>
      </c>
      <c r="I969" s="70">
        <f t="shared" si="271"/>
        <v>0</v>
      </c>
      <c r="J969" s="70">
        <f t="shared" si="271"/>
        <v>16.142473118279568</v>
      </c>
      <c r="K969" s="70">
        <f t="shared" si="271"/>
        <v>0</v>
      </c>
      <c r="L969" s="70">
        <f t="shared" si="271"/>
        <v>0</v>
      </c>
      <c r="M969" s="605">
        <f t="shared" si="271"/>
        <v>214</v>
      </c>
      <c r="N969" s="599">
        <f t="shared" si="271"/>
        <v>21.333333333333332</v>
      </c>
      <c r="O969" s="599">
        <f t="shared" si="261"/>
        <v>235.33333333333334</v>
      </c>
      <c r="P969" s="716">
        <f t="shared" si="262"/>
        <v>7.4999999999999997E-2</v>
      </c>
      <c r="Q969" s="599">
        <f t="shared" si="263"/>
        <v>-17.649999999999999</v>
      </c>
      <c r="R969" s="630">
        <f t="shared" si="264"/>
        <v>217.68333333333334</v>
      </c>
      <c r="S969" s="612">
        <f>+S942/($J$10*24)</f>
        <v>-34.734343656562196</v>
      </c>
      <c r="T969" s="70" t="str">
        <f t="shared" si="265"/>
        <v/>
      </c>
      <c r="U969" s="562">
        <f t="shared" si="266"/>
        <v>34.734343656562196</v>
      </c>
      <c r="V969" s="727"/>
    </row>
    <row r="970" spans="1:22" ht="15.75" customHeight="1" x14ac:dyDescent="0.3">
      <c r="A970" s="139" t="s">
        <v>1505</v>
      </c>
      <c r="B970" s="553">
        <f>+B943/($K$10*24)</f>
        <v>179.59005376344086</v>
      </c>
      <c r="C970" s="70">
        <f t="shared" ref="C970:N970" si="272">+C943/($K$10*24)</f>
        <v>0</v>
      </c>
      <c r="D970" s="70">
        <f t="shared" si="272"/>
        <v>7.5483870967741939</v>
      </c>
      <c r="E970" s="70">
        <f t="shared" si="272"/>
        <v>179.59005376344086</v>
      </c>
      <c r="F970" s="562">
        <f t="shared" si="272"/>
        <v>187.13844086021504</v>
      </c>
      <c r="G970" s="70">
        <f t="shared" si="272"/>
        <v>11.143745820188492</v>
      </c>
      <c r="H970" s="70">
        <f t="shared" si="272"/>
        <v>12.853494623655914</v>
      </c>
      <c r="I970" s="70">
        <f t="shared" si="272"/>
        <v>0</v>
      </c>
      <c r="J970" s="70">
        <f t="shared" si="272"/>
        <v>12.853494623655914</v>
      </c>
      <c r="K970" s="70">
        <f t="shared" si="272"/>
        <v>0</v>
      </c>
      <c r="L970" s="70">
        <f t="shared" si="272"/>
        <v>0</v>
      </c>
      <c r="M970" s="605">
        <f t="shared" si="272"/>
        <v>215</v>
      </c>
      <c r="N970" s="599">
        <f t="shared" si="272"/>
        <v>20.666666666666668</v>
      </c>
      <c r="O970" s="599">
        <f t="shared" si="261"/>
        <v>235.66666666666666</v>
      </c>
      <c r="P970" s="716">
        <f t="shared" si="262"/>
        <v>7.4999999999999997E-2</v>
      </c>
      <c r="Q970" s="599">
        <f t="shared" si="263"/>
        <v>-17.674999999999997</v>
      </c>
      <c r="R970" s="630">
        <f t="shared" si="264"/>
        <v>217.99166666666667</v>
      </c>
      <c r="S970" s="612">
        <f>+S943/($K$10*24)</f>
        <v>-54.850466250296002</v>
      </c>
      <c r="T970" s="70" t="str">
        <f t="shared" si="265"/>
        <v/>
      </c>
      <c r="U970" s="562">
        <f t="shared" si="266"/>
        <v>54.850466250296002</v>
      </c>
      <c r="V970" s="727"/>
    </row>
    <row r="971" spans="1:22" ht="15.75" customHeight="1" x14ac:dyDescent="0.3">
      <c r="A971" s="139" t="s">
        <v>1506</v>
      </c>
      <c r="B971" s="553">
        <f>+B944/($L$10*24)</f>
        <v>316.08749999999998</v>
      </c>
      <c r="C971" s="70">
        <f t="shared" ref="C971:N971" si="273">+C944/($L$10*24)</f>
        <v>0</v>
      </c>
      <c r="D971" s="70">
        <f t="shared" si="273"/>
        <v>13.736111111111111</v>
      </c>
      <c r="E971" s="70">
        <f t="shared" si="273"/>
        <v>316.08749999999998</v>
      </c>
      <c r="F971" s="562">
        <f t="shared" si="273"/>
        <v>329.82361111111112</v>
      </c>
      <c r="G971" s="70">
        <f t="shared" si="273"/>
        <v>3.1357458534253979</v>
      </c>
      <c r="H971" s="70">
        <f t="shared" si="273"/>
        <v>14.004166666666666</v>
      </c>
      <c r="I971" s="70">
        <f t="shared" si="273"/>
        <v>0</v>
      </c>
      <c r="J971" s="70">
        <f t="shared" si="273"/>
        <v>14.004166666666666</v>
      </c>
      <c r="K971" s="70">
        <f t="shared" si="273"/>
        <v>0</v>
      </c>
      <c r="L971" s="70">
        <f t="shared" si="273"/>
        <v>0</v>
      </c>
      <c r="M971" s="605">
        <f t="shared" si="273"/>
        <v>342.66666666666669</v>
      </c>
      <c r="N971" s="599">
        <f t="shared" si="273"/>
        <v>51.666666666666664</v>
      </c>
      <c r="O971" s="599">
        <f t="shared" si="261"/>
        <v>381.61290322580646</v>
      </c>
      <c r="P971" s="716">
        <f t="shared" si="262"/>
        <v>7.4999999999999997E-2</v>
      </c>
      <c r="Q971" s="599">
        <f t="shared" si="263"/>
        <v>-28.620967741935484</v>
      </c>
      <c r="R971" s="630">
        <f t="shared" si="264"/>
        <v>352.99193548387098</v>
      </c>
      <c r="S971" s="612">
        <f>+S944/($L$10*24)</f>
        <v>-52.074634742314288</v>
      </c>
      <c r="T971" s="70" t="str">
        <f t="shared" si="265"/>
        <v/>
      </c>
      <c r="U971" s="562">
        <f t="shared" si="266"/>
        <v>52.074634742314288</v>
      </c>
      <c r="V971" s="727"/>
    </row>
    <row r="972" spans="1:22" ht="15.75" customHeight="1" x14ac:dyDescent="0.3">
      <c r="A972" s="139" t="s">
        <v>1507</v>
      </c>
      <c r="B972" s="553">
        <f>+B945/($N$10*24)</f>
        <v>284.43817204301075</v>
      </c>
      <c r="C972" s="70">
        <f t="shared" ref="C972:N972" si="274">+C945/($N$10*24)</f>
        <v>0</v>
      </c>
      <c r="D972" s="70">
        <f t="shared" si="274"/>
        <v>12.57258064516129</v>
      </c>
      <c r="E972" s="70">
        <f t="shared" si="274"/>
        <v>284.43817204301075</v>
      </c>
      <c r="F972" s="562">
        <f t="shared" si="274"/>
        <v>297.01075268817203</v>
      </c>
      <c r="G972" s="70">
        <f t="shared" si="274"/>
        <v>0.17539522408861433</v>
      </c>
      <c r="H972" s="70">
        <f t="shared" si="274"/>
        <v>10.748655913978494</v>
      </c>
      <c r="I972" s="70">
        <f t="shared" si="274"/>
        <v>0</v>
      </c>
      <c r="J972" s="70">
        <f t="shared" si="274"/>
        <v>10.748655913978494</v>
      </c>
      <c r="K972" s="70">
        <f t="shared" si="274"/>
        <v>0</v>
      </c>
      <c r="L972" s="70">
        <f t="shared" si="274"/>
        <v>0</v>
      </c>
      <c r="M972" s="605">
        <f t="shared" si="274"/>
        <v>296.66666666666669</v>
      </c>
      <c r="N972" s="599">
        <f t="shared" si="274"/>
        <v>0</v>
      </c>
      <c r="O972" s="599">
        <f t="shared" si="261"/>
        <v>296.66666666666669</v>
      </c>
      <c r="P972" s="716">
        <f t="shared" si="262"/>
        <v>0.3</v>
      </c>
      <c r="Q972" s="599">
        <f t="shared" si="263"/>
        <v>-89</v>
      </c>
      <c r="R972" s="630">
        <f t="shared" si="264"/>
        <v>207.66666666666669</v>
      </c>
      <c r="S972" s="612">
        <f>+S945/($N$10*24)</f>
        <v>78.420034883438262</v>
      </c>
      <c r="T972" s="70">
        <f t="shared" si="265"/>
        <v>78.420034883438262</v>
      </c>
      <c r="U972" s="562" t="str">
        <f t="shared" si="266"/>
        <v/>
      </c>
      <c r="V972" s="727"/>
    </row>
    <row r="973" spans="1:22" ht="15.75" customHeight="1" x14ac:dyDescent="0.3">
      <c r="A973" s="139" t="s">
        <v>1508</v>
      </c>
      <c r="B973" s="553">
        <f>+B946/($O$10*24)</f>
        <v>313.30694444444447</v>
      </c>
      <c r="C973" s="70">
        <f t="shared" ref="C973:N973" si="275">+C946/($O$10*24)</f>
        <v>0</v>
      </c>
      <c r="D973" s="70">
        <f t="shared" si="275"/>
        <v>13.459722222222222</v>
      </c>
      <c r="E973" s="70">
        <f t="shared" si="275"/>
        <v>313.30694444444447</v>
      </c>
      <c r="F973" s="562">
        <f t="shared" si="275"/>
        <v>326.76666666666665</v>
      </c>
      <c r="G973" s="70">
        <f t="shared" si="275"/>
        <v>0</v>
      </c>
      <c r="H973" s="70">
        <f t="shared" si="275"/>
        <v>15.9625</v>
      </c>
      <c r="I973" s="70">
        <f t="shared" si="275"/>
        <v>0</v>
      </c>
      <c r="J973" s="70">
        <f t="shared" si="275"/>
        <v>15.9625</v>
      </c>
      <c r="K973" s="70">
        <f t="shared" si="275"/>
        <v>0</v>
      </c>
      <c r="L973" s="70">
        <f t="shared" si="275"/>
        <v>0</v>
      </c>
      <c r="M973" s="605">
        <f t="shared" si="275"/>
        <v>298</v>
      </c>
      <c r="N973" s="599">
        <f t="shared" si="275"/>
        <v>0</v>
      </c>
      <c r="O973" s="599">
        <f t="shared" si="261"/>
        <v>288.38709677419354</v>
      </c>
      <c r="P973" s="716">
        <f t="shared" si="262"/>
        <v>0.3</v>
      </c>
      <c r="Q973" s="599">
        <f t="shared" si="263"/>
        <v>-86.516129032258064</v>
      </c>
      <c r="R973" s="630">
        <f t="shared" si="264"/>
        <v>201.87096774193549</v>
      </c>
      <c r="S973" s="612">
        <f>+S946/($O$10*24)</f>
        <v>102.20416666666667</v>
      </c>
      <c r="T973" s="70">
        <f t="shared" si="265"/>
        <v>102.20416666666667</v>
      </c>
      <c r="U973" s="562" t="str">
        <f t="shared" si="266"/>
        <v/>
      </c>
      <c r="V973" s="727"/>
    </row>
    <row r="974" spans="1:22" ht="15.75" customHeight="1" thickBot="1" x14ac:dyDescent="0.35">
      <c r="A974" s="139" t="s">
        <v>1509</v>
      </c>
      <c r="B974" s="558">
        <f>+B947/($P$10*24)</f>
        <v>269.82258064516128</v>
      </c>
      <c r="C974" s="564">
        <f t="shared" ref="C974:N974" si="276">+C947/($P$10*24)</f>
        <v>0</v>
      </c>
      <c r="D974" s="564">
        <f t="shared" si="276"/>
        <v>11.486559139784946</v>
      </c>
      <c r="E974" s="564">
        <f t="shared" si="276"/>
        <v>269.82258064516128</v>
      </c>
      <c r="F974" s="602">
        <f t="shared" si="276"/>
        <v>281.30913978494624</v>
      </c>
      <c r="G974" s="564">
        <f t="shared" si="276"/>
        <v>0</v>
      </c>
      <c r="H974" s="564">
        <f t="shared" si="276"/>
        <v>10.073924731182796</v>
      </c>
      <c r="I974" s="564">
        <f t="shared" si="276"/>
        <v>0</v>
      </c>
      <c r="J974" s="564">
        <f t="shared" si="276"/>
        <v>10.073924731182796</v>
      </c>
      <c r="K974" s="564">
        <f t="shared" si="276"/>
        <v>0</v>
      </c>
      <c r="L974" s="564">
        <f t="shared" si="276"/>
        <v>0</v>
      </c>
      <c r="M974" s="608">
        <f t="shared" si="276"/>
        <v>314.66666666666669</v>
      </c>
      <c r="N974" s="609">
        <f t="shared" si="276"/>
        <v>0</v>
      </c>
      <c r="O974" s="631">
        <f t="shared" si="261"/>
        <v>314.66666666666669</v>
      </c>
      <c r="P974" s="711">
        <f t="shared" si="262"/>
        <v>0.3</v>
      </c>
      <c r="Q974" s="609">
        <f t="shared" si="263"/>
        <v>-94.4</v>
      </c>
      <c r="R974" s="631">
        <f t="shared" si="264"/>
        <v>220.26666666666668</v>
      </c>
      <c r="S974" s="613">
        <f>+S947/($P$10*24)</f>
        <v>50.968548387096746</v>
      </c>
      <c r="T974" s="564">
        <f t="shared" si="265"/>
        <v>50.968548387096746</v>
      </c>
      <c r="U974" s="602" t="str">
        <f t="shared" si="266"/>
        <v/>
      </c>
      <c r="V974" s="727"/>
    </row>
    <row r="975" spans="1:22" ht="15.75" customHeight="1" x14ac:dyDescent="0.3">
      <c r="A975" s="647"/>
      <c r="V975" s="727"/>
    </row>
    <row r="976" spans="1:22" ht="16.5" customHeight="1" thickBot="1" x14ac:dyDescent="0.35">
      <c r="A976" s="648"/>
      <c r="B976" s="581"/>
      <c r="C976" s="581"/>
      <c r="D976" s="581"/>
      <c r="E976" s="581"/>
      <c r="F976" s="581"/>
      <c r="G976" s="581"/>
      <c r="H976" s="581"/>
      <c r="I976" s="581"/>
      <c r="J976" s="581"/>
      <c r="K976" s="581"/>
      <c r="L976" s="581"/>
      <c r="M976" s="581"/>
      <c r="N976" s="581"/>
      <c r="O976" s="581"/>
      <c r="P976" s="581"/>
      <c r="Q976" s="581"/>
      <c r="R976" s="581"/>
      <c r="S976" s="581"/>
      <c r="T976" s="581"/>
      <c r="U976" s="581"/>
      <c r="V976" s="565"/>
    </row>
    <row r="977" spans="1:50" ht="15.75" customHeight="1" x14ac:dyDescent="0.3">
      <c r="A977" s="74"/>
      <c r="B977" s="67"/>
      <c r="C977" s="67"/>
      <c r="D977" s="67"/>
      <c r="E977" s="67"/>
      <c r="F977" s="67"/>
      <c r="G977" s="67"/>
      <c r="H977" s="67"/>
      <c r="I977" s="67"/>
      <c r="J977" s="67"/>
      <c r="K977" s="67"/>
      <c r="L977" s="67"/>
      <c r="M977" s="67"/>
      <c r="N977" s="67"/>
      <c r="O977" s="67"/>
      <c r="P977" s="67"/>
      <c r="Q977" s="67"/>
      <c r="R977" s="67"/>
    </row>
    <row r="978" spans="1:50" ht="15.75" customHeight="1" x14ac:dyDescent="0.3">
      <c r="A978" s="641"/>
    </row>
    <row r="979" spans="1:50" ht="15.75" customHeight="1" thickBot="1" x14ac:dyDescent="0.35">
      <c r="A979" s="641"/>
    </row>
    <row r="980" spans="1:50" ht="15.75" customHeight="1" x14ac:dyDescent="0.3">
      <c r="A980" s="650"/>
      <c r="B980" s="782" t="s">
        <v>2880</v>
      </c>
      <c r="C980" s="782"/>
      <c r="D980" s="782"/>
      <c r="E980" s="782"/>
      <c r="F980" s="782"/>
      <c r="G980" s="782"/>
      <c r="H980" s="782"/>
      <c r="I980" s="782"/>
      <c r="J980" s="782"/>
      <c r="K980" s="782"/>
      <c r="L980" s="782"/>
      <c r="M980" s="782"/>
      <c r="N980" s="782"/>
      <c r="O980" s="782"/>
      <c r="P980" s="782"/>
      <c r="Q980" s="678" t="str">
        <f>+Q1</f>
        <v xml:space="preserve">PRINTED:  </v>
      </c>
      <c r="R980" s="682">
        <f ca="1">+R1</f>
        <v>44881.729634027775</v>
      </c>
      <c r="S980" s="560"/>
    </row>
    <row r="981" spans="1:50" ht="15.75" customHeight="1" x14ac:dyDescent="0.3">
      <c r="A981" s="640"/>
      <c r="B981" s="786" t="str">
        <f>+A8</f>
        <v>Revised:  2/23/2017</v>
      </c>
      <c r="C981" s="786"/>
      <c r="D981" s="786"/>
      <c r="E981" s="786"/>
      <c r="F981" s="786"/>
      <c r="G981" s="786"/>
      <c r="H981" s="786"/>
      <c r="I981" s="786"/>
      <c r="J981" s="786"/>
      <c r="K981" s="786"/>
      <c r="L981" s="786"/>
      <c r="M981" s="786"/>
      <c r="N981" s="786"/>
      <c r="O981" s="786"/>
      <c r="P981" s="786"/>
      <c r="Q981" s="67"/>
      <c r="R981" s="67"/>
      <c r="S981" s="561"/>
    </row>
    <row r="982" spans="1:50" ht="16.5" customHeight="1" x14ac:dyDescent="0.3">
      <c r="A982" s="640"/>
      <c r="B982" s="786" t="s">
        <v>2878</v>
      </c>
      <c r="C982" s="786"/>
      <c r="D982" s="786"/>
      <c r="E982" s="786"/>
      <c r="F982" s="786"/>
      <c r="G982" s="786"/>
      <c r="H982" s="786"/>
      <c r="I982" s="786"/>
      <c r="J982" s="786"/>
      <c r="K982" s="786"/>
      <c r="L982" s="786"/>
      <c r="M982" s="786"/>
      <c r="N982" s="786"/>
      <c r="O982" s="786"/>
      <c r="P982" s="786"/>
      <c r="Q982" s="67"/>
      <c r="R982" s="67"/>
      <c r="S982" s="561"/>
    </row>
    <row r="983" spans="1:50" ht="15.75" customHeight="1" x14ac:dyDescent="0.3">
      <c r="A983" s="640"/>
      <c r="B983" s="67"/>
      <c r="C983" s="67"/>
      <c r="D983" s="67"/>
      <c r="E983" s="67"/>
      <c r="F983" s="67"/>
      <c r="G983" s="67"/>
      <c r="H983" s="67"/>
      <c r="I983" s="67"/>
      <c r="J983" s="67"/>
      <c r="K983" s="67"/>
      <c r="L983" s="67"/>
      <c r="M983" s="67"/>
      <c r="N983" s="67"/>
      <c r="O983" s="67"/>
      <c r="P983" s="67"/>
      <c r="Q983" s="67"/>
      <c r="R983" s="67"/>
      <c r="S983" s="561"/>
      <c r="AG983" s="139"/>
    </row>
    <row r="984" spans="1:50" ht="15.75" customHeight="1" x14ac:dyDescent="0.3">
      <c r="A984" s="640"/>
      <c r="B984" s="810">
        <f>+A5</f>
        <v>2016</v>
      </c>
      <c r="C984" s="787"/>
      <c r="D984" s="787"/>
      <c r="E984" s="787"/>
      <c r="F984" s="787"/>
      <c r="G984" s="787"/>
      <c r="H984" s="787"/>
      <c r="I984" s="787"/>
      <c r="J984" s="787"/>
      <c r="K984" s="787"/>
      <c r="L984" s="787"/>
      <c r="M984" s="787"/>
      <c r="N984" s="787"/>
      <c r="O984" s="787"/>
      <c r="P984" s="787"/>
      <c r="Q984" s="67"/>
      <c r="R984" s="67"/>
      <c r="S984" s="561"/>
      <c r="AE984" t="s">
        <v>2912</v>
      </c>
      <c r="AF984" t="s">
        <v>2913</v>
      </c>
    </row>
    <row r="985" spans="1:50" ht="15.75" customHeight="1" thickBot="1" x14ac:dyDescent="0.35">
      <c r="A985" s="640"/>
      <c r="B985" s="786" t="s">
        <v>1199</v>
      </c>
      <c r="C985" s="786"/>
      <c r="D985" s="786"/>
      <c r="E985" s="786"/>
      <c r="F985" s="786"/>
      <c r="G985" s="786"/>
      <c r="H985" s="786"/>
      <c r="I985" s="786"/>
      <c r="J985" s="786"/>
      <c r="K985" s="786"/>
      <c r="L985" s="786"/>
      <c r="M985" s="786"/>
      <c r="N985" s="786"/>
      <c r="O985" s="786"/>
      <c r="P985" s="786"/>
      <c r="Q985" s="67"/>
      <c r="R985" s="67"/>
      <c r="S985" s="561"/>
      <c r="AC985" t="s">
        <v>2911</v>
      </c>
      <c r="AD985" s="671" t="s">
        <v>2234</v>
      </c>
      <c r="AE985">
        <f>DAY(DATE($A$5,MonthFromText(AD985)+1,1)-1)</f>
        <v>31</v>
      </c>
    </row>
    <row r="986" spans="1:50" ht="15.75" customHeight="1" x14ac:dyDescent="0.3">
      <c r="A986" s="640"/>
      <c r="B986" s="818" t="s">
        <v>2888</v>
      </c>
      <c r="C986" s="819"/>
      <c r="D986" s="820"/>
      <c r="E986" s="70"/>
      <c r="F986" s="70"/>
      <c r="G986" s="70"/>
      <c r="H986" s="70"/>
      <c r="I986" s="70"/>
      <c r="J986" s="70"/>
      <c r="K986" s="70"/>
      <c r="L986" s="70"/>
      <c r="M986" s="70"/>
      <c r="N986" s="70"/>
      <c r="O986" s="70"/>
      <c r="P986" s="70"/>
      <c r="Q986" s="67"/>
      <c r="R986" s="67"/>
      <c r="S986" s="675"/>
    </row>
    <row r="987" spans="1:50" ht="15.75" customHeight="1" thickBot="1" x14ac:dyDescent="0.35">
      <c r="A987" s="634" t="s">
        <v>249</v>
      </c>
      <c r="B987" s="653" t="s">
        <v>2886</v>
      </c>
      <c r="C987" s="654" t="s">
        <v>2885</v>
      </c>
      <c r="D987" s="655" t="s">
        <v>2915</v>
      </c>
      <c r="E987" s="654" t="s">
        <v>1309</v>
      </c>
      <c r="F987" s="654" t="s">
        <v>1029</v>
      </c>
      <c r="G987" s="654" t="s">
        <v>1030</v>
      </c>
      <c r="H987" s="654" t="s">
        <v>2881</v>
      </c>
      <c r="I987" s="654" t="s">
        <v>2882</v>
      </c>
      <c r="J987" s="654" t="s">
        <v>285</v>
      </c>
      <c r="K987" s="654" t="s">
        <v>286</v>
      </c>
      <c r="L987" s="654" t="s">
        <v>287</v>
      </c>
      <c r="M987" s="654" t="s">
        <v>288</v>
      </c>
      <c r="N987" s="654" t="s">
        <v>289</v>
      </c>
      <c r="O987" s="654" t="s">
        <v>633</v>
      </c>
      <c r="P987" s="654" t="s">
        <v>634</v>
      </c>
      <c r="Q987" s="654" t="s">
        <v>1192</v>
      </c>
      <c r="R987" s="654" t="s">
        <v>524</v>
      </c>
      <c r="S987" s="655" t="s">
        <v>525</v>
      </c>
      <c r="T987" s="669" t="s">
        <v>2903</v>
      </c>
      <c r="U987" s="669" t="s">
        <v>2904</v>
      </c>
      <c r="V987" s="669" t="s">
        <v>2924</v>
      </c>
      <c r="AD987" s="634" t="s">
        <v>1308</v>
      </c>
      <c r="AE987" s="634" t="s">
        <v>1309</v>
      </c>
      <c r="AF987" s="634" t="s">
        <v>1029</v>
      </c>
      <c r="AG987" s="634" t="s">
        <v>1030</v>
      </c>
      <c r="AH987" s="634" t="s">
        <v>284</v>
      </c>
      <c r="AI987" s="634" t="s">
        <v>285</v>
      </c>
      <c r="AJ987" s="634" t="s">
        <v>286</v>
      </c>
      <c r="AK987" s="634" t="s">
        <v>287</v>
      </c>
      <c r="AL987" s="634" t="s">
        <v>288</v>
      </c>
      <c r="AM987" s="634" t="s">
        <v>289</v>
      </c>
      <c r="AN987" s="634" t="s">
        <v>633</v>
      </c>
      <c r="AO987" s="634" t="s">
        <v>634</v>
      </c>
      <c r="AP987" s="634" t="s">
        <v>1192</v>
      </c>
      <c r="AQ987" s="634" t="s">
        <v>524</v>
      </c>
      <c r="AR987" s="634" t="s">
        <v>525</v>
      </c>
      <c r="AS987" s="634" t="s">
        <v>2356</v>
      </c>
      <c r="AT987" s="634" t="s">
        <v>1415</v>
      </c>
      <c r="AU987" s="634" t="s">
        <v>2356</v>
      </c>
      <c r="AW987" s="669" t="s">
        <v>2925</v>
      </c>
      <c r="AX987" s="669" t="s">
        <v>2926</v>
      </c>
    </row>
    <row r="988" spans="1:50" ht="15.75" customHeight="1" x14ac:dyDescent="0.3">
      <c r="A988" s="642" t="s">
        <v>2843</v>
      </c>
      <c r="B988" s="642">
        <f t="shared" ref="B988:C999" si="277">+F1015</f>
        <v>245</v>
      </c>
      <c r="C988" s="139">
        <f t="shared" si="277"/>
        <v>0</v>
      </c>
      <c r="D988" s="643" t="s">
        <v>2916</v>
      </c>
      <c r="E988" s="139">
        <f t="shared" ref="E988:S988" si="278">+C908/$B$10/24</f>
        <v>24.96505376344086</v>
      </c>
      <c r="F988" s="139">
        <f t="shared" si="278"/>
        <v>26.176075268817204</v>
      </c>
      <c r="G988" s="139">
        <f t="shared" si="278"/>
        <v>44.422043010752695</v>
      </c>
      <c r="H988" s="139">
        <f t="shared" si="278"/>
        <v>31.284842227825184</v>
      </c>
      <c r="I988" s="139">
        <f t="shared" si="278"/>
        <v>0</v>
      </c>
      <c r="J988" s="139">
        <f t="shared" si="278"/>
        <v>3.1048387096774195</v>
      </c>
      <c r="K988" s="139">
        <f t="shared" si="278"/>
        <v>1.9529569892473118</v>
      </c>
      <c r="L988" s="139">
        <f t="shared" si="278"/>
        <v>3.0456989247311825</v>
      </c>
      <c r="M988" s="139">
        <f t="shared" si="278"/>
        <v>3.133064516129032</v>
      </c>
      <c r="N988" s="139">
        <f t="shared" si="278"/>
        <v>1.0483870967741935</v>
      </c>
      <c r="O988" s="139">
        <f t="shared" si="278"/>
        <v>1.2338709677419355</v>
      </c>
      <c r="P988" s="139">
        <f t="shared" si="278"/>
        <v>2.5779569892473115</v>
      </c>
      <c r="Q988" s="139">
        <f t="shared" si="278"/>
        <v>0.99059139784946237</v>
      </c>
      <c r="R988" s="139">
        <f t="shared" si="278"/>
        <v>1.685483870967742</v>
      </c>
      <c r="S988" s="643">
        <f t="shared" si="278"/>
        <v>2.3454301075268815</v>
      </c>
      <c r="T988" s="139">
        <f t="shared" ref="T988:T999" si="279">+B988+SUM(E988:S988)</f>
        <v>392.96629384072833</v>
      </c>
      <c r="U988" s="139">
        <f t="shared" ref="U988:U999" si="280">+C988+SUM(E988:S988)</f>
        <v>147.96629384072835</v>
      </c>
      <c r="V988" s="139" t="s">
        <v>2916</v>
      </c>
      <c r="AC988">
        <v>1</v>
      </c>
      <c r="AD988" s="139">
        <f t="shared" ref="AD988:AD993" si="281">IF($AF$985=1,VLOOKUP($AD$985,$A$1015:$P$1026,12,FALSE),VLOOKUP($AD$985,$A$988:$S$999,2,FALSE))</f>
        <v>294</v>
      </c>
      <c r="AE988" s="139">
        <f>VLOOKUP($AD$985,$A$988:$S$999,5,FALSE)</f>
        <v>20.03494623655914</v>
      </c>
      <c r="AF988" s="139">
        <f>VLOOKUP($AD$985,$A$988:$S$999,6,FALSE)</f>
        <v>20.975806451612904</v>
      </c>
      <c r="AG988" s="139">
        <f>VLOOKUP($AD$985,$A$988:$S$999,7,FALSE)</f>
        <v>34.26478494623656</v>
      </c>
      <c r="AH988" s="139">
        <f>VLOOKUP($AD$985,$A$988:$S$999,8,FALSE)</f>
        <v>1.357750261275869</v>
      </c>
      <c r="AI988" s="139">
        <f>VLOOKUP($AD$985,$A$988:$S$999,10,FALSE)</f>
        <v>11.658602150537634</v>
      </c>
      <c r="AJ988" s="139">
        <f>VLOOKUP($AD$985,$A$988:$S$999,11,FALSE)</f>
        <v>6.80510752688172</v>
      </c>
      <c r="AK988" s="139">
        <f>VLOOKUP($AD$985,$A$988:$S$999,12,FALSE)</f>
        <v>8.26747311827957</v>
      </c>
      <c r="AL988" s="139">
        <f>VLOOKUP($AD$985,$A$988:$S$999,13,FALSE)</f>
        <v>7.6895161290322589</v>
      </c>
      <c r="AM988" s="139">
        <f>VLOOKUP($AD$985,$A$988:$S$999,14,FALSE)</f>
        <v>2.3508064516129035</v>
      </c>
      <c r="AN988" s="139">
        <f>VLOOKUP($AD$985,$A$988:$S$999,15,FALSE)</f>
        <v>2.7688172043010755</v>
      </c>
      <c r="AO988" s="139">
        <f>VLOOKUP($AD$985,$A$988:$S$999,16,FALSE)</f>
        <v>5.600806451612903</v>
      </c>
      <c r="AP988" s="139">
        <f>VLOOKUP($AD$985,$A$988:$S$999,17,FALSE)</f>
        <v>1.0188172043010753</v>
      </c>
      <c r="AQ988" s="139">
        <f>VLOOKUP($AD$985,$A$988:$S$999,18,FALSE)</f>
        <v>1.810483870967742</v>
      </c>
      <c r="AR988" s="139">
        <f>VLOOKUP($AD$985,$A$988:$S$999,19,FALSE)</f>
        <v>2.411290322580645</v>
      </c>
      <c r="AS988" s="139">
        <f>SUM(AD988:AR988)</f>
        <v>421.01500832579211</v>
      </c>
      <c r="AT988" s="139">
        <f>VLOOKUP($AD$985,$AC$908:$AS$919,17,FALSE)/$AE$985*(AS988/$AS$1012)</f>
        <v>14.740376463363901</v>
      </c>
      <c r="AU988" s="139">
        <f>AS988+AT988</f>
        <v>435.75538478915598</v>
      </c>
      <c r="AW988" s="139">
        <f t="shared" ref="AW988:AW1011" si="282">VLOOKUP($AD$985,$A$936:$R$949,15,FALSE)/$AE$985/24</f>
        <v>255</v>
      </c>
      <c r="AX988" s="139">
        <f>AU988-AW988</f>
        <v>180.75538478915598</v>
      </c>
    </row>
    <row r="989" spans="1:50" ht="15.75" customHeight="1" x14ac:dyDescent="0.3">
      <c r="A989" s="642" t="s">
        <v>2091</v>
      </c>
      <c r="B989" s="642">
        <f t="shared" si="277"/>
        <v>294</v>
      </c>
      <c r="C989" s="139">
        <f t="shared" si="277"/>
        <v>147</v>
      </c>
      <c r="D989" s="643" t="s">
        <v>2916</v>
      </c>
      <c r="E989" s="139">
        <f t="shared" ref="E989:S989" si="283">+C909/$C$10/24</f>
        <v>19.948275862068964</v>
      </c>
      <c r="F989" s="139">
        <f t="shared" si="283"/>
        <v>20.902298850574713</v>
      </c>
      <c r="G989" s="139">
        <f t="shared" si="283"/>
        <v>34.764367816091955</v>
      </c>
      <c r="H989" s="139">
        <f t="shared" si="283"/>
        <v>10.174830988816156</v>
      </c>
      <c r="I989" s="139">
        <f t="shared" si="283"/>
        <v>0</v>
      </c>
      <c r="J989" s="139">
        <f t="shared" si="283"/>
        <v>8.0790229885057467</v>
      </c>
      <c r="K989" s="139">
        <f t="shared" si="283"/>
        <v>4.1494252873563218</v>
      </c>
      <c r="L989" s="139">
        <f t="shared" si="283"/>
        <v>6.3448275862068968</v>
      </c>
      <c r="M989" s="139">
        <f t="shared" si="283"/>
        <v>6.001436781609196</v>
      </c>
      <c r="N989" s="139">
        <f t="shared" si="283"/>
        <v>1.6465517241379308</v>
      </c>
      <c r="O989" s="139">
        <f t="shared" si="283"/>
        <v>1.9396551724137929</v>
      </c>
      <c r="P989" s="139">
        <f t="shared" si="283"/>
        <v>3.8735632183908049</v>
      </c>
      <c r="Q989" s="139">
        <f t="shared" si="283"/>
        <v>0.82327586206896541</v>
      </c>
      <c r="R989" s="139">
        <f t="shared" si="283"/>
        <v>1.5287356321839081</v>
      </c>
      <c r="S989" s="643">
        <f t="shared" si="283"/>
        <v>1.9468390804597702</v>
      </c>
      <c r="T989" s="139">
        <f t="shared" si="279"/>
        <v>416.12310685088511</v>
      </c>
      <c r="U989" s="139">
        <f t="shared" si="280"/>
        <v>269.12310685088511</v>
      </c>
      <c r="V989" s="139" t="s">
        <v>2916</v>
      </c>
      <c r="AC989">
        <v>2</v>
      </c>
      <c r="AD989" s="139">
        <f t="shared" si="281"/>
        <v>294</v>
      </c>
      <c r="AE989" s="139">
        <f t="shared" ref="AE989:AE1011" si="284">VLOOKUP($AD$985,$A$988:$S$999,5,FALSE)</f>
        <v>20.03494623655914</v>
      </c>
      <c r="AF989" s="139">
        <f t="shared" ref="AF989:AF1011" si="285">VLOOKUP($AD$985,$A$988:$S$999,6,FALSE)</f>
        <v>20.975806451612904</v>
      </c>
      <c r="AG989" s="139">
        <f t="shared" ref="AG989:AG1011" si="286">VLOOKUP($AD$985,$A$988:$S$999,7,FALSE)</f>
        <v>34.26478494623656</v>
      </c>
      <c r="AH989" s="139">
        <f t="shared" ref="AH989:AH1011" si="287">VLOOKUP($AD$985,$A$988:$S$999,8,FALSE)</f>
        <v>1.357750261275869</v>
      </c>
      <c r="AI989" s="139">
        <f t="shared" ref="AI989:AI1011" si="288">VLOOKUP($AD$985,$A$988:$S$999,10,FALSE)</f>
        <v>11.658602150537634</v>
      </c>
      <c r="AJ989" s="139">
        <f t="shared" ref="AJ989:AJ1011" si="289">VLOOKUP($AD$985,$A$988:$S$999,11,FALSE)</f>
        <v>6.80510752688172</v>
      </c>
      <c r="AK989" s="139">
        <f t="shared" ref="AK989:AK1011" si="290">VLOOKUP($AD$985,$A$988:$S$999,12,FALSE)</f>
        <v>8.26747311827957</v>
      </c>
      <c r="AL989" s="139">
        <f t="shared" ref="AL989:AL1011" si="291">VLOOKUP($AD$985,$A$988:$S$999,13,FALSE)</f>
        <v>7.6895161290322589</v>
      </c>
      <c r="AM989" s="139">
        <f t="shared" ref="AM989:AM1011" si="292">VLOOKUP($AD$985,$A$988:$S$999,14,FALSE)</f>
        <v>2.3508064516129035</v>
      </c>
      <c r="AN989" s="139">
        <f t="shared" ref="AN989:AN1011" si="293">VLOOKUP($AD$985,$A$988:$S$999,15,FALSE)</f>
        <v>2.7688172043010755</v>
      </c>
      <c r="AO989" s="139">
        <f t="shared" ref="AO989:AO1011" si="294">VLOOKUP($AD$985,$A$988:$S$999,16,FALSE)</f>
        <v>5.600806451612903</v>
      </c>
      <c r="AP989" s="139">
        <f t="shared" ref="AP989:AP1011" si="295">VLOOKUP($AD$985,$A$988:$S$999,17,FALSE)</f>
        <v>1.0188172043010753</v>
      </c>
      <c r="AQ989" s="139">
        <f t="shared" ref="AQ989:AQ1011" si="296">VLOOKUP($AD$985,$A$988:$S$999,18,FALSE)</f>
        <v>1.810483870967742</v>
      </c>
      <c r="AR989" s="139">
        <f t="shared" ref="AR989:AR1011" si="297">VLOOKUP($AD$985,$A$988:$S$999,19,FALSE)</f>
        <v>2.411290322580645</v>
      </c>
      <c r="AS989" s="139">
        <f t="shared" ref="AS989:AS1011" si="298">SUM(AD989:AR989)</f>
        <v>421.01500832579211</v>
      </c>
      <c r="AT989" s="139">
        <f t="shared" ref="AT989:AT1011" si="299">VLOOKUP($AD$985,$AC$908:$AS$919,17,FALSE)/$AE$985*(AS989/$AS$1012)</f>
        <v>14.740376463363901</v>
      </c>
      <c r="AU989" s="139">
        <f t="shared" ref="AU989:AU1011" si="300">AS989+AT989</f>
        <v>435.75538478915598</v>
      </c>
      <c r="AW989" s="139">
        <f t="shared" si="282"/>
        <v>255</v>
      </c>
      <c r="AX989" s="139">
        <f t="shared" ref="AX989:AX1011" si="301">AU989-AW989</f>
        <v>180.75538478915598</v>
      </c>
    </row>
    <row r="990" spans="1:50" ht="15.75" customHeight="1" x14ac:dyDescent="0.3">
      <c r="A990" s="642" t="s">
        <v>2234</v>
      </c>
      <c r="B990" s="642">
        <f t="shared" si="277"/>
        <v>294</v>
      </c>
      <c r="C990" s="139">
        <f t="shared" si="277"/>
        <v>196</v>
      </c>
      <c r="D990" s="643" t="s">
        <v>2916</v>
      </c>
      <c r="E990" s="139">
        <f t="shared" ref="E990:S990" si="302">+C910/$D$10/24</f>
        <v>20.03494623655914</v>
      </c>
      <c r="F990" s="139">
        <f t="shared" si="302"/>
        <v>20.975806451612904</v>
      </c>
      <c r="G990" s="139">
        <f t="shared" si="302"/>
        <v>34.26478494623656</v>
      </c>
      <c r="H990" s="139">
        <f t="shared" si="302"/>
        <v>1.357750261275869</v>
      </c>
      <c r="I990" s="139">
        <f t="shared" si="302"/>
        <v>-2.2721067001467481</v>
      </c>
      <c r="J990" s="139">
        <f t="shared" si="302"/>
        <v>11.658602150537634</v>
      </c>
      <c r="K990" s="139">
        <f t="shared" si="302"/>
        <v>6.80510752688172</v>
      </c>
      <c r="L990" s="139">
        <f t="shared" si="302"/>
        <v>8.26747311827957</v>
      </c>
      <c r="M990" s="139">
        <f t="shared" si="302"/>
        <v>7.6895161290322589</v>
      </c>
      <c r="N990" s="139">
        <f t="shared" si="302"/>
        <v>2.3508064516129035</v>
      </c>
      <c r="O990" s="139">
        <f t="shared" si="302"/>
        <v>2.7688172043010755</v>
      </c>
      <c r="P990" s="139">
        <f t="shared" si="302"/>
        <v>5.600806451612903</v>
      </c>
      <c r="Q990" s="139">
        <f t="shared" si="302"/>
        <v>1.0188172043010753</v>
      </c>
      <c r="R990" s="139">
        <f t="shared" si="302"/>
        <v>1.810483870967742</v>
      </c>
      <c r="S990" s="643">
        <f t="shared" si="302"/>
        <v>2.411290322580645</v>
      </c>
      <c r="T990" s="139">
        <f t="shared" si="279"/>
        <v>418.74290162564523</v>
      </c>
      <c r="U990" s="139">
        <f t="shared" si="280"/>
        <v>320.74290162564523</v>
      </c>
      <c r="V990" s="139" t="s">
        <v>2916</v>
      </c>
      <c r="AC990">
        <v>3</v>
      </c>
      <c r="AD990" s="139">
        <f t="shared" si="281"/>
        <v>294</v>
      </c>
      <c r="AE990" s="139">
        <f t="shared" si="284"/>
        <v>20.03494623655914</v>
      </c>
      <c r="AF990" s="139">
        <f t="shared" si="285"/>
        <v>20.975806451612904</v>
      </c>
      <c r="AG990" s="139">
        <f t="shared" si="286"/>
        <v>34.26478494623656</v>
      </c>
      <c r="AH990" s="139">
        <f t="shared" si="287"/>
        <v>1.357750261275869</v>
      </c>
      <c r="AI990" s="139">
        <f t="shared" si="288"/>
        <v>11.658602150537634</v>
      </c>
      <c r="AJ990" s="139">
        <f t="shared" si="289"/>
        <v>6.80510752688172</v>
      </c>
      <c r="AK990" s="139">
        <f t="shared" si="290"/>
        <v>8.26747311827957</v>
      </c>
      <c r="AL990" s="139">
        <f t="shared" si="291"/>
        <v>7.6895161290322589</v>
      </c>
      <c r="AM990" s="139">
        <f t="shared" si="292"/>
        <v>2.3508064516129035</v>
      </c>
      <c r="AN990" s="139">
        <f t="shared" si="293"/>
        <v>2.7688172043010755</v>
      </c>
      <c r="AO990" s="139">
        <f t="shared" si="294"/>
        <v>5.600806451612903</v>
      </c>
      <c r="AP990" s="139">
        <f t="shared" si="295"/>
        <v>1.0188172043010753</v>
      </c>
      <c r="AQ990" s="139">
        <f t="shared" si="296"/>
        <v>1.810483870967742</v>
      </c>
      <c r="AR990" s="139">
        <f t="shared" si="297"/>
        <v>2.411290322580645</v>
      </c>
      <c r="AS990" s="139">
        <f t="shared" si="298"/>
        <v>421.01500832579211</v>
      </c>
      <c r="AT990" s="139">
        <f t="shared" si="299"/>
        <v>14.740376463363901</v>
      </c>
      <c r="AU990" s="139">
        <f t="shared" si="300"/>
        <v>435.75538478915598</v>
      </c>
      <c r="AW990" s="139">
        <f t="shared" si="282"/>
        <v>255</v>
      </c>
      <c r="AX990" s="139">
        <f t="shared" si="301"/>
        <v>180.75538478915598</v>
      </c>
    </row>
    <row r="991" spans="1:50" ht="15.75" customHeight="1" x14ac:dyDescent="0.3">
      <c r="A991" s="642" t="s">
        <v>2235</v>
      </c>
      <c r="B991" s="642">
        <f t="shared" si="277"/>
        <v>294</v>
      </c>
      <c r="C991" s="139">
        <f t="shared" si="277"/>
        <v>196</v>
      </c>
      <c r="D991" s="643" t="s">
        <v>2916</v>
      </c>
      <c r="E991" s="139">
        <f t="shared" ref="E991:S991" si="303">+C911/$F$10/24</f>
        <v>28.244444444444444</v>
      </c>
      <c r="F991" s="139">
        <f t="shared" si="303"/>
        <v>29.570833333333336</v>
      </c>
      <c r="G991" s="139">
        <f t="shared" si="303"/>
        <v>48.56805555555556</v>
      </c>
      <c r="H991" s="139">
        <f t="shared" si="303"/>
        <v>8.6734802648662797</v>
      </c>
      <c r="I991" s="139">
        <f t="shared" si="303"/>
        <v>0</v>
      </c>
      <c r="J991" s="139">
        <f t="shared" si="303"/>
        <v>13.901388888888889</v>
      </c>
      <c r="K991" s="139">
        <f t="shared" si="303"/>
        <v>8.7430555555555554</v>
      </c>
      <c r="L991" s="139">
        <f t="shared" si="303"/>
        <v>10.487499999999999</v>
      </c>
      <c r="M991" s="139">
        <f t="shared" si="303"/>
        <v>9.1138888888888889</v>
      </c>
      <c r="N991" s="139">
        <f t="shared" si="303"/>
        <v>2.9277777777777776</v>
      </c>
      <c r="O991" s="139">
        <f t="shared" si="303"/>
        <v>3.4486111111111111</v>
      </c>
      <c r="P991" s="139">
        <f t="shared" si="303"/>
        <v>7.136111111111112</v>
      </c>
      <c r="Q991" s="139">
        <f t="shared" si="303"/>
        <v>1.0999999999999999</v>
      </c>
      <c r="R991" s="139">
        <f t="shared" si="303"/>
        <v>1.6125</v>
      </c>
      <c r="S991" s="643">
        <f t="shared" si="303"/>
        <v>2.5736111111111111</v>
      </c>
      <c r="T991" s="139">
        <f t="shared" si="279"/>
        <v>470.10125804264408</v>
      </c>
      <c r="U991" s="139">
        <f t="shared" si="280"/>
        <v>372.10125804264408</v>
      </c>
      <c r="V991" s="139" t="s">
        <v>2916</v>
      </c>
      <c r="AC991">
        <v>4</v>
      </c>
      <c r="AD991" s="139">
        <f t="shared" si="281"/>
        <v>294</v>
      </c>
      <c r="AE991" s="139">
        <f t="shared" si="284"/>
        <v>20.03494623655914</v>
      </c>
      <c r="AF991" s="139">
        <f t="shared" si="285"/>
        <v>20.975806451612904</v>
      </c>
      <c r="AG991" s="139">
        <f t="shared" si="286"/>
        <v>34.26478494623656</v>
      </c>
      <c r="AH991" s="139">
        <f t="shared" si="287"/>
        <v>1.357750261275869</v>
      </c>
      <c r="AI991" s="139">
        <f t="shared" si="288"/>
        <v>11.658602150537634</v>
      </c>
      <c r="AJ991" s="139">
        <f t="shared" si="289"/>
        <v>6.80510752688172</v>
      </c>
      <c r="AK991" s="139">
        <f t="shared" si="290"/>
        <v>8.26747311827957</v>
      </c>
      <c r="AL991" s="139">
        <f t="shared" si="291"/>
        <v>7.6895161290322589</v>
      </c>
      <c r="AM991" s="139">
        <f t="shared" si="292"/>
        <v>2.3508064516129035</v>
      </c>
      <c r="AN991" s="139">
        <f t="shared" si="293"/>
        <v>2.7688172043010755</v>
      </c>
      <c r="AO991" s="139">
        <f t="shared" si="294"/>
        <v>5.600806451612903</v>
      </c>
      <c r="AP991" s="139">
        <f t="shared" si="295"/>
        <v>1.0188172043010753</v>
      </c>
      <c r="AQ991" s="139">
        <f t="shared" si="296"/>
        <v>1.810483870967742</v>
      </c>
      <c r="AR991" s="139">
        <f t="shared" si="297"/>
        <v>2.411290322580645</v>
      </c>
      <c r="AS991" s="139">
        <f t="shared" si="298"/>
        <v>421.01500832579211</v>
      </c>
      <c r="AT991" s="139">
        <f t="shared" si="299"/>
        <v>14.740376463363901</v>
      </c>
      <c r="AU991" s="139">
        <f t="shared" si="300"/>
        <v>435.75538478915598</v>
      </c>
      <c r="AW991" s="139">
        <f t="shared" si="282"/>
        <v>255</v>
      </c>
      <c r="AX991" s="139">
        <f t="shared" si="301"/>
        <v>180.75538478915598</v>
      </c>
    </row>
    <row r="992" spans="1:50" ht="15.75" customHeight="1" x14ac:dyDescent="0.3">
      <c r="A992" s="642" t="s">
        <v>2236</v>
      </c>
      <c r="B992" s="642">
        <f t="shared" si="277"/>
        <v>294</v>
      </c>
      <c r="C992" s="139">
        <f t="shared" si="277"/>
        <v>196</v>
      </c>
      <c r="D992" s="643" t="s">
        <v>2916</v>
      </c>
      <c r="E992" s="139">
        <f t="shared" ref="E992:S992" si="304">+C912/$G$10/24</f>
        <v>29.138440860215056</v>
      </c>
      <c r="F992" s="139">
        <f t="shared" si="304"/>
        <v>30.502688172043012</v>
      </c>
      <c r="G992" s="139">
        <f t="shared" si="304"/>
        <v>50.0255376344086</v>
      </c>
      <c r="H992" s="139">
        <f t="shared" si="304"/>
        <v>3.6662178236067704</v>
      </c>
      <c r="I992" s="139">
        <f t="shared" si="304"/>
        <v>0</v>
      </c>
      <c r="J992" s="139">
        <f t="shared" si="304"/>
        <v>15.544354838709678</v>
      </c>
      <c r="K992" s="139">
        <f t="shared" si="304"/>
        <v>7.830645161290323</v>
      </c>
      <c r="L992" s="139">
        <f t="shared" si="304"/>
        <v>9.086021505376344</v>
      </c>
      <c r="M992" s="139">
        <f t="shared" si="304"/>
        <v>8.469086021505376</v>
      </c>
      <c r="N992" s="139">
        <f t="shared" si="304"/>
        <v>2.96505376344086</v>
      </c>
      <c r="O992" s="139">
        <f t="shared" si="304"/>
        <v>3.491935483870968</v>
      </c>
      <c r="P992" s="139">
        <f t="shared" si="304"/>
        <v>7.014784946236559</v>
      </c>
      <c r="Q992" s="139">
        <f t="shared" si="304"/>
        <v>1.0483870967741935</v>
      </c>
      <c r="R992" s="139">
        <f t="shared" si="304"/>
        <v>0.67607526881720437</v>
      </c>
      <c r="S992" s="643">
        <f t="shared" si="304"/>
        <v>2.478494623655914</v>
      </c>
      <c r="T992" s="139">
        <f t="shared" si="279"/>
        <v>465.93772319995088</v>
      </c>
      <c r="U992" s="139">
        <f t="shared" si="280"/>
        <v>367.93772319995088</v>
      </c>
      <c r="V992" s="139" t="s">
        <v>2916</v>
      </c>
      <c r="AC992">
        <v>5</v>
      </c>
      <c r="AD992" s="139">
        <f t="shared" si="281"/>
        <v>294</v>
      </c>
      <c r="AE992" s="139">
        <f t="shared" si="284"/>
        <v>20.03494623655914</v>
      </c>
      <c r="AF992" s="139">
        <f t="shared" si="285"/>
        <v>20.975806451612904</v>
      </c>
      <c r="AG992" s="139">
        <f t="shared" si="286"/>
        <v>34.26478494623656</v>
      </c>
      <c r="AH992" s="139">
        <f t="shared" si="287"/>
        <v>1.357750261275869</v>
      </c>
      <c r="AI992" s="139">
        <f t="shared" si="288"/>
        <v>11.658602150537634</v>
      </c>
      <c r="AJ992" s="139">
        <f t="shared" si="289"/>
        <v>6.80510752688172</v>
      </c>
      <c r="AK992" s="139">
        <f t="shared" si="290"/>
        <v>8.26747311827957</v>
      </c>
      <c r="AL992" s="139">
        <f t="shared" si="291"/>
        <v>7.6895161290322589</v>
      </c>
      <c r="AM992" s="139">
        <f t="shared" si="292"/>
        <v>2.3508064516129035</v>
      </c>
      <c r="AN992" s="139">
        <f t="shared" si="293"/>
        <v>2.7688172043010755</v>
      </c>
      <c r="AO992" s="139">
        <f t="shared" si="294"/>
        <v>5.600806451612903</v>
      </c>
      <c r="AP992" s="139">
        <f t="shared" si="295"/>
        <v>1.0188172043010753</v>
      </c>
      <c r="AQ992" s="139">
        <f t="shared" si="296"/>
        <v>1.810483870967742</v>
      </c>
      <c r="AR992" s="139">
        <f t="shared" si="297"/>
        <v>2.411290322580645</v>
      </c>
      <c r="AS992" s="139">
        <f t="shared" si="298"/>
        <v>421.01500832579211</v>
      </c>
      <c r="AT992" s="139">
        <f t="shared" si="299"/>
        <v>14.740376463363901</v>
      </c>
      <c r="AU992" s="139">
        <f t="shared" si="300"/>
        <v>435.75538478915598</v>
      </c>
      <c r="AW992" s="139">
        <f t="shared" si="282"/>
        <v>255</v>
      </c>
      <c r="AX992" s="139">
        <f t="shared" si="301"/>
        <v>180.75538478915598</v>
      </c>
    </row>
    <row r="993" spans="1:50" ht="15.75" customHeight="1" x14ac:dyDescent="0.3">
      <c r="A993" s="642" t="s">
        <v>2237</v>
      </c>
      <c r="B993" s="642">
        <f t="shared" si="277"/>
        <v>294</v>
      </c>
      <c r="C993" s="139">
        <f t="shared" si="277"/>
        <v>98</v>
      </c>
      <c r="D993" s="643">
        <f>H1020</f>
        <v>0</v>
      </c>
      <c r="E993" s="139">
        <f t="shared" ref="E993:S993" si="305">+C913/$H$10/24</f>
        <v>15.456944444444444</v>
      </c>
      <c r="F993" s="139">
        <f t="shared" si="305"/>
        <v>16.145833333333332</v>
      </c>
      <c r="G993" s="139">
        <f t="shared" si="305"/>
        <v>25.134722222222223</v>
      </c>
      <c r="H993" s="139">
        <f t="shared" si="305"/>
        <v>0</v>
      </c>
      <c r="I993" s="139">
        <f t="shared" si="305"/>
        <v>-22.283649501800223</v>
      </c>
      <c r="J993" s="139">
        <f t="shared" si="305"/>
        <v>19.537499999999998</v>
      </c>
      <c r="K993" s="139">
        <f t="shared" si="305"/>
        <v>10.090277777777777</v>
      </c>
      <c r="L993" s="139">
        <f t="shared" si="305"/>
        <v>10.095833333333333</v>
      </c>
      <c r="M993" s="139">
        <f t="shared" si="305"/>
        <v>8.2847222222222232</v>
      </c>
      <c r="N993" s="139">
        <f t="shared" si="305"/>
        <v>2.931944444444444</v>
      </c>
      <c r="O993" s="139">
        <f t="shared" si="305"/>
        <v>3.4527777777777775</v>
      </c>
      <c r="P993" s="139">
        <f t="shared" si="305"/>
        <v>6.7416666666666671</v>
      </c>
      <c r="Q993" s="139">
        <f t="shared" si="305"/>
        <v>1.1583333333333334</v>
      </c>
      <c r="R993" s="139">
        <f t="shared" si="305"/>
        <v>2.2986111111111112</v>
      </c>
      <c r="S993" s="643">
        <f t="shared" si="305"/>
        <v>2.7375000000000003</v>
      </c>
      <c r="T993" s="139">
        <f t="shared" si="279"/>
        <v>395.78301716486641</v>
      </c>
      <c r="U993" s="139">
        <f t="shared" si="280"/>
        <v>199.78301716486641</v>
      </c>
      <c r="V993" s="688">
        <f>D993+SUM(E993:S993)</f>
        <v>101.78301716486642</v>
      </c>
      <c r="AC993">
        <v>6</v>
      </c>
      <c r="AD993" s="139">
        <f t="shared" si="281"/>
        <v>294</v>
      </c>
      <c r="AE993" s="139">
        <f t="shared" si="284"/>
        <v>20.03494623655914</v>
      </c>
      <c r="AF993" s="139">
        <f t="shared" si="285"/>
        <v>20.975806451612904</v>
      </c>
      <c r="AG993" s="139">
        <f t="shared" si="286"/>
        <v>34.26478494623656</v>
      </c>
      <c r="AH993" s="139">
        <f t="shared" si="287"/>
        <v>1.357750261275869</v>
      </c>
      <c r="AI993" s="139">
        <f t="shared" si="288"/>
        <v>11.658602150537634</v>
      </c>
      <c r="AJ993" s="139">
        <f t="shared" si="289"/>
        <v>6.80510752688172</v>
      </c>
      <c r="AK993" s="139">
        <f t="shared" si="290"/>
        <v>8.26747311827957</v>
      </c>
      <c r="AL993" s="139">
        <f t="shared" si="291"/>
        <v>7.6895161290322589</v>
      </c>
      <c r="AM993" s="139">
        <f t="shared" si="292"/>
        <v>2.3508064516129035</v>
      </c>
      <c r="AN993" s="139">
        <f t="shared" si="293"/>
        <v>2.7688172043010755</v>
      </c>
      <c r="AO993" s="139">
        <f t="shared" si="294"/>
        <v>5.600806451612903</v>
      </c>
      <c r="AP993" s="139">
        <f t="shared" si="295"/>
        <v>1.0188172043010753</v>
      </c>
      <c r="AQ993" s="139">
        <f t="shared" si="296"/>
        <v>1.810483870967742</v>
      </c>
      <c r="AR993" s="139">
        <f t="shared" si="297"/>
        <v>2.411290322580645</v>
      </c>
      <c r="AS993" s="139">
        <f t="shared" si="298"/>
        <v>421.01500832579211</v>
      </c>
      <c r="AT993" s="139">
        <f t="shared" si="299"/>
        <v>14.740376463363901</v>
      </c>
      <c r="AU993" s="139">
        <f t="shared" si="300"/>
        <v>435.75538478915598</v>
      </c>
      <c r="AW993" s="139">
        <f t="shared" si="282"/>
        <v>255</v>
      </c>
      <c r="AX993" s="139">
        <f t="shared" si="301"/>
        <v>180.75538478915598</v>
      </c>
    </row>
    <row r="994" spans="1:50" ht="15.75" customHeight="1" x14ac:dyDescent="0.3">
      <c r="A994" s="642" t="s">
        <v>1504</v>
      </c>
      <c r="B994" s="642">
        <f t="shared" si="277"/>
        <v>147</v>
      </c>
      <c r="C994" s="139">
        <f t="shared" si="277"/>
        <v>98</v>
      </c>
      <c r="D994" s="643">
        <f>H1021</f>
        <v>0</v>
      </c>
      <c r="E994" s="139">
        <f t="shared" ref="E994:S994" si="306">+C914/$J$10/24</f>
        <v>12.62768817204301</v>
      </c>
      <c r="F994" s="139">
        <f t="shared" si="306"/>
        <v>13.18010752688172</v>
      </c>
      <c r="G994" s="139">
        <f t="shared" si="306"/>
        <v>20.016129032258064</v>
      </c>
      <c r="H994" s="139">
        <f t="shared" si="306"/>
        <v>0</v>
      </c>
      <c r="I994" s="139">
        <f t="shared" si="306"/>
        <v>-19.443483441508452</v>
      </c>
      <c r="J994" s="139">
        <f t="shared" si="306"/>
        <v>16.713709677419356</v>
      </c>
      <c r="K994" s="139">
        <f t="shared" si="306"/>
        <v>10.754032258064518</v>
      </c>
      <c r="L994" s="139">
        <f t="shared" si="306"/>
        <v>9.55241935483871</v>
      </c>
      <c r="M994" s="139">
        <f t="shared" si="306"/>
        <v>8.865591397849462</v>
      </c>
      <c r="N994" s="139">
        <f t="shared" si="306"/>
        <v>2.9543010752688175</v>
      </c>
      <c r="O994" s="139">
        <f t="shared" si="306"/>
        <v>3.4798387096774195</v>
      </c>
      <c r="P994" s="139">
        <f t="shared" si="306"/>
        <v>6.655913978494624</v>
      </c>
      <c r="Q994" s="139">
        <f t="shared" si="306"/>
        <v>0.93279569892473113</v>
      </c>
      <c r="R994" s="139">
        <f t="shared" si="306"/>
        <v>2.243279569892473</v>
      </c>
      <c r="S994" s="643">
        <f t="shared" si="306"/>
        <v>2.2043010752688175</v>
      </c>
      <c r="T994" s="139">
        <f t="shared" si="279"/>
        <v>237.73662408537328</v>
      </c>
      <c r="U994" s="139">
        <f t="shared" si="280"/>
        <v>188.73662408537328</v>
      </c>
      <c r="V994" s="688">
        <f>D994+SUM(E994:S994)</f>
        <v>90.736624085373279</v>
      </c>
      <c r="AC994">
        <v>7</v>
      </c>
      <c r="AD994" s="139">
        <f>IF($AF$985=1,VLOOKUP($AD$985,$A$1015:$P$1026,12,FALSE),IF(OR($AD$985="JAN",$AD$985="FEB",$AD$985="NOV",$AD$985="DEC"),VLOOKUP($AD$985,$A$988:$S$999,2,FALSE),VLOOKUP($AD$985,$A$988:$S$999,3,FALSE)))</f>
        <v>196</v>
      </c>
      <c r="AE994" s="139">
        <f t="shared" si="284"/>
        <v>20.03494623655914</v>
      </c>
      <c r="AF994" s="139">
        <f t="shared" si="285"/>
        <v>20.975806451612904</v>
      </c>
      <c r="AG994" s="139">
        <f t="shared" si="286"/>
        <v>34.26478494623656</v>
      </c>
      <c r="AH994" s="139">
        <f t="shared" si="287"/>
        <v>1.357750261275869</v>
      </c>
      <c r="AI994" s="139">
        <f t="shared" si="288"/>
        <v>11.658602150537634</v>
      </c>
      <c r="AJ994" s="139">
        <f t="shared" si="289"/>
        <v>6.80510752688172</v>
      </c>
      <c r="AK994" s="139">
        <f t="shared" si="290"/>
        <v>8.26747311827957</v>
      </c>
      <c r="AL994" s="139">
        <f t="shared" si="291"/>
        <v>7.6895161290322589</v>
      </c>
      <c r="AM994" s="139">
        <f t="shared" si="292"/>
        <v>2.3508064516129035</v>
      </c>
      <c r="AN994" s="139">
        <f t="shared" si="293"/>
        <v>2.7688172043010755</v>
      </c>
      <c r="AO994" s="139">
        <f t="shared" si="294"/>
        <v>5.600806451612903</v>
      </c>
      <c r="AP994" s="139">
        <f t="shared" si="295"/>
        <v>1.0188172043010753</v>
      </c>
      <c r="AQ994" s="139">
        <f t="shared" si="296"/>
        <v>1.810483870967742</v>
      </c>
      <c r="AR994" s="139">
        <f t="shared" si="297"/>
        <v>2.411290322580645</v>
      </c>
      <c r="AS994" s="139">
        <f t="shared" si="298"/>
        <v>323.01500832579205</v>
      </c>
      <c r="AT994" s="139">
        <f t="shared" si="299"/>
        <v>11.309247252189014</v>
      </c>
      <c r="AU994" s="139">
        <f t="shared" si="300"/>
        <v>334.32425557798109</v>
      </c>
      <c r="AW994" s="139">
        <f t="shared" si="282"/>
        <v>255</v>
      </c>
      <c r="AX994" s="139">
        <f t="shared" si="301"/>
        <v>79.324255577981091</v>
      </c>
    </row>
    <row r="995" spans="1:50" ht="15.75" customHeight="1" x14ac:dyDescent="0.3">
      <c r="A995" s="642" t="s">
        <v>1505</v>
      </c>
      <c r="B995" s="642">
        <f t="shared" si="277"/>
        <v>147</v>
      </c>
      <c r="C995" s="139">
        <f t="shared" si="277"/>
        <v>98</v>
      </c>
      <c r="D995" s="643">
        <f>H1022</f>
        <v>0</v>
      </c>
      <c r="E995" s="139">
        <f t="shared" ref="E995:S995" si="307">+C915/$K$10/24</f>
        <v>11.045698924731184</v>
      </c>
      <c r="F995" s="139">
        <f t="shared" si="307"/>
        <v>11.533602150537634</v>
      </c>
      <c r="G995" s="139">
        <f t="shared" si="307"/>
        <v>17.544354838709676</v>
      </c>
      <c r="H995" s="139">
        <f t="shared" si="307"/>
        <v>0</v>
      </c>
      <c r="I995" s="139">
        <f t="shared" si="307"/>
        <v>-11.143745820188492</v>
      </c>
      <c r="J995" s="139">
        <f t="shared" si="307"/>
        <v>12.633064516129032</v>
      </c>
      <c r="K995" s="139">
        <f t="shared" si="307"/>
        <v>7.7325268817204309</v>
      </c>
      <c r="L995" s="139">
        <f t="shared" si="307"/>
        <v>8.487903225806452</v>
      </c>
      <c r="M995" s="139">
        <f t="shared" si="307"/>
        <v>7.577956989247312</v>
      </c>
      <c r="N995" s="139">
        <f t="shared" si="307"/>
        <v>2.706989247311828</v>
      </c>
      <c r="O995" s="139">
        <f t="shared" si="307"/>
        <v>3.189516129032258</v>
      </c>
      <c r="P995" s="139">
        <f t="shared" si="307"/>
        <v>6.045698924731183</v>
      </c>
      <c r="Q995" s="139">
        <f t="shared" si="307"/>
        <v>0.54973118279569888</v>
      </c>
      <c r="R995" s="139">
        <f t="shared" si="307"/>
        <v>2.1760752688172045</v>
      </c>
      <c r="S995" s="643">
        <f t="shared" si="307"/>
        <v>1.2970430107526882</v>
      </c>
      <c r="T995" s="139">
        <f t="shared" si="279"/>
        <v>228.37641547013408</v>
      </c>
      <c r="U995" s="139">
        <f t="shared" si="280"/>
        <v>179.37641547013408</v>
      </c>
      <c r="V995" s="688">
        <f>D995+SUM(E995:S995)</f>
        <v>81.376415470134077</v>
      </c>
      <c r="AC995">
        <v>8</v>
      </c>
      <c r="AD995" s="139">
        <f>IF($AF$985=1,VLOOKUP($AD$985,$A$1015:$P$1026,12,FALSE),VLOOKUP($AD$985,$A$988:$S$999,3,FALSE))</f>
        <v>196</v>
      </c>
      <c r="AE995" s="139">
        <f t="shared" si="284"/>
        <v>20.03494623655914</v>
      </c>
      <c r="AF995" s="139">
        <f t="shared" si="285"/>
        <v>20.975806451612904</v>
      </c>
      <c r="AG995" s="139">
        <f t="shared" si="286"/>
        <v>34.26478494623656</v>
      </c>
      <c r="AH995" s="139">
        <f t="shared" si="287"/>
        <v>1.357750261275869</v>
      </c>
      <c r="AI995" s="139">
        <f t="shared" si="288"/>
        <v>11.658602150537634</v>
      </c>
      <c r="AJ995" s="139">
        <f t="shared" si="289"/>
        <v>6.80510752688172</v>
      </c>
      <c r="AK995" s="139">
        <f t="shared" si="290"/>
        <v>8.26747311827957</v>
      </c>
      <c r="AL995" s="139">
        <f t="shared" si="291"/>
        <v>7.6895161290322589</v>
      </c>
      <c r="AM995" s="139">
        <f t="shared" si="292"/>
        <v>2.3508064516129035</v>
      </c>
      <c r="AN995" s="139">
        <f t="shared" si="293"/>
        <v>2.7688172043010755</v>
      </c>
      <c r="AO995" s="139">
        <f t="shared" si="294"/>
        <v>5.600806451612903</v>
      </c>
      <c r="AP995" s="139">
        <f t="shared" si="295"/>
        <v>1.0188172043010753</v>
      </c>
      <c r="AQ995" s="139">
        <f t="shared" si="296"/>
        <v>1.810483870967742</v>
      </c>
      <c r="AR995" s="139">
        <f t="shared" si="297"/>
        <v>2.411290322580645</v>
      </c>
      <c r="AS995" s="139">
        <f t="shared" si="298"/>
        <v>323.01500832579205</v>
      </c>
      <c r="AT995" s="139">
        <f t="shared" si="299"/>
        <v>11.309247252189014</v>
      </c>
      <c r="AU995" s="139">
        <f t="shared" si="300"/>
        <v>334.32425557798109</v>
      </c>
      <c r="AW995" s="139">
        <f t="shared" si="282"/>
        <v>255</v>
      </c>
      <c r="AX995" s="139">
        <f t="shared" si="301"/>
        <v>79.324255577981091</v>
      </c>
    </row>
    <row r="996" spans="1:50" ht="15.75" customHeight="1" x14ac:dyDescent="0.3">
      <c r="A996" s="642" t="s">
        <v>1506</v>
      </c>
      <c r="B996" s="642">
        <f t="shared" si="277"/>
        <v>245</v>
      </c>
      <c r="C996" s="139">
        <f t="shared" si="277"/>
        <v>147</v>
      </c>
      <c r="D996" s="643" t="s">
        <v>2916</v>
      </c>
      <c r="E996" s="139">
        <f t="shared" ref="E996:S996" si="308">+C916/$L$10/24</f>
        <v>22.186111111111114</v>
      </c>
      <c r="F996" s="139">
        <f t="shared" si="308"/>
        <v>23.223611111111111</v>
      </c>
      <c r="G996" s="139">
        <f t="shared" si="308"/>
        <v>38.506944444444443</v>
      </c>
      <c r="H996" s="139">
        <f t="shared" si="308"/>
        <v>4.5909306152058909</v>
      </c>
      <c r="I996" s="139">
        <f t="shared" si="308"/>
        <v>-3.1357458534253979</v>
      </c>
      <c r="J996" s="139">
        <f t="shared" si="308"/>
        <v>10.793055555555556</v>
      </c>
      <c r="K996" s="139">
        <f t="shared" si="308"/>
        <v>7.4236111111111107</v>
      </c>
      <c r="L996" s="139">
        <f t="shared" si="308"/>
        <v>9.0166666666666675</v>
      </c>
      <c r="M996" s="139">
        <f t="shared" si="308"/>
        <v>8.281944444444445</v>
      </c>
      <c r="N996" s="139">
        <f t="shared" si="308"/>
        <v>2.6416666666666666</v>
      </c>
      <c r="O996" s="139">
        <f t="shared" si="308"/>
        <v>3.1125000000000003</v>
      </c>
      <c r="P996" s="139">
        <f t="shared" si="308"/>
        <v>5.9805555555555552</v>
      </c>
      <c r="Q996" s="139">
        <f t="shared" si="308"/>
        <v>1.273611111111111</v>
      </c>
      <c r="R996" s="139">
        <f t="shared" si="308"/>
        <v>1.5958333333333332</v>
      </c>
      <c r="S996" s="643">
        <f t="shared" si="308"/>
        <v>3.0124999999999997</v>
      </c>
      <c r="T996" s="139">
        <f t="shared" si="279"/>
        <v>383.5037958728916</v>
      </c>
      <c r="U996" s="139">
        <f t="shared" si="280"/>
        <v>285.5037958728916</v>
      </c>
      <c r="V996" s="139" t="s">
        <v>2916</v>
      </c>
      <c r="AC996">
        <v>9</v>
      </c>
      <c r="AD996" s="139">
        <f>IF($AF$985=1,VLOOKUP($AD$985,$A$1015:$P$1026,12,FALSE),VLOOKUP($AD$985,$A$988:$S$999,3,FALSE))</f>
        <v>196</v>
      </c>
      <c r="AE996" s="139">
        <f t="shared" si="284"/>
        <v>20.03494623655914</v>
      </c>
      <c r="AF996" s="139">
        <f t="shared" si="285"/>
        <v>20.975806451612904</v>
      </c>
      <c r="AG996" s="139">
        <f t="shared" si="286"/>
        <v>34.26478494623656</v>
      </c>
      <c r="AH996" s="139">
        <f t="shared" si="287"/>
        <v>1.357750261275869</v>
      </c>
      <c r="AI996" s="139">
        <f t="shared" si="288"/>
        <v>11.658602150537634</v>
      </c>
      <c r="AJ996" s="139">
        <f t="shared" si="289"/>
        <v>6.80510752688172</v>
      </c>
      <c r="AK996" s="139">
        <f t="shared" si="290"/>
        <v>8.26747311827957</v>
      </c>
      <c r="AL996" s="139">
        <f t="shared" si="291"/>
        <v>7.6895161290322589</v>
      </c>
      <c r="AM996" s="139">
        <f t="shared" si="292"/>
        <v>2.3508064516129035</v>
      </c>
      <c r="AN996" s="139">
        <f t="shared" si="293"/>
        <v>2.7688172043010755</v>
      </c>
      <c r="AO996" s="139">
        <f t="shared" si="294"/>
        <v>5.600806451612903</v>
      </c>
      <c r="AP996" s="139">
        <f t="shared" si="295"/>
        <v>1.0188172043010753</v>
      </c>
      <c r="AQ996" s="139">
        <f t="shared" si="296"/>
        <v>1.810483870967742</v>
      </c>
      <c r="AR996" s="139">
        <f t="shared" si="297"/>
        <v>2.411290322580645</v>
      </c>
      <c r="AS996" s="139">
        <f t="shared" si="298"/>
        <v>323.01500832579205</v>
      </c>
      <c r="AT996" s="139">
        <f t="shared" si="299"/>
        <v>11.309247252189014</v>
      </c>
      <c r="AU996" s="139">
        <f t="shared" si="300"/>
        <v>334.32425557798109</v>
      </c>
      <c r="AW996" s="139">
        <f t="shared" si="282"/>
        <v>255</v>
      </c>
      <c r="AX996" s="139">
        <f t="shared" si="301"/>
        <v>79.324255577981091</v>
      </c>
    </row>
    <row r="997" spans="1:50" ht="15.75" customHeight="1" x14ac:dyDescent="0.3">
      <c r="A997" s="642" t="s">
        <v>1507</v>
      </c>
      <c r="B997" s="642">
        <f t="shared" si="277"/>
        <v>245</v>
      </c>
      <c r="C997" s="139">
        <f t="shared" si="277"/>
        <v>147</v>
      </c>
      <c r="D997" s="643" t="s">
        <v>2916</v>
      </c>
      <c r="E997" s="139">
        <f t="shared" ref="E997:S997" si="309">+C917/$N$10/24</f>
        <v>21.834677419354836</v>
      </c>
      <c r="F997" s="139">
        <f t="shared" si="309"/>
        <v>22.861559139784944</v>
      </c>
      <c r="G997" s="139">
        <f t="shared" si="309"/>
        <v>38.340053763440856</v>
      </c>
      <c r="H997" s="139">
        <f t="shared" si="309"/>
        <v>9.6999105804106218</v>
      </c>
      <c r="I997" s="139">
        <f t="shared" si="309"/>
        <v>-0.17539522408861433</v>
      </c>
      <c r="J997" s="139">
        <f t="shared" si="309"/>
        <v>6.813172043010753</v>
      </c>
      <c r="K997" s="139">
        <f t="shared" si="309"/>
        <v>2.3776881720430105</v>
      </c>
      <c r="L997" s="139">
        <f t="shared" si="309"/>
        <v>2.7620967741935485</v>
      </c>
      <c r="M997" s="139">
        <f t="shared" si="309"/>
        <v>2.7620967741935485</v>
      </c>
      <c r="N997" s="139">
        <f t="shared" si="309"/>
        <v>0.85618279569892464</v>
      </c>
      <c r="O997" s="139">
        <f t="shared" si="309"/>
        <v>1.0053763440860215</v>
      </c>
      <c r="P997" s="139">
        <f t="shared" si="309"/>
        <v>1.8911290322580647</v>
      </c>
      <c r="Q997" s="139">
        <f t="shared" si="309"/>
        <v>0.47446236559139782</v>
      </c>
      <c r="R997" s="139">
        <f t="shared" si="309"/>
        <v>0</v>
      </c>
      <c r="S997" s="643">
        <f t="shared" si="309"/>
        <v>1.1209677419354838</v>
      </c>
      <c r="T997" s="139">
        <f t="shared" si="279"/>
        <v>357.62397772191338</v>
      </c>
      <c r="U997" s="139">
        <f t="shared" si="280"/>
        <v>259.62397772191338</v>
      </c>
      <c r="V997" s="139" t="s">
        <v>2916</v>
      </c>
      <c r="AC997">
        <v>10</v>
      </c>
      <c r="AD997" s="139">
        <f>IF($AF$985=1,VLOOKUP($AD$985,$A$1015:$P$1026,12,FALSE),VLOOKUP($AD$985,$A$988:$S$999,3,FALSE))</f>
        <v>196</v>
      </c>
      <c r="AE997" s="139">
        <f t="shared" si="284"/>
        <v>20.03494623655914</v>
      </c>
      <c r="AF997" s="139">
        <f t="shared" si="285"/>
        <v>20.975806451612904</v>
      </c>
      <c r="AG997" s="139">
        <f t="shared" si="286"/>
        <v>34.26478494623656</v>
      </c>
      <c r="AH997" s="139">
        <f t="shared" si="287"/>
        <v>1.357750261275869</v>
      </c>
      <c r="AI997" s="139">
        <f t="shared" si="288"/>
        <v>11.658602150537634</v>
      </c>
      <c r="AJ997" s="139">
        <f t="shared" si="289"/>
        <v>6.80510752688172</v>
      </c>
      <c r="AK997" s="139">
        <f t="shared" si="290"/>
        <v>8.26747311827957</v>
      </c>
      <c r="AL997" s="139">
        <f t="shared" si="291"/>
        <v>7.6895161290322589</v>
      </c>
      <c r="AM997" s="139">
        <f t="shared" si="292"/>
        <v>2.3508064516129035</v>
      </c>
      <c r="AN997" s="139">
        <f t="shared" si="293"/>
        <v>2.7688172043010755</v>
      </c>
      <c r="AO997" s="139">
        <f t="shared" si="294"/>
        <v>5.600806451612903</v>
      </c>
      <c r="AP997" s="139">
        <f t="shared" si="295"/>
        <v>1.0188172043010753</v>
      </c>
      <c r="AQ997" s="139">
        <f t="shared" si="296"/>
        <v>1.810483870967742</v>
      </c>
      <c r="AR997" s="139">
        <f t="shared" si="297"/>
        <v>2.411290322580645</v>
      </c>
      <c r="AS997" s="139">
        <f t="shared" si="298"/>
        <v>323.01500832579205</v>
      </c>
      <c r="AT997" s="139">
        <f t="shared" si="299"/>
        <v>11.309247252189014</v>
      </c>
      <c r="AU997" s="139">
        <f t="shared" si="300"/>
        <v>334.32425557798109</v>
      </c>
      <c r="AW997" s="139">
        <f t="shared" si="282"/>
        <v>255</v>
      </c>
      <c r="AX997" s="139">
        <f t="shared" si="301"/>
        <v>79.324255577981091</v>
      </c>
    </row>
    <row r="998" spans="1:50" ht="15.75" customHeight="1" x14ac:dyDescent="0.3">
      <c r="A998" s="642" t="s">
        <v>1508</v>
      </c>
      <c r="B998" s="642">
        <f t="shared" si="277"/>
        <v>245</v>
      </c>
      <c r="C998" s="139">
        <f t="shared" si="277"/>
        <v>147</v>
      </c>
      <c r="D998" s="643" t="s">
        <v>2916</v>
      </c>
      <c r="E998" s="139">
        <f t="shared" ref="E998:S998" si="310">+C918/$O$10/24</f>
        <v>23.413888888888888</v>
      </c>
      <c r="F998" s="139">
        <f t="shared" si="310"/>
        <v>24.525000000000002</v>
      </c>
      <c r="G998" s="139">
        <f t="shared" si="310"/>
        <v>41.65</v>
      </c>
      <c r="H998" s="139">
        <f t="shared" si="310"/>
        <v>19.704251384921669</v>
      </c>
      <c r="I998" s="139">
        <f t="shared" si="310"/>
        <v>0</v>
      </c>
      <c r="J998" s="139">
        <f t="shared" si="310"/>
        <v>4.3569444444444443</v>
      </c>
      <c r="K998" s="139">
        <f t="shared" si="310"/>
        <v>2.6652777777777779</v>
      </c>
      <c r="L998" s="139">
        <f t="shared" si="310"/>
        <v>3.6111111111111112</v>
      </c>
      <c r="M998" s="139">
        <f t="shared" si="310"/>
        <v>3.7305555555555556</v>
      </c>
      <c r="N998" s="139">
        <f t="shared" si="310"/>
        <v>0.99722222222222223</v>
      </c>
      <c r="O998" s="139">
        <f t="shared" si="310"/>
        <v>1.1722222222222223</v>
      </c>
      <c r="P998" s="139">
        <f t="shared" si="310"/>
        <v>2.4694444444444446</v>
      </c>
      <c r="Q998" s="139">
        <f t="shared" si="310"/>
        <v>0.30833333333333335</v>
      </c>
      <c r="R998" s="139">
        <f t="shared" si="310"/>
        <v>0</v>
      </c>
      <c r="S998" s="643">
        <f t="shared" si="310"/>
        <v>0.72777777777777775</v>
      </c>
      <c r="T998" s="139">
        <f t="shared" si="279"/>
        <v>374.33202916269943</v>
      </c>
      <c r="U998" s="139">
        <f t="shared" si="280"/>
        <v>276.33202916269943</v>
      </c>
      <c r="V998" s="139" t="s">
        <v>2916</v>
      </c>
      <c r="AC998">
        <v>11</v>
      </c>
      <c r="AD998" s="139">
        <f>IF($AF$985=1,VLOOKUP($AD$985,$A$1015:$P$1026,12,FALSE),VLOOKUP($AD$985,$A$988:$S$999,3,FALSE))</f>
        <v>196</v>
      </c>
      <c r="AE998" s="139">
        <f t="shared" si="284"/>
        <v>20.03494623655914</v>
      </c>
      <c r="AF998" s="139">
        <f t="shared" si="285"/>
        <v>20.975806451612904</v>
      </c>
      <c r="AG998" s="139">
        <f t="shared" si="286"/>
        <v>34.26478494623656</v>
      </c>
      <c r="AH998" s="139">
        <f t="shared" si="287"/>
        <v>1.357750261275869</v>
      </c>
      <c r="AI998" s="139">
        <f t="shared" si="288"/>
        <v>11.658602150537634</v>
      </c>
      <c r="AJ998" s="139">
        <f t="shared" si="289"/>
        <v>6.80510752688172</v>
      </c>
      <c r="AK998" s="139">
        <f t="shared" si="290"/>
        <v>8.26747311827957</v>
      </c>
      <c r="AL998" s="139">
        <f t="shared" si="291"/>
        <v>7.6895161290322589</v>
      </c>
      <c r="AM998" s="139">
        <f t="shared" si="292"/>
        <v>2.3508064516129035</v>
      </c>
      <c r="AN998" s="139">
        <f t="shared" si="293"/>
        <v>2.7688172043010755</v>
      </c>
      <c r="AO998" s="139">
        <f t="shared" si="294"/>
        <v>5.600806451612903</v>
      </c>
      <c r="AP998" s="139">
        <f t="shared" si="295"/>
        <v>1.0188172043010753</v>
      </c>
      <c r="AQ998" s="139">
        <f t="shared" si="296"/>
        <v>1.810483870967742</v>
      </c>
      <c r="AR998" s="139">
        <f t="shared" si="297"/>
        <v>2.411290322580645</v>
      </c>
      <c r="AS998" s="139">
        <f t="shared" si="298"/>
        <v>323.01500832579205</v>
      </c>
      <c r="AT998" s="139">
        <f t="shared" si="299"/>
        <v>11.309247252189014</v>
      </c>
      <c r="AU998" s="139">
        <f t="shared" si="300"/>
        <v>334.32425557798109</v>
      </c>
      <c r="AW998" s="139">
        <f t="shared" si="282"/>
        <v>255</v>
      </c>
      <c r="AX998" s="139">
        <f t="shared" si="301"/>
        <v>79.324255577981091</v>
      </c>
    </row>
    <row r="999" spans="1:50" ht="15.75" customHeight="1" thickBot="1" x14ac:dyDescent="0.35">
      <c r="A999" s="644" t="s">
        <v>1509</v>
      </c>
      <c r="B999" s="644">
        <f t="shared" si="277"/>
        <v>294</v>
      </c>
      <c r="C999" s="645">
        <f t="shared" si="277"/>
        <v>98</v>
      </c>
      <c r="D999" s="646" t="s">
        <v>2916</v>
      </c>
      <c r="E999" s="645">
        <f t="shared" ref="E999:S999" si="311">+C919/$P$10/24</f>
        <v>19.186827956989248</v>
      </c>
      <c r="F999" s="645">
        <f t="shared" si="311"/>
        <v>20.099462365591396</v>
      </c>
      <c r="G999" s="645">
        <f t="shared" si="311"/>
        <v>33.994623655913976</v>
      </c>
      <c r="H999" s="645">
        <f t="shared" si="311"/>
        <v>14.000692677674257</v>
      </c>
      <c r="I999" s="645">
        <f t="shared" si="311"/>
        <v>0</v>
      </c>
      <c r="J999" s="645">
        <f t="shared" si="311"/>
        <v>5.452956989247312</v>
      </c>
      <c r="K999" s="645">
        <f t="shared" si="311"/>
        <v>3.435483870967742</v>
      </c>
      <c r="L999" s="645">
        <f t="shared" si="311"/>
        <v>4.995967741935484</v>
      </c>
      <c r="M999" s="645">
        <f t="shared" si="311"/>
        <v>5.181451612903226</v>
      </c>
      <c r="N999" s="645">
        <f t="shared" si="311"/>
        <v>1.924731182795699</v>
      </c>
      <c r="O999" s="645">
        <f t="shared" si="311"/>
        <v>2.26747311827957</v>
      </c>
      <c r="P999" s="645">
        <f t="shared" si="311"/>
        <v>4.735215053763441</v>
      </c>
      <c r="Q999" s="645">
        <f t="shared" si="311"/>
        <v>1.1290322580645162</v>
      </c>
      <c r="R999" s="645">
        <f t="shared" si="311"/>
        <v>0</v>
      </c>
      <c r="S999" s="646">
        <f t="shared" si="311"/>
        <v>2.6733870967741935</v>
      </c>
      <c r="T999" s="139">
        <f t="shared" si="279"/>
        <v>413.07730558090009</v>
      </c>
      <c r="U999" s="139">
        <f t="shared" si="280"/>
        <v>217.07730558090006</v>
      </c>
      <c r="V999" s="139" t="s">
        <v>2916</v>
      </c>
      <c r="AC999">
        <v>12</v>
      </c>
      <c r="AD999" s="139">
        <f>IF($AF$985=1,VLOOKUP($AD$985,$A$1015:$P$1026,12,FALSE),VLOOKUP($AD$985,$A$988:$S$999,3,FALSE))</f>
        <v>196</v>
      </c>
      <c r="AE999" s="139">
        <f t="shared" si="284"/>
        <v>20.03494623655914</v>
      </c>
      <c r="AF999" s="139">
        <f t="shared" si="285"/>
        <v>20.975806451612904</v>
      </c>
      <c r="AG999" s="139">
        <f t="shared" si="286"/>
        <v>34.26478494623656</v>
      </c>
      <c r="AH999" s="139">
        <f t="shared" si="287"/>
        <v>1.357750261275869</v>
      </c>
      <c r="AI999" s="139">
        <f t="shared" si="288"/>
        <v>11.658602150537634</v>
      </c>
      <c r="AJ999" s="139">
        <f t="shared" si="289"/>
        <v>6.80510752688172</v>
      </c>
      <c r="AK999" s="139">
        <f t="shared" si="290"/>
        <v>8.26747311827957</v>
      </c>
      <c r="AL999" s="139">
        <f t="shared" si="291"/>
        <v>7.6895161290322589</v>
      </c>
      <c r="AM999" s="139">
        <f t="shared" si="292"/>
        <v>2.3508064516129035</v>
      </c>
      <c r="AN999" s="139">
        <f t="shared" si="293"/>
        <v>2.7688172043010755</v>
      </c>
      <c r="AO999" s="139">
        <f t="shared" si="294"/>
        <v>5.600806451612903</v>
      </c>
      <c r="AP999" s="139">
        <f t="shared" si="295"/>
        <v>1.0188172043010753</v>
      </c>
      <c r="AQ999" s="139">
        <f t="shared" si="296"/>
        <v>1.810483870967742</v>
      </c>
      <c r="AR999" s="139">
        <f t="shared" si="297"/>
        <v>2.411290322580645</v>
      </c>
      <c r="AS999" s="139">
        <f t="shared" si="298"/>
        <v>323.01500832579205</v>
      </c>
      <c r="AT999" s="139">
        <f t="shared" si="299"/>
        <v>11.309247252189014</v>
      </c>
      <c r="AU999" s="139">
        <f t="shared" si="300"/>
        <v>334.32425557798109</v>
      </c>
      <c r="AW999" s="139">
        <f t="shared" si="282"/>
        <v>255</v>
      </c>
      <c r="AX999" s="139">
        <f t="shared" si="301"/>
        <v>79.324255577981091</v>
      </c>
    </row>
    <row r="1000" spans="1:50" ht="15.75" customHeight="1" x14ac:dyDescent="0.3">
      <c r="A1000" s="641"/>
      <c r="AC1000">
        <v>13</v>
      </c>
      <c r="AD1000" s="139">
        <f>IF($AF$985=1,VLOOKUP($AD$985,$A$1015:$P$1026,12,FALSE),IF(OR($AD$985="JUN",$AD$985="JUL",$AD$985="AUG"),VLOOKUP($AD$985,$A$988:$S$999,4,FALSE),VLOOKUP($AD$985,$A$988:$S$999,3,FALSE)))</f>
        <v>196</v>
      </c>
      <c r="AE1000" s="139">
        <f t="shared" si="284"/>
        <v>20.03494623655914</v>
      </c>
      <c r="AF1000" s="139">
        <f t="shared" si="285"/>
        <v>20.975806451612904</v>
      </c>
      <c r="AG1000" s="139">
        <f t="shared" si="286"/>
        <v>34.26478494623656</v>
      </c>
      <c r="AH1000" s="139">
        <f t="shared" si="287"/>
        <v>1.357750261275869</v>
      </c>
      <c r="AI1000" s="139">
        <f t="shared" si="288"/>
        <v>11.658602150537634</v>
      </c>
      <c r="AJ1000" s="139">
        <f t="shared" si="289"/>
        <v>6.80510752688172</v>
      </c>
      <c r="AK1000" s="139">
        <f t="shared" si="290"/>
        <v>8.26747311827957</v>
      </c>
      <c r="AL1000" s="139">
        <f t="shared" si="291"/>
        <v>7.6895161290322589</v>
      </c>
      <c r="AM1000" s="139">
        <f t="shared" si="292"/>
        <v>2.3508064516129035</v>
      </c>
      <c r="AN1000" s="139">
        <f t="shared" si="293"/>
        <v>2.7688172043010755</v>
      </c>
      <c r="AO1000" s="139">
        <f t="shared" si="294"/>
        <v>5.600806451612903</v>
      </c>
      <c r="AP1000" s="139">
        <f t="shared" si="295"/>
        <v>1.0188172043010753</v>
      </c>
      <c r="AQ1000" s="139">
        <f t="shared" si="296"/>
        <v>1.810483870967742</v>
      </c>
      <c r="AR1000" s="139">
        <f t="shared" si="297"/>
        <v>2.411290322580645</v>
      </c>
      <c r="AS1000" s="139">
        <f t="shared" si="298"/>
        <v>323.01500832579205</v>
      </c>
      <c r="AT1000" s="139">
        <f t="shared" si="299"/>
        <v>11.309247252189014</v>
      </c>
      <c r="AU1000" s="139">
        <f t="shared" si="300"/>
        <v>334.32425557798109</v>
      </c>
      <c r="AW1000" s="139">
        <f t="shared" si="282"/>
        <v>255</v>
      </c>
      <c r="AX1000" s="139">
        <f t="shared" si="301"/>
        <v>79.324255577981091</v>
      </c>
    </row>
    <row r="1001" spans="1:50" ht="15.75" customHeight="1" x14ac:dyDescent="0.3">
      <c r="A1001" s="641" t="s">
        <v>2889</v>
      </c>
      <c r="AC1001">
        <v>14</v>
      </c>
      <c r="AD1001" s="139">
        <f t="shared" ref="AD1001:AD1007" si="312">IF($AF$985=1,VLOOKUP($AD$985,$A$1015:$P$1026,12,FALSE),IF(OR($AD$985="JUN",$AD$985="JUL",$AD$985="AUG"),VLOOKUP($AD$985,$A$988:$S$999,4,FALSE),VLOOKUP($AD$985,$A$988:$S$999,3,FALSE)))</f>
        <v>196</v>
      </c>
      <c r="AE1001" s="139">
        <f t="shared" si="284"/>
        <v>20.03494623655914</v>
      </c>
      <c r="AF1001" s="139">
        <f t="shared" si="285"/>
        <v>20.975806451612904</v>
      </c>
      <c r="AG1001" s="139">
        <f t="shared" si="286"/>
        <v>34.26478494623656</v>
      </c>
      <c r="AH1001" s="139">
        <f t="shared" si="287"/>
        <v>1.357750261275869</v>
      </c>
      <c r="AI1001" s="139">
        <f t="shared" si="288"/>
        <v>11.658602150537634</v>
      </c>
      <c r="AJ1001" s="139">
        <f t="shared" si="289"/>
        <v>6.80510752688172</v>
      </c>
      <c r="AK1001" s="139">
        <f t="shared" si="290"/>
        <v>8.26747311827957</v>
      </c>
      <c r="AL1001" s="139">
        <f t="shared" si="291"/>
        <v>7.6895161290322589</v>
      </c>
      <c r="AM1001" s="139">
        <f t="shared" si="292"/>
        <v>2.3508064516129035</v>
      </c>
      <c r="AN1001" s="139">
        <f t="shared" si="293"/>
        <v>2.7688172043010755</v>
      </c>
      <c r="AO1001" s="139">
        <f t="shared" si="294"/>
        <v>5.600806451612903</v>
      </c>
      <c r="AP1001" s="139">
        <f t="shared" si="295"/>
        <v>1.0188172043010753</v>
      </c>
      <c r="AQ1001" s="139">
        <f t="shared" si="296"/>
        <v>1.810483870967742</v>
      </c>
      <c r="AR1001" s="139">
        <f t="shared" si="297"/>
        <v>2.411290322580645</v>
      </c>
      <c r="AS1001" s="139">
        <f t="shared" si="298"/>
        <v>323.01500832579205</v>
      </c>
      <c r="AT1001" s="139">
        <f t="shared" si="299"/>
        <v>11.309247252189014</v>
      </c>
      <c r="AU1001" s="139">
        <f t="shared" si="300"/>
        <v>334.32425557798109</v>
      </c>
      <c r="AW1001" s="139">
        <f t="shared" si="282"/>
        <v>255</v>
      </c>
      <c r="AX1001" s="139">
        <f t="shared" si="301"/>
        <v>79.324255577981091</v>
      </c>
    </row>
    <row r="1002" spans="1:50" ht="15.75" customHeight="1" x14ac:dyDescent="0.3">
      <c r="A1002" s="641"/>
      <c r="AC1002">
        <v>15</v>
      </c>
      <c r="AD1002" s="139">
        <f t="shared" si="312"/>
        <v>196</v>
      </c>
      <c r="AE1002" s="139">
        <f t="shared" si="284"/>
        <v>20.03494623655914</v>
      </c>
      <c r="AF1002" s="139">
        <f t="shared" si="285"/>
        <v>20.975806451612904</v>
      </c>
      <c r="AG1002" s="139">
        <f t="shared" si="286"/>
        <v>34.26478494623656</v>
      </c>
      <c r="AH1002" s="139">
        <f t="shared" si="287"/>
        <v>1.357750261275869</v>
      </c>
      <c r="AI1002" s="139">
        <f t="shared" si="288"/>
        <v>11.658602150537634</v>
      </c>
      <c r="AJ1002" s="139">
        <f t="shared" si="289"/>
        <v>6.80510752688172</v>
      </c>
      <c r="AK1002" s="139">
        <f t="shared" si="290"/>
        <v>8.26747311827957</v>
      </c>
      <c r="AL1002" s="139">
        <f t="shared" si="291"/>
        <v>7.6895161290322589</v>
      </c>
      <c r="AM1002" s="139">
        <f t="shared" si="292"/>
        <v>2.3508064516129035</v>
      </c>
      <c r="AN1002" s="139">
        <f t="shared" si="293"/>
        <v>2.7688172043010755</v>
      </c>
      <c r="AO1002" s="139">
        <f t="shared" si="294"/>
        <v>5.600806451612903</v>
      </c>
      <c r="AP1002" s="139">
        <f t="shared" si="295"/>
        <v>1.0188172043010753</v>
      </c>
      <c r="AQ1002" s="139">
        <f t="shared" si="296"/>
        <v>1.810483870967742</v>
      </c>
      <c r="AR1002" s="139">
        <f t="shared" si="297"/>
        <v>2.411290322580645</v>
      </c>
      <c r="AS1002" s="139">
        <f t="shared" si="298"/>
        <v>323.01500832579205</v>
      </c>
      <c r="AT1002" s="139">
        <f t="shared" si="299"/>
        <v>11.309247252189014</v>
      </c>
      <c r="AU1002" s="139">
        <f t="shared" si="300"/>
        <v>334.32425557798109</v>
      </c>
      <c r="AW1002" s="139">
        <f t="shared" si="282"/>
        <v>255</v>
      </c>
      <c r="AX1002" s="139">
        <f t="shared" si="301"/>
        <v>79.324255577981091</v>
      </c>
    </row>
    <row r="1003" spans="1:50" ht="15.75" customHeight="1" x14ac:dyDescent="0.3">
      <c r="A1003" s="641"/>
      <c r="AC1003">
        <v>16</v>
      </c>
      <c r="AD1003" s="139">
        <f t="shared" si="312"/>
        <v>196</v>
      </c>
      <c r="AE1003" s="139">
        <f t="shared" si="284"/>
        <v>20.03494623655914</v>
      </c>
      <c r="AF1003" s="139">
        <f t="shared" si="285"/>
        <v>20.975806451612904</v>
      </c>
      <c r="AG1003" s="139">
        <f t="shared" si="286"/>
        <v>34.26478494623656</v>
      </c>
      <c r="AH1003" s="139">
        <f t="shared" si="287"/>
        <v>1.357750261275869</v>
      </c>
      <c r="AI1003" s="139">
        <f t="shared" si="288"/>
        <v>11.658602150537634</v>
      </c>
      <c r="AJ1003" s="139">
        <f t="shared" si="289"/>
        <v>6.80510752688172</v>
      </c>
      <c r="AK1003" s="139">
        <f t="shared" si="290"/>
        <v>8.26747311827957</v>
      </c>
      <c r="AL1003" s="139">
        <f t="shared" si="291"/>
        <v>7.6895161290322589</v>
      </c>
      <c r="AM1003" s="139">
        <f t="shared" si="292"/>
        <v>2.3508064516129035</v>
      </c>
      <c r="AN1003" s="139">
        <f t="shared" si="293"/>
        <v>2.7688172043010755</v>
      </c>
      <c r="AO1003" s="139">
        <f t="shared" si="294"/>
        <v>5.600806451612903</v>
      </c>
      <c r="AP1003" s="139">
        <f t="shared" si="295"/>
        <v>1.0188172043010753</v>
      </c>
      <c r="AQ1003" s="139">
        <f t="shared" si="296"/>
        <v>1.810483870967742</v>
      </c>
      <c r="AR1003" s="139">
        <f t="shared" si="297"/>
        <v>2.411290322580645</v>
      </c>
      <c r="AS1003" s="139">
        <f t="shared" si="298"/>
        <v>323.01500832579205</v>
      </c>
      <c r="AT1003" s="139">
        <f t="shared" si="299"/>
        <v>11.309247252189014</v>
      </c>
      <c r="AU1003" s="139">
        <f t="shared" si="300"/>
        <v>334.32425557798109</v>
      </c>
      <c r="AW1003" s="139">
        <f t="shared" si="282"/>
        <v>255</v>
      </c>
      <c r="AX1003" s="139">
        <f t="shared" si="301"/>
        <v>79.324255577981091</v>
      </c>
    </row>
    <row r="1004" spans="1:50" ht="15.75" customHeight="1" thickBot="1" x14ac:dyDescent="0.35">
      <c r="A1004" s="641"/>
      <c r="AC1004">
        <v>17</v>
      </c>
      <c r="AD1004" s="139">
        <f t="shared" si="312"/>
        <v>196</v>
      </c>
      <c r="AE1004" s="139">
        <f t="shared" si="284"/>
        <v>20.03494623655914</v>
      </c>
      <c r="AF1004" s="139">
        <f t="shared" si="285"/>
        <v>20.975806451612904</v>
      </c>
      <c r="AG1004" s="139">
        <f t="shared" si="286"/>
        <v>34.26478494623656</v>
      </c>
      <c r="AH1004" s="139">
        <f t="shared" si="287"/>
        <v>1.357750261275869</v>
      </c>
      <c r="AI1004" s="139">
        <f t="shared" si="288"/>
        <v>11.658602150537634</v>
      </c>
      <c r="AJ1004" s="139">
        <f t="shared" si="289"/>
        <v>6.80510752688172</v>
      </c>
      <c r="AK1004" s="139">
        <f t="shared" si="290"/>
        <v>8.26747311827957</v>
      </c>
      <c r="AL1004" s="139">
        <f t="shared" si="291"/>
        <v>7.6895161290322589</v>
      </c>
      <c r="AM1004" s="139">
        <f t="shared" si="292"/>
        <v>2.3508064516129035</v>
      </c>
      <c r="AN1004" s="139">
        <f t="shared" si="293"/>
        <v>2.7688172043010755</v>
      </c>
      <c r="AO1004" s="139">
        <f t="shared" si="294"/>
        <v>5.600806451612903</v>
      </c>
      <c r="AP1004" s="139">
        <f t="shared" si="295"/>
        <v>1.0188172043010753</v>
      </c>
      <c r="AQ1004" s="139">
        <f t="shared" si="296"/>
        <v>1.810483870967742</v>
      </c>
      <c r="AR1004" s="139">
        <f t="shared" si="297"/>
        <v>2.411290322580645</v>
      </c>
      <c r="AS1004" s="139">
        <f t="shared" si="298"/>
        <v>323.01500832579205</v>
      </c>
      <c r="AT1004" s="139">
        <f t="shared" si="299"/>
        <v>11.309247252189014</v>
      </c>
      <c r="AU1004" s="139">
        <f t="shared" si="300"/>
        <v>334.32425557798109</v>
      </c>
      <c r="AW1004" s="139">
        <f t="shared" si="282"/>
        <v>255</v>
      </c>
      <c r="AX1004" s="139">
        <f t="shared" si="301"/>
        <v>79.324255577981091</v>
      </c>
    </row>
    <row r="1005" spans="1:50" ht="15.75" customHeight="1" x14ac:dyDescent="0.3">
      <c r="A1005" s="667"/>
      <c r="B1005" s="782" t="s">
        <v>2887</v>
      </c>
      <c r="C1005" s="782"/>
      <c r="D1005" s="782"/>
      <c r="E1005" s="782"/>
      <c r="F1005" s="782"/>
      <c r="G1005" s="782"/>
      <c r="H1005" s="782"/>
      <c r="I1005" s="782"/>
      <c r="J1005" s="782"/>
      <c r="K1005" s="782"/>
      <c r="L1005" s="782"/>
      <c r="M1005" s="782"/>
      <c r="N1005" s="782"/>
      <c r="O1005" s="782"/>
      <c r="P1005" s="782"/>
      <c r="Q1005" s="678" t="str">
        <f>+Q1</f>
        <v xml:space="preserve">PRINTED:  </v>
      </c>
      <c r="R1005" s="679">
        <f ca="1">+R1</f>
        <v>44881.729634027775</v>
      </c>
      <c r="AC1005">
        <v>18</v>
      </c>
      <c r="AD1005" s="139">
        <f t="shared" si="312"/>
        <v>196</v>
      </c>
      <c r="AE1005" s="139">
        <f t="shared" si="284"/>
        <v>20.03494623655914</v>
      </c>
      <c r="AF1005" s="139">
        <f t="shared" si="285"/>
        <v>20.975806451612904</v>
      </c>
      <c r="AG1005" s="139">
        <f t="shared" si="286"/>
        <v>34.26478494623656</v>
      </c>
      <c r="AH1005" s="139">
        <f t="shared" si="287"/>
        <v>1.357750261275869</v>
      </c>
      <c r="AI1005" s="139">
        <f t="shared" si="288"/>
        <v>11.658602150537634</v>
      </c>
      <c r="AJ1005" s="139">
        <f t="shared" si="289"/>
        <v>6.80510752688172</v>
      </c>
      <c r="AK1005" s="139">
        <f t="shared" si="290"/>
        <v>8.26747311827957</v>
      </c>
      <c r="AL1005" s="139">
        <f t="shared" si="291"/>
        <v>7.6895161290322589</v>
      </c>
      <c r="AM1005" s="139">
        <f t="shared" si="292"/>
        <v>2.3508064516129035</v>
      </c>
      <c r="AN1005" s="139">
        <f t="shared" si="293"/>
        <v>2.7688172043010755</v>
      </c>
      <c r="AO1005" s="139">
        <f t="shared" si="294"/>
        <v>5.600806451612903</v>
      </c>
      <c r="AP1005" s="139">
        <f t="shared" si="295"/>
        <v>1.0188172043010753</v>
      </c>
      <c r="AQ1005" s="139">
        <f t="shared" si="296"/>
        <v>1.810483870967742</v>
      </c>
      <c r="AR1005" s="139">
        <f t="shared" si="297"/>
        <v>2.411290322580645</v>
      </c>
      <c r="AS1005" s="139">
        <f t="shared" si="298"/>
        <v>323.01500832579205</v>
      </c>
      <c r="AT1005" s="139">
        <f t="shared" si="299"/>
        <v>11.309247252189014</v>
      </c>
      <c r="AU1005" s="139">
        <f t="shared" si="300"/>
        <v>334.32425557798109</v>
      </c>
      <c r="AW1005" s="139">
        <f t="shared" si="282"/>
        <v>255</v>
      </c>
      <c r="AX1005" s="139">
        <f t="shared" si="301"/>
        <v>79.324255577981091</v>
      </c>
    </row>
    <row r="1006" spans="1:50" ht="16.5" customHeight="1" x14ac:dyDescent="0.3">
      <c r="A1006" s="647"/>
      <c r="B1006" s="786" t="str">
        <f>+A8</f>
        <v>Revised:  2/23/2017</v>
      </c>
      <c r="C1006" s="786"/>
      <c r="D1006" s="786"/>
      <c r="E1006" s="786"/>
      <c r="F1006" s="786"/>
      <c r="G1006" s="786"/>
      <c r="H1006" s="786"/>
      <c r="I1006" s="786"/>
      <c r="J1006" s="786"/>
      <c r="K1006" s="786"/>
      <c r="L1006" s="786"/>
      <c r="M1006" s="786"/>
      <c r="N1006" s="786"/>
      <c r="O1006" s="786"/>
      <c r="P1006" s="786"/>
      <c r="R1006" s="561"/>
      <c r="AC1006">
        <v>19</v>
      </c>
      <c r="AD1006" s="139">
        <f t="shared" si="312"/>
        <v>196</v>
      </c>
      <c r="AE1006" s="139">
        <f t="shared" si="284"/>
        <v>20.03494623655914</v>
      </c>
      <c r="AF1006" s="139">
        <f t="shared" si="285"/>
        <v>20.975806451612904</v>
      </c>
      <c r="AG1006" s="139">
        <f t="shared" si="286"/>
        <v>34.26478494623656</v>
      </c>
      <c r="AH1006" s="139">
        <f t="shared" si="287"/>
        <v>1.357750261275869</v>
      </c>
      <c r="AI1006" s="139">
        <f t="shared" si="288"/>
        <v>11.658602150537634</v>
      </c>
      <c r="AJ1006" s="139">
        <f t="shared" si="289"/>
        <v>6.80510752688172</v>
      </c>
      <c r="AK1006" s="139">
        <f t="shared" si="290"/>
        <v>8.26747311827957</v>
      </c>
      <c r="AL1006" s="139">
        <f t="shared" si="291"/>
        <v>7.6895161290322589</v>
      </c>
      <c r="AM1006" s="139">
        <f t="shared" si="292"/>
        <v>2.3508064516129035</v>
      </c>
      <c r="AN1006" s="139">
        <f t="shared" si="293"/>
        <v>2.7688172043010755</v>
      </c>
      <c r="AO1006" s="139">
        <f t="shared" si="294"/>
        <v>5.600806451612903</v>
      </c>
      <c r="AP1006" s="139">
        <f t="shared" si="295"/>
        <v>1.0188172043010753</v>
      </c>
      <c r="AQ1006" s="139">
        <f t="shared" si="296"/>
        <v>1.810483870967742</v>
      </c>
      <c r="AR1006" s="139">
        <f t="shared" si="297"/>
        <v>2.411290322580645</v>
      </c>
      <c r="AS1006" s="139">
        <f t="shared" si="298"/>
        <v>323.01500832579205</v>
      </c>
      <c r="AT1006" s="139">
        <f t="shared" si="299"/>
        <v>11.309247252189014</v>
      </c>
      <c r="AU1006" s="139">
        <f t="shared" si="300"/>
        <v>334.32425557798109</v>
      </c>
      <c r="AW1006" s="139">
        <f t="shared" si="282"/>
        <v>255</v>
      </c>
      <c r="AX1006" s="139">
        <f t="shared" si="301"/>
        <v>79.324255577981091</v>
      </c>
    </row>
    <row r="1007" spans="1:50" ht="16.5" customHeight="1" x14ac:dyDescent="0.3">
      <c r="A1007" s="647"/>
      <c r="B1007" s="786" t="s">
        <v>2878</v>
      </c>
      <c r="C1007" s="786"/>
      <c r="D1007" s="786"/>
      <c r="E1007" s="786"/>
      <c r="F1007" s="786"/>
      <c r="G1007" s="786"/>
      <c r="H1007" s="786"/>
      <c r="I1007" s="786"/>
      <c r="J1007" s="786"/>
      <c r="K1007" s="786"/>
      <c r="L1007" s="786"/>
      <c r="M1007" s="786"/>
      <c r="N1007" s="786"/>
      <c r="O1007" s="786"/>
      <c r="P1007" s="786"/>
      <c r="R1007" s="561"/>
      <c r="AC1007">
        <v>20</v>
      </c>
      <c r="AD1007" s="139">
        <f t="shared" si="312"/>
        <v>196</v>
      </c>
      <c r="AE1007" s="139">
        <f t="shared" si="284"/>
        <v>20.03494623655914</v>
      </c>
      <c r="AF1007" s="139">
        <f t="shared" si="285"/>
        <v>20.975806451612904</v>
      </c>
      <c r="AG1007" s="139">
        <f t="shared" si="286"/>
        <v>34.26478494623656</v>
      </c>
      <c r="AH1007" s="139">
        <f t="shared" si="287"/>
        <v>1.357750261275869</v>
      </c>
      <c r="AI1007" s="139">
        <f t="shared" si="288"/>
        <v>11.658602150537634</v>
      </c>
      <c r="AJ1007" s="139">
        <f t="shared" si="289"/>
        <v>6.80510752688172</v>
      </c>
      <c r="AK1007" s="139">
        <f t="shared" si="290"/>
        <v>8.26747311827957</v>
      </c>
      <c r="AL1007" s="139">
        <f t="shared" si="291"/>
        <v>7.6895161290322589</v>
      </c>
      <c r="AM1007" s="139">
        <f t="shared" si="292"/>
        <v>2.3508064516129035</v>
      </c>
      <c r="AN1007" s="139">
        <f t="shared" si="293"/>
        <v>2.7688172043010755</v>
      </c>
      <c r="AO1007" s="139">
        <f t="shared" si="294"/>
        <v>5.600806451612903</v>
      </c>
      <c r="AP1007" s="139">
        <f t="shared" si="295"/>
        <v>1.0188172043010753</v>
      </c>
      <c r="AQ1007" s="139">
        <f t="shared" si="296"/>
        <v>1.810483870967742</v>
      </c>
      <c r="AR1007" s="139">
        <f t="shared" si="297"/>
        <v>2.411290322580645</v>
      </c>
      <c r="AS1007" s="139">
        <f t="shared" si="298"/>
        <v>323.01500832579205</v>
      </c>
      <c r="AT1007" s="139">
        <f t="shared" si="299"/>
        <v>11.309247252189014</v>
      </c>
      <c r="AU1007" s="139">
        <f t="shared" si="300"/>
        <v>334.32425557798109</v>
      </c>
      <c r="AW1007" s="139">
        <f t="shared" si="282"/>
        <v>255</v>
      </c>
      <c r="AX1007" s="139">
        <f t="shared" si="301"/>
        <v>79.324255577981091</v>
      </c>
    </row>
    <row r="1008" spans="1:50" ht="16.5" customHeight="1" x14ac:dyDescent="0.3">
      <c r="A1008" s="647"/>
      <c r="B1008" s="67"/>
      <c r="C1008" s="67"/>
      <c r="D1008" s="67"/>
      <c r="E1008" s="67"/>
      <c r="F1008" s="67"/>
      <c r="G1008" s="67"/>
      <c r="H1008" s="67"/>
      <c r="I1008" s="67"/>
      <c r="J1008" s="67"/>
      <c r="K1008" s="67"/>
      <c r="L1008" s="67"/>
      <c r="M1008" s="67"/>
      <c r="N1008" s="67"/>
      <c r="O1008" s="67"/>
      <c r="P1008" s="67"/>
      <c r="R1008" s="561"/>
      <c r="AC1008">
        <v>21</v>
      </c>
      <c r="AD1008" s="139">
        <f>IF($AF$985=1,VLOOKUP($AD$985,$A$1015:$P$1026,12,FALSE),VLOOKUP($AD$985,$A$988:$S$999,3,FALSE))</f>
        <v>196</v>
      </c>
      <c r="AE1008" s="139">
        <f t="shared" si="284"/>
        <v>20.03494623655914</v>
      </c>
      <c r="AF1008" s="139">
        <f t="shared" si="285"/>
        <v>20.975806451612904</v>
      </c>
      <c r="AG1008" s="139">
        <f t="shared" si="286"/>
        <v>34.26478494623656</v>
      </c>
      <c r="AH1008" s="139">
        <f t="shared" si="287"/>
        <v>1.357750261275869</v>
      </c>
      <c r="AI1008" s="139">
        <f t="shared" si="288"/>
        <v>11.658602150537634</v>
      </c>
      <c r="AJ1008" s="139">
        <f t="shared" si="289"/>
        <v>6.80510752688172</v>
      </c>
      <c r="AK1008" s="139">
        <f t="shared" si="290"/>
        <v>8.26747311827957</v>
      </c>
      <c r="AL1008" s="139">
        <f t="shared" si="291"/>
        <v>7.6895161290322589</v>
      </c>
      <c r="AM1008" s="139">
        <f t="shared" si="292"/>
        <v>2.3508064516129035</v>
      </c>
      <c r="AN1008" s="139">
        <f t="shared" si="293"/>
        <v>2.7688172043010755</v>
      </c>
      <c r="AO1008" s="139">
        <f t="shared" si="294"/>
        <v>5.600806451612903</v>
      </c>
      <c r="AP1008" s="139">
        <f t="shared" si="295"/>
        <v>1.0188172043010753</v>
      </c>
      <c r="AQ1008" s="139">
        <f t="shared" si="296"/>
        <v>1.810483870967742</v>
      </c>
      <c r="AR1008" s="139">
        <f t="shared" si="297"/>
        <v>2.411290322580645</v>
      </c>
      <c r="AS1008" s="139">
        <f t="shared" si="298"/>
        <v>323.01500832579205</v>
      </c>
      <c r="AT1008" s="139">
        <f t="shared" si="299"/>
        <v>11.309247252189014</v>
      </c>
      <c r="AU1008" s="139">
        <f t="shared" si="300"/>
        <v>334.32425557798109</v>
      </c>
      <c r="AW1008" s="139">
        <f t="shared" si="282"/>
        <v>255</v>
      </c>
      <c r="AX1008" s="139">
        <f t="shared" si="301"/>
        <v>79.324255577981091</v>
      </c>
    </row>
    <row r="1009" spans="1:50" ht="16.5" customHeight="1" x14ac:dyDescent="0.3">
      <c r="A1009" s="647"/>
      <c r="B1009" s="810">
        <f>+A5</f>
        <v>2016</v>
      </c>
      <c r="C1009" s="787"/>
      <c r="D1009" s="787"/>
      <c r="E1009" s="787"/>
      <c r="F1009" s="787"/>
      <c r="G1009" s="787"/>
      <c r="H1009" s="787"/>
      <c r="I1009" s="787"/>
      <c r="J1009" s="787"/>
      <c r="K1009" s="787"/>
      <c r="L1009" s="787"/>
      <c r="M1009" s="787"/>
      <c r="N1009" s="787"/>
      <c r="O1009" s="787"/>
      <c r="P1009" s="787"/>
      <c r="R1009" s="561"/>
      <c r="AC1009">
        <v>22</v>
      </c>
      <c r="AD1009" s="139">
        <f>IF($AF$985=1,VLOOKUP($AD$985,$A$1015:$P$1026,12,FALSE),VLOOKUP($AD$985,$A$988:$S$999,3,FALSE))</f>
        <v>196</v>
      </c>
      <c r="AE1009" s="139">
        <f t="shared" si="284"/>
        <v>20.03494623655914</v>
      </c>
      <c r="AF1009" s="139">
        <f t="shared" si="285"/>
        <v>20.975806451612904</v>
      </c>
      <c r="AG1009" s="139">
        <f t="shared" si="286"/>
        <v>34.26478494623656</v>
      </c>
      <c r="AH1009" s="139">
        <f t="shared" si="287"/>
        <v>1.357750261275869</v>
      </c>
      <c r="AI1009" s="139">
        <f t="shared" si="288"/>
        <v>11.658602150537634</v>
      </c>
      <c r="AJ1009" s="139">
        <f t="shared" si="289"/>
        <v>6.80510752688172</v>
      </c>
      <c r="AK1009" s="139">
        <f t="shared" si="290"/>
        <v>8.26747311827957</v>
      </c>
      <c r="AL1009" s="139">
        <f t="shared" si="291"/>
        <v>7.6895161290322589</v>
      </c>
      <c r="AM1009" s="139">
        <f t="shared" si="292"/>
        <v>2.3508064516129035</v>
      </c>
      <c r="AN1009" s="139">
        <f t="shared" si="293"/>
        <v>2.7688172043010755</v>
      </c>
      <c r="AO1009" s="139">
        <f t="shared" si="294"/>
        <v>5.600806451612903</v>
      </c>
      <c r="AP1009" s="139">
        <f t="shared" si="295"/>
        <v>1.0188172043010753</v>
      </c>
      <c r="AQ1009" s="139">
        <f t="shared" si="296"/>
        <v>1.810483870967742</v>
      </c>
      <c r="AR1009" s="139">
        <f t="shared" si="297"/>
        <v>2.411290322580645</v>
      </c>
      <c r="AS1009" s="139">
        <f t="shared" si="298"/>
        <v>323.01500832579205</v>
      </c>
      <c r="AT1009" s="139">
        <f t="shared" si="299"/>
        <v>11.309247252189014</v>
      </c>
      <c r="AU1009" s="139">
        <f t="shared" si="300"/>
        <v>334.32425557798109</v>
      </c>
      <c r="AW1009" s="139">
        <f t="shared" si="282"/>
        <v>255</v>
      </c>
      <c r="AX1009" s="139">
        <f t="shared" si="301"/>
        <v>79.324255577981091</v>
      </c>
    </row>
    <row r="1010" spans="1:50" ht="15.75" customHeight="1" x14ac:dyDescent="0.3">
      <c r="A1010" s="647"/>
      <c r="B1010" s="786" t="s">
        <v>1199</v>
      </c>
      <c r="C1010" s="786"/>
      <c r="D1010" s="786"/>
      <c r="E1010" s="786"/>
      <c r="F1010" s="786"/>
      <c r="G1010" s="786"/>
      <c r="H1010" s="786"/>
      <c r="I1010" s="786"/>
      <c r="J1010" s="786"/>
      <c r="K1010" s="786"/>
      <c r="L1010" s="786"/>
      <c r="M1010" s="786"/>
      <c r="N1010" s="786"/>
      <c r="O1010" s="786"/>
      <c r="P1010" s="786"/>
      <c r="R1010" s="561"/>
      <c r="AC1010">
        <v>23</v>
      </c>
      <c r="AD1010" s="139">
        <f>IF($AF$985=1,VLOOKUP($AD$985,$A$1015:$P$1026,12,FALSE),IF(OR($AD$985="JAN",$AD$985="FEB",$AD$985="NOV",$AD$985="DEC"),VLOOKUP($AD$985,$A$988:$S$999,3,FALSE),VLOOKUP($AD$985,$A$988:$S$999,2,FALSE)))</f>
        <v>294</v>
      </c>
      <c r="AE1010" s="139">
        <f t="shared" si="284"/>
        <v>20.03494623655914</v>
      </c>
      <c r="AF1010" s="139">
        <f t="shared" si="285"/>
        <v>20.975806451612904</v>
      </c>
      <c r="AG1010" s="139">
        <f t="shared" si="286"/>
        <v>34.26478494623656</v>
      </c>
      <c r="AH1010" s="139">
        <f t="shared" si="287"/>
        <v>1.357750261275869</v>
      </c>
      <c r="AI1010" s="139">
        <f t="shared" si="288"/>
        <v>11.658602150537634</v>
      </c>
      <c r="AJ1010" s="139">
        <f t="shared" si="289"/>
        <v>6.80510752688172</v>
      </c>
      <c r="AK1010" s="139">
        <f t="shared" si="290"/>
        <v>8.26747311827957</v>
      </c>
      <c r="AL1010" s="139">
        <f t="shared" si="291"/>
        <v>7.6895161290322589</v>
      </c>
      <c r="AM1010" s="139">
        <f t="shared" si="292"/>
        <v>2.3508064516129035</v>
      </c>
      <c r="AN1010" s="139">
        <f t="shared" si="293"/>
        <v>2.7688172043010755</v>
      </c>
      <c r="AO1010" s="139">
        <f t="shared" si="294"/>
        <v>5.600806451612903</v>
      </c>
      <c r="AP1010" s="139">
        <f t="shared" si="295"/>
        <v>1.0188172043010753</v>
      </c>
      <c r="AQ1010" s="139">
        <f t="shared" si="296"/>
        <v>1.810483870967742</v>
      </c>
      <c r="AR1010" s="139">
        <f t="shared" si="297"/>
        <v>2.411290322580645</v>
      </c>
      <c r="AS1010" s="139">
        <f t="shared" si="298"/>
        <v>421.01500832579211</v>
      </c>
      <c r="AT1010" s="139">
        <f t="shared" si="299"/>
        <v>14.740376463363901</v>
      </c>
      <c r="AU1010" s="139">
        <f t="shared" si="300"/>
        <v>435.75538478915598</v>
      </c>
      <c r="AW1010" s="139">
        <f t="shared" si="282"/>
        <v>255</v>
      </c>
      <c r="AX1010" s="139">
        <f t="shared" si="301"/>
        <v>180.75538478915598</v>
      </c>
    </row>
    <row r="1011" spans="1:50" ht="15.75" customHeight="1" thickBot="1" x14ac:dyDescent="0.35">
      <c r="A1011" s="647"/>
      <c r="R1011" s="561"/>
      <c r="AC1011">
        <v>24</v>
      </c>
      <c r="AD1011" s="139">
        <f>IF($AF$985=1,VLOOKUP($AD$985,$A$1015:$P$1026,12,FALSE),VLOOKUP($AD$985,$A$988:$S$999,2,FALSE))</f>
        <v>294</v>
      </c>
      <c r="AE1011" s="139">
        <f t="shared" si="284"/>
        <v>20.03494623655914</v>
      </c>
      <c r="AF1011" s="139">
        <f t="shared" si="285"/>
        <v>20.975806451612904</v>
      </c>
      <c r="AG1011" s="139">
        <f t="shared" si="286"/>
        <v>34.26478494623656</v>
      </c>
      <c r="AH1011" s="139">
        <f t="shared" si="287"/>
        <v>1.357750261275869</v>
      </c>
      <c r="AI1011" s="139">
        <f t="shared" si="288"/>
        <v>11.658602150537634</v>
      </c>
      <c r="AJ1011" s="139">
        <f t="shared" si="289"/>
        <v>6.80510752688172</v>
      </c>
      <c r="AK1011" s="139">
        <f t="shared" si="290"/>
        <v>8.26747311827957</v>
      </c>
      <c r="AL1011" s="139">
        <f t="shared" si="291"/>
        <v>7.6895161290322589</v>
      </c>
      <c r="AM1011" s="139">
        <f t="shared" si="292"/>
        <v>2.3508064516129035</v>
      </c>
      <c r="AN1011" s="139">
        <f t="shared" si="293"/>
        <v>2.7688172043010755</v>
      </c>
      <c r="AO1011" s="139">
        <f t="shared" si="294"/>
        <v>5.600806451612903</v>
      </c>
      <c r="AP1011" s="139">
        <f t="shared" si="295"/>
        <v>1.0188172043010753</v>
      </c>
      <c r="AQ1011" s="139">
        <f t="shared" si="296"/>
        <v>1.810483870967742</v>
      </c>
      <c r="AR1011" s="139">
        <f t="shared" si="297"/>
        <v>2.411290322580645</v>
      </c>
      <c r="AS1011" s="139">
        <f t="shared" si="298"/>
        <v>421.01500832579211</v>
      </c>
      <c r="AT1011" s="139">
        <f t="shared" si="299"/>
        <v>14.740376463363901</v>
      </c>
      <c r="AU1011" s="139">
        <f t="shared" si="300"/>
        <v>435.75538478915598</v>
      </c>
      <c r="AW1011" s="139">
        <f t="shared" si="282"/>
        <v>255</v>
      </c>
      <c r="AX1011" s="139">
        <f t="shared" si="301"/>
        <v>180.75538478915598</v>
      </c>
    </row>
    <row r="1012" spans="1:50" ht="15.75" customHeight="1" x14ac:dyDescent="0.3">
      <c r="A1012" s="647"/>
      <c r="B1012" s="814" t="s">
        <v>2883</v>
      </c>
      <c r="C1012" s="815"/>
      <c r="D1012" s="815"/>
      <c r="E1012" s="815"/>
      <c r="F1012" s="815"/>
      <c r="G1012" s="815"/>
      <c r="H1012" s="815"/>
      <c r="I1012" s="815"/>
      <c r="J1012" s="815"/>
      <c r="K1012" s="815"/>
      <c r="L1012" s="816"/>
      <c r="M1012" s="817" t="s">
        <v>2884</v>
      </c>
      <c r="N1012" s="815"/>
      <c r="O1012" s="815"/>
      <c r="P1012" s="815"/>
      <c r="Q1012" s="139" t="s">
        <v>2899</v>
      </c>
      <c r="R1012" s="643" t="s">
        <v>2898</v>
      </c>
      <c r="AC1012" t="s">
        <v>2356</v>
      </c>
      <c r="AD1012" s="139">
        <f>SUM(AD988:AD1011)</f>
        <v>5488</v>
      </c>
      <c r="AE1012" s="139">
        <f>SUM(AE988:AE1011)</f>
        <v>480.83870967741962</v>
      </c>
      <c r="AF1012" s="139">
        <f t="shared" ref="AF1012:AW1012" si="313">SUM(AF988:AF1011)</f>
        <v>503.41935483870986</v>
      </c>
      <c r="AG1012" s="139">
        <f t="shared" si="313"/>
        <v>822.35483870967721</v>
      </c>
      <c r="AH1012" s="139">
        <f t="shared" si="313"/>
        <v>32.58600627062085</v>
      </c>
      <c r="AI1012" s="139">
        <f t="shared" si="313"/>
        <v>279.80645161290329</v>
      </c>
      <c r="AJ1012" s="139">
        <f t="shared" si="313"/>
        <v>163.32258064516137</v>
      </c>
      <c r="AK1012" s="139">
        <f t="shared" si="313"/>
        <v>198.41935483870978</v>
      </c>
      <c r="AL1012" s="139">
        <f t="shared" si="313"/>
        <v>184.54838709677418</v>
      </c>
      <c r="AM1012" s="139">
        <f t="shared" si="313"/>
        <v>56.419354838709687</v>
      </c>
      <c r="AN1012" s="139">
        <f t="shared" si="313"/>
        <v>66.451612903225779</v>
      </c>
      <c r="AO1012" s="139">
        <f t="shared" si="313"/>
        <v>134.41935483870961</v>
      </c>
      <c r="AP1012" s="139">
        <f t="shared" si="313"/>
        <v>24.451612903225815</v>
      </c>
      <c r="AQ1012" s="139">
        <f t="shared" si="313"/>
        <v>43.451612903225836</v>
      </c>
      <c r="AR1012" s="139">
        <f t="shared" si="313"/>
        <v>57.870967741935502</v>
      </c>
      <c r="AS1012" s="139">
        <f t="shared" si="313"/>
        <v>8536.3601998190115</v>
      </c>
      <c r="AT1012" s="139">
        <f t="shared" si="313"/>
        <v>298.87096774193537</v>
      </c>
      <c r="AU1012" s="139">
        <f t="shared" si="313"/>
        <v>8835.2311675609417</v>
      </c>
      <c r="AW1012" s="139">
        <f t="shared" si="313"/>
        <v>6120</v>
      </c>
      <c r="AX1012" s="139">
        <f>SUMIF(AX988:AX1011,"&gt;0")</f>
        <v>2715.2311675609458</v>
      </c>
    </row>
    <row r="1013" spans="1:50" ht="15.75" customHeight="1" thickBot="1" x14ac:dyDescent="0.35">
      <c r="A1013" s="647" t="s">
        <v>249</v>
      </c>
      <c r="B1013" s="658" t="s">
        <v>2890</v>
      </c>
      <c r="C1013" s="659" t="s">
        <v>2886</v>
      </c>
      <c r="D1013" s="659" t="s">
        <v>2885</v>
      </c>
      <c r="E1013" s="659" t="s">
        <v>2914</v>
      </c>
      <c r="F1013" s="659" t="s">
        <v>2886</v>
      </c>
      <c r="G1013" s="659" t="s">
        <v>2885</v>
      </c>
      <c r="H1013" s="659" t="s">
        <v>2915</v>
      </c>
      <c r="I1013" s="659" t="s">
        <v>2886</v>
      </c>
      <c r="J1013" s="659" t="s">
        <v>2885</v>
      </c>
      <c r="K1013" s="659" t="s">
        <v>2915</v>
      </c>
      <c r="L1013" s="660" t="s">
        <v>2897</v>
      </c>
      <c r="M1013" s="658" t="s">
        <v>2893</v>
      </c>
      <c r="N1013" s="659" t="s">
        <v>2886</v>
      </c>
      <c r="O1013" s="659" t="s">
        <v>2886</v>
      </c>
      <c r="P1013" s="660" t="s">
        <v>2897</v>
      </c>
      <c r="Q1013" s="668" t="s">
        <v>2356</v>
      </c>
      <c r="R1013" s="672" t="s">
        <v>2900</v>
      </c>
      <c r="S1013" s="139"/>
      <c r="AU1013" s="139"/>
      <c r="AW1013" s="139"/>
      <c r="AX1013" s="139"/>
    </row>
    <row r="1014" spans="1:50" ht="15.75" customHeight="1" thickTop="1" x14ac:dyDescent="0.3">
      <c r="A1014" s="647"/>
      <c r="B1014" s="661"/>
      <c r="C1014" s="664" t="s">
        <v>2895</v>
      </c>
      <c r="D1014" s="664" t="s">
        <v>2895</v>
      </c>
      <c r="E1014" s="664" t="s">
        <v>2895</v>
      </c>
      <c r="F1014" s="662" t="s">
        <v>2696</v>
      </c>
      <c r="G1014" s="662" t="s">
        <v>2696</v>
      </c>
      <c r="H1014" s="662" t="s">
        <v>2696</v>
      </c>
      <c r="I1014" s="662" t="s">
        <v>2896</v>
      </c>
      <c r="J1014" s="662" t="s">
        <v>2896</v>
      </c>
      <c r="K1014" s="662" t="s">
        <v>2896</v>
      </c>
      <c r="L1014" s="663" t="s">
        <v>2892</v>
      </c>
      <c r="M1014" s="665"/>
      <c r="N1014" s="664" t="s">
        <v>2895</v>
      </c>
      <c r="O1014" s="662" t="s">
        <v>2696</v>
      </c>
      <c r="P1014" s="663" t="s">
        <v>2896</v>
      </c>
      <c r="Q1014" s="668" t="s">
        <v>2896</v>
      </c>
      <c r="R1014" s="672" t="s">
        <v>2896</v>
      </c>
      <c r="S1014" s="139"/>
    </row>
    <row r="1015" spans="1:50" ht="15.75" customHeight="1" x14ac:dyDescent="0.3">
      <c r="A1015" s="647" t="s">
        <v>2843</v>
      </c>
      <c r="B1015" s="642">
        <f ca="1">+$B$10-M1015</f>
        <v>26</v>
      </c>
      <c r="C1015" s="656">
        <v>5</v>
      </c>
      <c r="D1015" s="656">
        <v>0</v>
      </c>
      <c r="E1015" s="656" t="s">
        <v>2916</v>
      </c>
      <c r="F1015" s="139">
        <f t="shared" ref="F1015:F1026" si="314">+I1015/8</f>
        <v>245</v>
      </c>
      <c r="G1015" s="139">
        <f>+J1015/16</f>
        <v>0</v>
      </c>
      <c r="H1015" s="139" t="s">
        <v>2916</v>
      </c>
      <c r="I1015" s="139">
        <f t="shared" ref="I1015:I1026" si="315">+C1015*49*8</f>
        <v>1960</v>
      </c>
      <c r="J1015" s="139">
        <f>+D1015*49*16</f>
        <v>0</v>
      </c>
      <c r="K1015" s="139" t="s">
        <v>2916</v>
      </c>
      <c r="L1015" s="643">
        <f t="shared" ref="L1015:L1026" si="316">+J1015+I1015</f>
        <v>1960</v>
      </c>
      <c r="M1015" s="642">
        <f ca="1">SUMPRODUCT(--(WEEKDAY(ROW(INDIRECT(DATE($B$1009,MonthFromText(A1015),1)&amp;":"&amp;DATE($B$1009,MonthFromText(A1015),$B$10))),1)=1))</f>
        <v>5</v>
      </c>
      <c r="N1015" s="656">
        <v>5</v>
      </c>
      <c r="O1015">
        <f t="shared" ref="O1015:O1026" si="317">+P1015/24</f>
        <v>245</v>
      </c>
      <c r="P1015" s="643">
        <f t="shared" ref="P1015:P1026" si="318">+N1015*49*24</f>
        <v>5880</v>
      </c>
      <c r="Q1015" s="139">
        <f t="shared" ref="Q1015:Q1026" ca="1" si="319">+(L1015*B1015)+(M1015*P1015)</f>
        <v>80360</v>
      </c>
      <c r="R1015" s="643">
        <f t="shared" ref="R1015:R1026" ca="1" si="320">+Q1015-B908</f>
        <v>-65428</v>
      </c>
      <c r="S1015" s="139"/>
    </row>
    <row r="1016" spans="1:50" ht="15.75" customHeight="1" x14ac:dyDescent="0.3">
      <c r="A1016" s="647" t="s">
        <v>2091</v>
      </c>
      <c r="B1016" s="642">
        <f ca="1">+$C$10-M1016</f>
        <v>25</v>
      </c>
      <c r="C1016" s="656">
        <v>6</v>
      </c>
      <c r="D1016" s="656">
        <v>3</v>
      </c>
      <c r="E1016" s="656" t="s">
        <v>2916</v>
      </c>
      <c r="F1016" s="139">
        <f t="shared" si="314"/>
        <v>294</v>
      </c>
      <c r="G1016" s="139">
        <f>+J1016/16</f>
        <v>147</v>
      </c>
      <c r="H1016" s="139" t="s">
        <v>2916</v>
      </c>
      <c r="I1016" s="139">
        <f t="shared" si="315"/>
        <v>2352</v>
      </c>
      <c r="J1016" s="139">
        <f>+D1016*49*16</f>
        <v>2352</v>
      </c>
      <c r="K1016" s="139" t="s">
        <v>2916</v>
      </c>
      <c r="L1016" s="643">
        <f t="shared" si="316"/>
        <v>4704</v>
      </c>
      <c r="M1016" s="642">
        <f ca="1">SUMPRODUCT(--(WEEKDAY(ROW(INDIRECT(DATE($B$1009,MonthFromText(A1016),1)&amp;":"&amp;DATE($B$1009,MonthFromText(A1016),$C$10))),1)=1))</f>
        <v>4</v>
      </c>
      <c r="N1016" s="656">
        <v>6</v>
      </c>
      <c r="O1016">
        <f t="shared" si="317"/>
        <v>294</v>
      </c>
      <c r="P1016" s="643">
        <f t="shared" si="318"/>
        <v>7056</v>
      </c>
      <c r="Q1016" s="139">
        <f t="shared" ca="1" si="319"/>
        <v>145824</v>
      </c>
      <c r="R1016" s="643">
        <f t="shared" ca="1" si="320"/>
        <v>36773</v>
      </c>
      <c r="S1016" s="139"/>
    </row>
    <row r="1017" spans="1:50" ht="16.5" customHeight="1" x14ac:dyDescent="0.3">
      <c r="A1017" s="647" t="s">
        <v>2234</v>
      </c>
      <c r="B1017" s="642">
        <f ca="1">+$D$10-M1017</f>
        <v>27</v>
      </c>
      <c r="C1017" s="656">
        <v>6</v>
      </c>
      <c r="D1017" s="656">
        <v>4</v>
      </c>
      <c r="E1017" s="656" t="s">
        <v>2916</v>
      </c>
      <c r="F1017" s="139">
        <f t="shared" si="314"/>
        <v>294</v>
      </c>
      <c r="G1017" s="139">
        <f>+J1017/16</f>
        <v>196</v>
      </c>
      <c r="H1017" s="139" t="s">
        <v>2916</v>
      </c>
      <c r="I1017" s="139">
        <f t="shared" si="315"/>
        <v>2352</v>
      </c>
      <c r="J1017" s="139">
        <f>+D1017*49*16</f>
        <v>3136</v>
      </c>
      <c r="K1017" s="139" t="s">
        <v>2916</v>
      </c>
      <c r="L1017" s="643">
        <f t="shared" si="316"/>
        <v>5488</v>
      </c>
      <c r="M1017" s="642">
        <f ca="1">SUMPRODUCT(--(WEEKDAY(ROW(INDIRECT(DATE($B$1009,MonthFromText(A1017),1)&amp;":"&amp;DATE($B$1009,MonthFromText(A1017),$D$10))),1)=1))</f>
        <v>4</v>
      </c>
      <c r="N1017" s="656">
        <v>6</v>
      </c>
      <c r="O1017">
        <f t="shared" si="317"/>
        <v>294</v>
      </c>
      <c r="P1017" s="643">
        <f t="shared" si="318"/>
        <v>7056</v>
      </c>
      <c r="Q1017" s="139">
        <f t="shared" ca="1" si="319"/>
        <v>176400</v>
      </c>
      <c r="R1017" s="643">
        <f t="shared" ca="1" si="320"/>
        <v>59208</v>
      </c>
      <c r="S1017" s="139"/>
    </row>
    <row r="1018" spans="1:50" ht="16.5" customHeight="1" x14ac:dyDescent="0.3">
      <c r="A1018" s="647" t="s">
        <v>2235</v>
      </c>
      <c r="B1018" s="642">
        <f ca="1">+$F$10-M1018</f>
        <v>26</v>
      </c>
      <c r="C1018" s="656">
        <v>6</v>
      </c>
      <c r="D1018" s="656">
        <v>4</v>
      </c>
      <c r="E1018" s="656" t="s">
        <v>2916</v>
      </c>
      <c r="F1018" s="139">
        <f t="shared" si="314"/>
        <v>294</v>
      </c>
      <c r="G1018" s="139">
        <f>+J1018/16</f>
        <v>196</v>
      </c>
      <c r="H1018" s="139" t="s">
        <v>2916</v>
      </c>
      <c r="I1018" s="139">
        <f t="shared" si="315"/>
        <v>2352</v>
      </c>
      <c r="J1018" s="139">
        <f>+D1018*49*16</f>
        <v>3136</v>
      </c>
      <c r="K1018" s="139" t="s">
        <v>2916</v>
      </c>
      <c r="L1018" s="643">
        <f t="shared" si="316"/>
        <v>5488</v>
      </c>
      <c r="M1018" s="642">
        <f ca="1">SUMPRODUCT(--(WEEKDAY(ROW(INDIRECT(DATE($B$1009,MonthFromText(A1018),1)&amp;":"&amp;DATE($B$1009,MonthFromText(A1018),$F$10))),1)=1))</f>
        <v>4</v>
      </c>
      <c r="N1018" s="656">
        <v>6</v>
      </c>
      <c r="O1018">
        <f t="shared" si="317"/>
        <v>294</v>
      </c>
      <c r="P1018" s="643">
        <f t="shared" si="318"/>
        <v>7056</v>
      </c>
      <c r="Q1018" s="139">
        <f t="shared" ca="1" si="319"/>
        <v>170912</v>
      </c>
      <c r="R1018" s="643">
        <f t="shared" ca="1" si="320"/>
        <v>11041</v>
      </c>
      <c r="S1018" s="139"/>
    </row>
    <row r="1019" spans="1:50" ht="15.75" customHeight="1" x14ac:dyDescent="0.3">
      <c r="A1019" s="647" t="s">
        <v>2236</v>
      </c>
      <c r="B1019" s="642">
        <f ca="1">+$G$10-M1019</f>
        <v>26</v>
      </c>
      <c r="C1019" s="656">
        <v>6</v>
      </c>
      <c r="D1019" s="656">
        <v>4</v>
      </c>
      <c r="E1019" s="656" t="s">
        <v>2916</v>
      </c>
      <c r="F1019" s="139">
        <f t="shared" si="314"/>
        <v>294</v>
      </c>
      <c r="G1019" s="139">
        <f>+J1019/16</f>
        <v>196</v>
      </c>
      <c r="H1019" s="139" t="s">
        <v>2916</v>
      </c>
      <c r="I1019" s="139">
        <f t="shared" si="315"/>
        <v>2352</v>
      </c>
      <c r="J1019" s="139">
        <f>+D1019*49*16</f>
        <v>3136</v>
      </c>
      <c r="K1019" s="139" t="s">
        <v>2916</v>
      </c>
      <c r="L1019" s="643">
        <f t="shared" si="316"/>
        <v>5488</v>
      </c>
      <c r="M1019" s="642">
        <f ca="1">SUMPRODUCT(--(WEEKDAY(ROW(INDIRECT(DATE($B$1009,MonthFromText(A1019),1)&amp;":"&amp;DATE($B$1009,MonthFromText(A1019),$G$10))),1)=1))</f>
        <v>5</v>
      </c>
      <c r="N1019" s="656">
        <v>6</v>
      </c>
      <c r="O1019">
        <f t="shared" si="317"/>
        <v>294</v>
      </c>
      <c r="P1019" s="643">
        <f t="shared" si="318"/>
        <v>7056</v>
      </c>
      <c r="Q1019" s="139">
        <f t="shared" ca="1" si="319"/>
        <v>177968</v>
      </c>
      <c r="R1019" s="643">
        <f t="shared" ca="1" si="320"/>
        <v>7505</v>
      </c>
      <c r="S1019" s="139"/>
    </row>
    <row r="1020" spans="1:50" ht="15.75" customHeight="1" x14ac:dyDescent="0.3">
      <c r="A1020" s="647" t="s">
        <v>2237</v>
      </c>
      <c r="B1020" s="642">
        <f ca="1">+$H$10-M1020</f>
        <v>26</v>
      </c>
      <c r="C1020" s="656">
        <v>6</v>
      </c>
      <c r="D1020" s="656">
        <v>2</v>
      </c>
      <c r="E1020" s="656">
        <v>0</v>
      </c>
      <c r="F1020" s="139">
        <f t="shared" si="314"/>
        <v>294</v>
      </c>
      <c r="G1020" s="139">
        <f t="shared" ref="G1020:H1022" si="321">+J1020/8</f>
        <v>98</v>
      </c>
      <c r="H1020" s="139">
        <f t="shared" si="321"/>
        <v>0</v>
      </c>
      <c r="I1020" s="139">
        <f t="shared" si="315"/>
        <v>2352</v>
      </c>
      <c r="J1020" s="139">
        <f t="shared" ref="J1020:K1022" si="322">+D1020*49*8</f>
        <v>784</v>
      </c>
      <c r="K1020" s="139">
        <f t="shared" si="322"/>
        <v>0</v>
      </c>
      <c r="L1020" s="643">
        <f t="shared" si="316"/>
        <v>3136</v>
      </c>
      <c r="M1020" s="642">
        <f ca="1">SUMPRODUCT(--(WEEKDAY(ROW(INDIRECT(DATE($B$1009,MonthFromText(A1020),1)&amp;":"&amp;DATE($B$1009,MonthFromText(A1020),$H$10))),1)=1))</f>
        <v>4</v>
      </c>
      <c r="N1020" s="656">
        <v>5</v>
      </c>
      <c r="O1020">
        <f t="shared" si="317"/>
        <v>245</v>
      </c>
      <c r="P1020" s="643">
        <f t="shared" si="318"/>
        <v>5880</v>
      </c>
      <c r="Q1020" s="139">
        <f t="shared" ca="1" si="319"/>
        <v>105056</v>
      </c>
      <c r="R1020" s="643">
        <f t="shared" ca="1" si="320"/>
        <v>17360</v>
      </c>
      <c r="S1020" s="139"/>
    </row>
    <row r="1021" spans="1:50" ht="15.75" customHeight="1" x14ac:dyDescent="0.3">
      <c r="A1021" s="647" t="s">
        <v>1504</v>
      </c>
      <c r="B1021" s="642">
        <f ca="1">+$J$10-M1021</f>
        <v>26</v>
      </c>
      <c r="C1021" s="656">
        <v>3</v>
      </c>
      <c r="D1021" s="656">
        <v>2</v>
      </c>
      <c r="E1021" s="656">
        <v>0</v>
      </c>
      <c r="F1021" s="139">
        <f t="shared" si="314"/>
        <v>147</v>
      </c>
      <c r="G1021" s="139">
        <f t="shared" si="321"/>
        <v>98</v>
      </c>
      <c r="H1021" s="139">
        <f t="shared" si="321"/>
        <v>0</v>
      </c>
      <c r="I1021" s="139">
        <f t="shared" si="315"/>
        <v>1176</v>
      </c>
      <c r="J1021" s="139">
        <f t="shared" si="322"/>
        <v>784</v>
      </c>
      <c r="K1021" s="139">
        <f t="shared" si="322"/>
        <v>0</v>
      </c>
      <c r="L1021" s="643">
        <f t="shared" si="316"/>
        <v>1960</v>
      </c>
      <c r="M1021" s="642">
        <f ca="1">SUMPRODUCT(--(WEEKDAY(ROW(INDIRECT(DATE($B$1009,MonthFromText(A1021),1)&amp;":"&amp;DATE($B$1009,MonthFromText(A1021),$J$10))),1)=1))</f>
        <v>5</v>
      </c>
      <c r="N1021" s="656">
        <v>3</v>
      </c>
      <c r="O1021">
        <f t="shared" si="317"/>
        <v>147</v>
      </c>
      <c r="P1021" s="643">
        <f t="shared" si="318"/>
        <v>3528</v>
      </c>
      <c r="Q1021" s="139">
        <f t="shared" ca="1" si="319"/>
        <v>68600</v>
      </c>
      <c r="R1021" s="643">
        <f t="shared" ca="1" si="320"/>
        <v>-5494</v>
      </c>
      <c r="S1021" s="139"/>
    </row>
    <row r="1022" spans="1:50" ht="15.75" customHeight="1" x14ac:dyDescent="0.3">
      <c r="A1022" s="647" t="s">
        <v>1505</v>
      </c>
      <c r="B1022" s="642">
        <f ca="1">+$K$10-M1022</f>
        <v>27</v>
      </c>
      <c r="C1022" s="656">
        <v>3</v>
      </c>
      <c r="D1022" s="656">
        <v>2</v>
      </c>
      <c r="E1022" s="656">
        <v>0</v>
      </c>
      <c r="F1022" s="139">
        <f t="shared" si="314"/>
        <v>147</v>
      </c>
      <c r="G1022" s="139">
        <f t="shared" si="321"/>
        <v>98</v>
      </c>
      <c r="H1022" s="139">
        <f t="shared" si="321"/>
        <v>0</v>
      </c>
      <c r="I1022" s="139">
        <f t="shared" si="315"/>
        <v>1176</v>
      </c>
      <c r="J1022" s="139">
        <f t="shared" si="322"/>
        <v>784</v>
      </c>
      <c r="K1022" s="139">
        <f t="shared" si="322"/>
        <v>0</v>
      </c>
      <c r="L1022" s="643">
        <f t="shared" si="316"/>
        <v>1960</v>
      </c>
      <c r="M1022" s="642">
        <f ca="1">SUMPRODUCT(--(WEEKDAY(ROW(INDIRECT(DATE($B$1009,MonthFromText(A1022),1)&amp;":"&amp;DATE($B$1009,MonthFromText(A1022),$K$10))),1)=1))</f>
        <v>4</v>
      </c>
      <c r="N1022" s="656">
        <v>3</v>
      </c>
      <c r="O1022">
        <f t="shared" si="317"/>
        <v>147</v>
      </c>
      <c r="P1022" s="643">
        <f t="shared" si="318"/>
        <v>3528</v>
      </c>
      <c r="Q1022" s="139">
        <f t="shared" ca="1" si="319"/>
        <v>67032</v>
      </c>
      <c r="R1022" s="643">
        <f t="shared" ca="1" si="320"/>
        <v>2252</v>
      </c>
      <c r="S1022" s="139"/>
    </row>
    <row r="1023" spans="1:50" ht="15.75" customHeight="1" x14ac:dyDescent="0.3">
      <c r="A1023" s="647" t="s">
        <v>1506</v>
      </c>
      <c r="B1023" s="642">
        <f ca="1">+$L$10-M1023</f>
        <v>26</v>
      </c>
      <c r="C1023" s="656">
        <v>5</v>
      </c>
      <c r="D1023" s="656">
        <v>3</v>
      </c>
      <c r="E1023" s="656" t="s">
        <v>2916</v>
      </c>
      <c r="F1023" s="139">
        <f t="shared" si="314"/>
        <v>245</v>
      </c>
      <c r="G1023" s="139">
        <f>+J1023/16</f>
        <v>147</v>
      </c>
      <c r="H1023" s="139" t="s">
        <v>2916</v>
      </c>
      <c r="I1023" s="139">
        <f t="shared" si="315"/>
        <v>1960</v>
      </c>
      <c r="J1023" s="139">
        <f>+D1023*49*16</f>
        <v>2352</v>
      </c>
      <c r="K1023" s="139" t="s">
        <v>2916</v>
      </c>
      <c r="L1023" s="643">
        <f t="shared" si="316"/>
        <v>4312</v>
      </c>
      <c r="M1023" s="642">
        <f ca="1">SUMPRODUCT(--(WEEKDAY(ROW(INDIRECT(DATE($B$1009,MonthFromText(A1023),1)&amp;":"&amp;DATE($B$1009,MonthFromText(A1023),$L$10))),1)=1))</f>
        <v>4</v>
      </c>
      <c r="N1023" s="656">
        <v>5</v>
      </c>
      <c r="O1023">
        <f t="shared" si="317"/>
        <v>245</v>
      </c>
      <c r="P1023" s="643">
        <f t="shared" si="318"/>
        <v>5880</v>
      </c>
      <c r="Q1023" s="139">
        <f t="shared" ca="1" si="319"/>
        <v>135632</v>
      </c>
      <c r="R1023" s="643">
        <f t="shared" ca="1" si="320"/>
        <v>10029</v>
      </c>
      <c r="S1023" s="139"/>
    </row>
    <row r="1024" spans="1:50" ht="15.75" customHeight="1" x14ac:dyDescent="0.3">
      <c r="A1024" s="647" t="s">
        <v>1507</v>
      </c>
      <c r="B1024" s="642">
        <f ca="1">+$N$10-M1024</f>
        <v>26</v>
      </c>
      <c r="C1024" s="656">
        <v>5</v>
      </c>
      <c r="D1024" s="656">
        <v>3</v>
      </c>
      <c r="E1024" s="656" t="s">
        <v>2916</v>
      </c>
      <c r="F1024" s="139">
        <f t="shared" si="314"/>
        <v>245</v>
      </c>
      <c r="G1024" s="139">
        <f>+J1024/16</f>
        <v>147</v>
      </c>
      <c r="H1024" s="139" t="s">
        <v>2916</v>
      </c>
      <c r="I1024" s="139">
        <f t="shared" si="315"/>
        <v>1960</v>
      </c>
      <c r="J1024" s="139">
        <f>+D1024*49*16</f>
        <v>2352</v>
      </c>
      <c r="K1024" s="139" t="s">
        <v>2916</v>
      </c>
      <c r="L1024" s="643">
        <f t="shared" si="316"/>
        <v>4312</v>
      </c>
      <c r="M1024" s="642">
        <f ca="1">SUMPRODUCT(--(WEEKDAY(ROW(INDIRECT(DATE($B$1009,MonthFromText(A1024),1)&amp;":"&amp;DATE($B$1009,MonthFromText(A1024),$N$10))),1)=1))</f>
        <v>5</v>
      </c>
      <c r="N1024" s="656">
        <v>5</v>
      </c>
      <c r="O1024">
        <f t="shared" si="317"/>
        <v>245</v>
      </c>
      <c r="P1024" s="643">
        <f t="shared" si="318"/>
        <v>5880</v>
      </c>
      <c r="Q1024" s="139">
        <f t="shared" ca="1" si="319"/>
        <v>141512</v>
      </c>
      <c r="R1024" s="643">
        <f t="shared" ca="1" si="320"/>
        <v>13813</v>
      </c>
      <c r="S1024" s="139"/>
    </row>
    <row r="1025" spans="1:19" ht="15.75" customHeight="1" x14ac:dyDescent="0.3">
      <c r="A1025" s="647" t="s">
        <v>1508</v>
      </c>
      <c r="B1025" s="642">
        <f ca="1">+$O$10-M1025</f>
        <v>26</v>
      </c>
      <c r="C1025" s="656">
        <v>5</v>
      </c>
      <c r="D1025" s="656">
        <v>3</v>
      </c>
      <c r="E1025" s="656" t="s">
        <v>2916</v>
      </c>
      <c r="F1025" s="139">
        <f t="shared" si="314"/>
        <v>245</v>
      </c>
      <c r="G1025" s="139">
        <f>+J1025/16</f>
        <v>147</v>
      </c>
      <c r="H1025" s="139" t="s">
        <v>2916</v>
      </c>
      <c r="I1025" s="139">
        <f t="shared" si="315"/>
        <v>1960</v>
      </c>
      <c r="J1025" s="139">
        <f>+D1025*49*16</f>
        <v>2352</v>
      </c>
      <c r="K1025" s="139" t="s">
        <v>2916</v>
      </c>
      <c r="L1025" s="643">
        <f t="shared" si="316"/>
        <v>4312</v>
      </c>
      <c r="M1025" s="642">
        <f ca="1">SUMPRODUCT(--(WEEKDAY(ROW(INDIRECT(DATE($B$1009,MonthFromText(A1025),1)&amp;":"&amp;DATE($B$1009,MonthFromText(A1025),$O$10))),1)=1))</f>
        <v>4</v>
      </c>
      <c r="N1025" s="656">
        <v>6</v>
      </c>
      <c r="O1025">
        <f t="shared" si="317"/>
        <v>294</v>
      </c>
      <c r="P1025" s="643">
        <f t="shared" si="318"/>
        <v>7056</v>
      </c>
      <c r="Q1025" s="139">
        <f t="shared" ca="1" si="319"/>
        <v>140336</v>
      </c>
      <c r="R1025" s="643">
        <f t="shared" ca="1" si="320"/>
        <v>7874</v>
      </c>
      <c r="S1025" s="139"/>
    </row>
    <row r="1026" spans="1:19" ht="15.75" customHeight="1" thickBot="1" x14ac:dyDescent="0.35">
      <c r="A1026" s="647" t="s">
        <v>1509</v>
      </c>
      <c r="B1026" s="644">
        <f ca="1">+$P$10-M1026</f>
        <v>27</v>
      </c>
      <c r="C1026" s="657">
        <v>6</v>
      </c>
      <c r="D1026" s="657">
        <v>2</v>
      </c>
      <c r="E1026" s="656" t="s">
        <v>2916</v>
      </c>
      <c r="F1026" s="139">
        <f t="shared" si="314"/>
        <v>294</v>
      </c>
      <c r="G1026" s="139">
        <f>+J1026/16</f>
        <v>98</v>
      </c>
      <c r="H1026" s="139" t="s">
        <v>2916</v>
      </c>
      <c r="I1026" s="139">
        <f t="shared" si="315"/>
        <v>2352</v>
      </c>
      <c r="J1026" s="139">
        <f>+D1026*49*16</f>
        <v>1568</v>
      </c>
      <c r="K1026" s="139" t="s">
        <v>2916</v>
      </c>
      <c r="L1026" s="643">
        <f t="shared" si="316"/>
        <v>3920</v>
      </c>
      <c r="M1026" s="644">
        <f ca="1">SUMPRODUCT(--(WEEKDAY(ROW(INDIRECT(DATE($B$1009,MonthFromText(A1026),1)&amp;":"&amp;DATE($B$1009,MonthFromText(A1026),$P$10))),1)=1))</f>
        <v>4</v>
      </c>
      <c r="N1026" s="657">
        <v>6</v>
      </c>
      <c r="O1026" s="581">
        <f t="shared" si="317"/>
        <v>294</v>
      </c>
      <c r="P1026" s="646">
        <f t="shared" si="318"/>
        <v>7056</v>
      </c>
      <c r="Q1026" s="666">
        <f t="shared" ca="1" si="319"/>
        <v>134064</v>
      </c>
      <c r="R1026" s="673">
        <f t="shared" ca="1" si="320"/>
        <v>21910</v>
      </c>
      <c r="S1026" s="139"/>
    </row>
    <row r="1027" spans="1:19" ht="15.75" customHeight="1" thickBot="1" x14ac:dyDescent="0.35">
      <c r="A1027" s="580"/>
      <c r="B1027" s="581"/>
      <c r="C1027" s="581"/>
      <c r="D1027" s="581"/>
      <c r="E1027" s="674"/>
      <c r="F1027" s="674"/>
      <c r="G1027" s="674"/>
      <c r="H1027" s="674"/>
      <c r="I1027" s="674"/>
      <c r="J1027" s="674"/>
      <c r="K1027" s="674"/>
      <c r="L1027" s="674"/>
      <c r="M1027" s="581"/>
      <c r="N1027" s="581"/>
      <c r="O1027" s="581"/>
      <c r="P1027" s="581"/>
      <c r="Q1027" s="645">
        <f ca="1">+SUM(Q1015:Q1026)</f>
        <v>1543696</v>
      </c>
      <c r="R1027" s="646">
        <f ca="1">+Q1027-B921</f>
        <v>116843</v>
      </c>
    </row>
    <row r="1028" spans="1:19" ht="15.75" customHeight="1" x14ac:dyDescent="0.3">
      <c r="A1028" s="641" t="s">
        <v>2891</v>
      </c>
      <c r="J1028" s="139"/>
    </row>
    <row r="1029" spans="1:19" ht="15.75" customHeight="1" x14ac:dyDescent="0.3">
      <c r="A1029" s="641" t="s">
        <v>2894</v>
      </c>
    </row>
    <row r="1030" spans="1:19" ht="15.75" customHeight="1" x14ac:dyDescent="0.3">
      <c r="A1030" s="641" t="s">
        <v>2901</v>
      </c>
    </row>
    <row r="1031" spans="1:19" ht="15.75" customHeight="1" x14ac:dyDescent="0.3"/>
    <row r="1032" spans="1:19" ht="15.75" customHeight="1" x14ac:dyDescent="0.3"/>
    <row r="1033" spans="1:19" ht="15.75" customHeight="1" x14ac:dyDescent="0.3"/>
    <row r="1034" spans="1:19" ht="15.75" customHeight="1" x14ac:dyDescent="0.3"/>
    <row r="1035" spans="1:19" ht="16.5" customHeight="1" x14ac:dyDescent="0.3"/>
    <row r="1036" spans="1:19" ht="15.75" customHeight="1" x14ac:dyDescent="0.3"/>
    <row r="1037" spans="1:19" ht="16.5" customHeight="1" x14ac:dyDescent="0.3"/>
    <row r="1038" spans="1:19" ht="15.75" customHeight="1" x14ac:dyDescent="0.3"/>
    <row r="1039" spans="1:19" ht="15.75" customHeight="1" x14ac:dyDescent="0.3"/>
    <row r="1040" spans="1:19" ht="15.75" customHeight="1" x14ac:dyDescent="0.3"/>
    <row r="1041" spans="1:19" ht="15.75" customHeight="1" x14ac:dyDescent="0.3"/>
    <row r="1042" spans="1:19" ht="15.75" customHeight="1" x14ac:dyDescent="0.3">
      <c r="I1042" s="139"/>
      <c r="J1042" s="139"/>
    </row>
    <row r="1043" spans="1:19" ht="15.75" customHeight="1" x14ac:dyDescent="0.3"/>
    <row r="1044" spans="1:19" ht="15.75" customHeight="1" x14ac:dyDescent="0.3"/>
    <row r="1045" spans="1:19" ht="15.75" customHeight="1" x14ac:dyDescent="0.3"/>
    <row r="1046" spans="1:19" ht="15.75" customHeight="1" x14ac:dyDescent="0.3"/>
    <row r="1047" spans="1:19" ht="15.75" customHeight="1" x14ac:dyDescent="0.3"/>
    <row r="1048" spans="1:19" ht="15.75" customHeight="1" x14ac:dyDescent="0.3"/>
    <row r="1049" spans="1:19" ht="15.75" customHeight="1" thickBot="1" x14ac:dyDescent="0.35"/>
    <row r="1050" spans="1:19" ht="15.75" customHeight="1" x14ac:dyDescent="0.35">
      <c r="A1050" s="546"/>
      <c r="B1050" s="547"/>
      <c r="C1050" s="566"/>
      <c r="D1050" s="566"/>
      <c r="E1050" s="566"/>
      <c r="F1050" s="566"/>
      <c r="G1050" s="566"/>
      <c r="H1050" s="549" t="s">
        <v>1623</v>
      </c>
      <c r="I1050" s="547"/>
      <c r="J1050" s="547"/>
      <c r="K1050" s="547"/>
      <c r="L1050" s="547"/>
      <c r="M1050" s="547"/>
      <c r="N1050" s="547"/>
      <c r="O1050" s="547"/>
      <c r="P1050" s="547"/>
      <c r="Q1050" s="678" t="str">
        <f>+Q1</f>
        <v xml:space="preserve">PRINTED:  </v>
      </c>
      <c r="R1050" s="682">
        <f ca="1">+R1</f>
        <v>44881.729634027775</v>
      </c>
      <c r="S1050" s="560"/>
    </row>
    <row r="1051" spans="1:19" ht="15.75" customHeight="1" x14ac:dyDescent="0.35">
      <c r="A1051" s="551"/>
      <c r="B1051" s="67"/>
      <c r="C1051" s="215"/>
      <c r="D1051" s="215"/>
      <c r="E1051" s="215"/>
      <c r="F1051" s="215"/>
      <c r="G1051" s="215"/>
      <c r="H1051" s="67" t="s">
        <v>2435</v>
      </c>
      <c r="I1051" s="67" t="s">
        <v>852</v>
      </c>
      <c r="J1051" s="69" t="str">
        <f>+A8</f>
        <v>Revised:  2/23/2017</v>
      </c>
      <c r="K1051" s="67"/>
      <c r="L1051" s="67"/>
      <c r="M1051" s="67"/>
      <c r="N1051" s="67"/>
      <c r="O1051" s="67"/>
      <c r="P1051" s="67"/>
      <c r="Q1051" s="67"/>
      <c r="R1051" s="67"/>
      <c r="S1051" s="561"/>
    </row>
    <row r="1052" spans="1:19" ht="15.75" customHeight="1" x14ac:dyDescent="0.35">
      <c r="A1052" s="551"/>
      <c r="B1052" s="67"/>
      <c r="C1052" s="215"/>
      <c r="D1052" s="215"/>
      <c r="E1052" s="215"/>
      <c r="F1052" s="215"/>
      <c r="G1052" s="215"/>
      <c r="H1052" s="67" t="s">
        <v>2126</v>
      </c>
      <c r="I1052" s="67"/>
      <c r="J1052" s="67"/>
      <c r="K1052" s="67"/>
      <c r="L1052" s="67"/>
      <c r="M1052" s="67"/>
      <c r="N1052" s="67"/>
      <c r="O1052" s="67"/>
      <c r="P1052" s="67"/>
      <c r="Q1052" s="67"/>
      <c r="R1052" s="67"/>
      <c r="S1052" s="561"/>
    </row>
    <row r="1053" spans="1:19" ht="15.75" customHeight="1" x14ac:dyDescent="0.35">
      <c r="A1053" s="551"/>
      <c r="B1053" s="67"/>
      <c r="C1053" s="215"/>
      <c r="D1053" s="215"/>
      <c r="E1053" s="215"/>
      <c r="F1053" s="215"/>
      <c r="G1053" s="215"/>
      <c r="H1053" s="67"/>
      <c r="I1053" s="67"/>
      <c r="J1053" s="67"/>
      <c r="K1053" s="67"/>
      <c r="L1053" s="67"/>
      <c r="M1053" s="67"/>
      <c r="N1053" s="67"/>
      <c r="O1053" s="67"/>
      <c r="P1053" s="67"/>
      <c r="Q1053" s="67"/>
      <c r="R1053" s="67"/>
      <c r="S1053" s="561"/>
    </row>
    <row r="1054" spans="1:19" ht="15.75" customHeight="1" x14ac:dyDescent="0.35">
      <c r="A1054" s="551"/>
      <c r="B1054" s="67"/>
      <c r="C1054" s="215"/>
      <c r="D1054" s="215"/>
      <c r="E1054" s="215"/>
      <c r="F1054" s="215"/>
      <c r="G1054" s="215"/>
      <c r="H1054" s="67" t="s">
        <v>2435</v>
      </c>
      <c r="I1054" s="676">
        <f>+A5</f>
        <v>2016</v>
      </c>
      <c r="J1054" s="67"/>
      <c r="K1054" s="67"/>
      <c r="L1054" s="67"/>
      <c r="M1054" s="67"/>
      <c r="N1054" s="67"/>
      <c r="O1054" s="67"/>
      <c r="P1054" s="67"/>
      <c r="Q1054" s="67"/>
      <c r="R1054" s="67"/>
      <c r="S1054" s="561"/>
    </row>
    <row r="1055" spans="1:19" ht="15.75" customHeight="1" x14ac:dyDescent="0.3">
      <c r="A1055" s="551"/>
      <c r="B1055" s="67"/>
      <c r="C1055" s="67"/>
      <c r="D1055" s="67"/>
      <c r="E1055" s="67"/>
      <c r="F1055" s="67"/>
      <c r="G1055" s="67"/>
      <c r="H1055" s="67"/>
      <c r="I1055" s="67"/>
      <c r="J1055" s="67"/>
      <c r="K1055" s="67"/>
      <c r="L1055" s="67"/>
      <c r="M1055" s="67"/>
      <c r="N1055" s="67"/>
      <c r="O1055" s="67"/>
      <c r="P1055" s="67"/>
      <c r="Q1055" s="67"/>
      <c r="R1055" s="67"/>
      <c r="S1055" s="561"/>
    </row>
    <row r="1056" spans="1:19" ht="15.75" customHeight="1" x14ac:dyDescent="0.3">
      <c r="A1056" s="551"/>
      <c r="B1056" s="67"/>
      <c r="C1056" s="71" t="s">
        <v>1442</v>
      </c>
      <c r="D1056" s="67"/>
      <c r="E1056" s="67"/>
      <c r="F1056" s="67"/>
      <c r="G1056" s="71" t="s">
        <v>1409</v>
      </c>
      <c r="H1056" s="67"/>
      <c r="I1056" s="67"/>
      <c r="J1056" s="67"/>
      <c r="K1056" s="68" t="s">
        <v>234</v>
      </c>
      <c r="L1056" s="67"/>
      <c r="M1056" s="67"/>
      <c r="N1056" s="67"/>
      <c r="O1056" s="68" t="s">
        <v>1701</v>
      </c>
      <c r="P1056" s="67"/>
      <c r="Q1056" s="67"/>
      <c r="R1056" s="67"/>
      <c r="S1056" s="561"/>
    </row>
    <row r="1057" spans="1:19" ht="15.75" customHeight="1" x14ac:dyDescent="0.3">
      <c r="A1057" s="551"/>
      <c r="B1057" s="67"/>
      <c r="C1057" s="67">
        <f>+A5</f>
        <v>2016</v>
      </c>
      <c r="D1057" s="67"/>
      <c r="E1057" s="67"/>
      <c r="F1057" s="67" t="s">
        <v>2415</v>
      </c>
      <c r="G1057" s="67"/>
      <c r="H1057" s="67"/>
      <c r="I1057" s="67"/>
      <c r="J1057" s="67"/>
      <c r="K1057" s="67">
        <f>+A5</f>
        <v>2016</v>
      </c>
      <c r="L1057" s="67"/>
      <c r="M1057" s="67"/>
      <c r="N1057" s="67"/>
      <c r="O1057" s="67">
        <f>+A5</f>
        <v>2016</v>
      </c>
      <c r="P1057" s="67"/>
      <c r="Q1057" s="67"/>
      <c r="R1057" s="67"/>
      <c r="S1057" s="561"/>
    </row>
    <row r="1058" spans="1:19" ht="15.75" customHeight="1" x14ac:dyDescent="0.3">
      <c r="A1058" s="551"/>
      <c r="B1058" s="67"/>
      <c r="C1058" s="67"/>
      <c r="D1058" s="67"/>
      <c r="E1058" s="67"/>
      <c r="F1058" s="67"/>
      <c r="G1058" s="67">
        <f>+A5</f>
        <v>2016</v>
      </c>
      <c r="H1058" s="67"/>
      <c r="I1058" s="67"/>
      <c r="J1058" s="67"/>
      <c r="K1058" s="67"/>
      <c r="L1058" s="67"/>
      <c r="M1058" s="67"/>
      <c r="N1058" s="67"/>
      <c r="O1058" s="67"/>
      <c r="P1058" s="67"/>
      <c r="Q1058" s="67"/>
      <c r="R1058" s="67"/>
      <c r="S1058" s="561"/>
    </row>
    <row r="1059" spans="1:19" ht="15.75" customHeight="1" x14ac:dyDescent="0.3">
      <c r="A1059" s="551"/>
      <c r="B1059" s="67"/>
      <c r="C1059" s="70" t="s">
        <v>1413</v>
      </c>
      <c r="D1059" s="70" t="s">
        <v>31</v>
      </c>
      <c r="E1059" s="70" t="s">
        <v>32</v>
      </c>
      <c r="F1059" s="67"/>
      <c r="G1059" s="70" t="s">
        <v>1412</v>
      </c>
      <c r="H1059" s="70" t="s">
        <v>31</v>
      </c>
      <c r="I1059" s="70" t="s">
        <v>1077</v>
      </c>
      <c r="J1059" s="67"/>
      <c r="K1059" s="70" t="s">
        <v>229</v>
      </c>
      <c r="L1059" s="70" t="s">
        <v>31</v>
      </c>
      <c r="M1059" s="70" t="s">
        <v>1078</v>
      </c>
      <c r="N1059" s="67"/>
      <c r="O1059" s="70" t="s">
        <v>229</v>
      </c>
      <c r="P1059" s="70" t="s">
        <v>31</v>
      </c>
      <c r="Q1059" s="70" t="s">
        <v>1078</v>
      </c>
      <c r="R1059" s="67"/>
      <c r="S1059" s="561"/>
    </row>
    <row r="1060" spans="1:19" ht="15.75" customHeight="1" x14ac:dyDescent="0.3">
      <c r="A1060" s="551"/>
      <c r="B1060" s="67"/>
      <c r="C1060" s="70" t="s">
        <v>429</v>
      </c>
      <c r="D1060" s="70" t="s">
        <v>335</v>
      </c>
      <c r="E1060" s="70" t="s">
        <v>2000</v>
      </c>
      <c r="F1060" s="67"/>
      <c r="G1060" s="70" t="s">
        <v>1318</v>
      </c>
      <c r="H1060" s="70" t="s">
        <v>335</v>
      </c>
      <c r="I1060" s="70" t="s">
        <v>2000</v>
      </c>
      <c r="J1060" s="67"/>
      <c r="K1060" s="70" t="s">
        <v>1180</v>
      </c>
      <c r="L1060" s="70" t="s">
        <v>335</v>
      </c>
      <c r="M1060" s="70" t="s">
        <v>2000</v>
      </c>
      <c r="N1060" s="67"/>
      <c r="O1060" s="70" t="s">
        <v>1180</v>
      </c>
      <c r="P1060" s="70" t="s">
        <v>335</v>
      </c>
      <c r="Q1060" s="70" t="s">
        <v>2000</v>
      </c>
      <c r="R1060" s="67"/>
      <c r="S1060" s="561"/>
    </row>
    <row r="1061" spans="1:19" ht="15.75" customHeight="1" x14ac:dyDescent="0.3">
      <c r="A1061" s="551"/>
      <c r="B1061" s="67"/>
      <c r="C1061" s="70" t="s">
        <v>335</v>
      </c>
      <c r="D1061" s="70" t="s">
        <v>956</v>
      </c>
      <c r="E1061" s="70" t="s">
        <v>242</v>
      </c>
      <c r="F1061" s="67"/>
      <c r="G1061" s="70" t="s">
        <v>134</v>
      </c>
      <c r="H1061" s="70" t="s">
        <v>956</v>
      </c>
      <c r="I1061" s="70" t="s">
        <v>242</v>
      </c>
      <c r="J1061" s="67"/>
      <c r="K1061" s="70" t="s">
        <v>335</v>
      </c>
      <c r="L1061" s="70" t="s">
        <v>956</v>
      </c>
      <c r="M1061" s="70" t="s">
        <v>242</v>
      </c>
      <c r="N1061" s="67"/>
      <c r="O1061" s="70" t="s">
        <v>335</v>
      </c>
      <c r="P1061" s="70" t="s">
        <v>956</v>
      </c>
      <c r="Q1061" s="70" t="s">
        <v>242</v>
      </c>
      <c r="R1061" s="67"/>
      <c r="S1061" s="561"/>
    </row>
    <row r="1062" spans="1:19" ht="15.75" customHeight="1" x14ac:dyDescent="0.3">
      <c r="A1062" s="551"/>
      <c r="B1062" s="67"/>
      <c r="C1062" s="70" t="s">
        <v>932</v>
      </c>
      <c r="D1062" s="70" t="s">
        <v>1917</v>
      </c>
      <c r="E1062" s="70" t="s">
        <v>1481</v>
      </c>
      <c r="F1062" s="67"/>
      <c r="G1062" s="70" t="s">
        <v>932</v>
      </c>
      <c r="H1062" s="70" t="s">
        <v>1917</v>
      </c>
      <c r="I1062" s="70" t="s">
        <v>1481</v>
      </c>
      <c r="J1062" s="67"/>
      <c r="K1062" s="70" t="s">
        <v>932</v>
      </c>
      <c r="L1062" s="70" t="s">
        <v>1917</v>
      </c>
      <c r="M1062" s="70" t="s">
        <v>1481</v>
      </c>
      <c r="N1062" s="67"/>
      <c r="O1062" s="70" t="s">
        <v>932</v>
      </c>
      <c r="P1062" s="70" t="s">
        <v>1917</v>
      </c>
      <c r="Q1062" s="70" t="s">
        <v>1481</v>
      </c>
      <c r="R1062" s="67"/>
      <c r="S1062" s="561"/>
    </row>
    <row r="1063" spans="1:19" ht="15.75" customHeight="1" x14ac:dyDescent="0.3">
      <c r="A1063" s="551"/>
      <c r="B1063" s="67"/>
      <c r="C1063" s="67" t="s">
        <v>1353</v>
      </c>
      <c r="D1063" s="67" t="s">
        <v>1353</v>
      </c>
      <c r="E1063" s="67" t="s">
        <v>1353</v>
      </c>
      <c r="F1063" s="67"/>
      <c r="G1063" s="70" t="s">
        <v>1353</v>
      </c>
      <c r="H1063" s="70" t="s">
        <v>1353</v>
      </c>
      <c r="I1063" s="70" t="s">
        <v>1353</v>
      </c>
      <c r="J1063" s="67"/>
      <c r="K1063" s="67" t="s">
        <v>1353</v>
      </c>
      <c r="L1063" s="67" t="s">
        <v>1353</v>
      </c>
      <c r="M1063" s="67" t="s">
        <v>1353</v>
      </c>
      <c r="N1063" s="67"/>
      <c r="O1063" s="67" t="s">
        <v>1353</v>
      </c>
      <c r="P1063" s="67" t="s">
        <v>1353</v>
      </c>
      <c r="Q1063" s="67" t="s">
        <v>1353</v>
      </c>
      <c r="R1063" s="67"/>
      <c r="S1063" s="561"/>
    </row>
    <row r="1064" spans="1:19" ht="15.75" customHeight="1" x14ac:dyDescent="0.3">
      <c r="A1064" s="553" t="s">
        <v>1354</v>
      </c>
      <c r="B1064" s="67"/>
      <c r="C1064" s="67">
        <f t="shared" ref="C1064:C1075" si="323">(S936)</f>
        <v>-5251</v>
      </c>
      <c r="D1064" s="72">
        <v>0</v>
      </c>
      <c r="E1064" s="73">
        <f t="shared" ref="E1064:E1075" si="324">(S936*D1064/1000)</f>
        <v>0</v>
      </c>
      <c r="F1064" s="67"/>
      <c r="G1064" s="67">
        <v>0</v>
      </c>
      <c r="H1064" s="72">
        <v>0</v>
      </c>
      <c r="I1064" s="73">
        <f t="shared" ref="I1064:I1075" si="325">(G1064*H1064/1000)</f>
        <v>0</v>
      </c>
      <c r="J1064" s="67"/>
      <c r="K1064" s="589">
        <v>11848</v>
      </c>
      <c r="L1064" s="590">
        <v>0</v>
      </c>
      <c r="M1064" s="73">
        <f t="shared" ref="M1064:M1075" si="326">(K1064*L1064/1000)</f>
        <v>0</v>
      </c>
      <c r="N1064" s="67"/>
      <c r="O1064" s="589">
        <v>0</v>
      </c>
      <c r="P1064" s="72">
        <v>0</v>
      </c>
      <c r="Q1064" s="73">
        <f t="shared" ref="Q1064:Q1075" si="327">(O1064*P1064/1000)</f>
        <v>0</v>
      </c>
      <c r="R1064" s="67"/>
      <c r="S1064" s="561"/>
    </row>
    <row r="1065" spans="1:19" ht="15.75" customHeight="1" x14ac:dyDescent="0.3">
      <c r="A1065" s="553" t="s">
        <v>706</v>
      </c>
      <c r="B1065" s="67"/>
      <c r="C1065" s="67">
        <f t="shared" si="323"/>
        <v>74429.600000000006</v>
      </c>
      <c r="D1065" s="72">
        <v>0</v>
      </c>
      <c r="E1065" s="73">
        <f t="shared" si="324"/>
        <v>0</v>
      </c>
      <c r="F1065" s="67"/>
      <c r="G1065" s="67" t="e">
        <f>#REF!</f>
        <v>#REF!</v>
      </c>
      <c r="H1065" s="72">
        <v>0</v>
      </c>
      <c r="I1065" s="73" t="e">
        <f t="shared" si="325"/>
        <v>#REF!</v>
      </c>
      <c r="J1065" s="67"/>
      <c r="K1065" s="589">
        <v>11489</v>
      </c>
      <c r="L1065" s="590">
        <v>0</v>
      </c>
      <c r="M1065" s="73">
        <f t="shared" si="326"/>
        <v>0</v>
      </c>
      <c r="N1065" s="67"/>
      <c r="O1065" s="589">
        <v>0</v>
      </c>
      <c r="P1065" s="72">
        <v>0</v>
      </c>
      <c r="Q1065" s="73">
        <f t="shared" si="327"/>
        <v>0</v>
      </c>
      <c r="R1065" s="67"/>
      <c r="S1065" s="561"/>
    </row>
    <row r="1066" spans="1:19" ht="15.75" customHeight="1" x14ac:dyDescent="0.3">
      <c r="A1066" s="553" t="s">
        <v>707</v>
      </c>
      <c r="B1066" s="67"/>
      <c r="C1066" s="67">
        <f t="shared" si="323"/>
        <v>76198.152615090832</v>
      </c>
      <c r="D1066" s="72">
        <v>0</v>
      </c>
      <c r="E1066" s="73">
        <f t="shared" si="324"/>
        <v>0</v>
      </c>
      <c r="F1066" s="67">
        <f>SUM(E1064:E1066)</f>
        <v>0</v>
      </c>
      <c r="G1066" s="67" t="e">
        <f>#REF!</f>
        <v>#REF!</v>
      </c>
      <c r="H1066" s="72">
        <v>0</v>
      </c>
      <c r="I1066" s="73" t="e">
        <f t="shared" si="325"/>
        <v>#REF!</v>
      </c>
      <c r="J1066" s="67" t="e">
        <f>SUM(I1064:I1066)</f>
        <v>#REF!</v>
      </c>
      <c r="K1066" s="589">
        <v>16247</v>
      </c>
      <c r="L1066" s="590">
        <v>0</v>
      </c>
      <c r="M1066" s="73">
        <f t="shared" si="326"/>
        <v>0</v>
      </c>
      <c r="N1066" s="67">
        <f>SUM(M1064:M1066)</f>
        <v>0</v>
      </c>
      <c r="O1066" s="589">
        <v>0</v>
      </c>
      <c r="P1066" s="72">
        <v>0</v>
      </c>
      <c r="Q1066" s="73">
        <f t="shared" si="327"/>
        <v>0</v>
      </c>
      <c r="R1066" s="67">
        <f>SUM(Q1064:Q1066)</f>
        <v>0</v>
      </c>
      <c r="S1066" s="561"/>
    </row>
    <row r="1067" spans="1:19" ht="15.75" customHeight="1" x14ac:dyDescent="0.3">
      <c r="A1067" s="553" t="s">
        <v>1321</v>
      </c>
      <c r="B1067" s="67"/>
      <c r="C1067" s="67">
        <f t="shared" si="323"/>
        <v>77567</v>
      </c>
      <c r="D1067" s="72">
        <v>0</v>
      </c>
      <c r="E1067" s="73">
        <f t="shared" si="324"/>
        <v>0</v>
      </c>
      <c r="F1067" s="67"/>
      <c r="G1067" s="67" t="e">
        <f>#REF!</f>
        <v>#REF!</v>
      </c>
      <c r="H1067" s="72">
        <v>0</v>
      </c>
      <c r="I1067" s="73" t="e">
        <f t="shared" si="325"/>
        <v>#REF!</v>
      </c>
      <c r="J1067" s="67"/>
      <c r="K1067" s="589">
        <v>17740</v>
      </c>
      <c r="L1067" s="590">
        <v>0</v>
      </c>
      <c r="M1067" s="73">
        <f t="shared" si="326"/>
        <v>0</v>
      </c>
      <c r="N1067" s="67"/>
      <c r="O1067" s="589">
        <v>0</v>
      </c>
      <c r="P1067" s="72">
        <v>0</v>
      </c>
      <c r="Q1067" s="73">
        <f t="shared" si="327"/>
        <v>0</v>
      </c>
      <c r="R1067" s="67"/>
      <c r="S1067" s="561"/>
    </row>
    <row r="1068" spans="1:19" ht="15.75" customHeight="1" x14ac:dyDescent="0.3">
      <c r="A1068" s="553" t="s">
        <v>1905</v>
      </c>
      <c r="B1068" s="67"/>
      <c r="C1068" s="67">
        <f t="shared" si="323"/>
        <v>24506.679999999993</v>
      </c>
      <c r="D1068" s="72">
        <v>0</v>
      </c>
      <c r="E1068" s="73">
        <f t="shared" si="324"/>
        <v>0</v>
      </c>
      <c r="F1068" s="67"/>
      <c r="G1068" s="67" t="e">
        <f>#REF!</f>
        <v>#REF!</v>
      </c>
      <c r="H1068" s="72">
        <v>0</v>
      </c>
      <c r="I1068" s="73" t="e">
        <f t="shared" si="325"/>
        <v>#REF!</v>
      </c>
      <c r="J1068" s="67"/>
      <c r="K1068" s="589">
        <v>15434</v>
      </c>
      <c r="L1068" s="590">
        <v>0</v>
      </c>
      <c r="M1068" s="73">
        <f t="shared" si="326"/>
        <v>0</v>
      </c>
      <c r="N1068" s="67"/>
      <c r="O1068" s="589">
        <v>0</v>
      </c>
      <c r="P1068" s="72">
        <v>0</v>
      </c>
      <c r="Q1068" s="73">
        <f t="shared" si="327"/>
        <v>0</v>
      </c>
      <c r="R1068" s="67"/>
      <c r="S1068" s="561"/>
    </row>
    <row r="1069" spans="1:19" ht="15.75" customHeight="1" x14ac:dyDescent="0.3">
      <c r="A1069" s="553" t="s">
        <v>1906</v>
      </c>
      <c r="B1069" s="67"/>
      <c r="C1069" s="67">
        <f t="shared" si="323"/>
        <v>163.17235870382865</v>
      </c>
      <c r="D1069" s="72">
        <v>0</v>
      </c>
      <c r="E1069" s="73">
        <f t="shared" si="324"/>
        <v>0</v>
      </c>
      <c r="F1069" s="67">
        <f>SUM(E1067:E1069)</f>
        <v>0</v>
      </c>
      <c r="G1069" s="67" t="e">
        <f>#REF!</f>
        <v>#REF!</v>
      </c>
      <c r="H1069" s="72">
        <v>0</v>
      </c>
      <c r="I1069" s="73" t="e">
        <f t="shared" si="325"/>
        <v>#REF!</v>
      </c>
      <c r="J1069" s="67" t="e">
        <f>SUM(I1067:I1069)</f>
        <v>#REF!</v>
      </c>
      <c r="K1069" s="589">
        <v>14355</v>
      </c>
      <c r="L1069" s="590">
        <v>0</v>
      </c>
      <c r="M1069" s="73">
        <f t="shared" si="326"/>
        <v>0</v>
      </c>
      <c r="N1069" s="67">
        <f>SUM(M1067:M1069)</f>
        <v>0</v>
      </c>
      <c r="O1069" s="589">
        <v>0</v>
      </c>
      <c r="P1069" s="72">
        <v>0</v>
      </c>
      <c r="Q1069" s="73">
        <f t="shared" si="327"/>
        <v>0</v>
      </c>
      <c r="R1069" s="67">
        <f>SUM(Q1067:Q1069)</f>
        <v>0</v>
      </c>
      <c r="S1069" s="561"/>
    </row>
    <row r="1070" spans="1:19" ht="15.75" customHeight="1" x14ac:dyDescent="0.3">
      <c r="A1070" s="553" t="s">
        <v>1907</v>
      </c>
      <c r="B1070" s="67"/>
      <c r="C1070" s="67">
        <f t="shared" si="323"/>
        <v>-25842.351680482272</v>
      </c>
      <c r="D1070" s="72">
        <v>0</v>
      </c>
      <c r="E1070" s="73">
        <f t="shared" si="324"/>
        <v>0</v>
      </c>
      <c r="F1070" s="67"/>
      <c r="G1070" s="67" t="e">
        <f>#REF!</f>
        <v>#REF!</v>
      </c>
      <c r="H1070" s="72">
        <v>0</v>
      </c>
      <c r="I1070" s="73" t="e">
        <f t="shared" si="325"/>
        <v>#REF!</v>
      </c>
      <c r="J1070" s="67"/>
      <c r="K1070" s="589">
        <v>13129</v>
      </c>
      <c r="L1070" s="590">
        <v>0</v>
      </c>
      <c r="M1070" s="73">
        <f t="shared" si="326"/>
        <v>0</v>
      </c>
      <c r="N1070" s="67"/>
      <c r="O1070" s="589">
        <v>0</v>
      </c>
      <c r="P1070" s="72">
        <v>0</v>
      </c>
      <c r="Q1070" s="73">
        <f t="shared" si="327"/>
        <v>0</v>
      </c>
      <c r="R1070" s="67"/>
      <c r="S1070" s="561"/>
    </row>
    <row r="1071" spans="1:19" ht="15.75" customHeight="1" x14ac:dyDescent="0.3">
      <c r="A1071" s="553" t="s">
        <v>1908</v>
      </c>
      <c r="B1071" s="67"/>
      <c r="C1071" s="67">
        <f t="shared" si="323"/>
        <v>-40808.746890220224</v>
      </c>
      <c r="D1071" s="72">
        <v>0</v>
      </c>
      <c r="E1071" s="73">
        <f t="shared" si="324"/>
        <v>0</v>
      </c>
      <c r="F1071" s="67"/>
      <c r="G1071" s="67" t="e">
        <f>#REF!</f>
        <v>#REF!</v>
      </c>
      <c r="H1071" s="72">
        <v>0</v>
      </c>
      <c r="I1071" s="73" t="e">
        <f t="shared" si="325"/>
        <v>#REF!</v>
      </c>
      <c r="J1071" s="67"/>
      <c r="K1071" s="589">
        <v>12545</v>
      </c>
      <c r="L1071" s="590">
        <v>0</v>
      </c>
      <c r="M1071" s="73">
        <f t="shared" si="326"/>
        <v>0</v>
      </c>
      <c r="N1071" s="67"/>
      <c r="O1071" s="589">
        <v>0</v>
      </c>
      <c r="P1071" s="72">
        <v>0</v>
      </c>
      <c r="Q1071" s="73">
        <f t="shared" si="327"/>
        <v>0</v>
      </c>
      <c r="R1071" s="67"/>
      <c r="S1071" s="561"/>
    </row>
    <row r="1072" spans="1:19" ht="15.75" customHeight="1" x14ac:dyDescent="0.3">
      <c r="A1072" s="553" t="s">
        <v>2352</v>
      </c>
      <c r="B1072" s="67"/>
      <c r="C1072" s="67">
        <f t="shared" si="323"/>
        <v>-37493.737014466285</v>
      </c>
      <c r="D1072" s="72">
        <v>0</v>
      </c>
      <c r="E1072" s="73">
        <f t="shared" si="324"/>
        <v>0</v>
      </c>
      <c r="F1072" s="67">
        <f>SUM(E1070:E1072)</f>
        <v>0</v>
      </c>
      <c r="G1072" s="67" t="e">
        <f>#REF!</f>
        <v>#REF!</v>
      </c>
      <c r="H1072" s="72">
        <v>0</v>
      </c>
      <c r="I1072" s="73" t="e">
        <f t="shared" si="325"/>
        <v>#REF!</v>
      </c>
      <c r="J1072" s="67" t="e">
        <f>SUM(I1070:I1072)</f>
        <v>#REF!</v>
      </c>
      <c r="K1072" s="589">
        <v>9350</v>
      </c>
      <c r="L1072" s="590">
        <v>0</v>
      </c>
      <c r="M1072" s="73">
        <f t="shared" si="326"/>
        <v>0</v>
      </c>
      <c r="N1072" s="67">
        <f>SUM(M1070:M1072)</f>
        <v>0</v>
      </c>
      <c r="O1072" s="589">
        <v>0</v>
      </c>
      <c r="P1072" s="72">
        <v>0</v>
      </c>
      <c r="Q1072" s="73">
        <f t="shared" si="327"/>
        <v>0</v>
      </c>
      <c r="R1072" s="67">
        <f>SUM(Q1070:Q1072)</f>
        <v>0</v>
      </c>
      <c r="S1072" s="561"/>
    </row>
    <row r="1073" spans="1:19" ht="15.75" customHeight="1" x14ac:dyDescent="0.3">
      <c r="A1073" s="553" t="s">
        <v>2353</v>
      </c>
      <c r="B1073" s="67"/>
      <c r="C1073" s="67">
        <f t="shared" si="323"/>
        <v>58344.505953278072</v>
      </c>
      <c r="D1073" s="72">
        <v>0</v>
      </c>
      <c r="E1073" s="73">
        <f t="shared" si="324"/>
        <v>0</v>
      </c>
      <c r="F1073" s="67"/>
      <c r="G1073" s="67" t="e">
        <f>#REF!</f>
        <v>#REF!</v>
      </c>
      <c r="H1073" s="72">
        <v>0</v>
      </c>
      <c r="I1073" s="73" t="e">
        <f t="shared" si="325"/>
        <v>#REF!</v>
      </c>
      <c r="J1073" s="67"/>
      <c r="K1073" s="589">
        <v>11649</v>
      </c>
      <c r="L1073" s="590">
        <v>0</v>
      </c>
      <c r="M1073" s="73">
        <f t="shared" si="326"/>
        <v>0</v>
      </c>
      <c r="N1073" s="67"/>
      <c r="O1073" s="589">
        <v>0</v>
      </c>
      <c r="P1073" s="72">
        <v>0</v>
      </c>
      <c r="Q1073" s="73">
        <f t="shared" si="327"/>
        <v>0</v>
      </c>
      <c r="R1073" s="67"/>
      <c r="S1073" s="561"/>
    </row>
    <row r="1074" spans="1:19" ht="15.75" customHeight="1" x14ac:dyDescent="0.3">
      <c r="A1074" s="553" t="s">
        <v>2354</v>
      </c>
      <c r="B1074" s="67"/>
      <c r="C1074" s="67">
        <f t="shared" si="323"/>
        <v>73587</v>
      </c>
      <c r="D1074" s="72">
        <v>0</v>
      </c>
      <c r="E1074" s="73">
        <f t="shared" si="324"/>
        <v>0</v>
      </c>
      <c r="F1074" s="67"/>
      <c r="G1074" s="67" t="e">
        <f>#REF!</f>
        <v>#REF!</v>
      </c>
      <c r="H1074" s="72">
        <v>0</v>
      </c>
      <c r="I1074" s="73" t="e">
        <f t="shared" si="325"/>
        <v>#REF!</v>
      </c>
      <c r="J1074" s="67"/>
      <c r="K1074" s="589">
        <v>8035</v>
      </c>
      <c r="L1074" s="590">
        <v>0</v>
      </c>
      <c r="M1074" s="73">
        <f t="shared" si="326"/>
        <v>0</v>
      </c>
      <c r="N1074" s="67"/>
      <c r="O1074" s="589">
        <v>0</v>
      </c>
      <c r="P1074" s="72">
        <v>0</v>
      </c>
      <c r="Q1074" s="73">
        <f t="shared" si="327"/>
        <v>0</v>
      </c>
      <c r="R1074" s="67"/>
      <c r="S1074" s="561"/>
    </row>
    <row r="1075" spans="1:19" ht="15.75" customHeight="1" x14ac:dyDescent="0.3">
      <c r="A1075" s="553" t="s">
        <v>2355</v>
      </c>
      <c r="B1075" s="67"/>
      <c r="C1075" s="67">
        <f t="shared" si="323"/>
        <v>37920.599999999977</v>
      </c>
      <c r="D1075" s="72">
        <v>0</v>
      </c>
      <c r="E1075" s="73">
        <f t="shared" si="324"/>
        <v>0</v>
      </c>
      <c r="F1075" s="67">
        <f>SUM(E1073:E1075)</f>
        <v>0</v>
      </c>
      <c r="G1075" s="67" t="e">
        <f>#REF!</f>
        <v>#REF!</v>
      </c>
      <c r="H1075" s="72">
        <v>0</v>
      </c>
      <c r="I1075" s="73" t="e">
        <f t="shared" si="325"/>
        <v>#REF!</v>
      </c>
      <c r="J1075" s="67" t="e">
        <f>SUM(I1073:I1075)</f>
        <v>#REF!</v>
      </c>
      <c r="K1075" s="589">
        <v>8092</v>
      </c>
      <c r="L1075" s="590">
        <v>0</v>
      </c>
      <c r="M1075" s="73">
        <f t="shared" si="326"/>
        <v>0</v>
      </c>
      <c r="N1075" s="67">
        <f>SUM(M1073:M1075)</f>
        <v>0</v>
      </c>
      <c r="O1075" s="589">
        <v>0</v>
      </c>
      <c r="P1075" s="72">
        <v>0</v>
      </c>
      <c r="Q1075" s="73">
        <f t="shared" si="327"/>
        <v>0</v>
      </c>
      <c r="R1075" s="67">
        <f>SUM(Q1073:Q1075)</f>
        <v>0</v>
      </c>
      <c r="S1075" s="561"/>
    </row>
    <row r="1076" spans="1:19" ht="15.75" customHeight="1" x14ac:dyDescent="0.3">
      <c r="A1076" s="551"/>
      <c r="B1076" s="67"/>
      <c r="C1076" s="67"/>
      <c r="D1076" s="67"/>
      <c r="E1076" s="67"/>
      <c r="F1076" s="67"/>
      <c r="G1076" s="67"/>
      <c r="H1076" s="67"/>
      <c r="I1076" s="67"/>
      <c r="J1076" s="67"/>
      <c r="K1076" s="67"/>
      <c r="L1076" s="67"/>
      <c r="M1076" s="67"/>
      <c r="N1076" s="67"/>
      <c r="O1076" s="67"/>
      <c r="P1076" s="67"/>
      <c r="Q1076" s="67"/>
      <c r="R1076" s="67"/>
      <c r="S1076" s="561"/>
    </row>
    <row r="1077" spans="1:19" ht="15.75" customHeight="1" x14ac:dyDescent="0.3">
      <c r="A1077" s="551"/>
      <c r="B1077" s="67"/>
      <c r="C1077" s="67"/>
      <c r="D1077" s="67"/>
      <c r="E1077" s="67"/>
      <c r="F1077" s="67"/>
      <c r="G1077" s="67"/>
      <c r="H1077" s="67"/>
      <c r="I1077" s="67"/>
      <c r="J1077" s="67"/>
      <c r="K1077" s="67"/>
      <c r="L1077" s="67"/>
      <c r="M1077" s="67"/>
      <c r="N1077" s="67"/>
      <c r="O1077" s="67"/>
      <c r="P1077" s="67"/>
      <c r="Q1077" s="67"/>
      <c r="R1077" s="67"/>
      <c r="S1077" s="561"/>
    </row>
    <row r="1078" spans="1:19" ht="16.5" customHeight="1" thickBot="1" x14ac:dyDescent="0.35">
      <c r="A1078" s="554" t="s">
        <v>2356</v>
      </c>
      <c r="B1078" s="555"/>
      <c r="C1078" s="555">
        <f>SUM(C1064:C1075)</f>
        <v>313320.87534190394</v>
      </c>
      <c r="D1078" s="555"/>
      <c r="E1078" s="567">
        <f>SUM(E1064:E1075)</f>
        <v>0</v>
      </c>
      <c r="F1078" s="555"/>
      <c r="G1078" s="555" t="e">
        <f>SUM(G1064:G1075)</f>
        <v>#REF!</v>
      </c>
      <c r="H1078" s="555" t="s">
        <v>2435</v>
      </c>
      <c r="I1078" s="567" t="e">
        <f>SUM(I1064:I1075)</f>
        <v>#REF!</v>
      </c>
      <c r="J1078" s="555"/>
      <c r="K1078" s="555">
        <f>SUM(K1064:K1075)</f>
        <v>149913</v>
      </c>
      <c r="L1078" s="555" t="s">
        <v>2435</v>
      </c>
      <c r="M1078" s="567">
        <f>SUM(M1064:M1075)</f>
        <v>0</v>
      </c>
      <c r="N1078" s="555"/>
      <c r="O1078" s="555">
        <f>(SUM(O1064:O1075))</f>
        <v>0</v>
      </c>
      <c r="P1078" s="555" t="s">
        <v>2435</v>
      </c>
      <c r="Q1078" s="567">
        <f>SUM(Q1064:Q1075)</f>
        <v>0</v>
      </c>
      <c r="R1078" s="555"/>
      <c r="S1078" s="565"/>
    </row>
  </sheetData>
  <scenarios current="0">
    <scenario name="Jan" count="1" user="Windows User" comment="Created by Windows User on 4/11/2013">
      <inputCells r="B288" val="57771.3688407242" numFmtId="37"/>
    </scenario>
  </scenarios>
  <autoFilter ref="A31:R839" xr:uid="{00000000-0009-0000-0000-00000B000000}">
    <filterColumn colId="0">
      <filters>
        <filter val="Arizona Water Co. (Casa Grande) w/MSIDD"/>
        <filter val="Eloy, City of (Thru MSIDD)"/>
        <filter val="Florence, Town of (Thru MSIDD)"/>
        <filter val="GRIC GSF w/MSIDD"/>
        <filter val="GRIC/SRP Settlement Lease w/MSIDD"/>
        <filter val="Interstate (MSIDD) (AWBA, Indirect)"/>
        <filter val="Maricopa Stanfield IDD (MSIDD)"/>
        <filter val="MSIDD (AWBA, Indirect)"/>
        <filter val="Salt River Project XS ($XX/AF) w/MSIDD"/>
        <filter val="thru MSIDD (CAGRD)"/>
      </filters>
    </filterColumn>
  </autoFilter>
  <mergeCells count="72">
    <mergeCell ref="A8:R8"/>
    <mergeCell ref="A2:R2"/>
    <mergeCell ref="A3:R3"/>
    <mergeCell ref="A4:R4"/>
    <mergeCell ref="A5:R5"/>
    <mergeCell ref="A6:R6"/>
    <mergeCell ref="B842:P842"/>
    <mergeCell ref="V358:AM358"/>
    <mergeCell ref="A778:R778"/>
    <mergeCell ref="A779:R779"/>
    <mergeCell ref="A780:R780"/>
    <mergeCell ref="A781:R781"/>
    <mergeCell ref="A783:R783"/>
    <mergeCell ref="A819:R819"/>
    <mergeCell ref="A820:R820"/>
    <mergeCell ref="A821:R821"/>
    <mergeCell ref="A822:R822"/>
    <mergeCell ref="A824:R824"/>
    <mergeCell ref="AD892:AQ892"/>
    <mergeCell ref="B843:P843"/>
    <mergeCell ref="B844:P844"/>
    <mergeCell ref="B845:P845"/>
    <mergeCell ref="B846:P846"/>
    <mergeCell ref="B847:P847"/>
    <mergeCell ref="B871:P871"/>
    <mergeCell ref="B872:P872"/>
    <mergeCell ref="B873:P873"/>
    <mergeCell ref="B874:P874"/>
    <mergeCell ref="B875:P875"/>
    <mergeCell ref="B876:P876"/>
    <mergeCell ref="AD927:AQ927"/>
    <mergeCell ref="AD893:AQ893"/>
    <mergeCell ref="AD894:AQ894"/>
    <mergeCell ref="AD896:AQ896"/>
    <mergeCell ref="B897:P897"/>
    <mergeCell ref="AD897:AQ897"/>
    <mergeCell ref="B898:P898"/>
    <mergeCell ref="B899:P899"/>
    <mergeCell ref="B901:P901"/>
    <mergeCell ref="B902:P902"/>
    <mergeCell ref="B926:P926"/>
    <mergeCell ref="B927:P927"/>
    <mergeCell ref="B928:P928"/>
    <mergeCell ref="AD928:AQ928"/>
    <mergeCell ref="B929:P929"/>
    <mergeCell ref="AD929:AQ929"/>
    <mergeCell ref="B930:F930"/>
    <mergeCell ref="G930:L930"/>
    <mergeCell ref="M930:R930"/>
    <mergeCell ref="S930:U930"/>
    <mergeCell ref="B985:P985"/>
    <mergeCell ref="AD931:AQ931"/>
    <mergeCell ref="AD932:AQ932"/>
    <mergeCell ref="B956:P956"/>
    <mergeCell ref="B957:F957"/>
    <mergeCell ref="G957:L957"/>
    <mergeCell ref="M958:O958"/>
    <mergeCell ref="B980:P980"/>
    <mergeCell ref="B981:P981"/>
    <mergeCell ref="B982:P982"/>
    <mergeCell ref="B984:P984"/>
    <mergeCell ref="M931:O931"/>
    <mergeCell ref="S957:U957"/>
    <mergeCell ref="M957:R957"/>
    <mergeCell ref="B1012:L1012"/>
    <mergeCell ref="M1012:P1012"/>
    <mergeCell ref="B986:D986"/>
    <mergeCell ref="B1005:P1005"/>
    <mergeCell ref="B1006:P1006"/>
    <mergeCell ref="B1007:P1007"/>
    <mergeCell ref="B1009:P1009"/>
    <mergeCell ref="B1010:P1010"/>
  </mergeCells>
  <conditionalFormatting sqref="S936:S949">
    <cfRule type="cellIs" dxfId="19" priority="3" operator="lessThan">
      <formula>0</formula>
    </cfRule>
    <cfRule type="cellIs" dxfId="18" priority="4" operator="greaterThan">
      <formula>0</formula>
    </cfRule>
  </conditionalFormatting>
  <conditionalFormatting sqref="S963:S974">
    <cfRule type="cellIs" dxfId="17" priority="1" operator="lessThan">
      <formula>0</formula>
    </cfRule>
    <cfRule type="cellIs" dxfId="16" priority="2" operator="greaterThan">
      <formula>0</formula>
    </cfRule>
  </conditionalFormatting>
  <printOptions horizontalCentered="1"/>
  <pageMargins left="0.25" right="0.25" top="0.25" bottom="0.25" header="0" footer="0"/>
  <pageSetup paperSize="17" scale="82" orientation="landscape" r:id="rId1"/>
  <headerFooter alignWithMargins="0"/>
  <rowBreaks count="5" manualBreakCount="5">
    <brk id="775" max="17" man="1"/>
    <brk id="815" max="17" man="1"/>
    <brk id="868" max="18" man="1"/>
    <brk id="896" max="18" man="1"/>
    <brk id="864" min="28" max="46" man="1"/>
  </rowBreaks>
  <ignoredErrors>
    <ignoredError sqref="O949"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pageSetUpPr fitToPage="1"/>
  </sheetPr>
  <dimension ref="A1:AX1060"/>
  <sheetViews>
    <sheetView tabSelected="1" zoomScale="70" zoomScaleNormal="70" workbookViewId="0">
      <pane ySplit="31" topLeftCell="A809" activePane="bottomLeft" state="frozen"/>
      <selection pane="bottomLeft" activeCell="S13" sqref="S13"/>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10" bestFit="1" customWidth="1"/>
    <col min="9" max="9" width="11.08984375" customWidth="1"/>
    <col min="10"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20" width="9.453125" bestFit="1" customWidth="1"/>
    <col min="22" max="22" width="8.81640625" customWidth="1"/>
    <col min="29" max="29" width="11.5429687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44881.729634027775</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2015</v>
      </c>
      <c r="B5" s="781"/>
      <c r="C5" s="781"/>
      <c r="D5" s="781"/>
      <c r="E5" s="781"/>
      <c r="F5" s="781"/>
      <c r="G5" s="781"/>
      <c r="H5" s="781"/>
      <c r="I5" s="781"/>
      <c r="J5" s="781"/>
      <c r="K5" s="781"/>
      <c r="L5" s="781"/>
      <c r="M5" s="781"/>
      <c r="N5" s="781"/>
      <c r="O5" s="781"/>
      <c r="P5" s="781"/>
      <c r="Q5" s="781"/>
      <c r="R5" s="781"/>
    </row>
    <row r="6" spans="1:36" ht="19.5" customHeight="1" x14ac:dyDescent="0.35">
      <c r="A6" s="780" t="s">
        <v>3107</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3109</v>
      </c>
      <c r="B8" s="778"/>
      <c r="C8" s="778"/>
      <c r="D8" s="778"/>
      <c r="E8" s="778"/>
      <c r="F8" s="778"/>
      <c r="G8" s="778"/>
      <c r="H8" s="778"/>
      <c r="I8" s="778"/>
      <c r="J8" s="778"/>
      <c r="K8" s="778"/>
      <c r="L8" s="778"/>
      <c r="M8" s="778"/>
      <c r="N8" s="778"/>
      <c r="O8" s="778"/>
      <c r="P8" s="778"/>
      <c r="Q8" s="778"/>
      <c r="R8" s="778"/>
    </row>
    <row r="9" spans="1:36" ht="15.75" customHeight="1" thickBot="1" x14ac:dyDescent="0.35">
      <c r="A9" s="1"/>
      <c r="B9" s="220"/>
      <c r="C9" s="220"/>
      <c r="D9" s="220"/>
      <c r="E9" s="220"/>
      <c r="F9" s="220"/>
      <c r="G9" s="220"/>
      <c r="H9" s="220"/>
      <c r="I9" s="220"/>
      <c r="J9" s="220"/>
      <c r="K9" s="220"/>
      <c r="L9" s="220"/>
      <c r="M9" s="220"/>
      <c r="N9" s="220"/>
      <c r="O9" s="220"/>
      <c r="P9" s="220"/>
      <c r="Q9" s="220"/>
      <c r="R9" s="220"/>
    </row>
    <row r="10" spans="1:36" ht="15.75" hidden="1"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231"/>
      <c r="B12" s="232"/>
      <c r="C12" s="232"/>
      <c r="D12" s="232"/>
      <c r="E12" s="233"/>
      <c r="F12" s="232"/>
      <c r="G12" s="232"/>
      <c r="H12" s="232"/>
      <c r="I12" s="233"/>
      <c r="J12" s="232"/>
      <c r="K12" s="232"/>
      <c r="L12" s="232"/>
      <c r="M12" s="233"/>
      <c r="N12" s="232"/>
      <c r="O12" s="232"/>
      <c r="P12" s="232"/>
      <c r="Q12" s="233"/>
      <c r="R12" s="233"/>
    </row>
    <row r="13" spans="1:36" ht="15.75" customHeight="1" x14ac:dyDescent="0.3">
      <c r="A13" s="234" t="s">
        <v>1277</v>
      </c>
      <c r="B13" s="172">
        <f>+B820</f>
        <v>58728</v>
      </c>
      <c r="C13" s="172">
        <f>+C820</f>
        <v>77475</v>
      </c>
      <c r="D13" s="172">
        <f>+D820</f>
        <v>134316</v>
      </c>
      <c r="E13" s="15">
        <f>SUM(B13:D13)</f>
        <v>270519</v>
      </c>
      <c r="F13" s="172">
        <f>+F820</f>
        <v>183305</v>
      </c>
      <c r="G13" s="172">
        <f>+G820</f>
        <v>146795</v>
      </c>
      <c r="H13" s="172">
        <f>+H820</f>
        <v>166051</v>
      </c>
      <c r="I13" s="15">
        <f t="shared" ref="I13:I19" si="0">SUM(F13:H13)</f>
        <v>496151</v>
      </c>
      <c r="J13" s="172">
        <f>+J820</f>
        <v>156931</v>
      </c>
      <c r="K13" s="172">
        <f>+K820</f>
        <v>165338</v>
      </c>
      <c r="L13" s="172">
        <f>+L820</f>
        <v>121912</v>
      </c>
      <c r="M13" s="15">
        <f t="shared" ref="M13:M20" si="1">SUM(J13:L13)</f>
        <v>444181</v>
      </c>
      <c r="N13" s="172">
        <f>+N820</f>
        <v>96557</v>
      </c>
      <c r="O13" s="172">
        <f>+O820</f>
        <v>63748</v>
      </c>
      <c r="P13" s="172">
        <f>+P820</f>
        <v>78053</v>
      </c>
      <c r="Q13" s="29">
        <f t="shared" ref="Q13:Q19" si="2">SUM(N13:P13)</f>
        <v>238358</v>
      </c>
      <c r="R13" s="15">
        <f t="shared" ref="R13:R20" si="3">+E13+I13+M13+Q13</f>
        <v>1449209</v>
      </c>
      <c r="S13">
        <f>1610000-28317</f>
        <v>1581683</v>
      </c>
      <c r="T13">
        <f>+R13-S13</f>
        <v>-132474</v>
      </c>
      <c r="U13">
        <f>+R13-1478209</f>
        <v>-29000</v>
      </c>
      <c r="V13" s="617"/>
      <c r="W13" s="617"/>
      <c r="X13" s="617"/>
      <c r="Z13" s="617"/>
      <c r="AA13" s="617"/>
      <c r="AB13" s="617"/>
      <c r="AD13" s="617"/>
      <c r="AE13" s="617"/>
      <c r="AF13" s="617"/>
      <c r="AH13" s="617"/>
      <c r="AI13" s="617"/>
      <c r="AJ13" s="617"/>
    </row>
    <row r="14" spans="1:36" ht="15.75" customHeight="1" x14ac:dyDescent="0.3">
      <c r="A14" s="234" t="s">
        <v>1278</v>
      </c>
      <c r="B14" s="172">
        <f>B25+B60+B128+B281+B422+B469+B512+B568+B578+B614+B660+B670+B704+B752</f>
        <v>739</v>
      </c>
      <c r="C14" s="172">
        <f>C25+C60+C128+C281+C422+C469+C512+C568+C578+C614+C660+C670+C704+C752</f>
        <v>1283</v>
      </c>
      <c r="D14" s="172">
        <f>D25+D60+D128+D281+D422+D469+D512+D568+D578+D614+D660+D670+D704+D752</f>
        <v>2185</v>
      </c>
      <c r="E14" s="15">
        <f t="shared" ref="E14:E19" si="4">SUM(B14:D14)</f>
        <v>4207</v>
      </c>
      <c r="F14" s="172">
        <f>F25+F60+F128+F281+F422+F469+F512+F568+F578+F614+F660+F670+F704+F752</f>
        <v>2959</v>
      </c>
      <c r="G14" s="172">
        <f>G25+G60+G128+G281+G422+G469+G512+G568+G578+G614+G660+G670+G704+G752</f>
        <v>3425</v>
      </c>
      <c r="H14" s="172">
        <f>H25+H60+H128+H281+H422+H469+H512+H568+H578+H614+H660+H670+H704+H752</f>
        <v>3464</v>
      </c>
      <c r="I14" s="15">
        <f t="shared" si="0"/>
        <v>9848</v>
      </c>
      <c r="J14" s="172">
        <f>J25+J60+J128+J281+J422+J469+J512+J568+J578+J614+J660+J670+J704+J752</f>
        <v>3382</v>
      </c>
      <c r="K14" s="172">
        <f>K25+K60+K128+K281+K422+K469+K512+K568+K578+K614+K660+K670+K704+K752</f>
        <v>2663</v>
      </c>
      <c r="L14" s="172">
        <f>L25+L60+L128+L281+L422+L469+L512+L568+L578+L614+L660+L670+L704+L752</f>
        <v>2559</v>
      </c>
      <c r="M14" s="15">
        <f t="shared" si="1"/>
        <v>8604</v>
      </c>
      <c r="N14" s="172">
        <f>N25+N60+N128+N281+N422+N469+N512+N568+N578+N614+N660+N670+N704+N752</f>
        <v>2343</v>
      </c>
      <c r="O14" s="172">
        <f>O25+O60+O128+O281+O422+O469+O512+O568+O578+O614+O660+O670+O704+O752</f>
        <v>1892</v>
      </c>
      <c r="P14" s="172">
        <f>P25+P60+P128+P281+P422+P469+P512+P568+P578+P614+P660+P670+P704+P752</f>
        <v>1423</v>
      </c>
      <c r="Q14" s="29">
        <f t="shared" si="2"/>
        <v>5658</v>
      </c>
      <c r="R14" s="15">
        <f t="shared" si="3"/>
        <v>28317</v>
      </c>
    </row>
    <row r="15" spans="1:36" ht="15.75" customHeight="1" x14ac:dyDescent="0.3">
      <c r="A15" s="234" t="s">
        <v>397</v>
      </c>
      <c r="B15" s="172">
        <f>B276</f>
        <v>0</v>
      </c>
      <c r="C15" s="172">
        <f>C276</f>
        <v>2044</v>
      </c>
      <c r="D15" s="172">
        <f>D276</f>
        <v>2721</v>
      </c>
      <c r="E15" s="15">
        <f t="shared" si="4"/>
        <v>4765</v>
      </c>
      <c r="F15" s="172">
        <f>F276</f>
        <v>2559</v>
      </c>
      <c r="G15" s="172">
        <f>G276</f>
        <v>799</v>
      </c>
      <c r="H15" s="172">
        <f>H276</f>
        <v>2154</v>
      </c>
      <c r="I15" s="15">
        <f t="shared" si="0"/>
        <v>5512</v>
      </c>
      <c r="J15" s="172">
        <f>J276</f>
        <v>1817</v>
      </c>
      <c r="K15" s="172">
        <f>K276</f>
        <v>1892</v>
      </c>
      <c r="L15" s="172">
        <f>L276</f>
        <v>2046</v>
      </c>
      <c r="M15" s="15">
        <f t="shared" si="1"/>
        <v>5755</v>
      </c>
      <c r="N15" s="172">
        <f>N276</f>
        <v>1453</v>
      </c>
      <c r="O15" s="172">
        <f>O276</f>
        <v>3127</v>
      </c>
      <c r="P15" s="172">
        <f>P276</f>
        <v>1606</v>
      </c>
      <c r="Q15" s="29">
        <f t="shared" si="2"/>
        <v>6186</v>
      </c>
      <c r="R15" s="15">
        <f t="shared" si="3"/>
        <v>22218</v>
      </c>
    </row>
    <row r="16" spans="1:36" ht="15.75" customHeight="1" x14ac:dyDescent="0.3">
      <c r="A16" s="235" t="s">
        <v>967</v>
      </c>
      <c r="B16" s="172">
        <f>+B277</f>
        <v>0</v>
      </c>
      <c r="C16" s="172">
        <f>+C277</f>
        <v>3886</v>
      </c>
      <c r="D16" s="172">
        <f>+D277</f>
        <v>0</v>
      </c>
      <c r="E16" s="15">
        <f t="shared" si="4"/>
        <v>3886</v>
      </c>
      <c r="F16" s="172">
        <f>+F277</f>
        <v>0</v>
      </c>
      <c r="G16" s="172">
        <f>+G277</f>
        <v>-8000</v>
      </c>
      <c r="H16" s="172">
        <f>+H277</f>
        <v>-7000</v>
      </c>
      <c r="I16" s="15">
        <f t="shared" si="0"/>
        <v>-15000</v>
      </c>
      <c r="J16" s="172">
        <f>+J277</f>
        <v>-1166</v>
      </c>
      <c r="K16" s="172">
        <f>+K277</f>
        <v>-2000</v>
      </c>
      <c r="L16" s="172">
        <f>+L277</f>
        <v>-720</v>
      </c>
      <c r="M16" s="15">
        <f t="shared" si="1"/>
        <v>-3886</v>
      </c>
      <c r="N16" s="172">
        <f>+N277</f>
        <v>0</v>
      </c>
      <c r="O16" s="172">
        <f>+O277</f>
        <v>0</v>
      </c>
      <c r="P16" s="172">
        <f>+P277</f>
        <v>-11</v>
      </c>
      <c r="Q16" s="29">
        <f t="shared" si="2"/>
        <v>-11</v>
      </c>
      <c r="R16" s="15">
        <f t="shared" si="3"/>
        <v>-15011</v>
      </c>
    </row>
    <row r="17" spans="1:20" ht="15.75" customHeight="1" x14ac:dyDescent="0.3">
      <c r="A17" s="236" t="s">
        <v>1176</v>
      </c>
      <c r="B17" s="172">
        <f>B280</f>
        <v>115675</v>
      </c>
      <c r="C17" s="172">
        <f>C280</f>
        <v>24605</v>
      </c>
      <c r="D17" s="172">
        <f>D280</f>
        <v>11698</v>
      </c>
      <c r="E17" s="15">
        <f t="shared" si="4"/>
        <v>151978</v>
      </c>
      <c r="F17" s="172">
        <f>F280</f>
        <v>1058</v>
      </c>
      <c r="G17" s="172">
        <f>G280</f>
        <v>36939</v>
      </c>
      <c r="H17" s="172">
        <f>H280</f>
        <v>375</v>
      </c>
      <c r="I17" s="15">
        <f t="shared" si="0"/>
        <v>38372</v>
      </c>
      <c r="J17" s="172">
        <f>J280</f>
        <v>0</v>
      </c>
      <c r="K17" s="172">
        <f>K280</f>
        <v>0</v>
      </c>
      <c r="L17" s="172">
        <f>L280</f>
        <v>41077</v>
      </c>
      <c r="M17" s="15">
        <f t="shared" si="1"/>
        <v>41077</v>
      </c>
      <c r="N17" s="172">
        <f>N280</f>
        <v>27691</v>
      </c>
      <c r="O17" s="172">
        <f>O280</f>
        <v>48256</v>
      </c>
      <c r="P17" s="172">
        <f>P280</f>
        <v>47232</v>
      </c>
      <c r="Q17" s="29">
        <f t="shared" si="2"/>
        <v>123179</v>
      </c>
      <c r="R17" s="15">
        <f t="shared" si="3"/>
        <v>354606</v>
      </c>
    </row>
    <row r="18" spans="1:20" ht="15.75" customHeight="1" x14ac:dyDescent="0.3">
      <c r="A18" s="236" t="s">
        <v>662</v>
      </c>
      <c r="B18" s="172">
        <f>B292</f>
        <v>0</v>
      </c>
      <c r="C18" s="172">
        <f>C292</f>
        <v>-260</v>
      </c>
      <c r="D18" s="172">
        <f>D292</f>
        <v>-6159</v>
      </c>
      <c r="E18" s="15">
        <f t="shared" si="4"/>
        <v>-6419</v>
      </c>
      <c r="F18" s="172">
        <f>F292</f>
        <v>-34505</v>
      </c>
      <c r="G18" s="172">
        <f>G292</f>
        <v>-3516</v>
      </c>
      <c r="H18" s="172">
        <f>H292</f>
        <v>-83579</v>
      </c>
      <c r="I18" s="15">
        <f t="shared" si="0"/>
        <v>-121600</v>
      </c>
      <c r="J18" s="172">
        <f>J292</f>
        <v>-87950</v>
      </c>
      <c r="K18" s="172">
        <f>K292</f>
        <v>-97320</v>
      </c>
      <c r="L18" s="172">
        <f>L292</f>
        <v>-2011</v>
      </c>
      <c r="M18" s="15">
        <f t="shared" si="1"/>
        <v>-187281</v>
      </c>
      <c r="N18" s="172">
        <f>N292</f>
        <v>-10146</v>
      </c>
      <c r="O18" s="172">
        <f>O292</f>
        <v>0</v>
      </c>
      <c r="P18" s="172">
        <f>P292</f>
        <v>0</v>
      </c>
      <c r="Q18" s="29">
        <f t="shared" si="2"/>
        <v>-10146</v>
      </c>
      <c r="R18" s="15">
        <f t="shared" si="3"/>
        <v>-325446</v>
      </c>
    </row>
    <row r="19" spans="1:20" ht="16.5" customHeight="1" thickBot="1" x14ac:dyDescent="0.35">
      <c r="A19" s="237" t="s">
        <v>851</v>
      </c>
      <c r="B19" s="238">
        <f>(B29)</f>
        <v>175142</v>
      </c>
      <c r="C19" s="238">
        <f>(C29)</f>
        <v>109033</v>
      </c>
      <c r="D19" s="238">
        <f>(D29)</f>
        <v>144761</v>
      </c>
      <c r="E19" s="16">
        <f t="shared" si="4"/>
        <v>428936</v>
      </c>
      <c r="F19" s="238">
        <f>(F29)</f>
        <v>155376</v>
      </c>
      <c r="G19" s="238">
        <f>(G29)</f>
        <v>176442</v>
      </c>
      <c r="H19" s="238">
        <f>(H29)</f>
        <v>81465</v>
      </c>
      <c r="I19" s="16">
        <f t="shared" si="0"/>
        <v>413283</v>
      </c>
      <c r="J19" s="238">
        <f>(J29)</f>
        <v>73014</v>
      </c>
      <c r="K19" s="238">
        <f>(K29)</f>
        <v>70573</v>
      </c>
      <c r="L19" s="238">
        <f>(L29)</f>
        <v>164863</v>
      </c>
      <c r="M19" s="16">
        <f t="shared" si="1"/>
        <v>308450</v>
      </c>
      <c r="N19" s="238">
        <f>(N29)</f>
        <v>117898</v>
      </c>
      <c r="O19" s="238">
        <f>(O29)</f>
        <v>117023</v>
      </c>
      <c r="P19" s="238">
        <f>(P29)</f>
        <v>128303</v>
      </c>
      <c r="Q19" s="30">
        <f t="shared" si="2"/>
        <v>363224</v>
      </c>
      <c r="R19" s="16">
        <f t="shared" si="3"/>
        <v>1513893</v>
      </c>
      <c r="S19">
        <v>1486000</v>
      </c>
      <c r="T19" t="s">
        <v>3033</v>
      </c>
    </row>
    <row r="20" spans="1:20" ht="16.5" customHeight="1" thickBot="1" x14ac:dyDescent="0.35">
      <c r="A20" s="237" t="s">
        <v>496</v>
      </c>
      <c r="B20" s="238">
        <v>180492</v>
      </c>
      <c r="C20" s="238">
        <v>109441</v>
      </c>
      <c r="D20" s="238">
        <v>146368</v>
      </c>
      <c r="E20" s="16">
        <f>SUM(B20:D20)</f>
        <v>436301</v>
      </c>
      <c r="F20" s="238">
        <v>154414</v>
      </c>
      <c r="G20" s="238">
        <v>177030</v>
      </c>
      <c r="H20" s="238">
        <v>77195</v>
      </c>
      <c r="I20" s="16">
        <f>SUM(F20:H20)</f>
        <v>408639</v>
      </c>
      <c r="J20" s="238">
        <v>70484</v>
      </c>
      <c r="K20" s="238">
        <v>69587</v>
      </c>
      <c r="L20" s="238">
        <v>167508</v>
      </c>
      <c r="M20" s="16">
        <f t="shared" si="1"/>
        <v>307579</v>
      </c>
      <c r="N20" s="238">
        <v>115253</v>
      </c>
      <c r="O20" s="238">
        <v>120080</v>
      </c>
      <c r="P20" s="238">
        <v>130170</v>
      </c>
      <c r="Q20" s="30">
        <f>SUM(N20:P20)</f>
        <v>365503</v>
      </c>
      <c r="R20" s="16">
        <f t="shared" si="3"/>
        <v>1518022</v>
      </c>
    </row>
    <row r="21" spans="1:20" ht="15.75" customHeight="1" x14ac:dyDescent="0.3">
      <c r="A21" s="172"/>
      <c r="B21" s="172"/>
      <c r="C21" s="172"/>
      <c r="D21" s="172"/>
      <c r="E21" s="172"/>
      <c r="F21" s="172"/>
      <c r="G21" s="172"/>
      <c r="H21" s="172"/>
      <c r="I21" s="172"/>
      <c r="J21" s="172"/>
      <c r="K21" s="172"/>
      <c r="L21" s="172"/>
      <c r="M21" s="172"/>
      <c r="N21" s="172"/>
      <c r="O21" s="172"/>
      <c r="P21" s="172"/>
      <c r="Q21" s="172"/>
      <c r="R21" s="17"/>
    </row>
    <row r="22" spans="1:20" ht="15.75" customHeight="1" thickBot="1" x14ac:dyDescent="0.35">
      <c r="A22" s="172"/>
      <c r="B22" s="172"/>
      <c r="C22" s="172"/>
      <c r="D22" s="172"/>
      <c r="E22" s="172"/>
      <c r="F22" s="239" t="s">
        <v>852</v>
      </c>
      <c r="G22" s="239" t="s">
        <v>852</v>
      </c>
      <c r="H22" s="172"/>
      <c r="I22" s="172"/>
      <c r="J22" s="172"/>
      <c r="K22" s="172"/>
      <c r="L22" s="172"/>
      <c r="M22" s="172"/>
      <c r="N22" s="239" t="s">
        <v>852</v>
      </c>
      <c r="O22" s="239" t="s">
        <v>852</v>
      </c>
      <c r="P22" s="239" t="s">
        <v>852</v>
      </c>
      <c r="Q22" s="239"/>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41"/>
      <c r="B24" s="242"/>
      <c r="C24" s="242"/>
      <c r="D24" s="242"/>
      <c r="E24" s="243"/>
      <c r="F24" s="242"/>
      <c r="G24" s="242"/>
      <c r="H24" s="242"/>
      <c r="I24" s="243"/>
      <c r="J24" s="242"/>
      <c r="K24" s="242"/>
      <c r="L24" s="242"/>
      <c r="M24" s="243"/>
      <c r="N24" s="242"/>
      <c r="O24" s="242"/>
      <c r="P24" s="242"/>
      <c r="Q24" s="243"/>
      <c r="R24" s="19"/>
    </row>
    <row r="25" spans="1:20" ht="16.5" customHeight="1" thickBot="1" x14ac:dyDescent="0.35">
      <c r="A25" s="244" t="s">
        <v>853</v>
      </c>
      <c r="B25" s="238">
        <v>97</v>
      </c>
      <c r="C25" s="238">
        <v>148</v>
      </c>
      <c r="D25" s="238">
        <v>274</v>
      </c>
      <c r="E25" s="14">
        <f>SUM(B25:D25)</f>
        <v>519</v>
      </c>
      <c r="F25" s="238">
        <v>367</v>
      </c>
      <c r="G25" s="238">
        <v>425</v>
      </c>
      <c r="H25" s="238">
        <v>417</v>
      </c>
      <c r="I25" s="14">
        <f>SUM(F25:H25)</f>
        <v>1209</v>
      </c>
      <c r="J25" s="238">
        <v>416</v>
      </c>
      <c r="K25" s="238">
        <v>334</v>
      </c>
      <c r="L25" s="238">
        <v>316</v>
      </c>
      <c r="M25" s="14">
        <f>SUM(J25:L25)</f>
        <v>1066</v>
      </c>
      <c r="N25" s="238">
        <v>285</v>
      </c>
      <c r="O25" s="238">
        <v>235</v>
      </c>
      <c r="P25" s="238">
        <v>186</v>
      </c>
      <c r="Q25" s="14">
        <f>SUM(N25:P25)</f>
        <v>706</v>
      </c>
      <c r="R25" s="16">
        <f>+E25+I25+M25+Q25</f>
        <v>3500</v>
      </c>
    </row>
    <row r="26" spans="1:20" ht="16.5" customHeight="1" thickBot="1" x14ac:dyDescent="0.35">
      <c r="A26" s="22"/>
      <c r="B26" s="242"/>
      <c r="C26" s="242"/>
      <c r="D26" s="242"/>
      <c r="E26" s="21"/>
      <c r="F26" s="242"/>
      <c r="G26" s="242"/>
      <c r="H26" s="242"/>
      <c r="I26" s="21"/>
      <c r="J26" s="242"/>
      <c r="K26" s="242"/>
      <c r="L26" s="242"/>
      <c r="M26" s="21"/>
      <c r="N26" s="242"/>
      <c r="O26" s="242"/>
      <c r="P26" s="242"/>
      <c r="Q26" s="21"/>
      <c r="R26" s="13"/>
    </row>
    <row r="27" spans="1:20" ht="15.75" customHeight="1" x14ac:dyDescent="0.3">
      <c r="A27" s="234" t="s">
        <v>2011</v>
      </c>
      <c r="B27" s="172">
        <f>B25</f>
        <v>97</v>
      </c>
      <c r="C27" s="172">
        <f>C25</f>
        <v>148</v>
      </c>
      <c r="D27" s="172">
        <f>D25</f>
        <v>274</v>
      </c>
      <c r="E27" s="14">
        <f>SUM(B27:D27)</f>
        <v>519</v>
      </c>
      <c r="F27" s="172">
        <f>F25</f>
        <v>367</v>
      </c>
      <c r="G27" s="172">
        <f>G25</f>
        <v>425</v>
      </c>
      <c r="H27" s="172">
        <f>H25</f>
        <v>417</v>
      </c>
      <c r="I27" s="14">
        <f>SUM(F27:H27)</f>
        <v>1209</v>
      </c>
      <c r="J27" s="172">
        <f>J25</f>
        <v>416</v>
      </c>
      <c r="K27" s="172">
        <f>K25</f>
        <v>334</v>
      </c>
      <c r="L27" s="172">
        <f>L25</f>
        <v>316</v>
      </c>
      <c r="M27" s="14">
        <f>SUM(J27:L27)</f>
        <v>1066</v>
      </c>
      <c r="N27" s="172">
        <f>N25</f>
        <v>285</v>
      </c>
      <c r="O27" s="172">
        <f>O25</f>
        <v>235</v>
      </c>
      <c r="P27" s="172">
        <f>P25</f>
        <v>186</v>
      </c>
      <c r="Q27" s="28">
        <f>SUM(N27:P27)</f>
        <v>706</v>
      </c>
      <c r="R27" s="14">
        <f>+E27+I27+M27+Q27</f>
        <v>3500</v>
      </c>
    </row>
    <row r="28" spans="1:20" ht="15.75" customHeight="1" x14ac:dyDescent="0.3">
      <c r="A28" s="234" t="s">
        <v>1897</v>
      </c>
      <c r="B28" s="172">
        <f>(B27/B10)/1.983</f>
        <v>1.5779285214647079</v>
      </c>
      <c r="C28" s="172">
        <f>(C27/C10)/1.983</f>
        <v>2.6655140119587926</v>
      </c>
      <c r="D28" s="172">
        <f>(D27/D10)/1.983</f>
        <v>4.457241390529175</v>
      </c>
      <c r="E28" s="15"/>
      <c r="F28" s="172">
        <f>(F27/F10)/1.983</f>
        <v>6.1691040511010247</v>
      </c>
      <c r="G28" s="172">
        <f>(G27/G10)/1.983</f>
        <v>6.9136043466237203</v>
      </c>
      <c r="H28" s="172">
        <f>(H27/H10)/1.983</f>
        <v>7.0095814422592033</v>
      </c>
      <c r="I28" s="15"/>
      <c r="J28" s="172">
        <f>(J27/J10)/1.983</f>
        <v>6.7671986075187478</v>
      </c>
      <c r="K28" s="172">
        <f>(K27/K10)/1.983</f>
        <v>5.433279651228994</v>
      </c>
      <c r="L28" s="172">
        <f>(L27/L10)/1.983</f>
        <v>5.3118171121196838</v>
      </c>
      <c r="M28" s="15"/>
      <c r="N28" s="172">
        <f>(N27/N10)/1.983</f>
        <v>4.6361817383241419</v>
      </c>
      <c r="O28" s="172">
        <f>(O27/O10)/1.983</f>
        <v>3.9502437384434357</v>
      </c>
      <c r="P28" s="172">
        <f>(P27/P10)/1.983</f>
        <v>3.02571860816944</v>
      </c>
      <c r="Q28" s="29"/>
      <c r="R28" s="15"/>
    </row>
    <row r="29" spans="1:20" ht="15.75" customHeight="1" x14ac:dyDescent="0.3">
      <c r="A29" s="234" t="s">
        <v>1119</v>
      </c>
      <c r="B29" s="172">
        <f>B27+B64</f>
        <v>175142</v>
      </c>
      <c r="C29" s="172">
        <f>C27+C64</f>
        <v>109033</v>
      </c>
      <c r="D29" s="172">
        <f>D27+D64</f>
        <v>144761</v>
      </c>
      <c r="E29" s="15">
        <f>SUM(B29:D29)</f>
        <v>428936</v>
      </c>
      <c r="F29" s="172">
        <f>F27+F64</f>
        <v>155376</v>
      </c>
      <c r="G29" s="172">
        <f>G27+G64</f>
        <v>176442</v>
      </c>
      <c r="H29" s="172">
        <f>H27+H64</f>
        <v>81465</v>
      </c>
      <c r="I29" s="15">
        <f>SUM(F29:H29)</f>
        <v>413283</v>
      </c>
      <c r="J29" s="172">
        <f>J27+J64</f>
        <v>73014</v>
      </c>
      <c r="K29" s="172">
        <f>K27+K64</f>
        <v>70573</v>
      </c>
      <c r="L29" s="172">
        <f>L27+L64</f>
        <v>164863</v>
      </c>
      <c r="M29" s="15">
        <f>SUM(J29:L29)</f>
        <v>308450</v>
      </c>
      <c r="N29" s="172">
        <f>N27+N64</f>
        <v>117898</v>
      </c>
      <c r="O29" s="172">
        <f>O27+O64</f>
        <v>117023</v>
      </c>
      <c r="P29" s="172">
        <f>P27+P64</f>
        <v>128303</v>
      </c>
      <c r="Q29" s="29">
        <f>SUM(N29:P29)</f>
        <v>363224</v>
      </c>
      <c r="R29" s="15">
        <f>+E29+I29+M29+Q29</f>
        <v>1513893</v>
      </c>
    </row>
    <row r="30" spans="1:20" s="574" customFormat="1" ht="16.5" customHeight="1" thickBot="1" x14ac:dyDescent="0.35">
      <c r="A30" s="570" t="s">
        <v>1968</v>
      </c>
      <c r="B30" s="571">
        <f>(B29/B10)/1.983</f>
        <v>2849.088217591463</v>
      </c>
      <c r="C30" s="571">
        <f>(C29/C10)/1.983</f>
        <v>1963.7093869317771</v>
      </c>
      <c r="D30" s="571">
        <f>(D29/D10)/1.983</f>
        <v>2354.8712442861092</v>
      </c>
      <c r="E30" s="572"/>
      <c r="F30" s="571">
        <f>(F29/F10)/1.983</f>
        <v>2611.8003025718608</v>
      </c>
      <c r="G30" s="571">
        <f>(G29/G10)/1.983</f>
        <v>2870.2357132399588</v>
      </c>
      <c r="H30" s="571">
        <f>(H29/H10)/1.983</f>
        <v>1369.389813414019</v>
      </c>
      <c r="I30" s="572"/>
      <c r="J30" s="571">
        <f>(J29/J10)/1.983</f>
        <v>1187.7409594456103</v>
      </c>
      <c r="K30" s="571">
        <f>(K29/K10)/1.983</f>
        <v>1148.0324695394725</v>
      </c>
      <c r="L30" s="571">
        <f>(L29/L10)/1.983</f>
        <v>2771.2724827702132</v>
      </c>
      <c r="M30" s="572"/>
      <c r="N30" s="571">
        <f>(N29/N10)/1.983</f>
        <v>1917.8826476664551</v>
      </c>
      <c r="O30" s="571">
        <f>(O29/O10)/1.983</f>
        <v>1967.1037149100689</v>
      </c>
      <c r="P30" s="571">
        <f>(P29/P10)/1.983</f>
        <v>2087.1439493761491</v>
      </c>
      <c r="Q30" s="573"/>
      <c r="R30" s="572"/>
      <c r="T30" s="575" t="s">
        <v>2172</v>
      </c>
    </row>
    <row r="31" spans="1:20" ht="15.75" customHeight="1" x14ac:dyDescent="0.3">
      <c r="A31" s="17"/>
      <c r="B31" s="172"/>
      <c r="C31" s="172"/>
      <c r="D31" s="172"/>
      <c r="E31" s="172"/>
      <c r="F31" s="172"/>
      <c r="G31" s="172"/>
      <c r="H31" s="172"/>
      <c r="I31" s="172"/>
      <c r="J31" s="172"/>
      <c r="K31" s="172"/>
      <c r="L31" s="172"/>
      <c r="M31" s="172"/>
      <c r="N31" s="172"/>
      <c r="O31" s="172"/>
      <c r="P31" s="172"/>
      <c r="Q31" s="172"/>
      <c r="R31" s="17"/>
      <c r="T31" s="350" t="s">
        <v>2173</v>
      </c>
    </row>
    <row r="32" spans="1:20" ht="15.75" customHeight="1" thickBot="1" x14ac:dyDescent="0.35">
      <c r="A32" s="17"/>
      <c r="B32" s="172"/>
      <c r="C32" s="172"/>
      <c r="D32" s="172"/>
      <c r="E32" s="172"/>
      <c r="F32" s="172"/>
      <c r="G32" s="172"/>
      <c r="H32" s="172"/>
      <c r="I32" s="172"/>
      <c r="J32" s="172"/>
      <c r="K32" s="172"/>
      <c r="L32" s="172"/>
      <c r="M32" s="172"/>
      <c r="N32" s="172"/>
      <c r="O32" s="172"/>
      <c r="P32" s="172"/>
      <c r="Q32" s="172"/>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246"/>
      <c r="C34" s="232"/>
      <c r="D34" s="232"/>
      <c r="E34" s="233"/>
      <c r="F34" s="232"/>
      <c r="G34" s="232"/>
      <c r="H34" s="232"/>
      <c r="I34" s="233"/>
      <c r="J34" s="232"/>
      <c r="K34" s="232"/>
      <c r="L34" s="232"/>
      <c r="M34" s="233"/>
      <c r="N34" s="232"/>
      <c r="O34" s="232"/>
      <c r="P34" s="232"/>
      <c r="Q34" s="233"/>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72"/>
      <c r="C38" s="172"/>
      <c r="D38" s="172"/>
      <c r="E38" s="38">
        <f>SUM(B38:D38)</f>
        <v>0</v>
      </c>
      <c r="F38" s="172"/>
      <c r="G38" s="172"/>
      <c r="H38" s="172"/>
      <c r="I38" s="38">
        <f>SUM(F38:H38)</f>
        <v>0</v>
      </c>
      <c r="J38" s="172"/>
      <c r="K38" s="172"/>
      <c r="L38" s="172"/>
      <c r="M38" s="38">
        <f>SUM(J38:L38)</f>
        <v>0</v>
      </c>
      <c r="N38" s="172"/>
      <c r="O38" s="172"/>
      <c r="P38" s="172"/>
      <c r="Q38" s="38">
        <f>SUM(N38:P38)</f>
        <v>0</v>
      </c>
      <c r="R38" s="38">
        <f>+E38+I38+M38+Q38</f>
        <v>0</v>
      </c>
    </row>
    <row r="39" spans="1:18" ht="15.75" customHeight="1" x14ac:dyDescent="0.3">
      <c r="A39" s="235" t="s">
        <v>2162</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0</v>
      </c>
      <c r="D41" s="42">
        <f>SUM(D35:D40)</f>
        <v>0</v>
      </c>
      <c r="E41" s="37">
        <f>SUM(B41:D41)</f>
        <v>0</v>
      </c>
      <c r="F41" s="42">
        <f>SUM(F35:F40)</f>
        <v>0</v>
      </c>
      <c r="G41" s="42">
        <f>SUM(G35:G40)</f>
        <v>0</v>
      </c>
      <c r="H41" s="42">
        <f>SUM(H35:H40)</f>
        <v>0</v>
      </c>
      <c r="I41" s="37">
        <f>SUM(F41:H41)</f>
        <v>0</v>
      </c>
      <c r="J41" s="42">
        <f>SUM(J35:J40)</f>
        <v>0</v>
      </c>
      <c r="K41" s="42">
        <f>SUM(K35:K40)</f>
        <v>0</v>
      </c>
      <c r="L41" s="42">
        <f>SUM(L35:L40)</f>
        <v>0</v>
      </c>
      <c r="M41" s="37">
        <f>SUM(J41:L41)</f>
        <v>0</v>
      </c>
      <c r="N41" s="42">
        <f>SUM(N35:N40)</f>
        <v>0</v>
      </c>
      <c r="O41" s="42">
        <f>SUM(O35:O40)</f>
        <v>0</v>
      </c>
      <c r="P41" s="42">
        <f>SUM(P35:P40)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72"/>
      <c r="C54" s="172"/>
      <c r="D54" s="172"/>
      <c r="E54" s="38">
        <f>SUM(B54:D54)</f>
        <v>0</v>
      </c>
      <c r="F54" s="172"/>
      <c r="G54" s="172"/>
      <c r="H54" s="172"/>
      <c r="I54" s="38">
        <f>SUM(F54:H54)</f>
        <v>0</v>
      </c>
      <c r="J54" s="172"/>
      <c r="K54" s="172"/>
      <c r="L54" s="172"/>
      <c r="M54" s="38">
        <f>SUM(J54:L54)</f>
        <v>0</v>
      </c>
      <c r="N54" s="172"/>
      <c r="O54" s="172"/>
      <c r="P54" s="172"/>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0</v>
      </c>
      <c r="D59" s="42">
        <f>+D41+D46+D50+D58</f>
        <v>0</v>
      </c>
      <c r="E59" s="37">
        <f>SUM(B59:D59)</f>
        <v>0</v>
      </c>
      <c r="F59" s="42">
        <f>+F41+F46+F50+F58</f>
        <v>0</v>
      </c>
      <c r="G59" s="42">
        <f>+G41+G46+G50+G58</f>
        <v>0</v>
      </c>
      <c r="H59" s="42">
        <f>+H41+H46+H50+H58</f>
        <v>0</v>
      </c>
      <c r="I59" s="37">
        <f>SUM(F59:H59)</f>
        <v>0</v>
      </c>
      <c r="J59" s="42">
        <f>+J41+J46+J50+J58</f>
        <v>0</v>
      </c>
      <c r="K59" s="42">
        <f>+K41+K46+K50+K58</f>
        <v>0</v>
      </c>
      <c r="L59" s="42">
        <f>+L41+L46+L50+L58</f>
        <v>0</v>
      </c>
      <c r="M59" s="37">
        <f>SUM(J59:L59)</f>
        <v>0</v>
      </c>
      <c r="N59" s="42">
        <f>+N41+N46+N50+N58</f>
        <v>0</v>
      </c>
      <c r="O59" s="42">
        <f>+O41+O46+O50+O58</f>
        <v>0</v>
      </c>
      <c r="P59" s="42">
        <f>+P41+P46+P50+P58</f>
        <v>0</v>
      </c>
      <c r="Q59" s="37">
        <f>SUM(N59:P59)</f>
        <v>0</v>
      </c>
      <c r="R59" s="37">
        <f>+E59+I59+M59+Q59</f>
        <v>0</v>
      </c>
    </row>
    <row r="60" spans="1:18" ht="16.5" customHeight="1" thickBot="1" x14ac:dyDescent="0.35">
      <c r="A60" s="250" t="s">
        <v>853</v>
      </c>
      <c r="B60" s="251">
        <v>96</v>
      </c>
      <c r="C60" s="251">
        <v>145</v>
      </c>
      <c r="D60" s="251">
        <v>261</v>
      </c>
      <c r="E60" s="21">
        <f>SUM(B60:D60)</f>
        <v>502</v>
      </c>
      <c r="F60" s="251">
        <v>350</v>
      </c>
      <c r="G60" s="251">
        <v>402</v>
      </c>
      <c r="H60" s="251">
        <v>396</v>
      </c>
      <c r="I60" s="21">
        <f>SUM(F60:H60)</f>
        <v>1148</v>
      </c>
      <c r="J60" s="251">
        <v>394</v>
      </c>
      <c r="K60" s="251">
        <v>318</v>
      </c>
      <c r="L60" s="251">
        <v>301</v>
      </c>
      <c r="M60" s="21">
        <f>SUM(J60:L60)</f>
        <v>1013</v>
      </c>
      <c r="N60" s="251">
        <v>272</v>
      </c>
      <c r="O60" s="251">
        <v>226</v>
      </c>
      <c r="P60" s="251">
        <v>179</v>
      </c>
      <c r="Q60" s="21">
        <f>SUM(N60:P60)</f>
        <v>677</v>
      </c>
      <c r="R60" s="21">
        <f>+E60+I60+M60+Q60</f>
        <v>3340</v>
      </c>
    </row>
    <row r="61" spans="1:18" ht="16.5" customHeight="1" thickBot="1" x14ac:dyDescent="0.35">
      <c r="A61" s="22"/>
      <c r="B61" s="242"/>
      <c r="C61" s="242"/>
      <c r="D61" s="242"/>
      <c r="E61" s="16"/>
      <c r="F61" s="242"/>
      <c r="G61" s="242"/>
      <c r="H61" s="242"/>
      <c r="I61" s="16"/>
      <c r="J61" s="242"/>
      <c r="K61" s="242"/>
      <c r="L61" s="242"/>
      <c r="M61" s="16"/>
      <c r="N61" s="242"/>
      <c r="O61" s="242"/>
      <c r="P61" s="242"/>
      <c r="Q61" s="16"/>
      <c r="R61" s="22"/>
    </row>
    <row r="62" spans="1:18" ht="15.75" customHeight="1" x14ac:dyDescent="0.3">
      <c r="A62" s="234" t="s">
        <v>2011</v>
      </c>
      <c r="B62" s="172">
        <f>+B59+B60</f>
        <v>96</v>
      </c>
      <c r="C62" s="172">
        <f>+C59+C60</f>
        <v>145</v>
      </c>
      <c r="D62" s="172">
        <f>+D59+D60</f>
        <v>261</v>
      </c>
      <c r="E62" s="14">
        <f>SUM(B62:D62)</f>
        <v>502</v>
      </c>
      <c r="F62" s="172">
        <f>+F59+F60</f>
        <v>350</v>
      </c>
      <c r="G62" s="172">
        <f>+G59+G60</f>
        <v>402</v>
      </c>
      <c r="H62" s="172">
        <f>+H59+H60</f>
        <v>396</v>
      </c>
      <c r="I62" s="14">
        <f>SUM(F62:H62)</f>
        <v>1148</v>
      </c>
      <c r="J62" s="172">
        <f>+J59+J60</f>
        <v>394</v>
      </c>
      <c r="K62" s="172">
        <f>+K59+K60</f>
        <v>318</v>
      </c>
      <c r="L62" s="172">
        <f>+L59+L60</f>
        <v>301</v>
      </c>
      <c r="M62" s="14">
        <f>SUM(J62:L62)</f>
        <v>1013</v>
      </c>
      <c r="N62" s="172">
        <f>+N59+N60</f>
        <v>272</v>
      </c>
      <c r="O62" s="172">
        <f>+O59+O60</f>
        <v>226</v>
      </c>
      <c r="P62" s="172">
        <f>+P59+P60</f>
        <v>179</v>
      </c>
      <c r="Q62" s="28">
        <f>SUM(N62:P62)</f>
        <v>677</v>
      </c>
      <c r="R62" s="15">
        <f>+E62+I62+M62+Q62</f>
        <v>3340</v>
      </c>
    </row>
    <row r="63" spans="1:18" ht="15.75" customHeight="1" x14ac:dyDescent="0.3">
      <c r="A63" s="234" t="s">
        <v>1897</v>
      </c>
      <c r="B63" s="172">
        <f>(B62/B10)/1.983</f>
        <v>1.5616612171197111</v>
      </c>
      <c r="C63" s="172">
        <f>(C62/C10)/1.983</f>
        <v>2.6114833225271954</v>
      </c>
      <c r="D63" s="172">
        <f>(D62/D10)/1.983</f>
        <v>4.2457664340442145</v>
      </c>
      <c r="E63" s="15"/>
      <c r="F63" s="172">
        <f>(F62/F10)/1.983</f>
        <v>5.8833417381072444</v>
      </c>
      <c r="G63" s="172">
        <f>(G62/G10)/1.983</f>
        <v>6.5394563466887892</v>
      </c>
      <c r="H63" s="172">
        <f>(H62/H10)/1.983</f>
        <v>6.6565809379727678</v>
      </c>
      <c r="I63" s="15"/>
      <c r="J63" s="172">
        <f>(J62/J10)/1.983</f>
        <v>6.4093179119288139</v>
      </c>
      <c r="K63" s="172">
        <f>(K62/K10)/1.983</f>
        <v>5.1730027817090427</v>
      </c>
      <c r="L63" s="172">
        <f>(L62/L10)/1.983</f>
        <v>5.0596738947722306</v>
      </c>
      <c r="M63" s="15"/>
      <c r="N63" s="172">
        <f>(N62/N10)/1.983</f>
        <v>4.4247067818391805</v>
      </c>
      <c r="O63" s="172">
        <f>(O62/O10)/1.983</f>
        <v>3.7989578080349635</v>
      </c>
      <c r="P63" s="172">
        <f>(P62/P10)/1.983</f>
        <v>2.9118474777544612</v>
      </c>
      <c r="Q63" s="29"/>
      <c r="R63" s="20"/>
    </row>
    <row r="64" spans="1:18" ht="15.75" customHeight="1" x14ac:dyDescent="0.3">
      <c r="A64" s="234" t="s">
        <v>1969</v>
      </c>
      <c r="B64" s="172">
        <f>B62+B132</f>
        <v>175045</v>
      </c>
      <c r="C64" s="172">
        <f>C62+C132</f>
        <v>108885</v>
      </c>
      <c r="D64" s="172">
        <f>D62+D132</f>
        <v>144487</v>
      </c>
      <c r="E64" s="15">
        <f>SUM(B64:D64)</f>
        <v>428417</v>
      </c>
      <c r="F64" s="172">
        <f>F62+F132</f>
        <v>155009</v>
      </c>
      <c r="G64" s="172">
        <f>G62+G132</f>
        <v>176017</v>
      </c>
      <c r="H64" s="172">
        <f>H62+H132</f>
        <v>81048</v>
      </c>
      <c r="I64" s="15">
        <f>SUM(F64:H64)</f>
        <v>412074</v>
      </c>
      <c r="J64" s="172">
        <f>J62+J132</f>
        <v>72598</v>
      </c>
      <c r="K64" s="172">
        <f>K62+K132</f>
        <v>70239</v>
      </c>
      <c r="L64" s="172">
        <f>L62+L132</f>
        <v>164547</v>
      </c>
      <c r="M64" s="15">
        <f>SUM(J64:L64)</f>
        <v>307384</v>
      </c>
      <c r="N64" s="172">
        <f>N62+N132</f>
        <v>117613</v>
      </c>
      <c r="O64" s="172">
        <f>O62+O132</f>
        <v>116788</v>
      </c>
      <c r="P64" s="172">
        <f>P62+P132</f>
        <v>128117</v>
      </c>
      <c r="Q64" s="29">
        <f>SUM(N64:P64)</f>
        <v>362518</v>
      </c>
      <c r="R64" s="15">
        <f>+E64+I64+M64+Q64</f>
        <v>1510393</v>
      </c>
    </row>
    <row r="65" spans="1:20" ht="16.5" customHeight="1" thickBot="1" x14ac:dyDescent="0.35">
      <c r="A65" s="237" t="s">
        <v>1970</v>
      </c>
      <c r="B65" s="238">
        <f>(B64/B10)/1.983</f>
        <v>2847.5102890699982</v>
      </c>
      <c r="C65" s="238">
        <f>(C64/C10)/1.983</f>
        <v>1961.0438729198183</v>
      </c>
      <c r="D65" s="238">
        <f>(D64/D10)/1.983</f>
        <v>2350.4140028955803</v>
      </c>
      <c r="E65" s="16"/>
      <c r="F65" s="238">
        <f>(F64/F10)/1.983</f>
        <v>2605.6311985207594</v>
      </c>
      <c r="G65" s="238">
        <f>(G64/G10)/1.983</f>
        <v>2863.3221088933351</v>
      </c>
      <c r="H65" s="238">
        <f>(H64/H10)/1.983</f>
        <v>1362.3802319717599</v>
      </c>
      <c r="I65" s="16"/>
      <c r="J65" s="238">
        <f>(J64/J10)/1.983</f>
        <v>1180.9737608380915</v>
      </c>
      <c r="K65" s="238">
        <f>(K64/K10)/1.983</f>
        <v>1142.5991898882437</v>
      </c>
      <c r="L65" s="238">
        <f>(L64/L10)/1.983</f>
        <v>2765.9606656580936</v>
      </c>
      <c r="M65" s="16"/>
      <c r="N65" s="238">
        <f>(N64/N10)/1.983</f>
        <v>1913.2464659281309</v>
      </c>
      <c r="O65" s="238">
        <f>(O64/O10)/1.983</f>
        <v>1963.1534711716254</v>
      </c>
      <c r="P65" s="238">
        <f>(P64/P10)/1.983</f>
        <v>2084.1182307679796</v>
      </c>
      <c r="Q65" s="30"/>
      <c r="R65" s="23" t="s">
        <v>852</v>
      </c>
    </row>
    <row r="66" spans="1:20" ht="15.75" customHeight="1" x14ac:dyDescent="0.3">
      <c r="A66" s="17"/>
      <c r="B66" s="172"/>
      <c r="C66" s="172"/>
      <c r="D66" s="172"/>
      <c r="E66" s="172"/>
      <c r="F66" s="172"/>
      <c r="G66" s="172"/>
      <c r="H66" s="172"/>
      <c r="I66" s="172"/>
      <c r="J66" s="172"/>
      <c r="K66" s="172"/>
      <c r="L66" s="172"/>
      <c r="M66" s="172"/>
      <c r="N66" s="172"/>
      <c r="O66" s="172"/>
      <c r="P66" s="172"/>
      <c r="Q66" s="172"/>
      <c r="R66" s="17"/>
    </row>
    <row r="67" spans="1:20" ht="15.75" customHeight="1" thickBot="1" x14ac:dyDescent="0.35">
      <c r="A67" s="17"/>
      <c r="B67" s="172"/>
      <c r="C67" s="172"/>
      <c r="D67" s="172"/>
      <c r="E67" s="172"/>
      <c r="F67" s="172"/>
      <c r="G67" s="172"/>
      <c r="H67" s="172"/>
      <c r="I67" s="172"/>
      <c r="J67" s="172"/>
      <c r="K67" s="172"/>
      <c r="L67" s="172"/>
      <c r="M67" s="172"/>
      <c r="N67" s="172"/>
      <c r="O67" s="172"/>
      <c r="P67" s="172"/>
      <c r="Q67" s="172"/>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231"/>
      <c r="C69" s="253"/>
      <c r="D69" s="253"/>
      <c r="E69" s="254"/>
      <c r="F69" s="253"/>
      <c r="G69" s="253"/>
      <c r="H69" s="253"/>
      <c r="I69" s="254"/>
      <c r="J69" s="253"/>
      <c r="K69" s="253"/>
      <c r="L69" s="253"/>
      <c r="M69" s="254"/>
      <c r="N69" s="253"/>
      <c r="O69" s="253"/>
      <c r="P69" s="255"/>
      <c r="Q69" s="254"/>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72"/>
      <c r="C72" s="172"/>
      <c r="D72" s="172"/>
      <c r="E72" s="38">
        <f t="shared" ref="E72:E81" si="5">SUM(B72:D72)</f>
        <v>0</v>
      </c>
      <c r="F72" s="172"/>
      <c r="G72" s="172"/>
      <c r="H72" s="172"/>
      <c r="I72" s="38">
        <f t="shared" ref="I72:I81" si="6">SUM(F72:H72)</f>
        <v>0</v>
      </c>
      <c r="J72" s="172"/>
      <c r="K72" s="172"/>
      <c r="L72" s="172"/>
      <c r="M72" s="38">
        <f t="shared" ref="M72:M81" si="7">SUM(J72:L72)</f>
        <v>0</v>
      </c>
      <c r="N72" s="172"/>
      <c r="O72" s="172"/>
      <c r="P72" s="172"/>
      <c r="Q72" s="38">
        <f t="shared" ref="Q72:Q81" si="8">SUM(N72:P72)</f>
        <v>0</v>
      </c>
      <c r="R72" s="38">
        <f t="shared" ref="R72:R81" si="9">+E72+I72+M72+Q72</f>
        <v>0</v>
      </c>
    </row>
    <row r="73" spans="1:20" ht="15.75" customHeight="1" x14ac:dyDescent="0.3">
      <c r="A73" s="539" t="s">
        <v>2732</v>
      </c>
      <c r="B73" s="172"/>
      <c r="C73" s="172"/>
      <c r="D73" s="172"/>
      <c r="E73" s="38">
        <f>SUM(B73:D73)</f>
        <v>0</v>
      </c>
      <c r="F73" s="172"/>
      <c r="G73" s="172"/>
      <c r="H73" s="172"/>
      <c r="I73" s="38">
        <f>SUM(F73:H73)</f>
        <v>0</v>
      </c>
      <c r="J73" s="172"/>
      <c r="K73" s="172"/>
      <c r="L73" s="172"/>
      <c r="M73" s="38">
        <f>SUM(J73:L73)</f>
        <v>0</v>
      </c>
      <c r="N73" s="172"/>
      <c r="O73" s="172"/>
      <c r="P73" s="172"/>
      <c r="Q73" s="38">
        <f>SUM(N73:P73)</f>
        <v>0</v>
      </c>
      <c r="R73" s="38">
        <f>+E73+I73+M73+Q73</f>
        <v>0</v>
      </c>
    </row>
    <row r="74" spans="1:20" ht="15.75" customHeight="1" x14ac:dyDescent="0.3">
      <c r="A74" s="539" t="s">
        <v>2060</v>
      </c>
      <c r="B74" s="172"/>
      <c r="C74" s="172"/>
      <c r="D74" s="172"/>
      <c r="E74" s="38">
        <f t="shared" si="5"/>
        <v>0</v>
      </c>
      <c r="F74" s="172"/>
      <c r="G74" s="172"/>
      <c r="H74" s="172"/>
      <c r="I74" s="38">
        <f t="shared" si="6"/>
        <v>0</v>
      </c>
      <c r="J74" s="172"/>
      <c r="K74" s="172"/>
      <c r="L74" s="172"/>
      <c r="M74" s="38">
        <f t="shared" si="7"/>
        <v>0</v>
      </c>
      <c r="N74" s="172"/>
      <c r="O74" s="172"/>
      <c r="P74" s="172"/>
      <c r="Q74" s="38">
        <f t="shared" si="8"/>
        <v>0</v>
      </c>
      <c r="R74" s="38">
        <f t="shared" si="9"/>
        <v>0</v>
      </c>
    </row>
    <row r="75" spans="1:20" ht="15.75" customHeight="1" x14ac:dyDescent="0.3">
      <c r="A75" s="539" t="s">
        <v>2773</v>
      </c>
      <c r="B75" s="172"/>
      <c r="C75" s="172"/>
      <c r="D75" s="172"/>
      <c r="E75" s="38">
        <f t="shared" si="5"/>
        <v>0</v>
      </c>
      <c r="F75" s="172"/>
      <c r="G75" s="172"/>
      <c r="H75" s="172"/>
      <c r="I75" s="38">
        <f t="shared" si="6"/>
        <v>0</v>
      </c>
      <c r="J75" s="172"/>
      <c r="K75" s="172"/>
      <c r="L75" s="172"/>
      <c r="M75" s="38">
        <f t="shared" si="7"/>
        <v>0</v>
      </c>
      <c r="N75" s="172"/>
      <c r="O75" s="172"/>
      <c r="P75" s="172"/>
      <c r="Q75" s="38">
        <f t="shared" si="8"/>
        <v>0</v>
      </c>
      <c r="R75" s="38">
        <f t="shared" si="9"/>
        <v>0</v>
      </c>
      <c r="T75" t="s">
        <v>2774</v>
      </c>
    </row>
    <row r="76" spans="1:20" ht="15.75" customHeight="1" x14ac:dyDescent="0.3">
      <c r="A76" s="539" t="s">
        <v>2794</v>
      </c>
      <c r="B76" s="172"/>
      <c r="C76" s="172"/>
      <c r="D76" s="172"/>
      <c r="E76" s="38">
        <f t="shared" si="5"/>
        <v>0</v>
      </c>
      <c r="F76" s="172"/>
      <c r="G76" s="172"/>
      <c r="H76" s="172"/>
      <c r="I76" s="38">
        <f t="shared" si="6"/>
        <v>0</v>
      </c>
      <c r="J76" s="172"/>
      <c r="K76" s="172"/>
      <c r="L76" s="172"/>
      <c r="M76" s="38">
        <f t="shared" si="7"/>
        <v>0</v>
      </c>
      <c r="N76" s="172"/>
      <c r="O76" s="172"/>
      <c r="P76" s="172"/>
      <c r="Q76" s="38">
        <f t="shared" si="8"/>
        <v>0</v>
      </c>
      <c r="R76" s="38">
        <f t="shared" si="9"/>
        <v>0</v>
      </c>
      <c r="T76" t="s">
        <v>2774</v>
      </c>
    </row>
    <row r="77" spans="1:20" ht="15.75" customHeight="1" x14ac:dyDescent="0.3">
      <c r="A77" s="539" t="s">
        <v>2262</v>
      </c>
      <c r="B77" s="172"/>
      <c r="C77" s="172"/>
      <c r="D77" s="172"/>
      <c r="E77" s="38">
        <f t="shared" si="5"/>
        <v>0</v>
      </c>
      <c r="F77" s="172"/>
      <c r="G77" s="172"/>
      <c r="H77" s="172"/>
      <c r="I77" s="38">
        <f t="shared" si="6"/>
        <v>0</v>
      </c>
      <c r="J77" s="172"/>
      <c r="K77" s="172"/>
      <c r="L77" s="172"/>
      <c r="M77" s="38">
        <f t="shared" si="7"/>
        <v>0</v>
      </c>
      <c r="N77" s="172"/>
      <c r="O77" s="172"/>
      <c r="P77" s="172"/>
      <c r="Q77" s="38">
        <f t="shared" si="8"/>
        <v>0</v>
      </c>
      <c r="R77" s="38">
        <f t="shared" si="9"/>
        <v>0</v>
      </c>
    </row>
    <row r="78" spans="1:20" ht="15.75" customHeight="1" x14ac:dyDescent="0.3">
      <c r="A78" s="539" t="s">
        <v>789</v>
      </c>
      <c r="B78" s="172"/>
      <c r="C78" s="172"/>
      <c r="D78" s="172"/>
      <c r="E78" s="38">
        <f t="shared" si="5"/>
        <v>0</v>
      </c>
      <c r="F78" s="172"/>
      <c r="G78" s="172"/>
      <c r="H78" s="172"/>
      <c r="I78" s="38">
        <f t="shared" si="6"/>
        <v>0</v>
      </c>
      <c r="J78" s="172"/>
      <c r="K78" s="172"/>
      <c r="L78" s="172"/>
      <c r="M78" s="38">
        <f t="shared" si="7"/>
        <v>0</v>
      </c>
      <c r="N78" s="172"/>
      <c r="O78" s="172"/>
      <c r="P78" s="172"/>
      <c r="Q78" s="38">
        <f t="shared" si="8"/>
        <v>0</v>
      </c>
      <c r="R78" s="38">
        <f t="shared" si="9"/>
        <v>0</v>
      </c>
      <c r="T78" t="s">
        <v>2799</v>
      </c>
    </row>
    <row r="79" spans="1:20" ht="15.75" customHeight="1" x14ac:dyDescent="0.3">
      <c r="A79" s="410" t="s">
        <v>2183</v>
      </c>
      <c r="B79" s="172"/>
      <c r="C79" s="172"/>
      <c r="D79" s="172"/>
      <c r="E79" s="38">
        <f t="shared" si="5"/>
        <v>0</v>
      </c>
      <c r="F79" s="172"/>
      <c r="G79" s="172"/>
      <c r="H79" s="172"/>
      <c r="I79" s="38">
        <f t="shared" si="6"/>
        <v>0</v>
      </c>
      <c r="J79" s="172"/>
      <c r="K79" s="172"/>
      <c r="L79" s="172"/>
      <c r="M79" s="38">
        <f t="shared" si="7"/>
        <v>0</v>
      </c>
      <c r="N79" s="172"/>
      <c r="O79" s="172"/>
      <c r="P79" s="172"/>
      <c r="Q79" s="38">
        <f t="shared" si="8"/>
        <v>0</v>
      </c>
      <c r="R79" s="38">
        <f t="shared" si="9"/>
        <v>0</v>
      </c>
    </row>
    <row r="80" spans="1:20" ht="15.75" customHeight="1" x14ac:dyDescent="0.3">
      <c r="A80" s="410" t="s">
        <v>2947</v>
      </c>
      <c r="B80" s="172"/>
      <c r="C80" s="172"/>
      <c r="D80" s="172"/>
      <c r="E80" s="38">
        <f>SUM(B80:D80)</f>
        <v>0</v>
      </c>
      <c r="F80" s="172"/>
      <c r="G80" s="172"/>
      <c r="H80" s="172"/>
      <c r="I80" s="38">
        <f>SUM(F80:H80)</f>
        <v>0</v>
      </c>
      <c r="J80" s="172"/>
      <c r="K80" s="172"/>
      <c r="L80" s="172"/>
      <c r="M80" s="38">
        <f>SUM(J80:L80)</f>
        <v>0</v>
      </c>
      <c r="N80" s="172"/>
      <c r="O80" s="172"/>
      <c r="P80" s="172"/>
      <c r="Q80" s="38">
        <f>SUM(N80:P80)</f>
        <v>0</v>
      </c>
      <c r="R80" s="38">
        <f t="shared" si="9"/>
        <v>0</v>
      </c>
    </row>
    <row r="81" spans="1:20" ht="15.75" customHeight="1" x14ac:dyDescent="0.3">
      <c r="A81" s="410" t="s">
        <v>86</v>
      </c>
      <c r="B81" s="172"/>
      <c r="C81" s="172"/>
      <c r="D81" s="172"/>
      <c r="E81" s="38">
        <f t="shared" si="5"/>
        <v>0</v>
      </c>
      <c r="F81" s="172"/>
      <c r="G81" s="172"/>
      <c r="H81" s="172"/>
      <c r="I81" s="38">
        <f t="shared" si="6"/>
        <v>0</v>
      </c>
      <c r="J81" s="172"/>
      <c r="K81" s="172"/>
      <c r="L81" s="172"/>
      <c r="M81" s="38">
        <f t="shared" si="7"/>
        <v>0</v>
      </c>
      <c r="N81" s="172"/>
      <c r="O81" s="172"/>
      <c r="P81" s="172"/>
      <c r="Q81" s="38">
        <f t="shared" si="8"/>
        <v>0</v>
      </c>
      <c r="R81" s="38">
        <f t="shared" si="9"/>
        <v>0</v>
      </c>
      <c r="S81">
        <f>SUM(R72:R81)</f>
        <v>0</v>
      </c>
    </row>
    <row r="82" spans="1:20" ht="15.75" customHeight="1" x14ac:dyDescent="0.3">
      <c r="A82" s="235" t="s">
        <v>2161</v>
      </c>
      <c r="B82" s="18"/>
      <c r="C82" s="18"/>
      <c r="D82" s="18"/>
      <c r="E82" s="38" t="s">
        <v>852</v>
      </c>
      <c r="F82" s="18"/>
      <c r="G82" s="18"/>
      <c r="H82" s="18"/>
      <c r="I82" s="38" t="s">
        <v>852</v>
      </c>
      <c r="J82" s="18"/>
      <c r="K82" s="18"/>
      <c r="L82" s="18"/>
      <c r="M82" s="38" t="s">
        <v>852</v>
      </c>
      <c r="N82" s="18"/>
      <c r="O82" s="18"/>
      <c r="P82" s="18"/>
      <c r="Q82" s="38" t="s">
        <v>852</v>
      </c>
      <c r="R82" s="38" t="s">
        <v>852</v>
      </c>
    </row>
    <row r="83" spans="1:20" ht="15.75" customHeight="1" x14ac:dyDescent="0.3">
      <c r="A83" s="410" t="s">
        <v>701</v>
      </c>
      <c r="B83" s="172"/>
      <c r="C83" s="172"/>
      <c r="D83" s="172"/>
      <c r="E83" s="38">
        <f>SUM(B83:D83)</f>
        <v>0</v>
      </c>
      <c r="F83" s="172"/>
      <c r="G83" s="172"/>
      <c r="H83" s="172"/>
      <c r="I83" s="38">
        <f>SUM(F83:H83)</f>
        <v>0</v>
      </c>
      <c r="J83" s="172"/>
      <c r="K83" s="172"/>
      <c r="L83" s="172"/>
      <c r="M83" s="38">
        <f>SUM(J83:L83)</f>
        <v>0</v>
      </c>
      <c r="N83" s="172"/>
      <c r="O83" s="172"/>
      <c r="P83" s="172"/>
      <c r="Q83" s="38">
        <f>SUM(N83:P83)</f>
        <v>0</v>
      </c>
      <c r="R83" s="38">
        <f>+E83+I83+M83+Q83</f>
        <v>0</v>
      </c>
    </row>
    <row r="84" spans="1:20" ht="15.75" customHeight="1" x14ac:dyDescent="0.3">
      <c r="A84" s="410" t="s">
        <v>2419</v>
      </c>
      <c r="B84" s="172"/>
      <c r="C84" s="172"/>
      <c r="D84" s="172"/>
      <c r="E84" s="38">
        <f>SUM(B84:D84)</f>
        <v>0</v>
      </c>
      <c r="F84" s="172"/>
      <c r="G84" s="172"/>
      <c r="H84" s="172"/>
      <c r="I84" s="38">
        <f>SUM(F84:H84)</f>
        <v>0</v>
      </c>
      <c r="J84" s="172"/>
      <c r="K84" s="172"/>
      <c r="L84" s="172"/>
      <c r="M84" s="38">
        <f>SUM(J84:L84)</f>
        <v>0</v>
      </c>
      <c r="N84" s="172"/>
      <c r="O84" s="172"/>
      <c r="P84" s="172"/>
      <c r="Q84" s="38">
        <f>SUM(N84:P84)</f>
        <v>0</v>
      </c>
      <c r="R84" s="38">
        <f>+E84+I84+M84+Q84</f>
        <v>0</v>
      </c>
    </row>
    <row r="85" spans="1:20" ht="15.75" customHeight="1" x14ac:dyDescent="0.3">
      <c r="A85" s="235" t="s">
        <v>2162</v>
      </c>
      <c r="B85" s="18"/>
      <c r="C85" s="18"/>
      <c r="D85" s="18"/>
      <c r="E85" s="38" t="s">
        <v>1598</v>
      </c>
      <c r="F85" s="18"/>
      <c r="G85" s="18"/>
      <c r="H85" s="18"/>
      <c r="I85" s="38" t="s">
        <v>1598</v>
      </c>
      <c r="J85" s="18"/>
      <c r="K85" s="18"/>
      <c r="L85" s="18"/>
      <c r="M85" s="38" t="s">
        <v>1598</v>
      </c>
      <c r="N85" s="18"/>
      <c r="O85" s="18"/>
      <c r="P85" s="18"/>
      <c r="Q85" s="38" t="s">
        <v>1598</v>
      </c>
      <c r="R85" s="38" t="s">
        <v>1598</v>
      </c>
    </row>
    <row r="86" spans="1:20" ht="15.75" customHeight="1" x14ac:dyDescent="0.3">
      <c r="A86" s="422" t="s">
        <v>2546</v>
      </c>
      <c r="B86" s="172"/>
      <c r="C86" s="172"/>
      <c r="D86" s="172"/>
      <c r="E86" s="38">
        <f>SUM(B86:D86)</f>
        <v>0</v>
      </c>
      <c r="F86" s="172"/>
      <c r="G86" s="172"/>
      <c r="H86" s="172"/>
      <c r="I86" s="38">
        <f>SUM(F86:H86)</f>
        <v>0</v>
      </c>
      <c r="J86" s="172"/>
      <c r="K86" s="172"/>
      <c r="L86" s="172"/>
      <c r="M86" s="38">
        <f>SUM(J86:L86)</f>
        <v>0</v>
      </c>
      <c r="N86" s="172"/>
      <c r="O86" s="172"/>
      <c r="P86" s="172"/>
      <c r="Q86" s="38">
        <f>SUM(N86:P86)</f>
        <v>0</v>
      </c>
      <c r="R86" s="38">
        <f>+E86+I86+M86+Q86</f>
        <v>0</v>
      </c>
    </row>
    <row r="87" spans="1:20" ht="15.75" customHeight="1" x14ac:dyDescent="0.3">
      <c r="A87" s="422" t="s">
        <v>2547</v>
      </c>
      <c r="B87" s="172">
        <v>496</v>
      </c>
      <c r="C87" s="172">
        <v>394</v>
      </c>
      <c r="D87" s="172">
        <v>1707</v>
      </c>
      <c r="E87" s="38">
        <f>SUM(B87:D87)</f>
        <v>2597</v>
      </c>
      <c r="F87" s="172">
        <v>2161</v>
      </c>
      <c r="G87" s="172">
        <v>1756</v>
      </c>
      <c r="H87" s="172">
        <v>2071</v>
      </c>
      <c r="I87" s="38">
        <f>SUM(F87:H87)</f>
        <v>5988</v>
      </c>
      <c r="J87" s="172">
        <v>1678</v>
      </c>
      <c r="K87" s="172">
        <v>2540</v>
      </c>
      <c r="L87" s="172">
        <v>1908</v>
      </c>
      <c r="M87" s="38">
        <f>SUM(J87:L87)</f>
        <v>6126</v>
      </c>
      <c r="N87" s="172">
        <v>289</v>
      </c>
      <c r="O87" s="172"/>
      <c r="P87" s="172"/>
      <c r="Q87" s="38">
        <f>SUM(N87:P87)</f>
        <v>289</v>
      </c>
      <c r="R87" s="38">
        <f>+E87+I87+M87+Q87</f>
        <v>15000</v>
      </c>
      <c r="T87" t="s">
        <v>2774</v>
      </c>
    </row>
    <row r="88" spans="1:20" ht="15.75"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20" ht="16.5" customHeight="1" thickBot="1" x14ac:dyDescent="0.35">
      <c r="A89" s="43" t="s">
        <v>1218</v>
      </c>
      <c r="B89" s="42">
        <f>SUM(B70:B88)</f>
        <v>496</v>
      </c>
      <c r="C89" s="42">
        <f>SUM(C70:C88)</f>
        <v>394</v>
      </c>
      <c r="D89" s="42">
        <f>SUM(D70:D88)</f>
        <v>1707</v>
      </c>
      <c r="E89" s="37">
        <f>SUM(B89:D89)</f>
        <v>2597</v>
      </c>
      <c r="F89" s="42">
        <f>SUM(F70:F88)</f>
        <v>2161</v>
      </c>
      <c r="G89" s="42">
        <f>SUM(G70:G88)</f>
        <v>1756</v>
      </c>
      <c r="H89" s="42">
        <f>SUM(H70:H88)</f>
        <v>2071</v>
      </c>
      <c r="I89" s="37">
        <f>SUM(F89:H89)</f>
        <v>5988</v>
      </c>
      <c r="J89" s="42">
        <f>SUM(J70:J88)</f>
        <v>1678</v>
      </c>
      <c r="K89" s="42">
        <f>SUM(K70:K88)</f>
        <v>2540</v>
      </c>
      <c r="L89" s="42">
        <f>SUM(L70:L88)</f>
        <v>1908</v>
      </c>
      <c r="M89" s="37">
        <f>SUM(J89:L89)</f>
        <v>6126</v>
      </c>
      <c r="N89" s="42">
        <f>SUM(N70:N88)</f>
        <v>289</v>
      </c>
      <c r="O89" s="42">
        <f>SUM(O70:O88)</f>
        <v>0</v>
      </c>
      <c r="P89" s="42">
        <f>SUM(P70:P88)</f>
        <v>0</v>
      </c>
      <c r="Q89" s="37">
        <f>SUM(N89:P89)</f>
        <v>289</v>
      </c>
      <c r="R89" s="37">
        <f>+E89+I89+M89+Q89</f>
        <v>15000</v>
      </c>
    </row>
    <row r="90" spans="1:20" ht="15.75"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20" ht="15.75"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20" ht="15.75" customHeight="1" x14ac:dyDescent="0.3">
      <c r="A93" s="410" t="s">
        <v>701</v>
      </c>
      <c r="B93" s="10">
        <v>464</v>
      </c>
      <c r="C93" s="10">
        <v>881</v>
      </c>
      <c r="D93" s="10">
        <v>1913</v>
      </c>
      <c r="E93" s="38">
        <f>SUM(B93:D93)</f>
        <v>3258</v>
      </c>
      <c r="F93" s="10">
        <v>4276</v>
      </c>
      <c r="G93" s="10">
        <v>3236</v>
      </c>
      <c r="H93" s="10">
        <v>3824</v>
      </c>
      <c r="I93" s="38">
        <f>SUM(F93:H93)</f>
        <v>11336</v>
      </c>
      <c r="J93" s="10">
        <v>4514</v>
      </c>
      <c r="K93" s="10">
        <v>6025</v>
      </c>
      <c r="L93" s="10">
        <v>5691</v>
      </c>
      <c r="M93" s="38">
        <f>SUM(J93:L93)</f>
        <v>16230</v>
      </c>
      <c r="N93" s="10">
        <v>2692</v>
      </c>
      <c r="O93" s="10">
        <v>1663</v>
      </c>
      <c r="P93" s="10">
        <v>2512</v>
      </c>
      <c r="Q93" s="38">
        <f>SUM(N93:P93)</f>
        <v>6867</v>
      </c>
      <c r="R93" s="38">
        <f>+E93+I93+M93+Q93</f>
        <v>37691</v>
      </c>
      <c r="T93" t="s">
        <v>2810</v>
      </c>
    </row>
    <row r="94" spans="1:20" ht="15.75" customHeight="1" x14ac:dyDescent="0.3">
      <c r="A94" s="410" t="s">
        <v>702</v>
      </c>
      <c r="B94" s="10"/>
      <c r="C94" s="10"/>
      <c r="D94" s="10"/>
      <c r="E94" s="38">
        <f>SUM(B94:D94)</f>
        <v>0</v>
      </c>
      <c r="F94" s="10"/>
      <c r="G94" s="10">
        <v>250</v>
      </c>
      <c r="H94" s="10">
        <v>250</v>
      </c>
      <c r="I94" s="38">
        <f>SUM(F94:H94)</f>
        <v>500</v>
      </c>
      <c r="J94" s="10">
        <v>250</v>
      </c>
      <c r="K94" s="10">
        <v>115</v>
      </c>
      <c r="L94" s="10"/>
      <c r="M94" s="38">
        <f>SUM(J94:L94)</f>
        <v>365</v>
      </c>
      <c r="N94" s="10">
        <v>248</v>
      </c>
      <c r="O94" s="10">
        <v>251</v>
      </c>
      <c r="P94" s="10"/>
      <c r="Q94" s="38">
        <f>SUM(N94:P94)</f>
        <v>499</v>
      </c>
      <c r="R94" s="38">
        <f>+E94+I94+M94+Q94</f>
        <v>1364</v>
      </c>
      <c r="T94" t="s">
        <v>2774</v>
      </c>
    </row>
    <row r="95" spans="1:20" ht="15.75"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20" ht="16.5" customHeight="1" thickBot="1" x14ac:dyDescent="0.35">
      <c r="A96" s="43" t="s">
        <v>1219</v>
      </c>
      <c r="B96" s="42">
        <f>SUM(B90:B95)</f>
        <v>464</v>
      </c>
      <c r="C96" s="42">
        <f>SUM(C90:C95)</f>
        <v>881</v>
      </c>
      <c r="D96" s="42">
        <f>SUM(D90:D95)</f>
        <v>1913</v>
      </c>
      <c r="E96" s="37">
        <f>SUM(B96:D96)</f>
        <v>3258</v>
      </c>
      <c r="F96" s="42">
        <f>SUM(F90:F95)</f>
        <v>4276</v>
      </c>
      <c r="G96" s="42">
        <f>SUM(G90:G95)</f>
        <v>3486</v>
      </c>
      <c r="H96" s="42">
        <f>SUM(H90:H95)</f>
        <v>4074</v>
      </c>
      <c r="I96" s="37">
        <f>SUM(F96:H96)</f>
        <v>11836</v>
      </c>
      <c r="J96" s="42">
        <f>SUM(J90:J95)</f>
        <v>4764</v>
      </c>
      <c r="K96" s="42">
        <f>SUM(K90:K95)</f>
        <v>6140</v>
      </c>
      <c r="L96" s="42">
        <f>SUM(L90:L95)</f>
        <v>5691</v>
      </c>
      <c r="M96" s="37">
        <f>SUM(J96:L96)</f>
        <v>16595</v>
      </c>
      <c r="N96" s="42">
        <f>SUM(N90:N95)</f>
        <v>2940</v>
      </c>
      <c r="O96" s="42">
        <f>SUM(O90:O95)</f>
        <v>1914</v>
      </c>
      <c r="P96" s="42">
        <f>SUM(P90:P95)</f>
        <v>2512</v>
      </c>
      <c r="Q96" s="37">
        <f>SUM(N96:P96)</f>
        <v>7366</v>
      </c>
      <c r="R96" s="37">
        <f>+E96+I96+M96+Q96</f>
        <v>39055</v>
      </c>
    </row>
    <row r="97" spans="1:20" ht="15.75"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20" ht="15.75" customHeight="1" x14ac:dyDescent="0.3">
      <c r="A99" s="235" t="s">
        <v>1711</v>
      </c>
      <c r="B99" s="248"/>
      <c r="C99" s="248"/>
      <c r="D99" s="248"/>
      <c r="E99" s="38"/>
      <c r="F99" s="248"/>
      <c r="G99" s="248"/>
      <c r="H99" s="248"/>
      <c r="I99" s="38"/>
      <c r="J99" s="248"/>
      <c r="K99" s="248"/>
      <c r="L99" s="248"/>
      <c r="M99" s="38"/>
      <c r="N99" s="248"/>
      <c r="O99" s="248"/>
      <c r="P99" s="248"/>
      <c r="Q99" s="38"/>
      <c r="R99" s="38"/>
    </row>
    <row r="100" spans="1:20" ht="15.75" customHeight="1" x14ac:dyDescent="0.3">
      <c r="A100" s="410" t="s">
        <v>1584</v>
      </c>
      <c r="B100" s="172"/>
      <c r="C100" s="172"/>
      <c r="D100" s="172"/>
      <c r="E100" s="38">
        <f t="shared" ref="E100:E108" si="10">SUM(B100:D100)</f>
        <v>0</v>
      </c>
      <c r="F100" s="172"/>
      <c r="G100" s="172"/>
      <c r="H100" s="172"/>
      <c r="I100" s="38">
        <f t="shared" ref="I100:I108" si="11">SUM(F100:H100)</f>
        <v>0</v>
      </c>
      <c r="J100" s="172"/>
      <c r="K100" s="172"/>
      <c r="L100" s="172"/>
      <c r="M100" s="38">
        <f t="shared" ref="M100:M108" si="12">SUM(J100:L100)</f>
        <v>0</v>
      </c>
      <c r="N100" s="172"/>
      <c r="O100" s="172"/>
      <c r="P100" s="172"/>
      <c r="Q100" s="38">
        <f t="shared" ref="Q100:Q108" si="13">SUM(N100:P100)</f>
        <v>0</v>
      </c>
      <c r="R100" s="38">
        <f t="shared" ref="R100:R108" si="14">+E100+I100+M100+Q100</f>
        <v>0</v>
      </c>
    </row>
    <row r="101" spans="1:20" ht="15.75" customHeight="1" x14ac:dyDescent="0.3">
      <c r="A101" s="410" t="s">
        <v>1977</v>
      </c>
      <c r="B101" s="172"/>
      <c r="C101" s="172"/>
      <c r="D101" s="172"/>
      <c r="E101" s="38">
        <f t="shared" si="10"/>
        <v>0</v>
      </c>
      <c r="F101" s="172"/>
      <c r="G101" s="172"/>
      <c r="H101" s="172"/>
      <c r="I101" s="38">
        <f t="shared" si="11"/>
        <v>0</v>
      </c>
      <c r="J101" s="172"/>
      <c r="K101" s="172"/>
      <c r="L101" s="172"/>
      <c r="M101" s="38">
        <f t="shared" si="12"/>
        <v>0</v>
      </c>
      <c r="N101" s="172"/>
      <c r="O101" s="172"/>
      <c r="P101" s="172"/>
      <c r="Q101" s="38">
        <f t="shared" si="13"/>
        <v>0</v>
      </c>
      <c r="R101" s="38">
        <f t="shared" si="14"/>
        <v>0</v>
      </c>
    </row>
    <row r="102" spans="1:20" ht="15.75" customHeight="1" x14ac:dyDescent="0.3">
      <c r="A102" s="410" t="s">
        <v>1571</v>
      </c>
      <c r="B102" s="172"/>
      <c r="C102" s="172"/>
      <c r="D102" s="172"/>
      <c r="E102" s="38">
        <f>SUM(B102:D102)</f>
        <v>0</v>
      </c>
      <c r="F102" s="172"/>
      <c r="G102" s="172"/>
      <c r="H102" s="172"/>
      <c r="I102" s="38">
        <f>SUM(F102:H102)</f>
        <v>0</v>
      </c>
      <c r="J102" s="172"/>
      <c r="K102" s="172"/>
      <c r="L102" s="172"/>
      <c r="M102" s="38">
        <f>SUM(J102:L102)</f>
        <v>0</v>
      </c>
      <c r="N102" s="172"/>
      <c r="O102" s="172"/>
      <c r="P102" s="172"/>
      <c r="Q102" s="38">
        <f>SUM(N102:P102)</f>
        <v>0</v>
      </c>
      <c r="R102" s="38">
        <f>+E102+I102+M102+Q102</f>
        <v>0</v>
      </c>
    </row>
    <row r="103" spans="1:20" ht="15.75" customHeight="1" x14ac:dyDescent="0.3">
      <c r="A103" s="410" t="s">
        <v>2506</v>
      </c>
      <c r="B103" s="172"/>
      <c r="C103" s="172"/>
      <c r="D103" s="172"/>
      <c r="E103" s="38">
        <f>SUM(B103:D103)</f>
        <v>0</v>
      </c>
      <c r="F103" s="172"/>
      <c r="G103" s="172"/>
      <c r="H103" s="172"/>
      <c r="I103" s="38">
        <f>SUM(F103:H103)</f>
        <v>0</v>
      </c>
      <c r="J103" s="172"/>
      <c r="K103" s="172"/>
      <c r="L103" s="172"/>
      <c r="M103" s="38">
        <f>SUM(J103:L103)</f>
        <v>0</v>
      </c>
      <c r="N103" s="172"/>
      <c r="O103" s="172"/>
      <c r="P103" s="172"/>
      <c r="Q103" s="38">
        <f>SUM(N103:P103)</f>
        <v>0</v>
      </c>
      <c r="R103" s="38">
        <f>+E103+I103+M103+Q103</f>
        <v>0</v>
      </c>
      <c r="T103" t="s">
        <v>2799</v>
      </c>
    </row>
    <row r="104" spans="1:20" ht="15.75" customHeight="1" x14ac:dyDescent="0.3">
      <c r="A104" s="410" t="s">
        <v>436</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customHeight="1" x14ac:dyDescent="0.3">
      <c r="A105" s="410" t="s">
        <v>2182</v>
      </c>
      <c r="B105" s="172"/>
      <c r="C105" s="172"/>
      <c r="D105" s="172"/>
      <c r="E105" s="38">
        <f t="shared" si="10"/>
        <v>0</v>
      </c>
      <c r="F105" s="172"/>
      <c r="G105" s="172"/>
      <c r="H105" s="172"/>
      <c r="I105" s="38">
        <f t="shared" si="11"/>
        <v>0</v>
      </c>
      <c r="J105" s="172"/>
      <c r="K105" s="172"/>
      <c r="L105" s="172"/>
      <c r="M105" s="38">
        <f t="shared" si="12"/>
        <v>0</v>
      </c>
      <c r="N105" s="172"/>
      <c r="O105" s="172"/>
      <c r="P105" s="172"/>
      <c r="Q105" s="38">
        <f t="shared" si="13"/>
        <v>0</v>
      </c>
      <c r="R105" s="38">
        <f t="shared" si="14"/>
        <v>0</v>
      </c>
    </row>
    <row r="106" spans="1:20" ht="15.75" customHeight="1" x14ac:dyDescent="0.3">
      <c r="A106" s="410" t="s">
        <v>2261</v>
      </c>
      <c r="B106" s="172"/>
      <c r="C106" s="172"/>
      <c r="D106" s="172"/>
      <c r="E106" s="38">
        <f t="shared" si="10"/>
        <v>0</v>
      </c>
      <c r="F106" s="172"/>
      <c r="G106" s="172"/>
      <c r="H106" s="172"/>
      <c r="I106" s="38">
        <f t="shared" si="11"/>
        <v>0</v>
      </c>
      <c r="J106" s="172"/>
      <c r="K106" s="172"/>
      <c r="L106" s="172"/>
      <c r="M106" s="38">
        <f t="shared" si="12"/>
        <v>0</v>
      </c>
      <c r="N106" s="172"/>
      <c r="O106" s="172"/>
      <c r="P106" s="172"/>
      <c r="Q106" s="38">
        <f>SUM(N106:P106)</f>
        <v>0</v>
      </c>
      <c r="R106" s="38">
        <f>+E106+I106+M106+Q106</f>
        <v>0</v>
      </c>
    </row>
    <row r="107" spans="1:20" ht="15.75" customHeight="1" thickBot="1" x14ac:dyDescent="0.35">
      <c r="A107" s="410" t="s">
        <v>3090</v>
      </c>
      <c r="B107" s="172"/>
      <c r="C107" s="172"/>
      <c r="D107" s="172"/>
      <c r="E107" s="38">
        <f t="shared" si="10"/>
        <v>0</v>
      </c>
      <c r="F107" s="172"/>
      <c r="G107" s="172"/>
      <c r="H107" s="172"/>
      <c r="I107" s="38">
        <f t="shared" si="11"/>
        <v>0</v>
      </c>
      <c r="J107" s="172"/>
      <c r="K107" s="172"/>
      <c r="L107" s="172"/>
      <c r="M107" s="38">
        <f t="shared" si="12"/>
        <v>0</v>
      </c>
      <c r="N107" s="172"/>
      <c r="O107" s="172">
        <v>1490</v>
      </c>
      <c r="P107" s="172">
        <v>2074</v>
      </c>
      <c r="Q107" s="38">
        <f t="shared" si="13"/>
        <v>3564</v>
      </c>
      <c r="R107" s="38">
        <f t="shared" si="14"/>
        <v>3564</v>
      </c>
      <c r="T107" t="s">
        <v>2811</v>
      </c>
    </row>
    <row r="108" spans="1:20" ht="16.5" customHeight="1" thickBot="1" x14ac:dyDescent="0.35">
      <c r="A108" s="43" t="s">
        <v>1220</v>
      </c>
      <c r="B108" s="42">
        <f>SUM(B97:B107)</f>
        <v>0</v>
      </c>
      <c r="C108" s="42">
        <f>SUM(C97:C107)</f>
        <v>0</v>
      </c>
      <c r="D108" s="42">
        <f>SUM(D97:D107)</f>
        <v>0</v>
      </c>
      <c r="E108" s="37">
        <f t="shared" si="10"/>
        <v>0</v>
      </c>
      <c r="F108" s="42">
        <f>SUM(F97:F107)</f>
        <v>0</v>
      </c>
      <c r="G108" s="42">
        <f>SUM(G97:G107)</f>
        <v>0</v>
      </c>
      <c r="H108" s="42">
        <f>SUM(H97:H107)</f>
        <v>0</v>
      </c>
      <c r="I108" s="37">
        <f t="shared" si="11"/>
        <v>0</v>
      </c>
      <c r="J108" s="42">
        <f>SUM(J97:J107)</f>
        <v>0</v>
      </c>
      <c r="K108" s="42">
        <f>SUM(K97:K107)</f>
        <v>0</v>
      </c>
      <c r="L108" s="42">
        <f>SUM(L97:L107)</f>
        <v>0</v>
      </c>
      <c r="M108" s="37">
        <f t="shared" si="12"/>
        <v>0</v>
      </c>
      <c r="N108" s="42">
        <f>SUM(N97:N107)</f>
        <v>0</v>
      </c>
      <c r="O108" s="42">
        <f>SUM(O97:O107)</f>
        <v>1490</v>
      </c>
      <c r="P108" s="42">
        <f>SUM(P97:P107)</f>
        <v>2074</v>
      </c>
      <c r="Q108" s="37">
        <f t="shared" si="13"/>
        <v>3564</v>
      </c>
      <c r="R108" s="37">
        <f t="shared" si="14"/>
        <v>3564</v>
      </c>
    </row>
    <row r="109" spans="1:20" ht="15.75" customHeight="1" x14ac:dyDescent="0.3">
      <c r="A109" s="235" t="s">
        <v>1712</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20" ht="15.75" customHeight="1" x14ac:dyDescent="0.3">
      <c r="A110" s="235" t="s">
        <v>1021</v>
      </c>
      <c r="B110" s="248"/>
      <c r="C110" s="248"/>
      <c r="D110" s="248"/>
      <c r="E110" s="38" t="s">
        <v>852</v>
      </c>
      <c r="F110" s="248"/>
      <c r="G110" s="248"/>
      <c r="H110" s="248"/>
      <c r="I110" s="38" t="s">
        <v>852</v>
      </c>
      <c r="J110" s="248"/>
      <c r="K110" s="248"/>
      <c r="L110" s="248"/>
      <c r="M110" s="38" t="s">
        <v>852</v>
      </c>
      <c r="N110" s="248"/>
      <c r="O110" s="248"/>
      <c r="P110" s="248"/>
      <c r="Q110" s="38" t="s">
        <v>852</v>
      </c>
      <c r="R110" s="38" t="s">
        <v>852</v>
      </c>
    </row>
    <row r="111" spans="1:20" ht="15.75" customHeight="1" x14ac:dyDescent="0.3">
      <c r="A111" s="422" t="s">
        <v>2751</v>
      </c>
      <c r="B111" s="172"/>
      <c r="C111" s="172"/>
      <c r="D111" s="172"/>
      <c r="E111" s="38">
        <f t="shared" ref="E111:E116" si="15">SUM(B111:D111)</f>
        <v>0</v>
      </c>
      <c r="F111" s="172"/>
      <c r="G111" s="172"/>
      <c r="H111" s="172"/>
      <c r="I111" s="38">
        <f t="shared" ref="I111:I116" si="16">SUM(F111:H111)</f>
        <v>0</v>
      </c>
      <c r="J111" s="172"/>
      <c r="K111" s="172"/>
      <c r="L111" s="172"/>
      <c r="M111" s="38">
        <f t="shared" ref="M111:M116" si="17">SUM(J111:L111)</f>
        <v>0</v>
      </c>
      <c r="N111" s="172"/>
      <c r="O111" s="172"/>
      <c r="P111" s="172"/>
      <c r="Q111" s="38">
        <f t="shared" ref="Q111:Q116" si="18">SUM(N111:P111)</f>
        <v>0</v>
      </c>
      <c r="R111" s="38">
        <f t="shared" ref="R111:R116" si="19">+E111+I111+M111+Q111</f>
        <v>0</v>
      </c>
    </row>
    <row r="112" spans="1:20" ht="15.75" customHeight="1" x14ac:dyDescent="0.3">
      <c r="A112" s="422" t="s">
        <v>656</v>
      </c>
      <c r="B112" s="172"/>
      <c r="C112" s="172"/>
      <c r="D112" s="172"/>
      <c r="E112" s="38">
        <f t="shared" si="15"/>
        <v>0</v>
      </c>
      <c r="F112" s="172"/>
      <c r="G112" s="172"/>
      <c r="H112" s="172"/>
      <c r="I112" s="38">
        <f t="shared" si="16"/>
        <v>0</v>
      </c>
      <c r="J112" s="172"/>
      <c r="K112" s="172"/>
      <c r="L112" s="172"/>
      <c r="M112" s="38">
        <f t="shared" si="17"/>
        <v>0</v>
      </c>
      <c r="N112" s="172"/>
      <c r="O112" s="172"/>
      <c r="P112" s="172"/>
      <c r="Q112" s="38">
        <f t="shared" si="18"/>
        <v>0</v>
      </c>
      <c r="R112" s="38">
        <f t="shared" si="19"/>
        <v>0</v>
      </c>
    </row>
    <row r="113" spans="1:20" ht="15.75" customHeight="1" x14ac:dyDescent="0.3">
      <c r="A113" s="422" t="s">
        <v>320</v>
      </c>
      <c r="B113" s="172"/>
      <c r="C113" s="172"/>
      <c r="D113" s="172"/>
      <c r="E113" s="38">
        <f t="shared" si="15"/>
        <v>0</v>
      </c>
      <c r="F113" s="172"/>
      <c r="G113" s="172"/>
      <c r="H113" s="172"/>
      <c r="I113" s="38">
        <f t="shared" si="16"/>
        <v>0</v>
      </c>
      <c r="J113" s="172"/>
      <c r="K113" s="172"/>
      <c r="L113" s="172"/>
      <c r="M113" s="38">
        <f t="shared" si="17"/>
        <v>0</v>
      </c>
      <c r="N113" s="172"/>
      <c r="O113" s="172"/>
      <c r="P113" s="172"/>
      <c r="Q113" s="38">
        <f t="shared" si="18"/>
        <v>0</v>
      </c>
      <c r="R113" s="38">
        <f t="shared" si="19"/>
        <v>0</v>
      </c>
    </row>
    <row r="114" spans="1:20" ht="15.75" customHeight="1" x14ac:dyDescent="0.3">
      <c r="A114" s="422" t="s">
        <v>563</v>
      </c>
      <c r="B114" s="172"/>
      <c r="C114" s="172"/>
      <c r="D114" s="172"/>
      <c r="E114" s="38">
        <f t="shared" si="15"/>
        <v>0</v>
      </c>
      <c r="F114" s="172"/>
      <c r="G114" s="172"/>
      <c r="H114" s="172"/>
      <c r="I114" s="38">
        <f t="shared" si="16"/>
        <v>0</v>
      </c>
      <c r="J114" s="172"/>
      <c r="K114" s="172"/>
      <c r="L114" s="172"/>
      <c r="M114" s="38">
        <f t="shared" si="17"/>
        <v>0</v>
      </c>
      <c r="N114" s="172"/>
      <c r="O114" s="172"/>
      <c r="P114" s="172"/>
      <c r="Q114" s="38">
        <f t="shared" si="18"/>
        <v>0</v>
      </c>
      <c r="R114" s="38">
        <f t="shared" si="19"/>
        <v>0</v>
      </c>
    </row>
    <row r="115" spans="1:20" ht="15.75" customHeight="1" x14ac:dyDescent="0.3">
      <c r="A115" s="422" t="s">
        <v>2123</v>
      </c>
      <c r="B115" s="172"/>
      <c r="C115" s="172"/>
      <c r="D115" s="172"/>
      <c r="E115" s="38">
        <f t="shared" si="15"/>
        <v>0</v>
      </c>
      <c r="F115" s="172"/>
      <c r="G115" s="172"/>
      <c r="H115" s="172"/>
      <c r="I115" s="38">
        <f t="shared" si="16"/>
        <v>0</v>
      </c>
      <c r="J115" s="172"/>
      <c r="K115" s="172"/>
      <c r="L115" s="172"/>
      <c r="M115" s="38">
        <f t="shared" si="17"/>
        <v>0</v>
      </c>
      <c r="N115" s="172"/>
      <c r="O115" s="172"/>
      <c r="P115" s="172"/>
      <c r="Q115" s="38">
        <f t="shared" si="18"/>
        <v>0</v>
      </c>
      <c r="R115" s="38">
        <f t="shared" si="19"/>
        <v>0</v>
      </c>
    </row>
    <row r="116" spans="1:20" ht="15.75" customHeight="1" x14ac:dyDescent="0.3">
      <c r="A116" s="422" t="s">
        <v>2752</v>
      </c>
      <c r="B116" s="172"/>
      <c r="C116" s="172"/>
      <c r="D116" s="172"/>
      <c r="E116" s="38">
        <f t="shared" si="15"/>
        <v>0</v>
      </c>
      <c r="F116" s="172"/>
      <c r="G116" s="172"/>
      <c r="H116" s="172"/>
      <c r="I116" s="38">
        <f t="shared" si="16"/>
        <v>0</v>
      </c>
      <c r="J116" s="172"/>
      <c r="K116" s="172"/>
      <c r="L116" s="172"/>
      <c r="M116" s="38">
        <f t="shared" si="17"/>
        <v>0</v>
      </c>
      <c r="N116" s="172"/>
      <c r="O116" s="172"/>
      <c r="P116" s="172"/>
      <c r="Q116" s="38">
        <f t="shared" si="18"/>
        <v>0</v>
      </c>
      <c r="R116" s="38">
        <f t="shared" si="19"/>
        <v>0</v>
      </c>
    </row>
    <row r="117" spans="1:20" ht="15.75" customHeight="1" x14ac:dyDescent="0.3">
      <c r="A117" s="422" t="s">
        <v>2690</v>
      </c>
      <c r="B117" s="172"/>
      <c r="C117" s="172"/>
      <c r="D117" s="172"/>
      <c r="E117" s="38">
        <f>SUM(B117:D117)</f>
        <v>0</v>
      </c>
      <c r="F117" s="172"/>
      <c r="G117" s="172"/>
      <c r="H117" s="172"/>
      <c r="I117" s="38">
        <f>SUM(F117:H117)</f>
        <v>0</v>
      </c>
      <c r="J117" s="172"/>
      <c r="K117" s="172"/>
      <c r="L117" s="172"/>
      <c r="M117" s="38">
        <f>SUM(J117:L117)</f>
        <v>0</v>
      </c>
      <c r="N117" s="172"/>
      <c r="O117" s="172"/>
      <c r="P117" s="172"/>
      <c r="Q117" s="38">
        <f>SUM(N117:P117)</f>
        <v>0</v>
      </c>
      <c r="R117" s="38">
        <f>+E117+I117+M117+Q117</f>
        <v>0</v>
      </c>
    </row>
    <row r="118" spans="1:20" ht="15.75" customHeight="1" x14ac:dyDescent="0.3">
      <c r="A118" s="618" t="s">
        <v>2503</v>
      </c>
      <c r="B118" s="172"/>
      <c r="C118" s="172"/>
      <c r="D118" s="172"/>
      <c r="E118" s="38">
        <f>SUM(B118:D118)</f>
        <v>0</v>
      </c>
      <c r="F118" s="172"/>
      <c r="G118" s="172"/>
      <c r="H118" s="172"/>
      <c r="I118" s="38">
        <f>SUM(F118:H118)</f>
        <v>0</v>
      </c>
      <c r="J118" s="172"/>
      <c r="K118" s="172"/>
      <c r="L118" s="172"/>
      <c r="M118" s="38">
        <f>SUM(J118:L118)</f>
        <v>0</v>
      </c>
      <c r="N118" s="172"/>
      <c r="O118" s="172"/>
      <c r="P118" s="172"/>
      <c r="Q118" s="38">
        <f>SUM(N118:P118)</f>
        <v>0</v>
      </c>
      <c r="R118" s="38">
        <f>+E118+I118+M118+Q118</f>
        <v>0</v>
      </c>
      <c r="T118" t="s">
        <v>2811</v>
      </c>
    </row>
    <row r="119" spans="1:20" ht="15.75" customHeight="1" x14ac:dyDescent="0.3">
      <c r="A119" s="235" t="s">
        <v>557</v>
      </c>
      <c r="B119" s="248"/>
      <c r="C119" s="248"/>
      <c r="D119" s="248"/>
      <c r="E119" s="38" t="s">
        <v>852</v>
      </c>
      <c r="F119" s="248"/>
      <c r="G119" s="248"/>
      <c r="H119" s="248"/>
      <c r="I119" s="38" t="s">
        <v>852</v>
      </c>
      <c r="J119" s="248"/>
      <c r="K119" s="248"/>
      <c r="L119" s="248"/>
      <c r="M119" s="38" t="s">
        <v>852</v>
      </c>
      <c r="N119" s="248"/>
      <c r="O119" s="248"/>
      <c r="P119" s="248"/>
      <c r="Q119" s="38" t="s">
        <v>852</v>
      </c>
      <c r="R119" s="38" t="s">
        <v>852</v>
      </c>
    </row>
    <row r="120" spans="1:20" ht="15.75" customHeight="1" x14ac:dyDescent="0.3">
      <c r="A120" s="422" t="s">
        <v>2606</v>
      </c>
      <c r="B120" s="172"/>
      <c r="C120" s="172"/>
      <c r="D120" s="172"/>
      <c r="E120" s="38">
        <f>SUM(B120:D120)</f>
        <v>0</v>
      </c>
      <c r="F120" s="172"/>
      <c r="G120" s="172"/>
      <c r="H120" s="172"/>
      <c r="I120" s="38">
        <f>SUM(F120:H120)</f>
        <v>0</v>
      </c>
      <c r="J120" s="172"/>
      <c r="K120" s="172"/>
      <c r="L120" s="172"/>
      <c r="M120" s="38">
        <f>SUM(J120:L120)</f>
        <v>0</v>
      </c>
      <c r="N120" s="172"/>
      <c r="O120" s="172"/>
      <c r="P120" s="172"/>
      <c r="Q120" s="38">
        <f>SUM(N120:P120)</f>
        <v>0</v>
      </c>
      <c r="R120" s="38">
        <f>+E120+I120+M120+Q120</f>
        <v>0</v>
      </c>
    </row>
    <row r="121" spans="1:20" ht="15.75" customHeight="1" x14ac:dyDescent="0.3">
      <c r="A121" s="422" t="s">
        <v>2548</v>
      </c>
      <c r="B121" s="172"/>
      <c r="C121" s="172"/>
      <c r="D121" s="172"/>
      <c r="E121" s="38">
        <f>SUM(B121:D121)</f>
        <v>0</v>
      </c>
      <c r="F121" s="172"/>
      <c r="G121" s="172"/>
      <c r="H121" s="172"/>
      <c r="I121" s="38">
        <f>SUM(F121:H121)</f>
        <v>0</v>
      </c>
      <c r="J121" s="172"/>
      <c r="K121" s="172"/>
      <c r="L121" s="172"/>
      <c r="M121" s="38">
        <f>SUM(J121:L121)</f>
        <v>0</v>
      </c>
      <c r="N121" s="172"/>
      <c r="O121" s="172"/>
      <c r="P121" s="172"/>
      <c r="Q121" s="38">
        <f>SUM(N121:P121)</f>
        <v>0</v>
      </c>
      <c r="R121" s="38">
        <f>+E121+I121+M121+Q121</f>
        <v>0</v>
      </c>
    </row>
    <row r="122" spans="1:20" ht="15.75" customHeight="1" x14ac:dyDescent="0.3">
      <c r="A122" s="235" t="s">
        <v>1022</v>
      </c>
      <c r="B122" s="248"/>
      <c r="C122" s="248"/>
      <c r="D122" s="248"/>
      <c r="E122" s="38" t="s">
        <v>852</v>
      </c>
      <c r="F122" s="248"/>
      <c r="G122" s="248"/>
      <c r="H122" s="248"/>
      <c r="I122" s="38" t="s">
        <v>852</v>
      </c>
      <c r="J122" s="248"/>
      <c r="K122" s="248"/>
      <c r="L122" s="248"/>
      <c r="M122" s="38" t="s">
        <v>852</v>
      </c>
      <c r="N122" s="248"/>
      <c r="O122" s="248"/>
      <c r="P122" s="248"/>
      <c r="Q122" s="38" t="s">
        <v>852</v>
      </c>
      <c r="R122" s="38" t="s">
        <v>852</v>
      </c>
    </row>
    <row r="123" spans="1:20" ht="15.75" customHeight="1" x14ac:dyDescent="0.3">
      <c r="A123" s="422" t="s">
        <v>239</v>
      </c>
      <c r="B123" s="172"/>
      <c r="C123" s="172"/>
      <c r="D123" s="172"/>
      <c r="E123" s="38">
        <f>SUM(B123:D123)</f>
        <v>0</v>
      </c>
      <c r="F123" s="172"/>
      <c r="G123" s="172"/>
      <c r="H123" s="172"/>
      <c r="I123" s="38">
        <f>SUM(F123:H123)</f>
        <v>0</v>
      </c>
      <c r="J123" s="172"/>
      <c r="K123" s="172"/>
      <c r="L123" s="172"/>
      <c r="M123" s="38">
        <f>SUM(J123:L123)</f>
        <v>0</v>
      </c>
      <c r="N123" s="172"/>
      <c r="O123" s="172"/>
      <c r="P123" s="172"/>
      <c r="Q123" s="38">
        <f>SUM(N123:P123)</f>
        <v>0</v>
      </c>
      <c r="R123" s="38">
        <f>+E123+I123+M123+Q123</f>
        <v>0</v>
      </c>
      <c r="T123" t="s">
        <v>2774</v>
      </c>
    </row>
    <row r="124" spans="1:20" ht="15.75" customHeight="1" thickBot="1" x14ac:dyDescent="0.35">
      <c r="A124" s="235" t="s">
        <v>559</v>
      </c>
      <c r="B124" s="248"/>
      <c r="C124" s="248"/>
      <c r="D124" s="248"/>
      <c r="E124" s="38" t="s">
        <v>852</v>
      </c>
      <c r="F124" s="248"/>
      <c r="G124" s="248"/>
      <c r="H124" s="248"/>
      <c r="I124" s="38" t="s">
        <v>852</v>
      </c>
      <c r="J124" s="248"/>
      <c r="K124" s="248"/>
      <c r="L124" s="248"/>
      <c r="M124" s="38" t="s">
        <v>852</v>
      </c>
      <c r="N124" s="248"/>
      <c r="O124" s="248"/>
      <c r="P124" s="248"/>
      <c r="Q124" s="38" t="s">
        <v>852</v>
      </c>
      <c r="R124" s="38" t="s">
        <v>852</v>
      </c>
    </row>
    <row r="125" spans="1:20" ht="16.5" customHeight="1" thickBot="1" x14ac:dyDescent="0.35">
      <c r="A125" s="43" t="s">
        <v>1019</v>
      </c>
      <c r="B125" s="42">
        <f>SUM(B122:B124)</f>
        <v>0</v>
      </c>
      <c r="C125" s="42">
        <f>SUM(C122:C124)</f>
        <v>0</v>
      </c>
      <c r="D125" s="42">
        <f>SUM(D122:D124)</f>
        <v>0</v>
      </c>
      <c r="E125" s="39">
        <f>SUM(B125:D125)</f>
        <v>0</v>
      </c>
      <c r="F125" s="42">
        <f>SUM(F122:F124)</f>
        <v>0</v>
      </c>
      <c r="G125" s="42">
        <f>SUM(G122:G124)</f>
        <v>0</v>
      </c>
      <c r="H125" s="42">
        <f>SUM(H122:H124)</f>
        <v>0</v>
      </c>
      <c r="I125" s="39">
        <f>SUM(F125:H125)</f>
        <v>0</v>
      </c>
      <c r="J125" s="42">
        <f>SUM(J122:J124)</f>
        <v>0</v>
      </c>
      <c r="K125" s="42">
        <f>SUM(K122:K124)</f>
        <v>0</v>
      </c>
      <c r="L125" s="42">
        <f>SUM(L122:L124)</f>
        <v>0</v>
      </c>
      <c r="M125" s="39">
        <f>SUM(J125:L125)</f>
        <v>0</v>
      </c>
      <c r="N125" s="42">
        <f>SUM(N122:N124)</f>
        <v>0</v>
      </c>
      <c r="O125" s="42">
        <f>SUM(O122:O124)</f>
        <v>0</v>
      </c>
      <c r="P125" s="42">
        <f>SUM(P122:P124)</f>
        <v>0</v>
      </c>
      <c r="Q125" s="39">
        <f>SUM(N125:P125)</f>
        <v>0</v>
      </c>
      <c r="R125" s="37">
        <f>+E125+I125+M125+Q125</f>
        <v>0</v>
      </c>
    </row>
    <row r="126" spans="1:20" ht="16.5" customHeight="1" thickBot="1" x14ac:dyDescent="0.35">
      <c r="A126" s="43" t="s">
        <v>1221</v>
      </c>
      <c r="B126" s="42">
        <f>SUM(B109:B124)</f>
        <v>0</v>
      </c>
      <c r="C126" s="42">
        <f>SUM(C109:C124)</f>
        <v>0</v>
      </c>
      <c r="D126" s="42">
        <f>SUM(D109:D124)</f>
        <v>0</v>
      </c>
      <c r="E126" s="39">
        <f>SUM(B126:D126)</f>
        <v>0</v>
      </c>
      <c r="F126" s="42">
        <f>SUM(F109:F124)</f>
        <v>0</v>
      </c>
      <c r="G126" s="42">
        <f>SUM(G109:G124)</f>
        <v>0</v>
      </c>
      <c r="H126" s="42">
        <f>SUM(H109:H124)</f>
        <v>0</v>
      </c>
      <c r="I126" s="39">
        <f>SUM(F126:H126)</f>
        <v>0</v>
      </c>
      <c r="J126" s="42">
        <f>SUM(J109:J124)</f>
        <v>0</v>
      </c>
      <c r="K126" s="42">
        <f>SUM(K109:K124)</f>
        <v>0</v>
      </c>
      <c r="L126" s="42">
        <f>SUM(L109:L124)</f>
        <v>0</v>
      </c>
      <c r="M126" s="39">
        <f>SUM(J126:L126)</f>
        <v>0</v>
      </c>
      <c r="N126" s="42">
        <f>SUM(N109:N124)</f>
        <v>0</v>
      </c>
      <c r="O126" s="42">
        <f>SUM(O109:O124)</f>
        <v>0</v>
      </c>
      <c r="P126" s="42">
        <f>SUM(P109:P124)</f>
        <v>0</v>
      </c>
      <c r="Q126" s="39">
        <f>SUM(N126:P126)</f>
        <v>0</v>
      </c>
      <c r="R126" s="37">
        <f>+E126+I126+M126+Q126</f>
        <v>0</v>
      </c>
    </row>
    <row r="127" spans="1:20" ht="16.5" customHeight="1" thickBot="1" x14ac:dyDescent="0.35">
      <c r="A127" s="43" t="s">
        <v>1222</v>
      </c>
      <c r="B127" s="42">
        <f>+B89+B96+B108+B126</f>
        <v>960</v>
      </c>
      <c r="C127" s="42">
        <f>+C89+C96+C108+C126</f>
        <v>1275</v>
      </c>
      <c r="D127" s="42">
        <f>+D89+D96+D108+D126</f>
        <v>3620</v>
      </c>
      <c r="E127" s="37">
        <f>SUM(B127:D127)</f>
        <v>5855</v>
      </c>
      <c r="F127" s="42">
        <f>+F89+F96+F108+F126</f>
        <v>6437</v>
      </c>
      <c r="G127" s="42">
        <f>+G89+G96+G108+G126</f>
        <v>5242</v>
      </c>
      <c r="H127" s="42">
        <f>+H89+H96+H108+H126</f>
        <v>6145</v>
      </c>
      <c r="I127" s="37">
        <f>SUM(F127:H127)</f>
        <v>17824</v>
      </c>
      <c r="J127" s="42">
        <f>+J89+J96+J108+J126</f>
        <v>6442</v>
      </c>
      <c r="K127" s="42">
        <f>+K89+K96+K108+K126</f>
        <v>8680</v>
      </c>
      <c r="L127" s="42">
        <f>+L89+L96+L108+L126</f>
        <v>7599</v>
      </c>
      <c r="M127" s="37">
        <f>SUM(J127:L127)</f>
        <v>22721</v>
      </c>
      <c r="N127" s="42">
        <f>+N89+N96+N108+N126</f>
        <v>3229</v>
      </c>
      <c r="O127" s="42">
        <f>+O89+O96+O108+O126</f>
        <v>3404</v>
      </c>
      <c r="P127" s="42">
        <f>+P89+P96+P108+P126</f>
        <v>4586</v>
      </c>
      <c r="Q127" s="37">
        <f>SUM(N127:P127)</f>
        <v>11219</v>
      </c>
      <c r="R127" s="37">
        <f>+E127+I127+M127+Q127</f>
        <v>57619</v>
      </c>
    </row>
    <row r="128" spans="1:20" ht="16.5" customHeight="1" thickBot="1" x14ac:dyDescent="0.35">
      <c r="A128" s="257" t="s">
        <v>853</v>
      </c>
      <c r="B128" s="238">
        <v>173</v>
      </c>
      <c r="C128" s="238">
        <v>260</v>
      </c>
      <c r="D128" s="238">
        <v>471</v>
      </c>
      <c r="E128" s="38">
        <f>SUM(B128:D128)</f>
        <v>904</v>
      </c>
      <c r="F128" s="238">
        <v>629</v>
      </c>
      <c r="G128" s="238">
        <v>725</v>
      </c>
      <c r="H128" s="238">
        <v>712</v>
      </c>
      <c r="I128" s="38">
        <f>SUM(F128:H128)</f>
        <v>2066</v>
      </c>
      <c r="J128" s="238">
        <v>711</v>
      </c>
      <c r="K128" s="238">
        <v>573</v>
      </c>
      <c r="L128" s="238">
        <v>542</v>
      </c>
      <c r="M128" s="38">
        <f>SUM(J128:L128)</f>
        <v>1826</v>
      </c>
      <c r="N128" s="238">
        <v>490</v>
      </c>
      <c r="O128" s="238">
        <v>407</v>
      </c>
      <c r="P128" s="238">
        <v>323</v>
      </c>
      <c r="Q128" s="38">
        <f>SUM(N128:P128)</f>
        <v>1220</v>
      </c>
      <c r="R128" s="38">
        <f>+E128+I128+M128+Q128</f>
        <v>6016</v>
      </c>
    </row>
    <row r="129" spans="1:20" ht="16.5" customHeight="1" thickBot="1" x14ac:dyDescent="0.35">
      <c r="A129" s="44"/>
      <c r="B129" s="258"/>
      <c r="C129" s="258"/>
      <c r="D129" s="258"/>
      <c r="E129" s="37" t="s">
        <v>852</v>
      </c>
      <c r="F129" s="258"/>
      <c r="G129" s="258"/>
      <c r="H129" s="258"/>
      <c r="I129" s="37" t="s">
        <v>852</v>
      </c>
      <c r="J129" s="258"/>
      <c r="K129" s="258"/>
      <c r="L129" s="258"/>
      <c r="M129" s="37" t="s">
        <v>852</v>
      </c>
      <c r="N129" s="258"/>
      <c r="O129" s="258"/>
      <c r="P129" s="258"/>
      <c r="Q129" s="37" t="s">
        <v>852</v>
      </c>
      <c r="R129" s="37" t="s">
        <v>852</v>
      </c>
    </row>
    <row r="130" spans="1:20" ht="15.75" customHeight="1" x14ac:dyDescent="0.3">
      <c r="A130" s="259" t="s">
        <v>2011</v>
      </c>
      <c r="B130" s="260">
        <f>+B127+B128</f>
        <v>1133</v>
      </c>
      <c r="C130" s="260">
        <f>+C127+C128</f>
        <v>1535</v>
      </c>
      <c r="D130" s="260">
        <f>+D127+D128</f>
        <v>4091</v>
      </c>
      <c r="E130" s="38">
        <f>SUM(B130:D130)</f>
        <v>6759</v>
      </c>
      <c r="F130" s="260">
        <f>+F127+F128</f>
        <v>7066</v>
      </c>
      <c r="G130" s="260">
        <f>+G127+G128</f>
        <v>5967</v>
      </c>
      <c r="H130" s="260">
        <f>+H127+H128</f>
        <v>6857</v>
      </c>
      <c r="I130" s="38">
        <f>SUM(F130:H130)</f>
        <v>19890</v>
      </c>
      <c r="J130" s="260">
        <f>+J127+J128</f>
        <v>7153</v>
      </c>
      <c r="K130" s="260">
        <f>+K127+K128</f>
        <v>9253</v>
      </c>
      <c r="L130" s="260">
        <f>+L127+L128</f>
        <v>8141</v>
      </c>
      <c r="M130" s="38">
        <f>SUM(J130:L130)</f>
        <v>24547</v>
      </c>
      <c r="N130" s="260">
        <f>+N127+N128</f>
        <v>3719</v>
      </c>
      <c r="O130" s="260">
        <f>+O127+O128</f>
        <v>3811</v>
      </c>
      <c r="P130" s="260">
        <f>+P127+P128</f>
        <v>4909</v>
      </c>
      <c r="Q130" s="38">
        <f>SUM(N130:P130)</f>
        <v>12439</v>
      </c>
      <c r="R130" s="38">
        <f>+E130+I130+M130+Q130</f>
        <v>63635</v>
      </c>
    </row>
    <row r="131" spans="1:20" ht="15.75" customHeight="1" x14ac:dyDescent="0.3">
      <c r="A131" s="261" t="s">
        <v>1897</v>
      </c>
      <c r="B131" s="172">
        <f>(B130/B10)/1.983</f>
        <v>18.43085582288159</v>
      </c>
      <c r="C131" s="172">
        <f>(C130/C10)/1.983</f>
        <v>27.645702759167204</v>
      </c>
      <c r="D131" s="172">
        <f>(D130/D10)/1.983</f>
        <v>66.549542075382689</v>
      </c>
      <c r="E131" s="38" t="s">
        <v>852</v>
      </c>
      <c r="F131" s="172">
        <f>(F130/F10)/1.983</f>
        <v>118.77626491847369</v>
      </c>
      <c r="G131" s="172">
        <f>(G130/G10)/1.983</f>
        <v>97.06700502659703</v>
      </c>
      <c r="H131" s="172">
        <f>(H130/H10)/1.983</f>
        <v>115.2630694234325</v>
      </c>
      <c r="I131" s="38" t="s">
        <v>852</v>
      </c>
      <c r="J131" s="172">
        <f>(J130/J10)/1.983</f>
        <v>116.36002797976347</v>
      </c>
      <c r="K131" s="172">
        <f>(K130/K10)/1.983</f>
        <v>150.52136710425717</v>
      </c>
      <c r="L131" s="172">
        <f>(L130/L10)/1.983</f>
        <v>136.84652882837452</v>
      </c>
      <c r="M131" s="38" t="s">
        <v>852</v>
      </c>
      <c r="N131" s="172">
        <f>(N130/N10)/1.983</f>
        <v>60.498104859043806</v>
      </c>
      <c r="O131" s="172">
        <f>(O130/O10)/1.983</f>
        <v>64.061186754076317</v>
      </c>
      <c r="P131" s="172">
        <f>(P130/P10)/1.983</f>
        <v>79.85619702959022</v>
      </c>
      <c r="Q131" s="38" t="s">
        <v>852</v>
      </c>
      <c r="R131" s="38" t="s">
        <v>852</v>
      </c>
    </row>
    <row r="132" spans="1:20" ht="15.75" customHeight="1" x14ac:dyDescent="0.3">
      <c r="A132" s="262" t="s">
        <v>1679</v>
      </c>
      <c r="B132" s="172">
        <f>B130+B285</f>
        <v>174949</v>
      </c>
      <c r="C132" s="172">
        <f>C130+C285</f>
        <v>108740</v>
      </c>
      <c r="D132" s="172">
        <f>D130+D285</f>
        <v>144226</v>
      </c>
      <c r="E132" s="38">
        <f>SUM(B132:D132)</f>
        <v>427915</v>
      </c>
      <c r="F132" s="172">
        <f>F130+F285</f>
        <v>154659</v>
      </c>
      <c r="G132" s="172">
        <f>G130+G285</f>
        <v>175615</v>
      </c>
      <c r="H132" s="172">
        <f>H130+H285</f>
        <v>80652</v>
      </c>
      <c r="I132" s="38">
        <f>SUM(F132:H132)</f>
        <v>410926</v>
      </c>
      <c r="J132" s="172">
        <f>J130+J285</f>
        <v>72204</v>
      </c>
      <c r="K132" s="172">
        <f>K130+K285</f>
        <v>69921</v>
      </c>
      <c r="L132" s="172">
        <f>L130+L285</f>
        <v>164246</v>
      </c>
      <c r="M132" s="38">
        <f>SUM(J132:L132)</f>
        <v>306371</v>
      </c>
      <c r="N132" s="172">
        <f>N130+N285</f>
        <v>117341</v>
      </c>
      <c r="O132" s="172">
        <f>O130+O285</f>
        <v>116562</v>
      </c>
      <c r="P132" s="172">
        <f>P130+P285</f>
        <v>127938</v>
      </c>
      <c r="Q132" s="38">
        <f>SUM(N132:P132)</f>
        <v>361841</v>
      </c>
      <c r="R132" s="38">
        <f>+E132+I132+M132+Q132</f>
        <v>1507053</v>
      </c>
    </row>
    <row r="133" spans="1:20" ht="16.5" customHeight="1" thickBot="1" x14ac:dyDescent="0.35">
      <c r="A133" s="263" t="s">
        <v>6</v>
      </c>
      <c r="B133" s="264">
        <f>(B132/B10)/1.983</f>
        <v>2845.9486278528784</v>
      </c>
      <c r="C133" s="264">
        <f>(C132/C10)/1.983</f>
        <v>1958.4323895972911</v>
      </c>
      <c r="D133" s="264">
        <f>(D132/D10)/1.983</f>
        <v>2346.1682364615358</v>
      </c>
      <c r="E133" s="40" t="s">
        <v>852</v>
      </c>
      <c r="F133" s="264">
        <f>(F132/F10)/1.983</f>
        <v>2599.7478567826524</v>
      </c>
      <c r="G133" s="264">
        <f>(G132/G10)/1.983</f>
        <v>2856.7826525466462</v>
      </c>
      <c r="H133" s="264">
        <f>(H132/H10)/1.983</f>
        <v>1355.7236510337871</v>
      </c>
      <c r="I133" s="40" t="s">
        <v>852</v>
      </c>
      <c r="J133" s="264">
        <f>(J132/J10)/1.983</f>
        <v>1174.5644429261627</v>
      </c>
      <c r="K133" s="264">
        <f>(K132/K10)/1.983</f>
        <v>1137.4261871065346</v>
      </c>
      <c r="L133" s="264">
        <f>(L132/L10)/1.983</f>
        <v>2760.9009917633216</v>
      </c>
      <c r="M133" s="40" t="s">
        <v>852</v>
      </c>
      <c r="N133" s="264">
        <f>(N132/N10)/1.983</f>
        <v>1908.8217591462917</v>
      </c>
      <c r="O133" s="264">
        <f>(O132/O10)/1.983</f>
        <v>1959.3545133635905</v>
      </c>
      <c r="P133" s="264">
        <f>(P132/P10)/1.983</f>
        <v>2081.2063832902249</v>
      </c>
      <c r="Q133" s="40" t="s">
        <v>852</v>
      </c>
      <c r="R133" s="40" t="s">
        <v>852</v>
      </c>
    </row>
    <row r="134" spans="1:20" ht="15.75" customHeight="1" x14ac:dyDescent="0.3">
      <c r="A134" s="18"/>
      <c r="B134" s="172"/>
      <c r="C134" s="172"/>
      <c r="D134" s="172"/>
      <c r="E134" s="172"/>
      <c r="F134" s="172"/>
      <c r="G134" s="172"/>
      <c r="H134" s="172"/>
      <c r="I134" s="172"/>
      <c r="J134" s="172"/>
      <c r="K134" s="172"/>
      <c r="L134" s="172"/>
      <c r="M134" s="172"/>
      <c r="N134" s="172"/>
      <c r="O134" s="172"/>
      <c r="P134" s="172"/>
      <c r="Q134" s="172"/>
      <c r="R134" s="17"/>
    </row>
    <row r="135" spans="1:20" ht="15.75" customHeight="1" thickBot="1" x14ac:dyDescent="0.35">
      <c r="A135" s="18" t="s">
        <v>852</v>
      </c>
      <c r="B135" s="172"/>
      <c r="C135" s="172"/>
      <c r="D135" s="172"/>
      <c r="E135" s="172"/>
      <c r="F135" s="172"/>
      <c r="G135" s="172"/>
      <c r="H135" s="172"/>
      <c r="I135" s="172"/>
      <c r="J135" s="172"/>
      <c r="K135" s="172"/>
      <c r="L135" s="172"/>
      <c r="M135" s="172"/>
      <c r="N135" s="172"/>
      <c r="O135" s="172"/>
      <c r="P135" s="172"/>
      <c r="Q135" s="172"/>
      <c r="R135" s="17"/>
    </row>
    <row r="136" spans="1:20" ht="16.5" customHeight="1" thickBot="1" x14ac:dyDescent="0.35">
      <c r="A136" s="240" t="s">
        <v>1446</v>
      </c>
      <c r="B136" s="4" t="s">
        <v>2090</v>
      </c>
      <c r="C136" s="5" t="s">
        <v>2091</v>
      </c>
      <c r="D136" s="5" t="s">
        <v>2234</v>
      </c>
      <c r="E136" s="33" t="s">
        <v>1594</v>
      </c>
      <c r="F136" s="5" t="s">
        <v>2235</v>
      </c>
      <c r="G136" s="5" t="s">
        <v>2236</v>
      </c>
      <c r="H136" s="5" t="s">
        <v>2237</v>
      </c>
      <c r="I136" s="35" t="s">
        <v>1595</v>
      </c>
      <c r="J136" s="5" t="s">
        <v>1504</v>
      </c>
      <c r="K136" s="5" t="s">
        <v>1505</v>
      </c>
      <c r="L136" s="5" t="s">
        <v>1506</v>
      </c>
      <c r="M136" s="35" t="s">
        <v>1596</v>
      </c>
      <c r="N136" s="5" t="s">
        <v>1507</v>
      </c>
      <c r="O136" s="5" t="s">
        <v>1508</v>
      </c>
      <c r="P136" s="5" t="s">
        <v>1509</v>
      </c>
      <c r="Q136" s="35" t="s">
        <v>1597</v>
      </c>
      <c r="R136" s="36" t="s">
        <v>1510</v>
      </c>
    </row>
    <row r="137" spans="1:20" ht="16.5" customHeight="1" thickBot="1" x14ac:dyDescent="0.35">
      <c r="A137" s="44"/>
      <c r="B137" s="258"/>
      <c r="C137" s="258"/>
      <c r="D137" s="258"/>
      <c r="E137" s="265"/>
      <c r="F137" s="258"/>
      <c r="G137" s="258"/>
      <c r="H137" s="258"/>
      <c r="I137" s="265"/>
      <c r="J137" s="258"/>
      <c r="K137" s="258"/>
      <c r="L137" s="258"/>
      <c r="M137" s="265"/>
      <c r="N137" s="258"/>
      <c r="O137" s="258"/>
      <c r="P137" s="258"/>
      <c r="Q137" s="265"/>
      <c r="R137" s="44"/>
    </row>
    <row r="138" spans="1:20" ht="15.75" customHeight="1" x14ac:dyDescent="0.3">
      <c r="A138" s="234" t="s">
        <v>2417</v>
      </c>
      <c r="B138" s="172" t="s">
        <v>852</v>
      </c>
      <c r="C138" s="172" t="s">
        <v>852</v>
      </c>
      <c r="D138" s="172" t="s">
        <v>852</v>
      </c>
      <c r="E138" s="38" t="s">
        <v>852</v>
      </c>
      <c r="F138" s="172" t="s">
        <v>852</v>
      </c>
      <c r="G138" s="172" t="s">
        <v>852</v>
      </c>
      <c r="H138" s="172" t="s">
        <v>852</v>
      </c>
      <c r="I138" s="38" t="s">
        <v>852</v>
      </c>
      <c r="J138" s="172" t="s">
        <v>852</v>
      </c>
      <c r="K138" s="172" t="s">
        <v>852</v>
      </c>
      <c r="L138" s="172" t="s">
        <v>852</v>
      </c>
      <c r="M138" s="38" t="s">
        <v>852</v>
      </c>
      <c r="N138" s="172" t="s">
        <v>852</v>
      </c>
      <c r="O138" s="172" t="s">
        <v>852</v>
      </c>
      <c r="P138" s="172" t="s">
        <v>852</v>
      </c>
      <c r="Q138" s="38" t="s">
        <v>852</v>
      </c>
      <c r="R138" s="48" t="s">
        <v>852</v>
      </c>
    </row>
    <row r="139" spans="1:20" ht="15.75" customHeight="1" x14ac:dyDescent="0.3">
      <c r="A139" s="234" t="s">
        <v>2160</v>
      </c>
      <c r="B139" s="172"/>
      <c r="C139" s="172"/>
      <c r="D139" s="172"/>
      <c r="E139" s="38" t="s">
        <v>852</v>
      </c>
      <c r="F139" s="172"/>
      <c r="G139" s="172"/>
      <c r="H139" s="172"/>
      <c r="I139" s="38" t="s">
        <v>852</v>
      </c>
      <c r="J139" s="172"/>
      <c r="K139" s="172"/>
      <c r="L139" s="172"/>
      <c r="M139" s="38" t="s">
        <v>852</v>
      </c>
      <c r="N139" s="172"/>
      <c r="O139" s="172"/>
      <c r="P139" s="172"/>
      <c r="Q139" s="38" t="s">
        <v>852</v>
      </c>
      <c r="R139" s="48"/>
    </row>
    <row r="140" spans="1:20" ht="15.75" customHeight="1" x14ac:dyDescent="0.3">
      <c r="A140" s="569" t="s">
        <v>2730</v>
      </c>
      <c r="B140" s="172"/>
      <c r="C140" s="172"/>
      <c r="D140" s="172">
        <f>30+30</f>
        <v>60</v>
      </c>
      <c r="E140" s="38">
        <f t="shared" ref="E140:E156" si="20">SUM(B140:D140)</f>
        <v>60</v>
      </c>
      <c r="F140" s="172">
        <f>385+120</f>
        <v>505</v>
      </c>
      <c r="G140" s="172">
        <f>405+50</f>
        <v>455</v>
      </c>
      <c r="H140" s="172">
        <f>425+75</f>
        <v>500</v>
      </c>
      <c r="I140" s="38">
        <f t="shared" ref="I140:I156" si="21">SUM(F140:H140)</f>
        <v>1460</v>
      </c>
      <c r="J140" s="172">
        <f>682+55</f>
        <v>737</v>
      </c>
      <c r="K140" s="172">
        <f>654+100</f>
        <v>754</v>
      </c>
      <c r="L140" s="172">
        <v>768</v>
      </c>
      <c r="M140" s="38">
        <f t="shared" ref="M140:M156" si="22">SUM(J140:L140)</f>
        <v>2259</v>
      </c>
      <c r="N140" s="172">
        <v>410</v>
      </c>
      <c r="O140" s="172"/>
      <c r="P140" s="172"/>
      <c r="Q140" s="38">
        <f t="shared" ref="Q140:Q156" si="23">SUM(N140:P140)</f>
        <v>410</v>
      </c>
      <c r="R140" s="38">
        <f>+E140+I140+M140+Q140</f>
        <v>4189</v>
      </c>
      <c r="T140" t="s">
        <v>2764</v>
      </c>
    </row>
    <row r="141" spans="1:20" ht="15.75" customHeight="1" x14ac:dyDescent="0.3">
      <c r="A141" s="569" t="s">
        <v>2733</v>
      </c>
      <c r="B141" s="172"/>
      <c r="C141" s="172"/>
      <c r="D141" s="172">
        <f>23+824</f>
        <v>847</v>
      </c>
      <c r="E141" s="38">
        <f t="shared" si="20"/>
        <v>847</v>
      </c>
      <c r="F141" s="172">
        <f>24+1110</f>
        <v>1134</v>
      </c>
      <c r="G141" s="172">
        <f>24+1109</f>
        <v>1133</v>
      </c>
      <c r="H141" s="172">
        <f>1329+25</f>
        <v>1354</v>
      </c>
      <c r="I141" s="38">
        <f t="shared" si="21"/>
        <v>3621</v>
      </c>
      <c r="J141" s="172">
        <v>1481</v>
      </c>
      <c r="K141" s="172">
        <v>1610</v>
      </c>
      <c r="L141" s="172">
        <v>1265</v>
      </c>
      <c r="M141" s="38">
        <f t="shared" si="22"/>
        <v>4356</v>
      </c>
      <c r="N141" s="172">
        <f>31+1156</f>
        <v>1187</v>
      </c>
      <c r="O141" s="172">
        <v>1006</v>
      </c>
      <c r="P141" s="172">
        <v>76</v>
      </c>
      <c r="Q141" s="38">
        <f t="shared" si="23"/>
        <v>2269</v>
      </c>
      <c r="R141" s="38">
        <f>+E141+I141+M141+Q141</f>
        <v>11093</v>
      </c>
      <c r="T141" t="s">
        <v>2764</v>
      </c>
    </row>
    <row r="142" spans="1:20" ht="15.75" customHeight="1" x14ac:dyDescent="0.3">
      <c r="A142" s="569" t="s">
        <v>2734</v>
      </c>
      <c r="B142" s="172"/>
      <c r="C142" s="172"/>
      <c r="D142" s="172">
        <v>30</v>
      </c>
      <c r="E142" s="38">
        <f t="shared" si="20"/>
        <v>30</v>
      </c>
      <c r="F142" s="172">
        <v>273</v>
      </c>
      <c r="G142" s="172">
        <v>323</v>
      </c>
      <c r="H142" s="172">
        <v>225</v>
      </c>
      <c r="I142" s="38">
        <f t="shared" si="21"/>
        <v>821</v>
      </c>
      <c r="J142" s="172">
        <v>430</v>
      </c>
      <c r="K142" s="172">
        <v>246</v>
      </c>
      <c r="L142" s="172">
        <v>470</v>
      </c>
      <c r="M142" s="38">
        <f t="shared" si="22"/>
        <v>1146</v>
      </c>
      <c r="N142" s="172">
        <v>375</v>
      </c>
      <c r="O142" s="172"/>
      <c r="P142" s="172"/>
      <c r="Q142" s="38">
        <f t="shared" si="23"/>
        <v>375</v>
      </c>
      <c r="R142" s="38">
        <f>+E142+I142+M142+Q142</f>
        <v>2372</v>
      </c>
      <c r="T142" t="s">
        <v>2764</v>
      </c>
    </row>
    <row r="143" spans="1:20" ht="15.75" customHeight="1" x14ac:dyDescent="0.3">
      <c r="A143" s="569" t="s">
        <v>2735</v>
      </c>
      <c r="B143" s="172"/>
      <c r="C143" s="172"/>
      <c r="D143" s="172">
        <v>30</v>
      </c>
      <c r="E143" s="38">
        <f t="shared" si="20"/>
        <v>30</v>
      </c>
      <c r="F143" s="172">
        <v>343</v>
      </c>
      <c r="G143" s="172">
        <v>345</v>
      </c>
      <c r="H143" s="172">
        <v>326</v>
      </c>
      <c r="I143" s="38">
        <f t="shared" si="21"/>
        <v>1014</v>
      </c>
      <c r="J143" s="172">
        <v>556</v>
      </c>
      <c r="K143" s="172">
        <v>180</v>
      </c>
      <c r="L143" s="172">
        <v>626</v>
      </c>
      <c r="M143" s="38">
        <f t="shared" si="22"/>
        <v>1362</v>
      </c>
      <c r="N143" s="172">
        <v>825</v>
      </c>
      <c r="O143" s="172"/>
      <c r="P143" s="172"/>
      <c r="Q143" s="38">
        <f t="shared" si="23"/>
        <v>825</v>
      </c>
      <c r="R143" s="38">
        <f>+E143+I143+M143+Q143</f>
        <v>3231</v>
      </c>
      <c r="T143" t="s">
        <v>2764</v>
      </c>
    </row>
    <row r="144" spans="1:20" ht="15.75" customHeight="1" x14ac:dyDescent="0.3">
      <c r="A144" s="539" t="s">
        <v>2238</v>
      </c>
      <c r="B144" s="10">
        <v>2</v>
      </c>
      <c r="C144" s="10">
        <v>2</v>
      </c>
      <c r="D144" s="10">
        <v>2</v>
      </c>
      <c r="E144" s="38">
        <f t="shared" si="20"/>
        <v>6</v>
      </c>
      <c r="F144" s="10">
        <v>4</v>
      </c>
      <c r="G144" s="10">
        <v>5</v>
      </c>
      <c r="H144" s="10">
        <v>1</v>
      </c>
      <c r="I144" s="38">
        <f t="shared" si="21"/>
        <v>10</v>
      </c>
      <c r="J144" s="10"/>
      <c r="K144" s="10"/>
      <c r="L144" s="10"/>
      <c r="M144" s="38">
        <f t="shared" si="22"/>
        <v>0</v>
      </c>
      <c r="N144" s="10"/>
      <c r="O144" s="10"/>
      <c r="P144" s="10"/>
      <c r="Q144" s="38">
        <f t="shared" si="23"/>
        <v>0</v>
      </c>
      <c r="R144" s="38">
        <f>+E144+I144+M144+Q144</f>
        <v>16</v>
      </c>
      <c r="T144" t="s">
        <v>1193</v>
      </c>
    </row>
    <row r="145" spans="1:20" ht="15.75" customHeight="1" x14ac:dyDescent="0.3">
      <c r="A145" s="569" t="s">
        <v>2736</v>
      </c>
      <c r="B145" s="172"/>
      <c r="C145" s="172"/>
      <c r="D145" s="172"/>
      <c r="E145" s="38">
        <f t="shared" si="20"/>
        <v>0</v>
      </c>
      <c r="F145" s="172"/>
      <c r="G145" s="172"/>
      <c r="H145" s="172"/>
      <c r="I145" s="38">
        <f t="shared" si="21"/>
        <v>0</v>
      </c>
      <c r="J145" s="172"/>
      <c r="K145" s="172"/>
      <c r="L145" s="172"/>
      <c r="M145" s="38">
        <f t="shared" si="22"/>
        <v>0</v>
      </c>
      <c r="N145" s="172"/>
      <c r="O145" s="172"/>
      <c r="P145" s="172"/>
      <c r="Q145" s="38">
        <f t="shared" si="23"/>
        <v>0</v>
      </c>
      <c r="R145" s="38">
        <f t="shared" ref="R145:R178" si="24">+E145+I145+M145+Q145</f>
        <v>0</v>
      </c>
      <c r="T145" t="s">
        <v>2769</v>
      </c>
    </row>
    <row r="146" spans="1:20" ht="15.75" customHeight="1" x14ac:dyDescent="0.3">
      <c r="A146" s="569" t="s">
        <v>917</v>
      </c>
      <c r="B146" s="172"/>
      <c r="C146" s="172">
        <v>900</v>
      </c>
      <c r="D146" s="172">
        <v>1500</v>
      </c>
      <c r="E146" s="38">
        <f t="shared" si="20"/>
        <v>2400</v>
      </c>
      <c r="F146" s="172">
        <v>1457</v>
      </c>
      <c r="G146" s="172">
        <v>735</v>
      </c>
      <c r="H146" s="172">
        <v>324</v>
      </c>
      <c r="I146" s="38">
        <f t="shared" si="21"/>
        <v>2516</v>
      </c>
      <c r="J146" s="172"/>
      <c r="K146" s="172"/>
      <c r="L146" s="172"/>
      <c r="M146" s="38">
        <f t="shared" si="22"/>
        <v>0</v>
      </c>
      <c r="N146" s="172"/>
      <c r="O146" s="172"/>
      <c r="P146" s="172"/>
      <c r="Q146" s="38">
        <f t="shared" si="23"/>
        <v>0</v>
      </c>
      <c r="R146" s="38">
        <f t="shared" si="24"/>
        <v>4916</v>
      </c>
      <c r="T146" t="s">
        <v>2770</v>
      </c>
    </row>
    <row r="147" spans="1:20" ht="15.75" customHeight="1" x14ac:dyDescent="0.3">
      <c r="A147" s="539" t="s">
        <v>3001</v>
      </c>
      <c r="B147" s="172">
        <v>500</v>
      </c>
      <c r="C147" s="172"/>
      <c r="D147" s="172"/>
      <c r="E147" s="38">
        <f t="shared" si="20"/>
        <v>500</v>
      </c>
      <c r="F147" s="172"/>
      <c r="G147" s="172"/>
      <c r="H147" s="172"/>
      <c r="I147" s="38">
        <f t="shared" si="21"/>
        <v>0</v>
      </c>
      <c r="J147" s="172"/>
      <c r="K147" s="172"/>
      <c r="L147" s="172"/>
      <c r="M147" s="38">
        <f t="shared" si="22"/>
        <v>0</v>
      </c>
      <c r="N147" s="172"/>
      <c r="O147" s="172"/>
      <c r="P147" s="172"/>
      <c r="Q147" s="38">
        <f t="shared" si="23"/>
        <v>0</v>
      </c>
      <c r="R147" s="38">
        <f>+E147+I147+M147+Q147</f>
        <v>500</v>
      </c>
      <c r="S147" t="s">
        <v>3020</v>
      </c>
      <c r="T147" t="s">
        <v>2760</v>
      </c>
    </row>
    <row r="148" spans="1:20" ht="15.75" customHeight="1" x14ac:dyDescent="0.3">
      <c r="A148" s="569" t="s">
        <v>1323</v>
      </c>
      <c r="B148" s="172"/>
      <c r="C148" s="172">
        <v>1251</v>
      </c>
      <c r="D148" s="172">
        <v>693</v>
      </c>
      <c r="E148" s="38">
        <f t="shared" si="20"/>
        <v>1944</v>
      </c>
      <c r="F148" s="172"/>
      <c r="G148" s="172">
        <v>895</v>
      </c>
      <c r="H148" s="172"/>
      <c r="I148" s="38">
        <f t="shared" si="21"/>
        <v>895</v>
      </c>
      <c r="J148" s="172"/>
      <c r="K148" s="172"/>
      <c r="L148" s="172"/>
      <c r="M148" s="38">
        <f t="shared" si="22"/>
        <v>0</v>
      </c>
      <c r="N148" s="172"/>
      <c r="O148" s="172"/>
      <c r="P148" s="172"/>
      <c r="Q148" s="38">
        <f t="shared" si="23"/>
        <v>0</v>
      </c>
      <c r="R148" s="38">
        <f t="shared" si="24"/>
        <v>2839</v>
      </c>
      <c r="T148" t="s">
        <v>2769</v>
      </c>
    </row>
    <row r="149" spans="1:20" ht="15.75" customHeight="1" x14ac:dyDescent="0.3">
      <c r="A149" s="569" t="s">
        <v>2317</v>
      </c>
      <c r="B149" s="172"/>
      <c r="C149" s="172"/>
      <c r="D149" s="172"/>
      <c r="E149" s="38">
        <f t="shared" si="20"/>
        <v>0</v>
      </c>
      <c r="F149" s="172"/>
      <c r="G149" s="172"/>
      <c r="H149" s="172">
        <v>157</v>
      </c>
      <c r="I149" s="38">
        <f t="shared" si="21"/>
        <v>157</v>
      </c>
      <c r="J149" s="172"/>
      <c r="K149" s="172"/>
      <c r="L149" s="172"/>
      <c r="M149" s="38">
        <f t="shared" si="22"/>
        <v>0</v>
      </c>
      <c r="N149" s="172"/>
      <c r="O149" s="172"/>
      <c r="P149" s="172"/>
      <c r="Q149" s="38">
        <f t="shared" si="23"/>
        <v>0</v>
      </c>
      <c r="R149" s="38">
        <f t="shared" si="24"/>
        <v>157</v>
      </c>
      <c r="T149" t="s">
        <v>2770</v>
      </c>
    </row>
    <row r="150" spans="1:20" ht="15.75" customHeight="1" x14ac:dyDescent="0.3">
      <c r="A150" s="569" t="s">
        <v>2988</v>
      </c>
      <c r="B150" s="172"/>
      <c r="C150" s="172"/>
      <c r="D150" s="172"/>
      <c r="E150" s="38">
        <f t="shared" si="20"/>
        <v>0</v>
      </c>
      <c r="F150" s="172">
        <v>1000</v>
      </c>
      <c r="G150" s="172">
        <v>1000</v>
      </c>
      <c r="H150" s="172">
        <v>1000</v>
      </c>
      <c r="I150" s="38">
        <f t="shared" si="21"/>
        <v>3000</v>
      </c>
      <c r="J150" s="172">
        <v>1000</v>
      </c>
      <c r="K150" s="172">
        <v>1000</v>
      </c>
      <c r="L150" s="172"/>
      <c r="M150" s="38">
        <f t="shared" si="22"/>
        <v>2000</v>
      </c>
      <c r="N150" s="172"/>
      <c r="O150" s="172"/>
      <c r="P150" s="172"/>
      <c r="Q150" s="38">
        <f t="shared" si="23"/>
        <v>0</v>
      </c>
      <c r="R150" s="38">
        <f>+E150+I150+M150+Q150</f>
        <v>5000</v>
      </c>
      <c r="T150" t="s">
        <v>2764</v>
      </c>
    </row>
    <row r="151" spans="1:20" ht="15.75" customHeight="1" x14ac:dyDescent="0.3">
      <c r="A151" s="539" t="s">
        <v>1880</v>
      </c>
      <c r="B151" s="172">
        <v>33</v>
      </c>
      <c r="C151" s="172">
        <v>29</v>
      </c>
      <c r="D151" s="172">
        <v>32</v>
      </c>
      <c r="E151" s="38">
        <f t="shared" si="20"/>
        <v>94</v>
      </c>
      <c r="F151" s="172">
        <v>30</v>
      </c>
      <c r="G151" s="172">
        <v>45</v>
      </c>
      <c r="H151" s="172">
        <v>48</v>
      </c>
      <c r="I151" s="38">
        <f t="shared" si="21"/>
        <v>123</v>
      </c>
      <c r="J151" s="172">
        <v>56</v>
      </c>
      <c r="K151" s="172">
        <v>60</v>
      </c>
      <c r="L151" s="172">
        <v>58</v>
      </c>
      <c r="M151" s="38">
        <f t="shared" si="22"/>
        <v>174</v>
      </c>
      <c r="N151" s="172">
        <v>43</v>
      </c>
      <c r="O151" s="172">
        <v>21</v>
      </c>
      <c r="P151" s="172">
        <v>54</v>
      </c>
      <c r="Q151" s="38">
        <f t="shared" si="23"/>
        <v>118</v>
      </c>
      <c r="R151" s="38">
        <f t="shared" si="24"/>
        <v>509</v>
      </c>
      <c r="T151" t="s">
        <v>2761</v>
      </c>
    </row>
    <row r="152" spans="1:20" ht="15.75" customHeight="1" x14ac:dyDescent="0.3">
      <c r="A152" s="539" t="s">
        <v>703</v>
      </c>
      <c r="B152" s="10">
        <v>158</v>
      </c>
      <c r="C152" s="10">
        <v>130</v>
      </c>
      <c r="D152" s="10">
        <v>141</v>
      </c>
      <c r="E152" s="38">
        <f t="shared" si="20"/>
        <v>429</v>
      </c>
      <c r="F152" s="10">
        <v>144</v>
      </c>
      <c r="G152" s="10">
        <v>142</v>
      </c>
      <c r="H152" s="10">
        <v>165</v>
      </c>
      <c r="I152" s="38">
        <f t="shared" si="21"/>
        <v>451</v>
      </c>
      <c r="J152" s="10">
        <v>175</v>
      </c>
      <c r="K152" s="10">
        <v>194</v>
      </c>
      <c r="L152" s="10">
        <v>179</v>
      </c>
      <c r="M152" s="38">
        <f t="shared" si="22"/>
        <v>548</v>
      </c>
      <c r="N152" s="10">
        <v>154</v>
      </c>
      <c r="O152" s="10">
        <v>152</v>
      </c>
      <c r="P152" s="10">
        <v>131</v>
      </c>
      <c r="Q152" s="38">
        <f t="shared" si="23"/>
        <v>437</v>
      </c>
      <c r="R152" s="38">
        <f t="shared" si="24"/>
        <v>1865</v>
      </c>
      <c r="T152" t="s">
        <v>2874</v>
      </c>
    </row>
    <row r="153" spans="1:20" ht="15.75" customHeight="1" x14ac:dyDescent="0.3">
      <c r="A153" s="539" t="s">
        <v>2967</v>
      </c>
      <c r="B153" s="172"/>
      <c r="C153" s="172"/>
      <c r="D153" s="172"/>
      <c r="E153" s="38">
        <f t="shared" si="20"/>
        <v>0</v>
      </c>
      <c r="F153" s="172">
        <v>400</v>
      </c>
      <c r="G153" s="172">
        <v>600</v>
      </c>
      <c r="H153" s="172"/>
      <c r="I153" s="38">
        <f t="shared" si="21"/>
        <v>1000</v>
      </c>
      <c r="J153" s="172"/>
      <c r="K153" s="172"/>
      <c r="L153" s="172">
        <f>130+1482+500</f>
        <v>2112</v>
      </c>
      <c r="M153" s="38">
        <f t="shared" si="22"/>
        <v>2112</v>
      </c>
      <c r="N153" s="172">
        <f>1000+600</f>
        <v>1600</v>
      </c>
      <c r="O153" s="172">
        <v>300</v>
      </c>
      <c r="P153" s="172"/>
      <c r="Q153" s="38">
        <f t="shared" si="23"/>
        <v>1900</v>
      </c>
      <c r="R153" s="38">
        <f t="shared" si="24"/>
        <v>5012</v>
      </c>
      <c r="S153" t="s">
        <v>3020</v>
      </c>
    </row>
    <row r="154" spans="1:20" ht="15.75" customHeight="1" x14ac:dyDescent="0.3">
      <c r="A154" s="569" t="s">
        <v>2829</v>
      </c>
      <c r="B154" s="172"/>
      <c r="C154" s="172"/>
      <c r="D154" s="172"/>
      <c r="E154" s="38">
        <f t="shared" si="20"/>
        <v>0</v>
      </c>
      <c r="F154" s="172"/>
      <c r="G154" s="172"/>
      <c r="H154" s="172"/>
      <c r="I154" s="38">
        <f t="shared" si="21"/>
        <v>0</v>
      </c>
      <c r="J154" s="172"/>
      <c r="K154" s="172"/>
      <c r="L154" s="172"/>
      <c r="M154" s="38">
        <f t="shared" si="22"/>
        <v>0</v>
      </c>
      <c r="N154" s="172"/>
      <c r="O154" s="172"/>
      <c r="P154" s="172"/>
      <c r="Q154" s="38">
        <f t="shared" si="23"/>
        <v>0</v>
      </c>
      <c r="R154" s="38">
        <f t="shared" si="24"/>
        <v>0</v>
      </c>
      <c r="T154" t="s">
        <v>2764</v>
      </c>
    </row>
    <row r="155" spans="1:20" ht="15.75" customHeight="1" x14ac:dyDescent="0.3">
      <c r="A155" s="539" t="s">
        <v>2830</v>
      </c>
      <c r="B155" s="172">
        <v>385</v>
      </c>
      <c r="C155" s="172">
        <v>356</v>
      </c>
      <c r="D155" s="172">
        <v>428</v>
      </c>
      <c r="E155" s="38">
        <f t="shared" si="20"/>
        <v>1169</v>
      </c>
      <c r="F155" s="172">
        <v>483</v>
      </c>
      <c r="G155" s="172">
        <v>476</v>
      </c>
      <c r="H155" s="172">
        <v>520</v>
      </c>
      <c r="I155" s="38">
        <f t="shared" si="21"/>
        <v>1479</v>
      </c>
      <c r="J155" s="172">
        <v>555</v>
      </c>
      <c r="K155" s="172">
        <v>598</v>
      </c>
      <c r="L155" s="172">
        <v>539</v>
      </c>
      <c r="M155" s="38">
        <f t="shared" si="22"/>
        <v>1692</v>
      </c>
      <c r="N155" s="172">
        <v>529</v>
      </c>
      <c r="O155" s="172">
        <v>446</v>
      </c>
      <c r="P155" s="172">
        <v>411</v>
      </c>
      <c r="Q155" s="38">
        <f t="shared" si="23"/>
        <v>1386</v>
      </c>
      <c r="R155" s="38">
        <f t="shared" si="24"/>
        <v>5726</v>
      </c>
      <c r="T155" t="s">
        <v>2762</v>
      </c>
    </row>
    <row r="156" spans="1:20" ht="15.75" customHeight="1" x14ac:dyDescent="0.3">
      <c r="A156" s="569" t="s">
        <v>2845</v>
      </c>
      <c r="B156" s="172"/>
      <c r="C156" s="172"/>
      <c r="D156" s="172"/>
      <c r="E156" s="38">
        <f t="shared" si="20"/>
        <v>0</v>
      </c>
      <c r="F156" s="172"/>
      <c r="G156" s="172"/>
      <c r="H156" s="172"/>
      <c r="I156" s="38">
        <f t="shared" si="21"/>
        <v>0</v>
      </c>
      <c r="J156" s="172">
        <v>508</v>
      </c>
      <c r="K156" s="172"/>
      <c r="L156" s="172"/>
      <c r="M156" s="38">
        <f t="shared" si="22"/>
        <v>508</v>
      </c>
      <c r="N156" s="172"/>
      <c r="O156" s="172"/>
      <c r="P156" s="172"/>
      <c r="Q156" s="38">
        <f t="shared" si="23"/>
        <v>0</v>
      </c>
      <c r="R156" s="38">
        <f t="shared" si="24"/>
        <v>508</v>
      </c>
      <c r="T156" t="s">
        <v>2770</v>
      </c>
    </row>
    <row r="157" spans="1:20" ht="15.75" customHeight="1" x14ac:dyDescent="0.3">
      <c r="A157" s="539" t="s">
        <v>2809</v>
      </c>
      <c r="B157" s="172"/>
      <c r="C157" s="172"/>
      <c r="D157" s="172"/>
      <c r="E157" s="38">
        <f t="shared" ref="E157:E175" si="25">SUM(B157:D157)</f>
        <v>0</v>
      </c>
      <c r="F157" s="172"/>
      <c r="G157" s="172"/>
      <c r="H157" s="172"/>
      <c r="I157" s="38">
        <f t="shared" ref="I157:I176" si="26">SUM(F157:H157)</f>
        <v>0</v>
      </c>
      <c r="J157" s="172"/>
      <c r="K157" s="172"/>
      <c r="L157" s="172">
        <f>139+350</f>
        <v>489</v>
      </c>
      <c r="M157" s="38">
        <f t="shared" ref="M157:M176" si="27">SUM(J157:L157)</f>
        <v>489</v>
      </c>
      <c r="N157" s="172">
        <f>816+400</f>
        <v>1216</v>
      </c>
      <c r="O157" s="172">
        <f>562+398</f>
        <v>960</v>
      </c>
      <c r="P157" s="172">
        <v>117</v>
      </c>
      <c r="Q157" s="38">
        <f t="shared" ref="Q157:Q174" si="28">SUM(N157:P157)</f>
        <v>2293</v>
      </c>
      <c r="R157" s="38">
        <f t="shared" si="24"/>
        <v>2782</v>
      </c>
      <c r="S157" t="s">
        <v>3020</v>
      </c>
      <c r="T157" t="s">
        <v>2760</v>
      </c>
    </row>
    <row r="158" spans="1:20" s="353" customFormat="1" ht="15.75" customHeight="1" x14ac:dyDescent="0.3">
      <c r="A158" s="535" t="s">
        <v>1242</v>
      </c>
      <c r="B158" s="352"/>
      <c r="C158" s="352"/>
      <c r="D158" s="352"/>
      <c r="E158" s="331">
        <f t="shared" si="25"/>
        <v>0</v>
      </c>
      <c r="F158" s="352"/>
      <c r="G158" s="352"/>
      <c r="H158" s="352"/>
      <c r="I158" s="331">
        <f t="shared" si="26"/>
        <v>0</v>
      </c>
      <c r="J158" s="352"/>
      <c r="K158" s="352"/>
      <c r="L158" s="352"/>
      <c r="M158" s="331">
        <f t="shared" si="27"/>
        <v>0</v>
      </c>
      <c r="N158" s="352"/>
      <c r="O158" s="352"/>
      <c r="P158" s="352"/>
      <c r="Q158" s="331">
        <f t="shared" si="28"/>
        <v>0</v>
      </c>
      <c r="R158" s="331">
        <f t="shared" si="24"/>
        <v>0</v>
      </c>
    </row>
    <row r="159" spans="1:20" ht="15.75" customHeight="1" x14ac:dyDescent="0.3">
      <c r="A159" s="539" t="s">
        <v>1379</v>
      </c>
      <c r="B159" s="172"/>
      <c r="C159" s="172"/>
      <c r="D159" s="172">
        <v>12</v>
      </c>
      <c r="E159" s="38">
        <f t="shared" ref="E159:E166" si="29">SUM(B159:D159)</f>
        <v>12</v>
      </c>
      <c r="F159" s="172">
        <v>881</v>
      </c>
      <c r="G159" s="172">
        <v>834</v>
      </c>
      <c r="H159" s="172">
        <v>1076</v>
      </c>
      <c r="I159" s="38">
        <f t="shared" ref="I159:I166" si="30">SUM(F159:H159)</f>
        <v>2791</v>
      </c>
      <c r="J159" s="172">
        <v>1130</v>
      </c>
      <c r="K159" s="172">
        <v>1036</v>
      </c>
      <c r="L159" s="172">
        <v>927</v>
      </c>
      <c r="M159" s="38">
        <f t="shared" ref="M159:M166" si="31">SUM(J159:L159)</f>
        <v>3093</v>
      </c>
      <c r="N159" s="172">
        <v>1227</v>
      </c>
      <c r="O159" s="172">
        <v>1449</v>
      </c>
      <c r="P159" s="172">
        <v>1331</v>
      </c>
      <c r="Q159" s="38">
        <f t="shared" ref="Q159:Q166" si="32">SUM(N159:P159)</f>
        <v>4007</v>
      </c>
      <c r="R159" s="38">
        <f t="shared" ref="R159:R165" si="33">+E159+I159+M159+Q159</f>
        <v>9903</v>
      </c>
      <c r="T159" t="s">
        <v>2775</v>
      </c>
    </row>
    <row r="160" spans="1:20" ht="15.75" customHeight="1" x14ac:dyDescent="0.3">
      <c r="A160" s="569" t="s">
        <v>2984</v>
      </c>
      <c r="B160" s="172"/>
      <c r="C160" s="172"/>
      <c r="D160" s="172"/>
      <c r="E160" s="38">
        <f t="shared" si="29"/>
        <v>0</v>
      </c>
      <c r="F160" s="172"/>
      <c r="G160" s="172"/>
      <c r="H160" s="172"/>
      <c r="I160" s="38">
        <f t="shared" si="30"/>
        <v>0</v>
      </c>
      <c r="J160" s="172"/>
      <c r="K160" s="172"/>
      <c r="L160" s="172"/>
      <c r="M160" s="38">
        <f t="shared" si="31"/>
        <v>0</v>
      </c>
      <c r="N160" s="172"/>
      <c r="O160" s="172"/>
      <c r="P160" s="172"/>
      <c r="Q160" s="38">
        <f t="shared" si="32"/>
        <v>0</v>
      </c>
      <c r="R160" s="38">
        <f t="shared" si="33"/>
        <v>0</v>
      </c>
      <c r="T160" t="s">
        <v>2764</v>
      </c>
    </row>
    <row r="161" spans="1:20" ht="15.75" customHeight="1" x14ac:dyDescent="0.3">
      <c r="A161" s="539" t="s">
        <v>2987</v>
      </c>
      <c r="B161" s="172"/>
      <c r="C161" s="172"/>
      <c r="D161" s="172"/>
      <c r="E161" s="38">
        <f t="shared" si="29"/>
        <v>0</v>
      </c>
      <c r="F161" s="172"/>
      <c r="G161" s="172"/>
      <c r="H161" s="172"/>
      <c r="I161" s="38">
        <f t="shared" si="30"/>
        <v>0</v>
      </c>
      <c r="J161" s="172">
        <v>900</v>
      </c>
      <c r="K161" s="172"/>
      <c r="L161" s="172"/>
      <c r="M161" s="38">
        <f t="shared" si="31"/>
        <v>900</v>
      </c>
      <c r="N161" s="172"/>
      <c r="O161" s="172"/>
      <c r="P161" s="172"/>
      <c r="Q161" s="38">
        <f t="shared" si="32"/>
        <v>0</v>
      </c>
      <c r="R161" s="38">
        <f t="shared" si="33"/>
        <v>900</v>
      </c>
    </row>
    <row r="162" spans="1:20" ht="15.75" customHeight="1" x14ac:dyDescent="0.3">
      <c r="A162" s="539" t="s">
        <v>2985</v>
      </c>
      <c r="B162" s="172"/>
      <c r="C162" s="172"/>
      <c r="D162" s="172"/>
      <c r="E162" s="38">
        <f t="shared" si="29"/>
        <v>0</v>
      </c>
      <c r="F162" s="172"/>
      <c r="G162" s="172"/>
      <c r="H162" s="172"/>
      <c r="I162" s="38">
        <f t="shared" si="30"/>
        <v>0</v>
      </c>
      <c r="J162" s="172">
        <v>1000</v>
      </c>
      <c r="K162" s="172">
        <v>500</v>
      </c>
      <c r="L162" s="172"/>
      <c r="M162" s="38">
        <f t="shared" si="31"/>
        <v>1500</v>
      </c>
      <c r="N162" s="172">
        <v>480</v>
      </c>
      <c r="O162" s="172"/>
      <c r="P162" s="172">
        <v>300</v>
      </c>
      <c r="Q162" s="38">
        <f t="shared" si="32"/>
        <v>780</v>
      </c>
      <c r="R162" s="38">
        <f t="shared" si="33"/>
        <v>2280</v>
      </c>
      <c r="S162" t="s">
        <v>3020</v>
      </c>
      <c r="T162" t="s">
        <v>2986</v>
      </c>
    </row>
    <row r="163" spans="1:20" ht="15.75" customHeight="1" x14ac:dyDescent="0.3">
      <c r="A163" s="569" t="s">
        <v>2767</v>
      </c>
      <c r="B163" s="172"/>
      <c r="C163" s="172"/>
      <c r="D163" s="172"/>
      <c r="E163" s="38">
        <f t="shared" si="29"/>
        <v>0</v>
      </c>
      <c r="F163" s="172">
        <v>229</v>
      </c>
      <c r="G163" s="172"/>
      <c r="H163" s="172"/>
      <c r="I163" s="38">
        <f t="shared" si="30"/>
        <v>229</v>
      </c>
      <c r="J163" s="172"/>
      <c r="K163" s="172"/>
      <c r="L163" s="172"/>
      <c r="M163" s="38">
        <f t="shared" si="31"/>
        <v>0</v>
      </c>
      <c r="N163" s="172"/>
      <c r="O163" s="172"/>
      <c r="P163" s="172"/>
      <c r="Q163" s="38">
        <f t="shared" si="32"/>
        <v>0</v>
      </c>
      <c r="R163" s="38">
        <f t="shared" si="33"/>
        <v>229</v>
      </c>
      <c r="T163" t="s">
        <v>2769</v>
      </c>
    </row>
    <row r="164" spans="1:20" ht="15.75" customHeight="1" x14ac:dyDescent="0.3">
      <c r="A164" s="569" t="s">
        <v>2768</v>
      </c>
      <c r="B164" s="172"/>
      <c r="C164" s="172"/>
      <c r="D164" s="172"/>
      <c r="E164" s="38">
        <f t="shared" si="29"/>
        <v>0</v>
      </c>
      <c r="F164" s="172"/>
      <c r="G164" s="172"/>
      <c r="H164" s="172"/>
      <c r="I164" s="38">
        <f t="shared" si="30"/>
        <v>0</v>
      </c>
      <c r="J164" s="172"/>
      <c r="K164" s="172"/>
      <c r="L164" s="172"/>
      <c r="M164" s="38">
        <f t="shared" si="31"/>
        <v>0</v>
      </c>
      <c r="N164" s="172"/>
      <c r="O164" s="172"/>
      <c r="P164" s="172"/>
      <c r="Q164" s="38">
        <f t="shared" si="32"/>
        <v>0</v>
      </c>
      <c r="R164" s="38">
        <f t="shared" si="33"/>
        <v>0</v>
      </c>
      <c r="T164" t="s">
        <v>2770</v>
      </c>
    </row>
    <row r="165" spans="1:20" ht="15.75" customHeight="1" x14ac:dyDescent="0.3">
      <c r="A165" s="539" t="s">
        <v>1879</v>
      </c>
      <c r="B165" s="172">
        <v>14</v>
      </c>
      <c r="C165" s="172">
        <v>20</v>
      </c>
      <c r="D165" s="172">
        <v>33</v>
      </c>
      <c r="E165" s="38">
        <f t="shared" si="29"/>
        <v>67</v>
      </c>
      <c r="F165" s="172">
        <v>57</v>
      </c>
      <c r="G165" s="172">
        <v>45</v>
      </c>
      <c r="H165" s="172">
        <v>68</v>
      </c>
      <c r="I165" s="38">
        <f t="shared" si="30"/>
        <v>170</v>
      </c>
      <c r="J165" s="172">
        <v>75</v>
      </c>
      <c r="K165" s="172">
        <v>82</v>
      </c>
      <c r="L165" s="172">
        <v>56</v>
      </c>
      <c r="M165" s="38">
        <f t="shared" si="31"/>
        <v>213</v>
      </c>
      <c r="N165" s="172">
        <v>52</v>
      </c>
      <c r="O165" s="172">
        <v>24</v>
      </c>
      <c r="P165" s="172">
        <v>18</v>
      </c>
      <c r="Q165" s="38">
        <f t="shared" si="32"/>
        <v>94</v>
      </c>
      <c r="R165" s="38">
        <f t="shared" si="33"/>
        <v>544</v>
      </c>
      <c r="T165" t="s">
        <v>1193</v>
      </c>
    </row>
    <row r="166" spans="1:20" ht="15.75" customHeight="1" x14ac:dyDescent="0.3">
      <c r="A166" s="569" t="s">
        <v>2737</v>
      </c>
      <c r="B166" s="172"/>
      <c r="C166" s="172"/>
      <c r="D166" s="172"/>
      <c r="E166" s="38">
        <f t="shared" si="29"/>
        <v>0</v>
      </c>
      <c r="F166" s="172"/>
      <c r="G166" s="172"/>
      <c r="H166" s="172"/>
      <c r="I166" s="38">
        <f t="shared" si="30"/>
        <v>0</v>
      </c>
      <c r="J166" s="356"/>
      <c r="K166" s="172"/>
      <c r="L166" s="172"/>
      <c r="M166" s="38">
        <f t="shared" si="31"/>
        <v>0</v>
      </c>
      <c r="N166" s="172"/>
      <c r="O166" s="172"/>
      <c r="P166" s="172"/>
      <c r="Q166" s="38">
        <f t="shared" si="32"/>
        <v>0</v>
      </c>
      <c r="R166" s="38">
        <f t="shared" si="24"/>
        <v>0</v>
      </c>
      <c r="T166" t="s">
        <v>2769</v>
      </c>
    </row>
    <row r="167" spans="1:20" ht="15.75" customHeight="1" x14ac:dyDescent="0.3">
      <c r="A167" s="569" t="s">
        <v>2738</v>
      </c>
      <c r="B167" s="172"/>
      <c r="C167" s="172"/>
      <c r="D167" s="172"/>
      <c r="E167" s="38">
        <f t="shared" si="25"/>
        <v>0</v>
      </c>
      <c r="F167" s="172"/>
      <c r="G167" s="172"/>
      <c r="H167" s="172"/>
      <c r="I167" s="38">
        <f t="shared" si="26"/>
        <v>0</v>
      </c>
      <c r="J167" s="356"/>
      <c r="K167" s="172"/>
      <c r="L167" s="172"/>
      <c r="M167" s="38">
        <f t="shared" si="27"/>
        <v>0</v>
      </c>
      <c r="N167" s="172"/>
      <c r="O167" s="172"/>
      <c r="P167" s="172"/>
      <c r="Q167" s="38">
        <f t="shared" si="28"/>
        <v>0</v>
      </c>
      <c r="R167" s="38">
        <f t="shared" si="24"/>
        <v>0</v>
      </c>
      <c r="T167" t="s">
        <v>2770</v>
      </c>
    </row>
    <row r="168" spans="1:20" ht="15.75" customHeight="1" x14ac:dyDescent="0.3">
      <c r="A168" s="569" t="s">
        <v>2816</v>
      </c>
      <c r="B168" s="172"/>
      <c r="C168" s="172"/>
      <c r="D168" s="172"/>
      <c r="E168" s="38">
        <f t="shared" si="25"/>
        <v>0</v>
      </c>
      <c r="F168" s="172"/>
      <c r="G168" s="172"/>
      <c r="H168" s="172"/>
      <c r="I168" s="38">
        <f t="shared" si="26"/>
        <v>0</v>
      </c>
      <c r="J168" s="356"/>
      <c r="K168" s="172">
        <v>84</v>
      </c>
      <c r="L168" s="172">
        <v>70</v>
      </c>
      <c r="M168" s="38">
        <f t="shared" si="27"/>
        <v>154</v>
      </c>
      <c r="N168" s="172">
        <v>58</v>
      </c>
      <c r="O168" s="172">
        <v>34</v>
      </c>
      <c r="P168" s="172">
        <v>13</v>
      </c>
      <c r="Q168" s="38">
        <f t="shared" si="28"/>
        <v>105</v>
      </c>
      <c r="R168" s="38">
        <f t="shared" si="24"/>
        <v>259</v>
      </c>
      <c r="T168" t="s">
        <v>2819</v>
      </c>
    </row>
    <row r="169" spans="1:20" ht="15.75" customHeight="1" x14ac:dyDescent="0.3">
      <c r="A169" s="569" t="s">
        <v>2817</v>
      </c>
      <c r="B169" s="172"/>
      <c r="C169" s="172"/>
      <c r="D169" s="172"/>
      <c r="E169" s="38">
        <f t="shared" si="25"/>
        <v>0</v>
      </c>
      <c r="F169" s="172"/>
      <c r="G169" s="172"/>
      <c r="H169" s="172"/>
      <c r="I169" s="38">
        <f t="shared" si="26"/>
        <v>0</v>
      </c>
      <c r="J169" s="356">
        <v>144</v>
      </c>
      <c r="K169" s="172">
        <v>137</v>
      </c>
      <c r="L169" s="172">
        <v>73</v>
      </c>
      <c r="M169" s="38">
        <f t="shared" si="27"/>
        <v>354</v>
      </c>
      <c r="N169" s="172">
        <v>69</v>
      </c>
      <c r="O169" s="172">
        <v>11</v>
      </c>
      <c r="P169" s="172">
        <v>3</v>
      </c>
      <c r="Q169" s="38">
        <f t="shared" si="28"/>
        <v>83</v>
      </c>
      <c r="R169" s="38">
        <f t="shared" si="24"/>
        <v>437</v>
      </c>
      <c r="T169" t="s">
        <v>1193</v>
      </c>
    </row>
    <row r="170" spans="1:20" ht="15.75" customHeight="1" x14ac:dyDescent="0.3">
      <c r="A170" s="569" t="s">
        <v>2818</v>
      </c>
      <c r="B170" s="172"/>
      <c r="C170" s="172"/>
      <c r="D170" s="172"/>
      <c r="E170" s="38">
        <f t="shared" si="25"/>
        <v>0</v>
      </c>
      <c r="F170" s="172"/>
      <c r="G170" s="172"/>
      <c r="H170" s="172"/>
      <c r="I170" s="38">
        <f t="shared" si="26"/>
        <v>0</v>
      </c>
      <c r="J170" s="356">
        <v>11</v>
      </c>
      <c r="K170" s="172">
        <v>8</v>
      </c>
      <c r="L170" s="172">
        <v>12</v>
      </c>
      <c r="M170" s="38">
        <f t="shared" si="27"/>
        <v>31</v>
      </c>
      <c r="N170" s="172">
        <v>12</v>
      </c>
      <c r="O170" s="172">
        <v>4</v>
      </c>
      <c r="P170" s="172"/>
      <c r="Q170" s="38">
        <f t="shared" si="28"/>
        <v>16</v>
      </c>
      <c r="R170" s="38">
        <f t="shared" si="24"/>
        <v>47</v>
      </c>
      <c r="T170" t="s">
        <v>2764</v>
      </c>
    </row>
    <row r="171" spans="1:20" ht="15.75" customHeight="1" x14ac:dyDescent="0.3">
      <c r="A171" s="539" t="s">
        <v>2758</v>
      </c>
      <c r="B171" s="172"/>
      <c r="C171" s="172"/>
      <c r="D171" s="172"/>
      <c r="E171" s="38">
        <f t="shared" si="25"/>
        <v>0</v>
      </c>
      <c r="F171" s="172"/>
      <c r="G171" s="172"/>
      <c r="H171" s="172"/>
      <c r="I171" s="38">
        <f t="shared" si="26"/>
        <v>0</v>
      </c>
      <c r="J171" s="356">
        <v>1029</v>
      </c>
      <c r="K171" s="172">
        <v>1035</v>
      </c>
      <c r="L171" s="172">
        <v>940</v>
      </c>
      <c r="M171" s="38">
        <f t="shared" si="27"/>
        <v>3004</v>
      </c>
      <c r="N171" s="172">
        <v>891</v>
      </c>
      <c r="O171" s="172">
        <v>756</v>
      </c>
      <c r="P171" s="172">
        <v>722</v>
      </c>
      <c r="Q171" s="38">
        <f t="shared" si="28"/>
        <v>2369</v>
      </c>
      <c r="R171" s="38">
        <f t="shared" si="24"/>
        <v>5373</v>
      </c>
      <c r="T171" t="s">
        <v>2775</v>
      </c>
    </row>
    <row r="172" spans="1:20" ht="15.75" customHeight="1" x14ac:dyDescent="0.3">
      <c r="A172" s="539" t="s">
        <v>2813</v>
      </c>
      <c r="B172" s="172"/>
      <c r="C172" s="172"/>
      <c r="D172" s="172"/>
      <c r="E172" s="38">
        <f t="shared" si="25"/>
        <v>0</v>
      </c>
      <c r="F172" s="172"/>
      <c r="G172" s="172"/>
      <c r="H172" s="172"/>
      <c r="I172" s="38">
        <f t="shared" si="26"/>
        <v>0</v>
      </c>
      <c r="J172" s="356">
        <v>3000</v>
      </c>
      <c r="K172" s="172">
        <v>2350</v>
      </c>
      <c r="L172" s="172">
        <v>2000</v>
      </c>
      <c r="M172" s="38">
        <f t="shared" si="27"/>
        <v>7350</v>
      </c>
      <c r="N172" s="172">
        <v>150</v>
      </c>
      <c r="O172" s="172"/>
      <c r="P172" s="172"/>
      <c r="Q172" s="38">
        <f t="shared" si="28"/>
        <v>150</v>
      </c>
      <c r="R172" s="38">
        <f t="shared" si="24"/>
        <v>7500</v>
      </c>
      <c r="S172" t="s">
        <v>3020</v>
      </c>
      <c r="T172" t="s">
        <v>2760</v>
      </c>
    </row>
    <row r="173" spans="1:20" ht="15.75" customHeight="1" x14ac:dyDescent="0.3">
      <c r="A173" s="539" t="s">
        <v>2820</v>
      </c>
      <c r="B173" s="172"/>
      <c r="C173" s="172"/>
      <c r="D173" s="172"/>
      <c r="E173" s="38">
        <f t="shared" si="25"/>
        <v>0</v>
      </c>
      <c r="F173" s="172"/>
      <c r="G173" s="172"/>
      <c r="H173" s="172"/>
      <c r="I173" s="38">
        <f t="shared" si="26"/>
        <v>0</v>
      </c>
      <c r="J173" s="172"/>
      <c r="K173" s="172"/>
      <c r="L173" s="172"/>
      <c r="M173" s="38">
        <f t="shared" si="27"/>
        <v>0</v>
      </c>
      <c r="N173" s="172"/>
      <c r="O173" s="172"/>
      <c r="P173" s="172"/>
      <c r="Q173" s="38">
        <f t="shared" si="28"/>
        <v>0</v>
      </c>
      <c r="R173" s="38">
        <f t="shared" si="24"/>
        <v>0</v>
      </c>
      <c r="T173" t="s">
        <v>2760</v>
      </c>
    </row>
    <row r="174" spans="1:20" ht="15.75" customHeight="1" x14ac:dyDescent="0.3">
      <c r="A174" s="539" t="s">
        <v>2995</v>
      </c>
      <c r="B174" s="10">
        <f>7542+400</f>
        <v>7942</v>
      </c>
      <c r="C174" s="10">
        <f>7211+400</f>
        <v>7611</v>
      </c>
      <c r="D174" s="10">
        <f>9687+400</f>
        <v>10087</v>
      </c>
      <c r="E174" s="38">
        <f t="shared" si="25"/>
        <v>25640</v>
      </c>
      <c r="F174" s="356">
        <f>11357+400</f>
        <v>11757</v>
      </c>
      <c r="G174" s="10">
        <f>347+400</f>
        <v>747</v>
      </c>
      <c r="H174" s="10">
        <v>400</v>
      </c>
      <c r="I174" s="38">
        <f t="shared" si="26"/>
        <v>12904</v>
      </c>
      <c r="J174" s="10">
        <f>9381+2745+97+4000+1030</f>
        <v>17253</v>
      </c>
      <c r="K174" s="10">
        <f>9248+1+3813+3+94+1000+1030</f>
        <v>15189</v>
      </c>
      <c r="L174" s="10">
        <f>8050+1+3219+3+42+1030</f>
        <v>12345</v>
      </c>
      <c r="M174" s="38">
        <f t="shared" si="27"/>
        <v>44787</v>
      </c>
      <c r="N174" s="10">
        <f>1+2915+2+52+5250+1030</f>
        <v>9250</v>
      </c>
      <c r="O174" s="10">
        <f>5922+1+2465+2+36+1030</f>
        <v>9456</v>
      </c>
      <c r="P174" s="10">
        <v>11130</v>
      </c>
      <c r="Q174" s="38">
        <f t="shared" si="28"/>
        <v>29836</v>
      </c>
      <c r="R174" s="38">
        <f t="shared" si="24"/>
        <v>113167</v>
      </c>
      <c r="S174" t="s">
        <v>3020</v>
      </c>
    </row>
    <row r="175" spans="1:20" ht="15.75" customHeight="1" x14ac:dyDescent="0.3">
      <c r="A175" s="539" t="s">
        <v>2864</v>
      </c>
      <c r="B175" s="172">
        <v>30</v>
      </c>
      <c r="C175" s="172">
        <v>30</v>
      </c>
      <c r="D175" s="172">
        <v>30</v>
      </c>
      <c r="E175" s="38">
        <f t="shared" si="25"/>
        <v>90</v>
      </c>
      <c r="F175" s="172">
        <v>30</v>
      </c>
      <c r="G175" s="172">
        <v>35</v>
      </c>
      <c r="H175" s="172">
        <v>35</v>
      </c>
      <c r="I175" s="38">
        <f t="shared" si="26"/>
        <v>100</v>
      </c>
      <c r="J175" s="172">
        <v>35</v>
      </c>
      <c r="K175" s="172">
        <v>35</v>
      </c>
      <c r="L175" s="172">
        <v>35</v>
      </c>
      <c r="M175" s="38">
        <f t="shared" si="27"/>
        <v>105</v>
      </c>
      <c r="N175" s="172">
        <v>30</v>
      </c>
      <c r="O175" s="172">
        <v>30</v>
      </c>
      <c r="P175" s="172">
        <v>30</v>
      </c>
      <c r="Q175" s="38">
        <f t="shared" ref="Q175:Q181" si="34">SUM(N175:P175)</f>
        <v>90</v>
      </c>
      <c r="R175" s="38">
        <f t="shared" si="24"/>
        <v>385</v>
      </c>
      <c r="S175" t="s">
        <v>3020</v>
      </c>
      <c r="T175" t="s">
        <v>2760</v>
      </c>
    </row>
    <row r="176" spans="1:20" ht="15.75" customHeight="1" x14ac:dyDescent="0.3">
      <c r="A176" s="539" t="s">
        <v>2994</v>
      </c>
      <c r="B176" s="10">
        <v>2358</v>
      </c>
      <c r="C176" s="10">
        <v>925</v>
      </c>
      <c r="D176" s="10">
        <v>3000</v>
      </c>
      <c r="E176" s="38">
        <f t="shared" ref="E176:E181" si="35">SUM(B176:D176)</f>
        <v>6283</v>
      </c>
      <c r="F176" s="10">
        <v>4000</v>
      </c>
      <c r="G176" s="10">
        <v>2000</v>
      </c>
      <c r="H176" s="10">
        <v>3000</v>
      </c>
      <c r="I176" s="38">
        <f t="shared" si="26"/>
        <v>9000</v>
      </c>
      <c r="J176" s="10">
        <f>126+924+4438+54+86+2000</f>
        <v>7628</v>
      </c>
      <c r="K176" s="10">
        <f>106+956+5271+49+86</f>
        <v>6468</v>
      </c>
      <c r="L176" s="10">
        <f>60+550+4339+19+86</f>
        <v>5054</v>
      </c>
      <c r="M176" s="38">
        <f t="shared" si="27"/>
        <v>19150</v>
      </c>
      <c r="N176" s="10">
        <f>583+116+596+4808+49</f>
        <v>6152</v>
      </c>
      <c r="O176" s="10">
        <f>307+83+509+4820+22</f>
        <v>5741</v>
      </c>
      <c r="P176" s="10">
        <v>5265</v>
      </c>
      <c r="Q176" s="38">
        <f t="shared" si="34"/>
        <v>17158</v>
      </c>
      <c r="R176" s="38">
        <f t="shared" si="24"/>
        <v>51591</v>
      </c>
      <c r="S176" t="s">
        <v>3020</v>
      </c>
    </row>
    <row r="177" spans="1:20" ht="15.75" customHeight="1" x14ac:dyDescent="0.3">
      <c r="A177" s="569" t="s">
        <v>2739</v>
      </c>
      <c r="B177" s="10"/>
      <c r="C177" s="10"/>
      <c r="D177" s="10"/>
      <c r="E177" s="38">
        <f t="shared" si="35"/>
        <v>0</v>
      </c>
      <c r="F177" s="10"/>
      <c r="G177" s="10"/>
      <c r="H177" s="10"/>
      <c r="I177" s="38">
        <f>SUM(F177:H177)</f>
        <v>0</v>
      </c>
      <c r="J177" s="10"/>
      <c r="K177" s="10"/>
      <c r="L177" s="10"/>
      <c r="M177" s="38">
        <f>SUM(J177:L177)</f>
        <v>0</v>
      </c>
      <c r="N177" s="10"/>
      <c r="O177" s="10"/>
      <c r="P177" s="10"/>
      <c r="Q177" s="38">
        <f t="shared" si="34"/>
        <v>0</v>
      </c>
      <c r="R177" s="38">
        <f t="shared" si="24"/>
        <v>0</v>
      </c>
      <c r="T177" t="s">
        <v>2769</v>
      </c>
    </row>
    <row r="178" spans="1:20" ht="15.75" customHeight="1" x14ac:dyDescent="0.3">
      <c r="A178" s="569" t="s">
        <v>2740</v>
      </c>
      <c r="B178" s="10">
        <v>147</v>
      </c>
      <c r="C178" s="10">
        <v>1403</v>
      </c>
      <c r="D178" s="10">
        <v>1428</v>
      </c>
      <c r="E178" s="38">
        <f t="shared" si="35"/>
        <v>2978</v>
      </c>
      <c r="F178" s="10"/>
      <c r="G178" s="10"/>
      <c r="H178" s="10">
        <v>462</v>
      </c>
      <c r="I178" s="38">
        <f>SUM(F178:H178)</f>
        <v>462</v>
      </c>
      <c r="J178" s="10">
        <v>2136</v>
      </c>
      <c r="K178" s="10">
        <v>946</v>
      </c>
      <c r="L178" s="10">
        <v>3727</v>
      </c>
      <c r="M178" s="38">
        <f>SUM(J178:L178)</f>
        <v>6809</v>
      </c>
      <c r="N178" s="10"/>
      <c r="O178" s="10"/>
      <c r="P178" s="10"/>
      <c r="Q178" s="38">
        <f t="shared" si="34"/>
        <v>0</v>
      </c>
      <c r="R178" s="38">
        <f t="shared" si="24"/>
        <v>10249</v>
      </c>
      <c r="T178" t="s">
        <v>2770</v>
      </c>
    </row>
    <row r="179" spans="1:20" ht="15.75" customHeight="1" x14ac:dyDescent="0.3">
      <c r="A179" s="539" t="s">
        <v>2821</v>
      </c>
      <c r="B179" s="172">
        <v>122</v>
      </c>
      <c r="C179" s="172">
        <f>206+94</f>
        <v>300</v>
      </c>
      <c r="D179" s="172">
        <f>256+94</f>
        <v>350</v>
      </c>
      <c r="E179" s="38">
        <f t="shared" si="35"/>
        <v>772</v>
      </c>
      <c r="F179" s="172">
        <f>256+94</f>
        <v>350</v>
      </c>
      <c r="G179" s="172">
        <f>306+94</f>
        <v>400</v>
      </c>
      <c r="H179" s="172">
        <f>356+94</f>
        <v>450</v>
      </c>
      <c r="I179" s="38">
        <f>SUM(F179:H179)</f>
        <v>1200</v>
      </c>
      <c r="J179" s="172">
        <v>493</v>
      </c>
      <c r="K179" s="172">
        <v>500</v>
      </c>
      <c r="L179" s="172">
        <v>400</v>
      </c>
      <c r="M179" s="38">
        <f>SUM(J179:L179)</f>
        <v>1393</v>
      </c>
      <c r="N179" s="172">
        <v>400</v>
      </c>
      <c r="O179" s="172">
        <v>300</v>
      </c>
      <c r="P179" s="172">
        <v>250</v>
      </c>
      <c r="Q179" s="38">
        <f t="shared" si="34"/>
        <v>950</v>
      </c>
      <c r="R179" s="38">
        <f>+E179+I179+M179+Q179</f>
        <v>4315</v>
      </c>
      <c r="S179" t="s">
        <v>3020</v>
      </c>
      <c r="T179" t="s">
        <v>2760</v>
      </c>
    </row>
    <row r="180" spans="1:20" ht="15.75" customHeight="1" x14ac:dyDescent="0.3">
      <c r="A180" s="539" t="s">
        <v>1574</v>
      </c>
      <c r="B180" s="172">
        <v>2</v>
      </c>
      <c r="C180" s="172">
        <v>2</v>
      </c>
      <c r="D180" s="172">
        <v>2</v>
      </c>
      <c r="E180" s="38">
        <f t="shared" si="35"/>
        <v>6</v>
      </c>
      <c r="F180" s="172">
        <v>2</v>
      </c>
      <c r="G180" s="172">
        <v>2</v>
      </c>
      <c r="H180" s="172">
        <v>3</v>
      </c>
      <c r="I180" s="38">
        <f>SUM(F180:H180)</f>
        <v>7</v>
      </c>
      <c r="J180" s="172">
        <v>3</v>
      </c>
      <c r="K180" s="172">
        <v>3</v>
      </c>
      <c r="L180" s="172">
        <v>2</v>
      </c>
      <c r="M180" s="38">
        <f>SUM(J180:L180)</f>
        <v>8</v>
      </c>
      <c r="N180" s="172">
        <v>2</v>
      </c>
      <c r="O180" s="172">
        <v>2</v>
      </c>
      <c r="P180" s="172">
        <v>1</v>
      </c>
      <c r="Q180" s="38">
        <f t="shared" si="34"/>
        <v>5</v>
      </c>
      <c r="R180" s="38">
        <f>+E180+I180+M180+Q180</f>
        <v>26</v>
      </c>
      <c r="S180">
        <f>SUM(R140:R180)</f>
        <v>257920</v>
      </c>
    </row>
    <row r="181" spans="1:20" ht="15.75" customHeight="1" x14ac:dyDescent="0.3">
      <c r="A181" s="539" t="s">
        <v>3008</v>
      </c>
      <c r="B181" s="172"/>
      <c r="C181" s="172"/>
      <c r="D181" s="172"/>
      <c r="E181" s="38">
        <f t="shared" si="35"/>
        <v>0</v>
      </c>
      <c r="F181" s="172"/>
      <c r="G181" s="172"/>
      <c r="H181" s="172"/>
      <c r="I181" s="38">
        <f>SUM(F181:H181)</f>
        <v>0</v>
      </c>
      <c r="J181" s="172"/>
      <c r="K181" s="172"/>
      <c r="L181" s="172"/>
      <c r="M181" s="38">
        <f>SUM(J181:L181)</f>
        <v>0</v>
      </c>
      <c r="N181" s="172">
        <v>100</v>
      </c>
      <c r="O181" s="172"/>
      <c r="P181" s="172"/>
      <c r="Q181" s="38">
        <f t="shared" si="34"/>
        <v>100</v>
      </c>
      <c r="R181" s="38">
        <f>+E181+I181+M181+Q181</f>
        <v>100</v>
      </c>
      <c r="S181" t="s">
        <v>3020</v>
      </c>
      <c r="T181" t="s">
        <v>2760</v>
      </c>
    </row>
    <row r="182" spans="1:20" ht="15.75" customHeight="1" x14ac:dyDescent="0.3">
      <c r="A182" s="234" t="s">
        <v>2161</v>
      </c>
      <c r="B182" s="172"/>
      <c r="C182" s="172"/>
      <c r="D182" s="172"/>
      <c r="E182" s="38" t="s">
        <v>852</v>
      </c>
      <c r="F182" s="172"/>
      <c r="G182" s="172"/>
      <c r="H182" s="172"/>
      <c r="I182" s="38" t="s">
        <v>852</v>
      </c>
      <c r="J182" s="172"/>
      <c r="K182" s="172"/>
      <c r="L182" s="172"/>
      <c r="M182" s="38" t="s">
        <v>852</v>
      </c>
      <c r="N182" s="172"/>
      <c r="O182" s="172"/>
      <c r="P182" s="172"/>
      <c r="Q182" s="38" t="s">
        <v>852</v>
      </c>
      <c r="R182" s="38" t="s">
        <v>852</v>
      </c>
    </row>
    <row r="183" spans="1:20" ht="15.75" customHeight="1" x14ac:dyDescent="0.3">
      <c r="A183" s="539" t="s">
        <v>2515</v>
      </c>
      <c r="B183" s="10"/>
      <c r="C183" s="10"/>
      <c r="D183" s="10"/>
      <c r="E183" s="38">
        <f t="shared" ref="E183:E192" si="36">SUM(B183:D183)</f>
        <v>0</v>
      </c>
      <c r="F183" s="10"/>
      <c r="G183" s="10"/>
      <c r="H183" s="10"/>
      <c r="I183" s="38">
        <f t="shared" ref="I183:I192" si="37">SUM(F183:H183)</f>
        <v>0</v>
      </c>
      <c r="J183" s="10"/>
      <c r="K183" s="10"/>
      <c r="L183" s="10"/>
      <c r="M183" s="38">
        <f t="shared" ref="M183:M192" si="38">SUM(J183:L183)</f>
        <v>0</v>
      </c>
      <c r="N183" s="10"/>
      <c r="O183" s="10"/>
      <c r="P183" s="10"/>
      <c r="Q183" s="38">
        <f t="shared" ref="Q183:Q192" si="39">SUM(N183:P183)</f>
        <v>0</v>
      </c>
      <c r="R183" s="38">
        <f t="shared" ref="R183:R192" si="40">+E183+I183+M183+Q183</f>
        <v>0</v>
      </c>
    </row>
    <row r="184" spans="1:20" ht="15.75" customHeight="1" x14ac:dyDescent="0.3">
      <c r="A184" s="266" t="s">
        <v>2368</v>
      </c>
      <c r="B184" s="10"/>
      <c r="C184" s="10"/>
      <c r="D184" s="10"/>
      <c r="E184" s="38">
        <f>SUM(B184:D184)</f>
        <v>0</v>
      </c>
      <c r="F184" s="10"/>
      <c r="G184" s="10"/>
      <c r="H184" s="10"/>
      <c r="I184" s="38">
        <f>SUM(F184:H184)</f>
        <v>0</v>
      </c>
      <c r="J184" s="10"/>
      <c r="K184" s="10"/>
      <c r="L184" s="10"/>
      <c r="M184" s="38">
        <f>SUM(J184:L184)</f>
        <v>0</v>
      </c>
      <c r="N184" s="10"/>
      <c r="O184" s="10"/>
      <c r="P184" s="10"/>
      <c r="Q184" s="38">
        <f>SUM(N184:P184)</f>
        <v>0</v>
      </c>
      <c r="R184" s="38">
        <f>+E184+I184+M184+Q184</f>
        <v>0</v>
      </c>
      <c r="T184" t="s">
        <v>1193</v>
      </c>
    </row>
    <row r="185" spans="1:20" ht="15.75" customHeight="1" x14ac:dyDescent="0.3">
      <c r="A185" s="266" t="s">
        <v>1747</v>
      </c>
      <c r="B185" s="172"/>
      <c r="C185" s="172"/>
      <c r="D185" s="172"/>
      <c r="E185" s="38">
        <f t="shared" si="36"/>
        <v>0</v>
      </c>
      <c r="F185" s="172"/>
      <c r="G185" s="172"/>
      <c r="H185" s="172"/>
      <c r="I185" s="38">
        <f t="shared" si="37"/>
        <v>0</v>
      </c>
      <c r="J185" s="172"/>
      <c r="K185" s="172"/>
      <c r="L185" s="172"/>
      <c r="M185" s="38">
        <f t="shared" si="38"/>
        <v>0</v>
      </c>
      <c r="N185" s="172"/>
      <c r="O185" s="172"/>
      <c r="P185" s="172"/>
      <c r="Q185" s="38">
        <f t="shared" si="39"/>
        <v>0</v>
      </c>
      <c r="R185" s="38">
        <f t="shared" si="40"/>
        <v>0</v>
      </c>
    </row>
    <row r="186" spans="1:20" ht="15.75" customHeight="1" x14ac:dyDescent="0.3">
      <c r="A186" s="539" t="s">
        <v>2822</v>
      </c>
      <c r="B186" s="172"/>
      <c r="C186" s="172"/>
      <c r="D186" s="172"/>
      <c r="E186" s="38">
        <f t="shared" si="36"/>
        <v>0</v>
      </c>
      <c r="F186" s="172"/>
      <c r="G186" s="172"/>
      <c r="H186" s="172"/>
      <c r="I186" s="38">
        <f t="shared" si="37"/>
        <v>0</v>
      </c>
      <c r="J186" s="172"/>
      <c r="K186" s="172"/>
      <c r="L186" s="172"/>
      <c r="M186" s="38">
        <f t="shared" si="38"/>
        <v>0</v>
      </c>
      <c r="N186" s="172"/>
      <c r="O186" s="172"/>
      <c r="P186" s="172"/>
      <c r="Q186" s="38">
        <f t="shared" si="39"/>
        <v>0</v>
      </c>
      <c r="R186" s="38">
        <f t="shared" si="40"/>
        <v>0</v>
      </c>
      <c r="T186" t="s">
        <v>2760</v>
      </c>
    </row>
    <row r="187" spans="1:20" ht="15.75" customHeight="1" x14ac:dyDescent="0.3">
      <c r="A187" s="266" t="s">
        <v>1824</v>
      </c>
      <c r="B187" s="172"/>
      <c r="C187" s="172"/>
      <c r="D187" s="172"/>
      <c r="E187" s="38">
        <f t="shared" si="36"/>
        <v>0</v>
      </c>
      <c r="F187" s="172"/>
      <c r="G187" s="172"/>
      <c r="H187" s="172"/>
      <c r="I187" s="38">
        <f t="shared" si="37"/>
        <v>0</v>
      </c>
      <c r="J187" s="172"/>
      <c r="K187" s="172"/>
      <c r="L187" s="172"/>
      <c r="M187" s="38">
        <f t="shared" si="38"/>
        <v>0</v>
      </c>
      <c r="N187" s="172"/>
      <c r="O187" s="172"/>
      <c r="P187" s="172"/>
      <c r="Q187" s="38">
        <f t="shared" si="39"/>
        <v>0</v>
      </c>
      <c r="R187" s="38">
        <f t="shared" si="40"/>
        <v>0</v>
      </c>
    </row>
    <row r="188" spans="1:20" ht="15.75" customHeight="1" x14ac:dyDescent="0.3">
      <c r="A188" s="266" t="s">
        <v>1746</v>
      </c>
      <c r="B188" s="172"/>
      <c r="C188" s="172"/>
      <c r="D188" s="172"/>
      <c r="E188" s="38">
        <f t="shared" si="36"/>
        <v>0</v>
      </c>
      <c r="F188" s="172"/>
      <c r="G188" s="172"/>
      <c r="H188" s="172"/>
      <c r="I188" s="38">
        <f t="shared" si="37"/>
        <v>0</v>
      </c>
      <c r="J188" s="172"/>
      <c r="K188" s="172"/>
      <c r="L188" s="172"/>
      <c r="M188" s="38">
        <f t="shared" si="38"/>
        <v>0</v>
      </c>
      <c r="N188" s="172"/>
      <c r="O188" s="172"/>
      <c r="P188" s="172"/>
      <c r="Q188" s="38">
        <f t="shared" si="39"/>
        <v>0</v>
      </c>
      <c r="R188" s="38">
        <f t="shared" si="40"/>
        <v>0</v>
      </c>
    </row>
    <row r="189" spans="1:20" ht="15.75" customHeight="1" x14ac:dyDescent="0.3">
      <c r="A189" s="267" t="s">
        <v>1546</v>
      </c>
      <c r="B189" s="172"/>
      <c r="C189" s="172"/>
      <c r="D189" s="172"/>
      <c r="E189" s="38">
        <f t="shared" si="36"/>
        <v>0</v>
      </c>
      <c r="F189" s="172"/>
      <c r="G189" s="172"/>
      <c r="H189" s="172"/>
      <c r="I189" s="38">
        <f t="shared" si="37"/>
        <v>0</v>
      </c>
      <c r="J189" s="172"/>
      <c r="K189" s="172"/>
      <c r="L189" s="172"/>
      <c r="M189" s="38">
        <f t="shared" si="38"/>
        <v>0</v>
      </c>
      <c r="N189" s="172"/>
      <c r="O189" s="172"/>
      <c r="P189" s="172"/>
      <c r="Q189" s="38">
        <f t="shared" si="39"/>
        <v>0</v>
      </c>
      <c r="R189" s="38">
        <f t="shared" si="40"/>
        <v>0</v>
      </c>
      <c r="T189" t="s">
        <v>2764</v>
      </c>
    </row>
    <row r="190" spans="1:20" ht="15.75" customHeight="1" x14ac:dyDescent="0.3">
      <c r="A190" s="539" t="s">
        <v>2823</v>
      </c>
      <c r="B190" s="172"/>
      <c r="C190" s="172"/>
      <c r="D190" s="172"/>
      <c r="E190" s="38">
        <f t="shared" si="36"/>
        <v>0</v>
      </c>
      <c r="F190" s="172"/>
      <c r="G190" s="172"/>
      <c r="H190" s="172"/>
      <c r="I190" s="38">
        <f t="shared" si="37"/>
        <v>0</v>
      </c>
      <c r="J190" s="172"/>
      <c r="K190" s="172"/>
      <c r="L190" s="172"/>
      <c r="M190" s="38">
        <f t="shared" si="38"/>
        <v>0</v>
      </c>
      <c r="N190" s="172"/>
      <c r="O190" s="172"/>
      <c r="P190" s="172"/>
      <c r="Q190" s="38">
        <f t="shared" si="39"/>
        <v>0</v>
      </c>
      <c r="R190" s="38">
        <f t="shared" si="40"/>
        <v>0</v>
      </c>
      <c r="T190" t="s">
        <v>2760</v>
      </c>
    </row>
    <row r="191" spans="1:20" ht="15.75" customHeight="1" x14ac:dyDescent="0.3">
      <c r="A191" s="539" t="s">
        <v>2815</v>
      </c>
      <c r="B191" s="172"/>
      <c r="C191" s="172"/>
      <c r="D191" s="172"/>
      <c r="E191" s="38">
        <f t="shared" si="36"/>
        <v>0</v>
      </c>
      <c r="F191" s="172"/>
      <c r="G191" s="172"/>
      <c r="H191" s="172"/>
      <c r="I191" s="38">
        <f t="shared" si="37"/>
        <v>0</v>
      </c>
      <c r="J191" s="172"/>
      <c r="K191" s="172"/>
      <c r="L191" s="172"/>
      <c r="M191" s="38">
        <f t="shared" si="38"/>
        <v>0</v>
      </c>
      <c r="N191" s="172"/>
      <c r="O191" s="172"/>
      <c r="P191" s="172"/>
      <c r="Q191" s="38">
        <f t="shared" si="39"/>
        <v>0</v>
      </c>
      <c r="R191" s="38">
        <f t="shared" si="40"/>
        <v>0</v>
      </c>
      <c r="T191" t="s">
        <v>2631</v>
      </c>
    </row>
    <row r="192" spans="1:20" ht="15.75" customHeight="1" x14ac:dyDescent="0.3">
      <c r="A192" s="267" t="s">
        <v>5</v>
      </c>
      <c r="B192" s="172"/>
      <c r="C192" s="172"/>
      <c r="D192" s="172"/>
      <c r="E192" s="38">
        <f t="shared" si="36"/>
        <v>0</v>
      </c>
      <c r="F192" s="172"/>
      <c r="G192" s="172"/>
      <c r="H192" s="172"/>
      <c r="I192" s="38">
        <f t="shared" si="37"/>
        <v>0</v>
      </c>
      <c r="J192" s="172"/>
      <c r="K192" s="172"/>
      <c r="L192" s="172"/>
      <c r="M192" s="38">
        <f t="shared" si="38"/>
        <v>0</v>
      </c>
      <c r="N192" s="172"/>
      <c r="O192" s="172"/>
      <c r="P192" s="172"/>
      <c r="Q192" s="38">
        <f t="shared" si="39"/>
        <v>0</v>
      </c>
      <c r="R192" s="38">
        <f t="shared" si="40"/>
        <v>0</v>
      </c>
    </row>
    <row r="193" spans="1:20" ht="15.75" customHeight="1" x14ac:dyDescent="0.3">
      <c r="A193" s="234" t="s">
        <v>2162</v>
      </c>
      <c r="B193" s="172"/>
      <c r="C193" s="172"/>
      <c r="D193" s="172"/>
      <c r="E193" s="38" t="s">
        <v>852</v>
      </c>
      <c r="F193" s="172"/>
      <c r="G193" s="172"/>
      <c r="H193" s="172"/>
      <c r="I193" s="38" t="s">
        <v>852</v>
      </c>
      <c r="J193" s="172"/>
      <c r="K193" s="172"/>
      <c r="L193" s="172"/>
      <c r="M193" s="38" t="s">
        <v>852</v>
      </c>
      <c r="N193" s="172"/>
      <c r="O193" s="172"/>
      <c r="P193" s="172"/>
      <c r="Q193" s="38" t="s">
        <v>852</v>
      </c>
      <c r="R193" s="38" t="s">
        <v>852</v>
      </c>
    </row>
    <row r="194" spans="1:20" ht="15.75" customHeight="1" x14ac:dyDescent="0.3">
      <c r="A194" s="568" t="s">
        <v>2846</v>
      </c>
      <c r="B194" s="172"/>
      <c r="C194" s="172"/>
      <c r="D194" s="172"/>
      <c r="E194" s="38">
        <f>SUM(B194:D194)</f>
        <v>0</v>
      </c>
      <c r="F194" s="172"/>
      <c r="G194" s="172"/>
      <c r="H194" s="172"/>
      <c r="I194" s="38">
        <f>SUM(F194:H194)</f>
        <v>0</v>
      </c>
      <c r="J194" s="172"/>
      <c r="K194" s="172"/>
      <c r="L194" s="172"/>
      <c r="M194" s="38">
        <f>SUM(J194:L194)</f>
        <v>0</v>
      </c>
      <c r="N194" s="172"/>
      <c r="O194" s="172"/>
      <c r="P194" s="172"/>
      <c r="Q194" s="38">
        <f>SUM(N194:P194)</f>
        <v>0</v>
      </c>
      <c r="R194" s="38">
        <f>+E194+I194+M194+Q194</f>
        <v>0</v>
      </c>
      <c r="T194" t="s">
        <v>2769</v>
      </c>
    </row>
    <row r="195" spans="1:20" ht="15.75" customHeight="1" x14ac:dyDescent="0.3">
      <c r="A195" s="568" t="s">
        <v>2847</v>
      </c>
      <c r="B195" s="172"/>
      <c r="C195" s="172"/>
      <c r="D195" s="172"/>
      <c r="E195" s="38">
        <f>SUM(B195:D195)</f>
        <v>0</v>
      </c>
      <c r="F195" s="172"/>
      <c r="G195" s="172"/>
      <c r="H195" s="172"/>
      <c r="I195" s="38">
        <f>SUM(F195:H195)</f>
        <v>0</v>
      </c>
      <c r="J195" s="172"/>
      <c r="K195" s="172"/>
      <c r="L195" s="172"/>
      <c r="M195" s="38">
        <f>SUM(J195:L195)</f>
        <v>0</v>
      </c>
      <c r="N195" s="172"/>
      <c r="O195" s="172"/>
      <c r="P195" s="172">
        <v>127</v>
      </c>
      <c r="Q195" s="38">
        <f>SUM(N195:P195)</f>
        <v>127</v>
      </c>
      <c r="R195" s="38">
        <f>+E195+I195+M195+Q195</f>
        <v>127</v>
      </c>
      <c r="T195" t="s">
        <v>2770</v>
      </c>
    </row>
    <row r="196" spans="1:20" ht="15.75" customHeight="1" x14ac:dyDescent="0.3">
      <c r="A196" s="422" t="s">
        <v>2551</v>
      </c>
      <c r="B196" s="172"/>
      <c r="C196" s="172">
        <v>15</v>
      </c>
      <c r="D196" s="172">
        <v>27</v>
      </c>
      <c r="E196" s="38">
        <f>SUM(B196:D196)</f>
        <v>42</v>
      </c>
      <c r="F196" s="172">
        <v>47</v>
      </c>
      <c r="G196" s="172">
        <v>40</v>
      </c>
      <c r="H196" s="172">
        <v>71</v>
      </c>
      <c r="I196" s="38">
        <f>SUM(F196:H196)</f>
        <v>158</v>
      </c>
      <c r="J196" s="172">
        <v>73</v>
      </c>
      <c r="K196" s="172">
        <v>55</v>
      </c>
      <c r="L196" s="172">
        <v>48</v>
      </c>
      <c r="M196" s="38">
        <f>SUM(J196:L196)</f>
        <v>176</v>
      </c>
      <c r="N196" s="172">
        <v>50</v>
      </c>
      <c r="O196" s="172">
        <v>18</v>
      </c>
      <c r="P196" s="172">
        <v>13</v>
      </c>
      <c r="Q196" s="38">
        <f>SUM(N196:P196)</f>
        <v>81</v>
      </c>
      <c r="R196" s="38">
        <f>+E196+I196+M196+Q196</f>
        <v>457</v>
      </c>
      <c r="T196" t="s">
        <v>2793</v>
      </c>
    </row>
    <row r="197" spans="1:20" ht="15.75" customHeight="1" thickBot="1" x14ac:dyDescent="0.35">
      <c r="A197" s="234" t="s">
        <v>2164</v>
      </c>
      <c r="B197" s="172"/>
      <c r="C197" s="172"/>
      <c r="D197" s="172"/>
      <c r="E197" s="38" t="s">
        <v>852</v>
      </c>
      <c r="F197" s="172"/>
      <c r="G197" s="172"/>
      <c r="H197" s="172"/>
      <c r="I197" s="38" t="s">
        <v>852</v>
      </c>
      <c r="J197" s="172"/>
      <c r="K197" s="172"/>
      <c r="L197" s="172"/>
      <c r="M197" s="38" t="s">
        <v>852</v>
      </c>
      <c r="N197" s="172"/>
      <c r="O197" s="172"/>
      <c r="P197" s="172"/>
      <c r="Q197" s="38" t="s">
        <v>852</v>
      </c>
      <c r="R197" s="38" t="s">
        <v>852</v>
      </c>
    </row>
    <row r="198" spans="1:20" ht="16.5" customHeight="1" thickBot="1" x14ac:dyDescent="0.35">
      <c r="A198" s="43" t="s">
        <v>1218</v>
      </c>
      <c r="B198" s="45">
        <f>SUM(B138:B197)</f>
        <v>11693</v>
      </c>
      <c r="C198" s="46">
        <f>SUM(C138:C197)</f>
        <v>12974</v>
      </c>
      <c r="D198" s="46">
        <f>SUM(D138:D197)</f>
        <v>18732</v>
      </c>
      <c r="E198" s="37">
        <f>SUM(B198:D198)</f>
        <v>43399</v>
      </c>
      <c r="F198" s="46">
        <f>SUM(F138:F197)</f>
        <v>23126</v>
      </c>
      <c r="G198" s="46">
        <f>SUM(G138:G197)</f>
        <v>10257</v>
      </c>
      <c r="H198" s="46">
        <f>SUM(H138:H197)</f>
        <v>10185</v>
      </c>
      <c r="I198" s="37">
        <f>SUM(F198:H198)</f>
        <v>43568</v>
      </c>
      <c r="J198" s="46">
        <f>SUM(J138:J197)</f>
        <v>40408</v>
      </c>
      <c r="K198" s="46">
        <f>SUM(K138:K197)</f>
        <v>33070</v>
      </c>
      <c r="L198" s="46">
        <f>SUM(L138:L197)</f>
        <v>32195</v>
      </c>
      <c r="M198" s="37">
        <f>SUM(J198:L198)</f>
        <v>105673</v>
      </c>
      <c r="N198" s="46">
        <f>SUM(N138:N197)</f>
        <v>25262</v>
      </c>
      <c r="O198" s="46">
        <f>SUM(O138:O197)</f>
        <v>20710</v>
      </c>
      <c r="P198" s="46">
        <f>SUM(P138:P197)</f>
        <v>19992</v>
      </c>
      <c r="Q198" s="37">
        <f>SUM(N198:P198)</f>
        <v>65964</v>
      </c>
      <c r="R198" s="37">
        <f>+E198+I198+M198+Q198</f>
        <v>258604</v>
      </c>
    </row>
    <row r="199" spans="1:20" ht="15.75" customHeight="1" x14ac:dyDescent="0.3">
      <c r="A199" s="234" t="s">
        <v>1172</v>
      </c>
      <c r="B199" s="172"/>
      <c r="C199" s="172"/>
      <c r="D199" s="172"/>
      <c r="E199" s="38" t="s">
        <v>852</v>
      </c>
      <c r="F199" s="172"/>
      <c r="G199" s="172"/>
      <c r="H199" s="172"/>
      <c r="I199" s="38" t="s">
        <v>852</v>
      </c>
      <c r="J199" s="172"/>
      <c r="K199" s="172"/>
      <c r="L199" s="172"/>
      <c r="M199" s="38" t="s">
        <v>852</v>
      </c>
      <c r="N199" s="172"/>
      <c r="O199" s="172"/>
      <c r="P199" s="172"/>
      <c r="Q199" s="38" t="s">
        <v>852</v>
      </c>
      <c r="R199" s="38" t="s">
        <v>852</v>
      </c>
    </row>
    <row r="200" spans="1:20" ht="15.75" customHeight="1" x14ac:dyDescent="0.3">
      <c r="A200" s="234" t="s">
        <v>1658</v>
      </c>
      <c r="B200" s="172"/>
      <c r="C200" s="172"/>
      <c r="D200" s="172"/>
      <c r="E200" s="38" t="s">
        <v>852</v>
      </c>
      <c r="F200" s="172"/>
      <c r="G200" s="172"/>
      <c r="H200" s="172"/>
      <c r="I200" s="38" t="s">
        <v>852</v>
      </c>
      <c r="J200" s="172"/>
      <c r="K200" s="172"/>
      <c r="L200" s="172"/>
      <c r="M200" s="38" t="s">
        <v>852</v>
      </c>
      <c r="N200" s="172"/>
      <c r="O200" s="172"/>
      <c r="P200" s="172"/>
      <c r="Q200" s="38" t="s">
        <v>852</v>
      </c>
      <c r="R200" s="38" t="s">
        <v>852</v>
      </c>
    </row>
    <row r="201" spans="1:20" ht="15.75" customHeight="1" x14ac:dyDescent="0.3">
      <c r="A201" s="234" t="s">
        <v>2409</v>
      </c>
      <c r="B201" s="172"/>
      <c r="C201" s="172"/>
      <c r="D201" s="172"/>
      <c r="E201" s="38" t="s">
        <v>852</v>
      </c>
      <c r="F201" s="172"/>
      <c r="G201" s="172"/>
      <c r="H201" s="172"/>
      <c r="I201" s="38" t="s">
        <v>852</v>
      </c>
      <c r="J201" s="172"/>
      <c r="K201" s="172"/>
      <c r="L201" s="172"/>
      <c r="M201" s="38" t="s">
        <v>852</v>
      </c>
      <c r="N201" s="172"/>
      <c r="O201" s="172"/>
      <c r="P201" s="172"/>
      <c r="Q201" s="38" t="s">
        <v>852</v>
      </c>
      <c r="R201" s="38" t="s">
        <v>852</v>
      </c>
    </row>
    <row r="202" spans="1:20" ht="15.75" customHeight="1" x14ac:dyDescent="0.3">
      <c r="A202" s="568" t="s">
        <v>1645</v>
      </c>
      <c r="B202" s="172"/>
      <c r="C202" s="172"/>
      <c r="D202" s="172">
        <v>500</v>
      </c>
      <c r="E202" s="38">
        <f>SUM(B202:D202)</f>
        <v>500</v>
      </c>
      <c r="F202" s="172">
        <v>500</v>
      </c>
      <c r="G202" s="172"/>
      <c r="H202" s="172"/>
      <c r="I202" s="38">
        <f>SUM(F202:H202)</f>
        <v>500</v>
      </c>
      <c r="J202" s="172"/>
      <c r="K202" s="172"/>
      <c r="L202" s="172"/>
      <c r="M202" s="38">
        <f>SUM(J202:L202)</f>
        <v>0</v>
      </c>
      <c r="N202" s="172"/>
      <c r="O202" s="172"/>
      <c r="P202" s="172"/>
      <c r="Q202" s="38">
        <f>SUM(N202:P202)</f>
        <v>0</v>
      </c>
      <c r="R202" s="38">
        <f>+E202+I202+M202+Q202</f>
        <v>1000</v>
      </c>
      <c r="T202" t="s">
        <v>2764</v>
      </c>
    </row>
    <row r="203" spans="1:20" ht="15.75" customHeight="1" x14ac:dyDescent="0.3">
      <c r="A203" s="410" t="s">
        <v>2824</v>
      </c>
      <c r="B203" s="172"/>
      <c r="C203" s="172"/>
      <c r="D203" s="172"/>
      <c r="E203" s="38">
        <f>SUM(B203:D203)</f>
        <v>0</v>
      </c>
      <c r="F203" s="172">
        <v>500</v>
      </c>
      <c r="G203" s="172">
        <v>750</v>
      </c>
      <c r="H203" s="172">
        <v>750</v>
      </c>
      <c r="I203" s="38">
        <f>SUM(F203:H203)</f>
        <v>2000</v>
      </c>
      <c r="J203" s="172"/>
      <c r="K203" s="172">
        <v>500</v>
      </c>
      <c r="L203" s="172">
        <v>500</v>
      </c>
      <c r="M203" s="38">
        <f>SUM(J203:L203)</f>
        <v>1000</v>
      </c>
      <c r="N203" s="172">
        <v>800</v>
      </c>
      <c r="O203" s="172"/>
      <c r="P203" s="172"/>
      <c r="Q203" s="38">
        <f>SUM(N203:P203)</f>
        <v>800</v>
      </c>
      <c r="R203" s="38">
        <f>+E203+I203+M203+Q203</f>
        <v>3800</v>
      </c>
      <c r="S203" t="s">
        <v>3020</v>
      </c>
      <c r="T203" t="s">
        <v>2760</v>
      </c>
    </row>
    <row r="204" spans="1:20" ht="15.75" customHeight="1" thickBot="1" x14ac:dyDescent="0.35">
      <c r="A204" s="234" t="s">
        <v>2165</v>
      </c>
      <c r="B204" s="172"/>
      <c r="C204" s="172"/>
      <c r="D204" s="172"/>
      <c r="E204" s="38" t="s">
        <v>852</v>
      </c>
      <c r="F204" s="172"/>
      <c r="G204" s="172"/>
      <c r="H204" s="172"/>
      <c r="I204" s="38" t="s">
        <v>852</v>
      </c>
      <c r="J204" s="172"/>
      <c r="K204" s="172"/>
      <c r="L204" s="172"/>
      <c r="M204" s="38" t="s">
        <v>852</v>
      </c>
      <c r="N204" s="172"/>
      <c r="O204" s="172"/>
      <c r="P204" s="172"/>
      <c r="Q204" s="38" t="s">
        <v>852</v>
      </c>
      <c r="R204" s="38" t="s">
        <v>852</v>
      </c>
    </row>
    <row r="205" spans="1:20" ht="16.5" customHeight="1" thickBot="1" x14ac:dyDescent="0.35">
      <c r="A205" s="43" t="s">
        <v>1219</v>
      </c>
      <c r="B205" s="45">
        <f>SUM(B199:B204)</f>
        <v>0</v>
      </c>
      <c r="C205" s="46">
        <f>SUM(C199:C204)</f>
        <v>0</v>
      </c>
      <c r="D205" s="46">
        <f>SUM(D199:D204)</f>
        <v>500</v>
      </c>
      <c r="E205" s="37">
        <f>SUM(B205:D205)</f>
        <v>500</v>
      </c>
      <c r="F205" s="46">
        <f>SUM(F199:F204)</f>
        <v>1000</v>
      </c>
      <c r="G205" s="46">
        <f>SUM(G199:G204)</f>
        <v>750</v>
      </c>
      <c r="H205" s="46">
        <f>SUM(H199:H204)</f>
        <v>750</v>
      </c>
      <c r="I205" s="37">
        <f>SUM(F205:H205)</f>
        <v>2500</v>
      </c>
      <c r="J205" s="46">
        <f>SUM(J199:J204)</f>
        <v>0</v>
      </c>
      <c r="K205" s="46">
        <f>SUM(K199:K204)</f>
        <v>500</v>
      </c>
      <c r="L205" s="46">
        <f>SUM(L199:L204)</f>
        <v>500</v>
      </c>
      <c r="M205" s="37">
        <f>SUM(J205:L205)</f>
        <v>1000</v>
      </c>
      <c r="N205" s="46">
        <f>SUM(N199:N204)</f>
        <v>800</v>
      </c>
      <c r="O205" s="46">
        <f>SUM(O199:O204)</f>
        <v>0</v>
      </c>
      <c r="P205" s="46">
        <f>SUM(P199:P204)</f>
        <v>0</v>
      </c>
      <c r="Q205" s="37">
        <f>SUM(N205:P205)</f>
        <v>800</v>
      </c>
      <c r="R205" s="37">
        <f>+E205+I205+M205+Q205</f>
        <v>4800</v>
      </c>
    </row>
    <row r="206" spans="1:20" ht="15.75" customHeight="1" x14ac:dyDescent="0.3">
      <c r="A206" s="234" t="s">
        <v>2166</v>
      </c>
      <c r="B206" s="172"/>
      <c r="C206" s="172"/>
      <c r="D206" s="172"/>
      <c r="E206" s="38" t="s">
        <v>852</v>
      </c>
      <c r="F206" s="172"/>
      <c r="G206" s="172"/>
      <c r="H206" s="172"/>
      <c r="I206" s="38" t="s">
        <v>852</v>
      </c>
      <c r="J206" s="172"/>
      <c r="K206" s="172"/>
      <c r="L206" s="172"/>
      <c r="M206" s="38" t="s">
        <v>852</v>
      </c>
      <c r="N206" s="172"/>
      <c r="O206" s="172"/>
      <c r="P206" s="172"/>
      <c r="Q206" s="38" t="s">
        <v>852</v>
      </c>
      <c r="R206" s="38" t="s">
        <v>852</v>
      </c>
    </row>
    <row r="207" spans="1:20" ht="15.75" customHeight="1" x14ac:dyDescent="0.3">
      <c r="A207" s="234" t="s">
        <v>1245</v>
      </c>
      <c r="B207" s="172"/>
      <c r="C207" s="172"/>
      <c r="D207" s="172"/>
      <c r="E207" s="38" t="s">
        <v>852</v>
      </c>
      <c r="F207" s="172"/>
      <c r="G207" s="172"/>
      <c r="H207" s="172"/>
      <c r="I207" s="38" t="s">
        <v>852</v>
      </c>
      <c r="J207" s="172"/>
      <c r="K207" s="172"/>
      <c r="L207" s="172"/>
      <c r="M207" s="38" t="s">
        <v>852</v>
      </c>
      <c r="N207" s="172"/>
      <c r="O207" s="172"/>
      <c r="P207" s="172"/>
      <c r="Q207" s="38" t="s">
        <v>852</v>
      </c>
      <c r="R207" s="38" t="s">
        <v>852</v>
      </c>
    </row>
    <row r="208" spans="1:20" ht="15.75" customHeight="1" x14ac:dyDescent="0.3">
      <c r="A208" s="234" t="s">
        <v>1711</v>
      </c>
      <c r="B208" s="172"/>
      <c r="C208" s="172"/>
      <c r="D208" s="172"/>
      <c r="E208" s="38" t="s">
        <v>852</v>
      </c>
      <c r="F208" s="172"/>
      <c r="G208" s="172"/>
      <c r="H208" s="172"/>
      <c r="I208" s="38" t="s">
        <v>852</v>
      </c>
      <c r="J208" s="172"/>
      <c r="K208" s="172"/>
      <c r="L208" s="172"/>
      <c r="M208" s="38" t="s">
        <v>852</v>
      </c>
      <c r="N208" s="172"/>
      <c r="O208" s="172"/>
      <c r="P208" s="172"/>
      <c r="Q208" s="38" t="s">
        <v>852</v>
      </c>
      <c r="R208" s="38" t="s">
        <v>852</v>
      </c>
    </row>
    <row r="209" spans="1:20" ht="15.75" customHeight="1" x14ac:dyDescent="0.3">
      <c r="A209" s="540" t="s">
        <v>1364</v>
      </c>
      <c r="B209" s="172">
        <v>301</v>
      </c>
      <c r="C209" s="172">
        <v>253</v>
      </c>
      <c r="D209" s="172">
        <v>324</v>
      </c>
      <c r="E209" s="38">
        <f>SUM(B209:D209)</f>
        <v>878</v>
      </c>
      <c r="F209" s="172">
        <v>348</v>
      </c>
      <c r="G209" s="172">
        <v>377</v>
      </c>
      <c r="H209" s="172">
        <v>415</v>
      </c>
      <c r="I209" s="38">
        <f>SUM(F209:H209)</f>
        <v>1140</v>
      </c>
      <c r="J209" s="172">
        <v>452</v>
      </c>
      <c r="K209" s="172">
        <v>466</v>
      </c>
      <c r="L209" s="172">
        <v>411</v>
      </c>
      <c r="M209" s="38">
        <f>SUM(J209:L209)</f>
        <v>1329</v>
      </c>
      <c r="N209" s="172">
        <v>376</v>
      </c>
      <c r="O209" s="172">
        <v>327</v>
      </c>
      <c r="P209" s="172">
        <v>282</v>
      </c>
      <c r="Q209" s="38">
        <f>SUM(N209:P209)</f>
        <v>985</v>
      </c>
      <c r="R209" s="38">
        <f t="shared" ref="R209:R255" si="41">+E209+I209+M209+Q209</f>
        <v>4332</v>
      </c>
      <c r="T209" t="s">
        <v>2800</v>
      </c>
    </row>
    <row r="210" spans="1:20" ht="15.75" customHeight="1" x14ac:dyDescent="0.3">
      <c r="A210" s="540" t="s">
        <v>1388</v>
      </c>
      <c r="B210" s="172"/>
      <c r="C210" s="172"/>
      <c r="D210" s="172">
        <v>357</v>
      </c>
      <c r="E210" s="38">
        <f>SUM(B210:D210)</f>
        <v>357</v>
      </c>
      <c r="F210" s="172"/>
      <c r="G210" s="172"/>
      <c r="H210" s="172"/>
      <c r="I210" s="38">
        <f>SUM(F210:H210)</f>
        <v>0</v>
      </c>
      <c r="J210" s="172"/>
      <c r="K210" s="172"/>
      <c r="L210" s="172"/>
      <c r="M210" s="38">
        <f>SUM(J210:L210)</f>
        <v>0</v>
      </c>
      <c r="N210" s="172"/>
      <c r="O210" s="172"/>
      <c r="P210" s="172"/>
      <c r="Q210" s="38">
        <f>SUM(N210:P210)</f>
        <v>0</v>
      </c>
      <c r="R210" s="38">
        <f t="shared" si="41"/>
        <v>357</v>
      </c>
      <c r="T210" t="s">
        <v>2764</v>
      </c>
    </row>
    <row r="211" spans="1:20" ht="15.75" customHeight="1" x14ac:dyDescent="0.3">
      <c r="A211" s="540" t="s">
        <v>693</v>
      </c>
      <c r="B211" s="172">
        <v>3</v>
      </c>
      <c r="C211" s="172">
        <v>6</v>
      </c>
      <c r="D211" s="172">
        <v>18</v>
      </c>
      <c r="E211" s="38">
        <f>SUM(B211:D211)</f>
        <v>27</v>
      </c>
      <c r="F211" s="172">
        <v>29</v>
      </c>
      <c r="G211" s="172">
        <v>87</v>
      </c>
      <c r="H211" s="172">
        <v>143</v>
      </c>
      <c r="I211" s="38">
        <f>SUM(F211:H211)</f>
        <v>259</v>
      </c>
      <c r="J211" s="172">
        <v>91</v>
      </c>
      <c r="K211" s="172">
        <v>63</v>
      </c>
      <c r="L211" s="172">
        <v>52</v>
      </c>
      <c r="M211" s="38">
        <f>SUM(J211:L211)</f>
        <v>206</v>
      </c>
      <c r="N211" s="172">
        <v>44</v>
      </c>
      <c r="O211" s="172">
        <v>25</v>
      </c>
      <c r="P211" s="172">
        <v>20</v>
      </c>
      <c r="Q211" s="38">
        <f>SUM(N211:P211)</f>
        <v>89</v>
      </c>
      <c r="R211" s="38">
        <f t="shared" si="41"/>
        <v>581</v>
      </c>
      <c r="T211" t="s">
        <v>1193</v>
      </c>
    </row>
    <row r="212" spans="1:20" ht="15.75" customHeight="1" x14ac:dyDescent="0.3">
      <c r="A212" s="410" t="s">
        <v>2965</v>
      </c>
      <c r="B212" s="172"/>
      <c r="C212" s="172"/>
      <c r="D212" s="172"/>
      <c r="E212" s="38">
        <f t="shared" ref="E212:E255" si="42">SUM(B212:D212)</f>
        <v>0</v>
      </c>
      <c r="F212" s="172"/>
      <c r="G212" s="172"/>
      <c r="H212" s="172"/>
      <c r="I212" s="38">
        <f t="shared" ref="I212:I255" si="43">SUM(F212:H212)</f>
        <v>0</v>
      </c>
      <c r="J212" s="172"/>
      <c r="K212" s="172"/>
      <c r="L212" s="172"/>
      <c r="M212" s="38">
        <f t="shared" ref="M212:M255" si="44">SUM(J212:L212)</f>
        <v>0</v>
      </c>
      <c r="N212" s="172"/>
      <c r="O212" s="172"/>
      <c r="P212" s="172"/>
      <c r="Q212" s="38">
        <f t="shared" ref="Q212:Q255" si="45">SUM(N212:P212)</f>
        <v>0</v>
      </c>
      <c r="R212" s="38">
        <f t="shared" si="41"/>
        <v>0</v>
      </c>
      <c r="S212" t="s">
        <v>3020</v>
      </c>
    </row>
    <row r="213" spans="1:20" ht="15.75" customHeight="1" x14ac:dyDescent="0.3">
      <c r="A213" s="410" t="s">
        <v>2940</v>
      </c>
      <c r="B213" s="172">
        <v>761</v>
      </c>
      <c r="C213" s="172"/>
      <c r="D213" s="172"/>
      <c r="E213" s="38">
        <f>SUM(B213:D213)</f>
        <v>761</v>
      </c>
      <c r="F213" s="172"/>
      <c r="G213" s="172"/>
      <c r="H213" s="172"/>
      <c r="I213" s="38">
        <f>SUM(F213:H213)</f>
        <v>0</v>
      </c>
      <c r="J213" s="172"/>
      <c r="K213" s="172"/>
      <c r="L213" s="172"/>
      <c r="M213" s="38">
        <f>SUM(J213:L213)</f>
        <v>0</v>
      </c>
      <c r="N213" s="172"/>
      <c r="O213" s="172"/>
      <c r="P213" s="172"/>
      <c r="Q213" s="38">
        <f>SUM(N213:P213)</f>
        <v>0</v>
      </c>
      <c r="R213" s="38">
        <f t="shared" si="41"/>
        <v>761</v>
      </c>
      <c r="S213" t="s">
        <v>3020</v>
      </c>
      <c r="T213" t="s">
        <v>2780</v>
      </c>
    </row>
    <row r="214" spans="1:20" ht="15.75" customHeight="1" x14ac:dyDescent="0.3">
      <c r="A214" s="410" t="s">
        <v>568</v>
      </c>
      <c r="B214" s="172">
        <v>682</v>
      </c>
      <c r="C214" s="172"/>
      <c r="D214" s="172"/>
      <c r="E214" s="38">
        <f>SUM(B214:D214)</f>
        <v>682</v>
      </c>
      <c r="F214" s="172"/>
      <c r="G214" s="172"/>
      <c r="H214" s="172"/>
      <c r="I214" s="38">
        <f>SUM(F214:H214)</f>
        <v>0</v>
      </c>
      <c r="J214" s="172"/>
      <c r="K214" s="172"/>
      <c r="L214" s="172"/>
      <c r="M214" s="38">
        <f>SUM(J214:L214)</f>
        <v>0</v>
      </c>
      <c r="N214" s="172"/>
      <c r="O214" s="172"/>
      <c r="P214" s="172"/>
      <c r="Q214" s="38">
        <f>SUM(N214:P214)</f>
        <v>0</v>
      </c>
      <c r="R214" s="38">
        <f t="shared" si="41"/>
        <v>682</v>
      </c>
      <c r="T214" t="s">
        <v>2775</v>
      </c>
    </row>
    <row r="215" spans="1:20" ht="15.75" customHeight="1" x14ac:dyDescent="0.3">
      <c r="A215" s="410" t="s">
        <v>1150</v>
      </c>
      <c r="B215" s="172"/>
      <c r="C215" s="172"/>
      <c r="D215" s="172"/>
      <c r="E215" s="38">
        <f t="shared" si="42"/>
        <v>0</v>
      </c>
      <c r="F215" s="172"/>
      <c r="G215" s="172"/>
      <c r="H215" s="172"/>
      <c r="I215" s="38">
        <f t="shared" si="43"/>
        <v>0</v>
      </c>
      <c r="J215" s="172"/>
      <c r="K215" s="172"/>
      <c r="L215" s="172"/>
      <c r="M215" s="38">
        <f t="shared" si="44"/>
        <v>0</v>
      </c>
      <c r="N215" s="172"/>
      <c r="O215" s="172"/>
      <c r="P215" s="172"/>
      <c r="Q215" s="38">
        <f t="shared" si="45"/>
        <v>0</v>
      </c>
      <c r="R215" s="38">
        <f t="shared" si="41"/>
        <v>0</v>
      </c>
    </row>
    <row r="216" spans="1:20" ht="15.75" customHeight="1" x14ac:dyDescent="0.3">
      <c r="A216" s="410" t="s">
        <v>2599</v>
      </c>
      <c r="B216" s="172">
        <v>1136</v>
      </c>
      <c r="C216" s="172"/>
      <c r="D216" s="172"/>
      <c r="E216" s="38">
        <f>SUM(B216:D216)</f>
        <v>1136</v>
      </c>
      <c r="F216" s="172"/>
      <c r="G216" s="172"/>
      <c r="H216" s="172"/>
      <c r="I216" s="38">
        <f t="shared" si="43"/>
        <v>0</v>
      </c>
      <c r="J216" s="172"/>
      <c r="K216" s="172"/>
      <c r="L216" s="172"/>
      <c r="M216" s="38">
        <f t="shared" si="44"/>
        <v>0</v>
      </c>
      <c r="N216" s="172"/>
      <c r="O216" s="172"/>
      <c r="P216" s="172"/>
      <c r="Q216" s="38">
        <f t="shared" si="45"/>
        <v>0</v>
      </c>
      <c r="R216" s="38">
        <f t="shared" si="41"/>
        <v>1136</v>
      </c>
    </row>
    <row r="217" spans="1:20" ht="15.75" customHeight="1" x14ac:dyDescent="0.3">
      <c r="A217" s="410" t="s">
        <v>1974</v>
      </c>
      <c r="B217" s="172"/>
      <c r="C217" s="172">
        <v>23</v>
      </c>
      <c r="D217" s="172"/>
      <c r="E217" s="38">
        <f t="shared" si="42"/>
        <v>23</v>
      </c>
      <c r="F217" s="172"/>
      <c r="G217" s="172"/>
      <c r="H217" s="172"/>
      <c r="I217" s="38">
        <f t="shared" si="43"/>
        <v>0</v>
      </c>
      <c r="J217" s="172"/>
      <c r="K217" s="172"/>
      <c r="L217" s="172"/>
      <c r="M217" s="38">
        <f t="shared" si="44"/>
        <v>0</v>
      </c>
      <c r="N217" s="172"/>
      <c r="O217" s="172"/>
      <c r="P217" s="172"/>
      <c r="Q217" s="38">
        <f t="shared" si="45"/>
        <v>0</v>
      </c>
      <c r="R217" s="38">
        <f t="shared" si="41"/>
        <v>23</v>
      </c>
    </row>
    <row r="218" spans="1:20" ht="15.75" customHeight="1" x14ac:dyDescent="0.3">
      <c r="A218" s="410" t="s">
        <v>2848</v>
      </c>
      <c r="B218" s="172">
        <v>23</v>
      </c>
      <c r="C218" s="172"/>
      <c r="D218" s="172"/>
      <c r="E218" s="38">
        <f t="shared" si="42"/>
        <v>23</v>
      </c>
      <c r="F218" s="172"/>
      <c r="G218" s="172"/>
      <c r="H218" s="172"/>
      <c r="I218" s="38">
        <f t="shared" si="43"/>
        <v>0</v>
      </c>
      <c r="J218" s="172"/>
      <c r="K218" s="172"/>
      <c r="L218" s="172"/>
      <c r="M218" s="38">
        <f t="shared" si="44"/>
        <v>0</v>
      </c>
      <c r="N218" s="172"/>
      <c r="O218" s="172"/>
      <c r="P218" s="172"/>
      <c r="Q218" s="38">
        <f t="shared" si="45"/>
        <v>0</v>
      </c>
      <c r="R218" s="38">
        <f t="shared" si="41"/>
        <v>23</v>
      </c>
      <c r="S218" t="s">
        <v>3020</v>
      </c>
      <c r="T218" t="s">
        <v>2760</v>
      </c>
    </row>
    <row r="219" spans="1:20" ht="15.75" customHeight="1" x14ac:dyDescent="0.3">
      <c r="A219" s="410" t="s">
        <v>2791</v>
      </c>
      <c r="B219" s="172"/>
      <c r="C219" s="172"/>
      <c r="D219" s="172"/>
      <c r="E219" s="38">
        <f t="shared" si="42"/>
        <v>0</v>
      </c>
      <c r="F219" s="172">
        <v>1000</v>
      </c>
      <c r="G219" s="172"/>
      <c r="H219" s="172"/>
      <c r="I219" s="38">
        <f t="shared" si="43"/>
        <v>1000</v>
      </c>
      <c r="J219" s="172"/>
      <c r="K219" s="172"/>
      <c r="L219" s="172">
        <v>100</v>
      </c>
      <c r="M219" s="38">
        <f t="shared" si="44"/>
        <v>100</v>
      </c>
      <c r="N219" s="172"/>
      <c r="O219" s="172"/>
      <c r="P219" s="172"/>
      <c r="Q219" s="38">
        <f t="shared" si="45"/>
        <v>0</v>
      </c>
      <c r="R219" s="38">
        <f t="shared" si="41"/>
        <v>1100</v>
      </c>
      <c r="S219" t="s">
        <v>3020</v>
      </c>
      <c r="T219" t="s">
        <v>2760</v>
      </c>
    </row>
    <row r="220" spans="1:20" ht="15.75" customHeight="1" x14ac:dyDescent="0.3">
      <c r="A220" s="410" t="s">
        <v>1495</v>
      </c>
      <c r="B220" s="172"/>
      <c r="C220" s="172"/>
      <c r="D220" s="172"/>
      <c r="E220" s="38">
        <f t="shared" si="42"/>
        <v>0</v>
      </c>
      <c r="F220" s="172"/>
      <c r="G220" s="172">
        <v>4300</v>
      </c>
      <c r="H220" s="172"/>
      <c r="I220" s="38">
        <f t="shared" si="43"/>
        <v>4300</v>
      </c>
      <c r="J220" s="172"/>
      <c r="K220" s="172"/>
      <c r="L220" s="172"/>
      <c r="M220" s="38">
        <f t="shared" si="44"/>
        <v>0</v>
      </c>
      <c r="N220" s="172"/>
      <c r="O220" s="172"/>
      <c r="P220" s="172"/>
      <c r="Q220" s="38">
        <f t="shared" si="45"/>
        <v>0</v>
      </c>
      <c r="R220" s="38">
        <f t="shared" si="41"/>
        <v>4300</v>
      </c>
    </row>
    <row r="221" spans="1:20" ht="15.75" customHeight="1" x14ac:dyDescent="0.3">
      <c r="A221" s="540" t="s">
        <v>2938</v>
      </c>
      <c r="B221" s="172"/>
      <c r="C221" s="172"/>
      <c r="D221" s="172"/>
      <c r="E221" s="38">
        <f t="shared" si="42"/>
        <v>0</v>
      </c>
      <c r="F221" s="172">
        <v>1000</v>
      </c>
      <c r="G221" s="172">
        <v>1000</v>
      </c>
      <c r="H221" s="172">
        <v>1000</v>
      </c>
      <c r="I221" s="38">
        <f t="shared" si="43"/>
        <v>3000</v>
      </c>
      <c r="J221" s="172"/>
      <c r="K221" s="172"/>
      <c r="L221" s="172"/>
      <c r="M221" s="38">
        <f t="shared" si="44"/>
        <v>0</v>
      </c>
      <c r="N221" s="172"/>
      <c r="O221" s="172"/>
      <c r="P221" s="172"/>
      <c r="Q221" s="38">
        <f t="shared" si="45"/>
        <v>0</v>
      </c>
      <c r="R221" s="38">
        <f t="shared" si="41"/>
        <v>3000</v>
      </c>
      <c r="T221" t="s">
        <v>2764</v>
      </c>
    </row>
    <row r="222" spans="1:20" ht="15.75" customHeight="1" x14ac:dyDescent="0.3">
      <c r="A222" s="540" t="s">
        <v>2997</v>
      </c>
      <c r="B222" s="172"/>
      <c r="C222" s="172"/>
      <c r="D222" s="172">
        <v>1500</v>
      </c>
      <c r="E222" s="38">
        <f>SUM(B222:D222)</f>
        <v>1500</v>
      </c>
      <c r="F222" s="172">
        <v>2500</v>
      </c>
      <c r="G222" s="172"/>
      <c r="H222" s="172"/>
      <c r="I222" s="38">
        <f>SUM(F222:H222)</f>
        <v>2500</v>
      </c>
      <c r="J222" s="172"/>
      <c r="K222" s="172"/>
      <c r="L222" s="172"/>
      <c r="M222" s="38">
        <f>SUM(J222:L222)</f>
        <v>0</v>
      </c>
      <c r="N222" s="172"/>
      <c r="O222" s="172"/>
      <c r="P222" s="172"/>
      <c r="Q222" s="38">
        <f>SUM(N222:P222)</f>
        <v>0</v>
      </c>
      <c r="R222" s="38">
        <f>+E222+I222+M222+Q222</f>
        <v>4000</v>
      </c>
    </row>
    <row r="223" spans="1:20" ht="15.75" customHeight="1" x14ac:dyDescent="0.3">
      <c r="A223" s="540" t="s">
        <v>2998</v>
      </c>
      <c r="B223" s="172"/>
      <c r="C223" s="172">
        <v>1000</v>
      </c>
      <c r="D223" s="172">
        <v>693</v>
      </c>
      <c r="E223" s="38">
        <f>SUM(B223:D223)</f>
        <v>1693</v>
      </c>
      <c r="F223" s="172">
        <v>1307</v>
      </c>
      <c r="G223" s="172"/>
      <c r="H223" s="172"/>
      <c r="I223" s="38">
        <f>SUM(F223:H223)</f>
        <v>1307</v>
      </c>
      <c r="J223" s="172"/>
      <c r="K223" s="172"/>
      <c r="L223" s="172"/>
      <c r="M223" s="38">
        <f>SUM(J223:L223)</f>
        <v>0</v>
      </c>
      <c r="N223" s="172"/>
      <c r="O223" s="172"/>
      <c r="P223" s="172"/>
      <c r="Q223" s="38">
        <f>SUM(N223:P223)</f>
        <v>0</v>
      </c>
      <c r="R223" s="38">
        <f>+E223+I223+M223+Q223</f>
        <v>3000</v>
      </c>
    </row>
    <row r="224" spans="1:20" ht="15.75" customHeight="1" x14ac:dyDescent="0.3">
      <c r="A224" s="540" t="s">
        <v>2753</v>
      </c>
      <c r="B224" s="172"/>
      <c r="C224" s="172">
        <v>1129</v>
      </c>
      <c r="D224" s="172"/>
      <c r="E224" s="38">
        <f t="shared" si="42"/>
        <v>1129</v>
      </c>
      <c r="F224" s="172"/>
      <c r="G224" s="172"/>
      <c r="H224" s="172"/>
      <c r="I224" s="38">
        <f t="shared" si="43"/>
        <v>0</v>
      </c>
      <c r="J224" s="172"/>
      <c r="K224" s="172"/>
      <c r="L224" s="172"/>
      <c r="M224" s="38">
        <f t="shared" si="44"/>
        <v>0</v>
      </c>
      <c r="N224" s="172"/>
      <c r="O224" s="172"/>
      <c r="P224" s="172"/>
      <c r="Q224" s="38">
        <f t="shared" si="45"/>
        <v>0</v>
      </c>
      <c r="R224" s="38">
        <f t="shared" si="41"/>
        <v>1129</v>
      </c>
    </row>
    <row r="225" spans="1:21" ht="15.75" customHeight="1" x14ac:dyDescent="0.3">
      <c r="A225" s="540" t="s">
        <v>2754</v>
      </c>
      <c r="B225" s="172">
        <v>148</v>
      </c>
      <c r="C225" s="172">
        <v>132</v>
      </c>
      <c r="D225" s="172"/>
      <c r="E225" s="38">
        <f t="shared" si="42"/>
        <v>280</v>
      </c>
      <c r="F225" s="172"/>
      <c r="G225" s="172"/>
      <c r="H225" s="172"/>
      <c r="I225" s="38">
        <f t="shared" si="43"/>
        <v>0</v>
      </c>
      <c r="J225" s="172"/>
      <c r="K225" s="172"/>
      <c r="L225" s="172"/>
      <c r="M225" s="38">
        <f t="shared" si="44"/>
        <v>0</v>
      </c>
      <c r="N225" s="172"/>
      <c r="O225" s="172"/>
      <c r="P225" s="172"/>
      <c r="Q225" s="38">
        <f t="shared" si="45"/>
        <v>0</v>
      </c>
      <c r="R225" s="38">
        <f t="shared" si="41"/>
        <v>280</v>
      </c>
    </row>
    <row r="226" spans="1:21" ht="15.75" customHeight="1" x14ac:dyDescent="0.3">
      <c r="A226" s="410" t="s">
        <v>2755</v>
      </c>
      <c r="B226" s="10">
        <v>762</v>
      </c>
      <c r="C226" s="10">
        <v>664</v>
      </c>
      <c r="D226" s="10">
        <v>717</v>
      </c>
      <c r="E226" s="38">
        <f t="shared" si="42"/>
        <v>2143</v>
      </c>
      <c r="F226" s="10">
        <v>872</v>
      </c>
      <c r="G226" s="10">
        <v>946</v>
      </c>
      <c r="H226" s="10">
        <v>905</v>
      </c>
      <c r="I226" s="38">
        <f t="shared" si="43"/>
        <v>2723</v>
      </c>
      <c r="J226" s="10">
        <v>13</v>
      </c>
      <c r="K226" s="10"/>
      <c r="L226" s="10"/>
      <c r="M226" s="38">
        <f t="shared" si="44"/>
        <v>13</v>
      </c>
      <c r="N226" s="10"/>
      <c r="O226" s="10"/>
      <c r="P226" s="10"/>
      <c r="Q226" s="38">
        <f t="shared" si="45"/>
        <v>0</v>
      </c>
      <c r="R226" s="38">
        <f t="shared" si="41"/>
        <v>4879</v>
      </c>
    </row>
    <row r="227" spans="1:21" ht="15.75" customHeight="1" x14ac:dyDescent="0.3">
      <c r="A227" s="569" t="s">
        <v>2989</v>
      </c>
      <c r="B227" s="10">
        <v>29</v>
      </c>
      <c r="C227" s="10">
        <v>29</v>
      </c>
      <c r="D227" s="10">
        <v>39</v>
      </c>
      <c r="E227" s="38">
        <f>SUM(B227:D227)</f>
        <v>97</v>
      </c>
      <c r="F227" s="10">
        <v>58</v>
      </c>
      <c r="G227" s="10">
        <v>50</v>
      </c>
      <c r="H227" s="10">
        <v>76</v>
      </c>
      <c r="I227" s="38">
        <f>SUM(F227:H227)</f>
        <v>184</v>
      </c>
      <c r="J227" s="10">
        <v>99</v>
      </c>
      <c r="K227" s="10"/>
      <c r="L227" s="10"/>
      <c r="M227" s="38">
        <f>SUM(J227:L227)</f>
        <v>99</v>
      </c>
      <c r="N227" s="10"/>
      <c r="O227" s="10"/>
      <c r="P227" s="10"/>
      <c r="Q227" s="38">
        <f>SUM(N227:P227)</f>
        <v>0</v>
      </c>
      <c r="R227" s="38">
        <f>+E227+I227+M227+Q227</f>
        <v>380</v>
      </c>
    </row>
    <row r="228" spans="1:21" ht="15.75" customHeight="1" x14ac:dyDescent="0.3">
      <c r="A228" s="569" t="s">
        <v>2990</v>
      </c>
      <c r="B228" s="10">
        <v>23</v>
      </c>
      <c r="C228" s="10">
        <v>7</v>
      </c>
      <c r="D228" s="10">
        <v>26</v>
      </c>
      <c r="E228" s="38">
        <f>SUM(B228:D228)</f>
        <v>56</v>
      </c>
      <c r="F228" s="10">
        <v>64</v>
      </c>
      <c r="G228" s="10">
        <v>60</v>
      </c>
      <c r="H228" s="10">
        <v>144</v>
      </c>
      <c r="I228" s="38">
        <f>SUM(F228:H228)</f>
        <v>268</v>
      </c>
      <c r="J228" s="10"/>
      <c r="K228" s="10"/>
      <c r="L228" s="10"/>
      <c r="M228" s="38">
        <f>SUM(J228:L228)</f>
        <v>0</v>
      </c>
      <c r="N228" s="10"/>
      <c r="O228" s="10"/>
      <c r="P228" s="10"/>
      <c r="Q228" s="38">
        <f>SUM(N228:P228)</f>
        <v>0</v>
      </c>
      <c r="R228" s="38">
        <f>+E228+I228+M228+Q228</f>
        <v>324</v>
      </c>
    </row>
    <row r="229" spans="1:21" ht="15.75" customHeight="1" x14ac:dyDescent="0.3">
      <c r="A229" s="569" t="s">
        <v>2991</v>
      </c>
      <c r="B229" s="10"/>
      <c r="C229" s="10"/>
      <c r="D229" s="10"/>
      <c r="E229" s="38">
        <f>SUM(B229:D229)</f>
        <v>0</v>
      </c>
      <c r="F229" s="10">
        <v>3</v>
      </c>
      <c r="G229" s="10">
        <v>2</v>
      </c>
      <c r="H229" s="10">
        <v>3</v>
      </c>
      <c r="I229" s="38">
        <f t="shared" si="43"/>
        <v>8</v>
      </c>
      <c r="J229" s="10"/>
      <c r="K229" s="10"/>
      <c r="L229" s="10"/>
      <c r="M229" s="38">
        <f t="shared" si="44"/>
        <v>0</v>
      </c>
      <c r="N229" s="10"/>
      <c r="O229" s="10"/>
      <c r="P229" s="10"/>
      <c r="Q229" s="38">
        <f t="shared" si="45"/>
        <v>0</v>
      </c>
      <c r="R229" s="38">
        <f t="shared" si="41"/>
        <v>8</v>
      </c>
      <c r="T229" t="s">
        <v>2764</v>
      </c>
    </row>
    <row r="230" spans="1:21" ht="15.75" customHeight="1" x14ac:dyDescent="0.3">
      <c r="A230" s="410" t="s">
        <v>3023</v>
      </c>
      <c r="B230" s="10"/>
      <c r="C230" s="10"/>
      <c r="D230" s="10"/>
      <c r="E230" s="38">
        <f t="shared" si="42"/>
        <v>0</v>
      </c>
      <c r="F230" s="10"/>
      <c r="G230" s="10"/>
      <c r="H230" s="10">
        <f>10614+4000</f>
        <v>14614</v>
      </c>
      <c r="I230" s="38">
        <f t="shared" si="43"/>
        <v>14614</v>
      </c>
      <c r="J230" s="10">
        <v>386</v>
      </c>
      <c r="K230" s="10"/>
      <c r="L230" s="10"/>
      <c r="M230" s="38">
        <f t="shared" si="44"/>
        <v>386</v>
      </c>
      <c r="N230" s="10"/>
      <c r="O230" s="10"/>
      <c r="P230" s="10"/>
      <c r="Q230" s="38">
        <f t="shared" si="45"/>
        <v>0</v>
      </c>
      <c r="R230" s="38">
        <f t="shared" si="41"/>
        <v>15000</v>
      </c>
      <c r="S230" t="s">
        <v>3020</v>
      </c>
    </row>
    <row r="231" spans="1:21" ht="15.75" customHeight="1" x14ac:dyDescent="0.3">
      <c r="A231" s="410" t="s">
        <v>3024</v>
      </c>
      <c r="B231" s="10"/>
      <c r="C231" s="10"/>
      <c r="D231" s="10"/>
      <c r="E231" s="38">
        <f t="shared" si="42"/>
        <v>0</v>
      </c>
      <c r="F231" s="10"/>
      <c r="G231" s="10">
        <v>4874</v>
      </c>
      <c r="H231" s="10">
        <v>6460</v>
      </c>
      <c r="I231" s="38">
        <f t="shared" si="43"/>
        <v>11334</v>
      </c>
      <c r="J231" s="10">
        <v>666</v>
      </c>
      <c r="K231" s="10"/>
      <c r="L231" s="10"/>
      <c r="M231" s="38">
        <f t="shared" si="44"/>
        <v>666</v>
      </c>
      <c r="N231" s="10"/>
      <c r="O231" s="10"/>
      <c r="P231" s="10"/>
      <c r="Q231" s="38">
        <f t="shared" si="45"/>
        <v>0</v>
      </c>
      <c r="R231" s="38">
        <f t="shared" si="41"/>
        <v>12000</v>
      </c>
      <c r="S231" t="s">
        <v>3020</v>
      </c>
    </row>
    <row r="232" spans="1:21" ht="15.75" customHeight="1" x14ac:dyDescent="0.3">
      <c r="A232" s="410" t="s">
        <v>2979</v>
      </c>
      <c r="B232" s="172"/>
      <c r="C232" s="172"/>
      <c r="D232" s="172"/>
      <c r="E232" s="38">
        <f t="shared" si="42"/>
        <v>0</v>
      </c>
      <c r="F232" s="172"/>
      <c r="G232" s="172"/>
      <c r="H232" s="172">
        <v>400</v>
      </c>
      <c r="I232" s="38">
        <f t="shared" si="43"/>
        <v>400</v>
      </c>
      <c r="J232" s="172">
        <f>400+200</f>
        <v>600</v>
      </c>
      <c r="K232" s="172">
        <v>1257</v>
      </c>
      <c r="L232" s="172">
        <v>40</v>
      </c>
      <c r="M232" s="38">
        <f t="shared" si="44"/>
        <v>1897</v>
      </c>
      <c r="N232" s="172"/>
      <c r="O232" s="172"/>
      <c r="P232" s="172"/>
      <c r="Q232" s="38">
        <f t="shared" si="45"/>
        <v>0</v>
      </c>
      <c r="R232" s="38">
        <f t="shared" si="41"/>
        <v>2297</v>
      </c>
      <c r="S232" t="s">
        <v>3020</v>
      </c>
      <c r="T232" t="s">
        <v>2760</v>
      </c>
    </row>
    <row r="233" spans="1:21" ht="15.75" customHeight="1" x14ac:dyDescent="0.3">
      <c r="A233" s="410" t="s">
        <v>2807</v>
      </c>
      <c r="B233" s="172"/>
      <c r="C233" s="172"/>
      <c r="D233" s="172"/>
      <c r="E233" s="38">
        <f t="shared" si="42"/>
        <v>0</v>
      </c>
      <c r="F233" s="172"/>
      <c r="G233" s="172"/>
      <c r="H233" s="172"/>
      <c r="I233" s="38">
        <f t="shared" si="43"/>
        <v>0</v>
      </c>
      <c r="J233" s="172">
        <v>608</v>
      </c>
      <c r="K233" s="172">
        <v>608</v>
      </c>
      <c r="L233" s="172">
        <v>0</v>
      </c>
      <c r="M233" s="38">
        <f t="shared" si="44"/>
        <v>1216</v>
      </c>
      <c r="N233" s="172"/>
      <c r="O233" s="172"/>
      <c r="P233" s="172"/>
      <c r="Q233" s="38">
        <f t="shared" si="45"/>
        <v>0</v>
      </c>
      <c r="R233" s="38">
        <f t="shared" si="41"/>
        <v>1216</v>
      </c>
      <c r="S233" s="230" t="s">
        <v>3020</v>
      </c>
      <c r="T233" s="230" t="s">
        <v>2760</v>
      </c>
      <c r="U233" s="230"/>
    </row>
    <row r="234" spans="1:21" ht="15.75" customHeight="1" x14ac:dyDescent="0.3">
      <c r="A234" s="410" t="s">
        <v>1163</v>
      </c>
      <c r="B234" s="172"/>
      <c r="C234" s="172"/>
      <c r="D234" s="172">
        <f>1214+500</f>
        <v>1714</v>
      </c>
      <c r="E234" s="38">
        <f>SUM(B234:D234)</f>
        <v>1714</v>
      </c>
      <c r="F234" s="172">
        <v>100</v>
      </c>
      <c r="G234" s="172"/>
      <c r="H234" s="172"/>
      <c r="I234" s="38">
        <f>SUM(F234:H234)</f>
        <v>100</v>
      </c>
      <c r="J234" s="172"/>
      <c r="K234" s="172"/>
      <c r="L234" s="172"/>
      <c r="M234" s="38">
        <f t="shared" si="44"/>
        <v>0</v>
      </c>
      <c r="N234" s="172"/>
      <c r="O234" s="172"/>
      <c r="P234" s="172"/>
      <c r="Q234" s="38">
        <f t="shared" si="45"/>
        <v>0</v>
      </c>
      <c r="R234" s="38">
        <f t="shared" si="41"/>
        <v>1814</v>
      </c>
      <c r="T234" t="s">
        <v>3030</v>
      </c>
    </row>
    <row r="235" spans="1:21" ht="15.75" customHeight="1" x14ac:dyDescent="0.3">
      <c r="A235" s="410" t="s">
        <v>1097</v>
      </c>
      <c r="B235" s="172"/>
      <c r="E235" s="38">
        <f t="shared" si="42"/>
        <v>0</v>
      </c>
      <c r="G235" s="172"/>
      <c r="H235" s="172"/>
      <c r="I235" s="38">
        <f t="shared" si="43"/>
        <v>0</v>
      </c>
      <c r="J235" s="172"/>
      <c r="K235" s="172"/>
      <c r="L235" s="172"/>
      <c r="M235" s="38">
        <f t="shared" si="44"/>
        <v>0</v>
      </c>
      <c r="N235" s="172"/>
      <c r="O235" s="172"/>
      <c r="P235" s="172"/>
      <c r="Q235" s="38">
        <f t="shared" si="45"/>
        <v>0</v>
      </c>
      <c r="R235" s="38">
        <f t="shared" si="41"/>
        <v>0</v>
      </c>
    </row>
    <row r="236" spans="1:21" ht="15.75" customHeight="1" x14ac:dyDescent="0.3">
      <c r="A236" s="410" t="s">
        <v>14</v>
      </c>
      <c r="B236" s="172"/>
      <c r="C236" s="172"/>
      <c r="D236" s="172"/>
      <c r="E236" s="38">
        <f t="shared" si="42"/>
        <v>0</v>
      </c>
      <c r="F236" s="172"/>
      <c r="G236" s="172">
        <v>1723</v>
      </c>
      <c r="H236" s="172">
        <v>1300</v>
      </c>
      <c r="I236" s="38">
        <f t="shared" si="43"/>
        <v>3023</v>
      </c>
      <c r="J236" s="172"/>
      <c r="K236" s="172"/>
      <c r="L236" s="172"/>
      <c r="M236" s="38">
        <f t="shared" si="44"/>
        <v>0</v>
      </c>
      <c r="N236" s="172"/>
      <c r="O236" s="172"/>
      <c r="P236" s="172"/>
      <c r="Q236" s="38">
        <f t="shared" si="45"/>
        <v>0</v>
      </c>
      <c r="R236" s="38">
        <f t="shared" si="41"/>
        <v>3023</v>
      </c>
    </row>
    <row r="237" spans="1:21" ht="15.75" customHeight="1" x14ac:dyDescent="0.3">
      <c r="A237" s="410" t="s">
        <v>2410</v>
      </c>
      <c r="B237" s="172"/>
      <c r="C237" s="172">
        <v>60</v>
      </c>
      <c r="D237" s="172"/>
      <c r="E237" s="38">
        <f t="shared" si="42"/>
        <v>60</v>
      </c>
      <c r="F237" s="172"/>
      <c r="G237" s="172"/>
      <c r="H237" s="172"/>
      <c r="I237" s="38">
        <f t="shared" si="43"/>
        <v>0</v>
      </c>
      <c r="J237" s="172"/>
      <c r="K237" s="172"/>
      <c r="L237" s="172"/>
      <c r="M237" s="38">
        <f t="shared" si="44"/>
        <v>0</v>
      </c>
      <c r="N237" s="172"/>
      <c r="O237" s="172"/>
      <c r="P237" s="172"/>
      <c r="Q237" s="38">
        <f t="shared" si="45"/>
        <v>0</v>
      </c>
      <c r="R237" s="38">
        <f t="shared" si="41"/>
        <v>60</v>
      </c>
    </row>
    <row r="238" spans="1:21" ht="15.75" customHeight="1" x14ac:dyDescent="0.3">
      <c r="A238" s="410" t="s">
        <v>2849</v>
      </c>
      <c r="B238" s="172">
        <v>60</v>
      </c>
      <c r="C238" s="172"/>
      <c r="D238" s="172"/>
      <c r="E238" s="38">
        <f t="shared" si="42"/>
        <v>60</v>
      </c>
      <c r="F238" s="172"/>
      <c r="G238" s="172"/>
      <c r="H238" s="172"/>
      <c r="I238" s="38">
        <f t="shared" si="43"/>
        <v>0</v>
      </c>
      <c r="J238" s="172"/>
      <c r="K238" s="172"/>
      <c r="L238" s="172"/>
      <c r="M238" s="38">
        <f t="shared" si="44"/>
        <v>0</v>
      </c>
      <c r="N238" s="172"/>
      <c r="O238" s="172"/>
      <c r="P238" s="172"/>
      <c r="Q238" s="38">
        <f t="shared" si="45"/>
        <v>0</v>
      </c>
      <c r="R238" s="38">
        <f t="shared" si="41"/>
        <v>60</v>
      </c>
      <c r="S238" t="s">
        <v>3020</v>
      </c>
      <c r="T238" t="s">
        <v>2760</v>
      </c>
    </row>
    <row r="239" spans="1:21" ht="15.75" customHeight="1" x14ac:dyDescent="0.3">
      <c r="A239" s="410" t="s">
        <v>2802</v>
      </c>
      <c r="B239" s="172"/>
      <c r="C239" s="172"/>
      <c r="D239" s="172"/>
      <c r="E239" s="38">
        <f t="shared" si="42"/>
        <v>0</v>
      </c>
      <c r="F239" s="172"/>
      <c r="G239" s="172"/>
      <c r="H239" s="172"/>
      <c r="I239" s="38">
        <f t="shared" si="43"/>
        <v>0</v>
      </c>
      <c r="J239" s="172"/>
      <c r="K239" s="172"/>
      <c r="L239" s="172"/>
      <c r="M239" s="38">
        <f t="shared" si="44"/>
        <v>0</v>
      </c>
      <c r="N239" s="172"/>
      <c r="O239" s="172"/>
      <c r="P239" s="172"/>
      <c r="Q239" s="38">
        <f t="shared" si="45"/>
        <v>0</v>
      </c>
      <c r="R239" s="38">
        <f t="shared" si="41"/>
        <v>0</v>
      </c>
      <c r="T239" t="s">
        <v>2760</v>
      </c>
    </row>
    <row r="240" spans="1:21" ht="15.75" customHeight="1" x14ac:dyDescent="0.3">
      <c r="A240" s="410" t="s">
        <v>2803</v>
      </c>
      <c r="B240" s="172">
        <v>834</v>
      </c>
      <c r="C240" s="172">
        <v>1000</v>
      </c>
      <c r="D240" s="172">
        <v>820</v>
      </c>
      <c r="E240" s="38">
        <f t="shared" si="42"/>
        <v>2654</v>
      </c>
      <c r="F240" s="172">
        <v>1654</v>
      </c>
      <c r="G240" s="172">
        <v>894</v>
      </c>
      <c r="H240" s="172">
        <v>94</v>
      </c>
      <c r="I240" s="38">
        <f t="shared" si="43"/>
        <v>2642</v>
      </c>
      <c r="J240" s="172"/>
      <c r="K240" s="172">
        <v>3517</v>
      </c>
      <c r="L240" s="172">
        <v>2980</v>
      </c>
      <c r="M240" s="38">
        <f t="shared" si="44"/>
        <v>6497</v>
      </c>
      <c r="N240" s="172">
        <v>213</v>
      </c>
      <c r="O240" s="172">
        <v>128</v>
      </c>
      <c r="P240" s="172">
        <v>1642</v>
      </c>
      <c r="Q240" s="38">
        <f t="shared" si="45"/>
        <v>1983</v>
      </c>
      <c r="R240" s="38">
        <f t="shared" si="41"/>
        <v>13776</v>
      </c>
      <c r="S240" t="s">
        <v>3020</v>
      </c>
      <c r="T240" t="s">
        <v>2760</v>
      </c>
    </row>
    <row r="241" spans="1:20" ht="15.75" customHeight="1" x14ac:dyDescent="0.3">
      <c r="A241" s="620" t="s">
        <v>2939</v>
      </c>
      <c r="B241" s="172">
        <v>1500</v>
      </c>
      <c r="C241" s="172">
        <v>2000</v>
      </c>
      <c r="D241" s="172">
        <v>2500</v>
      </c>
      <c r="E241" s="38">
        <f t="shared" si="42"/>
        <v>6000</v>
      </c>
      <c r="F241" s="172">
        <v>1400</v>
      </c>
      <c r="G241" s="172">
        <v>4600</v>
      </c>
      <c r="H241" s="172">
        <v>4000</v>
      </c>
      <c r="I241" s="38">
        <f t="shared" si="43"/>
        <v>10000</v>
      </c>
      <c r="J241" s="172">
        <f>4219</f>
        <v>4219</v>
      </c>
      <c r="K241" s="172">
        <f>9972</f>
        <v>9972</v>
      </c>
      <c r="L241" s="172">
        <f>3031</f>
        <v>3031</v>
      </c>
      <c r="M241" s="38">
        <f t="shared" si="44"/>
        <v>17222</v>
      </c>
      <c r="N241" s="172">
        <v>2000</v>
      </c>
      <c r="O241" s="172"/>
      <c r="P241" s="172"/>
      <c r="Q241" s="38">
        <f t="shared" si="45"/>
        <v>2000</v>
      </c>
      <c r="R241" s="38">
        <f t="shared" si="41"/>
        <v>35222</v>
      </c>
      <c r="S241" t="s">
        <v>3020</v>
      </c>
      <c r="T241" t="s">
        <v>2760</v>
      </c>
    </row>
    <row r="242" spans="1:20" ht="15.75" customHeight="1" x14ac:dyDescent="0.3">
      <c r="A242" s="540" t="s">
        <v>2741</v>
      </c>
      <c r="B242" s="172"/>
      <c r="C242" s="172"/>
      <c r="D242" s="172"/>
      <c r="E242" s="38">
        <f t="shared" si="42"/>
        <v>0</v>
      </c>
      <c r="F242" s="172"/>
      <c r="G242" s="172"/>
      <c r="H242" s="172"/>
      <c r="I242" s="38">
        <f t="shared" si="43"/>
        <v>0</v>
      </c>
      <c r="J242" s="172"/>
      <c r="K242" s="172"/>
      <c r="L242" s="172"/>
      <c r="M242" s="38">
        <f t="shared" si="44"/>
        <v>0</v>
      </c>
      <c r="N242" s="172"/>
      <c r="O242" s="172"/>
      <c r="P242" s="172"/>
      <c r="Q242" s="38">
        <f t="shared" si="45"/>
        <v>0</v>
      </c>
      <c r="R242" s="38">
        <f t="shared" si="41"/>
        <v>0</v>
      </c>
      <c r="T242" t="s">
        <v>2769</v>
      </c>
    </row>
    <row r="243" spans="1:20" ht="15.75" customHeight="1" x14ac:dyDescent="0.3">
      <c r="A243" s="540" t="s">
        <v>2742</v>
      </c>
      <c r="B243" s="172"/>
      <c r="C243" s="172"/>
      <c r="D243" s="172"/>
      <c r="E243" s="38">
        <f t="shared" si="42"/>
        <v>0</v>
      </c>
      <c r="F243" s="172"/>
      <c r="G243" s="172"/>
      <c r="H243" s="172"/>
      <c r="I243" s="38">
        <f t="shared" si="43"/>
        <v>0</v>
      </c>
      <c r="J243" s="172"/>
      <c r="K243" s="172"/>
      <c r="L243" s="172"/>
      <c r="M243" s="38">
        <f t="shared" si="44"/>
        <v>0</v>
      </c>
      <c r="N243" s="172"/>
      <c r="O243" s="172"/>
      <c r="P243" s="172"/>
      <c r="Q243" s="38">
        <f t="shared" si="45"/>
        <v>0</v>
      </c>
      <c r="R243" s="38">
        <f t="shared" si="41"/>
        <v>0</v>
      </c>
      <c r="T243" t="s">
        <v>2770</v>
      </c>
    </row>
    <row r="244" spans="1:20" ht="15.75" customHeight="1" x14ac:dyDescent="0.3">
      <c r="A244" s="410" t="s">
        <v>2798</v>
      </c>
      <c r="B244" s="172"/>
      <c r="C244" s="172"/>
      <c r="D244" s="172"/>
      <c r="E244" s="38">
        <f t="shared" si="42"/>
        <v>0</v>
      </c>
      <c r="F244" s="172"/>
      <c r="G244" s="172"/>
      <c r="H244" s="172"/>
      <c r="I244" s="38">
        <f t="shared" si="43"/>
        <v>0</v>
      </c>
      <c r="J244" s="172"/>
      <c r="K244" s="172">
        <v>743</v>
      </c>
      <c r="L244" s="172">
        <v>18</v>
      </c>
      <c r="M244" s="38">
        <f>SUM(J244:L244)</f>
        <v>761</v>
      </c>
      <c r="N244" s="172"/>
      <c r="O244" s="172"/>
      <c r="P244" s="172"/>
      <c r="Q244" s="38">
        <f t="shared" si="45"/>
        <v>0</v>
      </c>
      <c r="R244" s="38">
        <f t="shared" si="41"/>
        <v>761</v>
      </c>
      <c r="S244" t="s">
        <v>3020</v>
      </c>
      <c r="T244" t="s">
        <v>2760</v>
      </c>
    </row>
    <row r="245" spans="1:20" ht="15.75" customHeight="1" x14ac:dyDescent="0.3">
      <c r="A245" s="410" t="s">
        <v>2808</v>
      </c>
      <c r="B245" s="172"/>
      <c r="C245" s="172"/>
      <c r="D245" s="172">
        <v>390</v>
      </c>
      <c r="E245" s="38">
        <f t="shared" si="42"/>
        <v>390</v>
      </c>
      <c r="F245" s="172"/>
      <c r="G245" s="172">
        <v>536</v>
      </c>
      <c r="H245" s="172">
        <v>462</v>
      </c>
      <c r="I245" s="38">
        <f t="shared" si="43"/>
        <v>998</v>
      </c>
      <c r="J245" s="172"/>
      <c r="K245" s="172"/>
      <c r="L245" s="172"/>
      <c r="M245" s="38">
        <f t="shared" si="44"/>
        <v>0</v>
      </c>
      <c r="N245" s="172"/>
      <c r="O245" s="172"/>
      <c r="P245" s="172"/>
      <c r="Q245" s="38">
        <f t="shared" si="45"/>
        <v>0</v>
      </c>
      <c r="R245" s="38">
        <f t="shared" si="41"/>
        <v>1388</v>
      </c>
      <c r="T245" t="s">
        <v>2760</v>
      </c>
    </row>
    <row r="246" spans="1:20" ht="15.75" customHeight="1" x14ac:dyDescent="0.3">
      <c r="A246" s="410" t="s">
        <v>100</v>
      </c>
      <c r="B246" s="172">
        <v>559</v>
      </c>
      <c r="C246" s="172">
        <v>1381</v>
      </c>
      <c r="D246" s="172">
        <f>500+410</f>
        <v>910</v>
      </c>
      <c r="E246" s="38">
        <f t="shared" si="42"/>
        <v>2850</v>
      </c>
      <c r="F246" s="172"/>
      <c r="G246" s="172"/>
      <c r="H246" s="172"/>
      <c r="I246" s="38">
        <f t="shared" si="43"/>
        <v>0</v>
      </c>
      <c r="J246" s="172"/>
      <c r="K246" s="172"/>
      <c r="L246" s="172"/>
      <c r="M246" s="38">
        <f t="shared" si="44"/>
        <v>0</v>
      </c>
      <c r="N246" s="172"/>
      <c r="O246" s="172"/>
      <c r="P246" s="172"/>
      <c r="Q246" s="38">
        <f t="shared" si="45"/>
        <v>0</v>
      </c>
      <c r="R246" s="38">
        <f t="shared" si="41"/>
        <v>2850</v>
      </c>
      <c r="T246" t="s">
        <v>2775</v>
      </c>
    </row>
    <row r="247" spans="1:20" ht="15.75" customHeight="1" x14ac:dyDescent="0.3">
      <c r="A247" s="410" t="s">
        <v>101</v>
      </c>
      <c r="B247" s="172"/>
      <c r="C247" s="172"/>
      <c r="D247" s="172"/>
      <c r="E247" s="38">
        <f t="shared" si="42"/>
        <v>0</v>
      </c>
      <c r="F247" s="172">
        <v>654</v>
      </c>
      <c r="G247" s="172">
        <v>1968</v>
      </c>
      <c r="H247" s="172"/>
      <c r="I247" s="38">
        <f t="shared" si="43"/>
        <v>2622</v>
      </c>
      <c r="J247" s="172"/>
      <c r="K247" s="172"/>
      <c r="L247" s="172"/>
      <c r="M247" s="38">
        <f t="shared" si="44"/>
        <v>0</v>
      </c>
      <c r="N247" s="172"/>
      <c r="O247" s="172"/>
      <c r="P247" s="172"/>
      <c r="Q247" s="38">
        <f t="shared" si="45"/>
        <v>0</v>
      </c>
      <c r="R247" s="38">
        <f t="shared" si="41"/>
        <v>2622</v>
      </c>
    </row>
    <row r="248" spans="1:20" ht="15.75" customHeight="1" x14ac:dyDescent="0.3">
      <c r="A248" s="410" t="s">
        <v>3022</v>
      </c>
      <c r="B248" s="172"/>
      <c r="C248" s="172"/>
      <c r="D248" s="172"/>
      <c r="E248" s="38">
        <f t="shared" si="42"/>
        <v>0</v>
      </c>
      <c r="F248" s="10"/>
      <c r="G248" s="10">
        <v>4750</v>
      </c>
      <c r="H248" s="172"/>
      <c r="I248" s="38">
        <f t="shared" si="43"/>
        <v>4750</v>
      </c>
      <c r="J248" s="172"/>
      <c r="K248" s="172"/>
      <c r="L248" s="172"/>
      <c r="M248" s="38">
        <f t="shared" si="44"/>
        <v>0</v>
      </c>
      <c r="N248" s="172"/>
      <c r="O248" s="172"/>
      <c r="P248" s="172"/>
      <c r="Q248" s="38">
        <f t="shared" si="45"/>
        <v>0</v>
      </c>
      <c r="R248" s="38">
        <f t="shared" si="41"/>
        <v>4750</v>
      </c>
      <c r="S248" t="s">
        <v>3020</v>
      </c>
    </row>
    <row r="249" spans="1:20" ht="15.75" customHeight="1" x14ac:dyDescent="0.3">
      <c r="A249" s="410" t="s">
        <v>829</v>
      </c>
      <c r="B249" s="172"/>
      <c r="C249" s="172">
        <v>95</v>
      </c>
      <c r="D249" s="172"/>
      <c r="E249" s="38">
        <f t="shared" si="42"/>
        <v>95</v>
      </c>
      <c r="F249" s="172"/>
      <c r="G249" s="172"/>
      <c r="H249" s="172"/>
      <c r="I249" s="38">
        <f t="shared" si="43"/>
        <v>0</v>
      </c>
      <c r="J249" s="172"/>
      <c r="K249" s="172"/>
      <c r="L249" s="172"/>
      <c r="M249" s="38">
        <f t="shared" si="44"/>
        <v>0</v>
      </c>
      <c r="N249" s="172"/>
      <c r="O249" s="172"/>
      <c r="P249" s="172"/>
      <c r="Q249" s="38">
        <f t="shared" si="45"/>
        <v>0</v>
      </c>
      <c r="R249" s="38">
        <f t="shared" si="41"/>
        <v>95</v>
      </c>
    </row>
    <row r="250" spans="1:20" ht="15.75" customHeight="1" x14ac:dyDescent="0.3">
      <c r="A250" s="410" t="s">
        <v>2850</v>
      </c>
      <c r="B250" s="172">
        <v>95</v>
      </c>
      <c r="C250" s="172"/>
      <c r="D250" s="172"/>
      <c r="E250" s="38">
        <f t="shared" si="42"/>
        <v>95</v>
      </c>
      <c r="F250" s="172"/>
      <c r="G250" s="172"/>
      <c r="H250" s="172"/>
      <c r="I250" s="38">
        <f t="shared" si="43"/>
        <v>0</v>
      </c>
      <c r="J250" s="172"/>
      <c r="K250" s="172"/>
      <c r="L250" s="172"/>
      <c r="M250" s="38">
        <f t="shared" si="44"/>
        <v>0</v>
      </c>
      <c r="N250" s="172"/>
      <c r="O250" s="172"/>
      <c r="P250" s="172"/>
      <c r="Q250" s="38">
        <f t="shared" si="45"/>
        <v>0</v>
      </c>
      <c r="R250" s="38">
        <f t="shared" si="41"/>
        <v>95</v>
      </c>
      <c r="S250" t="s">
        <v>3020</v>
      </c>
      <c r="T250" t="s">
        <v>2760</v>
      </c>
    </row>
    <row r="251" spans="1:20" ht="15.75" customHeight="1" x14ac:dyDescent="0.3">
      <c r="A251" s="410" t="s">
        <v>2942</v>
      </c>
      <c r="B251" s="172"/>
      <c r="C251" s="172"/>
      <c r="D251" s="172"/>
      <c r="E251" s="38">
        <f t="shared" si="42"/>
        <v>0</v>
      </c>
      <c r="F251" s="172">
        <v>1500</v>
      </c>
      <c r="G251" s="172">
        <v>2500</v>
      </c>
      <c r="H251" s="172">
        <v>2500</v>
      </c>
      <c r="I251" s="38">
        <f t="shared" si="43"/>
        <v>6500</v>
      </c>
      <c r="J251" s="172">
        <f>2500-1148</f>
        <v>1352</v>
      </c>
      <c r="K251" s="172"/>
      <c r="L251" s="172"/>
      <c r="M251" s="38">
        <f t="shared" si="44"/>
        <v>1352</v>
      </c>
      <c r="N251" s="172"/>
      <c r="O251" s="172"/>
      <c r="P251" s="172">
        <v>1148</v>
      </c>
      <c r="Q251" s="38">
        <f t="shared" si="45"/>
        <v>1148</v>
      </c>
      <c r="R251" s="38">
        <f t="shared" si="41"/>
        <v>9000</v>
      </c>
      <c r="S251" t="s">
        <v>3020</v>
      </c>
    </row>
    <row r="252" spans="1:20" ht="15.75" customHeight="1" x14ac:dyDescent="0.3">
      <c r="A252" s="410" t="s">
        <v>3029</v>
      </c>
      <c r="B252" s="172"/>
      <c r="C252" s="172">
        <v>1465</v>
      </c>
      <c r="D252" s="172">
        <v>4369</v>
      </c>
      <c r="E252" s="38">
        <f>SUM(B252:D252)</f>
        <v>5834</v>
      </c>
      <c r="F252" s="172">
        <v>5751</v>
      </c>
      <c r="G252" s="172">
        <v>915</v>
      </c>
      <c r="H252" s="172"/>
      <c r="I252" s="38">
        <f>SUM(F252:H252)</f>
        <v>6666</v>
      </c>
      <c r="J252" s="172"/>
      <c r="K252" s="172"/>
      <c r="L252" s="172"/>
      <c r="M252" s="38">
        <f>SUM(J252:L252)</f>
        <v>0</v>
      </c>
      <c r="N252" s="172"/>
      <c r="O252" s="172"/>
      <c r="P252" s="172"/>
      <c r="Q252" s="38">
        <f>SUM(N252:P252)</f>
        <v>0</v>
      </c>
      <c r="R252" s="38">
        <f>+E252+I252+M252+Q252</f>
        <v>12500</v>
      </c>
      <c r="S252" t="s">
        <v>3020</v>
      </c>
    </row>
    <row r="253" spans="1:20" ht="15.75" customHeight="1" x14ac:dyDescent="0.3">
      <c r="A253" s="410" t="s">
        <v>1410</v>
      </c>
      <c r="B253" s="172"/>
      <c r="C253" s="172">
        <v>500</v>
      </c>
      <c r="D253" s="172"/>
      <c r="E253" s="38">
        <f t="shared" si="42"/>
        <v>500</v>
      </c>
      <c r="F253" s="172"/>
      <c r="G253" s="172"/>
      <c r="H253" s="172"/>
      <c r="I253" s="38">
        <f t="shared" si="43"/>
        <v>0</v>
      </c>
      <c r="J253" s="172"/>
      <c r="K253" s="172"/>
      <c r="L253" s="172"/>
      <c r="M253" s="38">
        <f t="shared" si="44"/>
        <v>0</v>
      </c>
      <c r="N253" s="172"/>
      <c r="O253" s="172"/>
      <c r="P253" s="172"/>
      <c r="Q253" s="38">
        <f t="shared" si="45"/>
        <v>0</v>
      </c>
      <c r="R253" s="38">
        <f t="shared" si="41"/>
        <v>500</v>
      </c>
    </row>
    <row r="254" spans="1:20" ht="15.75" customHeight="1" thickBot="1" x14ac:dyDescent="0.35">
      <c r="A254" s="410" t="s">
        <v>3025</v>
      </c>
      <c r="B254" s="172"/>
      <c r="C254" s="172"/>
      <c r="D254" s="172"/>
      <c r="E254" s="38">
        <f>SUM(B254:D254)</f>
        <v>0</v>
      </c>
      <c r="F254" s="172"/>
      <c r="G254" s="172"/>
      <c r="H254" s="172"/>
      <c r="I254" s="38">
        <f>SUM(F254:H254)</f>
        <v>0</v>
      </c>
      <c r="J254" s="172"/>
      <c r="K254" s="172"/>
      <c r="L254" s="172"/>
      <c r="M254" s="38">
        <f>SUM(J254:L254)</f>
        <v>0</v>
      </c>
      <c r="N254" s="172"/>
      <c r="O254" s="172"/>
      <c r="P254" s="172"/>
      <c r="Q254" s="38">
        <f>SUM(N254:P254)</f>
        <v>0</v>
      </c>
      <c r="R254" s="38">
        <f>+E254+I254+M254+Q254</f>
        <v>0</v>
      </c>
      <c r="S254" t="s">
        <v>3020</v>
      </c>
    </row>
    <row r="255" spans="1:20" ht="16.5" customHeight="1" thickBot="1" x14ac:dyDescent="0.35">
      <c r="A255" s="43" t="s">
        <v>1220</v>
      </c>
      <c r="B255" s="45">
        <f>SUM(B206:B254)</f>
        <v>6916</v>
      </c>
      <c r="C255" s="46">
        <f>SUM(C206:C254)</f>
        <v>9744</v>
      </c>
      <c r="D255" s="46">
        <f>SUM(D206:D254)</f>
        <v>14377</v>
      </c>
      <c r="E255" s="37">
        <f t="shared" si="42"/>
        <v>31037</v>
      </c>
      <c r="F255" s="46">
        <f>SUM(F206:F254)</f>
        <v>18240</v>
      </c>
      <c r="G255" s="46">
        <f>SUM(G206:G254)</f>
        <v>29582</v>
      </c>
      <c r="H255" s="46">
        <f>SUM(H206:H254)</f>
        <v>32516</v>
      </c>
      <c r="I255" s="37">
        <f t="shared" si="43"/>
        <v>80338</v>
      </c>
      <c r="J255" s="46">
        <f>SUM(J206:J254)</f>
        <v>8486</v>
      </c>
      <c r="K255" s="46">
        <f>SUM(K206:K254)</f>
        <v>16626</v>
      </c>
      <c r="L255" s="46">
        <f>SUM(L206:L254)</f>
        <v>6632</v>
      </c>
      <c r="M255" s="37">
        <f t="shared" si="44"/>
        <v>31744</v>
      </c>
      <c r="N255" s="46">
        <f>SUM(N206:N254)</f>
        <v>2633</v>
      </c>
      <c r="O255" s="46">
        <f>SUM(O206:O254)</f>
        <v>480</v>
      </c>
      <c r="P255" s="46">
        <f>SUM(P206:P254)</f>
        <v>3092</v>
      </c>
      <c r="Q255" s="37">
        <f t="shared" si="45"/>
        <v>6205</v>
      </c>
      <c r="R255" s="37">
        <f t="shared" si="41"/>
        <v>149324</v>
      </c>
    </row>
    <row r="256" spans="1:20" ht="15.75" customHeight="1" x14ac:dyDescent="0.3">
      <c r="A256" s="234" t="s">
        <v>1712</v>
      </c>
      <c r="B256" s="172"/>
      <c r="C256" s="172"/>
      <c r="D256" s="172"/>
      <c r="E256" s="38" t="s">
        <v>852</v>
      </c>
      <c r="F256" s="172"/>
      <c r="G256" s="172"/>
      <c r="H256" s="172"/>
      <c r="I256" s="38" t="s">
        <v>852</v>
      </c>
      <c r="J256" s="172"/>
      <c r="K256" s="172"/>
      <c r="L256" s="172"/>
      <c r="M256" s="38" t="s">
        <v>852</v>
      </c>
      <c r="N256" s="172"/>
      <c r="O256" s="172"/>
      <c r="P256" s="172"/>
      <c r="Q256" s="38" t="s">
        <v>852</v>
      </c>
      <c r="R256" s="38" t="s">
        <v>852</v>
      </c>
    </row>
    <row r="257" spans="1:20" ht="15.75" customHeight="1" x14ac:dyDescent="0.3">
      <c r="A257" s="234" t="s">
        <v>1021</v>
      </c>
      <c r="B257" s="172"/>
      <c r="C257" s="172"/>
      <c r="D257" s="172"/>
      <c r="E257" s="38" t="s">
        <v>852</v>
      </c>
      <c r="F257" s="172"/>
      <c r="G257" s="172"/>
      <c r="H257" s="172"/>
      <c r="I257" s="38" t="s">
        <v>852</v>
      </c>
      <c r="J257" s="172"/>
      <c r="K257" s="172"/>
      <c r="L257" s="172"/>
      <c r="M257" s="38" t="s">
        <v>852</v>
      </c>
      <c r="N257" s="172"/>
      <c r="O257" s="172"/>
      <c r="P257" s="172"/>
      <c r="Q257" s="38" t="s">
        <v>852</v>
      </c>
      <c r="R257" s="38" t="s">
        <v>852</v>
      </c>
    </row>
    <row r="258" spans="1:20" ht="15.75" customHeight="1" x14ac:dyDescent="0.3">
      <c r="A258" s="618" t="s">
        <v>2796</v>
      </c>
      <c r="B258" s="172"/>
      <c r="C258" s="172"/>
      <c r="D258" s="172"/>
      <c r="E258" s="38">
        <f>SUM(B258:D258)</f>
        <v>0</v>
      </c>
      <c r="F258" s="172"/>
      <c r="G258" s="172"/>
      <c r="H258" s="172"/>
      <c r="I258" s="38">
        <f>SUM(F258:H258)</f>
        <v>0</v>
      </c>
      <c r="J258" s="172"/>
      <c r="K258" s="172"/>
      <c r="L258" s="172"/>
      <c r="M258" s="38">
        <f>SUM(J258:L258)</f>
        <v>0</v>
      </c>
      <c r="N258" s="172"/>
      <c r="O258" s="172"/>
      <c r="P258" s="172"/>
      <c r="Q258" s="38">
        <f>SUM(N258:P258)</f>
        <v>0</v>
      </c>
      <c r="R258" s="38">
        <f>+E258+I258+M258+Q258</f>
        <v>0</v>
      </c>
      <c r="T258" t="s">
        <v>2760</v>
      </c>
    </row>
    <row r="259" spans="1:20" ht="15.75" customHeight="1" x14ac:dyDescent="0.3">
      <c r="A259" s="568" t="s">
        <v>1323</v>
      </c>
      <c r="B259" s="172"/>
      <c r="C259" s="172"/>
      <c r="D259" s="172"/>
      <c r="E259" s="38">
        <f>SUM(B259:D259)</f>
        <v>0</v>
      </c>
      <c r="F259" s="172"/>
      <c r="G259" s="172"/>
      <c r="H259" s="172"/>
      <c r="I259" s="38">
        <f>SUM(F259:H259)</f>
        <v>0</v>
      </c>
      <c r="J259" s="172"/>
      <c r="K259" s="172">
        <v>2200</v>
      </c>
      <c r="L259" s="172"/>
      <c r="M259" s="38">
        <f>SUM(J259:L259)</f>
        <v>2200</v>
      </c>
      <c r="N259" s="172"/>
      <c r="O259" s="172"/>
      <c r="P259" s="172"/>
      <c r="Q259" s="38">
        <f>SUM(N259:P259)</f>
        <v>0</v>
      </c>
      <c r="R259" s="38">
        <f>+E259+I259+M259+Q259</f>
        <v>2200</v>
      </c>
      <c r="T259" t="s">
        <v>2769</v>
      </c>
    </row>
    <row r="260" spans="1:20" ht="15.75" customHeight="1" x14ac:dyDescent="0.3">
      <c r="A260" s="568" t="s">
        <v>2317</v>
      </c>
      <c r="B260" s="172"/>
      <c r="C260" s="172"/>
      <c r="D260" s="172"/>
      <c r="E260" s="38">
        <f>SUM(B260:D260)</f>
        <v>0</v>
      </c>
      <c r="F260" s="172"/>
      <c r="G260" s="172"/>
      <c r="H260" s="172"/>
      <c r="I260" s="38">
        <f>SUM(F260:H260)</f>
        <v>0</v>
      </c>
      <c r="J260" s="172"/>
      <c r="K260" s="172"/>
      <c r="L260" s="172"/>
      <c r="M260" s="38">
        <f>SUM(J260:L260)</f>
        <v>0</v>
      </c>
      <c r="N260" s="172"/>
      <c r="O260" s="172"/>
      <c r="P260" s="172"/>
      <c r="Q260" s="38">
        <f>SUM(N260:P260)</f>
        <v>0</v>
      </c>
      <c r="R260" s="38">
        <f>+E260+I260+M260+Q260</f>
        <v>0</v>
      </c>
      <c r="T260" t="s">
        <v>2770</v>
      </c>
    </row>
    <row r="261" spans="1:20" ht="15.75" customHeight="1" x14ac:dyDescent="0.3">
      <c r="A261" s="587" t="s">
        <v>2825</v>
      </c>
      <c r="B261" s="172"/>
      <c r="C261" s="172"/>
      <c r="D261" s="172"/>
      <c r="E261" s="38">
        <f>SUM(B261:D261)</f>
        <v>0</v>
      </c>
      <c r="F261" s="172"/>
      <c r="G261" s="172"/>
      <c r="H261" s="172"/>
      <c r="I261" s="38">
        <f>SUM(F261:H261)</f>
        <v>0</v>
      </c>
      <c r="J261" s="172"/>
      <c r="K261" s="172"/>
      <c r="L261" s="172"/>
      <c r="M261" s="38">
        <f>SUM(J261:L261)</f>
        <v>0</v>
      </c>
      <c r="N261" s="172"/>
      <c r="O261" s="172"/>
      <c r="P261" s="172"/>
      <c r="Q261" s="38">
        <f>SUM(N261:P261)</f>
        <v>0</v>
      </c>
      <c r="R261" s="38">
        <f>+E261+I261+M261+Q261</f>
        <v>0</v>
      </c>
      <c r="T261" t="s">
        <v>2760</v>
      </c>
    </row>
    <row r="262" spans="1:20" ht="15.75" customHeight="1" x14ac:dyDescent="0.3">
      <c r="A262" s="234" t="s">
        <v>557</v>
      </c>
      <c r="B262" s="172"/>
      <c r="C262" s="172"/>
      <c r="D262" s="172"/>
      <c r="E262" s="38" t="s">
        <v>852</v>
      </c>
      <c r="F262" s="172"/>
      <c r="G262" s="172"/>
      <c r="H262" s="172"/>
      <c r="I262" s="38" t="s">
        <v>852</v>
      </c>
      <c r="J262" s="172"/>
      <c r="K262" s="172"/>
      <c r="L262" s="172"/>
      <c r="M262" s="38" t="s">
        <v>852</v>
      </c>
      <c r="N262" s="172"/>
      <c r="O262" s="172"/>
      <c r="P262" s="172"/>
      <c r="Q262" s="38" t="s">
        <v>852</v>
      </c>
      <c r="R262" s="38" t="s">
        <v>852</v>
      </c>
    </row>
    <row r="263" spans="1:20" ht="15.75" customHeight="1" x14ac:dyDescent="0.3">
      <c r="A263" s="568" t="s">
        <v>3006</v>
      </c>
      <c r="B263" s="172"/>
      <c r="C263" s="172"/>
      <c r="D263" s="172"/>
      <c r="E263" s="38">
        <f>SUM(B263:D263)</f>
        <v>0</v>
      </c>
      <c r="F263" s="172">
        <v>883</v>
      </c>
      <c r="G263" s="172">
        <v>623</v>
      </c>
      <c r="H263" s="172">
        <v>1199</v>
      </c>
      <c r="I263" s="38">
        <f>SUM(F263:H263)</f>
        <v>2705</v>
      </c>
      <c r="J263" s="172">
        <v>1179</v>
      </c>
      <c r="K263" s="172">
        <v>187</v>
      </c>
      <c r="L263" s="172">
        <v>3098</v>
      </c>
      <c r="M263" s="38">
        <f>SUM(J263:L263)</f>
        <v>4464</v>
      </c>
      <c r="N263" s="172">
        <v>1375</v>
      </c>
      <c r="O263" s="172">
        <v>2296</v>
      </c>
      <c r="P263" s="172">
        <v>2788</v>
      </c>
      <c r="Q263" s="38">
        <f>SUM(N263:P263)</f>
        <v>6459</v>
      </c>
      <c r="R263" s="38">
        <f>+E263+I263+M263+Q263</f>
        <v>13628</v>
      </c>
    </row>
    <row r="264" spans="1:20" ht="15.75" customHeight="1" x14ac:dyDescent="0.3">
      <c r="A264" s="568" t="s">
        <v>3010</v>
      </c>
      <c r="B264" s="172"/>
      <c r="C264" s="172"/>
      <c r="D264" s="172"/>
      <c r="E264" s="38">
        <f>SUM(B264:D264)</f>
        <v>0</v>
      </c>
      <c r="F264" s="172"/>
      <c r="G264" s="172"/>
      <c r="H264" s="172"/>
      <c r="I264" s="38">
        <f>SUM(F264:H264)</f>
        <v>0</v>
      </c>
      <c r="J264" s="172"/>
      <c r="K264" s="172"/>
      <c r="L264" s="172"/>
      <c r="M264" s="38">
        <f>SUM(J264:L264)</f>
        <v>0</v>
      </c>
      <c r="N264" s="172"/>
      <c r="O264" s="172"/>
      <c r="P264" s="172"/>
      <c r="Q264" s="38">
        <f>SUM(N264:P264)</f>
        <v>0</v>
      </c>
      <c r="R264" s="38">
        <f>+E264+I264+M264+Q264</f>
        <v>0</v>
      </c>
    </row>
    <row r="265" spans="1:20" ht="15.75" customHeight="1" x14ac:dyDescent="0.3">
      <c r="A265" s="539" t="s">
        <v>3021</v>
      </c>
      <c r="B265" s="172"/>
      <c r="C265" s="172"/>
      <c r="D265" s="172"/>
      <c r="E265" s="38">
        <f t="shared" ref="E265:E270" si="46">SUM(B265:D265)</f>
        <v>0</v>
      </c>
      <c r="F265" s="172"/>
      <c r="G265" s="172"/>
      <c r="H265" s="172"/>
      <c r="I265" s="38">
        <f t="shared" ref="I265:I270" si="47">SUM(F265:H265)</f>
        <v>0</v>
      </c>
      <c r="J265" s="172"/>
      <c r="K265" s="172">
        <v>730</v>
      </c>
      <c r="L265" s="172">
        <v>36</v>
      </c>
      <c r="M265" s="38">
        <f t="shared" ref="M265:M270" si="48">SUM(J265:L265)</f>
        <v>766</v>
      </c>
      <c r="N265" s="172">
        <v>1223</v>
      </c>
      <c r="O265" s="172">
        <v>1358</v>
      </c>
      <c r="P265" s="172"/>
      <c r="Q265" s="38">
        <f t="shared" ref="Q265:Q270" si="49">SUM(N265:P265)</f>
        <v>2581</v>
      </c>
      <c r="R265" s="38">
        <f t="shared" ref="R265:R270" si="50">+E265+I265+M265+Q265</f>
        <v>3347</v>
      </c>
      <c r="S265" t="s">
        <v>3020</v>
      </c>
    </row>
    <row r="266" spans="1:20" ht="15.75" customHeight="1" x14ac:dyDescent="0.3">
      <c r="A266" s="539" t="s">
        <v>2561</v>
      </c>
      <c r="B266" s="172"/>
      <c r="C266" s="172"/>
      <c r="D266" s="172"/>
      <c r="E266" s="38">
        <f t="shared" si="46"/>
        <v>0</v>
      </c>
      <c r="F266" s="172"/>
      <c r="G266" s="172"/>
      <c r="H266" s="172"/>
      <c r="I266" s="38">
        <f t="shared" si="47"/>
        <v>0</v>
      </c>
      <c r="J266" s="172"/>
      <c r="K266" s="172"/>
      <c r="L266" s="172"/>
      <c r="M266" s="38">
        <f t="shared" si="48"/>
        <v>0</v>
      </c>
      <c r="N266" s="172"/>
      <c r="O266" s="172"/>
      <c r="P266" s="172"/>
      <c r="Q266" s="38">
        <f t="shared" si="49"/>
        <v>0</v>
      </c>
      <c r="R266" s="38">
        <f t="shared" si="50"/>
        <v>0</v>
      </c>
    </row>
    <row r="267" spans="1:20" ht="15.75" customHeight="1" x14ac:dyDescent="0.3">
      <c r="A267" s="569" t="s">
        <v>2828</v>
      </c>
      <c r="B267" s="172"/>
      <c r="C267" s="172"/>
      <c r="D267" s="172"/>
      <c r="E267" s="38">
        <f t="shared" si="46"/>
        <v>0</v>
      </c>
      <c r="F267" s="172"/>
      <c r="G267" s="172"/>
      <c r="H267" s="172">
        <v>2000</v>
      </c>
      <c r="I267" s="38">
        <f t="shared" si="47"/>
        <v>2000</v>
      </c>
      <c r="J267" s="172"/>
      <c r="K267" s="172">
        <v>500</v>
      </c>
      <c r="L267" s="172">
        <v>169</v>
      </c>
      <c r="M267" s="38">
        <f t="shared" si="48"/>
        <v>669</v>
      </c>
      <c r="N267" s="172">
        <v>5112</v>
      </c>
      <c r="O267" s="172">
        <v>3224</v>
      </c>
      <c r="P267" s="172">
        <v>2155</v>
      </c>
      <c r="Q267" s="38">
        <f t="shared" si="49"/>
        <v>10491</v>
      </c>
      <c r="R267" s="38">
        <f t="shared" si="50"/>
        <v>13160</v>
      </c>
    </row>
    <row r="268" spans="1:20" ht="15.75" customHeight="1" x14ac:dyDescent="0.3">
      <c r="A268" s="569" t="s">
        <v>2563</v>
      </c>
      <c r="B268" s="172"/>
      <c r="C268" s="172"/>
      <c r="D268" s="172"/>
      <c r="E268" s="38">
        <f t="shared" si="46"/>
        <v>0</v>
      </c>
      <c r="F268" s="172"/>
      <c r="G268" s="172"/>
      <c r="H268" s="172"/>
      <c r="I268" s="38">
        <f t="shared" si="47"/>
        <v>0</v>
      </c>
      <c r="J268" s="172"/>
      <c r="K268" s="172"/>
      <c r="L268" s="172"/>
      <c r="M268" s="38">
        <f t="shared" si="48"/>
        <v>0</v>
      </c>
      <c r="N268" s="172"/>
      <c r="O268" s="172"/>
      <c r="P268" s="172"/>
      <c r="Q268" s="38">
        <f t="shared" si="49"/>
        <v>0</v>
      </c>
      <c r="R268" s="38">
        <f t="shared" si="50"/>
        <v>0</v>
      </c>
    </row>
    <row r="269" spans="1:20" ht="15.75" customHeight="1" x14ac:dyDescent="0.3">
      <c r="A269" s="422" t="s">
        <v>2564</v>
      </c>
      <c r="B269" s="172"/>
      <c r="C269" s="172"/>
      <c r="D269" s="172"/>
      <c r="E269" s="38">
        <f t="shared" si="46"/>
        <v>0</v>
      </c>
      <c r="F269" s="172"/>
      <c r="G269" s="172"/>
      <c r="H269" s="172"/>
      <c r="I269" s="38">
        <f t="shared" si="47"/>
        <v>0</v>
      </c>
      <c r="J269" s="172"/>
      <c r="K269" s="172"/>
      <c r="L269" s="172"/>
      <c r="M269" s="38">
        <f t="shared" si="48"/>
        <v>0</v>
      </c>
      <c r="N269" s="172"/>
      <c r="O269" s="172"/>
      <c r="P269" s="172"/>
      <c r="Q269" s="38">
        <f t="shared" si="49"/>
        <v>0</v>
      </c>
      <c r="R269" s="38">
        <f t="shared" si="50"/>
        <v>0</v>
      </c>
    </row>
    <row r="270" spans="1:20" ht="15.75" customHeight="1" x14ac:dyDescent="0.3">
      <c r="A270" s="422" t="s">
        <v>2565</v>
      </c>
      <c r="B270" s="172"/>
      <c r="C270" s="172"/>
      <c r="D270" s="172"/>
      <c r="E270" s="38">
        <f t="shared" si="46"/>
        <v>0</v>
      </c>
      <c r="F270" s="172"/>
      <c r="G270" s="172"/>
      <c r="H270" s="172"/>
      <c r="I270" s="38">
        <f t="shared" si="47"/>
        <v>0</v>
      </c>
      <c r="J270" s="172"/>
      <c r="K270" s="172"/>
      <c r="L270" s="172"/>
      <c r="M270" s="38">
        <f t="shared" si="48"/>
        <v>0</v>
      </c>
      <c r="N270" s="172"/>
      <c r="O270" s="172"/>
      <c r="P270" s="172"/>
      <c r="Q270" s="38">
        <f t="shared" si="49"/>
        <v>0</v>
      </c>
      <c r="R270" s="38">
        <f t="shared" si="50"/>
        <v>0</v>
      </c>
    </row>
    <row r="271" spans="1:20" ht="15.75" customHeight="1" x14ac:dyDescent="0.3">
      <c r="A271" s="234" t="s">
        <v>1022</v>
      </c>
      <c r="B271" s="172"/>
      <c r="C271" s="172"/>
      <c r="D271" s="172"/>
      <c r="E271" s="38" t="s">
        <v>852</v>
      </c>
      <c r="F271" s="172"/>
      <c r="G271" s="172"/>
      <c r="H271" s="172"/>
      <c r="I271" s="38" t="s">
        <v>852</v>
      </c>
      <c r="J271" s="172"/>
      <c r="K271" s="172"/>
      <c r="L271" s="172"/>
      <c r="M271" s="38" t="s">
        <v>852</v>
      </c>
      <c r="N271" s="172"/>
      <c r="O271" s="172"/>
      <c r="P271" s="172"/>
      <c r="Q271" s="38" t="s">
        <v>852</v>
      </c>
      <c r="R271" s="38" t="s">
        <v>852</v>
      </c>
    </row>
    <row r="272" spans="1:20" ht="15.75" customHeight="1" thickBot="1" x14ac:dyDescent="0.35">
      <c r="A272" s="234" t="s">
        <v>559</v>
      </c>
      <c r="B272" s="172"/>
      <c r="C272" s="172"/>
      <c r="D272" s="172"/>
      <c r="E272" s="38" t="s">
        <v>852</v>
      </c>
      <c r="F272" s="172"/>
      <c r="G272" s="172"/>
      <c r="H272" s="172"/>
      <c r="I272" s="38" t="s">
        <v>852</v>
      </c>
      <c r="J272" s="172"/>
      <c r="K272" s="172"/>
      <c r="L272" s="172"/>
      <c r="M272" s="38" t="s">
        <v>852</v>
      </c>
      <c r="N272" s="172"/>
      <c r="O272" s="172"/>
      <c r="P272" s="172"/>
      <c r="Q272" s="38" t="s">
        <v>852</v>
      </c>
      <c r="R272" s="38" t="s">
        <v>852</v>
      </c>
    </row>
    <row r="273" spans="1:20" ht="16.5" customHeight="1" thickBot="1" x14ac:dyDescent="0.35">
      <c r="A273" s="43" t="s">
        <v>1019</v>
      </c>
      <c r="B273" s="42">
        <f>SUM(B271:B272)</f>
        <v>0</v>
      </c>
      <c r="C273" s="42">
        <f>SUM(C271:C272)</f>
        <v>0</v>
      </c>
      <c r="D273" s="42">
        <f>SUM(D271:D272)</f>
        <v>0</v>
      </c>
      <c r="E273" s="39">
        <f t="shared" ref="E273:E281" si="51">SUM(B273:D273)</f>
        <v>0</v>
      </c>
      <c r="F273" s="42">
        <f>SUM(F271:F272)</f>
        <v>0</v>
      </c>
      <c r="G273" s="42">
        <f>SUM(G271:G272)</f>
        <v>0</v>
      </c>
      <c r="H273" s="42">
        <f>SUM(H271:H272)</f>
        <v>0</v>
      </c>
      <c r="I273" s="39">
        <f t="shared" ref="I273:I281" si="52">SUM(F273:H273)</f>
        <v>0</v>
      </c>
      <c r="J273" s="42">
        <f>SUM(J271:J272)</f>
        <v>0</v>
      </c>
      <c r="K273" s="42">
        <f>SUM(K271:K272)</f>
        <v>0</v>
      </c>
      <c r="L273" s="42">
        <f>SUM(L271:L272)</f>
        <v>0</v>
      </c>
      <c r="M273" s="39">
        <f t="shared" ref="M273:M281" si="53">SUM(J273:L273)</f>
        <v>0</v>
      </c>
      <c r="N273" s="42">
        <f>SUM(N271:N272)</f>
        <v>0</v>
      </c>
      <c r="O273" s="42">
        <f>SUM(O271:O272)</f>
        <v>0</v>
      </c>
      <c r="P273" s="42">
        <f>SUM(P271:P272)</f>
        <v>0</v>
      </c>
      <c r="Q273" s="39">
        <f t="shared" ref="Q273:Q281" si="54">SUM(N273:P273)</f>
        <v>0</v>
      </c>
      <c r="R273" s="37">
        <f t="shared" ref="R273:R281" si="55">+E273+I273+M273+Q273</f>
        <v>0</v>
      </c>
    </row>
    <row r="274" spans="1:20" ht="16.5" customHeight="1" thickBot="1" x14ac:dyDescent="0.35">
      <c r="A274" s="43" t="s">
        <v>1221</v>
      </c>
      <c r="B274" s="45">
        <f>SUM(B256:B272)</f>
        <v>0</v>
      </c>
      <c r="C274" s="46">
        <f>SUM(C256:C272)</f>
        <v>0</v>
      </c>
      <c r="D274" s="46">
        <f>SUM(D256:D272)</f>
        <v>0</v>
      </c>
      <c r="E274" s="37">
        <f t="shared" si="51"/>
        <v>0</v>
      </c>
      <c r="F274" s="46">
        <f>SUM(F256:F272)</f>
        <v>883</v>
      </c>
      <c r="G274" s="46">
        <f>SUM(G256:G272)</f>
        <v>623</v>
      </c>
      <c r="H274" s="46">
        <f>SUM(H256:H272)</f>
        <v>3199</v>
      </c>
      <c r="I274" s="37">
        <f t="shared" si="52"/>
        <v>4705</v>
      </c>
      <c r="J274" s="46">
        <f>SUM(J256:J272)</f>
        <v>1179</v>
      </c>
      <c r="K274" s="46">
        <f>SUM(K256:K272)</f>
        <v>3617</v>
      </c>
      <c r="L274" s="46">
        <f>SUM(L256:L272)</f>
        <v>3303</v>
      </c>
      <c r="M274" s="37">
        <f t="shared" si="53"/>
        <v>8099</v>
      </c>
      <c r="N274" s="46">
        <f>SUM(N256:N272)</f>
        <v>7710</v>
      </c>
      <c r="O274" s="46">
        <f>SUM(O256:O272)</f>
        <v>6878</v>
      </c>
      <c r="P274" s="46">
        <f>SUM(P256:P272)</f>
        <v>4943</v>
      </c>
      <c r="Q274" s="37">
        <f t="shared" si="54"/>
        <v>19531</v>
      </c>
      <c r="R274" s="37">
        <f t="shared" si="55"/>
        <v>32335</v>
      </c>
    </row>
    <row r="275" spans="1:20" ht="16.5" customHeight="1" thickBot="1" x14ac:dyDescent="0.35">
      <c r="A275" s="43" t="s">
        <v>1222</v>
      </c>
      <c r="B275" s="47">
        <f>+B198+B205+B255+B274</f>
        <v>18609</v>
      </c>
      <c r="C275" s="42">
        <f>+C198+C205+C255+C274</f>
        <v>22718</v>
      </c>
      <c r="D275" s="42">
        <f>+D198+D205+D255+D274</f>
        <v>33609</v>
      </c>
      <c r="E275" s="40">
        <f t="shared" si="51"/>
        <v>74936</v>
      </c>
      <c r="F275" s="42">
        <f>+F198+F205+F255+F274</f>
        <v>43249</v>
      </c>
      <c r="G275" s="42">
        <f>+G198+G205+G255+G274</f>
        <v>41212</v>
      </c>
      <c r="H275" s="42">
        <f>+H198+H205+H255+H274</f>
        <v>46650</v>
      </c>
      <c r="I275" s="40">
        <f t="shared" si="52"/>
        <v>131111</v>
      </c>
      <c r="J275" s="42">
        <f>+J198+J205+J255+J274</f>
        <v>50073</v>
      </c>
      <c r="K275" s="42">
        <f>+K198+K205+K255+K274</f>
        <v>53813</v>
      </c>
      <c r="L275" s="42">
        <f>+L198+L205+L255+L274</f>
        <v>42630</v>
      </c>
      <c r="M275" s="40">
        <f t="shared" si="53"/>
        <v>146516</v>
      </c>
      <c r="N275" s="42">
        <f>+N198+N205+N255+N274</f>
        <v>36405</v>
      </c>
      <c r="O275" s="42">
        <f>+O198+O205+O255+O274</f>
        <v>28068</v>
      </c>
      <c r="P275" s="42">
        <f>+P198+P205+P255+P274</f>
        <v>28027</v>
      </c>
      <c r="Q275" s="40">
        <f t="shared" si="54"/>
        <v>92500</v>
      </c>
      <c r="R275" s="40">
        <f t="shared" si="55"/>
        <v>445063</v>
      </c>
    </row>
    <row r="276" spans="1:20" ht="15.75" customHeight="1" x14ac:dyDescent="0.3">
      <c r="A276" s="540" t="s">
        <v>2827</v>
      </c>
      <c r="B276" s="172"/>
      <c r="C276" s="172">
        <v>2044</v>
      </c>
      <c r="D276" s="356">
        <f>5545-500-357-967-1000</f>
        <v>2721</v>
      </c>
      <c r="E276" s="38">
        <f t="shared" si="51"/>
        <v>4765</v>
      </c>
      <c r="F276" s="356">
        <f>7317-500-3-1000-2255-1000</f>
        <v>2559</v>
      </c>
      <c r="G276" s="172">
        <f>5057-2-1000-2256-1000</f>
        <v>799</v>
      </c>
      <c r="H276" s="172">
        <f>6562-3-1000-2405-1000</f>
        <v>2154</v>
      </c>
      <c r="I276" s="38">
        <f t="shared" si="52"/>
        <v>5512</v>
      </c>
      <c r="J276" s="172">
        <f>6032-1000-11-3204</f>
        <v>1817</v>
      </c>
      <c r="K276" s="172">
        <f>5690-1000-8-2790</f>
        <v>1892</v>
      </c>
      <c r="L276" s="172">
        <f>5187-12-3129</f>
        <v>2046</v>
      </c>
      <c r="M276" s="38">
        <f t="shared" si="53"/>
        <v>5755</v>
      </c>
      <c r="N276" s="172">
        <f>4262-12-2797</f>
        <v>1453</v>
      </c>
      <c r="O276" s="172">
        <f>4137-4-1006</f>
        <v>3127</v>
      </c>
      <c r="P276" s="172">
        <f>1682-76</f>
        <v>1606</v>
      </c>
      <c r="Q276" s="38">
        <f t="shared" si="54"/>
        <v>6186</v>
      </c>
      <c r="R276" s="38">
        <f t="shared" si="55"/>
        <v>22218</v>
      </c>
      <c r="T276" t="s">
        <v>2764</v>
      </c>
    </row>
    <row r="277" spans="1:20" ht="15.75" customHeight="1" x14ac:dyDescent="0.3">
      <c r="A277" s="270" t="s">
        <v>899</v>
      </c>
      <c r="B277" s="172"/>
      <c r="C277" s="172">
        <v>3886</v>
      </c>
      <c r="D277" s="172"/>
      <c r="E277" s="38">
        <f t="shared" si="51"/>
        <v>3886</v>
      </c>
      <c r="F277" s="172"/>
      <c r="G277" s="172">
        <v>-8000</v>
      </c>
      <c r="H277" s="172">
        <v>-7000</v>
      </c>
      <c r="I277" s="38">
        <f t="shared" si="52"/>
        <v>-15000</v>
      </c>
      <c r="J277" s="172">
        <v>-1166</v>
      </c>
      <c r="K277" s="172">
        <v>-2000</v>
      </c>
      <c r="L277" s="172">
        <v>-720</v>
      </c>
      <c r="M277" s="38">
        <f t="shared" si="53"/>
        <v>-3886</v>
      </c>
      <c r="N277" s="172"/>
      <c r="O277" s="172"/>
      <c r="P277" s="172">
        <v>-11</v>
      </c>
      <c r="Q277" s="38">
        <f t="shared" si="54"/>
        <v>-11</v>
      </c>
      <c r="R277" s="38">
        <f t="shared" si="55"/>
        <v>-15011</v>
      </c>
    </row>
    <row r="278" spans="1:20" ht="15.75" customHeight="1" x14ac:dyDescent="0.3">
      <c r="A278" s="539" t="s">
        <v>2271</v>
      </c>
      <c r="B278" s="10"/>
      <c r="C278" s="10"/>
      <c r="D278" s="10"/>
      <c r="E278" s="38">
        <f t="shared" si="51"/>
        <v>0</v>
      </c>
      <c r="F278" s="10"/>
      <c r="G278" s="10"/>
      <c r="H278" s="10"/>
      <c r="I278" s="38">
        <f t="shared" si="52"/>
        <v>0</v>
      </c>
      <c r="J278" s="10"/>
      <c r="K278" s="10"/>
      <c r="L278" s="10"/>
      <c r="M278" s="38">
        <f t="shared" si="53"/>
        <v>0</v>
      </c>
      <c r="N278" s="10"/>
      <c r="O278" s="10"/>
      <c r="P278" s="10"/>
      <c r="Q278" s="38">
        <f t="shared" si="54"/>
        <v>0</v>
      </c>
      <c r="R278" s="38">
        <f t="shared" si="55"/>
        <v>0</v>
      </c>
    </row>
    <row r="279" spans="1:20" ht="15.75" customHeight="1" x14ac:dyDescent="0.3">
      <c r="A279" s="270" t="s">
        <v>2475</v>
      </c>
      <c r="B279" s="172">
        <v>8</v>
      </c>
      <c r="C279" s="172">
        <v>10</v>
      </c>
      <c r="D279" s="172">
        <v>24</v>
      </c>
      <c r="E279" s="38">
        <f>SUM(B279:D279)</f>
        <v>42</v>
      </c>
      <c r="F279" s="172">
        <v>35</v>
      </c>
      <c r="G279" s="172">
        <v>29</v>
      </c>
      <c r="H279" s="172">
        <v>43</v>
      </c>
      <c r="I279" s="38">
        <f>SUM(F279:H279)</f>
        <v>107</v>
      </c>
      <c r="J279" s="172">
        <v>62</v>
      </c>
      <c r="K279" s="172">
        <v>38</v>
      </c>
      <c r="L279" s="172">
        <v>37</v>
      </c>
      <c r="M279" s="38">
        <f>SUM(J279:L279)</f>
        <v>137</v>
      </c>
      <c r="N279" s="172">
        <v>28</v>
      </c>
      <c r="O279" s="172">
        <v>13</v>
      </c>
      <c r="P279" s="172">
        <v>11</v>
      </c>
      <c r="Q279" s="38">
        <f>SUM(N279:P279)</f>
        <v>52</v>
      </c>
      <c r="R279" s="38">
        <f t="shared" si="55"/>
        <v>338</v>
      </c>
    </row>
    <row r="280" spans="1:20" ht="15.75" customHeight="1" x14ac:dyDescent="0.3">
      <c r="A280" s="267" t="s">
        <v>2096</v>
      </c>
      <c r="B280" s="172">
        <v>115675</v>
      </c>
      <c r="C280" s="172">
        <v>24605</v>
      </c>
      <c r="D280" s="172">
        <v>11698</v>
      </c>
      <c r="E280" s="38">
        <f t="shared" si="51"/>
        <v>151978</v>
      </c>
      <c r="F280" s="172">
        <v>1058</v>
      </c>
      <c r="G280" s="172">
        <v>36939</v>
      </c>
      <c r="H280" s="172">
        <v>375</v>
      </c>
      <c r="I280" s="38">
        <f t="shared" si="52"/>
        <v>38372</v>
      </c>
      <c r="J280" s="172"/>
      <c r="K280" s="172"/>
      <c r="L280" s="172">
        <v>41077</v>
      </c>
      <c r="M280" s="38">
        <f t="shared" si="53"/>
        <v>41077</v>
      </c>
      <c r="N280" s="172">
        <v>27691</v>
      </c>
      <c r="O280" s="172">
        <v>48256</v>
      </c>
      <c r="P280" s="172">
        <v>47232</v>
      </c>
      <c r="Q280" s="38">
        <f t="shared" si="54"/>
        <v>123179</v>
      </c>
      <c r="R280" s="38">
        <f t="shared" si="55"/>
        <v>354606</v>
      </c>
    </row>
    <row r="281" spans="1:20" ht="16.5" customHeight="1" thickBot="1" x14ac:dyDescent="0.35">
      <c r="A281" s="244" t="s">
        <v>853</v>
      </c>
      <c r="B281" s="238">
        <v>104</v>
      </c>
      <c r="C281" s="238">
        <v>268</v>
      </c>
      <c r="D281" s="238">
        <v>474</v>
      </c>
      <c r="E281" s="38">
        <f t="shared" si="51"/>
        <v>846</v>
      </c>
      <c r="F281" s="238">
        <v>647</v>
      </c>
      <c r="G281" s="238">
        <v>742</v>
      </c>
      <c r="H281" s="238">
        <v>781</v>
      </c>
      <c r="I281" s="38">
        <f t="shared" si="52"/>
        <v>2170</v>
      </c>
      <c r="J281" s="238">
        <v>774</v>
      </c>
      <c r="K281" s="238">
        <v>596</v>
      </c>
      <c r="L281" s="238">
        <v>546</v>
      </c>
      <c r="M281" s="38">
        <f t="shared" si="53"/>
        <v>1916</v>
      </c>
      <c r="N281" s="238">
        <v>517</v>
      </c>
      <c r="O281" s="238">
        <v>413</v>
      </c>
      <c r="P281" s="238">
        <v>302</v>
      </c>
      <c r="Q281" s="38">
        <f t="shared" si="54"/>
        <v>1232</v>
      </c>
      <c r="R281" s="38">
        <f t="shared" si="55"/>
        <v>6164</v>
      </c>
    </row>
    <row r="282" spans="1:20" ht="16.5" customHeight="1" thickBot="1" x14ac:dyDescent="0.35">
      <c r="A282" s="44"/>
      <c r="B282" s="258"/>
      <c r="C282" s="258"/>
      <c r="D282" s="258"/>
      <c r="E282" s="39"/>
      <c r="F282" s="258"/>
      <c r="G282" s="258"/>
      <c r="H282" s="258"/>
      <c r="I282" s="37"/>
      <c r="J282" s="258"/>
      <c r="K282" s="258"/>
      <c r="L282" s="258"/>
      <c r="M282" s="37"/>
      <c r="N282" s="258"/>
      <c r="O282" s="258"/>
      <c r="P282" s="258"/>
      <c r="Q282" s="37"/>
      <c r="R282" s="37" t="s">
        <v>852</v>
      </c>
    </row>
    <row r="283" spans="1:20" ht="15.75" customHeight="1" x14ac:dyDescent="0.3">
      <c r="A283" s="259" t="s">
        <v>2011</v>
      </c>
      <c r="B283" s="260">
        <f>SUM(B275:B281)</f>
        <v>134396</v>
      </c>
      <c r="C283" s="260">
        <f>SUM(C275:C281)</f>
        <v>53531</v>
      </c>
      <c r="D283" s="260">
        <f>SUM(D275:D281)</f>
        <v>48526</v>
      </c>
      <c r="E283" s="39">
        <f>SUM(B283:D283)</f>
        <v>236453</v>
      </c>
      <c r="F283" s="260">
        <f>SUM(F275:F281)</f>
        <v>47548</v>
      </c>
      <c r="G283" s="260">
        <f>SUM(G275:G281)</f>
        <v>71721</v>
      </c>
      <c r="H283" s="260">
        <f>SUM(H275:H281)</f>
        <v>43003</v>
      </c>
      <c r="I283" s="39">
        <f>SUM(F283:H283)</f>
        <v>162272</v>
      </c>
      <c r="J283" s="260">
        <f>SUM(J275:J281)</f>
        <v>51560</v>
      </c>
      <c r="K283" s="260">
        <f>SUM(K275:K281)</f>
        <v>54339</v>
      </c>
      <c r="L283" s="260">
        <f>SUM(L275:L281)</f>
        <v>85616</v>
      </c>
      <c r="M283" s="39">
        <f>SUM(J283:L283)</f>
        <v>191515</v>
      </c>
      <c r="N283" s="260">
        <f>SUM(N275:N281)</f>
        <v>66094</v>
      </c>
      <c r="O283" s="260">
        <f>SUM(O275:O281)</f>
        <v>79877</v>
      </c>
      <c r="P283" s="260">
        <f>SUM(P275:P281)</f>
        <v>77167</v>
      </c>
      <c r="Q283" s="49">
        <f>SUM(N283:P283)</f>
        <v>223138</v>
      </c>
      <c r="R283" s="39">
        <f>+E283+I283+M283+Q283</f>
        <v>813378</v>
      </c>
    </row>
    <row r="284" spans="1:20" ht="15.75" customHeight="1" x14ac:dyDescent="0.3">
      <c r="A284" s="262" t="s">
        <v>1897</v>
      </c>
      <c r="B284" s="172">
        <f>(B283/B10)/1.983</f>
        <v>2186.2606347502151</v>
      </c>
      <c r="C284" s="172">
        <f>(C283/C10)/1.983</f>
        <v>964.105611987609</v>
      </c>
      <c r="D284" s="172">
        <f>(D283/D10)/1.983</f>
        <v>789.38721064532388</v>
      </c>
      <c r="E284" s="38" t="s">
        <v>852</v>
      </c>
      <c r="F284" s="172">
        <f>(F283/F10)/1.983</f>
        <v>799.26037989578083</v>
      </c>
      <c r="G284" s="172">
        <f>(G283/G10)/1.983</f>
        <v>1166.707334927529</v>
      </c>
      <c r="H284" s="172">
        <f>(H283/H10)/1.983</f>
        <v>722.86098503950245</v>
      </c>
      <c r="I284" s="38" t="s">
        <v>852</v>
      </c>
      <c r="J284" s="172">
        <f>(J283/J10)/1.983</f>
        <v>838.74221202804483</v>
      </c>
      <c r="K284" s="172">
        <f>(K283/K10)/1.983</f>
        <v>883.94905080279136</v>
      </c>
      <c r="L284" s="172">
        <f>(L283/L10)/1.983</f>
        <v>1439.1662464279711</v>
      </c>
      <c r="M284" s="38" t="s">
        <v>852</v>
      </c>
      <c r="N284" s="172">
        <f>(N283/N10)/1.983</f>
        <v>1075.171213378231</v>
      </c>
      <c r="O284" s="172">
        <f>(O283/O10)/1.983</f>
        <v>1342.6962514708353</v>
      </c>
      <c r="P284" s="172">
        <f>(P283/P10)/1.983</f>
        <v>1255.2990743903829</v>
      </c>
      <c r="Q284" s="50" t="s">
        <v>852</v>
      </c>
      <c r="R284" s="38" t="s">
        <v>852</v>
      </c>
    </row>
    <row r="285" spans="1:20" ht="15.75" customHeight="1" x14ac:dyDescent="0.3">
      <c r="A285" s="262" t="s">
        <v>154</v>
      </c>
      <c r="B285" s="172">
        <f>(+B283+B426)+B292</f>
        <v>173816</v>
      </c>
      <c r="C285" s="172">
        <f>(+C283+C426)+C292</f>
        <v>107205</v>
      </c>
      <c r="D285" s="172">
        <f>(+D283+D426)+D292</f>
        <v>140135</v>
      </c>
      <c r="E285" s="38">
        <f>SUM(B285:D285)</f>
        <v>421156</v>
      </c>
      <c r="F285" s="172">
        <f>(+F283+F426)+F292</f>
        <v>147593</v>
      </c>
      <c r="G285" s="172">
        <f>(+G283+G426)+G292</f>
        <v>169648</v>
      </c>
      <c r="H285" s="172">
        <f>(+H283+H426)+H292</f>
        <v>73795</v>
      </c>
      <c r="I285" s="38">
        <f>SUM(F285:H285)</f>
        <v>391036</v>
      </c>
      <c r="J285" s="172">
        <f>(+J283+J426)+J292</f>
        <v>65051</v>
      </c>
      <c r="K285" s="172">
        <f>(+K283+K426)+K292</f>
        <v>60668</v>
      </c>
      <c r="L285" s="172">
        <f>(+L283+L426)+L292</f>
        <v>156105</v>
      </c>
      <c r="M285" s="38">
        <f>SUM(J285:L285)</f>
        <v>281824</v>
      </c>
      <c r="N285" s="172">
        <f>(+N283+N426)+N292</f>
        <v>113622</v>
      </c>
      <c r="O285" s="172">
        <f>(+O283+O426)+O292</f>
        <v>112751</v>
      </c>
      <c r="P285" s="172">
        <f>(+P283+P426)+P292</f>
        <v>123029</v>
      </c>
      <c r="Q285" s="50">
        <f>SUM(N285:P285)</f>
        <v>349402</v>
      </c>
      <c r="R285" s="38">
        <f>+E285+I285+M285+Q285</f>
        <v>1443418</v>
      </c>
    </row>
    <row r="286" spans="1:20" ht="16.5" customHeight="1" thickBot="1" x14ac:dyDescent="0.35">
      <c r="A286" s="263" t="s">
        <v>2110</v>
      </c>
      <c r="B286" s="264">
        <f>(B285/B10)/1.983</f>
        <v>2827.5177720299966</v>
      </c>
      <c r="C286" s="264">
        <f>(C285/C10)/1.983</f>
        <v>1930.7866868381241</v>
      </c>
      <c r="D286" s="264">
        <f>(D285/D10)/1.983</f>
        <v>2279.618694386153</v>
      </c>
      <c r="E286" s="40" t="s">
        <v>852</v>
      </c>
      <c r="F286" s="264">
        <f>(F285/F10)/1.983</f>
        <v>2480.9715918641787</v>
      </c>
      <c r="G286" s="264">
        <f>(G285/G10)/1.983</f>
        <v>2759.7156475200495</v>
      </c>
      <c r="H286" s="264">
        <f>(H285/H10)/1.983</f>
        <v>1240.4605816103547</v>
      </c>
      <c r="I286" s="40" t="s">
        <v>852</v>
      </c>
      <c r="J286" s="264">
        <f>(J285/J10)/1.983</f>
        <v>1058.2044149463993</v>
      </c>
      <c r="K286" s="264">
        <f>(K285/K10)/1.983</f>
        <v>986.90482000227735</v>
      </c>
      <c r="L286" s="264">
        <f>(L285/L10)/1.983</f>
        <v>2624.054462934947</v>
      </c>
      <c r="M286" s="40" t="s">
        <v>852</v>
      </c>
      <c r="N286" s="264">
        <f>(N285/N10)/1.983</f>
        <v>1848.3236542872478</v>
      </c>
      <c r="O286" s="264">
        <f>(O285/O10)/1.983</f>
        <v>1895.2933266095142</v>
      </c>
      <c r="P286" s="264">
        <f>(P285/P10)/1.983</f>
        <v>2001.3501862606345</v>
      </c>
      <c r="Q286" s="51" t="s">
        <v>852</v>
      </c>
      <c r="R286" s="40" t="s">
        <v>852</v>
      </c>
    </row>
    <row r="287" spans="1:20" ht="16.5" customHeight="1" thickBot="1" x14ac:dyDescent="0.35">
      <c r="A287" s="271" t="s">
        <v>1700</v>
      </c>
      <c r="B287" s="229">
        <f>+(B285-(B140+B141+B142+B143+B145+B146+B148+B149+B150+B154+B156+B163+B164+B166+B167+B168+B169+B170+B177+B178+B189+B192+B194+B195+B202+B209+B210+B211+B221+B222+B223+B224+B225+B227+B228+B229+B242+B243+B259+B260+B263+B264+B267+B268+B276+B280+B160+B288)-B292)/(B10*1.983)</f>
        <v>894.53906593138447</v>
      </c>
      <c r="C287" s="229">
        <f>+(C285-(C140+C141+C142+C143+C145+C146+C148+C149+C150+C154+C156+C163+C164+C166+C167+C168+C169+C170+C177+C178+C189+C192+C194+C195+C202+C209+C210+C211+C221+C222+C223+C224+C225+C227+C228+C229+C242+C243+C259+C260+C263+C264+C267+C268+C276+C280+C160+C288)-C292)/(C10*1.983)</f>
        <v>1304.1927814998919</v>
      </c>
      <c r="D287" s="229">
        <f>+(D285-(D140+D141+D142+D143+D145+D146+D148+D149+D150+D154+D156+D163+D164+D166+D167+D168+D169+D170+D177+D178+D189+D192+D194+D195+D202+D209+D210+D211+D221+D222+D223+D224+D225+D227+D228+D229+D242+D243+D259+D260+D263+D264+D267+D268+D276+D280+D160+D288)-D292)/(D10*1.983)</f>
        <v>1970.1982984399654</v>
      </c>
      <c r="E287" s="227"/>
      <c r="F287" s="229">
        <f>+(F285-(F140+F141+F142+F143+F145+F146+F148+F149+F150+F154+F156+F163+F164+F166+F167+F168+F169+F170+F177+F178+F189+F192+F194+F195+F202+F209+F210+F211+F221+F222+F223+F224+F225+F227+F228+F229+F242+F243+F259+F260+F263+F264+F267+F268+F276+F280+F160+F288)-F292)/(F10*1.983)</f>
        <v>2757.3877962682805</v>
      </c>
      <c r="G287" s="229">
        <f>+(G285-(G140+G141+G142+G143+G145+G146+G148+G149+G150+G154+G156+G163+G164+G166+G167+G168+G169+G170+G177+G178+G189+G192+G194+G195+G202+G209+G210+G211+G221+G222+G223+G224+G225+G227+G228+G229+G242+G243+G259+G260+G263+G264+G267+G268+G276+G280+G160+G288)-G292)/(G10*1.983)</f>
        <v>2062.3525775543731</v>
      </c>
      <c r="H287" s="229">
        <f>+(H285-(H140+H141+H142+H143+H145+H146+H148+H149+H150+H154+H156+H163+H164+H166+H167+H168+H169+H170+H177+H178+H189+H192+H194+H195+H202+H209+H210+H211+H221+H222+H223+H224+H225+H227+H228+H229+H242+H243+H259+H260+H263+H264+H267+H268+H276+H280+H160+H288)-H292)/(H10*1.983)</f>
        <v>2403.9670532862665</v>
      </c>
      <c r="I287" s="227"/>
      <c r="J287" s="229">
        <f>+(J285-(J140+J141+J142+J143+J145+J146+J148+J149+J150+J154+J156+J163+J164+J166+J167+J168+J169+J170+J177+J178+J189+J192+J194+J195+J202+J209+J210+J211+J221+J222+J223+J224+J225+J227+J228+J229+J242+J243+J259+J260+J263+J264+J267+J268+J276+J280+J160+J288)-J292)/(J10*1.983)</f>
        <v>2274.2342166479589</v>
      </c>
      <c r="K287" s="229">
        <f>+(K285-(K140+K141+K142+K143+K145+K146+K148+K149+K150+K154+K156+K163+K164+K166+K167+K168+K169+K170+K177+K178+K189+K192+K194+K195+K202+K209+K210+K211+K221+K222+K223+K224+K225+K227+K228+K229+K242+K243+K259+K260+K263+K264+K267+K268+K276+K280+K160+K288)-K292)/(K10*1.983)</f>
        <v>2362.2566004587379</v>
      </c>
      <c r="L287" s="229">
        <f>+(L285-(L140+L141+L142+L143+L145+L146+L148+L149+L150+L154+L156+L163+L164+L166+L167+L168+L169+L170+L177+L178+L189+L192+L194+L195+L202+L209+L210+L211+L221+L222+L223+L224+L225+L227+L228+L229+L242+L243+L259+L260+L263+L264+L267+L268+L276+L280+L160+L288)-L292)/(L10*1.983)</f>
        <v>1709.6486804504959</v>
      </c>
      <c r="M287" s="227"/>
      <c r="N287" s="229">
        <f>+(N285-(N140+N141+N142+N143+N145+N146+N148+N149+N150+N154+N156+N163+N164+N166+N167+N168+N169+N170+N177+N178+N189+N192+N194+N195+N202+N209+N210+N211+N221+N222+N223+N224+N225+N227+N228+N229+N242+N243+N259+N260+N263+N264+N267+N268+N276+N280+N160+N288)-N292)/(N10*1.983)</f>
        <v>1338.4900688106973</v>
      </c>
      <c r="O287" s="229">
        <f>+(O285-(O140+O141+O142+O143+O145+O146+O148+O149+O150+O154+O156+O163+O164+O166+O167+O168+O169+O170+O177+O178+O189+O192+O194+O195+O202+O209+O210+O211+O221+O222+O223+O224+O225+O227+O228+O229+O242+O243+O259+O260+O263+O264+O267+O268+O276+O280+O160+O288)-O292)/(O10*1.983)</f>
        <v>873.10472348293831</v>
      </c>
      <c r="P287" s="229">
        <f>+(P285-(P140+P141+P142+P143+P145+P146+P148+P149+P150+P154+P156+P163+P164+P166+P167+P168+P169+P170+P177+P178+P189+P192+P194+P195+P202+P209+P210+P211+P221+P222+P223+P224+P225+P227+P228+P229+P242+P243+P259+P260+P263+P264+P267+P268+P276+P280+P160+P288)-P292)/(P10*1.983)</f>
        <v>1077.3347648561155</v>
      </c>
      <c r="Q287" s="228"/>
      <c r="R287" s="227"/>
    </row>
    <row r="288" spans="1:20" ht="15.75" customHeight="1" x14ac:dyDescent="0.3">
      <c r="A288" s="541" t="s">
        <v>2272</v>
      </c>
      <c r="B288" s="172">
        <v>2500</v>
      </c>
      <c r="C288" s="172">
        <v>2292</v>
      </c>
      <c r="D288" s="172">
        <v>2716</v>
      </c>
      <c r="E288" s="172"/>
      <c r="F288" s="172">
        <v>2811</v>
      </c>
      <c r="G288" s="172">
        <v>1562</v>
      </c>
      <c r="H288" s="172">
        <v>2505</v>
      </c>
      <c r="I288" s="172"/>
      <c r="J288" s="172">
        <v>2556</v>
      </c>
      <c r="K288" s="172">
        <v>2500</v>
      </c>
      <c r="L288" s="172">
        <v>2545</v>
      </c>
      <c r="M288" s="172"/>
      <c r="N288" s="172">
        <v>2500</v>
      </c>
      <c r="O288" s="172">
        <v>2500</v>
      </c>
      <c r="P288" s="172">
        <v>2500</v>
      </c>
      <c r="Q288" s="172"/>
      <c r="R288" s="17"/>
    </row>
    <row r="289" spans="1:20" ht="15.75" customHeight="1" thickBot="1" x14ac:dyDescent="0.35">
      <c r="A289" s="18"/>
      <c r="B289" s="172"/>
      <c r="C289" s="172"/>
      <c r="D289" s="172"/>
      <c r="E289" s="172"/>
      <c r="F289" s="172"/>
      <c r="G289" s="172"/>
      <c r="H289" s="172"/>
      <c r="I289" s="172"/>
      <c r="J289" s="172"/>
      <c r="K289" s="172"/>
      <c r="L289" s="172"/>
      <c r="M289" s="172"/>
      <c r="N289" s="172"/>
      <c r="O289" s="172"/>
      <c r="P289" s="172"/>
      <c r="Q289" s="172"/>
      <c r="R289" s="17"/>
    </row>
    <row r="290" spans="1:20" ht="16.5" customHeight="1" thickBot="1" x14ac:dyDescent="0.35">
      <c r="A290" s="240" t="s">
        <v>1754</v>
      </c>
      <c r="B290" s="4" t="s">
        <v>2090</v>
      </c>
      <c r="C290" s="5" t="s">
        <v>2091</v>
      </c>
      <c r="D290" s="5" t="s">
        <v>2234</v>
      </c>
      <c r="E290" s="33" t="s">
        <v>1594</v>
      </c>
      <c r="F290" s="5" t="s">
        <v>2235</v>
      </c>
      <c r="G290" s="5" t="s">
        <v>2236</v>
      </c>
      <c r="H290" s="5" t="s">
        <v>2237</v>
      </c>
      <c r="I290" s="35" t="s">
        <v>1595</v>
      </c>
      <c r="J290" s="5" t="s">
        <v>1504</v>
      </c>
      <c r="K290" s="5" t="s">
        <v>1505</v>
      </c>
      <c r="L290" s="5" t="s">
        <v>1506</v>
      </c>
      <c r="M290" s="35" t="s">
        <v>1596</v>
      </c>
      <c r="N290" s="5" t="s">
        <v>1507</v>
      </c>
      <c r="O290" s="5" t="s">
        <v>1508</v>
      </c>
      <c r="P290" s="5" t="s">
        <v>1509</v>
      </c>
      <c r="Q290" s="35" t="s">
        <v>1597</v>
      </c>
      <c r="R290" s="36" t="s">
        <v>1510</v>
      </c>
    </row>
    <row r="291" spans="1:20" ht="16.5" customHeight="1" thickBot="1" x14ac:dyDescent="0.35">
      <c r="A291" s="44"/>
      <c r="B291" s="258"/>
      <c r="C291" s="258"/>
      <c r="D291" s="258"/>
      <c r="E291" s="265"/>
      <c r="F291" s="258"/>
      <c r="G291" s="258"/>
      <c r="H291" s="258"/>
      <c r="I291" s="265"/>
      <c r="J291" s="258"/>
      <c r="K291" s="258"/>
      <c r="L291" s="258"/>
      <c r="M291" s="265"/>
      <c r="N291" s="258"/>
      <c r="O291" s="258"/>
      <c r="P291" s="258"/>
      <c r="Q291" s="265"/>
      <c r="R291" s="52"/>
    </row>
    <row r="292" spans="1:20" ht="15.75" customHeight="1" thickBot="1" x14ac:dyDescent="0.35">
      <c r="A292" s="266" t="s">
        <v>1000</v>
      </c>
      <c r="B292" s="172"/>
      <c r="C292" s="172">
        <v>-260</v>
      </c>
      <c r="D292" s="172">
        <v>-6159</v>
      </c>
      <c r="E292" s="38">
        <f>SUM(B292:D292)</f>
        <v>-6419</v>
      </c>
      <c r="F292" s="172">
        <v>-34505</v>
      </c>
      <c r="G292" s="172">
        <v>-3516</v>
      </c>
      <c r="H292" s="172">
        <v>-83579</v>
      </c>
      <c r="I292" s="38">
        <f>SUM(F292:H292)</f>
        <v>-121600</v>
      </c>
      <c r="J292" s="356">
        <v>-87950</v>
      </c>
      <c r="K292" s="172">
        <v>-97320</v>
      </c>
      <c r="L292" s="356">
        <v>-2011</v>
      </c>
      <c r="M292" s="38">
        <f>SUM(J292:L292)</f>
        <v>-187281</v>
      </c>
      <c r="N292" s="172">
        <v>-10146</v>
      </c>
      <c r="O292" s="172"/>
      <c r="P292" s="172"/>
      <c r="Q292" s="38">
        <f>SUM(N292:P292)</f>
        <v>-10146</v>
      </c>
      <c r="R292" s="38">
        <f>+E292+I292+M292+Q292</f>
        <v>-325446</v>
      </c>
    </row>
    <row r="293" spans="1:20" ht="16.5" customHeight="1" thickBot="1" x14ac:dyDescent="0.35">
      <c r="A293" s="272"/>
      <c r="B293" s="273"/>
      <c r="C293" s="273"/>
      <c r="D293" s="273"/>
      <c r="E293" s="53"/>
      <c r="F293" s="273"/>
      <c r="G293" s="273"/>
      <c r="H293" s="273"/>
      <c r="I293" s="53"/>
      <c r="J293" s="273"/>
      <c r="K293" s="273"/>
      <c r="L293" s="273"/>
      <c r="M293" s="53"/>
      <c r="N293" s="273"/>
      <c r="O293" s="273"/>
      <c r="P293" s="273"/>
      <c r="Q293" s="53"/>
      <c r="R293" s="54"/>
    </row>
    <row r="294" spans="1:20" ht="15.75" customHeight="1" x14ac:dyDescent="0.3">
      <c r="A294" s="234" t="s">
        <v>662</v>
      </c>
      <c r="B294" s="172">
        <f>B292</f>
        <v>0</v>
      </c>
      <c r="C294" s="172">
        <f>C292</f>
        <v>-260</v>
      </c>
      <c r="D294" s="172">
        <f>D292</f>
        <v>-6159</v>
      </c>
      <c r="E294" s="38">
        <f>SUM(B294:D294)</f>
        <v>-6419</v>
      </c>
      <c r="F294" s="172">
        <f>F292</f>
        <v>-34505</v>
      </c>
      <c r="G294" s="172">
        <f>G292</f>
        <v>-3516</v>
      </c>
      <c r="H294" s="172">
        <f>H292</f>
        <v>-83579</v>
      </c>
      <c r="I294" s="38">
        <f>SUM(F294:H294)</f>
        <v>-121600</v>
      </c>
      <c r="J294" s="172">
        <f>J292</f>
        <v>-87950</v>
      </c>
      <c r="K294" s="172">
        <f>K292</f>
        <v>-97320</v>
      </c>
      <c r="L294" s="172">
        <f>L292</f>
        <v>-2011</v>
      </c>
      <c r="M294" s="38">
        <f>SUM(J294:L294)</f>
        <v>-187281</v>
      </c>
      <c r="N294" s="172">
        <f>N292</f>
        <v>-10146</v>
      </c>
      <c r="O294" s="172">
        <f>O292</f>
        <v>0</v>
      </c>
      <c r="P294" s="172">
        <f>P292</f>
        <v>0</v>
      </c>
      <c r="Q294" s="38">
        <f>SUM(N294:P294)</f>
        <v>-10146</v>
      </c>
      <c r="R294" s="55">
        <f>R292</f>
        <v>-325446</v>
      </c>
    </row>
    <row r="295" spans="1:20" ht="16.5" customHeight="1" thickBot="1" x14ac:dyDescent="0.35">
      <c r="A295" s="237" t="s">
        <v>1897</v>
      </c>
      <c r="B295" s="238">
        <f>(B294/B10)/1.983</f>
        <v>0</v>
      </c>
      <c r="C295" s="238">
        <f>(C294/C10)/1.983</f>
        <v>-4.68265975073842</v>
      </c>
      <c r="D295" s="238">
        <f>(D294/D10)/1.983</f>
        <v>-100.19032746083647</v>
      </c>
      <c r="E295" s="40"/>
      <c r="F295" s="238">
        <f>(F294/F10)/1.983</f>
        <v>-580.01344763825853</v>
      </c>
      <c r="G295" s="238">
        <f>(G294/G10)/1.983</f>
        <v>-57.195842077009416</v>
      </c>
      <c r="H295" s="238">
        <f>(H294/H10)/1.983</f>
        <v>-1404.925197512187</v>
      </c>
      <c r="I295" s="40"/>
      <c r="J295" s="238">
        <f>(J294/J10)/1.983</f>
        <v>-1430.7094171424851</v>
      </c>
      <c r="K295" s="238">
        <f>(K294/K10)/1.983</f>
        <v>-1583.134058855107</v>
      </c>
      <c r="L295" s="238">
        <f>(L294/L10)/1.983</f>
        <v>-33.80400067238191</v>
      </c>
      <c r="M295" s="40"/>
      <c r="N295" s="238">
        <f>(N294/N10)/1.983</f>
        <v>-165.04806988433947</v>
      </c>
      <c r="O295" s="238">
        <f>(O294/O10)/1.983</f>
        <v>0</v>
      </c>
      <c r="P295" s="238">
        <f>(P294/P10)/1.983</f>
        <v>0</v>
      </c>
      <c r="Q295" s="40"/>
      <c r="R295" s="52" t="s">
        <v>852</v>
      </c>
    </row>
    <row r="296" spans="1:20" ht="15.75" customHeight="1" x14ac:dyDescent="0.3">
      <c r="A296" s="17"/>
      <c r="B296" s="172"/>
      <c r="C296" s="172"/>
      <c r="D296" s="172"/>
      <c r="E296" s="172"/>
      <c r="F296" s="172"/>
      <c r="G296" s="172"/>
      <c r="H296" s="172"/>
      <c r="I296" s="172"/>
      <c r="J296" s="172"/>
      <c r="K296" s="172"/>
      <c r="L296" s="172"/>
      <c r="M296" s="172"/>
      <c r="N296" s="172"/>
      <c r="O296" s="172"/>
      <c r="P296" s="172"/>
      <c r="Q296" s="172"/>
      <c r="R296" s="17"/>
    </row>
    <row r="297" spans="1:20" ht="16.5" customHeight="1" thickBot="1" x14ac:dyDescent="0.35">
      <c r="A297" s="24"/>
      <c r="B297" s="238"/>
      <c r="C297" s="238"/>
      <c r="D297" s="238"/>
      <c r="E297" s="238"/>
      <c r="F297" s="238"/>
      <c r="G297" s="238"/>
      <c r="H297" s="238"/>
      <c r="I297" s="238"/>
      <c r="J297" s="238"/>
      <c r="K297" s="238"/>
      <c r="L297" s="238"/>
      <c r="M297" s="238"/>
      <c r="N297" s="238"/>
      <c r="O297" s="238"/>
      <c r="P297" s="238"/>
      <c r="Q297" s="238"/>
      <c r="R297" s="24"/>
    </row>
    <row r="298" spans="1:20" ht="16.5" customHeight="1" thickBot="1" x14ac:dyDescent="0.35">
      <c r="A298" s="274" t="s">
        <v>89</v>
      </c>
      <c r="B298" s="4" t="s">
        <v>2090</v>
      </c>
      <c r="C298" s="5" t="s">
        <v>2091</v>
      </c>
      <c r="D298" s="5" t="s">
        <v>2234</v>
      </c>
      <c r="E298" s="33" t="s">
        <v>1594</v>
      </c>
      <c r="F298" s="5" t="s">
        <v>2235</v>
      </c>
      <c r="G298" s="5" t="s">
        <v>2236</v>
      </c>
      <c r="H298" s="5" t="s">
        <v>2237</v>
      </c>
      <c r="I298" s="35" t="s">
        <v>1595</v>
      </c>
      <c r="J298" s="5" t="s">
        <v>1504</v>
      </c>
      <c r="K298" s="5" t="s">
        <v>1505</v>
      </c>
      <c r="L298" s="5" t="s">
        <v>1506</v>
      </c>
      <c r="M298" s="35" t="s">
        <v>1596</v>
      </c>
      <c r="N298" s="5" t="s">
        <v>1507</v>
      </c>
      <c r="O298" s="5" t="s">
        <v>1508</v>
      </c>
      <c r="P298" s="5" t="s">
        <v>1509</v>
      </c>
      <c r="Q298" s="35" t="s">
        <v>1597</v>
      </c>
      <c r="R298" s="36" t="s">
        <v>1510</v>
      </c>
    </row>
    <row r="299" spans="1:20" ht="16.5" customHeight="1" thickBot="1" x14ac:dyDescent="0.35">
      <c r="A299" s="37"/>
      <c r="B299" s="258"/>
      <c r="C299" s="258"/>
      <c r="D299" s="258"/>
      <c r="E299" s="254"/>
      <c r="F299" s="258"/>
      <c r="G299" s="258"/>
      <c r="H299" s="258"/>
      <c r="I299" s="265"/>
      <c r="J299" s="258"/>
      <c r="K299" s="258"/>
      <c r="L299" s="258"/>
      <c r="M299" s="265"/>
      <c r="N299" s="258"/>
      <c r="O299" s="258"/>
      <c r="P299" s="258"/>
      <c r="Q299" s="265"/>
      <c r="R299" s="55"/>
    </row>
    <row r="300" spans="1:20" ht="15.75" customHeight="1" x14ac:dyDescent="0.3">
      <c r="A300" s="234" t="s">
        <v>2417</v>
      </c>
      <c r="B300" s="172" t="s">
        <v>852</v>
      </c>
      <c r="C300" s="172" t="s">
        <v>852</v>
      </c>
      <c r="D300" s="172" t="s">
        <v>852</v>
      </c>
      <c r="E300" s="38" t="s">
        <v>852</v>
      </c>
      <c r="F300" s="172" t="s">
        <v>852</v>
      </c>
      <c r="G300" s="172" t="s">
        <v>852</v>
      </c>
      <c r="H300" s="172" t="s">
        <v>852</v>
      </c>
      <c r="I300" s="38" t="s">
        <v>852</v>
      </c>
      <c r="J300" s="172" t="s">
        <v>852</v>
      </c>
      <c r="K300" s="172" t="s">
        <v>852</v>
      </c>
      <c r="L300" s="172" t="s">
        <v>852</v>
      </c>
      <c r="M300" s="38" t="s">
        <v>852</v>
      </c>
      <c r="N300" s="172" t="s">
        <v>852</v>
      </c>
      <c r="O300" s="172" t="s">
        <v>852</v>
      </c>
      <c r="P300" s="172" t="s">
        <v>852</v>
      </c>
      <c r="Q300" s="38" t="s">
        <v>852</v>
      </c>
      <c r="R300" s="39" t="s">
        <v>852</v>
      </c>
    </row>
    <row r="301" spans="1:20" ht="15.75" customHeight="1" x14ac:dyDescent="0.3">
      <c r="A301" s="234" t="s">
        <v>2160</v>
      </c>
      <c r="B301" s="172"/>
      <c r="C301" s="172"/>
      <c r="D301" s="172"/>
      <c r="E301" s="38" t="s">
        <v>852</v>
      </c>
      <c r="F301" s="172"/>
      <c r="G301" s="172"/>
      <c r="H301" s="172"/>
      <c r="I301" s="38" t="s">
        <v>852</v>
      </c>
      <c r="J301" s="172"/>
      <c r="K301" s="172"/>
      <c r="L301" s="172"/>
      <c r="M301" s="38" t="s">
        <v>852</v>
      </c>
      <c r="N301" s="172"/>
      <c r="O301" s="172"/>
      <c r="P301" s="172"/>
      <c r="Q301" s="38" t="s">
        <v>852</v>
      </c>
      <c r="R301" s="38" t="s">
        <v>852</v>
      </c>
    </row>
    <row r="302" spans="1:20" ht="15.75" customHeight="1" x14ac:dyDescent="0.3">
      <c r="A302" s="410" t="s">
        <v>2869</v>
      </c>
      <c r="B302" s="172">
        <v>1</v>
      </c>
      <c r="C302" s="275">
        <v>1</v>
      </c>
      <c r="D302" s="172"/>
      <c r="E302" s="38">
        <f t="shared" ref="E302:E318" si="56">SUM(B302:D302)</f>
        <v>2</v>
      </c>
      <c r="F302" s="356">
        <v>1</v>
      </c>
      <c r="G302" s="172">
        <v>1</v>
      </c>
      <c r="H302" s="172">
        <v>2</v>
      </c>
      <c r="I302" s="38">
        <f t="shared" ref="I302:I318" si="57">SUM(F302:H302)</f>
        <v>4</v>
      </c>
      <c r="J302" s="172">
        <v>3</v>
      </c>
      <c r="K302" s="172">
        <v>3</v>
      </c>
      <c r="L302" s="172">
        <v>1</v>
      </c>
      <c r="M302" s="38">
        <f t="shared" ref="M302:M318" si="58">SUM(J302:L302)</f>
        <v>7</v>
      </c>
      <c r="N302" s="172"/>
      <c r="O302" s="172">
        <f>1+105</f>
        <v>106</v>
      </c>
      <c r="P302" s="172">
        <v>45</v>
      </c>
      <c r="Q302" s="38">
        <f t="shared" ref="Q302:Q318" si="59">SUM(N302:P302)</f>
        <v>151</v>
      </c>
      <c r="R302" s="38">
        <f t="shared" ref="R302:R318" si="60">+E302+I302+M302+Q302</f>
        <v>164</v>
      </c>
      <c r="T302" t="s">
        <v>2870</v>
      </c>
    </row>
    <row r="303" spans="1:20" ht="15.75" customHeight="1" x14ac:dyDescent="0.3">
      <c r="A303" s="410" t="s">
        <v>2993</v>
      </c>
      <c r="B303" s="172"/>
      <c r="C303" s="275"/>
      <c r="D303" s="172"/>
      <c r="E303" s="38">
        <f t="shared" si="56"/>
        <v>0</v>
      </c>
      <c r="F303" s="172"/>
      <c r="G303" s="172"/>
      <c r="H303" s="172"/>
      <c r="I303" s="38">
        <f t="shared" si="57"/>
        <v>0</v>
      </c>
      <c r="J303" s="172">
        <v>100</v>
      </c>
      <c r="K303" s="172"/>
      <c r="L303" s="172"/>
      <c r="M303" s="38">
        <f t="shared" si="58"/>
        <v>100</v>
      </c>
      <c r="N303" s="172"/>
      <c r="O303" s="172"/>
      <c r="P303" s="172"/>
      <c r="Q303" s="38">
        <f t="shared" si="59"/>
        <v>0</v>
      </c>
      <c r="R303" s="38">
        <f t="shared" si="60"/>
        <v>100</v>
      </c>
      <c r="T303" t="s">
        <v>1358</v>
      </c>
    </row>
    <row r="304" spans="1:20" ht="15.75" customHeight="1" x14ac:dyDescent="0.3">
      <c r="A304" s="410" t="s">
        <v>2873</v>
      </c>
      <c r="B304" s="172">
        <v>85</v>
      </c>
      <c r="C304" s="172">
        <v>97</v>
      </c>
      <c r="D304" s="172">
        <v>238</v>
      </c>
      <c r="E304" s="38">
        <f t="shared" si="56"/>
        <v>420</v>
      </c>
      <c r="F304" s="172">
        <v>288</v>
      </c>
      <c r="G304" s="172">
        <v>256</v>
      </c>
      <c r="H304" s="172">
        <v>411</v>
      </c>
      <c r="I304" s="38">
        <f t="shared" si="57"/>
        <v>955</v>
      </c>
      <c r="J304" s="172">
        <v>344</v>
      </c>
      <c r="K304" s="172">
        <v>396</v>
      </c>
      <c r="L304" s="172">
        <v>246</v>
      </c>
      <c r="M304" s="38">
        <f t="shared" si="58"/>
        <v>986</v>
      </c>
      <c r="N304" s="172">
        <f>33+338</f>
        <v>371</v>
      </c>
      <c r="O304" s="172">
        <f>29+109</f>
        <v>138</v>
      </c>
      <c r="P304" s="172">
        <v>104</v>
      </c>
      <c r="Q304" s="38">
        <f t="shared" si="59"/>
        <v>613</v>
      </c>
      <c r="R304" s="38">
        <f t="shared" si="60"/>
        <v>2974</v>
      </c>
      <c r="T304" t="s">
        <v>2871</v>
      </c>
    </row>
    <row r="305" spans="1:20" ht="15.75" customHeight="1" x14ac:dyDescent="0.3">
      <c r="A305" s="410" t="s">
        <v>349</v>
      </c>
      <c r="B305" s="172">
        <v>114</v>
      </c>
      <c r="C305" s="172">
        <v>45</v>
      </c>
      <c r="D305" s="172">
        <v>80</v>
      </c>
      <c r="E305" s="38">
        <f t="shared" si="56"/>
        <v>239</v>
      </c>
      <c r="F305" s="172">
        <v>183</v>
      </c>
      <c r="G305" s="172">
        <v>233</v>
      </c>
      <c r="H305" s="172">
        <v>332</v>
      </c>
      <c r="I305" s="38">
        <f t="shared" si="57"/>
        <v>748</v>
      </c>
      <c r="J305" s="172">
        <v>403</v>
      </c>
      <c r="K305" s="172">
        <v>293</v>
      </c>
      <c r="L305" s="172">
        <v>310</v>
      </c>
      <c r="M305" s="38">
        <f t="shared" si="58"/>
        <v>1006</v>
      </c>
      <c r="N305" s="172">
        <v>240</v>
      </c>
      <c r="O305" s="172">
        <v>90</v>
      </c>
      <c r="P305" s="172">
        <v>67</v>
      </c>
      <c r="Q305" s="38">
        <f t="shared" si="59"/>
        <v>397</v>
      </c>
      <c r="R305" s="38">
        <f t="shared" si="60"/>
        <v>2390</v>
      </c>
      <c r="T305" t="s">
        <v>2174</v>
      </c>
    </row>
    <row r="306" spans="1:20" ht="15.75" customHeight="1" x14ac:dyDescent="0.3">
      <c r="A306" s="410" t="s">
        <v>2983</v>
      </c>
      <c r="B306" s="172"/>
      <c r="C306" s="172"/>
      <c r="D306" s="172"/>
      <c r="E306" s="38">
        <f>SUM(B306:D306)</f>
        <v>0</v>
      </c>
      <c r="F306" s="172"/>
      <c r="G306" s="172">
        <v>1470</v>
      </c>
      <c r="H306" s="172">
        <v>1030</v>
      </c>
      <c r="I306" s="38">
        <f>SUM(F306:H306)</f>
        <v>2500</v>
      </c>
      <c r="J306" s="172"/>
      <c r="K306" s="172"/>
      <c r="L306" s="172"/>
      <c r="M306" s="38">
        <f>SUM(J306:L306)</f>
        <v>0</v>
      </c>
      <c r="N306" s="172"/>
      <c r="O306" s="172"/>
      <c r="P306" s="172"/>
      <c r="Q306" s="38">
        <f>SUM(N306:P306)</f>
        <v>0</v>
      </c>
      <c r="R306" s="38">
        <f>+E306+I306+M306+Q306</f>
        <v>2500</v>
      </c>
    </row>
    <row r="307" spans="1:20" ht="15.75" customHeight="1" x14ac:dyDescent="0.3">
      <c r="A307" s="410" t="s">
        <v>2743</v>
      </c>
      <c r="B307" s="172"/>
      <c r="C307" s="172">
        <v>80</v>
      </c>
      <c r="D307" s="172"/>
      <c r="E307" s="38">
        <f t="shared" si="56"/>
        <v>80</v>
      </c>
      <c r="F307" s="172"/>
      <c r="G307" s="172"/>
      <c r="H307" s="172"/>
      <c r="I307" s="38">
        <f t="shared" si="57"/>
        <v>0</v>
      </c>
      <c r="J307" s="172"/>
      <c r="K307" s="172"/>
      <c r="L307" s="172"/>
      <c r="M307" s="38">
        <f t="shared" si="58"/>
        <v>0</v>
      </c>
      <c r="N307" s="172"/>
      <c r="O307" s="172"/>
      <c r="P307" s="172"/>
      <c r="Q307" s="38">
        <f t="shared" si="59"/>
        <v>0</v>
      </c>
      <c r="R307" s="38">
        <f t="shared" si="60"/>
        <v>80</v>
      </c>
      <c r="T307" t="s">
        <v>1358</v>
      </c>
    </row>
    <row r="308" spans="1:20" ht="15.75" customHeight="1" x14ac:dyDescent="0.3">
      <c r="A308" s="410" t="s">
        <v>2744</v>
      </c>
      <c r="B308" s="10"/>
      <c r="C308" s="10"/>
      <c r="D308" s="10"/>
      <c r="E308" s="38">
        <f t="shared" si="56"/>
        <v>0</v>
      </c>
      <c r="F308" s="10"/>
      <c r="G308" s="10"/>
      <c r="H308" s="10">
        <v>1112</v>
      </c>
      <c r="I308" s="38">
        <f t="shared" si="57"/>
        <v>1112</v>
      </c>
      <c r="J308" s="10">
        <v>760</v>
      </c>
      <c r="K308" s="10"/>
      <c r="L308" s="10">
        <v>1116</v>
      </c>
      <c r="M308" s="38">
        <f t="shared" si="58"/>
        <v>1876</v>
      </c>
      <c r="N308" s="10">
        <v>1160</v>
      </c>
      <c r="O308" s="10">
        <v>1131</v>
      </c>
      <c r="P308" s="10">
        <v>1140</v>
      </c>
      <c r="Q308" s="38">
        <f t="shared" si="59"/>
        <v>3431</v>
      </c>
      <c r="R308" s="38">
        <f t="shared" si="60"/>
        <v>6419</v>
      </c>
      <c r="T308" t="s">
        <v>2780</v>
      </c>
    </row>
    <row r="309" spans="1:20" ht="15.75" customHeight="1" x14ac:dyDescent="0.3">
      <c r="A309" s="410" t="s">
        <v>2608</v>
      </c>
      <c r="B309" s="172">
        <v>3</v>
      </c>
      <c r="C309" s="172">
        <v>27</v>
      </c>
      <c r="D309" s="172">
        <v>38</v>
      </c>
      <c r="E309" s="38">
        <f t="shared" si="56"/>
        <v>68</v>
      </c>
      <c r="F309" s="172">
        <v>51</v>
      </c>
      <c r="G309" s="172">
        <v>47</v>
      </c>
      <c r="H309" s="172">
        <v>25</v>
      </c>
      <c r="I309" s="38">
        <f t="shared" si="57"/>
        <v>123</v>
      </c>
      <c r="J309" s="172">
        <v>14</v>
      </c>
      <c r="K309" s="172">
        <v>22</v>
      </c>
      <c r="L309" s="172">
        <v>51</v>
      </c>
      <c r="M309" s="38">
        <f t="shared" si="58"/>
        <v>87</v>
      </c>
      <c r="N309" s="172">
        <v>46</v>
      </c>
      <c r="O309" s="172">
        <v>34</v>
      </c>
      <c r="P309" s="172">
        <v>10</v>
      </c>
      <c r="Q309" s="38">
        <f t="shared" si="59"/>
        <v>90</v>
      </c>
      <c r="R309" s="38">
        <f t="shared" si="60"/>
        <v>368</v>
      </c>
      <c r="T309" t="s">
        <v>2174</v>
      </c>
    </row>
    <row r="310" spans="1:20" ht="15.75" customHeight="1" x14ac:dyDescent="0.3">
      <c r="A310" s="410" t="s">
        <v>2607</v>
      </c>
      <c r="B310" s="172"/>
      <c r="C310" s="172"/>
      <c r="D310" s="172"/>
      <c r="E310" s="38">
        <f t="shared" si="56"/>
        <v>0</v>
      </c>
      <c r="F310" s="172"/>
      <c r="G310" s="172"/>
      <c r="H310" s="172"/>
      <c r="I310" s="38">
        <f t="shared" si="57"/>
        <v>0</v>
      </c>
      <c r="J310" s="172"/>
      <c r="K310" s="172"/>
      <c r="L310" s="172"/>
      <c r="M310" s="38">
        <f t="shared" si="58"/>
        <v>0</v>
      </c>
      <c r="N310" s="172"/>
      <c r="O310" s="172"/>
      <c r="P310" s="172"/>
      <c r="Q310" s="38">
        <f t="shared" si="59"/>
        <v>0</v>
      </c>
      <c r="R310" s="38">
        <f t="shared" si="60"/>
        <v>0</v>
      </c>
      <c r="T310" t="s">
        <v>2174</v>
      </c>
    </row>
    <row r="311" spans="1:20" ht="15.75" customHeight="1" x14ac:dyDescent="0.3">
      <c r="A311" s="410" t="s">
        <v>2692</v>
      </c>
      <c r="B311" s="172"/>
      <c r="C311" s="172"/>
      <c r="D311" s="172"/>
      <c r="E311" s="38">
        <f>SUM(B311:D311)</f>
        <v>0</v>
      </c>
      <c r="F311" s="172"/>
      <c r="G311" s="172"/>
      <c r="H311" s="172"/>
      <c r="I311" s="38">
        <f>SUM(F311:H311)</f>
        <v>0</v>
      </c>
      <c r="J311" s="172"/>
      <c r="K311" s="172"/>
      <c r="L311" s="172"/>
      <c r="M311" s="38">
        <f>SUM(J311:L311)</f>
        <v>0</v>
      </c>
      <c r="N311" s="172"/>
      <c r="O311" s="172"/>
      <c r="P311" s="172"/>
      <c r="Q311" s="38">
        <f>SUM(N311:P311)</f>
        <v>0</v>
      </c>
      <c r="R311" s="38">
        <f t="shared" si="60"/>
        <v>0</v>
      </c>
      <c r="T311" t="s">
        <v>1358</v>
      </c>
    </row>
    <row r="312" spans="1:20" ht="15.75" customHeight="1" x14ac:dyDescent="0.3">
      <c r="A312" s="410" t="s">
        <v>347</v>
      </c>
      <c r="B312" s="172"/>
      <c r="C312" s="172"/>
      <c r="D312" s="172"/>
      <c r="E312" s="38">
        <f t="shared" si="56"/>
        <v>0</v>
      </c>
      <c r="F312" s="172"/>
      <c r="G312" s="172"/>
      <c r="H312" s="172"/>
      <c r="I312" s="38">
        <f t="shared" si="57"/>
        <v>0</v>
      </c>
      <c r="J312" s="172"/>
      <c r="K312" s="172"/>
      <c r="L312" s="172">
        <v>638</v>
      </c>
      <c r="M312" s="38">
        <f t="shared" si="58"/>
        <v>638</v>
      </c>
      <c r="N312" s="172">
        <v>1124</v>
      </c>
      <c r="O312" s="172">
        <v>1078</v>
      </c>
      <c r="P312" s="172">
        <v>1145</v>
      </c>
      <c r="Q312" s="38">
        <f t="shared" si="59"/>
        <v>3347</v>
      </c>
      <c r="R312" s="38">
        <f t="shared" si="60"/>
        <v>3985</v>
      </c>
      <c r="T312" t="s">
        <v>2780</v>
      </c>
    </row>
    <row r="313" spans="1:20" ht="15.75" customHeight="1" x14ac:dyDescent="0.3">
      <c r="A313" s="410" t="s">
        <v>2954</v>
      </c>
      <c r="B313" s="172"/>
      <c r="C313" s="172"/>
      <c r="D313" s="172"/>
      <c r="E313" s="38">
        <f>SUM(B313:D313)</f>
        <v>0</v>
      </c>
      <c r="F313" s="172"/>
      <c r="G313" s="172"/>
      <c r="H313" s="172"/>
      <c r="I313" s="38">
        <f>SUM(F313:H313)</f>
        <v>0</v>
      </c>
      <c r="J313" s="172"/>
      <c r="K313" s="172"/>
      <c r="L313" s="172"/>
      <c r="M313" s="38">
        <f>SUM(J313:L313)</f>
        <v>0</v>
      </c>
      <c r="N313" s="172"/>
      <c r="O313" s="172"/>
      <c r="P313" s="172"/>
      <c r="Q313" s="38">
        <f>SUM(N313:P313)</f>
        <v>0</v>
      </c>
      <c r="R313" s="38">
        <f t="shared" si="60"/>
        <v>0</v>
      </c>
      <c r="T313" t="s">
        <v>1358</v>
      </c>
    </row>
    <row r="314" spans="1:20" ht="15.75" customHeight="1" x14ac:dyDescent="0.3">
      <c r="A314" s="410" t="s">
        <v>2593</v>
      </c>
      <c r="B314" s="10"/>
      <c r="C314" s="10"/>
      <c r="D314" s="10"/>
      <c r="E314" s="38">
        <f t="shared" si="56"/>
        <v>0</v>
      </c>
      <c r="F314" s="10"/>
      <c r="G314" s="10"/>
      <c r="H314" s="10"/>
      <c r="I314" s="38">
        <f t="shared" si="57"/>
        <v>0</v>
      </c>
      <c r="J314" s="10"/>
      <c r="K314" s="10"/>
      <c r="L314" s="10"/>
      <c r="M314" s="38">
        <f t="shared" si="58"/>
        <v>0</v>
      </c>
      <c r="N314" s="10"/>
      <c r="O314" s="10"/>
      <c r="P314" s="10"/>
      <c r="Q314" s="38">
        <f t="shared" si="59"/>
        <v>0</v>
      </c>
      <c r="R314" s="38">
        <f t="shared" si="60"/>
        <v>0</v>
      </c>
      <c r="S314" s="538"/>
      <c r="T314" t="s">
        <v>2175</v>
      </c>
    </row>
    <row r="315" spans="1:20" ht="15.75" customHeight="1" x14ac:dyDescent="0.3">
      <c r="A315" s="256" t="s">
        <v>92</v>
      </c>
      <c r="B315" s="172">
        <v>1629</v>
      </c>
      <c r="C315" s="172">
        <v>780</v>
      </c>
      <c r="D315" s="172">
        <v>1612</v>
      </c>
      <c r="E315" s="38">
        <f t="shared" si="56"/>
        <v>4021</v>
      </c>
      <c r="F315" s="172">
        <v>903</v>
      </c>
      <c r="G315" s="172">
        <v>1081</v>
      </c>
      <c r="H315" s="172">
        <v>4664</v>
      </c>
      <c r="I315" s="38">
        <f t="shared" si="57"/>
        <v>6648</v>
      </c>
      <c r="J315" s="172">
        <v>5071</v>
      </c>
      <c r="K315" s="172">
        <v>5123</v>
      </c>
      <c r="L315" s="172">
        <v>4162</v>
      </c>
      <c r="M315" s="38">
        <f t="shared" si="58"/>
        <v>14356</v>
      </c>
      <c r="N315" s="172">
        <f>4189+54+27+92+2</f>
        <v>4364</v>
      </c>
      <c r="O315" s="172">
        <f>4430+20+43+33</f>
        <v>4526</v>
      </c>
      <c r="P315" s="172">
        <v>4202</v>
      </c>
      <c r="Q315" s="38">
        <f t="shared" si="59"/>
        <v>13092</v>
      </c>
      <c r="R315" s="38">
        <f t="shared" si="60"/>
        <v>38117</v>
      </c>
      <c r="T315" t="s">
        <v>2177</v>
      </c>
    </row>
    <row r="316" spans="1:20" ht="15.75" customHeight="1" x14ac:dyDescent="0.3">
      <c r="A316" s="410" t="s">
        <v>2543</v>
      </c>
      <c r="B316" s="172"/>
      <c r="C316" s="172"/>
      <c r="D316" s="172"/>
      <c r="E316" s="38">
        <f t="shared" si="56"/>
        <v>0</v>
      </c>
      <c r="F316" s="172"/>
      <c r="G316" s="172"/>
      <c r="H316" s="172"/>
      <c r="I316" s="38">
        <f t="shared" si="57"/>
        <v>0</v>
      </c>
      <c r="J316" s="172"/>
      <c r="K316" s="172"/>
      <c r="L316" s="172"/>
      <c r="M316" s="38">
        <f t="shared" si="58"/>
        <v>0</v>
      </c>
      <c r="N316" s="172"/>
      <c r="O316" s="172"/>
      <c r="P316" s="172"/>
      <c r="Q316" s="38">
        <f t="shared" si="59"/>
        <v>0</v>
      </c>
      <c r="R316" s="38">
        <f t="shared" si="60"/>
        <v>0</v>
      </c>
    </row>
    <row r="317" spans="1:20" ht="15.75" customHeight="1" x14ac:dyDescent="0.3">
      <c r="A317" s="539" t="s">
        <v>2944</v>
      </c>
      <c r="B317" s="172"/>
      <c r="C317" s="172"/>
      <c r="D317" s="172"/>
      <c r="E317" s="38">
        <f>SUM(B317:D317)</f>
        <v>0</v>
      </c>
      <c r="F317" s="172">
        <v>37</v>
      </c>
      <c r="G317" s="172"/>
      <c r="H317" s="172"/>
      <c r="I317" s="38">
        <f>SUM(F317:H317)</f>
        <v>37</v>
      </c>
      <c r="J317" s="172"/>
      <c r="K317" s="172"/>
      <c r="L317" s="172"/>
      <c r="M317" s="38">
        <f>SUM(J317:L317)</f>
        <v>0</v>
      </c>
      <c r="N317" s="172"/>
      <c r="O317" s="172"/>
      <c r="P317" s="172">
        <v>6</v>
      </c>
      <c r="Q317" s="38">
        <f>SUM(N317:P317)</f>
        <v>6</v>
      </c>
      <c r="R317" s="38">
        <f t="shared" si="60"/>
        <v>43</v>
      </c>
    </row>
    <row r="318" spans="1:20" ht="15.75" customHeight="1" x14ac:dyDescent="0.3">
      <c r="A318" s="410" t="s">
        <v>2609</v>
      </c>
      <c r="B318" s="172"/>
      <c r="C318" s="172"/>
      <c r="D318" s="172"/>
      <c r="E318" s="38">
        <f t="shared" si="56"/>
        <v>0</v>
      </c>
      <c r="F318" s="172"/>
      <c r="G318" s="172"/>
      <c r="H318" s="172"/>
      <c r="I318" s="38">
        <f t="shared" si="57"/>
        <v>0</v>
      </c>
      <c r="J318" s="172">
        <v>105</v>
      </c>
      <c r="K318" s="172">
        <v>195</v>
      </c>
      <c r="L318" s="172">
        <v>117</v>
      </c>
      <c r="M318" s="38">
        <f t="shared" si="58"/>
        <v>417</v>
      </c>
      <c r="N318" s="172">
        <v>66</v>
      </c>
      <c r="O318" s="172">
        <v>12</v>
      </c>
      <c r="P318" s="172"/>
      <c r="Q318" s="38">
        <f t="shared" si="59"/>
        <v>78</v>
      </c>
      <c r="R318" s="38">
        <f t="shared" si="60"/>
        <v>495</v>
      </c>
      <c r="S318">
        <f>SUM(R302:R318)</f>
        <v>57635</v>
      </c>
      <c r="T318" t="s">
        <v>2175</v>
      </c>
    </row>
    <row r="319" spans="1:20" ht="15.75" customHeight="1" x14ac:dyDescent="0.3">
      <c r="A319" s="234" t="s">
        <v>2161</v>
      </c>
      <c r="B319" s="172"/>
      <c r="C319" s="172"/>
      <c r="D319" s="172"/>
      <c r="E319" s="38" t="s">
        <v>852</v>
      </c>
      <c r="F319" s="172"/>
      <c r="G319" s="172"/>
      <c r="H319" s="172"/>
      <c r="I319" s="38" t="s">
        <v>852</v>
      </c>
      <c r="J319" s="172"/>
      <c r="K319" s="172"/>
      <c r="L319" s="172"/>
      <c r="M319" s="38" t="s">
        <v>852</v>
      </c>
      <c r="N319" s="172"/>
      <c r="O319" s="172"/>
      <c r="P319" s="172"/>
      <c r="Q319" s="38" t="s">
        <v>852</v>
      </c>
      <c r="R319" s="38" t="s">
        <v>852</v>
      </c>
    </row>
    <row r="320" spans="1:20" ht="15.75" customHeight="1" x14ac:dyDescent="0.3">
      <c r="A320" s="256" t="s">
        <v>754</v>
      </c>
      <c r="B320" s="172"/>
      <c r="C320" s="172"/>
      <c r="D320" s="172"/>
      <c r="E320" s="38">
        <f t="shared" ref="E320:E334" si="61">SUM(B320:D320)</f>
        <v>0</v>
      </c>
      <c r="F320" s="172"/>
      <c r="G320" s="172"/>
      <c r="H320" s="172"/>
      <c r="I320" s="38">
        <f t="shared" ref="I320:I334" si="62">SUM(F320:H320)</f>
        <v>0</v>
      </c>
      <c r="J320" s="172"/>
      <c r="K320" s="172"/>
      <c r="L320" s="172"/>
      <c r="M320" s="38">
        <f t="shared" ref="M320:M334" si="63">SUM(J320:L320)</f>
        <v>0</v>
      </c>
      <c r="N320" s="172"/>
      <c r="O320" s="172"/>
      <c r="P320" s="172"/>
      <c r="Q320" s="38">
        <f t="shared" ref="Q320:Q334" si="64">SUM(N320:P320)</f>
        <v>0</v>
      </c>
      <c r="R320" s="38">
        <f t="shared" ref="R320:R334" si="65">+E320+I320+M320+Q320</f>
        <v>0</v>
      </c>
    </row>
    <row r="321" spans="1:20" ht="15.75" customHeight="1" x14ac:dyDescent="0.3">
      <c r="A321" s="410" t="s">
        <v>2759</v>
      </c>
      <c r="B321" s="10"/>
      <c r="C321" s="10"/>
      <c r="D321" s="10"/>
      <c r="E321" s="38">
        <f>SUM(B321:D321)</f>
        <v>0</v>
      </c>
      <c r="F321" s="10"/>
      <c r="G321" s="10"/>
      <c r="H321" s="10"/>
      <c r="I321" s="38">
        <f>SUM(F321:H321)</f>
        <v>0</v>
      </c>
      <c r="J321" s="10"/>
      <c r="K321" s="10"/>
      <c r="L321" s="10"/>
      <c r="M321" s="38">
        <f>SUM(J321:L321)</f>
        <v>0</v>
      </c>
      <c r="N321" s="10"/>
      <c r="O321" s="10"/>
      <c r="P321" s="10"/>
      <c r="Q321" s="38">
        <f>SUM(N321:P321)</f>
        <v>0</v>
      </c>
      <c r="R321" s="38">
        <f>+E321+I321+M321+Q321</f>
        <v>0</v>
      </c>
      <c r="T321" t="s">
        <v>131</v>
      </c>
    </row>
    <row r="322" spans="1:20" ht="15.75" customHeight="1" x14ac:dyDescent="0.3">
      <c r="A322" s="311" t="s">
        <v>970</v>
      </c>
      <c r="B322" s="172"/>
      <c r="C322" s="172"/>
      <c r="D322" s="172"/>
      <c r="E322" s="38">
        <f>SUM(B322:D322)</f>
        <v>0</v>
      </c>
      <c r="F322" s="172"/>
      <c r="G322" s="172"/>
      <c r="H322" s="172">
        <v>1250</v>
      </c>
      <c r="I322" s="38">
        <f>SUM(F322:H322)</f>
        <v>1250</v>
      </c>
      <c r="J322" s="172"/>
      <c r="K322" s="172"/>
      <c r="L322" s="172">
        <v>850</v>
      </c>
      <c r="M322" s="38">
        <f>SUM(J322:L322)</f>
        <v>850</v>
      </c>
      <c r="N322" s="172">
        <v>2154</v>
      </c>
      <c r="O322" s="172">
        <v>746</v>
      </c>
      <c r="P322" s="172"/>
      <c r="Q322" s="38">
        <f>SUM(N322:P322)</f>
        <v>2900</v>
      </c>
      <c r="R322" s="38">
        <f>+E322+I322+M322+Q322</f>
        <v>5000</v>
      </c>
      <c r="T322" t="s">
        <v>2176</v>
      </c>
    </row>
    <row r="323" spans="1:20" ht="15.75" customHeight="1" x14ac:dyDescent="0.3">
      <c r="A323" s="410" t="s">
        <v>2593</v>
      </c>
      <c r="B323" s="10"/>
      <c r="C323" s="10"/>
      <c r="D323" s="10"/>
      <c r="E323" s="38">
        <f t="shared" si="61"/>
        <v>0</v>
      </c>
      <c r="F323" s="10"/>
      <c r="G323" s="10"/>
      <c r="H323" s="10"/>
      <c r="I323" s="38">
        <f t="shared" si="62"/>
        <v>0</v>
      </c>
      <c r="J323" s="10"/>
      <c r="K323" s="10"/>
      <c r="L323" s="10"/>
      <c r="M323" s="38">
        <f t="shared" si="63"/>
        <v>0</v>
      </c>
      <c r="N323" s="10"/>
      <c r="O323" s="10"/>
      <c r="P323" s="10"/>
      <c r="Q323" s="38">
        <f t="shared" si="64"/>
        <v>0</v>
      </c>
      <c r="R323" s="38">
        <f>+E323+I323+M323+Q323</f>
        <v>0</v>
      </c>
      <c r="T323" t="s">
        <v>2175</v>
      </c>
    </row>
    <row r="324" spans="1:20" ht="15.75" customHeight="1" x14ac:dyDescent="0.3">
      <c r="A324" s="410" t="s">
        <v>2517</v>
      </c>
      <c r="B324" s="10"/>
      <c r="C324" s="10"/>
      <c r="D324" s="10"/>
      <c r="E324" s="38">
        <f>SUM(B324:D324)</f>
        <v>0</v>
      </c>
      <c r="F324" s="10"/>
      <c r="G324" s="10"/>
      <c r="H324" s="10"/>
      <c r="I324" s="38">
        <f>SUM(F324:H324)</f>
        <v>0</v>
      </c>
      <c r="J324" s="10"/>
      <c r="K324" s="10"/>
      <c r="L324" s="10"/>
      <c r="M324" s="38">
        <f>SUM(J324:L324)</f>
        <v>0</v>
      </c>
      <c r="N324" s="10"/>
      <c r="O324" s="10"/>
      <c r="P324" s="10"/>
      <c r="Q324" s="38">
        <f>SUM(N324:P324)</f>
        <v>0</v>
      </c>
      <c r="R324" s="38">
        <f>+E324+I324+M324+Q324</f>
        <v>0</v>
      </c>
      <c r="T324" t="s">
        <v>2229</v>
      </c>
    </row>
    <row r="325" spans="1:20" ht="15.75" customHeight="1" x14ac:dyDescent="0.3">
      <c r="A325" s="311" t="s">
        <v>375</v>
      </c>
      <c r="B325" s="172"/>
      <c r="C325" s="172"/>
      <c r="D325" s="172"/>
      <c r="E325" s="38">
        <f t="shared" si="61"/>
        <v>0</v>
      </c>
      <c r="F325" s="172"/>
      <c r="G325" s="172"/>
      <c r="H325" s="172"/>
      <c r="I325" s="38">
        <f t="shared" si="62"/>
        <v>0</v>
      </c>
      <c r="J325" s="172"/>
      <c r="K325" s="172"/>
      <c r="L325" s="172"/>
      <c r="M325" s="38">
        <f t="shared" si="63"/>
        <v>0</v>
      </c>
      <c r="N325" s="172"/>
      <c r="O325" s="172"/>
      <c r="P325" s="172"/>
      <c r="Q325" s="38">
        <f t="shared" si="64"/>
        <v>0</v>
      </c>
      <c r="R325" s="38">
        <f t="shared" si="65"/>
        <v>0</v>
      </c>
      <c r="T325" t="s">
        <v>1193</v>
      </c>
    </row>
    <row r="326" spans="1:20" ht="15.75" customHeight="1" x14ac:dyDescent="0.3">
      <c r="A326" s="256" t="s">
        <v>1732</v>
      </c>
      <c r="B326" s="172"/>
      <c r="C326" s="172"/>
      <c r="D326" s="172"/>
      <c r="E326" s="38">
        <f t="shared" si="61"/>
        <v>0</v>
      </c>
      <c r="F326" s="172"/>
      <c r="G326" s="172"/>
      <c r="H326" s="172"/>
      <c r="I326" s="38">
        <f t="shared" si="62"/>
        <v>0</v>
      </c>
      <c r="J326" s="172"/>
      <c r="K326" s="172"/>
      <c r="L326" s="172"/>
      <c r="M326" s="38">
        <f t="shared" si="63"/>
        <v>0</v>
      </c>
      <c r="N326" s="172"/>
      <c r="O326" s="172"/>
      <c r="P326" s="172"/>
      <c r="Q326" s="38">
        <f t="shared" si="64"/>
        <v>0</v>
      </c>
      <c r="R326" s="38">
        <f t="shared" si="65"/>
        <v>0</v>
      </c>
    </row>
    <row r="327" spans="1:20" ht="15.75" customHeight="1" x14ac:dyDescent="0.3">
      <c r="A327" s="410" t="s">
        <v>2771</v>
      </c>
      <c r="B327" s="172"/>
      <c r="C327" s="172"/>
      <c r="D327" s="172"/>
      <c r="E327" s="38">
        <f t="shared" si="61"/>
        <v>0</v>
      </c>
      <c r="F327" s="172"/>
      <c r="G327" s="172"/>
      <c r="H327" s="172"/>
      <c r="I327" s="38">
        <f t="shared" si="62"/>
        <v>0</v>
      </c>
      <c r="J327" s="172"/>
      <c r="K327" s="172"/>
      <c r="L327" s="172"/>
      <c r="M327" s="38">
        <f t="shared" si="63"/>
        <v>0</v>
      </c>
      <c r="N327" s="172"/>
      <c r="O327" s="172"/>
      <c r="P327" s="172"/>
      <c r="Q327" s="38">
        <f t="shared" si="64"/>
        <v>0</v>
      </c>
      <c r="R327" s="38">
        <f t="shared" si="65"/>
        <v>0</v>
      </c>
      <c r="T327" t="s">
        <v>2230</v>
      </c>
    </row>
    <row r="328" spans="1:20" ht="15.75" customHeight="1" x14ac:dyDescent="0.3">
      <c r="A328" s="256" t="s">
        <v>1138</v>
      </c>
      <c r="B328" s="172"/>
      <c r="C328" s="172"/>
      <c r="D328" s="172"/>
      <c r="E328" s="38">
        <f t="shared" si="61"/>
        <v>0</v>
      </c>
      <c r="F328" s="172"/>
      <c r="G328" s="172"/>
      <c r="H328" s="172"/>
      <c r="I328" s="38">
        <f t="shared" si="62"/>
        <v>0</v>
      </c>
      <c r="J328" s="172"/>
      <c r="K328" s="172"/>
      <c r="L328" s="172"/>
      <c r="M328" s="38">
        <f t="shared" si="63"/>
        <v>0</v>
      </c>
      <c r="N328" s="172"/>
      <c r="O328" s="172"/>
      <c r="P328" s="172"/>
      <c r="Q328" s="38">
        <f t="shared" si="64"/>
        <v>0</v>
      </c>
      <c r="R328" s="38">
        <f t="shared" si="65"/>
        <v>0</v>
      </c>
      <c r="T328" t="s">
        <v>2230</v>
      </c>
    </row>
    <row r="329" spans="1:20" ht="15.75" customHeight="1" x14ac:dyDescent="0.3">
      <c r="A329" s="410" t="s">
        <v>2628</v>
      </c>
      <c r="B329" s="172"/>
      <c r="C329" s="172"/>
      <c r="D329" s="172"/>
      <c r="E329" s="38">
        <f t="shared" si="61"/>
        <v>0</v>
      </c>
      <c r="F329" s="172"/>
      <c r="G329" s="172"/>
      <c r="H329" s="172"/>
      <c r="I329" s="38">
        <f t="shared" si="62"/>
        <v>0</v>
      </c>
      <c r="J329" s="172"/>
      <c r="K329" s="172"/>
      <c r="L329" s="172"/>
      <c r="M329" s="38">
        <f t="shared" si="63"/>
        <v>0</v>
      </c>
      <c r="N329" s="172"/>
      <c r="O329" s="172"/>
      <c r="P329" s="172"/>
      <c r="Q329" s="38">
        <f t="shared" si="64"/>
        <v>0</v>
      </c>
      <c r="R329" s="38">
        <f t="shared" si="65"/>
        <v>0</v>
      </c>
      <c r="T329" t="s">
        <v>2175</v>
      </c>
    </row>
    <row r="330" spans="1:20" ht="15.75" customHeight="1" x14ac:dyDescent="0.3">
      <c r="A330" s="256" t="s">
        <v>875</v>
      </c>
      <c r="B330" s="172"/>
      <c r="C330" s="172"/>
      <c r="D330" s="172"/>
      <c r="E330" s="38">
        <f t="shared" si="61"/>
        <v>0</v>
      </c>
      <c r="F330" s="172"/>
      <c r="G330" s="172"/>
      <c r="H330" s="172"/>
      <c r="I330" s="38">
        <f t="shared" si="62"/>
        <v>0</v>
      </c>
      <c r="J330" s="172"/>
      <c r="K330" s="172"/>
      <c r="L330" s="172"/>
      <c r="M330" s="38">
        <f t="shared" si="63"/>
        <v>0</v>
      </c>
      <c r="N330" s="172"/>
      <c r="O330" s="172"/>
      <c r="P330" s="172"/>
      <c r="Q330" s="38">
        <f t="shared" si="64"/>
        <v>0</v>
      </c>
      <c r="R330" s="38">
        <f t="shared" si="65"/>
        <v>0</v>
      </c>
      <c r="T330" t="s">
        <v>1193</v>
      </c>
    </row>
    <row r="331" spans="1:20" ht="15.75" customHeight="1" x14ac:dyDescent="0.3">
      <c r="A331" s="410" t="s">
        <v>2951</v>
      </c>
      <c r="B331" s="172"/>
      <c r="C331" s="172"/>
      <c r="D331" s="172"/>
      <c r="E331" s="38">
        <f t="shared" si="61"/>
        <v>0</v>
      </c>
      <c r="F331" s="172"/>
      <c r="G331" s="172"/>
      <c r="H331" s="172"/>
      <c r="I331" s="38">
        <f t="shared" si="62"/>
        <v>0</v>
      </c>
      <c r="J331" s="172"/>
      <c r="K331" s="172"/>
      <c r="L331" s="172"/>
      <c r="M331" s="38">
        <f t="shared" si="63"/>
        <v>0</v>
      </c>
      <c r="N331" s="172"/>
      <c r="O331" s="172"/>
      <c r="P331" s="172"/>
      <c r="Q331" s="38">
        <f t="shared" si="64"/>
        <v>0</v>
      </c>
      <c r="R331" s="38">
        <f t="shared" si="65"/>
        <v>0</v>
      </c>
      <c r="T331" t="s">
        <v>1193</v>
      </c>
    </row>
    <row r="332" spans="1:20" ht="15.75" customHeight="1" x14ac:dyDescent="0.3">
      <c r="A332" s="311" t="s">
        <v>644</v>
      </c>
      <c r="B332" s="172"/>
      <c r="C332" s="172"/>
      <c r="D332" s="172"/>
      <c r="E332" s="38">
        <f>SUM(B332:D332)</f>
        <v>0</v>
      </c>
      <c r="F332" s="172"/>
      <c r="G332" s="172"/>
      <c r="H332" s="172"/>
      <c r="I332" s="38">
        <f>SUM(F332:H332)</f>
        <v>0</v>
      </c>
      <c r="J332" s="172"/>
      <c r="K332" s="172"/>
      <c r="L332" s="172"/>
      <c r="M332" s="38">
        <f>SUM(J332:L332)</f>
        <v>0</v>
      </c>
      <c r="N332" s="172"/>
      <c r="O332" s="172"/>
      <c r="P332" s="172"/>
      <c r="Q332" s="38">
        <f>SUM(N332:P332)</f>
        <v>0</v>
      </c>
      <c r="R332" s="38">
        <f>+E332+I332+M332+Q332</f>
        <v>0</v>
      </c>
      <c r="T332" t="s">
        <v>1193</v>
      </c>
    </row>
    <row r="333" spans="1:20" ht="15.75" customHeight="1" x14ac:dyDescent="0.3">
      <c r="A333" s="256" t="s">
        <v>231</v>
      </c>
      <c r="B333" s="172"/>
      <c r="C333" s="172"/>
      <c r="D333" s="172"/>
      <c r="E333" s="38">
        <f t="shared" si="61"/>
        <v>0</v>
      </c>
      <c r="F333" s="172"/>
      <c r="G333" s="172"/>
      <c r="H333" s="172"/>
      <c r="I333" s="38">
        <f t="shared" si="62"/>
        <v>0</v>
      </c>
      <c r="J333" s="172"/>
      <c r="K333" s="172"/>
      <c r="L333" s="172"/>
      <c r="M333" s="38">
        <f t="shared" si="63"/>
        <v>0</v>
      </c>
      <c r="N333" s="172"/>
      <c r="O333" s="172"/>
      <c r="P333" s="172"/>
      <c r="Q333" s="38">
        <f t="shared" si="64"/>
        <v>0</v>
      </c>
      <c r="R333" s="38">
        <f t="shared" si="65"/>
        <v>0</v>
      </c>
      <c r="T333" t="s">
        <v>2179</v>
      </c>
    </row>
    <row r="334" spans="1:20" ht="15.75" customHeight="1" x14ac:dyDescent="0.3">
      <c r="A334" s="256" t="s">
        <v>2220</v>
      </c>
      <c r="B334" s="172"/>
      <c r="C334" s="172"/>
      <c r="D334" s="172"/>
      <c r="E334" s="38">
        <f t="shared" si="61"/>
        <v>0</v>
      </c>
      <c r="F334" s="172"/>
      <c r="G334" s="172"/>
      <c r="H334" s="172"/>
      <c r="I334" s="38">
        <f t="shared" si="62"/>
        <v>0</v>
      </c>
      <c r="J334" s="172"/>
      <c r="K334" s="172"/>
      <c r="L334" s="172"/>
      <c r="M334" s="38">
        <f t="shared" si="63"/>
        <v>0</v>
      </c>
      <c r="N334" s="172"/>
      <c r="O334" s="172"/>
      <c r="P334" s="172"/>
      <c r="Q334" s="38">
        <f t="shared" si="64"/>
        <v>0</v>
      </c>
      <c r="R334" s="38">
        <f t="shared" si="65"/>
        <v>0</v>
      </c>
      <c r="T334" t="s">
        <v>1193</v>
      </c>
    </row>
    <row r="335" spans="1:20" ht="15.75" customHeight="1" x14ac:dyDescent="0.3">
      <c r="A335" s="234" t="s">
        <v>2162</v>
      </c>
      <c r="B335" s="172"/>
      <c r="C335" s="172"/>
      <c r="D335" s="172"/>
      <c r="E335" s="38" t="s">
        <v>852</v>
      </c>
      <c r="F335" s="172"/>
      <c r="G335" s="172"/>
      <c r="H335" s="172"/>
      <c r="I335" s="38" t="s">
        <v>852</v>
      </c>
      <c r="J335" s="172"/>
      <c r="K335" s="172"/>
      <c r="L335" s="172"/>
      <c r="M335" s="38" t="s">
        <v>852</v>
      </c>
      <c r="N335" s="172"/>
      <c r="O335" s="172"/>
      <c r="P335" s="172"/>
      <c r="Q335" s="38" t="s">
        <v>852</v>
      </c>
      <c r="R335" s="38" t="s">
        <v>852</v>
      </c>
    </row>
    <row r="336" spans="1:20" ht="15.75" customHeight="1" x14ac:dyDescent="0.3">
      <c r="A336" s="410" t="s">
        <v>2552</v>
      </c>
      <c r="B336" s="10"/>
      <c r="C336" s="10"/>
      <c r="D336" s="10"/>
      <c r="E336" s="38">
        <f>SUM(B336:D336)</f>
        <v>0</v>
      </c>
      <c r="F336" s="10"/>
      <c r="G336" s="10"/>
      <c r="H336" s="10"/>
      <c r="I336" s="38">
        <f>SUM(F336:H336)</f>
        <v>0</v>
      </c>
      <c r="J336" s="10"/>
      <c r="K336" s="10"/>
      <c r="L336" s="10"/>
      <c r="M336" s="38">
        <f>SUM(J336:L336)</f>
        <v>0</v>
      </c>
      <c r="N336" s="10"/>
      <c r="O336" s="10"/>
      <c r="P336" s="10"/>
      <c r="Q336" s="38">
        <f>SUM(N336:P336)</f>
        <v>0</v>
      </c>
      <c r="R336" s="38">
        <f>+E336+I336+M336+Q336</f>
        <v>0</v>
      </c>
      <c r="T336" t="s">
        <v>2174</v>
      </c>
    </row>
    <row r="337" spans="1:39" ht="15.75" customHeight="1" x14ac:dyDescent="0.3">
      <c r="A337" s="410" t="s">
        <v>2553</v>
      </c>
      <c r="B337" s="10"/>
      <c r="C337" s="10"/>
      <c r="D337" s="10"/>
      <c r="E337" s="38">
        <f>SUM(B337:D337)</f>
        <v>0</v>
      </c>
      <c r="F337" s="10">
        <v>3000</v>
      </c>
      <c r="G337" s="10">
        <v>3000</v>
      </c>
      <c r="H337" s="10">
        <v>3000</v>
      </c>
      <c r="I337" s="38">
        <f>SUM(F337:H337)</f>
        <v>9000</v>
      </c>
      <c r="J337" s="10"/>
      <c r="K337" s="10"/>
      <c r="L337" s="10"/>
      <c r="M337" s="38">
        <f>SUM(J337:L337)</f>
        <v>0</v>
      </c>
      <c r="N337" s="10"/>
      <c r="O337" s="10"/>
      <c r="P337" s="10"/>
      <c r="Q337" s="38">
        <f>SUM(N337:P337)</f>
        <v>0</v>
      </c>
      <c r="R337" s="38">
        <f>+E337+I337+M337+Q337</f>
        <v>9000</v>
      </c>
    </row>
    <row r="338" spans="1:39" ht="15.75" customHeight="1" x14ac:dyDescent="0.3">
      <c r="A338" s="410" t="s">
        <v>2554</v>
      </c>
      <c r="B338" s="10"/>
      <c r="C338" s="10"/>
      <c r="D338" s="10"/>
      <c r="E338" s="38">
        <f>SUM(B338:D338)</f>
        <v>0</v>
      </c>
      <c r="F338" s="10"/>
      <c r="G338" s="10">
        <v>2096</v>
      </c>
      <c r="H338" s="10">
        <v>88</v>
      </c>
      <c r="I338" s="38">
        <f>SUM(F338:H338)</f>
        <v>2184</v>
      </c>
      <c r="J338" s="10">
        <v>816</v>
      </c>
      <c r="K338" s="10"/>
      <c r="L338" s="10"/>
      <c r="M338" s="38">
        <f>SUM(J338:L338)</f>
        <v>816</v>
      </c>
      <c r="N338" s="10"/>
      <c r="O338" s="10"/>
      <c r="P338" s="10"/>
      <c r="Q338" s="38">
        <f>SUM(N338:P338)</f>
        <v>0</v>
      </c>
      <c r="R338" s="38">
        <f>+E338+I338+M338+Q338</f>
        <v>3000</v>
      </c>
      <c r="T338" t="s">
        <v>2175</v>
      </c>
    </row>
    <row r="339" spans="1:39" ht="15.75" customHeight="1" x14ac:dyDescent="0.3">
      <c r="A339" s="410" t="s">
        <v>2727</v>
      </c>
      <c r="B339" s="10"/>
      <c r="C339" s="10"/>
      <c r="D339" s="10">
        <v>1000</v>
      </c>
      <c r="E339" s="38">
        <f>SUM(B339:D339)</f>
        <v>1000</v>
      </c>
      <c r="F339" s="10">
        <v>543</v>
      </c>
      <c r="G339" s="10">
        <v>1416</v>
      </c>
      <c r="H339" s="10">
        <v>299</v>
      </c>
      <c r="I339" s="38">
        <f>SUM(F339:H339)</f>
        <v>2258</v>
      </c>
      <c r="J339" s="10">
        <v>77</v>
      </c>
      <c r="K339" s="10">
        <v>1130</v>
      </c>
      <c r="L339" s="10"/>
      <c r="M339" s="38">
        <f>SUM(J339:L339)</f>
        <v>1207</v>
      </c>
      <c r="N339" s="10"/>
      <c r="O339" s="10"/>
      <c r="P339" s="10"/>
      <c r="Q339" s="38">
        <f>SUM(N339:P339)</f>
        <v>0</v>
      </c>
      <c r="R339" s="38">
        <f>+E339+I339+M339+Q339</f>
        <v>4465</v>
      </c>
      <c r="T339" t="s">
        <v>1358</v>
      </c>
    </row>
    <row r="340" spans="1:39" ht="16.5" customHeight="1" thickBot="1" x14ac:dyDescent="0.35">
      <c r="A340" s="234" t="s">
        <v>2164</v>
      </c>
      <c r="B340" s="172"/>
      <c r="C340" s="172"/>
      <c r="D340" s="172"/>
      <c r="E340" s="38" t="s">
        <v>852</v>
      </c>
      <c r="F340" s="172"/>
      <c r="G340" s="172"/>
      <c r="H340" s="172"/>
      <c r="I340" s="38" t="s">
        <v>852</v>
      </c>
      <c r="J340" s="172"/>
      <c r="K340" s="172"/>
      <c r="L340" s="172"/>
      <c r="M340" s="38" t="s">
        <v>852</v>
      </c>
      <c r="N340" s="172"/>
      <c r="O340" s="172"/>
      <c r="P340" s="172"/>
      <c r="Q340" s="38" t="s">
        <v>852</v>
      </c>
      <c r="R340" s="40" t="s">
        <v>852</v>
      </c>
      <c r="V340" t="s">
        <v>3012</v>
      </c>
      <c r="W340" t="s">
        <v>3013</v>
      </c>
    </row>
    <row r="341" spans="1:39" ht="16.5" customHeight="1" thickBot="1" x14ac:dyDescent="0.35">
      <c r="A341" s="276" t="s">
        <v>1218</v>
      </c>
      <c r="B341" s="45">
        <f>SUM(B300:B340)</f>
        <v>1832</v>
      </c>
      <c r="C341" s="46">
        <f>SUM(C300:C340)</f>
        <v>1030</v>
      </c>
      <c r="D341" s="46">
        <f>SUM(D300:D340)</f>
        <v>2968</v>
      </c>
      <c r="E341" s="37">
        <f>SUM(B341:D341)</f>
        <v>5830</v>
      </c>
      <c r="F341" s="46">
        <f>SUM(F300:F340)</f>
        <v>5006</v>
      </c>
      <c r="G341" s="46">
        <f>SUM(G300:G340)</f>
        <v>9600</v>
      </c>
      <c r="H341" s="46">
        <f>SUM(H300:H340)</f>
        <v>12213</v>
      </c>
      <c r="I341" s="37">
        <f>SUM(F341:H341)</f>
        <v>26819</v>
      </c>
      <c r="J341" s="46">
        <f>SUM(J300:J340)</f>
        <v>7693</v>
      </c>
      <c r="K341" s="46">
        <f>SUM(K300:K340)</f>
        <v>7162</v>
      </c>
      <c r="L341" s="46">
        <f>SUM(L300:L340)</f>
        <v>7491</v>
      </c>
      <c r="M341" s="37">
        <f>SUM(J341:L341)</f>
        <v>22346</v>
      </c>
      <c r="N341" s="46">
        <f>SUM(N300:N340)</f>
        <v>9525</v>
      </c>
      <c r="O341" s="46">
        <f>SUM(O300:O340)</f>
        <v>7861</v>
      </c>
      <c r="P341" s="46">
        <f>SUM(P300:P340)</f>
        <v>6719</v>
      </c>
      <c r="Q341" s="37">
        <f>SUM(N341:P341)</f>
        <v>24105</v>
      </c>
      <c r="R341" s="37">
        <f>+E341+I341+M341+Q341</f>
        <v>79100</v>
      </c>
      <c r="T341" s="230"/>
      <c r="V341" t="s">
        <v>2174</v>
      </c>
      <c r="W341" s="695">
        <v>0.18</v>
      </c>
    </row>
    <row r="342" spans="1:39" ht="15.75" customHeight="1" x14ac:dyDescent="0.3">
      <c r="A342" s="234" t="s">
        <v>1172</v>
      </c>
      <c r="B342" s="172"/>
      <c r="C342" s="172"/>
      <c r="D342" s="172"/>
      <c r="E342" s="38" t="s">
        <v>852</v>
      </c>
      <c r="F342" s="172"/>
      <c r="G342" s="172"/>
      <c r="H342" s="172"/>
      <c r="I342" s="38" t="s">
        <v>852</v>
      </c>
      <c r="J342" s="172"/>
      <c r="K342" s="172"/>
      <c r="L342" s="172"/>
      <c r="M342" s="38" t="s">
        <v>852</v>
      </c>
      <c r="N342" s="172"/>
      <c r="O342" s="172"/>
      <c r="P342" s="172"/>
      <c r="Q342" s="38" t="s">
        <v>852</v>
      </c>
      <c r="R342" s="38" t="s">
        <v>852</v>
      </c>
      <c r="V342" t="s">
        <v>500</v>
      </c>
      <c r="W342" s="695">
        <v>0.52</v>
      </c>
    </row>
    <row r="343" spans="1:39" ht="15.75" customHeight="1" x14ac:dyDescent="0.3">
      <c r="A343" s="234" t="s">
        <v>1025</v>
      </c>
      <c r="B343" s="172"/>
      <c r="C343" s="172"/>
      <c r="D343" s="172"/>
      <c r="E343" s="38"/>
      <c r="F343" s="172"/>
      <c r="G343" s="172"/>
      <c r="H343" s="172"/>
      <c r="I343" s="38"/>
      <c r="J343" s="172"/>
      <c r="K343" s="172"/>
      <c r="L343" s="172"/>
      <c r="M343" s="38"/>
      <c r="N343" s="172"/>
      <c r="O343" s="172"/>
      <c r="P343" s="172"/>
      <c r="Q343" s="38"/>
      <c r="R343" s="38"/>
      <c r="V343" t="s">
        <v>505</v>
      </c>
      <c r="W343" s="695">
        <v>0.3</v>
      </c>
    </row>
    <row r="344" spans="1:39" ht="15.75" customHeight="1" thickBot="1" x14ac:dyDescent="0.35">
      <c r="A344" s="234" t="s">
        <v>2409</v>
      </c>
      <c r="B344" s="172"/>
      <c r="C344" s="172"/>
      <c r="D344" s="172"/>
      <c r="E344" s="38" t="s">
        <v>852</v>
      </c>
      <c r="F344" s="172"/>
      <c r="G344" s="172"/>
      <c r="H344" s="172"/>
      <c r="I344" s="38" t="s">
        <v>852</v>
      </c>
      <c r="J344" s="172"/>
      <c r="K344" s="172"/>
      <c r="L344" s="172"/>
      <c r="M344" s="38" t="s">
        <v>852</v>
      </c>
      <c r="N344" s="172"/>
      <c r="O344" s="172"/>
      <c r="P344" s="172"/>
      <c r="Q344" s="38" t="s">
        <v>852</v>
      </c>
      <c r="R344" s="38" t="s">
        <v>852</v>
      </c>
      <c r="W344" s="691">
        <f>+SUM(W341:W343)</f>
        <v>1</v>
      </c>
    </row>
    <row r="345" spans="1:39" s="353" customFormat="1" ht="15.75" customHeight="1" x14ac:dyDescent="0.3">
      <c r="A345" s="690" t="s">
        <v>3000</v>
      </c>
      <c r="B345" s="352"/>
      <c r="C345" s="352"/>
      <c r="D345" s="352"/>
      <c r="E345" s="331">
        <f>SUM(B345:D345)</f>
        <v>0</v>
      </c>
      <c r="F345" s="352"/>
      <c r="G345" s="352"/>
      <c r="H345" s="352"/>
      <c r="I345" s="331">
        <f>SUM(F345:H345)</f>
        <v>0</v>
      </c>
      <c r="J345" s="352"/>
      <c r="K345" s="352"/>
      <c r="L345" s="352"/>
      <c r="M345" s="331">
        <f>SUM(J345:L345)</f>
        <v>0</v>
      </c>
      <c r="N345" s="352"/>
      <c r="O345" s="10"/>
      <c r="P345" s="352"/>
      <c r="Q345" s="331">
        <f>SUM(N345:P345)</f>
        <v>0</v>
      </c>
      <c r="R345" s="331">
        <f t="shared" ref="R345:R353" si="66">+E345+I345+M345+Q345</f>
        <v>0</v>
      </c>
      <c r="V345" s="831" t="s">
        <v>3011</v>
      </c>
      <c r="W345" s="832"/>
      <c r="X345" s="832"/>
      <c r="Y345" s="832"/>
      <c r="Z345" s="832"/>
      <c r="AA345" s="832"/>
      <c r="AB345" s="832"/>
      <c r="AC345" s="832"/>
      <c r="AD345" s="832"/>
      <c r="AE345" s="832"/>
      <c r="AF345" s="832"/>
      <c r="AG345" s="832"/>
      <c r="AH345" s="832"/>
      <c r="AI345" s="832"/>
      <c r="AJ345" s="832"/>
      <c r="AK345" s="832"/>
      <c r="AL345" s="832"/>
      <c r="AM345" s="833"/>
    </row>
    <row r="346" spans="1:39" ht="15.75" customHeight="1" x14ac:dyDescent="0.3">
      <c r="A346" s="256" t="s">
        <v>2099</v>
      </c>
      <c r="B346" s="10">
        <v>148</v>
      </c>
      <c r="C346" s="10">
        <v>18</v>
      </c>
      <c r="D346" s="10">
        <v>2719</v>
      </c>
      <c r="E346" s="38">
        <f>SUM(B346:D346)</f>
        <v>2885</v>
      </c>
      <c r="F346" s="10">
        <v>3025</v>
      </c>
      <c r="G346" s="10">
        <v>1435</v>
      </c>
      <c r="H346" s="10">
        <v>1401</v>
      </c>
      <c r="I346" s="38">
        <f>SUM(F346:H346)</f>
        <v>5861</v>
      </c>
      <c r="J346" s="10">
        <v>1585</v>
      </c>
      <c r="K346" s="10">
        <v>2740</v>
      </c>
      <c r="L346" s="10">
        <v>1812</v>
      </c>
      <c r="M346" s="38">
        <f>SUM(J346:L346)</f>
        <v>6137</v>
      </c>
      <c r="N346" s="10">
        <v>594</v>
      </c>
      <c r="O346" s="172">
        <v>639</v>
      </c>
      <c r="P346" s="10">
        <v>36</v>
      </c>
      <c r="Q346" s="38">
        <f>SUM(N346:P346)</f>
        <v>1269</v>
      </c>
      <c r="R346" s="38">
        <f t="shared" si="66"/>
        <v>16152</v>
      </c>
      <c r="T346" t="s">
        <v>2174</v>
      </c>
      <c r="V346" s="693" t="s">
        <v>2610</v>
      </c>
      <c r="W346" s="18" t="s">
        <v>2090</v>
      </c>
      <c r="X346" s="680" t="s">
        <v>2091</v>
      </c>
      <c r="Y346" s="680" t="s">
        <v>2234</v>
      </c>
      <c r="Z346" s="692" t="s">
        <v>1594</v>
      </c>
      <c r="AA346" s="680" t="s">
        <v>2235</v>
      </c>
      <c r="AB346" s="680" t="s">
        <v>2236</v>
      </c>
      <c r="AC346" s="680" t="s">
        <v>2237</v>
      </c>
      <c r="AD346" s="692" t="s">
        <v>1595</v>
      </c>
      <c r="AE346" s="680" t="s">
        <v>1504</v>
      </c>
      <c r="AF346" s="680" t="s">
        <v>1505</v>
      </c>
      <c r="AG346" s="680" t="s">
        <v>1506</v>
      </c>
      <c r="AH346" s="692" t="s">
        <v>1596</v>
      </c>
      <c r="AI346" s="680" t="s">
        <v>1507</v>
      </c>
      <c r="AJ346" s="680" t="s">
        <v>1508</v>
      </c>
      <c r="AK346" s="680" t="s">
        <v>1509</v>
      </c>
      <c r="AL346" s="692" t="s">
        <v>1597</v>
      </c>
      <c r="AM346" s="694" t="s">
        <v>1510</v>
      </c>
    </row>
    <row r="347" spans="1:39" ht="15.75" customHeight="1" x14ac:dyDescent="0.3">
      <c r="A347" s="256" t="s">
        <v>357</v>
      </c>
      <c r="B347" s="172"/>
      <c r="C347" s="172"/>
      <c r="D347" s="172"/>
      <c r="E347" s="38">
        <f>SUM(B347:D347)</f>
        <v>0</v>
      </c>
      <c r="F347" s="172"/>
      <c r="G347" s="172"/>
      <c r="H347" s="172"/>
      <c r="I347" s="38">
        <f>SUM(F347:H347)</f>
        <v>0</v>
      </c>
      <c r="J347" s="172"/>
      <c r="K347" s="172"/>
      <c r="L347" s="172"/>
      <c r="M347" s="38">
        <f>SUM(J347:L347)</f>
        <v>0</v>
      </c>
      <c r="N347" s="172"/>
      <c r="O347" s="172"/>
      <c r="P347" s="172"/>
      <c r="Q347" s="38">
        <f>SUM(N347:P347)</f>
        <v>0</v>
      </c>
      <c r="R347" s="38">
        <f t="shared" si="66"/>
        <v>0</v>
      </c>
      <c r="T347" t="s">
        <v>2175</v>
      </c>
      <c r="V347" s="579" t="s">
        <v>3014</v>
      </c>
      <c r="W347" s="696">
        <v>1500</v>
      </c>
      <c r="X347" s="696">
        <v>1500</v>
      </c>
      <c r="Y347" s="696">
        <v>6800</v>
      </c>
      <c r="Z347">
        <f>+SUM(W347:Y347)</f>
        <v>9800</v>
      </c>
      <c r="AA347" s="696">
        <f>8000+1500</f>
        <v>9500</v>
      </c>
      <c r="AB347" s="696">
        <f>10000+2000</f>
        <v>12000</v>
      </c>
      <c r="AC347" s="696">
        <f>12000+1500</f>
        <v>13500</v>
      </c>
      <c r="AD347">
        <f>+SUM(AA347:AC347)</f>
        <v>35000</v>
      </c>
      <c r="AE347" s="696">
        <v>25500</v>
      </c>
      <c r="AF347" s="696">
        <v>19000</v>
      </c>
      <c r="AG347" s="696">
        <v>4000</v>
      </c>
      <c r="AH347">
        <f>+SUM(AE347:AG347)</f>
        <v>48500</v>
      </c>
      <c r="AI347" s="696">
        <v>1500</v>
      </c>
      <c r="AJ347" s="696">
        <v>1000</v>
      </c>
      <c r="AK347" s="696">
        <v>1069</v>
      </c>
      <c r="AL347">
        <f>+SUM(AI347:AK347)</f>
        <v>3569</v>
      </c>
      <c r="AM347" s="561">
        <f>+Z347+AD347+AH347+AL347</f>
        <v>96869</v>
      </c>
    </row>
    <row r="348" spans="1:39" ht="15.75" customHeight="1" x14ac:dyDescent="0.3">
      <c r="A348" s="311" t="s">
        <v>909</v>
      </c>
      <c r="B348" s="172">
        <v>1300</v>
      </c>
      <c r="C348" s="172">
        <v>1554</v>
      </c>
      <c r="D348" s="172">
        <v>5897</v>
      </c>
      <c r="E348" s="38">
        <f t="shared" ref="E348:E353" si="67">SUM(B348:D348)</f>
        <v>8751</v>
      </c>
      <c r="F348" s="172">
        <v>7633</v>
      </c>
      <c r="G348" s="172">
        <v>5974</v>
      </c>
      <c r="H348" s="172">
        <v>8030</v>
      </c>
      <c r="I348" s="38">
        <f t="shared" ref="I348:I353" si="68">SUM(F348:H348)</f>
        <v>21637</v>
      </c>
      <c r="J348" s="172">
        <v>1033.9999999999975</v>
      </c>
      <c r="K348" s="172"/>
      <c r="L348" s="172">
        <v>4626</v>
      </c>
      <c r="M348" s="38">
        <f t="shared" ref="M348:M353" si="69">SUM(J348:L348)</f>
        <v>5659.9999999999973</v>
      </c>
      <c r="N348" s="172">
        <v>182</v>
      </c>
      <c r="O348" s="172"/>
      <c r="P348" s="172"/>
      <c r="Q348" s="38">
        <f t="shared" ref="Q348:Q353" si="70">SUM(N348:P348)</f>
        <v>182</v>
      </c>
      <c r="R348" s="38">
        <f t="shared" si="66"/>
        <v>36230</v>
      </c>
      <c r="T348" t="s">
        <v>2776</v>
      </c>
      <c r="V348" s="579" t="s">
        <v>2174</v>
      </c>
      <c r="W348">
        <f>+$W$341*W347</f>
        <v>270</v>
      </c>
      <c r="X348">
        <f>+$W$341*X347</f>
        <v>270</v>
      </c>
      <c r="Y348">
        <f>+$W$341*Y347</f>
        <v>1224</v>
      </c>
      <c r="Z348">
        <f>+SUM(W348:Y348)</f>
        <v>1764</v>
      </c>
      <c r="AA348">
        <f>+$W$341*AA347</f>
        <v>1710</v>
      </c>
      <c r="AB348">
        <f>+$W$341*AB347</f>
        <v>2160</v>
      </c>
      <c r="AC348">
        <f>+$W$341*AC347</f>
        <v>2430</v>
      </c>
      <c r="AD348">
        <f>+SUM(AA348:AC348)</f>
        <v>6300</v>
      </c>
      <c r="AE348">
        <f>+$W$341*AE347</f>
        <v>4590</v>
      </c>
      <c r="AF348">
        <f>+$W$341*AF347</f>
        <v>3420</v>
      </c>
      <c r="AG348">
        <f>+$W$341*AG347</f>
        <v>720</v>
      </c>
      <c r="AH348">
        <f>+SUM(AE348:AG348)</f>
        <v>8730</v>
      </c>
      <c r="AI348">
        <f>+$W$341*AI347</f>
        <v>270</v>
      </c>
      <c r="AJ348">
        <f>+$W$341*AJ347</f>
        <v>180</v>
      </c>
      <c r="AK348">
        <f>+$W$341*AK347</f>
        <v>192.42</v>
      </c>
      <c r="AL348">
        <f>+SUM(AI348:AK348)</f>
        <v>642.41999999999996</v>
      </c>
      <c r="AM348" s="561">
        <f>+Z348+AD348+AH348+AL348</f>
        <v>17436.419999999998</v>
      </c>
    </row>
    <row r="349" spans="1:39" ht="15.75" customHeight="1" x14ac:dyDescent="0.3">
      <c r="A349" s="410" t="s">
        <v>2539</v>
      </c>
      <c r="B349" s="356">
        <v>4653</v>
      </c>
      <c r="C349" s="172">
        <v>3658</v>
      </c>
      <c r="D349" s="172">
        <v>11734</v>
      </c>
      <c r="E349" s="38">
        <f t="shared" si="67"/>
        <v>20045</v>
      </c>
      <c r="F349" s="356">
        <v>15751</v>
      </c>
      <c r="G349" s="172">
        <v>10651</v>
      </c>
      <c r="H349" s="172">
        <v>18261</v>
      </c>
      <c r="I349" s="38">
        <f t="shared" si="68"/>
        <v>44663</v>
      </c>
      <c r="J349" s="172">
        <v>9807</v>
      </c>
      <c r="K349" s="172">
        <v>11318</v>
      </c>
      <c r="L349" s="172">
        <v>7648</v>
      </c>
      <c r="M349" s="38">
        <f t="shared" si="69"/>
        <v>28773</v>
      </c>
      <c r="N349" s="172">
        <v>8618</v>
      </c>
      <c r="O349" s="172">
        <v>6332</v>
      </c>
      <c r="P349" s="172">
        <v>3304</v>
      </c>
      <c r="Q349" s="38">
        <f t="shared" si="70"/>
        <v>18254</v>
      </c>
      <c r="R349" s="38">
        <f t="shared" si="66"/>
        <v>111735</v>
      </c>
      <c r="T349" t="s">
        <v>2174</v>
      </c>
      <c r="V349" s="579" t="s">
        <v>500</v>
      </c>
      <c r="W349">
        <f>+$W$342*W347</f>
        <v>780</v>
      </c>
      <c r="X349">
        <f>+$W$342*X347</f>
        <v>780</v>
      </c>
      <c r="Y349">
        <f>+$W$342*Y347</f>
        <v>3536</v>
      </c>
      <c r="Z349">
        <f>+SUM(W349:Y349)</f>
        <v>5096</v>
      </c>
      <c r="AA349">
        <f>+$W$342*AA347</f>
        <v>4940</v>
      </c>
      <c r="AB349">
        <f>+$W$342*AB347</f>
        <v>6240</v>
      </c>
      <c r="AC349">
        <f>+$W$342*AC347</f>
        <v>7020</v>
      </c>
      <c r="AD349">
        <f>+SUM(AA349:AC349)</f>
        <v>18200</v>
      </c>
      <c r="AE349">
        <f>+$W$342*AE347</f>
        <v>13260</v>
      </c>
      <c r="AF349">
        <f>+$W$342*AF347</f>
        <v>9880</v>
      </c>
      <c r="AG349">
        <f>+$W$342*AG347</f>
        <v>2080</v>
      </c>
      <c r="AH349">
        <f>+SUM(AE349:AG349)</f>
        <v>25220</v>
      </c>
      <c r="AI349">
        <f>+$W$342*AI347</f>
        <v>780</v>
      </c>
      <c r="AJ349">
        <f>+$W$342*AJ347</f>
        <v>520</v>
      </c>
      <c r="AK349">
        <f>+$W$342*AK347</f>
        <v>555.88</v>
      </c>
      <c r="AL349">
        <f>+SUM(AI349:AK349)</f>
        <v>1855.88</v>
      </c>
      <c r="AM349" s="561">
        <f>+Z349+AD349+AH349+AL349</f>
        <v>50371.88</v>
      </c>
    </row>
    <row r="350" spans="1:39" ht="15.75" customHeight="1" x14ac:dyDescent="0.3">
      <c r="A350" s="410" t="s">
        <v>2728</v>
      </c>
      <c r="B350" s="172"/>
      <c r="C350" s="172"/>
      <c r="D350" s="172">
        <v>2096</v>
      </c>
      <c r="E350" s="38">
        <f t="shared" si="67"/>
        <v>2096</v>
      </c>
      <c r="F350" s="172">
        <v>2500</v>
      </c>
      <c r="G350" s="172">
        <v>2729</v>
      </c>
      <c r="H350" s="172"/>
      <c r="I350" s="38">
        <f t="shared" si="68"/>
        <v>5229</v>
      </c>
      <c r="J350" s="172"/>
      <c r="K350" s="172"/>
      <c r="L350" s="172"/>
      <c r="M350" s="38">
        <f>SUM(J350:L350)</f>
        <v>0</v>
      </c>
      <c r="N350" s="172"/>
      <c r="O350" s="172"/>
      <c r="P350" s="172">
        <v>266</v>
      </c>
      <c r="Q350" s="38">
        <f>SUM(N350:P350)</f>
        <v>266</v>
      </c>
      <c r="R350" s="38">
        <f t="shared" si="66"/>
        <v>7591</v>
      </c>
      <c r="T350" t="s">
        <v>2777</v>
      </c>
      <c r="V350" s="579" t="s">
        <v>505</v>
      </c>
      <c r="W350">
        <f>+$W$343*W347</f>
        <v>450</v>
      </c>
      <c r="X350">
        <f>+$W$343*X347</f>
        <v>450</v>
      </c>
      <c r="Y350">
        <f>+$W$343*Y347</f>
        <v>2040</v>
      </c>
      <c r="Z350">
        <f>+SUM(W350:Y350)</f>
        <v>2940</v>
      </c>
      <c r="AA350">
        <f>+$W$343*AA347</f>
        <v>2850</v>
      </c>
      <c r="AB350">
        <f>+$W$343*AB347</f>
        <v>3600</v>
      </c>
      <c r="AC350">
        <f>+$W$343*AC347</f>
        <v>4050</v>
      </c>
      <c r="AD350">
        <f>+SUM(AA350:AC350)</f>
        <v>10500</v>
      </c>
      <c r="AE350">
        <f>+$W$343*AE347</f>
        <v>7650</v>
      </c>
      <c r="AF350">
        <f>+$W$343*AF347</f>
        <v>5700</v>
      </c>
      <c r="AG350">
        <f>+$W$343*AG347</f>
        <v>1200</v>
      </c>
      <c r="AH350">
        <f>+SUM(AE350:AG350)</f>
        <v>14550</v>
      </c>
      <c r="AI350">
        <f>+$W$343*AI347</f>
        <v>450</v>
      </c>
      <c r="AJ350">
        <f>+$W$343*AJ347</f>
        <v>300</v>
      </c>
      <c r="AK350">
        <f>+$W$343*AK347</f>
        <v>320.7</v>
      </c>
      <c r="AL350">
        <f>+$W$343*AL347</f>
        <v>1070.7</v>
      </c>
      <c r="AM350" s="561">
        <f>+Z350+AD350+AH350+AL350</f>
        <v>29060.7</v>
      </c>
    </row>
    <row r="351" spans="1:39" ht="15.75" customHeight="1" thickBot="1" x14ac:dyDescent="0.35">
      <c r="A351" s="410" t="s">
        <v>2814</v>
      </c>
      <c r="B351" s="172">
        <v>664</v>
      </c>
      <c r="C351" s="172">
        <v>1571</v>
      </c>
      <c r="D351" s="172">
        <v>2828</v>
      </c>
      <c r="E351" s="38">
        <f t="shared" si="67"/>
        <v>5063</v>
      </c>
      <c r="F351" s="172">
        <v>2077</v>
      </c>
      <c r="G351" s="172">
        <v>1360</v>
      </c>
      <c r="H351" s="172"/>
      <c r="I351" s="38">
        <f t="shared" si="68"/>
        <v>3437</v>
      </c>
      <c r="J351" s="172"/>
      <c r="K351" s="172"/>
      <c r="L351" s="172"/>
      <c r="M351" s="38">
        <f t="shared" si="69"/>
        <v>0</v>
      </c>
      <c r="N351" s="172"/>
      <c r="O351" s="172"/>
      <c r="P351" s="172"/>
      <c r="Q351" s="38">
        <f t="shared" si="70"/>
        <v>0</v>
      </c>
      <c r="R351" s="38">
        <f t="shared" si="66"/>
        <v>8500</v>
      </c>
      <c r="T351" t="s">
        <v>2175</v>
      </c>
      <c r="V351" s="580"/>
      <c r="W351" s="581"/>
      <c r="X351" s="581"/>
      <c r="Y351" s="581"/>
      <c r="Z351" s="581"/>
      <c r="AA351" s="581"/>
      <c r="AB351" s="581"/>
      <c r="AC351" s="581"/>
      <c r="AD351" s="581"/>
      <c r="AE351" s="581"/>
      <c r="AF351" s="581"/>
      <c r="AG351" s="581"/>
      <c r="AH351" s="581"/>
      <c r="AI351" s="581"/>
      <c r="AJ351" s="581"/>
      <c r="AK351" s="581"/>
      <c r="AL351" s="581"/>
      <c r="AM351" s="565"/>
    </row>
    <row r="352" spans="1:39" ht="15.75" customHeight="1" x14ac:dyDescent="0.3">
      <c r="A352" s="410" t="s">
        <v>2779</v>
      </c>
      <c r="B352" s="172">
        <v>1250</v>
      </c>
      <c r="C352" s="172"/>
      <c r="D352" s="172"/>
      <c r="E352" s="38">
        <f t="shared" si="67"/>
        <v>1250</v>
      </c>
      <c r="F352" s="172"/>
      <c r="G352" s="172"/>
      <c r="H352" s="172"/>
      <c r="I352" s="38">
        <f t="shared" si="68"/>
        <v>0</v>
      </c>
      <c r="J352" s="172"/>
      <c r="K352" s="172"/>
      <c r="L352" s="172"/>
      <c r="M352" s="38">
        <f t="shared" si="69"/>
        <v>0</v>
      </c>
      <c r="N352" s="172"/>
      <c r="O352" s="172"/>
      <c r="P352" s="172">
        <v>3</v>
      </c>
      <c r="Q352" s="38">
        <f t="shared" si="70"/>
        <v>3</v>
      </c>
      <c r="R352" s="38">
        <f t="shared" si="66"/>
        <v>1253</v>
      </c>
      <c r="T352" t="s">
        <v>2178</v>
      </c>
    </row>
    <row r="353" spans="1:20" ht="15.75" customHeight="1" x14ac:dyDescent="0.3">
      <c r="A353" s="256" t="s">
        <v>1513</v>
      </c>
      <c r="B353" s="172"/>
      <c r="C353" s="172"/>
      <c r="D353" s="172">
        <v>17</v>
      </c>
      <c r="E353" s="38">
        <f t="shared" si="67"/>
        <v>17</v>
      </c>
      <c r="F353" s="172"/>
      <c r="G353" s="172"/>
      <c r="H353" s="172">
        <v>162</v>
      </c>
      <c r="I353" s="38">
        <f t="shared" si="68"/>
        <v>162</v>
      </c>
      <c r="J353" s="172">
        <v>93</v>
      </c>
      <c r="K353" s="172">
        <v>2559</v>
      </c>
      <c r="L353" s="172">
        <v>2167</v>
      </c>
      <c r="M353" s="38">
        <f t="shared" si="69"/>
        <v>4819</v>
      </c>
      <c r="N353" s="172">
        <f>37+1362+243+26</f>
        <v>1668</v>
      </c>
      <c r="O353" s="172">
        <f>224+757+81+46</f>
        <v>1108</v>
      </c>
      <c r="P353" s="172">
        <v>839</v>
      </c>
      <c r="Q353" s="38">
        <f t="shared" si="70"/>
        <v>3615</v>
      </c>
      <c r="R353" s="38">
        <f t="shared" si="66"/>
        <v>8613</v>
      </c>
    </row>
    <row r="354" spans="1:20" ht="15.75" customHeight="1" thickBot="1" x14ac:dyDescent="0.35">
      <c r="A354" s="234" t="s">
        <v>2165</v>
      </c>
      <c r="B354" s="172"/>
      <c r="C354" s="172"/>
      <c r="D354" s="172"/>
      <c r="E354" s="38" t="s">
        <v>852</v>
      </c>
      <c r="F354" s="172"/>
      <c r="G354" s="172"/>
      <c r="H354" s="172"/>
      <c r="I354" s="38" t="s">
        <v>852</v>
      </c>
      <c r="J354" s="172"/>
      <c r="K354" s="172"/>
      <c r="L354" s="172"/>
      <c r="M354" s="38" t="s">
        <v>852</v>
      </c>
      <c r="N354" s="172"/>
      <c r="O354" s="172"/>
      <c r="P354" s="172"/>
      <c r="Q354" s="38" t="s">
        <v>852</v>
      </c>
      <c r="R354" s="38" t="s">
        <v>852</v>
      </c>
    </row>
    <row r="355" spans="1:20" ht="16.5" customHeight="1" thickBot="1" x14ac:dyDescent="0.35">
      <c r="A355" s="43" t="s">
        <v>1219</v>
      </c>
      <c r="B355" s="45">
        <f>SUM(B342:B354)</f>
        <v>8015</v>
      </c>
      <c r="C355" s="46">
        <f>SUM(C342:C354)</f>
        <v>6801</v>
      </c>
      <c r="D355" s="46">
        <f>SUM(D342:D354)</f>
        <v>25291</v>
      </c>
      <c r="E355" s="37">
        <f>SUM(B355:D355)</f>
        <v>40107</v>
      </c>
      <c r="F355" s="46">
        <f>SUM(F342:F354)</f>
        <v>30986</v>
      </c>
      <c r="G355" s="46">
        <f>SUM(G342:G354)</f>
        <v>22149</v>
      </c>
      <c r="H355" s="46">
        <f>SUM(H342:H354)</f>
        <v>27854</v>
      </c>
      <c r="I355" s="37">
        <f>SUM(F355:H355)</f>
        <v>80989</v>
      </c>
      <c r="J355" s="46">
        <f>SUM(J342:J354)</f>
        <v>12518.999999999996</v>
      </c>
      <c r="K355" s="46">
        <f>SUM(K342:K354)</f>
        <v>16617</v>
      </c>
      <c r="L355" s="46">
        <f>SUM(L342:L354)</f>
        <v>16253</v>
      </c>
      <c r="M355" s="37">
        <f>SUM(J355:L355)</f>
        <v>45389</v>
      </c>
      <c r="N355" s="46">
        <f>SUM(N342:N354)</f>
        <v>11062</v>
      </c>
      <c r="O355" s="46">
        <f>SUM(O342:O354)</f>
        <v>8079</v>
      </c>
      <c r="P355" s="46">
        <f>SUM(P342:P354)</f>
        <v>4448</v>
      </c>
      <c r="Q355" s="37">
        <f>SUM(N355:P355)</f>
        <v>23589</v>
      </c>
      <c r="R355" s="37">
        <f>+E355+I355+M355+Q355</f>
        <v>190074</v>
      </c>
    </row>
    <row r="356" spans="1:20" ht="15.75" customHeight="1" x14ac:dyDescent="0.3">
      <c r="A356" s="234" t="s">
        <v>2166</v>
      </c>
      <c r="B356" s="172"/>
      <c r="C356" s="172"/>
      <c r="D356" s="172"/>
      <c r="E356" s="38" t="s">
        <v>852</v>
      </c>
      <c r="F356" s="172"/>
      <c r="G356" s="172"/>
      <c r="H356" s="172"/>
      <c r="I356" s="38" t="s">
        <v>852</v>
      </c>
      <c r="J356" s="172"/>
      <c r="K356" s="172"/>
      <c r="L356" s="172"/>
      <c r="M356" s="38" t="s">
        <v>852</v>
      </c>
      <c r="N356" s="172"/>
      <c r="O356" s="172"/>
      <c r="P356" s="172"/>
      <c r="Q356" s="38" t="s">
        <v>852</v>
      </c>
      <c r="R356" s="38" t="s">
        <v>852</v>
      </c>
    </row>
    <row r="357" spans="1:20" ht="15.75" customHeight="1" x14ac:dyDescent="0.3">
      <c r="A357" s="234" t="s">
        <v>1245</v>
      </c>
      <c r="B357" s="172"/>
      <c r="C357" s="172"/>
      <c r="D357" s="172"/>
      <c r="E357" s="38" t="s">
        <v>852</v>
      </c>
      <c r="F357" s="172"/>
      <c r="G357" s="172"/>
      <c r="H357" s="172"/>
      <c r="I357" s="38" t="s">
        <v>852</v>
      </c>
      <c r="J357" s="172"/>
      <c r="K357" s="172"/>
      <c r="L357" s="172"/>
      <c r="M357" s="38" t="s">
        <v>852</v>
      </c>
      <c r="N357" s="172"/>
      <c r="O357" s="172"/>
      <c r="P357" s="172"/>
      <c r="Q357" s="38" t="s">
        <v>852</v>
      </c>
      <c r="R357" s="38" t="s">
        <v>852</v>
      </c>
    </row>
    <row r="358" spans="1:20" ht="15.75" customHeight="1" x14ac:dyDescent="0.3">
      <c r="A358" s="256" t="s">
        <v>727</v>
      </c>
      <c r="B358" s="172">
        <v>2933</v>
      </c>
      <c r="C358" s="172">
        <v>6271</v>
      </c>
      <c r="D358" s="172">
        <v>8022</v>
      </c>
      <c r="E358" s="38">
        <f>SUM(B358:D358)</f>
        <v>17226</v>
      </c>
      <c r="F358" s="172">
        <v>10932</v>
      </c>
      <c r="G358" s="172">
        <v>7992</v>
      </c>
      <c r="H358" s="172">
        <v>10592</v>
      </c>
      <c r="I358" s="38">
        <f>SUM(F358:H358)</f>
        <v>29516</v>
      </c>
      <c r="J358" s="172">
        <v>7140</v>
      </c>
      <c r="K358" s="172">
        <v>6684</v>
      </c>
      <c r="L358" s="172">
        <v>4010</v>
      </c>
      <c r="M358" s="38">
        <f>SUM(J358:L358)</f>
        <v>17834</v>
      </c>
      <c r="N358" s="172">
        <v>3935</v>
      </c>
      <c r="O358" s="172">
        <v>421</v>
      </c>
      <c r="P358" s="172">
        <v>2424</v>
      </c>
      <c r="Q358" s="38">
        <f>SUM(N358:P358)</f>
        <v>6780</v>
      </c>
      <c r="R358" s="38">
        <f>+E358+I358+M358+Q358</f>
        <v>71356</v>
      </c>
      <c r="T358" t="s">
        <v>2174</v>
      </c>
    </row>
    <row r="359" spans="1:20" ht="15.75" customHeight="1" x14ac:dyDescent="0.3">
      <c r="A359" s="410" t="s">
        <v>2618</v>
      </c>
      <c r="B359" s="10">
        <v>3120</v>
      </c>
      <c r="C359" s="10">
        <v>818</v>
      </c>
      <c r="D359" s="10">
        <v>4507</v>
      </c>
      <c r="E359" s="38">
        <f>SUM(B359:D359)</f>
        <v>8445</v>
      </c>
      <c r="F359" s="10">
        <v>8091</v>
      </c>
      <c r="G359" s="10">
        <v>2443</v>
      </c>
      <c r="H359" s="10">
        <v>43</v>
      </c>
      <c r="I359" s="38">
        <f>SUM(F359:H359)</f>
        <v>10577</v>
      </c>
      <c r="J359" s="10">
        <v>2043</v>
      </c>
      <c r="K359" s="10">
        <f>2424+115</f>
        <v>2539</v>
      </c>
      <c r="L359" s="10">
        <v>1247</v>
      </c>
      <c r="M359" s="38">
        <f>SUM(J359:L359)</f>
        <v>5829</v>
      </c>
      <c r="N359" s="10">
        <v>1097</v>
      </c>
      <c r="O359" s="10">
        <v>783</v>
      </c>
      <c r="P359" s="10">
        <v>5257</v>
      </c>
      <c r="Q359" s="38">
        <f>SUM(N359:P359)</f>
        <v>7137</v>
      </c>
      <c r="R359" s="38">
        <f>+E359+I359+M359+Q359</f>
        <v>31988</v>
      </c>
      <c r="T359" t="s">
        <v>2176</v>
      </c>
    </row>
    <row r="360" spans="1:20" ht="15.75" customHeight="1" x14ac:dyDescent="0.3">
      <c r="A360" s="234" t="s">
        <v>1711</v>
      </c>
      <c r="B360" s="172"/>
      <c r="C360" s="172"/>
      <c r="D360" s="172"/>
      <c r="E360" s="38" t="s">
        <v>852</v>
      </c>
      <c r="F360" s="172"/>
      <c r="G360" s="172"/>
      <c r="H360" s="172"/>
      <c r="I360" s="38" t="s">
        <v>852</v>
      </c>
      <c r="J360" s="172"/>
      <c r="K360" s="172"/>
      <c r="L360" s="172"/>
      <c r="M360" s="38" t="s">
        <v>852</v>
      </c>
      <c r="N360" s="172"/>
      <c r="O360" s="172"/>
      <c r="P360" s="172"/>
      <c r="Q360" s="38" t="s">
        <v>852</v>
      </c>
      <c r="R360" s="38" t="s">
        <v>852</v>
      </c>
    </row>
    <row r="361" spans="1:20" ht="15.75" customHeight="1" x14ac:dyDescent="0.3">
      <c r="A361" s="410" t="s">
        <v>3068</v>
      </c>
      <c r="B361" s="10"/>
      <c r="C361" s="10">
        <v>972</v>
      </c>
      <c r="D361" s="10"/>
      <c r="E361" s="38">
        <f>SUM(B361:D361)</f>
        <v>972</v>
      </c>
      <c r="F361" s="10"/>
      <c r="G361" s="10"/>
      <c r="H361" s="10"/>
      <c r="I361" s="38">
        <f t="shared" ref="I361:I394" si="71">SUM(F361:H361)</f>
        <v>0</v>
      </c>
      <c r="J361" s="10"/>
      <c r="K361" s="10"/>
      <c r="L361" s="10"/>
      <c r="M361" s="38">
        <f t="shared" ref="M361:M394" si="72">SUM(J361:L361)</f>
        <v>0</v>
      </c>
      <c r="N361" s="10"/>
      <c r="O361" s="10"/>
      <c r="P361" s="10"/>
      <c r="Q361" s="38">
        <f t="shared" ref="Q361:Q394" si="73">SUM(N361:P361)</f>
        <v>0</v>
      </c>
      <c r="R361" s="38">
        <f>+E361+I361+M361+Q361</f>
        <v>972</v>
      </c>
      <c r="T361" t="s">
        <v>1358</v>
      </c>
    </row>
    <row r="362" spans="1:20" ht="15.75" customHeight="1" x14ac:dyDescent="0.3">
      <c r="A362" s="410" t="s">
        <v>2781</v>
      </c>
      <c r="B362" s="172">
        <v>536</v>
      </c>
      <c r="C362" s="172">
        <v>240</v>
      </c>
      <c r="D362" s="172"/>
      <c r="E362" s="38">
        <f t="shared" ref="E362:E394" si="74">SUM(B362:D362)</f>
        <v>776</v>
      </c>
      <c r="F362" s="172"/>
      <c r="G362" s="172"/>
      <c r="H362" s="172"/>
      <c r="I362" s="38">
        <f t="shared" si="71"/>
        <v>0</v>
      </c>
      <c r="J362" s="172"/>
      <c r="K362" s="172"/>
      <c r="L362" s="172"/>
      <c r="M362" s="38">
        <f t="shared" si="72"/>
        <v>0</v>
      </c>
      <c r="N362" s="172"/>
      <c r="O362" s="172"/>
      <c r="P362" s="172"/>
      <c r="Q362" s="38">
        <f t="shared" si="73"/>
        <v>0</v>
      </c>
      <c r="R362" s="38">
        <f>+E362+I362+M362+Q362</f>
        <v>776</v>
      </c>
      <c r="T362" t="s">
        <v>2780</v>
      </c>
    </row>
    <row r="363" spans="1:20" ht="15.75" customHeight="1" x14ac:dyDescent="0.3">
      <c r="A363" s="410" t="s">
        <v>2782</v>
      </c>
      <c r="B363" s="172"/>
      <c r="C363" s="172"/>
      <c r="D363" s="172"/>
      <c r="E363" s="38">
        <f t="shared" si="74"/>
        <v>0</v>
      </c>
      <c r="F363" s="172"/>
      <c r="G363" s="172"/>
      <c r="H363" s="172"/>
      <c r="I363" s="38">
        <f t="shared" si="71"/>
        <v>0</v>
      </c>
      <c r="J363" s="172"/>
      <c r="K363" s="172"/>
      <c r="L363" s="172"/>
      <c r="M363" s="38">
        <f t="shared" si="72"/>
        <v>0</v>
      </c>
      <c r="N363" s="172"/>
      <c r="O363" s="172"/>
      <c r="P363" s="172"/>
      <c r="Q363" s="38">
        <f t="shared" si="73"/>
        <v>0</v>
      </c>
      <c r="R363" s="38">
        <f>+E363+I363+M363+Q363</f>
        <v>0</v>
      </c>
      <c r="T363" t="s">
        <v>1358</v>
      </c>
    </row>
    <row r="364" spans="1:20" ht="15.75" customHeight="1" x14ac:dyDescent="0.3">
      <c r="A364" s="256" t="s">
        <v>1150</v>
      </c>
      <c r="B364" s="172"/>
      <c r="C364" s="172"/>
      <c r="D364" s="172"/>
      <c r="E364" s="38">
        <f t="shared" si="74"/>
        <v>0</v>
      </c>
      <c r="F364" s="172">
        <v>627</v>
      </c>
      <c r="G364" s="172"/>
      <c r="H364" s="172"/>
      <c r="I364" s="38">
        <f t="shared" si="71"/>
        <v>627</v>
      </c>
      <c r="J364" s="172"/>
      <c r="K364" s="172"/>
      <c r="L364" s="172"/>
      <c r="M364" s="38">
        <f t="shared" si="72"/>
        <v>0</v>
      </c>
      <c r="N364" s="172"/>
      <c r="O364" s="172"/>
      <c r="P364" s="172"/>
      <c r="Q364" s="38">
        <f t="shared" si="73"/>
        <v>0</v>
      </c>
      <c r="R364" s="38">
        <f t="shared" ref="R364:R393" si="75">+E364+I364+M364+Q364</f>
        <v>627</v>
      </c>
    </row>
    <row r="365" spans="1:20" ht="15.75" customHeight="1" x14ac:dyDescent="0.3">
      <c r="A365" s="410" t="s">
        <v>2598</v>
      </c>
      <c r="B365" s="172"/>
      <c r="C365" s="172"/>
      <c r="D365" s="172"/>
      <c r="E365" s="38">
        <f t="shared" si="74"/>
        <v>0</v>
      </c>
      <c r="F365" s="172">
        <v>788</v>
      </c>
      <c r="G365" s="172">
        <v>6384</v>
      </c>
      <c r="H365" s="172">
        <v>6853</v>
      </c>
      <c r="I365" s="38">
        <f t="shared" si="71"/>
        <v>14025</v>
      </c>
      <c r="J365" s="172">
        <v>6690</v>
      </c>
      <c r="K365" s="172">
        <v>2285</v>
      </c>
      <c r="L365" s="172"/>
      <c r="M365" s="38">
        <f t="shared" si="72"/>
        <v>8975</v>
      </c>
      <c r="N365" s="172">
        <v>1324</v>
      </c>
      <c r="O365" s="172">
        <v>2834</v>
      </c>
      <c r="P365" s="172">
        <v>342</v>
      </c>
      <c r="Q365" s="38">
        <f t="shared" si="73"/>
        <v>4500</v>
      </c>
      <c r="R365" s="38">
        <f>+E365+I365+M365+Q365</f>
        <v>27500</v>
      </c>
      <c r="T365" t="s">
        <v>2178</v>
      </c>
    </row>
    <row r="366" spans="1:20" ht="15.75" customHeight="1" x14ac:dyDescent="0.3">
      <c r="A366" s="410" t="s">
        <v>2978</v>
      </c>
      <c r="B366" s="10"/>
      <c r="C366" s="10"/>
      <c r="D366" s="10">
        <v>3000</v>
      </c>
      <c r="E366" s="38">
        <f t="shared" si="74"/>
        <v>3000</v>
      </c>
      <c r="F366" s="10">
        <v>6000</v>
      </c>
      <c r="G366" s="10">
        <v>6000</v>
      </c>
      <c r="H366" s="10">
        <v>3000</v>
      </c>
      <c r="I366" s="38">
        <f t="shared" si="71"/>
        <v>15000</v>
      </c>
      <c r="J366" s="10"/>
      <c r="K366" s="10"/>
      <c r="L366" s="10"/>
      <c r="M366" s="38">
        <f t="shared" si="72"/>
        <v>0</v>
      </c>
      <c r="N366" s="10"/>
      <c r="O366" s="10"/>
      <c r="P366" s="10"/>
      <c r="Q366" s="38">
        <f t="shared" si="73"/>
        <v>0</v>
      </c>
      <c r="R366" s="38">
        <f t="shared" si="75"/>
        <v>18000</v>
      </c>
      <c r="T366" t="s">
        <v>2174</v>
      </c>
    </row>
    <row r="367" spans="1:20" ht="15.75" customHeight="1" x14ac:dyDescent="0.3">
      <c r="A367" s="410" t="s">
        <v>2729</v>
      </c>
      <c r="B367" s="10">
        <v>1032</v>
      </c>
      <c r="C367" s="10">
        <v>1558</v>
      </c>
      <c r="D367" s="10">
        <v>3000</v>
      </c>
      <c r="E367" s="38">
        <f t="shared" si="74"/>
        <v>5590</v>
      </c>
      <c r="F367" s="10">
        <v>2000</v>
      </c>
      <c r="G367" s="10">
        <v>481</v>
      </c>
      <c r="H367" s="10">
        <v>4369</v>
      </c>
      <c r="I367" s="38">
        <f t="shared" si="71"/>
        <v>6850</v>
      </c>
      <c r="J367" s="10">
        <v>8343</v>
      </c>
      <c r="K367" s="10">
        <v>2997</v>
      </c>
      <c r="L367" s="10">
        <v>4323</v>
      </c>
      <c r="M367" s="38">
        <f t="shared" si="72"/>
        <v>15663</v>
      </c>
      <c r="N367" s="10">
        <f>1071+109+1544+1294</f>
        <v>4018</v>
      </c>
      <c r="O367" s="10">
        <f>1118+184+493+699</f>
        <v>2494</v>
      </c>
      <c r="P367" s="10">
        <v>385</v>
      </c>
      <c r="Q367" s="38">
        <f t="shared" si="73"/>
        <v>6897</v>
      </c>
      <c r="R367" s="38">
        <f t="shared" si="75"/>
        <v>35000</v>
      </c>
    </row>
    <row r="368" spans="1:20" ht="15.75" customHeight="1" x14ac:dyDescent="0.3">
      <c r="A368" s="311" t="s">
        <v>464</v>
      </c>
      <c r="B368" s="10"/>
      <c r="C368" s="10">
        <v>2030</v>
      </c>
      <c r="D368" s="10">
        <v>3260</v>
      </c>
      <c r="E368" s="38">
        <f t="shared" si="74"/>
        <v>5290</v>
      </c>
      <c r="F368" s="10">
        <v>7810</v>
      </c>
      <c r="G368" s="10">
        <v>5690</v>
      </c>
      <c r="H368" s="10">
        <v>6320</v>
      </c>
      <c r="I368" s="38">
        <f t="shared" si="71"/>
        <v>19820</v>
      </c>
      <c r="J368" s="10">
        <v>1650</v>
      </c>
      <c r="K368" s="10">
        <v>1240</v>
      </c>
      <c r="L368" s="10"/>
      <c r="M368" s="38">
        <f t="shared" si="72"/>
        <v>2890</v>
      </c>
      <c r="N368" s="10"/>
      <c r="O368" s="10"/>
      <c r="P368" s="10"/>
      <c r="Q368" s="38">
        <f t="shared" si="73"/>
        <v>0</v>
      </c>
      <c r="R368" s="38">
        <f t="shared" si="75"/>
        <v>28000</v>
      </c>
      <c r="T368" t="s">
        <v>2174</v>
      </c>
    </row>
    <row r="369" spans="1:20" ht="15.75" customHeight="1" x14ac:dyDescent="0.3">
      <c r="A369" s="410" t="s">
        <v>1381</v>
      </c>
      <c r="B369" s="10"/>
      <c r="C369" s="10"/>
      <c r="D369" s="10"/>
      <c r="E369" s="38">
        <f>SUM(B369:D369)</f>
        <v>0</v>
      </c>
      <c r="F369" s="10"/>
      <c r="G369" s="10"/>
      <c r="H369" s="10"/>
      <c r="I369" s="38">
        <f t="shared" si="71"/>
        <v>0</v>
      </c>
      <c r="J369" s="10">
        <v>3780</v>
      </c>
      <c r="K369" s="10">
        <v>8470</v>
      </c>
      <c r="L369" s="10"/>
      <c r="M369" s="38">
        <f t="shared" si="72"/>
        <v>12250</v>
      </c>
      <c r="N369" s="10">
        <f>2311+200</f>
        <v>2511</v>
      </c>
      <c r="O369" s="10">
        <f>118+1031</f>
        <v>1149</v>
      </c>
      <c r="P369" s="10">
        <v>2169</v>
      </c>
      <c r="Q369" s="38">
        <f t="shared" si="73"/>
        <v>5829</v>
      </c>
      <c r="R369" s="38">
        <f t="shared" si="75"/>
        <v>18079</v>
      </c>
    </row>
    <row r="370" spans="1:20" ht="15.75" customHeight="1" x14ac:dyDescent="0.3">
      <c r="A370" s="410" t="s">
        <v>2943</v>
      </c>
      <c r="B370" s="10">
        <v>626</v>
      </c>
      <c r="C370" s="10">
        <v>1807</v>
      </c>
      <c r="D370" s="10">
        <v>3680</v>
      </c>
      <c r="E370" s="38">
        <f>SUM(B370:D370)</f>
        <v>6113</v>
      </c>
      <c r="F370" s="10">
        <v>5887</v>
      </c>
      <c r="G370" s="10"/>
      <c r="H370" s="10"/>
      <c r="I370" s="38">
        <f t="shared" si="71"/>
        <v>5887</v>
      </c>
      <c r="J370" s="10"/>
      <c r="K370" s="10"/>
      <c r="L370" s="10"/>
      <c r="M370" s="38">
        <f t="shared" si="72"/>
        <v>0</v>
      </c>
      <c r="N370" s="10"/>
      <c r="O370" s="10"/>
      <c r="P370" s="10"/>
      <c r="Q370" s="38">
        <f t="shared" si="73"/>
        <v>0</v>
      </c>
      <c r="R370" s="38">
        <f t="shared" si="75"/>
        <v>12000</v>
      </c>
    </row>
    <row r="371" spans="1:20" ht="15.75" customHeight="1" x14ac:dyDescent="0.3">
      <c r="A371" s="410" t="s">
        <v>3036</v>
      </c>
      <c r="B371" s="10">
        <v>108</v>
      </c>
      <c r="C371" s="10">
        <v>60</v>
      </c>
      <c r="D371" s="10">
        <v>109</v>
      </c>
      <c r="E371" s="38">
        <f>SUM(B371:D371)</f>
        <v>277</v>
      </c>
      <c r="F371" s="10">
        <v>103</v>
      </c>
      <c r="G371" s="10">
        <v>89</v>
      </c>
      <c r="H371" s="10">
        <v>94</v>
      </c>
      <c r="I371" s="38">
        <f t="shared" si="71"/>
        <v>286</v>
      </c>
      <c r="J371" s="10">
        <v>102</v>
      </c>
      <c r="K371" s="10">
        <v>99</v>
      </c>
      <c r="L371" s="10">
        <v>90</v>
      </c>
      <c r="M371" s="38">
        <f t="shared" si="72"/>
        <v>291</v>
      </c>
      <c r="N371" s="10">
        <v>92</v>
      </c>
      <c r="O371" s="10"/>
      <c r="P371" s="10">
        <v>54</v>
      </c>
      <c r="Q371" s="38">
        <f t="shared" si="73"/>
        <v>146</v>
      </c>
      <c r="R371" s="38">
        <f>+E371+I371+M371+Q371</f>
        <v>1000</v>
      </c>
    </row>
    <row r="372" spans="1:20" ht="15.75" customHeight="1" x14ac:dyDescent="0.3">
      <c r="A372" s="410" t="s">
        <v>2953</v>
      </c>
      <c r="B372" s="10"/>
      <c r="C372" s="10"/>
      <c r="D372" s="10"/>
      <c r="E372" s="38">
        <f>SUM(B372:D372)</f>
        <v>0</v>
      </c>
      <c r="F372" s="10">
        <v>500</v>
      </c>
      <c r="G372" s="10">
        <v>717</v>
      </c>
      <c r="H372" s="10"/>
      <c r="I372" s="38">
        <f t="shared" si="71"/>
        <v>1217</v>
      </c>
      <c r="J372" s="10"/>
      <c r="K372" s="10"/>
      <c r="L372" s="10"/>
      <c r="M372" s="38">
        <f t="shared" si="72"/>
        <v>0</v>
      </c>
      <c r="N372" s="10"/>
      <c r="O372" s="10"/>
      <c r="P372" s="10"/>
      <c r="Q372" s="38">
        <f t="shared" si="73"/>
        <v>0</v>
      </c>
      <c r="R372" s="38">
        <f t="shared" si="75"/>
        <v>1217</v>
      </c>
      <c r="T372" t="s">
        <v>1358</v>
      </c>
    </row>
    <row r="373" spans="1:20" ht="15.75" customHeight="1" x14ac:dyDescent="0.3">
      <c r="A373" s="410" t="s">
        <v>3031</v>
      </c>
      <c r="B373" s="10"/>
      <c r="C373" s="10"/>
      <c r="D373" s="10">
        <v>2</v>
      </c>
      <c r="E373" s="38">
        <f>SUM(B373:D373)</f>
        <v>2</v>
      </c>
      <c r="F373" s="10">
        <v>18</v>
      </c>
      <c r="G373" s="10"/>
      <c r="H373" s="10">
        <v>8</v>
      </c>
      <c r="I373" s="38">
        <f t="shared" si="71"/>
        <v>26</v>
      </c>
      <c r="J373" s="10">
        <v>6</v>
      </c>
      <c r="K373" s="10">
        <v>2</v>
      </c>
      <c r="L373" s="10">
        <v>8</v>
      </c>
      <c r="M373" s="38">
        <f t="shared" si="72"/>
        <v>16</v>
      </c>
      <c r="N373" s="10"/>
      <c r="O373" s="10"/>
      <c r="P373" s="10">
        <v>8</v>
      </c>
      <c r="Q373" s="38">
        <f t="shared" si="73"/>
        <v>8</v>
      </c>
      <c r="R373" s="38">
        <f>+E373+I373+M373+Q373</f>
        <v>52</v>
      </c>
      <c r="T373" t="s">
        <v>131</v>
      </c>
    </row>
    <row r="374" spans="1:20" ht="15.75" customHeight="1" x14ac:dyDescent="0.3">
      <c r="A374" s="410" t="s">
        <v>2959</v>
      </c>
      <c r="B374" s="10">
        <v>368</v>
      </c>
      <c r="C374" s="10">
        <v>1007</v>
      </c>
      <c r="D374" s="10">
        <v>1144</v>
      </c>
      <c r="E374" s="38">
        <f t="shared" si="74"/>
        <v>2519</v>
      </c>
      <c r="F374" s="10">
        <v>1114</v>
      </c>
      <c r="G374" s="10">
        <v>972</v>
      </c>
      <c r="H374" s="10"/>
      <c r="I374" s="38">
        <f t="shared" si="71"/>
        <v>2086</v>
      </c>
      <c r="J374" s="10"/>
      <c r="K374" s="10"/>
      <c r="L374" s="10"/>
      <c r="M374" s="38">
        <f t="shared" si="72"/>
        <v>0</v>
      </c>
      <c r="N374" s="10"/>
      <c r="O374" s="10"/>
      <c r="P374" s="10"/>
      <c r="Q374" s="38">
        <f t="shared" si="73"/>
        <v>0</v>
      </c>
      <c r="R374" s="38">
        <f t="shared" si="75"/>
        <v>4605</v>
      </c>
      <c r="T374" t="s">
        <v>2780</v>
      </c>
    </row>
    <row r="375" spans="1:20" ht="15.75" customHeight="1" x14ac:dyDescent="0.3">
      <c r="A375" s="256" t="s">
        <v>2362</v>
      </c>
      <c r="B375" s="172">
        <v>1979</v>
      </c>
      <c r="C375" s="172">
        <v>1981</v>
      </c>
      <c r="D375" s="172">
        <v>1981</v>
      </c>
      <c r="E375" s="38">
        <f>SUM(B375:D375)</f>
        <v>5941</v>
      </c>
      <c r="F375" s="172">
        <v>1981</v>
      </c>
      <c r="G375" s="172"/>
      <c r="H375" s="172"/>
      <c r="I375" s="38">
        <f t="shared" si="71"/>
        <v>1981</v>
      </c>
      <c r="J375" s="172"/>
      <c r="K375" s="172"/>
      <c r="L375" s="172"/>
      <c r="M375" s="38">
        <f t="shared" si="72"/>
        <v>0</v>
      </c>
      <c r="N375" s="172"/>
      <c r="O375" s="172"/>
      <c r="P375" s="172"/>
      <c r="Q375" s="38">
        <f t="shared" si="73"/>
        <v>0</v>
      </c>
      <c r="R375" s="38">
        <f>+E375+I375+M375+Q375</f>
        <v>7922</v>
      </c>
    </row>
    <row r="376" spans="1:20" ht="15.75" customHeight="1" x14ac:dyDescent="0.3">
      <c r="A376" s="256" t="s">
        <v>2263</v>
      </c>
      <c r="B376" s="172"/>
      <c r="C376" s="172"/>
      <c r="D376" s="172"/>
      <c r="E376" s="38">
        <f>SUM(B376:D376)</f>
        <v>0</v>
      </c>
      <c r="F376" s="172"/>
      <c r="G376" s="172"/>
      <c r="H376" s="172"/>
      <c r="I376" s="38">
        <f t="shared" si="71"/>
        <v>0</v>
      </c>
      <c r="J376" s="172"/>
      <c r="K376" s="172"/>
      <c r="L376" s="172"/>
      <c r="M376" s="38">
        <f t="shared" si="72"/>
        <v>0</v>
      </c>
      <c r="N376" s="172"/>
      <c r="O376" s="172"/>
      <c r="P376" s="172"/>
      <c r="Q376" s="38">
        <f t="shared" si="73"/>
        <v>0</v>
      </c>
      <c r="R376" s="38">
        <f>+E376+I376+M376+Q376</f>
        <v>0</v>
      </c>
    </row>
    <row r="377" spans="1:20" ht="15.75" customHeight="1" x14ac:dyDescent="0.3">
      <c r="A377" s="410" t="s">
        <v>2981</v>
      </c>
      <c r="B377" s="172"/>
      <c r="C377" s="172"/>
      <c r="D377" s="172">
        <v>2000</v>
      </c>
      <c r="E377" s="38">
        <f>SUM(B377:D377)</f>
        <v>2000</v>
      </c>
      <c r="F377" s="172">
        <v>1000</v>
      </c>
      <c r="G377" s="172">
        <v>2000</v>
      </c>
      <c r="H377" s="172">
        <v>1000</v>
      </c>
      <c r="I377" s="38">
        <f t="shared" si="71"/>
        <v>4000</v>
      </c>
      <c r="J377" s="172"/>
      <c r="K377" s="172"/>
      <c r="L377" s="172"/>
      <c r="M377" s="38">
        <f t="shared" si="72"/>
        <v>0</v>
      </c>
      <c r="N377" s="172"/>
      <c r="O377" s="172"/>
      <c r="P377" s="172"/>
      <c r="Q377" s="38">
        <f t="shared" si="73"/>
        <v>0</v>
      </c>
      <c r="R377" s="38">
        <f>+E377+I377+M377+Q377</f>
        <v>6000</v>
      </c>
    </row>
    <row r="378" spans="1:20" ht="15.75" customHeight="1" x14ac:dyDescent="0.3">
      <c r="A378" s="410" t="s">
        <v>2792</v>
      </c>
      <c r="B378" s="172"/>
      <c r="C378" s="172">
        <v>2000</v>
      </c>
      <c r="D378" s="172">
        <v>479</v>
      </c>
      <c r="E378" s="38">
        <f>SUM(B378:D378)</f>
        <v>2479</v>
      </c>
      <c r="F378" s="356">
        <v>1044</v>
      </c>
      <c r="G378" s="172">
        <v>1417</v>
      </c>
      <c r="H378" s="172">
        <v>1600</v>
      </c>
      <c r="I378" s="38">
        <f t="shared" si="71"/>
        <v>4061</v>
      </c>
      <c r="J378" s="172">
        <v>293</v>
      </c>
      <c r="K378" s="172"/>
      <c r="L378" s="172"/>
      <c r="M378" s="38">
        <f t="shared" si="72"/>
        <v>293</v>
      </c>
      <c r="N378" s="172"/>
      <c r="O378" s="172"/>
      <c r="P378" s="172"/>
      <c r="Q378" s="38">
        <f t="shared" si="73"/>
        <v>0</v>
      </c>
      <c r="R378" s="38">
        <f>+E378+I378+M378+Q378</f>
        <v>6833</v>
      </c>
      <c r="T378" t="s">
        <v>1358</v>
      </c>
    </row>
    <row r="379" spans="1:20" ht="15.75" customHeight="1" x14ac:dyDescent="0.3">
      <c r="A379" s="410" t="s">
        <v>2786</v>
      </c>
      <c r="B379" s="10"/>
      <c r="C379" s="10"/>
      <c r="D379" s="10"/>
      <c r="E379" s="38">
        <f t="shared" si="74"/>
        <v>0</v>
      </c>
      <c r="F379" s="10"/>
      <c r="G379" s="10"/>
      <c r="H379" s="10"/>
      <c r="I379" s="38">
        <f t="shared" si="71"/>
        <v>0</v>
      </c>
      <c r="J379" s="10"/>
      <c r="K379" s="10"/>
      <c r="L379" s="10"/>
      <c r="M379" s="38">
        <f t="shared" si="72"/>
        <v>0</v>
      </c>
      <c r="N379" s="10"/>
      <c r="O379" s="10"/>
      <c r="P379" s="10"/>
      <c r="Q379" s="38">
        <f t="shared" si="73"/>
        <v>0</v>
      </c>
      <c r="R379" s="38">
        <f t="shared" si="75"/>
        <v>0</v>
      </c>
      <c r="T379" t="s">
        <v>2777</v>
      </c>
    </row>
    <row r="380" spans="1:20" ht="15.75" customHeight="1" x14ac:dyDescent="0.3">
      <c r="A380" s="410" t="s">
        <v>2787</v>
      </c>
      <c r="B380" s="172"/>
      <c r="C380" s="172"/>
      <c r="D380" s="172"/>
      <c r="E380" s="38">
        <f>SUM(B380:D380)</f>
        <v>0</v>
      </c>
      <c r="F380" s="172">
        <v>1498</v>
      </c>
      <c r="G380" s="172"/>
      <c r="H380" s="172">
        <v>917</v>
      </c>
      <c r="I380" s="38">
        <f t="shared" si="71"/>
        <v>2415</v>
      </c>
      <c r="J380" s="172">
        <v>917</v>
      </c>
      <c r="K380" s="172">
        <f>2639+146</f>
        <v>2785</v>
      </c>
      <c r="L380" s="172">
        <f>2190+41</f>
        <v>2231</v>
      </c>
      <c r="M380" s="38">
        <f t="shared" si="72"/>
        <v>5933</v>
      </c>
      <c r="N380" s="172">
        <f>1102+59</f>
        <v>1161</v>
      </c>
      <c r="O380" s="172">
        <f>631+6</f>
        <v>637</v>
      </c>
      <c r="P380" s="172">
        <v>854</v>
      </c>
      <c r="Q380" s="38">
        <f t="shared" si="73"/>
        <v>2652</v>
      </c>
      <c r="R380" s="38">
        <f t="shared" si="75"/>
        <v>11000</v>
      </c>
      <c r="T380" t="s">
        <v>2175</v>
      </c>
    </row>
    <row r="381" spans="1:20" ht="15.75" customHeight="1" x14ac:dyDescent="0.3">
      <c r="A381" s="410" t="s">
        <v>2788</v>
      </c>
      <c r="B381" s="10"/>
      <c r="C381" s="10"/>
      <c r="D381" s="10"/>
      <c r="E381" s="38">
        <f>SUM(B381:D381)</f>
        <v>0</v>
      </c>
      <c r="F381" s="10"/>
      <c r="G381" s="10"/>
      <c r="H381" s="10"/>
      <c r="I381" s="38">
        <f t="shared" si="71"/>
        <v>0</v>
      </c>
      <c r="J381" s="10"/>
      <c r="K381" s="10"/>
      <c r="L381" s="10"/>
      <c r="M381" s="38">
        <f t="shared" si="72"/>
        <v>0</v>
      </c>
      <c r="N381" s="10"/>
      <c r="O381" s="10"/>
      <c r="P381" s="10"/>
      <c r="Q381" s="38">
        <f t="shared" si="73"/>
        <v>0</v>
      </c>
      <c r="R381" s="38">
        <f>+E381+I381+M381+Q381</f>
        <v>0</v>
      </c>
      <c r="T381" t="s">
        <v>2780</v>
      </c>
    </row>
    <row r="382" spans="1:20" ht="15.75" customHeight="1" x14ac:dyDescent="0.3">
      <c r="A382" s="410" t="s">
        <v>2789</v>
      </c>
      <c r="B382" s="10"/>
      <c r="C382" s="10"/>
      <c r="D382" s="10"/>
      <c r="E382" s="38">
        <f>SUM(B382:D382)</f>
        <v>0</v>
      </c>
      <c r="F382" s="10"/>
      <c r="G382" s="10"/>
      <c r="H382" s="10"/>
      <c r="I382" s="38">
        <f t="shared" si="71"/>
        <v>0</v>
      </c>
      <c r="J382" s="10"/>
      <c r="K382" s="10"/>
      <c r="L382" s="10"/>
      <c r="M382" s="38">
        <f t="shared" si="72"/>
        <v>0</v>
      </c>
      <c r="N382" s="10"/>
      <c r="O382" s="10"/>
      <c r="P382" s="10"/>
      <c r="Q382" s="38">
        <f t="shared" si="73"/>
        <v>0</v>
      </c>
      <c r="R382" s="38">
        <f>+E382+I382+M382+Q382</f>
        <v>0</v>
      </c>
      <c r="T382" t="s">
        <v>1358</v>
      </c>
    </row>
    <row r="383" spans="1:20" ht="15.75" customHeight="1" x14ac:dyDescent="0.3">
      <c r="A383" s="410" t="s">
        <v>3042</v>
      </c>
      <c r="B383" s="10"/>
      <c r="C383" s="10"/>
      <c r="D383" s="10"/>
      <c r="E383" s="38">
        <f>SUM(B383:D383)</f>
        <v>0</v>
      </c>
      <c r="F383" s="10"/>
      <c r="G383" s="10"/>
      <c r="H383" s="10"/>
      <c r="I383" s="38">
        <f t="shared" si="71"/>
        <v>0</v>
      </c>
      <c r="J383" s="10"/>
      <c r="K383" s="10"/>
      <c r="L383" s="10"/>
      <c r="M383" s="38">
        <f t="shared" si="72"/>
        <v>0</v>
      </c>
      <c r="N383" s="10"/>
      <c r="O383" s="10"/>
      <c r="P383" s="10"/>
      <c r="Q383" s="38">
        <f t="shared" si="73"/>
        <v>0</v>
      </c>
      <c r="R383" s="38">
        <f>+E383+I383+M383+Q383</f>
        <v>0</v>
      </c>
      <c r="T383" t="s">
        <v>2780</v>
      </c>
    </row>
    <row r="384" spans="1:20" ht="15.75" customHeight="1" x14ac:dyDescent="0.3">
      <c r="A384" s="410" t="s">
        <v>2941</v>
      </c>
      <c r="B384" s="172"/>
      <c r="C384" s="172"/>
      <c r="D384" s="172"/>
      <c r="E384" s="38">
        <f t="shared" si="74"/>
        <v>0</v>
      </c>
      <c r="F384" s="172"/>
      <c r="G384" s="172"/>
      <c r="H384" s="172">
        <v>169</v>
      </c>
      <c r="I384" s="38">
        <f t="shared" si="71"/>
        <v>169</v>
      </c>
      <c r="J384" s="172">
        <v>1122</v>
      </c>
      <c r="K384" s="172">
        <v>1127</v>
      </c>
      <c r="L384" s="172">
        <v>454</v>
      </c>
      <c r="M384" s="38">
        <f t="shared" si="72"/>
        <v>2703</v>
      </c>
      <c r="N384" s="172"/>
      <c r="O384" s="172"/>
      <c r="P384" s="172"/>
      <c r="Q384" s="38">
        <f t="shared" si="73"/>
        <v>0</v>
      </c>
      <c r="R384" s="38">
        <f t="shared" si="75"/>
        <v>2872</v>
      </c>
      <c r="T384" t="s">
        <v>2780</v>
      </c>
    </row>
    <row r="385" spans="1:20" ht="15.75" customHeight="1" x14ac:dyDescent="0.3">
      <c r="A385" s="410" t="s">
        <v>2711</v>
      </c>
      <c r="B385" s="172"/>
      <c r="C385" s="172"/>
      <c r="D385" s="172"/>
      <c r="E385" s="38">
        <f>SUM(B385:D385)</f>
        <v>0</v>
      </c>
      <c r="F385" s="172"/>
      <c r="G385" s="172"/>
      <c r="H385" s="172"/>
      <c r="I385" s="38">
        <f t="shared" si="71"/>
        <v>0</v>
      </c>
      <c r="J385" s="172"/>
      <c r="K385" s="172"/>
      <c r="L385" s="172"/>
      <c r="M385" s="38">
        <f t="shared" si="72"/>
        <v>0</v>
      </c>
      <c r="N385" s="172"/>
      <c r="O385" s="172"/>
      <c r="P385" s="172"/>
      <c r="Q385" s="38">
        <f t="shared" si="73"/>
        <v>0</v>
      </c>
      <c r="R385" s="38">
        <f t="shared" si="75"/>
        <v>0</v>
      </c>
      <c r="T385" t="s">
        <v>1358</v>
      </c>
    </row>
    <row r="386" spans="1:20" ht="15.75" customHeight="1" x14ac:dyDescent="0.3">
      <c r="A386" s="256" t="s">
        <v>1097</v>
      </c>
      <c r="B386" s="172"/>
      <c r="C386" s="10"/>
      <c r="D386" s="10"/>
      <c r="E386" s="38">
        <f t="shared" si="74"/>
        <v>0</v>
      </c>
      <c r="F386" s="172"/>
      <c r="G386" s="172">
        <v>1669</v>
      </c>
      <c r="H386" s="172"/>
      <c r="I386" s="38">
        <f t="shared" si="71"/>
        <v>1669</v>
      </c>
      <c r="J386" s="172"/>
      <c r="K386" s="172"/>
      <c r="L386" s="172"/>
      <c r="M386" s="38">
        <f t="shared" si="72"/>
        <v>0</v>
      </c>
      <c r="N386" s="172"/>
      <c r="O386" s="172"/>
      <c r="P386" s="172"/>
      <c r="Q386" s="38">
        <f t="shared" si="73"/>
        <v>0</v>
      </c>
      <c r="R386" s="38">
        <f t="shared" si="75"/>
        <v>1669</v>
      </c>
    </row>
    <row r="387" spans="1:20" ht="15.75" customHeight="1" x14ac:dyDescent="0.3">
      <c r="A387" s="410" t="s">
        <v>3043</v>
      </c>
      <c r="B387" s="172"/>
      <c r="C387" s="10"/>
      <c r="D387" s="10"/>
      <c r="E387" s="38">
        <f>SUM(B387:D387)</f>
        <v>0</v>
      </c>
      <c r="F387" s="172"/>
      <c r="G387" s="172">
        <v>289</v>
      </c>
      <c r="H387" s="172"/>
      <c r="I387" s="38">
        <f t="shared" si="71"/>
        <v>289</v>
      </c>
      <c r="J387" s="172"/>
      <c r="K387" s="172"/>
      <c r="L387" s="172"/>
      <c r="M387" s="38">
        <f t="shared" si="72"/>
        <v>0</v>
      </c>
      <c r="N387" s="172"/>
      <c r="O387" s="172"/>
      <c r="P387" s="172"/>
      <c r="Q387" s="38">
        <f t="shared" si="73"/>
        <v>0</v>
      </c>
      <c r="R387" s="38">
        <f>+E387+I387+M387+Q387</f>
        <v>289</v>
      </c>
    </row>
    <row r="388" spans="1:20" ht="15.75" customHeight="1" x14ac:dyDescent="0.3">
      <c r="A388" s="410" t="s">
        <v>2745</v>
      </c>
      <c r="B388" s="10"/>
      <c r="C388" s="10"/>
      <c r="D388" s="10"/>
      <c r="E388" s="38">
        <f t="shared" si="74"/>
        <v>0</v>
      </c>
      <c r="F388" s="10"/>
      <c r="G388" s="10">
        <v>188</v>
      </c>
      <c r="H388" s="356"/>
      <c r="I388" s="38">
        <f t="shared" si="71"/>
        <v>188</v>
      </c>
      <c r="J388" s="10">
        <v>400</v>
      </c>
      <c r="K388" s="10">
        <v>1156</v>
      </c>
      <c r="L388" s="10"/>
      <c r="M388" s="38">
        <f t="shared" si="72"/>
        <v>1556</v>
      </c>
      <c r="N388" s="10"/>
      <c r="O388" s="10"/>
      <c r="P388" s="10"/>
      <c r="Q388" s="38">
        <f t="shared" si="73"/>
        <v>0</v>
      </c>
      <c r="R388" s="38">
        <f t="shared" si="75"/>
        <v>1744</v>
      </c>
      <c r="T388" t="s">
        <v>2780</v>
      </c>
    </row>
    <row r="389" spans="1:20" ht="15.75" customHeight="1" x14ac:dyDescent="0.3">
      <c r="A389" s="410" t="s">
        <v>2268</v>
      </c>
      <c r="B389" s="10"/>
      <c r="C389" s="10">
        <v>38</v>
      </c>
      <c r="D389" s="10">
        <v>478</v>
      </c>
      <c r="E389" s="38">
        <f>SUM(B389:D389)</f>
        <v>516</v>
      </c>
      <c r="F389" s="10">
        <v>1043</v>
      </c>
      <c r="G389" s="10"/>
      <c r="H389" s="10"/>
      <c r="I389" s="38">
        <f t="shared" si="71"/>
        <v>1043</v>
      </c>
      <c r="J389" s="10"/>
      <c r="K389" s="10"/>
      <c r="L389" s="10"/>
      <c r="M389" s="38">
        <f t="shared" si="72"/>
        <v>0</v>
      </c>
      <c r="N389" s="10"/>
      <c r="O389" s="10"/>
      <c r="P389" s="10"/>
      <c r="Q389" s="38">
        <f t="shared" si="73"/>
        <v>0</v>
      </c>
      <c r="R389" s="38">
        <f>+E389+I389+M389+Q389</f>
        <v>1559</v>
      </c>
      <c r="T389" t="s">
        <v>1358</v>
      </c>
    </row>
    <row r="390" spans="1:20" ht="15.75" customHeight="1" x14ac:dyDescent="0.3">
      <c r="A390" s="410" t="s">
        <v>2783</v>
      </c>
      <c r="B390" s="172"/>
      <c r="C390" s="172">
        <v>774</v>
      </c>
      <c r="D390" s="172">
        <v>1142</v>
      </c>
      <c r="E390" s="38">
        <f t="shared" si="74"/>
        <v>1916</v>
      </c>
      <c r="F390" s="172">
        <v>1096</v>
      </c>
      <c r="G390" s="172">
        <v>1124</v>
      </c>
      <c r="H390" s="172">
        <v>900</v>
      </c>
      <c r="I390" s="38">
        <f t="shared" si="71"/>
        <v>3120</v>
      </c>
      <c r="J390" s="172"/>
      <c r="K390" s="172"/>
      <c r="L390" s="172"/>
      <c r="M390" s="38">
        <f t="shared" si="72"/>
        <v>0</v>
      </c>
      <c r="N390" s="172"/>
      <c r="O390" s="172"/>
      <c r="P390" s="172"/>
      <c r="Q390" s="38">
        <f t="shared" si="73"/>
        <v>0</v>
      </c>
      <c r="R390" s="38">
        <f t="shared" si="75"/>
        <v>5036</v>
      </c>
      <c r="T390" t="s">
        <v>2780</v>
      </c>
    </row>
    <row r="391" spans="1:20" ht="15.75" customHeight="1" x14ac:dyDescent="0.3">
      <c r="A391" s="410" t="s">
        <v>2784</v>
      </c>
      <c r="B391" s="172"/>
      <c r="C391" s="172"/>
      <c r="D391" s="172"/>
      <c r="E391" s="38">
        <f t="shared" si="74"/>
        <v>0</v>
      </c>
      <c r="F391" s="172"/>
      <c r="G391" s="172"/>
      <c r="H391" s="172"/>
      <c r="I391" s="38">
        <f t="shared" si="71"/>
        <v>0</v>
      </c>
      <c r="J391" s="172"/>
      <c r="K391" s="172"/>
      <c r="L391" s="172"/>
      <c r="M391" s="38">
        <f t="shared" si="72"/>
        <v>0</v>
      </c>
      <c r="N391" s="172"/>
      <c r="O391" s="172"/>
      <c r="P391" s="172"/>
      <c r="Q391" s="38">
        <f t="shared" si="73"/>
        <v>0</v>
      </c>
      <c r="R391" s="38">
        <f t="shared" si="75"/>
        <v>0</v>
      </c>
      <c r="T391" t="s">
        <v>1358</v>
      </c>
    </row>
    <row r="392" spans="1:20" ht="15.75" customHeight="1" x14ac:dyDescent="0.3">
      <c r="A392" s="256" t="s">
        <v>101</v>
      </c>
      <c r="B392" s="172"/>
      <c r="C392" s="172"/>
      <c r="D392" s="172"/>
      <c r="E392" s="38">
        <f t="shared" si="74"/>
        <v>0</v>
      </c>
      <c r="F392" s="172"/>
      <c r="G392" s="172"/>
      <c r="H392" s="172"/>
      <c r="I392" s="38">
        <f t="shared" si="71"/>
        <v>0</v>
      </c>
      <c r="J392" s="172"/>
      <c r="K392" s="172"/>
      <c r="L392" s="172"/>
      <c r="M392" s="38">
        <f t="shared" si="72"/>
        <v>0</v>
      </c>
      <c r="N392" s="172"/>
      <c r="O392" s="172"/>
      <c r="P392" s="172"/>
      <c r="Q392" s="38">
        <f t="shared" si="73"/>
        <v>0</v>
      </c>
      <c r="R392" s="38">
        <f t="shared" si="75"/>
        <v>0</v>
      </c>
    </row>
    <row r="393" spans="1:20" ht="15.75" customHeight="1" thickBot="1" x14ac:dyDescent="0.35">
      <c r="A393" s="256" t="s">
        <v>2717</v>
      </c>
      <c r="B393" s="172">
        <v>1478</v>
      </c>
      <c r="C393" s="172">
        <v>990</v>
      </c>
      <c r="D393" s="172">
        <v>2000</v>
      </c>
      <c r="E393" s="38">
        <f>SUM(B393:D393)</f>
        <v>4468</v>
      </c>
      <c r="F393" s="172">
        <v>1389</v>
      </c>
      <c r="G393" s="172"/>
      <c r="H393" s="172">
        <v>2096</v>
      </c>
      <c r="I393" s="38">
        <f t="shared" si="71"/>
        <v>3485</v>
      </c>
      <c r="J393" s="172">
        <v>2000</v>
      </c>
      <c r="K393" s="172">
        <v>7047</v>
      </c>
      <c r="L393" s="172">
        <v>2000</v>
      </c>
      <c r="M393" s="38">
        <f t="shared" si="72"/>
        <v>11047</v>
      </c>
      <c r="N393" s="172">
        <v>2000</v>
      </c>
      <c r="O393" s="172"/>
      <c r="P393" s="172">
        <v>4000</v>
      </c>
      <c r="Q393" s="38">
        <f t="shared" si="73"/>
        <v>6000</v>
      </c>
      <c r="R393" s="38">
        <f t="shared" si="75"/>
        <v>25000</v>
      </c>
    </row>
    <row r="394" spans="1:20" ht="16.5" customHeight="1" thickBot="1" x14ac:dyDescent="0.35">
      <c r="A394" s="277" t="s">
        <v>1220</v>
      </c>
      <c r="B394" s="47">
        <f>SUM(B356:B393)</f>
        <v>12180</v>
      </c>
      <c r="C394" s="42">
        <f>SUM(C356:C393)</f>
        <v>20546</v>
      </c>
      <c r="D394" s="42">
        <f>SUM(D356:D393)</f>
        <v>34804</v>
      </c>
      <c r="E394" s="37">
        <f t="shared" si="74"/>
        <v>67530</v>
      </c>
      <c r="F394" s="42">
        <f>SUM(F356:F393)</f>
        <v>52921</v>
      </c>
      <c r="G394" s="42">
        <f>SUM(G356:G393)</f>
        <v>37455</v>
      </c>
      <c r="H394" s="42">
        <f>SUM(H356:H393)</f>
        <v>37961</v>
      </c>
      <c r="I394" s="37">
        <f t="shared" si="71"/>
        <v>128337</v>
      </c>
      <c r="J394" s="42">
        <f>SUM(J356:J393)</f>
        <v>34486</v>
      </c>
      <c r="K394" s="42">
        <f>SUM(K356:K393)</f>
        <v>36431</v>
      </c>
      <c r="L394" s="42">
        <f>SUM(L356:L393)</f>
        <v>14363</v>
      </c>
      <c r="M394" s="37">
        <f t="shared" si="72"/>
        <v>85280</v>
      </c>
      <c r="N394" s="42">
        <f>SUM(N356:N393)</f>
        <v>16138</v>
      </c>
      <c r="O394" s="42">
        <f>SUM(O356:O393)</f>
        <v>8318</v>
      </c>
      <c r="P394" s="42">
        <f>SUM(P356:P393)</f>
        <v>15493</v>
      </c>
      <c r="Q394" s="37">
        <f t="shared" si="73"/>
        <v>39949</v>
      </c>
      <c r="R394" s="37">
        <f>+E394+I394+M394+Q394</f>
        <v>321096</v>
      </c>
      <c r="T394" s="230"/>
    </row>
    <row r="395" spans="1:20" ht="15.75" customHeight="1" x14ac:dyDescent="0.3">
      <c r="A395" s="234" t="s">
        <v>1712</v>
      </c>
      <c r="B395" s="172"/>
      <c r="C395" s="172"/>
      <c r="D395" s="172"/>
      <c r="E395" s="38" t="s">
        <v>852</v>
      </c>
      <c r="F395" s="172"/>
      <c r="G395" s="172"/>
      <c r="H395" s="172"/>
      <c r="I395" s="38" t="s">
        <v>852</v>
      </c>
      <c r="J395" s="172"/>
      <c r="K395" s="172"/>
      <c r="L395" s="172"/>
      <c r="M395" s="38" t="s">
        <v>852</v>
      </c>
      <c r="N395" s="172"/>
      <c r="O395" s="172"/>
      <c r="P395" s="172"/>
      <c r="Q395" s="38" t="s">
        <v>852</v>
      </c>
      <c r="R395" s="38" t="s">
        <v>852</v>
      </c>
    </row>
    <row r="396" spans="1:20" ht="15.75" customHeight="1" x14ac:dyDescent="0.3">
      <c r="A396" s="234" t="s">
        <v>1021</v>
      </c>
      <c r="B396" s="172"/>
      <c r="C396" s="172"/>
      <c r="D396" s="172"/>
      <c r="E396" s="38" t="s">
        <v>852</v>
      </c>
      <c r="F396" s="172"/>
      <c r="G396" s="172"/>
      <c r="H396" s="172"/>
      <c r="I396" s="38" t="s">
        <v>852</v>
      </c>
      <c r="J396" s="172"/>
      <c r="K396" s="172"/>
      <c r="L396" s="172"/>
      <c r="M396" s="38" t="s">
        <v>852</v>
      </c>
      <c r="N396" s="172"/>
      <c r="O396" s="172"/>
      <c r="P396" s="172"/>
      <c r="Q396" s="38" t="s">
        <v>852</v>
      </c>
      <c r="R396" s="38" t="s">
        <v>852</v>
      </c>
    </row>
    <row r="397" spans="1:20" ht="15.75" customHeight="1" x14ac:dyDescent="0.3">
      <c r="A397" s="410" t="s">
        <v>2746</v>
      </c>
      <c r="B397" s="172"/>
      <c r="C397" s="172"/>
      <c r="D397" s="172"/>
      <c r="E397" s="38">
        <f>SUM(B397:D397)</f>
        <v>0</v>
      </c>
      <c r="F397" s="172"/>
      <c r="G397" s="172"/>
      <c r="H397" s="172"/>
      <c r="I397" s="38">
        <f>SUM(F397:H397)</f>
        <v>0</v>
      </c>
      <c r="J397" s="172"/>
      <c r="K397" s="172">
        <v>979</v>
      </c>
      <c r="L397" s="172"/>
      <c r="M397" s="38">
        <f>SUM(J397:L397)</f>
        <v>979</v>
      </c>
      <c r="N397" s="172"/>
      <c r="O397" s="172"/>
      <c r="P397" s="172"/>
      <c r="Q397" s="38">
        <f>SUM(N397:P397)</f>
        <v>0</v>
      </c>
      <c r="R397" s="38">
        <f>+E397+I397+M397+Q397</f>
        <v>979</v>
      </c>
    </row>
    <row r="398" spans="1:20" ht="15.75" customHeight="1" x14ac:dyDescent="0.3">
      <c r="A398" s="234" t="s">
        <v>557</v>
      </c>
      <c r="B398" s="172"/>
      <c r="C398" s="172"/>
      <c r="D398" s="172"/>
      <c r="E398" s="38" t="s">
        <v>852</v>
      </c>
      <c r="F398" s="172"/>
      <c r="G398" s="172"/>
      <c r="H398" s="172"/>
      <c r="I398" s="38" t="s">
        <v>852</v>
      </c>
      <c r="J398" s="172"/>
      <c r="K398" s="172"/>
      <c r="L398" s="172"/>
      <c r="M398" s="38" t="s">
        <v>852</v>
      </c>
      <c r="N398" s="172"/>
      <c r="O398" s="172"/>
      <c r="P398" s="172"/>
      <c r="Q398" s="38" t="s">
        <v>852</v>
      </c>
      <c r="R398" s="38" t="s">
        <v>852</v>
      </c>
    </row>
    <row r="399" spans="1:20" ht="15.75" customHeight="1" x14ac:dyDescent="0.3">
      <c r="A399" s="410" t="s">
        <v>2566</v>
      </c>
      <c r="B399" s="172"/>
      <c r="C399" s="172"/>
      <c r="D399" s="172"/>
      <c r="E399" s="38">
        <f>SUM(B399:D399)</f>
        <v>0</v>
      </c>
      <c r="F399" s="172"/>
      <c r="G399" s="172"/>
      <c r="H399" s="172"/>
      <c r="I399" s="38">
        <f>SUM(F399:H399)</f>
        <v>0</v>
      </c>
      <c r="J399" s="172"/>
      <c r="K399" s="172"/>
      <c r="L399" s="172"/>
      <c r="M399" s="38">
        <f>SUM(J399:L399)</f>
        <v>0</v>
      </c>
      <c r="N399" s="172"/>
      <c r="O399" s="172"/>
      <c r="P399" s="172"/>
      <c r="Q399" s="38">
        <f>SUM(N399:P399)</f>
        <v>0</v>
      </c>
      <c r="R399" s="38">
        <f>+E399+I399+M399+Q399</f>
        <v>0</v>
      </c>
    </row>
    <row r="400" spans="1:20" ht="15.75" customHeight="1" x14ac:dyDescent="0.3">
      <c r="A400" s="410" t="s">
        <v>2657</v>
      </c>
      <c r="B400" s="172"/>
      <c r="C400" s="172"/>
      <c r="D400" s="172"/>
      <c r="E400" s="38">
        <f>SUM(B400:D400)</f>
        <v>0</v>
      </c>
      <c r="F400" s="172"/>
      <c r="G400" s="172">
        <v>1416</v>
      </c>
      <c r="H400" s="172">
        <v>584</v>
      </c>
      <c r="I400" s="38">
        <f>SUM(F400:H400)</f>
        <v>2000</v>
      </c>
      <c r="J400" s="172"/>
      <c r="K400" s="172">
        <v>1150</v>
      </c>
      <c r="L400" s="172">
        <v>5459</v>
      </c>
      <c r="M400" s="38">
        <f>SUM(J400:L400)</f>
        <v>6609</v>
      </c>
      <c r="N400" s="172"/>
      <c r="O400" s="172"/>
      <c r="P400" s="172"/>
      <c r="Q400" s="38">
        <f>SUM(N400:P400)</f>
        <v>0</v>
      </c>
      <c r="R400" s="38">
        <f>+E400+I400+M400+Q400</f>
        <v>8609</v>
      </c>
    </row>
    <row r="401" spans="1:20" ht="15.75" customHeight="1" x14ac:dyDescent="0.3">
      <c r="A401" s="234" t="s">
        <v>1022</v>
      </c>
      <c r="B401" s="172"/>
      <c r="C401" s="172"/>
      <c r="D401" s="172"/>
      <c r="E401" s="38" t="s">
        <v>852</v>
      </c>
      <c r="F401" s="172"/>
      <c r="G401" s="172"/>
      <c r="H401" s="172"/>
      <c r="I401" s="38" t="s">
        <v>852</v>
      </c>
      <c r="J401" s="172"/>
      <c r="K401" s="172"/>
      <c r="L401" s="172"/>
      <c r="M401" s="38" t="s">
        <v>852</v>
      </c>
      <c r="N401" s="172"/>
      <c r="O401" s="172"/>
      <c r="P401" s="172"/>
      <c r="Q401" s="38" t="s">
        <v>852</v>
      </c>
      <c r="R401" s="38" t="s">
        <v>852</v>
      </c>
    </row>
    <row r="402" spans="1:20" ht="15.75" customHeight="1" x14ac:dyDescent="0.3">
      <c r="A402" s="256" t="s">
        <v>2486</v>
      </c>
      <c r="B402" s="172"/>
      <c r="C402" s="172"/>
      <c r="D402" s="172"/>
      <c r="E402" s="38">
        <f t="shared" ref="E402:E407" si="76">SUM(B402:D402)</f>
        <v>0</v>
      </c>
      <c r="F402" s="172"/>
      <c r="G402" s="172"/>
      <c r="H402" s="172"/>
      <c r="I402" s="38">
        <f t="shared" ref="I402:I407" si="77">SUM(F402:H402)</f>
        <v>0</v>
      </c>
      <c r="J402" s="172"/>
      <c r="K402" s="172"/>
      <c r="L402" s="172"/>
      <c r="M402" s="38">
        <f t="shared" ref="M402:M407" si="78">SUM(J402:L402)</f>
        <v>0</v>
      </c>
      <c r="N402" s="172"/>
      <c r="O402" s="172"/>
      <c r="P402" s="172"/>
      <c r="Q402" s="38">
        <f t="shared" ref="Q402:Q407" si="79">SUM(N402:P402)</f>
        <v>0</v>
      </c>
      <c r="R402" s="38">
        <f t="shared" ref="R402:R407" si="80">+E402+I402+M402+Q402</f>
        <v>0</v>
      </c>
      <c r="T402" t="s">
        <v>2178</v>
      </c>
    </row>
    <row r="403" spans="1:20" ht="15.75" customHeight="1" x14ac:dyDescent="0.3">
      <c r="A403" s="311" t="s">
        <v>1374</v>
      </c>
      <c r="B403" s="10"/>
      <c r="C403" s="10"/>
      <c r="D403" s="10"/>
      <c r="E403" s="38">
        <f t="shared" si="76"/>
        <v>0</v>
      </c>
      <c r="F403" s="10"/>
      <c r="G403" s="10"/>
      <c r="H403" s="10"/>
      <c r="I403" s="38">
        <f t="shared" si="77"/>
        <v>0</v>
      </c>
      <c r="J403" s="10"/>
      <c r="K403" s="10">
        <v>3509</v>
      </c>
      <c r="L403" s="10">
        <v>2485</v>
      </c>
      <c r="M403" s="38">
        <f t="shared" si="78"/>
        <v>5994</v>
      </c>
      <c r="N403" s="10">
        <v>2439</v>
      </c>
      <c r="O403" s="10"/>
      <c r="P403" s="10"/>
      <c r="Q403" s="38">
        <f t="shared" si="79"/>
        <v>2439</v>
      </c>
      <c r="R403" s="38">
        <f t="shared" si="80"/>
        <v>8433</v>
      </c>
      <c r="T403" t="s">
        <v>2178</v>
      </c>
    </row>
    <row r="404" spans="1:20" ht="15.75" customHeight="1" x14ac:dyDescent="0.3">
      <c r="A404" s="256" t="s">
        <v>1866</v>
      </c>
      <c r="B404" s="172"/>
      <c r="C404" s="172"/>
      <c r="D404" s="172"/>
      <c r="E404" s="38">
        <f t="shared" si="76"/>
        <v>0</v>
      </c>
      <c r="F404" s="172"/>
      <c r="G404" s="172"/>
      <c r="H404" s="172">
        <v>1000</v>
      </c>
      <c r="I404" s="38">
        <f t="shared" si="77"/>
        <v>1000</v>
      </c>
      <c r="J404" s="172"/>
      <c r="K404" s="172"/>
      <c r="L404" s="172"/>
      <c r="M404" s="38">
        <f t="shared" si="78"/>
        <v>0</v>
      </c>
      <c r="N404" s="172"/>
      <c r="O404" s="172"/>
      <c r="P404" s="172"/>
      <c r="Q404" s="38">
        <f t="shared" si="79"/>
        <v>0</v>
      </c>
      <c r="R404" s="38">
        <f t="shared" si="80"/>
        <v>1000</v>
      </c>
      <c r="T404" t="s">
        <v>2175</v>
      </c>
    </row>
    <row r="405" spans="1:20" ht="15.75" customHeight="1" x14ac:dyDescent="0.3">
      <c r="A405" s="256" t="s">
        <v>2340</v>
      </c>
      <c r="B405" s="172"/>
      <c r="C405" s="172"/>
      <c r="D405" s="172"/>
      <c r="E405" s="38">
        <f t="shared" si="76"/>
        <v>0</v>
      </c>
      <c r="F405" s="172"/>
      <c r="G405" s="172"/>
      <c r="H405" s="172"/>
      <c r="I405" s="38">
        <f t="shared" si="77"/>
        <v>0</v>
      </c>
      <c r="J405" s="172"/>
      <c r="K405" s="172"/>
      <c r="L405" s="172"/>
      <c r="M405" s="38">
        <f t="shared" si="78"/>
        <v>0</v>
      </c>
      <c r="N405" s="172"/>
      <c r="O405" s="172"/>
      <c r="P405" s="172"/>
      <c r="Q405" s="38">
        <f t="shared" si="79"/>
        <v>0</v>
      </c>
      <c r="R405" s="38">
        <f t="shared" si="80"/>
        <v>0</v>
      </c>
    </row>
    <row r="406" spans="1:20" ht="15.75" customHeight="1" x14ac:dyDescent="0.3">
      <c r="A406" s="311" t="s">
        <v>1376</v>
      </c>
      <c r="B406" s="10"/>
      <c r="C406" s="10"/>
      <c r="D406" s="10"/>
      <c r="E406" s="38">
        <f t="shared" si="76"/>
        <v>0</v>
      </c>
      <c r="F406" s="10"/>
      <c r="G406" s="10"/>
      <c r="H406" s="10"/>
      <c r="I406" s="38">
        <f t="shared" si="77"/>
        <v>0</v>
      </c>
      <c r="J406" s="10"/>
      <c r="K406" s="10"/>
      <c r="L406" s="10"/>
      <c r="M406" s="38">
        <f t="shared" si="78"/>
        <v>0</v>
      </c>
      <c r="N406" s="10"/>
      <c r="O406" s="10"/>
      <c r="P406" s="10"/>
      <c r="Q406" s="38">
        <f t="shared" si="79"/>
        <v>0</v>
      </c>
      <c r="R406" s="38">
        <f t="shared" si="80"/>
        <v>0</v>
      </c>
    </row>
    <row r="407" spans="1:20" ht="15.75" customHeight="1" x14ac:dyDescent="0.3">
      <c r="A407" s="311" t="s">
        <v>1227</v>
      </c>
      <c r="B407" s="10"/>
      <c r="C407" s="10"/>
      <c r="D407" s="10"/>
      <c r="E407" s="38">
        <f t="shared" si="76"/>
        <v>0</v>
      </c>
      <c r="F407" s="10"/>
      <c r="G407" s="10"/>
      <c r="H407" s="10"/>
      <c r="I407" s="38">
        <f t="shared" si="77"/>
        <v>0</v>
      </c>
      <c r="J407" s="10"/>
      <c r="K407" s="10"/>
      <c r="L407" s="10"/>
      <c r="M407" s="38">
        <f t="shared" si="78"/>
        <v>0</v>
      </c>
      <c r="N407" s="10"/>
      <c r="O407" s="10"/>
      <c r="P407" s="10"/>
      <c r="Q407" s="38">
        <f t="shared" si="79"/>
        <v>0</v>
      </c>
      <c r="R407" s="38">
        <f t="shared" si="80"/>
        <v>0</v>
      </c>
      <c r="T407" t="s">
        <v>2178</v>
      </c>
    </row>
    <row r="408" spans="1:20" ht="15.75" customHeight="1" x14ac:dyDescent="0.3">
      <c r="A408" s="234" t="s">
        <v>559</v>
      </c>
      <c r="B408" s="172"/>
      <c r="C408" s="172"/>
      <c r="D408" s="172"/>
      <c r="E408" s="38" t="s">
        <v>852</v>
      </c>
      <c r="F408" s="172"/>
      <c r="G408" s="172"/>
      <c r="H408" s="172"/>
      <c r="I408" s="38" t="s">
        <v>852</v>
      </c>
      <c r="J408" s="172"/>
      <c r="K408" s="172"/>
      <c r="L408" s="172"/>
      <c r="M408" s="38" t="s">
        <v>852</v>
      </c>
      <c r="N408" s="172"/>
      <c r="O408" s="172"/>
      <c r="P408" s="172"/>
      <c r="Q408" s="38" t="s">
        <v>852</v>
      </c>
      <c r="R408" s="38" t="s">
        <v>852</v>
      </c>
    </row>
    <row r="409" spans="1:20" ht="15.75" customHeight="1" x14ac:dyDescent="0.3">
      <c r="A409" s="410" t="s">
        <v>2936</v>
      </c>
      <c r="B409" s="10"/>
      <c r="C409" s="10"/>
      <c r="D409" s="10"/>
      <c r="E409" s="38">
        <f>SUM(B409:D409)</f>
        <v>0</v>
      </c>
      <c r="F409" s="10"/>
      <c r="G409" s="10"/>
      <c r="H409" s="10"/>
      <c r="I409" s="38">
        <f>SUM(F409:H409)</f>
        <v>0</v>
      </c>
      <c r="J409" s="10"/>
      <c r="K409" s="10"/>
      <c r="L409" s="10"/>
      <c r="M409" s="38">
        <f>SUM(J409:L409)</f>
        <v>0</v>
      </c>
      <c r="N409" s="10"/>
      <c r="O409" s="10"/>
      <c r="P409" s="10"/>
      <c r="Q409" s="38">
        <f>SUM(N409:P409)</f>
        <v>0</v>
      </c>
      <c r="R409" s="38">
        <f>+E409+I409+M409+Q409</f>
        <v>0</v>
      </c>
      <c r="T409" t="s">
        <v>2174</v>
      </c>
    </row>
    <row r="410" spans="1:20" ht="15.75" customHeight="1" x14ac:dyDescent="0.3">
      <c r="A410" s="410" t="s">
        <v>2832</v>
      </c>
      <c r="B410" s="172"/>
      <c r="C410" s="172"/>
      <c r="D410" s="172"/>
      <c r="E410" s="38">
        <f>SUM(B410:D410)</f>
        <v>0</v>
      </c>
      <c r="F410" s="172"/>
      <c r="G410" s="172"/>
      <c r="H410" s="172"/>
      <c r="I410" s="38">
        <f>SUM(F410:H410)</f>
        <v>0</v>
      </c>
      <c r="J410" s="172"/>
      <c r="K410" s="172"/>
      <c r="L410" s="172"/>
      <c r="M410" s="38">
        <f>SUM(J410:L410)</f>
        <v>0</v>
      </c>
      <c r="N410" s="172"/>
      <c r="O410" s="172"/>
      <c r="P410" s="172"/>
      <c r="Q410" s="38">
        <f>SUM(N410:P410)</f>
        <v>0</v>
      </c>
      <c r="R410" s="38">
        <f>+E410+I410+M410+Q410</f>
        <v>0</v>
      </c>
      <c r="T410" t="s">
        <v>2174</v>
      </c>
    </row>
    <row r="411" spans="1:20" ht="15.75" customHeight="1" x14ac:dyDescent="0.3">
      <c r="A411" s="410" t="s">
        <v>2569</v>
      </c>
      <c r="B411" s="172"/>
      <c r="C411" s="172"/>
      <c r="D411" s="172"/>
      <c r="E411" s="38">
        <f>SUM(B411:D411)</f>
        <v>0</v>
      </c>
      <c r="F411" s="172"/>
      <c r="G411" s="172"/>
      <c r="H411" s="172"/>
      <c r="I411" s="38">
        <f>SUM(F411:H411)</f>
        <v>0</v>
      </c>
      <c r="J411" s="172"/>
      <c r="K411" s="172"/>
      <c r="L411" s="172"/>
      <c r="M411" s="38">
        <f>SUM(J411:L411)</f>
        <v>0</v>
      </c>
      <c r="N411" s="172"/>
      <c r="O411" s="172"/>
      <c r="P411" s="172"/>
      <c r="Q411" s="38">
        <f>SUM(N411:P411)</f>
        <v>0</v>
      </c>
      <c r="R411" s="38">
        <f>+E411+I411+M411+Q411</f>
        <v>0</v>
      </c>
    </row>
    <row r="412" spans="1:20" ht="15.75" customHeight="1" x14ac:dyDescent="0.3">
      <c r="A412" s="410" t="s">
        <v>2570</v>
      </c>
      <c r="B412" s="172"/>
      <c r="C412" s="172"/>
      <c r="D412" s="172"/>
      <c r="E412" s="38">
        <f t="shared" ref="E412:E422" si="81">SUM(B412:D412)</f>
        <v>0</v>
      </c>
      <c r="F412" s="172"/>
      <c r="G412" s="172"/>
      <c r="H412" s="172"/>
      <c r="I412" s="38">
        <f t="shared" ref="I412:I422" si="82">SUM(F412:H412)</f>
        <v>0</v>
      </c>
      <c r="J412" s="172">
        <v>3200</v>
      </c>
      <c r="K412" s="172"/>
      <c r="L412" s="172"/>
      <c r="M412" s="38">
        <f t="shared" ref="M412:M422" si="83">SUM(J412:L412)</f>
        <v>3200</v>
      </c>
      <c r="N412" s="172"/>
      <c r="O412" s="172"/>
      <c r="P412" s="172">
        <v>500</v>
      </c>
      <c r="Q412" s="38">
        <f t="shared" ref="Q412:Q422" si="84">SUM(N412:P412)</f>
        <v>500</v>
      </c>
      <c r="R412" s="38">
        <f t="shared" ref="R412:R422" si="85">+E412+I412+M412+Q412</f>
        <v>3700</v>
      </c>
    </row>
    <row r="413" spans="1:20" ht="15.75" customHeight="1" x14ac:dyDescent="0.3">
      <c r="A413" s="410" t="s">
        <v>2571</v>
      </c>
      <c r="B413" s="172"/>
      <c r="C413" s="172"/>
      <c r="D413" s="172"/>
      <c r="E413" s="38">
        <f>SUM(B413:D413)</f>
        <v>0</v>
      </c>
      <c r="F413" s="172"/>
      <c r="G413" s="172"/>
      <c r="H413" s="172"/>
      <c r="I413" s="38">
        <f>SUM(F413:H413)</f>
        <v>0</v>
      </c>
      <c r="J413" s="172"/>
      <c r="K413" s="172"/>
      <c r="L413" s="172"/>
      <c r="M413" s="38">
        <f>SUM(J413:L413)</f>
        <v>0</v>
      </c>
      <c r="N413" s="172"/>
      <c r="O413" s="172"/>
      <c r="P413" s="172"/>
      <c r="Q413" s="38">
        <f>SUM(N413:P413)</f>
        <v>0</v>
      </c>
      <c r="R413" s="38">
        <f>+E413+I413+M413+Q413</f>
        <v>0</v>
      </c>
    </row>
    <row r="414" spans="1:20" ht="15.75" customHeight="1" x14ac:dyDescent="0.3">
      <c r="A414" s="410" t="s">
        <v>2572</v>
      </c>
      <c r="B414" s="10">
        <v>200</v>
      </c>
      <c r="C414" s="10">
        <v>300</v>
      </c>
      <c r="D414" s="10">
        <v>900</v>
      </c>
      <c r="E414" s="38">
        <f>SUM(B414:D414)</f>
        <v>1400</v>
      </c>
      <c r="F414" s="10">
        <v>900</v>
      </c>
      <c r="G414" s="10">
        <v>900</v>
      </c>
      <c r="H414" s="10"/>
      <c r="I414" s="38">
        <f>SUM(F414:H414)</f>
        <v>1800</v>
      </c>
      <c r="J414" s="10"/>
      <c r="K414" s="10"/>
      <c r="L414" s="10"/>
      <c r="M414" s="38">
        <f>SUM(J414:L414)</f>
        <v>0</v>
      </c>
      <c r="N414" s="172">
        <v>1000</v>
      </c>
      <c r="O414" s="172"/>
      <c r="P414" s="172"/>
      <c r="Q414" s="38">
        <f>SUM(N414:P414)</f>
        <v>1000</v>
      </c>
      <c r="R414" s="38">
        <f>+E414+I414+M414+Q414</f>
        <v>4200</v>
      </c>
      <c r="T414" t="s">
        <v>2174</v>
      </c>
    </row>
    <row r="415" spans="1:20" ht="15.75" customHeight="1" x14ac:dyDescent="0.3">
      <c r="A415" s="410" t="s">
        <v>2573</v>
      </c>
      <c r="B415" s="10"/>
      <c r="C415" s="10"/>
      <c r="D415" s="10"/>
      <c r="E415" s="38">
        <f>SUM(B415:D415)</f>
        <v>0</v>
      </c>
      <c r="F415" s="10"/>
      <c r="G415" s="10"/>
      <c r="H415" s="10"/>
      <c r="I415" s="38">
        <f>SUM(F415:H415)</f>
        <v>0</v>
      </c>
      <c r="J415" s="10"/>
      <c r="K415" s="10"/>
      <c r="L415" s="10"/>
      <c r="M415" s="38">
        <f>SUM(J415:L415)</f>
        <v>0</v>
      </c>
      <c r="N415" s="172"/>
      <c r="O415" s="172"/>
      <c r="P415" s="172"/>
      <c r="Q415" s="38">
        <f>SUM(N415:P415)</f>
        <v>0</v>
      </c>
      <c r="R415" s="38">
        <f>+E415+I415+M415+Q415</f>
        <v>0</v>
      </c>
    </row>
    <row r="416" spans="1:20" ht="15.75" customHeight="1" thickBot="1" x14ac:dyDescent="0.35">
      <c r="A416" s="410" t="s">
        <v>2574</v>
      </c>
      <c r="B416" s="10"/>
      <c r="C416" s="10"/>
      <c r="D416" s="10"/>
      <c r="E416" s="38">
        <f>SUM(B416:D416)</f>
        <v>0</v>
      </c>
      <c r="F416" s="10"/>
      <c r="G416" s="10"/>
      <c r="H416" s="10">
        <v>1800</v>
      </c>
      <c r="I416" s="38">
        <f>SUM(F416:H416)</f>
        <v>1800</v>
      </c>
      <c r="J416" s="10">
        <v>1334</v>
      </c>
      <c r="K416" s="10"/>
      <c r="L416" s="10"/>
      <c r="M416" s="38">
        <f>SUM(J416:L416)</f>
        <v>1334</v>
      </c>
      <c r="N416" s="10"/>
      <c r="O416" s="10"/>
      <c r="P416" s="10">
        <v>464</v>
      </c>
      <c r="Q416" s="38">
        <f>SUM(N416:P416)</f>
        <v>464</v>
      </c>
      <c r="R416" s="38">
        <f>+E416+I416+M416+Q416</f>
        <v>3598</v>
      </c>
      <c r="T416" t="s">
        <v>2175</v>
      </c>
    </row>
    <row r="417" spans="1:18" ht="16.5" customHeight="1" thickBot="1" x14ac:dyDescent="0.35">
      <c r="A417" s="43" t="s">
        <v>1019</v>
      </c>
      <c r="B417" s="42">
        <f>SUM(B401:B416)</f>
        <v>200</v>
      </c>
      <c r="C417" s="42">
        <f>SUM(C401:C416)</f>
        <v>300</v>
      </c>
      <c r="D417" s="42">
        <f>SUM(D401:D416)</f>
        <v>900</v>
      </c>
      <c r="E417" s="39">
        <f t="shared" si="81"/>
        <v>1400</v>
      </c>
      <c r="F417" s="42">
        <f>SUM(F401:F416)</f>
        <v>900</v>
      </c>
      <c r="G417" s="42">
        <f>SUM(G401:G416)</f>
        <v>900</v>
      </c>
      <c r="H417" s="42">
        <f>SUM(H401:H416)</f>
        <v>2800</v>
      </c>
      <c r="I417" s="39">
        <f t="shared" si="82"/>
        <v>4600</v>
      </c>
      <c r="J417" s="42">
        <f>SUM(J401:J416)</f>
        <v>4534</v>
      </c>
      <c r="K417" s="42">
        <f>SUM(K401:K416)</f>
        <v>3509</v>
      </c>
      <c r="L417" s="42">
        <f>SUM(L401:L416)</f>
        <v>2485</v>
      </c>
      <c r="M417" s="39">
        <f t="shared" si="83"/>
        <v>10528</v>
      </c>
      <c r="N417" s="42">
        <f>SUM(N401:N416)</f>
        <v>3439</v>
      </c>
      <c r="O417" s="42">
        <f>SUM(O401:O416)</f>
        <v>0</v>
      </c>
      <c r="P417" s="42">
        <f>SUM(P401:P416)</f>
        <v>964</v>
      </c>
      <c r="Q417" s="39">
        <f t="shared" si="84"/>
        <v>4403</v>
      </c>
      <c r="R417" s="37">
        <f t="shared" si="85"/>
        <v>20931</v>
      </c>
    </row>
    <row r="418" spans="1:18" ht="16.5" customHeight="1" thickBot="1" x14ac:dyDescent="0.35">
      <c r="A418" s="277" t="s">
        <v>1221</v>
      </c>
      <c r="B418" s="45">
        <f>SUM(B395:B416)</f>
        <v>200</v>
      </c>
      <c r="C418" s="46">
        <f>SUM(C395:C416)</f>
        <v>300</v>
      </c>
      <c r="D418" s="58">
        <f>SUM(D395:D416)</f>
        <v>900</v>
      </c>
      <c r="E418" s="39">
        <f t="shared" si="81"/>
        <v>1400</v>
      </c>
      <c r="F418" s="46">
        <f>SUM(F395:F416)</f>
        <v>900</v>
      </c>
      <c r="G418" s="46">
        <f>SUM(G395:G416)</f>
        <v>2316</v>
      </c>
      <c r="H418" s="46">
        <f>SUM(H395:H416)</f>
        <v>3384</v>
      </c>
      <c r="I418" s="39">
        <f t="shared" si="82"/>
        <v>6600</v>
      </c>
      <c r="J418" s="46">
        <f>SUM(J395:J416)</f>
        <v>4534</v>
      </c>
      <c r="K418" s="46">
        <f>SUM(K395:K416)</f>
        <v>5638</v>
      </c>
      <c r="L418" s="46">
        <f>SUM(L395:L416)</f>
        <v>7944</v>
      </c>
      <c r="M418" s="39">
        <f t="shared" si="83"/>
        <v>18116</v>
      </c>
      <c r="N418" s="46">
        <f>SUM(N395:N416)</f>
        <v>3439</v>
      </c>
      <c r="O418" s="46">
        <f>SUM(O395:O416)</f>
        <v>0</v>
      </c>
      <c r="P418" s="46">
        <f>SUM(P395:P416)</f>
        <v>964</v>
      </c>
      <c r="Q418" s="39">
        <f t="shared" si="84"/>
        <v>4403</v>
      </c>
      <c r="R418" s="37">
        <f t="shared" si="85"/>
        <v>30519</v>
      </c>
    </row>
    <row r="419" spans="1:18" ht="16.5" customHeight="1" thickBot="1" x14ac:dyDescent="0.35">
      <c r="A419" s="43" t="s">
        <v>1222</v>
      </c>
      <c r="B419" s="47">
        <f>+B341+B355+B394+B418</f>
        <v>22227</v>
      </c>
      <c r="C419" s="42">
        <f>+C341+C355+C394+C418</f>
        <v>28677</v>
      </c>
      <c r="D419" s="42">
        <f>+D341+D355+D394+D418</f>
        <v>63963</v>
      </c>
      <c r="E419" s="37">
        <f t="shared" si="81"/>
        <v>114867</v>
      </c>
      <c r="F419" s="42">
        <f>+F341+F355+F394+F418</f>
        <v>89813</v>
      </c>
      <c r="G419" s="42">
        <f>+G341+G355+G394+G418</f>
        <v>71520</v>
      </c>
      <c r="H419" s="42">
        <f>+H341+H355+H394+H418</f>
        <v>81412</v>
      </c>
      <c r="I419" s="37">
        <f t="shared" si="82"/>
        <v>242745</v>
      </c>
      <c r="J419" s="42">
        <f>+J341+J355+J394+J418</f>
        <v>59232</v>
      </c>
      <c r="K419" s="42">
        <f>+K341+K355+K394+K418</f>
        <v>65848</v>
      </c>
      <c r="L419" s="42">
        <f>+L341+L355+L394+L418</f>
        <v>46051</v>
      </c>
      <c r="M419" s="37">
        <f t="shared" si="83"/>
        <v>171131</v>
      </c>
      <c r="N419" s="42">
        <f>+N341+N355+N394+N418</f>
        <v>40164</v>
      </c>
      <c r="O419" s="42">
        <f>+O341+O355+O394+O418</f>
        <v>24258</v>
      </c>
      <c r="P419" s="42">
        <f>+P341+P355+P394+P418</f>
        <v>27624</v>
      </c>
      <c r="Q419" s="37">
        <f t="shared" si="84"/>
        <v>92046</v>
      </c>
      <c r="R419" s="40">
        <f t="shared" si="85"/>
        <v>620789</v>
      </c>
    </row>
    <row r="420" spans="1:18" ht="15.75" customHeight="1" x14ac:dyDescent="0.3">
      <c r="A420" s="539" t="s">
        <v>2273</v>
      </c>
      <c r="B420" s="172"/>
      <c r="C420" s="172"/>
      <c r="D420" s="172"/>
      <c r="E420" s="38">
        <f t="shared" si="81"/>
        <v>0</v>
      </c>
      <c r="F420" s="172"/>
      <c r="G420" s="172"/>
      <c r="H420" s="172"/>
      <c r="I420" s="38">
        <f t="shared" si="82"/>
        <v>0</v>
      </c>
      <c r="J420" s="172"/>
      <c r="K420" s="172"/>
      <c r="L420" s="172"/>
      <c r="M420" s="38">
        <f t="shared" si="83"/>
        <v>0</v>
      </c>
      <c r="N420" s="172"/>
      <c r="O420" s="172"/>
      <c r="P420" s="172"/>
      <c r="Q420" s="38">
        <f t="shared" si="84"/>
        <v>0</v>
      </c>
      <c r="R420" s="38">
        <f t="shared" si="85"/>
        <v>0</v>
      </c>
    </row>
    <row r="421" spans="1:18" ht="99.6" customHeight="1" x14ac:dyDescent="0.3">
      <c r="A421" s="539" t="s">
        <v>2274</v>
      </c>
      <c r="B421" s="172"/>
      <c r="C421" s="172"/>
      <c r="D421" s="172"/>
      <c r="E421" s="38">
        <f t="shared" si="81"/>
        <v>0</v>
      </c>
      <c r="F421" s="172"/>
      <c r="G421" s="172"/>
      <c r="H421" s="172"/>
      <c r="I421" s="38">
        <f t="shared" si="82"/>
        <v>0</v>
      </c>
      <c r="J421" s="172"/>
      <c r="K421" s="172"/>
      <c r="L421" s="172"/>
      <c r="M421" s="38">
        <f t="shared" si="83"/>
        <v>0</v>
      </c>
      <c r="N421" s="172"/>
      <c r="O421" s="172"/>
      <c r="P421" s="172"/>
      <c r="Q421" s="38">
        <f t="shared" si="84"/>
        <v>0</v>
      </c>
      <c r="R421" s="38">
        <f t="shared" si="85"/>
        <v>0</v>
      </c>
    </row>
    <row r="422" spans="1:18" ht="16.5" customHeight="1" thickBot="1" x14ac:dyDescent="0.35">
      <c r="A422" s="257" t="s">
        <v>853</v>
      </c>
      <c r="B422" s="238">
        <v>155</v>
      </c>
      <c r="C422" s="238">
        <v>283</v>
      </c>
      <c r="D422" s="238">
        <v>435</v>
      </c>
      <c r="E422" s="40">
        <f t="shared" si="81"/>
        <v>873</v>
      </c>
      <c r="F422" s="238">
        <v>602</v>
      </c>
      <c r="G422" s="238">
        <v>711</v>
      </c>
      <c r="H422" s="238">
        <v>722</v>
      </c>
      <c r="I422" s="40">
        <f t="shared" si="82"/>
        <v>2035</v>
      </c>
      <c r="J422" s="238">
        <v>686</v>
      </c>
      <c r="K422" s="238">
        <v>519</v>
      </c>
      <c r="L422" s="238">
        <v>531</v>
      </c>
      <c r="M422" s="40">
        <f t="shared" si="83"/>
        <v>1736</v>
      </c>
      <c r="N422" s="238">
        <v>489</v>
      </c>
      <c r="O422" s="238">
        <v>389</v>
      </c>
      <c r="P422" s="238">
        <v>275</v>
      </c>
      <c r="Q422" s="40">
        <f t="shared" si="84"/>
        <v>1153</v>
      </c>
      <c r="R422" s="38">
        <f t="shared" si="85"/>
        <v>5797</v>
      </c>
    </row>
    <row r="423" spans="1:18" ht="16.5" customHeight="1" thickBot="1" x14ac:dyDescent="0.35">
      <c r="A423" s="44"/>
      <c r="B423" s="258"/>
      <c r="C423" s="258"/>
      <c r="D423" s="258"/>
      <c r="E423" s="37"/>
      <c r="F423" s="258"/>
      <c r="G423" s="258"/>
      <c r="H423" s="258"/>
      <c r="I423" s="37"/>
      <c r="J423" s="258"/>
      <c r="K423" s="258"/>
      <c r="L423" s="258"/>
      <c r="M423" s="37"/>
      <c r="N423" s="258"/>
      <c r="O423" s="258"/>
      <c r="P423" s="258"/>
      <c r="Q423" s="37"/>
      <c r="R423" s="37" t="s">
        <v>852</v>
      </c>
    </row>
    <row r="424" spans="1:18" ht="15.75" customHeight="1" x14ac:dyDescent="0.3">
      <c r="A424" s="259" t="s">
        <v>2011</v>
      </c>
      <c r="B424" s="260">
        <f>SUM(B419:B422)</f>
        <v>22382</v>
      </c>
      <c r="C424" s="260">
        <f>SUM(C419:C422)</f>
        <v>28960</v>
      </c>
      <c r="D424" s="260">
        <f>SUM(D419:D422)</f>
        <v>64398</v>
      </c>
      <c r="E424" s="39">
        <f>SUM(B424:D424)</f>
        <v>115740</v>
      </c>
      <c r="F424" s="260">
        <f>SUM(F419:F422)</f>
        <v>90415</v>
      </c>
      <c r="G424" s="260">
        <f>SUM(G419:G422)</f>
        <v>72231</v>
      </c>
      <c r="H424" s="260">
        <f>SUM(H419:H422)</f>
        <v>82134</v>
      </c>
      <c r="I424" s="39">
        <f>SUM(F424:H424)</f>
        <v>244780</v>
      </c>
      <c r="J424" s="260">
        <f>SUM(J419:J422)</f>
        <v>59918</v>
      </c>
      <c r="K424" s="260">
        <f>SUM(K419:K422)</f>
        <v>66367</v>
      </c>
      <c r="L424" s="260">
        <f>SUM(L419:L422)</f>
        <v>46582</v>
      </c>
      <c r="M424" s="39">
        <f>SUM(J424:L424)</f>
        <v>172867</v>
      </c>
      <c r="N424" s="260">
        <f>SUM(N419:N422)</f>
        <v>40653</v>
      </c>
      <c r="O424" s="260">
        <f>SUM(O419:O422)</f>
        <v>24647</v>
      </c>
      <c r="P424" s="260">
        <f>SUM(P419:P422)</f>
        <v>27899</v>
      </c>
      <c r="Q424" s="39">
        <f>SUM(N424:P424)</f>
        <v>93199</v>
      </c>
      <c r="R424" s="39">
        <f>+E424+I424+M424+Q424</f>
        <v>626586</v>
      </c>
    </row>
    <row r="425" spans="1:18" ht="15.75" customHeight="1" x14ac:dyDescent="0.3">
      <c r="A425" s="262" t="s">
        <v>1897</v>
      </c>
      <c r="B425" s="172">
        <f>(B424/B10)/1.983</f>
        <v>364.0948058497226</v>
      </c>
      <c r="C425" s="172">
        <f>(C424/C10)/1.983</f>
        <v>521.57625531301778</v>
      </c>
      <c r="D425" s="172">
        <f>(D424/D10)/1.983</f>
        <v>1047.5818652091161</v>
      </c>
      <c r="E425" s="38" t="s">
        <v>852</v>
      </c>
      <c r="F425" s="172">
        <f>(F424/F10)/1.983</f>
        <v>1519.8352664313329</v>
      </c>
      <c r="G425" s="172">
        <f>(G424/G10)/1.983</f>
        <v>1175.0036601434776</v>
      </c>
      <c r="H425" s="172">
        <f>(H424/H10)/1.983</f>
        <v>1380.6354009077156</v>
      </c>
      <c r="I425" s="38" t="s">
        <v>852</v>
      </c>
      <c r="J425" s="172">
        <f>(J424/J10)/1.983</f>
        <v>974.70434174352954</v>
      </c>
      <c r="K425" s="172">
        <f>(K424/K10)/1.983</f>
        <v>1079.6121874644152</v>
      </c>
      <c r="L425" s="172">
        <f>(L424/L10)/1.983</f>
        <v>783.02235669860477</v>
      </c>
      <c r="M425" s="38" t="s">
        <v>852</v>
      </c>
      <c r="N425" s="172">
        <f>(N424/N10)/1.983</f>
        <v>661.31472353716265</v>
      </c>
      <c r="O425" s="172">
        <f>(O424/O10)/1.983</f>
        <v>414.3049251975122</v>
      </c>
      <c r="P425" s="172">
        <f>(P424/P10)/1.983</f>
        <v>453.84152392107103</v>
      </c>
      <c r="Q425" s="38" t="s">
        <v>852</v>
      </c>
      <c r="R425" s="38" t="s">
        <v>852</v>
      </c>
    </row>
    <row r="426" spans="1:18" ht="15.75" customHeight="1" x14ac:dyDescent="0.3">
      <c r="A426" s="262" t="s">
        <v>2432</v>
      </c>
      <c r="B426" s="172">
        <f>B424+B473</f>
        <v>39420</v>
      </c>
      <c r="C426" s="172">
        <f>C424+C473</f>
        <v>53934</v>
      </c>
      <c r="D426" s="172">
        <f>D424+D473</f>
        <v>97768</v>
      </c>
      <c r="E426" s="38">
        <f>SUM(B426:D426)</f>
        <v>191122</v>
      </c>
      <c r="F426" s="172">
        <f>F424+F473</f>
        <v>134550</v>
      </c>
      <c r="G426" s="172">
        <f>G424+G473</f>
        <v>101443</v>
      </c>
      <c r="H426" s="172">
        <f>H424+H473</f>
        <v>114371</v>
      </c>
      <c r="I426" s="38">
        <f>SUM(F426:H426)</f>
        <v>350364</v>
      </c>
      <c r="J426" s="172">
        <f>J424+J473</f>
        <v>101441</v>
      </c>
      <c r="K426" s="172">
        <f>K424+K473</f>
        <v>103649</v>
      </c>
      <c r="L426" s="172">
        <f>L424+L473</f>
        <v>72500</v>
      </c>
      <c r="M426" s="38">
        <f>SUM(J426:L426)</f>
        <v>277590</v>
      </c>
      <c r="N426" s="172">
        <f>N424+N473</f>
        <v>57674</v>
      </c>
      <c r="O426" s="172">
        <f>O424+O473</f>
        <v>32874</v>
      </c>
      <c r="P426" s="172">
        <f>P424+P473</f>
        <v>45862</v>
      </c>
      <c r="Q426" s="38">
        <f>SUM(N426:P426)</f>
        <v>136410</v>
      </c>
      <c r="R426" s="38">
        <f>+E426+I426+M426+Q426</f>
        <v>955486</v>
      </c>
    </row>
    <row r="427" spans="1:18" s="574" customFormat="1" ht="16.5" customHeight="1" thickBot="1" x14ac:dyDescent="0.35">
      <c r="A427" s="576" t="s">
        <v>104</v>
      </c>
      <c r="B427" s="577">
        <f>(B426/B10)/1.983</f>
        <v>641.25713727978132</v>
      </c>
      <c r="C427" s="577">
        <f>(C426/C10)/1.983</f>
        <v>971.36373460125355</v>
      </c>
      <c r="D427" s="577">
        <f>(D426/D10)/1.983</f>
        <v>1590.4218112016658</v>
      </c>
      <c r="E427" s="578" t="s">
        <v>852</v>
      </c>
      <c r="F427" s="577">
        <f>(F426/F10)/1.983</f>
        <v>2261.7246596066566</v>
      </c>
      <c r="G427" s="577">
        <f>(G426/G10)/1.983</f>
        <v>1650.2041546695298</v>
      </c>
      <c r="H427" s="577">
        <f>(H426/H10)/1.983</f>
        <v>1922.5247940830391</v>
      </c>
      <c r="I427" s="578" t="s">
        <v>852</v>
      </c>
      <c r="J427" s="577">
        <f>(J426/J10)/1.983</f>
        <v>1650.1716200608398</v>
      </c>
      <c r="K427" s="577">
        <f>(K426/K10)/1.983</f>
        <v>1686.089828054593</v>
      </c>
      <c r="L427" s="577">
        <f>(L426/L10)/1.983</f>
        <v>1218.6922171793578</v>
      </c>
      <c r="M427" s="578" t="s">
        <v>852</v>
      </c>
      <c r="N427" s="577">
        <f>(N426/N10)/1.983</f>
        <v>938.20051079335644</v>
      </c>
      <c r="O427" s="577">
        <f>(O426/O10)/1.983</f>
        <v>552.59707513867875</v>
      </c>
      <c r="P427" s="577">
        <f>(P426/P10)/1.983</f>
        <v>746.05111187025193</v>
      </c>
      <c r="Q427" s="578" t="s">
        <v>852</v>
      </c>
      <c r="R427" s="578" t="s">
        <v>852</v>
      </c>
    </row>
    <row r="428" spans="1:18" ht="15.75" customHeight="1" x14ac:dyDescent="0.3">
      <c r="A428" s="351" t="s">
        <v>1011</v>
      </c>
      <c r="B428" s="352">
        <f>B$429+(SUMIF($T$293:$T$405,"FLG",B$300:B$421)/B10/1.98)+(SUMIF($T$293:$T$405,"FCA",B$300:B$421)/B10/1.98)+(SUMIF($T$293:$T$405,"NSC",B$300:B$421)/B10/1.98)</f>
        <v>309.40410399441191</v>
      </c>
      <c r="C428" s="352">
        <f>C$429+(SUMIF($T$293:$T$405,"FLG",C$300:C$421)/C10/1.98)+(SUMIF($T$293:$T$405,"FCA",C$300:C$421)/C10/1.98)+(SUMIF($T$293:$T$405,"NSC",C$300:C$421)/C10/1.98)</f>
        <v>485.51980252055893</v>
      </c>
      <c r="D428" s="352">
        <f>D$429+(SUMIF($T$293:$T$405,"FLG",D$300:D$421)/D10/1.98)+(SUMIF($T$293:$T$405,"FCA",D$300:D$421)/D10/1.98)+(SUMIF($T$293:$T$405,"NSC",D$300:D$421)/D10/1.98)</f>
        <v>624.29970487166327</v>
      </c>
      <c r="E428" s="329"/>
      <c r="F428" s="352">
        <f>F$429+(SUMIF($T$293:$T$405,"FLG",F$300:F$421)/F10/1.98)+(SUMIF($T$293:$T$405,"FCA",F$300:F$421)/F10/1.98)+(SUMIF($T$293:$T$405,"NSC",F$300:F$421)/F10/1.98)</f>
        <v>915.66043694636733</v>
      </c>
      <c r="G428" s="352">
        <f>G$429+(SUMIF($T$293:$T$405,"FLG",G$300:G$421)/G10/1.98)+(SUMIF($T$293:$T$405,"FCA",G$300:G$421)/G10/1.98)+(SUMIF($T$293:$T$405,"NSC",G$300:G$421)/G10/1.98)</f>
        <v>676.96002531784097</v>
      </c>
      <c r="H428" s="352">
        <f>H$429+(SUMIF($T$293:$T$405,"FLG",H$300:H$421)/H10/1.98)+(SUMIF($T$293:$T$405,"FCA",H$300:H$421)/H10/1.98)+(SUMIF($T$293:$T$405,"NSC",H$300:H$421)/H10/1.98)</f>
        <v>726.06447735040763</v>
      </c>
      <c r="I428" s="350"/>
      <c r="J428" s="352">
        <f>J$429+(SUMIF($T$293:$T$405,"FLG",J$300:J$421)/J10/1.98)+(SUMIF($T$293:$T$405,"FCA",J$300:J$421)/J10/1.98)+(SUMIF($T$293:$T$405,"NSC",J$300:J$421)/J10/1.98)</f>
        <v>801.01305870180011</v>
      </c>
      <c r="K428" s="352">
        <f>K$429+(SUMIF($T$293:$T$405,"FLG",K$300:K$421)/K10/1.98)+(SUMIF($T$293:$T$405,"FCA",K$300:K$421)/K10/1.98)+(SUMIF($T$293:$T$405,"NSC",K$300:K$421)/K10/1.98)</f>
        <v>730.8015245914811</v>
      </c>
      <c r="L428" s="352">
        <f>L$429+(SUMIF($T$293:$T$405,"FLG",L$300:L$421)/L10/1.98)+(SUMIF($T$293:$T$405,"FCA",L$300:L$421)/L10/1.98)+(SUMIF($T$293:$T$405,"NSC",L$300:L$421)/L10/1.98)</f>
        <v>520.5856853965779</v>
      </c>
      <c r="M428" s="350"/>
      <c r="N428" s="352">
        <f>N$429+(SUMIF($T$293:$T$405,"FLG",N$300:N$421)/N10/1.98)+(SUMIF($T$293:$T$405,"FCA",N$300:N$421)/N10/1.98)+(SUMIF($T$293:$T$405,"NSC",N$300:N$421)/N10/1.98)</f>
        <v>362.85841677721044</v>
      </c>
      <c r="O428" s="352">
        <f>O$429+(SUMIF($T$293:$T$405,"FLG",O$300:O$421)/O10/1.98)+(SUMIF($T$293:$T$405,"FCA",O$300:O$421)/O10/1.98)+(SUMIF($T$293:$T$405,"NSC",O$300:O$421)/O10/1.98)</f>
        <v>233.52784017685678</v>
      </c>
      <c r="P428" s="352">
        <f>P$429+(SUMIF($T$293:$T$405,"FLG",P$300:P$421)/P10/1.98)+(SUMIF($T$293:$T$405,"FCA",P$300:P$421)/P10/1.98)+(SUMIF($T$293:$T$405,"NSC",P$300:P$421)/P10/1.98)</f>
        <v>344.2460819211588</v>
      </c>
      <c r="Q428" s="350"/>
      <c r="R428" s="350"/>
    </row>
    <row r="429" spans="1:18" ht="15.75" customHeight="1" x14ac:dyDescent="0.3">
      <c r="A429" s="351" t="s">
        <v>1012</v>
      </c>
      <c r="B429" s="352">
        <f>B$430+(SUMIF($T$293:$T$405,"FCI",B$300:B$421)/B10/1.98)+(SUMIF($T$293:$T$405,"FCC",B$300:B$421)/B10/1.98)</f>
        <v>309.40410399441191</v>
      </c>
      <c r="C429" s="352">
        <f>C$430+(SUMIF($T$293:$T$405,"FCI",C$300:C$421)/C10/1.98)+(SUMIF($T$293:$T$405,"FCC",C$300:C$421)/C10/1.98)</f>
        <v>485.51980252055893</v>
      </c>
      <c r="D429" s="352">
        <f>D$430+(SUMIF($T$293:$T$405,"FCI",D$300:D$421)/D10/1.98)+(SUMIF($T$293:$T$405,"FCC",D$300:D$421)/D10/1.98)</f>
        <v>624.29970487166327</v>
      </c>
      <c r="E429" s="329"/>
      <c r="F429" s="352">
        <f>F$430+(SUMIF($T$293:$T$405,"FCI",F$300:F$421)/F10/1.98)+(SUMIF($T$293:$T$405,"FCC",F$300:F$421)/F10/1.98)</f>
        <v>915.66043694636733</v>
      </c>
      <c r="G429" s="352">
        <f>G$430+(SUMIF($T$293:$T$405,"FCI",G$300:G$421)/G10/1.98)+(SUMIF($T$293:$T$405,"FCC",G$300:G$421)/G10/1.98)</f>
        <v>676.96002531784097</v>
      </c>
      <c r="H429" s="352">
        <f>H$430+(SUMIF($T$293:$T$405,"FCI",H$300:H$421)/H10/1.98)+(SUMIF($T$293:$T$405,"FCC",H$300:H$421)/H10/1.98)</f>
        <v>726.06447735040763</v>
      </c>
      <c r="I429" s="350"/>
      <c r="J429" s="352">
        <f>J$430+(SUMIF($T$293:$T$405,"FCI",J$300:J$421)/J10/1.98)+(SUMIF($T$293:$T$405,"FCC",J$300:J$421)/J10/1.98)</f>
        <v>801.01305870180011</v>
      </c>
      <c r="K429" s="352">
        <f>K$430+(SUMIF($T$293:$T$405,"FCI",K$300:K$421)/K10/1.98)+(SUMIF($T$293:$T$405,"FCC",K$300:K$421)/K10/1.98)</f>
        <v>730.8015245914811</v>
      </c>
      <c r="L429" s="352">
        <f>L$430+(SUMIF($T$293:$T$405,"FCI",L$300:L$421)/L10/1.98)+(SUMIF($T$293:$T$405,"FCC",L$300:L$421)/L10/1.98)</f>
        <v>520.5856853965779</v>
      </c>
      <c r="M429" s="350"/>
      <c r="N429" s="352">
        <f>N$430+(SUMIF($T$293:$T$405,"FCI",N$300:N$421)/N10/1.98)+(SUMIF($T$293:$T$405,"FCC",N$300:N$421)/N10/1.98)</f>
        <v>362.85841677721044</v>
      </c>
      <c r="O429" s="352">
        <f>O$430+(SUMIF($T$293:$T$405,"FCI",O$300:O$421)/O10/1.98)+(SUMIF($T$293:$T$405,"FCC",O$300:O$421)/O10/1.98)</f>
        <v>233.52784017685678</v>
      </c>
      <c r="P429" s="352">
        <f>P$430+(SUMIF($T$293:$T$405,"FCI",P$300:P$421)/P10/1.98)+(SUMIF($T$293:$T$405,"FCC",P$300:P$421)/P10/1.98)</f>
        <v>344.2460819211588</v>
      </c>
      <c r="Q429" s="350"/>
      <c r="R429" s="350"/>
    </row>
    <row r="430" spans="1:18" ht="15.75" customHeight="1" x14ac:dyDescent="0.3">
      <c r="A430" s="351" t="s">
        <v>1013</v>
      </c>
      <c r="B430" s="352">
        <f>B$431+(SUMIF($T$293:$T$405,"PIL",B$300:B$421)/B10/1.98)+(SUMIF($T$293:$T$405,"KLK",B$300:B$421)/B10/1.98)</f>
        <v>309.40410399441191</v>
      </c>
      <c r="C430" s="352">
        <f>C$431+(SUMIF($T$293:$T$405,"PIL",C$300:C$421)/C10/1.98)+(SUMIF($T$293:$T$405,"KLK",C$300:C$421)/C10/1.98)</f>
        <v>485.51980252055893</v>
      </c>
      <c r="D430" s="352">
        <f>D$431+(SUMIF($T$293:$T$405,"PIL",D$300:D$421)/D10/1.98)+(SUMIF($T$293:$T$405,"KLK",D$300:D$421)/D10/1.98)</f>
        <v>624.29970487166327</v>
      </c>
      <c r="E430" s="329"/>
      <c r="F430" s="352">
        <f>F$431+(SUMIF($T$293:$T$405,"PIL",F$300:F$421)/F10/1.98)+(SUMIF($T$293:$T$405,"KLK",F$300:F$421)/F10/1.98)</f>
        <v>915.66043694636733</v>
      </c>
      <c r="G430" s="352">
        <f>G$431+(SUMIF($T$293:$T$405,"PIL",G$300:G$421)/G10/1.98)+(SUMIF($T$293:$T$405,"KLK",G$300:G$421)/G10/1.98)</f>
        <v>676.96002531784097</v>
      </c>
      <c r="H430" s="352">
        <f>H$431+(SUMIF($T$293:$T$405,"PIL",H$300:H$421)/H10/1.98)+(SUMIF($T$293:$T$405,"KLK",H$300:H$421)/H10/1.98)</f>
        <v>726.06447735040763</v>
      </c>
      <c r="I430" s="350"/>
      <c r="J430" s="352">
        <f>J$431+(SUMIF($T$293:$T$405,"PIL",J$300:J$421)/J10/1.98)+(SUMIF($T$293:$T$405,"KLK",J$300:J$421)/J10/1.98)</f>
        <v>801.01305870180011</v>
      </c>
      <c r="K430" s="352">
        <f>K$431+(SUMIF($T$293:$T$405,"PIL",K$300:K$421)/K10/1.98)+(SUMIF($T$293:$T$405,"KLK",K$300:K$421)/K10/1.98)</f>
        <v>730.8015245914811</v>
      </c>
      <c r="L430" s="352">
        <f>L$431+(SUMIF($T$293:$T$405,"PIL",L$300:L$421)/L10/1.98)+(SUMIF($T$293:$T$405,"KLK",L$300:L$421)/L10/1.98)</f>
        <v>520.5856853965779</v>
      </c>
      <c r="M430" s="350"/>
      <c r="N430" s="352">
        <f>N$431+(SUMIF($T$293:$T$405,"PIL",N$300:N$421)/N10/1.98)+(SUMIF($T$293:$T$405,"KLK",N$300:N$421)/N10/1.98)</f>
        <v>362.85841677721044</v>
      </c>
      <c r="O430" s="352">
        <f>O$431+(SUMIF($T$293:$T$405,"PIL",O$300:O$421)/O10/1.98)+(SUMIF($T$293:$T$405,"KLK",O$300:O$421)/O10/1.98)</f>
        <v>233.52784017685678</v>
      </c>
      <c r="P430" s="352">
        <f>P$431+(SUMIF($T$293:$T$405,"PIL",P$300:P$421)/P10/1.98)+(SUMIF($T$293:$T$405,"KLK",P$300:P$421)/P10/1.98)</f>
        <v>344.2460819211588</v>
      </c>
      <c r="Q430" s="350"/>
      <c r="R430" s="350"/>
    </row>
    <row r="431" spans="1:18" ht="15.75" customHeight="1" x14ac:dyDescent="0.3">
      <c r="A431" s="351" t="s">
        <v>1014</v>
      </c>
      <c r="B431" s="352">
        <f>B$432+(SUMIF($T$293:$T$405,"CGE",B$300:B$421)/B10/1.98)</f>
        <v>309.40410399441191</v>
      </c>
      <c r="C431" s="352">
        <f>C$432+(SUMIF($T$293:$T$405,"CGE",C$300:C$421)/C10/1.98)</f>
        <v>485.51980252055893</v>
      </c>
      <c r="D431" s="352">
        <f>D$432+(SUMIF($T$293:$T$405,"CGE",D$300:D$421)/D10/1.98)</f>
        <v>575.42384954419504</v>
      </c>
      <c r="E431" s="329"/>
      <c r="F431" s="352">
        <f>F$432+(SUMIF($T$293:$T$405,"CGE",F$300:F$421)/F10/1.98)</f>
        <v>814.65033593626629</v>
      </c>
      <c r="G431" s="352">
        <f>G$432+(SUMIF($T$293:$T$405,"CGE",G$300:G$421)/G10/1.98)</f>
        <v>579.20831466290451</v>
      </c>
      <c r="H431" s="352">
        <f>H$432+(SUMIF($T$293:$T$405,"CGE",H$300:H$421)/H10/1.98)</f>
        <v>675.55942684535717</v>
      </c>
      <c r="I431" s="350"/>
      <c r="J431" s="352">
        <f>J$432+(SUMIF($T$293:$T$405,"CGE",J$300:J$421)/J10/1.98)</f>
        <v>801.01305870180011</v>
      </c>
      <c r="K431" s="352">
        <f>K$432+(SUMIF($T$293:$T$405,"CGE",K$300:K$421)/K10/1.98)</f>
        <v>730.8015245914811</v>
      </c>
      <c r="L431" s="352">
        <f>L$432+(SUMIF($T$293:$T$405,"CGE",L$300:L$421)/L10/1.98)</f>
        <v>520.5856853965779</v>
      </c>
      <c r="M431" s="350"/>
      <c r="N431" s="352">
        <f>N$432+(SUMIF($T$293:$T$405,"CGE",N$300:N$421)/N10/1.98)</f>
        <v>362.85841677721044</v>
      </c>
      <c r="O431" s="352">
        <f>O$432+(SUMIF($T$293:$T$405,"CGE",O$300:O$421)/O10/1.98)</f>
        <v>233.52784017685678</v>
      </c>
      <c r="P431" s="352">
        <f>P$432+(SUMIF($T$293:$T$405,"CGE",P$300:P$421)/P10/1.98)</f>
        <v>344.2460819211588</v>
      </c>
      <c r="Q431" s="350"/>
      <c r="R431" s="350"/>
    </row>
    <row r="432" spans="1:18" ht="15.75" customHeight="1" x14ac:dyDescent="0.3">
      <c r="A432" s="351" t="s">
        <v>1015</v>
      </c>
      <c r="B432" s="352">
        <f>B$433+(SUMIF($T$293:$T$405,"SRO",B$300:B$421)/B10/1.98)</f>
        <v>309.40410399441191</v>
      </c>
      <c r="C432" s="352">
        <f>C$433+(SUMIF($T$293:$T$405,"SRO",C$300:C$421)/C10/1.98)</f>
        <v>485.51980252055893</v>
      </c>
      <c r="D432" s="352">
        <f>D$433+(SUMIF($T$293:$T$405,"SRO",D$300:D$421)/D10/1.98)</f>
        <v>575.42384954419504</v>
      </c>
      <c r="E432" s="329"/>
      <c r="F432" s="352">
        <f>F$433+(SUMIF($T$293:$T$405,"SRO",F$300:F$421)/F10/1.98)</f>
        <v>789.43148071741109</v>
      </c>
      <c r="G432" s="352">
        <f>G$433+(SUMIF($T$293:$T$405,"SRO",G$300:G$421)/G10/1.98)</f>
        <v>579.20831466290451</v>
      </c>
      <c r="H432" s="352">
        <f>H$433+(SUMIF($T$293:$T$405,"SRO",H$300:H$421)/H10/1.98)</f>
        <v>660.12171640764677</v>
      </c>
      <c r="I432" s="350"/>
      <c r="J432" s="352">
        <f>J$433+(SUMIF($T$293:$T$405,"SRO",J$300:J$421)/J10/1.98)</f>
        <v>786.07333892337067</v>
      </c>
      <c r="K432" s="352">
        <f>K$433+(SUMIF($T$293:$T$405,"SRO",K$300:K$421)/K10/1.98)</f>
        <v>685.42843889581479</v>
      </c>
      <c r="L432" s="352">
        <f>L$433+(SUMIF($T$293:$T$405,"SRO",L$300:L$421)/L10/1.98)</f>
        <v>483.02676283765538</v>
      </c>
      <c r="M432" s="350"/>
      <c r="N432" s="352">
        <f>N$433+(SUMIF($T$293:$T$405,"SRO",N$300:N$421)/N10/1.98)</f>
        <v>343.94346076548021</v>
      </c>
      <c r="O432" s="352">
        <f>O$433+(SUMIF($T$293:$T$405,"SRO",O$300:O$421)/O10/1.98)</f>
        <v>222.80393445295107</v>
      </c>
      <c r="P432" s="352">
        <f>P$433+(SUMIF($T$293:$T$405,"SRO",P$300:P$421)/P10/1.98)</f>
        <v>330.33275510460618</v>
      </c>
      <c r="Q432" s="350"/>
      <c r="R432" s="350"/>
    </row>
    <row r="433" spans="1:20" ht="15.75" customHeight="1" x14ac:dyDescent="0.3">
      <c r="A433" s="351" t="s">
        <v>130</v>
      </c>
      <c r="B433" s="352">
        <f>B$473/B10/1.983</f>
        <v>277.16233143005871</v>
      </c>
      <c r="C433" s="352">
        <f>C$473/C10/1.983</f>
        <v>449.78747928823572</v>
      </c>
      <c r="D433" s="352">
        <f>D$473/D10/1.983</f>
        <v>542.83994599254959</v>
      </c>
      <c r="E433" s="353"/>
      <c r="F433" s="352">
        <f>F$473/F10/1.983</f>
        <v>741.88939317532356</v>
      </c>
      <c r="G433" s="352">
        <f>G$473/G10/1.983</f>
        <v>475.20049452605207</v>
      </c>
      <c r="H433" s="352">
        <f>H$473/H10/1.983</f>
        <v>541.88939317532356</v>
      </c>
      <c r="I433" s="450"/>
      <c r="J433" s="352">
        <f>J$473/J10/1.983</f>
        <v>675.46727831731005</v>
      </c>
      <c r="K433" s="352">
        <f>K$473/K10/1.983</f>
        <v>606.47764059017777</v>
      </c>
      <c r="L433" s="352">
        <f>L$473/L10/1.983</f>
        <v>435.66986048075302</v>
      </c>
      <c r="M433" s="451"/>
      <c r="N433" s="352">
        <f>N$473/N10/1.983</f>
        <v>276.88578725619379</v>
      </c>
      <c r="O433" s="352">
        <f>O$473/O10/1.983</f>
        <v>138.29214994116657</v>
      </c>
      <c r="P433" s="352">
        <f>P$473/P10/1.983</f>
        <v>292.20958794918096</v>
      </c>
      <c r="Q433" s="451"/>
      <c r="R433" s="350"/>
    </row>
    <row r="434" spans="1:20" ht="15.75" customHeight="1" x14ac:dyDescent="0.3">
      <c r="A434" s="351"/>
      <c r="B434" s="352"/>
      <c r="C434" s="352"/>
      <c r="D434" s="352"/>
      <c r="E434" s="353"/>
      <c r="F434" s="352"/>
      <c r="G434" s="352"/>
      <c r="H434" s="352"/>
      <c r="I434" s="450"/>
      <c r="J434" s="352"/>
      <c r="K434" s="352"/>
      <c r="L434" s="352"/>
      <c r="M434" s="451"/>
      <c r="N434" s="352"/>
      <c r="O434" s="352"/>
      <c r="P434" s="352"/>
      <c r="Q434" s="451"/>
      <c r="R434" s="350"/>
    </row>
    <row r="435" spans="1:20" ht="15.75" customHeight="1" thickBot="1" x14ac:dyDescent="0.35">
      <c r="A435" s="18"/>
      <c r="B435" s="172"/>
      <c r="C435" s="172"/>
      <c r="D435" s="172"/>
      <c r="E435" s="172"/>
      <c r="F435" s="172"/>
      <c r="G435" s="172"/>
      <c r="H435" s="172"/>
      <c r="I435" s="172"/>
      <c r="J435" s="172"/>
      <c r="K435" s="172"/>
      <c r="L435" s="172"/>
      <c r="M435" s="172"/>
      <c r="N435" s="172"/>
      <c r="O435" s="172"/>
      <c r="P435" s="172"/>
      <c r="Q435" s="172"/>
      <c r="R435" s="17"/>
    </row>
    <row r="436" spans="1:20" ht="16.5" customHeight="1" thickBot="1" x14ac:dyDescent="0.35">
      <c r="A436" s="240" t="s">
        <v>813</v>
      </c>
      <c r="B436" s="4" t="s">
        <v>2090</v>
      </c>
      <c r="C436" s="5" t="s">
        <v>2091</v>
      </c>
      <c r="D436" s="5" t="s">
        <v>2234</v>
      </c>
      <c r="E436" s="33" t="s">
        <v>1594</v>
      </c>
      <c r="F436" s="5" t="s">
        <v>2235</v>
      </c>
      <c r="G436" s="5" t="s">
        <v>2236</v>
      </c>
      <c r="H436" s="5" t="s">
        <v>2237</v>
      </c>
      <c r="I436" s="35" t="s">
        <v>1595</v>
      </c>
      <c r="J436" s="5" t="s">
        <v>1504</v>
      </c>
      <c r="K436" s="5" t="s">
        <v>1505</v>
      </c>
      <c r="L436" s="5" t="s">
        <v>1506</v>
      </c>
      <c r="M436" s="35" t="s">
        <v>1596</v>
      </c>
      <c r="N436" s="5" t="s">
        <v>1507</v>
      </c>
      <c r="O436" s="5" t="s">
        <v>1508</v>
      </c>
      <c r="P436" s="5" t="s">
        <v>1509</v>
      </c>
      <c r="Q436" s="35" t="s">
        <v>1597</v>
      </c>
      <c r="R436" s="36" t="s">
        <v>1510</v>
      </c>
    </row>
    <row r="437" spans="1:20" ht="16.5" customHeight="1" thickBot="1" x14ac:dyDescent="0.35">
      <c r="A437" s="37"/>
      <c r="B437" s="258"/>
      <c r="C437" s="258"/>
      <c r="D437" s="258"/>
      <c r="E437" s="254"/>
      <c r="F437" s="258"/>
      <c r="G437" s="258"/>
      <c r="H437" s="258"/>
      <c r="I437" s="265"/>
      <c r="J437" s="258"/>
      <c r="K437" s="258"/>
      <c r="L437" s="258"/>
      <c r="M437" s="265"/>
      <c r="N437" s="258"/>
      <c r="O437" s="258"/>
      <c r="P437" s="258"/>
      <c r="Q437" s="265"/>
      <c r="R437" s="52"/>
    </row>
    <row r="438" spans="1:20" ht="15.75" customHeight="1" x14ac:dyDescent="0.3">
      <c r="A438" s="234" t="s">
        <v>2417</v>
      </c>
      <c r="B438" s="172" t="s">
        <v>852</v>
      </c>
      <c r="C438" s="172" t="s">
        <v>852</v>
      </c>
      <c r="D438" s="172" t="s">
        <v>852</v>
      </c>
      <c r="E438" s="38" t="s">
        <v>852</v>
      </c>
      <c r="F438" s="172" t="s">
        <v>852</v>
      </c>
      <c r="G438" s="172" t="s">
        <v>852</v>
      </c>
      <c r="H438" s="172" t="s">
        <v>852</v>
      </c>
      <c r="I438" s="38" t="s">
        <v>852</v>
      </c>
      <c r="J438" s="172" t="s">
        <v>852</v>
      </c>
      <c r="K438" s="172" t="s">
        <v>852</v>
      </c>
      <c r="L438" s="172" t="s">
        <v>852</v>
      </c>
      <c r="M438" s="38" t="s">
        <v>852</v>
      </c>
      <c r="N438" s="172" t="s">
        <v>852</v>
      </c>
      <c r="O438" s="172" t="s">
        <v>852</v>
      </c>
      <c r="P438" s="172" t="s">
        <v>852</v>
      </c>
      <c r="Q438" s="38" t="s">
        <v>852</v>
      </c>
      <c r="R438" s="38" t="s">
        <v>852</v>
      </c>
    </row>
    <row r="439" spans="1:20" ht="15.75" customHeight="1" x14ac:dyDescent="0.3">
      <c r="A439" s="234" t="s">
        <v>2160</v>
      </c>
      <c r="B439" s="172"/>
      <c r="C439" s="172"/>
      <c r="D439" s="172"/>
      <c r="E439" s="38" t="s">
        <v>852</v>
      </c>
      <c r="F439" s="172"/>
      <c r="G439" s="172"/>
      <c r="H439" s="172"/>
      <c r="I439" s="38" t="s">
        <v>852</v>
      </c>
      <c r="J439" s="172"/>
      <c r="K439" s="172"/>
      <c r="L439" s="172"/>
      <c r="M439" s="38" t="s">
        <v>852</v>
      </c>
      <c r="N439" s="172"/>
      <c r="O439" s="172"/>
      <c r="P439" s="172"/>
      <c r="Q439" s="38" t="s">
        <v>852</v>
      </c>
      <c r="R439" s="38" t="s">
        <v>852</v>
      </c>
    </row>
    <row r="440" spans="1:20" ht="15.75" customHeight="1" x14ac:dyDescent="0.3">
      <c r="A440" s="539" t="s">
        <v>2797</v>
      </c>
      <c r="B440" s="172">
        <v>0</v>
      </c>
      <c r="C440" s="172">
        <v>0</v>
      </c>
      <c r="D440" s="172">
        <v>0</v>
      </c>
      <c r="E440" s="38">
        <f>SUM(B440:D440)</f>
        <v>0</v>
      </c>
      <c r="F440" s="172">
        <v>0</v>
      </c>
      <c r="G440" s="172">
        <v>0</v>
      </c>
      <c r="H440" s="172">
        <v>1600</v>
      </c>
      <c r="I440" s="38">
        <f>SUM(F440:H440)</f>
        <v>1600</v>
      </c>
      <c r="J440" s="172">
        <v>12</v>
      </c>
      <c r="K440" s="172">
        <v>2</v>
      </c>
      <c r="L440" s="172">
        <v>1</v>
      </c>
      <c r="M440" s="38">
        <f>SUM(J440:L440)</f>
        <v>15</v>
      </c>
      <c r="N440" s="172"/>
      <c r="O440" s="172"/>
      <c r="P440" s="172"/>
      <c r="Q440" s="38">
        <f>SUM(N440:P440)</f>
        <v>0</v>
      </c>
      <c r="R440" s="38">
        <f>+E440+I440+M440+Q440</f>
        <v>1615</v>
      </c>
      <c r="T440" t="s">
        <v>500</v>
      </c>
    </row>
    <row r="441" spans="1:20" ht="15.75" customHeight="1" x14ac:dyDescent="0.3">
      <c r="A441" s="539" t="s">
        <v>2977</v>
      </c>
      <c r="B441" s="172"/>
      <c r="C441" s="172"/>
      <c r="D441" s="172"/>
      <c r="E441" s="38">
        <f>SUM(B441:D441)</f>
        <v>0</v>
      </c>
      <c r="F441" s="172"/>
      <c r="G441" s="172">
        <v>1100</v>
      </c>
      <c r="H441" s="172"/>
      <c r="I441" s="38">
        <f>SUM(F441:H441)</f>
        <v>1100</v>
      </c>
      <c r="J441" s="172"/>
      <c r="K441" s="172"/>
      <c r="L441" s="172"/>
      <c r="M441" s="38">
        <f>SUM(J441:L441)</f>
        <v>0</v>
      </c>
      <c r="N441" s="172"/>
      <c r="O441" s="172"/>
      <c r="P441" s="172"/>
      <c r="Q441" s="38">
        <f>SUM(N441:P441)</f>
        <v>0</v>
      </c>
      <c r="R441" s="38">
        <f>+E441+I441+M441+Q441</f>
        <v>1100</v>
      </c>
      <c r="T441" t="s">
        <v>500</v>
      </c>
    </row>
    <row r="442" spans="1:20" ht="15.75" customHeight="1" x14ac:dyDescent="0.3">
      <c r="A442" s="410" t="s">
        <v>2795</v>
      </c>
      <c r="B442" s="172"/>
      <c r="C442" s="172"/>
      <c r="D442" s="172"/>
      <c r="E442" s="38">
        <f>SUM(B442:D442)</f>
        <v>0</v>
      </c>
      <c r="F442" s="172"/>
      <c r="G442" s="172"/>
      <c r="H442" s="172">
        <v>2048</v>
      </c>
      <c r="I442" s="38">
        <f>SUM(F442:H442)</f>
        <v>2048</v>
      </c>
      <c r="J442" s="172"/>
      <c r="K442" s="172"/>
      <c r="L442" s="172"/>
      <c r="M442" s="38">
        <f>SUM(J442:L442)</f>
        <v>0</v>
      </c>
      <c r="N442" s="172"/>
      <c r="O442" s="172"/>
      <c r="P442" s="172"/>
      <c r="Q442" s="38">
        <f>SUM(N442:P442)</f>
        <v>0</v>
      </c>
      <c r="R442" s="38">
        <f>+E442+I442+M442+Q442</f>
        <v>2048</v>
      </c>
      <c r="T442" t="s">
        <v>500</v>
      </c>
    </row>
    <row r="443" spans="1:20" ht="15.75" customHeight="1" x14ac:dyDescent="0.3">
      <c r="A443" s="234" t="s">
        <v>2161</v>
      </c>
      <c r="B443" s="172"/>
      <c r="C443" s="172"/>
      <c r="D443" s="172"/>
      <c r="E443" s="38" t="s">
        <v>852</v>
      </c>
      <c r="F443" s="172"/>
      <c r="G443" s="172"/>
      <c r="H443" s="172"/>
      <c r="I443" s="38" t="s">
        <v>852</v>
      </c>
      <c r="J443" s="172"/>
      <c r="K443" s="172"/>
      <c r="L443" s="172"/>
      <c r="M443" s="38" t="s">
        <v>852</v>
      </c>
      <c r="N443" s="172"/>
      <c r="O443" s="172"/>
      <c r="P443" s="172"/>
      <c r="Q443" s="38" t="s">
        <v>852</v>
      </c>
      <c r="R443" s="38" t="s">
        <v>852</v>
      </c>
    </row>
    <row r="444" spans="1:20" ht="15.75" customHeight="1" x14ac:dyDescent="0.3">
      <c r="A444" s="310" t="s">
        <v>1065</v>
      </c>
      <c r="B444" s="10"/>
      <c r="C444" s="10"/>
      <c r="D444" s="10"/>
      <c r="E444" s="38">
        <f>SUM(B444:D444)</f>
        <v>0</v>
      </c>
      <c r="F444" s="10"/>
      <c r="G444" s="10"/>
      <c r="H444" s="10"/>
      <c r="I444" s="38">
        <f>SUM(F444:H444)</f>
        <v>0</v>
      </c>
      <c r="J444" s="10"/>
      <c r="K444" s="10"/>
      <c r="L444" s="10"/>
      <c r="M444" s="38">
        <f>SUM(J444:L444)</f>
        <v>0</v>
      </c>
      <c r="N444" s="10"/>
      <c r="O444" s="10"/>
      <c r="P444" s="10"/>
      <c r="Q444" s="38">
        <f>SUM(N444:P444)</f>
        <v>0</v>
      </c>
      <c r="R444" s="38">
        <f>+E444+I444+M444+Q444</f>
        <v>0</v>
      </c>
    </row>
    <row r="445" spans="1:20" ht="15.75" customHeight="1" x14ac:dyDescent="0.3">
      <c r="A445" s="266" t="s">
        <v>355</v>
      </c>
      <c r="B445" s="172"/>
      <c r="C445" s="172"/>
      <c r="D445" s="172"/>
      <c r="E445" s="38">
        <f>SUM(B445:D445)</f>
        <v>0</v>
      </c>
      <c r="F445" s="172"/>
      <c r="G445" s="172"/>
      <c r="H445" s="172"/>
      <c r="I445" s="38">
        <f>SUM(F445:H445)</f>
        <v>0</v>
      </c>
      <c r="J445" s="172"/>
      <c r="K445" s="172"/>
      <c r="L445" s="172"/>
      <c r="M445" s="38">
        <f>SUM(J445:L445)</f>
        <v>0</v>
      </c>
      <c r="N445" s="172"/>
      <c r="O445" s="172"/>
      <c r="P445" s="172"/>
      <c r="Q445" s="38">
        <f>SUM(N445:P445)</f>
        <v>0</v>
      </c>
      <c r="R445" s="38">
        <f>+E445+I445+M445+Q445</f>
        <v>0</v>
      </c>
    </row>
    <row r="446" spans="1:20" ht="15.75" customHeight="1" x14ac:dyDescent="0.3">
      <c r="A446" s="234" t="s">
        <v>2162</v>
      </c>
      <c r="B446" s="172"/>
      <c r="C446" s="172"/>
      <c r="D446" s="172"/>
      <c r="E446" s="38" t="s">
        <v>852</v>
      </c>
      <c r="F446" s="172"/>
      <c r="G446" s="172"/>
      <c r="H446" s="172"/>
      <c r="I446" s="38" t="s">
        <v>852</v>
      </c>
      <c r="J446" s="172"/>
      <c r="K446" s="172"/>
      <c r="L446" s="172"/>
      <c r="M446" s="38" t="s">
        <v>852</v>
      </c>
      <c r="N446" s="172"/>
      <c r="O446" s="172"/>
      <c r="P446" s="172"/>
      <c r="Q446" s="38" t="s">
        <v>852</v>
      </c>
      <c r="R446" s="38" t="s">
        <v>852</v>
      </c>
    </row>
    <row r="447" spans="1:20" ht="15.75" customHeight="1" thickBot="1" x14ac:dyDescent="0.35">
      <c r="A447" s="234" t="s">
        <v>2164</v>
      </c>
      <c r="B447" s="172"/>
      <c r="C447" s="172"/>
      <c r="D447" s="172"/>
      <c r="E447" s="38" t="s">
        <v>852</v>
      </c>
      <c r="F447" s="172"/>
      <c r="G447" s="172"/>
      <c r="H447" s="172"/>
      <c r="I447" s="38" t="s">
        <v>852</v>
      </c>
      <c r="J447" s="172"/>
      <c r="K447" s="172"/>
      <c r="L447" s="172"/>
      <c r="M447" s="38" t="s">
        <v>852</v>
      </c>
      <c r="N447" s="172"/>
      <c r="O447" s="172"/>
      <c r="P447" s="172"/>
      <c r="Q447" s="38" t="s">
        <v>852</v>
      </c>
      <c r="R447" s="38" t="s">
        <v>852</v>
      </c>
    </row>
    <row r="448" spans="1:20" ht="16.5" customHeight="1" thickBot="1" x14ac:dyDescent="0.35">
      <c r="A448" s="276" t="s">
        <v>1218</v>
      </c>
      <c r="B448" s="45">
        <f>SUM(B438:B447)</f>
        <v>0</v>
      </c>
      <c r="C448" s="46">
        <f>SUM(C438:C447)</f>
        <v>0</v>
      </c>
      <c r="D448" s="46">
        <f>SUM(D438:D447)</f>
        <v>0</v>
      </c>
      <c r="E448" s="37">
        <f>SUM(B448:D448)</f>
        <v>0</v>
      </c>
      <c r="F448" s="46">
        <f>SUM(F438:F447)</f>
        <v>0</v>
      </c>
      <c r="G448" s="46">
        <f>SUM(G438:G447)</f>
        <v>1100</v>
      </c>
      <c r="H448" s="46">
        <f>SUM(H438:H447)</f>
        <v>3648</v>
      </c>
      <c r="I448" s="37">
        <f>SUM(F448:H448)</f>
        <v>4748</v>
      </c>
      <c r="J448" s="46">
        <f>SUM(J438:J447)</f>
        <v>12</v>
      </c>
      <c r="K448" s="46">
        <f>SUM(K438:K447)</f>
        <v>2</v>
      </c>
      <c r="L448" s="46">
        <f>SUM(L438:L447)</f>
        <v>1</v>
      </c>
      <c r="M448" s="37">
        <f>SUM(J448:L448)</f>
        <v>15</v>
      </c>
      <c r="N448" s="46">
        <f>SUM(N438:N447)</f>
        <v>0</v>
      </c>
      <c r="O448" s="46">
        <f>SUM(O438:O447)</f>
        <v>0</v>
      </c>
      <c r="P448" s="46">
        <f>SUM(P438:P447)</f>
        <v>0</v>
      </c>
      <c r="Q448" s="37">
        <f>SUM(N448:P448)</f>
        <v>0</v>
      </c>
      <c r="R448" s="37">
        <f>+E448+I448+M448+Q448</f>
        <v>4763</v>
      </c>
    </row>
    <row r="449" spans="1:20" ht="15.75" customHeight="1" x14ac:dyDescent="0.3">
      <c r="A449" s="234" t="s">
        <v>1172</v>
      </c>
      <c r="B449" s="172"/>
      <c r="C449" s="172"/>
      <c r="D449" s="172"/>
      <c r="E449" s="38" t="s">
        <v>852</v>
      </c>
      <c r="F449" s="172"/>
      <c r="G449" s="172"/>
      <c r="H449" s="172"/>
      <c r="I449" s="38" t="s">
        <v>852</v>
      </c>
      <c r="J449" s="172"/>
      <c r="K449" s="172"/>
      <c r="L449" s="172"/>
      <c r="M449" s="38" t="s">
        <v>852</v>
      </c>
      <c r="N449" s="172" t="s">
        <v>852</v>
      </c>
      <c r="O449" s="172"/>
      <c r="P449" s="172"/>
      <c r="Q449" s="38" t="s">
        <v>852</v>
      </c>
      <c r="R449" s="38" t="s">
        <v>852</v>
      </c>
    </row>
    <row r="450" spans="1:20" ht="15.75" customHeight="1" x14ac:dyDescent="0.3">
      <c r="A450" s="234" t="s">
        <v>2409</v>
      </c>
      <c r="B450" s="172"/>
      <c r="C450" s="172"/>
      <c r="D450" s="172"/>
      <c r="E450" s="38" t="s">
        <v>852</v>
      </c>
      <c r="F450" s="172"/>
      <c r="G450" s="172"/>
      <c r="H450" s="172"/>
      <c r="I450" s="38" t="s">
        <v>852</v>
      </c>
      <c r="J450" s="172"/>
      <c r="K450" s="172"/>
      <c r="L450" s="172"/>
      <c r="M450" s="38" t="s">
        <v>852</v>
      </c>
      <c r="N450" s="172"/>
      <c r="O450" s="172"/>
      <c r="P450" s="172"/>
      <c r="Q450" s="38" t="s">
        <v>852</v>
      </c>
      <c r="R450" s="38" t="s">
        <v>852</v>
      </c>
    </row>
    <row r="451" spans="1:20" ht="15.75" customHeight="1" x14ac:dyDescent="0.3">
      <c r="A451" s="266" t="s">
        <v>473</v>
      </c>
      <c r="B451" s="10">
        <v>1023</v>
      </c>
      <c r="C451" s="10">
        <v>2232</v>
      </c>
      <c r="D451" s="10">
        <v>5720</v>
      </c>
      <c r="E451" s="38">
        <f>SUM(B451:D451)</f>
        <v>8975</v>
      </c>
      <c r="F451" s="10">
        <v>10028</v>
      </c>
      <c r="G451" s="10">
        <v>1667</v>
      </c>
      <c r="H451" s="10">
        <v>4782</v>
      </c>
      <c r="I451" s="38">
        <f>SUM(F451:H451)</f>
        <v>16477</v>
      </c>
      <c r="J451" s="10">
        <v>12087</v>
      </c>
      <c r="K451" s="10">
        <v>11047</v>
      </c>
      <c r="L451" s="10">
        <v>5185</v>
      </c>
      <c r="M451" s="38">
        <f>SUM(J451:L451)</f>
        <v>28319</v>
      </c>
      <c r="N451" s="10">
        <v>2008</v>
      </c>
      <c r="O451" s="10">
        <v>319</v>
      </c>
      <c r="P451" s="10">
        <v>645</v>
      </c>
      <c r="Q451" s="38">
        <f>SUM(N451:P451)</f>
        <v>2972</v>
      </c>
      <c r="R451" s="38">
        <f>+E451+I451+M451+Q451</f>
        <v>56743</v>
      </c>
    </row>
    <row r="452" spans="1:20" ht="15.75" customHeight="1" thickBot="1" x14ac:dyDescent="0.35">
      <c r="A452" s="234" t="s">
        <v>2165</v>
      </c>
      <c r="B452" s="172"/>
      <c r="C452" s="172"/>
      <c r="D452" s="172"/>
      <c r="E452" s="38" t="s">
        <v>852</v>
      </c>
      <c r="F452" s="172"/>
      <c r="G452" s="172"/>
      <c r="H452" s="172"/>
      <c r="I452" s="38" t="s">
        <v>852</v>
      </c>
      <c r="J452" s="172"/>
      <c r="K452" s="172"/>
      <c r="L452" s="172"/>
      <c r="M452" s="38" t="s">
        <v>852</v>
      </c>
      <c r="N452" s="172"/>
      <c r="O452" s="172"/>
      <c r="P452" s="172"/>
      <c r="Q452" s="38" t="s">
        <v>852</v>
      </c>
      <c r="R452" s="38" t="s">
        <v>852</v>
      </c>
    </row>
    <row r="453" spans="1:20" ht="16.5" customHeight="1" thickBot="1" x14ac:dyDescent="0.35">
      <c r="A453" s="43" t="s">
        <v>1219</v>
      </c>
      <c r="B453" s="45">
        <f>SUM(B449:B452)</f>
        <v>1023</v>
      </c>
      <c r="C453" s="46">
        <f>SUM(C449:C452)</f>
        <v>2232</v>
      </c>
      <c r="D453" s="46">
        <f>SUM(D449:D452)</f>
        <v>5720</v>
      </c>
      <c r="E453" s="37">
        <f>SUM(B453:D453)</f>
        <v>8975</v>
      </c>
      <c r="F453" s="46">
        <f>SUM(F449:F452)</f>
        <v>10028</v>
      </c>
      <c r="G453" s="46">
        <f>SUM(G449:G452)</f>
        <v>1667</v>
      </c>
      <c r="H453" s="46">
        <f>SUM(H449:H452)</f>
        <v>4782</v>
      </c>
      <c r="I453" s="37">
        <f>SUM(F453:H453)</f>
        <v>16477</v>
      </c>
      <c r="J453" s="46">
        <f>SUM(J449:J452)</f>
        <v>12087</v>
      </c>
      <c r="K453" s="46">
        <f>SUM(K449:K452)</f>
        <v>11047</v>
      </c>
      <c r="L453" s="46">
        <f>SUM(L449:L452)</f>
        <v>5185</v>
      </c>
      <c r="M453" s="37">
        <f>SUM(J453:L453)</f>
        <v>28319</v>
      </c>
      <c r="N453" s="46">
        <f>SUM(N449:N452)</f>
        <v>2008</v>
      </c>
      <c r="O453" s="46">
        <f>SUM(O449:O452)</f>
        <v>319</v>
      </c>
      <c r="P453" s="46">
        <f>SUM(P449:P452)</f>
        <v>645</v>
      </c>
      <c r="Q453" s="37">
        <f>SUM(N453:P453)</f>
        <v>2972</v>
      </c>
      <c r="R453" s="37">
        <f>+E453+I453+M453+Q453</f>
        <v>56743</v>
      </c>
    </row>
    <row r="454" spans="1:20" ht="15.75" customHeight="1" x14ac:dyDescent="0.3">
      <c r="A454" s="234" t="s">
        <v>2166</v>
      </c>
      <c r="B454" s="172"/>
      <c r="C454" s="172"/>
      <c r="D454" s="172"/>
      <c r="E454" s="38" t="s">
        <v>852</v>
      </c>
      <c r="F454" s="172"/>
      <c r="G454" s="172"/>
      <c r="H454" s="172"/>
      <c r="I454" s="38" t="s">
        <v>852</v>
      </c>
      <c r="J454" s="172"/>
      <c r="K454" s="172"/>
      <c r="L454" s="172"/>
      <c r="M454" s="38" t="s">
        <v>852</v>
      </c>
      <c r="N454" s="172"/>
      <c r="O454" s="172"/>
      <c r="P454" s="172"/>
      <c r="Q454" s="38" t="s">
        <v>852</v>
      </c>
      <c r="R454" s="38" t="s">
        <v>852</v>
      </c>
    </row>
    <row r="455" spans="1:20" ht="15.75" customHeight="1" x14ac:dyDescent="0.3">
      <c r="A455" s="234" t="s">
        <v>1245</v>
      </c>
      <c r="B455" s="172"/>
      <c r="C455" s="172"/>
      <c r="D455" s="172"/>
      <c r="E455" s="38" t="s">
        <v>852</v>
      </c>
      <c r="F455" s="172"/>
      <c r="G455" s="172"/>
      <c r="H455" s="172"/>
      <c r="I455" s="38" t="s">
        <v>852</v>
      </c>
      <c r="J455" s="172"/>
      <c r="K455" s="172"/>
      <c r="L455" s="172"/>
      <c r="M455" s="38" t="s">
        <v>852</v>
      </c>
      <c r="N455" s="172"/>
      <c r="O455" s="172"/>
      <c r="P455" s="172"/>
      <c r="Q455" s="38" t="s">
        <v>852</v>
      </c>
      <c r="R455" s="38" t="s">
        <v>852</v>
      </c>
    </row>
    <row r="456" spans="1:20" ht="15.75" customHeight="1" x14ac:dyDescent="0.3">
      <c r="A456" s="234" t="s">
        <v>1711</v>
      </c>
      <c r="B456" s="172"/>
      <c r="C456" s="172"/>
      <c r="D456" s="172"/>
      <c r="E456" s="38" t="s">
        <v>852</v>
      </c>
      <c r="F456" s="172"/>
      <c r="G456" s="172"/>
      <c r="H456" s="172"/>
      <c r="I456" s="38" t="s">
        <v>852</v>
      </c>
      <c r="J456" s="172"/>
      <c r="K456" s="172"/>
      <c r="L456" s="172"/>
      <c r="M456" s="38" t="s">
        <v>852</v>
      </c>
      <c r="N456" s="172"/>
      <c r="O456" s="172"/>
      <c r="P456" s="172"/>
      <c r="Q456" s="38" t="s">
        <v>852</v>
      </c>
      <c r="R456" s="38" t="s">
        <v>852</v>
      </c>
    </row>
    <row r="457" spans="1:20" ht="15.75" customHeight="1" thickBot="1" x14ac:dyDescent="0.35">
      <c r="A457" s="689" t="s">
        <v>2937</v>
      </c>
      <c r="B457" s="354"/>
      <c r="C457" s="354"/>
      <c r="D457" s="354"/>
      <c r="E457" s="38">
        <f>SUM(B457:D457)</f>
        <v>0</v>
      </c>
      <c r="F457" s="10"/>
      <c r="G457" s="10"/>
      <c r="H457" s="10"/>
      <c r="I457" s="38">
        <f>SUM(F457:H457)</f>
        <v>0</v>
      </c>
      <c r="J457" s="10"/>
      <c r="K457" s="10"/>
      <c r="L457" s="10"/>
      <c r="M457" s="38">
        <f>SUM(J457:L457)</f>
        <v>0</v>
      </c>
      <c r="N457" s="10"/>
      <c r="O457" s="10"/>
      <c r="P457" s="10"/>
      <c r="Q457" s="38">
        <f>SUM(N457:P457)</f>
        <v>0</v>
      </c>
      <c r="R457" s="38">
        <f>+E457+I457+M457+Q457</f>
        <v>0</v>
      </c>
      <c r="T457" t="s">
        <v>500</v>
      </c>
    </row>
    <row r="458" spans="1:20" ht="16.5" customHeight="1" thickBot="1" x14ac:dyDescent="0.35">
      <c r="A458" s="277" t="s">
        <v>1220</v>
      </c>
      <c r="B458" s="45">
        <f>SUM(B454:B457)</f>
        <v>0</v>
      </c>
      <c r="C458" s="46">
        <f>SUM(C454:C457)</f>
        <v>0</v>
      </c>
      <c r="D458" s="46">
        <f>SUM(D454:D457)</f>
        <v>0</v>
      </c>
      <c r="E458" s="37">
        <f>SUM(B458:D458)</f>
        <v>0</v>
      </c>
      <c r="F458" s="46">
        <f>SUM(F454:F457)</f>
        <v>0</v>
      </c>
      <c r="G458" s="46">
        <f>SUM(G454:G457)</f>
        <v>0</v>
      </c>
      <c r="H458" s="46">
        <f>SUM(H454:H457)</f>
        <v>0</v>
      </c>
      <c r="I458" s="37">
        <f>SUM(F458:H458)</f>
        <v>0</v>
      </c>
      <c r="J458" s="46">
        <f>SUM(J454:J457)</f>
        <v>0</v>
      </c>
      <c r="K458" s="46">
        <f>SUM(K454:K457)</f>
        <v>0</v>
      </c>
      <c r="L458" s="46">
        <f>SUM(L454:L457)</f>
        <v>0</v>
      </c>
      <c r="M458" s="37">
        <f>SUM(J458:L458)</f>
        <v>0</v>
      </c>
      <c r="N458" s="46">
        <f>SUM(N454:N457)</f>
        <v>0</v>
      </c>
      <c r="O458" s="46">
        <f>SUM(O454:O457)</f>
        <v>0</v>
      </c>
      <c r="P458" s="46">
        <f>SUM(P454:P457)</f>
        <v>0</v>
      </c>
      <c r="Q458" s="37">
        <f>SUM(N458:P458)</f>
        <v>0</v>
      </c>
      <c r="R458" s="37">
        <f>+E458+I458+M458+Q458</f>
        <v>0</v>
      </c>
    </row>
    <row r="459" spans="1:20" ht="15.75" customHeight="1" x14ac:dyDescent="0.3">
      <c r="A459" s="234" t="s">
        <v>1712</v>
      </c>
      <c r="B459" s="172"/>
      <c r="C459" s="172"/>
      <c r="D459" s="172"/>
      <c r="E459" s="38" t="s">
        <v>852</v>
      </c>
      <c r="F459" s="172"/>
      <c r="G459" s="172"/>
      <c r="H459" s="172"/>
      <c r="I459" s="38" t="s">
        <v>852</v>
      </c>
      <c r="J459" s="172"/>
      <c r="K459" s="172"/>
      <c r="L459" s="172"/>
      <c r="M459" s="38" t="s">
        <v>852</v>
      </c>
      <c r="N459" s="172"/>
      <c r="O459" s="172"/>
      <c r="P459" s="172"/>
      <c r="Q459" s="38" t="s">
        <v>852</v>
      </c>
      <c r="R459" s="38" t="s">
        <v>852</v>
      </c>
    </row>
    <row r="460" spans="1:20" ht="15.75" customHeight="1" x14ac:dyDescent="0.3">
      <c r="A460" s="234" t="s">
        <v>1021</v>
      </c>
      <c r="B460" s="172"/>
      <c r="C460" s="172"/>
      <c r="D460" s="172"/>
      <c r="E460" s="38" t="s">
        <v>852</v>
      </c>
      <c r="F460" s="172"/>
      <c r="G460" s="172"/>
      <c r="H460" s="172"/>
      <c r="I460" s="38" t="s">
        <v>852</v>
      </c>
      <c r="J460" s="172"/>
      <c r="K460" s="172"/>
      <c r="L460" s="172"/>
      <c r="M460" s="38" t="s">
        <v>852</v>
      </c>
      <c r="N460" s="172"/>
      <c r="O460" s="172"/>
      <c r="P460" s="172"/>
      <c r="Q460" s="38" t="s">
        <v>852</v>
      </c>
      <c r="R460" s="38" t="s">
        <v>852</v>
      </c>
    </row>
    <row r="461" spans="1:20" ht="15.75" customHeight="1" x14ac:dyDescent="0.3">
      <c r="A461" s="234" t="s">
        <v>557</v>
      </c>
      <c r="B461" s="172"/>
      <c r="C461" s="172"/>
      <c r="D461" s="172"/>
      <c r="E461" s="38" t="s">
        <v>852</v>
      </c>
      <c r="F461" s="172"/>
      <c r="G461" s="172"/>
      <c r="H461" s="172"/>
      <c r="I461" s="38" t="s">
        <v>852</v>
      </c>
      <c r="J461" s="172"/>
      <c r="K461" s="172"/>
      <c r="L461" s="172"/>
      <c r="M461" s="38" t="s">
        <v>852</v>
      </c>
      <c r="N461" s="172"/>
      <c r="O461" s="172"/>
      <c r="P461" s="172"/>
      <c r="Q461" s="38" t="s">
        <v>852</v>
      </c>
      <c r="R461" s="38" t="s">
        <v>852</v>
      </c>
    </row>
    <row r="462" spans="1:20" ht="15.75" customHeight="1" x14ac:dyDescent="0.3">
      <c r="A462" s="234" t="s">
        <v>1022</v>
      </c>
      <c r="B462" s="172"/>
      <c r="C462" s="172"/>
      <c r="D462" s="172"/>
      <c r="E462" s="38" t="s">
        <v>852</v>
      </c>
      <c r="F462" s="172"/>
      <c r="G462" s="172"/>
      <c r="H462" s="172"/>
      <c r="I462" s="38" t="s">
        <v>852</v>
      </c>
      <c r="J462" s="172"/>
      <c r="K462" s="172"/>
      <c r="L462" s="172"/>
      <c r="M462" s="38" t="s">
        <v>852</v>
      </c>
      <c r="N462" s="172"/>
      <c r="O462" s="172"/>
      <c r="P462" s="172"/>
      <c r="Q462" s="38" t="s">
        <v>852</v>
      </c>
      <c r="R462" s="38" t="s">
        <v>852</v>
      </c>
    </row>
    <row r="463" spans="1:20" ht="15.75" customHeight="1" x14ac:dyDescent="0.3">
      <c r="A463" s="234" t="s">
        <v>559</v>
      </c>
      <c r="B463" s="172"/>
      <c r="C463" s="172"/>
      <c r="D463" s="172"/>
      <c r="E463" s="38" t="s">
        <v>852</v>
      </c>
      <c r="F463" s="172"/>
      <c r="G463" s="172"/>
      <c r="H463" s="172"/>
      <c r="I463" s="38" t="s">
        <v>852</v>
      </c>
      <c r="J463" s="172"/>
      <c r="K463" s="172"/>
      <c r="L463" s="172"/>
      <c r="M463" s="38" t="s">
        <v>852</v>
      </c>
      <c r="N463" s="172"/>
      <c r="O463" s="172"/>
      <c r="P463" s="172"/>
      <c r="Q463" s="38" t="s">
        <v>852</v>
      </c>
      <c r="R463" s="38" t="s">
        <v>852</v>
      </c>
    </row>
    <row r="464" spans="1:20" ht="15.75" customHeight="1" x14ac:dyDescent="0.3">
      <c r="A464" s="539" t="s">
        <v>2936</v>
      </c>
      <c r="B464" s="10"/>
      <c r="C464" s="10"/>
      <c r="D464" s="10"/>
      <c r="E464" s="38">
        <f t="shared" ref="E464:E469" si="86">SUM(B464:D464)</f>
        <v>0</v>
      </c>
      <c r="F464" s="10"/>
      <c r="G464" s="10"/>
      <c r="H464" s="10"/>
      <c r="I464" s="38">
        <f t="shared" ref="I464:I469" si="87">SUM(F464:H464)</f>
        <v>0</v>
      </c>
      <c r="J464" s="10"/>
      <c r="K464" s="10"/>
      <c r="L464" s="10"/>
      <c r="M464" s="38">
        <f t="shared" ref="M464:M469" si="88">SUM(J464:L464)</f>
        <v>0</v>
      </c>
      <c r="N464" s="10"/>
      <c r="O464" s="10"/>
      <c r="P464" s="10"/>
      <c r="Q464" s="38">
        <f t="shared" ref="Q464:Q469" si="89">SUM(N464:P464)</f>
        <v>0</v>
      </c>
      <c r="R464" s="38">
        <f t="shared" ref="R464:R469" si="90">+E464+I464+M464+Q464</f>
        <v>0</v>
      </c>
      <c r="T464" t="s">
        <v>500</v>
      </c>
    </row>
    <row r="465" spans="1:20" ht="15.75" customHeight="1" thickBot="1" x14ac:dyDescent="0.35">
      <c r="A465" s="539" t="s">
        <v>2834</v>
      </c>
      <c r="B465" s="172"/>
      <c r="C465" s="172"/>
      <c r="D465" s="172"/>
      <c r="E465" s="38">
        <f t="shared" si="86"/>
        <v>0</v>
      </c>
      <c r="F465" s="172"/>
      <c r="G465" s="172"/>
      <c r="H465" s="172"/>
      <c r="I465" s="38">
        <f t="shared" si="87"/>
        <v>0</v>
      </c>
      <c r="J465" s="172"/>
      <c r="K465" s="172"/>
      <c r="L465" s="172"/>
      <c r="M465" s="38">
        <f t="shared" si="88"/>
        <v>0</v>
      </c>
      <c r="N465" s="172"/>
      <c r="O465" s="172"/>
      <c r="P465" s="172"/>
      <c r="Q465" s="38">
        <f t="shared" si="89"/>
        <v>0</v>
      </c>
      <c r="R465" s="38">
        <f t="shared" si="90"/>
        <v>0</v>
      </c>
      <c r="T465" t="s">
        <v>500</v>
      </c>
    </row>
    <row r="466" spans="1:20" ht="16.5" customHeight="1" thickBot="1" x14ac:dyDescent="0.35">
      <c r="A466" s="43" t="s">
        <v>1019</v>
      </c>
      <c r="B466" s="42">
        <f>SUM(B462:B465)</f>
        <v>0</v>
      </c>
      <c r="C466" s="42">
        <f>SUM(C462:C465)</f>
        <v>0</v>
      </c>
      <c r="D466" s="42">
        <f>SUM(D462:D465)</f>
        <v>0</v>
      </c>
      <c r="E466" s="39">
        <f t="shared" si="86"/>
        <v>0</v>
      </c>
      <c r="F466" s="42">
        <f>SUM(F462:F465)</f>
        <v>0</v>
      </c>
      <c r="G466" s="42">
        <f>SUM(G462:G465)</f>
        <v>0</v>
      </c>
      <c r="H466" s="42">
        <f>SUM(H462:H465)</f>
        <v>0</v>
      </c>
      <c r="I466" s="39">
        <f t="shared" si="87"/>
        <v>0</v>
      </c>
      <c r="J466" s="42">
        <f>SUM(J462:J465)</f>
        <v>0</v>
      </c>
      <c r="K466" s="42">
        <f>SUM(K462:K465)</f>
        <v>0</v>
      </c>
      <c r="L466" s="42">
        <f>SUM(L462:L465)</f>
        <v>0</v>
      </c>
      <c r="M466" s="39">
        <f t="shared" si="88"/>
        <v>0</v>
      </c>
      <c r="N466" s="42">
        <f>SUM(N462:N465)</f>
        <v>0</v>
      </c>
      <c r="O466" s="42">
        <f>SUM(O462:O465)</f>
        <v>0</v>
      </c>
      <c r="P466" s="42">
        <f>SUM(P462:P465)</f>
        <v>0</v>
      </c>
      <c r="Q466" s="39">
        <f t="shared" si="89"/>
        <v>0</v>
      </c>
      <c r="R466" s="37">
        <f t="shared" si="90"/>
        <v>0</v>
      </c>
    </row>
    <row r="467" spans="1:20" ht="16.5" customHeight="1" thickBot="1" x14ac:dyDescent="0.35">
      <c r="A467" s="277" t="s">
        <v>1221</v>
      </c>
      <c r="B467" s="45">
        <f>SUM(B459:B465)</f>
        <v>0</v>
      </c>
      <c r="C467" s="46">
        <f>SUM(C459:C465)</f>
        <v>0</v>
      </c>
      <c r="D467" s="58">
        <f>SUM(D459:D465)</f>
        <v>0</v>
      </c>
      <c r="E467" s="39">
        <f t="shared" si="86"/>
        <v>0</v>
      </c>
      <c r="F467" s="46">
        <f>SUM(F459:F465)</f>
        <v>0</v>
      </c>
      <c r="G467" s="46">
        <f>SUM(G459:G465)</f>
        <v>0</v>
      </c>
      <c r="H467" s="46">
        <f>SUM(H459:H465)</f>
        <v>0</v>
      </c>
      <c r="I467" s="39">
        <f t="shared" si="87"/>
        <v>0</v>
      </c>
      <c r="J467" s="46">
        <f>SUM(J459:J465)</f>
        <v>0</v>
      </c>
      <c r="K467" s="46">
        <f>SUM(K459:K465)</f>
        <v>0</v>
      </c>
      <c r="L467" s="46">
        <f>SUM(L459:L465)</f>
        <v>0</v>
      </c>
      <c r="M467" s="39">
        <f t="shared" si="88"/>
        <v>0</v>
      </c>
      <c r="N467" s="46">
        <f>SUM(N459:N465)</f>
        <v>0</v>
      </c>
      <c r="O467" s="46">
        <f>SUM(O459:O465)</f>
        <v>0</v>
      </c>
      <c r="P467" s="46">
        <f>SUM(P459:P465)</f>
        <v>0</v>
      </c>
      <c r="Q467" s="39">
        <f t="shared" si="89"/>
        <v>0</v>
      </c>
      <c r="R467" s="37">
        <f t="shared" si="90"/>
        <v>0</v>
      </c>
    </row>
    <row r="468" spans="1:20" ht="16.5" customHeight="1" thickBot="1" x14ac:dyDescent="0.35">
      <c r="A468" s="43" t="s">
        <v>1222</v>
      </c>
      <c r="B468" s="47">
        <f>+B448+B453+B458+B467</f>
        <v>1023</v>
      </c>
      <c r="C468" s="42">
        <f>+C448+C453+C458+C467</f>
        <v>2232</v>
      </c>
      <c r="D468" s="42">
        <f>+D448+D453+D458+D467</f>
        <v>5720</v>
      </c>
      <c r="E468" s="37">
        <f t="shared" si="86"/>
        <v>8975</v>
      </c>
      <c r="F468" s="42">
        <f>+F448+F453+F458+F467</f>
        <v>10028</v>
      </c>
      <c r="G468" s="42">
        <f>+G448+G453+G458+G467</f>
        <v>2767</v>
      </c>
      <c r="H468" s="42">
        <f>+H448+H453+H458+H467</f>
        <v>8430</v>
      </c>
      <c r="I468" s="37">
        <f t="shared" si="87"/>
        <v>21225</v>
      </c>
      <c r="J468" s="42">
        <f>+J448+J453+J458+J467</f>
        <v>12099</v>
      </c>
      <c r="K468" s="42">
        <f>+K448+K453+K458+K467</f>
        <v>11049</v>
      </c>
      <c r="L468" s="42">
        <f>+L448+L453+L458+L467</f>
        <v>5186</v>
      </c>
      <c r="M468" s="37">
        <f t="shared" si="88"/>
        <v>28334</v>
      </c>
      <c r="N468" s="42">
        <f>+N448+N453+N458+N467</f>
        <v>2008</v>
      </c>
      <c r="O468" s="42">
        <f>+O448+O453+O458+O467</f>
        <v>319</v>
      </c>
      <c r="P468" s="42">
        <f>+P448+P453+P458+P467</f>
        <v>645</v>
      </c>
      <c r="Q468" s="37">
        <f t="shared" si="89"/>
        <v>2972</v>
      </c>
      <c r="R468" s="40">
        <f t="shared" si="90"/>
        <v>61506</v>
      </c>
    </row>
    <row r="469" spans="1:20" ht="16.5" customHeight="1" thickBot="1" x14ac:dyDescent="0.35">
      <c r="A469" s="244" t="s">
        <v>853</v>
      </c>
      <c r="B469" s="238">
        <v>9</v>
      </c>
      <c r="C469" s="238">
        <v>16</v>
      </c>
      <c r="D469" s="238">
        <v>25</v>
      </c>
      <c r="E469" s="38">
        <f t="shared" si="86"/>
        <v>50</v>
      </c>
      <c r="F469" s="238">
        <v>34</v>
      </c>
      <c r="G469" s="238">
        <v>41</v>
      </c>
      <c r="H469" s="238">
        <v>41</v>
      </c>
      <c r="I469" s="38">
        <f t="shared" si="87"/>
        <v>116</v>
      </c>
      <c r="J469" s="238">
        <v>39</v>
      </c>
      <c r="K469" s="238">
        <v>30</v>
      </c>
      <c r="L469" s="238">
        <v>30</v>
      </c>
      <c r="M469" s="38">
        <f t="shared" si="88"/>
        <v>99</v>
      </c>
      <c r="N469" s="238">
        <v>28</v>
      </c>
      <c r="O469" s="238">
        <v>22</v>
      </c>
      <c r="P469" s="238">
        <v>16</v>
      </c>
      <c r="Q469" s="38">
        <f t="shared" si="89"/>
        <v>66</v>
      </c>
      <c r="R469" s="38">
        <f t="shared" si="90"/>
        <v>331</v>
      </c>
    </row>
    <row r="470" spans="1:20" ht="16.5" customHeight="1" thickBot="1" x14ac:dyDescent="0.35">
      <c r="A470" s="44"/>
      <c r="B470" s="258"/>
      <c r="C470" s="258"/>
      <c r="D470" s="258"/>
      <c r="E470" s="37"/>
      <c r="F470" s="258"/>
      <c r="G470" s="258"/>
      <c r="H470" s="258"/>
      <c r="I470" s="37"/>
      <c r="J470" s="258"/>
      <c r="K470" s="258"/>
      <c r="L470" s="258"/>
      <c r="M470" s="37"/>
      <c r="N470" s="258"/>
      <c r="O470" s="258"/>
      <c r="P470" s="258"/>
      <c r="Q470" s="37"/>
      <c r="R470" s="37" t="s">
        <v>852</v>
      </c>
    </row>
    <row r="471" spans="1:20" ht="15.75" customHeight="1" x14ac:dyDescent="0.3">
      <c r="A471" s="259" t="s">
        <v>2011</v>
      </c>
      <c r="B471" s="260">
        <f>SUM(B468:B469)</f>
        <v>1032</v>
      </c>
      <c r="C471" s="260">
        <f>SUM(C468:C469)</f>
        <v>2248</v>
      </c>
      <c r="D471" s="260">
        <f>SUM(D468:D469)</f>
        <v>5745</v>
      </c>
      <c r="E471" s="39">
        <f>SUM(B471:D471)</f>
        <v>9025</v>
      </c>
      <c r="F471" s="260">
        <f>SUM(F468:F469)</f>
        <v>10062</v>
      </c>
      <c r="G471" s="260">
        <f>SUM(G468:G469)</f>
        <v>2808</v>
      </c>
      <c r="H471" s="260">
        <f>SUM(H468:H469)</f>
        <v>8471</v>
      </c>
      <c r="I471" s="39">
        <f>SUM(F471:H471)</f>
        <v>21341</v>
      </c>
      <c r="J471" s="260">
        <f>SUM(J468:J469)</f>
        <v>12138</v>
      </c>
      <c r="K471" s="260">
        <f>SUM(K468:K469)</f>
        <v>11079</v>
      </c>
      <c r="L471" s="260">
        <f>SUM(L468:L469)</f>
        <v>5216</v>
      </c>
      <c r="M471" s="39">
        <f>SUM(J471:L471)</f>
        <v>28433</v>
      </c>
      <c r="N471" s="260">
        <f>SUM(N468:N469)</f>
        <v>2036</v>
      </c>
      <c r="O471" s="260">
        <f>SUM(O468:O469)</f>
        <v>341</v>
      </c>
      <c r="P471" s="260">
        <f>SUM(P468:P469)</f>
        <v>661</v>
      </c>
      <c r="Q471" s="39">
        <f>SUM(N471:P471)</f>
        <v>3038</v>
      </c>
      <c r="R471" s="39">
        <f>+E471+I471+M471+Q471</f>
        <v>61837</v>
      </c>
    </row>
    <row r="472" spans="1:20" ht="15.75" customHeight="1" x14ac:dyDescent="0.3">
      <c r="A472" s="262" t="s">
        <v>1897</v>
      </c>
      <c r="B472" s="172">
        <f>(B471/B10)/1.983</f>
        <v>16.787858084036891</v>
      </c>
      <c r="C472" s="172">
        <f>(C471/C10)/1.983</f>
        <v>40.486996614076794</v>
      </c>
      <c r="D472" s="172">
        <f>(D471/D10)/1.983</f>
        <v>93.455663462007706</v>
      </c>
      <c r="E472" s="38" t="s">
        <v>852</v>
      </c>
      <c r="F472" s="172">
        <f>(F471/F10)/1.983</f>
        <v>169.13767019667168</v>
      </c>
      <c r="G472" s="172">
        <f>(G471/G10)/1.983</f>
        <v>45.678590600751548</v>
      </c>
      <c r="H472" s="172">
        <f>(H471/H10)/1.983</f>
        <v>142.39367961001849</v>
      </c>
      <c r="I472" s="38" t="s">
        <v>852</v>
      </c>
      <c r="J472" s="172">
        <f>(J471/J10)/1.983</f>
        <v>197.45254013957347</v>
      </c>
      <c r="K472" s="172">
        <f>(K471/K10)/1.983</f>
        <v>180.22546483822165</v>
      </c>
      <c r="L472" s="172">
        <f>(L471/L10)/1.983</f>
        <v>87.678601445621112</v>
      </c>
      <c r="M472" s="38" t="s">
        <v>852</v>
      </c>
      <c r="N472" s="172">
        <f>(N471/N10)/1.983</f>
        <v>33.12023164641387</v>
      </c>
      <c r="O472" s="172">
        <f>(O471/O10)/1.983</f>
        <v>5.7320558076987727</v>
      </c>
      <c r="P472" s="172">
        <f>(P471/P10)/1.983</f>
        <v>10.752688172043012</v>
      </c>
      <c r="Q472" s="38" t="s">
        <v>852</v>
      </c>
      <c r="R472" s="38" t="s">
        <v>852</v>
      </c>
    </row>
    <row r="473" spans="1:20" ht="15.75" customHeight="1" x14ac:dyDescent="0.3">
      <c r="A473" s="262" t="s">
        <v>575</v>
      </c>
      <c r="B473" s="172">
        <f>B471+B516</f>
        <v>17038</v>
      </c>
      <c r="C473" s="172">
        <f>C471+C516</f>
        <v>24974</v>
      </c>
      <c r="D473" s="172">
        <f>D471+D516</f>
        <v>33370</v>
      </c>
      <c r="E473" s="38">
        <f>SUM(B473:D473)</f>
        <v>75382</v>
      </c>
      <c r="F473" s="172">
        <f>F471+F516</f>
        <v>44135</v>
      </c>
      <c r="G473" s="172">
        <f>G471+G516</f>
        <v>29212</v>
      </c>
      <c r="H473" s="172">
        <f>H471+H516</f>
        <v>32237</v>
      </c>
      <c r="I473" s="38">
        <f>SUM(F473:H473)</f>
        <v>105584</v>
      </c>
      <c r="J473" s="172">
        <f>J471+J516</f>
        <v>41523</v>
      </c>
      <c r="K473" s="172">
        <f>K471+K516</f>
        <v>37282</v>
      </c>
      <c r="L473" s="172">
        <f>L471+L516</f>
        <v>25918</v>
      </c>
      <c r="M473" s="38">
        <f>SUM(J473:L473)</f>
        <v>104723</v>
      </c>
      <c r="N473" s="172">
        <f>N471+N516</f>
        <v>17021</v>
      </c>
      <c r="O473" s="172">
        <f>O471+O516</f>
        <v>8227</v>
      </c>
      <c r="P473" s="172">
        <f>P471+P516</f>
        <v>17963</v>
      </c>
      <c r="Q473" s="38">
        <f>SUM(N473:P473)</f>
        <v>43211</v>
      </c>
      <c r="R473" s="38">
        <f>+E473+I473+M473+Q473</f>
        <v>328900</v>
      </c>
    </row>
    <row r="474" spans="1:20" ht="16.5" customHeight="1" thickBot="1" x14ac:dyDescent="0.35">
      <c r="A474" s="263" t="s">
        <v>576</v>
      </c>
      <c r="B474" s="264">
        <f>(B473/B10)/1.983</f>
        <v>277.16233143005871</v>
      </c>
      <c r="C474" s="264">
        <f>(C473/C10)/1.983</f>
        <v>449.78747928823572</v>
      </c>
      <c r="D474" s="264">
        <f>(D473/D10)/1.983</f>
        <v>542.83994599254959</v>
      </c>
      <c r="E474" s="40" t="s">
        <v>852</v>
      </c>
      <c r="F474" s="264">
        <f>(F473/F10)/1.983</f>
        <v>741.88939317532356</v>
      </c>
      <c r="G474" s="264">
        <f>(G473/G10)/1.983</f>
        <v>475.20049452605207</v>
      </c>
      <c r="H474" s="264">
        <f>(H473/H10)/1.983</f>
        <v>541.88939317532356</v>
      </c>
      <c r="I474" s="40" t="s">
        <v>852</v>
      </c>
      <c r="J474" s="264">
        <f>(J473/J10)/1.983</f>
        <v>675.46727831731005</v>
      </c>
      <c r="K474" s="264">
        <f>(K473/K10)/1.983</f>
        <v>606.47764059017777</v>
      </c>
      <c r="L474" s="264">
        <f>(L473/L10)/1.983</f>
        <v>435.66986048075302</v>
      </c>
      <c r="M474" s="40" t="s">
        <v>852</v>
      </c>
      <c r="N474" s="264">
        <f>(N473/N10)/1.983</f>
        <v>276.88578725619379</v>
      </c>
      <c r="O474" s="264">
        <f>(O473/O10)/1.983</f>
        <v>138.29214994116657</v>
      </c>
      <c r="P474" s="264">
        <f>(P473/P10)/1.983</f>
        <v>292.20958794918096</v>
      </c>
      <c r="Q474" s="40" t="s">
        <v>852</v>
      </c>
      <c r="R474" s="40" t="s">
        <v>852</v>
      </c>
    </row>
    <row r="475" spans="1:20" ht="15.75" customHeight="1" x14ac:dyDescent="0.3">
      <c r="A475" s="17"/>
      <c r="B475" s="172"/>
      <c r="C475" s="172"/>
      <c r="D475" s="172"/>
      <c r="E475" s="172"/>
      <c r="F475" s="172"/>
      <c r="G475" s="172"/>
      <c r="H475" s="172"/>
      <c r="I475" s="172"/>
      <c r="J475" s="172"/>
      <c r="K475" s="172"/>
      <c r="L475" s="172"/>
      <c r="M475" s="172"/>
      <c r="N475" s="172"/>
      <c r="O475" s="172"/>
      <c r="P475" s="172"/>
      <c r="Q475" s="172"/>
      <c r="R475" s="17"/>
    </row>
    <row r="476" spans="1:20" ht="15.75" customHeight="1" thickBot="1" x14ac:dyDescent="0.35">
      <c r="A476" s="17"/>
      <c r="B476" s="172"/>
      <c r="C476" s="172"/>
      <c r="D476" s="172"/>
      <c r="E476" s="172"/>
      <c r="F476" s="172"/>
      <c r="G476" s="172"/>
      <c r="H476" s="172"/>
      <c r="I476" s="172"/>
      <c r="J476" s="172"/>
      <c r="K476" s="172"/>
      <c r="L476" s="172"/>
      <c r="M476" s="172"/>
      <c r="N476" s="172"/>
      <c r="O476" s="172"/>
      <c r="P476" s="172"/>
      <c r="Q476" s="172"/>
      <c r="R476" s="17"/>
    </row>
    <row r="477" spans="1:20" ht="16.5" customHeight="1" thickBot="1" x14ac:dyDescent="0.35">
      <c r="A477" s="278" t="s">
        <v>689</v>
      </c>
      <c r="B477" s="4" t="s">
        <v>2090</v>
      </c>
      <c r="C477" s="5" t="s">
        <v>2091</v>
      </c>
      <c r="D477" s="5" t="s">
        <v>2234</v>
      </c>
      <c r="E477" s="33" t="s">
        <v>1594</v>
      </c>
      <c r="F477" s="5" t="s">
        <v>2235</v>
      </c>
      <c r="G477" s="5" t="s">
        <v>2236</v>
      </c>
      <c r="H477" s="5" t="s">
        <v>2237</v>
      </c>
      <c r="I477" s="35" t="s">
        <v>1595</v>
      </c>
      <c r="J477" s="5" t="s">
        <v>1504</v>
      </c>
      <c r="K477" s="5" t="s">
        <v>1505</v>
      </c>
      <c r="L477" s="5" t="s">
        <v>1506</v>
      </c>
      <c r="M477" s="35" t="s">
        <v>1596</v>
      </c>
      <c r="N477" s="5" t="s">
        <v>1507</v>
      </c>
      <c r="O477" s="5" t="s">
        <v>1508</v>
      </c>
      <c r="P477" s="5" t="s">
        <v>1509</v>
      </c>
      <c r="Q477" s="35" t="s">
        <v>1597</v>
      </c>
      <c r="R477" s="36" t="s">
        <v>1510</v>
      </c>
    </row>
    <row r="478" spans="1:20" ht="16.5" customHeight="1" thickBot="1" x14ac:dyDescent="0.35">
      <c r="A478" s="37"/>
      <c r="B478" s="258"/>
      <c r="C478" s="258"/>
      <c r="D478" s="258"/>
      <c r="E478" s="254"/>
      <c r="F478" s="258"/>
      <c r="G478" s="258"/>
      <c r="H478" s="258"/>
      <c r="I478" s="265"/>
      <c r="J478" s="258"/>
      <c r="K478" s="258"/>
      <c r="L478" s="258"/>
      <c r="M478" s="265"/>
      <c r="N478" s="258"/>
      <c r="O478" s="258"/>
      <c r="P478" s="258"/>
      <c r="Q478" s="265"/>
      <c r="R478" s="52"/>
    </row>
    <row r="479" spans="1:20" ht="15.75" customHeight="1" x14ac:dyDescent="0.3">
      <c r="A479" s="234" t="s">
        <v>2417</v>
      </c>
      <c r="B479" s="172" t="s">
        <v>852</v>
      </c>
      <c r="C479" s="172" t="s">
        <v>852</v>
      </c>
      <c r="D479" s="172" t="s">
        <v>852</v>
      </c>
      <c r="E479" s="38" t="s">
        <v>852</v>
      </c>
      <c r="F479" s="172" t="s">
        <v>852</v>
      </c>
      <c r="G479" s="172" t="s">
        <v>852</v>
      </c>
      <c r="H479" s="172" t="s">
        <v>852</v>
      </c>
      <c r="I479" s="38" t="s">
        <v>852</v>
      </c>
      <c r="J479" s="172" t="s">
        <v>852</v>
      </c>
      <c r="K479" s="172" t="s">
        <v>852</v>
      </c>
      <c r="L479" s="172" t="s">
        <v>852</v>
      </c>
      <c r="M479" s="38" t="s">
        <v>852</v>
      </c>
      <c r="N479" s="172" t="s">
        <v>852</v>
      </c>
      <c r="O479" s="172" t="s">
        <v>852</v>
      </c>
      <c r="P479" s="172" t="s">
        <v>852</v>
      </c>
      <c r="Q479" s="38" t="s">
        <v>852</v>
      </c>
      <c r="R479" s="38" t="s">
        <v>852</v>
      </c>
    </row>
    <row r="480" spans="1:20" ht="15.75" customHeight="1" x14ac:dyDescent="0.3">
      <c r="A480" s="234" t="s">
        <v>2160</v>
      </c>
      <c r="B480" s="172"/>
      <c r="C480" s="172"/>
      <c r="D480" s="172"/>
      <c r="E480" s="38" t="s">
        <v>852</v>
      </c>
      <c r="F480" s="172"/>
      <c r="G480" s="172"/>
      <c r="H480" s="172"/>
      <c r="I480" s="38" t="s">
        <v>852</v>
      </c>
      <c r="J480" s="172"/>
      <c r="K480" s="172"/>
      <c r="L480" s="172"/>
      <c r="M480" s="38" t="s">
        <v>852</v>
      </c>
      <c r="N480" s="172"/>
      <c r="O480" s="172"/>
      <c r="P480" s="172"/>
      <c r="Q480" s="38" t="s">
        <v>852</v>
      </c>
      <c r="R480" s="38" t="s">
        <v>852</v>
      </c>
    </row>
    <row r="481" spans="1:20" ht="15.75" customHeight="1" x14ac:dyDescent="0.3">
      <c r="A481" s="234" t="s">
        <v>2976</v>
      </c>
      <c r="B481" s="10"/>
      <c r="C481" s="10"/>
      <c r="D481" s="10"/>
      <c r="E481" s="38">
        <f>SUM(B481:D481)</f>
        <v>0</v>
      </c>
      <c r="F481" s="10"/>
      <c r="G481" s="10">
        <v>1400</v>
      </c>
      <c r="H481" s="10"/>
      <c r="I481" s="38">
        <f>SUM(F481:H481)</f>
        <v>1400</v>
      </c>
      <c r="J481" s="10"/>
      <c r="K481" s="10"/>
      <c r="L481" s="10"/>
      <c r="M481" s="38">
        <f>SUM(J481:L481)</f>
        <v>0</v>
      </c>
      <c r="N481" s="10"/>
      <c r="O481" s="10"/>
      <c r="P481" s="10"/>
      <c r="Q481" s="38">
        <f>SUM(N481:P481)</f>
        <v>0</v>
      </c>
      <c r="R481" s="38">
        <f>+E481+I481+M481+Q481</f>
        <v>1400</v>
      </c>
      <c r="T481" t="s">
        <v>505</v>
      </c>
    </row>
    <row r="482" spans="1:20" ht="15.75" customHeight="1" x14ac:dyDescent="0.3">
      <c r="A482" s="310" t="s">
        <v>1478</v>
      </c>
      <c r="B482" s="10"/>
      <c r="C482" s="10"/>
      <c r="D482" s="10">
        <v>317</v>
      </c>
      <c r="E482" s="38">
        <f>SUM(B482:D482)</f>
        <v>317</v>
      </c>
      <c r="F482" s="10">
        <v>159</v>
      </c>
      <c r="G482" s="10">
        <v>110</v>
      </c>
      <c r="H482" s="10"/>
      <c r="I482" s="38">
        <f>SUM(F482:H482)</f>
        <v>269</v>
      </c>
      <c r="J482" s="10">
        <v>414</v>
      </c>
      <c r="K482" s="10"/>
      <c r="L482" s="10"/>
      <c r="M482" s="38">
        <f>SUM(J482:L482)</f>
        <v>414</v>
      </c>
      <c r="N482" s="10"/>
      <c r="O482" s="10"/>
      <c r="P482" s="10"/>
      <c r="Q482" s="38">
        <f>SUM(N482:P482)</f>
        <v>0</v>
      </c>
      <c r="R482" s="38">
        <f>+E482+I482+M482+Q482</f>
        <v>1000</v>
      </c>
    </row>
    <row r="483" spans="1:20" ht="15.75" customHeight="1" x14ac:dyDescent="0.3">
      <c r="A483" s="266" t="s">
        <v>485</v>
      </c>
      <c r="B483" s="172"/>
      <c r="C483" s="172"/>
      <c r="D483" s="172"/>
      <c r="E483" s="38">
        <f>SUM(B483:D483)</f>
        <v>0</v>
      </c>
      <c r="F483" s="172">
        <v>500</v>
      </c>
      <c r="G483" s="172">
        <v>1107</v>
      </c>
      <c r="H483" s="172">
        <v>1110</v>
      </c>
      <c r="I483" s="38">
        <f>SUM(F483:H483)</f>
        <v>2717</v>
      </c>
      <c r="J483" s="172">
        <v>349</v>
      </c>
      <c r="K483" s="172">
        <v>934</v>
      </c>
      <c r="L483" s="172"/>
      <c r="M483" s="38">
        <f>SUM(J483:L483)</f>
        <v>1283</v>
      </c>
      <c r="N483" s="172"/>
      <c r="O483" s="172"/>
      <c r="P483" s="172"/>
      <c r="Q483" s="38">
        <f>SUM(N483:P483)</f>
        <v>0</v>
      </c>
      <c r="R483" s="38">
        <f>+E483+I483+M483+Q483</f>
        <v>4000</v>
      </c>
    </row>
    <row r="484" spans="1:20" ht="15.75" customHeight="1" x14ac:dyDescent="0.3">
      <c r="A484" s="310" t="s">
        <v>1938</v>
      </c>
      <c r="B484" s="10"/>
      <c r="C484" s="10"/>
      <c r="D484" s="10"/>
      <c r="E484" s="38">
        <f>SUM(B484:D484)</f>
        <v>0</v>
      </c>
      <c r="F484" s="10"/>
      <c r="G484" s="10"/>
      <c r="H484" s="10"/>
      <c r="I484" s="38">
        <f>SUM(F484:H484)</f>
        <v>0</v>
      </c>
      <c r="J484" s="10">
        <v>250</v>
      </c>
      <c r="K484" s="10">
        <v>46</v>
      </c>
      <c r="L484" s="10">
        <v>363</v>
      </c>
      <c r="M484" s="38">
        <f>SUM(J484:L484)</f>
        <v>659</v>
      </c>
      <c r="N484" s="10">
        <v>56</v>
      </c>
      <c r="O484" s="10"/>
      <c r="P484" s="10">
        <v>42</v>
      </c>
      <c r="Q484" s="38">
        <f>SUM(N484:P484)</f>
        <v>98</v>
      </c>
      <c r="R484" s="38">
        <f>+E484+I484+M484+Q484</f>
        <v>757</v>
      </c>
    </row>
    <row r="485" spans="1:20" ht="15.75" customHeight="1" x14ac:dyDescent="0.3">
      <c r="A485" s="234" t="s">
        <v>2161</v>
      </c>
      <c r="B485" s="172"/>
      <c r="C485" s="172"/>
      <c r="D485" s="172"/>
      <c r="E485" s="38" t="s">
        <v>852</v>
      </c>
      <c r="F485" s="172"/>
      <c r="G485" s="172"/>
      <c r="H485" s="172"/>
      <c r="I485" s="38" t="s">
        <v>852</v>
      </c>
      <c r="J485" s="172"/>
      <c r="K485" s="172"/>
      <c r="L485" s="172"/>
      <c r="M485" s="38" t="s">
        <v>852</v>
      </c>
      <c r="N485" s="10"/>
      <c r="O485" s="172"/>
      <c r="P485" s="172"/>
      <c r="Q485" s="38" t="s">
        <v>852</v>
      </c>
      <c r="R485" s="38" t="s">
        <v>852</v>
      </c>
    </row>
    <row r="486" spans="1:20" ht="15.75" customHeight="1" x14ac:dyDescent="0.3">
      <c r="A486" s="234" t="s">
        <v>2162</v>
      </c>
      <c r="B486" s="172"/>
      <c r="C486" s="172"/>
      <c r="D486" s="172"/>
      <c r="E486" s="38" t="s">
        <v>852</v>
      </c>
      <c r="F486" s="172"/>
      <c r="G486" s="172"/>
      <c r="H486" s="172"/>
      <c r="I486" s="38" t="s">
        <v>852</v>
      </c>
      <c r="J486" s="172"/>
      <c r="K486" s="172"/>
      <c r="L486" s="172"/>
      <c r="M486" s="38" t="s">
        <v>852</v>
      </c>
      <c r="N486" s="172"/>
      <c r="O486" s="172"/>
      <c r="P486" s="172"/>
      <c r="Q486" s="38" t="s">
        <v>852</v>
      </c>
      <c r="R486" s="38" t="s">
        <v>852</v>
      </c>
    </row>
    <row r="487" spans="1:20" ht="15.75" customHeight="1" thickBot="1" x14ac:dyDescent="0.35">
      <c r="A487" s="234" t="s">
        <v>2164</v>
      </c>
      <c r="B487" s="172"/>
      <c r="C487" s="172"/>
      <c r="D487" s="172"/>
      <c r="E487" s="38" t="s">
        <v>852</v>
      </c>
      <c r="F487" s="172"/>
      <c r="G487" s="172"/>
      <c r="H487" s="172"/>
      <c r="I487" s="38" t="s">
        <v>852</v>
      </c>
      <c r="J487" s="172"/>
      <c r="K487" s="172"/>
      <c r="L487" s="172"/>
      <c r="M487" s="38" t="s">
        <v>852</v>
      </c>
      <c r="N487" s="172"/>
      <c r="O487" s="172"/>
      <c r="P487" s="172"/>
      <c r="Q487" s="38" t="s">
        <v>852</v>
      </c>
      <c r="R487" s="38" t="s">
        <v>852</v>
      </c>
    </row>
    <row r="488" spans="1:20" ht="16.5" customHeight="1" thickBot="1" x14ac:dyDescent="0.35">
      <c r="A488" s="276" t="s">
        <v>1218</v>
      </c>
      <c r="B488" s="45">
        <f>SUM(B479:B487)</f>
        <v>0</v>
      </c>
      <c r="C488" s="46">
        <f>SUM(C479:C487)</f>
        <v>0</v>
      </c>
      <c r="D488" s="46">
        <f>SUM(D479:D487)</f>
        <v>317</v>
      </c>
      <c r="E488" s="37">
        <f>SUM(B488:D488)</f>
        <v>317</v>
      </c>
      <c r="F488" s="46">
        <f>SUM(F479:F487)</f>
        <v>659</v>
      </c>
      <c r="G488" s="46">
        <f>SUM(G479:G487)</f>
        <v>2617</v>
      </c>
      <c r="H488" s="46">
        <f>SUM(H479:H487)</f>
        <v>1110</v>
      </c>
      <c r="I488" s="37">
        <f>SUM(F488:H488)</f>
        <v>4386</v>
      </c>
      <c r="J488" s="46">
        <f>SUM(J479:J487)</f>
        <v>1013</v>
      </c>
      <c r="K488" s="46">
        <f>SUM(K479:K487)</f>
        <v>980</v>
      </c>
      <c r="L488" s="46">
        <f>SUM(L479:L487)</f>
        <v>363</v>
      </c>
      <c r="M488" s="37">
        <f>SUM(J488:L488)</f>
        <v>2356</v>
      </c>
      <c r="N488" s="46">
        <f>SUM(N479:N487)</f>
        <v>56</v>
      </c>
      <c r="O488" s="46">
        <f>SUM(O479:O487)</f>
        <v>0</v>
      </c>
      <c r="P488" s="46">
        <f>SUM(P479:P487)</f>
        <v>42</v>
      </c>
      <c r="Q488" s="37">
        <f>SUM(N488:P488)</f>
        <v>98</v>
      </c>
      <c r="R488" s="37">
        <f>+E488+I488+M488+Q488</f>
        <v>7157</v>
      </c>
    </row>
    <row r="489" spans="1:20" ht="15.75" customHeight="1" x14ac:dyDescent="0.3">
      <c r="A489" s="234" t="s">
        <v>1172</v>
      </c>
      <c r="B489" s="172"/>
      <c r="C489" s="172"/>
      <c r="D489" s="172"/>
      <c r="E489" s="39" t="s">
        <v>852</v>
      </c>
      <c r="F489" s="172"/>
      <c r="G489" s="172"/>
      <c r="H489" s="172"/>
      <c r="I489" s="39" t="s">
        <v>852</v>
      </c>
      <c r="J489" s="172"/>
      <c r="K489" s="172"/>
      <c r="L489" s="172"/>
      <c r="M489" s="39" t="s">
        <v>852</v>
      </c>
      <c r="N489" s="172"/>
      <c r="O489" s="172"/>
      <c r="P489" s="172"/>
      <c r="Q489" s="39" t="s">
        <v>852</v>
      </c>
      <c r="R489" s="63" t="s">
        <v>852</v>
      </c>
    </row>
    <row r="490" spans="1:20" ht="15.75" customHeight="1" x14ac:dyDescent="0.3">
      <c r="A490" s="234" t="s">
        <v>2409</v>
      </c>
      <c r="B490" s="172"/>
      <c r="C490" s="172"/>
      <c r="D490" s="172"/>
      <c r="E490" s="38" t="s">
        <v>852</v>
      </c>
      <c r="F490" s="172"/>
      <c r="G490" s="172"/>
      <c r="H490" s="172"/>
      <c r="I490" s="38" t="s">
        <v>852</v>
      </c>
      <c r="J490" s="172"/>
      <c r="K490" s="172"/>
      <c r="L490" s="172"/>
      <c r="M490" s="38" t="s">
        <v>852</v>
      </c>
      <c r="N490" s="172"/>
      <c r="O490" s="172"/>
      <c r="P490" s="172"/>
      <c r="Q490" s="38" t="s">
        <v>852</v>
      </c>
      <c r="R490" s="63" t="s">
        <v>852</v>
      </c>
    </row>
    <row r="491" spans="1:20" ht="15.75" customHeight="1" x14ac:dyDescent="0.3">
      <c r="A491" s="266" t="s">
        <v>791</v>
      </c>
      <c r="B491" s="10">
        <v>918</v>
      </c>
      <c r="C491" s="10">
        <v>779</v>
      </c>
      <c r="D491" s="10">
        <v>3227</v>
      </c>
      <c r="E491" s="38">
        <f>SUM(B491:D491)</f>
        <v>4924</v>
      </c>
      <c r="F491" s="10">
        <v>6270</v>
      </c>
      <c r="G491" s="10">
        <v>0</v>
      </c>
      <c r="H491" s="10">
        <v>1926</v>
      </c>
      <c r="I491" s="38">
        <f>SUM(F491:H491)</f>
        <v>8196</v>
      </c>
      <c r="J491" s="10">
        <v>4326</v>
      </c>
      <c r="K491" s="10">
        <v>4284</v>
      </c>
      <c r="L491" s="10">
        <v>1818</v>
      </c>
      <c r="M491" s="38">
        <f>SUM(J491:L491)</f>
        <v>10428</v>
      </c>
      <c r="N491" s="10">
        <v>2011</v>
      </c>
      <c r="O491" s="10">
        <v>538</v>
      </c>
      <c r="P491" s="10">
        <v>566</v>
      </c>
      <c r="Q491" s="38">
        <f>SUM(N491:P491)</f>
        <v>3115</v>
      </c>
      <c r="R491" s="38">
        <f>+E491+I491+M491+Q491</f>
        <v>26663</v>
      </c>
      <c r="S491">
        <f>+SUM(R491,R451,R346)</f>
        <v>99558</v>
      </c>
      <c r="T491" t="s">
        <v>2704</v>
      </c>
    </row>
    <row r="492" spans="1:20" ht="15.75" customHeight="1" x14ac:dyDescent="0.3">
      <c r="A492" s="266" t="s">
        <v>2300</v>
      </c>
      <c r="B492" s="172"/>
      <c r="C492" s="172">
        <v>229</v>
      </c>
      <c r="D492" s="172">
        <v>271</v>
      </c>
      <c r="E492" s="38">
        <f>SUM(B492:D492)</f>
        <v>500</v>
      </c>
      <c r="F492" s="172"/>
      <c r="G492" s="172"/>
      <c r="H492" s="172"/>
      <c r="I492" s="38">
        <f>SUM(F492:H492)</f>
        <v>0</v>
      </c>
      <c r="J492" s="172"/>
      <c r="K492" s="172"/>
      <c r="L492" s="172"/>
      <c r="M492" s="38">
        <f>SUM(J492:L492)</f>
        <v>0</v>
      </c>
      <c r="N492" s="172"/>
      <c r="O492" s="172"/>
      <c r="P492" s="172">
        <v>35</v>
      </c>
      <c r="Q492" s="38">
        <f>SUM(N492:P492)</f>
        <v>35</v>
      </c>
      <c r="R492" s="38">
        <f>+E492+I492+M492+Q492</f>
        <v>535</v>
      </c>
    </row>
    <row r="493" spans="1:20" ht="15.75" customHeight="1" thickBot="1" x14ac:dyDescent="0.35">
      <c r="A493" s="234" t="s">
        <v>2165</v>
      </c>
      <c r="B493" s="172"/>
      <c r="C493" s="172"/>
      <c r="D493" s="172"/>
      <c r="E493" s="38" t="s">
        <v>852</v>
      </c>
      <c r="F493" s="172"/>
      <c r="G493" s="172"/>
      <c r="H493" s="172"/>
      <c r="I493" s="38" t="s">
        <v>852</v>
      </c>
      <c r="J493" s="172"/>
      <c r="K493" s="172"/>
      <c r="L493" s="172"/>
      <c r="M493" s="38" t="s">
        <v>852</v>
      </c>
      <c r="N493" s="172"/>
      <c r="O493" s="172"/>
      <c r="P493" s="172"/>
      <c r="Q493" s="38" t="s">
        <v>852</v>
      </c>
      <c r="R493" s="63" t="s">
        <v>852</v>
      </c>
    </row>
    <row r="494" spans="1:20" ht="16.5" customHeight="1" thickBot="1" x14ac:dyDescent="0.35">
      <c r="A494" s="43" t="s">
        <v>1219</v>
      </c>
      <c r="B494" s="45">
        <f>SUM(B489:B493)</f>
        <v>918</v>
      </c>
      <c r="C494" s="46">
        <f>SUM(C489:C493)</f>
        <v>1008</v>
      </c>
      <c r="D494" s="46">
        <f>SUM(D489:D493)</f>
        <v>3498</v>
      </c>
      <c r="E494" s="37">
        <f>SUM(B494:D494)</f>
        <v>5424</v>
      </c>
      <c r="F494" s="46">
        <f>SUM(F489:F493)</f>
        <v>6270</v>
      </c>
      <c r="G494" s="46">
        <f>SUM(G489:G493)</f>
        <v>0</v>
      </c>
      <c r="H494" s="46">
        <f>SUM(H489:H493)</f>
        <v>1926</v>
      </c>
      <c r="I494" s="37">
        <f>SUM(F494:H494)</f>
        <v>8196</v>
      </c>
      <c r="J494" s="46">
        <f>SUM(J489:J493)</f>
        <v>4326</v>
      </c>
      <c r="K494" s="46">
        <f>SUM(K489:K493)</f>
        <v>4284</v>
      </c>
      <c r="L494" s="46">
        <f>SUM(L489:L493)</f>
        <v>1818</v>
      </c>
      <c r="M494" s="37">
        <f>SUM(J494:L494)</f>
        <v>10428</v>
      </c>
      <c r="N494" s="46">
        <f>SUM(N489:N493)</f>
        <v>2011</v>
      </c>
      <c r="O494" s="46">
        <f>SUM(O489:O493)</f>
        <v>538</v>
      </c>
      <c r="P494" s="46">
        <f>SUM(P489:P493)</f>
        <v>601</v>
      </c>
      <c r="Q494" s="37">
        <f>SUM(N494:P494)</f>
        <v>3150</v>
      </c>
      <c r="R494" s="37">
        <f>+E494+I494+M494+Q494</f>
        <v>27198</v>
      </c>
    </row>
    <row r="495" spans="1:20" ht="15.75" customHeight="1" x14ac:dyDescent="0.3">
      <c r="A495" s="234" t="s">
        <v>2166</v>
      </c>
      <c r="B495" s="172"/>
      <c r="C495" s="172"/>
      <c r="D495" s="172"/>
      <c r="E495" s="38" t="s">
        <v>852</v>
      </c>
      <c r="F495" s="172"/>
      <c r="G495" s="172"/>
      <c r="H495" s="172"/>
      <c r="I495" s="38" t="s">
        <v>852</v>
      </c>
      <c r="J495" s="172"/>
      <c r="K495" s="172"/>
      <c r="L495" s="172"/>
      <c r="M495" s="38" t="s">
        <v>852</v>
      </c>
      <c r="N495" s="172"/>
      <c r="O495" s="172"/>
      <c r="P495" s="172"/>
      <c r="Q495" s="38" t="s">
        <v>852</v>
      </c>
      <c r="R495" s="38" t="s">
        <v>852</v>
      </c>
    </row>
    <row r="496" spans="1:20" ht="15.75" customHeight="1" x14ac:dyDescent="0.3">
      <c r="A496" s="234" t="s">
        <v>1245</v>
      </c>
      <c r="B496" s="172"/>
      <c r="C496" s="172"/>
      <c r="D496" s="172"/>
      <c r="E496" s="38" t="s">
        <v>852</v>
      </c>
      <c r="F496" s="172"/>
      <c r="G496" s="172"/>
      <c r="H496" s="172"/>
      <c r="I496" s="38" t="s">
        <v>852</v>
      </c>
      <c r="J496" s="172"/>
      <c r="K496" s="172"/>
      <c r="L496" s="172"/>
      <c r="M496" s="38" t="s">
        <v>852</v>
      </c>
      <c r="N496" s="172"/>
      <c r="O496" s="172"/>
      <c r="P496" s="172"/>
      <c r="Q496" s="38" t="s">
        <v>852</v>
      </c>
      <c r="R496" s="38" t="s">
        <v>852</v>
      </c>
    </row>
    <row r="497" spans="1:20" ht="15.75" customHeight="1" x14ac:dyDescent="0.3">
      <c r="A497" s="234" t="s">
        <v>1711</v>
      </c>
      <c r="B497" s="172"/>
      <c r="C497" s="172"/>
      <c r="D497" s="172"/>
      <c r="E497" s="38" t="s">
        <v>852</v>
      </c>
      <c r="F497" s="172"/>
      <c r="G497" s="172"/>
      <c r="H497" s="172"/>
      <c r="I497" s="38" t="s">
        <v>852</v>
      </c>
      <c r="J497" s="172"/>
      <c r="K497" s="172"/>
      <c r="L497" s="172"/>
      <c r="M497" s="38" t="s">
        <v>852</v>
      </c>
      <c r="N497" s="172"/>
      <c r="O497" s="172"/>
      <c r="P497" s="172"/>
      <c r="Q497" s="38" t="s">
        <v>852</v>
      </c>
      <c r="R497" s="38" t="s">
        <v>852</v>
      </c>
    </row>
    <row r="498" spans="1:20" ht="15.75" customHeight="1" thickBot="1" x14ac:dyDescent="0.35">
      <c r="A498" s="689" t="s">
        <v>2937</v>
      </c>
      <c r="B498" s="172"/>
      <c r="C498" s="172"/>
      <c r="D498" s="172"/>
      <c r="E498" s="38">
        <f>SUM(B498:D498)</f>
        <v>0</v>
      </c>
      <c r="F498" s="172"/>
      <c r="G498" s="172"/>
      <c r="H498" s="172"/>
      <c r="I498" s="38">
        <f>SUM(F498:H498)</f>
        <v>0</v>
      </c>
      <c r="J498" s="172"/>
      <c r="K498" s="172"/>
      <c r="L498" s="172"/>
      <c r="M498" s="38">
        <f>SUM(J498:L498)</f>
        <v>0</v>
      </c>
      <c r="N498" s="172"/>
      <c r="O498" s="172"/>
      <c r="P498" s="172"/>
      <c r="Q498" s="38">
        <f>SUM(N498:P498)</f>
        <v>0</v>
      </c>
      <c r="R498" s="38">
        <f>+E498+I498+M498+Q498</f>
        <v>0</v>
      </c>
      <c r="T498" t="s">
        <v>505</v>
      </c>
    </row>
    <row r="499" spans="1:20" ht="16.5" customHeight="1" thickBot="1" x14ac:dyDescent="0.35">
      <c r="A499" s="277" t="s">
        <v>1220</v>
      </c>
      <c r="B499" s="45">
        <f>SUM(B495:B498)</f>
        <v>0</v>
      </c>
      <c r="C499" s="46">
        <f>SUM(C495:C498)</f>
        <v>0</v>
      </c>
      <c r="D499" s="46">
        <f>SUM(D495:D498)</f>
        <v>0</v>
      </c>
      <c r="E499" s="37">
        <f>SUM(B499:D499)</f>
        <v>0</v>
      </c>
      <c r="F499" s="46">
        <f>SUM(F495:F498)</f>
        <v>0</v>
      </c>
      <c r="G499" s="46">
        <f>SUM(G495:G498)</f>
        <v>0</v>
      </c>
      <c r="H499" s="46">
        <f>SUM(H495:H498)</f>
        <v>0</v>
      </c>
      <c r="I499" s="37">
        <f>SUM(F499:H499)</f>
        <v>0</v>
      </c>
      <c r="J499" s="46">
        <f>SUM(J495:J498)</f>
        <v>0</v>
      </c>
      <c r="K499" s="46">
        <f>SUM(K495:K498)</f>
        <v>0</v>
      </c>
      <c r="L499" s="46">
        <f>SUM(L495:L498)</f>
        <v>0</v>
      </c>
      <c r="M499" s="37">
        <f>SUM(J499:L499)</f>
        <v>0</v>
      </c>
      <c r="N499" s="46">
        <f>SUM(N495:N498)</f>
        <v>0</v>
      </c>
      <c r="O499" s="46">
        <f>SUM(O495:O498)</f>
        <v>0</v>
      </c>
      <c r="P499" s="46">
        <f>SUM(P495:P498)</f>
        <v>0</v>
      </c>
      <c r="Q499" s="37">
        <f>SUM(N499:P499)</f>
        <v>0</v>
      </c>
      <c r="R499" s="37">
        <f>+E499+I499+M499+Q499</f>
        <v>0</v>
      </c>
    </row>
    <row r="500" spans="1:20" ht="15.75" customHeight="1" x14ac:dyDescent="0.3">
      <c r="A500" s="234" t="s">
        <v>1712</v>
      </c>
      <c r="B500" s="172"/>
      <c r="C500" s="172"/>
      <c r="D500" s="172"/>
      <c r="E500" s="38" t="s">
        <v>852</v>
      </c>
      <c r="F500" s="172"/>
      <c r="G500" s="172"/>
      <c r="H500" s="172"/>
      <c r="I500" s="38" t="s">
        <v>852</v>
      </c>
      <c r="J500" s="172"/>
      <c r="K500" s="172"/>
      <c r="L500" s="172"/>
      <c r="M500" s="38" t="s">
        <v>852</v>
      </c>
      <c r="N500" s="172"/>
      <c r="O500" s="172"/>
      <c r="P500" s="172"/>
      <c r="Q500" s="38" t="s">
        <v>852</v>
      </c>
      <c r="R500" s="38" t="s">
        <v>852</v>
      </c>
    </row>
    <row r="501" spans="1:20" ht="15.75" customHeight="1" x14ac:dyDescent="0.3">
      <c r="A501" s="234" t="s">
        <v>1021</v>
      </c>
      <c r="B501" s="172"/>
      <c r="C501" s="172"/>
      <c r="D501" s="172"/>
      <c r="E501" s="38" t="s">
        <v>852</v>
      </c>
      <c r="F501" s="172"/>
      <c r="G501" s="172"/>
      <c r="H501" s="172"/>
      <c r="I501" s="38" t="s">
        <v>852</v>
      </c>
      <c r="J501" s="172"/>
      <c r="K501" s="172"/>
      <c r="L501" s="172"/>
      <c r="M501" s="38" t="s">
        <v>852</v>
      </c>
      <c r="N501" s="172"/>
      <c r="O501" s="172"/>
      <c r="P501" s="172"/>
      <c r="Q501" s="38" t="s">
        <v>852</v>
      </c>
      <c r="R501" s="38" t="s">
        <v>852</v>
      </c>
    </row>
    <row r="502" spans="1:20" ht="15.75" customHeight="1" x14ac:dyDescent="0.3">
      <c r="A502" s="234" t="s">
        <v>557</v>
      </c>
      <c r="B502" s="172"/>
      <c r="C502" s="172"/>
      <c r="D502" s="172"/>
      <c r="E502" s="38" t="s">
        <v>852</v>
      </c>
      <c r="F502" s="172"/>
      <c r="G502" s="172"/>
      <c r="H502" s="172"/>
      <c r="I502" s="38" t="s">
        <v>852</v>
      </c>
      <c r="J502" s="172"/>
      <c r="K502" s="172"/>
      <c r="L502" s="172"/>
      <c r="M502" s="38" t="s">
        <v>852</v>
      </c>
      <c r="N502" s="172"/>
      <c r="O502" s="172"/>
      <c r="P502" s="172"/>
      <c r="Q502" s="38" t="s">
        <v>852</v>
      </c>
      <c r="R502" s="38" t="s">
        <v>852</v>
      </c>
    </row>
    <row r="503" spans="1:20" ht="15.75" customHeight="1" x14ac:dyDescent="0.3">
      <c r="A503" s="234" t="s">
        <v>1022</v>
      </c>
      <c r="B503" s="172"/>
      <c r="C503" s="172"/>
      <c r="D503" s="172"/>
      <c r="E503" s="38" t="s">
        <v>852</v>
      </c>
      <c r="F503" s="172"/>
      <c r="G503" s="172"/>
      <c r="H503" s="172"/>
      <c r="I503" s="38" t="s">
        <v>852</v>
      </c>
      <c r="J503" s="172"/>
      <c r="K503" s="172"/>
      <c r="L503" s="172"/>
      <c r="M503" s="38" t="s">
        <v>852</v>
      </c>
      <c r="N503" s="172"/>
      <c r="O503" s="172"/>
      <c r="P503" s="172"/>
      <c r="Q503" s="38" t="s">
        <v>852</v>
      </c>
      <c r="R503" s="38" t="s">
        <v>852</v>
      </c>
    </row>
    <row r="504" spans="1:20" ht="15.75" customHeight="1" x14ac:dyDescent="0.3">
      <c r="A504" s="266" t="s">
        <v>2102</v>
      </c>
      <c r="B504" s="172"/>
      <c r="C504" s="172"/>
      <c r="D504" s="172"/>
      <c r="E504" s="38">
        <f>SUM(B504:D504)</f>
        <v>0</v>
      </c>
      <c r="F504" s="172"/>
      <c r="G504" s="172"/>
      <c r="H504" s="172"/>
      <c r="I504" s="38">
        <f>SUM(F504:H504)</f>
        <v>0</v>
      </c>
      <c r="J504" s="172"/>
      <c r="K504" s="172"/>
      <c r="L504" s="172"/>
      <c r="M504" s="38">
        <f>SUM(J504:L504)</f>
        <v>0</v>
      </c>
      <c r="N504" s="172"/>
      <c r="O504" s="172"/>
      <c r="P504" s="172"/>
      <c r="Q504" s="38">
        <f>SUM(N504:P504)</f>
        <v>0</v>
      </c>
      <c r="R504" s="38">
        <f>+E504+I504+M504+Q504</f>
        <v>0</v>
      </c>
    </row>
    <row r="505" spans="1:20" ht="15.75" customHeight="1" x14ac:dyDescent="0.3">
      <c r="A505" s="234" t="s">
        <v>559</v>
      </c>
      <c r="B505" s="172"/>
      <c r="C505" s="172"/>
      <c r="D505" s="172"/>
      <c r="E505" s="38"/>
      <c r="F505" s="172"/>
      <c r="G505" s="172"/>
      <c r="H505" s="172"/>
      <c r="I505" s="38"/>
      <c r="J505" s="172"/>
      <c r="K505" s="172"/>
      <c r="L505" s="172"/>
      <c r="M505" s="38"/>
      <c r="N505" s="172"/>
      <c r="O505" s="172"/>
      <c r="P505" s="172"/>
      <c r="Q505" s="38"/>
      <c r="R505" s="38" t="s">
        <v>852</v>
      </c>
    </row>
    <row r="506" spans="1:20" ht="15.75" customHeight="1" x14ac:dyDescent="0.3">
      <c r="A506" s="539" t="s">
        <v>2936</v>
      </c>
      <c r="B506" s="10"/>
      <c r="C506" s="10"/>
      <c r="D506" s="10"/>
      <c r="E506" s="38">
        <f t="shared" ref="E506:E512" si="91">SUM(B506:D506)</f>
        <v>0</v>
      </c>
      <c r="F506" s="10"/>
      <c r="G506" s="10"/>
      <c r="H506" s="10"/>
      <c r="I506" s="38">
        <f t="shared" ref="I506:I512" si="92">SUM(F506:H506)</f>
        <v>0</v>
      </c>
      <c r="J506" s="10"/>
      <c r="K506" s="10"/>
      <c r="L506" s="10"/>
      <c r="M506" s="38">
        <f t="shared" ref="M506:M512" si="93">SUM(J506:L506)</f>
        <v>0</v>
      </c>
      <c r="N506" s="10"/>
      <c r="O506" s="10"/>
      <c r="P506" s="10"/>
      <c r="Q506" s="38">
        <f t="shared" ref="Q506:Q512" si="94">SUM(N506:P506)</f>
        <v>0</v>
      </c>
      <c r="R506" s="38">
        <f t="shared" ref="R506:R512" si="95">+E506+I506+M506+Q506</f>
        <v>0</v>
      </c>
      <c r="T506" t="s">
        <v>505</v>
      </c>
    </row>
    <row r="507" spans="1:20" ht="15.75" customHeight="1" x14ac:dyDescent="0.3">
      <c r="A507" s="539" t="s">
        <v>2836</v>
      </c>
      <c r="B507" s="172"/>
      <c r="C507" s="172"/>
      <c r="D507" s="172"/>
      <c r="E507" s="38">
        <f>SUM(B507:D507)</f>
        <v>0</v>
      </c>
      <c r="F507" s="172"/>
      <c r="G507" s="172"/>
      <c r="H507" s="172"/>
      <c r="I507" s="38">
        <f>SUM(F507:H507)</f>
        <v>0</v>
      </c>
      <c r="J507" s="172"/>
      <c r="K507" s="172"/>
      <c r="L507" s="172"/>
      <c r="M507" s="38">
        <f>SUM(J507:L507)</f>
        <v>0</v>
      </c>
      <c r="N507" s="172"/>
      <c r="O507" s="172"/>
      <c r="P507" s="172"/>
      <c r="Q507" s="38">
        <f>SUM(N507:P507)</f>
        <v>0</v>
      </c>
      <c r="R507" s="38">
        <f>+E507+I507+M507+Q507</f>
        <v>0</v>
      </c>
      <c r="T507" t="s">
        <v>505</v>
      </c>
    </row>
    <row r="508" spans="1:20" ht="15.75" customHeight="1" thickBot="1" x14ac:dyDescent="0.35">
      <c r="A508" s="539" t="s">
        <v>2577</v>
      </c>
      <c r="B508" s="172"/>
      <c r="C508" s="172"/>
      <c r="D508" s="172"/>
      <c r="E508" s="38">
        <f t="shared" si="91"/>
        <v>0</v>
      </c>
      <c r="F508" s="172"/>
      <c r="G508" s="172"/>
      <c r="H508" s="172"/>
      <c r="I508" s="38">
        <f t="shared" si="92"/>
        <v>0</v>
      </c>
      <c r="J508" s="172"/>
      <c r="K508" s="172"/>
      <c r="L508" s="172"/>
      <c r="M508" s="38">
        <f t="shared" si="93"/>
        <v>0</v>
      </c>
      <c r="N508" s="172"/>
      <c r="O508" s="172"/>
      <c r="P508" s="172"/>
      <c r="Q508" s="38">
        <f t="shared" si="94"/>
        <v>0</v>
      </c>
      <c r="R508" s="38">
        <f t="shared" si="95"/>
        <v>0</v>
      </c>
    </row>
    <row r="509" spans="1:20" ht="16.5" customHeight="1" thickBot="1" x14ac:dyDescent="0.35">
      <c r="A509" s="43" t="s">
        <v>1019</v>
      </c>
      <c r="B509" s="42">
        <f>SUM(B503:B508)</f>
        <v>0</v>
      </c>
      <c r="C509" s="42">
        <f>SUM(C503:C508)</f>
        <v>0</v>
      </c>
      <c r="D509" s="42">
        <f>SUM(D503:D508)</f>
        <v>0</v>
      </c>
      <c r="E509" s="39">
        <f t="shared" si="91"/>
        <v>0</v>
      </c>
      <c r="F509" s="42">
        <f>SUM(F503:F508)</f>
        <v>0</v>
      </c>
      <c r="G509" s="42">
        <f>SUM(G503:G508)</f>
        <v>0</v>
      </c>
      <c r="H509" s="42">
        <f>SUM(H503:H508)</f>
        <v>0</v>
      </c>
      <c r="I509" s="39">
        <f t="shared" si="92"/>
        <v>0</v>
      </c>
      <c r="J509" s="42">
        <f>SUM(J503:J508)</f>
        <v>0</v>
      </c>
      <c r="K509" s="42">
        <f>SUM(K503:K508)</f>
        <v>0</v>
      </c>
      <c r="L509" s="42">
        <f>SUM(L503:L508)</f>
        <v>0</v>
      </c>
      <c r="M509" s="39">
        <f t="shared" si="93"/>
        <v>0</v>
      </c>
      <c r="N509" s="42">
        <f>SUM(N503:N508)</f>
        <v>0</v>
      </c>
      <c r="O509" s="42">
        <f>SUM(O503:O508)</f>
        <v>0</v>
      </c>
      <c r="P509" s="42">
        <f>SUM(P503:P508)</f>
        <v>0</v>
      </c>
      <c r="Q509" s="39">
        <f t="shared" si="94"/>
        <v>0</v>
      </c>
      <c r="R509" s="37">
        <f t="shared" si="95"/>
        <v>0</v>
      </c>
    </row>
    <row r="510" spans="1:20" ht="16.5" customHeight="1" thickBot="1" x14ac:dyDescent="0.35">
      <c r="A510" s="277" t="s">
        <v>1221</v>
      </c>
      <c r="B510" s="45">
        <f>SUM(B500:B508)</f>
        <v>0</v>
      </c>
      <c r="C510" s="46">
        <f>SUM(C500:C508)</f>
        <v>0</v>
      </c>
      <c r="D510" s="58">
        <f>SUM(D500:D508)</f>
        <v>0</v>
      </c>
      <c r="E510" s="39">
        <f t="shared" si="91"/>
        <v>0</v>
      </c>
      <c r="F510" s="46">
        <f>SUM(F500:F508)</f>
        <v>0</v>
      </c>
      <c r="G510" s="46">
        <f>SUM(G500:G508)</f>
        <v>0</v>
      </c>
      <c r="H510" s="46">
        <f>SUM(H500:H508)</f>
        <v>0</v>
      </c>
      <c r="I510" s="39">
        <f t="shared" si="92"/>
        <v>0</v>
      </c>
      <c r="J510" s="46">
        <f>SUM(J500:J508)</f>
        <v>0</v>
      </c>
      <c r="K510" s="46">
        <f>SUM(K500:K508)</f>
        <v>0</v>
      </c>
      <c r="L510" s="46">
        <f>SUM(L500:L508)</f>
        <v>0</v>
      </c>
      <c r="M510" s="39">
        <f t="shared" si="93"/>
        <v>0</v>
      </c>
      <c r="N510" s="46">
        <f>SUM(N500:N508)</f>
        <v>0</v>
      </c>
      <c r="O510" s="46">
        <f>SUM(O500:O508)</f>
        <v>0</v>
      </c>
      <c r="P510" s="46">
        <f>SUM(P500:P508)</f>
        <v>0</v>
      </c>
      <c r="Q510" s="39">
        <f t="shared" si="94"/>
        <v>0</v>
      </c>
      <c r="R510" s="37">
        <f t="shared" si="95"/>
        <v>0</v>
      </c>
    </row>
    <row r="511" spans="1:20" ht="16.5" customHeight="1" thickBot="1" x14ac:dyDescent="0.35">
      <c r="A511" s="43" t="s">
        <v>1222</v>
      </c>
      <c r="B511" s="47">
        <f>+B488+B494+B499+B510</f>
        <v>918</v>
      </c>
      <c r="C511" s="42">
        <f>+C488+C494+C499+C510</f>
        <v>1008</v>
      </c>
      <c r="D511" s="42">
        <f>+D488+D494+D499+D510</f>
        <v>3815</v>
      </c>
      <c r="E511" s="37">
        <f t="shared" si="91"/>
        <v>5741</v>
      </c>
      <c r="F511" s="42">
        <f>+F488+F494+F499+F510</f>
        <v>6929</v>
      </c>
      <c r="G511" s="42">
        <f>+G488+G494+G499+G510</f>
        <v>2617</v>
      </c>
      <c r="H511" s="42">
        <f>+H488+H494+H499+H510</f>
        <v>3036</v>
      </c>
      <c r="I511" s="37">
        <f t="shared" si="92"/>
        <v>12582</v>
      </c>
      <c r="J511" s="42">
        <f>+J488+J494+J499+J510</f>
        <v>5339</v>
      </c>
      <c r="K511" s="42">
        <f>+K488+K494+K499+K510</f>
        <v>5264</v>
      </c>
      <c r="L511" s="42">
        <f>+L488+L494+L499+L510</f>
        <v>2181</v>
      </c>
      <c r="M511" s="37">
        <f t="shared" si="93"/>
        <v>12784</v>
      </c>
      <c r="N511" s="42">
        <f>+N488+N494+N499+N510</f>
        <v>2067</v>
      </c>
      <c r="O511" s="42">
        <f>+O488+O494+O499+O510</f>
        <v>538</v>
      </c>
      <c r="P511" s="42">
        <f>+P488+P494+P499+P510</f>
        <v>643</v>
      </c>
      <c r="Q511" s="37">
        <f t="shared" si="94"/>
        <v>3248</v>
      </c>
      <c r="R511" s="40">
        <f t="shared" si="95"/>
        <v>34355</v>
      </c>
    </row>
    <row r="512" spans="1:20" ht="16.5" customHeight="1" thickBot="1" x14ac:dyDescent="0.35">
      <c r="A512" s="244" t="s">
        <v>853</v>
      </c>
      <c r="B512" s="238">
        <v>23</v>
      </c>
      <c r="C512" s="238">
        <v>43</v>
      </c>
      <c r="D512" s="238">
        <v>66</v>
      </c>
      <c r="E512" s="40">
        <f t="shared" si="91"/>
        <v>132</v>
      </c>
      <c r="F512" s="238">
        <v>91</v>
      </c>
      <c r="G512" s="238">
        <v>108</v>
      </c>
      <c r="H512" s="238">
        <v>109</v>
      </c>
      <c r="I512" s="40">
        <f t="shared" si="92"/>
        <v>308</v>
      </c>
      <c r="J512" s="238">
        <v>104</v>
      </c>
      <c r="K512" s="238">
        <v>79</v>
      </c>
      <c r="L512" s="238">
        <v>80</v>
      </c>
      <c r="M512" s="40">
        <f t="shared" si="93"/>
        <v>263</v>
      </c>
      <c r="N512" s="238">
        <v>74</v>
      </c>
      <c r="O512" s="238">
        <v>58</v>
      </c>
      <c r="P512" s="238">
        <v>42</v>
      </c>
      <c r="Q512" s="40">
        <f t="shared" si="94"/>
        <v>174</v>
      </c>
      <c r="R512" s="38">
        <f t="shared" si="95"/>
        <v>877</v>
      </c>
    </row>
    <row r="513" spans="1:20" ht="16.5" customHeight="1" thickBot="1" x14ac:dyDescent="0.35">
      <c r="A513" s="22"/>
      <c r="B513" s="242"/>
      <c r="C513" s="242"/>
      <c r="D513" s="242"/>
      <c r="E513" s="21"/>
      <c r="F513" s="242"/>
      <c r="G513" s="242"/>
      <c r="H513" s="242"/>
      <c r="I513" s="31"/>
      <c r="J513" s="242"/>
      <c r="K513" s="242"/>
      <c r="L513" s="242"/>
      <c r="M513" s="31"/>
      <c r="N513" s="242"/>
      <c r="O513" s="242"/>
      <c r="P513" s="242"/>
      <c r="Q513" s="31"/>
      <c r="R513" s="21"/>
    </row>
    <row r="514" spans="1:20" ht="15.75" customHeight="1" x14ac:dyDescent="0.3">
      <c r="A514" s="234" t="s">
        <v>120</v>
      </c>
      <c r="B514" s="260">
        <f>SUM(B511:B512)</f>
        <v>941</v>
      </c>
      <c r="C514" s="260">
        <f>SUM(C511:C512)</f>
        <v>1051</v>
      </c>
      <c r="D514" s="260">
        <f>SUM(D511:D512)</f>
        <v>3881</v>
      </c>
      <c r="E514" s="39">
        <f>SUM(B514:D514)</f>
        <v>5873</v>
      </c>
      <c r="F514" s="260">
        <f>SUM(F511:F512)</f>
        <v>7020</v>
      </c>
      <c r="G514" s="260">
        <f>SUM(G511:G512)</f>
        <v>2725</v>
      </c>
      <c r="H514" s="260">
        <f>SUM(H511:H512)</f>
        <v>3145</v>
      </c>
      <c r="I514" s="39">
        <f>SUM(F514:H514)</f>
        <v>12890</v>
      </c>
      <c r="J514" s="260">
        <f>SUM(J511:J512)</f>
        <v>5443</v>
      </c>
      <c r="K514" s="260">
        <f>SUM(K511:K512)</f>
        <v>5343</v>
      </c>
      <c r="L514" s="260">
        <f>SUM(L511:L512)</f>
        <v>2261</v>
      </c>
      <c r="M514" s="39">
        <f>SUM(J514:L514)</f>
        <v>13047</v>
      </c>
      <c r="N514" s="260">
        <f>SUM(N511:N512)</f>
        <v>2141</v>
      </c>
      <c r="O514" s="260">
        <f>SUM(O511:O512)</f>
        <v>596</v>
      </c>
      <c r="P514" s="260">
        <f>SUM(P511:P512)</f>
        <v>685</v>
      </c>
      <c r="Q514" s="39">
        <f>SUM(N514:P514)</f>
        <v>3422</v>
      </c>
      <c r="R514" s="39">
        <f>+E514+I514+M514+Q514</f>
        <v>35232</v>
      </c>
    </row>
    <row r="515" spans="1:20" ht="15.75" customHeight="1" x14ac:dyDescent="0.3">
      <c r="A515" s="234" t="s">
        <v>1897</v>
      </c>
      <c r="B515" s="172">
        <f>(B514/B10)/1.983</f>
        <v>15.307533388642169</v>
      </c>
      <c r="C515" s="172">
        <f>(C514/C10)/1.983</f>
        <v>18.928751530869533</v>
      </c>
      <c r="D515" s="172">
        <f>(D514/D10)/1.983</f>
        <v>63.133408162933314</v>
      </c>
      <c r="E515" s="38" t="s">
        <v>852</v>
      </c>
      <c r="F515" s="172">
        <f>(F514/F10)/1.983</f>
        <v>118.00302571860816</v>
      </c>
      <c r="G515" s="172">
        <f>(G514/G10)/1.983</f>
        <v>44.328404340116798</v>
      </c>
      <c r="H515" s="172">
        <f>(H514/H10)/1.983</f>
        <v>52.866027903849378</v>
      </c>
      <c r="I515" s="38" t="s">
        <v>852</v>
      </c>
      <c r="J515" s="172">
        <f>(J514/J10)/1.983</f>
        <v>88.542937549818618</v>
      </c>
      <c r="K515" s="172">
        <f>(K514/K10)/1.983</f>
        <v>86.916207115318912</v>
      </c>
      <c r="L515" s="172">
        <f>(L514/L10)/1.983</f>
        <v>38.006387628172796</v>
      </c>
      <c r="M515" s="38" t="s">
        <v>852</v>
      </c>
      <c r="N515" s="172">
        <f>(N514/N10)/1.983</f>
        <v>34.828298602638554</v>
      </c>
      <c r="O515" s="172">
        <f>(O514/O10)/1.983</f>
        <v>10.018490502605479</v>
      </c>
      <c r="P515" s="172">
        <f>(P514/P10)/1.983</f>
        <v>11.143103476322938</v>
      </c>
      <c r="Q515" s="38" t="s">
        <v>852</v>
      </c>
      <c r="R515" s="38" t="s">
        <v>852</v>
      </c>
    </row>
    <row r="516" spans="1:20" ht="15.75" customHeight="1" x14ac:dyDescent="0.3">
      <c r="A516" s="234" t="s">
        <v>1433</v>
      </c>
      <c r="B516" s="172">
        <f>B514+B572</f>
        <v>16006</v>
      </c>
      <c r="C516" s="172">
        <f>C514+C572</f>
        <v>22726</v>
      </c>
      <c r="D516" s="172">
        <f>D514+D572</f>
        <v>27625</v>
      </c>
      <c r="E516" s="38">
        <f>SUM(B516:D516)</f>
        <v>66357</v>
      </c>
      <c r="F516" s="172">
        <f>F514+F572</f>
        <v>34073</v>
      </c>
      <c r="G516" s="172">
        <f>G514+G572</f>
        <v>26404</v>
      </c>
      <c r="H516" s="172">
        <f>H514+H572</f>
        <v>23766</v>
      </c>
      <c r="I516" s="38">
        <f>SUM(F516:H516)</f>
        <v>84243</v>
      </c>
      <c r="J516" s="172">
        <f>J514+J572</f>
        <v>29385</v>
      </c>
      <c r="K516" s="172">
        <f>K514+K572</f>
        <v>26203</v>
      </c>
      <c r="L516" s="172">
        <f>L514+L572</f>
        <v>20702</v>
      </c>
      <c r="M516" s="38">
        <f>SUM(J516:L516)</f>
        <v>76290</v>
      </c>
      <c r="N516" s="172">
        <f>N514+N572</f>
        <v>14985</v>
      </c>
      <c r="O516" s="172">
        <f>O514+O572</f>
        <v>7886</v>
      </c>
      <c r="P516" s="172">
        <f>P514+P572</f>
        <v>17302</v>
      </c>
      <c r="Q516" s="38">
        <f>SUM(N516:P516)</f>
        <v>40173</v>
      </c>
      <c r="R516" s="38">
        <f>+E516+I516+M516+Q516</f>
        <v>267063</v>
      </c>
    </row>
    <row r="517" spans="1:20" ht="16.5" customHeight="1" thickBot="1" x14ac:dyDescent="0.35">
      <c r="A517" s="237" t="s">
        <v>426</v>
      </c>
      <c r="B517" s="264">
        <f>(B516/B10)/1.983</f>
        <v>260.37447334602183</v>
      </c>
      <c r="C517" s="264">
        <f>(C516/C10)/1.983</f>
        <v>409.3004826741589</v>
      </c>
      <c r="D517" s="264">
        <f>(D516/D10)/1.983</f>
        <v>449.38428253054184</v>
      </c>
      <c r="E517" s="40" t="s">
        <v>852</v>
      </c>
      <c r="F517" s="264">
        <f>(F516/F10)/1.983</f>
        <v>572.75172297865186</v>
      </c>
      <c r="G517" s="264">
        <f>(G516/G10)/1.983</f>
        <v>429.52190392530053</v>
      </c>
      <c r="H517" s="264">
        <f>(H516/H10)/1.983</f>
        <v>399.4957135653051</v>
      </c>
      <c r="I517" s="40" t="s">
        <v>852</v>
      </c>
      <c r="J517" s="264">
        <f>(J516/J10)/1.983</f>
        <v>478.01473817773655</v>
      </c>
      <c r="K517" s="264">
        <f>(K516/K10)/1.983</f>
        <v>426.25217575195614</v>
      </c>
      <c r="L517" s="264">
        <f>(L516/L10)/1.983</f>
        <v>347.99125903513197</v>
      </c>
      <c r="M517" s="40" t="s">
        <v>852</v>
      </c>
      <c r="N517" s="264">
        <f>(N516/N10)/1.983</f>
        <v>243.76555560977988</v>
      </c>
      <c r="O517" s="264">
        <f>(O516/O10)/1.983</f>
        <v>132.5600941334678</v>
      </c>
      <c r="P517" s="264">
        <f>(P516/P10)/1.983</f>
        <v>281.45689977713789</v>
      </c>
      <c r="Q517" s="40" t="s">
        <v>852</v>
      </c>
      <c r="R517" s="40" t="s">
        <v>852</v>
      </c>
    </row>
    <row r="518" spans="1:20" ht="15.75" customHeight="1" x14ac:dyDescent="0.3">
      <c r="A518" s="17"/>
      <c r="B518" s="172"/>
      <c r="C518" s="172"/>
      <c r="D518" s="172"/>
      <c r="E518" s="172"/>
      <c r="F518" s="172"/>
      <c r="G518" s="172"/>
      <c r="H518" s="172"/>
      <c r="I518" s="172"/>
      <c r="J518" s="172"/>
      <c r="K518" s="172"/>
      <c r="L518" s="172"/>
      <c r="M518" s="172"/>
      <c r="N518" s="172"/>
      <c r="O518" s="172"/>
      <c r="P518" s="172"/>
      <c r="Q518" s="172"/>
      <c r="R518" s="17"/>
    </row>
    <row r="519" spans="1:20" ht="15.75" customHeight="1" thickBot="1" x14ac:dyDescent="0.35">
      <c r="A519" s="17"/>
      <c r="B519" s="172"/>
      <c r="C519" s="172"/>
      <c r="D519" s="172"/>
      <c r="E519" s="172"/>
      <c r="F519" s="172"/>
      <c r="G519" s="172"/>
      <c r="H519" s="172"/>
      <c r="I519" s="172"/>
      <c r="J519" s="172"/>
      <c r="K519" s="172"/>
      <c r="L519" s="172"/>
      <c r="M519" s="172"/>
      <c r="N519" s="172"/>
      <c r="O519" s="172"/>
      <c r="P519" s="172"/>
      <c r="Q519" s="172"/>
      <c r="R519" s="17"/>
    </row>
    <row r="520" spans="1:20" ht="16.5" customHeight="1" thickBot="1" x14ac:dyDescent="0.35">
      <c r="A520" s="278" t="s">
        <v>1069</v>
      </c>
      <c r="B520" s="4" t="s">
        <v>2090</v>
      </c>
      <c r="C520" s="5" t="s">
        <v>2091</v>
      </c>
      <c r="D520" s="5" t="s">
        <v>2234</v>
      </c>
      <c r="E520" s="33" t="s">
        <v>1594</v>
      </c>
      <c r="F520" s="5" t="s">
        <v>2235</v>
      </c>
      <c r="G520" s="5" t="s">
        <v>2236</v>
      </c>
      <c r="H520" s="5" t="s">
        <v>2237</v>
      </c>
      <c r="I520" s="35" t="s">
        <v>1595</v>
      </c>
      <c r="J520" s="5" t="s">
        <v>1504</v>
      </c>
      <c r="K520" s="5" t="s">
        <v>1505</v>
      </c>
      <c r="L520" s="5" t="s">
        <v>1506</v>
      </c>
      <c r="M520" s="35" t="s">
        <v>1596</v>
      </c>
      <c r="N520" s="5" t="s">
        <v>1507</v>
      </c>
      <c r="O520" s="5" t="s">
        <v>1508</v>
      </c>
      <c r="P520" s="5" t="s">
        <v>1509</v>
      </c>
      <c r="Q520" s="35" t="s">
        <v>1597</v>
      </c>
      <c r="R520" s="36" t="s">
        <v>1510</v>
      </c>
    </row>
    <row r="521" spans="1:20" ht="16.5" customHeight="1" thickBot="1" x14ac:dyDescent="0.35">
      <c r="A521" s="37"/>
      <c r="B521" s="258"/>
      <c r="C521" s="258"/>
      <c r="D521" s="258"/>
      <c r="E521" s="254"/>
      <c r="F521" s="258"/>
      <c r="G521" s="258"/>
      <c r="H521" s="258"/>
      <c r="I521" s="265"/>
      <c r="J521" s="258"/>
      <c r="K521" s="258"/>
      <c r="L521" s="258"/>
      <c r="M521" s="265"/>
      <c r="N521" s="258"/>
      <c r="O521" s="258"/>
      <c r="P521" s="258"/>
      <c r="Q521" s="265"/>
      <c r="R521" s="52"/>
    </row>
    <row r="522" spans="1:20" ht="15.75" customHeight="1" x14ac:dyDescent="0.3">
      <c r="A522" s="234" t="s">
        <v>2417</v>
      </c>
      <c r="B522" s="172" t="s">
        <v>852</v>
      </c>
      <c r="C522" s="172" t="s">
        <v>852</v>
      </c>
      <c r="D522" s="172" t="s">
        <v>852</v>
      </c>
      <c r="E522" s="38" t="s">
        <v>852</v>
      </c>
      <c r="F522" s="172" t="s">
        <v>852</v>
      </c>
      <c r="G522" s="172" t="s">
        <v>852</v>
      </c>
      <c r="H522" s="172" t="s">
        <v>852</v>
      </c>
      <c r="I522" s="38" t="s">
        <v>852</v>
      </c>
      <c r="J522" s="172" t="s">
        <v>852</v>
      </c>
      <c r="K522" s="172" t="s">
        <v>852</v>
      </c>
      <c r="L522" s="172" t="s">
        <v>852</v>
      </c>
      <c r="M522" s="38" t="s">
        <v>852</v>
      </c>
      <c r="N522" s="172" t="s">
        <v>852</v>
      </c>
      <c r="O522" s="172" t="s">
        <v>852</v>
      </c>
      <c r="P522" s="172" t="s">
        <v>852</v>
      </c>
      <c r="Q522" s="38" t="s">
        <v>852</v>
      </c>
      <c r="R522" s="38" t="s">
        <v>852</v>
      </c>
    </row>
    <row r="523" spans="1:20" ht="15.75" customHeight="1" x14ac:dyDescent="0.3">
      <c r="A523" s="234" t="s">
        <v>2160</v>
      </c>
      <c r="B523" s="172"/>
      <c r="C523" s="172"/>
      <c r="D523" s="172"/>
      <c r="E523" s="38" t="s">
        <v>852</v>
      </c>
      <c r="F523" s="172"/>
      <c r="G523" s="172"/>
      <c r="H523" s="172"/>
      <c r="I523" s="38" t="s">
        <v>852</v>
      </c>
      <c r="J523" s="172"/>
      <c r="K523" s="172"/>
      <c r="L523" s="172"/>
      <c r="M523" s="38" t="s">
        <v>852</v>
      </c>
      <c r="N523" s="172"/>
      <c r="O523" s="172"/>
      <c r="P523" s="172"/>
      <c r="Q523" s="38" t="s">
        <v>852</v>
      </c>
      <c r="R523" s="38" t="s">
        <v>852</v>
      </c>
    </row>
    <row r="524" spans="1:20" ht="15.75" customHeight="1" x14ac:dyDescent="0.3">
      <c r="A524" s="310" t="s">
        <v>746</v>
      </c>
      <c r="B524" s="10">
        <v>546</v>
      </c>
      <c r="C524" s="10">
        <v>674</v>
      </c>
      <c r="D524" s="10">
        <v>584</v>
      </c>
      <c r="E524" s="38">
        <f t="shared" ref="E524:E531" si="96">SUM(B524:D524)</f>
        <v>1804</v>
      </c>
      <c r="F524" s="10">
        <v>622</v>
      </c>
      <c r="G524" s="10">
        <v>485</v>
      </c>
      <c r="H524" s="10">
        <v>79</v>
      </c>
      <c r="I524" s="38">
        <f t="shared" ref="I524:I531" si="97">SUM(F524:H524)</f>
        <v>1186</v>
      </c>
      <c r="J524" s="10">
        <v>630</v>
      </c>
      <c r="K524" s="10">
        <v>685</v>
      </c>
      <c r="L524" s="10">
        <v>702</v>
      </c>
      <c r="M524" s="38">
        <f t="shared" ref="M524:M531" si="98">SUM(J524:L524)</f>
        <v>2017</v>
      </c>
      <c r="N524" s="10">
        <v>207</v>
      </c>
      <c r="O524" s="10"/>
      <c r="P524" s="10">
        <v>5</v>
      </c>
      <c r="Q524" s="38">
        <f t="shared" ref="Q524:Q531" si="99">SUM(N524:P524)</f>
        <v>212</v>
      </c>
      <c r="R524" s="38">
        <f t="shared" ref="R524:R531" si="100">+E524+I524+M524+Q524</f>
        <v>5219</v>
      </c>
    </row>
    <row r="525" spans="1:20" ht="15.75" customHeight="1" x14ac:dyDescent="0.3">
      <c r="A525" s="310" t="s">
        <v>639</v>
      </c>
      <c r="B525" s="10">
        <v>0</v>
      </c>
      <c r="C525" s="10">
        <v>100</v>
      </c>
      <c r="D525" s="10">
        <v>200</v>
      </c>
      <c r="E525" s="38">
        <f>SUM(B525:D525)</f>
        <v>300</v>
      </c>
      <c r="F525" s="10">
        <v>700</v>
      </c>
      <c r="G525" s="10"/>
      <c r="H525" s="10"/>
      <c r="I525" s="38">
        <f>SUM(F525:H525)</f>
        <v>700</v>
      </c>
      <c r="J525" s="10"/>
      <c r="K525" s="10"/>
      <c r="L525" s="10"/>
      <c r="M525" s="38">
        <f>SUM(J525:L525)</f>
        <v>0</v>
      </c>
      <c r="N525" s="10"/>
      <c r="O525" s="10"/>
      <c r="P525" s="10"/>
      <c r="Q525" s="38">
        <f>SUM(N525:P525)</f>
        <v>0</v>
      </c>
      <c r="R525" s="38">
        <f>+E525+I525+M525+Q525</f>
        <v>1000</v>
      </c>
    </row>
    <row r="526" spans="1:20" ht="15.75" customHeight="1" x14ac:dyDescent="0.3">
      <c r="A526" s="310" t="s">
        <v>1185</v>
      </c>
      <c r="B526" s="10">
        <v>0</v>
      </c>
      <c r="C526" s="10">
        <v>253</v>
      </c>
      <c r="D526" s="10">
        <v>0</v>
      </c>
      <c r="E526" s="38">
        <f t="shared" si="96"/>
        <v>253</v>
      </c>
      <c r="F526" s="10">
        <v>425</v>
      </c>
      <c r="G526" s="10">
        <v>666</v>
      </c>
      <c r="H526" s="10">
        <v>643</v>
      </c>
      <c r="I526" s="38">
        <f t="shared" si="97"/>
        <v>1734</v>
      </c>
      <c r="J526" s="10">
        <v>1866</v>
      </c>
      <c r="K526" s="10">
        <v>550</v>
      </c>
      <c r="L526" s="10"/>
      <c r="M526" s="38">
        <f t="shared" si="98"/>
        <v>2416</v>
      </c>
      <c r="N526" s="10"/>
      <c r="O526" s="10"/>
      <c r="P526" s="10"/>
      <c r="Q526" s="38">
        <f t="shared" si="99"/>
        <v>0</v>
      </c>
      <c r="R526" s="38">
        <f t="shared" si="100"/>
        <v>4403</v>
      </c>
      <c r="T526" t="s">
        <v>2763</v>
      </c>
    </row>
    <row r="527" spans="1:20" ht="15.75" customHeight="1" x14ac:dyDescent="0.3">
      <c r="A527" s="310" t="s">
        <v>745</v>
      </c>
      <c r="B527" s="10"/>
      <c r="C527" s="10"/>
      <c r="D527" s="10"/>
      <c r="E527" s="38">
        <f>SUM(B527:D527)</f>
        <v>0</v>
      </c>
      <c r="F527" s="10"/>
      <c r="G527" s="10"/>
      <c r="H527" s="10"/>
      <c r="I527" s="38">
        <f>SUM(F527:H527)</f>
        <v>0</v>
      </c>
      <c r="J527" s="10"/>
      <c r="K527" s="10"/>
      <c r="L527" s="10"/>
      <c r="M527" s="38">
        <f>SUM(J527:L527)</f>
        <v>0</v>
      </c>
      <c r="N527" s="10"/>
      <c r="O527" s="10"/>
      <c r="P527" s="10"/>
      <c r="Q527" s="38">
        <f>SUM(N527:P527)</f>
        <v>0</v>
      </c>
      <c r="R527" s="38">
        <f>+E527+I527+M527+Q527</f>
        <v>0</v>
      </c>
      <c r="T527" t="s">
        <v>2766</v>
      </c>
    </row>
    <row r="528" spans="1:20" ht="15.75" customHeight="1" x14ac:dyDescent="0.3">
      <c r="A528" s="310" t="s">
        <v>484</v>
      </c>
      <c r="B528" s="10"/>
      <c r="C528" s="10">
        <v>1000</v>
      </c>
      <c r="D528" s="10">
        <v>1051</v>
      </c>
      <c r="E528" s="38">
        <f t="shared" si="96"/>
        <v>2051</v>
      </c>
      <c r="F528" s="10">
        <v>1180</v>
      </c>
      <c r="G528" s="10">
        <v>374</v>
      </c>
      <c r="H528" s="10"/>
      <c r="I528" s="38">
        <f t="shared" si="97"/>
        <v>1554</v>
      </c>
      <c r="J528" s="10"/>
      <c r="K528" s="10"/>
      <c r="L528" s="10"/>
      <c r="M528" s="38">
        <f t="shared" si="98"/>
        <v>0</v>
      </c>
      <c r="N528" s="10"/>
      <c r="O528" s="10"/>
      <c r="P528" s="10"/>
      <c r="Q528" s="38">
        <f t="shared" si="99"/>
        <v>0</v>
      </c>
      <c r="R528" s="38">
        <f t="shared" si="100"/>
        <v>3605</v>
      </c>
      <c r="T528" t="s">
        <v>2766</v>
      </c>
    </row>
    <row r="529" spans="1:20" ht="15.75" customHeight="1" x14ac:dyDescent="0.3">
      <c r="A529" s="539" t="s">
        <v>2982</v>
      </c>
      <c r="B529" s="10"/>
      <c r="C529" s="10"/>
      <c r="D529" s="10"/>
      <c r="E529" s="38">
        <f>SUM(B529:D529)</f>
        <v>0</v>
      </c>
      <c r="F529" s="10"/>
      <c r="G529" s="10">
        <v>50</v>
      </c>
      <c r="H529" s="10">
        <v>25</v>
      </c>
      <c r="I529" s="38">
        <f>SUM(F529:H529)</f>
        <v>75</v>
      </c>
      <c r="J529" s="10">
        <v>75</v>
      </c>
      <c r="K529" s="10"/>
      <c r="L529" s="10"/>
      <c r="M529" s="38">
        <f>SUM(J529:L529)</f>
        <v>75</v>
      </c>
      <c r="N529" s="10"/>
      <c r="O529" s="10"/>
      <c r="P529" s="10"/>
      <c r="Q529" s="38">
        <f>SUM(N529:P529)</f>
        <v>0</v>
      </c>
      <c r="R529" s="38">
        <f>+E529+I529+M529+Q529</f>
        <v>150</v>
      </c>
    </row>
    <row r="530" spans="1:20" ht="15.75" customHeight="1" x14ac:dyDescent="0.3">
      <c r="A530" s="266" t="s">
        <v>1836</v>
      </c>
      <c r="B530" s="172"/>
      <c r="C530" s="172"/>
      <c r="D530" s="172"/>
      <c r="E530" s="38">
        <f t="shared" si="96"/>
        <v>0</v>
      </c>
      <c r="F530" s="172"/>
      <c r="G530" s="172"/>
      <c r="H530" s="172"/>
      <c r="I530" s="38">
        <f t="shared" si="97"/>
        <v>0</v>
      </c>
      <c r="J530" s="172">
        <v>2800</v>
      </c>
      <c r="K530" s="172"/>
      <c r="L530" s="172"/>
      <c r="M530" s="38">
        <f t="shared" si="98"/>
        <v>2800</v>
      </c>
      <c r="N530" s="172"/>
      <c r="O530" s="172"/>
      <c r="P530" s="172"/>
      <c r="Q530" s="38">
        <f t="shared" si="99"/>
        <v>0</v>
      </c>
      <c r="R530" s="38">
        <f t="shared" si="100"/>
        <v>2800</v>
      </c>
      <c r="T530" t="s">
        <v>2766</v>
      </c>
    </row>
    <row r="531" spans="1:20" ht="15.75" customHeight="1" x14ac:dyDescent="0.3">
      <c r="A531" s="266" t="s">
        <v>1295</v>
      </c>
      <c r="B531" s="172"/>
      <c r="C531" s="172">
        <v>1257</v>
      </c>
      <c r="D531" s="172">
        <v>271</v>
      </c>
      <c r="E531" s="38">
        <f t="shared" si="96"/>
        <v>1528</v>
      </c>
      <c r="F531" s="172"/>
      <c r="G531" s="172"/>
      <c r="H531" s="172"/>
      <c r="I531" s="38">
        <f t="shared" si="97"/>
        <v>0</v>
      </c>
      <c r="J531" s="172"/>
      <c r="K531" s="172"/>
      <c r="L531" s="172"/>
      <c r="M531" s="38">
        <f t="shared" si="98"/>
        <v>0</v>
      </c>
      <c r="N531" s="172"/>
      <c r="O531" s="172"/>
      <c r="P531" s="172"/>
      <c r="Q531" s="38">
        <f t="shared" si="99"/>
        <v>0</v>
      </c>
      <c r="R531" s="38">
        <f t="shared" si="100"/>
        <v>1528</v>
      </c>
      <c r="T531" t="s">
        <v>2766</v>
      </c>
    </row>
    <row r="532" spans="1:20" ht="15.75" customHeight="1" x14ac:dyDescent="0.3">
      <c r="A532" s="310" t="s">
        <v>2448</v>
      </c>
      <c r="B532" s="10"/>
      <c r="C532" s="10">
        <v>744</v>
      </c>
      <c r="D532" s="10">
        <v>629</v>
      </c>
      <c r="E532" s="38">
        <f>SUM(B532:D532)</f>
        <v>1373</v>
      </c>
      <c r="F532" s="10">
        <v>1614</v>
      </c>
      <c r="G532" s="10"/>
      <c r="H532" s="10"/>
      <c r="I532" s="38">
        <f>SUM(F532:H532)</f>
        <v>1614</v>
      </c>
      <c r="J532" s="10"/>
      <c r="K532" s="10"/>
      <c r="L532" s="10"/>
      <c r="M532" s="38">
        <f>SUM(J532:L532)</f>
        <v>0</v>
      </c>
      <c r="N532" s="10"/>
      <c r="O532" s="10"/>
      <c r="P532" s="10"/>
      <c r="Q532" s="38">
        <f>SUM(N532:P532)</f>
        <v>0</v>
      </c>
      <c r="R532" s="38">
        <f>+E532+I532+M532+Q532</f>
        <v>2987</v>
      </c>
      <c r="T532" t="s">
        <v>2763</v>
      </c>
    </row>
    <row r="533" spans="1:20" ht="15.75" customHeight="1" x14ac:dyDescent="0.3">
      <c r="A533" s="234" t="s">
        <v>2161</v>
      </c>
      <c r="B533" s="172"/>
      <c r="C533" s="172"/>
      <c r="D533" s="172"/>
      <c r="E533" s="38" t="s">
        <v>852</v>
      </c>
      <c r="F533" s="172"/>
      <c r="G533" s="172"/>
      <c r="H533" s="172"/>
      <c r="I533" s="38" t="s">
        <v>852</v>
      </c>
      <c r="J533" s="172"/>
      <c r="K533" s="172"/>
      <c r="L533" s="172"/>
      <c r="M533" s="38" t="s">
        <v>852</v>
      </c>
      <c r="N533" s="172"/>
      <c r="O533" s="172"/>
      <c r="P533" s="172"/>
      <c r="Q533" s="38" t="s">
        <v>852</v>
      </c>
      <c r="R533" s="38" t="s">
        <v>852</v>
      </c>
    </row>
    <row r="534" spans="1:20" ht="15.75" customHeight="1" x14ac:dyDescent="0.3">
      <c r="A534" s="266" t="s">
        <v>1295</v>
      </c>
      <c r="B534" s="172"/>
      <c r="C534" s="172"/>
      <c r="D534" s="172"/>
      <c r="E534" s="38">
        <f>SUM(B534:D534)</f>
        <v>0</v>
      </c>
      <c r="F534" s="172"/>
      <c r="G534" s="172"/>
      <c r="H534" s="172"/>
      <c r="I534" s="38">
        <f>SUM(F534:H534)</f>
        <v>0</v>
      </c>
      <c r="J534" s="172"/>
      <c r="K534" s="172"/>
      <c r="L534" s="172"/>
      <c r="M534" s="38">
        <f>SUM(J534:L534)</f>
        <v>0</v>
      </c>
      <c r="N534" s="172"/>
      <c r="O534" s="172"/>
      <c r="P534" s="172"/>
      <c r="Q534" s="38">
        <f>SUM(N534:P534)</f>
        <v>0</v>
      </c>
      <c r="R534" s="38">
        <f>+E534+I534+M534+Q534</f>
        <v>0</v>
      </c>
      <c r="T534" t="s">
        <v>2766</v>
      </c>
    </row>
    <row r="535" spans="1:20" ht="15.75" customHeight="1" x14ac:dyDescent="0.3">
      <c r="A535" s="234" t="s">
        <v>2162</v>
      </c>
      <c r="B535" s="172"/>
      <c r="C535" s="172"/>
      <c r="D535" s="172"/>
      <c r="E535" s="38" t="s">
        <v>852</v>
      </c>
      <c r="F535" s="172"/>
      <c r="G535" s="172"/>
      <c r="H535" s="172"/>
      <c r="I535" s="38" t="s">
        <v>852</v>
      </c>
      <c r="J535" s="172"/>
      <c r="K535" s="172"/>
      <c r="L535" s="172"/>
      <c r="M535" s="38" t="s">
        <v>852</v>
      </c>
      <c r="N535" s="172"/>
      <c r="O535" s="172"/>
      <c r="P535" s="172"/>
      <c r="Q535" s="38" t="s">
        <v>852</v>
      </c>
      <c r="R535" s="38" t="s">
        <v>852</v>
      </c>
    </row>
    <row r="536" spans="1:20" ht="15.75" customHeight="1" x14ac:dyDescent="0.3">
      <c r="A536" s="266" t="s">
        <v>624</v>
      </c>
      <c r="B536" s="172"/>
      <c r="C536" s="172"/>
      <c r="D536" s="172"/>
      <c r="E536" s="38">
        <f>SUM(B536:D536)</f>
        <v>0</v>
      </c>
      <c r="F536" s="172">
        <v>1008</v>
      </c>
      <c r="G536" s="172"/>
      <c r="H536" s="172"/>
      <c r="I536" s="38">
        <f>SUM(F536:H536)</f>
        <v>1008</v>
      </c>
      <c r="J536" s="172"/>
      <c r="K536" s="172"/>
      <c r="L536" s="172"/>
      <c r="M536" s="38">
        <f>SUM(J536:L536)</f>
        <v>0</v>
      </c>
      <c r="N536" s="172"/>
      <c r="O536" s="172"/>
      <c r="P536" s="172">
        <v>542</v>
      </c>
      <c r="Q536" s="38">
        <f>SUM(N536:P536)</f>
        <v>542</v>
      </c>
      <c r="R536" s="38">
        <f>+E536+I536+M536+Q536</f>
        <v>1550</v>
      </c>
      <c r="T536" t="s">
        <v>2766</v>
      </c>
    </row>
    <row r="537" spans="1:20" ht="15.75" customHeight="1" thickBot="1" x14ac:dyDescent="0.35">
      <c r="A537" s="234" t="s">
        <v>2164</v>
      </c>
      <c r="B537" s="172"/>
      <c r="C537" s="172"/>
      <c r="D537" s="172"/>
      <c r="E537" s="38" t="s">
        <v>852</v>
      </c>
      <c r="F537" s="172"/>
      <c r="G537" s="172"/>
      <c r="H537" s="172"/>
      <c r="I537" s="38" t="s">
        <v>852</v>
      </c>
      <c r="J537" s="172"/>
      <c r="K537" s="172"/>
      <c r="L537" s="172"/>
      <c r="M537" s="38" t="s">
        <v>852</v>
      </c>
      <c r="N537" s="172"/>
      <c r="O537" s="172"/>
      <c r="P537" s="172"/>
      <c r="Q537" s="38" t="s">
        <v>852</v>
      </c>
      <c r="R537" s="38" t="s">
        <v>852</v>
      </c>
    </row>
    <row r="538" spans="1:20" ht="16.5" customHeight="1" thickBot="1" x14ac:dyDescent="0.35">
      <c r="A538" s="276" t="s">
        <v>1218</v>
      </c>
      <c r="B538" s="45">
        <f>SUM(B522:B537)</f>
        <v>546</v>
      </c>
      <c r="C538" s="46">
        <f>SUM(C522:C537)</f>
        <v>4028</v>
      </c>
      <c r="D538" s="46">
        <f>SUM(D522:D537)</f>
        <v>2735</v>
      </c>
      <c r="E538" s="37">
        <f>SUM(B538:D538)</f>
        <v>7309</v>
      </c>
      <c r="F538" s="46">
        <f>SUM(F522:F537)</f>
        <v>5549</v>
      </c>
      <c r="G538" s="46">
        <f>SUM(G522:G537)</f>
        <v>1575</v>
      </c>
      <c r="H538" s="46">
        <f>SUM(H522:H537)</f>
        <v>747</v>
      </c>
      <c r="I538" s="37">
        <f>SUM(F538:H538)</f>
        <v>7871</v>
      </c>
      <c r="J538" s="46">
        <f>SUM(J522:J537)</f>
        <v>5371</v>
      </c>
      <c r="K538" s="46">
        <f>SUM(K522:K537)</f>
        <v>1235</v>
      </c>
      <c r="L538" s="46">
        <f>SUM(L522:L537)</f>
        <v>702</v>
      </c>
      <c r="M538" s="37">
        <f>SUM(J538:L538)</f>
        <v>7308</v>
      </c>
      <c r="N538" s="46">
        <f>SUM(N522:N537)</f>
        <v>207</v>
      </c>
      <c r="O538" s="46">
        <f>SUM(O522:O537)</f>
        <v>0</v>
      </c>
      <c r="P538" s="46">
        <f>SUM(P522:P537)</f>
        <v>547</v>
      </c>
      <c r="Q538" s="37">
        <f>SUM(N538:P538)</f>
        <v>754</v>
      </c>
      <c r="R538" s="37">
        <f>+E538+I538+M538+Q538</f>
        <v>23242</v>
      </c>
    </row>
    <row r="539" spans="1:20" ht="15.75" customHeight="1" x14ac:dyDescent="0.3">
      <c r="A539" s="234" t="s">
        <v>1172</v>
      </c>
      <c r="B539" s="172"/>
      <c r="C539" s="172"/>
      <c r="D539" s="172"/>
      <c r="E539" s="38" t="s">
        <v>852</v>
      </c>
      <c r="F539" s="172"/>
      <c r="G539" s="172"/>
      <c r="H539" s="172"/>
      <c r="I539" s="38" t="s">
        <v>852</v>
      </c>
      <c r="J539" s="172"/>
      <c r="K539" s="172"/>
      <c r="L539" s="172"/>
      <c r="M539" s="38" t="s">
        <v>852</v>
      </c>
      <c r="N539" s="172"/>
      <c r="O539" s="172"/>
      <c r="P539" s="172"/>
      <c r="Q539" s="38" t="s">
        <v>852</v>
      </c>
      <c r="R539" s="38" t="s">
        <v>852</v>
      </c>
    </row>
    <row r="540" spans="1:20" ht="15.75" customHeight="1" x14ac:dyDescent="0.3">
      <c r="A540" s="234" t="s">
        <v>2409</v>
      </c>
      <c r="B540" s="172"/>
      <c r="C540" s="172"/>
      <c r="D540" s="172"/>
      <c r="E540" s="38" t="s">
        <v>852</v>
      </c>
      <c r="F540" s="172"/>
      <c r="G540" s="172"/>
      <c r="H540" s="172"/>
      <c r="I540" s="38" t="s">
        <v>852</v>
      </c>
      <c r="J540" s="172"/>
      <c r="K540" s="172"/>
      <c r="L540" s="172"/>
      <c r="M540" s="38" t="s">
        <v>852</v>
      </c>
      <c r="N540" s="172"/>
      <c r="O540" s="172"/>
      <c r="P540" s="172"/>
      <c r="Q540" s="38" t="s">
        <v>852</v>
      </c>
      <c r="R540" s="38" t="s">
        <v>852</v>
      </c>
    </row>
    <row r="541" spans="1:20" ht="15.75" customHeight="1" x14ac:dyDescent="0.3">
      <c r="A541" s="266" t="s">
        <v>2478</v>
      </c>
      <c r="B541" s="172">
        <v>100</v>
      </c>
      <c r="C541" s="172">
        <v>50</v>
      </c>
      <c r="D541" s="172">
        <v>50</v>
      </c>
      <c r="E541" s="38">
        <f>SUM(B541:D541)</f>
        <v>200</v>
      </c>
      <c r="F541" s="172">
        <v>50</v>
      </c>
      <c r="G541" s="172">
        <v>50</v>
      </c>
      <c r="H541" s="172">
        <v>50</v>
      </c>
      <c r="I541" s="38">
        <f>SUM(F541:H541)</f>
        <v>150</v>
      </c>
      <c r="J541" s="172">
        <v>59</v>
      </c>
      <c r="K541" s="172"/>
      <c r="L541" s="172"/>
      <c r="M541" s="38">
        <f>SUM(J541:L541)</f>
        <v>59</v>
      </c>
      <c r="N541" s="172"/>
      <c r="O541" s="172"/>
      <c r="P541" s="172"/>
      <c r="Q541" s="38">
        <f>SUM(N541:P541)</f>
        <v>0</v>
      </c>
      <c r="R541" s="38">
        <f>+E541+I541+M541+Q541</f>
        <v>409</v>
      </c>
    </row>
    <row r="542" spans="1:20" ht="15.75" customHeight="1" x14ac:dyDescent="0.3">
      <c r="A542" s="266" t="s">
        <v>1958</v>
      </c>
      <c r="B542" s="172"/>
      <c r="C542" s="172"/>
      <c r="D542" s="172"/>
      <c r="E542" s="38">
        <f>SUM(B542:D542)</f>
        <v>0</v>
      </c>
      <c r="F542" s="172"/>
      <c r="G542" s="172"/>
      <c r="H542" s="172"/>
      <c r="I542" s="38">
        <f>SUM(F542:H542)</f>
        <v>0</v>
      </c>
      <c r="J542" s="172"/>
      <c r="K542" s="172"/>
      <c r="L542" s="172"/>
      <c r="M542" s="38">
        <f>SUM(J542:L542)</f>
        <v>0</v>
      </c>
      <c r="N542" s="172"/>
      <c r="O542" s="172"/>
      <c r="P542" s="172"/>
      <c r="Q542" s="38">
        <f>SUM(N542:P542)</f>
        <v>0</v>
      </c>
      <c r="R542" s="38">
        <f>+E542+I542+M542+Q542</f>
        <v>0</v>
      </c>
    </row>
    <row r="543" spans="1:20" ht="15.75" customHeight="1" thickBot="1" x14ac:dyDescent="0.35">
      <c r="A543" s="234" t="s">
        <v>2165</v>
      </c>
      <c r="B543" s="172"/>
      <c r="C543" s="172"/>
      <c r="D543" s="172"/>
      <c r="E543" s="38" t="s">
        <v>852</v>
      </c>
      <c r="F543" s="172"/>
      <c r="G543" s="172"/>
      <c r="H543" s="172"/>
      <c r="I543" s="38" t="s">
        <v>852</v>
      </c>
      <c r="J543" s="172"/>
      <c r="K543" s="172"/>
      <c r="L543" s="172"/>
      <c r="M543" s="38" t="s">
        <v>852</v>
      </c>
      <c r="N543" s="172"/>
      <c r="O543" s="172"/>
      <c r="P543" s="172"/>
      <c r="Q543" s="38" t="s">
        <v>852</v>
      </c>
      <c r="R543" s="38" t="s">
        <v>852</v>
      </c>
    </row>
    <row r="544" spans="1:20" ht="16.5" customHeight="1" thickBot="1" x14ac:dyDescent="0.35">
      <c r="A544" s="43" t="s">
        <v>1219</v>
      </c>
      <c r="B544" s="45">
        <f>SUM(B539:B543)</f>
        <v>100</v>
      </c>
      <c r="C544" s="46">
        <f>SUM(C539:C543)</f>
        <v>50</v>
      </c>
      <c r="D544" s="46">
        <f>SUM(D539:D543)</f>
        <v>50</v>
      </c>
      <c r="E544" s="37">
        <f>SUM(B544:D544)</f>
        <v>200</v>
      </c>
      <c r="F544" s="46">
        <f>SUM(F539:F543)</f>
        <v>50</v>
      </c>
      <c r="G544" s="46">
        <f>SUM(G539:G543)</f>
        <v>50</v>
      </c>
      <c r="H544" s="46">
        <f>SUM(H539:H543)</f>
        <v>50</v>
      </c>
      <c r="I544" s="37">
        <f>SUM(F544:H544)</f>
        <v>150</v>
      </c>
      <c r="J544" s="46">
        <f>SUM(J539:J543)</f>
        <v>59</v>
      </c>
      <c r="K544" s="46">
        <f>SUM(K539:K543)</f>
        <v>0</v>
      </c>
      <c r="L544" s="46">
        <f>SUM(L539:L543)</f>
        <v>0</v>
      </c>
      <c r="M544" s="37">
        <f>SUM(J544:L544)</f>
        <v>59</v>
      </c>
      <c r="N544" s="46">
        <f>SUM(N539:N543)</f>
        <v>0</v>
      </c>
      <c r="O544" s="46">
        <f>SUM(O539:O543)</f>
        <v>0</v>
      </c>
      <c r="P544" s="46">
        <f>SUM(P539:P543)</f>
        <v>0</v>
      </c>
      <c r="Q544" s="37">
        <f>SUM(N544:P544)</f>
        <v>0</v>
      </c>
      <c r="R544" s="37">
        <f>+E544+I544+M544+Q544</f>
        <v>409</v>
      </c>
    </row>
    <row r="545" spans="1:20" ht="15.75" customHeight="1" x14ac:dyDescent="0.3">
      <c r="A545" s="234" t="s">
        <v>2166</v>
      </c>
      <c r="B545" s="172"/>
      <c r="C545" s="172"/>
      <c r="D545" s="172"/>
      <c r="E545" s="38" t="s">
        <v>852</v>
      </c>
      <c r="F545" s="172"/>
      <c r="G545" s="172"/>
      <c r="H545" s="172"/>
      <c r="I545" s="38" t="s">
        <v>852</v>
      </c>
      <c r="J545" s="172"/>
      <c r="K545" s="172"/>
      <c r="L545" s="172"/>
      <c r="M545" s="38" t="s">
        <v>852</v>
      </c>
      <c r="N545" s="172"/>
      <c r="O545" s="172"/>
      <c r="P545" s="172"/>
      <c r="Q545" s="38" t="s">
        <v>852</v>
      </c>
      <c r="R545" s="38" t="s">
        <v>852</v>
      </c>
    </row>
    <row r="546" spans="1:20" ht="15.75" customHeight="1" x14ac:dyDescent="0.3">
      <c r="A546" s="234" t="s">
        <v>1245</v>
      </c>
      <c r="B546" s="172"/>
      <c r="C546" s="172"/>
      <c r="D546" s="172"/>
      <c r="E546" s="38" t="s">
        <v>852</v>
      </c>
      <c r="F546" s="172"/>
      <c r="G546" s="172"/>
      <c r="H546" s="172"/>
      <c r="I546" s="38" t="s">
        <v>852</v>
      </c>
      <c r="J546" s="172"/>
      <c r="K546" s="172"/>
      <c r="L546" s="172"/>
      <c r="M546" s="38" t="s">
        <v>852</v>
      </c>
      <c r="N546" s="172"/>
      <c r="O546" s="172"/>
      <c r="P546" s="172"/>
      <c r="Q546" s="38" t="s">
        <v>852</v>
      </c>
      <c r="R546" s="38" t="s">
        <v>852</v>
      </c>
    </row>
    <row r="547" spans="1:20" ht="15.75" customHeight="1" x14ac:dyDescent="0.3">
      <c r="A547" s="234" t="s">
        <v>1711</v>
      </c>
      <c r="B547" s="172"/>
      <c r="C547" s="172"/>
      <c r="D547" s="172"/>
      <c r="E547" s="38" t="s">
        <v>852</v>
      </c>
      <c r="F547" s="172"/>
      <c r="G547" s="172"/>
      <c r="H547" s="172"/>
      <c r="I547" s="38" t="s">
        <v>852</v>
      </c>
      <c r="J547" s="172"/>
      <c r="K547" s="172"/>
      <c r="L547" s="172"/>
      <c r="M547" s="38" t="s">
        <v>852</v>
      </c>
      <c r="N547" s="172"/>
      <c r="O547" s="172"/>
      <c r="P547" s="172"/>
      <c r="Q547" s="38" t="s">
        <v>852</v>
      </c>
      <c r="R547" s="38" t="s">
        <v>852</v>
      </c>
    </row>
    <row r="548" spans="1:20" ht="15.75" customHeight="1" x14ac:dyDescent="0.3">
      <c r="A548" s="539" t="s">
        <v>3106</v>
      </c>
      <c r="B548" s="172"/>
      <c r="C548" s="172"/>
      <c r="D548" s="172"/>
      <c r="E548" s="38">
        <f>SUM(B548:D548)</f>
        <v>0</v>
      </c>
      <c r="F548" s="172"/>
      <c r="G548" s="172"/>
      <c r="H548" s="172"/>
      <c r="I548" s="38">
        <f>SUM(F548:H548)</f>
        <v>0</v>
      </c>
      <c r="J548" s="172"/>
      <c r="K548" s="172"/>
      <c r="L548" s="172"/>
      <c r="M548" s="38">
        <f>SUM(J548:L548)</f>
        <v>0</v>
      </c>
      <c r="N548" s="172"/>
      <c r="O548" s="172"/>
      <c r="P548" s="172">
        <v>2551</v>
      </c>
      <c r="Q548" s="38">
        <f>SUM(N548:P548)</f>
        <v>2551</v>
      </c>
      <c r="R548" s="38">
        <f>+E548+I548+M548+Q548</f>
        <v>2551</v>
      </c>
    </row>
    <row r="549" spans="1:20" ht="15.75" customHeight="1" thickBot="1" x14ac:dyDescent="0.35">
      <c r="A549" s="539" t="s">
        <v>2720</v>
      </c>
      <c r="B549" s="172"/>
      <c r="C549" s="172"/>
      <c r="D549" s="172"/>
      <c r="E549" s="38">
        <f>SUM(B549:D549)</f>
        <v>0</v>
      </c>
      <c r="F549" s="172"/>
      <c r="G549" s="172"/>
      <c r="H549" s="172"/>
      <c r="I549" s="38">
        <f>SUM(F549:H549)</f>
        <v>0</v>
      </c>
      <c r="J549" s="172"/>
      <c r="K549" s="172"/>
      <c r="L549" s="172"/>
      <c r="M549" s="38">
        <f>SUM(J549:L549)</f>
        <v>0</v>
      </c>
      <c r="N549" s="172"/>
      <c r="O549" s="172"/>
      <c r="P549" s="172"/>
      <c r="Q549" s="38">
        <f>SUM(N549:P549)</f>
        <v>0</v>
      </c>
      <c r="R549" s="38">
        <f>+E549+I549+M549+Q549</f>
        <v>0</v>
      </c>
      <c r="T549" t="s">
        <v>2766</v>
      </c>
    </row>
    <row r="550" spans="1:20" ht="16.5" customHeight="1" thickBot="1" x14ac:dyDescent="0.35">
      <c r="A550" s="277" t="s">
        <v>1220</v>
      </c>
      <c r="B550" s="45">
        <f>SUM(B545:B549)</f>
        <v>0</v>
      </c>
      <c r="C550" s="46">
        <f>SUM(C545:C549)</f>
        <v>0</v>
      </c>
      <c r="D550" s="46">
        <f>SUM(D545:D549)</f>
        <v>0</v>
      </c>
      <c r="E550" s="37">
        <f>SUM(B550:D550)</f>
        <v>0</v>
      </c>
      <c r="F550" s="46">
        <f>SUM(F545:F549)</f>
        <v>0</v>
      </c>
      <c r="G550" s="46">
        <f>SUM(G545:G549)</f>
        <v>0</v>
      </c>
      <c r="H550" s="46">
        <f>SUM(H545:H549)</f>
        <v>0</v>
      </c>
      <c r="I550" s="37">
        <f>SUM(F550:H550)</f>
        <v>0</v>
      </c>
      <c r="J550" s="46">
        <f>SUM(J545:J549)</f>
        <v>0</v>
      </c>
      <c r="K550" s="46">
        <f>SUM(K545:K549)</f>
        <v>0</v>
      </c>
      <c r="L550" s="46">
        <f>SUM(L545:L549)</f>
        <v>0</v>
      </c>
      <c r="M550" s="37">
        <f>SUM(J550:L550)</f>
        <v>0</v>
      </c>
      <c r="N550" s="46">
        <f>SUM(N545:N549)</f>
        <v>0</v>
      </c>
      <c r="O550" s="46">
        <f>SUM(O545:O549)</f>
        <v>0</v>
      </c>
      <c r="P550" s="46">
        <f>SUM(P545:P549)</f>
        <v>2551</v>
      </c>
      <c r="Q550" s="37">
        <f>SUM(N550:P550)</f>
        <v>2551</v>
      </c>
      <c r="R550" s="37">
        <f>+E550+I550+M550+Q550</f>
        <v>2551</v>
      </c>
    </row>
    <row r="551" spans="1:20" ht="15.75" customHeight="1" x14ac:dyDescent="0.3">
      <c r="A551" s="234" t="s">
        <v>1712</v>
      </c>
      <c r="B551" s="172"/>
      <c r="C551" s="172"/>
      <c r="D551" s="172"/>
      <c r="E551" s="38" t="s">
        <v>852</v>
      </c>
      <c r="F551" s="172"/>
      <c r="G551" s="172"/>
      <c r="H551" s="172"/>
      <c r="I551" s="38" t="s">
        <v>852</v>
      </c>
      <c r="J551" s="172"/>
      <c r="K551" s="172"/>
      <c r="L551" s="172"/>
      <c r="M551" s="38" t="s">
        <v>852</v>
      </c>
      <c r="N551" s="172"/>
      <c r="O551" s="172"/>
      <c r="P551" s="172"/>
      <c r="Q551" s="38" t="s">
        <v>852</v>
      </c>
      <c r="R551" s="38" t="s">
        <v>852</v>
      </c>
    </row>
    <row r="552" spans="1:20" ht="15.75" customHeight="1" x14ac:dyDescent="0.3">
      <c r="A552" s="234" t="s">
        <v>1021</v>
      </c>
      <c r="B552" s="172"/>
      <c r="C552" s="172"/>
      <c r="D552" s="172"/>
      <c r="E552" s="38" t="s">
        <v>852</v>
      </c>
      <c r="F552" s="172"/>
      <c r="G552" s="172"/>
      <c r="H552" s="172"/>
      <c r="I552" s="38" t="s">
        <v>852</v>
      </c>
      <c r="J552" s="172"/>
      <c r="K552" s="172"/>
      <c r="L552" s="172"/>
      <c r="M552" s="38" t="s">
        <v>852</v>
      </c>
      <c r="N552" s="172"/>
      <c r="O552" s="172"/>
      <c r="P552" s="172"/>
      <c r="Q552" s="38" t="s">
        <v>852</v>
      </c>
      <c r="R552" s="38" t="s">
        <v>852</v>
      </c>
    </row>
    <row r="553" spans="1:20" ht="15.75" customHeight="1" x14ac:dyDescent="0.3">
      <c r="A553" s="266" t="s">
        <v>624</v>
      </c>
      <c r="B553" s="172"/>
      <c r="C553" s="172"/>
      <c r="D553" s="172"/>
      <c r="E553" s="38">
        <f>SUM(B553:D553)</f>
        <v>0</v>
      </c>
      <c r="F553" s="172">
        <v>172</v>
      </c>
      <c r="G553" s="172">
        <v>594</v>
      </c>
      <c r="H553" s="172"/>
      <c r="I553" s="38">
        <f>SUM(F553:H553)</f>
        <v>766</v>
      </c>
      <c r="J553" s="172"/>
      <c r="K553" s="172"/>
      <c r="L553" s="172"/>
      <c r="M553" s="38">
        <f>SUM(J553:L553)</f>
        <v>0</v>
      </c>
      <c r="N553" s="172"/>
      <c r="O553" s="172"/>
      <c r="P553" s="172">
        <v>500</v>
      </c>
      <c r="Q553" s="38">
        <f>SUM(N553:P553)</f>
        <v>500</v>
      </c>
      <c r="R553" s="38">
        <f>+E553+I553+M553+Q553</f>
        <v>1266</v>
      </c>
      <c r="T553" t="s">
        <v>2766</v>
      </c>
    </row>
    <row r="554" spans="1:20" ht="15.75" customHeight="1" x14ac:dyDescent="0.3">
      <c r="A554" s="266" t="s">
        <v>1787</v>
      </c>
      <c r="B554" s="172"/>
      <c r="C554" s="172"/>
      <c r="D554" s="172"/>
      <c r="E554" s="38">
        <f>SUM(B554:D554)</f>
        <v>0</v>
      </c>
      <c r="F554" s="172"/>
      <c r="G554" s="172"/>
      <c r="H554" s="172"/>
      <c r="I554" s="38">
        <f>SUM(F554:H554)</f>
        <v>0</v>
      </c>
      <c r="J554" s="172"/>
      <c r="K554" s="172"/>
      <c r="L554" s="172"/>
      <c r="M554" s="38">
        <f>SUM(J554:L554)</f>
        <v>0</v>
      </c>
      <c r="N554" s="172"/>
      <c r="O554" s="172"/>
      <c r="P554" s="172"/>
      <c r="Q554" s="38">
        <f>SUM(N554:P554)</f>
        <v>0</v>
      </c>
      <c r="R554" s="38">
        <f>+E554+I554+M554+Q554</f>
        <v>0</v>
      </c>
      <c r="T554" t="s">
        <v>2766</v>
      </c>
    </row>
    <row r="555" spans="1:20" ht="15.75" customHeight="1" x14ac:dyDescent="0.3">
      <c r="A555" s="234" t="s">
        <v>557</v>
      </c>
      <c r="B555" s="172"/>
      <c r="C555" s="172"/>
      <c r="D555" s="172"/>
      <c r="E555" s="38" t="s">
        <v>852</v>
      </c>
      <c r="F555" s="172"/>
      <c r="G555" s="172"/>
      <c r="H555" s="172"/>
      <c r="I555" s="38" t="s">
        <v>852</v>
      </c>
      <c r="J555" s="172"/>
      <c r="K555" s="172"/>
      <c r="L555" s="172"/>
      <c r="M555" s="38" t="s">
        <v>852</v>
      </c>
      <c r="N555" s="172"/>
      <c r="O555" s="172"/>
      <c r="P555" s="172"/>
      <c r="Q555" s="38" t="s">
        <v>852</v>
      </c>
      <c r="R555" s="38" t="s">
        <v>852</v>
      </c>
    </row>
    <row r="556" spans="1:20" ht="15.75" customHeight="1" x14ac:dyDescent="0.3">
      <c r="A556" s="539" t="s">
        <v>2812</v>
      </c>
      <c r="B556" s="172"/>
      <c r="C556" s="172"/>
      <c r="D556" s="172"/>
      <c r="E556" s="38">
        <f>SUM(B556:D556)</f>
        <v>0</v>
      </c>
      <c r="F556" s="172"/>
      <c r="G556" s="172"/>
      <c r="H556" s="172"/>
      <c r="I556" s="38">
        <f>SUM(F556:H556)</f>
        <v>0</v>
      </c>
      <c r="J556" s="172"/>
      <c r="K556" s="172"/>
      <c r="L556" s="172"/>
      <c r="M556" s="38">
        <f>SUM(J556:L556)</f>
        <v>0</v>
      </c>
      <c r="N556" s="172">
        <v>166</v>
      </c>
      <c r="O556" s="172">
        <v>320</v>
      </c>
      <c r="P556" s="172">
        <v>614</v>
      </c>
      <c r="Q556" s="38">
        <f>SUM(N556:P556)</f>
        <v>1100</v>
      </c>
      <c r="R556" s="38">
        <f>+E556+I556+M556+Q556</f>
        <v>1100</v>
      </c>
    </row>
    <row r="557" spans="1:20" ht="15.75" customHeight="1" x14ac:dyDescent="0.3">
      <c r="A557" s="539" t="s">
        <v>2579</v>
      </c>
      <c r="B557" s="172"/>
      <c r="C557" s="172"/>
      <c r="D557" s="172"/>
      <c r="E557" s="38">
        <f>SUM(B557:D557)</f>
        <v>0</v>
      </c>
      <c r="F557" s="172"/>
      <c r="G557" s="172"/>
      <c r="H557" s="172"/>
      <c r="I557" s="38">
        <f>SUM(F557:H557)</f>
        <v>0</v>
      </c>
      <c r="J557" s="172"/>
      <c r="K557" s="172"/>
      <c r="L557" s="172"/>
      <c r="M557" s="38">
        <f>SUM(J557:L557)</f>
        <v>0</v>
      </c>
      <c r="N557" s="172"/>
      <c r="O557" s="172"/>
      <c r="P557" s="172"/>
      <c r="Q557" s="38">
        <f>SUM(N557:P557)</f>
        <v>0</v>
      </c>
      <c r="R557" s="38">
        <f>+E557+I557+M557+Q557</f>
        <v>0</v>
      </c>
    </row>
    <row r="558" spans="1:20" ht="15.75" customHeight="1" x14ac:dyDescent="0.3">
      <c r="A558" s="539" t="s">
        <v>2581</v>
      </c>
      <c r="B558" s="172"/>
      <c r="C558" s="172"/>
      <c r="D558" s="172"/>
      <c r="E558" s="38">
        <f>SUM(B558:D558)</f>
        <v>0</v>
      </c>
      <c r="F558" s="172"/>
      <c r="G558" s="172">
        <v>1307</v>
      </c>
      <c r="H558" s="172"/>
      <c r="I558" s="38">
        <f>SUM(F558:H558)</f>
        <v>1307</v>
      </c>
      <c r="J558" s="172">
        <v>539</v>
      </c>
      <c r="K558" s="172"/>
      <c r="L558" s="172"/>
      <c r="M558" s="38">
        <f>SUM(J558:L558)</f>
        <v>539</v>
      </c>
      <c r="N558" s="172"/>
      <c r="O558" s="172"/>
      <c r="P558" s="172">
        <v>100</v>
      </c>
      <c r="Q558" s="38">
        <f>SUM(N558:P558)</f>
        <v>100</v>
      </c>
      <c r="R558" s="38">
        <f>+E558+I558+M558+Q558</f>
        <v>1946</v>
      </c>
      <c r="T558" t="s">
        <v>2766</v>
      </c>
    </row>
    <row r="559" spans="1:20" ht="15.75" customHeight="1" x14ac:dyDescent="0.3">
      <c r="A559" s="539" t="s">
        <v>2582</v>
      </c>
      <c r="B559" s="172"/>
      <c r="C559" s="172"/>
      <c r="D559" s="172"/>
      <c r="E559" s="38">
        <f>SUM(B559:D559)</f>
        <v>0</v>
      </c>
      <c r="F559" s="172"/>
      <c r="G559" s="172"/>
      <c r="H559" s="172"/>
      <c r="I559" s="38">
        <f>SUM(F559:H559)</f>
        <v>0</v>
      </c>
      <c r="J559" s="172"/>
      <c r="K559" s="172"/>
      <c r="L559" s="172"/>
      <c r="M559" s="38">
        <f>SUM(J559:L559)</f>
        <v>0</v>
      </c>
      <c r="N559" s="172"/>
      <c r="O559" s="172"/>
      <c r="P559" s="172"/>
      <c r="Q559" s="38">
        <f>SUM(N559:P559)</f>
        <v>0</v>
      </c>
      <c r="R559" s="38">
        <f>+E559+I559+M559+Q559</f>
        <v>0</v>
      </c>
      <c r="T559" t="s">
        <v>2766</v>
      </c>
    </row>
    <row r="560" spans="1:20" ht="15.75" customHeight="1" x14ac:dyDescent="0.3">
      <c r="A560" s="234" t="s">
        <v>1022</v>
      </c>
      <c r="B560" s="172"/>
      <c r="C560" s="172"/>
      <c r="D560" s="172"/>
      <c r="E560" s="38" t="s">
        <v>852</v>
      </c>
      <c r="F560" s="172"/>
      <c r="G560" s="172"/>
      <c r="H560" s="172"/>
      <c r="I560" s="38" t="s">
        <v>852</v>
      </c>
      <c r="J560" s="172"/>
      <c r="K560" s="172"/>
      <c r="L560" s="172"/>
      <c r="M560" s="38" t="s">
        <v>852</v>
      </c>
      <c r="N560" s="172"/>
      <c r="O560" s="172"/>
      <c r="P560" s="172"/>
      <c r="Q560" s="38" t="s">
        <v>852</v>
      </c>
      <c r="R560" s="38" t="s">
        <v>852</v>
      </c>
    </row>
    <row r="561" spans="1:18" ht="15.75" customHeight="1" x14ac:dyDescent="0.3">
      <c r="A561" s="539" t="s">
        <v>624</v>
      </c>
      <c r="B561" s="172"/>
      <c r="C561" s="172"/>
      <c r="D561" s="172"/>
      <c r="E561" s="38">
        <f>SUM(B561:D561)</f>
        <v>0</v>
      </c>
      <c r="F561" s="172"/>
      <c r="G561" s="172"/>
      <c r="H561" s="172"/>
      <c r="I561" s="38">
        <f>SUM(F561:H561)</f>
        <v>0</v>
      </c>
      <c r="J561" s="172"/>
      <c r="K561" s="172"/>
      <c r="L561" s="172"/>
      <c r="M561" s="38">
        <f>SUM(J561:L561)</f>
        <v>0</v>
      </c>
      <c r="N561" s="172"/>
      <c r="O561" s="172"/>
      <c r="P561" s="172"/>
      <c r="Q561" s="38">
        <f>SUM(N561:P561)</f>
        <v>0</v>
      </c>
      <c r="R561" s="38">
        <f>+E561+I561+M561+Q561</f>
        <v>0</v>
      </c>
    </row>
    <row r="562" spans="1:18" ht="15.75" customHeight="1" x14ac:dyDescent="0.3">
      <c r="A562" s="234" t="s">
        <v>559</v>
      </c>
      <c r="B562" s="172"/>
      <c r="C562" s="172"/>
      <c r="D562" s="172"/>
      <c r="E562" s="38" t="s">
        <v>852</v>
      </c>
      <c r="F562" s="172"/>
      <c r="G562" s="172"/>
      <c r="H562" s="172"/>
      <c r="I562" s="38" t="s">
        <v>852</v>
      </c>
      <c r="J562" s="172"/>
      <c r="K562" s="172"/>
      <c r="L562" s="172"/>
      <c r="M562" s="38" t="s">
        <v>852</v>
      </c>
      <c r="N562" s="172"/>
      <c r="O562" s="172"/>
      <c r="P562" s="172"/>
      <c r="Q562" s="38" t="s">
        <v>852</v>
      </c>
      <c r="R562" s="38" t="s">
        <v>852</v>
      </c>
    </row>
    <row r="563" spans="1:18" ht="15.75" customHeight="1" x14ac:dyDescent="0.3">
      <c r="A563" s="539" t="s">
        <v>2597</v>
      </c>
      <c r="B563" s="172"/>
      <c r="C563" s="172"/>
      <c r="D563" s="172"/>
      <c r="E563" s="38">
        <f t="shared" ref="E563:E568" si="101">SUM(B563:D563)</f>
        <v>0</v>
      </c>
      <c r="F563" s="172">
        <v>500</v>
      </c>
      <c r="G563" s="172"/>
      <c r="H563" s="172"/>
      <c r="I563" s="38">
        <f t="shared" ref="I563:I568" si="102">SUM(F563:H563)</f>
        <v>500</v>
      </c>
      <c r="J563" s="172"/>
      <c r="K563" s="172"/>
      <c r="L563" s="172"/>
      <c r="M563" s="38">
        <f t="shared" ref="M563:M568" si="103">SUM(J563:L563)</f>
        <v>0</v>
      </c>
      <c r="N563" s="172"/>
      <c r="O563" s="172"/>
      <c r="P563" s="172"/>
      <c r="Q563" s="38">
        <f t="shared" ref="Q563:Q568" si="104">SUM(N563:P563)</f>
        <v>0</v>
      </c>
      <c r="R563" s="38">
        <f t="shared" ref="R563:R568" si="105">+E563+I563+M563+Q563</f>
        <v>500</v>
      </c>
    </row>
    <row r="564" spans="1:18" ht="15.75" customHeight="1" thickBot="1" x14ac:dyDescent="0.35">
      <c r="A564" s="539" t="s">
        <v>2583</v>
      </c>
      <c r="B564" s="172"/>
      <c r="C564" s="172"/>
      <c r="D564" s="172"/>
      <c r="E564" s="38">
        <f t="shared" si="101"/>
        <v>0</v>
      </c>
      <c r="F564" s="172"/>
      <c r="G564" s="172"/>
      <c r="H564" s="172"/>
      <c r="I564" s="38">
        <f t="shared" si="102"/>
        <v>0</v>
      </c>
      <c r="J564" s="172"/>
      <c r="K564" s="172">
        <v>880</v>
      </c>
      <c r="L564" s="172">
        <v>18</v>
      </c>
      <c r="M564" s="38">
        <f t="shared" si="103"/>
        <v>898</v>
      </c>
      <c r="N564" s="172"/>
      <c r="O564" s="172"/>
      <c r="P564" s="172"/>
      <c r="Q564" s="38">
        <f t="shared" si="104"/>
        <v>0</v>
      </c>
      <c r="R564" s="38">
        <f t="shared" si="105"/>
        <v>898</v>
      </c>
    </row>
    <row r="565" spans="1:18" ht="16.5" customHeight="1" thickBot="1" x14ac:dyDescent="0.35">
      <c r="A565" s="43" t="s">
        <v>1019</v>
      </c>
      <c r="B565" s="335">
        <f>SUM(B560:B564)</f>
        <v>0</v>
      </c>
      <c r="C565" s="335">
        <f>SUM(C560:C564)</f>
        <v>0</v>
      </c>
      <c r="D565" s="335">
        <f>SUM(D560:D564)</f>
        <v>0</v>
      </c>
      <c r="E565" s="39">
        <f t="shared" si="101"/>
        <v>0</v>
      </c>
      <c r="F565" s="335">
        <f>SUM(F560:F564)</f>
        <v>500</v>
      </c>
      <c r="G565" s="335">
        <f>SUM(G560:G564)</f>
        <v>0</v>
      </c>
      <c r="H565" s="335">
        <f>SUM(H560:H564)</f>
        <v>0</v>
      </c>
      <c r="I565" s="39">
        <f t="shared" si="102"/>
        <v>500</v>
      </c>
      <c r="J565" s="335">
        <f>SUM(J560:J564)</f>
        <v>0</v>
      </c>
      <c r="K565" s="335">
        <f>SUM(K560:K564)</f>
        <v>880</v>
      </c>
      <c r="L565" s="335">
        <f>SUM(L560:L564)</f>
        <v>18</v>
      </c>
      <c r="M565" s="39">
        <f t="shared" si="103"/>
        <v>898</v>
      </c>
      <c r="N565" s="335">
        <f>SUM(N560:N564)</f>
        <v>0</v>
      </c>
      <c r="O565" s="335">
        <f>SUM(O560:O564)</f>
        <v>0</v>
      </c>
      <c r="P565" s="335">
        <f>SUM(P560:P564)</f>
        <v>0</v>
      </c>
      <c r="Q565" s="39">
        <f t="shared" si="104"/>
        <v>0</v>
      </c>
      <c r="R565" s="37">
        <f t="shared" si="105"/>
        <v>1398</v>
      </c>
    </row>
    <row r="566" spans="1:18" ht="16.5" customHeight="1" thickBot="1" x14ac:dyDescent="0.35">
      <c r="A566" s="277" t="s">
        <v>1221</v>
      </c>
      <c r="B566" s="45">
        <f>SUM(B551:B564)</f>
        <v>0</v>
      </c>
      <c r="C566" s="46">
        <f>SUM(C551:C564)</f>
        <v>0</v>
      </c>
      <c r="D566" s="58">
        <f>SUM(D551:D564)</f>
        <v>0</v>
      </c>
      <c r="E566" s="39">
        <f t="shared" si="101"/>
        <v>0</v>
      </c>
      <c r="F566" s="45">
        <f>SUM(F551:F564)</f>
        <v>672</v>
      </c>
      <c r="G566" s="46">
        <f>SUM(G551:G564)</f>
        <v>1901</v>
      </c>
      <c r="H566" s="58">
        <f>SUM(H551:H564)</f>
        <v>0</v>
      </c>
      <c r="I566" s="39">
        <f t="shared" si="102"/>
        <v>2573</v>
      </c>
      <c r="J566" s="45">
        <f>SUM(J551:J564)</f>
        <v>539</v>
      </c>
      <c r="K566" s="46">
        <f>SUM(K551:K564)</f>
        <v>880</v>
      </c>
      <c r="L566" s="58">
        <f>SUM(L551:L564)</f>
        <v>18</v>
      </c>
      <c r="M566" s="39">
        <f t="shared" si="103"/>
        <v>1437</v>
      </c>
      <c r="N566" s="45">
        <f>SUM(N551:N564)</f>
        <v>166</v>
      </c>
      <c r="O566" s="46">
        <f>SUM(O551:O564)</f>
        <v>320</v>
      </c>
      <c r="P566" s="58">
        <f>SUM(P551:P564)</f>
        <v>1214</v>
      </c>
      <c r="Q566" s="39">
        <f t="shared" si="104"/>
        <v>1700</v>
      </c>
      <c r="R566" s="37">
        <f t="shared" si="105"/>
        <v>5710</v>
      </c>
    </row>
    <row r="567" spans="1:18" ht="16.5" customHeight="1" thickBot="1" x14ac:dyDescent="0.35">
      <c r="A567" s="43" t="s">
        <v>1222</v>
      </c>
      <c r="B567" s="337">
        <f>+B538+B544+B550+B566</f>
        <v>646</v>
      </c>
      <c r="C567" s="338">
        <f>+C538+C544+C550+C566</f>
        <v>4078</v>
      </c>
      <c r="D567" s="338">
        <f>+D538+D544+D550+D566</f>
        <v>2785</v>
      </c>
      <c r="E567" s="37">
        <f t="shared" si="101"/>
        <v>7509</v>
      </c>
      <c r="F567" s="42">
        <f>+F538+F544+F550+F566</f>
        <v>6271</v>
      </c>
      <c r="G567" s="42">
        <f>+G538+G544+G550+G566</f>
        <v>3526</v>
      </c>
      <c r="H567" s="42">
        <f>+H538+H544+H550+H566</f>
        <v>797</v>
      </c>
      <c r="I567" s="37">
        <f t="shared" si="102"/>
        <v>10594</v>
      </c>
      <c r="J567" s="42">
        <f>+J538+J544+J550+J566</f>
        <v>5969</v>
      </c>
      <c r="K567" s="42">
        <f>+K538+K544+K550+K566</f>
        <v>2115</v>
      </c>
      <c r="L567" s="42">
        <f>+L538+L544+L550+L566</f>
        <v>720</v>
      </c>
      <c r="M567" s="37">
        <f t="shared" si="103"/>
        <v>8804</v>
      </c>
      <c r="N567" s="42">
        <f>+N538+N544+N550+N566</f>
        <v>373</v>
      </c>
      <c r="O567" s="42">
        <f>+O538+O544+O550+O566</f>
        <v>320</v>
      </c>
      <c r="P567" s="42">
        <f>+P538+P544+P550+P566</f>
        <v>4312</v>
      </c>
      <c r="Q567" s="37">
        <f t="shared" si="104"/>
        <v>5005</v>
      </c>
      <c r="R567" s="40">
        <f t="shared" si="105"/>
        <v>31912</v>
      </c>
    </row>
    <row r="568" spans="1:18" ht="16.5" customHeight="1" thickBot="1" x14ac:dyDescent="0.35">
      <c r="A568" s="244" t="s">
        <v>853</v>
      </c>
      <c r="B568" s="238">
        <v>17</v>
      </c>
      <c r="C568" s="238">
        <v>47</v>
      </c>
      <c r="D568" s="238">
        <v>84</v>
      </c>
      <c r="E568" s="38">
        <f t="shared" si="101"/>
        <v>148</v>
      </c>
      <c r="F568" s="238">
        <v>116</v>
      </c>
      <c r="G568" s="238">
        <v>132</v>
      </c>
      <c r="H568" s="238">
        <v>138</v>
      </c>
      <c r="I568" s="38">
        <f t="shared" si="102"/>
        <v>386</v>
      </c>
      <c r="J568" s="238">
        <v>126</v>
      </c>
      <c r="K568" s="238">
        <v>95</v>
      </c>
      <c r="L568" s="238">
        <v>99</v>
      </c>
      <c r="M568" s="38">
        <f t="shared" si="103"/>
        <v>320</v>
      </c>
      <c r="N568" s="238">
        <v>91</v>
      </c>
      <c r="O568" s="238">
        <v>67</v>
      </c>
      <c r="P568" s="238">
        <v>38</v>
      </c>
      <c r="Q568" s="38">
        <f t="shared" si="104"/>
        <v>196</v>
      </c>
      <c r="R568" s="38">
        <f t="shared" si="105"/>
        <v>1050</v>
      </c>
    </row>
    <row r="569" spans="1:18" ht="16.5" customHeight="1" thickBot="1" x14ac:dyDescent="0.35">
      <c r="A569" s="22"/>
      <c r="B569" s="242"/>
      <c r="C569" s="242"/>
      <c r="D569" s="242"/>
      <c r="E569" s="21"/>
      <c r="F569" s="242"/>
      <c r="G569" s="242"/>
      <c r="H569" s="242"/>
      <c r="I569" s="21"/>
      <c r="J569" s="242"/>
      <c r="K569" s="242"/>
      <c r="L569" s="242"/>
      <c r="M569" s="21"/>
      <c r="N569" s="242"/>
      <c r="O569" s="242"/>
      <c r="P569" s="242"/>
      <c r="Q569" s="21"/>
      <c r="R569" s="21"/>
    </row>
    <row r="570" spans="1:18" ht="15.75" customHeight="1" x14ac:dyDescent="0.3">
      <c r="A570" s="259" t="s">
        <v>120</v>
      </c>
      <c r="B570" s="260">
        <f>SUM(B567:B568)</f>
        <v>663</v>
      </c>
      <c r="C570" s="260">
        <f>SUM(C567:C568)</f>
        <v>4125</v>
      </c>
      <c r="D570" s="260">
        <f>SUM(D567:D568)</f>
        <v>2869</v>
      </c>
      <c r="E570" s="39">
        <f>SUM(B570:D570)</f>
        <v>7657</v>
      </c>
      <c r="F570" s="260">
        <f>SUM(F567:F568)</f>
        <v>6387</v>
      </c>
      <c r="G570" s="260">
        <f>SUM(G567:G568)</f>
        <v>3658</v>
      </c>
      <c r="H570" s="260">
        <f>SUM(H567:H568)</f>
        <v>935</v>
      </c>
      <c r="I570" s="39">
        <f>SUM(F570:H570)</f>
        <v>10980</v>
      </c>
      <c r="J570" s="260">
        <f>SUM(J567:J568)</f>
        <v>6095</v>
      </c>
      <c r="K570" s="260">
        <f>SUM(K567:K568)</f>
        <v>2210</v>
      </c>
      <c r="L570" s="260">
        <f>SUM(L567:L568)</f>
        <v>819</v>
      </c>
      <c r="M570" s="39">
        <f>SUM(J570:L570)</f>
        <v>9124</v>
      </c>
      <c r="N570" s="260">
        <f>SUM(N567:N568)</f>
        <v>464</v>
      </c>
      <c r="O570" s="260">
        <f>SUM(O567:O568)</f>
        <v>387</v>
      </c>
      <c r="P570" s="260">
        <f>SUM(P567:P568)</f>
        <v>4350</v>
      </c>
      <c r="Q570" s="39">
        <f>SUM(N570:P570)</f>
        <v>5201</v>
      </c>
      <c r="R570" s="39">
        <f>+E570+I570+M570+Q570</f>
        <v>32962</v>
      </c>
    </row>
    <row r="571" spans="1:18" ht="15.75" customHeight="1" x14ac:dyDescent="0.3">
      <c r="A571" s="262" t="s">
        <v>1897</v>
      </c>
      <c r="B571" s="172">
        <f>(B570/B10)/1.983</f>
        <v>10.785222780733005</v>
      </c>
      <c r="C571" s="172">
        <f>(C570/C10)/1.983</f>
        <v>74.292197968446075</v>
      </c>
      <c r="D571" s="172">
        <f>(D570/D10)/1.983</f>
        <v>46.670896165796364</v>
      </c>
      <c r="E571" s="38" t="s">
        <v>852</v>
      </c>
      <c r="F571" s="172">
        <f>(F570/F10)/1.983</f>
        <v>107.36258194654563</v>
      </c>
      <c r="G571" s="172">
        <f>(G570/G10)/1.983</f>
        <v>59.50579929399899</v>
      </c>
      <c r="H571" s="172">
        <f>(H570/H10)/1.983</f>
        <v>15.716927214657925</v>
      </c>
      <c r="I571" s="38" t="s">
        <v>852</v>
      </c>
      <c r="J571" s="172">
        <f>(J570/J10)/1.983</f>
        <v>99.149219982756662</v>
      </c>
      <c r="K571" s="172">
        <f>(K570/K10)/1.983</f>
        <v>35.950742602443349</v>
      </c>
      <c r="L571" s="172">
        <f>(L570/L10)/1.983</f>
        <v>13.767019667170953</v>
      </c>
      <c r="M571" s="38" t="s">
        <v>852</v>
      </c>
      <c r="N571" s="172">
        <f>(N570/N10)/1.983</f>
        <v>7.5480292160786027</v>
      </c>
      <c r="O571" s="172">
        <f>(O570/O10)/1.983</f>
        <v>6.5052950075642961</v>
      </c>
      <c r="P571" s="172">
        <f>(P570/P10)/1.983</f>
        <v>70.762773900736903</v>
      </c>
      <c r="Q571" s="38" t="s">
        <v>852</v>
      </c>
      <c r="R571" s="38" t="s">
        <v>852</v>
      </c>
    </row>
    <row r="572" spans="1:18" ht="15.75" customHeight="1" x14ac:dyDescent="0.3">
      <c r="A572" s="262" t="s">
        <v>1535</v>
      </c>
      <c r="B572" s="172">
        <f>B570+B582</f>
        <v>15065</v>
      </c>
      <c r="C572" s="172">
        <f>C570+C582</f>
        <v>21675</v>
      </c>
      <c r="D572" s="172">
        <f>D570+D582</f>
        <v>23744</v>
      </c>
      <c r="E572" s="38">
        <f>SUM(B572:D572)</f>
        <v>60484</v>
      </c>
      <c r="F572" s="172">
        <f>F570+F582</f>
        <v>27053</v>
      </c>
      <c r="G572" s="172">
        <f>G570+G582</f>
        <v>23679</v>
      </c>
      <c r="H572" s="172">
        <f>H570+H582</f>
        <v>20621</v>
      </c>
      <c r="I572" s="38">
        <f>SUM(F572:H572)</f>
        <v>71353</v>
      </c>
      <c r="J572" s="172">
        <f>J570+J582</f>
        <v>23942</v>
      </c>
      <c r="K572" s="172">
        <f>K570+K582</f>
        <v>20860</v>
      </c>
      <c r="L572" s="172">
        <f>L570+L582</f>
        <v>18441</v>
      </c>
      <c r="M572" s="38">
        <f>SUM(J572:L572)</f>
        <v>63243</v>
      </c>
      <c r="N572" s="172">
        <f>N570+N582</f>
        <v>12844</v>
      </c>
      <c r="O572" s="172">
        <f>O570+O582</f>
        <v>7290</v>
      </c>
      <c r="P572" s="172">
        <f>P570+P582</f>
        <v>16617</v>
      </c>
      <c r="Q572" s="38">
        <f>SUM(N572:P572)</f>
        <v>36751</v>
      </c>
      <c r="R572" s="38">
        <f>+E572+I572+M572+Q572</f>
        <v>231831</v>
      </c>
    </row>
    <row r="573" spans="1:18" ht="16.5" customHeight="1" thickBot="1" x14ac:dyDescent="0.35">
      <c r="A573" s="263" t="s">
        <v>1536</v>
      </c>
      <c r="B573" s="264">
        <f>(B572/B10)/1.983</f>
        <v>245.06693995737965</v>
      </c>
      <c r="C573" s="264">
        <f>(C572/C10)/1.983</f>
        <v>390.37173114328937</v>
      </c>
      <c r="D573" s="264">
        <f>(D572/D10)/1.983</f>
        <v>386.2508743676085</v>
      </c>
      <c r="E573" s="40" t="s">
        <v>852</v>
      </c>
      <c r="F573" s="264">
        <f>(F572/F10)/1.983</f>
        <v>454.74869726004368</v>
      </c>
      <c r="G573" s="264">
        <f>(G572/G10)/1.983</f>
        <v>385.19349958518376</v>
      </c>
      <c r="H573" s="264">
        <f>(H572/H10)/1.983</f>
        <v>346.62968566145571</v>
      </c>
      <c r="I573" s="40" t="s">
        <v>852</v>
      </c>
      <c r="J573" s="264">
        <f>(J572/J10)/1.983</f>
        <v>389.47180062791796</v>
      </c>
      <c r="K573" s="264">
        <f>(K572/K10)/1.983</f>
        <v>339.33596863663718</v>
      </c>
      <c r="L573" s="264">
        <f>(L572/L10)/1.983</f>
        <v>309.98487140695914</v>
      </c>
      <c r="M573" s="40" t="s">
        <v>852</v>
      </c>
      <c r="N573" s="264">
        <f>(N572/N10)/1.983</f>
        <v>208.93725700714134</v>
      </c>
      <c r="O573" s="264">
        <f>(O572/O10)/1.983</f>
        <v>122.54160363086233</v>
      </c>
      <c r="P573" s="264">
        <f>(P572/P10)/1.983</f>
        <v>270.31379630081494</v>
      </c>
      <c r="Q573" s="40" t="s">
        <v>852</v>
      </c>
      <c r="R573" s="40" t="s">
        <v>852</v>
      </c>
    </row>
    <row r="574" spans="1:18" ht="15.75" customHeight="1" x14ac:dyDescent="0.3">
      <c r="A574" s="17"/>
      <c r="B574" s="172"/>
      <c r="C574" s="172"/>
      <c r="D574" s="172"/>
      <c r="E574" s="172"/>
      <c r="F574" s="172"/>
      <c r="G574" s="172"/>
      <c r="H574" s="172"/>
      <c r="I574" s="172"/>
      <c r="J574" s="172"/>
      <c r="K574" s="172"/>
      <c r="L574" s="172"/>
      <c r="M574" s="172"/>
      <c r="N574" s="172"/>
      <c r="O574" s="172"/>
      <c r="P574" s="172"/>
      <c r="Q574" s="172"/>
      <c r="R574" s="17"/>
    </row>
    <row r="575" spans="1:18" ht="16.5" customHeight="1" thickBot="1" x14ac:dyDescent="0.35">
      <c r="A575" s="24"/>
      <c r="B575" s="238"/>
      <c r="C575" s="238"/>
      <c r="D575" s="238"/>
      <c r="E575" s="238"/>
      <c r="F575" s="238"/>
      <c r="G575" s="238"/>
      <c r="H575" s="238"/>
      <c r="I575" s="238"/>
      <c r="J575" s="238"/>
      <c r="K575" s="238"/>
      <c r="L575" s="238"/>
      <c r="M575" s="238"/>
      <c r="N575" s="238"/>
      <c r="O575" s="238"/>
      <c r="P575" s="238"/>
      <c r="Q575" s="238"/>
      <c r="R575" s="24"/>
    </row>
    <row r="576" spans="1:18" ht="16.5" customHeight="1" thickBot="1" x14ac:dyDescent="0.35">
      <c r="A576" s="278" t="s">
        <v>1537</v>
      </c>
      <c r="B576" s="4" t="s">
        <v>2090</v>
      </c>
      <c r="C576" s="5" t="s">
        <v>2091</v>
      </c>
      <c r="D576" s="5" t="s">
        <v>2234</v>
      </c>
      <c r="E576" s="33" t="s">
        <v>1594</v>
      </c>
      <c r="F576" s="5" t="s">
        <v>2235</v>
      </c>
      <c r="G576" s="5" t="s">
        <v>2236</v>
      </c>
      <c r="H576" s="5" t="s">
        <v>2237</v>
      </c>
      <c r="I576" s="35" t="s">
        <v>1595</v>
      </c>
      <c r="J576" s="5" t="s">
        <v>1504</v>
      </c>
      <c r="K576" s="5" t="s">
        <v>1505</v>
      </c>
      <c r="L576" s="5" t="s">
        <v>1506</v>
      </c>
      <c r="M576" s="35" t="s">
        <v>1596</v>
      </c>
      <c r="N576" s="5" t="s">
        <v>1507</v>
      </c>
      <c r="O576" s="5" t="s">
        <v>1508</v>
      </c>
      <c r="P576" s="5" t="s">
        <v>1509</v>
      </c>
      <c r="Q576" s="33" t="s">
        <v>1597</v>
      </c>
      <c r="R576" s="34" t="s">
        <v>1510</v>
      </c>
    </row>
    <row r="577" spans="1:18" ht="16.5" customHeight="1" thickBot="1" x14ac:dyDescent="0.35">
      <c r="A577" s="22"/>
      <c r="B577" s="242"/>
      <c r="C577" s="242"/>
      <c r="D577" s="242"/>
      <c r="E577" s="243"/>
      <c r="F577" s="242"/>
      <c r="G577" s="242"/>
      <c r="H577" s="242"/>
      <c r="I577" s="243"/>
      <c r="J577" s="242"/>
      <c r="K577" s="242"/>
      <c r="L577" s="242"/>
      <c r="M577" s="243"/>
      <c r="N577" s="242"/>
      <c r="O577" s="242"/>
      <c r="P577" s="242"/>
      <c r="Q577" s="279"/>
      <c r="R577" s="32"/>
    </row>
    <row r="578" spans="1:18" ht="16.5" customHeight="1" thickBot="1" x14ac:dyDescent="0.35">
      <c r="A578" s="244" t="s">
        <v>853</v>
      </c>
      <c r="B578" s="238">
        <v>20</v>
      </c>
      <c r="C578" s="238">
        <v>22</v>
      </c>
      <c r="D578" s="238">
        <v>28</v>
      </c>
      <c r="E578" s="38">
        <f>SUM(B578:D578)</f>
        <v>70</v>
      </c>
      <c r="F578" s="238">
        <v>37</v>
      </c>
      <c r="G578" s="238">
        <v>42</v>
      </c>
      <c r="H578" s="238">
        <v>44</v>
      </c>
      <c r="I578" s="38">
        <f>SUM(F578:H578)</f>
        <v>123</v>
      </c>
      <c r="J578" s="238">
        <v>39</v>
      </c>
      <c r="K578" s="238">
        <v>36</v>
      </c>
      <c r="L578" s="238">
        <v>34</v>
      </c>
      <c r="M578" s="38">
        <f>SUM(J578:L578)</f>
        <v>109</v>
      </c>
      <c r="N578" s="238">
        <v>29</v>
      </c>
      <c r="O578" s="238">
        <v>23</v>
      </c>
      <c r="P578" s="238">
        <v>19</v>
      </c>
      <c r="Q578" s="38">
        <f>SUM(N578:P578)</f>
        <v>71</v>
      </c>
      <c r="R578" s="38">
        <f>+E578+I578+M578+Q578</f>
        <v>373</v>
      </c>
    </row>
    <row r="579" spans="1:18" ht="16.5" customHeight="1" thickBot="1" x14ac:dyDescent="0.35">
      <c r="A579" s="22"/>
      <c r="B579" s="242"/>
      <c r="C579" s="242"/>
      <c r="D579" s="242"/>
      <c r="E579" s="233"/>
      <c r="F579" s="242"/>
      <c r="G579" s="242"/>
      <c r="H579" s="242"/>
      <c r="I579" s="233"/>
      <c r="J579" s="242"/>
      <c r="K579" s="242"/>
      <c r="L579" s="242"/>
      <c r="M579" s="233"/>
      <c r="N579" s="242"/>
      <c r="O579" s="242"/>
      <c r="P579" s="242"/>
      <c r="Q579" s="233"/>
      <c r="R579" s="21"/>
    </row>
    <row r="580" spans="1:18" ht="15.75" customHeight="1" x14ac:dyDescent="0.3">
      <c r="A580" s="259" t="s">
        <v>120</v>
      </c>
      <c r="B580" s="260">
        <f>B578</f>
        <v>20</v>
      </c>
      <c r="C580" s="260">
        <f>C578</f>
        <v>22</v>
      </c>
      <c r="D580" s="260">
        <f>D578</f>
        <v>28</v>
      </c>
      <c r="E580" s="39">
        <f>SUM(B580:D580)</f>
        <v>70</v>
      </c>
      <c r="F580" s="260">
        <f>F578</f>
        <v>37</v>
      </c>
      <c r="G580" s="260">
        <f>G578</f>
        <v>42</v>
      </c>
      <c r="H580" s="260">
        <f>H578</f>
        <v>44</v>
      </c>
      <c r="I580" s="39">
        <f>SUM(F580:H580)</f>
        <v>123</v>
      </c>
      <c r="J580" s="260">
        <f>J578</f>
        <v>39</v>
      </c>
      <c r="K580" s="260">
        <f>K578</f>
        <v>36</v>
      </c>
      <c r="L580" s="260">
        <f>L578</f>
        <v>34</v>
      </c>
      <c r="M580" s="39">
        <f>SUM(J580:L580)</f>
        <v>109</v>
      </c>
      <c r="N580" s="260">
        <f>N578</f>
        <v>29</v>
      </c>
      <c r="O580" s="260">
        <f>O578</f>
        <v>23</v>
      </c>
      <c r="P580" s="260">
        <f>P578</f>
        <v>19</v>
      </c>
      <c r="Q580" s="39">
        <f>SUM(N580:P580)</f>
        <v>71</v>
      </c>
      <c r="R580" s="39">
        <f>+E580+I580+M580+Q580</f>
        <v>373</v>
      </c>
    </row>
    <row r="581" spans="1:18" ht="15.75" customHeight="1" x14ac:dyDescent="0.3">
      <c r="A581" s="262" t="s">
        <v>1897</v>
      </c>
      <c r="B581" s="172">
        <f>(B580/B10)/1.983</f>
        <v>0.32534608689993977</v>
      </c>
      <c r="C581" s="172">
        <f>(C580/C10)/1.983</f>
        <v>0.39622505583171236</v>
      </c>
      <c r="D581" s="172">
        <f>(D580/D10)/1.983</f>
        <v>0.45548452165991571</v>
      </c>
      <c r="E581" s="38" t="s">
        <v>852</v>
      </c>
      <c r="F581" s="172">
        <f>(F580/F10)/1.983</f>
        <v>0.62195326945705165</v>
      </c>
      <c r="G581" s="172">
        <f>(G580/G10)/1.983</f>
        <v>0.68322678248987356</v>
      </c>
      <c r="H581" s="172">
        <f>(H580/H10)/1.983</f>
        <v>0.73962010421919644</v>
      </c>
      <c r="I581" s="38" t="s">
        <v>852</v>
      </c>
      <c r="J581" s="172">
        <f>(J580/J10)/1.983</f>
        <v>0.63442486945488263</v>
      </c>
      <c r="K581" s="172">
        <f>(K580/K10)/1.983</f>
        <v>0.5856229564198917</v>
      </c>
      <c r="L581" s="172">
        <f>(L580/L10)/1.983</f>
        <v>0.57152462598756093</v>
      </c>
      <c r="M581" s="38" t="s">
        <v>852</v>
      </c>
      <c r="N581" s="172">
        <f>(N580/N10)/1.983</f>
        <v>0.47175182600491267</v>
      </c>
      <c r="O581" s="172">
        <f>(O580/O10)/1.983</f>
        <v>0.38661959993276179</v>
      </c>
      <c r="P581" s="172">
        <f>(P580/P10)/1.983</f>
        <v>0.30907878255494281</v>
      </c>
      <c r="Q581" s="38" t="s">
        <v>852</v>
      </c>
      <c r="R581" s="38" t="s">
        <v>852</v>
      </c>
    </row>
    <row r="582" spans="1:18" ht="15.75" customHeight="1" x14ac:dyDescent="0.3">
      <c r="A582" s="262" t="s">
        <v>2019</v>
      </c>
      <c r="B582" s="172">
        <f>B580+B618</f>
        <v>14402</v>
      </c>
      <c r="C582" s="172">
        <f>C580+C618</f>
        <v>17550</v>
      </c>
      <c r="D582" s="172">
        <f>D580+D618</f>
        <v>20875</v>
      </c>
      <c r="E582" s="38">
        <f>SUM(B582:D582)</f>
        <v>52827</v>
      </c>
      <c r="F582" s="172">
        <f>F580+F618</f>
        <v>20666</v>
      </c>
      <c r="G582" s="172">
        <f>G580+G618</f>
        <v>20021</v>
      </c>
      <c r="H582" s="172">
        <f>H580+H618</f>
        <v>19686</v>
      </c>
      <c r="I582" s="38">
        <f>SUM(F582:H582)</f>
        <v>60373</v>
      </c>
      <c r="J582" s="172">
        <f>J580+J618</f>
        <v>17847</v>
      </c>
      <c r="K582" s="172">
        <f>K580+K618</f>
        <v>18650</v>
      </c>
      <c r="L582" s="172">
        <f>L580+L618</f>
        <v>17622</v>
      </c>
      <c r="M582" s="38">
        <f>SUM(J582:L582)</f>
        <v>54119</v>
      </c>
      <c r="N582" s="172">
        <f>N580+N618</f>
        <v>12380</v>
      </c>
      <c r="O582" s="172">
        <f>O580+O618</f>
        <v>6903</v>
      </c>
      <c r="P582" s="172">
        <f>P580+P618</f>
        <v>12267</v>
      </c>
      <c r="Q582" s="38">
        <f>SUM(N582:P582)</f>
        <v>31550</v>
      </c>
      <c r="R582" s="38">
        <f>+E582+I582+M582+Q582</f>
        <v>198869</v>
      </c>
    </row>
    <row r="583" spans="1:18" ht="16.5" customHeight="1" thickBot="1" x14ac:dyDescent="0.35">
      <c r="A583" s="263" t="s">
        <v>1332</v>
      </c>
      <c r="B583" s="264">
        <f>(B582/B10)/1.983</f>
        <v>234.28171717664665</v>
      </c>
      <c r="C583" s="264">
        <f>(C582/C10)/1.983</f>
        <v>316.07953317484333</v>
      </c>
      <c r="D583" s="264">
        <f>(D582/D10)/1.983</f>
        <v>339.57997820181214</v>
      </c>
      <c r="E583" s="40" t="s">
        <v>852</v>
      </c>
      <c r="F583" s="264">
        <f>(F582/F10)/1.983</f>
        <v>347.38611531349807</v>
      </c>
      <c r="G583" s="264">
        <f>(G582/G10)/1.983</f>
        <v>325.68770029118474</v>
      </c>
      <c r="H583" s="264">
        <f>(H582/H10)/1.983</f>
        <v>330.9127584467978</v>
      </c>
      <c r="I583" s="40" t="s">
        <v>852</v>
      </c>
      <c r="J583" s="264">
        <f>(J582/J10)/1.983</f>
        <v>290.32258064516128</v>
      </c>
      <c r="K583" s="264">
        <f>(K582/K10)/1.983</f>
        <v>303.38522603419386</v>
      </c>
      <c r="L583" s="264">
        <f>(L582/L10)/1.983</f>
        <v>296.21785173978816</v>
      </c>
      <c r="M583" s="40" t="s">
        <v>852</v>
      </c>
      <c r="N583" s="264">
        <f>(N582/N10)/1.983</f>
        <v>201.38922779106275</v>
      </c>
      <c r="O583" s="264">
        <f>(O582/O10)/1.983</f>
        <v>116.03630862329803</v>
      </c>
      <c r="P583" s="264">
        <f>(P582/P10)/1.983</f>
        <v>199.55102240007807</v>
      </c>
      <c r="Q583" s="40" t="s">
        <v>852</v>
      </c>
      <c r="R583" s="40" t="s">
        <v>852</v>
      </c>
    </row>
    <row r="584" spans="1:18" ht="15.75" customHeight="1" x14ac:dyDescent="0.3">
      <c r="A584" s="18"/>
      <c r="B584" s="172"/>
      <c r="C584" s="172"/>
      <c r="D584" s="172"/>
      <c r="E584" s="172"/>
      <c r="F584" s="172"/>
      <c r="G584" s="172"/>
      <c r="H584" s="172"/>
      <c r="I584" s="172"/>
      <c r="J584" s="172"/>
      <c r="K584" s="172"/>
      <c r="L584" s="172"/>
      <c r="M584" s="172"/>
      <c r="N584" s="172"/>
      <c r="O584" s="172"/>
      <c r="P584" s="172"/>
      <c r="Q584" s="172"/>
      <c r="R584" s="17"/>
    </row>
    <row r="585" spans="1:18" ht="15.75" customHeight="1" thickBot="1" x14ac:dyDescent="0.35">
      <c r="A585" s="18"/>
      <c r="B585" s="172"/>
      <c r="C585" s="172"/>
      <c r="D585" s="172"/>
      <c r="E585" s="172"/>
      <c r="F585" s="172"/>
      <c r="G585" s="172"/>
      <c r="H585" s="172"/>
      <c r="I585" s="172"/>
      <c r="J585" s="172"/>
      <c r="K585" s="172"/>
      <c r="L585" s="172"/>
      <c r="M585" s="172"/>
      <c r="N585" s="172"/>
      <c r="O585" s="172"/>
      <c r="P585" s="172"/>
      <c r="Q585" s="172"/>
      <c r="R585" s="17"/>
    </row>
    <row r="586" spans="1:18" ht="16.5" customHeight="1" thickBot="1" x14ac:dyDescent="0.35">
      <c r="A586" s="240" t="s">
        <v>1333</v>
      </c>
      <c r="B586" s="4" t="s">
        <v>2090</v>
      </c>
      <c r="C586" s="5" t="s">
        <v>2091</v>
      </c>
      <c r="D586" s="5" t="s">
        <v>2234</v>
      </c>
      <c r="E586" s="33" t="s">
        <v>1594</v>
      </c>
      <c r="F586" s="5" t="s">
        <v>2235</v>
      </c>
      <c r="G586" s="5" t="s">
        <v>2236</v>
      </c>
      <c r="H586" s="5" t="s">
        <v>2237</v>
      </c>
      <c r="I586" s="35" t="s">
        <v>1595</v>
      </c>
      <c r="J586" s="5" t="s">
        <v>1504</v>
      </c>
      <c r="K586" s="5" t="s">
        <v>1505</v>
      </c>
      <c r="L586" s="5" t="s">
        <v>1506</v>
      </c>
      <c r="M586" s="35" t="s">
        <v>1596</v>
      </c>
      <c r="N586" s="5" t="s">
        <v>1507</v>
      </c>
      <c r="O586" s="5" t="s">
        <v>1508</v>
      </c>
      <c r="P586" s="5" t="s">
        <v>1509</v>
      </c>
      <c r="Q586" s="35" t="s">
        <v>1597</v>
      </c>
      <c r="R586" s="36" t="s">
        <v>1510</v>
      </c>
    </row>
    <row r="587" spans="1:18" ht="16.5" customHeight="1" thickBot="1" x14ac:dyDescent="0.35">
      <c r="A587" s="22"/>
      <c r="B587" s="242"/>
      <c r="C587" s="242"/>
      <c r="D587" s="242"/>
      <c r="E587" s="233"/>
      <c r="F587" s="242"/>
      <c r="G587" s="242"/>
      <c r="H587" s="242"/>
      <c r="I587" s="233"/>
      <c r="J587" s="242"/>
      <c r="K587" s="242"/>
      <c r="L587" s="242"/>
      <c r="M587" s="233"/>
      <c r="N587" s="242"/>
      <c r="O587" s="242"/>
      <c r="P587" s="242"/>
      <c r="Q587" s="233"/>
      <c r="R587" s="19"/>
    </row>
    <row r="588" spans="1:18" ht="15.75" customHeight="1" x14ac:dyDescent="0.3">
      <c r="A588" s="234" t="s">
        <v>2417</v>
      </c>
      <c r="B588" s="172" t="s">
        <v>852</v>
      </c>
      <c r="C588" s="172" t="s">
        <v>852</v>
      </c>
      <c r="D588" s="172" t="s">
        <v>852</v>
      </c>
      <c r="E588" s="38" t="s">
        <v>852</v>
      </c>
      <c r="F588" s="172" t="s">
        <v>852</v>
      </c>
      <c r="G588" s="172" t="s">
        <v>852</v>
      </c>
      <c r="H588" s="172" t="s">
        <v>852</v>
      </c>
      <c r="I588" s="38" t="s">
        <v>852</v>
      </c>
      <c r="J588" s="172" t="s">
        <v>852</v>
      </c>
      <c r="K588" s="172" t="s">
        <v>852</v>
      </c>
      <c r="L588" s="172" t="s">
        <v>852</v>
      </c>
      <c r="M588" s="38" t="s">
        <v>852</v>
      </c>
      <c r="N588" s="172" t="s">
        <v>852</v>
      </c>
      <c r="O588" s="172" t="s">
        <v>852</v>
      </c>
      <c r="P588" s="172" t="s">
        <v>852</v>
      </c>
      <c r="Q588" s="38" t="s">
        <v>852</v>
      </c>
      <c r="R588" s="38" t="s">
        <v>852</v>
      </c>
    </row>
    <row r="589" spans="1:18" ht="15.75" customHeight="1" x14ac:dyDescent="0.3">
      <c r="A589" s="234" t="s">
        <v>2160</v>
      </c>
      <c r="B589" s="172"/>
      <c r="C589" s="172"/>
      <c r="D589" s="172"/>
      <c r="E589" s="38" t="s">
        <v>852</v>
      </c>
      <c r="F589" s="172"/>
      <c r="G589" s="172"/>
      <c r="H589" s="172"/>
      <c r="I589" s="38" t="s">
        <v>852</v>
      </c>
      <c r="J589" s="172"/>
      <c r="K589" s="172"/>
      <c r="L589" s="172"/>
      <c r="M589" s="38" t="s">
        <v>852</v>
      </c>
      <c r="N589" s="172"/>
      <c r="O589" s="172"/>
      <c r="P589" s="172"/>
      <c r="Q589" s="38" t="s">
        <v>852</v>
      </c>
      <c r="R589" s="38" t="s">
        <v>852</v>
      </c>
    </row>
    <row r="590" spans="1:18" ht="15.75" customHeight="1" x14ac:dyDescent="0.3">
      <c r="A590" s="539" t="s">
        <v>2747</v>
      </c>
      <c r="B590" s="172">
        <v>114</v>
      </c>
      <c r="C590" s="172">
        <v>952</v>
      </c>
      <c r="D590" s="172">
        <v>1579</v>
      </c>
      <c r="E590" s="38">
        <f>SUM(B590:D590)</f>
        <v>2645</v>
      </c>
      <c r="F590" s="172">
        <v>741</v>
      </c>
      <c r="G590" s="172">
        <v>1328</v>
      </c>
      <c r="H590" s="172">
        <v>915</v>
      </c>
      <c r="I590" s="38">
        <f>SUM(F590:H590)</f>
        <v>2984</v>
      </c>
      <c r="J590" s="172">
        <v>1460</v>
      </c>
      <c r="K590" s="172">
        <v>1670</v>
      </c>
      <c r="L590" s="172">
        <v>1172</v>
      </c>
      <c r="M590" s="38">
        <f>SUM(J590:L590)</f>
        <v>4302</v>
      </c>
      <c r="N590" s="172">
        <v>480</v>
      </c>
      <c r="O590" s="172">
        <v>123</v>
      </c>
      <c r="P590" s="172">
        <v>353</v>
      </c>
      <c r="Q590" s="38">
        <f>SUM(N590:P590)</f>
        <v>956</v>
      </c>
      <c r="R590" s="38">
        <f>+E590+I590+M590+Q590</f>
        <v>10887</v>
      </c>
    </row>
    <row r="591" spans="1:18" ht="15.75" customHeight="1" x14ac:dyDescent="0.3">
      <c r="A591" s="539" t="s">
        <v>2748</v>
      </c>
      <c r="B591" s="172"/>
      <c r="C591" s="172"/>
      <c r="D591" s="172"/>
      <c r="E591" s="38">
        <f>SUM(B591:D591)</f>
        <v>0</v>
      </c>
      <c r="F591" s="172"/>
      <c r="G591" s="172"/>
      <c r="H591" s="172"/>
      <c r="I591" s="38">
        <f>SUM(F591:H591)</f>
        <v>0</v>
      </c>
      <c r="J591" s="172"/>
      <c r="K591" s="172">
        <v>364</v>
      </c>
      <c r="L591" s="172">
        <v>956</v>
      </c>
      <c r="M591" s="38">
        <f>SUM(J591:L591)</f>
        <v>1320</v>
      </c>
      <c r="N591" s="172">
        <v>537</v>
      </c>
      <c r="O591" s="172">
        <v>200</v>
      </c>
      <c r="P591" s="172">
        <v>544</v>
      </c>
      <c r="Q591" s="38">
        <f>SUM(N591:P591)</f>
        <v>1281</v>
      </c>
      <c r="R591" s="38">
        <f>+E591+I591+M591+Q591</f>
        <v>2601</v>
      </c>
    </row>
    <row r="592" spans="1:18" ht="15.75" customHeight="1" x14ac:dyDescent="0.3">
      <c r="A592" s="266" t="s">
        <v>537</v>
      </c>
      <c r="B592" s="172"/>
      <c r="C592" s="172"/>
      <c r="D592" s="172"/>
      <c r="E592" s="38">
        <f>SUM(B592:D592)</f>
        <v>0</v>
      </c>
      <c r="F592" s="172"/>
      <c r="G592" s="172"/>
      <c r="H592" s="172"/>
      <c r="I592" s="38">
        <f>SUM(F592:H592)</f>
        <v>0</v>
      </c>
      <c r="J592" s="172"/>
      <c r="K592" s="172"/>
      <c r="L592" s="172"/>
      <c r="M592" s="38">
        <f>SUM(J592:L592)</f>
        <v>0</v>
      </c>
      <c r="N592" s="172"/>
      <c r="O592" s="172"/>
      <c r="P592" s="172"/>
      <c r="Q592" s="38">
        <f>SUM(N592:P592)</f>
        <v>0</v>
      </c>
      <c r="R592" s="38">
        <f>+E592+I592+M592+Q592</f>
        <v>0</v>
      </c>
    </row>
    <row r="593" spans="1:18" ht="15.75" customHeight="1" x14ac:dyDescent="0.3">
      <c r="A593" s="234" t="s">
        <v>2161</v>
      </c>
      <c r="B593" s="172"/>
      <c r="C593" s="172"/>
      <c r="D593" s="172"/>
      <c r="E593" s="38" t="s">
        <v>852</v>
      </c>
      <c r="F593" s="172"/>
      <c r="G593" s="172"/>
      <c r="H593" s="172"/>
      <c r="I593" s="38" t="s">
        <v>852</v>
      </c>
      <c r="J593" s="172"/>
      <c r="K593" s="172"/>
      <c r="L593" s="172"/>
      <c r="M593" s="38" t="s">
        <v>852</v>
      </c>
      <c r="N593" s="172"/>
      <c r="O593" s="172"/>
      <c r="P593" s="172"/>
      <c r="Q593" s="38" t="s">
        <v>852</v>
      </c>
      <c r="R593" s="38" t="s">
        <v>852</v>
      </c>
    </row>
    <row r="594" spans="1:18" ht="15.75" customHeight="1" x14ac:dyDescent="0.3">
      <c r="A594" s="234" t="s">
        <v>2162</v>
      </c>
      <c r="B594" s="172"/>
      <c r="C594" s="172"/>
      <c r="D594" s="172"/>
      <c r="E594" s="38" t="s">
        <v>852</v>
      </c>
      <c r="F594" s="172"/>
      <c r="G594" s="172"/>
      <c r="H594" s="172"/>
      <c r="I594" s="38" t="s">
        <v>852</v>
      </c>
      <c r="J594" s="172"/>
      <c r="K594" s="172"/>
      <c r="L594" s="172"/>
      <c r="M594" s="38" t="s">
        <v>852</v>
      </c>
      <c r="N594" s="172"/>
      <c r="O594" s="172"/>
      <c r="P594" s="172"/>
      <c r="Q594" s="38" t="s">
        <v>852</v>
      </c>
      <c r="R594" s="38" t="s">
        <v>852</v>
      </c>
    </row>
    <row r="595" spans="1:18" ht="15.75" customHeight="1" thickBot="1" x14ac:dyDescent="0.35">
      <c r="A595" s="234" t="s">
        <v>2164</v>
      </c>
      <c r="B595" s="172"/>
      <c r="C595" s="172"/>
      <c r="D595" s="172"/>
      <c r="E595" s="38" t="s">
        <v>852</v>
      </c>
      <c r="F595" s="172"/>
      <c r="G595" s="172"/>
      <c r="H595" s="172"/>
      <c r="I595" s="38" t="s">
        <v>852</v>
      </c>
      <c r="J595" s="172"/>
      <c r="K595" s="172"/>
      <c r="L595" s="172"/>
      <c r="M595" s="38" t="s">
        <v>852</v>
      </c>
      <c r="N595" s="172"/>
      <c r="O595" s="172"/>
      <c r="P595" s="172"/>
      <c r="Q595" s="38" t="s">
        <v>852</v>
      </c>
      <c r="R595" s="38" t="s">
        <v>852</v>
      </c>
    </row>
    <row r="596" spans="1:18" ht="16.5" customHeight="1" thickBot="1" x14ac:dyDescent="0.35">
      <c r="A596" s="276" t="s">
        <v>1218</v>
      </c>
      <c r="B596" s="45">
        <f>SUM(B588:B595)</f>
        <v>114</v>
      </c>
      <c r="C596" s="46">
        <f>SUM(C588:C595)</f>
        <v>952</v>
      </c>
      <c r="D596" s="46">
        <f>SUM(D588:D595)</f>
        <v>1579</v>
      </c>
      <c r="E596" s="37">
        <f>SUM(B596:D596)</f>
        <v>2645</v>
      </c>
      <c r="F596" s="46">
        <f>SUM(F588:F595)</f>
        <v>741</v>
      </c>
      <c r="G596" s="46">
        <f>SUM(G588:G595)</f>
        <v>1328</v>
      </c>
      <c r="H596" s="46">
        <f>SUM(H588:H595)</f>
        <v>915</v>
      </c>
      <c r="I596" s="37">
        <f>SUM(F596:H596)</f>
        <v>2984</v>
      </c>
      <c r="J596" s="46">
        <f>SUM(J588:J595)</f>
        <v>1460</v>
      </c>
      <c r="K596" s="46">
        <f>SUM(K588:K595)</f>
        <v>2034</v>
      </c>
      <c r="L596" s="46">
        <f>SUM(L588:L595)</f>
        <v>2128</v>
      </c>
      <c r="M596" s="37">
        <f>SUM(J596:L596)</f>
        <v>5622</v>
      </c>
      <c r="N596" s="46">
        <f>SUM(N588:N595)</f>
        <v>1017</v>
      </c>
      <c r="O596" s="46">
        <f>SUM(O588:O595)</f>
        <v>323</v>
      </c>
      <c r="P596" s="46">
        <f>SUM(P588:P595)</f>
        <v>897</v>
      </c>
      <c r="Q596" s="37">
        <f>SUM(N596:P596)</f>
        <v>2237</v>
      </c>
      <c r="R596" s="37">
        <f>+E596+I596+M596+Q596</f>
        <v>13488</v>
      </c>
    </row>
    <row r="597" spans="1:18" ht="15.75" customHeight="1" x14ac:dyDescent="0.3">
      <c r="A597" s="234" t="s">
        <v>1172</v>
      </c>
      <c r="B597" s="172"/>
      <c r="C597" s="172"/>
      <c r="D597" s="172"/>
      <c r="E597" s="38" t="s">
        <v>852</v>
      </c>
      <c r="F597" s="172"/>
      <c r="G597" s="172"/>
      <c r="H597" s="172"/>
      <c r="I597" s="38" t="s">
        <v>852</v>
      </c>
      <c r="J597" s="172"/>
      <c r="K597" s="172"/>
      <c r="L597" s="172"/>
      <c r="M597" s="38" t="s">
        <v>852</v>
      </c>
      <c r="N597" s="172"/>
      <c r="O597" s="172"/>
      <c r="P597" s="172"/>
      <c r="Q597" s="38" t="s">
        <v>852</v>
      </c>
      <c r="R597" s="38" t="s">
        <v>852</v>
      </c>
    </row>
    <row r="598" spans="1:18" ht="15.75" customHeight="1" x14ac:dyDescent="0.3">
      <c r="A598" s="234" t="s">
        <v>2409</v>
      </c>
      <c r="B598" s="172"/>
      <c r="C598" s="172"/>
      <c r="D598" s="172"/>
      <c r="E598" s="38" t="s">
        <v>852</v>
      </c>
      <c r="F598" s="172"/>
      <c r="G598" s="172"/>
      <c r="H598" s="172"/>
      <c r="I598" s="38" t="s">
        <v>852</v>
      </c>
      <c r="J598" s="172"/>
      <c r="K598" s="172"/>
      <c r="L598" s="172"/>
      <c r="M598" s="38" t="s">
        <v>852</v>
      </c>
      <c r="N598" s="172"/>
      <c r="O598" s="172"/>
      <c r="P598" s="172"/>
      <c r="Q598" s="38" t="s">
        <v>852</v>
      </c>
      <c r="R598" s="38" t="s">
        <v>852</v>
      </c>
    </row>
    <row r="599" spans="1:18" ht="15.75" customHeight="1" thickBot="1" x14ac:dyDescent="0.35">
      <c r="A599" s="234" t="s">
        <v>2165</v>
      </c>
      <c r="B599" s="172"/>
      <c r="C599" s="172"/>
      <c r="D599" s="172"/>
      <c r="E599" s="38" t="s">
        <v>852</v>
      </c>
      <c r="F599" s="172"/>
      <c r="G599" s="172"/>
      <c r="H599" s="172"/>
      <c r="I599" s="38" t="s">
        <v>852</v>
      </c>
      <c r="J599" s="172"/>
      <c r="K599" s="172"/>
      <c r="L599" s="172"/>
      <c r="M599" s="38" t="s">
        <v>852</v>
      </c>
      <c r="N599" s="172"/>
      <c r="O599" s="172"/>
      <c r="P599" s="172"/>
      <c r="Q599" s="38" t="s">
        <v>852</v>
      </c>
      <c r="R599" s="38" t="s">
        <v>852</v>
      </c>
    </row>
    <row r="600" spans="1:18" ht="16.5" customHeight="1" thickBot="1" x14ac:dyDescent="0.35">
      <c r="A600" s="43" t="s">
        <v>1219</v>
      </c>
      <c r="B600" s="45">
        <f>SUM(B597:B599)</f>
        <v>0</v>
      </c>
      <c r="C600" s="46">
        <f>SUM(C597:C599)</f>
        <v>0</v>
      </c>
      <c r="D600" s="46">
        <f>SUM(D597:D599)</f>
        <v>0</v>
      </c>
      <c r="E600" s="37">
        <f>SUM(B600:D600)</f>
        <v>0</v>
      </c>
      <c r="F600" s="46">
        <f>SUM(F597:F599)</f>
        <v>0</v>
      </c>
      <c r="G600" s="46">
        <f>SUM(G597:G599)</f>
        <v>0</v>
      </c>
      <c r="H600" s="46">
        <f>SUM(H597:H599)</f>
        <v>0</v>
      </c>
      <c r="I600" s="37">
        <f>SUM(F600:H600)</f>
        <v>0</v>
      </c>
      <c r="J600" s="46">
        <f>SUM(J597:J599)</f>
        <v>0</v>
      </c>
      <c r="K600" s="46">
        <f>SUM(K597:K599)</f>
        <v>0</v>
      </c>
      <c r="L600" s="46">
        <f>SUM(L597:L599)</f>
        <v>0</v>
      </c>
      <c r="M600" s="37">
        <f>SUM(J600:L600)</f>
        <v>0</v>
      </c>
      <c r="N600" s="46">
        <f>SUM(N597:N599)</f>
        <v>0</v>
      </c>
      <c r="O600" s="46">
        <f>SUM(O597:O599)</f>
        <v>0</v>
      </c>
      <c r="P600" s="46">
        <f>SUM(P597:P599)</f>
        <v>0</v>
      </c>
      <c r="Q600" s="37">
        <f>SUM(N600:P600)</f>
        <v>0</v>
      </c>
      <c r="R600" s="37">
        <f>+E600+I600+M600+Q600</f>
        <v>0</v>
      </c>
    </row>
    <row r="601" spans="1:18" ht="15.75" customHeight="1" x14ac:dyDescent="0.3">
      <c r="A601" s="234" t="s">
        <v>2166</v>
      </c>
      <c r="B601" s="172"/>
      <c r="C601" s="172"/>
      <c r="D601" s="172"/>
      <c r="E601" s="38" t="s">
        <v>852</v>
      </c>
      <c r="F601" s="172"/>
      <c r="G601" s="172"/>
      <c r="H601" s="172"/>
      <c r="I601" s="38" t="s">
        <v>852</v>
      </c>
      <c r="J601" s="172"/>
      <c r="K601" s="172"/>
      <c r="L601" s="172"/>
      <c r="M601" s="38" t="s">
        <v>852</v>
      </c>
      <c r="N601" s="172"/>
      <c r="O601" s="172"/>
      <c r="P601" s="172"/>
      <c r="Q601" s="38" t="s">
        <v>852</v>
      </c>
      <c r="R601" s="38" t="s">
        <v>852</v>
      </c>
    </row>
    <row r="602" spans="1:18" ht="15.75" customHeight="1" x14ac:dyDescent="0.3">
      <c r="A602" s="234" t="s">
        <v>1245</v>
      </c>
      <c r="B602" s="172"/>
      <c r="C602" s="172"/>
      <c r="D602" s="172"/>
      <c r="E602" s="38" t="s">
        <v>852</v>
      </c>
      <c r="F602" s="172"/>
      <c r="G602" s="172"/>
      <c r="H602" s="172"/>
      <c r="I602" s="38" t="s">
        <v>852</v>
      </c>
      <c r="J602" s="172"/>
      <c r="K602" s="172"/>
      <c r="L602" s="172"/>
      <c r="M602" s="38" t="s">
        <v>852</v>
      </c>
      <c r="N602" s="172"/>
      <c r="O602" s="172"/>
      <c r="P602" s="172"/>
      <c r="Q602" s="38" t="s">
        <v>852</v>
      </c>
      <c r="R602" s="38" t="s">
        <v>852</v>
      </c>
    </row>
    <row r="603" spans="1:18" ht="15.75" customHeight="1" thickBot="1" x14ac:dyDescent="0.35">
      <c r="A603" s="234" t="s">
        <v>1711</v>
      </c>
      <c r="B603" s="172"/>
      <c r="C603" s="172"/>
      <c r="D603" s="172"/>
      <c r="E603" s="38" t="s">
        <v>852</v>
      </c>
      <c r="F603" s="172"/>
      <c r="G603" s="172"/>
      <c r="H603" s="172"/>
      <c r="I603" s="38" t="s">
        <v>852</v>
      </c>
      <c r="J603" s="172"/>
      <c r="K603" s="172"/>
      <c r="L603" s="172"/>
      <c r="M603" s="38" t="s">
        <v>852</v>
      </c>
      <c r="N603" s="172"/>
      <c r="O603" s="172"/>
      <c r="P603" s="172"/>
      <c r="Q603" s="38" t="s">
        <v>852</v>
      </c>
      <c r="R603" s="38" t="s">
        <v>852</v>
      </c>
    </row>
    <row r="604" spans="1:18" ht="16.5" customHeight="1" thickBot="1" x14ac:dyDescent="0.35">
      <c r="A604" s="277" t="s">
        <v>1220</v>
      </c>
      <c r="B604" s="45">
        <f>SUM(B601:B603)</f>
        <v>0</v>
      </c>
      <c r="C604" s="46">
        <f>SUM(C601:C603)</f>
        <v>0</v>
      </c>
      <c r="D604" s="46">
        <f>SUM(D601:D603)</f>
        <v>0</v>
      </c>
      <c r="E604" s="37">
        <f>SUM(B604:D604)</f>
        <v>0</v>
      </c>
      <c r="F604" s="46">
        <f>SUM(F601:F603)</f>
        <v>0</v>
      </c>
      <c r="G604" s="46">
        <f>SUM(G601:G603)</f>
        <v>0</v>
      </c>
      <c r="H604" s="46">
        <f>SUM(H601:H603)</f>
        <v>0</v>
      </c>
      <c r="I604" s="37">
        <f>SUM(F604:H604)</f>
        <v>0</v>
      </c>
      <c r="J604" s="46">
        <f>SUM(J601:J603)</f>
        <v>0</v>
      </c>
      <c r="K604" s="46">
        <f>SUM(K601:K603)</f>
        <v>0</v>
      </c>
      <c r="L604" s="46">
        <f>SUM(L601:L603)</f>
        <v>0</v>
      </c>
      <c r="M604" s="37">
        <f>SUM(J604:L604)</f>
        <v>0</v>
      </c>
      <c r="N604" s="46">
        <f>SUM(N601:N603)</f>
        <v>0</v>
      </c>
      <c r="O604" s="46">
        <f>SUM(O601:O603)</f>
        <v>0</v>
      </c>
      <c r="P604" s="46">
        <f>SUM(P601:P603)</f>
        <v>0</v>
      </c>
      <c r="Q604" s="37">
        <f>SUM(N604:P604)</f>
        <v>0</v>
      </c>
      <c r="R604" s="37">
        <f>+E604+I604+M604+Q604</f>
        <v>0</v>
      </c>
    </row>
    <row r="605" spans="1:18" ht="15.75" customHeight="1" x14ac:dyDescent="0.3">
      <c r="A605" s="234" t="s">
        <v>1712</v>
      </c>
      <c r="B605" s="172"/>
      <c r="C605" s="172"/>
      <c r="D605" s="172"/>
      <c r="E605" s="38" t="s">
        <v>852</v>
      </c>
      <c r="F605" s="172"/>
      <c r="G605" s="172"/>
      <c r="H605" s="172"/>
      <c r="I605" s="38" t="s">
        <v>852</v>
      </c>
      <c r="J605" s="172"/>
      <c r="K605" s="172"/>
      <c r="L605" s="172"/>
      <c r="M605" s="38" t="s">
        <v>852</v>
      </c>
      <c r="N605" s="172"/>
      <c r="O605" s="172"/>
      <c r="P605" s="172"/>
      <c r="Q605" s="38" t="s">
        <v>852</v>
      </c>
      <c r="R605" s="38" t="s">
        <v>852</v>
      </c>
    </row>
    <row r="606" spans="1:18" ht="15.75" customHeight="1" x14ac:dyDescent="0.3">
      <c r="A606" s="234" t="s">
        <v>1021</v>
      </c>
      <c r="B606" s="172"/>
      <c r="C606" s="172"/>
      <c r="D606" s="172"/>
      <c r="E606" s="38" t="s">
        <v>852</v>
      </c>
      <c r="F606" s="172"/>
      <c r="G606" s="172"/>
      <c r="H606" s="172"/>
      <c r="I606" s="38" t="s">
        <v>852</v>
      </c>
      <c r="J606" s="172"/>
      <c r="K606" s="172"/>
      <c r="L606" s="172"/>
      <c r="M606" s="38" t="s">
        <v>852</v>
      </c>
      <c r="N606" s="172"/>
      <c r="O606" s="172"/>
      <c r="P606" s="172"/>
      <c r="Q606" s="38" t="s">
        <v>852</v>
      </c>
      <c r="R606" s="38" t="s">
        <v>852</v>
      </c>
    </row>
    <row r="607" spans="1:18" ht="15.75" customHeight="1" x14ac:dyDescent="0.3">
      <c r="A607" s="234" t="s">
        <v>557</v>
      </c>
      <c r="B607" s="172"/>
      <c r="C607" s="172"/>
      <c r="D607" s="172"/>
      <c r="E607" s="38" t="s">
        <v>852</v>
      </c>
      <c r="F607" s="172"/>
      <c r="G607" s="172"/>
      <c r="H607" s="172"/>
      <c r="I607" s="38" t="s">
        <v>852</v>
      </c>
      <c r="J607" s="172"/>
      <c r="K607" s="172"/>
      <c r="L607" s="172"/>
      <c r="M607" s="38" t="s">
        <v>852</v>
      </c>
      <c r="N607" s="172"/>
      <c r="O607" s="172"/>
      <c r="P607" s="172"/>
      <c r="Q607" s="38" t="s">
        <v>852</v>
      </c>
      <c r="R607" s="38" t="s">
        <v>852</v>
      </c>
    </row>
    <row r="608" spans="1:18" ht="15.75" customHeight="1" x14ac:dyDescent="0.3">
      <c r="A608" s="539" t="s">
        <v>2584</v>
      </c>
      <c r="B608" s="172"/>
      <c r="C608" s="172"/>
      <c r="D608" s="172"/>
      <c r="E608" s="38">
        <f>SUM(B608:D608)</f>
        <v>0</v>
      </c>
      <c r="F608" s="172"/>
      <c r="G608" s="172"/>
      <c r="H608" s="172"/>
      <c r="I608" s="38">
        <f>SUM(F608:H608)</f>
        <v>0</v>
      </c>
      <c r="J608" s="172"/>
      <c r="K608" s="172"/>
      <c r="L608" s="172"/>
      <c r="M608" s="38">
        <f>SUM(J608:L608)</f>
        <v>0</v>
      </c>
      <c r="N608" s="172"/>
      <c r="O608" s="172"/>
      <c r="P608" s="172"/>
      <c r="Q608" s="38">
        <f>SUM(N608:P608)</f>
        <v>0</v>
      </c>
      <c r="R608" s="38">
        <f>+E608+I608+M608+Q608</f>
        <v>0</v>
      </c>
    </row>
    <row r="609" spans="1:18" ht="15.75" customHeight="1" x14ac:dyDescent="0.3">
      <c r="A609" s="234" t="s">
        <v>1022</v>
      </c>
      <c r="B609" s="172"/>
      <c r="C609" s="172"/>
      <c r="D609" s="172"/>
      <c r="E609" s="38" t="s">
        <v>852</v>
      </c>
      <c r="F609" s="172"/>
      <c r="G609" s="172"/>
      <c r="H609" s="172"/>
      <c r="I609" s="38" t="s">
        <v>852</v>
      </c>
      <c r="J609" s="172"/>
      <c r="K609" s="172"/>
      <c r="L609" s="172"/>
      <c r="M609" s="38" t="s">
        <v>852</v>
      </c>
      <c r="N609" s="172"/>
      <c r="O609" s="172"/>
      <c r="P609" s="172"/>
      <c r="Q609" s="38" t="s">
        <v>852</v>
      </c>
      <c r="R609" s="38" t="s">
        <v>852</v>
      </c>
    </row>
    <row r="610" spans="1:18" ht="15.75" customHeight="1" thickBot="1" x14ac:dyDescent="0.35">
      <c r="A610" s="234" t="s">
        <v>559</v>
      </c>
      <c r="B610" s="172"/>
      <c r="C610" s="172"/>
      <c r="D610" s="172"/>
      <c r="E610" s="38" t="s">
        <v>852</v>
      </c>
      <c r="F610" s="172"/>
      <c r="G610" s="172"/>
      <c r="H610" s="172"/>
      <c r="I610" s="38" t="s">
        <v>852</v>
      </c>
      <c r="J610" s="172"/>
      <c r="K610" s="172"/>
      <c r="L610" s="172"/>
      <c r="M610" s="38" t="s">
        <v>852</v>
      </c>
      <c r="N610" s="172"/>
      <c r="O610" s="172"/>
      <c r="P610" s="172"/>
      <c r="Q610" s="38" t="s">
        <v>852</v>
      </c>
      <c r="R610" s="38" t="s">
        <v>852</v>
      </c>
    </row>
    <row r="611" spans="1:18" ht="16.5" customHeight="1" thickBot="1" x14ac:dyDescent="0.35">
      <c r="A611" s="43" t="s">
        <v>1019</v>
      </c>
      <c r="B611" s="42">
        <f>SUM(B609:B610)</f>
        <v>0</v>
      </c>
      <c r="C611" s="42">
        <f>SUM(C609:C610)</f>
        <v>0</v>
      </c>
      <c r="D611" s="42">
        <f>SUM(D609:D610)</f>
        <v>0</v>
      </c>
      <c r="E611" s="39">
        <f>SUM(B611:D611)</f>
        <v>0</v>
      </c>
      <c r="F611" s="42">
        <f>SUM(F609:F610)</f>
        <v>0</v>
      </c>
      <c r="G611" s="42">
        <f>SUM(G609:G610)</f>
        <v>0</v>
      </c>
      <c r="H611" s="42">
        <f>SUM(H609:H610)</f>
        <v>0</v>
      </c>
      <c r="I611" s="39">
        <f>SUM(F611:H611)</f>
        <v>0</v>
      </c>
      <c r="J611" s="42">
        <f>SUM(J609:J610)</f>
        <v>0</v>
      </c>
      <c r="K611" s="42">
        <f>SUM(K609:K610)</f>
        <v>0</v>
      </c>
      <c r="L611" s="42">
        <f>SUM(L609:L610)</f>
        <v>0</v>
      </c>
      <c r="M611" s="39">
        <f>SUM(J611:L611)</f>
        <v>0</v>
      </c>
      <c r="N611" s="42">
        <f>SUM(N609:N610)</f>
        <v>0</v>
      </c>
      <c r="O611" s="42">
        <f>SUM(O609:O610)</f>
        <v>0</v>
      </c>
      <c r="P611" s="42">
        <f>SUM(P609:P610)</f>
        <v>0</v>
      </c>
      <c r="Q611" s="39">
        <f>SUM(N611:P611)</f>
        <v>0</v>
      </c>
      <c r="R611" s="37">
        <f>+E611+I611+M611+Q611</f>
        <v>0</v>
      </c>
    </row>
    <row r="612" spans="1:18" ht="16.5" customHeight="1" thickBot="1" x14ac:dyDescent="0.35">
      <c r="A612" s="277" t="s">
        <v>1221</v>
      </c>
      <c r="B612" s="45">
        <f>SUM(B605:B610)</f>
        <v>0</v>
      </c>
      <c r="C612" s="46">
        <f>SUM(C605:C610)</f>
        <v>0</v>
      </c>
      <c r="D612" s="58">
        <f>SUM(D605:D610)</f>
        <v>0</v>
      </c>
      <c r="E612" s="39">
        <f>SUM(B612:D612)</f>
        <v>0</v>
      </c>
      <c r="F612" s="46">
        <f>SUM(F605:F610)</f>
        <v>0</v>
      </c>
      <c r="G612" s="46">
        <f>SUM(G605:G610)</f>
        <v>0</v>
      </c>
      <c r="H612" s="46">
        <f>SUM(H605:H610)</f>
        <v>0</v>
      </c>
      <c r="I612" s="39">
        <f>SUM(F612:H612)</f>
        <v>0</v>
      </c>
      <c r="J612" s="46">
        <f>SUM(J605:J610)</f>
        <v>0</v>
      </c>
      <c r="K612" s="46">
        <f>SUM(K605:K610)</f>
        <v>0</v>
      </c>
      <c r="L612" s="46">
        <f>SUM(L605:L610)</f>
        <v>0</v>
      </c>
      <c r="M612" s="39">
        <f>SUM(J612:L612)</f>
        <v>0</v>
      </c>
      <c r="N612" s="46">
        <f>SUM(N605:N610)</f>
        <v>0</v>
      </c>
      <c r="O612" s="46">
        <f>SUM(O605:O610)</f>
        <v>0</v>
      </c>
      <c r="P612" s="46">
        <f>SUM(P605:P610)</f>
        <v>0</v>
      </c>
      <c r="Q612" s="39">
        <f>SUM(N612:P612)</f>
        <v>0</v>
      </c>
      <c r="R612" s="37">
        <f>+E612+I612+M612+Q612</f>
        <v>0</v>
      </c>
    </row>
    <row r="613" spans="1:18" ht="16.5" customHeight="1" thickBot="1" x14ac:dyDescent="0.35">
      <c r="A613" s="43" t="s">
        <v>1222</v>
      </c>
      <c r="B613" s="47">
        <f>+B596+B600+B604+B612</f>
        <v>114</v>
      </c>
      <c r="C613" s="42">
        <f>+C596+C600+C604+C612</f>
        <v>952</v>
      </c>
      <c r="D613" s="42">
        <f>+D596+D600+D604+D612</f>
        <v>1579</v>
      </c>
      <c r="E613" s="37">
        <f>SUM(B613:D613)</f>
        <v>2645</v>
      </c>
      <c r="F613" s="42">
        <f>+F596+F600+F604+F612</f>
        <v>741</v>
      </c>
      <c r="G613" s="42">
        <f>+G596+G600+G604+G612</f>
        <v>1328</v>
      </c>
      <c r="H613" s="42">
        <f>+H596+H600+H604+H612</f>
        <v>915</v>
      </c>
      <c r="I613" s="37">
        <f>SUM(F613:H613)</f>
        <v>2984</v>
      </c>
      <c r="J613" s="42">
        <f>+J596+J600+J604+J612</f>
        <v>1460</v>
      </c>
      <c r="K613" s="42">
        <f>+K596+K600+K604+K612</f>
        <v>2034</v>
      </c>
      <c r="L613" s="42">
        <f>+L596+L600+L604+L612</f>
        <v>2128</v>
      </c>
      <c r="M613" s="37">
        <f>SUM(J613:L613)</f>
        <v>5622</v>
      </c>
      <c r="N613" s="42">
        <f>+N596+N600+N604+N612</f>
        <v>1017</v>
      </c>
      <c r="O613" s="42">
        <f>+O596+O600+O604+O612</f>
        <v>323</v>
      </c>
      <c r="P613" s="42">
        <f>+P596+P600+P604+P612</f>
        <v>897</v>
      </c>
      <c r="Q613" s="37">
        <f>SUM(N613:P613)</f>
        <v>2237</v>
      </c>
      <c r="R613" s="40">
        <f>+E613+I613+M613+Q613</f>
        <v>13488</v>
      </c>
    </row>
    <row r="614" spans="1:18" ht="16.5" customHeight="1" thickBot="1" x14ac:dyDescent="0.35">
      <c r="A614" s="244" t="s">
        <v>853</v>
      </c>
      <c r="B614" s="238">
        <v>10</v>
      </c>
      <c r="C614" s="238">
        <v>11</v>
      </c>
      <c r="D614" s="238">
        <v>14</v>
      </c>
      <c r="E614" s="38">
        <f>SUM(B614:D614)</f>
        <v>35</v>
      </c>
      <c r="F614" s="238">
        <v>18</v>
      </c>
      <c r="G614" s="238">
        <v>21</v>
      </c>
      <c r="H614" s="238">
        <v>22</v>
      </c>
      <c r="I614" s="38">
        <f>SUM(F614:H614)</f>
        <v>61</v>
      </c>
      <c r="J614" s="238">
        <v>19</v>
      </c>
      <c r="K614" s="238">
        <v>17</v>
      </c>
      <c r="L614" s="238">
        <v>17</v>
      </c>
      <c r="M614" s="38">
        <f>SUM(J614:L614)</f>
        <v>53</v>
      </c>
      <c r="N614" s="238">
        <v>14</v>
      </c>
      <c r="O614" s="238">
        <v>11</v>
      </c>
      <c r="P614" s="238">
        <v>9</v>
      </c>
      <c r="Q614" s="38">
        <f>SUM(N614:P614)</f>
        <v>34</v>
      </c>
      <c r="R614" s="38">
        <f>+E614+I614+M614+Q614</f>
        <v>183</v>
      </c>
    </row>
    <row r="615" spans="1:18" ht="16.5" customHeight="1" thickBot="1" x14ac:dyDescent="0.35">
      <c r="A615" s="22"/>
      <c r="B615" s="242"/>
      <c r="C615" s="242"/>
      <c r="D615" s="242"/>
      <c r="E615" s="233"/>
      <c r="F615" s="242"/>
      <c r="G615" s="242"/>
      <c r="H615" s="242"/>
      <c r="I615" s="233"/>
      <c r="J615" s="242"/>
      <c r="K615" s="242"/>
      <c r="L615" s="242"/>
      <c r="M615" s="280"/>
      <c r="N615" s="242"/>
      <c r="O615" s="242"/>
      <c r="P615" s="242"/>
      <c r="Q615" s="280"/>
      <c r="R615" s="14"/>
    </row>
    <row r="616" spans="1:18" ht="15.75" customHeight="1" x14ac:dyDescent="0.3">
      <c r="A616" s="234" t="s">
        <v>120</v>
      </c>
      <c r="B616" s="172">
        <f>SUM(B613:B614)</f>
        <v>124</v>
      </c>
      <c r="C616" s="172">
        <f>SUM(C613:C614)</f>
        <v>963</v>
      </c>
      <c r="D616" s="172">
        <f>SUM(D613:D614)</f>
        <v>1593</v>
      </c>
      <c r="E616" s="38">
        <f>SUM(B616:D616)</f>
        <v>2680</v>
      </c>
      <c r="F616" s="172">
        <f>SUM(F613:F614)</f>
        <v>759</v>
      </c>
      <c r="G616" s="172">
        <f>SUM(G613:G614)</f>
        <v>1349</v>
      </c>
      <c r="H616" s="172">
        <f>SUM(H613:H614)</f>
        <v>937</v>
      </c>
      <c r="I616" s="39">
        <f>SUM(F616:H616)</f>
        <v>3045</v>
      </c>
      <c r="J616" s="172">
        <f>SUM(J613:J614)</f>
        <v>1479</v>
      </c>
      <c r="K616" s="172">
        <f>SUM(K613:K614)</f>
        <v>2051</v>
      </c>
      <c r="L616" s="172">
        <f>SUM(L613:L614)</f>
        <v>2145</v>
      </c>
      <c r="M616" s="39">
        <f>SUM(J616:L616)</f>
        <v>5675</v>
      </c>
      <c r="N616" s="172">
        <f>SUM(N613:N614)</f>
        <v>1031</v>
      </c>
      <c r="O616" s="172">
        <f>SUM(O613:O614)</f>
        <v>334</v>
      </c>
      <c r="P616" s="172">
        <f>SUM(P613:P614)</f>
        <v>906</v>
      </c>
      <c r="Q616" s="39">
        <f>SUM(N616:P616)</f>
        <v>2271</v>
      </c>
      <c r="R616" s="39">
        <f>+E616+I616+M616+Q616</f>
        <v>13671</v>
      </c>
    </row>
    <row r="617" spans="1:18" ht="15.75" customHeight="1" x14ac:dyDescent="0.3">
      <c r="A617" s="234" t="s">
        <v>1897</v>
      </c>
      <c r="B617" s="172">
        <f>(B616/B10)/1.983</f>
        <v>2.0171457387796266</v>
      </c>
      <c r="C617" s="172">
        <f>(C616/C10)/1.983</f>
        <v>17.343851307542685</v>
      </c>
      <c r="D617" s="172">
        <f>(D616/D10)/1.983</f>
        <v>25.913815821580208</v>
      </c>
      <c r="E617" s="38" t="s">
        <v>852</v>
      </c>
      <c r="F617" s="172">
        <f>(F616/F10)/1.983</f>
        <v>12.75844679778114</v>
      </c>
      <c r="G617" s="172">
        <f>(G616/G10)/1.983</f>
        <v>21.944593561400939</v>
      </c>
      <c r="H617" s="172">
        <f>(H616/H10)/1.983</f>
        <v>15.750546310304253</v>
      </c>
      <c r="I617" s="38" t="s">
        <v>852</v>
      </c>
      <c r="J617" s="172">
        <f>(J616/J10)/1.983</f>
        <v>24.05934312625055</v>
      </c>
      <c r="K617" s="172">
        <f>(K616/K10)/1.983</f>
        <v>33.364241211588826</v>
      </c>
      <c r="L617" s="172">
        <f>(L616/L10)/1.983</f>
        <v>36.05648008068583</v>
      </c>
      <c r="M617" s="38" t="s">
        <v>852</v>
      </c>
      <c r="N617" s="172">
        <f>(N616/N10)/1.983</f>
        <v>16.771590779691895</v>
      </c>
      <c r="O617" s="172">
        <f>(O616/O10)/1.983</f>
        <v>5.6143889729366272</v>
      </c>
      <c r="P617" s="172">
        <f>(P616/P10)/1.983</f>
        <v>14.738177736567273</v>
      </c>
      <c r="Q617" s="38" t="s">
        <v>852</v>
      </c>
      <c r="R617" s="38" t="s">
        <v>852</v>
      </c>
    </row>
    <row r="618" spans="1:18" ht="15.75" customHeight="1" x14ac:dyDescent="0.3">
      <c r="A618" s="234" t="s">
        <v>1334</v>
      </c>
      <c r="B618" s="172">
        <f>B616+B664</f>
        <v>14382</v>
      </c>
      <c r="C618" s="172">
        <f>C616+C664</f>
        <v>17528</v>
      </c>
      <c r="D618" s="172">
        <f>D616+D664</f>
        <v>20847</v>
      </c>
      <c r="E618" s="38">
        <f>SUM(B618:D618)</f>
        <v>52757</v>
      </c>
      <c r="F618" s="172">
        <f>F616+F664</f>
        <v>20629</v>
      </c>
      <c r="G618" s="172">
        <f>G616+G664</f>
        <v>19979</v>
      </c>
      <c r="H618" s="172">
        <f>H616+H664</f>
        <v>19642</v>
      </c>
      <c r="I618" s="38">
        <f>SUM(F618:H618)</f>
        <v>60250</v>
      </c>
      <c r="J618" s="172">
        <f>J616+J664</f>
        <v>17808</v>
      </c>
      <c r="K618" s="172">
        <f>K616+K664</f>
        <v>18614</v>
      </c>
      <c r="L618" s="172">
        <f>L616+L664</f>
        <v>17588</v>
      </c>
      <c r="M618" s="38">
        <f>SUM(J618:L618)</f>
        <v>54010</v>
      </c>
      <c r="N618" s="172">
        <f>N616+N664</f>
        <v>12351</v>
      </c>
      <c r="O618" s="172">
        <f>O616+O664</f>
        <v>6880</v>
      </c>
      <c r="P618" s="172">
        <f>P616+P664</f>
        <v>12248</v>
      </c>
      <c r="Q618" s="38">
        <f>SUM(N618:P618)</f>
        <v>31479</v>
      </c>
      <c r="R618" s="38">
        <f>+E618+I618+M618+Q618</f>
        <v>198496</v>
      </c>
    </row>
    <row r="619" spans="1:18" ht="16.5" customHeight="1" thickBot="1" x14ac:dyDescent="0.35">
      <c r="A619" s="237" t="s">
        <v>1335</v>
      </c>
      <c r="B619" s="238">
        <f>(B618/B10)/1.983</f>
        <v>233.95637108974671</v>
      </c>
      <c r="C619" s="238">
        <f>(C618/C10)/1.983</f>
        <v>315.6833081190116</v>
      </c>
      <c r="D619" s="238">
        <f>(D618/D10)/1.983</f>
        <v>339.12449368015223</v>
      </c>
      <c r="E619" s="40" t="s">
        <v>852</v>
      </c>
      <c r="F619" s="238">
        <f>(F618/F10)/1.983</f>
        <v>346.76416204404097</v>
      </c>
      <c r="G619" s="238">
        <f>(G618/G10)/1.983</f>
        <v>325.00447350869484</v>
      </c>
      <c r="H619" s="238">
        <f>(H618/H10)/1.983</f>
        <v>330.17313834257857</v>
      </c>
      <c r="I619" s="40" t="s">
        <v>852</v>
      </c>
      <c r="J619" s="238">
        <f>(J618/J10)/1.983</f>
        <v>289.68815577570643</v>
      </c>
      <c r="K619" s="238">
        <f>(K618/K10)/1.983</f>
        <v>302.79960307777401</v>
      </c>
      <c r="L619" s="238">
        <f>(L618/L10)/1.983</f>
        <v>295.64632711380062</v>
      </c>
      <c r="M619" s="40" t="s">
        <v>852</v>
      </c>
      <c r="N619" s="238">
        <f>(N618/N10)/1.983</f>
        <v>200.91747596505783</v>
      </c>
      <c r="O619" s="238">
        <f>(O618/O10)/1.983</f>
        <v>115.64968902336527</v>
      </c>
      <c r="P619" s="238">
        <f>(P618/P10)/1.983</f>
        <v>199.24194361752313</v>
      </c>
      <c r="Q619" s="40" t="s">
        <v>852</v>
      </c>
      <c r="R619" s="40" t="s">
        <v>852</v>
      </c>
    </row>
    <row r="620" spans="1:18" ht="15.75" customHeight="1" x14ac:dyDescent="0.3">
      <c r="A620" s="17"/>
      <c r="B620" s="172"/>
      <c r="C620" s="172"/>
      <c r="D620" s="172"/>
      <c r="E620" s="172"/>
      <c r="F620" s="172"/>
      <c r="G620" s="172"/>
      <c r="H620" s="172"/>
      <c r="I620" s="172"/>
      <c r="J620" s="172"/>
      <c r="K620" s="172"/>
      <c r="L620" s="172"/>
      <c r="M620" s="172"/>
      <c r="N620" s="172"/>
      <c r="O620" s="172"/>
      <c r="P620" s="172"/>
      <c r="Q620" s="172"/>
      <c r="R620" s="17"/>
    </row>
    <row r="621" spans="1:18" ht="16.5" customHeight="1" thickBot="1" x14ac:dyDescent="0.35">
      <c r="A621" s="24"/>
      <c r="B621" s="238"/>
      <c r="C621" s="238"/>
      <c r="D621" s="238"/>
      <c r="E621" s="238"/>
      <c r="F621" s="238"/>
      <c r="G621" s="238"/>
      <c r="H621" s="238"/>
      <c r="I621" s="238"/>
      <c r="J621" s="238"/>
      <c r="K621" s="238"/>
      <c r="L621" s="238"/>
      <c r="M621" s="238"/>
      <c r="N621" s="238"/>
      <c r="O621" s="238"/>
      <c r="P621" s="238"/>
      <c r="Q621" s="238"/>
      <c r="R621" s="24"/>
    </row>
    <row r="622" spans="1:18" ht="15.75" customHeight="1" thickBot="1" x14ac:dyDescent="0.35">
      <c r="A622" s="274" t="s">
        <v>1772</v>
      </c>
      <c r="B622" s="25" t="s">
        <v>2090</v>
      </c>
      <c r="C622" s="26" t="s">
        <v>2091</v>
      </c>
      <c r="D622" s="26" t="s">
        <v>2234</v>
      </c>
      <c r="E622" s="33" t="s">
        <v>1594</v>
      </c>
      <c r="F622" s="26" t="s">
        <v>2235</v>
      </c>
      <c r="G622" s="26" t="s">
        <v>2236</v>
      </c>
      <c r="H622" s="26" t="s">
        <v>2237</v>
      </c>
      <c r="I622" s="33" t="s">
        <v>1595</v>
      </c>
      <c r="J622" s="26" t="s">
        <v>1504</v>
      </c>
      <c r="K622" s="26" t="s">
        <v>1505</v>
      </c>
      <c r="L622" s="26" t="s">
        <v>1506</v>
      </c>
      <c r="M622" s="33" t="s">
        <v>1596</v>
      </c>
      <c r="N622" s="26" t="s">
        <v>1507</v>
      </c>
      <c r="O622" s="26" t="s">
        <v>1508</v>
      </c>
      <c r="P622" s="26" t="s">
        <v>1509</v>
      </c>
      <c r="Q622" s="33" t="s">
        <v>1597</v>
      </c>
      <c r="R622" s="34" t="s">
        <v>1510</v>
      </c>
    </row>
    <row r="623" spans="1:18" ht="16.5" customHeight="1" thickBot="1" x14ac:dyDescent="0.35">
      <c r="A623" s="281"/>
      <c r="B623" s="232"/>
      <c r="C623" s="232"/>
      <c r="D623" s="232"/>
      <c r="E623" s="233"/>
      <c r="F623" s="232"/>
      <c r="G623" s="232"/>
      <c r="H623" s="232"/>
      <c r="I623" s="233"/>
      <c r="J623" s="232"/>
      <c r="K623" s="232"/>
      <c r="L623" s="232"/>
      <c r="M623" s="233"/>
      <c r="N623" s="232"/>
      <c r="O623" s="232"/>
      <c r="P623" s="232"/>
      <c r="Q623" s="233"/>
      <c r="R623" s="75"/>
    </row>
    <row r="624" spans="1:18" ht="15.75" customHeight="1" x14ac:dyDescent="0.3">
      <c r="A624" s="234" t="s">
        <v>2417</v>
      </c>
      <c r="B624" s="172" t="s">
        <v>852</v>
      </c>
      <c r="C624" s="172" t="s">
        <v>852</v>
      </c>
      <c r="D624" s="172" t="s">
        <v>852</v>
      </c>
      <c r="E624" s="38" t="s">
        <v>852</v>
      </c>
      <c r="F624" s="172" t="s">
        <v>852</v>
      </c>
      <c r="G624" s="172" t="s">
        <v>852</v>
      </c>
      <c r="H624" s="172" t="s">
        <v>852</v>
      </c>
      <c r="I624" s="38" t="s">
        <v>852</v>
      </c>
      <c r="J624" s="172" t="s">
        <v>852</v>
      </c>
      <c r="K624" s="172" t="s">
        <v>852</v>
      </c>
      <c r="L624" s="172" t="s">
        <v>852</v>
      </c>
      <c r="M624" s="38" t="s">
        <v>852</v>
      </c>
      <c r="N624" s="172" t="s">
        <v>852</v>
      </c>
      <c r="O624" s="172" t="s">
        <v>852</v>
      </c>
      <c r="P624" s="172" t="s">
        <v>852</v>
      </c>
      <c r="Q624" s="38" t="s">
        <v>852</v>
      </c>
      <c r="R624" s="38" t="s">
        <v>852</v>
      </c>
    </row>
    <row r="625" spans="1:18" ht="15.75" customHeight="1" x14ac:dyDescent="0.3">
      <c r="A625" s="234" t="s">
        <v>2160</v>
      </c>
      <c r="B625" s="172"/>
      <c r="C625" s="172"/>
      <c r="D625" s="172"/>
      <c r="E625" s="38" t="s">
        <v>852</v>
      </c>
      <c r="F625" s="172"/>
      <c r="G625" s="172"/>
      <c r="H625" s="172"/>
      <c r="I625" s="38" t="s">
        <v>852</v>
      </c>
      <c r="J625" s="172"/>
      <c r="K625" s="172"/>
      <c r="L625" s="172"/>
      <c r="M625" s="38" t="s">
        <v>852</v>
      </c>
      <c r="N625" s="172"/>
      <c r="O625" s="172"/>
      <c r="P625" s="172"/>
      <c r="Q625" s="38" t="s">
        <v>852</v>
      </c>
      <c r="R625" s="38" t="s">
        <v>852</v>
      </c>
    </row>
    <row r="626" spans="1:18" ht="15.75" customHeight="1" x14ac:dyDescent="0.3">
      <c r="A626" s="266" t="s">
        <v>2171</v>
      </c>
      <c r="B626" s="10">
        <v>5646</v>
      </c>
      <c r="C626" s="10">
        <v>5903</v>
      </c>
      <c r="D626" s="10">
        <v>6813</v>
      </c>
      <c r="E626" s="38">
        <f>SUM(B626:D626)</f>
        <v>18362</v>
      </c>
      <c r="F626" s="10">
        <v>6575</v>
      </c>
      <c r="G626" s="10">
        <v>6702</v>
      </c>
      <c r="H626" s="10">
        <v>5343</v>
      </c>
      <c r="I626" s="38">
        <f>SUM(F626:H626)</f>
        <v>18620</v>
      </c>
      <c r="J626" s="10">
        <v>3574</v>
      </c>
      <c r="K626" s="10">
        <v>3735</v>
      </c>
      <c r="L626" s="10">
        <v>4265</v>
      </c>
      <c r="M626" s="38">
        <f>SUM(J626:L626)</f>
        <v>11574</v>
      </c>
      <c r="N626" s="10">
        <v>3553</v>
      </c>
      <c r="O626" s="10">
        <v>2700</v>
      </c>
      <c r="P626" s="10">
        <v>4595</v>
      </c>
      <c r="Q626" s="38">
        <f>SUM(N626:P626)</f>
        <v>10848</v>
      </c>
      <c r="R626" s="38">
        <f>+E626+I626+M626+Q626</f>
        <v>59404</v>
      </c>
    </row>
    <row r="627" spans="1:18" ht="15.75" customHeight="1" x14ac:dyDescent="0.3">
      <c r="A627" s="266" t="s">
        <v>2146</v>
      </c>
      <c r="B627" s="172">
        <v>5314</v>
      </c>
      <c r="C627" s="172">
        <v>4705</v>
      </c>
      <c r="D627" s="172">
        <v>5496</v>
      </c>
      <c r="E627" s="38">
        <f>SUM(B627:D627)</f>
        <v>15515</v>
      </c>
      <c r="F627" s="172">
        <v>5252</v>
      </c>
      <c r="G627" s="172">
        <v>5474</v>
      </c>
      <c r="H627" s="172">
        <v>4749</v>
      </c>
      <c r="I627" s="38">
        <f>SUM(F627:H627)</f>
        <v>15475</v>
      </c>
      <c r="J627" s="172">
        <v>5345</v>
      </c>
      <c r="K627" s="172">
        <v>4980</v>
      </c>
      <c r="L627" s="172">
        <v>5002</v>
      </c>
      <c r="M627" s="38">
        <f>SUM(J627:L627)</f>
        <v>15327</v>
      </c>
      <c r="N627" s="172">
        <v>3931</v>
      </c>
      <c r="O627" s="172">
        <v>1643</v>
      </c>
      <c r="P627" s="172">
        <v>3618</v>
      </c>
      <c r="Q627" s="38">
        <f>SUM(N627:P627)</f>
        <v>9192</v>
      </c>
      <c r="R627" s="38">
        <f>+E627+I627+M627+Q627</f>
        <v>55509</v>
      </c>
    </row>
    <row r="628" spans="1:18" ht="15.75" customHeight="1" x14ac:dyDescent="0.3">
      <c r="A628" s="539" t="s">
        <v>2992</v>
      </c>
      <c r="B628" s="172">
        <v>80</v>
      </c>
      <c r="C628" s="172">
        <v>80</v>
      </c>
      <c r="D628" s="172">
        <v>80</v>
      </c>
      <c r="E628" s="38">
        <f>SUM(B628:D628)</f>
        <v>240</v>
      </c>
      <c r="F628" s="172">
        <v>80</v>
      </c>
      <c r="G628" s="172">
        <v>90</v>
      </c>
      <c r="H628" s="172">
        <v>80</v>
      </c>
      <c r="I628" s="38">
        <f>SUM(F628:H628)</f>
        <v>250</v>
      </c>
      <c r="J628" s="172">
        <v>80</v>
      </c>
      <c r="K628" s="172">
        <v>80</v>
      </c>
      <c r="L628" s="172">
        <v>80</v>
      </c>
      <c r="M628" s="38">
        <f>SUM(J628:L628)</f>
        <v>240</v>
      </c>
      <c r="N628" s="172">
        <v>20</v>
      </c>
      <c r="O628" s="172">
        <v>20</v>
      </c>
      <c r="P628" s="172">
        <v>80</v>
      </c>
      <c r="Q628" s="38">
        <f>SUM(N628:P628)</f>
        <v>120</v>
      </c>
      <c r="R628" s="38">
        <f>+E628+I628+M628+Q628</f>
        <v>850</v>
      </c>
    </row>
    <row r="629" spans="1:18" ht="15.75" customHeight="1" x14ac:dyDescent="0.3">
      <c r="A629" s="539" t="s">
        <v>2596</v>
      </c>
      <c r="B629" s="172">
        <v>184</v>
      </c>
      <c r="C629" s="172">
        <v>184</v>
      </c>
      <c r="D629" s="172">
        <v>184</v>
      </c>
      <c r="E629" s="38">
        <f>SUM(B629:D629)</f>
        <v>552</v>
      </c>
      <c r="F629" s="172">
        <v>184</v>
      </c>
      <c r="G629" s="172">
        <v>183</v>
      </c>
      <c r="H629" s="172">
        <v>183</v>
      </c>
      <c r="I629" s="38">
        <f>SUM(F629:H629)</f>
        <v>550</v>
      </c>
      <c r="J629" s="172">
        <v>183</v>
      </c>
      <c r="K629" s="172">
        <v>183</v>
      </c>
      <c r="L629" s="172">
        <v>183</v>
      </c>
      <c r="M629" s="38">
        <f>SUM(J629:L629)</f>
        <v>549</v>
      </c>
      <c r="N629" s="172">
        <v>183</v>
      </c>
      <c r="O629" s="172">
        <v>183</v>
      </c>
      <c r="P629" s="172">
        <v>183</v>
      </c>
      <c r="Q629" s="38">
        <f>SUM(N629:P629)</f>
        <v>549</v>
      </c>
      <c r="R629" s="38">
        <f>+E629+I629+M629+Q629</f>
        <v>2200</v>
      </c>
    </row>
    <row r="630" spans="1:18" ht="15.75" customHeight="1" x14ac:dyDescent="0.3">
      <c r="A630" s="539" t="s">
        <v>3015</v>
      </c>
      <c r="B630" s="172">
        <v>100</v>
      </c>
      <c r="C630" s="172">
        <v>100</v>
      </c>
      <c r="D630" s="172">
        <v>100</v>
      </c>
      <c r="E630" s="38">
        <f>SUM(B630:D630)</f>
        <v>300</v>
      </c>
      <c r="F630" s="172">
        <v>100</v>
      </c>
      <c r="G630" s="172">
        <v>100</v>
      </c>
      <c r="H630" s="172">
        <v>100</v>
      </c>
      <c r="I630" s="38">
        <f>SUM(F630:H630)</f>
        <v>300</v>
      </c>
      <c r="J630" s="172">
        <v>100</v>
      </c>
      <c r="K630" s="172">
        <v>100</v>
      </c>
      <c r="L630" s="172">
        <v>100</v>
      </c>
      <c r="M630" s="38">
        <f>SUM(J630:L630)</f>
        <v>300</v>
      </c>
      <c r="N630" s="172"/>
      <c r="O630" s="172">
        <v>100</v>
      </c>
      <c r="P630" s="172">
        <v>100</v>
      </c>
      <c r="Q630" s="38">
        <f>SUM(N630:P630)</f>
        <v>200</v>
      </c>
      <c r="R630" s="38">
        <f>+E630+I630+M630+Q630</f>
        <v>1100</v>
      </c>
    </row>
    <row r="631" spans="1:18" ht="15.75" customHeight="1" x14ac:dyDescent="0.3">
      <c r="A631" s="234" t="s">
        <v>2161</v>
      </c>
      <c r="B631" s="172"/>
      <c r="C631" s="172"/>
      <c r="D631" s="172"/>
      <c r="E631" s="38" t="s">
        <v>852</v>
      </c>
      <c r="F631" s="172"/>
      <c r="G631" s="172"/>
      <c r="H631" s="172"/>
      <c r="I631" s="38" t="s">
        <v>852</v>
      </c>
      <c r="J631" s="172"/>
      <c r="K631" s="172"/>
      <c r="L631" s="172"/>
      <c r="M631" s="38" t="s">
        <v>852</v>
      </c>
      <c r="N631" s="172"/>
      <c r="O631" s="172"/>
      <c r="P631" s="172"/>
      <c r="Q631" s="38" t="s">
        <v>852</v>
      </c>
      <c r="R631" s="38" t="s">
        <v>852</v>
      </c>
    </row>
    <row r="632" spans="1:18" ht="15.75" customHeight="1" x14ac:dyDescent="0.3">
      <c r="A632" s="234" t="s">
        <v>2162</v>
      </c>
      <c r="B632" s="172"/>
      <c r="C632" s="172"/>
      <c r="D632" s="172"/>
      <c r="E632" s="38" t="s">
        <v>852</v>
      </c>
      <c r="F632" s="172"/>
      <c r="G632" s="172"/>
      <c r="H632" s="172"/>
      <c r="I632" s="38" t="s">
        <v>852</v>
      </c>
      <c r="J632" s="172"/>
      <c r="K632" s="172"/>
      <c r="L632" s="172"/>
      <c r="M632" s="38" t="s">
        <v>852</v>
      </c>
      <c r="N632" s="172"/>
      <c r="O632" s="172"/>
      <c r="P632" s="172"/>
      <c r="Q632" s="38" t="s">
        <v>852</v>
      </c>
      <c r="R632" s="38" t="s">
        <v>852</v>
      </c>
    </row>
    <row r="633" spans="1:18" ht="15.75" customHeight="1" thickBot="1" x14ac:dyDescent="0.35">
      <c r="A633" s="234" t="s">
        <v>2164</v>
      </c>
      <c r="B633" s="172"/>
      <c r="C633" s="172"/>
      <c r="D633" s="172"/>
      <c r="E633" s="38" t="s">
        <v>852</v>
      </c>
      <c r="F633" s="172"/>
      <c r="G633" s="172"/>
      <c r="H633" s="172"/>
      <c r="I633" s="38" t="s">
        <v>852</v>
      </c>
      <c r="J633" s="172"/>
      <c r="K633" s="172"/>
      <c r="L633" s="172"/>
      <c r="M633" s="38" t="s">
        <v>852</v>
      </c>
      <c r="N633" s="172"/>
      <c r="O633" s="172"/>
      <c r="P633" s="172"/>
      <c r="Q633" s="38" t="s">
        <v>852</v>
      </c>
      <c r="R633" s="38" t="s">
        <v>852</v>
      </c>
    </row>
    <row r="634" spans="1:18" ht="16.5" customHeight="1" thickBot="1" x14ac:dyDescent="0.35">
      <c r="A634" s="276" t="s">
        <v>1218</v>
      </c>
      <c r="B634" s="45">
        <f>SUM(B624:B633)</f>
        <v>11324</v>
      </c>
      <c r="C634" s="46">
        <f>SUM(C624:C633)</f>
        <v>10972</v>
      </c>
      <c r="D634" s="46">
        <f>SUM(D624:D633)</f>
        <v>12673</v>
      </c>
      <c r="E634" s="37">
        <f>SUM(B634:D634)</f>
        <v>34969</v>
      </c>
      <c r="F634" s="46">
        <f>SUM(F624:F633)</f>
        <v>12191</v>
      </c>
      <c r="G634" s="46">
        <f>SUM(G624:G633)</f>
        <v>12549</v>
      </c>
      <c r="H634" s="46">
        <f>SUM(H624:H633)</f>
        <v>10455</v>
      </c>
      <c r="I634" s="37">
        <f>SUM(F634:H634)</f>
        <v>35195</v>
      </c>
      <c r="J634" s="46">
        <f>SUM(J624:J633)</f>
        <v>9282</v>
      </c>
      <c r="K634" s="46">
        <f>SUM(K624:K633)</f>
        <v>9078</v>
      </c>
      <c r="L634" s="46">
        <f>SUM(L624:L633)</f>
        <v>9630</v>
      </c>
      <c r="M634" s="37">
        <f>SUM(J634:L634)</f>
        <v>27990</v>
      </c>
      <c r="N634" s="46">
        <f>SUM(N624:N633)</f>
        <v>7687</v>
      </c>
      <c r="O634" s="46">
        <f>SUM(O624:O633)</f>
        <v>4646</v>
      </c>
      <c r="P634" s="46">
        <f>SUM(P624:P633)</f>
        <v>8576</v>
      </c>
      <c r="Q634" s="37">
        <f>SUM(N634:P634)</f>
        <v>20909</v>
      </c>
      <c r="R634" s="37">
        <f>+E634+I634+M634+Q634</f>
        <v>119063</v>
      </c>
    </row>
    <row r="635" spans="1:18" ht="15.75" customHeight="1" x14ac:dyDescent="0.3">
      <c r="A635" s="234" t="s">
        <v>1172</v>
      </c>
      <c r="B635" s="172"/>
      <c r="C635" s="172"/>
      <c r="D635" s="172"/>
      <c r="E635" s="38" t="s">
        <v>852</v>
      </c>
      <c r="F635" s="172"/>
      <c r="G635" s="172"/>
      <c r="H635" s="172"/>
      <c r="I635" s="38" t="s">
        <v>852</v>
      </c>
      <c r="J635" s="172"/>
      <c r="K635" s="172"/>
      <c r="L635" s="172"/>
      <c r="M635" s="38" t="s">
        <v>852</v>
      </c>
      <c r="N635" s="172"/>
      <c r="O635" s="172"/>
      <c r="P635" s="172"/>
      <c r="Q635" s="38" t="s">
        <v>852</v>
      </c>
      <c r="R635" s="38" t="s">
        <v>852</v>
      </c>
    </row>
    <row r="636" spans="1:18" ht="15.75" customHeight="1" x14ac:dyDescent="0.3">
      <c r="A636" s="234" t="s">
        <v>2409</v>
      </c>
      <c r="B636" s="172"/>
      <c r="C636" s="172"/>
      <c r="D636" s="172"/>
      <c r="E636" s="38" t="s">
        <v>852</v>
      </c>
      <c r="F636" s="172"/>
      <c r="G636" s="172"/>
      <c r="H636" s="172"/>
      <c r="I636" s="38" t="s">
        <v>852</v>
      </c>
      <c r="J636" s="172"/>
      <c r="K636" s="172"/>
      <c r="L636" s="172"/>
      <c r="M636" s="38" t="s">
        <v>852</v>
      </c>
      <c r="N636" s="172"/>
      <c r="O636" s="172"/>
      <c r="P636" s="172"/>
      <c r="Q636" s="38" t="s">
        <v>852</v>
      </c>
      <c r="R636" s="38" t="s">
        <v>852</v>
      </c>
    </row>
    <row r="637" spans="1:18" ht="15.75" customHeight="1" thickBot="1" x14ac:dyDescent="0.35">
      <c r="A637" s="234" t="s">
        <v>2165</v>
      </c>
      <c r="B637" s="172"/>
      <c r="C637" s="172"/>
      <c r="D637" s="172"/>
      <c r="E637" s="38" t="s">
        <v>852</v>
      </c>
      <c r="F637" s="172"/>
      <c r="G637" s="172"/>
      <c r="H637" s="172"/>
      <c r="I637" s="38" t="s">
        <v>852</v>
      </c>
      <c r="J637" s="172"/>
      <c r="K637" s="172"/>
      <c r="L637" s="172"/>
      <c r="M637" s="38" t="s">
        <v>852</v>
      </c>
      <c r="N637" s="172"/>
      <c r="O637" s="172"/>
      <c r="P637" s="172"/>
      <c r="Q637" s="38" t="s">
        <v>852</v>
      </c>
      <c r="R637" s="38" t="s">
        <v>852</v>
      </c>
    </row>
    <row r="638" spans="1:18" ht="16.5" customHeight="1" thickBot="1" x14ac:dyDescent="0.35">
      <c r="A638" s="43" t="s">
        <v>1219</v>
      </c>
      <c r="B638" s="45">
        <f>SUM(B635:B637)</f>
        <v>0</v>
      </c>
      <c r="C638" s="46">
        <f>SUM(C635:C637)</f>
        <v>0</v>
      </c>
      <c r="D638" s="46">
        <f>SUM(D635:D637)</f>
        <v>0</v>
      </c>
      <c r="E638" s="37">
        <f>SUM(B638:D638)</f>
        <v>0</v>
      </c>
      <c r="F638" s="46">
        <f>SUM(F635:F637)</f>
        <v>0</v>
      </c>
      <c r="G638" s="46">
        <f>SUM(G635:G637)</f>
        <v>0</v>
      </c>
      <c r="H638" s="46">
        <f>SUM(H635:H637)</f>
        <v>0</v>
      </c>
      <c r="I638" s="37">
        <f>SUM(F638:H638)</f>
        <v>0</v>
      </c>
      <c r="J638" s="46">
        <f>SUM(J635:J637)</f>
        <v>0</v>
      </c>
      <c r="K638" s="46">
        <f>SUM(K635:K637)</f>
        <v>0</v>
      </c>
      <c r="L638" s="46">
        <f>SUM(L635:L637)</f>
        <v>0</v>
      </c>
      <c r="M638" s="37">
        <f>SUM(J638:L638)</f>
        <v>0</v>
      </c>
      <c r="N638" s="46">
        <f>SUM(N635:N637)</f>
        <v>0</v>
      </c>
      <c r="O638" s="46">
        <f>SUM(O635:O637)</f>
        <v>0</v>
      </c>
      <c r="P638" s="46">
        <f>SUM(P635:P637)</f>
        <v>0</v>
      </c>
      <c r="Q638" s="37">
        <f>SUM(N638:P638)</f>
        <v>0</v>
      </c>
      <c r="R638" s="37">
        <f>+E638+I638+M638+Q638</f>
        <v>0</v>
      </c>
    </row>
    <row r="639" spans="1:18" ht="15.75" customHeight="1" x14ac:dyDescent="0.3">
      <c r="A639" s="234" t="s">
        <v>2166</v>
      </c>
      <c r="B639" s="172"/>
      <c r="C639" s="172"/>
      <c r="D639" s="172"/>
      <c r="E639" s="38" t="s">
        <v>852</v>
      </c>
      <c r="F639" s="172"/>
      <c r="G639" s="172"/>
      <c r="H639" s="172"/>
      <c r="I639" s="38" t="s">
        <v>852</v>
      </c>
      <c r="J639" s="172"/>
      <c r="K639" s="172"/>
      <c r="L639" s="172"/>
      <c r="M639" s="38" t="s">
        <v>852</v>
      </c>
      <c r="N639" s="172"/>
      <c r="O639" s="172"/>
      <c r="P639" s="172"/>
      <c r="Q639" s="38" t="s">
        <v>852</v>
      </c>
      <c r="R639" s="38" t="s">
        <v>852</v>
      </c>
    </row>
    <row r="640" spans="1:18" ht="15.75" customHeight="1" x14ac:dyDescent="0.3">
      <c r="A640" s="234" t="s">
        <v>1245</v>
      </c>
      <c r="B640" s="172"/>
      <c r="C640" s="172"/>
      <c r="D640" s="172"/>
      <c r="E640" s="38" t="s">
        <v>852</v>
      </c>
      <c r="F640" s="172"/>
      <c r="G640" s="172"/>
      <c r="H640" s="172"/>
      <c r="I640" s="38" t="s">
        <v>852</v>
      </c>
      <c r="J640" s="172"/>
      <c r="K640" s="172"/>
      <c r="L640" s="172"/>
      <c r="M640" s="38" t="s">
        <v>852</v>
      </c>
      <c r="N640" s="172"/>
      <c r="O640" s="172"/>
      <c r="P640" s="172"/>
      <c r="Q640" s="38" t="s">
        <v>852</v>
      </c>
      <c r="R640" s="38" t="s">
        <v>852</v>
      </c>
    </row>
    <row r="641" spans="1:20" ht="15.75" customHeight="1" x14ac:dyDescent="0.3">
      <c r="A641" s="266" t="s">
        <v>641</v>
      </c>
      <c r="B641" s="172">
        <v>195</v>
      </c>
      <c r="C641" s="172">
        <v>263</v>
      </c>
      <c r="D641" s="172">
        <v>772</v>
      </c>
      <c r="E641" s="38">
        <f>SUM(B641:D641)</f>
        <v>1230</v>
      </c>
      <c r="F641" s="172">
        <v>2010</v>
      </c>
      <c r="G641" s="172">
        <v>1012</v>
      </c>
      <c r="H641" s="172">
        <v>1687</v>
      </c>
      <c r="I641" s="38">
        <f>SUM(F641:H641)</f>
        <v>4709</v>
      </c>
      <c r="J641" s="172">
        <v>1729</v>
      </c>
      <c r="K641" s="172">
        <v>1360</v>
      </c>
      <c r="L641" s="172">
        <v>833</v>
      </c>
      <c r="M641" s="38">
        <f>SUM(J641:L641)</f>
        <v>3922</v>
      </c>
      <c r="N641" s="172">
        <v>258</v>
      </c>
      <c r="O641" s="172">
        <v>243</v>
      </c>
      <c r="P641" s="172">
        <v>253</v>
      </c>
      <c r="Q641" s="38">
        <f>SUM(N641:P641)</f>
        <v>754</v>
      </c>
      <c r="R641" s="38">
        <f>+E641+I641+M641+Q641</f>
        <v>10615</v>
      </c>
      <c r="T641" t="s">
        <v>2804</v>
      </c>
    </row>
    <row r="642" spans="1:20" ht="15.75" customHeight="1" x14ac:dyDescent="0.3">
      <c r="A642" s="234" t="s">
        <v>1711</v>
      </c>
      <c r="B642" s="172"/>
      <c r="C642" s="172"/>
      <c r="D642" s="172"/>
      <c r="E642" s="38" t="s">
        <v>852</v>
      </c>
      <c r="F642" s="172"/>
      <c r="G642" s="172"/>
      <c r="H642" s="172"/>
      <c r="I642" s="38" t="s">
        <v>852</v>
      </c>
      <c r="J642" s="172"/>
      <c r="K642" s="172"/>
      <c r="L642" s="172"/>
      <c r="M642" s="38" t="s">
        <v>852</v>
      </c>
      <c r="N642" s="172"/>
      <c r="O642" s="172"/>
      <c r="P642" s="172"/>
      <c r="Q642" s="38" t="s">
        <v>852</v>
      </c>
      <c r="R642" s="38" t="s">
        <v>852</v>
      </c>
    </row>
    <row r="643" spans="1:20" ht="15.75" customHeight="1" x14ac:dyDescent="0.3">
      <c r="A643" s="539" t="s">
        <v>2699</v>
      </c>
      <c r="B643" s="172">
        <v>42</v>
      </c>
      <c r="C643" s="172">
        <v>42</v>
      </c>
      <c r="D643" s="172">
        <v>42</v>
      </c>
      <c r="E643" s="38">
        <f>SUM(B643:D643)</f>
        <v>126</v>
      </c>
      <c r="F643" s="172">
        <v>64</v>
      </c>
      <c r="G643" s="172">
        <v>64</v>
      </c>
      <c r="H643" s="172">
        <v>64</v>
      </c>
      <c r="I643" s="38">
        <f>SUM(F643:H643)</f>
        <v>192</v>
      </c>
      <c r="J643" s="172">
        <v>64</v>
      </c>
      <c r="K643" s="172">
        <v>72</v>
      </c>
      <c r="L643" s="172">
        <v>46</v>
      </c>
      <c r="M643" s="38">
        <f>SUM(J643:L643)</f>
        <v>182</v>
      </c>
      <c r="N643" s="172"/>
      <c r="O643" s="172"/>
      <c r="P643" s="172"/>
      <c r="Q643" s="38">
        <f>SUM(N643:P643)</f>
        <v>0</v>
      </c>
      <c r="R643" s="38">
        <f>+E643+I643+M643+Q643</f>
        <v>500</v>
      </c>
      <c r="T643" t="s">
        <v>2801</v>
      </c>
    </row>
    <row r="644" spans="1:20" ht="15.75" customHeight="1" x14ac:dyDescent="0.3">
      <c r="A644" s="539" t="s">
        <v>2790</v>
      </c>
      <c r="B644" s="172">
        <v>34</v>
      </c>
      <c r="C644" s="172">
        <v>42</v>
      </c>
      <c r="D644" s="172">
        <v>42</v>
      </c>
      <c r="E644" s="38">
        <f>SUM(B644:D644)</f>
        <v>118</v>
      </c>
      <c r="F644" s="172">
        <v>20</v>
      </c>
      <c r="G644" s="172">
        <v>20</v>
      </c>
      <c r="H644" s="172">
        <v>20</v>
      </c>
      <c r="I644" s="38">
        <f>SUM(F644:H644)</f>
        <v>60</v>
      </c>
      <c r="J644" s="172">
        <v>20</v>
      </c>
      <c r="K644" s="172">
        <v>12</v>
      </c>
      <c r="L644" s="172"/>
      <c r="M644" s="38">
        <f>SUM(J644:L644)</f>
        <v>32</v>
      </c>
      <c r="N644" s="172"/>
      <c r="O644" s="172"/>
      <c r="P644" s="172">
        <v>150</v>
      </c>
      <c r="Q644" s="38">
        <f>SUM(N644:P644)</f>
        <v>150</v>
      </c>
      <c r="R644" s="38">
        <f>+E644+I644+M644+Q644</f>
        <v>360</v>
      </c>
      <c r="T644" t="s">
        <v>2801</v>
      </c>
    </row>
    <row r="645" spans="1:20" ht="15.75" customHeight="1" x14ac:dyDescent="0.3">
      <c r="A645" s="539" t="s">
        <v>2701</v>
      </c>
      <c r="B645" s="172">
        <v>174</v>
      </c>
      <c r="C645" s="172">
        <v>166</v>
      </c>
      <c r="D645" s="172">
        <v>166</v>
      </c>
      <c r="E645" s="38">
        <f>SUM(B645:D645)</f>
        <v>506</v>
      </c>
      <c r="F645" s="172">
        <v>166</v>
      </c>
      <c r="G645" s="172">
        <v>166</v>
      </c>
      <c r="H645" s="172">
        <v>166</v>
      </c>
      <c r="I645" s="38">
        <f>SUM(F645:H645)</f>
        <v>498</v>
      </c>
      <c r="J645" s="172">
        <v>166</v>
      </c>
      <c r="K645" s="172">
        <v>166</v>
      </c>
      <c r="L645" s="172">
        <v>204</v>
      </c>
      <c r="M645" s="38">
        <f>SUM(J645:L645)</f>
        <v>536</v>
      </c>
      <c r="N645" s="172">
        <v>100</v>
      </c>
      <c r="O645" s="172">
        <v>210</v>
      </c>
      <c r="P645" s="172">
        <v>150</v>
      </c>
      <c r="Q645" s="38">
        <f>SUM(N645:P645)</f>
        <v>460</v>
      </c>
      <c r="R645" s="38">
        <f>+E645+I645+M645+Q645</f>
        <v>2000</v>
      </c>
      <c r="T645" t="s">
        <v>2801</v>
      </c>
    </row>
    <row r="646" spans="1:20" ht="15.75" customHeight="1" thickBot="1" x14ac:dyDescent="0.35">
      <c r="A646" s="266" t="s">
        <v>40</v>
      </c>
      <c r="B646" s="172"/>
      <c r="C646" s="172"/>
      <c r="D646" s="172"/>
      <c r="E646" s="38">
        <f>SUM(B646:D646)</f>
        <v>0</v>
      </c>
      <c r="F646" s="172"/>
      <c r="G646" s="172"/>
      <c r="H646" s="172"/>
      <c r="I646" s="38">
        <f>SUM(F646:H646)</f>
        <v>0</v>
      </c>
      <c r="J646" s="172"/>
      <c r="K646" s="172"/>
      <c r="L646" s="172"/>
      <c r="M646" s="38">
        <f>SUM(J646:L646)</f>
        <v>0</v>
      </c>
      <c r="N646" s="172"/>
      <c r="O646" s="172"/>
      <c r="P646" s="172"/>
      <c r="Q646" s="38">
        <f>SUM(N646:P646)</f>
        <v>0</v>
      </c>
      <c r="R646" s="38">
        <f>+E646+I646+M646+Q646</f>
        <v>0</v>
      </c>
      <c r="T646" t="s">
        <v>2801</v>
      </c>
    </row>
    <row r="647" spans="1:20" ht="16.5" customHeight="1" thickBot="1" x14ac:dyDescent="0.35">
      <c r="A647" s="43" t="s">
        <v>1220</v>
      </c>
      <c r="B647" s="45">
        <f>SUM(B639:B646)</f>
        <v>445</v>
      </c>
      <c r="C647" s="46">
        <f>SUM(C639:C646)</f>
        <v>513</v>
      </c>
      <c r="D647" s="46">
        <f>SUM(D639:D646)</f>
        <v>1022</v>
      </c>
      <c r="E647" s="37">
        <f>SUM(B647:D647)</f>
        <v>1980</v>
      </c>
      <c r="F647" s="46">
        <f>SUM(F639:F646)</f>
        <v>2260</v>
      </c>
      <c r="G647" s="46">
        <f>SUM(G639:G646)</f>
        <v>1262</v>
      </c>
      <c r="H647" s="46">
        <f>SUM(H639:H646)</f>
        <v>1937</v>
      </c>
      <c r="I647" s="37">
        <f>SUM(F647:H647)</f>
        <v>5459</v>
      </c>
      <c r="J647" s="46">
        <f>SUM(J639:J646)</f>
        <v>1979</v>
      </c>
      <c r="K647" s="46">
        <f>SUM(K639:K646)</f>
        <v>1610</v>
      </c>
      <c r="L647" s="46">
        <f>SUM(L639:L646)</f>
        <v>1083</v>
      </c>
      <c r="M647" s="37">
        <f>SUM(J647:L647)</f>
        <v>4672</v>
      </c>
      <c r="N647" s="46">
        <f>SUM(N639:N646)</f>
        <v>358</v>
      </c>
      <c r="O647" s="46">
        <f>SUM(O639:O646)</f>
        <v>453</v>
      </c>
      <c r="P647" s="46">
        <f>SUM(P639:P646)</f>
        <v>553</v>
      </c>
      <c r="Q647" s="37">
        <f>SUM(N647:P647)</f>
        <v>1364</v>
      </c>
      <c r="R647" s="58">
        <f>+E647+I647+M647+Q647</f>
        <v>13475</v>
      </c>
    </row>
    <row r="648" spans="1:20" ht="15.75" customHeight="1" x14ac:dyDescent="0.3">
      <c r="A648" s="234" t="s">
        <v>1712</v>
      </c>
      <c r="B648" s="172"/>
      <c r="C648" s="172"/>
      <c r="D648" s="172"/>
      <c r="E648" s="38" t="s">
        <v>852</v>
      </c>
      <c r="F648" s="172"/>
      <c r="G648" s="172"/>
      <c r="H648" s="172"/>
      <c r="I648" s="38" t="s">
        <v>852</v>
      </c>
      <c r="J648" s="172"/>
      <c r="K648" s="172"/>
      <c r="L648" s="172"/>
      <c r="M648" s="38" t="s">
        <v>852</v>
      </c>
      <c r="N648" s="172"/>
      <c r="O648" s="172"/>
      <c r="P648" s="172"/>
      <c r="Q648" s="38" t="s">
        <v>852</v>
      </c>
      <c r="R648" s="38" t="s">
        <v>852</v>
      </c>
    </row>
    <row r="649" spans="1:20" ht="15.75" customHeight="1" x14ac:dyDescent="0.3">
      <c r="A649" s="234" t="s">
        <v>1021</v>
      </c>
      <c r="B649" s="172"/>
      <c r="C649" s="172"/>
      <c r="D649" s="172"/>
      <c r="E649" s="38" t="s">
        <v>852</v>
      </c>
      <c r="F649" s="172"/>
      <c r="G649" s="172"/>
      <c r="H649" s="172"/>
      <c r="I649" s="38" t="s">
        <v>852</v>
      </c>
      <c r="J649" s="172"/>
      <c r="K649" s="172"/>
      <c r="L649" s="172"/>
      <c r="M649" s="38" t="s">
        <v>852</v>
      </c>
      <c r="N649" s="172"/>
      <c r="O649" s="172"/>
      <c r="P649" s="172"/>
      <c r="Q649" s="38" t="s">
        <v>852</v>
      </c>
      <c r="R649" s="38" t="s">
        <v>852</v>
      </c>
    </row>
    <row r="650" spans="1:20" ht="15.75" customHeight="1" x14ac:dyDescent="0.3">
      <c r="A650" s="234" t="s">
        <v>557</v>
      </c>
      <c r="B650" s="172"/>
      <c r="C650" s="172"/>
      <c r="D650" s="172"/>
      <c r="E650" s="38" t="s">
        <v>852</v>
      </c>
      <c r="F650" s="172"/>
      <c r="G650" s="172"/>
      <c r="H650" s="172"/>
      <c r="I650" s="38" t="s">
        <v>852</v>
      </c>
      <c r="J650" s="172"/>
      <c r="K650" s="172"/>
      <c r="L650" s="172"/>
      <c r="M650" s="38" t="s">
        <v>852</v>
      </c>
      <c r="N650" s="172"/>
      <c r="O650" s="172"/>
      <c r="P650" s="172"/>
      <c r="Q650" s="38" t="s">
        <v>852</v>
      </c>
      <c r="R650" s="38" t="s">
        <v>852</v>
      </c>
    </row>
    <row r="651" spans="1:20" ht="15.75" customHeight="1" x14ac:dyDescent="0.3">
      <c r="A651" s="539" t="s">
        <v>2585</v>
      </c>
      <c r="B651" s="172"/>
      <c r="C651" s="172"/>
      <c r="D651" s="172"/>
      <c r="E651" s="38">
        <f>SUM(B651:D651)</f>
        <v>0</v>
      </c>
      <c r="F651" s="172"/>
      <c r="G651" s="172"/>
      <c r="H651" s="172"/>
      <c r="I651" s="38">
        <f>SUM(F651:H651)</f>
        <v>0</v>
      </c>
      <c r="J651" s="172"/>
      <c r="K651" s="172"/>
      <c r="L651" s="172"/>
      <c r="M651" s="38">
        <f>SUM(J651:L651)</f>
        <v>0</v>
      </c>
      <c r="N651" s="172"/>
      <c r="O651" s="172"/>
      <c r="P651" s="172"/>
      <c r="Q651" s="38">
        <f>SUM(N651:P651)</f>
        <v>0</v>
      </c>
      <c r="R651" s="38">
        <f>+E651+I651+M651+Q651</f>
        <v>0</v>
      </c>
    </row>
    <row r="652" spans="1:20" ht="15.75" customHeight="1" x14ac:dyDescent="0.3">
      <c r="A652" s="539" t="s">
        <v>2586</v>
      </c>
      <c r="B652" s="172"/>
      <c r="C652" s="172"/>
      <c r="D652" s="172"/>
      <c r="E652" s="38">
        <f>SUM(B652:D652)</f>
        <v>0</v>
      </c>
      <c r="F652" s="172"/>
      <c r="G652" s="172"/>
      <c r="H652" s="172"/>
      <c r="I652" s="38">
        <f>SUM(F652:H652)</f>
        <v>0</v>
      </c>
      <c r="J652" s="172"/>
      <c r="K652" s="172"/>
      <c r="L652" s="172"/>
      <c r="M652" s="38">
        <f>SUM(J652:L652)</f>
        <v>0</v>
      </c>
      <c r="N652" s="172"/>
      <c r="O652" s="172"/>
      <c r="P652" s="172"/>
      <c r="Q652" s="38">
        <f>SUM(N652:P652)</f>
        <v>0</v>
      </c>
      <c r="R652" s="38">
        <f>+E652+I652+M652+Q652</f>
        <v>0</v>
      </c>
    </row>
    <row r="653" spans="1:20" ht="15.75" customHeight="1" x14ac:dyDescent="0.3">
      <c r="A653" s="539" t="s">
        <v>2587</v>
      </c>
      <c r="B653" s="172">
        <v>1300</v>
      </c>
      <c r="C653" s="172">
        <v>1300</v>
      </c>
      <c r="D653" s="172">
        <v>1300</v>
      </c>
      <c r="E653" s="38">
        <f>SUM(B653:D653)</f>
        <v>3900</v>
      </c>
      <c r="F653" s="172">
        <v>1300</v>
      </c>
      <c r="G653" s="172">
        <v>1300</v>
      </c>
      <c r="H653" s="172">
        <v>1300</v>
      </c>
      <c r="I653" s="38">
        <f>SUM(F653:H653)</f>
        <v>3900</v>
      </c>
      <c r="J653" s="172">
        <v>1300</v>
      </c>
      <c r="K653" s="172">
        <v>1600</v>
      </c>
      <c r="L653" s="172">
        <v>1600</v>
      </c>
      <c r="M653" s="38">
        <f>SUM(J653:L653)</f>
        <v>4500</v>
      </c>
      <c r="N653" s="172"/>
      <c r="O653" s="172">
        <v>1000</v>
      </c>
      <c r="P653" s="172">
        <v>1054</v>
      </c>
      <c r="Q653" s="38">
        <f>SUM(N653:P653)</f>
        <v>2054</v>
      </c>
      <c r="R653" s="38">
        <f>+E653+I653+M653+Q653</f>
        <v>14354</v>
      </c>
    </row>
    <row r="654" spans="1:20" ht="15.75" customHeight="1" x14ac:dyDescent="0.3">
      <c r="A654" s="539" t="s">
        <v>2588</v>
      </c>
      <c r="B654" s="172"/>
      <c r="C654" s="172"/>
      <c r="D654" s="172"/>
      <c r="E654" s="38">
        <f>SUM(B654:D654)</f>
        <v>0</v>
      </c>
      <c r="F654" s="172"/>
      <c r="G654" s="172"/>
      <c r="H654" s="172"/>
      <c r="I654" s="38">
        <f>SUM(F654:H654)</f>
        <v>0</v>
      </c>
      <c r="J654" s="172"/>
      <c r="K654" s="172"/>
      <c r="L654" s="172"/>
      <c r="M654" s="38">
        <f>SUM(J654:L654)</f>
        <v>0</v>
      </c>
      <c r="N654" s="172"/>
      <c r="O654" s="172"/>
      <c r="P654" s="172"/>
      <c r="Q654" s="38">
        <f>SUM(N654:P654)</f>
        <v>0</v>
      </c>
      <c r="R654" s="38">
        <f>+E654+I654+M654+Q654</f>
        <v>0</v>
      </c>
    </row>
    <row r="655" spans="1:20" ht="15.75" customHeight="1" x14ac:dyDescent="0.3">
      <c r="A655" s="234" t="s">
        <v>1022</v>
      </c>
      <c r="B655" s="172"/>
      <c r="C655" s="172"/>
      <c r="D655" s="172"/>
      <c r="E655" s="38" t="s">
        <v>852</v>
      </c>
      <c r="F655" s="172"/>
      <c r="G655" s="172"/>
      <c r="H655" s="172"/>
      <c r="I655" s="38" t="s">
        <v>852</v>
      </c>
      <c r="J655" s="172"/>
      <c r="K655" s="172"/>
      <c r="L655" s="172"/>
      <c r="M655" s="38" t="s">
        <v>852</v>
      </c>
      <c r="N655" s="172"/>
      <c r="O655" s="172"/>
      <c r="P655" s="172"/>
      <c r="Q655" s="38" t="s">
        <v>852</v>
      </c>
      <c r="R655" s="38" t="s">
        <v>852</v>
      </c>
    </row>
    <row r="656" spans="1:20" ht="15.75" customHeight="1" thickBot="1" x14ac:dyDescent="0.35">
      <c r="A656" s="234" t="s">
        <v>559</v>
      </c>
      <c r="B656" s="172"/>
      <c r="C656" s="172"/>
      <c r="D656" s="172"/>
      <c r="E656" s="38" t="s">
        <v>852</v>
      </c>
      <c r="F656" s="172"/>
      <c r="G656" s="172"/>
      <c r="H656" s="172"/>
      <c r="I656" s="38" t="s">
        <v>852</v>
      </c>
      <c r="J656" s="172"/>
      <c r="K656" s="172"/>
      <c r="L656" s="172"/>
      <c r="M656" s="38" t="s">
        <v>852</v>
      </c>
      <c r="N656" s="172"/>
      <c r="O656" s="172"/>
      <c r="P656" s="172"/>
      <c r="Q656" s="38" t="s">
        <v>852</v>
      </c>
      <c r="R656" s="38" t="s">
        <v>852</v>
      </c>
    </row>
    <row r="657" spans="1:18" ht="16.5" customHeight="1" thickBot="1" x14ac:dyDescent="0.35">
      <c r="A657" s="43" t="s">
        <v>1019</v>
      </c>
      <c r="B657" s="42">
        <f>SUM(B655:B656)</f>
        <v>0</v>
      </c>
      <c r="C657" s="42">
        <f>SUM(C655:C656)</f>
        <v>0</v>
      </c>
      <c r="D657" s="42">
        <f>SUM(D655:D656)</f>
        <v>0</v>
      </c>
      <c r="E657" s="39">
        <f>SUM(B657:D657)</f>
        <v>0</v>
      </c>
      <c r="F657" s="42">
        <f>SUM(F655:F656)</f>
        <v>0</v>
      </c>
      <c r="G657" s="42">
        <f>SUM(G655:G656)</f>
        <v>0</v>
      </c>
      <c r="H657" s="42">
        <f>SUM(H655:H656)</f>
        <v>0</v>
      </c>
      <c r="I657" s="39">
        <f>SUM(F657:H657)</f>
        <v>0</v>
      </c>
      <c r="J657" s="42">
        <f>SUM(J655:J656)</f>
        <v>0</v>
      </c>
      <c r="K657" s="42">
        <f>SUM(K655:K656)</f>
        <v>0</v>
      </c>
      <c r="L657" s="42">
        <f>SUM(L655:L656)</f>
        <v>0</v>
      </c>
      <c r="M657" s="39">
        <f>SUM(J657:L657)</f>
        <v>0</v>
      </c>
      <c r="N657" s="42">
        <f>SUM(N655:N656)</f>
        <v>0</v>
      </c>
      <c r="O657" s="42">
        <f>SUM(O655:O656)</f>
        <v>0</v>
      </c>
      <c r="P657" s="42">
        <f>SUM(P655:P656)</f>
        <v>0</v>
      </c>
      <c r="Q657" s="39">
        <f>SUM(N657:P657)</f>
        <v>0</v>
      </c>
      <c r="R657" s="37">
        <f>+E657+I657+M657+Q657</f>
        <v>0</v>
      </c>
    </row>
    <row r="658" spans="1:18" ht="16.5" customHeight="1" thickBot="1" x14ac:dyDescent="0.35">
      <c r="A658" s="277" t="s">
        <v>1221</v>
      </c>
      <c r="B658" s="45">
        <f>SUM(B648:B656)</f>
        <v>1300</v>
      </c>
      <c r="C658" s="46">
        <f>SUM(C648:C656)</f>
        <v>1300</v>
      </c>
      <c r="D658" s="58">
        <f>SUM(D648:D656)</f>
        <v>1300</v>
      </c>
      <c r="E658" s="39">
        <f>SUM(B658:D658)</f>
        <v>3900</v>
      </c>
      <c r="F658" s="46">
        <f>SUM(F648:F656)</f>
        <v>1300</v>
      </c>
      <c r="G658" s="46">
        <f>SUM(G648:G656)</f>
        <v>1300</v>
      </c>
      <c r="H658" s="46">
        <f>SUM(H648:H656)</f>
        <v>1300</v>
      </c>
      <c r="I658" s="39">
        <f>SUM(F658:H658)</f>
        <v>3900</v>
      </c>
      <c r="J658" s="46">
        <f>SUM(J648:J656)</f>
        <v>1300</v>
      </c>
      <c r="K658" s="46">
        <f>SUM(K648:K656)</f>
        <v>1600</v>
      </c>
      <c r="L658" s="46">
        <f>SUM(L648:L656)</f>
        <v>1600</v>
      </c>
      <c r="M658" s="39">
        <f>SUM(J658:L658)</f>
        <v>4500</v>
      </c>
      <c r="N658" s="46">
        <f>SUM(N648:N656)</f>
        <v>0</v>
      </c>
      <c r="O658" s="46">
        <f>SUM(O648:O656)</f>
        <v>1000</v>
      </c>
      <c r="P658" s="46">
        <f>SUM(P648:P656)</f>
        <v>1054</v>
      </c>
      <c r="Q658" s="39">
        <f>SUM(N658:P658)</f>
        <v>2054</v>
      </c>
      <c r="R658" s="37">
        <f>+E658+I658+M658+Q658</f>
        <v>14354</v>
      </c>
    </row>
    <row r="659" spans="1:18" ht="16.5" customHeight="1" thickBot="1" x14ac:dyDescent="0.35">
      <c r="A659" s="43" t="s">
        <v>1222</v>
      </c>
      <c r="B659" s="47">
        <f>+B634+B638+B647+B658</f>
        <v>13069</v>
      </c>
      <c r="C659" s="42">
        <f>+C634+C638+C647+C658</f>
        <v>12785</v>
      </c>
      <c r="D659" s="42">
        <f>+D634+D638+D647+D658</f>
        <v>14995</v>
      </c>
      <c r="E659" s="37">
        <f>SUM(B659:D659)</f>
        <v>40849</v>
      </c>
      <c r="F659" s="42">
        <f>+F634+F638+F647+F658</f>
        <v>15751</v>
      </c>
      <c r="G659" s="42">
        <f>+G634+G638+G647+G658</f>
        <v>15111</v>
      </c>
      <c r="H659" s="42">
        <f>+H634+H638+H647+H658</f>
        <v>13692</v>
      </c>
      <c r="I659" s="37">
        <f>SUM(F659:H659)</f>
        <v>44554</v>
      </c>
      <c r="J659" s="42">
        <f>+J634+J638+J647+J658</f>
        <v>12561</v>
      </c>
      <c r="K659" s="42">
        <f>+K634+K638+K647+K658</f>
        <v>12288</v>
      </c>
      <c r="L659" s="42">
        <f>+L634+L638+L647+L658</f>
        <v>12313</v>
      </c>
      <c r="M659" s="37">
        <f>SUM(J659:L659)</f>
        <v>37162</v>
      </c>
      <c r="N659" s="42">
        <f>+N634+N638+N647+N658</f>
        <v>8045</v>
      </c>
      <c r="O659" s="42">
        <f>+O634+O638+O647+O658</f>
        <v>6099</v>
      </c>
      <c r="P659" s="42">
        <f>+P634+P638+P647+P658</f>
        <v>10183</v>
      </c>
      <c r="Q659" s="37">
        <f>SUM(N659:P659)</f>
        <v>24327</v>
      </c>
      <c r="R659" s="40">
        <f>+E659+I659+M659+Q659</f>
        <v>146892</v>
      </c>
    </row>
    <row r="660" spans="1:18" ht="16.5" customHeight="1" thickBot="1" x14ac:dyDescent="0.35">
      <c r="A660" s="250" t="s">
        <v>853</v>
      </c>
      <c r="B660" s="238">
        <v>22</v>
      </c>
      <c r="C660" s="238">
        <v>24</v>
      </c>
      <c r="D660" s="238">
        <v>31</v>
      </c>
      <c r="E660" s="37">
        <f>SUM(B660:D660)</f>
        <v>77</v>
      </c>
      <c r="F660" s="238">
        <v>40</v>
      </c>
      <c r="G660" s="238">
        <v>45</v>
      </c>
      <c r="H660" s="238">
        <v>48</v>
      </c>
      <c r="I660" s="37">
        <f>SUM(F660:H660)</f>
        <v>133</v>
      </c>
      <c r="J660" s="238">
        <v>42</v>
      </c>
      <c r="K660" s="238">
        <v>39</v>
      </c>
      <c r="L660" s="238">
        <v>38</v>
      </c>
      <c r="M660" s="37">
        <f>SUM(J660:L660)</f>
        <v>119</v>
      </c>
      <c r="N660" s="238">
        <v>32</v>
      </c>
      <c r="O660" s="238">
        <v>25</v>
      </c>
      <c r="P660" s="238">
        <v>21</v>
      </c>
      <c r="Q660" s="37">
        <f>SUM(N660:P660)</f>
        <v>78</v>
      </c>
      <c r="R660" s="39">
        <f>+E660+I660+M660+Q660</f>
        <v>407</v>
      </c>
    </row>
    <row r="661" spans="1:18" ht="16.5" customHeight="1" thickBot="1" x14ac:dyDescent="0.35">
      <c r="A661" s="22"/>
      <c r="B661" s="242"/>
      <c r="C661" s="242"/>
      <c r="D661" s="242"/>
      <c r="E661" s="233"/>
      <c r="F661" s="242"/>
      <c r="G661" s="242"/>
      <c r="H661" s="242"/>
      <c r="I661" s="233"/>
      <c r="J661" s="242"/>
      <c r="K661" s="242"/>
      <c r="L661" s="242"/>
      <c r="M661" s="233"/>
      <c r="N661" s="242"/>
      <c r="O661" s="242"/>
      <c r="P661" s="242"/>
      <c r="Q661" s="233"/>
      <c r="R661" s="21"/>
    </row>
    <row r="662" spans="1:18" ht="15.75" customHeight="1" x14ac:dyDescent="0.3">
      <c r="A662" s="234" t="s">
        <v>120</v>
      </c>
      <c r="B662" s="172">
        <f>+SUM(B659:B660)</f>
        <v>13091</v>
      </c>
      <c r="C662" s="172">
        <f>+SUM(C659:C660)</f>
        <v>12809</v>
      </c>
      <c r="D662" s="172">
        <f>+SUM(D659:D660)</f>
        <v>15026</v>
      </c>
      <c r="E662" s="39">
        <f>SUM(B662:D662)</f>
        <v>40926</v>
      </c>
      <c r="F662" s="172">
        <f>+SUM(F659:F660)</f>
        <v>15791</v>
      </c>
      <c r="G662" s="172">
        <f>+SUM(G659:G660)</f>
        <v>15156</v>
      </c>
      <c r="H662" s="172">
        <f>+SUM(H659:H660)</f>
        <v>13740</v>
      </c>
      <c r="I662" s="39">
        <f>SUM(F662:H662)</f>
        <v>44687</v>
      </c>
      <c r="J662" s="172">
        <f>+SUM(J659:J660)</f>
        <v>12603</v>
      </c>
      <c r="K662" s="172">
        <f>+SUM(K659:K660)</f>
        <v>12327</v>
      </c>
      <c r="L662" s="172">
        <f>+SUM(L659:L660)</f>
        <v>12351</v>
      </c>
      <c r="M662" s="39">
        <f>SUM(J662:L662)</f>
        <v>37281</v>
      </c>
      <c r="N662" s="172">
        <f>+SUM(N659:N660)</f>
        <v>8077</v>
      </c>
      <c r="O662" s="172">
        <f>+SUM(O659:O660)</f>
        <v>6124</v>
      </c>
      <c r="P662" s="172">
        <f>+SUM(P659:P660)</f>
        <v>10204</v>
      </c>
      <c r="Q662" s="39">
        <f>SUM(N662:P662)</f>
        <v>24405</v>
      </c>
      <c r="R662" s="39">
        <f>+E662+I662+M662+Q662</f>
        <v>147299</v>
      </c>
    </row>
    <row r="663" spans="1:18" ht="15.75" customHeight="1" x14ac:dyDescent="0.3">
      <c r="A663" s="234" t="s">
        <v>1897</v>
      </c>
      <c r="B663" s="172">
        <f>(B662/B10)/1.983</f>
        <v>212.9552811803556</v>
      </c>
      <c r="C663" s="172">
        <f>(C662/C10)/1.983</f>
        <v>230.69303364310929</v>
      </c>
      <c r="D663" s="172">
        <f>(D662/D10)/1.983</f>
        <v>244.43251508792477</v>
      </c>
      <c r="E663" s="38" t="s">
        <v>852</v>
      </c>
      <c r="F663" s="172">
        <f>(F662/F10)/1.983</f>
        <v>265.43956967557574</v>
      </c>
      <c r="G663" s="172">
        <f>(G662/G10)/1.983</f>
        <v>246.54726465277437</v>
      </c>
      <c r="H663" s="172">
        <f>(H662/H10)/1.983</f>
        <v>230.96318709026727</v>
      </c>
      <c r="I663" s="38" t="s">
        <v>852</v>
      </c>
      <c r="J663" s="172">
        <f>(J662/J10)/1.983</f>
        <v>205.01683665999707</v>
      </c>
      <c r="K663" s="172">
        <f>(K662/K10)/1.983</f>
        <v>200.52706066077789</v>
      </c>
      <c r="L663" s="172">
        <f>(L662/L10)/1.983</f>
        <v>207.61472516389307</v>
      </c>
      <c r="M663" s="38" t="s">
        <v>852</v>
      </c>
      <c r="N663" s="172">
        <f>(N662/N10)/1.983</f>
        <v>131.39101719454069</v>
      </c>
      <c r="O663" s="172">
        <f>(O662/O10)/1.983</f>
        <v>102.94167086905361</v>
      </c>
      <c r="P663" s="172">
        <f>(P662/P10)/1.983</f>
        <v>165.99157353634931</v>
      </c>
      <c r="Q663" s="38" t="s">
        <v>852</v>
      </c>
      <c r="R663" s="38" t="s">
        <v>852</v>
      </c>
    </row>
    <row r="664" spans="1:18" ht="15.75" customHeight="1" x14ac:dyDescent="0.3">
      <c r="A664" s="234" t="s">
        <v>2390</v>
      </c>
      <c r="B664" s="172">
        <f>B662+B674</f>
        <v>14258</v>
      </c>
      <c r="C664" s="172">
        <f>C662+C674</f>
        <v>16565</v>
      </c>
      <c r="D664" s="172">
        <f>D662+D674</f>
        <v>19254</v>
      </c>
      <c r="E664" s="38">
        <f>SUM(B664:D664)</f>
        <v>50077</v>
      </c>
      <c r="F664" s="172">
        <f>F662+F674</f>
        <v>19870</v>
      </c>
      <c r="G664" s="172">
        <f>G662+G674</f>
        <v>18630</v>
      </c>
      <c r="H664" s="172">
        <f>H662+H674</f>
        <v>18705</v>
      </c>
      <c r="I664" s="38">
        <f>SUM(F664:H664)</f>
        <v>57205</v>
      </c>
      <c r="J664" s="172">
        <f>J662+J674</f>
        <v>16329</v>
      </c>
      <c r="K664" s="172">
        <f>K662+K674</f>
        <v>16563</v>
      </c>
      <c r="L664" s="172">
        <f>L662+L674</f>
        <v>15443</v>
      </c>
      <c r="M664" s="38">
        <f>SUM(J664:L664)</f>
        <v>48335</v>
      </c>
      <c r="N664" s="172">
        <f>N662+N674</f>
        <v>11320</v>
      </c>
      <c r="O664" s="172">
        <f>O662+O674</f>
        <v>6546</v>
      </c>
      <c r="P664" s="172">
        <f>P662+P674</f>
        <v>11342</v>
      </c>
      <c r="Q664" s="38">
        <f>SUM(N664:P664)</f>
        <v>29208</v>
      </c>
      <c r="R664" s="38">
        <f>+E664+I664+M664+Q664</f>
        <v>184825</v>
      </c>
    </row>
    <row r="665" spans="1:18" ht="16.5" customHeight="1" thickBot="1" x14ac:dyDescent="0.35">
      <c r="A665" s="237" t="s">
        <v>1716</v>
      </c>
      <c r="B665" s="238">
        <f>(B664/B10)/1.983</f>
        <v>231.93922535096709</v>
      </c>
      <c r="C665" s="238">
        <f>(C664/C10)/1.983</f>
        <v>298.33945681146889</v>
      </c>
      <c r="D665" s="238">
        <f>(D664/D10)/1.983</f>
        <v>313.21067785857207</v>
      </c>
      <c r="E665" s="40" t="s">
        <v>852</v>
      </c>
      <c r="F665" s="238">
        <f>(F664/F10)/1.983</f>
        <v>334.00571524625985</v>
      </c>
      <c r="G665" s="238">
        <f>(G664/G10)/1.983</f>
        <v>303.05987994729395</v>
      </c>
      <c r="H665" s="238">
        <f>(H664/H10)/1.983</f>
        <v>314.42259203227434</v>
      </c>
      <c r="I665" s="40" t="s">
        <v>852</v>
      </c>
      <c r="J665" s="238">
        <f>(J664/J10)/1.983</f>
        <v>265.62881264945582</v>
      </c>
      <c r="K665" s="238">
        <f>(K664/K10)/1.983</f>
        <v>269.43536186618513</v>
      </c>
      <c r="L665" s="238">
        <f>(L664/L10)/1.983</f>
        <v>259.58984703311478</v>
      </c>
      <c r="M665" s="40" t="s">
        <v>852</v>
      </c>
      <c r="N665" s="238">
        <f>(N664/N10)/1.983</f>
        <v>184.14588518536593</v>
      </c>
      <c r="O665" s="238">
        <f>(O664/O10)/1.983</f>
        <v>110.03530005042863</v>
      </c>
      <c r="P665" s="238">
        <f>(P664/P10)/1.983</f>
        <v>184.50376588095585</v>
      </c>
      <c r="Q665" s="40" t="s">
        <v>852</v>
      </c>
      <c r="R665" s="40" t="s">
        <v>852</v>
      </c>
    </row>
    <row r="666" spans="1:18" ht="15.75" customHeight="1" x14ac:dyDescent="0.3">
      <c r="A666" s="17"/>
      <c r="B666" s="172"/>
      <c r="C666" s="172"/>
      <c r="D666" s="172"/>
      <c r="E666" s="172"/>
      <c r="F666" s="172"/>
      <c r="G666" s="172"/>
      <c r="H666" s="172"/>
      <c r="I666" s="172"/>
      <c r="J666" s="172"/>
      <c r="K666" s="172"/>
      <c r="L666" s="172"/>
      <c r="M666" s="172"/>
      <c r="N666" s="172"/>
      <c r="O666" s="172"/>
      <c r="P666" s="172"/>
      <c r="Q666" s="172"/>
      <c r="R666" s="17"/>
    </row>
    <row r="667" spans="1:18" ht="15.75" customHeight="1" thickBot="1" x14ac:dyDescent="0.35">
      <c r="A667" s="17"/>
      <c r="B667" s="172"/>
      <c r="C667" s="172"/>
      <c r="D667" s="172"/>
      <c r="E667" s="172"/>
      <c r="F667" s="172"/>
      <c r="G667" s="172"/>
      <c r="H667" s="172"/>
      <c r="I667" s="172"/>
      <c r="J667" s="172"/>
      <c r="K667" s="172"/>
      <c r="L667" s="172"/>
      <c r="M667" s="172"/>
      <c r="N667" s="172"/>
      <c r="O667" s="172"/>
      <c r="P667" s="172"/>
      <c r="Q667" s="172"/>
      <c r="R667" s="17"/>
    </row>
    <row r="668" spans="1:18" ht="16.5" customHeight="1" thickBot="1" x14ac:dyDescent="0.35">
      <c r="A668" s="278" t="s">
        <v>374</v>
      </c>
      <c r="B668" s="4" t="s">
        <v>2090</v>
      </c>
      <c r="C668" s="5" t="s">
        <v>2091</v>
      </c>
      <c r="D668" s="5" t="s">
        <v>2234</v>
      </c>
      <c r="E668" s="33" t="s">
        <v>1594</v>
      </c>
      <c r="F668" s="5" t="s">
        <v>2235</v>
      </c>
      <c r="G668" s="5" t="s">
        <v>2236</v>
      </c>
      <c r="H668" s="5" t="s">
        <v>2237</v>
      </c>
      <c r="I668" s="35" t="s">
        <v>1595</v>
      </c>
      <c r="J668" s="5" t="s">
        <v>1504</v>
      </c>
      <c r="K668" s="5" t="s">
        <v>1505</v>
      </c>
      <c r="L668" s="5" t="s">
        <v>1506</v>
      </c>
      <c r="M668" s="35" t="s">
        <v>1596</v>
      </c>
      <c r="N668" s="5" t="s">
        <v>1507</v>
      </c>
      <c r="O668" s="5" t="s">
        <v>1508</v>
      </c>
      <c r="P668" s="5" t="s">
        <v>1509</v>
      </c>
      <c r="Q668" s="35" t="s">
        <v>1597</v>
      </c>
      <c r="R668" s="36" t="s">
        <v>1510</v>
      </c>
    </row>
    <row r="669" spans="1:18" ht="16.5" customHeight="1" thickBot="1" x14ac:dyDescent="0.35">
      <c r="A669" s="22"/>
      <c r="B669" s="242"/>
      <c r="C669" s="242"/>
      <c r="D669" s="242"/>
      <c r="E669" s="243"/>
      <c r="F669" s="242"/>
      <c r="G669" s="242"/>
      <c r="H669" s="242"/>
      <c r="I669" s="243"/>
      <c r="J669" s="242"/>
      <c r="K669" s="242"/>
      <c r="L669" s="242"/>
      <c r="M669" s="243"/>
      <c r="N669" s="242"/>
      <c r="O669" s="242"/>
      <c r="P669" s="242"/>
      <c r="Q669" s="243"/>
      <c r="R669" s="22"/>
    </row>
    <row r="670" spans="1:18" ht="16.5" customHeight="1" thickBot="1" x14ac:dyDescent="0.35">
      <c r="A670" s="244" t="s">
        <v>853</v>
      </c>
      <c r="B670" s="238">
        <v>2</v>
      </c>
      <c r="C670" s="238">
        <v>3</v>
      </c>
      <c r="D670" s="238">
        <v>5</v>
      </c>
      <c r="E670" s="38">
        <f>SUM(B670:D670)</f>
        <v>10</v>
      </c>
      <c r="F670" s="238">
        <v>7</v>
      </c>
      <c r="G670" s="238">
        <v>8</v>
      </c>
      <c r="H670" s="238">
        <v>9</v>
      </c>
      <c r="I670" s="38">
        <f>SUM(F670:H670)</f>
        <v>24</v>
      </c>
      <c r="J670" s="238">
        <v>7</v>
      </c>
      <c r="K670" s="238">
        <v>6</v>
      </c>
      <c r="L670" s="238">
        <v>6</v>
      </c>
      <c r="M670" s="38">
        <f>SUM(J670:L670)</f>
        <v>19</v>
      </c>
      <c r="N670" s="238">
        <v>5</v>
      </c>
      <c r="O670" s="238">
        <v>3</v>
      </c>
      <c r="P670" s="238">
        <v>2</v>
      </c>
      <c r="Q670" s="38">
        <f>SUM(N670:P670)</f>
        <v>10</v>
      </c>
      <c r="R670" s="39">
        <f>+E670+I670+M670+Q670</f>
        <v>63</v>
      </c>
    </row>
    <row r="671" spans="1:18" ht="16.5" customHeight="1" thickBot="1" x14ac:dyDescent="0.35">
      <c r="A671" s="22"/>
      <c r="B671" s="242"/>
      <c r="C671" s="242"/>
      <c r="D671" s="242"/>
      <c r="E671" s="233"/>
      <c r="F671" s="242"/>
      <c r="G671" s="242"/>
      <c r="H671" s="242"/>
      <c r="I671" s="233"/>
      <c r="J671" s="242"/>
      <c r="K671" s="242"/>
      <c r="L671" s="242"/>
      <c r="M671" s="233"/>
      <c r="N671" s="242"/>
      <c r="O671" s="242"/>
      <c r="P671" s="242"/>
      <c r="Q671" s="233"/>
      <c r="R671" s="21"/>
    </row>
    <row r="672" spans="1:18" ht="15.75" customHeight="1" x14ac:dyDescent="0.3">
      <c r="A672" s="234" t="s">
        <v>120</v>
      </c>
      <c r="B672" s="172">
        <f>B670</f>
        <v>2</v>
      </c>
      <c r="C672" s="172">
        <f>C670</f>
        <v>3</v>
      </c>
      <c r="D672" s="172">
        <f>D670</f>
        <v>5</v>
      </c>
      <c r="E672" s="39">
        <f>SUM(B672:D672)</f>
        <v>10</v>
      </c>
      <c r="F672" s="172">
        <f>F670</f>
        <v>7</v>
      </c>
      <c r="G672" s="172">
        <f>G670</f>
        <v>8</v>
      </c>
      <c r="H672" s="172">
        <f>H670</f>
        <v>9</v>
      </c>
      <c r="I672" s="39">
        <f>SUM(F672:H672)</f>
        <v>24</v>
      </c>
      <c r="J672" s="172">
        <f>J670</f>
        <v>7</v>
      </c>
      <c r="K672" s="172">
        <f>K670</f>
        <v>6</v>
      </c>
      <c r="L672" s="172">
        <f>L670</f>
        <v>6</v>
      </c>
      <c r="M672" s="39">
        <f>SUM(J672:L672)</f>
        <v>19</v>
      </c>
      <c r="N672" s="172">
        <f>N670</f>
        <v>5</v>
      </c>
      <c r="O672" s="172">
        <f>O670</f>
        <v>3</v>
      </c>
      <c r="P672" s="172">
        <f>P670</f>
        <v>2</v>
      </c>
      <c r="Q672" s="39">
        <f>SUM(N672:P672)</f>
        <v>10</v>
      </c>
      <c r="R672" s="39">
        <f>+E672+I672+M672+Q672</f>
        <v>63</v>
      </c>
    </row>
    <row r="673" spans="1:18" ht="15.75" customHeight="1" x14ac:dyDescent="0.3">
      <c r="A673" s="234" t="s">
        <v>1897</v>
      </c>
      <c r="B673" s="172">
        <f>(B672/B10)/1.983</f>
        <v>3.2534608689993978E-2</v>
      </c>
      <c r="C673" s="172">
        <f>(C672/C10)/1.983</f>
        <v>5.403068943159714E-2</v>
      </c>
      <c r="D673" s="172">
        <f>(D672/D10)/1.983</f>
        <v>8.1336521724984942E-2</v>
      </c>
      <c r="E673" s="38" t="s">
        <v>852</v>
      </c>
      <c r="F673" s="172">
        <f>(F672/F10)/1.983</f>
        <v>0.1176668347621449</v>
      </c>
      <c r="G673" s="172">
        <f>(G672/G10)/1.983</f>
        <v>0.13013843475997591</v>
      </c>
      <c r="H673" s="172">
        <f>(H672/H10)/1.983</f>
        <v>0.15128593040847199</v>
      </c>
      <c r="I673" s="38" t="s">
        <v>852</v>
      </c>
      <c r="J673" s="172">
        <f>(J672/J10)/1.983</f>
        <v>0.11387113041497893</v>
      </c>
      <c r="K673" s="172">
        <f>(K672/K10)/1.983</f>
        <v>9.7603826069981942E-2</v>
      </c>
      <c r="L673" s="172">
        <f>(L672/L10)/1.983</f>
        <v>0.10085728693898134</v>
      </c>
      <c r="M673" s="38" t="s">
        <v>852</v>
      </c>
      <c r="N673" s="172">
        <f>(N672/N10)/1.983</f>
        <v>8.1336521724984942E-2</v>
      </c>
      <c r="O673" s="172">
        <f>(O672/O10)/1.983</f>
        <v>5.0428643469490671E-2</v>
      </c>
      <c r="P673" s="172">
        <f>(P672/P10)/1.983</f>
        <v>3.2534608689993978E-2</v>
      </c>
      <c r="Q673" s="38" t="s">
        <v>852</v>
      </c>
      <c r="R673" s="38" t="s">
        <v>852</v>
      </c>
    </row>
    <row r="674" spans="1:18" ht="15.75" customHeight="1" x14ac:dyDescent="0.3">
      <c r="A674" s="234" t="s">
        <v>585</v>
      </c>
      <c r="B674" s="172">
        <f>B672+B708+B756-B703</f>
        <v>1167</v>
      </c>
      <c r="C674" s="172">
        <f>C672+C708+C756-C703</f>
        <v>3756</v>
      </c>
      <c r="D674" s="172">
        <f>D672+D708+D756-D703</f>
        <v>4228</v>
      </c>
      <c r="E674" s="38">
        <f>SUM(B674:D674)</f>
        <v>9151</v>
      </c>
      <c r="F674" s="172">
        <f>F672+F708+F756-F703</f>
        <v>4079</v>
      </c>
      <c r="G674" s="172">
        <f>G672+G708+G756-G703</f>
        <v>3474</v>
      </c>
      <c r="H674" s="172">
        <f>H672+H708+H756-H703</f>
        <v>4965</v>
      </c>
      <c r="I674" s="38">
        <f>SUM(F674:H674)</f>
        <v>12518</v>
      </c>
      <c r="J674" s="172">
        <f>J672+J708+J756-J703</f>
        <v>3726</v>
      </c>
      <c r="K674" s="172">
        <f>K672+K708+K756-K703</f>
        <v>4236</v>
      </c>
      <c r="L674" s="172">
        <f>L672+L708+L756-L703</f>
        <v>3092</v>
      </c>
      <c r="M674" s="38">
        <f>SUM(J674:L674)</f>
        <v>11054</v>
      </c>
      <c r="N674" s="172">
        <f>N672+N708+N756-N703</f>
        <v>3243</v>
      </c>
      <c r="O674" s="172">
        <f>O672+O708+O756-O703</f>
        <v>422</v>
      </c>
      <c r="P674" s="172">
        <f>P672+P708+P756-P703</f>
        <v>1138</v>
      </c>
      <c r="Q674" s="38">
        <f>SUM(N674:P674)</f>
        <v>4803</v>
      </c>
      <c r="R674" s="38">
        <f>+E674+I674+M674+Q674</f>
        <v>37526</v>
      </c>
    </row>
    <row r="675" spans="1:18" ht="16.5" customHeight="1" thickBot="1" x14ac:dyDescent="0.35">
      <c r="A675" s="237" t="s">
        <v>57</v>
      </c>
      <c r="B675" s="238">
        <f>(B674/B10)/1.983</f>
        <v>18.983944170611487</v>
      </c>
      <c r="C675" s="238">
        <f>(C674/C10)/1.983</f>
        <v>67.646423168359618</v>
      </c>
      <c r="D675" s="238">
        <f>(D674/D10)/1.983</f>
        <v>68.77816277064727</v>
      </c>
      <c r="E675" s="40" t="s">
        <v>852</v>
      </c>
      <c r="F675" s="238">
        <f>(F674/F10)/1.983</f>
        <v>68.566145570684142</v>
      </c>
      <c r="G675" s="238">
        <f>(G674/G10)/1.983</f>
        <v>56.512615294519541</v>
      </c>
      <c r="H675" s="238">
        <f>(H674/H10)/1.983</f>
        <v>83.459404942007055</v>
      </c>
      <c r="I675" s="40" t="s">
        <v>852</v>
      </c>
      <c r="J675" s="238">
        <f>(J674/J10)/1.983</f>
        <v>60.611975989458784</v>
      </c>
      <c r="K675" s="238">
        <f>(K674/K10)/1.983</f>
        <v>68.908301205407255</v>
      </c>
      <c r="L675" s="238">
        <f>(L674/L10)/1.983</f>
        <v>51.975121869221717</v>
      </c>
      <c r="M675" s="40" t="s">
        <v>852</v>
      </c>
      <c r="N675" s="238">
        <f>(N674/N10)/1.983</f>
        <v>52.75486799082524</v>
      </c>
      <c r="O675" s="238">
        <f>(O674/O10)/1.983</f>
        <v>7.0936291813750207</v>
      </c>
      <c r="P675" s="238">
        <f>(P674/P10)/1.983</f>
        <v>18.512192344606575</v>
      </c>
      <c r="Q675" s="40" t="s">
        <v>852</v>
      </c>
      <c r="R675" s="40" t="s">
        <v>852</v>
      </c>
    </row>
    <row r="676" spans="1:18" ht="15.75" customHeight="1" x14ac:dyDescent="0.3">
      <c r="A676" s="17"/>
      <c r="B676" s="172"/>
      <c r="C676" s="172"/>
      <c r="D676" s="172"/>
      <c r="E676" s="172"/>
      <c r="F676" s="172"/>
      <c r="G676" s="172"/>
      <c r="H676" s="172"/>
      <c r="I676" s="172"/>
      <c r="J676" s="172"/>
      <c r="K676" s="172"/>
      <c r="L676" s="172"/>
      <c r="M676" s="172"/>
      <c r="N676" s="172"/>
      <c r="O676" s="172"/>
      <c r="P676" s="172"/>
      <c r="Q676" s="172"/>
      <c r="R676" s="17"/>
    </row>
    <row r="677" spans="1:18" ht="15.75" customHeight="1" thickBot="1" x14ac:dyDescent="0.35">
      <c r="A677" s="17"/>
      <c r="B677" s="172"/>
      <c r="C677" s="172"/>
      <c r="D677" s="172"/>
      <c r="E677" s="172"/>
      <c r="F677" s="172"/>
      <c r="G677" s="172"/>
      <c r="H677" s="172"/>
      <c r="I677" s="172"/>
      <c r="J677" s="172"/>
      <c r="K677" s="172"/>
      <c r="L677" s="172"/>
      <c r="M677" s="172"/>
      <c r="N677" s="172"/>
      <c r="O677" s="172"/>
      <c r="P677" s="172"/>
      <c r="Q677" s="172"/>
      <c r="R677" s="17"/>
    </row>
    <row r="678" spans="1:18" ht="16.5" customHeight="1" thickBot="1" x14ac:dyDescent="0.35">
      <c r="A678" s="278" t="s">
        <v>1709</v>
      </c>
      <c r="B678" s="4" t="s">
        <v>2090</v>
      </c>
      <c r="C678" s="5" t="s">
        <v>2091</v>
      </c>
      <c r="D678" s="5" t="s">
        <v>2234</v>
      </c>
      <c r="E678" s="35" t="s">
        <v>1594</v>
      </c>
      <c r="F678" s="5" t="s">
        <v>2235</v>
      </c>
      <c r="G678" s="5" t="s">
        <v>2236</v>
      </c>
      <c r="H678" s="5" t="s">
        <v>2237</v>
      </c>
      <c r="I678" s="35" t="s">
        <v>1595</v>
      </c>
      <c r="J678" s="5" t="s">
        <v>1504</v>
      </c>
      <c r="K678" s="5" t="s">
        <v>1505</v>
      </c>
      <c r="L678" s="5" t="s">
        <v>1506</v>
      </c>
      <c r="M678" s="35" t="s">
        <v>1596</v>
      </c>
      <c r="N678" s="5" t="s">
        <v>1507</v>
      </c>
      <c r="O678" s="5" t="s">
        <v>1508</v>
      </c>
      <c r="P678" s="5" t="s">
        <v>1509</v>
      </c>
      <c r="Q678" s="35" t="s">
        <v>1597</v>
      </c>
      <c r="R678" s="59" t="s">
        <v>1510</v>
      </c>
    </row>
    <row r="679" spans="1:18" ht="16.5" customHeight="1" thickBot="1" x14ac:dyDescent="0.35">
      <c r="A679" s="22"/>
      <c r="B679" s="242"/>
      <c r="C679" s="242"/>
      <c r="D679" s="242"/>
      <c r="E679" s="282"/>
      <c r="F679" s="242"/>
      <c r="G679" s="242"/>
      <c r="H679" s="242"/>
      <c r="I679" s="282"/>
      <c r="J679" s="242"/>
      <c r="K679" s="242"/>
      <c r="L679" s="242"/>
      <c r="M679" s="282"/>
      <c r="N679" s="242"/>
      <c r="O679" s="242"/>
      <c r="P679" s="242"/>
      <c r="Q679" s="282"/>
      <c r="R679" s="19"/>
    </row>
    <row r="680" spans="1:18" ht="15.75" customHeight="1" x14ac:dyDescent="0.3">
      <c r="A680" s="234" t="s">
        <v>2417</v>
      </c>
      <c r="B680" s="172" t="s">
        <v>852</v>
      </c>
      <c r="C680" s="172" t="s">
        <v>852</v>
      </c>
      <c r="D680" s="172" t="s">
        <v>852</v>
      </c>
      <c r="E680" s="38" t="s">
        <v>852</v>
      </c>
      <c r="F680" s="172" t="s">
        <v>852</v>
      </c>
      <c r="G680" s="172" t="s">
        <v>852</v>
      </c>
      <c r="H680" s="172" t="s">
        <v>852</v>
      </c>
      <c r="I680" s="38" t="s">
        <v>852</v>
      </c>
      <c r="J680" s="172" t="s">
        <v>852</v>
      </c>
      <c r="K680" s="172" t="s">
        <v>852</v>
      </c>
      <c r="L680" s="172" t="s">
        <v>852</v>
      </c>
      <c r="M680" s="38" t="s">
        <v>852</v>
      </c>
      <c r="N680" s="172" t="s">
        <v>852</v>
      </c>
      <c r="O680" s="172" t="s">
        <v>852</v>
      </c>
      <c r="P680" s="172" t="s">
        <v>852</v>
      </c>
      <c r="Q680" s="38" t="s">
        <v>852</v>
      </c>
      <c r="R680" s="38" t="s">
        <v>852</v>
      </c>
    </row>
    <row r="681" spans="1:18" ht="15.75" customHeight="1" x14ac:dyDescent="0.3">
      <c r="A681" s="234" t="s">
        <v>2160</v>
      </c>
      <c r="B681" s="172"/>
      <c r="C681" s="172"/>
      <c r="D681" s="172"/>
      <c r="E681" s="38" t="s">
        <v>852</v>
      </c>
      <c r="F681" s="172"/>
      <c r="G681" s="172"/>
      <c r="H681" s="172"/>
      <c r="I681" s="38" t="s">
        <v>852</v>
      </c>
      <c r="J681" s="172"/>
      <c r="K681" s="172"/>
      <c r="L681" s="172"/>
      <c r="M681" s="38" t="s">
        <v>852</v>
      </c>
      <c r="N681" s="172"/>
      <c r="O681" s="172"/>
      <c r="P681" s="172"/>
      <c r="Q681" s="38" t="s">
        <v>852</v>
      </c>
      <c r="R681" s="38" t="s">
        <v>852</v>
      </c>
    </row>
    <row r="682" spans="1:18" ht="15.75" customHeight="1" x14ac:dyDescent="0.3">
      <c r="A682" s="266" t="s">
        <v>573</v>
      </c>
      <c r="B682" s="172"/>
      <c r="C682" s="172"/>
      <c r="D682" s="172">
        <v>55</v>
      </c>
      <c r="E682" s="38">
        <f>SUM(B682:D682)</f>
        <v>55</v>
      </c>
      <c r="F682" s="172"/>
      <c r="G682" s="172"/>
      <c r="H682" s="172">
        <v>59</v>
      </c>
      <c r="I682" s="38">
        <f>SUM(F682:H682)</f>
        <v>59</v>
      </c>
      <c r="J682" s="172"/>
      <c r="K682" s="172"/>
      <c r="L682" s="172"/>
      <c r="M682" s="38">
        <f>SUM(J682:L682)</f>
        <v>0</v>
      </c>
      <c r="N682" s="172">
        <v>22</v>
      </c>
      <c r="O682" s="172"/>
      <c r="P682" s="172"/>
      <c r="Q682" s="38">
        <f>SUM(N682:P682)</f>
        <v>22</v>
      </c>
      <c r="R682" s="38">
        <f>+E682+I682+M682+Q682</f>
        <v>136</v>
      </c>
    </row>
    <row r="683" spans="1:18" ht="15.75" customHeight="1" x14ac:dyDescent="0.3">
      <c r="A683" s="234" t="s">
        <v>2161</v>
      </c>
      <c r="B683" s="172"/>
      <c r="C683" s="172"/>
      <c r="D683" s="172"/>
      <c r="E683" s="38" t="s">
        <v>852</v>
      </c>
      <c r="F683" s="172"/>
      <c r="G683" s="172"/>
      <c r="H683" s="172"/>
      <c r="I683" s="38" t="s">
        <v>852</v>
      </c>
      <c r="J683" s="172"/>
      <c r="K683" s="172"/>
      <c r="L683" s="172"/>
      <c r="M683" s="38" t="s">
        <v>852</v>
      </c>
      <c r="N683" s="172"/>
      <c r="O683" s="172"/>
      <c r="P683" s="172"/>
      <c r="Q683" s="38" t="s">
        <v>852</v>
      </c>
      <c r="R683" s="38" t="s">
        <v>852</v>
      </c>
    </row>
    <row r="684" spans="1:18" ht="15.75" customHeight="1" x14ac:dyDescent="0.3">
      <c r="A684" s="234" t="s">
        <v>2162</v>
      </c>
      <c r="B684" s="172"/>
      <c r="C684" s="172"/>
      <c r="D684" s="172"/>
      <c r="E684" s="38" t="s">
        <v>852</v>
      </c>
      <c r="F684" s="172"/>
      <c r="G684" s="172"/>
      <c r="H684" s="172"/>
      <c r="I684" s="38" t="s">
        <v>852</v>
      </c>
      <c r="J684" s="172"/>
      <c r="K684" s="172"/>
      <c r="L684" s="172"/>
      <c r="M684" s="38" t="s">
        <v>852</v>
      </c>
      <c r="N684" s="172"/>
      <c r="O684" s="172"/>
      <c r="P684" s="172"/>
      <c r="Q684" s="38" t="s">
        <v>852</v>
      </c>
      <c r="R684" s="38" t="s">
        <v>852</v>
      </c>
    </row>
    <row r="685" spans="1:18" ht="15.75" customHeight="1" thickBot="1" x14ac:dyDescent="0.35">
      <c r="A685" s="234" t="s">
        <v>2164</v>
      </c>
      <c r="B685" s="172"/>
      <c r="C685" s="172"/>
      <c r="D685" s="172"/>
      <c r="E685" s="38" t="s">
        <v>852</v>
      </c>
      <c r="F685" s="172"/>
      <c r="G685" s="172"/>
      <c r="H685" s="172"/>
      <c r="I685" s="38" t="s">
        <v>852</v>
      </c>
      <c r="J685" s="172"/>
      <c r="K685" s="172"/>
      <c r="L685" s="172"/>
      <c r="M685" s="38" t="s">
        <v>852</v>
      </c>
      <c r="N685" s="172"/>
      <c r="O685" s="172"/>
      <c r="P685" s="172"/>
      <c r="Q685" s="38" t="s">
        <v>852</v>
      </c>
      <c r="R685" s="38" t="s">
        <v>852</v>
      </c>
    </row>
    <row r="686" spans="1:18" ht="16.5" customHeight="1" thickBot="1" x14ac:dyDescent="0.35">
      <c r="A686" s="43" t="s">
        <v>1218</v>
      </c>
      <c r="B686" s="45">
        <f>SUM(B680:B685)</f>
        <v>0</v>
      </c>
      <c r="C686" s="46">
        <f>SUM(C680:C685)</f>
        <v>0</v>
      </c>
      <c r="D686" s="46">
        <f>SUM(D680:D685)</f>
        <v>55</v>
      </c>
      <c r="E686" s="37">
        <f>SUM(B686:D686)</f>
        <v>55</v>
      </c>
      <c r="F686" s="46">
        <f>SUM(F680:F685)</f>
        <v>0</v>
      </c>
      <c r="G686" s="46">
        <f>SUM(G680:G685)</f>
        <v>0</v>
      </c>
      <c r="H686" s="46">
        <f>SUM(H680:H685)</f>
        <v>59</v>
      </c>
      <c r="I686" s="37">
        <f>SUM(F686:H686)</f>
        <v>59</v>
      </c>
      <c r="J686" s="46">
        <f>SUM(J680:J685)</f>
        <v>0</v>
      </c>
      <c r="K686" s="46">
        <f>SUM(K680:K685)</f>
        <v>0</v>
      </c>
      <c r="L686" s="46">
        <f>SUM(L680:L685)</f>
        <v>0</v>
      </c>
      <c r="M686" s="37">
        <f>SUM(J686:L686)</f>
        <v>0</v>
      </c>
      <c r="N686" s="46">
        <f>SUM(N680:N685)</f>
        <v>22</v>
      </c>
      <c r="O686" s="46">
        <f>SUM(O680:O685)</f>
        <v>0</v>
      </c>
      <c r="P686" s="46">
        <f>SUM(P680:P685)</f>
        <v>0</v>
      </c>
      <c r="Q686" s="37">
        <f>SUM(N686:P686)</f>
        <v>22</v>
      </c>
      <c r="R686" s="37">
        <f>+E686+I686+M686+Q686</f>
        <v>136</v>
      </c>
    </row>
    <row r="687" spans="1:18" ht="15.75" customHeight="1" x14ac:dyDescent="0.3">
      <c r="A687" s="234" t="s">
        <v>1172</v>
      </c>
      <c r="B687" s="172"/>
      <c r="C687" s="172"/>
      <c r="D687" s="172"/>
      <c r="E687" s="38" t="s">
        <v>852</v>
      </c>
      <c r="F687" s="172"/>
      <c r="G687" s="172"/>
      <c r="H687" s="172"/>
      <c r="I687" s="38" t="s">
        <v>852</v>
      </c>
      <c r="J687" s="172"/>
      <c r="K687" s="172"/>
      <c r="L687" s="172"/>
      <c r="M687" s="38" t="s">
        <v>852</v>
      </c>
      <c r="N687" s="172"/>
      <c r="O687" s="172"/>
      <c r="P687" s="172"/>
      <c r="Q687" s="38" t="s">
        <v>852</v>
      </c>
      <c r="R687" s="38" t="s">
        <v>852</v>
      </c>
    </row>
    <row r="688" spans="1:18" ht="15.75" customHeight="1" x14ac:dyDescent="0.3">
      <c r="A688" s="234" t="s">
        <v>2409</v>
      </c>
      <c r="B688" s="172"/>
      <c r="C688" s="172"/>
      <c r="D688" s="172"/>
      <c r="E688" s="38" t="s">
        <v>852</v>
      </c>
      <c r="F688" s="172"/>
      <c r="G688" s="172"/>
      <c r="H688" s="172"/>
      <c r="I688" s="38" t="s">
        <v>852</v>
      </c>
      <c r="J688" s="172"/>
      <c r="K688" s="172"/>
      <c r="L688" s="172"/>
      <c r="M688" s="38" t="s">
        <v>852</v>
      </c>
      <c r="N688" s="172"/>
      <c r="O688" s="172"/>
      <c r="P688" s="172"/>
      <c r="Q688" s="38" t="s">
        <v>852</v>
      </c>
      <c r="R688" s="38" t="s">
        <v>852</v>
      </c>
    </row>
    <row r="689" spans="1:18" ht="15.75" customHeight="1" thickBot="1" x14ac:dyDescent="0.35">
      <c r="A689" s="234" t="s">
        <v>2165</v>
      </c>
      <c r="B689" s="172"/>
      <c r="C689" s="172"/>
      <c r="D689" s="172"/>
      <c r="E689" s="38" t="s">
        <v>852</v>
      </c>
      <c r="F689" s="172"/>
      <c r="G689" s="172"/>
      <c r="H689" s="172"/>
      <c r="I689" s="38" t="s">
        <v>852</v>
      </c>
      <c r="J689" s="172"/>
      <c r="K689" s="172"/>
      <c r="L689" s="172"/>
      <c r="M689" s="38" t="s">
        <v>852</v>
      </c>
      <c r="N689" s="172"/>
      <c r="O689" s="172"/>
      <c r="P689" s="172"/>
      <c r="Q689" s="38" t="s">
        <v>852</v>
      </c>
      <c r="R689" s="38" t="s">
        <v>852</v>
      </c>
    </row>
    <row r="690" spans="1:18" ht="16.5" customHeight="1" thickBot="1" x14ac:dyDescent="0.35">
      <c r="A690" s="43" t="s">
        <v>1219</v>
      </c>
      <c r="B690" s="45">
        <f>SUM(B687:B689)</f>
        <v>0</v>
      </c>
      <c r="C690" s="46">
        <f>SUM(C687:C689)</f>
        <v>0</v>
      </c>
      <c r="D690" s="46">
        <f>SUM(D687:D689)</f>
        <v>0</v>
      </c>
      <c r="E690" s="37">
        <f>SUM(B690:D690)</f>
        <v>0</v>
      </c>
      <c r="F690" s="46">
        <f>SUM(F687:F689)</f>
        <v>0</v>
      </c>
      <c r="G690" s="46">
        <f>SUM(G687:G689)</f>
        <v>0</v>
      </c>
      <c r="H690" s="46">
        <f>SUM(H687:H689)</f>
        <v>0</v>
      </c>
      <c r="I690" s="37">
        <f>SUM(F690:H690)</f>
        <v>0</v>
      </c>
      <c r="J690" s="46">
        <f>SUM(J687:J689)</f>
        <v>0</v>
      </c>
      <c r="K690" s="46">
        <f>SUM(K687:K689)</f>
        <v>0</v>
      </c>
      <c r="L690" s="46">
        <f>SUM(L687:L689)</f>
        <v>0</v>
      </c>
      <c r="M690" s="37">
        <f>SUM(J690:L690)</f>
        <v>0</v>
      </c>
      <c r="N690" s="46">
        <f>SUM(N687:N689)</f>
        <v>0</v>
      </c>
      <c r="O690" s="46">
        <f>SUM(O687:O689)</f>
        <v>0</v>
      </c>
      <c r="P690" s="46">
        <f>SUM(P687:P689)</f>
        <v>0</v>
      </c>
      <c r="Q690" s="37">
        <f>SUM(N690:P690)</f>
        <v>0</v>
      </c>
      <c r="R690" s="37">
        <f>+E690+I690+M690+Q690</f>
        <v>0</v>
      </c>
    </row>
    <row r="691" spans="1:18" ht="15.75" customHeight="1" x14ac:dyDescent="0.3">
      <c r="A691" s="234" t="s">
        <v>2166</v>
      </c>
      <c r="B691" s="172"/>
      <c r="C691" s="172"/>
      <c r="D691" s="172"/>
      <c r="E691" s="38" t="s">
        <v>852</v>
      </c>
      <c r="F691" s="172"/>
      <c r="G691" s="172"/>
      <c r="H691" s="172"/>
      <c r="I691" s="38" t="s">
        <v>852</v>
      </c>
      <c r="J691" s="172"/>
      <c r="K691" s="172"/>
      <c r="L691" s="172"/>
      <c r="M691" s="38" t="s">
        <v>852</v>
      </c>
      <c r="N691" s="172"/>
      <c r="O691" s="172"/>
      <c r="P691" s="172"/>
      <c r="Q691" s="38" t="s">
        <v>852</v>
      </c>
      <c r="R691" s="38" t="s">
        <v>852</v>
      </c>
    </row>
    <row r="692" spans="1:18" ht="15.75" customHeight="1" x14ac:dyDescent="0.3">
      <c r="A692" s="234" t="s">
        <v>1245</v>
      </c>
      <c r="B692" s="172"/>
      <c r="C692" s="172"/>
      <c r="D692" s="172"/>
      <c r="E692" s="38" t="s">
        <v>852</v>
      </c>
      <c r="F692" s="172"/>
      <c r="G692" s="172"/>
      <c r="H692" s="172"/>
      <c r="I692" s="38" t="s">
        <v>852</v>
      </c>
      <c r="J692" s="172"/>
      <c r="K692" s="172"/>
      <c r="L692" s="172"/>
      <c r="M692" s="38" t="s">
        <v>852</v>
      </c>
      <c r="N692" s="172"/>
      <c r="O692" s="172"/>
      <c r="P692" s="172"/>
      <c r="Q692" s="38" t="s">
        <v>852</v>
      </c>
      <c r="R692" s="38" t="s">
        <v>852</v>
      </c>
    </row>
    <row r="693" spans="1:18" ht="15.75" customHeight="1" thickBot="1" x14ac:dyDescent="0.35">
      <c r="A693" s="234" t="s">
        <v>1711</v>
      </c>
      <c r="B693" s="172"/>
      <c r="C693" s="172"/>
      <c r="D693" s="172"/>
      <c r="E693" s="38" t="s">
        <v>852</v>
      </c>
      <c r="F693" s="172"/>
      <c r="G693" s="172"/>
      <c r="H693" s="172"/>
      <c r="I693" s="38" t="s">
        <v>852</v>
      </c>
      <c r="J693" s="172"/>
      <c r="K693" s="172"/>
      <c r="L693" s="172"/>
      <c r="M693" s="38" t="s">
        <v>852</v>
      </c>
      <c r="N693" s="172"/>
      <c r="O693" s="172"/>
      <c r="P693" s="172"/>
      <c r="Q693" s="38" t="s">
        <v>852</v>
      </c>
      <c r="R693" s="38" t="s">
        <v>852</v>
      </c>
    </row>
    <row r="694" spans="1:18" ht="16.5" customHeight="1" thickBot="1" x14ac:dyDescent="0.35">
      <c r="A694" s="43" t="s">
        <v>1220</v>
      </c>
      <c r="B694" s="45">
        <f>SUM(B691:B693)</f>
        <v>0</v>
      </c>
      <c r="C694" s="46">
        <f>SUM(C691:C693)</f>
        <v>0</v>
      </c>
      <c r="D694" s="46">
        <f>SUM(D691:D693)</f>
        <v>0</v>
      </c>
      <c r="E694" s="37">
        <f>SUM(B694:D694)</f>
        <v>0</v>
      </c>
      <c r="F694" s="46">
        <f>SUM(F691:F693)</f>
        <v>0</v>
      </c>
      <c r="G694" s="46">
        <f>SUM(G691:G693)</f>
        <v>0</v>
      </c>
      <c r="H694" s="46">
        <f>SUM(H691:H693)</f>
        <v>0</v>
      </c>
      <c r="I694" s="37">
        <f>SUM(F694:H694)</f>
        <v>0</v>
      </c>
      <c r="J694" s="46">
        <f>SUM(J691:J693)</f>
        <v>0</v>
      </c>
      <c r="K694" s="46">
        <f>SUM(K691:K693)</f>
        <v>0</v>
      </c>
      <c r="L694" s="46">
        <f>SUM(L691:L693)</f>
        <v>0</v>
      </c>
      <c r="M694" s="37">
        <f>SUM(J694:L694)</f>
        <v>0</v>
      </c>
      <c r="N694" s="46">
        <f>SUM(N691:N693)</f>
        <v>0</v>
      </c>
      <c r="O694" s="46">
        <f>SUM(O691:O693)</f>
        <v>0</v>
      </c>
      <c r="P694" s="46">
        <f>SUM(P691:P693)</f>
        <v>0</v>
      </c>
      <c r="Q694" s="37">
        <f>SUM(N694:P694)</f>
        <v>0</v>
      </c>
      <c r="R694" s="37">
        <f>+E694+I694+M694+Q694</f>
        <v>0</v>
      </c>
    </row>
    <row r="695" spans="1:18" ht="15.75" customHeight="1" x14ac:dyDescent="0.3">
      <c r="A695" s="234" t="s">
        <v>1712</v>
      </c>
      <c r="B695" s="172"/>
      <c r="C695" s="172"/>
      <c r="D695" s="172"/>
      <c r="E695" s="38" t="s">
        <v>852</v>
      </c>
      <c r="F695" s="172"/>
      <c r="G695" s="172"/>
      <c r="H695" s="172"/>
      <c r="I695" s="38" t="s">
        <v>852</v>
      </c>
      <c r="J695" s="172"/>
      <c r="K695" s="172"/>
      <c r="L695" s="172"/>
      <c r="M695" s="38" t="s">
        <v>852</v>
      </c>
      <c r="N695" s="172"/>
      <c r="O695" s="172"/>
      <c r="P695" s="172"/>
      <c r="Q695" s="38" t="s">
        <v>852</v>
      </c>
      <c r="R695" s="38" t="s">
        <v>852</v>
      </c>
    </row>
    <row r="696" spans="1:18" ht="15.75" customHeight="1" x14ac:dyDescent="0.3">
      <c r="A696" s="234" t="s">
        <v>1021</v>
      </c>
      <c r="B696" s="172"/>
      <c r="C696" s="172"/>
      <c r="D696" s="172"/>
      <c r="E696" s="38" t="s">
        <v>852</v>
      </c>
      <c r="F696" s="172"/>
      <c r="G696" s="172"/>
      <c r="H696" s="172"/>
      <c r="I696" s="38" t="s">
        <v>852</v>
      </c>
      <c r="J696" s="172"/>
      <c r="K696" s="172"/>
      <c r="L696" s="172"/>
      <c r="M696" s="38" t="s">
        <v>852</v>
      </c>
      <c r="N696" s="172"/>
      <c r="O696" s="172"/>
      <c r="P696" s="172"/>
      <c r="Q696" s="38" t="s">
        <v>852</v>
      </c>
      <c r="R696" s="38" t="s">
        <v>852</v>
      </c>
    </row>
    <row r="697" spans="1:18" ht="15.75" customHeight="1" x14ac:dyDescent="0.3">
      <c r="A697" s="234" t="s">
        <v>557</v>
      </c>
      <c r="B697" s="172"/>
      <c r="C697" s="172"/>
      <c r="D697" s="172"/>
      <c r="E697" s="38" t="s">
        <v>852</v>
      </c>
      <c r="F697" s="172"/>
      <c r="G697" s="172"/>
      <c r="H697" s="172"/>
      <c r="I697" s="38" t="s">
        <v>852</v>
      </c>
      <c r="J697" s="172"/>
      <c r="K697" s="172"/>
      <c r="L697" s="172"/>
      <c r="M697" s="38" t="s">
        <v>852</v>
      </c>
      <c r="N697" s="172"/>
      <c r="O697" s="172"/>
      <c r="P697" s="172"/>
      <c r="Q697" s="38" t="s">
        <v>852</v>
      </c>
      <c r="R697" s="38" t="s">
        <v>852</v>
      </c>
    </row>
    <row r="698" spans="1:18" ht="15.75" customHeight="1" x14ac:dyDescent="0.3">
      <c r="A698" s="234" t="s">
        <v>1022</v>
      </c>
      <c r="B698" s="172"/>
      <c r="C698" s="172"/>
      <c r="D698" s="172"/>
      <c r="E698" s="38" t="s">
        <v>852</v>
      </c>
      <c r="F698" s="172"/>
      <c r="G698" s="172"/>
      <c r="H698" s="172"/>
      <c r="I698" s="38" t="s">
        <v>852</v>
      </c>
      <c r="J698" s="172"/>
      <c r="K698" s="172"/>
      <c r="L698" s="172"/>
      <c r="M698" s="38" t="s">
        <v>852</v>
      </c>
      <c r="N698" s="172"/>
      <c r="O698" s="172"/>
      <c r="P698" s="172"/>
      <c r="Q698" s="38" t="s">
        <v>852</v>
      </c>
      <c r="R698" s="38" t="s">
        <v>852</v>
      </c>
    </row>
    <row r="699" spans="1:18" ht="15.75" customHeight="1" thickBot="1" x14ac:dyDescent="0.35">
      <c r="A699" s="234" t="s">
        <v>559</v>
      </c>
      <c r="B699" s="172"/>
      <c r="C699" s="172"/>
      <c r="D699" s="172"/>
      <c r="E699" s="38" t="s">
        <v>852</v>
      </c>
      <c r="F699" s="172"/>
      <c r="G699" s="172"/>
      <c r="H699" s="172"/>
      <c r="I699" s="38" t="s">
        <v>852</v>
      </c>
      <c r="J699" s="172"/>
      <c r="K699" s="172"/>
      <c r="L699" s="172"/>
      <c r="M699" s="38" t="s">
        <v>852</v>
      </c>
      <c r="N699" s="172"/>
      <c r="O699" s="172"/>
      <c r="P699" s="172"/>
      <c r="Q699" s="38" t="s">
        <v>852</v>
      </c>
      <c r="R699" s="38" t="s">
        <v>852</v>
      </c>
    </row>
    <row r="700" spans="1:18" ht="16.5" customHeight="1" thickBot="1" x14ac:dyDescent="0.35">
      <c r="A700" s="43" t="s">
        <v>1019</v>
      </c>
      <c r="B700" s="42">
        <f>SUM(B698:B699)</f>
        <v>0</v>
      </c>
      <c r="C700" s="42">
        <f>SUM(C698:C699)</f>
        <v>0</v>
      </c>
      <c r="D700" s="42">
        <f>SUM(D698:D699)</f>
        <v>0</v>
      </c>
      <c r="E700" s="39">
        <f>SUM(B700:D700)</f>
        <v>0</v>
      </c>
      <c r="F700" s="42">
        <f>SUM(F698:F699)</f>
        <v>0</v>
      </c>
      <c r="G700" s="42">
        <f>SUM(G698:G699)</f>
        <v>0</v>
      </c>
      <c r="H700" s="42">
        <f>SUM(H698:H699)</f>
        <v>0</v>
      </c>
      <c r="I700" s="39">
        <f>SUM(F700:H700)</f>
        <v>0</v>
      </c>
      <c r="J700" s="42">
        <f>SUM(J698:J699)</f>
        <v>0</v>
      </c>
      <c r="K700" s="42">
        <f>SUM(K698:K699)</f>
        <v>0</v>
      </c>
      <c r="L700" s="42">
        <f>SUM(L698:L699)</f>
        <v>0</v>
      </c>
      <c r="M700" s="39">
        <f>SUM(J700:L700)</f>
        <v>0</v>
      </c>
      <c r="N700" s="42">
        <f>SUM(N698:N699)</f>
        <v>0</v>
      </c>
      <c r="O700" s="42">
        <f>SUM(O698:O699)</f>
        <v>0</v>
      </c>
      <c r="P700" s="42">
        <f>SUM(P698:P699)</f>
        <v>0</v>
      </c>
      <c r="Q700" s="39">
        <f>SUM(N700:P700)</f>
        <v>0</v>
      </c>
      <c r="R700" s="37">
        <f>+E700+I700+M700+Q700</f>
        <v>0</v>
      </c>
    </row>
    <row r="701" spans="1:18" ht="16.5" customHeight="1" thickBot="1" x14ac:dyDescent="0.35">
      <c r="A701" s="43" t="s">
        <v>1221</v>
      </c>
      <c r="B701" s="45">
        <f>SUM(B695:B699)</f>
        <v>0</v>
      </c>
      <c r="C701" s="46">
        <f>SUM(C695:C699)</f>
        <v>0</v>
      </c>
      <c r="D701" s="58">
        <f>SUM(D695:D699)</f>
        <v>0</v>
      </c>
      <c r="E701" s="39">
        <f>SUM(B701:D701)</f>
        <v>0</v>
      </c>
      <c r="F701" s="46">
        <f>SUM(F695:F699)</f>
        <v>0</v>
      </c>
      <c r="G701" s="46">
        <f>SUM(G695:G699)</f>
        <v>0</v>
      </c>
      <c r="H701" s="46">
        <f>SUM(H695:H699)</f>
        <v>0</v>
      </c>
      <c r="I701" s="39">
        <f>SUM(F701:H701)</f>
        <v>0</v>
      </c>
      <c r="J701" s="46">
        <f>SUM(J695:J699)</f>
        <v>0</v>
      </c>
      <c r="K701" s="46">
        <f>SUM(K695:K699)</f>
        <v>0</v>
      </c>
      <c r="L701" s="46">
        <f>SUM(L695:L699)</f>
        <v>0</v>
      </c>
      <c r="M701" s="39">
        <f>SUM(J701:L701)</f>
        <v>0</v>
      </c>
      <c r="N701" s="46">
        <f>SUM(N695:N699)</f>
        <v>0</v>
      </c>
      <c r="O701" s="46">
        <f>SUM(O695:O699)</f>
        <v>0</v>
      </c>
      <c r="P701" s="46">
        <f>SUM(P695:P699)</f>
        <v>0</v>
      </c>
      <c r="Q701" s="39">
        <f>SUM(N701:P701)</f>
        <v>0</v>
      </c>
      <c r="R701" s="37">
        <f>+E701+I701+M701+Q701</f>
        <v>0</v>
      </c>
    </row>
    <row r="702" spans="1:18" ht="16.5" customHeight="1" thickBot="1" x14ac:dyDescent="0.35">
      <c r="A702" s="43" t="s">
        <v>1222</v>
      </c>
      <c r="B702" s="47">
        <f>+B686+B690+B694+B701</f>
        <v>0</v>
      </c>
      <c r="C702" s="42">
        <f>+C686+C690+C694+C701</f>
        <v>0</v>
      </c>
      <c r="D702" s="42">
        <f>+D686+D690+D694+D701</f>
        <v>55</v>
      </c>
      <c r="E702" s="37">
        <f>SUM(B702:D702)</f>
        <v>55</v>
      </c>
      <c r="F702" s="42">
        <f>+F686+F690+F694+F701</f>
        <v>0</v>
      </c>
      <c r="G702" s="42">
        <f>+G686+G690+G694+G701</f>
        <v>0</v>
      </c>
      <c r="H702" s="42">
        <f>+H686+H690+H694+H701</f>
        <v>59</v>
      </c>
      <c r="I702" s="37">
        <f>SUM(F702:H702)</f>
        <v>59</v>
      </c>
      <c r="J702" s="42">
        <f>+J686+J690+J694+J701</f>
        <v>0</v>
      </c>
      <c r="K702" s="42">
        <f>+K686+K690+K694+K701</f>
        <v>0</v>
      </c>
      <c r="L702" s="42">
        <f>+L686+L690+L694+L701</f>
        <v>0</v>
      </c>
      <c r="M702" s="37">
        <f>SUM(J702:L702)</f>
        <v>0</v>
      </c>
      <c r="N702" s="42">
        <f>+N686+N690+N694+N701</f>
        <v>22</v>
      </c>
      <c r="O702" s="42">
        <f>+O686+O690+O694+O701</f>
        <v>0</v>
      </c>
      <c r="P702" s="42">
        <f>+P686+P690+P694+P701</f>
        <v>0</v>
      </c>
      <c r="Q702" s="37">
        <f>SUM(N702:P702)</f>
        <v>22</v>
      </c>
      <c r="R702" s="40">
        <f>+E702+I702+M702+Q702</f>
        <v>136</v>
      </c>
    </row>
    <row r="703" spans="1:18" ht="15.75" customHeight="1" x14ac:dyDescent="0.3">
      <c r="A703" s="266" t="s">
        <v>2117</v>
      </c>
      <c r="B703" s="172">
        <v>1966</v>
      </c>
      <c r="C703" s="172">
        <v>3717</v>
      </c>
      <c r="D703" s="172">
        <v>5149</v>
      </c>
      <c r="E703" s="38">
        <f>SUM(B703:D703)</f>
        <v>10832</v>
      </c>
      <c r="F703" s="172">
        <v>5971</v>
      </c>
      <c r="G703" s="172">
        <v>6492</v>
      </c>
      <c r="H703" s="172">
        <v>5881</v>
      </c>
      <c r="I703" s="38">
        <f>SUM(F703:H703)</f>
        <v>18344</v>
      </c>
      <c r="J703" s="172">
        <v>5517</v>
      </c>
      <c r="K703" s="172">
        <v>5615</v>
      </c>
      <c r="L703" s="172">
        <v>4911</v>
      </c>
      <c r="M703" s="38">
        <f>SUM(J703:L703)</f>
        <v>16043</v>
      </c>
      <c r="N703" s="172">
        <v>4459</v>
      </c>
      <c r="O703" s="172">
        <v>3835</v>
      </c>
      <c r="P703" s="172">
        <v>4068</v>
      </c>
      <c r="Q703" s="38">
        <f>SUM(N703:P703)</f>
        <v>12362</v>
      </c>
      <c r="R703" s="38">
        <f>+E703+I703+M703+Q703</f>
        <v>57581</v>
      </c>
    </row>
    <row r="704" spans="1:18" ht="15.75" customHeight="1" thickBot="1" x14ac:dyDescent="0.35">
      <c r="A704" s="266" t="s">
        <v>853</v>
      </c>
      <c r="B704" s="172">
        <v>0</v>
      </c>
      <c r="C704" s="172">
        <v>0</v>
      </c>
      <c r="D704" s="172">
        <v>0</v>
      </c>
      <c r="E704" s="38">
        <f>SUM(B704:D704)</f>
        <v>0</v>
      </c>
      <c r="F704" s="172">
        <v>0</v>
      </c>
      <c r="G704" s="172">
        <v>0</v>
      </c>
      <c r="H704" s="172">
        <v>0</v>
      </c>
      <c r="I704" s="38">
        <f>SUM(F704:H704)</f>
        <v>0</v>
      </c>
      <c r="J704" s="172">
        <v>0</v>
      </c>
      <c r="K704" s="172">
        <v>0</v>
      </c>
      <c r="L704" s="172">
        <v>0</v>
      </c>
      <c r="M704" s="38">
        <f>SUM(J704:L704)</f>
        <v>0</v>
      </c>
      <c r="N704" s="172">
        <v>0</v>
      </c>
      <c r="O704" s="172">
        <v>0</v>
      </c>
      <c r="P704" s="172">
        <v>0</v>
      </c>
      <c r="Q704" s="38">
        <f>SUM(N704:P704)</f>
        <v>0</v>
      </c>
      <c r="R704" s="38">
        <f>+E704+I704+M704+Q704</f>
        <v>0</v>
      </c>
    </row>
    <row r="705" spans="1:20" ht="16.5" customHeight="1" thickBot="1" x14ac:dyDescent="0.35">
      <c r="A705" s="281"/>
      <c r="B705" s="232"/>
      <c r="C705" s="232"/>
      <c r="D705" s="232"/>
      <c r="E705" s="37" t="s">
        <v>852</v>
      </c>
      <c r="F705" s="232"/>
      <c r="G705" s="232"/>
      <c r="H705" s="232"/>
      <c r="I705" s="37" t="s">
        <v>852</v>
      </c>
      <c r="J705" s="232"/>
      <c r="K705" s="232"/>
      <c r="L705" s="232"/>
      <c r="M705" s="37" t="s">
        <v>852</v>
      </c>
      <c r="N705" s="232"/>
      <c r="O705" s="232"/>
      <c r="P705" s="232"/>
      <c r="Q705" s="37"/>
      <c r="R705" s="37"/>
    </row>
    <row r="706" spans="1:20" ht="15.75" customHeight="1" x14ac:dyDescent="0.3">
      <c r="A706" s="234" t="s">
        <v>2011</v>
      </c>
      <c r="B706" s="172">
        <f>SUM(B702:B704)</f>
        <v>1966</v>
      </c>
      <c r="C706" s="172">
        <f>SUM(C702:C704)</f>
        <v>3717</v>
      </c>
      <c r="D706" s="172">
        <f>SUM(D702:D704)</f>
        <v>5204</v>
      </c>
      <c r="E706" s="39">
        <f>SUM(B706:D706)</f>
        <v>10887</v>
      </c>
      <c r="F706" s="172">
        <f>SUM(F702:F704)</f>
        <v>5971</v>
      </c>
      <c r="G706" s="172">
        <f>SUM(G702:G704)</f>
        <v>6492</v>
      </c>
      <c r="H706" s="172">
        <f>SUM(H702:H704)</f>
        <v>5940</v>
      </c>
      <c r="I706" s="39">
        <f>SUM(F706:H706)</f>
        <v>18403</v>
      </c>
      <c r="J706" s="172">
        <f>SUM(J702:J704)</f>
        <v>5517</v>
      </c>
      <c r="K706" s="172">
        <f>SUM(K702:K704)</f>
        <v>5615</v>
      </c>
      <c r="L706" s="172">
        <f>SUM(L702:L704)</f>
        <v>4911</v>
      </c>
      <c r="M706" s="39">
        <f>SUM(J706:L706)</f>
        <v>16043</v>
      </c>
      <c r="N706" s="172">
        <f>SUM(N702:N704)</f>
        <v>4481</v>
      </c>
      <c r="O706" s="172">
        <f>SUM(O702:O704)</f>
        <v>3835</v>
      </c>
      <c r="P706" s="172">
        <f>SUM(P702:P704)</f>
        <v>4068</v>
      </c>
      <c r="Q706" s="39">
        <f>SUM(N706:P706)</f>
        <v>12384</v>
      </c>
      <c r="R706" s="39">
        <f>+E706+I706+M706+Q706</f>
        <v>57717</v>
      </c>
    </row>
    <row r="707" spans="1:20" ht="15.75" customHeight="1" x14ac:dyDescent="0.3">
      <c r="A707" s="234" t="s">
        <v>1897</v>
      </c>
      <c r="B707" s="172">
        <f>(B706/B10)/1.983</f>
        <v>31.981520342264083</v>
      </c>
      <c r="C707" s="172">
        <f>(C706/C10)/1.983</f>
        <v>66.94402420574886</v>
      </c>
      <c r="D707" s="172">
        <f>(D706/D10)/1.983</f>
        <v>84.655051811364331</v>
      </c>
      <c r="E707" s="38" t="s">
        <v>852</v>
      </c>
      <c r="F707" s="172">
        <f>(F706/F10)/1.983</f>
        <v>100.3698100521096</v>
      </c>
      <c r="G707" s="172">
        <f>(G706/G10)/1.983</f>
        <v>105.60733980772045</v>
      </c>
      <c r="H707" s="172">
        <f>(H706/H10)/1.983</f>
        <v>99.848714069591523</v>
      </c>
      <c r="I707" s="38" t="s">
        <v>852</v>
      </c>
      <c r="J707" s="172">
        <f>(J706/J10)/1.983</f>
        <v>89.746718071348397</v>
      </c>
      <c r="K707" s="172">
        <f>(K706/K10)/1.983</f>
        <v>91.340913897158089</v>
      </c>
      <c r="L707" s="172">
        <f>(L706/L10)/1.983</f>
        <v>82.551689359556221</v>
      </c>
      <c r="M707" s="38" t="s">
        <v>852</v>
      </c>
      <c r="N707" s="172">
        <f>(N706/N10)/1.983</f>
        <v>72.893790769931513</v>
      </c>
      <c r="O707" s="172">
        <f>(O706/O10)/1.983</f>
        <v>64.464615901832232</v>
      </c>
      <c r="P707" s="172">
        <f>(P706/P10)/1.983</f>
        <v>66.175394075447755</v>
      </c>
      <c r="Q707" s="38" t="s">
        <v>852</v>
      </c>
      <c r="R707" s="38" t="s">
        <v>852</v>
      </c>
    </row>
    <row r="708" spans="1:20" ht="15.75" customHeight="1" x14ac:dyDescent="0.3">
      <c r="A708" s="234" t="s">
        <v>647</v>
      </c>
      <c r="B708" s="172">
        <f>B706</f>
        <v>1966</v>
      </c>
      <c r="C708" s="172">
        <f>C706</f>
        <v>3717</v>
      </c>
      <c r="D708" s="172">
        <f>D706</f>
        <v>5204</v>
      </c>
      <c r="E708" s="38">
        <f>SUM(B708:D708)</f>
        <v>10887</v>
      </c>
      <c r="F708" s="172">
        <f>F706</f>
        <v>5971</v>
      </c>
      <c r="G708" s="172">
        <f>G706</f>
        <v>6492</v>
      </c>
      <c r="H708" s="172">
        <f>H706</f>
        <v>5940</v>
      </c>
      <c r="I708" s="38">
        <f>SUM(F708:H708)</f>
        <v>18403</v>
      </c>
      <c r="J708" s="172">
        <f>J706</f>
        <v>5517</v>
      </c>
      <c r="K708" s="172">
        <f>K706</f>
        <v>5615</v>
      </c>
      <c r="L708" s="172">
        <f>L706</f>
        <v>4911</v>
      </c>
      <c r="M708" s="38">
        <f>SUM(J708:L708)</f>
        <v>16043</v>
      </c>
      <c r="N708" s="172">
        <f>N706</f>
        <v>4481</v>
      </c>
      <c r="O708" s="172">
        <f>O706</f>
        <v>3835</v>
      </c>
      <c r="P708" s="172">
        <f>P706</f>
        <v>4068</v>
      </c>
      <c r="Q708" s="38">
        <f>SUM(N708:P708)</f>
        <v>12384</v>
      </c>
      <c r="R708" s="38">
        <f>+E708+I708+M708+Q708</f>
        <v>57717</v>
      </c>
    </row>
    <row r="709" spans="1:20" ht="16.5" customHeight="1" thickBot="1" x14ac:dyDescent="0.35">
      <c r="A709" s="237" t="s">
        <v>2191</v>
      </c>
      <c r="B709" s="238">
        <f>(B708/B10)/1.983</f>
        <v>31.981520342264083</v>
      </c>
      <c r="C709" s="238">
        <f>(C708/C10)/1.983</f>
        <v>66.94402420574886</v>
      </c>
      <c r="D709" s="238">
        <f>(D708/D10)/1.983</f>
        <v>84.655051811364331</v>
      </c>
      <c r="E709" s="40" t="s">
        <v>852</v>
      </c>
      <c r="F709" s="238">
        <f>(F708/F10)/1.983</f>
        <v>100.3698100521096</v>
      </c>
      <c r="G709" s="238">
        <f>(G708/G10)/1.983</f>
        <v>105.60733980772045</v>
      </c>
      <c r="H709" s="238">
        <f>(H708/H10)/1.983</f>
        <v>99.848714069591523</v>
      </c>
      <c r="I709" s="40" t="s">
        <v>852</v>
      </c>
      <c r="J709" s="238">
        <f>(J708/J10)/1.983</f>
        <v>89.746718071348397</v>
      </c>
      <c r="K709" s="238">
        <f>(K708/K10)/1.983</f>
        <v>91.340913897158089</v>
      </c>
      <c r="L709" s="238">
        <f>(L708/L10)/1.983</f>
        <v>82.551689359556221</v>
      </c>
      <c r="M709" s="40" t="s">
        <v>852</v>
      </c>
      <c r="N709" s="238">
        <f>(N708/N10)/1.983</f>
        <v>72.893790769931513</v>
      </c>
      <c r="O709" s="238">
        <f>(O708/O10)/1.983</f>
        <v>64.464615901832232</v>
      </c>
      <c r="P709" s="238">
        <f>(P708/P10)/1.983</f>
        <v>66.175394075447755</v>
      </c>
      <c r="Q709" s="40" t="s">
        <v>852</v>
      </c>
      <c r="R709" s="40" t="s">
        <v>852</v>
      </c>
    </row>
    <row r="710" spans="1:20" ht="15.75" customHeight="1" x14ac:dyDescent="0.3">
      <c r="A710" s="17"/>
      <c r="B710" s="172"/>
      <c r="C710" s="172"/>
      <c r="D710" s="172"/>
      <c r="E710" s="172"/>
      <c r="F710" s="172"/>
      <c r="G710" s="172"/>
      <c r="H710" s="172"/>
      <c r="I710" s="172"/>
      <c r="J710" s="172"/>
      <c r="K710" s="172"/>
      <c r="L710" s="172"/>
      <c r="M710" s="172"/>
      <c r="N710" s="172"/>
      <c r="O710" s="172"/>
      <c r="P710" s="172"/>
      <c r="Q710" s="172"/>
      <c r="R710" s="17"/>
    </row>
    <row r="711" spans="1:20" ht="15.75" customHeight="1" thickBot="1" x14ac:dyDescent="0.35">
      <c r="A711" s="17"/>
      <c r="B711" s="172"/>
      <c r="C711" s="172"/>
      <c r="D711" s="172"/>
      <c r="E711" s="172"/>
      <c r="F711" s="172"/>
      <c r="G711" s="172"/>
      <c r="H711" s="172"/>
      <c r="I711" s="172"/>
      <c r="J711" s="172"/>
      <c r="K711" s="172"/>
      <c r="L711" s="172"/>
      <c r="M711" s="172"/>
      <c r="N711" s="172"/>
      <c r="O711" s="172"/>
      <c r="P711" s="172"/>
      <c r="Q711" s="172"/>
      <c r="R711" s="17"/>
    </row>
    <row r="712" spans="1:20" ht="16.5" customHeight="1" thickBot="1" x14ac:dyDescent="0.35">
      <c r="A712" s="278" t="s">
        <v>2192</v>
      </c>
      <c r="B712" s="4" t="s">
        <v>2090</v>
      </c>
      <c r="C712" s="5" t="s">
        <v>2091</v>
      </c>
      <c r="D712" s="5" t="s">
        <v>2234</v>
      </c>
      <c r="E712" s="33" t="s">
        <v>1594</v>
      </c>
      <c r="F712" s="5" t="s">
        <v>2235</v>
      </c>
      <c r="G712" s="5" t="s">
        <v>2236</v>
      </c>
      <c r="H712" s="5" t="s">
        <v>2237</v>
      </c>
      <c r="I712" s="35" t="s">
        <v>1595</v>
      </c>
      <c r="J712" s="5" t="s">
        <v>1504</v>
      </c>
      <c r="K712" s="5" t="s">
        <v>1505</v>
      </c>
      <c r="L712" s="5" t="s">
        <v>1506</v>
      </c>
      <c r="M712" s="35" t="s">
        <v>1596</v>
      </c>
      <c r="N712" s="5" t="s">
        <v>1507</v>
      </c>
      <c r="O712" s="5" t="s">
        <v>1508</v>
      </c>
      <c r="P712" s="5" t="s">
        <v>1509</v>
      </c>
      <c r="Q712" s="35" t="s">
        <v>1597</v>
      </c>
      <c r="R712" s="60" t="s">
        <v>1510</v>
      </c>
    </row>
    <row r="713" spans="1:20" ht="16.5" customHeight="1" thickBot="1" x14ac:dyDescent="0.35">
      <c r="A713" s="22"/>
      <c r="B713" s="242"/>
      <c r="C713" s="242"/>
      <c r="D713" s="242"/>
      <c r="E713" s="233"/>
      <c r="F713" s="242"/>
      <c r="G713" s="242"/>
      <c r="H713" s="242"/>
      <c r="I713" s="282"/>
      <c r="J713" s="242"/>
      <c r="K713" s="242"/>
      <c r="L713" s="242"/>
      <c r="M713" s="282"/>
      <c r="N713" s="242"/>
      <c r="O713" s="242"/>
      <c r="P713" s="242"/>
      <c r="Q713" s="283"/>
      <c r="R713" s="61"/>
    </row>
    <row r="714" spans="1:20" ht="15.75" customHeight="1" x14ac:dyDescent="0.3">
      <c r="A714" s="234" t="s">
        <v>2417</v>
      </c>
      <c r="B714" s="172" t="s">
        <v>852</v>
      </c>
      <c r="C714" s="172" t="s">
        <v>852</v>
      </c>
      <c r="D714" s="172" t="s">
        <v>852</v>
      </c>
      <c r="E714" s="284"/>
      <c r="F714" s="172" t="s">
        <v>852</v>
      </c>
      <c r="G714" s="172" t="s">
        <v>852</v>
      </c>
      <c r="H714" s="172" t="s">
        <v>852</v>
      </c>
      <c r="I714" s="284"/>
      <c r="J714" s="172" t="s">
        <v>852</v>
      </c>
      <c r="K714" s="172" t="s">
        <v>852</v>
      </c>
      <c r="L714" s="172" t="s">
        <v>852</v>
      </c>
      <c r="M714" s="284"/>
      <c r="N714" s="172" t="s">
        <v>852</v>
      </c>
      <c r="O714" s="172" t="s">
        <v>852</v>
      </c>
      <c r="P714" s="172" t="s">
        <v>852</v>
      </c>
      <c r="Q714" s="285"/>
      <c r="R714" s="62" t="s">
        <v>852</v>
      </c>
    </row>
    <row r="715" spans="1:20" ht="15.75" customHeight="1" x14ac:dyDescent="0.3">
      <c r="A715" s="234" t="s">
        <v>2160</v>
      </c>
      <c r="B715" s="172"/>
      <c r="C715" s="172"/>
      <c r="D715" s="172"/>
      <c r="E715" s="38" t="s">
        <v>852</v>
      </c>
      <c r="F715" s="172"/>
      <c r="G715" s="172"/>
      <c r="H715" s="172"/>
      <c r="I715" s="38" t="s">
        <v>852</v>
      </c>
      <c r="J715" s="172"/>
      <c r="K715" s="172"/>
      <c r="L715" s="172"/>
      <c r="M715" s="38" t="s">
        <v>852</v>
      </c>
      <c r="N715" s="172"/>
      <c r="O715" s="172"/>
      <c r="P715" s="172"/>
      <c r="Q715" s="38" t="s">
        <v>852</v>
      </c>
      <c r="R715" s="38" t="s">
        <v>852</v>
      </c>
    </row>
    <row r="716" spans="1:20" ht="15.75" customHeight="1" x14ac:dyDescent="0.3">
      <c r="A716" s="266" t="s">
        <v>1910</v>
      </c>
      <c r="B716" s="10"/>
      <c r="C716" s="10"/>
      <c r="D716" s="10"/>
      <c r="E716" s="38">
        <f>SUM(B716:D716)</f>
        <v>0</v>
      </c>
      <c r="F716" s="10"/>
      <c r="G716" s="10"/>
      <c r="H716" s="10"/>
      <c r="I716" s="38">
        <f>SUM(F716:H716)</f>
        <v>0</v>
      </c>
      <c r="J716" s="10"/>
      <c r="K716" s="10"/>
      <c r="L716" s="10"/>
      <c r="M716" s="38">
        <f>SUM(J716:L716)</f>
        <v>0</v>
      </c>
      <c r="N716" s="10"/>
      <c r="O716" s="10"/>
      <c r="P716" s="10"/>
      <c r="Q716" s="38">
        <f>SUM(N716:P716)</f>
        <v>0</v>
      </c>
      <c r="R716" s="38">
        <f>+E716+I716+M716+Q716</f>
        <v>0</v>
      </c>
      <c r="T716" t="s">
        <v>2765</v>
      </c>
    </row>
    <row r="717" spans="1:20" ht="15.75" customHeight="1" x14ac:dyDescent="0.3">
      <c r="A717" s="539" t="s">
        <v>604</v>
      </c>
      <c r="B717" s="172"/>
      <c r="C717" s="172"/>
      <c r="D717" s="172">
        <v>500</v>
      </c>
      <c r="E717" s="38">
        <f>SUM(B717:D717)</f>
        <v>500</v>
      </c>
      <c r="F717" s="172"/>
      <c r="G717" s="172"/>
      <c r="H717" s="172"/>
      <c r="I717" s="38">
        <f>SUM(F717:H717)</f>
        <v>0</v>
      </c>
      <c r="J717" s="172"/>
      <c r="K717" s="172"/>
      <c r="L717" s="172"/>
      <c r="M717" s="38">
        <f>SUM(J717:L717)</f>
        <v>0</v>
      </c>
      <c r="N717" s="172"/>
      <c r="O717" s="172"/>
      <c r="P717" s="172"/>
      <c r="Q717" s="38">
        <f>SUM(N717:P717)</f>
        <v>0</v>
      </c>
      <c r="R717" s="38">
        <f>+E717+I717+M717+Q717</f>
        <v>500</v>
      </c>
    </row>
    <row r="718" spans="1:20" ht="15.75" customHeight="1" x14ac:dyDescent="0.3">
      <c r="A718" s="539" t="s">
        <v>2996</v>
      </c>
      <c r="B718" s="172">
        <v>50</v>
      </c>
      <c r="C718" s="172"/>
      <c r="D718" s="172"/>
      <c r="E718" s="38">
        <f>SUM(B718:D718)</f>
        <v>50</v>
      </c>
      <c r="F718" s="172"/>
      <c r="G718" s="172"/>
      <c r="H718" s="172"/>
      <c r="I718" s="38">
        <f>SUM(F718:H718)</f>
        <v>0</v>
      </c>
      <c r="J718" s="172"/>
      <c r="K718" s="172"/>
      <c r="L718" s="172"/>
      <c r="M718" s="38">
        <f>SUM(J718:L718)</f>
        <v>0</v>
      </c>
      <c r="N718" s="172"/>
      <c r="O718" s="172"/>
      <c r="P718" s="172"/>
      <c r="Q718" s="38">
        <f>SUM(N718:P718)</f>
        <v>0</v>
      </c>
      <c r="R718" s="38">
        <f>+E718+I718+M718+Q718</f>
        <v>50</v>
      </c>
    </row>
    <row r="719" spans="1:20" ht="15.75" customHeight="1" x14ac:dyDescent="0.3">
      <c r="A719" s="310" t="s">
        <v>715</v>
      </c>
      <c r="B719" s="172">
        <v>115</v>
      </c>
      <c r="C719" s="172">
        <v>2583</v>
      </c>
      <c r="D719" s="172">
        <v>2088</v>
      </c>
      <c r="E719" s="38">
        <f>SUM(B719:D719)</f>
        <v>4786</v>
      </c>
      <c r="F719" s="172">
        <v>2428</v>
      </c>
      <c r="G719" s="172">
        <v>1568</v>
      </c>
      <c r="H719" s="172">
        <v>2117</v>
      </c>
      <c r="I719" s="38">
        <f>SUM(F719:H719)</f>
        <v>6113</v>
      </c>
      <c r="J719" s="172">
        <v>1862</v>
      </c>
      <c r="K719" s="172">
        <v>2709</v>
      </c>
      <c r="L719" s="172">
        <v>1030</v>
      </c>
      <c r="M719" s="38">
        <f>SUM(J719:L719)</f>
        <v>5601</v>
      </c>
      <c r="N719" s="172"/>
      <c r="O719" s="172"/>
      <c r="P719" s="172"/>
      <c r="Q719" s="38">
        <f>SUM(N719:P719)</f>
        <v>0</v>
      </c>
      <c r="R719" s="38">
        <f>+E719+I719+M719+Q719</f>
        <v>16500</v>
      </c>
    </row>
    <row r="720" spans="1:20" ht="15.75" customHeight="1" x14ac:dyDescent="0.3">
      <c r="A720" s="234" t="s">
        <v>2161</v>
      </c>
      <c r="B720" s="172"/>
      <c r="C720" s="172"/>
      <c r="D720" s="172"/>
      <c r="E720" s="38" t="s">
        <v>852</v>
      </c>
      <c r="F720" s="172"/>
      <c r="G720" s="172"/>
      <c r="H720" s="172"/>
      <c r="I720" s="38" t="s">
        <v>852</v>
      </c>
      <c r="J720" s="172"/>
      <c r="K720" s="172"/>
      <c r="L720" s="172"/>
      <c r="M720" s="38" t="s">
        <v>852</v>
      </c>
      <c r="N720" s="172"/>
      <c r="O720" s="172"/>
      <c r="P720" s="172"/>
      <c r="Q720" s="38" t="s">
        <v>852</v>
      </c>
      <c r="R720" s="38" t="s">
        <v>852</v>
      </c>
    </row>
    <row r="721" spans="1:20" ht="15.75" customHeight="1" x14ac:dyDescent="0.3">
      <c r="A721" s="234" t="s">
        <v>2162</v>
      </c>
      <c r="B721" s="172"/>
      <c r="C721" s="172"/>
      <c r="D721" s="172"/>
      <c r="E721" s="38" t="s">
        <v>852</v>
      </c>
      <c r="F721" s="172"/>
      <c r="G721" s="172"/>
      <c r="H721" s="172"/>
      <c r="I721" s="38" t="s">
        <v>852</v>
      </c>
      <c r="J721" s="172"/>
      <c r="K721" s="172"/>
      <c r="L721" s="172"/>
      <c r="M721" s="38" t="s">
        <v>852</v>
      </c>
      <c r="N721" s="172"/>
      <c r="O721" s="172"/>
      <c r="P721" s="172"/>
      <c r="Q721" s="38" t="s">
        <v>852</v>
      </c>
      <c r="R721" s="38" t="s">
        <v>852</v>
      </c>
    </row>
    <row r="722" spans="1:20" ht="15.75" customHeight="1" x14ac:dyDescent="0.3">
      <c r="A722" s="266" t="s">
        <v>447</v>
      </c>
      <c r="B722" s="172"/>
      <c r="C722" s="172"/>
      <c r="D722" s="172"/>
      <c r="E722" s="38">
        <f>SUM(B722:D722)</f>
        <v>0</v>
      </c>
      <c r="F722" s="172"/>
      <c r="G722" s="172"/>
      <c r="H722" s="172"/>
      <c r="I722" s="38">
        <f>SUM(F722:H722)</f>
        <v>0</v>
      </c>
      <c r="J722" s="172"/>
      <c r="K722" s="172"/>
      <c r="L722" s="172">
        <v>288</v>
      </c>
      <c r="M722" s="38">
        <f>SUM(J722:L722)</f>
        <v>288</v>
      </c>
      <c r="N722" s="172">
        <v>1106</v>
      </c>
      <c r="O722" s="172"/>
      <c r="P722" s="172"/>
      <c r="Q722" s="38">
        <f>SUM(N722:P722)</f>
        <v>1106</v>
      </c>
      <c r="R722" s="38">
        <f>+E722+I722+M722+Q722</f>
        <v>1394</v>
      </c>
    </row>
    <row r="723" spans="1:20" ht="15.75" customHeight="1" thickBot="1" x14ac:dyDescent="0.35">
      <c r="A723" s="234" t="s">
        <v>2164</v>
      </c>
      <c r="B723" s="172"/>
      <c r="C723" s="172"/>
      <c r="D723" s="172"/>
      <c r="E723" s="38" t="s">
        <v>852</v>
      </c>
      <c r="F723" s="172"/>
      <c r="G723" s="172"/>
      <c r="H723" s="172"/>
      <c r="I723" s="38" t="s">
        <v>852</v>
      </c>
      <c r="J723" s="172"/>
      <c r="K723" s="172"/>
      <c r="L723" s="172"/>
      <c r="M723" s="38" t="s">
        <v>852</v>
      </c>
      <c r="N723" s="172"/>
      <c r="O723" s="172"/>
      <c r="P723" s="172"/>
      <c r="Q723" s="38" t="s">
        <v>852</v>
      </c>
      <c r="R723" s="38" t="s">
        <v>852</v>
      </c>
    </row>
    <row r="724" spans="1:20" ht="16.5" customHeight="1" thickBot="1" x14ac:dyDescent="0.35">
      <c r="A724" s="43" t="s">
        <v>1218</v>
      </c>
      <c r="B724" s="45">
        <f>SUM(B714:B723)</f>
        <v>165</v>
      </c>
      <c r="C724" s="46">
        <f>SUM(C714:C723)</f>
        <v>2583</v>
      </c>
      <c r="D724" s="46">
        <f>SUM(D714:D723)</f>
        <v>2588</v>
      </c>
      <c r="E724" s="37">
        <f>SUM(B724:D724)</f>
        <v>5336</v>
      </c>
      <c r="F724" s="46">
        <f>SUM(F714:F723)</f>
        <v>2428</v>
      </c>
      <c r="G724" s="46">
        <f>SUM(G714:G723)</f>
        <v>1568</v>
      </c>
      <c r="H724" s="46">
        <f>SUM(H714:H723)</f>
        <v>2117</v>
      </c>
      <c r="I724" s="37">
        <f>SUM(F724:H724)</f>
        <v>6113</v>
      </c>
      <c r="J724" s="46">
        <f>SUM(J714:J723)</f>
        <v>1862</v>
      </c>
      <c r="K724" s="46">
        <f>SUM(K714:K723)</f>
        <v>2709</v>
      </c>
      <c r="L724" s="46">
        <f>SUM(L714:L723)</f>
        <v>1318</v>
      </c>
      <c r="M724" s="37">
        <f>SUM(J724:L724)</f>
        <v>5889</v>
      </c>
      <c r="N724" s="46">
        <f>SUM(N714:N723)</f>
        <v>1106</v>
      </c>
      <c r="O724" s="46">
        <f>SUM(O714:O723)</f>
        <v>0</v>
      </c>
      <c r="P724" s="46">
        <f>SUM(P714:P723)</f>
        <v>0</v>
      </c>
      <c r="Q724" s="37">
        <f>SUM(N724:P724)</f>
        <v>1106</v>
      </c>
      <c r="R724" s="37">
        <f>+E724+I724+M724+Q724</f>
        <v>18444</v>
      </c>
    </row>
    <row r="725" spans="1:20" ht="15.75" customHeight="1" x14ac:dyDescent="0.3">
      <c r="A725" s="234" t="s">
        <v>1172</v>
      </c>
      <c r="B725" s="172"/>
      <c r="C725" s="172"/>
      <c r="D725" s="172"/>
      <c r="E725" s="38" t="s">
        <v>852</v>
      </c>
      <c r="F725" s="172"/>
      <c r="G725" s="172"/>
      <c r="H725" s="172"/>
      <c r="I725" s="38" t="s">
        <v>852</v>
      </c>
      <c r="J725" s="172"/>
      <c r="K725" s="172"/>
      <c r="L725" s="172"/>
      <c r="M725" s="38" t="s">
        <v>852</v>
      </c>
      <c r="N725" s="172"/>
      <c r="O725" s="172"/>
      <c r="P725" s="172"/>
      <c r="Q725" s="38" t="s">
        <v>852</v>
      </c>
      <c r="R725" s="38" t="s">
        <v>852</v>
      </c>
    </row>
    <row r="726" spans="1:20" ht="15.75" customHeight="1" x14ac:dyDescent="0.3">
      <c r="A726" s="234" t="s">
        <v>2409</v>
      </c>
      <c r="B726" s="172"/>
      <c r="C726" s="172"/>
      <c r="D726" s="172"/>
      <c r="E726" s="38" t="s">
        <v>852</v>
      </c>
      <c r="F726" s="172"/>
      <c r="G726" s="172"/>
      <c r="H726" s="172"/>
      <c r="I726" s="38" t="s">
        <v>852</v>
      </c>
      <c r="J726" s="172"/>
      <c r="K726" s="172"/>
      <c r="L726" s="172"/>
      <c r="M726" s="38" t="s">
        <v>852</v>
      </c>
      <c r="N726" s="172"/>
      <c r="O726" s="172"/>
      <c r="P726" s="172"/>
      <c r="Q726" s="38" t="s">
        <v>852</v>
      </c>
      <c r="R726" s="38" t="s">
        <v>852</v>
      </c>
    </row>
    <row r="727" spans="1:20" ht="15.75" customHeight="1" x14ac:dyDescent="0.3">
      <c r="A727" s="539" t="s">
        <v>1648</v>
      </c>
      <c r="B727" s="172"/>
      <c r="C727" s="172"/>
      <c r="D727" s="172"/>
      <c r="E727" s="38">
        <f>SUM(B727:D727)</f>
        <v>0</v>
      </c>
      <c r="F727" s="172"/>
      <c r="G727" s="172"/>
      <c r="H727" s="172"/>
      <c r="I727" s="38">
        <f>SUM(F727:H727)</f>
        <v>0</v>
      </c>
      <c r="J727" s="172"/>
      <c r="K727" s="172"/>
      <c r="L727" s="172"/>
      <c r="M727" s="38">
        <f>SUM(J727:L727)</f>
        <v>0</v>
      </c>
      <c r="N727" s="172"/>
      <c r="O727" s="172"/>
      <c r="P727" s="172"/>
      <c r="Q727" s="38">
        <f>SUM(N727:P727)</f>
        <v>0</v>
      </c>
      <c r="R727" s="38">
        <f>+E727+I727+M727+Q727</f>
        <v>0</v>
      </c>
    </row>
    <row r="728" spans="1:20" ht="15.75" customHeight="1" thickBot="1" x14ac:dyDescent="0.35">
      <c r="A728" s="234" t="s">
        <v>2165</v>
      </c>
      <c r="B728" s="172"/>
      <c r="C728" s="172"/>
      <c r="D728" s="172"/>
      <c r="E728" s="38" t="s">
        <v>852</v>
      </c>
      <c r="F728" s="172"/>
      <c r="G728" s="172"/>
      <c r="H728" s="172"/>
      <c r="I728" s="38" t="s">
        <v>852</v>
      </c>
      <c r="J728" s="172"/>
      <c r="K728" s="172"/>
      <c r="L728" s="172"/>
      <c r="M728" s="38" t="s">
        <v>852</v>
      </c>
      <c r="N728" s="172"/>
      <c r="O728" s="172"/>
      <c r="P728" s="172"/>
      <c r="Q728" s="38" t="s">
        <v>852</v>
      </c>
      <c r="R728" s="38" t="s">
        <v>852</v>
      </c>
    </row>
    <row r="729" spans="1:20" ht="16.5" customHeight="1" thickBot="1" x14ac:dyDescent="0.35">
      <c r="A729" s="43" t="s">
        <v>1219</v>
      </c>
      <c r="B729" s="45">
        <f>SUM(B725:B728)</f>
        <v>0</v>
      </c>
      <c r="C729" s="46">
        <f>SUM(C725:C728)</f>
        <v>0</v>
      </c>
      <c r="D729" s="46">
        <f>SUM(D725:D728)</f>
        <v>0</v>
      </c>
      <c r="E729" s="37">
        <f>SUM(B729:D729)</f>
        <v>0</v>
      </c>
      <c r="F729" s="46">
        <f>SUM(F725:F728)</f>
        <v>0</v>
      </c>
      <c r="G729" s="46">
        <f>SUM(G725:G728)</f>
        <v>0</v>
      </c>
      <c r="H729" s="46">
        <f>SUM(H725:H728)</f>
        <v>0</v>
      </c>
      <c r="I729" s="37">
        <f>SUM(F729:H729)</f>
        <v>0</v>
      </c>
      <c r="J729" s="46">
        <f>SUM(J725:J728)</f>
        <v>0</v>
      </c>
      <c r="K729" s="46">
        <f>SUM(K725:K728)</f>
        <v>0</v>
      </c>
      <c r="L729" s="46">
        <f>SUM(L725:L728)</f>
        <v>0</v>
      </c>
      <c r="M729" s="37">
        <f>SUM(J729:L729)</f>
        <v>0</v>
      </c>
      <c r="N729" s="46">
        <f>SUM(N725:N728)</f>
        <v>0</v>
      </c>
      <c r="O729" s="46">
        <f>SUM(O725:O728)</f>
        <v>0</v>
      </c>
      <c r="P729" s="46">
        <f>SUM(P725:P728)</f>
        <v>0</v>
      </c>
      <c r="Q729" s="37">
        <f>SUM(N729:P729)</f>
        <v>0</v>
      </c>
      <c r="R729" s="37">
        <f>+E729+I729+M729+Q729</f>
        <v>0</v>
      </c>
    </row>
    <row r="730" spans="1:20" ht="15.75" customHeight="1" x14ac:dyDescent="0.3">
      <c r="A730" s="234" t="s">
        <v>2166</v>
      </c>
      <c r="B730" s="172"/>
      <c r="C730" s="172"/>
      <c r="D730" s="172"/>
      <c r="E730" s="38" t="s">
        <v>852</v>
      </c>
      <c r="F730" s="172"/>
      <c r="G730" s="172"/>
      <c r="H730" s="172"/>
      <c r="I730" s="38" t="s">
        <v>852</v>
      </c>
      <c r="J730" s="172" t="s">
        <v>852</v>
      </c>
      <c r="K730" s="172"/>
      <c r="L730" s="172"/>
      <c r="M730" s="38" t="s">
        <v>852</v>
      </c>
      <c r="N730" s="172"/>
      <c r="O730" s="172"/>
      <c r="P730" s="172"/>
      <c r="Q730" s="38" t="s">
        <v>852</v>
      </c>
      <c r="R730" s="38" t="s">
        <v>852</v>
      </c>
    </row>
    <row r="731" spans="1:20" ht="18" customHeight="1" x14ac:dyDescent="0.3">
      <c r="A731" s="234" t="s">
        <v>1245</v>
      </c>
      <c r="B731" s="172"/>
      <c r="C731" s="172"/>
      <c r="D731" s="172"/>
      <c r="E731" s="38" t="s">
        <v>852</v>
      </c>
      <c r="F731" s="172"/>
      <c r="G731" s="172"/>
      <c r="H731" s="172"/>
      <c r="I731" s="38" t="s">
        <v>852</v>
      </c>
      <c r="J731" s="172"/>
      <c r="K731" s="172"/>
      <c r="L731" s="172"/>
      <c r="M731" s="38" t="s">
        <v>852</v>
      </c>
      <c r="N731" s="172"/>
      <c r="O731" s="172"/>
      <c r="P731" s="172"/>
      <c r="Q731" s="38" t="s">
        <v>852</v>
      </c>
      <c r="R731" s="38" t="s">
        <v>852</v>
      </c>
    </row>
    <row r="732" spans="1:20" ht="15.75" customHeight="1" x14ac:dyDescent="0.3">
      <c r="A732" s="539" t="s">
        <v>2750</v>
      </c>
      <c r="B732" s="172">
        <v>175</v>
      </c>
      <c r="C732" s="172">
        <v>241</v>
      </c>
      <c r="D732" s="172">
        <v>676</v>
      </c>
      <c r="E732" s="38">
        <f>SUM(B732:D732)</f>
        <v>1092</v>
      </c>
      <c r="F732" s="172">
        <v>832</v>
      </c>
      <c r="G732" s="172">
        <v>898</v>
      </c>
      <c r="H732" s="172">
        <v>1186</v>
      </c>
      <c r="I732" s="38">
        <f>SUM(F732:H732)</f>
        <v>2916</v>
      </c>
      <c r="J732" s="172">
        <f>711+136</f>
        <v>847</v>
      </c>
      <c r="K732" s="172">
        <f>520+122</f>
        <v>642</v>
      </c>
      <c r="L732" s="172">
        <f>786+142</f>
        <v>928</v>
      </c>
      <c r="M732" s="38">
        <f>SUM(J732:L732)</f>
        <v>2417</v>
      </c>
      <c r="N732" s="172">
        <f>742+71</f>
        <v>813</v>
      </c>
      <c r="O732" s="172">
        <f>17+46</f>
        <v>63</v>
      </c>
      <c r="P732" s="172">
        <v>366</v>
      </c>
      <c r="Q732" s="38">
        <f>SUM(N732:P732)</f>
        <v>1242</v>
      </c>
      <c r="R732" s="38">
        <f>+E732+I732+M732+Q732</f>
        <v>7667</v>
      </c>
      <c r="T732" t="s">
        <v>2805</v>
      </c>
    </row>
    <row r="733" spans="1:20" ht="15.75" customHeight="1" x14ac:dyDescent="0.3">
      <c r="A733" s="539" t="s">
        <v>2702</v>
      </c>
      <c r="B733" s="172"/>
      <c r="C733" s="172"/>
      <c r="D733" s="172"/>
      <c r="E733" s="38">
        <f>SUM(B733:D733)</f>
        <v>0</v>
      </c>
      <c r="F733" s="172"/>
      <c r="G733" s="172"/>
      <c r="H733" s="172"/>
      <c r="I733" s="38">
        <f>SUM(F733:H733)</f>
        <v>0</v>
      </c>
      <c r="J733" s="172"/>
      <c r="K733" s="172"/>
      <c r="L733" s="172"/>
      <c r="M733" s="38">
        <f>SUM(J733:L733)</f>
        <v>0</v>
      </c>
      <c r="N733" s="172"/>
      <c r="O733" s="172"/>
      <c r="P733" s="172"/>
      <c r="Q733" s="38">
        <f>SUM(N733:P733)</f>
        <v>0</v>
      </c>
      <c r="R733" s="38">
        <f>+E733+I733+M733+Q733</f>
        <v>0</v>
      </c>
    </row>
    <row r="734" spans="1:20" ht="15.75" customHeight="1" x14ac:dyDescent="0.3">
      <c r="A734" s="234" t="s">
        <v>1711</v>
      </c>
      <c r="B734" s="172"/>
      <c r="C734" s="172"/>
      <c r="D734" s="172"/>
      <c r="E734" s="38" t="s">
        <v>852</v>
      </c>
      <c r="F734" s="172"/>
      <c r="G734" s="172"/>
      <c r="H734" s="172"/>
      <c r="I734" s="38" t="s">
        <v>852</v>
      </c>
      <c r="J734" s="172"/>
      <c r="K734" s="172"/>
      <c r="L734" s="172"/>
      <c r="M734" s="38" t="s">
        <v>852</v>
      </c>
      <c r="N734" s="172"/>
      <c r="O734" s="172"/>
      <c r="P734" s="172"/>
      <c r="Q734" s="38" t="s">
        <v>852</v>
      </c>
      <c r="R734" s="38" t="s">
        <v>852</v>
      </c>
    </row>
    <row r="735" spans="1:20" ht="15.75" customHeight="1" x14ac:dyDescent="0.3">
      <c r="A735" s="539" t="s">
        <v>2935</v>
      </c>
      <c r="B735" s="172">
        <v>10</v>
      </c>
      <c r="C735" s="172">
        <v>20</v>
      </c>
      <c r="D735" s="172">
        <v>57</v>
      </c>
      <c r="E735" s="38">
        <f>SUM(B735:D735)</f>
        <v>87</v>
      </c>
      <c r="F735" s="172">
        <v>78</v>
      </c>
      <c r="G735" s="172">
        <v>74</v>
      </c>
      <c r="H735" s="172">
        <v>90</v>
      </c>
      <c r="I735" s="38">
        <f>SUM(F735:H735)</f>
        <v>242</v>
      </c>
      <c r="J735" s="172">
        <v>75</v>
      </c>
      <c r="K735" s="172">
        <v>77</v>
      </c>
      <c r="L735" s="172">
        <v>32</v>
      </c>
      <c r="M735" s="38">
        <f>SUM(J735:L735)</f>
        <v>184</v>
      </c>
      <c r="N735" s="172">
        <v>68</v>
      </c>
      <c r="O735" s="172">
        <v>35</v>
      </c>
      <c r="P735" s="172">
        <v>28</v>
      </c>
      <c r="Q735" s="38">
        <f>SUM(N735:P735)</f>
        <v>131</v>
      </c>
      <c r="R735" s="38">
        <f>+E735+I735+M735+Q735</f>
        <v>644</v>
      </c>
      <c r="T735" t="s">
        <v>2785</v>
      </c>
    </row>
    <row r="736" spans="1:20" ht="15.75" customHeight="1" x14ac:dyDescent="0.3">
      <c r="A736" s="539" t="s">
        <v>2749</v>
      </c>
      <c r="B736" s="172"/>
      <c r="C736" s="172"/>
      <c r="D736" s="172"/>
      <c r="E736" s="38">
        <f>SUM(B736:D736)</f>
        <v>0</v>
      </c>
      <c r="F736" s="172"/>
      <c r="G736" s="172"/>
      <c r="H736" s="172"/>
      <c r="I736" s="38">
        <f>SUM(F736:H736)</f>
        <v>0</v>
      </c>
      <c r="J736" s="172"/>
      <c r="K736" s="172"/>
      <c r="L736" s="172"/>
      <c r="M736" s="38">
        <f>SUM(J736:L736)</f>
        <v>0</v>
      </c>
      <c r="N736" s="172"/>
      <c r="O736" s="172"/>
      <c r="P736" s="172"/>
      <c r="Q736" s="38">
        <f>SUM(N736:P736)</f>
        <v>0</v>
      </c>
      <c r="R736" s="38">
        <f>+E736+I736+M736+Q736</f>
        <v>0</v>
      </c>
    </row>
    <row r="737" spans="1:20" ht="15.75" customHeight="1" x14ac:dyDescent="0.3">
      <c r="A737" s="310" t="s">
        <v>783</v>
      </c>
      <c r="B737" s="172"/>
      <c r="C737" s="172"/>
      <c r="D737" s="172"/>
      <c r="E737" s="38">
        <f>SUM(B737:D737)</f>
        <v>0</v>
      </c>
      <c r="F737" s="172"/>
      <c r="G737" s="172"/>
      <c r="H737" s="172"/>
      <c r="I737" s="38">
        <f>SUM(F737:H737)</f>
        <v>0</v>
      </c>
      <c r="J737" s="172"/>
      <c r="K737" s="172"/>
      <c r="L737" s="172"/>
      <c r="M737" s="38">
        <f>SUM(J737:L737)</f>
        <v>0</v>
      </c>
      <c r="N737" s="172"/>
      <c r="O737" s="172"/>
      <c r="P737" s="172"/>
      <c r="Q737" s="38">
        <f>SUM(N737:P737)</f>
        <v>0</v>
      </c>
      <c r="R737" s="38">
        <f>+E737+I737+M737+Q737</f>
        <v>0</v>
      </c>
      <c r="T737" t="s">
        <v>2765</v>
      </c>
    </row>
    <row r="738" spans="1:20" ht="15.75" customHeight="1" thickBot="1" x14ac:dyDescent="0.35">
      <c r="A738" s="539" t="s">
        <v>2540</v>
      </c>
      <c r="B738" s="172">
        <v>804</v>
      </c>
      <c r="C738" s="172">
        <v>896</v>
      </c>
      <c r="D738" s="172">
        <v>830</v>
      </c>
      <c r="E738" s="38">
        <f>SUM(B738:D738)</f>
        <v>2530</v>
      </c>
      <c r="F738" s="172">
        <v>713</v>
      </c>
      <c r="G738" s="172">
        <v>903</v>
      </c>
      <c r="H738" s="172">
        <v>979</v>
      </c>
      <c r="I738" s="38">
        <f>SUM(F738:H738)</f>
        <v>2595</v>
      </c>
      <c r="J738" s="172">
        <f>302+608</f>
        <v>910</v>
      </c>
      <c r="K738" s="172">
        <f>275+506</f>
        <v>781</v>
      </c>
      <c r="L738" s="172">
        <f>238+551</f>
        <v>789</v>
      </c>
      <c r="M738" s="38">
        <f>SUM(J738:L738)</f>
        <v>2480</v>
      </c>
      <c r="N738" s="172">
        <f>131+281</f>
        <v>412</v>
      </c>
      <c r="O738" s="172">
        <f>229+79</f>
        <v>308</v>
      </c>
      <c r="P738" s="172">
        <v>731</v>
      </c>
      <c r="Q738" s="38">
        <f>SUM(N738:P738)</f>
        <v>1451</v>
      </c>
      <c r="R738" s="38">
        <f>+E738+I738+M738+Q738</f>
        <v>9056</v>
      </c>
      <c r="T738" t="s">
        <v>2806</v>
      </c>
    </row>
    <row r="739" spans="1:20" ht="16.5" customHeight="1" thickBot="1" x14ac:dyDescent="0.35">
      <c r="A739" s="43" t="s">
        <v>1220</v>
      </c>
      <c r="B739" s="45">
        <f>SUM(B730:B738)</f>
        <v>989</v>
      </c>
      <c r="C739" s="46">
        <f>SUM(C730:C738)</f>
        <v>1157</v>
      </c>
      <c r="D739" s="46">
        <f>SUM(D730:D738)</f>
        <v>1563</v>
      </c>
      <c r="E739" s="37">
        <f>SUM(B739:D739)</f>
        <v>3709</v>
      </c>
      <c r="F739" s="46">
        <f>SUM(F730:F738)</f>
        <v>1623</v>
      </c>
      <c r="G739" s="46">
        <f>SUM(G730:G738)</f>
        <v>1875</v>
      </c>
      <c r="H739" s="46">
        <f>SUM(H730:H738)</f>
        <v>2255</v>
      </c>
      <c r="I739" s="37">
        <f>SUM(F739:H739)</f>
        <v>5753</v>
      </c>
      <c r="J739" s="46">
        <f>SUM(J730:J738)</f>
        <v>1832</v>
      </c>
      <c r="K739" s="46">
        <f>SUM(K730:K738)</f>
        <v>1500</v>
      </c>
      <c r="L739" s="46">
        <f>SUM(L730:L738)</f>
        <v>1749</v>
      </c>
      <c r="M739" s="37">
        <f>SUM(J739:L739)</f>
        <v>5081</v>
      </c>
      <c r="N739" s="46">
        <f>SUM(N730:N738)</f>
        <v>1293</v>
      </c>
      <c r="O739" s="46">
        <f>SUM(O730:O738)</f>
        <v>406</v>
      </c>
      <c r="P739" s="46">
        <f>SUM(P730:P738)</f>
        <v>1125</v>
      </c>
      <c r="Q739" s="37">
        <f>SUM(N739:P739)</f>
        <v>2824</v>
      </c>
      <c r="R739" s="37">
        <f>+E739+I739+M739+Q739</f>
        <v>17367</v>
      </c>
    </row>
    <row r="740" spans="1:20" ht="15.75" customHeight="1" x14ac:dyDescent="0.3">
      <c r="A740" s="234" t="s">
        <v>1712</v>
      </c>
      <c r="B740" s="172"/>
      <c r="C740" s="172"/>
      <c r="D740" s="172"/>
      <c r="E740" s="38" t="s">
        <v>852</v>
      </c>
      <c r="F740" s="172"/>
      <c r="G740" s="172"/>
      <c r="H740" s="172"/>
      <c r="I740" s="38" t="s">
        <v>852</v>
      </c>
      <c r="J740" s="172"/>
      <c r="K740" s="172"/>
      <c r="L740" s="172"/>
      <c r="M740" s="38" t="s">
        <v>852</v>
      </c>
      <c r="N740" s="172"/>
      <c r="O740" s="172"/>
      <c r="P740" s="172"/>
      <c r="Q740" s="38" t="s">
        <v>852</v>
      </c>
      <c r="R740" s="38" t="s">
        <v>852</v>
      </c>
    </row>
    <row r="741" spans="1:20" ht="15.75" customHeight="1" x14ac:dyDescent="0.3">
      <c r="A741" s="234" t="s">
        <v>1021</v>
      </c>
      <c r="B741" s="172"/>
      <c r="C741" s="172"/>
      <c r="D741" s="172"/>
      <c r="E741" s="38" t="s">
        <v>852</v>
      </c>
      <c r="F741" s="172"/>
      <c r="G741" s="172"/>
      <c r="H741" s="172"/>
      <c r="I741" s="38" t="s">
        <v>852</v>
      </c>
      <c r="J741" s="172"/>
      <c r="K741" s="172"/>
      <c r="L741" s="172"/>
      <c r="M741" s="38" t="s">
        <v>852</v>
      </c>
      <c r="N741" s="172"/>
      <c r="O741" s="172"/>
      <c r="P741" s="172"/>
      <c r="Q741" s="38" t="s">
        <v>852</v>
      </c>
      <c r="R741" s="38" t="s">
        <v>852</v>
      </c>
    </row>
    <row r="742" spans="1:20" ht="15.75" customHeight="1" x14ac:dyDescent="0.3">
      <c r="A742" s="266" t="s">
        <v>447</v>
      </c>
      <c r="B742" s="172"/>
      <c r="C742" s="172"/>
      <c r="D742" s="172"/>
      <c r="E742" s="38">
        <f>SUM(B742:D742)</f>
        <v>0</v>
      </c>
      <c r="F742" s="172"/>
      <c r="G742" s="172"/>
      <c r="H742" s="172"/>
      <c r="I742" s="38">
        <f>SUM(F742:H742)</f>
        <v>0</v>
      </c>
      <c r="J742" s="172"/>
      <c r="K742" s="172"/>
      <c r="L742" s="172"/>
      <c r="M742" s="38">
        <f>SUM(J742:L742)</f>
        <v>0</v>
      </c>
      <c r="N742" s="172"/>
      <c r="O742" s="172"/>
      <c r="P742" s="172"/>
      <c r="Q742" s="38">
        <f>SUM(N742:P742)</f>
        <v>0</v>
      </c>
      <c r="R742" s="38">
        <f>+E742+I742+M742+Q742</f>
        <v>0</v>
      </c>
    </row>
    <row r="743" spans="1:20" ht="15.75" customHeight="1" x14ac:dyDescent="0.3">
      <c r="A743" s="266" t="s">
        <v>2392</v>
      </c>
      <c r="B743" s="172"/>
      <c r="C743" s="172"/>
      <c r="D743" s="172"/>
      <c r="E743" s="38">
        <f>SUM(B743:D743)</f>
        <v>0</v>
      </c>
      <c r="F743" s="172"/>
      <c r="G743" s="172"/>
      <c r="H743" s="172"/>
      <c r="I743" s="38">
        <f>SUM(F743:H743)</f>
        <v>0</v>
      </c>
      <c r="J743" s="172"/>
      <c r="K743" s="172"/>
      <c r="L743" s="172"/>
      <c r="M743" s="38">
        <f>SUM(J743:L743)</f>
        <v>0</v>
      </c>
      <c r="N743" s="172"/>
      <c r="O743" s="172"/>
      <c r="P743" s="172"/>
      <c r="Q743" s="38">
        <f>SUM(N743:P743)</f>
        <v>0</v>
      </c>
      <c r="R743" s="38">
        <f>+E743+I743+M743+Q743</f>
        <v>0</v>
      </c>
    </row>
    <row r="744" spans="1:20" ht="15.75" customHeight="1" x14ac:dyDescent="0.3">
      <c r="A744" s="234" t="s">
        <v>557</v>
      </c>
      <c r="B744" s="172"/>
      <c r="C744" s="172"/>
      <c r="D744" s="172"/>
      <c r="E744" s="38" t="s">
        <v>852</v>
      </c>
      <c r="F744" s="172"/>
      <c r="G744" s="172"/>
      <c r="H744" s="172"/>
      <c r="I744" s="38" t="s">
        <v>852</v>
      </c>
      <c r="J744" s="172"/>
      <c r="K744" s="172"/>
      <c r="L744" s="172"/>
      <c r="M744" s="38" t="s">
        <v>852</v>
      </c>
      <c r="N744" s="172"/>
      <c r="O744" s="172"/>
      <c r="P744" s="172"/>
      <c r="Q744" s="38" t="s">
        <v>852</v>
      </c>
      <c r="R744" s="38" t="s">
        <v>852</v>
      </c>
    </row>
    <row r="745" spans="1:20" ht="15.75" customHeight="1" x14ac:dyDescent="0.3">
      <c r="A745" s="539" t="s">
        <v>2589</v>
      </c>
      <c r="B745" s="172"/>
      <c r="C745" s="172"/>
      <c r="D745" s="172"/>
      <c r="E745" s="38">
        <f>SUM(B745:D745)</f>
        <v>0</v>
      </c>
      <c r="F745" s="172"/>
      <c r="G745" s="172"/>
      <c r="H745" s="172">
        <v>500</v>
      </c>
      <c r="I745" s="38">
        <f>SUM(F745:H745)</f>
        <v>500</v>
      </c>
      <c r="J745" s="172"/>
      <c r="K745" s="172"/>
      <c r="L745" s="172"/>
      <c r="M745" s="38">
        <f>SUM(J745:L745)</f>
        <v>0</v>
      </c>
      <c r="N745" s="172">
        <v>800</v>
      </c>
      <c r="O745" s="172"/>
      <c r="P745" s="172"/>
      <c r="Q745" s="38">
        <f>SUM(N745:P745)</f>
        <v>800</v>
      </c>
      <c r="R745" s="38">
        <f>+E745+I745+M745+Q745</f>
        <v>1300</v>
      </c>
    </row>
    <row r="746" spans="1:20" ht="15.75" customHeight="1" x14ac:dyDescent="0.3">
      <c r="A746" s="539" t="s">
        <v>2590</v>
      </c>
      <c r="B746" s="172"/>
      <c r="C746" s="172"/>
      <c r="D746" s="172"/>
      <c r="E746" s="38">
        <f>SUM(B746:D746)</f>
        <v>0</v>
      </c>
      <c r="F746" s="172"/>
      <c r="G746" s="172"/>
      <c r="H746" s="172"/>
      <c r="I746" s="38">
        <f>SUM(F746:H746)</f>
        <v>0</v>
      </c>
      <c r="J746" s="172"/>
      <c r="K746" s="172"/>
      <c r="L746" s="172"/>
      <c r="M746" s="38">
        <f>SUM(J746:L746)</f>
        <v>0</v>
      </c>
      <c r="N746" s="172"/>
      <c r="O746" s="172"/>
      <c r="P746" s="172"/>
      <c r="Q746" s="38">
        <f>SUM(N746:P746)</f>
        <v>0</v>
      </c>
      <c r="R746" s="38">
        <f>+E746+I746+M746+Q746</f>
        <v>0</v>
      </c>
    </row>
    <row r="747" spans="1:20" ht="15.75" customHeight="1" x14ac:dyDescent="0.3">
      <c r="A747" s="234" t="s">
        <v>1022</v>
      </c>
      <c r="B747" s="172"/>
      <c r="C747" s="172"/>
      <c r="D747" s="172"/>
      <c r="E747" s="38" t="s">
        <v>852</v>
      </c>
      <c r="F747" s="172"/>
      <c r="G747" s="172"/>
      <c r="H747" s="172"/>
      <c r="I747" s="38" t="s">
        <v>852</v>
      </c>
      <c r="J747" s="172"/>
      <c r="K747" s="172"/>
      <c r="L747" s="172"/>
      <c r="M747" s="38" t="s">
        <v>852</v>
      </c>
      <c r="N747" s="172"/>
      <c r="O747" s="172"/>
      <c r="P747" s="172"/>
      <c r="Q747" s="38" t="s">
        <v>852</v>
      </c>
      <c r="R747" s="38" t="s">
        <v>852</v>
      </c>
    </row>
    <row r="748" spans="1:20" ht="15.75" customHeight="1" thickBot="1" x14ac:dyDescent="0.35">
      <c r="A748" s="234" t="s">
        <v>559</v>
      </c>
      <c r="B748" s="172"/>
      <c r="C748" s="172"/>
      <c r="D748" s="172"/>
      <c r="E748" s="38" t="s">
        <v>852</v>
      </c>
      <c r="F748" s="172"/>
      <c r="G748" s="172"/>
      <c r="H748" s="172"/>
      <c r="I748" s="38" t="s">
        <v>852</v>
      </c>
      <c r="J748" s="172"/>
      <c r="K748" s="172"/>
      <c r="L748" s="172"/>
      <c r="M748" s="38" t="s">
        <v>852</v>
      </c>
      <c r="N748" s="172"/>
      <c r="O748" s="172"/>
      <c r="P748" s="172"/>
      <c r="Q748" s="38" t="s">
        <v>852</v>
      </c>
      <c r="R748" s="38" t="s">
        <v>852</v>
      </c>
    </row>
    <row r="749" spans="1:20" ht="16.5" customHeight="1" thickBot="1" x14ac:dyDescent="0.35">
      <c r="A749" s="43" t="s">
        <v>1019</v>
      </c>
      <c r="B749" s="42">
        <f>SUM(B747:B748)</f>
        <v>0</v>
      </c>
      <c r="C749" s="42">
        <f>SUM(C747:C748)</f>
        <v>0</v>
      </c>
      <c r="D749" s="42">
        <f>SUM(D747:D748)</f>
        <v>0</v>
      </c>
      <c r="E749" s="39">
        <f>SUM(B749:D749)</f>
        <v>0</v>
      </c>
      <c r="F749" s="42">
        <f>SUM(F747:F748)</f>
        <v>0</v>
      </c>
      <c r="G749" s="42">
        <f>SUM(G747:G748)</f>
        <v>0</v>
      </c>
      <c r="H749" s="42">
        <f>SUM(H747:H748)</f>
        <v>0</v>
      </c>
      <c r="I749" s="39">
        <f>SUM(F749:H749)</f>
        <v>0</v>
      </c>
      <c r="J749" s="42">
        <f>SUM(J747:J748)</f>
        <v>0</v>
      </c>
      <c r="K749" s="42">
        <f>SUM(K747:K748)</f>
        <v>0</v>
      </c>
      <c r="L749" s="42">
        <f>SUM(L747:L748)</f>
        <v>0</v>
      </c>
      <c r="M749" s="39">
        <f>SUM(J749:L749)</f>
        <v>0</v>
      </c>
      <c r="N749" s="42">
        <f>SUM(N747:N748)</f>
        <v>0</v>
      </c>
      <c r="O749" s="42">
        <f>SUM(O747:O748)</f>
        <v>0</v>
      </c>
      <c r="P749" s="42">
        <f>SUM(P747:P748)</f>
        <v>0</v>
      </c>
      <c r="Q749" s="39">
        <f>SUM(N749:P749)</f>
        <v>0</v>
      </c>
      <c r="R749" s="37">
        <f>+E749+I749+M749+Q749</f>
        <v>0</v>
      </c>
    </row>
    <row r="750" spans="1:20" ht="16.5" customHeight="1" thickBot="1" x14ac:dyDescent="0.35">
      <c r="A750" s="43" t="s">
        <v>1221</v>
      </c>
      <c r="B750" s="45">
        <f>SUM(B740:B748)</f>
        <v>0</v>
      </c>
      <c r="C750" s="46">
        <f>SUM(C740:C748)</f>
        <v>0</v>
      </c>
      <c r="D750" s="58">
        <f>SUM(D740:D748)</f>
        <v>0</v>
      </c>
      <c r="E750" s="39">
        <f>SUM(B750:D750)</f>
        <v>0</v>
      </c>
      <c r="F750" s="46">
        <f>SUM(F740:F748)</f>
        <v>0</v>
      </c>
      <c r="G750" s="46">
        <f>SUM(G740:G748)</f>
        <v>0</v>
      </c>
      <c r="H750" s="46">
        <f>SUM(H740:H748)</f>
        <v>500</v>
      </c>
      <c r="I750" s="39">
        <f>SUM(F750:H750)</f>
        <v>500</v>
      </c>
      <c r="J750" s="46">
        <f>SUM(J740:J748)</f>
        <v>0</v>
      </c>
      <c r="K750" s="46">
        <f>SUM(K740:K748)</f>
        <v>0</v>
      </c>
      <c r="L750" s="46">
        <f>SUM(L740:L748)</f>
        <v>0</v>
      </c>
      <c r="M750" s="39">
        <f>SUM(J750:L750)</f>
        <v>0</v>
      </c>
      <c r="N750" s="46">
        <f>SUM(N740:N748)</f>
        <v>800</v>
      </c>
      <c r="O750" s="46">
        <f>SUM(O740:O748)</f>
        <v>0</v>
      </c>
      <c r="P750" s="46">
        <f>SUM(P740:P748)</f>
        <v>0</v>
      </c>
      <c r="Q750" s="39">
        <f>SUM(N750:P750)</f>
        <v>800</v>
      </c>
      <c r="R750" s="37">
        <f>+E750+I750+M750+Q750</f>
        <v>1300</v>
      </c>
    </row>
    <row r="751" spans="1:20" ht="16.5" customHeight="1" thickBot="1" x14ac:dyDescent="0.35">
      <c r="A751" s="43" t="s">
        <v>1222</v>
      </c>
      <c r="B751" s="47">
        <f>+B724+B729+B739+B750</f>
        <v>1154</v>
      </c>
      <c r="C751" s="42">
        <f>+C724+C729+C739+C750</f>
        <v>3740</v>
      </c>
      <c r="D751" s="42">
        <f>+D724+D729+D739+D750</f>
        <v>4151</v>
      </c>
      <c r="E751" s="37">
        <f>SUM(B751:D751)</f>
        <v>9045</v>
      </c>
      <c r="F751" s="42">
        <f>+F724+F729+F739+F750</f>
        <v>4051</v>
      </c>
      <c r="G751" s="42">
        <f>+G724+G729+G739+G750</f>
        <v>3443</v>
      </c>
      <c r="H751" s="42">
        <f>+H724+H729+H739+H750</f>
        <v>4872</v>
      </c>
      <c r="I751" s="37">
        <f>SUM(F751:H751)</f>
        <v>12366</v>
      </c>
      <c r="J751" s="42">
        <f>+J724+J729+J739+J750</f>
        <v>3694</v>
      </c>
      <c r="K751" s="42">
        <f>+K724+K729+K739+K750</f>
        <v>4209</v>
      </c>
      <c r="L751" s="42">
        <f>+L724+L729+L739+L750</f>
        <v>3067</v>
      </c>
      <c r="M751" s="37">
        <f>SUM(J751:L751)</f>
        <v>10970</v>
      </c>
      <c r="N751" s="42">
        <f>+N724+N729+N739+N750</f>
        <v>3199</v>
      </c>
      <c r="O751" s="42">
        <f>+O724+O729+O739+O750</f>
        <v>406</v>
      </c>
      <c r="P751" s="42">
        <f>+P724+P729+P739+P750</f>
        <v>1125</v>
      </c>
      <c r="Q751" s="37">
        <f>SUM(N751:P751)</f>
        <v>4730</v>
      </c>
      <c r="R751" s="40">
        <f>+E751+I751+M751+Q751</f>
        <v>37111</v>
      </c>
    </row>
    <row r="752" spans="1:20" ht="16.5" customHeight="1" thickBot="1" x14ac:dyDescent="0.35">
      <c r="A752" s="244" t="s">
        <v>853</v>
      </c>
      <c r="B752" s="238">
        <v>11</v>
      </c>
      <c r="C752" s="238">
        <v>13</v>
      </c>
      <c r="D752" s="238">
        <v>17</v>
      </c>
      <c r="E752" s="38">
        <f>SUM(B752:D752)</f>
        <v>41</v>
      </c>
      <c r="F752" s="238">
        <v>21</v>
      </c>
      <c r="G752" s="238">
        <v>23</v>
      </c>
      <c r="H752" s="238">
        <v>25</v>
      </c>
      <c r="I752" s="38">
        <f>SUM(F752:H752)</f>
        <v>69</v>
      </c>
      <c r="J752" s="238">
        <v>25</v>
      </c>
      <c r="K752" s="238">
        <v>21</v>
      </c>
      <c r="L752" s="238">
        <v>19</v>
      </c>
      <c r="M752" s="38">
        <f>SUM(J752:L752)</f>
        <v>65</v>
      </c>
      <c r="N752" s="238">
        <v>17</v>
      </c>
      <c r="O752" s="238">
        <v>13</v>
      </c>
      <c r="P752" s="238">
        <v>11</v>
      </c>
      <c r="Q752" s="38">
        <f>SUM(N752:P752)</f>
        <v>41</v>
      </c>
      <c r="R752" s="38">
        <f>+E752+I752+M752+Q752</f>
        <v>216</v>
      </c>
    </row>
    <row r="753" spans="1:18" ht="16.5" customHeight="1" thickBot="1" x14ac:dyDescent="0.35">
      <c r="A753" s="22"/>
      <c r="B753" s="242"/>
      <c r="C753" s="242"/>
      <c r="D753" s="242"/>
      <c r="E753" s="37" t="s">
        <v>852</v>
      </c>
      <c r="F753" s="242"/>
      <c r="G753" s="242"/>
      <c r="H753" s="242"/>
      <c r="I753" s="37" t="s">
        <v>852</v>
      </c>
      <c r="J753" s="242"/>
      <c r="K753" s="242"/>
      <c r="L753" s="242"/>
      <c r="M753" s="37" t="s">
        <v>852</v>
      </c>
      <c r="N753" s="242"/>
      <c r="O753" s="242"/>
      <c r="P753" s="242"/>
      <c r="Q753" s="37" t="s">
        <v>852</v>
      </c>
      <c r="R753" s="37" t="s">
        <v>852</v>
      </c>
    </row>
    <row r="754" spans="1:18" ht="15.75" customHeight="1" x14ac:dyDescent="0.3">
      <c r="A754" s="234" t="s">
        <v>2011</v>
      </c>
      <c r="B754" s="172">
        <f>SUM(B751:B752)</f>
        <v>1165</v>
      </c>
      <c r="C754" s="172">
        <f>SUM(C751:C752)</f>
        <v>3753</v>
      </c>
      <c r="D754" s="172">
        <f>SUM(D751:D752)</f>
        <v>4168</v>
      </c>
      <c r="E754" s="39">
        <f>SUM(B754:D754)</f>
        <v>9086</v>
      </c>
      <c r="F754" s="172">
        <f>SUM(F751:F752)</f>
        <v>4072</v>
      </c>
      <c r="G754" s="172">
        <f>SUM(G751:G752)</f>
        <v>3466</v>
      </c>
      <c r="H754" s="172">
        <f>SUM(H751:H752)</f>
        <v>4897</v>
      </c>
      <c r="I754" s="39">
        <f>SUM(F754:H754)</f>
        <v>12435</v>
      </c>
      <c r="J754" s="172">
        <f>SUM(J751:J752)</f>
        <v>3719</v>
      </c>
      <c r="K754" s="172">
        <f>SUM(K751:K752)</f>
        <v>4230</v>
      </c>
      <c r="L754" s="172">
        <f>SUM(L751:L752)</f>
        <v>3086</v>
      </c>
      <c r="M754" s="39">
        <f>SUM(J754:L754)</f>
        <v>11035</v>
      </c>
      <c r="N754" s="172">
        <f>SUM(N751:N752)</f>
        <v>3216</v>
      </c>
      <c r="O754" s="172">
        <f>SUM(O751:O752)</f>
        <v>419</v>
      </c>
      <c r="P754" s="172">
        <f>SUM(P751:P752)</f>
        <v>1136</v>
      </c>
      <c r="Q754" s="39">
        <f>SUM(N754:P754)</f>
        <v>4771</v>
      </c>
      <c r="R754" s="39">
        <f>+E754+I754+M754+Q754</f>
        <v>37327</v>
      </c>
    </row>
    <row r="755" spans="1:18" ht="15.75" customHeight="1" x14ac:dyDescent="0.3">
      <c r="A755" s="234" t="s">
        <v>1897</v>
      </c>
      <c r="B755" s="172">
        <f>(B754/B10)/1.983</f>
        <v>18.951409561921491</v>
      </c>
      <c r="C755" s="172">
        <f>(C754/C10)/1.983</f>
        <v>67.592392478928019</v>
      </c>
      <c r="D755" s="172">
        <f>(D754/D10)/1.983</f>
        <v>67.802124509947447</v>
      </c>
      <c r="E755" s="38" t="s">
        <v>852</v>
      </c>
      <c r="F755" s="172">
        <f>(F754/F10)/1.983</f>
        <v>68.448478735921995</v>
      </c>
      <c r="G755" s="172">
        <f>(G754/G10)/1.983</f>
        <v>56.382476859759571</v>
      </c>
      <c r="H755" s="172">
        <f>(H754/H10)/1.983</f>
        <v>82.316355690031926</v>
      </c>
      <c r="I755" s="38" t="s">
        <v>852</v>
      </c>
      <c r="J755" s="172">
        <f>(J754/J10)/1.983</f>
        <v>60.498104859043806</v>
      </c>
      <c r="K755" s="172">
        <f>(K754/K10)/1.983</f>
        <v>68.810697379337256</v>
      </c>
      <c r="L755" s="172">
        <f>(L754/L10)/1.983</f>
        <v>51.874264582282734</v>
      </c>
      <c r="M755" s="38" t="s">
        <v>852</v>
      </c>
      <c r="N755" s="172">
        <f>(N754/N10)/1.983</f>
        <v>52.315650773510313</v>
      </c>
      <c r="O755" s="172">
        <f>(O754/O10)/1.983</f>
        <v>7.0432005379055305</v>
      </c>
      <c r="P755" s="172">
        <f>(P754/P10)/1.983</f>
        <v>18.479657735916582</v>
      </c>
      <c r="Q755" s="38" t="s">
        <v>852</v>
      </c>
      <c r="R755" s="38" t="s">
        <v>852</v>
      </c>
    </row>
    <row r="756" spans="1:18" ht="15.75" customHeight="1" x14ac:dyDescent="0.3">
      <c r="A756" s="234" t="s">
        <v>2050</v>
      </c>
      <c r="B756" s="172">
        <f>B754</f>
        <v>1165</v>
      </c>
      <c r="C756" s="172">
        <f>C754</f>
        <v>3753</v>
      </c>
      <c r="D756" s="172">
        <f>D754</f>
        <v>4168</v>
      </c>
      <c r="E756" s="38">
        <f>SUM(B756:D756)</f>
        <v>9086</v>
      </c>
      <c r="F756" s="172">
        <f>F754</f>
        <v>4072</v>
      </c>
      <c r="G756" s="172">
        <f>G754</f>
        <v>3466</v>
      </c>
      <c r="H756" s="172">
        <f>H754</f>
        <v>4897</v>
      </c>
      <c r="I756" s="38">
        <f>SUM(F756:H756)</f>
        <v>12435</v>
      </c>
      <c r="J756" s="172">
        <f>J754</f>
        <v>3719</v>
      </c>
      <c r="K756" s="172">
        <f>K754</f>
        <v>4230</v>
      </c>
      <c r="L756" s="172">
        <f>L754</f>
        <v>3086</v>
      </c>
      <c r="M756" s="38">
        <f>SUM(J756:L756)</f>
        <v>11035</v>
      </c>
      <c r="N756" s="172">
        <f>N754</f>
        <v>3216</v>
      </c>
      <c r="O756" s="172">
        <f>O754</f>
        <v>419</v>
      </c>
      <c r="P756" s="172">
        <f>P754</f>
        <v>1136</v>
      </c>
      <c r="Q756" s="38">
        <f>SUM(N756:P756)</f>
        <v>4771</v>
      </c>
      <c r="R756" s="38">
        <f>+E756+I756+M756+Q756</f>
        <v>37327</v>
      </c>
    </row>
    <row r="757" spans="1:18" ht="16.5" customHeight="1" thickBot="1" x14ac:dyDescent="0.35">
      <c r="A757" s="237" t="s">
        <v>2051</v>
      </c>
      <c r="B757" s="238">
        <f>(B756/B10)/1.983</f>
        <v>18.951409561921491</v>
      </c>
      <c r="C757" s="238">
        <f>(C756/C10)/1.983</f>
        <v>67.592392478928019</v>
      </c>
      <c r="D757" s="238">
        <f>(D756/D10)/1.983</f>
        <v>67.802124509947447</v>
      </c>
      <c r="E757" s="40" t="s">
        <v>852</v>
      </c>
      <c r="F757" s="238">
        <f>(F756/F10)/1.983</f>
        <v>68.448478735921995</v>
      </c>
      <c r="G757" s="238">
        <f>(G756/G10)/1.983</f>
        <v>56.382476859759571</v>
      </c>
      <c r="H757" s="238">
        <f>(H756/H10)/1.983</f>
        <v>82.316355690031926</v>
      </c>
      <c r="I757" s="40" t="s">
        <v>852</v>
      </c>
      <c r="J757" s="238">
        <f>(J756/J10)/1.983</f>
        <v>60.498104859043806</v>
      </c>
      <c r="K757" s="238">
        <f>(K756/K10)/1.983</f>
        <v>68.810697379337256</v>
      </c>
      <c r="L757" s="238">
        <f>(L756/L10)/1.983</f>
        <v>51.874264582282734</v>
      </c>
      <c r="M757" s="40" t="s">
        <v>852</v>
      </c>
      <c r="N757" s="238">
        <f>(N756/N10)/1.983</f>
        <v>52.315650773510313</v>
      </c>
      <c r="O757" s="238">
        <f>(O756/O10)/1.983</f>
        <v>7.0432005379055305</v>
      </c>
      <c r="P757" s="238">
        <f>(P756/P10)/1.983</f>
        <v>18.479657735916582</v>
      </c>
      <c r="Q757" s="40" t="s">
        <v>852</v>
      </c>
      <c r="R757" s="40" t="s">
        <v>852</v>
      </c>
    </row>
    <row r="758" spans="1:18" ht="15.75" customHeight="1" x14ac:dyDescent="0.3">
      <c r="A758" s="18"/>
      <c r="B758" s="172"/>
      <c r="C758" s="172"/>
      <c r="D758" s="172"/>
      <c r="E758" s="17"/>
      <c r="F758" s="172"/>
      <c r="G758" s="172"/>
      <c r="H758" s="172"/>
      <c r="I758" s="17"/>
      <c r="J758" s="172"/>
      <c r="K758" s="172"/>
      <c r="L758" s="172"/>
      <c r="M758" s="17"/>
      <c r="N758" s="172"/>
      <c r="O758" s="172"/>
      <c r="P758" s="172"/>
      <c r="Q758" s="17"/>
      <c r="R758" s="17"/>
    </row>
    <row r="759" spans="1:18" ht="15.75" customHeight="1" x14ac:dyDescent="0.3">
      <c r="A759" s="18"/>
      <c r="B759" s="172"/>
      <c r="C759" s="172"/>
      <c r="D759" s="172"/>
      <c r="E759" s="172"/>
      <c r="F759" s="172"/>
      <c r="G759" s="172"/>
      <c r="H759" s="172"/>
      <c r="I759" s="172"/>
      <c r="J759" s="172"/>
      <c r="K759" s="172"/>
      <c r="L759" s="172"/>
      <c r="M759" s="172"/>
      <c r="N759" s="172"/>
      <c r="O759" s="172"/>
      <c r="P759" s="172"/>
      <c r="Q759" s="680" t="str">
        <f>+Q1</f>
        <v xml:space="preserve">PRINTED:  </v>
      </c>
      <c r="R759" s="681">
        <f ca="1">+R1</f>
        <v>44881.729634027775</v>
      </c>
    </row>
    <row r="760" spans="1:18" ht="15.75" customHeight="1" x14ac:dyDescent="0.3">
      <c r="A760" s="778" t="s">
        <v>43</v>
      </c>
      <c r="B760" s="778"/>
      <c r="C760" s="778"/>
      <c r="D760" s="778"/>
      <c r="E760" s="778"/>
      <c r="F760" s="778"/>
      <c r="G760" s="778"/>
      <c r="H760" s="778"/>
      <c r="I760" s="778"/>
      <c r="J760" s="778"/>
      <c r="K760" s="778"/>
      <c r="L760" s="778"/>
      <c r="M760" s="778"/>
      <c r="N760" s="778"/>
      <c r="O760" s="778"/>
      <c r="P760" s="778"/>
      <c r="Q760" s="778"/>
      <c r="R760" s="778"/>
    </row>
    <row r="761" spans="1:18" ht="15.75" customHeight="1" x14ac:dyDescent="0.3">
      <c r="A761" s="778" t="s">
        <v>1988</v>
      </c>
      <c r="B761" s="778"/>
      <c r="C761" s="778"/>
      <c r="D761" s="778"/>
      <c r="E761" s="778"/>
      <c r="F761" s="778"/>
      <c r="G761" s="778"/>
      <c r="H761" s="778"/>
      <c r="I761" s="778"/>
      <c r="J761" s="778"/>
      <c r="K761" s="778"/>
      <c r="L761" s="778"/>
      <c r="M761" s="778"/>
      <c r="N761" s="778"/>
      <c r="O761" s="778"/>
      <c r="P761" s="778"/>
      <c r="Q761" s="778"/>
      <c r="R761" s="778"/>
    </row>
    <row r="762" spans="1:18" ht="15.75" customHeight="1" x14ac:dyDescent="0.3">
      <c r="A762" s="778" t="s">
        <v>544</v>
      </c>
      <c r="B762" s="778"/>
      <c r="C762" s="778"/>
      <c r="D762" s="778"/>
      <c r="E762" s="778"/>
      <c r="F762" s="778"/>
      <c r="G762" s="778"/>
      <c r="H762" s="778"/>
      <c r="I762" s="778"/>
      <c r="J762" s="778"/>
      <c r="K762" s="778"/>
      <c r="L762" s="778"/>
      <c r="M762" s="778"/>
      <c r="N762" s="778"/>
      <c r="O762" s="778"/>
      <c r="P762" s="778"/>
      <c r="Q762" s="778"/>
      <c r="R762" s="778"/>
    </row>
    <row r="763" spans="1:18" ht="15.75" customHeight="1" x14ac:dyDescent="0.3">
      <c r="A763" s="783">
        <f>+A5</f>
        <v>2015</v>
      </c>
      <c r="B763" s="783"/>
      <c r="C763" s="783"/>
      <c r="D763" s="783"/>
      <c r="E763" s="783"/>
      <c r="F763" s="783"/>
      <c r="G763" s="783"/>
      <c r="H763" s="783"/>
      <c r="I763" s="783"/>
      <c r="J763" s="783"/>
      <c r="K763" s="783"/>
      <c r="L763" s="783"/>
      <c r="M763" s="783"/>
      <c r="N763" s="783"/>
      <c r="O763" s="783"/>
      <c r="P763" s="783"/>
      <c r="Q763" s="783"/>
      <c r="R763" s="783"/>
    </row>
    <row r="764" spans="1:18" ht="15.75" customHeight="1" x14ac:dyDescent="0.3">
      <c r="A764" s="172"/>
      <c r="B764" s="172"/>
      <c r="C764" s="172"/>
      <c r="D764" s="1"/>
      <c r="E764" s="1"/>
      <c r="F764" s="1"/>
      <c r="G764" s="452"/>
      <c r="H764" s="1"/>
      <c r="I764" s="1"/>
      <c r="J764" s="452"/>
      <c r="K764" s="452"/>
      <c r="L764" s="452"/>
      <c r="M764" s="452"/>
      <c r="N764" s="172"/>
      <c r="O764" s="452"/>
      <c r="P764" s="452"/>
      <c r="Q764" s="452"/>
      <c r="R764" s="452"/>
    </row>
    <row r="765" spans="1:18" ht="15.75" customHeight="1" x14ac:dyDescent="0.3">
      <c r="A765" s="778" t="str">
        <f>+A8</f>
        <v>Revised:  5/2/2016</v>
      </c>
      <c r="B765" s="778"/>
      <c r="C765" s="778"/>
      <c r="D765" s="778"/>
      <c r="E765" s="778"/>
      <c r="F765" s="778"/>
      <c r="G765" s="778"/>
      <c r="H765" s="778"/>
      <c r="I765" s="778"/>
      <c r="J765" s="778"/>
      <c r="K765" s="778"/>
      <c r="L765" s="778"/>
      <c r="M765" s="778"/>
      <c r="N765" s="778"/>
      <c r="O765" s="778"/>
      <c r="P765" s="778"/>
      <c r="Q765" s="778"/>
      <c r="R765" s="778"/>
    </row>
    <row r="766" spans="1:18" ht="15.75" customHeight="1" x14ac:dyDescent="0.3">
      <c r="A766" s="448"/>
      <c r="B766" s="448"/>
      <c r="C766" s="448"/>
      <c r="D766" s="448"/>
      <c r="E766" s="448"/>
      <c r="F766" s="448"/>
      <c r="G766" s="448"/>
      <c r="H766" s="448"/>
      <c r="I766" s="448"/>
      <c r="J766" s="448"/>
      <c r="K766" s="448"/>
      <c r="L766" s="448"/>
      <c r="M766" s="448"/>
      <c r="N766" s="448"/>
      <c r="O766" s="448"/>
      <c r="P766" s="448"/>
      <c r="Q766" s="448"/>
      <c r="R766" s="448"/>
    </row>
    <row r="767" spans="1:18" ht="15.75" customHeight="1" x14ac:dyDescent="0.3">
      <c r="A767" s="448"/>
      <c r="B767" s="448"/>
      <c r="C767" s="448"/>
      <c r="D767" s="448"/>
      <c r="E767" s="448"/>
      <c r="F767" s="448"/>
      <c r="G767" s="448"/>
      <c r="H767" s="448"/>
      <c r="I767" s="448"/>
      <c r="J767" s="448"/>
      <c r="K767" s="448"/>
      <c r="L767" s="448"/>
      <c r="M767" s="448"/>
      <c r="N767" s="448"/>
      <c r="O767" s="448"/>
      <c r="P767" s="448"/>
      <c r="Q767" s="448"/>
      <c r="R767" s="448"/>
    </row>
    <row r="768" spans="1:18" ht="15.75" customHeight="1" thickBot="1" x14ac:dyDescent="0.35">
      <c r="A768" s="18"/>
      <c r="B768" s="172"/>
      <c r="C768" s="172"/>
      <c r="D768" s="172"/>
      <c r="E768" s="172"/>
      <c r="F768" s="172"/>
      <c r="G768" s="172"/>
      <c r="H768" s="172"/>
      <c r="I768" s="172"/>
      <c r="J768" s="172"/>
      <c r="K768" s="172"/>
      <c r="L768" s="172"/>
      <c r="M768" s="172"/>
      <c r="N768" s="172"/>
      <c r="O768" s="172"/>
      <c r="P768" s="172"/>
      <c r="Q768" s="172"/>
      <c r="R768" s="17"/>
    </row>
    <row r="769" spans="1:20" ht="16.5" customHeight="1" thickBot="1" x14ac:dyDescent="0.35">
      <c r="A769" s="278" t="s">
        <v>1661</v>
      </c>
      <c r="B769" s="4" t="s">
        <v>2090</v>
      </c>
      <c r="C769" s="5" t="s">
        <v>2091</v>
      </c>
      <c r="D769" s="5" t="s">
        <v>2234</v>
      </c>
      <c r="E769" s="33" t="s">
        <v>1594</v>
      </c>
      <c r="F769" s="5" t="s">
        <v>2235</v>
      </c>
      <c r="G769" s="5" t="s">
        <v>2236</v>
      </c>
      <c r="H769" s="5" t="s">
        <v>2237</v>
      </c>
      <c r="I769" s="35" t="s">
        <v>1595</v>
      </c>
      <c r="J769" s="5" t="s">
        <v>1504</v>
      </c>
      <c r="K769" s="5" t="s">
        <v>1505</v>
      </c>
      <c r="L769" s="5" t="s">
        <v>1506</v>
      </c>
      <c r="M769" s="35" t="s">
        <v>1596</v>
      </c>
      <c r="N769" s="5" t="s">
        <v>1507</v>
      </c>
      <c r="O769" s="5" t="s">
        <v>1508</v>
      </c>
      <c r="P769" s="5" t="s">
        <v>1509</v>
      </c>
      <c r="Q769" s="35" t="s">
        <v>1597</v>
      </c>
      <c r="R769" s="60" t="s">
        <v>1510</v>
      </c>
    </row>
    <row r="770" spans="1:20" ht="16.5" customHeight="1" thickBot="1" x14ac:dyDescent="0.35">
      <c r="A770" s="22"/>
      <c r="B770" s="242"/>
      <c r="C770" s="242"/>
      <c r="D770" s="242"/>
      <c r="E770" s="233"/>
      <c r="F770" s="242"/>
      <c r="G770" s="242"/>
      <c r="H770" s="242"/>
      <c r="I770" s="282"/>
      <c r="J770" s="242"/>
      <c r="K770" s="242"/>
      <c r="L770" s="242"/>
      <c r="M770" s="282"/>
      <c r="N770" s="242"/>
      <c r="O770" s="242"/>
      <c r="P770" s="242"/>
      <c r="Q770" s="283"/>
      <c r="R770" s="61"/>
    </row>
    <row r="771" spans="1:20" ht="15.75" customHeight="1" x14ac:dyDescent="0.3">
      <c r="A771" s="234" t="s">
        <v>2417</v>
      </c>
      <c r="B771" s="172" t="s">
        <v>852</v>
      </c>
      <c r="C771" s="172" t="s">
        <v>852</v>
      </c>
      <c r="D771" s="172" t="s">
        <v>852</v>
      </c>
      <c r="E771" s="284"/>
      <c r="F771" s="172" t="s">
        <v>852</v>
      </c>
      <c r="G771" s="172" t="s">
        <v>852</v>
      </c>
      <c r="H771" s="172" t="s">
        <v>852</v>
      </c>
      <c r="I771" s="284"/>
      <c r="J771" s="172" t="s">
        <v>852</v>
      </c>
      <c r="K771" s="172" t="s">
        <v>852</v>
      </c>
      <c r="L771" s="172" t="s">
        <v>852</v>
      </c>
      <c r="M771" s="284"/>
      <c r="N771" s="172" t="s">
        <v>852</v>
      </c>
      <c r="O771" s="172" t="s">
        <v>852</v>
      </c>
      <c r="P771" s="172" t="s">
        <v>852</v>
      </c>
      <c r="Q771" s="285"/>
      <c r="R771" s="62" t="s">
        <v>852</v>
      </c>
    </row>
    <row r="772" spans="1:20" ht="15.75" customHeight="1" x14ac:dyDescent="0.3">
      <c r="A772" s="545" t="s">
        <v>2160</v>
      </c>
      <c r="B772" s="172">
        <f>+SUM(B71:B81)+SUM(B139:B181)+SUM(B301:B318)+SUM(B439:B442)+SUM(B480:B484)+SUM(B523:B532)+SUM(B589:B592)+SUM(B625:B630)+SUM(B681:B682)+SUM(B715:B719)</f>
        <v>25674</v>
      </c>
      <c r="C772" s="172">
        <f>+SUM(C71:C81)+SUM(C139:C181)+SUM(C301:C318)+SUM(C439:C442)+SUM(C480:C484)+SUM(C523:C532)+SUM(C589:C592)+SUM(C625:C630)+SUM(C681:C682)+SUM(C715:C719)</f>
        <v>32524</v>
      </c>
      <c r="D772" s="172">
        <f>+SUM(D71:D81)+SUM(D139:D181)+SUM(D301:D318)+SUM(D439:D442)+SUM(D480:D484)+SUM(D523:D532)+SUM(D589:D592)+SUM(D625:D630)+SUM(D681:D682)+SUM(D715:D719)</f>
        <v>40620</v>
      </c>
      <c r="E772" s="38">
        <f t="shared" ref="E772:E778" si="106">SUM(B772:D772)</f>
        <v>98818</v>
      </c>
      <c r="F772" s="172">
        <f>+SUM(F71:F81)+SUM(F139:F181)+SUM(F301:F318)+SUM(F439:F442)+SUM(F480:F484)+SUM(F523:F532)+SUM(F589:F592)+SUM(F625:F630)+SUM(F681:F682)+SUM(F715:F719)</f>
        <v>45102</v>
      </c>
      <c r="G772" s="172">
        <f>+SUM(G71:G81)+SUM(G139:G181)+SUM(G301:G318)+SUM(G439:G442)+SUM(G480:G484)+SUM(G523:G532)+SUM(G589:G592)+SUM(G625:G630)+SUM(G681:G682)+SUM(G715:G719)</f>
        <v>34042</v>
      </c>
      <c r="H772" s="172">
        <f>+SUM(H71:H81)+SUM(H139:H181)+SUM(H301:H318)+SUM(H439:H442)+SUM(H480:H484)+SUM(H523:H532)+SUM(H589:H592)+SUM(H625:H630)+SUM(H681:H682)+SUM(H715:H719)</f>
        <v>36741</v>
      </c>
      <c r="I772" s="38">
        <f t="shared" ref="I772:I778" si="107">SUM(F772:H772)</f>
        <v>115885</v>
      </c>
      <c r="J772" s="172">
        <f>+SUM(J71:J81)+SUM(J139:J181)+SUM(J301:J318)+SUM(J439:J442)+SUM(J480:J484)+SUM(J523:J532)+SUM(J589:J592)+SUM(J625:J630)+SUM(J681:J682)+SUM(J715:J719)</f>
        <v>66135</v>
      </c>
      <c r="K772" s="172">
        <f>+SUM(K71:K81)+SUM(K139:K181)+SUM(K301:K318)+SUM(K439:K442)+SUM(K480:K484)+SUM(K523:K532)+SUM(K589:K592)+SUM(K625:K630)+SUM(K681:K682)+SUM(K715:K719)</f>
        <v>55085</v>
      </c>
      <c r="L772" s="172">
        <f>+SUM(L71:L81)+SUM(L139:L181)+SUM(L301:L318)+SUM(L439:L442)+SUM(L480:L484)+SUM(L523:L532)+SUM(L589:L592)+SUM(L625:L630)+SUM(L681:L682)+SUM(L715:L719)</f>
        <v>52642</v>
      </c>
      <c r="M772" s="38">
        <f t="shared" ref="M772:M778" si="108">SUM(J772:L772)</f>
        <v>173862</v>
      </c>
      <c r="N772" s="172">
        <f>+SUM(N71:N81)+SUM(N139:N181)+SUM(N301:N318)+SUM(N439:N442)+SUM(N480:N484)+SUM(N523:N532)+SUM(N589:N592)+SUM(N625:N630)+SUM(N681:N682)+SUM(N715:N719)</f>
        <v>41572</v>
      </c>
      <c r="O772" s="172">
        <f>+SUM(O71:O81)+SUM(O139:O181)+SUM(O301:O318)+SUM(O439:O442)+SUM(O480:O484)+SUM(O523:O532)+SUM(O589:O592)+SUM(O625:O630)+SUM(O681:O682)+SUM(O715:O719)</f>
        <v>32776</v>
      </c>
      <c r="P772" s="172">
        <f>+SUM(P71:P81)+SUM(P139:P181)+SUM(P301:P318)+SUM(P439:P442)+SUM(P480:P484)+SUM(P523:P532)+SUM(P589:P592)+SUM(P625:P630)+SUM(P681:P682)+SUM(P715:P719)</f>
        <v>36091</v>
      </c>
      <c r="Q772" s="38">
        <f t="shared" ref="Q772:Q778" si="109">SUM(N772:P772)</f>
        <v>110439</v>
      </c>
      <c r="R772" s="38">
        <f t="shared" ref="R772:R778" si="110">+E772+I772+M772+Q772</f>
        <v>499004</v>
      </c>
    </row>
    <row r="773" spans="1:20" ht="15.75" customHeight="1" x14ac:dyDescent="0.3">
      <c r="A773" s="234" t="s">
        <v>2642</v>
      </c>
      <c r="B773" s="172">
        <f>+B38+SUM(B82:B84)+SUM(B183:B192)+SUM(B320:B334)+SUM(B444:B445)+B485+SUM(B533:B534)+B593+B631+B683+SUM(B720:B720)</f>
        <v>0</v>
      </c>
      <c r="C773" s="172">
        <f>+C38+SUM(C82:C84)+SUM(C183:C192)+SUM(C320:C334)+SUM(C444:C445)+C485+SUM(C533:C534)+C593+C631+C683+SUM(C720:C720)</f>
        <v>0</v>
      </c>
      <c r="D773" s="172">
        <f>+D38+SUM(D82:D84)+SUM(D183:D192)+SUM(D320:D334)+SUM(D444:D445)+D485+SUM(D533:D534)+D593+D631+D683+SUM(D720:D720)</f>
        <v>0</v>
      </c>
      <c r="E773" s="38">
        <f t="shared" si="106"/>
        <v>0</v>
      </c>
      <c r="F773" s="172">
        <f>+F38+SUM(F82:F84)+SUM(F183:F192)+SUM(F320:F334)+SUM(F444:F445)+F485+SUM(F533:F534)+F593+F631+F683+SUM(F720:F720)</f>
        <v>0</v>
      </c>
      <c r="G773" s="172">
        <f>+G38+SUM(G82:G84)+SUM(G183:G192)+SUM(G320:G334)+SUM(G444:G445)+G485+SUM(G533:G534)+G593+G631+G683+SUM(G720:G720)</f>
        <v>0</v>
      </c>
      <c r="H773" s="172">
        <f>+H38+SUM(H82:H84)+SUM(H183:H192)+SUM(H320:H334)+SUM(H444:H445)+H485+SUM(H533:H534)+H593+H631+H683+SUM(H720:H720)</f>
        <v>1250</v>
      </c>
      <c r="I773" s="38">
        <f t="shared" si="107"/>
        <v>1250</v>
      </c>
      <c r="J773" s="172">
        <f>+J38+SUM(J82:J84)+SUM(J183:J192)+SUM(J320:J334)+SUM(J444:J445)+J485+SUM(J533:J534)+J593+J631+J683+SUM(J720:J720)</f>
        <v>0</v>
      </c>
      <c r="K773" s="172">
        <f>+K38+SUM(K82:K84)+SUM(K183:K192)+SUM(K320:K334)+SUM(K444:K445)+K485+SUM(K533:K534)+K593+K631+K683+SUM(K720:K720)</f>
        <v>0</v>
      </c>
      <c r="L773" s="172">
        <f>+L38+SUM(L82:L84)+SUM(L183:L192)+SUM(L320:L334)+SUM(L444:L445)+L485+SUM(L533:L534)+L593+L631+L683+SUM(L720:L720)</f>
        <v>850</v>
      </c>
      <c r="M773" s="38">
        <f t="shared" si="108"/>
        <v>850</v>
      </c>
      <c r="N773" s="172">
        <f>+N38+SUM(N82:N84)+SUM(N183:N192)+SUM(N320:N334)+SUM(N444:N445)+N485+SUM(N533:N534)+N593+N631+N683+SUM(N720:N720)</f>
        <v>2154</v>
      </c>
      <c r="O773" s="172">
        <f>+O38+SUM(O82:O84)+SUM(O183:O192)+SUM(O320:O334)+SUM(O444:O445)+O485+SUM(O533:O534)+O593+O631+O683+SUM(O720:O720)</f>
        <v>746</v>
      </c>
      <c r="P773" s="172">
        <f>+P38+SUM(P82:P84)+SUM(P183:P192)+SUM(P320:P334)+SUM(P444:P445)+P485+SUM(P533:P534)+P593+P631+P683+SUM(P720:P720)</f>
        <v>0</v>
      </c>
      <c r="Q773" s="38">
        <f t="shared" si="109"/>
        <v>2900</v>
      </c>
      <c r="R773" s="38">
        <f t="shared" si="110"/>
        <v>5000</v>
      </c>
    </row>
    <row r="774" spans="1:20" ht="15.75" customHeight="1" x14ac:dyDescent="0.3">
      <c r="A774" s="545" t="s">
        <v>2647</v>
      </c>
      <c r="B774" s="172">
        <f>+SUM(B85:B87)+SUM(B193:B196)+SUM(B335:B339)+B446+B486+SUM(B535:B536)+B594+B632+B684+SUM(B721:B722)</f>
        <v>496</v>
      </c>
      <c r="C774" s="172">
        <f>+SUM(C85:C87)+SUM(C193:C196)+SUM(C335:C339)+C446+C486+SUM(C535:C536)+C594+C632+C684+SUM(C721:C722)</f>
        <v>409</v>
      </c>
      <c r="D774" s="172">
        <f>+SUM(D85:D87)+SUM(D193:D196)+SUM(D335:D339)+D446+D486+SUM(D535:D536)+D594+D632+D684+SUM(D721:D722)</f>
        <v>2734</v>
      </c>
      <c r="E774" s="38">
        <f t="shared" si="106"/>
        <v>3639</v>
      </c>
      <c r="F774" s="172">
        <f>+SUM(F85:F87)+SUM(F193:F196)+SUM(F335:F339)+F446+F486+SUM(F535:F536)+F594+F632+F684+SUM(F721:F722)</f>
        <v>6759</v>
      </c>
      <c r="G774" s="172">
        <f>+SUM(G85:G87)+SUM(G193:G196)+SUM(G335:G339)+G446+G486+SUM(G535:G536)+G594+G632+G684+SUM(G721:G722)</f>
        <v>8308</v>
      </c>
      <c r="H774" s="172">
        <f>+SUM(H85:H87)+SUM(H193:H196)+SUM(H335:H339)+H446+H486+SUM(H535:H536)+H594+H632+H684+SUM(H721:H722)</f>
        <v>5529</v>
      </c>
      <c r="I774" s="38">
        <f t="shared" si="107"/>
        <v>20596</v>
      </c>
      <c r="J774" s="172">
        <f>+SUM(J85:J87)+SUM(J193:J196)+SUM(J335:J339)+J446+J486+SUM(J535:J536)+J594+J632+J684+SUM(J721:J722)</f>
        <v>2644</v>
      </c>
      <c r="K774" s="172">
        <f>+SUM(K85:K87)+SUM(K193:K196)+SUM(K335:K339)+K446+K486+SUM(K535:K536)+K594+K632+K684+SUM(K721:K722)</f>
        <v>3725</v>
      </c>
      <c r="L774" s="172">
        <f>+SUM(L85:L87)+SUM(L193:L196)+SUM(L335:L339)+L446+L486+SUM(L535:L536)+L594+L632+L684+SUM(L721:L722)</f>
        <v>2244</v>
      </c>
      <c r="M774" s="38">
        <f t="shared" si="108"/>
        <v>8613</v>
      </c>
      <c r="N774" s="172">
        <f>+SUM(N85:N87)+SUM(N193:N196)+SUM(N335:N339)+N446+N486+SUM(N535:N536)+N594+N632+N684+SUM(N721:N722)</f>
        <v>1445</v>
      </c>
      <c r="O774" s="172">
        <f>+SUM(O85:O87)+SUM(O193:O196)+SUM(O335:O339)+O446+O486+SUM(O535:O536)+O594+O632+O684+SUM(O721:O722)</f>
        <v>18</v>
      </c>
      <c r="P774" s="172">
        <f>+SUM(P85:P87)+SUM(P193:P196)+SUM(P335:P339)+P446+P486+SUM(P535:P536)+P594+P632+P684+SUM(P721:P722)</f>
        <v>682</v>
      </c>
      <c r="Q774" s="38">
        <f t="shared" si="109"/>
        <v>2145</v>
      </c>
      <c r="R774" s="38">
        <f t="shared" si="110"/>
        <v>34993</v>
      </c>
    </row>
    <row r="775" spans="1:20" ht="15.75" customHeight="1" x14ac:dyDescent="0.3">
      <c r="A775" s="234" t="s">
        <v>2958</v>
      </c>
      <c r="B775" s="172">
        <f>+B278+B420+B421</f>
        <v>0</v>
      </c>
      <c r="C775" s="172">
        <f>+C278+C420+C421</f>
        <v>0</v>
      </c>
      <c r="D775" s="172">
        <f>+D278+D420+D421</f>
        <v>0</v>
      </c>
      <c r="E775" s="38">
        <f t="shared" si="106"/>
        <v>0</v>
      </c>
      <c r="F775" s="172">
        <f>+F278+F420+F421</f>
        <v>0</v>
      </c>
      <c r="G775" s="172">
        <f>+G278+G420+G421</f>
        <v>0</v>
      </c>
      <c r="H775" s="172">
        <f>+H278+H420+H421</f>
        <v>0</v>
      </c>
      <c r="I775" s="38">
        <f t="shared" si="107"/>
        <v>0</v>
      </c>
      <c r="J775" s="172">
        <f>+J278+J420+J421</f>
        <v>0</v>
      </c>
      <c r="K775" s="172">
        <f>+K278+K420+K421</f>
        <v>0</v>
      </c>
      <c r="L775" s="172">
        <f>+L278+L420+L421</f>
        <v>0</v>
      </c>
      <c r="M775" s="38">
        <f t="shared" si="108"/>
        <v>0</v>
      </c>
      <c r="N775" s="172">
        <f>+N278+N420+N421</f>
        <v>0</v>
      </c>
      <c r="O775" s="172">
        <f>+O278+O420+O421</f>
        <v>0</v>
      </c>
      <c r="P775" s="172">
        <f>+P278+P420+P421</f>
        <v>0</v>
      </c>
      <c r="Q775" s="38">
        <f t="shared" si="109"/>
        <v>0</v>
      </c>
      <c r="R775" s="38">
        <f t="shared" si="110"/>
        <v>0</v>
      </c>
    </row>
    <row r="776" spans="1:20" ht="15.75" customHeight="1" x14ac:dyDescent="0.3">
      <c r="A776" s="545" t="s">
        <v>2163</v>
      </c>
      <c r="B776" s="172">
        <f>+B279</f>
        <v>8</v>
      </c>
      <c r="C776" s="172">
        <f>+C279</f>
        <v>10</v>
      </c>
      <c r="D776" s="172">
        <f>+D279</f>
        <v>24</v>
      </c>
      <c r="E776" s="38">
        <f>SUM(B776:D776)</f>
        <v>42</v>
      </c>
      <c r="F776" s="172">
        <f>+F279</f>
        <v>35</v>
      </c>
      <c r="G776" s="172">
        <f>+G279</f>
        <v>29</v>
      </c>
      <c r="H776" s="172">
        <f>+H279</f>
        <v>43</v>
      </c>
      <c r="I776" s="38">
        <f>SUM(F776:H776)</f>
        <v>107</v>
      </c>
      <c r="J776" s="172">
        <f>+J279</f>
        <v>62</v>
      </c>
      <c r="K776" s="172">
        <f>+K279</f>
        <v>38</v>
      </c>
      <c r="L776" s="172">
        <f>+L279</f>
        <v>37</v>
      </c>
      <c r="M776" s="38">
        <f>SUM(J776:L776)</f>
        <v>137</v>
      </c>
      <c r="N776" s="172">
        <f>+N279</f>
        <v>28</v>
      </c>
      <c r="O776" s="172">
        <f>+O279</f>
        <v>13</v>
      </c>
      <c r="P776" s="172">
        <f>+P279</f>
        <v>11</v>
      </c>
      <c r="Q776" s="38">
        <f t="shared" si="109"/>
        <v>52</v>
      </c>
      <c r="R776" s="38">
        <f>+E776+I776+M776+Q776</f>
        <v>338</v>
      </c>
    </row>
    <row r="777" spans="1:20" ht="15.75" customHeight="1" thickBot="1" x14ac:dyDescent="0.35">
      <c r="A777" s="234" t="s">
        <v>2164</v>
      </c>
      <c r="B777" s="172">
        <f>+B88+B447+B487+B537+B595+B633+B685+B723</f>
        <v>0</v>
      </c>
      <c r="C777" s="172">
        <f>+C88+C447+C487+C537+C595+C633+C685+C723</f>
        <v>0</v>
      </c>
      <c r="D777" s="172">
        <f>+D88+D447+D487+D537+D595+D633+D685+D723</f>
        <v>0</v>
      </c>
      <c r="E777" s="38">
        <f t="shared" si="106"/>
        <v>0</v>
      </c>
      <c r="F777" s="172">
        <f>+F88+F447+F487+F537+F595+F633+F685+F723</f>
        <v>0</v>
      </c>
      <c r="G777" s="172">
        <f>+G88+G447+G487+G537+G595+G633+G685+G723</f>
        <v>0</v>
      </c>
      <c r="H777" s="172">
        <f>+H88+H447+H487+H537+H595+H633+H685+H723</f>
        <v>0</v>
      </c>
      <c r="I777" s="38">
        <f t="shared" si="107"/>
        <v>0</v>
      </c>
      <c r="J777" s="172">
        <f>+J88+J447+J487+J537+J595+J633+J685+J723</f>
        <v>0</v>
      </c>
      <c r="K777" s="172">
        <f>+K88+K447+K487+K537+K595+K633+K685+K723</f>
        <v>0</v>
      </c>
      <c r="L777" s="172">
        <f>+L88+L447+L487+L537+L595+L633+L685+L723</f>
        <v>0</v>
      </c>
      <c r="M777" s="38">
        <f t="shared" si="108"/>
        <v>0</v>
      </c>
      <c r="N777" s="172">
        <f>+N88+N447+N487+N537+N595+N633+N685+N723</f>
        <v>0</v>
      </c>
      <c r="O777" s="172">
        <f>+O88+O447+O487+O537+O595+O633+O685+O723</f>
        <v>0</v>
      </c>
      <c r="P777" s="172">
        <f>+P88+P447+P487+P537+P595+P633+P685+P723</f>
        <v>0</v>
      </c>
      <c r="Q777" s="38">
        <f t="shared" si="109"/>
        <v>0</v>
      </c>
      <c r="R777" s="38">
        <f t="shared" si="110"/>
        <v>0</v>
      </c>
    </row>
    <row r="778" spans="1:20" ht="16.5" customHeight="1" thickBot="1" x14ac:dyDescent="0.35">
      <c r="A778" s="43" t="s">
        <v>1218</v>
      </c>
      <c r="B778" s="45">
        <f>SUM(B771:B777)</f>
        <v>26178</v>
      </c>
      <c r="C778" s="46">
        <f>SUM(C771:C777)</f>
        <v>32943</v>
      </c>
      <c r="D778" s="46">
        <f>SUM(D771:D777)</f>
        <v>43378</v>
      </c>
      <c r="E778" s="37">
        <f t="shared" si="106"/>
        <v>102499</v>
      </c>
      <c r="F778" s="46">
        <f>SUM(F771:F777)</f>
        <v>51896</v>
      </c>
      <c r="G778" s="46">
        <f>SUM(G771:G777)</f>
        <v>42379</v>
      </c>
      <c r="H778" s="46">
        <f>SUM(H771:H777)</f>
        <v>43563</v>
      </c>
      <c r="I778" s="37">
        <f t="shared" si="107"/>
        <v>137838</v>
      </c>
      <c r="J778" s="46">
        <f>SUM(J771:J777)</f>
        <v>68841</v>
      </c>
      <c r="K778" s="46">
        <f>SUM(K771:K777)</f>
        <v>58848</v>
      </c>
      <c r="L778" s="46">
        <f>SUM(L771:L777)</f>
        <v>55773</v>
      </c>
      <c r="M778" s="37">
        <f t="shared" si="108"/>
        <v>183462</v>
      </c>
      <c r="N778" s="46">
        <f>SUM(N771:N777)</f>
        <v>45199</v>
      </c>
      <c r="O778" s="46">
        <f>SUM(O771:O777)</f>
        <v>33553</v>
      </c>
      <c r="P778" s="46">
        <f>SUM(P771:P777)</f>
        <v>36784</v>
      </c>
      <c r="Q778" s="37">
        <f t="shared" si="109"/>
        <v>115536</v>
      </c>
      <c r="R778" s="37">
        <f t="shared" si="110"/>
        <v>539335</v>
      </c>
      <c r="T778">
        <f>+R778-R775-R774</f>
        <v>504342</v>
      </c>
    </row>
    <row r="779" spans="1:20" ht="15.75" customHeight="1" x14ac:dyDescent="0.3">
      <c r="A779" s="234" t="s">
        <v>1172</v>
      </c>
      <c r="B779" s="172"/>
      <c r="C779" s="172"/>
      <c r="D779" s="172"/>
      <c r="E779" s="38" t="s">
        <v>852</v>
      </c>
      <c r="F779" s="172"/>
      <c r="G779" s="172"/>
      <c r="H779" s="172"/>
      <c r="I779" s="38" t="s">
        <v>852</v>
      </c>
      <c r="J779" s="172"/>
      <c r="K779" s="172"/>
      <c r="L779" s="172"/>
      <c r="M779" s="38" t="s">
        <v>852</v>
      </c>
      <c r="N779" s="172"/>
      <c r="O779" s="172"/>
      <c r="P779" s="172"/>
      <c r="Q779" s="38" t="s">
        <v>852</v>
      </c>
      <c r="R779" s="38" t="s">
        <v>852</v>
      </c>
    </row>
    <row r="780" spans="1:20" ht="15.75" customHeight="1" x14ac:dyDescent="0.3">
      <c r="A780" s="234" t="s">
        <v>1658</v>
      </c>
      <c r="B780" s="172">
        <f>SUM(B43:B43)+SUM(B200:B200)+SUM(B91:B91)+SUM(B343:B343)</f>
        <v>0</v>
      </c>
      <c r="C780" s="172">
        <f>SUM(C43:C43)+SUM(C200:C200)+SUM(C91:C91)+SUM(C343:C343)</f>
        <v>0</v>
      </c>
      <c r="D780" s="172">
        <f>SUM(D43:D43)+SUM(D200:D200)+SUM(D91:D91)+SUM(D343:D343)</f>
        <v>0</v>
      </c>
      <c r="E780" s="38">
        <f>SUM(B780:D780)</f>
        <v>0</v>
      </c>
      <c r="F780" s="172">
        <f>SUM(F43:F43)+SUM(F200:F200)+SUM(F91:F91)+SUM(F343:F343)</f>
        <v>0</v>
      </c>
      <c r="G780" s="172">
        <f>SUM(G43:G43)+SUM(G200:G200)+SUM(G91:G91)+SUM(G343:G343)</f>
        <v>0</v>
      </c>
      <c r="H780" s="172">
        <f>SUM(H43:H43)+SUM(H200:H200)+SUM(H91:H91)+SUM(H343:H343)</f>
        <v>0</v>
      </c>
      <c r="I780" s="38">
        <f>SUM(F780:H780)</f>
        <v>0</v>
      </c>
      <c r="J780" s="172">
        <f>SUM(J43:J43)+SUM(J200:J200)+SUM(J91:J91)+SUM(J343:J343)</f>
        <v>0</v>
      </c>
      <c r="K780" s="172">
        <f>SUM(K43:K43)+SUM(K200:K200)+SUM(K91:K91)+SUM(K343:K343)</f>
        <v>0</v>
      </c>
      <c r="L780" s="172">
        <f>SUM(L43:L43)+SUM(L200:L200)+SUM(L91:L91)+SUM(L343:L343)</f>
        <v>0</v>
      </c>
      <c r="M780" s="38">
        <f>SUM(J780:L780)</f>
        <v>0</v>
      </c>
      <c r="N780" s="172">
        <f>SUM(N43:N43)+SUM(N200:N200)+SUM(N91:N91)+SUM(N343:N343)</f>
        <v>0</v>
      </c>
      <c r="O780" s="172">
        <f>SUM(O43:O43)+SUM(O200:O200)+SUM(O91:O91)+SUM(O343:O343)</f>
        <v>0</v>
      </c>
      <c r="P780" s="172">
        <f>SUM(P43:P43)+SUM(P200:P200)+SUM(P91:P91)+SUM(P343:P343)</f>
        <v>0</v>
      </c>
      <c r="Q780" s="38">
        <f>SUM(N780:P780)</f>
        <v>0</v>
      </c>
      <c r="R780" s="38">
        <f>+E780+I780+M780+Q780</f>
        <v>0</v>
      </c>
    </row>
    <row r="781" spans="1:20" ht="15.75" customHeight="1" x14ac:dyDescent="0.3">
      <c r="A781" s="545" t="s">
        <v>2409</v>
      </c>
      <c r="B781" s="172">
        <f>+SUM(B93:B94)+SUM(B201:B203)+SUM(B344:B353)+B451+SUM(B490:B492)+SUM(B540:B542)+SUM(B598:B598)+B636+B688+SUM(B726:B727)</f>
        <v>10520</v>
      </c>
      <c r="C781" s="172">
        <f>+SUM(C93:C94)+SUM(C201:C203)+SUM(C344:C353)+C451+SUM(C490:C492)+SUM(C540:C542)+SUM(C598:C598)+C636+C688+SUM(C726:C727)</f>
        <v>10972</v>
      </c>
      <c r="D781" s="172">
        <f>+SUM(D93:D94)+SUM(D201:D203)+SUM(D344:D353)+D451+SUM(D490:D492)+SUM(D540:D542)+SUM(D598:D598)+D636+D688+SUM(D726:D727)</f>
        <v>36972</v>
      </c>
      <c r="E781" s="38">
        <f>SUM(B781:D781)</f>
        <v>58464</v>
      </c>
      <c r="F781" s="172">
        <f>+SUM(F93:F94)+SUM(F201:F203)+SUM(F344:F353)+F451+SUM(F490:F492)+SUM(F540:F542)+SUM(F598:F598)+F636+F688+SUM(F726:F727)</f>
        <v>52610</v>
      </c>
      <c r="G781" s="172">
        <f>+SUM(G93:G94)+SUM(G201:G203)+SUM(G344:G353)+G451+SUM(G490:G492)+SUM(G540:G542)+SUM(G598:G598)+G636+G688+SUM(G726:G727)</f>
        <v>28102</v>
      </c>
      <c r="H781" s="172">
        <f>+SUM(H93:H94)+SUM(H201:H203)+SUM(H344:H353)+H451+SUM(H490:H492)+SUM(H540:H542)+SUM(H598:H598)+H636+H688+SUM(H726:H727)</f>
        <v>39436</v>
      </c>
      <c r="I781" s="38">
        <f>SUM(F781:H781)</f>
        <v>120148</v>
      </c>
      <c r="J781" s="172">
        <f>+SUM(J93:J94)+SUM(J201:J203)+SUM(J344:J353)+J451+SUM(J490:J492)+SUM(J540:J542)+SUM(J598:J598)+J636+J688+SUM(J726:J727)</f>
        <v>33755</v>
      </c>
      <c r="K781" s="172">
        <f>+SUM(K93:K94)+SUM(K201:K203)+SUM(K344:K353)+K451+SUM(K490:K492)+SUM(K540:K542)+SUM(K598:K598)+K636+K688+SUM(K726:K727)</f>
        <v>38588</v>
      </c>
      <c r="L781" s="172">
        <f>+SUM(L93:L94)+SUM(L201:L203)+SUM(L344:L353)+L451+SUM(L490:L492)+SUM(L540:L542)+SUM(L598:L598)+L636+L688+SUM(L726:L727)</f>
        <v>29447</v>
      </c>
      <c r="M781" s="38">
        <f>SUM(J781:L781)</f>
        <v>101790</v>
      </c>
      <c r="N781" s="172">
        <f>+SUM(N93:N94)+SUM(N201:N203)+SUM(N344:N353)+N451+SUM(N490:N492)+SUM(N540:N542)+SUM(N598:N598)+N636+N688+SUM(N726:N727)</f>
        <v>18821</v>
      </c>
      <c r="O781" s="172">
        <f>+SUM(O93:O94)+SUM(O201:O203)+SUM(O344:O353)+O451+SUM(O490:O492)+SUM(O540:O542)+SUM(O598:O598)+O636+O688+SUM(O726:O727)</f>
        <v>10850</v>
      </c>
      <c r="P781" s="172">
        <f>+SUM(P93:P94)+SUM(P201:P203)+SUM(P344:P353)+P451+SUM(P490:P492)+SUM(P540:P542)+SUM(P598:P598)+P636+P688+SUM(P726:P727)</f>
        <v>8206</v>
      </c>
      <c r="Q781" s="38">
        <f>SUM(N781:P781)</f>
        <v>37877</v>
      </c>
      <c r="R781" s="38">
        <f>+E781+I781+M781+Q781</f>
        <v>318279</v>
      </c>
    </row>
    <row r="782" spans="1:20" ht="15.75" customHeight="1" thickBot="1" x14ac:dyDescent="0.35">
      <c r="A782" s="234" t="s">
        <v>2165</v>
      </c>
      <c r="B782" s="172">
        <f>+B95+B452+B493+B543+B599+B637+B689+B728</f>
        <v>0</v>
      </c>
      <c r="C782" s="172">
        <f>+C95+C452+C493+C543+C599+C637+C689+C728</f>
        <v>0</v>
      </c>
      <c r="D782" s="172">
        <f>+D95+D452+D493+D543+D599+D637+D689+D728</f>
        <v>0</v>
      </c>
      <c r="E782" s="38">
        <f>SUM(B782:D782)</f>
        <v>0</v>
      </c>
      <c r="F782" s="172">
        <f>+F95+F452+F493+F543+F599+F637+F689+F728</f>
        <v>0</v>
      </c>
      <c r="G782" s="172">
        <f>+G95+G452+G493+G543+G599+G637+G689+G728</f>
        <v>0</v>
      </c>
      <c r="H782" s="172">
        <f>+H95+H452+H493+H543+H599+H637+H689+H728</f>
        <v>0</v>
      </c>
      <c r="I782" s="38">
        <f>SUM(F782:H782)</f>
        <v>0</v>
      </c>
      <c r="J782" s="172">
        <f>+J95+J452+J493+J543+J599+J637+J689+J728</f>
        <v>0</v>
      </c>
      <c r="K782" s="172">
        <f>+K95+K452+K493+K543+K599+K637+K689+K728</f>
        <v>0</v>
      </c>
      <c r="L782" s="172">
        <f>+L95+L452+L493+L543+L599+L637+L689+L728</f>
        <v>0</v>
      </c>
      <c r="M782" s="38">
        <f>SUM(J782:L782)</f>
        <v>0</v>
      </c>
      <c r="N782" s="172">
        <f>+N95+N452+N493+N543+N599+N637+N689+N728</f>
        <v>0</v>
      </c>
      <c r="O782" s="172">
        <f>+O95+O452+O493+O543+O599+O637+O689+O728</f>
        <v>0</v>
      </c>
      <c r="P782" s="172">
        <f>+P95+P452+P493+P543+P599+P637+P689+P728</f>
        <v>0</v>
      </c>
      <c r="Q782" s="38">
        <f>SUM(N782:P782)</f>
        <v>0</v>
      </c>
      <c r="R782" s="38">
        <f>+E782+I782+M782+Q782</f>
        <v>0</v>
      </c>
    </row>
    <row r="783" spans="1:20" ht="16.5" customHeight="1" thickBot="1" x14ac:dyDescent="0.35">
      <c r="A783" s="43" t="s">
        <v>1219</v>
      </c>
      <c r="B783" s="45">
        <f>SUM(B779:B782)</f>
        <v>10520</v>
      </c>
      <c r="C783" s="46">
        <f>SUM(C779:C782)</f>
        <v>10972</v>
      </c>
      <c r="D783" s="46">
        <f>SUM(D779:D782)</f>
        <v>36972</v>
      </c>
      <c r="E783" s="37">
        <f>SUM(B783:D783)</f>
        <v>58464</v>
      </c>
      <c r="F783" s="46">
        <f>SUM(F779:F782)</f>
        <v>52610</v>
      </c>
      <c r="G783" s="46">
        <f>SUM(G779:G782)</f>
        <v>28102</v>
      </c>
      <c r="H783" s="46">
        <f>SUM(H779:H782)</f>
        <v>39436</v>
      </c>
      <c r="I783" s="37">
        <f>SUM(F783:H783)</f>
        <v>120148</v>
      </c>
      <c r="J783" s="46">
        <f>SUM(J779:J782)</f>
        <v>33755</v>
      </c>
      <c r="K783" s="46">
        <f>SUM(K779:K782)</f>
        <v>38588</v>
      </c>
      <c r="L783" s="46">
        <f>SUM(L779:L782)</f>
        <v>29447</v>
      </c>
      <c r="M783" s="37">
        <f>SUM(J783:L783)</f>
        <v>101790</v>
      </c>
      <c r="N783" s="46">
        <f>SUM(N779:N782)</f>
        <v>18821</v>
      </c>
      <c r="O783" s="46">
        <f>SUM(O779:O782)</f>
        <v>10850</v>
      </c>
      <c r="P783" s="46">
        <f>SUM(P779:P782)</f>
        <v>8206</v>
      </c>
      <c r="Q783" s="37">
        <f>SUM(N783:P783)</f>
        <v>37877</v>
      </c>
      <c r="R783" s="37">
        <f>+E783+I783+M783+Q783</f>
        <v>318279</v>
      </c>
    </row>
    <row r="784" spans="1:20" ht="15.75" customHeight="1" x14ac:dyDescent="0.3">
      <c r="A784" s="234" t="s">
        <v>2166</v>
      </c>
      <c r="B784" s="172"/>
      <c r="C784" s="172"/>
      <c r="D784" s="172"/>
      <c r="E784" s="38" t="s">
        <v>852</v>
      </c>
      <c r="F784" s="172"/>
      <c r="G784" s="172"/>
      <c r="H784" s="172"/>
      <c r="I784" s="38" t="s">
        <v>852</v>
      </c>
      <c r="J784" s="172"/>
      <c r="K784" s="172"/>
      <c r="L784" s="172"/>
      <c r="M784" s="38" t="s">
        <v>852</v>
      </c>
      <c r="N784" s="172"/>
      <c r="O784" s="172"/>
      <c r="P784" s="172"/>
      <c r="Q784" s="38" t="s">
        <v>852</v>
      </c>
      <c r="R784" s="38" t="s">
        <v>852</v>
      </c>
    </row>
    <row r="785" spans="1:20" ht="15.75" customHeight="1" x14ac:dyDescent="0.3">
      <c r="A785" s="545" t="s">
        <v>1245</v>
      </c>
      <c r="B785" s="172">
        <f>+B48+B98+B207+SUM(B357:B359)+B455+B496+B546+B602+SUM(B640:B641)+B692+SUM(B731:B733)</f>
        <v>6423</v>
      </c>
      <c r="C785" s="172">
        <f>+C48+C98+C207+SUM(C357:C359)+C455+C496+C546+C602+SUM(C640:C641)+C692+SUM(C731:C733)</f>
        <v>7593</v>
      </c>
      <c r="D785" s="172">
        <f>+D48+D98+D207+SUM(D357:D359)+D455+D496+D546+D602+SUM(D640:D641)+D692+SUM(D731:D733)</f>
        <v>13977</v>
      </c>
      <c r="E785" s="38">
        <f>SUM(B785:D785)</f>
        <v>27993</v>
      </c>
      <c r="F785" s="172">
        <f>+F48+F98+F207+SUM(F357:F359)+F455+F496+F546+F602+SUM(F640:F641)+F692+SUM(F731:F733)</f>
        <v>21865</v>
      </c>
      <c r="G785" s="172">
        <f>+G48+G98+G207+SUM(G357:G359)+G455+G496+G546+G602+SUM(G640:G641)+G692+SUM(G731:G733)</f>
        <v>12345</v>
      </c>
      <c r="H785" s="172">
        <f>+H48+H98+H207+SUM(H357:H359)+H455+H496+H546+H602+SUM(H640:H641)+H692+SUM(H731:H733)</f>
        <v>13508</v>
      </c>
      <c r="I785" s="38">
        <f>SUM(F785:H785)</f>
        <v>47718</v>
      </c>
      <c r="J785" s="172">
        <f>+J48+J98+J207+SUM(J357:J359)+J455+J496+J546+J602+SUM(J640:J641)+J692+SUM(J731:J733)</f>
        <v>11759</v>
      </c>
      <c r="K785" s="172">
        <f>+K48+K98+K207+SUM(K357:K359)+K455+K496+K546+K602+SUM(K640:K641)+K692+SUM(K731:K733)</f>
        <v>11225</v>
      </c>
      <c r="L785" s="172">
        <f>+L48+L98+L207+SUM(L357:L359)+L455+L496+L546+L602+SUM(L640:L641)+L692+SUM(L731:L733)</f>
        <v>7018</v>
      </c>
      <c r="M785" s="38">
        <f>SUM(J785:L785)</f>
        <v>30002</v>
      </c>
      <c r="N785" s="172">
        <f>+N48+N98+N207+SUM(N357:N359)+N455+N496+N546+N602+SUM(N640:N641)+N692+SUM(N731:N733)</f>
        <v>6103</v>
      </c>
      <c r="O785" s="172">
        <f>+O48+O98+O207+SUM(O357:O359)+O455+O496+O546+O602+SUM(O640:O641)+O692+SUM(O731:O733)</f>
        <v>1510</v>
      </c>
      <c r="P785" s="172">
        <f>+P48+P98+P207+SUM(P357:P359)+P455+P496+P546+P602+SUM(P640:P641)+P692+SUM(P731:P733)</f>
        <v>8300</v>
      </c>
      <c r="Q785" s="38">
        <f>SUM(N785:P785)</f>
        <v>15913</v>
      </c>
      <c r="R785" s="38">
        <f>+E785+I785+M785+Q785</f>
        <v>121626</v>
      </c>
    </row>
    <row r="786" spans="1:20" ht="15.75" customHeight="1" thickBot="1" x14ac:dyDescent="0.35">
      <c r="A786" s="545" t="s">
        <v>1711</v>
      </c>
      <c r="B786" s="172">
        <f>+B49+SUM(B99:B107)+SUM(B208:B254)+SUM(B360:B393)+SUM(B456:B457)+SUM(B497:B498)+SUM(B547:B549)+B603+SUM(B642:B646)+B693+SUM(B734:B738)</f>
        <v>14107</v>
      </c>
      <c r="C786" s="172">
        <f>+C49+SUM(C99:C107)+SUM(C208:C254)+SUM(C360:C393)+SUM(C456:C457)+SUM(C497:C498)+SUM(C547:C549)+C603+SUM(C642:C646)+C693+SUM(C734:C738)</f>
        <v>24367</v>
      </c>
      <c r="D786" s="172">
        <f>+D49+SUM(D99:D107)+SUM(D208:D254)+SUM(D360:D393)+SUM(D456:D457)+SUM(D497:D498)+SUM(D547:D549)+D603+SUM(D642:D646)+D693+SUM(D734:D738)</f>
        <v>37789</v>
      </c>
      <c r="E786" s="38">
        <f>SUM(B786:D786)</f>
        <v>76263</v>
      </c>
      <c r="F786" s="172">
        <f>+F49+SUM(F99:F107)+SUM(F208:F254)+SUM(F360:F393)+SUM(F456:F457)+SUM(F497:F498)+SUM(F547:F549)+F603+SUM(F642:F646)+F693+SUM(F734:F738)</f>
        <v>53179</v>
      </c>
      <c r="G786" s="172">
        <f>+G49+SUM(G99:G107)+SUM(G208:G254)+SUM(G360:G393)+SUM(G456:G457)+SUM(G497:G498)+SUM(G547:G549)+G603+SUM(G642:G646)+G693+SUM(G734:G738)</f>
        <v>57829</v>
      </c>
      <c r="H786" s="172">
        <f>+H49+SUM(H99:H107)+SUM(H208:H254)+SUM(H360:H393)+SUM(H456:H457)+SUM(H497:H498)+SUM(H547:H549)+H603+SUM(H642:H646)+H693+SUM(H734:H738)</f>
        <v>61161</v>
      </c>
      <c r="I786" s="38">
        <f>SUM(F786:H786)</f>
        <v>172169</v>
      </c>
      <c r="J786" s="172">
        <f>+J49+SUM(J99:J107)+SUM(J208:J254)+SUM(J360:J393)+SUM(J456:J457)+SUM(J497:J498)+SUM(J547:J549)+J603+SUM(J642:J646)+J693+SUM(J734:J738)</f>
        <v>35024</v>
      </c>
      <c r="K786" s="172">
        <f>+K49+SUM(K99:K107)+SUM(K208:K254)+SUM(K360:K393)+SUM(K456:K457)+SUM(K497:K498)+SUM(K547:K549)+K603+SUM(K642:K646)+K693+SUM(K734:K738)</f>
        <v>44942</v>
      </c>
      <c r="L786" s="172">
        <f>+L49+SUM(L99:L107)+SUM(L208:L254)+SUM(L360:L393)+SUM(L456:L457)+SUM(L497:L498)+SUM(L547:L549)+L603+SUM(L642:L646)+L693+SUM(L734:L738)</f>
        <v>16809</v>
      </c>
      <c r="M786" s="38">
        <f>SUM(J786:L786)</f>
        <v>96775</v>
      </c>
      <c r="N786" s="172">
        <f>+N49+SUM(N99:N107)+SUM(N208:N254)+SUM(N360:N393)+SUM(N456:N457)+SUM(N497:N498)+SUM(N547:N549)+N603+SUM(N642:N646)+N693+SUM(N734:N738)</f>
        <v>14319</v>
      </c>
      <c r="O786" s="172">
        <f>+O49+SUM(O99:O107)+SUM(O208:O254)+SUM(O360:O393)+SUM(O456:O457)+SUM(O497:O498)+SUM(O547:O549)+O603+SUM(O642:O646)+O693+SUM(O734:O738)</f>
        <v>9637</v>
      </c>
      <c r="P786" s="172">
        <f>+P49+SUM(P99:P107)+SUM(P208:P254)+SUM(P360:P393)+SUM(P456:P457)+SUM(P497:P498)+SUM(P547:P549)+P603+SUM(P642:P646)+P693+SUM(P734:P738)</f>
        <v>16588</v>
      </c>
      <c r="Q786" s="38">
        <f>SUM(N786:P786)</f>
        <v>40544</v>
      </c>
      <c r="R786" s="38">
        <f>+E786+I786+M786+Q786</f>
        <v>385751</v>
      </c>
    </row>
    <row r="787" spans="1:20" ht="16.5" customHeight="1" thickBot="1" x14ac:dyDescent="0.35">
      <c r="A787" s="43" t="s">
        <v>1220</v>
      </c>
      <c r="B787" s="45">
        <f>SUM(B784:B786)</f>
        <v>20530</v>
      </c>
      <c r="C787" s="46">
        <f>SUM(C784:C786)</f>
        <v>31960</v>
      </c>
      <c r="D787" s="58">
        <f>SUM(D784:D786)</f>
        <v>51766</v>
      </c>
      <c r="E787" s="37">
        <f>SUM(B787:D787)</f>
        <v>104256</v>
      </c>
      <c r="F787" s="46">
        <f>SUM(F784:F786)</f>
        <v>75044</v>
      </c>
      <c r="G787" s="46">
        <f>SUM(G784:G786)</f>
        <v>70174</v>
      </c>
      <c r="H787" s="46">
        <f>SUM(H784:H786)</f>
        <v>74669</v>
      </c>
      <c r="I787" s="37">
        <f>SUM(F787:H787)</f>
        <v>219887</v>
      </c>
      <c r="J787" s="46">
        <f>SUM(J784:J786)</f>
        <v>46783</v>
      </c>
      <c r="K787" s="46">
        <f>SUM(K784:K786)</f>
        <v>56167</v>
      </c>
      <c r="L787" s="46">
        <f>SUM(L784:L786)</f>
        <v>23827</v>
      </c>
      <c r="M787" s="37">
        <f>SUM(J787:L787)</f>
        <v>126777</v>
      </c>
      <c r="N787" s="46">
        <f>SUM(N784:N786)</f>
        <v>20422</v>
      </c>
      <c r="O787" s="46">
        <f>SUM(O784:O786)</f>
        <v>11147</v>
      </c>
      <c r="P787" s="46">
        <f>SUM(P784:P786)</f>
        <v>24888</v>
      </c>
      <c r="Q787" s="37">
        <f>SUM(N787:P787)</f>
        <v>56457</v>
      </c>
      <c r="R787" s="37">
        <f>+E787+I787+M787+Q787</f>
        <v>507377</v>
      </c>
      <c r="T787">
        <v>1600000</v>
      </c>
    </row>
    <row r="788" spans="1:20" ht="20.25" customHeight="1" x14ac:dyDescent="0.3">
      <c r="A788" s="234" t="s">
        <v>2645</v>
      </c>
      <c r="B788" s="172"/>
      <c r="C788" s="172"/>
      <c r="D788" s="172"/>
      <c r="E788" s="38" t="s">
        <v>852</v>
      </c>
      <c r="F788" s="172"/>
      <c r="G788" s="172"/>
      <c r="H788" s="172"/>
      <c r="I788" s="38" t="s">
        <v>852</v>
      </c>
      <c r="J788" s="172"/>
      <c r="K788" s="172"/>
      <c r="L788" s="172"/>
      <c r="M788" s="38" t="s">
        <v>852</v>
      </c>
      <c r="N788" s="172"/>
      <c r="O788" s="172"/>
      <c r="P788" s="172"/>
      <c r="Q788" s="38" t="s">
        <v>852</v>
      </c>
      <c r="R788" s="38" t="s">
        <v>852</v>
      </c>
      <c r="T788">
        <f>+T787-28000-R772-R773-400000-R785-R786+12000</f>
        <v>172619</v>
      </c>
    </row>
    <row r="789" spans="1:20" ht="15.75" customHeight="1" x14ac:dyDescent="0.3">
      <c r="A789" s="234" t="s">
        <v>2643</v>
      </c>
      <c r="B789" s="172">
        <f>SUM(B52:B52)+SUM(B110:B118)+SUM(B257:B261)+SUM(B396:B397)+SUM(B460:B460)+B501+SUM(B552:B554)+B606+B649+B696+SUM(B741:B743)</f>
        <v>0</v>
      </c>
      <c r="C789" s="172">
        <f>SUM(C52:C52)+SUM(C110:C118)+SUM(C257:C261)+SUM(C396:C397)+SUM(C460:C460)+C501+SUM(C552:C554)+C606+C649+C696+SUM(C741:C743)</f>
        <v>0</v>
      </c>
      <c r="D789" s="172">
        <f>SUM(D52:D52)+SUM(D110:D118)+SUM(D257:D261)+SUM(D396:D397)+SUM(D460:D460)+D501+SUM(D552:D554)+D606+D649+D696+SUM(D741:D743)</f>
        <v>0</v>
      </c>
      <c r="E789" s="38">
        <f t="shared" ref="E789:E797" si="111">SUM(B789:D789)</f>
        <v>0</v>
      </c>
      <c r="F789" s="172">
        <f>SUM(F52:F52)+SUM(F110:F118)+SUM(F257:F261)+SUM(F396:F397)+SUM(F460:F460)+F501+SUM(F552:F554)+F606+F649+F696+SUM(F741:F743)</f>
        <v>172</v>
      </c>
      <c r="G789" s="172">
        <f>SUM(G52:G52)+SUM(G110:G118)+SUM(G257:G261)+SUM(G396:G397)+SUM(G460:G460)+G501+SUM(G552:G554)+G606+G649+G696+SUM(G741:G743)</f>
        <v>594</v>
      </c>
      <c r="H789" s="172">
        <f>SUM(H52:H52)+SUM(H110:H118)+SUM(H257:H261)+SUM(H396:H397)+SUM(H460:H460)+H501+SUM(H552:H554)+H606+H649+H696+SUM(H741:H743)</f>
        <v>0</v>
      </c>
      <c r="I789" s="38">
        <f t="shared" ref="I789:I797" si="112">SUM(F789:H789)</f>
        <v>766</v>
      </c>
      <c r="J789" s="172">
        <f>SUM(J52:J52)+SUM(J110:J118)+SUM(J257:J261)+SUM(J396:J397)+SUM(J460:J460)+J501+SUM(J552:J554)+J606+J649+J696+SUM(J741:J743)</f>
        <v>0</v>
      </c>
      <c r="K789" s="172">
        <f>SUM(K52:K52)+SUM(K110:K118)+SUM(K257:K261)+SUM(K396:K397)+SUM(K460:K460)+K501+SUM(K552:K554)+K606+K649+K696+SUM(K741:K743)</f>
        <v>3179</v>
      </c>
      <c r="L789" s="172">
        <f>SUM(L52:L52)+SUM(L110:L118)+SUM(L257:L261)+SUM(L396:L397)+SUM(L460:L460)+L501+SUM(L552:L554)+L606+L649+L696+SUM(L741:L743)</f>
        <v>0</v>
      </c>
      <c r="M789" s="38">
        <f t="shared" ref="M789:M797" si="113">SUM(J789:L789)</f>
        <v>3179</v>
      </c>
      <c r="N789" s="172">
        <f>SUM(N52:N52)+SUM(N110:N118)+SUM(N257:N261)+SUM(N396:N397)+SUM(N460:N460)+N501+SUM(N552:N554)+N606+N649+N696+SUM(N741:N743)</f>
        <v>0</v>
      </c>
      <c r="O789" s="172">
        <f>SUM(O52:O52)+SUM(O110:O118)+SUM(O257:O261)+SUM(O396:O397)+SUM(O460:O460)+O501+SUM(O552:O554)+O606+O649+O696+SUM(O741:O743)</f>
        <v>0</v>
      </c>
      <c r="P789" s="172">
        <f>SUM(P52:P52)+SUM(P110:P118)+SUM(P257:P261)+SUM(P396:P397)+SUM(P460:P460)+P501+SUM(P552:P554)+P606+P649+P696+SUM(P741:P743)</f>
        <v>500</v>
      </c>
      <c r="Q789" s="38">
        <f t="shared" ref="Q789:Q797" si="114">SUM(N789:P789)</f>
        <v>500</v>
      </c>
      <c r="R789" s="38">
        <f>+E789+I789+M789+Q789</f>
        <v>4445</v>
      </c>
    </row>
    <row r="790" spans="1:20" ht="15.75" customHeight="1" x14ac:dyDescent="0.3">
      <c r="A790" s="234" t="s">
        <v>557</v>
      </c>
      <c r="B790" s="172">
        <f>SUM(B53:B54)+SUM(B119:B120)+SUM(B262:B263)+B265+B267+B269+B270+SUM(B398:B400)+B461+B502+SUM(B555:B556)+B558+SUM(B607:B608)+B651+B653+B697+SUM(B744:B745)</f>
        <v>1300</v>
      </c>
      <c r="C790" s="172">
        <f>SUM(C53:C54)+SUM(C119:C120)+SUM(C262:C263)+C265+C267+C269+C270+SUM(C398:C400)+C461+C502+SUM(C555:C556)+C558+SUM(C607:C608)+C651+C653+C697+SUM(C744:C745)</f>
        <v>1300</v>
      </c>
      <c r="D790" s="172">
        <f>SUM(D53:D54)+SUM(D119:D120)+SUM(D262:D263)+D265+D267+D269+D270+SUM(D398:D400)+D461+D502+SUM(D555:D556)+D558+SUM(D607:D608)+D651+D653+D697+SUM(D744:D745)</f>
        <v>1300</v>
      </c>
      <c r="E790" s="38">
        <f t="shared" si="111"/>
        <v>3900</v>
      </c>
      <c r="F790" s="172">
        <f>SUM(F53:F54)+SUM(F119:F120)+SUM(F262:F263)+F265+F267+F269+F270+SUM(F398:F400)+F461+F502+SUM(F555:F556)+F558+SUM(F607:F608)+F651+F653+F697+SUM(F744:F745)</f>
        <v>2183</v>
      </c>
      <c r="G790" s="172">
        <f>SUM(G53:G54)+SUM(G119:G120)+SUM(G262:G263)+G265+G267+G269+G270+SUM(G398:G400)+G461+G502+SUM(G555:G556)+G558+SUM(G607:G608)+G651+G653+G697+SUM(G744:G745)</f>
        <v>4646</v>
      </c>
      <c r="H790" s="172">
        <f>SUM(H53:H54)+SUM(H119:H120)+SUM(H262:H263)+H265+H267+H269+H270+SUM(H398:H400)+H461+H502+SUM(H555:H556)+H558+SUM(H607:H608)+H651+H653+H697+SUM(H744:H745)</f>
        <v>5583</v>
      </c>
      <c r="I790" s="38">
        <f t="shared" si="112"/>
        <v>12412</v>
      </c>
      <c r="J790" s="172">
        <f>SUM(J53:J54)+SUM(J119:J120)+SUM(J262:J263)+J265+J267+J269+J270+SUM(J398:J400)+J461+J502+SUM(J555:J556)+J558+SUM(J607:J608)+J651+J653+J697+SUM(J744:J745)</f>
        <v>3018</v>
      </c>
      <c r="K790" s="172">
        <f>SUM(K53:K54)+SUM(K119:K120)+SUM(K262:K263)+K265+K267+K269+K270+SUM(K398:K400)+K461+K502+SUM(K555:K556)+K558+SUM(K607:K608)+K651+K653+K697+SUM(K744:K745)</f>
        <v>4167</v>
      </c>
      <c r="L790" s="172">
        <f>SUM(L53:L54)+SUM(L119:L120)+SUM(L262:L263)+L265+L267+L269+L270+SUM(L398:L400)+L461+L502+SUM(L555:L556)+L558+SUM(L607:L608)+L651+L653+L697+SUM(L744:L745)</f>
        <v>10362</v>
      </c>
      <c r="M790" s="38">
        <f t="shared" si="113"/>
        <v>17547</v>
      </c>
      <c r="N790" s="172">
        <f>SUM(N53:N54)+SUM(N119:N120)+SUM(N262:N263)+N265+N267+N269+N270+SUM(N398:N400)+N461+N502+SUM(N555:N556)+N558+SUM(N607:N608)+N651+N653+N697+SUM(N744:N745)</f>
        <v>8676</v>
      </c>
      <c r="O790" s="172">
        <f>SUM(O53:O54)+SUM(O119:O120)+SUM(O262:O263)+O265+O267+O269+O270+SUM(O398:O400)+O461+O502+SUM(O555:O556)+O558+SUM(O607:O608)+O651+O653+O697+SUM(O744:O745)</f>
        <v>8198</v>
      </c>
      <c r="P790" s="172">
        <f>SUM(P53:P54)+SUM(P119:P120)+SUM(P262:P263)+P265+P267+P269+P270+SUM(P398:P400)+P461+P502+SUM(P555:P556)+P558+SUM(P607:P608)+P651+P653+P697+SUM(P744:P745)</f>
        <v>6711</v>
      </c>
      <c r="Q790" s="38">
        <f t="shared" si="114"/>
        <v>23585</v>
      </c>
      <c r="R790" s="38">
        <f t="shared" ref="R790:R797" si="115">+E790+I790+M790+Q790</f>
        <v>57444</v>
      </c>
    </row>
    <row r="791" spans="1:20" ht="15.75" customHeight="1" x14ac:dyDescent="0.3">
      <c r="A791" s="266" t="s">
        <v>614</v>
      </c>
      <c r="B791" s="172">
        <f>B121+B264+B266+B268+B557+B559+B652+B654+B746</f>
        <v>0</v>
      </c>
      <c r="C791" s="172">
        <f>C121+C264+C266+C268+C557+C559+C652+C654+C746</f>
        <v>0</v>
      </c>
      <c r="D791" s="172">
        <f>D121+D264+D266+D268+D557+D559+D652+D654+D746</f>
        <v>0</v>
      </c>
      <c r="E791" s="38">
        <f t="shared" si="111"/>
        <v>0</v>
      </c>
      <c r="F791" s="172">
        <f>F121+F264+F266+F268+F557+F559+F652+F654+F746</f>
        <v>0</v>
      </c>
      <c r="G791" s="172">
        <f>G121+G264+G266+G268+G557+G559+G652+G654+G746</f>
        <v>0</v>
      </c>
      <c r="H791" s="172">
        <f>H121+H264+H266+H268+H557+H559+H652+H654+H746</f>
        <v>0</v>
      </c>
      <c r="I791" s="38">
        <f t="shared" si="112"/>
        <v>0</v>
      </c>
      <c r="J791" s="172">
        <f>J121+J264+J266+J268+J557+J559+J652+J654+J746</f>
        <v>0</v>
      </c>
      <c r="K791" s="172">
        <f>K121+K264+K266+K268+K557+K559+K652+K654+K746</f>
        <v>0</v>
      </c>
      <c r="L791" s="172">
        <f>L121+L264+L266+L268+L557+L559+L652+L654+L746</f>
        <v>0</v>
      </c>
      <c r="M791" s="38">
        <f t="shared" si="113"/>
        <v>0</v>
      </c>
      <c r="N791" s="172">
        <f>N121+N264+N266+N268+N557+N559+N652+N654+N746</f>
        <v>0</v>
      </c>
      <c r="O791" s="172">
        <f>O121+O264+O266+O268+O557+O559+O652+O654+O746</f>
        <v>0</v>
      </c>
      <c r="P791" s="172">
        <f>P121+P264+P266+P268+P557+P559+P652+P654+P746</f>
        <v>0</v>
      </c>
      <c r="Q791" s="38">
        <f t="shared" si="114"/>
        <v>0</v>
      </c>
      <c r="R791" s="38">
        <f t="shared" si="115"/>
        <v>0</v>
      </c>
    </row>
    <row r="792" spans="1:20" ht="15.75" customHeight="1" x14ac:dyDescent="0.3">
      <c r="A792" s="234" t="s">
        <v>2644</v>
      </c>
      <c r="B792" s="172">
        <f>+B55+SUM(B122:B123)+SUM(B271:B271)+SUM(B401:B407)+SUM(B462:B462)+SUM(B503:B504)+B561+B609+B655+B747+B747</f>
        <v>0</v>
      </c>
      <c r="C792" s="172">
        <f>+C55+SUM(C122:C123)+SUM(C271:C271)+SUM(C401:C407)+SUM(C462:C462)+SUM(C503:C504)+C561+C609+C655+C747+C747</f>
        <v>0</v>
      </c>
      <c r="D792" s="172">
        <f>+D55+SUM(D122:D123)+SUM(D271:D271)+SUM(D401:D407)+SUM(D462:D462)+SUM(D503:D504)+D561+D609+D655+D747+D747</f>
        <v>0</v>
      </c>
      <c r="E792" s="38">
        <f t="shared" si="111"/>
        <v>0</v>
      </c>
      <c r="F792" s="172">
        <f>+F55+SUM(F122:F123)+SUM(F271:F271)+SUM(F401:F407)+SUM(F462:F462)+SUM(F503:F504)+F561+F609+F655+F747+F747</f>
        <v>0</v>
      </c>
      <c r="G792" s="172">
        <f>+G55+SUM(G122:G123)+SUM(G271:G271)+SUM(G401:G407)+SUM(G462:G462)+SUM(G503:G504)+G561+G609+G655+G747+G747</f>
        <v>0</v>
      </c>
      <c r="H792" s="172">
        <f>+H55+SUM(H122:H123)+SUM(H271:H271)+SUM(H401:H407)+SUM(H462:H462)+SUM(H503:H504)+H561+H609+H655+H747+H747</f>
        <v>1000</v>
      </c>
      <c r="I792" s="38">
        <f t="shared" si="112"/>
        <v>1000</v>
      </c>
      <c r="J792" s="172">
        <f>+J55+SUM(J122:J123)+SUM(J271:J271)+SUM(J401:J407)+SUM(J462:J462)+SUM(J503:J504)+J561+J609+J655+J747+J747</f>
        <v>0</v>
      </c>
      <c r="K792" s="172">
        <f>+K55+SUM(K122:K123)+SUM(K271:K271)+SUM(K401:K407)+SUM(K462:K462)+SUM(K503:K504)+K561+K609+K655+K747+K747</f>
        <v>3509</v>
      </c>
      <c r="L792" s="172">
        <f>+L55+SUM(L122:L123)+SUM(L271:L271)+SUM(L401:L407)+SUM(L462:L462)+SUM(L503:L504)+L561+L609+L655+L747+L747</f>
        <v>2485</v>
      </c>
      <c r="M792" s="38">
        <f t="shared" si="113"/>
        <v>5994</v>
      </c>
      <c r="N792" s="172">
        <f>+N55+SUM(N122:N123)+SUM(N271:N271)+SUM(N401:N407)+SUM(N462:N462)+SUM(N503:N504)+N561+N609+N655+N747+N747</f>
        <v>2439</v>
      </c>
      <c r="O792" s="172">
        <f>+O55+SUM(O122:O123)+SUM(O271:O271)+SUM(O401:O407)+SUM(O462:O462)+SUM(O503:O504)+O561+O609+O655+O747+O747</f>
        <v>0</v>
      </c>
      <c r="P792" s="172">
        <f>+P55+SUM(P122:P123)+SUM(P271:P271)+SUM(P401:P407)+SUM(P462:P462)+SUM(P503:P504)+P561+P609+P655+P747+P747</f>
        <v>0</v>
      </c>
      <c r="Q792" s="38">
        <f t="shared" si="114"/>
        <v>2439</v>
      </c>
      <c r="R792" s="38">
        <f>+E792+I792+M792+Q792</f>
        <v>9433</v>
      </c>
    </row>
    <row r="793" spans="1:20" ht="22.5" customHeight="1" x14ac:dyDescent="0.3">
      <c r="A793" s="234" t="s">
        <v>2905</v>
      </c>
      <c r="B793" s="172">
        <f>SUM(B124:B124)+SUM(B272:B272)+B409+B411+B412+B414+B416+SUM(B463:B464)+B506+B508+B562+SUM(B563:B564)+B610+B656+B699+B748</f>
        <v>200</v>
      </c>
      <c r="C793" s="172">
        <f>SUM(C124:C124)+SUM(C272:C272)+C409+C411+C412+C414+C416+SUM(C463:C464)+C506+C508+C562+SUM(C563:C564)+C610+C656+C699+C748</f>
        <v>300</v>
      </c>
      <c r="D793" s="172">
        <f>SUM(D124:D124)+SUM(D272:D272)+D409+D411+D412+D414+D416+SUM(D463:D464)+D506+D508+D562+SUM(D563:D564)+D610+D656+D699+D748</f>
        <v>900</v>
      </c>
      <c r="E793" s="38">
        <f t="shared" si="111"/>
        <v>1400</v>
      </c>
      <c r="F793" s="172">
        <f>SUM(F124:F124)+SUM(F272:F272)+F409+F411+F412+F414+F416+SUM(F463:F464)+F506+F508+F562+SUM(F563:F564)+F610+F656+F699+F748</f>
        <v>1400</v>
      </c>
      <c r="G793" s="172">
        <f>SUM(G124:G124)+SUM(G272:G272)+G409+G411+G412+G414+G416+SUM(G463:G464)+G506+G508+G562+SUM(G563:G564)+G610+G656+G699+G748</f>
        <v>900</v>
      </c>
      <c r="H793" s="172">
        <f>SUM(H124:H124)+SUM(H272:H272)+H409+H411+H412+H414+H416+SUM(H463:H464)+H506+H508+H562+SUM(H563:H564)+H610+H656+H699+H748</f>
        <v>1800</v>
      </c>
      <c r="I793" s="38">
        <f t="shared" si="112"/>
        <v>4100</v>
      </c>
      <c r="J793" s="172">
        <f>SUM(J124:J124)+SUM(J272:J272)+J409+J411+J412+J414+J416+SUM(J463:J464)+J506+J508+J562+SUM(J563:J564)+J610+J656+J699+J748</f>
        <v>4534</v>
      </c>
      <c r="K793" s="172">
        <f>SUM(K124:K124)+SUM(K272:K272)+K409+K411+K412+K414+K416+SUM(K463:K464)+K506+K508+K562+SUM(K563:K564)+K610+K656+K699+K748</f>
        <v>880</v>
      </c>
      <c r="L793" s="172">
        <f>SUM(L124:L124)+SUM(L272:L272)+L409+L411+L412+L414+L416+SUM(L463:L464)+L506+L508+L562+SUM(L563:L564)+L610+L656+L699+L748</f>
        <v>18</v>
      </c>
      <c r="M793" s="38">
        <f t="shared" si="113"/>
        <v>5432</v>
      </c>
      <c r="N793" s="172">
        <f>SUM(N124:N124)+SUM(N272:N272)+N409+N411+N412+N414+N416+SUM(N463:N464)+N506+N508+N562+SUM(N563:N564)+N610+N656+N699+N748</f>
        <v>1000</v>
      </c>
      <c r="O793" s="172">
        <f>SUM(O124:O124)+SUM(O272:O272)+O409+O411+O412+O414+O416+SUM(O463:O464)+O506+O508+O562+SUM(O563:O564)+O610+O656+O699+O748</f>
        <v>0</v>
      </c>
      <c r="P793" s="172">
        <f>SUM(P124:P124)+SUM(P272:P272)+P409+P411+P412+P414+P416+SUM(P463:P464)+P506+P508+P562+SUM(P563:P564)+P610+P656+P699+P748</f>
        <v>964</v>
      </c>
      <c r="Q793" s="38">
        <f t="shared" si="114"/>
        <v>1964</v>
      </c>
      <c r="R793" s="38">
        <f t="shared" si="115"/>
        <v>12896</v>
      </c>
    </row>
    <row r="794" spans="1:20" ht="15.75" customHeight="1" thickBot="1" x14ac:dyDescent="0.35">
      <c r="A794" s="266" t="s">
        <v>1862</v>
      </c>
      <c r="B794" s="172">
        <f>+B410+B413+B415+B465</f>
        <v>0</v>
      </c>
      <c r="C794" s="172">
        <f>+C410+C413+C415+C465</f>
        <v>0</v>
      </c>
      <c r="D794" s="172">
        <f>+D410+D413+D415+D465</f>
        <v>0</v>
      </c>
      <c r="E794" s="38">
        <f>SUM(B794:D794)</f>
        <v>0</v>
      </c>
      <c r="F794" s="172">
        <f>+F410+F413+F415+F465</f>
        <v>0</v>
      </c>
      <c r="G794" s="172">
        <f>+G410+G413+G415+G465</f>
        <v>0</v>
      </c>
      <c r="H794" s="172">
        <f>+H410+H413+H415+H465</f>
        <v>0</v>
      </c>
      <c r="I794" s="38">
        <f>SUM(F794:H794)</f>
        <v>0</v>
      </c>
      <c r="J794" s="172">
        <f>+J410+J413+J415+J465</f>
        <v>0</v>
      </c>
      <c r="K794" s="172">
        <f>+K410+K413+K415+K465</f>
        <v>0</v>
      </c>
      <c r="L794" s="172">
        <f>+L410+L413+L415+L465</f>
        <v>0</v>
      </c>
      <c r="M794" s="38">
        <f>SUM(J794:L794)</f>
        <v>0</v>
      </c>
      <c r="N794" s="172">
        <f>+N410+N413+N415+N465</f>
        <v>0</v>
      </c>
      <c r="O794" s="172">
        <f>+O410+O413+O415+O465</f>
        <v>0</v>
      </c>
      <c r="P794" s="172">
        <f>+P410+P413+P415+P465</f>
        <v>0</v>
      </c>
      <c r="Q794" s="38">
        <f>SUM(N794:P794)</f>
        <v>0</v>
      </c>
      <c r="R794" s="38">
        <f>+E794+I794+M794+Q794</f>
        <v>0</v>
      </c>
    </row>
    <row r="795" spans="1:20" ht="16.5" customHeight="1" thickBot="1" x14ac:dyDescent="0.35">
      <c r="A795" s="43" t="s">
        <v>1019</v>
      </c>
      <c r="B795" s="335">
        <f>SUM(B792:B794)</f>
        <v>200</v>
      </c>
      <c r="C795" s="335">
        <f>SUM(C792:C794)</f>
        <v>300</v>
      </c>
      <c r="D795" s="335">
        <f>SUM(D792:D794)</f>
        <v>900</v>
      </c>
      <c r="E795" s="39">
        <f t="shared" si="111"/>
        <v>1400</v>
      </c>
      <c r="F795" s="335">
        <f>SUM(F792:F794)</f>
        <v>1400</v>
      </c>
      <c r="G795" s="335">
        <f>SUM(G792:G794)</f>
        <v>900</v>
      </c>
      <c r="H795" s="335">
        <f>SUM(H792:H794)</f>
        <v>2800</v>
      </c>
      <c r="I795" s="39">
        <f t="shared" si="112"/>
        <v>5100</v>
      </c>
      <c r="J795" s="335">
        <f>SUM(J792:J794)</f>
        <v>4534</v>
      </c>
      <c r="K795" s="335">
        <f>SUM(K792:K794)</f>
        <v>4389</v>
      </c>
      <c r="L795" s="335">
        <f>SUM(L792:L794)</f>
        <v>2503</v>
      </c>
      <c r="M795" s="39">
        <f t="shared" si="113"/>
        <v>11426</v>
      </c>
      <c r="N795" s="335">
        <f>SUM(N792:N794)</f>
        <v>3439</v>
      </c>
      <c r="O795" s="335">
        <f>SUM(O792:O794)</f>
        <v>0</v>
      </c>
      <c r="P795" s="335">
        <f>SUM(P792:P794)</f>
        <v>964</v>
      </c>
      <c r="Q795" s="39">
        <f t="shared" si="114"/>
        <v>4403</v>
      </c>
      <c r="R795" s="37">
        <f t="shared" si="115"/>
        <v>22329</v>
      </c>
    </row>
    <row r="796" spans="1:20" ht="16.5" customHeight="1" thickBot="1" x14ac:dyDescent="0.35">
      <c r="A796" s="277" t="s">
        <v>1221</v>
      </c>
      <c r="B796" s="45">
        <f>SUM(B788:B794)</f>
        <v>1500</v>
      </c>
      <c r="C796" s="46">
        <f>SUM(C788:C794)</f>
        <v>1600</v>
      </c>
      <c r="D796" s="58">
        <f>SUM(D788:D794)</f>
        <v>2200</v>
      </c>
      <c r="E796" s="336">
        <f t="shared" si="111"/>
        <v>5300</v>
      </c>
      <c r="F796" s="45">
        <f>SUM(F788:F794)</f>
        <v>3755</v>
      </c>
      <c r="G796" s="46">
        <f>SUM(G788:G794)</f>
        <v>6140</v>
      </c>
      <c r="H796" s="58">
        <f>SUM(H788:H794)</f>
        <v>8383</v>
      </c>
      <c r="I796" s="39">
        <f t="shared" si="112"/>
        <v>18278</v>
      </c>
      <c r="J796" s="45">
        <f>SUM(J788:J794)</f>
        <v>7552</v>
      </c>
      <c r="K796" s="46">
        <f>SUM(K788:K794)</f>
        <v>11735</v>
      </c>
      <c r="L796" s="58">
        <f>SUM(L788:L794)</f>
        <v>12865</v>
      </c>
      <c r="M796" s="39">
        <f t="shared" si="113"/>
        <v>32152</v>
      </c>
      <c r="N796" s="45">
        <f>SUM(N788:N794)</f>
        <v>12115</v>
      </c>
      <c r="O796" s="46">
        <f>SUM(O788:O794)</f>
        <v>8198</v>
      </c>
      <c r="P796" s="58">
        <f>SUM(P788:P794)</f>
        <v>8175</v>
      </c>
      <c r="Q796" s="39">
        <f t="shared" si="114"/>
        <v>28488</v>
      </c>
      <c r="R796" s="37">
        <f t="shared" si="115"/>
        <v>84218</v>
      </c>
    </row>
    <row r="797" spans="1:20" ht="16.5" customHeight="1" thickBot="1" x14ac:dyDescent="0.35">
      <c r="A797" s="43" t="s">
        <v>1222</v>
      </c>
      <c r="B797" s="337">
        <f>+B778+B783+B787+B796</f>
        <v>58728</v>
      </c>
      <c r="C797" s="338">
        <f>+C778+C783+C787+C796</f>
        <v>77475</v>
      </c>
      <c r="D797" s="338">
        <f>+D778+D783+D787+D796</f>
        <v>134316</v>
      </c>
      <c r="E797" s="37">
        <f t="shared" si="111"/>
        <v>270519</v>
      </c>
      <c r="F797" s="42">
        <f>+F778+F783+F787+F796</f>
        <v>183305</v>
      </c>
      <c r="G797" s="42">
        <f>+G778+G783+G787+G796</f>
        <v>146795</v>
      </c>
      <c r="H797" s="42">
        <f>+H778+H783+H787+H796</f>
        <v>166051</v>
      </c>
      <c r="I797" s="37">
        <f t="shared" si="112"/>
        <v>496151</v>
      </c>
      <c r="J797" s="42">
        <f>+J778+J783+J787+J796</f>
        <v>156931</v>
      </c>
      <c r="K797" s="42">
        <f>+K778+K783+K787+K796</f>
        <v>165338</v>
      </c>
      <c r="L797" s="42">
        <f>+L778+L783+L787+L796</f>
        <v>121912</v>
      </c>
      <c r="M797" s="37">
        <f t="shared" si="113"/>
        <v>444181</v>
      </c>
      <c r="N797" s="42">
        <f>+N778+N783+N787+N796</f>
        <v>96557</v>
      </c>
      <c r="O797" s="42">
        <f>+O778+O783+O787+O796</f>
        <v>63748</v>
      </c>
      <c r="P797" s="42">
        <f>+P778+P783+P787+P796</f>
        <v>78053</v>
      </c>
      <c r="Q797" s="37">
        <f t="shared" si="114"/>
        <v>238358</v>
      </c>
      <c r="R797" s="40">
        <f t="shared" si="115"/>
        <v>1449209</v>
      </c>
    </row>
    <row r="798" spans="1:20" ht="15.75" customHeight="1" x14ac:dyDescent="0.3">
      <c r="A798" s="356" t="s">
        <v>2646</v>
      </c>
      <c r="B798" s="172"/>
      <c r="C798" s="172"/>
      <c r="D798" s="172"/>
      <c r="E798" s="172"/>
      <c r="F798" s="172"/>
      <c r="G798" s="172"/>
      <c r="H798" s="172"/>
      <c r="I798" s="172"/>
      <c r="J798" s="172"/>
      <c r="K798" s="172"/>
      <c r="L798" s="172"/>
      <c r="M798" s="172"/>
      <c r="N798" s="172"/>
      <c r="O798" s="453"/>
      <c r="P798" s="172"/>
      <c r="Q798" s="172"/>
      <c r="R798" s="17"/>
    </row>
    <row r="799" spans="1:20" ht="15.75" customHeight="1" x14ac:dyDescent="0.3">
      <c r="A799" s="356" t="s">
        <v>3009</v>
      </c>
      <c r="B799" s="172"/>
      <c r="C799" s="172"/>
      <c r="D799" s="172"/>
      <c r="E799" s="172"/>
      <c r="F799" s="172"/>
      <c r="G799" s="172"/>
      <c r="H799" s="172"/>
      <c r="I799" s="172"/>
      <c r="J799" s="172"/>
      <c r="K799" s="172"/>
      <c r="L799" s="172"/>
      <c r="M799" s="172"/>
      <c r="N799" s="172"/>
      <c r="O799" s="453"/>
      <c r="P799" s="172"/>
      <c r="Q799" s="172"/>
      <c r="R799" s="17"/>
    </row>
    <row r="800" spans="1:20" ht="15.75" customHeight="1" x14ac:dyDescent="0.3">
      <c r="A800" s="172"/>
      <c r="B800" s="172"/>
      <c r="C800" s="172"/>
      <c r="D800" s="172"/>
      <c r="E800" s="172"/>
      <c r="F800" s="172"/>
      <c r="G800" s="172"/>
      <c r="H800" s="172"/>
      <c r="I800" s="172"/>
      <c r="J800" s="172"/>
      <c r="K800" s="172"/>
      <c r="L800" s="172"/>
      <c r="M800" s="172"/>
      <c r="N800" s="172"/>
      <c r="O800" s="453"/>
      <c r="P800" s="172"/>
      <c r="Q800" s="680" t="str">
        <f>+Q1</f>
        <v xml:space="preserve">PRINTED:  </v>
      </c>
      <c r="R800" s="681">
        <f ca="1">+R1</f>
        <v>44881.729634027775</v>
      </c>
    </row>
    <row r="801" spans="1:46" ht="15.75" customHeight="1" x14ac:dyDescent="0.3">
      <c r="A801" s="778" t="s">
        <v>43</v>
      </c>
      <c r="B801" s="778"/>
      <c r="C801" s="778"/>
      <c r="D801" s="778"/>
      <c r="E801" s="778"/>
      <c r="F801" s="778"/>
      <c r="G801" s="778"/>
      <c r="H801" s="778"/>
      <c r="I801" s="778"/>
      <c r="J801" s="778"/>
      <c r="K801" s="778"/>
      <c r="L801" s="778"/>
      <c r="M801" s="778"/>
      <c r="N801" s="778"/>
      <c r="O801" s="778"/>
      <c r="P801" s="778"/>
      <c r="Q801" s="778"/>
      <c r="R801" s="778"/>
    </row>
    <row r="802" spans="1:46" ht="15.75" customHeight="1" x14ac:dyDescent="0.3">
      <c r="A802" s="778" t="s">
        <v>1988</v>
      </c>
      <c r="B802" s="778"/>
      <c r="C802" s="778"/>
      <c r="D802" s="778"/>
      <c r="E802" s="778"/>
      <c r="F802" s="778"/>
      <c r="G802" s="778"/>
      <c r="H802" s="778"/>
      <c r="I802" s="778"/>
      <c r="J802" s="778"/>
      <c r="K802" s="778"/>
      <c r="L802" s="778"/>
      <c r="M802" s="778"/>
      <c r="N802" s="778"/>
      <c r="O802" s="778"/>
      <c r="P802" s="778"/>
      <c r="Q802" s="778"/>
      <c r="R802" s="778"/>
    </row>
    <row r="803" spans="1:46" ht="15.75" customHeight="1" x14ac:dyDescent="0.3">
      <c r="A803" s="778" t="s">
        <v>544</v>
      </c>
      <c r="B803" s="778"/>
      <c r="C803" s="778"/>
      <c r="D803" s="778"/>
      <c r="E803" s="778"/>
      <c r="F803" s="778"/>
      <c r="G803" s="778"/>
      <c r="H803" s="778"/>
      <c r="I803" s="778"/>
      <c r="J803" s="778"/>
      <c r="K803" s="778"/>
      <c r="L803" s="778"/>
      <c r="M803" s="778"/>
      <c r="N803" s="778"/>
      <c r="O803" s="778"/>
      <c r="P803" s="778"/>
      <c r="Q803" s="778"/>
      <c r="R803" s="778"/>
    </row>
    <row r="804" spans="1:46" ht="15.75" customHeight="1" x14ac:dyDescent="0.3">
      <c r="A804" s="778">
        <f>+A5</f>
        <v>2015</v>
      </c>
      <c r="B804" s="778"/>
      <c r="C804" s="778"/>
      <c r="D804" s="778"/>
      <c r="E804" s="778"/>
      <c r="F804" s="778"/>
      <c r="G804" s="778"/>
      <c r="H804" s="778"/>
      <c r="I804" s="778"/>
      <c r="J804" s="778"/>
      <c r="K804" s="778"/>
      <c r="L804" s="778"/>
      <c r="M804" s="778"/>
      <c r="N804" s="778"/>
      <c r="O804" s="778"/>
      <c r="P804" s="778"/>
      <c r="Q804" s="778"/>
      <c r="R804" s="778"/>
    </row>
    <row r="805" spans="1:46" ht="15.75" customHeight="1" x14ac:dyDescent="0.3">
      <c r="A805" s="172"/>
      <c r="B805" s="172"/>
      <c r="C805" s="172"/>
      <c r="D805" s="1"/>
      <c r="E805" s="1"/>
      <c r="F805" s="1"/>
      <c r="G805" s="452"/>
      <c r="H805" s="1"/>
      <c r="I805" s="1"/>
      <c r="J805" s="452"/>
      <c r="K805" s="452"/>
      <c r="L805" s="452"/>
      <c r="M805" s="452"/>
      <c r="N805" s="172"/>
      <c r="O805" s="452"/>
      <c r="P805" s="452"/>
      <c r="Q805" s="452"/>
      <c r="R805" s="452"/>
    </row>
    <row r="806" spans="1:46" ht="15.75" customHeight="1" x14ac:dyDescent="0.3">
      <c r="A806" s="778" t="str">
        <f>+A8</f>
        <v>Revised:  5/2/2016</v>
      </c>
      <c r="B806" s="778"/>
      <c r="C806" s="778"/>
      <c r="D806" s="778"/>
      <c r="E806" s="778"/>
      <c r="F806" s="778"/>
      <c r="G806" s="778"/>
      <c r="H806" s="778"/>
      <c r="I806" s="778"/>
      <c r="J806" s="778"/>
      <c r="K806" s="778"/>
      <c r="L806" s="778"/>
      <c r="M806" s="778"/>
      <c r="N806" s="778"/>
      <c r="O806" s="778"/>
      <c r="P806" s="778"/>
      <c r="Q806" s="778"/>
      <c r="R806" s="778"/>
    </row>
    <row r="807" spans="1:46" ht="15.75" customHeight="1" x14ac:dyDescent="0.3">
      <c r="A807" s="448"/>
      <c r="B807" s="448"/>
      <c r="C807" s="448"/>
      <c r="D807" s="448"/>
      <c r="E807" s="448"/>
      <c r="F807" s="448"/>
      <c r="G807" s="448"/>
      <c r="H807" s="448"/>
      <c r="I807" s="448"/>
      <c r="J807" s="448"/>
      <c r="K807" s="448"/>
      <c r="L807" s="448"/>
      <c r="M807" s="448"/>
      <c r="N807" s="448"/>
      <c r="O807" s="448"/>
      <c r="P807" s="448"/>
      <c r="Q807" s="448"/>
      <c r="R807" s="448"/>
    </row>
    <row r="808" spans="1:46" ht="15.75" customHeight="1" x14ac:dyDescent="0.3">
      <c r="A808" s="18"/>
      <c r="B808" s="172"/>
      <c r="C808" s="172"/>
      <c r="D808" s="172"/>
      <c r="E808" s="172"/>
      <c r="F808" s="172"/>
      <c r="G808" s="172"/>
      <c r="H808" s="172"/>
      <c r="I808" s="172"/>
      <c r="J808" s="172"/>
      <c r="K808" s="172"/>
      <c r="L808" s="172"/>
      <c r="M808" s="172"/>
      <c r="N808" s="172"/>
      <c r="O808" s="172"/>
      <c r="P808" s="172"/>
      <c r="Q808" s="172"/>
      <c r="R808" s="17"/>
    </row>
    <row r="809" spans="1:46" ht="15.75" customHeight="1" thickBot="1" x14ac:dyDescent="0.35">
      <c r="A809" s="172"/>
      <c r="B809" s="172"/>
      <c r="C809" s="172"/>
      <c r="D809" s="172"/>
      <c r="E809" s="172"/>
      <c r="F809" s="172"/>
      <c r="G809" s="172"/>
      <c r="H809" s="172"/>
      <c r="I809" s="172"/>
      <c r="J809" s="172"/>
      <c r="K809" s="172"/>
      <c r="L809" s="172"/>
      <c r="M809" s="172"/>
      <c r="N809" s="172"/>
      <c r="O809" s="453"/>
      <c r="P809" s="172"/>
      <c r="Q809" s="172"/>
      <c r="R809" s="17"/>
    </row>
    <row r="810" spans="1:46" ht="15.75" customHeight="1" thickBot="1" x14ac:dyDescent="0.35">
      <c r="A810" s="274" t="s">
        <v>1088</v>
      </c>
      <c r="B810" s="25" t="s">
        <v>2090</v>
      </c>
      <c r="C810" s="26" t="s">
        <v>2091</v>
      </c>
      <c r="D810" s="26" t="s">
        <v>2234</v>
      </c>
      <c r="E810" s="33" t="s">
        <v>1594</v>
      </c>
      <c r="F810" s="26" t="s">
        <v>2235</v>
      </c>
      <c r="G810" s="26" t="s">
        <v>2236</v>
      </c>
      <c r="H810" s="26" t="s">
        <v>2237</v>
      </c>
      <c r="I810" s="33" t="s">
        <v>1595</v>
      </c>
      <c r="J810" s="26" t="s">
        <v>1504</v>
      </c>
      <c r="K810" s="26" t="s">
        <v>1505</v>
      </c>
      <c r="L810" s="26" t="s">
        <v>1506</v>
      </c>
      <c r="M810" s="33" t="s">
        <v>1596</v>
      </c>
      <c r="N810" s="26" t="s">
        <v>1507</v>
      </c>
      <c r="O810" s="26" t="s">
        <v>1508</v>
      </c>
      <c r="P810" s="26" t="s">
        <v>1509</v>
      </c>
      <c r="Q810" s="33" t="s">
        <v>1597</v>
      </c>
      <c r="R810" s="339" t="s">
        <v>1510</v>
      </c>
    </row>
    <row r="811" spans="1:46" ht="16.5" customHeight="1" thickBot="1" x14ac:dyDescent="0.35">
      <c r="A811" s="340"/>
      <c r="B811" s="341"/>
      <c r="C811" s="341"/>
      <c r="D811" s="341"/>
      <c r="E811" s="233"/>
      <c r="F811" s="341"/>
      <c r="G811" s="341"/>
      <c r="H811" s="341"/>
      <c r="I811" s="243"/>
      <c r="J811" s="341"/>
      <c r="K811" s="341"/>
      <c r="L811" s="341"/>
      <c r="M811" s="243"/>
      <c r="N811" s="341"/>
      <c r="O811" s="341"/>
      <c r="P811" s="341"/>
      <c r="Q811" s="279"/>
      <c r="R811" s="342"/>
    </row>
    <row r="812" spans="1:46" ht="16.5" customHeight="1" thickBot="1" x14ac:dyDescent="0.35">
      <c r="A812" s="343" t="s">
        <v>673</v>
      </c>
      <c r="B812" s="344">
        <f>+B778</f>
        <v>26178</v>
      </c>
      <c r="C812" s="344">
        <f>+C778</f>
        <v>32943</v>
      </c>
      <c r="D812" s="344">
        <f>+D778</f>
        <v>43378</v>
      </c>
      <c r="E812" s="45">
        <f>+SUM(B812:D812)</f>
        <v>102499</v>
      </c>
      <c r="F812" s="344">
        <f>+F778</f>
        <v>51896</v>
      </c>
      <c r="G812" s="344">
        <f>+G778</f>
        <v>42379</v>
      </c>
      <c r="H812" s="344">
        <f>+H778</f>
        <v>43563</v>
      </c>
      <c r="I812" s="45">
        <f>+SUM(F812:H812)</f>
        <v>137838</v>
      </c>
      <c r="J812" s="344">
        <f>+J778</f>
        <v>68841</v>
      </c>
      <c r="K812" s="344">
        <f>+K778</f>
        <v>58848</v>
      </c>
      <c r="L812" s="344">
        <f>+L778</f>
        <v>55773</v>
      </c>
      <c r="M812" s="45">
        <f>+SUM(J812:L812)</f>
        <v>183462</v>
      </c>
      <c r="N812" s="344">
        <f>+N778</f>
        <v>45199</v>
      </c>
      <c r="O812" s="344">
        <f>+O778</f>
        <v>33553</v>
      </c>
      <c r="P812" s="344">
        <f>+P778</f>
        <v>36784</v>
      </c>
      <c r="Q812" s="45">
        <f>+SUM(N812:P812)</f>
        <v>115536</v>
      </c>
      <c r="R812" s="37">
        <f>+E812+I812+M812+Q812</f>
        <v>539335</v>
      </c>
    </row>
    <row r="813" spans="1:46" ht="16.5" customHeight="1" thickBot="1" x14ac:dyDescent="0.35">
      <c r="A813" s="35"/>
      <c r="B813" s="45"/>
      <c r="C813" s="45"/>
      <c r="D813" s="45"/>
      <c r="E813" s="45"/>
      <c r="F813" s="45"/>
      <c r="G813" s="45"/>
      <c r="H813" s="45"/>
      <c r="I813" s="45"/>
      <c r="J813" s="45"/>
      <c r="K813" s="45"/>
      <c r="L813" s="45"/>
      <c r="M813" s="45"/>
      <c r="N813" s="45"/>
      <c r="O813" s="45"/>
      <c r="P813" s="45"/>
      <c r="Q813" s="45"/>
      <c r="R813" s="37"/>
    </row>
    <row r="814" spans="1:46" ht="16.5" customHeight="1" thickBot="1" x14ac:dyDescent="0.35">
      <c r="A814" s="343" t="s">
        <v>672</v>
      </c>
      <c r="B814" s="344">
        <f>+B783</f>
        <v>10520</v>
      </c>
      <c r="C814" s="344">
        <f>+C783</f>
        <v>10972</v>
      </c>
      <c r="D814" s="344">
        <f>+D783</f>
        <v>36972</v>
      </c>
      <c r="E814" s="45">
        <f>+SUM(B814:D814)</f>
        <v>58464</v>
      </c>
      <c r="F814" s="344">
        <f>+F783</f>
        <v>52610</v>
      </c>
      <c r="G814" s="344">
        <f>+G783</f>
        <v>28102</v>
      </c>
      <c r="H814" s="344">
        <f>+H783</f>
        <v>39436</v>
      </c>
      <c r="I814" s="45">
        <f>+SUM(F814:H814)</f>
        <v>120148</v>
      </c>
      <c r="J814" s="344">
        <f>+J783</f>
        <v>33755</v>
      </c>
      <c r="K814" s="344">
        <f>+K783</f>
        <v>38588</v>
      </c>
      <c r="L814" s="344">
        <f>+L783</f>
        <v>29447</v>
      </c>
      <c r="M814" s="45">
        <f>+SUM(J814:L814)</f>
        <v>101790</v>
      </c>
      <c r="N814" s="344">
        <f>+N783</f>
        <v>18821</v>
      </c>
      <c r="O814" s="344">
        <f>+O783</f>
        <v>10850</v>
      </c>
      <c r="P814" s="344">
        <f>+P783</f>
        <v>8206</v>
      </c>
      <c r="Q814" s="45">
        <f>+SUM(N814:P814)</f>
        <v>37877</v>
      </c>
      <c r="R814" s="37">
        <f>+E814+I814+M814+Q814</f>
        <v>318279</v>
      </c>
    </row>
    <row r="815" spans="1:46" ht="16.5" customHeight="1" thickBot="1" x14ac:dyDescent="0.35">
      <c r="A815" s="35"/>
      <c r="B815" s="45"/>
      <c r="C815" s="45"/>
      <c r="D815" s="45"/>
      <c r="E815" s="45"/>
      <c r="F815" s="45"/>
      <c r="G815" s="45"/>
      <c r="H815" s="45"/>
      <c r="I815" s="45"/>
      <c r="J815" s="45"/>
      <c r="K815" s="45"/>
      <c r="L815" s="45"/>
      <c r="M815" s="45"/>
      <c r="N815" s="45"/>
      <c r="O815" s="45"/>
      <c r="P815" s="45"/>
      <c r="Q815" s="45"/>
      <c r="R815" s="37"/>
      <c r="AC815" s="546"/>
      <c r="AD815" s="547"/>
      <c r="AE815" s="549" t="s">
        <v>2434</v>
      </c>
      <c r="AF815" s="547"/>
      <c r="AG815" s="547"/>
      <c r="AH815" s="547"/>
      <c r="AI815" s="547"/>
      <c r="AJ815" s="547"/>
      <c r="AK815" s="547" t="s">
        <v>2435</v>
      </c>
      <c r="AL815" s="547"/>
      <c r="AM815" s="547" t="s">
        <v>852</v>
      </c>
      <c r="AN815" s="557" t="str">
        <f>+A8</f>
        <v>Revised:  5/2/2016</v>
      </c>
      <c r="AO815" s="547"/>
      <c r="AP815" s="547"/>
      <c r="AQ815" s="547"/>
      <c r="AR815" s="547"/>
      <c r="AS815" s="678" t="str">
        <f>+Q1</f>
        <v xml:space="preserve">PRINTED:  </v>
      </c>
      <c r="AT815" s="679">
        <f ca="1">+R1</f>
        <v>44881.729634027775</v>
      </c>
    </row>
    <row r="816" spans="1:46" ht="16.5" customHeight="1" thickBot="1" x14ac:dyDescent="0.35">
      <c r="A816" s="343" t="s">
        <v>1089</v>
      </c>
      <c r="B816" s="344">
        <f>+B787</f>
        <v>20530</v>
      </c>
      <c r="C816" s="344">
        <f>+C787</f>
        <v>31960</v>
      </c>
      <c r="D816" s="344">
        <f>+D787</f>
        <v>51766</v>
      </c>
      <c r="E816" s="45">
        <f>+SUM(B816:D816)</f>
        <v>104256</v>
      </c>
      <c r="F816" s="344">
        <f>+F787</f>
        <v>75044</v>
      </c>
      <c r="G816" s="344">
        <f>+G787</f>
        <v>70174</v>
      </c>
      <c r="H816" s="344">
        <f>+H787</f>
        <v>74669</v>
      </c>
      <c r="I816" s="45">
        <f>+SUM(F816:H816)</f>
        <v>219887</v>
      </c>
      <c r="J816" s="344">
        <f>+J787</f>
        <v>46783</v>
      </c>
      <c r="K816" s="344">
        <f>+K787</f>
        <v>56167</v>
      </c>
      <c r="L816" s="344">
        <f>+L787</f>
        <v>23827</v>
      </c>
      <c r="M816" s="45">
        <f>+SUM(J816:L816)</f>
        <v>126777</v>
      </c>
      <c r="N816" s="344">
        <f>+N787</f>
        <v>20422</v>
      </c>
      <c r="O816" s="344">
        <f>+O787</f>
        <v>11147</v>
      </c>
      <c r="P816" s="344">
        <f>+P787</f>
        <v>24888</v>
      </c>
      <c r="Q816" s="45">
        <f>+SUM(N816:P816)</f>
        <v>56457</v>
      </c>
      <c r="R816" s="37">
        <f>+E816+I816+M816+Q816</f>
        <v>507377</v>
      </c>
      <c r="AC816" s="551"/>
      <c r="AD816" s="67"/>
      <c r="AE816" s="67"/>
      <c r="AF816" s="67">
        <f>++A5</f>
        <v>2015</v>
      </c>
      <c r="AG816" s="67"/>
      <c r="AH816" s="67"/>
      <c r="AI816" s="67"/>
      <c r="AJ816" s="67"/>
      <c r="AK816" s="67"/>
      <c r="AL816" s="67"/>
      <c r="AM816" s="67"/>
      <c r="AN816" s="67"/>
      <c r="AO816" s="67"/>
      <c r="AP816" s="67"/>
      <c r="AQ816" s="67"/>
      <c r="AR816" s="67"/>
      <c r="AS816" s="67"/>
      <c r="AT816" s="552"/>
    </row>
    <row r="817" spans="1:46" ht="16.5" customHeight="1" thickBot="1" x14ac:dyDescent="0.35">
      <c r="A817" s="35"/>
      <c r="B817" s="45"/>
      <c r="C817" s="45"/>
      <c r="D817" s="45"/>
      <c r="E817" s="45"/>
      <c r="F817" s="45"/>
      <c r="G817" s="45"/>
      <c r="H817" s="45"/>
      <c r="I817" s="45"/>
      <c r="J817" s="45"/>
      <c r="K817" s="45"/>
      <c r="L817" s="45"/>
      <c r="M817" s="45"/>
      <c r="N817" s="45"/>
      <c r="O817" s="45"/>
      <c r="P817" s="45"/>
      <c r="Q817" s="45"/>
      <c r="R817" s="37"/>
      <c r="AC817" s="551"/>
      <c r="AD817" s="67"/>
      <c r="AE817" s="67"/>
      <c r="AF817" s="67"/>
      <c r="AG817" s="67"/>
      <c r="AH817" s="67"/>
      <c r="AI817" s="67"/>
      <c r="AJ817" s="67"/>
      <c r="AK817" s="67"/>
      <c r="AL817" s="67"/>
      <c r="AM817" s="67"/>
      <c r="AN817" s="67"/>
      <c r="AO817" s="67"/>
      <c r="AP817" s="67"/>
      <c r="AQ817" s="67"/>
      <c r="AR817" s="67"/>
      <c r="AS817" s="67"/>
      <c r="AT817" s="552"/>
    </row>
    <row r="818" spans="1:46" ht="16.5" customHeight="1" thickBot="1" x14ac:dyDescent="0.35">
      <c r="A818" s="343" t="s">
        <v>1090</v>
      </c>
      <c r="B818" s="344">
        <f>+B796</f>
        <v>1500</v>
      </c>
      <c r="C818" s="344">
        <f>+C796</f>
        <v>1600</v>
      </c>
      <c r="D818" s="344">
        <f>+D796</f>
        <v>2200</v>
      </c>
      <c r="E818" s="45">
        <f>+SUM(B818:D818)</f>
        <v>5300</v>
      </c>
      <c r="F818" s="344">
        <f>+F796</f>
        <v>3755</v>
      </c>
      <c r="G818" s="344">
        <f>+G796</f>
        <v>6140</v>
      </c>
      <c r="H818" s="344">
        <f>+H796</f>
        <v>8383</v>
      </c>
      <c r="I818" s="45">
        <f>+SUM(F818:H818)</f>
        <v>18278</v>
      </c>
      <c r="J818" s="344">
        <f>+J796</f>
        <v>7552</v>
      </c>
      <c r="K818" s="344">
        <f>+K796</f>
        <v>11735</v>
      </c>
      <c r="L818" s="344">
        <f>+L796</f>
        <v>12865</v>
      </c>
      <c r="M818" s="45">
        <f>+SUM(J818:L818)</f>
        <v>32152</v>
      </c>
      <c r="N818" s="344">
        <f>+N796</f>
        <v>12115</v>
      </c>
      <c r="O818" s="344">
        <f>+O796</f>
        <v>8198</v>
      </c>
      <c r="P818" s="344">
        <f>+P796</f>
        <v>8175</v>
      </c>
      <c r="Q818" s="45">
        <f>+SUM(N818:P818)</f>
        <v>28488</v>
      </c>
      <c r="R818" s="37">
        <f>+E818+I818+M818+Q818</f>
        <v>84218</v>
      </c>
      <c r="AC818" s="551"/>
      <c r="AD818" s="67"/>
      <c r="AE818" s="67"/>
      <c r="AF818" s="67"/>
      <c r="AG818" s="67"/>
      <c r="AH818" s="67"/>
      <c r="AI818" s="70" t="s">
        <v>2438</v>
      </c>
      <c r="AJ818" s="67"/>
      <c r="AK818" s="67"/>
      <c r="AL818" s="67"/>
      <c r="AM818" s="67"/>
      <c r="AN818" s="67"/>
      <c r="AO818" s="67"/>
      <c r="AP818" s="67"/>
      <c r="AQ818" s="67"/>
      <c r="AR818" s="67"/>
      <c r="AS818" s="67"/>
      <c r="AT818" s="552"/>
    </row>
    <row r="819" spans="1:46" ht="77.400000000000006" customHeight="1" thickBot="1" x14ac:dyDescent="0.35">
      <c r="A819" s="35"/>
      <c r="B819" s="45"/>
      <c r="C819" s="45"/>
      <c r="D819" s="45"/>
      <c r="E819" s="45"/>
      <c r="F819" s="45"/>
      <c r="G819" s="45"/>
      <c r="H819" s="45"/>
      <c r="I819" s="45"/>
      <c r="J819" s="45"/>
      <c r="K819" s="45"/>
      <c r="L819" s="45"/>
      <c r="M819" s="45"/>
      <c r="N819" s="45"/>
      <c r="O819" s="45"/>
      <c r="P819" s="45"/>
      <c r="Q819" s="45"/>
      <c r="R819" s="37"/>
      <c r="AC819" s="551"/>
      <c r="AD819" s="67" t="s">
        <v>2435</v>
      </c>
      <c r="AE819" s="67"/>
      <c r="AF819" s="70" t="s">
        <v>2436</v>
      </c>
      <c r="AG819" s="70" t="s">
        <v>2436</v>
      </c>
      <c r="AH819" s="70" t="s">
        <v>2437</v>
      </c>
      <c r="AI819" s="70" t="s">
        <v>525</v>
      </c>
      <c r="AJ819" s="70" t="s">
        <v>2439</v>
      </c>
      <c r="AK819" s="70" t="s">
        <v>2463</v>
      </c>
      <c r="AL819" s="70" t="s">
        <v>2356</v>
      </c>
      <c r="AM819" s="67" t="s">
        <v>2435</v>
      </c>
      <c r="AN819" s="70" t="s">
        <v>2464</v>
      </c>
      <c r="AO819" s="70" t="s">
        <v>2464</v>
      </c>
      <c r="AP819" s="70" t="s">
        <v>2464</v>
      </c>
      <c r="AQ819" s="67"/>
      <c r="AR819" s="67"/>
      <c r="AS819" s="67"/>
      <c r="AT819" s="552"/>
    </row>
    <row r="820" spans="1:46" ht="27" customHeight="1" thickBot="1" x14ac:dyDescent="0.4">
      <c r="A820" s="35" t="s">
        <v>574</v>
      </c>
      <c r="B820" s="47">
        <f t="shared" ref="B820:R820" si="116">+SUM(B812:B818)</f>
        <v>58728</v>
      </c>
      <c r="C820" s="47">
        <f t="shared" si="116"/>
        <v>77475</v>
      </c>
      <c r="D820" s="47">
        <f t="shared" si="116"/>
        <v>134316</v>
      </c>
      <c r="E820" s="47">
        <f t="shared" si="116"/>
        <v>270519</v>
      </c>
      <c r="F820" s="47">
        <f t="shared" si="116"/>
        <v>183305</v>
      </c>
      <c r="G820" s="47">
        <f t="shared" si="116"/>
        <v>146795</v>
      </c>
      <c r="H820" s="47">
        <f t="shared" si="116"/>
        <v>166051</v>
      </c>
      <c r="I820" s="47">
        <f t="shared" si="116"/>
        <v>496151</v>
      </c>
      <c r="J820" s="47">
        <f t="shared" si="116"/>
        <v>156931</v>
      </c>
      <c r="K820" s="47">
        <f t="shared" si="116"/>
        <v>165338</v>
      </c>
      <c r="L820" s="47">
        <f t="shared" si="116"/>
        <v>121912</v>
      </c>
      <c r="M820" s="47">
        <f t="shared" si="116"/>
        <v>444181</v>
      </c>
      <c r="N820" s="47">
        <f t="shared" si="116"/>
        <v>96557</v>
      </c>
      <c r="O820" s="47">
        <f t="shared" si="116"/>
        <v>63748</v>
      </c>
      <c r="P820" s="47">
        <f t="shared" si="116"/>
        <v>78053</v>
      </c>
      <c r="Q820" s="47">
        <f t="shared" si="116"/>
        <v>238358</v>
      </c>
      <c r="R820" s="345">
        <f t="shared" si="116"/>
        <v>1449209</v>
      </c>
      <c r="AC820" s="551"/>
      <c r="AD820" s="70" t="s">
        <v>284</v>
      </c>
      <c r="AE820" s="70" t="s">
        <v>2379</v>
      </c>
      <c r="AF820" s="70" t="s">
        <v>844</v>
      </c>
      <c r="AG820" s="70" t="s">
        <v>844</v>
      </c>
      <c r="AH820" s="70" t="s">
        <v>845</v>
      </c>
      <c r="AI820" s="214" t="s">
        <v>955</v>
      </c>
      <c r="AJ820" s="70" t="s">
        <v>275</v>
      </c>
      <c r="AK820" s="70" t="s">
        <v>276</v>
      </c>
      <c r="AL820" s="70" t="s">
        <v>1554</v>
      </c>
      <c r="AM820" s="67" t="s">
        <v>2435</v>
      </c>
      <c r="AN820" s="70" t="s">
        <v>1555</v>
      </c>
      <c r="AO820" s="70" t="s">
        <v>955</v>
      </c>
      <c r="AP820" s="70" t="s">
        <v>1194</v>
      </c>
      <c r="AQ820" s="67"/>
      <c r="AR820" s="67"/>
      <c r="AS820" s="67"/>
      <c r="AT820" s="552"/>
    </row>
    <row r="821" spans="1:46" ht="40.799999999999997" customHeight="1" x14ac:dyDescent="0.35">
      <c r="A821" s="201"/>
      <c r="B821" s="286"/>
      <c r="C821" s="286"/>
      <c r="D821" s="286"/>
      <c r="E821" s="286"/>
      <c r="F821" s="286"/>
      <c r="G821" s="286"/>
      <c r="H821" s="544" t="s">
        <v>2538</v>
      </c>
      <c r="I821" s="286"/>
      <c r="J821" s="286"/>
      <c r="K821" s="286"/>
      <c r="L821" s="286"/>
      <c r="M821" s="286"/>
      <c r="N821" s="286"/>
      <c r="O821" s="286"/>
      <c r="P821" s="286"/>
      <c r="Q821" s="286"/>
      <c r="R821" s="286"/>
      <c r="AC821" s="551"/>
      <c r="AD821" s="70" t="s">
        <v>1193</v>
      </c>
      <c r="AE821" s="70" t="s">
        <v>956</v>
      </c>
      <c r="AF821" s="70" t="s">
        <v>333</v>
      </c>
      <c r="AG821" s="70" t="s">
        <v>334</v>
      </c>
      <c r="AH821" s="70" t="s">
        <v>335</v>
      </c>
      <c r="AI821" s="70" t="s">
        <v>335</v>
      </c>
      <c r="AJ821" s="70" t="s">
        <v>335</v>
      </c>
      <c r="AK821" s="70" t="s">
        <v>335</v>
      </c>
      <c r="AL821" s="70" t="s">
        <v>1486</v>
      </c>
      <c r="AM821" s="67" t="s">
        <v>2435</v>
      </c>
      <c r="AN821" s="70" t="s">
        <v>1487</v>
      </c>
      <c r="AO821" s="70" t="s">
        <v>929</v>
      </c>
      <c r="AP821" s="70" t="s">
        <v>929</v>
      </c>
      <c r="AQ821" s="67"/>
      <c r="AR821" s="67"/>
      <c r="AS821" s="67"/>
      <c r="AT821" s="552"/>
    </row>
    <row r="822" spans="1:46" ht="15.75" customHeight="1" x14ac:dyDescent="0.35">
      <c r="A822" s="201"/>
      <c r="B822" s="286"/>
      <c r="C822" s="286"/>
      <c r="D822" s="286"/>
      <c r="E822" s="286"/>
      <c r="F822" s="286"/>
      <c r="G822" s="286"/>
      <c r="H822" s="544"/>
      <c r="I822" s="286"/>
      <c r="J822" s="286"/>
      <c r="K822" s="286"/>
      <c r="L822" s="286"/>
      <c r="M822" s="286"/>
      <c r="N822" s="286"/>
      <c r="O822" s="286"/>
      <c r="P822" s="286"/>
      <c r="Q822" s="286"/>
      <c r="R822" s="286"/>
      <c r="AC822" s="551"/>
      <c r="AD822" s="70" t="s">
        <v>930</v>
      </c>
      <c r="AE822" s="70" t="s">
        <v>931</v>
      </c>
      <c r="AF822" s="70" t="s">
        <v>932</v>
      </c>
      <c r="AG822" s="70" t="s">
        <v>932</v>
      </c>
      <c r="AH822" s="70" t="s">
        <v>932</v>
      </c>
      <c r="AI822" s="70" t="s">
        <v>932</v>
      </c>
      <c r="AJ822" s="70" t="s">
        <v>932</v>
      </c>
      <c r="AK822" s="70" t="s">
        <v>932</v>
      </c>
      <c r="AL822" s="70" t="s">
        <v>932</v>
      </c>
      <c r="AM822" s="67" t="s">
        <v>2435</v>
      </c>
      <c r="AN822" s="70" t="s">
        <v>946</v>
      </c>
      <c r="AO822" s="70" t="s">
        <v>946</v>
      </c>
      <c r="AP822" s="70" t="s">
        <v>946</v>
      </c>
      <c r="AQ822" s="67"/>
      <c r="AR822" s="67"/>
      <c r="AS822" s="67"/>
      <c r="AT822" s="552"/>
    </row>
    <row r="823" spans="1:46" ht="15.75" customHeight="1" thickBot="1" x14ac:dyDescent="0.4">
      <c r="A823" s="201"/>
      <c r="B823" s="286"/>
      <c r="C823" s="286"/>
      <c r="D823" s="286"/>
      <c r="E823" s="286"/>
      <c r="F823" s="286"/>
      <c r="G823" s="286"/>
      <c r="H823" s="544"/>
      <c r="I823" s="286"/>
      <c r="J823" s="286"/>
      <c r="K823" s="286"/>
      <c r="L823" s="286"/>
      <c r="M823" s="286"/>
      <c r="N823" s="286"/>
      <c r="O823" s="286"/>
      <c r="P823" s="286"/>
      <c r="Q823" s="286"/>
      <c r="R823" s="286"/>
      <c r="AC823" s="551"/>
      <c r="AD823" s="67" t="s">
        <v>1353</v>
      </c>
      <c r="AE823" s="67" t="s">
        <v>1353</v>
      </c>
      <c r="AF823" s="67" t="s">
        <v>1353</v>
      </c>
      <c r="AG823" s="67" t="s">
        <v>1353</v>
      </c>
      <c r="AH823" s="67" t="s">
        <v>1353</v>
      </c>
      <c r="AI823" s="67" t="s">
        <v>1353</v>
      </c>
      <c r="AJ823" s="67" t="s">
        <v>1353</v>
      </c>
      <c r="AK823" s="67" t="s">
        <v>1353</v>
      </c>
      <c r="AL823" s="67" t="s">
        <v>1353</v>
      </c>
      <c r="AM823" s="67" t="s">
        <v>2435</v>
      </c>
      <c r="AN823" s="67" t="s">
        <v>1353</v>
      </c>
      <c r="AO823" s="67" t="s">
        <v>1353</v>
      </c>
      <c r="AP823" s="67" t="s">
        <v>1353</v>
      </c>
      <c r="AQ823" s="67"/>
      <c r="AR823" s="67"/>
      <c r="AS823" s="67"/>
      <c r="AT823" s="552"/>
    </row>
    <row r="824" spans="1:46" ht="15.75" customHeight="1" x14ac:dyDescent="0.3">
      <c r="A824" s="651"/>
      <c r="B824" s="782" t="s">
        <v>864</v>
      </c>
      <c r="C824" s="782"/>
      <c r="D824" s="782"/>
      <c r="E824" s="782"/>
      <c r="F824" s="782"/>
      <c r="G824" s="782"/>
      <c r="H824" s="782"/>
      <c r="I824" s="782"/>
      <c r="J824" s="782"/>
      <c r="K824" s="782"/>
      <c r="L824" s="782"/>
      <c r="M824" s="782"/>
      <c r="N824" s="782"/>
      <c r="O824" s="782"/>
      <c r="P824" s="782"/>
      <c r="Q824" s="678" t="str">
        <f>+Q1</f>
        <v xml:space="preserve">PRINTED:  </v>
      </c>
      <c r="R824" s="679">
        <f ca="1">+R1</f>
        <v>44881.729634027775</v>
      </c>
      <c r="AC824" s="553" t="s">
        <v>1354</v>
      </c>
      <c r="AD824" s="67">
        <f t="shared" ref="AD824:AD835" si="117">(F833)</f>
        <v>115675</v>
      </c>
      <c r="AE824" s="67">
        <f t="shared" ref="AE824:AE835" si="118">SUM($B$888:$E$888)+(T833-1526.8)/0.7702</f>
        <v>1640.619579330044</v>
      </c>
      <c r="AF824" s="67">
        <f>(AD824*AE824/1000)</f>
        <v>189778.66983900286</v>
      </c>
      <c r="AG824" s="67">
        <f t="shared" ref="AG824:AG835" si="119">(((B833-F833)*B$888)+((C833-F833)*C$888)+((D833-F833)*D$888)+((E833-F833)*E$888))/1000</f>
        <v>84473.01</v>
      </c>
      <c r="AH824" s="67">
        <f>(AF824+AG824)</f>
        <v>274251.67983900284</v>
      </c>
      <c r="AI824" s="67">
        <f t="shared" ref="AI824:AI835" si="120">SUM(H890:Q890)</f>
        <v>22585</v>
      </c>
      <c r="AJ824" s="67">
        <f>+AH824+AI824</f>
        <v>296836.67983900284</v>
      </c>
      <c r="AK824" s="67">
        <f t="shared" ref="AK824:AK831" si="121">(G918)</f>
        <v>0</v>
      </c>
      <c r="AL824" s="67">
        <f t="shared" ref="AL824:AL835" si="122">(AJ824-AK824)</f>
        <v>296836.67983900284</v>
      </c>
      <c r="AM824" s="67" t="s">
        <v>2435</v>
      </c>
      <c r="AN824" s="67">
        <f>+B833/31/1.98</f>
        <v>2853.4050179211472</v>
      </c>
      <c r="AO824" s="67">
        <f>(AD824*43560/31/24/3600)</f>
        <v>1881.2735215053763</v>
      </c>
      <c r="AP824" s="67">
        <f>+B295</f>
        <v>0</v>
      </c>
      <c r="AQ824" s="67"/>
      <c r="AR824" s="67"/>
      <c r="AS824" s="67"/>
      <c r="AT824" s="552"/>
    </row>
    <row r="825" spans="1:46" ht="15.75" customHeight="1" x14ac:dyDescent="0.3">
      <c r="A825" s="553"/>
      <c r="B825" s="786" t="str">
        <f>+A8</f>
        <v>Revised:  5/2/2016</v>
      </c>
      <c r="C825" s="786"/>
      <c r="D825" s="786"/>
      <c r="E825" s="786"/>
      <c r="F825" s="786"/>
      <c r="G825" s="786"/>
      <c r="H825" s="786"/>
      <c r="I825" s="786"/>
      <c r="J825" s="786"/>
      <c r="K825" s="786"/>
      <c r="L825" s="786"/>
      <c r="M825" s="786"/>
      <c r="N825" s="786"/>
      <c r="O825" s="786"/>
      <c r="P825" s="786"/>
      <c r="Q825" s="67"/>
      <c r="R825" s="552"/>
      <c r="AC825" s="553" t="s">
        <v>706</v>
      </c>
      <c r="AD825" s="67">
        <f t="shared" si="117"/>
        <v>24605</v>
      </c>
      <c r="AE825" s="67">
        <f t="shared" si="118"/>
        <v>1641.3206959231368</v>
      </c>
      <c r="AF825" s="67">
        <f>(AD825*AE825/1000)</f>
        <v>40384.695723188779</v>
      </c>
      <c r="AG825" s="67">
        <f t="shared" si="119"/>
        <v>119938.436</v>
      </c>
      <c r="AH825" s="67">
        <f t="shared" ref="AH825:AH835" si="123">(AF825+AG825)</f>
        <v>160323.1317231888</v>
      </c>
      <c r="AI825" s="67">
        <f t="shared" si="120"/>
        <v>32177</v>
      </c>
      <c r="AJ825" s="67">
        <f t="shared" ref="AJ825:AJ835" si="124">+AH825+AI825</f>
        <v>192500.1317231888</v>
      </c>
      <c r="AK825" s="67">
        <f t="shared" si="121"/>
        <v>39.672042200452069</v>
      </c>
      <c r="AL825" s="67">
        <f t="shared" si="122"/>
        <v>192460.45968098834</v>
      </c>
      <c r="AM825" s="67" t="s">
        <v>2435</v>
      </c>
      <c r="AN825" s="67">
        <f>+B834/28/1.98</f>
        <v>1966.6847041847041</v>
      </c>
      <c r="AO825" s="67">
        <f>(AD825*43560/29/24/3600)</f>
        <v>427.75933908045971</v>
      </c>
      <c r="AP825" s="67">
        <f>+C295</f>
        <v>-4.68265975073842</v>
      </c>
      <c r="AQ825" s="67"/>
      <c r="AR825" s="67"/>
      <c r="AS825" s="67"/>
      <c r="AT825" s="552"/>
    </row>
    <row r="826" spans="1:46" ht="15.75" customHeight="1" x14ac:dyDescent="0.3">
      <c r="A826" s="553"/>
      <c r="B826" s="786" t="s">
        <v>2878</v>
      </c>
      <c r="C826" s="786"/>
      <c r="D826" s="786"/>
      <c r="E826" s="786"/>
      <c r="F826" s="786"/>
      <c r="G826" s="786"/>
      <c r="H826" s="786"/>
      <c r="I826" s="786"/>
      <c r="J826" s="786"/>
      <c r="K826" s="786"/>
      <c r="L826" s="786"/>
      <c r="M826" s="786"/>
      <c r="N826" s="786"/>
      <c r="O826" s="786"/>
      <c r="P826" s="786"/>
      <c r="Q826" s="67"/>
      <c r="R826" s="552"/>
      <c r="AC826" s="553" t="s">
        <v>707</v>
      </c>
      <c r="AD826" s="67">
        <f t="shared" si="117"/>
        <v>11698</v>
      </c>
      <c r="AE826" s="67">
        <f t="shared" si="118"/>
        <v>1648.5525874397988</v>
      </c>
      <c r="AF826" s="67">
        <f t="shared" ref="AF826:AF835" si="125">(AD826*AE826/1000)</f>
        <v>19284.768167870767</v>
      </c>
      <c r="AG826" s="67">
        <f t="shared" si="119"/>
        <v>188632.83600000001</v>
      </c>
      <c r="AH826" s="67">
        <f t="shared" si="123"/>
        <v>207917.60416787077</v>
      </c>
      <c r="AI826" s="67">
        <f t="shared" si="120"/>
        <v>41711</v>
      </c>
      <c r="AJ826" s="67">
        <f t="shared" si="124"/>
        <v>249628.60416787077</v>
      </c>
      <c r="AK826" s="67">
        <f t="shared" si="121"/>
        <v>991.47371142325903</v>
      </c>
      <c r="AL826" s="67">
        <f t="shared" si="122"/>
        <v>248637.13045644751</v>
      </c>
      <c r="AM826" s="67" t="s">
        <v>2435</v>
      </c>
      <c r="AN826" s="67">
        <f>+B835/31/1.98</f>
        <v>2358.4392310198764</v>
      </c>
      <c r="AO826" s="67">
        <f>(AD826*43560/31/24/3600)</f>
        <v>190.2497311827957</v>
      </c>
      <c r="AP826" s="67">
        <f>+D295</f>
        <v>-100.19032746083647</v>
      </c>
      <c r="AQ826" s="67"/>
      <c r="AR826" s="67"/>
      <c r="AS826" s="67"/>
      <c r="AT826" s="552"/>
    </row>
    <row r="827" spans="1:46" ht="15.75" customHeight="1" x14ac:dyDescent="0.3">
      <c r="A827" s="553"/>
      <c r="B827" s="786"/>
      <c r="C827" s="786"/>
      <c r="D827" s="786"/>
      <c r="E827" s="786"/>
      <c r="F827" s="786"/>
      <c r="G827" s="786"/>
      <c r="H827" s="786"/>
      <c r="I827" s="786"/>
      <c r="J827" s="786"/>
      <c r="K827" s="786"/>
      <c r="L827" s="786"/>
      <c r="M827" s="786"/>
      <c r="N827" s="786"/>
      <c r="O827" s="786"/>
      <c r="P827" s="786"/>
      <c r="Q827" s="67"/>
      <c r="R827" s="552"/>
      <c r="AC827" s="553" t="s">
        <v>1321</v>
      </c>
      <c r="AD827" s="67">
        <f t="shared" si="117"/>
        <v>1058</v>
      </c>
      <c r="AE827" s="67">
        <f t="shared" si="118"/>
        <v>1648.6824201506106</v>
      </c>
      <c r="AF827" s="67">
        <f t="shared" si="125"/>
        <v>1744.3060005193461</v>
      </c>
      <c r="AG827" s="67">
        <f t="shared" si="119"/>
        <v>218216.44099999999</v>
      </c>
      <c r="AH827" s="67">
        <f t="shared" si="123"/>
        <v>219960.74700051933</v>
      </c>
      <c r="AI827" s="67">
        <f t="shared" si="120"/>
        <v>49771</v>
      </c>
      <c r="AJ827" s="67">
        <f t="shared" si="124"/>
        <v>269731.7470005193</v>
      </c>
      <c r="AK827" s="67">
        <f t="shared" si="121"/>
        <v>5559.8033911077664</v>
      </c>
      <c r="AL827" s="67">
        <f t="shared" si="122"/>
        <v>264171.94360941154</v>
      </c>
      <c r="AM827" s="67" t="s">
        <v>2435</v>
      </c>
      <c r="AN827" s="67">
        <f>+B836/30/1.98</f>
        <v>2615.7575757575755</v>
      </c>
      <c r="AO827" s="67">
        <f>(AD827*43560/30/24/3600)</f>
        <v>17.780277777777776</v>
      </c>
      <c r="AP827" s="67">
        <f>+F295</f>
        <v>-580.01344763825853</v>
      </c>
      <c r="AQ827" s="67"/>
      <c r="AR827" s="67"/>
      <c r="AS827" s="67"/>
      <c r="AT827" s="552"/>
    </row>
    <row r="828" spans="1:46" ht="15.75" customHeight="1" x14ac:dyDescent="0.3">
      <c r="A828" s="553"/>
      <c r="B828" s="787">
        <f>+A5</f>
        <v>2015</v>
      </c>
      <c r="C828" s="787"/>
      <c r="D828" s="787"/>
      <c r="E828" s="787"/>
      <c r="F828" s="787"/>
      <c r="G828" s="787"/>
      <c r="H828" s="787"/>
      <c r="I828" s="787"/>
      <c r="J828" s="787"/>
      <c r="K828" s="787"/>
      <c r="L828" s="787"/>
      <c r="M828" s="787"/>
      <c r="N828" s="787"/>
      <c r="O828" s="787"/>
      <c r="P828" s="787"/>
      <c r="Q828" s="67"/>
      <c r="R828" s="552"/>
      <c r="AC828" s="553" t="s">
        <v>1905</v>
      </c>
      <c r="AD828" s="67">
        <f t="shared" si="117"/>
        <v>36939</v>
      </c>
      <c r="AE828" s="67">
        <f t="shared" si="118"/>
        <v>1646.1506102311087</v>
      </c>
      <c r="AF828" s="67">
        <f t="shared" si="125"/>
        <v>60807.157391326917</v>
      </c>
      <c r="AG828" s="67">
        <f t="shared" si="119"/>
        <v>197285.68599999999</v>
      </c>
      <c r="AH828" s="67">
        <f t="shared" si="123"/>
        <v>258092.8433913269</v>
      </c>
      <c r="AI828" s="67">
        <f t="shared" si="120"/>
        <v>40717</v>
      </c>
      <c r="AJ828" s="67">
        <f t="shared" si="124"/>
        <v>298809.8433913269</v>
      </c>
      <c r="AK828" s="67">
        <f t="shared" si="121"/>
        <v>556.20099472494246</v>
      </c>
      <c r="AL828" s="67">
        <f t="shared" si="122"/>
        <v>298253.64239660196</v>
      </c>
      <c r="AM828" s="67" t="s">
        <v>2435</v>
      </c>
      <c r="AN828" s="67">
        <f>+B837/31/1.98</f>
        <v>2874.5845552297169</v>
      </c>
      <c r="AO828" s="67">
        <f>(AD828*43560/31/24/3600)</f>
        <v>600.75524193548392</v>
      </c>
      <c r="AP828" s="67">
        <f>+G295</f>
        <v>-57.195842077009416</v>
      </c>
      <c r="AQ828" s="67"/>
      <c r="AR828" s="67"/>
      <c r="AS828" s="67"/>
      <c r="AT828" s="552"/>
    </row>
    <row r="829" spans="1:46" ht="15.75" customHeight="1" x14ac:dyDescent="0.3">
      <c r="A829" s="553"/>
      <c r="B829" s="786" t="s">
        <v>2918</v>
      </c>
      <c r="C829" s="786"/>
      <c r="D829" s="786"/>
      <c r="E829" s="786"/>
      <c r="F829" s="786"/>
      <c r="G829" s="786"/>
      <c r="H829" s="786"/>
      <c r="I829" s="786"/>
      <c r="J829" s="786"/>
      <c r="K829" s="786"/>
      <c r="L829" s="786"/>
      <c r="M829" s="786"/>
      <c r="N829" s="786"/>
      <c r="O829" s="786"/>
      <c r="P829" s="786"/>
      <c r="Q829" s="67"/>
      <c r="R829" s="552"/>
      <c r="AC829" s="553" t="s">
        <v>1906</v>
      </c>
      <c r="AD829" s="67">
        <f t="shared" si="117"/>
        <v>375</v>
      </c>
      <c r="AE829" s="67">
        <f t="shared" si="118"/>
        <v>1632.5437548688653</v>
      </c>
      <c r="AF829" s="67">
        <f t="shared" si="125"/>
        <v>612.20390807582453</v>
      </c>
      <c r="AG829" s="67">
        <f t="shared" si="119"/>
        <v>113799.67200000001</v>
      </c>
      <c r="AH829" s="67">
        <f t="shared" si="123"/>
        <v>114411.87590807583</v>
      </c>
      <c r="AI829" s="67">
        <f t="shared" si="120"/>
        <v>41685</v>
      </c>
      <c r="AJ829" s="67">
        <f t="shared" si="124"/>
        <v>156096.87590807583</v>
      </c>
      <c r="AK829" s="67">
        <f t="shared" si="121"/>
        <v>11901.347279577998</v>
      </c>
      <c r="AL829" s="67">
        <f t="shared" si="122"/>
        <v>144195.52862849782</v>
      </c>
      <c r="AM829" s="67" t="s">
        <v>2435</v>
      </c>
      <c r="AN829" s="67">
        <f>+B838/30/1.98</f>
        <v>1371.4646464646464</v>
      </c>
      <c r="AO829" s="67">
        <f t="shared" ref="AO829:AO834" si="126">(AD829*43560/30/24/3600)</f>
        <v>6.302083333333333</v>
      </c>
      <c r="AP829" s="67">
        <f>+H295</f>
        <v>-1404.925197512187</v>
      </c>
      <c r="AQ829" s="67"/>
      <c r="AR829" s="67"/>
      <c r="AS829" s="67"/>
      <c r="AT829" s="552"/>
    </row>
    <row r="830" spans="1:46" ht="15.75" customHeight="1" x14ac:dyDescent="0.3">
      <c r="A830" s="553"/>
      <c r="B830" s="67"/>
      <c r="C830" s="67"/>
      <c r="D830" s="67"/>
      <c r="E830" s="67"/>
      <c r="F830" s="67"/>
      <c r="G830" s="67"/>
      <c r="H830" s="67"/>
      <c r="I830" s="67"/>
      <c r="J830" s="67"/>
      <c r="K830" s="67"/>
      <c r="L830" s="67"/>
      <c r="M830" s="67"/>
      <c r="N830" s="67"/>
      <c r="O830" s="67"/>
      <c r="P830" s="67"/>
      <c r="Q830" s="67"/>
      <c r="R830" s="552"/>
      <c r="AC830" s="553" t="s">
        <v>1907</v>
      </c>
      <c r="AD830" s="67">
        <f t="shared" si="117"/>
        <v>0</v>
      </c>
      <c r="AE830" s="67">
        <f t="shared" si="118"/>
        <v>1613.7694105427163</v>
      </c>
      <c r="AF830" s="67">
        <f t="shared" si="125"/>
        <v>0</v>
      </c>
      <c r="AG830" s="67">
        <f t="shared" si="119"/>
        <v>102219.63499999999</v>
      </c>
      <c r="AH830" s="67">
        <f t="shared" si="123"/>
        <v>102219.63499999999</v>
      </c>
      <c r="AI830" s="67">
        <f t="shared" si="120"/>
        <v>42281</v>
      </c>
      <c r="AJ830" s="67">
        <f t="shared" si="124"/>
        <v>144500.63500000001</v>
      </c>
      <c r="AK830" s="67">
        <f t="shared" si="121"/>
        <v>10607.021853805576</v>
      </c>
      <c r="AL830" s="67">
        <f t="shared" si="122"/>
        <v>133893.61314619443</v>
      </c>
      <c r="AM830" s="67" t="s">
        <v>2435</v>
      </c>
      <c r="AN830" s="67">
        <f>+B839/31/1.98</f>
        <v>1189.540566959922</v>
      </c>
      <c r="AO830" s="67">
        <f t="shared" si="126"/>
        <v>0</v>
      </c>
      <c r="AP830" s="67">
        <f>+J295</f>
        <v>-1430.7094171424851</v>
      </c>
      <c r="AQ830" s="67"/>
      <c r="AR830" s="67"/>
      <c r="AS830" s="67"/>
      <c r="AT830" s="552"/>
    </row>
    <row r="831" spans="1:46" ht="15.75" customHeight="1" thickBot="1" x14ac:dyDescent="0.35">
      <c r="A831" s="553" t="s">
        <v>845</v>
      </c>
      <c r="B831" s="634" t="s">
        <v>1308</v>
      </c>
      <c r="C831" s="634" t="s">
        <v>1309</v>
      </c>
      <c r="D831" s="634" t="s">
        <v>1029</v>
      </c>
      <c r="E831" s="634" t="s">
        <v>1030</v>
      </c>
      <c r="F831" s="634" t="s">
        <v>284</v>
      </c>
      <c r="G831" s="634" t="s">
        <v>284</v>
      </c>
      <c r="H831" s="634" t="s">
        <v>285</v>
      </c>
      <c r="I831" s="634" t="s">
        <v>286</v>
      </c>
      <c r="J831" s="634" t="s">
        <v>287</v>
      </c>
      <c r="K831" s="634" t="s">
        <v>288</v>
      </c>
      <c r="L831" s="634" t="s">
        <v>289</v>
      </c>
      <c r="M831" s="634" t="s">
        <v>633</v>
      </c>
      <c r="N831" s="634" t="s">
        <v>634</v>
      </c>
      <c r="O831" s="634" t="s">
        <v>1192</v>
      </c>
      <c r="P831" s="634" t="s">
        <v>524</v>
      </c>
      <c r="Q831" s="634" t="s">
        <v>525</v>
      </c>
      <c r="R831" s="552"/>
      <c r="T831" s="350" t="s">
        <v>2756</v>
      </c>
      <c r="AC831" s="553" t="s">
        <v>1908</v>
      </c>
      <c r="AD831" s="67">
        <f t="shared" si="117"/>
        <v>0</v>
      </c>
      <c r="AE831" s="67">
        <f t="shared" si="118"/>
        <v>1591.281686719662</v>
      </c>
      <c r="AF831" s="67">
        <f t="shared" si="125"/>
        <v>0</v>
      </c>
      <c r="AG831" s="67">
        <f t="shared" si="119"/>
        <v>98343.698999999993</v>
      </c>
      <c r="AH831" s="67">
        <f t="shared" si="123"/>
        <v>98343.698999999993</v>
      </c>
      <c r="AI831" s="67">
        <f t="shared" si="120"/>
        <v>40814</v>
      </c>
      <c r="AJ831" s="67">
        <f t="shared" si="124"/>
        <v>139157.69899999999</v>
      </c>
      <c r="AK831" s="67">
        <f t="shared" si="121"/>
        <v>9196.623408364112</v>
      </c>
      <c r="AL831" s="67">
        <f t="shared" si="122"/>
        <v>129961.07559163588</v>
      </c>
      <c r="AM831" s="67" t="s">
        <v>2435</v>
      </c>
      <c r="AN831" s="67">
        <f>+B840/31/1.98</f>
        <v>1149.7719126751385</v>
      </c>
      <c r="AO831" s="67">
        <f t="shared" si="126"/>
        <v>0</v>
      </c>
      <c r="AP831" s="67">
        <f>+K295</f>
        <v>-1583.134058855107</v>
      </c>
      <c r="AQ831" s="67"/>
      <c r="AR831" s="67"/>
      <c r="AS831" s="67"/>
      <c r="AT831" s="552"/>
    </row>
    <row r="832" spans="1:46" ht="15.75" customHeight="1" x14ac:dyDescent="0.3">
      <c r="A832" s="553"/>
      <c r="B832" s="67"/>
      <c r="C832" s="67"/>
      <c r="D832" s="67"/>
      <c r="E832" s="67"/>
      <c r="F832" s="70" t="s">
        <v>1193</v>
      </c>
      <c r="G832" s="70" t="s">
        <v>1194</v>
      </c>
      <c r="H832" s="67"/>
      <c r="I832" s="67"/>
      <c r="J832" s="67"/>
      <c r="K832" s="67"/>
      <c r="L832" s="67"/>
      <c r="M832" s="67"/>
      <c r="N832" s="67"/>
      <c r="O832" s="67"/>
      <c r="P832" s="67"/>
      <c r="Q832" s="67"/>
      <c r="R832" s="552"/>
      <c r="AC832" s="553" t="s">
        <v>2352</v>
      </c>
      <c r="AD832" s="67">
        <f t="shared" si="117"/>
        <v>41077</v>
      </c>
      <c r="AE832" s="67">
        <f t="shared" si="118"/>
        <v>1596.3323736446584</v>
      </c>
      <c r="AF832" s="67">
        <f t="shared" si="125"/>
        <v>65572.544912201629</v>
      </c>
      <c r="AG832" s="67">
        <f t="shared" si="119"/>
        <v>174483.30600000001</v>
      </c>
      <c r="AH832" s="67">
        <f t="shared" si="123"/>
        <v>240055.85091220163</v>
      </c>
      <c r="AI832" s="67">
        <f t="shared" si="120"/>
        <v>32495</v>
      </c>
      <c r="AJ832" s="67">
        <f t="shared" si="124"/>
        <v>272550.85091220163</v>
      </c>
      <c r="AK832" s="67">
        <v>0</v>
      </c>
      <c r="AL832" s="67">
        <f t="shared" si="122"/>
        <v>272550.85091220163</v>
      </c>
      <c r="AM832" s="67" t="s">
        <v>2435</v>
      </c>
      <c r="AN832" s="67">
        <f>+B841/30/1.98</f>
        <v>2775.4713804713806</v>
      </c>
      <c r="AO832" s="67">
        <f t="shared" si="126"/>
        <v>690.32180555555556</v>
      </c>
      <c r="AP832" s="67">
        <f>+L295</f>
        <v>-33.80400067238191</v>
      </c>
      <c r="AQ832" s="67"/>
      <c r="AR832" s="67"/>
      <c r="AS832" s="67"/>
      <c r="AT832" s="552"/>
    </row>
    <row r="833" spans="1:50" ht="15.75" customHeight="1" x14ac:dyDescent="0.3">
      <c r="A833" s="139" t="s">
        <v>2843</v>
      </c>
      <c r="B833" s="67">
        <f>+B29</f>
        <v>175142</v>
      </c>
      <c r="C833" s="67">
        <f>+B64</f>
        <v>175045</v>
      </c>
      <c r="D833" s="67">
        <f>+B132</f>
        <v>174949</v>
      </c>
      <c r="E833" s="67">
        <f>+B285</f>
        <v>173816</v>
      </c>
      <c r="F833" s="67">
        <f>+B280</f>
        <v>115675</v>
      </c>
      <c r="G833" s="67">
        <f>+B292</f>
        <v>0</v>
      </c>
      <c r="H833" s="67">
        <f>+B426</f>
        <v>39420</v>
      </c>
      <c r="I833" s="67">
        <f>+B473</f>
        <v>17038</v>
      </c>
      <c r="J833" s="67">
        <f>+B516</f>
        <v>16006</v>
      </c>
      <c r="K833" s="67">
        <f>+B572</f>
        <v>15065</v>
      </c>
      <c r="L833" s="67">
        <f>+B582</f>
        <v>14402</v>
      </c>
      <c r="M833" s="67">
        <f>+B618</f>
        <v>14382</v>
      </c>
      <c r="N833" s="67">
        <f>+B664</f>
        <v>14258</v>
      </c>
      <c r="O833" s="67">
        <f>+B674</f>
        <v>1167</v>
      </c>
      <c r="P833" s="67">
        <f>+B708</f>
        <v>1966</v>
      </c>
      <c r="Q833" s="67">
        <f>+B756</f>
        <v>1165</v>
      </c>
      <c r="R833" s="552"/>
      <c r="T833" s="619">
        <f>'Lake Pleasant Forecast'!B35</f>
        <v>1692.1</v>
      </c>
      <c r="AC833" s="553" t="s">
        <v>2353</v>
      </c>
      <c r="AD833" s="67">
        <f t="shared" si="117"/>
        <v>27691</v>
      </c>
      <c r="AE833" s="67">
        <f t="shared" si="118"/>
        <v>1606.3687353934044</v>
      </c>
      <c r="AF833" s="67">
        <f t="shared" si="125"/>
        <v>44481.956651778768</v>
      </c>
      <c r="AG833" s="67">
        <f t="shared" si="119"/>
        <v>127592.67200000001</v>
      </c>
      <c r="AH833" s="67">
        <f t="shared" si="123"/>
        <v>172074.62865177877</v>
      </c>
      <c r="AI833" s="67">
        <f t="shared" si="120"/>
        <v>24514</v>
      </c>
      <c r="AJ833" s="67">
        <f t="shared" si="124"/>
        <v>196588.62865177877</v>
      </c>
      <c r="AK833" s="67">
        <v>0</v>
      </c>
      <c r="AL833" s="67">
        <f t="shared" si="122"/>
        <v>196588.62865177877</v>
      </c>
      <c r="AM833" s="67" t="s">
        <v>2435</v>
      </c>
      <c r="AN833" s="67">
        <f>+B842/31/1.98</f>
        <v>1920.7885304659499</v>
      </c>
      <c r="AO833" s="67">
        <f t="shared" si="126"/>
        <v>465.36263888888891</v>
      </c>
      <c r="AP833" s="67">
        <f>+N295</f>
        <v>-165.04806988433947</v>
      </c>
      <c r="AQ833" s="67"/>
      <c r="AR833" s="67"/>
      <c r="AS833" s="67"/>
      <c r="AT833" s="552"/>
    </row>
    <row r="834" spans="1:50" ht="15.75" customHeight="1" x14ac:dyDescent="0.3">
      <c r="A834" s="139" t="s">
        <v>2091</v>
      </c>
      <c r="B834" s="67">
        <f>+C29</f>
        <v>109033</v>
      </c>
      <c r="C834" s="67">
        <f>+C64</f>
        <v>108885</v>
      </c>
      <c r="D834" s="67">
        <f>+C132</f>
        <v>108740</v>
      </c>
      <c r="E834" s="67">
        <f>+C285</f>
        <v>107205</v>
      </c>
      <c r="F834" s="67">
        <f>+C280</f>
        <v>24605</v>
      </c>
      <c r="G834" s="67">
        <f>+C292</f>
        <v>-260</v>
      </c>
      <c r="H834" s="67">
        <f>+C426</f>
        <v>53934</v>
      </c>
      <c r="I834" s="67">
        <f>+C473</f>
        <v>24974</v>
      </c>
      <c r="J834" s="67">
        <f>+C516</f>
        <v>22726</v>
      </c>
      <c r="K834" s="67">
        <f>+C572</f>
        <v>21675</v>
      </c>
      <c r="L834" s="67">
        <f>+C582</f>
        <v>17550</v>
      </c>
      <c r="M834" s="67">
        <f>+C618</f>
        <v>17528</v>
      </c>
      <c r="N834" s="67">
        <f>+C664</f>
        <v>16565</v>
      </c>
      <c r="O834" s="67">
        <f>+C674</f>
        <v>3756</v>
      </c>
      <c r="P834" s="67">
        <f>+C708</f>
        <v>3717</v>
      </c>
      <c r="Q834" s="67">
        <f>+C756</f>
        <v>3753</v>
      </c>
      <c r="R834" s="552"/>
      <c r="T834" s="619">
        <f>'Lake Pleasant Forecast'!B37</f>
        <v>1692.6399999999999</v>
      </c>
      <c r="AC834" s="553" t="s">
        <v>2354</v>
      </c>
      <c r="AD834" s="67">
        <f t="shared" si="117"/>
        <v>48256</v>
      </c>
      <c r="AE834" s="67">
        <f t="shared" si="118"/>
        <v>1615.8467930407687</v>
      </c>
      <c r="AF834" s="67">
        <f t="shared" si="125"/>
        <v>77974.302844975333</v>
      </c>
      <c r="AG834" s="67">
        <f t="shared" si="119"/>
        <v>97038.495999999999</v>
      </c>
      <c r="AH834" s="67">
        <f t="shared" si="123"/>
        <v>175012.79884497533</v>
      </c>
      <c r="AI834" s="67">
        <f t="shared" si="120"/>
        <v>13084</v>
      </c>
      <c r="AJ834" s="67">
        <f t="shared" si="124"/>
        <v>188096.79884497533</v>
      </c>
      <c r="AK834" s="67">
        <f>(G928)</f>
        <v>0</v>
      </c>
      <c r="AL834" s="67">
        <f t="shared" si="122"/>
        <v>188096.79884497533</v>
      </c>
      <c r="AM834" s="67" t="s">
        <v>2435</v>
      </c>
      <c r="AN834" s="67">
        <f>+B843/30/1.98</f>
        <v>1970.0841750841753</v>
      </c>
      <c r="AO834" s="67">
        <f t="shared" si="126"/>
        <v>810.96888888888884</v>
      </c>
      <c r="AP834" s="67">
        <f>+O295</f>
        <v>0</v>
      </c>
      <c r="AQ834" s="67"/>
      <c r="AR834" s="67"/>
      <c r="AS834" s="67"/>
      <c r="AT834" s="552"/>
    </row>
    <row r="835" spans="1:50" ht="15.75" customHeight="1" x14ac:dyDescent="0.3">
      <c r="A835" s="139" t="s">
        <v>2234</v>
      </c>
      <c r="B835" s="67">
        <f>+D29</f>
        <v>144761</v>
      </c>
      <c r="C835" s="67">
        <f>+D64</f>
        <v>144487</v>
      </c>
      <c r="D835" s="67">
        <f>+D132</f>
        <v>144226</v>
      </c>
      <c r="E835" s="67">
        <f>+D285</f>
        <v>140135</v>
      </c>
      <c r="F835" s="67">
        <f>+D280</f>
        <v>11698</v>
      </c>
      <c r="G835" s="67">
        <f>+D292</f>
        <v>-6159</v>
      </c>
      <c r="H835" s="67">
        <f>+D426</f>
        <v>97768</v>
      </c>
      <c r="I835" s="67">
        <f>+D473</f>
        <v>33370</v>
      </c>
      <c r="J835" s="67">
        <f>+D516</f>
        <v>27625</v>
      </c>
      <c r="K835" s="67">
        <f>+D572</f>
        <v>23744</v>
      </c>
      <c r="L835" s="67">
        <f>+D582</f>
        <v>20875</v>
      </c>
      <c r="M835" s="67">
        <f>+D618</f>
        <v>20847</v>
      </c>
      <c r="N835" s="67">
        <f>+D664</f>
        <v>19254</v>
      </c>
      <c r="O835" s="67">
        <f>+D674</f>
        <v>4228</v>
      </c>
      <c r="P835" s="67">
        <f>+D708</f>
        <v>5204</v>
      </c>
      <c r="Q835" s="67">
        <f>+D756</f>
        <v>4168</v>
      </c>
      <c r="R835" s="552"/>
      <c r="T835" s="619">
        <f>'Lake Pleasant Forecast'!B39</f>
        <v>1698.210002846133</v>
      </c>
      <c r="AC835" s="553" t="s">
        <v>2355</v>
      </c>
      <c r="AD835" s="67">
        <f t="shared" si="117"/>
        <v>47232</v>
      </c>
      <c r="AE835" s="67">
        <f t="shared" si="118"/>
        <v>1624.8302000837896</v>
      </c>
      <c r="AF835" s="67">
        <f t="shared" si="125"/>
        <v>76743.98001035754</v>
      </c>
      <c r="AG835" s="67">
        <f t="shared" si="119"/>
        <v>114382.82799999999</v>
      </c>
      <c r="AH835" s="67">
        <f t="shared" si="123"/>
        <v>191126.80801035755</v>
      </c>
      <c r="AI835" s="67">
        <f t="shared" si="120"/>
        <v>23587</v>
      </c>
      <c r="AJ835" s="67">
        <f t="shared" si="124"/>
        <v>214713.80801035755</v>
      </c>
      <c r="AK835" s="67">
        <f>(G929)</f>
        <v>0</v>
      </c>
      <c r="AL835" s="67">
        <f t="shared" si="122"/>
        <v>214713.80801035755</v>
      </c>
      <c r="AM835" s="67" t="s">
        <v>2435</v>
      </c>
      <c r="AN835" s="67">
        <f>+B844/31/1.98</f>
        <v>2090.3062886933858</v>
      </c>
      <c r="AO835" s="67">
        <f>(AD835*43560/31/24/3600)</f>
        <v>768.15483870967739</v>
      </c>
      <c r="AP835" s="67">
        <f>+P295</f>
        <v>0</v>
      </c>
      <c r="AQ835" s="67"/>
      <c r="AR835" s="67"/>
      <c r="AS835" s="67"/>
      <c r="AT835" s="552"/>
    </row>
    <row r="836" spans="1:50" ht="15.75" customHeight="1" x14ac:dyDescent="0.3">
      <c r="A836" s="139" t="s">
        <v>2235</v>
      </c>
      <c r="B836" s="67">
        <f>+F29</f>
        <v>155376</v>
      </c>
      <c r="C836" s="67">
        <f>+F64</f>
        <v>155009</v>
      </c>
      <c r="D836" s="67">
        <f>+F132</f>
        <v>154659</v>
      </c>
      <c r="E836" s="67">
        <f>+F285</f>
        <v>147593</v>
      </c>
      <c r="F836" s="67">
        <f>+F280</f>
        <v>1058</v>
      </c>
      <c r="G836" s="67">
        <f>+F292</f>
        <v>-34505</v>
      </c>
      <c r="H836" s="67">
        <f>+F426</f>
        <v>134550</v>
      </c>
      <c r="I836" s="67">
        <f>+F473</f>
        <v>44135</v>
      </c>
      <c r="J836" s="67">
        <f>+F516</f>
        <v>34073</v>
      </c>
      <c r="K836" s="67">
        <f>+F572</f>
        <v>27053</v>
      </c>
      <c r="L836" s="67">
        <f>+F582</f>
        <v>20666</v>
      </c>
      <c r="M836" s="67">
        <f>+F618</f>
        <v>20629</v>
      </c>
      <c r="N836" s="67">
        <f>+F664</f>
        <v>19870</v>
      </c>
      <c r="O836" s="67">
        <f>+F674</f>
        <v>4079</v>
      </c>
      <c r="P836" s="67">
        <f>+F708</f>
        <v>5971</v>
      </c>
      <c r="Q836" s="67">
        <f>+F756</f>
        <v>4072</v>
      </c>
      <c r="R836" s="552"/>
      <c r="T836" s="619">
        <f>'Lake Pleasant Forecast'!B41</f>
        <v>1698.3100000000002</v>
      </c>
      <c r="AC836" s="551"/>
      <c r="AD836" s="67"/>
      <c r="AE836" s="67"/>
      <c r="AF836" s="67"/>
      <c r="AG836" s="67"/>
      <c r="AH836" s="67"/>
      <c r="AI836" s="67"/>
      <c r="AJ836" s="67"/>
      <c r="AK836" s="67"/>
      <c r="AL836" s="67"/>
      <c r="AM836" s="67" t="s">
        <v>2435</v>
      </c>
      <c r="AN836" s="67"/>
      <c r="AO836" s="67"/>
      <c r="AP836" s="67"/>
      <c r="AQ836" s="67"/>
      <c r="AR836" s="67"/>
      <c r="AS836" s="67"/>
      <c r="AT836" s="552"/>
    </row>
    <row r="837" spans="1:50" ht="15.75" customHeight="1" x14ac:dyDescent="0.3">
      <c r="A837" s="139" t="s">
        <v>2236</v>
      </c>
      <c r="B837" s="67">
        <f>+G29</f>
        <v>176442</v>
      </c>
      <c r="C837" s="67">
        <f>+G64</f>
        <v>176017</v>
      </c>
      <c r="D837" s="67">
        <f>+G132</f>
        <v>175615</v>
      </c>
      <c r="E837" s="67">
        <f>+G285</f>
        <v>169648</v>
      </c>
      <c r="F837" s="67">
        <f>+G280</f>
        <v>36939</v>
      </c>
      <c r="G837" s="67">
        <f>+G292</f>
        <v>-3516</v>
      </c>
      <c r="H837" s="67">
        <f>+G426</f>
        <v>101443</v>
      </c>
      <c r="I837" s="67">
        <f>+G473</f>
        <v>29212</v>
      </c>
      <c r="J837" s="67">
        <f>+G516</f>
        <v>26404</v>
      </c>
      <c r="K837" s="67">
        <f>+G572</f>
        <v>23679</v>
      </c>
      <c r="L837" s="67">
        <f>+G582</f>
        <v>20021</v>
      </c>
      <c r="M837" s="67">
        <f>+G618</f>
        <v>19979</v>
      </c>
      <c r="N837" s="67">
        <f>+G664</f>
        <v>18630</v>
      </c>
      <c r="O837" s="67">
        <f>+G674</f>
        <v>3474</v>
      </c>
      <c r="P837" s="67">
        <f>+G708</f>
        <v>6492</v>
      </c>
      <c r="Q837" s="67">
        <f>+G756</f>
        <v>3466</v>
      </c>
      <c r="R837" s="552"/>
      <c r="T837" s="619">
        <f>'Lake Pleasant Forecast'!B43</f>
        <v>1696.36</v>
      </c>
      <c r="AC837" s="551" t="s">
        <v>2356</v>
      </c>
      <c r="AD837" s="67">
        <f>SUM(AD824:AD835)</f>
        <v>354606</v>
      </c>
      <c r="AE837" s="67"/>
      <c r="AF837" s="67">
        <f t="shared" ref="AF837:AL837" si="127">SUM(AF824:AF835)</f>
        <v>577384.5854492978</v>
      </c>
      <c r="AG837" s="67">
        <f t="shared" si="127"/>
        <v>1636406.7170000002</v>
      </c>
      <c r="AH837" s="67">
        <f t="shared" si="127"/>
        <v>2213791.3024492976</v>
      </c>
      <c r="AI837" s="67">
        <f t="shared" si="127"/>
        <v>405421</v>
      </c>
      <c r="AJ837" s="67">
        <f t="shared" si="127"/>
        <v>2619212.3024492976</v>
      </c>
      <c r="AK837" s="67">
        <f t="shared" si="127"/>
        <v>38852.142681204103</v>
      </c>
      <c r="AL837" s="67">
        <f t="shared" si="127"/>
        <v>2580360.1597680938</v>
      </c>
      <c r="AM837" s="67"/>
      <c r="AN837" s="67"/>
      <c r="AO837" s="67"/>
      <c r="AP837" s="67"/>
      <c r="AQ837" s="67"/>
      <c r="AR837" s="67"/>
      <c r="AS837" s="67"/>
      <c r="AT837" s="552"/>
    </row>
    <row r="838" spans="1:50" ht="15.75" customHeight="1" x14ac:dyDescent="0.3">
      <c r="A838" s="139" t="s">
        <v>2237</v>
      </c>
      <c r="B838" s="67">
        <f>+H29</f>
        <v>81465</v>
      </c>
      <c r="C838" s="67">
        <f>+H64</f>
        <v>81048</v>
      </c>
      <c r="D838" s="67">
        <f>+H132</f>
        <v>80652</v>
      </c>
      <c r="E838" s="67">
        <f>+H285</f>
        <v>73795</v>
      </c>
      <c r="F838" s="67">
        <f>+H280</f>
        <v>375</v>
      </c>
      <c r="G838" s="67">
        <f>+H292</f>
        <v>-83579</v>
      </c>
      <c r="H838" s="67">
        <f>+H426</f>
        <v>114371</v>
      </c>
      <c r="I838" s="67">
        <f>+H473</f>
        <v>32237</v>
      </c>
      <c r="J838" s="67">
        <f>+H516</f>
        <v>23766</v>
      </c>
      <c r="K838" s="67">
        <f>+H572</f>
        <v>20621</v>
      </c>
      <c r="L838" s="67">
        <f>+H582</f>
        <v>19686</v>
      </c>
      <c r="M838" s="67">
        <f>+H618</f>
        <v>19642</v>
      </c>
      <c r="N838" s="67">
        <f>+H664</f>
        <v>18705</v>
      </c>
      <c r="O838" s="67">
        <f>+H674</f>
        <v>4965</v>
      </c>
      <c r="P838" s="67">
        <f>+H708</f>
        <v>5940</v>
      </c>
      <c r="Q838" s="67">
        <f>+H756</f>
        <v>4897</v>
      </c>
      <c r="R838" s="552"/>
      <c r="T838" s="619">
        <f>'Lake Pleasant Forecast'!B45</f>
        <v>1685.88</v>
      </c>
      <c r="AC838" s="551"/>
      <c r="AD838" s="67"/>
      <c r="AE838" s="67"/>
      <c r="AF838" s="67"/>
      <c r="AG838" s="67"/>
      <c r="AH838" s="67"/>
      <c r="AI838" s="67"/>
      <c r="AJ838" s="67"/>
      <c r="AK838" s="67"/>
      <c r="AL838" s="67"/>
      <c r="AM838" s="67"/>
      <c r="AN838" s="67"/>
      <c r="AO838" s="67"/>
      <c r="AP838" s="67"/>
      <c r="AQ838" s="67"/>
      <c r="AR838" s="67"/>
      <c r="AS838" s="67"/>
      <c r="AT838" s="552"/>
    </row>
    <row r="839" spans="1:50" ht="15.75" customHeight="1" x14ac:dyDescent="0.3">
      <c r="A839" s="139" t="s">
        <v>1504</v>
      </c>
      <c r="B839" s="67">
        <f>+J29</f>
        <v>73014</v>
      </c>
      <c r="C839" s="67">
        <f>+J64</f>
        <v>72598</v>
      </c>
      <c r="D839" s="67">
        <f>+J132</f>
        <v>72204</v>
      </c>
      <c r="E839" s="67">
        <f>+J285</f>
        <v>65051</v>
      </c>
      <c r="F839" s="67">
        <f>+J280</f>
        <v>0</v>
      </c>
      <c r="G839" s="67">
        <f>+J292</f>
        <v>-87950</v>
      </c>
      <c r="H839" s="67">
        <f>+J426</f>
        <v>101441</v>
      </c>
      <c r="I839" s="67">
        <f>+J473</f>
        <v>41523</v>
      </c>
      <c r="J839" s="67">
        <f>+J516</f>
        <v>29385</v>
      </c>
      <c r="K839" s="67">
        <f>+J572</f>
        <v>23942</v>
      </c>
      <c r="L839" s="67">
        <f>+J582</f>
        <v>17847</v>
      </c>
      <c r="M839" s="67">
        <f>+J618</f>
        <v>17808</v>
      </c>
      <c r="N839" s="67">
        <f>+J664</f>
        <v>16329</v>
      </c>
      <c r="O839" s="67">
        <f>+J674</f>
        <v>3726</v>
      </c>
      <c r="P839" s="67">
        <f>+J708</f>
        <v>5517</v>
      </c>
      <c r="Q839" s="67">
        <f>+J756</f>
        <v>3719</v>
      </c>
      <c r="R839" s="552"/>
      <c r="T839" s="619">
        <f>'Lake Pleasant Forecast'!B47</f>
        <v>1671.42</v>
      </c>
      <c r="AC839" s="551" t="s">
        <v>1696</v>
      </c>
      <c r="AD839" s="67"/>
      <c r="AE839" s="67"/>
      <c r="AF839" s="67"/>
      <c r="AG839" s="67"/>
      <c r="AH839" s="67"/>
      <c r="AI839" s="67"/>
      <c r="AJ839" s="67"/>
      <c r="AK839" s="67"/>
      <c r="AL839" s="67"/>
      <c r="AM839" s="67"/>
      <c r="AN839" s="67"/>
      <c r="AO839" s="67"/>
      <c r="AP839" s="67"/>
      <c r="AQ839" s="67"/>
      <c r="AR839" s="67"/>
      <c r="AS839" s="67"/>
      <c r="AT839" s="552"/>
    </row>
    <row r="840" spans="1:50" ht="15.75" customHeight="1" x14ac:dyDescent="0.3">
      <c r="A840" s="139" t="s">
        <v>1505</v>
      </c>
      <c r="B840" s="67">
        <f>+K29</f>
        <v>70573</v>
      </c>
      <c r="C840" s="67">
        <f>+K64</f>
        <v>70239</v>
      </c>
      <c r="D840" s="67">
        <f>+K132</f>
        <v>69921</v>
      </c>
      <c r="E840" s="67">
        <f>+K285</f>
        <v>60668</v>
      </c>
      <c r="F840" s="67">
        <f>+K280</f>
        <v>0</v>
      </c>
      <c r="G840" s="67">
        <f>+K292</f>
        <v>-97320</v>
      </c>
      <c r="H840" s="67">
        <f>+K426</f>
        <v>103649</v>
      </c>
      <c r="I840" s="67">
        <f>+K473</f>
        <v>37282</v>
      </c>
      <c r="J840" s="67">
        <f>+K516</f>
        <v>26203</v>
      </c>
      <c r="K840" s="67">
        <f>+K572</f>
        <v>20860</v>
      </c>
      <c r="L840" s="67">
        <f>+K582</f>
        <v>18650</v>
      </c>
      <c r="M840" s="67">
        <f>+K618</f>
        <v>18614</v>
      </c>
      <c r="N840" s="67">
        <f>+K664</f>
        <v>16563</v>
      </c>
      <c r="O840" s="67">
        <f>+K674</f>
        <v>4236</v>
      </c>
      <c r="P840" s="67">
        <f>+K708</f>
        <v>5615</v>
      </c>
      <c r="Q840" s="67">
        <f>+K756</f>
        <v>4230</v>
      </c>
      <c r="R840" s="552"/>
      <c r="T840" s="619">
        <f>'Lake Pleasant Forecast'!B49</f>
        <v>1654.0999551114837</v>
      </c>
      <c r="AC840" s="551" t="s">
        <v>785</v>
      </c>
      <c r="AD840" s="67"/>
      <c r="AE840" s="67"/>
      <c r="AF840" s="67"/>
      <c r="AG840" s="67"/>
      <c r="AH840" s="67"/>
      <c r="AI840" s="67"/>
      <c r="AJ840" s="67"/>
      <c r="AK840" s="67"/>
      <c r="AL840" s="67"/>
      <c r="AM840" s="67"/>
      <c r="AN840" s="67"/>
      <c r="AO840" s="67"/>
      <c r="AP840" s="67"/>
      <c r="AQ840" s="67"/>
      <c r="AR840" s="67"/>
      <c r="AS840" s="67"/>
      <c r="AT840" s="552"/>
    </row>
    <row r="841" spans="1:50" ht="15.75" customHeight="1" x14ac:dyDescent="0.3">
      <c r="A841" s="139" t="s">
        <v>1506</v>
      </c>
      <c r="B841" s="67">
        <f>+L29</f>
        <v>164863</v>
      </c>
      <c r="C841" s="67">
        <f>+L64</f>
        <v>164547</v>
      </c>
      <c r="D841" s="67">
        <f>+L132</f>
        <v>164246</v>
      </c>
      <c r="E841" s="67">
        <f>+L285</f>
        <v>156105</v>
      </c>
      <c r="F841" s="67">
        <f>+L280</f>
        <v>41077</v>
      </c>
      <c r="G841" s="67">
        <f>+L292</f>
        <v>-2011</v>
      </c>
      <c r="H841" s="67">
        <f>+L426</f>
        <v>72500</v>
      </c>
      <c r="I841" s="67">
        <f>+L473</f>
        <v>25918</v>
      </c>
      <c r="J841" s="67">
        <f>+L516</f>
        <v>20702</v>
      </c>
      <c r="K841" s="67">
        <f>+L572</f>
        <v>18441</v>
      </c>
      <c r="L841" s="67">
        <f>+L582</f>
        <v>17622</v>
      </c>
      <c r="M841" s="67">
        <f>+L618</f>
        <v>17588</v>
      </c>
      <c r="N841" s="67">
        <f>+L664</f>
        <v>15443</v>
      </c>
      <c r="O841" s="67">
        <f>+L674</f>
        <v>3092</v>
      </c>
      <c r="P841" s="67">
        <f>+L708</f>
        <v>4911</v>
      </c>
      <c r="Q841" s="67">
        <f>+L756</f>
        <v>3086</v>
      </c>
      <c r="R841" s="552"/>
      <c r="T841" s="619">
        <f>'Lake Pleasant Forecast'!B51</f>
        <v>1657.9899941811159</v>
      </c>
      <c r="AC841" s="551"/>
      <c r="AD841" s="67"/>
      <c r="AE841" s="67"/>
      <c r="AF841" s="67"/>
      <c r="AG841" s="67"/>
      <c r="AH841" s="67"/>
      <c r="AI841" s="67"/>
      <c r="AJ841" s="67"/>
      <c r="AK841" s="67"/>
      <c r="AL841" s="67"/>
      <c r="AM841" s="67"/>
      <c r="AN841" s="67"/>
      <c r="AO841" s="67"/>
      <c r="AP841" s="67"/>
      <c r="AQ841" s="67"/>
      <c r="AR841" s="67"/>
      <c r="AS841" s="67"/>
      <c r="AT841" s="552"/>
    </row>
    <row r="842" spans="1:50" ht="15.75" customHeight="1" x14ac:dyDescent="0.3">
      <c r="A842" s="139" t="s">
        <v>1507</v>
      </c>
      <c r="B842" s="67">
        <f>+N29</f>
        <v>117898</v>
      </c>
      <c r="C842" s="67">
        <f>+N64</f>
        <v>117613</v>
      </c>
      <c r="D842" s="67">
        <f>+N132</f>
        <v>117341</v>
      </c>
      <c r="E842" s="67">
        <f>+N285</f>
        <v>113622</v>
      </c>
      <c r="F842" s="67">
        <f>+N280</f>
        <v>27691</v>
      </c>
      <c r="G842" s="67">
        <f>+N292</f>
        <v>-10146</v>
      </c>
      <c r="H842" s="67">
        <f>+N426</f>
        <v>57674</v>
      </c>
      <c r="I842" s="67">
        <f>+N473</f>
        <v>17021</v>
      </c>
      <c r="J842" s="67">
        <f>+N516</f>
        <v>14985</v>
      </c>
      <c r="K842" s="67">
        <f>+N572</f>
        <v>12844</v>
      </c>
      <c r="L842" s="67">
        <f>+N582</f>
        <v>12380</v>
      </c>
      <c r="M842" s="67">
        <f>+N618</f>
        <v>12351</v>
      </c>
      <c r="N842" s="67">
        <f>+N664</f>
        <v>11320</v>
      </c>
      <c r="O842" s="67">
        <f>+N674</f>
        <v>3243</v>
      </c>
      <c r="P842" s="67">
        <f>+N708</f>
        <v>4481</v>
      </c>
      <c r="Q842" s="67">
        <f>+N756</f>
        <v>3216</v>
      </c>
      <c r="R842" s="552"/>
      <c r="T842" s="619">
        <f>'Lake Pleasant Forecast'!B53</f>
        <v>1665.72</v>
      </c>
      <c r="AC842" s="551" t="s">
        <v>440</v>
      </c>
      <c r="AD842" s="67"/>
      <c r="AE842" s="67"/>
      <c r="AF842" s="67"/>
      <c r="AG842" s="67"/>
      <c r="AH842" s="67"/>
      <c r="AI842" s="67"/>
      <c r="AJ842" s="67"/>
      <c r="AK842" s="67"/>
      <c r="AL842" s="67"/>
      <c r="AM842" s="67"/>
      <c r="AN842" s="67"/>
      <c r="AO842" s="67"/>
      <c r="AP842" s="67"/>
      <c r="AQ842" s="67"/>
      <c r="AR842" s="67"/>
      <c r="AS842" s="67"/>
      <c r="AT842" s="552"/>
    </row>
    <row r="843" spans="1:50" ht="15.75" customHeight="1" x14ac:dyDescent="0.3">
      <c r="A843" s="139" t="s">
        <v>1508</v>
      </c>
      <c r="B843" s="67">
        <f>+O29</f>
        <v>117023</v>
      </c>
      <c r="C843" s="67">
        <f>+O64</f>
        <v>116788</v>
      </c>
      <c r="D843" s="67">
        <f>+O132</f>
        <v>116562</v>
      </c>
      <c r="E843" s="67">
        <f>+O285</f>
        <v>112751</v>
      </c>
      <c r="F843" s="67">
        <f>+O280</f>
        <v>48256</v>
      </c>
      <c r="G843" s="67">
        <f>+O292</f>
        <v>0</v>
      </c>
      <c r="H843" s="67">
        <f>+O426</f>
        <v>32874</v>
      </c>
      <c r="I843" s="67">
        <f>+O473</f>
        <v>8227</v>
      </c>
      <c r="J843" s="67">
        <f>+O516</f>
        <v>7886</v>
      </c>
      <c r="K843" s="67">
        <f>+O572</f>
        <v>7290</v>
      </c>
      <c r="L843" s="67">
        <f>+O582</f>
        <v>6903</v>
      </c>
      <c r="M843" s="67">
        <f>+O618</f>
        <v>6880</v>
      </c>
      <c r="N843" s="67">
        <f>+O664</f>
        <v>6546</v>
      </c>
      <c r="O843" s="67">
        <f>+O674</f>
        <v>422</v>
      </c>
      <c r="P843" s="67">
        <f>+O708</f>
        <v>3835</v>
      </c>
      <c r="Q843" s="67">
        <f>+O756</f>
        <v>419</v>
      </c>
      <c r="R843" s="552"/>
      <c r="T843" s="619">
        <f>'Lake Pleasant Forecast'!B55</f>
        <v>1673.02</v>
      </c>
      <c r="AC843" s="551"/>
      <c r="AD843" s="67"/>
      <c r="AE843" s="67"/>
      <c r="AF843" s="67"/>
      <c r="AG843" s="67"/>
      <c r="AH843" s="67"/>
      <c r="AI843" s="67"/>
      <c r="AJ843" s="67"/>
      <c r="AK843" s="67"/>
      <c r="AL843" s="67"/>
      <c r="AM843" s="67"/>
      <c r="AN843" s="67"/>
      <c r="AO843" s="67"/>
      <c r="AP843" s="67"/>
      <c r="AQ843" s="67"/>
      <c r="AR843" s="67"/>
      <c r="AS843" s="67"/>
      <c r="AT843" s="552"/>
    </row>
    <row r="844" spans="1:50" ht="15.75" customHeight="1" thickBot="1" x14ac:dyDescent="0.35">
      <c r="A844" s="139" t="s">
        <v>1509</v>
      </c>
      <c r="B844" s="67">
        <f>+P29</f>
        <v>128303</v>
      </c>
      <c r="C844" s="67">
        <f>+P64</f>
        <v>128117</v>
      </c>
      <c r="D844" s="67">
        <f>+P132</f>
        <v>127938</v>
      </c>
      <c r="E844" s="67">
        <f>+P285</f>
        <v>123029</v>
      </c>
      <c r="F844" s="67">
        <f>+P280</f>
        <v>47232</v>
      </c>
      <c r="G844" s="67">
        <f>+P292</f>
        <v>0</v>
      </c>
      <c r="H844" s="67">
        <f>+P426</f>
        <v>45862</v>
      </c>
      <c r="I844" s="67">
        <f>+P473</f>
        <v>17963</v>
      </c>
      <c r="J844" s="67">
        <f>+P516</f>
        <v>17302</v>
      </c>
      <c r="K844" s="67">
        <f>+P572</f>
        <v>16617</v>
      </c>
      <c r="L844" s="67">
        <f>+P582</f>
        <v>12267</v>
      </c>
      <c r="M844" s="67">
        <f>+P618</f>
        <v>12248</v>
      </c>
      <c r="N844" s="67">
        <f>+P664</f>
        <v>11342</v>
      </c>
      <c r="O844" s="67">
        <f>+P674</f>
        <v>1138</v>
      </c>
      <c r="P844" s="67">
        <f>+P708</f>
        <v>4068</v>
      </c>
      <c r="Q844" s="67">
        <f>+P756</f>
        <v>1136</v>
      </c>
      <c r="R844" s="552"/>
      <c r="T844" s="619">
        <f>'Lake Pleasant Forecast'!B57</f>
        <v>1679.9390201045346</v>
      </c>
      <c r="AC844" s="554" t="s">
        <v>1480</v>
      </c>
      <c r="AD844" s="555"/>
      <c r="AE844" s="555"/>
      <c r="AF844" s="555"/>
      <c r="AG844" s="555"/>
      <c r="AH844" s="555"/>
      <c r="AI844" s="555"/>
      <c r="AJ844" s="555"/>
      <c r="AK844" s="555"/>
      <c r="AL844" s="555"/>
      <c r="AM844" s="555"/>
      <c r="AN844" s="555"/>
      <c r="AO844" s="555"/>
      <c r="AP844" s="555"/>
      <c r="AQ844" s="555"/>
      <c r="AR844" s="555"/>
      <c r="AS844" s="555"/>
      <c r="AT844" s="556"/>
    </row>
    <row r="845" spans="1:50" ht="15.75" customHeight="1" x14ac:dyDescent="0.3">
      <c r="A845" s="553"/>
      <c r="B845" s="67"/>
      <c r="C845" s="67"/>
      <c r="D845" s="67"/>
      <c r="E845" s="67"/>
      <c r="F845" s="67"/>
      <c r="G845" s="67"/>
      <c r="H845" s="67"/>
      <c r="I845" s="67"/>
      <c r="J845" s="67"/>
      <c r="K845" s="67"/>
      <c r="L845" s="67"/>
      <c r="M845" s="67"/>
      <c r="N845" s="67"/>
      <c r="O845" s="67"/>
      <c r="P845" s="67"/>
      <c r="Q845" s="67"/>
      <c r="R845" s="552"/>
    </row>
    <row r="846" spans="1:50" ht="15.75" customHeight="1" thickBot="1" x14ac:dyDescent="0.35">
      <c r="A846" s="553" t="s">
        <v>2356</v>
      </c>
      <c r="B846" s="67">
        <f t="shared" ref="B846:Q846" si="128">SUM(B833:B844)</f>
        <v>1513893</v>
      </c>
      <c r="C846" s="67">
        <f t="shared" si="128"/>
        <v>1510393</v>
      </c>
      <c r="D846" s="67">
        <f t="shared" si="128"/>
        <v>1507053</v>
      </c>
      <c r="E846" s="67">
        <f t="shared" si="128"/>
        <v>1443418</v>
      </c>
      <c r="F846" s="67">
        <f t="shared" si="128"/>
        <v>354606</v>
      </c>
      <c r="G846" s="67">
        <f t="shared" si="128"/>
        <v>-325446</v>
      </c>
      <c r="H846" s="67">
        <f t="shared" si="128"/>
        <v>955486</v>
      </c>
      <c r="I846" s="67">
        <f t="shared" si="128"/>
        <v>328900</v>
      </c>
      <c r="J846" s="67">
        <f t="shared" si="128"/>
        <v>267063</v>
      </c>
      <c r="K846" s="67">
        <f t="shared" si="128"/>
        <v>231831</v>
      </c>
      <c r="L846" s="67">
        <f t="shared" si="128"/>
        <v>198869</v>
      </c>
      <c r="M846" s="67">
        <f t="shared" si="128"/>
        <v>198496</v>
      </c>
      <c r="N846" s="67">
        <f t="shared" si="128"/>
        <v>184825</v>
      </c>
      <c r="O846" s="67">
        <f t="shared" si="128"/>
        <v>37526</v>
      </c>
      <c r="P846" s="67">
        <f t="shared" si="128"/>
        <v>57717</v>
      </c>
      <c r="Q846" s="67">
        <f t="shared" si="128"/>
        <v>37327</v>
      </c>
      <c r="R846" s="552"/>
    </row>
    <row r="847" spans="1:50" ht="15.75" customHeight="1" thickBot="1" x14ac:dyDescent="0.35">
      <c r="A847" s="581"/>
      <c r="B847" s="581"/>
      <c r="C847" s="581"/>
      <c r="D847" s="581"/>
      <c r="E847" s="581"/>
      <c r="F847" s="581"/>
      <c r="G847" s="581"/>
      <c r="H847" s="581"/>
      <c r="I847" s="581"/>
      <c r="J847" s="581"/>
      <c r="K847" s="581"/>
      <c r="L847" s="581"/>
      <c r="M847" s="581"/>
      <c r="N847" s="581"/>
      <c r="O847" s="581"/>
      <c r="P847" s="581"/>
      <c r="Q847" s="581"/>
      <c r="R847" s="556"/>
      <c r="AC847" s="546"/>
      <c r="AD847" s="547"/>
      <c r="AE847" s="547"/>
      <c r="AF847" s="547"/>
      <c r="AG847" s="547"/>
      <c r="AH847" s="547"/>
      <c r="AI847" s="547"/>
      <c r="AJ847" s="547"/>
      <c r="AK847" s="547"/>
      <c r="AL847" s="547"/>
      <c r="AM847" s="547"/>
      <c r="AN847" s="547"/>
      <c r="AO847" s="547"/>
      <c r="AP847" s="547"/>
      <c r="AQ847" s="547"/>
      <c r="AR847" s="547"/>
      <c r="AS847" s="678" t="str">
        <f>+Q1</f>
        <v xml:space="preserve">PRINTED:  </v>
      </c>
      <c r="AT847" s="682">
        <f ca="1">+R1</f>
        <v>44881.729634027775</v>
      </c>
      <c r="AU847" s="560"/>
      <c r="AW847" s="71" t="s">
        <v>253</v>
      </c>
      <c r="AX847" s="67"/>
    </row>
    <row r="848" spans="1:50" ht="15.75" customHeight="1" x14ac:dyDescent="0.35">
      <c r="A848" s="683"/>
      <c r="B848" s="683"/>
      <c r="C848" s="683"/>
      <c r="D848" s="683"/>
      <c r="E848" s="683"/>
      <c r="F848" s="683"/>
      <c r="G848" s="683"/>
      <c r="H848" s="683"/>
      <c r="I848" s="683"/>
      <c r="J848" s="683"/>
      <c r="K848" s="683"/>
      <c r="L848" s="683"/>
      <c r="M848" s="683"/>
      <c r="N848" s="683"/>
      <c r="O848" s="683"/>
      <c r="P848" s="683"/>
      <c r="Q848" s="683"/>
      <c r="R848" s="547"/>
      <c r="AC848" s="551"/>
      <c r="AD848" s="67"/>
      <c r="AE848" s="71" t="s">
        <v>2125</v>
      </c>
      <c r="AF848" s="67"/>
      <c r="AG848" s="67"/>
      <c r="AH848" s="67"/>
      <c r="AI848" s="67"/>
      <c r="AJ848" s="67"/>
      <c r="AK848" s="67"/>
      <c r="AL848" s="67"/>
      <c r="AM848" s="67"/>
      <c r="AN848" s="215"/>
      <c r="AO848" s="71" t="s">
        <v>1456</v>
      </c>
      <c r="AP848" s="67"/>
      <c r="AQ848" s="67"/>
      <c r="AR848" s="67"/>
      <c r="AS848" s="67"/>
      <c r="AT848" s="67"/>
      <c r="AU848" s="561"/>
      <c r="AW848" s="67" t="s">
        <v>254</v>
      </c>
      <c r="AX848" s="67"/>
    </row>
    <row r="849" spans="1:50" ht="16.5" customHeight="1" x14ac:dyDescent="0.3">
      <c r="A849" s="553" t="s">
        <v>852</v>
      </c>
      <c r="B849" s="67"/>
      <c r="C849" s="67"/>
      <c r="D849" s="67"/>
      <c r="E849" s="67"/>
      <c r="F849" s="67"/>
      <c r="G849" s="67"/>
      <c r="H849" s="67"/>
      <c r="I849" s="67"/>
      <c r="J849" s="67"/>
      <c r="K849" s="67"/>
      <c r="L849" s="67"/>
      <c r="M849" s="67"/>
      <c r="N849" s="67"/>
      <c r="O849" s="67"/>
      <c r="P849" s="67"/>
      <c r="Q849" s="67"/>
      <c r="R849" s="67"/>
      <c r="AC849" s="551"/>
      <c r="AD849" s="67"/>
      <c r="AE849" s="67"/>
      <c r="AF849" s="67"/>
      <c r="AG849" s="67" t="s">
        <v>852</v>
      </c>
      <c r="AH849" s="69" t="str">
        <f>+A8</f>
        <v>Revised:  5/2/2016</v>
      </c>
      <c r="AI849" s="67"/>
      <c r="AJ849" s="67"/>
      <c r="AK849" s="67"/>
      <c r="AL849" s="67"/>
      <c r="AM849" s="67"/>
      <c r="AN849" s="67"/>
      <c r="AO849" s="67"/>
      <c r="AP849" s="67"/>
      <c r="AQ849" s="67"/>
      <c r="AR849" s="67" t="s">
        <v>852</v>
      </c>
      <c r="AS849" s="69" t="str">
        <f>+A8</f>
        <v>Revised:  5/2/2016</v>
      </c>
      <c r="AT849" s="67"/>
      <c r="AU849" s="561"/>
      <c r="AW849" s="67"/>
      <c r="AX849" s="67"/>
    </row>
    <row r="850" spans="1:50" ht="15.75" customHeight="1" x14ac:dyDescent="0.3">
      <c r="A850" s="70"/>
      <c r="B850" s="67"/>
      <c r="C850" s="67"/>
      <c r="D850" s="67"/>
      <c r="E850" s="67"/>
      <c r="F850" s="67"/>
      <c r="G850" s="67"/>
      <c r="H850" s="67"/>
      <c r="I850" s="67"/>
      <c r="J850" s="67"/>
      <c r="K850" s="67"/>
      <c r="L850" s="67"/>
      <c r="M850" s="67"/>
      <c r="N850" s="67"/>
      <c r="O850" s="67"/>
      <c r="P850" s="67"/>
      <c r="Q850" s="67"/>
      <c r="R850" s="67"/>
      <c r="AC850" s="551"/>
      <c r="AD850" s="67"/>
      <c r="AE850" s="67"/>
      <c r="AF850" s="67" t="s">
        <v>2545</v>
      </c>
      <c r="AG850" s="67"/>
      <c r="AH850" s="67"/>
      <c r="AI850" s="67"/>
      <c r="AJ850" s="67"/>
      <c r="AK850" s="67"/>
      <c r="AL850" s="67"/>
      <c r="AM850" s="67"/>
      <c r="AN850" s="67"/>
      <c r="AO850" s="67"/>
      <c r="AP850" s="67" t="s">
        <v>2545</v>
      </c>
      <c r="AQ850" s="67"/>
      <c r="AR850" s="67"/>
      <c r="AS850" s="67"/>
      <c r="AT850" s="67"/>
      <c r="AU850" s="561"/>
      <c r="AW850" s="67" t="s">
        <v>2435</v>
      </c>
      <c r="AX850" s="70" t="s">
        <v>335</v>
      </c>
    </row>
    <row r="851" spans="1:50" ht="15.75" customHeight="1" x14ac:dyDescent="0.3">
      <c r="A851" s="139"/>
      <c r="AC851" s="551"/>
      <c r="AD851" s="67"/>
      <c r="AE851" s="67"/>
      <c r="AF851" s="67"/>
      <c r="AG851" s="67"/>
      <c r="AH851" s="67"/>
      <c r="AI851" s="67"/>
      <c r="AJ851" s="67"/>
      <c r="AK851" s="67"/>
      <c r="AL851" s="67"/>
      <c r="AM851" s="67"/>
      <c r="AN851" s="67"/>
      <c r="AO851" s="67"/>
      <c r="AP851" s="67"/>
      <c r="AQ851" s="67"/>
      <c r="AR851" s="67"/>
      <c r="AS851" s="67"/>
      <c r="AT851" s="67"/>
      <c r="AU851" s="561"/>
      <c r="AW851" s="70" t="s">
        <v>335</v>
      </c>
      <c r="AX851" s="70" t="s">
        <v>956</v>
      </c>
    </row>
    <row r="852" spans="1:50" ht="15.75" customHeight="1" thickBot="1" x14ac:dyDescent="0.35">
      <c r="A852" s="139"/>
      <c r="AC852" s="551"/>
      <c r="AD852" s="67"/>
      <c r="AE852" s="67"/>
      <c r="AF852" s="67"/>
      <c r="AG852" s="67">
        <f>+A5</f>
        <v>2015</v>
      </c>
      <c r="AH852" s="67"/>
      <c r="AI852" s="67"/>
      <c r="AJ852" s="67"/>
      <c r="AK852" s="67"/>
      <c r="AL852" s="67"/>
      <c r="AM852" s="67"/>
      <c r="AN852" s="67"/>
      <c r="AO852" s="67"/>
      <c r="AP852" s="67"/>
      <c r="AQ852" s="67"/>
      <c r="AR852" s="67">
        <f>+A5</f>
        <v>2015</v>
      </c>
      <c r="AS852" s="67"/>
      <c r="AT852" s="67"/>
      <c r="AU852" s="561"/>
      <c r="AW852" s="70" t="s">
        <v>998</v>
      </c>
      <c r="AX852" s="70" t="s">
        <v>2201</v>
      </c>
    </row>
    <row r="853" spans="1:50" ht="15.75" customHeight="1" x14ac:dyDescent="0.3">
      <c r="A853" s="651"/>
      <c r="B853" s="782" t="s">
        <v>1898</v>
      </c>
      <c r="C853" s="782"/>
      <c r="D853" s="782"/>
      <c r="E853" s="782"/>
      <c r="F853" s="782"/>
      <c r="G853" s="782"/>
      <c r="H853" s="782"/>
      <c r="I853" s="782"/>
      <c r="J853" s="782"/>
      <c r="K853" s="782"/>
      <c r="L853" s="782"/>
      <c r="M853" s="782"/>
      <c r="N853" s="782"/>
      <c r="O853" s="782"/>
      <c r="P853" s="782"/>
      <c r="Q853" s="678" t="str">
        <f>+Q1</f>
        <v xml:space="preserve">PRINTED:  </v>
      </c>
      <c r="R853" s="679">
        <f ca="1">+R1</f>
        <v>44881.729634027775</v>
      </c>
      <c r="AC853" s="551"/>
      <c r="AD853" s="67"/>
      <c r="AE853" s="67"/>
      <c r="AF853" s="67"/>
      <c r="AG853" s="67" t="s">
        <v>1199</v>
      </c>
      <c r="AH853" s="67"/>
      <c r="AI853" s="67"/>
      <c r="AJ853" s="67"/>
      <c r="AK853" s="67"/>
      <c r="AL853" s="67"/>
      <c r="AM853" s="67"/>
      <c r="AN853" s="67"/>
      <c r="AO853" s="67"/>
      <c r="AP853" s="67"/>
      <c r="AQ853" s="67"/>
      <c r="AR853" s="67" t="s">
        <v>1199</v>
      </c>
      <c r="AS853" s="67"/>
      <c r="AT853" s="67"/>
      <c r="AU853" s="561"/>
      <c r="AW853" s="70" t="s">
        <v>1353</v>
      </c>
      <c r="AX853" s="70" t="s">
        <v>1353</v>
      </c>
    </row>
    <row r="854" spans="1:50" ht="15.75" customHeight="1" x14ac:dyDescent="0.3">
      <c r="A854" s="553"/>
      <c r="B854" s="786" t="str">
        <f>+A8</f>
        <v>Revised:  5/2/2016</v>
      </c>
      <c r="C854" s="786"/>
      <c r="D854" s="786"/>
      <c r="E854" s="786"/>
      <c r="F854" s="786"/>
      <c r="G854" s="786"/>
      <c r="H854" s="786"/>
      <c r="I854" s="786"/>
      <c r="J854" s="786"/>
      <c r="K854" s="786"/>
      <c r="L854" s="786"/>
      <c r="M854" s="786"/>
      <c r="N854" s="786"/>
      <c r="O854" s="786"/>
      <c r="P854" s="786"/>
      <c r="Q854" s="67"/>
      <c r="R854" s="552"/>
      <c r="AC854" s="551"/>
      <c r="AD854" s="67"/>
      <c r="AE854" s="67"/>
      <c r="AF854" s="67"/>
      <c r="AG854" s="67"/>
      <c r="AH854" s="67"/>
      <c r="AI854" s="67"/>
      <c r="AJ854" s="67"/>
      <c r="AK854" s="67"/>
      <c r="AL854" s="67"/>
      <c r="AM854" s="67"/>
      <c r="AN854" s="67"/>
      <c r="AO854" s="67"/>
      <c r="AP854" s="67"/>
      <c r="AQ854" s="67"/>
      <c r="AR854" s="67"/>
      <c r="AS854" s="67"/>
      <c r="AT854" s="67"/>
      <c r="AU854" s="561"/>
      <c r="AW854" s="67">
        <f t="shared" ref="AW854:AW865" si="129">SUM(L890:Q890)</f>
        <v>8116</v>
      </c>
      <c r="AX854" s="72">
        <v>2.4700000000000002</v>
      </c>
    </row>
    <row r="855" spans="1:50" ht="15.75" customHeight="1" x14ac:dyDescent="0.3">
      <c r="A855" s="553"/>
      <c r="B855" s="786" t="s">
        <v>2878</v>
      </c>
      <c r="C855" s="786"/>
      <c r="D855" s="786"/>
      <c r="E855" s="786"/>
      <c r="F855" s="786"/>
      <c r="G855" s="786"/>
      <c r="H855" s="786"/>
      <c r="I855" s="786"/>
      <c r="J855" s="786"/>
      <c r="K855" s="786"/>
      <c r="L855" s="786"/>
      <c r="M855" s="786"/>
      <c r="N855" s="786"/>
      <c r="O855" s="786"/>
      <c r="P855" s="786"/>
      <c r="Q855" s="67"/>
      <c r="R855" s="552"/>
      <c r="AC855" s="551" t="s">
        <v>1307</v>
      </c>
      <c r="AD855" s="70" t="s">
        <v>1308</v>
      </c>
      <c r="AE855" s="70" t="s">
        <v>1309</v>
      </c>
      <c r="AF855" s="70" t="s">
        <v>1029</v>
      </c>
      <c r="AG855" s="70" t="s">
        <v>1030</v>
      </c>
      <c r="AH855" s="70" t="s">
        <v>284</v>
      </c>
      <c r="AI855" s="67"/>
      <c r="AJ855" s="70" t="s">
        <v>2356</v>
      </c>
      <c r="AK855" s="67"/>
      <c r="AL855" s="67"/>
      <c r="AM855" s="67"/>
      <c r="AN855" s="67" t="s">
        <v>1307</v>
      </c>
      <c r="AO855" s="70" t="s">
        <v>1308</v>
      </c>
      <c r="AP855" s="70" t="s">
        <v>1309</v>
      </c>
      <c r="AQ855" s="70" t="s">
        <v>1029</v>
      </c>
      <c r="AR855" s="70" t="s">
        <v>1030</v>
      </c>
      <c r="AS855" s="70" t="s">
        <v>284</v>
      </c>
      <c r="AT855" s="70" t="s">
        <v>2356</v>
      </c>
      <c r="AU855" s="561"/>
      <c r="AW855" s="67">
        <f t="shared" si="129"/>
        <v>11631</v>
      </c>
      <c r="AX855" s="72">
        <v>2.4700000000000002</v>
      </c>
    </row>
    <row r="856" spans="1:50" ht="15.75" customHeight="1" x14ac:dyDescent="0.3">
      <c r="A856" s="553"/>
      <c r="B856" s="786"/>
      <c r="C856" s="786"/>
      <c r="D856" s="786"/>
      <c r="E856" s="786"/>
      <c r="F856" s="786"/>
      <c r="G856" s="786"/>
      <c r="H856" s="786"/>
      <c r="I856" s="786"/>
      <c r="J856" s="786"/>
      <c r="K856" s="786"/>
      <c r="L856" s="786"/>
      <c r="M856" s="786"/>
      <c r="N856" s="786"/>
      <c r="O856" s="786"/>
      <c r="P856" s="786"/>
      <c r="Q856" s="67"/>
      <c r="R856" s="552"/>
      <c r="AC856" s="551" t="s">
        <v>526</v>
      </c>
      <c r="AD856" s="67"/>
      <c r="AE856" s="67"/>
      <c r="AF856" s="67"/>
      <c r="AG856" s="67"/>
      <c r="AH856" s="70" t="s">
        <v>1193</v>
      </c>
      <c r="AI856" s="67"/>
      <c r="AJ856" s="70" t="s">
        <v>252</v>
      </c>
      <c r="AK856" s="67"/>
      <c r="AL856" s="67"/>
      <c r="AM856" s="67"/>
      <c r="AN856" s="67" t="s">
        <v>526</v>
      </c>
      <c r="AO856" s="67"/>
      <c r="AP856" s="67"/>
      <c r="AQ856" s="67"/>
      <c r="AR856" s="67"/>
      <c r="AS856" s="70" t="s">
        <v>1193</v>
      </c>
      <c r="AT856" s="70" t="s">
        <v>252</v>
      </c>
      <c r="AU856" s="561"/>
      <c r="AW856" s="67">
        <f t="shared" si="129"/>
        <v>13810</v>
      </c>
      <c r="AX856" s="72">
        <v>2.4700000000000002</v>
      </c>
    </row>
    <row r="857" spans="1:50" ht="15.75" customHeight="1" x14ac:dyDescent="0.3">
      <c r="A857" s="553"/>
      <c r="B857" s="787">
        <f>+A5</f>
        <v>2015</v>
      </c>
      <c r="C857" s="787"/>
      <c r="D857" s="787"/>
      <c r="E857" s="787"/>
      <c r="F857" s="787"/>
      <c r="G857" s="787"/>
      <c r="H857" s="787"/>
      <c r="I857" s="787"/>
      <c r="J857" s="787"/>
      <c r="K857" s="787"/>
      <c r="L857" s="787"/>
      <c r="M857" s="787"/>
      <c r="N857" s="787"/>
      <c r="O857" s="787"/>
      <c r="P857" s="787"/>
      <c r="Q857" s="67"/>
      <c r="R857" s="552"/>
      <c r="AC857" s="551" t="s">
        <v>1195</v>
      </c>
      <c r="AD857" s="67">
        <f>+$B$888</f>
        <v>957</v>
      </c>
      <c r="AE857" s="67">
        <f>+C$888</f>
        <v>122</v>
      </c>
      <c r="AF857" s="67">
        <f>+D$888</f>
        <v>128</v>
      </c>
      <c r="AG857" s="67">
        <f>+E$888</f>
        <v>219</v>
      </c>
      <c r="AH857" s="67"/>
      <c r="AI857" s="67"/>
      <c r="AJ857" s="70" t="s">
        <v>335</v>
      </c>
      <c r="AK857" s="67"/>
      <c r="AL857" s="67"/>
      <c r="AM857" s="67"/>
      <c r="AN857" s="67" t="s">
        <v>1195</v>
      </c>
      <c r="AO857" s="67">
        <f>+$B$888</f>
        <v>957</v>
      </c>
      <c r="AP857" s="67">
        <f>+C$888</f>
        <v>122</v>
      </c>
      <c r="AQ857" s="67">
        <f>+D$888</f>
        <v>128</v>
      </c>
      <c r="AR857" s="67">
        <f>+E$888</f>
        <v>219</v>
      </c>
      <c r="AS857" s="67"/>
      <c r="AT857" s="70" t="s">
        <v>335</v>
      </c>
      <c r="AU857" s="561"/>
      <c r="AW857" s="67">
        <f t="shared" si="129"/>
        <v>14106</v>
      </c>
      <c r="AX857" s="72">
        <v>2.4700000000000002</v>
      </c>
    </row>
    <row r="858" spans="1:50" ht="15.75" customHeight="1" x14ac:dyDescent="0.3">
      <c r="A858" s="553"/>
      <c r="B858" s="786" t="s">
        <v>2879</v>
      </c>
      <c r="C858" s="786"/>
      <c r="D858" s="786"/>
      <c r="E858" s="786"/>
      <c r="F858" s="786"/>
      <c r="G858" s="786"/>
      <c r="H858" s="786"/>
      <c r="I858" s="786"/>
      <c r="J858" s="786"/>
      <c r="K858" s="786"/>
      <c r="L858" s="786"/>
      <c r="M858" s="786"/>
      <c r="N858" s="786"/>
      <c r="O858" s="786"/>
      <c r="P858" s="786"/>
      <c r="Q858" s="67"/>
      <c r="R858" s="552"/>
      <c r="AC858" s="551"/>
      <c r="AD858" s="67" t="s">
        <v>1353</v>
      </c>
      <c r="AE858" s="67" t="s">
        <v>1353</v>
      </c>
      <c r="AF858" s="67" t="s">
        <v>1353</v>
      </c>
      <c r="AG858" s="67" t="s">
        <v>1353</v>
      </c>
      <c r="AH858" s="67" t="s">
        <v>1353</v>
      </c>
      <c r="AI858" s="67"/>
      <c r="AJ858" s="67" t="s">
        <v>251</v>
      </c>
      <c r="AK858" s="67"/>
      <c r="AL858" s="67"/>
      <c r="AM858" s="67"/>
      <c r="AN858" s="67"/>
      <c r="AO858" s="67" t="s">
        <v>1353</v>
      </c>
      <c r="AP858" s="67" t="s">
        <v>1353</v>
      </c>
      <c r="AQ858" s="67" t="s">
        <v>1353</v>
      </c>
      <c r="AR858" s="67" t="s">
        <v>1353</v>
      </c>
      <c r="AS858" s="67" t="s">
        <v>1353</v>
      </c>
      <c r="AT858" s="67" t="s">
        <v>251</v>
      </c>
      <c r="AU858" s="561"/>
      <c r="AW858" s="67">
        <f t="shared" si="129"/>
        <v>13445</v>
      </c>
      <c r="AX858" s="72">
        <v>2.4700000000000002</v>
      </c>
    </row>
    <row r="859" spans="1:50" ht="15.75" customHeight="1" x14ac:dyDescent="0.3">
      <c r="A859" s="553"/>
      <c r="B859" s="67"/>
      <c r="C859" s="67"/>
      <c r="D859" s="67"/>
      <c r="E859" s="67"/>
      <c r="F859" s="67"/>
      <c r="G859" s="67"/>
      <c r="H859" s="67"/>
      <c r="I859" s="67"/>
      <c r="J859" s="67"/>
      <c r="K859" s="67"/>
      <c r="L859" s="67"/>
      <c r="M859" s="67"/>
      <c r="N859" s="67"/>
      <c r="O859" s="67"/>
      <c r="P859" s="67"/>
      <c r="Q859" s="67"/>
      <c r="R859" s="552"/>
      <c r="AC859" s="553" t="s">
        <v>1354</v>
      </c>
      <c r="AD859" s="67">
        <f t="shared" ref="AD859:AD870" si="130">ROUND($F833*$AD$857/1000,0)</f>
        <v>110701</v>
      </c>
      <c r="AE859" s="67">
        <f t="shared" ref="AE859:AE870" si="131">ROUND($F833*$AE$857/1000,0)</f>
        <v>14112</v>
      </c>
      <c r="AF859" s="67">
        <f t="shared" ref="AF859:AF870" si="132">ROUND($F833*$AF$857/1000,0)</f>
        <v>14806</v>
      </c>
      <c r="AG859" s="67">
        <f t="shared" ref="AG859:AG870" si="133">ROUND($F833*$AG$857/1000,0)</f>
        <v>25333</v>
      </c>
      <c r="AH859" s="67">
        <f t="shared" ref="AH859:AH870" si="134">(F833*((T833-1526.8)/0.7702))/1000</f>
        <v>24826.119839002848</v>
      </c>
      <c r="AI859" s="67"/>
      <c r="AJ859" s="67">
        <f t="shared" ref="AJ859:AJ870" si="135">SUM(AD859:AH859)</f>
        <v>189778.11983900284</v>
      </c>
      <c r="AK859" s="67"/>
      <c r="AL859" s="67"/>
      <c r="AM859" s="67"/>
      <c r="AN859" s="70" t="s">
        <v>1354</v>
      </c>
      <c r="AO859" s="67">
        <f t="shared" ref="AO859:AO870" si="136">ROUND((B833-$F833)*$AO$857/1000,0)</f>
        <v>56910</v>
      </c>
      <c r="AP859" s="67">
        <f t="shared" ref="AP859:AP870" si="137">ROUND((C833-$F833)*$AP$857/1000,0)</f>
        <v>7243</v>
      </c>
      <c r="AQ859" s="67">
        <f t="shared" ref="AQ859:AQ870" si="138">ROUND((D833-$F833)*$AQ$857/1000,0)</f>
        <v>7587</v>
      </c>
      <c r="AR859" s="67">
        <f t="shared" ref="AR859:AR870" si="139">ROUND((E833-$F833)*$AR$857/1000,0)</f>
        <v>12733</v>
      </c>
      <c r="AS859" s="67">
        <f>((F833-$F833)*(('Lake Pleasant Forecast'!B35-1526.8)/0.7702))/1000</f>
        <v>0</v>
      </c>
      <c r="AT859" s="67">
        <f t="shared" ref="AT859:AT870" si="140">SUM(AN859:AR859)</f>
        <v>84473</v>
      </c>
      <c r="AU859" s="561"/>
      <c r="AW859" s="67">
        <f t="shared" si="129"/>
        <v>14130</v>
      </c>
      <c r="AX859" s="72">
        <v>2.4700000000000002</v>
      </c>
    </row>
    <row r="860" spans="1:50" ht="15.75" customHeight="1" thickBot="1" x14ac:dyDescent="0.35">
      <c r="A860" s="553" t="s">
        <v>845</v>
      </c>
      <c r="B860" s="634" t="s">
        <v>1308</v>
      </c>
      <c r="C860" s="634" t="s">
        <v>1309</v>
      </c>
      <c r="D860" s="634" t="s">
        <v>1029</v>
      </c>
      <c r="E860" s="634" t="s">
        <v>1030</v>
      </c>
      <c r="F860" s="634" t="s">
        <v>284</v>
      </c>
      <c r="G860" s="634" t="s">
        <v>284</v>
      </c>
      <c r="H860" s="634" t="s">
        <v>285</v>
      </c>
      <c r="I860" s="634" t="s">
        <v>286</v>
      </c>
      <c r="J860" s="634" t="s">
        <v>287</v>
      </c>
      <c r="K860" s="634" t="s">
        <v>288</v>
      </c>
      <c r="L860" s="634" t="s">
        <v>289</v>
      </c>
      <c r="M860" s="634" t="s">
        <v>633</v>
      </c>
      <c r="N860" s="634" t="s">
        <v>634</v>
      </c>
      <c r="O860" s="634" t="s">
        <v>1192</v>
      </c>
      <c r="P860" s="634" t="s">
        <v>524</v>
      </c>
      <c r="Q860" s="634" t="s">
        <v>525</v>
      </c>
      <c r="R860" s="552"/>
      <c r="AC860" s="553" t="s">
        <v>706</v>
      </c>
      <c r="AD860" s="67">
        <f t="shared" si="130"/>
        <v>23547</v>
      </c>
      <c r="AE860" s="67">
        <f t="shared" si="131"/>
        <v>3002</v>
      </c>
      <c r="AF860" s="67">
        <f t="shared" si="132"/>
        <v>3149</v>
      </c>
      <c r="AG860" s="67">
        <f t="shared" si="133"/>
        <v>5388</v>
      </c>
      <c r="AH860" s="67">
        <f t="shared" si="134"/>
        <v>5297.9657231887804</v>
      </c>
      <c r="AI860" s="67"/>
      <c r="AJ860" s="67">
        <f t="shared" si="135"/>
        <v>40383.965723188783</v>
      </c>
      <c r="AK860" s="67"/>
      <c r="AL860" s="67"/>
      <c r="AM860" s="67"/>
      <c r="AN860" s="70" t="s">
        <v>706</v>
      </c>
      <c r="AO860" s="67">
        <f t="shared" si="136"/>
        <v>80798</v>
      </c>
      <c r="AP860" s="67">
        <f t="shared" si="137"/>
        <v>10282</v>
      </c>
      <c r="AQ860" s="67">
        <f t="shared" si="138"/>
        <v>10769</v>
      </c>
      <c r="AR860" s="67">
        <f t="shared" si="139"/>
        <v>18089</v>
      </c>
      <c r="AS860" s="67">
        <f>((F834-$F834)*(('Lake Pleasant Forecast'!B37-1526.8)/0.7702))/1000</f>
        <v>0</v>
      </c>
      <c r="AT860" s="67">
        <f t="shared" si="140"/>
        <v>119938</v>
      </c>
      <c r="AU860" s="561"/>
      <c r="AW860" s="67">
        <f t="shared" si="129"/>
        <v>12226</v>
      </c>
      <c r="AX860" s="72">
        <v>2.4700000000000002</v>
      </c>
    </row>
    <row r="861" spans="1:50" ht="15.75" customHeight="1" x14ac:dyDescent="0.3">
      <c r="A861" s="553"/>
      <c r="B861" s="67"/>
      <c r="C861" s="67"/>
      <c r="D861" s="67"/>
      <c r="E861" s="67"/>
      <c r="F861" s="70" t="s">
        <v>1193</v>
      </c>
      <c r="G861" s="70" t="s">
        <v>1194</v>
      </c>
      <c r="H861" s="67"/>
      <c r="I861" s="67"/>
      <c r="J861" s="67"/>
      <c r="K861" s="67"/>
      <c r="L861" s="67"/>
      <c r="M861" s="67"/>
      <c r="N861" s="67"/>
      <c r="O861" s="67"/>
      <c r="P861" s="67"/>
      <c r="Q861" s="67"/>
      <c r="R861" s="552"/>
      <c r="AC861" s="553" t="s">
        <v>707</v>
      </c>
      <c r="AD861" s="67">
        <f t="shared" si="130"/>
        <v>11195</v>
      </c>
      <c r="AE861" s="67">
        <f t="shared" si="131"/>
        <v>1427</v>
      </c>
      <c r="AF861" s="67">
        <f t="shared" si="132"/>
        <v>1497</v>
      </c>
      <c r="AG861" s="67">
        <f t="shared" si="133"/>
        <v>2562</v>
      </c>
      <c r="AH861" s="67">
        <f t="shared" si="134"/>
        <v>2603.4201678707659</v>
      </c>
      <c r="AI861" s="67"/>
      <c r="AJ861" s="67">
        <f t="shared" si="135"/>
        <v>19284.420167870765</v>
      </c>
      <c r="AK861" s="67"/>
      <c r="AL861" s="67"/>
      <c r="AM861" s="67"/>
      <c r="AN861" s="70" t="s">
        <v>707</v>
      </c>
      <c r="AO861" s="67">
        <f t="shared" si="136"/>
        <v>127341</v>
      </c>
      <c r="AP861" s="67">
        <f t="shared" si="137"/>
        <v>16200</v>
      </c>
      <c r="AQ861" s="67">
        <f t="shared" si="138"/>
        <v>16964</v>
      </c>
      <c r="AR861" s="67">
        <f t="shared" si="139"/>
        <v>28128</v>
      </c>
      <c r="AS861" s="67">
        <f>((F835-$F835)*(('Lake Pleasant Forecast'!B39-1526.8)/0.7702))/1000</f>
        <v>0</v>
      </c>
      <c r="AT861" s="67">
        <f t="shared" si="140"/>
        <v>188633</v>
      </c>
      <c r="AU861" s="561"/>
      <c r="AW861" s="67">
        <f t="shared" si="129"/>
        <v>12820</v>
      </c>
      <c r="AX861" s="72">
        <v>2.4700000000000002</v>
      </c>
    </row>
    <row r="862" spans="1:50" ht="15.75" customHeight="1" x14ac:dyDescent="0.3">
      <c r="A862" s="139" t="s">
        <v>2843</v>
      </c>
      <c r="B862" s="67">
        <f t="shared" ref="B862:Q862" si="141">(B833/$B$10/1.983)</f>
        <v>2849.088217591463</v>
      </c>
      <c r="C862" s="67">
        <f t="shared" si="141"/>
        <v>2847.5102890699982</v>
      </c>
      <c r="D862" s="67">
        <f t="shared" si="141"/>
        <v>2845.9486278528784</v>
      </c>
      <c r="E862" s="67">
        <f t="shared" si="141"/>
        <v>2827.5177720299966</v>
      </c>
      <c r="F862" s="67">
        <f t="shared" si="141"/>
        <v>1881.7204301075269</v>
      </c>
      <c r="G862" s="67">
        <f t="shared" si="141"/>
        <v>0</v>
      </c>
      <c r="H862" s="67">
        <f t="shared" si="141"/>
        <v>641.25713727978132</v>
      </c>
      <c r="I862" s="67">
        <f t="shared" si="141"/>
        <v>277.16233143005871</v>
      </c>
      <c r="J862" s="67">
        <f t="shared" si="141"/>
        <v>260.37447334602183</v>
      </c>
      <c r="K862" s="67">
        <f t="shared" si="141"/>
        <v>245.06693995737965</v>
      </c>
      <c r="L862" s="67">
        <f t="shared" si="141"/>
        <v>234.28171717664665</v>
      </c>
      <c r="M862" s="67">
        <f t="shared" si="141"/>
        <v>233.95637108974671</v>
      </c>
      <c r="N862" s="67">
        <f t="shared" si="141"/>
        <v>231.93922535096709</v>
      </c>
      <c r="O862" s="67">
        <f t="shared" si="141"/>
        <v>18.983944170611487</v>
      </c>
      <c r="P862" s="67">
        <f t="shared" si="141"/>
        <v>31.981520342264083</v>
      </c>
      <c r="Q862" s="67">
        <f t="shared" si="141"/>
        <v>18.951409561921491</v>
      </c>
      <c r="R862" s="552"/>
      <c r="AC862" s="553" t="s">
        <v>1321</v>
      </c>
      <c r="AD862" s="67">
        <f t="shared" si="130"/>
        <v>1013</v>
      </c>
      <c r="AE862" s="67">
        <f t="shared" si="131"/>
        <v>129</v>
      </c>
      <c r="AF862" s="67">
        <f t="shared" si="132"/>
        <v>135</v>
      </c>
      <c r="AG862" s="67">
        <f t="shared" si="133"/>
        <v>232</v>
      </c>
      <c r="AH862" s="67">
        <f t="shared" si="134"/>
        <v>235.59800051934593</v>
      </c>
      <c r="AI862" s="67"/>
      <c r="AJ862" s="67">
        <f t="shared" si="135"/>
        <v>1744.598000519346</v>
      </c>
      <c r="AK862" s="67"/>
      <c r="AL862" s="67"/>
      <c r="AM862" s="67"/>
      <c r="AN862" s="70" t="s">
        <v>1321</v>
      </c>
      <c r="AO862" s="67">
        <f t="shared" si="136"/>
        <v>147682</v>
      </c>
      <c r="AP862" s="67">
        <f t="shared" si="137"/>
        <v>18782</v>
      </c>
      <c r="AQ862" s="67">
        <f t="shared" si="138"/>
        <v>19661</v>
      </c>
      <c r="AR862" s="67">
        <f t="shared" si="139"/>
        <v>32091</v>
      </c>
      <c r="AS862" s="67">
        <f>((F836-$F836)*(('Lake Pleasant Forecast'!B41-1526.8)/0.7702))/1000</f>
        <v>0</v>
      </c>
      <c r="AT862" s="67">
        <f t="shared" si="140"/>
        <v>218216</v>
      </c>
      <c r="AU862" s="561"/>
      <c r="AW862" s="67">
        <f t="shared" si="129"/>
        <v>11344</v>
      </c>
      <c r="AX862" s="72">
        <v>2.4700000000000002</v>
      </c>
    </row>
    <row r="863" spans="1:50" ht="15.75" customHeight="1" x14ac:dyDescent="0.3">
      <c r="A863" s="139" t="s">
        <v>2091</v>
      </c>
      <c r="B863" s="67">
        <f t="shared" ref="B863:Q863" si="142">(B834/$C$10/1.983)</f>
        <v>1963.7093869317771</v>
      </c>
      <c r="C863" s="67">
        <f t="shared" si="142"/>
        <v>1961.0438729198183</v>
      </c>
      <c r="D863" s="67">
        <f t="shared" si="142"/>
        <v>1958.4323895972911</v>
      </c>
      <c r="E863" s="67">
        <f t="shared" si="142"/>
        <v>1930.7866868381241</v>
      </c>
      <c r="F863" s="67">
        <f t="shared" si="142"/>
        <v>443.14170448814923</v>
      </c>
      <c r="G863" s="67">
        <f t="shared" si="142"/>
        <v>-4.68265975073842</v>
      </c>
      <c r="H863" s="67">
        <f t="shared" si="142"/>
        <v>971.36373460125355</v>
      </c>
      <c r="I863" s="67">
        <f t="shared" si="142"/>
        <v>449.78747928823572</v>
      </c>
      <c r="J863" s="67">
        <f t="shared" si="142"/>
        <v>409.3004826741589</v>
      </c>
      <c r="K863" s="67">
        <f t="shared" si="142"/>
        <v>390.37173114328937</v>
      </c>
      <c r="L863" s="67">
        <f t="shared" si="142"/>
        <v>316.07953317484333</v>
      </c>
      <c r="M863" s="67">
        <f t="shared" si="142"/>
        <v>315.6833081190116</v>
      </c>
      <c r="N863" s="67">
        <f t="shared" si="142"/>
        <v>298.33945681146889</v>
      </c>
      <c r="O863" s="67">
        <f t="shared" si="142"/>
        <v>67.646423168359618</v>
      </c>
      <c r="P863" s="67">
        <f t="shared" si="142"/>
        <v>66.94402420574886</v>
      </c>
      <c r="Q863" s="67">
        <f t="shared" si="142"/>
        <v>67.592392478928019</v>
      </c>
      <c r="R863" s="552"/>
      <c r="AC863" s="553" t="s">
        <v>1905</v>
      </c>
      <c r="AD863" s="67">
        <f t="shared" si="130"/>
        <v>35351</v>
      </c>
      <c r="AE863" s="67">
        <f t="shared" si="131"/>
        <v>4507</v>
      </c>
      <c r="AF863" s="67">
        <f t="shared" si="132"/>
        <v>4728</v>
      </c>
      <c r="AG863" s="67">
        <f t="shared" si="133"/>
        <v>8090</v>
      </c>
      <c r="AH863" s="67">
        <f t="shared" si="134"/>
        <v>8132.1433913269257</v>
      </c>
      <c r="AI863" s="67"/>
      <c r="AJ863" s="67">
        <f t="shared" si="135"/>
        <v>60808.143391326928</v>
      </c>
      <c r="AK863" s="67"/>
      <c r="AL863" s="67"/>
      <c r="AM863" s="67"/>
      <c r="AN863" s="70" t="s">
        <v>1905</v>
      </c>
      <c r="AO863" s="67">
        <f t="shared" si="136"/>
        <v>133504</v>
      </c>
      <c r="AP863" s="67">
        <f t="shared" si="137"/>
        <v>16968</v>
      </c>
      <c r="AQ863" s="67">
        <f t="shared" si="138"/>
        <v>17751</v>
      </c>
      <c r="AR863" s="67">
        <f t="shared" si="139"/>
        <v>29063</v>
      </c>
      <c r="AS863" s="67">
        <f>((F837-$F837)*(('Lake Pleasant Forecast'!B43-1526.8)/0.7702))/1000</f>
        <v>0</v>
      </c>
      <c r="AT863" s="67">
        <f t="shared" si="140"/>
        <v>197286</v>
      </c>
      <c r="AU863" s="561"/>
      <c r="AW863" s="67">
        <f t="shared" si="129"/>
        <v>9112</v>
      </c>
      <c r="AX863" s="72">
        <v>2.4700000000000002</v>
      </c>
    </row>
    <row r="864" spans="1:50" ht="15.75" customHeight="1" x14ac:dyDescent="0.3">
      <c r="A864" s="139" t="s">
        <v>2234</v>
      </c>
      <c r="B864" s="67">
        <f t="shared" ref="B864:Q864" si="143">(B835/$D$10/1.983)</f>
        <v>2354.8712442861092</v>
      </c>
      <c r="C864" s="67">
        <f t="shared" si="143"/>
        <v>2350.4140028955803</v>
      </c>
      <c r="D864" s="67">
        <f t="shared" si="143"/>
        <v>2346.1682364615358</v>
      </c>
      <c r="E864" s="67">
        <f t="shared" si="143"/>
        <v>2279.618694386153</v>
      </c>
      <c r="F864" s="67">
        <f t="shared" si="143"/>
        <v>190.29492622777479</v>
      </c>
      <c r="G864" s="67">
        <f t="shared" si="143"/>
        <v>-100.19032746083647</v>
      </c>
      <c r="H864" s="67">
        <f t="shared" si="143"/>
        <v>1590.4218112016658</v>
      </c>
      <c r="I864" s="67">
        <f t="shared" si="143"/>
        <v>542.83994599254959</v>
      </c>
      <c r="J864" s="67">
        <f t="shared" si="143"/>
        <v>449.38428253054184</v>
      </c>
      <c r="K864" s="67">
        <f t="shared" si="143"/>
        <v>386.2508743676085</v>
      </c>
      <c r="L864" s="67">
        <f t="shared" si="143"/>
        <v>339.57997820181214</v>
      </c>
      <c r="M864" s="67">
        <f t="shared" si="143"/>
        <v>339.12449368015223</v>
      </c>
      <c r="N864" s="67">
        <f t="shared" si="143"/>
        <v>313.21067785857207</v>
      </c>
      <c r="O864" s="67">
        <f t="shared" si="143"/>
        <v>68.77816277064727</v>
      </c>
      <c r="P864" s="67">
        <f t="shared" si="143"/>
        <v>84.655051811364331</v>
      </c>
      <c r="Q864" s="67">
        <f t="shared" si="143"/>
        <v>67.802124509947447</v>
      </c>
      <c r="R864" s="552"/>
      <c r="AC864" s="553" t="s">
        <v>1906</v>
      </c>
      <c r="AD864" s="67">
        <f t="shared" si="130"/>
        <v>359</v>
      </c>
      <c r="AE864" s="67">
        <f t="shared" si="131"/>
        <v>46</v>
      </c>
      <c r="AF864" s="67">
        <f t="shared" si="132"/>
        <v>48</v>
      </c>
      <c r="AG864" s="67">
        <f t="shared" si="133"/>
        <v>82</v>
      </c>
      <c r="AH864" s="67">
        <f t="shared" si="134"/>
        <v>77.453908075824529</v>
      </c>
      <c r="AI864" s="67"/>
      <c r="AJ864" s="67">
        <f t="shared" si="135"/>
        <v>612.45390807582453</v>
      </c>
      <c r="AK864" s="67"/>
      <c r="AL864" s="67"/>
      <c r="AM864" s="67"/>
      <c r="AN864" s="70" t="s">
        <v>1906</v>
      </c>
      <c r="AO864" s="67">
        <f t="shared" si="136"/>
        <v>77603</v>
      </c>
      <c r="AP864" s="67">
        <f t="shared" si="137"/>
        <v>9842</v>
      </c>
      <c r="AQ864" s="67">
        <f t="shared" si="138"/>
        <v>10275</v>
      </c>
      <c r="AR864" s="67">
        <f t="shared" si="139"/>
        <v>16079</v>
      </c>
      <c r="AS864" s="67">
        <f>((F838-$F838)*(('Lake Pleasant Forecast'!B45-1526.8)/0.7702))/1000</f>
        <v>0</v>
      </c>
      <c r="AT864" s="67">
        <f t="shared" si="140"/>
        <v>113799</v>
      </c>
      <c r="AU864" s="561"/>
      <c r="AW864" s="67">
        <f t="shared" si="129"/>
        <v>4712</v>
      </c>
      <c r="AX864" s="72">
        <v>2.4700000000000002</v>
      </c>
    </row>
    <row r="865" spans="1:50" ht="15.75" customHeight="1" x14ac:dyDescent="0.3">
      <c r="A865" s="139" t="s">
        <v>2235</v>
      </c>
      <c r="B865" s="67">
        <f t="shared" ref="B865:Q865" si="144">(B836/$F$10/1.983)</f>
        <v>2611.8003025718608</v>
      </c>
      <c r="C865" s="67">
        <f t="shared" si="144"/>
        <v>2605.6311985207594</v>
      </c>
      <c r="D865" s="67">
        <f t="shared" si="144"/>
        <v>2599.7478567826524</v>
      </c>
      <c r="E865" s="67">
        <f t="shared" si="144"/>
        <v>2480.9715918641787</v>
      </c>
      <c r="F865" s="67">
        <f t="shared" si="144"/>
        <v>17.784501596907042</v>
      </c>
      <c r="G865" s="67">
        <f t="shared" si="144"/>
        <v>-580.01344763825853</v>
      </c>
      <c r="H865" s="67">
        <f t="shared" si="144"/>
        <v>2261.7246596066566</v>
      </c>
      <c r="I865" s="67">
        <f t="shared" si="144"/>
        <v>741.88939317532356</v>
      </c>
      <c r="J865" s="67">
        <f t="shared" si="144"/>
        <v>572.75172297865186</v>
      </c>
      <c r="K865" s="67">
        <f t="shared" si="144"/>
        <v>454.74869726004368</v>
      </c>
      <c r="L865" s="67">
        <f t="shared" si="144"/>
        <v>347.38611531349807</v>
      </c>
      <c r="M865" s="67">
        <f t="shared" si="144"/>
        <v>346.76416204404097</v>
      </c>
      <c r="N865" s="67">
        <f t="shared" si="144"/>
        <v>334.00571524625985</v>
      </c>
      <c r="O865" s="67">
        <f t="shared" si="144"/>
        <v>68.566145570684142</v>
      </c>
      <c r="P865" s="67">
        <f t="shared" si="144"/>
        <v>100.3698100521096</v>
      </c>
      <c r="Q865" s="67">
        <f t="shared" si="144"/>
        <v>68.448478735921995</v>
      </c>
      <c r="R865" s="552"/>
      <c r="AC865" s="553" t="s">
        <v>1907</v>
      </c>
      <c r="AD865" s="67">
        <f t="shared" si="130"/>
        <v>0</v>
      </c>
      <c r="AE865" s="67">
        <f t="shared" si="131"/>
        <v>0</v>
      </c>
      <c r="AF865" s="67">
        <f t="shared" si="132"/>
        <v>0</v>
      </c>
      <c r="AG865" s="67">
        <f t="shared" si="133"/>
        <v>0</v>
      </c>
      <c r="AH865" s="67">
        <f t="shared" si="134"/>
        <v>0</v>
      </c>
      <c r="AI865" s="67"/>
      <c r="AJ865" s="67">
        <f t="shared" si="135"/>
        <v>0</v>
      </c>
      <c r="AK865" s="67"/>
      <c r="AL865" s="67"/>
      <c r="AM865" s="67"/>
      <c r="AN865" s="70" t="s">
        <v>1907</v>
      </c>
      <c r="AO865" s="67">
        <f t="shared" si="136"/>
        <v>69874</v>
      </c>
      <c r="AP865" s="67">
        <f t="shared" si="137"/>
        <v>8857</v>
      </c>
      <c r="AQ865" s="67">
        <f t="shared" si="138"/>
        <v>9242</v>
      </c>
      <c r="AR865" s="67">
        <f t="shared" si="139"/>
        <v>14246</v>
      </c>
      <c r="AS865" s="67">
        <f>((F839-$F839)*(('Lake Pleasant Forecast'!B47-1526.8)/0.7702))/1000</f>
        <v>0</v>
      </c>
      <c r="AT865" s="67">
        <f t="shared" si="140"/>
        <v>102219</v>
      </c>
      <c r="AU865" s="561"/>
      <c r="AW865" s="67">
        <f t="shared" si="129"/>
        <v>7618</v>
      </c>
      <c r="AX865" s="72">
        <v>2.4700000000000002</v>
      </c>
    </row>
    <row r="866" spans="1:50" ht="15.75" customHeight="1" x14ac:dyDescent="0.3">
      <c r="A866" s="139" t="s">
        <v>2236</v>
      </c>
      <c r="B866" s="67">
        <f t="shared" ref="B866:Q866" si="145">(B837/$G$10/1.983)</f>
        <v>2870.2357132399588</v>
      </c>
      <c r="C866" s="67">
        <f t="shared" si="145"/>
        <v>2863.3221088933351</v>
      </c>
      <c r="D866" s="67">
        <f t="shared" si="145"/>
        <v>2856.7826525466462</v>
      </c>
      <c r="E866" s="67">
        <f t="shared" si="145"/>
        <v>2759.7156475200495</v>
      </c>
      <c r="F866" s="67">
        <f t="shared" si="145"/>
        <v>600.89795519984375</v>
      </c>
      <c r="G866" s="67">
        <f>(G837/$G$10/1.983)</f>
        <v>-57.195842077009416</v>
      </c>
      <c r="H866" s="67">
        <f t="shared" si="145"/>
        <v>1650.2041546695298</v>
      </c>
      <c r="I866" s="67">
        <f t="shared" si="145"/>
        <v>475.20049452605207</v>
      </c>
      <c r="J866" s="67">
        <f t="shared" si="145"/>
        <v>429.52190392530053</v>
      </c>
      <c r="K866" s="67">
        <f t="shared" si="145"/>
        <v>385.19349958518376</v>
      </c>
      <c r="L866" s="67">
        <f t="shared" si="145"/>
        <v>325.68770029118474</v>
      </c>
      <c r="M866" s="67">
        <f t="shared" si="145"/>
        <v>325.00447350869484</v>
      </c>
      <c r="N866" s="67">
        <f t="shared" si="145"/>
        <v>303.05987994729395</v>
      </c>
      <c r="O866" s="67">
        <f t="shared" si="145"/>
        <v>56.512615294519541</v>
      </c>
      <c r="P866" s="67">
        <f t="shared" si="145"/>
        <v>105.60733980772045</v>
      </c>
      <c r="Q866" s="67">
        <f t="shared" si="145"/>
        <v>56.382476859759571</v>
      </c>
      <c r="R866" s="552"/>
      <c r="AC866" s="553" t="s">
        <v>1908</v>
      </c>
      <c r="AD866" s="67">
        <f t="shared" si="130"/>
        <v>0</v>
      </c>
      <c r="AE866" s="67">
        <f t="shared" si="131"/>
        <v>0</v>
      </c>
      <c r="AF866" s="67">
        <f t="shared" si="132"/>
        <v>0</v>
      </c>
      <c r="AG866" s="67">
        <f t="shared" si="133"/>
        <v>0</v>
      </c>
      <c r="AH866" s="67">
        <f t="shared" si="134"/>
        <v>0</v>
      </c>
      <c r="AI866" s="67"/>
      <c r="AJ866" s="67">
        <f t="shared" si="135"/>
        <v>0</v>
      </c>
      <c r="AK866" s="67"/>
      <c r="AL866" s="67"/>
      <c r="AM866" s="67"/>
      <c r="AN866" s="70" t="s">
        <v>1908</v>
      </c>
      <c r="AO866" s="67">
        <f t="shared" si="136"/>
        <v>67538</v>
      </c>
      <c r="AP866" s="67">
        <f t="shared" si="137"/>
        <v>8569</v>
      </c>
      <c r="AQ866" s="67">
        <f t="shared" si="138"/>
        <v>8950</v>
      </c>
      <c r="AR866" s="67">
        <f t="shared" si="139"/>
        <v>13286</v>
      </c>
      <c r="AS866" s="67">
        <f>((F840-$F840)*(('Lake Pleasant Forecast'!B49-1526.8)/0.7702))/1000</f>
        <v>0</v>
      </c>
      <c r="AT866" s="67">
        <f t="shared" si="140"/>
        <v>98343</v>
      </c>
      <c r="AU866" s="561"/>
      <c r="AW866" s="67"/>
      <c r="AX866" s="72"/>
    </row>
    <row r="867" spans="1:50" ht="15.75" customHeight="1" x14ac:dyDescent="0.3">
      <c r="A867" s="139" t="s">
        <v>2237</v>
      </c>
      <c r="B867" s="67">
        <f t="shared" ref="B867:Q867" si="146">(B838/$H$10/1.983)</f>
        <v>1369.389813414019</v>
      </c>
      <c r="C867" s="67">
        <f t="shared" si="146"/>
        <v>1362.3802319717599</v>
      </c>
      <c r="D867" s="67">
        <f t="shared" si="146"/>
        <v>1355.7236510337871</v>
      </c>
      <c r="E867" s="67">
        <f t="shared" si="146"/>
        <v>1240.4605816103547</v>
      </c>
      <c r="F867" s="67">
        <f t="shared" si="146"/>
        <v>6.3035804336863333</v>
      </c>
      <c r="G867" s="67">
        <f t="shared" si="146"/>
        <v>-1404.925197512187</v>
      </c>
      <c r="H867" s="67">
        <f t="shared" si="146"/>
        <v>1922.5247940830391</v>
      </c>
      <c r="I867" s="67">
        <f t="shared" si="146"/>
        <v>541.88939317532356</v>
      </c>
      <c r="J867" s="67">
        <f t="shared" si="146"/>
        <v>399.4957135653051</v>
      </c>
      <c r="K867" s="67">
        <f t="shared" si="146"/>
        <v>346.62968566145571</v>
      </c>
      <c r="L867" s="67">
        <f t="shared" si="146"/>
        <v>330.9127584467978</v>
      </c>
      <c r="M867" s="67">
        <f t="shared" si="146"/>
        <v>330.17313834257857</v>
      </c>
      <c r="N867" s="67">
        <f t="shared" si="146"/>
        <v>314.42259203227434</v>
      </c>
      <c r="O867" s="67">
        <f t="shared" si="146"/>
        <v>83.459404942007055</v>
      </c>
      <c r="P867" s="67">
        <f t="shared" si="146"/>
        <v>99.848714069591523</v>
      </c>
      <c r="Q867" s="67">
        <f t="shared" si="146"/>
        <v>82.316355690031926</v>
      </c>
      <c r="R867" s="552"/>
      <c r="AC867" s="553" t="s">
        <v>2352</v>
      </c>
      <c r="AD867" s="67">
        <f t="shared" si="130"/>
        <v>39311</v>
      </c>
      <c r="AE867" s="67">
        <f t="shared" si="131"/>
        <v>5011</v>
      </c>
      <c r="AF867" s="67">
        <f t="shared" si="132"/>
        <v>5258</v>
      </c>
      <c r="AG867" s="67">
        <f t="shared" si="133"/>
        <v>8996</v>
      </c>
      <c r="AH867" s="67">
        <f t="shared" si="134"/>
        <v>6996.7429122016347</v>
      </c>
      <c r="AI867" s="67"/>
      <c r="AJ867" s="67">
        <f t="shared" si="135"/>
        <v>65572.742912201633</v>
      </c>
      <c r="AK867" s="67"/>
      <c r="AL867" s="67"/>
      <c r="AM867" s="67"/>
      <c r="AN867" s="70" t="s">
        <v>2352</v>
      </c>
      <c r="AO867" s="67">
        <f t="shared" si="136"/>
        <v>118463</v>
      </c>
      <c r="AP867" s="67">
        <f t="shared" si="137"/>
        <v>15063</v>
      </c>
      <c r="AQ867" s="67">
        <f t="shared" si="138"/>
        <v>15766</v>
      </c>
      <c r="AR867" s="67">
        <f t="shared" si="139"/>
        <v>25191</v>
      </c>
      <c r="AS867" s="67">
        <f>((F841-$F841)*(('Lake Pleasant Forecast'!B51-1526.8)/0.7702))/1000</f>
        <v>0</v>
      </c>
      <c r="AT867" s="67">
        <f t="shared" si="140"/>
        <v>174483</v>
      </c>
      <c r="AU867" s="561"/>
      <c r="AW867" s="67">
        <f>(SUM(AW854:AW865))</f>
        <v>133070</v>
      </c>
      <c r="AX867" s="72"/>
    </row>
    <row r="868" spans="1:50" ht="15.75" customHeight="1" x14ac:dyDescent="0.3">
      <c r="A868" s="139" t="s">
        <v>1504</v>
      </c>
      <c r="B868" s="67">
        <f t="shared" ref="B868:Q868" si="147">(B839/$J$10/1.983)</f>
        <v>1187.7409594456103</v>
      </c>
      <c r="C868" s="67">
        <f t="shared" si="147"/>
        <v>1180.9737608380915</v>
      </c>
      <c r="D868" s="67">
        <f t="shared" si="147"/>
        <v>1174.5644429261627</v>
      </c>
      <c r="E868" s="67">
        <f t="shared" si="147"/>
        <v>1058.2044149463993</v>
      </c>
      <c r="F868" s="67">
        <f t="shared" si="147"/>
        <v>0</v>
      </c>
      <c r="G868" s="67">
        <f t="shared" si="147"/>
        <v>-1430.7094171424851</v>
      </c>
      <c r="H868" s="67">
        <f t="shared" si="147"/>
        <v>1650.1716200608398</v>
      </c>
      <c r="I868" s="67">
        <f t="shared" si="147"/>
        <v>675.46727831731005</v>
      </c>
      <c r="J868" s="67">
        <f t="shared" si="147"/>
        <v>478.01473817773655</v>
      </c>
      <c r="K868" s="67">
        <f t="shared" si="147"/>
        <v>389.47180062791796</v>
      </c>
      <c r="L868" s="67">
        <f t="shared" si="147"/>
        <v>290.32258064516128</v>
      </c>
      <c r="M868" s="67">
        <f t="shared" si="147"/>
        <v>289.68815577570643</v>
      </c>
      <c r="N868" s="67">
        <f t="shared" si="147"/>
        <v>265.62881264945582</v>
      </c>
      <c r="O868" s="67">
        <f t="shared" si="147"/>
        <v>60.611975989458784</v>
      </c>
      <c r="P868" s="67">
        <f t="shared" si="147"/>
        <v>89.746718071348397</v>
      </c>
      <c r="Q868" s="67">
        <f t="shared" si="147"/>
        <v>60.498104859043806</v>
      </c>
      <c r="R868" s="552"/>
      <c r="AC868" s="553" t="s">
        <v>2353</v>
      </c>
      <c r="AD868" s="67">
        <f t="shared" si="130"/>
        <v>26500</v>
      </c>
      <c r="AE868" s="67">
        <f t="shared" si="131"/>
        <v>3378</v>
      </c>
      <c r="AF868" s="67">
        <f t="shared" si="132"/>
        <v>3544</v>
      </c>
      <c r="AG868" s="67">
        <f t="shared" si="133"/>
        <v>6064</v>
      </c>
      <c r="AH868" s="67">
        <f t="shared" si="134"/>
        <v>4994.5906517787616</v>
      </c>
      <c r="AI868" s="67"/>
      <c r="AJ868" s="67">
        <f t="shared" si="135"/>
        <v>44480.590651778759</v>
      </c>
      <c r="AK868" s="67"/>
      <c r="AL868" s="67"/>
      <c r="AM868" s="67"/>
      <c r="AN868" s="70" t="s">
        <v>2353</v>
      </c>
      <c r="AO868" s="67">
        <f t="shared" si="136"/>
        <v>86328</v>
      </c>
      <c r="AP868" s="67">
        <f t="shared" si="137"/>
        <v>10970</v>
      </c>
      <c r="AQ868" s="67">
        <f t="shared" si="138"/>
        <v>11475</v>
      </c>
      <c r="AR868" s="67">
        <f t="shared" si="139"/>
        <v>18819</v>
      </c>
      <c r="AS868" s="67">
        <f>((F842-$F842)*(('Lake Pleasant Forecast'!B53-1526.8)/0.7702))/1000</f>
        <v>0</v>
      </c>
      <c r="AT868" s="67">
        <f t="shared" si="140"/>
        <v>127592</v>
      </c>
      <c r="AU868" s="561"/>
    </row>
    <row r="869" spans="1:50" ht="15.75" customHeight="1" x14ac:dyDescent="0.3">
      <c r="A869" s="139" t="s">
        <v>1505</v>
      </c>
      <c r="B869" s="67">
        <f t="shared" ref="B869:Q869" si="148">(B840/$K$10/1.983)</f>
        <v>1148.0324695394725</v>
      </c>
      <c r="C869" s="67">
        <f t="shared" si="148"/>
        <v>1142.5991898882437</v>
      </c>
      <c r="D869" s="67">
        <f t="shared" si="148"/>
        <v>1137.4261871065346</v>
      </c>
      <c r="E869" s="67">
        <f t="shared" si="148"/>
        <v>986.90482000227735</v>
      </c>
      <c r="F869" s="67">
        <f t="shared" si="148"/>
        <v>0</v>
      </c>
      <c r="G869" s="67">
        <f t="shared" si="148"/>
        <v>-1583.134058855107</v>
      </c>
      <c r="H869" s="67">
        <f t="shared" si="148"/>
        <v>1686.089828054593</v>
      </c>
      <c r="I869" s="67">
        <f t="shared" si="148"/>
        <v>606.47764059017777</v>
      </c>
      <c r="J869" s="67">
        <f t="shared" si="148"/>
        <v>426.25217575195614</v>
      </c>
      <c r="K869" s="67">
        <f t="shared" si="148"/>
        <v>339.33596863663718</v>
      </c>
      <c r="L869" s="67">
        <f t="shared" si="148"/>
        <v>303.38522603419386</v>
      </c>
      <c r="M869" s="67">
        <f t="shared" si="148"/>
        <v>302.79960307777401</v>
      </c>
      <c r="N869" s="67">
        <f t="shared" si="148"/>
        <v>269.43536186618513</v>
      </c>
      <c r="O869" s="67">
        <f t="shared" si="148"/>
        <v>68.908301205407255</v>
      </c>
      <c r="P869" s="67">
        <f t="shared" si="148"/>
        <v>91.340913897158089</v>
      </c>
      <c r="Q869" s="67">
        <f t="shared" si="148"/>
        <v>68.810697379337256</v>
      </c>
      <c r="R869" s="552"/>
      <c r="AC869" s="553" t="s">
        <v>2354</v>
      </c>
      <c r="AD869" s="67">
        <f t="shared" si="130"/>
        <v>46181</v>
      </c>
      <c r="AE869" s="67">
        <f t="shared" si="131"/>
        <v>5887</v>
      </c>
      <c r="AF869" s="67">
        <f t="shared" si="132"/>
        <v>6177</v>
      </c>
      <c r="AG869" s="67">
        <f t="shared" si="133"/>
        <v>10568</v>
      </c>
      <c r="AH869" s="67">
        <f t="shared" si="134"/>
        <v>9161.2468449753324</v>
      </c>
      <c r="AI869" s="67"/>
      <c r="AJ869" s="67">
        <f t="shared" si="135"/>
        <v>77974.246844975336</v>
      </c>
      <c r="AK869" s="67"/>
      <c r="AL869" s="67"/>
      <c r="AM869" s="67"/>
      <c r="AN869" s="70" t="s">
        <v>2354</v>
      </c>
      <c r="AO869" s="67">
        <f t="shared" si="136"/>
        <v>65810</v>
      </c>
      <c r="AP869" s="67">
        <f t="shared" si="137"/>
        <v>8361</v>
      </c>
      <c r="AQ869" s="67">
        <f t="shared" si="138"/>
        <v>8743</v>
      </c>
      <c r="AR869" s="67">
        <f t="shared" si="139"/>
        <v>14124</v>
      </c>
      <c r="AS869" s="67">
        <f>((F843-$F843)*(('Lake Pleasant Forecast'!B55-1526.8)/0.7702))/1000</f>
        <v>0</v>
      </c>
      <c r="AT869" s="67">
        <f t="shared" si="140"/>
        <v>97038</v>
      </c>
      <c r="AU869" s="561"/>
    </row>
    <row r="870" spans="1:50" ht="15.75" customHeight="1" x14ac:dyDescent="0.3">
      <c r="A870" s="139" t="s">
        <v>1506</v>
      </c>
      <c r="B870" s="67">
        <f t="shared" ref="B870:Q870" si="149">(B841/$L$10/1.983)</f>
        <v>2771.2724827702132</v>
      </c>
      <c r="C870" s="67">
        <f t="shared" si="149"/>
        <v>2765.9606656580936</v>
      </c>
      <c r="D870" s="67">
        <f t="shared" si="149"/>
        <v>2760.9009917633216</v>
      </c>
      <c r="E870" s="67">
        <f t="shared" si="149"/>
        <v>2624.054462934947</v>
      </c>
      <c r="F870" s="67">
        <f t="shared" si="149"/>
        <v>690.48579593208945</v>
      </c>
      <c r="G870" s="67">
        <f t="shared" si="149"/>
        <v>-33.80400067238191</v>
      </c>
      <c r="H870" s="67">
        <f t="shared" si="149"/>
        <v>1218.6922171793578</v>
      </c>
      <c r="I870" s="67">
        <f t="shared" si="149"/>
        <v>435.66986048075302</v>
      </c>
      <c r="J870" s="67">
        <f t="shared" si="149"/>
        <v>347.99125903513197</v>
      </c>
      <c r="K870" s="67">
        <f t="shared" si="149"/>
        <v>309.98487140695914</v>
      </c>
      <c r="L870" s="67">
        <f t="shared" si="149"/>
        <v>296.21785173978816</v>
      </c>
      <c r="M870" s="67">
        <f t="shared" si="149"/>
        <v>295.64632711380062</v>
      </c>
      <c r="N870" s="67">
        <f t="shared" si="149"/>
        <v>259.58984703311478</v>
      </c>
      <c r="O870" s="67">
        <f t="shared" si="149"/>
        <v>51.975121869221717</v>
      </c>
      <c r="P870" s="67">
        <f t="shared" si="149"/>
        <v>82.551689359556221</v>
      </c>
      <c r="Q870" s="67">
        <f t="shared" si="149"/>
        <v>51.874264582282734</v>
      </c>
      <c r="R870" s="552"/>
      <c r="AC870" s="553" t="s">
        <v>2355</v>
      </c>
      <c r="AD870" s="67">
        <f t="shared" si="130"/>
        <v>45201</v>
      </c>
      <c r="AE870" s="67">
        <f t="shared" si="131"/>
        <v>5762</v>
      </c>
      <c r="AF870" s="67">
        <f t="shared" si="132"/>
        <v>6046</v>
      </c>
      <c r="AG870" s="67">
        <f t="shared" si="133"/>
        <v>10344</v>
      </c>
      <c r="AH870" s="67">
        <f t="shared" si="134"/>
        <v>9391.148010357545</v>
      </c>
      <c r="AI870" s="67"/>
      <c r="AJ870" s="67">
        <f t="shared" si="135"/>
        <v>76744.148010357545</v>
      </c>
      <c r="AK870" s="67"/>
      <c r="AL870" s="67"/>
      <c r="AM870" s="67"/>
      <c r="AN870" s="70" t="s">
        <v>2355</v>
      </c>
      <c r="AO870" s="67">
        <f t="shared" si="136"/>
        <v>77585</v>
      </c>
      <c r="AP870" s="67">
        <f t="shared" si="137"/>
        <v>9868</v>
      </c>
      <c r="AQ870" s="67">
        <f t="shared" si="138"/>
        <v>10330</v>
      </c>
      <c r="AR870" s="67">
        <f t="shared" si="139"/>
        <v>16600</v>
      </c>
      <c r="AS870" s="67">
        <f>((F844-$F844)*(('Lake Pleasant Forecast'!B57-1526.8)/0.7702))/1000</f>
        <v>0</v>
      </c>
      <c r="AT870" s="67">
        <f t="shared" si="140"/>
        <v>114383</v>
      </c>
      <c r="AU870" s="561"/>
    </row>
    <row r="871" spans="1:50" ht="15.75" customHeight="1" x14ac:dyDescent="0.3">
      <c r="A871" s="139" t="s">
        <v>1507</v>
      </c>
      <c r="B871" s="67">
        <f t="shared" ref="B871:Q871" si="150">(B842/$N$10/1.983)</f>
        <v>1917.8826476664551</v>
      </c>
      <c r="C871" s="67">
        <f t="shared" si="150"/>
        <v>1913.2464659281309</v>
      </c>
      <c r="D871" s="67">
        <f t="shared" si="150"/>
        <v>1908.8217591462917</v>
      </c>
      <c r="E871" s="67">
        <f t="shared" si="150"/>
        <v>1848.3236542872478</v>
      </c>
      <c r="F871" s="67">
        <f t="shared" si="150"/>
        <v>450.45792461731162</v>
      </c>
      <c r="G871" s="67">
        <f t="shared" si="150"/>
        <v>-165.04806988433947</v>
      </c>
      <c r="H871" s="67">
        <f t="shared" si="150"/>
        <v>938.20051079335644</v>
      </c>
      <c r="I871" s="67">
        <f t="shared" si="150"/>
        <v>276.88578725619379</v>
      </c>
      <c r="J871" s="67">
        <f t="shared" si="150"/>
        <v>243.76555560977988</v>
      </c>
      <c r="K871" s="67">
        <f t="shared" si="150"/>
        <v>208.93725700714134</v>
      </c>
      <c r="L871" s="67">
        <f t="shared" si="150"/>
        <v>201.38922779106275</v>
      </c>
      <c r="M871" s="67">
        <f t="shared" si="150"/>
        <v>200.91747596505783</v>
      </c>
      <c r="N871" s="67">
        <f t="shared" si="150"/>
        <v>184.14588518536593</v>
      </c>
      <c r="O871" s="67">
        <f t="shared" si="150"/>
        <v>52.75486799082524</v>
      </c>
      <c r="P871" s="67">
        <f t="shared" si="150"/>
        <v>72.893790769931513</v>
      </c>
      <c r="Q871" s="67">
        <f t="shared" si="150"/>
        <v>52.315650773510313</v>
      </c>
      <c r="R871" s="552"/>
      <c r="AC871" s="551"/>
      <c r="AD871" s="67"/>
      <c r="AE871" s="67"/>
      <c r="AF871" s="67"/>
      <c r="AG871" s="67"/>
      <c r="AH871" s="67"/>
      <c r="AI871" s="67"/>
      <c r="AJ871" s="67"/>
      <c r="AK871" s="67"/>
      <c r="AL871" s="67"/>
      <c r="AM871" s="67"/>
      <c r="AN871" s="67"/>
      <c r="AO871" s="67"/>
      <c r="AP871" s="67"/>
      <c r="AQ871" s="67"/>
      <c r="AR871" s="67"/>
      <c r="AS871" s="67"/>
      <c r="AT871" s="67"/>
      <c r="AU871" s="561"/>
    </row>
    <row r="872" spans="1:50" ht="15.75" customHeight="1" thickBot="1" x14ac:dyDescent="0.35">
      <c r="A872" s="139" t="s">
        <v>1508</v>
      </c>
      <c r="B872" s="67">
        <f t="shared" ref="B872:Q872" si="151">(B843/$O$10/1.983)</f>
        <v>1967.1037149100689</v>
      </c>
      <c r="C872" s="67">
        <f t="shared" si="151"/>
        <v>1963.1534711716254</v>
      </c>
      <c r="D872" s="67">
        <f t="shared" si="151"/>
        <v>1959.3545133635905</v>
      </c>
      <c r="E872" s="67">
        <f t="shared" si="151"/>
        <v>1895.2933266095142</v>
      </c>
      <c r="F872" s="67">
        <f t="shared" si="151"/>
        <v>811.16153975458053</v>
      </c>
      <c r="G872" s="67">
        <f t="shared" si="151"/>
        <v>0</v>
      </c>
      <c r="H872" s="67">
        <f t="shared" si="151"/>
        <v>552.59707513867875</v>
      </c>
      <c r="I872" s="67">
        <f t="shared" si="151"/>
        <v>138.29214994116657</v>
      </c>
      <c r="J872" s="67">
        <f t="shared" si="151"/>
        <v>132.5600941334678</v>
      </c>
      <c r="K872" s="67">
        <f t="shared" si="151"/>
        <v>122.54160363086233</v>
      </c>
      <c r="L872" s="67">
        <f t="shared" si="151"/>
        <v>116.03630862329803</v>
      </c>
      <c r="M872" s="67">
        <f t="shared" si="151"/>
        <v>115.64968902336527</v>
      </c>
      <c r="N872" s="67">
        <f t="shared" si="151"/>
        <v>110.03530005042863</v>
      </c>
      <c r="O872" s="67">
        <f t="shared" si="151"/>
        <v>7.0936291813750207</v>
      </c>
      <c r="P872" s="67">
        <f t="shared" si="151"/>
        <v>64.464615901832232</v>
      </c>
      <c r="Q872" s="67">
        <f t="shared" si="151"/>
        <v>7.0432005379055305</v>
      </c>
      <c r="R872" s="552"/>
      <c r="AC872" s="558" t="s">
        <v>2356</v>
      </c>
      <c r="AD872" s="555">
        <f>SUM(AD859:AD870)</f>
        <v>339359</v>
      </c>
      <c r="AE872" s="555">
        <f>SUM(AE859:AE870)</f>
        <v>43261</v>
      </c>
      <c r="AF872" s="555">
        <f>SUM(AF859:AF870)</f>
        <v>45388</v>
      </c>
      <c r="AG872" s="555">
        <f>SUM(AG859:AG870)</f>
        <v>77659</v>
      </c>
      <c r="AH872" s="555">
        <f>SUM(AH859:AH870)</f>
        <v>71716.429449297764</v>
      </c>
      <c r="AI872" s="555"/>
      <c r="AJ872" s="555">
        <f>SUM(AJ859:AJ870)</f>
        <v>577383.42944929772</v>
      </c>
      <c r="AK872" s="555"/>
      <c r="AL872" s="555"/>
      <c r="AM872" s="555"/>
      <c r="AN872" s="564" t="s">
        <v>2356</v>
      </c>
      <c r="AO872" s="555">
        <f t="shared" ref="AO872:AT872" si="152">SUM(AO859:AO870)</f>
        <v>1109436</v>
      </c>
      <c r="AP872" s="555">
        <f t="shared" si="152"/>
        <v>141005</v>
      </c>
      <c r="AQ872" s="555">
        <f t="shared" si="152"/>
        <v>147513</v>
      </c>
      <c r="AR872" s="555">
        <f t="shared" si="152"/>
        <v>238449</v>
      </c>
      <c r="AS872" s="555">
        <f t="shared" si="152"/>
        <v>0</v>
      </c>
      <c r="AT872" s="555">
        <f t="shared" si="152"/>
        <v>1636403</v>
      </c>
      <c r="AU872" s="565"/>
    </row>
    <row r="873" spans="1:50" ht="15.75" customHeight="1" thickBot="1" x14ac:dyDescent="0.35">
      <c r="A873" s="645" t="s">
        <v>1509</v>
      </c>
      <c r="B873" s="555">
        <f t="shared" ref="B873:Q873" si="153">(B844/$P$10/1.983)</f>
        <v>2087.1439493761491</v>
      </c>
      <c r="C873" s="555">
        <f t="shared" si="153"/>
        <v>2084.1182307679796</v>
      </c>
      <c r="D873" s="555">
        <f t="shared" si="153"/>
        <v>2081.2063832902249</v>
      </c>
      <c r="E873" s="555">
        <f t="shared" si="153"/>
        <v>2001.3501862606345</v>
      </c>
      <c r="F873" s="555">
        <f t="shared" si="153"/>
        <v>768.33731882289771</v>
      </c>
      <c r="G873" s="555">
        <f t="shared" si="153"/>
        <v>0</v>
      </c>
      <c r="H873" s="555">
        <f t="shared" si="153"/>
        <v>746.05111187025193</v>
      </c>
      <c r="I873" s="555">
        <f t="shared" si="153"/>
        <v>292.20958794918096</v>
      </c>
      <c r="J873" s="555">
        <f t="shared" si="153"/>
        <v>281.45689977713789</v>
      </c>
      <c r="K873" s="555">
        <f t="shared" si="153"/>
        <v>270.31379630081494</v>
      </c>
      <c r="L873" s="555">
        <f t="shared" si="153"/>
        <v>199.55102240007807</v>
      </c>
      <c r="M873" s="555">
        <f t="shared" si="153"/>
        <v>199.24194361752313</v>
      </c>
      <c r="N873" s="555">
        <f t="shared" si="153"/>
        <v>184.50376588095585</v>
      </c>
      <c r="O873" s="555">
        <f t="shared" si="153"/>
        <v>18.512192344606575</v>
      </c>
      <c r="P873" s="555">
        <f t="shared" si="153"/>
        <v>66.175394075447755</v>
      </c>
      <c r="Q873" s="555">
        <f t="shared" si="153"/>
        <v>18.479657735916582</v>
      </c>
      <c r="R873" s="556"/>
    </row>
    <row r="874" spans="1:50" ht="15.75" customHeight="1" x14ac:dyDescent="0.3">
      <c r="R874" s="547"/>
      <c r="AC874" s="685"/>
      <c r="AD874" s="782" t="s">
        <v>2922</v>
      </c>
      <c r="AE874" s="785"/>
      <c r="AF874" s="785"/>
      <c r="AG874" s="785"/>
      <c r="AH874" s="785"/>
      <c r="AI874" s="785"/>
      <c r="AJ874" s="785"/>
      <c r="AK874" s="785"/>
      <c r="AL874" s="785"/>
      <c r="AM874" s="785"/>
      <c r="AN874" s="785"/>
      <c r="AO874" s="785"/>
      <c r="AP874" s="785"/>
      <c r="AQ874" s="785"/>
      <c r="AR874" s="678" t="str">
        <f>$Q$1</f>
        <v xml:space="preserve">PRINTED:  </v>
      </c>
      <c r="AS874" s="686">
        <f ca="1">$R$1</f>
        <v>44881.729634027775</v>
      </c>
    </row>
    <row r="875" spans="1:50" ht="15.75" customHeight="1" x14ac:dyDescent="0.3">
      <c r="R875" s="67"/>
      <c r="AC875" s="579"/>
      <c r="AD875" s="786" t="str">
        <f>+$A$8</f>
        <v>Revised:  5/2/2016</v>
      </c>
      <c r="AE875" s="788"/>
      <c r="AF875" s="788"/>
      <c r="AG875" s="788"/>
      <c r="AH875" s="788"/>
      <c r="AI875" s="788"/>
      <c r="AJ875" s="788"/>
      <c r="AK875" s="788"/>
      <c r="AL875" s="788"/>
      <c r="AM875" s="788"/>
      <c r="AN875" s="788"/>
      <c r="AO875" s="788"/>
      <c r="AP875" s="788"/>
      <c r="AQ875" s="788"/>
      <c r="AR875" s="139"/>
      <c r="AS875" s="561"/>
    </row>
    <row r="876" spans="1:50" ht="15.75" customHeight="1" x14ac:dyDescent="0.3">
      <c r="A876" s="139"/>
      <c r="AC876" s="579"/>
      <c r="AD876" s="786" t="s">
        <v>2878</v>
      </c>
      <c r="AE876" s="789"/>
      <c r="AF876" s="789"/>
      <c r="AG876" s="789"/>
      <c r="AH876" s="789"/>
      <c r="AI876" s="789"/>
      <c r="AJ876" s="789"/>
      <c r="AK876" s="789"/>
      <c r="AL876" s="789"/>
      <c r="AM876" s="789"/>
      <c r="AN876" s="789"/>
      <c r="AO876" s="789"/>
      <c r="AP876" s="789"/>
      <c r="AQ876" s="789"/>
      <c r="AS876" s="561"/>
    </row>
    <row r="877" spans="1:50" ht="15.75" customHeight="1" x14ac:dyDescent="0.3">
      <c r="A877" s="139"/>
      <c r="AC877" s="579"/>
      <c r="AS877" s="561"/>
    </row>
    <row r="878" spans="1:50" ht="15.75" customHeight="1" thickBot="1" x14ac:dyDescent="0.35">
      <c r="A878" s="139"/>
      <c r="AC878" s="579"/>
      <c r="AD878" s="787">
        <f>$A$5</f>
        <v>2015</v>
      </c>
      <c r="AE878" s="789"/>
      <c r="AF878" s="789"/>
      <c r="AG878" s="789"/>
      <c r="AH878" s="789"/>
      <c r="AI878" s="789"/>
      <c r="AJ878" s="789"/>
      <c r="AK878" s="789"/>
      <c r="AL878" s="789"/>
      <c r="AM878" s="789"/>
      <c r="AN878" s="789"/>
      <c r="AO878" s="789"/>
      <c r="AP878" s="789"/>
      <c r="AQ878" s="789"/>
      <c r="AS878" s="561"/>
    </row>
    <row r="879" spans="1:50" ht="15.75" customHeight="1" x14ac:dyDescent="0.3">
      <c r="A879" s="651"/>
      <c r="B879" s="782" t="s">
        <v>1198</v>
      </c>
      <c r="C879" s="782"/>
      <c r="D879" s="782"/>
      <c r="E879" s="782"/>
      <c r="F879" s="782"/>
      <c r="G879" s="782"/>
      <c r="H879" s="782"/>
      <c r="I879" s="782"/>
      <c r="J879" s="782"/>
      <c r="K879" s="782"/>
      <c r="L879" s="782"/>
      <c r="M879" s="782"/>
      <c r="N879" s="782"/>
      <c r="O879" s="782"/>
      <c r="P879" s="782"/>
      <c r="Q879" s="678" t="str">
        <f>+Q1</f>
        <v xml:space="preserve">PRINTED:  </v>
      </c>
      <c r="R879" s="679">
        <f ca="1">+R1</f>
        <v>44881.729634027775</v>
      </c>
      <c r="AC879" s="579"/>
      <c r="AD879" s="786" t="s">
        <v>2919</v>
      </c>
      <c r="AE879" s="788"/>
      <c r="AF879" s="788"/>
      <c r="AG879" s="788"/>
      <c r="AH879" s="788"/>
      <c r="AI879" s="788"/>
      <c r="AJ879" s="788"/>
      <c r="AK879" s="788"/>
      <c r="AL879" s="788"/>
      <c r="AM879" s="788"/>
      <c r="AN879" s="788"/>
      <c r="AO879" s="788"/>
      <c r="AP879" s="788"/>
      <c r="AQ879" s="788"/>
      <c r="AR879" s="70"/>
      <c r="AS879" s="561"/>
    </row>
    <row r="880" spans="1:50" ht="16.5" customHeight="1" x14ac:dyDescent="0.3">
      <c r="A880" s="553"/>
      <c r="B880" s="786" t="str">
        <f>+A8</f>
        <v>Revised:  5/2/2016</v>
      </c>
      <c r="C880" s="786"/>
      <c r="D880" s="786"/>
      <c r="E880" s="786"/>
      <c r="F880" s="786"/>
      <c r="G880" s="786"/>
      <c r="H880" s="786"/>
      <c r="I880" s="786"/>
      <c r="J880" s="786"/>
      <c r="K880" s="786"/>
      <c r="L880" s="786"/>
      <c r="M880" s="786"/>
      <c r="N880" s="786"/>
      <c r="O880" s="786"/>
      <c r="P880" s="786"/>
      <c r="Q880" s="67"/>
      <c r="R880" s="552"/>
      <c r="AC880" s="579"/>
      <c r="AK880" s="670"/>
      <c r="AS880" s="561"/>
    </row>
    <row r="881" spans="1:45" ht="15.75" customHeight="1" thickBot="1" x14ac:dyDescent="0.35">
      <c r="A881" s="553"/>
      <c r="B881" s="786" t="s">
        <v>2878</v>
      </c>
      <c r="C881" s="786"/>
      <c r="D881" s="786"/>
      <c r="E881" s="786"/>
      <c r="F881" s="786"/>
      <c r="G881" s="786"/>
      <c r="H881" s="786"/>
      <c r="I881" s="786"/>
      <c r="J881" s="786"/>
      <c r="K881" s="786"/>
      <c r="L881" s="786"/>
      <c r="M881" s="786"/>
      <c r="N881" s="786"/>
      <c r="O881" s="786"/>
      <c r="P881" s="786"/>
      <c r="Q881" s="67"/>
      <c r="R881" s="552"/>
      <c r="AC881" s="579"/>
      <c r="AD881" s="634" t="s">
        <v>1308</v>
      </c>
      <c r="AE881" s="634" t="s">
        <v>1309</v>
      </c>
      <c r="AF881" s="634" t="s">
        <v>1029</v>
      </c>
      <c r="AG881" s="634" t="s">
        <v>1030</v>
      </c>
      <c r="AH881" s="634" t="s">
        <v>284</v>
      </c>
      <c r="AI881" s="634" t="s">
        <v>285</v>
      </c>
      <c r="AJ881" s="634" t="s">
        <v>286</v>
      </c>
      <c r="AK881" s="634" t="s">
        <v>287</v>
      </c>
      <c r="AL881" s="634" t="s">
        <v>288</v>
      </c>
      <c r="AM881" s="634" t="s">
        <v>289</v>
      </c>
      <c r="AN881" s="634" t="s">
        <v>633</v>
      </c>
      <c r="AO881" s="634" t="s">
        <v>634</v>
      </c>
      <c r="AP881" s="634" t="s">
        <v>1192</v>
      </c>
      <c r="AQ881" s="634" t="s">
        <v>524</v>
      </c>
      <c r="AR881" s="634" t="s">
        <v>525</v>
      </c>
      <c r="AS881" s="684" t="s">
        <v>2356</v>
      </c>
    </row>
    <row r="882" spans="1:45" ht="15.75" customHeight="1" x14ac:dyDescent="0.3">
      <c r="A882" s="553"/>
      <c r="B882" s="67"/>
      <c r="C882" s="67"/>
      <c r="D882" s="67"/>
      <c r="E882" s="67"/>
      <c r="F882" s="67"/>
      <c r="G882" s="67"/>
      <c r="H882" s="67"/>
      <c r="I882" s="67"/>
      <c r="J882" s="67"/>
      <c r="K882" s="67"/>
      <c r="L882" s="67"/>
      <c r="M882" s="67"/>
      <c r="N882" s="67"/>
      <c r="O882" s="67"/>
      <c r="P882" s="67"/>
      <c r="Q882" s="67"/>
      <c r="R882" s="552"/>
      <c r="AC882" s="579"/>
      <c r="AD882" s="67"/>
      <c r="AE882" s="67"/>
      <c r="AF882" s="67"/>
      <c r="AG882" s="67"/>
      <c r="AH882" s="70" t="s">
        <v>2910</v>
      </c>
      <c r="AI882" s="67"/>
      <c r="AJ882" s="67"/>
      <c r="AK882" s="67"/>
      <c r="AL882" s="67"/>
      <c r="AM882" s="67"/>
      <c r="AN882" s="67"/>
      <c r="AO882" s="67"/>
      <c r="AP882" s="67"/>
      <c r="AQ882" s="67"/>
      <c r="AR882" s="67"/>
      <c r="AS882" s="636"/>
    </row>
    <row r="883" spans="1:45" ht="15.75" customHeight="1" x14ac:dyDescent="0.3">
      <c r="A883" s="553"/>
      <c r="B883" s="787">
        <f>A5</f>
        <v>2015</v>
      </c>
      <c r="C883" s="787"/>
      <c r="D883" s="787"/>
      <c r="E883" s="787"/>
      <c r="F883" s="787"/>
      <c r="G883" s="787"/>
      <c r="H883" s="787"/>
      <c r="I883" s="787"/>
      <c r="J883" s="787"/>
      <c r="K883" s="787"/>
      <c r="L883" s="787"/>
      <c r="M883" s="787"/>
      <c r="N883" s="787"/>
      <c r="O883" s="787"/>
      <c r="P883" s="787"/>
      <c r="Q883" s="67"/>
      <c r="R883" s="552"/>
      <c r="S883" s="67"/>
      <c r="AC883" s="642" t="s">
        <v>3040</v>
      </c>
      <c r="AD883" s="687">
        <f>0.009+0.005</f>
        <v>1.3999999999999999E-2</v>
      </c>
      <c r="AE883" s="687">
        <f>0.009+0.005</f>
        <v>1.3999999999999999E-2</v>
      </c>
      <c r="AF883" s="687">
        <f>0.009+0.005</f>
        <v>1.3999999999999999E-2</v>
      </c>
      <c r="AG883" s="687">
        <f>0.009+0.005</f>
        <v>1.3999999999999999E-2</v>
      </c>
      <c r="AH883" s="687"/>
      <c r="AI883" s="687"/>
      <c r="AJ883" s="687"/>
      <c r="AK883" s="687"/>
      <c r="AL883" s="687"/>
      <c r="AM883" s="687"/>
      <c r="AN883" s="687"/>
      <c r="AO883" s="687"/>
      <c r="AP883" s="687"/>
      <c r="AQ883" s="687"/>
      <c r="AR883" s="687"/>
      <c r="AS883" s="592"/>
    </row>
    <row r="884" spans="1:45" ht="15.75" customHeight="1" x14ac:dyDescent="0.3">
      <c r="A884" s="553"/>
      <c r="B884" s="786" t="s">
        <v>2919</v>
      </c>
      <c r="C884" s="786"/>
      <c r="D884" s="786"/>
      <c r="E884" s="786"/>
      <c r="F884" s="786"/>
      <c r="G884" s="786"/>
      <c r="H884" s="786"/>
      <c r="I884" s="786"/>
      <c r="J884" s="786"/>
      <c r="K884" s="786"/>
      <c r="L884" s="786"/>
      <c r="M884" s="786"/>
      <c r="N884" s="786"/>
      <c r="O884" s="786"/>
      <c r="P884" s="786"/>
      <c r="Q884" s="67"/>
      <c r="R884" s="552"/>
      <c r="S884" s="67"/>
      <c r="AC884" s="642" t="s">
        <v>2908</v>
      </c>
      <c r="AD884" s="687"/>
      <c r="AE884" s="687">
        <v>0.03</v>
      </c>
      <c r="AF884" s="687"/>
      <c r="AG884" s="687"/>
      <c r="AH884" s="687"/>
      <c r="AI884" s="687"/>
      <c r="AJ884" s="687"/>
      <c r="AK884" s="687"/>
      <c r="AL884" s="687"/>
      <c r="AM884" s="687">
        <v>0.03</v>
      </c>
      <c r="AN884" s="687">
        <v>0.03</v>
      </c>
      <c r="AO884" s="687">
        <v>0.03</v>
      </c>
      <c r="AP884" s="687">
        <v>0.03</v>
      </c>
      <c r="AQ884" s="687">
        <v>0.03</v>
      </c>
      <c r="AR884" s="687">
        <v>0.03</v>
      </c>
      <c r="AS884" s="592"/>
    </row>
    <row r="885" spans="1:45" ht="15.75" customHeight="1" x14ac:dyDescent="0.3">
      <c r="A885" s="553"/>
      <c r="B885" s="67"/>
      <c r="C885" s="67"/>
      <c r="D885" s="67"/>
      <c r="E885" s="67"/>
      <c r="F885" s="67"/>
      <c r="G885" s="67"/>
      <c r="H885" s="67"/>
      <c r="I885" s="67"/>
      <c r="J885" s="67"/>
      <c r="K885" s="67"/>
      <c r="L885" s="67"/>
      <c r="M885" s="67"/>
      <c r="N885" s="67"/>
      <c r="O885" s="67"/>
      <c r="P885" s="67"/>
      <c r="Q885" s="67"/>
      <c r="R885" s="552"/>
      <c r="S885" s="67"/>
      <c r="AC885" s="642" t="s">
        <v>2909</v>
      </c>
      <c r="AD885" s="687"/>
      <c r="AE885" s="687"/>
      <c r="AF885" s="687">
        <v>0.03</v>
      </c>
      <c r="AG885" s="687">
        <v>0.03</v>
      </c>
      <c r="AH885" s="687"/>
      <c r="AI885" s="687"/>
      <c r="AJ885" s="687"/>
      <c r="AK885" s="687"/>
      <c r="AL885" s="687"/>
      <c r="AM885" s="687"/>
      <c r="AN885" s="687"/>
      <c r="AO885" s="687"/>
      <c r="AP885" s="687"/>
      <c r="AQ885" s="687"/>
      <c r="AR885" s="687"/>
      <c r="AS885" s="592"/>
    </row>
    <row r="886" spans="1:45" ht="15.75" customHeight="1" thickBot="1" x14ac:dyDescent="0.35">
      <c r="A886" s="553" t="s">
        <v>845</v>
      </c>
      <c r="B886" s="634" t="s">
        <v>1308</v>
      </c>
      <c r="C886" s="634" t="s">
        <v>1309</v>
      </c>
      <c r="D886" s="634" t="s">
        <v>1029</v>
      </c>
      <c r="E886" s="634" t="s">
        <v>1030</v>
      </c>
      <c r="F886" s="634" t="s">
        <v>284</v>
      </c>
      <c r="G886" s="634" t="s">
        <v>284</v>
      </c>
      <c r="H886" s="634" t="s">
        <v>285</v>
      </c>
      <c r="I886" s="634" t="s">
        <v>286</v>
      </c>
      <c r="J886" s="634" t="s">
        <v>287</v>
      </c>
      <c r="K886" s="634" t="s">
        <v>288</v>
      </c>
      <c r="L886" s="634" t="s">
        <v>289</v>
      </c>
      <c r="M886" s="634" t="s">
        <v>633</v>
      </c>
      <c r="N886" s="634" t="s">
        <v>634</v>
      </c>
      <c r="O886" s="634" t="s">
        <v>1192</v>
      </c>
      <c r="P886" s="634" t="s">
        <v>524</v>
      </c>
      <c r="Q886" s="634" t="s">
        <v>525</v>
      </c>
      <c r="R886" s="684" t="s">
        <v>2356</v>
      </c>
      <c r="S886" s="70"/>
      <c r="AC886" s="642" t="s">
        <v>2760</v>
      </c>
      <c r="AD886" s="687"/>
      <c r="AE886" s="687"/>
      <c r="AF886" s="687"/>
      <c r="AG886" s="687"/>
      <c r="AH886" s="687"/>
      <c r="AI886" s="687">
        <v>0.03</v>
      </c>
      <c r="AJ886" s="687"/>
      <c r="AK886" s="687"/>
      <c r="AL886" s="687"/>
      <c r="AM886" s="687"/>
      <c r="AN886" s="687"/>
      <c r="AO886" s="687"/>
      <c r="AP886" s="687"/>
      <c r="AQ886" s="687"/>
      <c r="AR886" s="687"/>
      <c r="AS886" s="592"/>
    </row>
    <row r="887" spans="1:45" ht="15.75" customHeight="1" x14ac:dyDescent="0.3">
      <c r="A887" s="553"/>
      <c r="B887" s="67"/>
      <c r="C887" s="67"/>
      <c r="D887" s="67"/>
      <c r="E887" s="67"/>
      <c r="F887" s="70" t="s">
        <v>1193</v>
      </c>
      <c r="G887" s="70" t="s">
        <v>1194</v>
      </c>
      <c r="H887" s="67"/>
      <c r="I887" s="67"/>
      <c r="J887" s="67"/>
      <c r="K887" s="67"/>
      <c r="L887" s="67"/>
      <c r="M887" s="67"/>
      <c r="N887" s="67"/>
      <c r="O887" s="67"/>
      <c r="P887" s="67"/>
      <c r="Q887" s="67"/>
      <c r="R887" s="592" t="s">
        <v>1236</v>
      </c>
      <c r="S887" s="70"/>
      <c r="AC887" s="642" t="s">
        <v>2634</v>
      </c>
      <c r="AD887" s="687">
        <v>0.03</v>
      </c>
      <c r="AE887" s="687"/>
      <c r="AF887" s="687"/>
      <c r="AG887" s="687"/>
      <c r="AH887" s="687"/>
      <c r="AI887" s="687"/>
      <c r="AJ887" s="687">
        <v>0.03</v>
      </c>
      <c r="AK887" s="687">
        <v>0.03</v>
      </c>
      <c r="AL887" s="687">
        <v>0.03</v>
      </c>
      <c r="AM887" s="687"/>
      <c r="AN887" s="687"/>
      <c r="AO887" s="687"/>
      <c r="AP887" s="687"/>
      <c r="AQ887" s="687"/>
      <c r="AR887" s="687"/>
      <c r="AS887" s="592"/>
    </row>
    <row r="888" spans="1:45" ht="15.75" customHeight="1" x14ac:dyDescent="0.3">
      <c r="A888" s="553" t="s">
        <v>2917</v>
      </c>
      <c r="B888" s="677">
        <v>957</v>
      </c>
      <c r="C888" s="677">
        <v>122</v>
      </c>
      <c r="D888" s="677">
        <v>128</v>
      </c>
      <c r="E888" s="677">
        <v>219</v>
      </c>
      <c r="F888" s="677"/>
      <c r="G888" s="677"/>
      <c r="H888" s="677">
        <v>97</v>
      </c>
      <c r="I888" s="677">
        <v>160</v>
      </c>
      <c r="J888" s="677">
        <v>250</v>
      </c>
      <c r="K888" s="677">
        <v>260</v>
      </c>
      <c r="L888" s="677">
        <v>100</v>
      </c>
      <c r="M888" s="677">
        <v>118</v>
      </c>
      <c r="N888" s="677">
        <v>250</v>
      </c>
      <c r="O888" s="677">
        <v>190</v>
      </c>
      <c r="P888" s="677">
        <v>340</v>
      </c>
      <c r="Q888" s="677">
        <v>450</v>
      </c>
      <c r="R888" s="592" t="s">
        <v>335</v>
      </c>
      <c r="S888" s="70"/>
      <c r="AC888" s="642" t="s">
        <v>2356</v>
      </c>
      <c r="AD888" s="217">
        <f>SUM(AD883:AD887)</f>
        <v>4.3999999999999997E-2</v>
      </c>
      <c r="AE888" s="217">
        <f t="shared" ref="AE888:AR888" si="154">SUM(AE883:AE887)</f>
        <v>4.3999999999999997E-2</v>
      </c>
      <c r="AF888" s="217">
        <f t="shared" si="154"/>
        <v>4.3999999999999997E-2</v>
      </c>
      <c r="AG888" s="217">
        <f t="shared" si="154"/>
        <v>4.3999999999999997E-2</v>
      </c>
      <c r="AH888" s="217">
        <f t="shared" si="154"/>
        <v>0</v>
      </c>
      <c r="AI888" s="217">
        <f t="shared" si="154"/>
        <v>0.03</v>
      </c>
      <c r="AJ888" s="217">
        <f t="shared" si="154"/>
        <v>0.03</v>
      </c>
      <c r="AK888" s="217">
        <f t="shared" si="154"/>
        <v>0.03</v>
      </c>
      <c r="AL888" s="217">
        <f t="shared" si="154"/>
        <v>0.03</v>
      </c>
      <c r="AM888" s="217">
        <f t="shared" si="154"/>
        <v>0.03</v>
      </c>
      <c r="AN888" s="217">
        <f t="shared" si="154"/>
        <v>0.03</v>
      </c>
      <c r="AO888" s="217">
        <f t="shared" si="154"/>
        <v>0.03</v>
      </c>
      <c r="AP888" s="217">
        <f t="shared" si="154"/>
        <v>0.03</v>
      </c>
      <c r="AQ888" s="217">
        <f t="shared" si="154"/>
        <v>0.03</v>
      </c>
      <c r="AR888" s="217">
        <f t="shared" si="154"/>
        <v>0.03</v>
      </c>
      <c r="AS888" s="592"/>
    </row>
    <row r="889" spans="1:45" ht="15.75" customHeight="1" x14ac:dyDescent="0.3">
      <c r="A889" s="553"/>
      <c r="B889" s="70" t="s">
        <v>1353</v>
      </c>
      <c r="C889" s="70" t="s">
        <v>1353</v>
      </c>
      <c r="D889" s="70" t="s">
        <v>1353</v>
      </c>
      <c r="E889" s="70" t="s">
        <v>1353</v>
      </c>
      <c r="F889" s="70" t="s">
        <v>1353</v>
      </c>
      <c r="G889" s="70" t="s">
        <v>1353</v>
      </c>
      <c r="H889" s="70" t="s">
        <v>1353</v>
      </c>
      <c r="I889" s="70" t="s">
        <v>1353</v>
      </c>
      <c r="J889" s="70" t="s">
        <v>1353</v>
      </c>
      <c r="K889" s="70" t="s">
        <v>1353</v>
      </c>
      <c r="L889" s="70" t="s">
        <v>1353</v>
      </c>
      <c r="M889" s="70" t="s">
        <v>1353</v>
      </c>
      <c r="N889" s="70" t="s">
        <v>1353</v>
      </c>
      <c r="O889" s="70" t="s">
        <v>1353</v>
      </c>
      <c r="P889" s="70" t="s">
        <v>1353</v>
      </c>
      <c r="Q889" s="70" t="s">
        <v>1353</v>
      </c>
      <c r="R889" s="592" t="s">
        <v>251</v>
      </c>
      <c r="S889" s="70"/>
      <c r="T889" s="70"/>
      <c r="AC889" s="553" t="s">
        <v>1353</v>
      </c>
      <c r="AD889" s="70" t="s">
        <v>1353</v>
      </c>
      <c r="AE889" s="70" t="s">
        <v>1353</v>
      </c>
      <c r="AF889" s="70" t="s">
        <v>1353</v>
      </c>
      <c r="AG889" s="70" t="s">
        <v>1353</v>
      </c>
      <c r="AH889" s="70" t="s">
        <v>1353</v>
      </c>
      <c r="AI889" s="70" t="s">
        <v>1353</v>
      </c>
      <c r="AJ889" s="70" t="s">
        <v>1353</v>
      </c>
      <c r="AK889" s="70" t="s">
        <v>1353</v>
      </c>
      <c r="AL889" s="70" t="s">
        <v>1353</v>
      </c>
      <c r="AM889" s="70" t="s">
        <v>1353</v>
      </c>
      <c r="AN889" s="70" t="s">
        <v>1353</v>
      </c>
      <c r="AO889" s="70" t="s">
        <v>1353</v>
      </c>
      <c r="AP889" s="70" t="s">
        <v>1353</v>
      </c>
      <c r="AQ889" s="70" t="s">
        <v>1353</v>
      </c>
      <c r="AR889" s="70" t="s">
        <v>1353</v>
      </c>
      <c r="AS889" s="592" t="s">
        <v>1353</v>
      </c>
    </row>
    <row r="890" spans="1:45" ht="15.75" customHeight="1" x14ac:dyDescent="0.3">
      <c r="A890" s="139" t="s">
        <v>2843</v>
      </c>
      <c r="B890" s="67">
        <f>ROUND((B833*$B$888)/1000,0)</f>
        <v>167611</v>
      </c>
      <c r="C890" s="67">
        <f t="shared" ref="C890:C901" si="155">ROUND((C833*$C$888)/1000,0)</f>
        <v>21355</v>
      </c>
      <c r="D890" s="67">
        <f t="shared" ref="D890:D901" si="156">ROUND((D833*$D$888)/1000,0)</f>
        <v>22393</v>
      </c>
      <c r="E890" s="67">
        <f t="shared" ref="E890:E901" si="157">ROUND((E833*$E$888)/1000,0)</f>
        <v>38066</v>
      </c>
      <c r="F890" s="67">
        <f>(F833*((T833-1526.8)/0.7702))/1000</f>
        <v>24826.119839002848</v>
      </c>
      <c r="G890" s="67">
        <f t="shared" ref="G890:G901" si="158">(G833*((T833-1591.4)/0.6635))/1000</f>
        <v>0</v>
      </c>
      <c r="H890" s="67">
        <f t="shared" ref="H890:H901" si="159">ROUND((H833*$H$888)/1000,0)</f>
        <v>3824</v>
      </c>
      <c r="I890" s="67">
        <f t="shared" ref="I890:I901" si="160">ROUND((I833*$I$888)/1000,0)</f>
        <v>2726</v>
      </c>
      <c r="J890" s="67">
        <f t="shared" ref="J890:J901" si="161">ROUND((J833*$J$888)/1000,0)</f>
        <v>4002</v>
      </c>
      <c r="K890" s="67">
        <f t="shared" ref="K890:K901" si="162">ROUND((K833*$K$888)/1000,0)</f>
        <v>3917</v>
      </c>
      <c r="L890" s="67">
        <f t="shared" ref="L890:L901" si="163">ROUND((L833*$L$888)/1000,0)</f>
        <v>1440</v>
      </c>
      <c r="M890" s="67">
        <f t="shared" ref="M890:M901" si="164">ROUND((M833*$M$888)/1000,0)</f>
        <v>1697</v>
      </c>
      <c r="N890" s="67">
        <f t="shared" ref="N890:N901" si="165">ROUND((N833*$N$888)/1000,0)</f>
        <v>3565</v>
      </c>
      <c r="O890" s="67">
        <f t="shared" ref="O890:O901" si="166">ROUND((O833*$O$888)/1000,0)</f>
        <v>222</v>
      </c>
      <c r="P890" s="67">
        <f t="shared" ref="P890:P901" si="167">ROUND((P833*$P$888)/1000,0)</f>
        <v>668</v>
      </c>
      <c r="Q890" s="67">
        <f t="shared" ref="Q890:Q901" si="168">ROUND((Q833*$Q$888)/1000,0)</f>
        <v>524</v>
      </c>
      <c r="R890" s="638">
        <f>(SUM(B890:Q890))</f>
        <v>296836.11983900284</v>
      </c>
      <c r="S890" s="73"/>
      <c r="AC890" s="642" t="s">
        <v>2843</v>
      </c>
      <c r="AD890" s="67">
        <f>ROUND(B890*$AD$888, 0)</f>
        <v>7375</v>
      </c>
      <c r="AE890" s="67">
        <f>ROUND(C890*$AE$888,0)</f>
        <v>940</v>
      </c>
      <c r="AF890" s="67">
        <f>ROUND(D890*$AF$888,0)</f>
        <v>985</v>
      </c>
      <c r="AG890" s="67">
        <f>ROUND(E890*$AG$888,0)</f>
        <v>1675</v>
      </c>
      <c r="AH890" s="67">
        <f>ROUND(F890*$AH$888,0)</f>
        <v>0</v>
      </c>
      <c r="AI890" s="67">
        <f>ROUND(H890*$AI$888,0)</f>
        <v>115</v>
      </c>
      <c r="AJ890" s="67">
        <f>ROUND(I890*$AJ$888,0)</f>
        <v>82</v>
      </c>
      <c r="AK890" s="67">
        <f>ROUND(J890*$AK$888,0)</f>
        <v>120</v>
      </c>
      <c r="AL890" s="67">
        <f>ROUND(K890*$AL$888,0)</f>
        <v>118</v>
      </c>
      <c r="AM890" s="67">
        <f>ROUND(L890*$AM$888,0)</f>
        <v>43</v>
      </c>
      <c r="AN890" s="67">
        <f>ROUND(M890*$AN$888,0)</f>
        <v>51</v>
      </c>
      <c r="AO890" s="67">
        <f>ROUND(N890*$AO$888,0)</f>
        <v>107</v>
      </c>
      <c r="AP890" s="67">
        <f>ROUND(O890*$AP$888,0)</f>
        <v>7</v>
      </c>
      <c r="AQ890" s="67">
        <f>ROUND(P890*$AQ$888,0)</f>
        <v>20</v>
      </c>
      <c r="AR890" s="67">
        <f>ROUND(Q890*$AR$888,0)</f>
        <v>16</v>
      </c>
      <c r="AS890" s="636">
        <f>SUM(AD890:AR890)</f>
        <v>11654</v>
      </c>
    </row>
    <row r="891" spans="1:45" ht="15.75" customHeight="1" x14ac:dyDescent="0.3">
      <c r="A891" s="139" t="s">
        <v>2091</v>
      </c>
      <c r="B891" s="67">
        <f t="shared" ref="B891:B901" si="169">ROUND((B834*$B$888)/1000,0)</f>
        <v>104345</v>
      </c>
      <c r="C891" s="67">
        <f t="shared" si="155"/>
        <v>13284</v>
      </c>
      <c r="D891" s="67">
        <f t="shared" si="156"/>
        <v>13919</v>
      </c>
      <c r="E891" s="67">
        <f t="shared" si="157"/>
        <v>23478</v>
      </c>
      <c r="F891" s="67">
        <f t="shared" ref="F891:F901" si="170">(F834*((T834-1526.8)/0.7702))/1000</f>
        <v>5297.9657231887804</v>
      </c>
      <c r="G891" s="67">
        <f t="shared" si="158"/>
        <v>-39.672042200452069</v>
      </c>
      <c r="H891" s="67">
        <f t="shared" si="159"/>
        <v>5232</v>
      </c>
      <c r="I891" s="67">
        <f t="shared" si="160"/>
        <v>3996</v>
      </c>
      <c r="J891" s="67">
        <f t="shared" si="161"/>
        <v>5682</v>
      </c>
      <c r="K891" s="67">
        <f t="shared" si="162"/>
        <v>5636</v>
      </c>
      <c r="L891" s="67">
        <f t="shared" si="163"/>
        <v>1755</v>
      </c>
      <c r="M891" s="67">
        <f t="shared" si="164"/>
        <v>2068</v>
      </c>
      <c r="N891" s="67">
        <f t="shared" si="165"/>
        <v>4141</v>
      </c>
      <c r="O891" s="67">
        <f t="shared" si="166"/>
        <v>714</v>
      </c>
      <c r="P891" s="67">
        <f t="shared" si="167"/>
        <v>1264</v>
      </c>
      <c r="Q891" s="67">
        <f t="shared" si="168"/>
        <v>1689</v>
      </c>
      <c r="R891" s="638">
        <f t="shared" ref="R891:R901" si="171">(SUM(B891:Q891))</f>
        <v>192461.29368098831</v>
      </c>
      <c r="S891" s="73"/>
      <c r="AC891" s="642" t="s">
        <v>2091</v>
      </c>
      <c r="AD891" s="67">
        <f t="shared" ref="AD891:AD901" si="172">ROUND(B891*$AD$888, 0)</f>
        <v>4591</v>
      </c>
      <c r="AE891" s="67">
        <f t="shared" ref="AE891:AE901" si="173">ROUND(C891*$AE$888,0)</f>
        <v>584</v>
      </c>
      <c r="AF891" s="67">
        <f t="shared" ref="AF891:AF901" si="174">ROUND(D891*$AF$888,0)</f>
        <v>612</v>
      </c>
      <c r="AG891" s="67">
        <f t="shared" ref="AG891:AG901" si="175">ROUND(E891*$AG$888,0)</f>
        <v>1033</v>
      </c>
      <c r="AH891" s="67">
        <f t="shared" ref="AH891:AH901" si="176">ROUND(F891*$AH$888,0)</f>
        <v>0</v>
      </c>
      <c r="AI891" s="67">
        <f t="shared" ref="AI891:AI901" si="177">ROUND(H891*$AI$888,0)</f>
        <v>157</v>
      </c>
      <c r="AJ891" s="67">
        <f t="shared" ref="AJ891:AJ901" si="178">ROUND(I891*$AJ$888,0)</f>
        <v>120</v>
      </c>
      <c r="AK891" s="67">
        <f t="shared" ref="AK891:AK901" si="179">ROUND(J891*$AK$888,0)</f>
        <v>170</v>
      </c>
      <c r="AL891" s="67">
        <f t="shared" ref="AL891:AL901" si="180">ROUND(K891*$AL$888,0)</f>
        <v>169</v>
      </c>
      <c r="AM891" s="67">
        <f t="shared" ref="AM891:AM901" si="181">ROUND(L891*$AM$888,0)</f>
        <v>53</v>
      </c>
      <c r="AN891" s="67">
        <f t="shared" ref="AN891:AN901" si="182">ROUND(M891*$AN$888,0)</f>
        <v>62</v>
      </c>
      <c r="AO891" s="67">
        <f t="shared" ref="AO891:AO901" si="183">ROUND(N891*$AO$888,0)</f>
        <v>124</v>
      </c>
      <c r="AP891" s="67">
        <f t="shared" ref="AP891:AP901" si="184">ROUND(O891*$AP$888,0)</f>
        <v>21</v>
      </c>
      <c r="AQ891" s="67">
        <f t="shared" ref="AQ891:AQ901" si="185">ROUND(P891*$AQ$888,0)</f>
        <v>38</v>
      </c>
      <c r="AR891" s="67">
        <f t="shared" ref="AR891:AR901" si="186">ROUND(Q891*$AR$888,0)</f>
        <v>51</v>
      </c>
      <c r="AS891" s="636">
        <f t="shared" ref="AS891:AS901" si="187">SUM(AD891:AR891)</f>
        <v>7785</v>
      </c>
    </row>
    <row r="892" spans="1:45" ht="15.75" customHeight="1" x14ac:dyDescent="0.3">
      <c r="A892" s="139" t="s">
        <v>2234</v>
      </c>
      <c r="B892" s="67">
        <f t="shared" si="169"/>
        <v>138536</v>
      </c>
      <c r="C892" s="67">
        <f t="shared" si="155"/>
        <v>17627</v>
      </c>
      <c r="D892" s="67">
        <f t="shared" si="156"/>
        <v>18461</v>
      </c>
      <c r="E892" s="67">
        <f t="shared" si="157"/>
        <v>30690</v>
      </c>
      <c r="F892" s="67">
        <f t="shared" si="170"/>
        <v>2603.4201678707659</v>
      </c>
      <c r="G892" s="67">
        <f t="shared" si="158"/>
        <v>-991.47371142325903</v>
      </c>
      <c r="H892" s="67">
        <f t="shared" si="159"/>
        <v>9483</v>
      </c>
      <c r="I892" s="67">
        <f t="shared" si="160"/>
        <v>5339</v>
      </c>
      <c r="J892" s="67">
        <f t="shared" si="161"/>
        <v>6906</v>
      </c>
      <c r="K892" s="67">
        <f t="shared" si="162"/>
        <v>6173</v>
      </c>
      <c r="L892" s="67">
        <f t="shared" si="163"/>
        <v>2088</v>
      </c>
      <c r="M892" s="67">
        <f t="shared" si="164"/>
        <v>2460</v>
      </c>
      <c r="N892" s="67">
        <f t="shared" si="165"/>
        <v>4814</v>
      </c>
      <c r="O892" s="67">
        <f t="shared" si="166"/>
        <v>803</v>
      </c>
      <c r="P892" s="67">
        <f t="shared" si="167"/>
        <v>1769</v>
      </c>
      <c r="Q892" s="67">
        <f t="shared" si="168"/>
        <v>1876</v>
      </c>
      <c r="R892" s="638">
        <f t="shared" si="171"/>
        <v>248636.94645644751</v>
      </c>
      <c r="S892" s="73"/>
      <c r="AC892" s="642" t="s">
        <v>2234</v>
      </c>
      <c r="AD892" s="67">
        <f t="shared" si="172"/>
        <v>6096</v>
      </c>
      <c r="AE892" s="67">
        <f t="shared" si="173"/>
        <v>776</v>
      </c>
      <c r="AF892" s="67">
        <f t="shared" si="174"/>
        <v>812</v>
      </c>
      <c r="AG892" s="67">
        <f t="shared" si="175"/>
        <v>1350</v>
      </c>
      <c r="AH892" s="67">
        <f t="shared" si="176"/>
        <v>0</v>
      </c>
      <c r="AI892" s="67">
        <f t="shared" si="177"/>
        <v>284</v>
      </c>
      <c r="AJ892" s="67">
        <f t="shared" si="178"/>
        <v>160</v>
      </c>
      <c r="AK892" s="67">
        <f t="shared" si="179"/>
        <v>207</v>
      </c>
      <c r="AL892" s="67">
        <f t="shared" si="180"/>
        <v>185</v>
      </c>
      <c r="AM892" s="67">
        <f t="shared" si="181"/>
        <v>63</v>
      </c>
      <c r="AN892" s="67">
        <f t="shared" si="182"/>
        <v>74</v>
      </c>
      <c r="AO892" s="67">
        <f t="shared" si="183"/>
        <v>144</v>
      </c>
      <c r="AP892" s="67">
        <f t="shared" si="184"/>
        <v>24</v>
      </c>
      <c r="AQ892" s="67">
        <f t="shared" si="185"/>
        <v>53</v>
      </c>
      <c r="AR892" s="67">
        <f t="shared" si="186"/>
        <v>56</v>
      </c>
      <c r="AS892" s="636">
        <f t="shared" si="187"/>
        <v>10284</v>
      </c>
    </row>
    <row r="893" spans="1:45" ht="15.75" customHeight="1" x14ac:dyDescent="0.3">
      <c r="A893" s="139" t="s">
        <v>2235</v>
      </c>
      <c r="B893" s="67">
        <f t="shared" si="169"/>
        <v>148695</v>
      </c>
      <c r="C893" s="67">
        <f t="shared" si="155"/>
        <v>18911</v>
      </c>
      <c r="D893" s="67">
        <f t="shared" si="156"/>
        <v>19796</v>
      </c>
      <c r="E893" s="67">
        <f t="shared" si="157"/>
        <v>32323</v>
      </c>
      <c r="F893" s="67">
        <f t="shared" si="170"/>
        <v>235.59800051934593</v>
      </c>
      <c r="G893" s="67">
        <f t="shared" si="158"/>
        <v>-5559.8033911077664</v>
      </c>
      <c r="H893" s="67">
        <f t="shared" si="159"/>
        <v>13051</v>
      </c>
      <c r="I893" s="67">
        <f t="shared" si="160"/>
        <v>7062</v>
      </c>
      <c r="J893" s="67">
        <f t="shared" si="161"/>
        <v>8518</v>
      </c>
      <c r="K893" s="67">
        <f t="shared" si="162"/>
        <v>7034</v>
      </c>
      <c r="L893" s="67">
        <f t="shared" si="163"/>
        <v>2067</v>
      </c>
      <c r="M893" s="67">
        <f t="shared" si="164"/>
        <v>2434</v>
      </c>
      <c r="N893" s="67">
        <f t="shared" si="165"/>
        <v>4968</v>
      </c>
      <c r="O893" s="67">
        <f t="shared" si="166"/>
        <v>775</v>
      </c>
      <c r="P893" s="67">
        <f t="shared" si="167"/>
        <v>2030</v>
      </c>
      <c r="Q893" s="67">
        <f t="shared" si="168"/>
        <v>1832</v>
      </c>
      <c r="R893" s="638">
        <f t="shared" si="171"/>
        <v>264171.79460941162</v>
      </c>
      <c r="S893" s="73"/>
      <c r="AC893" s="642" t="s">
        <v>2235</v>
      </c>
      <c r="AD893" s="67">
        <f t="shared" si="172"/>
        <v>6543</v>
      </c>
      <c r="AE893" s="67">
        <f t="shared" si="173"/>
        <v>832</v>
      </c>
      <c r="AF893" s="67">
        <f t="shared" si="174"/>
        <v>871</v>
      </c>
      <c r="AG893" s="67">
        <f t="shared" si="175"/>
        <v>1422</v>
      </c>
      <c r="AH893" s="67">
        <f t="shared" si="176"/>
        <v>0</v>
      </c>
      <c r="AI893" s="67">
        <f t="shared" si="177"/>
        <v>392</v>
      </c>
      <c r="AJ893" s="67">
        <f t="shared" si="178"/>
        <v>212</v>
      </c>
      <c r="AK893" s="67">
        <f t="shared" si="179"/>
        <v>256</v>
      </c>
      <c r="AL893" s="67">
        <f t="shared" si="180"/>
        <v>211</v>
      </c>
      <c r="AM893" s="67">
        <f t="shared" si="181"/>
        <v>62</v>
      </c>
      <c r="AN893" s="67">
        <f t="shared" si="182"/>
        <v>73</v>
      </c>
      <c r="AO893" s="67">
        <f t="shared" si="183"/>
        <v>149</v>
      </c>
      <c r="AP893" s="67">
        <f t="shared" si="184"/>
        <v>23</v>
      </c>
      <c r="AQ893" s="67">
        <f t="shared" si="185"/>
        <v>61</v>
      </c>
      <c r="AR893" s="67">
        <f t="shared" si="186"/>
        <v>55</v>
      </c>
      <c r="AS893" s="636">
        <f t="shared" si="187"/>
        <v>11162</v>
      </c>
    </row>
    <row r="894" spans="1:45" ht="15.75" customHeight="1" x14ac:dyDescent="0.3">
      <c r="A894" s="139" t="s">
        <v>2236</v>
      </c>
      <c r="B894" s="67">
        <f t="shared" si="169"/>
        <v>168855</v>
      </c>
      <c r="C894" s="67">
        <f t="shared" si="155"/>
        <v>21474</v>
      </c>
      <c r="D894" s="67">
        <f t="shared" si="156"/>
        <v>22479</v>
      </c>
      <c r="E894" s="67">
        <f t="shared" si="157"/>
        <v>37153</v>
      </c>
      <c r="F894" s="67">
        <f t="shared" si="170"/>
        <v>8132.1433913269257</v>
      </c>
      <c r="G894" s="67">
        <f t="shared" si="158"/>
        <v>-556.20099472494246</v>
      </c>
      <c r="H894" s="67">
        <f t="shared" si="159"/>
        <v>9840</v>
      </c>
      <c r="I894" s="67">
        <f t="shared" si="160"/>
        <v>4674</v>
      </c>
      <c r="J894" s="67">
        <f t="shared" si="161"/>
        <v>6601</v>
      </c>
      <c r="K894" s="67">
        <f t="shared" si="162"/>
        <v>6157</v>
      </c>
      <c r="L894" s="67">
        <f t="shared" si="163"/>
        <v>2002</v>
      </c>
      <c r="M894" s="67">
        <f t="shared" si="164"/>
        <v>2358</v>
      </c>
      <c r="N894" s="67">
        <f t="shared" si="165"/>
        <v>4658</v>
      </c>
      <c r="O894" s="67">
        <f t="shared" si="166"/>
        <v>660</v>
      </c>
      <c r="P894" s="67">
        <f t="shared" si="167"/>
        <v>2207</v>
      </c>
      <c r="Q894" s="67">
        <f t="shared" si="168"/>
        <v>1560</v>
      </c>
      <c r="R894" s="638">
        <f t="shared" si="171"/>
        <v>298253.94239660201</v>
      </c>
      <c r="S894" s="73"/>
      <c r="AC894" s="642" t="s">
        <v>2236</v>
      </c>
      <c r="AD894" s="67">
        <f t="shared" si="172"/>
        <v>7430</v>
      </c>
      <c r="AE894" s="67">
        <f t="shared" si="173"/>
        <v>945</v>
      </c>
      <c r="AF894" s="67">
        <f t="shared" si="174"/>
        <v>989</v>
      </c>
      <c r="AG894" s="67">
        <f t="shared" si="175"/>
        <v>1635</v>
      </c>
      <c r="AH894" s="67">
        <f t="shared" si="176"/>
        <v>0</v>
      </c>
      <c r="AI894" s="67">
        <f t="shared" si="177"/>
        <v>295</v>
      </c>
      <c r="AJ894" s="67">
        <f t="shared" si="178"/>
        <v>140</v>
      </c>
      <c r="AK894" s="67">
        <f t="shared" si="179"/>
        <v>198</v>
      </c>
      <c r="AL894" s="67">
        <f t="shared" si="180"/>
        <v>185</v>
      </c>
      <c r="AM894" s="67">
        <f t="shared" si="181"/>
        <v>60</v>
      </c>
      <c r="AN894" s="67">
        <f t="shared" si="182"/>
        <v>71</v>
      </c>
      <c r="AO894" s="67">
        <f t="shared" si="183"/>
        <v>140</v>
      </c>
      <c r="AP894" s="67">
        <f t="shared" si="184"/>
        <v>20</v>
      </c>
      <c r="AQ894" s="67">
        <f t="shared" si="185"/>
        <v>66</v>
      </c>
      <c r="AR894" s="67">
        <f t="shared" si="186"/>
        <v>47</v>
      </c>
      <c r="AS894" s="636">
        <f t="shared" si="187"/>
        <v>12221</v>
      </c>
    </row>
    <row r="895" spans="1:45" ht="15.75" customHeight="1" x14ac:dyDescent="0.3">
      <c r="A895" s="139" t="s">
        <v>2237</v>
      </c>
      <c r="B895" s="67">
        <f t="shared" si="169"/>
        <v>77962</v>
      </c>
      <c r="C895" s="67">
        <f t="shared" si="155"/>
        <v>9888</v>
      </c>
      <c r="D895" s="67">
        <f t="shared" si="156"/>
        <v>10323</v>
      </c>
      <c r="E895" s="67">
        <f t="shared" si="157"/>
        <v>16161</v>
      </c>
      <c r="F895" s="67">
        <f t="shared" si="170"/>
        <v>77.453908075824529</v>
      </c>
      <c r="G895" s="67">
        <f t="shared" si="158"/>
        <v>-11901.347279577998</v>
      </c>
      <c r="H895" s="67">
        <f t="shared" si="159"/>
        <v>11094</v>
      </c>
      <c r="I895" s="67">
        <f t="shared" si="160"/>
        <v>5158</v>
      </c>
      <c r="J895" s="67">
        <f t="shared" si="161"/>
        <v>5942</v>
      </c>
      <c r="K895" s="67">
        <f t="shared" si="162"/>
        <v>5361</v>
      </c>
      <c r="L895" s="67">
        <f t="shared" si="163"/>
        <v>1969</v>
      </c>
      <c r="M895" s="67">
        <f t="shared" si="164"/>
        <v>2318</v>
      </c>
      <c r="N895" s="67">
        <f t="shared" si="165"/>
        <v>4676</v>
      </c>
      <c r="O895" s="67">
        <f t="shared" si="166"/>
        <v>943</v>
      </c>
      <c r="P895" s="67">
        <f t="shared" si="167"/>
        <v>2020</v>
      </c>
      <c r="Q895" s="67">
        <f t="shared" si="168"/>
        <v>2204</v>
      </c>
      <c r="R895" s="638">
        <f>(SUM(B895:Q895))</f>
        <v>144195.10662849783</v>
      </c>
      <c r="S895" s="73"/>
      <c r="AC895" s="642" t="s">
        <v>2237</v>
      </c>
      <c r="AD895" s="67">
        <f t="shared" si="172"/>
        <v>3430</v>
      </c>
      <c r="AE895" s="67">
        <f t="shared" si="173"/>
        <v>435</v>
      </c>
      <c r="AF895" s="67">
        <f t="shared" si="174"/>
        <v>454</v>
      </c>
      <c r="AG895" s="67">
        <f t="shared" si="175"/>
        <v>711</v>
      </c>
      <c r="AH895" s="67">
        <f t="shared" si="176"/>
        <v>0</v>
      </c>
      <c r="AI895" s="67">
        <f t="shared" si="177"/>
        <v>333</v>
      </c>
      <c r="AJ895" s="67">
        <f t="shared" si="178"/>
        <v>155</v>
      </c>
      <c r="AK895" s="67">
        <f t="shared" si="179"/>
        <v>178</v>
      </c>
      <c r="AL895" s="67">
        <f t="shared" si="180"/>
        <v>161</v>
      </c>
      <c r="AM895" s="67">
        <f t="shared" si="181"/>
        <v>59</v>
      </c>
      <c r="AN895" s="67">
        <f t="shared" si="182"/>
        <v>70</v>
      </c>
      <c r="AO895" s="67">
        <f t="shared" si="183"/>
        <v>140</v>
      </c>
      <c r="AP895" s="67">
        <f t="shared" si="184"/>
        <v>28</v>
      </c>
      <c r="AQ895" s="67">
        <f t="shared" si="185"/>
        <v>61</v>
      </c>
      <c r="AR895" s="67">
        <f t="shared" si="186"/>
        <v>66</v>
      </c>
      <c r="AS895" s="636">
        <f t="shared" si="187"/>
        <v>6281</v>
      </c>
    </row>
    <row r="896" spans="1:45" ht="15.75" customHeight="1" x14ac:dyDescent="0.3">
      <c r="A896" s="139" t="s">
        <v>1504</v>
      </c>
      <c r="B896" s="67">
        <f t="shared" si="169"/>
        <v>69874</v>
      </c>
      <c r="C896" s="67">
        <f t="shared" si="155"/>
        <v>8857</v>
      </c>
      <c r="D896" s="67">
        <f t="shared" si="156"/>
        <v>9242</v>
      </c>
      <c r="E896" s="67">
        <f t="shared" si="157"/>
        <v>14246</v>
      </c>
      <c r="F896" s="67">
        <f t="shared" si="170"/>
        <v>0</v>
      </c>
      <c r="G896" s="67">
        <f t="shared" si="158"/>
        <v>-10607.021853805576</v>
      </c>
      <c r="H896" s="67">
        <f t="shared" si="159"/>
        <v>9840</v>
      </c>
      <c r="I896" s="67">
        <f t="shared" si="160"/>
        <v>6644</v>
      </c>
      <c r="J896" s="67">
        <f t="shared" si="161"/>
        <v>7346</v>
      </c>
      <c r="K896" s="67">
        <f t="shared" si="162"/>
        <v>6225</v>
      </c>
      <c r="L896" s="67">
        <f t="shared" si="163"/>
        <v>1785</v>
      </c>
      <c r="M896" s="67">
        <f t="shared" si="164"/>
        <v>2101</v>
      </c>
      <c r="N896" s="67">
        <f t="shared" si="165"/>
        <v>4082</v>
      </c>
      <c r="O896" s="67">
        <f t="shared" si="166"/>
        <v>708</v>
      </c>
      <c r="P896" s="67">
        <f t="shared" si="167"/>
        <v>1876</v>
      </c>
      <c r="Q896" s="67">
        <f t="shared" si="168"/>
        <v>1674</v>
      </c>
      <c r="R896" s="638">
        <f t="shared" si="171"/>
        <v>133892.97814619442</v>
      </c>
      <c r="S896" s="73"/>
      <c r="AC896" s="642" t="s">
        <v>1504</v>
      </c>
      <c r="AD896" s="67">
        <f t="shared" si="172"/>
        <v>3074</v>
      </c>
      <c r="AE896" s="67">
        <f t="shared" si="173"/>
        <v>390</v>
      </c>
      <c r="AF896" s="67">
        <f t="shared" si="174"/>
        <v>407</v>
      </c>
      <c r="AG896" s="67">
        <f t="shared" si="175"/>
        <v>627</v>
      </c>
      <c r="AH896" s="67">
        <f t="shared" si="176"/>
        <v>0</v>
      </c>
      <c r="AI896" s="67">
        <f t="shared" si="177"/>
        <v>295</v>
      </c>
      <c r="AJ896" s="67">
        <f t="shared" si="178"/>
        <v>199</v>
      </c>
      <c r="AK896" s="67">
        <f t="shared" si="179"/>
        <v>220</v>
      </c>
      <c r="AL896" s="67">
        <f t="shared" si="180"/>
        <v>187</v>
      </c>
      <c r="AM896" s="67">
        <f t="shared" si="181"/>
        <v>54</v>
      </c>
      <c r="AN896" s="67">
        <f t="shared" si="182"/>
        <v>63</v>
      </c>
      <c r="AO896" s="67">
        <f t="shared" si="183"/>
        <v>122</v>
      </c>
      <c r="AP896" s="67">
        <f t="shared" si="184"/>
        <v>21</v>
      </c>
      <c r="AQ896" s="67">
        <f t="shared" si="185"/>
        <v>56</v>
      </c>
      <c r="AR896" s="67">
        <f t="shared" si="186"/>
        <v>50</v>
      </c>
      <c r="AS896" s="636">
        <f t="shared" si="187"/>
        <v>5765</v>
      </c>
    </row>
    <row r="897" spans="1:45" ht="15.75" customHeight="1" x14ac:dyDescent="0.3">
      <c r="A897" s="139" t="s">
        <v>1505</v>
      </c>
      <c r="B897" s="67">
        <f t="shared" si="169"/>
        <v>67538</v>
      </c>
      <c r="C897" s="67">
        <f t="shared" si="155"/>
        <v>8569</v>
      </c>
      <c r="D897" s="67">
        <f t="shared" si="156"/>
        <v>8950</v>
      </c>
      <c r="E897" s="67">
        <f t="shared" si="157"/>
        <v>13286</v>
      </c>
      <c r="F897" s="67">
        <f t="shared" si="170"/>
        <v>0</v>
      </c>
      <c r="G897" s="67">
        <f t="shared" si="158"/>
        <v>-9196.623408364112</v>
      </c>
      <c r="H897" s="67">
        <f t="shared" si="159"/>
        <v>10054</v>
      </c>
      <c r="I897" s="67">
        <f t="shared" si="160"/>
        <v>5965</v>
      </c>
      <c r="J897" s="67">
        <f t="shared" si="161"/>
        <v>6551</v>
      </c>
      <c r="K897" s="67">
        <f t="shared" si="162"/>
        <v>5424</v>
      </c>
      <c r="L897" s="67">
        <f t="shared" si="163"/>
        <v>1865</v>
      </c>
      <c r="M897" s="67">
        <f t="shared" si="164"/>
        <v>2196</v>
      </c>
      <c r="N897" s="67">
        <f t="shared" si="165"/>
        <v>4141</v>
      </c>
      <c r="O897" s="67">
        <f t="shared" si="166"/>
        <v>805</v>
      </c>
      <c r="P897" s="67">
        <f t="shared" si="167"/>
        <v>1909</v>
      </c>
      <c r="Q897" s="67">
        <f t="shared" si="168"/>
        <v>1904</v>
      </c>
      <c r="R897" s="638">
        <f t="shared" si="171"/>
        <v>129960.37659163588</v>
      </c>
      <c r="S897" s="73"/>
      <c r="AC897" s="642" t="s">
        <v>1505</v>
      </c>
      <c r="AD897" s="67">
        <f t="shared" si="172"/>
        <v>2972</v>
      </c>
      <c r="AE897" s="67">
        <f t="shared" si="173"/>
        <v>377</v>
      </c>
      <c r="AF897" s="67">
        <f t="shared" si="174"/>
        <v>394</v>
      </c>
      <c r="AG897" s="67">
        <f t="shared" si="175"/>
        <v>585</v>
      </c>
      <c r="AH897" s="67">
        <f t="shared" si="176"/>
        <v>0</v>
      </c>
      <c r="AI897" s="67">
        <f t="shared" si="177"/>
        <v>302</v>
      </c>
      <c r="AJ897" s="67">
        <f t="shared" si="178"/>
        <v>179</v>
      </c>
      <c r="AK897" s="67">
        <f t="shared" si="179"/>
        <v>197</v>
      </c>
      <c r="AL897" s="67">
        <f t="shared" si="180"/>
        <v>163</v>
      </c>
      <c r="AM897" s="67">
        <f t="shared" si="181"/>
        <v>56</v>
      </c>
      <c r="AN897" s="67">
        <f t="shared" si="182"/>
        <v>66</v>
      </c>
      <c r="AO897" s="67">
        <f t="shared" si="183"/>
        <v>124</v>
      </c>
      <c r="AP897" s="67">
        <f t="shared" si="184"/>
        <v>24</v>
      </c>
      <c r="AQ897" s="67">
        <f t="shared" si="185"/>
        <v>57</v>
      </c>
      <c r="AR897" s="67">
        <f t="shared" si="186"/>
        <v>57</v>
      </c>
      <c r="AS897" s="636">
        <f t="shared" si="187"/>
        <v>5553</v>
      </c>
    </row>
    <row r="898" spans="1:45" ht="15.75" customHeight="1" x14ac:dyDescent="0.3">
      <c r="A898" s="139" t="s">
        <v>1506</v>
      </c>
      <c r="B898" s="67">
        <f t="shared" si="169"/>
        <v>157774</v>
      </c>
      <c r="C898" s="67">
        <f t="shared" si="155"/>
        <v>20075</v>
      </c>
      <c r="D898" s="67">
        <f t="shared" si="156"/>
        <v>21023</v>
      </c>
      <c r="E898" s="67">
        <f t="shared" si="157"/>
        <v>34187</v>
      </c>
      <c r="F898" s="67">
        <f t="shared" si="170"/>
        <v>6996.7429122016347</v>
      </c>
      <c r="G898" s="67">
        <f t="shared" si="158"/>
        <v>-201.82739758586868</v>
      </c>
      <c r="H898" s="67">
        <f t="shared" si="159"/>
        <v>7033</v>
      </c>
      <c r="I898" s="67">
        <f t="shared" si="160"/>
        <v>4147</v>
      </c>
      <c r="J898" s="67">
        <f t="shared" si="161"/>
        <v>5176</v>
      </c>
      <c r="K898" s="67">
        <f t="shared" si="162"/>
        <v>4795</v>
      </c>
      <c r="L898" s="67">
        <f t="shared" si="163"/>
        <v>1762</v>
      </c>
      <c r="M898" s="67">
        <f t="shared" si="164"/>
        <v>2075</v>
      </c>
      <c r="N898" s="67">
        <f t="shared" si="165"/>
        <v>3861</v>
      </c>
      <c r="O898" s="67">
        <f t="shared" si="166"/>
        <v>587</v>
      </c>
      <c r="P898" s="67">
        <f t="shared" si="167"/>
        <v>1670</v>
      </c>
      <c r="Q898" s="67">
        <f t="shared" si="168"/>
        <v>1389</v>
      </c>
      <c r="R898" s="638">
        <f t="shared" si="171"/>
        <v>272348.91551461577</v>
      </c>
      <c r="S898" s="73"/>
      <c r="AC898" s="642" t="s">
        <v>1506</v>
      </c>
      <c r="AD898" s="67">
        <f t="shared" si="172"/>
        <v>6942</v>
      </c>
      <c r="AE898" s="67">
        <f t="shared" si="173"/>
        <v>883</v>
      </c>
      <c r="AF898" s="67">
        <f t="shared" si="174"/>
        <v>925</v>
      </c>
      <c r="AG898" s="67">
        <f t="shared" si="175"/>
        <v>1504</v>
      </c>
      <c r="AH898" s="67">
        <f t="shared" si="176"/>
        <v>0</v>
      </c>
      <c r="AI898" s="67">
        <f t="shared" si="177"/>
        <v>211</v>
      </c>
      <c r="AJ898" s="67">
        <f t="shared" si="178"/>
        <v>124</v>
      </c>
      <c r="AK898" s="67">
        <f t="shared" si="179"/>
        <v>155</v>
      </c>
      <c r="AL898" s="67">
        <f t="shared" si="180"/>
        <v>144</v>
      </c>
      <c r="AM898" s="67">
        <f t="shared" si="181"/>
        <v>53</v>
      </c>
      <c r="AN898" s="67">
        <f t="shared" si="182"/>
        <v>62</v>
      </c>
      <c r="AO898" s="67">
        <f t="shared" si="183"/>
        <v>116</v>
      </c>
      <c r="AP898" s="67">
        <f t="shared" si="184"/>
        <v>18</v>
      </c>
      <c r="AQ898" s="67">
        <f t="shared" si="185"/>
        <v>50</v>
      </c>
      <c r="AR898" s="67">
        <f t="shared" si="186"/>
        <v>42</v>
      </c>
      <c r="AS898" s="636">
        <f t="shared" si="187"/>
        <v>11229</v>
      </c>
    </row>
    <row r="899" spans="1:45" ht="15.75" customHeight="1" x14ac:dyDescent="0.3">
      <c r="A899" s="139" t="s">
        <v>1507</v>
      </c>
      <c r="B899" s="67">
        <f t="shared" si="169"/>
        <v>112828</v>
      </c>
      <c r="C899" s="67">
        <f t="shared" si="155"/>
        <v>14349</v>
      </c>
      <c r="D899" s="67">
        <f t="shared" si="156"/>
        <v>15020</v>
      </c>
      <c r="E899" s="67">
        <f t="shared" si="157"/>
        <v>24883</v>
      </c>
      <c r="F899" s="67">
        <f t="shared" si="170"/>
        <v>4994.5906517787616</v>
      </c>
      <c r="G899" s="67">
        <f t="shared" si="158"/>
        <v>-1136.4743330821393</v>
      </c>
      <c r="H899" s="67">
        <f t="shared" si="159"/>
        <v>5594</v>
      </c>
      <c r="I899" s="67">
        <f t="shared" si="160"/>
        <v>2723</v>
      </c>
      <c r="J899" s="67">
        <f t="shared" si="161"/>
        <v>3746</v>
      </c>
      <c r="K899" s="67">
        <f t="shared" si="162"/>
        <v>3339</v>
      </c>
      <c r="L899" s="67">
        <f t="shared" si="163"/>
        <v>1238</v>
      </c>
      <c r="M899" s="67">
        <f t="shared" si="164"/>
        <v>1457</v>
      </c>
      <c r="N899" s="67">
        <f t="shared" si="165"/>
        <v>2830</v>
      </c>
      <c r="O899" s="67">
        <f t="shared" si="166"/>
        <v>616</v>
      </c>
      <c r="P899" s="67">
        <f t="shared" si="167"/>
        <v>1524</v>
      </c>
      <c r="Q899" s="67">
        <f t="shared" si="168"/>
        <v>1447</v>
      </c>
      <c r="R899" s="638">
        <f t="shared" si="171"/>
        <v>195452.11631869662</v>
      </c>
      <c r="S899" s="73"/>
      <c r="AC899" s="642" t="s">
        <v>1507</v>
      </c>
      <c r="AD899" s="67">
        <f t="shared" si="172"/>
        <v>4964</v>
      </c>
      <c r="AE899" s="67">
        <f t="shared" si="173"/>
        <v>631</v>
      </c>
      <c r="AF899" s="67">
        <f t="shared" si="174"/>
        <v>661</v>
      </c>
      <c r="AG899" s="67">
        <f t="shared" si="175"/>
        <v>1095</v>
      </c>
      <c r="AH899" s="67">
        <f t="shared" si="176"/>
        <v>0</v>
      </c>
      <c r="AI899" s="67">
        <f t="shared" si="177"/>
        <v>168</v>
      </c>
      <c r="AJ899" s="67">
        <f t="shared" si="178"/>
        <v>82</v>
      </c>
      <c r="AK899" s="67">
        <f t="shared" si="179"/>
        <v>112</v>
      </c>
      <c r="AL899" s="67">
        <f t="shared" si="180"/>
        <v>100</v>
      </c>
      <c r="AM899" s="67">
        <f t="shared" si="181"/>
        <v>37</v>
      </c>
      <c r="AN899" s="67">
        <f t="shared" si="182"/>
        <v>44</v>
      </c>
      <c r="AO899" s="67">
        <f t="shared" si="183"/>
        <v>85</v>
      </c>
      <c r="AP899" s="67">
        <f t="shared" si="184"/>
        <v>18</v>
      </c>
      <c r="AQ899" s="67">
        <f t="shared" si="185"/>
        <v>46</v>
      </c>
      <c r="AR899" s="67">
        <f t="shared" si="186"/>
        <v>43</v>
      </c>
      <c r="AS899" s="636">
        <f t="shared" si="187"/>
        <v>8086</v>
      </c>
    </row>
    <row r="900" spans="1:45" ht="15.75" customHeight="1" x14ac:dyDescent="0.3">
      <c r="A900" s="139" t="s">
        <v>1508</v>
      </c>
      <c r="B900" s="67">
        <f t="shared" si="169"/>
        <v>111991</v>
      </c>
      <c r="C900" s="67">
        <f t="shared" si="155"/>
        <v>14248</v>
      </c>
      <c r="D900" s="67">
        <f t="shared" si="156"/>
        <v>14920</v>
      </c>
      <c r="E900" s="67">
        <f t="shared" si="157"/>
        <v>24692</v>
      </c>
      <c r="F900" s="67">
        <f t="shared" si="170"/>
        <v>9161.2468449753324</v>
      </c>
      <c r="G900" s="67">
        <f t="shared" si="158"/>
        <v>0</v>
      </c>
      <c r="H900" s="67">
        <f t="shared" si="159"/>
        <v>3189</v>
      </c>
      <c r="I900" s="67">
        <f t="shared" si="160"/>
        <v>1316</v>
      </c>
      <c r="J900" s="67">
        <f t="shared" si="161"/>
        <v>1972</v>
      </c>
      <c r="K900" s="67">
        <f t="shared" si="162"/>
        <v>1895</v>
      </c>
      <c r="L900" s="67">
        <f t="shared" si="163"/>
        <v>690</v>
      </c>
      <c r="M900" s="67">
        <f t="shared" si="164"/>
        <v>812</v>
      </c>
      <c r="N900" s="67">
        <f t="shared" si="165"/>
        <v>1637</v>
      </c>
      <c r="O900" s="67">
        <f t="shared" si="166"/>
        <v>80</v>
      </c>
      <c r="P900" s="67">
        <f t="shared" si="167"/>
        <v>1304</v>
      </c>
      <c r="Q900" s="67">
        <f t="shared" si="168"/>
        <v>189</v>
      </c>
      <c r="R900" s="638">
        <f t="shared" si="171"/>
        <v>188096.24684497534</v>
      </c>
      <c r="S900" s="73"/>
      <c r="AC900" s="642" t="s">
        <v>1508</v>
      </c>
      <c r="AD900" s="67">
        <f t="shared" si="172"/>
        <v>4928</v>
      </c>
      <c r="AE900" s="67">
        <f t="shared" si="173"/>
        <v>627</v>
      </c>
      <c r="AF900" s="67">
        <f t="shared" si="174"/>
        <v>656</v>
      </c>
      <c r="AG900" s="67">
        <f t="shared" si="175"/>
        <v>1086</v>
      </c>
      <c r="AH900" s="67">
        <f t="shared" si="176"/>
        <v>0</v>
      </c>
      <c r="AI900" s="67">
        <f t="shared" si="177"/>
        <v>96</v>
      </c>
      <c r="AJ900" s="67">
        <f t="shared" si="178"/>
        <v>39</v>
      </c>
      <c r="AK900" s="67">
        <f t="shared" si="179"/>
        <v>59</v>
      </c>
      <c r="AL900" s="67">
        <f t="shared" si="180"/>
        <v>57</v>
      </c>
      <c r="AM900" s="67">
        <f t="shared" si="181"/>
        <v>21</v>
      </c>
      <c r="AN900" s="67">
        <f t="shared" si="182"/>
        <v>24</v>
      </c>
      <c r="AO900" s="67">
        <f t="shared" si="183"/>
        <v>49</v>
      </c>
      <c r="AP900" s="67">
        <f t="shared" si="184"/>
        <v>2</v>
      </c>
      <c r="AQ900" s="67">
        <f t="shared" si="185"/>
        <v>39</v>
      </c>
      <c r="AR900" s="67">
        <f t="shared" si="186"/>
        <v>6</v>
      </c>
      <c r="AS900" s="636">
        <f t="shared" si="187"/>
        <v>7689</v>
      </c>
    </row>
    <row r="901" spans="1:45" ht="15.75" customHeight="1" x14ac:dyDescent="0.3">
      <c r="A901" s="139" t="s">
        <v>1509</v>
      </c>
      <c r="B901" s="67">
        <f t="shared" si="169"/>
        <v>122786</v>
      </c>
      <c r="C901" s="67">
        <f t="shared" si="155"/>
        <v>15630</v>
      </c>
      <c r="D901" s="67">
        <f t="shared" si="156"/>
        <v>16376</v>
      </c>
      <c r="E901" s="67">
        <f t="shared" si="157"/>
        <v>26943</v>
      </c>
      <c r="F901" s="67">
        <f t="shared" si="170"/>
        <v>9391.148010357545</v>
      </c>
      <c r="G901" s="67">
        <f t="shared" si="158"/>
        <v>0</v>
      </c>
      <c r="H901" s="67">
        <f t="shared" si="159"/>
        <v>4449</v>
      </c>
      <c r="I901" s="67">
        <f t="shared" si="160"/>
        <v>2874</v>
      </c>
      <c r="J901" s="67">
        <f t="shared" si="161"/>
        <v>4326</v>
      </c>
      <c r="K901" s="67">
        <f t="shared" si="162"/>
        <v>4320</v>
      </c>
      <c r="L901" s="67">
        <f t="shared" si="163"/>
        <v>1227</v>
      </c>
      <c r="M901" s="67">
        <f t="shared" si="164"/>
        <v>1445</v>
      </c>
      <c r="N901" s="67">
        <f t="shared" si="165"/>
        <v>2836</v>
      </c>
      <c r="O901" s="67">
        <f t="shared" si="166"/>
        <v>216</v>
      </c>
      <c r="P901" s="67">
        <f t="shared" si="167"/>
        <v>1383</v>
      </c>
      <c r="Q901" s="67">
        <f t="shared" si="168"/>
        <v>511</v>
      </c>
      <c r="R901" s="638">
        <f t="shared" si="171"/>
        <v>214713.14801035754</v>
      </c>
      <c r="S901" s="73"/>
      <c r="AC901" s="642" t="s">
        <v>1509</v>
      </c>
      <c r="AD901" s="67">
        <f t="shared" si="172"/>
        <v>5403</v>
      </c>
      <c r="AE901" s="67">
        <f t="shared" si="173"/>
        <v>688</v>
      </c>
      <c r="AF901" s="67">
        <f t="shared" si="174"/>
        <v>721</v>
      </c>
      <c r="AG901" s="67">
        <f t="shared" si="175"/>
        <v>1185</v>
      </c>
      <c r="AH901" s="67">
        <f t="shared" si="176"/>
        <v>0</v>
      </c>
      <c r="AI901" s="67">
        <f t="shared" si="177"/>
        <v>133</v>
      </c>
      <c r="AJ901" s="67">
        <f t="shared" si="178"/>
        <v>86</v>
      </c>
      <c r="AK901" s="67">
        <f t="shared" si="179"/>
        <v>130</v>
      </c>
      <c r="AL901" s="67">
        <f t="shared" si="180"/>
        <v>130</v>
      </c>
      <c r="AM901" s="67">
        <f t="shared" si="181"/>
        <v>37</v>
      </c>
      <c r="AN901" s="67">
        <f t="shared" si="182"/>
        <v>43</v>
      </c>
      <c r="AO901" s="67">
        <f t="shared" si="183"/>
        <v>85</v>
      </c>
      <c r="AP901" s="67">
        <f t="shared" si="184"/>
        <v>6</v>
      </c>
      <c r="AQ901" s="67">
        <f t="shared" si="185"/>
        <v>41</v>
      </c>
      <c r="AR901" s="67">
        <f t="shared" si="186"/>
        <v>15</v>
      </c>
      <c r="AS901" s="636">
        <f t="shared" si="187"/>
        <v>8703</v>
      </c>
    </row>
    <row r="902" spans="1:45" ht="15.75" customHeight="1" x14ac:dyDescent="0.3">
      <c r="A902" s="553"/>
      <c r="B902" s="67"/>
      <c r="C902" s="67"/>
      <c r="D902" s="67"/>
      <c r="E902" s="67"/>
      <c r="F902" s="67"/>
      <c r="G902" s="67"/>
      <c r="H902" s="67"/>
      <c r="I902" s="67"/>
      <c r="J902" s="67"/>
      <c r="K902" s="67"/>
      <c r="L902" s="67"/>
      <c r="M902" s="67"/>
      <c r="N902" s="67"/>
      <c r="O902" s="67"/>
      <c r="P902" s="67"/>
      <c r="Q902" s="67"/>
      <c r="R902" s="636"/>
      <c r="S902" s="73"/>
      <c r="AC902" s="579"/>
      <c r="AD902" s="67"/>
      <c r="AE902" s="67"/>
      <c r="AF902" s="67"/>
      <c r="AG902" s="67"/>
      <c r="AH902" s="67"/>
      <c r="AI902" s="67"/>
      <c r="AJ902" s="67"/>
      <c r="AK902" s="67"/>
      <c r="AL902" s="67"/>
      <c r="AM902" s="67"/>
      <c r="AN902" s="67"/>
      <c r="AO902" s="67"/>
      <c r="AP902" s="67"/>
      <c r="AQ902" s="67"/>
      <c r="AR902" s="67"/>
      <c r="AS902" s="636"/>
    </row>
    <row r="903" spans="1:45" ht="15.75" customHeight="1" thickBot="1" x14ac:dyDescent="0.35">
      <c r="A903" s="553" t="s">
        <v>2356</v>
      </c>
      <c r="B903" s="67">
        <f>SUM(B890:B901)</f>
        <v>1448795</v>
      </c>
      <c r="C903" s="67">
        <f t="shared" ref="C903:R903" si="188">SUM(C890:C901)</f>
        <v>184267</v>
      </c>
      <c r="D903" s="67">
        <f t="shared" si="188"/>
        <v>192902</v>
      </c>
      <c r="E903" s="67">
        <f t="shared" si="188"/>
        <v>316108</v>
      </c>
      <c r="F903" s="67">
        <f t="shared" si="188"/>
        <v>71716.429449297764</v>
      </c>
      <c r="G903" s="67">
        <f t="shared" si="188"/>
        <v>-40190.444411872108</v>
      </c>
      <c r="H903" s="67">
        <f t="shared" si="188"/>
        <v>92683</v>
      </c>
      <c r="I903" s="67">
        <f t="shared" si="188"/>
        <v>52624</v>
      </c>
      <c r="J903" s="67">
        <f t="shared" si="188"/>
        <v>66768</v>
      </c>
      <c r="K903" s="67">
        <f t="shared" si="188"/>
        <v>60276</v>
      </c>
      <c r="L903" s="67">
        <f t="shared" si="188"/>
        <v>19888</v>
      </c>
      <c r="M903" s="67">
        <f t="shared" si="188"/>
        <v>23421</v>
      </c>
      <c r="N903" s="67">
        <f t="shared" si="188"/>
        <v>46209</v>
      </c>
      <c r="O903" s="67">
        <f t="shared" si="188"/>
        <v>7129</v>
      </c>
      <c r="P903" s="67">
        <f t="shared" si="188"/>
        <v>19624</v>
      </c>
      <c r="Q903" s="67">
        <f t="shared" si="188"/>
        <v>16799</v>
      </c>
      <c r="R903" s="639">
        <f t="shared" si="188"/>
        <v>2579018.985037426</v>
      </c>
      <c r="S903" s="73"/>
      <c r="AC903" s="644" t="s">
        <v>2356</v>
      </c>
      <c r="AD903" s="555">
        <f>SUM(AD890:AD901)</f>
        <v>63748</v>
      </c>
      <c r="AE903" s="555">
        <f t="shared" ref="AE903:AS903" si="189">SUM(AE890:AE901)</f>
        <v>8108</v>
      </c>
      <c r="AF903" s="555">
        <f t="shared" si="189"/>
        <v>8487</v>
      </c>
      <c r="AG903" s="555">
        <f t="shared" si="189"/>
        <v>13908</v>
      </c>
      <c r="AH903" s="555">
        <f t="shared" si="189"/>
        <v>0</v>
      </c>
      <c r="AI903" s="555">
        <f t="shared" si="189"/>
        <v>2781</v>
      </c>
      <c r="AJ903" s="555">
        <f t="shared" si="189"/>
        <v>1578</v>
      </c>
      <c r="AK903" s="555">
        <f t="shared" si="189"/>
        <v>2002</v>
      </c>
      <c r="AL903" s="555">
        <f t="shared" si="189"/>
        <v>1810</v>
      </c>
      <c r="AM903" s="555">
        <f t="shared" si="189"/>
        <v>598</v>
      </c>
      <c r="AN903" s="555">
        <f t="shared" si="189"/>
        <v>703</v>
      </c>
      <c r="AO903" s="555">
        <f t="shared" si="189"/>
        <v>1385</v>
      </c>
      <c r="AP903" s="555">
        <f t="shared" si="189"/>
        <v>212</v>
      </c>
      <c r="AQ903" s="555">
        <f t="shared" si="189"/>
        <v>588</v>
      </c>
      <c r="AR903" s="555">
        <f t="shared" si="189"/>
        <v>504</v>
      </c>
      <c r="AS903" s="637">
        <f t="shared" si="189"/>
        <v>106412</v>
      </c>
    </row>
    <row r="904" spans="1:45" ht="16.5" customHeight="1" thickBot="1" x14ac:dyDescent="0.35">
      <c r="A904" s="558" t="s">
        <v>852</v>
      </c>
      <c r="B904" s="555"/>
      <c r="C904" s="555"/>
      <c r="D904" s="555"/>
      <c r="E904" s="555"/>
      <c r="F904" s="555"/>
      <c r="G904" s="555"/>
      <c r="H904" s="555"/>
      <c r="I904" s="555"/>
      <c r="J904" s="555"/>
      <c r="K904" s="555"/>
      <c r="L904" s="555"/>
      <c r="M904" s="555"/>
      <c r="N904" s="555"/>
      <c r="O904" s="555"/>
      <c r="P904" s="555"/>
      <c r="Q904" s="555"/>
      <c r="R904" s="637"/>
      <c r="S904" s="67"/>
    </row>
    <row r="905" spans="1:45" ht="15.75" customHeight="1" x14ac:dyDescent="0.3">
      <c r="A905" s="67"/>
      <c r="B905" s="67"/>
      <c r="C905" s="67"/>
      <c r="D905" s="67"/>
      <c r="E905" s="67"/>
      <c r="F905" s="67"/>
      <c r="G905" s="67"/>
      <c r="H905" s="67"/>
      <c r="I905" s="67"/>
      <c r="J905" s="67"/>
      <c r="K905" s="67"/>
      <c r="L905" s="67"/>
      <c r="M905" s="67"/>
      <c r="N905" s="67"/>
      <c r="O905" s="67"/>
      <c r="P905" s="67"/>
      <c r="Q905" s="67"/>
      <c r="R905" s="67"/>
    </row>
    <row r="906" spans="1:45" ht="15.75" customHeight="1" x14ac:dyDescent="0.3"/>
    <row r="907" spans="1:45" ht="15.75" customHeight="1" thickBot="1" x14ac:dyDescent="0.35"/>
    <row r="908" spans="1:45" ht="15.75" customHeight="1" thickBot="1" x14ac:dyDescent="0.35">
      <c r="B908" s="790" t="s">
        <v>2921</v>
      </c>
      <c r="C908" s="782"/>
      <c r="D908" s="782"/>
      <c r="E908" s="782"/>
      <c r="F908" s="782"/>
      <c r="G908" s="782"/>
      <c r="H908" s="782"/>
      <c r="I908" s="782"/>
      <c r="J908" s="782"/>
      <c r="K908" s="782"/>
      <c r="L908" s="782"/>
      <c r="M908" s="782"/>
      <c r="N908" s="782"/>
      <c r="O908" s="782"/>
      <c r="P908" s="782"/>
      <c r="Q908" s="678" t="str">
        <f>+Q1</f>
        <v xml:space="preserve">PRINTED:  </v>
      </c>
      <c r="R908" s="682">
        <f ca="1">+R1</f>
        <v>44881.729634027775</v>
      </c>
      <c r="S908" s="597"/>
    </row>
    <row r="909" spans="1:45" ht="15.75" customHeight="1" x14ac:dyDescent="0.3">
      <c r="B909" s="791">
        <f>+A5</f>
        <v>2015</v>
      </c>
      <c r="C909" s="787"/>
      <c r="D909" s="787"/>
      <c r="E909" s="787"/>
      <c r="F909" s="787"/>
      <c r="G909" s="787"/>
      <c r="H909" s="787"/>
      <c r="I909" s="787"/>
      <c r="J909" s="787"/>
      <c r="K909" s="787"/>
      <c r="L909" s="787"/>
      <c r="M909" s="787"/>
      <c r="N909" s="787"/>
      <c r="O909" s="787"/>
      <c r="P909" s="787"/>
      <c r="Q909" s="67"/>
      <c r="R909" s="67"/>
      <c r="S909" s="552"/>
      <c r="AC909" s="685"/>
      <c r="AD909" s="782" t="s">
        <v>2923</v>
      </c>
      <c r="AE909" s="785"/>
      <c r="AF909" s="785"/>
      <c r="AG909" s="785"/>
      <c r="AH909" s="785"/>
      <c r="AI909" s="785"/>
      <c r="AJ909" s="785"/>
      <c r="AK909" s="785"/>
      <c r="AL909" s="785"/>
      <c r="AM909" s="785"/>
      <c r="AN909" s="785"/>
      <c r="AO909" s="785"/>
      <c r="AP909" s="785"/>
      <c r="AQ909" s="785"/>
      <c r="AR909" s="678" t="str">
        <f>$Q$1</f>
        <v xml:space="preserve">PRINTED:  </v>
      </c>
      <c r="AS909" s="686">
        <f ca="1">$R$1</f>
        <v>44881.729634027775</v>
      </c>
    </row>
    <row r="910" spans="1:45" ht="15.75" customHeight="1" x14ac:dyDescent="0.3">
      <c r="B910" s="792" t="str">
        <f>+A8</f>
        <v>Revised:  5/2/2016</v>
      </c>
      <c r="C910" s="786"/>
      <c r="D910" s="786"/>
      <c r="E910" s="786"/>
      <c r="F910" s="786"/>
      <c r="G910" s="786"/>
      <c r="H910" s="786"/>
      <c r="I910" s="786"/>
      <c r="J910" s="786"/>
      <c r="K910" s="786"/>
      <c r="L910" s="786"/>
      <c r="M910" s="786"/>
      <c r="N910" s="786"/>
      <c r="O910" s="786"/>
      <c r="P910" s="786"/>
      <c r="Q910" s="67"/>
      <c r="R910" s="67"/>
      <c r="S910" s="552"/>
      <c r="AC910" s="579"/>
      <c r="AD910" s="786" t="str">
        <f>+$A$8</f>
        <v>Revised:  5/2/2016</v>
      </c>
      <c r="AE910" s="788"/>
      <c r="AF910" s="788"/>
      <c r="AG910" s="788"/>
      <c r="AH910" s="788"/>
      <c r="AI910" s="788"/>
      <c r="AJ910" s="788"/>
      <c r="AK910" s="788"/>
      <c r="AL910" s="788"/>
      <c r="AM910" s="788"/>
      <c r="AN910" s="788"/>
      <c r="AO910" s="788"/>
      <c r="AP910" s="788"/>
      <c r="AQ910" s="788"/>
      <c r="AR910" s="139"/>
      <c r="AS910" s="561"/>
    </row>
    <row r="911" spans="1:45" ht="15.75" customHeight="1" thickBot="1" x14ac:dyDescent="0.35">
      <c r="B911" s="793" t="s">
        <v>2676</v>
      </c>
      <c r="C911" s="794"/>
      <c r="D911" s="794"/>
      <c r="E911" s="794"/>
      <c r="F911" s="794"/>
      <c r="G911" s="794"/>
      <c r="H911" s="794"/>
      <c r="I911" s="794"/>
      <c r="J911" s="794"/>
      <c r="K911" s="794"/>
      <c r="L911" s="794"/>
      <c r="M911" s="794"/>
      <c r="N911" s="794"/>
      <c r="O911" s="794"/>
      <c r="P911" s="794"/>
      <c r="Q911" s="67"/>
      <c r="R911" s="67"/>
      <c r="S911" s="552"/>
      <c r="AC911" s="579"/>
      <c r="AD911" s="786" t="s">
        <v>2878</v>
      </c>
      <c r="AE911" s="789"/>
      <c r="AF911" s="789"/>
      <c r="AG911" s="789"/>
      <c r="AH911" s="789"/>
      <c r="AI911" s="789"/>
      <c r="AJ911" s="789"/>
      <c r="AK911" s="789"/>
      <c r="AL911" s="789"/>
      <c r="AM911" s="789"/>
      <c r="AN911" s="789"/>
      <c r="AO911" s="789"/>
      <c r="AP911" s="789"/>
      <c r="AQ911" s="789"/>
      <c r="AS911" s="561"/>
    </row>
    <row r="912" spans="1:45" ht="15.75" customHeight="1" thickBot="1" x14ac:dyDescent="0.35">
      <c r="A912" s="649"/>
      <c r="B912" s="795" t="s">
        <v>2633</v>
      </c>
      <c r="C912" s="796"/>
      <c r="D912" s="796"/>
      <c r="E912" s="796"/>
      <c r="F912" s="797"/>
      <c r="G912" s="795" t="s">
        <v>2674</v>
      </c>
      <c r="H912" s="796"/>
      <c r="I912" s="796"/>
      <c r="J912" s="796"/>
      <c r="K912" s="796"/>
      <c r="L912" s="796"/>
      <c r="M912" s="798" t="s">
        <v>2677</v>
      </c>
      <c r="N912" s="811"/>
      <c r="O912" s="834"/>
      <c r="P912" s="796" t="s">
        <v>2682</v>
      </c>
      <c r="Q912" s="796"/>
      <c r="R912" s="797"/>
      <c r="S912" s="552"/>
      <c r="AC912" s="579"/>
      <c r="AS912" s="561"/>
    </row>
    <row r="913" spans="1:45" ht="15.75" customHeight="1" x14ac:dyDescent="0.3">
      <c r="A913" s="649"/>
      <c r="B913" s="553" t="s">
        <v>2439</v>
      </c>
      <c r="C913" s="70"/>
      <c r="D913" s="70" t="s">
        <v>336</v>
      </c>
      <c r="E913" s="70" t="s">
        <v>596</v>
      </c>
      <c r="F913" s="562" t="s">
        <v>2652</v>
      </c>
      <c r="G913" s="553" t="s">
        <v>228</v>
      </c>
      <c r="H913" s="70"/>
      <c r="I913" s="70"/>
      <c r="J913" s="70" t="s">
        <v>229</v>
      </c>
      <c r="K913" s="70" t="s">
        <v>2638</v>
      </c>
      <c r="L913" s="70" t="s">
        <v>2639</v>
      </c>
      <c r="M913" s="808" t="s">
        <v>3019</v>
      </c>
      <c r="N913" s="809"/>
      <c r="O913" s="835"/>
      <c r="P913" s="70" t="s">
        <v>2683</v>
      </c>
      <c r="Q913" s="610" t="s">
        <v>134</v>
      </c>
      <c r="R913" s="611" t="s">
        <v>2685</v>
      </c>
      <c r="S913" s="552"/>
      <c r="AC913" s="579"/>
      <c r="AD913" s="787">
        <f>$A$5</f>
        <v>2015</v>
      </c>
      <c r="AE913" s="789"/>
      <c r="AF913" s="789"/>
      <c r="AG913" s="789"/>
      <c r="AH913" s="789"/>
      <c r="AI913" s="789"/>
      <c r="AJ913" s="789"/>
      <c r="AK913" s="789"/>
      <c r="AL913" s="789"/>
      <c r="AM913" s="789"/>
      <c r="AN913" s="789"/>
      <c r="AO913" s="789"/>
      <c r="AP913" s="789"/>
      <c r="AQ913" s="789"/>
      <c r="AS913" s="561"/>
    </row>
    <row r="914" spans="1:45" ht="15.75" customHeight="1" x14ac:dyDescent="0.3">
      <c r="A914" s="649"/>
      <c r="B914" s="593" t="s">
        <v>2648</v>
      </c>
      <c r="C914" s="588" t="s">
        <v>2656</v>
      </c>
      <c r="D914" s="588" t="s">
        <v>2651</v>
      </c>
      <c r="E914" s="70" t="s">
        <v>335</v>
      </c>
      <c r="F914" s="591" t="s">
        <v>2653</v>
      </c>
      <c r="G914" s="553" t="s">
        <v>2463</v>
      </c>
      <c r="H914" s="70" t="s">
        <v>1416</v>
      </c>
      <c r="I914" s="70" t="s">
        <v>1417</v>
      </c>
      <c r="J914" s="588" t="s">
        <v>2632</v>
      </c>
      <c r="K914" s="70" t="s">
        <v>2634</v>
      </c>
      <c r="L914" s="588" t="s">
        <v>2637</v>
      </c>
      <c r="M914" s="603" t="s">
        <v>2679</v>
      </c>
      <c r="N914" s="604" t="s">
        <v>2680</v>
      </c>
      <c r="O914" s="630" t="s">
        <v>2356</v>
      </c>
      <c r="P914" s="70" t="s">
        <v>2684</v>
      </c>
      <c r="Q914" s="70" t="s">
        <v>2686</v>
      </c>
      <c r="R914" s="562" t="s">
        <v>2687</v>
      </c>
      <c r="S914" s="552"/>
      <c r="AC914" s="579"/>
      <c r="AD914" s="786" t="s">
        <v>2919</v>
      </c>
      <c r="AE914" s="788"/>
      <c r="AF914" s="788"/>
      <c r="AG914" s="788"/>
      <c r="AH914" s="788"/>
      <c r="AI914" s="788"/>
      <c r="AJ914" s="788"/>
      <c r="AK914" s="788"/>
      <c r="AL914" s="788"/>
      <c r="AM914" s="788"/>
      <c r="AN914" s="788"/>
      <c r="AO914" s="788"/>
      <c r="AP914" s="788"/>
      <c r="AQ914" s="788"/>
      <c r="AR914" s="70"/>
      <c r="AS914" s="561"/>
    </row>
    <row r="915" spans="1:45" ht="15.75" customHeight="1" x14ac:dyDescent="0.3">
      <c r="A915" s="649"/>
      <c r="B915" s="594" t="s">
        <v>2654</v>
      </c>
      <c r="C915" s="217">
        <v>0</v>
      </c>
      <c r="D915" s="217"/>
      <c r="E915" s="70" t="s">
        <v>133</v>
      </c>
      <c r="F915" s="595" t="s">
        <v>2649</v>
      </c>
      <c r="G915" s="553" t="s">
        <v>2650</v>
      </c>
      <c r="H915" s="70" t="s">
        <v>335</v>
      </c>
      <c r="I915" s="70" t="s">
        <v>335</v>
      </c>
      <c r="J915" s="70" t="s">
        <v>335</v>
      </c>
      <c r="K915" s="70" t="s">
        <v>134</v>
      </c>
      <c r="L915" s="70" t="s">
        <v>2636</v>
      </c>
      <c r="M915" s="605" t="s">
        <v>955</v>
      </c>
      <c r="N915" s="599" t="s">
        <v>2681</v>
      </c>
      <c r="O915" s="630" t="s">
        <v>2688</v>
      </c>
      <c r="P915" s="70" t="s">
        <v>335</v>
      </c>
      <c r="Q915" s="70" t="s">
        <v>335</v>
      </c>
      <c r="R915" s="562" t="s">
        <v>335</v>
      </c>
      <c r="S915" s="552"/>
      <c r="AC915" s="579"/>
      <c r="AK915" s="670"/>
      <c r="AS915" s="561"/>
    </row>
    <row r="916" spans="1:45" ht="15.75" customHeight="1" thickBot="1" x14ac:dyDescent="0.35">
      <c r="A916" s="592" t="s">
        <v>249</v>
      </c>
      <c r="B916" s="553" t="s">
        <v>998</v>
      </c>
      <c r="C916" s="70" t="s">
        <v>998</v>
      </c>
      <c r="D916" s="70" t="s">
        <v>998</v>
      </c>
      <c r="E916" s="70" t="s">
        <v>998</v>
      </c>
      <c r="F916" s="562" t="s">
        <v>998</v>
      </c>
      <c r="G916" s="553" t="s">
        <v>998</v>
      </c>
      <c r="H916" s="70" t="s">
        <v>998</v>
      </c>
      <c r="I916" s="70" t="s">
        <v>998</v>
      </c>
      <c r="J916" s="70" t="s">
        <v>998</v>
      </c>
      <c r="K916" s="70" t="s">
        <v>998</v>
      </c>
      <c r="L916" s="70" t="s">
        <v>998</v>
      </c>
      <c r="M916" s="605" t="s">
        <v>998</v>
      </c>
      <c r="N916" s="599" t="s">
        <v>998</v>
      </c>
      <c r="O916" s="630" t="s">
        <v>998</v>
      </c>
      <c r="P916" s="70" t="s">
        <v>998</v>
      </c>
      <c r="Q916" s="70" t="s">
        <v>998</v>
      </c>
      <c r="R916" s="562" t="s">
        <v>998</v>
      </c>
      <c r="S916" s="552"/>
      <c r="AC916" s="579"/>
      <c r="AD916" s="634" t="s">
        <v>1308</v>
      </c>
      <c r="AE916" s="634" t="s">
        <v>1309</v>
      </c>
      <c r="AF916" s="634" t="s">
        <v>1029</v>
      </c>
      <c r="AG916" s="634" t="s">
        <v>1030</v>
      </c>
      <c r="AH916" s="634" t="s">
        <v>284</v>
      </c>
      <c r="AI916" s="634" t="s">
        <v>285</v>
      </c>
      <c r="AJ916" s="634" t="s">
        <v>286</v>
      </c>
      <c r="AK916" s="634" t="s">
        <v>287</v>
      </c>
      <c r="AL916" s="634" t="s">
        <v>288</v>
      </c>
      <c r="AM916" s="634" t="s">
        <v>289</v>
      </c>
      <c r="AN916" s="634" t="s">
        <v>633</v>
      </c>
      <c r="AO916" s="634" t="s">
        <v>634</v>
      </c>
      <c r="AP916" s="634" t="s">
        <v>1192</v>
      </c>
      <c r="AQ916" s="634" t="s">
        <v>524</v>
      </c>
      <c r="AR916" s="634" t="s">
        <v>525</v>
      </c>
      <c r="AS916" s="684" t="s">
        <v>2356</v>
      </c>
    </row>
    <row r="917" spans="1:45" ht="15.75" customHeight="1" x14ac:dyDescent="0.3">
      <c r="A917" s="592" t="s">
        <v>1353</v>
      </c>
      <c r="B917" s="553" t="s">
        <v>1353</v>
      </c>
      <c r="C917" s="70" t="s">
        <v>1353</v>
      </c>
      <c r="D917" s="70" t="s">
        <v>1353</v>
      </c>
      <c r="E917" s="70" t="s">
        <v>2202</v>
      </c>
      <c r="F917" s="562" t="s">
        <v>1353</v>
      </c>
      <c r="G917" s="553" t="s">
        <v>1353</v>
      </c>
      <c r="H917" s="70" t="s">
        <v>2119</v>
      </c>
      <c r="I917" s="70" t="s">
        <v>2119</v>
      </c>
      <c r="J917" s="70" t="s">
        <v>1353</v>
      </c>
      <c r="K917" s="70" t="s">
        <v>1353</v>
      </c>
      <c r="L917" s="70" t="s">
        <v>1353</v>
      </c>
      <c r="M917" s="605" t="s">
        <v>1353</v>
      </c>
      <c r="N917" s="599" t="s">
        <v>1353</v>
      </c>
      <c r="O917" s="630" t="s">
        <v>1353</v>
      </c>
      <c r="P917" s="70" t="s">
        <v>1353</v>
      </c>
      <c r="Q917" s="70" t="s">
        <v>1353</v>
      </c>
      <c r="R917" s="562" t="s">
        <v>1353</v>
      </c>
      <c r="S917" s="552"/>
      <c r="AC917" s="579"/>
      <c r="AD917" s="67"/>
      <c r="AE917" s="67"/>
      <c r="AF917" s="67"/>
      <c r="AG917" s="67"/>
      <c r="AH917" s="70" t="s">
        <v>2910</v>
      </c>
      <c r="AI917" s="67"/>
      <c r="AJ917" s="67"/>
      <c r="AK917" s="67"/>
      <c r="AL917" s="67"/>
      <c r="AM917" s="67"/>
      <c r="AN917" s="67"/>
      <c r="AO917" s="67"/>
      <c r="AP917" s="67"/>
      <c r="AQ917" s="67"/>
      <c r="AR917" s="67"/>
      <c r="AS917" s="636"/>
    </row>
    <row r="918" spans="1:45" ht="15.75" customHeight="1" x14ac:dyDescent="0.3">
      <c r="A918" s="139" t="s">
        <v>2843</v>
      </c>
      <c r="B918" s="553">
        <f>ROUND(R890-G890,0)</f>
        <v>296836</v>
      </c>
      <c r="C918" s="70">
        <f>+ROUND(B918*$C$915,0)</f>
        <v>0</v>
      </c>
      <c r="D918" s="70">
        <f>AS890</f>
        <v>11654</v>
      </c>
      <c r="E918" s="70">
        <f>+B918+C918</f>
        <v>296836</v>
      </c>
      <c r="F918" s="562">
        <f>(D918+E918)</f>
        <v>308490</v>
      </c>
      <c r="G918" s="553">
        <f>ABS(G890)</f>
        <v>0</v>
      </c>
      <c r="H918" s="600">
        <v>13928</v>
      </c>
      <c r="I918" s="600">
        <v>0</v>
      </c>
      <c r="J918" s="70">
        <f>(H918+I918)</f>
        <v>13928</v>
      </c>
      <c r="K918" s="600">
        <v>0</v>
      </c>
      <c r="L918" s="600">
        <v>0</v>
      </c>
      <c r="M918" s="606">
        <f>310496+6592</f>
        <v>317088</v>
      </c>
      <c r="N918" s="607"/>
      <c r="O918" s="630">
        <f>+M918+N918</f>
        <v>317088</v>
      </c>
      <c r="P918" s="628">
        <f>(F918-G918-J918-K918-L918-O918)</f>
        <v>-22526</v>
      </c>
      <c r="Q918" s="70" t="str">
        <f>+IF(P918&gt;=0,ABS(P918),"")</f>
        <v/>
      </c>
      <c r="R918" s="562">
        <f>+IF(P918&lt;=0,ABS(P918),"")</f>
        <v>22526</v>
      </c>
      <c r="S918" s="552"/>
      <c r="AC918" s="642" t="s">
        <v>3041</v>
      </c>
      <c r="AD918" s="687"/>
      <c r="AE918" s="687"/>
      <c r="AF918" s="687"/>
      <c r="AG918" s="687"/>
      <c r="AH918" s="687">
        <v>1.6E-2</v>
      </c>
      <c r="AI918" s="687">
        <v>1.6E-2</v>
      </c>
      <c r="AJ918" s="687">
        <v>1.6E-2</v>
      </c>
      <c r="AK918" s="687">
        <v>1.6E-2</v>
      </c>
      <c r="AL918" s="687">
        <v>1.6E-2</v>
      </c>
      <c r="AM918" s="687">
        <v>1.6E-2</v>
      </c>
      <c r="AN918" s="687">
        <v>1.6E-2</v>
      </c>
      <c r="AO918" s="687">
        <v>1.6E-2</v>
      </c>
      <c r="AP918" s="687">
        <v>1.6E-2</v>
      </c>
      <c r="AQ918" s="687">
        <v>1.6E-2</v>
      </c>
      <c r="AR918" s="687">
        <v>1.6E-2</v>
      </c>
      <c r="AS918" s="592"/>
    </row>
    <row r="919" spans="1:45" ht="15.75" customHeight="1" x14ac:dyDescent="0.3">
      <c r="A919" s="139" t="s">
        <v>2091</v>
      </c>
      <c r="B919" s="553">
        <f t="shared" ref="B919:B929" si="190">ROUND(R891-G891,0)</f>
        <v>192501</v>
      </c>
      <c r="C919" s="70">
        <f t="shared" ref="C919:C929" si="191">+ROUND(B919*$C$915,0)</f>
        <v>0</v>
      </c>
      <c r="D919" s="70">
        <f t="shared" ref="D919:D929" si="192">AS891</f>
        <v>7785</v>
      </c>
      <c r="E919" s="70">
        <f t="shared" ref="E919:E929" si="193">+B919+C919</f>
        <v>192501</v>
      </c>
      <c r="F919" s="562">
        <f t="shared" ref="F919:F929" si="194">(D919+E919)</f>
        <v>200286</v>
      </c>
      <c r="G919" s="553">
        <f t="shared" ref="G919:G929" si="195">ABS(G891)</f>
        <v>39.672042200452069</v>
      </c>
      <c r="H919" s="600">
        <v>9942</v>
      </c>
      <c r="I919" s="600">
        <v>0</v>
      </c>
      <c r="J919" s="70">
        <f t="shared" ref="J919:J928" si="196">(H919+I919)</f>
        <v>9942</v>
      </c>
      <c r="K919" s="600">
        <v>0</v>
      </c>
      <c r="L919" s="600">
        <v>0</v>
      </c>
      <c r="M919" s="606">
        <v>200000</v>
      </c>
      <c r="N919" s="607"/>
      <c r="O919" s="630">
        <f t="shared" ref="O919:O931" si="197">+M919+N919</f>
        <v>200000</v>
      </c>
      <c r="P919" s="628">
        <f t="shared" ref="P919:P929" si="198">(F919-G919-J919-K919-L919-O919)</f>
        <v>-9695.6720422004582</v>
      </c>
      <c r="Q919" s="70" t="str">
        <f t="shared" ref="Q919:Q929" si="199">+IF(P919&gt;=0,ABS(P919),"")</f>
        <v/>
      </c>
      <c r="R919" s="562">
        <f t="shared" ref="R919:R929" si="200">+IF(P919&lt;=0,ABS(P919),"")</f>
        <v>9695.6720422004582</v>
      </c>
      <c r="S919" s="552"/>
      <c r="AC919" s="642" t="s">
        <v>2908</v>
      </c>
      <c r="AD919" s="687"/>
      <c r="AE919" s="687"/>
      <c r="AF919" s="687"/>
      <c r="AG919" s="687"/>
      <c r="AH919" s="687"/>
      <c r="AI919" s="687"/>
      <c r="AJ919" s="687"/>
      <c r="AK919" s="687"/>
      <c r="AL919" s="687"/>
      <c r="AM919" s="687"/>
      <c r="AN919" s="687"/>
      <c r="AO919" s="687"/>
      <c r="AP919" s="687"/>
      <c r="AQ919" s="687"/>
      <c r="AR919" s="687"/>
      <c r="AS919" s="592"/>
    </row>
    <row r="920" spans="1:45" ht="15.75" customHeight="1" x14ac:dyDescent="0.3">
      <c r="A920" s="139" t="s">
        <v>2234</v>
      </c>
      <c r="B920" s="553">
        <f t="shared" si="190"/>
        <v>249628</v>
      </c>
      <c r="C920" s="70">
        <f t="shared" si="191"/>
        <v>0</v>
      </c>
      <c r="D920" s="70">
        <f t="shared" si="192"/>
        <v>10284</v>
      </c>
      <c r="E920" s="70">
        <f t="shared" si="193"/>
        <v>249628</v>
      </c>
      <c r="F920" s="562">
        <f t="shared" si="194"/>
        <v>259912</v>
      </c>
      <c r="G920" s="553">
        <f t="shared" si="195"/>
        <v>991.47371142325903</v>
      </c>
      <c r="H920" s="600">
        <v>16324</v>
      </c>
      <c r="I920" s="600">
        <v>0</v>
      </c>
      <c r="J920" s="70">
        <f t="shared" si="196"/>
        <v>16324</v>
      </c>
      <c r="K920" s="600">
        <v>0</v>
      </c>
      <c r="L920" s="600">
        <v>0</v>
      </c>
      <c r="M920" s="606">
        <v>252960</v>
      </c>
      <c r="N920" s="607"/>
      <c r="O920" s="630">
        <f t="shared" si="197"/>
        <v>252960</v>
      </c>
      <c r="P920" s="628">
        <f t="shared" si="198"/>
        <v>-10363.473711423256</v>
      </c>
      <c r="Q920" s="70" t="str">
        <f t="shared" si="199"/>
        <v/>
      </c>
      <c r="R920" s="562">
        <f t="shared" si="200"/>
        <v>10363.473711423256</v>
      </c>
      <c r="S920" s="552"/>
      <c r="AC920" s="642" t="s">
        <v>2909</v>
      </c>
      <c r="AD920" s="687"/>
      <c r="AE920" s="687"/>
      <c r="AF920" s="687"/>
      <c r="AG920" s="687"/>
      <c r="AH920" s="687"/>
      <c r="AI920" s="687"/>
      <c r="AJ920" s="687"/>
      <c r="AK920" s="687"/>
      <c r="AL920" s="687"/>
      <c r="AM920" s="687"/>
      <c r="AN920" s="687"/>
      <c r="AO920" s="687"/>
      <c r="AP920" s="687"/>
      <c r="AQ920" s="687"/>
      <c r="AR920" s="687"/>
      <c r="AS920" s="592"/>
    </row>
    <row r="921" spans="1:45" ht="15.75" customHeight="1" x14ac:dyDescent="0.3">
      <c r="A921" s="139" t="s">
        <v>2235</v>
      </c>
      <c r="B921" s="553">
        <f t="shared" si="190"/>
        <v>269732</v>
      </c>
      <c r="C921" s="70">
        <f t="shared" si="191"/>
        <v>0</v>
      </c>
      <c r="D921" s="70">
        <f t="shared" si="192"/>
        <v>11162</v>
      </c>
      <c r="E921" s="70">
        <f t="shared" si="193"/>
        <v>269732</v>
      </c>
      <c r="F921" s="562">
        <f t="shared" si="194"/>
        <v>280894</v>
      </c>
      <c r="G921" s="553">
        <f t="shared" si="195"/>
        <v>5559.8033911077664</v>
      </c>
      <c r="H921" s="600">
        <v>17491</v>
      </c>
      <c r="I921" s="600">
        <v>0</v>
      </c>
      <c r="J921" s="70">
        <f t="shared" si="196"/>
        <v>17491</v>
      </c>
      <c r="K921" s="600">
        <v>0</v>
      </c>
      <c r="L921" s="600">
        <v>0</v>
      </c>
      <c r="M921" s="606">
        <f>286080+6592</f>
        <v>292672</v>
      </c>
      <c r="N921" s="607"/>
      <c r="O921" s="630">
        <f t="shared" si="197"/>
        <v>292672</v>
      </c>
      <c r="P921" s="628">
        <f t="shared" si="198"/>
        <v>-34828.803391107765</v>
      </c>
      <c r="Q921" s="70" t="str">
        <f t="shared" si="199"/>
        <v/>
      </c>
      <c r="R921" s="562">
        <f t="shared" si="200"/>
        <v>34828.803391107765</v>
      </c>
      <c r="S921" s="552"/>
      <c r="AC921" s="642" t="s">
        <v>2760</v>
      </c>
      <c r="AD921" s="687"/>
      <c r="AE921" s="687"/>
      <c r="AF921" s="687"/>
      <c r="AG921" s="687"/>
      <c r="AH921" s="687"/>
      <c r="AI921" s="687"/>
      <c r="AJ921" s="687"/>
      <c r="AK921" s="687"/>
      <c r="AL921" s="687"/>
      <c r="AM921" s="687"/>
      <c r="AN921" s="687"/>
      <c r="AO921" s="687"/>
      <c r="AP921" s="687"/>
      <c r="AQ921" s="687"/>
      <c r="AR921" s="687"/>
      <c r="AS921" s="592"/>
    </row>
    <row r="922" spans="1:45" ht="15.75" customHeight="1" x14ac:dyDescent="0.3">
      <c r="A922" s="139" t="s">
        <v>2236</v>
      </c>
      <c r="B922" s="553">
        <f t="shared" si="190"/>
        <v>298810</v>
      </c>
      <c r="C922" s="70">
        <f t="shared" si="191"/>
        <v>0</v>
      </c>
      <c r="D922" s="70">
        <f t="shared" si="192"/>
        <v>12221</v>
      </c>
      <c r="E922" s="70">
        <f t="shared" si="193"/>
        <v>298810</v>
      </c>
      <c r="F922" s="562">
        <f t="shared" si="194"/>
        <v>311031</v>
      </c>
      <c r="G922" s="553">
        <f t="shared" si="195"/>
        <v>556.20099472494246</v>
      </c>
      <c r="H922" s="600">
        <v>12706</v>
      </c>
      <c r="I922" s="600">
        <v>0</v>
      </c>
      <c r="J922" s="70">
        <f t="shared" si="196"/>
        <v>12706</v>
      </c>
      <c r="K922" s="600">
        <v>0</v>
      </c>
      <c r="L922" s="600">
        <v>0</v>
      </c>
      <c r="M922" s="606">
        <f>298344+8160</f>
        <v>306504</v>
      </c>
      <c r="N922" s="607">
        <v>11904</v>
      </c>
      <c r="O922" s="630">
        <f t="shared" si="197"/>
        <v>318408</v>
      </c>
      <c r="P922" s="628">
        <f t="shared" si="198"/>
        <v>-20639.200994724932</v>
      </c>
      <c r="Q922" s="70" t="str">
        <f t="shared" si="199"/>
        <v/>
      </c>
      <c r="R922" s="562">
        <f t="shared" si="200"/>
        <v>20639.200994724932</v>
      </c>
      <c r="S922" s="552"/>
      <c r="AC922" s="642" t="s">
        <v>1114</v>
      </c>
      <c r="AD922" s="687"/>
      <c r="AE922" s="687"/>
      <c r="AF922" s="687"/>
      <c r="AG922" s="687"/>
      <c r="AH922" s="687"/>
      <c r="AI922" s="687"/>
      <c r="AJ922" s="687">
        <v>2.5000000000000001E-2</v>
      </c>
      <c r="AK922" s="687">
        <v>2.5000000000000001E-2</v>
      </c>
      <c r="AL922" s="687">
        <v>2.5000000000000001E-2</v>
      </c>
      <c r="AM922" s="687">
        <v>2.5000000000000001E-2</v>
      </c>
      <c r="AN922" s="687">
        <v>2.5000000000000001E-2</v>
      </c>
      <c r="AO922" s="687">
        <v>2.5000000000000001E-2</v>
      </c>
      <c r="AP922" s="687">
        <v>2.5000000000000001E-2</v>
      </c>
      <c r="AQ922" s="687">
        <v>2.5000000000000001E-2</v>
      </c>
      <c r="AR922" s="687">
        <v>2.5000000000000001E-2</v>
      </c>
      <c r="AS922" s="592"/>
    </row>
    <row r="923" spans="1:45" ht="15.75" customHeight="1" x14ac:dyDescent="0.3">
      <c r="A923" s="139" t="s">
        <v>2237</v>
      </c>
      <c r="B923" s="553">
        <f t="shared" si="190"/>
        <v>156096</v>
      </c>
      <c r="C923" s="70">
        <f t="shared" si="191"/>
        <v>0</v>
      </c>
      <c r="D923" s="70">
        <f t="shared" si="192"/>
        <v>6281</v>
      </c>
      <c r="E923" s="70">
        <f t="shared" si="193"/>
        <v>156096</v>
      </c>
      <c r="F923" s="562">
        <f t="shared" si="194"/>
        <v>162377</v>
      </c>
      <c r="G923" s="553">
        <f t="shared" si="195"/>
        <v>11901.347279577998</v>
      </c>
      <c r="H923" s="600">
        <v>11982</v>
      </c>
      <c r="I923" s="600">
        <v>0</v>
      </c>
      <c r="J923" s="70">
        <f t="shared" si="196"/>
        <v>11982</v>
      </c>
      <c r="K923" s="600">
        <v>0</v>
      </c>
      <c r="L923" s="600">
        <v>0</v>
      </c>
      <c r="M923" s="606">
        <v>143280</v>
      </c>
      <c r="N923" s="607"/>
      <c r="O923" s="630">
        <f t="shared" si="197"/>
        <v>143280</v>
      </c>
      <c r="P923" s="628">
        <f t="shared" si="198"/>
        <v>-4786.3472795780108</v>
      </c>
      <c r="Q923" s="70" t="str">
        <f t="shared" si="199"/>
        <v/>
      </c>
      <c r="R923" s="562">
        <f t="shared" si="200"/>
        <v>4786.3472795780108</v>
      </c>
      <c r="S923" s="552"/>
      <c r="AC923" s="642" t="s">
        <v>2356</v>
      </c>
      <c r="AD923" s="217">
        <f>SUM(AD918:AD922)</f>
        <v>0</v>
      </c>
      <c r="AE923" s="217">
        <f t="shared" ref="AE923:AR923" si="201">SUM(AE918:AE922)</f>
        <v>0</v>
      </c>
      <c r="AF923" s="217">
        <f t="shared" si="201"/>
        <v>0</v>
      </c>
      <c r="AG923" s="217">
        <f t="shared" si="201"/>
        <v>0</v>
      </c>
      <c r="AH923" s="217">
        <f t="shared" si="201"/>
        <v>1.6E-2</v>
      </c>
      <c r="AI923" s="217">
        <f t="shared" si="201"/>
        <v>1.6E-2</v>
      </c>
      <c r="AJ923" s="217">
        <f t="shared" si="201"/>
        <v>4.1000000000000002E-2</v>
      </c>
      <c r="AK923" s="217">
        <f t="shared" si="201"/>
        <v>4.1000000000000002E-2</v>
      </c>
      <c r="AL923" s="217">
        <f t="shared" si="201"/>
        <v>4.1000000000000002E-2</v>
      </c>
      <c r="AM923" s="217">
        <f t="shared" si="201"/>
        <v>4.1000000000000002E-2</v>
      </c>
      <c r="AN923" s="217">
        <f t="shared" si="201"/>
        <v>4.1000000000000002E-2</v>
      </c>
      <c r="AO923" s="217">
        <f t="shared" si="201"/>
        <v>4.1000000000000002E-2</v>
      </c>
      <c r="AP923" s="217">
        <f t="shared" si="201"/>
        <v>4.1000000000000002E-2</v>
      </c>
      <c r="AQ923" s="217">
        <f t="shared" si="201"/>
        <v>4.1000000000000002E-2</v>
      </c>
      <c r="AR923" s="217">
        <f t="shared" si="201"/>
        <v>4.1000000000000002E-2</v>
      </c>
      <c r="AS923" s="592"/>
    </row>
    <row r="924" spans="1:45" ht="15.75" customHeight="1" x14ac:dyDescent="0.3">
      <c r="A924" s="139" t="s">
        <v>1504</v>
      </c>
      <c r="B924" s="553">
        <f t="shared" si="190"/>
        <v>144500</v>
      </c>
      <c r="C924" s="70">
        <f t="shared" si="191"/>
        <v>0</v>
      </c>
      <c r="D924" s="70">
        <f t="shared" si="192"/>
        <v>5765</v>
      </c>
      <c r="E924" s="70">
        <f t="shared" si="193"/>
        <v>144500</v>
      </c>
      <c r="F924" s="562">
        <f t="shared" si="194"/>
        <v>150265</v>
      </c>
      <c r="G924" s="553">
        <f t="shared" si="195"/>
        <v>10607.021853805576</v>
      </c>
      <c r="H924" s="600">
        <v>10570</v>
      </c>
      <c r="I924" s="600">
        <v>0</v>
      </c>
      <c r="J924" s="70">
        <f t="shared" si="196"/>
        <v>10570</v>
      </c>
      <c r="K924" s="600">
        <v>0</v>
      </c>
      <c r="L924" s="600">
        <v>0</v>
      </c>
      <c r="M924" s="606">
        <v>150288</v>
      </c>
      <c r="N924" s="607"/>
      <c r="O924" s="630">
        <f t="shared" si="197"/>
        <v>150288</v>
      </c>
      <c r="P924" s="628">
        <f t="shared" si="198"/>
        <v>-21200.021853805578</v>
      </c>
      <c r="Q924" s="70" t="str">
        <f t="shared" si="199"/>
        <v/>
      </c>
      <c r="R924" s="562">
        <f t="shared" si="200"/>
        <v>21200.021853805578</v>
      </c>
      <c r="S924" s="552"/>
      <c r="AC924" s="553" t="s">
        <v>1353</v>
      </c>
      <c r="AD924" s="70" t="s">
        <v>1353</v>
      </c>
      <c r="AE924" s="70" t="s">
        <v>1353</v>
      </c>
      <c r="AF924" s="70" t="s">
        <v>1353</v>
      </c>
      <c r="AG924" s="70" t="s">
        <v>1353</v>
      </c>
      <c r="AH924" s="70" t="s">
        <v>1353</v>
      </c>
      <c r="AI924" s="70" t="s">
        <v>1353</v>
      </c>
      <c r="AJ924" s="70" t="s">
        <v>1353</v>
      </c>
      <c r="AK924" s="70" t="s">
        <v>1353</v>
      </c>
      <c r="AL924" s="70" t="s">
        <v>1353</v>
      </c>
      <c r="AM924" s="70" t="s">
        <v>1353</v>
      </c>
      <c r="AN924" s="70" t="s">
        <v>1353</v>
      </c>
      <c r="AO924" s="70" t="s">
        <v>1353</v>
      </c>
      <c r="AP924" s="70" t="s">
        <v>1353</v>
      </c>
      <c r="AQ924" s="70" t="s">
        <v>1353</v>
      </c>
      <c r="AR924" s="70" t="s">
        <v>1353</v>
      </c>
      <c r="AS924" s="592" t="s">
        <v>1353</v>
      </c>
    </row>
    <row r="925" spans="1:45" ht="15.75" customHeight="1" x14ac:dyDescent="0.3">
      <c r="A925" s="139" t="s">
        <v>1505</v>
      </c>
      <c r="B925" s="553">
        <f t="shared" si="190"/>
        <v>139157</v>
      </c>
      <c r="C925" s="70">
        <f t="shared" si="191"/>
        <v>0</v>
      </c>
      <c r="D925" s="70">
        <f t="shared" si="192"/>
        <v>5553</v>
      </c>
      <c r="E925" s="70">
        <f t="shared" si="193"/>
        <v>139157</v>
      </c>
      <c r="F925" s="562">
        <f t="shared" si="194"/>
        <v>144710</v>
      </c>
      <c r="G925" s="553">
        <f t="shared" si="195"/>
        <v>9196.623408364112</v>
      </c>
      <c r="H925" s="600">
        <v>11469</v>
      </c>
      <c r="I925" s="600">
        <v>0</v>
      </c>
      <c r="J925" s="70">
        <f t="shared" si="196"/>
        <v>11469</v>
      </c>
      <c r="K925" s="600">
        <v>0</v>
      </c>
      <c r="L925" s="600">
        <v>0</v>
      </c>
      <c r="M925" s="606">
        <v>157728</v>
      </c>
      <c r="N925" s="607"/>
      <c r="O925" s="630">
        <f t="shared" si="197"/>
        <v>157728</v>
      </c>
      <c r="P925" s="628">
        <f t="shared" si="198"/>
        <v>-33683.623408364103</v>
      </c>
      <c r="Q925" s="70" t="str">
        <f t="shared" si="199"/>
        <v/>
      </c>
      <c r="R925" s="562">
        <f t="shared" si="200"/>
        <v>33683.623408364103</v>
      </c>
      <c r="S925" s="552"/>
      <c r="AC925" s="642" t="s">
        <v>2843</v>
      </c>
      <c r="AD925" s="67">
        <f>ROUND(B890*$AD$923, 0)</f>
        <v>0</v>
      </c>
      <c r="AE925" s="67">
        <f>ROUND(C890*$AE$923,0)</f>
        <v>0</v>
      </c>
      <c r="AF925" s="67">
        <f>ROUND(D890*$AF$923,0)</f>
        <v>0</v>
      </c>
      <c r="AG925" s="67">
        <f>ROUND(E890*$AG$923,0)</f>
        <v>0</v>
      </c>
      <c r="AH925" s="67">
        <f>ROUND(F890*$AH$923,0)</f>
        <v>397</v>
      </c>
      <c r="AI925" s="67">
        <f>ROUND(H890*$AI$923,0)</f>
        <v>61</v>
      </c>
      <c r="AJ925" s="67">
        <f>ROUND(I890*$AJ$923,0)</f>
        <v>112</v>
      </c>
      <c r="AK925" s="67">
        <f>ROUND(J890*$AK$923,0)</f>
        <v>164</v>
      </c>
      <c r="AL925" s="67">
        <f>ROUND(K890*$AL$923,0)</f>
        <v>161</v>
      </c>
      <c r="AM925" s="67">
        <f>ROUND(L890*$AM$923,0)</f>
        <v>59</v>
      </c>
      <c r="AN925" s="67">
        <f>ROUND(M890*$AN$923,0)</f>
        <v>70</v>
      </c>
      <c r="AO925" s="67">
        <f>ROUND(N890*$AO$923,0)</f>
        <v>146</v>
      </c>
      <c r="AP925" s="67">
        <f>ROUND(O890*$AP$923,0)</f>
        <v>9</v>
      </c>
      <c r="AQ925" s="67">
        <f>ROUND(P890*$AQ$923,0)</f>
        <v>27</v>
      </c>
      <c r="AR925" s="67">
        <f>ROUND(Q890*$AR$923,0)</f>
        <v>21</v>
      </c>
      <c r="AS925" s="636">
        <f>SUM(AD925:AR925)</f>
        <v>1227</v>
      </c>
    </row>
    <row r="926" spans="1:45" ht="15.75" customHeight="1" x14ac:dyDescent="0.3">
      <c r="A926" s="139" t="s">
        <v>1506</v>
      </c>
      <c r="B926" s="553">
        <f t="shared" si="190"/>
        <v>272551</v>
      </c>
      <c r="C926" s="70">
        <f t="shared" si="191"/>
        <v>0</v>
      </c>
      <c r="D926" s="70">
        <f t="shared" si="192"/>
        <v>11229</v>
      </c>
      <c r="E926" s="70">
        <f t="shared" si="193"/>
        <v>272551</v>
      </c>
      <c r="F926" s="562">
        <f t="shared" si="194"/>
        <v>283780</v>
      </c>
      <c r="G926" s="553">
        <f t="shared" si="195"/>
        <v>201.82739758586868</v>
      </c>
      <c r="H926" s="600">
        <v>10506</v>
      </c>
      <c r="I926" s="600">
        <v>0</v>
      </c>
      <c r="J926" s="70">
        <v>10304</v>
      </c>
      <c r="K926" s="600">
        <v>0</v>
      </c>
      <c r="L926" s="600">
        <v>0</v>
      </c>
      <c r="M926" s="606">
        <v>226560</v>
      </c>
      <c r="N926" s="607">
        <v>71520</v>
      </c>
      <c r="O926" s="630">
        <f t="shared" si="197"/>
        <v>298080</v>
      </c>
      <c r="P926" s="628">
        <f t="shared" si="198"/>
        <v>-24805.827397585846</v>
      </c>
      <c r="Q926" s="70" t="str">
        <f t="shared" si="199"/>
        <v/>
      </c>
      <c r="R926" s="562">
        <f t="shared" si="200"/>
        <v>24805.827397585846</v>
      </c>
      <c r="S926" s="552"/>
      <c r="AC926" s="642" t="s">
        <v>2091</v>
      </c>
      <c r="AD926" s="67">
        <f t="shared" ref="AD926:AD936" si="202">ROUND(B891*$AD$923, 0)</f>
        <v>0</v>
      </c>
      <c r="AE926" s="67">
        <f t="shared" ref="AE926:AE936" si="203">ROUND(C891*$AE$923,0)</f>
        <v>0</v>
      </c>
      <c r="AF926" s="67">
        <f t="shared" ref="AF926:AF936" si="204">ROUND(D891*$AF$923,0)</f>
        <v>0</v>
      </c>
      <c r="AG926" s="67">
        <f t="shared" ref="AG926:AG936" si="205">ROUND(E891*$AG$923,0)</f>
        <v>0</v>
      </c>
      <c r="AH926" s="67">
        <f t="shared" ref="AH926:AH936" si="206">ROUND(F891*$AH$923,0)</f>
        <v>85</v>
      </c>
      <c r="AI926" s="67">
        <f t="shared" ref="AI926:AI936" si="207">ROUND(H891*$AI$923,0)</f>
        <v>84</v>
      </c>
      <c r="AJ926" s="67">
        <f t="shared" ref="AJ926:AJ936" si="208">ROUND(I891*$AJ$923,0)</f>
        <v>164</v>
      </c>
      <c r="AK926" s="67">
        <f t="shared" ref="AK926:AK936" si="209">ROUND(J891*$AK$923,0)</f>
        <v>233</v>
      </c>
      <c r="AL926" s="67">
        <f t="shared" ref="AL926:AL936" si="210">ROUND(K891*$AL$923,0)</f>
        <v>231</v>
      </c>
      <c r="AM926" s="67">
        <f t="shared" ref="AM926:AM936" si="211">ROUND(L891*$AM$923,0)</f>
        <v>72</v>
      </c>
      <c r="AN926" s="67">
        <f t="shared" ref="AN926:AN936" si="212">ROUND(M891*$AN$923,0)</f>
        <v>85</v>
      </c>
      <c r="AO926" s="67">
        <f t="shared" ref="AO926:AO936" si="213">ROUND(N891*$AO$923,0)</f>
        <v>170</v>
      </c>
      <c r="AP926" s="67">
        <f t="shared" ref="AP926:AP936" si="214">ROUND(O891*$AP$923,0)</f>
        <v>29</v>
      </c>
      <c r="AQ926" s="67">
        <f t="shared" ref="AQ926:AQ936" si="215">ROUND(P891*$AQ$923,0)</f>
        <v>52</v>
      </c>
      <c r="AR926" s="67">
        <f t="shared" ref="AR926:AR936" si="216">ROUND(Q891*$AR$923,0)</f>
        <v>69</v>
      </c>
      <c r="AS926" s="636">
        <f t="shared" ref="AS926:AS936" si="217">SUM(AD926:AR926)</f>
        <v>1274</v>
      </c>
    </row>
    <row r="927" spans="1:45" ht="15.75" customHeight="1" x14ac:dyDescent="0.3">
      <c r="A927" s="139" t="s">
        <v>1507</v>
      </c>
      <c r="B927" s="553">
        <f t="shared" si="190"/>
        <v>196589</v>
      </c>
      <c r="C927" s="70">
        <f t="shared" si="191"/>
        <v>0</v>
      </c>
      <c r="D927" s="70">
        <f t="shared" si="192"/>
        <v>8086</v>
      </c>
      <c r="E927" s="70">
        <f t="shared" si="193"/>
        <v>196589</v>
      </c>
      <c r="F927" s="562">
        <f t="shared" si="194"/>
        <v>204675</v>
      </c>
      <c r="G927" s="553">
        <f t="shared" si="195"/>
        <v>1136.4743330821393</v>
      </c>
      <c r="H927" s="600">
        <v>7000</v>
      </c>
      <c r="I927" s="600">
        <v>0</v>
      </c>
      <c r="J927" s="70">
        <f t="shared" si="196"/>
        <v>7000</v>
      </c>
      <c r="K927" s="600">
        <v>0</v>
      </c>
      <c r="L927" s="600">
        <v>0</v>
      </c>
      <c r="M927" s="606">
        <f>187488+6464</f>
        <v>193952</v>
      </c>
      <c r="N927" s="607"/>
      <c r="O927" s="630">
        <f t="shared" si="197"/>
        <v>193952</v>
      </c>
      <c r="P927" s="628">
        <f t="shared" si="198"/>
        <v>2586.5256669178489</v>
      </c>
      <c r="Q927" s="70">
        <f t="shared" si="199"/>
        <v>2586.5256669178489</v>
      </c>
      <c r="R927" s="562" t="str">
        <f t="shared" si="200"/>
        <v/>
      </c>
      <c r="S927" s="552"/>
      <c r="AC927" s="642" t="s">
        <v>2234</v>
      </c>
      <c r="AD927" s="67">
        <f t="shared" si="202"/>
        <v>0</v>
      </c>
      <c r="AE927" s="67">
        <f t="shared" si="203"/>
        <v>0</v>
      </c>
      <c r="AF927" s="67">
        <f t="shared" si="204"/>
        <v>0</v>
      </c>
      <c r="AG927" s="67">
        <f t="shared" si="205"/>
        <v>0</v>
      </c>
      <c r="AH927" s="67">
        <f t="shared" si="206"/>
        <v>42</v>
      </c>
      <c r="AI927" s="67">
        <f t="shared" si="207"/>
        <v>152</v>
      </c>
      <c r="AJ927" s="67">
        <f t="shared" si="208"/>
        <v>219</v>
      </c>
      <c r="AK927" s="67">
        <f t="shared" si="209"/>
        <v>283</v>
      </c>
      <c r="AL927" s="67">
        <f t="shared" si="210"/>
        <v>253</v>
      </c>
      <c r="AM927" s="67">
        <f t="shared" si="211"/>
        <v>86</v>
      </c>
      <c r="AN927" s="67">
        <f t="shared" si="212"/>
        <v>101</v>
      </c>
      <c r="AO927" s="67">
        <f t="shared" si="213"/>
        <v>197</v>
      </c>
      <c r="AP927" s="67">
        <f t="shared" si="214"/>
        <v>33</v>
      </c>
      <c r="AQ927" s="67">
        <f t="shared" si="215"/>
        <v>73</v>
      </c>
      <c r="AR927" s="67">
        <f t="shared" si="216"/>
        <v>77</v>
      </c>
      <c r="AS927" s="636">
        <f t="shared" si="217"/>
        <v>1516</v>
      </c>
    </row>
    <row r="928" spans="1:45" ht="15.75" customHeight="1" x14ac:dyDescent="0.3">
      <c r="A928" s="139" t="s">
        <v>1508</v>
      </c>
      <c r="B928" s="553">
        <f t="shared" si="190"/>
        <v>188096</v>
      </c>
      <c r="C928" s="70">
        <f t="shared" si="191"/>
        <v>0</v>
      </c>
      <c r="D928" s="70">
        <f t="shared" si="192"/>
        <v>7689</v>
      </c>
      <c r="E928" s="70">
        <f t="shared" si="193"/>
        <v>188096</v>
      </c>
      <c r="F928" s="562">
        <f t="shared" si="194"/>
        <v>195785</v>
      </c>
      <c r="G928" s="553">
        <f t="shared" si="195"/>
        <v>0</v>
      </c>
      <c r="H928" s="600">
        <v>10000</v>
      </c>
      <c r="I928" s="600">
        <v>0</v>
      </c>
      <c r="J928" s="70">
        <f t="shared" si="196"/>
        <v>10000</v>
      </c>
      <c r="K928" s="600">
        <v>0</v>
      </c>
      <c r="L928" s="600">
        <v>0</v>
      </c>
      <c r="M928" s="606">
        <f>185040+8160</f>
        <v>193200</v>
      </c>
      <c r="N928" s="607"/>
      <c r="O928" s="630">
        <f t="shared" si="197"/>
        <v>193200</v>
      </c>
      <c r="P928" s="628">
        <f t="shared" si="198"/>
        <v>-7415</v>
      </c>
      <c r="Q928" s="70" t="str">
        <f t="shared" si="199"/>
        <v/>
      </c>
      <c r="R928" s="562">
        <f t="shared" si="200"/>
        <v>7415</v>
      </c>
      <c r="S928" s="552"/>
      <c r="AC928" s="642" t="s">
        <v>2235</v>
      </c>
      <c r="AD928" s="67">
        <f t="shared" si="202"/>
        <v>0</v>
      </c>
      <c r="AE928" s="67">
        <f t="shared" si="203"/>
        <v>0</v>
      </c>
      <c r="AF928" s="67">
        <f t="shared" si="204"/>
        <v>0</v>
      </c>
      <c r="AG928" s="67">
        <f t="shared" si="205"/>
        <v>0</v>
      </c>
      <c r="AH928" s="67">
        <f t="shared" si="206"/>
        <v>4</v>
      </c>
      <c r="AI928" s="67">
        <f t="shared" si="207"/>
        <v>209</v>
      </c>
      <c r="AJ928" s="67">
        <f t="shared" si="208"/>
        <v>290</v>
      </c>
      <c r="AK928" s="67">
        <f t="shared" si="209"/>
        <v>349</v>
      </c>
      <c r="AL928" s="67">
        <f t="shared" si="210"/>
        <v>288</v>
      </c>
      <c r="AM928" s="67">
        <f t="shared" si="211"/>
        <v>85</v>
      </c>
      <c r="AN928" s="67">
        <f t="shared" si="212"/>
        <v>100</v>
      </c>
      <c r="AO928" s="67">
        <f t="shared" si="213"/>
        <v>204</v>
      </c>
      <c r="AP928" s="67">
        <f t="shared" si="214"/>
        <v>32</v>
      </c>
      <c r="AQ928" s="67">
        <f t="shared" si="215"/>
        <v>83</v>
      </c>
      <c r="AR928" s="67">
        <f t="shared" si="216"/>
        <v>75</v>
      </c>
      <c r="AS928" s="636">
        <f t="shared" si="217"/>
        <v>1719</v>
      </c>
    </row>
    <row r="929" spans="1:45" ht="15.75" customHeight="1" x14ac:dyDescent="0.3">
      <c r="A929" s="139" t="s">
        <v>1509</v>
      </c>
      <c r="B929" s="553">
        <f t="shared" si="190"/>
        <v>214713</v>
      </c>
      <c r="C929" s="70">
        <f t="shared" si="191"/>
        <v>0</v>
      </c>
      <c r="D929" s="70">
        <f t="shared" si="192"/>
        <v>8703</v>
      </c>
      <c r="E929" s="70">
        <f t="shared" si="193"/>
        <v>214713</v>
      </c>
      <c r="F929" s="562">
        <f t="shared" si="194"/>
        <v>223416</v>
      </c>
      <c r="G929" s="553">
        <f t="shared" si="195"/>
        <v>0</v>
      </c>
      <c r="H929" s="600">
        <v>7500</v>
      </c>
      <c r="I929" s="600">
        <v>0</v>
      </c>
      <c r="J929" s="70">
        <f>(H929+I929)</f>
        <v>7500</v>
      </c>
      <c r="K929" s="600">
        <v>0</v>
      </c>
      <c r="L929" s="600">
        <v>0</v>
      </c>
      <c r="M929" s="606">
        <f>189720+6528</f>
        <v>196248</v>
      </c>
      <c r="N929" s="607">
        <v>28296</v>
      </c>
      <c r="O929" s="630">
        <f t="shared" si="197"/>
        <v>224544</v>
      </c>
      <c r="P929" s="628">
        <f t="shared" si="198"/>
        <v>-8628</v>
      </c>
      <c r="Q929" s="70" t="str">
        <f t="shared" si="199"/>
        <v/>
      </c>
      <c r="R929" s="562">
        <f t="shared" si="200"/>
        <v>8628</v>
      </c>
      <c r="S929" s="552"/>
      <c r="AC929" s="642" t="s">
        <v>2236</v>
      </c>
      <c r="AD929" s="67">
        <f t="shared" si="202"/>
        <v>0</v>
      </c>
      <c r="AE929" s="67">
        <f t="shared" si="203"/>
        <v>0</v>
      </c>
      <c r="AF929" s="67">
        <f t="shared" si="204"/>
        <v>0</v>
      </c>
      <c r="AG929" s="67">
        <f t="shared" si="205"/>
        <v>0</v>
      </c>
      <c r="AH929" s="67">
        <f t="shared" si="206"/>
        <v>130</v>
      </c>
      <c r="AI929" s="67">
        <f t="shared" si="207"/>
        <v>157</v>
      </c>
      <c r="AJ929" s="67">
        <f t="shared" si="208"/>
        <v>192</v>
      </c>
      <c r="AK929" s="67">
        <f t="shared" si="209"/>
        <v>271</v>
      </c>
      <c r="AL929" s="67">
        <f t="shared" si="210"/>
        <v>252</v>
      </c>
      <c r="AM929" s="67">
        <f t="shared" si="211"/>
        <v>82</v>
      </c>
      <c r="AN929" s="67">
        <f t="shared" si="212"/>
        <v>97</v>
      </c>
      <c r="AO929" s="67">
        <f t="shared" si="213"/>
        <v>191</v>
      </c>
      <c r="AP929" s="67">
        <f t="shared" si="214"/>
        <v>27</v>
      </c>
      <c r="AQ929" s="67">
        <f t="shared" si="215"/>
        <v>90</v>
      </c>
      <c r="AR929" s="67">
        <f t="shared" si="216"/>
        <v>64</v>
      </c>
      <c r="AS929" s="636">
        <f t="shared" si="217"/>
        <v>1553</v>
      </c>
    </row>
    <row r="930" spans="1:45" ht="15.75" customHeight="1" x14ac:dyDescent="0.3">
      <c r="A930" s="592" t="s">
        <v>2435</v>
      </c>
      <c r="B930" s="553" t="s">
        <v>2435</v>
      </c>
      <c r="C930" s="70"/>
      <c r="D930" s="70"/>
      <c r="E930" s="70" t="s">
        <v>852</v>
      </c>
      <c r="F930" s="562"/>
      <c r="G930" s="553"/>
      <c r="H930" s="70"/>
      <c r="I930" s="70" t="s">
        <v>852</v>
      </c>
      <c r="J930" s="70" t="s">
        <v>852</v>
      </c>
      <c r="K930" s="601"/>
      <c r="L930" s="70"/>
      <c r="M930" s="606"/>
      <c r="N930" s="607"/>
      <c r="O930" s="630">
        <f t="shared" si="197"/>
        <v>0</v>
      </c>
      <c r="P930" s="628"/>
      <c r="Q930" s="70"/>
      <c r="R930" s="562"/>
      <c r="S930" s="552"/>
      <c r="AC930" s="642" t="s">
        <v>2237</v>
      </c>
      <c r="AD930" s="67">
        <f t="shared" si="202"/>
        <v>0</v>
      </c>
      <c r="AE930" s="67">
        <f t="shared" si="203"/>
        <v>0</v>
      </c>
      <c r="AF930" s="67">
        <f t="shared" si="204"/>
        <v>0</v>
      </c>
      <c r="AG930" s="67">
        <f t="shared" si="205"/>
        <v>0</v>
      </c>
      <c r="AH930" s="67">
        <f t="shared" si="206"/>
        <v>1</v>
      </c>
      <c r="AI930" s="67">
        <f t="shared" si="207"/>
        <v>178</v>
      </c>
      <c r="AJ930" s="67">
        <f t="shared" si="208"/>
        <v>211</v>
      </c>
      <c r="AK930" s="67">
        <f t="shared" si="209"/>
        <v>244</v>
      </c>
      <c r="AL930" s="67">
        <f t="shared" si="210"/>
        <v>220</v>
      </c>
      <c r="AM930" s="67">
        <f t="shared" si="211"/>
        <v>81</v>
      </c>
      <c r="AN930" s="67">
        <f t="shared" si="212"/>
        <v>95</v>
      </c>
      <c r="AO930" s="67">
        <f t="shared" si="213"/>
        <v>192</v>
      </c>
      <c r="AP930" s="67">
        <f t="shared" si="214"/>
        <v>39</v>
      </c>
      <c r="AQ930" s="67">
        <f t="shared" si="215"/>
        <v>83</v>
      </c>
      <c r="AR930" s="67">
        <f t="shared" si="216"/>
        <v>90</v>
      </c>
      <c r="AS930" s="636">
        <f t="shared" si="217"/>
        <v>1434</v>
      </c>
    </row>
    <row r="931" spans="1:45" ht="16.5" customHeight="1" thickBot="1" x14ac:dyDescent="0.35">
      <c r="A931" s="596" t="s">
        <v>2356</v>
      </c>
      <c r="B931" s="558">
        <f>SUM(B918:B929)</f>
        <v>2619209</v>
      </c>
      <c r="C931" s="564">
        <f>+SUM(C918:C929)</f>
        <v>0</v>
      </c>
      <c r="D931" s="564">
        <f>SUM(D918:D929)</f>
        <v>106412</v>
      </c>
      <c r="E931" s="564">
        <f>(B931*1.005)</f>
        <v>2632305.0449999999</v>
      </c>
      <c r="F931" s="602">
        <f>SUM(F918:F929)</f>
        <v>2725621</v>
      </c>
      <c r="G931" s="558">
        <f>SUM(G918:G929)</f>
        <v>40190.444411872108</v>
      </c>
      <c r="H931" s="564">
        <f>SUM(H918:H929)</f>
        <v>139418</v>
      </c>
      <c r="I931" s="564">
        <f>SUM(I918:I929)</f>
        <v>0</v>
      </c>
      <c r="J931" s="564">
        <f>(H931+I931)</f>
        <v>139418</v>
      </c>
      <c r="K931" s="564">
        <f>SUM(K918:K929)</f>
        <v>0</v>
      </c>
      <c r="L931" s="564">
        <f>SUM(L918:L929)</f>
        <v>0</v>
      </c>
      <c r="M931" s="608">
        <f>SUM(M918:M929)</f>
        <v>2630480</v>
      </c>
      <c r="N931" s="609">
        <f>SUM(N918:N929)</f>
        <v>111720</v>
      </c>
      <c r="O931" s="631">
        <f t="shared" si="197"/>
        <v>2742200</v>
      </c>
      <c r="P931" s="629">
        <f>(F931-G931-J931-K931-L931-O931)</f>
        <v>-196187.44441187195</v>
      </c>
      <c r="Q931" s="564">
        <f>+SUM(Q918:Q929)</f>
        <v>2586.5256669178489</v>
      </c>
      <c r="R931" s="602">
        <f>+SUM(R918:R929)</f>
        <v>198571.97007878995</v>
      </c>
      <c r="S931" s="552"/>
      <c r="AC931" s="642" t="s">
        <v>1504</v>
      </c>
      <c r="AD931" s="67">
        <f t="shared" si="202"/>
        <v>0</v>
      </c>
      <c r="AE931" s="67">
        <f t="shared" si="203"/>
        <v>0</v>
      </c>
      <c r="AF931" s="67">
        <f t="shared" si="204"/>
        <v>0</v>
      </c>
      <c r="AG931" s="67">
        <f t="shared" si="205"/>
        <v>0</v>
      </c>
      <c r="AH931" s="67">
        <f t="shared" si="206"/>
        <v>0</v>
      </c>
      <c r="AI931" s="67">
        <f t="shared" si="207"/>
        <v>157</v>
      </c>
      <c r="AJ931" s="67">
        <f t="shared" si="208"/>
        <v>272</v>
      </c>
      <c r="AK931" s="67">
        <f t="shared" si="209"/>
        <v>301</v>
      </c>
      <c r="AL931" s="67">
        <f t="shared" si="210"/>
        <v>255</v>
      </c>
      <c r="AM931" s="67">
        <f t="shared" si="211"/>
        <v>73</v>
      </c>
      <c r="AN931" s="67">
        <f t="shared" si="212"/>
        <v>86</v>
      </c>
      <c r="AO931" s="67">
        <f t="shared" si="213"/>
        <v>167</v>
      </c>
      <c r="AP931" s="67">
        <f t="shared" si="214"/>
        <v>29</v>
      </c>
      <c r="AQ931" s="67">
        <f t="shared" si="215"/>
        <v>77</v>
      </c>
      <c r="AR931" s="67">
        <f t="shared" si="216"/>
        <v>69</v>
      </c>
      <c r="AS931" s="636">
        <f t="shared" si="217"/>
        <v>1486</v>
      </c>
    </row>
    <row r="932" spans="1:45" ht="15.75" customHeight="1" x14ac:dyDescent="0.3">
      <c r="A932" s="579"/>
      <c r="B932" s="67"/>
      <c r="C932" s="67"/>
      <c r="D932" s="67"/>
      <c r="E932" s="67"/>
      <c r="F932" s="67" t="s">
        <v>2435</v>
      </c>
      <c r="G932" s="67"/>
      <c r="H932" s="67"/>
      <c r="I932" s="67"/>
      <c r="K932" s="67"/>
      <c r="L932" s="67"/>
      <c r="M932" s="219"/>
      <c r="O932" s="561"/>
      <c r="P932" s="67"/>
      <c r="S932" s="561"/>
      <c r="AC932" s="642" t="s">
        <v>1505</v>
      </c>
      <c r="AD932" s="67">
        <f t="shared" si="202"/>
        <v>0</v>
      </c>
      <c r="AE932" s="67">
        <f t="shared" si="203"/>
        <v>0</v>
      </c>
      <c r="AF932" s="67">
        <f t="shared" si="204"/>
        <v>0</v>
      </c>
      <c r="AG932" s="67">
        <f t="shared" si="205"/>
        <v>0</v>
      </c>
      <c r="AH932" s="67">
        <f t="shared" si="206"/>
        <v>0</v>
      </c>
      <c r="AI932" s="67">
        <f t="shared" si="207"/>
        <v>161</v>
      </c>
      <c r="AJ932" s="67">
        <f t="shared" si="208"/>
        <v>245</v>
      </c>
      <c r="AK932" s="67">
        <f t="shared" si="209"/>
        <v>269</v>
      </c>
      <c r="AL932" s="67">
        <f t="shared" si="210"/>
        <v>222</v>
      </c>
      <c r="AM932" s="67">
        <f t="shared" si="211"/>
        <v>76</v>
      </c>
      <c r="AN932" s="67">
        <f t="shared" si="212"/>
        <v>90</v>
      </c>
      <c r="AO932" s="67">
        <f t="shared" si="213"/>
        <v>170</v>
      </c>
      <c r="AP932" s="67">
        <f t="shared" si="214"/>
        <v>33</v>
      </c>
      <c r="AQ932" s="67">
        <f t="shared" si="215"/>
        <v>78</v>
      </c>
      <c r="AR932" s="67">
        <f t="shared" si="216"/>
        <v>78</v>
      </c>
      <c r="AS932" s="636">
        <f t="shared" si="217"/>
        <v>1422</v>
      </c>
    </row>
    <row r="933" spans="1:45" ht="15.75" customHeight="1" x14ac:dyDescent="0.3">
      <c r="A933" s="551" t="s">
        <v>2640</v>
      </c>
      <c r="O933" s="561"/>
      <c r="P933" s="67"/>
      <c r="Q933" s="67"/>
      <c r="R933" s="67"/>
      <c r="S933" s="561"/>
      <c r="AC933" s="642" t="s">
        <v>1506</v>
      </c>
      <c r="AD933" s="67">
        <f t="shared" si="202"/>
        <v>0</v>
      </c>
      <c r="AE933" s="67">
        <f t="shared" si="203"/>
        <v>0</v>
      </c>
      <c r="AF933" s="67">
        <f t="shared" si="204"/>
        <v>0</v>
      </c>
      <c r="AG933" s="67">
        <f t="shared" si="205"/>
        <v>0</v>
      </c>
      <c r="AH933" s="67">
        <f t="shared" si="206"/>
        <v>112</v>
      </c>
      <c r="AI933" s="67">
        <f t="shared" si="207"/>
        <v>113</v>
      </c>
      <c r="AJ933" s="67">
        <f t="shared" si="208"/>
        <v>170</v>
      </c>
      <c r="AK933" s="67">
        <f t="shared" si="209"/>
        <v>212</v>
      </c>
      <c r="AL933" s="67">
        <f t="shared" si="210"/>
        <v>197</v>
      </c>
      <c r="AM933" s="67">
        <f t="shared" si="211"/>
        <v>72</v>
      </c>
      <c r="AN933" s="67">
        <f t="shared" si="212"/>
        <v>85</v>
      </c>
      <c r="AO933" s="67">
        <f t="shared" si="213"/>
        <v>158</v>
      </c>
      <c r="AP933" s="67">
        <f t="shared" si="214"/>
        <v>24</v>
      </c>
      <c r="AQ933" s="67">
        <f t="shared" si="215"/>
        <v>68</v>
      </c>
      <c r="AR933" s="67">
        <f t="shared" si="216"/>
        <v>57</v>
      </c>
      <c r="AS933" s="636">
        <f t="shared" si="217"/>
        <v>1268</v>
      </c>
    </row>
    <row r="934" spans="1:45" ht="15.75" customHeight="1" x14ac:dyDescent="0.3">
      <c r="A934" s="551" t="s">
        <v>1660</v>
      </c>
      <c r="D934" s="67"/>
      <c r="E934" s="67"/>
      <c r="F934" s="67"/>
      <c r="G934" s="67"/>
      <c r="H934" s="67"/>
      <c r="I934" s="67"/>
      <c r="J934" s="67"/>
      <c r="K934" s="67"/>
      <c r="L934" s="67"/>
      <c r="M934" s="67"/>
      <c r="N934" s="67"/>
      <c r="O934" s="552"/>
      <c r="P934" s="67"/>
      <c r="Q934" s="67"/>
      <c r="R934" s="67"/>
      <c r="S934" s="561"/>
      <c r="AC934" s="642" t="s">
        <v>1507</v>
      </c>
      <c r="AD934" s="67">
        <f t="shared" si="202"/>
        <v>0</v>
      </c>
      <c r="AE934" s="67">
        <f t="shared" si="203"/>
        <v>0</v>
      </c>
      <c r="AF934" s="67">
        <f t="shared" si="204"/>
        <v>0</v>
      </c>
      <c r="AG934" s="67">
        <f t="shared" si="205"/>
        <v>0</v>
      </c>
      <c r="AH934" s="67">
        <f t="shared" si="206"/>
        <v>80</v>
      </c>
      <c r="AI934" s="67">
        <f t="shared" si="207"/>
        <v>90</v>
      </c>
      <c r="AJ934" s="67">
        <f t="shared" si="208"/>
        <v>112</v>
      </c>
      <c r="AK934" s="67">
        <f t="shared" si="209"/>
        <v>154</v>
      </c>
      <c r="AL934" s="67">
        <f t="shared" si="210"/>
        <v>137</v>
      </c>
      <c r="AM934" s="67">
        <f t="shared" si="211"/>
        <v>51</v>
      </c>
      <c r="AN934" s="67">
        <f t="shared" si="212"/>
        <v>60</v>
      </c>
      <c r="AO934" s="67">
        <f t="shared" si="213"/>
        <v>116</v>
      </c>
      <c r="AP934" s="67">
        <f t="shared" si="214"/>
        <v>25</v>
      </c>
      <c r="AQ934" s="67">
        <f t="shared" si="215"/>
        <v>62</v>
      </c>
      <c r="AR934" s="67">
        <f t="shared" si="216"/>
        <v>59</v>
      </c>
      <c r="AS934" s="636">
        <f t="shared" si="217"/>
        <v>946</v>
      </c>
    </row>
    <row r="935" spans="1:45" ht="15.75" customHeight="1" x14ac:dyDescent="0.3">
      <c r="A935" s="551" t="s">
        <v>2853</v>
      </c>
      <c r="D935" s="67"/>
      <c r="E935" s="67"/>
      <c r="F935" s="67"/>
      <c r="G935" s="67"/>
      <c r="H935" s="67"/>
      <c r="I935" s="67"/>
      <c r="J935" s="67"/>
      <c r="K935" s="67"/>
      <c r="L935" s="67"/>
      <c r="M935" s="67"/>
      <c r="N935" s="67"/>
      <c r="O935" s="552"/>
      <c r="P935" s="67"/>
      <c r="Q935" s="67"/>
      <c r="R935" s="67"/>
      <c r="S935" s="561"/>
      <c r="AC935" s="642" t="s">
        <v>1508</v>
      </c>
      <c r="AD935" s="67">
        <f t="shared" si="202"/>
        <v>0</v>
      </c>
      <c r="AE935" s="67">
        <f t="shared" si="203"/>
        <v>0</v>
      </c>
      <c r="AF935" s="67">
        <f t="shared" si="204"/>
        <v>0</v>
      </c>
      <c r="AG935" s="67">
        <f t="shared" si="205"/>
        <v>0</v>
      </c>
      <c r="AH935" s="67">
        <f t="shared" si="206"/>
        <v>147</v>
      </c>
      <c r="AI935" s="67">
        <f t="shared" si="207"/>
        <v>51</v>
      </c>
      <c r="AJ935" s="67">
        <f t="shared" si="208"/>
        <v>54</v>
      </c>
      <c r="AK935" s="67">
        <f t="shared" si="209"/>
        <v>81</v>
      </c>
      <c r="AL935" s="67">
        <f t="shared" si="210"/>
        <v>78</v>
      </c>
      <c r="AM935" s="67">
        <f t="shared" si="211"/>
        <v>28</v>
      </c>
      <c r="AN935" s="67">
        <f t="shared" si="212"/>
        <v>33</v>
      </c>
      <c r="AO935" s="67">
        <f t="shared" si="213"/>
        <v>67</v>
      </c>
      <c r="AP935" s="67">
        <f t="shared" si="214"/>
        <v>3</v>
      </c>
      <c r="AQ935" s="67">
        <f t="shared" si="215"/>
        <v>53</v>
      </c>
      <c r="AR935" s="67">
        <f t="shared" si="216"/>
        <v>8</v>
      </c>
      <c r="AS935" s="636">
        <f t="shared" si="217"/>
        <v>603</v>
      </c>
    </row>
    <row r="936" spans="1:45" ht="15.75" customHeight="1" thickBot="1" x14ac:dyDescent="0.35">
      <c r="A936" s="554" t="s">
        <v>2626</v>
      </c>
      <c r="B936" s="581"/>
      <c r="C936" s="581"/>
      <c r="D936" s="555"/>
      <c r="E936" s="555"/>
      <c r="F936" s="555"/>
      <c r="G936" s="555"/>
      <c r="H936" s="555"/>
      <c r="I936" s="555"/>
      <c r="J936" s="555"/>
      <c r="K936" s="555"/>
      <c r="L936" s="555"/>
      <c r="M936" s="555"/>
      <c r="N936" s="555"/>
      <c r="O936" s="556"/>
      <c r="P936" s="67"/>
      <c r="Q936" s="67"/>
      <c r="R936" s="67"/>
      <c r="S936" s="561"/>
      <c r="AC936" s="642" t="s">
        <v>1509</v>
      </c>
      <c r="AD936" s="67">
        <f t="shared" si="202"/>
        <v>0</v>
      </c>
      <c r="AE936" s="67">
        <f t="shared" si="203"/>
        <v>0</v>
      </c>
      <c r="AF936" s="67">
        <f t="shared" si="204"/>
        <v>0</v>
      </c>
      <c r="AG936" s="67">
        <f t="shared" si="205"/>
        <v>0</v>
      </c>
      <c r="AH936" s="67">
        <f t="shared" si="206"/>
        <v>150</v>
      </c>
      <c r="AI936" s="67">
        <f t="shared" si="207"/>
        <v>71</v>
      </c>
      <c r="AJ936" s="67">
        <f t="shared" si="208"/>
        <v>118</v>
      </c>
      <c r="AK936" s="67">
        <f t="shared" si="209"/>
        <v>177</v>
      </c>
      <c r="AL936" s="67">
        <f t="shared" si="210"/>
        <v>177</v>
      </c>
      <c r="AM936" s="67">
        <f t="shared" si="211"/>
        <v>50</v>
      </c>
      <c r="AN936" s="67">
        <f t="shared" si="212"/>
        <v>59</v>
      </c>
      <c r="AO936" s="67">
        <f t="shared" si="213"/>
        <v>116</v>
      </c>
      <c r="AP936" s="67">
        <f t="shared" si="214"/>
        <v>9</v>
      </c>
      <c r="AQ936" s="67">
        <f t="shared" si="215"/>
        <v>57</v>
      </c>
      <c r="AR936" s="67">
        <f t="shared" si="216"/>
        <v>21</v>
      </c>
      <c r="AS936" s="636">
        <f t="shared" si="217"/>
        <v>1005</v>
      </c>
    </row>
    <row r="937" spans="1:45" ht="15.75" customHeight="1" thickBot="1" x14ac:dyDescent="0.35">
      <c r="A937" s="551"/>
      <c r="D937" s="67"/>
      <c r="E937" s="67"/>
      <c r="F937" s="67"/>
      <c r="G937" s="67"/>
      <c r="H937" s="67"/>
      <c r="I937" s="67"/>
      <c r="J937" s="67"/>
      <c r="K937" s="67"/>
      <c r="L937" s="67"/>
      <c r="M937" s="67"/>
      <c r="N937" s="67"/>
      <c r="O937" s="67"/>
      <c r="P937" s="67"/>
      <c r="Q937" s="67"/>
      <c r="R937" s="67"/>
      <c r="S937" s="561"/>
      <c r="AC937" s="579"/>
      <c r="AD937" s="67"/>
      <c r="AE937" s="67"/>
      <c r="AF937" s="67"/>
      <c r="AG937" s="67"/>
      <c r="AH937" s="67"/>
      <c r="AI937" s="67"/>
      <c r="AJ937" s="67"/>
      <c r="AK937" s="67"/>
      <c r="AL937" s="67"/>
      <c r="AM937" s="67"/>
      <c r="AN937" s="67"/>
      <c r="AO937" s="67"/>
      <c r="AP937" s="67"/>
      <c r="AQ937" s="67"/>
      <c r="AR937" s="67"/>
      <c r="AS937" s="636"/>
    </row>
    <row r="938" spans="1:45" ht="15.75" customHeight="1" thickBot="1" x14ac:dyDescent="0.35">
      <c r="A938" s="139"/>
      <c r="B938" s="806" t="s">
        <v>2689</v>
      </c>
      <c r="C938" s="807"/>
      <c r="D938" s="807"/>
      <c r="E938" s="807"/>
      <c r="F938" s="807"/>
      <c r="G938" s="807"/>
      <c r="H938" s="807"/>
      <c r="I938" s="807"/>
      <c r="J938" s="807"/>
      <c r="K938" s="807"/>
      <c r="L938" s="807"/>
      <c r="M938" s="807"/>
      <c r="N938" s="807"/>
      <c r="O938" s="807"/>
      <c r="P938" s="836"/>
      <c r="Q938" s="67"/>
      <c r="R938" s="67"/>
      <c r="S938" s="561"/>
      <c r="AC938" s="644" t="s">
        <v>2356</v>
      </c>
      <c r="AD938" s="555">
        <f>SUM(AD925:AD936)</f>
        <v>0</v>
      </c>
      <c r="AE938" s="555">
        <f t="shared" ref="AE938:AS938" si="218">SUM(AE925:AE936)</f>
        <v>0</v>
      </c>
      <c r="AF938" s="555">
        <f t="shared" si="218"/>
        <v>0</v>
      </c>
      <c r="AG938" s="555">
        <f t="shared" si="218"/>
        <v>0</v>
      </c>
      <c r="AH938" s="555">
        <f t="shared" si="218"/>
        <v>1148</v>
      </c>
      <c r="AI938" s="555">
        <f t="shared" si="218"/>
        <v>1484</v>
      </c>
      <c r="AJ938" s="555">
        <f t="shared" si="218"/>
        <v>2159</v>
      </c>
      <c r="AK938" s="555">
        <f t="shared" si="218"/>
        <v>2738</v>
      </c>
      <c r="AL938" s="555">
        <f t="shared" si="218"/>
        <v>2471</v>
      </c>
      <c r="AM938" s="555">
        <f t="shared" si="218"/>
        <v>815</v>
      </c>
      <c r="AN938" s="555">
        <f t="shared" si="218"/>
        <v>961</v>
      </c>
      <c r="AO938" s="555">
        <f t="shared" si="218"/>
        <v>1894</v>
      </c>
      <c r="AP938" s="555">
        <f t="shared" si="218"/>
        <v>292</v>
      </c>
      <c r="AQ938" s="555">
        <f t="shared" si="218"/>
        <v>803</v>
      </c>
      <c r="AR938" s="555">
        <f t="shared" si="218"/>
        <v>688</v>
      </c>
      <c r="AS938" s="637">
        <f t="shared" si="218"/>
        <v>15453</v>
      </c>
    </row>
    <row r="939" spans="1:45" ht="15.75" customHeight="1" thickBot="1" x14ac:dyDescent="0.35">
      <c r="A939" s="139"/>
      <c r="B939" s="795" t="s">
        <v>2633</v>
      </c>
      <c r="C939" s="796"/>
      <c r="D939" s="796"/>
      <c r="E939" s="796"/>
      <c r="F939" s="797"/>
      <c r="G939" s="795" t="s">
        <v>2674</v>
      </c>
      <c r="H939" s="796"/>
      <c r="I939" s="796"/>
      <c r="J939" s="796"/>
      <c r="K939" s="796"/>
      <c r="L939" s="796"/>
      <c r="M939" s="798" t="s">
        <v>2677</v>
      </c>
      <c r="N939" s="811"/>
      <c r="O939" s="811"/>
      <c r="P939" s="795" t="s">
        <v>2682</v>
      </c>
      <c r="Q939" s="796"/>
      <c r="R939" s="797"/>
      <c r="S939" s="561"/>
    </row>
    <row r="940" spans="1:45" ht="15.75" customHeight="1" x14ac:dyDescent="0.3">
      <c r="A940" s="592"/>
      <c r="B940" s="553" t="s">
        <v>2439</v>
      </c>
      <c r="C940" s="70"/>
      <c r="D940" s="70" t="s">
        <v>336</v>
      </c>
      <c r="E940" s="70" t="s">
        <v>596</v>
      </c>
      <c r="F940" s="562" t="s">
        <v>2652</v>
      </c>
      <c r="G940" s="553" t="s">
        <v>228</v>
      </c>
      <c r="H940" s="70"/>
      <c r="I940" s="70"/>
      <c r="J940" s="70" t="s">
        <v>229</v>
      </c>
      <c r="K940" s="70" t="s">
        <v>2638</v>
      </c>
      <c r="L940" s="70" t="s">
        <v>2639</v>
      </c>
      <c r="M940" s="808" t="str">
        <f>+M913</f>
        <v>(NE)* per WAPA 12/10/2014</v>
      </c>
      <c r="N940" s="809"/>
      <c r="O940" s="809"/>
      <c r="P940" s="553" t="s">
        <v>2683</v>
      </c>
      <c r="Q940" s="610" t="s">
        <v>134</v>
      </c>
      <c r="R940" s="611" t="s">
        <v>2685</v>
      </c>
      <c r="S940" s="561"/>
    </row>
    <row r="941" spans="1:45" ht="15.75" customHeight="1" x14ac:dyDescent="0.3">
      <c r="A941" s="592"/>
      <c r="B941" s="593" t="s">
        <v>2648</v>
      </c>
      <c r="C941" s="588" t="s">
        <v>2656</v>
      </c>
      <c r="D941" s="588" t="s">
        <v>2651</v>
      </c>
      <c r="E941" s="70" t="s">
        <v>335</v>
      </c>
      <c r="F941" s="591" t="s">
        <v>2653</v>
      </c>
      <c r="G941" s="553" t="s">
        <v>2463</v>
      </c>
      <c r="H941" s="70" t="s">
        <v>1416</v>
      </c>
      <c r="I941" s="70" t="s">
        <v>1417</v>
      </c>
      <c r="J941" s="588" t="s">
        <v>2632</v>
      </c>
      <c r="K941" s="70" t="s">
        <v>2634</v>
      </c>
      <c r="L941" s="588" t="s">
        <v>2637</v>
      </c>
      <c r="M941" s="603" t="s">
        <v>2679</v>
      </c>
      <c r="N941" s="604" t="s">
        <v>2680</v>
      </c>
      <c r="O941" s="599" t="s">
        <v>2356</v>
      </c>
      <c r="P941" s="553" t="s">
        <v>2684</v>
      </c>
      <c r="Q941" s="70" t="s">
        <v>2686</v>
      </c>
      <c r="R941" s="562" t="s">
        <v>2687</v>
      </c>
      <c r="S941" s="561"/>
    </row>
    <row r="942" spans="1:45" ht="15.75" customHeight="1" x14ac:dyDescent="0.3">
      <c r="A942" s="592"/>
      <c r="B942" s="594" t="s">
        <v>2654</v>
      </c>
      <c r="C942" s="217">
        <v>5.0000000000000001E-3</v>
      </c>
      <c r="D942" s="217">
        <v>4.2999999999999997E-2</v>
      </c>
      <c r="E942" s="70" t="s">
        <v>133</v>
      </c>
      <c r="F942" s="595" t="s">
        <v>2649</v>
      </c>
      <c r="G942" s="553" t="s">
        <v>2650</v>
      </c>
      <c r="H942" s="70" t="s">
        <v>335</v>
      </c>
      <c r="I942" s="70" t="s">
        <v>335</v>
      </c>
      <c r="J942" s="70" t="s">
        <v>335</v>
      </c>
      <c r="K942" s="70" t="s">
        <v>134</v>
      </c>
      <c r="L942" s="70" t="s">
        <v>2636</v>
      </c>
      <c r="M942" s="605" t="s">
        <v>955</v>
      </c>
      <c r="N942" s="599" t="s">
        <v>2681</v>
      </c>
      <c r="O942" s="599" t="s">
        <v>2688</v>
      </c>
      <c r="P942" s="553" t="s">
        <v>335</v>
      </c>
      <c r="Q942" s="70" t="s">
        <v>335</v>
      </c>
      <c r="R942" s="562" t="s">
        <v>335</v>
      </c>
      <c r="S942" s="561"/>
    </row>
    <row r="943" spans="1:45" ht="15.75" customHeight="1" x14ac:dyDescent="0.3">
      <c r="A943" s="592" t="s">
        <v>249</v>
      </c>
      <c r="B943" s="553" t="s">
        <v>2695</v>
      </c>
      <c r="C943" s="70" t="s">
        <v>2695</v>
      </c>
      <c r="D943" s="70" t="s">
        <v>2695</v>
      </c>
      <c r="E943" s="70" t="s">
        <v>2695</v>
      </c>
      <c r="F943" s="70" t="s">
        <v>2695</v>
      </c>
      <c r="G943" s="553" t="s">
        <v>2695</v>
      </c>
      <c r="H943" s="70" t="s">
        <v>2695</v>
      </c>
      <c r="I943" s="70" t="s">
        <v>2695</v>
      </c>
      <c r="J943" s="70" t="s">
        <v>2695</v>
      </c>
      <c r="K943" s="70" t="s">
        <v>2695</v>
      </c>
      <c r="L943" s="70" t="s">
        <v>2695</v>
      </c>
      <c r="M943" s="605" t="s">
        <v>2695</v>
      </c>
      <c r="N943" s="599" t="s">
        <v>2696</v>
      </c>
      <c r="O943" s="599" t="s">
        <v>2695</v>
      </c>
      <c r="P943" s="553" t="s">
        <v>2695</v>
      </c>
      <c r="Q943" s="70" t="s">
        <v>2695</v>
      </c>
      <c r="R943" s="562" t="s">
        <v>2695</v>
      </c>
      <c r="S943" s="561"/>
    </row>
    <row r="944" spans="1:45" ht="15.75" customHeight="1" x14ac:dyDescent="0.3">
      <c r="A944" s="592" t="s">
        <v>1353</v>
      </c>
      <c r="B944" s="553" t="s">
        <v>1353</v>
      </c>
      <c r="C944" s="70" t="s">
        <v>1353</v>
      </c>
      <c r="D944" s="70" t="s">
        <v>1353</v>
      </c>
      <c r="E944" s="70" t="s">
        <v>2202</v>
      </c>
      <c r="F944" s="562" t="s">
        <v>1353</v>
      </c>
      <c r="G944" s="553" t="s">
        <v>1353</v>
      </c>
      <c r="H944" s="70" t="s">
        <v>2119</v>
      </c>
      <c r="I944" s="70" t="s">
        <v>2119</v>
      </c>
      <c r="J944" s="70" t="s">
        <v>1353</v>
      </c>
      <c r="K944" s="70" t="s">
        <v>1353</v>
      </c>
      <c r="L944" s="70" t="s">
        <v>1353</v>
      </c>
      <c r="M944" s="605" t="s">
        <v>1353</v>
      </c>
      <c r="N944" s="599" t="s">
        <v>1353</v>
      </c>
      <c r="O944" s="599" t="s">
        <v>1353</v>
      </c>
      <c r="P944" s="553" t="s">
        <v>1353</v>
      </c>
      <c r="Q944" s="70" t="s">
        <v>1353</v>
      </c>
      <c r="R944" s="562" t="s">
        <v>1353</v>
      </c>
      <c r="S944" s="561"/>
    </row>
    <row r="945" spans="1:19" ht="15.75" customHeight="1" x14ac:dyDescent="0.3">
      <c r="A945" s="139" t="s">
        <v>2843</v>
      </c>
      <c r="B945" s="553">
        <f>+B918/($B$10*24)</f>
        <v>398.97311827956992</v>
      </c>
      <c r="C945" s="70">
        <f t="shared" ref="C945:P945" si="219">+C918/($B$10*24)</f>
        <v>0</v>
      </c>
      <c r="D945" s="70">
        <f t="shared" si="219"/>
        <v>15.663978494623656</v>
      </c>
      <c r="E945" s="70">
        <f t="shared" si="219"/>
        <v>398.97311827956992</v>
      </c>
      <c r="F945" s="562">
        <f t="shared" si="219"/>
        <v>414.63709677419354</v>
      </c>
      <c r="G945" s="70">
        <f t="shared" si="219"/>
        <v>0</v>
      </c>
      <c r="H945" s="70">
        <f t="shared" si="219"/>
        <v>18.72043010752688</v>
      </c>
      <c r="I945" s="70">
        <f t="shared" si="219"/>
        <v>0</v>
      </c>
      <c r="J945" s="70">
        <f t="shared" si="219"/>
        <v>18.72043010752688</v>
      </c>
      <c r="K945" s="70">
        <f t="shared" si="219"/>
        <v>0</v>
      </c>
      <c r="L945" s="70">
        <f t="shared" si="219"/>
        <v>0</v>
      </c>
      <c r="M945" s="606">
        <f>+M918/($B$10*24)</f>
        <v>426.19354838709677</v>
      </c>
      <c r="N945" s="607">
        <f t="shared" si="219"/>
        <v>0</v>
      </c>
      <c r="O945" s="599">
        <f t="shared" si="219"/>
        <v>426.19354838709677</v>
      </c>
      <c r="P945" s="612">
        <f t="shared" si="219"/>
        <v>-30.276881720430108</v>
      </c>
      <c r="Q945" s="70" t="str">
        <f>+IF(P945&gt;=0,ABS(P945),"")</f>
        <v/>
      </c>
      <c r="R945" s="562">
        <f>+IF(P945&lt;=0,ABS(P945),"")</f>
        <v>30.276881720430108</v>
      </c>
      <c r="S945" s="561"/>
    </row>
    <row r="946" spans="1:19" ht="15.75" customHeight="1" x14ac:dyDescent="0.3">
      <c r="A946" s="139" t="s">
        <v>2091</v>
      </c>
      <c r="B946" s="553">
        <f>+B919/($C$10*24)</f>
        <v>286.45982142857144</v>
      </c>
      <c r="C946" s="70">
        <f t="shared" ref="C946:P946" si="220">+C919/($C$10*24)</f>
        <v>0</v>
      </c>
      <c r="D946" s="70">
        <f t="shared" si="220"/>
        <v>11.584821428571429</v>
      </c>
      <c r="E946" s="70">
        <f t="shared" si="220"/>
        <v>286.45982142857144</v>
      </c>
      <c r="F946" s="562">
        <f t="shared" si="220"/>
        <v>298.04464285714283</v>
      </c>
      <c r="G946" s="70">
        <f t="shared" si="220"/>
        <v>5.9035777084006057E-2</v>
      </c>
      <c r="H946" s="70">
        <f t="shared" si="220"/>
        <v>14.794642857142858</v>
      </c>
      <c r="I946" s="70">
        <f t="shared" si="220"/>
        <v>0</v>
      </c>
      <c r="J946" s="70">
        <f t="shared" si="220"/>
        <v>14.794642857142858</v>
      </c>
      <c r="K946" s="70">
        <f t="shared" si="220"/>
        <v>0</v>
      </c>
      <c r="L946" s="70">
        <f t="shared" si="220"/>
        <v>0</v>
      </c>
      <c r="M946" s="606">
        <f t="shared" si="220"/>
        <v>297.61904761904759</v>
      </c>
      <c r="N946" s="607">
        <f t="shared" si="220"/>
        <v>0</v>
      </c>
      <c r="O946" s="599">
        <f t="shared" si="220"/>
        <v>297.61904761904759</v>
      </c>
      <c r="P946" s="612">
        <f t="shared" si="220"/>
        <v>-14.428083396131635</v>
      </c>
      <c r="Q946" s="70" t="str">
        <f t="shared" ref="Q946:Q956" si="221">+IF(P946&gt;=0,ABS(P946),"")</f>
        <v/>
      </c>
      <c r="R946" s="562">
        <f t="shared" ref="R946:R956" si="222">+IF(P946&lt;=0,ABS(P946),"")</f>
        <v>14.428083396131635</v>
      </c>
      <c r="S946" s="561"/>
    </row>
    <row r="947" spans="1:19" ht="15.75" customHeight="1" x14ac:dyDescent="0.3">
      <c r="A947" s="139" t="s">
        <v>2234</v>
      </c>
      <c r="B947" s="553">
        <f>+B920/($D$10*24)</f>
        <v>335.52150537634407</v>
      </c>
      <c r="C947" s="70">
        <f t="shared" ref="C947:P947" si="223">+C920/($D$10*24)</f>
        <v>0</v>
      </c>
      <c r="D947" s="70">
        <f t="shared" si="223"/>
        <v>13.82258064516129</v>
      </c>
      <c r="E947" s="70">
        <f t="shared" si="223"/>
        <v>335.52150537634407</v>
      </c>
      <c r="F947" s="562">
        <f t="shared" si="223"/>
        <v>349.3440860215054</v>
      </c>
      <c r="G947" s="70">
        <f t="shared" si="223"/>
        <v>1.3326259562140579</v>
      </c>
      <c r="H947" s="70">
        <f t="shared" si="223"/>
        <v>21.940860215053764</v>
      </c>
      <c r="I947" s="70">
        <f t="shared" si="223"/>
        <v>0</v>
      </c>
      <c r="J947" s="70">
        <f t="shared" si="223"/>
        <v>21.940860215053764</v>
      </c>
      <c r="K947" s="70">
        <f t="shared" si="223"/>
        <v>0</v>
      </c>
      <c r="L947" s="70">
        <f t="shared" si="223"/>
        <v>0</v>
      </c>
      <c r="M947" s="606">
        <f t="shared" si="223"/>
        <v>340</v>
      </c>
      <c r="N947" s="607">
        <f t="shared" si="223"/>
        <v>0</v>
      </c>
      <c r="O947" s="599">
        <f t="shared" si="223"/>
        <v>340</v>
      </c>
      <c r="P947" s="612">
        <f t="shared" si="223"/>
        <v>-13.92940014976244</v>
      </c>
      <c r="Q947" s="70" t="str">
        <f t="shared" si="221"/>
        <v/>
      </c>
      <c r="R947" s="562">
        <f t="shared" si="222"/>
        <v>13.92940014976244</v>
      </c>
      <c r="S947" s="561"/>
    </row>
    <row r="948" spans="1:19" ht="15.75" customHeight="1" x14ac:dyDescent="0.3">
      <c r="A948" s="139" t="s">
        <v>2235</v>
      </c>
      <c r="B948" s="553">
        <f>+B921/($F$10*24)</f>
        <v>374.62777777777779</v>
      </c>
      <c r="C948" s="70">
        <f t="shared" ref="C948:P948" si="224">+C921/($F$10*24)</f>
        <v>0</v>
      </c>
      <c r="D948" s="70">
        <f t="shared" si="224"/>
        <v>15.502777777777778</v>
      </c>
      <c r="E948" s="70">
        <f t="shared" si="224"/>
        <v>374.62777777777779</v>
      </c>
      <c r="F948" s="562">
        <f t="shared" si="224"/>
        <v>390.13055555555553</v>
      </c>
      <c r="G948" s="70">
        <f t="shared" si="224"/>
        <v>7.7219491543163423</v>
      </c>
      <c r="H948" s="70">
        <f t="shared" si="224"/>
        <v>24.293055555555554</v>
      </c>
      <c r="I948" s="70">
        <f t="shared" si="224"/>
        <v>0</v>
      </c>
      <c r="J948" s="70">
        <f t="shared" si="224"/>
        <v>24.293055555555554</v>
      </c>
      <c r="K948" s="70">
        <f t="shared" si="224"/>
        <v>0</v>
      </c>
      <c r="L948" s="70">
        <f t="shared" si="224"/>
        <v>0</v>
      </c>
      <c r="M948" s="606">
        <f t="shared" si="224"/>
        <v>406.48888888888888</v>
      </c>
      <c r="N948" s="607">
        <f t="shared" si="224"/>
        <v>0</v>
      </c>
      <c r="O948" s="599">
        <f t="shared" si="224"/>
        <v>406.48888888888888</v>
      </c>
      <c r="P948" s="612">
        <f t="shared" si="224"/>
        <v>-48.37333804320523</v>
      </c>
      <c r="Q948" s="70" t="str">
        <f t="shared" si="221"/>
        <v/>
      </c>
      <c r="R948" s="562">
        <f t="shared" si="222"/>
        <v>48.37333804320523</v>
      </c>
      <c r="S948" s="561"/>
    </row>
    <row r="949" spans="1:19" ht="15.75" customHeight="1" x14ac:dyDescent="0.3">
      <c r="A949" s="139" t="s">
        <v>2236</v>
      </c>
      <c r="B949" s="553">
        <f>+B922/($G$10*24)</f>
        <v>401.6263440860215</v>
      </c>
      <c r="C949" s="70">
        <f t="shared" ref="C949:P949" si="225">+C922/($G$10*24)</f>
        <v>0</v>
      </c>
      <c r="D949" s="70">
        <f t="shared" si="225"/>
        <v>16.426075268817204</v>
      </c>
      <c r="E949" s="70">
        <f t="shared" si="225"/>
        <v>401.6263440860215</v>
      </c>
      <c r="F949" s="562">
        <f t="shared" si="225"/>
        <v>418.05241935483872</v>
      </c>
      <c r="G949" s="70">
        <f t="shared" si="225"/>
        <v>0.74758198215718075</v>
      </c>
      <c r="H949" s="70">
        <f t="shared" si="225"/>
        <v>17.077956989247312</v>
      </c>
      <c r="I949" s="70">
        <f t="shared" si="225"/>
        <v>0</v>
      </c>
      <c r="J949" s="70">
        <f t="shared" si="225"/>
        <v>17.077956989247312</v>
      </c>
      <c r="K949" s="70">
        <f t="shared" si="225"/>
        <v>0</v>
      </c>
      <c r="L949" s="70">
        <f t="shared" si="225"/>
        <v>0</v>
      </c>
      <c r="M949" s="606">
        <f t="shared" si="225"/>
        <v>411.96774193548384</v>
      </c>
      <c r="N949" s="607">
        <f t="shared" si="225"/>
        <v>16</v>
      </c>
      <c r="O949" s="599">
        <f t="shared" si="225"/>
        <v>427.96774193548384</v>
      </c>
      <c r="P949" s="612">
        <f t="shared" si="225"/>
        <v>-27.74086155204964</v>
      </c>
      <c r="Q949" s="70" t="str">
        <f t="shared" si="221"/>
        <v/>
      </c>
      <c r="R949" s="562">
        <f t="shared" si="222"/>
        <v>27.74086155204964</v>
      </c>
      <c r="S949" s="561"/>
    </row>
    <row r="950" spans="1:19" ht="15.75" customHeight="1" x14ac:dyDescent="0.3">
      <c r="A950" s="139" t="s">
        <v>2237</v>
      </c>
      <c r="B950" s="553">
        <f>+B923/($H$10*24)</f>
        <v>216.8</v>
      </c>
      <c r="C950" s="70">
        <f t="shared" ref="C950:P950" si="226">+C923/($H$10*24)</f>
        <v>0</v>
      </c>
      <c r="D950" s="70">
        <f t="shared" si="226"/>
        <v>8.7236111111111114</v>
      </c>
      <c r="E950" s="70">
        <f t="shared" si="226"/>
        <v>216.8</v>
      </c>
      <c r="F950" s="562">
        <f t="shared" si="226"/>
        <v>225.52361111111111</v>
      </c>
      <c r="G950" s="70">
        <f t="shared" si="226"/>
        <v>16.529648999413887</v>
      </c>
      <c r="H950" s="70">
        <f t="shared" si="226"/>
        <v>16.641666666666666</v>
      </c>
      <c r="I950" s="70">
        <f t="shared" si="226"/>
        <v>0</v>
      </c>
      <c r="J950" s="70">
        <f t="shared" si="226"/>
        <v>16.641666666666666</v>
      </c>
      <c r="K950" s="70">
        <f t="shared" si="226"/>
        <v>0</v>
      </c>
      <c r="L950" s="70">
        <f t="shared" si="226"/>
        <v>0</v>
      </c>
      <c r="M950" s="606">
        <f t="shared" si="226"/>
        <v>199</v>
      </c>
      <c r="N950" s="607">
        <f t="shared" si="226"/>
        <v>0</v>
      </c>
      <c r="O950" s="599">
        <f t="shared" si="226"/>
        <v>199</v>
      </c>
      <c r="P950" s="612">
        <f t="shared" si="226"/>
        <v>-6.6477045549694598</v>
      </c>
      <c r="Q950" s="70" t="str">
        <f t="shared" si="221"/>
        <v/>
      </c>
      <c r="R950" s="562">
        <f t="shared" si="222"/>
        <v>6.6477045549694598</v>
      </c>
      <c r="S950" s="561"/>
    </row>
    <row r="951" spans="1:19" ht="15.75" customHeight="1" x14ac:dyDescent="0.3">
      <c r="A951" s="139" t="s">
        <v>1504</v>
      </c>
      <c r="B951" s="553">
        <f>+B924/($J$10*24)</f>
        <v>194.22043010752688</v>
      </c>
      <c r="C951" s="70">
        <f t="shared" ref="C951:P951" si="227">+C924/($J$10*24)</f>
        <v>0</v>
      </c>
      <c r="D951" s="70">
        <f t="shared" si="227"/>
        <v>7.748655913978495</v>
      </c>
      <c r="E951" s="70">
        <f t="shared" si="227"/>
        <v>194.22043010752688</v>
      </c>
      <c r="F951" s="562">
        <f t="shared" si="227"/>
        <v>201.96908602150538</v>
      </c>
      <c r="G951" s="70">
        <f t="shared" si="227"/>
        <v>14.256749803502119</v>
      </c>
      <c r="H951" s="70">
        <f t="shared" si="227"/>
        <v>14.206989247311828</v>
      </c>
      <c r="I951" s="70">
        <f t="shared" si="227"/>
        <v>0</v>
      </c>
      <c r="J951" s="70">
        <f t="shared" si="227"/>
        <v>14.206989247311828</v>
      </c>
      <c r="K951" s="70">
        <f t="shared" si="227"/>
        <v>0</v>
      </c>
      <c r="L951" s="70">
        <f t="shared" si="227"/>
        <v>0</v>
      </c>
      <c r="M951" s="606">
        <f t="shared" si="227"/>
        <v>202</v>
      </c>
      <c r="N951" s="607">
        <f t="shared" si="227"/>
        <v>0</v>
      </c>
      <c r="O951" s="599">
        <f t="shared" si="227"/>
        <v>202</v>
      </c>
      <c r="P951" s="612">
        <f t="shared" si="227"/>
        <v>-28.494653029308573</v>
      </c>
      <c r="Q951" s="70" t="str">
        <f t="shared" si="221"/>
        <v/>
      </c>
      <c r="R951" s="562">
        <f t="shared" si="222"/>
        <v>28.494653029308573</v>
      </c>
      <c r="S951" s="561"/>
    </row>
    <row r="952" spans="1:19" ht="15.75" customHeight="1" x14ac:dyDescent="0.3">
      <c r="A952" s="139" t="s">
        <v>1505</v>
      </c>
      <c r="B952" s="553">
        <f>+B925/($K$10*24)</f>
        <v>187.03897849462365</v>
      </c>
      <c r="C952" s="70">
        <f t="shared" ref="C952:P952" si="228">+C925/($K$10*24)</f>
        <v>0</v>
      </c>
      <c r="D952" s="70">
        <f t="shared" si="228"/>
        <v>7.463709677419355</v>
      </c>
      <c r="E952" s="70">
        <f t="shared" si="228"/>
        <v>187.03897849462365</v>
      </c>
      <c r="F952" s="562">
        <f t="shared" si="228"/>
        <v>194.50268817204301</v>
      </c>
      <c r="G952" s="70">
        <f t="shared" si="228"/>
        <v>12.361052968231334</v>
      </c>
      <c r="H952" s="70">
        <f t="shared" si="228"/>
        <v>15.415322580645162</v>
      </c>
      <c r="I952" s="70">
        <f t="shared" si="228"/>
        <v>0</v>
      </c>
      <c r="J952" s="70">
        <f t="shared" si="228"/>
        <v>15.415322580645162</v>
      </c>
      <c r="K952" s="70">
        <f t="shared" si="228"/>
        <v>0</v>
      </c>
      <c r="L952" s="70">
        <f t="shared" si="228"/>
        <v>0</v>
      </c>
      <c r="M952" s="606">
        <f t="shared" si="228"/>
        <v>212</v>
      </c>
      <c r="N952" s="607">
        <f t="shared" si="228"/>
        <v>0</v>
      </c>
      <c r="O952" s="599">
        <f t="shared" si="228"/>
        <v>212</v>
      </c>
      <c r="P952" s="612">
        <f t="shared" si="228"/>
        <v>-45.273687376833472</v>
      </c>
      <c r="Q952" s="70" t="str">
        <f t="shared" si="221"/>
        <v/>
      </c>
      <c r="R952" s="562">
        <f t="shared" si="222"/>
        <v>45.273687376833472</v>
      </c>
      <c r="S952" s="561"/>
    </row>
    <row r="953" spans="1:19" ht="15.75" customHeight="1" x14ac:dyDescent="0.3">
      <c r="A953" s="139" t="s">
        <v>1506</v>
      </c>
      <c r="B953" s="553">
        <f>+B926/($L$10*24)</f>
        <v>378.54305555555555</v>
      </c>
      <c r="C953" s="70">
        <f t="shared" ref="C953:P953" si="229">+C926/($L$10*24)</f>
        <v>0</v>
      </c>
      <c r="D953" s="70">
        <f t="shared" si="229"/>
        <v>15.595833333333333</v>
      </c>
      <c r="E953" s="70">
        <f t="shared" si="229"/>
        <v>378.54305555555555</v>
      </c>
      <c r="F953" s="562">
        <f t="shared" si="229"/>
        <v>394.13888888888891</v>
      </c>
      <c r="G953" s="70">
        <f t="shared" si="229"/>
        <v>0.28031582998037319</v>
      </c>
      <c r="H953" s="70">
        <f t="shared" si="229"/>
        <v>14.591666666666667</v>
      </c>
      <c r="I953" s="70">
        <f t="shared" si="229"/>
        <v>0</v>
      </c>
      <c r="J953" s="70">
        <f t="shared" si="229"/>
        <v>14.311111111111112</v>
      </c>
      <c r="K953" s="70">
        <f t="shared" si="229"/>
        <v>0</v>
      </c>
      <c r="L953" s="70">
        <f t="shared" si="229"/>
        <v>0</v>
      </c>
      <c r="M953" s="606">
        <f t="shared" si="229"/>
        <v>314.66666666666669</v>
      </c>
      <c r="N953" s="607">
        <f t="shared" si="229"/>
        <v>99.333333333333329</v>
      </c>
      <c r="O953" s="599">
        <f t="shared" si="229"/>
        <v>414</v>
      </c>
      <c r="P953" s="612">
        <f t="shared" si="229"/>
        <v>-34.452538052202563</v>
      </c>
      <c r="Q953" s="70" t="str">
        <f t="shared" si="221"/>
        <v/>
      </c>
      <c r="R953" s="562">
        <f t="shared" si="222"/>
        <v>34.452538052202563</v>
      </c>
      <c r="S953" s="561"/>
    </row>
    <row r="954" spans="1:19" ht="15.75" customHeight="1" x14ac:dyDescent="0.3">
      <c r="A954" s="139" t="s">
        <v>1507</v>
      </c>
      <c r="B954" s="553">
        <f>+B927/($N$10*24)</f>
        <v>264.23252688172045</v>
      </c>
      <c r="C954" s="70">
        <f t="shared" ref="C954:P954" si="230">+C927/($N$10*24)</f>
        <v>0</v>
      </c>
      <c r="D954" s="70">
        <f t="shared" si="230"/>
        <v>10.868279569892474</v>
      </c>
      <c r="E954" s="70">
        <f t="shared" si="230"/>
        <v>264.23252688172045</v>
      </c>
      <c r="F954" s="562">
        <f t="shared" si="230"/>
        <v>275.10080645161293</v>
      </c>
      <c r="G954" s="70">
        <f t="shared" si="230"/>
        <v>1.5275192648953486</v>
      </c>
      <c r="H954" s="70">
        <f t="shared" si="230"/>
        <v>9.408602150537634</v>
      </c>
      <c r="I954" s="70">
        <f t="shared" si="230"/>
        <v>0</v>
      </c>
      <c r="J954" s="70">
        <f t="shared" si="230"/>
        <v>9.408602150537634</v>
      </c>
      <c r="K954" s="70">
        <f t="shared" si="230"/>
        <v>0</v>
      </c>
      <c r="L954" s="70">
        <f t="shared" si="230"/>
        <v>0</v>
      </c>
      <c r="M954" s="606">
        <f t="shared" si="230"/>
        <v>260.68817204301075</v>
      </c>
      <c r="N954" s="607">
        <f t="shared" si="230"/>
        <v>0</v>
      </c>
      <c r="O954" s="599">
        <f t="shared" si="230"/>
        <v>260.68817204301075</v>
      </c>
      <c r="P954" s="612">
        <f t="shared" si="230"/>
        <v>3.4765129931691519</v>
      </c>
      <c r="Q954" s="70">
        <f t="shared" si="221"/>
        <v>3.4765129931691519</v>
      </c>
      <c r="R954" s="562" t="str">
        <f t="shared" si="222"/>
        <v/>
      </c>
      <c r="S954" s="561"/>
    </row>
    <row r="955" spans="1:19" ht="15.75" customHeight="1" x14ac:dyDescent="0.3">
      <c r="A955" s="139" t="s">
        <v>1508</v>
      </c>
      <c r="B955" s="553">
        <f>+B928/($O$10*24)</f>
        <v>261.24444444444447</v>
      </c>
      <c r="C955" s="70">
        <f t="shared" ref="C955:P955" si="231">+C928/($O$10*24)</f>
        <v>0</v>
      </c>
      <c r="D955" s="70">
        <f t="shared" si="231"/>
        <v>10.679166666666667</v>
      </c>
      <c r="E955" s="70">
        <f t="shared" si="231"/>
        <v>261.24444444444447</v>
      </c>
      <c r="F955" s="562">
        <f t="shared" si="231"/>
        <v>271.92361111111109</v>
      </c>
      <c r="G955" s="70">
        <f t="shared" si="231"/>
        <v>0</v>
      </c>
      <c r="H955" s="70">
        <f t="shared" si="231"/>
        <v>13.888888888888889</v>
      </c>
      <c r="I955" s="70">
        <f t="shared" si="231"/>
        <v>0</v>
      </c>
      <c r="J955" s="70">
        <f t="shared" si="231"/>
        <v>13.888888888888889</v>
      </c>
      <c r="K955" s="70">
        <f t="shared" si="231"/>
        <v>0</v>
      </c>
      <c r="L955" s="70">
        <f t="shared" si="231"/>
        <v>0</v>
      </c>
      <c r="M955" s="606">
        <f t="shared" si="231"/>
        <v>268.33333333333331</v>
      </c>
      <c r="N955" s="607">
        <f t="shared" si="231"/>
        <v>0</v>
      </c>
      <c r="O955" s="599">
        <f t="shared" si="231"/>
        <v>268.33333333333331</v>
      </c>
      <c r="P955" s="612">
        <f t="shared" si="231"/>
        <v>-10.298611111111111</v>
      </c>
      <c r="Q955" s="70" t="str">
        <f t="shared" si="221"/>
        <v/>
      </c>
      <c r="R955" s="562">
        <f t="shared" si="222"/>
        <v>10.298611111111111</v>
      </c>
      <c r="S955" s="561"/>
    </row>
    <row r="956" spans="1:19" ht="15.75" customHeight="1" thickBot="1" x14ac:dyDescent="0.35">
      <c r="A956" s="139" t="s">
        <v>1509</v>
      </c>
      <c r="B956" s="558">
        <f>+B929/($P$10*24)</f>
        <v>288.59274193548384</v>
      </c>
      <c r="C956" s="564">
        <f t="shared" ref="C956:P956" si="232">+C929/($P$10*24)</f>
        <v>0</v>
      </c>
      <c r="D956" s="564">
        <f t="shared" si="232"/>
        <v>11.69758064516129</v>
      </c>
      <c r="E956" s="564">
        <f t="shared" si="232"/>
        <v>288.59274193548384</v>
      </c>
      <c r="F956" s="602">
        <f t="shared" si="232"/>
        <v>300.29032258064518</v>
      </c>
      <c r="G956" s="564">
        <f t="shared" si="232"/>
        <v>0</v>
      </c>
      <c r="H956" s="564">
        <f t="shared" si="232"/>
        <v>10.080645161290322</v>
      </c>
      <c r="I956" s="564">
        <f t="shared" si="232"/>
        <v>0</v>
      </c>
      <c r="J956" s="564">
        <f t="shared" si="232"/>
        <v>10.080645161290322</v>
      </c>
      <c r="K956" s="564">
        <f t="shared" si="232"/>
        <v>0</v>
      </c>
      <c r="L956" s="564">
        <f t="shared" si="232"/>
        <v>0</v>
      </c>
      <c r="M956" s="615">
        <f t="shared" si="232"/>
        <v>263.77419354838707</v>
      </c>
      <c r="N956" s="616">
        <f t="shared" si="232"/>
        <v>38.032258064516128</v>
      </c>
      <c r="O956" s="609">
        <f t="shared" si="232"/>
        <v>301.80645161290323</v>
      </c>
      <c r="P956" s="613">
        <f t="shared" si="232"/>
        <v>-11.596774193548388</v>
      </c>
      <c r="Q956" s="564" t="str">
        <f t="shared" si="221"/>
        <v/>
      </c>
      <c r="R956" s="602">
        <f t="shared" si="222"/>
        <v>11.596774193548388</v>
      </c>
      <c r="S956" s="561"/>
    </row>
    <row r="957" spans="1:19" ht="15.75" customHeight="1" x14ac:dyDescent="0.3">
      <c r="A957" s="647"/>
      <c r="S957" s="561"/>
    </row>
    <row r="958" spans="1:19" ht="16.5" customHeight="1" thickBot="1" x14ac:dyDescent="0.35">
      <c r="A958" s="648"/>
      <c r="B958" s="581"/>
      <c r="C958" s="581"/>
      <c r="D958" s="581"/>
      <c r="E958" s="581"/>
      <c r="F958" s="581"/>
      <c r="G958" s="581"/>
      <c r="H958" s="581"/>
      <c r="I958" s="581"/>
      <c r="J958" s="581"/>
      <c r="K958" s="581"/>
      <c r="L958" s="581"/>
      <c r="M958" s="581"/>
      <c r="N958" s="581"/>
      <c r="O958" s="581"/>
      <c r="P958" s="581"/>
      <c r="Q958" s="581"/>
      <c r="R958" s="581"/>
      <c r="S958" s="565"/>
    </row>
    <row r="959" spans="1:19" ht="15.75" customHeight="1" x14ac:dyDescent="0.3">
      <c r="A959" s="74"/>
      <c r="B959" s="67"/>
      <c r="C959" s="67"/>
      <c r="D959" s="67"/>
      <c r="E959" s="67"/>
      <c r="F959" s="67"/>
      <c r="G959" s="67"/>
      <c r="H959" s="67"/>
      <c r="I959" s="67"/>
      <c r="J959" s="67"/>
      <c r="K959" s="67"/>
      <c r="L959" s="67"/>
      <c r="M959" s="67"/>
      <c r="N959" s="67"/>
      <c r="O959" s="67"/>
      <c r="P959" s="67"/>
      <c r="Q959" s="67"/>
      <c r="R959" s="67"/>
    </row>
    <row r="960" spans="1:19" ht="15.75" customHeight="1" x14ac:dyDescent="0.3">
      <c r="A960" s="641"/>
    </row>
    <row r="961" spans="1:50" ht="15.75" customHeight="1" thickBot="1" x14ac:dyDescent="0.35">
      <c r="A961" s="641"/>
    </row>
    <row r="962" spans="1:50" ht="15.75" customHeight="1" x14ac:dyDescent="0.3">
      <c r="A962" s="650"/>
      <c r="B962" s="782" t="s">
        <v>2880</v>
      </c>
      <c r="C962" s="782"/>
      <c r="D962" s="782"/>
      <c r="E962" s="782"/>
      <c r="F962" s="782"/>
      <c r="G962" s="782"/>
      <c r="H962" s="782"/>
      <c r="I962" s="782"/>
      <c r="J962" s="782"/>
      <c r="K962" s="782"/>
      <c r="L962" s="782"/>
      <c r="M962" s="782"/>
      <c r="N962" s="782"/>
      <c r="O962" s="782"/>
      <c r="P962" s="782"/>
      <c r="Q962" s="678" t="str">
        <f>+Q1</f>
        <v xml:space="preserve">PRINTED:  </v>
      </c>
      <c r="R962" s="682">
        <f ca="1">+R1</f>
        <v>44881.729634027775</v>
      </c>
      <c r="S962" s="560"/>
    </row>
    <row r="963" spans="1:50" ht="15.75" customHeight="1" x14ac:dyDescent="0.3">
      <c r="A963" s="640"/>
      <c r="B963" s="786" t="str">
        <f>+A8</f>
        <v>Revised:  5/2/2016</v>
      </c>
      <c r="C963" s="786"/>
      <c r="D963" s="786"/>
      <c r="E963" s="786"/>
      <c r="F963" s="786"/>
      <c r="G963" s="786"/>
      <c r="H963" s="786"/>
      <c r="I963" s="786"/>
      <c r="J963" s="786"/>
      <c r="K963" s="786"/>
      <c r="L963" s="786"/>
      <c r="M963" s="786"/>
      <c r="N963" s="786"/>
      <c r="O963" s="786"/>
      <c r="P963" s="786"/>
      <c r="Q963" s="67"/>
      <c r="R963" s="67"/>
      <c r="S963" s="561"/>
    </row>
    <row r="964" spans="1:50" ht="16.5" customHeight="1" x14ac:dyDescent="0.3">
      <c r="A964" s="640"/>
      <c r="B964" s="786" t="s">
        <v>2878</v>
      </c>
      <c r="C964" s="786"/>
      <c r="D964" s="786"/>
      <c r="E964" s="786"/>
      <c r="F964" s="786"/>
      <c r="G964" s="786"/>
      <c r="H964" s="786"/>
      <c r="I964" s="786"/>
      <c r="J964" s="786"/>
      <c r="K964" s="786"/>
      <c r="L964" s="786"/>
      <c r="M964" s="786"/>
      <c r="N964" s="786"/>
      <c r="O964" s="786"/>
      <c r="P964" s="786"/>
      <c r="Q964" s="67"/>
      <c r="R964" s="67"/>
      <c r="S964" s="561"/>
    </row>
    <row r="965" spans="1:50" ht="15.75" customHeight="1" x14ac:dyDescent="0.3">
      <c r="A965" s="640"/>
      <c r="B965" s="67"/>
      <c r="C965" s="67"/>
      <c r="D965" s="67"/>
      <c r="E965" s="67"/>
      <c r="F965" s="67"/>
      <c r="G965" s="67"/>
      <c r="H965" s="67"/>
      <c r="I965" s="67"/>
      <c r="J965" s="67"/>
      <c r="K965" s="67"/>
      <c r="L965" s="67"/>
      <c r="M965" s="67"/>
      <c r="N965" s="67"/>
      <c r="O965" s="67"/>
      <c r="P965" s="67"/>
      <c r="Q965" s="67"/>
      <c r="R965" s="67"/>
      <c r="S965" s="561"/>
      <c r="AG965" s="139"/>
    </row>
    <row r="966" spans="1:50" ht="15.75" customHeight="1" x14ac:dyDescent="0.3">
      <c r="A966" s="640"/>
      <c r="B966" s="810">
        <f>+A5</f>
        <v>2015</v>
      </c>
      <c r="C966" s="787"/>
      <c r="D966" s="787"/>
      <c r="E966" s="787"/>
      <c r="F966" s="787"/>
      <c r="G966" s="787"/>
      <c r="H966" s="787"/>
      <c r="I966" s="787"/>
      <c r="J966" s="787"/>
      <c r="K966" s="787"/>
      <c r="L966" s="787"/>
      <c r="M966" s="787"/>
      <c r="N966" s="787"/>
      <c r="O966" s="787"/>
      <c r="P966" s="787"/>
      <c r="Q966" s="67"/>
      <c r="R966" s="67"/>
      <c r="S966" s="561"/>
      <c r="AE966" t="s">
        <v>2912</v>
      </c>
      <c r="AF966" t="s">
        <v>2913</v>
      </c>
    </row>
    <row r="967" spans="1:50" ht="15.75" customHeight="1" thickBot="1" x14ac:dyDescent="0.35">
      <c r="A967" s="640"/>
      <c r="B967" s="786" t="s">
        <v>1199</v>
      </c>
      <c r="C967" s="786"/>
      <c r="D967" s="786"/>
      <c r="E967" s="786"/>
      <c r="F967" s="786"/>
      <c r="G967" s="786"/>
      <c r="H967" s="786"/>
      <c r="I967" s="786"/>
      <c r="J967" s="786"/>
      <c r="K967" s="786"/>
      <c r="L967" s="786"/>
      <c r="M967" s="786"/>
      <c r="N967" s="786"/>
      <c r="O967" s="786"/>
      <c r="P967" s="786"/>
      <c r="Q967" s="67"/>
      <c r="R967" s="67"/>
      <c r="S967" s="561"/>
      <c r="AC967" t="s">
        <v>2911</v>
      </c>
      <c r="AD967" s="671" t="s">
        <v>2234</v>
      </c>
      <c r="AE967">
        <f>DAY(DATE($A$5,MonthFromText(AD967)+1,1)-1)</f>
        <v>31</v>
      </c>
    </row>
    <row r="968" spans="1:50" ht="15.75" customHeight="1" x14ac:dyDescent="0.3">
      <c r="A968" s="640"/>
      <c r="B968" s="818" t="s">
        <v>2888</v>
      </c>
      <c r="C968" s="819"/>
      <c r="D968" s="820"/>
      <c r="E968" s="70"/>
      <c r="F968" s="70"/>
      <c r="G968" s="70"/>
      <c r="H968" s="70"/>
      <c r="I968" s="70"/>
      <c r="J968" s="70"/>
      <c r="K968" s="70"/>
      <c r="L968" s="70"/>
      <c r="M968" s="70"/>
      <c r="N968" s="70"/>
      <c r="O968" s="70"/>
      <c r="P968" s="70"/>
      <c r="Q968" s="67"/>
      <c r="R968" s="67"/>
      <c r="S968" s="675"/>
    </row>
    <row r="969" spans="1:50" ht="15.75" customHeight="1" thickBot="1" x14ac:dyDescent="0.35">
      <c r="A969" s="634" t="s">
        <v>249</v>
      </c>
      <c r="B969" s="653" t="s">
        <v>2886</v>
      </c>
      <c r="C969" s="654" t="s">
        <v>2885</v>
      </c>
      <c r="D969" s="655" t="s">
        <v>2915</v>
      </c>
      <c r="E969" s="654" t="s">
        <v>1309</v>
      </c>
      <c r="F969" s="654" t="s">
        <v>1029</v>
      </c>
      <c r="G969" s="654" t="s">
        <v>1030</v>
      </c>
      <c r="H969" s="654" t="s">
        <v>2881</v>
      </c>
      <c r="I969" s="654" t="s">
        <v>2882</v>
      </c>
      <c r="J969" s="654" t="s">
        <v>285</v>
      </c>
      <c r="K969" s="654" t="s">
        <v>286</v>
      </c>
      <c r="L969" s="654" t="s">
        <v>287</v>
      </c>
      <c r="M969" s="654" t="s">
        <v>288</v>
      </c>
      <c r="N969" s="654" t="s">
        <v>289</v>
      </c>
      <c r="O969" s="654" t="s">
        <v>633</v>
      </c>
      <c r="P969" s="654" t="s">
        <v>634</v>
      </c>
      <c r="Q969" s="654" t="s">
        <v>1192</v>
      </c>
      <c r="R969" s="654" t="s">
        <v>524</v>
      </c>
      <c r="S969" s="655" t="s">
        <v>525</v>
      </c>
      <c r="T969" s="669" t="s">
        <v>2903</v>
      </c>
      <c r="U969" s="669" t="s">
        <v>2904</v>
      </c>
      <c r="V969" s="669" t="s">
        <v>2924</v>
      </c>
      <c r="AD969" s="634" t="s">
        <v>1308</v>
      </c>
      <c r="AE969" s="634" t="s">
        <v>1309</v>
      </c>
      <c r="AF969" s="634" t="s">
        <v>1029</v>
      </c>
      <c r="AG969" s="634" t="s">
        <v>1030</v>
      </c>
      <c r="AH969" s="634" t="s">
        <v>284</v>
      </c>
      <c r="AI969" s="634" t="s">
        <v>285</v>
      </c>
      <c r="AJ969" s="634" t="s">
        <v>286</v>
      </c>
      <c r="AK969" s="634" t="s">
        <v>287</v>
      </c>
      <c r="AL969" s="634" t="s">
        <v>288</v>
      </c>
      <c r="AM969" s="634" t="s">
        <v>289</v>
      </c>
      <c r="AN969" s="634" t="s">
        <v>633</v>
      </c>
      <c r="AO969" s="634" t="s">
        <v>634</v>
      </c>
      <c r="AP969" s="634" t="s">
        <v>1192</v>
      </c>
      <c r="AQ969" s="634" t="s">
        <v>524</v>
      </c>
      <c r="AR969" s="634" t="s">
        <v>525</v>
      </c>
      <c r="AS969" s="634" t="s">
        <v>2356</v>
      </c>
      <c r="AT969" s="634" t="s">
        <v>1415</v>
      </c>
      <c r="AU969" s="634" t="s">
        <v>2356</v>
      </c>
      <c r="AW969" s="669" t="s">
        <v>2925</v>
      </c>
      <c r="AX969" s="669" t="s">
        <v>2926</v>
      </c>
    </row>
    <row r="970" spans="1:50" ht="15.75" customHeight="1" x14ac:dyDescent="0.3">
      <c r="A970" s="642" t="s">
        <v>2843</v>
      </c>
      <c r="B970" s="642">
        <f t="shared" ref="B970:C981" si="233">+F997</f>
        <v>245</v>
      </c>
      <c r="C970" s="139">
        <f t="shared" si="233"/>
        <v>0</v>
      </c>
      <c r="D970" s="643" t="s">
        <v>2916</v>
      </c>
      <c r="E970" s="139">
        <f t="shared" ref="E970:S970" si="234">+C890/$B$10/24</f>
        <v>28.702956989247312</v>
      </c>
      <c r="F970" s="139">
        <f t="shared" si="234"/>
        <v>30.098118279569892</v>
      </c>
      <c r="G970" s="139">
        <f t="shared" si="234"/>
        <v>51.163978494623656</v>
      </c>
      <c r="H970" s="139">
        <f t="shared" si="234"/>
        <v>33.368440643821032</v>
      </c>
      <c r="I970" s="139">
        <f t="shared" si="234"/>
        <v>0</v>
      </c>
      <c r="J970" s="139">
        <f t="shared" si="234"/>
        <v>5.139784946236559</v>
      </c>
      <c r="K970" s="139">
        <f t="shared" si="234"/>
        <v>3.663978494623656</v>
      </c>
      <c r="L970" s="139">
        <f t="shared" si="234"/>
        <v>5.379032258064516</v>
      </c>
      <c r="M970" s="139">
        <f t="shared" si="234"/>
        <v>5.264784946236559</v>
      </c>
      <c r="N970" s="139">
        <f t="shared" si="234"/>
        <v>1.935483870967742</v>
      </c>
      <c r="O970" s="139">
        <f t="shared" si="234"/>
        <v>2.2809139784946235</v>
      </c>
      <c r="P970" s="139">
        <f t="shared" si="234"/>
        <v>4.791666666666667</v>
      </c>
      <c r="Q970" s="139">
        <f t="shared" si="234"/>
        <v>0.29838709677419356</v>
      </c>
      <c r="R970" s="139">
        <f t="shared" si="234"/>
        <v>0.89784946236559138</v>
      </c>
      <c r="S970" s="643">
        <f t="shared" si="234"/>
        <v>0.70430107526881713</v>
      </c>
      <c r="T970" s="139">
        <f t="shared" ref="T970:T981" si="235">+B970+SUM(E970:S970)</f>
        <v>418.68967720296081</v>
      </c>
      <c r="U970" s="139">
        <f t="shared" ref="U970:U981" si="236">+C970+SUM(E970:S970)</f>
        <v>173.68967720296081</v>
      </c>
      <c r="V970" s="139" t="s">
        <v>2916</v>
      </c>
      <c r="AC970">
        <v>1</v>
      </c>
      <c r="AD970" s="139">
        <f t="shared" ref="AD970:AD975" si="237">IF($AF$967=1,VLOOKUP($AD$967,$A$997:$P$1008,12,FALSE),VLOOKUP($AD$967,$A$970:$S$981,2,FALSE))</f>
        <v>294</v>
      </c>
      <c r="AE970" s="139">
        <f>VLOOKUP($AD$967,$A$970:$S$981,5,FALSE)</f>
        <v>23.692204301075268</v>
      </c>
      <c r="AF970" s="139">
        <f>VLOOKUP($AD$967,$A$970:$S$981,6,FALSE)</f>
        <v>24.813172043010752</v>
      </c>
      <c r="AG970" s="139">
        <f>VLOOKUP($AD$967,$A$970:$S$981,7,FALSE)</f>
        <v>41.25</v>
      </c>
      <c r="AH970" s="139">
        <f>VLOOKUP($AD$967,$A$970:$S$981,8,FALSE)</f>
        <v>3.499220655740277</v>
      </c>
      <c r="AI970" s="139">
        <f>VLOOKUP($AD$967,$A$970:$S$981,10,FALSE)</f>
        <v>12.745967741935482</v>
      </c>
      <c r="AJ970" s="139">
        <f>VLOOKUP($AD$967,$A$970:$S$981,11,FALSE)</f>
        <v>7.176075268817204</v>
      </c>
      <c r="AK970" s="139">
        <f>VLOOKUP($AD$967,$A$970:$S$981,12,FALSE)</f>
        <v>9.2822580645161299</v>
      </c>
      <c r="AL970" s="139">
        <f>VLOOKUP($AD$967,$A$970:$S$981,13,FALSE)</f>
        <v>8.297043010752688</v>
      </c>
      <c r="AM970" s="139">
        <f>VLOOKUP($AD$967,$A$970:$S$981,14,FALSE)</f>
        <v>2.806451612903226</v>
      </c>
      <c r="AN970" s="139">
        <f>VLOOKUP($AD$967,$A$970:$S$981,15,FALSE)</f>
        <v>3.306451612903226</v>
      </c>
      <c r="AO970" s="139">
        <f>VLOOKUP($AD$967,$A$970:$S$981,16,FALSE)</f>
        <v>6.4704301075268811</v>
      </c>
      <c r="AP970" s="139">
        <f>VLOOKUP($AD$967,$A$970:$S$981,17,FALSE)</f>
        <v>1.0793010752688172</v>
      </c>
      <c r="AQ970" s="139">
        <f>VLOOKUP($AD$967,$A$970:$S$981,18,FALSE)</f>
        <v>2.3776881720430105</v>
      </c>
      <c r="AR970" s="139">
        <f>VLOOKUP($AD$967,$A$970:$S$981,19,FALSE)</f>
        <v>2.521505376344086</v>
      </c>
      <c r="AS970" s="139">
        <f>SUM(AD970:AR970)</f>
        <v>443.31776904283709</v>
      </c>
      <c r="AT970" s="139">
        <f>VLOOKUP($AD$967,$AC$890:$AS$901,17,FALSE)/$AE$967*(AS970/$AS$994)</f>
        <v>16.211767033542774</v>
      </c>
      <c r="AU970" s="139">
        <f>AS970+AT970</f>
        <v>459.52953607637988</v>
      </c>
      <c r="AW970" s="139">
        <f>VLOOKUP($AD$967,$A$918:$O$931,15,FALSE)/$AE$967/24</f>
        <v>340</v>
      </c>
      <c r="AX970" s="139">
        <f>AU970-AW970</f>
        <v>119.52953607637988</v>
      </c>
    </row>
    <row r="971" spans="1:50" ht="15.75" customHeight="1" x14ac:dyDescent="0.3">
      <c r="A971" s="642" t="s">
        <v>2091</v>
      </c>
      <c r="B971" s="642">
        <f t="shared" si="233"/>
        <v>294</v>
      </c>
      <c r="C971" s="139">
        <f t="shared" si="233"/>
        <v>147</v>
      </c>
      <c r="D971" s="643" t="s">
        <v>2916</v>
      </c>
      <c r="E971" s="139">
        <f t="shared" ref="E971:S971" si="238">+C891/$C$10/24</f>
        <v>19.767857142857142</v>
      </c>
      <c r="F971" s="139">
        <f t="shared" si="238"/>
        <v>20.712797619047617</v>
      </c>
      <c r="G971" s="139">
        <f t="shared" si="238"/>
        <v>34.9375</v>
      </c>
      <c r="H971" s="139">
        <f t="shared" si="238"/>
        <v>7.8838775642690182</v>
      </c>
      <c r="I971" s="139">
        <f t="shared" si="238"/>
        <v>-5.9035777084006057E-2</v>
      </c>
      <c r="J971" s="139">
        <f t="shared" si="238"/>
        <v>7.7857142857142856</v>
      </c>
      <c r="K971" s="139">
        <f t="shared" si="238"/>
        <v>5.9464285714285721</v>
      </c>
      <c r="L971" s="139">
        <f t="shared" si="238"/>
        <v>8.4553571428571423</v>
      </c>
      <c r="M971" s="139">
        <f t="shared" si="238"/>
        <v>8.386904761904761</v>
      </c>
      <c r="N971" s="139">
        <f t="shared" si="238"/>
        <v>2.6116071428571428</v>
      </c>
      <c r="O971" s="139">
        <f t="shared" si="238"/>
        <v>3.0773809523809526</v>
      </c>
      <c r="P971" s="139">
        <f t="shared" si="238"/>
        <v>6.1622023809523805</v>
      </c>
      <c r="Q971" s="139">
        <f t="shared" si="238"/>
        <v>1.0625</v>
      </c>
      <c r="R971" s="139">
        <f t="shared" si="238"/>
        <v>1.8809523809523812</v>
      </c>
      <c r="S971" s="643">
        <f t="shared" si="238"/>
        <v>2.5133928571428572</v>
      </c>
      <c r="T971" s="139">
        <f t="shared" si="235"/>
        <v>425.12543702528023</v>
      </c>
      <c r="U971" s="139">
        <f t="shared" si="236"/>
        <v>278.12543702528023</v>
      </c>
      <c r="V971" s="139" t="s">
        <v>2916</v>
      </c>
      <c r="AC971">
        <v>2</v>
      </c>
      <c r="AD971" s="139">
        <f t="shared" si="237"/>
        <v>294</v>
      </c>
      <c r="AE971" s="139">
        <f t="shared" ref="AE971:AE993" si="239">VLOOKUP($AD$967,$A$970:$S$981,5,FALSE)</f>
        <v>23.692204301075268</v>
      </c>
      <c r="AF971" s="139">
        <f t="shared" ref="AF971:AF993" si="240">VLOOKUP($AD$967,$A$970:$S$981,6,FALSE)</f>
        <v>24.813172043010752</v>
      </c>
      <c r="AG971" s="139">
        <f t="shared" ref="AG971:AG993" si="241">VLOOKUP($AD$967,$A$970:$S$981,7,FALSE)</f>
        <v>41.25</v>
      </c>
      <c r="AH971" s="139">
        <f t="shared" ref="AH971:AH993" si="242">VLOOKUP($AD$967,$A$970:$S$981,8,FALSE)</f>
        <v>3.499220655740277</v>
      </c>
      <c r="AI971" s="139">
        <f t="shared" ref="AI971:AI993" si="243">VLOOKUP($AD$967,$A$970:$S$981,10,FALSE)</f>
        <v>12.745967741935482</v>
      </c>
      <c r="AJ971" s="139">
        <f t="shared" ref="AJ971:AJ993" si="244">VLOOKUP($AD$967,$A$970:$S$981,11,FALSE)</f>
        <v>7.176075268817204</v>
      </c>
      <c r="AK971" s="139">
        <f t="shared" ref="AK971:AK993" si="245">VLOOKUP($AD$967,$A$970:$S$981,12,FALSE)</f>
        <v>9.2822580645161299</v>
      </c>
      <c r="AL971" s="139">
        <f t="shared" ref="AL971:AL993" si="246">VLOOKUP($AD$967,$A$970:$S$981,13,FALSE)</f>
        <v>8.297043010752688</v>
      </c>
      <c r="AM971" s="139">
        <f t="shared" ref="AM971:AM993" si="247">VLOOKUP($AD$967,$A$970:$S$981,14,FALSE)</f>
        <v>2.806451612903226</v>
      </c>
      <c r="AN971" s="139">
        <f t="shared" ref="AN971:AN993" si="248">VLOOKUP($AD$967,$A$970:$S$981,15,FALSE)</f>
        <v>3.306451612903226</v>
      </c>
      <c r="AO971" s="139">
        <f t="shared" ref="AO971:AO993" si="249">VLOOKUP($AD$967,$A$970:$S$981,16,FALSE)</f>
        <v>6.4704301075268811</v>
      </c>
      <c r="AP971" s="139">
        <f t="shared" ref="AP971:AP993" si="250">VLOOKUP($AD$967,$A$970:$S$981,17,FALSE)</f>
        <v>1.0793010752688172</v>
      </c>
      <c r="AQ971" s="139">
        <f t="shared" ref="AQ971:AQ993" si="251">VLOOKUP($AD$967,$A$970:$S$981,18,FALSE)</f>
        <v>2.3776881720430105</v>
      </c>
      <c r="AR971" s="139">
        <f t="shared" ref="AR971:AR993" si="252">VLOOKUP($AD$967,$A$970:$S$981,19,FALSE)</f>
        <v>2.521505376344086</v>
      </c>
      <c r="AS971" s="139">
        <f t="shared" ref="AS971:AS993" si="253">SUM(AD971:AR971)</f>
        <v>443.31776904283709</v>
      </c>
      <c r="AT971" s="139">
        <f t="shared" ref="AT971:AT993" si="254">VLOOKUP($AD$967,$AC$890:$AS$901,17,FALSE)/$AE$967*(AS971/$AS$994)</f>
        <v>16.211767033542774</v>
      </c>
      <c r="AU971" s="139">
        <f t="shared" ref="AU971:AU993" si="255">AS971+AT971</f>
        <v>459.52953607637988</v>
      </c>
      <c r="AW971" s="139">
        <f t="shared" ref="AW971:AW993" si="256">VLOOKUP($AD$967,$A$918:$O$931,15,FALSE)/$AE$967/24</f>
        <v>340</v>
      </c>
      <c r="AX971" s="139">
        <f t="shared" ref="AX971:AX993" si="257">AU971-AW971</f>
        <v>119.52953607637988</v>
      </c>
    </row>
    <row r="972" spans="1:50" ht="15.75" customHeight="1" x14ac:dyDescent="0.3">
      <c r="A972" s="642" t="s">
        <v>2234</v>
      </c>
      <c r="B972" s="642">
        <f t="shared" si="233"/>
        <v>294</v>
      </c>
      <c r="C972" s="139">
        <f t="shared" si="233"/>
        <v>196</v>
      </c>
      <c r="D972" s="643" t="s">
        <v>2916</v>
      </c>
      <c r="E972" s="139">
        <f t="shared" ref="E972:S972" si="258">+C892/$D$10/24</f>
        <v>23.692204301075268</v>
      </c>
      <c r="F972" s="139">
        <f t="shared" si="258"/>
        <v>24.813172043010752</v>
      </c>
      <c r="G972" s="139">
        <f t="shared" si="258"/>
        <v>41.25</v>
      </c>
      <c r="H972" s="139">
        <f t="shared" si="258"/>
        <v>3.499220655740277</v>
      </c>
      <c r="I972" s="139">
        <f t="shared" si="258"/>
        <v>-1.3326259562140579</v>
      </c>
      <c r="J972" s="139">
        <f t="shared" si="258"/>
        <v>12.745967741935482</v>
      </c>
      <c r="K972" s="139">
        <f t="shared" si="258"/>
        <v>7.176075268817204</v>
      </c>
      <c r="L972" s="139">
        <f t="shared" si="258"/>
        <v>9.2822580645161299</v>
      </c>
      <c r="M972" s="139">
        <f t="shared" si="258"/>
        <v>8.297043010752688</v>
      </c>
      <c r="N972" s="139">
        <f t="shared" si="258"/>
        <v>2.806451612903226</v>
      </c>
      <c r="O972" s="139">
        <f t="shared" si="258"/>
        <v>3.306451612903226</v>
      </c>
      <c r="P972" s="139">
        <f t="shared" si="258"/>
        <v>6.4704301075268811</v>
      </c>
      <c r="Q972" s="139">
        <f t="shared" si="258"/>
        <v>1.0793010752688172</v>
      </c>
      <c r="R972" s="139">
        <f t="shared" si="258"/>
        <v>2.3776881720430105</v>
      </c>
      <c r="S972" s="643">
        <f t="shared" si="258"/>
        <v>2.521505376344086</v>
      </c>
      <c r="T972" s="139">
        <f t="shared" si="235"/>
        <v>441.985143086623</v>
      </c>
      <c r="U972" s="139">
        <f t="shared" si="236"/>
        <v>343.985143086623</v>
      </c>
      <c r="V972" s="139" t="s">
        <v>2916</v>
      </c>
      <c r="AC972">
        <v>3</v>
      </c>
      <c r="AD972" s="139">
        <f t="shared" si="237"/>
        <v>294</v>
      </c>
      <c r="AE972" s="139">
        <f t="shared" si="239"/>
        <v>23.692204301075268</v>
      </c>
      <c r="AF972" s="139">
        <f t="shared" si="240"/>
        <v>24.813172043010752</v>
      </c>
      <c r="AG972" s="139">
        <f t="shared" si="241"/>
        <v>41.25</v>
      </c>
      <c r="AH972" s="139">
        <f t="shared" si="242"/>
        <v>3.499220655740277</v>
      </c>
      <c r="AI972" s="139">
        <f t="shared" si="243"/>
        <v>12.745967741935482</v>
      </c>
      <c r="AJ972" s="139">
        <f t="shared" si="244"/>
        <v>7.176075268817204</v>
      </c>
      <c r="AK972" s="139">
        <f t="shared" si="245"/>
        <v>9.2822580645161299</v>
      </c>
      <c r="AL972" s="139">
        <f t="shared" si="246"/>
        <v>8.297043010752688</v>
      </c>
      <c r="AM972" s="139">
        <f t="shared" si="247"/>
        <v>2.806451612903226</v>
      </c>
      <c r="AN972" s="139">
        <f t="shared" si="248"/>
        <v>3.306451612903226</v>
      </c>
      <c r="AO972" s="139">
        <f t="shared" si="249"/>
        <v>6.4704301075268811</v>
      </c>
      <c r="AP972" s="139">
        <f t="shared" si="250"/>
        <v>1.0793010752688172</v>
      </c>
      <c r="AQ972" s="139">
        <f t="shared" si="251"/>
        <v>2.3776881720430105</v>
      </c>
      <c r="AR972" s="139">
        <f t="shared" si="252"/>
        <v>2.521505376344086</v>
      </c>
      <c r="AS972" s="139">
        <f t="shared" si="253"/>
        <v>443.31776904283709</v>
      </c>
      <c r="AT972" s="139">
        <f t="shared" si="254"/>
        <v>16.211767033542774</v>
      </c>
      <c r="AU972" s="139">
        <f t="shared" si="255"/>
        <v>459.52953607637988</v>
      </c>
      <c r="AW972" s="139">
        <f t="shared" si="256"/>
        <v>340</v>
      </c>
      <c r="AX972" s="139">
        <f t="shared" si="257"/>
        <v>119.52953607637988</v>
      </c>
    </row>
    <row r="973" spans="1:50" ht="15.75" customHeight="1" x14ac:dyDescent="0.3">
      <c r="A973" s="642" t="s">
        <v>2235</v>
      </c>
      <c r="B973" s="642">
        <f t="shared" si="233"/>
        <v>294</v>
      </c>
      <c r="C973" s="139">
        <f t="shared" si="233"/>
        <v>196</v>
      </c>
      <c r="D973" s="643" t="s">
        <v>2916</v>
      </c>
      <c r="E973" s="139">
        <f t="shared" ref="E973:S973" si="259">+C893/$F$10/24</f>
        <v>26.265277777777779</v>
      </c>
      <c r="F973" s="139">
        <f t="shared" si="259"/>
        <v>27.494444444444444</v>
      </c>
      <c r="G973" s="139">
        <f t="shared" si="259"/>
        <v>44.893055555555556</v>
      </c>
      <c r="H973" s="139">
        <f t="shared" si="259"/>
        <v>0.32721944516575824</v>
      </c>
      <c r="I973" s="139">
        <f t="shared" si="259"/>
        <v>-7.7219491543163423</v>
      </c>
      <c r="J973" s="139">
        <f t="shared" si="259"/>
        <v>18.12638888888889</v>
      </c>
      <c r="K973" s="139">
        <f t="shared" si="259"/>
        <v>9.8083333333333336</v>
      </c>
      <c r="L973" s="139">
        <f t="shared" si="259"/>
        <v>11.830555555555556</v>
      </c>
      <c r="M973" s="139">
        <f t="shared" si="259"/>
        <v>9.7694444444444439</v>
      </c>
      <c r="N973" s="139">
        <f t="shared" si="259"/>
        <v>2.8708333333333336</v>
      </c>
      <c r="O973" s="139">
        <f t="shared" si="259"/>
        <v>3.380555555555556</v>
      </c>
      <c r="P973" s="139">
        <f t="shared" si="259"/>
        <v>6.8999999999999995</v>
      </c>
      <c r="Q973" s="139">
        <f t="shared" si="259"/>
        <v>1.0763888888888888</v>
      </c>
      <c r="R973" s="139">
        <f t="shared" si="259"/>
        <v>2.8194444444444446</v>
      </c>
      <c r="S973" s="643">
        <f t="shared" si="259"/>
        <v>2.5444444444444447</v>
      </c>
      <c r="T973" s="139">
        <f t="shared" si="235"/>
        <v>454.38443695751607</v>
      </c>
      <c r="U973" s="139">
        <f t="shared" si="236"/>
        <v>356.38443695751607</v>
      </c>
      <c r="V973" s="139" t="s">
        <v>2916</v>
      </c>
      <c r="AC973">
        <v>4</v>
      </c>
      <c r="AD973" s="139">
        <f t="shared" si="237"/>
        <v>294</v>
      </c>
      <c r="AE973" s="139">
        <f t="shared" si="239"/>
        <v>23.692204301075268</v>
      </c>
      <c r="AF973" s="139">
        <f t="shared" si="240"/>
        <v>24.813172043010752</v>
      </c>
      <c r="AG973" s="139">
        <f t="shared" si="241"/>
        <v>41.25</v>
      </c>
      <c r="AH973" s="139">
        <f t="shared" si="242"/>
        <v>3.499220655740277</v>
      </c>
      <c r="AI973" s="139">
        <f t="shared" si="243"/>
        <v>12.745967741935482</v>
      </c>
      <c r="AJ973" s="139">
        <f t="shared" si="244"/>
        <v>7.176075268817204</v>
      </c>
      <c r="AK973" s="139">
        <f t="shared" si="245"/>
        <v>9.2822580645161299</v>
      </c>
      <c r="AL973" s="139">
        <f t="shared" si="246"/>
        <v>8.297043010752688</v>
      </c>
      <c r="AM973" s="139">
        <f t="shared" si="247"/>
        <v>2.806451612903226</v>
      </c>
      <c r="AN973" s="139">
        <f t="shared" si="248"/>
        <v>3.306451612903226</v>
      </c>
      <c r="AO973" s="139">
        <f t="shared" si="249"/>
        <v>6.4704301075268811</v>
      </c>
      <c r="AP973" s="139">
        <f t="shared" si="250"/>
        <v>1.0793010752688172</v>
      </c>
      <c r="AQ973" s="139">
        <f t="shared" si="251"/>
        <v>2.3776881720430105</v>
      </c>
      <c r="AR973" s="139">
        <f t="shared" si="252"/>
        <v>2.521505376344086</v>
      </c>
      <c r="AS973" s="139">
        <f t="shared" si="253"/>
        <v>443.31776904283709</v>
      </c>
      <c r="AT973" s="139">
        <f t="shared" si="254"/>
        <v>16.211767033542774</v>
      </c>
      <c r="AU973" s="139">
        <f t="shared" si="255"/>
        <v>459.52953607637988</v>
      </c>
      <c r="AW973" s="139">
        <f t="shared" si="256"/>
        <v>340</v>
      </c>
      <c r="AX973" s="139">
        <f t="shared" si="257"/>
        <v>119.52953607637988</v>
      </c>
    </row>
    <row r="974" spans="1:50" ht="15.75" customHeight="1" x14ac:dyDescent="0.3">
      <c r="A974" s="642" t="s">
        <v>2236</v>
      </c>
      <c r="B974" s="642">
        <f t="shared" si="233"/>
        <v>294</v>
      </c>
      <c r="C974" s="139">
        <f t="shared" si="233"/>
        <v>196</v>
      </c>
      <c r="D974" s="643" t="s">
        <v>2916</v>
      </c>
      <c r="E974" s="139">
        <f t="shared" ref="E974:S974" si="260">+C894/$G$10/24</f>
        <v>28.862903225806452</v>
      </c>
      <c r="F974" s="139">
        <f t="shared" si="260"/>
        <v>30.213709677419356</v>
      </c>
      <c r="G974" s="139">
        <f t="shared" si="260"/>
        <v>49.936827956989248</v>
      </c>
      <c r="H974" s="139">
        <f t="shared" si="260"/>
        <v>10.930300257159848</v>
      </c>
      <c r="I974" s="139">
        <f t="shared" si="260"/>
        <v>-0.74758198215718075</v>
      </c>
      <c r="J974" s="139">
        <f t="shared" si="260"/>
        <v>13.225806451612904</v>
      </c>
      <c r="K974" s="139">
        <f t="shared" si="260"/>
        <v>6.282258064516129</v>
      </c>
      <c r="L974" s="139">
        <f t="shared" si="260"/>
        <v>8.8723118279569899</v>
      </c>
      <c r="M974" s="139">
        <f t="shared" si="260"/>
        <v>8.275537634408602</v>
      </c>
      <c r="N974" s="139">
        <f t="shared" si="260"/>
        <v>2.6908602150537635</v>
      </c>
      <c r="O974" s="139">
        <f t="shared" si="260"/>
        <v>3.1693548387096775</v>
      </c>
      <c r="P974" s="139">
        <f t="shared" si="260"/>
        <v>6.260752688172043</v>
      </c>
      <c r="Q974" s="139">
        <f t="shared" si="260"/>
        <v>0.88709677419354838</v>
      </c>
      <c r="R974" s="139">
        <f t="shared" si="260"/>
        <v>2.9663978494623655</v>
      </c>
      <c r="S974" s="643">
        <f t="shared" si="260"/>
        <v>2.096774193548387</v>
      </c>
      <c r="T974" s="139">
        <f t="shared" si="235"/>
        <v>467.9233096728521</v>
      </c>
      <c r="U974" s="139">
        <f t="shared" si="236"/>
        <v>369.9233096728521</v>
      </c>
      <c r="V974" s="139" t="s">
        <v>2916</v>
      </c>
      <c r="AC974">
        <v>5</v>
      </c>
      <c r="AD974" s="139">
        <f t="shared" si="237"/>
        <v>294</v>
      </c>
      <c r="AE974" s="139">
        <f t="shared" si="239"/>
        <v>23.692204301075268</v>
      </c>
      <c r="AF974" s="139">
        <f t="shared" si="240"/>
        <v>24.813172043010752</v>
      </c>
      <c r="AG974" s="139">
        <f t="shared" si="241"/>
        <v>41.25</v>
      </c>
      <c r="AH974" s="139">
        <f t="shared" si="242"/>
        <v>3.499220655740277</v>
      </c>
      <c r="AI974" s="139">
        <f t="shared" si="243"/>
        <v>12.745967741935482</v>
      </c>
      <c r="AJ974" s="139">
        <f t="shared" si="244"/>
        <v>7.176075268817204</v>
      </c>
      <c r="AK974" s="139">
        <f t="shared" si="245"/>
        <v>9.2822580645161299</v>
      </c>
      <c r="AL974" s="139">
        <f t="shared" si="246"/>
        <v>8.297043010752688</v>
      </c>
      <c r="AM974" s="139">
        <f t="shared" si="247"/>
        <v>2.806451612903226</v>
      </c>
      <c r="AN974" s="139">
        <f t="shared" si="248"/>
        <v>3.306451612903226</v>
      </c>
      <c r="AO974" s="139">
        <f t="shared" si="249"/>
        <v>6.4704301075268811</v>
      </c>
      <c r="AP974" s="139">
        <f t="shared" si="250"/>
        <v>1.0793010752688172</v>
      </c>
      <c r="AQ974" s="139">
        <f t="shared" si="251"/>
        <v>2.3776881720430105</v>
      </c>
      <c r="AR974" s="139">
        <f t="shared" si="252"/>
        <v>2.521505376344086</v>
      </c>
      <c r="AS974" s="139">
        <f t="shared" si="253"/>
        <v>443.31776904283709</v>
      </c>
      <c r="AT974" s="139">
        <f t="shared" si="254"/>
        <v>16.211767033542774</v>
      </c>
      <c r="AU974" s="139">
        <f t="shared" si="255"/>
        <v>459.52953607637988</v>
      </c>
      <c r="AW974" s="139">
        <f t="shared" si="256"/>
        <v>340</v>
      </c>
      <c r="AX974" s="139">
        <f t="shared" si="257"/>
        <v>119.52953607637988</v>
      </c>
    </row>
    <row r="975" spans="1:50" ht="15.75" customHeight="1" x14ac:dyDescent="0.3">
      <c r="A975" s="642" t="s">
        <v>2237</v>
      </c>
      <c r="B975" s="642">
        <f t="shared" si="233"/>
        <v>294</v>
      </c>
      <c r="C975" s="139">
        <f t="shared" si="233"/>
        <v>98</v>
      </c>
      <c r="D975" s="643">
        <f>H1002</f>
        <v>0</v>
      </c>
      <c r="E975" s="139">
        <f t="shared" ref="E975:S975" si="261">+C895/$H$10/24</f>
        <v>13.733333333333334</v>
      </c>
      <c r="F975" s="139">
        <f t="shared" si="261"/>
        <v>14.3375</v>
      </c>
      <c r="G975" s="139">
        <f t="shared" si="261"/>
        <v>22.445833333333336</v>
      </c>
      <c r="H975" s="139">
        <f t="shared" si="261"/>
        <v>0.10757487232753406</v>
      </c>
      <c r="I975" s="139">
        <f t="shared" si="261"/>
        <v>-16.529648999413887</v>
      </c>
      <c r="J975" s="139">
        <f t="shared" si="261"/>
        <v>15.408333333333333</v>
      </c>
      <c r="K975" s="139">
        <f t="shared" si="261"/>
        <v>7.1638888888888888</v>
      </c>
      <c r="L975" s="139">
        <f t="shared" si="261"/>
        <v>8.2527777777777782</v>
      </c>
      <c r="M975" s="139">
        <f t="shared" si="261"/>
        <v>7.4458333333333329</v>
      </c>
      <c r="N975" s="139">
        <f t="shared" si="261"/>
        <v>2.7347222222222225</v>
      </c>
      <c r="O975" s="139">
        <f t="shared" si="261"/>
        <v>3.2194444444444446</v>
      </c>
      <c r="P975" s="139">
        <f t="shared" si="261"/>
        <v>6.4944444444444445</v>
      </c>
      <c r="Q975" s="139">
        <f t="shared" si="261"/>
        <v>1.3097222222222222</v>
      </c>
      <c r="R975" s="139">
        <f t="shared" si="261"/>
        <v>2.8055555555555554</v>
      </c>
      <c r="S975" s="643">
        <f t="shared" si="261"/>
        <v>3.0611111111111113</v>
      </c>
      <c r="T975" s="139">
        <f t="shared" si="235"/>
        <v>385.99042587291365</v>
      </c>
      <c r="U975" s="139">
        <f t="shared" si="236"/>
        <v>189.99042587291365</v>
      </c>
      <c r="V975" s="688">
        <f>D975+SUM(E975:S975)</f>
        <v>91.990425872913647</v>
      </c>
      <c r="AC975">
        <v>6</v>
      </c>
      <c r="AD975" s="139">
        <f t="shared" si="237"/>
        <v>294</v>
      </c>
      <c r="AE975" s="139">
        <f t="shared" si="239"/>
        <v>23.692204301075268</v>
      </c>
      <c r="AF975" s="139">
        <f t="shared" si="240"/>
        <v>24.813172043010752</v>
      </c>
      <c r="AG975" s="139">
        <f t="shared" si="241"/>
        <v>41.25</v>
      </c>
      <c r="AH975" s="139">
        <f t="shared" si="242"/>
        <v>3.499220655740277</v>
      </c>
      <c r="AI975" s="139">
        <f t="shared" si="243"/>
        <v>12.745967741935482</v>
      </c>
      <c r="AJ975" s="139">
        <f t="shared" si="244"/>
        <v>7.176075268817204</v>
      </c>
      <c r="AK975" s="139">
        <f t="shared" si="245"/>
        <v>9.2822580645161299</v>
      </c>
      <c r="AL975" s="139">
        <f t="shared" si="246"/>
        <v>8.297043010752688</v>
      </c>
      <c r="AM975" s="139">
        <f t="shared" si="247"/>
        <v>2.806451612903226</v>
      </c>
      <c r="AN975" s="139">
        <f t="shared" si="248"/>
        <v>3.306451612903226</v>
      </c>
      <c r="AO975" s="139">
        <f t="shared" si="249"/>
        <v>6.4704301075268811</v>
      </c>
      <c r="AP975" s="139">
        <f t="shared" si="250"/>
        <v>1.0793010752688172</v>
      </c>
      <c r="AQ975" s="139">
        <f t="shared" si="251"/>
        <v>2.3776881720430105</v>
      </c>
      <c r="AR975" s="139">
        <f t="shared" si="252"/>
        <v>2.521505376344086</v>
      </c>
      <c r="AS975" s="139">
        <f t="shared" si="253"/>
        <v>443.31776904283709</v>
      </c>
      <c r="AT975" s="139">
        <f t="shared" si="254"/>
        <v>16.211767033542774</v>
      </c>
      <c r="AU975" s="139">
        <f t="shared" si="255"/>
        <v>459.52953607637988</v>
      </c>
      <c r="AW975" s="139">
        <f t="shared" si="256"/>
        <v>340</v>
      </c>
      <c r="AX975" s="139">
        <f t="shared" si="257"/>
        <v>119.52953607637988</v>
      </c>
    </row>
    <row r="976" spans="1:50" ht="15.75" customHeight="1" x14ac:dyDescent="0.3">
      <c r="A976" s="642" t="s">
        <v>1504</v>
      </c>
      <c r="B976" s="642">
        <f t="shared" si="233"/>
        <v>147</v>
      </c>
      <c r="C976" s="139">
        <f t="shared" si="233"/>
        <v>98</v>
      </c>
      <c r="D976" s="643">
        <f>H1003</f>
        <v>0</v>
      </c>
      <c r="E976" s="139">
        <f t="shared" ref="E976:S976" si="262">+C896/$J$10/24</f>
        <v>11.904569892473118</v>
      </c>
      <c r="F976" s="139">
        <f t="shared" si="262"/>
        <v>12.422043010752688</v>
      </c>
      <c r="G976" s="139">
        <f t="shared" si="262"/>
        <v>19.147849462365592</v>
      </c>
      <c r="H976" s="139">
        <f t="shared" si="262"/>
        <v>0</v>
      </c>
      <c r="I976" s="139">
        <f t="shared" si="262"/>
        <v>-14.256749803502117</v>
      </c>
      <c r="J976" s="139">
        <f t="shared" si="262"/>
        <v>13.225806451612904</v>
      </c>
      <c r="K976" s="139">
        <f t="shared" si="262"/>
        <v>8.93010752688172</v>
      </c>
      <c r="L976" s="139">
        <f t="shared" si="262"/>
        <v>9.8736559139784941</v>
      </c>
      <c r="M976" s="139">
        <f t="shared" si="262"/>
        <v>8.366935483870968</v>
      </c>
      <c r="N976" s="139">
        <f t="shared" si="262"/>
        <v>2.3991935483870965</v>
      </c>
      <c r="O976" s="139">
        <f t="shared" si="262"/>
        <v>2.823924731182796</v>
      </c>
      <c r="P976" s="139">
        <f t="shared" si="262"/>
        <v>5.4865591397849469</v>
      </c>
      <c r="Q976" s="139">
        <f t="shared" si="262"/>
        <v>0.95161290322580649</v>
      </c>
      <c r="R976" s="139">
        <f t="shared" si="262"/>
        <v>2.521505376344086</v>
      </c>
      <c r="S976" s="643">
        <f t="shared" si="262"/>
        <v>2.25</v>
      </c>
      <c r="T976" s="139">
        <f t="shared" si="235"/>
        <v>233.04701363735811</v>
      </c>
      <c r="U976" s="139">
        <f t="shared" si="236"/>
        <v>184.04701363735811</v>
      </c>
      <c r="V976" s="688">
        <f>D976+SUM(E976:S976)</f>
        <v>86.047013637358106</v>
      </c>
      <c r="AC976">
        <v>7</v>
      </c>
      <c r="AD976" s="139">
        <f>IF($AF$967=1,VLOOKUP($AD$967,$A$997:$P$1008,12,FALSE),IF(OR($AD$967="JAN",$AD$967="FEB",$AD$967="NOV",$AD$967="DEC"),VLOOKUP($AD$967,$A$970:$S$981,2,FALSE),VLOOKUP($AD$967,$A$970:$S$981,3,FALSE)))</f>
        <v>196</v>
      </c>
      <c r="AE976" s="139">
        <f t="shared" si="239"/>
        <v>23.692204301075268</v>
      </c>
      <c r="AF976" s="139">
        <f t="shared" si="240"/>
        <v>24.813172043010752</v>
      </c>
      <c r="AG976" s="139">
        <f t="shared" si="241"/>
        <v>41.25</v>
      </c>
      <c r="AH976" s="139">
        <f t="shared" si="242"/>
        <v>3.499220655740277</v>
      </c>
      <c r="AI976" s="139">
        <f t="shared" si="243"/>
        <v>12.745967741935482</v>
      </c>
      <c r="AJ976" s="139">
        <f t="shared" si="244"/>
        <v>7.176075268817204</v>
      </c>
      <c r="AK976" s="139">
        <f t="shared" si="245"/>
        <v>9.2822580645161299</v>
      </c>
      <c r="AL976" s="139">
        <f t="shared" si="246"/>
        <v>8.297043010752688</v>
      </c>
      <c r="AM976" s="139">
        <f t="shared" si="247"/>
        <v>2.806451612903226</v>
      </c>
      <c r="AN976" s="139">
        <f t="shared" si="248"/>
        <v>3.306451612903226</v>
      </c>
      <c r="AO976" s="139">
        <f t="shared" si="249"/>
        <v>6.4704301075268811</v>
      </c>
      <c r="AP976" s="139">
        <f t="shared" si="250"/>
        <v>1.0793010752688172</v>
      </c>
      <c r="AQ976" s="139">
        <f t="shared" si="251"/>
        <v>2.3776881720430105</v>
      </c>
      <c r="AR976" s="139">
        <f t="shared" si="252"/>
        <v>2.521505376344086</v>
      </c>
      <c r="AS976" s="139">
        <f t="shared" si="253"/>
        <v>345.31776904283709</v>
      </c>
      <c r="AT976" s="139">
        <f t="shared" si="254"/>
        <v>12.627987450970542</v>
      </c>
      <c r="AU976" s="139">
        <f t="shared" si="255"/>
        <v>357.94575649380761</v>
      </c>
      <c r="AW976" s="139">
        <f t="shared" si="256"/>
        <v>340</v>
      </c>
      <c r="AX976" s="139">
        <f t="shared" si="257"/>
        <v>17.945756493807608</v>
      </c>
    </row>
    <row r="977" spans="1:50" ht="15.75" customHeight="1" x14ac:dyDescent="0.3">
      <c r="A977" s="642" t="s">
        <v>1505</v>
      </c>
      <c r="B977" s="642">
        <f t="shared" si="233"/>
        <v>147</v>
      </c>
      <c r="C977" s="139">
        <f t="shared" si="233"/>
        <v>98</v>
      </c>
      <c r="D977" s="643">
        <f>H1004</f>
        <v>0</v>
      </c>
      <c r="E977" s="139">
        <f t="shared" ref="E977:S977" si="263">+C897/$K$10/24</f>
        <v>11.51747311827957</v>
      </c>
      <c r="F977" s="139">
        <f t="shared" si="263"/>
        <v>12.029569892473118</v>
      </c>
      <c r="G977" s="139">
        <f t="shared" si="263"/>
        <v>17.857526881720428</v>
      </c>
      <c r="H977" s="139">
        <f t="shared" si="263"/>
        <v>0</v>
      </c>
      <c r="I977" s="139">
        <f t="shared" si="263"/>
        <v>-12.361052968231334</v>
      </c>
      <c r="J977" s="139">
        <f t="shared" si="263"/>
        <v>13.513440860215054</v>
      </c>
      <c r="K977" s="139">
        <f t="shared" si="263"/>
        <v>8.01747311827957</v>
      </c>
      <c r="L977" s="139">
        <f t="shared" si="263"/>
        <v>8.80510752688172</v>
      </c>
      <c r="M977" s="139">
        <f t="shared" si="263"/>
        <v>7.290322580645161</v>
      </c>
      <c r="N977" s="139">
        <f t="shared" si="263"/>
        <v>2.506720430107527</v>
      </c>
      <c r="O977" s="139">
        <f t="shared" si="263"/>
        <v>2.9516129032258065</v>
      </c>
      <c r="P977" s="139">
        <f t="shared" si="263"/>
        <v>5.5658602150537639</v>
      </c>
      <c r="Q977" s="139">
        <f t="shared" si="263"/>
        <v>1.081989247311828</v>
      </c>
      <c r="R977" s="139">
        <f t="shared" si="263"/>
        <v>2.5658602150537635</v>
      </c>
      <c r="S977" s="643">
        <f t="shared" si="263"/>
        <v>2.5591397849462365</v>
      </c>
      <c r="T977" s="139">
        <f t="shared" si="235"/>
        <v>230.90104380596222</v>
      </c>
      <c r="U977" s="139">
        <f t="shared" si="236"/>
        <v>181.90104380596222</v>
      </c>
      <c r="V977" s="688">
        <f>D977+SUM(E977:S977)</f>
        <v>83.901043805962203</v>
      </c>
      <c r="AC977">
        <v>8</v>
      </c>
      <c r="AD977" s="139">
        <f>IF($AF$967=1,VLOOKUP($AD$967,$A$997:$P$1008,12,FALSE),VLOOKUP($AD$967,$A$970:$S$981,3,FALSE))</f>
        <v>196</v>
      </c>
      <c r="AE977" s="139">
        <f t="shared" si="239"/>
        <v>23.692204301075268</v>
      </c>
      <c r="AF977" s="139">
        <f t="shared" si="240"/>
        <v>24.813172043010752</v>
      </c>
      <c r="AG977" s="139">
        <f t="shared" si="241"/>
        <v>41.25</v>
      </c>
      <c r="AH977" s="139">
        <f t="shared" si="242"/>
        <v>3.499220655740277</v>
      </c>
      <c r="AI977" s="139">
        <f t="shared" si="243"/>
        <v>12.745967741935482</v>
      </c>
      <c r="AJ977" s="139">
        <f t="shared" si="244"/>
        <v>7.176075268817204</v>
      </c>
      <c r="AK977" s="139">
        <f t="shared" si="245"/>
        <v>9.2822580645161299</v>
      </c>
      <c r="AL977" s="139">
        <f t="shared" si="246"/>
        <v>8.297043010752688</v>
      </c>
      <c r="AM977" s="139">
        <f t="shared" si="247"/>
        <v>2.806451612903226</v>
      </c>
      <c r="AN977" s="139">
        <f t="shared" si="248"/>
        <v>3.306451612903226</v>
      </c>
      <c r="AO977" s="139">
        <f t="shared" si="249"/>
        <v>6.4704301075268811</v>
      </c>
      <c r="AP977" s="139">
        <f t="shared" si="250"/>
        <v>1.0793010752688172</v>
      </c>
      <c r="AQ977" s="139">
        <f t="shared" si="251"/>
        <v>2.3776881720430105</v>
      </c>
      <c r="AR977" s="139">
        <f t="shared" si="252"/>
        <v>2.521505376344086</v>
      </c>
      <c r="AS977" s="139">
        <f t="shared" si="253"/>
        <v>345.31776904283709</v>
      </c>
      <c r="AT977" s="139">
        <f t="shared" si="254"/>
        <v>12.627987450970542</v>
      </c>
      <c r="AU977" s="139">
        <f t="shared" si="255"/>
        <v>357.94575649380761</v>
      </c>
      <c r="AW977" s="139">
        <f t="shared" si="256"/>
        <v>340</v>
      </c>
      <c r="AX977" s="139">
        <f t="shared" si="257"/>
        <v>17.945756493807608</v>
      </c>
    </row>
    <row r="978" spans="1:50" ht="15.75" customHeight="1" x14ac:dyDescent="0.3">
      <c r="A978" s="642" t="s">
        <v>1506</v>
      </c>
      <c r="B978" s="642">
        <f t="shared" si="233"/>
        <v>245</v>
      </c>
      <c r="C978" s="139">
        <f t="shared" si="233"/>
        <v>147</v>
      </c>
      <c r="D978" s="643" t="s">
        <v>2916</v>
      </c>
      <c r="E978" s="139">
        <f t="shared" ref="E978:S978" si="264">+C898/$L$10/24</f>
        <v>27.881944444444443</v>
      </c>
      <c r="F978" s="139">
        <f t="shared" si="264"/>
        <v>29.198611111111109</v>
      </c>
      <c r="G978" s="139">
        <f t="shared" si="264"/>
        <v>47.481944444444444</v>
      </c>
      <c r="H978" s="139">
        <f t="shared" si="264"/>
        <v>9.7176984891689369</v>
      </c>
      <c r="I978" s="139">
        <f t="shared" si="264"/>
        <v>-0.28031582998037313</v>
      </c>
      <c r="J978" s="139">
        <f t="shared" si="264"/>
        <v>9.7680555555555557</v>
      </c>
      <c r="K978" s="139">
        <f t="shared" si="264"/>
        <v>5.759722222222222</v>
      </c>
      <c r="L978" s="139">
        <f t="shared" si="264"/>
        <v>7.1888888888888891</v>
      </c>
      <c r="M978" s="139">
        <f t="shared" si="264"/>
        <v>6.6597222222222223</v>
      </c>
      <c r="N978" s="139">
        <f t="shared" si="264"/>
        <v>2.4472222222222224</v>
      </c>
      <c r="O978" s="139">
        <f t="shared" si="264"/>
        <v>2.8819444444444446</v>
      </c>
      <c r="P978" s="139">
        <f t="shared" si="264"/>
        <v>5.3624999999999998</v>
      </c>
      <c r="Q978" s="139">
        <f t="shared" si="264"/>
        <v>0.81527777777777777</v>
      </c>
      <c r="R978" s="139">
        <f t="shared" si="264"/>
        <v>2.3194444444444442</v>
      </c>
      <c r="S978" s="643">
        <f t="shared" si="264"/>
        <v>1.9291666666666665</v>
      </c>
      <c r="T978" s="139">
        <f t="shared" si="235"/>
        <v>404.1318271036331</v>
      </c>
      <c r="U978" s="139">
        <f t="shared" si="236"/>
        <v>306.1318271036331</v>
      </c>
      <c r="V978" s="139" t="s">
        <v>2916</v>
      </c>
      <c r="AC978">
        <v>9</v>
      </c>
      <c r="AD978" s="139">
        <f>IF($AF$967=1,VLOOKUP($AD$967,$A$997:$P$1008,12,FALSE),VLOOKUP($AD$967,$A$970:$S$981,3,FALSE))</f>
        <v>196</v>
      </c>
      <c r="AE978" s="139">
        <f t="shared" si="239"/>
        <v>23.692204301075268</v>
      </c>
      <c r="AF978" s="139">
        <f t="shared" si="240"/>
        <v>24.813172043010752</v>
      </c>
      <c r="AG978" s="139">
        <f t="shared" si="241"/>
        <v>41.25</v>
      </c>
      <c r="AH978" s="139">
        <f t="shared" si="242"/>
        <v>3.499220655740277</v>
      </c>
      <c r="AI978" s="139">
        <f t="shared" si="243"/>
        <v>12.745967741935482</v>
      </c>
      <c r="AJ978" s="139">
        <f t="shared" si="244"/>
        <v>7.176075268817204</v>
      </c>
      <c r="AK978" s="139">
        <f t="shared" si="245"/>
        <v>9.2822580645161299</v>
      </c>
      <c r="AL978" s="139">
        <f t="shared" si="246"/>
        <v>8.297043010752688</v>
      </c>
      <c r="AM978" s="139">
        <f t="shared" si="247"/>
        <v>2.806451612903226</v>
      </c>
      <c r="AN978" s="139">
        <f t="shared" si="248"/>
        <v>3.306451612903226</v>
      </c>
      <c r="AO978" s="139">
        <f t="shared" si="249"/>
        <v>6.4704301075268811</v>
      </c>
      <c r="AP978" s="139">
        <f t="shared" si="250"/>
        <v>1.0793010752688172</v>
      </c>
      <c r="AQ978" s="139">
        <f t="shared" si="251"/>
        <v>2.3776881720430105</v>
      </c>
      <c r="AR978" s="139">
        <f t="shared" si="252"/>
        <v>2.521505376344086</v>
      </c>
      <c r="AS978" s="139">
        <f t="shared" si="253"/>
        <v>345.31776904283709</v>
      </c>
      <c r="AT978" s="139">
        <f t="shared" si="254"/>
        <v>12.627987450970542</v>
      </c>
      <c r="AU978" s="139">
        <f t="shared" si="255"/>
        <v>357.94575649380761</v>
      </c>
      <c r="AW978" s="139">
        <f t="shared" si="256"/>
        <v>340</v>
      </c>
      <c r="AX978" s="139">
        <f t="shared" si="257"/>
        <v>17.945756493807608</v>
      </c>
    </row>
    <row r="979" spans="1:50" ht="15.75" customHeight="1" x14ac:dyDescent="0.3">
      <c r="A979" s="642" t="s">
        <v>1507</v>
      </c>
      <c r="B979" s="642">
        <f t="shared" si="233"/>
        <v>245</v>
      </c>
      <c r="C979" s="139">
        <f t="shared" si="233"/>
        <v>147</v>
      </c>
      <c r="D979" s="643" t="s">
        <v>2916</v>
      </c>
      <c r="E979" s="139">
        <f t="shared" ref="E979:S979" si="265">+C899/$N$10/24</f>
        <v>19.286290322580644</v>
      </c>
      <c r="F979" s="139">
        <f t="shared" si="265"/>
        <v>20.188172043010752</v>
      </c>
      <c r="G979" s="139">
        <f t="shared" si="265"/>
        <v>33.44489247311828</v>
      </c>
      <c r="H979" s="139">
        <f t="shared" si="265"/>
        <v>6.7131594781972597</v>
      </c>
      <c r="I979" s="139">
        <f t="shared" si="265"/>
        <v>-1.5275192648953484</v>
      </c>
      <c r="J979" s="139">
        <f t="shared" si="265"/>
        <v>7.518817204301075</v>
      </c>
      <c r="K979" s="139">
        <f t="shared" si="265"/>
        <v>3.65994623655914</v>
      </c>
      <c r="L979" s="139">
        <f t="shared" si="265"/>
        <v>5.03494623655914</v>
      </c>
      <c r="M979" s="139">
        <f t="shared" si="265"/>
        <v>4.4879032258064511</v>
      </c>
      <c r="N979" s="139">
        <f t="shared" si="265"/>
        <v>1.663978494623656</v>
      </c>
      <c r="O979" s="139">
        <f t="shared" si="265"/>
        <v>1.9583333333333333</v>
      </c>
      <c r="P979" s="139">
        <f t="shared" si="265"/>
        <v>3.8037634408602155</v>
      </c>
      <c r="Q979" s="139">
        <f t="shared" si="265"/>
        <v>0.82795698924731187</v>
      </c>
      <c r="R979" s="139">
        <f t="shared" si="265"/>
        <v>2.0483870967741935</v>
      </c>
      <c r="S979" s="643">
        <f t="shared" si="265"/>
        <v>1.9448924731182797</v>
      </c>
      <c r="T979" s="139">
        <f t="shared" si="235"/>
        <v>356.05391978319437</v>
      </c>
      <c r="U979" s="139">
        <f t="shared" si="236"/>
        <v>258.05391978319437</v>
      </c>
      <c r="V979" s="139" t="s">
        <v>2916</v>
      </c>
      <c r="AC979">
        <v>10</v>
      </c>
      <c r="AD979" s="139">
        <f>IF($AF$967=1,VLOOKUP($AD$967,$A$997:$P$1008,12,FALSE),VLOOKUP($AD$967,$A$970:$S$981,3,FALSE))</f>
        <v>196</v>
      </c>
      <c r="AE979" s="139">
        <f t="shared" si="239"/>
        <v>23.692204301075268</v>
      </c>
      <c r="AF979" s="139">
        <f t="shared" si="240"/>
        <v>24.813172043010752</v>
      </c>
      <c r="AG979" s="139">
        <f t="shared" si="241"/>
        <v>41.25</v>
      </c>
      <c r="AH979" s="139">
        <f t="shared" si="242"/>
        <v>3.499220655740277</v>
      </c>
      <c r="AI979" s="139">
        <f t="shared" si="243"/>
        <v>12.745967741935482</v>
      </c>
      <c r="AJ979" s="139">
        <f t="shared" si="244"/>
        <v>7.176075268817204</v>
      </c>
      <c r="AK979" s="139">
        <f t="shared" si="245"/>
        <v>9.2822580645161299</v>
      </c>
      <c r="AL979" s="139">
        <f t="shared" si="246"/>
        <v>8.297043010752688</v>
      </c>
      <c r="AM979" s="139">
        <f t="shared" si="247"/>
        <v>2.806451612903226</v>
      </c>
      <c r="AN979" s="139">
        <f t="shared" si="248"/>
        <v>3.306451612903226</v>
      </c>
      <c r="AO979" s="139">
        <f t="shared" si="249"/>
        <v>6.4704301075268811</v>
      </c>
      <c r="AP979" s="139">
        <f t="shared" si="250"/>
        <v>1.0793010752688172</v>
      </c>
      <c r="AQ979" s="139">
        <f t="shared" si="251"/>
        <v>2.3776881720430105</v>
      </c>
      <c r="AR979" s="139">
        <f t="shared" si="252"/>
        <v>2.521505376344086</v>
      </c>
      <c r="AS979" s="139">
        <f t="shared" si="253"/>
        <v>345.31776904283709</v>
      </c>
      <c r="AT979" s="139">
        <f t="shared" si="254"/>
        <v>12.627987450970542</v>
      </c>
      <c r="AU979" s="139">
        <f t="shared" si="255"/>
        <v>357.94575649380761</v>
      </c>
      <c r="AW979" s="139">
        <f t="shared" si="256"/>
        <v>340</v>
      </c>
      <c r="AX979" s="139">
        <f t="shared" si="257"/>
        <v>17.945756493807608</v>
      </c>
    </row>
    <row r="980" spans="1:50" ht="15.75" customHeight="1" x14ac:dyDescent="0.3">
      <c r="A980" s="642" t="s">
        <v>1508</v>
      </c>
      <c r="B980" s="642">
        <f t="shared" si="233"/>
        <v>245</v>
      </c>
      <c r="C980" s="139">
        <f t="shared" si="233"/>
        <v>147</v>
      </c>
      <c r="D980" s="643" t="s">
        <v>2916</v>
      </c>
      <c r="E980" s="139">
        <f t="shared" ref="E980:S980" si="266">+C900/$O$10/24</f>
        <v>19.788888888888888</v>
      </c>
      <c r="F980" s="139">
        <f t="shared" si="266"/>
        <v>20.722222222222221</v>
      </c>
      <c r="G980" s="139">
        <f t="shared" si="266"/>
        <v>34.294444444444444</v>
      </c>
      <c r="H980" s="139">
        <f t="shared" si="266"/>
        <v>12.723953951354629</v>
      </c>
      <c r="I980" s="139">
        <f t="shared" si="266"/>
        <v>0</v>
      </c>
      <c r="J980" s="139">
        <f t="shared" si="266"/>
        <v>4.4291666666666663</v>
      </c>
      <c r="K980" s="139">
        <f t="shared" si="266"/>
        <v>1.8277777777777777</v>
      </c>
      <c r="L980" s="139">
        <f t="shared" si="266"/>
        <v>2.7388888888888889</v>
      </c>
      <c r="M980" s="139">
        <f t="shared" si="266"/>
        <v>2.6319444444444442</v>
      </c>
      <c r="N980" s="139">
        <f t="shared" si="266"/>
        <v>0.95833333333333337</v>
      </c>
      <c r="O980" s="139">
        <f t="shared" si="266"/>
        <v>1.1277777777777778</v>
      </c>
      <c r="P980" s="139">
        <f t="shared" si="266"/>
        <v>2.2736111111111112</v>
      </c>
      <c r="Q980" s="139">
        <f t="shared" si="266"/>
        <v>0.1111111111111111</v>
      </c>
      <c r="R980" s="139">
        <f t="shared" si="266"/>
        <v>1.8111111111111111</v>
      </c>
      <c r="S980" s="643">
        <f t="shared" si="266"/>
        <v>0.26250000000000001</v>
      </c>
      <c r="T980" s="139">
        <f t="shared" si="235"/>
        <v>350.7017317291324</v>
      </c>
      <c r="U980" s="139">
        <f t="shared" si="236"/>
        <v>252.7017317291324</v>
      </c>
      <c r="V980" s="139" t="s">
        <v>2916</v>
      </c>
      <c r="AC980">
        <v>11</v>
      </c>
      <c r="AD980" s="139">
        <f>IF($AF$967=1,VLOOKUP($AD$967,$A$997:$P$1008,12,FALSE),VLOOKUP($AD$967,$A$970:$S$981,3,FALSE))</f>
        <v>196</v>
      </c>
      <c r="AE980" s="139">
        <f t="shared" si="239"/>
        <v>23.692204301075268</v>
      </c>
      <c r="AF980" s="139">
        <f t="shared" si="240"/>
        <v>24.813172043010752</v>
      </c>
      <c r="AG980" s="139">
        <f t="shared" si="241"/>
        <v>41.25</v>
      </c>
      <c r="AH980" s="139">
        <f t="shared" si="242"/>
        <v>3.499220655740277</v>
      </c>
      <c r="AI980" s="139">
        <f t="shared" si="243"/>
        <v>12.745967741935482</v>
      </c>
      <c r="AJ980" s="139">
        <f t="shared" si="244"/>
        <v>7.176075268817204</v>
      </c>
      <c r="AK980" s="139">
        <f t="shared" si="245"/>
        <v>9.2822580645161299</v>
      </c>
      <c r="AL980" s="139">
        <f t="shared" si="246"/>
        <v>8.297043010752688</v>
      </c>
      <c r="AM980" s="139">
        <f t="shared" si="247"/>
        <v>2.806451612903226</v>
      </c>
      <c r="AN980" s="139">
        <f t="shared" si="248"/>
        <v>3.306451612903226</v>
      </c>
      <c r="AO980" s="139">
        <f t="shared" si="249"/>
        <v>6.4704301075268811</v>
      </c>
      <c r="AP980" s="139">
        <f t="shared" si="250"/>
        <v>1.0793010752688172</v>
      </c>
      <c r="AQ980" s="139">
        <f t="shared" si="251"/>
        <v>2.3776881720430105</v>
      </c>
      <c r="AR980" s="139">
        <f t="shared" si="252"/>
        <v>2.521505376344086</v>
      </c>
      <c r="AS980" s="139">
        <f t="shared" si="253"/>
        <v>345.31776904283709</v>
      </c>
      <c r="AT980" s="139">
        <f t="shared" si="254"/>
        <v>12.627987450970542</v>
      </c>
      <c r="AU980" s="139">
        <f t="shared" si="255"/>
        <v>357.94575649380761</v>
      </c>
      <c r="AW980" s="139">
        <f t="shared" si="256"/>
        <v>340</v>
      </c>
      <c r="AX980" s="139">
        <f t="shared" si="257"/>
        <v>17.945756493807608</v>
      </c>
    </row>
    <row r="981" spans="1:50" ht="15.75" customHeight="1" thickBot="1" x14ac:dyDescent="0.35">
      <c r="A981" s="644" t="s">
        <v>1509</v>
      </c>
      <c r="B981" s="644">
        <f t="shared" si="233"/>
        <v>294</v>
      </c>
      <c r="C981" s="645">
        <f t="shared" si="233"/>
        <v>98</v>
      </c>
      <c r="D981" s="646" t="s">
        <v>2916</v>
      </c>
      <c r="E981" s="645">
        <f t="shared" ref="E981:S981" si="267">+C901/$P$10/24</f>
        <v>21.008064516129032</v>
      </c>
      <c r="F981" s="645">
        <f t="shared" si="267"/>
        <v>22.010752688172044</v>
      </c>
      <c r="G981" s="645">
        <f t="shared" si="267"/>
        <v>36.213709677419352</v>
      </c>
      <c r="H981" s="645">
        <f t="shared" si="267"/>
        <v>12.622510766609603</v>
      </c>
      <c r="I981" s="645">
        <f t="shared" si="267"/>
        <v>0</v>
      </c>
      <c r="J981" s="645">
        <f t="shared" si="267"/>
        <v>5.9798387096774199</v>
      </c>
      <c r="K981" s="645">
        <f t="shared" si="267"/>
        <v>3.8629032258064515</v>
      </c>
      <c r="L981" s="645">
        <f t="shared" si="267"/>
        <v>5.8145161290322589</v>
      </c>
      <c r="M981" s="645">
        <f t="shared" si="267"/>
        <v>5.8064516129032251</v>
      </c>
      <c r="N981" s="645">
        <f t="shared" si="267"/>
        <v>1.6491935483870968</v>
      </c>
      <c r="O981" s="645">
        <f t="shared" si="267"/>
        <v>1.9422043010752688</v>
      </c>
      <c r="P981" s="645">
        <f t="shared" si="267"/>
        <v>3.8118279569892475</v>
      </c>
      <c r="Q981" s="645">
        <f t="shared" si="267"/>
        <v>0.29032258064516131</v>
      </c>
      <c r="R981" s="645">
        <f t="shared" si="267"/>
        <v>1.8588709677419353</v>
      </c>
      <c r="S981" s="646">
        <f t="shared" si="267"/>
        <v>0.68682795698924737</v>
      </c>
      <c r="T981" s="139">
        <f t="shared" si="235"/>
        <v>417.55799463757734</v>
      </c>
      <c r="U981" s="139">
        <f t="shared" si="236"/>
        <v>221.55799463757734</v>
      </c>
      <c r="V981" s="139" t="s">
        <v>2916</v>
      </c>
      <c r="AC981">
        <v>12</v>
      </c>
      <c r="AD981" s="139">
        <f>IF($AF$967=1,VLOOKUP($AD$967,$A$997:$P$1008,12,FALSE),VLOOKUP($AD$967,$A$970:$S$981,3,FALSE))</f>
        <v>196</v>
      </c>
      <c r="AE981" s="139">
        <f t="shared" si="239"/>
        <v>23.692204301075268</v>
      </c>
      <c r="AF981" s="139">
        <f t="shared" si="240"/>
        <v>24.813172043010752</v>
      </c>
      <c r="AG981" s="139">
        <f t="shared" si="241"/>
        <v>41.25</v>
      </c>
      <c r="AH981" s="139">
        <f t="shared" si="242"/>
        <v>3.499220655740277</v>
      </c>
      <c r="AI981" s="139">
        <f t="shared" si="243"/>
        <v>12.745967741935482</v>
      </c>
      <c r="AJ981" s="139">
        <f t="shared" si="244"/>
        <v>7.176075268817204</v>
      </c>
      <c r="AK981" s="139">
        <f t="shared" si="245"/>
        <v>9.2822580645161299</v>
      </c>
      <c r="AL981" s="139">
        <f t="shared" si="246"/>
        <v>8.297043010752688</v>
      </c>
      <c r="AM981" s="139">
        <f t="shared" si="247"/>
        <v>2.806451612903226</v>
      </c>
      <c r="AN981" s="139">
        <f t="shared" si="248"/>
        <v>3.306451612903226</v>
      </c>
      <c r="AO981" s="139">
        <f t="shared" si="249"/>
        <v>6.4704301075268811</v>
      </c>
      <c r="AP981" s="139">
        <f t="shared" si="250"/>
        <v>1.0793010752688172</v>
      </c>
      <c r="AQ981" s="139">
        <f t="shared" si="251"/>
        <v>2.3776881720430105</v>
      </c>
      <c r="AR981" s="139">
        <f t="shared" si="252"/>
        <v>2.521505376344086</v>
      </c>
      <c r="AS981" s="139">
        <f t="shared" si="253"/>
        <v>345.31776904283709</v>
      </c>
      <c r="AT981" s="139">
        <f t="shared" si="254"/>
        <v>12.627987450970542</v>
      </c>
      <c r="AU981" s="139">
        <f t="shared" si="255"/>
        <v>357.94575649380761</v>
      </c>
      <c r="AW981" s="139">
        <f t="shared" si="256"/>
        <v>340</v>
      </c>
      <c r="AX981" s="139">
        <f t="shared" si="257"/>
        <v>17.945756493807608</v>
      </c>
    </row>
    <row r="982" spans="1:50" ht="15.75" customHeight="1" x14ac:dyDescent="0.3">
      <c r="A982" s="641"/>
      <c r="AC982">
        <v>13</v>
      </c>
      <c r="AD982" s="139">
        <f>IF($AF$967=1,VLOOKUP($AD$967,$A$997:$P$1008,12,FALSE),IF(OR($AD$967="JUN",$AD$967="JUL",$AD$967="AUG"),VLOOKUP($AD$967,$A$970:$S$981,4,FALSE),VLOOKUP($AD$967,$A$970:$S$981,3,FALSE)))</f>
        <v>196</v>
      </c>
      <c r="AE982" s="139">
        <f t="shared" si="239"/>
        <v>23.692204301075268</v>
      </c>
      <c r="AF982" s="139">
        <f t="shared" si="240"/>
        <v>24.813172043010752</v>
      </c>
      <c r="AG982" s="139">
        <f t="shared" si="241"/>
        <v>41.25</v>
      </c>
      <c r="AH982" s="139">
        <f t="shared" si="242"/>
        <v>3.499220655740277</v>
      </c>
      <c r="AI982" s="139">
        <f t="shared" si="243"/>
        <v>12.745967741935482</v>
      </c>
      <c r="AJ982" s="139">
        <f t="shared" si="244"/>
        <v>7.176075268817204</v>
      </c>
      <c r="AK982" s="139">
        <f t="shared" si="245"/>
        <v>9.2822580645161299</v>
      </c>
      <c r="AL982" s="139">
        <f t="shared" si="246"/>
        <v>8.297043010752688</v>
      </c>
      <c r="AM982" s="139">
        <f t="shared" si="247"/>
        <v>2.806451612903226</v>
      </c>
      <c r="AN982" s="139">
        <f t="shared" si="248"/>
        <v>3.306451612903226</v>
      </c>
      <c r="AO982" s="139">
        <f t="shared" si="249"/>
        <v>6.4704301075268811</v>
      </c>
      <c r="AP982" s="139">
        <f t="shared" si="250"/>
        <v>1.0793010752688172</v>
      </c>
      <c r="AQ982" s="139">
        <f t="shared" si="251"/>
        <v>2.3776881720430105</v>
      </c>
      <c r="AR982" s="139">
        <f t="shared" si="252"/>
        <v>2.521505376344086</v>
      </c>
      <c r="AS982" s="139">
        <f t="shared" si="253"/>
        <v>345.31776904283709</v>
      </c>
      <c r="AT982" s="139">
        <f t="shared" si="254"/>
        <v>12.627987450970542</v>
      </c>
      <c r="AU982" s="139">
        <f t="shared" si="255"/>
        <v>357.94575649380761</v>
      </c>
      <c r="AW982" s="139">
        <f t="shared" si="256"/>
        <v>340</v>
      </c>
      <c r="AX982" s="139">
        <f t="shared" si="257"/>
        <v>17.945756493807608</v>
      </c>
    </row>
    <row r="983" spans="1:50" ht="15.75" customHeight="1" x14ac:dyDescent="0.3">
      <c r="A983" s="641" t="s">
        <v>2889</v>
      </c>
      <c r="AC983">
        <v>14</v>
      </c>
      <c r="AD983" s="139">
        <f t="shared" ref="AD983:AD989" si="268">IF($AF$967=1,VLOOKUP($AD$967,$A$997:$P$1008,12,FALSE),IF(OR($AD$967="JUN",$AD$967="JUL",$AD$967="AUG"),VLOOKUP($AD$967,$A$970:$S$981,4,FALSE),VLOOKUP($AD$967,$A$970:$S$981,3,FALSE)))</f>
        <v>196</v>
      </c>
      <c r="AE983" s="139">
        <f t="shared" si="239"/>
        <v>23.692204301075268</v>
      </c>
      <c r="AF983" s="139">
        <f t="shared" si="240"/>
        <v>24.813172043010752</v>
      </c>
      <c r="AG983" s="139">
        <f t="shared" si="241"/>
        <v>41.25</v>
      </c>
      <c r="AH983" s="139">
        <f t="shared" si="242"/>
        <v>3.499220655740277</v>
      </c>
      <c r="AI983" s="139">
        <f t="shared" si="243"/>
        <v>12.745967741935482</v>
      </c>
      <c r="AJ983" s="139">
        <f t="shared" si="244"/>
        <v>7.176075268817204</v>
      </c>
      <c r="AK983" s="139">
        <f t="shared" si="245"/>
        <v>9.2822580645161299</v>
      </c>
      <c r="AL983" s="139">
        <f t="shared" si="246"/>
        <v>8.297043010752688</v>
      </c>
      <c r="AM983" s="139">
        <f t="shared" si="247"/>
        <v>2.806451612903226</v>
      </c>
      <c r="AN983" s="139">
        <f t="shared" si="248"/>
        <v>3.306451612903226</v>
      </c>
      <c r="AO983" s="139">
        <f t="shared" si="249"/>
        <v>6.4704301075268811</v>
      </c>
      <c r="AP983" s="139">
        <f t="shared" si="250"/>
        <v>1.0793010752688172</v>
      </c>
      <c r="AQ983" s="139">
        <f t="shared" si="251"/>
        <v>2.3776881720430105</v>
      </c>
      <c r="AR983" s="139">
        <f t="shared" si="252"/>
        <v>2.521505376344086</v>
      </c>
      <c r="AS983" s="139">
        <f t="shared" si="253"/>
        <v>345.31776904283709</v>
      </c>
      <c r="AT983" s="139">
        <f t="shared" si="254"/>
        <v>12.627987450970542</v>
      </c>
      <c r="AU983" s="139">
        <f t="shared" si="255"/>
        <v>357.94575649380761</v>
      </c>
      <c r="AW983" s="139">
        <f t="shared" si="256"/>
        <v>340</v>
      </c>
      <c r="AX983" s="139">
        <f t="shared" si="257"/>
        <v>17.945756493807608</v>
      </c>
    </row>
    <row r="984" spans="1:50" ht="15.75" customHeight="1" x14ac:dyDescent="0.3">
      <c r="A984" s="641"/>
      <c r="AC984">
        <v>15</v>
      </c>
      <c r="AD984" s="139">
        <f t="shared" si="268"/>
        <v>196</v>
      </c>
      <c r="AE984" s="139">
        <f t="shared" si="239"/>
        <v>23.692204301075268</v>
      </c>
      <c r="AF984" s="139">
        <f t="shared" si="240"/>
        <v>24.813172043010752</v>
      </c>
      <c r="AG984" s="139">
        <f t="shared" si="241"/>
        <v>41.25</v>
      </c>
      <c r="AH984" s="139">
        <f t="shared" si="242"/>
        <v>3.499220655740277</v>
      </c>
      <c r="AI984" s="139">
        <f t="shared" si="243"/>
        <v>12.745967741935482</v>
      </c>
      <c r="AJ984" s="139">
        <f t="shared" si="244"/>
        <v>7.176075268817204</v>
      </c>
      <c r="AK984" s="139">
        <f t="shared" si="245"/>
        <v>9.2822580645161299</v>
      </c>
      <c r="AL984" s="139">
        <f t="shared" si="246"/>
        <v>8.297043010752688</v>
      </c>
      <c r="AM984" s="139">
        <f t="shared" si="247"/>
        <v>2.806451612903226</v>
      </c>
      <c r="AN984" s="139">
        <f t="shared" si="248"/>
        <v>3.306451612903226</v>
      </c>
      <c r="AO984" s="139">
        <f t="shared" si="249"/>
        <v>6.4704301075268811</v>
      </c>
      <c r="AP984" s="139">
        <f t="shared" si="250"/>
        <v>1.0793010752688172</v>
      </c>
      <c r="AQ984" s="139">
        <f t="shared" si="251"/>
        <v>2.3776881720430105</v>
      </c>
      <c r="AR984" s="139">
        <f t="shared" si="252"/>
        <v>2.521505376344086</v>
      </c>
      <c r="AS984" s="139">
        <f t="shared" si="253"/>
        <v>345.31776904283709</v>
      </c>
      <c r="AT984" s="139">
        <f t="shared" si="254"/>
        <v>12.627987450970542</v>
      </c>
      <c r="AU984" s="139">
        <f t="shared" si="255"/>
        <v>357.94575649380761</v>
      </c>
      <c r="AW984" s="139">
        <f t="shared" si="256"/>
        <v>340</v>
      </c>
      <c r="AX984" s="139">
        <f t="shared" si="257"/>
        <v>17.945756493807608</v>
      </c>
    </row>
    <row r="985" spans="1:50" ht="15.75" customHeight="1" x14ac:dyDescent="0.3">
      <c r="A985" s="641"/>
      <c r="AC985">
        <v>16</v>
      </c>
      <c r="AD985" s="139">
        <f t="shared" si="268"/>
        <v>196</v>
      </c>
      <c r="AE985" s="139">
        <f t="shared" si="239"/>
        <v>23.692204301075268</v>
      </c>
      <c r="AF985" s="139">
        <f t="shared" si="240"/>
        <v>24.813172043010752</v>
      </c>
      <c r="AG985" s="139">
        <f t="shared" si="241"/>
        <v>41.25</v>
      </c>
      <c r="AH985" s="139">
        <f t="shared" si="242"/>
        <v>3.499220655740277</v>
      </c>
      <c r="AI985" s="139">
        <f t="shared" si="243"/>
        <v>12.745967741935482</v>
      </c>
      <c r="AJ985" s="139">
        <f t="shared" si="244"/>
        <v>7.176075268817204</v>
      </c>
      <c r="AK985" s="139">
        <f t="shared" si="245"/>
        <v>9.2822580645161299</v>
      </c>
      <c r="AL985" s="139">
        <f t="shared" si="246"/>
        <v>8.297043010752688</v>
      </c>
      <c r="AM985" s="139">
        <f t="shared" si="247"/>
        <v>2.806451612903226</v>
      </c>
      <c r="AN985" s="139">
        <f t="shared" si="248"/>
        <v>3.306451612903226</v>
      </c>
      <c r="AO985" s="139">
        <f t="shared" si="249"/>
        <v>6.4704301075268811</v>
      </c>
      <c r="AP985" s="139">
        <f t="shared" si="250"/>
        <v>1.0793010752688172</v>
      </c>
      <c r="AQ985" s="139">
        <f t="shared" si="251"/>
        <v>2.3776881720430105</v>
      </c>
      <c r="AR985" s="139">
        <f t="shared" si="252"/>
        <v>2.521505376344086</v>
      </c>
      <c r="AS985" s="139">
        <f t="shared" si="253"/>
        <v>345.31776904283709</v>
      </c>
      <c r="AT985" s="139">
        <f t="shared" si="254"/>
        <v>12.627987450970542</v>
      </c>
      <c r="AU985" s="139">
        <f t="shared" si="255"/>
        <v>357.94575649380761</v>
      </c>
      <c r="AW985" s="139">
        <f t="shared" si="256"/>
        <v>340</v>
      </c>
      <c r="AX985" s="139">
        <f t="shared" si="257"/>
        <v>17.945756493807608</v>
      </c>
    </row>
    <row r="986" spans="1:50" ht="15.75" customHeight="1" thickBot="1" x14ac:dyDescent="0.35">
      <c r="A986" s="641"/>
      <c r="AC986">
        <v>17</v>
      </c>
      <c r="AD986" s="139">
        <f t="shared" si="268"/>
        <v>196</v>
      </c>
      <c r="AE986" s="139">
        <f t="shared" si="239"/>
        <v>23.692204301075268</v>
      </c>
      <c r="AF986" s="139">
        <f t="shared" si="240"/>
        <v>24.813172043010752</v>
      </c>
      <c r="AG986" s="139">
        <f t="shared" si="241"/>
        <v>41.25</v>
      </c>
      <c r="AH986" s="139">
        <f t="shared" si="242"/>
        <v>3.499220655740277</v>
      </c>
      <c r="AI986" s="139">
        <f t="shared" si="243"/>
        <v>12.745967741935482</v>
      </c>
      <c r="AJ986" s="139">
        <f t="shared" si="244"/>
        <v>7.176075268817204</v>
      </c>
      <c r="AK986" s="139">
        <f t="shared" si="245"/>
        <v>9.2822580645161299</v>
      </c>
      <c r="AL986" s="139">
        <f t="shared" si="246"/>
        <v>8.297043010752688</v>
      </c>
      <c r="AM986" s="139">
        <f t="shared" si="247"/>
        <v>2.806451612903226</v>
      </c>
      <c r="AN986" s="139">
        <f t="shared" si="248"/>
        <v>3.306451612903226</v>
      </c>
      <c r="AO986" s="139">
        <f t="shared" si="249"/>
        <v>6.4704301075268811</v>
      </c>
      <c r="AP986" s="139">
        <f t="shared" si="250"/>
        <v>1.0793010752688172</v>
      </c>
      <c r="AQ986" s="139">
        <f t="shared" si="251"/>
        <v>2.3776881720430105</v>
      </c>
      <c r="AR986" s="139">
        <f t="shared" si="252"/>
        <v>2.521505376344086</v>
      </c>
      <c r="AS986" s="139">
        <f t="shared" si="253"/>
        <v>345.31776904283709</v>
      </c>
      <c r="AT986" s="139">
        <f t="shared" si="254"/>
        <v>12.627987450970542</v>
      </c>
      <c r="AU986" s="139">
        <f t="shared" si="255"/>
        <v>357.94575649380761</v>
      </c>
      <c r="AW986" s="139">
        <f t="shared" si="256"/>
        <v>340</v>
      </c>
      <c r="AX986" s="139">
        <f t="shared" si="257"/>
        <v>17.945756493807608</v>
      </c>
    </row>
    <row r="987" spans="1:50" ht="15.75" customHeight="1" x14ac:dyDescent="0.3">
      <c r="A987" s="667"/>
      <c r="B987" s="782" t="s">
        <v>2887</v>
      </c>
      <c r="C987" s="782"/>
      <c r="D987" s="782"/>
      <c r="E987" s="782"/>
      <c r="F987" s="782"/>
      <c r="G987" s="782"/>
      <c r="H987" s="782"/>
      <c r="I987" s="782"/>
      <c r="J987" s="782"/>
      <c r="K987" s="782"/>
      <c r="L987" s="782"/>
      <c r="M987" s="782"/>
      <c r="N987" s="782"/>
      <c r="O987" s="782"/>
      <c r="P987" s="782"/>
      <c r="Q987" s="678" t="str">
        <f>+Q1</f>
        <v xml:space="preserve">PRINTED:  </v>
      </c>
      <c r="R987" s="679">
        <f ca="1">+R1</f>
        <v>44881.729634027775</v>
      </c>
      <c r="AC987">
        <v>18</v>
      </c>
      <c r="AD987" s="139">
        <f t="shared" si="268"/>
        <v>196</v>
      </c>
      <c r="AE987" s="139">
        <f t="shared" si="239"/>
        <v>23.692204301075268</v>
      </c>
      <c r="AF987" s="139">
        <f t="shared" si="240"/>
        <v>24.813172043010752</v>
      </c>
      <c r="AG987" s="139">
        <f t="shared" si="241"/>
        <v>41.25</v>
      </c>
      <c r="AH987" s="139">
        <f t="shared" si="242"/>
        <v>3.499220655740277</v>
      </c>
      <c r="AI987" s="139">
        <f t="shared" si="243"/>
        <v>12.745967741935482</v>
      </c>
      <c r="AJ987" s="139">
        <f t="shared" si="244"/>
        <v>7.176075268817204</v>
      </c>
      <c r="AK987" s="139">
        <f t="shared" si="245"/>
        <v>9.2822580645161299</v>
      </c>
      <c r="AL987" s="139">
        <f t="shared" si="246"/>
        <v>8.297043010752688</v>
      </c>
      <c r="AM987" s="139">
        <f t="shared" si="247"/>
        <v>2.806451612903226</v>
      </c>
      <c r="AN987" s="139">
        <f t="shared" si="248"/>
        <v>3.306451612903226</v>
      </c>
      <c r="AO987" s="139">
        <f t="shared" si="249"/>
        <v>6.4704301075268811</v>
      </c>
      <c r="AP987" s="139">
        <f t="shared" si="250"/>
        <v>1.0793010752688172</v>
      </c>
      <c r="AQ987" s="139">
        <f t="shared" si="251"/>
        <v>2.3776881720430105</v>
      </c>
      <c r="AR987" s="139">
        <f t="shared" si="252"/>
        <v>2.521505376344086</v>
      </c>
      <c r="AS987" s="139">
        <f t="shared" si="253"/>
        <v>345.31776904283709</v>
      </c>
      <c r="AT987" s="139">
        <f t="shared" si="254"/>
        <v>12.627987450970542</v>
      </c>
      <c r="AU987" s="139">
        <f t="shared" si="255"/>
        <v>357.94575649380761</v>
      </c>
      <c r="AW987" s="139">
        <f t="shared" si="256"/>
        <v>340</v>
      </c>
      <c r="AX987" s="139">
        <f t="shared" si="257"/>
        <v>17.945756493807608</v>
      </c>
    </row>
    <row r="988" spans="1:50" ht="16.5" customHeight="1" x14ac:dyDescent="0.3">
      <c r="A988" s="647"/>
      <c r="B988" s="786" t="str">
        <f>+A8</f>
        <v>Revised:  5/2/2016</v>
      </c>
      <c r="C988" s="786"/>
      <c r="D988" s="786"/>
      <c r="E988" s="786"/>
      <c r="F988" s="786"/>
      <c r="G988" s="786"/>
      <c r="H988" s="786"/>
      <c r="I988" s="786"/>
      <c r="J988" s="786"/>
      <c r="K988" s="786"/>
      <c r="L988" s="786"/>
      <c r="M988" s="786"/>
      <c r="N988" s="786"/>
      <c r="O988" s="786"/>
      <c r="P988" s="786"/>
      <c r="R988" s="561"/>
      <c r="AC988">
        <v>19</v>
      </c>
      <c r="AD988" s="139">
        <f t="shared" si="268"/>
        <v>196</v>
      </c>
      <c r="AE988" s="139">
        <f t="shared" si="239"/>
        <v>23.692204301075268</v>
      </c>
      <c r="AF988" s="139">
        <f t="shared" si="240"/>
        <v>24.813172043010752</v>
      </c>
      <c r="AG988" s="139">
        <f t="shared" si="241"/>
        <v>41.25</v>
      </c>
      <c r="AH988" s="139">
        <f t="shared" si="242"/>
        <v>3.499220655740277</v>
      </c>
      <c r="AI988" s="139">
        <f t="shared" si="243"/>
        <v>12.745967741935482</v>
      </c>
      <c r="AJ988" s="139">
        <f t="shared" si="244"/>
        <v>7.176075268817204</v>
      </c>
      <c r="AK988" s="139">
        <f t="shared" si="245"/>
        <v>9.2822580645161299</v>
      </c>
      <c r="AL988" s="139">
        <f t="shared" si="246"/>
        <v>8.297043010752688</v>
      </c>
      <c r="AM988" s="139">
        <f t="shared" si="247"/>
        <v>2.806451612903226</v>
      </c>
      <c r="AN988" s="139">
        <f t="shared" si="248"/>
        <v>3.306451612903226</v>
      </c>
      <c r="AO988" s="139">
        <f t="shared" si="249"/>
        <v>6.4704301075268811</v>
      </c>
      <c r="AP988" s="139">
        <f t="shared" si="250"/>
        <v>1.0793010752688172</v>
      </c>
      <c r="AQ988" s="139">
        <f t="shared" si="251"/>
        <v>2.3776881720430105</v>
      </c>
      <c r="AR988" s="139">
        <f t="shared" si="252"/>
        <v>2.521505376344086</v>
      </c>
      <c r="AS988" s="139">
        <f t="shared" si="253"/>
        <v>345.31776904283709</v>
      </c>
      <c r="AT988" s="139">
        <f t="shared" si="254"/>
        <v>12.627987450970542</v>
      </c>
      <c r="AU988" s="139">
        <f t="shared" si="255"/>
        <v>357.94575649380761</v>
      </c>
      <c r="AW988" s="139">
        <f t="shared" si="256"/>
        <v>340</v>
      </c>
      <c r="AX988" s="139">
        <f t="shared" si="257"/>
        <v>17.945756493807608</v>
      </c>
    </row>
    <row r="989" spans="1:50" ht="16.5" customHeight="1" x14ac:dyDescent="0.3">
      <c r="A989" s="647"/>
      <c r="B989" s="786" t="s">
        <v>2878</v>
      </c>
      <c r="C989" s="786"/>
      <c r="D989" s="786"/>
      <c r="E989" s="786"/>
      <c r="F989" s="786"/>
      <c r="G989" s="786"/>
      <c r="H989" s="786"/>
      <c r="I989" s="786"/>
      <c r="J989" s="786"/>
      <c r="K989" s="786"/>
      <c r="L989" s="786"/>
      <c r="M989" s="786"/>
      <c r="N989" s="786"/>
      <c r="O989" s="786"/>
      <c r="P989" s="786"/>
      <c r="R989" s="561"/>
      <c r="AC989">
        <v>20</v>
      </c>
      <c r="AD989" s="139">
        <f t="shared" si="268"/>
        <v>196</v>
      </c>
      <c r="AE989" s="139">
        <f t="shared" si="239"/>
        <v>23.692204301075268</v>
      </c>
      <c r="AF989" s="139">
        <f t="shared" si="240"/>
        <v>24.813172043010752</v>
      </c>
      <c r="AG989" s="139">
        <f t="shared" si="241"/>
        <v>41.25</v>
      </c>
      <c r="AH989" s="139">
        <f t="shared" si="242"/>
        <v>3.499220655740277</v>
      </c>
      <c r="AI989" s="139">
        <f t="shared" si="243"/>
        <v>12.745967741935482</v>
      </c>
      <c r="AJ989" s="139">
        <f t="shared" si="244"/>
        <v>7.176075268817204</v>
      </c>
      <c r="AK989" s="139">
        <f t="shared" si="245"/>
        <v>9.2822580645161299</v>
      </c>
      <c r="AL989" s="139">
        <f t="shared" si="246"/>
        <v>8.297043010752688</v>
      </c>
      <c r="AM989" s="139">
        <f t="shared" si="247"/>
        <v>2.806451612903226</v>
      </c>
      <c r="AN989" s="139">
        <f t="shared" si="248"/>
        <v>3.306451612903226</v>
      </c>
      <c r="AO989" s="139">
        <f t="shared" si="249"/>
        <v>6.4704301075268811</v>
      </c>
      <c r="AP989" s="139">
        <f t="shared" si="250"/>
        <v>1.0793010752688172</v>
      </c>
      <c r="AQ989" s="139">
        <f t="shared" si="251"/>
        <v>2.3776881720430105</v>
      </c>
      <c r="AR989" s="139">
        <f t="shared" si="252"/>
        <v>2.521505376344086</v>
      </c>
      <c r="AS989" s="139">
        <f t="shared" si="253"/>
        <v>345.31776904283709</v>
      </c>
      <c r="AT989" s="139">
        <f t="shared" si="254"/>
        <v>12.627987450970542</v>
      </c>
      <c r="AU989" s="139">
        <f t="shared" si="255"/>
        <v>357.94575649380761</v>
      </c>
      <c r="AW989" s="139">
        <f t="shared" si="256"/>
        <v>340</v>
      </c>
      <c r="AX989" s="139">
        <f t="shared" si="257"/>
        <v>17.945756493807608</v>
      </c>
    </row>
    <row r="990" spans="1:50" ht="16.5" customHeight="1" x14ac:dyDescent="0.3">
      <c r="A990" s="647"/>
      <c r="B990" s="67"/>
      <c r="C990" s="67"/>
      <c r="D990" s="67"/>
      <c r="E990" s="67"/>
      <c r="F990" s="67"/>
      <c r="G990" s="67"/>
      <c r="H990" s="67"/>
      <c r="I990" s="67"/>
      <c r="J990" s="67"/>
      <c r="K990" s="67"/>
      <c r="L990" s="67"/>
      <c r="M990" s="67"/>
      <c r="N990" s="67"/>
      <c r="O990" s="67"/>
      <c r="P990" s="67"/>
      <c r="R990" s="561"/>
      <c r="AC990">
        <v>21</v>
      </c>
      <c r="AD990" s="139">
        <f>IF($AF$967=1,VLOOKUP($AD$967,$A$997:$P$1008,12,FALSE),VLOOKUP($AD$967,$A$970:$S$981,3,FALSE))</f>
        <v>196</v>
      </c>
      <c r="AE990" s="139">
        <f t="shared" si="239"/>
        <v>23.692204301075268</v>
      </c>
      <c r="AF990" s="139">
        <f t="shared" si="240"/>
        <v>24.813172043010752</v>
      </c>
      <c r="AG990" s="139">
        <f t="shared" si="241"/>
        <v>41.25</v>
      </c>
      <c r="AH990" s="139">
        <f t="shared" si="242"/>
        <v>3.499220655740277</v>
      </c>
      <c r="AI990" s="139">
        <f t="shared" si="243"/>
        <v>12.745967741935482</v>
      </c>
      <c r="AJ990" s="139">
        <f t="shared" si="244"/>
        <v>7.176075268817204</v>
      </c>
      <c r="AK990" s="139">
        <f t="shared" si="245"/>
        <v>9.2822580645161299</v>
      </c>
      <c r="AL990" s="139">
        <f t="shared" si="246"/>
        <v>8.297043010752688</v>
      </c>
      <c r="AM990" s="139">
        <f t="shared" si="247"/>
        <v>2.806451612903226</v>
      </c>
      <c r="AN990" s="139">
        <f t="shared" si="248"/>
        <v>3.306451612903226</v>
      </c>
      <c r="AO990" s="139">
        <f t="shared" si="249"/>
        <v>6.4704301075268811</v>
      </c>
      <c r="AP990" s="139">
        <f t="shared" si="250"/>
        <v>1.0793010752688172</v>
      </c>
      <c r="AQ990" s="139">
        <f t="shared" si="251"/>
        <v>2.3776881720430105</v>
      </c>
      <c r="AR990" s="139">
        <f t="shared" si="252"/>
        <v>2.521505376344086</v>
      </c>
      <c r="AS990" s="139">
        <f t="shared" si="253"/>
        <v>345.31776904283709</v>
      </c>
      <c r="AT990" s="139">
        <f t="shared" si="254"/>
        <v>12.627987450970542</v>
      </c>
      <c r="AU990" s="139">
        <f t="shared" si="255"/>
        <v>357.94575649380761</v>
      </c>
      <c r="AW990" s="139">
        <f t="shared" si="256"/>
        <v>340</v>
      </c>
      <c r="AX990" s="139">
        <f t="shared" si="257"/>
        <v>17.945756493807608</v>
      </c>
    </row>
    <row r="991" spans="1:50" ht="16.5" customHeight="1" x14ac:dyDescent="0.3">
      <c r="A991" s="647"/>
      <c r="B991" s="810">
        <f>+A5</f>
        <v>2015</v>
      </c>
      <c r="C991" s="787"/>
      <c r="D991" s="787"/>
      <c r="E991" s="787"/>
      <c r="F991" s="787"/>
      <c r="G991" s="787"/>
      <c r="H991" s="787"/>
      <c r="I991" s="787"/>
      <c r="J991" s="787"/>
      <c r="K991" s="787"/>
      <c r="L991" s="787"/>
      <c r="M991" s="787"/>
      <c r="N991" s="787"/>
      <c r="O991" s="787"/>
      <c r="P991" s="787"/>
      <c r="R991" s="561"/>
      <c r="AC991">
        <v>22</v>
      </c>
      <c r="AD991" s="139">
        <f>IF($AF$967=1,VLOOKUP($AD$967,$A$997:$P$1008,12,FALSE),VLOOKUP($AD$967,$A$970:$S$981,3,FALSE))</f>
        <v>196</v>
      </c>
      <c r="AE991" s="139">
        <f t="shared" si="239"/>
        <v>23.692204301075268</v>
      </c>
      <c r="AF991" s="139">
        <f t="shared" si="240"/>
        <v>24.813172043010752</v>
      </c>
      <c r="AG991" s="139">
        <f t="shared" si="241"/>
        <v>41.25</v>
      </c>
      <c r="AH991" s="139">
        <f t="shared" si="242"/>
        <v>3.499220655740277</v>
      </c>
      <c r="AI991" s="139">
        <f t="shared" si="243"/>
        <v>12.745967741935482</v>
      </c>
      <c r="AJ991" s="139">
        <f t="shared" si="244"/>
        <v>7.176075268817204</v>
      </c>
      <c r="AK991" s="139">
        <f t="shared" si="245"/>
        <v>9.2822580645161299</v>
      </c>
      <c r="AL991" s="139">
        <f t="shared" si="246"/>
        <v>8.297043010752688</v>
      </c>
      <c r="AM991" s="139">
        <f t="shared" si="247"/>
        <v>2.806451612903226</v>
      </c>
      <c r="AN991" s="139">
        <f t="shared" si="248"/>
        <v>3.306451612903226</v>
      </c>
      <c r="AO991" s="139">
        <f t="shared" si="249"/>
        <v>6.4704301075268811</v>
      </c>
      <c r="AP991" s="139">
        <f t="shared" si="250"/>
        <v>1.0793010752688172</v>
      </c>
      <c r="AQ991" s="139">
        <f t="shared" si="251"/>
        <v>2.3776881720430105</v>
      </c>
      <c r="AR991" s="139">
        <f t="shared" si="252"/>
        <v>2.521505376344086</v>
      </c>
      <c r="AS991" s="139">
        <f t="shared" si="253"/>
        <v>345.31776904283709</v>
      </c>
      <c r="AT991" s="139">
        <f t="shared" si="254"/>
        <v>12.627987450970542</v>
      </c>
      <c r="AU991" s="139">
        <f t="shared" si="255"/>
        <v>357.94575649380761</v>
      </c>
      <c r="AW991" s="139">
        <f t="shared" si="256"/>
        <v>340</v>
      </c>
      <c r="AX991" s="139">
        <f t="shared" si="257"/>
        <v>17.945756493807608</v>
      </c>
    </row>
    <row r="992" spans="1:50" ht="15.75" customHeight="1" x14ac:dyDescent="0.3">
      <c r="A992" s="647"/>
      <c r="B992" s="786" t="s">
        <v>1199</v>
      </c>
      <c r="C992" s="786"/>
      <c r="D992" s="786"/>
      <c r="E992" s="786"/>
      <c r="F992" s="786"/>
      <c r="G992" s="786"/>
      <c r="H992" s="786"/>
      <c r="I992" s="786"/>
      <c r="J992" s="786"/>
      <c r="K992" s="786"/>
      <c r="L992" s="786"/>
      <c r="M992" s="786"/>
      <c r="N992" s="786"/>
      <c r="O992" s="786"/>
      <c r="P992" s="786"/>
      <c r="R992" s="561"/>
      <c r="AC992">
        <v>23</v>
      </c>
      <c r="AD992" s="139">
        <f>IF($AF$967=1,VLOOKUP($AD$967,$A$997:$P$1008,12,FALSE),IF(OR($AD$967="JAN",$AD$967="FEB",$AD$967="NOV",$AD$967="DEC"),VLOOKUP($AD$967,$A$970:$S$981,3,FALSE),VLOOKUP($AD$967,$A$970:$S$981,2,FALSE)))</f>
        <v>294</v>
      </c>
      <c r="AE992" s="139">
        <f t="shared" si="239"/>
        <v>23.692204301075268</v>
      </c>
      <c r="AF992" s="139">
        <f t="shared" si="240"/>
        <v>24.813172043010752</v>
      </c>
      <c r="AG992" s="139">
        <f t="shared" si="241"/>
        <v>41.25</v>
      </c>
      <c r="AH992" s="139">
        <f t="shared" si="242"/>
        <v>3.499220655740277</v>
      </c>
      <c r="AI992" s="139">
        <f t="shared" si="243"/>
        <v>12.745967741935482</v>
      </c>
      <c r="AJ992" s="139">
        <f t="shared" si="244"/>
        <v>7.176075268817204</v>
      </c>
      <c r="AK992" s="139">
        <f t="shared" si="245"/>
        <v>9.2822580645161299</v>
      </c>
      <c r="AL992" s="139">
        <f t="shared" si="246"/>
        <v>8.297043010752688</v>
      </c>
      <c r="AM992" s="139">
        <f t="shared" si="247"/>
        <v>2.806451612903226</v>
      </c>
      <c r="AN992" s="139">
        <f t="shared" si="248"/>
        <v>3.306451612903226</v>
      </c>
      <c r="AO992" s="139">
        <f t="shared" si="249"/>
        <v>6.4704301075268811</v>
      </c>
      <c r="AP992" s="139">
        <f t="shared" si="250"/>
        <v>1.0793010752688172</v>
      </c>
      <c r="AQ992" s="139">
        <f t="shared" si="251"/>
        <v>2.3776881720430105</v>
      </c>
      <c r="AR992" s="139">
        <f t="shared" si="252"/>
        <v>2.521505376344086</v>
      </c>
      <c r="AS992" s="139">
        <f t="shared" si="253"/>
        <v>443.31776904283709</v>
      </c>
      <c r="AT992" s="139">
        <f t="shared" si="254"/>
        <v>16.211767033542774</v>
      </c>
      <c r="AU992" s="139">
        <f t="shared" si="255"/>
        <v>459.52953607637988</v>
      </c>
      <c r="AW992" s="139">
        <f t="shared" si="256"/>
        <v>340</v>
      </c>
      <c r="AX992" s="139">
        <f t="shared" si="257"/>
        <v>119.52953607637988</v>
      </c>
    </row>
    <row r="993" spans="1:50" ht="15.75" customHeight="1" thickBot="1" x14ac:dyDescent="0.35">
      <c r="A993" s="647"/>
      <c r="R993" s="561"/>
      <c r="AC993">
        <v>24</v>
      </c>
      <c r="AD993" s="139">
        <f>IF($AF$967=1,VLOOKUP($AD$967,$A$997:$P$1008,12,FALSE),VLOOKUP($AD$967,$A$970:$S$981,2,FALSE))</f>
        <v>294</v>
      </c>
      <c r="AE993" s="139">
        <f t="shared" si="239"/>
        <v>23.692204301075268</v>
      </c>
      <c r="AF993" s="139">
        <f t="shared" si="240"/>
        <v>24.813172043010752</v>
      </c>
      <c r="AG993" s="139">
        <f t="shared" si="241"/>
        <v>41.25</v>
      </c>
      <c r="AH993" s="139">
        <f t="shared" si="242"/>
        <v>3.499220655740277</v>
      </c>
      <c r="AI993" s="139">
        <f t="shared" si="243"/>
        <v>12.745967741935482</v>
      </c>
      <c r="AJ993" s="139">
        <f t="shared" si="244"/>
        <v>7.176075268817204</v>
      </c>
      <c r="AK993" s="139">
        <f t="shared" si="245"/>
        <v>9.2822580645161299</v>
      </c>
      <c r="AL993" s="139">
        <f t="shared" si="246"/>
        <v>8.297043010752688</v>
      </c>
      <c r="AM993" s="139">
        <f t="shared" si="247"/>
        <v>2.806451612903226</v>
      </c>
      <c r="AN993" s="139">
        <f t="shared" si="248"/>
        <v>3.306451612903226</v>
      </c>
      <c r="AO993" s="139">
        <f t="shared" si="249"/>
        <v>6.4704301075268811</v>
      </c>
      <c r="AP993" s="139">
        <f t="shared" si="250"/>
        <v>1.0793010752688172</v>
      </c>
      <c r="AQ993" s="139">
        <f t="shared" si="251"/>
        <v>2.3776881720430105</v>
      </c>
      <c r="AR993" s="139">
        <f t="shared" si="252"/>
        <v>2.521505376344086</v>
      </c>
      <c r="AS993" s="139">
        <f t="shared" si="253"/>
        <v>443.31776904283709</v>
      </c>
      <c r="AT993" s="139">
        <f t="shared" si="254"/>
        <v>16.211767033542774</v>
      </c>
      <c r="AU993" s="139">
        <f t="shared" si="255"/>
        <v>459.52953607637988</v>
      </c>
      <c r="AW993" s="139">
        <f t="shared" si="256"/>
        <v>340</v>
      </c>
      <c r="AX993" s="139">
        <f t="shared" si="257"/>
        <v>119.52953607637988</v>
      </c>
    </row>
    <row r="994" spans="1:50" ht="15.75" customHeight="1" x14ac:dyDescent="0.3">
      <c r="A994" s="647"/>
      <c r="B994" s="814" t="s">
        <v>2883</v>
      </c>
      <c r="C994" s="815"/>
      <c r="D994" s="815"/>
      <c r="E994" s="815"/>
      <c r="F994" s="815"/>
      <c r="G994" s="815"/>
      <c r="H994" s="815"/>
      <c r="I994" s="815"/>
      <c r="J994" s="815"/>
      <c r="K994" s="815"/>
      <c r="L994" s="816"/>
      <c r="M994" s="817" t="s">
        <v>2884</v>
      </c>
      <c r="N994" s="815"/>
      <c r="O994" s="815"/>
      <c r="P994" s="815"/>
      <c r="Q994" s="139" t="s">
        <v>2899</v>
      </c>
      <c r="R994" s="643" t="s">
        <v>2898</v>
      </c>
      <c r="AC994" t="s">
        <v>2356</v>
      </c>
      <c r="AD994" s="139">
        <f>SUM(AD970:AD993)</f>
        <v>5488</v>
      </c>
      <c r="AE994" s="139">
        <f>SUM(AE970:AE993)</f>
        <v>568.61290322580658</v>
      </c>
      <c r="AF994" s="139">
        <f t="shared" ref="AF994:AW994" si="269">SUM(AF970:AF993)</f>
        <v>595.51612903225828</v>
      </c>
      <c r="AG994" s="139">
        <f t="shared" si="269"/>
        <v>990</v>
      </c>
      <c r="AH994" s="139">
        <f t="shared" si="269"/>
        <v>83.981295737766601</v>
      </c>
      <c r="AI994" s="139">
        <f t="shared" si="269"/>
        <v>305.90322580645164</v>
      </c>
      <c r="AJ994" s="139">
        <f t="shared" si="269"/>
        <v>172.22580645161293</v>
      </c>
      <c r="AK994" s="139">
        <f t="shared" si="269"/>
        <v>222.7741935483871</v>
      </c>
      <c r="AL994" s="139">
        <f t="shared" si="269"/>
        <v>199.12903225806463</v>
      </c>
      <c r="AM994" s="139">
        <f t="shared" si="269"/>
        <v>67.354838709677409</v>
      </c>
      <c r="AN994" s="139">
        <f t="shared" si="269"/>
        <v>79.354838709677423</v>
      </c>
      <c r="AO994" s="139">
        <f t="shared" si="269"/>
        <v>155.29032258064515</v>
      </c>
      <c r="AP994" s="139">
        <f t="shared" si="269"/>
        <v>25.903225806451609</v>
      </c>
      <c r="AQ994" s="139">
        <f t="shared" si="269"/>
        <v>57.064516129032235</v>
      </c>
      <c r="AR994" s="139">
        <f t="shared" si="269"/>
        <v>60.516129032258092</v>
      </c>
      <c r="AS994" s="139">
        <f t="shared" si="269"/>
        <v>9071.6264570280928</v>
      </c>
      <c r="AT994" s="139">
        <f t="shared" si="269"/>
        <v>331.74193548387092</v>
      </c>
      <c r="AU994" s="139">
        <f t="shared" si="269"/>
        <v>9403.3683925119585</v>
      </c>
      <c r="AW994" s="139">
        <f t="shared" si="269"/>
        <v>8160</v>
      </c>
      <c r="AX994" s="139">
        <f>SUMIF(AX970:AX993,"&gt;0")</f>
        <v>1243.3683925119606</v>
      </c>
    </row>
    <row r="995" spans="1:50" ht="15.75" customHeight="1" thickBot="1" x14ac:dyDescent="0.35">
      <c r="A995" s="647" t="s">
        <v>249</v>
      </c>
      <c r="B995" s="658" t="s">
        <v>2890</v>
      </c>
      <c r="C995" s="659" t="s">
        <v>2886</v>
      </c>
      <c r="D995" s="659" t="s">
        <v>2885</v>
      </c>
      <c r="E995" s="659" t="s">
        <v>2914</v>
      </c>
      <c r="F995" s="659" t="s">
        <v>2886</v>
      </c>
      <c r="G995" s="659" t="s">
        <v>2885</v>
      </c>
      <c r="H995" s="659" t="s">
        <v>2915</v>
      </c>
      <c r="I995" s="659" t="s">
        <v>2886</v>
      </c>
      <c r="J995" s="659" t="s">
        <v>2885</v>
      </c>
      <c r="K995" s="659" t="s">
        <v>2915</v>
      </c>
      <c r="L995" s="660" t="s">
        <v>2897</v>
      </c>
      <c r="M995" s="658" t="s">
        <v>2893</v>
      </c>
      <c r="N995" s="659" t="s">
        <v>2886</v>
      </c>
      <c r="O995" s="659" t="s">
        <v>2886</v>
      </c>
      <c r="P995" s="660" t="s">
        <v>2897</v>
      </c>
      <c r="Q995" s="668" t="s">
        <v>2356</v>
      </c>
      <c r="R995" s="672" t="s">
        <v>2900</v>
      </c>
      <c r="S995" s="139"/>
      <c r="AU995" s="139"/>
      <c r="AW995" s="139"/>
      <c r="AX995" s="139"/>
    </row>
    <row r="996" spans="1:50" ht="15.75" customHeight="1" thickTop="1" x14ac:dyDescent="0.3">
      <c r="A996" s="647"/>
      <c r="B996" s="661"/>
      <c r="C996" s="664" t="s">
        <v>2895</v>
      </c>
      <c r="D996" s="664" t="s">
        <v>2895</v>
      </c>
      <c r="E996" s="664" t="s">
        <v>2895</v>
      </c>
      <c r="F996" s="662" t="s">
        <v>2696</v>
      </c>
      <c r="G996" s="662" t="s">
        <v>2696</v>
      </c>
      <c r="H996" s="662" t="s">
        <v>2696</v>
      </c>
      <c r="I996" s="662" t="s">
        <v>2896</v>
      </c>
      <c r="J996" s="662" t="s">
        <v>2896</v>
      </c>
      <c r="K996" s="662" t="s">
        <v>2896</v>
      </c>
      <c r="L996" s="663" t="s">
        <v>2892</v>
      </c>
      <c r="M996" s="665"/>
      <c r="N996" s="664" t="s">
        <v>2895</v>
      </c>
      <c r="O996" s="662" t="s">
        <v>2696</v>
      </c>
      <c r="P996" s="663" t="s">
        <v>2896</v>
      </c>
      <c r="Q996" s="668" t="s">
        <v>2896</v>
      </c>
      <c r="R996" s="672" t="s">
        <v>2896</v>
      </c>
      <c r="S996" s="139"/>
    </row>
    <row r="997" spans="1:50" ht="15.75" customHeight="1" x14ac:dyDescent="0.3">
      <c r="A997" s="647" t="s">
        <v>2843</v>
      </c>
      <c r="B997" s="642">
        <f ca="1">+$B$10-M997</f>
        <v>27</v>
      </c>
      <c r="C997" s="656">
        <v>5</v>
      </c>
      <c r="D997" s="656">
        <v>0</v>
      </c>
      <c r="E997" s="656" t="s">
        <v>2916</v>
      </c>
      <c r="F997" s="139">
        <f t="shared" ref="F997:F1008" si="270">+I997/8</f>
        <v>245</v>
      </c>
      <c r="G997" s="139">
        <f>+J997/16</f>
        <v>0</v>
      </c>
      <c r="H997" s="139" t="s">
        <v>2916</v>
      </c>
      <c r="I997" s="139">
        <f t="shared" ref="I997:I1008" si="271">+C997*49*8</f>
        <v>1960</v>
      </c>
      <c r="J997" s="139">
        <f>+D997*49*16</f>
        <v>0</v>
      </c>
      <c r="K997" s="139" t="s">
        <v>2916</v>
      </c>
      <c r="L997" s="643">
        <f t="shared" ref="L997:L1008" si="272">+J997+I997</f>
        <v>1960</v>
      </c>
      <c r="M997" s="642">
        <f ca="1">SUMPRODUCT(--(WEEKDAY(ROW(INDIRECT(DATE($B$991,MonthFromText(A997),1)&amp;":"&amp;DATE($B$991,MonthFromText(A997),$B$10))),1)=1))</f>
        <v>4</v>
      </c>
      <c r="N997" s="656">
        <v>5</v>
      </c>
      <c r="O997">
        <f t="shared" ref="O997:O1008" si="273">+P997/24</f>
        <v>245</v>
      </c>
      <c r="P997" s="643">
        <f t="shared" ref="P997:P1008" si="274">+N997*49*24</f>
        <v>5880</v>
      </c>
      <c r="Q997" s="139">
        <f t="shared" ref="Q997:Q1008" ca="1" si="275">+(L997*B997)+(M997*P997)</f>
        <v>76440</v>
      </c>
      <c r="R997" s="643">
        <f t="shared" ref="R997:R1008" ca="1" si="276">+Q997-B890</f>
        <v>-91171</v>
      </c>
      <c r="S997" s="139"/>
    </row>
    <row r="998" spans="1:50" ht="15.75" customHeight="1" x14ac:dyDescent="0.3">
      <c r="A998" s="647" t="s">
        <v>2091</v>
      </c>
      <c r="B998" s="642">
        <f ca="1">+$C$10-M998</f>
        <v>24</v>
      </c>
      <c r="C998" s="656">
        <v>6</v>
      </c>
      <c r="D998" s="656">
        <v>3</v>
      </c>
      <c r="E998" s="656" t="s">
        <v>2916</v>
      </c>
      <c r="F998" s="139">
        <f t="shared" si="270"/>
        <v>294</v>
      </c>
      <c r="G998" s="139">
        <f>+J998/16</f>
        <v>147</v>
      </c>
      <c r="H998" s="139" t="s">
        <v>2916</v>
      </c>
      <c r="I998" s="139">
        <f t="shared" si="271"/>
        <v>2352</v>
      </c>
      <c r="J998" s="139">
        <f>+D998*49*16</f>
        <v>2352</v>
      </c>
      <c r="K998" s="139" t="s">
        <v>2916</v>
      </c>
      <c r="L998" s="643">
        <f t="shared" si="272"/>
        <v>4704</v>
      </c>
      <c r="M998" s="642">
        <f ca="1">SUMPRODUCT(--(WEEKDAY(ROW(INDIRECT(DATE($B$991,MonthFromText(A998),1)&amp;":"&amp;DATE($B$991,MonthFromText(A998),$C$10))),1)=1))</f>
        <v>4</v>
      </c>
      <c r="N998" s="656">
        <v>6</v>
      </c>
      <c r="O998">
        <f t="shared" si="273"/>
        <v>294</v>
      </c>
      <c r="P998" s="643">
        <f t="shared" si="274"/>
        <v>7056</v>
      </c>
      <c r="Q998" s="139">
        <f t="shared" ca="1" si="275"/>
        <v>141120</v>
      </c>
      <c r="R998" s="643">
        <f t="shared" ca="1" si="276"/>
        <v>36775</v>
      </c>
      <c r="S998" s="139"/>
    </row>
    <row r="999" spans="1:50" ht="16.5" customHeight="1" x14ac:dyDescent="0.3">
      <c r="A999" s="647" t="s">
        <v>2234</v>
      </c>
      <c r="B999" s="642">
        <f ca="1">+$D$10-M999</f>
        <v>26</v>
      </c>
      <c r="C999" s="656">
        <v>6</v>
      </c>
      <c r="D999" s="656">
        <v>4</v>
      </c>
      <c r="E999" s="656" t="s">
        <v>2916</v>
      </c>
      <c r="F999" s="139">
        <f t="shared" si="270"/>
        <v>294</v>
      </c>
      <c r="G999" s="139">
        <f>+J999/16</f>
        <v>196</v>
      </c>
      <c r="H999" s="139" t="s">
        <v>2916</v>
      </c>
      <c r="I999" s="139">
        <f t="shared" si="271"/>
        <v>2352</v>
      </c>
      <c r="J999" s="139">
        <f>+D999*49*16</f>
        <v>3136</v>
      </c>
      <c r="K999" s="139" t="s">
        <v>2916</v>
      </c>
      <c r="L999" s="643">
        <f t="shared" si="272"/>
        <v>5488</v>
      </c>
      <c r="M999" s="642">
        <f ca="1">SUMPRODUCT(--(WEEKDAY(ROW(INDIRECT(DATE($B$991,MonthFromText(A999),1)&amp;":"&amp;DATE($B$991,MonthFromText(A999),$D$10))),1)=1))</f>
        <v>5</v>
      </c>
      <c r="N999" s="656">
        <v>6</v>
      </c>
      <c r="O999">
        <f t="shared" si="273"/>
        <v>294</v>
      </c>
      <c r="P999" s="643">
        <f t="shared" si="274"/>
        <v>7056</v>
      </c>
      <c r="Q999" s="139">
        <f t="shared" ca="1" si="275"/>
        <v>177968</v>
      </c>
      <c r="R999" s="643">
        <f t="shared" ca="1" si="276"/>
        <v>39432</v>
      </c>
      <c r="S999" s="139"/>
    </row>
    <row r="1000" spans="1:50" ht="16.5" customHeight="1" x14ac:dyDescent="0.3">
      <c r="A1000" s="647" t="s">
        <v>2235</v>
      </c>
      <c r="B1000" s="642">
        <f ca="1">+$F$10-M1000</f>
        <v>26</v>
      </c>
      <c r="C1000" s="656">
        <v>6</v>
      </c>
      <c r="D1000" s="656">
        <v>4</v>
      </c>
      <c r="E1000" s="656" t="s">
        <v>2916</v>
      </c>
      <c r="F1000" s="139">
        <f t="shared" si="270"/>
        <v>294</v>
      </c>
      <c r="G1000" s="139">
        <f>+J1000/16</f>
        <v>196</v>
      </c>
      <c r="H1000" s="139" t="s">
        <v>2916</v>
      </c>
      <c r="I1000" s="139">
        <f t="shared" si="271"/>
        <v>2352</v>
      </c>
      <c r="J1000" s="139">
        <f>+D1000*49*16</f>
        <v>3136</v>
      </c>
      <c r="K1000" s="139" t="s">
        <v>2916</v>
      </c>
      <c r="L1000" s="643">
        <f t="shared" si="272"/>
        <v>5488</v>
      </c>
      <c r="M1000" s="642">
        <f ca="1">SUMPRODUCT(--(WEEKDAY(ROW(INDIRECT(DATE($B$991,MonthFromText(A1000),1)&amp;":"&amp;DATE($B$991,MonthFromText(A1000),$F$10))),1)=1))</f>
        <v>4</v>
      </c>
      <c r="N1000" s="656">
        <v>6</v>
      </c>
      <c r="O1000">
        <f t="shared" si="273"/>
        <v>294</v>
      </c>
      <c r="P1000" s="643">
        <f t="shared" si="274"/>
        <v>7056</v>
      </c>
      <c r="Q1000" s="139">
        <f t="shared" ca="1" si="275"/>
        <v>170912</v>
      </c>
      <c r="R1000" s="643">
        <f t="shared" ca="1" si="276"/>
        <v>22217</v>
      </c>
      <c r="S1000" s="139"/>
    </row>
    <row r="1001" spans="1:50" ht="15.75" customHeight="1" x14ac:dyDescent="0.3">
      <c r="A1001" s="647" t="s">
        <v>2236</v>
      </c>
      <c r="B1001" s="642">
        <f ca="1">+$G$10-M1001</f>
        <v>26</v>
      </c>
      <c r="C1001" s="656">
        <v>6</v>
      </c>
      <c r="D1001" s="656">
        <v>4</v>
      </c>
      <c r="E1001" s="656" t="s">
        <v>2916</v>
      </c>
      <c r="F1001" s="139">
        <f t="shared" si="270"/>
        <v>294</v>
      </c>
      <c r="G1001" s="139">
        <f>+J1001/16</f>
        <v>196</v>
      </c>
      <c r="H1001" s="139" t="s">
        <v>2916</v>
      </c>
      <c r="I1001" s="139">
        <f t="shared" si="271"/>
        <v>2352</v>
      </c>
      <c r="J1001" s="139">
        <f>+D1001*49*16</f>
        <v>3136</v>
      </c>
      <c r="K1001" s="139" t="s">
        <v>2916</v>
      </c>
      <c r="L1001" s="643">
        <f t="shared" si="272"/>
        <v>5488</v>
      </c>
      <c r="M1001" s="642">
        <f ca="1">SUMPRODUCT(--(WEEKDAY(ROW(INDIRECT(DATE($B$991,MonthFromText(A1001),1)&amp;":"&amp;DATE($B$991,MonthFromText(A1001),$G$10))),1)=1))</f>
        <v>5</v>
      </c>
      <c r="N1001" s="656">
        <v>6</v>
      </c>
      <c r="O1001">
        <f t="shared" si="273"/>
        <v>294</v>
      </c>
      <c r="P1001" s="643">
        <f t="shared" si="274"/>
        <v>7056</v>
      </c>
      <c r="Q1001" s="139">
        <f t="shared" ca="1" si="275"/>
        <v>177968</v>
      </c>
      <c r="R1001" s="643">
        <f t="shared" ca="1" si="276"/>
        <v>9113</v>
      </c>
      <c r="S1001" s="139"/>
    </row>
    <row r="1002" spans="1:50" ht="15.75" customHeight="1" x14ac:dyDescent="0.3">
      <c r="A1002" s="647" t="s">
        <v>2237</v>
      </c>
      <c r="B1002" s="642">
        <f ca="1">+$H$10-M1002</f>
        <v>26</v>
      </c>
      <c r="C1002" s="656">
        <v>6</v>
      </c>
      <c r="D1002" s="656">
        <v>2</v>
      </c>
      <c r="E1002" s="656">
        <v>0</v>
      </c>
      <c r="F1002" s="139">
        <f t="shared" si="270"/>
        <v>294</v>
      </c>
      <c r="G1002" s="139">
        <f t="shared" ref="G1002:H1004" si="277">+J1002/8</f>
        <v>98</v>
      </c>
      <c r="H1002" s="139">
        <f t="shared" si="277"/>
        <v>0</v>
      </c>
      <c r="I1002" s="139">
        <f t="shared" si="271"/>
        <v>2352</v>
      </c>
      <c r="J1002" s="139">
        <f t="shared" ref="J1002:K1004" si="278">+D1002*49*8</f>
        <v>784</v>
      </c>
      <c r="K1002" s="139">
        <f t="shared" si="278"/>
        <v>0</v>
      </c>
      <c r="L1002" s="643">
        <f t="shared" si="272"/>
        <v>3136</v>
      </c>
      <c r="M1002" s="642">
        <f ca="1">SUMPRODUCT(--(WEEKDAY(ROW(INDIRECT(DATE($B$991,MonthFromText(A1002),1)&amp;":"&amp;DATE($B$991,MonthFromText(A1002),$H$10))),1)=1))</f>
        <v>4</v>
      </c>
      <c r="N1002" s="656">
        <v>5</v>
      </c>
      <c r="O1002">
        <f t="shared" si="273"/>
        <v>245</v>
      </c>
      <c r="P1002" s="643">
        <f t="shared" si="274"/>
        <v>5880</v>
      </c>
      <c r="Q1002" s="139">
        <f t="shared" ca="1" si="275"/>
        <v>105056</v>
      </c>
      <c r="R1002" s="643">
        <f t="shared" ca="1" si="276"/>
        <v>27094</v>
      </c>
      <c r="S1002" s="139"/>
    </row>
    <row r="1003" spans="1:50" ht="15.75" customHeight="1" x14ac:dyDescent="0.3">
      <c r="A1003" s="647" t="s">
        <v>1504</v>
      </c>
      <c r="B1003" s="642">
        <f ca="1">+$J$10-M1003</f>
        <v>27</v>
      </c>
      <c r="C1003" s="656">
        <v>3</v>
      </c>
      <c r="D1003" s="656">
        <v>2</v>
      </c>
      <c r="E1003" s="656">
        <v>0</v>
      </c>
      <c r="F1003" s="139">
        <f t="shared" si="270"/>
        <v>147</v>
      </c>
      <c r="G1003" s="139">
        <f t="shared" si="277"/>
        <v>98</v>
      </c>
      <c r="H1003" s="139">
        <f t="shared" si="277"/>
        <v>0</v>
      </c>
      <c r="I1003" s="139">
        <f t="shared" si="271"/>
        <v>1176</v>
      </c>
      <c r="J1003" s="139">
        <f t="shared" si="278"/>
        <v>784</v>
      </c>
      <c r="K1003" s="139">
        <f t="shared" si="278"/>
        <v>0</v>
      </c>
      <c r="L1003" s="643">
        <f t="shared" si="272"/>
        <v>1960</v>
      </c>
      <c r="M1003" s="642">
        <f ca="1">SUMPRODUCT(--(WEEKDAY(ROW(INDIRECT(DATE($B$991,MonthFromText(A1003),1)&amp;":"&amp;DATE($B$991,MonthFromText(A1003),$J$10))),1)=1))</f>
        <v>4</v>
      </c>
      <c r="N1003" s="656">
        <v>3</v>
      </c>
      <c r="O1003">
        <f t="shared" si="273"/>
        <v>147</v>
      </c>
      <c r="P1003" s="643">
        <f t="shared" si="274"/>
        <v>3528</v>
      </c>
      <c r="Q1003" s="139">
        <f t="shared" ca="1" si="275"/>
        <v>67032</v>
      </c>
      <c r="R1003" s="643">
        <f t="shared" ca="1" si="276"/>
        <v>-2842</v>
      </c>
      <c r="S1003" s="139"/>
    </row>
    <row r="1004" spans="1:50" ht="15.75" customHeight="1" x14ac:dyDescent="0.3">
      <c r="A1004" s="647" t="s">
        <v>1505</v>
      </c>
      <c r="B1004" s="642">
        <f ca="1">+$K$10-M1004</f>
        <v>26</v>
      </c>
      <c r="C1004" s="656">
        <v>3</v>
      </c>
      <c r="D1004" s="656">
        <v>2</v>
      </c>
      <c r="E1004" s="656">
        <v>0</v>
      </c>
      <c r="F1004" s="139">
        <f t="shared" si="270"/>
        <v>147</v>
      </c>
      <c r="G1004" s="139">
        <f t="shared" si="277"/>
        <v>98</v>
      </c>
      <c r="H1004" s="139">
        <f t="shared" si="277"/>
        <v>0</v>
      </c>
      <c r="I1004" s="139">
        <f t="shared" si="271"/>
        <v>1176</v>
      </c>
      <c r="J1004" s="139">
        <f t="shared" si="278"/>
        <v>784</v>
      </c>
      <c r="K1004" s="139">
        <f t="shared" si="278"/>
        <v>0</v>
      </c>
      <c r="L1004" s="643">
        <f t="shared" si="272"/>
        <v>1960</v>
      </c>
      <c r="M1004" s="642">
        <f ca="1">SUMPRODUCT(--(WEEKDAY(ROW(INDIRECT(DATE($B$991,MonthFromText(A1004),1)&amp;":"&amp;DATE($B$991,MonthFromText(A1004),$K$10))),1)=1))</f>
        <v>5</v>
      </c>
      <c r="N1004" s="656">
        <v>3</v>
      </c>
      <c r="O1004">
        <f t="shared" si="273"/>
        <v>147</v>
      </c>
      <c r="P1004" s="643">
        <f t="shared" si="274"/>
        <v>3528</v>
      </c>
      <c r="Q1004" s="139">
        <f t="shared" ca="1" si="275"/>
        <v>68600</v>
      </c>
      <c r="R1004" s="643">
        <f t="shared" ca="1" si="276"/>
        <v>1062</v>
      </c>
      <c r="S1004" s="139"/>
    </row>
    <row r="1005" spans="1:50" ht="15.75" customHeight="1" x14ac:dyDescent="0.3">
      <c r="A1005" s="647" t="s">
        <v>1506</v>
      </c>
      <c r="B1005" s="642">
        <f ca="1">+$L$10-M1005</f>
        <v>26</v>
      </c>
      <c r="C1005" s="656">
        <v>5</v>
      </c>
      <c r="D1005" s="656">
        <v>3</v>
      </c>
      <c r="E1005" s="656" t="s">
        <v>2916</v>
      </c>
      <c r="F1005" s="139">
        <f t="shared" si="270"/>
        <v>245</v>
      </c>
      <c r="G1005" s="139">
        <f>+J1005/16</f>
        <v>147</v>
      </c>
      <c r="H1005" s="139" t="s">
        <v>2916</v>
      </c>
      <c r="I1005" s="139">
        <f t="shared" si="271"/>
        <v>1960</v>
      </c>
      <c r="J1005" s="139">
        <f>+D1005*49*16</f>
        <v>2352</v>
      </c>
      <c r="K1005" s="139" t="s">
        <v>2916</v>
      </c>
      <c r="L1005" s="643">
        <f t="shared" si="272"/>
        <v>4312</v>
      </c>
      <c r="M1005" s="642">
        <f ca="1">SUMPRODUCT(--(WEEKDAY(ROW(INDIRECT(DATE($B$991,MonthFromText(A1005),1)&amp;":"&amp;DATE($B$991,MonthFromText(A1005),$L$10))),1)=1))</f>
        <v>4</v>
      </c>
      <c r="N1005" s="656">
        <v>5</v>
      </c>
      <c r="O1005">
        <f t="shared" si="273"/>
        <v>245</v>
      </c>
      <c r="P1005" s="643">
        <f t="shared" si="274"/>
        <v>5880</v>
      </c>
      <c r="Q1005" s="139">
        <f t="shared" ca="1" si="275"/>
        <v>135632</v>
      </c>
      <c r="R1005" s="643">
        <f t="shared" ca="1" si="276"/>
        <v>-22142</v>
      </c>
      <c r="S1005" s="139"/>
    </row>
    <row r="1006" spans="1:50" ht="15.75" customHeight="1" x14ac:dyDescent="0.3">
      <c r="A1006" s="647" t="s">
        <v>1507</v>
      </c>
      <c r="B1006" s="642">
        <f ca="1">+$N$10-M1006</f>
        <v>27</v>
      </c>
      <c r="C1006" s="656">
        <v>5</v>
      </c>
      <c r="D1006" s="656">
        <v>3</v>
      </c>
      <c r="E1006" s="656" t="s">
        <v>2916</v>
      </c>
      <c r="F1006" s="139">
        <f t="shared" si="270"/>
        <v>245</v>
      </c>
      <c r="G1006" s="139">
        <f>+J1006/16</f>
        <v>147</v>
      </c>
      <c r="H1006" s="139" t="s">
        <v>2916</v>
      </c>
      <c r="I1006" s="139">
        <f t="shared" si="271"/>
        <v>1960</v>
      </c>
      <c r="J1006" s="139">
        <f>+D1006*49*16</f>
        <v>2352</v>
      </c>
      <c r="K1006" s="139" t="s">
        <v>2916</v>
      </c>
      <c r="L1006" s="643">
        <f t="shared" si="272"/>
        <v>4312</v>
      </c>
      <c r="M1006" s="642">
        <f ca="1">SUMPRODUCT(--(WEEKDAY(ROW(INDIRECT(DATE($B$991,MonthFromText(A1006),1)&amp;":"&amp;DATE($B$991,MonthFromText(A1006),$N$10))),1)=1))</f>
        <v>4</v>
      </c>
      <c r="N1006" s="656">
        <v>5</v>
      </c>
      <c r="O1006">
        <f t="shared" si="273"/>
        <v>245</v>
      </c>
      <c r="P1006" s="643">
        <f t="shared" si="274"/>
        <v>5880</v>
      </c>
      <c r="Q1006" s="139">
        <f t="shared" ca="1" si="275"/>
        <v>139944</v>
      </c>
      <c r="R1006" s="643">
        <f t="shared" ca="1" si="276"/>
        <v>27116</v>
      </c>
      <c r="S1006" s="139"/>
    </row>
    <row r="1007" spans="1:50" ht="15.75" customHeight="1" x14ac:dyDescent="0.3">
      <c r="A1007" s="647" t="s">
        <v>1508</v>
      </c>
      <c r="B1007" s="642">
        <f ca="1">+$O$10-M1007</f>
        <v>25</v>
      </c>
      <c r="C1007" s="656">
        <v>5</v>
      </c>
      <c r="D1007" s="656">
        <v>3</v>
      </c>
      <c r="E1007" s="656" t="s">
        <v>2916</v>
      </c>
      <c r="F1007" s="139">
        <f t="shared" si="270"/>
        <v>245</v>
      </c>
      <c r="G1007" s="139">
        <f>+J1007/16</f>
        <v>147</v>
      </c>
      <c r="H1007" s="139" t="s">
        <v>2916</v>
      </c>
      <c r="I1007" s="139">
        <f t="shared" si="271"/>
        <v>1960</v>
      </c>
      <c r="J1007" s="139">
        <f>+D1007*49*16</f>
        <v>2352</v>
      </c>
      <c r="K1007" s="139" t="s">
        <v>2916</v>
      </c>
      <c r="L1007" s="643">
        <f t="shared" si="272"/>
        <v>4312</v>
      </c>
      <c r="M1007" s="642">
        <f ca="1">SUMPRODUCT(--(WEEKDAY(ROW(INDIRECT(DATE($B$991,MonthFromText(A1007),1)&amp;":"&amp;DATE($B$991,MonthFromText(A1007),$O$10))),1)=1))</f>
        <v>5</v>
      </c>
      <c r="N1007" s="656">
        <v>6</v>
      </c>
      <c r="O1007">
        <f t="shared" si="273"/>
        <v>294</v>
      </c>
      <c r="P1007" s="643">
        <f t="shared" si="274"/>
        <v>7056</v>
      </c>
      <c r="Q1007" s="139">
        <f t="shared" ca="1" si="275"/>
        <v>143080</v>
      </c>
      <c r="R1007" s="643">
        <f t="shared" ca="1" si="276"/>
        <v>31089</v>
      </c>
      <c r="S1007" s="139"/>
    </row>
    <row r="1008" spans="1:50" ht="15.75" customHeight="1" thickBot="1" x14ac:dyDescent="0.35">
      <c r="A1008" s="647" t="s">
        <v>1509</v>
      </c>
      <c r="B1008" s="644">
        <f ca="1">+$P$10-M1008</f>
        <v>27</v>
      </c>
      <c r="C1008" s="657">
        <v>6</v>
      </c>
      <c r="D1008" s="657">
        <v>2</v>
      </c>
      <c r="E1008" s="656" t="s">
        <v>2916</v>
      </c>
      <c r="F1008" s="139">
        <f t="shared" si="270"/>
        <v>294</v>
      </c>
      <c r="G1008" s="139">
        <f>+J1008/16</f>
        <v>98</v>
      </c>
      <c r="H1008" s="139" t="s">
        <v>2916</v>
      </c>
      <c r="I1008" s="139">
        <f t="shared" si="271"/>
        <v>2352</v>
      </c>
      <c r="J1008" s="139">
        <f>+D1008*49*16</f>
        <v>1568</v>
      </c>
      <c r="K1008" s="139" t="s">
        <v>2916</v>
      </c>
      <c r="L1008" s="643">
        <f t="shared" si="272"/>
        <v>3920</v>
      </c>
      <c r="M1008" s="644">
        <f ca="1">SUMPRODUCT(--(WEEKDAY(ROW(INDIRECT(DATE($B$991,MonthFromText(A1008),1)&amp;":"&amp;DATE($B$991,MonthFromText(A1008),$P$10))),1)=1))</f>
        <v>4</v>
      </c>
      <c r="N1008" s="657">
        <v>6</v>
      </c>
      <c r="O1008" s="581">
        <f t="shared" si="273"/>
        <v>294</v>
      </c>
      <c r="P1008" s="646">
        <f t="shared" si="274"/>
        <v>7056</v>
      </c>
      <c r="Q1008" s="666">
        <f t="shared" ca="1" si="275"/>
        <v>134064</v>
      </c>
      <c r="R1008" s="673">
        <f t="shared" ca="1" si="276"/>
        <v>11278</v>
      </c>
      <c r="S1008" s="139"/>
    </row>
    <row r="1009" spans="1:18" ht="15.75" customHeight="1" thickBot="1" x14ac:dyDescent="0.35">
      <c r="A1009" s="580"/>
      <c r="B1009" s="581"/>
      <c r="C1009" s="581"/>
      <c r="D1009" s="581"/>
      <c r="E1009" s="674"/>
      <c r="F1009" s="674"/>
      <c r="G1009" s="674"/>
      <c r="H1009" s="674"/>
      <c r="I1009" s="674"/>
      <c r="J1009" s="674"/>
      <c r="K1009" s="674"/>
      <c r="L1009" s="674"/>
      <c r="M1009" s="581"/>
      <c r="N1009" s="581"/>
      <c r="O1009" s="581"/>
      <c r="P1009" s="581"/>
      <c r="Q1009" s="645">
        <f ca="1">+SUM(Q997:Q1008)</f>
        <v>1537816</v>
      </c>
      <c r="R1009" s="646">
        <f ca="1">+Q1009-B903</f>
        <v>89021</v>
      </c>
    </row>
    <row r="1010" spans="1:18" ht="15.75" customHeight="1" x14ac:dyDescent="0.3">
      <c r="A1010" s="641" t="s">
        <v>2891</v>
      </c>
      <c r="J1010" s="139"/>
    </row>
    <row r="1011" spans="1:18" ht="15.75" customHeight="1" x14ac:dyDescent="0.3">
      <c r="A1011" s="641" t="s">
        <v>2894</v>
      </c>
    </row>
    <row r="1012" spans="1:18" ht="15.75" customHeight="1" x14ac:dyDescent="0.3">
      <c r="A1012" s="641" t="s">
        <v>2901</v>
      </c>
    </row>
    <row r="1013" spans="1:18" ht="15.75" customHeight="1" x14ac:dyDescent="0.3"/>
    <row r="1014" spans="1:18" ht="15.75" customHeight="1" x14ac:dyDescent="0.3"/>
    <row r="1015" spans="1:18" ht="15.75" customHeight="1" x14ac:dyDescent="0.3"/>
    <row r="1016" spans="1:18" ht="15.75" customHeight="1" x14ac:dyDescent="0.3"/>
    <row r="1017" spans="1:18" ht="16.5" customHeight="1" x14ac:dyDescent="0.3"/>
    <row r="1018" spans="1:18" ht="15.75" customHeight="1" x14ac:dyDescent="0.3"/>
    <row r="1019" spans="1:18" ht="16.5" customHeight="1" x14ac:dyDescent="0.3"/>
    <row r="1020" spans="1:18" ht="15.75" customHeight="1" x14ac:dyDescent="0.3"/>
    <row r="1021" spans="1:18" ht="15.75" customHeight="1" x14ac:dyDescent="0.3"/>
    <row r="1022" spans="1:18" ht="15.75" customHeight="1" x14ac:dyDescent="0.3"/>
    <row r="1023" spans="1:18" ht="15.75" customHeight="1" x14ac:dyDescent="0.3"/>
    <row r="1024" spans="1:18" ht="15.75" customHeight="1" x14ac:dyDescent="0.3">
      <c r="I1024" s="139"/>
      <c r="J1024" s="139"/>
    </row>
    <row r="1025" spans="1:19" ht="15.75" customHeight="1" x14ac:dyDescent="0.3"/>
    <row r="1026" spans="1:19" ht="15.75" customHeight="1" x14ac:dyDescent="0.3"/>
    <row r="1027" spans="1:19" ht="15.75" customHeight="1" x14ac:dyDescent="0.3"/>
    <row r="1028" spans="1:19" ht="15.75" customHeight="1" x14ac:dyDescent="0.3"/>
    <row r="1029" spans="1:19" ht="15.75" customHeight="1" x14ac:dyDescent="0.3"/>
    <row r="1030" spans="1:19" ht="15.75" customHeight="1" x14ac:dyDescent="0.3"/>
    <row r="1031" spans="1:19" ht="15.75" customHeight="1" thickBot="1" x14ac:dyDescent="0.35"/>
    <row r="1032" spans="1:19" ht="15.75" customHeight="1" x14ac:dyDescent="0.35">
      <c r="A1032" s="546"/>
      <c r="B1032" s="547"/>
      <c r="C1032" s="566"/>
      <c r="D1032" s="566"/>
      <c r="E1032" s="566"/>
      <c r="F1032" s="566"/>
      <c r="G1032" s="566"/>
      <c r="H1032" s="549" t="s">
        <v>1623</v>
      </c>
      <c r="I1032" s="547"/>
      <c r="J1032" s="547"/>
      <c r="K1032" s="547"/>
      <c r="L1032" s="547"/>
      <c r="M1032" s="547"/>
      <c r="N1032" s="547"/>
      <c r="O1032" s="547"/>
      <c r="P1032" s="547"/>
      <c r="Q1032" s="678" t="str">
        <f>+Q1</f>
        <v xml:space="preserve">PRINTED:  </v>
      </c>
      <c r="R1032" s="682">
        <f ca="1">+R1</f>
        <v>44881.729634027775</v>
      </c>
      <c r="S1032" s="560"/>
    </row>
    <row r="1033" spans="1:19" ht="15.75" customHeight="1" x14ac:dyDescent="0.35">
      <c r="A1033" s="551"/>
      <c r="B1033" s="67"/>
      <c r="C1033" s="215"/>
      <c r="D1033" s="215"/>
      <c r="E1033" s="215"/>
      <c r="F1033" s="215"/>
      <c r="G1033" s="215"/>
      <c r="H1033" s="67" t="s">
        <v>2435</v>
      </c>
      <c r="I1033" s="67" t="s">
        <v>852</v>
      </c>
      <c r="J1033" s="69" t="str">
        <f>+A8</f>
        <v>Revised:  5/2/2016</v>
      </c>
      <c r="K1033" s="67"/>
      <c r="L1033" s="67"/>
      <c r="M1033" s="67"/>
      <c r="N1033" s="67"/>
      <c r="O1033" s="67"/>
      <c r="P1033" s="67"/>
      <c r="Q1033" s="67"/>
      <c r="R1033" s="67"/>
      <c r="S1033" s="561"/>
    </row>
    <row r="1034" spans="1:19" ht="15.75" customHeight="1" x14ac:dyDescent="0.35">
      <c r="A1034" s="551"/>
      <c r="B1034" s="67"/>
      <c r="C1034" s="215"/>
      <c r="D1034" s="215"/>
      <c r="E1034" s="215"/>
      <c r="F1034" s="215"/>
      <c r="G1034" s="215"/>
      <c r="H1034" s="67" t="s">
        <v>2126</v>
      </c>
      <c r="I1034" s="67"/>
      <c r="J1034" s="67"/>
      <c r="K1034" s="67"/>
      <c r="L1034" s="67"/>
      <c r="M1034" s="67"/>
      <c r="N1034" s="67"/>
      <c r="O1034" s="67"/>
      <c r="P1034" s="67"/>
      <c r="Q1034" s="67"/>
      <c r="R1034" s="67"/>
      <c r="S1034" s="561"/>
    </row>
    <row r="1035" spans="1:19" ht="15.75" customHeight="1" x14ac:dyDescent="0.35">
      <c r="A1035" s="551"/>
      <c r="B1035" s="67"/>
      <c r="C1035" s="215"/>
      <c r="D1035" s="215"/>
      <c r="E1035" s="215"/>
      <c r="F1035" s="215"/>
      <c r="G1035" s="215"/>
      <c r="H1035" s="67"/>
      <c r="I1035" s="67"/>
      <c r="J1035" s="67"/>
      <c r="K1035" s="67"/>
      <c r="L1035" s="67"/>
      <c r="M1035" s="67"/>
      <c r="N1035" s="67"/>
      <c r="O1035" s="67"/>
      <c r="P1035" s="67"/>
      <c r="Q1035" s="67"/>
      <c r="R1035" s="67"/>
      <c r="S1035" s="561"/>
    </row>
    <row r="1036" spans="1:19" ht="15.75" customHeight="1" x14ac:dyDescent="0.35">
      <c r="A1036" s="551"/>
      <c r="B1036" s="67"/>
      <c r="C1036" s="215"/>
      <c r="D1036" s="215"/>
      <c r="E1036" s="215"/>
      <c r="F1036" s="215"/>
      <c r="G1036" s="215"/>
      <c r="H1036" s="67" t="s">
        <v>2435</v>
      </c>
      <c r="I1036" s="676">
        <f>+A5</f>
        <v>2015</v>
      </c>
      <c r="J1036" s="67"/>
      <c r="K1036" s="67"/>
      <c r="L1036" s="67"/>
      <c r="M1036" s="67"/>
      <c r="N1036" s="67"/>
      <c r="O1036" s="67"/>
      <c r="P1036" s="67"/>
      <c r="Q1036" s="67"/>
      <c r="R1036" s="67"/>
      <c r="S1036" s="561"/>
    </row>
    <row r="1037" spans="1:19" ht="15.75" customHeight="1" x14ac:dyDescent="0.3">
      <c r="A1037" s="551"/>
      <c r="B1037" s="67"/>
      <c r="C1037" s="67"/>
      <c r="D1037" s="67"/>
      <c r="E1037" s="67"/>
      <c r="F1037" s="67"/>
      <c r="G1037" s="67"/>
      <c r="H1037" s="67"/>
      <c r="I1037" s="67"/>
      <c r="J1037" s="67"/>
      <c r="K1037" s="67"/>
      <c r="L1037" s="67"/>
      <c r="M1037" s="67"/>
      <c r="N1037" s="67"/>
      <c r="O1037" s="67"/>
      <c r="P1037" s="67"/>
      <c r="Q1037" s="67"/>
      <c r="R1037" s="67"/>
      <c r="S1037" s="561"/>
    </row>
    <row r="1038" spans="1:19" ht="15.75" customHeight="1" x14ac:dyDescent="0.3">
      <c r="A1038" s="551"/>
      <c r="B1038" s="67"/>
      <c r="C1038" s="71" t="s">
        <v>1442</v>
      </c>
      <c r="D1038" s="67"/>
      <c r="E1038" s="67"/>
      <c r="F1038" s="67"/>
      <c r="G1038" s="71" t="s">
        <v>1409</v>
      </c>
      <c r="H1038" s="67"/>
      <c r="I1038" s="67"/>
      <c r="J1038" s="67"/>
      <c r="K1038" s="68" t="s">
        <v>234</v>
      </c>
      <c r="L1038" s="67"/>
      <c r="M1038" s="67"/>
      <c r="N1038" s="67"/>
      <c r="O1038" s="68" t="s">
        <v>1701</v>
      </c>
      <c r="P1038" s="67"/>
      <c r="Q1038" s="67"/>
      <c r="R1038" s="67"/>
      <c r="S1038" s="561"/>
    </row>
    <row r="1039" spans="1:19" ht="15.75" customHeight="1" x14ac:dyDescent="0.3">
      <c r="A1039" s="551"/>
      <c r="B1039" s="67"/>
      <c r="C1039" s="67">
        <f>+A5</f>
        <v>2015</v>
      </c>
      <c r="D1039" s="67"/>
      <c r="E1039" s="67"/>
      <c r="F1039" s="67" t="s">
        <v>2415</v>
      </c>
      <c r="G1039" s="67"/>
      <c r="H1039" s="67"/>
      <c r="I1039" s="67"/>
      <c r="J1039" s="67"/>
      <c r="K1039" s="67">
        <f>+A5</f>
        <v>2015</v>
      </c>
      <c r="L1039" s="67"/>
      <c r="M1039" s="67"/>
      <c r="N1039" s="67"/>
      <c r="O1039" s="67">
        <f>+A5</f>
        <v>2015</v>
      </c>
      <c r="P1039" s="67"/>
      <c r="Q1039" s="67"/>
      <c r="R1039" s="67"/>
      <c r="S1039" s="561"/>
    </row>
    <row r="1040" spans="1:19" ht="15.75" customHeight="1" x14ac:dyDescent="0.3">
      <c r="A1040" s="551"/>
      <c r="B1040" s="67"/>
      <c r="C1040" s="67"/>
      <c r="D1040" s="67"/>
      <c r="E1040" s="67"/>
      <c r="F1040" s="67"/>
      <c r="G1040" s="67">
        <f>+A5</f>
        <v>2015</v>
      </c>
      <c r="H1040" s="67"/>
      <c r="I1040" s="67"/>
      <c r="J1040" s="67"/>
      <c r="K1040" s="67"/>
      <c r="L1040" s="67"/>
      <c r="M1040" s="67"/>
      <c r="N1040" s="67"/>
      <c r="O1040" s="67"/>
      <c r="P1040" s="67"/>
      <c r="Q1040" s="67"/>
      <c r="R1040" s="67"/>
      <c r="S1040" s="561"/>
    </row>
    <row r="1041" spans="1:19" ht="15.75" customHeight="1" x14ac:dyDescent="0.3">
      <c r="A1041" s="551"/>
      <c r="B1041" s="67"/>
      <c r="C1041" s="70" t="s">
        <v>1413</v>
      </c>
      <c r="D1041" s="70" t="s">
        <v>31</v>
      </c>
      <c r="E1041" s="70" t="s">
        <v>32</v>
      </c>
      <c r="F1041" s="67"/>
      <c r="G1041" s="70" t="s">
        <v>1412</v>
      </c>
      <c r="H1041" s="70" t="s">
        <v>31</v>
      </c>
      <c r="I1041" s="70" t="s">
        <v>1077</v>
      </c>
      <c r="J1041" s="67"/>
      <c r="K1041" s="70" t="s">
        <v>229</v>
      </c>
      <c r="L1041" s="70" t="s">
        <v>31</v>
      </c>
      <c r="M1041" s="70" t="s">
        <v>1078</v>
      </c>
      <c r="N1041" s="67"/>
      <c r="O1041" s="70" t="s">
        <v>229</v>
      </c>
      <c r="P1041" s="70" t="s">
        <v>31</v>
      </c>
      <c r="Q1041" s="70" t="s">
        <v>1078</v>
      </c>
      <c r="R1041" s="67"/>
      <c r="S1041" s="561"/>
    </row>
    <row r="1042" spans="1:19" ht="15.75" customHeight="1" x14ac:dyDescent="0.3">
      <c r="A1042" s="551"/>
      <c r="B1042" s="67"/>
      <c r="C1042" s="70" t="s">
        <v>429</v>
      </c>
      <c r="D1042" s="70" t="s">
        <v>335</v>
      </c>
      <c r="E1042" s="70" t="s">
        <v>2000</v>
      </c>
      <c r="F1042" s="67"/>
      <c r="G1042" s="70" t="s">
        <v>1318</v>
      </c>
      <c r="H1042" s="70" t="s">
        <v>335</v>
      </c>
      <c r="I1042" s="70" t="s">
        <v>2000</v>
      </c>
      <c r="J1042" s="67"/>
      <c r="K1042" s="70" t="s">
        <v>1180</v>
      </c>
      <c r="L1042" s="70" t="s">
        <v>335</v>
      </c>
      <c r="M1042" s="70" t="s">
        <v>2000</v>
      </c>
      <c r="N1042" s="67"/>
      <c r="O1042" s="70" t="s">
        <v>1180</v>
      </c>
      <c r="P1042" s="70" t="s">
        <v>335</v>
      </c>
      <c r="Q1042" s="70" t="s">
        <v>2000</v>
      </c>
      <c r="R1042" s="67"/>
      <c r="S1042" s="561"/>
    </row>
    <row r="1043" spans="1:19" ht="15.75" customHeight="1" x14ac:dyDescent="0.3">
      <c r="A1043" s="551"/>
      <c r="B1043" s="67"/>
      <c r="C1043" s="70" t="s">
        <v>335</v>
      </c>
      <c r="D1043" s="70" t="s">
        <v>956</v>
      </c>
      <c r="E1043" s="70" t="s">
        <v>242</v>
      </c>
      <c r="F1043" s="67"/>
      <c r="G1043" s="70" t="s">
        <v>134</v>
      </c>
      <c r="H1043" s="70" t="s">
        <v>956</v>
      </c>
      <c r="I1043" s="70" t="s">
        <v>242</v>
      </c>
      <c r="J1043" s="67"/>
      <c r="K1043" s="70" t="s">
        <v>335</v>
      </c>
      <c r="L1043" s="70" t="s">
        <v>956</v>
      </c>
      <c r="M1043" s="70" t="s">
        <v>242</v>
      </c>
      <c r="N1043" s="67"/>
      <c r="O1043" s="70" t="s">
        <v>335</v>
      </c>
      <c r="P1043" s="70" t="s">
        <v>956</v>
      </c>
      <c r="Q1043" s="70" t="s">
        <v>242</v>
      </c>
      <c r="R1043" s="67"/>
      <c r="S1043" s="561"/>
    </row>
    <row r="1044" spans="1:19" ht="15.75" customHeight="1" x14ac:dyDescent="0.3">
      <c r="A1044" s="551"/>
      <c r="B1044" s="67"/>
      <c r="C1044" s="70" t="s">
        <v>932</v>
      </c>
      <c r="D1044" s="70" t="s">
        <v>1917</v>
      </c>
      <c r="E1044" s="70" t="s">
        <v>1481</v>
      </c>
      <c r="F1044" s="67"/>
      <c r="G1044" s="70" t="s">
        <v>932</v>
      </c>
      <c r="H1044" s="70" t="s">
        <v>1917</v>
      </c>
      <c r="I1044" s="70" t="s">
        <v>1481</v>
      </c>
      <c r="J1044" s="67"/>
      <c r="K1044" s="70" t="s">
        <v>932</v>
      </c>
      <c r="L1044" s="70" t="s">
        <v>1917</v>
      </c>
      <c r="M1044" s="70" t="s">
        <v>1481</v>
      </c>
      <c r="N1044" s="67"/>
      <c r="O1044" s="70" t="s">
        <v>932</v>
      </c>
      <c r="P1044" s="70" t="s">
        <v>1917</v>
      </c>
      <c r="Q1044" s="70" t="s">
        <v>1481</v>
      </c>
      <c r="R1044" s="67"/>
      <c r="S1044" s="561"/>
    </row>
    <row r="1045" spans="1:19" ht="15.75" customHeight="1" x14ac:dyDescent="0.3">
      <c r="A1045" s="551"/>
      <c r="B1045" s="67"/>
      <c r="C1045" s="67" t="s">
        <v>1353</v>
      </c>
      <c r="D1045" s="67" t="s">
        <v>1353</v>
      </c>
      <c r="E1045" s="67" t="s">
        <v>1353</v>
      </c>
      <c r="F1045" s="67"/>
      <c r="G1045" s="70" t="s">
        <v>1353</v>
      </c>
      <c r="H1045" s="70" t="s">
        <v>1353</v>
      </c>
      <c r="I1045" s="70" t="s">
        <v>1353</v>
      </c>
      <c r="J1045" s="67"/>
      <c r="K1045" s="67" t="s">
        <v>1353</v>
      </c>
      <c r="L1045" s="67" t="s">
        <v>1353</v>
      </c>
      <c r="M1045" s="67" t="s">
        <v>1353</v>
      </c>
      <c r="N1045" s="67"/>
      <c r="O1045" s="67" t="s">
        <v>1353</v>
      </c>
      <c r="P1045" s="67" t="s">
        <v>1353</v>
      </c>
      <c r="Q1045" s="67" t="s">
        <v>1353</v>
      </c>
      <c r="R1045" s="67"/>
      <c r="S1045" s="561"/>
    </row>
    <row r="1046" spans="1:19" ht="15.75" customHeight="1" x14ac:dyDescent="0.3">
      <c r="A1046" s="553" t="s">
        <v>1354</v>
      </c>
      <c r="B1046" s="67"/>
      <c r="C1046" s="67">
        <f t="shared" ref="C1046:C1057" si="279">(P918)</f>
        <v>-22526</v>
      </c>
      <c r="D1046" s="72">
        <v>0</v>
      </c>
      <c r="E1046" s="73">
        <f t="shared" ref="E1046:E1057" si="280">(P918*D1046/1000)</f>
        <v>0</v>
      </c>
      <c r="F1046" s="67"/>
      <c r="G1046" s="67">
        <v>0</v>
      </c>
      <c r="H1046" s="72">
        <v>0</v>
      </c>
      <c r="I1046" s="73">
        <f t="shared" ref="I1046:I1057" si="281">(G1046*H1046/1000)</f>
        <v>0</v>
      </c>
      <c r="J1046" s="67"/>
      <c r="K1046" s="589">
        <v>11848</v>
      </c>
      <c r="L1046" s="590">
        <v>0</v>
      </c>
      <c r="M1046" s="73">
        <f t="shared" ref="M1046:M1057" si="282">(K1046*L1046/1000)</f>
        <v>0</v>
      </c>
      <c r="N1046" s="67"/>
      <c r="O1046" s="589">
        <v>0</v>
      </c>
      <c r="P1046" s="72">
        <v>0</v>
      </c>
      <c r="Q1046" s="73">
        <f t="shared" ref="Q1046:Q1057" si="283">(O1046*P1046/1000)</f>
        <v>0</v>
      </c>
      <c r="R1046" s="67"/>
      <c r="S1046" s="561"/>
    </row>
    <row r="1047" spans="1:19" ht="15.75" customHeight="1" x14ac:dyDescent="0.3">
      <c r="A1047" s="553" t="s">
        <v>706</v>
      </c>
      <c r="B1047" s="67"/>
      <c r="C1047" s="67">
        <f t="shared" si="279"/>
        <v>-9695.6720422004582</v>
      </c>
      <c r="D1047" s="72">
        <v>0</v>
      </c>
      <c r="E1047" s="73">
        <f t="shared" si="280"/>
        <v>0</v>
      </c>
      <c r="F1047" s="67"/>
      <c r="G1047" s="67" t="e">
        <f>#REF!</f>
        <v>#REF!</v>
      </c>
      <c r="H1047" s="72">
        <v>0</v>
      </c>
      <c r="I1047" s="73" t="e">
        <f t="shared" si="281"/>
        <v>#REF!</v>
      </c>
      <c r="J1047" s="67"/>
      <c r="K1047" s="589">
        <v>11489</v>
      </c>
      <c r="L1047" s="590">
        <v>0</v>
      </c>
      <c r="M1047" s="73">
        <f t="shared" si="282"/>
        <v>0</v>
      </c>
      <c r="N1047" s="67"/>
      <c r="O1047" s="589">
        <v>0</v>
      </c>
      <c r="P1047" s="72">
        <v>0</v>
      </c>
      <c r="Q1047" s="73">
        <f t="shared" si="283"/>
        <v>0</v>
      </c>
      <c r="R1047" s="67"/>
      <c r="S1047" s="561"/>
    </row>
    <row r="1048" spans="1:19" ht="15.75" customHeight="1" x14ac:dyDescent="0.3">
      <c r="A1048" s="553" t="s">
        <v>707</v>
      </c>
      <c r="B1048" s="67"/>
      <c r="C1048" s="67">
        <f t="shared" si="279"/>
        <v>-10363.473711423256</v>
      </c>
      <c r="D1048" s="72">
        <v>0</v>
      </c>
      <c r="E1048" s="73">
        <f t="shared" si="280"/>
        <v>0</v>
      </c>
      <c r="F1048" s="67">
        <f>SUM(E1046:E1048)</f>
        <v>0</v>
      </c>
      <c r="G1048" s="67" t="e">
        <f>#REF!</f>
        <v>#REF!</v>
      </c>
      <c r="H1048" s="72">
        <v>0</v>
      </c>
      <c r="I1048" s="73" t="e">
        <f t="shared" si="281"/>
        <v>#REF!</v>
      </c>
      <c r="J1048" s="67" t="e">
        <f>SUM(I1046:I1048)</f>
        <v>#REF!</v>
      </c>
      <c r="K1048" s="589">
        <v>16247</v>
      </c>
      <c r="L1048" s="590">
        <v>0</v>
      </c>
      <c r="M1048" s="73">
        <f t="shared" si="282"/>
        <v>0</v>
      </c>
      <c r="N1048" s="67">
        <f>SUM(M1046:M1048)</f>
        <v>0</v>
      </c>
      <c r="O1048" s="589">
        <v>0</v>
      </c>
      <c r="P1048" s="72">
        <v>0</v>
      </c>
      <c r="Q1048" s="73">
        <f t="shared" si="283"/>
        <v>0</v>
      </c>
      <c r="R1048" s="67">
        <f>SUM(Q1046:Q1048)</f>
        <v>0</v>
      </c>
      <c r="S1048" s="561"/>
    </row>
    <row r="1049" spans="1:19" ht="15.75" customHeight="1" x14ac:dyDescent="0.3">
      <c r="A1049" s="553" t="s">
        <v>1321</v>
      </c>
      <c r="B1049" s="67"/>
      <c r="C1049" s="67">
        <f t="shared" si="279"/>
        <v>-34828.803391107765</v>
      </c>
      <c r="D1049" s="72">
        <v>0</v>
      </c>
      <c r="E1049" s="73">
        <f t="shared" si="280"/>
        <v>0</v>
      </c>
      <c r="F1049" s="67"/>
      <c r="G1049" s="67" t="e">
        <f>#REF!</f>
        <v>#REF!</v>
      </c>
      <c r="H1049" s="72">
        <v>0</v>
      </c>
      <c r="I1049" s="73" t="e">
        <f t="shared" si="281"/>
        <v>#REF!</v>
      </c>
      <c r="J1049" s="67"/>
      <c r="K1049" s="589">
        <v>17740</v>
      </c>
      <c r="L1049" s="590">
        <v>0</v>
      </c>
      <c r="M1049" s="73">
        <f t="shared" si="282"/>
        <v>0</v>
      </c>
      <c r="N1049" s="67"/>
      <c r="O1049" s="589">
        <v>0</v>
      </c>
      <c r="P1049" s="72">
        <v>0</v>
      </c>
      <c r="Q1049" s="73">
        <f t="shared" si="283"/>
        <v>0</v>
      </c>
      <c r="R1049" s="67"/>
      <c r="S1049" s="561"/>
    </row>
    <row r="1050" spans="1:19" ht="15.75" customHeight="1" x14ac:dyDescent="0.3">
      <c r="A1050" s="553" t="s">
        <v>1905</v>
      </c>
      <c r="B1050" s="67"/>
      <c r="C1050" s="67">
        <f t="shared" si="279"/>
        <v>-20639.200994724932</v>
      </c>
      <c r="D1050" s="72">
        <v>0</v>
      </c>
      <c r="E1050" s="73">
        <f t="shared" si="280"/>
        <v>0</v>
      </c>
      <c r="F1050" s="67"/>
      <c r="G1050" s="67" t="e">
        <f>#REF!</f>
        <v>#REF!</v>
      </c>
      <c r="H1050" s="72">
        <v>0</v>
      </c>
      <c r="I1050" s="73" t="e">
        <f t="shared" si="281"/>
        <v>#REF!</v>
      </c>
      <c r="J1050" s="67"/>
      <c r="K1050" s="589">
        <v>15434</v>
      </c>
      <c r="L1050" s="590">
        <v>0</v>
      </c>
      <c r="M1050" s="73">
        <f t="shared" si="282"/>
        <v>0</v>
      </c>
      <c r="N1050" s="67"/>
      <c r="O1050" s="589">
        <v>0</v>
      </c>
      <c r="P1050" s="72">
        <v>0</v>
      </c>
      <c r="Q1050" s="73">
        <f t="shared" si="283"/>
        <v>0</v>
      </c>
      <c r="R1050" s="67"/>
      <c r="S1050" s="561"/>
    </row>
    <row r="1051" spans="1:19" ht="15.75" customHeight="1" x14ac:dyDescent="0.3">
      <c r="A1051" s="553" t="s">
        <v>1906</v>
      </c>
      <c r="B1051" s="67"/>
      <c r="C1051" s="67">
        <f t="shared" si="279"/>
        <v>-4786.3472795780108</v>
      </c>
      <c r="D1051" s="72">
        <v>0</v>
      </c>
      <c r="E1051" s="73">
        <f t="shared" si="280"/>
        <v>0</v>
      </c>
      <c r="F1051" s="67">
        <f>SUM(E1049:E1051)</f>
        <v>0</v>
      </c>
      <c r="G1051" s="67" t="e">
        <f>#REF!</f>
        <v>#REF!</v>
      </c>
      <c r="H1051" s="72">
        <v>0</v>
      </c>
      <c r="I1051" s="73" t="e">
        <f t="shared" si="281"/>
        <v>#REF!</v>
      </c>
      <c r="J1051" s="67" t="e">
        <f>SUM(I1049:I1051)</f>
        <v>#REF!</v>
      </c>
      <c r="K1051" s="589">
        <v>14355</v>
      </c>
      <c r="L1051" s="590">
        <v>0</v>
      </c>
      <c r="M1051" s="73">
        <f t="shared" si="282"/>
        <v>0</v>
      </c>
      <c r="N1051" s="67">
        <f>SUM(M1049:M1051)</f>
        <v>0</v>
      </c>
      <c r="O1051" s="589">
        <v>0</v>
      </c>
      <c r="P1051" s="72">
        <v>0</v>
      </c>
      <c r="Q1051" s="73">
        <f t="shared" si="283"/>
        <v>0</v>
      </c>
      <c r="R1051" s="67">
        <f>SUM(Q1049:Q1051)</f>
        <v>0</v>
      </c>
      <c r="S1051" s="561"/>
    </row>
    <row r="1052" spans="1:19" ht="15.75" customHeight="1" x14ac:dyDescent="0.3">
      <c r="A1052" s="553" t="s">
        <v>1907</v>
      </c>
      <c r="B1052" s="67"/>
      <c r="C1052" s="67">
        <f t="shared" si="279"/>
        <v>-21200.021853805578</v>
      </c>
      <c r="D1052" s="72">
        <v>0</v>
      </c>
      <c r="E1052" s="73">
        <f t="shared" si="280"/>
        <v>0</v>
      </c>
      <c r="F1052" s="67"/>
      <c r="G1052" s="67" t="e">
        <f>#REF!</f>
        <v>#REF!</v>
      </c>
      <c r="H1052" s="72">
        <v>0</v>
      </c>
      <c r="I1052" s="73" t="e">
        <f t="shared" si="281"/>
        <v>#REF!</v>
      </c>
      <c r="J1052" s="67"/>
      <c r="K1052" s="589">
        <v>13129</v>
      </c>
      <c r="L1052" s="590">
        <v>0</v>
      </c>
      <c r="M1052" s="73">
        <f t="shared" si="282"/>
        <v>0</v>
      </c>
      <c r="N1052" s="67"/>
      <c r="O1052" s="589">
        <v>0</v>
      </c>
      <c r="P1052" s="72">
        <v>0</v>
      </c>
      <c r="Q1052" s="73">
        <f t="shared" si="283"/>
        <v>0</v>
      </c>
      <c r="R1052" s="67"/>
      <c r="S1052" s="561"/>
    </row>
    <row r="1053" spans="1:19" ht="15.75" customHeight="1" x14ac:dyDescent="0.3">
      <c r="A1053" s="553" t="s">
        <v>1908</v>
      </c>
      <c r="B1053" s="67"/>
      <c r="C1053" s="67">
        <f t="shared" si="279"/>
        <v>-33683.623408364103</v>
      </c>
      <c r="D1053" s="72">
        <v>0</v>
      </c>
      <c r="E1053" s="73">
        <f t="shared" si="280"/>
        <v>0</v>
      </c>
      <c r="F1053" s="67"/>
      <c r="G1053" s="67" t="e">
        <f>#REF!</f>
        <v>#REF!</v>
      </c>
      <c r="H1053" s="72">
        <v>0</v>
      </c>
      <c r="I1053" s="73" t="e">
        <f t="shared" si="281"/>
        <v>#REF!</v>
      </c>
      <c r="J1053" s="67"/>
      <c r="K1053" s="589">
        <v>12545</v>
      </c>
      <c r="L1053" s="590">
        <v>0</v>
      </c>
      <c r="M1053" s="73">
        <f t="shared" si="282"/>
        <v>0</v>
      </c>
      <c r="N1053" s="67"/>
      <c r="O1053" s="589">
        <v>0</v>
      </c>
      <c r="P1053" s="72">
        <v>0</v>
      </c>
      <c r="Q1053" s="73">
        <f t="shared" si="283"/>
        <v>0</v>
      </c>
      <c r="R1053" s="67"/>
      <c r="S1053" s="561"/>
    </row>
    <row r="1054" spans="1:19" ht="15.75" customHeight="1" x14ac:dyDescent="0.3">
      <c r="A1054" s="553" t="s">
        <v>2352</v>
      </c>
      <c r="B1054" s="67"/>
      <c r="C1054" s="67">
        <f t="shared" si="279"/>
        <v>-24805.827397585846</v>
      </c>
      <c r="D1054" s="72">
        <v>0</v>
      </c>
      <c r="E1054" s="73">
        <f t="shared" si="280"/>
        <v>0</v>
      </c>
      <c r="F1054" s="67">
        <f>SUM(E1052:E1054)</f>
        <v>0</v>
      </c>
      <c r="G1054" s="67" t="e">
        <f>#REF!</f>
        <v>#REF!</v>
      </c>
      <c r="H1054" s="72">
        <v>0</v>
      </c>
      <c r="I1054" s="73" t="e">
        <f t="shared" si="281"/>
        <v>#REF!</v>
      </c>
      <c r="J1054" s="67" t="e">
        <f>SUM(I1052:I1054)</f>
        <v>#REF!</v>
      </c>
      <c r="K1054" s="589">
        <v>9350</v>
      </c>
      <c r="L1054" s="590">
        <v>0</v>
      </c>
      <c r="M1054" s="73">
        <f t="shared" si="282"/>
        <v>0</v>
      </c>
      <c r="N1054" s="67">
        <f>SUM(M1052:M1054)</f>
        <v>0</v>
      </c>
      <c r="O1054" s="589">
        <v>0</v>
      </c>
      <c r="P1054" s="72">
        <v>0</v>
      </c>
      <c r="Q1054" s="73">
        <f t="shared" si="283"/>
        <v>0</v>
      </c>
      <c r="R1054" s="67">
        <f>SUM(Q1052:Q1054)</f>
        <v>0</v>
      </c>
      <c r="S1054" s="561"/>
    </row>
    <row r="1055" spans="1:19" ht="15.75" customHeight="1" x14ac:dyDescent="0.3">
      <c r="A1055" s="553" t="s">
        <v>2353</v>
      </c>
      <c r="B1055" s="67"/>
      <c r="C1055" s="67">
        <f t="shared" si="279"/>
        <v>2586.5256669178489</v>
      </c>
      <c r="D1055" s="72">
        <v>0</v>
      </c>
      <c r="E1055" s="73">
        <f t="shared" si="280"/>
        <v>0</v>
      </c>
      <c r="F1055" s="67"/>
      <c r="G1055" s="67" t="e">
        <f>#REF!</f>
        <v>#REF!</v>
      </c>
      <c r="H1055" s="72">
        <v>0</v>
      </c>
      <c r="I1055" s="73" t="e">
        <f t="shared" si="281"/>
        <v>#REF!</v>
      </c>
      <c r="J1055" s="67"/>
      <c r="K1055" s="589">
        <v>11649</v>
      </c>
      <c r="L1055" s="590">
        <v>0</v>
      </c>
      <c r="M1055" s="73">
        <f t="shared" si="282"/>
        <v>0</v>
      </c>
      <c r="N1055" s="67"/>
      <c r="O1055" s="589">
        <v>0</v>
      </c>
      <c r="P1055" s="72">
        <v>0</v>
      </c>
      <c r="Q1055" s="73">
        <f t="shared" si="283"/>
        <v>0</v>
      </c>
      <c r="R1055" s="67"/>
      <c r="S1055" s="561"/>
    </row>
    <row r="1056" spans="1:19" ht="15.75" customHeight="1" x14ac:dyDescent="0.3">
      <c r="A1056" s="553" t="s">
        <v>2354</v>
      </c>
      <c r="B1056" s="67"/>
      <c r="C1056" s="67">
        <f t="shared" si="279"/>
        <v>-7415</v>
      </c>
      <c r="D1056" s="72">
        <v>0</v>
      </c>
      <c r="E1056" s="73">
        <f t="shared" si="280"/>
        <v>0</v>
      </c>
      <c r="F1056" s="67"/>
      <c r="G1056" s="67" t="e">
        <f>#REF!</f>
        <v>#REF!</v>
      </c>
      <c r="H1056" s="72">
        <v>0</v>
      </c>
      <c r="I1056" s="73" t="e">
        <f t="shared" si="281"/>
        <v>#REF!</v>
      </c>
      <c r="J1056" s="67"/>
      <c r="K1056" s="589">
        <v>8035</v>
      </c>
      <c r="L1056" s="590">
        <v>0</v>
      </c>
      <c r="M1056" s="73">
        <f t="shared" si="282"/>
        <v>0</v>
      </c>
      <c r="N1056" s="67"/>
      <c r="O1056" s="589">
        <v>0</v>
      </c>
      <c r="P1056" s="72">
        <v>0</v>
      </c>
      <c r="Q1056" s="73">
        <f t="shared" si="283"/>
        <v>0</v>
      </c>
      <c r="R1056" s="67"/>
      <c r="S1056" s="561"/>
    </row>
    <row r="1057" spans="1:19" ht="15.75" customHeight="1" x14ac:dyDescent="0.3">
      <c r="A1057" s="553" t="s">
        <v>2355</v>
      </c>
      <c r="B1057" s="67"/>
      <c r="C1057" s="67">
        <f t="shared" si="279"/>
        <v>-8628</v>
      </c>
      <c r="D1057" s="72">
        <v>0</v>
      </c>
      <c r="E1057" s="73">
        <f t="shared" si="280"/>
        <v>0</v>
      </c>
      <c r="F1057" s="67">
        <f>SUM(E1055:E1057)</f>
        <v>0</v>
      </c>
      <c r="G1057" s="67" t="e">
        <f>#REF!</f>
        <v>#REF!</v>
      </c>
      <c r="H1057" s="72">
        <v>0</v>
      </c>
      <c r="I1057" s="73" t="e">
        <f t="shared" si="281"/>
        <v>#REF!</v>
      </c>
      <c r="J1057" s="67" t="e">
        <f>SUM(I1055:I1057)</f>
        <v>#REF!</v>
      </c>
      <c r="K1057" s="589">
        <v>8092</v>
      </c>
      <c r="L1057" s="590">
        <v>0</v>
      </c>
      <c r="M1057" s="73">
        <f t="shared" si="282"/>
        <v>0</v>
      </c>
      <c r="N1057" s="67">
        <f>SUM(M1055:M1057)</f>
        <v>0</v>
      </c>
      <c r="O1057" s="589">
        <v>0</v>
      </c>
      <c r="P1057" s="72">
        <v>0</v>
      </c>
      <c r="Q1057" s="73">
        <f t="shared" si="283"/>
        <v>0</v>
      </c>
      <c r="R1057" s="67">
        <f>SUM(Q1055:Q1057)</f>
        <v>0</v>
      </c>
      <c r="S1057" s="561"/>
    </row>
    <row r="1058" spans="1:19" ht="15.75" customHeight="1" x14ac:dyDescent="0.3">
      <c r="A1058" s="551"/>
      <c r="B1058" s="67"/>
      <c r="C1058" s="67"/>
      <c r="D1058" s="67"/>
      <c r="E1058" s="67"/>
      <c r="F1058" s="67"/>
      <c r="G1058" s="67"/>
      <c r="H1058" s="67"/>
      <c r="I1058" s="67"/>
      <c r="J1058" s="67"/>
      <c r="K1058" s="67"/>
      <c r="L1058" s="67"/>
      <c r="M1058" s="67"/>
      <c r="N1058" s="67"/>
      <c r="O1058" s="67"/>
      <c r="P1058" s="67"/>
      <c r="Q1058" s="67"/>
      <c r="R1058" s="67"/>
      <c r="S1058" s="561"/>
    </row>
    <row r="1059" spans="1:19" ht="15.75" customHeight="1" x14ac:dyDescent="0.3">
      <c r="A1059" s="551"/>
      <c r="B1059" s="67"/>
      <c r="C1059" s="67"/>
      <c r="D1059" s="67"/>
      <c r="E1059" s="67"/>
      <c r="F1059" s="67"/>
      <c r="G1059" s="67"/>
      <c r="H1059" s="67"/>
      <c r="I1059" s="67"/>
      <c r="J1059" s="67"/>
      <c r="K1059" s="67"/>
      <c r="L1059" s="67"/>
      <c r="M1059" s="67"/>
      <c r="N1059" s="67"/>
      <c r="O1059" s="67"/>
      <c r="P1059" s="67"/>
      <c r="Q1059" s="67"/>
      <c r="R1059" s="67"/>
      <c r="S1059" s="561"/>
    </row>
    <row r="1060" spans="1:19" ht="16.5" customHeight="1" thickBot="1" x14ac:dyDescent="0.35">
      <c r="A1060" s="554" t="s">
        <v>2356</v>
      </c>
      <c r="B1060" s="555"/>
      <c r="C1060" s="555">
        <f>SUM(C1046:C1057)</f>
        <v>-195985.4444118721</v>
      </c>
      <c r="D1060" s="555"/>
      <c r="E1060" s="567">
        <f>SUM(E1046:E1057)</f>
        <v>0</v>
      </c>
      <c r="F1060" s="555"/>
      <c r="G1060" s="555" t="e">
        <f>SUM(G1046:G1057)</f>
        <v>#REF!</v>
      </c>
      <c r="H1060" s="555" t="s">
        <v>2435</v>
      </c>
      <c r="I1060" s="567" t="e">
        <f>SUM(I1046:I1057)</f>
        <v>#REF!</v>
      </c>
      <c r="J1060" s="555"/>
      <c r="K1060" s="555">
        <f>SUM(K1046:K1057)</f>
        <v>149913</v>
      </c>
      <c r="L1060" s="555" t="s">
        <v>2435</v>
      </c>
      <c r="M1060" s="567">
        <f>SUM(M1046:M1057)</f>
        <v>0</v>
      </c>
      <c r="N1060" s="555"/>
      <c r="O1060" s="555">
        <f>(SUM(O1046:O1057))</f>
        <v>0</v>
      </c>
      <c r="P1060" s="555" t="s">
        <v>2435</v>
      </c>
      <c r="Q1060" s="567">
        <f>SUM(Q1046:Q1057)</f>
        <v>0</v>
      </c>
      <c r="R1060" s="555"/>
      <c r="S1060" s="565"/>
    </row>
  </sheetData>
  <scenarios current="0">
    <scenario name="Jan" count="1" user="Windows User" comment="Created by Windows User on 4/11/2013">
      <inputCells r="B280" val="57771.3688407242" numFmtId="37"/>
    </scenario>
  </scenarios>
  <autoFilter ref="A31:R821" xr:uid="{00000000-0009-0000-0000-00000C000000}"/>
  <mergeCells count="72">
    <mergeCell ref="B994:L994"/>
    <mergeCell ref="M994:P994"/>
    <mergeCell ref="B968:D968"/>
    <mergeCell ref="B987:P987"/>
    <mergeCell ref="B988:P988"/>
    <mergeCell ref="B989:P989"/>
    <mergeCell ref="B991:P991"/>
    <mergeCell ref="B992:P992"/>
    <mergeCell ref="B967:P967"/>
    <mergeCell ref="M913:O913"/>
    <mergeCell ref="AD913:AQ913"/>
    <mergeCell ref="AD914:AQ914"/>
    <mergeCell ref="B938:P938"/>
    <mergeCell ref="B939:F939"/>
    <mergeCell ref="G939:L939"/>
    <mergeCell ref="M939:O939"/>
    <mergeCell ref="P939:R939"/>
    <mergeCell ref="M940:O940"/>
    <mergeCell ref="B962:P962"/>
    <mergeCell ref="B963:P963"/>
    <mergeCell ref="B964:P964"/>
    <mergeCell ref="B966:P966"/>
    <mergeCell ref="B911:P911"/>
    <mergeCell ref="AD911:AQ911"/>
    <mergeCell ref="B912:F912"/>
    <mergeCell ref="G912:L912"/>
    <mergeCell ref="M912:O912"/>
    <mergeCell ref="P912:R912"/>
    <mergeCell ref="B910:P910"/>
    <mergeCell ref="AD910:AQ910"/>
    <mergeCell ref="AD876:AQ876"/>
    <mergeCell ref="AD878:AQ878"/>
    <mergeCell ref="B879:P879"/>
    <mergeCell ref="AD879:AQ879"/>
    <mergeCell ref="B880:P880"/>
    <mergeCell ref="B881:P881"/>
    <mergeCell ref="B883:P883"/>
    <mergeCell ref="B884:P884"/>
    <mergeCell ref="B908:P908"/>
    <mergeCell ref="B909:P909"/>
    <mergeCell ref="AD909:AQ909"/>
    <mergeCell ref="AD875:AQ875"/>
    <mergeCell ref="B826:P826"/>
    <mergeCell ref="B827:P827"/>
    <mergeCell ref="B828:P828"/>
    <mergeCell ref="B829:P829"/>
    <mergeCell ref="B853:P853"/>
    <mergeCell ref="B854:P854"/>
    <mergeCell ref="B855:P855"/>
    <mergeCell ref="B856:P856"/>
    <mergeCell ref="B857:P857"/>
    <mergeCell ref="B858:P858"/>
    <mergeCell ref="AD874:AQ874"/>
    <mergeCell ref="B825:P825"/>
    <mergeCell ref="A760:R760"/>
    <mergeCell ref="A761:R761"/>
    <mergeCell ref="A762:R762"/>
    <mergeCell ref="A763:R763"/>
    <mergeCell ref="A765:R765"/>
    <mergeCell ref="A801:R801"/>
    <mergeCell ref="A802:R802"/>
    <mergeCell ref="A803:R803"/>
    <mergeCell ref="A804:R804"/>
    <mergeCell ref="A806:R806"/>
    <mergeCell ref="B824:P824"/>
    <mergeCell ref="V345:AM345"/>
    <mergeCell ref="A8:R8"/>
    <mergeCell ref="A2:R2"/>
    <mergeCell ref="A3:R3"/>
    <mergeCell ref="A4:R4"/>
    <mergeCell ref="A5:R5"/>
    <mergeCell ref="A6:R6"/>
  </mergeCells>
  <conditionalFormatting sqref="P918:P931">
    <cfRule type="cellIs" dxfId="15" priority="3" operator="lessThan">
      <formula>0</formula>
    </cfRule>
    <cfRule type="cellIs" dxfId="14" priority="4" operator="greaterThan">
      <formula>0</formula>
    </cfRule>
  </conditionalFormatting>
  <conditionalFormatting sqref="P945:P956">
    <cfRule type="cellIs" dxfId="13" priority="1" operator="lessThan">
      <formula>0</formula>
    </cfRule>
    <cfRule type="cellIs" dxfId="12" priority="2" operator="greaterThan">
      <formula>0</formula>
    </cfRule>
  </conditionalFormatting>
  <printOptions horizontalCentered="1"/>
  <pageMargins left="0.25" right="0.25" top="0.25" bottom="0.25" header="0" footer="0"/>
  <pageSetup paperSize="17" scale="82" orientation="landscape" r:id="rId1"/>
  <headerFooter alignWithMargins="0"/>
  <rowBreaks count="5" manualBreakCount="5">
    <brk id="757" max="17" man="1"/>
    <brk id="797" max="17" man="1"/>
    <brk id="850" max="18" man="1"/>
    <brk id="878" max="18" man="1"/>
    <brk id="846" min="28" max="46"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AX1037"/>
  <sheetViews>
    <sheetView zoomScale="70" zoomScaleNormal="70" workbookViewId="0">
      <selection activeCell="L681" sqref="L681"/>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9.453125" bestFit="1" customWidth="1"/>
    <col min="9" max="9" width="11.08984375" customWidth="1"/>
    <col min="10"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19" max="20" width="9.453125" bestFit="1" customWidth="1"/>
    <col min="22" max="22" width="8.81640625" customWidth="1"/>
    <col min="29" max="29" width="11.54296875" customWidth="1"/>
    <col min="49" max="49" width="18.1796875" customWidth="1"/>
    <col min="50" max="50" width="17.6328125" bestFit="1" customWidth="1"/>
  </cols>
  <sheetData>
    <row r="1" spans="1:36" x14ac:dyDescent="0.3">
      <c r="A1" s="10"/>
      <c r="B1" s="10"/>
      <c r="C1" s="10"/>
      <c r="D1" s="10"/>
      <c r="E1" s="10"/>
      <c r="F1" s="10"/>
      <c r="G1" s="10"/>
      <c r="H1" s="10"/>
      <c r="I1" s="10"/>
      <c r="J1" s="10"/>
      <c r="K1" s="10"/>
      <c r="L1" s="10"/>
      <c r="M1" s="10"/>
      <c r="N1" s="10"/>
      <c r="O1" s="10"/>
      <c r="P1" s="10"/>
      <c r="Q1" s="680" t="s">
        <v>2920</v>
      </c>
      <c r="R1" s="76">
        <f ca="1">NOW()</f>
        <v>44881.729634027775</v>
      </c>
    </row>
    <row r="2" spans="1:36" ht="19.5" customHeight="1" x14ac:dyDescent="0.35">
      <c r="A2" s="779" t="s">
        <v>43</v>
      </c>
      <c r="B2" s="779"/>
      <c r="C2" s="779"/>
      <c r="D2" s="779"/>
      <c r="E2" s="779"/>
      <c r="F2" s="779"/>
      <c r="G2" s="779"/>
      <c r="H2" s="779"/>
      <c r="I2" s="779"/>
      <c r="J2" s="779"/>
      <c r="K2" s="779"/>
      <c r="L2" s="779"/>
      <c r="M2" s="779"/>
      <c r="N2" s="779"/>
      <c r="O2" s="779"/>
      <c r="P2" s="779"/>
      <c r="Q2" s="779"/>
      <c r="R2" s="779"/>
    </row>
    <row r="3" spans="1:36" ht="19.5" customHeight="1" x14ac:dyDescent="0.35">
      <c r="A3" s="779" t="s">
        <v>1988</v>
      </c>
      <c r="B3" s="779"/>
      <c r="C3" s="779"/>
      <c r="D3" s="779"/>
      <c r="E3" s="779"/>
      <c r="F3" s="779"/>
      <c r="G3" s="779"/>
      <c r="H3" s="779"/>
      <c r="I3" s="779"/>
      <c r="J3" s="779"/>
      <c r="K3" s="779"/>
      <c r="L3" s="779"/>
      <c r="M3" s="779"/>
      <c r="N3" s="779"/>
      <c r="O3" s="779"/>
      <c r="P3" s="779"/>
      <c r="Q3" s="779"/>
      <c r="R3" s="779"/>
    </row>
    <row r="4" spans="1:36" ht="19.5" customHeight="1" x14ac:dyDescent="0.35">
      <c r="A4" s="780" t="s">
        <v>544</v>
      </c>
      <c r="B4" s="780"/>
      <c r="C4" s="780"/>
      <c r="D4" s="780"/>
      <c r="E4" s="780"/>
      <c r="F4" s="780"/>
      <c r="G4" s="780"/>
      <c r="H4" s="780"/>
      <c r="I4" s="780"/>
      <c r="J4" s="780"/>
      <c r="K4" s="780"/>
      <c r="L4" s="780"/>
      <c r="M4" s="780"/>
      <c r="N4" s="780"/>
      <c r="O4" s="780"/>
      <c r="P4" s="780"/>
      <c r="Q4" s="780"/>
      <c r="R4" s="780"/>
    </row>
    <row r="5" spans="1:36" ht="19.5" customHeight="1" x14ac:dyDescent="0.35">
      <c r="A5" s="781">
        <v>2014</v>
      </c>
      <c r="B5" s="781"/>
      <c r="C5" s="781"/>
      <c r="D5" s="781"/>
      <c r="E5" s="781"/>
      <c r="F5" s="781"/>
      <c r="G5" s="781"/>
      <c r="H5" s="781"/>
      <c r="I5" s="781"/>
      <c r="J5" s="781"/>
      <c r="K5" s="781"/>
      <c r="L5" s="781"/>
      <c r="M5" s="781"/>
      <c r="N5" s="781"/>
      <c r="O5" s="781"/>
      <c r="P5" s="781"/>
      <c r="Q5" s="781"/>
      <c r="R5" s="781"/>
    </row>
    <row r="6" spans="1:36" ht="19.5" customHeight="1" x14ac:dyDescent="0.35">
      <c r="A6" s="780" t="s">
        <v>3003</v>
      </c>
      <c r="B6" s="780"/>
      <c r="C6" s="780"/>
      <c r="D6" s="780"/>
      <c r="E6" s="780"/>
      <c r="F6" s="780"/>
      <c r="G6" s="780"/>
      <c r="H6" s="780"/>
      <c r="I6" s="780"/>
      <c r="J6" s="780"/>
      <c r="K6" s="780"/>
      <c r="L6" s="780"/>
      <c r="M6" s="780"/>
      <c r="N6" s="780"/>
      <c r="O6" s="780"/>
      <c r="P6" s="780"/>
      <c r="Q6" s="780"/>
      <c r="R6" s="780"/>
    </row>
    <row r="7" spans="1:36" ht="19.5" customHeight="1" x14ac:dyDescent="0.35">
      <c r="A7" s="434"/>
      <c r="B7" s="434"/>
      <c r="C7" s="434"/>
      <c r="D7" s="434"/>
      <c r="E7" s="434"/>
      <c r="F7" s="434"/>
      <c r="G7" s="434"/>
      <c r="H7" s="434"/>
      <c r="I7" s="434"/>
      <c r="J7" s="434"/>
      <c r="K7" s="434"/>
      <c r="L7" s="434"/>
      <c r="M7" s="434"/>
      <c r="N7" s="434"/>
      <c r="O7" s="434"/>
      <c r="P7" s="434"/>
      <c r="Q7" s="434"/>
      <c r="R7" s="434"/>
    </row>
    <row r="8" spans="1:36" ht="15.75" customHeight="1" x14ac:dyDescent="0.3">
      <c r="A8" s="778" t="s">
        <v>3026</v>
      </c>
      <c r="B8" s="778"/>
      <c r="C8" s="778"/>
      <c r="D8" s="778"/>
      <c r="E8" s="778"/>
      <c r="F8" s="778"/>
      <c r="G8" s="778"/>
      <c r="H8" s="778"/>
      <c r="I8" s="778"/>
      <c r="J8" s="778"/>
      <c r="K8" s="778"/>
      <c r="L8" s="778"/>
      <c r="M8" s="778"/>
      <c r="N8" s="778"/>
      <c r="O8" s="778"/>
      <c r="P8" s="778"/>
      <c r="Q8" s="778"/>
      <c r="R8" s="778"/>
    </row>
    <row r="9" spans="1:36" ht="15.75" customHeight="1" x14ac:dyDescent="0.3">
      <c r="A9" s="1"/>
      <c r="B9" s="220"/>
      <c r="C9" s="220"/>
      <c r="D9" s="220"/>
      <c r="E9" s="220"/>
      <c r="F9" s="220"/>
      <c r="G9" s="220"/>
      <c r="H9" s="220"/>
      <c r="I9" s="220"/>
      <c r="J9" s="220"/>
      <c r="K9" s="220"/>
      <c r="L9" s="220"/>
      <c r="M9" s="220"/>
      <c r="N9" s="220"/>
      <c r="O9" s="220"/>
      <c r="P9" s="220"/>
      <c r="Q9" s="220"/>
      <c r="R9" s="220"/>
    </row>
    <row r="10" spans="1:36" ht="15.75"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36"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row>
    <row r="12" spans="1:36" ht="16.5" customHeight="1" thickBot="1" x14ac:dyDescent="0.35">
      <c r="A12" s="231"/>
      <c r="B12" s="232"/>
      <c r="C12" s="232"/>
      <c r="D12" s="232"/>
      <c r="E12" s="233"/>
      <c r="F12" s="232"/>
      <c r="G12" s="232"/>
      <c r="H12" s="232"/>
      <c r="I12" s="233"/>
      <c r="J12" s="232"/>
      <c r="K12" s="232"/>
      <c r="L12" s="232"/>
      <c r="M12" s="233"/>
      <c r="N12" s="232"/>
      <c r="O12" s="232"/>
      <c r="P12" s="232"/>
      <c r="Q12" s="233"/>
      <c r="R12" s="233"/>
    </row>
    <row r="13" spans="1:36" ht="15.75" customHeight="1" x14ac:dyDescent="0.3">
      <c r="A13" s="234" t="s">
        <v>1277</v>
      </c>
      <c r="B13" s="172">
        <f>+B797</f>
        <v>54644</v>
      </c>
      <c r="C13" s="172">
        <f>+C797</f>
        <v>73683</v>
      </c>
      <c r="D13" s="172">
        <f>+D797</f>
        <v>123825</v>
      </c>
      <c r="E13" s="15">
        <f>SUM(B13:D13)</f>
        <v>252152</v>
      </c>
      <c r="F13" s="172">
        <f>+F797</f>
        <v>164245</v>
      </c>
      <c r="G13" s="172">
        <f>+G797</f>
        <v>187340</v>
      </c>
      <c r="H13" s="172">
        <f>+H797</f>
        <v>194295</v>
      </c>
      <c r="I13" s="15">
        <f t="shared" ref="I13:I19" si="0">SUM(F13:H13)</f>
        <v>545880</v>
      </c>
      <c r="J13" s="172">
        <f>+J797</f>
        <v>183511</v>
      </c>
      <c r="K13" s="172">
        <f>+K797</f>
        <v>165587</v>
      </c>
      <c r="L13" s="172">
        <f>+L797</f>
        <v>114740</v>
      </c>
      <c r="M13" s="15">
        <f t="shared" ref="M13:M20" si="1">SUM(J13:L13)</f>
        <v>463838</v>
      </c>
      <c r="N13" s="172">
        <f>+N797</f>
        <v>110496</v>
      </c>
      <c r="O13" s="172">
        <f>+O797</f>
        <v>82300</v>
      </c>
      <c r="P13" s="172">
        <f>+P797</f>
        <v>71294</v>
      </c>
      <c r="Q13" s="29">
        <f t="shared" ref="Q13:Q19" si="2">SUM(N13:P13)</f>
        <v>264090</v>
      </c>
      <c r="R13" s="15">
        <f t="shared" ref="R13:R20" si="3">+E13+I13+M13+Q13</f>
        <v>1525960</v>
      </c>
      <c r="S13">
        <v>1525991</v>
      </c>
      <c r="T13">
        <f>+R13-S13</f>
        <v>-31</v>
      </c>
      <c r="V13" s="617"/>
      <c r="W13" s="617"/>
      <c r="X13" s="617"/>
      <c r="Z13" s="617"/>
      <c r="AA13" s="617"/>
      <c r="AB13" s="617"/>
      <c r="AD13" s="617"/>
      <c r="AE13" s="617"/>
      <c r="AF13" s="617"/>
      <c r="AH13" s="617"/>
      <c r="AI13" s="617"/>
      <c r="AJ13" s="617"/>
    </row>
    <row r="14" spans="1:36" ht="15.75" customHeight="1" x14ac:dyDescent="0.3">
      <c r="A14" s="234" t="s">
        <v>1278</v>
      </c>
      <c r="B14" s="172">
        <f>B25+B60+B127+B271+B406+B453+B495+B548+B558+B594+B638+B648+B682+B729</f>
        <v>739</v>
      </c>
      <c r="C14" s="172">
        <f>C25+C60+C127+C271+C406+C453+C495+C548+C558+C594+C638+C648+C682+C729</f>
        <v>1283</v>
      </c>
      <c r="D14" s="172">
        <f>D25+D60+D127+D271+D406+D453+D495+D548+D558+D594+D638+D648+D682+D729</f>
        <v>2185</v>
      </c>
      <c r="E14" s="15">
        <f t="shared" ref="E14:E19" si="4">SUM(B14:D14)</f>
        <v>4207</v>
      </c>
      <c r="F14" s="172">
        <f>F25+F60+F127+F271+F406+F453+F495+F548+F558+F594+F638+F648+F682+F729</f>
        <v>2959</v>
      </c>
      <c r="G14" s="172">
        <f>G25+G60+G127+G271+G406+G453+G495+G548+G558+G594+G638+G648+G682+G729</f>
        <v>3425</v>
      </c>
      <c r="H14" s="172">
        <f>H25+H60+H127+H271+H406+H453+H495+H548+H558+H594+H638+H648+H682+H729</f>
        <v>3464</v>
      </c>
      <c r="I14" s="15">
        <f t="shared" si="0"/>
        <v>9848</v>
      </c>
      <c r="J14" s="172">
        <f>J25+J60+J127+J271+J406+J453+J495+J548+J558+J594+J638+J648+J682+J729</f>
        <v>3382</v>
      </c>
      <c r="K14" s="172">
        <f>K25+K60+K127+K271+K406+K453+K495+K548+K558+K594+K638+K648+K682+K729</f>
        <v>2663</v>
      </c>
      <c r="L14" s="172">
        <f>L25+L60+L127+L271+L406+L453+L495+L548+L558+L594+L638+L648+L682+L729</f>
        <v>2559</v>
      </c>
      <c r="M14" s="15">
        <f t="shared" si="1"/>
        <v>8604</v>
      </c>
      <c r="N14" s="172">
        <f>N25+N60+N127+N271+N406+N453+N495+N548+N558+N594+N638+N648+N682+N729</f>
        <v>2343</v>
      </c>
      <c r="O14" s="172">
        <f>O25+O60+O127+O271+O406+O453+O495+O548+O558+O594+O638+O648+O682+O729</f>
        <v>1892</v>
      </c>
      <c r="P14" s="172">
        <f>P25+P60+P127+P271+P406+P453+P495+P548+P558+P594+P638+P648+P682+P729</f>
        <v>1423</v>
      </c>
      <c r="Q14" s="29">
        <f t="shared" si="2"/>
        <v>5658</v>
      </c>
      <c r="R14" s="15">
        <f t="shared" si="3"/>
        <v>28317</v>
      </c>
    </row>
    <row r="15" spans="1:36" ht="15.75" customHeight="1" x14ac:dyDescent="0.3">
      <c r="A15" s="234" t="s">
        <v>397</v>
      </c>
      <c r="B15" s="172">
        <f>B266</f>
        <v>0</v>
      </c>
      <c r="C15" s="172">
        <f>C266</f>
        <v>1766</v>
      </c>
      <c r="D15" s="172">
        <f>D266</f>
        <v>1290</v>
      </c>
      <c r="E15" s="15">
        <f t="shared" si="4"/>
        <v>3056</v>
      </c>
      <c r="F15" s="172">
        <f>F266</f>
        <v>1125</v>
      </c>
      <c r="G15" s="172">
        <f>G266</f>
        <v>1171</v>
      </c>
      <c r="H15" s="172">
        <f>H266</f>
        <v>2262</v>
      </c>
      <c r="I15" s="15">
        <f t="shared" si="0"/>
        <v>4558</v>
      </c>
      <c r="J15" s="172">
        <f>J266</f>
        <v>2262</v>
      </c>
      <c r="K15" s="172">
        <f>K266</f>
        <v>1003</v>
      </c>
      <c r="L15" s="172">
        <f>L266</f>
        <v>587</v>
      </c>
      <c r="M15" s="15">
        <f t="shared" si="1"/>
        <v>3852</v>
      </c>
      <c r="N15" s="172">
        <f>N266</f>
        <v>1897</v>
      </c>
      <c r="O15" s="172">
        <f>O266</f>
        <v>3570</v>
      </c>
      <c r="P15" s="172">
        <f>P266</f>
        <v>1040</v>
      </c>
      <c r="Q15" s="29">
        <f t="shared" si="2"/>
        <v>6507</v>
      </c>
      <c r="R15" s="15">
        <f t="shared" si="3"/>
        <v>17973</v>
      </c>
    </row>
    <row r="16" spans="1:36" ht="15.75" customHeight="1" x14ac:dyDescent="0.3">
      <c r="A16" s="235" t="s">
        <v>967</v>
      </c>
      <c r="B16" s="172">
        <f>+B267</f>
        <v>0</v>
      </c>
      <c r="C16" s="172">
        <f>+C267</f>
        <v>0</v>
      </c>
      <c r="D16" s="172">
        <f>+D267</f>
        <v>0</v>
      </c>
      <c r="E16" s="15">
        <f t="shared" si="4"/>
        <v>0</v>
      </c>
      <c r="F16" s="172">
        <f>+F267</f>
        <v>0</v>
      </c>
      <c r="G16" s="172">
        <f>+G267</f>
        <v>0</v>
      </c>
      <c r="H16" s="172">
        <f>+H267</f>
        <v>0</v>
      </c>
      <c r="I16" s="15">
        <f t="shared" si="0"/>
        <v>0</v>
      </c>
      <c r="J16" s="172">
        <f>+J267</f>
        <v>0</v>
      </c>
      <c r="K16" s="172">
        <f>+K267</f>
        <v>0</v>
      </c>
      <c r="L16" s="172">
        <f>+L267</f>
        <v>0</v>
      </c>
      <c r="M16" s="15">
        <f t="shared" si="1"/>
        <v>0</v>
      </c>
      <c r="N16" s="172">
        <f>+N267</f>
        <v>0</v>
      </c>
      <c r="O16" s="172">
        <f>+O267</f>
        <v>0</v>
      </c>
      <c r="P16" s="172">
        <f>+P267</f>
        <v>0</v>
      </c>
      <c r="Q16" s="29">
        <f t="shared" si="2"/>
        <v>0</v>
      </c>
      <c r="R16" s="15">
        <f t="shared" si="3"/>
        <v>0</v>
      </c>
    </row>
    <row r="17" spans="1:20" ht="15.75" customHeight="1" x14ac:dyDescent="0.3">
      <c r="A17" s="236" t="s">
        <v>1176</v>
      </c>
      <c r="B17" s="172">
        <f>B270</f>
        <v>54111</v>
      </c>
      <c r="C17" s="172">
        <f>C270</f>
        <v>52725</v>
      </c>
      <c r="D17" s="172">
        <f>D270</f>
        <v>48127</v>
      </c>
      <c r="E17" s="15">
        <f t="shared" si="4"/>
        <v>154963</v>
      </c>
      <c r="F17" s="172">
        <f>F270</f>
        <v>9835</v>
      </c>
      <c r="G17" s="172">
        <f>G270</f>
        <v>1525</v>
      </c>
      <c r="H17" s="172">
        <f>H270</f>
        <v>0</v>
      </c>
      <c r="I17" s="15">
        <f t="shared" si="0"/>
        <v>11360</v>
      </c>
      <c r="J17" s="172">
        <f>J270</f>
        <v>0</v>
      </c>
      <c r="K17" s="172">
        <f>K270</f>
        <v>0</v>
      </c>
      <c r="L17" s="172">
        <f>L270</f>
        <v>27580</v>
      </c>
      <c r="M17" s="15">
        <f t="shared" si="1"/>
        <v>27580</v>
      </c>
      <c r="N17" s="172">
        <f>N270</f>
        <v>5000</v>
      </c>
      <c r="O17" s="172">
        <f>O270</f>
        <v>48000</v>
      </c>
      <c r="P17" s="172">
        <f>P270</f>
        <v>40000</v>
      </c>
      <c r="Q17" s="29">
        <f t="shared" si="2"/>
        <v>93000</v>
      </c>
      <c r="R17" s="15">
        <f t="shared" si="3"/>
        <v>286903</v>
      </c>
    </row>
    <row r="18" spans="1:20" ht="15.75" customHeight="1" x14ac:dyDescent="0.3">
      <c r="A18" s="236" t="s">
        <v>662</v>
      </c>
      <c r="B18" s="172">
        <f>B282</f>
        <v>-26551</v>
      </c>
      <c r="C18" s="172">
        <f>C282</f>
        <v>0</v>
      </c>
      <c r="D18" s="172">
        <f>D282</f>
        <v>0</v>
      </c>
      <c r="E18" s="15">
        <f t="shared" si="4"/>
        <v>-26551</v>
      </c>
      <c r="F18" s="172">
        <f>F282</f>
        <v>-359</v>
      </c>
      <c r="G18" s="172">
        <f>G282</f>
        <v>-9966</v>
      </c>
      <c r="H18" s="172">
        <f>H282</f>
        <v>-64683</v>
      </c>
      <c r="I18" s="15">
        <f t="shared" si="0"/>
        <v>-75008</v>
      </c>
      <c r="J18" s="172">
        <f>J282</f>
        <v>-93862</v>
      </c>
      <c r="K18" s="172">
        <f>K282</f>
        <v>-67548</v>
      </c>
      <c r="L18" s="172">
        <f>L282</f>
        <v>-5520</v>
      </c>
      <c r="M18" s="15">
        <f t="shared" si="1"/>
        <v>-166930</v>
      </c>
      <c r="N18" s="172">
        <f>N282</f>
        <v>0</v>
      </c>
      <c r="O18" s="172">
        <f>O282</f>
        <v>0</v>
      </c>
      <c r="P18" s="172">
        <f>P282</f>
        <v>0</v>
      </c>
      <c r="Q18" s="29">
        <f t="shared" si="2"/>
        <v>0</v>
      </c>
      <c r="R18" s="15">
        <f t="shared" si="3"/>
        <v>-268489</v>
      </c>
    </row>
    <row r="19" spans="1:20" ht="16.5" customHeight="1" thickBot="1" x14ac:dyDescent="0.35">
      <c r="A19" s="237" t="s">
        <v>851</v>
      </c>
      <c r="B19" s="238">
        <f>(B29)</f>
        <v>82943</v>
      </c>
      <c r="C19" s="238">
        <f>(C29)</f>
        <v>129457</v>
      </c>
      <c r="D19" s="238">
        <f>(D29)</f>
        <v>175427</v>
      </c>
      <c r="E19" s="16">
        <f t="shared" si="4"/>
        <v>387827</v>
      </c>
      <c r="F19" s="238">
        <f>(F29)</f>
        <v>177805</v>
      </c>
      <c r="G19" s="238">
        <f>(G29)</f>
        <v>183495</v>
      </c>
      <c r="H19" s="238">
        <f>(H29)</f>
        <v>135338</v>
      </c>
      <c r="I19" s="16">
        <f t="shared" si="0"/>
        <v>496638</v>
      </c>
      <c r="J19" s="238">
        <f>(J29)</f>
        <v>95293</v>
      </c>
      <c r="K19" s="238">
        <f>(K29)</f>
        <v>101705</v>
      </c>
      <c r="L19" s="238">
        <f>(L29)</f>
        <v>139946</v>
      </c>
      <c r="M19" s="16">
        <f t="shared" si="1"/>
        <v>336944</v>
      </c>
      <c r="N19" s="238">
        <f>(N29)</f>
        <v>119736</v>
      </c>
      <c r="O19" s="238">
        <f>(O29)</f>
        <v>135762</v>
      </c>
      <c r="P19" s="238">
        <f>(P29)</f>
        <v>113757</v>
      </c>
      <c r="Q19" s="30">
        <f t="shared" si="2"/>
        <v>369255</v>
      </c>
      <c r="R19" s="16">
        <f t="shared" si="3"/>
        <v>1590664</v>
      </c>
    </row>
    <row r="20" spans="1:20" ht="16.5" customHeight="1" thickBot="1" x14ac:dyDescent="0.35">
      <c r="A20" s="237" t="s">
        <v>496</v>
      </c>
      <c r="B20" s="238">
        <v>84467</v>
      </c>
      <c r="C20" s="238">
        <v>130265</v>
      </c>
      <c r="D20" s="238">
        <v>176237</v>
      </c>
      <c r="E20" s="16">
        <f>SUM(B20:D20)</f>
        <v>390969</v>
      </c>
      <c r="F20" s="238">
        <v>177897</v>
      </c>
      <c r="G20" s="238">
        <v>183603</v>
      </c>
      <c r="H20" s="238">
        <v>133051</v>
      </c>
      <c r="I20" s="16">
        <f>SUM(F20:H20)</f>
        <v>494551</v>
      </c>
      <c r="J20" s="238">
        <v>92532</v>
      </c>
      <c r="K20" s="238">
        <v>99382</v>
      </c>
      <c r="L20" s="238">
        <v>140046</v>
      </c>
      <c r="M20" s="16">
        <f t="shared" si="1"/>
        <v>331960</v>
      </c>
      <c r="N20" s="238">
        <f>+N19</f>
        <v>119736</v>
      </c>
      <c r="O20" s="238">
        <f>+O19</f>
        <v>135762</v>
      </c>
      <c r="P20" s="238">
        <f>+P19</f>
        <v>113757</v>
      </c>
      <c r="Q20" s="30">
        <f>SUM(N20:P20)</f>
        <v>369255</v>
      </c>
      <c r="R20" s="16">
        <f t="shared" si="3"/>
        <v>1586735</v>
      </c>
    </row>
    <row r="21" spans="1:20" ht="15.75" customHeight="1" x14ac:dyDescent="0.3">
      <c r="A21" s="172"/>
      <c r="B21" s="172"/>
      <c r="C21" s="172"/>
      <c r="D21" s="172"/>
      <c r="E21" s="172"/>
      <c r="F21" s="172"/>
      <c r="G21" s="172"/>
      <c r="H21" s="172"/>
      <c r="I21" s="172"/>
      <c r="J21" s="172"/>
      <c r="K21" s="172"/>
      <c r="L21" s="172"/>
      <c r="M21" s="172"/>
      <c r="N21" s="172"/>
      <c r="O21" s="172"/>
      <c r="P21" s="172"/>
      <c r="Q21" s="172"/>
      <c r="R21" s="17"/>
    </row>
    <row r="22" spans="1:20" ht="15.75" customHeight="1" thickBot="1" x14ac:dyDescent="0.35">
      <c r="A22" s="172"/>
      <c r="B22" s="172"/>
      <c r="C22" s="172"/>
      <c r="D22" s="172"/>
      <c r="E22" s="172"/>
      <c r="F22" s="239" t="s">
        <v>852</v>
      </c>
      <c r="G22" s="239" t="s">
        <v>852</v>
      </c>
      <c r="H22" s="172"/>
      <c r="I22" s="172"/>
      <c r="J22" s="172"/>
      <c r="K22" s="172"/>
      <c r="L22" s="172"/>
      <c r="M22" s="172"/>
      <c r="N22" s="239" t="s">
        <v>852</v>
      </c>
      <c r="O22" s="239" t="s">
        <v>852</v>
      </c>
      <c r="P22" s="239" t="s">
        <v>852</v>
      </c>
      <c r="Q22" s="239"/>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41"/>
      <c r="B24" s="242"/>
      <c r="C24" s="242"/>
      <c r="D24" s="242"/>
      <c r="E24" s="243"/>
      <c r="F24" s="242"/>
      <c r="G24" s="242"/>
      <c r="H24" s="242"/>
      <c r="I24" s="243"/>
      <c r="J24" s="242"/>
      <c r="K24" s="242"/>
      <c r="L24" s="242"/>
      <c r="M24" s="243"/>
      <c r="N24" s="242"/>
      <c r="O24" s="242"/>
      <c r="P24" s="242"/>
      <c r="Q24" s="243"/>
      <c r="R24" s="19"/>
    </row>
    <row r="25" spans="1:20" ht="16.5" customHeight="1" thickBot="1" x14ac:dyDescent="0.35">
      <c r="A25" s="244" t="s">
        <v>853</v>
      </c>
      <c r="B25" s="238">
        <v>97</v>
      </c>
      <c r="C25" s="238">
        <v>148</v>
      </c>
      <c r="D25" s="238">
        <v>274</v>
      </c>
      <c r="E25" s="14">
        <f>SUM(B25:D25)</f>
        <v>519</v>
      </c>
      <c r="F25" s="238">
        <v>367</v>
      </c>
      <c r="G25" s="238">
        <v>425</v>
      </c>
      <c r="H25" s="238">
        <v>417</v>
      </c>
      <c r="I25" s="14">
        <f>SUM(F25:H25)</f>
        <v>1209</v>
      </c>
      <c r="J25" s="238">
        <v>416</v>
      </c>
      <c r="K25" s="238">
        <v>334</v>
      </c>
      <c r="L25" s="238">
        <v>316</v>
      </c>
      <c r="M25" s="14">
        <f>SUM(J25:L25)</f>
        <v>1066</v>
      </c>
      <c r="N25" s="238">
        <v>285</v>
      </c>
      <c r="O25" s="238">
        <v>235</v>
      </c>
      <c r="P25" s="238">
        <v>186</v>
      </c>
      <c r="Q25" s="14">
        <f>SUM(N25:P25)</f>
        <v>706</v>
      </c>
      <c r="R25" s="16">
        <f>+E25+I25+M25+Q25</f>
        <v>3500</v>
      </c>
    </row>
    <row r="26" spans="1:20" ht="16.5" customHeight="1" thickBot="1" x14ac:dyDescent="0.35">
      <c r="A26" s="22"/>
      <c r="B26" s="242"/>
      <c r="C26" s="242"/>
      <c r="D26" s="242"/>
      <c r="E26" s="21"/>
      <c r="F26" s="242"/>
      <c r="G26" s="242"/>
      <c r="H26" s="242"/>
      <c r="I26" s="21"/>
      <c r="J26" s="242"/>
      <c r="K26" s="242"/>
      <c r="L26" s="242"/>
      <c r="M26" s="21"/>
      <c r="N26" s="242"/>
      <c r="O26" s="242"/>
      <c r="P26" s="242"/>
      <c r="Q26" s="21"/>
      <c r="R26" s="13"/>
    </row>
    <row r="27" spans="1:20" ht="15.75" customHeight="1" x14ac:dyDescent="0.3">
      <c r="A27" s="234" t="s">
        <v>2011</v>
      </c>
      <c r="B27" s="172">
        <f>B25</f>
        <v>97</v>
      </c>
      <c r="C27" s="172">
        <f>C25</f>
        <v>148</v>
      </c>
      <c r="D27" s="172">
        <f>D25</f>
        <v>274</v>
      </c>
      <c r="E27" s="14">
        <f>SUM(B27:D27)</f>
        <v>519</v>
      </c>
      <c r="F27" s="172">
        <f>F25</f>
        <v>367</v>
      </c>
      <c r="G27" s="172">
        <f>G25</f>
        <v>425</v>
      </c>
      <c r="H27" s="172">
        <f>H25</f>
        <v>417</v>
      </c>
      <c r="I27" s="14">
        <f>SUM(F27:H27)</f>
        <v>1209</v>
      </c>
      <c r="J27" s="172">
        <f>J25</f>
        <v>416</v>
      </c>
      <c r="K27" s="172">
        <f>K25</f>
        <v>334</v>
      </c>
      <c r="L27" s="172">
        <f>L25</f>
        <v>316</v>
      </c>
      <c r="M27" s="14">
        <f>SUM(J27:L27)</f>
        <v>1066</v>
      </c>
      <c r="N27" s="172">
        <f>N25</f>
        <v>285</v>
      </c>
      <c r="O27" s="172">
        <f>O25</f>
        <v>235</v>
      </c>
      <c r="P27" s="172">
        <f>P25</f>
        <v>186</v>
      </c>
      <c r="Q27" s="28">
        <f>SUM(N27:P27)</f>
        <v>706</v>
      </c>
      <c r="R27" s="14">
        <f>+E27+I27+M27+Q27</f>
        <v>3500</v>
      </c>
    </row>
    <row r="28" spans="1:20" ht="15.75" customHeight="1" x14ac:dyDescent="0.3">
      <c r="A28" s="234" t="s">
        <v>1897</v>
      </c>
      <c r="B28" s="172">
        <f>(B27/B10)/1.983</f>
        <v>1.5779285214647079</v>
      </c>
      <c r="C28" s="172">
        <f>(C27/C10)/1.983</f>
        <v>2.6655140119587926</v>
      </c>
      <c r="D28" s="172">
        <f>(D27/D10)/1.983</f>
        <v>4.457241390529175</v>
      </c>
      <c r="E28" s="15"/>
      <c r="F28" s="172">
        <f>(F27/F10)/1.983</f>
        <v>6.1691040511010247</v>
      </c>
      <c r="G28" s="172">
        <f>(G27/G10)/1.983</f>
        <v>6.9136043466237203</v>
      </c>
      <c r="H28" s="172">
        <f>(H27/H10)/1.983</f>
        <v>7.0095814422592033</v>
      </c>
      <c r="I28" s="15"/>
      <c r="J28" s="172">
        <f>(J27/J10)/1.983</f>
        <v>6.7671986075187478</v>
      </c>
      <c r="K28" s="172">
        <f>(K27/K10)/1.983</f>
        <v>5.433279651228994</v>
      </c>
      <c r="L28" s="172">
        <f>(L27/L10)/1.983</f>
        <v>5.3118171121196838</v>
      </c>
      <c r="M28" s="15"/>
      <c r="N28" s="172">
        <f>(N27/N10)/1.983</f>
        <v>4.6361817383241419</v>
      </c>
      <c r="O28" s="172">
        <f>(O27/O10)/1.983</f>
        <v>3.9502437384434357</v>
      </c>
      <c r="P28" s="172">
        <f>(P27/P10)/1.983</f>
        <v>3.02571860816944</v>
      </c>
      <c r="Q28" s="29"/>
      <c r="R28" s="15"/>
    </row>
    <row r="29" spans="1:20" ht="15.75" customHeight="1" x14ac:dyDescent="0.3">
      <c r="A29" s="234" t="s">
        <v>1119</v>
      </c>
      <c r="B29" s="172">
        <f>B27+B64</f>
        <v>82943</v>
      </c>
      <c r="C29" s="172">
        <f>C27+C64</f>
        <v>129457</v>
      </c>
      <c r="D29" s="172">
        <f>D27+D64</f>
        <v>175427</v>
      </c>
      <c r="E29" s="15">
        <f>SUM(B29:D29)</f>
        <v>387827</v>
      </c>
      <c r="F29" s="172">
        <f>F27+F64</f>
        <v>177805</v>
      </c>
      <c r="G29" s="172">
        <f>G27+G64</f>
        <v>183495</v>
      </c>
      <c r="H29" s="172">
        <f>H27+H64</f>
        <v>135338</v>
      </c>
      <c r="I29" s="15">
        <f>SUM(F29:H29)</f>
        <v>496638</v>
      </c>
      <c r="J29" s="172">
        <f>J27+J64</f>
        <v>95293</v>
      </c>
      <c r="K29" s="172">
        <f>K27+K64</f>
        <v>101705</v>
      </c>
      <c r="L29" s="172">
        <f>L27+L64</f>
        <v>139946</v>
      </c>
      <c r="M29" s="15">
        <f>SUM(J29:L29)</f>
        <v>336944</v>
      </c>
      <c r="N29" s="172">
        <f>N27+N64</f>
        <v>119736</v>
      </c>
      <c r="O29" s="172">
        <f>O27+O64</f>
        <v>135762</v>
      </c>
      <c r="P29" s="172">
        <f>P27+P64</f>
        <v>113757</v>
      </c>
      <c r="Q29" s="29">
        <f>SUM(N29:P29)</f>
        <v>369255</v>
      </c>
      <c r="R29" s="15">
        <f>+E29+I29+M29+Q29</f>
        <v>1590664</v>
      </c>
    </row>
    <row r="30" spans="1:20" s="574" customFormat="1" ht="16.5" customHeight="1" thickBot="1" x14ac:dyDescent="0.35">
      <c r="A30" s="570" t="s">
        <v>1968</v>
      </c>
      <c r="B30" s="571">
        <f>(B29/B10)/1.983</f>
        <v>1349.2590242870854</v>
      </c>
      <c r="C30" s="571">
        <f>(C29/C10)/1.983</f>
        <v>2331.5503205820905</v>
      </c>
      <c r="D30" s="571">
        <f>(D29/D10)/1.983</f>
        <v>2853.724399329787</v>
      </c>
      <c r="E30" s="572"/>
      <c r="F30" s="571">
        <f>(F29/F10)/1.983</f>
        <v>2988.8216506975959</v>
      </c>
      <c r="G30" s="571">
        <f>(G29/G10)/1.983</f>
        <v>2984.9690107852225</v>
      </c>
      <c r="H30" s="571">
        <f>(H29/H10)/1.983</f>
        <v>2274.9705832913091</v>
      </c>
      <c r="I30" s="572"/>
      <c r="J30" s="571">
        <f>(J29/J10)/1.983</f>
        <v>1550.1602329477982</v>
      </c>
      <c r="K30" s="571">
        <f>(K29/K10)/1.983</f>
        <v>1654.4661884079189</v>
      </c>
      <c r="L30" s="571">
        <f>(L29/L10)/1.983</f>
        <v>2352.4289796604471</v>
      </c>
      <c r="M30" s="572"/>
      <c r="N30" s="571">
        <f>(N29/N10)/1.983</f>
        <v>1947.7819530525596</v>
      </c>
      <c r="O30" s="571">
        <f>(O29/O10)/1.983</f>
        <v>2282.0978315683305</v>
      </c>
      <c r="P30" s="571">
        <f>(P29/P10)/1.983</f>
        <v>1850.5197403738225</v>
      </c>
      <c r="Q30" s="573"/>
      <c r="R30" s="572"/>
      <c r="T30" s="575" t="s">
        <v>2172</v>
      </c>
    </row>
    <row r="31" spans="1:20" ht="15.75" customHeight="1" x14ac:dyDescent="0.3">
      <c r="A31" s="17"/>
      <c r="B31" s="172"/>
      <c r="C31" s="172"/>
      <c r="D31" s="172"/>
      <c r="E31" s="172"/>
      <c r="F31" s="172"/>
      <c r="G31" s="172"/>
      <c r="H31" s="172"/>
      <c r="I31" s="172"/>
      <c r="J31" s="172"/>
      <c r="K31" s="172"/>
      <c r="L31" s="172"/>
      <c r="M31" s="172"/>
      <c r="N31" s="172"/>
      <c r="O31" s="172"/>
      <c r="P31" s="172"/>
      <c r="Q31" s="172"/>
      <c r="R31" s="17"/>
      <c r="T31" s="350" t="s">
        <v>2173</v>
      </c>
    </row>
    <row r="32" spans="1:20" ht="15.75" customHeight="1" thickBot="1" x14ac:dyDescent="0.35">
      <c r="A32" s="17"/>
      <c r="B32" s="172"/>
      <c r="C32" s="172"/>
      <c r="D32" s="172"/>
      <c r="E32" s="172"/>
      <c r="F32" s="172"/>
      <c r="G32" s="172"/>
      <c r="H32" s="172"/>
      <c r="I32" s="172"/>
      <c r="J32" s="172"/>
      <c r="K32" s="172"/>
      <c r="L32" s="172"/>
      <c r="M32" s="172"/>
      <c r="N32" s="172"/>
      <c r="O32" s="172"/>
      <c r="P32" s="172"/>
      <c r="Q32" s="172"/>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246"/>
      <c r="C34" s="232"/>
      <c r="D34" s="232"/>
      <c r="E34" s="233"/>
      <c r="F34" s="232"/>
      <c r="G34" s="232"/>
      <c r="H34" s="232"/>
      <c r="I34" s="233"/>
      <c r="J34" s="232"/>
      <c r="K34" s="232"/>
      <c r="L34" s="232"/>
      <c r="M34" s="233"/>
      <c r="N34" s="232"/>
      <c r="O34" s="232"/>
      <c r="P34" s="232"/>
      <c r="Q34" s="233"/>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2971</v>
      </c>
      <c r="B38" s="172">
        <v>1</v>
      </c>
      <c r="C38" s="172">
        <v>231</v>
      </c>
      <c r="D38" s="172">
        <v>237</v>
      </c>
      <c r="E38" s="38">
        <f>SUM(B38:D38)</f>
        <v>469</v>
      </c>
      <c r="F38" s="172"/>
      <c r="G38" s="172"/>
      <c r="H38" s="172"/>
      <c r="I38" s="38">
        <f>SUM(F38:H38)</f>
        <v>0</v>
      </c>
      <c r="J38" s="172">
        <v>1</v>
      </c>
      <c r="K38" s="172">
        <v>0</v>
      </c>
      <c r="L38" s="172">
        <v>250</v>
      </c>
      <c r="M38" s="38">
        <f>SUM(J38:L38)</f>
        <v>251</v>
      </c>
      <c r="N38" s="172">
        <v>27</v>
      </c>
      <c r="O38" s="172">
        <v>2</v>
      </c>
      <c r="P38" s="172">
        <v>23</v>
      </c>
      <c r="Q38" s="38">
        <f>SUM(N38:P38)</f>
        <v>52</v>
      </c>
      <c r="R38" s="38">
        <f>+E38+I38+M38+Q38</f>
        <v>772</v>
      </c>
    </row>
    <row r="39" spans="1:18" ht="15.75" customHeight="1" x14ac:dyDescent="0.3">
      <c r="A39" s="235" t="s">
        <v>2162</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1</v>
      </c>
      <c r="C41" s="42">
        <f>SUM(C35:C40)</f>
        <v>231</v>
      </c>
      <c r="D41" s="42">
        <f>SUM(D35:D40)</f>
        <v>237</v>
      </c>
      <c r="E41" s="37">
        <f>SUM(B41:D41)</f>
        <v>469</v>
      </c>
      <c r="F41" s="42">
        <f>SUM(F35:F40)</f>
        <v>0</v>
      </c>
      <c r="G41" s="42">
        <f>SUM(G35:G40)</f>
        <v>0</v>
      </c>
      <c r="H41" s="42">
        <f>SUM(H35:H40)</f>
        <v>0</v>
      </c>
      <c r="I41" s="37">
        <f>SUM(F41:H41)</f>
        <v>0</v>
      </c>
      <c r="J41" s="42">
        <f>SUM(J35:J40)</f>
        <v>1</v>
      </c>
      <c r="K41" s="42">
        <f>SUM(K35:K40)</f>
        <v>0</v>
      </c>
      <c r="L41" s="42">
        <f>SUM(L35:L40)</f>
        <v>250</v>
      </c>
      <c r="M41" s="37">
        <f>SUM(J41:L41)</f>
        <v>251</v>
      </c>
      <c r="N41" s="42">
        <f>SUM(N35:N40)</f>
        <v>27</v>
      </c>
      <c r="O41" s="42">
        <f>SUM(O35:O40)</f>
        <v>2</v>
      </c>
      <c r="P41" s="42">
        <f>SUM(P35:P40)</f>
        <v>23</v>
      </c>
      <c r="Q41" s="37">
        <f>SUM(N41:P41)</f>
        <v>52</v>
      </c>
      <c r="R41" s="37">
        <f>+E41+I41+M41+Q41</f>
        <v>772</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72"/>
      <c r="C54" s="172"/>
      <c r="D54" s="172"/>
      <c r="E54" s="38">
        <f>SUM(B54:D54)</f>
        <v>0</v>
      </c>
      <c r="F54" s="172"/>
      <c r="G54" s="172"/>
      <c r="H54" s="172"/>
      <c r="I54" s="38">
        <f>SUM(F54:H54)</f>
        <v>0</v>
      </c>
      <c r="J54" s="172"/>
      <c r="K54" s="172"/>
      <c r="L54" s="172"/>
      <c r="M54" s="38">
        <f>SUM(J54:L54)</f>
        <v>0</v>
      </c>
      <c r="N54" s="172"/>
      <c r="O54" s="172"/>
      <c r="P54" s="172"/>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1</v>
      </c>
      <c r="C59" s="42">
        <f>+C41+C46+C50+C58</f>
        <v>231</v>
      </c>
      <c r="D59" s="42">
        <f>+D41+D46+D50+D58</f>
        <v>237</v>
      </c>
      <c r="E59" s="37">
        <f>SUM(B59:D59)</f>
        <v>469</v>
      </c>
      <c r="F59" s="42">
        <f>+F41+F46+F50+F58</f>
        <v>0</v>
      </c>
      <c r="G59" s="42">
        <f>+G41+G46+G50+G58</f>
        <v>0</v>
      </c>
      <c r="H59" s="42">
        <f>+H41+H46+H50+H58</f>
        <v>0</v>
      </c>
      <c r="I59" s="37">
        <f>SUM(F59:H59)</f>
        <v>0</v>
      </c>
      <c r="J59" s="42">
        <f>+J41+J46+J50+J58</f>
        <v>1</v>
      </c>
      <c r="K59" s="42">
        <f>+K41+K46+K50+K58</f>
        <v>0</v>
      </c>
      <c r="L59" s="42">
        <f>+L41+L46+L50+L58</f>
        <v>250</v>
      </c>
      <c r="M59" s="37">
        <f>SUM(J59:L59)</f>
        <v>251</v>
      </c>
      <c r="N59" s="42">
        <f>+N41+N46+N50+N58</f>
        <v>27</v>
      </c>
      <c r="O59" s="42">
        <f>+O41+O46+O50+O58</f>
        <v>2</v>
      </c>
      <c r="P59" s="42">
        <f>+P41+P46+P50+P58</f>
        <v>23</v>
      </c>
      <c r="Q59" s="37">
        <f>SUM(N59:P59)</f>
        <v>52</v>
      </c>
      <c r="R59" s="37">
        <f>+E59+I59+M59+Q59</f>
        <v>772</v>
      </c>
    </row>
    <row r="60" spans="1:18" ht="16.5" customHeight="1" thickBot="1" x14ac:dyDescent="0.35">
      <c r="A60" s="250" t="s">
        <v>853</v>
      </c>
      <c r="B60" s="251">
        <v>96</v>
      </c>
      <c r="C60" s="251">
        <v>145</v>
      </c>
      <c r="D60" s="251">
        <v>261</v>
      </c>
      <c r="E60" s="21">
        <f>SUM(B60:D60)</f>
        <v>502</v>
      </c>
      <c r="F60" s="251">
        <v>350</v>
      </c>
      <c r="G60" s="251">
        <v>402</v>
      </c>
      <c r="H60" s="251">
        <v>396</v>
      </c>
      <c r="I60" s="21">
        <f>SUM(F60:H60)</f>
        <v>1148</v>
      </c>
      <c r="J60" s="251">
        <v>394</v>
      </c>
      <c r="K60" s="251">
        <v>318</v>
      </c>
      <c r="L60" s="251">
        <v>301</v>
      </c>
      <c r="M60" s="21">
        <f>SUM(J60:L60)</f>
        <v>1013</v>
      </c>
      <c r="N60" s="251">
        <v>272</v>
      </c>
      <c r="O60" s="251">
        <v>226</v>
      </c>
      <c r="P60" s="251">
        <v>179</v>
      </c>
      <c r="Q60" s="21">
        <f>SUM(N60:P60)</f>
        <v>677</v>
      </c>
      <c r="R60" s="21">
        <f>+E60+I60+M60+Q60</f>
        <v>3340</v>
      </c>
    </row>
    <row r="61" spans="1:18" ht="16.5" customHeight="1" thickBot="1" x14ac:dyDescent="0.35">
      <c r="A61" s="22"/>
      <c r="B61" s="242"/>
      <c r="C61" s="242"/>
      <c r="D61" s="242"/>
      <c r="E61" s="16"/>
      <c r="F61" s="242"/>
      <c r="G61" s="242"/>
      <c r="H61" s="242"/>
      <c r="I61" s="16"/>
      <c r="J61" s="242"/>
      <c r="K61" s="242"/>
      <c r="L61" s="242"/>
      <c r="M61" s="16"/>
      <c r="N61" s="242"/>
      <c r="O61" s="242"/>
      <c r="P61" s="242"/>
      <c r="Q61" s="16"/>
      <c r="R61" s="22"/>
    </row>
    <row r="62" spans="1:18" ht="15.75" customHeight="1" x14ac:dyDescent="0.3">
      <c r="A62" s="234" t="s">
        <v>2011</v>
      </c>
      <c r="B62" s="172">
        <f>+B59+B60</f>
        <v>97</v>
      </c>
      <c r="C62" s="172">
        <f>+C59+C60</f>
        <v>376</v>
      </c>
      <c r="D62" s="172">
        <f>+D59+D60</f>
        <v>498</v>
      </c>
      <c r="E62" s="14">
        <f>SUM(B62:D62)</f>
        <v>971</v>
      </c>
      <c r="F62" s="172">
        <f>+F59+F60</f>
        <v>350</v>
      </c>
      <c r="G62" s="172">
        <f>+G59+G60</f>
        <v>402</v>
      </c>
      <c r="H62" s="172">
        <f>+H59+H60</f>
        <v>396</v>
      </c>
      <c r="I62" s="14">
        <f>SUM(F62:H62)</f>
        <v>1148</v>
      </c>
      <c r="J62" s="172">
        <f>+J59+J60</f>
        <v>395</v>
      </c>
      <c r="K62" s="172">
        <f>+K59+K60</f>
        <v>318</v>
      </c>
      <c r="L62" s="172">
        <f>+L59+L60</f>
        <v>551</v>
      </c>
      <c r="M62" s="14">
        <f>SUM(J62:L62)</f>
        <v>1264</v>
      </c>
      <c r="N62" s="172">
        <f>+N59+N60</f>
        <v>299</v>
      </c>
      <c r="O62" s="172">
        <f>+O59+O60</f>
        <v>228</v>
      </c>
      <c r="P62" s="172">
        <f>+P59+P60</f>
        <v>202</v>
      </c>
      <c r="Q62" s="28">
        <f>SUM(N62:P62)</f>
        <v>729</v>
      </c>
      <c r="R62" s="15">
        <f>+E62+I62+M62+Q62</f>
        <v>4112</v>
      </c>
    </row>
    <row r="63" spans="1:18" ht="15.75" customHeight="1" x14ac:dyDescent="0.3">
      <c r="A63" s="234" t="s">
        <v>1897</v>
      </c>
      <c r="B63" s="172">
        <f>(B62/B10)/1.983</f>
        <v>1.5779285214647079</v>
      </c>
      <c r="C63" s="172">
        <f>(C62/C10)/1.983</f>
        <v>6.771846408760176</v>
      </c>
      <c r="D63" s="172">
        <f>(D62/D10)/1.983</f>
        <v>8.1011175638085025</v>
      </c>
      <c r="E63" s="15"/>
      <c r="F63" s="172">
        <f>(F62/F10)/1.983</f>
        <v>5.8833417381072444</v>
      </c>
      <c r="G63" s="172">
        <f>(G62/G10)/1.983</f>
        <v>6.5394563466887892</v>
      </c>
      <c r="H63" s="172">
        <f>(H62/H10)/1.983</f>
        <v>6.6565809379727678</v>
      </c>
      <c r="I63" s="15"/>
      <c r="J63" s="172">
        <f>(J62/J10)/1.983</f>
        <v>6.4255852162738112</v>
      </c>
      <c r="K63" s="172">
        <f>(K62/K10)/1.983</f>
        <v>5.1730027817090427</v>
      </c>
      <c r="L63" s="172">
        <f>(L62/L10)/1.983</f>
        <v>9.2620608505631203</v>
      </c>
      <c r="M63" s="15"/>
      <c r="N63" s="172">
        <f>(N62/N10)/1.983</f>
        <v>4.8639239991540997</v>
      </c>
      <c r="O63" s="172">
        <f>(O62/O10)/1.983</f>
        <v>3.8325769036812907</v>
      </c>
      <c r="P63" s="172">
        <f>(P62/P10)/1.983</f>
        <v>3.2859954776893923</v>
      </c>
      <c r="Q63" s="29"/>
      <c r="R63" s="20"/>
    </row>
    <row r="64" spans="1:18" ht="15.75" customHeight="1" x14ac:dyDescent="0.3">
      <c r="A64" s="234" t="s">
        <v>1969</v>
      </c>
      <c r="B64" s="172">
        <f>B62+B131</f>
        <v>82846</v>
      </c>
      <c r="C64" s="172">
        <f>C62+C131</f>
        <v>129309</v>
      </c>
      <c r="D64" s="172">
        <f>D62+D131</f>
        <v>175153</v>
      </c>
      <c r="E64" s="15">
        <f>SUM(B64:D64)</f>
        <v>387308</v>
      </c>
      <c r="F64" s="172">
        <f>F62+F131</f>
        <v>177438</v>
      </c>
      <c r="G64" s="172">
        <f>G62+G131</f>
        <v>183070</v>
      </c>
      <c r="H64" s="172">
        <f>H62+H131</f>
        <v>134921</v>
      </c>
      <c r="I64" s="15">
        <f>SUM(F64:H64)</f>
        <v>495429</v>
      </c>
      <c r="J64" s="172">
        <f>J62+J131</f>
        <v>94877</v>
      </c>
      <c r="K64" s="172">
        <f>K62+K131</f>
        <v>101371</v>
      </c>
      <c r="L64" s="172">
        <f>L62+L131</f>
        <v>139630</v>
      </c>
      <c r="M64" s="15">
        <f>SUM(J64:L64)</f>
        <v>335878</v>
      </c>
      <c r="N64" s="172">
        <f>N62+N131</f>
        <v>119451</v>
      </c>
      <c r="O64" s="172">
        <f>O62+O131</f>
        <v>135527</v>
      </c>
      <c r="P64" s="172">
        <f>P62+P131</f>
        <v>113571</v>
      </c>
      <c r="Q64" s="29">
        <f>SUM(N64:P64)</f>
        <v>368549</v>
      </c>
      <c r="R64" s="15">
        <f>+E64+I64+M64+Q64</f>
        <v>1587164</v>
      </c>
    </row>
    <row r="65" spans="1:20" ht="16.5" customHeight="1" thickBot="1" x14ac:dyDescent="0.35">
      <c r="A65" s="237" t="s">
        <v>1970</v>
      </c>
      <c r="B65" s="238">
        <f>(B64/B10)/1.983</f>
        <v>1347.6810957656207</v>
      </c>
      <c r="C65" s="238">
        <f>(C64/C10)/1.983</f>
        <v>2328.8848065701318</v>
      </c>
      <c r="D65" s="238">
        <f>(D64/D10)/1.983</f>
        <v>2849.2671579392577</v>
      </c>
      <c r="E65" s="16"/>
      <c r="F65" s="238">
        <f>(F64/F10)/1.983</f>
        <v>2982.6525466464955</v>
      </c>
      <c r="G65" s="238">
        <f>(G64/G10)/1.983</f>
        <v>2978.0554064385988</v>
      </c>
      <c r="H65" s="238">
        <f>(H64/H10)/1.983</f>
        <v>2267.9610018490503</v>
      </c>
      <c r="I65" s="16"/>
      <c r="J65" s="238">
        <f>(J64/J10)/1.983</f>
        <v>1543.3930343402794</v>
      </c>
      <c r="K65" s="238">
        <f>(K64/K10)/1.983</f>
        <v>1649.0329087566897</v>
      </c>
      <c r="L65" s="238">
        <f>(L64/L10)/1.983</f>
        <v>2347.1171625483271</v>
      </c>
      <c r="M65" s="16"/>
      <c r="N65" s="238">
        <f>(N64/N10)/1.983</f>
        <v>1943.1457713142356</v>
      </c>
      <c r="O65" s="238">
        <f>(O64/O10)/1.983</f>
        <v>2278.147587829887</v>
      </c>
      <c r="P65" s="238">
        <f>(P64/P10)/1.983</f>
        <v>1847.4940217656531</v>
      </c>
      <c r="Q65" s="30"/>
      <c r="R65" s="23" t="s">
        <v>852</v>
      </c>
    </row>
    <row r="66" spans="1:20" ht="15.75" customHeight="1" x14ac:dyDescent="0.3">
      <c r="A66" s="17"/>
      <c r="B66" s="172"/>
      <c r="C66" s="172"/>
      <c r="D66" s="172"/>
      <c r="E66" s="172"/>
      <c r="F66" s="172"/>
      <c r="G66" s="172"/>
      <c r="H66" s="172"/>
      <c r="I66" s="172"/>
      <c r="J66" s="172"/>
      <c r="K66" s="172"/>
      <c r="L66" s="172"/>
      <c r="M66" s="172"/>
      <c r="N66" s="172"/>
      <c r="O66" s="172"/>
      <c r="P66" s="172"/>
      <c r="Q66" s="172"/>
      <c r="R66" s="17"/>
    </row>
    <row r="67" spans="1:20" ht="15.75" customHeight="1" thickBot="1" x14ac:dyDescent="0.35">
      <c r="A67" s="17"/>
      <c r="B67" s="172"/>
      <c r="C67" s="172"/>
      <c r="D67" s="172"/>
      <c r="E67" s="172"/>
      <c r="F67" s="172"/>
      <c r="G67" s="172"/>
      <c r="H67" s="172"/>
      <c r="I67" s="172"/>
      <c r="J67" s="172"/>
      <c r="K67" s="172"/>
      <c r="L67" s="172"/>
      <c r="M67" s="172"/>
      <c r="N67" s="172"/>
      <c r="O67" s="172"/>
      <c r="P67" s="172"/>
      <c r="Q67" s="172"/>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231"/>
      <c r="C69" s="253"/>
      <c r="D69" s="253"/>
      <c r="E69" s="254"/>
      <c r="F69" s="253"/>
      <c r="G69" s="253"/>
      <c r="H69" s="253"/>
      <c r="I69" s="254"/>
      <c r="J69" s="253"/>
      <c r="K69" s="253"/>
      <c r="L69" s="253"/>
      <c r="M69" s="254"/>
      <c r="N69" s="253"/>
      <c r="O69" s="253"/>
      <c r="P69" s="255"/>
      <c r="Q69" s="254"/>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72"/>
      <c r="C72" s="172"/>
      <c r="D72" s="172"/>
      <c r="E72" s="38">
        <f t="shared" ref="E72:E81" si="5">SUM(B72:D72)</f>
        <v>0</v>
      </c>
      <c r="F72" s="172"/>
      <c r="G72" s="172"/>
      <c r="H72" s="172"/>
      <c r="I72" s="38">
        <f t="shared" ref="I72:I81" si="6">SUM(F72:H72)</f>
        <v>0</v>
      </c>
      <c r="J72" s="172"/>
      <c r="K72" s="172"/>
      <c r="L72" s="172"/>
      <c r="M72" s="38">
        <f t="shared" ref="M72:M81" si="7">SUM(J72:L72)</f>
        <v>0</v>
      </c>
      <c r="N72" s="172"/>
      <c r="O72" s="172"/>
      <c r="P72" s="172"/>
      <c r="Q72" s="38">
        <f t="shared" ref="Q72:Q81" si="8">SUM(N72:P72)</f>
        <v>0</v>
      </c>
      <c r="R72" s="38">
        <f t="shared" ref="R72:R81" si="9">+E72+I72+M72+Q72</f>
        <v>0</v>
      </c>
    </row>
    <row r="73" spans="1:20" ht="15.75" customHeight="1" x14ac:dyDescent="0.3">
      <c r="A73" s="539" t="s">
        <v>2732</v>
      </c>
      <c r="B73" s="172"/>
      <c r="C73" s="172"/>
      <c r="D73" s="172"/>
      <c r="E73" s="38">
        <f>SUM(B73:D73)</f>
        <v>0</v>
      </c>
      <c r="F73" s="172"/>
      <c r="G73" s="172"/>
      <c r="H73" s="172"/>
      <c r="I73" s="38">
        <f>SUM(F73:H73)</f>
        <v>0</v>
      </c>
      <c r="J73" s="172"/>
      <c r="K73" s="172"/>
      <c r="L73" s="172"/>
      <c r="M73" s="38">
        <f>SUM(J73:L73)</f>
        <v>0</v>
      </c>
      <c r="N73" s="172"/>
      <c r="O73" s="172"/>
      <c r="P73" s="172"/>
      <c r="Q73" s="38">
        <f>SUM(N73:P73)</f>
        <v>0</v>
      </c>
      <c r="R73" s="38">
        <f>+E73+I73+M73+Q73</f>
        <v>0</v>
      </c>
    </row>
    <row r="74" spans="1:20" ht="15.75" customHeight="1" x14ac:dyDescent="0.3">
      <c r="A74" s="539" t="s">
        <v>2060</v>
      </c>
      <c r="B74" s="172"/>
      <c r="C74" s="172"/>
      <c r="D74" s="172"/>
      <c r="E74" s="38">
        <f t="shared" si="5"/>
        <v>0</v>
      </c>
      <c r="F74" s="172"/>
      <c r="G74" s="172"/>
      <c r="H74" s="172"/>
      <c r="I74" s="38">
        <f t="shared" si="6"/>
        <v>0</v>
      </c>
      <c r="J74" s="172"/>
      <c r="K74" s="172"/>
      <c r="L74" s="172"/>
      <c r="M74" s="38">
        <f t="shared" si="7"/>
        <v>0</v>
      </c>
      <c r="N74" s="172"/>
      <c r="O74" s="172"/>
      <c r="P74" s="172"/>
      <c r="Q74" s="38">
        <f t="shared" si="8"/>
        <v>0</v>
      </c>
      <c r="R74" s="38">
        <f t="shared" si="9"/>
        <v>0</v>
      </c>
    </row>
    <row r="75" spans="1:20" ht="15.75" customHeight="1" x14ac:dyDescent="0.3">
      <c r="A75" s="539" t="s">
        <v>2773</v>
      </c>
      <c r="B75" s="172"/>
      <c r="C75" s="172"/>
      <c r="D75" s="172"/>
      <c r="E75" s="38">
        <f t="shared" si="5"/>
        <v>0</v>
      </c>
      <c r="F75" s="172"/>
      <c r="G75" s="172"/>
      <c r="H75" s="172"/>
      <c r="I75" s="38">
        <f t="shared" si="6"/>
        <v>0</v>
      </c>
      <c r="J75" s="172"/>
      <c r="K75" s="172"/>
      <c r="L75" s="172"/>
      <c r="M75" s="38">
        <f t="shared" si="7"/>
        <v>0</v>
      </c>
      <c r="N75" s="172"/>
      <c r="O75" s="172"/>
      <c r="P75" s="172"/>
      <c r="Q75" s="38">
        <f t="shared" si="8"/>
        <v>0</v>
      </c>
      <c r="R75" s="38">
        <f t="shared" si="9"/>
        <v>0</v>
      </c>
      <c r="T75" t="s">
        <v>2774</v>
      </c>
    </row>
    <row r="76" spans="1:20" ht="15.75" customHeight="1" x14ac:dyDescent="0.3">
      <c r="A76" s="539" t="s">
        <v>2794</v>
      </c>
      <c r="B76" s="172"/>
      <c r="C76" s="172"/>
      <c r="D76" s="172"/>
      <c r="E76" s="38">
        <f t="shared" si="5"/>
        <v>0</v>
      </c>
      <c r="F76" s="172"/>
      <c r="G76" s="172"/>
      <c r="H76" s="172"/>
      <c r="I76" s="38">
        <f t="shared" si="6"/>
        <v>0</v>
      </c>
      <c r="J76" s="172"/>
      <c r="K76" s="172"/>
      <c r="L76" s="172"/>
      <c r="M76" s="38">
        <f t="shared" si="7"/>
        <v>0</v>
      </c>
      <c r="N76" s="172"/>
      <c r="O76" s="172"/>
      <c r="P76" s="172"/>
      <c r="Q76" s="38">
        <f t="shared" si="8"/>
        <v>0</v>
      </c>
      <c r="R76" s="38">
        <f t="shared" si="9"/>
        <v>0</v>
      </c>
      <c r="T76" t="s">
        <v>2774</v>
      </c>
    </row>
    <row r="77" spans="1:20" ht="15.75" customHeight="1" x14ac:dyDescent="0.3">
      <c r="A77" s="539" t="s">
        <v>2262</v>
      </c>
      <c r="B77" s="172"/>
      <c r="C77" s="172"/>
      <c r="D77" s="172"/>
      <c r="E77" s="38">
        <f t="shared" si="5"/>
        <v>0</v>
      </c>
      <c r="F77" s="172"/>
      <c r="G77" s="172"/>
      <c r="H77" s="172"/>
      <c r="I77" s="38">
        <f t="shared" si="6"/>
        <v>0</v>
      </c>
      <c r="J77" s="172"/>
      <c r="K77" s="172"/>
      <c r="L77" s="172"/>
      <c r="M77" s="38">
        <f t="shared" si="7"/>
        <v>0</v>
      </c>
      <c r="N77" s="172"/>
      <c r="O77" s="172"/>
      <c r="P77" s="172"/>
      <c r="Q77" s="38">
        <f t="shared" si="8"/>
        <v>0</v>
      </c>
      <c r="R77" s="38">
        <f t="shared" si="9"/>
        <v>0</v>
      </c>
    </row>
    <row r="78" spans="1:20" ht="15.75" customHeight="1" x14ac:dyDescent="0.3">
      <c r="A78" s="539" t="s">
        <v>789</v>
      </c>
      <c r="B78" s="172"/>
      <c r="C78" s="172"/>
      <c r="D78" s="172"/>
      <c r="E78" s="38">
        <f t="shared" si="5"/>
        <v>0</v>
      </c>
      <c r="F78" s="172"/>
      <c r="G78" s="172"/>
      <c r="H78" s="172"/>
      <c r="I78" s="38">
        <f t="shared" si="6"/>
        <v>0</v>
      </c>
      <c r="J78" s="172"/>
      <c r="K78" s="172"/>
      <c r="L78" s="172"/>
      <c r="M78" s="38">
        <f t="shared" si="7"/>
        <v>0</v>
      </c>
      <c r="N78" s="172"/>
      <c r="O78" s="172"/>
      <c r="P78" s="172"/>
      <c r="Q78" s="38">
        <f t="shared" si="8"/>
        <v>0</v>
      </c>
      <c r="R78" s="38">
        <f t="shared" si="9"/>
        <v>0</v>
      </c>
      <c r="T78" t="s">
        <v>2799</v>
      </c>
    </row>
    <row r="79" spans="1:20" ht="15.75" customHeight="1" x14ac:dyDescent="0.3">
      <c r="A79" s="410" t="s">
        <v>2183</v>
      </c>
      <c r="B79" s="172"/>
      <c r="C79" s="172"/>
      <c r="D79" s="172"/>
      <c r="E79" s="38">
        <f t="shared" si="5"/>
        <v>0</v>
      </c>
      <c r="F79" s="172"/>
      <c r="G79" s="172"/>
      <c r="H79" s="172"/>
      <c r="I79" s="38">
        <f t="shared" si="6"/>
        <v>0</v>
      </c>
      <c r="J79" s="172"/>
      <c r="K79" s="172"/>
      <c r="L79" s="172"/>
      <c r="M79" s="38">
        <f t="shared" si="7"/>
        <v>0</v>
      </c>
      <c r="N79" s="172">
        <v>2500</v>
      </c>
      <c r="O79" s="172"/>
      <c r="P79" s="172"/>
      <c r="Q79" s="38">
        <f t="shared" si="8"/>
        <v>2500</v>
      </c>
      <c r="R79" s="38">
        <f t="shared" si="9"/>
        <v>2500</v>
      </c>
    </row>
    <row r="80" spans="1:20" ht="15.75" customHeight="1" x14ac:dyDescent="0.3">
      <c r="A80" s="410" t="s">
        <v>2947</v>
      </c>
      <c r="B80" s="172"/>
      <c r="C80" s="172"/>
      <c r="D80" s="172"/>
      <c r="E80" s="38">
        <f>SUM(B80:D80)</f>
        <v>0</v>
      </c>
      <c r="F80" s="172"/>
      <c r="G80" s="172"/>
      <c r="H80" s="172"/>
      <c r="I80" s="38">
        <f>SUM(F80:H80)</f>
        <v>0</v>
      </c>
      <c r="J80" s="172"/>
      <c r="K80" s="172">
        <v>1394</v>
      </c>
      <c r="L80" s="172">
        <v>7111</v>
      </c>
      <c r="M80" s="38">
        <f>SUM(J80:L80)</f>
        <v>8505</v>
      </c>
      <c r="N80" s="172">
        <v>991</v>
      </c>
      <c r="O80" s="172"/>
      <c r="P80" s="172"/>
      <c r="Q80" s="38">
        <f>SUM(N80:P80)</f>
        <v>991</v>
      </c>
      <c r="R80" s="38">
        <f>+E80+I80+M80+Q80</f>
        <v>9496</v>
      </c>
    </row>
    <row r="81" spans="1:20" ht="15.75" customHeight="1" x14ac:dyDescent="0.3">
      <c r="A81" s="410" t="s">
        <v>86</v>
      </c>
      <c r="B81" s="172"/>
      <c r="C81" s="172"/>
      <c r="D81" s="172"/>
      <c r="E81" s="38">
        <f t="shared" si="5"/>
        <v>0</v>
      </c>
      <c r="F81" s="172"/>
      <c r="G81" s="172"/>
      <c r="H81" s="172"/>
      <c r="I81" s="38">
        <f t="shared" si="6"/>
        <v>0</v>
      </c>
      <c r="J81" s="172"/>
      <c r="K81" s="172"/>
      <c r="L81" s="172"/>
      <c r="M81" s="38">
        <f t="shared" si="7"/>
        <v>0</v>
      </c>
      <c r="N81" s="172"/>
      <c r="O81" s="172"/>
      <c r="P81" s="172"/>
      <c r="Q81" s="38">
        <f t="shared" si="8"/>
        <v>0</v>
      </c>
      <c r="R81" s="38">
        <f t="shared" si="9"/>
        <v>0</v>
      </c>
      <c r="S81">
        <f>SUM(R72:R81)</f>
        <v>11996</v>
      </c>
    </row>
    <row r="82" spans="1:20" ht="15.75" customHeight="1" x14ac:dyDescent="0.3">
      <c r="A82" s="235" t="s">
        <v>2161</v>
      </c>
      <c r="B82" s="18"/>
      <c r="C82" s="18"/>
      <c r="D82" s="18"/>
      <c r="E82" s="38" t="s">
        <v>852</v>
      </c>
      <c r="F82" s="18"/>
      <c r="G82" s="18"/>
      <c r="H82" s="18"/>
      <c r="I82" s="38" t="s">
        <v>852</v>
      </c>
      <c r="J82" s="18"/>
      <c r="K82" s="18"/>
      <c r="L82" s="18"/>
      <c r="M82" s="38" t="s">
        <v>852</v>
      </c>
      <c r="N82" s="18"/>
      <c r="O82" s="18"/>
      <c r="P82" s="18"/>
      <c r="Q82" s="38" t="s">
        <v>852</v>
      </c>
      <c r="R82" s="38" t="s">
        <v>852</v>
      </c>
    </row>
    <row r="83" spans="1:20" ht="15.75" customHeight="1" x14ac:dyDescent="0.3">
      <c r="A83" s="410" t="s">
        <v>701</v>
      </c>
      <c r="B83" s="172"/>
      <c r="C83" s="172"/>
      <c r="D83" s="172"/>
      <c r="E83" s="38">
        <f>SUM(B83:D83)</f>
        <v>0</v>
      </c>
      <c r="F83" s="172"/>
      <c r="G83" s="172"/>
      <c r="H83" s="172"/>
      <c r="I83" s="38">
        <f>SUM(F83:H83)</f>
        <v>0</v>
      </c>
      <c r="J83" s="172"/>
      <c r="K83" s="172"/>
      <c r="L83" s="172"/>
      <c r="M83" s="38">
        <f>SUM(J83:L83)</f>
        <v>0</v>
      </c>
      <c r="N83" s="172"/>
      <c r="O83" s="172"/>
      <c r="P83" s="172"/>
      <c r="Q83" s="38">
        <f>SUM(N83:P83)</f>
        <v>0</v>
      </c>
      <c r="R83" s="38">
        <f>+E83+I83+M83+Q83</f>
        <v>0</v>
      </c>
    </row>
    <row r="84" spans="1:20" ht="15.75" customHeight="1" x14ac:dyDescent="0.3">
      <c r="A84" s="410" t="s">
        <v>2419</v>
      </c>
      <c r="B84" s="172"/>
      <c r="C84" s="172"/>
      <c r="D84" s="172"/>
      <c r="E84" s="38">
        <f>SUM(B84:D84)</f>
        <v>0</v>
      </c>
      <c r="F84" s="172"/>
      <c r="G84" s="172"/>
      <c r="H84" s="172"/>
      <c r="I84" s="38">
        <f>SUM(F84:H84)</f>
        <v>0</v>
      </c>
      <c r="J84" s="172">
        <v>245</v>
      </c>
      <c r="K84" s="172">
        <v>210</v>
      </c>
      <c r="L84" s="172">
        <v>55</v>
      </c>
      <c r="M84" s="38">
        <f>SUM(J84:L84)</f>
        <v>510</v>
      </c>
      <c r="N84" s="172"/>
      <c r="O84" s="172"/>
      <c r="P84" s="172"/>
      <c r="Q84" s="38">
        <f>SUM(N84:P84)</f>
        <v>0</v>
      </c>
      <c r="R84" s="38">
        <f>+E84+I84+M84+Q84</f>
        <v>510</v>
      </c>
    </row>
    <row r="85" spans="1:20" ht="15.75" customHeight="1" x14ac:dyDescent="0.3">
      <c r="A85" s="235" t="s">
        <v>2162</v>
      </c>
      <c r="B85" s="18"/>
      <c r="C85" s="18"/>
      <c r="D85" s="18"/>
      <c r="E85" s="38" t="s">
        <v>1598</v>
      </c>
      <c r="F85" s="18"/>
      <c r="G85" s="18"/>
      <c r="H85" s="18"/>
      <c r="I85" s="38" t="s">
        <v>1598</v>
      </c>
      <c r="J85" s="18"/>
      <c r="K85" s="18"/>
      <c r="L85" s="18"/>
      <c r="M85" s="38" t="s">
        <v>1598</v>
      </c>
      <c r="N85" s="18"/>
      <c r="O85" s="18"/>
      <c r="P85" s="18"/>
      <c r="Q85" s="38" t="s">
        <v>1598</v>
      </c>
      <c r="R85" s="38" t="s">
        <v>1598</v>
      </c>
    </row>
    <row r="86" spans="1:20" ht="15.75" customHeight="1" x14ac:dyDescent="0.3">
      <c r="A86" s="422" t="s">
        <v>2546</v>
      </c>
      <c r="B86" s="172"/>
      <c r="C86" s="172"/>
      <c r="D86" s="172"/>
      <c r="E86" s="38">
        <f>SUM(B86:D86)</f>
        <v>0</v>
      </c>
      <c r="F86" s="172"/>
      <c r="G86" s="172"/>
      <c r="H86" s="172"/>
      <c r="I86" s="38">
        <f>SUM(F86:H86)</f>
        <v>0</v>
      </c>
      <c r="J86" s="172"/>
      <c r="K86" s="172"/>
      <c r="L86" s="172"/>
      <c r="M86" s="38">
        <f>SUM(J86:L86)</f>
        <v>0</v>
      </c>
      <c r="N86" s="172"/>
      <c r="O86" s="172"/>
      <c r="P86" s="172"/>
      <c r="Q86" s="38">
        <f>SUM(N86:P86)</f>
        <v>0</v>
      </c>
      <c r="R86" s="38">
        <f>+E86+I86+M86+Q86</f>
        <v>0</v>
      </c>
    </row>
    <row r="87" spans="1:20" ht="15.75" customHeight="1" x14ac:dyDescent="0.3">
      <c r="A87" s="422" t="s">
        <v>2547</v>
      </c>
      <c r="B87" s="172">
        <v>500</v>
      </c>
      <c r="C87" s="172">
        <v>672</v>
      </c>
      <c r="D87" s="172">
        <v>1585</v>
      </c>
      <c r="E87" s="38">
        <f>SUM(B87:D87)</f>
        <v>2757</v>
      </c>
      <c r="F87" s="172">
        <v>2194</v>
      </c>
      <c r="G87" s="172">
        <v>1348</v>
      </c>
      <c r="H87" s="172">
        <v>1152</v>
      </c>
      <c r="I87" s="38">
        <f>SUM(F87:H87)</f>
        <v>4694</v>
      </c>
      <c r="J87" s="172">
        <v>1257</v>
      </c>
      <c r="K87" s="172">
        <v>181</v>
      </c>
      <c r="L87" s="172">
        <v>1284</v>
      </c>
      <c r="M87" s="38">
        <f>SUM(J87:L87)</f>
        <v>2722</v>
      </c>
      <c r="N87" s="172">
        <v>1274</v>
      </c>
      <c r="O87" s="172">
        <v>420</v>
      </c>
      <c r="P87" s="172"/>
      <c r="Q87" s="38">
        <f>SUM(N87:P87)</f>
        <v>1694</v>
      </c>
      <c r="R87" s="38">
        <f>+E87+I87+M87+Q87</f>
        <v>11867</v>
      </c>
      <c r="T87" t="s">
        <v>2774</v>
      </c>
    </row>
    <row r="88" spans="1:20" ht="15.75"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20" ht="16.5" customHeight="1" thickBot="1" x14ac:dyDescent="0.35">
      <c r="A89" s="43" t="s">
        <v>1218</v>
      </c>
      <c r="B89" s="42">
        <f>SUM(B70:B88)</f>
        <v>500</v>
      </c>
      <c r="C89" s="42">
        <f>SUM(C70:C88)</f>
        <v>672</v>
      </c>
      <c r="D89" s="42">
        <f>SUM(D70:D88)</f>
        <v>1585</v>
      </c>
      <c r="E89" s="37">
        <f>SUM(B89:D89)</f>
        <v>2757</v>
      </c>
      <c r="F89" s="42">
        <f>SUM(F70:F88)</f>
        <v>2194</v>
      </c>
      <c r="G89" s="42">
        <f>SUM(G70:G88)</f>
        <v>1348</v>
      </c>
      <c r="H89" s="42">
        <f>SUM(H70:H88)</f>
        <v>1152</v>
      </c>
      <c r="I89" s="37">
        <f>SUM(F89:H89)</f>
        <v>4694</v>
      </c>
      <c r="J89" s="42">
        <f>SUM(J70:J88)</f>
        <v>1502</v>
      </c>
      <c r="K89" s="42">
        <f>SUM(K70:K88)</f>
        <v>1785</v>
      </c>
      <c r="L89" s="42">
        <f>SUM(L70:L88)</f>
        <v>8450</v>
      </c>
      <c r="M89" s="37">
        <f>SUM(J89:L89)</f>
        <v>11737</v>
      </c>
      <c r="N89" s="42">
        <f>SUM(N70:N88)</f>
        <v>4765</v>
      </c>
      <c r="O89" s="42">
        <f>SUM(O70:O88)</f>
        <v>420</v>
      </c>
      <c r="P89" s="42">
        <f>SUM(P70:P88)</f>
        <v>0</v>
      </c>
      <c r="Q89" s="37">
        <f>SUM(N89:P89)</f>
        <v>5185</v>
      </c>
      <c r="R89" s="37">
        <f>+E89+I89+M89+Q89</f>
        <v>24373</v>
      </c>
    </row>
    <row r="90" spans="1:20" ht="15.75"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20" ht="15.75"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20" ht="15.75" customHeight="1" x14ac:dyDescent="0.3">
      <c r="A93" s="410" t="s">
        <v>701</v>
      </c>
      <c r="B93" s="10">
        <v>685</v>
      </c>
      <c r="C93" s="10">
        <v>1253</v>
      </c>
      <c r="D93" s="10">
        <v>1919</v>
      </c>
      <c r="E93" s="38">
        <f>SUM(B93:D93)</f>
        <v>3857</v>
      </c>
      <c r="F93" s="10">
        <v>3306</v>
      </c>
      <c r="G93" s="10">
        <v>4795</v>
      </c>
      <c r="H93" s="10">
        <v>5106</v>
      </c>
      <c r="I93" s="38">
        <f>SUM(F93:H93)</f>
        <v>13207</v>
      </c>
      <c r="J93" s="10">
        <v>5375</v>
      </c>
      <c r="K93" s="10">
        <v>3820</v>
      </c>
      <c r="L93" s="10">
        <v>2777</v>
      </c>
      <c r="M93" s="38">
        <f>SUM(J93:L93)</f>
        <v>11972</v>
      </c>
      <c r="N93" s="10">
        <v>2694</v>
      </c>
      <c r="O93" s="10">
        <v>1174</v>
      </c>
      <c r="P93" s="10">
        <v>1676</v>
      </c>
      <c r="Q93" s="38">
        <f>SUM(N93:P93)</f>
        <v>5544</v>
      </c>
      <c r="R93" s="38">
        <f>+E93+I93+M93+Q93</f>
        <v>34580</v>
      </c>
      <c r="T93" t="s">
        <v>2810</v>
      </c>
    </row>
    <row r="94" spans="1:20" ht="15.75" customHeight="1" x14ac:dyDescent="0.3">
      <c r="A94" s="410" t="s">
        <v>702</v>
      </c>
      <c r="B94" s="10"/>
      <c r="C94" s="10"/>
      <c r="D94" s="10"/>
      <c r="E94" s="38">
        <f>SUM(B94:D94)</f>
        <v>0</v>
      </c>
      <c r="F94" s="10"/>
      <c r="G94" s="10">
        <v>1000</v>
      </c>
      <c r="H94" s="10">
        <v>1000</v>
      </c>
      <c r="I94" s="38">
        <f>SUM(F94:H94)</f>
        <v>2000</v>
      </c>
      <c r="J94" s="10">
        <v>1000</v>
      </c>
      <c r="K94" s="10">
        <v>460</v>
      </c>
      <c r="L94" s="10"/>
      <c r="M94" s="38">
        <f>SUM(J94:L94)</f>
        <v>1460</v>
      </c>
      <c r="N94" s="10"/>
      <c r="O94" s="10"/>
      <c r="P94" s="10">
        <v>37</v>
      </c>
      <c r="Q94" s="38">
        <f>SUM(N94:P94)</f>
        <v>37</v>
      </c>
      <c r="R94" s="38">
        <f>+E94+I94+M94+Q94</f>
        <v>3497</v>
      </c>
      <c r="T94" t="s">
        <v>2774</v>
      </c>
    </row>
    <row r="95" spans="1:20" ht="15.75"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20" ht="16.5" customHeight="1" thickBot="1" x14ac:dyDescent="0.35">
      <c r="A96" s="43" t="s">
        <v>1219</v>
      </c>
      <c r="B96" s="42">
        <f>SUM(B90:B95)</f>
        <v>685</v>
      </c>
      <c r="C96" s="42">
        <f>SUM(C90:C95)</f>
        <v>1253</v>
      </c>
      <c r="D96" s="42">
        <f>SUM(D90:D95)</f>
        <v>1919</v>
      </c>
      <c r="E96" s="37">
        <f>SUM(B96:D96)</f>
        <v>3857</v>
      </c>
      <c r="F96" s="42">
        <f>SUM(F90:F95)</f>
        <v>3306</v>
      </c>
      <c r="G96" s="42">
        <f>SUM(G90:G95)</f>
        <v>5795</v>
      </c>
      <c r="H96" s="42">
        <f>SUM(H90:H95)</f>
        <v>6106</v>
      </c>
      <c r="I96" s="37">
        <f>SUM(F96:H96)</f>
        <v>15207</v>
      </c>
      <c r="J96" s="42">
        <f>SUM(J90:J95)</f>
        <v>6375</v>
      </c>
      <c r="K96" s="42">
        <f>SUM(K90:K95)</f>
        <v>4280</v>
      </c>
      <c r="L96" s="42">
        <f>SUM(L90:L95)</f>
        <v>2777</v>
      </c>
      <c r="M96" s="37">
        <f>SUM(J96:L96)</f>
        <v>13432</v>
      </c>
      <c r="N96" s="42">
        <f>SUM(N90:N95)</f>
        <v>2694</v>
      </c>
      <c r="O96" s="42">
        <f>SUM(O90:O95)</f>
        <v>1174</v>
      </c>
      <c r="P96" s="42">
        <f>SUM(P90:P95)</f>
        <v>1713</v>
      </c>
      <c r="Q96" s="37">
        <f>SUM(N96:P96)</f>
        <v>5581</v>
      </c>
      <c r="R96" s="37">
        <f>+E96+I96+M96+Q96</f>
        <v>38077</v>
      </c>
    </row>
    <row r="97" spans="1:20" ht="15.75"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20" ht="15.75" customHeight="1" x14ac:dyDescent="0.3">
      <c r="A99" s="235" t="s">
        <v>1711</v>
      </c>
      <c r="B99" s="248"/>
      <c r="C99" s="248"/>
      <c r="D99" s="248"/>
      <c r="E99" s="38"/>
      <c r="F99" s="248"/>
      <c r="G99" s="248"/>
      <c r="H99" s="248"/>
      <c r="I99" s="38"/>
      <c r="J99" s="248"/>
      <c r="K99" s="248"/>
      <c r="L99" s="248"/>
      <c r="M99" s="38"/>
      <c r="N99" s="248"/>
      <c r="O99" s="248"/>
      <c r="P99" s="248"/>
      <c r="Q99" s="38"/>
      <c r="R99" s="38"/>
    </row>
    <row r="100" spans="1:20" ht="15.75" customHeight="1" x14ac:dyDescent="0.3">
      <c r="A100" s="410" t="s">
        <v>1584</v>
      </c>
      <c r="B100" s="172"/>
      <c r="C100" s="172"/>
      <c r="D100" s="172"/>
      <c r="E100" s="38">
        <f t="shared" ref="E100:E107" si="10">SUM(B100:D100)</f>
        <v>0</v>
      </c>
      <c r="F100" s="172"/>
      <c r="G100" s="172"/>
      <c r="H100" s="172"/>
      <c r="I100" s="38">
        <f t="shared" ref="I100:I107" si="11">SUM(F100:H100)</f>
        <v>0</v>
      </c>
      <c r="J100" s="172"/>
      <c r="K100" s="172"/>
      <c r="L100" s="172"/>
      <c r="M100" s="38">
        <f t="shared" ref="M100:M107" si="12">SUM(J100:L100)</f>
        <v>0</v>
      </c>
      <c r="N100" s="172"/>
      <c r="O100" s="172"/>
      <c r="P100" s="172"/>
      <c r="Q100" s="38">
        <f t="shared" ref="Q100:Q107" si="13">SUM(N100:P100)</f>
        <v>0</v>
      </c>
      <c r="R100" s="38">
        <f t="shared" ref="R100:R107" si="14">+E100+I100+M100+Q100</f>
        <v>0</v>
      </c>
    </row>
    <row r="101" spans="1:20" ht="15.75" customHeight="1" x14ac:dyDescent="0.3">
      <c r="A101" s="410" t="s">
        <v>1977</v>
      </c>
      <c r="B101" s="172"/>
      <c r="C101" s="172"/>
      <c r="D101" s="172"/>
      <c r="E101" s="38">
        <f t="shared" si="10"/>
        <v>0</v>
      </c>
      <c r="F101" s="172"/>
      <c r="G101" s="172"/>
      <c r="H101" s="172"/>
      <c r="I101" s="38">
        <f t="shared" si="11"/>
        <v>0</v>
      </c>
      <c r="J101" s="172"/>
      <c r="K101" s="172"/>
      <c r="L101" s="172"/>
      <c r="M101" s="38">
        <f t="shared" si="12"/>
        <v>0</v>
      </c>
      <c r="N101" s="172"/>
      <c r="O101" s="172"/>
      <c r="P101" s="172"/>
      <c r="Q101" s="38">
        <f t="shared" si="13"/>
        <v>0</v>
      </c>
      <c r="R101" s="38">
        <f t="shared" si="14"/>
        <v>0</v>
      </c>
    </row>
    <row r="102" spans="1:20" ht="15.75" customHeight="1" x14ac:dyDescent="0.3">
      <c r="A102" s="410" t="s">
        <v>1571</v>
      </c>
      <c r="B102" s="172"/>
      <c r="C102" s="172"/>
      <c r="D102" s="172"/>
      <c r="E102" s="38">
        <f>SUM(B102:D102)</f>
        <v>0</v>
      </c>
      <c r="F102" s="172"/>
      <c r="G102" s="172"/>
      <c r="H102" s="172"/>
      <c r="I102" s="38">
        <f>SUM(F102:H102)</f>
        <v>0</v>
      </c>
      <c r="J102" s="172"/>
      <c r="K102" s="172"/>
      <c r="L102" s="172"/>
      <c r="M102" s="38">
        <f>SUM(J102:L102)</f>
        <v>0</v>
      </c>
      <c r="N102" s="172"/>
      <c r="O102" s="172"/>
      <c r="P102" s="172"/>
      <c r="Q102" s="38">
        <f>SUM(N102:P102)</f>
        <v>0</v>
      </c>
      <c r="R102" s="38">
        <f>+E102+I102+M102+Q102</f>
        <v>0</v>
      </c>
    </row>
    <row r="103" spans="1:20" ht="15.75" customHeight="1" x14ac:dyDescent="0.3">
      <c r="A103" s="410" t="s">
        <v>2506</v>
      </c>
      <c r="B103" s="172"/>
      <c r="C103" s="172"/>
      <c r="D103" s="172"/>
      <c r="E103" s="38">
        <f>SUM(B103:D103)</f>
        <v>0</v>
      </c>
      <c r="F103" s="172"/>
      <c r="G103" s="172"/>
      <c r="H103" s="172"/>
      <c r="I103" s="38">
        <f>SUM(F103:H103)</f>
        <v>0</v>
      </c>
      <c r="J103" s="172"/>
      <c r="K103" s="172"/>
      <c r="L103" s="172"/>
      <c r="M103" s="38">
        <f>SUM(J103:L103)</f>
        <v>0</v>
      </c>
      <c r="N103" s="172"/>
      <c r="O103" s="172"/>
      <c r="P103" s="172"/>
      <c r="Q103" s="38">
        <f>SUM(N103:P103)</f>
        <v>0</v>
      </c>
      <c r="R103" s="38">
        <f>+E103+I103+M103+Q103</f>
        <v>0</v>
      </c>
      <c r="T103" t="s">
        <v>2799</v>
      </c>
    </row>
    <row r="104" spans="1:20" ht="15.75" customHeight="1" x14ac:dyDescent="0.3">
      <c r="A104" s="410" t="s">
        <v>436</v>
      </c>
      <c r="B104" s="10"/>
      <c r="C104" s="10"/>
      <c r="D104" s="10"/>
      <c r="E104" s="38">
        <f>SUM(B104:D104)</f>
        <v>0</v>
      </c>
      <c r="F104" s="10"/>
      <c r="G104" s="10"/>
      <c r="H104" s="10"/>
      <c r="I104" s="38">
        <f>SUM(F104:H104)</f>
        <v>0</v>
      </c>
      <c r="J104" s="10"/>
      <c r="K104" s="10"/>
      <c r="L104" s="10"/>
      <c r="M104" s="38">
        <f>SUM(J104:L104)</f>
        <v>0</v>
      </c>
      <c r="N104" s="10"/>
      <c r="O104" s="10"/>
      <c r="P104" s="10"/>
      <c r="Q104" s="38">
        <f>SUM(N104:P104)</f>
        <v>0</v>
      </c>
      <c r="R104" s="38">
        <f>+E104+I104+M104+Q104</f>
        <v>0</v>
      </c>
    </row>
    <row r="105" spans="1:20" ht="15.75" customHeight="1" x14ac:dyDescent="0.3">
      <c r="A105" s="410" t="s">
        <v>2182</v>
      </c>
      <c r="B105" s="172"/>
      <c r="C105" s="172"/>
      <c r="D105" s="172"/>
      <c r="E105" s="38">
        <f t="shared" si="10"/>
        <v>0</v>
      </c>
      <c r="F105" s="172"/>
      <c r="G105" s="172"/>
      <c r="H105" s="172"/>
      <c r="I105" s="38">
        <f t="shared" si="11"/>
        <v>0</v>
      </c>
      <c r="J105" s="172"/>
      <c r="K105" s="172"/>
      <c r="L105" s="172"/>
      <c r="M105" s="38">
        <f t="shared" si="12"/>
        <v>0</v>
      </c>
      <c r="N105" s="172"/>
      <c r="O105" s="172"/>
      <c r="P105" s="172"/>
      <c r="Q105" s="38">
        <f t="shared" si="13"/>
        <v>0</v>
      </c>
      <c r="R105" s="38">
        <f t="shared" si="14"/>
        <v>0</v>
      </c>
    </row>
    <row r="106" spans="1:20" ht="15.75" customHeight="1" thickBot="1" x14ac:dyDescent="0.35">
      <c r="A106" s="410" t="s">
        <v>2261</v>
      </c>
      <c r="B106" s="172"/>
      <c r="C106" s="172"/>
      <c r="D106" s="172"/>
      <c r="E106" s="38">
        <f t="shared" si="10"/>
        <v>0</v>
      </c>
      <c r="F106" s="172"/>
      <c r="G106" s="172"/>
      <c r="H106" s="172"/>
      <c r="I106" s="38">
        <f t="shared" si="11"/>
        <v>0</v>
      </c>
      <c r="J106" s="172"/>
      <c r="K106" s="172"/>
      <c r="L106" s="172"/>
      <c r="M106" s="38">
        <f t="shared" si="12"/>
        <v>0</v>
      </c>
      <c r="N106" s="172"/>
      <c r="O106" s="172"/>
      <c r="P106" s="172"/>
      <c r="Q106" s="38">
        <f t="shared" si="13"/>
        <v>0</v>
      </c>
      <c r="R106" s="38">
        <f t="shared" si="14"/>
        <v>0</v>
      </c>
    </row>
    <row r="107" spans="1:20" ht="16.5" customHeight="1" thickBot="1" x14ac:dyDescent="0.35">
      <c r="A107" s="43" t="s">
        <v>1220</v>
      </c>
      <c r="B107" s="42">
        <f>SUM(B97:B106)</f>
        <v>0</v>
      </c>
      <c r="C107" s="42">
        <f>SUM(C97:C106)</f>
        <v>0</v>
      </c>
      <c r="D107" s="42">
        <f>SUM(D97:D106)</f>
        <v>0</v>
      </c>
      <c r="E107" s="37">
        <f t="shared" si="10"/>
        <v>0</v>
      </c>
      <c r="F107" s="42">
        <f>SUM(F97:F106)</f>
        <v>0</v>
      </c>
      <c r="G107" s="42">
        <f>SUM(G97:G106)</f>
        <v>0</v>
      </c>
      <c r="H107" s="42">
        <f>SUM(H97:H106)</f>
        <v>0</v>
      </c>
      <c r="I107" s="37">
        <f t="shared" si="11"/>
        <v>0</v>
      </c>
      <c r="J107" s="42">
        <f>SUM(J97:J106)</f>
        <v>0</v>
      </c>
      <c r="K107" s="42">
        <f>SUM(K97:K106)</f>
        <v>0</v>
      </c>
      <c r="L107" s="42">
        <f>SUM(L97:L106)</f>
        <v>0</v>
      </c>
      <c r="M107" s="37">
        <f t="shared" si="12"/>
        <v>0</v>
      </c>
      <c r="N107" s="42">
        <f>SUM(N97:N106)</f>
        <v>0</v>
      </c>
      <c r="O107" s="42">
        <f>SUM(O97:O106)</f>
        <v>0</v>
      </c>
      <c r="P107" s="42">
        <f>SUM(P97:P106)</f>
        <v>0</v>
      </c>
      <c r="Q107" s="37">
        <f t="shared" si="13"/>
        <v>0</v>
      </c>
      <c r="R107" s="37">
        <f t="shared" si="14"/>
        <v>0</v>
      </c>
    </row>
    <row r="108" spans="1:20" ht="15.75" customHeight="1" x14ac:dyDescent="0.3">
      <c r="A108" s="235" t="s">
        <v>1712</v>
      </c>
      <c r="B108" s="248"/>
      <c r="C108" s="248"/>
      <c r="D108" s="248"/>
      <c r="E108" s="38" t="s">
        <v>852</v>
      </c>
      <c r="F108" s="248"/>
      <c r="G108" s="248"/>
      <c r="H108" s="248"/>
      <c r="I108" s="38" t="s">
        <v>852</v>
      </c>
      <c r="J108" s="248"/>
      <c r="K108" s="248"/>
      <c r="L108" s="248"/>
      <c r="M108" s="38" t="s">
        <v>852</v>
      </c>
      <c r="N108" s="248"/>
      <c r="O108" s="248"/>
      <c r="P108" s="248"/>
      <c r="Q108" s="38" t="s">
        <v>852</v>
      </c>
      <c r="R108" s="38" t="s">
        <v>852</v>
      </c>
    </row>
    <row r="109" spans="1:20" ht="15.75" customHeight="1" x14ac:dyDescent="0.3">
      <c r="A109" s="235" t="s">
        <v>1021</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20" ht="15.75" customHeight="1" x14ac:dyDescent="0.3">
      <c r="A110" s="422" t="s">
        <v>2751</v>
      </c>
      <c r="B110" s="172"/>
      <c r="C110" s="172"/>
      <c r="D110" s="172"/>
      <c r="E110" s="38">
        <f t="shared" ref="E110:E115" si="15">SUM(B110:D110)</f>
        <v>0</v>
      </c>
      <c r="F110" s="172"/>
      <c r="G110" s="172"/>
      <c r="H110" s="172"/>
      <c r="I110" s="38">
        <f t="shared" ref="I110:I115" si="16">SUM(F110:H110)</f>
        <v>0</v>
      </c>
      <c r="J110" s="172"/>
      <c r="K110" s="172"/>
      <c r="L110" s="172"/>
      <c r="M110" s="38">
        <f t="shared" ref="M110:M115" si="17">SUM(J110:L110)</f>
        <v>0</v>
      </c>
      <c r="N110" s="172"/>
      <c r="O110" s="172"/>
      <c r="P110" s="172"/>
      <c r="Q110" s="38">
        <f t="shared" ref="Q110:Q115" si="18">SUM(N110:P110)</f>
        <v>0</v>
      </c>
      <c r="R110" s="38">
        <f t="shared" ref="R110:R115" si="19">+E110+I110+M110+Q110</f>
        <v>0</v>
      </c>
    </row>
    <row r="111" spans="1:20" ht="15.75" customHeight="1" x14ac:dyDescent="0.3">
      <c r="A111" s="422" t="s">
        <v>656</v>
      </c>
      <c r="B111" s="172"/>
      <c r="C111" s="172"/>
      <c r="D111" s="172"/>
      <c r="E111" s="38">
        <f t="shared" si="15"/>
        <v>0</v>
      </c>
      <c r="F111" s="172"/>
      <c r="G111" s="172"/>
      <c r="H111" s="172"/>
      <c r="I111" s="38">
        <f t="shared" si="16"/>
        <v>0</v>
      </c>
      <c r="J111" s="172"/>
      <c r="K111" s="172"/>
      <c r="L111" s="172"/>
      <c r="M111" s="38">
        <f t="shared" si="17"/>
        <v>0</v>
      </c>
      <c r="N111" s="172"/>
      <c r="O111" s="172"/>
      <c r="P111" s="172"/>
      <c r="Q111" s="38">
        <f t="shared" si="18"/>
        <v>0</v>
      </c>
      <c r="R111" s="38">
        <f t="shared" si="19"/>
        <v>0</v>
      </c>
    </row>
    <row r="112" spans="1:20" ht="15.75" customHeight="1" x14ac:dyDescent="0.3">
      <c r="A112" s="422" t="s">
        <v>320</v>
      </c>
      <c r="B112" s="172"/>
      <c r="C112" s="172"/>
      <c r="D112" s="172"/>
      <c r="E112" s="38">
        <f t="shared" si="15"/>
        <v>0</v>
      </c>
      <c r="F112" s="172"/>
      <c r="G112" s="172"/>
      <c r="H112" s="172"/>
      <c r="I112" s="38">
        <f t="shared" si="16"/>
        <v>0</v>
      </c>
      <c r="J112" s="172"/>
      <c r="K112" s="172"/>
      <c r="L112" s="172"/>
      <c r="M112" s="38">
        <f t="shared" si="17"/>
        <v>0</v>
      </c>
      <c r="N112" s="172"/>
      <c r="O112" s="172"/>
      <c r="P112" s="172"/>
      <c r="Q112" s="38">
        <f t="shared" si="18"/>
        <v>0</v>
      </c>
      <c r="R112" s="38">
        <f t="shared" si="19"/>
        <v>0</v>
      </c>
    </row>
    <row r="113" spans="1:20" ht="15.75" customHeight="1" x14ac:dyDescent="0.3">
      <c r="A113" s="422" t="s">
        <v>563</v>
      </c>
      <c r="B113" s="172"/>
      <c r="C113" s="172"/>
      <c r="D113" s="172"/>
      <c r="E113" s="38">
        <f t="shared" si="15"/>
        <v>0</v>
      </c>
      <c r="F113" s="172"/>
      <c r="G113" s="172"/>
      <c r="H113" s="172"/>
      <c r="I113" s="38">
        <f t="shared" si="16"/>
        <v>0</v>
      </c>
      <c r="J113" s="172"/>
      <c r="K113" s="172"/>
      <c r="L113" s="172"/>
      <c r="M113" s="38">
        <f t="shared" si="17"/>
        <v>0</v>
      </c>
      <c r="N113" s="172"/>
      <c r="O113" s="172"/>
      <c r="P113" s="172"/>
      <c r="Q113" s="38">
        <f t="shared" si="18"/>
        <v>0</v>
      </c>
      <c r="R113" s="38">
        <f t="shared" si="19"/>
        <v>0</v>
      </c>
    </row>
    <row r="114" spans="1:20" ht="15.75" customHeight="1" x14ac:dyDescent="0.3">
      <c r="A114" s="422" t="s">
        <v>2123</v>
      </c>
      <c r="B114" s="172"/>
      <c r="C114" s="172"/>
      <c r="D114" s="172"/>
      <c r="E114" s="38">
        <f t="shared" si="15"/>
        <v>0</v>
      </c>
      <c r="F114" s="172"/>
      <c r="G114" s="172"/>
      <c r="H114" s="172"/>
      <c r="I114" s="38">
        <f t="shared" si="16"/>
        <v>0</v>
      </c>
      <c r="J114" s="172"/>
      <c r="K114" s="172"/>
      <c r="L114" s="172"/>
      <c r="M114" s="38">
        <f t="shared" si="17"/>
        <v>0</v>
      </c>
      <c r="N114" s="172"/>
      <c r="O114" s="172"/>
      <c r="P114" s="172"/>
      <c r="Q114" s="38">
        <f t="shared" si="18"/>
        <v>0</v>
      </c>
      <c r="R114" s="38">
        <f t="shared" si="19"/>
        <v>0</v>
      </c>
    </row>
    <row r="115" spans="1:20" ht="15.75" customHeight="1" x14ac:dyDescent="0.3">
      <c r="A115" s="422" t="s">
        <v>2752</v>
      </c>
      <c r="B115" s="172"/>
      <c r="C115" s="172"/>
      <c r="D115" s="172"/>
      <c r="E115" s="38">
        <f t="shared" si="15"/>
        <v>0</v>
      </c>
      <c r="F115" s="172"/>
      <c r="G115" s="172"/>
      <c r="H115" s="172"/>
      <c r="I115" s="38">
        <f t="shared" si="16"/>
        <v>0</v>
      </c>
      <c r="J115" s="172"/>
      <c r="K115" s="172"/>
      <c r="L115" s="172"/>
      <c r="M115" s="38">
        <f t="shared" si="17"/>
        <v>0</v>
      </c>
      <c r="N115" s="172"/>
      <c r="O115" s="172"/>
      <c r="P115" s="172"/>
      <c r="Q115" s="38">
        <f t="shared" si="18"/>
        <v>0</v>
      </c>
      <c r="R115" s="38">
        <f t="shared" si="19"/>
        <v>0</v>
      </c>
    </row>
    <row r="116" spans="1:20" ht="15.75" customHeight="1" x14ac:dyDescent="0.3">
      <c r="A116" s="422" t="s">
        <v>2690</v>
      </c>
      <c r="B116" s="172"/>
      <c r="C116" s="172"/>
      <c r="D116" s="172"/>
      <c r="E116" s="38">
        <f>SUM(B116:D116)</f>
        <v>0</v>
      </c>
      <c r="F116" s="172"/>
      <c r="G116" s="172"/>
      <c r="H116" s="172"/>
      <c r="I116" s="38">
        <f>SUM(F116:H116)</f>
        <v>0</v>
      </c>
      <c r="J116" s="172"/>
      <c r="K116" s="172"/>
      <c r="L116" s="172"/>
      <c r="M116" s="38">
        <f>SUM(J116:L116)</f>
        <v>0</v>
      </c>
      <c r="N116" s="172"/>
      <c r="O116" s="172"/>
      <c r="P116" s="172"/>
      <c r="Q116" s="38">
        <f>SUM(N116:P116)</f>
        <v>0</v>
      </c>
      <c r="R116" s="38">
        <f>+E116+I116+M116+Q116</f>
        <v>0</v>
      </c>
    </row>
    <row r="117" spans="1:20" ht="15.75" customHeight="1" x14ac:dyDescent="0.3">
      <c r="A117" s="618" t="s">
        <v>2503</v>
      </c>
      <c r="B117" s="172"/>
      <c r="C117" s="172"/>
      <c r="D117" s="172"/>
      <c r="E117" s="38">
        <f>SUM(B117:D117)</f>
        <v>0</v>
      </c>
      <c r="F117" s="172"/>
      <c r="G117" s="172"/>
      <c r="H117" s="172"/>
      <c r="I117" s="38">
        <f>SUM(F117:H117)</f>
        <v>0</v>
      </c>
      <c r="J117" s="172"/>
      <c r="K117" s="172"/>
      <c r="L117" s="172"/>
      <c r="M117" s="38">
        <f>SUM(J117:L117)</f>
        <v>0</v>
      </c>
      <c r="N117" s="172"/>
      <c r="O117" s="172"/>
      <c r="P117" s="172"/>
      <c r="Q117" s="38">
        <f>SUM(N117:P117)</f>
        <v>0</v>
      </c>
      <c r="R117" s="38">
        <f>+E117+I117+M117+Q117</f>
        <v>0</v>
      </c>
      <c r="T117" t="s">
        <v>2811</v>
      </c>
    </row>
    <row r="118" spans="1:20" ht="15.75" customHeight="1" x14ac:dyDescent="0.3">
      <c r="A118" s="235" t="s">
        <v>557</v>
      </c>
      <c r="B118" s="248"/>
      <c r="C118" s="248"/>
      <c r="D118" s="248"/>
      <c r="E118" s="38" t="s">
        <v>852</v>
      </c>
      <c r="F118" s="248"/>
      <c r="G118" s="248"/>
      <c r="H118" s="248"/>
      <c r="I118" s="38" t="s">
        <v>852</v>
      </c>
      <c r="J118" s="248"/>
      <c r="K118" s="248"/>
      <c r="L118" s="248"/>
      <c r="M118" s="38" t="s">
        <v>852</v>
      </c>
      <c r="N118" s="248"/>
      <c r="O118" s="248"/>
      <c r="P118" s="248"/>
      <c r="Q118" s="38" t="s">
        <v>852</v>
      </c>
      <c r="R118" s="38" t="s">
        <v>852</v>
      </c>
    </row>
    <row r="119" spans="1:20" ht="15.75" customHeight="1" x14ac:dyDescent="0.3">
      <c r="A119" s="422" t="s">
        <v>2606</v>
      </c>
      <c r="B119" s="172"/>
      <c r="C119" s="172"/>
      <c r="D119" s="172"/>
      <c r="E119" s="38">
        <f>SUM(B119:D119)</f>
        <v>0</v>
      </c>
      <c r="F119" s="172"/>
      <c r="G119" s="172"/>
      <c r="H119" s="172"/>
      <c r="I119" s="38">
        <f>SUM(F119:H119)</f>
        <v>0</v>
      </c>
      <c r="J119" s="172"/>
      <c r="K119" s="172"/>
      <c r="L119" s="172"/>
      <c r="M119" s="38">
        <f>SUM(J119:L119)</f>
        <v>0</v>
      </c>
      <c r="N119" s="172">
        <v>5006</v>
      </c>
      <c r="O119" s="172">
        <v>7829</v>
      </c>
      <c r="P119" s="172">
        <v>713</v>
      </c>
      <c r="Q119" s="38">
        <f>SUM(N119:P119)</f>
        <v>13548</v>
      </c>
      <c r="R119" s="38">
        <f>+E119+I119+M119+Q119</f>
        <v>13548</v>
      </c>
    </row>
    <row r="120" spans="1:20" ht="15.75" customHeight="1" x14ac:dyDescent="0.3">
      <c r="A120" s="422" t="s">
        <v>2548</v>
      </c>
      <c r="B120" s="172"/>
      <c r="C120" s="172"/>
      <c r="D120" s="172"/>
      <c r="E120" s="38">
        <f>SUM(B120:D120)</f>
        <v>0</v>
      </c>
      <c r="F120" s="172"/>
      <c r="G120" s="172"/>
      <c r="H120" s="172"/>
      <c r="I120" s="38">
        <f>SUM(F120:H120)</f>
        <v>0</v>
      </c>
      <c r="J120" s="172"/>
      <c r="K120" s="172"/>
      <c r="L120" s="172"/>
      <c r="M120" s="38">
        <f>SUM(J120:L120)</f>
        <v>0</v>
      </c>
      <c r="N120" s="172"/>
      <c r="O120" s="172"/>
      <c r="P120" s="172"/>
      <c r="Q120" s="38">
        <f>SUM(N120:P120)</f>
        <v>0</v>
      </c>
      <c r="R120" s="38">
        <f>+E120+I120+M120+Q120</f>
        <v>0</v>
      </c>
    </row>
    <row r="121" spans="1:20" ht="15.75" customHeight="1" x14ac:dyDescent="0.3">
      <c r="A121" s="235" t="s">
        <v>1022</v>
      </c>
      <c r="B121" s="248"/>
      <c r="C121" s="248"/>
      <c r="D121" s="248"/>
      <c r="E121" s="38" t="s">
        <v>852</v>
      </c>
      <c r="F121" s="248"/>
      <c r="G121" s="248"/>
      <c r="H121" s="248"/>
      <c r="I121" s="38" t="s">
        <v>852</v>
      </c>
      <c r="J121" s="248"/>
      <c r="K121" s="248"/>
      <c r="L121" s="248"/>
      <c r="M121" s="38" t="s">
        <v>852</v>
      </c>
      <c r="N121" s="248"/>
      <c r="O121" s="248"/>
      <c r="P121" s="248"/>
      <c r="Q121" s="38" t="s">
        <v>852</v>
      </c>
      <c r="R121" s="38" t="s">
        <v>852</v>
      </c>
    </row>
    <row r="122" spans="1:20" ht="15.75" customHeight="1" x14ac:dyDescent="0.3">
      <c r="A122" s="422" t="s">
        <v>239</v>
      </c>
      <c r="B122" s="172"/>
      <c r="C122" s="172"/>
      <c r="D122" s="172"/>
      <c r="E122" s="38">
        <f>SUM(B122:D122)</f>
        <v>0</v>
      </c>
      <c r="F122" s="172"/>
      <c r="G122" s="172"/>
      <c r="H122" s="172"/>
      <c r="I122" s="38">
        <f>SUM(F122:H122)</f>
        <v>0</v>
      </c>
      <c r="J122" s="172"/>
      <c r="K122" s="172">
        <v>1453</v>
      </c>
      <c r="L122" s="172"/>
      <c r="M122" s="38">
        <f>SUM(J122:L122)</f>
        <v>1453</v>
      </c>
      <c r="N122" s="172"/>
      <c r="O122" s="172">
        <v>110</v>
      </c>
      <c r="P122" s="172">
        <v>258</v>
      </c>
      <c r="Q122" s="38">
        <f>SUM(N122:P122)</f>
        <v>368</v>
      </c>
      <c r="R122" s="38">
        <f>+E122+I122+M122+Q122</f>
        <v>1821</v>
      </c>
      <c r="T122" t="s">
        <v>2774</v>
      </c>
    </row>
    <row r="123" spans="1:20" ht="15.75" customHeight="1" thickBot="1" x14ac:dyDescent="0.35">
      <c r="A123" s="235" t="s">
        <v>559</v>
      </c>
      <c r="B123" s="248"/>
      <c r="C123" s="248"/>
      <c r="D123" s="248"/>
      <c r="E123" s="38" t="s">
        <v>852</v>
      </c>
      <c r="F123" s="248"/>
      <c r="G123" s="248"/>
      <c r="H123" s="248"/>
      <c r="I123" s="38" t="s">
        <v>852</v>
      </c>
      <c r="J123" s="248"/>
      <c r="K123" s="248"/>
      <c r="L123" s="248"/>
      <c r="M123" s="38" t="s">
        <v>852</v>
      </c>
      <c r="N123" s="248"/>
      <c r="O123" s="248"/>
      <c r="P123" s="248"/>
      <c r="Q123" s="38" t="s">
        <v>852</v>
      </c>
      <c r="R123" s="38" t="s">
        <v>852</v>
      </c>
    </row>
    <row r="124" spans="1:20" ht="16.5" customHeight="1" thickBot="1" x14ac:dyDescent="0.35">
      <c r="A124" s="43" t="s">
        <v>1019</v>
      </c>
      <c r="B124" s="42">
        <f>SUM(B121:B123)</f>
        <v>0</v>
      </c>
      <c r="C124" s="42">
        <f>SUM(C121:C123)</f>
        <v>0</v>
      </c>
      <c r="D124" s="42">
        <f>SUM(D121:D123)</f>
        <v>0</v>
      </c>
      <c r="E124" s="39">
        <f>SUM(B124:D124)</f>
        <v>0</v>
      </c>
      <c r="F124" s="42">
        <f>SUM(F121:F123)</f>
        <v>0</v>
      </c>
      <c r="G124" s="42">
        <f>SUM(G121:G123)</f>
        <v>0</v>
      </c>
      <c r="H124" s="42">
        <f>SUM(H121:H123)</f>
        <v>0</v>
      </c>
      <c r="I124" s="39">
        <f>SUM(F124:H124)</f>
        <v>0</v>
      </c>
      <c r="J124" s="42">
        <f>SUM(J121:J123)</f>
        <v>0</v>
      </c>
      <c r="K124" s="42">
        <f>SUM(K121:K123)</f>
        <v>1453</v>
      </c>
      <c r="L124" s="42">
        <f>SUM(L121:L123)</f>
        <v>0</v>
      </c>
      <c r="M124" s="39">
        <f>SUM(J124:L124)</f>
        <v>1453</v>
      </c>
      <c r="N124" s="42">
        <f>SUM(N121:N123)</f>
        <v>0</v>
      </c>
      <c r="O124" s="42">
        <f>SUM(O121:O123)</f>
        <v>110</v>
      </c>
      <c r="P124" s="42">
        <f>SUM(P121:P123)</f>
        <v>258</v>
      </c>
      <c r="Q124" s="39">
        <f>SUM(N124:P124)</f>
        <v>368</v>
      </c>
      <c r="R124" s="37">
        <f>+E124+I124+M124+Q124</f>
        <v>1821</v>
      </c>
    </row>
    <row r="125" spans="1:20" ht="16.5" customHeight="1" thickBot="1" x14ac:dyDescent="0.35">
      <c r="A125" s="43" t="s">
        <v>1221</v>
      </c>
      <c r="B125" s="42">
        <f>SUM(B108:B123)</f>
        <v>0</v>
      </c>
      <c r="C125" s="42">
        <f>SUM(C108:C123)</f>
        <v>0</v>
      </c>
      <c r="D125" s="42">
        <f>SUM(D108:D123)</f>
        <v>0</v>
      </c>
      <c r="E125" s="39">
        <f>SUM(B125:D125)</f>
        <v>0</v>
      </c>
      <c r="F125" s="42">
        <f>SUM(F108:F123)</f>
        <v>0</v>
      </c>
      <c r="G125" s="42">
        <f>SUM(G108:G123)</f>
        <v>0</v>
      </c>
      <c r="H125" s="42">
        <f>SUM(H108:H123)</f>
        <v>0</v>
      </c>
      <c r="I125" s="39">
        <f>SUM(F125:H125)</f>
        <v>0</v>
      </c>
      <c r="J125" s="42">
        <f>SUM(J108:J123)</f>
        <v>0</v>
      </c>
      <c r="K125" s="42">
        <f>SUM(K108:K123)</f>
        <v>1453</v>
      </c>
      <c r="L125" s="42">
        <f>SUM(L108:L123)</f>
        <v>0</v>
      </c>
      <c r="M125" s="39">
        <f>SUM(J125:L125)</f>
        <v>1453</v>
      </c>
      <c r="N125" s="42">
        <f>SUM(N108:N123)</f>
        <v>5006</v>
      </c>
      <c r="O125" s="42">
        <f>SUM(O108:O123)</f>
        <v>7939</v>
      </c>
      <c r="P125" s="42">
        <f>SUM(P108:P123)</f>
        <v>971</v>
      </c>
      <c r="Q125" s="39">
        <f>SUM(N125:P125)</f>
        <v>13916</v>
      </c>
      <c r="R125" s="37">
        <f>+E125+I125+M125+Q125</f>
        <v>15369</v>
      </c>
    </row>
    <row r="126" spans="1:20" ht="16.5" customHeight="1" thickBot="1" x14ac:dyDescent="0.35">
      <c r="A126" s="43" t="s">
        <v>1222</v>
      </c>
      <c r="B126" s="42">
        <f>+B89+B96+B107+B125</f>
        <v>1185</v>
      </c>
      <c r="C126" s="42">
        <f>+C89+C96+C107+C125</f>
        <v>1925</v>
      </c>
      <c r="D126" s="42">
        <f>+D89+D96+D107+D125</f>
        <v>3504</v>
      </c>
      <c r="E126" s="37">
        <f>SUM(B126:D126)</f>
        <v>6614</v>
      </c>
      <c r="F126" s="42">
        <f>+F89+F96+F107+F125</f>
        <v>5500</v>
      </c>
      <c r="G126" s="42">
        <f>+G89+G96+G107+G125</f>
        <v>7143</v>
      </c>
      <c r="H126" s="42">
        <f>+H89+H96+H107+H125</f>
        <v>7258</v>
      </c>
      <c r="I126" s="37">
        <f>SUM(F126:H126)</f>
        <v>19901</v>
      </c>
      <c r="J126" s="42">
        <f>+J89+J96+J107+J125</f>
        <v>7877</v>
      </c>
      <c r="K126" s="42">
        <f>+K89+K96+K107+K125</f>
        <v>7518</v>
      </c>
      <c r="L126" s="42">
        <f>+L89+L96+L107+L125</f>
        <v>11227</v>
      </c>
      <c r="M126" s="37">
        <f>SUM(J126:L126)</f>
        <v>26622</v>
      </c>
      <c r="N126" s="42">
        <f>+N89+N96+N107+N125</f>
        <v>12465</v>
      </c>
      <c r="O126" s="42">
        <f>+O89+O96+O107+O125</f>
        <v>9533</v>
      </c>
      <c r="P126" s="42">
        <f>+P89+P96+P107+P125</f>
        <v>2684</v>
      </c>
      <c r="Q126" s="37">
        <f>SUM(N126:P126)</f>
        <v>24682</v>
      </c>
      <c r="R126" s="37">
        <f>+E126+I126+M126+Q126</f>
        <v>77819</v>
      </c>
    </row>
    <row r="127" spans="1:20" ht="16.5" customHeight="1" thickBot="1" x14ac:dyDescent="0.35">
      <c r="A127" s="257" t="s">
        <v>853</v>
      </c>
      <c r="B127" s="238">
        <v>173</v>
      </c>
      <c r="C127" s="238">
        <v>260</v>
      </c>
      <c r="D127" s="238">
        <v>471</v>
      </c>
      <c r="E127" s="38">
        <f>SUM(B127:D127)</f>
        <v>904</v>
      </c>
      <c r="F127" s="238">
        <v>629</v>
      </c>
      <c r="G127" s="238">
        <v>725</v>
      </c>
      <c r="H127" s="238">
        <v>712</v>
      </c>
      <c r="I127" s="38">
        <f>SUM(F127:H127)</f>
        <v>2066</v>
      </c>
      <c r="J127" s="238">
        <v>711</v>
      </c>
      <c r="K127" s="238">
        <v>573</v>
      </c>
      <c r="L127" s="238">
        <v>542</v>
      </c>
      <c r="M127" s="38">
        <f>SUM(J127:L127)</f>
        <v>1826</v>
      </c>
      <c r="N127" s="238">
        <v>490</v>
      </c>
      <c r="O127" s="238">
        <v>407</v>
      </c>
      <c r="P127" s="238">
        <v>323</v>
      </c>
      <c r="Q127" s="38">
        <f>SUM(N127:P127)</f>
        <v>1220</v>
      </c>
      <c r="R127" s="38">
        <f>+E127+I127+M127+Q127</f>
        <v>6016</v>
      </c>
    </row>
    <row r="128" spans="1:20" ht="16.5" customHeight="1" thickBot="1" x14ac:dyDescent="0.35">
      <c r="A128" s="44"/>
      <c r="B128" s="258"/>
      <c r="C128" s="258"/>
      <c r="D128" s="258"/>
      <c r="E128" s="37" t="s">
        <v>852</v>
      </c>
      <c r="F128" s="258"/>
      <c r="G128" s="258"/>
      <c r="H128" s="258"/>
      <c r="I128" s="37" t="s">
        <v>852</v>
      </c>
      <c r="J128" s="258"/>
      <c r="K128" s="258"/>
      <c r="L128" s="258"/>
      <c r="M128" s="37" t="s">
        <v>852</v>
      </c>
      <c r="N128" s="258"/>
      <c r="O128" s="258"/>
      <c r="P128" s="258"/>
      <c r="Q128" s="37" t="s">
        <v>852</v>
      </c>
      <c r="R128" s="37" t="s">
        <v>852</v>
      </c>
    </row>
    <row r="129" spans="1:20" ht="15.75" customHeight="1" x14ac:dyDescent="0.3">
      <c r="A129" s="259" t="s">
        <v>2011</v>
      </c>
      <c r="B129" s="260">
        <f>+B126+B127</f>
        <v>1358</v>
      </c>
      <c r="C129" s="260">
        <f>+C126+C127</f>
        <v>2185</v>
      </c>
      <c r="D129" s="260">
        <f>+D126+D127</f>
        <v>3975</v>
      </c>
      <c r="E129" s="38">
        <f>SUM(B129:D129)</f>
        <v>7518</v>
      </c>
      <c r="F129" s="260">
        <f>+F126+F127</f>
        <v>6129</v>
      </c>
      <c r="G129" s="260">
        <f>+G126+G127</f>
        <v>7868</v>
      </c>
      <c r="H129" s="260">
        <f>+H126+H127</f>
        <v>7970</v>
      </c>
      <c r="I129" s="38">
        <f>SUM(F129:H129)</f>
        <v>21967</v>
      </c>
      <c r="J129" s="260">
        <f>+J126+J127</f>
        <v>8588</v>
      </c>
      <c r="K129" s="260">
        <f>+K126+K127</f>
        <v>8091</v>
      </c>
      <c r="L129" s="260">
        <f>+L126+L127</f>
        <v>11769</v>
      </c>
      <c r="M129" s="38">
        <f>SUM(J129:L129)</f>
        <v>28448</v>
      </c>
      <c r="N129" s="260">
        <f>+N126+N127</f>
        <v>12955</v>
      </c>
      <c r="O129" s="260">
        <f>+O126+O127</f>
        <v>9940</v>
      </c>
      <c r="P129" s="260">
        <f>+P126+P127</f>
        <v>3007</v>
      </c>
      <c r="Q129" s="38">
        <f>SUM(N129:P129)</f>
        <v>25902</v>
      </c>
      <c r="R129" s="38">
        <f>+E129+I129+M129+Q129</f>
        <v>83835</v>
      </c>
    </row>
    <row r="130" spans="1:20" ht="15.75" customHeight="1" x14ac:dyDescent="0.3">
      <c r="A130" s="261" t="s">
        <v>1897</v>
      </c>
      <c r="B130" s="172">
        <f>(B129/B10)/1.983</f>
        <v>22.09099930050591</v>
      </c>
      <c r="C130" s="172">
        <f>(C129/C10)/1.983</f>
        <v>39.352352136013259</v>
      </c>
      <c r="D130" s="172">
        <f>(D129/D10)/1.983</f>
        <v>64.662534771363028</v>
      </c>
      <c r="E130" s="38" t="s">
        <v>852</v>
      </c>
      <c r="F130" s="172">
        <f>(F129/F10)/1.983</f>
        <v>103.02571860816944</v>
      </c>
      <c r="G130" s="172">
        <f>(G129/G10)/1.983</f>
        <v>127.99115058643632</v>
      </c>
      <c r="H130" s="172">
        <f>(H129/H10)/1.983</f>
        <v>133.97209615061354</v>
      </c>
      <c r="I130" s="38" t="s">
        <v>852</v>
      </c>
      <c r="J130" s="172">
        <f>(J129/J10)/1.983</f>
        <v>139.70360971483416</v>
      </c>
      <c r="K130" s="172">
        <f>(K129/K10)/1.983</f>
        <v>131.61875945537065</v>
      </c>
      <c r="L130" s="172">
        <f>(L129/L10)/1.983</f>
        <v>197.8315683308119</v>
      </c>
      <c r="M130" s="38" t="s">
        <v>852</v>
      </c>
      <c r="N130" s="172">
        <f>(N129/N10)/1.983</f>
        <v>210.74292778943598</v>
      </c>
      <c r="O130" s="172">
        <f>(O129/O10)/1.983</f>
        <v>167.08690536224574</v>
      </c>
      <c r="P130" s="172">
        <f>(P129/P10)/1.983</f>
        <v>48.915784165405945</v>
      </c>
      <c r="Q130" s="38" t="s">
        <v>852</v>
      </c>
      <c r="R130" s="38" t="s">
        <v>852</v>
      </c>
    </row>
    <row r="131" spans="1:20" ht="15.75" customHeight="1" x14ac:dyDescent="0.3">
      <c r="A131" s="262" t="s">
        <v>1679</v>
      </c>
      <c r="B131" s="172">
        <f>B129+B275</f>
        <v>82749</v>
      </c>
      <c r="C131" s="172">
        <f>C129+C275</f>
        <v>128933</v>
      </c>
      <c r="D131" s="172">
        <f>D129+D275</f>
        <v>174655</v>
      </c>
      <c r="E131" s="38">
        <f>SUM(B131:D131)</f>
        <v>386337</v>
      </c>
      <c r="F131" s="172">
        <f>F129+F275</f>
        <v>177088</v>
      </c>
      <c r="G131" s="172">
        <f>G129+G275</f>
        <v>182668</v>
      </c>
      <c r="H131" s="172">
        <f>H129+H275</f>
        <v>134525</v>
      </c>
      <c r="I131" s="38">
        <f>SUM(F131:H131)</f>
        <v>494281</v>
      </c>
      <c r="J131" s="172">
        <f>J129+J275</f>
        <v>94482</v>
      </c>
      <c r="K131" s="172">
        <f>K129+K275</f>
        <v>101053</v>
      </c>
      <c r="L131" s="172">
        <f>L129+L275</f>
        <v>139079</v>
      </c>
      <c r="M131" s="38">
        <f>SUM(J131:L131)</f>
        <v>334614</v>
      </c>
      <c r="N131" s="172">
        <f>N129+N275</f>
        <v>119152</v>
      </c>
      <c r="O131" s="172">
        <f>O129+O275</f>
        <v>135299</v>
      </c>
      <c r="P131" s="172">
        <f>P129+P275</f>
        <v>113369</v>
      </c>
      <c r="Q131" s="38">
        <f>SUM(N131:P131)</f>
        <v>367820</v>
      </c>
      <c r="R131" s="38">
        <f>+E131+I131+M131+Q131</f>
        <v>1583052</v>
      </c>
    </row>
    <row r="132" spans="1:20" ht="16.5" customHeight="1" thickBot="1" x14ac:dyDescent="0.35">
      <c r="A132" s="263" t="s">
        <v>6</v>
      </c>
      <c r="B132" s="264">
        <f>(B131/B10)/1.983</f>
        <v>1346.1031672441559</v>
      </c>
      <c r="C132" s="264">
        <f>(C131/C10)/1.983</f>
        <v>2322.1129601613716</v>
      </c>
      <c r="D132" s="264">
        <f>(D131/D10)/1.983</f>
        <v>2841.166040375449</v>
      </c>
      <c r="E132" s="40" t="s">
        <v>852</v>
      </c>
      <c r="F132" s="264">
        <f>(F131/F10)/1.983</f>
        <v>2976.769204908388</v>
      </c>
      <c r="G132" s="264">
        <f>(G131/G10)/1.983</f>
        <v>2971.5159500919103</v>
      </c>
      <c r="H132" s="264">
        <f>(H131/H10)/1.983</f>
        <v>2261.3044209110776</v>
      </c>
      <c r="I132" s="40" t="s">
        <v>852</v>
      </c>
      <c r="J132" s="264">
        <f>(J131/J10)/1.983</f>
        <v>1536.9674491240057</v>
      </c>
      <c r="K132" s="264">
        <f>(K131/K10)/1.983</f>
        <v>1643.8599059749808</v>
      </c>
      <c r="L132" s="264">
        <f>(L131/L10)/1.983</f>
        <v>2337.855101697764</v>
      </c>
      <c r="M132" s="40" t="s">
        <v>852</v>
      </c>
      <c r="N132" s="264">
        <f>(N131/N10)/1.983</f>
        <v>1938.2818473150812</v>
      </c>
      <c r="O132" s="264">
        <f>(O131/O10)/1.983</f>
        <v>2274.3150109262056</v>
      </c>
      <c r="P132" s="264">
        <f>(P131/P10)/1.983</f>
        <v>1844.2080262879638</v>
      </c>
      <c r="Q132" s="40" t="s">
        <v>852</v>
      </c>
      <c r="R132" s="40" t="s">
        <v>852</v>
      </c>
    </row>
    <row r="133" spans="1:20" ht="15.75" customHeight="1" x14ac:dyDescent="0.3">
      <c r="A133" s="18"/>
      <c r="B133" s="172"/>
      <c r="C133" s="172"/>
      <c r="D133" s="172"/>
      <c r="E133" s="172"/>
      <c r="F133" s="172"/>
      <c r="G133" s="172"/>
      <c r="H133" s="172"/>
      <c r="I133" s="172"/>
      <c r="J133" s="172"/>
      <c r="K133" s="172"/>
      <c r="L133" s="172"/>
      <c r="M133" s="172"/>
      <c r="N133" s="172"/>
      <c r="O133" s="172"/>
      <c r="P133" s="172"/>
      <c r="Q133" s="172"/>
      <c r="R133" s="17"/>
    </row>
    <row r="134" spans="1:20" ht="15.75" customHeight="1" thickBot="1" x14ac:dyDescent="0.35">
      <c r="A134" s="18" t="s">
        <v>852</v>
      </c>
      <c r="B134" s="172"/>
      <c r="C134" s="172"/>
      <c r="D134" s="172"/>
      <c r="E134" s="172"/>
      <c r="F134" s="172"/>
      <c r="G134" s="172"/>
      <c r="H134" s="172"/>
      <c r="I134" s="172"/>
      <c r="J134" s="172"/>
      <c r="K134" s="172"/>
      <c r="L134" s="172"/>
      <c r="M134" s="172"/>
      <c r="N134" s="172"/>
      <c r="O134" s="172"/>
      <c r="P134" s="172"/>
      <c r="Q134" s="172"/>
      <c r="R134" s="17"/>
    </row>
    <row r="135" spans="1:20" ht="16.5" customHeight="1" thickBot="1" x14ac:dyDescent="0.35">
      <c r="A135" s="240" t="s">
        <v>1446</v>
      </c>
      <c r="B135" s="4" t="s">
        <v>2090</v>
      </c>
      <c r="C135" s="5" t="s">
        <v>2091</v>
      </c>
      <c r="D135" s="5" t="s">
        <v>2234</v>
      </c>
      <c r="E135" s="33" t="s">
        <v>1594</v>
      </c>
      <c r="F135" s="5" t="s">
        <v>2235</v>
      </c>
      <c r="G135" s="5" t="s">
        <v>2236</v>
      </c>
      <c r="H135" s="5" t="s">
        <v>2237</v>
      </c>
      <c r="I135" s="35" t="s">
        <v>1595</v>
      </c>
      <c r="J135" s="5" t="s">
        <v>1504</v>
      </c>
      <c r="K135" s="5" t="s">
        <v>1505</v>
      </c>
      <c r="L135" s="5" t="s">
        <v>1506</v>
      </c>
      <c r="M135" s="35" t="s">
        <v>1596</v>
      </c>
      <c r="N135" s="5" t="s">
        <v>1507</v>
      </c>
      <c r="O135" s="5" t="s">
        <v>1508</v>
      </c>
      <c r="P135" s="5" t="s">
        <v>1509</v>
      </c>
      <c r="Q135" s="35" t="s">
        <v>1597</v>
      </c>
      <c r="R135" s="36" t="s">
        <v>1510</v>
      </c>
    </row>
    <row r="136" spans="1:20" ht="16.5" customHeight="1" thickBot="1" x14ac:dyDescent="0.35">
      <c r="A136" s="44"/>
      <c r="B136" s="258"/>
      <c r="C136" s="258"/>
      <c r="D136" s="258"/>
      <c r="E136" s="265"/>
      <c r="F136" s="258"/>
      <c r="G136" s="258"/>
      <c r="H136" s="258"/>
      <c r="I136" s="265"/>
      <c r="J136" s="258"/>
      <c r="K136" s="258"/>
      <c r="L136" s="258"/>
      <c r="M136" s="265"/>
      <c r="N136" s="258"/>
      <c r="O136" s="258"/>
      <c r="P136" s="258"/>
      <c r="Q136" s="265"/>
      <c r="R136" s="44"/>
    </row>
    <row r="137" spans="1:20" ht="15.75" customHeight="1" x14ac:dyDescent="0.3">
      <c r="A137" s="234" t="s">
        <v>2417</v>
      </c>
      <c r="B137" s="172" t="s">
        <v>852</v>
      </c>
      <c r="C137" s="172" t="s">
        <v>852</v>
      </c>
      <c r="D137" s="172" t="s">
        <v>852</v>
      </c>
      <c r="E137" s="38" t="s">
        <v>852</v>
      </c>
      <c r="F137" s="172" t="s">
        <v>852</v>
      </c>
      <c r="G137" s="172" t="s">
        <v>852</v>
      </c>
      <c r="H137" s="172" t="s">
        <v>852</v>
      </c>
      <c r="I137" s="38" t="s">
        <v>852</v>
      </c>
      <c r="J137" s="172" t="s">
        <v>852</v>
      </c>
      <c r="K137" s="172" t="s">
        <v>852</v>
      </c>
      <c r="L137" s="172" t="s">
        <v>852</v>
      </c>
      <c r="M137" s="38" t="s">
        <v>852</v>
      </c>
      <c r="N137" s="172" t="s">
        <v>852</v>
      </c>
      <c r="O137" s="172" t="s">
        <v>852</v>
      </c>
      <c r="P137" s="172" t="s">
        <v>852</v>
      </c>
      <c r="Q137" s="38" t="s">
        <v>852</v>
      </c>
      <c r="R137" s="48" t="s">
        <v>852</v>
      </c>
    </row>
    <row r="138" spans="1:20" ht="15.75" customHeight="1" x14ac:dyDescent="0.3">
      <c r="A138" s="234" t="s">
        <v>2160</v>
      </c>
      <c r="B138" s="172"/>
      <c r="C138" s="172"/>
      <c r="D138" s="172"/>
      <c r="E138" s="38" t="s">
        <v>852</v>
      </c>
      <c r="F138" s="172"/>
      <c r="G138" s="172"/>
      <c r="H138" s="172"/>
      <c r="I138" s="38" t="s">
        <v>852</v>
      </c>
      <c r="J138" s="172"/>
      <c r="K138" s="172"/>
      <c r="L138" s="172"/>
      <c r="M138" s="38" t="s">
        <v>852</v>
      </c>
      <c r="N138" s="172"/>
      <c r="O138" s="172"/>
      <c r="P138" s="172"/>
      <c r="Q138" s="38" t="s">
        <v>852</v>
      </c>
      <c r="R138" s="48"/>
    </row>
    <row r="139" spans="1:20" ht="15.75" customHeight="1" x14ac:dyDescent="0.3">
      <c r="A139" s="569" t="s">
        <v>2730</v>
      </c>
      <c r="B139" s="172"/>
      <c r="C139" s="172"/>
      <c r="D139" s="172">
        <v>800</v>
      </c>
      <c r="E139" s="38">
        <f t="shared" ref="E139:E153" si="20">SUM(B139:D139)</f>
        <v>800</v>
      </c>
      <c r="F139" s="172">
        <v>54</v>
      </c>
      <c r="G139" s="172">
        <v>720</v>
      </c>
      <c r="H139" s="172">
        <v>720</v>
      </c>
      <c r="I139" s="38">
        <f t="shared" ref="I139:I153" si="21">SUM(F139:H139)</f>
        <v>1494</v>
      </c>
      <c r="J139" s="172">
        <v>550</v>
      </c>
      <c r="K139" s="172">
        <v>538</v>
      </c>
      <c r="L139" s="172">
        <v>404</v>
      </c>
      <c r="M139" s="38">
        <f t="shared" ref="M139:M153" si="22">SUM(J139:L139)</f>
        <v>1492</v>
      </c>
      <c r="N139" s="172">
        <v>156</v>
      </c>
      <c r="O139" s="172">
        <v>247</v>
      </c>
      <c r="P139" s="172"/>
      <c r="Q139" s="38">
        <f>SUM(N139:P139)</f>
        <v>403</v>
      </c>
      <c r="R139" s="38">
        <f>+E139+I139+M139+Q139</f>
        <v>4189</v>
      </c>
      <c r="T139" t="s">
        <v>2764</v>
      </c>
    </row>
    <row r="140" spans="1:20" ht="15.75" customHeight="1" x14ac:dyDescent="0.3">
      <c r="A140" s="569" t="s">
        <v>2733</v>
      </c>
      <c r="B140" s="172"/>
      <c r="C140" s="172"/>
      <c r="D140" s="172">
        <v>897</v>
      </c>
      <c r="E140" s="38">
        <f t="shared" si="20"/>
        <v>897</v>
      </c>
      <c r="F140" s="172">
        <v>405</v>
      </c>
      <c r="G140" s="172">
        <v>1770</v>
      </c>
      <c r="H140" s="172">
        <v>1435</v>
      </c>
      <c r="I140" s="38">
        <f t="shared" si="21"/>
        <v>3610</v>
      </c>
      <c r="J140" s="172">
        <v>1471</v>
      </c>
      <c r="K140" s="172">
        <v>1215</v>
      </c>
      <c r="L140" s="172">
        <v>1008</v>
      </c>
      <c r="M140" s="38">
        <f t="shared" si="22"/>
        <v>3694</v>
      </c>
      <c r="N140" s="172">
        <v>1058</v>
      </c>
      <c r="O140" s="356">
        <v>1074</v>
      </c>
      <c r="P140" s="172">
        <v>348</v>
      </c>
      <c r="Q140" s="38">
        <f>SUM(N140:P140)</f>
        <v>2480</v>
      </c>
      <c r="R140" s="38">
        <f>+E140+I140+M140+Q140</f>
        <v>10681</v>
      </c>
      <c r="T140" t="s">
        <v>2764</v>
      </c>
    </row>
    <row r="141" spans="1:20" ht="15.75" customHeight="1" x14ac:dyDescent="0.3">
      <c r="A141" s="569" t="s">
        <v>2734</v>
      </c>
      <c r="B141" s="172"/>
      <c r="C141" s="172"/>
      <c r="D141" s="172">
        <v>604</v>
      </c>
      <c r="E141" s="38">
        <f t="shared" si="20"/>
        <v>604</v>
      </c>
      <c r="F141" s="172">
        <v>0</v>
      </c>
      <c r="G141" s="172">
        <v>410</v>
      </c>
      <c r="H141" s="172">
        <v>403</v>
      </c>
      <c r="I141" s="38">
        <f t="shared" si="21"/>
        <v>813</v>
      </c>
      <c r="J141" s="172">
        <v>343</v>
      </c>
      <c r="K141" s="172">
        <v>235</v>
      </c>
      <c r="L141" s="172">
        <v>188</v>
      </c>
      <c r="M141" s="38">
        <f t="shared" si="22"/>
        <v>766</v>
      </c>
      <c r="N141" s="172">
        <v>50</v>
      </c>
      <c r="O141" s="172">
        <v>139</v>
      </c>
      <c r="P141" s="172"/>
      <c r="Q141" s="38">
        <f>SUM(N141:P141)</f>
        <v>189</v>
      </c>
      <c r="R141" s="38">
        <f>+E141+I141+M141+Q141</f>
        <v>2372</v>
      </c>
      <c r="T141" t="s">
        <v>2764</v>
      </c>
    </row>
    <row r="142" spans="1:20" ht="15.75" customHeight="1" x14ac:dyDescent="0.3">
      <c r="A142" s="569" t="s">
        <v>2735</v>
      </c>
      <c r="B142" s="172"/>
      <c r="C142" s="172"/>
      <c r="D142" s="172">
        <v>521</v>
      </c>
      <c r="E142" s="38">
        <f t="shared" si="20"/>
        <v>521</v>
      </c>
      <c r="F142" s="172">
        <v>179</v>
      </c>
      <c r="G142" s="172">
        <v>438</v>
      </c>
      <c r="H142" s="172">
        <v>420</v>
      </c>
      <c r="I142" s="38">
        <f t="shared" si="21"/>
        <v>1037</v>
      </c>
      <c r="J142" s="172">
        <v>343</v>
      </c>
      <c r="K142" s="172">
        <v>290</v>
      </c>
      <c r="L142" s="172">
        <v>309</v>
      </c>
      <c r="M142" s="38">
        <f t="shared" si="22"/>
        <v>942</v>
      </c>
      <c r="N142" s="172">
        <v>224</v>
      </c>
      <c r="O142" s="172">
        <v>507</v>
      </c>
      <c r="P142" s="172"/>
      <c r="Q142" s="38">
        <f>SUM(N142:P142)</f>
        <v>731</v>
      </c>
      <c r="R142" s="38">
        <f>+E142+I142+M142+Q142</f>
        <v>3231</v>
      </c>
      <c r="T142" t="s">
        <v>2764</v>
      </c>
    </row>
    <row r="143" spans="1:20" ht="15.75" customHeight="1" x14ac:dyDescent="0.3">
      <c r="A143" s="539" t="s">
        <v>2238</v>
      </c>
      <c r="B143" s="10">
        <v>0</v>
      </c>
      <c r="C143" s="10">
        <v>0</v>
      </c>
      <c r="D143" s="10">
        <v>0</v>
      </c>
      <c r="E143" s="38">
        <f t="shared" si="20"/>
        <v>0</v>
      </c>
      <c r="F143" s="10">
        <v>0</v>
      </c>
      <c r="G143" s="10">
        <v>0</v>
      </c>
      <c r="H143" s="10">
        <v>0</v>
      </c>
      <c r="I143" s="38">
        <f t="shared" si="21"/>
        <v>0</v>
      </c>
      <c r="J143" s="10">
        <v>0</v>
      </c>
      <c r="K143" s="10">
        <v>0</v>
      </c>
      <c r="L143" s="10">
        <v>0</v>
      </c>
      <c r="M143" s="38">
        <f t="shared" si="22"/>
        <v>0</v>
      </c>
      <c r="N143" s="10">
        <v>0</v>
      </c>
      <c r="O143" s="10">
        <v>0</v>
      </c>
      <c r="P143" s="10">
        <v>0</v>
      </c>
      <c r="Q143" s="38">
        <f>SUM(N143:P143)</f>
        <v>0</v>
      </c>
      <c r="R143" s="38">
        <f>+E143+I143+M143+Q143</f>
        <v>0</v>
      </c>
      <c r="T143" t="s">
        <v>1193</v>
      </c>
    </row>
    <row r="144" spans="1:20" ht="15.75" customHeight="1" x14ac:dyDescent="0.3">
      <c r="A144" s="569" t="s">
        <v>2736</v>
      </c>
      <c r="B144" s="172"/>
      <c r="C144" s="172"/>
      <c r="D144" s="172"/>
      <c r="E144" s="38">
        <f t="shared" si="20"/>
        <v>0</v>
      </c>
      <c r="F144" s="172"/>
      <c r="G144" s="172"/>
      <c r="H144" s="172"/>
      <c r="I144" s="38">
        <f t="shared" si="21"/>
        <v>0</v>
      </c>
      <c r="J144" s="172"/>
      <c r="K144" s="172"/>
      <c r="L144" s="172"/>
      <c r="M144" s="38">
        <f t="shared" si="22"/>
        <v>0</v>
      </c>
      <c r="N144" s="172"/>
      <c r="O144" s="172"/>
      <c r="P144" s="172"/>
      <c r="Q144" s="38">
        <f t="shared" ref="Q144:Q172" si="23">SUM(N144:P144)</f>
        <v>0</v>
      </c>
      <c r="R144" s="38">
        <f t="shared" ref="R144:R172" si="24">+E144+I144+M144+Q144</f>
        <v>0</v>
      </c>
      <c r="T144" t="s">
        <v>2769</v>
      </c>
    </row>
    <row r="145" spans="1:20" ht="15.75" customHeight="1" x14ac:dyDescent="0.3">
      <c r="A145" s="569" t="s">
        <v>917</v>
      </c>
      <c r="B145" s="172">
        <v>0</v>
      </c>
      <c r="C145" s="172">
        <v>923</v>
      </c>
      <c r="D145" s="172">
        <v>2000</v>
      </c>
      <c r="E145" s="38">
        <f t="shared" si="20"/>
        <v>2923</v>
      </c>
      <c r="F145" s="172">
        <v>1818</v>
      </c>
      <c r="G145" s="172">
        <v>661</v>
      </c>
      <c r="H145" s="172"/>
      <c r="I145" s="38">
        <f t="shared" si="21"/>
        <v>2479</v>
      </c>
      <c r="J145" s="172">
        <v>14</v>
      </c>
      <c r="K145" s="172"/>
      <c r="L145" s="172"/>
      <c r="M145" s="38">
        <f t="shared" si="22"/>
        <v>14</v>
      </c>
      <c r="N145" s="172"/>
      <c r="O145" s="172"/>
      <c r="P145" s="172"/>
      <c r="Q145" s="38">
        <f t="shared" si="23"/>
        <v>0</v>
      </c>
      <c r="R145" s="38">
        <f t="shared" si="24"/>
        <v>5416</v>
      </c>
      <c r="T145" t="s">
        <v>2770</v>
      </c>
    </row>
    <row r="146" spans="1:20" ht="15.75" customHeight="1" x14ac:dyDescent="0.3">
      <c r="A146" s="569" t="s">
        <v>1323</v>
      </c>
      <c r="B146" s="172"/>
      <c r="C146" s="172"/>
      <c r="D146" s="172">
        <v>1099</v>
      </c>
      <c r="E146" s="38">
        <f t="shared" si="20"/>
        <v>1099</v>
      </c>
      <c r="F146" s="172">
        <v>1496</v>
      </c>
      <c r="G146" s="172"/>
      <c r="H146" s="172"/>
      <c r="I146" s="38">
        <f t="shared" si="21"/>
        <v>1496</v>
      </c>
      <c r="J146" s="172">
        <v>1133</v>
      </c>
      <c r="K146" s="172">
        <v>639</v>
      </c>
      <c r="L146" s="172"/>
      <c r="M146" s="38">
        <f t="shared" si="22"/>
        <v>1772</v>
      </c>
      <c r="N146" s="172"/>
      <c r="O146" s="172"/>
      <c r="P146" s="172"/>
      <c r="Q146" s="38">
        <f t="shared" si="23"/>
        <v>0</v>
      </c>
      <c r="R146" s="38">
        <f t="shared" si="24"/>
        <v>4367</v>
      </c>
      <c r="T146" t="s">
        <v>2769</v>
      </c>
    </row>
    <row r="147" spans="1:20" ht="15.75" customHeight="1" x14ac:dyDescent="0.3">
      <c r="A147" s="569" t="s">
        <v>2317</v>
      </c>
      <c r="B147" s="172"/>
      <c r="C147" s="172">
        <v>157</v>
      </c>
      <c r="D147" s="172"/>
      <c r="E147" s="38">
        <f t="shared" si="20"/>
        <v>157</v>
      </c>
      <c r="F147" s="172"/>
      <c r="G147" s="172"/>
      <c r="H147" s="172"/>
      <c r="I147" s="38">
        <f t="shared" si="21"/>
        <v>0</v>
      </c>
      <c r="J147" s="172"/>
      <c r="K147" s="172">
        <v>950</v>
      </c>
      <c r="L147" s="172">
        <v>1000</v>
      </c>
      <c r="M147" s="38">
        <f t="shared" si="22"/>
        <v>1950</v>
      </c>
      <c r="N147" s="172">
        <v>1078</v>
      </c>
      <c r="O147" s="172">
        <v>444</v>
      </c>
      <c r="P147" s="172"/>
      <c r="Q147" s="38">
        <f t="shared" si="23"/>
        <v>1522</v>
      </c>
      <c r="R147" s="38">
        <f t="shared" si="24"/>
        <v>3629</v>
      </c>
      <c r="T147" t="s">
        <v>2770</v>
      </c>
    </row>
    <row r="148" spans="1:20" ht="15.75" customHeight="1" x14ac:dyDescent="0.3">
      <c r="A148" s="539" t="s">
        <v>1880</v>
      </c>
      <c r="B148" s="172">
        <v>28</v>
      </c>
      <c r="C148" s="172">
        <v>24</v>
      </c>
      <c r="D148" s="172">
        <v>35</v>
      </c>
      <c r="E148" s="38">
        <f t="shared" si="20"/>
        <v>87</v>
      </c>
      <c r="F148" s="172">
        <v>44</v>
      </c>
      <c r="G148" s="172">
        <v>41</v>
      </c>
      <c r="H148" s="172">
        <v>62</v>
      </c>
      <c r="I148" s="38">
        <f t="shared" si="21"/>
        <v>147</v>
      </c>
      <c r="J148" s="172">
        <v>61</v>
      </c>
      <c r="K148" s="172">
        <v>57</v>
      </c>
      <c r="L148" s="172">
        <v>41</v>
      </c>
      <c r="M148" s="38">
        <f t="shared" si="22"/>
        <v>159</v>
      </c>
      <c r="N148" s="172">
        <v>50</v>
      </c>
      <c r="O148" s="172">
        <v>36</v>
      </c>
      <c r="P148" s="172">
        <v>23</v>
      </c>
      <c r="Q148" s="38">
        <f t="shared" si="23"/>
        <v>109</v>
      </c>
      <c r="R148" s="38">
        <f t="shared" si="24"/>
        <v>502</v>
      </c>
      <c r="T148" t="s">
        <v>2761</v>
      </c>
    </row>
    <row r="149" spans="1:20" ht="15.75" customHeight="1" x14ac:dyDescent="0.3">
      <c r="A149" s="539" t="s">
        <v>703</v>
      </c>
      <c r="B149" s="10">
        <v>106</v>
      </c>
      <c r="C149" s="10">
        <v>144</v>
      </c>
      <c r="D149" s="10">
        <v>161</v>
      </c>
      <c r="E149" s="38">
        <f t="shared" si="20"/>
        <v>411</v>
      </c>
      <c r="F149" s="10">
        <v>170</v>
      </c>
      <c r="G149" s="10">
        <v>180</v>
      </c>
      <c r="H149" s="10">
        <v>174</v>
      </c>
      <c r="I149" s="38">
        <f t="shared" si="21"/>
        <v>524</v>
      </c>
      <c r="J149" s="10">
        <v>223</v>
      </c>
      <c r="K149" s="10">
        <v>191</v>
      </c>
      <c r="L149" s="10">
        <v>170</v>
      </c>
      <c r="M149" s="38">
        <f t="shared" si="22"/>
        <v>584</v>
      </c>
      <c r="N149" s="10">
        <v>166</v>
      </c>
      <c r="O149" s="10">
        <v>167</v>
      </c>
      <c r="P149" s="10">
        <v>148</v>
      </c>
      <c r="Q149" s="38">
        <f t="shared" si="23"/>
        <v>481</v>
      </c>
      <c r="R149" s="38">
        <f t="shared" si="24"/>
        <v>2000</v>
      </c>
      <c r="T149" t="s">
        <v>2874</v>
      </c>
    </row>
    <row r="150" spans="1:20" ht="15.75" customHeight="1" x14ac:dyDescent="0.3">
      <c r="A150" s="539" t="s">
        <v>2967</v>
      </c>
      <c r="B150" s="172"/>
      <c r="C150" s="172">
        <v>47</v>
      </c>
      <c r="D150" s="172">
        <v>500</v>
      </c>
      <c r="E150" s="38">
        <f t="shared" si="20"/>
        <v>547</v>
      </c>
      <c r="F150" s="172"/>
      <c r="G150" s="172"/>
      <c r="H150" s="172"/>
      <c r="I150" s="38">
        <f t="shared" si="21"/>
        <v>0</v>
      </c>
      <c r="J150" s="172"/>
      <c r="K150" s="172"/>
      <c r="L150" s="172">
        <v>1550</v>
      </c>
      <c r="M150" s="38">
        <f t="shared" si="22"/>
        <v>1550</v>
      </c>
      <c r="N150" s="172">
        <f>500+500+500</f>
        <v>1500</v>
      </c>
      <c r="O150" s="172">
        <v>1000</v>
      </c>
      <c r="P150" s="172">
        <v>80</v>
      </c>
      <c r="Q150" s="38">
        <f t="shared" si="23"/>
        <v>2580</v>
      </c>
      <c r="R150" s="38">
        <f t="shared" si="24"/>
        <v>4677</v>
      </c>
    </row>
    <row r="151" spans="1:20" ht="15.75" customHeight="1" x14ac:dyDescent="0.3">
      <c r="A151" s="569" t="s">
        <v>2829</v>
      </c>
      <c r="B151" s="172"/>
      <c r="C151" s="172"/>
      <c r="D151" s="172">
        <v>150</v>
      </c>
      <c r="E151" s="38">
        <f t="shared" si="20"/>
        <v>150</v>
      </c>
      <c r="F151" s="172"/>
      <c r="G151" s="172">
        <v>75</v>
      </c>
      <c r="H151" s="172">
        <v>75</v>
      </c>
      <c r="I151" s="38">
        <f t="shared" si="21"/>
        <v>150</v>
      </c>
      <c r="J151" s="172">
        <v>75</v>
      </c>
      <c r="K151" s="172">
        <v>75</v>
      </c>
      <c r="L151" s="172">
        <v>75</v>
      </c>
      <c r="M151" s="38">
        <f t="shared" si="22"/>
        <v>225</v>
      </c>
      <c r="N151" s="172">
        <v>75</v>
      </c>
      <c r="O151" s="172"/>
      <c r="P151" s="172"/>
      <c r="Q151" s="38">
        <f t="shared" si="23"/>
        <v>75</v>
      </c>
      <c r="R151" s="38">
        <f t="shared" si="24"/>
        <v>600</v>
      </c>
      <c r="T151" t="s">
        <v>2764</v>
      </c>
    </row>
    <row r="152" spans="1:20" ht="15.75" customHeight="1" x14ac:dyDescent="0.3">
      <c r="A152" s="539" t="s">
        <v>2830</v>
      </c>
      <c r="B152" s="172">
        <v>406</v>
      </c>
      <c r="C152" s="172">
        <v>385</v>
      </c>
      <c r="D152" s="172">
        <v>428</v>
      </c>
      <c r="E152" s="38">
        <f t="shared" si="20"/>
        <v>1219</v>
      </c>
      <c r="F152" s="172">
        <v>472</v>
      </c>
      <c r="G152" s="172">
        <v>522</v>
      </c>
      <c r="H152" s="172">
        <v>589</v>
      </c>
      <c r="I152" s="38">
        <f t="shared" si="21"/>
        <v>1583</v>
      </c>
      <c r="J152" s="172">
        <v>585</v>
      </c>
      <c r="K152" s="172">
        <v>546</v>
      </c>
      <c r="L152" s="172">
        <v>497</v>
      </c>
      <c r="M152" s="38">
        <f t="shared" si="22"/>
        <v>1628</v>
      </c>
      <c r="N152" s="172">
        <v>483</v>
      </c>
      <c r="O152" s="172">
        <v>512</v>
      </c>
      <c r="P152" s="172">
        <v>404</v>
      </c>
      <c r="Q152" s="38">
        <f t="shared" si="23"/>
        <v>1399</v>
      </c>
      <c r="R152" s="38">
        <f t="shared" si="24"/>
        <v>5829</v>
      </c>
      <c r="T152" t="s">
        <v>2762</v>
      </c>
    </row>
    <row r="153" spans="1:20" ht="15.75" customHeight="1" x14ac:dyDescent="0.3">
      <c r="A153" s="569" t="s">
        <v>2845</v>
      </c>
      <c r="B153" s="172"/>
      <c r="C153" s="172"/>
      <c r="D153" s="172"/>
      <c r="E153" s="38">
        <f t="shared" si="20"/>
        <v>0</v>
      </c>
      <c r="F153" s="172"/>
      <c r="G153" s="172"/>
      <c r="H153" s="172"/>
      <c r="I153" s="38">
        <f t="shared" si="21"/>
        <v>0</v>
      </c>
      <c r="J153" s="172">
        <v>508</v>
      </c>
      <c r="K153" s="172"/>
      <c r="L153" s="172"/>
      <c r="M153" s="38">
        <f t="shared" si="22"/>
        <v>508</v>
      </c>
      <c r="N153" s="172"/>
      <c r="O153" s="172"/>
      <c r="P153" s="172"/>
      <c r="Q153" s="38">
        <f t="shared" si="23"/>
        <v>0</v>
      </c>
      <c r="R153" s="38">
        <f t="shared" si="24"/>
        <v>508</v>
      </c>
      <c r="T153" t="s">
        <v>2770</v>
      </c>
    </row>
    <row r="154" spans="1:20" ht="15.75" customHeight="1" x14ac:dyDescent="0.3">
      <c r="A154" s="539" t="s">
        <v>2809</v>
      </c>
      <c r="B154" s="172"/>
      <c r="C154" s="172"/>
      <c r="D154" s="172"/>
      <c r="E154" s="38">
        <f t="shared" ref="E154:E169" si="25">SUM(B154:D154)</f>
        <v>0</v>
      </c>
      <c r="F154" s="172"/>
      <c r="G154" s="172"/>
      <c r="H154" s="172"/>
      <c r="I154" s="38">
        <f t="shared" ref="I154:I169" si="26">SUM(F154:H154)</f>
        <v>0</v>
      </c>
      <c r="J154" s="172"/>
      <c r="K154" s="172"/>
      <c r="L154" s="172">
        <v>442</v>
      </c>
      <c r="M154" s="38">
        <f t="shared" ref="M154:M169" si="27">SUM(J154:L154)</f>
        <v>442</v>
      </c>
      <c r="N154" s="172"/>
      <c r="O154" s="172"/>
      <c r="P154" s="172">
        <v>125</v>
      </c>
      <c r="Q154" s="38">
        <f t="shared" ref="Q154:Q168" si="28">SUM(N154:P154)</f>
        <v>125</v>
      </c>
      <c r="R154" s="38">
        <f t="shared" si="24"/>
        <v>567</v>
      </c>
      <c r="T154" t="s">
        <v>2760</v>
      </c>
    </row>
    <row r="155" spans="1:20" s="353" customFormat="1" ht="15.75" customHeight="1" x14ac:dyDescent="0.3">
      <c r="A155" s="535" t="s">
        <v>1242</v>
      </c>
      <c r="B155" s="352"/>
      <c r="C155" s="352"/>
      <c r="D155" s="352"/>
      <c r="E155" s="331">
        <f t="shared" si="25"/>
        <v>0</v>
      </c>
      <c r="F155" s="352"/>
      <c r="G155" s="352"/>
      <c r="H155" s="352"/>
      <c r="I155" s="331">
        <f t="shared" si="26"/>
        <v>0</v>
      </c>
      <c r="J155" s="352"/>
      <c r="K155" s="352"/>
      <c r="L155" s="352"/>
      <c r="M155" s="331">
        <f t="shared" si="27"/>
        <v>0</v>
      </c>
      <c r="N155" s="352"/>
      <c r="O155" s="352"/>
      <c r="P155" s="352"/>
      <c r="Q155" s="331">
        <f t="shared" si="28"/>
        <v>0</v>
      </c>
      <c r="R155" s="331">
        <f t="shared" si="24"/>
        <v>0</v>
      </c>
    </row>
    <row r="156" spans="1:20" ht="15.75" customHeight="1" x14ac:dyDescent="0.3">
      <c r="A156" s="539" t="s">
        <v>1379</v>
      </c>
      <c r="B156" s="172"/>
      <c r="C156" s="172"/>
      <c r="D156" s="172"/>
      <c r="E156" s="38">
        <f>SUM(B156:D156)</f>
        <v>0</v>
      </c>
      <c r="F156" s="172"/>
      <c r="G156" s="172">
        <v>842</v>
      </c>
      <c r="H156" s="172">
        <v>1699</v>
      </c>
      <c r="I156" s="38">
        <f>SUM(F156:H156)</f>
        <v>2541</v>
      </c>
      <c r="J156" s="172">
        <v>1696</v>
      </c>
      <c r="K156" s="172">
        <v>1252</v>
      </c>
      <c r="L156" s="172">
        <v>949</v>
      </c>
      <c r="M156" s="38">
        <f>SUM(J156:L156)</f>
        <v>3897</v>
      </c>
      <c r="N156" s="172">
        <v>1054</v>
      </c>
      <c r="O156" s="172">
        <v>1265</v>
      </c>
      <c r="P156" s="172">
        <v>1422</v>
      </c>
      <c r="Q156" s="38">
        <f>SUM(N156:P156)</f>
        <v>3741</v>
      </c>
      <c r="R156" s="38">
        <f>+E156+I156+M156+Q156</f>
        <v>10179</v>
      </c>
      <c r="T156" t="s">
        <v>2775</v>
      </c>
    </row>
    <row r="157" spans="1:20" ht="15.75" customHeight="1" x14ac:dyDescent="0.3">
      <c r="A157" s="569" t="s">
        <v>2767</v>
      </c>
      <c r="B157" s="172"/>
      <c r="C157" s="172"/>
      <c r="D157" s="172"/>
      <c r="E157" s="38">
        <f>SUM(B157:D157)</f>
        <v>0</v>
      </c>
      <c r="F157" s="172"/>
      <c r="G157" s="172"/>
      <c r="H157" s="172"/>
      <c r="I157" s="38">
        <f>SUM(F157:H157)</f>
        <v>0</v>
      </c>
      <c r="J157" s="172"/>
      <c r="K157" s="172"/>
      <c r="L157" s="172"/>
      <c r="M157" s="38">
        <f>SUM(J157:L157)</f>
        <v>0</v>
      </c>
      <c r="N157" s="172"/>
      <c r="O157" s="172"/>
      <c r="P157" s="172"/>
      <c r="Q157" s="38">
        <f>SUM(N157:P157)</f>
        <v>0</v>
      </c>
      <c r="R157" s="38">
        <f>+E157+I157+M157+Q157</f>
        <v>0</v>
      </c>
      <c r="T157" t="s">
        <v>2769</v>
      </c>
    </row>
    <row r="158" spans="1:20" ht="15.75" customHeight="1" x14ac:dyDescent="0.3">
      <c r="A158" s="569" t="s">
        <v>2768</v>
      </c>
      <c r="B158" s="172"/>
      <c r="C158" s="172"/>
      <c r="D158" s="172"/>
      <c r="E158" s="38">
        <f>SUM(B158:D158)</f>
        <v>0</v>
      </c>
      <c r="F158" s="172">
        <v>610</v>
      </c>
      <c r="G158" s="172"/>
      <c r="H158" s="172"/>
      <c r="I158" s="38">
        <f>SUM(F158:H158)</f>
        <v>610</v>
      </c>
      <c r="J158" s="172"/>
      <c r="K158" s="172"/>
      <c r="L158" s="172"/>
      <c r="M158" s="38">
        <f>SUM(J158:L158)</f>
        <v>0</v>
      </c>
      <c r="N158" s="172"/>
      <c r="O158" s="172"/>
      <c r="P158" s="172"/>
      <c r="Q158" s="38">
        <f>SUM(N158:P158)</f>
        <v>0</v>
      </c>
      <c r="R158" s="38">
        <f>+E158+I158+M158+Q158</f>
        <v>610</v>
      </c>
      <c r="T158" t="s">
        <v>2770</v>
      </c>
    </row>
    <row r="159" spans="1:20" ht="15.75" customHeight="1" x14ac:dyDescent="0.3">
      <c r="A159" s="539" t="s">
        <v>1879</v>
      </c>
      <c r="B159" s="172">
        <v>40</v>
      </c>
      <c r="C159" s="172">
        <v>22</v>
      </c>
      <c r="D159" s="172">
        <v>46</v>
      </c>
      <c r="E159" s="38">
        <f>SUM(B159:D159)</f>
        <v>108</v>
      </c>
      <c r="F159" s="172">
        <v>49</v>
      </c>
      <c r="G159" s="172">
        <v>70</v>
      </c>
      <c r="H159" s="172">
        <v>82</v>
      </c>
      <c r="I159" s="38">
        <f>SUM(F159:H159)</f>
        <v>201</v>
      </c>
      <c r="J159" s="172">
        <v>73</v>
      </c>
      <c r="K159" s="172">
        <v>61</v>
      </c>
      <c r="L159" s="172">
        <v>33</v>
      </c>
      <c r="M159" s="38">
        <f>SUM(J159:L159)</f>
        <v>167</v>
      </c>
      <c r="N159" s="172">
        <v>66</v>
      </c>
      <c r="O159" s="172">
        <v>29</v>
      </c>
      <c r="P159" s="172">
        <v>15</v>
      </c>
      <c r="Q159" s="38">
        <f>SUM(N159:P159)</f>
        <v>110</v>
      </c>
      <c r="R159" s="38">
        <f>+E159+I159+M159+Q159</f>
        <v>586</v>
      </c>
      <c r="T159" t="s">
        <v>1193</v>
      </c>
    </row>
    <row r="160" spans="1:20" ht="15.75" customHeight="1" x14ac:dyDescent="0.3">
      <c r="A160" s="569" t="s">
        <v>2737</v>
      </c>
      <c r="B160" s="172"/>
      <c r="C160" s="172"/>
      <c r="D160" s="172"/>
      <c r="E160" s="38">
        <f>SUM(B160:D160)</f>
        <v>0</v>
      </c>
      <c r="F160" s="172">
        <v>503</v>
      </c>
      <c r="G160" s="172"/>
      <c r="H160" s="172"/>
      <c r="I160" s="38">
        <f>SUM(F160:H160)</f>
        <v>503</v>
      </c>
      <c r="J160" s="356"/>
      <c r="K160" s="172"/>
      <c r="L160" s="172"/>
      <c r="M160" s="38">
        <f>SUM(J160:L160)</f>
        <v>0</v>
      </c>
      <c r="N160" s="172"/>
      <c r="O160" s="172"/>
      <c r="P160" s="172"/>
      <c r="Q160" s="38">
        <f>SUM(N160:P160)</f>
        <v>0</v>
      </c>
      <c r="R160" s="38">
        <f t="shared" si="24"/>
        <v>503</v>
      </c>
      <c r="T160" t="s">
        <v>2769</v>
      </c>
    </row>
    <row r="161" spans="1:20" ht="15.75" customHeight="1" x14ac:dyDescent="0.3">
      <c r="A161" s="569" t="s">
        <v>2738</v>
      </c>
      <c r="B161" s="172"/>
      <c r="C161" s="172"/>
      <c r="D161" s="172"/>
      <c r="E161" s="38">
        <f t="shared" si="25"/>
        <v>0</v>
      </c>
      <c r="F161" s="172"/>
      <c r="G161" s="172"/>
      <c r="H161" s="172"/>
      <c r="I161" s="38">
        <f t="shared" si="26"/>
        <v>0</v>
      </c>
      <c r="J161" s="356"/>
      <c r="K161" s="172"/>
      <c r="L161" s="172"/>
      <c r="M161" s="38">
        <f t="shared" si="27"/>
        <v>0</v>
      </c>
      <c r="N161" s="172"/>
      <c r="O161" s="172"/>
      <c r="P161" s="172"/>
      <c r="Q161" s="38">
        <f t="shared" si="28"/>
        <v>0</v>
      </c>
      <c r="R161" s="38">
        <f t="shared" si="24"/>
        <v>0</v>
      </c>
      <c r="T161" t="s">
        <v>2770</v>
      </c>
    </row>
    <row r="162" spans="1:20" ht="15.75" customHeight="1" x14ac:dyDescent="0.3">
      <c r="A162" s="569" t="s">
        <v>2816</v>
      </c>
      <c r="B162" s="172"/>
      <c r="C162" s="172"/>
      <c r="D162" s="172"/>
      <c r="E162" s="38">
        <f t="shared" si="25"/>
        <v>0</v>
      </c>
      <c r="F162" s="172"/>
      <c r="G162" s="172">
        <v>88</v>
      </c>
      <c r="H162" s="172">
        <v>86</v>
      </c>
      <c r="I162" s="38">
        <f t="shared" si="26"/>
        <v>174</v>
      </c>
      <c r="J162" s="356">
        <v>82</v>
      </c>
      <c r="K162" s="172">
        <v>46</v>
      </c>
      <c r="L162" s="172">
        <v>53</v>
      </c>
      <c r="M162" s="38">
        <f t="shared" si="27"/>
        <v>181</v>
      </c>
      <c r="N162" s="172">
        <v>80</v>
      </c>
      <c r="O162" s="172">
        <v>40</v>
      </c>
      <c r="P162" s="172">
        <v>22</v>
      </c>
      <c r="Q162" s="38">
        <f t="shared" si="28"/>
        <v>142</v>
      </c>
      <c r="R162" s="38">
        <f t="shared" si="24"/>
        <v>497</v>
      </c>
      <c r="T162" t="s">
        <v>2819</v>
      </c>
    </row>
    <row r="163" spans="1:20" ht="15.75" customHeight="1" x14ac:dyDescent="0.3">
      <c r="A163" s="569" t="s">
        <v>2817</v>
      </c>
      <c r="B163" s="172"/>
      <c r="C163" s="172"/>
      <c r="D163" s="172"/>
      <c r="E163" s="38">
        <f t="shared" si="25"/>
        <v>0</v>
      </c>
      <c r="F163" s="172"/>
      <c r="G163" s="172">
        <v>107</v>
      </c>
      <c r="H163" s="172">
        <v>159</v>
      </c>
      <c r="I163" s="38">
        <f t="shared" si="26"/>
        <v>266</v>
      </c>
      <c r="J163" s="356">
        <v>115</v>
      </c>
      <c r="K163" s="172">
        <v>82</v>
      </c>
      <c r="L163" s="172">
        <v>132</v>
      </c>
      <c r="M163" s="38">
        <f t="shared" si="27"/>
        <v>329</v>
      </c>
      <c r="N163" s="172">
        <v>3</v>
      </c>
      <c r="O163" s="172">
        <v>51</v>
      </c>
      <c r="P163" s="172">
        <v>6</v>
      </c>
      <c r="Q163" s="38">
        <f t="shared" si="28"/>
        <v>60</v>
      </c>
      <c r="R163" s="38">
        <f t="shared" si="24"/>
        <v>655</v>
      </c>
      <c r="T163" t="s">
        <v>1193</v>
      </c>
    </row>
    <row r="164" spans="1:20" ht="15.75" customHeight="1" x14ac:dyDescent="0.3">
      <c r="A164" s="569" t="s">
        <v>2818</v>
      </c>
      <c r="B164" s="172"/>
      <c r="C164" s="172"/>
      <c r="D164" s="172"/>
      <c r="E164" s="38">
        <f t="shared" si="25"/>
        <v>0</v>
      </c>
      <c r="F164" s="172">
        <v>15</v>
      </c>
      <c r="G164" s="172">
        <v>23</v>
      </c>
      <c r="H164" s="172">
        <v>38</v>
      </c>
      <c r="I164" s="38">
        <f t="shared" si="26"/>
        <v>76</v>
      </c>
      <c r="J164" s="356">
        <v>33</v>
      </c>
      <c r="K164" s="172">
        <v>10</v>
      </c>
      <c r="L164" s="172">
        <v>3</v>
      </c>
      <c r="M164" s="38">
        <f t="shared" si="27"/>
        <v>46</v>
      </c>
      <c r="N164" s="172">
        <v>43</v>
      </c>
      <c r="O164" s="172">
        <v>1</v>
      </c>
      <c r="P164" s="172">
        <v>1</v>
      </c>
      <c r="Q164" s="38">
        <f t="shared" si="28"/>
        <v>45</v>
      </c>
      <c r="R164" s="38">
        <f t="shared" si="24"/>
        <v>167</v>
      </c>
      <c r="T164" t="s">
        <v>2764</v>
      </c>
    </row>
    <row r="165" spans="1:20" ht="15.75" customHeight="1" x14ac:dyDescent="0.3">
      <c r="A165" s="539" t="s">
        <v>2758</v>
      </c>
      <c r="B165" s="172"/>
      <c r="C165" s="172"/>
      <c r="D165" s="172"/>
      <c r="E165" s="38">
        <f t="shared" si="25"/>
        <v>0</v>
      </c>
      <c r="F165" s="172">
        <v>879</v>
      </c>
      <c r="G165" s="172">
        <v>1041</v>
      </c>
      <c r="H165" s="172">
        <v>977</v>
      </c>
      <c r="I165" s="38">
        <f t="shared" si="26"/>
        <v>2897</v>
      </c>
      <c r="J165" s="356">
        <v>1028</v>
      </c>
      <c r="K165" s="172">
        <v>983</v>
      </c>
      <c r="L165" s="172">
        <v>851</v>
      </c>
      <c r="M165" s="38">
        <f t="shared" si="27"/>
        <v>2862</v>
      </c>
      <c r="N165" s="172">
        <v>875</v>
      </c>
      <c r="O165" s="172">
        <v>864</v>
      </c>
      <c r="P165" s="172">
        <v>675</v>
      </c>
      <c r="Q165" s="38">
        <f t="shared" si="28"/>
        <v>2414</v>
      </c>
      <c r="R165" s="38">
        <f t="shared" si="24"/>
        <v>8173</v>
      </c>
      <c r="T165" t="s">
        <v>2775</v>
      </c>
    </row>
    <row r="166" spans="1:20" ht="15.75" customHeight="1" x14ac:dyDescent="0.3">
      <c r="A166" s="539" t="s">
        <v>2813</v>
      </c>
      <c r="B166" s="172"/>
      <c r="C166" s="172"/>
      <c r="D166" s="172"/>
      <c r="E166" s="38">
        <f t="shared" si="25"/>
        <v>0</v>
      </c>
      <c r="F166" s="172"/>
      <c r="G166" s="172"/>
      <c r="H166" s="172"/>
      <c r="I166" s="38">
        <f t="shared" si="26"/>
        <v>0</v>
      </c>
      <c r="J166" s="356">
        <v>1000</v>
      </c>
      <c r="K166" s="172">
        <v>1000</v>
      </c>
      <c r="L166" s="172">
        <v>1000</v>
      </c>
      <c r="M166" s="38">
        <f t="shared" si="27"/>
        <v>3000</v>
      </c>
      <c r="N166" s="172">
        <v>500</v>
      </c>
      <c r="O166" s="172"/>
      <c r="P166" s="172"/>
      <c r="Q166" s="38">
        <f t="shared" si="28"/>
        <v>500</v>
      </c>
      <c r="R166" s="38">
        <f t="shared" si="24"/>
        <v>3500</v>
      </c>
      <c r="T166" t="s">
        <v>2760</v>
      </c>
    </row>
    <row r="167" spans="1:20" ht="15.75" customHeight="1" x14ac:dyDescent="0.3">
      <c r="A167" s="539" t="s">
        <v>2820</v>
      </c>
      <c r="B167" s="172"/>
      <c r="C167" s="172"/>
      <c r="D167" s="172"/>
      <c r="E167" s="38">
        <f t="shared" si="25"/>
        <v>0</v>
      </c>
      <c r="F167" s="172"/>
      <c r="G167" s="172"/>
      <c r="H167" s="172"/>
      <c r="I167" s="38">
        <f t="shared" si="26"/>
        <v>0</v>
      </c>
      <c r="J167" s="172"/>
      <c r="K167" s="172"/>
      <c r="L167" s="172"/>
      <c r="M167" s="38">
        <f t="shared" si="27"/>
        <v>0</v>
      </c>
      <c r="N167" s="172"/>
      <c r="O167" s="172"/>
      <c r="P167" s="172"/>
      <c r="Q167" s="38">
        <f t="shared" si="28"/>
        <v>0</v>
      </c>
      <c r="R167" s="38">
        <f t="shared" si="24"/>
        <v>0</v>
      </c>
      <c r="T167" t="s">
        <v>2760</v>
      </c>
    </row>
    <row r="168" spans="1:20" ht="15.75" customHeight="1" x14ac:dyDescent="0.3">
      <c r="A168" s="539" t="s">
        <v>2426</v>
      </c>
      <c r="B168" s="10">
        <v>9240</v>
      </c>
      <c r="C168" s="10">
        <v>9328</v>
      </c>
      <c r="D168" s="10">
        <v>9350</v>
      </c>
      <c r="E168" s="38">
        <f t="shared" si="25"/>
        <v>27918</v>
      </c>
      <c r="F168" s="10">
        <v>8226</v>
      </c>
      <c r="G168" s="10"/>
      <c r="H168" s="10">
        <v>211</v>
      </c>
      <c r="I168" s="38">
        <f t="shared" si="26"/>
        <v>8437</v>
      </c>
      <c r="J168" s="10">
        <v>10792</v>
      </c>
      <c r="K168" s="10">
        <v>9376</v>
      </c>
      <c r="L168" s="10">
        <v>9137</v>
      </c>
      <c r="M168" s="38">
        <f t="shared" si="27"/>
        <v>29305</v>
      </c>
      <c r="N168" s="10">
        <v>10364</v>
      </c>
      <c r="O168" s="10">
        <v>9487</v>
      </c>
      <c r="P168" s="10">
        <v>8349</v>
      </c>
      <c r="Q168" s="38">
        <f t="shared" si="28"/>
        <v>28200</v>
      </c>
      <c r="R168" s="38">
        <f t="shared" si="24"/>
        <v>93860</v>
      </c>
      <c r="T168" t="s">
        <v>3002</v>
      </c>
    </row>
    <row r="169" spans="1:20" ht="15.75" customHeight="1" x14ac:dyDescent="0.3">
      <c r="A169" s="539" t="s">
        <v>2864</v>
      </c>
      <c r="B169" s="172">
        <v>30</v>
      </c>
      <c r="C169" s="172">
        <v>30</v>
      </c>
      <c r="D169" s="172">
        <v>30</v>
      </c>
      <c r="E169" s="38">
        <f t="shared" si="25"/>
        <v>90</v>
      </c>
      <c r="F169" s="172">
        <v>35</v>
      </c>
      <c r="G169" s="172">
        <v>35</v>
      </c>
      <c r="H169" s="172">
        <v>35</v>
      </c>
      <c r="I169" s="38">
        <f t="shared" si="26"/>
        <v>105</v>
      </c>
      <c r="J169" s="172">
        <v>35</v>
      </c>
      <c r="K169" s="172">
        <v>35</v>
      </c>
      <c r="L169" s="172">
        <v>35</v>
      </c>
      <c r="M169" s="38">
        <f t="shared" si="27"/>
        <v>105</v>
      </c>
      <c r="N169" s="172">
        <v>35</v>
      </c>
      <c r="O169" s="172">
        <v>35</v>
      </c>
      <c r="P169" s="172">
        <v>30</v>
      </c>
      <c r="Q169" s="38">
        <f t="shared" si="23"/>
        <v>100</v>
      </c>
      <c r="R169" s="38">
        <f t="shared" si="24"/>
        <v>400</v>
      </c>
      <c r="T169" t="s">
        <v>2760</v>
      </c>
    </row>
    <row r="170" spans="1:20" ht="15.75" customHeight="1" x14ac:dyDescent="0.3">
      <c r="A170" s="539" t="s">
        <v>1520</v>
      </c>
      <c r="B170" s="10">
        <v>3283</v>
      </c>
      <c r="C170" s="10"/>
      <c r="D170" s="10"/>
      <c r="E170" s="38">
        <f>SUM(B170:D170)</f>
        <v>3283</v>
      </c>
      <c r="F170" s="10"/>
      <c r="G170" s="10"/>
      <c r="H170" s="10">
        <v>3352</v>
      </c>
      <c r="I170" s="38">
        <f>SUM(F170:H170)</f>
        <v>3352</v>
      </c>
      <c r="J170" s="10">
        <v>6469</v>
      </c>
      <c r="K170" s="10">
        <v>5256</v>
      </c>
      <c r="L170" s="10">
        <v>4544</v>
      </c>
      <c r="M170" s="38">
        <f>SUM(J170:L170)</f>
        <v>16269</v>
      </c>
      <c r="N170" s="10">
        <v>4552</v>
      </c>
      <c r="O170" s="10">
        <v>4033</v>
      </c>
      <c r="P170" s="10">
        <v>4641</v>
      </c>
      <c r="Q170" s="38">
        <f t="shared" si="23"/>
        <v>13226</v>
      </c>
      <c r="R170" s="38">
        <f t="shared" si="24"/>
        <v>36130</v>
      </c>
    </row>
    <row r="171" spans="1:20" ht="15.75" customHeight="1" x14ac:dyDescent="0.3">
      <c r="A171" s="569" t="s">
        <v>2739</v>
      </c>
      <c r="B171" s="10"/>
      <c r="C171" s="10"/>
      <c r="D171" s="10"/>
      <c r="E171" s="38">
        <f>SUM(B171:D171)</f>
        <v>0</v>
      </c>
      <c r="F171" s="10"/>
      <c r="G171" s="10"/>
      <c r="H171" s="10"/>
      <c r="I171" s="38">
        <f>SUM(F171:H171)</f>
        <v>0</v>
      </c>
      <c r="J171" s="10"/>
      <c r="K171" s="10"/>
      <c r="L171" s="10"/>
      <c r="M171" s="38">
        <f>SUM(J171:L171)</f>
        <v>0</v>
      </c>
      <c r="N171" s="10"/>
      <c r="O171" s="10"/>
      <c r="P171" s="10"/>
      <c r="Q171" s="38">
        <f t="shared" si="23"/>
        <v>0</v>
      </c>
      <c r="R171" s="38">
        <f t="shared" si="24"/>
        <v>0</v>
      </c>
      <c r="T171" t="s">
        <v>2769</v>
      </c>
    </row>
    <row r="172" spans="1:20" ht="15.75" customHeight="1" x14ac:dyDescent="0.3">
      <c r="A172" s="569" t="s">
        <v>2740</v>
      </c>
      <c r="B172" s="10"/>
      <c r="C172" s="10"/>
      <c r="D172" s="10"/>
      <c r="E172" s="38">
        <f>SUM(B172:D172)</f>
        <v>0</v>
      </c>
      <c r="F172" s="10"/>
      <c r="G172" s="10"/>
      <c r="H172" s="10"/>
      <c r="I172" s="38">
        <f>SUM(F172:H172)</f>
        <v>0</v>
      </c>
      <c r="J172" s="10">
        <v>2285</v>
      </c>
      <c r="K172" s="10">
        <v>660</v>
      </c>
      <c r="L172" s="10">
        <v>822</v>
      </c>
      <c r="M172" s="38">
        <f>SUM(J172:L172)</f>
        <v>3767</v>
      </c>
      <c r="N172" s="10">
        <v>1676</v>
      </c>
      <c r="O172" s="10"/>
      <c r="P172" s="10"/>
      <c r="Q172" s="38">
        <f t="shared" si="23"/>
        <v>1676</v>
      </c>
      <c r="R172" s="38">
        <f t="shared" si="24"/>
        <v>5443</v>
      </c>
      <c r="T172" t="s">
        <v>2770</v>
      </c>
    </row>
    <row r="173" spans="1:20" ht="15.75" customHeight="1" x14ac:dyDescent="0.3">
      <c r="A173" s="539" t="s">
        <v>2821</v>
      </c>
      <c r="B173" s="172">
        <v>122</v>
      </c>
      <c r="C173" s="172">
        <v>300</v>
      </c>
      <c r="D173" s="172">
        <v>350</v>
      </c>
      <c r="E173" s="38">
        <f>SUM(B173:D173)</f>
        <v>772</v>
      </c>
      <c r="F173" s="172">
        <v>350</v>
      </c>
      <c r="G173" s="172">
        <v>400</v>
      </c>
      <c r="H173" s="172">
        <v>450</v>
      </c>
      <c r="I173" s="38">
        <f>SUM(F173:H173)</f>
        <v>1200</v>
      </c>
      <c r="J173" s="172">
        <v>493</v>
      </c>
      <c r="K173" s="172">
        <v>500</v>
      </c>
      <c r="L173" s="172">
        <v>400</v>
      </c>
      <c r="M173" s="38">
        <f>SUM(J173:L173)</f>
        <v>1393</v>
      </c>
      <c r="N173" s="172">
        <v>400</v>
      </c>
      <c r="O173" s="172">
        <v>300</v>
      </c>
      <c r="P173" s="172">
        <v>250</v>
      </c>
      <c r="Q173" s="38">
        <f>SUM(N173:P173)</f>
        <v>950</v>
      </c>
      <c r="R173" s="38">
        <f>+E173+I173+M173+Q173</f>
        <v>4315</v>
      </c>
      <c r="T173" t="s">
        <v>2760</v>
      </c>
    </row>
    <row r="174" spans="1:20" ht="15.75" customHeight="1" x14ac:dyDescent="0.3">
      <c r="A174" s="539" t="s">
        <v>1574</v>
      </c>
      <c r="B174" s="172">
        <v>3</v>
      </c>
      <c r="C174" s="172">
        <v>2</v>
      </c>
      <c r="D174" s="172">
        <v>2</v>
      </c>
      <c r="E174" s="38">
        <f>SUM(B174:D174)</f>
        <v>7</v>
      </c>
      <c r="F174" s="172">
        <v>3</v>
      </c>
      <c r="G174" s="172">
        <v>3</v>
      </c>
      <c r="H174" s="172">
        <v>3</v>
      </c>
      <c r="I174" s="38">
        <f>SUM(F174:H174)</f>
        <v>9</v>
      </c>
      <c r="J174" s="172">
        <v>3</v>
      </c>
      <c r="K174" s="172">
        <v>3</v>
      </c>
      <c r="L174" s="172">
        <v>2</v>
      </c>
      <c r="M174" s="38">
        <f>SUM(J174:L174)</f>
        <v>8</v>
      </c>
      <c r="N174" s="172">
        <v>2</v>
      </c>
      <c r="O174" s="172">
        <v>3</v>
      </c>
      <c r="P174" s="172">
        <v>2</v>
      </c>
      <c r="Q174" s="38">
        <f>SUM(N174:P174)</f>
        <v>7</v>
      </c>
      <c r="R174" s="38">
        <f>+E174+I174+M174+Q174</f>
        <v>31</v>
      </c>
      <c r="S174">
        <f>SUM(R139:R174)</f>
        <v>213617</v>
      </c>
    </row>
    <row r="175" spans="1:20" ht="15.75" customHeight="1" x14ac:dyDescent="0.3">
      <c r="A175" s="234" t="s">
        <v>2161</v>
      </c>
      <c r="B175" s="172"/>
      <c r="C175" s="172"/>
      <c r="D175" s="172"/>
      <c r="E175" s="38" t="s">
        <v>852</v>
      </c>
      <c r="F175" s="172"/>
      <c r="G175" s="172"/>
      <c r="H175" s="172"/>
      <c r="I175" s="38" t="s">
        <v>852</v>
      </c>
      <c r="J175" s="172"/>
      <c r="K175" s="172"/>
      <c r="L175" s="172"/>
      <c r="M175" s="38" t="s">
        <v>852</v>
      </c>
      <c r="N175" s="172"/>
      <c r="O175" s="172"/>
      <c r="P175" s="172"/>
      <c r="Q175" s="38" t="s">
        <v>852</v>
      </c>
      <c r="R175" s="38" t="s">
        <v>852</v>
      </c>
    </row>
    <row r="176" spans="1:20" ht="15.75" customHeight="1" x14ac:dyDescent="0.3">
      <c r="A176" s="539" t="s">
        <v>2515</v>
      </c>
      <c r="B176" s="10"/>
      <c r="C176" s="10"/>
      <c r="D176" s="10"/>
      <c r="E176" s="38">
        <f t="shared" ref="E176:E186" si="29">SUM(B176:D176)</f>
        <v>0</v>
      </c>
      <c r="F176" s="10"/>
      <c r="G176" s="10"/>
      <c r="H176" s="10"/>
      <c r="I176" s="38">
        <f t="shared" ref="I176:I186" si="30">SUM(F176:H176)</f>
        <v>0</v>
      </c>
      <c r="J176" s="10"/>
      <c r="K176" s="10"/>
      <c r="L176" s="10"/>
      <c r="M176" s="38">
        <f t="shared" ref="M176:M186" si="31">SUM(J176:L176)</f>
        <v>0</v>
      </c>
      <c r="N176" s="10"/>
      <c r="O176" s="10"/>
      <c r="P176" s="10"/>
      <c r="Q176" s="38">
        <f t="shared" ref="Q176:Q186" si="32">SUM(N176:P176)</f>
        <v>0</v>
      </c>
      <c r="R176" s="38">
        <f t="shared" ref="R176:R186" si="33">+E176+I176+M176+Q176</f>
        <v>0</v>
      </c>
    </row>
    <row r="177" spans="1:20" ht="15.75" customHeight="1" x14ac:dyDescent="0.3">
      <c r="A177" s="266" t="s">
        <v>2368</v>
      </c>
      <c r="B177" s="10">
        <v>19</v>
      </c>
      <c r="C177" s="10">
        <v>19</v>
      </c>
      <c r="D177" s="10">
        <v>26</v>
      </c>
      <c r="E177" s="38">
        <f>SUM(B177:D177)</f>
        <v>64</v>
      </c>
      <c r="F177" s="10">
        <v>41</v>
      </c>
      <c r="G177" s="10">
        <v>52</v>
      </c>
      <c r="H177" s="10">
        <v>55</v>
      </c>
      <c r="I177" s="38">
        <f>SUM(F177:H177)</f>
        <v>148</v>
      </c>
      <c r="J177" s="10">
        <v>53</v>
      </c>
      <c r="K177" s="10">
        <v>43</v>
      </c>
      <c r="L177" s="10">
        <v>30</v>
      </c>
      <c r="M177" s="38">
        <f>SUM(J177:L177)</f>
        <v>126</v>
      </c>
      <c r="N177" s="10">
        <v>53</v>
      </c>
      <c r="O177" s="10">
        <v>33</v>
      </c>
      <c r="P177" s="10">
        <v>18</v>
      </c>
      <c r="Q177" s="38">
        <f>SUM(N177:P177)</f>
        <v>104</v>
      </c>
      <c r="R177" s="38">
        <f>+E177+I177+M177+Q177</f>
        <v>442</v>
      </c>
      <c r="T177" t="s">
        <v>1193</v>
      </c>
    </row>
    <row r="178" spans="1:20" ht="15.75" customHeight="1" x14ac:dyDescent="0.3">
      <c r="A178" s="266" t="s">
        <v>1747</v>
      </c>
      <c r="B178" s="172">
        <v>3</v>
      </c>
      <c r="C178" s="172">
        <v>2</v>
      </c>
      <c r="D178" s="172">
        <v>7</v>
      </c>
      <c r="E178" s="38">
        <f t="shared" si="29"/>
        <v>12</v>
      </c>
      <c r="F178" s="172">
        <v>7</v>
      </c>
      <c r="G178" s="172">
        <v>10</v>
      </c>
      <c r="H178" s="172">
        <v>19</v>
      </c>
      <c r="I178" s="38">
        <f t="shared" si="30"/>
        <v>36</v>
      </c>
      <c r="J178" s="172">
        <v>15</v>
      </c>
      <c r="K178" s="172">
        <v>9</v>
      </c>
      <c r="L178" s="172">
        <v>0</v>
      </c>
      <c r="M178" s="38">
        <f t="shared" si="31"/>
        <v>24</v>
      </c>
      <c r="N178" s="172">
        <v>8</v>
      </c>
      <c r="O178" s="172">
        <v>4</v>
      </c>
      <c r="P178" s="172">
        <v>1</v>
      </c>
      <c r="Q178" s="38">
        <f t="shared" si="32"/>
        <v>13</v>
      </c>
      <c r="R178" s="38">
        <f t="shared" si="33"/>
        <v>85</v>
      </c>
    </row>
    <row r="179" spans="1:20" ht="15.75" customHeight="1" x14ac:dyDescent="0.3">
      <c r="A179" s="539" t="s">
        <v>2822</v>
      </c>
      <c r="B179" s="172">
        <v>35</v>
      </c>
      <c r="C179" s="172">
        <v>35</v>
      </c>
      <c r="D179" s="172">
        <v>35</v>
      </c>
      <c r="E179" s="38">
        <f t="shared" si="29"/>
        <v>105</v>
      </c>
      <c r="F179" s="172">
        <v>35</v>
      </c>
      <c r="G179" s="172">
        <v>35</v>
      </c>
      <c r="H179" s="172">
        <v>35</v>
      </c>
      <c r="I179" s="38">
        <f t="shared" si="30"/>
        <v>105</v>
      </c>
      <c r="J179" s="172">
        <v>50</v>
      </c>
      <c r="K179" s="172">
        <v>50</v>
      </c>
      <c r="L179" s="172">
        <v>50</v>
      </c>
      <c r="M179" s="38">
        <f t="shared" si="31"/>
        <v>150</v>
      </c>
      <c r="N179" s="172">
        <v>50</v>
      </c>
      <c r="O179" s="172">
        <v>50</v>
      </c>
      <c r="P179" s="172">
        <v>50</v>
      </c>
      <c r="Q179" s="38">
        <f t="shared" si="32"/>
        <v>150</v>
      </c>
      <c r="R179" s="38">
        <f t="shared" si="33"/>
        <v>510</v>
      </c>
      <c r="T179" t="s">
        <v>2760</v>
      </c>
    </row>
    <row r="180" spans="1:20" ht="15.75" customHeight="1" x14ac:dyDescent="0.3">
      <c r="A180" s="266" t="s">
        <v>1824</v>
      </c>
      <c r="B180" s="172"/>
      <c r="C180" s="172"/>
      <c r="D180" s="172"/>
      <c r="E180" s="38">
        <f t="shared" si="29"/>
        <v>0</v>
      </c>
      <c r="F180" s="172"/>
      <c r="G180" s="172"/>
      <c r="H180" s="172"/>
      <c r="I180" s="38">
        <f t="shared" si="30"/>
        <v>0</v>
      </c>
      <c r="J180" s="172"/>
      <c r="K180" s="172"/>
      <c r="L180" s="172"/>
      <c r="M180" s="38">
        <f t="shared" si="31"/>
        <v>0</v>
      </c>
      <c r="N180" s="172"/>
      <c r="O180" s="172"/>
      <c r="P180" s="172"/>
      <c r="Q180" s="38">
        <f t="shared" si="32"/>
        <v>0</v>
      </c>
      <c r="R180" s="38">
        <f t="shared" si="33"/>
        <v>0</v>
      </c>
    </row>
    <row r="181" spans="1:20" ht="15.75" customHeight="1" x14ac:dyDescent="0.3">
      <c r="A181" s="266" t="s">
        <v>1879</v>
      </c>
      <c r="B181" s="172"/>
      <c r="C181" s="172"/>
      <c r="D181" s="172"/>
      <c r="E181" s="38">
        <f t="shared" si="29"/>
        <v>0</v>
      </c>
      <c r="F181" s="172"/>
      <c r="G181" s="172"/>
      <c r="H181" s="172"/>
      <c r="I181" s="38">
        <f t="shared" si="30"/>
        <v>0</v>
      </c>
      <c r="J181" s="172"/>
      <c r="K181" s="172"/>
      <c r="L181" s="172"/>
      <c r="M181" s="38">
        <f t="shared" si="31"/>
        <v>0</v>
      </c>
      <c r="N181" s="172"/>
      <c r="O181" s="172"/>
      <c r="P181" s="172"/>
      <c r="Q181" s="38">
        <f t="shared" si="32"/>
        <v>0</v>
      </c>
      <c r="R181" s="38">
        <f t="shared" si="33"/>
        <v>0</v>
      </c>
      <c r="T181" t="s">
        <v>1193</v>
      </c>
    </row>
    <row r="182" spans="1:20" ht="15.75" customHeight="1" x14ac:dyDescent="0.3">
      <c r="A182" s="266" t="s">
        <v>1746</v>
      </c>
      <c r="B182" s="172"/>
      <c r="C182" s="172"/>
      <c r="D182" s="172"/>
      <c r="E182" s="38">
        <f t="shared" si="29"/>
        <v>0</v>
      </c>
      <c r="F182" s="172"/>
      <c r="G182" s="172"/>
      <c r="H182" s="172"/>
      <c r="I182" s="38">
        <f t="shared" si="30"/>
        <v>0</v>
      </c>
      <c r="J182" s="172"/>
      <c r="K182" s="172"/>
      <c r="L182" s="172"/>
      <c r="M182" s="38">
        <f t="shared" si="31"/>
        <v>0</v>
      </c>
      <c r="N182" s="172"/>
      <c r="O182" s="172"/>
      <c r="P182" s="172"/>
      <c r="Q182" s="38">
        <f t="shared" si="32"/>
        <v>0</v>
      </c>
      <c r="R182" s="38">
        <f t="shared" si="33"/>
        <v>0</v>
      </c>
    </row>
    <row r="183" spans="1:20" ht="15.75" customHeight="1" x14ac:dyDescent="0.3">
      <c r="A183" s="267" t="s">
        <v>1546</v>
      </c>
      <c r="B183" s="172"/>
      <c r="C183" s="172"/>
      <c r="D183" s="172"/>
      <c r="E183" s="38">
        <f t="shared" si="29"/>
        <v>0</v>
      </c>
      <c r="F183" s="172"/>
      <c r="G183" s="172"/>
      <c r="H183" s="172"/>
      <c r="I183" s="38">
        <f t="shared" si="30"/>
        <v>0</v>
      </c>
      <c r="J183" s="172"/>
      <c r="K183" s="172"/>
      <c r="L183" s="172"/>
      <c r="M183" s="38">
        <f t="shared" si="31"/>
        <v>0</v>
      </c>
      <c r="N183" s="172"/>
      <c r="O183" s="172"/>
      <c r="P183" s="172"/>
      <c r="Q183" s="38">
        <f t="shared" si="32"/>
        <v>0</v>
      </c>
      <c r="R183" s="38">
        <f t="shared" si="33"/>
        <v>0</v>
      </c>
    </row>
    <row r="184" spans="1:20" ht="15.75" customHeight="1" x14ac:dyDescent="0.3">
      <c r="A184" s="539" t="s">
        <v>2823</v>
      </c>
      <c r="B184" s="172"/>
      <c r="C184" s="172"/>
      <c r="D184" s="172"/>
      <c r="E184" s="38">
        <f t="shared" si="29"/>
        <v>0</v>
      </c>
      <c r="F184" s="172"/>
      <c r="G184" s="172"/>
      <c r="H184" s="172"/>
      <c r="I184" s="38">
        <f t="shared" si="30"/>
        <v>0</v>
      </c>
      <c r="J184" s="172"/>
      <c r="K184" s="172"/>
      <c r="L184" s="172"/>
      <c r="M184" s="38">
        <f t="shared" si="31"/>
        <v>0</v>
      </c>
      <c r="N184" s="172"/>
      <c r="O184" s="172"/>
      <c r="P184" s="172"/>
      <c r="Q184" s="38">
        <f t="shared" si="32"/>
        <v>0</v>
      </c>
      <c r="R184" s="38">
        <f t="shared" si="33"/>
        <v>0</v>
      </c>
      <c r="T184" t="s">
        <v>2760</v>
      </c>
    </row>
    <row r="185" spans="1:20" ht="15.75" customHeight="1" x14ac:dyDescent="0.3">
      <c r="A185" s="539" t="s">
        <v>2815</v>
      </c>
      <c r="B185" s="172"/>
      <c r="C185" s="172"/>
      <c r="D185" s="172"/>
      <c r="E185" s="38">
        <f t="shared" si="29"/>
        <v>0</v>
      </c>
      <c r="F185" s="172"/>
      <c r="G185" s="172"/>
      <c r="H185" s="172"/>
      <c r="I185" s="38">
        <f t="shared" si="30"/>
        <v>0</v>
      </c>
      <c r="J185" s="172"/>
      <c r="K185" s="172"/>
      <c r="L185" s="172"/>
      <c r="M185" s="38">
        <f t="shared" si="31"/>
        <v>0</v>
      </c>
      <c r="N185" s="172"/>
      <c r="O185" s="172"/>
      <c r="P185" s="172"/>
      <c r="Q185" s="38">
        <f t="shared" si="32"/>
        <v>0</v>
      </c>
      <c r="R185" s="38">
        <f t="shared" si="33"/>
        <v>0</v>
      </c>
      <c r="T185" t="s">
        <v>2631</v>
      </c>
    </row>
    <row r="186" spans="1:20" ht="15.75" customHeight="1" x14ac:dyDescent="0.3">
      <c r="A186" s="267" t="s">
        <v>5</v>
      </c>
      <c r="B186" s="172">
        <v>6</v>
      </c>
      <c r="C186" s="172">
        <v>2</v>
      </c>
      <c r="D186" s="172">
        <v>1</v>
      </c>
      <c r="E186" s="38">
        <f t="shared" si="29"/>
        <v>9</v>
      </c>
      <c r="F186" s="172">
        <v>0</v>
      </c>
      <c r="G186" s="172">
        <v>0</v>
      </c>
      <c r="H186" s="172">
        <v>1</v>
      </c>
      <c r="I186" s="38">
        <f t="shared" si="30"/>
        <v>1</v>
      </c>
      <c r="J186" s="172">
        <v>2</v>
      </c>
      <c r="K186" s="172">
        <v>2</v>
      </c>
      <c r="L186" s="172">
        <v>1</v>
      </c>
      <c r="M186" s="38">
        <f t="shared" si="31"/>
        <v>5</v>
      </c>
      <c r="N186" s="172">
        <v>2</v>
      </c>
      <c r="O186" s="172">
        <v>1</v>
      </c>
      <c r="P186" s="172"/>
      <c r="Q186" s="38">
        <f t="shared" si="32"/>
        <v>3</v>
      </c>
      <c r="R186" s="38">
        <f t="shared" si="33"/>
        <v>18</v>
      </c>
    </row>
    <row r="187" spans="1:20" ht="15.75" customHeight="1" x14ac:dyDescent="0.3">
      <c r="A187" s="234" t="s">
        <v>2162</v>
      </c>
      <c r="B187" s="172"/>
      <c r="C187" s="172"/>
      <c r="D187" s="172"/>
      <c r="E187" s="38" t="s">
        <v>852</v>
      </c>
      <c r="F187" s="172"/>
      <c r="G187" s="172"/>
      <c r="H187" s="172"/>
      <c r="I187" s="38" t="s">
        <v>852</v>
      </c>
      <c r="J187" s="172"/>
      <c r="K187" s="172"/>
      <c r="L187" s="172"/>
      <c r="M187" s="38" t="s">
        <v>852</v>
      </c>
      <c r="N187" s="172"/>
      <c r="O187" s="172"/>
      <c r="P187" s="172"/>
      <c r="Q187" s="38" t="s">
        <v>852</v>
      </c>
      <c r="R187" s="38" t="s">
        <v>852</v>
      </c>
    </row>
    <row r="188" spans="1:20" ht="15.75" customHeight="1" x14ac:dyDescent="0.3">
      <c r="A188" s="568" t="s">
        <v>2846</v>
      </c>
      <c r="B188" s="172"/>
      <c r="C188" s="172"/>
      <c r="D188" s="172"/>
      <c r="E188" s="38">
        <f>SUM(B188:D188)</f>
        <v>0</v>
      </c>
      <c r="F188" s="172"/>
      <c r="G188" s="172"/>
      <c r="H188" s="172"/>
      <c r="I188" s="38">
        <f>SUM(F188:H188)</f>
        <v>0</v>
      </c>
      <c r="J188" s="172"/>
      <c r="K188" s="172"/>
      <c r="L188" s="172"/>
      <c r="M188" s="38">
        <f>SUM(J188:L188)</f>
        <v>0</v>
      </c>
      <c r="N188" s="172"/>
      <c r="O188" s="172">
        <f>907+385</f>
        <v>1292</v>
      </c>
      <c r="P188" s="172"/>
      <c r="Q188" s="38">
        <f>SUM(N188:P188)</f>
        <v>1292</v>
      </c>
      <c r="R188" s="38">
        <f>+E188+I188+M188+Q188</f>
        <v>1292</v>
      </c>
      <c r="T188" t="s">
        <v>2769</v>
      </c>
    </row>
    <row r="189" spans="1:20" ht="15.75" customHeight="1" x14ac:dyDescent="0.3">
      <c r="A189" s="568" t="s">
        <v>2847</v>
      </c>
      <c r="B189" s="172"/>
      <c r="C189" s="172"/>
      <c r="D189" s="172"/>
      <c r="E189" s="38">
        <f>SUM(B189:D189)</f>
        <v>0</v>
      </c>
      <c r="F189" s="172"/>
      <c r="G189" s="172"/>
      <c r="H189" s="172"/>
      <c r="I189" s="38">
        <f>SUM(F189:H189)</f>
        <v>0</v>
      </c>
      <c r="J189" s="172"/>
      <c r="K189" s="172"/>
      <c r="L189" s="172"/>
      <c r="M189" s="38">
        <f>SUM(J189:L189)</f>
        <v>0</v>
      </c>
      <c r="N189" s="172"/>
      <c r="O189" s="172">
        <v>935</v>
      </c>
      <c r="P189" s="172">
        <v>1000</v>
      </c>
      <c r="Q189" s="38">
        <f>SUM(N189:P189)</f>
        <v>1935</v>
      </c>
      <c r="R189" s="38">
        <f>+E189+I189+M189+Q189</f>
        <v>1935</v>
      </c>
      <c r="T189" t="s">
        <v>2770</v>
      </c>
    </row>
    <row r="190" spans="1:20" ht="15.75" customHeight="1" x14ac:dyDescent="0.3">
      <c r="A190" s="422" t="s">
        <v>2551</v>
      </c>
      <c r="B190" s="172">
        <v>20</v>
      </c>
      <c r="C190" s="172">
        <v>20</v>
      </c>
      <c r="D190" s="172">
        <v>28</v>
      </c>
      <c r="E190" s="38">
        <f>SUM(B190:D190)</f>
        <v>68</v>
      </c>
      <c r="F190" s="172">
        <v>49</v>
      </c>
      <c r="G190" s="172">
        <v>74</v>
      </c>
      <c r="H190" s="172">
        <v>74</v>
      </c>
      <c r="I190" s="38">
        <f>SUM(F190:H190)</f>
        <v>197</v>
      </c>
      <c r="J190" s="172">
        <v>76</v>
      </c>
      <c r="K190" s="172">
        <v>47</v>
      </c>
      <c r="L190" s="172">
        <v>37</v>
      </c>
      <c r="M190" s="38">
        <f>SUM(J190:L190)</f>
        <v>160</v>
      </c>
      <c r="N190" s="172">
        <v>47</v>
      </c>
      <c r="O190" s="172">
        <v>25</v>
      </c>
      <c r="P190" s="172">
        <v>12</v>
      </c>
      <c r="Q190" s="38">
        <f>SUM(N190:P190)</f>
        <v>84</v>
      </c>
      <c r="R190" s="38">
        <f>+E190+I190+M190+Q190</f>
        <v>509</v>
      </c>
      <c r="T190" t="s">
        <v>2793</v>
      </c>
    </row>
    <row r="191" spans="1:20" ht="15.75" customHeight="1" thickBot="1" x14ac:dyDescent="0.35">
      <c r="A191" s="234" t="s">
        <v>2164</v>
      </c>
      <c r="B191" s="172"/>
      <c r="C191" s="172"/>
      <c r="D191" s="172"/>
      <c r="E191" s="38" t="s">
        <v>852</v>
      </c>
      <c r="F191" s="172"/>
      <c r="G191" s="172"/>
      <c r="H191" s="172"/>
      <c r="I191" s="38" t="s">
        <v>852</v>
      </c>
      <c r="J191" s="172"/>
      <c r="K191" s="172"/>
      <c r="L191" s="172"/>
      <c r="M191" s="38" t="s">
        <v>852</v>
      </c>
      <c r="N191" s="172"/>
      <c r="O191" s="172"/>
      <c r="P191" s="172"/>
      <c r="Q191" s="38" t="s">
        <v>852</v>
      </c>
      <c r="R191" s="38" t="s">
        <v>852</v>
      </c>
    </row>
    <row r="192" spans="1:20" ht="16.5" customHeight="1" thickBot="1" x14ac:dyDescent="0.35">
      <c r="A192" s="43" t="s">
        <v>1218</v>
      </c>
      <c r="B192" s="45">
        <f>SUM(B137:B191)</f>
        <v>13341</v>
      </c>
      <c r="C192" s="46">
        <f>SUM(C137:C191)</f>
        <v>11440</v>
      </c>
      <c r="D192" s="46">
        <f>SUM(D137:D191)</f>
        <v>17070</v>
      </c>
      <c r="E192" s="37">
        <f>SUM(B192:D192)</f>
        <v>41851</v>
      </c>
      <c r="F192" s="46">
        <f>SUM(F137:F191)</f>
        <v>15440</v>
      </c>
      <c r="G192" s="46">
        <f>SUM(G137:G191)</f>
        <v>7597</v>
      </c>
      <c r="H192" s="46">
        <f>SUM(H137:H191)</f>
        <v>11154</v>
      </c>
      <c r="I192" s="37">
        <f>SUM(F192:H192)</f>
        <v>34191</v>
      </c>
      <c r="J192" s="46">
        <f>SUM(J137:J191)</f>
        <v>29606</v>
      </c>
      <c r="K192" s="46">
        <f>SUM(K137:K191)</f>
        <v>24151</v>
      </c>
      <c r="L192" s="46">
        <f>SUM(L137:L191)</f>
        <v>23763</v>
      </c>
      <c r="M192" s="37">
        <f>SUM(J192:L192)</f>
        <v>77520</v>
      </c>
      <c r="N192" s="46">
        <f>SUM(N137:N191)</f>
        <v>24650</v>
      </c>
      <c r="O192" s="46">
        <f>SUM(O137:O191)</f>
        <v>22574</v>
      </c>
      <c r="P192" s="46">
        <f>SUM(P137:P191)</f>
        <v>17622</v>
      </c>
      <c r="Q192" s="37">
        <f>SUM(N192:P192)</f>
        <v>64846</v>
      </c>
      <c r="R192" s="37">
        <f>+E192+I192+M192+Q192</f>
        <v>218408</v>
      </c>
    </row>
    <row r="193" spans="1:20" ht="15.75" customHeight="1" x14ac:dyDescent="0.3">
      <c r="A193" s="234" t="s">
        <v>1172</v>
      </c>
      <c r="B193" s="172"/>
      <c r="C193" s="172"/>
      <c r="D193" s="172"/>
      <c r="E193" s="38" t="s">
        <v>852</v>
      </c>
      <c r="F193" s="172"/>
      <c r="G193" s="172"/>
      <c r="H193" s="172"/>
      <c r="I193" s="38" t="s">
        <v>852</v>
      </c>
      <c r="J193" s="172"/>
      <c r="K193" s="172"/>
      <c r="L193" s="172"/>
      <c r="M193" s="38" t="s">
        <v>852</v>
      </c>
      <c r="N193" s="172"/>
      <c r="O193" s="172"/>
      <c r="P193" s="172"/>
      <c r="Q193" s="38" t="s">
        <v>852</v>
      </c>
      <c r="R193" s="38" t="s">
        <v>852</v>
      </c>
    </row>
    <row r="194" spans="1:20" ht="15.75" customHeight="1" x14ac:dyDescent="0.3">
      <c r="A194" s="234" t="s">
        <v>1658</v>
      </c>
      <c r="B194" s="172"/>
      <c r="C194" s="172"/>
      <c r="D194" s="172"/>
      <c r="E194" s="38" t="s">
        <v>852</v>
      </c>
      <c r="F194" s="172"/>
      <c r="G194" s="172"/>
      <c r="H194" s="172"/>
      <c r="I194" s="38" t="s">
        <v>852</v>
      </c>
      <c r="J194" s="172"/>
      <c r="K194" s="172"/>
      <c r="L194" s="172"/>
      <c r="M194" s="38" t="s">
        <v>852</v>
      </c>
      <c r="N194" s="172"/>
      <c r="O194" s="172"/>
      <c r="P194" s="172"/>
      <c r="Q194" s="38" t="s">
        <v>852</v>
      </c>
      <c r="R194" s="38" t="s">
        <v>852</v>
      </c>
    </row>
    <row r="195" spans="1:20" ht="15.75" customHeight="1" x14ac:dyDescent="0.3">
      <c r="A195" s="234" t="s">
        <v>2409</v>
      </c>
      <c r="B195" s="172"/>
      <c r="C195" s="172"/>
      <c r="D195" s="172"/>
      <c r="E195" s="38" t="s">
        <v>852</v>
      </c>
      <c r="F195" s="172"/>
      <c r="G195" s="172"/>
      <c r="H195" s="172"/>
      <c r="I195" s="38" t="s">
        <v>852</v>
      </c>
      <c r="J195" s="172"/>
      <c r="K195" s="172"/>
      <c r="L195" s="172"/>
      <c r="M195" s="38" t="s">
        <v>852</v>
      </c>
      <c r="N195" s="172"/>
      <c r="O195" s="172"/>
      <c r="P195" s="172"/>
      <c r="Q195" s="38" t="s">
        <v>852</v>
      </c>
      <c r="R195" s="38" t="s">
        <v>852</v>
      </c>
    </row>
    <row r="196" spans="1:20" ht="15.75" customHeight="1" x14ac:dyDescent="0.3">
      <c r="A196" s="568" t="s">
        <v>1645</v>
      </c>
      <c r="B196" s="172"/>
      <c r="C196" s="172"/>
      <c r="D196" s="172">
        <v>425</v>
      </c>
      <c r="E196" s="38">
        <f>SUM(B196:D196)</f>
        <v>425</v>
      </c>
      <c r="F196" s="172">
        <v>363</v>
      </c>
      <c r="G196" s="172">
        <v>712</v>
      </c>
      <c r="H196" s="172">
        <v>500</v>
      </c>
      <c r="I196" s="38">
        <f>SUM(F196:H196)</f>
        <v>1575</v>
      </c>
      <c r="J196" s="172">
        <v>500</v>
      </c>
      <c r="K196" s="172">
        <v>234</v>
      </c>
      <c r="L196" s="172">
        <v>11</v>
      </c>
      <c r="M196" s="38">
        <f>SUM(J196:L196)</f>
        <v>745</v>
      </c>
      <c r="N196" s="172">
        <v>1255</v>
      </c>
      <c r="O196" s="172"/>
      <c r="P196" s="172"/>
      <c r="Q196" s="38">
        <f>SUM(N196:P196)</f>
        <v>1255</v>
      </c>
      <c r="R196" s="38">
        <f>+E196+I196+M196+Q196</f>
        <v>4000</v>
      </c>
    </row>
    <row r="197" spans="1:20" ht="15.75" customHeight="1" x14ac:dyDescent="0.3">
      <c r="A197" s="410" t="s">
        <v>2824</v>
      </c>
      <c r="B197" s="172"/>
      <c r="C197" s="172"/>
      <c r="D197" s="172"/>
      <c r="E197" s="38">
        <f>SUM(B197:D197)</f>
        <v>0</v>
      </c>
      <c r="F197" s="172">
        <v>500</v>
      </c>
      <c r="G197" s="172">
        <v>750</v>
      </c>
      <c r="H197" s="172">
        <v>750</v>
      </c>
      <c r="I197" s="38">
        <f>SUM(F197:H197)</f>
        <v>2000</v>
      </c>
      <c r="J197" s="172"/>
      <c r="K197" s="172"/>
      <c r="L197" s="172">
        <v>1000</v>
      </c>
      <c r="M197" s="38">
        <f>SUM(J197:L197)</f>
        <v>1000</v>
      </c>
      <c r="N197" s="172">
        <v>800</v>
      </c>
      <c r="O197" s="172"/>
      <c r="P197" s="172"/>
      <c r="Q197" s="38">
        <f>SUM(N197:P197)</f>
        <v>800</v>
      </c>
      <c r="R197" s="38">
        <f>+E197+I197+M197+Q197</f>
        <v>3800</v>
      </c>
      <c r="T197" t="s">
        <v>2760</v>
      </c>
    </row>
    <row r="198" spans="1:20" ht="15.75" customHeight="1" thickBot="1" x14ac:dyDescent="0.35">
      <c r="A198" s="234" t="s">
        <v>2165</v>
      </c>
      <c r="B198" s="172"/>
      <c r="C198" s="172"/>
      <c r="D198" s="172"/>
      <c r="E198" s="38" t="s">
        <v>852</v>
      </c>
      <c r="F198" s="172"/>
      <c r="G198" s="172"/>
      <c r="H198" s="172"/>
      <c r="I198" s="38" t="s">
        <v>852</v>
      </c>
      <c r="J198" s="172"/>
      <c r="K198" s="172"/>
      <c r="L198" s="172"/>
      <c r="M198" s="38" t="s">
        <v>852</v>
      </c>
      <c r="N198" s="172"/>
      <c r="O198" s="172"/>
      <c r="P198" s="172"/>
      <c r="Q198" s="38" t="s">
        <v>852</v>
      </c>
      <c r="R198" s="38" t="s">
        <v>852</v>
      </c>
    </row>
    <row r="199" spans="1:20" ht="16.5" customHeight="1" thickBot="1" x14ac:dyDescent="0.35">
      <c r="A199" s="43" t="s">
        <v>1219</v>
      </c>
      <c r="B199" s="45">
        <f>SUM(B193:B198)</f>
        <v>0</v>
      </c>
      <c r="C199" s="46">
        <f>SUM(C193:C198)</f>
        <v>0</v>
      </c>
      <c r="D199" s="46">
        <f>SUM(D193:D198)</f>
        <v>425</v>
      </c>
      <c r="E199" s="37">
        <f>SUM(B199:D199)</f>
        <v>425</v>
      </c>
      <c r="F199" s="46">
        <f>SUM(F193:F198)</f>
        <v>863</v>
      </c>
      <c r="G199" s="46">
        <f>SUM(G193:G198)</f>
        <v>1462</v>
      </c>
      <c r="H199" s="46">
        <f>SUM(H193:H198)</f>
        <v>1250</v>
      </c>
      <c r="I199" s="37">
        <f>SUM(F199:H199)</f>
        <v>3575</v>
      </c>
      <c r="J199" s="46">
        <f>SUM(J193:J198)</f>
        <v>500</v>
      </c>
      <c r="K199" s="46">
        <f>SUM(K193:K198)</f>
        <v>234</v>
      </c>
      <c r="L199" s="46">
        <f>SUM(L193:L198)</f>
        <v>1011</v>
      </c>
      <c r="M199" s="37">
        <f>SUM(J199:L199)</f>
        <v>1745</v>
      </c>
      <c r="N199" s="46">
        <f>SUM(N193:N198)</f>
        <v>2055</v>
      </c>
      <c r="O199" s="46">
        <f>SUM(O193:O198)</f>
        <v>0</v>
      </c>
      <c r="P199" s="46">
        <f>SUM(P193:P198)</f>
        <v>0</v>
      </c>
      <c r="Q199" s="37">
        <f>SUM(N199:P199)</f>
        <v>2055</v>
      </c>
      <c r="R199" s="37">
        <f>+E199+I199+M199+Q199</f>
        <v>7800</v>
      </c>
    </row>
    <row r="200" spans="1:20" ht="15.75" customHeight="1" x14ac:dyDescent="0.3">
      <c r="A200" s="234" t="s">
        <v>2166</v>
      </c>
      <c r="B200" s="172"/>
      <c r="C200" s="172"/>
      <c r="D200" s="172"/>
      <c r="E200" s="38" t="s">
        <v>852</v>
      </c>
      <c r="F200" s="172"/>
      <c r="G200" s="172"/>
      <c r="H200" s="172"/>
      <c r="I200" s="38" t="s">
        <v>852</v>
      </c>
      <c r="J200" s="172"/>
      <c r="K200" s="172"/>
      <c r="L200" s="172"/>
      <c r="M200" s="38" t="s">
        <v>852</v>
      </c>
      <c r="N200" s="172"/>
      <c r="O200" s="172"/>
      <c r="P200" s="172"/>
      <c r="Q200" s="38" t="s">
        <v>852</v>
      </c>
      <c r="R200" s="38" t="s">
        <v>852</v>
      </c>
    </row>
    <row r="201" spans="1:20" ht="15.75" customHeight="1" x14ac:dyDescent="0.3">
      <c r="A201" s="234" t="s">
        <v>1245</v>
      </c>
      <c r="B201" s="172"/>
      <c r="C201" s="172"/>
      <c r="D201" s="172"/>
      <c r="E201" s="38" t="s">
        <v>852</v>
      </c>
      <c r="F201" s="172"/>
      <c r="G201" s="172"/>
      <c r="H201" s="172"/>
      <c r="I201" s="38" t="s">
        <v>852</v>
      </c>
      <c r="J201" s="172"/>
      <c r="K201" s="172"/>
      <c r="L201" s="172"/>
      <c r="M201" s="38" t="s">
        <v>852</v>
      </c>
      <c r="N201" s="172"/>
      <c r="O201" s="172"/>
      <c r="P201" s="172"/>
      <c r="Q201" s="38" t="s">
        <v>852</v>
      </c>
      <c r="R201" s="38" t="s">
        <v>852</v>
      </c>
    </row>
    <row r="202" spans="1:20" ht="15.75" customHeight="1" x14ac:dyDescent="0.3">
      <c r="A202" s="234" t="s">
        <v>1711</v>
      </c>
      <c r="B202" s="172"/>
      <c r="C202" s="172"/>
      <c r="D202" s="172"/>
      <c r="E202" s="38" t="s">
        <v>852</v>
      </c>
      <c r="F202" s="172"/>
      <c r="G202" s="172"/>
      <c r="H202" s="172"/>
      <c r="I202" s="38" t="s">
        <v>852</v>
      </c>
      <c r="J202" s="172"/>
      <c r="K202" s="172"/>
      <c r="L202" s="172"/>
      <c r="M202" s="38" t="s">
        <v>852</v>
      </c>
      <c r="N202" s="172"/>
      <c r="O202" s="172"/>
      <c r="P202" s="172"/>
      <c r="Q202" s="38" t="s">
        <v>852</v>
      </c>
      <c r="R202" s="38" t="s">
        <v>852</v>
      </c>
    </row>
    <row r="203" spans="1:20" ht="15.75" customHeight="1" x14ac:dyDescent="0.3">
      <c r="A203" s="540" t="s">
        <v>1364</v>
      </c>
      <c r="B203" s="172">
        <v>312</v>
      </c>
      <c r="C203" s="172">
        <v>285</v>
      </c>
      <c r="D203" s="172">
        <v>311</v>
      </c>
      <c r="E203" s="38">
        <f>SUM(B203:D203)</f>
        <v>908</v>
      </c>
      <c r="F203" s="172">
        <v>361</v>
      </c>
      <c r="G203" s="172">
        <v>445</v>
      </c>
      <c r="H203" s="172">
        <v>488</v>
      </c>
      <c r="I203" s="38">
        <f>SUM(F203:H203)</f>
        <v>1294</v>
      </c>
      <c r="J203" s="172">
        <v>494</v>
      </c>
      <c r="K203" s="172">
        <v>378</v>
      </c>
      <c r="L203" s="172">
        <v>344</v>
      </c>
      <c r="M203" s="38">
        <f>SUM(J203:L203)</f>
        <v>1216</v>
      </c>
      <c r="N203" s="172">
        <v>354</v>
      </c>
      <c r="O203" s="172">
        <v>352</v>
      </c>
      <c r="P203" s="172">
        <v>292</v>
      </c>
      <c r="Q203" s="38">
        <f>SUM(N203:P203)</f>
        <v>998</v>
      </c>
      <c r="R203" s="38">
        <f t="shared" ref="R203:R208" si="34">+E203+I203+M203+Q203</f>
        <v>4416</v>
      </c>
      <c r="T203" t="s">
        <v>2800</v>
      </c>
    </row>
    <row r="204" spans="1:20" ht="15.75" customHeight="1" x14ac:dyDescent="0.3">
      <c r="A204" s="540" t="s">
        <v>1388</v>
      </c>
      <c r="B204" s="172"/>
      <c r="C204" s="172"/>
      <c r="D204" s="172">
        <v>357</v>
      </c>
      <c r="E204" s="38">
        <f>SUM(B204:D204)</f>
        <v>357</v>
      </c>
      <c r="F204" s="172"/>
      <c r="G204" s="172"/>
      <c r="H204" s="172"/>
      <c r="I204" s="38">
        <f>SUM(F204:H204)</f>
        <v>0</v>
      </c>
      <c r="J204" s="172"/>
      <c r="K204" s="172"/>
      <c r="L204" s="172"/>
      <c r="M204" s="38">
        <f>SUM(J204:L204)</f>
        <v>0</v>
      </c>
      <c r="N204" s="172"/>
      <c r="O204" s="172"/>
      <c r="P204" s="172"/>
      <c r="Q204" s="38">
        <f>SUM(N204:P204)</f>
        <v>0</v>
      </c>
      <c r="R204" s="38">
        <f t="shared" si="34"/>
        <v>357</v>
      </c>
      <c r="T204" t="s">
        <v>2764</v>
      </c>
    </row>
    <row r="205" spans="1:20" ht="15.75" customHeight="1" x14ac:dyDescent="0.3">
      <c r="A205" s="540" t="s">
        <v>693</v>
      </c>
      <c r="B205" s="172">
        <v>5</v>
      </c>
      <c r="C205" s="172">
        <v>9</v>
      </c>
      <c r="D205" s="172">
        <v>15</v>
      </c>
      <c r="E205" s="38">
        <f>SUM(B205:D205)</f>
        <v>29</v>
      </c>
      <c r="F205" s="172">
        <v>35</v>
      </c>
      <c r="G205" s="172">
        <v>50</v>
      </c>
      <c r="H205" s="172">
        <v>76</v>
      </c>
      <c r="I205" s="38">
        <f>SUM(F205:H205)</f>
        <v>161</v>
      </c>
      <c r="J205" s="172">
        <v>46</v>
      </c>
      <c r="K205" s="172">
        <v>51</v>
      </c>
      <c r="L205" s="172">
        <v>26</v>
      </c>
      <c r="M205" s="38">
        <f>SUM(J205:L205)</f>
        <v>123</v>
      </c>
      <c r="N205" s="172">
        <v>60</v>
      </c>
      <c r="O205" s="172">
        <v>31</v>
      </c>
      <c r="P205" s="172">
        <v>4</v>
      </c>
      <c r="Q205" s="38">
        <f>SUM(N205:P205)</f>
        <v>95</v>
      </c>
      <c r="R205" s="38">
        <f t="shared" si="34"/>
        <v>408</v>
      </c>
      <c r="T205" t="s">
        <v>1193</v>
      </c>
    </row>
    <row r="206" spans="1:20" ht="15.75" customHeight="1" x14ac:dyDescent="0.3">
      <c r="A206" s="410" t="s">
        <v>2965</v>
      </c>
      <c r="B206" s="172">
        <v>500</v>
      </c>
      <c r="C206" s="172">
        <v>453</v>
      </c>
      <c r="D206" s="172"/>
      <c r="E206" s="38">
        <f t="shared" ref="E206:E245" si="35">SUM(B206:D206)</f>
        <v>953</v>
      </c>
      <c r="F206" s="172"/>
      <c r="G206" s="172"/>
      <c r="H206" s="172"/>
      <c r="I206" s="38">
        <f t="shared" ref="I206:I245" si="36">SUM(F206:H206)</f>
        <v>0</v>
      </c>
      <c r="J206" s="172"/>
      <c r="K206" s="172"/>
      <c r="L206" s="172"/>
      <c r="M206" s="38">
        <f t="shared" ref="M206:M245" si="37">SUM(J206:L206)</f>
        <v>0</v>
      </c>
      <c r="N206" s="172"/>
      <c r="O206" s="172"/>
      <c r="P206" s="172"/>
      <c r="Q206" s="38">
        <f t="shared" ref="Q206:Q245" si="38">SUM(N206:P206)</f>
        <v>0</v>
      </c>
      <c r="R206" s="38">
        <f t="shared" si="34"/>
        <v>953</v>
      </c>
    </row>
    <row r="207" spans="1:20" ht="15.75" customHeight="1" x14ac:dyDescent="0.3">
      <c r="A207" s="410" t="s">
        <v>2940</v>
      </c>
      <c r="B207" s="172">
        <v>92</v>
      </c>
      <c r="C207" s="172"/>
      <c r="D207" s="172"/>
      <c r="E207" s="38">
        <f>SUM(B207:D207)</f>
        <v>92</v>
      </c>
      <c r="F207" s="172"/>
      <c r="G207" s="172"/>
      <c r="H207" s="172"/>
      <c r="I207" s="38">
        <f>SUM(F207:H207)</f>
        <v>0</v>
      </c>
      <c r="J207" s="172"/>
      <c r="K207" s="172"/>
      <c r="L207" s="172"/>
      <c r="M207" s="38">
        <f>SUM(J207:L207)</f>
        <v>0</v>
      </c>
      <c r="N207" s="172"/>
      <c r="O207" s="172"/>
      <c r="P207" s="172"/>
      <c r="Q207" s="38">
        <f>SUM(N207:P207)</f>
        <v>0</v>
      </c>
      <c r="R207" s="38">
        <f t="shared" si="34"/>
        <v>92</v>
      </c>
      <c r="T207" t="s">
        <v>2780</v>
      </c>
    </row>
    <row r="208" spans="1:20" ht="15.75" customHeight="1" x14ac:dyDescent="0.3">
      <c r="A208" s="410" t="s">
        <v>568</v>
      </c>
      <c r="B208" s="172">
        <v>682</v>
      </c>
      <c r="C208" s="172"/>
      <c r="D208" s="172"/>
      <c r="E208" s="38">
        <f>SUM(B208:D208)</f>
        <v>682</v>
      </c>
      <c r="F208" s="172"/>
      <c r="G208" s="172"/>
      <c r="H208" s="172"/>
      <c r="I208" s="38">
        <f>SUM(F208:H208)</f>
        <v>0</v>
      </c>
      <c r="J208" s="172"/>
      <c r="K208" s="172"/>
      <c r="L208" s="172"/>
      <c r="M208" s="38">
        <f>SUM(J208:L208)</f>
        <v>0</v>
      </c>
      <c r="N208" s="172"/>
      <c r="O208" s="172"/>
      <c r="P208" s="172"/>
      <c r="Q208" s="38">
        <f>SUM(N208:P208)</f>
        <v>0</v>
      </c>
      <c r="R208" s="38">
        <f t="shared" si="34"/>
        <v>682</v>
      </c>
      <c r="T208" t="s">
        <v>2775</v>
      </c>
    </row>
    <row r="209" spans="1:21" ht="15.75" customHeight="1" x14ac:dyDescent="0.3">
      <c r="A209" s="410" t="s">
        <v>1150</v>
      </c>
      <c r="B209" s="172"/>
      <c r="C209" s="172"/>
      <c r="D209" s="172"/>
      <c r="E209" s="38">
        <f t="shared" si="35"/>
        <v>0</v>
      </c>
      <c r="F209" s="172"/>
      <c r="G209" s="172"/>
      <c r="H209" s="172"/>
      <c r="I209" s="38">
        <f t="shared" si="36"/>
        <v>0</v>
      </c>
      <c r="J209" s="172"/>
      <c r="K209" s="172"/>
      <c r="L209" s="172"/>
      <c r="M209" s="38">
        <f t="shared" si="37"/>
        <v>0</v>
      </c>
      <c r="N209" s="172"/>
      <c r="O209" s="172"/>
      <c r="P209" s="172"/>
      <c r="Q209" s="38">
        <f t="shared" si="38"/>
        <v>0</v>
      </c>
      <c r="R209" s="38">
        <f t="shared" ref="R209:R245" si="39">+E209+I209+M209+Q209</f>
        <v>0</v>
      </c>
    </row>
    <row r="210" spans="1:21" ht="15.75" customHeight="1" x14ac:dyDescent="0.3">
      <c r="A210" s="410" t="s">
        <v>2599</v>
      </c>
      <c r="B210" s="172">
        <v>1136</v>
      </c>
      <c r="C210" s="172"/>
      <c r="D210" s="172"/>
      <c r="E210" s="38">
        <f>SUM(B210:D210)</f>
        <v>1136</v>
      </c>
      <c r="F210" s="172"/>
      <c r="G210" s="172"/>
      <c r="H210" s="172"/>
      <c r="I210" s="38">
        <f>SUM(F210:H210)</f>
        <v>0</v>
      </c>
      <c r="J210" s="172"/>
      <c r="K210" s="172"/>
      <c r="L210" s="172"/>
      <c r="M210" s="38">
        <f>SUM(J210:L210)</f>
        <v>0</v>
      </c>
      <c r="N210" s="172"/>
      <c r="O210" s="172"/>
      <c r="P210" s="172"/>
      <c r="Q210" s="38">
        <f>SUM(N210:P210)</f>
        <v>0</v>
      </c>
      <c r="R210" s="38">
        <f t="shared" si="39"/>
        <v>1136</v>
      </c>
    </row>
    <row r="211" spans="1:21" ht="15.75" customHeight="1" x14ac:dyDescent="0.3">
      <c r="A211" s="410" t="s">
        <v>1974</v>
      </c>
      <c r="B211" s="172">
        <v>23</v>
      </c>
      <c r="C211" s="172"/>
      <c r="D211" s="172"/>
      <c r="E211" s="38">
        <f t="shared" si="35"/>
        <v>23</v>
      </c>
      <c r="F211" s="172"/>
      <c r="G211" s="172"/>
      <c r="H211" s="172"/>
      <c r="I211" s="38">
        <f t="shared" si="36"/>
        <v>0</v>
      </c>
      <c r="J211" s="172"/>
      <c r="K211" s="172"/>
      <c r="L211" s="172"/>
      <c r="M211" s="38">
        <f t="shared" si="37"/>
        <v>0</v>
      </c>
      <c r="N211" s="172"/>
      <c r="O211" s="172"/>
      <c r="P211" s="172"/>
      <c r="Q211" s="38">
        <f t="shared" si="38"/>
        <v>0</v>
      </c>
      <c r="R211" s="38">
        <f t="shared" si="39"/>
        <v>23</v>
      </c>
    </row>
    <row r="212" spans="1:21" ht="15.75" customHeight="1" x14ac:dyDescent="0.3">
      <c r="A212" s="410" t="s">
        <v>2848</v>
      </c>
      <c r="B212" s="172">
        <v>23</v>
      </c>
      <c r="C212" s="172"/>
      <c r="D212" s="172"/>
      <c r="E212" s="38">
        <f t="shared" si="35"/>
        <v>23</v>
      </c>
      <c r="F212" s="172"/>
      <c r="G212" s="172"/>
      <c r="H212" s="172"/>
      <c r="I212" s="38">
        <f t="shared" si="36"/>
        <v>0</v>
      </c>
      <c r="J212" s="172"/>
      <c r="K212" s="172"/>
      <c r="L212" s="172"/>
      <c r="M212" s="38">
        <f t="shared" si="37"/>
        <v>0</v>
      </c>
      <c r="N212" s="172"/>
      <c r="O212" s="172"/>
      <c r="P212" s="172"/>
      <c r="Q212" s="38">
        <f t="shared" si="38"/>
        <v>0</v>
      </c>
      <c r="R212" s="38">
        <f t="shared" si="39"/>
        <v>23</v>
      </c>
      <c r="T212" t="s">
        <v>2760</v>
      </c>
    </row>
    <row r="213" spans="1:21" ht="15.75" customHeight="1" x14ac:dyDescent="0.3">
      <c r="A213" s="410" t="s">
        <v>2791</v>
      </c>
      <c r="B213" s="172"/>
      <c r="C213" s="172"/>
      <c r="D213" s="172"/>
      <c r="E213" s="38">
        <f t="shared" si="35"/>
        <v>0</v>
      </c>
      <c r="F213" s="172"/>
      <c r="G213" s="172"/>
      <c r="H213" s="172"/>
      <c r="I213" s="38">
        <f t="shared" si="36"/>
        <v>0</v>
      </c>
      <c r="J213" s="172">
        <v>3000</v>
      </c>
      <c r="K213" s="172">
        <v>4000</v>
      </c>
      <c r="L213" s="172"/>
      <c r="M213" s="38">
        <f t="shared" si="37"/>
        <v>7000</v>
      </c>
      <c r="N213" s="172"/>
      <c r="O213" s="172"/>
      <c r="P213" s="172"/>
      <c r="Q213" s="38">
        <f t="shared" si="38"/>
        <v>0</v>
      </c>
      <c r="R213" s="38">
        <f t="shared" si="39"/>
        <v>7000</v>
      </c>
      <c r="T213" t="s">
        <v>2760</v>
      </c>
    </row>
    <row r="214" spans="1:21" ht="15.75" customHeight="1" x14ac:dyDescent="0.3">
      <c r="A214" s="410" t="s">
        <v>1495</v>
      </c>
      <c r="B214" s="172"/>
      <c r="C214" s="172"/>
      <c r="D214" s="172"/>
      <c r="E214" s="38">
        <f t="shared" si="35"/>
        <v>0</v>
      </c>
      <c r="F214" s="172"/>
      <c r="G214" s="172">
        <v>4300</v>
      </c>
      <c r="H214" s="172"/>
      <c r="I214" s="38">
        <f t="shared" si="36"/>
        <v>4300</v>
      </c>
      <c r="J214" s="172"/>
      <c r="K214" s="172"/>
      <c r="L214" s="172"/>
      <c r="M214" s="38">
        <f t="shared" si="37"/>
        <v>0</v>
      </c>
      <c r="N214" s="172"/>
      <c r="O214" s="172"/>
      <c r="P214" s="172"/>
      <c r="Q214" s="38">
        <f t="shared" si="38"/>
        <v>0</v>
      </c>
      <c r="R214" s="38">
        <f t="shared" si="39"/>
        <v>4300</v>
      </c>
    </row>
    <row r="215" spans="1:21" ht="15.75" customHeight="1" x14ac:dyDescent="0.3">
      <c r="A215" s="540" t="s">
        <v>2938</v>
      </c>
      <c r="B215" s="172"/>
      <c r="C215" s="172"/>
      <c r="D215" s="172"/>
      <c r="E215" s="38">
        <f>SUM(B215:D215)</f>
        <v>0</v>
      </c>
      <c r="F215" s="172">
        <v>4498</v>
      </c>
      <c r="G215" s="172">
        <v>3002</v>
      </c>
      <c r="H215" s="172">
        <v>3000</v>
      </c>
      <c r="I215" s="38">
        <f>SUM(F215:H215)</f>
        <v>10500</v>
      </c>
      <c r="J215" s="172">
        <v>1500</v>
      </c>
      <c r="K215" s="172">
        <v>1000</v>
      </c>
      <c r="L215" s="172">
        <v>1000</v>
      </c>
      <c r="M215" s="38">
        <f>SUM(J215:L215)</f>
        <v>3500</v>
      </c>
      <c r="N215" s="172">
        <v>1000</v>
      </c>
      <c r="O215" s="172"/>
      <c r="P215" s="172"/>
      <c r="Q215" s="38">
        <f>SUM(N215:P215)</f>
        <v>1000</v>
      </c>
      <c r="R215" s="38">
        <f>+E215+I215+M215+Q215</f>
        <v>15000</v>
      </c>
    </row>
    <row r="216" spans="1:21" ht="15.75" customHeight="1" x14ac:dyDescent="0.3">
      <c r="A216" s="540" t="s">
        <v>2753</v>
      </c>
      <c r="B216" s="172"/>
      <c r="C216" s="172">
        <v>1735</v>
      </c>
      <c r="D216" s="172">
        <v>1094</v>
      </c>
      <c r="E216" s="38">
        <f t="shared" si="35"/>
        <v>2829</v>
      </c>
      <c r="F216" s="172">
        <v>397</v>
      </c>
      <c r="G216" s="172"/>
      <c r="H216" s="172"/>
      <c r="I216" s="38">
        <f t="shared" si="36"/>
        <v>397</v>
      </c>
      <c r="J216" s="172"/>
      <c r="K216" s="172"/>
      <c r="L216" s="172"/>
      <c r="M216" s="38">
        <f t="shared" si="37"/>
        <v>0</v>
      </c>
      <c r="N216" s="172"/>
      <c r="O216" s="172"/>
      <c r="P216" s="172"/>
      <c r="Q216" s="38">
        <f t="shared" si="38"/>
        <v>0</v>
      </c>
      <c r="R216" s="38">
        <f t="shared" si="39"/>
        <v>3226</v>
      </c>
    </row>
    <row r="217" spans="1:21" ht="15.75" customHeight="1" x14ac:dyDescent="0.3">
      <c r="A217" s="540" t="s">
        <v>2754</v>
      </c>
      <c r="B217" s="172">
        <v>855</v>
      </c>
      <c r="C217" s="172">
        <v>325</v>
      </c>
      <c r="D217" s="172"/>
      <c r="E217" s="38">
        <f t="shared" si="35"/>
        <v>1180</v>
      </c>
      <c r="F217" s="172"/>
      <c r="G217" s="172"/>
      <c r="H217" s="172"/>
      <c r="I217" s="38">
        <f t="shared" si="36"/>
        <v>0</v>
      </c>
      <c r="J217" s="172"/>
      <c r="K217" s="172"/>
      <c r="L217" s="172"/>
      <c r="M217" s="38">
        <f t="shared" si="37"/>
        <v>0</v>
      </c>
      <c r="N217" s="172"/>
      <c r="O217" s="172"/>
      <c r="P217" s="172"/>
      <c r="Q217" s="38">
        <f t="shared" si="38"/>
        <v>0</v>
      </c>
      <c r="R217" s="38">
        <f t="shared" si="39"/>
        <v>1180</v>
      </c>
    </row>
    <row r="218" spans="1:21" ht="15.75" customHeight="1" x14ac:dyDescent="0.3">
      <c r="A218" s="410" t="s">
        <v>2755</v>
      </c>
      <c r="B218" s="10">
        <v>781</v>
      </c>
      <c r="C218" s="10">
        <v>735</v>
      </c>
      <c r="D218" s="10">
        <v>797</v>
      </c>
      <c r="E218" s="38">
        <f t="shared" si="35"/>
        <v>2313</v>
      </c>
      <c r="F218" s="10"/>
      <c r="G218" s="10"/>
      <c r="H218" s="10"/>
      <c r="I218" s="38">
        <f t="shared" si="36"/>
        <v>0</v>
      </c>
      <c r="J218" s="10"/>
      <c r="K218" s="10"/>
      <c r="L218" s="10"/>
      <c r="M218" s="38">
        <f t="shared" si="37"/>
        <v>0</v>
      </c>
      <c r="N218" s="10"/>
      <c r="O218" s="10"/>
      <c r="P218" s="10"/>
      <c r="Q218" s="38">
        <f t="shared" si="38"/>
        <v>0</v>
      </c>
      <c r="R218" s="38">
        <f t="shared" si="39"/>
        <v>2313</v>
      </c>
    </row>
    <row r="219" spans="1:21" ht="15.75" customHeight="1" x14ac:dyDescent="0.3">
      <c r="A219" s="569" t="s">
        <v>2946</v>
      </c>
      <c r="B219" s="10">
        <f>26+18</f>
        <v>44</v>
      </c>
      <c r="C219" s="10">
        <f>33+21</f>
        <v>54</v>
      </c>
      <c r="D219" s="10">
        <f>48+38</f>
        <v>86</v>
      </c>
      <c r="E219" s="38">
        <f>SUM(B219:D219)</f>
        <v>184</v>
      </c>
      <c r="F219" s="10">
        <f>19+78</f>
        <v>97</v>
      </c>
      <c r="G219" s="10"/>
      <c r="H219" s="10"/>
      <c r="I219" s="38">
        <f>SUM(F219:H219)</f>
        <v>97</v>
      </c>
      <c r="J219" s="10"/>
      <c r="K219" s="10"/>
      <c r="L219" s="10"/>
      <c r="M219" s="38">
        <f>SUM(J219:L219)</f>
        <v>0</v>
      </c>
      <c r="N219" s="10"/>
      <c r="O219" s="10"/>
      <c r="P219" s="10"/>
      <c r="Q219" s="38">
        <f>SUM(N219:P219)</f>
        <v>0</v>
      </c>
      <c r="R219" s="38">
        <f>+E219+I219+M219+Q219</f>
        <v>281</v>
      </c>
    </row>
    <row r="220" spans="1:21" ht="15.75" customHeight="1" x14ac:dyDescent="0.3">
      <c r="A220" s="410" t="s">
        <v>1851</v>
      </c>
      <c r="B220" s="10"/>
      <c r="C220" s="10"/>
      <c r="D220" s="10"/>
      <c r="E220" s="38">
        <f t="shared" si="35"/>
        <v>0</v>
      </c>
      <c r="F220" s="10"/>
      <c r="G220" s="10">
        <v>4094</v>
      </c>
      <c r="H220" s="10">
        <v>10906</v>
      </c>
      <c r="I220" s="38">
        <f t="shared" si="36"/>
        <v>15000</v>
      </c>
      <c r="J220" s="10"/>
      <c r="K220" s="10"/>
      <c r="L220" s="10"/>
      <c r="M220" s="38">
        <f t="shared" si="37"/>
        <v>0</v>
      </c>
      <c r="N220" s="10"/>
      <c r="O220" s="10"/>
      <c r="P220" s="10"/>
      <c r="Q220" s="38">
        <f t="shared" si="38"/>
        <v>0</v>
      </c>
      <c r="R220" s="38">
        <f t="shared" si="39"/>
        <v>15000</v>
      </c>
    </row>
    <row r="221" spans="1:21" ht="15.75" customHeight="1" x14ac:dyDescent="0.3">
      <c r="A221" s="410" t="s">
        <v>1850</v>
      </c>
      <c r="B221" s="10"/>
      <c r="C221" s="10"/>
      <c r="D221" s="10"/>
      <c r="E221" s="38">
        <f t="shared" si="35"/>
        <v>0</v>
      </c>
      <c r="F221" s="10">
        <v>1181</v>
      </c>
      <c r="G221" s="10">
        <v>6742</v>
      </c>
      <c r="H221" s="10">
        <v>4077</v>
      </c>
      <c r="I221" s="38">
        <f t="shared" si="36"/>
        <v>12000</v>
      </c>
      <c r="J221" s="10"/>
      <c r="K221" s="10"/>
      <c r="L221" s="10"/>
      <c r="M221" s="38">
        <f t="shared" si="37"/>
        <v>0</v>
      </c>
      <c r="N221" s="10"/>
      <c r="O221" s="10"/>
      <c r="P221" s="10"/>
      <c r="Q221" s="38">
        <f t="shared" si="38"/>
        <v>0</v>
      </c>
      <c r="R221" s="38">
        <f t="shared" si="39"/>
        <v>12000</v>
      </c>
    </row>
    <row r="222" spans="1:21" ht="15.75" customHeight="1" x14ac:dyDescent="0.3">
      <c r="A222" s="410" t="s">
        <v>885</v>
      </c>
      <c r="B222" s="172"/>
      <c r="C222" s="172"/>
      <c r="D222" s="172"/>
      <c r="E222" s="38">
        <f t="shared" si="35"/>
        <v>0</v>
      </c>
      <c r="F222" s="172"/>
      <c r="G222" s="172"/>
      <c r="H222" s="172"/>
      <c r="I222" s="38">
        <f t="shared" si="36"/>
        <v>0</v>
      </c>
      <c r="J222" s="172">
        <v>1700</v>
      </c>
      <c r="K222" s="172"/>
      <c r="L222" s="172"/>
      <c r="M222" s="38">
        <f t="shared" si="37"/>
        <v>1700</v>
      </c>
      <c r="N222" s="172"/>
      <c r="O222" s="172"/>
      <c r="P222" s="172"/>
      <c r="Q222" s="38">
        <f t="shared" si="38"/>
        <v>0</v>
      </c>
      <c r="R222" s="38">
        <f t="shared" si="39"/>
        <v>1700</v>
      </c>
    </row>
    <row r="223" spans="1:21" ht="15.75" customHeight="1" x14ac:dyDescent="0.3">
      <c r="A223" s="410" t="s">
        <v>2807</v>
      </c>
      <c r="B223" s="172"/>
      <c r="C223" s="172"/>
      <c r="D223" s="172"/>
      <c r="E223" s="38">
        <f t="shared" si="35"/>
        <v>0</v>
      </c>
      <c r="F223" s="172"/>
      <c r="G223" s="172"/>
      <c r="H223" s="172"/>
      <c r="I223" s="38">
        <f t="shared" si="36"/>
        <v>0</v>
      </c>
      <c r="J223" s="172">
        <v>102</v>
      </c>
      <c r="K223" s="172">
        <v>392</v>
      </c>
      <c r="L223" s="172"/>
      <c r="M223" s="38">
        <f t="shared" si="37"/>
        <v>494</v>
      </c>
      <c r="N223" s="172"/>
      <c r="O223" s="172"/>
      <c r="P223" s="172"/>
      <c r="Q223" s="38">
        <f t="shared" si="38"/>
        <v>0</v>
      </c>
      <c r="R223" s="38">
        <f t="shared" si="39"/>
        <v>494</v>
      </c>
      <c r="S223" s="230"/>
      <c r="T223" s="230" t="s">
        <v>2760</v>
      </c>
      <c r="U223" s="230"/>
    </row>
    <row r="224" spans="1:21" ht="15.75" customHeight="1" x14ac:dyDescent="0.3">
      <c r="A224" s="410" t="s">
        <v>1163</v>
      </c>
      <c r="B224" s="172"/>
      <c r="C224" s="172"/>
      <c r="D224" s="172">
        <v>183</v>
      </c>
      <c r="E224" s="38">
        <f>SUM(B224:D224)</f>
        <v>183</v>
      </c>
      <c r="F224" s="172">
        <v>1105</v>
      </c>
      <c r="G224" s="172">
        <v>526</v>
      </c>
      <c r="H224" s="172"/>
      <c r="I224" s="38">
        <f>SUM(F224:H224)</f>
        <v>1631</v>
      </c>
      <c r="J224" s="172"/>
      <c r="K224" s="172"/>
      <c r="L224" s="172"/>
      <c r="M224" s="38">
        <f t="shared" si="37"/>
        <v>0</v>
      </c>
      <c r="N224" s="172"/>
      <c r="O224" s="172"/>
      <c r="P224" s="172"/>
      <c r="Q224" s="38">
        <f t="shared" si="38"/>
        <v>0</v>
      </c>
      <c r="R224" s="38">
        <f t="shared" si="39"/>
        <v>1814</v>
      </c>
      <c r="T224" t="s">
        <v>2775</v>
      </c>
    </row>
    <row r="225" spans="1:20" ht="15.75" customHeight="1" x14ac:dyDescent="0.3">
      <c r="A225" s="410" t="s">
        <v>1097</v>
      </c>
      <c r="B225" s="172"/>
      <c r="E225" s="38">
        <f t="shared" si="35"/>
        <v>0</v>
      </c>
      <c r="G225" s="172"/>
      <c r="H225" s="172"/>
      <c r="I225" s="38">
        <f t="shared" si="36"/>
        <v>0</v>
      </c>
      <c r="J225" s="172"/>
      <c r="K225" s="172"/>
      <c r="L225" s="172"/>
      <c r="M225" s="38">
        <f t="shared" si="37"/>
        <v>0</v>
      </c>
      <c r="N225" s="172"/>
      <c r="O225" s="172"/>
      <c r="P225" s="172"/>
      <c r="Q225" s="38">
        <f t="shared" si="38"/>
        <v>0</v>
      </c>
      <c r="R225" s="38">
        <f t="shared" si="39"/>
        <v>0</v>
      </c>
    </row>
    <row r="226" spans="1:20" ht="15.75" customHeight="1" x14ac:dyDescent="0.3">
      <c r="A226" s="410" t="s">
        <v>14</v>
      </c>
      <c r="B226" s="172"/>
      <c r="C226" s="172"/>
      <c r="D226" s="172"/>
      <c r="E226" s="38">
        <f t="shared" si="35"/>
        <v>0</v>
      </c>
      <c r="F226" s="172"/>
      <c r="G226" s="172">
        <v>3023</v>
      </c>
      <c r="H226" s="172"/>
      <c r="I226" s="38">
        <f t="shared" si="36"/>
        <v>3023</v>
      </c>
      <c r="J226" s="172"/>
      <c r="K226" s="172"/>
      <c r="L226" s="172"/>
      <c r="M226" s="38">
        <f t="shared" si="37"/>
        <v>0</v>
      </c>
      <c r="N226" s="172"/>
      <c r="O226" s="172"/>
      <c r="P226" s="172"/>
      <c r="Q226" s="38">
        <f t="shared" si="38"/>
        <v>0</v>
      </c>
      <c r="R226" s="38">
        <f t="shared" si="39"/>
        <v>3023</v>
      </c>
    </row>
    <row r="227" spans="1:20" ht="15.75" customHeight="1" x14ac:dyDescent="0.3">
      <c r="A227" s="410" t="s">
        <v>2410</v>
      </c>
      <c r="B227" s="172">
        <v>60</v>
      </c>
      <c r="C227" s="172"/>
      <c r="D227" s="172"/>
      <c r="E227" s="38">
        <f t="shared" si="35"/>
        <v>60</v>
      </c>
      <c r="F227" s="172"/>
      <c r="G227" s="172"/>
      <c r="H227" s="172"/>
      <c r="I227" s="38">
        <f t="shared" si="36"/>
        <v>0</v>
      </c>
      <c r="J227" s="172"/>
      <c r="K227" s="172"/>
      <c r="L227" s="172"/>
      <c r="M227" s="38">
        <f t="shared" si="37"/>
        <v>0</v>
      </c>
      <c r="N227" s="172"/>
      <c r="O227" s="172"/>
      <c r="P227" s="172"/>
      <c r="Q227" s="38">
        <f t="shared" si="38"/>
        <v>0</v>
      </c>
      <c r="R227" s="38">
        <f t="shared" si="39"/>
        <v>60</v>
      </c>
    </row>
    <row r="228" spans="1:20" ht="15.75" customHeight="1" x14ac:dyDescent="0.3">
      <c r="A228" s="410" t="s">
        <v>2849</v>
      </c>
      <c r="B228" s="172">
        <v>60</v>
      </c>
      <c r="C228" s="172"/>
      <c r="D228" s="172"/>
      <c r="E228" s="38">
        <f t="shared" si="35"/>
        <v>60</v>
      </c>
      <c r="F228" s="172"/>
      <c r="G228" s="172"/>
      <c r="H228" s="172"/>
      <c r="I228" s="38">
        <f t="shared" si="36"/>
        <v>0</v>
      </c>
      <c r="J228" s="172"/>
      <c r="K228" s="172"/>
      <c r="L228" s="172"/>
      <c r="M228" s="38">
        <f t="shared" si="37"/>
        <v>0</v>
      </c>
      <c r="N228" s="172"/>
      <c r="O228" s="172"/>
      <c r="P228" s="172"/>
      <c r="Q228" s="38">
        <f t="shared" si="38"/>
        <v>0</v>
      </c>
      <c r="R228" s="38">
        <f t="shared" si="39"/>
        <v>60</v>
      </c>
      <c r="T228" t="s">
        <v>2760</v>
      </c>
    </row>
    <row r="229" spans="1:20" ht="15.75" customHeight="1" x14ac:dyDescent="0.3">
      <c r="A229" s="410" t="s">
        <v>2802</v>
      </c>
      <c r="B229" s="172"/>
      <c r="C229" s="172"/>
      <c r="D229" s="172"/>
      <c r="E229" s="38">
        <f t="shared" si="35"/>
        <v>0</v>
      </c>
      <c r="F229" s="172"/>
      <c r="G229" s="172"/>
      <c r="H229" s="172"/>
      <c r="I229" s="38">
        <f t="shared" si="36"/>
        <v>0</v>
      </c>
      <c r="J229" s="172"/>
      <c r="K229" s="172"/>
      <c r="L229" s="172"/>
      <c r="M229" s="38">
        <f t="shared" si="37"/>
        <v>0</v>
      </c>
      <c r="N229" s="172"/>
      <c r="O229" s="172"/>
      <c r="P229" s="172"/>
      <c r="Q229" s="38">
        <f t="shared" si="38"/>
        <v>0</v>
      </c>
      <c r="R229" s="38">
        <f t="shared" si="39"/>
        <v>0</v>
      </c>
      <c r="T229" t="s">
        <v>2760</v>
      </c>
    </row>
    <row r="230" spans="1:20" ht="15.75" customHeight="1" x14ac:dyDescent="0.3">
      <c r="A230" s="410" t="s">
        <v>2803</v>
      </c>
      <c r="B230" s="172">
        <v>738</v>
      </c>
      <c r="C230" s="172">
        <v>664</v>
      </c>
      <c r="D230" s="172">
        <v>884</v>
      </c>
      <c r="E230" s="38">
        <f t="shared" ref="E230:E235" si="40">SUM(B230:D230)</f>
        <v>2286</v>
      </c>
      <c r="F230" s="172">
        <v>1283</v>
      </c>
      <c r="G230" s="172">
        <v>740</v>
      </c>
      <c r="H230" s="172">
        <v>161</v>
      </c>
      <c r="I230" s="38">
        <f t="shared" ref="I230:I235" si="41">SUM(F230:H230)</f>
        <v>2184</v>
      </c>
      <c r="J230" s="172">
        <v>196</v>
      </c>
      <c r="K230" s="172">
        <v>845</v>
      </c>
      <c r="L230" s="172">
        <v>626</v>
      </c>
      <c r="M230" s="38">
        <f t="shared" ref="M230:M235" si="42">SUM(J230:L230)</f>
        <v>1667</v>
      </c>
      <c r="N230" s="172">
        <v>1044</v>
      </c>
      <c r="O230" s="172">
        <v>772</v>
      </c>
      <c r="P230" s="172">
        <v>827</v>
      </c>
      <c r="Q230" s="38">
        <f t="shared" ref="Q230:Q235" si="43">SUM(N230:P230)</f>
        <v>2643</v>
      </c>
      <c r="R230" s="38">
        <f t="shared" si="39"/>
        <v>8780</v>
      </c>
      <c r="T230" t="s">
        <v>2760</v>
      </c>
    </row>
    <row r="231" spans="1:20" ht="15.75" customHeight="1" x14ac:dyDescent="0.3">
      <c r="A231" s="620" t="s">
        <v>2939</v>
      </c>
      <c r="B231" s="172"/>
      <c r="C231" s="172"/>
      <c r="D231" s="172">
        <v>4500</v>
      </c>
      <c r="E231" s="38">
        <f t="shared" si="40"/>
        <v>4500</v>
      </c>
      <c r="F231" s="172">
        <v>4000</v>
      </c>
      <c r="G231" s="172">
        <v>9500</v>
      </c>
      <c r="H231" s="172"/>
      <c r="I231" s="38">
        <f t="shared" si="41"/>
        <v>13500</v>
      </c>
      <c r="J231" s="172">
        <v>2000</v>
      </c>
      <c r="K231" s="172"/>
      <c r="L231" s="172">
        <v>3000</v>
      </c>
      <c r="M231" s="38">
        <f t="shared" si="42"/>
        <v>5000</v>
      </c>
      <c r="N231" s="172">
        <v>3000</v>
      </c>
      <c r="O231" s="172">
        <v>2000</v>
      </c>
      <c r="P231" s="172"/>
      <c r="Q231" s="38">
        <f t="shared" si="43"/>
        <v>5000</v>
      </c>
      <c r="R231" s="38">
        <f t="shared" si="39"/>
        <v>28000</v>
      </c>
      <c r="T231" t="s">
        <v>2760</v>
      </c>
    </row>
    <row r="232" spans="1:20" ht="15.75" customHeight="1" x14ac:dyDescent="0.3">
      <c r="A232" s="540" t="s">
        <v>2741</v>
      </c>
      <c r="B232" s="172"/>
      <c r="C232" s="172"/>
      <c r="D232" s="172"/>
      <c r="E232" s="38">
        <f t="shared" si="40"/>
        <v>0</v>
      </c>
      <c r="F232" s="172"/>
      <c r="G232" s="172">
        <v>1432</v>
      </c>
      <c r="H232" s="172"/>
      <c r="I232" s="38">
        <f t="shared" si="41"/>
        <v>1432</v>
      </c>
      <c r="J232" s="172">
        <v>1134</v>
      </c>
      <c r="K232" s="172">
        <v>600</v>
      </c>
      <c r="L232" s="172"/>
      <c r="M232" s="38">
        <f t="shared" si="42"/>
        <v>1734</v>
      </c>
      <c r="N232" s="172"/>
      <c r="O232" s="172">
        <v>1000</v>
      </c>
      <c r="P232" s="172"/>
      <c r="Q232" s="38">
        <f t="shared" si="43"/>
        <v>1000</v>
      </c>
      <c r="R232" s="38">
        <f t="shared" si="39"/>
        <v>4166</v>
      </c>
      <c r="T232" t="s">
        <v>2769</v>
      </c>
    </row>
    <row r="233" spans="1:20" ht="15.75" customHeight="1" x14ac:dyDescent="0.3">
      <c r="A233" s="540" t="s">
        <v>2742</v>
      </c>
      <c r="B233" s="172"/>
      <c r="C233" s="172">
        <v>675</v>
      </c>
      <c r="D233" s="172">
        <v>1000</v>
      </c>
      <c r="E233" s="38">
        <f t="shared" si="40"/>
        <v>1675</v>
      </c>
      <c r="F233" s="172">
        <v>1325</v>
      </c>
      <c r="G233" s="172"/>
      <c r="H233" s="172"/>
      <c r="I233" s="38">
        <f t="shared" si="41"/>
        <v>1325</v>
      </c>
      <c r="J233" s="172"/>
      <c r="K233" s="172"/>
      <c r="L233" s="172">
        <v>952</v>
      </c>
      <c r="M233" s="38">
        <f t="shared" si="42"/>
        <v>952</v>
      </c>
      <c r="N233" s="172"/>
      <c r="O233" s="172">
        <v>2530</v>
      </c>
      <c r="P233" s="172">
        <v>293</v>
      </c>
      <c r="Q233" s="38">
        <f t="shared" si="43"/>
        <v>2823</v>
      </c>
      <c r="R233" s="38">
        <f t="shared" si="39"/>
        <v>6775</v>
      </c>
      <c r="T233" t="s">
        <v>2770</v>
      </c>
    </row>
    <row r="234" spans="1:20" ht="15.75" customHeight="1" x14ac:dyDescent="0.3">
      <c r="A234" s="410" t="s">
        <v>2798</v>
      </c>
      <c r="B234" s="172"/>
      <c r="C234" s="172"/>
      <c r="D234" s="172"/>
      <c r="E234" s="38">
        <f t="shared" si="40"/>
        <v>0</v>
      </c>
      <c r="F234" s="172"/>
      <c r="G234" s="172"/>
      <c r="H234" s="172"/>
      <c r="I234" s="38">
        <f t="shared" si="41"/>
        <v>0</v>
      </c>
      <c r="J234" s="172"/>
      <c r="K234" s="172">
        <v>1500</v>
      </c>
      <c r="L234" s="172">
        <v>450</v>
      </c>
      <c r="M234" s="38">
        <f>SUM(J234:L234)</f>
        <v>1950</v>
      </c>
      <c r="N234" s="172"/>
      <c r="O234" s="172"/>
      <c r="P234" s="172"/>
      <c r="Q234" s="38">
        <f t="shared" si="43"/>
        <v>0</v>
      </c>
      <c r="R234" s="38">
        <f t="shared" si="39"/>
        <v>1950</v>
      </c>
      <c r="T234" t="s">
        <v>2760</v>
      </c>
    </row>
    <row r="235" spans="1:20" ht="15.75" customHeight="1" x14ac:dyDescent="0.3">
      <c r="A235" s="410" t="s">
        <v>2808</v>
      </c>
      <c r="B235" s="172"/>
      <c r="C235" s="172"/>
      <c r="D235" s="172">
        <v>184</v>
      </c>
      <c r="E235" s="38">
        <f t="shared" si="40"/>
        <v>184</v>
      </c>
      <c r="F235" s="172">
        <v>568</v>
      </c>
      <c r="G235" s="172">
        <v>1212</v>
      </c>
      <c r="H235" s="172">
        <v>253</v>
      </c>
      <c r="I235" s="38">
        <f t="shared" si="41"/>
        <v>2033</v>
      </c>
      <c r="J235" s="172"/>
      <c r="K235" s="172"/>
      <c r="L235" s="172"/>
      <c r="M235" s="38">
        <f t="shared" si="42"/>
        <v>0</v>
      </c>
      <c r="N235" s="172"/>
      <c r="O235" s="172"/>
      <c r="P235" s="172"/>
      <c r="Q235" s="38">
        <f t="shared" si="43"/>
        <v>0</v>
      </c>
      <c r="R235" s="38">
        <f t="shared" si="39"/>
        <v>2217</v>
      </c>
      <c r="T235" t="s">
        <v>2760</v>
      </c>
    </row>
    <row r="236" spans="1:20" ht="15.75" customHeight="1" x14ac:dyDescent="0.3">
      <c r="A236" s="410" t="s">
        <v>100</v>
      </c>
      <c r="B236" s="172">
        <v>436</v>
      </c>
      <c r="C236" s="172">
        <v>1250</v>
      </c>
      <c r="D236" s="172">
        <v>1164</v>
      </c>
      <c r="E236" s="38">
        <f t="shared" si="35"/>
        <v>2850</v>
      </c>
      <c r="F236" s="172"/>
      <c r="G236" s="172"/>
      <c r="H236" s="172"/>
      <c r="I236" s="38">
        <f t="shared" si="36"/>
        <v>0</v>
      </c>
      <c r="J236" s="172"/>
      <c r="K236" s="172"/>
      <c r="L236" s="172"/>
      <c r="M236" s="38">
        <f t="shared" si="37"/>
        <v>0</v>
      </c>
      <c r="N236" s="172"/>
      <c r="O236" s="172"/>
      <c r="P236" s="172"/>
      <c r="Q236" s="38">
        <f t="shared" si="38"/>
        <v>0</v>
      </c>
      <c r="R236" s="38">
        <f t="shared" si="39"/>
        <v>2850</v>
      </c>
      <c r="T236" t="s">
        <v>2775</v>
      </c>
    </row>
    <row r="237" spans="1:20" ht="15.75" customHeight="1" x14ac:dyDescent="0.3">
      <c r="A237" s="410" t="s">
        <v>101</v>
      </c>
      <c r="B237" s="172"/>
      <c r="C237" s="172"/>
      <c r="D237" s="172"/>
      <c r="E237" s="38">
        <f t="shared" si="35"/>
        <v>0</v>
      </c>
      <c r="F237" s="172"/>
      <c r="G237" s="172"/>
      <c r="H237" s="172"/>
      <c r="I237" s="38">
        <f t="shared" si="36"/>
        <v>0</v>
      </c>
      <c r="J237" s="172"/>
      <c r="K237" s="172"/>
      <c r="L237" s="172"/>
      <c r="M237" s="38">
        <f t="shared" si="37"/>
        <v>0</v>
      </c>
      <c r="N237" s="172"/>
      <c r="O237" s="172"/>
      <c r="P237" s="172"/>
      <c r="Q237" s="38">
        <f t="shared" si="38"/>
        <v>0</v>
      </c>
      <c r="R237" s="38">
        <f t="shared" si="39"/>
        <v>0</v>
      </c>
    </row>
    <row r="238" spans="1:20" ht="15.75" customHeight="1" x14ac:dyDescent="0.3">
      <c r="A238" s="410" t="s">
        <v>2446</v>
      </c>
      <c r="B238" s="172"/>
      <c r="C238" s="172"/>
      <c r="D238" s="172"/>
      <c r="E238" s="38">
        <f t="shared" si="35"/>
        <v>0</v>
      </c>
      <c r="F238" s="10">
        <v>2753</v>
      </c>
      <c r="G238" s="10">
        <v>1997</v>
      </c>
      <c r="H238" s="172"/>
      <c r="I238" s="38">
        <f t="shared" si="36"/>
        <v>4750</v>
      </c>
      <c r="J238" s="172"/>
      <c r="K238" s="172"/>
      <c r="L238" s="172"/>
      <c r="M238" s="38">
        <f t="shared" si="37"/>
        <v>0</v>
      </c>
      <c r="N238" s="172"/>
      <c r="O238" s="172"/>
      <c r="P238" s="172"/>
      <c r="Q238" s="38">
        <f t="shared" si="38"/>
        <v>0</v>
      </c>
      <c r="R238" s="38">
        <f t="shared" si="39"/>
        <v>4750</v>
      </c>
    </row>
    <row r="239" spans="1:20" ht="15.75" customHeight="1" x14ac:dyDescent="0.3">
      <c r="A239" s="410" t="s">
        <v>829</v>
      </c>
      <c r="B239" s="172">
        <v>95</v>
      </c>
      <c r="C239" s="172"/>
      <c r="D239" s="172"/>
      <c r="E239" s="38">
        <f t="shared" si="35"/>
        <v>95</v>
      </c>
      <c r="F239" s="172"/>
      <c r="G239" s="172"/>
      <c r="H239" s="172"/>
      <c r="I239" s="38">
        <f t="shared" si="36"/>
        <v>0</v>
      </c>
      <c r="J239" s="172"/>
      <c r="K239" s="172"/>
      <c r="L239" s="172"/>
      <c r="M239" s="38">
        <f t="shared" si="37"/>
        <v>0</v>
      </c>
      <c r="N239" s="172"/>
      <c r="O239" s="172"/>
      <c r="P239" s="172"/>
      <c r="Q239" s="38">
        <f t="shared" si="38"/>
        <v>0</v>
      </c>
      <c r="R239" s="38">
        <f t="shared" si="39"/>
        <v>95</v>
      </c>
    </row>
    <row r="240" spans="1:20" ht="15.75" customHeight="1" x14ac:dyDescent="0.3">
      <c r="A240" s="410" t="s">
        <v>2850</v>
      </c>
      <c r="B240" s="172">
        <v>95</v>
      </c>
      <c r="C240" s="172"/>
      <c r="D240" s="172"/>
      <c r="E240" s="38">
        <f t="shared" si="35"/>
        <v>95</v>
      </c>
      <c r="F240" s="172"/>
      <c r="G240" s="172"/>
      <c r="H240" s="172"/>
      <c r="I240" s="38">
        <f t="shared" si="36"/>
        <v>0</v>
      </c>
      <c r="J240" s="172"/>
      <c r="K240" s="172"/>
      <c r="L240" s="172"/>
      <c r="M240" s="38">
        <f t="shared" si="37"/>
        <v>0</v>
      </c>
      <c r="N240" s="172"/>
      <c r="O240" s="172"/>
      <c r="P240" s="172"/>
      <c r="Q240" s="38">
        <f t="shared" si="38"/>
        <v>0</v>
      </c>
      <c r="R240" s="38">
        <f t="shared" si="39"/>
        <v>95</v>
      </c>
      <c r="T240" t="s">
        <v>2760</v>
      </c>
    </row>
    <row r="241" spans="1:21" ht="15.75" customHeight="1" x14ac:dyDescent="0.3">
      <c r="A241" s="410" t="s">
        <v>2942</v>
      </c>
      <c r="B241" s="172"/>
      <c r="C241" s="172"/>
      <c r="D241" s="172"/>
      <c r="E241" s="38">
        <f>SUM(B241:D241)</f>
        <v>0</v>
      </c>
      <c r="F241" s="172">
        <v>3000</v>
      </c>
      <c r="G241" s="172">
        <v>2557</v>
      </c>
      <c r="H241" s="172">
        <v>3443</v>
      </c>
      <c r="I241" s="38">
        <f>SUM(F241:H241)</f>
        <v>9000</v>
      </c>
      <c r="J241" s="172"/>
      <c r="K241" s="172"/>
      <c r="L241" s="172"/>
      <c r="M241" s="38">
        <f>SUM(J241:L241)</f>
        <v>0</v>
      </c>
      <c r="N241" s="172"/>
      <c r="O241" s="172"/>
      <c r="P241" s="172"/>
      <c r="Q241" s="38">
        <f>SUM(N241:P241)</f>
        <v>0</v>
      </c>
      <c r="R241" s="38">
        <f>+E241+I241+M241+Q241</f>
        <v>9000</v>
      </c>
    </row>
    <row r="242" spans="1:21" ht="15.75" customHeight="1" x14ac:dyDescent="0.3">
      <c r="A242" s="410" t="s">
        <v>1453</v>
      </c>
      <c r="B242" s="172">
        <v>884</v>
      </c>
      <c r="C242" s="172">
        <v>3368</v>
      </c>
      <c r="D242" s="172">
        <v>4129</v>
      </c>
      <c r="E242" s="38">
        <f>SUM(B242:D242)</f>
        <v>8381</v>
      </c>
      <c r="F242" s="172">
        <v>4119</v>
      </c>
      <c r="G242" s="172"/>
      <c r="H242" s="172"/>
      <c r="I242" s="38">
        <f>SUM(F242:H242)</f>
        <v>4119</v>
      </c>
      <c r="J242" s="172"/>
      <c r="K242" s="172"/>
      <c r="L242" s="172"/>
      <c r="M242" s="38">
        <f>SUM(J242:L242)</f>
        <v>0</v>
      </c>
      <c r="N242" s="172"/>
      <c r="O242" s="172"/>
      <c r="P242" s="172"/>
      <c r="Q242" s="38">
        <f>SUM(N242:P242)</f>
        <v>0</v>
      </c>
      <c r="R242" s="38">
        <f>+E242+I242+M242+Q242</f>
        <v>12500</v>
      </c>
    </row>
    <row r="243" spans="1:21" ht="15.75" customHeight="1" x14ac:dyDescent="0.3">
      <c r="A243" s="410" t="s">
        <v>1410</v>
      </c>
      <c r="B243" s="172">
        <v>500</v>
      </c>
      <c r="C243" s="172"/>
      <c r="D243" s="172"/>
      <c r="E243" s="38">
        <f t="shared" si="35"/>
        <v>500</v>
      </c>
      <c r="F243" s="172"/>
      <c r="G243" s="172"/>
      <c r="H243" s="172"/>
      <c r="I243" s="38">
        <f t="shared" si="36"/>
        <v>0</v>
      </c>
      <c r="J243" s="172"/>
      <c r="K243" s="172"/>
      <c r="L243" s="172"/>
      <c r="M243" s="38">
        <f t="shared" si="37"/>
        <v>0</v>
      </c>
      <c r="N243" s="172"/>
      <c r="O243" s="172"/>
      <c r="P243" s="172"/>
      <c r="Q243" s="38">
        <f t="shared" si="38"/>
        <v>0</v>
      </c>
      <c r="R243" s="38">
        <f t="shared" si="39"/>
        <v>500</v>
      </c>
    </row>
    <row r="244" spans="1:21" ht="15.75" customHeight="1" thickBot="1" x14ac:dyDescent="0.35">
      <c r="A244" s="410" t="s">
        <v>2948</v>
      </c>
      <c r="B244" s="172"/>
      <c r="C244" s="172"/>
      <c r="D244" s="172"/>
      <c r="E244" s="38">
        <f>SUM(B244:D244)</f>
        <v>0</v>
      </c>
      <c r="F244" s="172"/>
      <c r="G244" s="172"/>
      <c r="H244" s="172"/>
      <c r="I244" s="38">
        <f>SUM(F244:H244)</f>
        <v>0</v>
      </c>
      <c r="J244" s="172"/>
      <c r="K244" s="172"/>
      <c r="L244" s="172"/>
      <c r="M244" s="38">
        <f>SUM(J244:L244)</f>
        <v>0</v>
      </c>
      <c r="N244" s="172"/>
      <c r="O244" s="172"/>
      <c r="P244" s="172"/>
      <c r="Q244" s="38">
        <f>SUM(N244:P244)</f>
        <v>0</v>
      </c>
      <c r="R244" s="38">
        <f>+E244+I244+M244+Q244</f>
        <v>0</v>
      </c>
    </row>
    <row r="245" spans="1:21" ht="16.5" customHeight="1" thickBot="1" x14ac:dyDescent="0.35">
      <c r="A245" s="43" t="s">
        <v>1220</v>
      </c>
      <c r="B245" s="45">
        <f>SUM(B200:B244)</f>
        <v>7321</v>
      </c>
      <c r="C245" s="46">
        <f>SUM(C200:C244)</f>
        <v>9553</v>
      </c>
      <c r="D245" s="46">
        <f>SUM(D200:D244)</f>
        <v>14704</v>
      </c>
      <c r="E245" s="37">
        <f t="shared" si="35"/>
        <v>31578</v>
      </c>
      <c r="F245" s="46">
        <f>SUM(F200:F244)</f>
        <v>24722</v>
      </c>
      <c r="G245" s="46">
        <f>SUM(G200:G244)</f>
        <v>39620</v>
      </c>
      <c r="H245" s="46">
        <f>SUM(H200:H244)</f>
        <v>22404</v>
      </c>
      <c r="I245" s="37">
        <f t="shared" si="36"/>
        <v>86746</v>
      </c>
      <c r="J245" s="46">
        <f>SUM(J200:J244)</f>
        <v>10172</v>
      </c>
      <c r="K245" s="46">
        <f>SUM(K200:K244)</f>
        <v>8766</v>
      </c>
      <c r="L245" s="46">
        <f>SUM(L200:L244)</f>
        <v>6398</v>
      </c>
      <c r="M245" s="37">
        <f t="shared" si="37"/>
        <v>25336</v>
      </c>
      <c r="N245" s="46">
        <f>SUM(N200:N244)</f>
        <v>5458</v>
      </c>
      <c r="O245" s="46">
        <f>SUM(O200:O244)</f>
        <v>6685</v>
      </c>
      <c r="P245" s="46">
        <f>SUM(P200:P244)</f>
        <v>1416</v>
      </c>
      <c r="Q245" s="37">
        <f t="shared" si="38"/>
        <v>13559</v>
      </c>
      <c r="R245" s="37">
        <f t="shared" si="39"/>
        <v>157219</v>
      </c>
    </row>
    <row r="246" spans="1:21" ht="15.75" customHeight="1" x14ac:dyDescent="0.3">
      <c r="A246" s="234" t="s">
        <v>1712</v>
      </c>
      <c r="B246" s="172"/>
      <c r="C246" s="172"/>
      <c r="D246" s="172"/>
      <c r="E246" s="38" t="s">
        <v>852</v>
      </c>
      <c r="F246" s="172"/>
      <c r="G246" s="172"/>
      <c r="H246" s="172"/>
      <c r="I246" s="38" t="s">
        <v>852</v>
      </c>
      <c r="J246" s="172"/>
      <c r="K246" s="172"/>
      <c r="L246" s="172"/>
      <c r="M246" s="38" t="s">
        <v>852</v>
      </c>
      <c r="N246" s="172"/>
      <c r="O246" s="172"/>
      <c r="P246" s="172"/>
      <c r="Q246" s="38" t="s">
        <v>852</v>
      </c>
      <c r="R246" s="38" t="s">
        <v>852</v>
      </c>
    </row>
    <row r="247" spans="1:21" ht="15.75" customHeight="1" x14ac:dyDescent="0.3">
      <c r="A247" s="234" t="s">
        <v>1021</v>
      </c>
      <c r="B247" s="172"/>
      <c r="C247" s="172"/>
      <c r="D247" s="172"/>
      <c r="E247" s="38" t="s">
        <v>852</v>
      </c>
      <c r="F247" s="172"/>
      <c r="G247" s="172"/>
      <c r="H247" s="172"/>
      <c r="I247" s="38" t="s">
        <v>852</v>
      </c>
      <c r="J247" s="172"/>
      <c r="K247" s="172"/>
      <c r="L247" s="172"/>
      <c r="M247" s="38" t="s">
        <v>852</v>
      </c>
      <c r="N247" s="172"/>
      <c r="O247" s="172"/>
      <c r="P247" s="172"/>
      <c r="Q247" s="38" t="s">
        <v>852</v>
      </c>
      <c r="R247" s="38" t="s">
        <v>852</v>
      </c>
    </row>
    <row r="248" spans="1:21" ht="15.75" customHeight="1" x14ac:dyDescent="0.3">
      <c r="A248" s="618" t="s">
        <v>2796</v>
      </c>
      <c r="B248" s="172"/>
      <c r="C248" s="172"/>
      <c r="D248" s="172"/>
      <c r="E248" s="38">
        <f>SUM(B248:D248)</f>
        <v>0</v>
      </c>
      <c r="F248" s="172"/>
      <c r="G248" s="172"/>
      <c r="H248" s="172"/>
      <c r="I248" s="38">
        <f>SUM(F248:H248)</f>
        <v>0</v>
      </c>
      <c r="J248" s="172"/>
      <c r="K248" s="172"/>
      <c r="L248" s="172"/>
      <c r="M248" s="38">
        <f>SUM(J248:L248)</f>
        <v>0</v>
      </c>
      <c r="N248" s="172"/>
      <c r="O248" s="172"/>
      <c r="P248" s="172"/>
      <c r="Q248" s="38">
        <f>SUM(N248:P248)</f>
        <v>0</v>
      </c>
      <c r="R248" s="38">
        <f>+E248+I248+M248+Q248</f>
        <v>0</v>
      </c>
      <c r="T248" t="s">
        <v>2760</v>
      </c>
      <c r="U248" t="s">
        <v>2772</v>
      </c>
    </row>
    <row r="249" spans="1:21" ht="15.75" customHeight="1" x14ac:dyDescent="0.3">
      <c r="A249" s="568" t="s">
        <v>1323</v>
      </c>
      <c r="B249" s="172"/>
      <c r="C249" s="172"/>
      <c r="D249" s="172"/>
      <c r="E249" s="38">
        <f>SUM(B249:D249)</f>
        <v>0</v>
      </c>
      <c r="F249" s="172"/>
      <c r="G249" s="172"/>
      <c r="H249" s="172"/>
      <c r="I249" s="38">
        <f>SUM(F249:H249)</f>
        <v>0</v>
      </c>
      <c r="J249" s="172"/>
      <c r="K249" s="172"/>
      <c r="L249" s="172"/>
      <c r="M249" s="38">
        <f>SUM(J249:L249)</f>
        <v>0</v>
      </c>
      <c r="N249" s="172"/>
      <c r="O249" s="172"/>
      <c r="P249" s="172"/>
      <c r="Q249" s="38">
        <f>SUM(N249:P249)</f>
        <v>0</v>
      </c>
      <c r="R249" s="38">
        <f>+E249+I249+M249+Q249</f>
        <v>0</v>
      </c>
      <c r="T249" t="s">
        <v>2769</v>
      </c>
    </row>
    <row r="250" spans="1:21" ht="15.75" customHeight="1" x14ac:dyDescent="0.3">
      <c r="A250" s="568" t="s">
        <v>2317</v>
      </c>
      <c r="B250" s="172"/>
      <c r="C250" s="172"/>
      <c r="D250" s="172"/>
      <c r="E250" s="38">
        <f>SUM(B250:D250)</f>
        <v>0</v>
      </c>
      <c r="F250" s="172"/>
      <c r="G250" s="172"/>
      <c r="H250" s="172"/>
      <c r="I250" s="38">
        <f>SUM(F250:H250)</f>
        <v>0</v>
      </c>
      <c r="J250" s="172"/>
      <c r="K250" s="172"/>
      <c r="L250" s="172"/>
      <c r="M250" s="38">
        <f>SUM(J250:L250)</f>
        <v>0</v>
      </c>
      <c r="N250" s="172"/>
      <c r="O250" s="172"/>
      <c r="P250" s="172"/>
      <c r="Q250" s="38">
        <f>SUM(N250:P250)</f>
        <v>0</v>
      </c>
      <c r="R250" s="38">
        <f>+E250+I250+M250+Q250</f>
        <v>0</v>
      </c>
      <c r="T250" t="s">
        <v>2770</v>
      </c>
    </row>
    <row r="251" spans="1:21" ht="15.75" customHeight="1" x14ac:dyDescent="0.3">
      <c r="A251" s="587" t="s">
        <v>2825</v>
      </c>
      <c r="B251" s="172"/>
      <c r="C251" s="172"/>
      <c r="D251" s="172"/>
      <c r="E251" s="38">
        <f>SUM(B251:D251)</f>
        <v>0</v>
      </c>
      <c r="F251" s="172"/>
      <c r="G251" s="172"/>
      <c r="H251" s="172"/>
      <c r="I251" s="38">
        <f>SUM(F251:H251)</f>
        <v>0</v>
      </c>
      <c r="J251" s="172"/>
      <c r="K251" s="172"/>
      <c r="L251" s="172"/>
      <c r="M251" s="38">
        <f>SUM(J251:L251)</f>
        <v>0</v>
      </c>
      <c r="N251" s="172"/>
      <c r="O251" s="172"/>
      <c r="P251" s="172"/>
      <c r="Q251" s="38">
        <f>SUM(N251:P251)</f>
        <v>0</v>
      </c>
      <c r="R251" s="38">
        <f>+E251+I251+M251+Q251</f>
        <v>0</v>
      </c>
      <c r="T251" t="s">
        <v>2760</v>
      </c>
    </row>
    <row r="252" spans="1:21" ht="15.75" customHeight="1" x14ac:dyDescent="0.3">
      <c r="A252" s="234" t="s">
        <v>557</v>
      </c>
      <c r="B252" s="172"/>
      <c r="C252" s="172"/>
      <c r="D252" s="172"/>
      <c r="E252" s="38" t="s">
        <v>852</v>
      </c>
      <c r="F252" s="172"/>
      <c r="G252" s="172"/>
      <c r="H252" s="172"/>
      <c r="I252" s="38" t="s">
        <v>852</v>
      </c>
      <c r="J252" s="172"/>
      <c r="K252" s="172"/>
      <c r="L252" s="172"/>
      <c r="M252" s="38" t="s">
        <v>852</v>
      </c>
      <c r="N252" s="172"/>
      <c r="O252" s="172"/>
      <c r="P252" s="172"/>
      <c r="Q252" s="38" t="s">
        <v>852</v>
      </c>
      <c r="R252" s="38" t="s">
        <v>852</v>
      </c>
    </row>
    <row r="253" spans="1:21" ht="15.75" customHeight="1" x14ac:dyDescent="0.3">
      <c r="A253" s="568" t="s">
        <v>3006</v>
      </c>
      <c r="B253" s="172"/>
      <c r="C253" s="172">
        <v>548</v>
      </c>
      <c r="D253" s="172"/>
      <c r="E253" s="38">
        <f>SUM(B253:D253)</f>
        <v>548</v>
      </c>
      <c r="F253" s="172"/>
      <c r="G253" s="172"/>
      <c r="H253" s="172"/>
      <c r="I253" s="38">
        <f>SUM(F253:H253)</f>
        <v>0</v>
      </c>
      <c r="J253" s="172">
        <v>1132</v>
      </c>
      <c r="K253" s="172"/>
      <c r="L253" s="172"/>
      <c r="M253" s="38">
        <f>SUM(J253:L253)</f>
        <v>1132</v>
      </c>
      <c r="N253" s="172">
        <v>149</v>
      </c>
      <c r="O253" s="172">
        <v>59</v>
      </c>
      <c r="P253" s="172">
        <v>2029</v>
      </c>
      <c r="Q253" s="38">
        <f>SUM(N253:P253)</f>
        <v>2237</v>
      </c>
      <c r="R253" s="38">
        <f>+E253+I253+M253+Q253</f>
        <v>3917</v>
      </c>
    </row>
    <row r="254" spans="1:21" ht="15.75" customHeight="1" x14ac:dyDescent="0.3">
      <c r="A254" s="568" t="s">
        <v>2559</v>
      </c>
      <c r="B254" s="172"/>
      <c r="C254" s="172"/>
      <c r="D254" s="172"/>
      <c r="E254" s="38">
        <f>SUM(B254:D254)</f>
        <v>0</v>
      </c>
      <c r="F254" s="172"/>
      <c r="G254" s="172"/>
      <c r="H254" s="172"/>
      <c r="I254" s="38">
        <f>SUM(F254:H254)</f>
        <v>0</v>
      </c>
      <c r="J254" s="172"/>
      <c r="K254" s="172"/>
      <c r="L254" s="172"/>
      <c r="M254" s="38">
        <f>SUM(J254:L254)</f>
        <v>0</v>
      </c>
      <c r="N254" s="172"/>
      <c r="O254" s="172"/>
      <c r="P254" s="172"/>
      <c r="Q254" s="38">
        <f>SUM(N254:P254)</f>
        <v>0</v>
      </c>
      <c r="R254" s="38">
        <f>+E254+I254+M254+Q254</f>
        <v>0</v>
      </c>
    </row>
    <row r="255" spans="1:21" ht="15.75" customHeight="1" x14ac:dyDescent="0.3">
      <c r="A255" s="539" t="s">
        <v>2560</v>
      </c>
      <c r="B255" s="172"/>
      <c r="C255" s="172"/>
      <c r="D255" s="172"/>
      <c r="E255" s="38">
        <f t="shared" ref="E255:E260" si="44">SUM(B255:D255)</f>
        <v>0</v>
      </c>
      <c r="F255" s="172"/>
      <c r="G255" s="172"/>
      <c r="H255" s="172"/>
      <c r="I255" s="38">
        <f t="shared" ref="I255:I260" si="45">SUM(F255:H255)</f>
        <v>0</v>
      </c>
      <c r="J255" s="172"/>
      <c r="K255" s="172"/>
      <c r="L255" s="172"/>
      <c r="M255" s="38">
        <f t="shared" ref="M255:M260" si="46">SUM(J255:L255)</f>
        <v>0</v>
      </c>
      <c r="N255" s="172"/>
      <c r="O255" s="172"/>
      <c r="P255" s="172"/>
      <c r="Q255" s="38">
        <f t="shared" ref="Q255:Q260" si="47">SUM(N255:P255)</f>
        <v>0</v>
      </c>
      <c r="R255" s="38">
        <f t="shared" ref="R255:R260" si="48">+E255+I255+M255+Q255</f>
        <v>0</v>
      </c>
    </row>
    <row r="256" spans="1:21" ht="15.75" customHeight="1" x14ac:dyDescent="0.3">
      <c r="A256" s="539" t="s">
        <v>2561</v>
      </c>
      <c r="B256" s="172"/>
      <c r="C256" s="172"/>
      <c r="D256" s="172"/>
      <c r="E256" s="38">
        <f t="shared" si="44"/>
        <v>0</v>
      </c>
      <c r="F256" s="172"/>
      <c r="G256" s="172"/>
      <c r="H256" s="172"/>
      <c r="I256" s="38">
        <f t="shared" si="45"/>
        <v>0</v>
      </c>
      <c r="J256" s="172"/>
      <c r="K256" s="172"/>
      <c r="L256" s="172"/>
      <c r="M256" s="38">
        <f t="shared" si="46"/>
        <v>0</v>
      </c>
      <c r="N256" s="172"/>
      <c r="O256" s="172"/>
      <c r="P256" s="172"/>
      <c r="Q256" s="38">
        <f t="shared" si="47"/>
        <v>0</v>
      </c>
      <c r="R256" s="38">
        <f t="shared" si="48"/>
        <v>0</v>
      </c>
    </row>
    <row r="257" spans="1:18" ht="15.75" customHeight="1" x14ac:dyDescent="0.3">
      <c r="A257" s="569" t="s">
        <v>3007</v>
      </c>
      <c r="B257" s="172"/>
      <c r="C257" s="172"/>
      <c r="D257" s="172">
        <v>1320</v>
      </c>
      <c r="E257" s="38">
        <f t="shared" si="44"/>
        <v>1320</v>
      </c>
      <c r="F257" s="172">
        <v>680</v>
      </c>
      <c r="G257" s="172"/>
      <c r="H257" s="172"/>
      <c r="I257" s="38">
        <f t="shared" si="45"/>
        <v>680</v>
      </c>
      <c r="J257" s="172"/>
      <c r="K257" s="172">
        <v>660</v>
      </c>
      <c r="L257" s="172"/>
      <c r="M257" s="38">
        <f t="shared" si="46"/>
        <v>660</v>
      </c>
      <c r="N257" s="172">
        <v>1807</v>
      </c>
      <c r="O257" s="172"/>
      <c r="P257" s="172">
        <v>501</v>
      </c>
      <c r="Q257" s="38">
        <f t="shared" si="47"/>
        <v>2308</v>
      </c>
      <c r="R257" s="38">
        <f t="shared" si="48"/>
        <v>4968</v>
      </c>
    </row>
    <row r="258" spans="1:18" ht="15.75" customHeight="1" x14ac:dyDescent="0.3">
      <c r="A258" s="569" t="s">
        <v>2563</v>
      </c>
      <c r="B258" s="172"/>
      <c r="C258" s="172"/>
      <c r="D258" s="172"/>
      <c r="E258" s="38">
        <f t="shared" si="44"/>
        <v>0</v>
      </c>
      <c r="F258" s="172"/>
      <c r="G258" s="172"/>
      <c r="H258" s="172"/>
      <c r="I258" s="38">
        <f t="shared" si="45"/>
        <v>0</v>
      </c>
      <c r="J258" s="172"/>
      <c r="K258" s="172"/>
      <c r="L258" s="172"/>
      <c r="M258" s="38">
        <f t="shared" si="46"/>
        <v>0</v>
      </c>
      <c r="N258" s="172"/>
      <c r="O258" s="172"/>
      <c r="P258" s="172"/>
      <c r="Q258" s="38">
        <f t="shared" si="47"/>
        <v>0</v>
      </c>
      <c r="R258" s="38">
        <f t="shared" si="48"/>
        <v>0</v>
      </c>
    </row>
    <row r="259" spans="1:18" ht="15.75" customHeight="1" x14ac:dyDescent="0.3">
      <c r="A259" s="422" t="s">
        <v>2564</v>
      </c>
      <c r="B259" s="172"/>
      <c r="C259" s="172"/>
      <c r="D259" s="172"/>
      <c r="E259" s="38">
        <f t="shared" si="44"/>
        <v>0</v>
      </c>
      <c r="F259" s="172"/>
      <c r="G259" s="172"/>
      <c r="H259" s="172"/>
      <c r="I259" s="38">
        <f t="shared" si="45"/>
        <v>0</v>
      </c>
      <c r="J259" s="172"/>
      <c r="K259" s="172"/>
      <c r="L259" s="172"/>
      <c r="M259" s="38">
        <f t="shared" si="46"/>
        <v>0</v>
      </c>
      <c r="N259" s="172"/>
      <c r="O259" s="172"/>
      <c r="P259" s="172"/>
      <c r="Q259" s="38">
        <f t="shared" si="47"/>
        <v>0</v>
      </c>
      <c r="R259" s="38">
        <f t="shared" si="48"/>
        <v>0</v>
      </c>
    </row>
    <row r="260" spans="1:18" ht="15.75" customHeight="1" x14ac:dyDescent="0.3">
      <c r="A260" s="422" t="s">
        <v>2565</v>
      </c>
      <c r="B260" s="172"/>
      <c r="C260" s="172"/>
      <c r="D260" s="172"/>
      <c r="E260" s="38">
        <f t="shared" si="44"/>
        <v>0</v>
      </c>
      <c r="F260" s="172"/>
      <c r="G260" s="172"/>
      <c r="H260" s="172"/>
      <c r="I260" s="38">
        <f t="shared" si="45"/>
        <v>0</v>
      </c>
      <c r="J260" s="172"/>
      <c r="K260" s="172"/>
      <c r="L260" s="172"/>
      <c r="M260" s="38">
        <f t="shared" si="46"/>
        <v>0</v>
      </c>
      <c r="N260" s="172"/>
      <c r="O260" s="172"/>
      <c r="P260" s="172"/>
      <c r="Q260" s="38">
        <f t="shared" si="47"/>
        <v>0</v>
      </c>
      <c r="R260" s="38">
        <f t="shared" si="48"/>
        <v>0</v>
      </c>
    </row>
    <row r="261" spans="1:18" ht="15.75" customHeight="1" x14ac:dyDescent="0.3">
      <c r="A261" s="234" t="s">
        <v>1022</v>
      </c>
      <c r="B261" s="172"/>
      <c r="C261" s="172"/>
      <c r="D261" s="172"/>
      <c r="E261" s="38" t="s">
        <v>852</v>
      </c>
      <c r="F261" s="172"/>
      <c r="G261" s="172"/>
      <c r="H261" s="172"/>
      <c r="I261" s="38" t="s">
        <v>852</v>
      </c>
      <c r="J261" s="172"/>
      <c r="K261" s="172"/>
      <c r="L261" s="172"/>
      <c r="M261" s="38" t="s">
        <v>852</v>
      </c>
      <c r="N261" s="172"/>
      <c r="O261" s="172"/>
      <c r="P261" s="172"/>
      <c r="Q261" s="38" t="s">
        <v>852</v>
      </c>
      <c r="R261" s="38" t="s">
        <v>852</v>
      </c>
    </row>
    <row r="262" spans="1:18" ht="15.75" customHeight="1" thickBot="1" x14ac:dyDescent="0.35">
      <c r="A262" s="234" t="s">
        <v>559</v>
      </c>
      <c r="B262" s="172"/>
      <c r="C262" s="172"/>
      <c r="D262" s="172"/>
      <c r="E262" s="38" t="s">
        <v>852</v>
      </c>
      <c r="F262" s="172"/>
      <c r="G262" s="172"/>
      <c r="H262" s="172"/>
      <c r="I262" s="38" t="s">
        <v>852</v>
      </c>
      <c r="J262" s="172"/>
      <c r="K262" s="172"/>
      <c r="L262" s="172"/>
      <c r="M262" s="38" t="s">
        <v>852</v>
      </c>
      <c r="N262" s="172"/>
      <c r="O262" s="172"/>
      <c r="P262" s="172"/>
      <c r="Q262" s="38" t="s">
        <v>852</v>
      </c>
      <c r="R262" s="38" t="s">
        <v>852</v>
      </c>
    </row>
    <row r="263" spans="1:18" ht="16.5" customHeight="1" thickBot="1" x14ac:dyDescent="0.35">
      <c r="A263" s="43" t="s">
        <v>1019</v>
      </c>
      <c r="B263" s="42">
        <f>SUM(B261:B262)</f>
        <v>0</v>
      </c>
      <c r="C263" s="42">
        <f>SUM(C261:C262)</f>
        <v>0</v>
      </c>
      <c r="D263" s="42">
        <f>SUM(D261:D262)</f>
        <v>0</v>
      </c>
      <c r="E263" s="39">
        <f t="shared" ref="E263:E271" si="49">SUM(B263:D263)</f>
        <v>0</v>
      </c>
      <c r="F263" s="42">
        <f>SUM(F261:F262)</f>
        <v>0</v>
      </c>
      <c r="G263" s="42">
        <f>SUM(G261:G262)</f>
        <v>0</v>
      </c>
      <c r="H263" s="42">
        <f>SUM(H261:H262)</f>
        <v>0</v>
      </c>
      <c r="I263" s="39">
        <f t="shared" ref="I263:I271" si="50">SUM(F263:H263)</f>
        <v>0</v>
      </c>
      <c r="J263" s="42">
        <f>SUM(J261:J262)</f>
        <v>0</v>
      </c>
      <c r="K263" s="42">
        <f>SUM(K261:K262)</f>
        <v>0</v>
      </c>
      <c r="L263" s="42">
        <f>SUM(L261:L262)</f>
        <v>0</v>
      </c>
      <c r="M263" s="39">
        <f t="shared" ref="M263:M271" si="51">SUM(J263:L263)</f>
        <v>0</v>
      </c>
      <c r="N263" s="42">
        <f>SUM(N261:N262)</f>
        <v>0</v>
      </c>
      <c r="O263" s="42">
        <f>SUM(O261:O262)</f>
        <v>0</v>
      </c>
      <c r="P263" s="42">
        <f>SUM(P261:P262)</f>
        <v>0</v>
      </c>
      <c r="Q263" s="39">
        <f t="shared" ref="Q263:Q271" si="52">SUM(N263:P263)</f>
        <v>0</v>
      </c>
      <c r="R263" s="37">
        <f t="shared" ref="R263:R271" si="53">+E263+I263+M263+Q263</f>
        <v>0</v>
      </c>
    </row>
    <row r="264" spans="1:18" ht="16.5" customHeight="1" thickBot="1" x14ac:dyDescent="0.35">
      <c r="A264" s="43" t="s">
        <v>1221</v>
      </c>
      <c r="B264" s="45">
        <f>SUM(B246:B262)</f>
        <v>0</v>
      </c>
      <c r="C264" s="46">
        <f>SUM(C246:C262)</f>
        <v>548</v>
      </c>
      <c r="D264" s="46">
        <f>SUM(D246:D262)</f>
        <v>1320</v>
      </c>
      <c r="E264" s="37">
        <f t="shared" si="49"/>
        <v>1868</v>
      </c>
      <c r="F264" s="46">
        <f>SUM(F246:F262)</f>
        <v>680</v>
      </c>
      <c r="G264" s="46">
        <f>SUM(G246:G262)</f>
        <v>0</v>
      </c>
      <c r="H264" s="46">
        <f>SUM(H246:H262)</f>
        <v>0</v>
      </c>
      <c r="I264" s="37">
        <f t="shared" si="50"/>
        <v>680</v>
      </c>
      <c r="J264" s="46">
        <f>SUM(J246:J262)</f>
        <v>1132</v>
      </c>
      <c r="K264" s="46">
        <f>SUM(K246:K262)</f>
        <v>660</v>
      </c>
      <c r="L264" s="46">
        <f>SUM(L246:L262)</f>
        <v>0</v>
      </c>
      <c r="M264" s="37">
        <f t="shared" si="51"/>
        <v>1792</v>
      </c>
      <c r="N264" s="46">
        <f>SUM(N246:N262)</f>
        <v>1956</v>
      </c>
      <c r="O264" s="46">
        <f>SUM(O246:O262)</f>
        <v>59</v>
      </c>
      <c r="P264" s="46">
        <f>SUM(P246:P262)</f>
        <v>2530</v>
      </c>
      <c r="Q264" s="37">
        <f t="shared" si="52"/>
        <v>4545</v>
      </c>
      <c r="R264" s="37">
        <f t="shared" si="53"/>
        <v>8885</v>
      </c>
    </row>
    <row r="265" spans="1:18" ht="16.5" customHeight="1" thickBot="1" x14ac:dyDescent="0.35">
      <c r="A265" s="43" t="s">
        <v>1222</v>
      </c>
      <c r="B265" s="47">
        <f>+B192+B199+B245+B264</f>
        <v>20662</v>
      </c>
      <c r="C265" s="42">
        <f>+C192+C199+C245+C264</f>
        <v>21541</v>
      </c>
      <c r="D265" s="42">
        <f>+D192+D199+D245+D264</f>
        <v>33519</v>
      </c>
      <c r="E265" s="40">
        <f t="shared" si="49"/>
        <v>75722</v>
      </c>
      <c r="F265" s="42">
        <f>+F192+F199+F245+F264</f>
        <v>41705</v>
      </c>
      <c r="G265" s="42">
        <f>+G192+G199+G245+G264</f>
        <v>48679</v>
      </c>
      <c r="H265" s="42">
        <f>+H192+H199+H245+H264</f>
        <v>34808</v>
      </c>
      <c r="I265" s="40">
        <f t="shared" si="50"/>
        <v>125192</v>
      </c>
      <c r="J265" s="42">
        <f>+J192+J199+J245+J264</f>
        <v>41410</v>
      </c>
      <c r="K265" s="42">
        <f>+K192+K199+K245+K264</f>
        <v>33811</v>
      </c>
      <c r="L265" s="42">
        <f>+L192+L199+L245+L264</f>
        <v>31172</v>
      </c>
      <c r="M265" s="40">
        <f t="shared" si="51"/>
        <v>106393</v>
      </c>
      <c r="N265" s="42">
        <f>+N192+N199+N245+N264</f>
        <v>34119</v>
      </c>
      <c r="O265" s="42">
        <f>+O192+O199+O245+O264</f>
        <v>29318</v>
      </c>
      <c r="P265" s="42">
        <f>+P192+P199+P245+P264</f>
        <v>21568</v>
      </c>
      <c r="Q265" s="40">
        <f t="shared" si="52"/>
        <v>85005</v>
      </c>
      <c r="R265" s="40">
        <f t="shared" si="53"/>
        <v>392312</v>
      </c>
    </row>
    <row r="266" spans="1:18" ht="15.75" customHeight="1" x14ac:dyDescent="0.3">
      <c r="A266" s="540" t="s">
        <v>2827</v>
      </c>
      <c r="B266" s="172"/>
      <c r="C266" s="172">
        <v>1766</v>
      </c>
      <c r="D266" s="356">
        <f>5044-425-357-2972</f>
        <v>1290</v>
      </c>
      <c r="E266" s="38">
        <f t="shared" si="49"/>
        <v>3056</v>
      </c>
      <c r="F266" s="356">
        <f>6639-363-15-4498-638</f>
        <v>1125</v>
      </c>
      <c r="G266" s="172">
        <f>8321-712-23-3002-3413</f>
        <v>1171</v>
      </c>
      <c r="H266" s="172">
        <f>8853-500-38-3000-3053</f>
        <v>2262</v>
      </c>
      <c r="I266" s="38">
        <f t="shared" si="50"/>
        <v>4558</v>
      </c>
      <c r="J266" s="172">
        <f>7077-500-33-1500-2782</f>
        <v>2262</v>
      </c>
      <c r="K266" s="172">
        <f>4600-234-10-1000-2353</f>
        <v>1003</v>
      </c>
      <c r="L266" s="172">
        <f>3585-11-3-1000-1984</f>
        <v>587</v>
      </c>
      <c r="M266" s="38">
        <f t="shared" si="51"/>
        <v>3852</v>
      </c>
      <c r="N266" s="172">
        <v>1897</v>
      </c>
      <c r="O266" s="172">
        <v>3570</v>
      </c>
      <c r="P266" s="172">
        <v>1040</v>
      </c>
      <c r="Q266" s="38">
        <f t="shared" si="52"/>
        <v>6507</v>
      </c>
      <c r="R266" s="38">
        <f t="shared" si="53"/>
        <v>17973</v>
      </c>
    </row>
    <row r="267" spans="1:18" ht="15.75" customHeight="1" x14ac:dyDescent="0.3">
      <c r="A267" s="270" t="s">
        <v>899</v>
      </c>
      <c r="B267" s="172"/>
      <c r="C267" s="172"/>
      <c r="D267" s="172"/>
      <c r="E267" s="38">
        <f t="shared" si="49"/>
        <v>0</v>
      </c>
      <c r="F267" s="172"/>
      <c r="G267" s="172"/>
      <c r="H267" s="172"/>
      <c r="I267" s="38">
        <f t="shared" si="50"/>
        <v>0</v>
      </c>
      <c r="J267" s="172"/>
      <c r="K267" s="172"/>
      <c r="L267" s="172"/>
      <c r="M267" s="38">
        <f t="shared" si="51"/>
        <v>0</v>
      </c>
      <c r="N267" s="172"/>
      <c r="O267" s="172"/>
      <c r="P267" s="172"/>
      <c r="Q267" s="38">
        <f t="shared" si="52"/>
        <v>0</v>
      </c>
      <c r="R267" s="38">
        <f t="shared" si="53"/>
        <v>0</v>
      </c>
    </row>
    <row r="268" spans="1:18" ht="15.75" customHeight="1" x14ac:dyDescent="0.3">
      <c r="A268" s="539" t="s">
        <v>2271</v>
      </c>
      <c r="B268" s="10"/>
      <c r="C268" s="10"/>
      <c r="D268" s="10"/>
      <c r="E268" s="38">
        <f t="shared" si="49"/>
        <v>0</v>
      </c>
      <c r="F268" s="10"/>
      <c r="G268" s="10"/>
      <c r="H268" s="10"/>
      <c r="I268" s="38">
        <f t="shared" si="50"/>
        <v>0</v>
      </c>
      <c r="J268" s="10"/>
      <c r="K268" s="10"/>
      <c r="L268" s="10"/>
      <c r="M268" s="38">
        <f t="shared" si="51"/>
        <v>0</v>
      </c>
      <c r="N268" s="10"/>
      <c r="O268" s="10"/>
      <c r="P268" s="10"/>
      <c r="Q268" s="38">
        <f t="shared" si="52"/>
        <v>0</v>
      </c>
      <c r="R268" s="38">
        <f t="shared" si="53"/>
        <v>0</v>
      </c>
    </row>
    <row r="269" spans="1:18" ht="15.75" customHeight="1" x14ac:dyDescent="0.3">
      <c r="A269" s="270" t="s">
        <v>2475</v>
      </c>
      <c r="B269" s="172">
        <v>17</v>
      </c>
      <c r="C269" s="172">
        <v>34</v>
      </c>
      <c r="D269" s="172">
        <v>11</v>
      </c>
      <c r="E269" s="38">
        <f>SUM(B269:D269)</f>
        <v>62</v>
      </c>
      <c r="F269" s="172">
        <v>17</v>
      </c>
      <c r="G269" s="172">
        <v>13</v>
      </c>
      <c r="H269" s="172">
        <v>15</v>
      </c>
      <c r="I269" s="38">
        <f>SUM(F269:H269)</f>
        <v>45</v>
      </c>
      <c r="J269" s="172">
        <v>11</v>
      </c>
      <c r="K269" s="172">
        <v>17</v>
      </c>
      <c r="L269" s="172">
        <v>37</v>
      </c>
      <c r="M269" s="38">
        <f>SUM(J269:L269)</f>
        <v>65</v>
      </c>
      <c r="N269" s="172">
        <v>30</v>
      </c>
      <c r="O269" s="172">
        <v>56</v>
      </c>
      <c r="P269" s="172">
        <v>8</v>
      </c>
      <c r="Q269" s="38">
        <f>SUM(N269:P269)</f>
        <v>94</v>
      </c>
      <c r="R269" s="38">
        <f t="shared" si="53"/>
        <v>266</v>
      </c>
    </row>
    <row r="270" spans="1:18" ht="15.75" customHeight="1" x14ac:dyDescent="0.3">
      <c r="A270" s="267" t="s">
        <v>2096</v>
      </c>
      <c r="B270" s="172">
        <v>54111</v>
      </c>
      <c r="C270" s="172">
        <v>52725</v>
      </c>
      <c r="D270" s="172">
        <v>48127</v>
      </c>
      <c r="E270" s="38">
        <f t="shared" si="49"/>
        <v>154963</v>
      </c>
      <c r="F270" s="172">
        <v>9835</v>
      </c>
      <c r="G270" s="172">
        <v>1525</v>
      </c>
      <c r="H270" s="172"/>
      <c r="I270" s="38">
        <f t="shared" si="50"/>
        <v>11360</v>
      </c>
      <c r="J270" s="172"/>
      <c r="K270" s="172"/>
      <c r="L270" s="172">
        <v>27580</v>
      </c>
      <c r="M270" s="38">
        <f t="shared" si="51"/>
        <v>27580</v>
      </c>
      <c r="N270" s="172">
        <v>5000</v>
      </c>
      <c r="O270" s="172">
        <v>48000</v>
      </c>
      <c r="P270" s="172">
        <v>40000</v>
      </c>
      <c r="Q270" s="38">
        <f t="shared" si="52"/>
        <v>93000</v>
      </c>
      <c r="R270" s="38">
        <f t="shared" si="53"/>
        <v>286903</v>
      </c>
    </row>
    <row r="271" spans="1:18" ht="16.5" customHeight="1" thickBot="1" x14ac:dyDescent="0.35">
      <c r="A271" s="244" t="s">
        <v>853</v>
      </c>
      <c r="B271" s="238">
        <v>104</v>
      </c>
      <c r="C271" s="238">
        <v>268</v>
      </c>
      <c r="D271" s="238">
        <v>474</v>
      </c>
      <c r="E271" s="38">
        <f t="shared" si="49"/>
        <v>846</v>
      </c>
      <c r="F271" s="238">
        <v>647</v>
      </c>
      <c r="G271" s="238">
        <v>742</v>
      </c>
      <c r="H271" s="238">
        <v>781</v>
      </c>
      <c r="I271" s="38">
        <f t="shared" si="50"/>
        <v>2170</v>
      </c>
      <c r="J271" s="238">
        <v>774</v>
      </c>
      <c r="K271" s="238">
        <v>596</v>
      </c>
      <c r="L271" s="238">
        <v>546</v>
      </c>
      <c r="M271" s="38">
        <f t="shared" si="51"/>
        <v>1916</v>
      </c>
      <c r="N271" s="238">
        <v>517</v>
      </c>
      <c r="O271" s="238">
        <v>413</v>
      </c>
      <c r="P271" s="238">
        <v>302</v>
      </c>
      <c r="Q271" s="38">
        <f t="shared" si="52"/>
        <v>1232</v>
      </c>
      <c r="R271" s="38">
        <f t="shared" si="53"/>
        <v>6164</v>
      </c>
    </row>
    <row r="272" spans="1:18" ht="16.5" customHeight="1" thickBot="1" x14ac:dyDescent="0.35">
      <c r="A272" s="44"/>
      <c r="B272" s="258"/>
      <c r="C272" s="258"/>
      <c r="D272" s="258"/>
      <c r="E272" s="39"/>
      <c r="F272" s="258"/>
      <c r="G272" s="258"/>
      <c r="H272" s="258"/>
      <c r="I272" s="37"/>
      <c r="J272" s="258"/>
      <c r="K272" s="258"/>
      <c r="L272" s="258"/>
      <c r="M272" s="37"/>
      <c r="N272" s="258"/>
      <c r="O272" s="258"/>
      <c r="P272" s="258"/>
      <c r="Q272" s="37"/>
      <c r="R272" s="37" t="s">
        <v>852</v>
      </c>
    </row>
    <row r="273" spans="1:18" ht="15.75" customHeight="1" x14ac:dyDescent="0.3">
      <c r="A273" s="259" t="s">
        <v>2011</v>
      </c>
      <c r="B273" s="260">
        <f>SUM(B265:B271)</f>
        <v>74894</v>
      </c>
      <c r="C273" s="260">
        <f>SUM(C265:C271)</f>
        <v>76334</v>
      </c>
      <c r="D273" s="260">
        <f>SUM(D265:D271)</f>
        <v>83421</v>
      </c>
      <c r="E273" s="39">
        <f>SUM(B273:D273)</f>
        <v>234649</v>
      </c>
      <c r="F273" s="260">
        <f>SUM(F265:F271)</f>
        <v>53329</v>
      </c>
      <c r="G273" s="260">
        <f>SUM(G265:G271)</f>
        <v>52130</v>
      </c>
      <c r="H273" s="260">
        <f>SUM(H265:H271)</f>
        <v>37866</v>
      </c>
      <c r="I273" s="39">
        <f>SUM(F273:H273)</f>
        <v>143325</v>
      </c>
      <c r="J273" s="260">
        <f>SUM(J265:J271)</f>
        <v>44457</v>
      </c>
      <c r="K273" s="260">
        <f>SUM(K265:K271)</f>
        <v>35427</v>
      </c>
      <c r="L273" s="260">
        <f>SUM(L265:L271)</f>
        <v>59922</v>
      </c>
      <c r="M273" s="39">
        <f>SUM(J273:L273)</f>
        <v>139806</v>
      </c>
      <c r="N273" s="260">
        <f>SUM(N265:N271)</f>
        <v>41563</v>
      </c>
      <c r="O273" s="260">
        <f>SUM(O265:O271)</f>
        <v>81357</v>
      </c>
      <c r="P273" s="260">
        <f>SUM(P265:P271)</f>
        <v>62918</v>
      </c>
      <c r="Q273" s="49">
        <f>SUM(N273:P273)</f>
        <v>185838</v>
      </c>
      <c r="R273" s="39">
        <f>+E273+I273+M273+Q273</f>
        <v>703618</v>
      </c>
    </row>
    <row r="274" spans="1:18" ht="15.75" customHeight="1" x14ac:dyDescent="0.3">
      <c r="A274" s="262" t="s">
        <v>1897</v>
      </c>
      <c r="B274" s="172">
        <f>(B273/B10)/1.983</f>
        <v>1218.3234916142046</v>
      </c>
      <c r="C274" s="172">
        <f>(C273/C10)/1.983</f>
        <v>1374.7928823571788</v>
      </c>
      <c r="D274" s="172">
        <f>(D273/D10)/1.983</f>
        <v>1357.0347957639938</v>
      </c>
      <c r="E274" s="38" t="s">
        <v>852</v>
      </c>
      <c r="F274" s="172">
        <f>(F273/F10)/1.983</f>
        <v>896.4363758614893</v>
      </c>
      <c r="G274" s="172">
        <f>(G273/G10)/1.983</f>
        <v>848.01457550469297</v>
      </c>
      <c r="H274" s="172">
        <f>(H273/H10)/1.983</f>
        <v>636.51033787191125</v>
      </c>
      <c r="I274" s="38" t="s">
        <v>852</v>
      </c>
      <c r="J274" s="172">
        <f>(J273/J10)/1.983</f>
        <v>723.1955492655311</v>
      </c>
      <c r="K274" s="172">
        <f>(K273/K10)/1.983</f>
        <v>576.30179103020828</v>
      </c>
      <c r="L274" s="172">
        <f>(L273/L10)/1.983</f>
        <v>1007.2617246596067</v>
      </c>
      <c r="M274" s="38" t="s">
        <v>852</v>
      </c>
      <c r="N274" s="172">
        <f>(N273/N10)/1.983</f>
        <v>676.11797049110987</v>
      </c>
      <c r="O274" s="172">
        <f>(O273/O10)/1.983</f>
        <v>1367.5743822491174</v>
      </c>
      <c r="P274" s="172">
        <f>(P273/P10)/1.983</f>
        <v>1023.5062547785205</v>
      </c>
      <c r="Q274" s="50" t="s">
        <v>852</v>
      </c>
      <c r="R274" s="38" t="s">
        <v>852</v>
      </c>
    </row>
    <row r="275" spans="1:18" ht="15.75" customHeight="1" x14ac:dyDescent="0.3">
      <c r="A275" s="262" t="s">
        <v>154</v>
      </c>
      <c r="B275" s="172">
        <f>(+B273+B410)+B282</f>
        <v>81391</v>
      </c>
      <c r="C275" s="172">
        <f>(+C273+C410)+C282</f>
        <v>126748</v>
      </c>
      <c r="D275" s="172">
        <f>(+D273+D410)+D282</f>
        <v>170680</v>
      </c>
      <c r="E275" s="38">
        <f>SUM(B275:D275)</f>
        <v>378819</v>
      </c>
      <c r="F275" s="172">
        <f>(+F273+F410)+F282</f>
        <v>170959</v>
      </c>
      <c r="G275" s="172">
        <f>(+G273+G410)+G282</f>
        <v>174800</v>
      </c>
      <c r="H275" s="172">
        <f>(+H273+H410)+H282</f>
        <v>126555</v>
      </c>
      <c r="I275" s="38">
        <f>SUM(F275:H275)</f>
        <v>472314</v>
      </c>
      <c r="J275" s="172">
        <f>(+J273+J410)+J282</f>
        <v>85894</v>
      </c>
      <c r="K275" s="172">
        <f>(+K273+K410)+K282</f>
        <v>92962</v>
      </c>
      <c r="L275" s="172">
        <f>(+L273+L410)+L282</f>
        <v>127310</v>
      </c>
      <c r="M275" s="38">
        <f>SUM(J275:L275)</f>
        <v>306166</v>
      </c>
      <c r="N275" s="172">
        <f>(+N273+N410)+N282</f>
        <v>106197</v>
      </c>
      <c r="O275" s="172">
        <f>(+O273+O410)+O282</f>
        <v>125359</v>
      </c>
      <c r="P275" s="172">
        <f>(+P273+P410)+P282</f>
        <v>110362</v>
      </c>
      <c r="Q275" s="50">
        <f>SUM(N275:P275)</f>
        <v>341918</v>
      </c>
      <c r="R275" s="38">
        <f>+E275+I275+M275+Q275</f>
        <v>1499217</v>
      </c>
    </row>
    <row r="276" spans="1:18" ht="16.5" customHeight="1" thickBot="1" x14ac:dyDescent="0.35">
      <c r="A276" s="263" t="s">
        <v>2110</v>
      </c>
      <c r="B276" s="264">
        <f>(B275/B10)/1.983</f>
        <v>1324.01216794365</v>
      </c>
      <c r="C276" s="264">
        <f>(C275/C10)/1.983</f>
        <v>2282.7606080253581</v>
      </c>
      <c r="D276" s="264">
        <f>(D275/D10)/1.983</f>
        <v>2776.5035056040865</v>
      </c>
      <c r="E276" s="40" t="s">
        <v>852</v>
      </c>
      <c r="F276" s="264">
        <f>(F275/F10)/1.983</f>
        <v>2873.7434863002181</v>
      </c>
      <c r="G276" s="264">
        <f>(G275/G10)/1.983</f>
        <v>2843.5247995054738</v>
      </c>
      <c r="H276" s="264">
        <f>(H275/H10)/1.983</f>
        <v>2127.332324760464</v>
      </c>
      <c r="I276" s="40" t="s">
        <v>852</v>
      </c>
      <c r="J276" s="264">
        <f>(J275/J10)/1.983</f>
        <v>1397.2638394091716</v>
      </c>
      <c r="K276" s="264">
        <f>(K275/K10)/1.983</f>
        <v>1512.2411465196103</v>
      </c>
      <c r="L276" s="264">
        <f>(L275/L10)/1.983</f>
        <v>2140.0235333669525</v>
      </c>
      <c r="M276" s="40" t="s">
        <v>852</v>
      </c>
      <c r="N276" s="264">
        <f>(N275/N10)/1.983</f>
        <v>1727.5389195256453</v>
      </c>
      <c r="O276" s="264">
        <f>(O275/O10)/1.983</f>
        <v>2107.2281055639601</v>
      </c>
      <c r="P276" s="264">
        <f>(P275/P10)/1.983</f>
        <v>1795.2922421225578</v>
      </c>
      <c r="Q276" s="51" t="s">
        <v>852</v>
      </c>
      <c r="R276" s="40" t="s">
        <v>852</v>
      </c>
    </row>
    <row r="277" spans="1:18" ht="16.5" customHeight="1" thickBot="1" x14ac:dyDescent="0.35">
      <c r="A277" s="271" t="s">
        <v>1700</v>
      </c>
      <c r="B277" s="229">
        <f>+(B275-(B139+B140+B141+B142+B144+B145+B146+B147+B151+B153+B157+B158+B160+B161+B162+B163+B164+B171+B172+B183+B186+B188+B189+B196+B203+B204+B205+B215+B216+B217+B219+B232+B233+B249+B250+B253+B254+B257+B258+B266+B270+B278)-B282)/(B10*1.983)</f>
        <v>818.39181429245355</v>
      </c>
      <c r="C277" s="229">
        <f>+(C275-(C139+C140+C141+C142+C144+C145+C146+C147+C151+C153+C157+C158+C160+C161+C162+C163+C164+C171+C172+C183+C186+C188+C189+C196+C203+C204+C205+C215+C216+C217+C219+C232+C233+C249+C250+C253+C254+C257+C258+C266+C270+C278)-C282)/(C10*1.983)</f>
        <v>1180.4625027015345</v>
      </c>
      <c r="D277" s="229">
        <f>+(D275-(D139+D140+D141+D142+D144+D145+D146+D147+D151+D153+D157+D158+D160+D161+D162+D163+D164+D171+D172+D183+D186+D188+D189+D196+D203+D204+D205+D215+D216+D217+D219+D232+D233+D249+D250+D253+D254+D257+D258+D266+D270+D278)-D282)/(D10*1.983)</f>
        <v>1758.2190555203097</v>
      </c>
      <c r="E277" s="227"/>
      <c r="F277" s="229">
        <f>+(F275-(F139+F140+F141+F142+F144+F145+F146+F147+F151+F153+F157+F158+F160+F161+F162+F163+F164+F171+F172+F183+F186+F188+F189+F196+F203+F204+F205+F215+F216+F217+F219+F232+F233+F249+F250+F253+F254+F257+F258+F266+F270+F278)-F282)/(F10*1.983)</f>
        <v>2439.4351991931417</v>
      </c>
      <c r="G277" s="229">
        <f>+(G275-(G139+G140+G141+G142+G144+G145+G146+G147+G151+G153+G157+G158+G160+G161+G162+G163+G164+G171+G172+G183+G186+G188+G189+G196+G203+G204+G205+G215+G216+G217+G219+G232+G233+G249+G250+G253+G254+G257+G258+G266+G270+G278)-G282)/(G10*1.983)</f>
        <v>2759.5367071722544</v>
      </c>
      <c r="H277" s="229">
        <f>+(H275-(H139+H140+H141+H142+H144+H145+H146+H147+H151+H153+H157+H158+H160+H161+H162+H163+H164+H171+H172+H183+H186+H188+H189+H196+H203+H204+H205+H215+H216+H217+H219+H232+H233+H249+H250+H253+H254+H257+H258+H266+H270+H278)-H282)/(H10*1.983)</f>
        <v>3011.8507312153301</v>
      </c>
      <c r="I277" s="227"/>
      <c r="J277" s="229">
        <f>+(J275-(J139+J140+J141+J142+J144+J145+J146+J147+J151+J153+J157+J158+J160+J161+J162+J163+J164+J171+J172+J183+J186+J188+J189+J196+J203+J204+J205+J215+J216+J217+J219+J232+J233+J249+J250+J253+J254+J257+J258+J266+J270+J278)-J282)/(J10*1.983)</f>
        <v>2655.3771574512384</v>
      </c>
      <c r="K277" s="229">
        <f>+(K275-(K139+K140+K141+K142+K144+K145+K146+K147+K151+K153+K157+K158+K160+K161+K162+K163+K164+K171+K172+K183+K186+K188+K189+K196+K203+K204+K205+K215+K216+K217+K219+K232+K233+K249+K250+K253+K254+K257+K258+K266+K270+K278)-K282)/(K10*1.983)</f>
        <v>2429.3917654905404</v>
      </c>
      <c r="L277" s="229">
        <f>+(L275-(L139+L140+L141+L142+L144+L145+L146+L147+L151+L153+L157+L158+L160+L161+L162+L163+L164+L171+L172+L183+L186+L188+L189+L196+L203+L204+L205+L215+L216+L217+L219+L232+L233+L249+L250+L253+L254+L257+L258+L266+L270+L278)-L282)/(L10*1.983)</f>
        <v>1610.9430156328795</v>
      </c>
      <c r="M277" s="227"/>
      <c r="N277" s="229">
        <f>+(N275-(N139+N140+N141+N142+N144+N145+N146+N147+N151+N153+N157+N158+N160+N161+N162+N163+N164+N171+N172+N183+N186+N188+N189+N196+N203+N204+N205+N215+N216+N217+N219+N232+N233+N249+N250+N253+N254+N257+N258+N266+N270+N278)-N282)/(N10*1.983)</f>
        <v>1427.1306101865857</v>
      </c>
      <c r="O277" s="229">
        <f>+(O275-(O139+O140+O141+O142+O144+O145+O146+O147+O151+O153+O157+O158+O160+O161+O162+O163+O164+O171+O172+O183+O186+O188+O189+O196+O203+O204+O205+O215+O216+O217+O219+O232+O233+O249+O250+O253+O254+O257+O258+O266+O270+O278)-O282)/(O10*1.983)</f>
        <v>1052.0423600605143</v>
      </c>
      <c r="P277" s="229">
        <f>+(P275-(P139+P140+P141+P142+P144+P145+P146+P147+P151+P153+P157+P158+P160+P161+P162+P163+P164+P171+P172+P183+P186+P188+P189+P196+P203+P204+P205+P215+P216+P217+P219+P232+P233+P249+P250+P253+P254+P257+P258+P266+P270+P278)-P282)/(P10*1.983)</f>
        <v>1013.8760106062823</v>
      </c>
      <c r="Q277" s="228"/>
      <c r="R277" s="227"/>
    </row>
    <row r="278" spans="1:18" ht="15.75" customHeight="1" x14ac:dyDescent="0.3">
      <c r="A278" s="541" t="s">
        <v>2272</v>
      </c>
      <c r="B278" s="172">
        <v>2300</v>
      </c>
      <c r="C278" s="172">
        <v>2000</v>
      </c>
      <c r="D278" s="172">
        <v>2500</v>
      </c>
      <c r="E278" s="172"/>
      <c r="F278" s="172">
        <v>2400</v>
      </c>
      <c r="G278" s="172">
        <v>2500</v>
      </c>
      <c r="H278" s="172">
        <v>2400</v>
      </c>
      <c r="I278" s="172"/>
      <c r="J278" s="172">
        <v>2500</v>
      </c>
      <c r="K278" s="172">
        <v>2500</v>
      </c>
      <c r="L278" s="172">
        <v>2500</v>
      </c>
      <c r="M278" s="172"/>
      <c r="N278" s="172">
        <v>2500</v>
      </c>
      <c r="O278" s="172">
        <v>2500</v>
      </c>
      <c r="P278" s="172">
        <v>2500</v>
      </c>
      <c r="Q278" s="172"/>
      <c r="R278" s="17"/>
    </row>
    <row r="279" spans="1:18" ht="15.75" customHeight="1" thickBot="1" x14ac:dyDescent="0.35">
      <c r="A279" s="18"/>
      <c r="B279" s="172"/>
      <c r="C279" s="172"/>
      <c r="D279" s="172"/>
      <c r="E279" s="172"/>
      <c r="F279" s="172"/>
      <c r="G279" s="172"/>
      <c r="H279" s="172"/>
      <c r="I279" s="172"/>
      <c r="J279" s="172"/>
      <c r="K279" s="172"/>
      <c r="L279" s="172"/>
      <c r="M279" s="172"/>
      <c r="N279" s="172"/>
      <c r="O279" s="172"/>
      <c r="P279" s="172"/>
      <c r="Q279" s="172"/>
      <c r="R279" s="17"/>
    </row>
    <row r="280" spans="1:18" ht="16.5" customHeight="1" thickBot="1" x14ac:dyDescent="0.35">
      <c r="A280" s="240" t="s">
        <v>1754</v>
      </c>
      <c r="B280" s="4" t="s">
        <v>2090</v>
      </c>
      <c r="C280" s="5" t="s">
        <v>2091</v>
      </c>
      <c r="D280" s="5" t="s">
        <v>2234</v>
      </c>
      <c r="E280" s="33" t="s">
        <v>1594</v>
      </c>
      <c r="F280" s="5" t="s">
        <v>2235</v>
      </c>
      <c r="G280" s="5" t="s">
        <v>2236</v>
      </c>
      <c r="H280" s="5" t="s">
        <v>2237</v>
      </c>
      <c r="I280" s="35" t="s">
        <v>1595</v>
      </c>
      <c r="J280" s="5" t="s">
        <v>1504</v>
      </c>
      <c r="K280" s="5" t="s">
        <v>1505</v>
      </c>
      <c r="L280" s="5" t="s">
        <v>1506</v>
      </c>
      <c r="M280" s="35" t="s">
        <v>1596</v>
      </c>
      <c r="N280" s="5" t="s">
        <v>1507</v>
      </c>
      <c r="O280" s="5" t="s">
        <v>1508</v>
      </c>
      <c r="P280" s="5" t="s">
        <v>1509</v>
      </c>
      <c r="Q280" s="35" t="s">
        <v>1597</v>
      </c>
      <c r="R280" s="36" t="s">
        <v>1510</v>
      </c>
    </row>
    <row r="281" spans="1:18" ht="16.5" customHeight="1" thickBot="1" x14ac:dyDescent="0.35">
      <c r="A281" s="44"/>
      <c r="B281" s="258"/>
      <c r="C281" s="258"/>
      <c r="D281" s="258"/>
      <c r="E281" s="265"/>
      <c r="F281" s="258"/>
      <c r="G281" s="258"/>
      <c r="H281" s="258"/>
      <c r="I281" s="265"/>
      <c r="J281" s="258"/>
      <c r="K281" s="258"/>
      <c r="L281" s="258"/>
      <c r="M281" s="265"/>
      <c r="N281" s="258"/>
      <c r="O281" s="258"/>
      <c r="P281" s="258"/>
      <c r="Q281" s="265"/>
      <c r="R281" s="52"/>
    </row>
    <row r="282" spans="1:18" ht="15.75" customHeight="1" thickBot="1" x14ac:dyDescent="0.35">
      <c r="A282" s="266" t="s">
        <v>1000</v>
      </c>
      <c r="B282" s="172">
        <v>-26551</v>
      </c>
      <c r="C282" s="172"/>
      <c r="D282" s="172"/>
      <c r="E282" s="38">
        <f>SUM(B282:D282)</f>
        <v>-26551</v>
      </c>
      <c r="F282" s="172">
        <v>-359</v>
      </c>
      <c r="G282" s="172">
        <v>-9966</v>
      </c>
      <c r="H282" s="172">
        <v>-64683</v>
      </c>
      <c r="I282" s="38">
        <f>SUM(F282:H282)</f>
        <v>-75008</v>
      </c>
      <c r="J282" s="356">
        <v>-93862</v>
      </c>
      <c r="K282" s="172">
        <v>-67548</v>
      </c>
      <c r="L282" s="172">
        <v>-5520</v>
      </c>
      <c r="M282" s="38">
        <f>SUM(J282:L282)</f>
        <v>-166930</v>
      </c>
      <c r="N282" s="172"/>
      <c r="O282" s="172"/>
      <c r="P282" s="172"/>
      <c r="Q282" s="38">
        <f>SUM(N282:P282)</f>
        <v>0</v>
      </c>
      <c r="R282" s="38">
        <f>+E282+I282+M282+Q282</f>
        <v>-268489</v>
      </c>
    </row>
    <row r="283" spans="1:18" ht="16.5" customHeight="1" thickBot="1" x14ac:dyDescent="0.35">
      <c r="A283" s="272"/>
      <c r="B283" s="273"/>
      <c r="C283" s="273"/>
      <c r="D283" s="273"/>
      <c r="E283" s="53"/>
      <c r="F283" s="273"/>
      <c r="G283" s="273"/>
      <c r="H283" s="273"/>
      <c r="I283" s="53"/>
      <c r="J283" s="273"/>
      <c r="K283" s="273"/>
      <c r="L283" s="273"/>
      <c r="M283" s="53"/>
      <c r="N283" s="273"/>
      <c r="O283" s="273"/>
      <c r="P283" s="273"/>
      <c r="Q283" s="53"/>
      <c r="R283" s="54"/>
    </row>
    <row r="284" spans="1:18" ht="15.75" customHeight="1" x14ac:dyDescent="0.3">
      <c r="A284" s="234" t="s">
        <v>662</v>
      </c>
      <c r="B284" s="172">
        <f>B282</f>
        <v>-26551</v>
      </c>
      <c r="C284" s="172">
        <f>C282</f>
        <v>0</v>
      </c>
      <c r="D284" s="172">
        <f>D282</f>
        <v>0</v>
      </c>
      <c r="E284" s="38">
        <f>SUM(B284:D284)</f>
        <v>-26551</v>
      </c>
      <c r="F284" s="172">
        <f>F282</f>
        <v>-359</v>
      </c>
      <c r="G284" s="172">
        <f>G282</f>
        <v>-9966</v>
      </c>
      <c r="H284" s="172">
        <f>H282</f>
        <v>-64683</v>
      </c>
      <c r="I284" s="38">
        <f>SUM(F284:H284)</f>
        <v>-75008</v>
      </c>
      <c r="J284" s="172">
        <f>J282</f>
        <v>-93862</v>
      </c>
      <c r="K284" s="172">
        <f>K282</f>
        <v>-67548</v>
      </c>
      <c r="L284" s="172">
        <f>L282</f>
        <v>-5520</v>
      </c>
      <c r="M284" s="38">
        <f>SUM(J284:L284)</f>
        <v>-166930</v>
      </c>
      <c r="N284" s="172">
        <f>N282</f>
        <v>0</v>
      </c>
      <c r="O284" s="172">
        <f>O282</f>
        <v>0</v>
      </c>
      <c r="P284" s="172">
        <f>P282</f>
        <v>0</v>
      </c>
      <c r="Q284" s="38">
        <f>SUM(N284:P284)</f>
        <v>0</v>
      </c>
      <c r="R284" s="55">
        <f>R282</f>
        <v>-268489</v>
      </c>
    </row>
    <row r="285" spans="1:18" ht="16.5" customHeight="1" thickBot="1" x14ac:dyDescent="0.35">
      <c r="A285" s="237" t="s">
        <v>1897</v>
      </c>
      <c r="B285" s="238">
        <f>(B284/B10)/1.983</f>
        <v>-431.91319766401506</v>
      </c>
      <c r="C285" s="238">
        <f>(C284/C10)/1.983</f>
        <v>0</v>
      </c>
      <c r="D285" s="238">
        <f>(D284/D10)/1.983</f>
        <v>0</v>
      </c>
      <c r="E285" s="40"/>
      <c r="F285" s="238">
        <f>(F284/F10)/1.983</f>
        <v>-6.034627668515717</v>
      </c>
      <c r="G285" s="238">
        <f>(G284/G10)/1.983</f>
        <v>-162.11995510224</v>
      </c>
      <c r="H285" s="238">
        <f>(H284/H10)/1.983</f>
        <v>-1087.2919818456883</v>
      </c>
      <c r="I285" s="40"/>
      <c r="J285" s="238">
        <f>(J284/J10)/1.983</f>
        <v>-1526.8817204301076</v>
      </c>
      <c r="K285" s="238">
        <f>(K284/K10)/1.983</f>
        <v>-1098.8238738958567</v>
      </c>
      <c r="L285" s="238">
        <f>(L284/L10)/1.983</f>
        <v>-92.788703983862831</v>
      </c>
      <c r="M285" s="40"/>
      <c r="N285" s="238">
        <f>(N284/N10)/1.983</f>
        <v>0</v>
      </c>
      <c r="O285" s="238">
        <f>(O284/O10)/1.983</f>
        <v>0</v>
      </c>
      <c r="P285" s="238">
        <f>(P284/P10)/1.983</f>
        <v>0</v>
      </c>
      <c r="Q285" s="40"/>
      <c r="R285" s="52" t="s">
        <v>852</v>
      </c>
    </row>
    <row r="286" spans="1:18" ht="15.75" customHeight="1" x14ac:dyDescent="0.3">
      <c r="A286" s="17"/>
      <c r="B286" s="172"/>
      <c r="C286" s="172"/>
      <c r="D286" s="172"/>
      <c r="E286" s="172"/>
      <c r="F286" s="172"/>
      <c r="G286" s="172"/>
      <c r="H286" s="172"/>
      <c r="I286" s="172"/>
      <c r="J286" s="172"/>
      <c r="K286" s="172"/>
      <c r="L286" s="172"/>
      <c r="M286" s="172"/>
      <c r="N286" s="172"/>
      <c r="O286" s="172"/>
      <c r="P286" s="172"/>
      <c r="Q286" s="172"/>
      <c r="R286" s="17"/>
    </row>
    <row r="287" spans="1:18" ht="16.5" customHeight="1" thickBot="1" x14ac:dyDescent="0.35">
      <c r="A287" s="24"/>
      <c r="B287" s="238"/>
      <c r="C287" s="238"/>
      <c r="D287" s="238"/>
      <c r="E287" s="238"/>
      <c r="F287" s="238"/>
      <c r="G287" s="238"/>
      <c r="H287" s="238"/>
      <c r="I287" s="238"/>
      <c r="J287" s="238"/>
      <c r="K287" s="238"/>
      <c r="L287" s="238"/>
      <c r="M287" s="238"/>
      <c r="N287" s="238"/>
      <c r="O287" s="238"/>
      <c r="P287" s="238"/>
      <c r="Q287" s="238"/>
      <c r="R287" s="24"/>
    </row>
    <row r="288" spans="1:18" ht="16.5" customHeight="1" thickBot="1" x14ac:dyDescent="0.35">
      <c r="A288" s="274" t="s">
        <v>89</v>
      </c>
      <c r="B288" s="4" t="s">
        <v>2090</v>
      </c>
      <c r="C288" s="5" t="s">
        <v>2091</v>
      </c>
      <c r="D288" s="5" t="s">
        <v>2234</v>
      </c>
      <c r="E288" s="33" t="s">
        <v>1594</v>
      </c>
      <c r="F288" s="5" t="s">
        <v>2235</v>
      </c>
      <c r="G288" s="5" t="s">
        <v>2236</v>
      </c>
      <c r="H288" s="5" t="s">
        <v>2237</v>
      </c>
      <c r="I288" s="35" t="s">
        <v>1595</v>
      </c>
      <c r="J288" s="5" t="s">
        <v>1504</v>
      </c>
      <c r="K288" s="5" t="s">
        <v>1505</v>
      </c>
      <c r="L288" s="5" t="s">
        <v>1506</v>
      </c>
      <c r="M288" s="35" t="s">
        <v>1596</v>
      </c>
      <c r="N288" s="5" t="s">
        <v>1507</v>
      </c>
      <c r="O288" s="5" t="s">
        <v>1508</v>
      </c>
      <c r="P288" s="5" t="s">
        <v>1509</v>
      </c>
      <c r="Q288" s="35" t="s">
        <v>1597</v>
      </c>
      <c r="R288" s="36" t="s">
        <v>1510</v>
      </c>
    </row>
    <row r="289" spans="1:20" ht="16.5" customHeight="1" thickBot="1" x14ac:dyDescent="0.35">
      <c r="A289" s="37"/>
      <c r="B289" s="258"/>
      <c r="C289" s="258"/>
      <c r="D289" s="258"/>
      <c r="E289" s="254"/>
      <c r="F289" s="258"/>
      <c r="G289" s="258"/>
      <c r="H289" s="258"/>
      <c r="I289" s="265"/>
      <c r="J289" s="258"/>
      <c r="K289" s="258"/>
      <c r="L289" s="258"/>
      <c r="M289" s="265"/>
      <c r="N289" s="258"/>
      <c r="O289" s="258"/>
      <c r="P289" s="258"/>
      <c r="Q289" s="265"/>
      <c r="R289" s="55"/>
    </row>
    <row r="290" spans="1:20" ht="15.75" customHeight="1" x14ac:dyDescent="0.3">
      <c r="A290" s="234" t="s">
        <v>2417</v>
      </c>
      <c r="B290" s="172" t="s">
        <v>852</v>
      </c>
      <c r="C290" s="172" t="s">
        <v>852</v>
      </c>
      <c r="D290" s="172" t="s">
        <v>852</v>
      </c>
      <c r="E290" s="38" t="s">
        <v>852</v>
      </c>
      <c r="F290" s="172" t="s">
        <v>852</v>
      </c>
      <c r="G290" s="172" t="s">
        <v>852</v>
      </c>
      <c r="H290" s="172" t="s">
        <v>852</v>
      </c>
      <c r="I290" s="38" t="s">
        <v>852</v>
      </c>
      <c r="J290" s="172" t="s">
        <v>852</v>
      </c>
      <c r="K290" s="172" t="s">
        <v>852</v>
      </c>
      <c r="L290" s="172" t="s">
        <v>852</v>
      </c>
      <c r="M290" s="38" t="s">
        <v>852</v>
      </c>
      <c r="N290" s="172" t="s">
        <v>852</v>
      </c>
      <c r="O290" s="172" t="s">
        <v>852</v>
      </c>
      <c r="P290" s="172" t="s">
        <v>852</v>
      </c>
      <c r="Q290" s="38" t="s">
        <v>852</v>
      </c>
      <c r="R290" s="39" t="s">
        <v>852</v>
      </c>
    </row>
    <row r="291" spans="1:20" ht="15.75" customHeight="1" x14ac:dyDescent="0.3">
      <c r="A291" s="234" t="s">
        <v>2160</v>
      </c>
      <c r="B291" s="172"/>
      <c r="C291" s="172"/>
      <c r="D291" s="172"/>
      <c r="E291" s="38" t="s">
        <v>852</v>
      </c>
      <c r="F291" s="172"/>
      <c r="G291" s="172"/>
      <c r="H291" s="172"/>
      <c r="I291" s="38" t="s">
        <v>852</v>
      </c>
      <c r="J291" s="172"/>
      <c r="K291" s="172"/>
      <c r="L291" s="172"/>
      <c r="M291" s="38" t="s">
        <v>852</v>
      </c>
      <c r="N291" s="172"/>
      <c r="O291" s="172"/>
      <c r="P291" s="172"/>
      <c r="Q291" s="38" t="s">
        <v>852</v>
      </c>
      <c r="R291" s="38" t="s">
        <v>852</v>
      </c>
    </row>
    <row r="292" spans="1:20" ht="15.75" customHeight="1" x14ac:dyDescent="0.3">
      <c r="A292" s="410" t="s">
        <v>2869</v>
      </c>
      <c r="B292" s="172">
        <v>113</v>
      </c>
      <c r="C292" s="275">
        <v>89</v>
      </c>
      <c r="D292" s="172">
        <v>117</v>
      </c>
      <c r="E292" s="38">
        <f t="shared" ref="E292:E307" si="54">SUM(B292:D292)</f>
        <v>319</v>
      </c>
      <c r="F292" s="356">
        <v>82</v>
      </c>
      <c r="G292" s="172">
        <v>114</v>
      </c>
      <c r="H292" s="172">
        <v>109</v>
      </c>
      <c r="I292" s="38">
        <f t="shared" ref="I292:I307" si="55">SUM(F292:H292)</f>
        <v>305</v>
      </c>
      <c r="J292" s="172">
        <v>98</v>
      </c>
      <c r="K292" s="172">
        <v>93</v>
      </c>
      <c r="L292" s="172">
        <v>73</v>
      </c>
      <c r="M292" s="38">
        <f t="shared" ref="M292:M307" si="56">SUM(J292:L292)</f>
        <v>264</v>
      </c>
      <c r="N292" s="172">
        <v>101</v>
      </c>
      <c r="O292" s="172">
        <v>95</v>
      </c>
      <c r="P292" s="172">
        <v>140</v>
      </c>
      <c r="Q292" s="38">
        <f t="shared" ref="Q292:Q307" si="57">SUM(N292:P292)</f>
        <v>336</v>
      </c>
      <c r="R292" s="38">
        <f t="shared" ref="R292:R307" si="58">+E292+I292+M292+Q292</f>
        <v>1224</v>
      </c>
      <c r="T292" t="s">
        <v>2870</v>
      </c>
    </row>
    <row r="293" spans="1:20" ht="15.75" customHeight="1" x14ac:dyDescent="0.3">
      <c r="A293" s="410" t="s">
        <v>2872</v>
      </c>
      <c r="B293" s="172"/>
      <c r="C293" s="275"/>
      <c r="D293" s="172"/>
      <c r="E293" s="38">
        <f t="shared" si="54"/>
        <v>0</v>
      </c>
      <c r="F293" s="172"/>
      <c r="G293" s="172"/>
      <c r="H293" s="172">
        <v>100</v>
      </c>
      <c r="I293" s="38">
        <f t="shared" si="55"/>
        <v>100</v>
      </c>
      <c r="J293" s="172"/>
      <c r="K293" s="172"/>
      <c r="L293" s="172"/>
      <c r="M293" s="38">
        <f t="shared" si="56"/>
        <v>0</v>
      </c>
      <c r="N293" s="172"/>
      <c r="O293" s="172"/>
      <c r="P293" s="172"/>
      <c r="Q293" s="38">
        <f t="shared" si="57"/>
        <v>0</v>
      </c>
      <c r="R293" s="38">
        <f t="shared" si="58"/>
        <v>100</v>
      </c>
      <c r="T293" t="s">
        <v>1358</v>
      </c>
    </row>
    <row r="294" spans="1:20" ht="15.75" customHeight="1" x14ac:dyDescent="0.3">
      <c r="A294" s="410" t="s">
        <v>2873</v>
      </c>
      <c r="B294" s="172">
        <v>176</v>
      </c>
      <c r="C294" s="172">
        <v>127</v>
      </c>
      <c r="D294" s="172">
        <v>212</v>
      </c>
      <c r="E294" s="38">
        <f t="shared" si="54"/>
        <v>515</v>
      </c>
      <c r="F294" s="172">
        <v>249</v>
      </c>
      <c r="G294" s="172">
        <v>350</v>
      </c>
      <c r="H294" s="172">
        <v>414</v>
      </c>
      <c r="I294" s="38">
        <f t="shared" si="55"/>
        <v>1013</v>
      </c>
      <c r="J294" s="172">
        <v>301</v>
      </c>
      <c r="K294" s="172">
        <v>382</v>
      </c>
      <c r="L294" s="172">
        <v>190</v>
      </c>
      <c r="M294" s="38">
        <f t="shared" si="56"/>
        <v>873</v>
      </c>
      <c r="N294" s="172">
        <v>402</v>
      </c>
      <c r="O294" s="172">
        <v>216</v>
      </c>
      <c r="P294" s="172">
        <v>82</v>
      </c>
      <c r="Q294" s="38">
        <f t="shared" si="57"/>
        <v>700</v>
      </c>
      <c r="R294" s="38">
        <f t="shared" si="58"/>
        <v>3101</v>
      </c>
      <c r="T294" t="s">
        <v>2871</v>
      </c>
    </row>
    <row r="295" spans="1:20" ht="15.75" customHeight="1" x14ac:dyDescent="0.3">
      <c r="A295" s="256" t="s">
        <v>349</v>
      </c>
      <c r="B295" s="172">
        <v>46</v>
      </c>
      <c r="C295" s="172">
        <v>50</v>
      </c>
      <c r="D295" s="172">
        <v>67</v>
      </c>
      <c r="E295" s="38">
        <f t="shared" si="54"/>
        <v>163</v>
      </c>
      <c r="F295" s="172">
        <v>108</v>
      </c>
      <c r="G295" s="172">
        <v>180</v>
      </c>
      <c r="H295" s="172">
        <v>318</v>
      </c>
      <c r="I295" s="38">
        <f t="shared" si="55"/>
        <v>606</v>
      </c>
      <c r="J295" s="172">
        <v>264</v>
      </c>
      <c r="K295" s="172">
        <v>315</v>
      </c>
      <c r="L295" s="172">
        <v>206</v>
      </c>
      <c r="M295" s="38">
        <f t="shared" si="56"/>
        <v>785</v>
      </c>
      <c r="N295" s="172">
        <v>202</v>
      </c>
      <c r="O295" s="172">
        <v>75</v>
      </c>
      <c r="P295" s="172">
        <v>97</v>
      </c>
      <c r="Q295" s="38">
        <f t="shared" si="57"/>
        <v>374</v>
      </c>
      <c r="R295" s="38">
        <f t="shared" si="58"/>
        <v>1928</v>
      </c>
      <c r="T295" t="s">
        <v>2174</v>
      </c>
    </row>
    <row r="296" spans="1:20" ht="15.75" customHeight="1" x14ac:dyDescent="0.3">
      <c r="A296" s="410" t="s">
        <v>2743</v>
      </c>
      <c r="B296" s="172"/>
      <c r="C296" s="172"/>
      <c r="D296" s="172"/>
      <c r="E296" s="38">
        <f t="shared" si="54"/>
        <v>0</v>
      </c>
      <c r="F296" s="172"/>
      <c r="G296" s="172"/>
      <c r="H296" s="172"/>
      <c r="I296" s="38">
        <f t="shared" si="55"/>
        <v>0</v>
      </c>
      <c r="J296" s="172"/>
      <c r="K296" s="172"/>
      <c r="L296" s="172"/>
      <c r="M296" s="38">
        <f t="shared" si="56"/>
        <v>0</v>
      </c>
      <c r="N296" s="172"/>
      <c r="O296" s="172"/>
      <c r="P296" s="172"/>
      <c r="Q296" s="38">
        <f t="shared" si="57"/>
        <v>0</v>
      </c>
      <c r="R296" s="38">
        <f t="shared" si="58"/>
        <v>0</v>
      </c>
      <c r="T296" t="s">
        <v>1358</v>
      </c>
    </row>
    <row r="297" spans="1:20" ht="15.75" customHeight="1" x14ac:dyDescent="0.3">
      <c r="A297" s="410" t="s">
        <v>2744</v>
      </c>
      <c r="B297" s="10"/>
      <c r="C297" s="10"/>
      <c r="D297" s="10"/>
      <c r="E297" s="38">
        <f t="shared" si="54"/>
        <v>0</v>
      </c>
      <c r="F297" s="10"/>
      <c r="G297" s="10">
        <v>938</v>
      </c>
      <c r="H297" s="10">
        <v>1097</v>
      </c>
      <c r="I297" s="38">
        <f t="shared" si="55"/>
        <v>2035</v>
      </c>
      <c r="J297" s="10">
        <v>370</v>
      </c>
      <c r="K297" s="10"/>
      <c r="L297" s="10"/>
      <c r="M297" s="38">
        <f t="shared" si="56"/>
        <v>370</v>
      </c>
      <c r="N297" s="10">
        <v>1155</v>
      </c>
      <c r="O297" s="10">
        <v>1027</v>
      </c>
      <c r="P297" s="10">
        <v>1158</v>
      </c>
      <c r="Q297" s="38">
        <f t="shared" si="57"/>
        <v>3340</v>
      </c>
      <c r="R297" s="38">
        <f t="shared" si="58"/>
        <v>5745</v>
      </c>
      <c r="T297" t="s">
        <v>2780</v>
      </c>
    </row>
    <row r="298" spans="1:20" ht="15.75" customHeight="1" x14ac:dyDescent="0.3">
      <c r="A298" s="410" t="s">
        <v>2608</v>
      </c>
      <c r="B298" s="172">
        <v>29</v>
      </c>
      <c r="C298" s="172">
        <v>26</v>
      </c>
      <c r="D298" s="172">
        <v>27</v>
      </c>
      <c r="E298" s="38">
        <f t="shared" si="54"/>
        <v>82</v>
      </c>
      <c r="F298" s="172">
        <v>16</v>
      </c>
      <c r="G298" s="172">
        <v>1663</v>
      </c>
      <c r="H298" s="172">
        <v>20</v>
      </c>
      <c r="I298" s="38">
        <f t="shared" si="55"/>
        <v>1699</v>
      </c>
      <c r="J298" s="172">
        <v>19</v>
      </c>
      <c r="K298" s="172">
        <v>23</v>
      </c>
      <c r="L298" s="172">
        <v>8</v>
      </c>
      <c r="M298" s="38">
        <f t="shared" si="56"/>
        <v>50</v>
      </c>
      <c r="N298" s="172">
        <v>52</v>
      </c>
      <c r="O298" s="172">
        <v>49</v>
      </c>
      <c r="P298" s="172">
        <v>12</v>
      </c>
      <c r="Q298" s="38">
        <f t="shared" si="57"/>
        <v>113</v>
      </c>
      <c r="R298" s="38">
        <f t="shared" si="58"/>
        <v>1944</v>
      </c>
      <c r="T298" t="s">
        <v>2174</v>
      </c>
    </row>
    <row r="299" spans="1:20" ht="15.75" customHeight="1" x14ac:dyDescent="0.3">
      <c r="A299" s="410" t="s">
        <v>2607</v>
      </c>
      <c r="B299" s="172"/>
      <c r="C299" s="172"/>
      <c r="D299" s="172"/>
      <c r="E299" s="38">
        <f t="shared" si="54"/>
        <v>0</v>
      </c>
      <c r="F299" s="172"/>
      <c r="G299" s="172"/>
      <c r="H299" s="172">
        <v>2048</v>
      </c>
      <c r="I299" s="38">
        <f t="shared" si="55"/>
        <v>2048</v>
      </c>
      <c r="J299" s="172"/>
      <c r="K299" s="172"/>
      <c r="L299" s="172"/>
      <c r="M299" s="38">
        <f t="shared" si="56"/>
        <v>0</v>
      </c>
      <c r="N299" s="172"/>
      <c r="O299" s="172"/>
      <c r="P299" s="172"/>
      <c r="Q299" s="38">
        <f t="shared" si="57"/>
        <v>0</v>
      </c>
      <c r="R299" s="38">
        <f t="shared" si="58"/>
        <v>2048</v>
      </c>
      <c r="T299" t="s">
        <v>2174</v>
      </c>
    </row>
    <row r="300" spans="1:20" ht="15.75" customHeight="1" x14ac:dyDescent="0.3">
      <c r="A300" s="410" t="s">
        <v>2692</v>
      </c>
      <c r="B300" s="172"/>
      <c r="C300" s="172"/>
      <c r="D300" s="172"/>
      <c r="E300" s="38">
        <f>SUM(B300:D300)</f>
        <v>0</v>
      </c>
      <c r="F300" s="172"/>
      <c r="G300" s="172"/>
      <c r="H300" s="172"/>
      <c r="I300" s="38">
        <f>SUM(F300:H300)</f>
        <v>0</v>
      </c>
      <c r="J300" s="172"/>
      <c r="K300" s="172"/>
      <c r="L300" s="172"/>
      <c r="M300" s="38">
        <f>SUM(J300:L300)</f>
        <v>0</v>
      </c>
      <c r="N300" s="172"/>
      <c r="O300" s="172"/>
      <c r="P300" s="172"/>
      <c r="Q300" s="38">
        <f>SUM(N300:P300)</f>
        <v>0</v>
      </c>
      <c r="R300" s="38">
        <f t="shared" si="58"/>
        <v>0</v>
      </c>
      <c r="T300" t="s">
        <v>1358</v>
      </c>
    </row>
    <row r="301" spans="1:20" ht="15.75" customHeight="1" x14ac:dyDescent="0.3">
      <c r="A301" s="410" t="s">
        <v>347</v>
      </c>
      <c r="B301" s="172"/>
      <c r="C301" s="172"/>
      <c r="D301" s="172"/>
      <c r="E301" s="38">
        <f t="shared" si="54"/>
        <v>0</v>
      </c>
      <c r="F301" s="172"/>
      <c r="G301" s="172"/>
      <c r="H301" s="172"/>
      <c r="I301" s="38">
        <f t="shared" si="55"/>
        <v>0</v>
      </c>
      <c r="J301" s="172"/>
      <c r="K301" s="172"/>
      <c r="L301" s="172">
        <v>349</v>
      </c>
      <c r="M301" s="38">
        <f t="shared" si="56"/>
        <v>349</v>
      </c>
      <c r="N301" s="172">
        <v>1133</v>
      </c>
      <c r="O301" s="172">
        <v>1025</v>
      </c>
      <c r="P301" s="172">
        <v>1127</v>
      </c>
      <c r="Q301" s="38">
        <f t="shared" si="57"/>
        <v>3285</v>
      </c>
      <c r="R301" s="38">
        <f t="shared" si="58"/>
        <v>3634</v>
      </c>
      <c r="T301" t="s">
        <v>2780</v>
      </c>
    </row>
    <row r="302" spans="1:20" ht="15.75" customHeight="1" x14ac:dyDescent="0.3">
      <c r="A302" s="410" t="s">
        <v>2954</v>
      </c>
      <c r="B302" s="172"/>
      <c r="C302" s="172"/>
      <c r="D302" s="172"/>
      <c r="E302" s="38">
        <f>SUM(B302:D302)</f>
        <v>0</v>
      </c>
      <c r="F302" s="172"/>
      <c r="G302" s="172">
        <v>5273</v>
      </c>
      <c r="H302" s="172">
        <v>2288</v>
      </c>
      <c r="I302" s="38">
        <f>SUM(F302:H302)</f>
        <v>7561</v>
      </c>
      <c r="J302" s="172"/>
      <c r="K302" s="172"/>
      <c r="L302" s="172"/>
      <c r="M302" s="38">
        <f>SUM(J302:L302)</f>
        <v>0</v>
      </c>
      <c r="N302" s="172"/>
      <c r="O302" s="172"/>
      <c r="P302" s="172"/>
      <c r="Q302" s="38">
        <f>SUM(N302:P302)</f>
        <v>0</v>
      </c>
      <c r="R302" s="38">
        <f>+E302+I302+M302+Q302</f>
        <v>7561</v>
      </c>
      <c r="T302" t="s">
        <v>1358</v>
      </c>
    </row>
    <row r="303" spans="1:20" ht="15.75" customHeight="1" x14ac:dyDescent="0.3">
      <c r="A303" s="410" t="s">
        <v>2593</v>
      </c>
      <c r="B303" s="10">
        <v>24</v>
      </c>
      <c r="C303" s="10">
        <v>38</v>
      </c>
      <c r="D303" s="10">
        <v>59</v>
      </c>
      <c r="E303" s="38">
        <f t="shared" si="54"/>
        <v>121</v>
      </c>
      <c r="F303" s="10">
        <v>26</v>
      </c>
      <c r="G303" s="10"/>
      <c r="H303" s="10"/>
      <c r="I303" s="38">
        <f t="shared" si="55"/>
        <v>26</v>
      </c>
      <c r="J303" s="10"/>
      <c r="K303" s="10"/>
      <c r="L303" s="10"/>
      <c r="M303" s="38">
        <f t="shared" si="56"/>
        <v>0</v>
      </c>
      <c r="N303" s="10"/>
      <c r="O303" s="10"/>
      <c r="P303" s="10"/>
      <c r="Q303" s="38">
        <f t="shared" si="57"/>
        <v>0</v>
      </c>
      <c r="R303" s="38">
        <f t="shared" si="58"/>
        <v>147</v>
      </c>
      <c r="S303" s="538"/>
      <c r="T303" t="s">
        <v>2175</v>
      </c>
    </row>
    <row r="304" spans="1:20" ht="15.75" customHeight="1" x14ac:dyDescent="0.3">
      <c r="A304" s="256" t="s">
        <v>92</v>
      </c>
      <c r="B304" s="172">
        <v>630</v>
      </c>
      <c r="C304" s="172">
        <v>1439</v>
      </c>
      <c r="D304" s="172">
        <v>2270</v>
      </c>
      <c r="E304" s="38">
        <f t="shared" si="54"/>
        <v>4339</v>
      </c>
      <c r="F304" s="172">
        <v>585</v>
      </c>
      <c r="G304" s="172">
        <v>1180</v>
      </c>
      <c r="H304" s="172">
        <v>5103</v>
      </c>
      <c r="I304" s="38">
        <f t="shared" si="55"/>
        <v>6868</v>
      </c>
      <c r="J304" s="172">
        <v>5283</v>
      </c>
      <c r="K304" s="172">
        <v>4740</v>
      </c>
      <c r="L304" s="172">
        <v>3377</v>
      </c>
      <c r="M304" s="38">
        <f t="shared" si="56"/>
        <v>13400</v>
      </c>
      <c r="N304" s="172">
        <v>3480</v>
      </c>
      <c r="O304" s="172">
        <v>4530</v>
      </c>
      <c r="P304" s="172">
        <v>4317</v>
      </c>
      <c r="Q304" s="38">
        <f t="shared" si="57"/>
        <v>12327</v>
      </c>
      <c r="R304" s="38">
        <f t="shared" si="58"/>
        <v>36934</v>
      </c>
      <c r="T304" t="s">
        <v>2177</v>
      </c>
    </row>
    <row r="305" spans="1:20" ht="15.75" customHeight="1" x14ac:dyDescent="0.3">
      <c r="A305" s="410" t="s">
        <v>2543</v>
      </c>
      <c r="B305" s="172"/>
      <c r="C305" s="172"/>
      <c r="D305" s="172"/>
      <c r="E305" s="38">
        <f t="shared" si="54"/>
        <v>0</v>
      </c>
      <c r="F305" s="172"/>
      <c r="G305" s="172"/>
      <c r="H305" s="172"/>
      <c r="I305" s="38">
        <f t="shared" si="55"/>
        <v>0</v>
      </c>
      <c r="J305" s="172"/>
      <c r="K305" s="172"/>
      <c r="L305" s="172"/>
      <c r="M305" s="38">
        <f t="shared" si="56"/>
        <v>0</v>
      </c>
      <c r="N305" s="172"/>
      <c r="O305" s="172"/>
      <c r="P305" s="172"/>
      <c r="Q305" s="38">
        <f t="shared" si="57"/>
        <v>0</v>
      </c>
      <c r="R305" s="38">
        <f t="shared" si="58"/>
        <v>0</v>
      </c>
    </row>
    <row r="306" spans="1:20" ht="15.75" customHeight="1" x14ac:dyDescent="0.3">
      <c r="A306" s="539" t="s">
        <v>2944</v>
      </c>
      <c r="B306" s="172"/>
      <c r="C306" s="172"/>
      <c r="D306" s="172">
        <v>37</v>
      </c>
      <c r="E306" s="38">
        <f>SUM(B306:D306)</f>
        <v>37</v>
      </c>
      <c r="F306" s="172"/>
      <c r="G306" s="172"/>
      <c r="H306" s="172"/>
      <c r="I306" s="38">
        <f>SUM(F306:H306)</f>
        <v>0</v>
      </c>
      <c r="J306" s="172"/>
      <c r="K306" s="172"/>
      <c r="L306" s="172"/>
      <c r="M306" s="38">
        <f>SUM(J306:L306)</f>
        <v>0</v>
      </c>
      <c r="N306" s="172"/>
      <c r="O306" s="172"/>
      <c r="P306" s="172"/>
      <c r="Q306" s="38">
        <f>SUM(N306:P306)</f>
        <v>0</v>
      </c>
      <c r="R306" s="38">
        <f>+E306+I306+M306+Q306</f>
        <v>37</v>
      </c>
    </row>
    <row r="307" spans="1:20" ht="15.75" customHeight="1" x14ac:dyDescent="0.3">
      <c r="A307" s="410" t="s">
        <v>2609</v>
      </c>
      <c r="B307" s="172"/>
      <c r="C307" s="172"/>
      <c r="D307" s="172"/>
      <c r="E307" s="38">
        <f t="shared" si="54"/>
        <v>0</v>
      </c>
      <c r="F307" s="172"/>
      <c r="G307" s="172">
        <v>102</v>
      </c>
      <c r="H307" s="172">
        <v>175</v>
      </c>
      <c r="I307" s="38">
        <f t="shared" si="55"/>
        <v>277</v>
      </c>
      <c r="J307" s="172">
        <v>71</v>
      </c>
      <c r="K307" s="172"/>
      <c r="L307" s="172"/>
      <c r="M307" s="38">
        <f t="shared" si="56"/>
        <v>71</v>
      </c>
      <c r="N307" s="172"/>
      <c r="O307" s="172"/>
      <c r="P307" s="172"/>
      <c r="Q307" s="38">
        <f t="shared" si="57"/>
        <v>0</v>
      </c>
      <c r="R307" s="38">
        <f t="shared" si="58"/>
        <v>348</v>
      </c>
      <c r="S307">
        <f>SUM(R292:R307)</f>
        <v>64751</v>
      </c>
      <c r="T307" t="s">
        <v>2175</v>
      </c>
    </row>
    <row r="308" spans="1:20" ht="15.75" customHeight="1" x14ac:dyDescent="0.3">
      <c r="A308" s="234" t="s">
        <v>2161</v>
      </c>
      <c r="B308" s="172"/>
      <c r="C308" s="172"/>
      <c r="D308" s="172"/>
      <c r="E308" s="38" t="s">
        <v>852</v>
      </c>
      <c r="F308" s="172"/>
      <c r="G308" s="172"/>
      <c r="H308" s="172"/>
      <c r="I308" s="38" t="s">
        <v>852</v>
      </c>
      <c r="J308" s="172"/>
      <c r="K308" s="172"/>
      <c r="L308" s="172"/>
      <c r="M308" s="38" t="s">
        <v>852</v>
      </c>
      <c r="N308" s="172"/>
      <c r="O308" s="172"/>
      <c r="P308" s="172"/>
      <c r="Q308" s="38" t="s">
        <v>852</v>
      </c>
      <c r="R308" s="38" t="s">
        <v>852</v>
      </c>
    </row>
    <row r="309" spans="1:20" ht="15.75" customHeight="1" x14ac:dyDescent="0.3">
      <c r="A309" s="256" t="s">
        <v>754</v>
      </c>
      <c r="B309" s="172"/>
      <c r="C309" s="172"/>
      <c r="D309" s="172"/>
      <c r="E309" s="38">
        <f t="shared" ref="E309:E322" si="59">SUM(B309:D309)</f>
        <v>0</v>
      </c>
      <c r="F309" s="172"/>
      <c r="G309" s="172"/>
      <c r="H309" s="172"/>
      <c r="I309" s="38">
        <f t="shared" ref="I309:I322" si="60">SUM(F309:H309)</f>
        <v>0</v>
      </c>
      <c r="J309" s="172"/>
      <c r="K309" s="172"/>
      <c r="L309" s="172"/>
      <c r="M309" s="38">
        <f t="shared" ref="M309:M322" si="61">SUM(J309:L309)</f>
        <v>0</v>
      </c>
      <c r="N309" s="172"/>
      <c r="O309" s="172"/>
      <c r="P309" s="172"/>
      <c r="Q309" s="38">
        <f t="shared" ref="Q309:Q322" si="62">SUM(N309:P309)</f>
        <v>0</v>
      </c>
      <c r="R309" s="38">
        <f t="shared" ref="R309:R322" si="63">+E309+I309+M309+Q309</f>
        <v>0</v>
      </c>
    </row>
    <row r="310" spans="1:20" ht="15.75" customHeight="1" x14ac:dyDescent="0.3">
      <c r="A310" s="410" t="s">
        <v>2759</v>
      </c>
      <c r="B310" s="10"/>
      <c r="C310" s="10"/>
      <c r="D310" s="10">
        <v>8</v>
      </c>
      <c r="E310" s="38">
        <f>SUM(B310:D310)</f>
        <v>8</v>
      </c>
      <c r="F310" s="10">
        <v>8</v>
      </c>
      <c r="G310" s="10"/>
      <c r="H310" s="10">
        <v>12</v>
      </c>
      <c r="I310" s="38">
        <f>SUM(F310:H310)</f>
        <v>20</v>
      </c>
      <c r="J310" s="10">
        <v>9</v>
      </c>
      <c r="K310" s="10">
        <v>9</v>
      </c>
      <c r="L310" s="10"/>
      <c r="M310" s="38">
        <f>SUM(J310:L310)</f>
        <v>18</v>
      </c>
      <c r="N310" s="10">
        <v>8</v>
      </c>
      <c r="O310" s="10">
        <v>19</v>
      </c>
      <c r="P310" s="10"/>
      <c r="Q310" s="38">
        <f>SUM(N310:P310)</f>
        <v>27</v>
      </c>
      <c r="R310" s="38">
        <f>+E310+I310+M310+Q310</f>
        <v>73</v>
      </c>
      <c r="T310" t="s">
        <v>131</v>
      </c>
    </row>
    <row r="311" spans="1:20" ht="15.75" customHeight="1" x14ac:dyDescent="0.3">
      <c r="A311" s="410" t="s">
        <v>2593</v>
      </c>
      <c r="B311" s="10"/>
      <c r="C311" s="10"/>
      <c r="D311" s="10"/>
      <c r="E311" s="38">
        <f t="shared" si="59"/>
        <v>0</v>
      </c>
      <c r="F311" s="10">
        <v>20</v>
      </c>
      <c r="G311" s="10">
        <v>39</v>
      </c>
      <c r="H311" s="10">
        <v>20</v>
      </c>
      <c r="I311" s="38">
        <f t="shared" si="60"/>
        <v>79</v>
      </c>
      <c r="J311" s="10">
        <v>34</v>
      </c>
      <c r="K311" s="10">
        <v>114</v>
      </c>
      <c r="L311" s="10">
        <v>72</v>
      </c>
      <c r="M311" s="38">
        <f t="shared" si="61"/>
        <v>220</v>
      </c>
      <c r="N311" s="10">
        <v>87</v>
      </c>
      <c r="O311" s="10">
        <v>15</v>
      </c>
      <c r="P311" s="10"/>
      <c r="Q311" s="38">
        <f t="shared" si="62"/>
        <v>102</v>
      </c>
      <c r="R311" s="38">
        <f>+E311+I311+M311+Q311</f>
        <v>401</v>
      </c>
      <c r="T311" t="s">
        <v>2175</v>
      </c>
    </row>
    <row r="312" spans="1:20" ht="15.75" customHeight="1" x14ac:dyDescent="0.3">
      <c r="A312" s="410" t="s">
        <v>2517</v>
      </c>
      <c r="B312" s="10">
        <v>4</v>
      </c>
      <c r="C312" s="10">
        <v>7</v>
      </c>
      <c r="D312" s="10">
        <v>20</v>
      </c>
      <c r="E312" s="38">
        <f>SUM(B312:D312)</f>
        <v>31</v>
      </c>
      <c r="F312" s="10">
        <v>7</v>
      </c>
      <c r="G312" s="10">
        <v>2</v>
      </c>
      <c r="H312" s="10">
        <v>11</v>
      </c>
      <c r="I312" s="38">
        <f>SUM(F312:H312)</f>
        <v>20</v>
      </c>
      <c r="J312" s="10">
        <v>9</v>
      </c>
      <c r="K312" s="10">
        <v>5</v>
      </c>
      <c r="L312" s="10"/>
      <c r="M312" s="38">
        <f>SUM(J312:L312)</f>
        <v>14</v>
      </c>
      <c r="N312" s="10"/>
      <c r="O312" s="10">
        <v>2</v>
      </c>
      <c r="P312" s="10"/>
      <c r="Q312" s="38">
        <f>SUM(N312:P312)</f>
        <v>2</v>
      </c>
      <c r="R312" s="38">
        <f>+E312+I312+M312+Q312</f>
        <v>67</v>
      </c>
      <c r="T312" t="s">
        <v>2229</v>
      </c>
    </row>
    <row r="313" spans="1:20" ht="15.75" customHeight="1" x14ac:dyDescent="0.3">
      <c r="A313" s="311" t="s">
        <v>375</v>
      </c>
      <c r="B313" s="172">
        <v>31</v>
      </c>
      <c r="C313" s="172">
        <v>21</v>
      </c>
      <c r="D313" s="172">
        <v>44</v>
      </c>
      <c r="E313" s="38">
        <f t="shared" si="59"/>
        <v>96</v>
      </c>
      <c r="F313" s="172">
        <v>53</v>
      </c>
      <c r="G313" s="172">
        <v>64</v>
      </c>
      <c r="H313" s="172">
        <v>82</v>
      </c>
      <c r="I313" s="38">
        <f t="shared" si="60"/>
        <v>199</v>
      </c>
      <c r="J313" s="172">
        <v>66</v>
      </c>
      <c r="K313" s="172">
        <v>68</v>
      </c>
      <c r="L313" s="172">
        <v>22</v>
      </c>
      <c r="M313" s="38">
        <f t="shared" si="61"/>
        <v>156</v>
      </c>
      <c r="N313" s="172">
        <v>40</v>
      </c>
      <c r="O313" s="172">
        <v>36</v>
      </c>
      <c r="P313" s="172">
        <v>9</v>
      </c>
      <c r="Q313" s="38">
        <f t="shared" si="62"/>
        <v>85</v>
      </c>
      <c r="R313" s="38">
        <f t="shared" si="63"/>
        <v>536</v>
      </c>
      <c r="T313" t="s">
        <v>1193</v>
      </c>
    </row>
    <row r="314" spans="1:20" ht="15.75" customHeight="1" x14ac:dyDescent="0.3">
      <c r="A314" s="256" t="s">
        <v>1732</v>
      </c>
      <c r="B314" s="172"/>
      <c r="C314" s="172"/>
      <c r="D314" s="172"/>
      <c r="E314" s="38">
        <f t="shared" si="59"/>
        <v>0</v>
      </c>
      <c r="F314" s="172"/>
      <c r="G314" s="172"/>
      <c r="H314" s="172"/>
      <c r="I314" s="38">
        <f t="shared" si="60"/>
        <v>0</v>
      </c>
      <c r="J314" s="172"/>
      <c r="K314" s="172"/>
      <c r="L314" s="172"/>
      <c r="M314" s="38">
        <f t="shared" si="61"/>
        <v>0</v>
      </c>
      <c r="N314" s="172"/>
      <c r="O314" s="172"/>
      <c r="P314" s="172"/>
      <c r="Q314" s="38">
        <f t="shared" si="62"/>
        <v>0</v>
      </c>
      <c r="R314" s="38">
        <f t="shared" si="63"/>
        <v>0</v>
      </c>
    </row>
    <row r="315" spans="1:20" ht="15.75" customHeight="1" x14ac:dyDescent="0.3">
      <c r="A315" s="410" t="s">
        <v>2771</v>
      </c>
      <c r="B315" s="172"/>
      <c r="C315" s="172"/>
      <c r="D315" s="172">
        <v>9</v>
      </c>
      <c r="E315" s="38">
        <f t="shared" si="59"/>
        <v>9</v>
      </c>
      <c r="F315" s="172"/>
      <c r="G315" s="172">
        <v>34</v>
      </c>
      <c r="H315" s="172">
        <v>72</v>
      </c>
      <c r="I315" s="38">
        <f t="shared" si="60"/>
        <v>106</v>
      </c>
      <c r="J315" s="172">
        <v>86</v>
      </c>
      <c r="K315" s="172">
        <v>81</v>
      </c>
      <c r="L315" s="172">
        <v>57</v>
      </c>
      <c r="M315" s="38">
        <f t="shared" si="61"/>
        <v>224</v>
      </c>
      <c r="N315" s="172">
        <v>42</v>
      </c>
      <c r="O315" s="172">
        <v>26</v>
      </c>
      <c r="P315" s="172">
        <v>1</v>
      </c>
      <c r="Q315" s="38">
        <f t="shared" si="62"/>
        <v>69</v>
      </c>
      <c r="R315" s="38">
        <f t="shared" si="63"/>
        <v>408</v>
      </c>
      <c r="T315" t="s">
        <v>2230</v>
      </c>
    </row>
    <row r="316" spans="1:20" ht="15.75" customHeight="1" x14ac:dyDescent="0.3">
      <c r="A316" s="256" t="s">
        <v>1138</v>
      </c>
      <c r="B316" s="172">
        <v>1</v>
      </c>
      <c r="C316" s="172">
        <v>3</v>
      </c>
      <c r="D316" s="172">
        <v>1</v>
      </c>
      <c r="E316" s="38">
        <f t="shared" si="59"/>
        <v>5</v>
      </c>
      <c r="F316" s="172">
        <v>1</v>
      </c>
      <c r="G316" s="172">
        <v>4</v>
      </c>
      <c r="H316" s="172">
        <v>3</v>
      </c>
      <c r="I316" s="38">
        <f t="shared" si="60"/>
        <v>8</v>
      </c>
      <c r="J316" s="172">
        <v>3</v>
      </c>
      <c r="K316" s="172">
        <v>3</v>
      </c>
      <c r="L316" s="172">
        <v>1</v>
      </c>
      <c r="M316" s="38">
        <f t="shared" si="61"/>
        <v>7</v>
      </c>
      <c r="N316" s="172">
        <v>1</v>
      </c>
      <c r="O316" s="172"/>
      <c r="P316" s="172"/>
      <c r="Q316" s="38">
        <f t="shared" si="62"/>
        <v>1</v>
      </c>
      <c r="R316" s="38">
        <f t="shared" si="63"/>
        <v>21</v>
      </c>
      <c r="T316" t="s">
        <v>2230</v>
      </c>
    </row>
    <row r="317" spans="1:20" ht="15.75" customHeight="1" x14ac:dyDescent="0.3">
      <c r="A317" s="410" t="s">
        <v>2628</v>
      </c>
      <c r="B317" s="172"/>
      <c r="C317" s="172"/>
      <c r="D317" s="172"/>
      <c r="E317" s="38">
        <f t="shared" si="59"/>
        <v>0</v>
      </c>
      <c r="F317" s="172"/>
      <c r="G317" s="172"/>
      <c r="H317" s="172"/>
      <c r="I317" s="38">
        <f t="shared" si="60"/>
        <v>0</v>
      </c>
      <c r="J317" s="172">
        <v>7</v>
      </c>
      <c r="K317" s="172">
        <v>45</v>
      </c>
      <c r="L317" s="172"/>
      <c r="M317" s="38">
        <f t="shared" si="61"/>
        <v>52</v>
      </c>
      <c r="N317" s="172"/>
      <c r="O317" s="172"/>
      <c r="P317" s="172"/>
      <c r="Q317" s="38">
        <f t="shared" si="62"/>
        <v>0</v>
      </c>
      <c r="R317" s="38">
        <f t="shared" si="63"/>
        <v>52</v>
      </c>
      <c r="T317" t="s">
        <v>2175</v>
      </c>
    </row>
    <row r="318" spans="1:20" ht="15.75" customHeight="1" x14ac:dyDescent="0.3">
      <c r="A318" s="256" t="s">
        <v>875</v>
      </c>
      <c r="B318" s="172">
        <v>32</v>
      </c>
      <c r="C318" s="172">
        <v>23</v>
      </c>
      <c r="D318" s="172">
        <v>41</v>
      </c>
      <c r="E318" s="38">
        <f t="shared" si="59"/>
        <v>96</v>
      </c>
      <c r="F318" s="172">
        <v>45</v>
      </c>
      <c r="G318" s="172">
        <v>58</v>
      </c>
      <c r="H318" s="172">
        <v>80</v>
      </c>
      <c r="I318" s="38">
        <f t="shared" si="60"/>
        <v>183</v>
      </c>
      <c r="J318" s="172">
        <v>59</v>
      </c>
      <c r="K318" s="172">
        <v>27</v>
      </c>
      <c r="L318" s="172"/>
      <c r="M318" s="38">
        <f t="shared" si="61"/>
        <v>86</v>
      </c>
      <c r="N318" s="172">
        <v>10</v>
      </c>
      <c r="O318" s="172">
        <v>20</v>
      </c>
      <c r="P318" s="172">
        <v>2</v>
      </c>
      <c r="Q318" s="38">
        <f t="shared" si="62"/>
        <v>32</v>
      </c>
      <c r="R318" s="38">
        <f t="shared" si="63"/>
        <v>397</v>
      </c>
      <c r="T318" t="s">
        <v>1193</v>
      </c>
    </row>
    <row r="319" spans="1:20" ht="15.75" customHeight="1" x14ac:dyDescent="0.3">
      <c r="A319" s="410" t="s">
        <v>2951</v>
      </c>
      <c r="B319" s="172">
        <v>1</v>
      </c>
      <c r="C319" s="172">
        <v>1</v>
      </c>
      <c r="D319" s="172">
        <v>1</v>
      </c>
      <c r="E319" s="38">
        <f t="shared" si="59"/>
        <v>3</v>
      </c>
      <c r="F319" s="172">
        <v>1</v>
      </c>
      <c r="G319" s="172">
        <v>2</v>
      </c>
      <c r="H319" s="172">
        <v>2</v>
      </c>
      <c r="I319" s="38">
        <f t="shared" si="60"/>
        <v>5</v>
      </c>
      <c r="J319" s="172">
        <v>2</v>
      </c>
      <c r="K319" s="172">
        <v>2</v>
      </c>
      <c r="L319" s="172">
        <v>1</v>
      </c>
      <c r="M319" s="38">
        <f t="shared" si="61"/>
        <v>5</v>
      </c>
      <c r="N319" s="172">
        <v>1</v>
      </c>
      <c r="O319" s="172">
        <v>1</v>
      </c>
      <c r="P319" s="172">
        <v>1</v>
      </c>
      <c r="Q319" s="38">
        <f t="shared" si="62"/>
        <v>3</v>
      </c>
      <c r="R319" s="38">
        <f t="shared" si="63"/>
        <v>16</v>
      </c>
      <c r="T319" t="s">
        <v>1193</v>
      </c>
    </row>
    <row r="320" spans="1:20" ht="15.75" customHeight="1" x14ac:dyDescent="0.3">
      <c r="A320" s="311" t="s">
        <v>644</v>
      </c>
      <c r="B320" s="172"/>
      <c r="C320" s="172"/>
      <c r="D320" s="172">
        <v>6</v>
      </c>
      <c r="E320" s="38">
        <f>SUM(B320:D320)</f>
        <v>6</v>
      </c>
      <c r="F320" s="172">
        <v>12</v>
      </c>
      <c r="G320" s="172">
        <v>20</v>
      </c>
      <c r="H320" s="172">
        <v>11</v>
      </c>
      <c r="I320" s="38">
        <f>SUM(F320:H320)</f>
        <v>43</v>
      </c>
      <c r="J320" s="172">
        <v>13</v>
      </c>
      <c r="K320" s="172"/>
      <c r="L320" s="172">
        <v>4</v>
      </c>
      <c r="M320" s="38">
        <f>SUM(J320:L320)</f>
        <v>17</v>
      </c>
      <c r="N320" s="172"/>
      <c r="O320" s="172"/>
      <c r="P320" s="172"/>
      <c r="Q320" s="38">
        <f>SUM(N320:P320)</f>
        <v>0</v>
      </c>
      <c r="R320" s="38">
        <f>+E320+I320+M320+Q320</f>
        <v>66</v>
      </c>
      <c r="T320" t="s">
        <v>1193</v>
      </c>
    </row>
    <row r="321" spans="1:20" ht="15.75" customHeight="1" x14ac:dyDescent="0.3">
      <c r="A321" s="256" t="s">
        <v>231</v>
      </c>
      <c r="B321" s="172"/>
      <c r="C321" s="172"/>
      <c r="D321" s="172"/>
      <c r="E321" s="38">
        <f t="shared" si="59"/>
        <v>0</v>
      </c>
      <c r="F321" s="172"/>
      <c r="G321" s="172"/>
      <c r="H321" s="172">
        <v>22</v>
      </c>
      <c r="I321" s="38">
        <f t="shared" si="60"/>
        <v>22</v>
      </c>
      <c r="J321" s="172">
        <v>12</v>
      </c>
      <c r="K321" s="172">
        <v>8</v>
      </c>
      <c r="L321" s="172">
        <v>0</v>
      </c>
      <c r="M321" s="38">
        <f t="shared" si="61"/>
        <v>20</v>
      </c>
      <c r="N321" s="172">
        <v>8</v>
      </c>
      <c r="O321" s="172">
        <v>4</v>
      </c>
      <c r="P321" s="172"/>
      <c r="Q321" s="38">
        <f t="shared" si="62"/>
        <v>12</v>
      </c>
      <c r="R321" s="38">
        <f t="shared" si="63"/>
        <v>54</v>
      </c>
      <c r="T321" t="s">
        <v>2179</v>
      </c>
    </row>
    <row r="322" spans="1:20" ht="15.75" customHeight="1" x14ac:dyDescent="0.3">
      <c r="A322" s="256" t="s">
        <v>2220</v>
      </c>
      <c r="B322" s="172">
        <v>27</v>
      </c>
      <c r="C322" s="172">
        <v>19</v>
      </c>
      <c r="D322" s="172">
        <v>36</v>
      </c>
      <c r="E322" s="38">
        <f t="shared" si="59"/>
        <v>82</v>
      </c>
      <c r="F322" s="172">
        <v>48</v>
      </c>
      <c r="G322" s="172">
        <v>67</v>
      </c>
      <c r="H322" s="172">
        <v>50</v>
      </c>
      <c r="I322" s="38">
        <f t="shared" si="60"/>
        <v>165</v>
      </c>
      <c r="J322" s="172">
        <v>22</v>
      </c>
      <c r="K322" s="172">
        <v>55</v>
      </c>
      <c r="L322" s="172">
        <v>136</v>
      </c>
      <c r="M322" s="38">
        <f t="shared" si="61"/>
        <v>213</v>
      </c>
      <c r="N322" s="172"/>
      <c r="O322" s="172">
        <v>2</v>
      </c>
      <c r="P322" s="172">
        <v>6</v>
      </c>
      <c r="Q322" s="38">
        <f t="shared" si="62"/>
        <v>8</v>
      </c>
      <c r="R322" s="38">
        <f t="shared" si="63"/>
        <v>468</v>
      </c>
      <c r="T322" t="s">
        <v>1193</v>
      </c>
    </row>
    <row r="323" spans="1:20" ht="15.75" customHeight="1" x14ac:dyDescent="0.3">
      <c r="A323" s="234" t="s">
        <v>2162</v>
      </c>
      <c r="B323" s="172"/>
      <c r="C323" s="172"/>
      <c r="D323" s="172"/>
      <c r="E323" s="38" t="s">
        <v>852</v>
      </c>
      <c r="F323" s="172"/>
      <c r="G323" s="172"/>
      <c r="H323" s="172"/>
      <c r="I323" s="38" t="s">
        <v>852</v>
      </c>
      <c r="J323" s="172"/>
      <c r="K323" s="172"/>
      <c r="L323" s="172"/>
      <c r="M323" s="38" t="s">
        <v>852</v>
      </c>
      <c r="N323" s="172"/>
      <c r="O323" s="172"/>
      <c r="P323" s="172"/>
      <c r="Q323" s="38" t="s">
        <v>852</v>
      </c>
      <c r="R323" s="38" t="s">
        <v>852</v>
      </c>
    </row>
    <row r="324" spans="1:20" ht="15.75" customHeight="1" x14ac:dyDescent="0.3">
      <c r="A324" s="410" t="s">
        <v>2552</v>
      </c>
      <c r="B324" s="10"/>
      <c r="C324" s="10"/>
      <c r="D324" s="10"/>
      <c r="E324" s="38">
        <f>SUM(B324:D324)</f>
        <v>0</v>
      </c>
      <c r="F324" s="10"/>
      <c r="G324" s="10"/>
      <c r="H324" s="10"/>
      <c r="I324" s="38">
        <f>SUM(F324:H324)</f>
        <v>0</v>
      </c>
      <c r="J324" s="10"/>
      <c r="K324" s="10"/>
      <c r="L324" s="10"/>
      <c r="M324" s="38">
        <f>SUM(J324:L324)</f>
        <v>0</v>
      </c>
      <c r="N324" s="10">
        <v>385</v>
      </c>
      <c r="O324" s="10"/>
      <c r="P324" s="10"/>
      <c r="Q324" s="38">
        <f>SUM(N324:P324)</f>
        <v>385</v>
      </c>
      <c r="R324" s="38">
        <f>+E324+I324+M324+Q324</f>
        <v>385</v>
      </c>
      <c r="T324" t="s">
        <v>2174</v>
      </c>
    </row>
    <row r="325" spans="1:20" ht="15.75" customHeight="1" x14ac:dyDescent="0.3">
      <c r="A325" s="410" t="s">
        <v>2553</v>
      </c>
      <c r="B325" s="10"/>
      <c r="C325" s="10"/>
      <c r="D325" s="10"/>
      <c r="E325" s="38">
        <f>SUM(B325:D325)</f>
        <v>0</v>
      </c>
      <c r="F325" s="10"/>
      <c r="G325" s="10">
        <v>2617</v>
      </c>
      <c r="H325" s="10">
        <v>3000</v>
      </c>
      <c r="I325" s="38">
        <f>SUM(F325:H325)</f>
        <v>5617</v>
      </c>
      <c r="J325" s="10">
        <v>3383</v>
      </c>
      <c r="K325" s="10"/>
      <c r="L325" s="10"/>
      <c r="M325" s="38">
        <f>SUM(J325:L325)</f>
        <v>3383</v>
      </c>
      <c r="N325" s="10"/>
      <c r="O325" s="10"/>
      <c r="P325" s="10"/>
      <c r="Q325" s="38">
        <f>SUM(N325:P325)</f>
        <v>0</v>
      </c>
      <c r="R325" s="38">
        <f>+E325+I325+M325+Q325</f>
        <v>9000</v>
      </c>
    </row>
    <row r="326" spans="1:20" ht="15.75" customHeight="1" x14ac:dyDescent="0.3">
      <c r="A326" s="410" t="s">
        <v>2554</v>
      </c>
      <c r="B326" s="10"/>
      <c r="C326" s="10"/>
      <c r="D326" s="10"/>
      <c r="E326" s="38">
        <f>SUM(B326:D326)</f>
        <v>0</v>
      </c>
      <c r="F326" s="10"/>
      <c r="G326" s="10"/>
      <c r="H326" s="10">
        <v>1088</v>
      </c>
      <c r="I326" s="38">
        <f>SUM(F326:H326)</f>
        <v>1088</v>
      </c>
      <c r="J326" s="10"/>
      <c r="K326" s="10">
        <v>1000</v>
      </c>
      <c r="L326" s="10"/>
      <c r="M326" s="38">
        <f>SUM(J326:L326)</f>
        <v>1000</v>
      </c>
      <c r="N326" s="10">
        <v>359</v>
      </c>
      <c r="O326" s="10">
        <v>553</v>
      </c>
      <c r="P326" s="10"/>
      <c r="Q326" s="38">
        <f>SUM(N326:P326)</f>
        <v>912</v>
      </c>
      <c r="R326" s="38">
        <f>+E326+I326+M326+Q326</f>
        <v>3000</v>
      </c>
      <c r="T326" t="s">
        <v>2175</v>
      </c>
    </row>
    <row r="327" spans="1:20" ht="15.75" customHeight="1" x14ac:dyDescent="0.3">
      <c r="A327" s="410" t="s">
        <v>2727</v>
      </c>
      <c r="B327" s="10">
        <v>0</v>
      </c>
      <c r="C327" s="10">
        <v>1500</v>
      </c>
      <c r="D327" s="10">
        <v>1000</v>
      </c>
      <c r="E327" s="38">
        <f>SUM(B327:D327)</f>
        <v>2500</v>
      </c>
      <c r="F327" s="10">
        <v>814</v>
      </c>
      <c r="G327" s="10"/>
      <c r="H327" s="10"/>
      <c r="I327" s="38">
        <f>SUM(F327:H327)</f>
        <v>814</v>
      </c>
      <c r="J327" s="10"/>
      <c r="K327" s="10"/>
      <c r="L327" s="10"/>
      <c r="M327" s="38">
        <f>SUM(J327:L327)</f>
        <v>0</v>
      </c>
      <c r="N327" s="10"/>
      <c r="O327" s="10"/>
      <c r="P327" s="10"/>
      <c r="Q327" s="38">
        <f>SUM(N327:P327)</f>
        <v>0</v>
      </c>
      <c r="R327" s="38">
        <f>+E327+I327+M327+Q327</f>
        <v>3314</v>
      </c>
      <c r="T327" t="s">
        <v>1358</v>
      </c>
    </row>
    <row r="328" spans="1:20" ht="16.5" customHeight="1" thickBot="1" x14ac:dyDescent="0.35">
      <c r="A328" s="234" t="s">
        <v>2164</v>
      </c>
      <c r="B328" s="172"/>
      <c r="C328" s="172"/>
      <c r="D328" s="172"/>
      <c r="E328" s="38" t="s">
        <v>852</v>
      </c>
      <c r="F328" s="172"/>
      <c r="G328" s="172"/>
      <c r="H328" s="172"/>
      <c r="I328" s="38" t="s">
        <v>852</v>
      </c>
      <c r="J328" s="172"/>
      <c r="K328" s="172"/>
      <c r="L328" s="172"/>
      <c r="M328" s="38" t="s">
        <v>852</v>
      </c>
      <c r="N328" s="172"/>
      <c r="O328" s="172"/>
      <c r="P328" s="172"/>
      <c r="Q328" s="38" t="s">
        <v>852</v>
      </c>
      <c r="R328" s="40" t="s">
        <v>852</v>
      </c>
    </row>
    <row r="329" spans="1:20" ht="16.5" customHeight="1" thickBot="1" x14ac:dyDescent="0.35">
      <c r="A329" s="276" t="s">
        <v>1218</v>
      </c>
      <c r="B329" s="45">
        <f>SUM(B290:B328)</f>
        <v>1114</v>
      </c>
      <c r="C329" s="46">
        <f>SUM(C290:C328)</f>
        <v>3343</v>
      </c>
      <c r="D329" s="46">
        <f>SUM(D290:D328)</f>
        <v>3955</v>
      </c>
      <c r="E329" s="37">
        <f>SUM(B329:D329)</f>
        <v>8412</v>
      </c>
      <c r="F329" s="46">
        <f>SUM(F290:F328)</f>
        <v>2075</v>
      </c>
      <c r="G329" s="46">
        <f>SUM(G290:G328)</f>
        <v>12707</v>
      </c>
      <c r="H329" s="46">
        <f>SUM(H290:H328)</f>
        <v>16125</v>
      </c>
      <c r="I329" s="37">
        <f>SUM(F329:H329)</f>
        <v>30907</v>
      </c>
      <c r="J329" s="46">
        <f>SUM(J290:J328)</f>
        <v>10111</v>
      </c>
      <c r="K329" s="46">
        <f>SUM(K290:K328)</f>
        <v>6970</v>
      </c>
      <c r="L329" s="46">
        <f>SUM(L290:L328)</f>
        <v>4496</v>
      </c>
      <c r="M329" s="37">
        <f>SUM(J329:L329)</f>
        <v>21577</v>
      </c>
      <c r="N329" s="46">
        <f>SUM(N290:N328)</f>
        <v>7466</v>
      </c>
      <c r="O329" s="46">
        <f>SUM(O290:O328)</f>
        <v>7695</v>
      </c>
      <c r="P329" s="46">
        <f>SUM(P290:P328)</f>
        <v>6952</v>
      </c>
      <c r="Q329" s="37">
        <f>SUM(N329:P329)</f>
        <v>22113</v>
      </c>
      <c r="R329" s="37">
        <f>+E329+I329+M329+Q329</f>
        <v>83009</v>
      </c>
      <c r="T329" s="230"/>
    </row>
    <row r="330" spans="1:20" ht="15.75" customHeight="1" x14ac:dyDescent="0.3">
      <c r="A330" s="234" t="s">
        <v>1172</v>
      </c>
      <c r="B330" s="172"/>
      <c r="C330" s="172"/>
      <c r="D330" s="172"/>
      <c r="E330" s="38" t="s">
        <v>852</v>
      </c>
      <c r="F330" s="172"/>
      <c r="G330" s="172"/>
      <c r="H330" s="172"/>
      <c r="I330" s="38" t="s">
        <v>852</v>
      </c>
      <c r="J330" s="172"/>
      <c r="K330" s="172"/>
      <c r="L330" s="172"/>
      <c r="M330" s="38" t="s">
        <v>852</v>
      </c>
      <c r="N330" s="172"/>
      <c r="O330" s="172"/>
      <c r="P330" s="172"/>
      <c r="Q330" s="38" t="s">
        <v>852</v>
      </c>
      <c r="R330" s="38" t="s">
        <v>852</v>
      </c>
    </row>
    <row r="331" spans="1:20" ht="15.75" customHeight="1" x14ac:dyDescent="0.3">
      <c r="A331" s="234" t="s">
        <v>1025</v>
      </c>
      <c r="B331" s="172"/>
      <c r="C331" s="172"/>
      <c r="D331" s="172"/>
      <c r="E331" s="38"/>
      <c r="F331" s="172"/>
      <c r="G331" s="172"/>
      <c r="H331" s="172"/>
      <c r="I331" s="38"/>
      <c r="J331" s="172"/>
      <c r="K331" s="172"/>
      <c r="L331" s="172"/>
      <c r="M331" s="38"/>
      <c r="N331" s="172"/>
      <c r="O331" s="172"/>
      <c r="P331" s="172"/>
      <c r="Q331" s="38"/>
      <c r="R331" s="38"/>
    </row>
    <row r="332" spans="1:20" ht="15.75" customHeight="1" x14ac:dyDescent="0.3">
      <c r="A332" s="234" t="s">
        <v>2409</v>
      </c>
      <c r="B332" s="172"/>
      <c r="C332" s="172"/>
      <c r="D332" s="172"/>
      <c r="E332" s="38" t="s">
        <v>852</v>
      </c>
      <c r="F332" s="172"/>
      <c r="G332" s="172"/>
      <c r="H332" s="172"/>
      <c r="I332" s="38" t="s">
        <v>852</v>
      </c>
      <c r="J332" s="172"/>
      <c r="K332" s="172"/>
      <c r="L332" s="172"/>
      <c r="M332" s="38" t="s">
        <v>852</v>
      </c>
      <c r="N332" s="172"/>
      <c r="O332" s="172"/>
      <c r="P332" s="172"/>
      <c r="Q332" s="38" t="s">
        <v>852</v>
      </c>
      <c r="R332" s="38" t="s">
        <v>852</v>
      </c>
    </row>
    <row r="333" spans="1:20" ht="15.75" customHeight="1" x14ac:dyDescent="0.3">
      <c r="A333" s="256" t="s">
        <v>2099</v>
      </c>
      <c r="B333" s="10">
        <v>42</v>
      </c>
      <c r="C333" s="10">
        <v>52</v>
      </c>
      <c r="D333" s="10">
        <v>83</v>
      </c>
      <c r="E333" s="38">
        <f>SUM(B333:D333)</f>
        <v>177</v>
      </c>
      <c r="F333" s="10">
        <v>2659</v>
      </c>
      <c r="G333" s="10">
        <v>1575</v>
      </c>
      <c r="H333" s="10">
        <v>3230</v>
      </c>
      <c r="I333" s="38">
        <f>SUM(F333:H333)</f>
        <v>7464</v>
      </c>
      <c r="J333" s="10">
        <v>3569</v>
      </c>
      <c r="K333" s="10">
        <v>3938</v>
      </c>
      <c r="L333" s="10">
        <v>2707</v>
      </c>
      <c r="M333" s="38">
        <f>SUM(J333:L333)</f>
        <v>10214</v>
      </c>
      <c r="N333" s="10">
        <v>1845</v>
      </c>
      <c r="O333" s="10">
        <v>760</v>
      </c>
      <c r="P333" s="10">
        <v>1488</v>
      </c>
      <c r="Q333" s="38">
        <f>SUM(N333:P333)</f>
        <v>4093</v>
      </c>
      <c r="R333" s="38">
        <f t="shared" ref="R333:R340" si="64">+E333+I333+M333+Q333</f>
        <v>21948</v>
      </c>
      <c r="T333" t="s">
        <v>2174</v>
      </c>
    </row>
    <row r="334" spans="1:20" ht="15.75" customHeight="1" x14ac:dyDescent="0.3">
      <c r="A334" s="256" t="s">
        <v>357</v>
      </c>
      <c r="B334" s="172"/>
      <c r="C334" s="172"/>
      <c r="D334" s="172">
        <v>67</v>
      </c>
      <c r="E334" s="38">
        <f>SUM(B334:D334)</f>
        <v>67</v>
      </c>
      <c r="F334" s="172">
        <v>42</v>
      </c>
      <c r="G334" s="172">
        <v>49</v>
      </c>
      <c r="H334" s="172">
        <v>17</v>
      </c>
      <c r="I334" s="38">
        <f>SUM(F334:H334)</f>
        <v>108</v>
      </c>
      <c r="J334" s="172">
        <v>41</v>
      </c>
      <c r="K334" s="172">
        <v>41</v>
      </c>
      <c r="L334" s="172">
        <v>25</v>
      </c>
      <c r="M334" s="38">
        <f>SUM(J334:L334)</f>
        <v>107</v>
      </c>
      <c r="N334" s="172"/>
      <c r="O334" s="172"/>
      <c r="P334" s="172"/>
      <c r="Q334" s="38">
        <f>SUM(N334:P334)</f>
        <v>0</v>
      </c>
      <c r="R334" s="38">
        <f t="shared" si="64"/>
        <v>282</v>
      </c>
      <c r="T334" t="s">
        <v>2175</v>
      </c>
    </row>
    <row r="335" spans="1:20" ht="15.75" customHeight="1" x14ac:dyDescent="0.3">
      <c r="A335" s="311" t="s">
        <v>909</v>
      </c>
      <c r="B335" s="172">
        <v>846</v>
      </c>
      <c r="C335" s="172">
        <v>2265</v>
      </c>
      <c r="D335" s="172">
        <v>6590</v>
      </c>
      <c r="E335" s="38">
        <f t="shared" ref="E335:E340" si="65">SUM(B335:D335)</f>
        <v>9701</v>
      </c>
      <c r="F335" s="172">
        <v>7708</v>
      </c>
      <c r="G335" s="172">
        <v>9207</v>
      </c>
      <c r="H335" s="172">
        <v>9282</v>
      </c>
      <c r="I335" s="38">
        <f t="shared" ref="I335:I340" si="66">SUM(F335:H335)</f>
        <v>26197</v>
      </c>
      <c r="J335" s="172">
        <v>1875</v>
      </c>
      <c r="K335" s="172">
        <v>3179</v>
      </c>
      <c r="L335" s="172"/>
      <c r="M335" s="38">
        <f t="shared" ref="M335:M340" si="67">SUM(J335:L335)</f>
        <v>5054</v>
      </c>
      <c r="N335" s="172"/>
      <c r="O335" s="172"/>
      <c r="P335" s="172">
        <v>44</v>
      </c>
      <c r="Q335" s="38">
        <f t="shared" ref="Q335:Q340" si="68">SUM(N335:P335)</f>
        <v>44</v>
      </c>
      <c r="R335" s="38">
        <f t="shared" si="64"/>
        <v>40996</v>
      </c>
      <c r="T335" t="s">
        <v>2776</v>
      </c>
    </row>
    <row r="336" spans="1:20" ht="15.75" customHeight="1" x14ac:dyDescent="0.3">
      <c r="A336" s="410" t="s">
        <v>2539</v>
      </c>
      <c r="B336" s="172">
        <v>3054</v>
      </c>
      <c r="C336" s="172">
        <v>7305</v>
      </c>
      <c r="D336" s="172">
        <v>8045</v>
      </c>
      <c r="E336" s="38">
        <f t="shared" si="65"/>
        <v>18404</v>
      </c>
      <c r="F336" s="356">
        <v>17442</v>
      </c>
      <c r="G336" s="172">
        <v>20155</v>
      </c>
      <c r="H336" s="172">
        <v>21264</v>
      </c>
      <c r="I336" s="38">
        <f t="shared" si="66"/>
        <v>58861</v>
      </c>
      <c r="J336" s="172">
        <v>12298</v>
      </c>
      <c r="K336" s="172">
        <v>10785</v>
      </c>
      <c r="L336" s="172">
        <v>7461</v>
      </c>
      <c r="M336" s="38">
        <f t="shared" si="67"/>
        <v>30544</v>
      </c>
      <c r="N336" s="172">
        <v>9953</v>
      </c>
      <c r="O336" s="172">
        <v>4219</v>
      </c>
      <c r="P336" s="172">
        <v>2565</v>
      </c>
      <c r="Q336" s="38">
        <f t="shared" si="68"/>
        <v>16737</v>
      </c>
      <c r="R336" s="38">
        <f t="shared" si="64"/>
        <v>124546</v>
      </c>
      <c r="T336" t="s">
        <v>2174</v>
      </c>
    </row>
    <row r="337" spans="1:20" ht="15.75" customHeight="1" x14ac:dyDescent="0.3">
      <c r="A337" s="410" t="s">
        <v>2728</v>
      </c>
      <c r="B337" s="172">
        <v>2324</v>
      </c>
      <c r="C337" s="172">
        <v>3633</v>
      </c>
      <c r="D337" s="172">
        <v>3124</v>
      </c>
      <c r="E337" s="38">
        <f t="shared" si="65"/>
        <v>9081</v>
      </c>
      <c r="F337" s="172">
        <v>3650</v>
      </c>
      <c r="G337" s="172">
        <v>3250</v>
      </c>
      <c r="H337" s="172">
        <v>2200</v>
      </c>
      <c r="I337" s="38">
        <f t="shared" si="66"/>
        <v>9100</v>
      </c>
      <c r="J337" s="172">
        <v>3512</v>
      </c>
      <c r="K337" s="172">
        <v>2806</v>
      </c>
      <c r="L337" s="172">
        <v>3973</v>
      </c>
      <c r="M337" s="38">
        <f t="shared" si="67"/>
        <v>10291</v>
      </c>
      <c r="N337" s="172">
        <v>1868</v>
      </c>
      <c r="O337" s="172"/>
      <c r="P337" s="172"/>
      <c r="Q337" s="38">
        <f t="shared" si="68"/>
        <v>1868</v>
      </c>
      <c r="R337" s="38">
        <f t="shared" si="64"/>
        <v>30340</v>
      </c>
      <c r="T337" t="s">
        <v>2777</v>
      </c>
    </row>
    <row r="338" spans="1:20" ht="15.75" customHeight="1" x14ac:dyDescent="0.3">
      <c r="A338" s="410" t="s">
        <v>2814</v>
      </c>
      <c r="B338" s="172">
        <v>596</v>
      </c>
      <c r="C338" s="172">
        <v>1899</v>
      </c>
      <c r="D338" s="172">
        <v>2713</v>
      </c>
      <c r="E338" s="38">
        <f t="shared" si="65"/>
        <v>5208</v>
      </c>
      <c r="F338" s="172">
        <v>3678</v>
      </c>
      <c r="G338" s="172">
        <v>3114</v>
      </c>
      <c r="H338" s="172"/>
      <c r="I338" s="38">
        <f t="shared" si="66"/>
        <v>6792</v>
      </c>
      <c r="J338" s="172"/>
      <c r="K338" s="172"/>
      <c r="L338" s="172"/>
      <c r="M338" s="38">
        <f t="shared" si="67"/>
        <v>0</v>
      </c>
      <c r="N338" s="172"/>
      <c r="O338" s="172"/>
      <c r="P338" s="172">
        <v>6</v>
      </c>
      <c r="Q338" s="38">
        <f t="shared" si="68"/>
        <v>6</v>
      </c>
      <c r="R338" s="38">
        <f t="shared" si="64"/>
        <v>12006</v>
      </c>
      <c r="T338" t="s">
        <v>2175</v>
      </c>
    </row>
    <row r="339" spans="1:20" ht="15.75" customHeight="1" x14ac:dyDescent="0.3">
      <c r="A339" s="410" t="s">
        <v>2779</v>
      </c>
      <c r="B339" s="172">
        <v>1631</v>
      </c>
      <c r="C339" s="172">
        <v>2894</v>
      </c>
      <c r="D339" s="172">
        <v>475</v>
      </c>
      <c r="E339" s="38">
        <f t="shared" si="65"/>
        <v>5000</v>
      </c>
      <c r="F339" s="172"/>
      <c r="G339" s="172"/>
      <c r="H339" s="172"/>
      <c r="I339" s="38">
        <f t="shared" si="66"/>
        <v>0</v>
      </c>
      <c r="J339" s="172"/>
      <c r="K339" s="172"/>
      <c r="L339" s="172"/>
      <c r="M339" s="38">
        <f t="shared" si="67"/>
        <v>0</v>
      </c>
      <c r="N339" s="172"/>
      <c r="O339" s="172"/>
      <c r="P339" s="172"/>
      <c r="Q339" s="38">
        <f t="shared" si="68"/>
        <v>0</v>
      </c>
      <c r="R339" s="38">
        <f t="shared" si="64"/>
        <v>5000</v>
      </c>
      <c r="T339" t="s">
        <v>2178</v>
      </c>
    </row>
    <row r="340" spans="1:20" ht="15.75" customHeight="1" x14ac:dyDescent="0.3">
      <c r="A340" s="256" t="s">
        <v>1513</v>
      </c>
      <c r="B340" s="172">
        <v>0</v>
      </c>
      <c r="C340" s="172">
        <v>9</v>
      </c>
      <c r="D340" s="172">
        <v>0</v>
      </c>
      <c r="E340" s="38">
        <f t="shared" si="65"/>
        <v>9</v>
      </c>
      <c r="F340" s="172">
        <v>14</v>
      </c>
      <c r="G340" s="172">
        <v>35</v>
      </c>
      <c r="H340" s="172">
        <v>1681</v>
      </c>
      <c r="I340" s="38">
        <f t="shared" si="66"/>
        <v>1730</v>
      </c>
      <c r="J340" s="172">
        <v>2967</v>
      </c>
      <c r="K340" s="172">
        <v>2475</v>
      </c>
      <c r="L340" s="172">
        <v>1000</v>
      </c>
      <c r="M340" s="38">
        <f t="shared" si="67"/>
        <v>6442</v>
      </c>
      <c r="N340" s="172">
        <v>2161</v>
      </c>
      <c r="O340" s="172">
        <v>785</v>
      </c>
      <c r="P340" s="172">
        <v>116</v>
      </c>
      <c r="Q340" s="38">
        <f t="shared" si="68"/>
        <v>3062</v>
      </c>
      <c r="R340" s="38">
        <f t="shared" si="64"/>
        <v>11243</v>
      </c>
    </row>
    <row r="341" spans="1:20" ht="15.75" customHeight="1" thickBot="1" x14ac:dyDescent="0.35">
      <c r="A341" s="234" t="s">
        <v>2165</v>
      </c>
      <c r="B341" s="172"/>
      <c r="C341" s="172"/>
      <c r="D341" s="172"/>
      <c r="E341" s="38" t="s">
        <v>852</v>
      </c>
      <c r="F341" s="172"/>
      <c r="G341" s="172"/>
      <c r="H341" s="172"/>
      <c r="I341" s="38" t="s">
        <v>852</v>
      </c>
      <c r="J341" s="172"/>
      <c r="K341" s="172"/>
      <c r="L341" s="172"/>
      <c r="M341" s="38" t="s">
        <v>852</v>
      </c>
      <c r="N341" s="172"/>
      <c r="O341" s="172"/>
      <c r="P341" s="172"/>
      <c r="Q341" s="38" t="s">
        <v>852</v>
      </c>
      <c r="R341" s="38" t="s">
        <v>852</v>
      </c>
    </row>
    <row r="342" spans="1:20" ht="16.5" customHeight="1" thickBot="1" x14ac:dyDescent="0.35">
      <c r="A342" s="43" t="s">
        <v>1219</v>
      </c>
      <c r="B342" s="45">
        <f>SUM(B330:B341)</f>
        <v>8493</v>
      </c>
      <c r="C342" s="46">
        <f>SUM(C330:C341)</f>
        <v>18057</v>
      </c>
      <c r="D342" s="46">
        <f>SUM(D330:D341)</f>
        <v>21097</v>
      </c>
      <c r="E342" s="37">
        <f>SUM(B342:D342)</f>
        <v>47647</v>
      </c>
      <c r="F342" s="46">
        <f>SUM(F330:F341)</f>
        <v>35193</v>
      </c>
      <c r="G342" s="46">
        <f>SUM(G330:G341)</f>
        <v>37385</v>
      </c>
      <c r="H342" s="46">
        <f>SUM(H330:H341)</f>
        <v>37674</v>
      </c>
      <c r="I342" s="37">
        <f>SUM(F342:H342)</f>
        <v>110252</v>
      </c>
      <c r="J342" s="46">
        <f>SUM(J330:J341)</f>
        <v>24262</v>
      </c>
      <c r="K342" s="46">
        <f>SUM(K330:K341)</f>
        <v>23224</v>
      </c>
      <c r="L342" s="46">
        <f>SUM(L330:L341)</f>
        <v>15166</v>
      </c>
      <c r="M342" s="37">
        <f>SUM(J342:L342)</f>
        <v>62652</v>
      </c>
      <c r="N342" s="46">
        <f>SUM(N330:N341)</f>
        <v>15827</v>
      </c>
      <c r="O342" s="46">
        <f>SUM(O330:O341)</f>
        <v>5764</v>
      </c>
      <c r="P342" s="46">
        <f>SUM(P330:P341)</f>
        <v>4219</v>
      </c>
      <c r="Q342" s="37">
        <f>SUM(N342:P342)</f>
        <v>25810</v>
      </c>
      <c r="R342" s="37">
        <f>+E342+I342+M342+Q342</f>
        <v>246361</v>
      </c>
    </row>
    <row r="343" spans="1:20" ht="15.75" customHeight="1" x14ac:dyDescent="0.3">
      <c r="A343" s="234" t="s">
        <v>2166</v>
      </c>
      <c r="B343" s="172"/>
      <c r="C343" s="172"/>
      <c r="D343" s="172"/>
      <c r="E343" s="38" t="s">
        <v>852</v>
      </c>
      <c r="F343" s="172"/>
      <c r="G343" s="172"/>
      <c r="H343" s="172"/>
      <c r="I343" s="38" t="s">
        <v>852</v>
      </c>
      <c r="J343" s="172"/>
      <c r="K343" s="172"/>
      <c r="L343" s="172"/>
      <c r="M343" s="38" t="s">
        <v>852</v>
      </c>
      <c r="N343" s="172"/>
      <c r="O343" s="172"/>
      <c r="P343" s="172"/>
      <c r="Q343" s="38" t="s">
        <v>852</v>
      </c>
      <c r="R343" s="38" t="s">
        <v>852</v>
      </c>
    </row>
    <row r="344" spans="1:20" ht="15.75" customHeight="1" x14ac:dyDescent="0.3">
      <c r="A344" s="234" t="s">
        <v>1245</v>
      </c>
      <c r="B344" s="172"/>
      <c r="C344" s="172"/>
      <c r="D344" s="172"/>
      <c r="E344" s="38" t="s">
        <v>852</v>
      </c>
      <c r="F344" s="172"/>
      <c r="G344" s="172"/>
      <c r="H344" s="172"/>
      <c r="I344" s="38" t="s">
        <v>852</v>
      </c>
      <c r="J344" s="172"/>
      <c r="K344" s="172"/>
      <c r="L344" s="172"/>
      <c r="M344" s="38" t="s">
        <v>852</v>
      </c>
      <c r="N344" s="172"/>
      <c r="O344" s="172"/>
      <c r="P344" s="172"/>
      <c r="Q344" s="38" t="s">
        <v>852</v>
      </c>
      <c r="R344" s="38" t="s">
        <v>852</v>
      </c>
    </row>
    <row r="345" spans="1:20" ht="15.75" customHeight="1" x14ac:dyDescent="0.3">
      <c r="A345" s="256" t="s">
        <v>727</v>
      </c>
      <c r="B345" s="172">
        <v>3917</v>
      </c>
      <c r="C345" s="172">
        <v>4988</v>
      </c>
      <c r="D345" s="172">
        <v>7358</v>
      </c>
      <c r="E345" s="38">
        <f>SUM(B345:D345)</f>
        <v>16263</v>
      </c>
      <c r="F345" s="172">
        <v>9468</v>
      </c>
      <c r="G345" s="172">
        <v>10780</v>
      </c>
      <c r="H345" s="172">
        <v>12428</v>
      </c>
      <c r="I345" s="38">
        <f>SUM(F345:H345)</f>
        <v>32676</v>
      </c>
      <c r="J345" s="172">
        <v>6449</v>
      </c>
      <c r="K345" s="172">
        <v>6253</v>
      </c>
      <c r="L345" s="172">
        <v>3543</v>
      </c>
      <c r="M345" s="38">
        <f>SUM(J345:L345)</f>
        <v>16245</v>
      </c>
      <c r="N345" s="172">
        <v>2894</v>
      </c>
      <c r="O345" s="172">
        <v>2852</v>
      </c>
      <c r="P345" s="172">
        <v>1722</v>
      </c>
      <c r="Q345" s="38">
        <f>SUM(N345:P345)</f>
        <v>7468</v>
      </c>
      <c r="R345" s="38">
        <f>+E345+I345+M345+Q345</f>
        <v>72652</v>
      </c>
      <c r="T345" t="s">
        <v>2174</v>
      </c>
    </row>
    <row r="346" spans="1:20" ht="15.75" customHeight="1" x14ac:dyDescent="0.3">
      <c r="A346" s="410" t="s">
        <v>2618</v>
      </c>
      <c r="B346" s="10"/>
      <c r="C346" s="10"/>
      <c r="D346" s="10"/>
      <c r="E346" s="38">
        <f>SUM(B346:D346)</f>
        <v>0</v>
      </c>
      <c r="F346" s="10"/>
      <c r="G346" s="10">
        <v>5953</v>
      </c>
      <c r="H346" s="10">
        <v>10715</v>
      </c>
      <c r="I346" s="38">
        <f>SUM(F346:H346)</f>
        <v>16668</v>
      </c>
      <c r="J346" s="10">
        <v>10817</v>
      </c>
      <c r="K346" s="10">
        <v>13938</v>
      </c>
      <c r="L346" s="10">
        <v>4739</v>
      </c>
      <c r="M346" s="38">
        <f>SUM(J346:L346)</f>
        <v>29494</v>
      </c>
      <c r="N346" s="10">
        <v>4550</v>
      </c>
      <c r="O346" s="10">
        <v>4206</v>
      </c>
      <c r="P346" s="10">
        <v>1925</v>
      </c>
      <c r="Q346" s="38">
        <f>SUM(N346:P346)</f>
        <v>10681</v>
      </c>
      <c r="R346" s="38">
        <f>+E346+I346+M346+Q346</f>
        <v>56843</v>
      </c>
      <c r="T346" t="s">
        <v>2176</v>
      </c>
    </row>
    <row r="347" spans="1:20" ht="15.75" customHeight="1" x14ac:dyDescent="0.3">
      <c r="A347" s="234" t="s">
        <v>1711</v>
      </c>
      <c r="B347" s="172"/>
      <c r="C347" s="172"/>
      <c r="D347" s="172"/>
      <c r="E347" s="38" t="s">
        <v>852</v>
      </c>
      <c r="F347" s="172"/>
      <c r="G347" s="172"/>
      <c r="H347" s="172"/>
      <c r="I347" s="38" t="s">
        <v>852</v>
      </c>
      <c r="J347" s="172"/>
      <c r="K347" s="172"/>
      <c r="L347" s="172"/>
      <c r="M347" s="38" t="s">
        <v>852</v>
      </c>
      <c r="N347" s="172"/>
      <c r="O347" s="172"/>
      <c r="P347" s="172"/>
      <c r="Q347" s="38" t="s">
        <v>852</v>
      </c>
      <c r="R347" s="38" t="s">
        <v>852</v>
      </c>
    </row>
    <row r="348" spans="1:20" ht="15.75" customHeight="1" x14ac:dyDescent="0.3">
      <c r="A348" s="410" t="s">
        <v>2966</v>
      </c>
      <c r="B348" s="10">
        <v>19</v>
      </c>
      <c r="C348" s="10"/>
      <c r="D348" s="10"/>
      <c r="E348" s="38">
        <f>SUM(B348:D348)</f>
        <v>19</v>
      </c>
      <c r="F348" s="10"/>
      <c r="G348" s="10"/>
      <c r="H348" s="10"/>
      <c r="I348" s="38">
        <f>SUM(F348:H348)</f>
        <v>0</v>
      </c>
      <c r="J348" s="10"/>
      <c r="K348" s="10"/>
      <c r="L348" s="10"/>
      <c r="M348" s="38">
        <f>SUM(J348:L348)</f>
        <v>0</v>
      </c>
      <c r="N348" s="10"/>
      <c r="O348" s="10"/>
      <c r="P348" s="10"/>
      <c r="Q348" s="38">
        <f>SUM(N348:P348)</f>
        <v>0</v>
      </c>
      <c r="R348" s="38">
        <f>+E348+I348+M348+Q348</f>
        <v>19</v>
      </c>
      <c r="T348" t="s">
        <v>2780</v>
      </c>
    </row>
    <row r="349" spans="1:20" ht="15.75" customHeight="1" x14ac:dyDescent="0.3">
      <c r="A349" s="410" t="s">
        <v>2781</v>
      </c>
      <c r="B349" s="172">
        <v>680</v>
      </c>
      <c r="C349" s="172">
        <v>765</v>
      </c>
      <c r="D349" s="172"/>
      <c r="E349" s="38">
        <f t="shared" ref="E349:E377" si="69">SUM(B349:D349)</f>
        <v>1445</v>
      </c>
      <c r="F349" s="172"/>
      <c r="G349" s="172"/>
      <c r="H349" s="172"/>
      <c r="I349" s="38">
        <f t="shared" ref="I349:I377" si="70">SUM(F349:H349)</f>
        <v>0</v>
      </c>
      <c r="J349" s="172"/>
      <c r="K349" s="172"/>
      <c r="L349" s="172"/>
      <c r="M349" s="38">
        <f t="shared" ref="M349:M377" si="71">SUM(J349:L349)</f>
        <v>0</v>
      </c>
      <c r="N349" s="172"/>
      <c r="O349" s="172"/>
      <c r="P349" s="172"/>
      <c r="Q349" s="38">
        <f t="shared" ref="Q349:Q377" si="72">SUM(N349:P349)</f>
        <v>0</v>
      </c>
      <c r="R349" s="38">
        <f>+E349+I349+M349+Q349</f>
        <v>1445</v>
      </c>
      <c r="T349" t="s">
        <v>2780</v>
      </c>
    </row>
    <row r="350" spans="1:20" ht="15.75" customHeight="1" x14ac:dyDescent="0.3">
      <c r="A350" s="410" t="s">
        <v>2782</v>
      </c>
      <c r="B350" s="172"/>
      <c r="C350" s="172"/>
      <c r="D350" s="172"/>
      <c r="E350" s="38">
        <f t="shared" si="69"/>
        <v>0</v>
      </c>
      <c r="F350" s="172"/>
      <c r="G350" s="172"/>
      <c r="H350" s="172"/>
      <c r="I350" s="38">
        <f t="shared" si="70"/>
        <v>0</v>
      </c>
      <c r="J350" s="172"/>
      <c r="K350" s="172"/>
      <c r="L350" s="172"/>
      <c r="M350" s="38">
        <f t="shared" si="71"/>
        <v>0</v>
      </c>
      <c r="N350" s="172"/>
      <c r="O350" s="172"/>
      <c r="P350" s="172"/>
      <c r="Q350" s="38">
        <f t="shared" si="72"/>
        <v>0</v>
      </c>
      <c r="R350" s="38">
        <f>+E350+I350+M350+Q350</f>
        <v>0</v>
      </c>
      <c r="T350" t="s">
        <v>1358</v>
      </c>
    </row>
    <row r="351" spans="1:20" ht="15.75" customHeight="1" x14ac:dyDescent="0.3">
      <c r="A351" s="256" t="s">
        <v>1150</v>
      </c>
      <c r="B351" s="172"/>
      <c r="C351" s="172"/>
      <c r="D351" s="172"/>
      <c r="E351" s="38">
        <f t="shared" si="69"/>
        <v>0</v>
      </c>
      <c r="F351" s="172">
        <v>627</v>
      </c>
      <c r="G351" s="172"/>
      <c r="H351" s="172"/>
      <c r="I351" s="38">
        <f t="shared" si="70"/>
        <v>627</v>
      </c>
      <c r="J351" s="172"/>
      <c r="K351" s="172"/>
      <c r="L351" s="172"/>
      <c r="M351" s="38">
        <f t="shared" si="71"/>
        <v>0</v>
      </c>
      <c r="N351" s="172"/>
      <c r="O351" s="172"/>
      <c r="P351" s="172"/>
      <c r="Q351" s="38">
        <f t="shared" si="72"/>
        <v>0</v>
      </c>
      <c r="R351" s="38">
        <f t="shared" ref="R351:R376" si="73">+E351+I351+M351+Q351</f>
        <v>627</v>
      </c>
    </row>
    <row r="352" spans="1:20" ht="15.75" customHeight="1" x14ac:dyDescent="0.3">
      <c r="A352" s="410" t="s">
        <v>2598</v>
      </c>
      <c r="B352" s="172"/>
      <c r="C352" s="172"/>
      <c r="D352" s="172"/>
      <c r="E352" s="38">
        <f t="shared" si="69"/>
        <v>0</v>
      </c>
      <c r="F352" s="172">
        <v>4473</v>
      </c>
      <c r="G352" s="172">
        <v>6296</v>
      </c>
      <c r="H352" s="172">
        <v>7089</v>
      </c>
      <c r="I352" s="38">
        <f>SUM(F352:H352)</f>
        <v>17858</v>
      </c>
      <c r="J352" s="172">
        <v>2127</v>
      </c>
      <c r="K352" s="172">
        <v>5355</v>
      </c>
      <c r="L352" s="172">
        <v>2660</v>
      </c>
      <c r="M352" s="38">
        <f>SUM(J352:L352)</f>
        <v>10142</v>
      </c>
      <c r="N352" s="172"/>
      <c r="O352" s="172"/>
      <c r="P352" s="172"/>
      <c r="Q352" s="38">
        <f>SUM(N352:P352)</f>
        <v>0</v>
      </c>
      <c r="R352" s="38">
        <f>+E352+I352+M352+Q352</f>
        <v>28000</v>
      </c>
      <c r="T352" t="s">
        <v>2178</v>
      </c>
    </row>
    <row r="353" spans="1:20" ht="15.75" customHeight="1" x14ac:dyDescent="0.3">
      <c r="A353" s="410" t="s">
        <v>2837</v>
      </c>
      <c r="B353" s="10"/>
      <c r="C353" s="10"/>
      <c r="D353" s="10"/>
      <c r="E353" s="38">
        <f t="shared" si="69"/>
        <v>0</v>
      </c>
      <c r="F353" s="10"/>
      <c r="G353" s="10"/>
      <c r="H353" s="10"/>
      <c r="I353" s="38">
        <f t="shared" si="70"/>
        <v>0</v>
      </c>
      <c r="J353" s="10"/>
      <c r="K353" s="10"/>
      <c r="L353" s="10"/>
      <c r="M353" s="38">
        <f t="shared" si="71"/>
        <v>0</v>
      </c>
      <c r="N353" s="10"/>
      <c r="O353" s="10"/>
      <c r="P353" s="10"/>
      <c r="Q353" s="38">
        <f t="shared" si="72"/>
        <v>0</v>
      </c>
      <c r="R353" s="38">
        <f t="shared" si="73"/>
        <v>0</v>
      </c>
      <c r="T353" t="s">
        <v>2174</v>
      </c>
    </row>
    <row r="354" spans="1:20" ht="15.75" customHeight="1" x14ac:dyDescent="0.3">
      <c r="A354" s="410" t="s">
        <v>2729</v>
      </c>
      <c r="B354" s="10"/>
      <c r="C354" s="10"/>
      <c r="D354" s="10">
        <v>3000</v>
      </c>
      <c r="E354" s="38">
        <f t="shared" si="69"/>
        <v>3000</v>
      </c>
      <c r="F354" s="10">
        <v>3500</v>
      </c>
      <c r="G354" s="10">
        <v>2000</v>
      </c>
      <c r="H354" s="10">
        <v>3000</v>
      </c>
      <c r="I354" s="38">
        <f t="shared" si="70"/>
        <v>8500</v>
      </c>
      <c r="J354" s="10">
        <v>2000</v>
      </c>
      <c r="K354" s="10">
        <v>3675</v>
      </c>
      <c r="L354" s="10"/>
      <c r="M354" s="38">
        <f t="shared" si="71"/>
        <v>5675</v>
      </c>
      <c r="N354" s="10">
        <v>1699</v>
      </c>
      <c r="O354" s="10">
        <v>1126</v>
      </c>
      <c r="P354" s="10"/>
      <c r="Q354" s="38">
        <f t="shared" si="72"/>
        <v>2825</v>
      </c>
      <c r="R354" s="38">
        <f t="shared" si="73"/>
        <v>20000</v>
      </c>
    </row>
    <row r="355" spans="1:20" ht="15.75" customHeight="1" x14ac:dyDescent="0.3">
      <c r="A355" s="311" t="s">
        <v>464</v>
      </c>
      <c r="B355" s="10"/>
      <c r="C355" s="10">
        <v>2035</v>
      </c>
      <c r="D355" s="10">
        <v>3264</v>
      </c>
      <c r="E355" s="38">
        <f t="shared" si="69"/>
        <v>5299</v>
      </c>
      <c r="F355" s="10">
        <v>4787</v>
      </c>
      <c r="G355" s="10">
        <v>5695</v>
      </c>
      <c r="H355" s="10">
        <v>8315</v>
      </c>
      <c r="I355" s="38">
        <f t="shared" si="70"/>
        <v>18797</v>
      </c>
      <c r="J355" s="10">
        <v>2660</v>
      </c>
      <c r="K355" s="10">
        <v>2455</v>
      </c>
      <c r="L355" s="10">
        <v>2500</v>
      </c>
      <c r="M355" s="38">
        <f t="shared" si="71"/>
        <v>7615</v>
      </c>
      <c r="N355" s="10">
        <v>1766</v>
      </c>
      <c r="O355" s="10">
        <v>1317</v>
      </c>
      <c r="P355" s="10">
        <v>206</v>
      </c>
      <c r="Q355" s="38">
        <f t="shared" si="72"/>
        <v>3289</v>
      </c>
      <c r="R355" s="38">
        <f t="shared" si="73"/>
        <v>35000</v>
      </c>
      <c r="T355" t="s">
        <v>2174</v>
      </c>
    </row>
    <row r="356" spans="1:20" ht="15.75" customHeight="1" x14ac:dyDescent="0.3">
      <c r="A356" s="410" t="s">
        <v>1381</v>
      </c>
      <c r="B356" s="10"/>
      <c r="C356" s="10"/>
      <c r="D356" s="10"/>
      <c r="E356" s="38">
        <f>SUM(B356:D356)</f>
        <v>0</v>
      </c>
      <c r="F356" s="10"/>
      <c r="G356" s="10"/>
      <c r="H356" s="10"/>
      <c r="I356" s="38">
        <f>SUM(F356:H356)</f>
        <v>0</v>
      </c>
      <c r="J356" s="10">
        <v>6702</v>
      </c>
      <c r="K356" s="10">
        <v>5172</v>
      </c>
      <c r="L356" s="10">
        <v>4618</v>
      </c>
      <c r="M356" s="38">
        <f>SUM(J356:L356)</f>
        <v>16492</v>
      </c>
      <c r="N356" s="10">
        <v>3153</v>
      </c>
      <c r="O356" s="10">
        <v>2071</v>
      </c>
      <c r="P356" s="10">
        <v>3284</v>
      </c>
      <c r="Q356" s="38">
        <f>SUM(N356:P356)</f>
        <v>8508</v>
      </c>
      <c r="R356" s="38">
        <f t="shared" si="73"/>
        <v>25000</v>
      </c>
    </row>
    <row r="357" spans="1:20" ht="15.75" customHeight="1" x14ac:dyDescent="0.3">
      <c r="A357" s="410" t="s">
        <v>2943</v>
      </c>
      <c r="B357" s="10"/>
      <c r="C357" s="10"/>
      <c r="D357" s="10"/>
      <c r="E357" s="38">
        <f>SUM(B357:D357)</f>
        <v>0</v>
      </c>
      <c r="F357" s="10"/>
      <c r="G357" s="10"/>
      <c r="H357" s="10"/>
      <c r="I357" s="38">
        <f>SUM(F357:H357)</f>
        <v>0</v>
      </c>
      <c r="J357" s="10">
        <v>5500</v>
      </c>
      <c r="K357" s="10"/>
      <c r="L357" s="10"/>
      <c r="M357" s="38">
        <f>SUM(J357:L357)</f>
        <v>5500</v>
      </c>
      <c r="N357" s="10"/>
      <c r="O357" s="10">
        <v>1162</v>
      </c>
      <c r="P357" s="10">
        <v>1256</v>
      </c>
      <c r="Q357" s="38">
        <f>SUM(N357:P357)</f>
        <v>2418</v>
      </c>
      <c r="R357" s="38">
        <f>+E357+I357+M357+Q357</f>
        <v>7918</v>
      </c>
    </row>
    <row r="358" spans="1:20" ht="15.75" customHeight="1" x14ac:dyDescent="0.3">
      <c r="A358" s="410" t="s">
        <v>2953</v>
      </c>
      <c r="B358" s="10"/>
      <c r="C358" s="10"/>
      <c r="D358" s="10"/>
      <c r="E358" s="38">
        <f>SUM(B358:D358)</f>
        <v>0</v>
      </c>
      <c r="F358" s="10"/>
      <c r="G358" s="10"/>
      <c r="H358" s="10">
        <v>1343</v>
      </c>
      <c r="I358" s="38">
        <f>SUM(F358:H358)</f>
        <v>1343</v>
      </c>
      <c r="J358" s="10">
        <v>1249</v>
      </c>
      <c r="K358" s="10"/>
      <c r="L358" s="10"/>
      <c r="M358" s="38">
        <f>SUM(J358:L358)</f>
        <v>1249</v>
      </c>
      <c r="N358" s="10"/>
      <c r="O358" s="10"/>
      <c r="P358" s="10"/>
      <c r="Q358" s="38">
        <f>SUM(N358:P358)</f>
        <v>0</v>
      </c>
      <c r="R358" s="38">
        <f>+E358+I358+M358+Q358</f>
        <v>2592</v>
      </c>
      <c r="T358" t="s">
        <v>1358</v>
      </c>
    </row>
    <row r="359" spans="1:20" ht="15.75" customHeight="1" x14ac:dyDescent="0.3">
      <c r="A359" s="410" t="s">
        <v>2959</v>
      </c>
      <c r="B359" s="10">
        <v>571</v>
      </c>
      <c r="C359" s="10">
        <v>1015</v>
      </c>
      <c r="D359" s="10">
        <v>1133</v>
      </c>
      <c r="E359" s="38">
        <f t="shared" si="69"/>
        <v>2719</v>
      </c>
      <c r="F359" s="10">
        <v>1125</v>
      </c>
      <c r="G359" s="10">
        <v>194</v>
      </c>
      <c r="H359" s="10"/>
      <c r="I359" s="38">
        <f t="shared" si="70"/>
        <v>1319</v>
      </c>
      <c r="J359" s="10"/>
      <c r="K359" s="10"/>
      <c r="L359" s="10"/>
      <c r="M359" s="38">
        <f t="shared" si="71"/>
        <v>0</v>
      </c>
      <c r="N359" s="10"/>
      <c r="O359" s="10"/>
      <c r="P359" s="10"/>
      <c r="Q359" s="38">
        <f t="shared" si="72"/>
        <v>0</v>
      </c>
      <c r="R359" s="38">
        <f t="shared" si="73"/>
        <v>4038</v>
      </c>
      <c r="T359" t="s">
        <v>2780</v>
      </c>
    </row>
    <row r="360" spans="1:20" ht="15.75" customHeight="1" x14ac:dyDescent="0.3">
      <c r="A360" s="256" t="s">
        <v>2362</v>
      </c>
      <c r="B360" s="172">
        <v>1683</v>
      </c>
      <c r="C360" s="172">
        <v>1684</v>
      </c>
      <c r="D360" s="172">
        <v>1684</v>
      </c>
      <c r="E360" s="38">
        <f>SUM(B360:D360)</f>
        <v>5051</v>
      </c>
      <c r="F360" s="172">
        <v>1684</v>
      </c>
      <c r="G360" s="172"/>
      <c r="H360" s="172"/>
      <c r="I360" s="38">
        <f>SUM(F360:H360)</f>
        <v>1684</v>
      </c>
      <c r="J360" s="172"/>
      <c r="K360" s="172"/>
      <c r="L360" s="172"/>
      <c r="M360" s="38">
        <f>SUM(J360:L360)</f>
        <v>0</v>
      </c>
      <c r="N360" s="172"/>
      <c r="O360" s="172"/>
      <c r="P360" s="172"/>
      <c r="Q360" s="38">
        <f>SUM(N360:P360)</f>
        <v>0</v>
      </c>
      <c r="R360" s="38">
        <f>+E360+I360+M360+Q360</f>
        <v>6735</v>
      </c>
    </row>
    <row r="361" spans="1:20" ht="15.75" customHeight="1" x14ac:dyDescent="0.3">
      <c r="A361" s="256" t="s">
        <v>2263</v>
      </c>
      <c r="B361" s="172"/>
      <c r="C361" s="172"/>
      <c r="D361" s="172"/>
      <c r="E361" s="38">
        <f>SUM(B361:D361)</f>
        <v>0</v>
      </c>
      <c r="F361" s="172"/>
      <c r="G361" s="172"/>
      <c r="H361" s="172"/>
      <c r="I361" s="38">
        <f>SUM(F361:H361)</f>
        <v>0</v>
      </c>
      <c r="J361" s="172"/>
      <c r="K361" s="172"/>
      <c r="L361" s="172"/>
      <c r="M361" s="38">
        <f>SUM(J361:L361)</f>
        <v>0</v>
      </c>
      <c r="N361" s="172"/>
      <c r="O361" s="172"/>
      <c r="P361" s="172"/>
      <c r="Q361" s="38">
        <f>SUM(N361:P361)</f>
        <v>0</v>
      </c>
      <c r="R361" s="38">
        <f>+E361+I361+M361+Q361</f>
        <v>0</v>
      </c>
    </row>
    <row r="362" spans="1:20" ht="15.75" customHeight="1" x14ac:dyDescent="0.3">
      <c r="A362" s="410" t="s">
        <v>2792</v>
      </c>
      <c r="B362" s="172">
        <v>412</v>
      </c>
      <c r="C362" s="172">
        <v>2000</v>
      </c>
      <c r="D362" s="172">
        <v>2000</v>
      </c>
      <c r="E362" s="38">
        <f>SUM(B362:D362)</f>
        <v>4412</v>
      </c>
      <c r="F362" s="172">
        <v>2352</v>
      </c>
      <c r="G362" s="172">
        <v>169.00000000000193</v>
      </c>
      <c r="H362" s="172"/>
      <c r="I362" s="38">
        <f>SUM(F362:H362)</f>
        <v>2521.0000000000018</v>
      </c>
      <c r="J362" s="172"/>
      <c r="K362" s="172"/>
      <c r="L362" s="172"/>
      <c r="M362" s="38">
        <f>SUM(J362:L362)</f>
        <v>0</v>
      </c>
      <c r="N362" s="172"/>
      <c r="O362" s="172"/>
      <c r="P362" s="172"/>
      <c r="Q362" s="38">
        <f>SUM(N362:P362)</f>
        <v>0</v>
      </c>
      <c r="R362" s="38">
        <f>+E362+I362+M362+Q362</f>
        <v>6933.0000000000018</v>
      </c>
      <c r="T362" t="s">
        <v>1358</v>
      </c>
    </row>
    <row r="363" spans="1:20" ht="15.75" customHeight="1" x14ac:dyDescent="0.3">
      <c r="A363" s="410" t="s">
        <v>2786</v>
      </c>
      <c r="B363" s="10"/>
      <c r="C363" s="10"/>
      <c r="D363" s="10"/>
      <c r="E363" s="38">
        <f t="shared" si="69"/>
        <v>0</v>
      </c>
      <c r="F363" s="10"/>
      <c r="G363" s="10"/>
      <c r="H363" s="10"/>
      <c r="I363" s="38">
        <f t="shared" si="70"/>
        <v>0</v>
      </c>
      <c r="J363" s="10"/>
      <c r="K363" s="10"/>
      <c r="L363" s="10"/>
      <c r="M363" s="38">
        <f t="shared" si="71"/>
        <v>0</v>
      </c>
      <c r="N363" s="10"/>
      <c r="O363" s="10"/>
      <c r="P363" s="10"/>
      <c r="Q363" s="38">
        <f t="shared" si="72"/>
        <v>0</v>
      </c>
      <c r="R363" s="38">
        <f t="shared" si="73"/>
        <v>0</v>
      </c>
      <c r="T363" t="s">
        <v>2777</v>
      </c>
    </row>
    <row r="364" spans="1:20" ht="15.75" customHeight="1" x14ac:dyDescent="0.3">
      <c r="A364" s="410" t="s">
        <v>2787</v>
      </c>
      <c r="B364" s="172"/>
      <c r="C364" s="172"/>
      <c r="D364" s="172"/>
      <c r="E364" s="38">
        <f>SUM(B364:D364)</f>
        <v>0</v>
      </c>
      <c r="F364" s="172"/>
      <c r="G364" s="172">
        <v>631</v>
      </c>
      <c r="H364" s="172">
        <v>3000</v>
      </c>
      <c r="I364" s="38">
        <f>SUM(F364:H364)</f>
        <v>3631</v>
      </c>
      <c r="J364" s="172">
        <v>3762</v>
      </c>
      <c r="K364" s="172">
        <v>917</v>
      </c>
      <c r="L364" s="172">
        <v>898</v>
      </c>
      <c r="M364" s="38">
        <f>SUM(J364:L364)</f>
        <v>5577</v>
      </c>
      <c r="N364" s="172">
        <v>776</v>
      </c>
      <c r="O364" s="172">
        <v>1016</v>
      </c>
      <c r="P364" s="172"/>
      <c r="Q364" s="38">
        <f>SUM(N364:P364)</f>
        <v>1792</v>
      </c>
      <c r="R364" s="38">
        <f t="shared" si="73"/>
        <v>11000</v>
      </c>
      <c r="T364" t="s">
        <v>2175</v>
      </c>
    </row>
    <row r="365" spans="1:20" ht="15.75" customHeight="1" x14ac:dyDescent="0.3">
      <c r="A365" s="410" t="s">
        <v>2788</v>
      </c>
      <c r="B365" s="10"/>
      <c r="C365" s="10"/>
      <c r="D365" s="10"/>
      <c r="E365" s="38">
        <f>SUM(B365:D365)</f>
        <v>0</v>
      </c>
      <c r="F365" s="10"/>
      <c r="G365" s="10"/>
      <c r="H365" s="10"/>
      <c r="I365" s="38">
        <f>SUM(F365:H365)</f>
        <v>0</v>
      </c>
      <c r="J365" s="10"/>
      <c r="K365" s="10"/>
      <c r="L365" s="10"/>
      <c r="M365" s="38">
        <f>SUM(J365:L365)</f>
        <v>0</v>
      </c>
      <c r="N365" s="10"/>
      <c r="O365" s="10"/>
      <c r="P365" s="10"/>
      <c r="Q365" s="38">
        <f>SUM(N365:P365)</f>
        <v>0</v>
      </c>
      <c r="R365" s="38">
        <f>+E365+I365+M365+Q365</f>
        <v>0</v>
      </c>
      <c r="T365" t="s">
        <v>2780</v>
      </c>
    </row>
    <row r="366" spans="1:20" ht="15.75" customHeight="1" x14ac:dyDescent="0.3">
      <c r="A366" s="410" t="s">
        <v>2789</v>
      </c>
      <c r="B366" s="10"/>
      <c r="C366" s="10"/>
      <c r="D366" s="10"/>
      <c r="E366" s="38">
        <f>SUM(B366:D366)</f>
        <v>0</v>
      </c>
      <c r="F366" s="10"/>
      <c r="G366" s="10"/>
      <c r="H366" s="10"/>
      <c r="I366" s="38">
        <f>SUM(F366:H366)</f>
        <v>0</v>
      </c>
      <c r="J366" s="10"/>
      <c r="K366" s="10"/>
      <c r="L366" s="10"/>
      <c r="M366" s="38">
        <f>SUM(J366:L366)</f>
        <v>0</v>
      </c>
      <c r="N366" s="10"/>
      <c r="O366" s="10"/>
      <c r="P366" s="10"/>
      <c r="Q366" s="38">
        <f>SUM(N366:P366)</f>
        <v>0</v>
      </c>
      <c r="R366" s="38">
        <f>+E366+I366+M366+Q366</f>
        <v>0</v>
      </c>
      <c r="T366" t="s">
        <v>1358</v>
      </c>
    </row>
    <row r="367" spans="1:20" ht="15.75" customHeight="1" x14ac:dyDescent="0.3">
      <c r="A367" s="256" t="s">
        <v>885</v>
      </c>
      <c r="B367" s="10"/>
      <c r="C367" s="10"/>
      <c r="D367" s="10"/>
      <c r="E367" s="38">
        <f>SUM(B367:D367)</f>
        <v>0</v>
      </c>
      <c r="F367" s="10"/>
      <c r="G367" s="10"/>
      <c r="H367" s="10"/>
      <c r="I367" s="38">
        <f>SUM(F367:H367)</f>
        <v>0</v>
      </c>
      <c r="J367" s="10">
        <v>763</v>
      </c>
      <c r="K367" s="10">
        <v>123</v>
      </c>
      <c r="L367" s="10"/>
      <c r="M367" s="38">
        <f>SUM(J367:L367)</f>
        <v>886</v>
      </c>
      <c r="N367" s="10"/>
      <c r="O367" s="10"/>
      <c r="P367" s="10"/>
      <c r="Q367" s="38">
        <f>SUM(N367:P367)</f>
        <v>0</v>
      </c>
      <c r="R367" s="38">
        <f>+E367+I367+M367+Q367</f>
        <v>886</v>
      </c>
      <c r="T367" t="s">
        <v>2780</v>
      </c>
    </row>
    <row r="368" spans="1:20" ht="15.75" customHeight="1" x14ac:dyDescent="0.3">
      <c r="A368" s="410" t="s">
        <v>2941</v>
      </c>
      <c r="B368" s="172"/>
      <c r="C368" s="172"/>
      <c r="D368" s="172"/>
      <c r="E368" s="38">
        <f t="shared" si="69"/>
        <v>0</v>
      </c>
      <c r="F368" s="172"/>
      <c r="G368" s="172"/>
      <c r="H368" s="172">
        <v>580</v>
      </c>
      <c r="I368" s="38">
        <f t="shared" si="70"/>
        <v>580</v>
      </c>
      <c r="J368" s="172">
        <v>1151</v>
      </c>
      <c r="K368" s="172">
        <v>1141</v>
      </c>
      <c r="L368" s="172">
        <v>722</v>
      </c>
      <c r="M368" s="38">
        <f t="shared" si="71"/>
        <v>3014</v>
      </c>
      <c r="N368" s="172"/>
      <c r="O368" s="172"/>
      <c r="P368" s="172"/>
      <c r="Q368" s="38">
        <f t="shared" si="72"/>
        <v>0</v>
      </c>
      <c r="R368" s="38">
        <f t="shared" si="73"/>
        <v>3594</v>
      </c>
      <c r="T368" t="s">
        <v>2780</v>
      </c>
    </row>
    <row r="369" spans="1:20" ht="15.75" customHeight="1" x14ac:dyDescent="0.3">
      <c r="A369" s="410" t="s">
        <v>2711</v>
      </c>
      <c r="B369" s="172"/>
      <c r="C369" s="172"/>
      <c r="D369" s="172"/>
      <c r="E369" s="38">
        <f>SUM(B369:D369)</f>
        <v>0</v>
      </c>
      <c r="F369" s="172"/>
      <c r="G369" s="172"/>
      <c r="H369" s="172"/>
      <c r="I369" s="38">
        <f>SUM(F369:H369)</f>
        <v>0</v>
      </c>
      <c r="J369" s="172"/>
      <c r="K369" s="172"/>
      <c r="L369" s="172"/>
      <c r="M369" s="38">
        <f>SUM(J369:L369)</f>
        <v>0</v>
      </c>
      <c r="N369" s="172"/>
      <c r="O369" s="172"/>
      <c r="P369" s="172"/>
      <c r="Q369" s="38">
        <f>SUM(N369:P369)</f>
        <v>0</v>
      </c>
      <c r="R369" s="38">
        <f t="shared" si="73"/>
        <v>0</v>
      </c>
      <c r="T369" t="s">
        <v>1358</v>
      </c>
    </row>
    <row r="370" spans="1:20" ht="15.75" customHeight="1" x14ac:dyDescent="0.3">
      <c r="A370" s="256" t="s">
        <v>1097</v>
      </c>
      <c r="B370" s="172"/>
      <c r="C370" s="10"/>
      <c r="D370" s="10"/>
      <c r="E370" s="38">
        <f t="shared" si="69"/>
        <v>0</v>
      </c>
      <c r="F370" s="172">
        <v>823</v>
      </c>
      <c r="G370" s="172">
        <v>846</v>
      </c>
      <c r="H370" s="172"/>
      <c r="I370" s="38">
        <f t="shared" si="70"/>
        <v>1669</v>
      </c>
      <c r="J370" s="172"/>
      <c r="K370" s="172"/>
      <c r="L370" s="172"/>
      <c r="M370" s="38">
        <f t="shared" si="71"/>
        <v>0</v>
      </c>
      <c r="N370" s="172"/>
      <c r="O370" s="172"/>
      <c r="P370" s="172"/>
      <c r="Q370" s="38">
        <f t="shared" si="72"/>
        <v>0</v>
      </c>
      <c r="R370" s="38">
        <f t="shared" si="73"/>
        <v>1669</v>
      </c>
    </row>
    <row r="371" spans="1:20" ht="15.75" customHeight="1" x14ac:dyDescent="0.3">
      <c r="A371" s="410" t="s">
        <v>2745</v>
      </c>
      <c r="B371" s="10"/>
      <c r="C371" s="10"/>
      <c r="D371" s="10"/>
      <c r="E371" s="38">
        <f t="shared" si="69"/>
        <v>0</v>
      </c>
      <c r="F371" s="10"/>
      <c r="G371" s="10"/>
      <c r="H371" s="356"/>
      <c r="I371" s="38">
        <f t="shared" si="70"/>
        <v>0</v>
      </c>
      <c r="J371" s="10"/>
      <c r="K371" s="10">
        <v>1019</v>
      </c>
      <c r="L371" s="10">
        <v>1095</v>
      </c>
      <c r="M371" s="38">
        <f t="shared" si="71"/>
        <v>2114</v>
      </c>
      <c r="N371" s="10"/>
      <c r="O371" s="10"/>
      <c r="P371" s="10"/>
      <c r="Q371" s="38">
        <f t="shared" si="72"/>
        <v>0</v>
      </c>
      <c r="R371" s="38">
        <f t="shared" si="73"/>
        <v>2114</v>
      </c>
      <c r="T371" t="s">
        <v>2780</v>
      </c>
    </row>
    <row r="372" spans="1:20" ht="15.75" customHeight="1" x14ac:dyDescent="0.3">
      <c r="A372" s="410" t="s">
        <v>2268</v>
      </c>
      <c r="B372" s="10"/>
      <c r="C372" s="10"/>
      <c r="D372" s="10"/>
      <c r="E372" s="38">
        <f>SUM(B372:D372)</f>
        <v>0</v>
      </c>
      <c r="F372" s="10"/>
      <c r="G372" s="10"/>
      <c r="H372" s="10"/>
      <c r="I372" s="38">
        <f>SUM(F372:H372)</f>
        <v>0</v>
      </c>
      <c r="J372" s="10"/>
      <c r="K372" s="10"/>
      <c r="L372" s="10"/>
      <c r="M372" s="38">
        <f>SUM(J372:L372)</f>
        <v>0</v>
      </c>
      <c r="N372" s="10"/>
      <c r="O372" s="10"/>
      <c r="P372" s="10"/>
      <c r="Q372" s="38">
        <f>SUM(N372:P372)</f>
        <v>0</v>
      </c>
      <c r="R372" s="38">
        <f>+E372+I372+M372+Q372</f>
        <v>0</v>
      </c>
      <c r="T372" t="s">
        <v>1358</v>
      </c>
    </row>
    <row r="373" spans="1:20" ht="15.75" customHeight="1" x14ac:dyDescent="0.3">
      <c r="A373" s="410" t="s">
        <v>2783</v>
      </c>
      <c r="B373" s="172"/>
      <c r="C373" s="172">
        <v>280</v>
      </c>
      <c r="D373" s="172">
        <v>1152</v>
      </c>
      <c r="E373" s="38">
        <f t="shared" si="69"/>
        <v>1432</v>
      </c>
      <c r="F373" s="172">
        <v>1087</v>
      </c>
      <c r="G373" s="172">
        <v>1154</v>
      </c>
      <c r="H373" s="172">
        <v>534</v>
      </c>
      <c r="I373" s="38">
        <f t="shared" si="70"/>
        <v>2775</v>
      </c>
      <c r="J373" s="172"/>
      <c r="K373" s="172"/>
      <c r="L373" s="172"/>
      <c r="M373" s="38">
        <f t="shared" si="71"/>
        <v>0</v>
      </c>
      <c r="N373" s="172"/>
      <c r="O373" s="172"/>
      <c r="P373" s="172"/>
      <c r="Q373" s="38">
        <f t="shared" si="72"/>
        <v>0</v>
      </c>
      <c r="R373" s="38">
        <f t="shared" si="73"/>
        <v>4207</v>
      </c>
      <c r="T373" t="s">
        <v>2780</v>
      </c>
    </row>
    <row r="374" spans="1:20" ht="15.75" customHeight="1" x14ac:dyDescent="0.3">
      <c r="A374" s="410" t="s">
        <v>2784</v>
      </c>
      <c r="B374" s="172"/>
      <c r="C374" s="172"/>
      <c r="D374" s="172"/>
      <c r="E374" s="38">
        <f t="shared" si="69"/>
        <v>0</v>
      </c>
      <c r="F374" s="172"/>
      <c r="G374" s="172"/>
      <c r="H374" s="172"/>
      <c r="I374" s="38">
        <f t="shared" si="70"/>
        <v>0</v>
      </c>
      <c r="J374" s="172"/>
      <c r="K374" s="172"/>
      <c r="L374" s="172"/>
      <c r="M374" s="38">
        <f t="shared" si="71"/>
        <v>0</v>
      </c>
      <c r="N374" s="172"/>
      <c r="O374" s="172"/>
      <c r="P374" s="172"/>
      <c r="Q374" s="38">
        <f t="shared" si="72"/>
        <v>0</v>
      </c>
      <c r="R374" s="38">
        <f t="shared" si="73"/>
        <v>0</v>
      </c>
      <c r="T374" t="s">
        <v>1358</v>
      </c>
    </row>
    <row r="375" spans="1:20" ht="15.75" customHeight="1" x14ac:dyDescent="0.3">
      <c r="A375" s="256" t="s">
        <v>101</v>
      </c>
      <c r="B375" s="172"/>
      <c r="C375" s="172"/>
      <c r="D375" s="172"/>
      <c r="E375" s="38">
        <f t="shared" si="69"/>
        <v>0</v>
      </c>
      <c r="F375" s="172"/>
      <c r="G375" s="172">
        <v>2622</v>
      </c>
      <c r="H375" s="172"/>
      <c r="I375" s="38">
        <f t="shared" si="70"/>
        <v>2622</v>
      </c>
      <c r="J375" s="172"/>
      <c r="K375" s="172"/>
      <c r="L375" s="172"/>
      <c r="M375" s="38">
        <f t="shared" si="71"/>
        <v>0</v>
      </c>
      <c r="N375" s="172"/>
      <c r="O375" s="172"/>
      <c r="P375" s="172"/>
      <c r="Q375" s="38">
        <f t="shared" si="72"/>
        <v>0</v>
      </c>
      <c r="R375" s="38">
        <f t="shared" si="73"/>
        <v>2622</v>
      </c>
    </row>
    <row r="376" spans="1:20" ht="15.75" customHeight="1" thickBot="1" x14ac:dyDescent="0.35">
      <c r="A376" s="256" t="s">
        <v>2717</v>
      </c>
      <c r="B376" s="172"/>
      <c r="C376" s="172"/>
      <c r="D376" s="172">
        <v>361</v>
      </c>
      <c r="E376" s="38">
        <f>SUM(B376:D376)</f>
        <v>361</v>
      </c>
      <c r="F376" s="172">
        <v>2044</v>
      </c>
      <c r="G376" s="172">
        <v>2000</v>
      </c>
      <c r="H376" s="172">
        <v>4085</v>
      </c>
      <c r="I376" s="38">
        <f>SUM(F376:H376)</f>
        <v>8129</v>
      </c>
      <c r="J376" s="172">
        <v>3757</v>
      </c>
      <c r="K376" s="172">
        <v>3000</v>
      </c>
      <c r="L376" s="172"/>
      <c r="M376" s="38">
        <f>SUM(J376:L376)</f>
        <v>6757</v>
      </c>
      <c r="N376" s="172">
        <v>2102</v>
      </c>
      <c r="O376" s="172">
        <v>1924</v>
      </c>
      <c r="P376" s="172">
        <v>5727</v>
      </c>
      <c r="Q376" s="38">
        <f>SUM(N376:P376)</f>
        <v>9753</v>
      </c>
      <c r="R376" s="38">
        <f t="shared" si="73"/>
        <v>25000</v>
      </c>
    </row>
    <row r="377" spans="1:20" ht="16.5" customHeight="1" thickBot="1" x14ac:dyDescent="0.35">
      <c r="A377" s="277" t="s">
        <v>1220</v>
      </c>
      <c r="B377" s="47">
        <f>SUM(B343:B376)</f>
        <v>7282</v>
      </c>
      <c r="C377" s="42">
        <f>SUM(C343:C376)</f>
        <v>12767</v>
      </c>
      <c r="D377" s="42">
        <f>SUM(D343:D376)</f>
        <v>19952</v>
      </c>
      <c r="E377" s="37">
        <f t="shared" si="69"/>
        <v>40001</v>
      </c>
      <c r="F377" s="42">
        <f>SUM(F343:F376)</f>
        <v>31970</v>
      </c>
      <c r="G377" s="42">
        <f>SUM(G343:G376)</f>
        <v>38340</v>
      </c>
      <c r="H377" s="42">
        <f>SUM(H343:H376)</f>
        <v>51089</v>
      </c>
      <c r="I377" s="37">
        <f t="shared" si="70"/>
        <v>121399</v>
      </c>
      <c r="J377" s="42">
        <f>SUM(J343:J376)</f>
        <v>46937</v>
      </c>
      <c r="K377" s="42">
        <f>SUM(K343:K376)</f>
        <v>43048</v>
      </c>
      <c r="L377" s="42">
        <f>SUM(L343:L376)</f>
        <v>20775</v>
      </c>
      <c r="M377" s="37">
        <f t="shared" si="71"/>
        <v>110760</v>
      </c>
      <c r="N377" s="42">
        <f>SUM(N343:N376)</f>
        <v>16940</v>
      </c>
      <c r="O377" s="42">
        <f>SUM(O343:O376)</f>
        <v>15674</v>
      </c>
      <c r="P377" s="42">
        <f>SUM(P343:P376)</f>
        <v>14120</v>
      </c>
      <c r="Q377" s="37">
        <f t="shared" si="72"/>
        <v>46734</v>
      </c>
      <c r="R377" s="37">
        <f>+E377+I377+M377+Q377</f>
        <v>318894</v>
      </c>
      <c r="T377" s="230"/>
    </row>
    <row r="378" spans="1:20" ht="15.75" customHeight="1" x14ac:dyDescent="0.3">
      <c r="A378" s="234" t="s">
        <v>1712</v>
      </c>
      <c r="B378" s="172"/>
      <c r="C378" s="172"/>
      <c r="D378" s="172"/>
      <c r="E378" s="38" t="s">
        <v>852</v>
      </c>
      <c r="F378" s="172"/>
      <c r="G378" s="172"/>
      <c r="H378" s="172"/>
      <c r="I378" s="38" t="s">
        <v>852</v>
      </c>
      <c r="J378" s="172"/>
      <c r="K378" s="172"/>
      <c r="L378" s="172"/>
      <c r="M378" s="38" t="s">
        <v>852</v>
      </c>
      <c r="N378" s="172"/>
      <c r="O378" s="172"/>
      <c r="P378" s="172"/>
      <c r="Q378" s="38" t="s">
        <v>852</v>
      </c>
      <c r="R378" s="38" t="s">
        <v>852</v>
      </c>
    </row>
    <row r="379" spans="1:20" ht="15.75" customHeight="1" x14ac:dyDescent="0.3">
      <c r="A379" s="234" t="s">
        <v>1021</v>
      </c>
      <c r="B379" s="172"/>
      <c r="C379" s="172"/>
      <c r="D379" s="172"/>
      <c r="E379" s="38" t="s">
        <v>852</v>
      </c>
      <c r="F379" s="172"/>
      <c r="G379" s="172"/>
      <c r="H379" s="172"/>
      <c r="I379" s="38" t="s">
        <v>852</v>
      </c>
      <c r="J379" s="172"/>
      <c r="K379" s="172"/>
      <c r="L379" s="172"/>
      <c r="M379" s="38" t="s">
        <v>852</v>
      </c>
      <c r="N379" s="172"/>
      <c r="O379" s="172"/>
      <c r="P379" s="172"/>
      <c r="Q379" s="38" t="s">
        <v>852</v>
      </c>
      <c r="R379" s="38" t="s">
        <v>852</v>
      </c>
    </row>
    <row r="380" spans="1:20" ht="15.75" customHeight="1" x14ac:dyDescent="0.3">
      <c r="A380" s="410" t="s">
        <v>2746</v>
      </c>
      <c r="B380" s="172"/>
      <c r="C380" s="172"/>
      <c r="D380" s="172"/>
      <c r="E380" s="38">
        <f>SUM(B380:D380)</f>
        <v>0</v>
      </c>
      <c r="F380" s="172"/>
      <c r="G380" s="172"/>
      <c r="H380" s="172"/>
      <c r="I380" s="38">
        <f>SUM(F380:H380)</f>
        <v>0</v>
      </c>
      <c r="J380" s="172"/>
      <c r="K380" s="172"/>
      <c r="L380" s="172"/>
      <c r="M380" s="38">
        <f>SUM(J380:L380)</f>
        <v>0</v>
      </c>
      <c r="N380" s="172"/>
      <c r="O380" s="172"/>
      <c r="P380" s="172"/>
      <c r="Q380" s="38">
        <f>SUM(N380:P380)</f>
        <v>0</v>
      </c>
      <c r="R380" s="38">
        <f>+E380+I380+M380+Q380</f>
        <v>0</v>
      </c>
    </row>
    <row r="381" spans="1:20" ht="15.75" customHeight="1" x14ac:dyDescent="0.3">
      <c r="A381" s="234" t="s">
        <v>557</v>
      </c>
      <c r="B381" s="172"/>
      <c r="C381" s="172"/>
      <c r="D381" s="172"/>
      <c r="E381" s="38" t="s">
        <v>852</v>
      </c>
      <c r="F381" s="172"/>
      <c r="G381" s="172"/>
      <c r="H381" s="172"/>
      <c r="I381" s="38" t="s">
        <v>852</v>
      </c>
      <c r="J381" s="172"/>
      <c r="K381" s="172"/>
      <c r="L381" s="172"/>
      <c r="M381" s="38" t="s">
        <v>852</v>
      </c>
      <c r="N381" s="172"/>
      <c r="O381" s="172"/>
      <c r="P381" s="172"/>
      <c r="Q381" s="38" t="s">
        <v>852</v>
      </c>
      <c r="R381" s="38" t="s">
        <v>852</v>
      </c>
    </row>
    <row r="382" spans="1:20" ht="15.75" customHeight="1" x14ac:dyDescent="0.3">
      <c r="A382" s="410" t="s">
        <v>2566</v>
      </c>
      <c r="B382" s="172"/>
      <c r="C382" s="172"/>
      <c r="D382" s="172"/>
      <c r="E382" s="38">
        <f>SUM(B382:D382)</f>
        <v>0</v>
      </c>
      <c r="F382" s="172"/>
      <c r="G382" s="172"/>
      <c r="H382" s="172"/>
      <c r="I382" s="38">
        <f>SUM(F382:H382)</f>
        <v>0</v>
      </c>
      <c r="J382" s="172"/>
      <c r="K382" s="172"/>
      <c r="L382" s="172"/>
      <c r="M382" s="38">
        <f>SUM(J382:L382)</f>
        <v>0</v>
      </c>
      <c r="N382" s="172"/>
      <c r="O382" s="172"/>
      <c r="P382" s="172"/>
      <c r="Q382" s="38">
        <f>SUM(N382:P382)</f>
        <v>0</v>
      </c>
      <c r="R382" s="38">
        <f>+E382+I382+M382+Q382</f>
        <v>0</v>
      </c>
    </row>
    <row r="383" spans="1:20" ht="15.75" customHeight="1" x14ac:dyDescent="0.3">
      <c r="A383" s="410" t="s">
        <v>2657</v>
      </c>
      <c r="B383" s="172"/>
      <c r="C383" s="172">
        <v>1020</v>
      </c>
      <c r="D383" s="172">
        <v>1921</v>
      </c>
      <c r="E383" s="38">
        <f>SUM(B383:D383)</f>
        <v>2941</v>
      </c>
      <c r="F383" s="172">
        <v>1559</v>
      </c>
      <c r="G383" s="172"/>
      <c r="H383" s="172"/>
      <c r="I383" s="38">
        <f>SUM(F383:H383)</f>
        <v>1559</v>
      </c>
      <c r="J383" s="172">
        <v>2</v>
      </c>
      <c r="K383" s="172"/>
      <c r="L383" s="172"/>
      <c r="M383" s="38">
        <f>SUM(J383:L383)</f>
        <v>2</v>
      </c>
      <c r="N383" s="172"/>
      <c r="O383" s="172"/>
      <c r="P383" s="172"/>
      <c r="Q383" s="38">
        <f>SUM(N383:P383)</f>
        <v>0</v>
      </c>
      <c r="R383" s="38">
        <f>+E383+I383+M383+Q383</f>
        <v>4502</v>
      </c>
    </row>
    <row r="384" spans="1:20" ht="15.75" customHeight="1" x14ac:dyDescent="0.3">
      <c r="A384" s="234" t="s">
        <v>1022</v>
      </c>
      <c r="B384" s="172"/>
      <c r="C384" s="172"/>
      <c r="D384" s="172"/>
      <c r="E384" s="38" t="s">
        <v>852</v>
      </c>
      <c r="F384" s="172"/>
      <c r="G384" s="172"/>
      <c r="H384" s="172"/>
      <c r="I384" s="38" t="s">
        <v>852</v>
      </c>
      <c r="J384" s="172"/>
      <c r="K384" s="172"/>
      <c r="L384" s="172"/>
      <c r="M384" s="38" t="s">
        <v>852</v>
      </c>
      <c r="N384" s="172"/>
      <c r="O384" s="172"/>
      <c r="P384" s="172"/>
      <c r="Q384" s="38" t="s">
        <v>852</v>
      </c>
      <c r="R384" s="38" t="s">
        <v>852</v>
      </c>
    </row>
    <row r="385" spans="1:20" ht="15.75" customHeight="1" x14ac:dyDescent="0.3">
      <c r="A385" s="256" t="s">
        <v>2486</v>
      </c>
      <c r="B385" s="172"/>
      <c r="C385" s="172"/>
      <c r="D385" s="172"/>
      <c r="E385" s="38">
        <f t="shared" ref="E385:E390" si="74">SUM(B385:D385)</f>
        <v>0</v>
      </c>
      <c r="F385" s="172"/>
      <c r="G385" s="172"/>
      <c r="H385" s="172"/>
      <c r="I385" s="38">
        <f t="shared" ref="I385:I390" si="75">SUM(F385:H385)</f>
        <v>0</v>
      </c>
      <c r="J385" s="172"/>
      <c r="K385" s="172"/>
      <c r="L385" s="172"/>
      <c r="M385" s="38">
        <f t="shared" ref="M385:M390" si="76">SUM(J385:L385)</f>
        <v>0</v>
      </c>
      <c r="N385" s="172"/>
      <c r="O385" s="172"/>
      <c r="P385" s="172"/>
      <c r="Q385" s="38">
        <f t="shared" ref="Q385:Q390" si="77">SUM(N385:P385)</f>
        <v>0</v>
      </c>
      <c r="R385" s="38">
        <f t="shared" ref="R385:R390" si="78">+E385+I385+M385+Q385</f>
        <v>0</v>
      </c>
      <c r="T385" t="s">
        <v>2178</v>
      </c>
    </row>
    <row r="386" spans="1:20" ht="15.75" customHeight="1" x14ac:dyDescent="0.3">
      <c r="A386" s="311" t="s">
        <v>1374</v>
      </c>
      <c r="B386" s="10"/>
      <c r="C386" s="10"/>
      <c r="D386" s="10">
        <v>3941</v>
      </c>
      <c r="E386" s="38">
        <f t="shared" si="74"/>
        <v>3941</v>
      </c>
      <c r="F386" s="10">
        <v>1643</v>
      </c>
      <c r="G386" s="10"/>
      <c r="H386" s="10"/>
      <c r="I386" s="38">
        <f t="shared" si="75"/>
        <v>1643</v>
      </c>
      <c r="J386" s="10"/>
      <c r="K386" s="10"/>
      <c r="L386" s="10">
        <v>38</v>
      </c>
      <c r="M386" s="38">
        <f t="shared" si="76"/>
        <v>38</v>
      </c>
      <c r="N386" s="10">
        <v>3798</v>
      </c>
      <c r="O386" s="10">
        <v>1961</v>
      </c>
      <c r="P386" s="10"/>
      <c r="Q386" s="38">
        <f t="shared" si="77"/>
        <v>5759</v>
      </c>
      <c r="R386" s="38">
        <f t="shared" si="78"/>
        <v>11381</v>
      </c>
      <c r="T386" t="s">
        <v>2178</v>
      </c>
    </row>
    <row r="387" spans="1:20" ht="15.75" customHeight="1" x14ac:dyDescent="0.3">
      <c r="A387" s="256" t="s">
        <v>1866</v>
      </c>
      <c r="B387" s="172"/>
      <c r="C387" s="172"/>
      <c r="D387" s="172"/>
      <c r="E387" s="38">
        <f t="shared" si="74"/>
        <v>0</v>
      </c>
      <c r="F387" s="172"/>
      <c r="G387" s="172"/>
      <c r="H387" s="172"/>
      <c r="I387" s="38">
        <f t="shared" si="75"/>
        <v>0</v>
      </c>
      <c r="J387" s="172"/>
      <c r="K387" s="172"/>
      <c r="L387" s="172"/>
      <c r="M387" s="38">
        <f t="shared" si="76"/>
        <v>0</v>
      </c>
      <c r="N387" s="172"/>
      <c r="O387" s="172">
        <v>152</v>
      </c>
      <c r="P387" s="172">
        <v>560</v>
      </c>
      <c r="Q387" s="38">
        <f t="shared" si="77"/>
        <v>712</v>
      </c>
      <c r="R387" s="38">
        <f t="shared" si="78"/>
        <v>712</v>
      </c>
      <c r="T387" t="s">
        <v>2175</v>
      </c>
    </row>
    <row r="388" spans="1:20" ht="15.75" customHeight="1" x14ac:dyDescent="0.3">
      <c r="A388" s="256" t="s">
        <v>2340</v>
      </c>
      <c r="B388" s="172"/>
      <c r="C388" s="172"/>
      <c r="D388" s="172"/>
      <c r="E388" s="38">
        <f t="shared" si="74"/>
        <v>0</v>
      </c>
      <c r="F388" s="172"/>
      <c r="G388" s="172"/>
      <c r="H388" s="172"/>
      <c r="I388" s="38">
        <f t="shared" si="75"/>
        <v>0</v>
      </c>
      <c r="J388" s="172"/>
      <c r="K388" s="172"/>
      <c r="L388" s="172"/>
      <c r="M388" s="38">
        <f t="shared" si="76"/>
        <v>0</v>
      </c>
      <c r="N388" s="172"/>
      <c r="O388" s="172">
        <v>15</v>
      </c>
      <c r="P388" s="172"/>
      <c r="Q388" s="38">
        <f t="shared" si="77"/>
        <v>15</v>
      </c>
      <c r="R388" s="38">
        <f t="shared" si="78"/>
        <v>15</v>
      </c>
    </row>
    <row r="389" spans="1:20" ht="15.75" customHeight="1" x14ac:dyDescent="0.3">
      <c r="A389" s="311" t="s">
        <v>1376</v>
      </c>
      <c r="B389" s="10"/>
      <c r="C389" s="10"/>
      <c r="D389" s="10"/>
      <c r="E389" s="38">
        <f t="shared" si="74"/>
        <v>0</v>
      </c>
      <c r="F389" s="10"/>
      <c r="G389" s="10"/>
      <c r="H389" s="10"/>
      <c r="I389" s="38">
        <f t="shared" si="75"/>
        <v>0</v>
      </c>
      <c r="J389" s="10"/>
      <c r="K389" s="10"/>
      <c r="L389" s="10"/>
      <c r="M389" s="38">
        <f t="shared" si="76"/>
        <v>0</v>
      </c>
      <c r="N389" s="10"/>
      <c r="O389" s="10"/>
      <c r="P389" s="10"/>
      <c r="Q389" s="38">
        <f t="shared" si="77"/>
        <v>0</v>
      </c>
      <c r="R389" s="38">
        <f t="shared" si="78"/>
        <v>0</v>
      </c>
    </row>
    <row r="390" spans="1:20" ht="15.75" customHeight="1" x14ac:dyDescent="0.3">
      <c r="A390" s="311" t="s">
        <v>1227</v>
      </c>
      <c r="B390" s="10"/>
      <c r="C390" s="10"/>
      <c r="D390" s="10"/>
      <c r="E390" s="38">
        <f t="shared" si="74"/>
        <v>0</v>
      </c>
      <c r="F390" s="10"/>
      <c r="G390" s="10"/>
      <c r="H390" s="10"/>
      <c r="I390" s="38">
        <f t="shared" si="75"/>
        <v>0</v>
      </c>
      <c r="J390" s="10"/>
      <c r="K390" s="10"/>
      <c r="L390" s="10"/>
      <c r="M390" s="38">
        <f t="shared" si="76"/>
        <v>0</v>
      </c>
      <c r="N390" s="10"/>
      <c r="O390" s="10"/>
      <c r="P390" s="10"/>
      <c r="Q390" s="38">
        <f t="shared" si="77"/>
        <v>0</v>
      </c>
      <c r="R390" s="38">
        <f t="shared" si="78"/>
        <v>0</v>
      </c>
      <c r="T390" t="s">
        <v>2178</v>
      </c>
    </row>
    <row r="391" spans="1:20" ht="15.75" customHeight="1" x14ac:dyDescent="0.3">
      <c r="A391" s="234" t="s">
        <v>559</v>
      </c>
      <c r="B391" s="172"/>
      <c r="C391" s="172"/>
      <c r="D391" s="172"/>
      <c r="E391" s="38" t="s">
        <v>852</v>
      </c>
      <c r="F391" s="172"/>
      <c r="G391" s="172"/>
      <c r="H391" s="172"/>
      <c r="I391" s="38" t="s">
        <v>852</v>
      </c>
      <c r="J391" s="172"/>
      <c r="K391" s="172"/>
      <c r="L391" s="172"/>
      <c r="M391" s="38" t="s">
        <v>852</v>
      </c>
      <c r="N391" s="172"/>
      <c r="O391" s="172"/>
      <c r="P391" s="172"/>
      <c r="Q391" s="38" t="s">
        <v>852</v>
      </c>
      <c r="R391" s="38" t="s">
        <v>852</v>
      </c>
    </row>
    <row r="392" spans="1:20" ht="15.75" customHeight="1" x14ac:dyDescent="0.3">
      <c r="A392" s="311" t="s">
        <v>970</v>
      </c>
      <c r="B392" s="172"/>
      <c r="C392" s="172"/>
      <c r="D392" s="172"/>
      <c r="E392" s="38">
        <f>SUM(B392:D392)</f>
        <v>0</v>
      </c>
      <c r="F392" s="172">
        <v>3361</v>
      </c>
      <c r="G392" s="172">
        <v>1639</v>
      </c>
      <c r="H392" s="172"/>
      <c r="I392" s="38">
        <f>SUM(F392:H392)</f>
        <v>5000</v>
      </c>
      <c r="J392" s="172"/>
      <c r="K392" s="172"/>
      <c r="L392" s="172"/>
      <c r="M392" s="38">
        <f>SUM(J392:L392)</f>
        <v>0</v>
      </c>
      <c r="N392" s="172"/>
      <c r="O392" s="172"/>
      <c r="P392" s="172"/>
      <c r="Q392" s="38">
        <f>SUM(N392:P392)</f>
        <v>0</v>
      </c>
      <c r="R392" s="38">
        <f>+E392+I392+M392+Q392</f>
        <v>5000</v>
      </c>
      <c r="T392" t="s">
        <v>2176</v>
      </c>
    </row>
    <row r="393" spans="1:20" ht="15.75" customHeight="1" x14ac:dyDescent="0.3">
      <c r="A393" s="410" t="s">
        <v>2936</v>
      </c>
      <c r="B393" s="10"/>
      <c r="C393" s="10"/>
      <c r="D393" s="10"/>
      <c r="E393" s="38">
        <f>SUM(B393:D393)</f>
        <v>0</v>
      </c>
      <c r="F393" s="10"/>
      <c r="G393" s="10"/>
      <c r="H393" s="10"/>
      <c r="I393" s="38">
        <f>SUM(F393:H393)</f>
        <v>0</v>
      </c>
      <c r="J393" s="10"/>
      <c r="K393" s="10"/>
      <c r="L393" s="10"/>
      <c r="M393" s="38">
        <f>SUM(J393:L393)</f>
        <v>0</v>
      </c>
      <c r="N393" s="10"/>
      <c r="O393" s="10"/>
      <c r="P393" s="10">
        <v>1700</v>
      </c>
      <c r="Q393" s="38">
        <f>SUM(N393:P393)</f>
        <v>1700</v>
      </c>
      <c r="R393" s="38">
        <f>+E393+I393+M393+Q393</f>
        <v>1700</v>
      </c>
      <c r="T393" t="s">
        <v>2174</v>
      </c>
    </row>
    <row r="394" spans="1:20" ht="15.75" customHeight="1" x14ac:dyDescent="0.3">
      <c r="A394" s="410" t="s">
        <v>2832</v>
      </c>
      <c r="B394" s="172"/>
      <c r="C394" s="172"/>
      <c r="D394" s="172"/>
      <c r="E394" s="38">
        <f>SUM(B394:D394)</f>
        <v>0</v>
      </c>
      <c r="F394" s="172"/>
      <c r="G394" s="172"/>
      <c r="H394" s="172"/>
      <c r="I394" s="38">
        <f>SUM(F394:H394)</f>
        <v>0</v>
      </c>
      <c r="J394" s="172"/>
      <c r="K394" s="172"/>
      <c r="L394" s="172"/>
      <c r="M394" s="38">
        <f>SUM(J394:L394)</f>
        <v>0</v>
      </c>
      <c r="N394" s="172"/>
      <c r="O394" s="172"/>
      <c r="P394" s="172"/>
      <c r="Q394" s="38">
        <f>SUM(N394:P394)</f>
        <v>0</v>
      </c>
      <c r="R394" s="38">
        <f>+E394+I394+M394+Q394</f>
        <v>0</v>
      </c>
      <c r="T394" t="s">
        <v>2174</v>
      </c>
    </row>
    <row r="395" spans="1:20" ht="15.75" customHeight="1" x14ac:dyDescent="0.3">
      <c r="A395" s="410" t="s">
        <v>2569</v>
      </c>
      <c r="B395" s="172"/>
      <c r="C395" s="172"/>
      <c r="D395" s="172"/>
      <c r="E395" s="38">
        <f>SUM(B395:D395)</f>
        <v>0</v>
      </c>
      <c r="F395" s="172"/>
      <c r="G395" s="172"/>
      <c r="H395" s="172"/>
      <c r="I395" s="38">
        <f>SUM(F395:H395)</f>
        <v>0</v>
      </c>
      <c r="J395" s="172"/>
      <c r="K395" s="172"/>
      <c r="L395" s="172"/>
      <c r="M395" s="38">
        <f>SUM(J395:L395)</f>
        <v>0</v>
      </c>
      <c r="N395" s="172"/>
      <c r="O395" s="172"/>
      <c r="P395" s="172"/>
      <c r="Q395" s="38">
        <f>SUM(N395:P395)</f>
        <v>0</v>
      </c>
      <c r="R395" s="38">
        <f>+E395+I395+M395+Q395</f>
        <v>0</v>
      </c>
    </row>
    <row r="396" spans="1:20" ht="15.75" customHeight="1" x14ac:dyDescent="0.3">
      <c r="A396" s="410" t="s">
        <v>2570</v>
      </c>
      <c r="B396" s="172"/>
      <c r="C396" s="172"/>
      <c r="D396" s="172"/>
      <c r="E396" s="38">
        <f t="shared" ref="E396:E406" si="79">SUM(B396:D396)</f>
        <v>0</v>
      </c>
      <c r="F396" s="172"/>
      <c r="G396" s="172"/>
      <c r="H396" s="172">
        <v>2907</v>
      </c>
      <c r="I396" s="38">
        <f t="shared" ref="I396:I406" si="80">SUM(F396:H396)</f>
        <v>2907</v>
      </c>
      <c r="J396" s="172">
        <v>2793</v>
      </c>
      <c r="K396" s="172"/>
      <c r="L396" s="172"/>
      <c r="M396" s="38">
        <f t="shared" ref="M396:M406" si="81">SUM(J396:L396)</f>
        <v>2793</v>
      </c>
      <c r="N396" s="172"/>
      <c r="O396" s="172"/>
      <c r="P396" s="172"/>
      <c r="Q396" s="38">
        <f t="shared" ref="Q396:Q406" si="82">SUM(N396:P396)</f>
        <v>0</v>
      </c>
      <c r="R396" s="38">
        <f t="shared" ref="R396:R406" si="83">+E396+I396+M396+Q396</f>
        <v>5700</v>
      </c>
    </row>
    <row r="397" spans="1:20" ht="15.75" customHeight="1" x14ac:dyDescent="0.3">
      <c r="A397" s="410" t="s">
        <v>2571</v>
      </c>
      <c r="B397" s="172"/>
      <c r="C397" s="172"/>
      <c r="D397" s="172"/>
      <c r="E397" s="38">
        <f>SUM(B397:D397)</f>
        <v>0</v>
      </c>
      <c r="F397" s="172"/>
      <c r="G397" s="172"/>
      <c r="H397" s="172"/>
      <c r="I397" s="38">
        <f>SUM(F397:H397)</f>
        <v>0</v>
      </c>
      <c r="J397" s="172"/>
      <c r="K397" s="172"/>
      <c r="L397" s="172"/>
      <c r="M397" s="38">
        <f>SUM(J397:L397)</f>
        <v>0</v>
      </c>
      <c r="N397" s="172"/>
      <c r="O397" s="172"/>
      <c r="P397" s="172"/>
      <c r="Q397" s="38">
        <f>SUM(N397:P397)</f>
        <v>0</v>
      </c>
      <c r="R397" s="38">
        <f>+E397+I397+M397+Q397</f>
        <v>0</v>
      </c>
    </row>
    <row r="398" spans="1:20" ht="15.75" customHeight="1" x14ac:dyDescent="0.3">
      <c r="A398" s="410" t="s">
        <v>2572</v>
      </c>
      <c r="B398" s="10">
        <v>400</v>
      </c>
      <c r="C398" s="10">
        <v>500</v>
      </c>
      <c r="D398" s="10">
        <v>900</v>
      </c>
      <c r="E398" s="38">
        <f>SUM(B398:D398)</f>
        <v>1800</v>
      </c>
      <c r="F398" s="10">
        <v>900</v>
      </c>
      <c r="G398" s="10">
        <v>900</v>
      </c>
      <c r="H398" s="10">
        <v>500</v>
      </c>
      <c r="I398" s="38">
        <f>SUM(F398:H398)</f>
        <v>2300</v>
      </c>
      <c r="J398" s="10">
        <v>200</v>
      </c>
      <c r="K398" s="10">
        <v>200</v>
      </c>
      <c r="L398" s="10">
        <v>400</v>
      </c>
      <c r="M398" s="38">
        <f>SUM(J398:L398)</f>
        <v>800</v>
      </c>
      <c r="N398" s="172">
        <v>400</v>
      </c>
      <c r="O398" s="172">
        <v>1100</v>
      </c>
      <c r="P398" s="172">
        <v>300</v>
      </c>
      <c r="Q398" s="38">
        <f>SUM(N398:P398)</f>
        <v>1800</v>
      </c>
      <c r="R398" s="38">
        <f>+E398+I398+M398+Q398</f>
        <v>6700</v>
      </c>
      <c r="T398" t="s">
        <v>2174</v>
      </c>
    </row>
    <row r="399" spans="1:20" ht="15.75" customHeight="1" x14ac:dyDescent="0.3">
      <c r="A399" s="410" t="s">
        <v>2573</v>
      </c>
      <c r="B399" s="10"/>
      <c r="C399" s="10"/>
      <c r="D399" s="10"/>
      <c r="E399" s="38">
        <f>SUM(B399:D399)</f>
        <v>0</v>
      </c>
      <c r="F399" s="10"/>
      <c r="G399" s="10"/>
      <c r="H399" s="10"/>
      <c r="I399" s="38">
        <f>SUM(F399:H399)</f>
        <v>0</v>
      </c>
      <c r="J399" s="10"/>
      <c r="K399" s="10"/>
      <c r="L399" s="10"/>
      <c r="M399" s="38">
        <f>SUM(J399:L399)</f>
        <v>0</v>
      </c>
      <c r="N399" s="172"/>
      <c r="O399" s="172"/>
      <c r="P399" s="172"/>
      <c r="Q399" s="38">
        <f>SUM(N399:P399)</f>
        <v>0</v>
      </c>
      <c r="R399" s="38">
        <f>+E399+I399+M399+Q399</f>
        <v>0</v>
      </c>
    </row>
    <row r="400" spans="1:20" ht="15.75" customHeight="1" thickBot="1" x14ac:dyDescent="0.35">
      <c r="A400" s="410" t="s">
        <v>2574</v>
      </c>
      <c r="B400" s="10"/>
      <c r="C400" s="10"/>
      <c r="D400" s="10"/>
      <c r="E400" s="38">
        <f>SUM(B400:D400)</f>
        <v>0</v>
      </c>
      <c r="F400" s="10"/>
      <c r="G400" s="10"/>
      <c r="H400" s="10"/>
      <c r="I400" s="38">
        <f>SUM(F400:H400)</f>
        <v>0</v>
      </c>
      <c r="J400" s="10"/>
      <c r="K400" s="10">
        <v>1207</v>
      </c>
      <c r="L400" s="10"/>
      <c r="M400" s="38">
        <f>SUM(J400:L400)</f>
        <v>1207</v>
      </c>
      <c r="N400" s="10">
        <v>23</v>
      </c>
      <c r="O400" s="10"/>
      <c r="P400" s="10"/>
      <c r="Q400" s="38">
        <f>SUM(N400:P400)</f>
        <v>23</v>
      </c>
      <c r="R400" s="38">
        <f>+E400+I400+M400+Q400</f>
        <v>1230</v>
      </c>
      <c r="T400" t="s">
        <v>2175</v>
      </c>
    </row>
    <row r="401" spans="1:18" ht="16.5" customHeight="1" thickBot="1" x14ac:dyDescent="0.35">
      <c r="A401" s="43" t="s">
        <v>1019</v>
      </c>
      <c r="B401" s="42">
        <f>SUM(B384:B400)</f>
        <v>400</v>
      </c>
      <c r="C401" s="42">
        <f>SUM(C384:C400)</f>
        <v>500</v>
      </c>
      <c r="D401" s="42">
        <f>SUM(D384:D400)</f>
        <v>4841</v>
      </c>
      <c r="E401" s="39">
        <f t="shared" si="79"/>
        <v>5741</v>
      </c>
      <c r="F401" s="42">
        <f>SUM(F384:F400)</f>
        <v>5904</v>
      </c>
      <c r="G401" s="42">
        <f>SUM(G384:G400)</f>
        <v>2539</v>
      </c>
      <c r="H401" s="42">
        <f>SUM(H384:H400)</f>
        <v>3407</v>
      </c>
      <c r="I401" s="39">
        <f t="shared" si="80"/>
        <v>11850</v>
      </c>
      <c r="J401" s="42">
        <f>SUM(J384:J400)</f>
        <v>2993</v>
      </c>
      <c r="K401" s="42">
        <f>SUM(K384:K400)</f>
        <v>1407</v>
      </c>
      <c r="L401" s="42">
        <f>SUM(L384:L400)</f>
        <v>438</v>
      </c>
      <c r="M401" s="39">
        <f t="shared" si="81"/>
        <v>4838</v>
      </c>
      <c r="N401" s="42">
        <f>SUM(N384:N400)</f>
        <v>4221</v>
      </c>
      <c r="O401" s="42">
        <f>SUM(O384:O400)</f>
        <v>3228</v>
      </c>
      <c r="P401" s="42">
        <f>SUM(P384:P400)</f>
        <v>2560</v>
      </c>
      <c r="Q401" s="39">
        <f t="shared" si="82"/>
        <v>10009</v>
      </c>
      <c r="R401" s="37">
        <f t="shared" si="83"/>
        <v>32438</v>
      </c>
    </row>
    <row r="402" spans="1:18" ht="16.5" customHeight="1" thickBot="1" x14ac:dyDescent="0.35">
      <c r="A402" s="277" t="s">
        <v>1221</v>
      </c>
      <c r="B402" s="45">
        <f>SUM(B378:B400)</f>
        <v>400</v>
      </c>
      <c r="C402" s="46">
        <f>SUM(C378:C400)</f>
        <v>1520</v>
      </c>
      <c r="D402" s="58">
        <f>SUM(D378:D400)</f>
        <v>6762</v>
      </c>
      <c r="E402" s="39">
        <f t="shared" si="79"/>
        <v>8682</v>
      </c>
      <c r="F402" s="46">
        <f>SUM(F378:F400)</f>
        <v>7463</v>
      </c>
      <c r="G402" s="46">
        <f>SUM(G378:G400)</f>
        <v>2539</v>
      </c>
      <c r="H402" s="46">
        <f>SUM(H378:H400)</f>
        <v>3407</v>
      </c>
      <c r="I402" s="39">
        <f t="shared" si="80"/>
        <v>13409</v>
      </c>
      <c r="J402" s="46">
        <f>SUM(J378:J400)</f>
        <v>2995</v>
      </c>
      <c r="K402" s="46">
        <f>SUM(K378:K400)</f>
        <v>1407</v>
      </c>
      <c r="L402" s="46">
        <f>SUM(L378:L400)</f>
        <v>438</v>
      </c>
      <c r="M402" s="39">
        <f t="shared" si="81"/>
        <v>4840</v>
      </c>
      <c r="N402" s="46">
        <f>SUM(N378:N400)</f>
        <v>4221</v>
      </c>
      <c r="O402" s="46">
        <f>SUM(O378:O400)</f>
        <v>3228</v>
      </c>
      <c r="P402" s="46">
        <f>SUM(P378:P400)</f>
        <v>2560</v>
      </c>
      <c r="Q402" s="39">
        <f t="shared" si="82"/>
        <v>10009</v>
      </c>
      <c r="R402" s="37">
        <f t="shared" si="83"/>
        <v>36940</v>
      </c>
    </row>
    <row r="403" spans="1:18" ht="16.5" customHeight="1" thickBot="1" x14ac:dyDescent="0.35">
      <c r="A403" s="43" t="s">
        <v>1222</v>
      </c>
      <c r="B403" s="47">
        <f>+B329+B342+B377+B402</f>
        <v>17289</v>
      </c>
      <c r="C403" s="42">
        <f>+C329+C342+C377+C402</f>
        <v>35687</v>
      </c>
      <c r="D403" s="42">
        <f>+D329+D342+D377+D402</f>
        <v>51766</v>
      </c>
      <c r="E403" s="37">
        <f t="shared" si="79"/>
        <v>104742</v>
      </c>
      <c r="F403" s="42">
        <f>+F329+F342+F377+F402</f>
        <v>76701</v>
      </c>
      <c r="G403" s="42">
        <f>+G329+G342+G377+G402</f>
        <v>90971</v>
      </c>
      <c r="H403" s="42">
        <f>+H329+H342+H377+H402</f>
        <v>108295</v>
      </c>
      <c r="I403" s="37">
        <f t="shared" si="80"/>
        <v>275967</v>
      </c>
      <c r="J403" s="42">
        <f>+J329+J342+J377+J402</f>
        <v>84305</v>
      </c>
      <c r="K403" s="42">
        <f>+K329+K342+K377+K402</f>
        <v>74649</v>
      </c>
      <c r="L403" s="42">
        <f>+L329+L342+L377+L402</f>
        <v>40875</v>
      </c>
      <c r="M403" s="37">
        <f t="shared" si="81"/>
        <v>199829</v>
      </c>
      <c r="N403" s="42">
        <f>+N329+N342+N377+N402</f>
        <v>44454</v>
      </c>
      <c r="O403" s="42">
        <f>+O329+O342+O377+O402</f>
        <v>32361</v>
      </c>
      <c r="P403" s="42">
        <f>+P329+P342+P377+P402</f>
        <v>27851</v>
      </c>
      <c r="Q403" s="37">
        <f t="shared" si="82"/>
        <v>104666</v>
      </c>
      <c r="R403" s="40">
        <f t="shared" si="83"/>
        <v>685204</v>
      </c>
    </row>
    <row r="404" spans="1:18" ht="15.75" customHeight="1" x14ac:dyDescent="0.3">
      <c r="A404" s="539" t="s">
        <v>2273</v>
      </c>
      <c r="B404" s="172"/>
      <c r="C404" s="172"/>
      <c r="D404" s="172"/>
      <c r="E404" s="38">
        <f t="shared" si="79"/>
        <v>0</v>
      </c>
      <c r="F404" s="172"/>
      <c r="G404" s="172"/>
      <c r="H404" s="172"/>
      <c r="I404" s="38">
        <f t="shared" si="80"/>
        <v>0</v>
      </c>
      <c r="J404" s="172"/>
      <c r="K404" s="172"/>
      <c r="L404" s="172"/>
      <c r="M404" s="38">
        <f t="shared" si="81"/>
        <v>0</v>
      </c>
      <c r="N404" s="172"/>
      <c r="O404" s="172"/>
      <c r="P404" s="172"/>
      <c r="Q404" s="38">
        <f t="shared" si="82"/>
        <v>0</v>
      </c>
      <c r="R404" s="38">
        <f t="shared" si="83"/>
        <v>0</v>
      </c>
    </row>
    <row r="405" spans="1:18" ht="15.75" customHeight="1" x14ac:dyDescent="0.3">
      <c r="A405" s="539" t="s">
        <v>2274</v>
      </c>
      <c r="B405" s="172"/>
      <c r="C405" s="172"/>
      <c r="D405" s="172"/>
      <c r="E405" s="38">
        <f t="shared" si="79"/>
        <v>0</v>
      </c>
      <c r="F405" s="172"/>
      <c r="G405" s="172"/>
      <c r="H405" s="172"/>
      <c r="I405" s="38">
        <f t="shared" si="80"/>
        <v>0</v>
      </c>
      <c r="J405" s="172"/>
      <c r="K405" s="172"/>
      <c r="L405" s="172"/>
      <c r="M405" s="38">
        <f t="shared" si="81"/>
        <v>0</v>
      </c>
      <c r="N405" s="172"/>
      <c r="O405" s="172"/>
      <c r="P405" s="172"/>
      <c r="Q405" s="38">
        <f t="shared" si="82"/>
        <v>0</v>
      </c>
      <c r="R405" s="38">
        <f t="shared" si="83"/>
        <v>0</v>
      </c>
    </row>
    <row r="406" spans="1:18" ht="16.5" customHeight="1" thickBot="1" x14ac:dyDescent="0.35">
      <c r="A406" s="257" t="s">
        <v>853</v>
      </c>
      <c r="B406" s="238">
        <v>155</v>
      </c>
      <c r="C406" s="238">
        <v>283</v>
      </c>
      <c r="D406" s="238">
        <v>435</v>
      </c>
      <c r="E406" s="40">
        <f t="shared" si="79"/>
        <v>873</v>
      </c>
      <c r="F406" s="238">
        <v>602</v>
      </c>
      <c r="G406" s="238">
        <v>711</v>
      </c>
      <c r="H406" s="238">
        <v>722</v>
      </c>
      <c r="I406" s="40">
        <f t="shared" si="80"/>
        <v>2035</v>
      </c>
      <c r="J406" s="238">
        <v>686</v>
      </c>
      <c r="K406" s="238">
        <v>519</v>
      </c>
      <c r="L406" s="238">
        <v>531</v>
      </c>
      <c r="M406" s="40">
        <f t="shared" si="81"/>
        <v>1736</v>
      </c>
      <c r="N406" s="238">
        <v>489</v>
      </c>
      <c r="O406" s="238">
        <v>389</v>
      </c>
      <c r="P406" s="238">
        <v>275</v>
      </c>
      <c r="Q406" s="40">
        <f t="shared" si="82"/>
        <v>1153</v>
      </c>
      <c r="R406" s="38">
        <f t="shared" si="83"/>
        <v>5797</v>
      </c>
    </row>
    <row r="407" spans="1:18" ht="16.5" customHeight="1" thickBot="1" x14ac:dyDescent="0.35">
      <c r="A407" s="44"/>
      <c r="B407" s="258"/>
      <c r="C407" s="258"/>
      <c r="D407" s="258"/>
      <c r="E407" s="37"/>
      <c r="F407" s="258"/>
      <c r="G407" s="258"/>
      <c r="H407" s="258"/>
      <c r="I407" s="37"/>
      <c r="J407" s="258"/>
      <c r="K407" s="258"/>
      <c r="L407" s="258"/>
      <c r="M407" s="37"/>
      <c r="N407" s="258"/>
      <c r="O407" s="258"/>
      <c r="P407" s="258"/>
      <c r="Q407" s="37"/>
      <c r="R407" s="37" t="s">
        <v>852</v>
      </c>
    </row>
    <row r="408" spans="1:18" ht="15.75" customHeight="1" x14ac:dyDescent="0.3">
      <c r="A408" s="259" t="s">
        <v>2011</v>
      </c>
      <c r="B408" s="260">
        <f>SUM(B403:B406)</f>
        <v>17444</v>
      </c>
      <c r="C408" s="260">
        <f>SUM(C403:C406)</f>
        <v>35970</v>
      </c>
      <c r="D408" s="260">
        <f>SUM(D403:D406)</f>
        <v>52201</v>
      </c>
      <c r="E408" s="39">
        <f>SUM(B408:D408)</f>
        <v>105615</v>
      </c>
      <c r="F408" s="260">
        <f>SUM(F403:F406)</f>
        <v>77303</v>
      </c>
      <c r="G408" s="260">
        <f>SUM(G403:G406)</f>
        <v>91682</v>
      </c>
      <c r="H408" s="260">
        <f>SUM(H403:H406)</f>
        <v>109017</v>
      </c>
      <c r="I408" s="39">
        <f>SUM(F408:H408)</f>
        <v>278002</v>
      </c>
      <c r="J408" s="260">
        <f>SUM(J403:J406)</f>
        <v>84991</v>
      </c>
      <c r="K408" s="260">
        <f>SUM(K403:K406)</f>
        <v>75168</v>
      </c>
      <c r="L408" s="260">
        <f>SUM(L403:L406)</f>
        <v>41406</v>
      </c>
      <c r="M408" s="39">
        <f>SUM(J408:L408)</f>
        <v>201565</v>
      </c>
      <c r="N408" s="260">
        <f>SUM(N403:N406)</f>
        <v>44943</v>
      </c>
      <c r="O408" s="260">
        <f>SUM(O403:O406)</f>
        <v>32750</v>
      </c>
      <c r="P408" s="260">
        <f>SUM(P403:P406)</f>
        <v>28126</v>
      </c>
      <c r="Q408" s="39">
        <f>SUM(N408:P408)</f>
        <v>105819</v>
      </c>
      <c r="R408" s="39">
        <f>+E408+I408+M408+Q408</f>
        <v>691001</v>
      </c>
    </row>
    <row r="409" spans="1:18" ht="15.75" customHeight="1" x14ac:dyDescent="0.3">
      <c r="A409" s="262" t="s">
        <v>1897</v>
      </c>
      <c r="B409" s="172">
        <f>(B408/B10)/1.983</f>
        <v>283.76685699412752</v>
      </c>
      <c r="C409" s="172">
        <f>(C408/C10)/1.983</f>
        <v>647.82796628484971</v>
      </c>
      <c r="D409" s="172">
        <f>(D408/D10)/1.983</f>
        <v>849.16955411318793</v>
      </c>
      <c r="E409" s="38" t="s">
        <v>852</v>
      </c>
      <c r="F409" s="172">
        <f>(F408/F10)/1.983</f>
        <v>1299.4284753740126</v>
      </c>
      <c r="G409" s="172">
        <f>(G408/G10)/1.983</f>
        <v>1491.4189969580141</v>
      </c>
      <c r="H409" s="172">
        <f>(H408/H10)/1.983</f>
        <v>1832.5264750378215</v>
      </c>
      <c r="I409" s="38" t="s">
        <v>852</v>
      </c>
      <c r="J409" s="172">
        <f>(J408/J10)/1.983</f>
        <v>1382.574463585639</v>
      </c>
      <c r="K409" s="172">
        <f>(K408/K10)/1.983</f>
        <v>1222.7807330047337</v>
      </c>
      <c r="L409" s="172">
        <f>(L408/L10)/1.983</f>
        <v>696.01613716591021</v>
      </c>
      <c r="M409" s="38" t="s">
        <v>852</v>
      </c>
      <c r="N409" s="172">
        <f>(N408/N10)/1.983</f>
        <v>731.10145917719967</v>
      </c>
      <c r="O409" s="172">
        <f>(O408/O10)/1.983</f>
        <v>550.5126912086065</v>
      </c>
      <c r="P409" s="172">
        <f>(P408/P10)/1.983</f>
        <v>457.53420200738532</v>
      </c>
      <c r="Q409" s="38" t="s">
        <v>852</v>
      </c>
      <c r="R409" s="38" t="s">
        <v>852</v>
      </c>
    </row>
    <row r="410" spans="1:18" ht="15.75" customHeight="1" x14ac:dyDescent="0.3">
      <c r="A410" s="262" t="s">
        <v>2432</v>
      </c>
      <c r="B410" s="172">
        <f>B408+B457</f>
        <v>33048</v>
      </c>
      <c r="C410" s="172">
        <f>C408+C457</f>
        <v>50414</v>
      </c>
      <c r="D410" s="172">
        <f>D408+D457</f>
        <v>87259</v>
      </c>
      <c r="E410" s="38">
        <f>SUM(B410:D410)</f>
        <v>170721</v>
      </c>
      <c r="F410" s="172">
        <f>F408+F457</f>
        <v>117989</v>
      </c>
      <c r="G410" s="172">
        <f>G408+G457</f>
        <v>132636</v>
      </c>
      <c r="H410" s="172">
        <f>H408+H457</f>
        <v>153372</v>
      </c>
      <c r="I410" s="38">
        <f>SUM(F410:H410)</f>
        <v>403997</v>
      </c>
      <c r="J410" s="172">
        <f>J408+J457</f>
        <v>135299</v>
      </c>
      <c r="K410" s="172">
        <f>K408+K457</f>
        <v>125083</v>
      </c>
      <c r="L410" s="172">
        <f>L408+L457</f>
        <v>72908</v>
      </c>
      <c r="M410" s="38">
        <f>SUM(J410:L410)</f>
        <v>333290</v>
      </c>
      <c r="N410" s="172">
        <f>N408+N457</f>
        <v>64634</v>
      </c>
      <c r="O410" s="172">
        <f>O408+O457</f>
        <v>44002</v>
      </c>
      <c r="P410" s="172">
        <f>P408+P457</f>
        <v>47444</v>
      </c>
      <c r="Q410" s="38">
        <f>SUM(N410:P410)</f>
        <v>156080</v>
      </c>
      <c r="R410" s="38">
        <f>+E410+I410+M410+Q410</f>
        <v>1064088</v>
      </c>
    </row>
    <row r="411" spans="1:18" s="574" customFormat="1" ht="16.5" customHeight="1" thickBot="1" x14ac:dyDescent="0.35">
      <c r="A411" s="576" t="s">
        <v>104</v>
      </c>
      <c r="B411" s="577">
        <f>(B410/B10)/1.983</f>
        <v>537.60187399346046</v>
      </c>
      <c r="C411" s="577">
        <f>(C410/C10)/1.983</f>
        <v>907.96772566817947</v>
      </c>
      <c r="D411" s="577">
        <f>(D410/D10)/1.983</f>
        <v>1419.4687098400925</v>
      </c>
      <c r="E411" s="578" t="s">
        <v>852</v>
      </c>
      <c r="F411" s="577">
        <f>(F410/F10)/1.983</f>
        <v>1983.3417381072447</v>
      </c>
      <c r="G411" s="577">
        <f>(G410/G10)/1.983</f>
        <v>2157.630179103021</v>
      </c>
      <c r="H411" s="577">
        <f>(H410/H10)/1.983</f>
        <v>2578.1139687342406</v>
      </c>
      <c r="I411" s="578" t="s">
        <v>852</v>
      </c>
      <c r="J411" s="577">
        <f>(J410/J10)/1.983</f>
        <v>2200.9500105737475</v>
      </c>
      <c r="K411" s="577">
        <f>(K410/K10)/1.983</f>
        <v>2034.7632293852585</v>
      </c>
      <c r="L411" s="577">
        <f>(L410/L10)/1.983</f>
        <v>1225.5505126912087</v>
      </c>
      <c r="M411" s="578" t="s">
        <v>852</v>
      </c>
      <c r="N411" s="577">
        <f>(N410/N10)/1.983</f>
        <v>1051.4209490345354</v>
      </c>
      <c r="O411" s="577">
        <f>(O410/O10)/1.983</f>
        <v>739.65372331484275</v>
      </c>
      <c r="P411" s="577">
        <f>(P410/P10)/1.983</f>
        <v>771.78598734403715</v>
      </c>
      <c r="Q411" s="578" t="s">
        <v>852</v>
      </c>
      <c r="R411" s="578" t="s">
        <v>852</v>
      </c>
    </row>
    <row r="412" spans="1:18" ht="15.75" customHeight="1" x14ac:dyDescent="0.3">
      <c r="A412" s="351" t="s">
        <v>1011</v>
      </c>
      <c r="B412" s="352">
        <f>B$413+(SUMIF($T$283:$T$388,"FLG",B$290:B$405)/B10/1.98)+(SUMIF($T$283:$T$388,"FCA",B$290:B$405)/B10/1.98)+(SUMIF($T$283:$T$388,"NSC",B$290:B$405)/B10/1.98)</f>
        <v>287.96665596968171</v>
      </c>
      <c r="C412" s="352">
        <f>C$413+(SUMIF($T$283:$T$388,"FLG",C$290:C$405)/C10/1.98)+(SUMIF($T$283:$T$388,"FCA",C$290:C$405)/C10/1.98)+(SUMIF($T$283:$T$388,"NSC",C$290:C$405)/C10/1.98)</f>
        <v>326.75231349588387</v>
      </c>
      <c r="D412" s="352">
        <f>D$413+(SUMIF($T$283:$T$388,"FLG",D$290:D$405)/D10/1.98)+(SUMIF($T$283:$T$388,"FCA",D$290:D$405)/D10/1.98)+(SUMIF($T$283:$T$388,"NSC",D$290:D$405)/D10/1.98)</f>
        <v>630.92150828474087</v>
      </c>
      <c r="E412" s="329"/>
      <c r="F412" s="352">
        <f>F$413+(SUMIF($T$283:$T$388,"FLG",F$290:F$405)/F10/1.98)+(SUMIF($T$283:$T$388,"FCA",F$290:F$405)/F10/1.98)+(SUMIF($T$283:$T$388,"NSC",F$290:F$405)/F10/1.98)</f>
        <v>827.398111218081</v>
      </c>
      <c r="G412" s="352">
        <f>G$413+(SUMIF($T$283:$T$388,"FLG",G$290:G$405)/G10/1.98)+(SUMIF($T$283:$T$388,"FCA",G$290:G$405)/G10/1.98)+(SUMIF($T$283:$T$388,"NSC",G$290:G$405)/G10/1.98)</f>
        <v>858.01633040176785</v>
      </c>
      <c r="H412" s="352">
        <f>H$413+(SUMIF($T$283:$T$388,"FLG",H$290:H$405)/H10/1.98)+(SUMIF($T$283:$T$388,"FCA",H$290:H$405)/H10/1.98)+(SUMIF($T$283:$T$388,"NSC",H$290:H$405)/H10/1.98)</f>
        <v>931.74910985803569</v>
      </c>
      <c r="I412" s="350"/>
      <c r="J412" s="352">
        <f>J$413+(SUMIF($T$283:$T$388,"FLG",J$290:J$405)/J10/1.98)+(SUMIF($T$283:$T$388,"FCA",J$290:J$405)/J10/1.98)+(SUMIF($T$283:$T$388,"NSC",J$290:J$405)/J10/1.98)</f>
        <v>901.48079299658036</v>
      </c>
      <c r="K412" s="352">
        <f>K$413+(SUMIF($T$283:$T$388,"FLG",K$290:K$405)/K10/1.98)+(SUMIF($T$283:$T$388,"FCA",K$290:K$405)/K10/1.98)+(SUMIF($T$283:$T$388,"NSC",K$290:K$405)/K10/1.98)</f>
        <v>940.281616615129</v>
      </c>
      <c r="L412" s="352">
        <f>L$413+(SUMIF($T$283:$T$388,"FLG",L$290:L$405)/L10/1.98)+(SUMIF($T$283:$T$388,"FCA",L$290:L$405)/L10/1.98)+(SUMIF($T$283:$T$388,"NSC",L$290:L$405)/L10/1.98)</f>
        <v>591.15053714145995</v>
      </c>
      <c r="M412" s="350"/>
      <c r="N412" s="352">
        <f>N$413+(SUMIF($T$283:$T$388,"FLG",N$290:N$405)/N10/1.98)+(SUMIF($T$283:$T$388,"FCA",N$290:N$405)/N10/1.98)+(SUMIF($T$283:$T$388,"NSC",N$290:N$405)/N10/1.98)</f>
        <v>355.52639764488868</v>
      </c>
      <c r="O412" s="352">
        <f>O$413+(SUMIF($T$283:$T$388,"FLG",O$290:O$405)/O10/1.98)+(SUMIF($T$283:$T$388,"FCA",O$290:O$405)/O10/1.98)+(SUMIF($T$283:$T$388,"NSC",O$290:O$405)/O10/1.98)</f>
        <v>202.35652032172456</v>
      </c>
      <c r="P412" s="352">
        <f>P$413+(SUMIF($T$283:$T$388,"FLG",P$290:P$405)/P10/1.98)+(SUMIF($T$283:$T$388,"FCA",P$290:P$405)/P10/1.98)+(SUMIF($T$283:$T$388,"NSC",P$290:P$405)/P10/1.98)</f>
        <v>316.1416517426473</v>
      </c>
      <c r="Q412" s="350"/>
      <c r="R412" s="350"/>
    </row>
    <row r="413" spans="1:18" ht="15.75" customHeight="1" x14ac:dyDescent="0.3">
      <c r="A413" s="351" t="s">
        <v>1012</v>
      </c>
      <c r="B413" s="352">
        <f>B$414+(SUMIF($T$283:$T$388,"FCI",B$290:B$405)/B10/1.98)+(SUMIF($T$283:$T$388,"FCC",B$290:B$405)/B10/1.98)</f>
        <v>287.96665596968171</v>
      </c>
      <c r="C413" s="352">
        <f>C$414+(SUMIF($T$283:$T$388,"FCI",C$290:C$405)/C10/1.98)+(SUMIF($T$283:$T$388,"FCC",C$290:C$405)/C10/1.98)</f>
        <v>326.75231349588387</v>
      </c>
      <c r="D413" s="352">
        <f>D$414+(SUMIF($T$283:$T$388,"FCI",D$290:D$405)/D10/1.98)+(SUMIF($T$283:$T$388,"FCC",D$290:D$405)/D10/1.98)</f>
        <v>630.92150828474087</v>
      </c>
      <c r="E413" s="329"/>
      <c r="F413" s="352">
        <f>F$414+(SUMIF($T$283:$T$388,"FCI",F$290:F$405)/F10/1.98)+(SUMIF($T$283:$T$388,"FCC",F$290:F$405)/F10/1.98)</f>
        <v>827.398111218081</v>
      </c>
      <c r="G413" s="352">
        <f>G$414+(SUMIF($T$283:$T$388,"FCI",G$290:G$405)/G10/1.98)+(SUMIF($T$283:$T$388,"FCC",G$290:G$405)/G10/1.98)</f>
        <v>858.01633040176785</v>
      </c>
      <c r="H413" s="352">
        <f>H$414+(SUMIF($T$283:$T$388,"FCI",H$290:H$405)/H10/1.98)+(SUMIF($T$283:$T$388,"FCC",H$290:H$405)/H10/1.98)</f>
        <v>931.74910985803569</v>
      </c>
      <c r="I413" s="350"/>
      <c r="J413" s="352">
        <f>J$414+(SUMIF($T$283:$T$388,"FCI",J$290:J$405)/J10/1.98)+(SUMIF($T$283:$T$388,"FCC",J$290:J$405)/J10/1.98)</f>
        <v>901.48079299658036</v>
      </c>
      <c r="K413" s="352">
        <f>K$414+(SUMIF($T$283:$T$388,"FCI",K$290:K$405)/K10/1.98)+(SUMIF($T$283:$T$388,"FCC",K$290:K$405)/K10/1.98)</f>
        <v>940.281616615129</v>
      </c>
      <c r="L413" s="352">
        <f>L$414+(SUMIF($T$283:$T$388,"FCI",L$290:L$405)/L10/1.98)+(SUMIF($T$283:$T$388,"FCC",L$290:L$405)/L10/1.98)</f>
        <v>591.15053714145995</v>
      </c>
      <c r="M413" s="350"/>
      <c r="N413" s="352">
        <f>N$414+(SUMIF($T$283:$T$388,"FCI",N$290:N$405)/N10/1.98)+(SUMIF($T$283:$T$388,"FCC",N$290:N$405)/N10/1.98)</f>
        <v>355.52639764488868</v>
      </c>
      <c r="O413" s="352">
        <f>O$414+(SUMIF($T$283:$T$388,"FCI",O$290:O$405)/O10/1.98)+(SUMIF($T$283:$T$388,"FCC",O$290:O$405)/O10/1.98)</f>
        <v>202.35652032172456</v>
      </c>
      <c r="P413" s="352">
        <f>P$414+(SUMIF($T$283:$T$388,"FCI",P$290:P$405)/P10/1.98)+(SUMIF($T$283:$T$388,"FCC",P$290:P$405)/P10/1.98)</f>
        <v>316.1416517426473</v>
      </c>
      <c r="Q413" s="350"/>
      <c r="R413" s="350"/>
    </row>
    <row r="414" spans="1:18" ht="15.75" customHeight="1" x14ac:dyDescent="0.3">
      <c r="A414" s="351" t="s">
        <v>1013</v>
      </c>
      <c r="B414" s="352">
        <f>B$415+(SUMIF($T$283:$T$388,"PIL",B$290:B$405)/B10/1.98)+(SUMIF($T$283:$T$388,"KLK",B$290:B$405)/B10/1.98)</f>
        <v>287.96665596968171</v>
      </c>
      <c r="C414" s="352">
        <f>C$415+(SUMIF($T$283:$T$388,"PIL",C$290:C$405)/C10/1.98)+(SUMIF($T$283:$T$388,"KLK",C$290:C$405)/C10/1.98)</f>
        <v>326.75231349588387</v>
      </c>
      <c r="D414" s="352">
        <f>D$415+(SUMIF($T$283:$T$388,"PIL",D$290:D$405)/D10/1.98)+(SUMIF($T$283:$T$388,"KLK",D$290:D$405)/D10/1.98)</f>
        <v>630.92150828474087</v>
      </c>
      <c r="E414" s="329"/>
      <c r="F414" s="352">
        <f>F$415+(SUMIF($T$283:$T$388,"PIL",F$290:F$405)/F10/1.98)+(SUMIF($T$283:$T$388,"KLK",F$290:F$405)/F10/1.98)</f>
        <v>827.398111218081</v>
      </c>
      <c r="G414" s="352">
        <f>G$415+(SUMIF($T$283:$T$388,"PIL",G$290:G$405)/G10/1.98)+(SUMIF($T$283:$T$388,"KLK",G$290:G$405)/G10/1.98)</f>
        <v>858.01633040176785</v>
      </c>
      <c r="H414" s="352">
        <f>H$415+(SUMIF($T$283:$T$388,"PIL",H$290:H$405)/H10/1.98)+(SUMIF($T$283:$T$388,"KLK",H$290:H$405)/H10/1.98)</f>
        <v>931.74910985803569</v>
      </c>
      <c r="I414" s="350"/>
      <c r="J414" s="352">
        <f>J$415+(SUMIF($T$283:$T$388,"PIL",J$290:J$405)/J10/1.98)+(SUMIF($T$283:$T$388,"KLK",J$290:J$405)/J10/1.98)</f>
        <v>901.48079299658036</v>
      </c>
      <c r="K414" s="352">
        <f>K$415+(SUMIF($T$283:$T$388,"PIL",K$290:K$405)/K10/1.98)+(SUMIF($T$283:$T$388,"KLK",K$290:K$405)/K10/1.98)</f>
        <v>940.281616615129</v>
      </c>
      <c r="L414" s="352">
        <f>L$415+(SUMIF($T$283:$T$388,"PIL",L$290:L$405)/L10/1.98)+(SUMIF($T$283:$T$388,"KLK",L$290:L$405)/L10/1.98)</f>
        <v>591.15053714145995</v>
      </c>
      <c r="M414" s="350"/>
      <c r="N414" s="352">
        <f>N$415+(SUMIF($T$283:$T$388,"PIL",N$290:N$405)/N10/1.98)+(SUMIF($T$283:$T$388,"KLK",N$290:N$405)/N10/1.98)</f>
        <v>355.52639764488868</v>
      </c>
      <c r="O414" s="352">
        <f>O$415+(SUMIF($T$283:$T$388,"PIL",O$290:O$405)/O10/1.98)+(SUMIF($T$283:$T$388,"KLK",O$290:O$405)/O10/1.98)</f>
        <v>202.35652032172456</v>
      </c>
      <c r="P414" s="352">
        <f>P$415+(SUMIF($T$283:$T$388,"PIL",P$290:P$405)/P10/1.98)+(SUMIF($T$283:$T$388,"KLK",P$290:P$405)/P10/1.98)</f>
        <v>316.1416517426473</v>
      </c>
      <c r="Q414" s="350"/>
      <c r="R414" s="350"/>
    </row>
    <row r="415" spans="1:18" ht="15.75" customHeight="1" x14ac:dyDescent="0.3">
      <c r="A415" s="351" t="s">
        <v>1014</v>
      </c>
      <c r="B415" s="352">
        <f>B$416+(SUMIF($T$283:$T$388,"CGE",B$290:B$405)/B10/1.98)</f>
        <v>287.96665596968171</v>
      </c>
      <c r="C415" s="352">
        <f>C$416+(SUMIF($T$283:$T$388,"CGE",C$290:C$405)/C10/1.98)</f>
        <v>326.75231349588387</v>
      </c>
      <c r="D415" s="352">
        <f>D$416+(SUMIF($T$283:$T$388,"CGE",D$290:D$405)/D10/1.98)</f>
        <v>630.92150828474087</v>
      </c>
      <c r="E415" s="329"/>
      <c r="F415" s="352">
        <f>F$416+(SUMIF($T$283:$T$388,"CGE",F$290:F$405)/F10/1.98)</f>
        <v>827.398111218081</v>
      </c>
      <c r="G415" s="352">
        <f>G$416+(SUMIF($T$283:$T$388,"CGE",G$290:G$405)/G10/1.98)</f>
        <v>858.01633040176785</v>
      </c>
      <c r="H415" s="352">
        <f>H$416+(SUMIF($T$283:$T$388,"CGE",H$290:H$405)/H10/1.98)</f>
        <v>931.74910985803569</v>
      </c>
      <c r="I415" s="350"/>
      <c r="J415" s="352">
        <f>J$416+(SUMIF($T$283:$T$388,"CGE",J$290:J$405)/J10/1.98)</f>
        <v>901.48079299658036</v>
      </c>
      <c r="K415" s="352">
        <f>K$416+(SUMIF($T$283:$T$388,"CGE",K$290:K$405)/K10/1.98)</f>
        <v>940.281616615129</v>
      </c>
      <c r="L415" s="352">
        <f>L$416+(SUMIF($T$283:$T$388,"CGE",L$290:L$405)/L10/1.98)</f>
        <v>591.15053714145995</v>
      </c>
      <c r="M415" s="350"/>
      <c r="N415" s="352">
        <f>N$416+(SUMIF($T$283:$T$388,"CGE",N$290:N$405)/N10/1.98)</f>
        <v>355.52639764488868</v>
      </c>
      <c r="O415" s="352">
        <f>O$416+(SUMIF($T$283:$T$388,"CGE",O$290:O$405)/O10/1.98)</f>
        <v>202.35652032172456</v>
      </c>
      <c r="P415" s="352">
        <f>P$416+(SUMIF($T$283:$T$388,"CGE",P$290:P$405)/P10/1.98)</f>
        <v>316.1416517426473</v>
      </c>
      <c r="Q415" s="350"/>
      <c r="R415" s="350"/>
    </row>
    <row r="416" spans="1:18" ht="15.75" customHeight="1" x14ac:dyDescent="0.3">
      <c r="A416" s="351" t="s">
        <v>1015</v>
      </c>
      <c r="B416" s="352">
        <f>B$417+(SUMIF($T$283:$T$388,"SRO",B$290:B$405)/B10/1.98)</f>
        <v>287.96665596968171</v>
      </c>
      <c r="C416" s="352">
        <f>C$417+(SUMIF($T$283:$T$388,"SRO",C$290:C$405)/C10/1.98)</f>
        <v>326.75231349588387</v>
      </c>
      <c r="D416" s="352">
        <f>D$417+(SUMIF($T$283:$T$388,"SRO",D$290:D$405)/D10/1.98)</f>
        <v>630.92150828474087</v>
      </c>
      <c r="E416" s="329"/>
      <c r="F416" s="352">
        <f>F$417+(SUMIF($T$283:$T$388,"SRO",F$290:F$405)/F10/1.98)</f>
        <v>827.398111218081</v>
      </c>
      <c r="G416" s="352">
        <f>G$417+(SUMIF($T$283:$T$388,"SRO",G$290:G$405)/G10/1.98)</f>
        <v>858.01633040176785</v>
      </c>
      <c r="H416" s="352">
        <f>H$417+(SUMIF($T$283:$T$388,"SRO",H$290:H$405)/H10/1.98)</f>
        <v>931.74910985803569</v>
      </c>
      <c r="I416" s="350"/>
      <c r="J416" s="352">
        <f>J$417+(SUMIF($T$283:$T$388,"SRO",J$290:J$405)/J10/1.98)</f>
        <v>901.36674933414963</v>
      </c>
      <c r="K416" s="352">
        <f>K$417+(SUMIF($T$283:$T$388,"SRO",K$290:K$405)/K10/1.98)</f>
        <v>939.54847878521696</v>
      </c>
      <c r="L416" s="352">
        <f>L$417+(SUMIF($T$283:$T$388,"SRO",L$290:L$405)/L10/1.98)</f>
        <v>591.15053714145995</v>
      </c>
      <c r="M416" s="350"/>
      <c r="N416" s="352">
        <f>N$417+(SUMIF($T$283:$T$388,"SRO",N$290:N$405)/N10/1.98)</f>
        <v>355.52639764488868</v>
      </c>
      <c r="O416" s="352">
        <f>O$417+(SUMIF($T$283:$T$388,"SRO",O$290:O$405)/O10/1.98)</f>
        <v>202.35652032172456</v>
      </c>
      <c r="P416" s="352">
        <f>P$417+(SUMIF($T$283:$T$388,"SRO",P$290:P$405)/P10/1.98)</f>
        <v>316.1416517426473</v>
      </c>
      <c r="Q416" s="350"/>
      <c r="R416" s="350"/>
    </row>
    <row r="417" spans="1:20" ht="15.75" customHeight="1" x14ac:dyDescent="0.3">
      <c r="A417" s="351" t="s">
        <v>130</v>
      </c>
      <c r="B417" s="352">
        <f>B$457/B10/1.983</f>
        <v>253.83501699933305</v>
      </c>
      <c r="C417" s="352">
        <f>C$457/C10/1.983</f>
        <v>260.13975938332976</v>
      </c>
      <c r="D417" s="352">
        <f>D$457/D10/1.983</f>
        <v>570.29915572690447</v>
      </c>
      <c r="E417" s="353"/>
      <c r="F417" s="352">
        <f>F$457/F10/1.983</f>
        <v>683.9132627332325</v>
      </c>
      <c r="G417" s="352">
        <f>G$457/G10/1.983</f>
        <v>666.21118214500666</v>
      </c>
      <c r="H417" s="352">
        <f>H$457/H10/1.983</f>
        <v>745.58749369641953</v>
      </c>
      <c r="I417" s="450"/>
      <c r="J417" s="352">
        <f>J$457/J10/1.983</f>
        <v>818.37554698810857</v>
      </c>
      <c r="K417" s="352">
        <f>K$457/K10/1.983</f>
        <v>811.98249638052482</v>
      </c>
      <c r="L417" s="352">
        <f>L$457/L10/1.983</f>
        <v>529.53437552529829</v>
      </c>
      <c r="M417" s="451"/>
      <c r="N417" s="352">
        <f>N$457/N10/1.983</f>
        <v>320.31948985733572</v>
      </c>
      <c r="O417" s="352">
        <f>O$457/O10/1.983</f>
        <v>189.14103210623634</v>
      </c>
      <c r="P417" s="352">
        <f>P$457/P10/1.983</f>
        <v>314.25178533665184</v>
      </c>
      <c r="Q417" s="451"/>
      <c r="R417" s="350"/>
    </row>
    <row r="418" spans="1:20" ht="15.75" customHeight="1" x14ac:dyDescent="0.3">
      <c r="A418" s="351"/>
      <c r="B418" s="352"/>
      <c r="C418" s="352"/>
      <c r="D418" s="352"/>
      <c r="E418" s="353"/>
      <c r="F418" s="352"/>
      <c r="G418" s="352"/>
      <c r="H418" s="352"/>
      <c r="I418" s="450"/>
      <c r="J418" s="352"/>
      <c r="K418" s="352"/>
      <c r="L418" s="352"/>
      <c r="M418" s="451"/>
      <c r="N418" s="352"/>
      <c r="O418" s="352"/>
      <c r="P418" s="352"/>
      <c r="Q418" s="451"/>
      <c r="R418" s="350"/>
    </row>
    <row r="419" spans="1:20" ht="15.75" customHeight="1" thickBot="1" x14ac:dyDescent="0.35">
      <c r="A419" s="18"/>
      <c r="B419" s="172"/>
      <c r="C419" s="172"/>
      <c r="D419" s="172"/>
      <c r="E419" s="172"/>
      <c r="F419" s="172"/>
      <c r="G419" s="172"/>
      <c r="H419" s="172"/>
      <c r="I419" s="172"/>
      <c r="J419" s="172"/>
      <c r="K419" s="172"/>
      <c r="L419" s="172"/>
      <c r="M419" s="172"/>
      <c r="N419" s="172"/>
      <c r="O419" s="172"/>
      <c r="P419" s="172"/>
      <c r="Q419" s="172"/>
      <c r="R419" s="17"/>
    </row>
    <row r="420" spans="1:20" ht="16.5" customHeight="1" thickBot="1" x14ac:dyDescent="0.35">
      <c r="A420" s="240" t="s">
        <v>813</v>
      </c>
      <c r="B420" s="4" t="s">
        <v>2090</v>
      </c>
      <c r="C420" s="5" t="s">
        <v>2091</v>
      </c>
      <c r="D420" s="5" t="s">
        <v>2234</v>
      </c>
      <c r="E420" s="33" t="s">
        <v>1594</v>
      </c>
      <c r="F420" s="5" t="s">
        <v>2235</v>
      </c>
      <c r="G420" s="5" t="s">
        <v>2236</v>
      </c>
      <c r="H420" s="5" t="s">
        <v>2237</v>
      </c>
      <c r="I420" s="35" t="s">
        <v>1595</v>
      </c>
      <c r="J420" s="5" t="s">
        <v>1504</v>
      </c>
      <c r="K420" s="5" t="s">
        <v>1505</v>
      </c>
      <c r="L420" s="5" t="s">
        <v>1506</v>
      </c>
      <c r="M420" s="35" t="s">
        <v>1596</v>
      </c>
      <c r="N420" s="5" t="s">
        <v>1507</v>
      </c>
      <c r="O420" s="5" t="s">
        <v>1508</v>
      </c>
      <c r="P420" s="5" t="s">
        <v>1509</v>
      </c>
      <c r="Q420" s="35" t="s">
        <v>1597</v>
      </c>
      <c r="R420" s="36" t="s">
        <v>1510</v>
      </c>
    </row>
    <row r="421" spans="1:20" ht="16.5" customHeight="1" thickBot="1" x14ac:dyDescent="0.35">
      <c r="A421" s="37"/>
      <c r="B421" s="258"/>
      <c r="C421" s="258"/>
      <c r="D421" s="258"/>
      <c r="E421" s="254"/>
      <c r="F421" s="258"/>
      <c r="G421" s="258"/>
      <c r="H421" s="258"/>
      <c r="I421" s="265"/>
      <c r="J421" s="258"/>
      <c r="K421" s="258"/>
      <c r="L421" s="258"/>
      <c r="M421" s="265"/>
      <c r="N421" s="258"/>
      <c r="O421" s="258"/>
      <c r="P421" s="258"/>
      <c r="Q421" s="265"/>
      <c r="R421" s="52"/>
    </row>
    <row r="422" spans="1:20" ht="15.75" customHeight="1" x14ac:dyDescent="0.3">
      <c r="A422" s="234" t="s">
        <v>2417</v>
      </c>
      <c r="B422" s="172" t="s">
        <v>852</v>
      </c>
      <c r="C422" s="172" t="s">
        <v>852</v>
      </c>
      <c r="D422" s="172" t="s">
        <v>852</v>
      </c>
      <c r="E422" s="38" t="s">
        <v>852</v>
      </c>
      <c r="F422" s="172" t="s">
        <v>852</v>
      </c>
      <c r="G422" s="172" t="s">
        <v>852</v>
      </c>
      <c r="H422" s="172" t="s">
        <v>852</v>
      </c>
      <c r="I422" s="38" t="s">
        <v>852</v>
      </c>
      <c r="J422" s="172" t="s">
        <v>852</v>
      </c>
      <c r="K422" s="172" t="s">
        <v>852</v>
      </c>
      <c r="L422" s="172" t="s">
        <v>852</v>
      </c>
      <c r="M422" s="38" t="s">
        <v>852</v>
      </c>
      <c r="N422" s="172" t="s">
        <v>852</v>
      </c>
      <c r="O422" s="172" t="s">
        <v>852</v>
      </c>
      <c r="P422" s="172" t="s">
        <v>852</v>
      </c>
      <c r="Q422" s="38" t="s">
        <v>852</v>
      </c>
      <c r="R422" s="38" t="s">
        <v>852</v>
      </c>
    </row>
    <row r="423" spans="1:20" ht="15.75" customHeight="1" x14ac:dyDescent="0.3">
      <c r="A423" s="234" t="s">
        <v>2160</v>
      </c>
      <c r="B423" s="172"/>
      <c r="C423" s="172"/>
      <c r="D423" s="172"/>
      <c r="E423" s="38" t="s">
        <v>852</v>
      </c>
      <c r="F423" s="172"/>
      <c r="G423" s="172"/>
      <c r="H423" s="172"/>
      <c r="I423" s="38" t="s">
        <v>852</v>
      </c>
      <c r="J423" s="172"/>
      <c r="K423" s="172"/>
      <c r="L423" s="172"/>
      <c r="M423" s="38" t="s">
        <v>852</v>
      </c>
      <c r="N423" s="172"/>
      <c r="O423" s="172"/>
      <c r="P423" s="172"/>
      <c r="Q423" s="38" t="s">
        <v>852</v>
      </c>
      <c r="R423" s="38" t="s">
        <v>852</v>
      </c>
    </row>
    <row r="424" spans="1:20" ht="15.75" customHeight="1" x14ac:dyDescent="0.3">
      <c r="A424" s="539" t="s">
        <v>2797</v>
      </c>
      <c r="B424" s="172"/>
      <c r="C424" s="172"/>
      <c r="D424" s="172"/>
      <c r="E424" s="38">
        <f>SUM(B424:D424)</f>
        <v>0</v>
      </c>
      <c r="F424" s="172"/>
      <c r="G424" s="172"/>
      <c r="H424" s="172"/>
      <c r="I424" s="38">
        <f>SUM(F424:H424)</f>
        <v>0</v>
      </c>
      <c r="J424" s="172"/>
      <c r="K424" s="172"/>
      <c r="L424" s="172"/>
      <c r="M424" s="38">
        <f>SUM(J424:L424)</f>
        <v>0</v>
      </c>
      <c r="N424" s="172"/>
      <c r="O424" s="172"/>
      <c r="P424" s="172"/>
      <c r="Q424" s="38">
        <f>SUM(N424:P424)</f>
        <v>0</v>
      </c>
      <c r="R424" s="38">
        <f>+E424+I424+M424+Q424</f>
        <v>0</v>
      </c>
      <c r="T424" t="s">
        <v>500</v>
      </c>
    </row>
    <row r="425" spans="1:20" ht="15.75" customHeight="1" x14ac:dyDescent="0.3">
      <c r="A425" s="410" t="s">
        <v>2795</v>
      </c>
      <c r="B425" s="172"/>
      <c r="C425" s="172"/>
      <c r="D425" s="172"/>
      <c r="E425" s="38">
        <f>SUM(B425:D425)</f>
        <v>0</v>
      </c>
      <c r="F425" s="172"/>
      <c r="G425" s="172"/>
      <c r="H425" s="172"/>
      <c r="I425" s="38">
        <f>SUM(F425:H425)</f>
        <v>0</v>
      </c>
      <c r="J425" s="172"/>
      <c r="K425" s="172"/>
      <c r="L425" s="172"/>
      <c r="M425" s="38">
        <f>SUM(J425:L425)</f>
        <v>0</v>
      </c>
      <c r="N425" s="172"/>
      <c r="O425" s="172"/>
      <c r="P425" s="172"/>
      <c r="Q425" s="38">
        <f>SUM(N425:P425)</f>
        <v>0</v>
      </c>
      <c r="R425" s="38">
        <f>+E425+I425+M425+Q425</f>
        <v>0</v>
      </c>
      <c r="T425" t="s">
        <v>500</v>
      </c>
    </row>
    <row r="426" spans="1:20" ht="15.75" customHeight="1" x14ac:dyDescent="0.3">
      <c r="A426" s="234" t="s">
        <v>2161</v>
      </c>
      <c r="B426" s="172"/>
      <c r="C426" s="172"/>
      <c r="D426" s="172"/>
      <c r="E426" s="38" t="s">
        <v>852</v>
      </c>
      <c r="F426" s="172"/>
      <c r="G426" s="172"/>
      <c r="H426" s="172"/>
      <c r="I426" s="38" t="s">
        <v>852</v>
      </c>
      <c r="J426" s="172"/>
      <c r="K426" s="172"/>
      <c r="L426" s="172"/>
      <c r="M426" s="38" t="s">
        <v>852</v>
      </c>
      <c r="N426" s="172"/>
      <c r="O426" s="172"/>
      <c r="P426" s="172"/>
      <c r="Q426" s="38" t="s">
        <v>852</v>
      </c>
      <c r="R426" s="38" t="s">
        <v>852</v>
      </c>
    </row>
    <row r="427" spans="1:20" ht="15.75" customHeight="1" x14ac:dyDescent="0.3">
      <c r="A427" s="266" t="s">
        <v>331</v>
      </c>
      <c r="B427" s="172"/>
      <c r="C427" s="172"/>
      <c r="D427" s="172"/>
      <c r="E427" s="38">
        <f>SUM(B427:D427)</f>
        <v>0</v>
      </c>
      <c r="F427" s="172"/>
      <c r="G427" s="172"/>
      <c r="H427" s="172"/>
      <c r="I427" s="38">
        <f>SUM(F427:H427)</f>
        <v>0</v>
      </c>
      <c r="J427" s="172"/>
      <c r="K427" s="172"/>
      <c r="L427" s="172"/>
      <c r="M427" s="38">
        <f>SUM(J427:L427)</f>
        <v>0</v>
      </c>
      <c r="N427" s="172"/>
      <c r="O427" s="172"/>
      <c r="P427" s="172"/>
      <c r="Q427" s="38">
        <f>SUM(N427:P427)</f>
        <v>0</v>
      </c>
      <c r="R427" s="38">
        <f>+E427+I427+M427+Q427</f>
        <v>0</v>
      </c>
    </row>
    <row r="428" spans="1:20" ht="15.75" customHeight="1" x14ac:dyDescent="0.3">
      <c r="A428" s="310" t="s">
        <v>1065</v>
      </c>
      <c r="B428" s="10"/>
      <c r="C428" s="10"/>
      <c r="D428" s="10"/>
      <c r="E428" s="38">
        <f>SUM(B428:D428)</f>
        <v>0</v>
      </c>
      <c r="F428" s="10"/>
      <c r="G428" s="10"/>
      <c r="H428" s="10"/>
      <c r="I428" s="38">
        <f>SUM(F428:H428)</f>
        <v>0</v>
      </c>
      <c r="J428" s="10"/>
      <c r="K428" s="10"/>
      <c r="L428" s="10"/>
      <c r="M428" s="38">
        <f>SUM(J428:L428)</f>
        <v>0</v>
      </c>
      <c r="N428" s="10"/>
      <c r="O428" s="10"/>
      <c r="P428" s="10"/>
      <c r="Q428" s="38">
        <f>SUM(N428:P428)</f>
        <v>0</v>
      </c>
      <c r="R428" s="38">
        <f>+E428+I428+M428+Q428</f>
        <v>0</v>
      </c>
    </row>
    <row r="429" spans="1:20" ht="15.75" customHeight="1" x14ac:dyDescent="0.3">
      <c r="A429" s="266" t="s">
        <v>355</v>
      </c>
      <c r="B429" s="172"/>
      <c r="C429" s="172"/>
      <c r="D429" s="172">
        <v>2</v>
      </c>
      <c r="E429" s="38">
        <f>SUM(B429:D429)</f>
        <v>2</v>
      </c>
      <c r="F429" s="172"/>
      <c r="G429" s="172"/>
      <c r="H429" s="172"/>
      <c r="I429" s="38">
        <f>SUM(F429:H429)</f>
        <v>0</v>
      </c>
      <c r="J429" s="172">
        <v>1</v>
      </c>
      <c r="K429" s="172"/>
      <c r="L429" s="172"/>
      <c r="M429" s="38">
        <f>SUM(J429:L429)</f>
        <v>1</v>
      </c>
      <c r="N429" s="172"/>
      <c r="O429" s="172"/>
      <c r="P429" s="172"/>
      <c r="Q429" s="38">
        <f>SUM(N429:P429)</f>
        <v>0</v>
      </c>
      <c r="R429" s="38">
        <f>+E429+I429+M429+Q429</f>
        <v>3</v>
      </c>
    </row>
    <row r="430" spans="1:20" ht="15.75" customHeight="1" x14ac:dyDescent="0.3">
      <c r="A430" s="234" t="s">
        <v>2162</v>
      </c>
      <c r="B430" s="172"/>
      <c r="C430" s="172"/>
      <c r="D430" s="172"/>
      <c r="E430" s="38" t="s">
        <v>852</v>
      </c>
      <c r="F430" s="172"/>
      <c r="G430" s="172"/>
      <c r="H430" s="172"/>
      <c r="I430" s="38" t="s">
        <v>852</v>
      </c>
      <c r="J430" s="172"/>
      <c r="K430" s="172"/>
      <c r="L430" s="172"/>
      <c r="M430" s="38" t="s">
        <v>852</v>
      </c>
      <c r="N430" s="172"/>
      <c r="O430" s="172"/>
      <c r="P430" s="172"/>
      <c r="Q430" s="38" t="s">
        <v>852</v>
      </c>
      <c r="R430" s="38" t="s">
        <v>852</v>
      </c>
    </row>
    <row r="431" spans="1:20" ht="15.75" customHeight="1" thickBot="1" x14ac:dyDescent="0.35">
      <c r="A431" s="234" t="s">
        <v>2164</v>
      </c>
      <c r="B431" s="172"/>
      <c r="C431" s="172"/>
      <c r="D431" s="172"/>
      <c r="E431" s="38" t="s">
        <v>852</v>
      </c>
      <c r="F431" s="172"/>
      <c r="G431" s="172"/>
      <c r="H431" s="172"/>
      <c r="I431" s="38" t="s">
        <v>852</v>
      </c>
      <c r="J431" s="172"/>
      <c r="K431" s="172"/>
      <c r="L431" s="172"/>
      <c r="M431" s="38" t="s">
        <v>852</v>
      </c>
      <c r="N431" s="172"/>
      <c r="O431" s="172"/>
      <c r="P431" s="172"/>
      <c r="Q431" s="38" t="s">
        <v>852</v>
      </c>
      <c r="R431" s="38" t="s">
        <v>852</v>
      </c>
    </row>
    <row r="432" spans="1:20" ht="16.5" customHeight="1" thickBot="1" x14ac:dyDescent="0.35">
      <c r="A432" s="276" t="s">
        <v>1218</v>
      </c>
      <c r="B432" s="45">
        <f>SUM(B422:B431)</f>
        <v>0</v>
      </c>
      <c r="C432" s="46">
        <f>SUM(C422:C431)</f>
        <v>0</v>
      </c>
      <c r="D432" s="46">
        <f>SUM(D422:D431)</f>
        <v>2</v>
      </c>
      <c r="E432" s="37">
        <f>SUM(B432:D432)</f>
        <v>2</v>
      </c>
      <c r="F432" s="46">
        <f>SUM(F422:F431)</f>
        <v>0</v>
      </c>
      <c r="G432" s="46">
        <f>SUM(G422:G431)</f>
        <v>0</v>
      </c>
      <c r="H432" s="46">
        <f>SUM(H422:H431)</f>
        <v>0</v>
      </c>
      <c r="I432" s="37">
        <f>SUM(F432:H432)</f>
        <v>0</v>
      </c>
      <c r="J432" s="46">
        <f>SUM(J422:J431)</f>
        <v>1</v>
      </c>
      <c r="K432" s="46">
        <f>SUM(K422:K431)</f>
        <v>0</v>
      </c>
      <c r="L432" s="46">
        <f>SUM(L422:L431)</f>
        <v>0</v>
      </c>
      <c r="M432" s="37">
        <f>SUM(J432:L432)</f>
        <v>1</v>
      </c>
      <c r="N432" s="46">
        <f>SUM(N422:N431)</f>
        <v>0</v>
      </c>
      <c r="O432" s="46">
        <f>SUM(O422:O431)</f>
        <v>0</v>
      </c>
      <c r="P432" s="46">
        <f>SUM(P422:P431)</f>
        <v>0</v>
      </c>
      <c r="Q432" s="37">
        <f>SUM(N432:P432)</f>
        <v>0</v>
      </c>
      <c r="R432" s="37">
        <f>+E432+I432+M432+Q432</f>
        <v>3</v>
      </c>
    </row>
    <row r="433" spans="1:20" ht="15.75" customHeight="1" x14ac:dyDescent="0.3">
      <c r="A433" s="234" t="s">
        <v>1172</v>
      </c>
      <c r="B433" s="172"/>
      <c r="C433" s="172"/>
      <c r="D433" s="172"/>
      <c r="E433" s="38" t="s">
        <v>852</v>
      </c>
      <c r="F433" s="172"/>
      <c r="G433" s="172"/>
      <c r="H433" s="172"/>
      <c r="I433" s="38" t="s">
        <v>852</v>
      </c>
      <c r="J433" s="172"/>
      <c r="K433" s="172"/>
      <c r="L433" s="172"/>
      <c r="M433" s="38" t="s">
        <v>852</v>
      </c>
      <c r="N433" s="172" t="s">
        <v>852</v>
      </c>
      <c r="O433" s="172"/>
      <c r="P433" s="172"/>
      <c r="Q433" s="38" t="s">
        <v>852</v>
      </c>
      <c r="R433" s="38" t="s">
        <v>852</v>
      </c>
    </row>
    <row r="434" spans="1:20" ht="15.75" customHeight="1" x14ac:dyDescent="0.3">
      <c r="A434" s="234" t="s">
        <v>2409</v>
      </c>
      <c r="B434" s="172"/>
      <c r="C434" s="172"/>
      <c r="D434" s="172"/>
      <c r="E434" s="38" t="s">
        <v>852</v>
      </c>
      <c r="F434" s="172"/>
      <c r="G434" s="172"/>
      <c r="H434" s="172"/>
      <c r="I434" s="38" t="s">
        <v>852</v>
      </c>
      <c r="J434" s="172"/>
      <c r="K434" s="172"/>
      <c r="L434" s="172"/>
      <c r="M434" s="38" t="s">
        <v>852</v>
      </c>
      <c r="N434" s="172"/>
      <c r="O434" s="172"/>
      <c r="P434" s="172"/>
      <c r="Q434" s="38" t="s">
        <v>852</v>
      </c>
      <c r="R434" s="38" t="s">
        <v>852</v>
      </c>
    </row>
    <row r="435" spans="1:20" ht="15.75" customHeight="1" x14ac:dyDescent="0.3">
      <c r="A435" s="266" t="s">
        <v>473</v>
      </c>
      <c r="B435" s="10"/>
      <c r="C435" s="10">
        <v>238</v>
      </c>
      <c r="D435" s="10">
        <v>7581</v>
      </c>
      <c r="E435" s="38">
        <f>SUM(B435:D435)</f>
        <v>7819</v>
      </c>
      <c r="F435" s="10">
        <v>0</v>
      </c>
      <c r="G435" s="10">
        <v>532</v>
      </c>
      <c r="H435" s="10">
        <v>16223</v>
      </c>
      <c r="I435" s="38">
        <f>SUM(F435:H435)</f>
        <v>16755</v>
      </c>
      <c r="J435" s="10">
        <v>19354</v>
      </c>
      <c r="K435" s="10">
        <v>17218</v>
      </c>
      <c r="L435" s="10">
        <v>6815</v>
      </c>
      <c r="M435" s="38">
        <f>SUM(J435:L435)</f>
        <v>43387</v>
      </c>
      <c r="N435" s="10">
        <v>2928</v>
      </c>
      <c r="O435" s="10">
        <v>39</v>
      </c>
      <c r="P435" s="10">
        <v>654</v>
      </c>
      <c r="Q435" s="38">
        <f>SUM(N435:P435)</f>
        <v>3621</v>
      </c>
      <c r="R435" s="38">
        <f>+E435+I435+M435+Q435</f>
        <v>71582</v>
      </c>
    </row>
    <row r="436" spans="1:20" ht="15.75" customHeight="1" thickBot="1" x14ac:dyDescent="0.35">
      <c r="A436" s="234" t="s">
        <v>2165</v>
      </c>
      <c r="B436" s="172"/>
      <c r="C436" s="172"/>
      <c r="D436" s="172"/>
      <c r="E436" s="38" t="s">
        <v>852</v>
      </c>
      <c r="F436" s="172"/>
      <c r="G436" s="172"/>
      <c r="H436" s="172"/>
      <c r="I436" s="38" t="s">
        <v>852</v>
      </c>
      <c r="J436" s="172"/>
      <c r="K436" s="172"/>
      <c r="L436" s="172"/>
      <c r="M436" s="38" t="s">
        <v>852</v>
      </c>
      <c r="N436" s="172"/>
      <c r="O436" s="172"/>
      <c r="P436" s="172"/>
      <c r="Q436" s="38" t="s">
        <v>852</v>
      </c>
      <c r="R436" s="38" t="s">
        <v>852</v>
      </c>
    </row>
    <row r="437" spans="1:20" ht="16.5" customHeight="1" thickBot="1" x14ac:dyDescent="0.35">
      <c r="A437" s="43" t="s">
        <v>1219</v>
      </c>
      <c r="B437" s="45">
        <f>SUM(B433:B436)</f>
        <v>0</v>
      </c>
      <c r="C437" s="46">
        <f>SUM(C433:C436)</f>
        <v>238</v>
      </c>
      <c r="D437" s="46">
        <f>SUM(D433:D436)</f>
        <v>7581</v>
      </c>
      <c r="E437" s="37">
        <f>SUM(B437:D437)</f>
        <v>7819</v>
      </c>
      <c r="F437" s="46">
        <f>SUM(F433:F436)</f>
        <v>0</v>
      </c>
      <c r="G437" s="46">
        <f>SUM(G433:G436)</f>
        <v>532</v>
      </c>
      <c r="H437" s="46">
        <f>SUM(H433:H436)</f>
        <v>16223</v>
      </c>
      <c r="I437" s="37">
        <f>SUM(F437:H437)</f>
        <v>16755</v>
      </c>
      <c r="J437" s="46">
        <f>SUM(J433:J436)</f>
        <v>19354</v>
      </c>
      <c r="K437" s="46">
        <f>SUM(K433:K436)</f>
        <v>17218</v>
      </c>
      <c r="L437" s="46">
        <f>SUM(L433:L436)</f>
        <v>6815</v>
      </c>
      <c r="M437" s="37">
        <f>SUM(J437:L437)</f>
        <v>43387</v>
      </c>
      <c r="N437" s="46">
        <f>SUM(N433:N436)</f>
        <v>2928</v>
      </c>
      <c r="O437" s="46">
        <f>SUM(O433:O436)</f>
        <v>39</v>
      </c>
      <c r="P437" s="46">
        <f>SUM(P433:P436)</f>
        <v>654</v>
      </c>
      <c r="Q437" s="37">
        <f>SUM(N437:P437)</f>
        <v>3621</v>
      </c>
      <c r="R437" s="37">
        <f>+E437+I437+M437+Q437</f>
        <v>71582</v>
      </c>
    </row>
    <row r="438" spans="1:20" ht="15.75" customHeight="1" x14ac:dyDescent="0.3">
      <c r="A438" s="234" t="s">
        <v>2166</v>
      </c>
      <c r="B438" s="172"/>
      <c r="C438" s="172"/>
      <c r="D438" s="172"/>
      <c r="E438" s="38" t="s">
        <v>852</v>
      </c>
      <c r="F438" s="172"/>
      <c r="G438" s="172"/>
      <c r="H438" s="172"/>
      <c r="I438" s="38" t="s">
        <v>852</v>
      </c>
      <c r="J438" s="172"/>
      <c r="K438" s="172"/>
      <c r="L438" s="172"/>
      <c r="M438" s="38" t="s">
        <v>852</v>
      </c>
      <c r="N438" s="172"/>
      <c r="O438" s="172"/>
      <c r="P438" s="172"/>
      <c r="Q438" s="38" t="s">
        <v>852</v>
      </c>
      <c r="R438" s="38" t="s">
        <v>852</v>
      </c>
    </row>
    <row r="439" spans="1:20" ht="15.75" customHeight="1" x14ac:dyDescent="0.3">
      <c r="A439" s="234" t="s">
        <v>1245</v>
      </c>
      <c r="B439" s="172"/>
      <c r="C439" s="172"/>
      <c r="D439" s="172"/>
      <c r="E439" s="38" t="s">
        <v>852</v>
      </c>
      <c r="F439" s="172"/>
      <c r="G439" s="172"/>
      <c r="H439" s="172"/>
      <c r="I439" s="38" t="s">
        <v>852</v>
      </c>
      <c r="J439" s="172"/>
      <c r="K439" s="172"/>
      <c r="L439" s="172"/>
      <c r="M439" s="38" t="s">
        <v>852</v>
      </c>
      <c r="N439" s="172"/>
      <c r="O439" s="172"/>
      <c r="P439" s="172"/>
      <c r="Q439" s="38" t="s">
        <v>852</v>
      </c>
      <c r="R439" s="38" t="s">
        <v>852</v>
      </c>
    </row>
    <row r="440" spans="1:20" ht="15.75" customHeight="1" x14ac:dyDescent="0.3">
      <c r="A440" s="234" t="s">
        <v>1711</v>
      </c>
      <c r="B440" s="172"/>
      <c r="C440" s="172"/>
      <c r="D440" s="172"/>
      <c r="E440" s="38" t="s">
        <v>852</v>
      </c>
      <c r="F440" s="172"/>
      <c r="G440" s="172"/>
      <c r="H440" s="172"/>
      <c r="I440" s="38" t="s">
        <v>852</v>
      </c>
      <c r="J440" s="172"/>
      <c r="K440" s="172"/>
      <c r="L440" s="172"/>
      <c r="M440" s="38" t="s">
        <v>852</v>
      </c>
      <c r="N440" s="172"/>
      <c r="O440" s="172"/>
      <c r="P440" s="172"/>
      <c r="Q440" s="38" t="s">
        <v>852</v>
      </c>
      <c r="R440" s="38" t="s">
        <v>852</v>
      </c>
    </row>
    <row r="441" spans="1:20" ht="15.75" customHeight="1" thickBot="1" x14ac:dyDescent="0.35">
      <c r="A441" s="689" t="s">
        <v>2937</v>
      </c>
      <c r="B441" s="354"/>
      <c r="C441" s="354"/>
      <c r="D441" s="354">
        <v>1500</v>
      </c>
      <c r="E441" s="38">
        <f>SUM(B441:D441)</f>
        <v>1500</v>
      </c>
      <c r="F441" s="10">
        <v>6000</v>
      </c>
      <c r="G441" s="10">
        <v>5000</v>
      </c>
      <c r="H441" s="10"/>
      <c r="I441" s="38">
        <f>SUM(F441:H441)</f>
        <v>11000</v>
      </c>
      <c r="J441" s="10"/>
      <c r="K441" s="10"/>
      <c r="L441" s="10"/>
      <c r="M441" s="38">
        <f>SUM(J441:L441)</f>
        <v>0</v>
      </c>
      <c r="N441" s="10"/>
      <c r="O441" s="10"/>
      <c r="P441" s="10"/>
      <c r="Q441" s="38">
        <f>SUM(N441:P441)</f>
        <v>0</v>
      </c>
      <c r="R441" s="38">
        <f>+E441+I441+M441+Q441</f>
        <v>12500</v>
      </c>
      <c r="T441" t="s">
        <v>500</v>
      </c>
    </row>
    <row r="442" spans="1:20" ht="16.5" customHeight="1" thickBot="1" x14ac:dyDescent="0.35">
      <c r="A442" s="277" t="s">
        <v>1220</v>
      </c>
      <c r="B442" s="45">
        <f>SUM(B438:B441)</f>
        <v>0</v>
      </c>
      <c r="C442" s="46">
        <f>SUM(C438:C441)</f>
        <v>0</v>
      </c>
      <c r="D442" s="46">
        <f>SUM(D438:D441)</f>
        <v>1500</v>
      </c>
      <c r="E442" s="37">
        <f>SUM(B442:D442)</f>
        <v>1500</v>
      </c>
      <c r="F442" s="46">
        <f>SUM(F438:F441)</f>
        <v>6000</v>
      </c>
      <c r="G442" s="46">
        <f>SUM(G438:G441)</f>
        <v>5000</v>
      </c>
      <c r="H442" s="46">
        <f>SUM(H438:H441)</f>
        <v>0</v>
      </c>
      <c r="I442" s="37">
        <f>SUM(F442:H442)</f>
        <v>11000</v>
      </c>
      <c r="J442" s="46">
        <f>SUM(J438:J441)</f>
        <v>0</v>
      </c>
      <c r="K442" s="46">
        <f>SUM(K438:K441)</f>
        <v>0</v>
      </c>
      <c r="L442" s="46">
        <f>SUM(L438:L441)</f>
        <v>0</v>
      </c>
      <c r="M442" s="37">
        <f>SUM(J442:L442)</f>
        <v>0</v>
      </c>
      <c r="N442" s="46">
        <f>SUM(N438:N441)</f>
        <v>0</v>
      </c>
      <c r="O442" s="46">
        <f>SUM(O438:O441)</f>
        <v>0</v>
      </c>
      <c r="P442" s="46">
        <f>SUM(P438:P441)</f>
        <v>0</v>
      </c>
      <c r="Q442" s="37">
        <f>SUM(N442:P442)</f>
        <v>0</v>
      </c>
      <c r="R442" s="37">
        <f>+E442+I442+M442+Q442</f>
        <v>12500</v>
      </c>
    </row>
    <row r="443" spans="1:20" ht="15.75" customHeight="1" x14ac:dyDescent="0.3">
      <c r="A443" s="234" t="s">
        <v>1712</v>
      </c>
      <c r="B443" s="172"/>
      <c r="C443" s="172"/>
      <c r="D443" s="172"/>
      <c r="E443" s="38" t="s">
        <v>852</v>
      </c>
      <c r="F443" s="172"/>
      <c r="G443" s="172"/>
      <c r="H443" s="172"/>
      <c r="I443" s="38" t="s">
        <v>852</v>
      </c>
      <c r="J443" s="172"/>
      <c r="K443" s="172"/>
      <c r="L443" s="172"/>
      <c r="M443" s="38" t="s">
        <v>852</v>
      </c>
      <c r="N443" s="172"/>
      <c r="O443" s="172"/>
      <c r="P443" s="172"/>
      <c r="Q443" s="38" t="s">
        <v>852</v>
      </c>
      <c r="R443" s="38" t="s">
        <v>852</v>
      </c>
    </row>
    <row r="444" spans="1:20" ht="15.75" customHeight="1" x14ac:dyDescent="0.3">
      <c r="A444" s="234" t="s">
        <v>1021</v>
      </c>
      <c r="B444" s="172"/>
      <c r="C444" s="172"/>
      <c r="D444" s="172"/>
      <c r="E444" s="38" t="s">
        <v>852</v>
      </c>
      <c r="F444" s="172"/>
      <c r="G444" s="172"/>
      <c r="H444" s="172"/>
      <c r="I444" s="38" t="s">
        <v>852</v>
      </c>
      <c r="J444" s="172"/>
      <c r="K444" s="172"/>
      <c r="L444" s="172"/>
      <c r="M444" s="38" t="s">
        <v>852</v>
      </c>
      <c r="N444" s="172"/>
      <c r="O444" s="172"/>
      <c r="P444" s="172"/>
      <c r="Q444" s="38" t="s">
        <v>852</v>
      </c>
      <c r="R444" s="38" t="s">
        <v>852</v>
      </c>
    </row>
    <row r="445" spans="1:20" ht="15.75" customHeight="1" x14ac:dyDescent="0.3">
      <c r="A445" s="234" t="s">
        <v>557</v>
      </c>
      <c r="B445" s="172"/>
      <c r="C445" s="172"/>
      <c r="D445" s="172"/>
      <c r="E445" s="38" t="s">
        <v>852</v>
      </c>
      <c r="F445" s="172"/>
      <c r="G445" s="172"/>
      <c r="H445" s="172"/>
      <c r="I445" s="38" t="s">
        <v>852</v>
      </c>
      <c r="J445" s="172"/>
      <c r="K445" s="172"/>
      <c r="L445" s="172"/>
      <c r="M445" s="38" t="s">
        <v>852</v>
      </c>
      <c r="N445" s="172"/>
      <c r="O445" s="172"/>
      <c r="P445" s="172"/>
      <c r="Q445" s="38" t="s">
        <v>852</v>
      </c>
      <c r="R445" s="38" t="s">
        <v>852</v>
      </c>
    </row>
    <row r="446" spans="1:20" ht="15.75" customHeight="1" x14ac:dyDescent="0.3">
      <c r="A446" s="234" t="s">
        <v>1022</v>
      </c>
      <c r="B446" s="172"/>
      <c r="C446" s="172"/>
      <c r="D446" s="172"/>
      <c r="E446" s="38" t="s">
        <v>852</v>
      </c>
      <c r="F446" s="172"/>
      <c r="G446" s="172"/>
      <c r="H446" s="172"/>
      <c r="I446" s="38" t="s">
        <v>852</v>
      </c>
      <c r="J446" s="172"/>
      <c r="K446" s="172"/>
      <c r="L446" s="172"/>
      <c r="M446" s="38" t="s">
        <v>852</v>
      </c>
      <c r="N446" s="172"/>
      <c r="O446" s="172"/>
      <c r="P446" s="172"/>
      <c r="Q446" s="38" t="s">
        <v>852</v>
      </c>
      <c r="R446" s="38" t="s">
        <v>852</v>
      </c>
    </row>
    <row r="447" spans="1:20" ht="15.75" customHeight="1" x14ac:dyDescent="0.3">
      <c r="A447" s="234" t="s">
        <v>559</v>
      </c>
      <c r="B447" s="172"/>
      <c r="C447" s="172"/>
      <c r="D447" s="172"/>
      <c r="E447" s="38" t="s">
        <v>852</v>
      </c>
      <c r="F447" s="172"/>
      <c r="G447" s="172"/>
      <c r="H447" s="172"/>
      <c r="I447" s="38" t="s">
        <v>852</v>
      </c>
      <c r="J447" s="172"/>
      <c r="K447" s="172"/>
      <c r="L447" s="172"/>
      <c r="M447" s="38" t="s">
        <v>852</v>
      </c>
      <c r="N447" s="172"/>
      <c r="O447" s="172"/>
      <c r="P447" s="172"/>
      <c r="Q447" s="38" t="s">
        <v>852</v>
      </c>
      <c r="R447" s="38" t="s">
        <v>852</v>
      </c>
    </row>
    <row r="448" spans="1:20" ht="15.75" customHeight="1" x14ac:dyDescent="0.3">
      <c r="A448" s="539" t="s">
        <v>2833</v>
      </c>
      <c r="B448" s="10"/>
      <c r="C448" s="10"/>
      <c r="D448" s="10"/>
      <c r="E448" s="38">
        <f t="shared" ref="E448:E453" si="84">SUM(B448:D448)</f>
        <v>0</v>
      </c>
      <c r="F448" s="10"/>
      <c r="G448" s="10"/>
      <c r="H448" s="10"/>
      <c r="I448" s="38">
        <f t="shared" ref="I448:I453" si="85">SUM(F448:H448)</f>
        <v>0</v>
      </c>
      <c r="J448" s="10"/>
      <c r="K448" s="10"/>
      <c r="L448" s="10"/>
      <c r="M448" s="38">
        <f t="shared" ref="M448:M453" si="86">SUM(J448:L448)</f>
        <v>0</v>
      </c>
      <c r="N448" s="10"/>
      <c r="O448" s="10"/>
      <c r="P448" s="10"/>
      <c r="Q448" s="38">
        <f t="shared" ref="Q448:Q453" si="87">SUM(N448:P448)</f>
        <v>0</v>
      </c>
      <c r="R448" s="38">
        <f t="shared" ref="R448:R453" si="88">+E448+I448+M448+Q448</f>
        <v>0</v>
      </c>
      <c r="T448" t="s">
        <v>500</v>
      </c>
    </row>
    <row r="449" spans="1:20" ht="15.75" customHeight="1" thickBot="1" x14ac:dyDescent="0.35">
      <c r="A449" s="539" t="s">
        <v>2834</v>
      </c>
      <c r="B449" s="172"/>
      <c r="C449" s="172"/>
      <c r="D449" s="172"/>
      <c r="E449" s="38">
        <f t="shared" si="84"/>
        <v>0</v>
      </c>
      <c r="F449" s="172"/>
      <c r="G449" s="172"/>
      <c r="H449" s="172"/>
      <c r="I449" s="38">
        <f t="shared" si="85"/>
        <v>0</v>
      </c>
      <c r="J449" s="172"/>
      <c r="K449" s="172"/>
      <c r="L449" s="172"/>
      <c r="M449" s="38">
        <f t="shared" si="86"/>
        <v>0</v>
      </c>
      <c r="N449" s="172"/>
      <c r="O449" s="172"/>
      <c r="P449" s="172"/>
      <c r="Q449" s="38">
        <f t="shared" si="87"/>
        <v>0</v>
      </c>
      <c r="R449" s="38">
        <f t="shared" si="88"/>
        <v>0</v>
      </c>
      <c r="T449" t="s">
        <v>500</v>
      </c>
    </row>
    <row r="450" spans="1:20" ht="16.5" customHeight="1" thickBot="1" x14ac:dyDescent="0.35">
      <c r="A450" s="43" t="s">
        <v>1019</v>
      </c>
      <c r="B450" s="42">
        <f>SUM(B446:B449)</f>
        <v>0</v>
      </c>
      <c r="C450" s="42">
        <f>SUM(C446:C449)</f>
        <v>0</v>
      </c>
      <c r="D450" s="42">
        <f>SUM(D446:D449)</f>
        <v>0</v>
      </c>
      <c r="E450" s="39">
        <f t="shared" si="84"/>
        <v>0</v>
      </c>
      <c r="F450" s="42">
        <f>SUM(F446:F449)</f>
        <v>0</v>
      </c>
      <c r="G450" s="42">
        <f>SUM(G446:G449)</f>
        <v>0</v>
      </c>
      <c r="H450" s="42">
        <f>SUM(H446:H449)</f>
        <v>0</v>
      </c>
      <c r="I450" s="39">
        <f t="shared" si="85"/>
        <v>0</v>
      </c>
      <c r="J450" s="42">
        <f>SUM(J446:J449)</f>
        <v>0</v>
      </c>
      <c r="K450" s="42">
        <f>SUM(K446:K449)</f>
        <v>0</v>
      </c>
      <c r="L450" s="42">
        <f>SUM(L446:L449)</f>
        <v>0</v>
      </c>
      <c r="M450" s="39">
        <f t="shared" si="86"/>
        <v>0</v>
      </c>
      <c r="N450" s="42">
        <f>SUM(N446:N449)</f>
        <v>0</v>
      </c>
      <c r="O450" s="42">
        <f>SUM(O446:O449)</f>
        <v>0</v>
      </c>
      <c r="P450" s="42">
        <f>SUM(P446:P449)</f>
        <v>0</v>
      </c>
      <c r="Q450" s="39">
        <f t="shared" si="87"/>
        <v>0</v>
      </c>
      <c r="R450" s="37">
        <f t="shared" si="88"/>
        <v>0</v>
      </c>
    </row>
    <row r="451" spans="1:20" ht="16.5" customHeight="1" thickBot="1" x14ac:dyDescent="0.35">
      <c r="A451" s="277" t="s">
        <v>1221</v>
      </c>
      <c r="B451" s="45">
        <f>SUM(B443:B449)</f>
        <v>0</v>
      </c>
      <c r="C451" s="46">
        <f>SUM(C443:C449)</f>
        <v>0</v>
      </c>
      <c r="D451" s="58">
        <f>SUM(D443:D449)</f>
        <v>0</v>
      </c>
      <c r="E451" s="39">
        <f t="shared" si="84"/>
        <v>0</v>
      </c>
      <c r="F451" s="46">
        <f>SUM(F443:F449)</f>
        <v>0</v>
      </c>
      <c r="G451" s="46">
        <f>SUM(G443:G449)</f>
        <v>0</v>
      </c>
      <c r="H451" s="46">
        <f>SUM(H443:H449)</f>
        <v>0</v>
      </c>
      <c r="I451" s="39">
        <f t="shared" si="85"/>
        <v>0</v>
      </c>
      <c r="J451" s="46">
        <f>SUM(J443:J449)</f>
        <v>0</v>
      </c>
      <c r="K451" s="46">
        <f>SUM(K443:K449)</f>
        <v>0</v>
      </c>
      <c r="L451" s="46">
        <f>SUM(L443:L449)</f>
        <v>0</v>
      </c>
      <c r="M451" s="39">
        <f t="shared" si="86"/>
        <v>0</v>
      </c>
      <c r="N451" s="46">
        <f>SUM(N443:N449)</f>
        <v>0</v>
      </c>
      <c r="O451" s="46">
        <f>SUM(O443:O449)</f>
        <v>0</v>
      </c>
      <c r="P451" s="46">
        <f>SUM(P443:P449)</f>
        <v>0</v>
      </c>
      <c r="Q451" s="39">
        <f t="shared" si="87"/>
        <v>0</v>
      </c>
      <c r="R451" s="37">
        <f t="shared" si="88"/>
        <v>0</v>
      </c>
    </row>
    <row r="452" spans="1:20" ht="16.5" customHeight="1" thickBot="1" x14ac:dyDescent="0.35">
      <c r="A452" s="43" t="s">
        <v>1222</v>
      </c>
      <c r="B452" s="47">
        <f>+B432+B437+B442+B451</f>
        <v>0</v>
      </c>
      <c r="C452" s="42">
        <f>+C432+C437+C442+C451</f>
        <v>238</v>
      </c>
      <c r="D452" s="42">
        <f>+D432+D437+D442+D451</f>
        <v>9083</v>
      </c>
      <c r="E452" s="37">
        <f t="shared" si="84"/>
        <v>9321</v>
      </c>
      <c r="F452" s="42">
        <f>+F432+F437+F442+F451</f>
        <v>6000</v>
      </c>
      <c r="G452" s="42">
        <f>+G432+G437+G442+G451</f>
        <v>5532</v>
      </c>
      <c r="H452" s="42">
        <f>+H432+H437+H442+H451</f>
        <v>16223</v>
      </c>
      <c r="I452" s="37">
        <f t="shared" si="85"/>
        <v>27755</v>
      </c>
      <c r="J452" s="42">
        <f>+J432+J437+J442+J451</f>
        <v>19355</v>
      </c>
      <c r="K452" s="42">
        <f>+K432+K437+K442+K451</f>
        <v>17218</v>
      </c>
      <c r="L452" s="42">
        <f>+L432+L437+L442+L451</f>
        <v>6815</v>
      </c>
      <c r="M452" s="37">
        <f t="shared" si="86"/>
        <v>43388</v>
      </c>
      <c r="N452" s="42">
        <f>+N432+N437+N442+N451</f>
        <v>2928</v>
      </c>
      <c r="O452" s="42">
        <f>+O432+O437+O442+O451</f>
        <v>39</v>
      </c>
      <c r="P452" s="42">
        <f>+P432+P437+P442+P451</f>
        <v>654</v>
      </c>
      <c r="Q452" s="37">
        <f t="shared" si="87"/>
        <v>3621</v>
      </c>
      <c r="R452" s="40">
        <f t="shared" si="88"/>
        <v>84085</v>
      </c>
    </row>
    <row r="453" spans="1:20" ht="16.5" customHeight="1" thickBot="1" x14ac:dyDescent="0.35">
      <c r="A453" s="244" t="s">
        <v>853</v>
      </c>
      <c r="B453" s="238">
        <v>9</v>
      </c>
      <c r="C453" s="238">
        <v>16</v>
      </c>
      <c r="D453" s="238">
        <v>25</v>
      </c>
      <c r="E453" s="38">
        <f t="shared" si="84"/>
        <v>50</v>
      </c>
      <c r="F453" s="238">
        <v>34</v>
      </c>
      <c r="G453" s="238">
        <v>41</v>
      </c>
      <c r="H453" s="238">
        <v>41</v>
      </c>
      <c r="I453" s="38">
        <f t="shared" si="85"/>
        <v>116</v>
      </c>
      <c r="J453" s="238">
        <v>39</v>
      </c>
      <c r="K453" s="238">
        <v>30</v>
      </c>
      <c r="L453" s="238">
        <v>30</v>
      </c>
      <c r="M453" s="38">
        <f t="shared" si="86"/>
        <v>99</v>
      </c>
      <c r="N453" s="238">
        <v>28</v>
      </c>
      <c r="O453" s="238">
        <v>22</v>
      </c>
      <c r="P453" s="238">
        <v>16</v>
      </c>
      <c r="Q453" s="38">
        <f t="shared" si="87"/>
        <v>66</v>
      </c>
      <c r="R453" s="38">
        <f t="shared" si="88"/>
        <v>331</v>
      </c>
    </row>
    <row r="454" spans="1:20" ht="16.5" customHeight="1" thickBot="1" x14ac:dyDescent="0.35">
      <c r="A454" s="44"/>
      <c r="B454" s="258"/>
      <c r="C454" s="258"/>
      <c r="D454" s="258"/>
      <c r="E454" s="37"/>
      <c r="F454" s="258"/>
      <c r="G454" s="258"/>
      <c r="H454" s="258"/>
      <c r="I454" s="37"/>
      <c r="J454" s="258"/>
      <c r="K454" s="258"/>
      <c r="L454" s="258"/>
      <c r="M454" s="37"/>
      <c r="N454" s="258"/>
      <c r="O454" s="258"/>
      <c r="P454" s="258"/>
      <c r="Q454" s="37"/>
      <c r="R454" s="37" t="s">
        <v>852</v>
      </c>
    </row>
    <row r="455" spans="1:20" ht="15.75" customHeight="1" x14ac:dyDescent="0.3">
      <c r="A455" s="259" t="s">
        <v>2011</v>
      </c>
      <c r="B455" s="260">
        <f>SUM(B452:B453)</f>
        <v>9</v>
      </c>
      <c r="C455" s="260">
        <f>SUM(C452:C453)</f>
        <v>254</v>
      </c>
      <c r="D455" s="260">
        <f>SUM(D452:D453)</f>
        <v>9108</v>
      </c>
      <c r="E455" s="39">
        <f>SUM(B455:D455)</f>
        <v>9371</v>
      </c>
      <c r="F455" s="260">
        <f>SUM(F452:F453)</f>
        <v>6034</v>
      </c>
      <c r="G455" s="260">
        <f>SUM(G452:G453)</f>
        <v>5573</v>
      </c>
      <c r="H455" s="260">
        <f>SUM(H452:H453)</f>
        <v>16264</v>
      </c>
      <c r="I455" s="39">
        <f>SUM(F455:H455)</f>
        <v>27871</v>
      </c>
      <c r="J455" s="260">
        <f>SUM(J452:J453)</f>
        <v>19394</v>
      </c>
      <c r="K455" s="260">
        <f>SUM(K452:K453)</f>
        <v>17248</v>
      </c>
      <c r="L455" s="260">
        <f>SUM(L452:L453)</f>
        <v>6845</v>
      </c>
      <c r="M455" s="39">
        <f>SUM(J455:L455)</f>
        <v>43487</v>
      </c>
      <c r="N455" s="260">
        <f>SUM(N452:N453)</f>
        <v>2956</v>
      </c>
      <c r="O455" s="260">
        <f>SUM(O452:O453)</f>
        <v>61</v>
      </c>
      <c r="P455" s="260">
        <f>SUM(P452:P453)</f>
        <v>670</v>
      </c>
      <c r="Q455" s="39">
        <f>SUM(N455:P455)</f>
        <v>3687</v>
      </c>
      <c r="R455" s="39">
        <f>+E455+I455+M455+Q455</f>
        <v>84416</v>
      </c>
    </row>
    <row r="456" spans="1:20" ht="15.75" customHeight="1" x14ac:dyDescent="0.3">
      <c r="A456" s="262" t="s">
        <v>1897</v>
      </c>
      <c r="B456" s="172">
        <f>(B455/B10)/1.983</f>
        <v>0.14640573910497293</v>
      </c>
      <c r="C456" s="172">
        <f>(C455/C10)/1.983</f>
        <v>4.5745983718752248</v>
      </c>
      <c r="D456" s="172">
        <f>(D455/D10)/1.983</f>
        <v>148.16260797423257</v>
      </c>
      <c r="E456" s="38" t="s">
        <v>852</v>
      </c>
      <c r="F456" s="172">
        <f>(F455/F10)/1.983</f>
        <v>101.4288115649689</v>
      </c>
      <c r="G456" s="172">
        <f>(G455/G10)/1.983</f>
        <v>90.657687114668221</v>
      </c>
      <c r="H456" s="172">
        <f>(H455/H10)/1.983</f>
        <v>273.39048579593208</v>
      </c>
      <c r="I456" s="38" t="s">
        <v>852</v>
      </c>
      <c r="J456" s="172">
        <f>(J455/J10)/1.983</f>
        <v>315.48810046687163</v>
      </c>
      <c r="K456" s="172">
        <f>(K455/K10)/1.983</f>
        <v>280.57846534250808</v>
      </c>
      <c r="L456" s="172">
        <f>(L455/L10)/1.983</f>
        <v>115.06135484955453</v>
      </c>
      <c r="M456" s="38" t="s">
        <v>852</v>
      </c>
      <c r="N456" s="172">
        <f>(N455/N10)/1.983</f>
        <v>48.086151643811107</v>
      </c>
      <c r="O456" s="172">
        <f>(O455/O10)/1.983</f>
        <v>1.0253824172129768</v>
      </c>
      <c r="P456" s="172">
        <f>(P455/P10)/1.983</f>
        <v>10.899093911147983</v>
      </c>
      <c r="Q456" s="38" t="s">
        <v>852</v>
      </c>
      <c r="R456" s="38" t="s">
        <v>852</v>
      </c>
    </row>
    <row r="457" spans="1:20" ht="15.75" customHeight="1" x14ac:dyDescent="0.3">
      <c r="A457" s="262" t="s">
        <v>575</v>
      </c>
      <c r="B457" s="172">
        <f>B455+B499</f>
        <v>15604</v>
      </c>
      <c r="C457" s="172">
        <f>C455+C499</f>
        <v>14444</v>
      </c>
      <c r="D457" s="172">
        <f>D455+D499</f>
        <v>35058</v>
      </c>
      <c r="E457" s="38">
        <f>SUM(B457:D457)</f>
        <v>65106</v>
      </c>
      <c r="F457" s="172">
        <f>F455+F499</f>
        <v>40686</v>
      </c>
      <c r="G457" s="172">
        <f>G455+G499</f>
        <v>40954</v>
      </c>
      <c r="H457" s="172">
        <f>H455+H499</f>
        <v>44355</v>
      </c>
      <c r="I457" s="38">
        <f>SUM(F457:H457)</f>
        <v>125995</v>
      </c>
      <c r="J457" s="172">
        <f>J455+J499</f>
        <v>50308</v>
      </c>
      <c r="K457" s="172">
        <f>K455+K499</f>
        <v>49915</v>
      </c>
      <c r="L457" s="172">
        <f>L455+L499</f>
        <v>31502</v>
      </c>
      <c r="M457" s="38">
        <f>SUM(J457:L457)</f>
        <v>131725</v>
      </c>
      <c r="N457" s="172">
        <f>N455+N499</f>
        <v>19691</v>
      </c>
      <c r="O457" s="172">
        <f>O455+O499</f>
        <v>11252</v>
      </c>
      <c r="P457" s="172">
        <f>P455+P499</f>
        <v>19318</v>
      </c>
      <c r="Q457" s="38">
        <f>SUM(N457:P457)</f>
        <v>50261</v>
      </c>
      <c r="R457" s="38">
        <f>+E457+I457+M457+Q457</f>
        <v>373087</v>
      </c>
    </row>
    <row r="458" spans="1:20" ht="16.5" customHeight="1" thickBot="1" x14ac:dyDescent="0.35">
      <c r="A458" s="263" t="s">
        <v>576</v>
      </c>
      <c r="B458" s="264">
        <f>(B457/B10)/1.983</f>
        <v>253.83501699933305</v>
      </c>
      <c r="C458" s="264">
        <f>(C457/C10)/1.983</f>
        <v>260.13975938332976</v>
      </c>
      <c r="D458" s="264">
        <f>(D457/D10)/1.983</f>
        <v>570.29915572690447</v>
      </c>
      <c r="E458" s="40" t="s">
        <v>852</v>
      </c>
      <c r="F458" s="264">
        <f>(F457/F10)/1.983</f>
        <v>683.9132627332325</v>
      </c>
      <c r="G458" s="264">
        <f>(G457/G10)/1.983</f>
        <v>666.21118214500666</v>
      </c>
      <c r="H458" s="264">
        <f>(H457/H10)/1.983</f>
        <v>745.58749369641953</v>
      </c>
      <c r="I458" s="40" t="s">
        <v>852</v>
      </c>
      <c r="J458" s="264">
        <f>(J457/J10)/1.983</f>
        <v>818.37554698810857</v>
      </c>
      <c r="K458" s="264">
        <f>(K457/K10)/1.983</f>
        <v>811.98249638052482</v>
      </c>
      <c r="L458" s="264">
        <f>(L457/L10)/1.983</f>
        <v>529.53437552529829</v>
      </c>
      <c r="M458" s="40" t="s">
        <v>852</v>
      </c>
      <c r="N458" s="264">
        <f>(N457/N10)/1.983</f>
        <v>320.31948985733572</v>
      </c>
      <c r="O458" s="264">
        <f>(O457/O10)/1.983</f>
        <v>189.14103210623634</v>
      </c>
      <c r="P458" s="264">
        <f>(P457/P10)/1.983</f>
        <v>314.25178533665184</v>
      </c>
      <c r="Q458" s="40" t="s">
        <v>852</v>
      </c>
      <c r="R458" s="40" t="s">
        <v>852</v>
      </c>
    </row>
    <row r="459" spans="1:20" ht="15.75" customHeight="1" x14ac:dyDescent="0.3">
      <c r="A459" s="17"/>
      <c r="B459" s="172"/>
      <c r="C459" s="172"/>
      <c r="D459" s="172"/>
      <c r="E459" s="172"/>
      <c r="F459" s="172"/>
      <c r="G459" s="172"/>
      <c r="H459" s="172"/>
      <c r="I459" s="172"/>
      <c r="J459" s="172"/>
      <c r="K459" s="172"/>
      <c r="L459" s="172"/>
      <c r="M459" s="172"/>
      <c r="N459" s="172"/>
      <c r="O459" s="172"/>
      <c r="P459" s="172"/>
      <c r="Q459" s="172"/>
      <c r="R459" s="17"/>
    </row>
    <row r="460" spans="1:20" ht="15.75" customHeight="1" thickBot="1" x14ac:dyDescent="0.35">
      <c r="A460" s="17"/>
      <c r="B460" s="172"/>
      <c r="C460" s="172"/>
      <c r="D460" s="172"/>
      <c r="E460" s="172"/>
      <c r="F460" s="172"/>
      <c r="G460" s="172"/>
      <c r="H460" s="172"/>
      <c r="I460" s="172"/>
      <c r="J460" s="172"/>
      <c r="K460" s="172"/>
      <c r="L460" s="172"/>
      <c r="M460" s="172"/>
      <c r="N460" s="172"/>
      <c r="O460" s="172"/>
      <c r="P460" s="172"/>
      <c r="Q460" s="172"/>
      <c r="R460" s="17"/>
    </row>
    <row r="461" spans="1:20" ht="16.5" customHeight="1" thickBot="1" x14ac:dyDescent="0.35">
      <c r="A461" s="278" t="s">
        <v>689</v>
      </c>
      <c r="B461" s="4" t="s">
        <v>2090</v>
      </c>
      <c r="C461" s="5" t="s">
        <v>2091</v>
      </c>
      <c r="D461" s="5" t="s">
        <v>2234</v>
      </c>
      <c r="E461" s="33" t="s">
        <v>1594</v>
      </c>
      <c r="F461" s="5" t="s">
        <v>2235</v>
      </c>
      <c r="G461" s="5" t="s">
        <v>2236</v>
      </c>
      <c r="H461" s="5" t="s">
        <v>2237</v>
      </c>
      <c r="I461" s="35" t="s">
        <v>1595</v>
      </c>
      <c r="J461" s="5" t="s">
        <v>1504</v>
      </c>
      <c r="K461" s="5" t="s">
        <v>1505</v>
      </c>
      <c r="L461" s="5" t="s">
        <v>1506</v>
      </c>
      <c r="M461" s="35" t="s">
        <v>1596</v>
      </c>
      <c r="N461" s="5" t="s">
        <v>1507</v>
      </c>
      <c r="O461" s="5" t="s">
        <v>1508</v>
      </c>
      <c r="P461" s="5" t="s">
        <v>1509</v>
      </c>
      <c r="Q461" s="35" t="s">
        <v>1597</v>
      </c>
      <c r="R461" s="36" t="s">
        <v>1510</v>
      </c>
    </row>
    <row r="462" spans="1:20" ht="16.5" customHeight="1" thickBot="1" x14ac:dyDescent="0.35">
      <c r="A462" s="37"/>
      <c r="B462" s="258"/>
      <c r="C462" s="258"/>
      <c r="D462" s="258"/>
      <c r="E462" s="254"/>
      <c r="F462" s="258"/>
      <c r="G462" s="258"/>
      <c r="H462" s="258"/>
      <c r="I462" s="265"/>
      <c r="J462" s="258"/>
      <c r="K462" s="258"/>
      <c r="L462" s="258"/>
      <c r="M462" s="265"/>
      <c r="N462" s="258"/>
      <c r="O462" s="258"/>
      <c r="P462" s="258"/>
      <c r="Q462" s="265"/>
      <c r="R462" s="52"/>
    </row>
    <row r="463" spans="1:20" ht="15.75" customHeight="1" x14ac:dyDescent="0.3">
      <c r="A463" s="234" t="s">
        <v>2417</v>
      </c>
      <c r="B463" s="172" t="s">
        <v>852</v>
      </c>
      <c r="C463" s="172" t="s">
        <v>852</v>
      </c>
      <c r="D463" s="172" t="s">
        <v>852</v>
      </c>
      <c r="E463" s="38" t="s">
        <v>852</v>
      </c>
      <c r="F463" s="172" t="s">
        <v>852</v>
      </c>
      <c r="G463" s="172" t="s">
        <v>852</v>
      </c>
      <c r="H463" s="172" t="s">
        <v>852</v>
      </c>
      <c r="I463" s="38" t="s">
        <v>852</v>
      </c>
      <c r="J463" s="172" t="s">
        <v>852</v>
      </c>
      <c r="K463" s="172" t="s">
        <v>852</v>
      </c>
      <c r="L463" s="172" t="s">
        <v>852</v>
      </c>
      <c r="M463" s="38" t="s">
        <v>852</v>
      </c>
      <c r="N463" s="172" t="s">
        <v>852</v>
      </c>
      <c r="O463" s="172" t="s">
        <v>852</v>
      </c>
      <c r="P463" s="172" t="s">
        <v>852</v>
      </c>
      <c r="Q463" s="38" t="s">
        <v>852</v>
      </c>
      <c r="R463" s="38" t="s">
        <v>852</v>
      </c>
    </row>
    <row r="464" spans="1:20" ht="15.75" customHeight="1" x14ac:dyDescent="0.3">
      <c r="A464" s="234" t="s">
        <v>2160</v>
      </c>
      <c r="B464" s="172"/>
      <c r="C464" s="172"/>
      <c r="D464" s="172"/>
      <c r="E464" s="38" t="s">
        <v>852</v>
      </c>
      <c r="F464" s="172"/>
      <c r="G464" s="172"/>
      <c r="H464" s="172"/>
      <c r="I464" s="38" t="s">
        <v>852</v>
      </c>
      <c r="J464" s="172"/>
      <c r="K464" s="172"/>
      <c r="L464" s="172"/>
      <c r="M464" s="38" t="s">
        <v>852</v>
      </c>
      <c r="N464" s="172"/>
      <c r="O464" s="172"/>
      <c r="P464" s="172"/>
      <c r="Q464" s="38" t="s">
        <v>852</v>
      </c>
      <c r="R464" s="38" t="s">
        <v>852</v>
      </c>
    </row>
    <row r="465" spans="1:20" ht="15.75" customHeight="1" x14ac:dyDescent="0.3">
      <c r="A465" s="310" t="s">
        <v>1478</v>
      </c>
      <c r="B465" s="10">
        <v>241</v>
      </c>
      <c r="C465" s="10"/>
      <c r="D465" s="10"/>
      <c r="E465" s="38">
        <f>SUM(B465:D465)</f>
        <v>241</v>
      </c>
      <c r="F465" s="10">
        <v>217</v>
      </c>
      <c r="G465" s="10"/>
      <c r="H465" s="10">
        <v>542</v>
      </c>
      <c r="I465" s="38">
        <f>SUM(F465:H465)</f>
        <v>759</v>
      </c>
      <c r="J465" s="10"/>
      <c r="K465" s="10"/>
      <c r="L465" s="10"/>
      <c r="M465" s="38">
        <f>SUM(J465:L465)</f>
        <v>0</v>
      </c>
      <c r="N465" s="10"/>
      <c r="O465" s="10"/>
      <c r="P465" s="10"/>
      <c r="Q465" s="38">
        <f>SUM(N465:P465)</f>
        <v>0</v>
      </c>
      <c r="R465" s="38">
        <f>+E465+I465+M465+Q465</f>
        <v>1000</v>
      </c>
    </row>
    <row r="466" spans="1:20" ht="15.75" customHeight="1" x14ac:dyDescent="0.3">
      <c r="A466" s="266" t="s">
        <v>485</v>
      </c>
      <c r="B466" s="172"/>
      <c r="C466" s="172"/>
      <c r="D466" s="172"/>
      <c r="E466" s="38">
        <f>SUM(B466:D466)</f>
        <v>0</v>
      </c>
      <c r="F466" s="172"/>
      <c r="G466" s="172">
        <v>250</v>
      </c>
      <c r="H466" s="172">
        <v>900</v>
      </c>
      <c r="I466" s="38">
        <f>SUM(F466:H466)</f>
        <v>1150</v>
      </c>
      <c r="J466" s="172">
        <v>1455</v>
      </c>
      <c r="K466" s="172">
        <v>1395</v>
      </c>
      <c r="L466" s="172"/>
      <c r="M466" s="38">
        <f>SUM(J466:L466)</f>
        <v>2850</v>
      </c>
      <c r="N466" s="172"/>
      <c r="O466" s="172"/>
      <c r="P466" s="172"/>
      <c r="Q466" s="38">
        <f>SUM(N466:P466)</f>
        <v>0</v>
      </c>
      <c r="R466" s="38">
        <f>+E466+I466+M466+Q466</f>
        <v>4000</v>
      </c>
    </row>
    <row r="467" spans="1:20" ht="15.75" customHeight="1" x14ac:dyDescent="0.3">
      <c r="A467" s="310" t="s">
        <v>1938</v>
      </c>
      <c r="B467" s="10"/>
      <c r="C467" s="10"/>
      <c r="D467" s="10"/>
      <c r="E467" s="38">
        <f>SUM(B467:D467)</f>
        <v>0</v>
      </c>
      <c r="F467" s="10"/>
      <c r="G467" s="10">
        <v>742</v>
      </c>
      <c r="H467" s="10">
        <v>0</v>
      </c>
      <c r="I467" s="38">
        <f>SUM(F467:H467)</f>
        <v>742</v>
      </c>
      <c r="J467" s="10">
        <v>0</v>
      </c>
      <c r="K467" s="10">
        <v>34</v>
      </c>
      <c r="L467" s="10">
        <v>452</v>
      </c>
      <c r="M467" s="38">
        <f>SUM(J467:L467)</f>
        <v>486</v>
      </c>
      <c r="N467" s="10">
        <v>189</v>
      </c>
      <c r="O467" s="10">
        <v>109</v>
      </c>
      <c r="P467" s="10">
        <v>330</v>
      </c>
      <c r="Q467" s="38">
        <f>SUM(N467:P467)</f>
        <v>628</v>
      </c>
      <c r="R467" s="38">
        <f>+E467+I467+M467+Q467</f>
        <v>1856</v>
      </c>
    </row>
    <row r="468" spans="1:20" ht="15.75" customHeight="1" x14ac:dyDescent="0.3">
      <c r="A468" s="234" t="s">
        <v>2161</v>
      </c>
      <c r="B468" s="172"/>
      <c r="C468" s="172"/>
      <c r="D468" s="172"/>
      <c r="E468" s="38" t="s">
        <v>852</v>
      </c>
      <c r="F468" s="172"/>
      <c r="G468" s="172"/>
      <c r="H468" s="172"/>
      <c r="I468" s="38" t="s">
        <v>852</v>
      </c>
      <c r="J468" s="172"/>
      <c r="K468" s="172"/>
      <c r="L468" s="172"/>
      <c r="M468" s="38" t="s">
        <v>852</v>
      </c>
      <c r="N468" s="172"/>
      <c r="O468" s="172"/>
      <c r="P468" s="172"/>
      <c r="Q468" s="38" t="s">
        <v>852</v>
      </c>
      <c r="R468" s="38" t="s">
        <v>852</v>
      </c>
    </row>
    <row r="469" spans="1:20" ht="15.75" customHeight="1" x14ac:dyDescent="0.3">
      <c r="A469" s="234" t="s">
        <v>2162</v>
      </c>
      <c r="B469" s="172"/>
      <c r="C469" s="172"/>
      <c r="D469" s="172"/>
      <c r="E469" s="38" t="s">
        <v>852</v>
      </c>
      <c r="F469" s="172"/>
      <c r="G469" s="172"/>
      <c r="H469" s="172"/>
      <c r="I469" s="38" t="s">
        <v>852</v>
      </c>
      <c r="J469" s="172"/>
      <c r="K469" s="172"/>
      <c r="L469" s="172"/>
      <c r="M469" s="38" t="s">
        <v>852</v>
      </c>
      <c r="N469" s="172"/>
      <c r="O469" s="172"/>
      <c r="P469" s="172"/>
      <c r="Q469" s="38" t="s">
        <v>852</v>
      </c>
      <c r="R469" s="38" t="s">
        <v>852</v>
      </c>
    </row>
    <row r="470" spans="1:20" ht="15.75" customHeight="1" thickBot="1" x14ac:dyDescent="0.35">
      <c r="A470" s="234" t="s">
        <v>2164</v>
      </c>
      <c r="B470" s="172"/>
      <c r="C470" s="172"/>
      <c r="D470" s="172"/>
      <c r="E470" s="38" t="s">
        <v>852</v>
      </c>
      <c r="F470" s="172"/>
      <c r="G470" s="172"/>
      <c r="H470" s="172"/>
      <c r="I470" s="38" t="s">
        <v>852</v>
      </c>
      <c r="J470" s="172"/>
      <c r="K470" s="172"/>
      <c r="L470" s="172"/>
      <c r="M470" s="38" t="s">
        <v>852</v>
      </c>
      <c r="N470" s="172"/>
      <c r="O470" s="172"/>
      <c r="P470" s="172"/>
      <c r="Q470" s="38" t="s">
        <v>852</v>
      </c>
      <c r="R470" s="38" t="s">
        <v>852</v>
      </c>
    </row>
    <row r="471" spans="1:20" ht="16.5" customHeight="1" thickBot="1" x14ac:dyDescent="0.35">
      <c r="A471" s="276" t="s">
        <v>1218</v>
      </c>
      <c r="B471" s="45">
        <f>SUM(B463:B470)</f>
        <v>241</v>
      </c>
      <c r="C471" s="46">
        <f>SUM(C463:C470)</f>
        <v>0</v>
      </c>
      <c r="D471" s="46">
        <f>SUM(D463:D470)</f>
        <v>0</v>
      </c>
      <c r="E471" s="37">
        <f>SUM(B471:D471)</f>
        <v>241</v>
      </c>
      <c r="F471" s="46">
        <f>SUM(F463:F470)</f>
        <v>217</v>
      </c>
      <c r="G471" s="46">
        <f>SUM(G463:G470)</f>
        <v>992</v>
      </c>
      <c r="H471" s="46">
        <f>SUM(H463:H470)</f>
        <v>1442</v>
      </c>
      <c r="I471" s="37">
        <f>SUM(F471:H471)</f>
        <v>2651</v>
      </c>
      <c r="J471" s="46">
        <f>SUM(J463:J470)</f>
        <v>1455</v>
      </c>
      <c r="K471" s="46">
        <f>SUM(K463:K470)</f>
        <v>1429</v>
      </c>
      <c r="L471" s="46">
        <f>SUM(L463:L470)</f>
        <v>452</v>
      </c>
      <c r="M471" s="37">
        <f>SUM(J471:L471)</f>
        <v>3336</v>
      </c>
      <c r="N471" s="46">
        <f>SUM(N463:N470)</f>
        <v>189</v>
      </c>
      <c r="O471" s="46">
        <f>SUM(O463:O470)</f>
        <v>109</v>
      </c>
      <c r="P471" s="46">
        <f>SUM(P463:P470)</f>
        <v>330</v>
      </c>
      <c r="Q471" s="37">
        <f>SUM(N471:P471)</f>
        <v>628</v>
      </c>
      <c r="R471" s="37">
        <f>+E471+I471+M471+Q471</f>
        <v>6856</v>
      </c>
    </row>
    <row r="472" spans="1:20" ht="15.75" customHeight="1" x14ac:dyDescent="0.3">
      <c r="A472" s="234" t="s">
        <v>1172</v>
      </c>
      <c r="B472" s="172"/>
      <c r="C472" s="172"/>
      <c r="D472" s="172"/>
      <c r="E472" s="39" t="s">
        <v>852</v>
      </c>
      <c r="F472" s="172"/>
      <c r="G472" s="172"/>
      <c r="H472" s="172"/>
      <c r="I472" s="39" t="s">
        <v>852</v>
      </c>
      <c r="J472" s="172"/>
      <c r="K472" s="172"/>
      <c r="L472" s="172"/>
      <c r="M472" s="39" t="s">
        <v>852</v>
      </c>
      <c r="N472" s="172"/>
      <c r="O472" s="172"/>
      <c r="P472" s="172"/>
      <c r="Q472" s="39" t="s">
        <v>852</v>
      </c>
      <c r="R472" s="63" t="s">
        <v>852</v>
      </c>
    </row>
    <row r="473" spans="1:20" ht="15.75" customHeight="1" x14ac:dyDescent="0.3">
      <c r="A473" s="234" t="s">
        <v>2409</v>
      </c>
      <c r="B473" s="172"/>
      <c r="C473" s="172"/>
      <c r="D473" s="172"/>
      <c r="E473" s="38" t="s">
        <v>852</v>
      </c>
      <c r="F473" s="172"/>
      <c r="G473" s="172"/>
      <c r="H473" s="172"/>
      <c r="I473" s="38" t="s">
        <v>852</v>
      </c>
      <c r="J473" s="172"/>
      <c r="K473" s="172"/>
      <c r="L473" s="172"/>
      <c r="M473" s="38" t="s">
        <v>852</v>
      </c>
      <c r="N473" s="172"/>
      <c r="O473" s="172"/>
      <c r="P473" s="172"/>
      <c r="Q473" s="38" t="s">
        <v>852</v>
      </c>
      <c r="R473" s="63" t="s">
        <v>852</v>
      </c>
    </row>
    <row r="474" spans="1:20" ht="15.75" customHeight="1" x14ac:dyDescent="0.3">
      <c r="A474" s="266" t="s">
        <v>791</v>
      </c>
      <c r="B474" s="10">
        <v>284</v>
      </c>
      <c r="C474" s="10">
        <v>240</v>
      </c>
      <c r="D474" s="10">
        <v>2746</v>
      </c>
      <c r="E474" s="38">
        <f>SUM(B474:D474)</f>
        <v>3270</v>
      </c>
      <c r="F474" s="10">
        <v>2737</v>
      </c>
      <c r="G474" s="10">
        <v>5119</v>
      </c>
      <c r="H474" s="10">
        <v>6134</v>
      </c>
      <c r="I474" s="38">
        <f>SUM(F474:H474)</f>
        <v>13990</v>
      </c>
      <c r="J474" s="10">
        <v>7046</v>
      </c>
      <c r="K474" s="10">
        <v>5761</v>
      </c>
      <c r="L474" s="10">
        <v>1628</v>
      </c>
      <c r="M474" s="38">
        <f>SUM(J474:L474)</f>
        <v>14435</v>
      </c>
      <c r="N474" s="10">
        <v>1295</v>
      </c>
      <c r="O474" s="10">
        <v>258</v>
      </c>
      <c r="P474" s="10">
        <v>200</v>
      </c>
      <c r="Q474" s="38">
        <f>SUM(N474:P474)</f>
        <v>1753</v>
      </c>
      <c r="R474" s="38">
        <f>+E474+I474+M474+Q474</f>
        <v>33448</v>
      </c>
      <c r="S474">
        <f>+SUM(R474,R435,R333)</f>
        <v>126978</v>
      </c>
      <c r="T474" t="s">
        <v>2704</v>
      </c>
    </row>
    <row r="475" spans="1:20" ht="15.75" customHeight="1" x14ac:dyDescent="0.3">
      <c r="A475" s="266" t="s">
        <v>2300</v>
      </c>
      <c r="B475" s="172"/>
      <c r="C475" s="172">
        <v>408</v>
      </c>
      <c r="D475" s="172">
        <v>170</v>
      </c>
      <c r="E475" s="38">
        <f>SUM(B475:D475)</f>
        <v>578</v>
      </c>
      <c r="F475" s="172">
        <v>422</v>
      </c>
      <c r="G475" s="172"/>
      <c r="H475" s="172"/>
      <c r="I475" s="38">
        <f>SUM(F475:H475)</f>
        <v>422</v>
      </c>
      <c r="J475" s="172"/>
      <c r="K475" s="172"/>
      <c r="L475" s="172"/>
      <c r="M475" s="38">
        <f>SUM(J475:L475)</f>
        <v>0</v>
      </c>
      <c r="N475" s="172"/>
      <c r="O475" s="172"/>
      <c r="P475" s="172"/>
      <c r="Q475" s="38">
        <f>SUM(N475:P475)</f>
        <v>0</v>
      </c>
      <c r="R475" s="38">
        <f>+E475+I475+M475+Q475</f>
        <v>1000</v>
      </c>
    </row>
    <row r="476" spans="1:20" ht="15.75" customHeight="1" thickBot="1" x14ac:dyDescent="0.35">
      <c r="A476" s="234" t="s">
        <v>2165</v>
      </c>
      <c r="B476" s="172"/>
      <c r="C476" s="172"/>
      <c r="D476" s="172"/>
      <c r="E476" s="38" t="s">
        <v>852</v>
      </c>
      <c r="F476" s="172"/>
      <c r="G476" s="172"/>
      <c r="H476" s="172"/>
      <c r="I476" s="38" t="s">
        <v>852</v>
      </c>
      <c r="J476" s="172"/>
      <c r="K476" s="172"/>
      <c r="L476" s="172"/>
      <c r="M476" s="38" t="s">
        <v>852</v>
      </c>
      <c r="N476" s="172"/>
      <c r="O476" s="172"/>
      <c r="P476" s="172"/>
      <c r="Q476" s="38" t="s">
        <v>852</v>
      </c>
      <c r="R476" s="63" t="s">
        <v>852</v>
      </c>
    </row>
    <row r="477" spans="1:20" ht="16.5" customHeight="1" thickBot="1" x14ac:dyDescent="0.35">
      <c r="A477" s="43" t="s">
        <v>1219</v>
      </c>
      <c r="B477" s="45">
        <f>SUM(B472:B476)</f>
        <v>284</v>
      </c>
      <c r="C477" s="46">
        <f>SUM(C472:C476)</f>
        <v>648</v>
      </c>
      <c r="D477" s="46">
        <f>SUM(D472:D476)</f>
        <v>2916</v>
      </c>
      <c r="E477" s="37">
        <f>SUM(B477:D477)</f>
        <v>3848</v>
      </c>
      <c r="F477" s="46">
        <f>SUM(F472:F476)</f>
        <v>3159</v>
      </c>
      <c r="G477" s="46">
        <f>SUM(G472:G476)</f>
        <v>5119</v>
      </c>
      <c r="H477" s="46">
        <f>SUM(H472:H476)</f>
        <v>6134</v>
      </c>
      <c r="I477" s="37">
        <f>SUM(F477:H477)</f>
        <v>14412</v>
      </c>
      <c r="J477" s="46">
        <f>SUM(J472:J476)</f>
        <v>7046</v>
      </c>
      <c r="K477" s="46">
        <f>SUM(K472:K476)</f>
        <v>5761</v>
      </c>
      <c r="L477" s="46">
        <f>SUM(L472:L476)</f>
        <v>1628</v>
      </c>
      <c r="M477" s="37">
        <f>SUM(J477:L477)</f>
        <v>14435</v>
      </c>
      <c r="N477" s="46">
        <f>SUM(N472:N476)</f>
        <v>1295</v>
      </c>
      <c r="O477" s="46">
        <f>SUM(O472:O476)</f>
        <v>258</v>
      </c>
      <c r="P477" s="46">
        <f>SUM(P472:P476)</f>
        <v>200</v>
      </c>
      <c r="Q477" s="37">
        <f>SUM(N477:P477)</f>
        <v>1753</v>
      </c>
      <c r="R477" s="37">
        <f>+E477+I477+M477+Q477</f>
        <v>34448</v>
      </c>
    </row>
    <row r="478" spans="1:20" ht="15.75" customHeight="1" x14ac:dyDescent="0.3">
      <c r="A478" s="234" t="s">
        <v>2166</v>
      </c>
      <c r="B478" s="172"/>
      <c r="C478" s="172"/>
      <c r="D478" s="172"/>
      <c r="E478" s="38" t="s">
        <v>852</v>
      </c>
      <c r="F478" s="172"/>
      <c r="G478" s="172"/>
      <c r="H478" s="172"/>
      <c r="I478" s="38" t="s">
        <v>852</v>
      </c>
      <c r="J478" s="172"/>
      <c r="K478" s="172"/>
      <c r="L478" s="172"/>
      <c r="M478" s="38" t="s">
        <v>852</v>
      </c>
      <c r="N478" s="172"/>
      <c r="O478" s="172"/>
      <c r="P478" s="172"/>
      <c r="Q478" s="38" t="s">
        <v>852</v>
      </c>
      <c r="R478" s="38" t="s">
        <v>852</v>
      </c>
    </row>
    <row r="479" spans="1:20" ht="15.75" customHeight="1" x14ac:dyDescent="0.3">
      <c r="A479" s="234" t="s">
        <v>1245</v>
      </c>
      <c r="B479" s="172"/>
      <c r="C479" s="172"/>
      <c r="D479" s="172"/>
      <c r="E479" s="38" t="s">
        <v>852</v>
      </c>
      <c r="F479" s="172"/>
      <c r="G479" s="172"/>
      <c r="H479" s="172"/>
      <c r="I479" s="38" t="s">
        <v>852</v>
      </c>
      <c r="J479" s="172"/>
      <c r="K479" s="172"/>
      <c r="L479" s="172"/>
      <c r="M479" s="38" t="s">
        <v>852</v>
      </c>
      <c r="N479" s="172"/>
      <c r="O479" s="172"/>
      <c r="P479" s="172"/>
      <c r="Q479" s="38" t="s">
        <v>852</v>
      </c>
      <c r="R479" s="38" t="s">
        <v>852</v>
      </c>
    </row>
    <row r="480" spans="1:20" ht="15.75" customHeight="1" x14ac:dyDescent="0.3">
      <c r="A480" s="234" t="s">
        <v>1711</v>
      </c>
      <c r="B480" s="172"/>
      <c r="C480" s="172"/>
      <c r="D480" s="172"/>
      <c r="E480" s="38" t="s">
        <v>852</v>
      </c>
      <c r="F480" s="172"/>
      <c r="G480" s="172"/>
      <c r="H480" s="172"/>
      <c r="I480" s="38" t="s">
        <v>852</v>
      </c>
      <c r="J480" s="172"/>
      <c r="K480" s="172"/>
      <c r="L480" s="172"/>
      <c r="M480" s="38" t="s">
        <v>852</v>
      </c>
      <c r="N480" s="172"/>
      <c r="O480" s="172"/>
      <c r="P480" s="172"/>
      <c r="Q480" s="38" t="s">
        <v>852</v>
      </c>
      <c r="R480" s="38" t="s">
        <v>852</v>
      </c>
    </row>
    <row r="481" spans="1:20" ht="15.75" customHeight="1" thickBot="1" x14ac:dyDescent="0.35">
      <c r="A481" s="689" t="s">
        <v>2937</v>
      </c>
      <c r="B481" s="172"/>
      <c r="C481" s="172"/>
      <c r="D481" s="172">
        <v>1500</v>
      </c>
      <c r="E481" s="38">
        <f>SUM(B481:D481)</f>
        <v>1500</v>
      </c>
      <c r="F481" s="172">
        <v>6000</v>
      </c>
      <c r="G481" s="172">
        <v>5000</v>
      </c>
      <c r="H481" s="172"/>
      <c r="I481" s="38">
        <f>SUM(F481:H481)</f>
        <v>11000</v>
      </c>
      <c r="J481" s="172"/>
      <c r="K481" s="172"/>
      <c r="L481" s="172"/>
      <c r="M481" s="38">
        <f>SUM(J481:L481)</f>
        <v>0</v>
      </c>
      <c r="N481" s="172"/>
      <c r="O481" s="172"/>
      <c r="P481" s="172"/>
      <c r="Q481" s="38">
        <f>SUM(N481:P481)</f>
        <v>0</v>
      </c>
      <c r="R481" s="38">
        <f>+E481+I481+M481+Q481</f>
        <v>12500</v>
      </c>
      <c r="T481" t="s">
        <v>505</v>
      </c>
    </row>
    <row r="482" spans="1:20" ht="16.5" customHeight="1" thickBot="1" x14ac:dyDescent="0.35">
      <c r="A482" s="277" t="s">
        <v>1220</v>
      </c>
      <c r="B482" s="45">
        <f>SUM(B478:B481)</f>
        <v>0</v>
      </c>
      <c r="C482" s="46">
        <f>SUM(C478:C481)</f>
        <v>0</v>
      </c>
      <c r="D482" s="46">
        <f>SUM(D478:D481)</f>
        <v>1500</v>
      </c>
      <c r="E482" s="37">
        <f>SUM(B482:D482)</f>
        <v>1500</v>
      </c>
      <c r="F482" s="46">
        <f>SUM(F478:F481)</f>
        <v>6000</v>
      </c>
      <c r="G482" s="46">
        <f>SUM(G478:G481)</f>
        <v>5000</v>
      </c>
      <c r="H482" s="46">
        <f>SUM(H478:H481)</f>
        <v>0</v>
      </c>
      <c r="I482" s="37">
        <f>SUM(F482:H482)</f>
        <v>11000</v>
      </c>
      <c r="J482" s="46">
        <f>SUM(J478:J481)</f>
        <v>0</v>
      </c>
      <c r="K482" s="46">
        <f>SUM(K478:K481)</f>
        <v>0</v>
      </c>
      <c r="L482" s="46">
        <f>SUM(L478:L481)</f>
        <v>0</v>
      </c>
      <c r="M482" s="37">
        <f>SUM(J482:L482)</f>
        <v>0</v>
      </c>
      <c r="N482" s="46">
        <f>SUM(N478:N481)</f>
        <v>0</v>
      </c>
      <c r="O482" s="46">
        <f>SUM(O478:O481)</f>
        <v>0</v>
      </c>
      <c r="P482" s="46">
        <f>SUM(P478:P481)</f>
        <v>0</v>
      </c>
      <c r="Q482" s="37">
        <f>SUM(N482:P482)</f>
        <v>0</v>
      </c>
      <c r="R482" s="37">
        <f>+E482+I482+M482+Q482</f>
        <v>12500</v>
      </c>
    </row>
    <row r="483" spans="1:20" ht="15.75" customHeight="1" x14ac:dyDescent="0.3">
      <c r="A483" s="234" t="s">
        <v>1712</v>
      </c>
      <c r="B483" s="172"/>
      <c r="C483" s="172"/>
      <c r="D483" s="172"/>
      <c r="E483" s="38" t="s">
        <v>852</v>
      </c>
      <c r="F483" s="172"/>
      <c r="G483" s="172"/>
      <c r="H483" s="172"/>
      <c r="I483" s="38" t="s">
        <v>852</v>
      </c>
      <c r="J483" s="172"/>
      <c r="K483" s="172"/>
      <c r="L483" s="172"/>
      <c r="M483" s="38" t="s">
        <v>852</v>
      </c>
      <c r="N483" s="172"/>
      <c r="O483" s="172"/>
      <c r="P483" s="172"/>
      <c r="Q483" s="38" t="s">
        <v>852</v>
      </c>
      <c r="R483" s="38" t="s">
        <v>852</v>
      </c>
    </row>
    <row r="484" spans="1:20" ht="15.75" customHeight="1" x14ac:dyDescent="0.3">
      <c r="A484" s="234" t="s">
        <v>1021</v>
      </c>
      <c r="B484" s="172"/>
      <c r="C484" s="172"/>
      <c r="D484" s="172"/>
      <c r="E484" s="38" t="s">
        <v>852</v>
      </c>
      <c r="F484" s="172"/>
      <c r="G484" s="172"/>
      <c r="H484" s="172"/>
      <c r="I484" s="38" t="s">
        <v>852</v>
      </c>
      <c r="J484" s="172"/>
      <c r="K484" s="172"/>
      <c r="L484" s="172"/>
      <c r="M484" s="38" t="s">
        <v>852</v>
      </c>
      <c r="N484" s="172"/>
      <c r="O484" s="172"/>
      <c r="P484" s="172"/>
      <c r="Q484" s="38" t="s">
        <v>852</v>
      </c>
      <c r="R484" s="38" t="s">
        <v>852</v>
      </c>
    </row>
    <row r="485" spans="1:20" ht="15.75" customHeight="1" x14ac:dyDescent="0.3">
      <c r="A485" s="234" t="s">
        <v>557</v>
      </c>
      <c r="B485" s="172"/>
      <c r="C485" s="172"/>
      <c r="D485" s="172"/>
      <c r="E485" s="38" t="s">
        <v>852</v>
      </c>
      <c r="F485" s="172"/>
      <c r="G485" s="172"/>
      <c r="H485" s="172"/>
      <c r="I485" s="38" t="s">
        <v>852</v>
      </c>
      <c r="J485" s="172"/>
      <c r="K485" s="172"/>
      <c r="L485" s="172"/>
      <c r="M485" s="38" t="s">
        <v>852</v>
      </c>
      <c r="N485" s="172"/>
      <c r="O485" s="172"/>
      <c r="P485" s="172"/>
      <c r="Q485" s="38" t="s">
        <v>852</v>
      </c>
      <c r="R485" s="38" t="s">
        <v>852</v>
      </c>
    </row>
    <row r="486" spans="1:20" ht="15.75" customHeight="1" x14ac:dyDescent="0.3">
      <c r="A486" s="234" t="s">
        <v>1022</v>
      </c>
      <c r="B486" s="172"/>
      <c r="C486" s="172"/>
      <c r="D486" s="172"/>
      <c r="E486" s="38" t="s">
        <v>852</v>
      </c>
      <c r="F486" s="172"/>
      <c r="G486" s="172"/>
      <c r="H486" s="172"/>
      <c r="I486" s="38" t="s">
        <v>852</v>
      </c>
      <c r="J486" s="172"/>
      <c r="K486" s="172"/>
      <c r="L486" s="172"/>
      <c r="M486" s="38" t="s">
        <v>852</v>
      </c>
      <c r="N486" s="172"/>
      <c r="O486" s="172"/>
      <c r="P486" s="172"/>
      <c r="Q486" s="38" t="s">
        <v>852</v>
      </c>
      <c r="R486" s="38" t="s">
        <v>852</v>
      </c>
    </row>
    <row r="487" spans="1:20" ht="15.75" customHeight="1" x14ac:dyDescent="0.3">
      <c r="A487" s="266" t="s">
        <v>2102</v>
      </c>
      <c r="B487" s="172"/>
      <c r="C487" s="172"/>
      <c r="D487" s="172"/>
      <c r="E487" s="38">
        <f>SUM(B487:D487)</f>
        <v>0</v>
      </c>
      <c r="F487" s="172"/>
      <c r="G487" s="172"/>
      <c r="H487" s="172"/>
      <c r="I487" s="38">
        <f>SUM(F487:H487)</f>
        <v>0</v>
      </c>
      <c r="J487" s="172"/>
      <c r="K487" s="172"/>
      <c r="L487" s="172"/>
      <c r="M487" s="38">
        <f>SUM(J487:L487)</f>
        <v>0</v>
      </c>
      <c r="N487" s="172"/>
      <c r="O487" s="172"/>
      <c r="P487" s="172"/>
      <c r="Q487" s="38">
        <f>SUM(N487:P487)</f>
        <v>0</v>
      </c>
      <c r="R487" s="38">
        <f>+E487+I487+M487+Q487</f>
        <v>0</v>
      </c>
    </row>
    <row r="488" spans="1:20" ht="15.75" customHeight="1" x14ac:dyDescent="0.3">
      <c r="A488" s="234" t="s">
        <v>559</v>
      </c>
      <c r="B488" s="172"/>
      <c r="C488" s="172"/>
      <c r="D488" s="172"/>
      <c r="E488" s="38"/>
      <c r="F488" s="172"/>
      <c r="G488" s="172"/>
      <c r="H488" s="172"/>
      <c r="I488" s="38"/>
      <c r="J488" s="172"/>
      <c r="K488" s="172"/>
      <c r="L488" s="172"/>
      <c r="M488" s="38"/>
      <c r="N488" s="172"/>
      <c r="O488" s="172"/>
      <c r="P488" s="172"/>
      <c r="Q488" s="38"/>
      <c r="R488" s="38" t="s">
        <v>852</v>
      </c>
    </row>
    <row r="489" spans="1:20" ht="15.75" customHeight="1" x14ac:dyDescent="0.3">
      <c r="A489" s="539" t="s">
        <v>2835</v>
      </c>
      <c r="B489" s="10"/>
      <c r="C489" s="10"/>
      <c r="D489" s="10"/>
      <c r="E489" s="38">
        <f t="shared" ref="E489:E495" si="89">SUM(B489:D489)</f>
        <v>0</v>
      </c>
      <c r="F489" s="10"/>
      <c r="G489" s="10"/>
      <c r="H489" s="10"/>
      <c r="I489" s="38">
        <f t="shared" ref="I489:I495" si="90">SUM(F489:H489)</f>
        <v>0</v>
      </c>
      <c r="J489" s="10"/>
      <c r="K489" s="10"/>
      <c r="L489" s="10"/>
      <c r="M489" s="38">
        <f t="shared" ref="M489:M495" si="91">SUM(J489:L489)</f>
        <v>0</v>
      </c>
      <c r="N489" s="10"/>
      <c r="O489" s="10"/>
      <c r="P489" s="10"/>
      <c r="Q489" s="38">
        <f t="shared" ref="Q489:Q495" si="92">SUM(N489:P489)</f>
        <v>0</v>
      </c>
      <c r="R489" s="38">
        <f t="shared" ref="R489:R495" si="93">+E489+I489+M489+Q489</f>
        <v>0</v>
      </c>
      <c r="T489" t="s">
        <v>505</v>
      </c>
    </row>
    <row r="490" spans="1:20" ht="15.75" customHeight="1" x14ac:dyDescent="0.3">
      <c r="A490" s="539" t="s">
        <v>2836</v>
      </c>
      <c r="B490" s="172"/>
      <c r="C490" s="172"/>
      <c r="D490" s="172"/>
      <c r="E490" s="38">
        <f>SUM(B490:D490)</f>
        <v>0</v>
      </c>
      <c r="F490" s="172"/>
      <c r="G490" s="172"/>
      <c r="H490" s="172"/>
      <c r="I490" s="38">
        <f>SUM(F490:H490)</f>
        <v>0</v>
      </c>
      <c r="J490" s="172"/>
      <c r="K490" s="172"/>
      <c r="L490" s="172"/>
      <c r="M490" s="38">
        <f>SUM(J490:L490)</f>
        <v>0</v>
      </c>
      <c r="N490" s="172"/>
      <c r="O490" s="172"/>
      <c r="P490" s="172"/>
      <c r="Q490" s="38">
        <f>SUM(N490:P490)</f>
        <v>0</v>
      </c>
      <c r="R490" s="38">
        <f>+E490+I490+M490+Q490</f>
        <v>0</v>
      </c>
      <c r="T490" t="s">
        <v>505</v>
      </c>
    </row>
    <row r="491" spans="1:20" ht="15.75" customHeight="1" thickBot="1" x14ac:dyDescent="0.35">
      <c r="A491" s="539" t="s">
        <v>2577</v>
      </c>
      <c r="B491" s="172"/>
      <c r="C491" s="172"/>
      <c r="D491" s="172"/>
      <c r="E491" s="38">
        <f t="shared" si="89"/>
        <v>0</v>
      </c>
      <c r="F491" s="172"/>
      <c r="G491" s="172"/>
      <c r="H491" s="172"/>
      <c r="I491" s="38">
        <f t="shared" si="90"/>
        <v>0</v>
      </c>
      <c r="J491" s="172"/>
      <c r="K491" s="172"/>
      <c r="L491" s="172"/>
      <c r="M491" s="38">
        <f t="shared" si="91"/>
        <v>0</v>
      </c>
      <c r="N491" s="172"/>
      <c r="O491" s="172"/>
      <c r="P491" s="172"/>
      <c r="Q491" s="38">
        <f t="shared" si="92"/>
        <v>0</v>
      </c>
      <c r="R491" s="38">
        <f t="shared" si="93"/>
        <v>0</v>
      </c>
    </row>
    <row r="492" spans="1:20" ht="16.5" customHeight="1" thickBot="1" x14ac:dyDescent="0.35">
      <c r="A492" s="43" t="s">
        <v>1019</v>
      </c>
      <c r="B492" s="42">
        <f>SUM(B486:B491)</f>
        <v>0</v>
      </c>
      <c r="C492" s="42">
        <f>SUM(C486:C491)</f>
        <v>0</v>
      </c>
      <c r="D492" s="42">
        <f>SUM(D486:D491)</f>
        <v>0</v>
      </c>
      <c r="E492" s="39">
        <f t="shared" si="89"/>
        <v>0</v>
      </c>
      <c r="F492" s="42">
        <f>SUM(F486:F491)</f>
        <v>0</v>
      </c>
      <c r="G492" s="42">
        <f>SUM(G486:G491)</f>
        <v>0</v>
      </c>
      <c r="H492" s="42">
        <f>SUM(H486:H491)</f>
        <v>0</v>
      </c>
      <c r="I492" s="39">
        <f t="shared" si="90"/>
        <v>0</v>
      </c>
      <c r="J492" s="42">
        <f>SUM(J486:J491)</f>
        <v>0</v>
      </c>
      <c r="K492" s="42">
        <f>SUM(K486:K491)</f>
        <v>0</v>
      </c>
      <c r="L492" s="42">
        <f>SUM(L486:L491)</f>
        <v>0</v>
      </c>
      <c r="M492" s="39">
        <f t="shared" si="91"/>
        <v>0</v>
      </c>
      <c r="N492" s="42">
        <f>SUM(N486:N491)</f>
        <v>0</v>
      </c>
      <c r="O492" s="42">
        <f>SUM(O486:O491)</f>
        <v>0</v>
      </c>
      <c r="P492" s="42">
        <f>SUM(P486:P491)</f>
        <v>0</v>
      </c>
      <c r="Q492" s="39">
        <f t="shared" si="92"/>
        <v>0</v>
      </c>
      <c r="R492" s="37">
        <f t="shared" si="93"/>
        <v>0</v>
      </c>
    </row>
    <row r="493" spans="1:20" ht="16.5" customHeight="1" thickBot="1" x14ac:dyDescent="0.35">
      <c r="A493" s="277" t="s">
        <v>1221</v>
      </c>
      <c r="B493" s="45">
        <f>SUM(B483:B491)</f>
        <v>0</v>
      </c>
      <c r="C493" s="46">
        <f>SUM(C483:C491)</f>
        <v>0</v>
      </c>
      <c r="D493" s="58">
        <f>SUM(D483:D491)</f>
        <v>0</v>
      </c>
      <c r="E493" s="39">
        <f t="shared" si="89"/>
        <v>0</v>
      </c>
      <c r="F493" s="46">
        <f>SUM(F483:F491)</f>
        <v>0</v>
      </c>
      <c r="G493" s="46">
        <f>SUM(G483:G491)</f>
        <v>0</v>
      </c>
      <c r="H493" s="46">
        <f>SUM(H483:H491)</f>
        <v>0</v>
      </c>
      <c r="I493" s="39">
        <f t="shared" si="90"/>
        <v>0</v>
      </c>
      <c r="J493" s="46">
        <f>SUM(J483:J491)</f>
        <v>0</v>
      </c>
      <c r="K493" s="46">
        <f>SUM(K483:K491)</f>
        <v>0</v>
      </c>
      <c r="L493" s="46">
        <f>SUM(L483:L491)</f>
        <v>0</v>
      </c>
      <c r="M493" s="39">
        <f t="shared" si="91"/>
        <v>0</v>
      </c>
      <c r="N493" s="46">
        <f>SUM(N483:N491)</f>
        <v>0</v>
      </c>
      <c r="O493" s="46">
        <f>SUM(O483:O491)</f>
        <v>0</v>
      </c>
      <c r="P493" s="46">
        <f>SUM(P483:P491)</f>
        <v>0</v>
      </c>
      <c r="Q493" s="39">
        <f t="shared" si="92"/>
        <v>0</v>
      </c>
      <c r="R493" s="37">
        <f t="shared" si="93"/>
        <v>0</v>
      </c>
    </row>
    <row r="494" spans="1:20" ht="16.5" customHeight="1" thickBot="1" x14ac:dyDescent="0.35">
      <c r="A494" s="43" t="s">
        <v>1222</v>
      </c>
      <c r="B494" s="47">
        <f>+B471+B477+B482+B493</f>
        <v>525</v>
      </c>
      <c r="C494" s="42">
        <f>+C471+C477+C482+C493</f>
        <v>648</v>
      </c>
      <c r="D494" s="42">
        <f>+D471+D477+D482+D493</f>
        <v>4416</v>
      </c>
      <c r="E494" s="37">
        <f t="shared" si="89"/>
        <v>5589</v>
      </c>
      <c r="F494" s="42">
        <f>+F471+F477+F482+F493</f>
        <v>9376</v>
      </c>
      <c r="G494" s="42">
        <f>+G471+G477+G482+G493</f>
        <v>11111</v>
      </c>
      <c r="H494" s="42">
        <f>+H471+H477+H482+H493</f>
        <v>7576</v>
      </c>
      <c r="I494" s="37">
        <f t="shared" si="90"/>
        <v>28063</v>
      </c>
      <c r="J494" s="42">
        <f>+J471+J477+J482+J493</f>
        <v>8501</v>
      </c>
      <c r="K494" s="42">
        <f>+K471+K477+K482+K493</f>
        <v>7190</v>
      </c>
      <c r="L494" s="42">
        <f>+L471+L477+L482+L493</f>
        <v>2080</v>
      </c>
      <c r="M494" s="37">
        <f t="shared" si="91"/>
        <v>17771</v>
      </c>
      <c r="N494" s="42">
        <f>+N471+N477+N482+N493</f>
        <v>1484</v>
      </c>
      <c r="O494" s="42">
        <f>+O471+O477+O482+O493</f>
        <v>367</v>
      </c>
      <c r="P494" s="42">
        <f>+P471+P477+P482+P493</f>
        <v>530</v>
      </c>
      <c r="Q494" s="37">
        <f t="shared" si="92"/>
        <v>2381</v>
      </c>
      <c r="R494" s="40">
        <f t="shared" si="93"/>
        <v>53804</v>
      </c>
    </row>
    <row r="495" spans="1:20" ht="16.5" customHeight="1" thickBot="1" x14ac:dyDescent="0.35">
      <c r="A495" s="244" t="s">
        <v>853</v>
      </c>
      <c r="B495" s="238">
        <v>23</v>
      </c>
      <c r="C495" s="238">
        <v>43</v>
      </c>
      <c r="D495" s="238">
        <v>66</v>
      </c>
      <c r="E495" s="40">
        <f t="shared" si="89"/>
        <v>132</v>
      </c>
      <c r="F495" s="238">
        <v>91</v>
      </c>
      <c r="G495" s="238">
        <v>108</v>
      </c>
      <c r="H495" s="238">
        <v>109</v>
      </c>
      <c r="I495" s="40">
        <f t="shared" si="90"/>
        <v>308</v>
      </c>
      <c r="J495" s="238">
        <v>104</v>
      </c>
      <c r="K495" s="238">
        <v>79</v>
      </c>
      <c r="L495" s="238">
        <v>80</v>
      </c>
      <c r="M495" s="40">
        <f t="shared" si="91"/>
        <v>263</v>
      </c>
      <c r="N495" s="238">
        <v>74</v>
      </c>
      <c r="O495" s="238">
        <v>58</v>
      </c>
      <c r="P495" s="238">
        <v>42</v>
      </c>
      <c r="Q495" s="40">
        <f t="shared" si="92"/>
        <v>174</v>
      </c>
      <c r="R495" s="38">
        <f t="shared" si="93"/>
        <v>877</v>
      </c>
    </row>
    <row r="496" spans="1:20" ht="16.5" customHeight="1" thickBot="1" x14ac:dyDescent="0.35">
      <c r="A496" s="22"/>
      <c r="B496" s="242"/>
      <c r="C496" s="242"/>
      <c r="D496" s="242"/>
      <c r="E496" s="21"/>
      <c r="F496" s="242"/>
      <c r="G496" s="242"/>
      <c r="H496" s="242"/>
      <c r="I496" s="31"/>
      <c r="J496" s="242"/>
      <c r="K496" s="242"/>
      <c r="L496" s="242"/>
      <c r="M496" s="31"/>
      <c r="N496" s="242"/>
      <c r="O496" s="242"/>
      <c r="P496" s="242"/>
      <c r="Q496" s="31"/>
      <c r="R496" s="21"/>
    </row>
    <row r="497" spans="1:20" ht="15.75" customHeight="1" x14ac:dyDescent="0.3">
      <c r="A497" s="234" t="s">
        <v>120</v>
      </c>
      <c r="B497" s="260">
        <f>SUM(B494:B495)</f>
        <v>548</v>
      </c>
      <c r="C497" s="260">
        <f>SUM(C494:C495)</f>
        <v>691</v>
      </c>
      <c r="D497" s="260">
        <f>SUM(D494:D495)</f>
        <v>4482</v>
      </c>
      <c r="E497" s="39">
        <f>SUM(B497:D497)</f>
        <v>5721</v>
      </c>
      <c r="F497" s="260">
        <f>SUM(F494:F495)</f>
        <v>9467</v>
      </c>
      <c r="G497" s="260">
        <f>SUM(G494:G495)</f>
        <v>11219</v>
      </c>
      <c r="H497" s="260">
        <f>SUM(H494:H495)</f>
        <v>7685</v>
      </c>
      <c r="I497" s="39">
        <f>SUM(F497:H497)</f>
        <v>28371</v>
      </c>
      <c r="J497" s="260">
        <f>SUM(J494:J495)</f>
        <v>8605</v>
      </c>
      <c r="K497" s="260">
        <f>SUM(K494:K495)</f>
        <v>7269</v>
      </c>
      <c r="L497" s="260">
        <f>SUM(L494:L495)</f>
        <v>2160</v>
      </c>
      <c r="M497" s="39">
        <f>SUM(J497:L497)</f>
        <v>18034</v>
      </c>
      <c r="N497" s="260">
        <f>SUM(N494:N495)</f>
        <v>1558</v>
      </c>
      <c r="O497" s="260">
        <f>SUM(O494:O495)</f>
        <v>425</v>
      </c>
      <c r="P497" s="260">
        <f>SUM(P494:P495)</f>
        <v>572</v>
      </c>
      <c r="Q497" s="39">
        <f>SUM(N497:P497)</f>
        <v>2555</v>
      </c>
      <c r="R497" s="39">
        <f>+E497+I497+M497+Q497</f>
        <v>54681</v>
      </c>
    </row>
    <row r="498" spans="1:20" ht="15.75" customHeight="1" x14ac:dyDescent="0.3">
      <c r="A498" s="234" t="s">
        <v>1897</v>
      </c>
      <c r="B498" s="172">
        <f>(B497/B10)/1.983</f>
        <v>8.91448278105835</v>
      </c>
      <c r="C498" s="172">
        <f>(C497/C10)/1.983</f>
        <v>12.445068799077875</v>
      </c>
      <c r="D498" s="172">
        <f>(D497/D10)/1.983</f>
        <v>72.91005807427652</v>
      </c>
      <c r="E498" s="38" t="s">
        <v>852</v>
      </c>
      <c r="F498" s="172">
        <f>(F497/F10)/1.983</f>
        <v>159.13598924188938</v>
      </c>
      <c r="G498" s="172">
        <f>(G497/G10)/1.983</f>
        <v>182.50288744652121</v>
      </c>
      <c r="H498" s="172">
        <f>(H497/H10)/1.983</f>
        <v>129.18137502101195</v>
      </c>
      <c r="I498" s="38" t="s">
        <v>852</v>
      </c>
      <c r="J498" s="172">
        <f>(J497/J10)/1.983</f>
        <v>139.98015388869908</v>
      </c>
      <c r="K498" s="172">
        <f>(K497/K10)/1.983</f>
        <v>118.24703528378311</v>
      </c>
      <c r="L498" s="172">
        <f>(L497/L10)/1.983</f>
        <v>36.308623298033282</v>
      </c>
      <c r="M498" s="38" t="s">
        <v>852</v>
      </c>
      <c r="N498" s="172">
        <f>(N497/N10)/1.983</f>
        <v>25.344460169505311</v>
      </c>
      <c r="O498" s="172">
        <f>(O497/O10)/1.983</f>
        <v>7.144057824844511</v>
      </c>
      <c r="P498" s="172">
        <f>(P497/P10)/1.983</f>
        <v>9.3048980853382783</v>
      </c>
      <c r="Q498" s="38" t="s">
        <v>852</v>
      </c>
      <c r="R498" s="38" t="s">
        <v>852</v>
      </c>
    </row>
    <row r="499" spans="1:20" ht="15.75" customHeight="1" x14ac:dyDescent="0.3">
      <c r="A499" s="234" t="s">
        <v>1433</v>
      </c>
      <c r="B499" s="172">
        <f>B497+B552</f>
        <v>15595</v>
      </c>
      <c r="C499" s="172">
        <f>C497+C552</f>
        <v>14190</v>
      </c>
      <c r="D499" s="172">
        <f>D497+D552</f>
        <v>25950</v>
      </c>
      <c r="E499" s="38">
        <f>SUM(B499:D499)</f>
        <v>55735</v>
      </c>
      <c r="F499" s="172">
        <f>F497+F552</f>
        <v>34652</v>
      </c>
      <c r="G499" s="172">
        <f>G497+G552</f>
        <v>35381</v>
      </c>
      <c r="H499" s="172">
        <f>H497+H552</f>
        <v>28091</v>
      </c>
      <c r="I499" s="38">
        <f>SUM(F499:H499)</f>
        <v>98124</v>
      </c>
      <c r="J499" s="172">
        <f>J497+J552</f>
        <v>30914</v>
      </c>
      <c r="K499" s="172">
        <f>K497+K552</f>
        <v>32667</v>
      </c>
      <c r="L499" s="172">
        <f>L497+L552</f>
        <v>24657</v>
      </c>
      <c r="M499" s="38">
        <f>SUM(J499:L499)</f>
        <v>88238</v>
      </c>
      <c r="N499" s="172">
        <f>N497+N552</f>
        <v>16735</v>
      </c>
      <c r="O499" s="172">
        <f>O497+O552</f>
        <v>11191</v>
      </c>
      <c r="P499" s="172">
        <f>P497+P552</f>
        <v>18648</v>
      </c>
      <c r="Q499" s="38">
        <f>SUM(N499:P499)</f>
        <v>46574</v>
      </c>
      <c r="R499" s="38">
        <f>+E499+I499+M499+Q499</f>
        <v>288671</v>
      </c>
    </row>
    <row r="500" spans="1:20" ht="16.5" customHeight="1" thickBot="1" x14ac:dyDescent="0.35">
      <c r="A500" s="237" t="s">
        <v>426</v>
      </c>
      <c r="B500" s="264">
        <f>(B499/B10)/1.983</f>
        <v>253.68861126022804</v>
      </c>
      <c r="C500" s="264">
        <f>(C499/C10)/1.983</f>
        <v>255.56516101145448</v>
      </c>
      <c r="D500" s="264">
        <f>(D499/D10)/1.983</f>
        <v>422.1365477526719</v>
      </c>
      <c r="E500" s="40" t="s">
        <v>852</v>
      </c>
      <c r="F500" s="264">
        <f>(F499/F10)/1.983</f>
        <v>582.48445116826349</v>
      </c>
      <c r="G500" s="264">
        <f>(G499/G10)/1.983</f>
        <v>575.55349503033847</v>
      </c>
      <c r="H500" s="264">
        <f>(H499/H10)/1.983</f>
        <v>472.19700790048745</v>
      </c>
      <c r="I500" s="40" t="s">
        <v>852</v>
      </c>
      <c r="J500" s="264">
        <f>(J499/J10)/1.983</f>
        <v>502.88744652123694</v>
      </c>
      <c r="K500" s="264">
        <f>(K499/K10)/1.983</f>
        <v>531.40403103801668</v>
      </c>
      <c r="L500" s="264">
        <f>(L499/L10)/1.983</f>
        <v>414.47302067574378</v>
      </c>
      <c r="M500" s="40" t="s">
        <v>852</v>
      </c>
      <c r="N500" s="264">
        <f>(N499/N10)/1.983</f>
        <v>272.23333821352463</v>
      </c>
      <c r="O500" s="264">
        <f>(O499/O10)/1.983</f>
        <v>188.11564968902337</v>
      </c>
      <c r="P500" s="264">
        <f>(P499/P10)/1.983</f>
        <v>303.35269142550385</v>
      </c>
      <c r="Q500" s="40" t="s">
        <v>852</v>
      </c>
      <c r="R500" s="40" t="s">
        <v>852</v>
      </c>
    </row>
    <row r="501" spans="1:20" ht="15.75" customHeight="1" x14ac:dyDescent="0.3">
      <c r="A501" s="17"/>
      <c r="B501" s="172"/>
      <c r="C501" s="172"/>
      <c r="D501" s="172"/>
      <c r="E501" s="172"/>
      <c r="F501" s="172"/>
      <c r="G501" s="172"/>
      <c r="H501" s="172"/>
      <c r="I501" s="172"/>
      <c r="J501" s="172"/>
      <c r="K501" s="172"/>
      <c r="L501" s="172"/>
      <c r="M501" s="172"/>
      <c r="N501" s="172"/>
      <c r="O501" s="172"/>
      <c r="P501" s="172"/>
      <c r="Q501" s="172"/>
      <c r="R501" s="17"/>
    </row>
    <row r="502" spans="1:20" ht="15.75" customHeight="1" thickBot="1" x14ac:dyDescent="0.35">
      <c r="A502" s="17"/>
      <c r="B502" s="172"/>
      <c r="C502" s="172"/>
      <c r="D502" s="172"/>
      <c r="E502" s="172"/>
      <c r="F502" s="172"/>
      <c r="G502" s="172"/>
      <c r="H502" s="172"/>
      <c r="I502" s="172"/>
      <c r="J502" s="172"/>
      <c r="K502" s="172"/>
      <c r="L502" s="172"/>
      <c r="M502" s="172"/>
      <c r="N502" s="172"/>
      <c r="O502" s="172"/>
      <c r="P502" s="172"/>
      <c r="Q502" s="172"/>
      <c r="R502" s="17"/>
    </row>
    <row r="503" spans="1:20" ht="16.5" customHeight="1" thickBot="1" x14ac:dyDescent="0.35">
      <c r="A503" s="278" t="s">
        <v>1069</v>
      </c>
      <c r="B503" s="4" t="s">
        <v>2090</v>
      </c>
      <c r="C503" s="5" t="s">
        <v>2091</v>
      </c>
      <c r="D503" s="5" t="s">
        <v>2234</v>
      </c>
      <c r="E503" s="33" t="s">
        <v>1594</v>
      </c>
      <c r="F503" s="5" t="s">
        <v>2235</v>
      </c>
      <c r="G503" s="5" t="s">
        <v>2236</v>
      </c>
      <c r="H503" s="5" t="s">
        <v>2237</v>
      </c>
      <c r="I503" s="35" t="s">
        <v>1595</v>
      </c>
      <c r="J503" s="5" t="s">
        <v>1504</v>
      </c>
      <c r="K503" s="5" t="s">
        <v>1505</v>
      </c>
      <c r="L503" s="5" t="s">
        <v>1506</v>
      </c>
      <c r="M503" s="35" t="s">
        <v>1596</v>
      </c>
      <c r="N503" s="5" t="s">
        <v>1507</v>
      </c>
      <c r="O503" s="5" t="s">
        <v>1508</v>
      </c>
      <c r="P503" s="5" t="s">
        <v>1509</v>
      </c>
      <c r="Q503" s="35" t="s">
        <v>1597</v>
      </c>
      <c r="R503" s="36" t="s">
        <v>1510</v>
      </c>
    </row>
    <row r="504" spans="1:20" ht="16.5" customHeight="1" thickBot="1" x14ac:dyDescent="0.35">
      <c r="A504" s="37"/>
      <c r="B504" s="258"/>
      <c r="C504" s="258"/>
      <c r="D504" s="258"/>
      <c r="E504" s="254"/>
      <c r="F504" s="258"/>
      <c r="G504" s="258"/>
      <c r="H504" s="258"/>
      <c r="I504" s="265"/>
      <c r="J504" s="258"/>
      <c r="K504" s="258"/>
      <c r="L504" s="258"/>
      <c r="M504" s="265"/>
      <c r="N504" s="258"/>
      <c r="O504" s="258"/>
      <c r="P504" s="258"/>
      <c r="Q504" s="265"/>
      <c r="R504" s="52"/>
    </row>
    <row r="505" spans="1:20" ht="15.75" customHeight="1" x14ac:dyDescent="0.3">
      <c r="A505" s="234" t="s">
        <v>2417</v>
      </c>
      <c r="B505" s="172" t="s">
        <v>852</v>
      </c>
      <c r="C505" s="172" t="s">
        <v>852</v>
      </c>
      <c r="D505" s="172" t="s">
        <v>852</v>
      </c>
      <c r="E505" s="38" t="s">
        <v>852</v>
      </c>
      <c r="F505" s="172" t="s">
        <v>852</v>
      </c>
      <c r="G505" s="172" t="s">
        <v>852</v>
      </c>
      <c r="H505" s="172" t="s">
        <v>852</v>
      </c>
      <c r="I505" s="38" t="s">
        <v>852</v>
      </c>
      <c r="J505" s="172" t="s">
        <v>852</v>
      </c>
      <c r="K505" s="172" t="s">
        <v>852</v>
      </c>
      <c r="L505" s="172" t="s">
        <v>852</v>
      </c>
      <c r="M505" s="38" t="s">
        <v>852</v>
      </c>
      <c r="N505" s="172" t="s">
        <v>852</v>
      </c>
      <c r="O505" s="172" t="s">
        <v>852</v>
      </c>
      <c r="P505" s="172" t="s">
        <v>852</v>
      </c>
      <c r="Q505" s="38" t="s">
        <v>852</v>
      </c>
      <c r="R505" s="38" t="s">
        <v>852</v>
      </c>
    </row>
    <row r="506" spans="1:20" ht="15.75" customHeight="1" x14ac:dyDescent="0.3">
      <c r="A506" s="234" t="s">
        <v>2160</v>
      </c>
      <c r="B506" s="172"/>
      <c r="C506" s="172"/>
      <c r="D506" s="172"/>
      <c r="E506" s="38" t="s">
        <v>852</v>
      </c>
      <c r="F506" s="172"/>
      <c r="G506" s="172"/>
      <c r="H506" s="172"/>
      <c r="I506" s="38" t="s">
        <v>852</v>
      </c>
      <c r="J506" s="172"/>
      <c r="K506" s="172"/>
      <c r="L506" s="172"/>
      <c r="M506" s="38" t="s">
        <v>852</v>
      </c>
      <c r="N506" s="172"/>
      <c r="O506" s="172"/>
      <c r="P506" s="172"/>
      <c r="Q506" s="38" t="s">
        <v>852</v>
      </c>
      <c r="R506" s="38" t="s">
        <v>852</v>
      </c>
    </row>
    <row r="507" spans="1:20" ht="15.75" customHeight="1" x14ac:dyDescent="0.3">
      <c r="A507" s="310" t="s">
        <v>746</v>
      </c>
      <c r="B507" s="10">
        <v>467</v>
      </c>
      <c r="C507" s="10">
        <v>436</v>
      </c>
      <c r="D507" s="10">
        <v>766</v>
      </c>
      <c r="E507" s="38">
        <f t="shared" ref="E507:E513" si="94">SUM(B507:D507)</f>
        <v>1669</v>
      </c>
      <c r="F507" s="10">
        <v>704</v>
      </c>
      <c r="G507" s="10">
        <v>758</v>
      </c>
      <c r="H507" s="10">
        <v>541</v>
      </c>
      <c r="I507" s="38">
        <f t="shared" ref="I507:I513" si="95">SUM(F507:H507)</f>
        <v>2003</v>
      </c>
      <c r="J507" s="10">
        <v>558</v>
      </c>
      <c r="K507" s="10">
        <v>687</v>
      </c>
      <c r="L507" s="10">
        <v>662</v>
      </c>
      <c r="M507" s="38">
        <f t="shared" ref="M507:M513" si="96">SUM(J507:L507)</f>
        <v>1907</v>
      </c>
      <c r="N507" s="10">
        <v>472</v>
      </c>
      <c r="O507" s="10">
        <v>166</v>
      </c>
      <c r="P507" s="10">
        <v>15</v>
      </c>
      <c r="Q507" s="38">
        <f t="shared" ref="Q507:Q513" si="97">SUM(N507:P507)</f>
        <v>653</v>
      </c>
      <c r="R507" s="38">
        <f t="shared" ref="R507:R513" si="98">+E507+I507+M507+Q507</f>
        <v>6232</v>
      </c>
    </row>
    <row r="508" spans="1:20" ht="15.75" customHeight="1" x14ac:dyDescent="0.3">
      <c r="A508" s="310" t="s">
        <v>639</v>
      </c>
      <c r="B508" s="10"/>
      <c r="C508" s="10"/>
      <c r="D508" s="10"/>
      <c r="E508" s="38">
        <f>SUM(B508:D508)</f>
        <v>0</v>
      </c>
      <c r="F508" s="10"/>
      <c r="G508" s="10"/>
      <c r="H508" s="10"/>
      <c r="I508" s="38">
        <f>SUM(F508:H508)</f>
        <v>0</v>
      </c>
      <c r="J508" s="10">
        <v>100</v>
      </c>
      <c r="K508" s="10"/>
      <c r="L508" s="10"/>
      <c r="M508" s="38">
        <f>SUM(J508:L508)</f>
        <v>100</v>
      </c>
      <c r="N508" s="10"/>
      <c r="O508" s="10"/>
      <c r="P508" s="10"/>
      <c r="Q508" s="38">
        <f>SUM(N508:P508)</f>
        <v>0</v>
      </c>
      <c r="R508" s="38">
        <f>+E508+I508+M508+Q508</f>
        <v>100</v>
      </c>
    </row>
    <row r="509" spans="1:20" ht="15.75" customHeight="1" x14ac:dyDescent="0.3">
      <c r="A509" s="310" t="s">
        <v>1185</v>
      </c>
      <c r="B509" s="10"/>
      <c r="C509" s="10"/>
      <c r="D509" s="10">
        <v>465</v>
      </c>
      <c r="E509" s="38">
        <f t="shared" si="94"/>
        <v>465</v>
      </c>
      <c r="F509" s="10">
        <v>2022</v>
      </c>
      <c r="G509" s="10"/>
      <c r="H509" s="10">
        <v>750</v>
      </c>
      <c r="I509" s="38">
        <f t="shared" si="95"/>
        <v>2772</v>
      </c>
      <c r="J509" s="10">
        <v>1121</v>
      </c>
      <c r="K509" s="10"/>
      <c r="L509" s="10"/>
      <c r="M509" s="38">
        <f t="shared" si="96"/>
        <v>1121</v>
      </c>
      <c r="N509" s="10"/>
      <c r="O509" s="10"/>
      <c r="P509" s="10"/>
      <c r="Q509" s="38">
        <f t="shared" si="97"/>
        <v>0</v>
      </c>
      <c r="R509" s="38">
        <f t="shared" si="98"/>
        <v>4358</v>
      </c>
      <c r="T509" t="s">
        <v>2763</v>
      </c>
    </row>
    <row r="510" spans="1:20" ht="15.75" customHeight="1" x14ac:dyDescent="0.3">
      <c r="A510" s="310" t="s">
        <v>745</v>
      </c>
      <c r="B510" s="10"/>
      <c r="C510" s="10"/>
      <c r="D510" s="10"/>
      <c r="E510" s="38">
        <f>SUM(B510:D510)</f>
        <v>0</v>
      </c>
      <c r="F510" s="10"/>
      <c r="G510" s="10"/>
      <c r="H510" s="10"/>
      <c r="I510" s="38">
        <f>SUM(F510:H510)</f>
        <v>0</v>
      </c>
      <c r="J510" s="10"/>
      <c r="K510" s="10"/>
      <c r="L510" s="10"/>
      <c r="M510" s="38">
        <f>SUM(J510:L510)</f>
        <v>0</v>
      </c>
      <c r="N510" s="10"/>
      <c r="O510" s="10"/>
      <c r="P510" s="10"/>
      <c r="Q510" s="38">
        <f>SUM(N510:P510)</f>
        <v>0</v>
      </c>
      <c r="R510" s="38">
        <f>+E510+I510+M510+Q510</f>
        <v>0</v>
      </c>
      <c r="T510" t="s">
        <v>2766</v>
      </c>
    </row>
    <row r="511" spans="1:20" ht="15.75" customHeight="1" x14ac:dyDescent="0.3">
      <c r="A511" s="310" t="s">
        <v>484</v>
      </c>
      <c r="B511" s="10">
        <v>500</v>
      </c>
      <c r="C511" s="10">
        <v>129</v>
      </c>
      <c r="D511" s="10"/>
      <c r="E511" s="38">
        <f t="shared" si="94"/>
        <v>629</v>
      </c>
      <c r="F511" s="10"/>
      <c r="G511" s="10"/>
      <c r="H511" s="10"/>
      <c r="I511" s="38">
        <f t="shared" si="95"/>
        <v>0</v>
      </c>
      <c r="J511" s="10">
        <v>1371</v>
      </c>
      <c r="K511" s="10"/>
      <c r="L511" s="10"/>
      <c r="M511" s="38">
        <f t="shared" si="96"/>
        <v>1371</v>
      </c>
      <c r="N511" s="10"/>
      <c r="O511" s="10"/>
      <c r="P511" s="10"/>
      <c r="Q511" s="38">
        <f t="shared" si="97"/>
        <v>0</v>
      </c>
      <c r="R511" s="38">
        <f t="shared" si="98"/>
        <v>2000</v>
      </c>
      <c r="T511" t="s">
        <v>2766</v>
      </c>
    </row>
    <row r="512" spans="1:20" ht="15.75" customHeight="1" x14ac:dyDescent="0.3">
      <c r="A512" s="266" t="s">
        <v>1836</v>
      </c>
      <c r="B512" s="172"/>
      <c r="C512" s="172"/>
      <c r="D512" s="172"/>
      <c r="E512" s="38">
        <f t="shared" si="94"/>
        <v>0</v>
      </c>
      <c r="F512" s="172"/>
      <c r="G512" s="172"/>
      <c r="H512" s="172"/>
      <c r="I512" s="38">
        <f t="shared" si="95"/>
        <v>0</v>
      </c>
      <c r="J512" s="172">
        <v>1013</v>
      </c>
      <c r="K512" s="172">
        <v>1787</v>
      </c>
      <c r="L512" s="172"/>
      <c r="M512" s="38">
        <f t="shared" si="96"/>
        <v>2800</v>
      </c>
      <c r="N512" s="172"/>
      <c r="O512" s="172"/>
      <c r="P512" s="172"/>
      <c r="Q512" s="38">
        <f t="shared" si="97"/>
        <v>0</v>
      </c>
      <c r="R512" s="38">
        <f t="shared" si="98"/>
        <v>2800</v>
      </c>
      <c r="T512" t="s">
        <v>2766</v>
      </c>
    </row>
    <row r="513" spans="1:20" ht="15.75" customHeight="1" x14ac:dyDescent="0.3">
      <c r="A513" s="266" t="s">
        <v>1295</v>
      </c>
      <c r="B513" s="172">
        <v>1528</v>
      </c>
      <c r="C513" s="172"/>
      <c r="D513" s="172"/>
      <c r="E513" s="38">
        <f t="shared" si="94"/>
        <v>1528</v>
      </c>
      <c r="F513" s="172"/>
      <c r="G513" s="172"/>
      <c r="H513" s="172"/>
      <c r="I513" s="38">
        <f t="shared" si="95"/>
        <v>0</v>
      </c>
      <c r="J513" s="172"/>
      <c r="K513" s="172"/>
      <c r="L513" s="172"/>
      <c r="M513" s="38">
        <f t="shared" si="96"/>
        <v>0</v>
      </c>
      <c r="N513" s="172"/>
      <c r="O513" s="172"/>
      <c r="P513" s="172"/>
      <c r="Q513" s="38">
        <f t="shared" si="97"/>
        <v>0</v>
      </c>
      <c r="R513" s="38">
        <f t="shared" si="98"/>
        <v>1528</v>
      </c>
      <c r="T513" t="s">
        <v>2766</v>
      </c>
    </row>
    <row r="514" spans="1:20" ht="15.75" customHeight="1" x14ac:dyDescent="0.3">
      <c r="A514" s="310" t="s">
        <v>2448</v>
      </c>
      <c r="B514" s="10"/>
      <c r="C514" s="10"/>
      <c r="D514" s="10"/>
      <c r="E514" s="38">
        <f>SUM(B514:D514)</f>
        <v>0</v>
      </c>
      <c r="F514" s="10"/>
      <c r="G514" s="10"/>
      <c r="H514" s="10"/>
      <c r="I514" s="38">
        <f>SUM(F514:H514)</f>
        <v>0</v>
      </c>
      <c r="J514" s="10"/>
      <c r="K514" s="10">
        <v>180</v>
      </c>
      <c r="L514" s="10"/>
      <c r="M514" s="38">
        <f>SUM(J514:L514)</f>
        <v>180</v>
      </c>
      <c r="N514" s="10"/>
      <c r="O514" s="10"/>
      <c r="P514" s="10"/>
      <c r="Q514" s="38">
        <f>SUM(N514:P514)</f>
        <v>0</v>
      </c>
      <c r="R514" s="38">
        <f>+E514+I514+M514+Q514</f>
        <v>180</v>
      </c>
      <c r="T514" t="s">
        <v>2763</v>
      </c>
    </row>
    <row r="515" spans="1:20" ht="15.75" customHeight="1" x14ac:dyDescent="0.3">
      <c r="A515" s="234" t="s">
        <v>2161</v>
      </c>
      <c r="B515" s="172"/>
      <c r="C515" s="172"/>
      <c r="D515" s="172"/>
      <c r="E515" s="38" t="s">
        <v>852</v>
      </c>
      <c r="F515" s="172"/>
      <c r="G515" s="172"/>
      <c r="H515" s="172"/>
      <c r="I515" s="38" t="s">
        <v>852</v>
      </c>
      <c r="J515" s="172"/>
      <c r="K515" s="172"/>
      <c r="L515" s="172"/>
      <c r="M515" s="38" t="s">
        <v>852</v>
      </c>
      <c r="N515" s="172"/>
      <c r="O515" s="172"/>
      <c r="P515" s="172"/>
      <c r="Q515" s="38" t="s">
        <v>852</v>
      </c>
      <c r="R515" s="38" t="s">
        <v>852</v>
      </c>
    </row>
    <row r="516" spans="1:20" ht="15.75" customHeight="1" x14ac:dyDescent="0.3">
      <c r="A516" s="266" t="s">
        <v>1295</v>
      </c>
      <c r="B516" s="172"/>
      <c r="C516" s="172"/>
      <c r="D516" s="172"/>
      <c r="E516" s="38">
        <f>SUM(B516:D516)</f>
        <v>0</v>
      </c>
      <c r="F516" s="172"/>
      <c r="G516" s="172"/>
      <c r="H516" s="172"/>
      <c r="I516" s="38">
        <f>SUM(F516:H516)</f>
        <v>0</v>
      </c>
      <c r="J516" s="172"/>
      <c r="K516" s="172"/>
      <c r="L516" s="172"/>
      <c r="M516" s="38">
        <f>SUM(J516:L516)</f>
        <v>0</v>
      </c>
      <c r="N516" s="172"/>
      <c r="O516" s="172"/>
      <c r="P516" s="172"/>
      <c r="Q516" s="38">
        <f>SUM(N516:P516)</f>
        <v>0</v>
      </c>
      <c r="R516" s="38">
        <f>+E516+I516+M516+Q516</f>
        <v>0</v>
      </c>
      <c r="T516" t="s">
        <v>2766</v>
      </c>
    </row>
    <row r="517" spans="1:20" ht="15.75" customHeight="1" x14ac:dyDescent="0.3">
      <c r="A517" s="234" t="s">
        <v>2162</v>
      </c>
      <c r="B517" s="172"/>
      <c r="C517" s="172"/>
      <c r="D517" s="172"/>
      <c r="E517" s="38" t="s">
        <v>852</v>
      </c>
      <c r="F517" s="172"/>
      <c r="G517" s="172"/>
      <c r="H517" s="172"/>
      <c r="I517" s="38" t="s">
        <v>852</v>
      </c>
      <c r="J517" s="172"/>
      <c r="K517" s="172"/>
      <c r="L517" s="172"/>
      <c r="M517" s="38" t="s">
        <v>852</v>
      </c>
      <c r="N517" s="172"/>
      <c r="O517" s="172"/>
      <c r="P517" s="172"/>
      <c r="Q517" s="38" t="s">
        <v>852</v>
      </c>
      <c r="R517" s="38" t="s">
        <v>852</v>
      </c>
    </row>
    <row r="518" spans="1:20" ht="15.75" customHeight="1" x14ac:dyDescent="0.3">
      <c r="A518" s="266" t="s">
        <v>624</v>
      </c>
      <c r="B518" s="172"/>
      <c r="C518" s="172"/>
      <c r="D518" s="172"/>
      <c r="E518" s="38">
        <f>SUM(B518:D518)</f>
        <v>0</v>
      </c>
      <c r="F518" s="172"/>
      <c r="G518" s="172"/>
      <c r="H518" s="172"/>
      <c r="I518" s="38">
        <f>SUM(F518:H518)</f>
        <v>0</v>
      </c>
      <c r="J518" s="172"/>
      <c r="K518" s="172">
        <v>600</v>
      </c>
      <c r="L518" s="172"/>
      <c r="M518" s="38">
        <f>SUM(J518:L518)</f>
        <v>600</v>
      </c>
      <c r="N518" s="172"/>
      <c r="O518" s="172"/>
      <c r="P518" s="172"/>
      <c r="Q518" s="38">
        <f>SUM(N518:P518)</f>
        <v>0</v>
      </c>
      <c r="R518" s="38">
        <f>+E518+I518+M518+Q518</f>
        <v>600</v>
      </c>
      <c r="T518" t="s">
        <v>2766</v>
      </c>
    </row>
    <row r="519" spans="1:20" ht="15.75" customHeight="1" thickBot="1" x14ac:dyDescent="0.35">
      <c r="A519" s="234" t="s">
        <v>2164</v>
      </c>
      <c r="B519" s="172"/>
      <c r="C519" s="172"/>
      <c r="D519" s="172"/>
      <c r="E519" s="38" t="s">
        <v>852</v>
      </c>
      <c r="F519" s="172"/>
      <c r="G519" s="172"/>
      <c r="H519" s="172"/>
      <c r="I519" s="38" t="s">
        <v>852</v>
      </c>
      <c r="J519" s="172"/>
      <c r="K519" s="172"/>
      <c r="L519" s="172"/>
      <c r="M519" s="38" t="s">
        <v>852</v>
      </c>
      <c r="N519" s="172"/>
      <c r="O519" s="172"/>
      <c r="P519" s="172"/>
      <c r="Q519" s="38" t="s">
        <v>852</v>
      </c>
      <c r="R519" s="38" t="s">
        <v>852</v>
      </c>
    </row>
    <row r="520" spans="1:20" ht="16.5" customHeight="1" thickBot="1" x14ac:dyDescent="0.35">
      <c r="A520" s="276" t="s">
        <v>1218</v>
      </c>
      <c r="B520" s="45">
        <f>SUM(B505:B519)</f>
        <v>2495</v>
      </c>
      <c r="C520" s="46">
        <f>SUM(C505:C519)</f>
        <v>565</v>
      </c>
      <c r="D520" s="46">
        <f>SUM(D505:D519)</f>
        <v>1231</v>
      </c>
      <c r="E520" s="37">
        <f>SUM(B520:D520)</f>
        <v>4291</v>
      </c>
      <c r="F520" s="46">
        <f>SUM(F505:F519)</f>
        <v>2726</v>
      </c>
      <c r="G520" s="46">
        <f>SUM(G505:G519)</f>
        <v>758</v>
      </c>
      <c r="H520" s="46">
        <f>SUM(H505:H519)</f>
        <v>1291</v>
      </c>
      <c r="I520" s="37">
        <f>SUM(F520:H520)</f>
        <v>4775</v>
      </c>
      <c r="J520" s="46">
        <f>SUM(J505:J519)</f>
        <v>4163</v>
      </c>
      <c r="K520" s="46">
        <f>SUM(K505:K519)</f>
        <v>3254</v>
      </c>
      <c r="L520" s="46">
        <f>SUM(L505:L519)</f>
        <v>662</v>
      </c>
      <c r="M520" s="37">
        <f>SUM(J520:L520)</f>
        <v>8079</v>
      </c>
      <c r="N520" s="46">
        <f>SUM(N505:N519)</f>
        <v>472</v>
      </c>
      <c r="O520" s="46">
        <f>SUM(O505:O519)</f>
        <v>166</v>
      </c>
      <c r="P520" s="46">
        <f>SUM(P505:P519)</f>
        <v>15</v>
      </c>
      <c r="Q520" s="37">
        <f>SUM(N520:P520)</f>
        <v>653</v>
      </c>
      <c r="R520" s="37">
        <f>+E520+I520+M520+Q520</f>
        <v>17798</v>
      </c>
    </row>
    <row r="521" spans="1:20" ht="15.75" customHeight="1" x14ac:dyDescent="0.3">
      <c r="A521" s="234" t="s">
        <v>1172</v>
      </c>
      <c r="B521" s="172"/>
      <c r="C521" s="172"/>
      <c r="D521" s="172"/>
      <c r="E521" s="38" t="s">
        <v>852</v>
      </c>
      <c r="F521" s="172"/>
      <c r="G521" s="172"/>
      <c r="H521" s="172"/>
      <c r="I521" s="38" t="s">
        <v>852</v>
      </c>
      <c r="J521" s="172"/>
      <c r="K521" s="172"/>
      <c r="L521" s="172"/>
      <c r="M521" s="38" t="s">
        <v>852</v>
      </c>
      <c r="N521" s="172"/>
      <c r="O521" s="172"/>
      <c r="P521" s="172"/>
      <c r="Q521" s="38" t="s">
        <v>852</v>
      </c>
      <c r="R521" s="38" t="s">
        <v>852</v>
      </c>
    </row>
    <row r="522" spans="1:20" ht="15.75" customHeight="1" x14ac:dyDescent="0.3">
      <c r="A522" s="234" t="s">
        <v>2409</v>
      </c>
      <c r="B522" s="172"/>
      <c r="C522" s="172"/>
      <c r="D522" s="172"/>
      <c r="E522" s="38" t="s">
        <v>852</v>
      </c>
      <c r="F522" s="172"/>
      <c r="G522" s="172"/>
      <c r="H522" s="172"/>
      <c r="I522" s="38" t="s">
        <v>852</v>
      </c>
      <c r="J522" s="172"/>
      <c r="K522" s="172"/>
      <c r="L522" s="172"/>
      <c r="M522" s="38" t="s">
        <v>852</v>
      </c>
      <c r="N522" s="172"/>
      <c r="O522" s="172"/>
      <c r="P522" s="172"/>
      <c r="Q522" s="38" t="s">
        <v>852</v>
      </c>
      <c r="R522" s="38" t="s">
        <v>852</v>
      </c>
    </row>
    <row r="523" spans="1:20" ht="15.75" customHeight="1" x14ac:dyDescent="0.3">
      <c r="A523" s="266" t="s">
        <v>2478</v>
      </c>
      <c r="B523" s="172"/>
      <c r="C523" s="172">
        <v>750</v>
      </c>
      <c r="D523" s="172">
        <v>250</v>
      </c>
      <c r="E523" s="38">
        <f>SUM(B523:D523)</f>
        <v>1000</v>
      </c>
      <c r="F523" s="172">
        <v>250</v>
      </c>
      <c r="G523" s="172">
        <v>250</v>
      </c>
      <c r="H523" s="172">
        <v>135</v>
      </c>
      <c r="I523" s="38">
        <f>SUM(F523:H523)</f>
        <v>635</v>
      </c>
      <c r="J523" s="172"/>
      <c r="K523" s="172"/>
      <c r="L523" s="172"/>
      <c r="M523" s="38">
        <f>SUM(J523:L523)</f>
        <v>0</v>
      </c>
      <c r="N523" s="172"/>
      <c r="O523" s="172"/>
      <c r="P523" s="172"/>
      <c r="Q523" s="38">
        <f>SUM(N523:P523)</f>
        <v>0</v>
      </c>
      <c r="R523" s="38">
        <f>+E523+I523+M523+Q523</f>
        <v>1635</v>
      </c>
    </row>
    <row r="524" spans="1:20" ht="15.75" customHeight="1" x14ac:dyDescent="0.3">
      <c r="A524" s="266" t="s">
        <v>1958</v>
      </c>
      <c r="B524" s="172"/>
      <c r="C524" s="172"/>
      <c r="D524" s="172"/>
      <c r="E524" s="38">
        <f>SUM(B524:D524)</f>
        <v>0</v>
      </c>
      <c r="F524" s="172"/>
      <c r="G524" s="172"/>
      <c r="H524" s="172"/>
      <c r="I524" s="38">
        <f>SUM(F524:H524)</f>
        <v>0</v>
      </c>
      <c r="J524" s="172"/>
      <c r="K524" s="172"/>
      <c r="L524" s="172"/>
      <c r="M524" s="38">
        <f>SUM(J524:L524)</f>
        <v>0</v>
      </c>
      <c r="N524" s="172"/>
      <c r="O524" s="172"/>
      <c r="P524" s="172"/>
      <c r="Q524" s="38">
        <f>SUM(N524:P524)</f>
        <v>0</v>
      </c>
      <c r="R524" s="38">
        <f>+E524+I524+M524+Q524</f>
        <v>0</v>
      </c>
    </row>
    <row r="525" spans="1:20" ht="15.75" customHeight="1" thickBot="1" x14ac:dyDescent="0.35">
      <c r="A525" s="234" t="s">
        <v>2165</v>
      </c>
      <c r="B525" s="172"/>
      <c r="C525" s="172"/>
      <c r="D525" s="172"/>
      <c r="E525" s="38" t="s">
        <v>852</v>
      </c>
      <c r="F525" s="172"/>
      <c r="G525" s="172"/>
      <c r="H525" s="172"/>
      <c r="I525" s="38" t="s">
        <v>852</v>
      </c>
      <c r="J525" s="172"/>
      <c r="K525" s="172"/>
      <c r="L525" s="172"/>
      <c r="M525" s="38" t="s">
        <v>852</v>
      </c>
      <c r="N525" s="172"/>
      <c r="O525" s="172"/>
      <c r="P525" s="172"/>
      <c r="Q525" s="38" t="s">
        <v>852</v>
      </c>
      <c r="R525" s="38" t="s">
        <v>852</v>
      </c>
    </row>
    <row r="526" spans="1:20" ht="16.5" customHeight="1" thickBot="1" x14ac:dyDescent="0.35">
      <c r="A526" s="43" t="s">
        <v>1219</v>
      </c>
      <c r="B526" s="45">
        <f>SUM(B521:B525)</f>
        <v>0</v>
      </c>
      <c r="C526" s="46">
        <f>SUM(C521:C525)</f>
        <v>750</v>
      </c>
      <c r="D526" s="46">
        <f>SUM(D521:D525)</f>
        <v>250</v>
      </c>
      <c r="E526" s="37">
        <f>SUM(B526:D526)</f>
        <v>1000</v>
      </c>
      <c r="F526" s="46">
        <f>SUM(F521:F525)</f>
        <v>250</v>
      </c>
      <c r="G526" s="46">
        <f>SUM(G521:G525)</f>
        <v>250</v>
      </c>
      <c r="H526" s="46">
        <f>SUM(H521:H525)</f>
        <v>135</v>
      </c>
      <c r="I526" s="37">
        <f>SUM(F526:H526)</f>
        <v>635</v>
      </c>
      <c r="J526" s="46">
        <f>SUM(J521:J525)</f>
        <v>0</v>
      </c>
      <c r="K526" s="46">
        <f>SUM(K521:K525)</f>
        <v>0</v>
      </c>
      <c r="L526" s="46">
        <f>SUM(L521:L525)</f>
        <v>0</v>
      </c>
      <c r="M526" s="37">
        <f>SUM(J526:L526)</f>
        <v>0</v>
      </c>
      <c r="N526" s="46">
        <f>SUM(N521:N525)</f>
        <v>0</v>
      </c>
      <c r="O526" s="46">
        <f>SUM(O521:O525)</f>
        <v>0</v>
      </c>
      <c r="P526" s="46">
        <f>SUM(P521:P525)</f>
        <v>0</v>
      </c>
      <c r="Q526" s="37">
        <f>SUM(N526:P526)</f>
        <v>0</v>
      </c>
      <c r="R526" s="37">
        <f>+E526+I526+M526+Q526</f>
        <v>1635</v>
      </c>
    </row>
    <row r="527" spans="1:20" ht="15.75" customHeight="1" x14ac:dyDescent="0.3">
      <c r="A527" s="234" t="s">
        <v>2166</v>
      </c>
      <c r="B527" s="172"/>
      <c r="C527" s="172"/>
      <c r="D527" s="172"/>
      <c r="E527" s="38" t="s">
        <v>852</v>
      </c>
      <c r="F527" s="172"/>
      <c r="G527" s="172"/>
      <c r="H527" s="172"/>
      <c r="I527" s="38" t="s">
        <v>852</v>
      </c>
      <c r="J527" s="172"/>
      <c r="K527" s="172"/>
      <c r="L527" s="172"/>
      <c r="M527" s="38" t="s">
        <v>852</v>
      </c>
      <c r="N527" s="172"/>
      <c r="O527" s="172"/>
      <c r="P527" s="172"/>
      <c r="Q527" s="38" t="s">
        <v>852</v>
      </c>
      <c r="R527" s="38" t="s">
        <v>852</v>
      </c>
    </row>
    <row r="528" spans="1:20" ht="15.75" customHeight="1" x14ac:dyDescent="0.3">
      <c r="A528" s="234" t="s">
        <v>1245</v>
      </c>
      <c r="B528" s="172"/>
      <c r="C528" s="172"/>
      <c r="D528" s="172"/>
      <c r="E528" s="38" t="s">
        <v>852</v>
      </c>
      <c r="F528" s="172"/>
      <c r="G528" s="172"/>
      <c r="H528" s="172"/>
      <c r="I528" s="38" t="s">
        <v>852</v>
      </c>
      <c r="J528" s="172"/>
      <c r="K528" s="172"/>
      <c r="L528" s="172"/>
      <c r="M528" s="38" t="s">
        <v>852</v>
      </c>
      <c r="N528" s="172"/>
      <c r="O528" s="172"/>
      <c r="P528" s="172"/>
      <c r="Q528" s="38" t="s">
        <v>852</v>
      </c>
      <c r="R528" s="38" t="s">
        <v>852</v>
      </c>
    </row>
    <row r="529" spans="1:20" ht="15.75" customHeight="1" x14ac:dyDescent="0.3">
      <c r="A529" s="234" t="s">
        <v>1711</v>
      </c>
      <c r="B529" s="172"/>
      <c r="C529" s="172"/>
      <c r="D529" s="172"/>
      <c r="E529" s="38" t="s">
        <v>852</v>
      </c>
      <c r="F529" s="172"/>
      <c r="G529" s="172"/>
      <c r="H529" s="172"/>
      <c r="I529" s="38" t="s">
        <v>852</v>
      </c>
      <c r="J529" s="172"/>
      <c r="K529" s="172"/>
      <c r="L529" s="172"/>
      <c r="M529" s="38" t="s">
        <v>852</v>
      </c>
      <c r="N529" s="172"/>
      <c r="O529" s="172"/>
      <c r="P529" s="172"/>
      <c r="Q529" s="38" t="s">
        <v>852</v>
      </c>
      <c r="R529" s="38" t="s">
        <v>852</v>
      </c>
    </row>
    <row r="530" spans="1:20" ht="15.75" customHeight="1" thickBot="1" x14ac:dyDescent="0.35">
      <c r="A530" s="539" t="s">
        <v>2720</v>
      </c>
      <c r="B530" s="172"/>
      <c r="C530" s="172"/>
      <c r="D530" s="172"/>
      <c r="E530" s="38">
        <f>SUM(B530:D530)</f>
        <v>0</v>
      </c>
      <c r="F530" s="172"/>
      <c r="G530" s="172"/>
      <c r="H530" s="172"/>
      <c r="I530" s="38">
        <f>SUM(F530:H530)</f>
        <v>0</v>
      </c>
      <c r="J530" s="172"/>
      <c r="K530" s="172"/>
      <c r="L530" s="172"/>
      <c r="M530" s="38">
        <f>SUM(J530:L530)</f>
        <v>0</v>
      </c>
      <c r="N530" s="172"/>
      <c r="O530" s="172"/>
      <c r="P530" s="172"/>
      <c r="Q530" s="38">
        <f>SUM(N530:P530)</f>
        <v>0</v>
      </c>
      <c r="R530" s="38">
        <f>+E530+I530+M530+Q530</f>
        <v>0</v>
      </c>
      <c r="T530" t="s">
        <v>2766</v>
      </c>
    </row>
    <row r="531" spans="1:20" ht="16.5" customHeight="1" thickBot="1" x14ac:dyDescent="0.35">
      <c r="A531" s="277" t="s">
        <v>1220</v>
      </c>
      <c r="B531" s="45">
        <f>SUM(B527:B530)</f>
        <v>0</v>
      </c>
      <c r="C531" s="46">
        <f>SUM(C527:C530)</f>
        <v>0</v>
      </c>
      <c r="D531" s="46">
        <f>SUM(D527:D530)</f>
        <v>0</v>
      </c>
      <c r="E531" s="37">
        <f>SUM(B531:D531)</f>
        <v>0</v>
      </c>
      <c r="F531" s="46">
        <f>SUM(F527:F530)</f>
        <v>0</v>
      </c>
      <c r="G531" s="46">
        <f>SUM(G527:G530)</f>
        <v>0</v>
      </c>
      <c r="H531" s="46">
        <f>SUM(H527:H530)</f>
        <v>0</v>
      </c>
      <c r="I531" s="37">
        <f>SUM(F531:H531)</f>
        <v>0</v>
      </c>
      <c r="J531" s="46">
        <f>SUM(J527:J530)</f>
        <v>0</v>
      </c>
      <c r="K531" s="46">
        <f>SUM(K527:K530)</f>
        <v>0</v>
      </c>
      <c r="L531" s="46">
        <f>SUM(L527:L530)</f>
        <v>0</v>
      </c>
      <c r="M531" s="37">
        <f>SUM(J531:L531)</f>
        <v>0</v>
      </c>
      <c r="N531" s="46">
        <f>SUM(N527:N530)</f>
        <v>0</v>
      </c>
      <c r="O531" s="46">
        <f>SUM(O527:O530)</f>
        <v>0</v>
      </c>
      <c r="P531" s="46">
        <f>SUM(P527:P530)</f>
        <v>0</v>
      </c>
      <c r="Q531" s="37">
        <f>SUM(N531:P531)</f>
        <v>0</v>
      </c>
      <c r="R531" s="37">
        <f>+E531+I531+M531+Q531</f>
        <v>0</v>
      </c>
    </row>
    <row r="532" spans="1:20" ht="15.75" customHeight="1" x14ac:dyDescent="0.3">
      <c r="A532" s="234" t="s">
        <v>1712</v>
      </c>
      <c r="B532" s="172"/>
      <c r="C532" s="172"/>
      <c r="D532" s="172"/>
      <c r="E532" s="38" t="s">
        <v>852</v>
      </c>
      <c r="F532" s="172"/>
      <c r="G532" s="172"/>
      <c r="H532" s="172"/>
      <c r="I532" s="38" t="s">
        <v>852</v>
      </c>
      <c r="J532" s="172"/>
      <c r="K532" s="172"/>
      <c r="L532" s="172"/>
      <c r="M532" s="38" t="s">
        <v>852</v>
      </c>
      <c r="N532" s="172"/>
      <c r="O532" s="172"/>
      <c r="P532" s="172"/>
      <c r="Q532" s="38" t="s">
        <v>852</v>
      </c>
      <c r="R532" s="38" t="s">
        <v>852</v>
      </c>
    </row>
    <row r="533" spans="1:20" ht="15.75" customHeight="1" x14ac:dyDescent="0.3">
      <c r="A533" s="234" t="s">
        <v>1021</v>
      </c>
      <c r="B533" s="172"/>
      <c r="C533" s="172"/>
      <c r="D533" s="172"/>
      <c r="E533" s="38" t="s">
        <v>852</v>
      </c>
      <c r="F533" s="172"/>
      <c r="G533" s="172"/>
      <c r="H533" s="172"/>
      <c r="I533" s="38" t="s">
        <v>852</v>
      </c>
      <c r="J533" s="172"/>
      <c r="K533" s="172"/>
      <c r="L533" s="172"/>
      <c r="M533" s="38" t="s">
        <v>852</v>
      </c>
      <c r="N533" s="172"/>
      <c r="O533" s="172"/>
      <c r="P533" s="172"/>
      <c r="Q533" s="38" t="s">
        <v>852</v>
      </c>
      <c r="R533" s="38" t="s">
        <v>852</v>
      </c>
    </row>
    <row r="534" spans="1:20" ht="15.75" customHeight="1" x14ac:dyDescent="0.3">
      <c r="A534" s="266" t="s">
        <v>624</v>
      </c>
      <c r="B534" s="172">
        <v>1200</v>
      </c>
      <c r="C534" s="172"/>
      <c r="D534" s="172"/>
      <c r="E534" s="38">
        <f>SUM(B534:D534)</f>
        <v>1200</v>
      </c>
      <c r="F534" s="172"/>
      <c r="G534" s="172"/>
      <c r="H534" s="172"/>
      <c r="I534" s="38">
        <f>SUM(F534:H534)</f>
        <v>0</v>
      </c>
      <c r="J534" s="172"/>
      <c r="K534" s="172">
        <v>270</v>
      </c>
      <c r="L534" s="172"/>
      <c r="M534" s="38">
        <f>SUM(J534:L534)</f>
        <v>270</v>
      </c>
      <c r="N534" s="172"/>
      <c r="O534" s="172"/>
      <c r="P534" s="172"/>
      <c r="Q534" s="38">
        <f>SUM(N534:P534)</f>
        <v>0</v>
      </c>
      <c r="R534" s="38">
        <f>+E534+I534+M534+Q534</f>
        <v>1470</v>
      </c>
      <c r="T534" t="s">
        <v>2766</v>
      </c>
    </row>
    <row r="535" spans="1:20" ht="15.75" customHeight="1" x14ac:dyDescent="0.3">
      <c r="A535" s="266" t="s">
        <v>1787</v>
      </c>
      <c r="B535" s="172"/>
      <c r="C535" s="172"/>
      <c r="D535" s="172"/>
      <c r="E535" s="38">
        <f>SUM(B535:D535)</f>
        <v>0</v>
      </c>
      <c r="F535" s="172"/>
      <c r="G535" s="172"/>
      <c r="H535" s="172"/>
      <c r="I535" s="38">
        <f>SUM(F535:H535)</f>
        <v>0</v>
      </c>
      <c r="J535" s="172"/>
      <c r="K535" s="172"/>
      <c r="L535" s="172"/>
      <c r="M535" s="38">
        <f>SUM(J535:L535)</f>
        <v>0</v>
      </c>
      <c r="N535" s="172"/>
      <c r="O535" s="172"/>
      <c r="P535" s="172"/>
      <c r="Q535" s="38">
        <f>SUM(N535:P535)</f>
        <v>0</v>
      </c>
      <c r="R535" s="38">
        <f>+E535+I535+M535+Q535</f>
        <v>0</v>
      </c>
      <c r="T535" t="s">
        <v>2766</v>
      </c>
    </row>
    <row r="536" spans="1:20" ht="15.75" customHeight="1" x14ac:dyDescent="0.3">
      <c r="A536" s="234" t="s">
        <v>557</v>
      </c>
      <c r="B536" s="172"/>
      <c r="C536" s="172"/>
      <c r="D536" s="172"/>
      <c r="E536" s="38" t="s">
        <v>852</v>
      </c>
      <c r="F536" s="172"/>
      <c r="G536" s="172"/>
      <c r="H536" s="172"/>
      <c r="I536" s="38" t="s">
        <v>852</v>
      </c>
      <c r="J536" s="172"/>
      <c r="K536" s="172"/>
      <c r="L536" s="172"/>
      <c r="M536" s="38" t="s">
        <v>852</v>
      </c>
      <c r="N536" s="172"/>
      <c r="O536" s="172"/>
      <c r="P536" s="172"/>
      <c r="Q536" s="38" t="s">
        <v>852</v>
      </c>
      <c r="R536" s="38" t="s">
        <v>852</v>
      </c>
    </row>
    <row r="537" spans="1:20" ht="15.75" customHeight="1" x14ac:dyDescent="0.3">
      <c r="A537" s="539" t="s">
        <v>2812</v>
      </c>
      <c r="B537" s="172"/>
      <c r="C537" s="172"/>
      <c r="D537" s="172"/>
      <c r="E537" s="38">
        <f>SUM(B537:D537)</f>
        <v>0</v>
      </c>
      <c r="F537" s="172"/>
      <c r="G537" s="172"/>
      <c r="H537" s="172"/>
      <c r="I537" s="38">
        <f>SUM(F537:H537)</f>
        <v>0</v>
      </c>
      <c r="J537" s="172"/>
      <c r="K537" s="172"/>
      <c r="L537" s="172"/>
      <c r="M537" s="38">
        <f>SUM(J537:L537)</f>
        <v>0</v>
      </c>
      <c r="N537" s="172"/>
      <c r="O537" s="172"/>
      <c r="P537" s="172">
        <v>624</v>
      </c>
      <c r="Q537" s="38">
        <f>SUM(N537:P537)</f>
        <v>624</v>
      </c>
      <c r="R537" s="38">
        <f>+E537+I537+M537+Q537</f>
        <v>624</v>
      </c>
    </row>
    <row r="538" spans="1:20" ht="15.75" customHeight="1" x14ac:dyDescent="0.3">
      <c r="A538" s="539" t="s">
        <v>2579</v>
      </c>
      <c r="B538" s="172"/>
      <c r="C538" s="172"/>
      <c r="D538" s="172"/>
      <c r="E538" s="38">
        <f>SUM(B538:D538)</f>
        <v>0</v>
      </c>
      <c r="F538" s="172"/>
      <c r="G538" s="172"/>
      <c r="H538" s="172"/>
      <c r="I538" s="38">
        <f>SUM(F538:H538)</f>
        <v>0</v>
      </c>
      <c r="J538" s="172"/>
      <c r="K538" s="172"/>
      <c r="L538" s="172"/>
      <c r="M538" s="38">
        <f>SUM(J538:L538)</f>
        <v>0</v>
      </c>
      <c r="N538" s="172"/>
      <c r="O538" s="172"/>
      <c r="P538" s="172"/>
      <c r="Q538" s="38">
        <f>SUM(N538:P538)</f>
        <v>0</v>
      </c>
      <c r="R538" s="38">
        <f>+E538+I538+M538+Q538</f>
        <v>0</v>
      </c>
    </row>
    <row r="539" spans="1:20" ht="15.75" customHeight="1" x14ac:dyDescent="0.3">
      <c r="A539" s="539" t="s">
        <v>2581</v>
      </c>
      <c r="B539" s="172">
        <v>1000</v>
      </c>
      <c r="C539" s="172">
        <v>1000</v>
      </c>
      <c r="D539" s="172"/>
      <c r="E539" s="38">
        <f>SUM(B539:D539)</f>
        <v>2000</v>
      </c>
      <c r="F539" s="172"/>
      <c r="G539" s="172"/>
      <c r="H539" s="172"/>
      <c r="I539" s="38">
        <f>SUM(F539:H539)</f>
        <v>0</v>
      </c>
      <c r="J539" s="172"/>
      <c r="K539" s="172">
        <v>1490</v>
      </c>
      <c r="L539" s="172">
        <v>3010</v>
      </c>
      <c r="M539" s="38">
        <f>SUM(J539:L539)</f>
        <v>4500</v>
      </c>
      <c r="N539" s="172">
        <v>1160</v>
      </c>
      <c r="O539" s="172">
        <v>1688</v>
      </c>
      <c r="P539" s="172">
        <v>508</v>
      </c>
      <c r="Q539" s="38">
        <f>SUM(N539:P539)</f>
        <v>3356</v>
      </c>
      <c r="R539" s="38">
        <f>+E539+I539+M539+Q539</f>
        <v>9856</v>
      </c>
      <c r="T539" t="s">
        <v>2766</v>
      </c>
    </row>
    <row r="540" spans="1:20" ht="15.75" customHeight="1" x14ac:dyDescent="0.3">
      <c r="A540" s="539" t="s">
        <v>2582</v>
      </c>
      <c r="B540" s="172"/>
      <c r="C540" s="172"/>
      <c r="D540" s="172"/>
      <c r="E540" s="38">
        <f>SUM(B540:D540)</f>
        <v>0</v>
      </c>
      <c r="F540" s="172"/>
      <c r="G540" s="172"/>
      <c r="H540" s="172"/>
      <c r="I540" s="38">
        <f>SUM(F540:H540)</f>
        <v>0</v>
      </c>
      <c r="J540" s="172"/>
      <c r="K540" s="172"/>
      <c r="L540" s="172"/>
      <c r="M540" s="38">
        <f>SUM(J540:L540)</f>
        <v>0</v>
      </c>
      <c r="N540" s="172"/>
      <c r="O540" s="172"/>
      <c r="P540" s="172"/>
      <c r="Q540" s="38">
        <f>SUM(N540:P540)</f>
        <v>0</v>
      </c>
      <c r="R540" s="38">
        <f>+E540+I540+M540+Q540</f>
        <v>0</v>
      </c>
      <c r="T540" t="s">
        <v>2766</v>
      </c>
    </row>
    <row r="541" spans="1:20" ht="15.75" customHeight="1" x14ac:dyDescent="0.3">
      <c r="A541" s="234" t="s">
        <v>1022</v>
      </c>
      <c r="B541" s="172"/>
      <c r="C541" s="172"/>
      <c r="D541" s="172"/>
      <c r="E541" s="38" t="s">
        <v>852</v>
      </c>
      <c r="F541" s="172"/>
      <c r="G541" s="172"/>
      <c r="H541" s="172"/>
      <c r="I541" s="38" t="s">
        <v>852</v>
      </c>
      <c r="J541" s="172"/>
      <c r="K541" s="172"/>
      <c r="L541" s="172"/>
      <c r="M541" s="38" t="s">
        <v>852</v>
      </c>
      <c r="N541" s="172"/>
      <c r="O541" s="172"/>
      <c r="P541" s="172"/>
      <c r="Q541" s="38" t="s">
        <v>852</v>
      </c>
      <c r="R541" s="38" t="s">
        <v>852</v>
      </c>
    </row>
    <row r="542" spans="1:20" ht="15.75" customHeight="1" x14ac:dyDescent="0.3">
      <c r="A542" s="234" t="s">
        <v>559</v>
      </c>
      <c r="B542" s="172"/>
      <c r="C542" s="172"/>
      <c r="D542" s="172"/>
      <c r="E542" s="38" t="s">
        <v>852</v>
      </c>
      <c r="F542" s="172"/>
      <c r="G542" s="172"/>
      <c r="H542" s="172"/>
      <c r="I542" s="38" t="s">
        <v>852</v>
      </c>
      <c r="J542" s="172"/>
      <c r="K542" s="172"/>
      <c r="L542" s="172"/>
      <c r="M542" s="38" t="s">
        <v>852</v>
      </c>
      <c r="N542" s="172"/>
      <c r="O542" s="172"/>
      <c r="P542" s="172"/>
      <c r="Q542" s="38" t="s">
        <v>852</v>
      </c>
      <c r="R542" s="38" t="s">
        <v>852</v>
      </c>
    </row>
    <row r="543" spans="1:20" ht="15.75" customHeight="1" x14ac:dyDescent="0.3">
      <c r="A543" s="539" t="s">
        <v>2597</v>
      </c>
      <c r="B543" s="172"/>
      <c r="C543" s="172"/>
      <c r="D543" s="172"/>
      <c r="E543" s="38">
        <f t="shared" ref="E543:E548" si="99">SUM(B543:D543)</f>
        <v>0</v>
      </c>
      <c r="F543" s="172"/>
      <c r="G543" s="172"/>
      <c r="H543" s="172"/>
      <c r="I543" s="38">
        <f t="shared" ref="I543:I548" si="100">SUM(F543:H543)</f>
        <v>0</v>
      </c>
      <c r="J543" s="172"/>
      <c r="K543" s="172"/>
      <c r="L543" s="172"/>
      <c r="M543" s="38">
        <f t="shared" ref="M543:M548" si="101">SUM(J543:L543)</f>
        <v>0</v>
      </c>
      <c r="N543" s="172"/>
      <c r="O543" s="172"/>
      <c r="P543" s="172"/>
      <c r="Q543" s="38">
        <f t="shared" ref="Q543:Q548" si="102">SUM(N543:P543)</f>
        <v>0</v>
      </c>
      <c r="R543" s="38">
        <f t="shared" ref="R543:R548" si="103">+E543+I543+M543+Q543</f>
        <v>0</v>
      </c>
    </row>
    <row r="544" spans="1:20" ht="15.75" customHeight="1" thickBot="1" x14ac:dyDescent="0.35">
      <c r="A544" s="539" t="s">
        <v>2583</v>
      </c>
      <c r="B544" s="172"/>
      <c r="C544" s="172"/>
      <c r="D544" s="172"/>
      <c r="E544" s="38">
        <f t="shared" si="99"/>
        <v>0</v>
      </c>
      <c r="F544" s="172"/>
      <c r="G544" s="172">
        <v>211</v>
      </c>
      <c r="H544" s="172">
        <v>355</v>
      </c>
      <c r="I544" s="38">
        <f t="shared" si="100"/>
        <v>566</v>
      </c>
      <c r="J544" s="172">
        <v>423</v>
      </c>
      <c r="K544" s="172">
        <v>715</v>
      </c>
      <c r="L544" s="172">
        <v>148</v>
      </c>
      <c r="M544" s="38">
        <f t="shared" si="101"/>
        <v>1286</v>
      </c>
      <c r="N544" s="172"/>
      <c r="O544" s="172"/>
      <c r="P544" s="172"/>
      <c r="Q544" s="38">
        <f t="shared" si="102"/>
        <v>0</v>
      </c>
      <c r="R544" s="38">
        <f t="shared" si="103"/>
        <v>1852</v>
      </c>
    </row>
    <row r="545" spans="1:18" ht="16.5" customHeight="1" thickBot="1" x14ac:dyDescent="0.35">
      <c r="A545" s="43" t="s">
        <v>1019</v>
      </c>
      <c r="B545" s="335">
        <f>SUM(B541:B544)</f>
        <v>0</v>
      </c>
      <c r="C545" s="335">
        <f>SUM(C541:C544)</f>
        <v>0</v>
      </c>
      <c r="D545" s="335">
        <f>SUM(D541:D544)</f>
        <v>0</v>
      </c>
      <c r="E545" s="39">
        <f t="shared" si="99"/>
        <v>0</v>
      </c>
      <c r="F545" s="335">
        <f>SUM(F541:F544)</f>
        <v>0</v>
      </c>
      <c r="G545" s="335">
        <f>SUM(G541:G544)</f>
        <v>211</v>
      </c>
      <c r="H545" s="335">
        <f>SUM(H541:H544)</f>
        <v>355</v>
      </c>
      <c r="I545" s="39">
        <f t="shared" si="100"/>
        <v>566</v>
      </c>
      <c r="J545" s="335">
        <f>SUM(J541:J544)</f>
        <v>423</v>
      </c>
      <c r="K545" s="335">
        <f>SUM(K541:K544)</f>
        <v>715</v>
      </c>
      <c r="L545" s="335">
        <f>SUM(L541:L544)</f>
        <v>148</v>
      </c>
      <c r="M545" s="39">
        <f t="shared" si="101"/>
        <v>1286</v>
      </c>
      <c r="N545" s="335">
        <f>SUM(N541:N544)</f>
        <v>0</v>
      </c>
      <c r="O545" s="335">
        <f>SUM(O541:O544)</f>
        <v>0</v>
      </c>
      <c r="P545" s="335">
        <f>SUM(P541:P544)</f>
        <v>0</v>
      </c>
      <c r="Q545" s="39">
        <f t="shared" si="102"/>
        <v>0</v>
      </c>
      <c r="R545" s="37">
        <f t="shared" si="103"/>
        <v>1852</v>
      </c>
    </row>
    <row r="546" spans="1:18" ht="16.5" customHeight="1" thickBot="1" x14ac:dyDescent="0.35">
      <c r="A546" s="277" t="s">
        <v>1221</v>
      </c>
      <c r="B546" s="45">
        <f>SUM(B532:B544)</f>
        <v>2200</v>
      </c>
      <c r="C546" s="46">
        <f>SUM(C532:C544)</f>
        <v>1000</v>
      </c>
      <c r="D546" s="58">
        <f>SUM(D532:D544)</f>
        <v>0</v>
      </c>
      <c r="E546" s="39">
        <f t="shared" si="99"/>
        <v>3200</v>
      </c>
      <c r="F546" s="45">
        <f>SUM(F532:F544)</f>
        <v>0</v>
      </c>
      <c r="G546" s="46">
        <f>SUM(G532:G544)</f>
        <v>211</v>
      </c>
      <c r="H546" s="58">
        <f>SUM(H532:H544)</f>
        <v>355</v>
      </c>
      <c r="I546" s="39">
        <f t="shared" si="100"/>
        <v>566</v>
      </c>
      <c r="J546" s="45">
        <f>SUM(J532:J544)</f>
        <v>423</v>
      </c>
      <c r="K546" s="46">
        <f>SUM(K532:K544)</f>
        <v>2475</v>
      </c>
      <c r="L546" s="58">
        <f>SUM(L532:L544)</f>
        <v>3158</v>
      </c>
      <c r="M546" s="39">
        <f t="shared" si="101"/>
        <v>6056</v>
      </c>
      <c r="N546" s="45">
        <f>SUM(N532:N544)</f>
        <v>1160</v>
      </c>
      <c r="O546" s="46">
        <f>SUM(O532:O544)</f>
        <v>1688</v>
      </c>
      <c r="P546" s="58">
        <f>SUM(P532:P544)</f>
        <v>1132</v>
      </c>
      <c r="Q546" s="39">
        <f t="shared" si="102"/>
        <v>3980</v>
      </c>
      <c r="R546" s="37">
        <f t="shared" si="103"/>
        <v>13802</v>
      </c>
    </row>
    <row r="547" spans="1:18" ht="16.5" customHeight="1" thickBot="1" x14ac:dyDescent="0.35">
      <c r="A547" s="43" t="s">
        <v>1222</v>
      </c>
      <c r="B547" s="337">
        <f>+B520+B526+B531+B546</f>
        <v>4695</v>
      </c>
      <c r="C547" s="338">
        <f>+C520+C526+C531+C546</f>
        <v>2315</v>
      </c>
      <c r="D547" s="338">
        <f>+D520+D526+D531+D546</f>
        <v>1481</v>
      </c>
      <c r="E547" s="37">
        <f t="shared" si="99"/>
        <v>8491</v>
      </c>
      <c r="F547" s="42">
        <f>+F520+F526+F531+F546</f>
        <v>2976</v>
      </c>
      <c r="G547" s="42">
        <f>+G520+G526+G531+G546</f>
        <v>1219</v>
      </c>
      <c r="H547" s="42">
        <f>+H520+H526+H531+H546</f>
        <v>1781</v>
      </c>
      <c r="I547" s="37">
        <f t="shared" si="100"/>
        <v>5976</v>
      </c>
      <c r="J547" s="42">
        <f>+J520+J526+J531+J546</f>
        <v>4586</v>
      </c>
      <c r="K547" s="42">
        <f>+K520+K526+K531+K546</f>
        <v>5729</v>
      </c>
      <c r="L547" s="42">
        <f>+L520+L526+L531+L546</f>
        <v>3820</v>
      </c>
      <c r="M547" s="37">
        <f t="shared" si="101"/>
        <v>14135</v>
      </c>
      <c r="N547" s="42">
        <f>+N520+N526+N531+N546</f>
        <v>1632</v>
      </c>
      <c r="O547" s="42">
        <f>+O520+O526+O531+O546</f>
        <v>1854</v>
      </c>
      <c r="P547" s="42">
        <f>+P520+P526+P531+P546</f>
        <v>1147</v>
      </c>
      <c r="Q547" s="37">
        <f t="shared" si="102"/>
        <v>4633</v>
      </c>
      <c r="R547" s="40">
        <f t="shared" si="103"/>
        <v>33235</v>
      </c>
    </row>
    <row r="548" spans="1:18" ht="16.5" customHeight="1" thickBot="1" x14ac:dyDescent="0.35">
      <c r="A548" s="244" t="s">
        <v>853</v>
      </c>
      <c r="B548" s="238">
        <v>17</v>
      </c>
      <c r="C548" s="238">
        <v>47</v>
      </c>
      <c r="D548" s="238">
        <v>84</v>
      </c>
      <c r="E548" s="38">
        <f t="shared" si="99"/>
        <v>148</v>
      </c>
      <c r="F548" s="238">
        <v>116</v>
      </c>
      <c r="G548" s="238">
        <v>132</v>
      </c>
      <c r="H548" s="238">
        <v>138</v>
      </c>
      <c r="I548" s="38">
        <f t="shared" si="100"/>
        <v>386</v>
      </c>
      <c r="J548" s="238">
        <v>126</v>
      </c>
      <c r="K548" s="238">
        <v>95</v>
      </c>
      <c r="L548" s="238">
        <v>99</v>
      </c>
      <c r="M548" s="38">
        <f t="shared" si="101"/>
        <v>320</v>
      </c>
      <c r="N548" s="238">
        <v>91</v>
      </c>
      <c r="O548" s="238">
        <v>67</v>
      </c>
      <c r="P548" s="238">
        <v>38</v>
      </c>
      <c r="Q548" s="38">
        <f t="shared" si="102"/>
        <v>196</v>
      </c>
      <c r="R548" s="38">
        <f t="shared" si="103"/>
        <v>1050</v>
      </c>
    </row>
    <row r="549" spans="1:18" ht="16.5" customHeight="1" thickBot="1" x14ac:dyDescent="0.35">
      <c r="A549" s="22"/>
      <c r="B549" s="242"/>
      <c r="C549" s="242"/>
      <c r="D549" s="242"/>
      <c r="E549" s="21"/>
      <c r="F549" s="242"/>
      <c r="G549" s="242"/>
      <c r="H549" s="242"/>
      <c r="I549" s="21"/>
      <c r="J549" s="242"/>
      <c r="K549" s="242"/>
      <c r="L549" s="242"/>
      <c r="M549" s="21"/>
      <c r="N549" s="242"/>
      <c r="O549" s="242"/>
      <c r="P549" s="242"/>
      <c r="Q549" s="21"/>
      <c r="R549" s="21"/>
    </row>
    <row r="550" spans="1:18" ht="15.75" customHeight="1" x14ac:dyDescent="0.3">
      <c r="A550" s="259" t="s">
        <v>120</v>
      </c>
      <c r="B550" s="260">
        <f>SUM(B547:B548)</f>
        <v>4712</v>
      </c>
      <c r="C550" s="260">
        <f>SUM(C547:C548)</f>
        <v>2362</v>
      </c>
      <c r="D550" s="260">
        <f>SUM(D547:D548)</f>
        <v>1565</v>
      </c>
      <c r="E550" s="39">
        <f>SUM(B550:D550)</f>
        <v>8639</v>
      </c>
      <c r="F550" s="260">
        <f>SUM(F547:F548)</f>
        <v>3092</v>
      </c>
      <c r="G550" s="260">
        <f>SUM(G547:G548)</f>
        <v>1351</v>
      </c>
      <c r="H550" s="260">
        <f>SUM(H547:H548)</f>
        <v>1919</v>
      </c>
      <c r="I550" s="39">
        <f>SUM(F550:H550)</f>
        <v>6362</v>
      </c>
      <c r="J550" s="260">
        <f>SUM(J547:J548)</f>
        <v>4712</v>
      </c>
      <c r="K550" s="260">
        <f>SUM(K547:K548)</f>
        <v>5824</v>
      </c>
      <c r="L550" s="260">
        <f>SUM(L547:L548)</f>
        <v>3919</v>
      </c>
      <c r="M550" s="39">
        <f>SUM(J550:L550)</f>
        <v>14455</v>
      </c>
      <c r="N550" s="260">
        <f>SUM(N547:N548)</f>
        <v>1723</v>
      </c>
      <c r="O550" s="260">
        <f>SUM(O547:O548)</f>
        <v>1921</v>
      </c>
      <c r="P550" s="260">
        <f>SUM(P547:P548)</f>
        <v>1185</v>
      </c>
      <c r="Q550" s="39">
        <f>SUM(N550:P550)</f>
        <v>4829</v>
      </c>
      <c r="R550" s="39">
        <f>+E550+I550+M550+Q550</f>
        <v>34285</v>
      </c>
    </row>
    <row r="551" spans="1:18" ht="15.75" customHeight="1" x14ac:dyDescent="0.3">
      <c r="A551" s="262" t="s">
        <v>1897</v>
      </c>
      <c r="B551" s="172">
        <f>(B550/B10)/1.983</f>
        <v>76.651538073625815</v>
      </c>
      <c r="C551" s="172">
        <f>(C550/C10)/1.983</f>
        <v>42.54016281247749</v>
      </c>
      <c r="D551" s="172">
        <f>(D550/D10)/1.983</f>
        <v>25.458331299920289</v>
      </c>
      <c r="E551" s="38" t="s">
        <v>852</v>
      </c>
      <c r="F551" s="172">
        <f>(F550/F10)/1.983</f>
        <v>51.975121869221717</v>
      </c>
      <c r="G551" s="172">
        <f>(G550/G10)/1.983</f>
        <v>21.977128170090932</v>
      </c>
      <c r="H551" s="172">
        <f>(H550/H10)/1.983</f>
        <v>32.257522272650867</v>
      </c>
      <c r="I551" s="38" t="s">
        <v>852</v>
      </c>
      <c r="J551" s="172">
        <f>(J550/J10)/1.983</f>
        <v>76.651538073625815</v>
      </c>
      <c r="K551" s="172">
        <f>(K550/K10)/1.983</f>
        <v>94.740780505262464</v>
      </c>
      <c r="L551" s="172">
        <f>(L550/L10)/1.983</f>
        <v>65.876617918977971</v>
      </c>
      <c r="M551" s="38" t="s">
        <v>852</v>
      </c>
      <c r="N551" s="172">
        <f>(N550/N10)/1.983</f>
        <v>28.028565386429811</v>
      </c>
      <c r="O551" s="172">
        <f>(O550/O10)/1.983</f>
        <v>32.29114136829719</v>
      </c>
      <c r="P551" s="172">
        <f>(P550/P10)/1.983</f>
        <v>19.276755648821432</v>
      </c>
      <c r="Q551" s="38" t="s">
        <v>852</v>
      </c>
      <c r="R551" s="38" t="s">
        <v>852</v>
      </c>
    </row>
    <row r="552" spans="1:18" ht="15.75" customHeight="1" x14ac:dyDescent="0.3">
      <c r="A552" s="262" t="s">
        <v>1535</v>
      </c>
      <c r="B552" s="172">
        <f>B550+B562</f>
        <v>15047</v>
      </c>
      <c r="C552" s="172">
        <f>C550+C562</f>
        <v>13499</v>
      </c>
      <c r="D552" s="172">
        <f>D550+D562</f>
        <v>21468</v>
      </c>
      <c r="E552" s="38">
        <f>SUM(B552:D552)</f>
        <v>50014</v>
      </c>
      <c r="F552" s="172">
        <f>F550+F562</f>
        <v>25185</v>
      </c>
      <c r="G552" s="172">
        <f>G550+G562</f>
        <v>24162</v>
      </c>
      <c r="H552" s="172">
        <f>H550+H562</f>
        <v>20406</v>
      </c>
      <c r="I552" s="38">
        <f>SUM(F552:H552)</f>
        <v>69753</v>
      </c>
      <c r="J552" s="172">
        <f>J550+J562</f>
        <v>22309</v>
      </c>
      <c r="K552" s="172">
        <f>K550+K562</f>
        <v>25398</v>
      </c>
      <c r="L552" s="172">
        <f>L550+L562</f>
        <v>22497</v>
      </c>
      <c r="M552" s="38">
        <f>SUM(J552:L552)</f>
        <v>70204</v>
      </c>
      <c r="N552" s="172">
        <f>N550+N562</f>
        <v>15177</v>
      </c>
      <c r="O552" s="172">
        <f>O550+O562</f>
        <v>10766</v>
      </c>
      <c r="P552" s="172">
        <f>P550+P562</f>
        <v>18076</v>
      </c>
      <c r="Q552" s="38">
        <f>SUM(N552:P552)</f>
        <v>44019</v>
      </c>
      <c r="R552" s="38">
        <f>+E552+I552+M552+Q552</f>
        <v>233990</v>
      </c>
    </row>
    <row r="553" spans="1:18" ht="16.5" customHeight="1" thickBot="1" x14ac:dyDescent="0.35">
      <c r="A553" s="263" t="s">
        <v>1536</v>
      </c>
      <c r="B553" s="264">
        <f>(B552/B10)/1.983</f>
        <v>244.77412847916969</v>
      </c>
      <c r="C553" s="264">
        <f>(C552/C10)/1.983</f>
        <v>243.12009221237662</v>
      </c>
      <c r="D553" s="264">
        <f>(D552/D10)/1.983</f>
        <v>349.22648967839535</v>
      </c>
      <c r="E553" s="40" t="s">
        <v>852</v>
      </c>
      <c r="F553" s="264">
        <f>(F552/F10)/1.983</f>
        <v>423.34846192637417</v>
      </c>
      <c r="G553" s="264">
        <f>(G552/G10)/1.983</f>
        <v>393.05060758381723</v>
      </c>
      <c r="H553" s="264">
        <f>(H552/H10)/1.983</f>
        <v>343.01563287947556</v>
      </c>
      <c r="I553" s="40" t="s">
        <v>852</v>
      </c>
      <c r="J553" s="264">
        <f>(J552/J10)/1.983</f>
        <v>362.90729263253786</v>
      </c>
      <c r="K553" s="264">
        <f>(K552/K10)/1.983</f>
        <v>413.15699575423355</v>
      </c>
      <c r="L553" s="264">
        <f>(L552/L10)/1.983</f>
        <v>378.16439737771049</v>
      </c>
      <c r="M553" s="40" t="s">
        <v>852</v>
      </c>
      <c r="N553" s="264">
        <f>(N552/N10)/1.983</f>
        <v>246.88887804401929</v>
      </c>
      <c r="O553" s="264">
        <f>(O552/O10)/1.983</f>
        <v>180.97159186417886</v>
      </c>
      <c r="P553" s="264">
        <f>(P552/P10)/1.983</f>
        <v>294.04779334016558</v>
      </c>
      <c r="Q553" s="40" t="s">
        <v>852</v>
      </c>
      <c r="R553" s="40" t="s">
        <v>852</v>
      </c>
    </row>
    <row r="554" spans="1:18" ht="15.75" customHeight="1" x14ac:dyDescent="0.3">
      <c r="A554" s="17"/>
      <c r="B554" s="172"/>
      <c r="C554" s="172"/>
      <c r="D554" s="172"/>
      <c r="E554" s="172"/>
      <c r="F554" s="172"/>
      <c r="G554" s="172"/>
      <c r="H554" s="172"/>
      <c r="I554" s="172"/>
      <c r="J554" s="172"/>
      <c r="K554" s="172"/>
      <c r="L554" s="172"/>
      <c r="M554" s="172"/>
      <c r="N554" s="172"/>
      <c r="O554" s="172"/>
      <c r="P554" s="172"/>
      <c r="Q554" s="172"/>
      <c r="R554" s="17"/>
    </row>
    <row r="555" spans="1:18" ht="16.5" customHeight="1" thickBot="1" x14ac:dyDescent="0.35">
      <c r="A555" s="24"/>
      <c r="B555" s="238"/>
      <c r="C555" s="238"/>
      <c r="D555" s="238"/>
      <c r="E555" s="238"/>
      <c r="F555" s="238"/>
      <c r="G555" s="238"/>
      <c r="H555" s="238"/>
      <c r="I555" s="238"/>
      <c r="J555" s="238"/>
      <c r="K555" s="238"/>
      <c r="L555" s="238"/>
      <c r="M555" s="238"/>
      <c r="N555" s="238"/>
      <c r="O555" s="238"/>
      <c r="P555" s="238"/>
      <c r="Q555" s="238"/>
      <c r="R555" s="24"/>
    </row>
    <row r="556" spans="1:18" ht="16.5" customHeight="1" thickBot="1" x14ac:dyDescent="0.35">
      <c r="A556" s="278" t="s">
        <v>1537</v>
      </c>
      <c r="B556" s="4" t="s">
        <v>2090</v>
      </c>
      <c r="C556" s="5" t="s">
        <v>2091</v>
      </c>
      <c r="D556" s="5" t="s">
        <v>2234</v>
      </c>
      <c r="E556" s="33" t="s">
        <v>1594</v>
      </c>
      <c r="F556" s="5" t="s">
        <v>2235</v>
      </c>
      <c r="G556" s="5" t="s">
        <v>2236</v>
      </c>
      <c r="H556" s="5" t="s">
        <v>2237</v>
      </c>
      <c r="I556" s="35" t="s">
        <v>1595</v>
      </c>
      <c r="J556" s="5" t="s">
        <v>1504</v>
      </c>
      <c r="K556" s="5" t="s">
        <v>1505</v>
      </c>
      <c r="L556" s="5" t="s">
        <v>1506</v>
      </c>
      <c r="M556" s="35" t="s">
        <v>1596</v>
      </c>
      <c r="N556" s="5" t="s">
        <v>1507</v>
      </c>
      <c r="O556" s="5" t="s">
        <v>1508</v>
      </c>
      <c r="P556" s="5" t="s">
        <v>1509</v>
      </c>
      <c r="Q556" s="33" t="s">
        <v>1597</v>
      </c>
      <c r="R556" s="34" t="s">
        <v>1510</v>
      </c>
    </row>
    <row r="557" spans="1:18" ht="16.5" customHeight="1" thickBot="1" x14ac:dyDescent="0.35">
      <c r="A557" s="22"/>
      <c r="B557" s="242"/>
      <c r="C557" s="242"/>
      <c r="D557" s="242"/>
      <c r="E557" s="243"/>
      <c r="F557" s="242"/>
      <c r="G557" s="242"/>
      <c r="H557" s="242"/>
      <c r="I557" s="243"/>
      <c r="J557" s="242"/>
      <c r="K557" s="242"/>
      <c r="L557" s="242"/>
      <c r="M557" s="243"/>
      <c r="N557" s="242"/>
      <c r="O557" s="242"/>
      <c r="P557" s="242"/>
      <c r="Q557" s="279"/>
      <c r="R557" s="32"/>
    </row>
    <row r="558" spans="1:18" ht="16.5" customHeight="1" thickBot="1" x14ac:dyDescent="0.35">
      <c r="A558" s="244" t="s">
        <v>853</v>
      </c>
      <c r="B558" s="238">
        <v>20</v>
      </c>
      <c r="C558" s="238">
        <v>22</v>
      </c>
      <c r="D558" s="238">
        <v>28</v>
      </c>
      <c r="E558" s="38">
        <f>SUM(B558:D558)</f>
        <v>70</v>
      </c>
      <c r="F558" s="238">
        <v>37</v>
      </c>
      <c r="G558" s="238">
        <v>42</v>
      </c>
      <c r="H558" s="238">
        <v>44</v>
      </c>
      <c r="I558" s="38">
        <f>SUM(F558:H558)</f>
        <v>123</v>
      </c>
      <c r="J558" s="238">
        <v>39</v>
      </c>
      <c r="K558" s="238">
        <v>36</v>
      </c>
      <c r="L558" s="238">
        <v>34</v>
      </c>
      <c r="M558" s="38">
        <f>SUM(J558:L558)</f>
        <v>109</v>
      </c>
      <c r="N558" s="238">
        <v>29</v>
      </c>
      <c r="O558" s="238">
        <v>23</v>
      </c>
      <c r="P558" s="238">
        <v>19</v>
      </c>
      <c r="Q558" s="38">
        <f>SUM(N558:P558)</f>
        <v>71</v>
      </c>
      <c r="R558" s="38">
        <f>+E558+I558+M558+Q558</f>
        <v>373</v>
      </c>
    </row>
    <row r="559" spans="1:18" ht="16.5" customHeight="1" thickBot="1" x14ac:dyDescent="0.35">
      <c r="A559" s="22"/>
      <c r="B559" s="242"/>
      <c r="C559" s="242"/>
      <c r="D559" s="242"/>
      <c r="E559" s="233"/>
      <c r="F559" s="242"/>
      <c r="G559" s="242"/>
      <c r="H559" s="242"/>
      <c r="I559" s="233"/>
      <c r="J559" s="242"/>
      <c r="K559" s="242"/>
      <c r="L559" s="242"/>
      <c r="M559" s="233"/>
      <c r="N559" s="242"/>
      <c r="O559" s="242"/>
      <c r="P559" s="242"/>
      <c r="Q559" s="233"/>
      <c r="R559" s="21"/>
    </row>
    <row r="560" spans="1:18" ht="15.75" customHeight="1" x14ac:dyDescent="0.3">
      <c r="A560" s="259" t="s">
        <v>120</v>
      </c>
      <c r="B560" s="260">
        <f>B558</f>
        <v>20</v>
      </c>
      <c r="C560" s="260">
        <f>C558</f>
        <v>22</v>
      </c>
      <c r="D560" s="260">
        <f>D558</f>
        <v>28</v>
      </c>
      <c r="E560" s="39">
        <f>SUM(B560:D560)</f>
        <v>70</v>
      </c>
      <c r="F560" s="260">
        <f>F558</f>
        <v>37</v>
      </c>
      <c r="G560" s="260">
        <f>G558</f>
        <v>42</v>
      </c>
      <c r="H560" s="260">
        <f>H558</f>
        <v>44</v>
      </c>
      <c r="I560" s="39">
        <f>SUM(F560:H560)</f>
        <v>123</v>
      </c>
      <c r="J560" s="260">
        <f>J558</f>
        <v>39</v>
      </c>
      <c r="K560" s="260">
        <f>K558</f>
        <v>36</v>
      </c>
      <c r="L560" s="260">
        <f>L558</f>
        <v>34</v>
      </c>
      <c r="M560" s="39">
        <f>SUM(J560:L560)</f>
        <v>109</v>
      </c>
      <c r="N560" s="260">
        <f>N558</f>
        <v>29</v>
      </c>
      <c r="O560" s="260">
        <f>O558</f>
        <v>23</v>
      </c>
      <c r="P560" s="260">
        <f>P558</f>
        <v>19</v>
      </c>
      <c r="Q560" s="39">
        <f>SUM(N560:P560)</f>
        <v>71</v>
      </c>
      <c r="R560" s="39">
        <f>+E560+I560+M560+Q560</f>
        <v>373</v>
      </c>
    </row>
    <row r="561" spans="1:18" ht="15.75" customHeight="1" x14ac:dyDescent="0.3">
      <c r="A561" s="262" t="s">
        <v>1897</v>
      </c>
      <c r="B561" s="172">
        <f>(B560/B10)/1.983</f>
        <v>0.32534608689993977</v>
      </c>
      <c r="C561" s="172">
        <f>(C560/C10)/1.983</f>
        <v>0.39622505583171236</v>
      </c>
      <c r="D561" s="172">
        <f>(D560/D10)/1.983</f>
        <v>0.45548452165991571</v>
      </c>
      <c r="E561" s="38" t="s">
        <v>852</v>
      </c>
      <c r="F561" s="172">
        <f>(F560/F10)/1.983</f>
        <v>0.62195326945705165</v>
      </c>
      <c r="G561" s="172">
        <f>(G560/G10)/1.983</f>
        <v>0.68322678248987356</v>
      </c>
      <c r="H561" s="172">
        <f>(H560/H10)/1.983</f>
        <v>0.73962010421919644</v>
      </c>
      <c r="I561" s="38" t="s">
        <v>852</v>
      </c>
      <c r="J561" s="172">
        <f>(J560/J10)/1.983</f>
        <v>0.63442486945488263</v>
      </c>
      <c r="K561" s="172">
        <f>(K560/K10)/1.983</f>
        <v>0.5856229564198917</v>
      </c>
      <c r="L561" s="172">
        <f>(L560/L10)/1.983</f>
        <v>0.57152462598756093</v>
      </c>
      <c r="M561" s="38" t="s">
        <v>852</v>
      </c>
      <c r="N561" s="172">
        <f>(N560/N10)/1.983</f>
        <v>0.47175182600491267</v>
      </c>
      <c r="O561" s="172">
        <f>(O560/O10)/1.983</f>
        <v>0.38661959993276179</v>
      </c>
      <c r="P561" s="172">
        <f>(P560/P10)/1.983</f>
        <v>0.30907878255494281</v>
      </c>
      <c r="Q561" s="38" t="s">
        <v>852</v>
      </c>
      <c r="R561" s="38" t="s">
        <v>852</v>
      </c>
    </row>
    <row r="562" spans="1:18" ht="15.75" customHeight="1" x14ac:dyDescent="0.3">
      <c r="A562" s="262" t="s">
        <v>2019</v>
      </c>
      <c r="B562" s="172">
        <f>B560+B598</f>
        <v>10335</v>
      </c>
      <c r="C562" s="172">
        <f>C560+C598</f>
        <v>11137</v>
      </c>
      <c r="D562" s="172">
        <f>D560+D598</f>
        <v>19903</v>
      </c>
      <c r="E562" s="38">
        <f>SUM(B562:D562)</f>
        <v>41375</v>
      </c>
      <c r="F562" s="172">
        <f>F560+F598</f>
        <v>22093</v>
      </c>
      <c r="G562" s="172">
        <f>G560+G598</f>
        <v>22811</v>
      </c>
      <c r="H562" s="172">
        <f>H560+H598</f>
        <v>18487</v>
      </c>
      <c r="I562" s="38">
        <f>SUM(F562:H562)</f>
        <v>63391</v>
      </c>
      <c r="J562" s="172">
        <f>J560+J598</f>
        <v>17597</v>
      </c>
      <c r="K562" s="172">
        <f>K560+K598</f>
        <v>19574</v>
      </c>
      <c r="L562" s="172">
        <f>L560+L598</f>
        <v>18578</v>
      </c>
      <c r="M562" s="38">
        <f>SUM(J562:L562)</f>
        <v>55749</v>
      </c>
      <c r="N562" s="172">
        <f>N560+N598</f>
        <v>13454</v>
      </c>
      <c r="O562" s="172">
        <f>O560+O598</f>
        <v>8845</v>
      </c>
      <c r="P562" s="172">
        <f>P560+P598</f>
        <v>16891</v>
      </c>
      <c r="Q562" s="38">
        <f>SUM(N562:P562)</f>
        <v>39190</v>
      </c>
      <c r="R562" s="38">
        <f>+E562+I562+M562+Q562</f>
        <v>199705</v>
      </c>
    </row>
    <row r="563" spans="1:18" ht="16.5" customHeight="1" thickBot="1" x14ac:dyDescent="0.35">
      <c r="A563" s="263" t="s">
        <v>1332</v>
      </c>
      <c r="B563" s="264">
        <f>(B562/B10)/1.983</f>
        <v>168.12259040554389</v>
      </c>
      <c r="C563" s="264">
        <f>(C562/C10)/1.983</f>
        <v>200.57992939989913</v>
      </c>
      <c r="D563" s="264">
        <f>(D562/D10)/1.983</f>
        <v>323.76815837847505</v>
      </c>
      <c r="E563" s="40" t="s">
        <v>852</v>
      </c>
      <c r="F563" s="264">
        <f>(F562/F10)/1.983</f>
        <v>371.3733400571524</v>
      </c>
      <c r="G563" s="264">
        <f>(G562/G10)/1.983</f>
        <v>371.07347941372637</v>
      </c>
      <c r="H563" s="264">
        <f>(H562/H10)/1.983</f>
        <v>310.75811060682469</v>
      </c>
      <c r="I563" s="40" t="s">
        <v>852</v>
      </c>
      <c r="J563" s="264">
        <f>(J562/J10)/1.983</f>
        <v>286.25575455891203</v>
      </c>
      <c r="K563" s="264">
        <f>(K562/K10)/1.983</f>
        <v>318.41621524897107</v>
      </c>
      <c r="L563" s="264">
        <f>(L562/L10)/1.983</f>
        <v>312.28777945873253</v>
      </c>
      <c r="M563" s="40" t="s">
        <v>852</v>
      </c>
      <c r="N563" s="264">
        <f>(N562/N10)/1.983</f>
        <v>218.8603126575895</v>
      </c>
      <c r="O563" s="264">
        <f>(O562/O10)/1.983</f>
        <v>148.68045049588164</v>
      </c>
      <c r="P563" s="264">
        <f>(P562/P10)/1.983</f>
        <v>274.77103769134413</v>
      </c>
      <c r="Q563" s="40" t="s">
        <v>852</v>
      </c>
      <c r="R563" s="40" t="s">
        <v>852</v>
      </c>
    </row>
    <row r="564" spans="1:18" ht="15.75" customHeight="1" x14ac:dyDescent="0.3">
      <c r="A564" s="18"/>
      <c r="B564" s="172"/>
      <c r="C564" s="172"/>
      <c r="D564" s="172"/>
      <c r="E564" s="172"/>
      <c r="F564" s="172"/>
      <c r="G564" s="172"/>
      <c r="H564" s="172"/>
      <c r="I564" s="172"/>
      <c r="J564" s="172"/>
      <c r="K564" s="172"/>
      <c r="L564" s="172"/>
      <c r="M564" s="172"/>
      <c r="N564" s="172"/>
      <c r="O564" s="172"/>
      <c r="P564" s="172"/>
      <c r="Q564" s="172"/>
      <c r="R564" s="17"/>
    </row>
    <row r="565" spans="1:18" ht="15.75" customHeight="1" thickBot="1" x14ac:dyDescent="0.35">
      <c r="A565" s="18"/>
      <c r="B565" s="172"/>
      <c r="C565" s="172"/>
      <c r="D565" s="172"/>
      <c r="E565" s="172"/>
      <c r="F565" s="172"/>
      <c r="G565" s="172"/>
      <c r="H565" s="172"/>
      <c r="I565" s="172"/>
      <c r="J565" s="172"/>
      <c r="K565" s="172"/>
      <c r="L565" s="172"/>
      <c r="M565" s="172"/>
      <c r="N565" s="172"/>
      <c r="O565" s="172"/>
      <c r="P565" s="172"/>
      <c r="Q565" s="172"/>
      <c r="R565" s="17"/>
    </row>
    <row r="566" spans="1:18" ht="16.5" customHeight="1" thickBot="1" x14ac:dyDescent="0.35">
      <c r="A566" s="240" t="s">
        <v>1333</v>
      </c>
      <c r="B566" s="4" t="s">
        <v>2090</v>
      </c>
      <c r="C566" s="5" t="s">
        <v>2091</v>
      </c>
      <c r="D566" s="5" t="s">
        <v>2234</v>
      </c>
      <c r="E566" s="33" t="s">
        <v>1594</v>
      </c>
      <c r="F566" s="5" t="s">
        <v>2235</v>
      </c>
      <c r="G566" s="5" t="s">
        <v>2236</v>
      </c>
      <c r="H566" s="5" t="s">
        <v>2237</v>
      </c>
      <c r="I566" s="35" t="s">
        <v>1595</v>
      </c>
      <c r="J566" s="5" t="s">
        <v>1504</v>
      </c>
      <c r="K566" s="5" t="s">
        <v>1505</v>
      </c>
      <c r="L566" s="5" t="s">
        <v>1506</v>
      </c>
      <c r="M566" s="35" t="s">
        <v>1596</v>
      </c>
      <c r="N566" s="5" t="s">
        <v>1507</v>
      </c>
      <c r="O566" s="5" t="s">
        <v>1508</v>
      </c>
      <c r="P566" s="5" t="s">
        <v>1509</v>
      </c>
      <c r="Q566" s="35" t="s">
        <v>1597</v>
      </c>
      <c r="R566" s="36" t="s">
        <v>1510</v>
      </c>
    </row>
    <row r="567" spans="1:18" ht="16.5" customHeight="1" thickBot="1" x14ac:dyDescent="0.35">
      <c r="A567" s="22"/>
      <c r="B567" s="242"/>
      <c r="C567" s="242"/>
      <c r="D567" s="242"/>
      <c r="E567" s="233"/>
      <c r="F567" s="242"/>
      <c r="G567" s="242"/>
      <c r="H567" s="242"/>
      <c r="I567" s="233"/>
      <c r="J567" s="242"/>
      <c r="K567" s="242"/>
      <c r="L567" s="242"/>
      <c r="M567" s="233"/>
      <c r="N567" s="242"/>
      <c r="O567" s="242"/>
      <c r="P567" s="242"/>
      <c r="Q567" s="233"/>
      <c r="R567" s="19"/>
    </row>
    <row r="568" spans="1:18" ht="15.75" customHeight="1" x14ac:dyDescent="0.3">
      <c r="A568" s="234" t="s">
        <v>2417</v>
      </c>
      <c r="B568" s="172" t="s">
        <v>852</v>
      </c>
      <c r="C568" s="172" t="s">
        <v>852</v>
      </c>
      <c r="D568" s="172" t="s">
        <v>852</v>
      </c>
      <c r="E568" s="38" t="s">
        <v>852</v>
      </c>
      <c r="F568" s="172" t="s">
        <v>852</v>
      </c>
      <c r="G568" s="172" t="s">
        <v>852</v>
      </c>
      <c r="H568" s="172" t="s">
        <v>852</v>
      </c>
      <c r="I568" s="38" t="s">
        <v>852</v>
      </c>
      <c r="J568" s="172" t="s">
        <v>852</v>
      </c>
      <c r="K568" s="172" t="s">
        <v>852</v>
      </c>
      <c r="L568" s="172" t="s">
        <v>852</v>
      </c>
      <c r="M568" s="38" t="s">
        <v>852</v>
      </c>
      <c r="N568" s="172" t="s">
        <v>852</v>
      </c>
      <c r="O568" s="172" t="s">
        <v>852</v>
      </c>
      <c r="P568" s="172" t="s">
        <v>852</v>
      </c>
      <c r="Q568" s="38" t="s">
        <v>852</v>
      </c>
      <c r="R568" s="38" t="s">
        <v>852</v>
      </c>
    </row>
    <row r="569" spans="1:18" ht="15.75" customHeight="1" x14ac:dyDescent="0.3">
      <c r="A569" s="234" t="s">
        <v>2160</v>
      </c>
      <c r="B569" s="172"/>
      <c r="C569" s="172"/>
      <c r="D569" s="172"/>
      <c r="E569" s="38" t="s">
        <v>852</v>
      </c>
      <c r="F569" s="172"/>
      <c r="G569" s="172"/>
      <c r="H569" s="172"/>
      <c r="I569" s="38" t="s">
        <v>852</v>
      </c>
      <c r="J569" s="172"/>
      <c r="K569" s="172"/>
      <c r="L569" s="172"/>
      <c r="M569" s="38" t="s">
        <v>852</v>
      </c>
      <c r="N569" s="172"/>
      <c r="O569" s="172"/>
      <c r="P569" s="172"/>
      <c r="Q569" s="38" t="s">
        <v>852</v>
      </c>
      <c r="R569" s="38" t="s">
        <v>852</v>
      </c>
    </row>
    <row r="570" spans="1:18" ht="15.75" customHeight="1" x14ac:dyDescent="0.3">
      <c r="A570" s="539" t="s">
        <v>2747</v>
      </c>
      <c r="B570" s="172"/>
      <c r="C570" s="172">
        <v>69</v>
      </c>
      <c r="D570" s="172">
        <v>557</v>
      </c>
      <c r="E570" s="38">
        <f>SUM(B570:D570)</f>
        <v>626</v>
      </c>
      <c r="F570" s="172">
        <v>1506</v>
      </c>
      <c r="G570" s="172">
        <v>1296</v>
      </c>
      <c r="H570" s="172">
        <v>1832</v>
      </c>
      <c r="I570" s="38">
        <f>SUM(F570:H570)</f>
        <v>4634</v>
      </c>
      <c r="J570" s="172">
        <v>1870</v>
      </c>
      <c r="K570" s="172">
        <v>1622</v>
      </c>
      <c r="L570" s="172">
        <v>692</v>
      </c>
      <c r="M570" s="38">
        <f>SUM(J570:L570)</f>
        <v>4184</v>
      </c>
      <c r="N570" s="172">
        <v>387</v>
      </c>
      <c r="O570" s="172">
        <v>96</v>
      </c>
      <c r="P570" s="172">
        <v>18</v>
      </c>
      <c r="Q570" s="38">
        <f>SUM(N570:P570)</f>
        <v>501</v>
      </c>
      <c r="R570" s="38">
        <f>+E570+I570+M570+Q570</f>
        <v>9945</v>
      </c>
    </row>
    <row r="571" spans="1:18" ht="15.75" customHeight="1" x14ac:dyDescent="0.3">
      <c r="A571" s="539" t="s">
        <v>2748</v>
      </c>
      <c r="B571" s="172"/>
      <c r="C571" s="172"/>
      <c r="D571" s="172"/>
      <c r="E571" s="38">
        <f>SUM(B571:D571)</f>
        <v>0</v>
      </c>
      <c r="F571" s="172">
        <v>26</v>
      </c>
      <c r="G571" s="172"/>
      <c r="H571" s="172">
        <v>131</v>
      </c>
      <c r="I571" s="38">
        <f>SUM(F571:H571)</f>
        <v>157</v>
      </c>
      <c r="J571" s="172">
        <v>533</v>
      </c>
      <c r="K571" s="172">
        <v>594</v>
      </c>
      <c r="L571" s="172">
        <v>783</v>
      </c>
      <c r="M571" s="38">
        <f>SUM(J571:L571)</f>
        <v>1910</v>
      </c>
      <c r="N571" s="172">
        <v>446</v>
      </c>
      <c r="O571" s="172">
        <v>206</v>
      </c>
      <c r="P571" s="172">
        <v>748</v>
      </c>
      <c r="Q571" s="38">
        <f>SUM(N571:P571)</f>
        <v>1400</v>
      </c>
      <c r="R571" s="38">
        <f>+E571+I571+M571+Q571</f>
        <v>3467</v>
      </c>
    </row>
    <row r="572" spans="1:18" ht="15.75" customHeight="1" x14ac:dyDescent="0.3">
      <c r="A572" s="266" t="s">
        <v>537</v>
      </c>
      <c r="B572" s="172"/>
      <c r="C572" s="172"/>
      <c r="D572" s="172"/>
      <c r="E572" s="38">
        <f>SUM(B572:D572)</f>
        <v>0</v>
      </c>
      <c r="F572" s="172">
        <v>75</v>
      </c>
      <c r="G572" s="172"/>
      <c r="H572" s="172"/>
      <c r="I572" s="38">
        <f>SUM(F572:H572)</f>
        <v>75</v>
      </c>
      <c r="J572" s="172">
        <v>181</v>
      </c>
      <c r="K572" s="172">
        <v>69</v>
      </c>
      <c r="L572" s="172"/>
      <c r="M572" s="38">
        <f>SUM(J572:L572)</f>
        <v>250</v>
      </c>
      <c r="N572" s="172"/>
      <c r="O572" s="172"/>
      <c r="P572" s="172"/>
      <c r="Q572" s="38">
        <f>SUM(N572:P572)</f>
        <v>0</v>
      </c>
      <c r="R572" s="38">
        <f>+E572+I572+M572+Q572</f>
        <v>325</v>
      </c>
    </row>
    <row r="573" spans="1:18" ht="15.75" customHeight="1" x14ac:dyDescent="0.3">
      <c r="A573" s="234" t="s">
        <v>2161</v>
      </c>
      <c r="B573" s="172"/>
      <c r="C573" s="172"/>
      <c r="D573" s="172"/>
      <c r="E573" s="38" t="s">
        <v>852</v>
      </c>
      <c r="F573" s="172"/>
      <c r="G573" s="172"/>
      <c r="H573" s="172"/>
      <c r="I573" s="38" t="s">
        <v>852</v>
      </c>
      <c r="J573" s="172"/>
      <c r="K573" s="172"/>
      <c r="L573" s="172"/>
      <c r="M573" s="38" t="s">
        <v>852</v>
      </c>
      <c r="N573" s="172"/>
      <c r="O573" s="172"/>
      <c r="P573" s="172"/>
      <c r="Q573" s="38" t="s">
        <v>852</v>
      </c>
      <c r="R573" s="38" t="s">
        <v>852</v>
      </c>
    </row>
    <row r="574" spans="1:18" ht="15.75" customHeight="1" x14ac:dyDescent="0.3">
      <c r="A574" s="234" t="s">
        <v>2162</v>
      </c>
      <c r="B574" s="172"/>
      <c r="C574" s="172"/>
      <c r="D574" s="172"/>
      <c r="E574" s="38" t="s">
        <v>852</v>
      </c>
      <c r="F574" s="172"/>
      <c r="G574" s="172"/>
      <c r="H574" s="172"/>
      <c r="I574" s="38" t="s">
        <v>852</v>
      </c>
      <c r="J574" s="172"/>
      <c r="K574" s="172"/>
      <c r="L574" s="172"/>
      <c r="M574" s="38" t="s">
        <v>852</v>
      </c>
      <c r="N574" s="172"/>
      <c r="O574" s="172"/>
      <c r="P574" s="172"/>
      <c r="Q574" s="38" t="s">
        <v>852</v>
      </c>
      <c r="R574" s="38" t="s">
        <v>852</v>
      </c>
    </row>
    <row r="575" spans="1:18" ht="15.75" customHeight="1" thickBot="1" x14ac:dyDescent="0.35">
      <c r="A575" s="234" t="s">
        <v>2164</v>
      </c>
      <c r="B575" s="172"/>
      <c r="C575" s="172"/>
      <c r="D575" s="172"/>
      <c r="E575" s="38" t="s">
        <v>852</v>
      </c>
      <c r="F575" s="172"/>
      <c r="G575" s="172"/>
      <c r="H575" s="172"/>
      <c r="I575" s="38" t="s">
        <v>852</v>
      </c>
      <c r="J575" s="172"/>
      <c r="K575" s="172"/>
      <c r="L575" s="172"/>
      <c r="M575" s="38" t="s">
        <v>852</v>
      </c>
      <c r="N575" s="172"/>
      <c r="O575" s="172"/>
      <c r="P575" s="172"/>
      <c r="Q575" s="38" t="s">
        <v>852</v>
      </c>
      <c r="R575" s="38" t="s">
        <v>852</v>
      </c>
    </row>
    <row r="576" spans="1:18" ht="16.5" customHeight="1" thickBot="1" x14ac:dyDescent="0.35">
      <c r="A576" s="276" t="s">
        <v>1218</v>
      </c>
      <c r="B576" s="45">
        <f>SUM(B568:B575)</f>
        <v>0</v>
      </c>
      <c r="C576" s="46">
        <f>SUM(C568:C575)</f>
        <v>69</v>
      </c>
      <c r="D576" s="46">
        <f>SUM(D568:D575)</f>
        <v>557</v>
      </c>
      <c r="E576" s="37">
        <f>SUM(B576:D576)</f>
        <v>626</v>
      </c>
      <c r="F576" s="46">
        <f>SUM(F568:F575)</f>
        <v>1607</v>
      </c>
      <c r="G576" s="46">
        <f>SUM(G568:G575)</f>
        <v>1296</v>
      </c>
      <c r="H576" s="46">
        <f>SUM(H568:H575)</f>
        <v>1963</v>
      </c>
      <c r="I576" s="37">
        <f>SUM(F576:H576)</f>
        <v>4866</v>
      </c>
      <c r="J576" s="46">
        <f>SUM(J568:J575)</f>
        <v>2584</v>
      </c>
      <c r="K576" s="46">
        <f>SUM(K568:K575)</f>
        <v>2285</v>
      </c>
      <c r="L576" s="46">
        <f>SUM(L568:L575)</f>
        <v>1475</v>
      </c>
      <c r="M576" s="37">
        <f>SUM(J576:L576)</f>
        <v>6344</v>
      </c>
      <c r="N576" s="46">
        <f>SUM(N568:N575)</f>
        <v>833</v>
      </c>
      <c r="O576" s="46">
        <f>SUM(O568:O575)</f>
        <v>302</v>
      </c>
      <c r="P576" s="46">
        <f>SUM(P568:P575)</f>
        <v>766</v>
      </c>
      <c r="Q576" s="37">
        <f>SUM(N576:P576)</f>
        <v>1901</v>
      </c>
      <c r="R576" s="37">
        <f>+E576+I576+M576+Q576</f>
        <v>13737</v>
      </c>
    </row>
    <row r="577" spans="1:18" ht="15.75" customHeight="1" x14ac:dyDescent="0.3">
      <c r="A577" s="234" t="s">
        <v>1172</v>
      </c>
      <c r="B577" s="172"/>
      <c r="C577" s="172"/>
      <c r="D577" s="172"/>
      <c r="E577" s="38" t="s">
        <v>852</v>
      </c>
      <c r="F577" s="172"/>
      <c r="G577" s="172"/>
      <c r="H577" s="172"/>
      <c r="I577" s="38" t="s">
        <v>852</v>
      </c>
      <c r="J577" s="172"/>
      <c r="K577" s="172"/>
      <c r="L577" s="172"/>
      <c r="M577" s="38" t="s">
        <v>852</v>
      </c>
      <c r="N577" s="172"/>
      <c r="O577" s="172"/>
      <c r="P577" s="172"/>
      <c r="Q577" s="38" t="s">
        <v>852</v>
      </c>
      <c r="R577" s="38" t="s">
        <v>852</v>
      </c>
    </row>
    <row r="578" spans="1:18" ht="15.75" customHeight="1" x14ac:dyDescent="0.3">
      <c r="A578" s="234" t="s">
        <v>2409</v>
      </c>
      <c r="B578" s="172"/>
      <c r="C578" s="172"/>
      <c r="D578" s="172"/>
      <c r="E578" s="38" t="s">
        <v>852</v>
      </c>
      <c r="F578" s="172"/>
      <c r="G578" s="172"/>
      <c r="H578" s="172"/>
      <c r="I578" s="38" t="s">
        <v>852</v>
      </c>
      <c r="J578" s="172"/>
      <c r="K578" s="172"/>
      <c r="L578" s="172"/>
      <c r="M578" s="38" t="s">
        <v>852</v>
      </c>
      <c r="N578" s="172"/>
      <c r="O578" s="172"/>
      <c r="P578" s="172"/>
      <c r="Q578" s="38" t="s">
        <v>852</v>
      </c>
      <c r="R578" s="38" t="s">
        <v>852</v>
      </c>
    </row>
    <row r="579" spans="1:18" ht="15.75" customHeight="1" thickBot="1" x14ac:dyDescent="0.35">
      <c r="A579" s="234" t="s">
        <v>2165</v>
      </c>
      <c r="B579" s="172"/>
      <c r="C579" s="172"/>
      <c r="D579" s="172"/>
      <c r="E579" s="38" t="s">
        <v>852</v>
      </c>
      <c r="F579" s="172"/>
      <c r="G579" s="172"/>
      <c r="H579" s="172"/>
      <c r="I579" s="38" t="s">
        <v>852</v>
      </c>
      <c r="J579" s="172"/>
      <c r="K579" s="172"/>
      <c r="L579" s="172"/>
      <c r="M579" s="38" t="s">
        <v>852</v>
      </c>
      <c r="N579" s="172"/>
      <c r="O579" s="172"/>
      <c r="P579" s="172"/>
      <c r="Q579" s="38" t="s">
        <v>852</v>
      </c>
      <c r="R579" s="38" t="s">
        <v>852</v>
      </c>
    </row>
    <row r="580" spans="1:18" ht="16.5" customHeight="1" thickBot="1" x14ac:dyDescent="0.35">
      <c r="A580" s="43" t="s">
        <v>1219</v>
      </c>
      <c r="B580" s="45">
        <f>SUM(B577:B579)</f>
        <v>0</v>
      </c>
      <c r="C580" s="46">
        <f>SUM(C577:C579)</f>
        <v>0</v>
      </c>
      <c r="D580" s="46">
        <f>SUM(D577:D579)</f>
        <v>0</v>
      </c>
      <c r="E580" s="37">
        <f>SUM(B580:D580)</f>
        <v>0</v>
      </c>
      <c r="F580" s="46">
        <f>SUM(F577:F579)</f>
        <v>0</v>
      </c>
      <c r="G580" s="46">
        <f>SUM(G577:G579)</f>
        <v>0</v>
      </c>
      <c r="H580" s="46">
        <f>SUM(H577:H579)</f>
        <v>0</v>
      </c>
      <c r="I580" s="37">
        <f>SUM(F580:H580)</f>
        <v>0</v>
      </c>
      <c r="J580" s="46">
        <f>SUM(J577:J579)</f>
        <v>0</v>
      </c>
      <c r="K580" s="46">
        <f>SUM(K577:K579)</f>
        <v>0</v>
      </c>
      <c r="L580" s="46">
        <f>SUM(L577:L579)</f>
        <v>0</v>
      </c>
      <c r="M580" s="37">
        <f>SUM(J580:L580)</f>
        <v>0</v>
      </c>
      <c r="N580" s="46">
        <f>SUM(N577:N579)</f>
        <v>0</v>
      </c>
      <c r="O580" s="46">
        <f>SUM(O577:O579)</f>
        <v>0</v>
      </c>
      <c r="P580" s="46">
        <f>SUM(P577:P579)</f>
        <v>0</v>
      </c>
      <c r="Q580" s="37">
        <f>SUM(N580:P580)</f>
        <v>0</v>
      </c>
      <c r="R580" s="37">
        <f>+E580+I580+M580+Q580</f>
        <v>0</v>
      </c>
    </row>
    <row r="581" spans="1:18" ht="15.75" customHeight="1" x14ac:dyDescent="0.3">
      <c r="A581" s="234" t="s">
        <v>2166</v>
      </c>
      <c r="B581" s="172"/>
      <c r="C581" s="172"/>
      <c r="D581" s="172"/>
      <c r="E581" s="38" t="s">
        <v>852</v>
      </c>
      <c r="F581" s="172"/>
      <c r="G581" s="172"/>
      <c r="H581" s="172"/>
      <c r="I581" s="38" t="s">
        <v>852</v>
      </c>
      <c r="J581" s="172"/>
      <c r="K581" s="172"/>
      <c r="L581" s="172"/>
      <c r="M581" s="38" t="s">
        <v>852</v>
      </c>
      <c r="N581" s="172"/>
      <c r="O581" s="172"/>
      <c r="P581" s="172"/>
      <c r="Q581" s="38" t="s">
        <v>852</v>
      </c>
      <c r="R581" s="38" t="s">
        <v>852</v>
      </c>
    </row>
    <row r="582" spans="1:18" ht="15.75" customHeight="1" x14ac:dyDescent="0.3">
      <c r="A582" s="234" t="s">
        <v>1245</v>
      </c>
      <c r="B582" s="172"/>
      <c r="C582" s="172"/>
      <c r="D582" s="172"/>
      <c r="E582" s="38" t="s">
        <v>852</v>
      </c>
      <c r="F582" s="172"/>
      <c r="G582" s="172"/>
      <c r="H582" s="172"/>
      <c r="I582" s="38" t="s">
        <v>852</v>
      </c>
      <c r="J582" s="172"/>
      <c r="K582" s="172"/>
      <c r="L582" s="172"/>
      <c r="M582" s="38" t="s">
        <v>852</v>
      </c>
      <c r="N582" s="172"/>
      <c r="O582" s="172"/>
      <c r="P582" s="172"/>
      <c r="Q582" s="38" t="s">
        <v>852</v>
      </c>
      <c r="R582" s="38" t="s">
        <v>852</v>
      </c>
    </row>
    <row r="583" spans="1:18" ht="15.75" customHeight="1" thickBot="1" x14ac:dyDescent="0.35">
      <c r="A583" s="234" t="s">
        <v>1711</v>
      </c>
      <c r="B583" s="172"/>
      <c r="C583" s="172"/>
      <c r="D583" s="172"/>
      <c r="E583" s="38" t="s">
        <v>852</v>
      </c>
      <c r="F583" s="172"/>
      <c r="G583" s="172"/>
      <c r="H583" s="172"/>
      <c r="I583" s="38" t="s">
        <v>852</v>
      </c>
      <c r="J583" s="172"/>
      <c r="K583" s="172"/>
      <c r="L583" s="172"/>
      <c r="M583" s="38" t="s">
        <v>852</v>
      </c>
      <c r="N583" s="172"/>
      <c r="O583" s="172"/>
      <c r="P583" s="172"/>
      <c r="Q583" s="38" t="s">
        <v>852</v>
      </c>
      <c r="R583" s="38" t="s">
        <v>852</v>
      </c>
    </row>
    <row r="584" spans="1:18" ht="16.5" customHeight="1" thickBot="1" x14ac:dyDescent="0.35">
      <c r="A584" s="277" t="s">
        <v>1220</v>
      </c>
      <c r="B584" s="45">
        <f>SUM(B581:B583)</f>
        <v>0</v>
      </c>
      <c r="C584" s="46">
        <f>SUM(C581:C583)</f>
        <v>0</v>
      </c>
      <c r="D584" s="46">
        <f>SUM(D581:D583)</f>
        <v>0</v>
      </c>
      <c r="E584" s="37">
        <f>SUM(B584:D584)</f>
        <v>0</v>
      </c>
      <c r="F584" s="46">
        <f>SUM(F581:F583)</f>
        <v>0</v>
      </c>
      <c r="G584" s="46">
        <f>SUM(G581:G583)</f>
        <v>0</v>
      </c>
      <c r="H584" s="46">
        <f>SUM(H581:H583)</f>
        <v>0</v>
      </c>
      <c r="I584" s="37">
        <f>SUM(F584:H584)</f>
        <v>0</v>
      </c>
      <c r="J584" s="46">
        <f>SUM(J581:J583)</f>
        <v>0</v>
      </c>
      <c r="K584" s="46">
        <f>SUM(K581:K583)</f>
        <v>0</v>
      </c>
      <c r="L584" s="46">
        <f>SUM(L581:L583)</f>
        <v>0</v>
      </c>
      <c r="M584" s="37">
        <f>SUM(J584:L584)</f>
        <v>0</v>
      </c>
      <c r="N584" s="46">
        <f>SUM(N581:N583)</f>
        <v>0</v>
      </c>
      <c r="O584" s="46">
        <f>SUM(O581:O583)</f>
        <v>0</v>
      </c>
      <c r="P584" s="46">
        <f>SUM(P581:P583)</f>
        <v>0</v>
      </c>
      <c r="Q584" s="37">
        <f>SUM(N584:P584)</f>
        <v>0</v>
      </c>
      <c r="R584" s="37">
        <f>+E584+I584+M584+Q584</f>
        <v>0</v>
      </c>
    </row>
    <row r="585" spans="1:18" ht="15.75" customHeight="1" x14ac:dyDescent="0.3">
      <c r="A585" s="234" t="s">
        <v>1712</v>
      </c>
      <c r="B585" s="172"/>
      <c r="C585" s="172"/>
      <c r="D585" s="172"/>
      <c r="E585" s="38" t="s">
        <v>852</v>
      </c>
      <c r="F585" s="172"/>
      <c r="G585" s="172"/>
      <c r="H585" s="172"/>
      <c r="I585" s="38" t="s">
        <v>852</v>
      </c>
      <c r="J585" s="172"/>
      <c r="K585" s="172"/>
      <c r="L585" s="172"/>
      <c r="M585" s="38" t="s">
        <v>852</v>
      </c>
      <c r="N585" s="172"/>
      <c r="O585" s="172"/>
      <c r="P585" s="172"/>
      <c r="Q585" s="38" t="s">
        <v>852</v>
      </c>
      <c r="R585" s="38" t="s">
        <v>852</v>
      </c>
    </row>
    <row r="586" spans="1:18" ht="15.75" customHeight="1" x14ac:dyDescent="0.3">
      <c r="A586" s="234" t="s">
        <v>1021</v>
      </c>
      <c r="B586" s="172"/>
      <c r="C586" s="172"/>
      <c r="D586" s="172"/>
      <c r="E586" s="38" t="s">
        <v>852</v>
      </c>
      <c r="F586" s="172"/>
      <c r="G586" s="172"/>
      <c r="H586" s="172"/>
      <c r="I586" s="38" t="s">
        <v>852</v>
      </c>
      <c r="J586" s="172"/>
      <c r="K586" s="172"/>
      <c r="L586" s="172"/>
      <c r="M586" s="38" t="s">
        <v>852</v>
      </c>
      <c r="N586" s="172"/>
      <c r="O586" s="172"/>
      <c r="P586" s="172"/>
      <c r="Q586" s="38" t="s">
        <v>852</v>
      </c>
      <c r="R586" s="38" t="s">
        <v>852</v>
      </c>
    </row>
    <row r="587" spans="1:18" ht="15.75" customHeight="1" x14ac:dyDescent="0.3">
      <c r="A587" s="234" t="s">
        <v>557</v>
      </c>
      <c r="B587" s="172"/>
      <c r="C587" s="172"/>
      <c r="D587" s="172"/>
      <c r="E587" s="38" t="s">
        <v>852</v>
      </c>
      <c r="F587" s="172"/>
      <c r="G587" s="172"/>
      <c r="H587" s="172"/>
      <c r="I587" s="38" t="s">
        <v>852</v>
      </c>
      <c r="J587" s="172"/>
      <c r="K587" s="172"/>
      <c r="L587" s="172"/>
      <c r="M587" s="38" t="s">
        <v>852</v>
      </c>
      <c r="N587" s="172"/>
      <c r="O587" s="172"/>
      <c r="P587" s="172"/>
      <c r="Q587" s="38" t="s">
        <v>852</v>
      </c>
      <c r="R587" s="38" t="s">
        <v>852</v>
      </c>
    </row>
    <row r="588" spans="1:18" ht="15.75" customHeight="1" x14ac:dyDescent="0.3">
      <c r="A588" s="539" t="s">
        <v>2584</v>
      </c>
      <c r="B588" s="172"/>
      <c r="C588" s="172"/>
      <c r="D588" s="172"/>
      <c r="E588" s="38">
        <f>SUM(B588:D588)</f>
        <v>0</v>
      </c>
      <c r="F588" s="172"/>
      <c r="G588" s="172"/>
      <c r="H588" s="172"/>
      <c r="I588" s="38">
        <f>SUM(F588:H588)</f>
        <v>0</v>
      </c>
      <c r="J588" s="172"/>
      <c r="K588" s="172"/>
      <c r="L588" s="172"/>
      <c r="M588" s="38">
        <f>SUM(J588:L588)</f>
        <v>0</v>
      </c>
      <c r="N588" s="172"/>
      <c r="O588" s="172"/>
      <c r="P588" s="172"/>
      <c r="Q588" s="38">
        <f>SUM(N588:P588)</f>
        <v>0</v>
      </c>
      <c r="R588" s="38">
        <f>+E588+I588+M588+Q588</f>
        <v>0</v>
      </c>
    </row>
    <row r="589" spans="1:18" ht="15.75" customHeight="1" x14ac:dyDescent="0.3">
      <c r="A589" s="234" t="s">
        <v>1022</v>
      </c>
      <c r="B589" s="172"/>
      <c r="C589" s="172"/>
      <c r="D589" s="172"/>
      <c r="E589" s="38" t="s">
        <v>852</v>
      </c>
      <c r="F589" s="172"/>
      <c r="G589" s="172"/>
      <c r="H589" s="172"/>
      <c r="I589" s="38" t="s">
        <v>852</v>
      </c>
      <c r="J589" s="172"/>
      <c r="K589" s="172"/>
      <c r="L589" s="172"/>
      <c r="M589" s="38" t="s">
        <v>852</v>
      </c>
      <c r="N589" s="172"/>
      <c r="O589" s="172"/>
      <c r="P589" s="172"/>
      <c r="Q589" s="38" t="s">
        <v>852</v>
      </c>
      <c r="R589" s="38" t="s">
        <v>852</v>
      </c>
    </row>
    <row r="590" spans="1:18" ht="15.75" customHeight="1" thickBot="1" x14ac:dyDescent="0.35">
      <c r="A590" s="234" t="s">
        <v>559</v>
      </c>
      <c r="B590" s="172"/>
      <c r="C590" s="172"/>
      <c r="D590" s="172"/>
      <c r="E590" s="38" t="s">
        <v>852</v>
      </c>
      <c r="F590" s="172"/>
      <c r="G590" s="172"/>
      <c r="H590" s="172"/>
      <c r="I590" s="38" t="s">
        <v>852</v>
      </c>
      <c r="J590" s="172"/>
      <c r="K590" s="172"/>
      <c r="L590" s="172"/>
      <c r="M590" s="38" t="s">
        <v>852</v>
      </c>
      <c r="N590" s="172"/>
      <c r="O590" s="172"/>
      <c r="P590" s="172"/>
      <c r="Q590" s="38" t="s">
        <v>852</v>
      </c>
      <c r="R590" s="38" t="s">
        <v>852</v>
      </c>
    </row>
    <row r="591" spans="1:18" ht="16.5" customHeight="1" thickBot="1" x14ac:dyDescent="0.35">
      <c r="A591" s="43" t="s">
        <v>1019</v>
      </c>
      <c r="B591" s="42">
        <f>SUM(B589:B590)</f>
        <v>0</v>
      </c>
      <c r="C591" s="42">
        <f>SUM(C589:C590)</f>
        <v>0</v>
      </c>
      <c r="D591" s="42">
        <f>SUM(D589:D590)</f>
        <v>0</v>
      </c>
      <c r="E591" s="39">
        <f>SUM(B591:D591)</f>
        <v>0</v>
      </c>
      <c r="F591" s="42">
        <f>SUM(F589:F590)</f>
        <v>0</v>
      </c>
      <c r="G591" s="42">
        <f>SUM(G589:G590)</f>
        <v>0</v>
      </c>
      <c r="H591" s="42">
        <f>SUM(H589:H590)</f>
        <v>0</v>
      </c>
      <c r="I591" s="39">
        <f>SUM(F591:H591)</f>
        <v>0</v>
      </c>
      <c r="J591" s="42">
        <f>SUM(J589:J590)</f>
        <v>0</v>
      </c>
      <c r="K591" s="42">
        <f>SUM(K589:K590)</f>
        <v>0</v>
      </c>
      <c r="L591" s="42">
        <f>SUM(L589:L590)</f>
        <v>0</v>
      </c>
      <c r="M591" s="39">
        <f>SUM(J591:L591)</f>
        <v>0</v>
      </c>
      <c r="N591" s="42">
        <f>SUM(N589:N590)</f>
        <v>0</v>
      </c>
      <c r="O591" s="42">
        <f>SUM(O589:O590)</f>
        <v>0</v>
      </c>
      <c r="P591" s="42">
        <f>SUM(P589:P590)</f>
        <v>0</v>
      </c>
      <c r="Q591" s="39">
        <f>SUM(N591:P591)</f>
        <v>0</v>
      </c>
      <c r="R591" s="37">
        <f>+E591+I591+M591+Q591</f>
        <v>0</v>
      </c>
    </row>
    <row r="592" spans="1:18" ht="16.5" customHeight="1" thickBot="1" x14ac:dyDescent="0.35">
      <c r="A592" s="277" t="s">
        <v>1221</v>
      </c>
      <c r="B592" s="45">
        <f>SUM(B585:B590)</f>
        <v>0</v>
      </c>
      <c r="C592" s="46">
        <f>SUM(C585:C590)</f>
        <v>0</v>
      </c>
      <c r="D592" s="58">
        <f>SUM(D585:D590)</f>
        <v>0</v>
      </c>
      <c r="E592" s="39">
        <f>SUM(B592:D592)</f>
        <v>0</v>
      </c>
      <c r="F592" s="46">
        <f>SUM(F585:F590)</f>
        <v>0</v>
      </c>
      <c r="G592" s="46">
        <f>SUM(G585:G590)</f>
        <v>0</v>
      </c>
      <c r="H592" s="46">
        <f>SUM(H585:H590)</f>
        <v>0</v>
      </c>
      <c r="I592" s="39">
        <f>SUM(F592:H592)</f>
        <v>0</v>
      </c>
      <c r="J592" s="46">
        <f>SUM(J585:J590)</f>
        <v>0</v>
      </c>
      <c r="K592" s="46">
        <f>SUM(K585:K590)</f>
        <v>0</v>
      </c>
      <c r="L592" s="46">
        <f>SUM(L585:L590)</f>
        <v>0</v>
      </c>
      <c r="M592" s="39">
        <f>SUM(J592:L592)</f>
        <v>0</v>
      </c>
      <c r="N592" s="46">
        <f>SUM(N585:N590)</f>
        <v>0</v>
      </c>
      <c r="O592" s="46">
        <f>SUM(O585:O590)</f>
        <v>0</v>
      </c>
      <c r="P592" s="46">
        <f>SUM(P585:P590)</f>
        <v>0</v>
      </c>
      <c r="Q592" s="39">
        <f>SUM(N592:P592)</f>
        <v>0</v>
      </c>
      <c r="R592" s="37">
        <f>+E592+I592+M592+Q592</f>
        <v>0</v>
      </c>
    </row>
    <row r="593" spans="1:18" ht="16.5" customHeight="1" thickBot="1" x14ac:dyDescent="0.35">
      <c r="A593" s="43" t="s">
        <v>1222</v>
      </c>
      <c r="B593" s="47">
        <f>+B576+B580+B584+B592</f>
        <v>0</v>
      </c>
      <c r="C593" s="42">
        <f>+C576+C580+C584+C592</f>
        <v>69</v>
      </c>
      <c r="D593" s="42">
        <f>+D576+D580+D584+D592</f>
        <v>557</v>
      </c>
      <c r="E593" s="37">
        <f>SUM(B593:D593)</f>
        <v>626</v>
      </c>
      <c r="F593" s="42">
        <f>+F576+F580+F584+F592</f>
        <v>1607</v>
      </c>
      <c r="G593" s="42">
        <f>+G576+G580+G584+G592</f>
        <v>1296</v>
      </c>
      <c r="H593" s="42">
        <f>+H576+H580+H584+H592</f>
        <v>1963</v>
      </c>
      <c r="I593" s="37">
        <f>SUM(F593:H593)</f>
        <v>4866</v>
      </c>
      <c r="J593" s="42">
        <f>+J576+J580+J584+J592</f>
        <v>2584</v>
      </c>
      <c r="K593" s="42">
        <f>+K576+K580+K584+K592</f>
        <v>2285</v>
      </c>
      <c r="L593" s="42">
        <f>+L576+L580+L584+L592</f>
        <v>1475</v>
      </c>
      <c r="M593" s="37">
        <f>SUM(J593:L593)</f>
        <v>6344</v>
      </c>
      <c r="N593" s="42">
        <f>+N576+N580+N584+N592</f>
        <v>833</v>
      </c>
      <c r="O593" s="42">
        <f>+O576+O580+O584+O592</f>
        <v>302</v>
      </c>
      <c r="P593" s="42">
        <f>+P576+P580+P584+P592</f>
        <v>766</v>
      </c>
      <c r="Q593" s="37">
        <f>SUM(N593:P593)</f>
        <v>1901</v>
      </c>
      <c r="R593" s="40">
        <f>+E593+I593+M593+Q593</f>
        <v>13737</v>
      </c>
    </row>
    <row r="594" spans="1:18" ht="16.5" customHeight="1" thickBot="1" x14ac:dyDescent="0.35">
      <c r="A594" s="244" t="s">
        <v>853</v>
      </c>
      <c r="B594" s="238">
        <v>10</v>
      </c>
      <c r="C594" s="238">
        <v>11</v>
      </c>
      <c r="D594" s="238">
        <v>14</v>
      </c>
      <c r="E594" s="38">
        <f>SUM(B594:D594)</f>
        <v>35</v>
      </c>
      <c r="F594" s="238">
        <v>18</v>
      </c>
      <c r="G594" s="238">
        <v>21</v>
      </c>
      <c r="H594" s="238">
        <v>22</v>
      </c>
      <c r="I594" s="38">
        <f>SUM(F594:H594)</f>
        <v>61</v>
      </c>
      <c r="J594" s="238">
        <v>19</v>
      </c>
      <c r="K594" s="238">
        <v>17</v>
      </c>
      <c r="L594" s="238">
        <v>17</v>
      </c>
      <c r="M594" s="38">
        <f>SUM(J594:L594)</f>
        <v>53</v>
      </c>
      <c r="N594" s="238">
        <v>14</v>
      </c>
      <c r="O594" s="238">
        <v>11</v>
      </c>
      <c r="P594" s="238">
        <v>9</v>
      </c>
      <c r="Q594" s="38">
        <f>SUM(N594:P594)</f>
        <v>34</v>
      </c>
      <c r="R594" s="38">
        <f>+E594+I594+M594+Q594</f>
        <v>183</v>
      </c>
    </row>
    <row r="595" spans="1:18" ht="16.5" customHeight="1" thickBot="1" x14ac:dyDescent="0.35">
      <c r="A595" s="22"/>
      <c r="B595" s="242"/>
      <c r="C595" s="242"/>
      <c r="D595" s="242"/>
      <c r="E595" s="233"/>
      <c r="F595" s="242"/>
      <c r="G595" s="242"/>
      <c r="H595" s="242"/>
      <c r="I595" s="233"/>
      <c r="J595" s="242"/>
      <c r="K595" s="242"/>
      <c r="L595" s="242"/>
      <c r="M595" s="280"/>
      <c r="N595" s="242"/>
      <c r="O595" s="242"/>
      <c r="P595" s="242"/>
      <c r="Q595" s="280"/>
      <c r="R595" s="14"/>
    </row>
    <row r="596" spans="1:18" ht="15.75" customHeight="1" x14ac:dyDescent="0.3">
      <c r="A596" s="234" t="s">
        <v>120</v>
      </c>
      <c r="B596" s="172">
        <f>SUM(B593:B594)</f>
        <v>10</v>
      </c>
      <c r="C596" s="172">
        <f>SUM(C593:C594)</f>
        <v>80</v>
      </c>
      <c r="D596" s="172">
        <f>SUM(D593:D594)</f>
        <v>571</v>
      </c>
      <c r="E596" s="38">
        <f>SUM(B596:D596)</f>
        <v>661</v>
      </c>
      <c r="F596" s="172">
        <f>SUM(F593:F594)</f>
        <v>1625</v>
      </c>
      <c r="G596" s="172">
        <f>SUM(G593:G594)</f>
        <v>1317</v>
      </c>
      <c r="H596" s="172">
        <f>SUM(H593:H594)</f>
        <v>1985</v>
      </c>
      <c r="I596" s="39">
        <f>SUM(F596:H596)</f>
        <v>4927</v>
      </c>
      <c r="J596" s="172">
        <f>SUM(J593:J594)</f>
        <v>2603</v>
      </c>
      <c r="K596" s="172">
        <f>SUM(K593:K594)</f>
        <v>2302</v>
      </c>
      <c r="L596" s="172">
        <f>SUM(L593:L594)</f>
        <v>1492</v>
      </c>
      <c r="M596" s="39">
        <f>SUM(J596:L596)</f>
        <v>6397</v>
      </c>
      <c r="N596" s="172">
        <f>SUM(N593:N594)</f>
        <v>847</v>
      </c>
      <c r="O596" s="172">
        <f>SUM(O593:O594)</f>
        <v>313</v>
      </c>
      <c r="P596" s="172">
        <f>SUM(P593:P594)</f>
        <v>775</v>
      </c>
      <c r="Q596" s="39">
        <f>SUM(N596:P596)</f>
        <v>1935</v>
      </c>
      <c r="R596" s="39">
        <f>+E596+I596+M596+Q596</f>
        <v>13920</v>
      </c>
    </row>
    <row r="597" spans="1:18" ht="15.75" customHeight="1" x14ac:dyDescent="0.3">
      <c r="A597" s="234" t="s">
        <v>1897</v>
      </c>
      <c r="B597" s="172">
        <f>(B596/B10)/1.983</f>
        <v>0.16267304344996988</v>
      </c>
      <c r="C597" s="172">
        <f>(C596/C10)/1.983</f>
        <v>1.4408183848425906</v>
      </c>
      <c r="D597" s="172">
        <f>(D596/D10)/1.983</f>
        <v>9.2886307809932802</v>
      </c>
      <c r="E597" s="38" t="s">
        <v>852</v>
      </c>
      <c r="F597" s="172">
        <f>(F596/F10)/1.983</f>
        <v>27.315515212640779</v>
      </c>
      <c r="G597" s="172">
        <f>(G596/G10)/1.983</f>
        <v>21.424039822361035</v>
      </c>
      <c r="H597" s="172">
        <f>(H596/H10)/1.983</f>
        <v>33.366952428979658</v>
      </c>
      <c r="I597" s="38" t="s">
        <v>852</v>
      </c>
      <c r="J597" s="172">
        <f>(J596/J10)/1.983</f>
        <v>42.343793210027165</v>
      </c>
      <c r="K597" s="172">
        <f>(K596/K10)/1.983</f>
        <v>37.447334602183076</v>
      </c>
      <c r="L597" s="172">
        <f>(L596/L10)/1.983</f>
        <v>25.079845352160024</v>
      </c>
      <c r="M597" s="38" t="s">
        <v>852</v>
      </c>
      <c r="N597" s="172">
        <f>(N596/N10)/1.983</f>
        <v>13.778406780212451</v>
      </c>
      <c r="O597" s="172">
        <f>(O596/O10)/1.983</f>
        <v>5.2613884686501935</v>
      </c>
      <c r="P597" s="172">
        <f>(P596/P10)/1.983</f>
        <v>12.607160867372667</v>
      </c>
      <c r="Q597" s="38" t="s">
        <v>852</v>
      </c>
      <c r="R597" s="38" t="s">
        <v>852</v>
      </c>
    </row>
    <row r="598" spans="1:18" ht="15.75" customHeight="1" x14ac:dyDescent="0.3">
      <c r="A598" s="234" t="s">
        <v>1334</v>
      </c>
      <c r="B598" s="172">
        <f>B596+B642</f>
        <v>10315</v>
      </c>
      <c r="C598" s="172">
        <f>C596+C642</f>
        <v>11115</v>
      </c>
      <c r="D598" s="172">
        <f>D596+D642</f>
        <v>19875</v>
      </c>
      <c r="E598" s="38">
        <f>SUM(B598:D598)</f>
        <v>41305</v>
      </c>
      <c r="F598" s="172">
        <f>F596+F642</f>
        <v>22056</v>
      </c>
      <c r="G598" s="172">
        <f>G596+G642</f>
        <v>22769</v>
      </c>
      <c r="H598" s="172">
        <f>H596+H642</f>
        <v>18443</v>
      </c>
      <c r="I598" s="38">
        <f>SUM(F598:H598)</f>
        <v>63268</v>
      </c>
      <c r="J598" s="172">
        <f>J596+J642</f>
        <v>17558</v>
      </c>
      <c r="K598" s="172">
        <f>K596+K642</f>
        <v>19538</v>
      </c>
      <c r="L598" s="172">
        <f>L596+L642</f>
        <v>18544</v>
      </c>
      <c r="M598" s="38">
        <f>SUM(J598:L598)</f>
        <v>55640</v>
      </c>
      <c r="N598" s="172">
        <f>N596+N642</f>
        <v>13425</v>
      </c>
      <c r="O598" s="172">
        <f>O596+O642</f>
        <v>8822</v>
      </c>
      <c r="P598" s="172">
        <f>P596+P642</f>
        <v>16872</v>
      </c>
      <c r="Q598" s="38">
        <f>SUM(N598:P598)</f>
        <v>39119</v>
      </c>
      <c r="R598" s="38">
        <f>+E598+I598+M598+Q598</f>
        <v>199332</v>
      </c>
    </row>
    <row r="599" spans="1:18" ht="16.5" customHeight="1" thickBot="1" x14ac:dyDescent="0.35">
      <c r="A599" s="237" t="s">
        <v>1335</v>
      </c>
      <c r="B599" s="238">
        <f>(B598/B10)/1.983</f>
        <v>167.79724431864395</v>
      </c>
      <c r="C599" s="238">
        <f>(C598/C10)/1.983</f>
        <v>200.18370434406742</v>
      </c>
      <c r="D599" s="238">
        <f>(D598/D10)/1.983</f>
        <v>323.31267385681519</v>
      </c>
      <c r="E599" s="40" t="s">
        <v>852</v>
      </c>
      <c r="F599" s="238">
        <f>(F598/F10)/1.983</f>
        <v>370.75138678769542</v>
      </c>
      <c r="G599" s="238">
        <f>(G598/G10)/1.983</f>
        <v>370.39025263123648</v>
      </c>
      <c r="H599" s="238">
        <f>(H598/H10)/1.983</f>
        <v>310.01849050260546</v>
      </c>
      <c r="I599" s="40" t="s">
        <v>852</v>
      </c>
      <c r="J599" s="238">
        <f>(J598/J10)/1.983</f>
        <v>285.62132968945713</v>
      </c>
      <c r="K599" s="238">
        <f>(K598/K10)/1.983</f>
        <v>317.83059229255116</v>
      </c>
      <c r="L599" s="238">
        <f>(L598/L10)/1.983</f>
        <v>311.71625483274499</v>
      </c>
      <c r="M599" s="40" t="s">
        <v>852</v>
      </c>
      <c r="N599" s="238">
        <f>(N598/N10)/1.983</f>
        <v>218.38856083158458</v>
      </c>
      <c r="O599" s="238">
        <f>(O598/O10)/1.983</f>
        <v>148.2938308959489</v>
      </c>
      <c r="P599" s="238">
        <f>(P598/P10)/1.983</f>
        <v>274.4619589087892</v>
      </c>
      <c r="Q599" s="40" t="s">
        <v>852</v>
      </c>
      <c r="R599" s="40" t="s">
        <v>852</v>
      </c>
    </row>
    <row r="600" spans="1:18" ht="15.75" customHeight="1" x14ac:dyDescent="0.3">
      <c r="A600" s="17"/>
      <c r="B600" s="172"/>
      <c r="C600" s="172"/>
      <c r="D600" s="172"/>
      <c r="E600" s="172"/>
      <c r="F600" s="172"/>
      <c r="G600" s="172"/>
      <c r="H600" s="172"/>
      <c r="I600" s="172"/>
      <c r="J600" s="172"/>
      <c r="K600" s="172"/>
      <c r="L600" s="172"/>
      <c r="M600" s="172"/>
      <c r="N600" s="172"/>
      <c r="O600" s="172"/>
      <c r="P600" s="172"/>
      <c r="Q600" s="172"/>
      <c r="R600" s="17"/>
    </row>
    <row r="601" spans="1:18" ht="16.5" customHeight="1" thickBot="1" x14ac:dyDescent="0.35">
      <c r="A601" s="24"/>
      <c r="B601" s="238"/>
      <c r="C601" s="238"/>
      <c r="D601" s="238"/>
      <c r="E601" s="238"/>
      <c r="F601" s="238"/>
      <c r="G601" s="238"/>
      <c r="H601" s="238"/>
      <c r="I601" s="238"/>
      <c r="J601" s="238"/>
      <c r="K601" s="238"/>
      <c r="L601" s="238"/>
      <c r="M601" s="238"/>
      <c r="N601" s="238"/>
      <c r="O601" s="238"/>
      <c r="P601" s="238"/>
      <c r="Q601" s="238"/>
      <c r="R601" s="24"/>
    </row>
    <row r="602" spans="1:18" ht="15.75" customHeight="1" thickBot="1" x14ac:dyDescent="0.35">
      <c r="A602" s="274" t="s">
        <v>1772</v>
      </c>
      <c r="B602" s="25" t="s">
        <v>2090</v>
      </c>
      <c r="C602" s="26" t="s">
        <v>2091</v>
      </c>
      <c r="D602" s="26" t="s">
        <v>2234</v>
      </c>
      <c r="E602" s="33" t="s">
        <v>1594</v>
      </c>
      <c r="F602" s="26" t="s">
        <v>2235</v>
      </c>
      <c r="G602" s="26" t="s">
        <v>2236</v>
      </c>
      <c r="H602" s="26" t="s">
        <v>2237</v>
      </c>
      <c r="I602" s="33" t="s">
        <v>1595</v>
      </c>
      <c r="J602" s="26" t="s">
        <v>1504</v>
      </c>
      <c r="K602" s="26" t="s">
        <v>1505</v>
      </c>
      <c r="L602" s="26" t="s">
        <v>1506</v>
      </c>
      <c r="M602" s="33" t="s">
        <v>1596</v>
      </c>
      <c r="N602" s="26" t="s">
        <v>1507</v>
      </c>
      <c r="O602" s="26" t="s">
        <v>1508</v>
      </c>
      <c r="P602" s="26" t="s">
        <v>1509</v>
      </c>
      <c r="Q602" s="33" t="s">
        <v>1597</v>
      </c>
      <c r="R602" s="34" t="s">
        <v>1510</v>
      </c>
    </row>
    <row r="603" spans="1:18" ht="16.5" customHeight="1" thickBot="1" x14ac:dyDescent="0.35">
      <c r="A603" s="281"/>
      <c r="B603" s="232"/>
      <c r="C603" s="232"/>
      <c r="D603" s="232"/>
      <c r="E603" s="233"/>
      <c r="F603" s="232"/>
      <c r="G603" s="232"/>
      <c r="H603" s="232"/>
      <c r="I603" s="233"/>
      <c r="J603" s="232"/>
      <c r="K603" s="232"/>
      <c r="L603" s="232"/>
      <c r="M603" s="233"/>
      <c r="N603" s="232"/>
      <c r="O603" s="232"/>
      <c r="P603" s="232"/>
      <c r="Q603" s="233"/>
      <c r="R603" s="75"/>
    </row>
    <row r="604" spans="1:18" ht="15.75" customHeight="1" x14ac:dyDescent="0.3">
      <c r="A604" s="234" t="s">
        <v>2417</v>
      </c>
      <c r="B604" s="172" t="s">
        <v>852</v>
      </c>
      <c r="C604" s="172" t="s">
        <v>852</v>
      </c>
      <c r="D604" s="172" t="s">
        <v>852</v>
      </c>
      <c r="E604" s="38" t="s">
        <v>852</v>
      </c>
      <c r="F604" s="172" t="s">
        <v>852</v>
      </c>
      <c r="G604" s="172" t="s">
        <v>852</v>
      </c>
      <c r="H604" s="172" t="s">
        <v>852</v>
      </c>
      <c r="I604" s="38" t="s">
        <v>852</v>
      </c>
      <c r="J604" s="172" t="s">
        <v>852</v>
      </c>
      <c r="K604" s="172" t="s">
        <v>852</v>
      </c>
      <c r="L604" s="172" t="s">
        <v>852</v>
      </c>
      <c r="M604" s="38" t="s">
        <v>852</v>
      </c>
      <c r="N604" s="172" t="s">
        <v>852</v>
      </c>
      <c r="O604" s="172" t="s">
        <v>852</v>
      </c>
      <c r="P604" s="172" t="s">
        <v>852</v>
      </c>
      <c r="Q604" s="38" t="s">
        <v>852</v>
      </c>
      <c r="R604" s="38" t="s">
        <v>852</v>
      </c>
    </row>
    <row r="605" spans="1:18" ht="15.75" customHeight="1" x14ac:dyDescent="0.3">
      <c r="A605" s="234" t="s">
        <v>2160</v>
      </c>
      <c r="B605" s="172"/>
      <c r="C605" s="172"/>
      <c r="D605" s="172"/>
      <c r="E605" s="38" t="s">
        <v>852</v>
      </c>
      <c r="F605" s="172"/>
      <c r="G605" s="172"/>
      <c r="H605" s="172"/>
      <c r="I605" s="38" t="s">
        <v>852</v>
      </c>
      <c r="J605" s="172"/>
      <c r="K605" s="172"/>
      <c r="L605" s="172"/>
      <c r="M605" s="38" t="s">
        <v>852</v>
      </c>
      <c r="N605" s="172"/>
      <c r="O605" s="172"/>
      <c r="P605" s="172"/>
      <c r="Q605" s="38" t="s">
        <v>852</v>
      </c>
      <c r="R605" s="38" t="s">
        <v>852</v>
      </c>
    </row>
    <row r="606" spans="1:18" ht="15.75" customHeight="1" x14ac:dyDescent="0.3">
      <c r="A606" s="266" t="s">
        <v>2171</v>
      </c>
      <c r="B606" s="10">
        <v>363</v>
      </c>
      <c r="C606" s="10">
        <v>3335</v>
      </c>
      <c r="D606" s="10">
        <v>7721</v>
      </c>
      <c r="E606" s="38">
        <f>SUM(B606:D606)</f>
        <v>11419</v>
      </c>
      <c r="F606" s="10">
        <v>7543</v>
      </c>
      <c r="G606" s="10">
        <v>7802</v>
      </c>
      <c r="H606" s="10">
        <v>6529</v>
      </c>
      <c r="I606" s="38">
        <f>SUM(F606:H606)</f>
        <v>21874</v>
      </c>
      <c r="J606" s="10">
        <v>5118</v>
      </c>
      <c r="K606" s="10">
        <v>3755</v>
      </c>
      <c r="L606" s="10">
        <v>5035</v>
      </c>
      <c r="M606" s="38">
        <f>SUM(J606:L606)</f>
        <v>13908</v>
      </c>
      <c r="N606" s="10">
        <v>4352</v>
      </c>
      <c r="O606" s="10">
        <v>2600</v>
      </c>
      <c r="P606" s="10">
        <v>5138</v>
      </c>
      <c r="Q606" s="38">
        <f>SUM(N606:P606)</f>
        <v>12090</v>
      </c>
      <c r="R606" s="38">
        <f>+E606+I606+M606+Q606</f>
        <v>59291</v>
      </c>
    </row>
    <row r="607" spans="1:18" ht="15.75" customHeight="1" x14ac:dyDescent="0.3">
      <c r="A607" s="266" t="s">
        <v>2146</v>
      </c>
      <c r="B607" s="172">
        <v>2375</v>
      </c>
      <c r="C607" s="172">
        <v>3225</v>
      </c>
      <c r="D607" s="172">
        <v>5958</v>
      </c>
      <c r="E607" s="38">
        <f>SUM(B607:D607)</f>
        <v>11558</v>
      </c>
      <c r="F607" s="172">
        <v>3799</v>
      </c>
      <c r="G607" s="172">
        <v>4020</v>
      </c>
      <c r="H607" s="172">
        <v>2771</v>
      </c>
      <c r="I607" s="38">
        <f>SUM(F607:H607)</f>
        <v>10590</v>
      </c>
      <c r="J607" s="172">
        <v>2351</v>
      </c>
      <c r="K607" s="172">
        <v>6433</v>
      </c>
      <c r="L607" s="172">
        <v>6190</v>
      </c>
      <c r="M607" s="38">
        <f>SUM(J607:L607)</f>
        <v>14974</v>
      </c>
      <c r="N607" s="172">
        <v>3459</v>
      </c>
      <c r="O607" s="172">
        <v>2064</v>
      </c>
      <c r="P607" s="172">
        <v>5593</v>
      </c>
      <c r="Q607" s="38">
        <f>SUM(N607:P607)</f>
        <v>11116</v>
      </c>
      <c r="R607" s="38">
        <f>+E607+I607+M607+Q607</f>
        <v>48238</v>
      </c>
    </row>
    <row r="608" spans="1:18" ht="15.75" customHeight="1" x14ac:dyDescent="0.3">
      <c r="A608" s="539" t="s">
        <v>2596</v>
      </c>
      <c r="B608" s="172">
        <v>200</v>
      </c>
      <c r="C608" s="172">
        <v>200</v>
      </c>
      <c r="D608" s="172">
        <v>200</v>
      </c>
      <c r="E608" s="38">
        <f>SUM(B608:D608)</f>
        <v>600</v>
      </c>
      <c r="F608" s="172">
        <v>200</v>
      </c>
      <c r="G608" s="172">
        <v>200</v>
      </c>
      <c r="H608" s="172">
        <v>200</v>
      </c>
      <c r="I608" s="38">
        <f>SUM(F608:H608)</f>
        <v>600</v>
      </c>
      <c r="J608" s="172">
        <v>200</v>
      </c>
      <c r="K608" s="172">
        <v>120</v>
      </c>
      <c r="L608" s="172">
        <v>120</v>
      </c>
      <c r="M608" s="38">
        <f>SUM(J608:L608)</f>
        <v>440</v>
      </c>
      <c r="N608" s="172">
        <v>120</v>
      </c>
      <c r="O608" s="172">
        <v>120</v>
      </c>
      <c r="P608" s="172">
        <v>120</v>
      </c>
      <c r="Q608" s="38">
        <f>SUM(N608:P608)</f>
        <v>360</v>
      </c>
      <c r="R608" s="38">
        <f>+E608+I608+M608+Q608</f>
        <v>2000</v>
      </c>
    </row>
    <row r="609" spans="1:20" ht="15.75" customHeight="1" x14ac:dyDescent="0.3">
      <c r="A609" s="234" t="s">
        <v>2161</v>
      </c>
      <c r="B609" s="172"/>
      <c r="C609" s="172"/>
      <c r="D609" s="172"/>
      <c r="E609" s="38" t="s">
        <v>852</v>
      </c>
      <c r="F609" s="172"/>
      <c r="G609" s="172"/>
      <c r="H609" s="172"/>
      <c r="I609" s="38" t="s">
        <v>852</v>
      </c>
      <c r="J609" s="172"/>
      <c r="K609" s="172"/>
      <c r="L609" s="172"/>
      <c r="M609" s="38" t="s">
        <v>852</v>
      </c>
      <c r="N609" s="172"/>
      <c r="O609" s="172"/>
      <c r="P609" s="172"/>
      <c r="Q609" s="38" t="s">
        <v>852</v>
      </c>
      <c r="R609" s="38" t="s">
        <v>852</v>
      </c>
    </row>
    <row r="610" spans="1:20" ht="15.75" customHeight="1" x14ac:dyDescent="0.3">
      <c r="A610" s="234" t="s">
        <v>2162</v>
      </c>
      <c r="B610" s="172"/>
      <c r="C610" s="172"/>
      <c r="D610" s="172"/>
      <c r="E610" s="38" t="s">
        <v>852</v>
      </c>
      <c r="F610" s="172"/>
      <c r="G610" s="172"/>
      <c r="H610" s="172"/>
      <c r="I610" s="38" t="s">
        <v>852</v>
      </c>
      <c r="J610" s="172"/>
      <c r="K610" s="172"/>
      <c r="L610" s="172"/>
      <c r="M610" s="38" t="s">
        <v>852</v>
      </c>
      <c r="N610" s="172"/>
      <c r="O610" s="172"/>
      <c r="P610" s="172"/>
      <c r="Q610" s="38" t="s">
        <v>852</v>
      </c>
      <c r="R610" s="38" t="s">
        <v>852</v>
      </c>
    </row>
    <row r="611" spans="1:20" ht="15.75" customHeight="1" thickBot="1" x14ac:dyDescent="0.35">
      <c r="A611" s="234" t="s">
        <v>2164</v>
      </c>
      <c r="B611" s="172"/>
      <c r="C611" s="172"/>
      <c r="D611" s="172"/>
      <c r="E611" s="38" t="s">
        <v>852</v>
      </c>
      <c r="F611" s="172"/>
      <c r="G611" s="172"/>
      <c r="H611" s="172"/>
      <c r="I611" s="38" t="s">
        <v>852</v>
      </c>
      <c r="J611" s="172"/>
      <c r="K611" s="172"/>
      <c r="L611" s="172"/>
      <c r="M611" s="38" t="s">
        <v>852</v>
      </c>
      <c r="N611" s="172"/>
      <c r="O611" s="172"/>
      <c r="P611" s="172"/>
      <c r="Q611" s="38" t="s">
        <v>852</v>
      </c>
      <c r="R611" s="38" t="s">
        <v>852</v>
      </c>
    </row>
    <row r="612" spans="1:20" ht="16.5" customHeight="1" thickBot="1" x14ac:dyDescent="0.35">
      <c r="A612" s="276" t="s">
        <v>1218</v>
      </c>
      <c r="B612" s="45">
        <f>SUM(B604:B611)</f>
        <v>2938</v>
      </c>
      <c r="C612" s="46">
        <f>SUM(C604:C611)</f>
        <v>6760</v>
      </c>
      <c r="D612" s="46">
        <f>SUM(D604:D611)</f>
        <v>13879</v>
      </c>
      <c r="E612" s="37">
        <f>SUM(B612:D612)</f>
        <v>23577</v>
      </c>
      <c r="F612" s="46">
        <f>SUM(F604:F611)</f>
        <v>11542</v>
      </c>
      <c r="G612" s="46">
        <f>SUM(G604:G611)</f>
        <v>12022</v>
      </c>
      <c r="H612" s="46">
        <f>SUM(H604:H611)</f>
        <v>9500</v>
      </c>
      <c r="I612" s="37">
        <f>SUM(F612:H612)</f>
        <v>33064</v>
      </c>
      <c r="J612" s="46">
        <f>SUM(J604:J611)</f>
        <v>7669</v>
      </c>
      <c r="K612" s="46">
        <f>SUM(K604:K611)</f>
        <v>10308</v>
      </c>
      <c r="L612" s="46">
        <f>SUM(L604:L611)</f>
        <v>11345</v>
      </c>
      <c r="M612" s="37">
        <f>SUM(J612:L612)</f>
        <v>29322</v>
      </c>
      <c r="N612" s="46">
        <f>SUM(N604:N611)</f>
        <v>7931</v>
      </c>
      <c r="O612" s="46">
        <f>SUM(O604:O611)</f>
        <v>4784</v>
      </c>
      <c r="P612" s="46">
        <f>SUM(P604:P611)</f>
        <v>10851</v>
      </c>
      <c r="Q612" s="37">
        <f>SUM(N612:P612)</f>
        <v>23566</v>
      </c>
      <c r="R612" s="37">
        <f>+E612+I612+M612+Q612</f>
        <v>109529</v>
      </c>
    </row>
    <row r="613" spans="1:20" ht="15.75" customHeight="1" x14ac:dyDescent="0.3">
      <c r="A613" s="234" t="s">
        <v>1172</v>
      </c>
      <c r="B613" s="172"/>
      <c r="C613" s="172"/>
      <c r="D613" s="172"/>
      <c r="E613" s="38" t="s">
        <v>852</v>
      </c>
      <c r="F613" s="172"/>
      <c r="G613" s="172"/>
      <c r="H613" s="172"/>
      <c r="I613" s="38" t="s">
        <v>852</v>
      </c>
      <c r="J613" s="172"/>
      <c r="K613" s="172"/>
      <c r="L613" s="172"/>
      <c r="M613" s="38" t="s">
        <v>852</v>
      </c>
      <c r="N613" s="172"/>
      <c r="O613" s="172"/>
      <c r="P613" s="172"/>
      <c r="Q613" s="38" t="s">
        <v>852</v>
      </c>
      <c r="R613" s="38" t="s">
        <v>852</v>
      </c>
    </row>
    <row r="614" spans="1:20" ht="15.75" customHeight="1" x14ac:dyDescent="0.3">
      <c r="A614" s="234" t="s">
        <v>2409</v>
      </c>
      <c r="B614" s="172"/>
      <c r="C614" s="172"/>
      <c r="D614" s="172"/>
      <c r="E614" s="38" t="s">
        <v>852</v>
      </c>
      <c r="F614" s="172"/>
      <c r="G614" s="172"/>
      <c r="H614" s="172"/>
      <c r="I614" s="38" t="s">
        <v>852</v>
      </c>
      <c r="J614" s="172"/>
      <c r="K614" s="172"/>
      <c r="L614" s="172"/>
      <c r="M614" s="38" t="s">
        <v>852</v>
      </c>
      <c r="N614" s="172"/>
      <c r="O614" s="172"/>
      <c r="P614" s="172"/>
      <c r="Q614" s="38" t="s">
        <v>852</v>
      </c>
      <c r="R614" s="38" t="s">
        <v>852</v>
      </c>
    </row>
    <row r="615" spans="1:20" ht="15.75" customHeight="1" thickBot="1" x14ac:dyDescent="0.35">
      <c r="A615" s="234" t="s">
        <v>2165</v>
      </c>
      <c r="B615" s="172"/>
      <c r="C615" s="172"/>
      <c r="D615" s="172"/>
      <c r="E615" s="38" t="s">
        <v>852</v>
      </c>
      <c r="F615" s="172"/>
      <c r="G615" s="172"/>
      <c r="H615" s="172"/>
      <c r="I615" s="38" t="s">
        <v>852</v>
      </c>
      <c r="J615" s="172"/>
      <c r="K615" s="172"/>
      <c r="L615" s="172"/>
      <c r="M615" s="38" t="s">
        <v>852</v>
      </c>
      <c r="N615" s="172"/>
      <c r="O615" s="172"/>
      <c r="P615" s="172"/>
      <c r="Q615" s="38" t="s">
        <v>852</v>
      </c>
      <c r="R615" s="38" t="s">
        <v>852</v>
      </c>
    </row>
    <row r="616" spans="1:20" ht="16.5" customHeight="1" thickBot="1" x14ac:dyDescent="0.35">
      <c r="A616" s="43" t="s">
        <v>1219</v>
      </c>
      <c r="B616" s="45">
        <f>SUM(B613:B615)</f>
        <v>0</v>
      </c>
      <c r="C616" s="46">
        <f>SUM(C613:C615)</f>
        <v>0</v>
      </c>
      <c r="D616" s="46">
        <f>SUM(D613:D615)</f>
        <v>0</v>
      </c>
      <c r="E616" s="37">
        <f>SUM(B616:D616)</f>
        <v>0</v>
      </c>
      <c r="F616" s="46">
        <f>SUM(F613:F615)</f>
        <v>0</v>
      </c>
      <c r="G616" s="46">
        <f>SUM(G613:G615)</f>
        <v>0</v>
      </c>
      <c r="H616" s="46">
        <f>SUM(H613:H615)</f>
        <v>0</v>
      </c>
      <c r="I616" s="37">
        <f>SUM(F616:H616)</f>
        <v>0</v>
      </c>
      <c r="J616" s="46">
        <f>SUM(J613:J615)</f>
        <v>0</v>
      </c>
      <c r="K616" s="46">
        <f>SUM(K613:K615)</f>
        <v>0</v>
      </c>
      <c r="L616" s="46">
        <f>SUM(L613:L615)</f>
        <v>0</v>
      </c>
      <c r="M616" s="37">
        <f>SUM(J616:L616)</f>
        <v>0</v>
      </c>
      <c r="N616" s="46">
        <f>SUM(N613:N615)</f>
        <v>0</v>
      </c>
      <c r="O616" s="46">
        <f>SUM(O613:O615)</f>
        <v>0</v>
      </c>
      <c r="P616" s="46">
        <f>SUM(P613:P615)</f>
        <v>0</v>
      </c>
      <c r="Q616" s="37">
        <f>SUM(N616:P616)</f>
        <v>0</v>
      </c>
      <c r="R616" s="37">
        <f>+E616+I616+M616+Q616</f>
        <v>0</v>
      </c>
    </row>
    <row r="617" spans="1:20" ht="15.75" customHeight="1" x14ac:dyDescent="0.3">
      <c r="A617" s="234" t="s">
        <v>2166</v>
      </c>
      <c r="B617" s="172"/>
      <c r="C617" s="172"/>
      <c r="D617" s="172"/>
      <c r="E617" s="38" t="s">
        <v>852</v>
      </c>
      <c r="F617" s="172"/>
      <c r="G617" s="172"/>
      <c r="H617" s="172"/>
      <c r="I617" s="38" t="s">
        <v>852</v>
      </c>
      <c r="J617" s="172"/>
      <c r="K617" s="172"/>
      <c r="L617" s="172"/>
      <c r="M617" s="38" t="s">
        <v>852</v>
      </c>
      <c r="N617" s="172"/>
      <c r="O617" s="172"/>
      <c r="P617" s="172"/>
      <c r="Q617" s="38" t="s">
        <v>852</v>
      </c>
      <c r="R617" s="38" t="s">
        <v>852</v>
      </c>
    </row>
    <row r="618" spans="1:20" ht="15.75" customHeight="1" x14ac:dyDescent="0.3">
      <c r="A618" s="234" t="s">
        <v>1245</v>
      </c>
      <c r="B618" s="172"/>
      <c r="C618" s="172"/>
      <c r="D618" s="172"/>
      <c r="E618" s="38" t="s">
        <v>852</v>
      </c>
      <c r="F618" s="172"/>
      <c r="G618" s="172"/>
      <c r="H618" s="172"/>
      <c r="I618" s="38" t="s">
        <v>852</v>
      </c>
      <c r="J618" s="172"/>
      <c r="K618" s="172"/>
      <c r="L618" s="172"/>
      <c r="M618" s="38" t="s">
        <v>852</v>
      </c>
      <c r="N618" s="172"/>
      <c r="O618" s="172"/>
      <c r="P618" s="172"/>
      <c r="Q618" s="38" t="s">
        <v>852</v>
      </c>
      <c r="R618" s="38" t="s">
        <v>852</v>
      </c>
    </row>
    <row r="619" spans="1:20" ht="15.75" customHeight="1" x14ac:dyDescent="0.3">
      <c r="A619" s="266" t="s">
        <v>641</v>
      </c>
      <c r="B619" s="172">
        <v>589</v>
      </c>
      <c r="C619" s="172">
        <v>409</v>
      </c>
      <c r="D619" s="172">
        <v>526</v>
      </c>
      <c r="E619" s="38">
        <f>SUM(B619:D619)</f>
        <v>1524</v>
      </c>
      <c r="F619" s="172">
        <v>1317</v>
      </c>
      <c r="G619" s="172">
        <v>1948</v>
      </c>
      <c r="H619" s="172">
        <v>1453</v>
      </c>
      <c r="I619" s="38">
        <f>SUM(F619:H619)</f>
        <v>4718</v>
      </c>
      <c r="J619" s="172">
        <v>1955</v>
      </c>
      <c r="K619" s="172">
        <v>2294</v>
      </c>
      <c r="L619" s="172">
        <v>1184</v>
      </c>
      <c r="M619" s="38">
        <f>SUM(J619:L619)</f>
        <v>5433</v>
      </c>
      <c r="N619" s="172">
        <v>678</v>
      </c>
      <c r="O619" s="172">
        <v>280</v>
      </c>
      <c r="P619" s="172">
        <v>117</v>
      </c>
      <c r="Q619" s="38">
        <f>SUM(N619:P619)</f>
        <v>1075</v>
      </c>
      <c r="R619" s="38">
        <f>+E619+I619+M619+Q619</f>
        <v>12750</v>
      </c>
      <c r="T619" t="s">
        <v>2804</v>
      </c>
    </row>
    <row r="620" spans="1:20" ht="15.75" customHeight="1" x14ac:dyDescent="0.3">
      <c r="A620" s="234" t="s">
        <v>1711</v>
      </c>
      <c r="B620" s="172"/>
      <c r="C620" s="172"/>
      <c r="D620" s="172"/>
      <c r="E620" s="38" t="s">
        <v>852</v>
      </c>
      <c r="F620" s="172"/>
      <c r="G620" s="172"/>
      <c r="H620" s="172"/>
      <c r="I620" s="38" t="s">
        <v>852</v>
      </c>
      <c r="J620" s="172"/>
      <c r="K620" s="172"/>
      <c r="L620" s="172"/>
      <c r="M620" s="38" t="s">
        <v>852</v>
      </c>
      <c r="N620" s="172"/>
      <c r="O620" s="172"/>
      <c r="P620" s="172"/>
      <c r="Q620" s="38" t="s">
        <v>852</v>
      </c>
      <c r="R620" s="38" t="s">
        <v>852</v>
      </c>
    </row>
    <row r="621" spans="1:20" ht="15.75" customHeight="1" x14ac:dyDescent="0.3">
      <c r="A621" s="539" t="s">
        <v>2699</v>
      </c>
      <c r="B621" s="172">
        <v>250</v>
      </c>
      <c r="C621" s="172">
        <v>250</v>
      </c>
      <c r="D621" s="172"/>
      <c r="E621" s="38">
        <f>SUM(B621:D621)</f>
        <v>500</v>
      </c>
      <c r="F621" s="172"/>
      <c r="G621" s="172"/>
      <c r="H621" s="172"/>
      <c r="I621" s="38">
        <f>SUM(F621:H621)</f>
        <v>0</v>
      </c>
      <c r="J621" s="172"/>
      <c r="K621" s="172"/>
      <c r="L621" s="172"/>
      <c r="M621" s="38">
        <f>SUM(J621:L621)</f>
        <v>0</v>
      </c>
      <c r="N621" s="172"/>
      <c r="O621" s="172"/>
      <c r="P621" s="172"/>
      <c r="Q621" s="38">
        <f>SUM(N621:P621)</f>
        <v>0</v>
      </c>
      <c r="R621" s="38">
        <f>+E621+I621+M621+Q621</f>
        <v>500</v>
      </c>
      <c r="T621" t="s">
        <v>2801</v>
      </c>
    </row>
    <row r="622" spans="1:20" ht="15.75" customHeight="1" x14ac:dyDescent="0.3">
      <c r="A622" s="539" t="s">
        <v>2790</v>
      </c>
      <c r="B622" s="172"/>
      <c r="C622" s="172"/>
      <c r="D622" s="172"/>
      <c r="E622" s="38">
        <f>SUM(B622:D622)</f>
        <v>0</v>
      </c>
      <c r="F622" s="172"/>
      <c r="G622" s="172"/>
      <c r="H622" s="172"/>
      <c r="I622" s="38">
        <f>SUM(F622:H622)</f>
        <v>0</v>
      </c>
      <c r="J622" s="172"/>
      <c r="K622" s="172"/>
      <c r="L622" s="172"/>
      <c r="M622" s="38">
        <f>SUM(J622:L622)</f>
        <v>0</v>
      </c>
      <c r="N622" s="172"/>
      <c r="O622" s="172"/>
      <c r="P622" s="172">
        <v>295</v>
      </c>
      <c r="Q622" s="38">
        <f>SUM(N622:P622)</f>
        <v>295</v>
      </c>
      <c r="R622" s="38">
        <f>+E622+I622+M622+Q622</f>
        <v>295</v>
      </c>
      <c r="T622" t="s">
        <v>2801</v>
      </c>
    </row>
    <row r="623" spans="1:20" ht="15.75" customHeight="1" x14ac:dyDescent="0.3">
      <c r="A623" s="539" t="s">
        <v>2701</v>
      </c>
      <c r="B623" s="172"/>
      <c r="C623" s="172"/>
      <c r="D623" s="172">
        <v>200</v>
      </c>
      <c r="E623" s="38">
        <f>SUM(B623:D623)</f>
        <v>200</v>
      </c>
      <c r="F623" s="172">
        <v>200</v>
      </c>
      <c r="G623" s="172">
        <v>200</v>
      </c>
      <c r="H623" s="172">
        <v>200</v>
      </c>
      <c r="I623" s="38">
        <f>SUM(F623:H623)</f>
        <v>600</v>
      </c>
      <c r="J623" s="172">
        <v>200</v>
      </c>
      <c r="K623" s="172">
        <v>200</v>
      </c>
      <c r="L623" s="172">
        <v>200</v>
      </c>
      <c r="M623" s="38">
        <f>SUM(J623:L623)</f>
        <v>600</v>
      </c>
      <c r="N623" s="172">
        <v>200</v>
      </c>
      <c r="O623" s="172">
        <v>200</v>
      </c>
      <c r="P623" s="172">
        <v>200</v>
      </c>
      <c r="Q623" s="38">
        <f>SUM(N623:P623)</f>
        <v>600</v>
      </c>
      <c r="R623" s="38">
        <f>+E623+I623+M623+Q623</f>
        <v>2000</v>
      </c>
      <c r="T623" t="s">
        <v>2801</v>
      </c>
    </row>
    <row r="624" spans="1:20" ht="15.75" customHeight="1" thickBot="1" x14ac:dyDescent="0.35">
      <c r="A624" s="266" t="s">
        <v>40</v>
      </c>
      <c r="B624" s="172"/>
      <c r="C624" s="172"/>
      <c r="D624" s="172"/>
      <c r="E624" s="38">
        <f>SUM(B624:D624)</f>
        <v>0</v>
      </c>
      <c r="F624" s="172"/>
      <c r="G624" s="172"/>
      <c r="H624" s="172"/>
      <c r="I624" s="38">
        <f>SUM(F624:H624)</f>
        <v>0</v>
      </c>
      <c r="J624" s="172"/>
      <c r="K624" s="172"/>
      <c r="L624" s="172"/>
      <c r="M624" s="38">
        <f>SUM(J624:L624)</f>
        <v>0</v>
      </c>
      <c r="N624" s="172"/>
      <c r="O624" s="172"/>
      <c r="P624" s="172"/>
      <c r="Q624" s="38">
        <f>SUM(N624:P624)</f>
        <v>0</v>
      </c>
      <c r="R624" s="38">
        <f>+E624+I624+M624+Q624</f>
        <v>0</v>
      </c>
      <c r="T624" t="s">
        <v>2801</v>
      </c>
    </row>
    <row r="625" spans="1:18" ht="16.5" customHeight="1" thickBot="1" x14ac:dyDescent="0.35">
      <c r="A625" s="43" t="s">
        <v>1220</v>
      </c>
      <c r="B625" s="45">
        <f>SUM(B617:B624)</f>
        <v>839</v>
      </c>
      <c r="C625" s="46">
        <f>SUM(C617:C624)</f>
        <v>659</v>
      </c>
      <c r="D625" s="46">
        <f>SUM(D617:D624)</f>
        <v>726</v>
      </c>
      <c r="E625" s="37">
        <f>SUM(B625:D625)</f>
        <v>2224</v>
      </c>
      <c r="F625" s="46">
        <f>SUM(F617:F624)</f>
        <v>1517</v>
      </c>
      <c r="G625" s="46">
        <f>SUM(G617:G624)</f>
        <v>2148</v>
      </c>
      <c r="H625" s="46">
        <f>SUM(H617:H624)</f>
        <v>1653</v>
      </c>
      <c r="I625" s="37">
        <f>SUM(F625:H625)</f>
        <v>5318</v>
      </c>
      <c r="J625" s="46">
        <f>SUM(J617:J624)</f>
        <v>2155</v>
      </c>
      <c r="K625" s="46">
        <f>SUM(K617:K624)</f>
        <v>2494</v>
      </c>
      <c r="L625" s="46">
        <f>SUM(L617:L624)</f>
        <v>1384</v>
      </c>
      <c r="M625" s="37">
        <f>SUM(J625:L625)</f>
        <v>6033</v>
      </c>
      <c r="N625" s="46">
        <f>SUM(N617:N624)</f>
        <v>878</v>
      </c>
      <c r="O625" s="46">
        <f>SUM(O617:O624)</f>
        <v>480</v>
      </c>
      <c r="P625" s="46">
        <f>SUM(P617:P624)</f>
        <v>612</v>
      </c>
      <c r="Q625" s="37">
        <f>SUM(N625:P625)</f>
        <v>1970</v>
      </c>
      <c r="R625" s="58">
        <f>+E625+I625+M625+Q625</f>
        <v>15545</v>
      </c>
    </row>
    <row r="626" spans="1:18" ht="15.75" customHeight="1" x14ac:dyDescent="0.3">
      <c r="A626" s="234" t="s">
        <v>1712</v>
      </c>
      <c r="B626" s="172"/>
      <c r="C626" s="172"/>
      <c r="D626" s="172"/>
      <c r="E626" s="38" t="s">
        <v>852</v>
      </c>
      <c r="F626" s="172"/>
      <c r="G626" s="172"/>
      <c r="H626" s="172"/>
      <c r="I626" s="38" t="s">
        <v>852</v>
      </c>
      <c r="J626" s="172"/>
      <c r="K626" s="172"/>
      <c r="L626" s="172"/>
      <c r="M626" s="38" t="s">
        <v>852</v>
      </c>
      <c r="N626" s="172"/>
      <c r="O626" s="172"/>
      <c r="P626" s="172"/>
      <c r="Q626" s="38" t="s">
        <v>852</v>
      </c>
      <c r="R626" s="38" t="s">
        <v>852</v>
      </c>
    </row>
    <row r="627" spans="1:18" ht="15.75" customHeight="1" x14ac:dyDescent="0.3">
      <c r="A627" s="234" t="s">
        <v>1021</v>
      </c>
      <c r="B627" s="172"/>
      <c r="C627" s="172"/>
      <c r="D627" s="172"/>
      <c r="E627" s="38" t="s">
        <v>852</v>
      </c>
      <c r="F627" s="172"/>
      <c r="G627" s="172"/>
      <c r="H627" s="172"/>
      <c r="I627" s="38" t="s">
        <v>852</v>
      </c>
      <c r="J627" s="172"/>
      <c r="K627" s="172"/>
      <c r="L627" s="172"/>
      <c r="M627" s="38" t="s">
        <v>852</v>
      </c>
      <c r="N627" s="172"/>
      <c r="O627" s="172"/>
      <c r="P627" s="172"/>
      <c r="Q627" s="38" t="s">
        <v>852</v>
      </c>
      <c r="R627" s="38" t="s">
        <v>852</v>
      </c>
    </row>
    <row r="628" spans="1:18" ht="15.75" customHeight="1" x14ac:dyDescent="0.3">
      <c r="A628" s="234" t="s">
        <v>557</v>
      </c>
      <c r="B628" s="172"/>
      <c r="C628" s="172"/>
      <c r="D628" s="172"/>
      <c r="E628" s="38" t="s">
        <v>852</v>
      </c>
      <c r="F628" s="172"/>
      <c r="G628" s="172"/>
      <c r="H628" s="172"/>
      <c r="I628" s="38" t="s">
        <v>852</v>
      </c>
      <c r="J628" s="172"/>
      <c r="K628" s="172"/>
      <c r="L628" s="172"/>
      <c r="M628" s="38" t="s">
        <v>852</v>
      </c>
      <c r="N628" s="172"/>
      <c r="O628" s="172"/>
      <c r="P628" s="172"/>
      <c r="Q628" s="38" t="s">
        <v>852</v>
      </c>
      <c r="R628" s="38" t="s">
        <v>852</v>
      </c>
    </row>
    <row r="629" spans="1:18" ht="15.75" customHeight="1" x14ac:dyDescent="0.3">
      <c r="A629" s="539" t="s">
        <v>2585</v>
      </c>
      <c r="B629" s="172"/>
      <c r="C629" s="172"/>
      <c r="D629" s="172"/>
      <c r="E629" s="38">
        <f>SUM(B629:D629)</f>
        <v>0</v>
      </c>
      <c r="F629" s="172"/>
      <c r="G629" s="172"/>
      <c r="H629" s="172"/>
      <c r="I629" s="38">
        <f>SUM(F629:H629)</f>
        <v>0</v>
      </c>
      <c r="J629" s="172"/>
      <c r="K629" s="172"/>
      <c r="L629" s="172"/>
      <c r="M629" s="38">
        <f>SUM(J629:L629)</f>
        <v>0</v>
      </c>
      <c r="N629" s="172"/>
      <c r="O629" s="172"/>
      <c r="P629" s="172"/>
      <c r="Q629" s="38">
        <f>SUM(N629:P629)</f>
        <v>0</v>
      </c>
      <c r="R629" s="38">
        <f>+E629+I629+M629+Q629</f>
        <v>0</v>
      </c>
    </row>
    <row r="630" spans="1:18" ht="15.75" customHeight="1" x14ac:dyDescent="0.3">
      <c r="A630" s="539" t="s">
        <v>2586</v>
      </c>
      <c r="B630" s="172"/>
      <c r="C630" s="172"/>
      <c r="D630" s="172"/>
      <c r="E630" s="38">
        <f>SUM(B630:D630)</f>
        <v>0</v>
      </c>
      <c r="F630" s="172"/>
      <c r="G630" s="172"/>
      <c r="H630" s="172"/>
      <c r="I630" s="38">
        <f>SUM(F630:H630)</f>
        <v>0</v>
      </c>
      <c r="J630" s="172"/>
      <c r="K630" s="172"/>
      <c r="L630" s="172"/>
      <c r="M630" s="38">
        <f>SUM(J630:L630)</f>
        <v>0</v>
      </c>
      <c r="N630" s="172"/>
      <c r="O630" s="172"/>
      <c r="P630" s="172"/>
      <c r="Q630" s="38">
        <f>SUM(N630:P630)</f>
        <v>0</v>
      </c>
      <c r="R630" s="38">
        <f>+E630+I630+M630+Q630</f>
        <v>0</v>
      </c>
    </row>
    <row r="631" spans="1:18" ht="15.75" customHeight="1" x14ac:dyDescent="0.3">
      <c r="A631" s="539" t="s">
        <v>2587</v>
      </c>
      <c r="B631" s="172">
        <v>2000</v>
      </c>
      <c r="C631" s="172">
        <v>1000</v>
      </c>
      <c r="D631" s="172">
        <v>1000</v>
      </c>
      <c r="E631" s="38">
        <f>SUM(B631:D631)</f>
        <v>4000</v>
      </c>
      <c r="F631" s="172">
        <v>3000</v>
      </c>
      <c r="G631" s="172">
        <v>3000</v>
      </c>
      <c r="H631" s="172">
        <v>800</v>
      </c>
      <c r="I631" s="38">
        <f>SUM(F631:H631)</f>
        <v>6800</v>
      </c>
      <c r="J631" s="172">
        <v>600</v>
      </c>
      <c r="K631" s="172">
        <v>500</v>
      </c>
      <c r="L631" s="172">
        <v>614</v>
      </c>
      <c r="M631" s="38">
        <f>SUM(J631:L631)</f>
        <v>1714</v>
      </c>
      <c r="N631" s="172">
        <v>500</v>
      </c>
      <c r="O631" s="172">
        <v>966</v>
      </c>
      <c r="P631" s="172">
        <v>1400</v>
      </c>
      <c r="Q631" s="38">
        <f>SUM(N631:P631)</f>
        <v>2866</v>
      </c>
      <c r="R631" s="38">
        <f>+E631+I631+M631+Q631</f>
        <v>15380</v>
      </c>
    </row>
    <row r="632" spans="1:18" ht="15.75" customHeight="1" x14ac:dyDescent="0.3">
      <c r="A632" s="539" t="s">
        <v>2588</v>
      </c>
      <c r="B632" s="172"/>
      <c r="C632" s="172"/>
      <c r="D632" s="172"/>
      <c r="E632" s="38">
        <f>SUM(B632:D632)</f>
        <v>0</v>
      </c>
      <c r="F632" s="172"/>
      <c r="G632" s="172"/>
      <c r="H632" s="172"/>
      <c r="I632" s="38">
        <f>SUM(F632:H632)</f>
        <v>0</v>
      </c>
      <c r="J632" s="172"/>
      <c r="K632" s="172"/>
      <c r="L632" s="172"/>
      <c r="M632" s="38">
        <f>SUM(J632:L632)</f>
        <v>0</v>
      </c>
      <c r="N632" s="172"/>
      <c r="O632" s="172"/>
      <c r="P632" s="172"/>
      <c r="Q632" s="38">
        <f>SUM(N632:P632)</f>
        <v>0</v>
      </c>
      <c r="R632" s="38">
        <f>+E632+I632+M632+Q632</f>
        <v>0</v>
      </c>
    </row>
    <row r="633" spans="1:18" ht="15.75" customHeight="1" x14ac:dyDescent="0.3">
      <c r="A633" s="234" t="s">
        <v>1022</v>
      </c>
      <c r="B633" s="172"/>
      <c r="C633" s="172"/>
      <c r="D633" s="172"/>
      <c r="E633" s="38" t="s">
        <v>852</v>
      </c>
      <c r="F633" s="172"/>
      <c r="G633" s="172"/>
      <c r="H633" s="172"/>
      <c r="I633" s="38" t="s">
        <v>852</v>
      </c>
      <c r="J633" s="172"/>
      <c r="K633" s="172"/>
      <c r="L633" s="172"/>
      <c r="M633" s="38" t="s">
        <v>852</v>
      </c>
      <c r="N633" s="172"/>
      <c r="O633" s="172"/>
      <c r="P633" s="172"/>
      <c r="Q633" s="38" t="s">
        <v>852</v>
      </c>
      <c r="R633" s="38" t="s">
        <v>852</v>
      </c>
    </row>
    <row r="634" spans="1:18" ht="15.75" customHeight="1" thickBot="1" x14ac:dyDescent="0.35">
      <c r="A634" s="234" t="s">
        <v>559</v>
      </c>
      <c r="B634" s="172"/>
      <c r="C634" s="172"/>
      <c r="D634" s="172"/>
      <c r="E634" s="38" t="s">
        <v>852</v>
      </c>
      <c r="F634" s="172"/>
      <c r="G634" s="172"/>
      <c r="H634" s="172"/>
      <c r="I634" s="38" t="s">
        <v>852</v>
      </c>
      <c r="J634" s="172"/>
      <c r="K634" s="172"/>
      <c r="L634" s="172"/>
      <c r="M634" s="38" t="s">
        <v>852</v>
      </c>
      <c r="N634" s="172"/>
      <c r="O634" s="172"/>
      <c r="P634" s="172"/>
      <c r="Q634" s="38" t="s">
        <v>852</v>
      </c>
      <c r="R634" s="38" t="s">
        <v>852</v>
      </c>
    </row>
    <row r="635" spans="1:18" ht="16.5" customHeight="1" thickBot="1" x14ac:dyDescent="0.35">
      <c r="A635" s="43" t="s">
        <v>1019</v>
      </c>
      <c r="B635" s="42">
        <f>SUM(B633:B634)</f>
        <v>0</v>
      </c>
      <c r="C635" s="42">
        <f>SUM(C633:C634)</f>
        <v>0</v>
      </c>
      <c r="D635" s="42">
        <f>SUM(D633:D634)</f>
        <v>0</v>
      </c>
      <c r="E635" s="39">
        <f>SUM(B635:D635)</f>
        <v>0</v>
      </c>
      <c r="F635" s="42">
        <f>SUM(F633:F634)</f>
        <v>0</v>
      </c>
      <c r="G635" s="42">
        <f>SUM(G633:G634)</f>
        <v>0</v>
      </c>
      <c r="H635" s="42">
        <f>SUM(H633:H634)</f>
        <v>0</v>
      </c>
      <c r="I635" s="39">
        <f>SUM(F635:H635)</f>
        <v>0</v>
      </c>
      <c r="J635" s="42">
        <f>SUM(J633:J634)</f>
        <v>0</v>
      </c>
      <c r="K635" s="42">
        <f>SUM(K633:K634)</f>
        <v>0</v>
      </c>
      <c r="L635" s="42">
        <f>SUM(L633:L634)</f>
        <v>0</v>
      </c>
      <c r="M635" s="39">
        <f>SUM(J635:L635)</f>
        <v>0</v>
      </c>
      <c r="N635" s="42">
        <f>SUM(N633:N634)</f>
        <v>0</v>
      </c>
      <c r="O635" s="42">
        <f>SUM(O633:O634)</f>
        <v>0</v>
      </c>
      <c r="P635" s="42">
        <f>SUM(P633:P634)</f>
        <v>0</v>
      </c>
      <c r="Q635" s="39">
        <f>SUM(N635:P635)</f>
        <v>0</v>
      </c>
      <c r="R635" s="37">
        <f>+E635+I635+M635+Q635</f>
        <v>0</v>
      </c>
    </row>
    <row r="636" spans="1:18" ht="16.5" customHeight="1" thickBot="1" x14ac:dyDescent="0.35">
      <c r="A636" s="277" t="s">
        <v>1221</v>
      </c>
      <c r="B636" s="45">
        <f>SUM(B626:B634)</f>
        <v>2000</v>
      </c>
      <c r="C636" s="46">
        <f>SUM(C626:C634)</f>
        <v>1000</v>
      </c>
      <c r="D636" s="58">
        <f>SUM(D626:D634)</f>
        <v>1000</v>
      </c>
      <c r="E636" s="39">
        <f>SUM(B636:D636)</f>
        <v>4000</v>
      </c>
      <c r="F636" s="46">
        <f>SUM(F626:F634)</f>
        <v>3000</v>
      </c>
      <c r="G636" s="46">
        <f>SUM(G626:G634)</f>
        <v>3000</v>
      </c>
      <c r="H636" s="46">
        <f>SUM(H626:H634)</f>
        <v>800</v>
      </c>
      <c r="I636" s="39">
        <f>SUM(F636:H636)</f>
        <v>6800</v>
      </c>
      <c r="J636" s="46">
        <f>SUM(J626:J634)</f>
        <v>600</v>
      </c>
      <c r="K636" s="46">
        <f>SUM(K626:K634)</f>
        <v>500</v>
      </c>
      <c r="L636" s="46">
        <f>SUM(L626:L634)</f>
        <v>614</v>
      </c>
      <c r="M636" s="39">
        <f>SUM(J636:L636)</f>
        <v>1714</v>
      </c>
      <c r="N636" s="46">
        <f>SUM(N626:N634)</f>
        <v>500</v>
      </c>
      <c r="O636" s="46">
        <f>SUM(O626:O634)</f>
        <v>966</v>
      </c>
      <c r="P636" s="46">
        <f>SUM(P626:P634)</f>
        <v>1400</v>
      </c>
      <c r="Q636" s="39">
        <f>SUM(N636:P636)</f>
        <v>2866</v>
      </c>
      <c r="R636" s="37">
        <f>+E636+I636+M636+Q636</f>
        <v>15380</v>
      </c>
    </row>
    <row r="637" spans="1:18" ht="16.5" customHeight="1" thickBot="1" x14ac:dyDescent="0.35">
      <c r="A637" s="43" t="s">
        <v>1222</v>
      </c>
      <c r="B637" s="47">
        <f>+B612+B616+B625+B636</f>
        <v>5777</v>
      </c>
      <c r="C637" s="42">
        <f>+C612+C616+C625+C636</f>
        <v>8419</v>
      </c>
      <c r="D637" s="42">
        <f>+D612+D616+D625+D636</f>
        <v>15605</v>
      </c>
      <c r="E637" s="37">
        <f>SUM(B637:D637)</f>
        <v>29801</v>
      </c>
      <c r="F637" s="42">
        <f>+F612+F616+F625+F636</f>
        <v>16059</v>
      </c>
      <c r="G637" s="42">
        <f>+G612+G616+G625+G636</f>
        <v>17170</v>
      </c>
      <c r="H637" s="42">
        <f>+H612+H616+H625+H636</f>
        <v>11953</v>
      </c>
      <c r="I637" s="37">
        <f>SUM(F637:H637)</f>
        <v>45182</v>
      </c>
      <c r="J637" s="42">
        <f>+J612+J616+J625+J636</f>
        <v>10424</v>
      </c>
      <c r="K637" s="42">
        <f>+K612+K616+K625+K636</f>
        <v>13302</v>
      </c>
      <c r="L637" s="42">
        <f>+L612+L616+L625+L636</f>
        <v>13343</v>
      </c>
      <c r="M637" s="37">
        <f>SUM(J637:L637)</f>
        <v>37069</v>
      </c>
      <c r="N637" s="42">
        <f>+N612+N616+N625+N636</f>
        <v>9309</v>
      </c>
      <c r="O637" s="42">
        <f>+O612+O616+O625+O636</f>
        <v>6230</v>
      </c>
      <c r="P637" s="42">
        <f>+P612+P616+P625+P636</f>
        <v>12863</v>
      </c>
      <c r="Q637" s="37">
        <f>SUM(N637:P637)</f>
        <v>28402</v>
      </c>
      <c r="R637" s="40">
        <f>+E637+I637+M637+Q637</f>
        <v>140454</v>
      </c>
    </row>
    <row r="638" spans="1:18" ht="16.5" customHeight="1" thickBot="1" x14ac:dyDescent="0.35">
      <c r="A638" s="250" t="s">
        <v>853</v>
      </c>
      <c r="B638" s="238">
        <v>22</v>
      </c>
      <c r="C638" s="238">
        <v>24</v>
      </c>
      <c r="D638" s="238">
        <v>31</v>
      </c>
      <c r="E638" s="37">
        <f>SUM(B638:D638)</f>
        <v>77</v>
      </c>
      <c r="F638" s="238">
        <v>40</v>
      </c>
      <c r="G638" s="238">
        <v>45</v>
      </c>
      <c r="H638" s="238">
        <v>48</v>
      </c>
      <c r="I638" s="37">
        <f>SUM(F638:H638)</f>
        <v>133</v>
      </c>
      <c r="J638" s="238">
        <v>42</v>
      </c>
      <c r="K638" s="238">
        <v>39</v>
      </c>
      <c r="L638" s="238">
        <v>38</v>
      </c>
      <c r="M638" s="37">
        <f>SUM(J638:L638)</f>
        <v>119</v>
      </c>
      <c r="N638" s="238">
        <v>32</v>
      </c>
      <c r="O638" s="238">
        <v>25</v>
      </c>
      <c r="P638" s="238">
        <v>21</v>
      </c>
      <c r="Q638" s="37">
        <f>SUM(N638:P638)</f>
        <v>78</v>
      </c>
      <c r="R638" s="39">
        <f>+E638+I638+M638+Q638</f>
        <v>407</v>
      </c>
    </row>
    <row r="639" spans="1:18" ht="16.5" customHeight="1" thickBot="1" x14ac:dyDescent="0.35">
      <c r="A639" s="22"/>
      <c r="B639" s="242"/>
      <c r="C639" s="242"/>
      <c r="D639" s="242"/>
      <c r="E639" s="233"/>
      <c r="F639" s="242"/>
      <c r="G639" s="242"/>
      <c r="H639" s="242"/>
      <c r="I639" s="233"/>
      <c r="J639" s="242"/>
      <c r="K639" s="242"/>
      <c r="L639" s="242"/>
      <c r="M639" s="233"/>
      <c r="N639" s="242"/>
      <c r="O639" s="242"/>
      <c r="P639" s="242"/>
      <c r="Q639" s="233"/>
      <c r="R639" s="21"/>
    </row>
    <row r="640" spans="1:18" ht="15.75" customHeight="1" x14ac:dyDescent="0.3">
      <c r="A640" s="234" t="s">
        <v>120</v>
      </c>
      <c r="B640" s="172">
        <f>+SUM(B637:B638)</f>
        <v>5799</v>
      </c>
      <c r="C640" s="172">
        <f>+SUM(C637:C638)</f>
        <v>8443</v>
      </c>
      <c r="D640" s="172">
        <f>+SUM(D637:D638)</f>
        <v>15636</v>
      </c>
      <c r="E640" s="39">
        <f>SUM(B640:D640)</f>
        <v>29878</v>
      </c>
      <c r="F640" s="172">
        <f>+SUM(F637:F638)</f>
        <v>16099</v>
      </c>
      <c r="G640" s="172">
        <f>+SUM(G637:G638)</f>
        <v>17215</v>
      </c>
      <c r="H640" s="172">
        <f>+SUM(H637:H638)</f>
        <v>12001</v>
      </c>
      <c r="I640" s="39">
        <f>SUM(F640:H640)</f>
        <v>45315</v>
      </c>
      <c r="J640" s="172">
        <f>+SUM(J637:J638)</f>
        <v>10466</v>
      </c>
      <c r="K640" s="172">
        <f>+SUM(K637:K638)</f>
        <v>13341</v>
      </c>
      <c r="L640" s="172">
        <f>+SUM(L637:L638)</f>
        <v>13381</v>
      </c>
      <c r="M640" s="39">
        <f>SUM(J640:L640)</f>
        <v>37188</v>
      </c>
      <c r="N640" s="172">
        <f>+SUM(N637:N638)</f>
        <v>9341</v>
      </c>
      <c r="O640" s="172">
        <f>+SUM(O637:O638)</f>
        <v>6255</v>
      </c>
      <c r="P640" s="172">
        <f>+SUM(P637:P638)</f>
        <v>12884</v>
      </c>
      <c r="Q640" s="39">
        <f>SUM(N640:P640)</f>
        <v>28480</v>
      </c>
      <c r="R640" s="39">
        <f>+E640+I640+M640+Q640</f>
        <v>140861</v>
      </c>
    </row>
    <row r="641" spans="1:18" ht="15.75" customHeight="1" x14ac:dyDescent="0.3">
      <c r="A641" s="234" t="s">
        <v>1897</v>
      </c>
      <c r="B641" s="172">
        <f>(B640/B10)/1.983</f>
        <v>94.334097896637545</v>
      </c>
      <c r="C641" s="172">
        <f>(C640/C10)/1.983</f>
        <v>152.0603702903249</v>
      </c>
      <c r="D641" s="172">
        <f>(D640/D10)/1.983</f>
        <v>254.35557073837293</v>
      </c>
      <c r="E641" s="38" t="s">
        <v>852</v>
      </c>
      <c r="F641" s="172">
        <f>(F640/F10)/1.983</f>
        <v>270.6169104051101</v>
      </c>
      <c r="G641" s="172">
        <f>(G640/G10)/1.983</f>
        <v>280.04164429912322</v>
      </c>
      <c r="H641" s="172">
        <f>(H640/H10)/1.983</f>
        <v>201.73138342578585</v>
      </c>
      <c r="I641" s="38" t="s">
        <v>852</v>
      </c>
      <c r="J641" s="172">
        <f>(J640/J10)/1.983</f>
        <v>170.2536072747385</v>
      </c>
      <c r="K641" s="172">
        <f>(K640/K10)/1.983</f>
        <v>217.02210726660485</v>
      </c>
      <c r="L641" s="172">
        <f>(L640/L10)/1.983</f>
        <v>224.92855942175154</v>
      </c>
      <c r="M641" s="38" t="s">
        <v>852</v>
      </c>
      <c r="N641" s="172">
        <f>(N640/N10)/1.983</f>
        <v>151.95288988661687</v>
      </c>
      <c r="O641" s="172">
        <f>(O640/O10)/1.983</f>
        <v>105.14372163388805</v>
      </c>
      <c r="P641" s="172">
        <f>(P640/P10)/1.983</f>
        <v>209.58794918094122</v>
      </c>
      <c r="Q641" s="38" t="s">
        <v>852</v>
      </c>
      <c r="R641" s="38" t="s">
        <v>852</v>
      </c>
    </row>
    <row r="642" spans="1:18" ht="15.75" customHeight="1" x14ac:dyDescent="0.3">
      <c r="A642" s="234" t="s">
        <v>2390</v>
      </c>
      <c r="B642" s="172">
        <f>B640+B652</f>
        <v>10305</v>
      </c>
      <c r="C642" s="172">
        <f>C640+C652</f>
        <v>11035</v>
      </c>
      <c r="D642" s="172">
        <f>D640+D652</f>
        <v>19304</v>
      </c>
      <c r="E642" s="38">
        <f>SUM(B642:D642)</f>
        <v>40644</v>
      </c>
      <c r="F642" s="172">
        <f>F640+F652</f>
        <v>20431</v>
      </c>
      <c r="G642" s="172">
        <f>G640+G652</f>
        <v>21452</v>
      </c>
      <c r="H642" s="172">
        <f>H640+H652</f>
        <v>16458</v>
      </c>
      <c r="I642" s="38">
        <f>SUM(F642:H642)</f>
        <v>58341</v>
      </c>
      <c r="J642" s="172">
        <f>J640+J652</f>
        <v>14955</v>
      </c>
      <c r="K642" s="172">
        <f>K640+K652</f>
        <v>17236</v>
      </c>
      <c r="L642" s="172">
        <f>L640+L652</f>
        <v>17052</v>
      </c>
      <c r="M642" s="38">
        <f>SUM(J642:L642)</f>
        <v>49243</v>
      </c>
      <c r="N642" s="172">
        <f>N640+N652</f>
        <v>12578</v>
      </c>
      <c r="O642" s="172">
        <f>O640+O652</f>
        <v>8509</v>
      </c>
      <c r="P642" s="172">
        <f>P640+P652</f>
        <v>16097</v>
      </c>
      <c r="Q642" s="38">
        <f>SUM(N642:P642)</f>
        <v>37184</v>
      </c>
      <c r="R642" s="38">
        <f>+E642+I642+M642+Q642</f>
        <v>185412</v>
      </c>
    </row>
    <row r="643" spans="1:18" ht="16.5" customHeight="1" thickBot="1" x14ac:dyDescent="0.35">
      <c r="A643" s="237" t="s">
        <v>1716</v>
      </c>
      <c r="B643" s="238">
        <f>(B642/B10)/1.983</f>
        <v>167.63457127519399</v>
      </c>
      <c r="C643" s="238">
        <f>(C642/C10)/1.983</f>
        <v>198.74288595922482</v>
      </c>
      <c r="D643" s="238">
        <f>(D642/D10)/1.983</f>
        <v>314.02404307582191</v>
      </c>
      <c r="E643" s="40" t="s">
        <v>852</v>
      </c>
      <c r="F643" s="238">
        <f>(F642/F10)/1.983</f>
        <v>343.43587157505459</v>
      </c>
      <c r="G643" s="238">
        <f>(G642/G10)/1.983</f>
        <v>348.96621280887541</v>
      </c>
      <c r="H643" s="238">
        <f>(H642/H10)/1.983</f>
        <v>276.65153807362583</v>
      </c>
      <c r="I643" s="40" t="s">
        <v>852</v>
      </c>
      <c r="J643" s="238">
        <f>(J642/J10)/1.983</f>
        <v>243.27753647942998</v>
      </c>
      <c r="K643" s="238">
        <f>(K642/K10)/1.983</f>
        <v>280.38325769036811</v>
      </c>
      <c r="L643" s="238">
        <f>(L642/L10)/1.983</f>
        <v>286.63640948058497</v>
      </c>
      <c r="M643" s="40" t="s">
        <v>852</v>
      </c>
      <c r="N643" s="238">
        <f>(N642/N10)/1.983</f>
        <v>204.61015405137215</v>
      </c>
      <c r="O643" s="238">
        <f>(O642/O10)/1.983</f>
        <v>143.03244242729869</v>
      </c>
      <c r="P643" s="238">
        <f>(P642/P10)/1.983</f>
        <v>261.85479804141653</v>
      </c>
      <c r="Q643" s="40" t="s">
        <v>852</v>
      </c>
      <c r="R643" s="40" t="s">
        <v>852</v>
      </c>
    </row>
    <row r="644" spans="1:18" ht="15.75" customHeight="1" x14ac:dyDescent="0.3">
      <c r="A644" s="17"/>
      <c r="B644" s="172"/>
      <c r="C644" s="172"/>
      <c r="D644" s="172"/>
      <c r="E644" s="172"/>
      <c r="F644" s="172"/>
      <c r="G644" s="172"/>
      <c r="H644" s="172"/>
      <c r="I644" s="172"/>
      <c r="J644" s="172"/>
      <c r="K644" s="172"/>
      <c r="L644" s="172"/>
      <c r="M644" s="172"/>
      <c r="N644" s="172"/>
      <c r="O644" s="172"/>
      <c r="P644" s="172"/>
      <c r="Q644" s="172"/>
      <c r="R644" s="17"/>
    </row>
    <row r="645" spans="1:18" ht="15.75" customHeight="1" thickBot="1" x14ac:dyDescent="0.35">
      <c r="A645" s="17"/>
      <c r="B645" s="172"/>
      <c r="C645" s="172"/>
      <c r="D645" s="172"/>
      <c r="E645" s="172"/>
      <c r="F645" s="172"/>
      <c r="G645" s="172"/>
      <c r="H645" s="172"/>
      <c r="I645" s="172"/>
      <c r="J645" s="172"/>
      <c r="K645" s="172"/>
      <c r="L645" s="172"/>
      <c r="M645" s="172"/>
      <c r="N645" s="172"/>
      <c r="O645" s="172"/>
      <c r="P645" s="172"/>
      <c r="Q645" s="172"/>
      <c r="R645" s="17"/>
    </row>
    <row r="646" spans="1:18" ht="16.5" customHeight="1" thickBot="1" x14ac:dyDescent="0.35">
      <c r="A646" s="278" t="s">
        <v>374</v>
      </c>
      <c r="B646" s="4" t="s">
        <v>2090</v>
      </c>
      <c r="C646" s="5" t="s">
        <v>2091</v>
      </c>
      <c r="D646" s="5" t="s">
        <v>2234</v>
      </c>
      <c r="E646" s="33" t="s">
        <v>1594</v>
      </c>
      <c r="F646" s="5" t="s">
        <v>2235</v>
      </c>
      <c r="G646" s="5" t="s">
        <v>2236</v>
      </c>
      <c r="H646" s="5" t="s">
        <v>2237</v>
      </c>
      <c r="I646" s="35" t="s">
        <v>1595</v>
      </c>
      <c r="J646" s="5" t="s">
        <v>1504</v>
      </c>
      <c r="K646" s="5" t="s">
        <v>1505</v>
      </c>
      <c r="L646" s="5" t="s">
        <v>1506</v>
      </c>
      <c r="M646" s="35" t="s">
        <v>1596</v>
      </c>
      <c r="N646" s="5" t="s">
        <v>1507</v>
      </c>
      <c r="O646" s="5" t="s">
        <v>1508</v>
      </c>
      <c r="P646" s="5" t="s">
        <v>1509</v>
      </c>
      <c r="Q646" s="35" t="s">
        <v>1597</v>
      </c>
      <c r="R646" s="36" t="s">
        <v>1510</v>
      </c>
    </row>
    <row r="647" spans="1:18" ht="16.5" customHeight="1" thickBot="1" x14ac:dyDescent="0.35">
      <c r="A647" s="22"/>
      <c r="B647" s="242"/>
      <c r="C647" s="242"/>
      <c r="D647" s="242"/>
      <c r="E647" s="243"/>
      <c r="F647" s="242"/>
      <c r="G647" s="242"/>
      <c r="H647" s="242"/>
      <c r="I647" s="243"/>
      <c r="J647" s="242"/>
      <c r="K647" s="242"/>
      <c r="L647" s="242"/>
      <c r="M647" s="243"/>
      <c r="N647" s="242"/>
      <c r="O647" s="242"/>
      <c r="P647" s="242"/>
      <c r="Q647" s="243"/>
      <c r="R647" s="22"/>
    </row>
    <row r="648" spans="1:18" ht="16.5" customHeight="1" thickBot="1" x14ac:dyDescent="0.35">
      <c r="A648" s="244" t="s">
        <v>853</v>
      </c>
      <c r="B648" s="238">
        <v>2</v>
      </c>
      <c r="C648" s="238">
        <v>3</v>
      </c>
      <c r="D648" s="238">
        <v>5</v>
      </c>
      <c r="E648" s="38">
        <f>SUM(B648:D648)</f>
        <v>10</v>
      </c>
      <c r="F648" s="238">
        <v>7</v>
      </c>
      <c r="G648" s="238">
        <v>8</v>
      </c>
      <c r="H648" s="238">
        <v>9</v>
      </c>
      <c r="I648" s="38">
        <f>SUM(F648:H648)</f>
        <v>24</v>
      </c>
      <c r="J648" s="238">
        <v>7</v>
      </c>
      <c r="K648" s="238">
        <v>6</v>
      </c>
      <c r="L648" s="238">
        <v>6</v>
      </c>
      <c r="M648" s="38">
        <f>SUM(J648:L648)</f>
        <v>19</v>
      </c>
      <c r="N648" s="238">
        <v>5</v>
      </c>
      <c r="O648" s="238">
        <v>3</v>
      </c>
      <c r="P648" s="238">
        <v>2</v>
      </c>
      <c r="Q648" s="38">
        <f>SUM(N648:P648)</f>
        <v>10</v>
      </c>
      <c r="R648" s="39">
        <f>+E648+I648+M648+Q648</f>
        <v>63</v>
      </c>
    </row>
    <row r="649" spans="1:18" ht="16.5" customHeight="1" thickBot="1" x14ac:dyDescent="0.35">
      <c r="A649" s="22"/>
      <c r="B649" s="242"/>
      <c r="C649" s="242"/>
      <c r="D649" s="242"/>
      <c r="E649" s="233"/>
      <c r="F649" s="242"/>
      <c r="G649" s="242"/>
      <c r="H649" s="242"/>
      <c r="I649" s="233"/>
      <c r="J649" s="242"/>
      <c r="K649" s="242"/>
      <c r="L649" s="242"/>
      <c r="M649" s="233"/>
      <c r="N649" s="242"/>
      <c r="O649" s="242"/>
      <c r="P649" s="242"/>
      <c r="Q649" s="233"/>
      <c r="R649" s="21"/>
    </row>
    <row r="650" spans="1:18" ht="15.75" customHeight="1" x14ac:dyDescent="0.3">
      <c r="A650" s="234" t="s">
        <v>120</v>
      </c>
      <c r="B650" s="172">
        <f>B648</f>
        <v>2</v>
      </c>
      <c r="C650" s="172">
        <f>C648</f>
        <v>3</v>
      </c>
      <c r="D650" s="172">
        <f>D648</f>
        <v>5</v>
      </c>
      <c r="E650" s="39">
        <f>SUM(B650:D650)</f>
        <v>10</v>
      </c>
      <c r="F650" s="172">
        <f>F648</f>
        <v>7</v>
      </c>
      <c r="G650" s="172">
        <f>G648</f>
        <v>8</v>
      </c>
      <c r="H650" s="172">
        <f>H648</f>
        <v>9</v>
      </c>
      <c r="I650" s="39">
        <f>SUM(F650:H650)</f>
        <v>24</v>
      </c>
      <c r="J650" s="172">
        <f>J648</f>
        <v>7</v>
      </c>
      <c r="K650" s="172">
        <f>K648</f>
        <v>6</v>
      </c>
      <c r="L650" s="172">
        <f>L648</f>
        <v>6</v>
      </c>
      <c r="M650" s="39">
        <f>SUM(J650:L650)</f>
        <v>19</v>
      </c>
      <c r="N650" s="172">
        <f>N648</f>
        <v>5</v>
      </c>
      <c r="O650" s="172">
        <f>O648</f>
        <v>3</v>
      </c>
      <c r="P650" s="172">
        <f>P648</f>
        <v>2</v>
      </c>
      <c r="Q650" s="39">
        <f>SUM(N650:P650)</f>
        <v>10</v>
      </c>
      <c r="R650" s="39">
        <f>+E650+I650+M650+Q650</f>
        <v>63</v>
      </c>
    </row>
    <row r="651" spans="1:18" ht="15.75" customHeight="1" x14ac:dyDescent="0.3">
      <c r="A651" s="234" t="s">
        <v>1897</v>
      </c>
      <c r="B651" s="172">
        <f>(B650/B10)/1.983</f>
        <v>3.2534608689993978E-2</v>
      </c>
      <c r="C651" s="172">
        <f>(C650/C10)/1.983</f>
        <v>5.403068943159714E-2</v>
      </c>
      <c r="D651" s="172">
        <f>(D650/D10)/1.983</f>
        <v>8.1336521724984942E-2</v>
      </c>
      <c r="E651" s="38" t="s">
        <v>852</v>
      </c>
      <c r="F651" s="172">
        <f>(F650/F10)/1.983</f>
        <v>0.1176668347621449</v>
      </c>
      <c r="G651" s="172">
        <f>(G650/G10)/1.983</f>
        <v>0.13013843475997591</v>
      </c>
      <c r="H651" s="172">
        <f>(H650/H10)/1.983</f>
        <v>0.15128593040847199</v>
      </c>
      <c r="I651" s="38" t="s">
        <v>852</v>
      </c>
      <c r="J651" s="172">
        <f>(J650/J10)/1.983</f>
        <v>0.11387113041497893</v>
      </c>
      <c r="K651" s="172">
        <f>(K650/K10)/1.983</f>
        <v>9.7603826069981942E-2</v>
      </c>
      <c r="L651" s="172">
        <f>(L650/L10)/1.983</f>
        <v>0.10085728693898134</v>
      </c>
      <c r="M651" s="38" t="s">
        <v>852</v>
      </c>
      <c r="N651" s="172">
        <f>(N650/N10)/1.983</f>
        <v>8.1336521724984942E-2</v>
      </c>
      <c r="O651" s="172">
        <f>(O650/O10)/1.983</f>
        <v>5.0428643469490671E-2</v>
      </c>
      <c r="P651" s="172">
        <f>(P650/P10)/1.983</f>
        <v>3.2534608689993978E-2</v>
      </c>
      <c r="Q651" s="38" t="s">
        <v>852</v>
      </c>
      <c r="R651" s="38" t="s">
        <v>852</v>
      </c>
    </row>
    <row r="652" spans="1:18" ht="15.75" customHeight="1" x14ac:dyDescent="0.3">
      <c r="A652" s="234" t="s">
        <v>585</v>
      </c>
      <c r="B652" s="172">
        <f>B650+B686+B733-B681</f>
        <v>4506</v>
      </c>
      <c r="C652" s="172">
        <f>C650+C686+C733-C681</f>
        <v>2592</v>
      </c>
      <c r="D652" s="172">
        <f>D650+D686+D733-D681</f>
        <v>3668</v>
      </c>
      <c r="E652" s="38">
        <f>SUM(B652:D652)</f>
        <v>10766</v>
      </c>
      <c r="F652" s="172">
        <f>F650+F686+F733-F681</f>
        <v>4332</v>
      </c>
      <c r="G652" s="172">
        <f>G650+G686+G733-G681</f>
        <v>4237</v>
      </c>
      <c r="H652" s="172">
        <f>H650+H686+H733-H681</f>
        <v>4457</v>
      </c>
      <c r="I652" s="38">
        <f>SUM(F652:H652)</f>
        <v>13026</v>
      </c>
      <c r="J652" s="172">
        <f>J650+J686+J733-J681</f>
        <v>4489</v>
      </c>
      <c r="K652" s="172">
        <f>K650+K686+K733-K681</f>
        <v>3895</v>
      </c>
      <c r="L652" s="172">
        <f>L650+L686+L733-L681</f>
        <v>3671</v>
      </c>
      <c r="M652" s="38">
        <f>SUM(J652:L652)</f>
        <v>12055</v>
      </c>
      <c r="N652" s="172">
        <f>N650+N686+N733-N681</f>
        <v>3237</v>
      </c>
      <c r="O652" s="172">
        <f>O650+O686+O733-O681</f>
        <v>2254</v>
      </c>
      <c r="P652" s="172">
        <f>P650+P686+P733-P681</f>
        <v>3213</v>
      </c>
      <c r="Q652" s="38">
        <f>SUM(N652:P652)</f>
        <v>8704</v>
      </c>
      <c r="R652" s="38">
        <f>+E652+I652+M652+Q652</f>
        <v>44551</v>
      </c>
    </row>
    <row r="653" spans="1:18" ht="16.5" customHeight="1" thickBot="1" x14ac:dyDescent="0.35">
      <c r="A653" s="237" t="s">
        <v>57</v>
      </c>
      <c r="B653" s="238">
        <f>(B652/B10)/1.983</f>
        <v>73.300473378556433</v>
      </c>
      <c r="C653" s="238">
        <f>(C652/C10)/1.983</f>
        <v>46.682515668899931</v>
      </c>
      <c r="D653" s="238">
        <f>(D652/D10)/1.983</f>
        <v>59.668472337448961</v>
      </c>
      <c r="E653" s="40" t="s">
        <v>852</v>
      </c>
      <c r="F653" s="238">
        <f>(F652/F10)/1.983</f>
        <v>72.818961169944529</v>
      </c>
      <c r="G653" s="238">
        <f>(G652/G10)/1.983</f>
        <v>68.924568509752248</v>
      </c>
      <c r="H653" s="238">
        <f>(H652/H10)/1.983</f>
        <v>74.920154647839965</v>
      </c>
      <c r="I653" s="40" t="s">
        <v>852</v>
      </c>
      <c r="J653" s="238">
        <f>(J652/J10)/1.983</f>
        <v>73.023929204691484</v>
      </c>
      <c r="K653" s="238">
        <f>(K652/K10)/1.983</f>
        <v>63.36115042376327</v>
      </c>
      <c r="L653" s="238">
        <f>(L652/L10)/1.983</f>
        <v>61.707850058833408</v>
      </c>
      <c r="M653" s="40" t="s">
        <v>852</v>
      </c>
      <c r="N653" s="238">
        <f>(N652/N10)/1.983</f>
        <v>52.657264164755254</v>
      </c>
      <c r="O653" s="238">
        <f>(O652/O10)/1.983</f>
        <v>37.888720793410656</v>
      </c>
      <c r="P653" s="238">
        <f>(P652/P10)/1.983</f>
        <v>52.266848860475328</v>
      </c>
      <c r="Q653" s="40" t="s">
        <v>852</v>
      </c>
      <c r="R653" s="40" t="s">
        <v>852</v>
      </c>
    </row>
    <row r="654" spans="1:18" ht="15.75" customHeight="1" x14ac:dyDescent="0.3">
      <c r="A654" s="17"/>
      <c r="B654" s="172"/>
      <c r="C654" s="172"/>
      <c r="D654" s="172"/>
      <c r="E654" s="172"/>
      <c r="F654" s="172"/>
      <c r="G654" s="172"/>
      <c r="H654" s="172"/>
      <c r="I654" s="172"/>
      <c r="J654" s="172"/>
      <c r="K654" s="172"/>
      <c r="L654" s="172"/>
      <c r="M654" s="172"/>
      <c r="N654" s="172"/>
      <c r="O654" s="172"/>
      <c r="P654" s="172"/>
      <c r="Q654" s="172"/>
      <c r="R654" s="17"/>
    </row>
    <row r="655" spans="1:18" ht="15.75" customHeight="1" thickBot="1" x14ac:dyDescent="0.35">
      <c r="A655" s="17"/>
      <c r="B655" s="172"/>
      <c r="C655" s="172"/>
      <c r="D655" s="172"/>
      <c r="E655" s="172"/>
      <c r="F655" s="172"/>
      <c r="G655" s="172"/>
      <c r="H655" s="172"/>
      <c r="I655" s="172"/>
      <c r="J655" s="172"/>
      <c r="K655" s="172"/>
      <c r="L655" s="172"/>
      <c r="M655" s="172"/>
      <c r="N655" s="172"/>
      <c r="O655" s="172"/>
      <c r="P655" s="172"/>
      <c r="Q655" s="172"/>
      <c r="R655" s="17"/>
    </row>
    <row r="656" spans="1:18" ht="16.5" customHeight="1" thickBot="1" x14ac:dyDescent="0.35">
      <c r="A656" s="278" t="s">
        <v>1709</v>
      </c>
      <c r="B656" s="4" t="s">
        <v>2090</v>
      </c>
      <c r="C656" s="5" t="s">
        <v>2091</v>
      </c>
      <c r="D656" s="5" t="s">
        <v>2234</v>
      </c>
      <c r="E656" s="35" t="s">
        <v>1594</v>
      </c>
      <c r="F656" s="5" t="s">
        <v>2235</v>
      </c>
      <c r="G656" s="5" t="s">
        <v>2236</v>
      </c>
      <c r="H656" s="5" t="s">
        <v>2237</v>
      </c>
      <c r="I656" s="35" t="s">
        <v>1595</v>
      </c>
      <c r="J656" s="5" t="s">
        <v>1504</v>
      </c>
      <c r="K656" s="5" t="s">
        <v>1505</v>
      </c>
      <c r="L656" s="5" t="s">
        <v>1506</v>
      </c>
      <c r="M656" s="35" t="s">
        <v>1596</v>
      </c>
      <c r="N656" s="5" t="s">
        <v>1507</v>
      </c>
      <c r="O656" s="5" t="s">
        <v>1508</v>
      </c>
      <c r="P656" s="5" t="s">
        <v>1509</v>
      </c>
      <c r="Q656" s="35" t="s">
        <v>1597</v>
      </c>
      <c r="R656" s="59" t="s">
        <v>1510</v>
      </c>
    </row>
    <row r="657" spans="1:18" ht="16.5" customHeight="1" thickBot="1" x14ac:dyDescent="0.35">
      <c r="A657" s="22"/>
      <c r="B657" s="242"/>
      <c r="C657" s="242"/>
      <c r="D657" s="242"/>
      <c r="E657" s="282"/>
      <c r="F657" s="242"/>
      <c r="G657" s="242"/>
      <c r="H657" s="242"/>
      <c r="I657" s="282"/>
      <c r="J657" s="242"/>
      <c r="K657" s="242"/>
      <c r="L657" s="242"/>
      <c r="M657" s="282"/>
      <c r="N657" s="242"/>
      <c r="O657" s="242"/>
      <c r="P657" s="242"/>
      <c r="Q657" s="282"/>
      <c r="R657" s="19"/>
    </row>
    <row r="658" spans="1:18" ht="15.75" customHeight="1" x14ac:dyDescent="0.3">
      <c r="A658" s="234" t="s">
        <v>2417</v>
      </c>
      <c r="B658" s="172" t="s">
        <v>852</v>
      </c>
      <c r="C658" s="172" t="s">
        <v>852</v>
      </c>
      <c r="D658" s="172" t="s">
        <v>852</v>
      </c>
      <c r="E658" s="38" t="s">
        <v>852</v>
      </c>
      <c r="F658" s="172" t="s">
        <v>852</v>
      </c>
      <c r="G658" s="172" t="s">
        <v>852</v>
      </c>
      <c r="H658" s="172" t="s">
        <v>852</v>
      </c>
      <c r="I658" s="38" t="s">
        <v>852</v>
      </c>
      <c r="J658" s="172" t="s">
        <v>852</v>
      </c>
      <c r="K658" s="172" t="s">
        <v>852</v>
      </c>
      <c r="L658" s="172" t="s">
        <v>852</v>
      </c>
      <c r="M658" s="38" t="s">
        <v>852</v>
      </c>
      <c r="N658" s="172" t="s">
        <v>852</v>
      </c>
      <c r="O658" s="172" t="s">
        <v>852</v>
      </c>
      <c r="P658" s="172" t="s">
        <v>852</v>
      </c>
      <c r="Q658" s="38" t="s">
        <v>852</v>
      </c>
      <c r="R658" s="38" t="s">
        <v>852</v>
      </c>
    </row>
    <row r="659" spans="1:18" ht="15.75" customHeight="1" x14ac:dyDescent="0.3">
      <c r="A659" s="234" t="s">
        <v>2160</v>
      </c>
      <c r="B659" s="172"/>
      <c r="C659" s="172"/>
      <c r="D659" s="172"/>
      <c r="E659" s="38" t="s">
        <v>852</v>
      </c>
      <c r="F659" s="172"/>
      <c r="G659" s="172"/>
      <c r="H659" s="172"/>
      <c r="I659" s="38" t="s">
        <v>852</v>
      </c>
      <c r="J659" s="172"/>
      <c r="K659" s="172"/>
      <c r="L659" s="172"/>
      <c r="M659" s="38" t="s">
        <v>852</v>
      </c>
      <c r="N659" s="172"/>
      <c r="O659" s="172"/>
      <c r="P659" s="172"/>
      <c r="Q659" s="38" t="s">
        <v>852</v>
      </c>
      <c r="R659" s="38" t="s">
        <v>852</v>
      </c>
    </row>
    <row r="660" spans="1:18" ht="15.75" customHeight="1" x14ac:dyDescent="0.3">
      <c r="A660" s="266" t="s">
        <v>573</v>
      </c>
      <c r="B660" s="172"/>
      <c r="C660" s="172"/>
      <c r="D660" s="172"/>
      <c r="E660" s="38">
        <f>SUM(B660:D660)</f>
        <v>0</v>
      </c>
      <c r="F660" s="172"/>
      <c r="G660" s="172"/>
      <c r="H660" s="172"/>
      <c r="I660" s="38">
        <f>SUM(F660:H660)</f>
        <v>0</v>
      </c>
      <c r="J660" s="172">
        <v>49</v>
      </c>
      <c r="K660" s="172"/>
      <c r="L660" s="172"/>
      <c r="M660" s="38">
        <f>SUM(J660:L660)</f>
        <v>49</v>
      </c>
      <c r="N660" s="172"/>
      <c r="O660" s="172"/>
      <c r="P660" s="172"/>
      <c r="Q660" s="38">
        <f>SUM(N660:P660)</f>
        <v>0</v>
      </c>
      <c r="R660" s="38">
        <f>+E660+I660+M660+Q660</f>
        <v>49</v>
      </c>
    </row>
    <row r="661" spans="1:18" ht="15.75" customHeight="1" x14ac:dyDescent="0.3">
      <c r="A661" s="234" t="s">
        <v>2161</v>
      </c>
      <c r="B661" s="172"/>
      <c r="C661" s="172"/>
      <c r="D661" s="172"/>
      <c r="E661" s="38" t="s">
        <v>852</v>
      </c>
      <c r="F661" s="172"/>
      <c r="G661" s="172"/>
      <c r="H661" s="172"/>
      <c r="I661" s="38" t="s">
        <v>852</v>
      </c>
      <c r="J661" s="172"/>
      <c r="K661" s="172"/>
      <c r="L661" s="172"/>
      <c r="M661" s="38" t="s">
        <v>852</v>
      </c>
      <c r="N661" s="172"/>
      <c r="O661" s="172"/>
      <c r="P661" s="172"/>
      <c r="Q661" s="38" t="s">
        <v>852</v>
      </c>
      <c r="R661" s="38" t="s">
        <v>852</v>
      </c>
    </row>
    <row r="662" spans="1:18" ht="15.75" customHeight="1" x14ac:dyDescent="0.3">
      <c r="A662" s="234" t="s">
        <v>2162</v>
      </c>
      <c r="B662" s="172"/>
      <c r="C662" s="172"/>
      <c r="D662" s="172"/>
      <c r="E662" s="38" t="s">
        <v>852</v>
      </c>
      <c r="F662" s="172"/>
      <c r="G662" s="172"/>
      <c r="H662" s="172"/>
      <c r="I662" s="38" t="s">
        <v>852</v>
      </c>
      <c r="J662" s="172"/>
      <c r="K662" s="172"/>
      <c r="L662" s="172"/>
      <c r="M662" s="38" t="s">
        <v>852</v>
      </c>
      <c r="N662" s="172"/>
      <c r="O662" s="172"/>
      <c r="P662" s="172"/>
      <c r="Q662" s="38" t="s">
        <v>852</v>
      </c>
      <c r="R662" s="38" t="s">
        <v>852</v>
      </c>
    </row>
    <row r="663" spans="1:18" ht="15.75" customHeight="1" thickBot="1" x14ac:dyDescent="0.35">
      <c r="A663" s="234" t="s">
        <v>2164</v>
      </c>
      <c r="B663" s="172"/>
      <c r="C663" s="172"/>
      <c r="D663" s="172"/>
      <c r="E663" s="38" t="s">
        <v>852</v>
      </c>
      <c r="F663" s="172"/>
      <c r="G663" s="172"/>
      <c r="H663" s="172"/>
      <c r="I663" s="38" t="s">
        <v>852</v>
      </c>
      <c r="J663" s="172"/>
      <c r="K663" s="172"/>
      <c r="L663" s="172"/>
      <c r="M663" s="38" t="s">
        <v>852</v>
      </c>
      <c r="N663" s="172"/>
      <c r="O663" s="172"/>
      <c r="P663" s="172"/>
      <c r="Q663" s="38" t="s">
        <v>852</v>
      </c>
      <c r="R663" s="38" t="s">
        <v>852</v>
      </c>
    </row>
    <row r="664" spans="1:18" ht="16.5" customHeight="1" thickBot="1" x14ac:dyDescent="0.35">
      <c r="A664" s="43" t="s">
        <v>1218</v>
      </c>
      <c r="B664" s="45">
        <f>SUM(B658:B663)</f>
        <v>0</v>
      </c>
      <c r="C664" s="46">
        <f>SUM(C658:C663)</f>
        <v>0</v>
      </c>
      <c r="D664" s="46">
        <f>SUM(D658:D663)</f>
        <v>0</v>
      </c>
      <c r="E664" s="37">
        <f>SUM(B664:D664)</f>
        <v>0</v>
      </c>
      <c r="F664" s="46">
        <f>SUM(F658:F663)</f>
        <v>0</v>
      </c>
      <c r="G664" s="46">
        <f>SUM(G658:G663)</f>
        <v>0</v>
      </c>
      <c r="H664" s="46">
        <f>SUM(H658:H663)</f>
        <v>0</v>
      </c>
      <c r="I664" s="37">
        <f>SUM(F664:H664)</f>
        <v>0</v>
      </c>
      <c r="J664" s="46">
        <f>SUM(J658:J663)</f>
        <v>49</v>
      </c>
      <c r="K664" s="46">
        <f>SUM(K658:K663)</f>
        <v>0</v>
      </c>
      <c r="L664" s="46">
        <f>SUM(L658:L663)</f>
        <v>0</v>
      </c>
      <c r="M664" s="37">
        <f>SUM(J664:L664)</f>
        <v>49</v>
      </c>
      <c r="N664" s="46">
        <f>SUM(N658:N663)</f>
        <v>0</v>
      </c>
      <c r="O664" s="46">
        <f>SUM(O658:O663)</f>
        <v>0</v>
      </c>
      <c r="P664" s="46">
        <f>SUM(P658:P663)</f>
        <v>0</v>
      </c>
      <c r="Q664" s="37">
        <f>SUM(N664:P664)</f>
        <v>0</v>
      </c>
      <c r="R664" s="37">
        <f>+E664+I664+M664+Q664</f>
        <v>49</v>
      </c>
    </row>
    <row r="665" spans="1:18" ht="15.75" customHeight="1" x14ac:dyDescent="0.3">
      <c r="A665" s="234" t="s">
        <v>1172</v>
      </c>
      <c r="B665" s="172"/>
      <c r="C665" s="172"/>
      <c r="D665" s="172"/>
      <c r="E665" s="38" t="s">
        <v>852</v>
      </c>
      <c r="F665" s="172"/>
      <c r="G665" s="172"/>
      <c r="H665" s="172"/>
      <c r="I665" s="38" t="s">
        <v>852</v>
      </c>
      <c r="J665" s="172"/>
      <c r="K665" s="172"/>
      <c r="L665" s="172"/>
      <c r="M665" s="38" t="s">
        <v>852</v>
      </c>
      <c r="N665" s="172"/>
      <c r="O665" s="172"/>
      <c r="P665" s="172"/>
      <c r="Q665" s="38" t="s">
        <v>852</v>
      </c>
      <c r="R665" s="38" t="s">
        <v>852</v>
      </c>
    </row>
    <row r="666" spans="1:18" ht="15.75" customHeight="1" x14ac:dyDescent="0.3">
      <c r="A666" s="234" t="s">
        <v>2409</v>
      </c>
      <c r="B666" s="172"/>
      <c r="C666" s="172"/>
      <c r="D666" s="172"/>
      <c r="E666" s="38" t="s">
        <v>852</v>
      </c>
      <c r="F666" s="172"/>
      <c r="G666" s="172"/>
      <c r="H666" s="172"/>
      <c r="I666" s="38" t="s">
        <v>852</v>
      </c>
      <c r="J666" s="172"/>
      <c r="K666" s="172"/>
      <c r="L666" s="172"/>
      <c r="M666" s="38" t="s">
        <v>852</v>
      </c>
      <c r="N666" s="172"/>
      <c r="O666" s="172"/>
      <c r="P666" s="172"/>
      <c r="Q666" s="38" t="s">
        <v>852</v>
      </c>
      <c r="R666" s="38" t="s">
        <v>852</v>
      </c>
    </row>
    <row r="667" spans="1:18" ht="15.75" customHeight="1" thickBot="1" x14ac:dyDescent="0.35">
      <c r="A667" s="234" t="s">
        <v>2165</v>
      </c>
      <c r="B667" s="172"/>
      <c r="C667" s="172"/>
      <c r="D667" s="172"/>
      <c r="E667" s="38" t="s">
        <v>852</v>
      </c>
      <c r="F667" s="172"/>
      <c r="G667" s="172"/>
      <c r="H667" s="172"/>
      <c r="I667" s="38" t="s">
        <v>852</v>
      </c>
      <c r="J667" s="172"/>
      <c r="K667" s="172"/>
      <c r="L667" s="172"/>
      <c r="M667" s="38" t="s">
        <v>852</v>
      </c>
      <c r="N667" s="172"/>
      <c r="O667" s="172"/>
      <c r="P667" s="172"/>
      <c r="Q667" s="38" t="s">
        <v>852</v>
      </c>
      <c r="R667" s="38" t="s">
        <v>852</v>
      </c>
    </row>
    <row r="668" spans="1:18" ht="16.5" customHeight="1" thickBot="1" x14ac:dyDescent="0.35">
      <c r="A668" s="43" t="s">
        <v>1219</v>
      </c>
      <c r="B668" s="45">
        <f>SUM(B665:B667)</f>
        <v>0</v>
      </c>
      <c r="C668" s="46">
        <f>SUM(C665:C667)</f>
        <v>0</v>
      </c>
      <c r="D668" s="46">
        <f>SUM(D665:D667)</f>
        <v>0</v>
      </c>
      <c r="E668" s="37">
        <f>SUM(B668:D668)</f>
        <v>0</v>
      </c>
      <c r="F668" s="46">
        <f>SUM(F665:F667)</f>
        <v>0</v>
      </c>
      <c r="G668" s="46">
        <f>SUM(G665:G667)</f>
        <v>0</v>
      </c>
      <c r="H668" s="46">
        <f>SUM(H665:H667)</f>
        <v>0</v>
      </c>
      <c r="I668" s="37">
        <f>SUM(F668:H668)</f>
        <v>0</v>
      </c>
      <c r="J668" s="46">
        <f>SUM(J665:J667)</f>
        <v>0</v>
      </c>
      <c r="K668" s="46">
        <f>SUM(K665:K667)</f>
        <v>0</v>
      </c>
      <c r="L668" s="46">
        <f>SUM(L665:L667)</f>
        <v>0</v>
      </c>
      <c r="M668" s="37">
        <f>SUM(J668:L668)</f>
        <v>0</v>
      </c>
      <c r="N668" s="46">
        <f>SUM(N665:N667)</f>
        <v>0</v>
      </c>
      <c r="O668" s="46">
        <f>SUM(O665:O667)</f>
        <v>0</v>
      </c>
      <c r="P668" s="46">
        <f>SUM(P665:P667)</f>
        <v>0</v>
      </c>
      <c r="Q668" s="37">
        <f>SUM(N668:P668)</f>
        <v>0</v>
      </c>
      <c r="R668" s="37">
        <f>+E668+I668+M668+Q668</f>
        <v>0</v>
      </c>
    </row>
    <row r="669" spans="1:18" ht="15.75" customHeight="1" x14ac:dyDescent="0.3">
      <c r="A669" s="234" t="s">
        <v>2166</v>
      </c>
      <c r="B669" s="172"/>
      <c r="C669" s="172"/>
      <c r="D669" s="172"/>
      <c r="E669" s="38" t="s">
        <v>852</v>
      </c>
      <c r="F669" s="172"/>
      <c r="G669" s="172"/>
      <c r="H669" s="172"/>
      <c r="I669" s="38" t="s">
        <v>852</v>
      </c>
      <c r="J669" s="172"/>
      <c r="K669" s="172"/>
      <c r="L669" s="172"/>
      <c r="M669" s="38" t="s">
        <v>852</v>
      </c>
      <c r="N669" s="172"/>
      <c r="O669" s="172"/>
      <c r="P669" s="172"/>
      <c r="Q669" s="38" t="s">
        <v>852</v>
      </c>
      <c r="R669" s="38" t="s">
        <v>852</v>
      </c>
    </row>
    <row r="670" spans="1:18" ht="15.75" customHeight="1" x14ac:dyDescent="0.3">
      <c r="A670" s="234" t="s">
        <v>1245</v>
      </c>
      <c r="B670" s="172"/>
      <c r="C670" s="172"/>
      <c r="D670" s="172"/>
      <c r="E670" s="38" t="s">
        <v>852</v>
      </c>
      <c r="F670" s="172"/>
      <c r="G670" s="172"/>
      <c r="H670" s="172"/>
      <c r="I670" s="38" t="s">
        <v>852</v>
      </c>
      <c r="J670" s="172"/>
      <c r="K670" s="172"/>
      <c r="L670" s="172"/>
      <c r="M670" s="38" t="s">
        <v>852</v>
      </c>
      <c r="N670" s="172"/>
      <c r="O670" s="172"/>
      <c r="P670" s="172"/>
      <c r="Q670" s="38" t="s">
        <v>852</v>
      </c>
      <c r="R670" s="38" t="s">
        <v>852</v>
      </c>
    </row>
    <row r="671" spans="1:18" ht="15.75" customHeight="1" thickBot="1" x14ac:dyDescent="0.35">
      <c r="A671" s="234" t="s">
        <v>1711</v>
      </c>
      <c r="B671" s="172"/>
      <c r="C671" s="172"/>
      <c r="D671" s="172"/>
      <c r="E671" s="38" t="s">
        <v>852</v>
      </c>
      <c r="F671" s="172"/>
      <c r="G671" s="172"/>
      <c r="H671" s="172"/>
      <c r="I671" s="38" t="s">
        <v>852</v>
      </c>
      <c r="J671" s="172"/>
      <c r="K671" s="172"/>
      <c r="L671" s="172"/>
      <c r="M671" s="38" t="s">
        <v>852</v>
      </c>
      <c r="N671" s="172"/>
      <c r="O671" s="172"/>
      <c r="P671" s="172"/>
      <c r="Q671" s="38" t="s">
        <v>852</v>
      </c>
      <c r="R671" s="38" t="s">
        <v>852</v>
      </c>
    </row>
    <row r="672" spans="1:18" ht="16.5" customHeight="1" thickBot="1" x14ac:dyDescent="0.35">
      <c r="A672" s="43" t="s">
        <v>1220</v>
      </c>
      <c r="B672" s="45">
        <f>SUM(B669:B671)</f>
        <v>0</v>
      </c>
      <c r="C672" s="46">
        <f>SUM(C669:C671)</f>
        <v>0</v>
      </c>
      <c r="D672" s="46">
        <f>SUM(D669:D671)</f>
        <v>0</v>
      </c>
      <c r="E672" s="37">
        <f>SUM(B672:D672)</f>
        <v>0</v>
      </c>
      <c r="F672" s="46">
        <f>SUM(F669:F671)</f>
        <v>0</v>
      </c>
      <c r="G672" s="46">
        <f>SUM(G669:G671)</f>
        <v>0</v>
      </c>
      <c r="H672" s="46">
        <f>SUM(H669:H671)</f>
        <v>0</v>
      </c>
      <c r="I672" s="37">
        <f>SUM(F672:H672)</f>
        <v>0</v>
      </c>
      <c r="J672" s="46">
        <f>SUM(J669:J671)</f>
        <v>0</v>
      </c>
      <c r="K672" s="46">
        <f>SUM(K669:K671)</f>
        <v>0</v>
      </c>
      <c r="L672" s="46">
        <f>SUM(L669:L671)</f>
        <v>0</v>
      </c>
      <c r="M672" s="37">
        <f>SUM(J672:L672)</f>
        <v>0</v>
      </c>
      <c r="N672" s="46">
        <f>SUM(N669:N671)</f>
        <v>0</v>
      </c>
      <c r="O672" s="46">
        <f>SUM(O669:O671)</f>
        <v>0</v>
      </c>
      <c r="P672" s="46">
        <f>SUM(P669:P671)</f>
        <v>0</v>
      </c>
      <c r="Q672" s="37">
        <f>SUM(N672:P672)</f>
        <v>0</v>
      </c>
      <c r="R672" s="37">
        <f>+E672+I672+M672+Q672</f>
        <v>0</v>
      </c>
    </row>
    <row r="673" spans="1:18" ht="15.75" customHeight="1" x14ac:dyDescent="0.3">
      <c r="A673" s="234" t="s">
        <v>1712</v>
      </c>
      <c r="B673" s="172"/>
      <c r="C673" s="172"/>
      <c r="D673" s="172"/>
      <c r="E673" s="38" t="s">
        <v>852</v>
      </c>
      <c r="F673" s="172"/>
      <c r="G673" s="172"/>
      <c r="H673" s="172"/>
      <c r="I673" s="38" t="s">
        <v>852</v>
      </c>
      <c r="J673" s="172"/>
      <c r="K673" s="172"/>
      <c r="L673" s="172"/>
      <c r="M673" s="38" t="s">
        <v>852</v>
      </c>
      <c r="N673" s="172"/>
      <c r="O673" s="172"/>
      <c r="P673" s="172"/>
      <c r="Q673" s="38" t="s">
        <v>852</v>
      </c>
      <c r="R673" s="38" t="s">
        <v>852</v>
      </c>
    </row>
    <row r="674" spans="1:18" ht="15.75" customHeight="1" x14ac:dyDescent="0.3">
      <c r="A674" s="234" t="s">
        <v>1021</v>
      </c>
      <c r="B674" s="172"/>
      <c r="C674" s="172"/>
      <c r="D674" s="172"/>
      <c r="E674" s="38" t="s">
        <v>852</v>
      </c>
      <c r="F674" s="172"/>
      <c r="G674" s="172"/>
      <c r="H674" s="172"/>
      <c r="I674" s="38" t="s">
        <v>852</v>
      </c>
      <c r="J674" s="172"/>
      <c r="K674" s="172"/>
      <c r="L674" s="172"/>
      <c r="M674" s="38" t="s">
        <v>852</v>
      </c>
      <c r="N674" s="172"/>
      <c r="O674" s="172"/>
      <c r="P674" s="172"/>
      <c r="Q674" s="38" t="s">
        <v>852</v>
      </c>
      <c r="R674" s="38" t="s">
        <v>852</v>
      </c>
    </row>
    <row r="675" spans="1:18" ht="15.75" customHeight="1" x14ac:dyDescent="0.3">
      <c r="A675" s="234" t="s">
        <v>557</v>
      </c>
      <c r="B675" s="172"/>
      <c r="C675" s="172"/>
      <c r="D675" s="172"/>
      <c r="E675" s="38" t="s">
        <v>852</v>
      </c>
      <c r="F675" s="172"/>
      <c r="G675" s="172"/>
      <c r="H675" s="172"/>
      <c r="I675" s="38" t="s">
        <v>852</v>
      </c>
      <c r="J675" s="172"/>
      <c r="K675" s="172"/>
      <c r="L675" s="172"/>
      <c r="M675" s="38" t="s">
        <v>852</v>
      </c>
      <c r="N675" s="172"/>
      <c r="O675" s="172"/>
      <c r="P675" s="172"/>
      <c r="Q675" s="38" t="s">
        <v>852</v>
      </c>
      <c r="R675" s="38" t="s">
        <v>852</v>
      </c>
    </row>
    <row r="676" spans="1:18" ht="15.75" customHeight="1" x14ac:dyDescent="0.3">
      <c r="A676" s="234" t="s">
        <v>1022</v>
      </c>
      <c r="B676" s="172"/>
      <c r="C676" s="172"/>
      <c r="D676" s="172"/>
      <c r="E676" s="38" t="s">
        <v>852</v>
      </c>
      <c r="F676" s="172"/>
      <c r="G676" s="172"/>
      <c r="H676" s="172"/>
      <c r="I676" s="38" t="s">
        <v>852</v>
      </c>
      <c r="J676" s="172"/>
      <c r="K676" s="172"/>
      <c r="L676" s="172"/>
      <c r="M676" s="38" t="s">
        <v>852</v>
      </c>
      <c r="N676" s="172"/>
      <c r="O676" s="172"/>
      <c r="P676" s="172"/>
      <c r="Q676" s="38" t="s">
        <v>852</v>
      </c>
      <c r="R676" s="38" t="s">
        <v>852</v>
      </c>
    </row>
    <row r="677" spans="1:18" ht="15.75" customHeight="1" thickBot="1" x14ac:dyDescent="0.35">
      <c r="A677" s="234" t="s">
        <v>559</v>
      </c>
      <c r="B677" s="172"/>
      <c r="C677" s="172"/>
      <c r="D677" s="172"/>
      <c r="E677" s="38" t="s">
        <v>852</v>
      </c>
      <c r="F677" s="172"/>
      <c r="G677" s="172"/>
      <c r="H677" s="172"/>
      <c r="I677" s="38" t="s">
        <v>852</v>
      </c>
      <c r="J677" s="172"/>
      <c r="K677" s="172"/>
      <c r="L677" s="172"/>
      <c r="M677" s="38" t="s">
        <v>852</v>
      </c>
      <c r="N677" s="172"/>
      <c r="O677" s="172"/>
      <c r="P677" s="172"/>
      <c r="Q677" s="38" t="s">
        <v>852</v>
      </c>
      <c r="R677" s="38" t="s">
        <v>852</v>
      </c>
    </row>
    <row r="678" spans="1:18" ht="16.5" customHeight="1" thickBot="1" x14ac:dyDescent="0.35">
      <c r="A678" s="43" t="s">
        <v>1019</v>
      </c>
      <c r="B678" s="42">
        <f>SUM(B676:B677)</f>
        <v>0</v>
      </c>
      <c r="C678" s="42">
        <f>SUM(C676:C677)</f>
        <v>0</v>
      </c>
      <c r="D678" s="42">
        <f>SUM(D676:D677)</f>
        <v>0</v>
      </c>
      <c r="E678" s="39">
        <f>SUM(B678:D678)</f>
        <v>0</v>
      </c>
      <c r="F678" s="42">
        <f>SUM(F676:F677)</f>
        <v>0</v>
      </c>
      <c r="G678" s="42">
        <f>SUM(G676:G677)</f>
        <v>0</v>
      </c>
      <c r="H678" s="42">
        <f>SUM(H676:H677)</f>
        <v>0</v>
      </c>
      <c r="I678" s="39">
        <f>SUM(F678:H678)</f>
        <v>0</v>
      </c>
      <c r="J678" s="42">
        <f>SUM(J676:J677)</f>
        <v>0</v>
      </c>
      <c r="K678" s="42">
        <f>SUM(K676:K677)</f>
        <v>0</v>
      </c>
      <c r="L678" s="42">
        <f>SUM(L676:L677)</f>
        <v>0</v>
      </c>
      <c r="M678" s="39">
        <f>SUM(J678:L678)</f>
        <v>0</v>
      </c>
      <c r="N678" s="42">
        <f>SUM(N676:N677)</f>
        <v>0</v>
      </c>
      <c r="O678" s="42">
        <f>SUM(O676:O677)</f>
        <v>0</v>
      </c>
      <c r="P678" s="42">
        <f>SUM(P676:P677)</f>
        <v>0</v>
      </c>
      <c r="Q678" s="39">
        <f>SUM(N678:P678)</f>
        <v>0</v>
      </c>
      <c r="R678" s="37">
        <f>+E678+I678+M678+Q678</f>
        <v>0</v>
      </c>
    </row>
    <row r="679" spans="1:18" ht="16.5" customHeight="1" thickBot="1" x14ac:dyDescent="0.35">
      <c r="A679" s="43" t="s">
        <v>1221</v>
      </c>
      <c r="B679" s="45">
        <f>SUM(B673:B677)</f>
        <v>0</v>
      </c>
      <c r="C679" s="46">
        <f>SUM(C673:C677)</f>
        <v>0</v>
      </c>
      <c r="D679" s="58">
        <f>SUM(D673:D677)</f>
        <v>0</v>
      </c>
      <c r="E679" s="39">
        <f>SUM(B679:D679)</f>
        <v>0</v>
      </c>
      <c r="F679" s="46">
        <f>SUM(F673:F677)</f>
        <v>0</v>
      </c>
      <c r="G679" s="46">
        <f>SUM(G673:G677)</f>
        <v>0</v>
      </c>
      <c r="H679" s="46">
        <f>SUM(H673:H677)</f>
        <v>0</v>
      </c>
      <c r="I679" s="39">
        <f>SUM(F679:H679)</f>
        <v>0</v>
      </c>
      <c r="J679" s="46">
        <f>SUM(J673:J677)</f>
        <v>0</v>
      </c>
      <c r="K679" s="46">
        <f>SUM(K673:K677)</f>
        <v>0</v>
      </c>
      <c r="L679" s="46">
        <f>SUM(L673:L677)</f>
        <v>0</v>
      </c>
      <c r="M679" s="39">
        <f>SUM(J679:L679)</f>
        <v>0</v>
      </c>
      <c r="N679" s="46">
        <f>SUM(N673:N677)</f>
        <v>0</v>
      </c>
      <c r="O679" s="46">
        <f>SUM(O673:O677)</f>
        <v>0</v>
      </c>
      <c r="P679" s="46">
        <f>SUM(P673:P677)</f>
        <v>0</v>
      </c>
      <c r="Q679" s="39">
        <f>SUM(N679:P679)</f>
        <v>0</v>
      </c>
      <c r="R679" s="37">
        <f>+E679+I679+M679+Q679</f>
        <v>0</v>
      </c>
    </row>
    <row r="680" spans="1:18" ht="16.5" customHeight="1" thickBot="1" x14ac:dyDescent="0.35">
      <c r="A680" s="43" t="s">
        <v>1222</v>
      </c>
      <c r="B680" s="47">
        <f>+B664+B668+B672+B679</f>
        <v>0</v>
      </c>
      <c r="C680" s="42">
        <f>+C664+C668+C672+C679</f>
        <v>0</v>
      </c>
      <c r="D680" s="42">
        <f>+D664+D668+D672+D679</f>
        <v>0</v>
      </c>
      <c r="E680" s="37">
        <f>SUM(B680:D680)</f>
        <v>0</v>
      </c>
      <c r="F680" s="42">
        <f>+F664+F668+F672+F679</f>
        <v>0</v>
      </c>
      <c r="G680" s="42">
        <f>+G664+G668+G672+G679</f>
        <v>0</v>
      </c>
      <c r="H680" s="42">
        <f>+H664+H668+H672+H679</f>
        <v>0</v>
      </c>
      <c r="I680" s="37">
        <f>SUM(F680:H680)</f>
        <v>0</v>
      </c>
      <c r="J680" s="42">
        <f>+J664+J668+J672+J679</f>
        <v>49</v>
      </c>
      <c r="K680" s="42">
        <f>+K664+K668+K672+K679</f>
        <v>0</v>
      </c>
      <c r="L680" s="42">
        <f>+L664+L668+L672+L679</f>
        <v>0</v>
      </c>
      <c r="M680" s="37">
        <f>SUM(J680:L680)</f>
        <v>49</v>
      </c>
      <c r="N680" s="42">
        <f>+N664+N668+N672+N679</f>
        <v>0</v>
      </c>
      <c r="O680" s="42">
        <f>+O664+O668+O672+O679</f>
        <v>0</v>
      </c>
      <c r="P680" s="42">
        <f>+P664+P668+P672+P679</f>
        <v>0</v>
      </c>
      <c r="Q680" s="37">
        <f>SUM(N680:P680)</f>
        <v>0</v>
      </c>
      <c r="R680" s="40">
        <f>+E680+I680+M680+Q680</f>
        <v>49</v>
      </c>
    </row>
    <row r="681" spans="1:18" ht="15.75" customHeight="1" x14ac:dyDescent="0.3">
      <c r="A681" s="266" t="s">
        <v>2117</v>
      </c>
      <c r="B681" s="172">
        <v>210</v>
      </c>
      <c r="C681" s="172">
        <v>117</v>
      </c>
      <c r="D681" s="172">
        <v>3127</v>
      </c>
      <c r="E681" s="38">
        <f>SUM(B681:D681)</f>
        <v>3454</v>
      </c>
      <c r="F681" s="172">
        <v>5012</v>
      </c>
      <c r="G681" s="172">
        <v>5799</v>
      </c>
      <c r="H681" s="172">
        <v>5977</v>
      </c>
      <c r="I681" s="38">
        <f>SUM(F681:H681)</f>
        <v>16788</v>
      </c>
      <c r="J681" s="172">
        <v>6256</v>
      </c>
      <c r="K681" s="172">
        <v>5899</v>
      </c>
      <c r="L681" s="172">
        <v>5097</v>
      </c>
      <c r="M681" s="38">
        <f>SUM(J681:L681)</f>
        <v>17252</v>
      </c>
      <c r="N681" s="172">
        <v>4517</v>
      </c>
      <c r="O681" s="172">
        <v>4416</v>
      </c>
      <c r="P681" s="172">
        <v>1022</v>
      </c>
      <c r="Q681" s="38">
        <f>SUM(N681:P681)</f>
        <v>9955</v>
      </c>
      <c r="R681" s="38">
        <f>+E681+I681+M681+Q681</f>
        <v>47449</v>
      </c>
    </row>
    <row r="682" spans="1:18" ht="15.75" customHeight="1" thickBot="1" x14ac:dyDescent="0.35">
      <c r="A682" s="266" t="s">
        <v>853</v>
      </c>
      <c r="B682" s="172">
        <v>0</v>
      </c>
      <c r="C682" s="172">
        <v>0</v>
      </c>
      <c r="D682" s="172">
        <v>0</v>
      </c>
      <c r="E682" s="38">
        <f>SUM(B682:D682)</f>
        <v>0</v>
      </c>
      <c r="F682" s="172">
        <v>0</v>
      </c>
      <c r="G682" s="172">
        <v>0</v>
      </c>
      <c r="H682" s="172">
        <v>0</v>
      </c>
      <c r="I682" s="38">
        <f>SUM(F682:H682)</f>
        <v>0</v>
      </c>
      <c r="J682" s="172">
        <v>0</v>
      </c>
      <c r="K682" s="172">
        <v>0</v>
      </c>
      <c r="L682" s="172">
        <v>0</v>
      </c>
      <c r="M682" s="38">
        <f>SUM(J682:L682)</f>
        <v>0</v>
      </c>
      <c r="N682" s="172">
        <v>0</v>
      </c>
      <c r="O682" s="172">
        <v>0</v>
      </c>
      <c r="P682" s="172">
        <v>0</v>
      </c>
      <c r="Q682" s="38">
        <f>SUM(N682:P682)</f>
        <v>0</v>
      </c>
      <c r="R682" s="38">
        <f>+E682+I682+M682+Q682</f>
        <v>0</v>
      </c>
    </row>
    <row r="683" spans="1:18" ht="16.5" customHeight="1" thickBot="1" x14ac:dyDescent="0.35">
      <c r="A683" s="281"/>
      <c r="B683" s="232"/>
      <c r="C683" s="232"/>
      <c r="D683" s="232"/>
      <c r="E683" s="37" t="s">
        <v>852</v>
      </c>
      <c r="F683" s="232"/>
      <c r="G683" s="232"/>
      <c r="H683" s="232"/>
      <c r="I683" s="37" t="s">
        <v>852</v>
      </c>
      <c r="J683" s="232"/>
      <c r="K683" s="232"/>
      <c r="L683" s="232"/>
      <c r="M683" s="37" t="s">
        <v>852</v>
      </c>
      <c r="N683" s="232"/>
      <c r="O683" s="232"/>
      <c r="P683" s="232"/>
      <c r="Q683" s="37"/>
      <c r="R683" s="37"/>
    </row>
    <row r="684" spans="1:18" ht="15.75" customHeight="1" x14ac:dyDescent="0.3">
      <c r="A684" s="234" t="s">
        <v>2011</v>
      </c>
      <c r="B684" s="172">
        <f>SUM(B680:B682)</f>
        <v>210</v>
      </c>
      <c r="C684" s="172">
        <f>SUM(C680:C682)</f>
        <v>117</v>
      </c>
      <c r="D684" s="172">
        <f>SUM(D680:D682)</f>
        <v>3127</v>
      </c>
      <c r="E684" s="39">
        <f>SUM(B684:D684)</f>
        <v>3454</v>
      </c>
      <c r="F684" s="172">
        <f>SUM(F680:F682)</f>
        <v>5012</v>
      </c>
      <c r="G684" s="172">
        <f>SUM(G680:G682)</f>
        <v>5799</v>
      </c>
      <c r="H684" s="172">
        <f>SUM(H680:H682)</f>
        <v>5977</v>
      </c>
      <c r="I684" s="39">
        <f>SUM(F684:H684)</f>
        <v>16788</v>
      </c>
      <c r="J684" s="172">
        <f>SUM(J680:J682)</f>
        <v>6305</v>
      </c>
      <c r="K684" s="172">
        <f>SUM(K680:K682)</f>
        <v>5899</v>
      </c>
      <c r="L684" s="172">
        <f>SUM(L680:L682)</f>
        <v>5097</v>
      </c>
      <c r="M684" s="39">
        <f>SUM(J684:L684)</f>
        <v>17301</v>
      </c>
      <c r="N684" s="172">
        <f>SUM(N680:N682)</f>
        <v>4517</v>
      </c>
      <c r="O684" s="172">
        <f>SUM(O680:O682)</f>
        <v>4416</v>
      </c>
      <c r="P684" s="172">
        <f>SUM(P680:P682)</f>
        <v>1022</v>
      </c>
      <c r="Q684" s="39">
        <f>SUM(N684:P684)</f>
        <v>9955</v>
      </c>
      <c r="R684" s="39">
        <f>+E684+I684+M684+Q684</f>
        <v>47498</v>
      </c>
    </row>
    <row r="685" spans="1:18" ht="15.75" customHeight="1" x14ac:dyDescent="0.3">
      <c r="A685" s="234" t="s">
        <v>1897</v>
      </c>
      <c r="B685" s="172">
        <f>(B684/B10)/1.983</f>
        <v>3.4161339124493679</v>
      </c>
      <c r="C685" s="172">
        <f>(C684/C10)/1.983</f>
        <v>2.1071968878322886</v>
      </c>
      <c r="D685" s="172">
        <f>(D684/D10)/1.983</f>
        <v>50.867860686805592</v>
      </c>
      <c r="E685" s="38" t="s">
        <v>852</v>
      </c>
      <c r="F685" s="172">
        <f>(F684/F10)/1.983</f>
        <v>84.249453689695741</v>
      </c>
      <c r="G685" s="172">
        <f>(G684/G10)/1.983</f>
        <v>94.334097896637545</v>
      </c>
      <c r="H685" s="172">
        <f>(H684/H10)/1.983</f>
        <v>100.47066733904857</v>
      </c>
      <c r="I685" s="38" t="s">
        <v>852</v>
      </c>
      <c r="J685" s="172">
        <f>(J684/J10)/1.983</f>
        <v>102.56535389520602</v>
      </c>
      <c r="K685" s="172">
        <f>(K684/K10)/1.983</f>
        <v>95.960828331137236</v>
      </c>
      <c r="L685" s="172">
        <f>(L684/L10)/1.983</f>
        <v>85.678265254664652</v>
      </c>
      <c r="M685" s="38" t="s">
        <v>852</v>
      </c>
      <c r="N685" s="172">
        <f>(N684/N10)/1.983</f>
        <v>73.47941372635141</v>
      </c>
      <c r="O685" s="172">
        <f>(O684/O10)/1.983</f>
        <v>74.230963187090254</v>
      </c>
      <c r="P685" s="172">
        <f>(P684/P10)/1.983</f>
        <v>16.625185040586924</v>
      </c>
      <c r="Q685" s="38" t="s">
        <v>852</v>
      </c>
      <c r="R685" s="38" t="s">
        <v>852</v>
      </c>
    </row>
    <row r="686" spans="1:18" ht="15.75" customHeight="1" x14ac:dyDescent="0.3">
      <c r="A686" s="234" t="s">
        <v>647</v>
      </c>
      <c r="B686" s="172">
        <f>B684</f>
        <v>210</v>
      </c>
      <c r="C686" s="172">
        <f>C684</f>
        <v>117</v>
      </c>
      <c r="D686" s="172">
        <f>D684</f>
        <v>3127</v>
      </c>
      <c r="E686" s="38">
        <f>SUM(B686:D686)</f>
        <v>3454</v>
      </c>
      <c r="F686" s="172">
        <f>F684</f>
        <v>5012</v>
      </c>
      <c r="G686" s="172">
        <f>G684</f>
        <v>5799</v>
      </c>
      <c r="H686" s="172">
        <f>H684</f>
        <v>5977</v>
      </c>
      <c r="I686" s="38">
        <f>SUM(F686:H686)</f>
        <v>16788</v>
      </c>
      <c r="J686" s="172">
        <f>J684</f>
        <v>6305</v>
      </c>
      <c r="K686" s="172">
        <f>K684</f>
        <v>5899</v>
      </c>
      <c r="L686" s="172">
        <f>L684</f>
        <v>5097</v>
      </c>
      <c r="M686" s="38">
        <f>SUM(J686:L686)</f>
        <v>17301</v>
      </c>
      <c r="N686" s="172">
        <f>N684</f>
        <v>4517</v>
      </c>
      <c r="O686" s="172">
        <f>O684</f>
        <v>4416</v>
      </c>
      <c r="P686" s="172">
        <f>P684</f>
        <v>1022</v>
      </c>
      <c r="Q686" s="38">
        <f>SUM(N686:P686)</f>
        <v>9955</v>
      </c>
      <c r="R686" s="38">
        <f>+E686+I686+M686+Q686</f>
        <v>47498</v>
      </c>
    </row>
    <row r="687" spans="1:18" ht="16.5" customHeight="1" thickBot="1" x14ac:dyDescent="0.35">
      <c r="A687" s="237" t="s">
        <v>2191</v>
      </c>
      <c r="B687" s="238">
        <f>(B686/B10)/1.983</f>
        <v>3.4161339124493679</v>
      </c>
      <c r="C687" s="238">
        <f>(C686/C10)/1.983</f>
        <v>2.1071968878322886</v>
      </c>
      <c r="D687" s="238">
        <f>(D686/D10)/1.983</f>
        <v>50.867860686805592</v>
      </c>
      <c r="E687" s="40" t="s">
        <v>852</v>
      </c>
      <c r="F687" s="238">
        <f>(F686/F10)/1.983</f>
        <v>84.249453689695741</v>
      </c>
      <c r="G687" s="238">
        <f>(G686/G10)/1.983</f>
        <v>94.334097896637545</v>
      </c>
      <c r="H687" s="238">
        <f>(H686/H10)/1.983</f>
        <v>100.47066733904857</v>
      </c>
      <c r="I687" s="40" t="s">
        <v>852</v>
      </c>
      <c r="J687" s="238">
        <f>(J686/J10)/1.983</f>
        <v>102.56535389520602</v>
      </c>
      <c r="K687" s="238">
        <f>(K686/K10)/1.983</f>
        <v>95.960828331137236</v>
      </c>
      <c r="L687" s="238">
        <f>(L686/L10)/1.983</f>
        <v>85.678265254664652</v>
      </c>
      <c r="M687" s="40" t="s">
        <v>852</v>
      </c>
      <c r="N687" s="238">
        <f>(N686/N10)/1.983</f>
        <v>73.47941372635141</v>
      </c>
      <c r="O687" s="238">
        <f>(O686/O10)/1.983</f>
        <v>74.230963187090254</v>
      </c>
      <c r="P687" s="238">
        <f>(P686/P10)/1.983</f>
        <v>16.625185040586924</v>
      </c>
      <c r="Q687" s="40" t="s">
        <v>852</v>
      </c>
      <c r="R687" s="40" t="s">
        <v>852</v>
      </c>
    </row>
    <row r="688" spans="1:18" ht="15.75" customHeight="1" x14ac:dyDescent="0.3">
      <c r="A688" s="17"/>
      <c r="B688" s="172"/>
      <c r="C688" s="172"/>
      <c r="D688" s="172"/>
      <c r="E688" s="172"/>
      <c r="F688" s="172"/>
      <c r="G688" s="172"/>
      <c r="H688" s="172"/>
      <c r="I688" s="172"/>
      <c r="J688" s="172"/>
      <c r="K688" s="172"/>
      <c r="L688" s="172"/>
      <c r="M688" s="172"/>
      <c r="N688" s="172"/>
      <c r="O688" s="172"/>
      <c r="P688" s="172"/>
      <c r="Q688" s="172"/>
      <c r="R688" s="17"/>
    </row>
    <row r="689" spans="1:20" ht="15.75" customHeight="1" thickBot="1" x14ac:dyDescent="0.35">
      <c r="A689" s="17"/>
      <c r="B689" s="172"/>
      <c r="C689" s="172"/>
      <c r="D689" s="172"/>
      <c r="E689" s="172"/>
      <c r="F689" s="172"/>
      <c r="G689" s="172"/>
      <c r="H689" s="172"/>
      <c r="I689" s="172"/>
      <c r="J689" s="172"/>
      <c r="K689" s="172"/>
      <c r="L689" s="172"/>
      <c r="M689" s="172"/>
      <c r="N689" s="172"/>
      <c r="O689" s="172"/>
      <c r="P689" s="172"/>
      <c r="Q689" s="172"/>
      <c r="R689" s="17"/>
    </row>
    <row r="690" spans="1:20" ht="16.5" customHeight="1" thickBot="1" x14ac:dyDescent="0.35">
      <c r="A690" s="278" t="s">
        <v>2192</v>
      </c>
      <c r="B690" s="4" t="s">
        <v>2090</v>
      </c>
      <c r="C690" s="5" t="s">
        <v>2091</v>
      </c>
      <c r="D690" s="5" t="s">
        <v>2234</v>
      </c>
      <c r="E690" s="33" t="s">
        <v>1594</v>
      </c>
      <c r="F690" s="5" t="s">
        <v>2235</v>
      </c>
      <c r="G690" s="5" t="s">
        <v>2236</v>
      </c>
      <c r="H690" s="5" t="s">
        <v>2237</v>
      </c>
      <c r="I690" s="35" t="s">
        <v>1595</v>
      </c>
      <c r="J690" s="5" t="s">
        <v>1504</v>
      </c>
      <c r="K690" s="5" t="s">
        <v>1505</v>
      </c>
      <c r="L690" s="5" t="s">
        <v>1506</v>
      </c>
      <c r="M690" s="35" t="s">
        <v>1596</v>
      </c>
      <c r="N690" s="5" t="s">
        <v>1507</v>
      </c>
      <c r="O690" s="5" t="s">
        <v>1508</v>
      </c>
      <c r="P690" s="5" t="s">
        <v>1509</v>
      </c>
      <c r="Q690" s="35" t="s">
        <v>1597</v>
      </c>
      <c r="R690" s="60" t="s">
        <v>1510</v>
      </c>
    </row>
    <row r="691" spans="1:20" ht="16.5" customHeight="1" thickBot="1" x14ac:dyDescent="0.35">
      <c r="A691" s="22"/>
      <c r="B691" s="242"/>
      <c r="C691" s="242"/>
      <c r="D691" s="242"/>
      <c r="E691" s="233"/>
      <c r="F691" s="242"/>
      <c r="G691" s="242"/>
      <c r="H691" s="242"/>
      <c r="I691" s="282"/>
      <c r="J691" s="242"/>
      <c r="K691" s="242"/>
      <c r="L691" s="242"/>
      <c r="M691" s="282"/>
      <c r="N691" s="242"/>
      <c r="O691" s="242"/>
      <c r="P691" s="242"/>
      <c r="Q691" s="283"/>
      <c r="R691" s="61"/>
    </row>
    <row r="692" spans="1:20" ht="15.75" customHeight="1" x14ac:dyDescent="0.3">
      <c r="A692" s="234" t="s">
        <v>2417</v>
      </c>
      <c r="B692" s="172" t="s">
        <v>852</v>
      </c>
      <c r="C692" s="172" t="s">
        <v>852</v>
      </c>
      <c r="D692" s="172" t="s">
        <v>852</v>
      </c>
      <c r="E692" s="284"/>
      <c r="F692" s="172" t="s">
        <v>852</v>
      </c>
      <c r="G692" s="172" t="s">
        <v>852</v>
      </c>
      <c r="H692" s="172" t="s">
        <v>852</v>
      </c>
      <c r="I692" s="284"/>
      <c r="J692" s="172" t="s">
        <v>852</v>
      </c>
      <c r="K692" s="172" t="s">
        <v>852</v>
      </c>
      <c r="L692" s="172" t="s">
        <v>852</v>
      </c>
      <c r="M692" s="284"/>
      <c r="N692" s="172" t="s">
        <v>852</v>
      </c>
      <c r="O692" s="172" t="s">
        <v>852</v>
      </c>
      <c r="P692" s="172" t="s">
        <v>852</v>
      </c>
      <c r="Q692" s="285"/>
      <c r="R692" s="62" t="s">
        <v>852</v>
      </c>
    </row>
    <row r="693" spans="1:20" ht="15.75" customHeight="1" x14ac:dyDescent="0.3">
      <c r="A693" s="234" t="s">
        <v>2160</v>
      </c>
      <c r="B693" s="172"/>
      <c r="C693" s="172"/>
      <c r="D693" s="172"/>
      <c r="E693" s="38" t="s">
        <v>852</v>
      </c>
      <c r="F693" s="172"/>
      <c r="G693" s="172"/>
      <c r="H693" s="172"/>
      <c r="I693" s="38" t="s">
        <v>852</v>
      </c>
      <c r="J693" s="172"/>
      <c r="K693" s="172"/>
      <c r="L693" s="172"/>
      <c r="M693" s="38" t="s">
        <v>852</v>
      </c>
      <c r="N693" s="172"/>
      <c r="O693" s="172"/>
      <c r="P693" s="172"/>
      <c r="Q693" s="38" t="s">
        <v>852</v>
      </c>
      <c r="R693" s="38" t="s">
        <v>852</v>
      </c>
    </row>
    <row r="694" spans="1:20" ht="15.75" customHeight="1" x14ac:dyDescent="0.3">
      <c r="A694" s="266" t="s">
        <v>1910</v>
      </c>
      <c r="B694" s="10"/>
      <c r="C694" s="10"/>
      <c r="D694" s="10"/>
      <c r="E694" s="38">
        <f>SUM(B694:D694)</f>
        <v>0</v>
      </c>
      <c r="F694" s="10"/>
      <c r="G694" s="10"/>
      <c r="H694" s="10"/>
      <c r="I694" s="38">
        <f>SUM(F694:H694)</f>
        <v>0</v>
      </c>
      <c r="J694" s="10"/>
      <c r="K694" s="10"/>
      <c r="L694" s="10"/>
      <c r="M694" s="38">
        <f>SUM(J694:L694)</f>
        <v>0</v>
      </c>
      <c r="N694" s="10"/>
      <c r="O694" s="10"/>
      <c r="P694" s="10"/>
      <c r="Q694" s="38">
        <f>SUM(N694:P694)</f>
        <v>0</v>
      </c>
      <c r="R694" s="38">
        <f>+E694+I694+M694+Q694</f>
        <v>0</v>
      </c>
      <c r="T694" t="s">
        <v>2765</v>
      </c>
    </row>
    <row r="695" spans="1:20" ht="15.75" customHeight="1" x14ac:dyDescent="0.3">
      <c r="A695" s="539" t="s">
        <v>604</v>
      </c>
      <c r="B695" s="172"/>
      <c r="C695" s="172"/>
      <c r="D695" s="172"/>
      <c r="E695" s="38">
        <f>SUM(B695:D695)</f>
        <v>0</v>
      </c>
      <c r="F695" s="172"/>
      <c r="G695" s="172"/>
      <c r="H695" s="172"/>
      <c r="I695" s="38">
        <f>SUM(F695:H695)</f>
        <v>0</v>
      </c>
      <c r="J695" s="172"/>
      <c r="K695" s="172"/>
      <c r="L695" s="172"/>
      <c r="M695" s="38">
        <f>SUM(J695:L695)</f>
        <v>0</v>
      </c>
      <c r="N695" s="172"/>
      <c r="O695" s="172"/>
      <c r="P695" s="172">
        <v>1000</v>
      </c>
      <c r="Q695" s="38">
        <f>SUM(N695:P695)</f>
        <v>1000</v>
      </c>
      <c r="R695" s="38">
        <f>+E695+I695+M695+Q695</f>
        <v>1000</v>
      </c>
    </row>
    <row r="696" spans="1:20" ht="15.75" customHeight="1" x14ac:dyDescent="0.3">
      <c r="A696" s="310" t="s">
        <v>715</v>
      </c>
      <c r="B696" s="172">
        <v>2816</v>
      </c>
      <c r="C696" s="172">
        <v>1652</v>
      </c>
      <c r="D696" s="172">
        <v>2000</v>
      </c>
      <c r="E696" s="38">
        <f>SUM(B696:D696)</f>
        <v>6468</v>
      </c>
      <c r="F696" s="172">
        <v>2000</v>
      </c>
      <c r="G696" s="172">
        <v>1968</v>
      </c>
      <c r="H696" s="172">
        <v>1607</v>
      </c>
      <c r="I696" s="38">
        <f>SUM(F696:H696)</f>
        <v>5575</v>
      </c>
      <c r="J696" s="172">
        <v>1471</v>
      </c>
      <c r="K696" s="172">
        <v>2463</v>
      </c>
      <c r="L696" s="172">
        <v>2232</v>
      </c>
      <c r="M696" s="38">
        <f>SUM(J696:L696)</f>
        <v>6166</v>
      </c>
      <c r="N696" s="172">
        <v>1011</v>
      </c>
      <c r="O696" s="172">
        <v>1596</v>
      </c>
      <c r="P696" s="172">
        <v>184</v>
      </c>
      <c r="Q696" s="38">
        <f>SUM(N696:P696)</f>
        <v>2791</v>
      </c>
      <c r="R696" s="38">
        <f>+E696+I696+M696+Q696</f>
        <v>21000</v>
      </c>
    </row>
    <row r="697" spans="1:20" ht="15.75" customHeight="1" x14ac:dyDescent="0.3">
      <c r="A697" s="234" t="s">
        <v>2161</v>
      </c>
      <c r="B697" s="172"/>
      <c r="C697" s="172"/>
      <c r="D697" s="172"/>
      <c r="E697" s="38" t="s">
        <v>852</v>
      </c>
      <c r="F697" s="172"/>
      <c r="G697" s="172"/>
      <c r="H697" s="172"/>
      <c r="I697" s="38" t="s">
        <v>852</v>
      </c>
      <c r="J697" s="172"/>
      <c r="K697" s="172"/>
      <c r="L697" s="172"/>
      <c r="M697" s="38" t="s">
        <v>852</v>
      </c>
      <c r="N697" s="172"/>
      <c r="O697" s="172"/>
      <c r="P697" s="172"/>
      <c r="Q697" s="38" t="s">
        <v>852</v>
      </c>
      <c r="R697" s="38" t="s">
        <v>852</v>
      </c>
    </row>
    <row r="698" spans="1:20" ht="15.75" customHeight="1" x14ac:dyDescent="0.3">
      <c r="A698" s="234" t="s">
        <v>2162</v>
      </c>
      <c r="B698" s="172"/>
      <c r="C698" s="172"/>
      <c r="D698" s="172"/>
      <c r="E698" s="38" t="s">
        <v>852</v>
      </c>
      <c r="F698" s="172"/>
      <c r="G698" s="172"/>
      <c r="H698" s="172"/>
      <c r="I698" s="38" t="s">
        <v>852</v>
      </c>
      <c r="J698" s="172"/>
      <c r="K698" s="172"/>
      <c r="L698" s="172"/>
      <c r="M698" s="38" t="s">
        <v>852</v>
      </c>
      <c r="N698" s="172"/>
      <c r="O698" s="172"/>
      <c r="P698" s="172"/>
      <c r="Q698" s="38" t="s">
        <v>852</v>
      </c>
      <c r="R698" s="38" t="s">
        <v>852</v>
      </c>
    </row>
    <row r="699" spans="1:20" ht="15.75" customHeight="1" x14ac:dyDescent="0.3">
      <c r="A699" s="266" t="s">
        <v>447</v>
      </c>
      <c r="B699" s="172">
        <v>500</v>
      </c>
      <c r="C699" s="172">
        <v>0</v>
      </c>
      <c r="D699" s="172">
        <v>465</v>
      </c>
      <c r="E699" s="38">
        <f>SUM(B699:D699)</f>
        <v>965</v>
      </c>
      <c r="F699" s="172">
        <v>939</v>
      </c>
      <c r="G699" s="172">
        <v>652</v>
      </c>
      <c r="H699" s="172"/>
      <c r="I699" s="38">
        <f>SUM(F699:H699)</f>
        <v>1591</v>
      </c>
      <c r="J699" s="172"/>
      <c r="K699" s="172"/>
      <c r="L699" s="172"/>
      <c r="M699" s="38">
        <f>SUM(J699:L699)</f>
        <v>0</v>
      </c>
      <c r="N699" s="172"/>
      <c r="O699" s="172"/>
      <c r="P699" s="172"/>
      <c r="Q699" s="38">
        <f>SUM(N699:P699)</f>
        <v>0</v>
      </c>
      <c r="R699" s="38">
        <f>+E699+I699+M699+Q699</f>
        <v>2556</v>
      </c>
    </row>
    <row r="700" spans="1:20" ht="15.75" customHeight="1" thickBot="1" x14ac:dyDescent="0.35">
      <c r="A700" s="234" t="s">
        <v>2164</v>
      </c>
      <c r="B700" s="172"/>
      <c r="C700" s="172"/>
      <c r="D700" s="172"/>
      <c r="E700" s="38" t="s">
        <v>852</v>
      </c>
      <c r="F700" s="172"/>
      <c r="G700" s="172"/>
      <c r="H700" s="172"/>
      <c r="I700" s="38" t="s">
        <v>852</v>
      </c>
      <c r="J700" s="172"/>
      <c r="K700" s="172"/>
      <c r="L700" s="172"/>
      <c r="M700" s="38" t="s">
        <v>852</v>
      </c>
      <c r="N700" s="172"/>
      <c r="O700" s="172"/>
      <c r="P700" s="172"/>
      <c r="Q700" s="38" t="s">
        <v>852</v>
      </c>
      <c r="R700" s="38" t="s">
        <v>852</v>
      </c>
    </row>
    <row r="701" spans="1:20" ht="16.5" customHeight="1" thickBot="1" x14ac:dyDescent="0.35">
      <c r="A701" s="43" t="s">
        <v>1218</v>
      </c>
      <c r="B701" s="45">
        <f>SUM(B692:B700)</f>
        <v>3316</v>
      </c>
      <c r="C701" s="46">
        <f>SUM(C692:C700)</f>
        <v>1652</v>
      </c>
      <c r="D701" s="46">
        <f>SUM(D692:D700)</f>
        <v>2465</v>
      </c>
      <c r="E701" s="37">
        <f>SUM(B701:D701)</f>
        <v>7433</v>
      </c>
      <c r="F701" s="46">
        <f>SUM(F692:F700)</f>
        <v>2939</v>
      </c>
      <c r="G701" s="46">
        <f>SUM(G692:G700)</f>
        <v>2620</v>
      </c>
      <c r="H701" s="46">
        <f>SUM(H692:H700)</f>
        <v>1607</v>
      </c>
      <c r="I701" s="37">
        <f>SUM(F701:H701)</f>
        <v>7166</v>
      </c>
      <c r="J701" s="46">
        <f>SUM(J692:J700)</f>
        <v>1471</v>
      </c>
      <c r="K701" s="46">
        <f>SUM(K692:K700)</f>
        <v>2463</v>
      </c>
      <c r="L701" s="46">
        <f>SUM(L692:L700)</f>
        <v>2232</v>
      </c>
      <c r="M701" s="37">
        <f>SUM(J701:L701)</f>
        <v>6166</v>
      </c>
      <c r="N701" s="46">
        <f>SUM(N692:N700)</f>
        <v>1011</v>
      </c>
      <c r="O701" s="46">
        <f>SUM(O692:O700)</f>
        <v>1596</v>
      </c>
      <c r="P701" s="46">
        <f>SUM(P692:P700)</f>
        <v>1184</v>
      </c>
      <c r="Q701" s="37">
        <f>SUM(N701:P701)</f>
        <v>3791</v>
      </c>
      <c r="R701" s="37">
        <f>+E701+I701+M701+Q701</f>
        <v>24556</v>
      </c>
    </row>
    <row r="702" spans="1:20" ht="15.75" customHeight="1" x14ac:dyDescent="0.3">
      <c r="A702" s="234" t="s">
        <v>1172</v>
      </c>
      <c r="B702" s="172"/>
      <c r="C702" s="172"/>
      <c r="D702" s="172"/>
      <c r="E702" s="38" t="s">
        <v>852</v>
      </c>
      <c r="F702" s="172"/>
      <c r="G702" s="172"/>
      <c r="H702" s="172"/>
      <c r="I702" s="38" t="s">
        <v>852</v>
      </c>
      <c r="J702" s="172"/>
      <c r="K702" s="172"/>
      <c r="L702" s="172"/>
      <c r="M702" s="38" t="s">
        <v>852</v>
      </c>
      <c r="N702" s="172"/>
      <c r="O702" s="172"/>
      <c r="P702" s="172"/>
      <c r="Q702" s="38" t="s">
        <v>852</v>
      </c>
      <c r="R702" s="38" t="s">
        <v>852</v>
      </c>
    </row>
    <row r="703" spans="1:20" ht="15.75" customHeight="1" x14ac:dyDescent="0.3">
      <c r="A703" s="234" t="s">
        <v>2409</v>
      </c>
      <c r="B703" s="172"/>
      <c r="C703" s="172"/>
      <c r="D703" s="172"/>
      <c r="E703" s="38" t="s">
        <v>852</v>
      </c>
      <c r="F703" s="172"/>
      <c r="G703" s="172"/>
      <c r="H703" s="172"/>
      <c r="I703" s="38" t="s">
        <v>852</v>
      </c>
      <c r="J703" s="172"/>
      <c r="K703" s="172"/>
      <c r="L703" s="172"/>
      <c r="M703" s="38" t="s">
        <v>852</v>
      </c>
      <c r="N703" s="172"/>
      <c r="O703" s="172"/>
      <c r="P703" s="172"/>
      <c r="Q703" s="38" t="s">
        <v>852</v>
      </c>
      <c r="R703" s="38" t="s">
        <v>852</v>
      </c>
    </row>
    <row r="704" spans="1:20" ht="15.75" customHeight="1" x14ac:dyDescent="0.3">
      <c r="A704" s="539" t="s">
        <v>1648</v>
      </c>
      <c r="B704" s="172"/>
      <c r="C704" s="172"/>
      <c r="D704" s="172"/>
      <c r="E704" s="38">
        <f>SUM(B704:D704)</f>
        <v>0</v>
      </c>
      <c r="F704" s="172"/>
      <c r="G704" s="172"/>
      <c r="H704" s="172"/>
      <c r="I704" s="38">
        <f>SUM(F704:H704)</f>
        <v>0</v>
      </c>
      <c r="J704" s="172"/>
      <c r="K704" s="172"/>
      <c r="L704" s="172"/>
      <c r="M704" s="38">
        <f>SUM(J704:L704)</f>
        <v>0</v>
      </c>
      <c r="N704" s="172"/>
      <c r="O704" s="172"/>
      <c r="P704" s="172"/>
      <c r="Q704" s="38">
        <f>SUM(N704:P704)</f>
        <v>0</v>
      </c>
      <c r="R704" s="38">
        <f>+E704+I704+M704+Q704</f>
        <v>0</v>
      </c>
    </row>
    <row r="705" spans="1:20" ht="15.75" customHeight="1" thickBot="1" x14ac:dyDescent="0.35">
      <c r="A705" s="234" t="s">
        <v>2165</v>
      </c>
      <c r="B705" s="172"/>
      <c r="C705" s="172"/>
      <c r="D705" s="172"/>
      <c r="E705" s="38" t="s">
        <v>852</v>
      </c>
      <c r="F705" s="172"/>
      <c r="G705" s="172"/>
      <c r="H705" s="172"/>
      <c r="I705" s="38" t="s">
        <v>852</v>
      </c>
      <c r="J705" s="172"/>
      <c r="K705" s="172"/>
      <c r="L705" s="172"/>
      <c r="M705" s="38" t="s">
        <v>852</v>
      </c>
      <c r="N705" s="172"/>
      <c r="O705" s="172"/>
      <c r="P705" s="172"/>
      <c r="Q705" s="38" t="s">
        <v>852</v>
      </c>
      <c r="R705" s="38" t="s">
        <v>852</v>
      </c>
    </row>
    <row r="706" spans="1:20" ht="16.5" customHeight="1" thickBot="1" x14ac:dyDescent="0.35">
      <c r="A706" s="43" t="s">
        <v>1219</v>
      </c>
      <c r="B706" s="45">
        <f>SUM(B702:B705)</f>
        <v>0</v>
      </c>
      <c r="C706" s="46">
        <f>SUM(C702:C705)</f>
        <v>0</v>
      </c>
      <c r="D706" s="46">
        <f>SUM(D702:D705)</f>
        <v>0</v>
      </c>
      <c r="E706" s="37">
        <f>SUM(B706:D706)</f>
        <v>0</v>
      </c>
      <c r="F706" s="46">
        <f>SUM(F702:F705)</f>
        <v>0</v>
      </c>
      <c r="G706" s="46">
        <f>SUM(G702:G705)</f>
        <v>0</v>
      </c>
      <c r="H706" s="46">
        <f>SUM(H702:H705)</f>
        <v>0</v>
      </c>
      <c r="I706" s="37">
        <f>SUM(F706:H706)</f>
        <v>0</v>
      </c>
      <c r="J706" s="46">
        <f>SUM(J702:J705)</f>
        <v>0</v>
      </c>
      <c r="K706" s="46">
        <f>SUM(K702:K705)</f>
        <v>0</v>
      </c>
      <c r="L706" s="46">
        <f>SUM(L702:L705)</f>
        <v>0</v>
      </c>
      <c r="M706" s="37">
        <f>SUM(J706:L706)</f>
        <v>0</v>
      </c>
      <c r="N706" s="46">
        <f>SUM(N702:N705)</f>
        <v>0</v>
      </c>
      <c r="O706" s="46">
        <f>SUM(O702:O705)</f>
        <v>0</v>
      </c>
      <c r="P706" s="46">
        <f>SUM(P702:P705)</f>
        <v>0</v>
      </c>
      <c r="Q706" s="37">
        <f>SUM(N706:P706)</f>
        <v>0</v>
      </c>
      <c r="R706" s="37">
        <f>+E706+I706+M706+Q706</f>
        <v>0</v>
      </c>
    </row>
    <row r="707" spans="1:20" ht="15.75" customHeight="1" x14ac:dyDescent="0.3">
      <c r="A707" s="234" t="s">
        <v>2166</v>
      </c>
      <c r="B707" s="172"/>
      <c r="C707" s="172"/>
      <c r="D707" s="172"/>
      <c r="E707" s="38" t="s">
        <v>852</v>
      </c>
      <c r="F707" s="172"/>
      <c r="G707" s="172"/>
      <c r="H707" s="172"/>
      <c r="I707" s="38" t="s">
        <v>852</v>
      </c>
      <c r="J707" s="172" t="s">
        <v>852</v>
      </c>
      <c r="K707" s="172"/>
      <c r="L707" s="172"/>
      <c r="M707" s="38" t="s">
        <v>852</v>
      </c>
      <c r="N707" s="172"/>
      <c r="O707" s="172"/>
      <c r="P707" s="172"/>
      <c r="Q707" s="38" t="s">
        <v>852</v>
      </c>
      <c r="R707" s="38" t="s">
        <v>852</v>
      </c>
    </row>
    <row r="708" spans="1:20" ht="18" customHeight="1" x14ac:dyDescent="0.3">
      <c r="A708" s="234" t="s">
        <v>1245</v>
      </c>
      <c r="B708" s="172"/>
      <c r="C708" s="172"/>
      <c r="D708" s="172"/>
      <c r="E708" s="38" t="s">
        <v>852</v>
      </c>
      <c r="F708" s="172"/>
      <c r="G708" s="172"/>
      <c r="H708" s="172"/>
      <c r="I708" s="38" t="s">
        <v>852</v>
      </c>
      <c r="J708" s="172"/>
      <c r="K708" s="172"/>
      <c r="L708" s="172"/>
      <c r="M708" s="38" t="s">
        <v>852</v>
      </c>
      <c r="N708" s="172"/>
      <c r="O708" s="172"/>
      <c r="P708" s="172"/>
      <c r="Q708" s="38" t="s">
        <v>852</v>
      </c>
      <c r="R708" s="38" t="s">
        <v>852</v>
      </c>
    </row>
    <row r="709" spans="1:20" ht="15.75" customHeight="1" x14ac:dyDescent="0.3">
      <c r="A709" s="539" t="s">
        <v>2750</v>
      </c>
      <c r="B709" s="172">
        <v>579</v>
      </c>
      <c r="C709" s="172">
        <v>438</v>
      </c>
      <c r="D709" s="172">
        <v>535</v>
      </c>
      <c r="E709" s="38">
        <f>SUM(B709:D709)</f>
        <v>1552</v>
      </c>
      <c r="F709" s="172">
        <v>704</v>
      </c>
      <c r="G709" s="172">
        <v>809</v>
      </c>
      <c r="H709" s="172">
        <v>1090</v>
      </c>
      <c r="I709" s="38">
        <f>SUM(F709:H709)</f>
        <v>2603</v>
      </c>
      <c r="J709" s="172">
        <v>763</v>
      </c>
      <c r="K709" s="172">
        <v>605</v>
      </c>
      <c r="L709" s="172">
        <v>675</v>
      </c>
      <c r="M709" s="38">
        <f>SUM(J709:L709)</f>
        <v>2043</v>
      </c>
      <c r="N709" s="172">
        <v>719</v>
      </c>
      <c r="O709" s="172">
        <v>471</v>
      </c>
      <c r="P709" s="172">
        <v>140</v>
      </c>
      <c r="Q709" s="38">
        <f>SUM(N709:P709)</f>
        <v>1330</v>
      </c>
      <c r="R709" s="38">
        <f>+E709+I709+M709+Q709</f>
        <v>7528</v>
      </c>
      <c r="T709" t="s">
        <v>2805</v>
      </c>
    </row>
    <row r="710" spans="1:20" ht="15.75" customHeight="1" x14ac:dyDescent="0.3">
      <c r="A710" s="539" t="s">
        <v>2702</v>
      </c>
      <c r="B710" s="172"/>
      <c r="C710" s="172"/>
      <c r="D710" s="172"/>
      <c r="E710" s="38">
        <f>SUM(B710:D710)</f>
        <v>0</v>
      </c>
      <c r="F710" s="172"/>
      <c r="G710" s="172"/>
      <c r="H710" s="172"/>
      <c r="I710" s="38">
        <f>SUM(F710:H710)</f>
        <v>0</v>
      </c>
      <c r="J710" s="172"/>
      <c r="K710" s="172"/>
      <c r="L710" s="172"/>
      <c r="M710" s="38">
        <f>SUM(J710:L710)</f>
        <v>0</v>
      </c>
      <c r="N710" s="172"/>
      <c r="O710" s="172"/>
      <c r="P710" s="172"/>
      <c r="Q710" s="38">
        <f>SUM(N710:P710)</f>
        <v>0</v>
      </c>
      <c r="R710" s="38">
        <f>+E710+I710+M710+Q710</f>
        <v>0</v>
      </c>
    </row>
    <row r="711" spans="1:20" ht="15.75" customHeight="1" x14ac:dyDescent="0.3">
      <c r="A711" s="234" t="s">
        <v>1711</v>
      </c>
      <c r="B711" s="172"/>
      <c r="C711" s="172"/>
      <c r="D711" s="172"/>
      <c r="E711" s="38" t="s">
        <v>852</v>
      </c>
      <c r="F711" s="172"/>
      <c r="G711" s="172"/>
      <c r="H711" s="172"/>
      <c r="I711" s="38" t="s">
        <v>852</v>
      </c>
      <c r="J711" s="172"/>
      <c r="K711" s="172"/>
      <c r="L711" s="172"/>
      <c r="M711" s="38" t="s">
        <v>852</v>
      </c>
      <c r="N711" s="172"/>
      <c r="O711" s="172"/>
      <c r="P711" s="172"/>
      <c r="Q711" s="38" t="s">
        <v>852</v>
      </c>
      <c r="R711" s="38" t="s">
        <v>852</v>
      </c>
    </row>
    <row r="712" spans="1:20" ht="15.75" customHeight="1" x14ac:dyDescent="0.3">
      <c r="A712" s="539" t="s">
        <v>2935</v>
      </c>
      <c r="B712" s="172">
        <v>25</v>
      </c>
      <c r="C712" s="172">
        <v>39</v>
      </c>
      <c r="D712" s="172">
        <v>60</v>
      </c>
      <c r="E712" s="38">
        <f>SUM(B712:D712)</f>
        <v>124</v>
      </c>
      <c r="F712" s="172">
        <v>79</v>
      </c>
      <c r="G712" s="172">
        <v>94</v>
      </c>
      <c r="H712" s="172">
        <v>103</v>
      </c>
      <c r="I712" s="38">
        <f>SUM(F712:H712)</f>
        <v>276</v>
      </c>
      <c r="J712" s="172">
        <v>85</v>
      </c>
      <c r="K712" s="172">
        <v>64</v>
      </c>
      <c r="L712" s="172">
        <v>37</v>
      </c>
      <c r="M712" s="38">
        <f>SUM(J712:L712)</f>
        <v>186</v>
      </c>
      <c r="N712" s="172">
        <v>68</v>
      </c>
      <c r="O712" s="172">
        <v>24</v>
      </c>
      <c r="P712" s="172">
        <v>22</v>
      </c>
      <c r="Q712" s="38">
        <f>SUM(N712:P712)</f>
        <v>114</v>
      </c>
      <c r="R712" s="38">
        <f>+E712+I712+M712+Q712</f>
        <v>700</v>
      </c>
      <c r="T712" t="s">
        <v>2785</v>
      </c>
    </row>
    <row r="713" spans="1:20" ht="15.75" customHeight="1" x14ac:dyDescent="0.3">
      <c r="A713" s="539" t="s">
        <v>2749</v>
      </c>
      <c r="B713" s="172"/>
      <c r="C713" s="172"/>
      <c r="D713" s="172"/>
      <c r="E713" s="38">
        <f>SUM(B713:D713)</f>
        <v>0</v>
      </c>
      <c r="F713" s="172"/>
      <c r="G713" s="172"/>
      <c r="H713" s="172"/>
      <c r="I713" s="38">
        <f>SUM(F713:H713)</f>
        <v>0</v>
      </c>
      <c r="J713" s="172"/>
      <c r="K713" s="172"/>
      <c r="L713" s="172"/>
      <c r="M713" s="38">
        <f>SUM(J713:L713)</f>
        <v>0</v>
      </c>
      <c r="N713" s="172"/>
      <c r="O713" s="172"/>
      <c r="P713" s="172"/>
      <c r="Q713" s="38">
        <f>SUM(N713:P713)</f>
        <v>0</v>
      </c>
      <c r="R713" s="38">
        <f>+E713+I713+M713+Q713</f>
        <v>0</v>
      </c>
    </row>
    <row r="714" spans="1:20" ht="15.75" customHeight="1" x14ac:dyDescent="0.3">
      <c r="A714" s="310" t="s">
        <v>783</v>
      </c>
      <c r="B714" s="172"/>
      <c r="C714" s="172"/>
      <c r="D714" s="172"/>
      <c r="E714" s="38">
        <f>SUM(B714:D714)</f>
        <v>0</v>
      </c>
      <c r="F714" s="172"/>
      <c r="G714" s="172"/>
      <c r="H714" s="172">
        <v>1000</v>
      </c>
      <c r="I714" s="38">
        <f>SUM(F714:H714)</f>
        <v>1000</v>
      </c>
      <c r="J714" s="172">
        <v>1400</v>
      </c>
      <c r="K714" s="172"/>
      <c r="L714" s="172"/>
      <c r="M714" s="38">
        <f>SUM(J714:L714)</f>
        <v>1400</v>
      </c>
      <c r="N714" s="172"/>
      <c r="O714" s="172"/>
      <c r="P714" s="172"/>
      <c r="Q714" s="38">
        <f>SUM(N714:P714)</f>
        <v>0</v>
      </c>
      <c r="R714" s="38">
        <f>+E714+I714+M714+Q714</f>
        <v>2400</v>
      </c>
      <c r="T714" t="s">
        <v>2765</v>
      </c>
    </row>
    <row r="715" spans="1:20" ht="15.75" customHeight="1" thickBot="1" x14ac:dyDescent="0.35">
      <c r="A715" s="539" t="s">
        <v>2540</v>
      </c>
      <c r="B715" s="172">
        <v>573</v>
      </c>
      <c r="C715" s="172">
        <v>447</v>
      </c>
      <c r="D715" s="172">
        <v>586</v>
      </c>
      <c r="E715" s="38">
        <f>SUM(B715:D715)</f>
        <v>1606</v>
      </c>
      <c r="F715" s="172">
        <v>582</v>
      </c>
      <c r="G715" s="172">
        <v>683</v>
      </c>
      <c r="H715" s="172">
        <v>623</v>
      </c>
      <c r="I715" s="38">
        <f>SUM(F715:H715)</f>
        <v>1888</v>
      </c>
      <c r="J715" s="172">
        <v>689</v>
      </c>
      <c r="K715" s="172">
        <v>736</v>
      </c>
      <c r="L715" s="172">
        <v>702</v>
      </c>
      <c r="M715" s="38">
        <f>SUM(J715:L715)</f>
        <v>2127</v>
      </c>
      <c r="N715" s="172">
        <v>409</v>
      </c>
      <c r="O715" s="172">
        <v>147</v>
      </c>
      <c r="P715" s="172">
        <v>818</v>
      </c>
      <c r="Q715" s="38">
        <f>SUM(N715:P715)</f>
        <v>1374</v>
      </c>
      <c r="R715" s="38">
        <f>+E715+I715+M715+Q715</f>
        <v>6995</v>
      </c>
      <c r="T715" t="s">
        <v>2806</v>
      </c>
    </row>
    <row r="716" spans="1:20" ht="16.5" customHeight="1" thickBot="1" x14ac:dyDescent="0.35">
      <c r="A716" s="43" t="s">
        <v>1220</v>
      </c>
      <c r="B716" s="45">
        <f>SUM(B707:B715)</f>
        <v>1177</v>
      </c>
      <c r="C716" s="46">
        <f>SUM(C707:C715)</f>
        <v>924</v>
      </c>
      <c r="D716" s="46">
        <f>SUM(D707:D715)</f>
        <v>1181</v>
      </c>
      <c r="E716" s="37">
        <f>SUM(B716:D716)</f>
        <v>3282</v>
      </c>
      <c r="F716" s="46">
        <f>SUM(F707:F715)</f>
        <v>1365</v>
      </c>
      <c r="G716" s="46">
        <f>SUM(G707:G715)</f>
        <v>1586</v>
      </c>
      <c r="H716" s="46">
        <f>SUM(H707:H715)</f>
        <v>2816</v>
      </c>
      <c r="I716" s="37">
        <f>SUM(F716:H716)</f>
        <v>5767</v>
      </c>
      <c r="J716" s="46">
        <f>SUM(J707:J715)</f>
        <v>2937</v>
      </c>
      <c r="K716" s="46">
        <f>SUM(K707:K715)</f>
        <v>1405</v>
      </c>
      <c r="L716" s="46">
        <f>SUM(L707:L715)</f>
        <v>1414</v>
      </c>
      <c r="M716" s="37">
        <f>SUM(J716:L716)</f>
        <v>5756</v>
      </c>
      <c r="N716" s="46">
        <f>SUM(N707:N715)</f>
        <v>1196</v>
      </c>
      <c r="O716" s="46">
        <f>SUM(O707:O715)</f>
        <v>642</v>
      </c>
      <c r="P716" s="46">
        <f>SUM(P707:P715)</f>
        <v>980</v>
      </c>
      <c r="Q716" s="37">
        <f>SUM(N716:P716)</f>
        <v>2818</v>
      </c>
      <c r="R716" s="37">
        <f>+E716+I716+M716+Q716</f>
        <v>17623</v>
      </c>
    </row>
    <row r="717" spans="1:20" ht="15.75" customHeight="1" x14ac:dyDescent="0.3">
      <c r="A717" s="234" t="s">
        <v>1712</v>
      </c>
      <c r="B717" s="172"/>
      <c r="C717" s="172"/>
      <c r="D717" s="172"/>
      <c r="E717" s="38" t="s">
        <v>852</v>
      </c>
      <c r="F717" s="172"/>
      <c r="G717" s="172"/>
      <c r="H717" s="172"/>
      <c r="I717" s="38" t="s">
        <v>852</v>
      </c>
      <c r="J717" s="172"/>
      <c r="K717" s="172"/>
      <c r="L717" s="172"/>
      <c r="M717" s="38" t="s">
        <v>852</v>
      </c>
      <c r="N717" s="172"/>
      <c r="O717" s="172"/>
      <c r="P717" s="172"/>
      <c r="Q717" s="38" t="s">
        <v>852</v>
      </c>
      <c r="R717" s="38" t="s">
        <v>852</v>
      </c>
    </row>
    <row r="718" spans="1:20" ht="15.75" customHeight="1" x14ac:dyDescent="0.3">
      <c r="A718" s="234" t="s">
        <v>1021</v>
      </c>
      <c r="B718" s="172"/>
      <c r="C718" s="172"/>
      <c r="D718" s="172"/>
      <c r="E718" s="38" t="s">
        <v>852</v>
      </c>
      <c r="F718" s="172"/>
      <c r="G718" s="172"/>
      <c r="H718" s="172"/>
      <c r="I718" s="38" t="s">
        <v>852</v>
      </c>
      <c r="J718" s="172"/>
      <c r="K718" s="172"/>
      <c r="L718" s="172"/>
      <c r="M718" s="38" t="s">
        <v>852</v>
      </c>
      <c r="N718" s="172"/>
      <c r="O718" s="172"/>
      <c r="P718" s="172"/>
      <c r="Q718" s="38" t="s">
        <v>852</v>
      </c>
      <c r="R718" s="38" t="s">
        <v>852</v>
      </c>
    </row>
    <row r="719" spans="1:20" ht="15.75" customHeight="1" x14ac:dyDescent="0.3">
      <c r="A719" s="266" t="s">
        <v>447</v>
      </c>
      <c r="B719" s="172"/>
      <c r="C719" s="172"/>
      <c r="D719" s="172"/>
      <c r="E719" s="38">
        <f>SUM(B719:D719)</f>
        <v>0</v>
      </c>
      <c r="F719" s="172"/>
      <c r="G719" s="172"/>
      <c r="H719" s="172"/>
      <c r="I719" s="38">
        <f>SUM(F719:H719)</f>
        <v>0</v>
      </c>
      <c r="J719" s="172"/>
      <c r="K719" s="172"/>
      <c r="L719" s="172"/>
      <c r="M719" s="38">
        <f>SUM(J719:L719)</f>
        <v>0</v>
      </c>
      <c r="N719" s="172"/>
      <c r="O719" s="172"/>
      <c r="P719" s="172"/>
      <c r="Q719" s="38">
        <f>SUM(N719:P719)</f>
        <v>0</v>
      </c>
      <c r="R719" s="38">
        <f>+E719+I719+M719+Q719</f>
        <v>0</v>
      </c>
    </row>
    <row r="720" spans="1:20" ht="15.75" customHeight="1" x14ac:dyDescent="0.3">
      <c r="A720" s="266" t="s">
        <v>2392</v>
      </c>
      <c r="B720" s="172"/>
      <c r="C720" s="172"/>
      <c r="D720" s="172"/>
      <c r="E720" s="38">
        <f>SUM(B720:D720)</f>
        <v>0</v>
      </c>
      <c r="F720" s="172"/>
      <c r="G720" s="172"/>
      <c r="H720" s="172"/>
      <c r="I720" s="38">
        <f>SUM(F720:H720)</f>
        <v>0</v>
      </c>
      <c r="J720" s="172"/>
      <c r="K720" s="172"/>
      <c r="L720" s="172"/>
      <c r="M720" s="38">
        <f>SUM(J720:L720)</f>
        <v>0</v>
      </c>
      <c r="N720" s="172"/>
      <c r="O720" s="172"/>
      <c r="P720" s="172"/>
      <c r="Q720" s="38">
        <f>SUM(N720:P720)</f>
        <v>0</v>
      </c>
      <c r="R720" s="38">
        <f>+E720+I720+M720+Q720</f>
        <v>0</v>
      </c>
    </row>
    <row r="721" spans="1:18" ht="15.75" customHeight="1" x14ac:dyDescent="0.3">
      <c r="A721" s="234" t="s">
        <v>557</v>
      </c>
      <c r="B721" s="172"/>
      <c r="C721" s="172"/>
      <c r="D721" s="172"/>
      <c r="E721" s="38" t="s">
        <v>852</v>
      </c>
      <c r="F721" s="172"/>
      <c r="G721" s="172"/>
      <c r="H721" s="172"/>
      <c r="I721" s="38" t="s">
        <v>852</v>
      </c>
      <c r="J721" s="172"/>
      <c r="K721" s="172"/>
      <c r="L721" s="172"/>
      <c r="M721" s="38" t="s">
        <v>852</v>
      </c>
      <c r="N721" s="172"/>
      <c r="O721" s="172"/>
      <c r="P721" s="172"/>
      <c r="Q721" s="38" t="s">
        <v>852</v>
      </c>
      <c r="R721" s="38" t="s">
        <v>852</v>
      </c>
    </row>
    <row r="722" spans="1:18" ht="15.75" customHeight="1" x14ac:dyDescent="0.3">
      <c r="A722" s="539" t="s">
        <v>2589</v>
      </c>
      <c r="B722" s="172"/>
      <c r="C722" s="172"/>
      <c r="D722" s="172"/>
      <c r="E722" s="38">
        <f>SUM(B722:D722)</f>
        <v>0</v>
      </c>
      <c r="F722" s="172"/>
      <c r="G722" s="172"/>
      <c r="H722" s="172"/>
      <c r="I722" s="38">
        <f>SUM(F722:H722)</f>
        <v>0</v>
      </c>
      <c r="J722" s="172"/>
      <c r="K722" s="172"/>
      <c r="L722" s="172"/>
      <c r="M722" s="38">
        <f>SUM(J722:L722)</f>
        <v>0</v>
      </c>
      <c r="N722" s="172">
        <v>1008</v>
      </c>
      <c r="O722" s="172"/>
      <c r="P722" s="172">
        <v>1036</v>
      </c>
      <c r="Q722" s="38">
        <f>SUM(N722:P722)</f>
        <v>2044</v>
      </c>
      <c r="R722" s="38">
        <f>+E722+I722+M722+Q722</f>
        <v>2044</v>
      </c>
    </row>
    <row r="723" spans="1:18" ht="15.75" customHeight="1" x14ac:dyDescent="0.3">
      <c r="A723" s="539" t="s">
        <v>2590</v>
      </c>
      <c r="B723" s="172"/>
      <c r="C723" s="172"/>
      <c r="D723" s="172"/>
      <c r="E723" s="38">
        <f>SUM(B723:D723)</f>
        <v>0</v>
      </c>
      <c r="F723" s="172"/>
      <c r="G723" s="172"/>
      <c r="H723" s="172"/>
      <c r="I723" s="38">
        <f>SUM(F723:H723)</f>
        <v>0</v>
      </c>
      <c r="J723" s="172"/>
      <c r="K723" s="172"/>
      <c r="L723" s="172"/>
      <c r="M723" s="38">
        <f>SUM(J723:L723)</f>
        <v>0</v>
      </c>
      <c r="N723" s="172"/>
      <c r="O723" s="172"/>
      <c r="P723" s="172"/>
      <c r="Q723" s="38">
        <f>SUM(N723:P723)</f>
        <v>0</v>
      </c>
      <c r="R723" s="38">
        <f>+E723+I723+M723+Q723</f>
        <v>0</v>
      </c>
    </row>
    <row r="724" spans="1:18" ht="15.75" customHeight="1" x14ac:dyDescent="0.3">
      <c r="A724" s="234" t="s">
        <v>1022</v>
      </c>
      <c r="B724" s="172"/>
      <c r="C724" s="172"/>
      <c r="D724" s="172"/>
      <c r="E724" s="38" t="s">
        <v>852</v>
      </c>
      <c r="F724" s="172"/>
      <c r="G724" s="172"/>
      <c r="H724" s="172"/>
      <c r="I724" s="38" t="s">
        <v>852</v>
      </c>
      <c r="J724" s="172"/>
      <c r="K724" s="172"/>
      <c r="L724" s="172"/>
      <c r="M724" s="38" t="s">
        <v>852</v>
      </c>
      <c r="N724" s="172"/>
      <c r="O724" s="172"/>
      <c r="P724" s="172"/>
      <c r="Q724" s="38" t="s">
        <v>852</v>
      </c>
      <c r="R724" s="38" t="s">
        <v>852</v>
      </c>
    </row>
    <row r="725" spans="1:18" ht="15.75" customHeight="1" thickBot="1" x14ac:dyDescent="0.35">
      <c r="A725" s="234" t="s">
        <v>559</v>
      </c>
      <c r="B725" s="172"/>
      <c r="C725" s="172"/>
      <c r="D725" s="172"/>
      <c r="E725" s="38" t="s">
        <v>852</v>
      </c>
      <c r="F725" s="172"/>
      <c r="G725" s="172"/>
      <c r="H725" s="172"/>
      <c r="I725" s="38" t="s">
        <v>852</v>
      </c>
      <c r="J725" s="172"/>
      <c r="K725" s="172"/>
      <c r="L725" s="172"/>
      <c r="M725" s="38" t="s">
        <v>852</v>
      </c>
      <c r="N725" s="172"/>
      <c r="O725" s="172"/>
      <c r="P725" s="172"/>
      <c r="Q725" s="38" t="s">
        <v>852</v>
      </c>
      <c r="R725" s="38" t="s">
        <v>852</v>
      </c>
    </row>
    <row r="726" spans="1:18" ht="16.5" customHeight="1" thickBot="1" x14ac:dyDescent="0.35">
      <c r="A726" s="43" t="s">
        <v>1019</v>
      </c>
      <c r="B726" s="42">
        <f>SUM(B724:B725)</f>
        <v>0</v>
      </c>
      <c r="C726" s="42">
        <f>SUM(C724:C725)</f>
        <v>0</v>
      </c>
      <c r="D726" s="42">
        <f>SUM(D724:D725)</f>
        <v>0</v>
      </c>
      <c r="E726" s="39">
        <f>SUM(B726:D726)</f>
        <v>0</v>
      </c>
      <c r="F726" s="42">
        <f>SUM(F724:F725)</f>
        <v>0</v>
      </c>
      <c r="G726" s="42">
        <f>SUM(G724:G725)</f>
        <v>0</v>
      </c>
      <c r="H726" s="42">
        <f>SUM(H724:H725)</f>
        <v>0</v>
      </c>
      <c r="I726" s="39">
        <f>SUM(F726:H726)</f>
        <v>0</v>
      </c>
      <c r="J726" s="42">
        <f>SUM(J724:J725)</f>
        <v>0</v>
      </c>
      <c r="K726" s="42">
        <f>SUM(K724:K725)</f>
        <v>0</v>
      </c>
      <c r="L726" s="42">
        <f>SUM(L724:L725)</f>
        <v>0</v>
      </c>
      <c r="M726" s="39">
        <f>SUM(J726:L726)</f>
        <v>0</v>
      </c>
      <c r="N726" s="42">
        <f>SUM(N724:N725)</f>
        <v>0</v>
      </c>
      <c r="O726" s="42">
        <f>SUM(O724:O725)</f>
        <v>0</v>
      </c>
      <c r="P726" s="42">
        <f>SUM(P724:P725)</f>
        <v>0</v>
      </c>
      <c r="Q726" s="39">
        <f>SUM(N726:P726)</f>
        <v>0</v>
      </c>
      <c r="R726" s="37">
        <f>+E726+I726+M726+Q726</f>
        <v>0</v>
      </c>
    </row>
    <row r="727" spans="1:18" ht="16.5" customHeight="1" thickBot="1" x14ac:dyDescent="0.35">
      <c r="A727" s="43" t="s">
        <v>1221</v>
      </c>
      <c r="B727" s="45">
        <f>SUM(B717:B725)</f>
        <v>0</v>
      </c>
      <c r="C727" s="46">
        <f>SUM(C717:C725)</f>
        <v>0</v>
      </c>
      <c r="D727" s="58">
        <f>SUM(D717:D725)</f>
        <v>0</v>
      </c>
      <c r="E727" s="39">
        <f>SUM(B727:D727)</f>
        <v>0</v>
      </c>
      <c r="F727" s="46">
        <f>SUM(F717:F725)</f>
        <v>0</v>
      </c>
      <c r="G727" s="46">
        <f>SUM(G717:G725)</f>
        <v>0</v>
      </c>
      <c r="H727" s="46">
        <f>SUM(H717:H725)</f>
        <v>0</v>
      </c>
      <c r="I727" s="39">
        <f>SUM(F727:H727)</f>
        <v>0</v>
      </c>
      <c r="J727" s="46">
        <f>SUM(J717:J725)</f>
        <v>0</v>
      </c>
      <c r="K727" s="46">
        <f>SUM(K717:K725)</f>
        <v>0</v>
      </c>
      <c r="L727" s="46">
        <f>SUM(L717:L725)</f>
        <v>0</v>
      </c>
      <c r="M727" s="39">
        <f>SUM(J727:L727)</f>
        <v>0</v>
      </c>
      <c r="N727" s="46">
        <f>SUM(N717:N725)</f>
        <v>1008</v>
      </c>
      <c r="O727" s="46">
        <f>SUM(O717:O725)</f>
        <v>0</v>
      </c>
      <c r="P727" s="46">
        <f>SUM(P717:P725)</f>
        <v>1036</v>
      </c>
      <c r="Q727" s="39">
        <f>SUM(N727:P727)</f>
        <v>2044</v>
      </c>
      <c r="R727" s="37">
        <f>+E727+I727+M727+Q727</f>
        <v>2044</v>
      </c>
    </row>
    <row r="728" spans="1:18" ht="16.5" customHeight="1" thickBot="1" x14ac:dyDescent="0.35">
      <c r="A728" s="43" t="s">
        <v>1222</v>
      </c>
      <c r="B728" s="47">
        <f>+B701+B706+B716+B727</f>
        <v>4493</v>
      </c>
      <c r="C728" s="42">
        <f>+C701+C706+C716+C727</f>
        <v>2576</v>
      </c>
      <c r="D728" s="42">
        <f>+D701+D706+D716+D727</f>
        <v>3646</v>
      </c>
      <c r="E728" s="37">
        <f>SUM(B728:D728)</f>
        <v>10715</v>
      </c>
      <c r="F728" s="42">
        <f>+F701+F706+F716+F727</f>
        <v>4304</v>
      </c>
      <c r="G728" s="42">
        <f>+G701+G706+G716+G727</f>
        <v>4206</v>
      </c>
      <c r="H728" s="42">
        <f>+H701+H706+H716+H727</f>
        <v>4423</v>
      </c>
      <c r="I728" s="37">
        <f>SUM(F728:H728)</f>
        <v>12933</v>
      </c>
      <c r="J728" s="42">
        <f>+J701+J706+J716+J727</f>
        <v>4408</v>
      </c>
      <c r="K728" s="42">
        <f>+K701+K706+K716+K727</f>
        <v>3868</v>
      </c>
      <c r="L728" s="42">
        <f>+L701+L706+L716+L727</f>
        <v>3646</v>
      </c>
      <c r="M728" s="37">
        <f>SUM(J728:L728)</f>
        <v>11922</v>
      </c>
      <c r="N728" s="42">
        <f>+N701+N706+N716+N727</f>
        <v>3215</v>
      </c>
      <c r="O728" s="42">
        <f>+O701+O706+O716+O727</f>
        <v>2238</v>
      </c>
      <c r="P728" s="42">
        <f>+P701+P706+P716+P727</f>
        <v>3200</v>
      </c>
      <c r="Q728" s="37">
        <f>SUM(N728:P728)</f>
        <v>8653</v>
      </c>
      <c r="R728" s="40">
        <f>+E728+I728+M728+Q728</f>
        <v>44223</v>
      </c>
    </row>
    <row r="729" spans="1:18" ht="16.5" customHeight="1" thickBot="1" x14ac:dyDescent="0.35">
      <c r="A729" s="244" t="s">
        <v>853</v>
      </c>
      <c r="B729" s="238">
        <v>11</v>
      </c>
      <c r="C729" s="238">
        <v>13</v>
      </c>
      <c r="D729" s="238">
        <v>17</v>
      </c>
      <c r="E729" s="38">
        <f>SUM(B729:D729)</f>
        <v>41</v>
      </c>
      <c r="F729" s="238">
        <v>21</v>
      </c>
      <c r="G729" s="238">
        <v>23</v>
      </c>
      <c r="H729" s="238">
        <v>25</v>
      </c>
      <c r="I729" s="38">
        <f>SUM(F729:H729)</f>
        <v>69</v>
      </c>
      <c r="J729" s="238">
        <v>25</v>
      </c>
      <c r="K729" s="238">
        <v>21</v>
      </c>
      <c r="L729" s="238">
        <v>19</v>
      </c>
      <c r="M729" s="38">
        <f>SUM(J729:L729)</f>
        <v>65</v>
      </c>
      <c r="N729" s="238">
        <v>17</v>
      </c>
      <c r="O729" s="238">
        <v>13</v>
      </c>
      <c r="P729" s="238">
        <v>11</v>
      </c>
      <c r="Q729" s="38">
        <f>SUM(N729:P729)</f>
        <v>41</v>
      </c>
      <c r="R729" s="38">
        <f>+E729+I729+M729+Q729</f>
        <v>216</v>
      </c>
    </row>
    <row r="730" spans="1:18" ht="16.5" customHeight="1" thickBot="1" x14ac:dyDescent="0.35">
      <c r="A730" s="22"/>
      <c r="B730" s="242"/>
      <c r="C730" s="242"/>
      <c r="D730" s="242"/>
      <c r="E730" s="37" t="s">
        <v>852</v>
      </c>
      <c r="F730" s="242"/>
      <c r="G730" s="242"/>
      <c r="H730" s="242"/>
      <c r="I730" s="37" t="s">
        <v>852</v>
      </c>
      <c r="J730" s="242"/>
      <c r="K730" s="242"/>
      <c r="L730" s="242"/>
      <c r="M730" s="37" t="s">
        <v>852</v>
      </c>
      <c r="N730" s="242"/>
      <c r="O730" s="242"/>
      <c r="P730" s="242"/>
      <c r="Q730" s="37" t="s">
        <v>852</v>
      </c>
      <c r="R730" s="37" t="s">
        <v>852</v>
      </c>
    </row>
    <row r="731" spans="1:18" ht="15.75" customHeight="1" x14ac:dyDescent="0.3">
      <c r="A731" s="234" t="s">
        <v>2011</v>
      </c>
      <c r="B731" s="172">
        <f>SUM(B728:B729)</f>
        <v>4504</v>
      </c>
      <c r="C731" s="172">
        <f>SUM(C728:C729)</f>
        <v>2589</v>
      </c>
      <c r="D731" s="172">
        <f>SUM(D728:D729)</f>
        <v>3663</v>
      </c>
      <c r="E731" s="39">
        <f>SUM(B731:D731)</f>
        <v>10756</v>
      </c>
      <c r="F731" s="172">
        <f>SUM(F728:F729)</f>
        <v>4325</v>
      </c>
      <c r="G731" s="172">
        <f>SUM(G728:G729)</f>
        <v>4229</v>
      </c>
      <c r="H731" s="172">
        <f>SUM(H728:H729)</f>
        <v>4448</v>
      </c>
      <c r="I731" s="39">
        <f>SUM(F731:H731)</f>
        <v>13002</v>
      </c>
      <c r="J731" s="172">
        <f>SUM(J728:J729)</f>
        <v>4433</v>
      </c>
      <c r="K731" s="172">
        <f>SUM(K728:K729)</f>
        <v>3889</v>
      </c>
      <c r="L731" s="172">
        <f>SUM(L728:L729)</f>
        <v>3665</v>
      </c>
      <c r="M731" s="39">
        <f>SUM(J731:L731)</f>
        <v>11987</v>
      </c>
      <c r="N731" s="172">
        <f>SUM(N728:N729)</f>
        <v>3232</v>
      </c>
      <c r="O731" s="172">
        <f>SUM(O728:O729)</f>
        <v>2251</v>
      </c>
      <c r="P731" s="172">
        <f>SUM(P728:P729)</f>
        <v>3211</v>
      </c>
      <c r="Q731" s="39">
        <f>SUM(N731:P731)</f>
        <v>8694</v>
      </c>
      <c r="R731" s="39">
        <f>+E731+I731+M731+Q731</f>
        <v>44439</v>
      </c>
    </row>
    <row r="732" spans="1:18" ht="15.75" customHeight="1" x14ac:dyDescent="0.3">
      <c r="A732" s="234" t="s">
        <v>1897</v>
      </c>
      <c r="B732" s="172">
        <f>(B731/B10)/1.983</f>
        <v>73.267938769866433</v>
      </c>
      <c r="C732" s="172">
        <f>(C731/C10)/1.983</f>
        <v>46.628484979468332</v>
      </c>
      <c r="D732" s="172">
        <f>(D731/D10)/1.983</f>
        <v>59.587135815723968</v>
      </c>
      <c r="E732" s="38" t="s">
        <v>852</v>
      </c>
      <c r="F732" s="172">
        <f>(F731/F10)/1.983</f>
        <v>72.701294335182382</v>
      </c>
      <c r="G732" s="172">
        <f>(G731/G10)/1.983</f>
        <v>68.794430074992263</v>
      </c>
      <c r="H732" s="172">
        <f>(H731/H10)/1.983</f>
        <v>74.768868717431502</v>
      </c>
      <c r="I732" s="38" t="s">
        <v>852</v>
      </c>
      <c r="J732" s="172">
        <f>(J731/J10)/1.983</f>
        <v>72.11296016137166</v>
      </c>
      <c r="K732" s="172">
        <f>(K731/K10)/1.983</f>
        <v>63.263546597693292</v>
      </c>
      <c r="L732" s="172">
        <f>(L731/L10)/1.983</f>
        <v>61.606992771894433</v>
      </c>
      <c r="M732" s="38" t="s">
        <v>852</v>
      </c>
      <c r="N732" s="172">
        <f>(N731/N10)/1.983</f>
        <v>52.575927643030276</v>
      </c>
      <c r="O732" s="172">
        <f>(O731/O10)/1.983</f>
        <v>37.838292149941161</v>
      </c>
      <c r="P732" s="172">
        <f>(P731/P10)/1.983</f>
        <v>52.234314251785335</v>
      </c>
      <c r="Q732" s="38" t="s">
        <v>852</v>
      </c>
      <c r="R732" s="38" t="s">
        <v>852</v>
      </c>
    </row>
    <row r="733" spans="1:18" ht="15.75" customHeight="1" x14ac:dyDescent="0.3">
      <c r="A733" s="234" t="s">
        <v>2050</v>
      </c>
      <c r="B733" s="172">
        <f>B731</f>
        <v>4504</v>
      </c>
      <c r="C733" s="172">
        <f>C731</f>
        <v>2589</v>
      </c>
      <c r="D733" s="172">
        <f>D731</f>
        <v>3663</v>
      </c>
      <c r="E733" s="38">
        <f>SUM(B733:D733)</f>
        <v>10756</v>
      </c>
      <c r="F733" s="172">
        <f>F731</f>
        <v>4325</v>
      </c>
      <c r="G733" s="172">
        <f>G731</f>
        <v>4229</v>
      </c>
      <c r="H733" s="172">
        <f>H731</f>
        <v>4448</v>
      </c>
      <c r="I733" s="38">
        <f>SUM(F733:H733)</f>
        <v>13002</v>
      </c>
      <c r="J733" s="172">
        <f>J731</f>
        <v>4433</v>
      </c>
      <c r="K733" s="172">
        <f>K731</f>
        <v>3889</v>
      </c>
      <c r="L733" s="172">
        <f>L731</f>
        <v>3665</v>
      </c>
      <c r="M733" s="38">
        <f>SUM(J733:L733)</f>
        <v>11987</v>
      </c>
      <c r="N733" s="172">
        <f>N731</f>
        <v>3232</v>
      </c>
      <c r="O733" s="172">
        <f>O731</f>
        <v>2251</v>
      </c>
      <c r="P733" s="172">
        <f>P731</f>
        <v>3211</v>
      </c>
      <c r="Q733" s="38">
        <f>SUM(N733:P733)</f>
        <v>8694</v>
      </c>
      <c r="R733" s="38">
        <f>+E733+I733+M733+Q733</f>
        <v>44439</v>
      </c>
    </row>
    <row r="734" spans="1:18" ht="16.5" customHeight="1" thickBot="1" x14ac:dyDescent="0.35">
      <c r="A734" s="237" t="s">
        <v>2051</v>
      </c>
      <c r="B734" s="238">
        <f>(B733/B10)/1.983</f>
        <v>73.267938769866433</v>
      </c>
      <c r="C734" s="238">
        <f>(C733/C10)/1.983</f>
        <v>46.628484979468332</v>
      </c>
      <c r="D734" s="238">
        <f>(D733/D10)/1.983</f>
        <v>59.587135815723968</v>
      </c>
      <c r="E734" s="40" t="s">
        <v>852</v>
      </c>
      <c r="F734" s="238">
        <f>(F733/F10)/1.983</f>
        <v>72.701294335182382</v>
      </c>
      <c r="G734" s="238">
        <f>(G733/G10)/1.983</f>
        <v>68.794430074992263</v>
      </c>
      <c r="H734" s="238">
        <f>(H733/H10)/1.983</f>
        <v>74.768868717431502</v>
      </c>
      <c r="I734" s="40" t="s">
        <v>852</v>
      </c>
      <c r="J734" s="238">
        <f>(J733/J10)/1.983</f>
        <v>72.11296016137166</v>
      </c>
      <c r="K734" s="238">
        <f>(K733/K10)/1.983</f>
        <v>63.263546597693292</v>
      </c>
      <c r="L734" s="238">
        <f>(L733/L10)/1.983</f>
        <v>61.606992771894433</v>
      </c>
      <c r="M734" s="40" t="s">
        <v>852</v>
      </c>
      <c r="N734" s="238">
        <f>(N733/N10)/1.983</f>
        <v>52.575927643030276</v>
      </c>
      <c r="O734" s="238">
        <f>(O733/O10)/1.983</f>
        <v>37.838292149941161</v>
      </c>
      <c r="P734" s="238">
        <f>(P733/P10)/1.983</f>
        <v>52.234314251785335</v>
      </c>
      <c r="Q734" s="40" t="s">
        <v>852</v>
      </c>
      <c r="R734" s="40" t="s">
        <v>852</v>
      </c>
    </row>
    <row r="735" spans="1:18" ht="15.75" customHeight="1" x14ac:dyDescent="0.3">
      <c r="A735" s="18"/>
      <c r="B735" s="172"/>
      <c r="C735" s="172"/>
      <c r="D735" s="172"/>
      <c r="E735" s="17"/>
      <c r="F735" s="172"/>
      <c r="G735" s="172"/>
      <c r="H735" s="172"/>
      <c r="I735" s="17"/>
      <c r="J735" s="172"/>
      <c r="K735" s="172"/>
      <c r="L735" s="172"/>
      <c r="M735" s="17"/>
      <c r="N735" s="172"/>
      <c r="O735" s="172"/>
      <c r="P735" s="172"/>
      <c r="Q735" s="17"/>
      <c r="R735" s="17"/>
    </row>
    <row r="736" spans="1:18" ht="15.75" customHeight="1" x14ac:dyDescent="0.3">
      <c r="A736" s="18"/>
      <c r="B736" s="172"/>
      <c r="C736" s="172"/>
      <c r="D736" s="172"/>
      <c r="E736" s="172"/>
      <c r="F736" s="172"/>
      <c r="G736" s="172"/>
      <c r="H736" s="172"/>
      <c r="I736" s="172"/>
      <c r="J736" s="172"/>
      <c r="K736" s="172"/>
      <c r="L736" s="172"/>
      <c r="M736" s="172"/>
      <c r="N736" s="172"/>
      <c r="O736" s="172"/>
      <c r="P736" s="172"/>
      <c r="Q736" s="680" t="str">
        <f>+Q1</f>
        <v xml:space="preserve">PRINTED:  </v>
      </c>
      <c r="R736" s="681">
        <f ca="1">+R1</f>
        <v>44881.729634027775</v>
      </c>
    </row>
    <row r="737" spans="1:18" ht="15.75" customHeight="1" x14ac:dyDescent="0.3">
      <c r="A737" s="778" t="s">
        <v>43</v>
      </c>
      <c r="B737" s="778"/>
      <c r="C737" s="778"/>
      <c r="D737" s="778"/>
      <c r="E737" s="778"/>
      <c r="F737" s="778"/>
      <c r="G737" s="778"/>
      <c r="H737" s="778"/>
      <c r="I737" s="778"/>
      <c r="J737" s="778"/>
      <c r="K737" s="778"/>
      <c r="L737" s="778"/>
      <c r="M737" s="778"/>
      <c r="N737" s="778"/>
      <c r="O737" s="778"/>
      <c r="P737" s="778"/>
      <c r="Q737" s="778"/>
      <c r="R737" s="778"/>
    </row>
    <row r="738" spans="1:18" ht="15.75" customHeight="1" x14ac:dyDescent="0.3">
      <c r="A738" s="778" t="s">
        <v>1988</v>
      </c>
      <c r="B738" s="778"/>
      <c r="C738" s="778"/>
      <c r="D738" s="778"/>
      <c r="E738" s="778"/>
      <c r="F738" s="778"/>
      <c r="G738" s="778"/>
      <c r="H738" s="778"/>
      <c r="I738" s="778"/>
      <c r="J738" s="778"/>
      <c r="K738" s="778"/>
      <c r="L738" s="778"/>
      <c r="M738" s="778"/>
      <c r="N738" s="778"/>
      <c r="O738" s="778"/>
      <c r="P738" s="778"/>
      <c r="Q738" s="778"/>
      <c r="R738" s="778"/>
    </row>
    <row r="739" spans="1:18" ht="15.75" customHeight="1" x14ac:dyDescent="0.3">
      <c r="A739" s="778" t="s">
        <v>544</v>
      </c>
      <c r="B739" s="778"/>
      <c r="C739" s="778"/>
      <c r="D739" s="778"/>
      <c r="E739" s="778"/>
      <c r="F739" s="778"/>
      <c r="G739" s="778"/>
      <c r="H739" s="778"/>
      <c r="I739" s="778"/>
      <c r="J739" s="778"/>
      <c r="K739" s="778"/>
      <c r="L739" s="778"/>
      <c r="M739" s="778"/>
      <c r="N739" s="778"/>
      <c r="O739" s="778"/>
      <c r="P739" s="778"/>
      <c r="Q739" s="778"/>
      <c r="R739" s="778"/>
    </row>
    <row r="740" spans="1:18" ht="15.75" customHeight="1" x14ac:dyDescent="0.3">
      <c r="A740" s="783">
        <f>+A5</f>
        <v>2014</v>
      </c>
      <c r="B740" s="783"/>
      <c r="C740" s="783"/>
      <c r="D740" s="783"/>
      <c r="E740" s="783"/>
      <c r="F740" s="783"/>
      <c r="G740" s="783"/>
      <c r="H740" s="783"/>
      <c r="I740" s="783"/>
      <c r="J740" s="783"/>
      <c r="K740" s="783"/>
      <c r="L740" s="783"/>
      <c r="M740" s="783"/>
      <c r="N740" s="783"/>
      <c r="O740" s="783"/>
      <c r="P740" s="783"/>
      <c r="Q740" s="783"/>
      <c r="R740" s="783"/>
    </row>
    <row r="741" spans="1:18" ht="15.75" customHeight="1" x14ac:dyDescent="0.3">
      <c r="A741" s="172"/>
      <c r="B741" s="172"/>
      <c r="C741" s="172"/>
      <c r="D741" s="1"/>
      <c r="E741" s="1"/>
      <c r="F741" s="1"/>
      <c r="G741" s="452"/>
      <c r="H741" s="1"/>
      <c r="I741" s="1"/>
      <c r="J741" s="452"/>
      <c r="K741" s="452"/>
      <c r="L741" s="452"/>
      <c r="M741" s="452"/>
      <c r="N741" s="172"/>
      <c r="O741" s="452"/>
      <c r="P741" s="452"/>
      <c r="Q741" s="452"/>
      <c r="R741" s="452"/>
    </row>
    <row r="742" spans="1:18" ht="15.75" customHeight="1" x14ac:dyDescent="0.3">
      <c r="A742" s="778" t="str">
        <f>+A8</f>
        <v>Revised:  2/10/2015</v>
      </c>
      <c r="B742" s="778"/>
      <c r="C742" s="778"/>
      <c r="D742" s="778"/>
      <c r="E742" s="778"/>
      <c r="F742" s="778"/>
      <c r="G742" s="778"/>
      <c r="H742" s="778"/>
      <c r="I742" s="778"/>
      <c r="J742" s="778"/>
      <c r="K742" s="778"/>
      <c r="L742" s="778"/>
      <c r="M742" s="778"/>
      <c r="N742" s="778"/>
      <c r="O742" s="778"/>
      <c r="P742" s="778"/>
      <c r="Q742" s="778"/>
      <c r="R742" s="778"/>
    </row>
    <row r="743" spans="1:18" ht="15.75" customHeight="1" x14ac:dyDescent="0.3">
      <c r="A743" s="448"/>
      <c r="B743" s="448"/>
      <c r="C743" s="448"/>
      <c r="D743" s="448"/>
      <c r="E743" s="448"/>
      <c r="F743" s="448"/>
      <c r="G743" s="448"/>
      <c r="H743" s="448"/>
      <c r="I743" s="448"/>
      <c r="J743" s="448"/>
      <c r="K743" s="448"/>
      <c r="L743" s="448"/>
      <c r="M743" s="448"/>
      <c r="N743" s="448"/>
      <c r="O743" s="448"/>
      <c r="P743" s="448"/>
      <c r="Q743" s="448"/>
      <c r="R743" s="448"/>
    </row>
    <row r="744" spans="1:18" ht="15.75" customHeight="1" x14ac:dyDescent="0.3">
      <c r="A744" s="448"/>
      <c r="B744" s="448"/>
      <c r="C744" s="448"/>
      <c r="D744" s="448"/>
      <c r="E744" s="448"/>
      <c r="F744" s="448"/>
      <c r="G744" s="448"/>
      <c r="H744" s="448"/>
      <c r="I744" s="448"/>
      <c r="J744" s="448"/>
      <c r="K744" s="448"/>
      <c r="L744" s="448"/>
      <c r="M744" s="448"/>
      <c r="N744" s="448"/>
      <c r="O744" s="448"/>
      <c r="P744" s="448"/>
      <c r="Q744" s="448"/>
      <c r="R744" s="448"/>
    </row>
    <row r="745" spans="1:18" ht="15.75" customHeight="1" thickBot="1" x14ac:dyDescent="0.35">
      <c r="A745" s="18"/>
      <c r="B745" s="172"/>
      <c r="C745" s="172"/>
      <c r="D745" s="172"/>
      <c r="E745" s="172"/>
      <c r="F745" s="172"/>
      <c r="G745" s="172"/>
      <c r="H745" s="172"/>
      <c r="I745" s="172"/>
      <c r="J745" s="172"/>
      <c r="K745" s="172"/>
      <c r="L745" s="172"/>
      <c r="M745" s="172"/>
      <c r="N745" s="172"/>
      <c r="O745" s="172"/>
      <c r="P745" s="172"/>
      <c r="Q745" s="172"/>
      <c r="R745" s="17"/>
    </row>
    <row r="746" spans="1:18" ht="16.5" customHeight="1" thickBot="1" x14ac:dyDescent="0.35">
      <c r="A746" s="278" t="s">
        <v>1661</v>
      </c>
      <c r="B746" s="4" t="s">
        <v>2090</v>
      </c>
      <c r="C746" s="5" t="s">
        <v>2091</v>
      </c>
      <c r="D746" s="5" t="s">
        <v>2234</v>
      </c>
      <c r="E746" s="33" t="s">
        <v>1594</v>
      </c>
      <c r="F746" s="5" t="s">
        <v>2235</v>
      </c>
      <c r="G746" s="5" t="s">
        <v>2236</v>
      </c>
      <c r="H746" s="5" t="s">
        <v>2237</v>
      </c>
      <c r="I746" s="35" t="s">
        <v>1595</v>
      </c>
      <c r="J746" s="5" t="s">
        <v>1504</v>
      </c>
      <c r="K746" s="5" t="s">
        <v>1505</v>
      </c>
      <c r="L746" s="5" t="s">
        <v>1506</v>
      </c>
      <c r="M746" s="35" t="s">
        <v>1596</v>
      </c>
      <c r="N746" s="5" t="s">
        <v>1507</v>
      </c>
      <c r="O746" s="5" t="s">
        <v>1508</v>
      </c>
      <c r="P746" s="5" t="s">
        <v>1509</v>
      </c>
      <c r="Q746" s="35" t="s">
        <v>1597</v>
      </c>
      <c r="R746" s="60" t="s">
        <v>1510</v>
      </c>
    </row>
    <row r="747" spans="1:18" ht="16.5" customHeight="1" thickBot="1" x14ac:dyDescent="0.35">
      <c r="A747" s="22"/>
      <c r="B747" s="242"/>
      <c r="C747" s="242"/>
      <c r="D747" s="242"/>
      <c r="E747" s="233"/>
      <c r="F747" s="242"/>
      <c r="G747" s="242"/>
      <c r="H747" s="242"/>
      <c r="I747" s="282"/>
      <c r="J747" s="242"/>
      <c r="K747" s="242"/>
      <c r="L747" s="242"/>
      <c r="M747" s="282"/>
      <c r="N747" s="242"/>
      <c r="O747" s="242"/>
      <c r="P747" s="242"/>
      <c r="Q747" s="283"/>
      <c r="R747" s="61"/>
    </row>
    <row r="748" spans="1:18" ht="15.75" customHeight="1" x14ac:dyDescent="0.3">
      <c r="A748" s="234" t="s">
        <v>2417</v>
      </c>
      <c r="B748" s="172" t="s">
        <v>852</v>
      </c>
      <c r="C748" s="172" t="s">
        <v>852</v>
      </c>
      <c r="D748" s="172" t="s">
        <v>852</v>
      </c>
      <c r="E748" s="284"/>
      <c r="F748" s="172" t="s">
        <v>852</v>
      </c>
      <c r="G748" s="172" t="s">
        <v>852</v>
      </c>
      <c r="H748" s="172" t="s">
        <v>852</v>
      </c>
      <c r="I748" s="284"/>
      <c r="J748" s="172" t="s">
        <v>852</v>
      </c>
      <c r="K748" s="172" t="s">
        <v>852</v>
      </c>
      <c r="L748" s="172" t="s">
        <v>852</v>
      </c>
      <c r="M748" s="284"/>
      <c r="N748" s="172" t="s">
        <v>852</v>
      </c>
      <c r="O748" s="172" t="s">
        <v>852</v>
      </c>
      <c r="P748" s="172" t="s">
        <v>852</v>
      </c>
      <c r="Q748" s="285"/>
      <c r="R748" s="62" t="s">
        <v>852</v>
      </c>
    </row>
    <row r="749" spans="1:18" ht="15.75" customHeight="1" x14ac:dyDescent="0.3">
      <c r="A749" s="545" t="s">
        <v>2160</v>
      </c>
      <c r="B749" s="172">
        <f>+SUM(B71:B81)+SUM(B138:B174)+SUM(B291:B307)+SUM(B423:B425)+SUM(B464:B467)+SUM(B506:B514)+SUM(B569:B572)+SUM(B605:B608)+SUM(B659:B660)+SUM(B693:B696)</f>
        <v>22766</v>
      </c>
      <c r="C749" s="172">
        <f>+SUM(C71:C81)+SUM(C138:C174)+SUM(C291:C307)+SUM(C423:C425)+SUM(C464:C467)+SUM(C506:C514)+SUM(C569:C572)+SUM(C605:C608)+SUM(C659:C660)+SUM(C693:C696)</f>
        <v>22177</v>
      </c>
      <c r="D749" s="172">
        <f>+SUM(D71:D81)+SUM(D138:D174)+SUM(D291:D307)+SUM(D423:D425)+SUM(D464:D467)+SUM(D506:D514)+SUM(D569:D572)+SUM(D605:D608)+SUM(D659:D660)+SUM(D693:D696)</f>
        <v>37429</v>
      </c>
      <c r="E749" s="38">
        <f t="shared" ref="E749:E755" si="104">SUM(B749:D749)</f>
        <v>82372</v>
      </c>
      <c r="F749" s="172">
        <f>+SUM(F71:F81)+SUM(F138:F174)+SUM(F291:F307)+SUM(F423:F425)+SUM(F464:F467)+SUM(F506:F514)+SUM(F569:F572)+SUM(F605:F608)+SUM(F659:F660)+SUM(F693:F696)</f>
        <v>34466</v>
      </c>
      <c r="G749" s="172">
        <f>+SUM(G71:G81)+SUM(G138:G174)+SUM(G291:G307)+SUM(G423:G425)+SUM(G464:G467)+SUM(G506:G514)+SUM(G569:G572)+SUM(G605:G608)+SUM(G659:G660)+SUM(G693:G696)</f>
        <v>34262</v>
      </c>
      <c r="H749" s="172">
        <f>+SUM(H71:H81)+SUM(H138:H174)+SUM(H291:H307)+SUM(H423:H425)+SUM(H464:H467)+SUM(H506:H514)+SUM(H569:H572)+SUM(H605:H608)+SUM(H659:H660)+SUM(H693:H696)</f>
        <v>38445</v>
      </c>
      <c r="I749" s="38">
        <f t="shared" ref="I749:I755" si="105">SUM(F749:H749)</f>
        <v>107173</v>
      </c>
      <c r="J749" s="172">
        <f>+SUM(J71:J81)+SUM(J138:J174)+SUM(J291:J307)+SUM(J423:J425)+SUM(J464:J467)+SUM(J506:J514)+SUM(J569:J572)+SUM(J605:J608)+SUM(J659:J660)+SUM(J693:J696)</f>
        <v>53207</v>
      </c>
      <c r="K749" s="172">
        <f>+SUM(K71:K81)+SUM(K138:K174)+SUM(K291:K307)+SUM(K423:K425)+SUM(K464:K467)+SUM(K506:K514)+SUM(K569:K572)+SUM(K605:K608)+SUM(K659:K660)+SUM(K693:K696)</f>
        <v>50086</v>
      </c>
      <c r="L749" s="172">
        <f>+SUM(L71:L81)+SUM(L138:L174)+SUM(L291:L307)+SUM(L423:L425)+SUM(L464:L467)+SUM(L506:L514)+SUM(L569:L572)+SUM(L605:L608)+SUM(L659:L660)+SUM(L693:L696)</f>
        <v>51125</v>
      </c>
      <c r="M749" s="38">
        <f t="shared" ref="M749:M755" si="106">SUM(J749:L749)</f>
        <v>154418</v>
      </c>
      <c r="N749" s="172">
        <f>+SUM(N71:N81)+SUM(N138:N174)+SUM(N291:N307)+SUM(N423:N425)+SUM(N464:N467)+SUM(N506:N514)+SUM(N569:N572)+SUM(N605:N608)+SUM(N659:N660)+SUM(N693:N696)</f>
        <v>44942</v>
      </c>
      <c r="O749" s="172">
        <f>+SUM(O71:O81)+SUM(O138:O174)+SUM(O291:O307)+SUM(O423:O425)+SUM(O464:O467)+SUM(O506:O514)+SUM(O569:O572)+SUM(O605:O608)+SUM(O659:O660)+SUM(O693:O696)</f>
        <v>34208</v>
      </c>
      <c r="P749" s="172">
        <f>+SUM(P71:P81)+SUM(P138:P174)+SUM(P291:P307)+SUM(P423:P425)+SUM(P464:P467)+SUM(P506:P514)+SUM(P569:P572)+SUM(P605:P608)+SUM(P659:P660)+SUM(P693:P696)</f>
        <v>36620</v>
      </c>
      <c r="Q749" s="38">
        <f t="shared" ref="Q749:Q754" si="107">SUM(N749:P749)</f>
        <v>115770</v>
      </c>
      <c r="R749" s="38">
        <f t="shared" ref="R749:R754" si="108">+E749+I749+M749+Q749</f>
        <v>459733</v>
      </c>
    </row>
    <row r="750" spans="1:18" ht="15.75" customHeight="1" x14ac:dyDescent="0.3">
      <c r="A750" s="234" t="s">
        <v>2642</v>
      </c>
      <c r="B750" s="172">
        <f>+B38+SUM(B82:B84)+SUM(B176:B186)+SUM(B309:B322)+SUM(B427:B429)+B468+SUM(B515:B516)+B573+B609+B661+SUM(B697:B697)</f>
        <v>160</v>
      </c>
      <c r="C750" s="172">
        <f>+C38+SUM(C82:C84)+SUM(C176:C186)+SUM(C309:C322)+SUM(C427:C429)+C468+SUM(C515:C516)+C573+C609+C661+SUM(C697:C697)</f>
        <v>363</v>
      </c>
      <c r="D750" s="172">
        <f>+D38+SUM(D82:D84)+SUM(D176:D186)+SUM(D309:D322)+SUM(D427:D429)+D468+SUM(D515:D516)+D573+D609+D661+SUM(D697:D697)</f>
        <v>474</v>
      </c>
      <c r="E750" s="38">
        <f t="shared" si="104"/>
        <v>997</v>
      </c>
      <c r="F750" s="172">
        <f>+F38+SUM(F82:F84)+SUM(F176:F186)+SUM(F309:F322)+SUM(F427:F429)+F468+SUM(F515:F516)+F573+F609+F661+SUM(F697:F697)</f>
        <v>278</v>
      </c>
      <c r="G750" s="172">
        <f>+G38+SUM(G82:G84)+SUM(G176:G186)+SUM(G309:G322)+SUM(G427:G429)+G468+SUM(G515:G516)+G573+G609+G661+SUM(G697:G697)</f>
        <v>387</v>
      </c>
      <c r="H750" s="172">
        <f>+H38+SUM(H82:H84)+SUM(H176:H186)+SUM(H309:H322)+SUM(H427:H429)+H468+SUM(H515:H516)+H573+H609+H661+SUM(H697:H697)</f>
        <v>475</v>
      </c>
      <c r="I750" s="38">
        <f t="shared" si="105"/>
        <v>1140</v>
      </c>
      <c r="J750" s="172">
        <f>+J38+SUM(J82:J84)+SUM(J176:J186)+SUM(J309:J322)+SUM(J427:J429)+J468+SUM(J515:J516)+J573+J609+J661+SUM(J697:J697)</f>
        <v>689</v>
      </c>
      <c r="K750" s="172">
        <f>+K38+SUM(K82:K84)+SUM(K176:K186)+SUM(K309:K322)+SUM(K427:K429)+K468+SUM(K515:K516)+K573+K609+K661+SUM(K697:K697)</f>
        <v>731</v>
      </c>
      <c r="L750" s="172">
        <f>+L38+SUM(L82:L84)+SUM(L176:L186)+SUM(L309:L322)+SUM(L427:L429)+L468+SUM(L515:L516)+L573+L609+L661+SUM(L697:L697)</f>
        <v>679</v>
      </c>
      <c r="M750" s="38">
        <f t="shared" si="106"/>
        <v>2099</v>
      </c>
      <c r="N750" s="172">
        <f>+N38+SUM(N82:N84)+SUM(N176:N186)+SUM(N309:N322)+SUM(N427:N429)+N468+SUM(N515:N516)+N573+N609+N661+SUM(N697:N697)</f>
        <v>337</v>
      </c>
      <c r="O750" s="172">
        <f>+O38+SUM(O82:O84)+SUM(O176:O186)+SUM(O309:O322)+SUM(O427:O429)+O468+SUM(O515:O516)+O573+O609+O661+SUM(O697:O697)</f>
        <v>215</v>
      </c>
      <c r="P750" s="172">
        <f>+P38+SUM(P82:P84)+SUM(P176:P186)+SUM(P309:P322)+SUM(P427:P429)+P468+SUM(P515:P516)+P573+P609+P661+SUM(P697:P697)</f>
        <v>111</v>
      </c>
      <c r="Q750" s="38">
        <f t="shared" si="107"/>
        <v>663</v>
      </c>
      <c r="R750" s="38">
        <f t="shared" si="108"/>
        <v>4899</v>
      </c>
    </row>
    <row r="751" spans="1:18" ht="15.75" customHeight="1" x14ac:dyDescent="0.3">
      <c r="A751" s="545" t="s">
        <v>2647</v>
      </c>
      <c r="B751" s="172">
        <f>+SUM(B85:B87)+SUM(B187:B190)+SUM(B323:B327)+B430+B469+SUM(B517:B518)+B574+B610+B662+SUM(B698:B699)</f>
        <v>1020</v>
      </c>
      <c r="C751" s="172">
        <f>+SUM(C85:C87)+SUM(C187:C190)+SUM(C323:C327)+C430+C469+SUM(C517:C518)+C574+C610+C662+SUM(C698:C699)</f>
        <v>2192</v>
      </c>
      <c r="D751" s="172">
        <f>+SUM(D85:D87)+SUM(D187:D190)+SUM(D323:D327)+D430+D469+SUM(D517:D518)+D574+D610+D662+SUM(D698:D699)</f>
        <v>3078</v>
      </c>
      <c r="E751" s="38">
        <f t="shared" si="104"/>
        <v>6290</v>
      </c>
      <c r="F751" s="172">
        <f>+SUM(F85:F87)+SUM(F187:F190)+SUM(F323:F327)+F430+F469+SUM(F517:F518)+F574+F610+F662+SUM(F698:F699)</f>
        <v>3996</v>
      </c>
      <c r="G751" s="172">
        <f>+SUM(G85:G87)+SUM(G187:G190)+SUM(G323:G327)+G430+G469+SUM(G517:G518)+G574+G610+G662+SUM(G698:G699)</f>
        <v>4691</v>
      </c>
      <c r="H751" s="172">
        <f>+SUM(H85:H87)+SUM(H187:H190)+SUM(H323:H327)+H430+H469+SUM(H517:H518)+H574+H610+H662+SUM(H698:H699)</f>
        <v>5314</v>
      </c>
      <c r="I751" s="38">
        <f t="shared" si="105"/>
        <v>14001</v>
      </c>
      <c r="J751" s="172">
        <f>+SUM(J85:J87)+SUM(J187:J190)+SUM(J323:J327)+J430+J469+SUM(J517:J518)+J574+J610+J662+SUM(J698:J699)</f>
        <v>4716</v>
      </c>
      <c r="K751" s="172">
        <f>+SUM(K85:K87)+SUM(K187:K190)+SUM(K323:K327)+K430+K469+SUM(K517:K518)+K574+K610+K662+SUM(K698:K699)</f>
        <v>1828</v>
      </c>
      <c r="L751" s="172">
        <f>+SUM(L85:L87)+SUM(L187:L190)+SUM(L323:L327)+L430+L469+SUM(L517:L518)+L574+L610+L662+SUM(L698:L699)</f>
        <v>1321</v>
      </c>
      <c r="M751" s="38">
        <f t="shared" si="106"/>
        <v>7865</v>
      </c>
      <c r="N751" s="172">
        <f>+SUM(N85:N87)+SUM(N187:N190)+SUM(N323:N327)+N430+N469+SUM(N517:N518)+N574+N610+N662+SUM(N698:N699)</f>
        <v>2065</v>
      </c>
      <c r="O751" s="172">
        <f>+SUM(O85:O87)+SUM(O187:O190)+SUM(O323:O327)+O430+O469+SUM(O517:O518)+O574+O610+O662+SUM(O698:O699)</f>
        <v>3225</v>
      </c>
      <c r="P751" s="172">
        <f>+SUM(P85:P87)+SUM(P187:P190)+SUM(P323:P327)+P430+P469+SUM(P517:P518)+P574+P610+P662+SUM(P698:P699)</f>
        <v>1012</v>
      </c>
      <c r="Q751" s="38">
        <f t="shared" si="107"/>
        <v>6302</v>
      </c>
      <c r="R751" s="38">
        <f t="shared" si="108"/>
        <v>34458</v>
      </c>
    </row>
    <row r="752" spans="1:18" ht="15.75" customHeight="1" x14ac:dyDescent="0.3">
      <c r="A752" s="234" t="s">
        <v>2958</v>
      </c>
      <c r="B752" s="172">
        <f>+B268+B404+B405</f>
        <v>0</v>
      </c>
      <c r="C752" s="172">
        <f>+C268+C404+C405</f>
        <v>0</v>
      </c>
      <c r="D752" s="172">
        <f>+D268+D404+D405</f>
        <v>0</v>
      </c>
      <c r="E752" s="38">
        <f t="shared" si="104"/>
        <v>0</v>
      </c>
      <c r="F752" s="172">
        <f>+F268+F404+F405</f>
        <v>0</v>
      </c>
      <c r="G752" s="172">
        <f>+G268+G404+G405</f>
        <v>0</v>
      </c>
      <c r="H752" s="172">
        <f>+H268+H404+H405</f>
        <v>0</v>
      </c>
      <c r="I752" s="38">
        <f t="shared" si="105"/>
        <v>0</v>
      </c>
      <c r="J752" s="172">
        <f>+J268+J404+J405</f>
        <v>0</v>
      </c>
      <c r="K752" s="172">
        <f>+K268+K404+K405</f>
        <v>0</v>
      </c>
      <c r="L752" s="172">
        <f>+L268+L404+L405</f>
        <v>0</v>
      </c>
      <c r="M752" s="38">
        <f t="shared" si="106"/>
        <v>0</v>
      </c>
      <c r="N752" s="172">
        <f>+N268+N404+N405</f>
        <v>0</v>
      </c>
      <c r="O752" s="172">
        <f>+O268+O404+O405</f>
        <v>0</v>
      </c>
      <c r="P752" s="172">
        <f>+P268+P404+P405</f>
        <v>0</v>
      </c>
      <c r="Q752" s="38">
        <f t="shared" si="107"/>
        <v>0</v>
      </c>
      <c r="R752" s="38">
        <f t="shared" si="108"/>
        <v>0</v>
      </c>
    </row>
    <row r="753" spans="1:20" ht="15.75" customHeight="1" x14ac:dyDescent="0.3">
      <c r="A753" s="545" t="s">
        <v>2163</v>
      </c>
      <c r="B753" s="172">
        <f>+B269</f>
        <v>17</v>
      </c>
      <c r="C753" s="172">
        <f>+C269</f>
        <v>34</v>
      </c>
      <c r="D753" s="172">
        <f>+D269</f>
        <v>11</v>
      </c>
      <c r="E753" s="38">
        <f>SUM(B753:D753)</f>
        <v>62</v>
      </c>
      <c r="F753" s="172">
        <f>+F269</f>
        <v>17</v>
      </c>
      <c r="G753" s="172">
        <f>+G269</f>
        <v>13</v>
      </c>
      <c r="H753" s="172">
        <f>+H269</f>
        <v>15</v>
      </c>
      <c r="I753" s="38">
        <f>SUM(F753:H753)</f>
        <v>45</v>
      </c>
      <c r="J753" s="172">
        <f>+J269</f>
        <v>11</v>
      </c>
      <c r="K753" s="172">
        <f>+K269</f>
        <v>17</v>
      </c>
      <c r="L753" s="172">
        <f>+L269</f>
        <v>37</v>
      </c>
      <c r="M753" s="38">
        <f>SUM(J753:L753)</f>
        <v>65</v>
      </c>
      <c r="N753" s="172">
        <f>+N269</f>
        <v>30</v>
      </c>
      <c r="O753" s="172">
        <f>+O269</f>
        <v>56</v>
      </c>
      <c r="P753" s="172">
        <f>+P269</f>
        <v>8</v>
      </c>
      <c r="Q753" s="38">
        <f t="shared" si="107"/>
        <v>94</v>
      </c>
      <c r="R753" s="38">
        <f>+E753+I753+M753+Q753</f>
        <v>266</v>
      </c>
    </row>
    <row r="754" spans="1:20" ht="15.75" customHeight="1" thickBot="1" x14ac:dyDescent="0.35">
      <c r="A754" s="234" t="s">
        <v>2164</v>
      </c>
      <c r="B754" s="172">
        <f>+B88+B431+B470+B519+B575+B611+B663+B700</f>
        <v>0</v>
      </c>
      <c r="C754" s="172">
        <f>+C88+C431+C470+C519+C575+C611+C663+C700</f>
        <v>0</v>
      </c>
      <c r="D754" s="172">
        <f>+D88+D431+D470+D519+D575+D611+D663+D700</f>
        <v>0</v>
      </c>
      <c r="E754" s="38">
        <f t="shared" si="104"/>
        <v>0</v>
      </c>
      <c r="F754" s="172">
        <f>+F88+F431+F470+F519+F575+F611+F663+F700</f>
        <v>0</v>
      </c>
      <c r="G754" s="172">
        <f>+G88+G431+G470+G519+G575+G611+G663+G700</f>
        <v>0</v>
      </c>
      <c r="H754" s="172">
        <f>+H88+H431+H470+H519+H575+H611+H663+H700</f>
        <v>0</v>
      </c>
      <c r="I754" s="38">
        <f t="shared" si="105"/>
        <v>0</v>
      </c>
      <c r="J754" s="172">
        <f>+J88+J431+J470+J519+J575+J611+J663+J700</f>
        <v>0</v>
      </c>
      <c r="K754" s="172">
        <f>+K88+K431+K470+K519+K575+K611+K663+K700</f>
        <v>0</v>
      </c>
      <c r="L754" s="172">
        <f>+L88+L431+L470+L519+L575+L611+L663+L700</f>
        <v>0</v>
      </c>
      <c r="M754" s="38">
        <f t="shared" si="106"/>
        <v>0</v>
      </c>
      <c r="N754" s="172">
        <f>+N88+N431+N470+N519+N575+N611+N663+N700</f>
        <v>0</v>
      </c>
      <c r="O754" s="172">
        <f>+O88+O431+O470+O519+O575+O611+O663+O700</f>
        <v>0</v>
      </c>
      <c r="P754" s="172">
        <f>+P88+P431+P470+P519+P575+P611+P663+P700</f>
        <v>0</v>
      </c>
      <c r="Q754" s="38">
        <f t="shared" si="107"/>
        <v>0</v>
      </c>
      <c r="R754" s="38">
        <f t="shared" si="108"/>
        <v>0</v>
      </c>
    </row>
    <row r="755" spans="1:20" ht="16.5" customHeight="1" thickBot="1" x14ac:dyDescent="0.35">
      <c r="A755" s="43" t="s">
        <v>1218</v>
      </c>
      <c r="B755" s="45">
        <f>SUM(B748:B754)</f>
        <v>23963</v>
      </c>
      <c r="C755" s="46">
        <f>SUM(C748:C754)</f>
        <v>24766</v>
      </c>
      <c r="D755" s="46">
        <f>SUM(D748:D754)</f>
        <v>40992</v>
      </c>
      <c r="E755" s="37">
        <f t="shared" si="104"/>
        <v>89721</v>
      </c>
      <c r="F755" s="46">
        <f>SUM(F748:F754)</f>
        <v>38757</v>
      </c>
      <c r="G755" s="46">
        <f>SUM(G748:G754)</f>
        <v>39353</v>
      </c>
      <c r="H755" s="46">
        <f>SUM(H748:H754)</f>
        <v>44249</v>
      </c>
      <c r="I755" s="37">
        <f t="shared" si="105"/>
        <v>122359</v>
      </c>
      <c r="J755" s="46">
        <f>SUM(J748:J754)</f>
        <v>58623</v>
      </c>
      <c r="K755" s="46">
        <f>SUM(K748:K754)</f>
        <v>52662</v>
      </c>
      <c r="L755" s="46">
        <f>SUM(L748:L754)</f>
        <v>53162</v>
      </c>
      <c r="M755" s="37">
        <f t="shared" si="106"/>
        <v>164447</v>
      </c>
      <c r="N755" s="46">
        <f>SUM(N748:N754)</f>
        <v>47374</v>
      </c>
      <c r="O755" s="46">
        <f>SUM(O748:O754)</f>
        <v>37704</v>
      </c>
      <c r="P755" s="46">
        <f>SUM(P748:P754)</f>
        <v>37751</v>
      </c>
      <c r="Q755" s="37">
        <f>SUM(N755:P755)</f>
        <v>122829</v>
      </c>
      <c r="R755" s="37">
        <f>+E755+I755+M755+Q755</f>
        <v>499356</v>
      </c>
      <c r="T755">
        <f>+R755-R752-R751</f>
        <v>464898</v>
      </c>
    </row>
    <row r="756" spans="1:20" ht="15.75" customHeight="1" x14ac:dyDescent="0.3">
      <c r="A756" s="234" t="s">
        <v>1172</v>
      </c>
      <c r="B756" s="172"/>
      <c r="C756" s="172"/>
      <c r="D756" s="172"/>
      <c r="E756" s="38" t="s">
        <v>852</v>
      </c>
      <c r="F756" s="172"/>
      <c r="G756" s="172"/>
      <c r="H756" s="172"/>
      <c r="I756" s="38" t="s">
        <v>852</v>
      </c>
      <c r="J756" s="172"/>
      <c r="K756" s="172"/>
      <c r="L756" s="172"/>
      <c r="M756" s="38" t="s">
        <v>852</v>
      </c>
      <c r="N756" s="172"/>
      <c r="O756" s="172"/>
      <c r="P756" s="172"/>
      <c r="Q756" s="38" t="s">
        <v>852</v>
      </c>
      <c r="R756" s="38" t="s">
        <v>852</v>
      </c>
    </row>
    <row r="757" spans="1:20" ht="15.75" customHeight="1" x14ac:dyDescent="0.3">
      <c r="A757" s="234" t="s">
        <v>1658</v>
      </c>
      <c r="B757" s="172">
        <f>SUM(B43:B43)+SUM(B194:B194)+SUM(B91:B91)+SUM(B331:B331)</f>
        <v>0</v>
      </c>
      <c r="C757" s="172">
        <f>SUM(C43:C43)+SUM(C194:C194)+SUM(C91:C91)+SUM(C331:C331)</f>
        <v>0</v>
      </c>
      <c r="D757" s="172">
        <f>SUM(D43:D43)+SUM(D194:D194)+SUM(D91:D91)+SUM(D331:D331)</f>
        <v>0</v>
      </c>
      <c r="E757" s="38">
        <f>SUM(B757:D757)</f>
        <v>0</v>
      </c>
      <c r="F757" s="172">
        <f>SUM(F43:F43)+SUM(F194:F194)+SUM(F91:F91)+SUM(F331:F331)</f>
        <v>0</v>
      </c>
      <c r="G757" s="172">
        <f>SUM(G43:G43)+SUM(G194:G194)+SUM(G91:G91)+SUM(G331:G331)</f>
        <v>0</v>
      </c>
      <c r="H757" s="172">
        <f>SUM(H43:H43)+SUM(H194:H194)+SUM(H91:H91)+SUM(H331:H331)</f>
        <v>0</v>
      </c>
      <c r="I757" s="38">
        <f>SUM(F757:H757)</f>
        <v>0</v>
      </c>
      <c r="J757" s="172">
        <f>SUM(J43:J43)+SUM(J194:J194)+SUM(J91:J91)+SUM(J331:J331)</f>
        <v>0</v>
      </c>
      <c r="K757" s="172">
        <f>SUM(K43:K43)+SUM(K194:K194)+SUM(K91:K91)+SUM(K331:K331)</f>
        <v>0</v>
      </c>
      <c r="L757" s="172">
        <f>SUM(L43:L43)+SUM(L194:L194)+SUM(L91:L91)+SUM(L331:L331)</f>
        <v>0</v>
      </c>
      <c r="M757" s="38">
        <f>SUM(J757:L757)</f>
        <v>0</v>
      </c>
      <c r="N757" s="172">
        <f>SUM(N43:N43)+SUM(N194:N194)+SUM(N91:N91)+SUM(N331:N331)</f>
        <v>0</v>
      </c>
      <c r="O757" s="172">
        <f>SUM(O43:O43)+SUM(O194:O194)+SUM(O91:O91)+SUM(O331:O331)</f>
        <v>0</v>
      </c>
      <c r="P757" s="172">
        <f>SUM(P43:P43)+SUM(P194:P194)+SUM(P91:P91)+SUM(P331:P331)</f>
        <v>0</v>
      </c>
      <c r="Q757" s="38">
        <f>SUM(N757:P757)</f>
        <v>0</v>
      </c>
      <c r="R757" s="38">
        <f>+E757+I757+M757+Q757</f>
        <v>0</v>
      </c>
    </row>
    <row r="758" spans="1:20" ht="15.75" customHeight="1" x14ac:dyDescent="0.3">
      <c r="A758" s="545" t="s">
        <v>2409</v>
      </c>
      <c r="B758" s="172">
        <f>+SUM(B93:B94)+SUM(B195:B197)+SUM(B332:B340)+B435+SUM(B473:B475)+SUM(B522:B524)+SUM(B578:B578)+B614+B666+SUM(B703:B704)</f>
        <v>9462</v>
      </c>
      <c r="C758" s="172">
        <f>+SUM(C93:C94)+SUM(C195:C197)+SUM(C332:C340)+C435+SUM(C473:C475)+SUM(C522:C524)+SUM(C578:C578)+C614+C666+SUM(C703:C704)</f>
        <v>20946</v>
      </c>
      <c r="D758" s="172">
        <f>+SUM(D93:D94)+SUM(D195:D197)+SUM(D332:D340)+D435+SUM(D473:D475)+SUM(D522:D524)+SUM(D578:D578)+D614+D666+SUM(D703:D704)</f>
        <v>34188</v>
      </c>
      <c r="E758" s="38">
        <f>SUM(B758:D758)</f>
        <v>64596</v>
      </c>
      <c r="F758" s="172">
        <f>+SUM(F93:F94)+SUM(F195:F197)+SUM(F332:F340)+F435+SUM(F473:F475)+SUM(F522:F524)+SUM(F578:F578)+F614+F666+SUM(F703:F704)</f>
        <v>42771</v>
      </c>
      <c r="G758" s="172">
        <f>+SUM(G93:G94)+SUM(G195:G197)+SUM(G332:G340)+G435+SUM(G473:G475)+SUM(G522:G524)+SUM(G578:G578)+G614+G666+SUM(G703:G704)</f>
        <v>50543</v>
      </c>
      <c r="H758" s="172">
        <f>+SUM(H93:H94)+SUM(H195:H197)+SUM(H332:H340)+H435+SUM(H473:H475)+SUM(H522:H524)+SUM(H578:H578)+H614+H666+SUM(H703:H704)</f>
        <v>67522</v>
      </c>
      <c r="I758" s="38">
        <f>SUM(F758:H758)</f>
        <v>160836</v>
      </c>
      <c r="J758" s="172">
        <f>+SUM(J93:J94)+SUM(J195:J197)+SUM(J332:J340)+J435+SUM(J473:J475)+SUM(J522:J524)+SUM(J578:J578)+J614+J666+SUM(J703:J704)</f>
        <v>57537</v>
      </c>
      <c r="K758" s="172">
        <f>+SUM(K93:K94)+SUM(K195:K197)+SUM(K332:K340)+K435+SUM(K473:K475)+SUM(K522:K524)+SUM(K578:K578)+K614+K666+SUM(K703:K704)</f>
        <v>50717</v>
      </c>
      <c r="L758" s="172">
        <f>+SUM(L93:L94)+SUM(L195:L197)+SUM(L332:L340)+L435+SUM(L473:L475)+SUM(L522:L524)+SUM(L578:L578)+L614+L666+SUM(L703:L704)</f>
        <v>27397</v>
      </c>
      <c r="M758" s="38">
        <f>SUM(J758:L758)</f>
        <v>135651</v>
      </c>
      <c r="N758" s="172">
        <f>+SUM(N93:N94)+SUM(N195:N197)+SUM(N332:N340)+N435+SUM(N473:N475)+SUM(N522:N524)+SUM(N578:N578)+N614+N666+SUM(N703:N704)</f>
        <v>24799</v>
      </c>
      <c r="O758" s="172">
        <f>+SUM(O93:O94)+SUM(O195:O197)+SUM(O332:O340)+O435+SUM(O473:O475)+SUM(O522:O524)+SUM(O578:O578)+O614+O666+SUM(O703:O704)</f>
        <v>7235</v>
      </c>
      <c r="P758" s="172">
        <f>+SUM(P93:P94)+SUM(P195:P197)+SUM(P332:P340)+P435+SUM(P473:P475)+SUM(P522:P524)+SUM(P578:P578)+P614+P666+SUM(P703:P704)</f>
        <v>6786</v>
      </c>
      <c r="Q758" s="38">
        <f>SUM(N758:P758)</f>
        <v>38820</v>
      </c>
      <c r="R758" s="38">
        <f>+E758+I758+M758+Q758</f>
        <v>399903</v>
      </c>
    </row>
    <row r="759" spans="1:20" ht="15.75" customHeight="1" thickBot="1" x14ac:dyDescent="0.35">
      <c r="A759" s="234" t="s">
        <v>2165</v>
      </c>
      <c r="B759" s="172">
        <f>+B95+B436+B476+B525+B579+B615+B667+B705</f>
        <v>0</v>
      </c>
      <c r="C759" s="172">
        <f>+C95+C436+C476+C525+C579+C615+C667+C705</f>
        <v>0</v>
      </c>
      <c r="D759" s="172">
        <f>+D95+D436+D476+D525+D579+D615+D667+D705</f>
        <v>0</v>
      </c>
      <c r="E759" s="38">
        <f>SUM(B759:D759)</f>
        <v>0</v>
      </c>
      <c r="F759" s="172">
        <f>+F95+F436+F476+F525+F579+F615+F667+F705</f>
        <v>0</v>
      </c>
      <c r="G759" s="172">
        <f>+G95+G436+G476+G525+G579+G615+G667+G705</f>
        <v>0</v>
      </c>
      <c r="H759" s="172">
        <f>+H95+H436+H476+H525+H579+H615+H667+H705</f>
        <v>0</v>
      </c>
      <c r="I759" s="38">
        <f>SUM(F759:H759)</f>
        <v>0</v>
      </c>
      <c r="J759" s="172">
        <f>+J95+J436+J476+J525+J579+J615+J667+J705</f>
        <v>0</v>
      </c>
      <c r="K759" s="172">
        <f>+K95+K436+K476+K525+K579+K615+K667+K705</f>
        <v>0</v>
      </c>
      <c r="L759" s="172">
        <f>+L95+L436+L476+L525+L579+L615+L667+L705</f>
        <v>0</v>
      </c>
      <c r="M759" s="38">
        <f>SUM(J759:L759)</f>
        <v>0</v>
      </c>
      <c r="N759" s="172">
        <f>+N95+N436+N476+N525+N579+N615+N667+N705</f>
        <v>0</v>
      </c>
      <c r="O759" s="172">
        <f>+O95+O436+O476+O525+O579+O615+O667+O705</f>
        <v>0</v>
      </c>
      <c r="P759" s="172">
        <f>+P95+P436+P476+P525+P579+P615+P667+P705</f>
        <v>0</v>
      </c>
      <c r="Q759" s="38">
        <f>SUM(N759:P759)</f>
        <v>0</v>
      </c>
      <c r="R759" s="38">
        <f>+E759+I759+M759+Q759</f>
        <v>0</v>
      </c>
    </row>
    <row r="760" spans="1:20" ht="16.5" customHeight="1" thickBot="1" x14ac:dyDescent="0.35">
      <c r="A760" s="43" t="s">
        <v>1219</v>
      </c>
      <c r="B760" s="45">
        <f>SUM(B756:B759)</f>
        <v>9462</v>
      </c>
      <c r="C760" s="46">
        <f>SUM(C756:C759)</f>
        <v>20946</v>
      </c>
      <c r="D760" s="46">
        <f>SUM(D756:D759)</f>
        <v>34188</v>
      </c>
      <c r="E760" s="37">
        <f>SUM(B760:D760)</f>
        <v>64596</v>
      </c>
      <c r="F760" s="46">
        <f>SUM(F756:F759)</f>
        <v>42771</v>
      </c>
      <c r="G760" s="46">
        <f>SUM(G756:G759)</f>
        <v>50543</v>
      </c>
      <c r="H760" s="46">
        <f>SUM(H756:H759)</f>
        <v>67522</v>
      </c>
      <c r="I760" s="37">
        <f>SUM(F760:H760)</f>
        <v>160836</v>
      </c>
      <c r="J760" s="46">
        <f>SUM(J756:J759)</f>
        <v>57537</v>
      </c>
      <c r="K760" s="46">
        <f>SUM(K756:K759)</f>
        <v>50717</v>
      </c>
      <c r="L760" s="46">
        <f>SUM(L756:L759)</f>
        <v>27397</v>
      </c>
      <c r="M760" s="37">
        <f>SUM(J760:L760)</f>
        <v>135651</v>
      </c>
      <c r="N760" s="46">
        <f>SUM(N756:N759)</f>
        <v>24799</v>
      </c>
      <c r="O760" s="46">
        <f>SUM(O756:O759)</f>
        <v>7235</v>
      </c>
      <c r="P760" s="46">
        <f>SUM(P756:P759)</f>
        <v>6786</v>
      </c>
      <c r="Q760" s="37">
        <f>SUM(N760:P760)</f>
        <v>38820</v>
      </c>
      <c r="R760" s="37">
        <f>+E760+I760+M760+Q760</f>
        <v>399903</v>
      </c>
    </row>
    <row r="761" spans="1:20" ht="15.75" customHeight="1" x14ac:dyDescent="0.3">
      <c r="A761" s="234" t="s">
        <v>2166</v>
      </c>
      <c r="B761" s="172"/>
      <c r="C761" s="172"/>
      <c r="D761" s="172"/>
      <c r="E761" s="38" t="s">
        <v>852</v>
      </c>
      <c r="F761" s="172"/>
      <c r="G761" s="172"/>
      <c r="H761" s="172"/>
      <c r="I761" s="38" t="s">
        <v>852</v>
      </c>
      <c r="J761" s="172"/>
      <c r="K761" s="172"/>
      <c r="L761" s="172"/>
      <c r="M761" s="38" t="s">
        <v>852</v>
      </c>
      <c r="N761" s="172"/>
      <c r="O761" s="172"/>
      <c r="P761" s="172"/>
      <c r="Q761" s="38" t="s">
        <v>852</v>
      </c>
      <c r="R761" s="38" t="s">
        <v>852</v>
      </c>
    </row>
    <row r="762" spans="1:20" ht="15.75" customHeight="1" x14ac:dyDescent="0.3">
      <c r="A762" s="545" t="s">
        <v>1245</v>
      </c>
      <c r="B762" s="172">
        <f>+B48+B98+B201+SUM(B344:B346)+B439+B479+B528+B582+SUM(B618:B619)+B670+SUM(B708:B710)</f>
        <v>5085</v>
      </c>
      <c r="C762" s="172">
        <f>+C48+C98+C201+SUM(C344:C346)+C439+C479+C528+C582+SUM(C618:C619)+C670+SUM(C708:C710)</f>
        <v>5835</v>
      </c>
      <c r="D762" s="172">
        <f>+D48+D98+D201+SUM(D344:D346)+D439+D479+D528+D582+SUM(D618:D619)+D670+SUM(D708:D710)</f>
        <v>8419</v>
      </c>
      <c r="E762" s="38">
        <f>SUM(B762:D762)</f>
        <v>19339</v>
      </c>
      <c r="F762" s="172">
        <f>+F48+F98+F201+SUM(F344:F346)+F439+F479+F528+F582+SUM(F618:F619)+F670+SUM(F708:F710)</f>
        <v>11489</v>
      </c>
      <c r="G762" s="172">
        <f>+G48+G98+G201+SUM(G344:G346)+G439+G479+G528+G582+SUM(G618:G619)+G670+SUM(G708:G710)</f>
        <v>19490</v>
      </c>
      <c r="H762" s="172">
        <f>+H48+H98+H201+SUM(H344:H346)+H439+H479+H528+H582+SUM(H618:H619)+H670+SUM(H708:H710)</f>
        <v>25686</v>
      </c>
      <c r="I762" s="38">
        <f>SUM(F762:H762)</f>
        <v>56665</v>
      </c>
      <c r="J762" s="172">
        <f>+J48+J98+J201+SUM(J344:J346)+J439+J479+J528+J582+SUM(J618:J619)+J670+SUM(J708:J710)</f>
        <v>19984</v>
      </c>
      <c r="K762" s="172">
        <f>+K48+K98+K201+SUM(K344:K346)+K439+K479+K528+K582+SUM(K618:K619)+K670+SUM(K708:K710)</f>
        <v>23090</v>
      </c>
      <c r="L762" s="172">
        <f>+L48+L98+L201+SUM(L344:L346)+L439+L479+L528+L582+SUM(L618:L619)+L670+SUM(L708:L710)</f>
        <v>10141</v>
      </c>
      <c r="M762" s="38">
        <f>SUM(J762:L762)</f>
        <v>53215</v>
      </c>
      <c r="N762" s="172">
        <f>+N48+N98+N201+SUM(N344:N346)+N439+N479+N528+N582+SUM(N618:N619)+N670+SUM(N708:N710)</f>
        <v>8841</v>
      </c>
      <c r="O762" s="172">
        <f>+O48+O98+O201+SUM(O344:O346)+O439+O479+O528+O582+SUM(O618:O619)+O670+SUM(O708:O710)</f>
        <v>7809</v>
      </c>
      <c r="P762" s="172">
        <f>+P48+P98+P201+SUM(P344:P346)+P439+P479+P528+P582+SUM(P618:P619)+P670+SUM(P708:P710)</f>
        <v>3904</v>
      </c>
      <c r="Q762" s="38">
        <f>SUM(N762:P762)</f>
        <v>20554</v>
      </c>
      <c r="R762" s="38">
        <f>+E762+I762+M762+Q762</f>
        <v>149773</v>
      </c>
    </row>
    <row r="763" spans="1:20" ht="15.75" customHeight="1" thickBot="1" x14ac:dyDescent="0.35">
      <c r="A763" s="545" t="s">
        <v>1711</v>
      </c>
      <c r="B763" s="172">
        <f>+B49+SUM(B99:B106)+SUM(B202:B244)+SUM(B347:B376)+SUM(B440:B441)+SUM(B480:B481)+SUM(B529:B530)+B583+SUM(B620:B624)+B671+SUM(B711:B715)</f>
        <v>11534</v>
      </c>
      <c r="C763" s="172">
        <f>+C49+SUM(C99:C106)+SUM(C202:C244)+SUM(C347:C376)+SUM(C440:C441)+SUM(C480:C481)+SUM(C529:C530)+C583+SUM(C620:C624)+C671+SUM(C711:C715)</f>
        <v>18068</v>
      </c>
      <c r="D763" s="172">
        <f>+D49+SUM(D99:D106)+SUM(D202:D244)+SUM(D347:D376)+SUM(D440:D441)+SUM(D480:D481)+SUM(D529:D530)+D583+SUM(D620:D624)+D671+SUM(D711:D715)</f>
        <v>31144</v>
      </c>
      <c r="E763" s="38">
        <f>SUM(B763:D763)</f>
        <v>60746</v>
      </c>
      <c r="F763" s="172">
        <f>+F49+SUM(F99:F106)+SUM(F202:F244)+SUM(F347:F376)+SUM(F440:F441)+SUM(F480:F481)+SUM(F529:F530)+F583+SUM(F620:F624)+F671+SUM(F711:F715)</f>
        <v>60085</v>
      </c>
      <c r="G763" s="172">
        <f>+G49+SUM(G99:G106)+SUM(G202:G244)+SUM(G347:G376)+SUM(G440:G441)+SUM(G480:G481)+SUM(G529:G530)+G583+SUM(G620:G624)+G671+SUM(G711:G715)</f>
        <v>72204</v>
      </c>
      <c r="H763" s="172">
        <f>+H49+SUM(H99:H106)+SUM(H202:H244)+SUM(H347:H376)+SUM(H440:H441)+SUM(H480:H481)+SUM(H529:H530)+H583+SUM(H620:H624)+H671+SUM(H711:H715)</f>
        <v>52276</v>
      </c>
      <c r="I763" s="38">
        <f>SUM(F763:H763)</f>
        <v>184565</v>
      </c>
      <c r="J763" s="172">
        <f>+J49+SUM(J99:J106)+SUM(J202:J244)+SUM(J347:J376)+SUM(J440:J441)+SUM(J480:J481)+SUM(J529:J530)+J583+SUM(J620:J624)+J671+SUM(J711:J715)</f>
        <v>42217</v>
      </c>
      <c r="K763" s="172">
        <f>+K49+SUM(K99:K106)+SUM(K202:K244)+SUM(K347:K376)+SUM(K440:K441)+SUM(K480:K481)+SUM(K529:K530)+K583+SUM(K620:K624)+K671+SUM(K711:K715)</f>
        <v>32623</v>
      </c>
      <c r="L763" s="172">
        <f>+L49+SUM(L99:L106)+SUM(L202:L244)+SUM(L347:L376)+SUM(L440:L441)+SUM(L480:L481)+SUM(L529:L530)+L583+SUM(L620:L624)+L671+SUM(L711:L715)</f>
        <v>19830</v>
      </c>
      <c r="M763" s="38">
        <f>SUM(J763:L763)</f>
        <v>94670</v>
      </c>
      <c r="N763" s="172">
        <f>+N49+SUM(N99:N106)+SUM(N202:N244)+SUM(N347:N376)+SUM(N440:N441)+SUM(N480:N481)+SUM(N529:N530)+N583+SUM(N620:N624)+N671+SUM(N711:N715)</f>
        <v>15631</v>
      </c>
      <c r="O763" s="172">
        <f>+O49+SUM(O99:O106)+SUM(O202:O244)+SUM(O347:O376)+SUM(O440:O441)+SUM(O480:O481)+SUM(O529:O530)+O583+SUM(O620:O624)+O671+SUM(O711:O715)</f>
        <v>15672</v>
      </c>
      <c r="P763" s="172">
        <f>+P49+SUM(P99:P106)+SUM(P202:P244)+SUM(P347:P376)+SUM(P440:P441)+SUM(P480:P481)+SUM(P529:P530)+P583+SUM(P620:P624)+P671+SUM(P711:P715)</f>
        <v>13224</v>
      </c>
      <c r="Q763" s="38">
        <f>SUM(N763:P763)</f>
        <v>44527</v>
      </c>
      <c r="R763" s="38">
        <f>+E763+I763+M763+Q763</f>
        <v>384508</v>
      </c>
    </row>
    <row r="764" spans="1:20" ht="16.5" customHeight="1" thickBot="1" x14ac:dyDescent="0.35">
      <c r="A764" s="43" t="s">
        <v>1220</v>
      </c>
      <c r="B764" s="45">
        <f>SUM(B761:B763)</f>
        <v>16619</v>
      </c>
      <c r="C764" s="46">
        <f>SUM(C761:C763)</f>
        <v>23903</v>
      </c>
      <c r="D764" s="58">
        <f>SUM(D761:D763)</f>
        <v>39563</v>
      </c>
      <c r="E764" s="37">
        <f>SUM(B764:D764)</f>
        <v>80085</v>
      </c>
      <c r="F764" s="46">
        <f>SUM(F761:F763)</f>
        <v>71574</v>
      </c>
      <c r="G764" s="46">
        <f>SUM(G761:G763)</f>
        <v>91694</v>
      </c>
      <c r="H764" s="46">
        <f>SUM(H761:H763)</f>
        <v>77962</v>
      </c>
      <c r="I764" s="37">
        <f>SUM(F764:H764)</f>
        <v>241230</v>
      </c>
      <c r="J764" s="46">
        <f>SUM(J761:J763)</f>
        <v>62201</v>
      </c>
      <c r="K764" s="46">
        <f>SUM(K761:K763)</f>
        <v>55713</v>
      </c>
      <c r="L764" s="46">
        <f>SUM(L761:L763)</f>
        <v>29971</v>
      </c>
      <c r="M764" s="37">
        <f>SUM(J764:L764)</f>
        <v>147885</v>
      </c>
      <c r="N764" s="46">
        <f>SUM(N761:N763)</f>
        <v>24472</v>
      </c>
      <c r="O764" s="46">
        <f>SUM(O761:O763)</f>
        <v>23481</v>
      </c>
      <c r="P764" s="46">
        <f>SUM(P761:P763)</f>
        <v>17128</v>
      </c>
      <c r="Q764" s="37">
        <f>SUM(N764:P764)</f>
        <v>65081</v>
      </c>
      <c r="R764" s="37">
        <f>+E764+I764+M764+Q764</f>
        <v>534281</v>
      </c>
      <c r="T764">
        <v>1600000</v>
      </c>
    </row>
    <row r="765" spans="1:20" ht="20.25" customHeight="1" x14ac:dyDescent="0.3">
      <c r="A765" s="234" t="s">
        <v>2645</v>
      </c>
      <c r="B765" s="172"/>
      <c r="C765" s="172"/>
      <c r="D765" s="172"/>
      <c r="E765" s="38" t="s">
        <v>852</v>
      </c>
      <c r="F765" s="172"/>
      <c r="G765" s="172"/>
      <c r="H765" s="172"/>
      <c r="I765" s="38" t="s">
        <v>852</v>
      </c>
      <c r="J765" s="172"/>
      <c r="K765" s="172"/>
      <c r="L765" s="172"/>
      <c r="M765" s="38" t="s">
        <v>852</v>
      </c>
      <c r="N765" s="172"/>
      <c r="O765" s="172"/>
      <c r="P765" s="172"/>
      <c r="Q765" s="38" t="s">
        <v>852</v>
      </c>
      <c r="R765" s="38" t="s">
        <v>852</v>
      </c>
      <c r="T765">
        <f>+T764-28000-R749-R750-400000-R762-R763+12000</f>
        <v>185087</v>
      </c>
    </row>
    <row r="766" spans="1:20" ht="15.75" customHeight="1" x14ac:dyDescent="0.3">
      <c r="A766" s="234" t="s">
        <v>2643</v>
      </c>
      <c r="B766" s="172">
        <f>SUM(B52:B52)+SUM(B109:B117)+SUM(B247:B251)+SUM(B379:B380)+SUM(B444:B444)+B484+SUM(B533:B535)+B586+B627+B674+SUM(B718:B720)</f>
        <v>1200</v>
      </c>
      <c r="C766" s="172">
        <f>SUM(C52:C52)+SUM(C109:C117)+SUM(C247:C251)+SUM(C379:C380)+SUM(C444:C444)+C484+SUM(C533:C535)+C586+C627+C674+SUM(C718:C720)</f>
        <v>0</v>
      </c>
      <c r="D766" s="172">
        <f>SUM(D52:D52)+SUM(D109:D117)+SUM(D247:D251)+SUM(D379:D380)+SUM(D444:D444)+D484+SUM(D533:D535)+D586+D627+D674+SUM(D718:D720)</f>
        <v>0</v>
      </c>
      <c r="E766" s="38">
        <f t="shared" ref="E766:E774" si="109">SUM(B766:D766)</f>
        <v>1200</v>
      </c>
      <c r="F766" s="172">
        <f>SUM(F52:F52)+SUM(F109:F117)+SUM(F247:F251)+SUM(F379:F380)+SUM(F444:F444)+F484+SUM(F533:F535)+F586+F627+F674+SUM(F718:F720)</f>
        <v>0</v>
      </c>
      <c r="G766" s="172">
        <f>SUM(G52:G52)+SUM(G109:G117)+SUM(G247:G251)+SUM(G379:G380)+SUM(G444:G444)+G484+SUM(G533:G535)+G586+G627+G674+SUM(G718:G720)</f>
        <v>0</v>
      </c>
      <c r="H766" s="172">
        <f>SUM(H52:H52)+SUM(H109:H117)+SUM(H247:H251)+SUM(H379:H380)+SUM(H444:H444)+H484+SUM(H533:H535)+H586+H627+H674+SUM(H718:H720)</f>
        <v>0</v>
      </c>
      <c r="I766" s="38">
        <f t="shared" ref="I766:I774" si="110">SUM(F766:H766)</f>
        <v>0</v>
      </c>
      <c r="J766" s="172">
        <f>SUM(J52:J52)+SUM(J109:J117)+SUM(J247:J251)+SUM(J379:J380)+SUM(J444:J444)+J484+SUM(J533:J535)+J586+J627+J674+SUM(J718:J720)</f>
        <v>0</v>
      </c>
      <c r="K766" s="172">
        <f>SUM(K52:K52)+SUM(K109:K117)+SUM(K247:K251)+SUM(K379:K380)+SUM(K444:K444)+K484+SUM(K533:K535)+K586+K627+K674+SUM(K718:K720)</f>
        <v>270</v>
      </c>
      <c r="L766" s="172">
        <f>SUM(L52:L52)+SUM(L109:L117)+SUM(L247:L251)+SUM(L379:L380)+SUM(L444:L444)+L484+SUM(L533:L535)+L586+L627+L674+SUM(L718:L720)</f>
        <v>0</v>
      </c>
      <c r="M766" s="38">
        <f t="shared" ref="M766:M774" si="111">SUM(J766:L766)</f>
        <v>270</v>
      </c>
      <c r="N766" s="172">
        <f>SUM(N52:N52)+SUM(N109:N117)+SUM(N247:N251)+SUM(N379:N380)+SUM(N444:N444)+N484+SUM(N533:N535)+N586+N627+N674+SUM(N718:N720)</f>
        <v>0</v>
      </c>
      <c r="O766" s="172">
        <f>SUM(O52:O52)+SUM(O109:O117)+SUM(O247:O251)+SUM(O379:O380)+SUM(O444:O444)+O484+SUM(O533:O535)+O586+O627+O674+SUM(O718:O720)</f>
        <v>0</v>
      </c>
      <c r="P766" s="172">
        <f>SUM(P52:P52)+SUM(P109:P117)+SUM(P247:P251)+SUM(P379:P380)+SUM(P444:P444)+P484+SUM(P533:P535)+P586+P627+P674+SUM(P718:P720)</f>
        <v>0</v>
      </c>
      <c r="Q766" s="38">
        <f t="shared" ref="Q766:Q774" si="112">SUM(N766:P766)</f>
        <v>0</v>
      </c>
      <c r="R766" s="38">
        <f>+E766+I766+M766+Q766</f>
        <v>1470</v>
      </c>
    </row>
    <row r="767" spans="1:20" ht="15.75" customHeight="1" x14ac:dyDescent="0.3">
      <c r="A767" s="234" t="s">
        <v>557</v>
      </c>
      <c r="B767" s="172">
        <f>SUM(B53:B54)+SUM(B118:B119)+SUM(B252:B253)+B255+B257+B259+B260+SUM(B381:B383)+B445+B485+SUM(B536:B537)+B539+SUM(B587:B588)+B629+B631+B675+SUM(B721:B722)</f>
        <v>3000</v>
      </c>
      <c r="C767" s="172">
        <f>SUM(C53:C54)+SUM(C118:C119)+SUM(C252:C253)+C255+C257+C259+C260+SUM(C381:C383)+C445+C485+SUM(C536:C537)+C539+SUM(C587:C588)+C629+C631+C675+SUM(C721:C722)</f>
        <v>3568</v>
      </c>
      <c r="D767" s="172">
        <f>SUM(D53:D54)+SUM(D118:D119)+SUM(D252:D253)+D255+D257+D259+D260+SUM(D381:D383)+D445+D485+SUM(D536:D537)+D539+SUM(D587:D588)+D629+D631+D675+SUM(D721:D722)</f>
        <v>4241</v>
      </c>
      <c r="E767" s="38">
        <f t="shared" si="109"/>
        <v>10809</v>
      </c>
      <c r="F767" s="172">
        <f>SUM(F53:F54)+SUM(F118:F119)+SUM(F252:F253)+F255+F257+F259+F260+SUM(F381:F383)+F445+F485+SUM(F536:F537)+F539+SUM(F587:F588)+F629+F631+F675+SUM(F721:F722)</f>
        <v>5239</v>
      </c>
      <c r="G767" s="172">
        <f>SUM(G53:G54)+SUM(G118:G119)+SUM(G252:G253)+G255+G257+G259+G260+SUM(G381:G383)+G445+G485+SUM(G536:G537)+G539+SUM(G587:G588)+G629+G631+G675+SUM(G721:G722)</f>
        <v>3000</v>
      </c>
      <c r="H767" s="172">
        <f>SUM(H53:H54)+SUM(H118:H119)+SUM(H252:H253)+H255+H257+H259+H260+SUM(H381:H383)+H445+H485+SUM(H536:H537)+H539+SUM(H587:H588)+H629+H631+H675+SUM(H721:H722)</f>
        <v>800</v>
      </c>
      <c r="I767" s="38">
        <f t="shared" si="110"/>
        <v>9039</v>
      </c>
      <c r="J767" s="172">
        <f>SUM(J53:J54)+SUM(J118:J119)+SUM(J252:J253)+J255+J257+J259+J260+SUM(J381:J383)+J445+J485+SUM(J536:J537)+J539+SUM(J587:J588)+J629+J631+J675+SUM(J721:J722)</f>
        <v>1734</v>
      </c>
      <c r="K767" s="172">
        <f>SUM(K53:K54)+SUM(K118:K119)+SUM(K252:K253)+K255+K257+K259+K260+SUM(K381:K383)+K445+K485+SUM(K536:K537)+K539+SUM(K587:K588)+K629+K631+K675+SUM(K721:K722)</f>
        <v>2650</v>
      </c>
      <c r="L767" s="172">
        <f>SUM(L53:L54)+SUM(L118:L119)+SUM(L252:L253)+L255+L257+L259+L260+SUM(L381:L383)+L445+L485+SUM(L536:L537)+L539+SUM(L587:L588)+L629+L631+L675+SUM(L721:L722)</f>
        <v>3624</v>
      </c>
      <c r="M767" s="38">
        <f t="shared" si="111"/>
        <v>8008</v>
      </c>
      <c r="N767" s="172">
        <f>SUM(N53:N54)+SUM(N118:N119)+SUM(N252:N253)+N255+N257+N259+N260+SUM(N381:N383)+N445+N485+SUM(N536:N537)+N539+SUM(N587:N588)+N629+N631+N675+SUM(N721:N722)</f>
        <v>9630</v>
      </c>
      <c r="O767" s="172">
        <f>SUM(O53:O54)+SUM(O118:O119)+SUM(O252:O253)+O255+O257+O259+O260+SUM(O381:O383)+O445+O485+SUM(O536:O537)+O539+SUM(O587:O588)+O629+O631+O675+SUM(O721:O722)</f>
        <v>10542</v>
      </c>
      <c r="P767" s="172">
        <f>SUM(P53:P54)+SUM(P118:P119)+SUM(P252:P253)+P255+P257+P259+P260+SUM(P381:P383)+P445+P485+SUM(P536:P537)+P539+SUM(P587:P588)+P629+P631+P675+SUM(P721:P722)</f>
        <v>6811</v>
      </c>
      <c r="Q767" s="38">
        <f t="shared" si="112"/>
        <v>26983</v>
      </c>
      <c r="R767" s="38">
        <f t="shared" ref="R767:R774" si="113">+E767+I767+M767+Q767</f>
        <v>54839</v>
      </c>
    </row>
    <row r="768" spans="1:20" ht="15.75" customHeight="1" x14ac:dyDescent="0.3">
      <c r="A768" s="266" t="s">
        <v>614</v>
      </c>
      <c r="B768" s="172">
        <f>B120+B254+B256+B258+B538+B540+B630+B632+B723</f>
        <v>0</v>
      </c>
      <c r="C768" s="172">
        <f>C120+C254+C256+C258+C538+C540+C630+C632+C723</f>
        <v>0</v>
      </c>
      <c r="D768" s="172">
        <f>D120+D254+D256+D258+D538+D540+D630+D632+D723</f>
        <v>0</v>
      </c>
      <c r="E768" s="38">
        <f t="shared" si="109"/>
        <v>0</v>
      </c>
      <c r="F768" s="172">
        <f>F120+F254+F256+F258+F538+F540+F630+F632+F723</f>
        <v>0</v>
      </c>
      <c r="G768" s="172">
        <f>G120+G254+G256+G258+G538+G540+G630+G632+G723</f>
        <v>0</v>
      </c>
      <c r="H768" s="172">
        <f>H120+H254+H256+H258+H538+H540+H630+H632+H723</f>
        <v>0</v>
      </c>
      <c r="I768" s="38">
        <f t="shared" si="110"/>
        <v>0</v>
      </c>
      <c r="J768" s="172">
        <f>J120+J254+J256+J258+J538+J540+J630+J632+J723</f>
        <v>0</v>
      </c>
      <c r="K768" s="172">
        <f>K120+K254+K256+K258+K538+K540+K630+K632+K723</f>
        <v>0</v>
      </c>
      <c r="L768" s="172">
        <f>L120+L254+L256+L258+L538+L540+L630+L632+L723</f>
        <v>0</v>
      </c>
      <c r="M768" s="38">
        <f t="shared" si="111"/>
        <v>0</v>
      </c>
      <c r="N768" s="172">
        <f>N120+N254+N256+N258+N538+N540+N630+N632+N723</f>
        <v>0</v>
      </c>
      <c r="O768" s="172">
        <f>O120+O254+O256+O258+O538+O540+O630+O632+O723</f>
        <v>0</v>
      </c>
      <c r="P768" s="172">
        <f>P120+P254+P256+P258+P538+P540+P630+P632+P723</f>
        <v>0</v>
      </c>
      <c r="Q768" s="38">
        <f t="shared" si="112"/>
        <v>0</v>
      </c>
      <c r="R768" s="38">
        <f t="shared" si="113"/>
        <v>0</v>
      </c>
    </row>
    <row r="769" spans="1:18" ht="15.75" customHeight="1" x14ac:dyDescent="0.3">
      <c r="A769" s="234" t="s">
        <v>2644</v>
      </c>
      <c r="B769" s="172">
        <f>+B55+SUM(B121:B122)+SUM(B261:B261)+SUM(B384:B390)+SUM(B446:B446)+SUM(B486:B487)+B541+B589+B633+B724+B724</f>
        <v>0</v>
      </c>
      <c r="C769" s="172">
        <f>+C55+SUM(C121:C122)+SUM(C261:C261)+SUM(C384:C390)+SUM(C446:C446)+SUM(C486:C487)+C541+C589+C633+C724+C724</f>
        <v>0</v>
      </c>
      <c r="D769" s="172">
        <f>+D55+SUM(D121:D122)+SUM(D261:D261)+SUM(D384:D390)+SUM(D446:D446)+SUM(D486:D487)+D541+D589+D633+D724+D724</f>
        <v>3941</v>
      </c>
      <c r="E769" s="38">
        <f t="shared" si="109"/>
        <v>3941</v>
      </c>
      <c r="F769" s="172">
        <f>+F55+SUM(F121:F122)+SUM(F261:F261)+SUM(F384:F390)+SUM(F446:F446)+SUM(F486:F487)+F541+F589+F633+F724+F724</f>
        <v>1643</v>
      </c>
      <c r="G769" s="172">
        <f>+G55+SUM(G121:G122)+SUM(G261:G261)+SUM(G384:G390)+SUM(G446:G446)+SUM(G486:G487)+G541+G589+G633+G724+G724</f>
        <v>0</v>
      </c>
      <c r="H769" s="172">
        <f>+H55+SUM(H121:H122)+SUM(H261:H261)+SUM(H384:H390)+SUM(H446:H446)+SUM(H486:H487)+H541+H589+H633+H724+H724</f>
        <v>0</v>
      </c>
      <c r="I769" s="38">
        <f t="shared" si="110"/>
        <v>1643</v>
      </c>
      <c r="J769" s="172">
        <f>+J55+SUM(J121:J122)+SUM(J261:J261)+SUM(J384:J390)+SUM(J446:J446)+SUM(J486:J487)+J541+J589+J633+J724+J724</f>
        <v>0</v>
      </c>
      <c r="K769" s="172">
        <f>+K55+SUM(K121:K122)+SUM(K261:K261)+SUM(K384:K390)+SUM(K446:K446)+SUM(K486:K487)+K541+K589+K633+K724+K724</f>
        <v>1453</v>
      </c>
      <c r="L769" s="172">
        <f>+L55+SUM(L121:L122)+SUM(L261:L261)+SUM(L384:L390)+SUM(L446:L446)+SUM(L486:L487)+L541+L589+L633+L724+L724</f>
        <v>38</v>
      </c>
      <c r="M769" s="38">
        <f t="shared" si="111"/>
        <v>1491</v>
      </c>
      <c r="N769" s="172">
        <f>+N55+SUM(N121:N122)+SUM(N261:N261)+SUM(N384:N390)+SUM(N446:N446)+SUM(N486:N487)+N541+N589+N633+N724+N724</f>
        <v>3798</v>
      </c>
      <c r="O769" s="172">
        <f>+O55+SUM(O121:O122)+SUM(O261:O261)+SUM(O384:O390)+SUM(O446:O446)+SUM(O486:O487)+O541+O589+O633+O724+O724</f>
        <v>2238</v>
      </c>
      <c r="P769" s="172">
        <f>+P55+SUM(P121:P122)+SUM(P261:P261)+SUM(P384:P390)+SUM(P446:P446)+SUM(P486:P487)+P541+P589+P633+P724+P724</f>
        <v>818</v>
      </c>
      <c r="Q769" s="38">
        <f t="shared" si="112"/>
        <v>6854</v>
      </c>
      <c r="R769" s="38">
        <f>+E769+I769+M769+Q769</f>
        <v>13929</v>
      </c>
    </row>
    <row r="770" spans="1:18" ht="22.5" customHeight="1" x14ac:dyDescent="0.3">
      <c r="A770" s="234" t="s">
        <v>2905</v>
      </c>
      <c r="B770" s="172">
        <f>SUM(B123:B123)+SUM(B262:B262)+B392+B393+B395+B396+B398+B400+SUM(B447:B448)+B489+B491+B542+SUM(B543:B544)+B590+B634+B677+B725</f>
        <v>400</v>
      </c>
      <c r="C770" s="172">
        <f>SUM(C123:C123)+SUM(C262:C262)+C392+C393+C395+C396+C398+C400+SUM(C447:C448)+C489+C491+C542+SUM(C543:C544)+C590+C634+C677+C725</f>
        <v>500</v>
      </c>
      <c r="D770" s="172">
        <f>SUM(D123:D123)+SUM(D262:D262)+D392+D393+D395+D396+D398+D400+SUM(D447:D448)+D489+D491+D542+SUM(D543:D544)+D590+D634+D677+D725</f>
        <v>900</v>
      </c>
      <c r="E770" s="38">
        <f t="shared" si="109"/>
        <v>1800</v>
      </c>
      <c r="F770" s="172">
        <f>SUM(F123:F123)+SUM(F262:F262)+F392+F393+F395+F396+F398+F400+SUM(F447:F448)+F489+F491+F542+SUM(F543:F544)+F590+F634+F677+F725</f>
        <v>4261</v>
      </c>
      <c r="G770" s="172">
        <f>SUM(G123:G123)+SUM(G262:G262)+G392+G393+G395+G396+G398+G400+SUM(G447:G448)+G489+G491+G542+SUM(G543:G544)+G590+G634+G677+G725</f>
        <v>2750</v>
      </c>
      <c r="H770" s="172">
        <f>SUM(H123:H123)+SUM(H262:H262)+H392+H393+H395+H396+H398+H400+SUM(H447:H448)+H489+H491+H542+SUM(H543:H544)+H590+H634+H677+H725</f>
        <v>3762</v>
      </c>
      <c r="I770" s="38">
        <f t="shared" si="110"/>
        <v>10773</v>
      </c>
      <c r="J770" s="172">
        <f>SUM(J123:J123)+SUM(J262:J262)+J392+J393+J395+J396+J398+J400+SUM(J447:J448)+J489+J491+J542+SUM(J543:J544)+J590+J634+J677+J725</f>
        <v>3416</v>
      </c>
      <c r="K770" s="172">
        <f>SUM(K123:K123)+SUM(K262:K262)+K392+K393+K395+K396+K398+K400+SUM(K447:K448)+K489+K491+K542+SUM(K543:K544)+K590+K634+K677+K725</f>
        <v>2122</v>
      </c>
      <c r="L770" s="172">
        <f>SUM(L123:L123)+SUM(L262:L262)+L392+L393+L395+L396+L398+L400+SUM(L447:L448)+L489+L491+L542+SUM(L543:L544)+L590+L634+L677+L725</f>
        <v>548</v>
      </c>
      <c r="M770" s="38">
        <f t="shared" si="111"/>
        <v>6086</v>
      </c>
      <c r="N770" s="172">
        <f>SUM(N123:N123)+SUM(N262:N262)+N392+N393+N395+N396+N398+N400+SUM(N447:N448)+N489+N491+N542+SUM(N543:N544)+N590+N634+N677+N725</f>
        <v>423</v>
      </c>
      <c r="O770" s="172">
        <f>SUM(O123:O123)+SUM(O262:O262)+O392+O393+O395+O396+O398+O400+SUM(O447:O448)+O489+O491+O542+SUM(O543:O544)+O590+O634+O677+O725</f>
        <v>1100</v>
      </c>
      <c r="P770" s="172">
        <f>SUM(P123:P123)+SUM(P262:P262)+P392+P393+P395+P396+P398+P400+SUM(P447:P448)+P489+P491+P542+SUM(P543:P544)+P590+P634+P677+P725</f>
        <v>2000</v>
      </c>
      <c r="Q770" s="38">
        <f t="shared" si="112"/>
        <v>3523</v>
      </c>
      <c r="R770" s="38">
        <f t="shared" si="113"/>
        <v>22182</v>
      </c>
    </row>
    <row r="771" spans="1:18" ht="15.75" customHeight="1" thickBot="1" x14ac:dyDescent="0.35">
      <c r="A771" s="266" t="s">
        <v>1862</v>
      </c>
      <c r="B771" s="172">
        <f>+B394+B397+B399+B449</f>
        <v>0</v>
      </c>
      <c r="C771" s="172">
        <f>+C394+C397+C399+C449</f>
        <v>0</v>
      </c>
      <c r="D771" s="172">
        <f>+D394+D397+D399+D449</f>
        <v>0</v>
      </c>
      <c r="E771" s="38">
        <f>SUM(B771:D771)</f>
        <v>0</v>
      </c>
      <c r="F771" s="172">
        <f>+F394+F397+F399+F449</f>
        <v>0</v>
      </c>
      <c r="G771" s="172">
        <f>+G394+G397+G399+G449</f>
        <v>0</v>
      </c>
      <c r="H771" s="172">
        <f>+H394+H397+H399+H449</f>
        <v>0</v>
      </c>
      <c r="I771" s="38">
        <f>SUM(F771:H771)</f>
        <v>0</v>
      </c>
      <c r="J771" s="172">
        <f>+J394+J397+J399+J449</f>
        <v>0</v>
      </c>
      <c r="K771" s="172">
        <f>+K394+K397+K399+K449</f>
        <v>0</v>
      </c>
      <c r="L771" s="172">
        <f>+L394+L397+L399+L449</f>
        <v>0</v>
      </c>
      <c r="M771" s="38">
        <f>SUM(J771:L771)</f>
        <v>0</v>
      </c>
      <c r="N771" s="172">
        <f>+N394+N397+N399+N449</f>
        <v>0</v>
      </c>
      <c r="O771" s="172">
        <f>+O394+O397+O399+O449</f>
        <v>0</v>
      </c>
      <c r="P771" s="172">
        <f>+P394+P397+P399+P449</f>
        <v>0</v>
      </c>
      <c r="Q771" s="38">
        <f>SUM(N771:P771)</f>
        <v>0</v>
      </c>
      <c r="R771" s="38">
        <f>+E771+I771+M771+Q771</f>
        <v>0</v>
      </c>
    </row>
    <row r="772" spans="1:18" ht="16.5" customHeight="1" thickBot="1" x14ac:dyDescent="0.35">
      <c r="A772" s="43" t="s">
        <v>1019</v>
      </c>
      <c r="B772" s="335">
        <f>SUM(B769:B771)</f>
        <v>400</v>
      </c>
      <c r="C772" s="335">
        <f>SUM(C769:C771)</f>
        <v>500</v>
      </c>
      <c r="D772" s="335">
        <f>SUM(D769:D771)</f>
        <v>4841</v>
      </c>
      <c r="E772" s="39">
        <f t="shared" si="109"/>
        <v>5741</v>
      </c>
      <c r="F772" s="335">
        <f>SUM(F769:F771)</f>
        <v>5904</v>
      </c>
      <c r="G772" s="335">
        <f>SUM(G769:G771)</f>
        <v>2750</v>
      </c>
      <c r="H772" s="335">
        <f>SUM(H769:H771)</f>
        <v>3762</v>
      </c>
      <c r="I772" s="39">
        <f t="shared" si="110"/>
        <v>12416</v>
      </c>
      <c r="J772" s="335">
        <f>SUM(J769:J771)</f>
        <v>3416</v>
      </c>
      <c r="K772" s="335">
        <f>SUM(K769:K771)</f>
        <v>3575</v>
      </c>
      <c r="L772" s="335">
        <f>SUM(L769:L771)</f>
        <v>586</v>
      </c>
      <c r="M772" s="39">
        <f t="shared" si="111"/>
        <v>7577</v>
      </c>
      <c r="N772" s="335">
        <f>SUM(N769:N771)</f>
        <v>4221</v>
      </c>
      <c r="O772" s="335">
        <f>SUM(O769:O771)</f>
        <v>3338</v>
      </c>
      <c r="P772" s="335">
        <f>SUM(P769:P771)</f>
        <v>2818</v>
      </c>
      <c r="Q772" s="39">
        <f t="shared" si="112"/>
        <v>10377</v>
      </c>
      <c r="R772" s="37">
        <f t="shared" si="113"/>
        <v>36111</v>
      </c>
    </row>
    <row r="773" spans="1:18" ht="16.5" customHeight="1" thickBot="1" x14ac:dyDescent="0.35">
      <c r="A773" s="277" t="s">
        <v>1221</v>
      </c>
      <c r="B773" s="45">
        <f>SUM(B765:B771)</f>
        <v>4600</v>
      </c>
      <c r="C773" s="46">
        <f>SUM(C765:C771)</f>
        <v>4068</v>
      </c>
      <c r="D773" s="58">
        <f>SUM(D765:D771)</f>
        <v>9082</v>
      </c>
      <c r="E773" s="336">
        <f t="shared" si="109"/>
        <v>17750</v>
      </c>
      <c r="F773" s="45">
        <f>SUM(F765:F771)</f>
        <v>11143</v>
      </c>
      <c r="G773" s="46">
        <f>SUM(G765:G771)</f>
        <v>5750</v>
      </c>
      <c r="H773" s="58">
        <f>SUM(H765:H771)</f>
        <v>4562</v>
      </c>
      <c r="I773" s="39">
        <f t="shared" si="110"/>
        <v>21455</v>
      </c>
      <c r="J773" s="45">
        <f>SUM(J765:J771)</f>
        <v>5150</v>
      </c>
      <c r="K773" s="46">
        <f>SUM(K765:K771)</f>
        <v>6495</v>
      </c>
      <c r="L773" s="58">
        <f>SUM(L765:L771)</f>
        <v>4210</v>
      </c>
      <c r="M773" s="39">
        <f t="shared" si="111"/>
        <v>15855</v>
      </c>
      <c r="N773" s="45">
        <f>SUM(N765:N771)</f>
        <v>13851</v>
      </c>
      <c r="O773" s="46">
        <f>SUM(O765:O771)</f>
        <v>13880</v>
      </c>
      <c r="P773" s="58">
        <f>SUM(P765:P771)</f>
        <v>9629</v>
      </c>
      <c r="Q773" s="39">
        <f t="shared" si="112"/>
        <v>37360</v>
      </c>
      <c r="R773" s="37">
        <f>+E773+I773+M773+Q773</f>
        <v>92420</v>
      </c>
    </row>
    <row r="774" spans="1:18" ht="16.5" customHeight="1" thickBot="1" x14ac:dyDescent="0.35">
      <c r="A774" s="43" t="s">
        <v>1222</v>
      </c>
      <c r="B774" s="337">
        <f>+B755+B760+B764+B773</f>
        <v>54644</v>
      </c>
      <c r="C774" s="338">
        <f>+C755+C760+C764+C773</f>
        <v>73683</v>
      </c>
      <c r="D774" s="338">
        <f>+D755+D760+D764+D773</f>
        <v>123825</v>
      </c>
      <c r="E774" s="37">
        <f t="shared" si="109"/>
        <v>252152</v>
      </c>
      <c r="F774" s="42">
        <f>+F755+F760+F764+F773</f>
        <v>164245</v>
      </c>
      <c r="G774" s="42">
        <f>+G755+G760+G764+G773</f>
        <v>187340</v>
      </c>
      <c r="H774" s="42">
        <f>+H755+H760+H764+H773</f>
        <v>194295</v>
      </c>
      <c r="I774" s="37">
        <f t="shared" si="110"/>
        <v>545880</v>
      </c>
      <c r="J774" s="42">
        <f>+J755+J760+J764+J773</f>
        <v>183511</v>
      </c>
      <c r="K774" s="42">
        <f>+K755+K760+K764+K773</f>
        <v>165587</v>
      </c>
      <c r="L774" s="42">
        <f>+L755+L760+L764+L773</f>
        <v>114740</v>
      </c>
      <c r="M774" s="37">
        <f t="shared" si="111"/>
        <v>463838</v>
      </c>
      <c r="N774" s="42">
        <f>+N755+N760+N764+N773</f>
        <v>110496</v>
      </c>
      <c r="O774" s="42">
        <f>+O755+O760+O764+O773</f>
        <v>82300</v>
      </c>
      <c r="P774" s="42">
        <f>+P755+P760+P764+P773</f>
        <v>71294</v>
      </c>
      <c r="Q774" s="37">
        <f t="shared" si="112"/>
        <v>264090</v>
      </c>
      <c r="R774" s="40">
        <f t="shared" si="113"/>
        <v>1525960</v>
      </c>
    </row>
    <row r="775" spans="1:18" ht="15.75" customHeight="1" x14ac:dyDescent="0.3">
      <c r="A775" s="356" t="s">
        <v>2646</v>
      </c>
      <c r="B775" s="172"/>
      <c r="C775" s="172"/>
      <c r="D775" s="172"/>
      <c r="E775" s="172"/>
      <c r="F775" s="172"/>
      <c r="G775" s="172"/>
      <c r="H775" s="172"/>
      <c r="I775" s="172"/>
      <c r="J775" s="172"/>
      <c r="K775" s="172"/>
      <c r="L775" s="172"/>
      <c r="M775" s="172"/>
      <c r="N775" s="172"/>
      <c r="O775" s="453"/>
      <c r="P775" s="172"/>
      <c r="Q775" s="172"/>
      <c r="R775" s="17"/>
    </row>
    <row r="776" spans="1:18" ht="15.75" customHeight="1" x14ac:dyDescent="0.3">
      <c r="A776" s="356" t="s">
        <v>2906</v>
      </c>
      <c r="B776" s="172"/>
      <c r="C776" s="172"/>
      <c r="D776" s="172"/>
      <c r="E776" s="172"/>
      <c r="F776" s="172"/>
      <c r="G776" s="172"/>
      <c r="H776" s="172"/>
      <c r="I776" s="172"/>
      <c r="J776" s="172"/>
      <c r="K776" s="172"/>
      <c r="L776" s="172"/>
      <c r="M776" s="172"/>
      <c r="N776" s="172"/>
      <c r="O776" s="453"/>
      <c r="P776" s="172"/>
      <c r="Q776" s="172"/>
      <c r="R776" s="17"/>
    </row>
    <row r="777" spans="1:18" ht="15.75" customHeight="1" x14ac:dyDescent="0.3">
      <c r="A777" s="172"/>
      <c r="B777" s="172"/>
      <c r="C777" s="172"/>
      <c r="D777" s="172"/>
      <c r="E777" s="172"/>
      <c r="F777" s="172"/>
      <c r="G777" s="172"/>
      <c r="H777" s="172"/>
      <c r="I777" s="172"/>
      <c r="J777" s="172"/>
      <c r="K777" s="172"/>
      <c r="L777" s="172"/>
      <c r="M777" s="172"/>
      <c r="N777" s="172"/>
      <c r="O777" s="453"/>
      <c r="P777" s="172"/>
      <c r="Q777" s="680" t="str">
        <f>+Q1</f>
        <v xml:space="preserve">PRINTED:  </v>
      </c>
      <c r="R777" s="681">
        <f ca="1">+R1</f>
        <v>44881.729634027775</v>
      </c>
    </row>
    <row r="778" spans="1:18" ht="15.75" customHeight="1" x14ac:dyDescent="0.3">
      <c r="A778" s="778" t="s">
        <v>43</v>
      </c>
      <c r="B778" s="778"/>
      <c r="C778" s="778"/>
      <c r="D778" s="778"/>
      <c r="E778" s="778"/>
      <c r="F778" s="778"/>
      <c r="G778" s="778"/>
      <c r="H778" s="778"/>
      <c r="I778" s="778"/>
      <c r="J778" s="778"/>
      <c r="K778" s="778"/>
      <c r="L778" s="778"/>
      <c r="M778" s="778"/>
      <c r="N778" s="778"/>
      <c r="O778" s="778"/>
      <c r="P778" s="778"/>
      <c r="Q778" s="778"/>
      <c r="R778" s="778"/>
    </row>
    <row r="779" spans="1:18" ht="15.75" customHeight="1" x14ac:dyDescent="0.3">
      <c r="A779" s="778" t="s">
        <v>1988</v>
      </c>
      <c r="B779" s="778"/>
      <c r="C779" s="778"/>
      <c r="D779" s="778"/>
      <c r="E779" s="778"/>
      <c r="F779" s="778"/>
      <c r="G779" s="778"/>
      <c r="H779" s="778"/>
      <c r="I779" s="778"/>
      <c r="J779" s="778"/>
      <c r="K779" s="778"/>
      <c r="L779" s="778"/>
      <c r="M779" s="778"/>
      <c r="N779" s="778"/>
      <c r="O779" s="778"/>
      <c r="P779" s="778"/>
      <c r="Q779" s="778"/>
      <c r="R779" s="778"/>
    </row>
    <row r="780" spans="1:18" ht="15.75" customHeight="1" x14ac:dyDescent="0.3">
      <c r="A780" s="778" t="s">
        <v>544</v>
      </c>
      <c r="B780" s="778"/>
      <c r="C780" s="778"/>
      <c r="D780" s="778"/>
      <c r="E780" s="778"/>
      <c r="F780" s="778"/>
      <c r="G780" s="778"/>
      <c r="H780" s="778"/>
      <c r="I780" s="778"/>
      <c r="J780" s="778"/>
      <c r="K780" s="778"/>
      <c r="L780" s="778"/>
      <c r="M780" s="778"/>
      <c r="N780" s="778"/>
      <c r="O780" s="778"/>
      <c r="P780" s="778"/>
      <c r="Q780" s="778"/>
      <c r="R780" s="778"/>
    </row>
    <row r="781" spans="1:18" ht="15.75" customHeight="1" x14ac:dyDescent="0.3">
      <c r="A781" s="778">
        <f>+A5</f>
        <v>2014</v>
      </c>
      <c r="B781" s="778"/>
      <c r="C781" s="778"/>
      <c r="D781" s="778"/>
      <c r="E781" s="778"/>
      <c r="F781" s="778"/>
      <c r="G781" s="778"/>
      <c r="H781" s="778"/>
      <c r="I781" s="778"/>
      <c r="J781" s="778"/>
      <c r="K781" s="778"/>
      <c r="L781" s="778"/>
      <c r="M781" s="778"/>
      <c r="N781" s="778"/>
      <c r="O781" s="778"/>
      <c r="P781" s="778"/>
      <c r="Q781" s="778"/>
      <c r="R781" s="778"/>
    </row>
    <row r="782" spans="1:18" ht="15.75" customHeight="1" x14ac:dyDescent="0.3">
      <c r="A782" s="172"/>
      <c r="B782" s="172"/>
      <c r="C782" s="172"/>
      <c r="D782" s="1"/>
      <c r="E782" s="1"/>
      <c r="F782" s="1"/>
      <c r="G782" s="452"/>
      <c r="H782" s="1"/>
      <c r="I782" s="1"/>
      <c r="J782" s="452"/>
      <c r="K782" s="452"/>
      <c r="L782" s="452"/>
      <c r="M782" s="452"/>
      <c r="N782" s="172"/>
      <c r="O782" s="452"/>
      <c r="P782" s="452"/>
      <c r="Q782" s="452"/>
      <c r="R782" s="452"/>
    </row>
    <row r="783" spans="1:18" ht="15.75" customHeight="1" x14ac:dyDescent="0.3">
      <c r="A783" s="778" t="str">
        <f>+A8</f>
        <v>Revised:  2/10/2015</v>
      </c>
      <c r="B783" s="778"/>
      <c r="C783" s="778"/>
      <c r="D783" s="778"/>
      <c r="E783" s="778"/>
      <c r="F783" s="778"/>
      <c r="G783" s="778"/>
      <c r="H783" s="778"/>
      <c r="I783" s="778"/>
      <c r="J783" s="778"/>
      <c r="K783" s="778"/>
      <c r="L783" s="778"/>
      <c r="M783" s="778"/>
      <c r="N783" s="778"/>
      <c r="O783" s="778"/>
      <c r="P783" s="778"/>
      <c r="Q783" s="778"/>
      <c r="R783" s="778"/>
    </row>
    <row r="784" spans="1:18" ht="15.75" customHeight="1" x14ac:dyDescent="0.3">
      <c r="A784" s="448"/>
      <c r="B784" s="448"/>
      <c r="C784" s="448"/>
      <c r="D784" s="448"/>
      <c r="E784" s="448"/>
      <c r="F784" s="448"/>
      <c r="G784" s="448"/>
      <c r="H784" s="448"/>
      <c r="I784" s="448"/>
      <c r="J784" s="448"/>
      <c r="K784" s="448"/>
      <c r="L784" s="448"/>
      <c r="M784" s="448"/>
      <c r="N784" s="448"/>
      <c r="O784" s="448"/>
      <c r="P784" s="448"/>
      <c r="Q784" s="448"/>
      <c r="R784" s="448"/>
    </row>
    <row r="785" spans="1:46" ht="15.75" customHeight="1" x14ac:dyDescent="0.3">
      <c r="A785" s="18"/>
      <c r="B785" s="172"/>
      <c r="C785" s="172"/>
      <c r="D785" s="172"/>
      <c r="E785" s="172"/>
      <c r="F785" s="172"/>
      <c r="G785" s="172"/>
      <c r="H785" s="172"/>
      <c r="I785" s="172"/>
      <c r="J785" s="172"/>
      <c r="K785" s="172"/>
      <c r="L785" s="172"/>
      <c r="M785" s="172"/>
      <c r="N785" s="172"/>
      <c r="O785" s="172"/>
      <c r="P785" s="172"/>
      <c r="Q785" s="172"/>
      <c r="R785" s="17"/>
    </row>
    <row r="786" spans="1:46" ht="15.75" customHeight="1" thickBot="1" x14ac:dyDescent="0.35">
      <c r="A786" s="172"/>
      <c r="B786" s="172"/>
      <c r="C786" s="172"/>
      <c r="D786" s="172"/>
      <c r="E786" s="172"/>
      <c r="F786" s="172"/>
      <c r="G786" s="172"/>
      <c r="H786" s="172"/>
      <c r="I786" s="172"/>
      <c r="J786" s="172"/>
      <c r="K786" s="172"/>
      <c r="L786" s="172"/>
      <c r="M786" s="172"/>
      <c r="N786" s="172"/>
      <c r="O786" s="453"/>
      <c r="P786" s="172"/>
      <c r="Q786" s="172"/>
      <c r="R786" s="17"/>
    </row>
    <row r="787" spans="1:46" ht="15.75" customHeight="1" thickBot="1" x14ac:dyDescent="0.35">
      <c r="A787" s="274" t="s">
        <v>1088</v>
      </c>
      <c r="B787" s="25" t="s">
        <v>2090</v>
      </c>
      <c r="C787" s="26" t="s">
        <v>2091</v>
      </c>
      <c r="D787" s="26" t="s">
        <v>2234</v>
      </c>
      <c r="E787" s="33" t="s">
        <v>1594</v>
      </c>
      <c r="F787" s="26" t="s">
        <v>2235</v>
      </c>
      <c r="G787" s="26" t="s">
        <v>2236</v>
      </c>
      <c r="H787" s="26" t="s">
        <v>2237</v>
      </c>
      <c r="I787" s="33" t="s">
        <v>1595</v>
      </c>
      <c r="J787" s="26" t="s">
        <v>1504</v>
      </c>
      <c r="K787" s="26" t="s">
        <v>1505</v>
      </c>
      <c r="L787" s="26" t="s">
        <v>1506</v>
      </c>
      <c r="M787" s="33" t="s">
        <v>1596</v>
      </c>
      <c r="N787" s="26" t="s">
        <v>1507</v>
      </c>
      <c r="O787" s="26" t="s">
        <v>1508</v>
      </c>
      <c r="P787" s="26" t="s">
        <v>1509</v>
      </c>
      <c r="Q787" s="33" t="s">
        <v>1597</v>
      </c>
      <c r="R787" s="339" t="s">
        <v>1510</v>
      </c>
    </row>
    <row r="788" spans="1:46" ht="16.5" customHeight="1" thickBot="1" x14ac:dyDescent="0.35">
      <c r="A788" s="340"/>
      <c r="B788" s="341"/>
      <c r="C788" s="341"/>
      <c r="D788" s="341"/>
      <c r="E788" s="233"/>
      <c r="F788" s="341"/>
      <c r="G788" s="341"/>
      <c r="H788" s="341"/>
      <c r="I788" s="243"/>
      <c r="J788" s="341"/>
      <c r="K788" s="341"/>
      <c r="L788" s="341"/>
      <c r="M788" s="243"/>
      <c r="N788" s="341"/>
      <c r="O788" s="341"/>
      <c r="P788" s="341"/>
      <c r="Q788" s="279"/>
      <c r="R788" s="342"/>
    </row>
    <row r="789" spans="1:46" ht="16.5" customHeight="1" thickBot="1" x14ac:dyDescent="0.35">
      <c r="A789" s="343" t="s">
        <v>673</v>
      </c>
      <c r="B789" s="344">
        <f>+B755</f>
        <v>23963</v>
      </c>
      <c r="C789" s="344">
        <f>+C755</f>
        <v>24766</v>
      </c>
      <c r="D789" s="344">
        <f>+D755</f>
        <v>40992</v>
      </c>
      <c r="E789" s="45">
        <f>+SUM(B789:D789)</f>
        <v>89721</v>
      </c>
      <c r="F789" s="344">
        <f>+F755</f>
        <v>38757</v>
      </c>
      <c r="G789" s="344">
        <f>+G755</f>
        <v>39353</v>
      </c>
      <c r="H789" s="344">
        <f>+H755</f>
        <v>44249</v>
      </c>
      <c r="I789" s="45">
        <f>+SUM(F789:H789)</f>
        <v>122359</v>
      </c>
      <c r="J789" s="344">
        <f>+J755</f>
        <v>58623</v>
      </c>
      <c r="K789" s="344">
        <f>+K755</f>
        <v>52662</v>
      </c>
      <c r="L789" s="344">
        <f>+L755</f>
        <v>53162</v>
      </c>
      <c r="M789" s="45">
        <f>+SUM(J789:L789)</f>
        <v>164447</v>
      </c>
      <c r="N789" s="344">
        <f>+N755</f>
        <v>47374</v>
      </c>
      <c r="O789" s="344">
        <f>+O755</f>
        <v>37704</v>
      </c>
      <c r="P789" s="344">
        <f>+P755</f>
        <v>37751</v>
      </c>
      <c r="Q789" s="45">
        <f>+SUM(N789:P789)</f>
        <v>122829</v>
      </c>
      <c r="R789" s="37">
        <f>+E789+I789+M789+Q789</f>
        <v>499356</v>
      </c>
    </row>
    <row r="790" spans="1:46" ht="16.5" customHeight="1" thickBot="1" x14ac:dyDescent="0.35">
      <c r="A790" s="35"/>
      <c r="B790" s="45"/>
      <c r="C790" s="45"/>
      <c r="D790" s="45"/>
      <c r="E790" s="45"/>
      <c r="F790" s="45"/>
      <c r="G790" s="45"/>
      <c r="H790" s="45"/>
      <c r="I790" s="45"/>
      <c r="J790" s="45"/>
      <c r="K790" s="45"/>
      <c r="L790" s="45"/>
      <c r="M790" s="45"/>
      <c r="N790" s="45"/>
      <c r="O790" s="45"/>
      <c r="P790" s="45"/>
      <c r="Q790" s="45"/>
      <c r="R790" s="37"/>
    </row>
    <row r="791" spans="1:46" ht="16.5" customHeight="1" thickBot="1" x14ac:dyDescent="0.35">
      <c r="A791" s="343" t="s">
        <v>672</v>
      </c>
      <c r="B791" s="344">
        <f>+B760</f>
        <v>9462</v>
      </c>
      <c r="C791" s="344">
        <f>+C760</f>
        <v>20946</v>
      </c>
      <c r="D791" s="344">
        <f>+D760</f>
        <v>34188</v>
      </c>
      <c r="E791" s="45">
        <f>+SUM(B791:D791)</f>
        <v>64596</v>
      </c>
      <c r="F791" s="344">
        <f>+F760</f>
        <v>42771</v>
      </c>
      <c r="G791" s="344">
        <f>+G760</f>
        <v>50543</v>
      </c>
      <c r="H791" s="344">
        <f>+H760</f>
        <v>67522</v>
      </c>
      <c r="I791" s="45">
        <f>+SUM(F791:H791)</f>
        <v>160836</v>
      </c>
      <c r="J791" s="344">
        <f>+J760</f>
        <v>57537</v>
      </c>
      <c r="K791" s="344">
        <f>+K760</f>
        <v>50717</v>
      </c>
      <c r="L791" s="344">
        <f>+L760</f>
        <v>27397</v>
      </c>
      <c r="M791" s="45">
        <f>+SUM(J791:L791)</f>
        <v>135651</v>
      </c>
      <c r="N791" s="344">
        <f>+N760</f>
        <v>24799</v>
      </c>
      <c r="O791" s="344">
        <f>+O760</f>
        <v>7235</v>
      </c>
      <c r="P791" s="344">
        <f>+P760</f>
        <v>6786</v>
      </c>
      <c r="Q791" s="45">
        <f>+SUM(N791:P791)</f>
        <v>38820</v>
      </c>
      <c r="R791" s="37">
        <f>+E791+I791+M791+Q791</f>
        <v>399903</v>
      </c>
    </row>
    <row r="792" spans="1:46" ht="16.5" customHeight="1" thickBot="1" x14ac:dyDescent="0.35">
      <c r="A792" s="35"/>
      <c r="B792" s="45"/>
      <c r="C792" s="45"/>
      <c r="D792" s="45"/>
      <c r="E792" s="45"/>
      <c r="F792" s="45"/>
      <c r="G792" s="45"/>
      <c r="H792" s="45"/>
      <c r="I792" s="45"/>
      <c r="J792" s="45"/>
      <c r="K792" s="45"/>
      <c r="L792" s="45"/>
      <c r="M792" s="45"/>
      <c r="N792" s="45"/>
      <c r="O792" s="45"/>
      <c r="P792" s="45"/>
      <c r="Q792" s="45"/>
      <c r="R792" s="37"/>
      <c r="AC792" s="546"/>
      <c r="AD792" s="547"/>
      <c r="AE792" s="549" t="s">
        <v>2434</v>
      </c>
      <c r="AF792" s="547"/>
      <c r="AG792" s="547"/>
      <c r="AH792" s="547"/>
      <c r="AI792" s="547"/>
      <c r="AJ792" s="547"/>
      <c r="AK792" s="547" t="s">
        <v>2435</v>
      </c>
      <c r="AL792" s="547"/>
      <c r="AM792" s="547" t="s">
        <v>852</v>
      </c>
      <c r="AN792" s="557" t="str">
        <f>+A8</f>
        <v>Revised:  2/10/2015</v>
      </c>
      <c r="AO792" s="547"/>
      <c r="AP792" s="547"/>
      <c r="AQ792" s="547"/>
      <c r="AR792" s="547"/>
      <c r="AS792" s="678" t="str">
        <f>+Q1</f>
        <v xml:space="preserve">PRINTED:  </v>
      </c>
      <c r="AT792" s="679">
        <f ca="1">+R1</f>
        <v>44881.729634027775</v>
      </c>
    </row>
    <row r="793" spans="1:46" ht="16.5" customHeight="1" thickBot="1" x14ac:dyDescent="0.35">
      <c r="A793" s="343" t="s">
        <v>1089</v>
      </c>
      <c r="B793" s="344">
        <f>+B764</f>
        <v>16619</v>
      </c>
      <c r="C793" s="344">
        <f>+C764</f>
        <v>23903</v>
      </c>
      <c r="D793" s="344">
        <f>+D764</f>
        <v>39563</v>
      </c>
      <c r="E793" s="45">
        <f>+SUM(B793:D793)</f>
        <v>80085</v>
      </c>
      <c r="F793" s="344">
        <f>+F764</f>
        <v>71574</v>
      </c>
      <c r="G793" s="344">
        <f>+G764</f>
        <v>91694</v>
      </c>
      <c r="H793" s="344">
        <f>+H764</f>
        <v>77962</v>
      </c>
      <c r="I793" s="45">
        <f>+SUM(F793:H793)</f>
        <v>241230</v>
      </c>
      <c r="J793" s="344">
        <f>+J764</f>
        <v>62201</v>
      </c>
      <c r="K793" s="344">
        <f>+K764</f>
        <v>55713</v>
      </c>
      <c r="L793" s="344">
        <f>+L764</f>
        <v>29971</v>
      </c>
      <c r="M793" s="45">
        <f>+SUM(J793:L793)</f>
        <v>147885</v>
      </c>
      <c r="N793" s="344">
        <f>+N764</f>
        <v>24472</v>
      </c>
      <c r="O793" s="344">
        <f>+O764</f>
        <v>23481</v>
      </c>
      <c r="P793" s="344">
        <f>+P764</f>
        <v>17128</v>
      </c>
      <c r="Q793" s="45">
        <f>+SUM(N793:P793)</f>
        <v>65081</v>
      </c>
      <c r="R793" s="37">
        <f>+E793+I793+M793+Q793</f>
        <v>534281</v>
      </c>
      <c r="AC793" s="551"/>
      <c r="AD793" s="67"/>
      <c r="AE793" s="67"/>
      <c r="AF793" s="67">
        <f>++A5</f>
        <v>2014</v>
      </c>
      <c r="AG793" s="67"/>
      <c r="AH793" s="67"/>
      <c r="AI793" s="67"/>
      <c r="AJ793" s="67"/>
      <c r="AK793" s="67"/>
      <c r="AL793" s="67"/>
      <c r="AM793" s="67"/>
      <c r="AN793" s="67"/>
      <c r="AO793" s="67"/>
      <c r="AP793" s="67"/>
      <c r="AQ793" s="67"/>
      <c r="AR793" s="67"/>
      <c r="AS793" s="67"/>
      <c r="AT793" s="552"/>
    </row>
    <row r="794" spans="1:46" ht="16.5" customHeight="1" thickBot="1" x14ac:dyDescent="0.35">
      <c r="A794" s="35"/>
      <c r="B794" s="45"/>
      <c r="C794" s="45"/>
      <c r="D794" s="45"/>
      <c r="E794" s="45"/>
      <c r="F794" s="45"/>
      <c r="G794" s="45"/>
      <c r="H794" s="45"/>
      <c r="I794" s="45"/>
      <c r="J794" s="45"/>
      <c r="K794" s="45"/>
      <c r="L794" s="45"/>
      <c r="M794" s="45"/>
      <c r="N794" s="45"/>
      <c r="O794" s="45"/>
      <c r="P794" s="45"/>
      <c r="Q794" s="45"/>
      <c r="R794" s="37"/>
      <c r="AC794" s="551"/>
      <c r="AD794" s="67"/>
      <c r="AE794" s="67"/>
      <c r="AF794" s="67"/>
      <c r="AG794" s="67"/>
      <c r="AH794" s="67"/>
      <c r="AI794" s="67"/>
      <c r="AJ794" s="67"/>
      <c r="AK794" s="67"/>
      <c r="AL794" s="67"/>
      <c r="AM794" s="67"/>
      <c r="AN794" s="67"/>
      <c r="AO794" s="67"/>
      <c r="AP794" s="67"/>
      <c r="AQ794" s="67"/>
      <c r="AR794" s="67"/>
      <c r="AS794" s="67"/>
      <c r="AT794" s="552"/>
    </row>
    <row r="795" spans="1:46" ht="16.5" customHeight="1" thickBot="1" x14ac:dyDescent="0.35">
      <c r="A795" s="343" t="s">
        <v>1090</v>
      </c>
      <c r="B795" s="344">
        <f>+B773</f>
        <v>4600</v>
      </c>
      <c r="C795" s="344">
        <f>+C773</f>
        <v>4068</v>
      </c>
      <c r="D795" s="344">
        <f>+D773</f>
        <v>9082</v>
      </c>
      <c r="E795" s="45">
        <f>+SUM(B795:D795)</f>
        <v>17750</v>
      </c>
      <c r="F795" s="344">
        <f>+F773</f>
        <v>11143</v>
      </c>
      <c r="G795" s="344">
        <f>+G773</f>
        <v>5750</v>
      </c>
      <c r="H795" s="344">
        <f>+H773</f>
        <v>4562</v>
      </c>
      <c r="I795" s="45">
        <f>+SUM(F795:H795)</f>
        <v>21455</v>
      </c>
      <c r="J795" s="344">
        <f>+J773</f>
        <v>5150</v>
      </c>
      <c r="K795" s="344">
        <f>+K773</f>
        <v>6495</v>
      </c>
      <c r="L795" s="344">
        <f>+L773</f>
        <v>4210</v>
      </c>
      <c r="M795" s="45">
        <f>+SUM(J795:L795)</f>
        <v>15855</v>
      </c>
      <c r="N795" s="344">
        <f>+N773</f>
        <v>13851</v>
      </c>
      <c r="O795" s="344">
        <f>+O773</f>
        <v>13880</v>
      </c>
      <c r="P795" s="344">
        <f>+P773</f>
        <v>9629</v>
      </c>
      <c r="Q795" s="45">
        <f>+SUM(N795:P795)</f>
        <v>37360</v>
      </c>
      <c r="R795" s="37">
        <f>+E795+I795+M795+Q795</f>
        <v>92420</v>
      </c>
      <c r="AC795" s="551"/>
      <c r="AD795" s="67"/>
      <c r="AE795" s="67"/>
      <c r="AF795" s="67"/>
      <c r="AG795" s="67"/>
      <c r="AH795" s="67"/>
      <c r="AI795" s="70" t="s">
        <v>2438</v>
      </c>
      <c r="AJ795" s="67"/>
      <c r="AK795" s="67"/>
      <c r="AL795" s="67"/>
      <c r="AM795" s="67"/>
      <c r="AN795" s="67"/>
      <c r="AO795" s="67"/>
      <c r="AP795" s="67"/>
      <c r="AQ795" s="67"/>
      <c r="AR795" s="67"/>
      <c r="AS795" s="67"/>
      <c r="AT795" s="552"/>
    </row>
    <row r="796" spans="1:46" ht="16.5" customHeight="1" thickBot="1" x14ac:dyDescent="0.35">
      <c r="A796" s="35"/>
      <c r="B796" s="45"/>
      <c r="C796" s="45"/>
      <c r="D796" s="45"/>
      <c r="E796" s="45"/>
      <c r="F796" s="45"/>
      <c r="G796" s="45"/>
      <c r="H796" s="45"/>
      <c r="I796" s="45"/>
      <c r="J796" s="45"/>
      <c r="K796" s="45"/>
      <c r="L796" s="45"/>
      <c r="M796" s="45"/>
      <c r="N796" s="45"/>
      <c r="O796" s="45"/>
      <c r="P796" s="45"/>
      <c r="Q796" s="45"/>
      <c r="R796" s="37"/>
      <c r="AC796" s="551"/>
      <c r="AD796" s="67" t="s">
        <v>2435</v>
      </c>
      <c r="AE796" s="67"/>
      <c r="AF796" s="70" t="s">
        <v>2436</v>
      </c>
      <c r="AG796" s="70" t="s">
        <v>2436</v>
      </c>
      <c r="AH796" s="70" t="s">
        <v>2437</v>
      </c>
      <c r="AI796" s="70" t="s">
        <v>525</v>
      </c>
      <c r="AJ796" s="70" t="s">
        <v>2439</v>
      </c>
      <c r="AK796" s="70" t="s">
        <v>2463</v>
      </c>
      <c r="AL796" s="70" t="s">
        <v>2356</v>
      </c>
      <c r="AM796" s="67" t="s">
        <v>2435</v>
      </c>
      <c r="AN796" s="70" t="s">
        <v>2464</v>
      </c>
      <c r="AO796" s="70" t="s">
        <v>2464</v>
      </c>
      <c r="AP796" s="70" t="s">
        <v>2464</v>
      </c>
      <c r="AQ796" s="67"/>
      <c r="AR796" s="67"/>
      <c r="AS796" s="67"/>
      <c r="AT796" s="552"/>
    </row>
    <row r="797" spans="1:46" ht="16.5" customHeight="1" thickBot="1" x14ac:dyDescent="0.4">
      <c r="A797" s="35" t="s">
        <v>574</v>
      </c>
      <c r="B797" s="47">
        <f t="shared" ref="B797:R797" si="114">+SUM(B789:B795)</f>
        <v>54644</v>
      </c>
      <c r="C797" s="47">
        <f t="shared" si="114"/>
        <v>73683</v>
      </c>
      <c r="D797" s="47">
        <f t="shared" si="114"/>
        <v>123825</v>
      </c>
      <c r="E797" s="47">
        <f t="shared" si="114"/>
        <v>252152</v>
      </c>
      <c r="F797" s="47">
        <f t="shared" si="114"/>
        <v>164245</v>
      </c>
      <c r="G797" s="47">
        <f t="shared" si="114"/>
        <v>187340</v>
      </c>
      <c r="H797" s="47">
        <f t="shared" si="114"/>
        <v>194295</v>
      </c>
      <c r="I797" s="47">
        <f t="shared" si="114"/>
        <v>545880</v>
      </c>
      <c r="J797" s="47">
        <f t="shared" si="114"/>
        <v>183511</v>
      </c>
      <c r="K797" s="47">
        <f t="shared" si="114"/>
        <v>165587</v>
      </c>
      <c r="L797" s="47">
        <f t="shared" si="114"/>
        <v>114740</v>
      </c>
      <c r="M797" s="47">
        <f t="shared" si="114"/>
        <v>463838</v>
      </c>
      <c r="N797" s="47">
        <f t="shared" si="114"/>
        <v>110496</v>
      </c>
      <c r="O797" s="47">
        <f t="shared" si="114"/>
        <v>82300</v>
      </c>
      <c r="P797" s="47">
        <f t="shared" si="114"/>
        <v>71294</v>
      </c>
      <c r="Q797" s="47">
        <f t="shared" si="114"/>
        <v>264090</v>
      </c>
      <c r="R797" s="345">
        <f t="shared" si="114"/>
        <v>1525960</v>
      </c>
      <c r="AC797" s="551"/>
      <c r="AD797" s="70" t="s">
        <v>284</v>
      </c>
      <c r="AE797" s="70" t="s">
        <v>2379</v>
      </c>
      <c r="AF797" s="70" t="s">
        <v>844</v>
      </c>
      <c r="AG797" s="70" t="s">
        <v>844</v>
      </c>
      <c r="AH797" s="70" t="s">
        <v>845</v>
      </c>
      <c r="AI797" s="214" t="s">
        <v>955</v>
      </c>
      <c r="AJ797" s="70" t="s">
        <v>275</v>
      </c>
      <c r="AK797" s="70" t="s">
        <v>276</v>
      </c>
      <c r="AL797" s="70" t="s">
        <v>1554</v>
      </c>
      <c r="AM797" s="67" t="s">
        <v>2435</v>
      </c>
      <c r="AN797" s="70" t="s">
        <v>1555</v>
      </c>
      <c r="AO797" s="70" t="s">
        <v>955</v>
      </c>
      <c r="AP797" s="70" t="s">
        <v>1194</v>
      </c>
      <c r="AQ797" s="67"/>
      <c r="AR797" s="67"/>
      <c r="AS797" s="67"/>
      <c r="AT797" s="552"/>
    </row>
    <row r="798" spans="1:46" ht="15.75" customHeight="1" x14ac:dyDescent="0.35">
      <c r="A798" s="201"/>
      <c r="B798" s="286"/>
      <c r="C798" s="286"/>
      <c r="D798" s="286"/>
      <c r="E798" s="286"/>
      <c r="F798" s="286"/>
      <c r="G798" s="286"/>
      <c r="H798" s="544" t="s">
        <v>2538</v>
      </c>
      <c r="I798" s="286"/>
      <c r="J798" s="286"/>
      <c r="K798" s="286"/>
      <c r="L798" s="286"/>
      <c r="M798" s="286"/>
      <c r="N798" s="286"/>
      <c r="O798" s="286"/>
      <c r="P798" s="286"/>
      <c r="Q798" s="286"/>
      <c r="R798" s="286"/>
      <c r="AC798" s="551"/>
      <c r="AD798" s="70" t="s">
        <v>1193</v>
      </c>
      <c r="AE798" s="70" t="s">
        <v>956</v>
      </c>
      <c r="AF798" s="70" t="s">
        <v>333</v>
      </c>
      <c r="AG798" s="70" t="s">
        <v>334</v>
      </c>
      <c r="AH798" s="70" t="s">
        <v>335</v>
      </c>
      <c r="AI798" s="70" t="s">
        <v>335</v>
      </c>
      <c r="AJ798" s="70" t="s">
        <v>335</v>
      </c>
      <c r="AK798" s="70" t="s">
        <v>335</v>
      </c>
      <c r="AL798" s="70" t="s">
        <v>1486</v>
      </c>
      <c r="AM798" s="67" t="s">
        <v>2435</v>
      </c>
      <c r="AN798" s="70" t="s">
        <v>1487</v>
      </c>
      <c r="AO798" s="70" t="s">
        <v>929</v>
      </c>
      <c r="AP798" s="70" t="s">
        <v>929</v>
      </c>
      <c r="AQ798" s="67"/>
      <c r="AR798" s="67"/>
      <c r="AS798" s="67"/>
      <c r="AT798" s="552"/>
    </row>
    <row r="799" spans="1:46" ht="15.75" customHeight="1" x14ac:dyDescent="0.35">
      <c r="A799" s="201"/>
      <c r="B799" s="286"/>
      <c r="C799" s="286"/>
      <c r="D799" s="286"/>
      <c r="E799" s="286"/>
      <c r="F799" s="286"/>
      <c r="G799" s="286"/>
      <c r="H799" s="544"/>
      <c r="I799" s="286"/>
      <c r="J799" s="286"/>
      <c r="K799" s="286"/>
      <c r="L799" s="286"/>
      <c r="M799" s="286"/>
      <c r="N799" s="286"/>
      <c r="O799" s="286"/>
      <c r="P799" s="286"/>
      <c r="Q799" s="286"/>
      <c r="R799" s="286"/>
      <c r="AC799" s="551"/>
      <c r="AD799" s="70" t="s">
        <v>930</v>
      </c>
      <c r="AE799" s="70" t="s">
        <v>931</v>
      </c>
      <c r="AF799" s="70" t="s">
        <v>932</v>
      </c>
      <c r="AG799" s="70" t="s">
        <v>932</v>
      </c>
      <c r="AH799" s="70" t="s">
        <v>932</v>
      </c>
      <c r="AI799" s="70" t="s">
        <v>932</v>
      </c>
      <c r="AJ799" s="70" t="s">
        <v>932</v>
      </c>
      <c r="AK799" s="70" t="s">
        <v>932</v>
      </c>
      <c r="AL799" s="70" t="s">
        <v>932</v>
      </c>
      <c r="AM799" s="67" t="s">
        <v>2435</v>
      </c>
      <c r="AN799" s="70" t="s">
        <v>946</v>
      </c>
      <c r="AO799" s="70" t="s">
        <v>946</v>
      </c>
      <c r="AP799" s="70" t="s">
        <v>946</v>
      </c>
      <c r="AQ799" s="67"/>
      <c r="AR799" s="67"/>
      <c r="AS799" s="67"/>
      <c r="AT799" s="552"/>
    </row>
    <row r="800" spans="1:46" ht="15.75" customHeight="1" thickBot="1" x14ac:dyDescent="0.4">
      <c r="A800" s="201"/>
      <c r="B800" s="286"/>
      <c r="C800" s="286"/>
      <c r="D800" s="286"/>
      <c r="E800" s="286"/>
      <c r="F800" s="286"/>
      <c r="G800" s="286"/>
      <c r="H800" s="544"/>
      <c r="I800" s="286"/>
      <c r="J800" s="286"/>
      <c r="K800" s="286"/>
      <c r="L800" s="286"/>
      <c r="M800" s="286"/>
      <c r="N800" s="286"/>
      <c r="O800" s="286"/>
      <c r="P800" s="286"/>
      <c r="Q800" s="286"/>
      <c r="R800" s="286"/>
      <c r="AC800" s="551"/>
      <c r="AD800" s="67" t="s">
        <v>1353</v>
      </c>
      <c r="AE800" s="67" t="s">
        <v>1353</v>
      </c>
      <c r="AF800" s="67" t="s">
        <v>1353</v>
      </c>
      <c r="AG800" s="67" t="s">
        <v>1353</v>
      </c>
      <c r="AH800" s="67" t="s">
        <v>1353</v>
      </c>
      <c r="AI800" s="67" t="s">
        <v>1353</v>
      </c>
      <c r="AJ800" s="67" t="s">
        <v>1353</v>
      </c>
      <c r="AK800" s="67" t="s">
        <v>1353</v>
      </c>
      <c r="AL800" s="67" t="s">
        <v>1353</v>
      </c>
      <c r="AM800" s="67" t="s">
        <v>2435</v>
      </c>
      <c r="AN800" s="67" t="s">
        <v>1353</v>
      </c>
      <c r="AO800" s="67" t="s">
        <v>1353</v>
      </c>
      <c r="AP800" s="67" t="s">
        <v>1353</v>
      </c>
      <c r="AQ800" s="67"/>
      <c r="AR800" s="67"/>
      <c r="AS800" s="67"/>
      <c r="AT800" s="552"/>
    </row>
    <row r="801" spans="1:46" ht="15.75" customHeight="1" x14ac:dyDescent="0.3">
      <c r="A801" s="651"/>
      <c r="B801" s="782" t="s">
        <v>864</v>
      </c>
      <c r="C801" s="782"/>
      <c r="D801" s="782"/>
      <c r="E801" s="782"/>
      <c r="F801" s="782"/>
      <c r="G801" s="782"/>
      <c r="H801" s="782"/>
      <c r="I801" s="782"/>
      <c r="J801" s="782"/>
      <c r="K801" s="782"/>
      <c r="L801" s="782"/>
      <c r="M801" s="782"/>
      <c r="N801" s="782"/>
      <c r="O801" s="782"/>
      <c r="P801" s="782"/>
      <c r="Q801" s="678" t="str">
        <f>+Q1</f>
        <v xml:space="preserve">PRINTED:  </v>
      </c>
      <c r="R801" s="679">
        <f ca="1">+R1</f>
        <v>44881.729634027775</v>
      </c>
      <c r="AC801" s="553" t="s">
        <v>1354</v>
      </c>
      <c r="AD801" s="67">
        <f t="shared" ref="AD801:AD812" si="115">(F810)</f>
        <v>54111</v>
      </c>
      <c r="AE801" s="67">
        <f t="shared" ref="AE801:AE812" si="116">SUM($B$865:$E$865)+(T810-1526.8)/0.7702</f>
        <v>1640.619579330044</v>
      </c>
      <c r="AF801" s="67">
        <f>(AD801*AE801/1000)</f>
        <v>88775.566057128017</v>
      </c>
      <c r="AG801" s="67">
        <f t="shared" ref="AG801:AG812" si="117">(((B810-F810)*B$865)+((C810-F810)*C$865)+((D810-F810)*D$865)+((E810-F810)*E$865))/1000</f>
        <v>40737.877999999997</v>
      </c>
      <c r="AH801" s="67">
        <f>(AF801+AG801)</f>
        <v>129513.44405712801</v>
      </c>
      <c r="AI801" s="67">
        <f t="shared" ref="AI801:AI812" si="118">SUM(H867:Q867)</f>
        <v>21295</v>
      </c>
      <c r="AJ801" s="67">
        <f>+AH801+AI801</f>
        <v>150808.44405712801</v>
      </c>
      <c r="AK801" s="67">
        <f t="shared" ref="AK801:AK808" si="119">(G895)</f>
        <v>4029.6694800301361</v>
      </c>
      <c r="AL801" s="67">
        <f t="shared" ref="AL801:AL812" si="120">(AJ801-AK801)</f>
        <v>146778.77457709788</v>
      </c>
      <c r="AM801" s="67" t="s">
        <v>2435</v>
      </c>
      <c r="AN801" s="67">
        <f>+B810/31/1.98</f>
        <v>1351.3033561420657</v>
      </c>
      <c r="AO801" s="67">
        <f>(AD801*43560/31/24/3600)</f>
        <v>880.03104838709669</v>
      </c>
      <c r="AP801" s="67">
        <f>+B285</f>
        <v>-431.91319766401506</v>
      </c>
      <c r="AQ801" s="67"/>
      <c r="AR801" s="67"/>
      <c r="AS801" s="67"/>
      <c r="AT801" s="552"/>
    </row>
    <row r="802" spans="1:46" ht="15.75" customHeight="1" x14ac:dyDescent="0.3">
      <c r="A802" s="553"/>
      <c r="B802" s="786" t="str">
        <f>+A8</f>
        <v>Revised:  2/10/2015</v>
      </c>
      <c r="C802" s="786"/>
      <c r="D802" s="786"/>
      <c r="E802" s="786"/>
      <c r="F802" s="786"/>
      <c r="G802" s="786"/>
      <c r="H802" s="786"/>
      <c r="I802" s="786"/>
      <c r="J802" s="786"/>
      <c r="K802" s="786"/>
      <c r="L802" s="786"/>
      <c r="M802" s="786"/>
      <c r="N802" s="786"/>
      <c r="O802" s="786"/>
      <c r="P802" s="786"/>
      <c r="Q802" s="67"/>
      <c r="R802" s="552"/>
      <c r="AC802" s="553" t="s">
        <v>706</v>
      </c>
      <c r="AD802" s="67">
        <f t="shared" si="115"/>
        <v>52725</v>
      </c>
      <c r="AE802" s="67">
        <f t="shared" si="116"/>
        <v>1641.3206959231368</v>
      </c>
      <c r="AF802" s="67">
        <f>(AD802*AE802/1000)</f>
        <v>86538.633692547388</v>
      </c>
      <c r="AG802" s="67">
        <f t="shared" si="117"/>
        <v>108741.433</v>
      </c>
      <c r="AH802" s="67">
        <f t="shared" ref="AH802:AH812" si="121">(AF802+AG802)</f>
        <v>195280.06669254741</v>
      </c>
      <c r="AI802" s="67">
        <f t="shared" si="118"/>
        <v>21141</v>
      </c>
      <c r="AJ802" s="67">
        <f t="shared" ref="AJ802:AJ812" si="122">+AH802+AI802</f>
        <v>216421.06669254741</v>
      </c>
      <c r="AK802" s="67">
        <f t="shared" si="119"/>
        <v>0</v>
      </c>
      <c r="AL802" s="67">
        <f t="shared" si="120"/>
        <v>216421.06669254741</v>
      </c>
      <c r="AM802" s="67" t="s">
        <v>2435</v>
      </c>
      <c r="AN802" s="67">
        <f>+B811/28/1.98</f>
        <v>2335.0829725829726</v>
      </c>
      <c r="AO802" s="67">
        <f>(AD802*43560/29/24/3600)</f>
        <v>916.62715517241395</v>
      </c>
      <c r="AP802" s="67">
        <f>+C285</f>
        <v>0</v>
      </c>
      <c r="AQ802" s="67"/>
      <c r="AR802" s="67"/>
      <c r="AS802" s="67"/>
      <c r="AT802" s="552"/>
    </row>
    <row r="803" spans="1:46" ht="15.75" customHeight="1" x14ac:dyDescent="0.3">
      <c r="A803" s="553"/>
      <c r="B803" s="786" t="s">
        <v>2878</v>
      </c>
      <c r="C803" s="786"/>
      <c r="D803" s="786"/>
      <c r="E803" s="786"/>
      <c r="F803" s="786"/>
      <c r="G803" s="786"/>
      <c r="H803" s="786"/>
      <c r="I803" s="786"/>
      <c r="J803" s="786"/>
      <c r="K803" s="786"/>
      <c r="L803" s="786"/>
      <c r="M803" s="786"/>
      <c r="N803" s="786"/>
      <c r="O803" s="786"/>
      <c r="P803" s="786"/>
      <c r="Q803" s="67"/>
      <c r="R803" s="552"/>
      <c r="AC803" s="553" t="s">
        <v>707</v>
      </c>
      <c r="AD803" s="67">
        <f t="shared" si="115"/>
        <v>48127</v>
      </c>
      <c r="AE803" s="67">
        <f t="shared" si="116"/>
        <v>1648.5525874397988</v>
      </c>
      <c r="AF803" s="67">
        <f t="shared" ref="AF803:AF812" si="123">(AD803*AE803/1000)</f>
        <v>79339.8903757152</v>
      </c>
      <c r="AG803" s="67">
        <f t="shared" si="117"/>
        <v>180357.96299999999</v>
      </c>
      <c r="AH803" s="67">
        <f t="shared" si="121"/>
        <v>259697.8533757152</v>
      </c>
      <c r="AI803" s="67">
        <f t="shared" si="118"/>
        <v>38712</v>
      </c>
      <c r="AJ803" s="67">
        <f t="shared" si="122"/>
        <v>298409.8533757152</v>
      </c>
      <c r="AK803" s="67">
        <f t="shared" si="119"/>
        <v>0</v>
      </c>
      <c r="AL803" s="67">
        <f t="shared" si="120"/>
        <v>298409.8533757152</v>
      </c>
      <c r="AM803" s="67" t="s">
        <v>2435</v>
      </c>
      <c r="AN803" s="67">
        <f>+B812/31/1.98</f>
        <v>2858.0482241772565</v>
      </c>
      <c r="AO803" s="67">
        <f>(AD803*43560/31/24/3600)</f>
        <v>782.71061827956999</v>
      </c>
      <c r="AP803" s="67">
        <f>+D285</f>
        <v>0</v>
      </c>
      <c r="AQ803" s="67"/>
      <c r="AR803" s="67"/>
      <c r="AS803" s="67"/>
      <c r="AT803" s="552"/>
    </row>
    <row r="804" spans="1:46" ht="15.75" customHeight="1" x14ac:dyDescent="0.3">
      <c r="A804" s="553"/>
      <c r="B804" s="786"/>
      <c r="C804" s="786"/>
      <c r="D804" s="786"/>
      <c r="E804" s="786"/>
      <c r="F804" s="786"/>
      <c r="G804" s="786"/>
      <c r="H804" s="786"/>
      <c r="I804" s="786"/>
      <c r="J804" s="786"/>
      <c r="K804" s="786"/>
      <c r="L804" s="786"/>
      <c r="M804" s="786"/>
      <c r="N804" s="786"/>
      <c r="O804" s="786"/>
      <c r="P804" s="786"/>
      <c r="Q804" s="67"/>
      <c r="R804" s="552"/>
      <c r="AC804" s="553" t="s">
        <v>1321</v>
      </c>
      <c r="AD804" s="67">
        <f t="shared" si="115"/>
        <v>9835</v>
      </c>
      <c r="AE804" s="67">
        <f t="shared" si="116"/>
        <v>1648.6824201506106</v>
      </c>
      <c r="AF804" s="67">
        <f t="shared" si="123"/>
        <v>16214.791602181256</v>
      </c>
      <c r="AG804" s="67">
        <f t="shared" si="117"/>
        <v>237889.39600000001</v>
      </c>
      <c r="AH804" s="67">
        <f t="shared" si="121"/>
        <v>254104.18760218128</v>
      </c>
      <c r="AI804" s="67">
        <f t="shared" si="118"/>
        <v>47559</v>
      </c>
      <c r="AJ804" s="67">
        <f t="shared" si="122"/>
        <v>301663.18760218128</v>
      </c>
      <c r="AK804" s="67">
        <f t="shared" si="119"/>
        <v>57.845802562170356</v>
      </c>
      <c r="AL804" s="67">
        <f t="shared" si="120"/>
        <v>301605.34179961908</v>
      </c>
      <c r="AM804" s="67" t="s">
        <v>2435</v>
      </c>
      <c r="AN804" s="67">
        <f>+B813/30/1.98</f>
        <v>2993.3501683501681</v>
      </c>
      <c r="AO804" s="67">
        <f>(AD804*43560/30/24/3600)</f>
        <v>165.2826388888889</v>
      </c>
      <c r="AP804" s="67">
        <f>+F285</f>
        <v>-6.034627668515717</v>
      </c>
      <c r="AQ804" s="67"/>
      <c r="AR804" s="67"/>
      <c r="AS804" s="67"/>
      <c r="AT804" s="552"/>
    </row>
    <row r="805" spans="1:46" ht="15.75" customHeight="1" x14ac:dyDescent="0.3">
      <c r="A805" s="553"/>
      <c r="B805" s="787">
        <f>+A5</f>
        <v>2014</v>
      </c>
      <c r="C805" s="787"/>
      <c r="D805" s="787"/>
      <c r="E805" s="787"/>
      <c r="F805" s="787"/>
      <c r="G805" s="787"/>
      <c r="H805" s="787"/>
      <c r="I805" s="787"/>
      <c r="J805" s="787"/>
      <c r="K805" s="787"/>
      <c r="L805" s="787"/>
      <c r="M805" s="787"/>
      <c r="N805" s="787"/>
      <c r="O805" s="787"/>
      <c r="P805" s="787"/>
      <c r="Q805" s="67"/>
      <c r="R805" s="552"/>
      <c r="AC805" s="553" t="s">
        <v>1905</v>
      </c>
      <c r="AD805" s="67">
        <f t="shared" si="115"/>
        <v>1525</v>
      </c>
      <c r="AE805" s="67">
        <f t="shared" si="116"/>
        <v>1646.1506102311087</v>
      </c>
      <c r="AF805" s="67">
        <f t="shared" si="123"/>
        <v>2510.3796806024407</v>
      </c>
      <c r="AG805" s="67">
        <f t="shared" si="117"/>
        <v>257427.30900000001</v>
      </c>
      <c r="AH805" s="67">
        <f t="shared" si="121"/>
        <v>259937.68868060244</v>
      </c>
      <c r="AI805" s="67">
        <f t="shared" si="118"/>
        <v>49557</v>
      </c>
      <c r="AJ805" s="67">
        <f t="shared" si="122"/>
        <v>309494.68868060247</v>
      </c>
      <c r="AK805" s="67">
        <f t="shared" si="119"/>
        <v>1576.5355840241118</v>
      </c>
      <c r="AL805" s="67">
        <f t="shared" si="120"/>
        <v>307918.15309657837</v>
      </c>
      <c r="AM805" s="67" t="s">
        <v>2435</v>
      </c>
      <c r="AN805" s="67">
        <f>+B814/31/1.98</f>
        <v>2989.4916911045943</v>
      </c>
      <c r="AO805" s="67">
        <f>(AD805*43560/31/24/3600)</f>
        <v>24.80174731182796</v>
      </c>
      <c r="AP805" s="67">
        <f>+G285</f>
        <v>-162.11995510224</v>
      </c>
      <c r="AQ805" s="67"/>
      <c r="AR805" s="67"/>
      <c r="AS805" s="67"/>
      <c r="AT805" s="552"/>
    </row>
    <row r="806" spans="1:46" ht="15.75" customHeight="1" x14ac:dyDescent="0.3">
      <c r="A806" s="553"/>
      <c r="B806" s="786" t="s">
        <v>2918</v>
      </c>
      <c r="C806" s="786"/>
      <c r="D806" s="786"/>
      <c r="E806" s="786"/>
      <c r="F806" s="786"/>
      <c r="G806" s="786"/>
      <c r="H806" s="786"/>
      <c r="I806" s="786"/>
      <c r="J806" s="786"/>
      <c r="K806" s="786"/>
      <c r="L806" s="786"/>
      <c r="M806" s="786"/>
      <c r="N806" s="786"/>
      <c r="O806" s="786"/>
      <c r="P806" s="786"/>
      <c r="Q806" s="67"/>
      <c r="R806" s="552"/>
      <c r="AC806" s="553" t="s">
        <v>1906</v>
      </c>
      <c r="AD806" s="67">
        <f t="shared" si="115"/>
        <v>0</v>
      </c>
      <c r="AE806" s="67">
        <f t="shared" si="116"/>
        <v>1632.5437548688653</v>
      </c>
      <c r="AF806" s="67">
        <f t="shared" si="123"/>
        <v>0</v>
      </c>
      <c r="AG806" s="67">
        <f t="shared" si="117"/>
        <v>190913.573</v>
      </c>
      <c r="AH806" s="67">
        <f t="shared" si="121"/>
        <v>190913.573</v>
      </c>
      <c r="AI806" s="67">
        <f t="shared" si="118"/>
        <v>47324</v>
      </c>
      <c r="AJ806" s="67">
        <f t="shared" si="122"/>
        <v>238237.573</v>
      </c>
      <c r="AK806" s="67">
        <f t="shared" si="119"/>
        <v>9210.6252298417494</v>
      </c>
      <c r="AL806" s="67">
        <f t="shared" si="120"/>
        <v>229026.94777015827</v>
      </c>
      <c r="AM806" s="67" t="s">
        <v>2435</v>
      </c>
      <c r="AN806" s="67">
        <f>+B815/30/1.98</f>
        <v>2278.4175084175081</v>
      </c>
      <c r="AO806" s="67">
        <f t="shared" ref="AO806:AO811" si="124">(AD806*43560/30/24/3600)</f>
        <v>0</v>
      </c>
      <c r="AP806" s="67">
        <f>+H285</f>
        <v>-1087.2919818456883</v>
      </c>
      <c r="AQ806" s="67"/>
      <c r="AR806" s="67"/>
      <c r="AS806" s="67"/>
      <c r="AT806" s="552"/>
    </row>
    <row r="807" spans="1:46" ht="15.75" customHeight="1" x14ac:dyDescent="0.3">
      <c r="A807" s="553"/>
      <c r="B807" s="67"/>
      <c r="C807" s="67"/>
      <c r="D807" s="67"/>
      <c r="E807" s="67"/>
      <c r="F807" s="67"/>
      <c r="G807" s="67"/>
      <c r="H807" s="67"/>
      <c r="I807" s="67"/>
      <c r="J807" s="67"/>
      <c r="K807" s="67"/>
      <c r="L807" s="67"/>
      <c r="M807" s="67"/>
      <c r="N807" s="67"/>
      <c r="O807" s="67"/>
      <c r="P807" s="67"/>
      <c r="Q807" s="67"/>
      <c r="R807" s="552"/>
      <c r="AC807" s="553" t="s">
        <v>1907</v>
      </c>
      <c r="AD807" s="67">
        <f t="shared" si="115"/>
        <v>0</v>
      </c>
      <c r="AE807" s="67">
        <f t="shared" si="116"/>
        <v>1613.7694105427163</v>
      </c>
      <c r="AF807" s="67">
        <f t="shared" si="123"/>
        <v>0</v>
      </c>
      <c r="AG807" s="67">
        <f t="shared" si="117"/>
        <v>133674.87700000001</v>
      </c>
      <c r="AH807" s="67">
        <f t="shared" si="121"/>
        <v>133674.87700000001</v>
      </c>
      <c r="AI807" s="67">
        <f t="shared" si="118"/>
        <v>47265</v>
      </c>
      <c r="AJ807" s="67">
        <f t="shared" si="122"/>
        <v>180939.87700000001</v>
      </c>
      <c r="AK807" s="67">
        <f t="shared" si="119"/>
        <v>11320.02598342125</v>
      </c>
      <c r="AL807" s="67">
        <f t="shared" si="120"/>
        <v>169619.85101657876</v>
      </c>
      <c r="AM807" s="67" t="s">
        <v>2435</v>
      </c>
      <c r="AN807" s="67">
        <f>+B816/31/1.98</f>
        <v>1552.5089605734768</v>
      </c>
      <c r="AO807" s="67">
        <f t="shared" si="124"/>
        <v>0</v>
      </c>
      <c r="AP807" s="67">
        <f>+J285</f>
        <v>-1526.8817204301076</v>
      </c>
      <c r="AQ807" s="67"/>
      <c r="AR807" s="67"/>
      <c r="AS807" s="67"/>
      <c r="AT807" s="552"/>
    </row>
    <row r="808" spans="1:46" ht="15.75" customHeight="1" thickBot="1" x14ac:dyDescent="0.35">
      <c r="A808" s="553" t="s">
        <v>845</v>
      </c>
      <c r="B808" s="634" t="s">
        <v>1308</v>
      </c>
      <c r="C808" s="634" t="s">
        <v>1309</v>
      </c>
      <c r="D808" s="634" t="s">
        <v>1029</v>
      </c>
      <c r="E808" s="634" t="s">
        <v>1030</v>
      </c>
      <c r="F808" s="634" t="s">
        <v>284</v>
      </c>
      <c r="G808" s="634" t="s">
        <v>284</v>
      </c>
      <c r="H808" s="634" t="s">
        <v>285</v>
      </c>
      <c r="I808" s="634" t="s">
        <v>286</v>
      </c>
      <c r="J808" s="634" t="s">
        <v>287</v>
      </c>
      <c r="K808" s="634" t="s">
        <v>288</v>
      </c>
      <c r="L808" s="634" t="s">
        <v>289</v>
      </c>
      <c r="M808" s="634" t="s">
        <v>633</v>
      </c>
      <c r="N808" s="634" t="s">
        <v>634</v>
      </c>
      <c r="O808" s="634" t="s">
        <v>1192</v>
      </c>
      <c r="P808" s="634" t="s">
        <v>524</v>
      </c>
      <c r="Q808" s="634" t="s">
        <v>525</v>
      </c>
      <c r="R808" s="552"/>
      <c r="T808" s="350" t="s">
        <v>2756</v>
      </c>
      <c r="AC808" s="553" t="s">
        <v>1908</v>
      </c>
      <c r="AD808" s="67">
        <f t="shared" si="115"/>
        <v>0</v>
      </c>
      <c r="AE808" s="67">
        <f t="shared" si="116"/>
        <v>1591.281686719662</v>
      </c>
      <c r="AF808" s="67">
        <f t="shared" si="123"/>
        <v>0</v>
      </c>
      <c r="AG808" s="67">
        <f t="shared" si="117"/>
        <v>142992.40900000001</v>
      </c>
      <c r="AH808" s="67">
        <f t="shared" si="121"/>
        <v>142992.40900000001</v>
      </c>
      <c r="AI808" s="67">
        <f t="shared" si="118"/>
        <v>47956</v>
      </c>
      <c r="AJ808" s="67">
        <f t="shared" si="122"/>
        <v>190948.40900000001</v>
      </c>
      <c r="AK808" s="67">
        <f t="shared" si="119"/>
        <v>6383.2050759163476</v>
      </c>
      <c r="AL808" s="67">
        <f t="shared" si="120"/>
        <v>184565.20392408367</v>
      </c>
      <c r="AM808" s="67" t="s">
        <v>2435</v>
      </c>
      <c r="AN808" s="67">
        <f>+B817/31/1.98</f>
        <v>1656.9729553600523</v>
      </c>
      <c r="AO808" s="67">
        <f t="shared" si="124"/>
        <v>0</v>
      </c>
      <c r="AP808" s="67">
        <f>+K285</f>
        <v>-1098.8238738958567</v>
      </c>
      <c r="AQ808" s="67"/>
      <c r="AR808" s="67"/>
      <c r="AS808" s="67"/>
      <c r="AT808" s="552"/>
    </row>
    <row r="809" spans="1:46" ht="15.75" customHeight="1" x14ac:dyDescent="0.3">
      <c r="A809" s="553"/>
      <c r="B809" s="67"/>
      <c r="C809" s="67"/>
      <c r="D809" s="67"/>
      <c r="E809" s="67"/>
      <c r="F809" s="70" t="s">
        <v>1193</v>
      </c>
      <c r="G809" s="70" t="s">
        <v>1194</v>
      </c>
      <c r="H809" s="67"/>
      <c r="I809" s="67"/>
      <c r="J809" s="67"/>
      <c r="K809" s="67"/>
      <c r="L809" s="67"/>
      <c r="M809" s="67"/>
      <c r="N809" s="67"/>
      <c r="O809" s="67"/>
      <c r="P809" s="67"/>
      <c r="Q809" s="67"/>
      <c r="R809" s="552"/>
      <c r="AC809" s="553" t="s">
        <v>2352</v>
      </c>
      <c r="AD809" s="67">
        <f t="shared" si="115"/>
        <v>27580</v>
      </c>
      <c r="AE809" s="67">
        <f t="shared" si="116"/>
        <v>1596.3323736446584</v>
      </c>
      <c r="AF809" s="67">
        <f t="shared" si="123"/>
        <v>44026.846865119682</v>
      </c>
      <c r="AG809" s="67">
        <f t="shared" si="117"/>
        <v>157317.10399999999</v>
      </c>
      <c r="AH809" s="67">
        <f t="shared" si="121"/>
        <v>201343.95086511967</v>
      </c>
      <c r="AI809" s="67">
        <f t="shared" si="118"/>
        <v>36513</v>
      </c>
      <c r="AJ809" s="67">
        <f t="shared" si="122"/>
        <v>237856.95086511967</v>
      </c>
      <c r="AK809" s="67">
        <v>0</v>
      </c>
      <c r="AL809" s="67">
        <f t="shared" si="120"/>
        <v>237856.95086511967</v>
      </c>
      <c r="AM809" s="67" t="s">
        <v>2435</v>
      </c>
      <c r="AN809" s="67">
        <f>+B818/30/1.98</f>
        <v>2355.993265993266</v>
      </c>
      <c r="AO809" s="67">
        <f t="shared" si="124"/>
        <v>463.49722222222221</v>
      </c>
      <c r="AP809" s="67">
        <f>+L285</f>
        <v>-92.788703983862831</v>
      </c>
      <c r="AQ809" s="67"/>
      <c r="AR809" s="67"/>
      <c r="AS809" s="67"/>
      <c r="AT809" s="552"/>
    </row>
    <row r="810" spans="1:46" ht="15.75" customHeight="1" x14ac:dyDescent="0.3">
      <c r="A810" s="139" t="s">
        <v>2843</v>
      </c>
      <c r="B810" s="67">
        <f>+B29</f>
        <v>82943</v>
      </c>
      <c r="C810" s="67">
        <f>+B64</f>
        <v>82846</v>
      </c>
      <c r="D810" s="67">
        <f>+B131</f>
        <v>82749</v>
      </c>
      <c r="E810" s="67">
        <f>+B275</f>
        <v>81391</v>
      </c>
      <c r="F810" s="67">
        <f>+B270</f>
        <v>54111</v>
      </c>
      <c r="G810" s="67">
        <f>+B282</f>
        <v>-26551</v>
      </c>
      <c r="H810" s="67">
        <f>+B410</f>
        <v>33048</v>
      </c>
      <c r="I810" s="67">
        <f>+B457</f>
        <v>15604</v>
      </c>
      <c r="J810" s="67">
        <f>+B499</f>
        <v>15595</v>
      </c>
      <c r="K810" s="67">
        <f>+B552</f>
        <v>15047</v>
      </c>
      <c r="L810" s="67">
        <f>+B562</f>
        <v>10335</v>
      </c>
      <c r="M810" s="67">
        <f>+B598</f>
        <v>10315</v>
      </c>
      <c r="N810" s="67">
        <f>+B642</f>
        <v>10305</v>
      </c>
      <c r="O810" s="67">
        <f>+B652</f>
        <v>4506</v>
      </c>
      <c r="P810" s="67">
        <f>+B686</f>
        <v>210</v>
      </c>
      <c r="Q810" s="67">
        <f>+B733</f>
        <v>4504</v>
      </c>
      <c r="R810" s="552"/>
      <c r="T810" s="619">
        <f>'Lake Pleasant Forecast'!B35</f>
        <v>1692.1</v>
      </c>
      <c r="AC810" s="553" t="s">
        <v>2353</v>
      </c>
      <c r="AD810" s="67">
        <f t="shared" si="115"/>
        <v>5000</v>
      </c>
      <c r="AE810" s="67">
        <f t="shared" si="116"/>
        <v>1606.3687353934044</v>
      </c>
      <c r="AF810" s="67">
        <f t="shared" si="123"/>
        <v>8031.8436769670216</v>
      </c>
      <c r="AG810" s="67">
        <f t="shared" si="117"/>
        <v>160538.973</v>
      </c>
      <c r="AH810" s="67">
        <f t="shared" si="121"/>
        <v>168570.81667696702</v>
      </c>
      <c r="AI810" s="67">
        <f t="shared" si="118"/>
        <v>27229</v>
      </c>
      <c r="AJ810" s="67">
        <f t="shared" si="122"/>
        <v>195799.81667696702</v>
      </c>
      <c r="AK810" s="67">
        <v>0</v>
      </c>
      <c r="AL810" s="67">
        <f t="shared" si="120"/>
        <v>195799.81667696702</v>
      </c>
      <c r="AM810" s="67" t="s">
        <v>2435</v>
      </c>
      <c r="AN810" s="67">
        <f>+B819/31/1.98</f>
        <v>1950.733137829912</v>
      </c>
      <c r="AO810" s="67">
        <f t="shared" si="124"/>
        <v>84.027777777777771</v>
      </c>
      <c r="AP810" s="67">
        <f>+N285</f>
        <v>0</v>
      </c>
      <c r="AQ810" s="67"/>
      <c r="AR810" s="67"/>
      <c r="AS810" s="67"/>
      <c r="AT810" s="552"/>
    </row>
    <row r="811" spans="1:46" ht="15.75" customHeight="1" x14ac:dyDescent="0.3">
      <c r="A811" s="139" t="s">
        <v>2091</v>
      </c>
      <c r="B811" s="67">
        <f>+C29</f>
        <v>129457</v>
      </c>
      <c r="C811" s="67">
        <f>+C64</f>
        <v>129309</v>
      </c>
      <c r="D811" s="67">
        <f>+C131</f>
        <v>128933</v>
      </c>
      <c r="E811" s="67">
        <f>+C275</f>
        <v>126748</v>
      </c>
      <c r="F811" s="67">
        <f>+C270</f>
        <v>52725</v>
      </c>
      <c r="G811" s="67">
        <f>+C282</f>
        <v>0</v>
      </c>
      <c r="H811" s="67">
        <f>+C410</f>
        <v>50414</v>
      </c>
      <c r="I811" s="67">
        <f>+C457</f>
        <v>14444</v>
      </c>
      <c r="J811" s="67">
        <f>+C499</f>
        <v>14190</v>
      </c>
      <c r="K811" s="67">
        <f>+C552</f>
        <v>13499</v>
      </c>
      <c r="L811" s="67">
        <f>+C562</f>
        <v>11137</v>
      </c>
      <c r="M811" s="67">
        <f>+C598</f>
        <v>11115</v>
      </c>
      <c r="N811" s="67">
        <f>+C642</f>
        <v>11035</v>
      </c>
      <c r="O811" s="67">
        <f>+C652</f>
        <v>2592</v>
      </c>
      <c r="P811" s="67">
        <f>+C686</f>
        <v>117</v>
      </c>
      <c r="Q811" s="67">
        <f>+C733</f>
        <v>2589</v>
      </c>
      <c r="R811" s="552"/>
      <c r="T811" s="619">
        <f>'Lake Pleasant Forecast'!B37</f>
        <v>1692.6399999999999</v>
      </c>
      <c r="AC811" s="553" t="s">
        <v>2354</v>
      </c>
      <c r="AD811" s="67">
        <f t="shared" si="115"/>
        <v>48000</v>
      </c>
      <c r="AE811" s="67">
        <f t="shared" si="116"/>
        <v>1615.8467930407687</v>
      </c>
      <c r="AF811" s="67">
        <f t="shared" si="123"/>
        <v>77560.646065956898</v>
      </c>
      <c r="AG811" s="67">
        <f t="shared" si="117"/>
        <v>122782.421</v>
      </c>
      <c r="AH811" s="67">
        <f t="shared" si="121"/>
        <v>200343.06706595689</v>
      </c>
      <c r="AI811" s="67">
        <f t="shared" si="118"/>
        <v>18660</v>
      </c>
      <c r="AJ811" s="67">
        <f t="shared" si="122"/>
        <v>219003.06706595689</v>
      </c>
      <c r="AK811" s="67">
        <f>(G905)</f>
        <v>0</v>
      </c>
      <c r="AL811" s="67">
        <f t="shared" si="120"/>
        <v>219003.06706595689</v>
      </c>
      <c r="AM811" s="67" t="s">
        <v>2435</v>
      </c>
      <c r="AN811" s="67">
        <f>+B820/30/1.98</f>
        <v>2285.5555555555552</v>
      </c>
      <c r="AO811" s="67">
        <f t="shared" si="124"/>
        <v>806.66666666666663</v>
      </c>
      <c r="AP811" s="67">
        <f>+O285</f>
        <v>0</v>
      </c>
      <c r="AQ811" s="67"/>
      <c r="AR811" s="67"/>
      <c r="AS811" s="67"/>
      <c r="AT811" s="552"/>
    </row>
    <row r="812" spans="1:46" ht="15.75" customHeight="1" x14ac:dyDescent="0.3">
      <c r="A812" s="139" t="s">
        <v>2234</v>
      </c>
      <c r="B812" s="67">
        <f>+D29</f>
        <v>175427</v>
      </c>
      <c r="C812" s="67">
        <f>+D64</f>
        <v>175153</v>
      </c>
      <c r="D812" s="67">
        <f>+D131</f>
        <v>174655</v>
      </c>
      <c r="E812" s="67">
        <f>+D275</f>
        <v>170680</v>
      </c>
      <c r="F812" s="67">
        <f>+D270</f>
        <v>48127</v>
      </c>
      <c r="G812" s="67">
        <f>+D282</f>
        <v>0</v>
      </c>
      <c r="H812" s="67">
        <f>+D410</f>
        <v>87259</v>
      </c>
      <c r="I812" s="67">
        <f>+D457</f>
        <v>35058</v>
      </c>
      <c r="J812" s="67">
        <f>+D499</f>
        <v>25950</v>
      </c>
      <c r="K812" s="67">
        <f>+D552</f>
        <v>21468</v>
      </c>
      <c r="L812" s="67">
        <f>+D562</f>
        <v>19903</v>
      </c>
      <c r="M812" s="67">
        <f>+D598</f>
        <v>19875</v>
      </c>
      <c r="N812" s="67">
        <f>+D642</f>
        <v>19304</v>
      </c>
      <c r="O812" s="67">
        <f>+D652</f>
        <v>3668</v>
      </c>
      <c r="P812" s="67">
        <f>+D686</f>
        <v>3127</v>
      </c>
      <c r="Q812" s="67">
        <f>+D733</f>
        <v>3663</v>
      </c>
      <c r="R812" s="552"/>
      <c r="T812" s="619">
        <f>'Lake Pleasant Forecast'!B39</f>
        <v>1698.210002846133</v>
      </c>
      <c r="AC812" s="553" t="s">
        <v>2355</v>
      </c>
      <c r="AD812" s="67">
        <f t="shared" si="115"/>
        <v>40000</v>
      </c>
      <c r="AE812" s="67">
        <f t="shared" si="116"/>
        <v>1624.8302000837896</v>
      </c>
      <c r="AF812" s="67">
        <f t="shared" si="123"/>
        <v>64993.208003351581</v>
      </c>
      <c r="AG812" s="67">
        <f t="shared" si="117"/>
        <v>104361.621</v>
      </c>
      <c r="AH812" s="67">
        <f t="shared" si="121"/>
        <v>169354.82900335157</v>
      </c>
      <c r="AI812" s="67">
        <f t="shared" si="118"/>
        <v>27161</v>
      </c>
      <c r="AJ812" s="67">
        <f t="shared" si="122"/>
        <v>196515.82900335157</v>
      </c>
      <c r="AK812" s="67">
        <f>(G906)</f>
        <v>0</v>
      </c>
      <c r="AL812" s="67">
        <f t="shared" si="120"/>
        <v>196515.82900335157</v>
      </c>
      <c r="AM812" s="67" t="s">
        <v>2435</v>
      </c>
      <c r="AN812" s="67">
        <f>+B821/31/1.98</f>
        <v>1853.3235581622678</v>
      </c>
      <c r="AO812" s="67">
        <f>(AD812*43560/31/24/3600)</f>
        <v>650.53763440860212</v>
      </c>
      <c r="AP812" s="67">
        <f>+P285</f>
        <v>0</v>
      </c>
      <c r="AQ812" s="67"/>
      <c r="AR812" s="67"/>
      <c r="AS812" s="67"/>
      <c r="AT812" s="552"/>
    </row>
    <row r="813" spans="1:46" ht="15.75" customHeight="1" x14ac:dyDescent="0.3">
      <c r="A813" s="139" t="s">
        <v>2235</v>
      </c>
      <c r="B813" s="67">
        <f>+F29</f>
        <v>177805</v>
      </c>
      <c r="C813" s="67">
        <f>+F64</f>
        <v>177438</v>
      </c>
      <c r="D813" s="67">
        <f>+F131</f>
        <v>177088</v>
      </c>
      <c r="E813" s="67">
        <f>+F275</f>
        <v>170959</v>
      </c>
      <c r="F813" s="67">
        <f>+F270</f>
        <v>9835</v>
      </c>
      <c r="G813" s="67">
        <f>+F282</f>
        <v>-359</v>
      </c>
      <c r="H813" s="67">
        <f>+F410</f>
        <v>117989</v>
      </c>
      <c r="I813" s="67">
        <f>+F457</f>
        <v>40686</v>
      </c>
      <c r="J813" s="67">
        <f>+F499</f>
        <v>34652</v>
      </c>
      <c r="K813" s="67">
        <f>+F552</f>
        <v>25185</v>
      </c>
      <c r="L813" s="67">
        <f>+F562</f>
        <v>22093</v>
      </c>
      <c r="M813" s="67">
        <f>+F598</f>
        <v>22056</v>
      </c>
      <c r="N813" s="67">
        <f>+F642</f>
        <v>20431</v>
      </c>
      <c r="O813" s="67">
        <f>+F652</f>
        <v>4332</v>
      </c>
      <c r="P813" s="67">
        <f>+F686</f>
        <v>5012</v>
      </c>
      <c r="Q813" s="67">
        <f>+F733</f>
        <v>4325</v>
      </c>
      <c r="R813" s="552"/>
      <c r="T813" s="619">
        <f>'Lake Pleasant Forecast'!B41</f>
        <v>1698.3100000000002</v>
      </c>
      <c r="AC813" s="551"/>
      <c r="AD813" s="67"/>
      <c r="AE813" s="67"/>
      <c r="AF813" s="67"/>
      <c r="AG813" s="67"/>
      <c r="AH813" s="67"/>
      <c r="AI813" s="67"/>
      <c r="AJ813" s="67"/>
      <c r="AK813" s="67"/>
      <c r="AL813" s="67"/>
      <c r="AM813" s="67" t="s">
        <v>2435</v>
      </c>
      <c r="AN813" s="67"/>
      <c r="AO813" s="67"/>
      <c r="AP813" s="67"/>
      <c r="AQ813" s="67"/>
      <c r="AR813" s="67"/>
      <c r="AS813" s="67"/>
      <c r="AT813" s="552"/>
    </row>
    <row r="814" spans="1:46" ht="15.75" customHeight="1" x14ac:dyDescent="0.3">
      <c r="A814" s="139" t="s">
        <v>2236</v>
      </c>
      <c r="B814" s="67">
        <f>+G29</f>
        <v>183495</v>
      </c>
      <c r="C814" s="67">
        <f>+G64</f>
        <v>183070</v>
      </c>
      <c r="D814" s="67">
        <f>+G131</f>
        <v>182668</v>
      </c>
      <c r="E814" s="67">
        <f>+G275</f>
        <v>174800</v>
      </c>
      <c r="F814" s="67">
        <f>+G270</f>
        <v>1525</v>
      </c>
      <c r="G814" s="67">
        <f>+G282</f>
        <v>-9966</v>
      </c>
      <c r="H814" s="67">
        <f>+G410</f>
        <v>132636</v>
      </c>
      <c r="I814" s="67">
        <f>+G457</f>
        <v>40954</v>
      </c>
      <c r="J814" s="67">
        <f>+G499</f>
        <v>35381</v>
      </c>
      <c r="K814" s="67">
        <f>+G552</f>
        <v>24162</v>
      </c>
      <c r="L814" s="67">
        <f>+G562</f>
        <v>22811</v>
      </c>
      <c r="M814" s="67">
        <f>+G598</f>
        <v>22769</v>
      </c>
      <c r="N814" s="67">
        <f>+G642</f>
        <v>21452</v>
      </c>
      <c r="O814" s="67">
        <f>+G652</f>
        <v>4237</v>
      </c>
      <c r="P814" s="67">
        <f>+G686</f>
        <v>5799</v>
      </c>
      <c r="Q814" s="67">
        <f>+G733</f>
        <v>4229</v>
      </c>
      <c r="R814" s="552"/>
      <c r="T814" s="619">
        <f>'Lake Pleasant Forecast'!B43</f>
        <v>1696.36</v>
      </c>
      <c r="AC814" s="551" t="s">
        <v>2356</v>
      </c>
      <c r="AD814" s="67">
        <f>SUM(AD801:AD812)</f>
        <v>286903</v>
      </c>
      <c r="AE814" s="67"/>
      <c r="AF814" s="67">
        <f t="shared" ref="AF814:AL814" si="125">SUM(AF801:AF812)</f>
        <v>467991.80601956957</v>
      </c>
      <c r="AG814" s="67">
        <f t="shared" si="125"/>
        <v>1837734.9570000002</v>
      </c>
      <c r="AH814" s="67">
        <f t="shared" si="125"/>
        <v>2305726.7630195701</v>
      </c>
      <c r="AI814" s="67">
        <f t="shared" si="125"/>
        <v>430372</v>
      </c>
      <c r="AJ814" s="67">
        <f t="shared" si="125"/>
        <v>2736098.7630195697</v>
      </c>
      <c r="AK814" s="67">
        <f t="shared" si="125"/>
        <v>32577.907155795765</v>
      </c>
      <c r="AL814" s="67">
        <f t="shared" si="125"/>
        <v>2703520.8558637737</v>
      </c>
      <c r="AM814" s="67"/>
      <c r="AN814" s="67"/>
      <c r="AO814" s="67"/>
      <c r="AP814" s="67"/>
      <c r="AQ814" s="67"/>
      <c r="AR814" s="67"/>
      <c r="AS814" s="67"/>
      <c r="AT814" s="552"/>
    </row>
    <row r="815" spans="1:46" ht="15.75" customHeight="1" x14ac:dyDescent="0.3">
      <c r="A815" s="139" t="s">
        <v>2237</v>
      </c>
      <c r="B815" s="67">
        <f>+H29</f>
        <v>135338</v>
      </c>
      <c r="C815" s="67">
        <f>+H64</f>
        <v>134921</v>
      </c>
      <c r="D815" s="67">
        <f>+H131</f>
        <v>134525</v>
      </c>
      <c r="E815" s="67">
        <f>+H275</f>
        <v>126555</v>
      </c>
      <c r="F815" s="67">
        <f>+H270</f>
        <v>0</v>
      </c>
      <c r="G815" s="67">
        <f>+H282</f>
        <v>-64683</v>
      </c>
      <c r="H815" s="67">
        <f>+H410</f>
        <v>153372</v>
      </c>
      <c r="I815" s="67">
        <f>+H457</f>
        <v>44355</v>
      </c>
      <c r="J815" s="67">
        <f>+H499</f>
        <v>28091</v>
      </c>
      <c r="K815" s="67">
        <f>+H552</f>
        <v>20406</v>
      </c>
      <c r="L815" s="67">
        <f>+H562</f>
        <v>18487</v>
      </c>
      <c r="M815" s="67">
        <f>+H598</f>
        <v>18443</v>
      </c>
      <c r="N815" s="67">
        <f>+H642</f>
        <v>16458</v>
      </c>
      <c r="O815" s="67">
        <f>+H652</f>
        <v>4457</v>
      </c>
      <c r="P815" s="67">
        <f>+H686</f>
        <v>5977</v>
      </c>
      <c r="Q815" s="67">
        <f>+H733</f>
        <v>4448</v>
      </c>
      <c r="R815" s="552"/>
      <c r="T815" s="619">
        <f>'Lake Pleasant Forecast'!B45</f>
        <v>1685.88</v>
      </c>
      <c r="AC815" s="551"/>
      <c r="AD815" s="67"/>
      <c r="AE815" s="67"/>
      <c r="AF815" s="67"/>
      <c r="AG815" s="67"/>
      <c r="AH815" s="67"/>
      <c r="AI815" s="67"/>
      <c r="AJ815" s="67"/>
      <c r="AK815" s="67"/>
      <c r="AL815" s="67"/>
      <c r="AM815" s="67"/>
      <c r="AN815" s="67"/>
      <c r="AO815" s="67"/>
      <c r="AP815" s="67"/>
      <c r="AQ815" s="67"/>
      <c r="AR815" s="67"/>
      <c r="AS815" s="67"/>
      <c r="AT815" s="552"/>
    </row>
    <row r="816" spans="1:46" ht="15.75" customHeight="1" x14ac:dyDescent="0.3">
      <c r="A816" s="139" t="s">
        <v>1504</v>
      </c>
      <c r="B816" s="67">
        <f>+J29</f>
        <v>95293</v>
      </c>
      <c r="C816" s="67">
        <f>+J64</f>
        <v>94877</v>
      </c>
      <c r="D816" s="67">
        <f>+J131</f>
        <v>94482</v>
      </c>
      <c r="E816" s="67">
        <f>+J275</f>
        <v>85894</v>
      </c>
      <c r="F816" s="67">
        <f>+J270</f>
        <v>0</v>
      </c>
      <c r="G816" s="67">
        <f>+J282</f>
        <v>-93862</v>
      </c>
      <c r="H816" s="67">
        <f>+J410</f>
        <v>135299</v>
      </c>
      <c r="I816" s="67">
        <f>+J457</f>
        <v>50308</v>
      </c>
      <c r="J816" s="67">
        <f>+J499</f>
        <v>30914</v>
      </c>
      <c r="K816" s="67">
        <f>+J552</f>
        <v>22309</v>
      </c>
      <c r="L816" s="67">
        <f>+J562</f>
        <v>17597</v>
      </c>
      <c r="M816" s="67">
        <f>+J598</f>
        <v>17558</v>
      </c>
      <c r="N816" s="67">
        <f>+J642</f>
        <v>14955</v>
      </c>
      <c r="O816" s="67">
        <f>+J652</f>
        <v>4489</v>
      </c>
      <c r="P816" s="67">
        <f>+J686</f>
        <v>6305</v>
      </c>
      <c r="Q816" s="67">
        <f>+J733</f>
        <v>4433</v>
      </c>
      <c r="R816" s="552"/>
      <c r="T816" s="619">
        <f>'Lake Pleasant Forecast'!B47</f>
        <v>1671.42</v>
      </c>
      <c r="AC816" s="551" t="s">
        <v>1696</v>
      </c>
      <c r="AD816" s="67"/>
      <c r="AE816" s="67"/>
      <c r="AF816" s="67"/>
      <c r="AG816" s="67"/>
      <c r="AH816" s="67"/>
      <c r="AI816" s="67"/>
      <c r="AJ816" s="67"/>
      <c r="AK816" s="67"/>
      <c r="AL816" s="67"/>
      <c r="AM816" s="67"/>
      <c r="AN816" s="67"/>
      <c r="AO816" s="67"/>
      <c r="AP816" s="67"/>
      <c r="AQ816" s="67"/>
      <c r="AR816" s="67"/>
      <c r="AS816" s="67"/>
      <c r="AT816" s="552"/>
    </row>
    <row r="817" spans="1:50" ht="15.75" customHeight="1" x14ac:dyDescent="0.3">
      <c r="A817" s="139" t="s">
        <v>1505</v>
      </c>
      <c r="B817" s="67">
        <f>+K29</f>
        <v>101705</v>
      </c>
      <c r="C817" s="67">
        <f>+K64</f>
        <v>101371</v>
      </c>
      <c r="D817" s="67">
        <f>+K131</f>
        <v>101053</v>
      </c>
      <c r="E817" s="67">
        <f>+K275</f>
        <v>92962</v>
      </c>
      <c r="F817" s="67">
        <f>+K270</f>
        <v>0</v>
      </c>
      <c r="G817" s="67">
        <f>+K282</f>
        <v>-67548</v>
      </c>
      <c r="H817" s="67">
        <f>+K410</f>
        <v>125083</v>
      </c>
      <c r="I817" s="67">
        <f>+K457</f>
        <v>49915</v>
      </c>
      <c r="J817" s="67">
        <f>+K499</f>
        <v>32667</v>
      </c>
      <c r="K817" s="67">
        <f>+K552</f>
        <v>25398</v>
      </c>
      <c r="L817" s="67">
        <f>+K562</f>
        <v>19574</v>
      </c>
      <c r="M817" s="67">
        <f>+K598</f>
        <v>19538</v>
      </c>
      <c r="N817" s="67">
        <f>+K642</f>
        <v>17236</v>
      </c>
      <c r="O817" s="67">
        <f>+K652</f>
        <v>3895</v>
      </c>
      <c r="P817" s="67">
        <f>+K686</f>
        <v>5899</v>
      </c>
      <c r="Q817" s="67">
        <f>+K733</f>
        <v>3889</v>
      </c>
      <c r="R817" s="552"/>
      <c r="T817" s="619">
        <f>'Lake Pleasant Forecast'!B49</f>
        <v>1654.0999551114837</v>
      </c>
      <c r="AC817" s="551" t="s">
        <v>785</v>
      </c>
      <c r="AD817" s="67"/>
      <c r="AE817" s="67"/>
      <c r="AF817" s="67"/>
      <c r="AG817" s="67"/>
      <c r="AH817" s="67"/>
      <c r="AI817" s="67"/>
      <c r="AJ817" s="67"/>
      <c r="AK817" s="67"/>
      <c r="AL817" s="67"/>
      <c r="AM817" s="67"/>
      <c r="AN817" s="67"/>
      <c r="AO817" s="67"/>
      <c r="AP817" s="67"/>
      <c r="AQ817" s="67"/>
      <c r="AR817" s="67"/>
      <c r="AS817" s="67"/>
      <c r="AT817" s="552"/>
    </row>
    <row r="818" spans="1:50" ht="15.75" customHeight="1" x14ac:dyDescent="0.3">
      <c r="A818" s="139" t="s">
        <v>1506</v>
      </c>
      <c r="B818" s="67">
        <f>+L29</f>
        <v>139946</v>
      </c>
      <c r="C818" s="67">
        <f>+L64</f>
        <v>139630</v>
      </c>
      <c r="D818" s="67">
        <f>+L131</f>
        <v>139079</v>
      </c>
      <c r="E818" s="67">
        <f>+L275</f>
        <v>127310</v>
      </c>
      <c r="F818" s="67">
        <f>+L270</f>
        <v>27580</v>
      </c>
      <c r="G818" s="67">
        <f>+L282</f>
        <v>-5520</v>
      </c>
      <c r="H818" s="67">
        <f>+L410</f>
        <v>72908</v>
      </c>
      <c r="I818" s="67">
        <f>+L457</f>
        <v>31502</v>
      </c>
      <c r="J818" s="67">
        <f>+L499</f>
        <v>24657</v>
      </c>
      <c r="K818" s="67">
        <f>+L552</f>
        <v>22497</v>
      </c>
      <c r="L818" s="67">
        <f>+L562</f>
        <v>18578</v>
      </c>
      <c r="M818" s="67">
        <f>+L598</f>
        <v>18544</v>
      </c>
      <c r="N818" s="67">
        <f>+L642</f>
        <v>17052</v>
      </c>
      <c r="O818" s="67">
        <f>+L652</f>
        <v>3671</v>
      </c>
      <c r="P818" s="67">
        <f>+L686</f>
        <v>5097</v>
      </c>
      <c r="Q818" s="67">
        <f>+L733</f>
        <v>3665</v>
      </c>
      <c r="R818" s="552"/>
      <c r="T818" s="619">
        <f>'Lake Pleasant Forecast'!B51</f>
        <v>1657.9899941811159</v>
      </c>
      <c r="AC818" s="551"/>
      <c r="AD818" s="67"/>
      <c r="AE818" s="67"/>
      <c r="AF818" s="67"/>
      <c r="AG818" s="67"/>
      <c r="AH818" s="67"/>
      <c r="AI818" s="67"/>
      <c r="AJ818" s="67"/>
      <c r="AK818" s="67"/>
      <c r="AL818" s="67"/>
      <c r="AM818" s="67"/>
      <c r="AN818" s="67"/>
      <c r="AO818" s="67"/>
      <c r="AP818" s="67"/>
      <c r="AQ818" s="67"/>
      <c r="AR818" s="67"/>
      <c r="AS818" s="67"/>
      <c r="AT818" s="552"/>
    </row>
    <row r="819" spans="1:50" ht="15.75" customHeight="1" x14ac:dyDescent="0.3">
      <c r="A819" s="139" t="s">
        <v>1507</v>
      </c>
      <c r="B819" s="67">
        <f>+N29</f>
        <v>119736</v>
      </c>
      <c r="C819" s="67">
        <f>+N64</f>
        <v>119451</v>
      </c>
      <c r="D819" s="67">
        <f>+N131</f>
        <v>119152</v>
      </c>
      <c r="E819" s="67">
        <f>+N275</f>
        <v>106197</v>
      </c>
      <c r="F819" s="67">
        <f>+N270</f>
        <v>5000</v>
      </c>
      <c r="G819" s="67">
        <f>+N282</f>
        <v>0</v>
      </c>
      <c r="H819" s="67">
        <f>+N410</f>
        <v>64634</v>
      </c>
      <c r="I819" s="67">
        <f>+N457</f>
        <v>19691</v>
      </c>
      <c r="J819" s="67">
        <f>+N499</f>
        <v>16735</v>
      </c>
      <c r="K819" s="67">
        <f>+N552</f>
        <v>15177</v>
      </c>
      <c r="L819" s="67">
        <f>+N562</f>
        <v>13454</v>
      </c>
      <c r="M819" s="67">
        <f>+N598</f>
        <v>13425</v>
      </c>
      <c r="N819" s="67">
        <f>+N642</f>
        <v>12578</v>
      </c>
      <c r="O819" s="67">
        <f>+N652</f>
        <v>3237</v>
      </c>
      <c r="P819" s="67">
        <f>+N686</f>
        <v>4517</v>
      </c>
      <c r="Q819" s="67">
        <f>+N733</f>
        <v>3232</v>
      </c>
      <c r="R819" s="552"/>
      <c r="T819" s="619">
        <f>'Lake Pleasant Forecast'!B53</f>
        <v>1665.72</v>
      </c>
      <c r="AC819" s="551" t="s">
        <v>440</v>
      </c>
      <c r="AD819" s="67"/>
      <c r="AE819" s="67"/>
      <c r="AF819" s="67"/>
      <c r="AG819" s="67"/>
      <c r="AH819" s="67"/>
      <c r="AI819" s="67"/>
      <c r="AJ819" s="67"/>
      <c r="AK819" s="67"/>
      <c r="AL819" s="67"/>
      <c r="AM819" s="67"/>
      <c r="AN819" s="67"/>
      <c r="AO819" s="67"/>
      <c r="AP819" s="67"/>
      <c r="AQ819" s="67"/>
      <c r="AR819" s="67"/>
      <c r="AS819" s="67"/>
      <c r="AT819" s="552"/>
    </row>
    <row r="820" spans="1:50" ht="15.75" customHeight="1" x14ac:dyDescent="0.3">
      <c r="A820" s="139" t="s">
        <v>1508</v>
      </c>
      <c r="B820" s="67">
        <f>+O29</f>
        <v>135762</v>
      </c>
      <c r="C820" s="67">
        <f>+O64</f>
        <v>135527</v>
      </c>
      <c r="D820" s="67">
        <f>+O131</f>
        <v>135299</v>
      </c>
      <c r="E820" s="67">
        <f>+O275</f>
        <v>125359</v>
      </c>
      <c r="F820" s="67">
        <f>+O270</f>
        <v>48000</v>
      </c>
      <c r="G820" s="67">
        <f>+O282</f>
        <v>0</v>
      </c>
      <c r="H820" s="67">
        <f>+O410</f>
        <v>44002</v>
      </c>
      <c r="I820" s="67">
        <f>+O457</f>
        <v>11252</v>
      </c>
      <c r="J820" s="67">
        <f>+O499</f>
        <v>11191</v>
      </c>
      <c r="K820" s="67">
        <f>+O552</f>
        <v>10766</v>
      </c>
      <c r="L820" s="67">
        <f>+O562</f>
        <v>8845</v>
      </c>
      <c r="M820" s="67">
        <f>+O598</f>
        <v>8822</v>
      </c>
      <c r="N820" s="67">
        <f>+O642</f>
        <v>8509</v>
      </c>
      <c r="O820" s="67">
        <f>+O652</f>
        <v>2254</v>
      </c>
      <c r="P820" s="67">
        <f>+O686</f>
        <v>4416</v>
      </c>
      <c r="Q820" s="67">
        <f>+O733</f>
        <v>2251</v>
      </c>
      <c r="R820" s="552"/>
      <c r="T820" s="619">
        <f>'Lake Pleasant Forecast'!B55</f>
        <v>1673.02</v>
      </c>
      <c r="AC820" s="551"/>
      <c r="AD820" s="67"/>
      <c r="AE820" s="67"/>
      <c r="AF820" s="67"/>
      <c r="AG820" s="67"/>
      <c r="AH820" s="67"/>
      <c r="AI820" s="67"/>
      <c r="AJ820" s="67"/>
      <c r="AK820" s="67"/>
      <c r="AL820" s="67"/>
      <c r="AM820" s="67"/>
      <c r="AN820" s="67"/>
      <c r="AO820" s="67"/>
      <c r="AP820" s="67"/>
      <c r="AQ820" s="67"/>
      <c r="AR820" s="67"/>
      <c r="AS820" s="67"/>
      <c r="AT820" s="552"/>
    </row>
    <row r="821" spans="1:50" ht="15.75" customHeight="1" thickBot="1" x14ac:dyDescent="0.35">
      <c r="A821" s="139" t="s">
        <v>1509</v>
      </c>
      <c r="B821" s="67">
        <f>+P29</f>
        <v>113757</v>
      </c>
      <c r="C821" s="67">
        <f>+P64</f>
        <v>113571</v>
      </c>
      <c r="D821" s="67">
        <f>+P131</f>
        <v>113369</v>
      </c>
      <c r="E821" s="67">
        <f>+P275</f>
        <v>110362</v>
      </c>
      <c r="F821" s="67">
        <f>+P270</f>
        <v>40000</v>
      </c>
      <c r="G821" s="67">
        <f>+P282</f>
        <v>0</v>
      </c>
      <c r="H821" s="67">
        <f>+P410</f>
        <v>47444</v>
      </c>
      <c r="I821" s="67">
        <f>+P457</f>
        <v>19318</v>
      </c>
      <c r="J821" s="67">
        <f>+P499</f>
        <v>18648</v>
      </c>
      <c r="K821" s="67">
        <f>+P552</f>
        <v>18076</v>
      </c>
      <c r="L821" s="67">
        <f>+P562</f>
        <v>16891</v>
      </c>
      <c r="M821" s="67">
        <f>+P598</f>
        <v>16872</v>
      </c>
      <c r="N821" s="67">
        <f>+P642</f>
        <v>16097</v>
      </c>
      <c r="O821" s="67">
        <f>+P652</f>
        <v>3213</v>
      </c>
      <c r="P821" s="67">
        <f>+P686</f>
        <v>1022</v>
      </c>
      <c r="Q821" s="67">
        <f>+P733</f>
        <v>3211</v>
      </c>
      <c r="R821" s="552"/>
      <c r="T821" s="619">
        <f>'Lake Pleasant Forecast'!B57</f>
        <v>1679.9390201045346</v>
      </c>
      <c r="AC821" s="554" t="s">
        <v>1480</v>
      </c>
      <c r="AD821" s="555"/>
      <c r="AE821" s="555"/>
      <c r="AF821" s="555"/>
      <c r="AG821" s="555"/>
      <c r="AH821" s="555"/>
      <c r="AI821" s="555"/>
      <c r="AJ821" s="555"/>
      <c r="AK821" s="555"/>
      <c r="AL821" s="555"/>
      <c r="AM821" s="555"/>
      <c r="AN821" s="555"/>
      <c r="AO821" s="555"/>
      <c r="AP821" s="555"/>
      <c r="AQ821" s="555"/>
      <c r="AR821" s="555"/>
      <c r="AS821" s="555"/>
      <c r="AT821" s="556"/>
    </row>
    <row r="822" spans="1:50" ht="15.75" customHeight="1" x14ac:dyDescent="0.3">
      <c r="A822" s="553"/>
      <c r="B822" s="67"/>
      <c r="C822" s="67"/>
      <c r="D822" s="67"/>
      <c r="E822" s="67"/>
      <c r="F822" s="67"/>
      <c r="G822" s="67"/>
      <c r="H822" s="67"/>
      <c r="I822" s="67"/>
      <c r="J822" s="67"/>
      <c r="K822" s="67"/>
      <c r="L822" s="67"/>
      <c r="M822" s="67"/>
      <c r="N822" s="67"/>
      <c r="O822" s="67"/>
      <c r="P822" s="67"/>
      <c r="Q822" s="67"/>
      <c r="R822" s="552"/>
    </row>
    <row r="823" spans="1:50" ht="15.75" customHeight="1" thickBot="1" x14ac:dyDescent="0.35">
      <c r="A823" s="553" t="s">
        <v>2356</v>
      </c>
      <c r="B823" s="67">
        <f t="shared" ref="B823:Q823" si="126">SUM(B810:B821)</f>
        <v>1590664</v>
      </c>
      <c r="C823" s="67">
        <f t="shared" si="126"/>
        <v>1587164</v>
      </c>
      <c r="D823" s="67">
        <f t="shared" si="126"/>
        <v>1583052</v>
      </c>
      <c r="E823" s="67">
        <f t="shared" si="126"/>
        <v>1499217</v>
      </c>
      <c r="F823" s="67">
        <f t="shared" si="126"/>
        <v>286903</v>
      </c>
      <c r="G823" s="67">
        <f t="shared" si="126"/>
        <v>-268489</v>
      </c>
      <c r="H823" s="67">
        <f t="shared" si="126"/>
        <v>1064088</v>
      </c>
      <c r="I823" s="67">
        <f t="shared" si="126"/>
        <v>373087</v>
      </c>
      <c r="J823" s="67">
        <f t="shared" si="126"/>
        <v>288671</v>
      </c>
      <c r="K823" s="67">
        <f t="shared" si="126"/>
        <v>233990</v>
      </c>
      <c r="L823" s="67">
        <f t="shared" si="126"/>
        <v>199705</v>
      </c>
      <c r="M823" s="67">
        <f t="shared" si="126"/>
        <v>199332</v>
      </c>
      <c r="N823" s="67">
        <f t="shared" si="126"/>
        <v>185412</v>
      </c>
      <c r="O823" s="67">
        <f t="shared" si="126"/>
        <v>44551</v>
      </c>
      <c r="P823" s="67">
        <f t="shared" si="126"/>
        <v>47498</v>
      </c>
      <c r="Q823" s="67">
        <f t="shared" si="126"/>
        <v>44439</v>
      </c>
      <c r="R823" s="552"/>
    </row>
    <row r="824" spans="1:50" ht="15.75" customHeight="1" thickBot="1" x14ac:dyDescent="0.35">
      <c r="A824" s="581"/>
      <c r="B824" s="581"/>
      <c r="C824" s="581"/>
      <c r="D824" s="581"/>
      <c r="E824" s="581"/>
      <c r="F824" s="581"/>
      <c r="G824" s="581"/>
      <c r="H824" s="581"/>
      <c r="I824" s="581"/>
      <c r="J824" s="581"/>
      <c r="K824" s="581"/>
      <c r="L824" s="581"/>
      <c r="M824" s="581"/>
      <c r="N824" s="581"/>
      <c r="O824" s="581"/>
      <c r="P824" s="581"/>
      <c r="Q824" s="581"/>
      <c r="R824" s="556"/>
      <c r="AC824" s="546"/>
      <c r="AD824" s="547"/>
      <c r="AE824" s="547"/>
      <c r="AF824" s="547"/>
      <c r="AG824" s="547"/>
      <c r="AH824" s="547"/>
      <c r="AI824" s="547"/>
      <c r="AJ824" s="547"/>
      <c r="AK824" s="547"/>
      <c r="AL824" s="547"/>
      <c r="AM824" s="547"/>
      <c r="AN824" s="547"/>
      <c r="AO824" s="547"/>
      <c r="AP824" s="547"/>
      <c r="AQ824" s="547"/>
      <c r="AR824" s="547"/>
      <c r="AS824" s="678" t="str">
        <f>+Q1</f>
        <v xml:space="preserve">PRINTED:  </v>
      </c>
      <c r="AT824" s="682">
        <f ca="1">+R1</f>
        <v>44881.729634027775</v>
      </c>
      <c r="AU824" s="560"/>
      <c r="AW824" s="71" t="s">
        <v>253</v>
      </c>
      <c r="AX824" s="67"/>
    </row>
    <row r="825" spans="1:50" ht="15.75" customHeight="1" x14ac:dyDescent="0.35">
      <c r="A825" s="683"/>
      <c r="B825" s="683"/>
      <c r="C825" s="683"/>
      <c r="D825" s="683"/>
      <c r="E825" s="683"/>
      <c r="F825" s="683"/>
      <c r="G825" s="683"/>
      <c r="H825" s="683"/>
      <c r="I825" s="683"/>
      <c r="J825" s="683"/>
      <c r="K825" s="683"/>
      <c r="L825" s="683"/>
      <c r="M825" s="683"/>
      <c r="N825" s="683"/>
      <c r="O825" s="683"/>
      <c r="P825" s="683"/>
      <c r="Q825" s="683"/>
      <c r="R825" s="547"/>
      <c r="AC825" s="551"/>
      <c r="AD825" s="67"/>
      <c r="AE825" s="71" t="s">
        <v>2125</v>
      </c>
      <c r="AF825" s="67"/>
      <c r="AG825" s="67"/>
      <c r="AH825" s="67"/>
      <c r="AI825" s="67"/>
      <c r="AJ825" s="67"/>
      <c r="AK825" s="67"/>
      <c r="AL825" s="67"/>
      <c r="AM825" s="67"/>
      <c r="AN825" s="215"/>
      <c r="AO825" s="71" t="s">
        <v>1456</v>
      </c>
      <c r="AP825" s="67"/>
      <c r="AQ825" s="67"/>
      <c r="AR825" s="67"/>
      <c r="AS825" s="67"/>
      <c r="AT825" s="67"/>
      <c r="AU825" s="561"/>
      <c r="AW825" s="67" t="s">
        <v>254</v>
      </c>
      <c r="AX825" s="67"/>
    </row>
    <row r="826" spans="1:50" ht="16.5" customHeight="1" x14ac:dyDescent="0.3">
      <c r="A826" s="553" t="s">
        <v>852</v>
      </c>
      <c r="B826" s="67"/>
      <c r="C826" s="67"/>
      <c r="D826" s="67"/>
      <c r="E826" s="67"/>
      <c r="F826" s="67"/>
      <c r="G826" s="67"/>
      <c r="H826" s="67"/>
      <c r="I826" s="67"/>
      <c r="J826" s="67"/>
      <c r="K826" s="67"/>
      <c r="L826" s="67"/>
      <c r="M826" s="67"/>
      <c r="N826" s="67"/>
      <c r="O826" s="67"/>
      <c r="P826" s="67"/>
      <c r="Q826" s="67"/>
      <c r="R826" s="67"/>
      <c r="AC826" s="551"/>
      <c r="AD826" s="67"/>
      <c r="AE826" s="67"/>
      <c r="AF826" s="67"/>
      <c r="AG826" s="67" t="s">
        <v>852</v>
      </c>
      <c r="AH826" s="69" t="str">
        <f>+A8</f>
        <v>Revised:  2/10/2015</v>
      </c>
      <c r="AI826" s="67"/>
      <c r="AJ826" s="67"/>
      <c r="AK826" s="67"/>
      <c r="AL826" s="67"/>
      <c r="AM826" s="67"/>
      <c r="AN826" s="67"/>
      <c r="AO826" s="67"/>
      <c r="AP826" s="67"/>
      <c r="AQ826" s="67"/>
      <c r="AR826" s="67" t="s">
        <v>852</v>
      </c>
      <c r="AS826" s="69" t="str">
        <f>+A8</f>
        <v>Revised:  2/10/2015</v>
      </c>
      <c r="AT826" s="67"/>
      <c r="AU826" s="561"/>
      <c r="AW826" s="67"/>
      <c r="AX826" s="67"/>
    </row>
    <row r="827" spans="1:50" ht="15.75" customHeight="1" x14ac:dyDescent="0.3">
      <c r="A827" s="70"/>
      <c r="B827" s="67"/>
      <c r="C827" s="67"/>
      <c r="D827" s="67"/>
      <c r="E827" s="67"/>
      <c r="F827" s="67"/>
      <c r="G827" s="67"/>
      <c r="H827" s="67"/>
      <c r="I827" s="67"/>
      <c r="J827" s="67"/>
      <c r="K827" s="67"/>
      <c r="L827" s="67"/>
      <c r="M827" s="67"/>
      <c r="N827" s="67"/>
      <c r="O827" s="67"/>
      <c r="P827" s="67"/>
      <c r="Q827" s="67"/>
      <c r="R827" s="67"/>
      <c r="AC827" s="551"/>
      <c r="AD827" s="67"/>
      <c r="AE827" s="67"/>
      <c r="AF827" s="67" t="s">
        <v>2545</v>
      </c>
      <c r="AG827" s="67"/>
      <c r="AH827" s="67"/>
      <c r="AI827" s="67"/>
      <c r="AJ827" s="67"/>
      <c r="AK827" s="67"/>
      <c r="AL827" s="67"/>
      <c r="AM827" s="67"/>
      <c r="AN827" s="67"/>
      <c r="AO827" s="67"/>
      <c r="AP827" s="67" t="s">
        <v>2545</v>
      </c>
      <c r="AQ827" s="67"/>
      <c r="AR827" s="67"/>
      <c r="AS827" s="67"/>
      <c r="AT827" s="67"/>
      <c r="AU827" s="561"/>
      <c r="AW827" s="67" t="s">
        <v>2435</v>
      </c>
      <c r="AX827" s="70" t="s">
        <v>335</v>
      </c>
    </row>
    <row r="828" spans="1:50" ht="15.75" customHeight="1" x14ac:dyDescent="0.3">
      <c r="A828" s="139"/>
      <c r="AC828" s="551"/>
      <c r="AD828" s="67"/>
      <c r="AE828" s="67"/>
      <c r="AF828" s="67"/>
      <c r="AG828" s="67"/>
      <c r="AH828" s="67"/>
      <c r="AI828" s="67"/>
      <c r="AJ828" s="67"/>
      <c r="AK828" s="67"/>
      <c r="AL828" s="67"/>
      <c r="AM828" s="67"/>
      <c r="AN828" s="67"/>
      <c r="AO828" s="67"/>
      <c r="AP828" s="67"/>
      <c r="AQ828" s="67"/>
      <c r="AR828" s="67"/>
      <c r="AS828" s="67"/>
      <c r="AT828" s="67"/>
      <c r="AU828" s="561"/>
      <c r="AW828" s="70" t="s">
        <v>335</v>
      </c>
      <c r="AX828" s="70" t="s">
        <v>956</v>
      </c>
    </row>
    <row r="829" spans="1:50" ht="15.75" customHeight="1" thickBot="1" x14ac:dyDescent="0.35">
      <c r="A829" s="139"/>
      <c r="AC829" s="551"/>
      <c r="AD829" s="67"/>
      <c r="AE829" s="67"/>
      <c r="AF829" s="67"/>
      <c r="AG829" s="67">
        <f>+A5</f>
        <v>2014</v>
      </c>
      <c r="AH829" s="67"/>
      <c r="AI829" s="67"/>
      <c r="AJ829" s="67"/>
      <c r="AK829" s="67"/>
      <c r="AL829" s="67"/>
      <c r="AM829" s="67"/>
      <c r="AN829" s="67"/>
      <c r="AO829" s="67"/>
      <c r="AP829" s="67"/>
      <c r="AQ829" s="67"/>
      <c r="AR829" s="67">
        <f>+A5</f>
        <v>2014</v>
      </c>
      <c r="AS829" s="67"/>
      <c r="AT829" s="67"/>
      <c r="AU829" s="561"/>
      <c r="AW829" s="70" t="s">
        <v>998</v>
      </c>
      <c r="AX829" s="70" t="s">
        <v>2201</v>
      </c>
    </row>
    <row r="830" spans="1:50" ht="15.75" customHeight="1" x14ac:dyDescent="0.3">
      <c r="A830" s="651"/>
      <c r="B830" s="782" t="s">
        <v>1898</v>
      </c>
      <c r="C830" s="782"/>
      <c r="D830" s="782"/>
      <c r="E830" s="782"/>
      <c r="F830" s="782"/>
      <c r="G830" s="782"/>
      <c r="H830" s="782"/>
      <c r="I830" s="782"/>
      <c r="J830" s="782"/>
      <c r="K830" s="782"/>
      <c r="L830" s="782"/>
      <c r="M830" s="782"/>
      <c r="N830" s="782"/>
      <c r="O830" s="782"/>
      <c r="P830" s="782"/>
      <c r="Q830" s="678" t="str">
        <f>+Q1</f>
        <v xml:space="preserve">PRINTED:  </v>
      </c>
      <c r="R830" s="679">
        <f ca="1">+R1</f>
        <v>44881.729634027775</v>
      </c>
      <c r="AC830" s="551"/>
      <c r="AD830" s="67"/>
      <c r="AE830" s="67"/>
      <c r="AF830" s="67"/>
      <c r="AG830" s="67" t="s">
        <v>1199</v>
      </c>
      <c r="AH830" s="67"/>
      <c r="AI830" s="67"/>
      <c r="AJ830" s="67"/>
      <c r="AK830" s="67"/>
      <c r="AL830" s="67"/>
      <c r="AM830" s="67"/>
      <c r="AN830" s="67"/>
      <c r="AO830" s="67"/>
      <c r="AP830" s="67"/>
      <c r="AQ830" s="67"/>
      <c r="AR830" s="67" t="s">
        <v>1199</v>
      </c>
      <c r="AS830" s="67"/>
      <c r="AT830" s="67"/>
      <c r="AU830" s="561"/>
      <c r="AW830" s="70" t="s">
        <v>1353</v>
      </c>
      <c r="AX830" s="70" t="s">
        <v>1353</v>
      </c>
    </row>
    <row r="831" spans="1:50" ht="15.75" customHeight="1" x14ac:dyDescent="0.3">
      <c r="A831" s="553"/>
      <c r="B831" s="786" t="str">
        <f>+A8</f>
        <v>Revised:  2/10/2015</v>
      </c>
      <c r="C831" s="786"/>
      <c r="D831" s="786"/>
      <c r="E831" s="786"/>
      <c r="F831" s="786"/>
      <c r="G831" s="786"/>
      <c r="H831" s="786"/>
      <c r="I831" s="786"/>
      <c r="J831" s="786"/>
      <c r="K831" s="786"/>
      <c r="L831" s="786"/>
      <c r="M831" s="786"/>
      <c r="N831" s="786"/>
      <c r="O831" s="786"/>
      <c r="P831" s="786"/>
      <c r="Q831" s="67"/>
      <c r="R831" s="552"/>
      <c r="AC831" s="551"/>
      <c r="AD831" s="67"/>
      <c r="AE831" s="67"/>
      <c r="AF831" s="67"/>
      <c r="AG831" s="67"/>
      <c r="AH831" s="67"/>
      <c r="AI831" s="67"/>
      <c r="AJ831" s="67"/>
      <c r="AK831" s="67"/>
      <c r="AL831" s="67"/>
      <c r="AM831" s="67"/>
      <c r="AN831" s="67"/>
      <c r="AO831" s="67"/>
      <c r="AP831" s="67"/>
      <c r="AQ831" s="67"/>
      <c r="AR831" s="67"/>
      <c r="AS831" s="67"/>
      <c r="AT831" s="67"/>
      <c r="AU831" s="561"/>
      <c r="AW831" s="67">
        <f t="shared" ref="AW831:AW842" si="127">SUM(L867:Q867)</f>
        <v>7781</v>
      </c>
      <c r="AX831" s="72">
        <v>2.4700000000000002</v>
      </c>
    </row>
    <row r="832" spans="1:50" ht="15.75" customHeight="1" x14ac:dyDescent="0.3">
      <c r="A832" s="553"/>
      <c r="B832" s="786" t="s">
        <v>2878</v>
      </c>
      <c r="C832" s="786"/>
      <c r="D832" s="786"/>
      <c r="E832" s="786"/>
      <c r="F832" s="786"/>
      <c r="G832" s="786"/>
      <c r="H832" s="786"/>
      <c r="I832" s="786"/>
      <c r="J832" s="786"/>
      <c r="K832" s="786"/>
      <c r="L832" s="786"/>
      <c r="M832" s="786"/>
      <c r="N832" s="786"/>
      <c r="O832" s="786"/>
      <c r="P832" s="786"/>
      <c r="Q832" s="67"/>
      <c r="R832" s="552"/>
      <c r="AC832" s="551" t="s">
        <v>1307</v>
      </c>
      <c r="AD832" s="70" t="s">
        <v>1308</v>
      </c>
      <c r="AE832" s="70" t="s">
        <v>1309</v>
      </c>
      <c r="AF832" s="70" t="s">
        <v>1029</v>
      </c>
      <c r="AG832" s="70" t="s">
        <v>1030</v>
      </c>
      <c r="AH832" s="70" t="s">
        <v>284</v>
      </c>
      <c r="AI832" s="67"/>
      <c r="AJ832" s="70" t="s">
        <v>2356</v>
      </c>
      <c r="AK832" s="67"/>
      <c r="AL832" s="67"/>
      <c r="AM832" s="67"/>
      <c r="AN832" s="67" t="s">
        <v>1307</v>
      </c>
      <c r="AO832" s="70" t="s">
        <v>1308</v>
      </c>
      <c r="AP832" s="70" t="s">
        <v>1309</v>
      </c>
      <c r="AQ832" s="70" t="s">
        <v>1029</v>
      </c>
      <c r="AR832" s="70" t="s">
        <v>1030</v>
      </c>
      <c r="AS832" s="70" t="s">
        <v>284</v>
      </c>
      <c r="AT832" s="70" t="s">
        <v>2356</v>
      </c>
      <c r="AU832" s="561"/>
      <c r="AW832" s="67">
        <f t="shared" si="127"/>
        <v>6882</v>
      </c>
      <c r="AX832" s="72">
        <v>2.4700000000000002</v>
      </c>
    </row>
    <row r="833" spans="1:50" ht="15.75" customHeight="1" x14ac:dyDescent="0.3">
      <c r="A833" s="553"/>
      <c r="B833" s="786"/>
      <c r="C833" s="786"/>
      <c r="D833" s="786"/>
      <c r="E833" s="786"/>
      <c r="F833" s="786"/>
      <c r="G833" s="786"/>
      <c r="H833" s="786"/>
      <c r="I833" s="786"/>
      <c r="J833" s="786"/>
      <c r="K833" s="786"/>
      <c r="L833" s="786"/>
      <c r="M833" s="786"/>
      <c r="N833" s="786"/>
      <c r="O833" s="786"/>
      <c r="P833" s="786"/>
      <c r="Q833" s="67"/>
      <c r="R833" s="552"/>
      <c r="AC833" s="551" t="s">
        <v>526</v>
      </c>
      <c r="AD833" s="67"/>
      <c r="AE833" s="67"/>
      <c r="AF833" s="67"/>
      <c r="AG833" s="67"/>
      <c r="AH833" s="70" t="s">
        <v>1193</v>
      </c>
      <c r="AI833" s="67"/>
      <c r="AJ833" s="70" t="s">
        <v>252</v>
      </c>
      <c r="AK833" s="67"/>
      <c r="AL833" s="67"/>
      <c r="AM833" s="67"/>
      <c r="AN833" s="67" t="s">
        <v>526</v>
      </c>
      <c r="AO833" s="67"/>
      <c r="AP833" s="67"/>
      <c r="AQ833" s="67"/>
      <c r="AR833" s="67"/>
      <c r="AS833" s="70" t="s">
        <v>1193</v>
      </c>
      <c r="AT833" s="70" t="s">
        <v>252</v>
      </c>
      <c r="AU833" s="561"/>
      <c r="AW833" s="67">
        <f t="shared" si="127"/>
        <v>12569</v>
      </c>
      <c r="AX833" s="72">
        <v>2.4700000000000002</v>
      </c>
    </row>
    <row r="834" spans="1:50" ht="15.75" customHeight="1" x14ac:dyDescent="0.3">
      <c r="A834" s="553"/>
      <c r="B834" s="787">
        <f>+A5</f>
        <v>2014</v>
      </c>
      <c r="C834" s="787"/>
      <c r="D834" s="787"/>
      <c r="E834" s="787"/>
      <c r="F834" s="787"/>
      <c r="G834" s="787"/>
      <c r="H834" s="787"/>
      <c r="I834" s="787"/>
      <c r="J834" s="787"/>
      <c r="K834" s="787"/>
      <c r="L834" s="787"/>
      <c r="M834" s="787"/>
      <c r="N834" s="787"/>
      <c r="O834" s="787"/>
      <c r="P834" s="787"/>
      <c r="Q834" s="67"/>
      <c r="R834" s="552"/>
      <c r="AC834" s="551" t="s">
        <v>1195</v>
      </c>
      <c r="AD834" s="67">
        <f>+$B$865</f>
        <v>957</v>
      </c>
      <c r="AE834" s="67">
        <f>+C$865</f>
        <v>122</v>
      </c>
      <c r="AF834" s="67">
        <f>+D$865</f>
        <v>128</v>
      </c>
      <c r="AG834" s="67">
        <f>+E$865</f>
        <v>219</v>
      </c>
      <c r="AH834" s="67"/>
      <c r="AI834" s="67"/>
      <c r="AJ834" s="70" t="s">
        <v>335</v>
      </c>
      <c r="AK834" s="67"/>
      <c r="AL834" s="67"/>
      <c r="AM834" s="67"/>
      <c r="AN834" s="67" t="s">
        <v>1195</v>
      </c>
      <c r="AO834" s="67">
        <f>+$B$865</f>
        <v>957</v>
      </c>
      <c r="AP834" s="67">
        <f>+C$865</f>
        <v>122</v>
      </c>
      <c r="AQ834" s="67">
        <f>+D$865</f>
        <v>128</v>
      </c>
      <c r="AR834" s="67">
        <f>+E$865</f>
        <v>219</v>
      </c>
      <c r="AS834" s="67"/>
      <c r="AT834" s="70" t="s">
        <v>335</v>
      </c>
      <c r="AU834" s="561"/>
      <c r="AW834" s="67">
        <f t="shared" si="127"/>
        <v>14393</v>
      </c>
      <c r="AX834" s="72">
        <v>2.4700000000000002</v>
      </c>
    </row>
    <row r="835" spans="1:50" ht="15.75" customHeight="1" x14ac:dyDescent="0.3">
      <c r="A835" s="553"/>
      <c r="B835" s="786" t="s">
        <v>2879</v>
      </c>
      <c r="C835" s="786"/>
      <c r="D835" s="786"/>
      <c r="E835" s="786"/>
      <c r="F835" s="786"/>
      <c r="G835" s="786"/>
      <c r="H835" s="786"/>
      <c r="I835" s="786"/>
      <c r="J835" s="786"/>
      <c r="K835" s="786"/>
      <c r="L835" s="786"/>
      <c r="M835" s="786"/>
      <c r="N835" s="786"/>
      <c r="O835" s="786"/>
      <c r="P835" s="786"/>
      <c r="Q835" s="67"/>
      <c r="R835" s="552"/>
      <c r="AC835" s="551"/>
      <c r="AD835" s="67" t="s">
        <v>1353</v>
      </c>
      <c r="AE835" s="67" t="s">
        <v>1353</v>
      </c>
      <c r="AF835" s="67" t="s">
        <v>1353</v>
      </c>
      <c r="AG835" s="67" t="s">
        <v>1353</v>
      </c>
      <c r="AH835" s="67" t="s">
        <v>1353</v>
      </c>
      <c r="AI835" s="67"/>
      <c r="AJ835" s="67" t="s">
        <v>251</v>
      </c>
      <c r="AK835" s="67"/>
      <c r="AL835" s="67"/>
      <c r="AM835" s="67"/>
      <c r="AN835" s="67"/>
      <c r="AO835" s="67" t="s">
        <v>1353</v>
      </c>
      <c r="AP835" s="67" t="s">
        <v>1353</v>
      </c>
      <c r="AQ835" s="67" t="s">
        <v>1353</v>
      </c>
      <c r="AR835" s="67" t="s">
        <v>1353</v>
      </c>
      <c r="AS835" s="67" t="s">
        <v>1353</v>
      </c>
      <c r="AT835" s="67" t="s">
        <v>251</v>
      </c>
      <c r="AU835" s="561"/>
      <c r="AW835" s="67">
        <f t="shared" si="127"/>
        <v>15011</v>
      </c>
      <c r="AX835" s="72">
        <v>2.4700000000000002</v>
      </c>
    </row>
    <row r="836" spans="1:50" ht="15.75" customHeight="1" x14ac:dyDescent="0.3">
      <c r="A836" s="553"/>
      <c r="B836" s="67"/>
      <c r="C836" s="67"/>
      <c r="D836" s="67"/>
      <c r="E836" s="67"/>
      <c r="F836" s="67"/>
      <c r="G836" s="67"/>
      <c r="H836" s="67"/>
      <c r="I836" s="67"/>
      <c r="J836" s="67"/>
      <c r="K836" s="67"/>
      <c r="L836" s="67"/>
      <c r="M836" s="67"/>
      <c r="N836" s="67"/>
      <c r="O836" s="67"/>
      <c r="P836" s="67"/>
      <c r="Q836" s="67"/>
      <c r="R836" s="552"/>
      <c r="AC836" s="553" t="s">
        <v>1354</v>
      </c>
      <c r="AD836" s="67">
        <f t="shared" ref="AD836:AD847" si="128">ROUND($F810*$AD$834/1000,0)</f>
        <v>51784</v>
      </c>
      <c r="AE836" s="67">
        <f t="shared" ref="AE836:AE847" si="129">ROUND($F810*$AE$834/1000,0)</f>
        <v>6602</v>
      </c>
      <c r="AF836" s="67">
        <f t="shared" ref="AF836:AF847" si="130">ROUND($F810*$AF$834/1000,0)</f>
        <v>6926</v>
      </c>
      <c r="AG836" s="67">
        <f t="shared" ref="AG836:AG847" si="131">ROUND($F810*$AG$834/1000,0)</f>
        <v>11850</v>
      </c>
      <c r="AH836" s="67">
        <f t="shared" ref="AH836:AH847" si="132">(F810*((T810-1526.8)/0.7702))/1000</f>
        <v>11613.280057128013</v>
      </c>
      <c r="AI836" s="67"/>
      <c r="AJ836" s="67">
        <f t="shared" ref="AJ836:AJ847" si="133">SUM(AD836:AH836)</f>
        <v>88775.28005712801</v>
      </c>
      <c r="AK836" s="67"/>
      <c r="AL836" s="67"/>
      <c r="AM836" s="67"/>
      <c r="AN836" s="70" t="s">
        <v>1354</v>
      </c>
      <c r="AO836" s="67">
        <f t="shared" ref="AO836:AO847" si="134">ROUND((B810-$F810)*$AO$834/1000,0)</f>
        <v>27592</v>
      </c>
      <c r="AP836" s="67">
        <f t="shared" ref="AP836:AP847" si="135">ROUND((C810-$F810)*$AP$834/1000,0)</f>
        <v>3506</v>
      </c>
      <c r="AQ836" s="67">
        <f t="shared" ref="AQ836:AQ847" si="136">ROUND((D810-$F810)*$AQ$834/1000,0)</f>
        <v>3666</v>
      </c>
      <c r="AR836" s="67">
        <f t="shared" ref="AR836:AR847" si="137">ROUND((E810-$F810)*$AR$834/1000,0)</f>
        <v>5974</v>
      </c>
      <c r="AS836" s="67">
        <f>((F810-$F810)*(('Lake Pleasant Forecast'!B35-1526.8)/0.7702))/1000</f>
        <v>0</v>
      </c>
      <c r="AT836" s="67">
        <f t="shared" ref="AT836:AT847" si="138">SUM(AN836:AR836)</f>
        <v>40738</v>
      </c>
      <c r="AU836" s="561"/>
      <c r="AW836" s="67">
        <f t="shared" si="127"/>
        <v>13021</v>
      </c>
      <c r="AX836" s="72">
        <v>2.4700000000000002</v>
      </c>
    </row>
    <row r="837" spans="1:50" ht="15.75" customHeight="1" thickBot="1" x14ac:dyDescent="0.35">
      <c r="A837" s="553" t="s">
        <v>845</v>
      </c>
      <c r="B837" s="634" t="s">
        <v>1308</v>
      </c>
      <c r="C837" s="634" t="s">
        <v>1309</v>
      </c>
      <c r="D837" s="634" t="s">
        <v>1029</v>
      </c>
      <c r="E837" s="634" t="s">
        <v>1030</v>
      </c>
      <c r="F837" s="634" t="s">
        <v>284</v>
      </c>
      <c r="G837" s="634" t="s">
        <v>284</v>
      </c>
      <c r="H837" s="634" t="s">
        <v>285</v>
      </c>
      <c r="I837" s="634" t="s">
        <v>286</v>
      </c>
      <c r="J837" s="634" t="s">
        <v>287</v>
      </c>
      <c r="K837" s="634" t="s">
        <v>288</v>
      </c>
      <c r="L837" s="634" t="s">
        <v>289</v>
      </c>
      <c r="M837" s="634" t="s">
        <v>633</v>
      </c>
      <c r="N837" s="634" t="s">
        <v>634</v>
      </c>
      <c r="O837" s="634" t="s">
        <v>1192</v>
      </c>
      <c r="P837" s="634" t="s">
        <v>524</v>
      </c>
      <c r="Q837" s="634" t="s">
        <v>525</v>
      </c>
      <c r="R837" s="552"/>
      <c r="AC837" s="553" t="s">
        <v>706</v>
      </c>
      <c r="AD837" s="67">
        <f t="shared" si="128"/>
        <v>50458</v>
      </c>
      <c r="AE837" s="67">
        <f t="shared" si="129"/>
        <v>6432</v>
      </c>
      <c r="AF837" s="67">
        <f t="shared" si="130"/>
        <v>6749</v>
      </c>
      <c r="AG837" s="67">
        <f t="shared" si="131"/>
        <v>11547</v>
      </c>
      <c r="AH837" s="67">
        <f t="shared" si="132"/>
        <v>11352.783692547384</v>
      </c>
      <c r="AI837" s="67"/>
      <c r="AJ837" s="67">
        <f t="shared" si="133"/>
        <v>86538.783692547382</v>
      </c>
      <c r="AK837" s="67"/>
      <c r="AL837" s="67"/>
      <c r="AM837" s="67"/>
      <c r="AN837" s="70" t="s">
        <v>706</v>
      </c>
      <c r="AO837" s="67">
        <f t="shared" si="134"/>
        <v>73433</v>
      </c>
      <c r="AP837" s="67">
        <f t="shared" si="135"/>
        <v>9343</v>
      </c>
      <c r="AQ837" s="67">
        <f t="shared" si="136"/>
        <v>9755</v>
      </c>
      <c r="AR837" s="67">
        <f t="shared" si="137"/>
        <v>16211</v>
      </c>
      <c r="AS837" s="67">
        <f>((F811-$F811)*(('Lake Pleasant Forecast'!B37-1526.8)/0.7702))/1000</f>
        <v>0</v>
      </c>
      <c r="AT837" s="67">
        <f t="shared" si="138"/>
        <v>108742</v>
      </c>
      <c r="AU837" s="561"/>
      <c r="AW837" s="67">
        <f t="shared" si="127"/>
        <v>12563</v>
      </c>
      <c r="AX837" s="72">
        <v>2.4700000000000002</v>
      </c>
    </row>
    <row r="838" spans="1:50" ht="15.75" customHeight="1" x14ac:dyDescent="0.3">
      <c r="A838" s="553"/>
      <c r="B838" s="67"/>
      <c r="C838" s="67"/>
      <c r="D838" s="67"/>
      <c r="E838" s="67"/>
      <c r="F838" s="70" t="s">
        <v>1193</v>
      </c>
      <c r="G838" s="70" t="s">
        <v>1194</v>
      </c>
      <c r="H838" s="67"/>
      <c r="I838" s="67"/>
      <c r="J838" s="67"/>
      <c r="K838" s="67"/>
      <c r="L838" s="67"/>
      <c r="M838" s="67"/>
      <c r="N838" s="67"/>
      <c r="O838" s="67"/>
      <c r="P838" s="67"/>
      <c r="Q838" s="67"/>
      <c r="R838" s="552"/>
      <c r="AC838" s="553" t="s">
        <v>707</v>
      </c>
      <c r="AD838" s="67">
        <f t="shared" si="128"/>
        <v>46058</v>
      </c>
      <c r="AE838" s="67">
        <f t="shared" si="129"/>
        <v>5871</v>
      </c>
      <c r="AF838" s="67">
        <f t="shared" si="130"/>
        <v>6160</v>
      </c>
      <c r="AG838" s="67">
        <f t="shared" si="131"/>
        <v>10540</v>
      </c>
      <c r="AH838" s="67">
        <f t="shared" si="132"/>
        <v>10710.788375715196</v>
      </c>
      <c r="AI838" s="67"/>
      <c r="AJ838" s="67">
        <f t="shared" si="133"/>
        <v>79339.788375715201</v>
      </c>
      <c r="AK838" s="67"/>
      <c r="AL838" s="67"/>
      <c r="AM838" s="67"/>
      <c r="AN838" s="70" t="s">
        <v>707</v>
      </c>
      <c r="AO838" s="67">
        <f t="shared" si="134"/>
        <v>121826</v>
      </c>
      <c r="AP838" s="67">
        <f t="shared" si="135"/>
        <v>15497</v>
      </c>
      <c r="AQ838" s="67">
        <f t="shared" si="136"/>
        <v>16196</v>
      </c>
      <c r="AR838" s="67">
        <f t="shared" si="137"/>
        <v>26839</v>
      </c>
      <c r="AS838" s="67">
        <f>((F812-$F812)*(('Lake Pleasant Forecast'!B39-1526.8)/0.7702))/1000</f>
        <v>0</v>
      </c>
      <c r="AT838" s="67">
        <f t="shared" si="138"/>
        <v>180358</v>
      </c>
      <c r="AU838" s="561"/>
      <c r="AW838" s="67">
        <f t="shared" si="127"/>
        <v>13067</v>
      </c>
      <c r="AX838" s="72">
        <v>2.4700000000000002</v>
      </c>
    </row>
    <row r="839" spans="1:50" ht="15.75" customHeight="1" x14ac:dyDescent="0.3">
      <c r="A839" s="139" t="s">
        <v>2843</v>
      </c>
      <c r="B839" s="67">
        <f t="shared" ref="B839:Q839" si="139">(B810/$B$10/1.983)</f>
        <v>1349.2590242870854</v>
      </c>
      <c r="C839" s="67">
        <f t="shared" si="139"/>
        <v>1347.6810957656207</v>
      </c>
      <c r="D839" s="67">
        <f t="shared" si="139"/>
        <v>1346.1031672441559</v>
      </c>
      <c r="E839" s="67">
        <f t="shared" si="139"/>
        <v>1324.01216794365</v>
      </c>
      <c r="F839" s="67">
        <f t="shared" si="139"/>
        <v>880.24010541213215</v>
      </c>
      <c r="G839" s="67">
        <f t="shared" si="139"/>
        <v>-431.91319766401506</v>
      </c>
      <c r="H839" s="67">
        <f t="shared" si="139"/>
        <v>537.60187399346046</v>
      </c>
      <c r="I839" s="67">
        <f t="shared" si="139"/>
        <v>253.83501699933305</v>
      </c>
      <c r="J839" s="67">
        <f t="shared" si="139"/>
        <v>253.68861126022804</v>
      </c>
      <c r="K839" s="67">
        <f t="shared" si="139"/>
        <v>244.77412847916969</v>
      </c>
      <c r="L839" s="67">
        <f t="shared" si="139"/>
        <v>168.12259040554389</v>
      </c>
      <c r="M839" s="67">
        <f t="shared" si="139"/>
        <v>167.79724431864395</v>
      </c>
      <c r="N839" s="67">
        <f t="shared" si="139"/>
        <v>167.63457127519399</v>
      </c>
      <c r="O839" s="67">
        <f t="shared" si="139"/>
        <v>73.300473378556433</v>
      </c>
      <c r="P839" s="67">
        <f t="shared" si="139"/>
        <v>3.4161339124493679</v>
      </c>
      <c r="Q839" s="67">
        <f t="shared" si="139"/>
        <v>73.267938769866433</v>
      </c>
      <c r="R839" s="552"/>
      <c r="AC839" s="553" t="s">
        <v>1321</v>
      </c>
      <c r="AD839" s="67">
        <f t="shared" si="128"/>
        <v>9412</v>
      </c>
      <c r="AE839" s="67">
        <f t="shared" si="129"/>
        <v>1200</v>
      </c>
      <c r="AF839" s="67">
        <f t="shared" si="130"/>
        <v>1259</v>
      </c>
      <c r="AG839" s="67">
        <f t="shared" si="131"/>
        <v>2154</v>
      </c>
      <c r="AH839" s="67">
        <f t="shared" si="132"/>
        <v>2190.0816021812543</v>
      </c>
      <c r="AI839" s="67"/>
      <c r="AJ839" s="67">
        <f t="shared" si="133"/>
        <v>16215.081602181253</v>
      </c>
      <c r="AK839" s="67"/>
      <c r="AL839" s="67"/>
      <c r="AM839" s="67"/>
      <c r="AN839" s="70" t="s">
        <v>1321</v>
      </c>
      <c r="AO839" s="67">
        <f t="shared" si="134"/>
        <v>160747</v>
      </c>
      <c r="AP839" s="67">
        <f t="shared" si="135"/>
        <v>20448</v>
      </c>
      <c r="AQ839" s="67">
        <f t="shared" si="136"/>
        <v>21408</v>
      </c>
      <c r="AR839" s="67">
        <f t="shared" si="137"/>
        <v>35286</v>
      </c>
      <c r="AS839" s="67">
        <f>((F813-$F813)*(('Lake Pleasant Forecast'!B41-1526.8)/0.7702))/1000</f>
        <v>0</v>
      </c>
      <c r="AT839" s="67">
        <f t="shared" si="138"/>
        <v>237889</v>
      </c>
      <c r="AU839" s="561"/>
      <c r="AW839" s="67">
        <f t="shared" si="127"/>
        <v>12388</v>
      </c>
      <c r="AX839" s="72">
        <v>2.4700000000000002</v>
      </c>
    </row>
    <row r="840" spans="1:50" ht="15.75" customHeight="1" x14ac:dyDescent="0.3">
      <c r="A840" s="139" t="s">
        <v>2091</v>
      </c>
      <c r="B840" s="67">
        <f t="shared" ref="B840:Q840" si="140">(B811/$C$10/1.983)</f>
        <v>2331.5503205820905</v>
      </c>
      <c r="C840" s="67">
        <f t="shared" si="140"/>
        <v>2328.8848065701318</v>
      </c>
      <c r="D840" s="67">
        <f t="shared" si="140"/>
        <v>2322.1129601613716</v>
      </c>
      <c r="E840" s="67">
        <f t="shared" si="140"/>
        <v>2282.7606080253581</v>
      </c>
      <c r="F840" s="67">
        <f t="shared" si="140"/>
        <v>949.58936676031976</v>
      </c>
      <c r="G840" s="67">
        <f t="shared" si="140"/>
        <v>0</v>
      </c>
      <c r="H840" s="67">
        <f t="shared" si="140"/>
        <v>907.96772566817947</v>
      </c>
      <c r="I840" s="67">
        <f t="shared" si="140"/>
        <v>260.13975938332976</v>
      </c>
      <c r="J840" s="67">
        <f t="shared" si="140"/>
        <v>255.56516101145448</v>
      </c>
      <c r="K840" s="67">
        <f t="shared" si="140"/>
        <v>243.12009221237662</v>
      </c>
      <c r="L840" s="67">
        <f t="shared" si="140"/>
        <v>200.57992939989913</v>
      </c>
      <c r="M840" s="67">
        <f t="shared" si="140"/>
        <v>200.18370434406742</v>
      </c>
      <c r="N840" s="67">
        <f t="shared" si="140"/>
        <v>198.74288595922482</v>
      </c>
      <c r="O840" s="67">
        <f t="shared" si="140"/>
        <v>46.682515668899931</v>
      </c>
      <c r="P840" s="67">
        <f t="shared" si="140"/>
        <v>2.1071968878322886</v>
      </c>
      <c r="Q840" s="67">
        <f t="shared" si="140"/>
        <v>46.628484979468332</v>
      </c>
      <c r="R840" s="552"/>
      <c r="AC840" s="553" t="s">
        <v>1905</v>
      </c>
      <c r="AD840" s="67">
        <f t="shared" si="128"/>
        <v>1459</v>
      </c>
      <c r="AE840" s="67">
        <f t="shared" si="129"/>
        <v>186</v>
      </c>
      <c r="AF840" s="67">
        <f t="shared" si="130"/>
        <v>195</v>
      </c>
      <c r="AG840" s="67">
        <f t="shared" si="131"/>
        <v>334</v>
      </c>
      <c r="AH840" s="67">
        <f t="shared" si="132"/>
        <v>335.72968060244085</v>
      </c>
      <c r="AI840" s="67"/>
      <c r="AJ840" s="67">
        <f t="shared" si="133"/>
        <v>2509.729680602441</v>
      </c>
      <c r="AK840" s="67"/>
      <c r="AL840" s="67"/>
      <c r="AM840" s="67"/>
      <c r="AN840" s="70" t="s">
        <v>1905</v>
      </c>
      <c r="AO840" s="67">
        <f t="shared" si="134"/>
        <v>174145</v>
      </c>
      <c r="AP840" s="67">
        <f t="shared" si="135"/>
        <v>22148</v>
      </c>
      <c r="AQ840" s="67">
        <f t="shared" si="136"/>
        <v>23186</v>
      </c>
      <c r="AR840" s="67">
        <f t="shared" si="137"/>
        <v>37947</v>
      </c>
      <c r="AS840" s="67">
        <f>((F814-$F814)*(('Lake Pleasant Forecast'!B43-1526.8)/0.7702))/1000</f>
        <v>0</v>
      </c>
      <c r="AT840" s="67">
        <f t="shared" si="138"/>
        <v>257426</v>
      </c>
      <c r="AU840" s="561"/>
      <c r="AW840" s="67">
        <f t="shared" si="127"/>
        <v>9679</v>
      </c>
      <c r="AX840" s="72">
        <v>2.4700000000000002</v>
      </c>
    </row>
    <row r="841" spans="1:50" ht="15.75" customHeight="1" x14ac:dyDescent="0.3">
      <c r="A841" s="139" t="s">
        <v>2234</v>
      </c>
      <c r="B841" s="67">
        <f t="shared" ref="B841:Q841" si="141">(B812/$D$10/1.983)</f>
        <v>2853.724399329787</v>
      </c>
      <c r="C841" s="67">
        <f t="shared" si="141"/>
        <v>2849.2671579392577</v>
      </c>
      <c r="D841" s="67">
        <f t="shared" si="141"/>
        <v>2841.166040375449</v>
      </c>
      <c r="E841" s="67">
        <f t="shared" si="141"/>
        <v>2776.5035056040865</v>
      </c>
      <c r="F841" s="67">
        <f t="shared" si="141"/>
        <v>782.89655621167014</v>
      </c>
      <c r="G841" s="67">
        <f t="shared" si="141"/>
        <v>0</v>
      </c>
      <c r="H841" s="67">
        <f t="shared" si="141"/>
        <v>1419.4687098400925</v>
      </c>
      <c r="I841" s="67">
        <f t="shared" si="141"/>
        <v>570.29915572690447</v>
      </c>
      <c r="J841" s="67">
        <f t="shared" si="141"/>
        <v>422.1365477526719</v>
      </c>
      <c r="K841" s="67">
        <f t="shared" si="141"/>
        <v>349.22648967839535</v>
      </c>
      <c r="L841" s="67">
        <f t="shared" si="141"/>
        <v>323.76815837847505</v>
      </c>
      <c r="M841" s="67">
        <f t="shared" si="141"/>
        <v>323.31267385681519</v>
      </c>
      <c r="N841" s="67">
        <f t="shared" si="141"/>
        <v>314.02404307582191</v>
      </c>
      <c r="O841" s="67">
        <f t="shared" si="141"/>
        <v>59.668472337448961</v>
      </c>
      <c r="P841" s="67">
        <f t="shared" si="141"/>
        <v>50.867860686805592</v>
      </c>
      <c r="Q841" s="67">
        <f t="shared" si="141"/>
        <v>59.587135815723968</v>
      </c>
      <c r="R841" s="552"/>
      <c r="AC841" s="553" t="s">
        <v>1906</v>
      </c>
      <c r="AD841" s="67">
        <f t="shared" si="128"/>
        <v>0</v>
      </c>
      <c r="AE841" s="67">
        <f t="shared" si="129"/>
        <v>0</v>
      </c>
      <c r="AF841" s="67">
        <f t="shared" si="130"/>
        <v>0</v>
      </c>
      <c r="AG841" s="67">
        <f t="shared" si="131"/>
        <v>0</v>
      </c>
      <c r="AH841" s="67">
        <f t="shared" si="132"/>
        <v>0</v>
      </c>
      <c r="AI841" s="67"/>
      <c r="AJ841" s="67">
        <f t="shared" si="133"/>
        <v>0</v>
      </c>
      <c r="AK841" s="67"/>
      <c r="AL841" s="67"/>
      <c r="AM841" s="67"/>
      <c r="AN841" s="70" t="s">
        <v>1906</v>
      </c>
      <c r="AO841" s="67">
        <f t="shared" si="134"/>
        <v>129518</v>
      </c>
      <c r="AP841" s="67">
        <f t="shared" si="135"/>
        <v>16460</v>
      </c>
      <c r="AQ841" s="67">
        <f t="shared" si="136"/>
        <v>17219</v>
      </c>
      <c r="AR841" s="67">
        <f t="shared" si="137"/>
        <v>27716</v>
      </c>
      <c r="AS841" s="67">
        <f>((F815-$F815)*(('Lake Pleasant Forecast'!B45-1526.8)/0.7702))/1000</f>
        <v>0</v>
      </c>
      <c r="AT841" s="67">
        <f t="shared" si="138"/>
        <v>190913</v>
      </c>
      <c r="AU841" s="561"/>
      <c r="AW841" s="67">
        <f t="shared" si="127"/>
        <v>6995</v>
      </c>
      <c r="AX841" s="72">
        <v>2.4700000000000002</v>
      </c>
    </row>
    <row r="842" spans="1:50" ht="15.75" customHeight="1" x14ac:dyDescent="0.3">
      <c r="A842" s="139" t="s">
        <v>2235</v>
      </c>
      <c r="B842" s="67">
        <f t="shared" ref="B842:Q842" si="142">(B813/$F$10/1.983)</f>
        <v>2988.8216506975959</v>
      </c>
      <c r="C842" s="67">
        <f t="shared" si="142"/>
        <v>2982.6525466464955</v>
      </c>
      <c r="D842" s="67">
        <f t="shared" si="142"/>
        <v>2976.769204908388</v>
      </c>
      <c r="E842" s="67">
        <f t="shared" si="142"/>
        <v>2873.7434863002181</v>
      </c>
      <c r="F842" s="67">
        <f t="shared" si="142"/>
        <v>165.32190284081358</v>
      </c>
      <c r="G842" s="67">
        <f t="shared" si="142"/>
        <v>-6.034627668515717</v>
      </c>
      <c r="H842" s="67">
        <f t="shared" si="142"/>
        <v>1983.3417381072447</v>
      </c>
      <c r="I842" s="67">
        <f t="shared" si="142"/>
        <v>683.9132627332325</v>
      </c>
      <c r="J842" s="67">
        <f t="shared" si="142"/>
        <v>582.48445116826349</v>
      </c>
      <c r="K842" s="67">
        <f t="shared" si="142"/>
        <v>423.34846192637417</v>
      </c>
      <c r="L842" s="67">
        <f t="shared" si="142"/>
        <v>371.3733400571524</v>
      </c>
      <c r="M842" s="67">
        <f t="shared" si="142"/>
        <v>370.75138678769542</v>
      </c>
      <c r="N842" s="67">
        <f t="shared" si="142"/>
        <v>343.43587157505459</v>
      </c>
      <c r="O842" s="67">
        <f t="shared" si="142"/>
        <v>72.818961169944529</v>
      </c>
      <c r="P842" s="67">
        <f t="shared" si="142"/>
        <v>84.249453689695741</v>
      </c>
      <c r="Q842" s="67">
        <f t="shared" si="142"/>
        <v>72.701294335182382</v>
      </c>
      <c r="R842" s="552"/>
      <c r="AC842" s="553" t="s">
        <v>1907</v>
      </c>
      <c r="AD842" s="67">
        <f t="shared" si="128"/>
        <v>0</v>
      </c>
      <c r="AE842" s="67">
        <f t="shared" si="129"/>
        <v>0</v>
      </c>
      <c r="AF842" s="67">
        <f t="shared" si="130"/>
        <v>0</v>
      </c>
      <c r="AG842" s="67">
        <f t="shared" si="131"/>
        <v>0</v>
      </c>
      <c r="AH842" s="67">
        <f t="shared" si="132"/>
        <v>0</v>
      </c>
      <c r="AI842" s="67"/>
      <c r="AJ842" s="67">
        <f t="shared" si="133"/>
        <v>0</v>
      </c>
      <c r="AK842" s="67"/>
      <c r="AL842" s="67"/>
      <c r="AM842" s="67"/>
      <c r="AN842" s="70" t="s">
        <v>1907</v>
      </c>
      <c r="AO842" s="67">
        <f t="shared" si="134"/>
        <v>91195</v>
      </c>
      <c r="AP842" s="67">
        <f t="shared" si="135"/>
        <v>11575</v>
      </c>
      <c r="AQ842" s="67">
        <f t="shared" si="136"/>
        <v>12094</v>
      </c>
      <c r="AR842" s="67">
        <f t="shared" si="137"/>
        <v>18811</v>
      </c>
      <c r="AS842" s="67">
        <f>((F816-$F816)*(('Lake Pleasant Forecast'!B47-1526.8)/0.7702))/1000</f>
        <v>0</v>
      </c>
      <c r="AT842" s="67">
        <f t="shared" si="138"/>
        <v>133675</v>
      </c>
      <c r="AU842" s="561"/>
      <c r="AW842" s="67">
        <f t="shared" si="127"/>
        <v>10106</v>
      </c>
      <c r="AX842" s="72">
        <v>2.4700000000000002</v>
      </c>
    </row>
    <row r="843" spans="1:50" ht="15.75" customHeight="1" x14ac:dyDescent="0.3">
      <c r="A843" s="139" t="s">
        <v>2236</v>
      </c>
      <c r="B843" s="67">
        <f t="shared" ref="B843:Q843" si="143">(B814/$G$10/1.983)</f>
        <v>2984.9690107852225</v>
      </c>
      <c r="C843" s="67">
        <f t="shared" si="143"/>
        <v>2978.0554064385988</v>
      </c>
      <c r="D843" s="67">
        <f t="shared" si="143"/>
        <v>2971.5159500919103</v>
      </c>
      <c r="E843" s="67">
        <f t="shared" si="143"/>
        <v>2843.5247995054738</v>
      </c>
      <c r="F843" s="67">
        <f t="shared" si="143"/>
        <v>24.80763912612041</v>
      </c>
      <c r="G843" s="67">
        <f t="shared" si="143"/>
        <v>-162.11995510224</v>
      </c>
      <c r="H843" s="67">
        <f t="shared" si="143"/>
        <v>2157.630179103021</v>
      </c>
      <c r="I843" s="67">
        <f t="shared" si="143"/>
        <v>666.21118214500666</v>
      </c>
      <c r="J843" s="67">
        <f t="shared" si="143"/>
        <v>575.55349503033847</v>
      </c>
      <c r="K843" s="67">
        <f t="shared" si="143"/>
        <v>393.05060758381723</v>
      </c>
      <c r="L843" s="67">
        <f t="shared" si="143"/>
        <v>371.07347941372637</v>
      </c>
      <c r="M843" s="67">
        <f t="shared" si="143"/>
        <v>370.39025263123648</v>
      </c>
      <c r="N843" s="67">
        <f t="shared" si="143"/>
        <v>348.96621280887541</v>
      </c>
      <c r="O843" s="67">
        <f t="shared" si="143"/>
        <v>68.924568509752248</v>
      </c>
      <c r="P843" s="67">
        <f t="shared" si="143"/>
        <v>94.334097896637545</v>
      </c>
      <c r="Q843" s="67">
        <f t="shared" si="143"/>
        <v>68.794430074992263</v>
      </c>
      <c r="R843" s="552"/>
      <c r="AC843" s="553" t="s">
        <v>1908</v>
      </c>
      <c r="AD843" s="67">
        <f t="shared" si="128"/>
        <v>0</v>
      </c>
      <c r="AE843" s="67">
        <f t="shared" si="129"/>
        <v>0</v>
      </c>
      <c r="AF843" s="67">
        <f t="shared" si="130"/>
        <v>0</v>
      </c>
      <c r="AG843" s="67">
        <f t="shared" si="131"/>
        <v>0</v>
      </c>
      <c r="AH843" s="67">
        <f t="shared" si="132"/>
        <v>0</v>
      </c>
      <c r="AI843" s="67"/>
      <c r="AJ843" s="67">
        <f t="shared" si="133"/>
        <v>0</v>
      </c>
      <c r="AK843" s="67"/>
      <c r="AL843" s="67"/>
      <c r="AM843" s="67"/>
      <c r="AN843" s="70" t="s">
        <v>1908</v>
      </c>
      <c r="AO843" s="67">
        <f t="shared" si="134"/>
        <v>97332</v>
      </c>
      <c r="AP843" s="67">
        <f t="shared" si="135"/>
        <v>12367</v>
      </c>
      <c r="AQ843" s="67">
        <f t="shared" si="136"/>
        <v>12935</v>
      </c>
      <c r="AR843" s="67">
        <f t="shared" si="137"/>
        <v>20359</v>
      </c>
      <c r="AS843" s="67">
        <f>((F817-$F817)*(('Lake Pleasant Forecast'!B49-1526.8)/0.7702))/1000</f>
        <v>0</v>
      </c>
      <c r="AT843" s="67">
        <f t="shared" si="138"/>
        <v>142993</v>
      </c>
      <c r="AU843" s="561"/>
      <c r="AW843" s="67"/>
      <c r="AX843" s="72"/>
    </row>
    <row r="844" spans="1:50" ht="15.75" customHeight="1" x14ac:dyDescent="0.3">
      <c r="A844" s="139" t="s">
        <v>2237</v>
      </c>
      <c r="B844" s="67">
        <f t="shared" ref="B844:Q844" si="144">(B815/$H$10/1.983)</f>
        <v>2274.9705832913091</v>
      </c>
      <c r="C844" s="67">
        <f t="shared" si="144"/>
        <v>2267.9610018490503</v>
      </c>
      <c r="D844" s="67">
        <f t="shared" si="144"/>
        <v>2261.3044209110776</v>
      </c>
      <c r="E844" s="67">
        <f t="shared" si="144"/>
        <v>2127.332324760464</v>
      </c>
      <c r="F844" s="67">
        <f t="shared" si="144"/>
        <v>0</v>
      </c>
      <c r="G844" s="67">
        <f t="shared" si="144"/>
        <v>-1087.2919818456883</v>
      </c>
      <c r="H844" s="67">
        <f t="shared" si="144"/>
        <v>2578.1139687342406</v>
      </c>
      <c r="I844" s="67">
        <f t="shared" si="144"/>
        <v>745.58749369641953</v>
      </c>
      <c r="J844" s="67">
        <f t="shared" si="144"/>
        <v>472.19700790048745</v>
      </c>
      <c r="K844" s="67">
        <f t="shared" si="144"/>
        <v>343.01563287947556</v>
      </c>
      <c r="L844" s="67">
        <f t="shared" si="144"/>
        <v>310.75811060682469</v>
      </c>
      <c r="M844" s="67">
        <f t="shared" si="144"/>
        <v>310.01849050260546</v>
      </c>
      <c r="N844" s="67">
        <f t="shared" si="144"/>
        <v>276.65153807362583</v>
      </c>
      <c r="O844" s="67">
        <f t="shared" si="144"/>
        <v>74.920154647839965</v>
      </c>
      <c r="P844" s="67">
        <f t="shared" si="144"/>
        <v>100.47066733904857</v>
      </c>
      <c r="Q844" s="67">
        <f t="shared" si="144"/>
        <v>74.768868717431502</v>
      </c>
      <c r="R844" s="552"/>
      <c r="AC844" s="553" t="s">
        <v>2352</v>
      </c>
      <c r="AD844" s="67">
        <f t="shared" si="128"/>
        <v>26394</v>
      </c>
      <c r="AE844" s="67">
        <f t="shared" si="129"/>
        <v>3365</v>
      </c>
      <c r="AF844" s="67">
        <f t="shared" si="130"/>
        <v>3530</v>
      </c>
      <c r="AG844" s="67">
        <f t="shared" si="131"/>
        <v>6040</v>
      </c>
      <c r="AH844" s="67">
        <f t="shared" si="132"/>
        <v>4697.76686511968</v>
      </c>
      <c r="AI844" s="67"/>
      <c r="AJ844" s="67">
        <f t="shared" si="133"/>
        <v>44026.76686511968</v>
      </c>
      <c r="AK844" s="67"/>
      <c r="AL844" s="67"/>
      <c r="AM844" s="67"/>
      <c r="AN844" s="70" t="s">
        <v>2352</v>
      </c>
      <c r="AO844" s="67">
        <f t="shared" si="134"/>
        <v>107534</v>
      </c>
      <c r="AP844" s="67">
        <f t="shared" si="135"/>
        <v>13670</v>
      </c>
      <c r="AQ844" s="67">
        <f t="shared" si="136"/>
        <v>14272</v>
      </c>
      <c r="AR844" s="67">
        <f t="shared" si="137"/>
        <v>21841</v>
      </c>
      <c r="AS844" s="67">
        <f>((F818-$F818)*(('Lake Pleasant Forecast'!B51-1526.8)/0.7702))/1000</f>
        <v>0</v>
      </c>
      <c r="AT844" s="67">
        <f t="shared" si="138"/>
        <v>157317</v>
      </c>
      <c r="AU844" s="561"/>
      <c r="AW844" s="67">
        <f>(SUM(AW831:AW842))</f>
        <v>134455</v>
      </c>
      <c r="AX844" s="72"/>
    </row>
    <row r="845" spans="1:50" ht="15.75" customHeight="1" x14ac:dyDescent="0.3">
      <c r="A845" s="139" t="s">
        <v>1504</v>
      </c>
      <c r="B845" s="67">
        <f t="shared" ref="B845:Q845" si="145">(B816/$J$10/1.983)</f>
        <v>1550.1602329477982</v>
      </c>
      <c r="C845" s="67">
        <f t="shared" si="145"/>
        <v>1543.3930343402794</v>
      </c>
      <c r="D845" s="67">
        <f t="shared" si="145"/>
        <v>1536.9674491240057</v>
      </c>
      <c r="E845" s="67">
        <f t="shared" si="145"/>
        <v>1397.2638394091716</v>
      </c>
      <c r="F845" s="67">
        <f t="shared" si="145"/>
        <v>0</v>
      </c>
      <c r="G845" s="67">
        <f t="shared" si="145"/>
        <v>-1526.8817204301076</v>
      </c>
      <c r="H845" s="67">
        <f t="shared" si="145"/>
        <v>2200.9500105737475</v>
      </c>
      <c r="I845" s="67">
        <f t="shared" si="145"/>
        <v>818.37554698810857</v>
      </c>
      <c r="J845" s="67">
        <f t="shared" si="145"/>
        <v>502.88744652123694</v>
      </c>
      <c r="K845" s="67">
        <f t="shared" si="145"/>
        <v>362.90729263253786</v>
      </c>
      <c r="L845" s="67">
        <f t="shared" si="145"/>
        <v>286.25575455891203</v>
      </c>
      <c r="M845" s="67">
        <f t="shared" si="145"/>
        <v>285.62132968945713</v>
      </c>
      <c r="N845" s="67">
        <f t="shared" si="145"/>
        <v>243.27753647942998</v>
      </c>
      <c r="O845" s="67">
        <f t="shared" si="145"/>
        <v>73.023929204691484</v>
      </c>
      <c r="P845" s="67">
        <f t="shared" si="145"/>
        <v>102.56535389520602</v>
      </c>
      <c r="Q845" s="67">
        <f t="shared" si="145"/>
        <v>72.11296016137166</v>
      </c>
      <c r="R845" s="552"/>
      <c r="AC845" s="553" t="s">
        <v>2353</v>
      </c>
      <c r="AD845" s="67">
        <f t="shared" si="128"/>
        <v>4785</v>
      </c>
      <c r="AE845" s="67">
        <f t="shared" si="129"/>
        <v>610</v>
      </c>
      <c r="AF845" s="67">
        <f t="shared" si="130"/>
        <v>640</v>
      </c>
      <c r="AG845" s="67">
        <f t="shared" si="131"/>
        <v>1095</v>
      </c>
      <c r="AH845" s="67">
        <f t="shared" si="132"/>
        <v>901.84367696702202</v>
      </c>
      <c r="AI845" s="67"/>
      <c r="AJ845" s="67">
        <f t="shared" si="133"/>
        <v>8031.8436769670225</v>
      </c>
      <c r="AK845" s="67"/>
      <c r="AL845" s="67"/>
      <c r="AM845" s="67"/>
      <c r="AN845" s="70" t="s">
        <v>2353</v>
      </c>
      <c r="AO845" s="67">
        <f t="shared" si="134"/>
        <v>109802</v>
      </c>
      <c r="AP845" s="67">
        <f t="shared" si="135"/>
        <v>13963</v>
      </c>
      <c r="AQ845" s="67">
        <f t="shared" si="136"/>
        <v>14611</v>
      </c>
      <c r="AR845" s="67">
        <f t="shared" si="137"/>
        <v>22162</v>
      </c>
      <c r="AS845" s="67">
        <f>((F819-$F819)*(('Lake Pleasant Forecast'!B53-1526.8)/0.7702))/1000</f>
        <v>0</v>
      </c>
      <c r="AT845" s="67">
        <f t="shared" si="138"/>
        <v>160538</v>
      </c>
      <c r="AU845" s="561"/>
    </row>
    <row r="846" spans="1:50" ht="15.75" customHeight="1" x14ac:dyDescent="0.3">
      <c r="A846" s="139" t="s">
        <v>1505</v>
      </c>
      <c r="B846" s="67">
        <f t="shared" ref="B846:Q846" si="146">(B817/$K$10/1.983)</f>
        <v>1654.4661884079189</v>
      </c>
      <c r="C846" s="67">
        <f t="shared" si="146"/>
        <v>1649.0329087566897</v>
      </c>
      <c r="D846" s="67">
        <f t="shared" si="146"/>
        <v>1643.8599059749808</v>
      </c>
      <c r="E846" s="67">
        <f t="shared" si="146"/>
        <v>1512.2411465196103</v>
      </c>
      <c r="F846" s="67">
        <f t="shared" si="146"/>
        <v>0</v>
      </c>
      <c r="G846" s="67">
        <f t="shared" si="146"/>
        <v>-1098.8238738958567</v>
      </c>
      <c r="H846" s="67">
        <f t="shared" si="146"/>
        <v>2034.7632293852585</v>
      </c>
      <c r="I846" s="67">
        <f t="shared" si="146"/>
        <v>811.98249638052482</v>
      </c>
      <c r="J846" s="67">
        <f t="shared" si="146"/>
        <v>531.40403103801668</v>
      </c>
      <c r="K846" s="67">
        <f t="shared" si="146"/>
        <v>413.15699575423355</v>
      </c>
      <c r="L846" s="67">
        <f t="shared" si="146"/>
        <v>318.41621524897107</v>
      </c>
      <c r="M846" s="67">
        <f t="shared" si="146"/>
        <v>317.83059229255116</v>
      </c>
      <c r="N846" s="67">
        <f t="shared" si="146"/>
        <v>280.38325769036811</v>
      </c>
      <c r="O846" s="67">
        <f t="shared" si="146"/>
        <v>63.36115042376327</v>
      </c>
      <c r="P846" s="67">
        <f t="shared" si="146"/>
        <v>95.960828331137236</v>
      </c>
      <c r="Q846" s="67">
        <f t="shared" si="146"/>
        <v>63.263546597693292</v>
      </c>
      <c r="R846" s="552"/>
      <c r="AC846" s="553" t="s">
        <v>2354</v>
      </c>
      <c r="AD846" s="67">
        <f t="shared" si="128"/>
        <v>45936</v>
      </c>
      <c r="AE846" s="67">
        <f t="shared" si="129"/>
        <v>5856</v>
      </c>
      <c r="AF846" s="67">
        <f t="shared" si="130"/>
        <v>6144</v>
      </c>
      <c r="AG846" s="67">
        <f t="shared" si="131"/>
        <v>10512</v>
      </c>
      <c r="AH846" s="67">
        <f t="shared" si="132"/>
        <v>9112.6460659568966</v>
      </c>
      <c r="AI846" s="67"/>
      <c r="AJ846" s="67">
        <f t="shared" si="133"/>
        <v>77560.646065956898</v>
      </c>
      <c r="AK846" s="67"/>
      <c r="AL846" s="67"/>
      <c r="AM846" s="67"/>
      <c r="AN846" s="70" t="s">
        <v>2354</v>
      </c>
      <c r="AO846" s="67">
        <f t="shared" si="134"/>
        <v>83988</v>
      </c>
      <c r="AP846" s="67">
        <f t="shared" si="135"/>
        <v>10678</v>
      </c>
      <c r="AQ846" s="67">
        <f t="shared" si="136"/>
        <v>11174</v>
      </c>
      <c r="AR846" s="67">
        <f t="shared" si="137"/>
        <v>16942</v>
      </c>
      <c r="AS846" s="67">
        <f>((F820-$F820)*(('Lake Pleasant Forecast'!B55-1526.8)/0.7702))/1000</f>
        <v>0</v>
      </c>
      <c r="AT846" s="67">
        <f t="shared" si="138"/>
        <v>122782</v>
      </c>
      <c r="AU846" s="561"/>
    </row>
    <row r="847" spans="1:50" ht="15.75" customHeight="1" x14ac:dyDescent="0.3">
      <c r="A847" s="139" t="s">
        <v>1506</v>
      </c>
      <c r="B847" s="67">
        <f t="shared" ref="B847:Q847" si="147">(B818/$L$10/1.983)</f>
        <v>2352.4289796604471</v>
      </c>
      <c r="C847" s="67">
        <f t="shared" si="147"/>
        <v>2347.1171625483271</v>
      </c>
      <c r="D847" s="67">
        <f t="shared" si="147"/>
        <v>2337.855101697764</v>
      </c>
      <c r="E847" s="67">
        <f t="shared" si="147"/>
        <v>2140.0235333669525</v>
      </c>
      <c r="F847" s="67">
        <f t="shared" si="147"/>
        <v>463.60732896285089</v>
      </c>
      <c r="G847" s="67">
        <f t="shared" si="147"/>
        <v>-92.788703983862831</v>
      </c>
      <c r="H847" s="67">
        <f t="shared" si="147"/>
        <v>1225.5505126912087</v>
      </c>
      <c r="I847" s="67">
        <f t="shared" si="147"/>
        <v>529.53437552529829</v>
      </c>
      <c r="J847" s="67">
        <f t="shared" si="147"/>
        <v>414.47302067574378</v>
      </c>
      <c r="K847" s="67">
        <f t="shared" si="147"/>
        <v>378.16439737771049</v>
      </c>
      <c r="L847" s="67">
        <f t="shared" si="147"/>
        <v>312.28777945873253</v>
      </c>
      <c r="M847" s="67">
        <f t="shared" si="147"/>
        <v>311.71625483274499</v>
      </c>
      <c r="N847" s="67">
        <f t="shared" si="147"/>
        <v>286.63640948058497</v>
      </c>
      <c r="O847" s="67">
        <f t="shared" si="147"/>
        <v>61.707850058833408</v>
      </c>
      <c r="P847" s="67">
        <f t="shared" si="147"/>
        <v>85.678265254664652</v>
      </c>
      <c r="Q847" s="67">
        <f t="shared" si="147"/>
        <v>61.606992771894433</v>
      </c>
      <c r="R847" s="552"/>
      <c r="AC847" s="553" t="s">
        <v>2355</v>
      </c>
      <c r="AD847" s="67">
        <f t="shared" si="128"/>
        <v>38280</v>
      </c>
      <c r="AE847" s="67">
        <f t="shared" si="129"/>
        <v>4880</v>
      </c>
      <c r="AF847" s="67">
        <f t="shared" si="130"/>
        <v>5120</v>
      </c>
      <c r="AG847" s="67">
        <f t="shared" si="131"/>
        <v>8760</v>
      </c>
      <c r="AH847" s="67">
        <f t="shared" si="132"/>
        <v>7953.2080033515795</v>
      </c>
      <c r="AI847" s="67"/>
      <c r="AJ847" s="67">
        <f t="shared" si="133"/>
        <v>64993.208003351581</v>
      </c>
      <c r="AK847" s="67"/>
      <c r="AL847" s="67"/>
      <c r="AM847" s="67"/>
      <c r="AN847" s="70" t="s">
        <v>2355</v>
      </c>
      <c r="AO847" s="67">
        <f t="shared" si="134"/>
        <v>70585</v>
      </c>
      <c r="AP847" s="67">
        <f t="shared" si="135"/>
        <v>8976</v>
      </c>
      <c r="AQ847" s="67">
        <f t="shared" si="136"/>
        <v>9391</v>
      </c>
      <c r="AR847" s="67">
        <f t="shared" si="137"/>
        <v>15409</v>
      </c>
      <c r="AS847" s="67">
        <f>((F821-$F821)*(('Lake Pleasant Forecast'!B57-1526.8)/0.7702))/1000</f>
        <v>0</v>
      </c>
      <c r="AT847" s="67">
        <f t="shared" si="138"/>
        <v>104361</v>
      </c>
      <c r="AU847" s="561"/>
    </row>
    <row r="848" spans="1:50" ht="15.75" customHeight="1" x14ac:dyDescent="0.3">
      <c r="A848" s="139" t="s">
        <v>1507</v>
      </c>
      <c r="B848" s="67">
        <f t="shared" ref="B848:Q848" si="148">(B819/$N$10/1.983)</f>
        <v>1947.7819530525596</v>
      </c>
      <c r="C848" s="67">
        <f t="shared" si="148"/>
        <v>1943.1457713142356</v>
      </c>
      <c r="D848" s="67">
        <f t="shared" si="148"/>
        <v>1938.2818473150812</v>
      </c>
      <c r="E848" s="67">
        <f t="shared" si="148"/>
        <v>1727.5389195256453</v>
      </c>
      <c r="F848" s="67">
        <f t="shared" si="148"/>
        <v>81.336521724984948</v>
      </c>
      <c r="G848" s="67">
        <f t="shared" si="148"/>
        <v>0</v>
      </c>
      <c r="H848" s="67">
        <f t="shared" si="148"/>
        <v>1051.4209490345354</v>
      </c>
      <c r="I848" s="67">
        <f t="shared" si="148"/>
        <v>320.31948985733572</v>
      </c>
      <c r="J848" s="67">
        <f t="shared" si="148"/>
        <v>272.23333821352463</v>
      </c>
      <c r="K848" s="67">
        <f t="shared" si="148"/>
        <v>246.88887804401929</v>
      </c>
      <c r="L848" s="67">
        <f t="shared" si="148"/>
        <v>218.8603126575895</v>
      </c>
      <c r="M848" s="67">
        <f t="shared" si="148"/>
        <v>218.38856083158458</v>
      </c>
      <c r="N848" s="67">
        <f t="shared" si="148"/>
        <v>204.61015405137215</v>
      </c>
      <c r="O848" s="67">
        <f t="shared" si="148"/>
        <v>52.657264164755254</v>
      </c>
      <c r="P848" s="67">
        <f t="shared" si="148"/>
        <v>73.47941372635141</v>
      </c>
      <c r="Q848" s="67">
        <f t="shared" si="148"/>
        <v>52.575927643030276</v>
      </c>
      <c r="R848" s="552"/>
      <c r="AC848" s="551"/>
      <c r="AD848" s="67"/>
      <c r="AE848" s="67"/>
      <c r="AF848" s="67"/>
      <c r="AG848" s="67"/>
      <c r="AH848" s="67"/>
      <c r="AI848" s="67"/>
      <c r="AJ848" s="67"/>
      <c r="AK848" s="67"/>
      <c r="AL848" s="67"/>
      <c r="AM848" s="67"/>
      <c r="AN848" s="67"/>
      <c r="AO848" s="67"/>
      <c r="AP848" s="67"/>
      <c r="AQ848" s="67"/>
      <c r="AR848" s="67"/>
      <c r="AS848" s="67"/>
      <c r="AT848" s="67"/>
      <c r="AU848" s="561"/>
    </row>
    <row r="849" spans="1:47" ht="15.75" customHeight="1" thickBot="1" x14ac:dyDescent="0.35">
      <c r="A849" s="139" t="s">
        <v>1508</v>
      </c>
      <c r="B849" s="67">
        <f t="shared" ref="B849:Q849" si="149">(B820/$O$10/1.983)</f>
        <v>2282.0978315683305</v>
      </c>
      <c r="C849" s="67">
        <f t="shared" si="149"/>
        <v>2278.147587829887</v>
      </c>
      <c r="D849" s="67">
        <f t="shared" si="149"/>
        <v>2274.3150109262056</v>
      </c>
      <c r="E849" s="67">
        <f t="shared" si="149"/>
        <v>2107.2281055639601</v>
      </c>
      <c r="F849" s="67">
        <f t="shared" si="149"/>
        <v>806.85829551185066</v>
      </c>
      <c r="G849" s="67">
        <f t="shared" si="149"/>
        <v>0</v>
      </c>
      <c r="H849" s="67">
        <f t="shared" si="149"/>
        <v>739.65372331484275</v>
      </c>
      <c r="I849" s="67">
        <f t="shared" si="149"/>
        <v>189.14103210623634</v>
      </c>
      <c r="J849" s="67">
        <f t="shared" si="149"/>
        <v>188.11564968902337</v>
      </c>
      <c r="K849" s="67">
        <f t="shared" si="149"/>
        <v>180.97159186417886</v>
      </c>
      <c r="L849" s="67">
        <f t="shared" si="149"/>
        <v>148.68045049588164</v>
      </c>
      <c r="M849" s="67">
        <f t="shared" si="149"/>
        <v>148.2938308959489</v>
      </c>
      <c r="N849" s="67">
        <f t="shared" si="149"/>
        <v>143.03244242729869</v>
      </c>
      <c r="O849" s="67">
        <f t="shared" si="149"/>
        <v>37.888720793410656</v>
      </c>
      <c r="P849" s="67">
        <f t="shared" si="149"/>
        <v>74.230963187090254</v>
      </c>
      <c r="Q849" s="67">
        <f t="shared" si="149"/>
        <v>37.838292149941161</v>
      </c>
      <c r="R849" s="552"/>
      <c r="AC849" s="558" t="s">
        <v>2356</v>
      </c>
      <c r="AD849" s="555">
        <f>SUM(AD836:AD847)</f>
        <v>274566</v>
      </c>
      <c r="AE849" s="555">
        <f>SUM(AE836:AE847)</f>
        <v>35002</v>
      </c>
      <c r="AF849" s="555">
        <f>SUM(AF836:AF847)</f>
        <v>36723</v>
      </c>
      <c r="AG849" s="555">
        <f>SUM(AG836:AG847)</f>
        <v>62832</v>
      </c>
      <c r="AH849" s="555">
        <f>SUM(AH836:AH847)</f>
        <v>58868.128019569471</v>
      </c>
      <c r="AI849" s="555"/>
      <c r="AJ849" s="555">
        <f>SUM(AJ836:AJ847)</f>
        <v>467991.1280195695</v>
      </c>
      <c r="AK849" s="555"/>
      <c r="AL849" s="555"/>
      <c r="AM849" s="555"/>
      <c r="AN849" s="564" t="s">
        <v>2356</v>
      </c>
      <c r="AO849" s="555">
        <f t="shared" ref="AO849:AT849" si="150">SUM(AO836:AO847)</f>
        <v>1247697</v>
      </c>
      <c r="AP849" s="555">
        <f t="shared" si="150"/>
        <v>158631</v>
      </c>
      <c r="AQ849" s="555">
        <f t="shared" si="150"/>
        <v>165907</v>
      </c>
      <c r="AR849" s="555">
        <f t="shared" si="150"/>
        <v>265497</v>
      </c>
      <c r="AS849" s="555">
        <f t="shared" si="150"/>
        <v>0</v>
      </c>
      <c r="AT849" s="555">
        <f t="shared" si="150"/>
        <v>1837732</v>
      </c>
      <c r="AU849" s="565"/>
    </row>
    <row r="850" spans="1:47" ht="15.75" customHeight="1" thickBot="1" x14ac:dyDescent="0.35">
      <c r="A850" s="645" t="s">
        <v>1509</v>
      </c>
      <c r="B850" s="555">
        <f t="shared" ref="B850:Q850" si="151">(B821/$P$10/1.983)</f>
        <v>1850.5197403738225</v>
      </c>
      <c r="C850" s="555">
        <f t="shared" si="151"/>
        <v>1847.4940217656531</v>
      </c>
      <c r="D850" s="555">
        <f t="shared" si="151"/>
        <v>1844.2080262879638</v>
      </c>
      <c r="E850" s="555">
        <f t="shared" si="151"/>
        <v>1795.2922421225578</v>
      </c>
      <c r="F850" s="555">
        <f t="shared" si="151"/>
        <v>650.69217379987958</v>
      </c>
      <c r="G850" s="555">
        <f t="shared" si="151"/>
        <v>0</v>
      </c>
      <c r="H850" s="555">
        <f t="shared" si="151"/>
        <v>771.78598734403715</v>
      </c>
      <c r="I850" s="555">
        <f t="shared" si="151"/>
        <v>314.25178533665184</v>
      </c>
      <c r="J850" s="555">
        <f t="shared" si="151"/>
        <v>303.35269142550385</v>
      </c>
      <c r="K850" s="555">
        <f t="shared" si="151"/>
        <v>294.04779334016558</v>
      </c>
      <c r="L850" s="555">
        <f t="shared" si="151"/>
        <v>274.77103769134413</v>
      </c>
      <c r="M850" s="555">
        <f t="shared" si="151"/>
        <v>274.4619589087892</v>
      </c>
      <c r="N850" s="555">
        <f t="shared" si="151"/>
        <v>261.85479804141653</v>
      </c>
      <c r="O850" s="555">
        <f t="shared" si="151"/>
        <v>52.266848860475328</v>
      </c>
      <c r="P850" s="555">
        <f t="shared" si="151"/>
        <v>16.625185040586924</v>
      </c>
      <c r="Q850" s="555">
        <f t="shared" si="151"/>
        <v>52.234314251785335</v>
      </c>
      <c r="R850" s="556"/>
    </row>
    <row r="851" spans="1:47" ht="15.75" customHeight="1" x14ac:dyDescent="0.3">
      <c r="R851" s="547"/>
      <c r="AC851" s="685"/>
      <c r="AD851" s="782" t="s">
        <v>2922</v>
      </c>
      <c r="AE851" s="785"/>
      <c r="AF851" s="785"/>
      <c r="AG851" s="785"/>
      <c r="AH851" s="785"/>
      <c r="AI851" s="785"/>
      <c r="AJ851" s="785"/>
      <c r="AK851" s="785"/>
      <c r="AL851" s="785"/>
      <c r="AM851" s="785"/>
      <c r="AN851" s="785"/>
      <c r="AO851" s="785"/>
      <c r="AP851" s="785"/>
      <c r="AQ851" s="785"/>
      <c r="AR851" s="678" t="str">
        <f>$Q$1</f>
        <v xml:space="preserve">PRINTED:  </v>
      </c>
      <c r="AS851" s="686">
        <f ca="1">$R$1</f>
        <v>44881.729634027775</v>
      </c>
    </row>
    <row r="852" spans="1:47" ht="15.75" customHeight="1" x14ac:dyDescent="0.3">
      <c r="R852" s="67"/>
      <c r="AC852" s="579"/>
      <c r="AD852" s="786" t="str">
        <f>+$A$8</f>
        <v>Revised:  2/10/2015</v>
      </c>
      <c r="AE852" s="788"/>
      <c r="AF852" s="788"/>
      <c r="AG852" s="788"/>
      <c r="AH852" s="788"/>
      <c r="AI852" s="788"/>
      <c r="AJ852" s="788"/>
      <c r="AK852" s="788"/>
      <c r="AL852" s="788"/>
      <c r="AM852" s="788"/>
      <c r="AN852" s="788"/>
      <c r="AO852" s="788"/>
      <c r="AP852" s="788"/>
      <c r="AQ852" s="788"/>
      <c r="AR852" s="139"/>
      <c r="AS852" s="561"/>
    </row>
    <row r="853" spans="1:47" ht="15.75" customHeight="1" x14ac:dyDescent="0.3">
      <c r="A853" s="139"/>
      <c r="AC853" s="579"/>
      <c r="AD853" s="786" t="s">
        <v>2878</v>
      </c>
      <c r="AE853" s="789"/>
      <c r="AF853" s="789"/>
      <c r="AG853" s="789"/>
      <c r="AH853" s="789"/>
      <c r="AI853" s="789"/>
      <c r="AJ853" s="789"/>
      <c r="AK853" s="789"/>
      <c r="AL853" s="789"/>
      <c r="AM853" s="789"/>
      <c r="AN853" s="789"/>
      <c r="AO853" s="789"/>
      <c r="AP853" s="789"/>
      <c r="AQ853" s="789"/>
      <c r="AS853" s="561"/>
    </row>
    <row r="854" spans="1:47" ht="15.75" customHeight="1" x14ac:dyDescent="0.3">
      <c r="A854" s="139"/>
      <c r="AC854" s="579"/>
      <c r="AS854" s="561"/>
    </row>
    <row r="855" spans="1:47" ht="15.75" customHeight="1" thickBot="1" x14ac:dyDescent="0.35">
      <c r="A855" s="139"/>
      <c r="AC855" s="579"/>
      <c r="AD855" s="787">
        <f>$A$5</f>
        <v>2014</v>
      </c>
      <c r="AE855" s="789"/>
      <c r="AF855" s="789"/>
      <c r="AG855" s="789"/>
      <c r="AH855" s="789"/>
      <c r="AI855" s="789"/>
      <c r="AJ855" s="789"/>
      <c r="AK855" s="789"/>
      <c r="AL855" s="789"/>
      <c r="AM855" s="789"/>
      <c r="AN855" s="789"/>
      <c r="AO855" s="789"/>
      <c r="AP855" s="789"/>
      <c r="AQ855" s="789"/>
      <c r="AS855" s="561"/>
    </row>
    <row r="856" spans="1:47" ht="15.75" customHeight="1" x14ac:dyDescent="0.3">
      <c r="A856" s="651"/>
      <c r="B856" s="782" t="s">
        <v>1198</v>
      </c>
      <c r="C856" s="782"/>
      <c r="D856" s="782"/>
      <c r="E856" s="782"/>
      <c r="F856" s="782"/>
      <c r="G856" s="782"/>
      <c r="H856" s="782"/>
      <c r="I856" s="782"/>
      <c r="J856" s="782"/>
      <c r="K856" s="782"/>
      <c r="L856" s="782"/>
      <c r="M856" s="782"/>
      <c r="N856" s="782"/>
      <c r="O856" s="782"/>
      <c r="P856" s="782"/>
      <c r="Q856" s="678" t="str">
        <f>+Q1</f>
        <v xml:space="preserve">PRINTED:  </v>
      </c>
      <c r="R856" s="679">
        <f ca="1">+R1</f>
        <v>44881.729634027775</v>
      </c>
      <c r="AC856" s="579"/>
      <c r="AD856" s="786" t="s">
        <v>2919</v>
      </c>
      <c r="AE856" s="788"/>
      <c r="AF856" s="788"/>
      <c r="AG856" s="788"/>
      <c r="AH856" s="788"/>
      <c r="AI856" s="788"/>
      <c r="AJ856" s="788"/>
      <c r="AK856" s="788"/>
      <c r="AL856" s="788"/>
      <c r="AM856" s="788"/>
      <c r="AN856" s="788"/>
      <c r="AO856" s="788"/>
      <c r="AP856" s="788"/>
      <c r="AQ856" s="788"/>
      <c r="AR856" s="70"/>
      <c r="AS856" s="561"/>
    </row>
    <row r="857" spans="1:47" ht="16.5" customHeight="1" x14ac:dyDescent="0.3">
      <c r="A857" s="553"/>
      <c r="B857" s="786" t="str">
        <f>+A8</f>
        <v>Revised:  2/10/2015</v>
      </c>
      <c r="C857" s="786"/>
      <c r="D857" s="786"/>
      <c r="E857" s="786"/>
      <c r="F857" s="786"/>
      <c r="G857" s="786"/>
      <c r="H857" s="786"/>
      <c r="I857" s="786"/>
      <c r="J857" s="786"/>
      <c r="K857" s="786"/>
      <c r="L857" s="786"/>
      <c r="M857" s="786"/>
      <c r="N857" s="786"/>
      <c r="O857" s="786"/>
      <c r="P857" s="786"/>
      <c r="Q857" s="67"/>
      <c r="R857" s="552"/>
      <c r="AC857" s="579"/>
      <c r="AK857" s="670"/>
      <c r="AS857" s="561"/>
    </row>
    <row r="858" spans="1:47" ht="15.75" customHeight="1" thickBot="1" x14ac:dyDescent="0.35">
      <c r="A858" s="553"/>
      <c r="B858" s="786" t="s">
        <v>2878</v>
      </c>
      <c r="C858" s="786"/>
      <c r="D858" s="786"/>
      <c r="E858" s="786"/>
      <c r="F858" s="786"/>
      <c r="G858" s="786"/>
      <c r="H858" s="786"/>
      <c r="I858" s="786"/>
      <c r="J858" s="786"/>
      <c r="K858" s="786"/>
      <c r="L858" s="786"/>
      <c r="M858" s="786"/>
      <c r="N858" s="786"/>
      <c r="O858" s="786"/>
      <c r="P858" s="786"/>
      <c r="Q858" s="67"/>
      <c r="R858" s="552"/>
      <c r="AC858" s="579"/>
      <c r="AD858" s="634" t="s">
        <v>1308</v>
      </c>
      <c r="AE858" s="634" t="s">
        <v>1309</v>
      </c>
      <c r="AF858" s="634" t="s">
        <v>1029</v>
      </c>
      <c r="AG858" s="634" t="s">
        <v>1030</v>
      </c>
      <c r="AH858" s="634" t="s">
        <v>284</v>
      </c>
      <c r="AI858" s="634" t="s">
        <v>285</v>
      </c>
      <c r="AJ858" s="634" t="s">
        <v>286</v>
      </c>
      <c r="AK858" s="634" t="s">
        <v>287</v>
      </c>
      <c r="AL858" s="634" t="s">
        <v>288</v>
      </c>
      <c r="AM858" s="634" t="s">
        <v>289</v>
      </c>
      <c r="AN858" s="634" t="s">
        <v>633</v>
      </c>
      <c r="AO858" s="634" t="s">
        <v>634</v>
      </c>
      <c r="AP858" s="634" t="s">
        <v>1192</v>
      </c>
      <c r="AQ858" s="634" t="s">
        <v>524</v>
      </c>
      <c r="AR858" s="634" t="s">
        <v>525</v>
      </c>
      <c r="AS858" s="684" t="s">
        <v>2356</v>
      </c>
    </row>
    <row r="859" spans="1:47" ht="15.75" customHeight="1" x14ac:dyDescent="0.3">
      <c r="A859" s="553"/>
      <c r="B859" s="67"/>
      <c r="C859" s="67"/>
      <c r="D859" s="67"/>
      <c r="E859" s="67"/>
      <c r="F859" s="67"/>
      <c r="G859" s="67"/>
      <c r="H859" s="67"/>
      <c r="I859" s="67"/>
      <c r="J859" s="67"/>
      <c r="K859" s="67"/>
      <c r="L859" s="67"/>
      <c r="M859" s="67"/>
      <c r="N859" s="67"/>
      <c r="O859" s="67"/>
      <c r="P859" s="67"/>
      <c r="Q859" s="67"/>
      <c r="R859" s="552"/>
      <c r="AC859" s="579"/>
      <c r="AD859" s="67"/>
      <c r="AE859" s="67"/>
      <c r="AF859" s="67"/>
      <c r="AG859" s="67"/>
      <c r="AH859" s="70" t="s">
        <v>2910</v>
      </c>
      <c r="AI859" s="67"/>
      <c r="AJ859" s="67"/>
      <c r="AK859" s="67"/>
      <c r="AL859" s="67"/>
      <c r="AM859" s="67"/>
      <c r="AN859" s="67"/>
      <c r="AO859" s="67"/>
      <c r="AP859" s="67"/>
      <c r="AQ859" s="67"/>
      <c r="AR859" s="67"/>
      <c r="AS859" s="636"/>
    </row>
    <row r="860" spans="1:47" ht="15.75" customHeight="1" x14ac:dyDescent="0.3">
      <c r="A860" s="553"/>
      <c r="B860" s="787">
        <f>A5</f>
        <v>2014</v>
      </c>
      <c r="C860" s="787"/>
      <c r="D860" s="787"/>
      <c r="E860" s="787"/>
      <c r="F860" s="787"/>
      <c r="G860" s="787"/>
      <c r="H860" s="787"/>
      <c r="I860" s="787"/>
      <c r="J860" s="787"/>
      <c r="K860" s="787"/>
      <c r="L860" s="787"/>
      <c r="M860" s="787"/>
      <c r="N860" s="787"/>
      <c r="O860" s="787"/>
      <c r="P860" s="787"/>
      <c r="Q860" s="67"/>
      <c r="R860" s="552"/>
      <c r="S860" s="67"/>
      <c r="AC860" s="642" t="s">
        <v>2907</v>
      </c>
      <c r="AD860" s="687">
        <v>1.7500000000000002E-2</v>
      </c>
      <c r="AE860" s="687">
        <v>1.7500000000000002E-2</v>
      </c>
      <c r="AF860" s="687">
        <v>1.7500000000000002E-2</v>
      </c>
      <c r="AG860" s="687">
        <v>1.7500000000000002E-2</v>
      </c>
      <c r="AH860" s="687">
        <v>1.7500000000000002E-2</v>
      </c>
      <c r="AI860" s="687">
        <v>1.7500000000000002E-2</v>
      </c>
      <c r="AJ860" s="687">
        <v>1.7500000000000002E-2</v>
      </c>
      <c r="AK860" s="687">
        <v>1.7500000000000002E-2</v>
      </c>
      <c r="AL860" s="687">
        <v>1.7500000000000002E-2</v>
      </c>
      <c r="AM860" s="687">
        <v>1.7500000000000002E-2</v>
      </c>
      <c r="AN860" s="687">
        <v>1.7500000000000002E-2</v>
      </c>
      <c r="AO860" s="687">
        <v>1.7500000000000002E-2</v>
      </c>
      <c r="AP860" s="687">
        <v>1.7500000000000002E-2</v>
      </c>
      <c r="AQ860" s="687">
        <v>1.7500000000000002E-2</v>
      </c>
      <c r="AR860" s="687">
        <v>1.7500000000000002E-2</v>
      </c>
      <c r="AS860" s="592"/>
    </row>
    <row r="861" spans="1:47" ht="15.75" customHeight="1" x14ac:dyDescent="0.3">
      <c r="A861" s="553"/>
      <c r="B861" s="786" t="s">
        <v>2919</v>
      </c>
      <c r="C861" s="786"/>
      <c r="D861" s="786"/>
      <c r="E861" s="786"/>
      <c r="F861" s="786"/>
      <c r="G861" s="786"/>
      <c r="H861" s="786"/>
      <c r="I861" s="786"/>
      <c r="J861" s="786"/>
      <c r="K861" s="786"/>
      <c r="L861" s="786"/>
      <c r="M861" s="786"/>
      <c r="N861" s="786"/>
      <c r="O861" s="786"/>
      <c r="P861" s="786"/>
      <c r="Q861" s="67"/>
      <c r="R861" s="552"/>
      <c r="S861" s="67"/>
      <c r="AC861" s="642" t="s">
        <v>2908</v>
      </c>
      <c r="AD861" s="687">
        <v>0.03</v>
      </c>
      <c r="AE861" s="687">
        <v>0.03</v>
      </c>
      <c r="AF861" s="687">
        <v>0.03</v>
      </c>
      <c r="AG861" s="687">
        <v>0.03</v>
      </c>
      <c r="AH861" s="687">
        <v>0.03</v>
      </c>
      <c r="AI861" s="687"/>
      <c r="AJ861" s="687"/>
      <c r="AK861" s="687"/>
      <c r="AL861" s="687"/>
      <c r="AM861" s="687"/>
      <c r="AN861" s="687"/>
      <c r="AO861" s="687"/>
      <c r="AP861" s="687"/>
      <c r="AQ861" s="687"/>
      <c r="AR861" s="687"/>
      <c r="AS861" s="592"/>
    </row>
    <row r="862" spans="1:47" ht="15.75" customHeight="1" x14ac:dyDescent="0.3">
      <c r="A862" s="553"/>
      <c r="B862" s="67"/>
      <c r="C862" s="67"/>
      <c r="D862" s="67"/>
      <c r="E862" s="67"/>
      <c r="F862" s="67"/>
      <c r="G862" s="67"/>
      <c r="H862" s="67"/>
      <c r="I862" s="67"/>
      <c r="J862" s="67"/>
      <c r="K862" s="67"/>
      <c r="L862" s="67"/>
      <c r="M862" s="67"/>
      <c r="N862" s="67"/>
      <c r="O862" s="67"/>
      <c r="P862" s="67"/>
      <c r="Q862" s="67"/>
      <c r="R862" s="552"/>
      <c r="S862" s="67"/>
      <c r="AC862" s="642" t="s">
        <v>2909</v>
      </c>
      <c r="AD862" s="687">
        <v>3.0000000000000001E-3</v>
      </c>
      <c r="AE862" s="687"/>
      <c r="AF862" s="687"/>
      <c r="AG862" s="687"/>
      <c r="AH862" s="687"/>
      <c r="AI862" s="687"/>
      <c r="AJ862" s="687"/>
      <c r="AK862" s="687"/>
      <c r="AL862" s="687"/>
      <c r="AM862" s="687"/>
      <c r="AN862" s="687"/>
      <c r="AO862" s="687"/>
      <c r="AP862" s="687"/>
      <c r="AQ862" s="687"/>
      <c r="AR862" s="687"/>
      <c r="AS862" s="592"/>
    </row>
    <row r="863" spans="1:47" ht="15.75" customHeight="1" thickBot="1" x14ac:dyDescent="0.35">
      <c r="A863" s="553" t="s">
        <v>845</v>
      </c>
      <c r="B863" s="634" t="s">
        <v>1308</v>
      </c>
      <c r="C863" s="634" t="s">
        <v>1309</v>
      </c>
      <c r="D863" s="634" t="s">
        <v>1029</v>
      </c>
      <c r="E863" s="634" t="s">
        <v>1030</v>
      </c>
      <c r="F863" s="634" t="s">
        <v>284</v>
      </c>
      <c r="G863" s="634" t="s">
        <v>284</v>
      </c>
      <c r="H863" s="634" t="s">
        <v>285</v>
      </c>
      <c r="I863" s="634" t="s">
        <v>286</v>
      </c>
      <c r="J863" s="634" t="s">
        <v>287</v>
      </c>
      <c r="K863" s="634" t="s">
        <v>288</v>
      </c>
      <c r="L863" s="634" t="s">
        <v>289</v>
      </c>
      <c r="M863" s="634" t="s">
        <v>633</v>
      </c>
      <c r="N863" s="634" t="s">
        <v>634</v>
      </c>
      <c r="O863" s="634" t="s">
        <v>1192</v>
      </c>
      <c r="P863" s="634" t="s">
        <v>524</v>
      </c>
      <c r="Q863" s="634" t="s">
        <v>525</v>
      </c>
      <c r="R863" s="684" t="s">
        <v>2356</v>
      </c>
      <c r="S863" s="70"/>
      <c r="AC863" s="642" t="s">
        <v>2760</v>
      </c>
      <c r="AD863" s="687"/>
      <c r="AE863" s="687"/>
      <c r="AF863" s="687"/>
      <c r="AG863" s="687"/>
      <c r="AH863" s="687"/>
      <c r="AI863" s="687">
        <v>2.5000000000000001E-2</v>
      </c>
      <c r="AJ863" s="687"/>
      <c r="AK863" s="687"/>
      <c r="AL863" s="687"/>
      <c r="AM863" s="687"/>
      <c r="AN863" s="687"/>
      <c r="AO863" s="687"/>
      <c r="AP863" s="687"/>
      <c r="AQ863" s="687"/>
      <c r="AR863" s="687"/>
      <c r="AS863" s="592"/>
    </row>
    <row r="864" spans="1:47" ht="15.75" customHeight="1" x14ac:dyDescent="0.3">
      <c r="A864" s="553"/>
      <c r="B864" s="67"/>
      <c r="C864" s="67"/>
      <c r="D864" s="67"/>
      <c r="E864" s="67"/>
      <c r="F864" s="70" t="s">
        <v>1193</v>
      </c>
      <c r="G864" s="70" t="s">
        <v>1194</v>
      </c>
      <c r="H864" s="67"/>
      <c r="I864" s="67"/>
      <c r="J864" s="67"/>
      <c r="K864" s="67"/>
      <c r="L864" s="67"/>
      <c r="M864" s="67"/>
      <c r="N864" s="67"/>
      <c r="O864" s="67"/>
      <c r="P864" s="67"/>
      <c r="Q864" s="67"/>
      <c r="R864" s="592" t="s">
        <v>1236</v>
      </c>
      <c r="S864" s="70"/>
      <c r="AC864" s="642" t="s">
        <v>1114</v>
      </c>
      <c r="AD864" s="687"/>
      <c r="AE864" s="687"/>
      <c r="AF864" s="687"/>
      <c r="AG864" s="687"/>
      <c r="AH864" s="687"/>
      <c r="AI864" s="687"/>
      <c r="AJ864" s="687"/>
      <c r="AK864" s="687"/>
      <c r="AL864" s="687"/>
      <c r="AM864" s="687"/>
      <c r="AN864" s="687"/>
      <c r="AO864" s="687"/>
      <c r="AP864" s="687"/>
      <c r="AQ864" s="687"/>
      <c r="AR864" s="687"/>
      <c r="AS864" s="592"/>
    </row>
    <row r="865" spans="1:45" ht="15.75" customHeight="1" x14ac:dyDescent="0.3">
      <c r="A865" s="553" t="s">
        <v>2917</v>
      </c>
      <c r="B865" s="677">
        <v>957</v>
      </c>
      <c r="C865" s="677">
        <v>122</v>
      </c>
      <c r="D865" s="677">
        <v>128</v>
      </c>
      <c r="E865" s="677">
        <v>219</v>
      </c>
      <c r="F865" s="677"/>
      <c r="G865" s="677"/>
      <c r="H865" s="677">
        <v>97</v>
      </c>
      <c r="I865" s="677">
        <v>160</v>
      </c>
      <c r="J865" s="677">
        <v>250</v>
      </c>
      <c r="K865" s="677">
        <v>260</v>
      </c>
      <c r="L865" s="677">
        <v>100</v>
      </c>
      <c r="M865" s="677">
        <v>118</v>
      </c>
      <c r="N865" s="677">
        <v>250</v>
      </c>
      <c r="O865" s="677">
        <v>190</v>
      </c>
      <c r="P865" s="677">
        <v>340</v>
      </c>
      <c r="Q865" s="677">
        <v>450</v>
      </c>
      <c r="R865" s="592" t="s">
        <v>335</v>
      </c>
      <c r="S865" s="70"/>
      <c r="AC865" s="642" t="s">
        <v>2356</v>
      </c>
      <c r="AD865" s="217">
        <f>SUM(AD860:AD864)</f>
        <v>5.0500000000000003E-2</v>
      </c>
      <c r="AE865" s="217">
        <f>SUM(AE860:AE864)</f>
        <v>4.7500000000000001E-2</v>
      </c>
      <c r="AF865" s="217">
        <f>SUM(AF860:AF864)</f>
        <v>4.7500000000000001E-2</v>
      </c>
      <c r="AG865" s="217">
        <f>SUM(AG860:AG864)</f>
        <v>4.7500000000000001E-2</v>
      </c>
      <c r="AH865" s="217">
        <f>SUM(AH860:AH864)</f>
        <v>4.7500000000000001E-2</v>
      </c>
      <c r="AI865" s="217">
        <f t="shared" ref="AI865:AR865" si="152">SUM(AI860:AI864)</f>
        <v>4.2500000000000003E-2</v>
      </c>
      <c r="AJ865" s="217">
        <f t="shared" si="152"/>
        <v>1.7500000000000002E-2</v>
      </c>
      <c r="AK865" s="217">
        <f t="shared" si="152"/>
        <v>1.7500000000000002E-2</v>
      </c>
      <c r="AL865" s="217">
        <f t="shared" si="152"/>
        <v>1.7500000000000002E-2</v>
      </c>
      <c r="AM865" s="217">
        <f t="shared" si="152"/>
        <v>1.7500000000000002E-2</v>
      </c>
      <c r="AN865" s="217">
        <f t="shared" si="152"/>
        <v>1.7500000000000002E-2</v>
      </c>
      <c r="AO865" s="217">
        <f t="shared" si="152"/>
        <v>1.7500000000000002E-2</v>
      </c>
      <c r="AP865" s="217">
        <f t="shared" si="152"/>
        <v>1.7500000000000002E-2</v>
      </c>
      <c r="AQ865" s="217">
        <f t="shared" si="152"/>
        <v>1.7500000000000002E-2</v>
      </c>
      <c r="AR865" s="217">
        <f t="shared" si="152"/>
        <v>1.7500000000000002E-2</v>
      </c>
      <c r="AS865" s="592"/>
    </row>
    <row r="866" spans="1:45" ht="15.75" customHeight="1" x14ac:dyDescent="0.3">
      <c r="A866" s="553"/>
      <c r="B866" s="70" t="s">
        <v>1353</v>
      </c>
      <c r="C866" s="70" t="s">
        <v>1353</v>
      </c>
      <c r="D866" s="70" t="s">
        <v>1353</v>
      </c>
      <c r="E866" s="70" t="s">
        <v>1353</v>
      </c>
      <c r="F866" s="70" t="s">
        <v>1353</v>
      </c>
      <c r="G866" s="70" t="s">
        <v>1353</v>
      </c>
      <c r="H866" s="70" t="s">
        <v>1353</v>
      </c>
      <c r="I866" s="70" t="s">
        <v>1353</v>
      </c>
      <c r="J866" s="70" t="s">
        <v>1353</v>
      </c>
      <c r="K866" s="70" t="s">
        <v>1353</v>
      </c>
      <c r="L866" s="70" t="s">
        <v>1353</v>
      </c>
      <c r="M866" s="70" t="s">
        <v>1353</v>
      </c>
      <c r="N866" s="70" t="s">
        <v>1353</v>
      </c>
      <c r="O866" s="70" t="s">
        <v>1353</v>
      </c>
      <c r="P866" s="70" t="s">
        <v>1353</v>
      </c>
      <c r="Q866" s="70" t="s">
        <v>1353</v>
      </c>
      <c r="R866" s="592" t="s">
        <v>251</v>
      </c>
      <c r="S866" s="70"/>
      <c r="AC866" s="553" t="s">
        <v>1353</v>
      </c>
      <c r="AD866" s="70" t="s">
        <v>1353</v>
      </c>
      <c r="AE866" s="70" t="s">
        <v>1353</v>
      </c>
      <c r="AF866" s="70" t="s">
        <v>1353</v>
      </c>
      <c r="AG866" s="70" t="s">
        <v>1353</v>
      </c>
      <c r="AH866" s="70" t="s">
        <v>1353</v>
      </c>
      <c r="AI866" s="70" t="s">
        <v>1353</v>
      </c>
      <c r="AJ866" s="70" t="s">
        <v>1353</v>
      </c>
      <c r="AK866" s="70" t="s">
        <v>1353</v>
      </c>
      <c r="AL866" s="70" t="s">
        <v>1353</v>
      </c>
      <c r="AM866" s="70" t="s">
        <v>1353</v>
      </c>
      <c r="AN866" s="70" t="s">
        <v>1353</v>
      </c>
      <c r="AO866" s="70" t="s">
        <v>1353</v>
      </c>
      <c r="AP866" s="70" t="s">
        <v>1353</v>
      </c>
      <c r="AQ866" s="70" t="s">
        <v>1353</v>
      </c>
      <c r="AR866" s="70" t="s">
        <v>1353</v>
      </c>
      <c r="AS866" s="592" t="s">
        <v>1353</v>
      </c>
    </row>
    <row r="867" spans="1:45" ht="15.75" customHeight="1" x14ac:dyDescent="0.3">
      <c r="A867" s="139" t="s">
        <v>2843</v>
      </c>
      <c r="B867" s="67">
        <f t="shared" ref="B867:B878" si="153">ROUND((B810*$B$865)/1000,0)</f>
        <v>79376</v>
      </c>
      <c r="C867" s="67">
        <f t="shared" ref="C867:C878" si="154">ROUND((C810*$C$865)/1000,0)</f>
        <v>10107</v>
      </c>
      <c r="D867" s="67">
        <f t="shared" ref="D867:D878" si="155">ROUND((D810*$D$865)/1000,0)</f>
        <v>10592</v>
      </c>
      <c r="E867" s="67">
        <f t="shared" ref="E867:E878" si="156">ROUND((E810*$E$865)/1000,0)</f>
        <v>17825</v>
      </c>
      <c r="F867" s="67">
        <f t="shared" ref="F867:F878" si="157">(F810*((T810-1526.8)/0.7702))/1000</f>
        <v>11613.280057128013</v>
      </c>
      <c r="G867" s="67">
        <f t="shared" ref="G867:G878" si="158">(G810*((T810-1591.4)/0.6635))/1000</f>
        <v>-4029.6694800301361</v>
      </c>
      <c r="H867" s="67">
        <f t="shared" ref="H867:H878" si="159">ROUND((H810*$H$865)/1000,0)</f>
        <v>3206</v>
      </c>
      <c r="I867" s="67">
        <f t="shared" ref="I867:I878" si="160">ROUND((I810*$I$865)/1000,0)</f>
        <v>2497</v>
      </c>
      <c r="J867" s="67">
        <f t="shared" ref="J867:J878" si="161">ROUND((J810*$J$865)/1000,0)</f>
        <v>3899</v>
      </c>
      <c r="K867" s="67">
        <f t="shared" ref="K867:K878" si="162">ROUND((K810*$K$865)/1000,0)</f>
        <v>3912</v>
      </c>
      <c r="L867" s="67">
        <f t="shared" ref="L867:L878" si="163">ROUND((L810*$L$865)/1000,0)</f>
        <v>1034</v>
      </c>
      <c r="M867" s="67">
        <f t="shared" ref="M867:M878" si="164">ROUND((M810*$M$865)/1000,0)</f>
        <v>1217</v>
      </c>
      <c r="N867" s="67">
        <f t="shared" ref="N867:N878" si="165">ROUND((N810*$N$865)/1000,0)</f>
        <v>2576</v>
      </c>
      <c r="O867" s="67">
        <f t="shared" ref="O867:O878" si="166">ROUND((O810*$O$865)/1000,0)</f>
        <v>856</v>
      </c>
      <c r="P867" s="67">
        <f t="shared" ref="P867:P878" si="167">ROUND((P810*$P$865)/1000,0)</f>
        <v>71</v>
      </c>
      <c r="Q867" s="67">
        <f t="shared" ref="Q867:Q878" si="168">ROUND((Q810*$Q$865)/1000,0)</f>
        <v>2027</v>
      </c>
      <c r="R867" s="638">
        <f>(SUM(B867:Q867))</f>
        <v>146778.61057709786</v>
      </c>
      <c r="S867" s="73"/>
      <c r="AC867" s="642" t="s">
        <v>2843</v>
      </c>
      <c r="AD867" s="67">
        <f>ROUND(B867*$AD$865, 0)</f>
        <v>4008</v>
      </c>
      <c r="AE867" s="67">
        <f>ROUND(C867*$AE$865,0)</f>
        <v>480</v>
      </c>
      <c r="AF867" s="67">
        <f>ROUND(D867*$AF$865,0)</f>
        <v>503</v>
      </c>
      <c r="AG867" s="67">
        <f>ROUND(E867*$AG$865,0)</f>
        <v>847</v>
      </c>
      <c r="AH867" s="67">
        <f>ROUND(F867*$AH$865,0)</f>
        <v>552</v>
      </c>
      <c r="AI867" s="67">
        <f>ROUND(H867*$AI$865,0)</f>
        <v>136</v>
      </c>
      <c r="AJ867" s="67">
        <f>ROUND(I867*$AJ$865,0)</f>
        <v>44</v>
      </c>
      <c r="AK867" s="67">
        <f>ROUND(J867*$AK$865,0)</f>
        <v>68</v>
      </c>
      <c r="AL867" s="67">
        <f>ROUND(K867*$AL$865,0)</f>
        <v>68</v>
      </c>
      <c r="AM867" s="67">
        <f>ROUND(L867*$AM$865,0)</f>
        <v>18</v>
      </c>
      <c r="AN867" s="67">
        <f>ROUND(M867*$AN$865,0)</f>
        <v>21</v>
      </c>
      <c r="AO867" s="67">
        <f>ROUND(N867*$AO$865,0)</f>
        <v>45</v>
      </c>
      <c r="AP867" s="67">
        <f>ROUND(O867*$AP$865,0)</f>
        <v>15</v>
      </c>
      <c r="AQ867" s="67">
        <f>ROUND(P867*$AQ$865,0)</f>
        <v>1</v>
      </c>
      <c r="AR867" s="67">
        <f>ROUND(Q867*$AR$865,0)</f>
        <v>35</v>
      </c>
      <c r="AS867" s="636">
        <f>SUM(AD867:AR867)</f>
        <v>6841</v>
      </c>
    </row>
    <row r="868" spans="1:45" ht="15.75" customHeight="1" x14ac:dyDescent="0.3">
      <c r="A868" s="139" t="s">
        <v>2091</v>
      </c>
      <c r="B868" s="67">
        <f t="shared" si="153"/>
        <v>123890</v>
      </c>
      <c r="C868" s="67">
        <f t="shared" si="154"/>
        <v>15776</v>
      </c>
      <c r="D868" s="67">
        <f t="shared" si="155"/>
        <v>16503</v>
      </c>
      <c r="E868" s="67">
        <f t="shared" si="156"/>
        <v>27758</v>
      </c>
      <c r="F868" s="67">
        <f t="shared" si="157"/>
        <v>11352.783692547384</v>
      </c>
      <c r="G868" s="67">
        <f t="shared" si="158"/>
        <v>0</v>
      </c>
      <c r="H868" s="67">
        <f t="shared" si="159"/>
        <v>4890</v>
      </c>
      <c r="I868" s="67">
        <f t="shared" si="160"/>
        <v>2311</v>
      </c>
      <c r="J868" s="67">
        <f t="shared" si="161"/>
        <v>3548</v>
      </c>
      <c r="K868" s="67">
        <f t="shared" si="162"/>
        <v>3510</v>
      </c>
      <c r="L868" s="67">
        <f t="shared" si="163"/>
        <v>1114</v>
      </c>
      <c r="M868" s="67">
        <f t="shared" si="164"/>
        <v>1312</v>
      </c>
      <c r="N868" s="67">
        <f t="shared" si="165"/>
        <v>2759</v>
      </c>
      <c r="O868" s="67">
        <f t="shared" si="166"/>
        <v>492</v>
      </c>
      <c r="P868" s="67">
        <f t="shared" si="167"/>
        <v>40</v>
      </c>
      <c r="Q868" s="67">
        <f t="shared" si="168"/>
        <v>1165</v>
      </c>
      <c r="R868" s="638">
        <f t="shared" ref="R868:R878" si="169">(SUM(B868:Q868))</f>
        <v>216420.78369254738</v>
      </c>
      <c r="S868" s="73"/>
      <c r="AC868" s="642" t="s">
        <v>2091</v>
      </c>
      <c r="AD868" s="67">
        <f t="shared" ref="AD868:AD878" si="170">ROUND(B868*$AD$865, 0)</f>
        <v>6256</v>
      </c>
      <c r="AE868" s="67">
        <f t="shared" ref="AE868:AE878" si="171">ROUND(C868*$AE$865,0)</f>
        <v>749</v>
      </c>
      <c r="AF868" s="67">
        <f t="shared" ref="AF868:AF878" si="172">ROUND(D868*$AF$865,0)</f>
        <v>784</v>
      </c>
      <c r="AG868" s="67">
        <f t="shared" ref="AG868:AG878" si="173">ROUND(E868*$AG$865,0)</f>
        <v>1319</v>
      </c>
      <c r="AH868" s="67">
        <f t="shared" ref="AH868:AH878" si="174">ROUND(F868*$AH$865,0)</f>
        <v>539</v>
      </c>
      <c r="AI868" s="67">
        <f t="shared" ref="AI868:AI878" si="175">ROUND(H868*$AI$865,0)</f>
        <v>208</v>
      </c>
      <c r="AJ868" s="67">
        <f t="shared" ref="AJ868:AJ878" si="176">ROUND(I868*$AJ$865,0)</f>
        <v>40</v>
      </c>
      <c r="AK868" s="67">
        <f t="shared" ref="AK868:AK878" si="177">ROUND(J868*$AK$865,0)</f>
        <v>62</v>
      </c>
      <c r="AL868" s="67">
        <f t="shared" ref="AL868:AL878" si="178">ROUND(K868*$AL$865,0)</f>
        <v>61</v>
      </c>
      <c r="AM868" s="67">
        <f t="shared" ref="AM868:AM878" si="179">ROUND(L868*$AM$865,0)</f>
        <v>19</v>
      </c>
      <c r="AN868" s="67">
        <f t="shared" ref="AN868:AN878" si="180">ROUND(M868*$AN$865,0)</f>
        <v>23</v>
      </c>
      <c r="AO868" s="67">
        <f t="shared" ref="AO868:AO878" si="181">ROUND(N868*$AO$865,0)</f>
        <v>48</v>
      </c>
      <c r="AP868" s="67">
        <f t="shared" ref="AP868:AP878" si="182">ROUND(O868*$AP$865,0)</f>
        <v>9</v>
      </c>
      <c r="AQ868" s="67">
        <f t="shared" ref="AQ868:AQ878" si="183">ROUND(P868*$AQ$865,0)</f>
        <v>1</v>
      </c>
      <c r="AR868" s="67">
        <f t="shared" ref="AR868:AR878" si="184">ROUND(Q868*$AR$865,0)</f>
        <v>20</v>
      </c>
      <c r="AS868" s="636">
        <f t="shared" ref="AS868:AS878" si="185">SUM(AD868:AR868)</f>
        <v>10138</v>
      </c>
    </row>
    <row r="869" spans="1:45" ht="15.75" customHeight="1" x14ac:dyDescent="0.3">
      <c r="A869" s="139" t="s">
        <v>2234</v>
      </c>
      <c r="B869" s="67">
        <f t="shared" si="153"/>
        <v>167884</v>
      </c>
      <c r="C869" s="67">
        <f t="shared" si="154"/>
        <v>21369</v>
      </c>
      <c r="D869" s="67">
        <f t="shared" si="155"/>
        <v>22356</v>
      </c>
      <c r="E869" s="67">
        <f t="shared" si="156"/>
        <v>37379</v>
      </c>
      <c r="F869" s="67">
        <f t="shared" si="157"/>
        <v>10710.788375715196</v>
      </c>
      <c r="G869" s="67">
        <f t="shared" si="158"/>
        <v>0</v>
      </c>
      <c r="H869" s="67">
        <f t="shared" si="159"/>
        <v>8464</v>
      </c>
      <c r="I869" s="67">
        <f t="shared" si="160"/>
        <v>5609</v>
      </c>
      <c r="J869" s="67">
        <f t="shared" si="161"/>
        <v>6488</v>
      </c>
      <c r="K869" s="67">
        <f t="shared" si="162"/>
        <v>5582</v>
      </c>
      <c r="L869" s="67">
        <f t="shared" si="163"/>
        <v>1990</v>
      </c>
      <c r="M869" s="67">
        <f t="shared" si="164"/>
        <v>2345</v>
      </c>
      <c r="N869" s="67">
        <f t="shared" si="165"/>
        <v>4826</v>
      </c>
      <c r="O869" s="67">
        <f t="shared" si="166"/>
        <v>697</v>
      </c>
      <c r="P869" s="67">
        <f t="shared" si="167"/>
        <v>1063</v>
      </c>
      <c r="Q869" s="67">
        <f t="shared" si="168"/>
        <v>1648</v>
      </c>
      <c r="R869" s="638">
        <f t="shared" si="169"/>
        <v>298410.7883757152</v>
      </c>
      <c r="S869" s="73"/>
      <c r="AC869" s="642" t="s">
        <v>2234</v>
      </c>
      <c r="AD869" s="67">
        <f t="shared" si="170"/>
        <v>8478</v>
      </c>
      <c r="AE869" s="67">
        <f t="shared" si="171"/>
        <v>1015</v>
      </c>
      <c r="AF869" s="67">
        <f t="shared" si="172"/>
        <v>1062</v>
      </c>
      <c r="AG869" s="67">
        <f t="shared" si="173"/>
        <v>1776</v>
      </c>
      <c r="AH869" s="67">
        <f t="shared" si="174"/>
        <v>509</v>
      </c>
      <c r="AI869" s="67">
        <f t="shared" si="175"/>
        <v>360</v>
      </c>
      <c r="AJ869" s="67">
        <f t="shared" si="176"/>
        <v>98</v>
      </c>
      <c r="AK869" s="67">
        <f t="shared" si="177"/>
        <v>114</v>
      </c>
      <c r="AL869" s="67">
        <f t="shared" si="178"/>
        <v>98</v>
      </c>
      <c r="AM869" s="67">
        <f t="shared" si="179"/>
        <v>35</v>
      </c>
      <c r="AN869" s="67">
        <f t="shared" si="180"/>
        <v>41</v>
      </c>
      <c r="AO869" s="67">
        <f t="shared" si="181"/>
        <v>84</v>
      </c>
      <c r="AP869" s="67">
        <f t="shared" si="182"/>
        <v>12</v>
      </c>
      <c r="AQ869" s="67">
        <f t="shared" si="183"/>
        <v>19</v>
      </c>
      <c r="AR869" s="67">
        <f t="shared" si="184"/>
        <v>29</v>
      </c>
      <c r="AS869" s="636">
        <f t="shared" si="185"/>
        <v>13730</v>
      </c>
    </row>
    <row r="870" spans="1:45" ht="15.75" customHeight="1" x14ac:dyDescent="0.3">
      <c r="A870" s="139" t="s">
        <v>2235</v>
      </c>
      <c r="B870" s="67">
        <f t="shared" si="153"/>
        <v>170159</v>
      </c>
      <c r="C870" s="67">
        <f t="shared" si="154"/>
        <v>21647</v>
      </c>
      <c r="D870" s="67">
        <f t="shared" si="155"/>
        <v>22667</v>
      </c>
      <c r="E870" s="67">
        <f t="shared" si="156"/>
        <v>37440</v>
      </c>
      <c r="F870" s="67">
        <f t="shared" si="157"/>
        <v>2190.0816021812543</v>
      </c>
      <c r="G870" s="67">
        <f t="shared" si="158"/>
        <v>-57.845802562170356</v>
      </c>
      <c r="H870" s="67">
        <f t="shared" si="159"/>
        <v>11445</v>
      </c>
      <c r="I870" s="67">
        <f t="shared" si="160"/>
        <v>6510</v>
      </c>
      <c r="J870" s="67">
        <f t="shared" si="161"/>
        <v>8663</v>
      </c>
      <c r="K870" s="67">
        <f t="shared" si="162"/>
        <v>6548</v>
      </c>
      <c r="L870" s="67">
        <f t="shared" si="163"/>
        <v>2209</v>
      </c>
      <c r="M870" s="67">
        <f t="shared" si="164"/>
        <v>2603</v>
      </c>
      <c r="N870" s="67">
        <f t="shared" si="165"/>
        <v>5108</v>
      </c>
      <c r="O870" s="67">
        <f t="shared" si="166"/>
        <v>823</v>
      </c>
      <c r="P870" s="67">
        <f t="shared" si="167"/>
        <v>1704</v>
      </c>
      <c r="Q870" s="67">
        <f t="shared" si="168"/>
        <v>1946</v>
      </c>
      <c r="R870" s="638">
        <f t="shared" si="169"/>
        <v>301604.23579961911</v>
      </c>
      <c r="S870" s="73"/>
      <c r="AC870" s="642" t="s">
        <v>2235</v>
      </c>
      <c r="AD870" s="67">
        <f t="shared" si="170"/>
        <v>8593</v>
      </c>
      <c r="AE870" s="67">
        <f t="shared" si="171"/>
        <v>1028</v>
      </c>
      <c r="AF870" s="67">
        <f t="shared" si="172"/>
        <v>1077</v>
      </c>
      <c r="AG870" s="67">
        <f t="shared" si="173"/>
        <v>1778</v>
      </c>
      <c r="AH870" s="67">
        <f t="shared" si="174"/>
        <v>104</v>
      </c>
      <c r="AI870" s="67">
        <f t="shared" si="175"/>
        <v>486</v>
      </c>
      <c r="AJ870" s="67">
        <f t="shared" si="176"/>
        <v>114</v>
      </c>
      <c r="AK870" s="67">
        <f t="shared" si="177"/>
        <v>152</v>
      </c>
      <c r="AL870" s="67">
        <f t="shared" si="178"/>
        <v>115</v>
      </c>
      <c r="AM870" s="67">
        <f t="shared" si="179"/>
        <v>39</v>
      </c>
      <c r="AN870" s="67">
        <f t="shared" si="180"/>
        <v>46</v>
      </c>
      <c r="AO870" s="67">
        <f t="shared" si="181"/>
        <v>89</v>
      </c>
      <c r="AP870" s="67">
        <f t="shared" si="182"/>
        <v>14</v>
      </c>
      <c r="AQ870" s="67">
        <f t="shared" si="183"/>
        <v>30</v>
      </c>
      <c r="AR870" s="67">
        <f t="shared" si="184"/>
        <v>34</v>
      </c>
      <c r="AS870" s="636">
        <f t="shared" si="185"/>
        <v>13699</v>
      </c>
    </row>
    <row r="871" spans="1:45" ht="15.75" customHeight="1" x14ac:dyDescent="0.3">
      <c r="A871" s="139" t="s">
        <v>2236</v>
      </c>
      <c r="B871" s="67">
        <f t="shared" si="153"/>
        <v>175605</v>
      </c>
      <c r="C871" s="67">
        <f t="shared" si="154"/>
        <v>22335</v>
      </c>
      <c r="D871" s="67">
        <f t="shared" si="155"/>
        <v>23382</v>
      </c>
      <c r="E871" s="67">
        <f t="shared" si="156"/>
        <v>38281</v>
      </c>
      <c r="F871" s="67">
        <f t="shared" si="157"/>
        <v>335.72968060244085</v>
      </c>
      <c r="G871" s="67">
        <f t="shared" si="158"/>
        <v>-1576.5355840241118</v>
      </c>
      <c r="H871" s="67">
        <f t="shared" si="159"/>
        <v>12866</v>
      </c>
      <c r="I871" s="67">
        <f t="shared" si="160"/>
        <v>6553</v>
      </c>
      <c r="J871" s="67">
        <f t="shared" si="161"/>
        <v>8845</v>
      </c>
      <c r="K871" s="67">
        <f t="shared" si="162"/>
        <v>6282</v>
      </c>
      <c r="L871" s="67">
        <f t="shared" si="163"/>
        <v>2281</v>
      </c>
      <c r="M871" s="67">
        <f t="shared" si="164"/>
        <v>2687</v>
      </c>
      <c r="N871" s="67">
        <f t="shared" si="165"/>
        <v>5363</v>
      </c>
      <c r="O871" s="67">
        <f t="shared" si="166"/>
        <v>805</v>
      </c>
      <c r="P871" s="67">
        <f t="shared" si="167"/>
        <v>1972</v>
      </c>
      <c r="Q871" s="67">
        <f t="shared" si="168"/>
        <v>1903</v>
      </c>
      <c r="R871" s="638">
        <f t="shared" si="169"/>
        <v>307919.19409657829</v>
      </c>
      <c r="S871" s="73"/>
      <c r="AC871" s="642" t="s">
        <v>2236</v>
      </c>
      <c r="AD871" s="67">
        <f t="shared" si="170"/>
        <v>8868</v>
      </c>
      <c r="AE871" s="67">
        <f t="shared" si="171"/>
        <v>1061</v>
      </c>
      <c r="AF871" s="67">
        <f t="shared" si="172"/>
        <v>1111</v>
      </c>
      <c r="AG871" s="67">
        <f t="shared" si="173"/>
        <v>1818</v>
      </c>
      <c r="AH871" s="67">
        <f t="shared" si="174"/>
        <v>16</v>
      </c>
      <c r="AI871" s="67">
        <f t="shared" si="175"/>
        <v>547</v>
      </c>
      <c r="AJ871" s="67">
        <f t="shared" si="176"/>
        <v>115</v>
      </c>
      <c r="AK871" s="67">
        <f t="shared" si="177"/>
        <v>155</v>
      </c>
      <c r="AL871" s="67">
        <f t="shared" si="178"/>
        <v>110</v>
      </c>
      <c r="AM871" s="67">
        <f t="shared" si="179"/>
        <v>40</v>
      </c>
      <c r="AN871" s="67">
        <f t="shared" si="180"/>
        <v>47</v>
      </c>
      <c r="AO871" s="67">
        <f t="shared" si="181"/>
        <v>94</v>
      </c>
      <c r="AP871" s="67">
        <f t="shared" si="182"/>
        <v>14</v>
      </c>
      <c r="AQ871" s="67">
        <f t="shared" si="183"/>
        <v>35</v>
      </c>
      <c r="AR871" s="67">
        <f t="shared" si="184"/>
        <v>33</v>
      </c>
      <c r="AS871" s="636">
        <f t="shared" si="185"/>
        <v>14064</v>
      </c>
    </row>
    <row r="872" spans="1:45" ht="15.75" customHeight="1" x14ac:dyDescent="0.3">
      <c r="A872" s="139" t="s">
        <v>2237</v>
      </c>
      <c r="B872" s="67">
        <f t="shared" si="153"/>
        <v>129518</v>
      </c>
      <c r="C872" s="67">
        <f t="shared" si="154"/>
        <v>16460</v>
      </c>
      <c r="D872" s="67">
        <f t="shared" si="155"/>
        <v>17219</v>
      </c>
      <c r="E872" s="67">
        <f t="shared" si="156"/>
        <v>27716</v>
      </c>
      <c r="F872" s="67">
        <f t="shared" si="157"/>
        <v>0</v>
      </c>
      <c r="G872" s="67">
        <f t="shared" si="158"/>
        <v>-9210.6252298417494</v>
      </c>
      <c r="H872" s="67">
        <f t="shared" si="159"/>
        <v>14877</v>
      </c>
      <c r="I872" s="67">
        <f t="shared" si="160"/>
        <v>7097</v>
      </c>
      <c r="J872" s="67">
        <f t="shared" si="161"/>
        <v>7023</v>
      </c>
      <c r="K872" s="67">
        <f t="shared" si="162"/>
        <v>5306</v>
      </c>
      <c r="L872" s="67">
        <f t="shared" si="163"/>
        <v>1849</v>
      </c>
      <c r="M872" s="67">
        <f t="shared" si="164"/>
        <v>2176</v>
      </c>
      <c r="N872" s="67">
        <f t="shared" si="165"/>
        <v>4115</v>
      </c>
      <c r="O872" s="67">
        <f t="shared" si="166"/>
        <v>847</v>
      </c>
      <c r="P872" s="67">
        <f t="shared" si="167"/>
        <v>2032</v>
      </c>
      <c r="Q872" s="67">
        <f t="shared" si="168"/>
        <v>2002</v>
      </c>
      <c r="R872" s="638">
        <f t="shared" si="169"/>
        <v>229026.37477015826</v>
      </c>
      <c r="S872" s="73"/>
      <c r="AC872" s="642" t="s">
        <v>2237</v>
      </c>
      <c r="AD872" s="67">
        <f t="shared" si="170"/>
        <v>6541</v>
      </c>
      <c r="AE872" s="67">
        <f t="shared" si="171"/>
        <v>782</v>
      </c>
      <c r="AF872" s="67">
        <f t="shared" si="172"/>
        <v>818</v>
      </c>
      <c r="AG872" s="67">
        <f t="shared" si="173"/>
        <v>1317</v>
      </c>
      <c r="AH872" s="67">
        <f t="shared" si="174"/>
        <v>0</v>
      </c>
      <c r="AI872" s="67">
        <f t="shared" si="175"/>
        <v>632</v>
      </c>
      <c r="AJ872" s="67">
        <f t="shared" si="176"/>
        <v>124</v>
      </c>
      <c r="AK872" s="67">
        <f t="shared" si="177"/>
        <v>123</v>
      </c>
      <c r="AL872" s="67">
        <f t="shared" si="178"/>
        <v>93</v>
      </c>
      <c r="AM872" s="67">
        <f t="shared" si="179"/>
        <v>32</v>
      </c>
      <c r="AN872" s="67">
        <f t="shared" si="180"/>
        <v>38</v>
      </c>
      <c r="AO872" s="67">
        <f t="shared" si="181"/>
        <v>72</v>
      </c>
      <c r="AP872" s="67">
        <f t="shared" si="182"/>
        <v>15</v>
      </c>
      <c r="AQ872" s="67">
        <f t="shared" si="183"/>
        <v>36</v>
      </c>
      <c r="AR872" s="67">
        <f t="shared" si="184"/>
        <v>35</v>
      </c>
      <c r="AS872" s="636">
        <f t="shared" si="185"/>
        <v>10658</v>
      </c>
    </row>
    <row r="873" spans="1:45" ht="15.75" customHeight="1" x14ac:dyDescent="0.3">
      <c r="A873" s="139" t="s">
        <v>1504</v>
      </c>
      <c r="B873" s="67">
        <f t="shared" si="153"/>
        <v>91195</v>
      </c>
      <c r="C873" s="67">
        <f t="shared" si="154"/>
        <v>11575</v>
      </c>
      <c r="D873" s="67">
        <f t="shared" si="155"/>
        <v>12094</v>
      </c>
      <c r="E873" s="67">
        <f t="shared" si="156"/>
        <v>18811</v>
      </c>
      <c r="F873" s="67">
        <f t="shared" si="157"/>
        <v>0</v>
      </c>
      <c r="G873" s="67">
        <f t="shared" si="158"/>
        <v>-11320.02598342125</v>
      </c>
      <c r="H873" s="67">
        <f t="shared" si="159"/>
        <v>13124</v>
      </c>
      <c r="I873" s="67">
        <f t="shared" si="160"/>
        <v>8049</v>
      </c>
      <c r="J873" s="67">
        <f t="shared" si="161"/>
        <v>7729</v>
      </c>
      <c r="K873" s="67">
        <f t="shared" si="162"/>
        <v>5800</v>
      </c>
      <c r="L873" s="67">
        <f t="shared" si="163"/>
        <v>1760</v>
      </c>
      <c r="M873" s="67">
        <f t="shared" si="164"/>
        <v>2072</v>
      </c>
      <c r="N873" s="67">
        <f t="shared" si="165"/>
        <v>3739</v>
      </c>
      <c r="O873" s="67">
        <f t="shared" si="166"/>
        <v>853</v>
      </c>
      <c r="P873" s="67">
        <f t="shared" si="167"/>
        <v>2144</v>
      </c>
      <c r="Q873" s="67">
        <f t="shared" si="168"/>
        <v>1995</v>
      </c>
      <c r="R873" s="638">
        <f t="shared" si="169"/>
        <v>169619.97401657875</v>
      </c>
      <c r="S873" s="73"/>
      <c r="AC873" s="642" t="s">
        <v>1504</v>
      </c>
      <c r="AD873" s="67">
        <f t="shared" si="170"/>
        <v>4605</v>
      </c>
      <c r="AE873" s="67">
        <f t="shared" si="171"/>
        <v>550</v>
      </c>
      <c r="AF873" s="67">
        <f t="shared" si="172"/>
        <v>574</v>
      </c>
      <c r="AG873" s="67">
        <f t="shared" si="173"/>
        <v>894</v>
      </c>
      <c r="AH873" s="67">
        <f t="shared" si="174"/>
        <v>0</v>
      </c>
      <c r="AI873" s="67">
        <f t="shared" si="175"/>
        <v>558</v>
      </c>
      <c r="AJ873" s="67">
        <f t="shared" si="176"/>
        <v>141</v>
      </c>
      <c r="AK873" s="67">
        <f t="shared" si="177"/>
        <v>135</v>
      </c>
      <c r="AL873" s="67">
        <f t="shared" si="178"/>
        <v>102</v>
      </c>
      <c r="AM873" s="67">
        <f t="shared" si="179"/>
        <v>31</v>
      </c>
      <c r="AN873" s="67">
        <f t="shared" si="180"/>
        <v>36</v>
      </c>
      <c r="AO873" s="67">
        <f t="shared" si="181"/>
        <v>65</v>
      </c>
      <c r="AP873" s="67">
        <f t="shared" si="182"/>
        <v>15</v>
      </c>
      <c r="AQ873" s="67">
        <f t="shared" si="183"/>
        <v>38</v>
      </c>
      <c r="AR873" s="67">
        <f t="shared" si="184"/>
        <v>35</v>
      </c>
      <c r="AS873" s="636">
        <f t="shared" si="185"/>
        <v>7779</v>
      </c>
    </row>
    <row r="874" spans="1:45" ht="15.75" customHeight="1" x14ac:dyDescent="0.3">
      <c r="A874" s="139" t="s">
        <v>1505</v>
      </c>
      <c r="B874" s="67">
        <f t="shared" si="153"/>
        <v>97332</v>
      </c>
      <c r="C874" s="67">
        <f t="shared" si="154"/>
        <v>12367</v>
      </c>
      <c r="D874" s="67">
        <f t="shared" si="155"/>
        <v>12935</v>
      </c>
      <c r="E874" s="67">
        <f t="shared" si="156"/>
        <v>20359</v>
      </c>
      <c r="F874" s="67">
        <f t="shared" si="157"/>
        <v>0</v>
      </c>
      <c r="G874" s="67">
        <f t="shared" si="158"/>
        <v>-6383.2050759163476</v>
      </c>
      <c r="H874" s="67">
        <f t="shared" si="159"/>
        <v>12133</v>
      </c>
      <c r="I874" s="67">
        <f t="shared" si="160"/>
        <v>7986</v>
      </c>
      <c r="J874" s="67">
        <f t="shared" si="161"/>
        <v>8167</v>
      </c>
      <c r="K874" s="67">
        <f t="shared" si="162"/>
        <v>6603</v>
      </c>
      <c r="L874" s="67">
        <f t="shared" si="163"/>
        <v>1957</v>
      </c>
      <c r="M874" s="67">
        <f t="shared" si="164"/>
        <v>2305</v>
      </c>
      <c r="N874" s="67">
        <f t="shared" si="165"/>
        <v>4309</v>
      </c>
      <c r="O874" s="67">
        <f t="shared" si="166"/>
        <v>740</v>
      </c>
      <c r="P874" s="67">
        <f t="shared" si="167"/>
        <v>2006</v>
      </c>
      <c r="Q874" s="67">
        <f t="shared" si="168"/>
        <v>1750</v>
      </c>
      <c r="R874" s="638">
        <f t="shared" si="169"/>
        <v>184565.79492408366</v>
      </c>
      <c r="S874" s="73"/>
      <c r="AC874" s="642" t="s">
        <v>1505</v>
      </c>
      <c r="AD874" s="67">
        <f t="shared" si="170"/>
        <v>4915</v>
      </c>
      <c r="AE874" s="67">
        <f t="shared" si="171"/>
        <v>587</v>
      </c>
      <c r="AF874" s="67">
        <f t="shared" si="172"/>
        <v>614</v>
      </c>
      <c r="AG874" s="67">
        <f t="shared" si="173"/>
        <v>967</v>
      </c>
      <c r="AH874" s="67">
        <f t="shared" si="174"/>
        <v>0</v>
      </c>
      <c r="AI874" s="67">
        <f t="shared" si="175"/>
        <v>516</v>
      </c>
      <c r="AJ874" s="67">
        <f t="shared" si="176"/>
        <v>140</v>
      </c>
      <c r="AK874" s="67">
        <f t="shared" si="177"/>
        <v>143</v>
      </c>
      <c r="AL874" s="67">
        <f t="shared" si="178"/>
        <v>116</v>
      </c>
      <c r="AM874" s="67">
        <f t="shared" si="179"/>
        <v>34</v>
      </c>
      <c r="AN874" s="67">
        <f t="shared" si="180"/>
        <v>40</v>
      </c>
      <c r="AO874" s="67">
        <f t="shared" si="181"/>
        <v>75</v>
      </c>
      <c r="AP874" s="67">
        <f t="shared" si="182"/>
        <v>13</v>
      </c>
      <c r="AQ874" s="67">
        <f t="shared" si="183"/>
        <v>35</v>
      </c>
      <c r="AR874" s="67">
        <f t="shared" si="184"/>
        <v>31</v>
      </c>
      <c r="AS874" s="636">
        <f t="shared" si="185"/>
        <v>8226</v>
      </c>
    </row>
    <row r="875" spans="1:45" ht="15.75" customHeight="1" x14ac:dyDescent="0.3">
      <c r="A875" s="139" t="s">
        <v>1506</v>
      </c>
      <c r="B875" s="67">
        <f t="shared" si="153"/>
        <v>133928</v>
      </c>
      <c r="C875" s="67">
        <f t="shared" si="154"/>
        <v>17035</v>
      </c>
      <c r="D875" s="67">
        <f t="shared" si="155"/>
        <v>17802</v>
      </c>
      <c r="E875" s="67">
        <f t="shared" si="156"/>
        <v>27881</v>
      </c>
      <c r="F875" s="67">
        <f t="shared" si="157"/>
        <v>4697.76686511968</v>
      </c>
      <c r="G875" s="67">
        <f t="shared" si="158"/>
        <v>-553.99663583987819</v>
      </c>
      <c r="H875" s="67">
        <f t="shared" si="159"/>
        <v>7072</v>
      </c>
      <c r="I875" s="67">
        <f t="shared" si="160"/>
        <v>5040</v>
      </c>
      <c r="J875" s="67">
        <f t="shared" si="161"/>
        <v>6164</v>
      </c>
      <c r="K875" s="67">
        <f t="shared" si="162"/>
        <v>5849</v>
      </c>
      <c r="L875" s="67">
        <f t="shared" si="163"/>
        <v>1858</v>
      </c>
      <c r="M875" s="67">
        <f t="shared" si="164"/>
        <v>2188</v>
      </c>
      <c r="N875" s="67">
        <f t="shared" si="165"/>
        <v>4263</v>
      </c>
      <c r="O875" s="67">
        <f t="shared" si="166"/>
        <v>697</v>
      </c>
      <c r="P875" s="67">
        <f t="shared" si="167"/>
        <v>1733</v>
      </c>
      <c r="Q875" s="67">
        <f t="shared" si="168"/>
        <v>1649</v>
      </c>
      <c r="R875" s="638">
        <f t="shared" si="169"/>
        <v>237302.77022927982</v>
      </c>
      <c r="S875" s="73"/>
      <c r="AC875" s="642" t="s">
        <v>1506</v>
      </c>
      <c r="AD875" s="67">
        <f t="shared" si="170"/>
        <v>6763</v>
      </c>
      <c r="AE875" s="67">
        <f t="shared" si="171"/>
        <v>809</v>
      </c>
      <c r="AF875" s="67">
        <f t="shared" si="172"/>
        <v>846</v>
      </c>
      <c r="AG875" s="67">
        <f t="shared" si="173"/>
        <v>1324</v>
      </c>
      <c r="AH875" s="67">
        <f t="shared" si="174"/>
        <v>223</v>
      </c>
      <c r="AI875" s="67">
        <f t="shared" si="175"/>
        <v>301</v>
      </c>
      <c r="AJ875" s="67">
        <f t="shared" si="176"/>
        <v>88</v>
      </c>
      <c r="AK875" s="67">
        <f t="shared" si="177"/>
        <v>108</v>
      </c>
      <c r="AL875" s="67">
        <f t="shared" si="178"/>
        <v>102</v>
      </c>
      <c r="AM875" s="67">
        <f t="shared" si="179"/>
        <v>33</v>
      </c>
      <c r="AN875" s="67">
        <f t="shared" si="180"/>
        <v>38</v>
      </c>
      <c r="AO875" s="67">
        <f t="shared" si="181"/>
        <v>75</v>
      </c>
      <c r="AP875" s="67">
        <f t="shared" si="182"/>
        <v>12</v>
      </c>
      <c r="AQ875" s="67">
        <f t="shared" si="183"/>
        <v>30</v>
      </c>
      <c r="AR875" s="67">
        <f t="shared" si="184"/>
        <v>29</v>
      </c>
      <c r="AS875" s="636">
        <f t="shared" si="185"/>
        <v>10781</v>
      </c>
    </row>
    <row r="876" spans="1:45" ht="15.75" customHeight="1" x14ac:dyDescent="0.3">
      <c r="A876" s="139" t="s">
        <v>1507</v>
      </c>
      <c r="B876" s="67">
        <f t="shared" si="153"/>
        <v>114587</v>
      </c>
      <c r="C876" s="67">
        <f t="shared" si="154"/>
        <v>14573</v>
      </c>
      <c r="D876" s="67">
        <f t="shared" si="155"/>
        <v>15251</v>
      </c>
      <c r="E876" s="67">
        <f t="shared" si="156"/>
        <v>23257</v>
      </c>
      <c r="F876" s="67">
        <f t="shared" si="157"/>
        <v>901.84367696702202</v>
      </c>
      <c r="G876" s="67">
        <f t="shared" si="158"/>
        <v>0</v>
      </c>
      <c r="H876" s="67">
        <f t="shared" si="159"/>
        <v>6269</v>
      </c>
      <c r="I876" s="67">
        <f t="shared" si="160"/>
        <v>3151</v>
      </c>
      <c r="J876" s="67">
        <f t="shared" si="161"/>
        <v>4184</v>
      </c>
      <c r="K876" s="67">
        <f t="shared" si="162"/>
        <v>3946</v>
      </c>
      <c r="L876" s="67">
        <f t="shared" si="163"/>
        <v>1345</v>
      </c>
      <c r="M876" s="67">
        <f t="shared" si="164"/>
        <v>1584</v>
      </c>
      <c r="N876" s="67">
        <f t="shared" si="165"/>
        <v>3145</v>
      </c>
      <c r="O876" s="67">
        <f t="shared" si="166"/>
        <v>615</v>
      </c>
      <c r="P876" s="67">
        <f t="shared" si="167"/>
        <v>1536</v>
      </c>
      <c r="Q876" s="67">
        <f t="shared" si="168"/>
        <v>1454</v>
      </c>
      <c r="R876" s="638">
        <f t="shared" si="169"/>
        <v>195798.84367696702</v>
      </c>
      <c r="S876" s="73"/>
      <c r="AC876" s="642" t="s">
        <v>1507</v>
      </c>
      <c r="AD876" s="67">
        <f t="shared" si="170"/>
        <v>5787</v>
      </c>
      <c r="AE876" s="67">
        <f t="shared" si="171"/>
        <v>692</v>
      </c>
      <c r="AF876" s="67">
        <f t="shared" si="172"/>
        <v>724</v>
      </c>
      <c r="AG876" s="67">
        <f t="shared" si="173"/>
        <v>1105</v>
      </c>
      <c r="AH876" s="67">
        <f t="shared" si="174"/>
        <v>43</v>
      </c>
      <c r="AI876" s="67">
        <f t="shared" si="175"/>
        <v>266</v>
      </c>
      <c r="AJ876" s="67">
        <f t="shared" si="176"/>
        <v>55</v>
      </c>
      <c r="AK876" s="67">
        <f t="shared" si="177"/>
        <v>73</v>
      </c>
      <c r="AL876" s="67">
        <f t="shared" si="178"/>
        <v>69</v>
      </c>
      <c r="AM876" s="67">
        <f t="shared" si="179"/>
        <v>24</v>
      </c>
      <c r="AN876" s="67">
        <f t="shared" si="180"/>
        <v>28</v>
      </c>
      <c r="AO876" s="67">
        <f t="shared" si="181"/>
        <v>55</v>
      </c>
      <c r="AP876" s="67">
        <f t="shared" si="182"/>
        <v>11</v>
      </c>
      <c r="AQ876" s="67">
        <f t="shared" si="183"/>
        <v>27</v>
      </c>
      <c r="AR876" s="67">
        <f t="shared" si="184"/>
        <v>25</v>
      </c>
      <c r="AS876" s="636">
        <f t="shared" si="185"/>
        <v>8984</v>
      </c>
    </row>
    <row r="877" spans="1:45" ht="15.75" customHeight="1" x14ac:dyDescent="0.3">
      <c r="A877" s="139" t="s">
        <v>1508</v>
      </c>
      <c r="B877" s="67">
        <f t="shared" si="153"/>
        <v>129924</v>
      </c>
      <c r="C877" s="67">
        <f t="shared" si="154"/>
        <v>16534</v>
      </c>
      <c r="D877" s="67">
        <f t="shared" si="155"/>
        <v>17318</v>
      </c>
      <c r="E877" s="67">
        <f t="shared" si="156"/>
        <v>27454</v>
      </c>
      <c r="F877" s="67">
        <f t="shared" si="157"/>
        <v>9112.6460659568966</v>
      </c>
      <c r="G877" s="67">
        <f t="shared" si="158"/>
        <v>0</v>
      </c>
      <c r="H877" s="67">
        <f t="shared" si="159"/>
        <v>4268</v>
      </c>
      <c r="I877" s="67">
        <f t="shared" si="160"/>
        <v>1800</v>
      </c>
      <c r="J877" s="67">
        <f t="shared" si="161"/>
        <v>2798</v>
      </c>
      <c r="K877" s="67">
        <f t="shared" si="162"/>
        <v>2799</v>
      </c>
      <c r="L877" s="67">
        <f t="shared" si="163"/>
        <v>885</v>
      </c>
      <c r="M877" s="67">
        <f t="shared" si="164"/>
        <v>1041</v>
      </c>
      <c r="N877" s="67">
        <f t="shared" si="165"/>
        <v>2127</v>
      </c>
      <c r="O877" s="67">
        <f t="shared" si="166"/>
        <v>428</v>
      </c>
      <c r="P877" s="67">
        <f t="shared" si="167"/>
        <v>1501</v>
      </c>
      <c r="Q877" s="67">
        <f t="shared" si="168"/>
        <v>1013</v>
      </c>
      <c r="R877" s="638">
        <f t="shared" si="169"/>
        <v>219002.64606595688</v>
      </c>
      <c r="S877" s="73"/>
      <c r="AC877" s="642" t="s">
        <v>1508</v>
      </c>
      <c r="AD877" s="67">
        <f t="shared" si="170"/>
        <v>6561</v>
      </c>
      <c r="AE877" s="67">
        <f t="shared" si="171"/>
        <v>785</v>
      </c>
      <c r="AF877" s="67">
        <f t="shared" si="172"/>
        <v>823</v>
      </c>
      <c r="AG877" s="67">
        <f t="shared" si="173"/>
        <v>1304</v>
      </c>
      <c r="AH877" s="67">
        <f t="shared" si="174"/>
        <v>433</v>
      </c>
      <c r="AI877" s="67">
        <f t="shared" si="175"/>
        <v>181</v>
      </c>
      <c r="AJ877" s="67">
        <f t="shared" si="176"/>
        <v>32</v>
      </c>
      <c r="AK877" s="67">
        <f t="shared" si="177"/>
        <v>49</v>
      </c>
      <c r="AL877" s="67">
        <f t="shared" si="178"/>
        <v>49</v>
      </c>
      <c r="AM877" s="67">
        <f t="shared" si="179"/>
        <v>15</v>
      </c>
      <c r="AN877" s="67">
        <f t="shared" si="180"/>
        <v>18</v>
      </c>
      <c r="AO877" s="67">
        <f t="shared" si="181"/>
        <v>37</v>
      </c>
      <c r="AP877" s="67">
        <f t="shared" si="182"/>
        <v>7</v>
      </c>
      <c r="AQ877" s="67">
        <f t="shared" si="183"/>
        <v>26</v>
      </c>
      <c r="AR877" s="67">
        <f t="shared" si="184"/>
        <v>18</v>
      </c>
      <c r="AS877" s="636">
        <f t="shared" si="185"/>
        <v>10338</v>
      </c>
    </row>
    <row r="878" spans="1:45" ht="15.75" customHeight="1" x14ac:dyDescent="0.3">
      <c r="A878" s="139" t="s">
        <v>1509</v>
      </c>
      <c r="B878" s="67">
        <f t="shared" si="153"/>
        <v>108865</v>
      </c>
      <c r="C878" s="67">
        <f t="shared" si="154"/>
        <v>13856</v>
      </c>
      <c r="D878" s="67">
        <f t="shared" si="155"/>
        <v>14511</v>
      </c>
      <c r="E878" s="67">
        <f t="shared" si="156"/>
        <v>24169</v>
      </c>
      <c r="F878" s="67">
        <f t="shared" si="157"/>
        <v>7953.2080033515795</v>
      </c>
      <c r="G878" s="67">
        <f t="shared" si="158"/>
        <v>0</v>
      </c>
      <c r="H878" s="67">
        <f t="shared" si="159"/>
        <v>4602</v>
      </c>
      <c r="I878" s="67">
        <f t="shared" si="160"/>
        <v>3091</v>
      </c>
      <c r="J878" s="67">
        <f t="shared" si="161"/>
        <v>4662</v>
      </c>
      <c r="K878" s="67">
        <f t="shared" si="162"/>
        <v>4700</v>
      </c>
      <c r="L878" s="67">
        <f t="shared" si="163"/>
        <v>1689</v>
      </c>
      <c r="M878" s="67">
        <f t="shared" si="164"/>
        <v>1991</v>
      </c>
      <c r="N878" s="67">
        <f t="shared" si="165"/>
        <v>4024</v>
      </c>
      <c r="O878" s="67">
        <f t="shared" si="166"/>
        <v>610</v>
      </c>
      <c r="P878" s="67">
        <f t="shared" si="167"/>
        <v>347</v>
      </c>
      <c r="Q878" s="67">
        <f t="shared" si="168"/>
        <v>1445</v>
      </c>
      <c r="R878" s="638">
        <f t="shared" si="169"/>
        <v>196515.20800335158</v>
      </c>
      <c r="S878" s="73"/>
      <c r="AC878" s="642" t="s">
        <v>1509</v>
      </c>
      <c r="AD878" s="67">
        <f t="shared" si="170"/>
        <v>5498</v>
      </c>
      <c r="AE878" s="67">
        <f t="shared" si="171"/>
        <v>658</v>
      </c>
      <c r="AF878" s="67">
        <f t="shared" si="172"/>
        <v>689</v>
      </c>
      <c r="AG878" s="67">
        <f t="shared" si="173"/>
        <v>1148</v>
      </c>
      <c r="AH878" s="67">
        <f t="shared" si="174"/>
        <v>378</v>
      </c>
      <c r="AI878" s="67">
        <f t="shared" si="175"/>
        <v>196</v>
      </c>
      <c r="AJ878" s="67">
        <f t="shared" si="176"/>
        <v>54</v>
      </c>
      <c r="AK878" s="67">
        <f t="shared" si="177"/>
        <v>82</v>
      </c>
      <c r="AL878" s="67">
        <f t="shared" si="178"/>
        <v>82</v>
      </c>
      <c r="AM878" s="67">
        <f t="shared" si="179"/>
        <v>30</v>
      </c>
      <c r="AN878" s="67">
        <f t="shared" si="180"/>
        <v>35</v>
      </c>
      <c r="AO878" s="67">
        <f t="shared" si="181"/>
        <v>70</v>
      </c>
      <c r="AP878" s="67">
        <f t="shared" si="182"/>
        <v>11</v>
      </c>
      <c r="AQ878" s="67">
        <f t="shared" si="183"/>
        <v>6</v>
      </c>
      <c r="AR878" s="67">
        <f t="shared" si="184"/>
        <v>25</v>
      </c>
      <c r="AS878" s="636">
        <f t="shared" si="185"/>
        <v>8962</v>
      </c>
    </row>
    <row r="879" spans="1:45" ht="15.75" customHeight="1" x14ac:dyDescent="0.3">
      <c r="A879" s="553"/>
      <c r="B879" s="67"/>
      <c r="C879" s="67"/>
      <c r="D879" s="67"/>
      <c r="E879" s="67"/>
      <c r="F879" s="67"/>
      <c r="G879" s="67"/>
      <c r="H879" s="67"/>
      <c r="I879" s="67"/>
      <c r="J879" s="67"/>
      <c r="K879" s="67"/>
      <c r="L879" s="67"/>
      <c r="M879" s="67"/>
      <c r="N879" s="67"/>
      <c r="O879" s="67"/>
      <c r="P879" s="67"/>
      <c r="Q879" s="67"/>
      <c r="R879" s="636"/>
      <c r="S879" s="73"/>
      <c r="AC879" s="579"/>
      <c r="AD879" s="67"/>
      <c r="AE879" s="67"/>
      <c r="AF879" s="67"/>
      <c r="AG879" s="67"/>
      <c r="AH879" s="67"/>
      <c r="AI879" s="67"/>
      <c r="AJ879" s="67"/>
      <c r="AK879" s="67"/>
      <c r="AL879" s="67"/>
      <c r="AM879" s="67"/>
      <c r="AN879" s="67"/>
      <c r="AO879" s="67"/>
      <c r="AP879" s="67"/>
      <c r="AQ879" s="67"/>
      <c r="AR879" s="67"/>
      <c r="AS879" s="636"/>
    </row>
    <row r="880" spans="1:45" ht="15.75" customHeight="1" thickBot="1" x14ac:dyDescent="0.35">
      <c r="A880" s="553" t="s">
        <v>2356</v>
      </c>
      <c r="B880" s="67">
        <f>SUM(B867:B878)</f>
        <v>1522263</v>
      </c>
      <c r="C880" s="67">
        <f t="shared" ref="C880:R880" si="186">SUM(C867:C878)</f>
        <v>193634</v>
      </c>
      <c r="D880" s="67">
        <f t="shared" si="186"/>
        <v>202630</v>
      </c>
      <c r="E880" s="67">
        <f t="shared" si="186"/>
        <v>328330</v>
      </c>
      <c r="F880" s="67">
        <f t="shared" si="186"/>
        <v>58868.128019569471</v>
      </c>
      <c r="G880" s="67">
        <f t="shared" si="186"/>
        <v>-33131.903791635646</v>
      </c>
      <c r="H880" s="67">
        <f t="shared" si="186"/>
        <v>103216</v>
      </c>
      <c r="I880" s="67">
        <f t="shared" si="186"/>
        <v>59694</v>
      </c>
      <c r="J880" s="67">
        <f t="shared" si="186"/>
        <v>72170</v>
      </c>
      <c r="K880" s="67">
        <f t="shared" si="186"/>
        <v>60837</v>
      </c>
      <c r="L880" s="67">
        <f t="shared" si="186"/>
        <v>19971</v>
      </c>
      <c r="M880" s="67">
        <f t="shared" si="186"/>
        <v>23521</v>
      </c>
      <c r="N880" s="67">
        <f t="shared" si="186"/>
        <v>46354</v>
      </c>
      <c r="O880" s="67">
        <f t="shared" si="186"/>
        <v>8463</v>
      </c>
      <c r="P880" s="67">
        <f t="shared" si="186"/>
        <v>16149</v>
      </c>
      <c r="Q880" s="67">
        <f t="shared" si="186"/>
        <v>19997</v>
      </c>
      <c r="R880" s="639">
        <f t="shared" si="186"/>
        <v>2702965.2242279332</v>
      </c>
      <c r="S880" s="73"/>
      <c r="AC880" s="644" t="s">
        <v>2356</v>
      </c>
      <c r="AD880" s="555">
        <f>SUM(AD867:AD878)</f>
        <v>76873</v>
      </c>
      <c r="AE880" s="555">
        <f t="shared" ref="AE880:AS880" si="187">SUM(AE867:AE878)</f>
        <v>9196</v>
      </c>
      <c r="AF880" s="555">
        <f t="shared" si="187"/>
        <v>9625</v>
      </c>
      <c r="AG880" s="555">
        <f t="shared" si="187"/>
        <v>15597</v>
      </c>
      <c r="AH880" s="555">
        <f t="shared" si="187"/>
        <v>2797</v>
      </c>
      <c r="AI880" s="555">
        <f t="shared" si="187"/>
        <v>4387</v>
      </c>
      <c r="AJ880" s="555">
        <f t="shared" si="187"/>
        <v>1045</v>
      </c>
      <c r="AK880" s="555">
        <f t="shared" si="187"/>
        <v>1264</v>
      </c>
      <c r="AL880" s="555">
        <f t="shared" si="187"/>
        <v>1065</v>
      </c>
      <c r="AM880" s="555">
        <f t="shared" si="187"/>
        <v>350</v>
      </c>
      <c r="AN880" s="555">
        <f t="shared" si="187"/>
        <v>411</v>
      </c>
      <c r="AO880" s="555">
        <f t="shared" si="187"/>
        <v>809</v>
      </c>
      <c r="AP880" s="555">
        <f t="shared" si="187"/>
        <v>148</v>
      </c>
      <c r="AQ880" s="555">
        <f t="shared" si="187"/>
        <v>284</v>
      </c>
      <c r="AR880" s="555">
        <f t="shared" si="187"/>
        <v>349</v>
      </c>
      <c r="AS880" s="637">
        <f t="shared" si="187"/>
        <v>124200</v>
      </c>
    </row>
    <row r="881" spans="1:45" ht="16.5" customHeight="1" thickBot="1" x14ac:dyDescent="0.35">
      <c r="A881" s="558" t="s">
        <v>852</v>
      </c>
      <c r="B881" s="555"/>
      <c r="C881" s="555"/>
      <c r="D881" s="555"/>
      <c r="E881" s="555"/>
      <c r="F881" s="555"/>
      <c r="G881" s="555"/>
      <c r="H881" s="555"/>
      <c r="I881" s="555"/>
      <c r="J881" s="555"/>
      <c r="K881" s="555"/>
      <c r="L881" s="555"/>
      <c r="M881" s="555"/>
      <c r="N881" s="555"/>
      <c r="O881" s="555"/>
      <c r="P881" s="555"/>
      <c r="Q881" s="555"/>
      <c r="R881" s="637"/>
      <c r="S881" s="67"/>
    </row>
    <row r="882" spans="1:45" ht="15.75" customHeight="1" x14ac:dyDescent="0.3">
      <c r="A882" s="67"/>
      <c r="B882" s="67"/>
      <c r="C882" s="67"/>
      <c r="D882" s="67"/>
      <c r="E882" s="67"/>
      <c r="F882" s="67"/>
      <c r="G882" s="67"/>
      <c r="H882" s="67"/>
      <c r="I882" s="67"/>
      <c r="J882" s="67"/>
      <c r="K882" s="67"/>
      <c r="L882" s="67"/>
      <c r="M882" s="67"/>
      <c r="N882" s="67"/>
      <c r="O882" s="67"/>
      <c r="P882" s="67"/>
      <c r="Q882" s="67"/>
      <c r="R882" s="67"/>
    </row>
    <row r="883" spans="1:45" ht="15.75" customHeight="1" x14ac:dyDescent="0.3"/>
    <row r="884" spans="1:45" ht="15.75" customHeight="1" thickBot="1" x14ac:dyDescent="0.35"/>
    <row r="885" spans="1:45" ht="15.75" customHeight="1" thickBot="1" x14ac:dyDescent="0.35">
      <c r="B885" s="790" t="s">
        <v>2921</v>
      </c>
      <c r="C885" s="782"/>
      <c r="D885" s="782"/>
      <c r="E885" s="782"/>
      <c r="F885" s="782"/>
      <c r="G885" s="782"/>
      <c r="H885" s="782"/>
      <c r="I885" s="782"/>
      <c r="J885" s="782"/>
      <c r="K885" s="782"/>
      <c r="L885" s="782"/>
      <c r="M885" s="782"/>
      <c r="N885" s="782"/>
      <c r="O885" s="782"/>
      <c r="P885" s="782"/>
      <c r="Q885" s="678" t="str">
        <f>+Q1</f>
        <v xml:space="preserve">PRINTED:  </v>
      </c>
      <c r="R885" s="682">
        <f ca="1">+R1</f>
        <v>44881.729634027775</v>
      </c>
      <c r="S885" s="597"/>
    </row>
    <row r="886" spans="1:45" ht="15.75" customHeight="1" x14ac:dyDescent="0.3">
      <c r="B886" s="791">
        <f>+A5</f>
        <v>2014</v>
      </c>
      <c r="C886" s="787"/>
      <c r="D886" s="787"/>
      <c r="E886" s="787"/>
      <c r="F886" s="787"/>
      <c r="G886" s="787"/>
      <c r="H886" s="787"/>
      <c r="I886" s="787"/>
      <c r="J886" s="787"/>
      <c r="K886" s="787"/>
      <c r="L886" s="787"/>
      <c r="M886" s="787"/>
      <c r="N886" s="787"/>
      <c r="O886" s="787"/>
      <c r="P886" s="787"/>
      <c r="Q886" s="67"/>
      <c r="R886" s="67"/>
      <c r="S886" s="552"/>
      <c r="AC886" s="685"/>
      <c r="AD886" s="782" t="s">
        <v>2923</v>
      </c>
      <c r="AE886" s="785"/>
      <c r="AF886" s="785"/>
      <c r="AG886" s="785"/>
      <c r="AH886" s="785"/>
      <c r="AI886" s="785"/>
      <c r="AJ886" s="785"/>
      <c r="AK886" s="785"/>
      <c r="AL886" s="785"/>
      <c r="AM886" s="785"/>
      <c r="AN886" s="785"/>
      <c r="AO886" s="785"/>
      <c r="AP886" s="785"/>
      <c r="AQ886" s="785"/>
      <c r="AR886" s="678" t="str">
        <f>$Q$1</f>
        <v xml:space="preserve">PRINTED:  </v>
      </c>
      <c r="AS886" s="686">
        <f ca="1">$R$1</f>
        <v>44881.729634027775</v>
      </c>
    </row>
    <row r="887" spans="1:45" ht="15.75" customHeight="1" x14ac:dyDescent="0.3">
      <c r="B887" s="792" t="str">
        <f>+A8</f>
        <v>Revised:  2/10/2015</v>
      </c>
      <c r="C887" s="786"/>
      <c r="D887" s="786"/>
      <c r="E887" s="786"/>
      <c r="F887" s="786"/>
      <c r="G887" s="786"/>
      <c r="H887" s="786"/>
      <c r="I887" s="786"/>
      <c r="J887" s="786"/>
      <c r="K887" s="786"/>
      <c r="L887" s="786"/>
      <c r="M887" s="786"/>
      <c r="N887" s="786"/>
      <c r="O887" s="786"/>
      <c r="P887" s="786"/>
      <c r="Q887" s="67"/>
      <c r="R887" s="67"/>
      <c r="S887" s="552"/>
      <c r="AC887" s="579"/>
      <c r="AD887" s="786" t="str">
        <f>+$A$8</f>
        <v>Revised:  2/10/2015</v>
      </c>
      <c r="AE887" s="788"/>
      <c r="AF887" s="788"/>
      <c r="AG887" s="788"/>
      <c r="AH887" s="788"/>
      <c r="AI887" s="788"/>
      <c r="AJ887" s="788"/>
      <c r="AK887" s="788"/>
      <c r="AL887" s="788"/>
      <c r="AM887" s="788"/>
      <c r="AN887" s="788"/>
      <c r="AO887" s="788"/>
      <c r="AP887" s="788"/>
      <c r="AQ887" s="788"/>
      <c r="AR887" s="139"/>
      <c r="AS887" s="561"/>
    </row>
    <row r="888" spans="1:45" ht="15.75" customHeight="1" thickBot="1" x14ac:dyDescent="0.35">
      <c r="B888" s="793" t="s">
        <v>2676</v>
      </c>
      <c r="C888" s="794"/>
      <c r="D888" s="794"/>
      <c r="E888" s="794"/>
      <c r="F888" s="794"/>
      <c r="G888" s="794"/>
      <c r="H888" s="794"/>
      <c r="I888" s="794"/>
      <c r="J888" s="794"/>
      <c r="K888" s="794"/>
      <c r="L888" s="794"/>
      <c r="M888" s="794"/>
      <c r="N888" s="794"/>
      <c r="O888" s="794"/>
      <c r="P888" s="794"/>
      <c r="Q888" s="67"/>
      <c r="R888" s="67"/>
      <c r="S888" s="552"/>
      <c r="AC888" s="579"/>
      <c r="AD888" s="786" t="s">
        <v>2878</v>
      </c>
      <c r="AE888" s="789"/>
      <c r="AF888" s="789"/>
      <c r="AG888" s="789"/>
      <c r="AH888" s="789"/>
      <c r="AI888" s="789"/>
      <c r="AJ888" s="789"/>
      <c r="AK888" s="789"/>
      <c r="AL888" s="789"/>
      <c r="AM888" s="789"/>
      <c r="AN888" s="789"/>
      <c r="AO888" s="789"/>
      <c r="AP888" s="789"/>
      <c r="AQ888" s="789"/>
      <c r="AS888" s="561"/>
    </row>
    <row r="889" spans="1:45" ht="15.75" customHeight="1" thickBot="1" x14ac:dyDescent="0.35">
      <c r="A889" s="649"/>
      <c r="B889" s="795" t="s">
        <v>2633</v>
      </c>
      <c r="C889" s="796"/>
      <c r="D889" s="796"/>
      <c r="E889" s="796"/>
      <c r="F889" s="797"/>
      <c r="G889" s="795" t="s">
        <v>2674</v>
      </c>
      <c r="H889" s="796"/>
      <c r="I889" s="796"/>
      <c r="J889" s="796"/>
      <c r="K889" s="796"/>
      <c r="L889" s="796"/>
      <c r="M889" s="798" t="s">
        <v>2677</v>
      </c>
      <c r="N889" s="811"/>
      <c r="O889" s="834"/>
      <c r="P889" s="796" t="s">
        <v>2682</v>
      </c>
      <c r="Q889" s="796"/>
      <c r="R889" s="797"/>
      <c r="S889" s="552"/>
      <c r="AC889" s="579"/>
      <c r="AS889" s="561"/>
    </row>
    <row r="890" spans="1:45" ht="15.75" customHeight="1" x14ac:dyDescent="0.3">
      <c r="A890" s="649"/>
      <c r="B890" s="553" t="s">
        <v>2439</v>
      </c>
      <c r="C890" s="70"/>
      <c r="D890" s="70" t="s">
        <v>336</v>
      </c>
      <c r="E890" s="70" t="s">
        <v>596</v>
      </c>
      <c r="F890" s="562" t="s">
        <v>2652</v>
      </c>
      <c r="G890" s="553" t="s">
        <v>228</v>
      </c>
      <c r="H890" s="70"/>
      <c r="I890" s="70"/>
      <c r="J890" s="70" t="s">
        <v>229</v>
      </c>
      <c r="K890" s="70" t="s">
        <v>2638</v>
      </c>
      <c r="L890" s="70" t="s">
        <v>2639</v>
      </c>
      <c r="M890" s="808" t="s">
        <v>2964</v>
      </c>
      <c r="N890" s="809"/>
      <c r="O890" s="835"/>
      <c r="P890" s="70" t="s">
        <v>2683</v>
      </c>
      <c r="Q890" s="610" t="s">
        <v>134</v>
      </c>
      <c r="R890" s="611" t="s">
        <v>2685</v>
      </c>
      <c r="S890" s="552"/>
      <c r="AC890" s="579"/>
      <c r="AD890" s="787">
        <f>$A$5</f>
        <v>2014</v>
      </c>
      <c r="AE890" s="789"/>
      <c r="AF890" s="789"/>
      <c r="AG890" s="789"/>
      <c r="AH890" s="789"/>
      <c r="AI890" s="789"/>
      <c r="AJ890" s="789"/>
      <c r="AK890" s="789"/>
      <c r="AL890" s="789"/>
      <c r="AM890" s="789"/>
      <c r="AN890" s="789"/>
      <c r="AO890" s="789"/>
      <c r="AP890" s="789"/>
      <c r="AQ890" s="789"/>
      <c r="AS890" s="561"/>
    </row>
    <row r="891" spans="1:45" ht="15.75" customHeight="1" x14ac:dyDescent="0.3">
      <c r="A891" s="649"/>
      <c r="B891" s="593" t="s">
        <v>2648</v>
      </c>
      <c r="C891" s="588" t="s">
        <v>2656</v>
      </c>
      <c r="D891" s="588" t="s">
        <v>2651</v>
      </c>
      <c r="E891" s="70" t="s">
        <v>335</v>
      </c>
      <c r="F891" s="591" t="s">
        <v>2653</v>
      </c>
      <c r="G891" s="553" t="s">
        <v>2463</v>
      </c>
      <c r="H891" s="70" t="s">
        <v>1416</v>
      </c>
      <c r="I891" s="70" t="s">
        <v>1417</v>
      </c>
      <c r="J891" s="588" t="s">
        <v>2632</v>
      </c>
      <c r="K891" s="70" t="s">
        <v>2634</v>
      </c>
      <c r="L891" s="588" t="s">
        <v>2637</v>
      </c>
      <c r="M891" s="603" t="s">
        <v>2679</v>
      </c>
      <c r="N891" s="604" t="s">
        <v>2680</v>
      </c>
      <c r="O891" s="630" t="s">
        <v>2356</v>
      </c>
      <c r="P891" s="70" t="s">
        <v>2684</v>
      </c>
      <c r="Q891" s="70" t="s">
        <v>2686</v>
      </c>
      <c r="R891" s="562" t="s">
        <v>2687</v>
      </c>
      <c r="S891" s="552"/>
      <c r="AC891" s="579"/>
      <c r="AD891" s="786" t="s">
        <v>2919</v>
      </c>
      <c r="AE891" s="788"/>
      <c r="AF891" s="788"/>
      <c r="AG891" s="788"/>
      <c r="AH891" s="788"/>
      <c r="AI891" s="788"/>
      <c r="AJ891" s="788"/>
      <c r="AK891" s="788"/>
      <c r="AL891" s="788"/>
      <c r="AM891" s="788"/>
      <c r="AN891" s="788"/>
      <c r="AO891" s="788"/>
      <c r="AP891" s="788"/>
      <c r="AQ891" s="788"/>
      <c r="AR891" s="70"/>
      <c r="AS891" s="561"/>
    </row>
    <row r="892" spans="1:45" ht="15.75" customHeight="1" x14ac:dyDescent="0.3">
      <c r="A892" s="649"/>
      <c r="B892" s="594" t="s">
        <v>2654</v>
      </c>
      <c r="C892" s="217">
        <v>5.0000000000000001E-3</v>
      </c>
      <c r="D892" s="217"/>
      <c r="E892" s="70" t="s">
        <v>133</v>
      </c>
      <c r="F892" s="595" t="s">
        <v>2649</v>
      </c>
      <c r="G892" s="553" t="s">
        <v>2650</v>
      </c>
      <c r="H892" s="70" t="s">
        <v>335</v>
      </c>
      <c r="I892" s="70" t="s">
        <v>335</v>
      </c>
      <c r="J892" s="70" t="s">
        <v>335</v>
      </c>
      <c r="K892" s="70" t="s">
        <v>134</v>
      </c>
      <c r="L892" s="70" t="s">
        <v>2636</v>
      </c>
      <c r="M892" s="605" t="s">
        <v>955</v>
      </c>
      <c r="N892" s="599" t="s">
        <v>2681</v>
      </c>
      <c r="O892" s="630" t="s">
        <v>2688</v>
      </c>
      <c r="P892" s="70" t="s">
        <v>335</v>
      </c>
      <c r="Q892" s="70" t="s">
        <v>335</v>
      </c>
      <c r="R892" s="562" t="s">
        <v>335</v>
      </c>
      <c r="S892" s="552"/>
      <c r="AC892" s="579"/>
      <c r="AK892" s="670"/>
      <c r="AS892" s="561"/>
    </row>
    <row r="893" spans="1:45" ht="15.75" customHeight="1" thickBot="1" x14ac:dyDescent="0.35">
      <c r="A893" s="592" t="s">
        <v>249</v>
      </c>
      <c r="B893" s="553" t="s">
        <v>998</v>
      </c>
      <c r="C893" s="70" t="s">
        <v>998</v>
      </c>
      <c r="D893" s="70" t="s">
        <v>998</v>
      </c>
      <c r="E893" s="70" t="s">
        <v>998</v>
      </c>
      <c r="F893" s="562" t="s">
        <v>998</v>
      </c>
      <c r="G893" s="553" t="s">
        <v>998</v>
      </c>
      <c r="H893" s="70" t="s">
        <v>998</v>
      </c>
      <c r="I893" s="70" t="s">
        <v>998</v>
      </c>
      <c r="J893" s="70" t="s">
        <v>998</v>
      </c>
      <c r="K893" s="70" t="s">
        <v>998</v>
      </c>
      <c r="L893" s="70" t="s">
        <v>998</v>
      </c>
      <c r="M893" s="605" t="s">
        <v>998</v>
      </c>
      <c r="N893" s="599" t="s">
        <v>998</v>
      </c>
      <c r="O893" s="630" t="s">
        <v>998</v>
      </c>
      <c r="P893" s="70" t="s">
        <v>998</v>
      </c>
      <c r="Q893" s="70" t="s">
        <v>998</v>
      </c>
      <c r="R893" s="562" t="s">
        <v>998</v>
      </c>
      <c r="S893" s="552"/>
      <c r="AC893" s="579"/>
      <c r="AD893" s="634" t="s">
        <v>1308</v>
      </c>
      <c r="AE893" s="634" t="s">
        <v>1309</v>
      </c>
      <c r="AF893" s="634" t="s">
        <v>1029</v>
      </c>
      <c r="AG893" s="634" t="s">
        <v>1030</v>
      </c>
      <c r="AH893" s="634" t="s">
        <v>284</v>
      </c>
      <c r="AI893" s="634" t="s">
        <v>285</v>
      </c>
      <c r="AJ893" s="634" t="s">
        <v>286</v>
      </c>
      <c r="AK893" s="634" t="s">
        <v>287</v>
      </c>
      <c r="AL893" s="634" t="s">
        <v>288</v>
      </c>
      <c r="AM893" s="634" t="s">
        <v>289</v>
      </c>
      <c r="AN893" s="634" t="s">
        <v>633</v>
      </c>
      <c r="AO893" s="634" t="s">
        <v>634</v>
      </c>
      <c r="AP893" s="634" t="s">
        <v>1192</v>
      </c>
      <c r="AQ893" s="634" t="s">
        <v>524</v>
      </c>
      <c r="AR893" s="634" t="s">
        <v>525</v>
      </c>
      <c r="AS893" s="684" t="s">
        <v>2356</v>
      </c>
    </row>
    <row r="894" spans="1:45" ht="15.75" customHeight="1" x14ac:dyDescent="0.3">
      <c r="A894" s="592" t="s">
        <v>1353</v>
      </c>
      <c r="B894" s="553" t="s">
        <v>1353</v>
      </c>
      <c r="C894" s="70" t="s">
        <v>1353</v>
      </c>
      <c r="D894" s="70" t="s">
        <v>1353</v>
      </c>
      <c r="E894" s="70" t="s">
        <v>2202</v>
      </c>
      <c r="F894" s="562" t="s">
        <v>1353</v>
      </c>
      <c r="G894" s="553" t="s">
        <v>1353</v>
      </c>
      <c r="H894" s="70" t="s">
        <v>2119</v>
      </c>
      <c r="I894" s="70" t="s">
        <v>2119</v>
      </c>
      <c r="J894" s="70" t="s">
        <v>1353</v>
      </c>
      <c r="K894" s="70" t="s">
        <v>1353</v>
      </c>
      <c r="L894" s="70" t="s">
        <v>1353</v>
      </c>
      <c r="M894" s="605" t="s">
        <v>1353</v>
      </c>
      <c r="N894" s="599" t="s">
        <v>1353</v>
      </c>
      <c r="O894" s="630" t="s">
        <v>1353</v>
      </c>
      <c r="P894" s="70" t="s">
        <v>1353</v>
      </c>
      <c r="Q894" s="70" t="s">
        <v>1353</v>
      </c>
      <c r="R894" s="562" t="s">
        <v>1353</v>
      </c>
      <c r="S894" s="552"/>
      <c r="AC894" s="579"/>
      <c r="AD894" s="67"/>
      <c r="AE894" s="67"/>
      <c r="AF894" s="67"/>
      <c r="AG894" s="67"/>
      <c r="AH894" s="70" t="s">
        <v>2910</v>
      </c>
      <c r="AI894" s="67"/>
      <c r="AJ894" s="67"/>
      <c r="AK894" s="67"/>
      <c r="AL894" s="67"/>
      <c r="AM894" s="67"/>
      <c r="AN894" s="67"/>
      <c r="AO894" s="67"/>
      <c r="AP894" s="67"/>
      <c r="AQ894" s="67"/>
      <c r="AR894" s="67"/>
      <c r="AS894" s="636"/>
    </row>
    <row r="895" spans="1:45" ht="15.75" customHeight="1" x14ac:dyDescent="0.3">
      <c r="A895" s="139" t="s">
        <v>2843</v>
      </c>
      <c r="B895" s="553">
        <f>R867-G867</f>
        <v>150808.28005712799</v>
      </c>
      <c r="C895" s="70">
        <f t="shared" ref="C895:C906" si="188">+ROUND(B895*$C$892,0)</f>
        <v>754</v>
      </c>
      <c r="D895" s="70">
        <f>AS867</f>
        <v>6841</v>
      </c>
      <c r="E895" s="70">
        <f t="shared" ref="E895:E906" si="189">+B895+C895</f>
        <v>151562.28005712799</v>
      </c>
      <c r="F895" s="562">
        <f t="shared" ref="F895:F906" si="190">(D895+E895)</f>
        <v>158403.28005712799</v>
      </c>
      <c r="G895" s="553">
        <f>ABS(G867)</f>
        <v>4029.6694800301361</v>
      </c>
      <c r="H895" s="600">
        <v>10670</v>
      </c>
      <c r="I895" s="600">
        <v>0</v>
      </c>
      <c r="J895" s="70">
        <f>(H895+I895)</f>
        <v>10670</v>
      </c>
      <c r="K895" s="600">
        <v>0</v>
      </c>
      <c r="L895" s="600">
        <v>0</v>
      </c>
      <c r="M895" s="606">
        <v>150408</v>
      </c>
      <c r="N895" s="607">
        <v>0</v>
      </c>
      <c r="O895" s="630">
        <f>+M895+N895</f>
        <v>150408</v>
      </c>
      <c r="P895" s="628">
        <f>(F895-G895-J895-K895-L895-O895)</f>
        <v>-6704.3894229021389</v>
      </c>
      <c r="Q895" s="70" t="str">
        <f>+IF(P895&gt;=0,ABS(P895),"")</f>
        <v/>
      </c>
      <c r="R895" s="562">
        <f>+IF(P895&lt;=0,ABS(P895),"")</f>
        <v>6704.3894229021389</v>
      </c>
      <c r="S895" s="552"/>
      <c r="AC895" s="642" t="s">
        <v>2907</v>
      </c>
      <c r="AD895" s="687"/>
      <c r="AE895" s="687"/>
      <c r="AF895" s="687"/>
      <c r="AG895" s="687"/>
      <c r="AH895" s="687"/>
      <c r="AI895" s="687"/>
      <c r="AJ895" s="687"/>
      <c r="AK895" s="687"/>
      <c r="AL895" s="687"/>
      <c r="AM895" s="687"/>
      <c r="AN895" s="687"/>
      <c r="AO895" s="687"/>
      <c r="AP895" s="687"/>
      <c r="AQ895" s="687"/>
      <c r="AR895" s="687"/>
      <c r="AS895" s="592"/>
    </row>
    <row r="896" spans="1:45" ht="15.75" customHeight="1" x14ac:dyDescent="0.3">
      <c r="A896" s="139" t="s">
        <v>2091</v>
      </c>
      <c r="B896" s="553">
        <f t="shared" ref="B896:B906" si="191">R868-G868</f>
        <v>216420.78369254738</v>
      </c>
      <c r="C896" s="70">
        <f t="shared" si="188"/>
        <v>1082</v>
      </c>
      <c r="D896" s="70">
        <f t="shared" ref="D896:D906" si="192">AS868</f>
        <v>10138</v>
      </c>
      <c r="E896" s="70">
        <f t="shared" si="189"/>
        <v>217502.78369254738</v>
      </c>
      <c r="F896" s="562">
        <f t="shared" si="190"/>
        <v>227640.78369254738</v>
      </c>
      <c r="G896" s="553">
        <f t="shared" ref="G896:G906" si="193">ABS(G868)</f>
        <v>0</v>
      </c>
      <c r="H896" s="600">
        <v>12979</v>
      </c>
      <c r="I896" s="600">
        <v>0</v>
      </c>
      <c r="J896" s="70">
        <f t="shared" ref="J896:J905" si="194">(H896+I896)</f>
        <v>12979</v>
      </c>
      <c r="K896" s="600">
        <v>0</v>
      </c>
      <c r="L896" s="600">
        <v>0</v>
      </c>
      <c r="M896" s="606">
        <v>244608</v>
      </c>
      <c r="N896" s="607">
        <v>0</v>
      </c>
      <c r="O896" s="630">
        <f t="shared" ref="O896:O908" si="195">+M896+N896</f>
        <v>244608</v>
      </c>
      <c r="P896" s="628">
        <f t="shared" ref="P896:P906" si="196">(F896-G896-J896-K896-L896-O896)</f>
        <v>-29946.216307452618</v>
      </c>
      <c r="Q896" s="70" t="str">
        <f t="shared" ref="Q896:Q906" si="197">+IF(P896&gt;=0,ABS(P896),"")</f>
        <v/>
      </c>
      <c r="R896" s="562">
        <f t="shared" ref="R896:R906" si="198">+IF(P896&lt;=0,ABS(P896),"")</f>
        <v>29946.216307452618</v>
      </c>
      <c r="S896" s="552"/>
      <c r="AC896" s="642" t="s">
        <v>2908</v>
      </c>
      <c r="AD896" s="687"/>
      <c r="AE896" s="687"/>
      <c r="AF896" s="687"/>
      <c r="AG896" s="687"/>
      <c r="AH896" s="687"/>
      <c r="AI896" s="687"/>
      <c r="AJ896" s="687"/>
      <c r="AK896" s="687"/>
      <c r="AL896" s="687"/>
      <c r="AM896" s="687"/>
      <c r="AN896" s="687"/>
      <c r="AO896" s="687"/>
      <c r="AP896" s="687"/>
      <c r="AQ896" s="687"/>
      <c r="AR896" s="687"/>
      <c r="AS896" s="592"/>
    </row>
    <row r="897" spans="1:45" ht="15.75" customHeight="1" x14ac:dyDescent="0.3">
      <c r="A897" s="139" t="s">
        <v>2234</v>
      </c>
      <c r="B897" s="553">
        <f t="shared" si="191"/>
        <v>298410.7883757152</v>
      </c>
      <c r="C897" s="70">
        <f t="shared" si="188"/>
        <v>1492</v>
      </c>
      <c r="D897" s="70">
        <f t="shared" si="192"/>
        <v>13730</v>
      </c>
      <c r="E897" s="70">
        <f t="shared" si="189"/>
        <v>299902.7883757152</v>
      </c>
      <c r="F897" s="562">
        <f t="shared" si="190"/>
        <v>313632.7883757152</v>
      </c>
      <c r="G897" s="553">
        <f t="shared" si="193"/>
        <v>0</v>
      </c>
      <c r="H897" s="600">
        <v>18002</v>
      </c>
      <c r="I897" s="600">
        <v>0</v>
      </c>
      <c r="J897" s="70">
        <f t="shared" si="194"/>
        <v>18002</v>
      </c>
      <c r="K897" s="600">
        <v>0</v>
      </c>
      <c r="L897" s="600">
        <v>0</v>
      </c>
      <c r="M897" s="606">
        <v>310968</v>
      </c>
      <c r="N897" s="607">
        <v>0</v>
      </c>
      <c r="O897" s="630">
        <f t="shared" si="195"/>
        <v>310968</v>
      </c>
      <c r="P897" s="628">
        <f t="shared" si="196"/>
        <v>-15337.211624284799</v>
      </c>
      <c r="Q897" s="70" t="str">
        <f t="shared" si="197"/>
        <v/>
      </c>
      <c r="R897" s="562">
        <f t="shared" si="198"/>
        <v>15337.211624284799</v>
      </c>
      <c r="S897" s="552"/>
      <c r="AC897" s="642" t="s">
        <v>2909</v>
      </c>
      <c r="AD897" s="687"/>
      <c r="AE897" s="687"/>
      <c r="AF897" s="687"/>
      <c r="AG897" s="687"/>
      <c r="AH897" s="687"/>
      <c r="AI897" s="687"/>
      <c r="AJ897" s="687"/>
      <c r="AK897" s="687"/>
      <c r="AL897" s="687"/>
      <c r="AM897" s="687"/>
      <c r="AN897" s="687"/>
      <c r="AO897" s="687"/>
      <c r="AP897" s="687"/>
      <c r="AQ897" s="687"/>
      <c r="AR897" s="687"/>
      <c r="AS897" s="592"/>
    </row>
    <row r="898" spans="1:45" ht="15.75" customHeight="1" x14ac:dyDescent="0.3">
      <c r="A898" s="139" t="s">
        <v>2235</v>
      </c>
      <c r="B898" s="553">
        <f t="shared" si="191"/>
        <v>301662.08160218131</v>
      </c>
      <c r="C898" s="70">
        <f t="shared" si="188"/>
        <v>1508</v>
      </c>
      <c r="D898" s="70">
        <f t="shared" si="192"/>
        <v>13699</v>
      </c>
      <c r="E898" s="70">
        <f t="shared" si="189"/>
        <v>303170.08160218131</v>
      </c>
      <c r="F898" s="562">
        <f t="shared" si="190"/>
        <v>316869.08160218131</v>
      </c>
      <c r="G898" s="553">
        <f t="shared" si="193"/>
        <v>57.845802562170356</v>
      </c>
      <c r="H898" s="600">
        <v>18742</v>
      </c>
      <c r="I898" s="600">
        <v>0</v>
      </c>
      <c r="J898" s="70">
        <f t="shared" si="194"/>
        <v>18742</v>
      </c>
      <c r="K898" s="600">
        <v>0</v>
      </c>
      <c r="L898" s="600">
        <v>0</v>
      </c>
      <c r="M898" s="606">
        <v>296688</v>
      </c>
      <c r="N898" s="607">
        <v>0</v>
      </c>
      <c r="O898" s="630">
        <f t="shared" si="195"/>
        <v>296688</v>
      </c>
      <c r="P898" s="628">
        <f t="shared" si="196"/>
        <v>1381.2357996191131</v>
      </c>
      <c r="Q898" s="70">
        <f t="shared" si="197"/>
        <v>1381.2357996191131</v>
      </c>
      <c r="R898" s="562" t="str">
        <f t="shared" si="198"/>
        <v/>
      </c>
      <c r="S898" s="552"/>
      <c r="AC898" s="642" t="s">
        <v>2760</v>
      </c>
      <c r="AD898" s="687"/>
      <c r="AE898" s="687"/>
      <c r="AF898" s="687"/>
      <c r="AG898" s="687"/>
      <c r="AH898" s="687"/>
      <c r="AI898" s="687"/>
      <c r="AJ898" s="687"/>
      <c r="AK898" s="687"/>
      <c r="AL898" s="687"/>
      <c r="AM898" s="687"/>
      <c r="AN898" s="687"/>
      <c r="AO898" s="687"/>
      <c r="AP898" s="687"/>
      <c r="AQ898" s="687"/>
      <c r="AR898" s="687"/>
      <c r="AS898" s="592"/>
    </row>
    <row r="899" spans="1:45" ht="15.75" customHeight="1" x14ac:dyDescent="0.3">
      <c r="A899" s="139" t="s">
        <v>2236</v>
      </c>
      <c r="B899" s="553">
        <f t="shared" si="191"/>
        <v>309495.72968060238</v>
      </c>
      <c r="C899" s="70">
        <f t="shared" si="188"/>
        <v>1547</v>
      </c>
      <c r="D899" s="70">
        <f t="shared" si="192"/>
        <v>14064</v>
      </c>
      <c r="E899" s="70">
        <f t="shared" si="189"/>
        <v>311042.72968060238</v>
      </c>
      <c r="F899" s="562">
        <f t="shared" si="190"/>
        <v>325106.72968060238</v>
      </c>
      <c r="G899" s="553">
        <f t="shared" si="193"/>
        <v>1576.5355840241118</v>
      </c>
      <c r="H899" s="600">
        <v>17162</v>
      </c>
      <c r="I899" s="600">
        <v>0</v>
      </c>
      <c r="J899" s="70">
        <f t="shared" si="194"/>
        <v>17162</v>
      </c>
      <c r="K899" s="600">
        <v>0</v>
      </c>
      <c r="L899" s="600">
        <v>0</v>
      </c>
      <c r="M899" s="606">
        <v>302328</v>
      </c>
      <c r="N899" s="607">
        <v>0</v>
      </c>
      <c r="O899" s="630">
        <f t="shared" si="195"/>
        <v>302328</v>
      </c>
      <c r="P899" s="628">
        <f t="shared" si="196"/>
        <v>4040.1940965782851</v>
      </c>
      <c r="Q899" s="70">
        <f t="shared" si="197"/>
        <v>4040.1940965782851</v>
      </c>
      <c r="R899" s="562" t="str">
        <f t="shared" si="198"/>
        <v/>
      </c>
      <c r="S899" s="552"/>
      <c r="AC899" s="642" t="s">
        <v>1114</v>
      </c>
      <c r="AD899" s="687"/>
      <c r="AE899" s="687"/>
      <c r="AF899" s="687"/>
      <c r="AG899" s="687"/>
      <c r="AH899" s="687"/>
      <c r="AI899" s="687"/>
      <c r="AJ899" s="687">
        <v>2.5000000000000001E-2</v>
      </c>
      <c r="AK899" s="687">
        <v>2.5000000000000001E-2</v>
      </c>
      <c r="AL899" s="687">
        <v>2.5000000000000001E-2</v>
      </c>
      <c r="AM899" s="687">
        <v>2.5000000000000001E-2</v>
      </c>
      <c r="AN899" s="687">
        <v>2.5000000000000001E-2</v>
      </c>
      <c r="AO899" s="687">
        <v>2.5000000000000001E-2</v>
      </c>
      <c r="AP899" s="687">
        <v>2.5000000000000001E-2</v>
      </c>
      <c r="AQ899" s="687">
        <v>2.5000000000000001E-2</v>
      </c>
      <c r="AR899" s="687">
        <v>2.5000000000000001E-2</v>
      </c>
      <c r="AS899" s="592"/>
    </row>
    <row r="900" spans="1:45" ht="15.75" customHeight="1" x14ac:dyDescent="0.3">
      <c r="A900" s="139" t="s">
        <v>2237</v>
      </c>
      <c r="B900" s="553">
        <f t="shared" si="191"/>
        <v>238237</v>
      </c>
      <c r="C900" s="70">
        <f t="shared" si="188"/>
        <v>1191</v>
      </c>
      <c r="D900" s="70">
        <f t="shared" si="192"/>
        <v>10658</v>
      </c>
      <c r="E900" s="70">
        <f t="shared" si="189"/>
        <v>239428</v>
      </c>
      <c r="F900" s="562">
        <f t="shared" si="190"/>
        <v>250086</v>
      </c>
      <c r="G900" s="553">
        <f t="shared" si="193"/>
        <v>9210.6252298417494</v>
      </c>
      <c r="H900" s="600">
        <v>14546</v>
      </c>
      <c r="I900" s="600">
        <v>0</v>
      </c>
      <c r="J900" s="70">
        <f t="shared" si="194"/>
        <v>14546</v>
      </c>
      <c r="K900" s="600">
        <v>0</v>
      </c>
      <c r="L900" s="600">
        <v>0</v>
      </c>
      <c r="M900" s="606">
        <v>220920</v>
      </c>
      <c r="N900" s="607">
        <v>0</v>
      </c>
      <c r="O900" s="630">
        <f t="shared" si="195"/>
        <v>220920</v>
      </c>
      <c r="P900" s="628">
        <f t="shared" si="196"/>
        <v>5409.3747701582615</v>
      </c>
      <c r="Q900" s="70">
        <f t="shared" si="197"/>
        <v>5409.3747701582615</v>
      </c>
      <c r="R900" s="562" t="str">
        <f t="shared" si="198"/>
        <v/>
      </c>
      <c r="S900" s="552"/>
      <c r="AC900" s="642" t="s">
        <v>2356</v>
      </c>
      <c r="AD900" s="217">
        <f>SUM(AD895:AD899)</f>
        <v>0</v>
      </c>
      <c r="AE900" s="217">
        <f>SUM(AE895:AE899)</f>
        <v>0</v>
      </c>
      <c r="AF900" s="217">
        <f>SUM(AF895:AF899)</f>
        <v>0</v>
      </c>
      <c r="AG900" s="217">
        <f>SUM(AG895:AG899)</f>
        <v>0</v>
      </c>
      <c r="AH900" s="217">
        <f>SUM(AH895:AH899)</f>
        <v>0</v>
      </c>
      <c r="AI900" s="217">
        <f t="shared" ref="AI900:AR900" si="199">SUM(AI895:AI899)</f>
        <v>0</v>
      </c>
      <c r="AJ900" s="217">
        <f t="shared" si="199"/>
        <v>2.5000000000000001E-2</v>
      </c>
      <c r="AK900" s="217">
        <f t="shared" si="199"/>
        <v>2.5000000000000001E-2</v>
      </c>
      <c r="AL900" s="217">
        <f t="shared" si="199"/>
        <v>2.5000000000000001E-2</v>
      </c>
      <c r="AM900" s="217">
        <f t="shared" si="199"/>
        <v>2.5000000000000001E-2</v>
      </c>
      <c r="AN900" s="217">
        <f t="shared" si="199"/>
        <v>2.5000000000000001E-2</v>
      </c>
      <c r="AO900" s="217">
        <f t="shared" si="199"/>
        <v>2.5000000000000001E-2</v>
      </c>
      <c r="AP900" s="217">
        <f t="shared" si="199"/>
        <v>2.5000000000000001E-2</v>
      </c>
      <c r="AQ900" s="217">
        <f t="shared" si="199"/>
        <v>2.5000000000000001E-2</v>
      </c>
      <c r="AR900" s="217">
        <f t="shared" si="199"/>
        <v>2.5000000000000001E-2</v>
      </c>
      <c r="AS900" s="592"/>
    </row>
    <row r="901" spans="1:45" ht="15.75" customHeight="1" x14ac:dyDescent="0.3">
      <c r="A901" s="139" t="s">
        <v>1504</v>
      </c>
      <c r="B901" s="553">
        <f t="shared" si="191"/>
        <v>180940</v>
      </c>
      <c r="C901" s="70">
        <f t="shared" si="188"/>
        <v>905</v>
      </c>
      <c r="D901" s="70">
        <f t="shared" si="192"/>
        <v>7779</v>
      </c>
      <c r="E901" s="70">
        <f t="shared" si="189"/>
        <v>181845</v>
      </c>
      <c r="F901" s="562">
        <f t="shared" si="190"/>
        <v>189624</v>
      </c>
      <c r="G901" s="553">
        <f t="shared" si="193"/>
        <v>11320.02598342125</v>
      </c>
      <c r="H901" s="600">
        <v>14127</v>
      </c>
      <c r="I901" s="600">
        <v>0</v>
      </c>
      <c r="J901" s="70">
        <f t="shared" si="194"/>
        <v>14127</v>
      </c>
      <c r="K901" s="600">
        <v>0</v>
      </c>
      <c r="L901" s="600">
        <v>0</v>
      </c>
      <c r="M901" s="606">
        <v>153656</v>
      </c>
      <c r="N901" s="607">
        <v>0</v>
      </c>
      <c r="O901" s="630">
        <f t="shared" si="195"/>
        <v>153656</v>
      </c>
      <c r="P901" s="628">
        <f t="shared" si="196"/>
        <v>10520.974016578752</v>
      </c>
      <c r="Q901" s="70">
        <f t="shared" si="197"/>
        <v>10520.974016578752</v>
      </c>
      <c r="R901" s="562" t="str">
        <f t="shared" si="198"/>
        <v/>
      </c>
      <c r="S901" s="552"/>
      <c r="AC901" s="553" t="s">
        <v>1353</v>
      </c>
      <c r="AD901" s="70" t="s">
        <v>1353</v>
      </c>
      <c r="AE901" s="70" t="s">
        <v>1353</v>
      </c>
      <c r="AF901" s="70" t="s">
        <v>1353</v>
      </c>
      <c r="AG901" s="70" t="s">
        <v>1353</v>
      </c>
      <c r="AH901" s="70" t="s">
        <v>1353</v>
      </c>
      <c r="AI901" s="70" t="s">
        <v>1353</v>
      </c>
      <c r="AJ901" s="70" t="s">
        <v>1353</v>
      </c>
      <c r="AK901" s="70" t="s">
        <v>1353</v>
      </c>
      <c r="AL901" s="70" t="s">
        <v>1353</v>
      </c>
      <c r="AM901" s="70" t="s">
        <v>1353</v>
      </c>
      <c r="AN901" s="70" t="s">
        <v>1353</v>
      </c>
      <c r="AO901" s="70" t="s">
        <v>1353</v>
      </c>
      <c r="AP901" s="70" t="s">
        <v>1353</v>
      </c>
      <c r="AQ901" s="70" t="s">
        <v>1353</v>
      </c>
      <c r="AR901" s="70" t="s">
        <v>1353</v>
      </c>
      <c r="AS901" s="592" t="s">
        <v>1353</v>
      </c>
    </row>
    <row r="902" spans="1:45" ht="15.75" customHeight="1" x14ac:dyDescent="0.3">
      <c r="A902" s="139" t="s">
        <v>1505</v>
      </c>
      <c r="B902" s="553">
        <f t="shared" si="191"/>
        <v>190949</v>
      </c>
      <c r="C902" s="70">
        <f t="shared" si="188"/>
        <v>955</v>
      </c>
      <c r="D902" s="70">
        <f t="shared" si="192"/>
        <v>8226</v>
      </c>
      <c r="E902" s="70">
        <f t="shared" si="189"/>
        <v>191904</v>
      </c>
      <c r="F902" s="562">
        <f t="shared" si="190"/>
        <v>200130</v>
      </c>
      <c r="G902" s="553">
        <f t="shared" si="193"/>
        <v>6383.2050759163476</v>
      </c>
      <c r="H902" s="600">
        <v>11347</v>
      </c>
      <c r="I902" s="600">
        <v>0</v>
      </c>
      <c r="J902" s="70">
        <f t="shared" si="194"/>
        <v>11347</v>
      </c>
      <c r="K902" s="600">
        <v>0</v>
      </c>
      <c r="L902" s="600">
        <v>0</v>
      </c>
      <c r="M902" s="606">
        <v>158528</v>
      </c>
      <c r="N902" s="607">
        <v>0</v>
      </c>
      <c r="O902" s="630">
        <f t="shared" si="195"/>
        <v>158528</v>
      </c>
      <c r="P902" s="628">
        <f t="shared" si="196"/>
        <v>23871.794924083661</v>
      </c>
      <c r="Q902" s="70">
        <f t="shared" si="197"/>
        <v>23871.794924083661</v>
      </c>
      <c r="R902" s="562" t="str">
        <f t="shared" si="198"/>
        <v/>
      </c>
      <c r="S902" s="552"/>
      <c r="AC902" s="642" t="s">
        <v>2843</v>
      </c>
      <c r="AD902" s="67">
        <f>ROUND(B867*$AD$900, 0)</f>
        <v>0</v>
      </c>
      <c r="AE902" s="67">
        <f>ROUND(C867*$AE$900,0)</f>
        <v>0</v>
      </c>
      <c r="AF902" s="67">
        <f>ROUND(D867*$AF$900,0)</f>
        <v>0</v>
      </c>
      <c r="AG902" s="67">
        <f>ROUND(E867*$AG$900,0)</f>
        <v>0</v>
      </c>
      <c r="AH902" s="67">
        <f>ROUND(F867*$AH$900,0)</f>
        <v>0</v>
      </c>
      <c r="AI902" s="67">
        <f>ROUND(H867*$AI$900,0)</f>
        <v>0</v>
      </c>
      <c r="AJ902" s="67">
        <f>ROUND(I867*$AJ$900,0)</f>
        <v>62</v>
      </c>
      <c r="AK902" s="67">
        <f>ROUND(J867*$AK$900,0)</f>
        <v>97</v>
      </c>
      <c r="AL902" s="67">
        <f>ROUND(K867*$AL$900,0)</f>
        <v>98</v>
      </c>
      <c r="AM902" s="67">
        <f>ROUND(L867*$AM$900,0)</f>
        <v>26</v>
      </c>
      <c r="AN902" s="67">
        <f>ROUND(M867*$AN$900,0)</f>
        <v>30</v>
      </c>
      <c r="AO902" s="67">
        <f>ROUND(N867*$AO$900,0)</f>
        <v>64</v>
      </c>
      <c r="AP902" s="67">
        <f>ROUND(O867*$AP$900,0)</f>
        <v>21</v>
      </c>
      <c r="AQ902" s="67">
        <f>ROUND(P867*$AQ$900,0)</f>
        <v>2</v>
      </c>
      <c r="AR902" s="67">
        <f>ROUND(Q867*$AR$900,0)</f>
        <v>51</v>
      </c>
      <c r="AS902" s="636">
        <f>SUM(AD902:AR902)</f>
        <v>451</v>
      </c>
    </row>
    <row r="903" spans="1:45" ht="15.75" customHeight="1" x14ac:dyDescent="0.3">
      <c r="A903" s="139" t="s">
        <v>1506</v>
      </c>
      <c r="B903" s="553">
        <f t="shared" si="191"/>
        <v>237856.76686511969</v>
      </c>
      <c r="C903" s="70">
        <f t="shared" si="188"/>
        <v>1189</v>
      </c>
      <c r="D903" s="70">
        <f t="shared" si="192"/>
        <v>10781</v>
      </c>
      <c r="E903" s="70">
        <f t="shared" si="189"/>
        <v>239045.76686511969</v>
      </c>
      <c r="F903" s="562">
        <f t="shared" si="190"/>
        <v>249826.76686511969</v>
      </c>
      <c r="G903" s="553">
        <f t="shared" si="193"/>
        <v>553.99663583987819</v>
      </c>
      <c r="H903" s="600">
        <v>9884</v>
      </c>
      <c r="I903" s="600">
        <v>0</v>
      </c>
      <c r="J903" s="70">
        <f t="shared" si="194"/>
        <v>9884</v>
      </c>
      <c r="K903" s="600">
        <v>0</v>
      </c>
      <c r="L903" s="600">
        <v>0</v>
      </c>
      <c r="M903" s="606">
        <v>223440</v>
      </c>
      <c r="N903" s="607">
        <v>36720</v>
      </c>
      <c r="O903" s="630">
        <f t="shared" si="195"/>
        <v>260160</v>
      </c>
      <c r="P903" s="628">
        <f t="shared" si="196"/>
        <v>-20771.22977072018</v>
      </c>
      <c r="Q903" s="70" t="str">
        <f t="shared" si="197"/>
        <v/>
      </c>
      <c r="R903" s="562">
        <f t="shared" si="198"/>
        <v>20771.22977072018</v>
      </c>
      <c r="S903" s="552"/>
      <c r="AC903" s="642" t="s">
        <v>2091</v>
      </c>
      <c r="AD903" s="67">
        <f t="shared" ref="AD903:AD913" si="200">ROUND(B868*$AD$900, 0)</f>
        <v>0</v>
      </c>
      <c r="AE903" s="67">
        <f t="shared" ref="AE903:AE913" si="201">ROUND(C868*$AE$900,0)</f>
        <v>0</v>
      </c>
      <c r="AF903" s="67">
        <f t="shared" ref="AF903:AF913" si="202">ROUND(D868*$AF$900,0)</f>
        <v>0</v>
      </c>
      <c r="AG903" s="67">
        <f t="shared" ref="AG903:AG913" si="203">ROUND(E868*$AG$900,0)</f>
        <v>0</v>
      </c>
      <c r="AH903" s="67">
        <f t="shared" ref="AH903:AH913" si="204">ROUND(F868*$AH$900,0)</f>
        <v>0</v>
      </c>
      <c r="AI903" s="67">
        <f t="shared" ref="AI903:AI913" si="205">ROUND(H868*$AI$900,0)</f>
        <v>0</v>
      </c>
      <c r="AJ903" s="67">
        <f t="shared" ref="AJ903:AJ913" si="206">ROUND(I868*$AJ$900,0)</f>
        <v>58</v>
      </c>
      <c r="AK903" s="67">
        <f t="shared" ref="AK903:AK913" si="207">ROUND(J868*$AK$900,0)</f>
        <v>89</v>
      </c>
      <c r="AL903" s="67">
        <f t="shared" ref="AL903:AL913" si="208">ROUND(K868*$AL$900,0)</f>
        <v>88</v>
      </c>
      <c r="AM903" s="67">
        <f t="shared" ref="AM903:AM913" si="209">ROUND(L868*$AM$900,0)</f>
        <v>28</v>
      </c>
      <c r="AN903" s="67">
        <f t="shared" ref="AN903:AN913" si="210">ROUND(M868*$AN$900,0)</f>
        <v>33</v>
      </c>
      <c r="AO903" s="67">
        <f t="shared" ref="AO903:AO913" si="211">ROUND(N868*$AO$900,0)</f>
        <v>69</v>
      </c>
      <c r="AP903" s="67">
        <f t="shared" ref="AP903:AP913" si="212">ROUND(O868*$AP$900,0)</f>
        <v>12</v>
      </c>
      <c r="AQ903" s="67">
        <f t="shared" ref="AQ903:AQ913" si="213">ROUND(P868*$AQ$900,0)</f>
        <v>1</v>
      </c>
      <c r="AR903" s="67">
        <f t="shared" ref="AR903:AR913" si="214">ROUND(Q868*$AR$900,0)</f>
        <v>29</v>
      </c>
      <c r="AS903" s="636">
        <f t="shared" ref="AS903:AS913" si="215">SUM(AD903:AR903)</f>
        <v>407</v>
      </c>
    </row>
    <row r="904" spans="1:45" ht="15.75" customHeight="1" x14ac:dyDescent="0.3">
      <c r="A904" s="139" t="s">
        <v>1507</v>
      </c>
      <c r="B904" s="553">
        <f t="shared" si="191"/>
        <v>195798.84367696702</v>
      </c>
      <c r="C904" s="70">
        <f t="shared" si="188"/>
        <v>979</v>
      </c>
      <c r="D904" s="70">
        <f t="shared" si="192"/>
        <v>8984</v>
      </c>
      <c r="E904" s="70">
        <f t="shared" si="189"/>
        <v>196777.84367696702</v>
      </c>
      <c r="F904" s="562">
        <f t="shared" si="190"/>
        <v>205761.84367696702</v>
      </c>
      <c r="G904" s="553">
        <f t="shared" si="193"/>
        <v>0</v>
      </c>
      <c r="H904" s="600">
        <v>11790</v>
      </c>
      <c r="I904" s="600">
        <v>0</v>
      </c>
      <c r="J904" s="70">
        <f t="shared" si="194"/>
        <v>11790</v>
      </c>
      <c r="K904" s="600">
        <v>0</v>
      </c>
      <c r="L904" s="600">
        <v>0</v>
      </c>
      <c r="M904" s="606">
        <v>227912</v>
      </c>
      <c r="N904" s="607">
        <v>0</v>
      </c>
      <c r="O904" s="630">
        <f t="shared" si="195"/>
        <v>227912</v>
      </c>
      <c r="P904" s="628">
        <f t="shared" si="196"/>
        <v>-33940.156323032978</v>
      </c>
      <c r="Q904" s="70" t="str">
        <f t="shared" si="197"/>
        <v/>
      </c>
      <c r="R904" s="562">
        <f t="shared" si="198"/>
        <v>33940.156323032978</v>
      </c>
      <c r="S904" s="552"/>
      <c r="AC904" s="642" t="s">
        <v>2234</v>
      </c>
      <c r="AD904" s="67">
        <f t="shared" si="200"/>
        <v>0</v>
      </c>
      <c r="AE904" s="67">
        <f t="shared" si="201"/>
        <v>0</v>
      </c>
      <c r="AF904" s="67">
        <f t="shared" si="202"/>
        <v>0</v>
      </c>
      <c r="AG904" s="67">
        <f t="shared" si="203"/>
        <v>0</v>
      </c>
      <c r="AH904" s="67">
        <f t="shared" si="204"/>
        <v>0</v>
      </c>
      <c r="AI904" s="67">
        <f t="shared" si="205"/>
        <v>0</v>
      </c>
      <c r="AJ904" s="67">
        <f t="shared" si="206"/>
        <v>140</v>
      </c>
      <c r="AK904" s="67">
        <f t="shared" si="207"/>
        <v>162</v>
      </c>
      <c r="AL904" s="67">
        <f t="shared" si="208"/>
        <v>140</v>
      </c>
      <c r="AM904" s="67">
        <f t="shared" si="209"/>
        <v>50</v>
      </c>
      <c r="AN904" s="67">
        <f t="shared" si="210"/>
        <v>59</v>
      </c>
      <c r="AO904" s="67">
        <f t="shared" si="211"/>
        <v>121</v>
      </c>
      <c r="AP904" s="67">
        <f t="shared" si="212"/>
        <v>17</v>
      </c>
      <c r="AQ904" s="67">
        <f t="shared" si="213"/>
        <v>27</v>
      </c>
      <c r="AR904" s="67">
        <f t="shared" si="214"/>
        <v>41</v>
      </c>
      <c r="AS904" s="636">
        <f t="shared" si="215"/>
        <v>757</v>
      </c>
    </row>
    <row r="905" spans="1:45" ht="15.75" customHeight="1" x14ac:dyDescent="0.3">
      <c r="A905" s="139" t="s">
        <v>1508</v>
      </c>
      <c r="B905" s="553">
        <f t="shared" si="191"/>
        <v>219002.64606595688</v>
      </c>
      <c r="C905" s="70">
        <f t="shared" si="188"/>
        <v>1095</v>
      </c>
      <c r="D905" s="70">
        <f t="shared" si="192"/>
        <v>10338</v>
      </c>
      <c r="E905" s="70">
        <f t="shared" si="189"/>
        <v>220097.64606595688</v>
      </c>
      <c r="F905" s="562">
        <f t="shared" si="190"/>
        <v>230435.64606595688</v>
      </c>
      <c r="G905" s="553">
        <f t="shared" si="193"/>
        <v>0</v>
      </c>
      <c r="H905" s="600">
        <v>8236</v>
      </c>
      <c r="I905" s="600">
        <v>0</v>
      </c>
      <c r="J905" s="70">
        <f t="shared" si="194"/>
        <v>8236</v>
      </c>
      <c r="K905" s="600">
        <v>0</v>
      </c>
      <c r="L905" s="600">
        <v>0</v>
      </c>
      <c r="M905" s="606">
        <v>227520</v>
      </c>
      <c r="N905" s="607">
        <v>0</v>
      </c>
      <c r="O905" s="630">
        <f t="shared" si="195"/>
        <v>227520</v>
      </c>
      <c r="P905" s="628">
        <f t="shared" si="196"/>
        <v>-5320.3539340431162</v>
      </c>
      <c r="Q905" s="70" t="str">
        <f t="shared" si="197"/>
        <v/>
      </c>
      <c r="R905" s="562">
        <f t="shared" si="198"/>
        <v>5320.3539340431162</v>
      </c>
      <c r="S905" s="552"/>
      <c r="AC905" s="642" t="s">
        <v>2235</v>
      </c>
      <c r="AD905" s="67">
        <f t="shared" si="200"/>
        <v>0</v>
      </c>
      <c r="AE905" s="67">
        <f t="shared" si="201"/>
        <v>0</v>
      </c>
      <c r="AF905" s="67">
        <f t="shared" si="202"/>
        <v>0</v>
      </c>
      <c r="AG905" s="67">
        <f t="shared" si="203"/>
        <v>0</v>
      </c>
      <c r="AH905" s="67">
        <f t="shared" si="204"/>
        <v>0</v>
      </c>
      <c r="AI905" s="67">
        <f t="shared" si="205"/>
        <v>0</v>
      </c>
      <c r="AJ905" s="67">
        <f t="shared" si="206"/>
        <v>163</v>
      </c>
      <c r="AK905" s="67">
        <f t="shared" si="207"/>
        <v>217</v>
      </c>
      <c r="AL905" s="67">
        <f t="shared" si="208"/>
        <v>164</v>
      </c>
      <c r="AM905" s="67">
        <f t="shared" si="209"/>
        <v>55</v>
      </c>
      <c r="AN905" s="67">
        <f t="shared" si="210"/>
        <v>65</v>
      </c>
      <c r="AO905" s="67">
        <f t="shared" si="211"/>
        <v>128</v>
      </c>
      <c r="AP905" s="67">
        <f t="shared" si="212"/>
        <v>21</v>
      </c>
      <c r="AQ905" s="67">
        <f t="shared" si="213"/>
        <v>43</v>
      </c>
      <c r="AR905" s="67">
        <f t="shared" si="214"/>
        <v>49</v>
      </c>
      <c r="AS905" s="636">
        <f t="shared" si="215"/>
        <v>905</v>
      </c>
    </row>
    <row r="906" spans="1:45" ht="15.75" customHeight="1" x14ac:dyDescent="0.3">
      <c r="A906" s="139" t="s">
        <v>1509</v>
      </c>
      <c r="B906" s="553">
        <f t="shared" si="191"/>
        <v>196515.20800335158</v>
      </c>
      <c r="C906" s="70">
        <f t="shared" si="188"/>
        <v>983</v>
      </c>
      <c r="D906" s="70">
        <f t="shared" si="192"/>
        <v>8962</v>
      </c>
      <c r="E906" s="70">
        <f t="shared" si="189"/>
        <v>197498.20800335158</v>
      </c>
      <c r="F906" s="562">
        <f t="shared" si="190"/>
        <v>206460.20800335158</v>
      </c>
      <c r="G906" s="553">
        <f t="shared" si="193"/>
        <v>0</v>
      </c>
      <c r="H906" s="600">
        <v>8789</v>
      </c>
      <c r="I906" s="600">
        <v>0</v>
      </c>
      <c r="J906" s="70">
        <f>(H906+I906)</f>
        <v>8789</v>
      </c>
      <c r="K906" s="600">
        <v>0</v>
      </c>
      <c r="L906" s="600">
        <v>0</v>
      </c>
      <c r="M906" s="606">
        <v>231632</v>
      </c>
      <c r="N906" s="607">
        <v>18600</v>
      </c>
      <c r="O906" s="630">
        <f t="shared" si="195"/>
        <v>250232</v>
      </c>
      <c r="P906" s="628">
        <f t="shared" si="196"/>
        <v>-52560.791996648419</v>
      </c>
      <c r="Q906" s="70" t="str">
        <f t="shared" si="197"/>
        <v/>
      </c>
      <c r="R906" s="562">
        <f t="shared" si="198"/>
        <v>52560.791996648419</v>
      </c>
      <c r="S906" s="552"/>
      <c r="AC906" s="642" t="s">
        <v>2236</v>
      </c>
      <c r="AD906" s="67">
        <f t="shared" si="200"/>
        <v>0</v>
      </c>
      <c r="AE906" s="67">
        <f t="shared" si="201"/>
        <v>0</v>
      </c>
      <c r="AF906" s="67">
        <f t="shared" si="202"/>
        <v>0</v>
      </c>
      <c r="AG906" s="67">
        <f t="shared" si="203"/>
        <v>0</v>
      </c>
      <c r="AH906" s="67">
        <f t="shared" si="204"/>
        <v>0</v>
      </c>
      <c r="AI906" s="67">
        <f t="shared" si="205"/>
        <v>0</v>
      </c>
      <c r="AJ906" s="67">
        <f t="shared" si="206"/>
        <v>164</v>
      </c>
      <c r="AK906" s="67">
        <f t="shared" si="207"/>
        <v>221</v>
      </c>
      <c r="AL906" s="67">
        <f t="shared" si="208"/>
        <v>157</v>
      </c>
      <c r="AM906" s="67">
        <f t="shared" si="209"/>
        <v>57</v>
      </c>
      <c r="AN906" s="67">
        <f t="shared" si="210"/>
        <v>67</v>
      </c>
      <c r="AO906" s="67">
        <f t="shared" si="211"/>
        <v>134</v>
      </c>
      <c r="AP906" s="67">
        <f t="shared" si="212"/>
        <v>20</v>
      </c>
      <c r="AQ906" s="67">
        <f t="shared" si="213"/>
        <v>49</v>
      </c>
      <c r="AR906" s="67">
        <f t="shared" si="214"/>
        <v>48</v>
      </c>
      <c r="AS906" s="636">
        <f t="shared" si="215"/>
        <v>917</v>
      </c>
    </row>
    <row r="907" spans="1:45" ht="15.75" customHeight="1" x14ac:dyDescent="0.3">
      <c r="A907" s="592" t="s">
        <v>2435</v>
      </c>
      <c r="B907" s="553" t="s">
        <v>2435</v>
      </c>
      <c r="C907" s="70"/>
      <c r="D907" s="70"/>
      <c r="E907" s="70" t="s">
        <v>852</v>
      </c>
      <c r="F907" s="562"/>
      <c r="G907" s="553"/>
      <c r="H907" s="70"/>
      <c r="I907" s="70" t="s">
        <v>852</v>
      </c>
      <c r="J907" s="70" t="s">
        <v>852</v>
      </c>
      <c r="K907" s="601"/>
      <c r="L907" s="70"/>
      <c r="M907" s="606"/>
      <c r="N907" s="607"/>
      <c r="O907" s="630">
        <f t="shared" si="195"/>
        <v>0</v>
      </c>
      <c r="P907" s="628"/>
      <c r="Q907" s="70"/>
      <c r="R907" s="562"/>
      <c r="S907" s="552"/>
      <c r="AC907" s="642" t="s">
        <v>2237</v>
      </c>
      <c r="AD907" s="67">
        <f t="shared" si="200"/>
        <v>0</v>
      </c>
      <c r="AE907" s="67">
        <f t="shared" si="201"/>
        <v>0</v>
      </c>
      <c r="AF907" s="67">
        <f t="shared" si="202"/>
        <v>0</v>
      </c>
      <c r="AG907" s="67">
        <f t="shared" si="203"/>
        <v>0</v>
      </c>
      <c r="AH907" s="67">
        <f t="shared" si="204"/>
        <v>0</v>
      </c>
      <c r="AI907" s="67">
        <f t="shared" si="205"/>
        <v>0</v>
      </c>
      <c r="AJ907" s="67">
        <f t="shared" si="206"/>
        <v>177</v>
      </c>
      <c r="AK907" s="67">
        <f t="shared" si="207"/>
        <v>176</v>
      </c>
      <c r="AL907" s="67">
        <f t="shared" si="208"/>
        <v>133</v>
      </c>
      <c r="AM907" s="67">
        <f t="shared" si="209"/>
        <v>46</v>
      </c>
      <c r="AN907" s="67">
        <f t="shared" si="210"/>
        <v>54</v>
      </c>
      <c r="AO907" s="67">
        <f t="shared" si="211"/>
        <v>103</v>
      </c>
      <c r="AP907" s="67">
        <f t="shared" si="212"/>
        <v>21</v>
      </c>
      <c r="AQ907" s="67">
        <f t="shared" si="213"/>
        <v>51</v>
      </c>
      <c r="AR907" s="67">
        <f t="shared" si="214"/>
        <v>50</v>
      </c>
      <c r="AS907" s="636">
        <f t="shared" si="215"/>
        <v>811</v>
      </c>
    </row>
    <row r="908" spans="1:45" ht="16.5" customHeight="1" thickBot="1" x14ac:dyDescent="0.35">
      <c r="A908" s="596" t="s">
        <v>2356</v>
      </c>
      <c r="B908" s="558">
        <f>SUM(B895:B906)</f>
        <v>2736097.1280195694</v>
      </c>
      <c r="C908" s="564">
        <f>+SUM(C895:C906)</f>
        <v>13680</v>
      </c>
      <c r="D908" s="564">
        <f>SUM(D895:D906)</f>
        <v>124200</v>
      </c>
      <c r="E908" s="564">
        <f>(B908*1.005)</f>
        <v>2749777.6136596669</v>
      </c>
      <c r="F908" s="602">
        <f>SUM(F895:F906)</f>
        <v>2873977.1280195694</v>
      </c>
      <c r="G908" s="558">
        <f>SUM(G895:G906)</f>
        <v>33131.903791635646</v>
      </c>
      <c r="H908" s="564">
        <f>SUM(H895:H906)</f>
        <v>156274</v>
      </c>
      <c r="I908" s="564">
        <f>SUM(I895:I906)</f>
        <v>0</v>
      </c>
      <c r="J908" s="564">
        <f>(H908+I908)</f>
        <v>156274</v>
      </c>
      <c r="K908" s="564">
        <f>SUM(K895:K906)</f>
        <v>0</v>
      </c>
      <c r="L908" s="564">
        <f>SUM(L895:L906)</f>
        <v>0</v>
      </c>
      <c r="M908" s="608">
        <f>SUM(M895:M906)</f>
        <v>2748608</v>
      </c>
      <c r="N908" s="609">
        <f>SUM(N895:N906)</f>
        <v>55320</v>
      </c>
      <c r="O908" s="631">
        <f t="shared" si="195"/>
        <v>2803928</v>
      </c>
      <c r="P908" s="629">
        <f>(F908-G908-J908-K908-L908-O908)</f>
        <v>-119356.77577206632</v>
      </c>
      <c r="Q908" s="564">
        <f>+SUM(Q895:Q906)</f>
        <v>45223.573607018072</v>
      </c>
      <c r="R908" s="602">
        <f>+SUM(R895:R906)</f>
        <v>164580.34937908425</v>
      </c>
      <c r="S908" s="552"/>
      <c r="AC908" s="642" t="s">
        <v>1504</v>
      </c>
      <c r="AD908" s="67">
        <f t="shared" si="200"/>
        <v>0</v>
      </c>
      <c r="AE908" s="67">
        <f t="shared" si="201"/>
        <v>0</v>
      </c>
      <c r="AF908" s="67">
        <f t="shared" si="202"/>
        <v>0</v>
      </c>
      <c r="AG908" s="67">
        <f t="shared" si="203"/>
        <v>0</v>
      </c>
      <c r="AH908" s="67">
        <f t="shared" si="204"/>
        <v>0</v>
      </c>
      <c r="AI908" s="67">
        <f t="shared" si="205"/>
        <v>0</v>
      </c>
      <c r="AJ908" s="67">
        <f t="shared" si="206"/>
        <v>201</v>
      </c>
      <c r="AK908" s="67">
        <f t="shared" si="207"/>
        <v>193</v>
      </c>
      <c r="AL908" s="67">
        <f t="shared" si="208"/>
        <v>145</v>
      </c>
      <c r="AM908" s="67">
        <f t="shared" si="209"/>
        <v>44</v>
      </c>
      <c r="AN908" s="67">
        <f t="shared" si="210"/>
        <v>52</v>
      </c>
      <c r="AO908" s="67">
        <f t="shared" si="211"/>
        <v>93</v>
      </c>
      <c r="AP908" s="67">
        <f t="shared" si="212"/>
        <v>21</v>
      </c>
      <c r="AQ908" s="67">
        <f t="shared" si="213"/>
        <v>54</v>
      </c>
      <c r="AR908" s="67">
        <f t="shared" si="214"/>
        <v>50</v>
      </c>
      <c r="AS908" s="636">
        <f t="shared" si="215"/>
        <v>853</v>
      </c>
    </row>
    <row r="909" spans="1:45" ht="15.75" customHeight="1" x14ac:dyDescent="0.3">
      <c r="A909" s="579"/>
      <c r="B909" s="67"/>
      <c r="C909" s="67"/>
      <c r="D909" s="67"/>
      <c r="E909" s="67"/>
      <c r="F909" s="67" t="s">
        <v>2435</v>
      </c>
      <c r="G909" s="67"/>
      <c r="H909" s="67"/>
      <c r="I909" s="67"/>
      <c r="K909" s="67"/>
      <c r="L909" s="67"/>
      <c r="M909" s="219"/>
      <c r="O909" s="561"/>
      <c r="P909" s="67"/>
      <c r="S909" s="561"/>
      <c r="AC909" s="642" t="s">
        <v>1505</v>
      </c>
      <c r="AD909" s="67">
        <f t="shared" si="200"/>
        <v>0</v>
      </c>
      <c r="AE909" s="67">
        <f t="shared" si="201"/>
        <v>0</v>
      </c>
      <c r="AF909" s="67">
        <f t="shared" si="202"/>
        <v>0</v>
      </c>
      <c r="AG909" s="67">
        <f t="shared" si="203"/>
        <v>0</v>
      </c>
      <c r="AH909" s="67">
        <f t="shared" si="204"/>
        <v>0</v>
      </c>
      <c r="AI909" s="67">
        <f t="shared" si="205"/>
        <v>0</v>
      </c>
      <c r="AJ909" s="67">
        <f t="shared" si="206"/>
        <v>200</v>
      </c>
      <c r="AK909" s="67">
        <f t="shared" si="207"/>
        <v>204</v>
      </c>
      <c r="AL909" s="67">
        <f t="shared" si="208"/>
        <v>165</v>
      </c>
      <c r="AM909" s="67">
        <f t="shared" si="209"/>
        <v>49</v>
      </c>
      <c r="AN909" s="67">
        <f t="shared" si="210"/>
        <v>58</v>
      </c>
      <c r="AO909" s="67">
        <f t="shared" si="211"/>
        <v>108</v>
      </c>
      <c r="AP909" s="67">
        <f t="shared" si="212"/>
        <v>19</v>
      </c>
      <c r="AQ909" s="67">
        <f t="shared" si="213"/>
        <v>50</v>
      </c>
      <c r="AR909" s="67">
        <f t="shared" si="214"/>
        <v>44</v>
      </c>
      <c r="AS909" s="636">
        <f t="shared" si="215"/>
        <v>897</v>
      </c>
    </row>
    <row r="910" spans="1:45" ht="15.75" customHeight="1" x14ac:dyDescent="0.3">
      <c r="A910" s="551" t="s">
        <v>2640</v>
      </c>
      <c r="O910" s="561"/>
      <c r="P910" s="67"/>
      <c r="Q910" s="67"/>
      <c r="R910" s="67"/>
      <c r="S910" s="561"/>
      <c r="AC910" s="642" t="s">
        <v>1506</v>
      </c>
      <c r="AD910" s="67">
        <f t="shared" si="200"/>
        <v>0</v>
      </c>
      <c r="AE910" s="67">
        <f t="shared" si="201"/>
        <v>0</v>
      </c>
      <c r="AF910" s="67">
        <f t="shared" si="202"/>
        <v>0</v>
      </c>
      <c r="AG910" s="67">
        <f t="shared" si="203"/>
        <v>0</v>
      </c>
      <c r="AH910" s="67">
        <f t="shared" si="204"/>
        <v>0</v>
      </c>
      <c r="AI910" s="67">
        <f t="shared" si="205"/>
        <v>0</v>
      </c>
      <c r="AJ910" s="67">
        <f t="shared" si="206"/>
        <v>126</v>
      </c>
      <c r="AK910" s="67">
        <f t="shared" si="207"/>
        <v>154</v>
      </c>
      <c r="AL910" s="67">
        <f t="shared" si="208"/>
        <v>146</v>
      </c>
      <c r="AM910" s="67">
        <f t="shared" si="209"/>
        <v>46</v>
      </c>
      <c r="AN910" s="67">
        <f t="shared" si="210"/>
        <v>55</v>
      </c>
      <c r="AO910" s="67">
        <f t="shared" si="211"/>
        <v>107</v>
      </c>
      <c r="AP910" s="67">
        <f t="shared" si="212"/>
        <v>17</v>
      </c>
      <c r="AQ910" s="67">
        <f t="shared" si="213"/>
        <v>43</v>
      </c>
      <c r="AR910" s="67">
        <f t="shared" si="214"/>
        <v>41</v>
      </c>
      <c r="AS910" s="636">
        <f t="shared" si="215"/>
        <v>735</v>
      </c>
    </row>
    <row r="911" spans="1:45" ht="15.75" customHeight="1" x14ac:dyDescent="0.3">
      <c r="A911" s="551" t="s">
        <v>1660</v>
      </c>
      <c r="D911" s="67"/>
      <c r="E911" s="67"/>
      <c r="F911" s="67"/>
      <c r="G911" s="67"/>
      <c r="H911" s="67"/>
      <c r="I911" s="67"/>
      <c r="J911" s="67"/>
      <c r="K911" s="67"/>
      <c r="L911" s="67"/>
      <c r="M911" s="67"/>
      <c r="N911" s="67"/>
      <c r="O911" s="552"/>
      <c r="P911" s="67"/>
      <c r="Q911" s="67"/>
      <c r="R911" s="67"/>
      <c r="S911" s="561"/>
      <c r="AC911" s="642" t="s">
        <v>1507</v>
      </c>
      <c r="AD911" s="67">
        <f t="shared" si="200"/>
        <v>0</v>
      </c>
      <c r="AE911" s="67">
        <f t="shared" si="201"/>
        <v>0</v>
      </c>
      <c r="AF911" s="67">
        <f t="shared" si="202"/>
        <v>0</v>
      </c>
      <c r="AG911" s="67">
        <f t="shared" si="203"/>
        <v>0</v>
      </c>
      <c r="AH911" s="67">
        <f t="shared" si="204"/>
        <v>0</v>
      </c>
      <c r="AI911" s="67">
        <f t="shared" si="205"/>
        <v>0</v>
      </c>
      <c r="AJ911" s="67">
        <f t="shared" si="206"/>
        <v>79</v>
      </c>
      <c r="AK911" s="67">
        <f t="shared" si="207"/>
        <v>105</v>
      </c>
      <c r="AL911" s="67">
        <f t="shared" si="208"/>
        <v>99</v>
      </c>
      <c r="AM911" s="67">
        <f t="shared" si="209"/>
        <v>34</v>
      </c>
      <c r="AN911" s="67">
        <f t="shared" si="210"/>
        <v>40</v>
      </c>
      <c r="AO911" s="67">
        <f t="shared" si="211"/>
        <v>79</v>
      </c>
      <c r="AP911" s="67">
        <f t="shared" si="212"/>
        <v>15</v>
      </c>
      <c r="AQ911" s="67">
        <f t="shared" si="213"/>
        <v>38</v>
      </c>
      <c r="AR911" s="67">
        <f t="shared" si="214"/>
        <v>36</v>
      </c>
      <c r="AS911" s="636">
        <f t="shared" si="215"/>
        <v>525</v>
      </c>
    </row>
    <row r="912" spans="1:45" ht="15.75" customHeight="1" x14ac:dyDescent="0.3">
      <c r="A912" s="551" t="s">
        <v>2853</v>
      </c>
      <c r="D912" s="67"/>
      <c r="E912" s="67"/>
      <c r="F912" s="67"/>
      <c r="G912" s="67"/>
      <c r="H912" s="67"/>
      <c r="I912" s="67"/>
      <c r="J912" s="67"/>
      <c r="K912" s="67"/>
      <c r="L912" s="67"/>
      <c r="M912" s="67"/>
      <c r="N912" s="67"/>
      <c r="O912" s="552"/>
      <c r="P912" s="67"/>
      <c r="Q912" s="67"/>
      <c r="R912" s="67"/>
      <c r="S912" s="561"/>
      <c r="AC912" s="642" t="s">
        <v>1508</v>
      </c>
      <c r="AD912" s="67">
        <f t="shared" si="200"/>
        <v>0</v>
      </c>
      <c r="AE912" s="67">
        <f t="shared" si="201"/>
        <v>0</v>
      </c>
      <c r="AF912" s="67">
        <f t="shared" si="202"/>
        <v>0</v>
      </c>
      <c r="AG912" s="67">
        <f t="shared" si="203"/>
        <v>0</v>
      </c>
      <c r="AH912" s="67">
        <f t="shared" si="204"/>
        <v>0</v>
      </c>
      <c r="AI912" s="67">
        <f t="shared" si="205"/>
        <v>0</v>
      </c>
      <c r="AJ912" s="67">
        <f t="shared" si="206"/>
        <v>45</v>
      </c>
      <c r="AK912" s="67">
        <f t="shared" si="207"/>
        <v>70</v>
      </c>
      <c r="AL912" s="67">
        <f t="shared" si="208"/>
        <v>70</v>
      </c>
      <c r="AM912" s="67">
        <f t="shared" si="209"/>
        <v>22</v>
      </c>
      <c r="AN912" s="67">
        <f t="shared" si="210"/>
        <v>26</v>
      </c>
      <c r="AO912" s="67">
        <f t="shared" si="211"/>
        <v>53</v>
      </c>
      <c r="AP912" s="67">
        <f t="shared" si="212"/>
        <v>11</v>
      </c>
      <c r="AQ912" s="67">
        <f t="shared" si="213"/>
        <v>38</v>
      </c>
      <c r="AR912" s="67">
        <f t="shared" si="214"/>
        <v>25</v>
      </c>
      <c r="AS912" s="636">
        <f t="shared" si="215"/>
        <v>360</v>
      </c>
    </row>
    <row r="913" spans="1:45" ht="15.75" customHeight="1" thickBot="1" x14ac:dyDescent="0.35">
      <c r="A913" s="554" t="s">
        <v>2626</v>
      </c>
      <c r="B913" s="581"/>
      <c r="C913" s="581"/>
      <c r="D913" s="555"/>
      <c r="E913" s="555"/>
      <c r="F913" s="555"/>
      <c r="G913" s="555"/>
      <c r="H913" s="555"/>
      <c r="I913" s="555"/>
      <c r="J913" s="555"/>
      <c r="K913" s="555"/>
      <c r="L913" s="555"/>
      <c r="M913" s="555"/>
      <c r="N913" s="555"/>
      <c r="O913" s="556"/>
      <c r="P913" s="67"/>
      <c r="Q913" s="67"/>
      <c r="R913" s="67"/>
      <c r="S913" s="561"/>
      <c r="AC913" s="642" t="s">
        <v>1509</v>
      </c>
      <c r="AD913" s="67">
        <f t="shared" si="200"/>
        <v>0</v>
      </c>
      <c r="AE913" s="67">
        <f t="shared" si="201"/>
        <v>0</v>
      </c>
      <c r="AF913" s="67">
        <f t="shared" si="202"/>
        <v>0</v>
      </c>
      <c r="AG913" s="67">
        <f t="shared" si="203"/>
        <v>0</v>
      </c>
      <c r="AH913" s="67">
        <f t="shared" si="204"/>
        <v>0</v>
      </c>
      <c r="AI913" s="67">
        <f t="shared" si="205"/>
        <v>0</v>
      </c>
      <c r="AJ913" s="67">
        <f t="shared" si="206"/>
        <v>77</v>
      </c>
      <c r="AK913" s="67">
        <f t="shared" si="207"/>
        <v>117</v>
      </c>
      <c r="AL913" s="67">
        <f t="shared" si="208"/>
        <v>118</v>
      </c>
      <c r="AM913" s="67">
        <f t="shared" si="209"/>
        <v>42</v>
      </c>
      <c r="AN913" s="67">
        <f t="shared" si="210"/>
        <v>50</v>
      </c>
      <c r="AO913" s="67">
        <f t="shared" si="211"/>
        <v>101</v>
      </c>
      <c r="AP913" s="67">
        <f t="shared" si="212"/>
        <v>15</v>
      </c>
      <c r="AQ913" s="67">
        <f t="shared" si="213"/>
        <v>9</v>
      </c>
      <c r="AR913" s="67">
        <f t="shared" si="214"/>
        <v>36</v>
      </c>
      <c r="AS913" s="636">
        <f t="shared" si="215"/>
        <v>565</v>
      </c>
    </row>
    <row r="914" spans="1:45" ht="15.75" customHeight="1" thickBot="1" x14ac:dyDescent="0.35">
      <c r="A914" s="551"/>
      <c r="D914" s="67"/>
      <c r="E914" s="67"/>
      <c r="F914" s="67"/>
      <c r="G914" s="67"/>
      <c r="H914" s="67"/>
      <c r="I914" s="67"/>
      <c r="J914" s="67"/>
      <c r="K914" s="67"/>
      <c r="L914" s="67"/>
      <c r="M914" s="67"/>
      <c r="N914" s="67"/>
      <c r="O914" s="67"/>
      <c r="P914" s="67"/>
      <c r="Q914" s="67"/>
      <c r="R914" s="67"/>
      <c r="S914" s="561"/>
      <c r="AC914" s="579"/>
      <c r="AD914" s="67"/>
      <c r="AE914" s="67"/>
      <c r="AF914" s="67"/>
      <c r="AG914" s="67"/>
      <c r="AH914" s="67"/>
      <c r="AI914" s="67"/>
      <c r="AJ914" s="67"/>
      <c r="AK914" s="67"/>
      <c r="AL914" s="67"/>
      <c r="AM914" s="67"/>
      <c r="AN914" s="67"/>
      <c r="AO914" s="67"/>
      <c r="AP914" s="67"/>
      <c r="AQ914" s="67"/>
      <c r="AR914" s="67"/>
      <c r="AS914" s="636"/>
    </row>
    <row r="915" spans="1:45" ht="15.75" customHeight="1" thickBot="1" x14ac:dyDescent="0.35">
      <c r="A915" s="139"/>
      <c r="B915" s="806" t="s">
        <v>2689</v>
      </c>
      <c r="C915" s="807"/>
      <c r="D915" s="807"/>
      <c r="E915" s="807"/>
      <c r="F915" s="807"/>
      <c r="G915" s="807"/>
      <c r="H915" s="807"/>
      <c r="I915" s="807"/>
      <c r="J915" s="807"/>
      <c r="K915" s="807"/>
      <c r="L915" s="807"/>
      <c r="M915" s="807"/>
      <c r="N915" s="807"/>
      <c r="O915" s="807"/>
      <c r="P915" s="836"/>
      <c r="Q915" s="67"/>
      <c r="R915" s="67"/>
      <c r="S915" s="561"/>
      <c r="AC915" s="644" t="s">
        <v>2356</v>
      </c>
      <c r="AD915" s="555">
        <f>SUM(AD902:AD913)</f>
        <v>0</v>
      </c>
      <c r="AE915" s="555">
        <f t="shared" ref="AE915:AS915" si="216">SUM(AE902:AE913)</f>
        <v>0</v>
      </c>
      <c r="AF915" s="555">
        <f t="shared" si="216"/>
        <v>0</v>
      </c>
      <c r="AG915" s="555">
        <f t="shared" si="216"/>
        <v>0</v>
      </c>
      <c r="AH915" s="555">
        <f t="shared" si="216"/>
        <v>0</v>
      </c>
      <c r="AI915" s="555">
        <f t="shared" si="216"/>
        <v>0</v>
      </c>
      <c r="AJ915" s="555">
        <f t="shared" si="216"/>
        <v>1492</v>
      </c>
      <c r="AK915" s="555">
        <f t="shared" si="216"/>
        <v>1805</v>
      </c>
      <c r="AL915" s="555">
        <f t="shared" si="216"/>
        <v>1523</v>
      </c>
      <c r="AM915" s="555">
        <f t="shared" si="216"/>
        <v>499</v>
      </c>
      <c r="AN915" s="555">
        <f t="shared" si="216"/>
        <v>589</v>
      </c>
      <c r="AO915" s="555">
        <f t="shared" si="216"/>
        <v>1160</v>
      </c>
      <c r="AP915" s="555">
        <f t="shared" si="216"/>
        <v>210</v>
      </c>
      <c r="AQ915" s="555">
        <f t="shared" si="216"/>
        <v>405</v>
      </c>
      <c r="AR915" s="555">
        <f t="shared" si="216"/>
        <v>500</v>
      </c>
      <c r="AS915" s="637">
        <f t="shared" si="216"/>
        <v>8183</v>
      </c>
    </row>
    <row r="916" spans="1:45" ht="15.75" customHeight="1" thickBot="1" x14ac:dyDescent="0.35">
      <c r="A916" s="139"/>
      <c r="B916" s="795" t="s">
        <v>2633</v>
      </c>
      <c r="C916" s="796"/>
      <c r="D916" s="796"/>
      <c r="E916" s="796"/>
      <c r="F916" s="797"/>
      <c r="G916" s="795" t="s">
        <v>2674</v>
      </c>
      <c r="H916" s="796"/>
      <c r="I916" s="796"/>
      <c r="J916" s="796"/>
      <c r="K916" s="796"/>
      <c r="L916" s="796"/>
      <c r="M916" s="798" t="s">
        <v>2677</v>
      </c>
      <c r="N916" s="811"/>
      <c r="O916" s="811"/>
      <c r="P916" s="795" t="s">
        <v>2682</v>
      </c>
      <c r="Q916" s="796"/>
      <c r="R916" s="797"/>
      <c r="S916" s="561"/>
    </row>
    <row r="917" spans="1:45" ht="15.75" customHeight="1" x14ac:dyDescent="0.3">
      <c r="A917" s="592"/>
      <c r="B917" s="553" t="s">
        <v>2439</v>
      </c>
      <c r="C917" s="70"/>
      <c r="D917" s="70" t="s">
        <v>336</v>
      </c>
      <c r="E917" s="70" t="s">
        <v>596</v>
      </c>
      <c r="F917" s="562" t="s">
        <v>2652</v>
      </c>
      <c r="G917" s="553" t="s">
        <v>228</v>
      </c>
      <c r="H917" s="70"/>
      <c r="I917" s="70"/>
      <c r="J917" s="70" t="s">
        <v>229</v>
      </c>
      <c r="K917" s="70" t="s">
        <v>2638</v>
      </c>
      <c r="L917" s="70" t="s">
        <v>2639</v>
      </c>
      <c r="M917" s="808" t="str">
        <f>+M890</f>
        <v>(NE)* per WAPA 12/4/2013</v>
      </c>
      <c r="N917" s="809"/>
      <c r="O917" s="809"/>
      <c r="P917" s="553" t="s">
        <v>2683</v>
      </c>
      <c r="Q917" s="610" t="s">
        <v>134</v>
      </c>
      <c r="R917" s="611" t="s">
        <v>2685</v>
      </c>
      <c r="S917" s="561"/>
    </row>
    <row r="918" spans="1:45" ht="15.75" customHeight="1" x14ac:dyDescent="0.3">
      <c r="A918" s="592"/>
      <c r="B918" s="593" t="s">
        <v>2648</v>
      </c>
      <c r="C918" s="588" t="s">
        <v>2656</v>
      </c>
      <c r="D918" s="588" t="s">
        <v>2651</v>
      </c>
      <c r="E918" s="70" t="s">
        <v>335</v>
      </c>
      <c r="F918" s="591" t="s">
        <v>2653</v>
      </c>
      <c r="G918" s="553" t="s">
        <v>2463</v>
      </c>
      <c r="H918" s="70" t="s">
        <v>1416</v>
      </c>
      <c r="I918" s="70" t="s">
        <v>1417</v>
      </c>
      <c r="J918" s="588" t="s">
        <v>2632</v>
      </c>
      <c r="K918" s="70" t="s">
        <v>2634</v>
      </c>
      <c r="L918" s="588" t="s">
        <v>2637</v>
      </c>
      <c r="M918" s="603" t="s">
        <v>2679</v>
      </c>
      <c r="N918" s="604" t="s">
        <v>2680</v>
      </c>
      <c r="O918" s="599" t="s">
        <v>2356</v>
      </c>
      <c r="P918" s="553" t="s">
        <v>2684</v>
      </c>
      <c r="Q918" s="70" t="s">
        <v>2686</v>
      </c>
      <c r="R918" s="562" t="s">
        <v>2687</v>
      </c>
      <c r="S918" s="561"/>
    </row>
    <row r="919" spans="1:45" ht="15.75" customHeight="1" x14ac:dyDescent="0.3">
      <c r="A919" s="592"/>
      <c r="B919" s="594" t="s">
        <v>2654</v>
      </c>
      <c r="C919" s="217">
        <v>5.0000000000000001E-3</v>
      </c>
      <c r="D919" s="217">
        <v>4.2999999999999997E-2</v>
      </c>
      <c r="E919" s="70" t="s">
        <v>133</v>
      </c>
      <c r="F919" s="595" t="s">
        <v>2649</v>
      </c>
      <c r="G919" s="553" t="s">
        <v>2650</v>
      </c>
      <c r="H919" s="70" t="s">
        <v>335</v>
      </c>
      <c r="I919" s="70" t="s">
        <v>335</v>
      </c>
      <c r="J919" s="70" t="s">
        <v>335</v>
      </c>
      <c r="K919" s="70" t="s">
        <v>134</v>
      </c>
      <c r="L919" s="70" t="s">
        <v>2636</v>
      </c>
      <c r="M919" s="605" t="s">
        <v>955</v>
      </c>
      <c r="N919" s="599" t="s">
        <v>2681</v>
      </c>
      <c r="O919" s="599" t="s">
        <v>2688</v>
      </c>
      <c r="P919" s="553" t="s">
        <v>335</v>
      </c>
      <c r="Q919" s="70" t="s">
        <v>335</v>
      </c>
      <c r="R919" s="562" t="s">
        <v>335</v>
      </c>
      <c r="S919" s="561"/>
    </row>
    <row r="920" spans="1:45" ht="15.75" customHeight="1" x14ac:dyDescent="0.3">
      <c r="A920" s="592" t="s">
        <v>249</v>
      </c>
      <c r="B920" s="553" t="s">
        <v>2695</v>
      </c>
      <c r="C920" s="70" t="s">
        <v>2695</v>
      </c>
      <c r="D920" s="70" t="s">
        <v>2695</v>
      </c>
      <c r="E920" s="70" t="s">
        <v>2695</v>
      </c>
      <c r="F920" s="70" t="s">
        <v>2695</v>
      </c>
      <c r="G920" s="553" t="s">
        <v>2695</v>
      </c>
      <c r="H920" s="70" t="s">
        <v>2695</v>
      </c>
      <c r="I920" s="70" t="s">
        <v>2695</v>
      </c>
      <c r="J920" s="70" t="s">
        <v>2695</v>
      </c>
      <c r="K920" s="70" t="s">
        <v>2695</v>
      </c>
      <c r="L920" s="70" t="s">
        <v>2695</v>
      </c>
      <c r="M920" s="605" t="s">
        <v>2695</v>
      </c>
      <c r="N920" s="599" t="s">
        <v>2696</v>
      </c>
      <c r="O920" s="599" t="s">
        <v>2695</v>
      </c>
      <c r="P920" s="553" t="s">
        <v>2695</v>
      </c>
      <c r="Q920" s="70" t="s">
        <v>2695</v>
      </c>
      <c r="R920" s="562" t="s">
        <v>2695</v>
      </c>
      <c r="S920" s="561"/>
    </row>
    <row r="921" spans="1:45" ht="15.75" customHeight="1" x14ac:dyDescent="0.3">
      <c r="A921" s="592" t="s">
        <v>1353</v>
      </c>
      <c r="B921" s="553" t="s">
        <v>1353</v>
      </c>
      <c r="C921" s="70" t="s">
        <v>1353</v>
      </c>
      <c r="D921" s="70" t="s">
        <v>1353</v>
      </c>
      <c r="E921" s="70" t="s">
        <v>2202</v>
      </c>
      <c r="F921" s="562" t="s">
        <v>1353</v>
      </c>
      <c r="G921" s="553" t="s">
        <v>1353</v>
      </c>
      <c r="H921" s="70" t="s">
        <v>2119</v>
      </c>
      <c r="I921" s="70" t="s">
        <v>2119</v>
      </c>
      <c r="J921" s="70" t="s">
        <v>1353</v>
      </c>
      <c r="K921" s="70" t="s">
        <v>1353</v>
      </c>
      <c r="L921" s="70" t="s">
        <v>1353</v>
      </c>
      <c r="M921" s="605" t="s">
        <v>1353</v>
      </c>
      <c r="N921" s="599" t="s">
        <v>1353</v>
      </c>
      <c r="O921" s="599" t="s">
        <v>1353</v>
      </c>
      <c r="P921" s="553" t="s">
        <v>1353</v>
      </c>
      <c r="Q921" s="70" t="s">
        <v>1353</v>
      </c>
      <c r="R921" s="562" t="s">
        <v>1353</v>
      </c>
      <c r="S921" s="561"/>
    </row>
    <row r="922" spans="1:45" ht="15.75" customHeight="1" x14ac:dyDescent="0.3">
      <c r="A922" s="139" t="s">
        <v>2843</v>
      </c>
      <c r="B922" s="553">
        <f>+B895/($B$10*24)</f>
        <v>202.69930115205375</v>
      </c>
      <c r="C922" s="70">
        <f t="shared" ref="C922:P922" si="217">+C895/($B$10*24)</f>
        <v>1.0134408602150538</v>
      </c>
      <c r="D922" s="70">
        <f t="shared" si="217"/>
        <v>9.19489247311828</v>
      </c>
      <c r="E922" s="70">
        <f t="shared" si="217"/>
        <v>203.71274201226882</v>
      </c>
      <c r="F922" s="562">
        <f t="shared" si="217"/>
        <v>212.90763448538709</v>
      </c>
      <c r="G922" s="70">
        <f t="shared" si="217"/>
        <v>5.4162224193953445</v>
      </c>
      <c r="H922" s="70">
        <f t="shared" si="217"/>
        <v>14.341397849462366</v>
      </c>
      <c r="I922" s="70">
        <f t="shared" si="217"/>
        <v>0</v>
      </c>
      <c r="J922" s="70">
        <f t="shared" si="217"/>
        <v>14.341397849462366</v>
      </c>
      <c r="K922" s="70">
        <f t="shared" si="217"/>
        <v>0</v>
      </c>
      <c r="L922" s="70">
        <f t="shared" si="217"/>
        <v>0</v>
      </c>
      <c r="M922" s="606">
        <f>+M895/($B$10*24)</f>
        <v>202.16129032258064</v>
      </c>
      <c r="N922" s="607">
        <f t="shared" si="217"/>
        <v>0</v>
      </c>
      <c r="O922" s="599">
        <f t="shared" si="217"/>
        <v>202.16129032258064</v>
      </c>
      <c r="P922" s="612">
        <f t="shared" si="217"/>
        <v>-9.0112761060512625</v>
      </c>
      <c r="Q922" s="70" t="str">
        <f>+IF(P922&gt;=0,ABS(P922),"")</f>
        <v/>
      </c>
      <c r="R922" s="562">
        <f>+IF(P922&lt;=0,ABS(P922),"")</f>
        <v>9.0112761060512625</v>
      </c>
      <c r="S922" s="561"/>
    </row>
    <row r="923" spans="1:45" ht="15.75" customHeight="1" x14ac:dyDescent="0.3">
      <c r="A923" s="139" t="s">
        <v>2091</v>
      </c>
      <c r="B923" s="553">
        <f>+B896/($C$10*24)</f>
        <v>322.05473763771931</v>
      </c>
      <c r="C923" s="70">
        <f t="shared" ref="C923:P923" si="218">+C896/($C$10*24)</f>
        <v>1.6101190476190477</v>
      </c>
      <c r="D923" s="70">
        <f t="shared" si="218"/>
        <v>15.086309523809524</v>
      </c>
      <c r="E923" s="70">
        <f t="shared" si="218"/>
        <v>323.66485668533835</v>
      </c>
      <c r="F923" s="562">
        <f t="shared" si="218"/>
        <v>338.75116620914787</v>
      </c>
      <c r="G923" s="70">
        <f t="shared" si="218"/>
        <v>0</v>
      </c>
      <c r="H923" s="70">
        <f t="shared" si="218"/>
        <v>19.313988095238095</v>
      </c>
      <c r="I923" s="70">
        <f t="shared" si="218"/>
        <v>0</v>
      </c>
      <c r="J923" s="70">
        <f t="shared" si="218"/>
        <v>19.313988095238095</v>
      </c>
      <c r="K923" s="70">
        <f t="shared" si="218"/>
        <v>0</v>
      </c>
      <c r="L923" s="70">
        <f t="shared" si="218"/>
        <v>0</v>
      </c>
      <c r="M923" s="606">
        <f t="shared" si="218"/>
        <v>364</v>
      </c>
      <c r="N923" s="607">
        <f t="shared" si="218"/>
        <v>0</v>
      </c>
      <c r="O923" s="599">
        <f t="shared" si="218"/>
        <v>364</v>
      </c>
      <c r="P923" s="612">
        <f t="shared" si="218"/>
        <v>-44.562821886090205</v>
      </c>
      <c r="Q923" s="70" t="str">
        <f t="shared" ref="Q923:Q933" si="219">+IF(P923&gt;=0,ABS(P923),"")</f>
        <v/>
      </c>
      <c r="R923" s="562">
        <f t="shared" ref="R923:R933" si="220">+IF(P923&lt;=0,ABS(P923),"")</f>
        <v>44.562821886090205</v>
      </c>
      <c r="S923" s="561"/>
    </row>
    <row r="924" spans="1:45" ht="15.75" customHeight="1" x14ac:dyDescent="0.3">
      <c r="A924" s="139" t="s">
        <v>2234</v>
      </c>
      <c r="B924" s="553">
        <f>+B897/($D$10*24)</f>
        <v>401.08976932219787</v>
      </c>
      <c r="C924" s="70">
        <f t="shared" ref="C924:P924" si="221">+C897/($D$10*24)</f>
        <v>2.0053763440860215</v>
      </c>
      <c r="D924" s="70">
        <f t="shared" si="221"/>
        <v>18.454301075268816</v>
      </c>
      <c r="E924" s="70">
        <f t="shared" si="221"/>
        <v>403.09514566628388</v>
      </c>
      <c r="F924" s="562">
        <f t="shared" si="221"/>
        <v>421.54944674155269</v>
      </c>
      <c r="G924" s="70">
        <f t="shared" si="221"/>
        <v>0</v>
      </c>
      <c r="H924" s="70">
        <f t="shared" si="221"/>
        <v>24.196236559139784</v>
      </c>
      <c r="I924" s="70">
        <f t="shared" si="221"/>
        <v>0</v>
      </c>
      <c r="J924" s="70">
        <f t="shared" si="221"/>
        <v>24.196236559139784</v>
      </c>
      <c r="K924" s="70">
        <f t="shared" si="221"/>
        <v>0</v>
      </c>
      <c r="L924" s="70">
        <f t="shared" si="221"/>
        <v>0</v>
      </c>
      <c r="M924" s="606">
        <f t="shared" si="221"/>
        <v>417.96774193548384</v>
      </c>
      <c r="N924" s="607">
        <f t="shared" si="221"/>
        <v>0</v>
      </c>
      <c r="O924" s="599">
        <f t="shared" si="221"/>
        <v>417.96774193548384</v>
      </c>
      <c r="P924" s="612">
        <f t="shared" si="221"/>
        <v>-20.614531753070967</v>
      </c>
      <c r="Q924" s="70" t="str">
        <f t="shared" si="219"/>
        <v/>
      </c>
      <c r="R924" s="562">
        <f t="shared" si="220"/>
        <v>20.614531753070967</v>
      </c>
      <c r="S924" s="561"/>
    </row>
    <row r="925" spans="1:45" ht="15.75" customHeight="1" x14ac:dyDescent="0.3">
      <c r="A925" s="139" t="s">
        <v>2235</v>
      </c>
      <c r="B925" s="553">
        <f>+B898/($F$10*24)</f>
        <v>418.97511333636294</v>
      </c>
      <c r="C925" s="70">
        <f t="shared" ref="C925:P925" si="222">+C898/($F$10*24)</f>
        <v>2.0944444444444446</v>
      </c>
      <c r="D925" s="70">
        <f t="shared" si="222"/>
        <v>19.026388888888889</v>
      </c>
      <c r="E925" s="70">
        <f t="shared" si="222"/>
        <v>421.06955778080737</v>
      </c>
      <c r="F925" s="562">
        <f t="shared" si="222"/>
        <v>440.09594666969627</v>
      </c>
      <c r="G925" s="70">
        <f t="shared" si="222"/>
        <v>8.0341392447458831E-2</v>
      </c>
      <c r="H925" s="70">
        <f t="shared" si="222"/>
        <v>26.030555555555555</v>
      </c>
      <c r="I925" s="70">
        <f t="shared" si="222"/>
        <v>0</v>
      </c>
      <c r="J925" s="70">
        <f t="shared" si="222"/>
        <v>26.030555555555555</v>
      </c>
      <c r="K925" s="70">
        <f t="shared" si="222"/>
        <v>0</v>
      </c>
      <c r="L925" s="70">
        <f t="shared" si="222"/>
        <v>0</v>
      </c>
      <c r="M925" s="606">
        <f t="shared" si="222"/>
        <v>412.06666666666666</v>
      </c>
      <c r="N925" s="607">
        <f t="shared" si="222"/>
        <v>0</v>
      </c>
      <c r="O925" s="599">
        <f t="shared" si="222"/>
        <v>412.06666666666666</v>
      </c>
      <c r="P925" s="612">
        <f t="shared" si="222"/>
        <v>1.9183830550265459</v>
      </c>
      <c r="Q925" s="70">
        <f t="shared" si="219"/>
        <v>1.9183830550265459</v>
      </c>
      <c r="R925" s="562" t="str">
        <f t="shared" si="220"/>
        <v/>
      </c>
      <c r="S925" s="561"/>
    </row>
    <row r="926" spans="1:45" ht="15.75" customHeight="1" x14ac:dyDescent="0.3">
      <c r="A926" s="139" t="s">
        <v>2236</v>
      </c>
      <c r="B926" s="553">
        <f>+B899/($G$10*24)</f>
        <v>415.98888397930426</v>
      </c>
      <c r="C926" s="70">
        <f t="shared" ref="C926:P926" si="223">+C899/($G$10*24)</f>
        <v>2.079301075268817</v>
      </c>
      <c r="D926" s="70">
        <f t="shared" si="223"/>
        <v>18.903225806451612</v>
      </c>
      <c r="E926" s="70">
        <f t="shared" si="223"/>
        <v>418.06818505457306</v>
      </c>
      <c r="F926" s="562">
        <f t="shared" si="223"/>
        <v>436.97141086102471</v>
      </c>
      <c r="G926" s="70">
        <f t="shared" si="223"/>
        <v>2.1189994408926234</v>
      </c>
      <c r="H926" s="70">
        <f t="shared" si="223"/>
        <v>23.067204301075268</v>
      </c>
      <c r="I926" s="70">
        <f t="shared" si="223"/>
        <v>0</v>
      </c>
      <c r="J926" s="70">
        <f t="shared" si="223"/>
        <v>23.067204301075268</v>
      </c>
      <c r="K926" s="70">
        <f t="shared" si="223"/>
        <v>0</v>
      </c>
      <c r="L926" s="70">
        <f t="shared" si="223"/>
        <v>0</v>
      </c>
      <c r="M926" s="606">
        <f t="shared" si="223"/>
        <v>406.35483870967744</v>
      </c>
      <c r="N926" s="607">
        <f t="shared" si="223"/>
        <v>0</v>
      </c>
      <c r="O926" s="599">
        <f t="shared" si="223"/>
        <v>406.35483870967744</v>
      </c>
      <c r="P926" s="612">
        <f t="shared" si="223"/>
        <v>5.4303684093794153</v>
      </c>
      <c r="Q926" s="70">
        <f t="shared" si="219"/>
        <v>5.4303684093794153</v>
      </c>
      <c r="R926" s="562" t="str">
        <f t="shared" si="220"/>
        <v/>
      </c>
      <c r="S926" s="561"/>
    </row>
    <row r="927" spans="1:45" ht="15.75" customHeight="1" x14ac:dyDescent="0.3">
      <c r="A927" s="139" t="s">
        <v>2237</v>
      </c>
      <c r="B927" s="553">
        <f>+B900/($H$10*24)</f>
        <v>330.88472222222219</v>
      </c>
      <c r="C927" s="70">
        <f t="shared" ref="C927:P927" si="224">+C900/($H$10*24)</f>
        <v>1.6541666666666666</v>
      </c>
      <c r="D927" s="70">
        <f t="shared" si="224"/>
        <v>14.802777777777777</v>
      </c>
      <c r="E927" s="70">
        <f t="shared" si="224"/>
        <v>332.53888888888889</v>
      </c>
      <c r="F927" s="562">
        <f t="shared" si="224"/>
        <v>347.34166666666664</v>
      </c>
      <c r="G927" s="70">
        <f t="shared" si="224"/>
        <v>12.792535041446873</v>
      </c>
      <c r="H927" s="70">
        <f t="shared" si="224"/>
        <v>20.202777777777779</v>
      </c>
      <c r="I927" s="70">
        <f t="shared" si="224"/>
        <v>0</v>
      </c>
      <c r="J927" s="70">
        <f t="shared" si="224"/>
        <v>20.202777777777779</v>
      </c>
      <c r="K927" s="70">
        <f t="shared" si="224"/>
        <v>0</v>
      </c>
      <c r="L927" s="70">
        <f t="shared" si="224"/>
        <v>0</v>
      </c>
      <c r="M927" s="606">
        <f t="shared" si="224"/>
        <v>306.83333333333331</v>
      </c>
      <c r="N927" s="607">
        <f t="shared" si="224"/>
        <v>0</v>
      </c>
      <c r="O927" s="599">
        <f t="shared" si="224"/>
        <v>306.83333333333331</v>
      </c>
      <c r="P927" s="612">
        <f t="shared" si="224"/>
        <v>7.513020514108697</v>
      </c>
      <c r="Q927" s="70">
        <f t="shared" si="219"/>
        <v>7.513020514108697</v>
      </c>
      <c r="R927" s="562" t="str">
        <f t="shared" si="220"/>
        <v/>
      </c>
      <c r="S927" s="561"/>
    </row>
    <row r="928" spans="1:45" ht="15.75" customHeight="1" x14ac:dyDescent="0.3">
      <c r="A928" s="139" t="s">
        <v>1504</v>
      </c>
      <c r="B928" s="553">
        <f>+B901/($J$10*24)</f>
        <v>243.19892473118279</v>
      </c>
      <c r="C928" s="70">
        <f t="shared" ref="C928:P928" si="225">+C901/($J$10*24)</f>
        <v>1.2163978494623655</v>
      </c>
      <c r="D928" s="70">
        <f t="shared" si="225"/>
        <v>10.455645161290322</v>
      </c>
      <c r="E928" s="70">
        <f t="shared" si="225"/>
        <v>244.41532258064515</v>
      </c>
      <c r="F928" s="562">
        <f t="shared" si="225"/>
        <v>254.87096774193549</v>
      </c>
      <c r="G928" s="70">
        <f t="shared" si="225"/>
        <v>15.215088687394154</v>
      </c>
      <c r="H928" s="70">
        <f t="shared" si="225"/>
        <v>18.987903225806452</v>
      </c>
      <c r="I928" s="70">
        <f t="shared" si="225"/>
        <v>0</v>
      </c>
      <c r="J928" s="70">
        <f t="shared" si="225"/>
        <v>18.987903225806452</v>
      </c>
      <c r="K928" s="70">
        <f t="shared" si="225"/>
        <v>0</v>
      </c>
      <c r="L928" s="70">
        <f t="shared" si="225"/>
        <v>0</v>
      </c>
      <c r="M928" s="606">
        <f t="shared" si="225"/>
        <v>206.52688172043011</v>
      </c>
      <c r="N928" s="607">
        <f t="shared" si="225"/>
        <v>0</v>
      </c>
      <c r="O928" s="599">
        <f t="shared" si="225"/>
        <v>206.52688172043011</v>
      </c>
      <c r="P928" s="612">
        <f t="shared" si="225"/>
        <v>14.141094108304774</v>
      </c>
      <c r="Q928" s="70">
        <f t="shared" si="219"/>
        <v>14.141094108304774</v>
      </c>
      <c r="R928" s="562" t="str">
        <f t="shared" si="220"/>
        <v/>
      </c>
      <c r="S928" s="561"/>
    </row>
    <row r="929" spans="1:33" ht="15.75" customHeight="1" x14ac:dyDescent="0.3">
      <c r="A929" s="139" t="s">
        <v>1505</v>
      </c>
      <c r="B929" s="553">
        <f>+B902/($K$10*24)</f>
        <v>256.65188172043008</v>
      </c>
      <c r="C929" s="70">
        <f t="shared" ref="C929:P929" si="226">+C902/($K$10*24)</f>
        <v>1.2836021505376345</v>
      </c>
      <c r="D929" s="70">
        <f t="shared" si="226"/>
        <v>11.056451612903226</v>
      </c>
      <c r="E929" s="70">
        <f t="shared" si="226"/>
        <v>257.93548387096774</v>
      </c>
      <c r="F929" s="562">
        <f t="shared" si="226"/>
        <v>268.99193548387098</v>
      </c>
      <c r="G929" s="70">
        <f t="shared" si="226"/>
        <v>8.5795767149413269</v>
      </c>
      <c r="H929" s="70">
        <f t="shared" si="226"/>
        <v>15.251344086021506</v>
      </c>
      <c r="I929" s="70">
        <f t="shared" si="226"/>
        <v>0</v>
      </c>
      <c r="J929" s="70">
        <f t="shared" si="226"/>
        <v>15.251344086021506</v>
      </c>
      <c r="K929" s="70">
        <f t="shared" si="226"/>
        <v>0</v>
      </c>
      <c r="L929" s="70">
        <f t="shared" si="226"/>
        <v>0</v>
      </c>
      <c r="M929" s="606">
        <f t="shared" si="226"/>
        <v>213.07526881720429</v>
      </c>
      <c r="N929" s="607">
        <f t="shared" si="226"/>
        <v>0</v>
      </c>
      <c r="O929" s="599">
        <f t="shared" si="226"/>
        <v>213.07526881720429</v>
      </c>
      <c r="P929" s="612">
        <f t="shared" si="226"/>
        <v>32.085745865703842</v>
      </c>
      <c r="Q929" s="70">
        <f t="shared" si="219"/>
        <v>32.085745865703842</v>
      </c>
      <c r="R929" s="562" t="str">
        <f t="shared" si="220"/>
        <v/>
      </c>
      <c r="S929" s="561"/>
    </row>
    <row r="930" spans="1:33" ht="15.75" customHeight="1" x14ac:dyDescent="0.3">
      <c r="A930" s="139" t="s">
        <v>1506</v>
      </c>
      <c r="B930" s="553">
        <f>+B903/($L$10*24)</f>
        <v>330.35662064599956</v>
      </c>
      <c r="C930" s="70">
        <f t="shared" ref="C930:P930" si="227">+C903/($L$10*24)</f>
        <v>1.6513888888888888</v>
      </c>
      <c r="D930" s="70">
        <f t="shared" si="227"/>
        <v>14.973611111111111</v>
      </c>
      <c r="E930" s="70">
        <f t="shared" si="227"/>
        <v>332.00800953488846</v>
      </c>
      <c r="F930" s="562">
        <f t="shared" si="227"/>
        <v>346.98162064599956</v>
      </c>
      <c r="G930" s="70">
        <f t="shared" si="227"/>
        <v>0.76943977199983082</v>
      </c>
      <c r="H930" s="70">
        <f t="shared" si="227"/>
        <v>13.727777777777778</v>
      </c>
      <c r="I930" s="70">
        <f t="shared" si="227"/>
        <v>0</v>
      </c>
      <c r="J930" s="70">
        <f t="shared" si="227"/>
        <v>13.727777777777778</v>
      </c>
      <c r="K930" s="70">
        <f t="shared" si="227"/>
        <v>0</v>
      </c>
      <c r="L930" s="70">
        <f t="shared" si="227"/>
        <v>0</v>
      </c>
      <c r="M930" s="606">
        <f t="shared" si="227"/>
        <v>310.33333333333331</v>
      </c>
      <c r="N930" s="607">
        <f t="shared" si="227"/>
        <v>51</v>
      </c>
      <c r="O930" s="599">
        <f t="shared" si="227"/>
        <v>361.33333333333331</v>
      </c>
      <c r="P930" s="612">
        <f t="shared" si="227"/>
        <v>-28.848930237111361</v>
      </c>
      <c r="Q930" s="70" t="str">
        <f t="shared" si="219"/>
        <v/>
      </c>
      <c r="R930" s="562">
        <f t="shared" si="220"/>
        <v>28.848930237111361</v>
      </c>
      <c r="S930" s="561"/>
    </row>
    <row r="931" spans="1:33" ht="15.75" customHeight="1" x14ac:dyDescent="0.3">
      <c r="A931" s="139" t="s">
        <v>1507</v>
      </c>
      <c r="B931" s="553">
        <f>+B904/($N$10*24)</f>
        <v>263.17048881312769</v>
      </c>
      <c r="C931" s="70">
        <f t="shared" ref="C931:P931" si="228">+C904/($N$10*24)</f>
        <v>1.3158602150537635</v>
      </c>
      <c r="D931" s="70">
        <f t="shared" si="228"/>
        <v>12.075268817204302</v>
      </c>
      <c r="E931" s="70">
        <f t="shared" si="228"/>
        <v>264.48634902818151</v>
      </c>
      <c r="F931" s="562">
        <f t="shared" si="228"/>
        <v>276.5616178453858</v>
      </c>
      <c r="G931" s="70">
        <f t="shared" si="228"/>
        <v>0</v>
      </c>
      <c r="H931" s="70">
        <f t="shared" si="228"/>
        <v>15.846774193548388</v>
      </c>
      <c r="I931" s="70">
        <f t="shared" si="228"/>
        <v>0</v>
      </c>
      <c r="J931" s="70">
        <f t="shared" si="228"/>
        <v>15.846774193548388</v>
      </c>
      <c r="K931" s="70">
        <f t="shared" si="228"/>
        <v>0</v>
      </c>
      <c r="L931" s="70">
        <f t="shared" si="228"/>
        <v>0</v>
      </c>
      <c r="M931" s="606">
        <f t="shared" si="228"/>
        <v>306.33333333333331</v>
      </c>
      <c r="N931" s="607">
        <f t="shared" si="228"/>
        <v>0</v>
      </c>
      <c r="O931" s="599">
        <f t="shared" si="228"/>
        <v>306.33333333333331</v>
      </c>
      <c r="P931" s="612">
        <f t="shared" si="228"/>
        <v>-45.618489681495937</v>
      </c>
      <c r="Q931" s="70" t="str">
        <f t="shared" si="219"/>
        <v/>
      </c>
      <c r="R931" s="562">
        <f t="shared" si="220"/>
        <v>45.618489681495937</v>
      </c>
      <c r="S931" s="561"/>
    </row>
    <row r="932" spans="1:33" ht="15.75" customHeight="1" x14ac:dyDescent="0.3">
      <c r="A932" s="139" t="s">
        <v>1508</v>
      </c>
      <c r="B932" s="553">
        <f>+B905/($O$10*24)</f>
        <v>304.17034175827342</v>
      </c>
      <c r="C932" s="70">
        <f t="shared" ref="C932:P932" si="229">+C905/($O$10*24)</f>
        <v>1.5208333333333333</v>
      </c>
      <c r="D932" s="70">
        <f t="shared" si="229"/>
        <v>14.358333333333333</v>
      </c>
      <c r="E932" s="70">
        <f t="shared" si="229"/>
        <v>305.69117509160679</v>
      </c>
      <c r="F932" s="562">
        <f t="shared" si="229"/>
        <v>320.04950842494014</v>
      </c>
      <c r="G932" s="70">
        <f t="shared" si="229"/>
        <v>0</v>
      </c>
      <c r="H932" s="70">
        <f t="shared" si="229"/>
        <v>11.438888888888888</v>
      </c>
      <c r="I932" s="70">
        <f t="shared" si="229"/>
        <v>0</v>
      </c>
      <c r="J932" s="70">
        <f t="shared" si="229"/>
        <v>11.438888888888888</v>
      </c>
      <c r="K932" s="70">
        <f t="shared" si="229"/>
        <v>0</v>
      </c>
      <c r="L932" s="70">
        <f t="shared" si="229"/>
        <v>0</v>
      </c>
      <c r="M932" s="606">
        <f t="shared" si="229"/>
        <v>316</v>
      </c>
      <c r="N932" s="607">
        <f t="shared" si="229"/>
        <v>0</v>
      </c>
      <c r="O932" s="599">
        <f t="shared" si="229"/>
        <v>316</v>
      </c>
      <c r="P932" s="612">
        <f t="shared" si="229"/>
        <v>-7.3893804639487728</v>
      </c>
      <c r="Q932" s="70" t="str">
        <f t="shared" si="219"/>
        <v/>
      </c>
      <c r="R932" s="562">
        <f t="shared" si="220"/>
        <v>7.3893804639487728</v>
      </c>
      <c r="S932" s="561"/>
    </row>
    <row r="933" spans="1:33" ht="15.75" customHeight="1" thickBot="1" x14ac:dyDescent="0.35">
      <c r="A933" s="139" t="s">
        <v>1509</v>
      </c>
      <c r="B933" s="558">
        <f>+B906/($P$10*24)</f>
        <v>264.13334409052629</v>
      </c>
      <c r="C933" s="564">
        <f t="shared" ref="C933:P933" si="230">+C906/($P$10*24)</f>
        <v>1.321236559139785</v>
      </c>
      <c r="D933" s="564">
        <f t="shared" si="230"/>
        <v>12.045698924731182</v>
      </c>
      <c r="E933" s="564">
        <f t="shared" si="230"/>
        <v>265.45458064966613</v>
      </c>
      <c r="F933" s="602">
        <f t="shared" si="230"/>
        <v>277.50027957439727</v>
      </c>
      <c r="G933" s="564">
        <f t="shared" si="230"/>
        <v>0</v>
      </c>
      <c r="H933" s="564">
        <f t="shared" si="230"/>
        <v>11.813172043010752</v>
      </c>
      <c r="I933" s="564">
        <f t="shared" si="230"/>
        <v>0</v>
      </c>
      <c r="J933" s="564">
        <f t="shared" si="230"/>
        <v>11.813172043010752</v>
      </c>
      <c r="K933" s="564">
        <f t="shared" si="230"/>
        <v>0</v>
      </c>
      <c r="L933" s="564">
        <f t="shared" si="230"/>
        <v>0</v>
      </c>
      <c r="M933" s="615">
        <f t="shared" si="230"/>
        <v>311.33333333333331</v>
      </c>
      <c r="N933" s="616">
        <f t="shared" si="230"/>
        <v>25</v>
      </c>
      <c r="O933" s="609">
        <f t="shared" si="230"/>
        <v>336.33333333333331</v>
      </c>
      <c r="P933" s="613">
        <f t="shared" si="230"/>
        <v>-70.646225801946798</v>
      </c>
      <c r="Q933" s="564" t="str">
        <f t="shared" si="219"/>
        <v/>
      </c>
      <c r="R933" s="602">
        <f t="shared" si="220"/>
        <v>70.646225801946798</v>
      </c>
      <c r="S933" s="561"/>
    </row>
    <row r="934" spans="1:33" ht="15.75" customHeight="1" x14ac:dyDescent="0.3">
      <c r="A934" s="647"/>
      <c r="S934" s="561"/>
    </row>
    <row r="935" spans="1:33" ht="16.5" customHeight="1" thickBot="1" x14ac:dyDescent="0.35">
      <c r="A935" s="648"/>
      <c r="B935" s="581"/>
      <c r="C935" s="581"/>
      <c r="D935" s="581"/>
      <c r="E935" s="581"/>
      <c r="F935" s="581"/>
      <c r="G935" s="581"/>
      <c r="H935" s="581"/>
      <c r="I935" s="581"/>
      <c r="J935" s="581"/>
      <c r="K935" s="581"/>
      <c r="L935" s="581"/>
      <c r="M935" s="581"/>
      <c r="N935" s="581"/>
      <c r="O935" s="581"/>
      <c r="P935" s="581"/>
      <c r="Q935" s="581"/>
      <c r="R935" s="581"/>
      <c r="S935" s="565"/>
    </row>
    <row r="936" spans="1:33" ht="15.75" customHeight="1" x14ac:dyDescent="0.3">
      <c r="A936" s="74"/>
      <c r="B936" s="67"/>
      <c r="C936" s="67"/>
      <c r="D936" s="67"/>
      <c r="E936" s="67"/>
      <c r="F936" s="67"/>
      <c r="G936" s="67"/>
      <c r="H936" s="67"/>
      <c r="I936" s="67"/>
      <c r="J936" s="67"/>
      <c r="K936" s="67"/>
      <c r="L936" s="67"/>
      <c r="M936" s="67"/>
      <c r="N936" s="67"/>
      <c r="O936" s="67"/>
      <c r="P936" s="67"/>
      <c r="Q936" s="67"/>
      <c r="R936" s="67"/>
    </row>
    <row r="937" spans="1:33" ht="15.75" customHeight="1" x14ac:dyDescent="0.3">
      <c r="A937" s="641"/>
    </row>
    <row r="938" spans="1:33" ht="15.75" customHeight="1" thickBot="1" x14ac:dyDescent="0.35">
      <c r="A938" s="641"/>
    </row>
    <row r="939" spans="1:33" ht="15.75" customHeight="1" x14ac:dyDescent="0.3">
      <c r="A939" s="650"/>
      <c r="B939" s="782" t="s">
        <v>2880</v>
      </c>
      <c r="C939" s="782"/>
      <c r="D939" s="782"/>
      <c r="E939" s="782"/>
      <c r="F939" s="782"/>
      <c r="G939" s="782"/>
      <c r="H939" s="782"/>
      <c r="I939" s="782"/>
      <c r="J939" s="782"/>
      <c r="K939" s="782"/>
      <c r="L939" s="782"/>
      <c r="M939" s="782"/>
      <c r="N939" s="782"/>
      <c r="O939" s="782"/>
      <c r="P939" s="782"/>
      <c r="Q939" s="678" t="str">
        <f>+Q1</f>
        <v xml:space="preserve">PRINTED:  </v>
      </c>
      <c r="R939" s="682">
        <f ca="1">+R1</f>
        <v>44881.729634027775</v>
      </c>
      <c r="S939" s="560"/>
    </row>
    <row r="940" spans="1:33" ht="15.75" customHeight="1" x14ac:dyDescent="0.3">
      <c r="A940" s="640"/>
      <c r="B940" s="786" t="str">
        <f>+A8</f>
        <v>Revised:  2/10/2015</v>
      </c>
      <c r="C940" s="786"/>
      <c r="D940" s="786"/>
      <c r="E940" s="786"/>
      <c r="F940" s="786"/>
      <c r="G940" s="786"/>
      <c r="H940" s="786"/>
      <c r="I940" s="786"/>
      <c r="J940" s="786"/>
      <c r="K940" s="786"/>
      <c r="L940" s="786"/>
      <c r="M940" s="786"/>
      <c r="N940" s="786"/>
      <c r="O940" s="786"/>
      <c r="P940" s="786"/>
      <c r="Q940" s="67"/>
      <c r="R940" s="67"/>
      <c r="S940" s="561"/>
    </row>
    <row r="941" spans="1:33" ht="16.5" customHeight="1" x14ac:dyDescent="0.3">
      <c r="A941" s="640"/>
      <c r="B941" s="786" t="s">
        <v>2878</v>
      </c>
      <c r="C941" s="786"/>
      <c r="D941" s="786"/>
      <c r="E941" s="786"/>
      <c r="F941" s="786"/>
      <c r="G941" s="786"/>
      <c r="H941" s="786"/>
      <c r="I941" s="786"/>
      <c r="J941" s="786"/>
      <c r="K941" s="786"/>
      <c r="L941" s="786"/>
      <c r="M941" s="786"/>
      <c r="N941" s="786"/>
      <c r="O941" s="786"/>
      <c r="P941" s="786"/>
      <c r="Q941" s="67"/>
      <c r="R941" s="67"/>
      <c r="S941" s="561"/>
    </row>
    <row r="942" spans="1:33" ht="15.75" customHeight="1" x14ac:dyDescent="0.3">
      <c r="A942" s="640"/>
      <c r="B942" s="67"/>
      <c r="C942" s="67"/>
      <c r="D942" s="67"/>
      <c r="E942" s="67"/>
      <c r="F942" s="67"/>
      <c r="G942" s="67"/>
      <c r="H942" s="67"/>
      <c r="I942" s="67"/>
      <c r="J942" s="67"/>
      <c r="K942" s="67"/>
      <c r="L942" s="67"/>
      <c r="M942" s="67"/>
      <c r="N942" s="67"/>
      <c r="O942" s="67"/>
      <c r="P942" s="67"/>
      <c r="Q942" s="67"/>
      <c r="R942" s="67"/>
      <c r="S942" s="561"/>
      <c r="AG942" s="139"/>
    </row>
    <row r="943" spans="1:33" ht="15.75" customHeight="1" x14ac:dyDescent="0.3">
      <c r="A943" s="640"/>
      <c r="B943" s="810">
        <f>+A5</f>
        <v>2014</v>
      </c>
      <c r="C943" s="787"/>
      <c r="D943" s="787"/>
      <c r="E943" s="787"/>
      <c r="F943" s="787"/>
      <c r="G943" s="787"/>
      <c r="H943" s="787"/>
      <c r="I943" s="787"/>
      <c r="J943" s="787"/>
      <c r="K943" s="787"/>
      <c r="L943" s="787"/>
      <c r="M943" s="787"/>
      <c r="N943" s="787"/>
      <c r="O943" s="787"/>
      <c r="P943" s="787"/>
      <c r="Q943" s="67"/>
      <c r="R943" s="67"/>
      <c r="S943" s="561"/>
      <c r="AE943" t="s">
        <v>2912</v>
      </c>
      <c r="AF943" t="s">
        <v>2913</v>
      </c>
    </row>
    <row r="944" spans="1:33" ht="15.75" customHeight="1" thickBot="1" x14ac:dyDescent="0.35">
      <c r="A944" s="640"/>
      <c r="B944" s="786" t="s">
        <v>1199</v>
      </c>
      <c r="C944" s="786"/>
      <c r="D944" s="786"/>
      <c r="E944" s="786"/>
      <c r="F944" s="786"/>
      <c r="G944" s="786"/>
      <c r="H944" s="786"/>
      <c r="I944" s="786"/>
      <c r="J944" s="786"/>
      <c r="K944" s="786"/>
      <c r="L944" s="786"/>
      <c r="M944" s="786"/>
      <c r="N944" s="786"/>
      <c r="O944" s="786"/>
      <c r="P944" s="786"/>
      <c r="Q944" s="67"/>
      <c r="R944" s="67"/>
      <c r="S944" s="561"/>
      <c r="AC944" t="s">
        <v>2911</v>
      </c>
      <c r="AD944" s="671" t="s">
        <v>2234</v>
      </c>
      <c r="AE944">
        <f>DAY(DATE($A$5,MonthFromText(AD944)+1,1)-1)</f>
        <v>31</v>
      </c>
    </row>
    <row r="945" spans="1:50" ht="15.75" customHeight="1" x14ac:dyDescent="0.3">
      <c r="A945" s="640"/>
      <c r="B945" s="818" t="s">
        <v>2888</v>
      </c>
      <c r="C945" s="819"/>
      <c r="D945" s="820"/>
      <c r="E945" s="70"/>
      <c r="F945" s="70"/>
      <c r="G945" s="70"/>
      <c r="H945" s="70"/>
      <c r="I945" s="70"/>
      <c r="J945" s="70"/>
      <c r="K945" s="70"/>
      <c r="L945" s="70"/>
      <c r="M945" s="70"/>
      <c r="N945" s="70"/>
      <c r="O945" s="70"/>
      <c r="P945" s="70"/>
      <c r="Q945" s="67"/>
      <c r="R945" s="67"/>
      <c r="S945" s="675"/>
    </row>
    <row r="946" spans="1:50" ht="15.75" customHeight="1" thickBot="1" x14ac:dyDescent="0.35">
      <c r="A946" s="634" t="s">
        <v>249</v>
      </c>
      <c r="B946" s="653" t="s">
        <v>2886</v>
      </c>
      <c r="C946" s="654" t="s">
        <v>2885</v>
      </c>
      <c r="D946" s="655" t="s">
        <v>2915</v>
      </c>
      <c r="E946" s="654" t="s">
        <v>1309</v>
      </c>
      <c r="F946" s="654" t="s">
        <v>1029</v>
      </c>
      <c r="G946" s="654" t="s">
        <v>1030</v>
      </c>
      <c r="H946" s="654" t="s">
        <v>2881</v>
      </c>
      <c r="I946" s="654" t="s">
        <v>2882</v>
      </c>
      <c r="J946" s="654" t="s">
        <v>285</v>
      </c>
      <c r="K946" s="654" t="s">
        <v>286</v>
      </c>
      <c r="L946" s="654" t="s">
        <v>287</v>
      </c>
      <c r="M946" s="654" t="s">
        <v>288</v>
      </c>
      <c r="N946" s="654" t="s">
        <v>289</v>
      </c>
      <c r="O946" s="654" t="s">
        <v>633</v>
      </c>
      <c r="P946" s="654" t="s">
        <v>634</v>
      </c>
      <c r="Q946" s="654" t="s">
        <v>1192</v>
      </c>
      <c r="R946" s="654" t="s">
        <v>524</v>
      </c>
      <c r="S946" s="655" t="s">
        <v>525</v>
      </c>
      <c r="T946" s="669" t="s">
        <v>2903</v>
      </c>
      <c r="U946" s="669" t="s">
        <v>2904</v>
      </c>
      <c r="V946" s="669" t="s">
        <v>2924</v>
      </c>
      <c r="AD946" s="634" t="s">
        <v>1308</v>
      </c>
      <c r="AE946" s="634" t="s">
        <v>1309</v>
      </c>
      <c r="AF946" s="634" t="s">
        <v>1029</v>
      </c>
      <c r="AG946" s="634" t="s">
        <v>1030</v>
      </c>
      <c r="AH946" s="634" t="s">
        <v>284</v>
      </c>
      <c r="AI946" s="634" t="s">
        <v>285</v>
      </c>
      <c r="AJ946" s="634" t="s">
        <v>286</v>
      </c>
      <c r="AK946" s="634" t="s">
        <v>287</v>
      </c>
      <c r="AL946" s="634" t="s">
        <v>288</v>
      </c>
      <c r="AM946" s="634" t="s">
        <v>289</v>
      </c>
      <c r="AN946" s="634" t="s">
        <v>633</v>
      </c>
      <c r="AO946" s="634" t="s">
        <v>634</v>
      </c>
      <c r="AP946" s="634" t="s">
        <v>1192</v>
      </c>
      <c r="AQ946" s="634" t="s">
        <v>524</v>
      </c>
      <c r="AR946" s="634" t="s">
        <v>525</v>
      </c>
      <c r="AS946" s="634" t="s">
        <v>2356</v>
      </c>
      <c r="AT946" s="634" t="s">
        <v>1415</v>
      </c>
      <c r="AU946" s="634" t="s">
        <v>2356</v>
      </c>
      <c r="AW946" s="669" t="s">
        <v>2925</v>
      </c>
      <c r="AX946" s="669" t="s">
        <v>2926</v>
      </c>
    </row>
    <row r="947" spans="1:50" ht="15.75" customHeight="1" x14ac:dyDescent="0.3">
      <c r="A947" s="642" t="s">
        <v>2843</v>
      </c>
      <c r="B947" s="642">
        <f t="shared" ref="B947:B958" si="231">+F974</f>
        <v>245</v>
      </c>
      <c r="C947" s="139">
        <f t="shared" ref="C947:C958" si="232">+G974</f>
        <v>0</v>
      </c>
      <c r="D947" s="643" t="s">
        <v>2916</v>
      </c>
      <c r="E947" s="139">
        <f t="shared" ref="E947:S947" si="233">+C867/$B$10/24</f>
        <v>13.58467741935484</v>
      </c>
      <c r="F947" s="139">
        <f t="shared" si="233"/>
        <v>14.236559139784946</v>
      </c>
      <c r="G947" s="139">
        <f t="shared" si="233"/>
        <v>23.958333333333332</v>
      </c>
      <c r="H947" s="139">
        <f t="shared" si="233"/>
        <v>15.609247388612921</v>
      </c>
      <c r="I947" s="139">
        <f t="shared" si="233"/>
        <v>-5.4162224193953437</v>
      </c>
      <c r="J947" s="139">
        <f t="shared" si="233"/>
        <v>4.309139784946237</v>
      </c>
      <c r="K947" s="139">
        <f t="shared" si="233"/>
        <v>3.3561827956989245</v>
      </c>
      <c r="L947" s="139">
        <f t="shared" si="233"/>
        <v>5.2405913978494629</v>
      </c>
      <c r="M947" s="139">
        <f t="shared" si="233"/>
        <v>5.258064516129032</v>
      </c>
      <c r="N947" s="139">
        <f t="shared" si="233"/>
        <v>1.389784946236559</v>
      </c>
      <c r="O947" s="139">
        <f t="shared" si="233"/>
        <v>1.635752688172043</v>
      </c>
      <c r="P947" s="139">
        <f t="shared" si="233"/>
        <v>3.4623655913978495</v>
      </c>
      <c r="Q947" s="139">
        <f t="shared" si="233"/>
        <v>1.1505376344086022</v>
      </c>
      <c r="R947" s="139">
        <f t="shared" si="233"/>
        <v>9.5430107526881733E-2</v>
      </c>
      <c r="S947" s="643">
        <f t="shared" si="233"/>
        <v>2.724462365591398</v>
      </c>
      <c r="T947" s="139">
        <f t="shared" ref="T947:T958" si="234">+B947+SUM(E947:S947)</f>
        <v>335.5949066896477</v>
      </c>
      <c r="U947" s="139">
        <f t="shared" ref="U947:U958" si="235">+C947+SUM(E947:S947)</f>
        <v>90.594906689647672</v>
      </c>
      <c r="V947" s="139" t="s">
        <v>2916</v>
      </c>
      <c r="AC947">
        <v>1</v>
      </c>
      <c r="AD947" s="139">
        <f t="shared" ref="AD947:AD952" si="236">IF($AF$944=1,VLOOKUP($AD$944,$A$974:$P$985,12,FALSE),VLOOKUP($AD$944,$A$947:$S$958,2,FALSE))</f>
        <v>294</v>
      </c>
      <c r="AE947" s="139">
        <f>VLOOKUP($AD$944,$A$947:$S$958,5,FALSE)</f>
        <v>28.721774193548388</v>
      </c>
      <c r="AF947" s="139">
        <f>VLOOKUP($AD$944,$A$947:$S$958,6,FALSE)</f>
        <v>30.048387096774192</v>
      </c>
      <c r="AG947" s="139">
        <f>VLOOKUP($AD$944,$A$947:$S$958,7,FALSE)</f>
        <v>50.240591397849464</v>
      </c>
      <c r="AH947" s="139">
        <f>VLOOKUP($AD$944,$A$947:$S$958,8,FALSE)</f>
        <v>14.39622093510107</v>
      </c>
      <c r="AI947" s="139">
        <f>VLOOKUP($AD$944,$A$947:$S$958,10,FALSE)</f>
        <v>11.376344086021506</v>
      </c>
      <c r="AJ947" s="139">
        <f>VLOOKUP($AD$944,$A$947:$S$958,11,FALSE)</f>
        <v>7.538978494623656</v>
      </c>
      <c r="AK947" s="139">
        <f>VLOOKUP($AD$944,$A$947:$S$958,12,FALSE)</f>
        <v>8.720430107526882</v>
      </c>
      <c r="AL947" s="139">
        <f>VLOOKUP($AD$944,$A$947:$S$958,13,FALSE)</f>
        <v>7.502688172043011</v>
      </c>
      <c r="AM947" s="139">
        <f>VLOOKUP($AD$944,$A$947:$S$958,14,FALSE)</f>
        <v>2.6747311827956985</v>
      </c>
      <c r="AN947" s="139">
        <f>VLOOKUP($AD$944,$A$947:$S$958,15,FALSE)</f>
        <v>3.1518817204301075</v>
      </c>
      <c r="AO947" s="139">
        <f>VLOOKUP($AD$944,$A$947:$S$958,16,FALSE)</f>
        <v>6.4865591397849469</v>
      </c>
      <c r="AP947" s="139">
        <f>VLOOKUP($AD$944,$A$947:$S$958,17,FALSE)</f>
        <v>0.93682795698924737</v>
      </c>
      <c r="AQ947" s="139">
        <f>VLOOKUP($AD$944,$A$947:$S$958,18,FALSE)</f>
        <v>1.428763440860215</v>
      </c>
      <c r="AR947" s="139">
        <f>VLOOKUP($AD$944,$A$947:$S$958,19,FALSE)</f>
        <v>2.2150537634408605</v>
      </c>
      <c r="AS947" s="139">
        <f>SUM(AD947:AR947)</f>
        <v>469.43923168778934</v>
      </c>
      <c r="AT947" s="139">
        <f>VLOOKUP($AD$944,$AC$867:$AS$878,17,FALSE)/$AE$944*(AS947/$AS$971)</f>
        <v>21.437877926024616</v>
      </c>
      <c r="AU947" s="139">
        <f>AS947+AT947</f>
        <v>490.87710961381396</v>
      </c>
      <c r="AW947" s="139">
        <f>VLOOKUP($AD$944,$A$895:$O$908,15,FALSE)/$AE$944/24</f>
        <v>417.9677419354839</v>
      </c>
      <c r="AX947" s="139">
        <f>AU947-AW947</f>
        <v>72.909367678330057</v>
      </c>
    </row>
    <row r="948" spans="1:50" ht="15.75" customHeight="1" x14ac:dyDescent="0.3">
      <c r="A948" s="642" t="s">
        <v>2091</v>
      </c>
      <c r="B948" s="642">
        <f t="shared" si="231"/>
        <v>294</v>
      </c>
      <c r="C948" s="139">
        <f t="shared" si="232"/>
        <v>147</v>
      </c>
      <c r="D948" s="643" t="s">
        <v>2916</v>
      </c>
      <c r="E948" s="139">
        <f t="shared" ref="E948:S948" si="237">+C868/$C$10/24</f>
        <v>23.476190476190478</v>
      </c>
      <c r="F948" s="139">
        <f t="shared" si="237"/>
        <v>24.558035714285712</v>
      </c>
      <c r="G948" s="139">
        <f t="shared" si="237"/>
        <v>41.30654761904762</v>
      </c>
      <c r="H948" s="139">
        <f t="shared" si="237"/>
        <v>16.894023352005036</v>
      </c>
      <c r="I948" s="139">
        <f t="shared" si="237"/>
        <v>0</v>
      </c>
      <c r="J948" s="139">
        <f t="shared" si="237"/>
        <v>7.2767857142857144</v>
      </c>
      <c r="K948" s="139">
        <f t="shared" si="237"/>
        <v>3.4389880952380953</v>
      </c>
      <c r="L948" s="139">
        <f t="shared" si="237"/>
        <v>5.2797619047619042</v>
      </c>
      <c r="M948" s="139">
        <f t="shared" si="237"/>
        <v>5.2232142857142856</v>
      </c>
      <c r="N948" s="139">
        <f t="shared" si="237"/>
        <v>1.6577380952380951</v>
      </c>
      <c r="O948" s="139">
        <f t="shared" si="237"/>
        <v>1.9523809523809523</v>
      </c>
      <c r="P948" s="139">
        <f t="shared" si="237"/>
        <v>4.1056547619047619</v>
      </c>
      <c r="Q948" s="139">
        <f t="shared" si="237"/>
        <v>0.73214285714285721</v>
      </c>
      <c r="R948" s="139">
        <f t="shared" si="237"/>
        <v>5.9523809523809527E-2</v>
      </c>
      <c r="S948" s="643">
        <f t="shared" si="237"/>
        <v>1.7336309523809523</v>
      </c>
      <c r="T948" s="139">
        <f t="shared" si="234"/>
        <v>431.69461859010028</v>
      </c>
      <c r="U948" s="139">
        <f t="shared" si="235"/>
        <v>284.69461859010028</v>
      </c>
      <c r="V948" s="139" t="s">
        <v>2916</v>
      </c>
      <c r="AC948">
        <v>2</v>
      </c>
      <c r="AD948" s="139">
        <f t="shared" si="236"/>
        <v>294</v>
      </c>
      <c r="AE948" s="139">
        <f t="shared" ref="AE948:AE970" si="238">VLOOKUP($AD$944,$A$947:$S$958,5,FALSE)</f>
        <v>28.721774193548388</v>
      </c>
      <c r="AF948" s="139">
        <f t="shared" ref="AF948:AF970" si="239">VLOOKUP($AD$944,$A$947:$S$958,6,FALSE)</f>
        <v>30.048387096774192</v>
      </c>
      <c r="AG948" s="139">
        <f t="shared" ref="AG948:AG970" si="240">VLOOKUP($AD$944,$A$947:$S$958,7,FALSE)</f>
        <v>50.240591397849464</v>
      </c>
      <c r="AH948" s="139">
        <f t="shared" ref="AH948:AH970" si="241">VLOOKUP($AD$944,$A$947:$S$958,8,FALSE)</f>
        <v>14.39622093510107</v>
      </c>
      <c r="AI948" s="139">
        <f t="shared" ref="AI948:AI970" si="242">VLOOKUP($AD$944,$A$947:$S$958,10,FALSE)</f>
        <v>11.376344086021506</v>
      </c>
      <c r="AJ948" s="139">
        <f t="shared" ref="AJ948:AJ970" si="243">VLOOKUP($AD$944,$A$947:$S$958,11,FALSE)</f>
        <v>7.538978494623656</v>
      </c>
      <c r="AK948" s="139">
        <f t="shared" ref="AK948:AK970" si="244">VLOOKUP($AD$944,$A$947:$S$958,12,FALSE)</f>
        <v>8.720430107526882</v>
      </c>
      <c r="AL948" s="139">
        <f t="shared" ref="AL948:AL970" si="245">VLOOKUP($AD$944,$A$947:$S$958,13,FALSE)</f>
        <v>7.502688172043011</v>
      </c>
      <c r="AM948" s="139">
        <f t="shared" ref="AM948:AM970" si="246">VLOOKUP($AD$944,$A$947:$S$958,14,FALSE)</f>
        <v>2.6747311827956985</v>
      </c>
      <c r="AN948" s="139">
        <f t="shared" ref="AN948:AN970" si="247">VLOOKUP($AD$944,$A$947:$S$958,15,FALSE)</f>
        <v>3.1518817204301075</v>
      </c>
      <c r="AO948" s="139">
        <f t="shared" ref="AO948:AO970" si="248">VLOOKUP($AD$944,$A$947:$S$958,16,FALSE)</f>
        <v>6.4865591397849469</v>
      </c>
      <c r="AP948" s="139">
        <f t="shared" ref="AP948:AP970" si="249">VLOOKUP($AD$944,$A$947:$S$958,17,FALSE)</f>
        <v>0.93682795698924737</v>
      </c>
      <c r="AQ948" s="139">
        <f t="shared" ref="AQ948:AQ970" si="250">VLOOKUP($AD$944,$A$947:$S$958,18,FALSE)</f>
        <v>1.428763440860215</v>
      </c>
      <c r="AR948" s="139">
        <f t="shared" ref="AR948:AR970" si="251">VLOOKUP($AD$944,$A$947:$S$958,19,FALSE)</f>
        <v>2.2150537634408605</v>
      </c>
      <c r="AS948" s="139">
        <f t="shared" ref="AS948:AS970" si="252">SUM(AD948:AR948)</f>
        <v>469.43923168778934</v>
      </c>
      <c r="AT948" s="139">
        <f t="shared" ref="AT948:AT970" si="253">VLOOKUP($AD$944,$AC$867:$AS$878,17,FALSE)/$AE$944*(AS948/$AS$971)</f>
        <v>21.437877926024616</v>
      </c>
      <c r="AU948" s="139">
        <f t="shared" ref="AU948:AU970" si="254">AS948+AT948</f>
        <v>490.87710961381396</v>
      </c>
      <c r="AW948" s="139">
        <f t="shared" ref="AW948:AW970" si="255">VLOOKUP($AD$944,$A$895:$O$908,15,FALSE)/$AE$944/24</f>
        <v>417.9677419354839</v>
      </c>
      <c r="AX948" s="139">
        <f t="shared" ref="AX948:AX970" si="256">AU948-AW948</f>
        <v>72.909367678330057</v>
      </c>
    </row>
    <row r="949" spans="1:50" ht="15.75" customHeight="1" x14ac:dyDescent="0.3">
      <c r="A949" s="642" t="s">
        <v>2234</v>
      </c>
      <c r="B949" s="642">
        <f t="shared" si="231"/>
        <v>294</v>
      </c>
      <c r="C949" s="139">
        <f t="shared" si="232"/>
        <v>196</v>
      </c>
      <c r="D949" s="643" t="s">
        <v>2916</v>
      </c>
      <c r="E949" s="139">
        <f t="shared" ref="E949:S949" si="257">+C869/$D$10/24</f>
        <v>28.721774193548388</v>
      </c>
      <c r="F949" s="139">
        <f t="shared" si="257"/>
        <v>30.048387096774192</v>
      </c>
      <c r="G949" s="139">
        <f t="shared" si="257"/>
        <v>50.240591397849464</v>
      </c>
      <c r="H949" s="139">
        <f t="shared" si="257"/>
        <v>14.39622093510107</v>
      </c>
      <c r="I949" s="139">
        <f t="shared" si="257"/>
        <v>0</v>
      </c>
      <c r="J949" s="139">
        <f t="shared" si="257"/>
        <v>11.376344086021506</v>
      </c>
      <c r="K949" s="139">
        <f t="shared" si="257"/>
        <v>7.538978494623656</v>
      </c>
      <c r="L949" s="139">
        <f t="shared" si="257"/>
        <v>8.720430107526882</v>
      </c>
      <c r="M949" s="139">
        <f t="shared" si="257"/>
        <v>7.502688172043011</v>
      </c>
      <c r="N949" s="139">
        <f t="shared" si="257"/>
        <v>2.6747311827956985</v>
      </c>
      <c r="O949" s="139">
        <f t="shared" si="257"/>
        <v>3.1518817204301075</v>
      </c>
      <c r="P949" s="139">
        <f t="shared" si="257"/>
        <v>6.4865591397849469</v>
      </c>
      <c r="Q949" s="139">
        <f t="shared" si="257"/>
        <v>0.93682795698924737</v>
      </c>
      <c r="R949" s="139">
        <f t="shared" si="257"/>
        <v>1.428763440860215</v>
      </c>
      <c r="S949" s="643">
        <f t="shared" si="257"/>
        <v>2.2150537634408605</v>
      </c>
      <c r="T949" s="139">
        <f t="shared" si="234"/>
        <v>469.43923168778929</v>
      </c>
      <c r="U949" s="139">
        <f t="shared" si="235"/>
        <v>371.43923168778929</v>
      </c>
      <c r="V949" s="139" t="s">
        <v>2916</v>
      </c>
      <c r="AC949">
        <v>3</v>
      </c>
      <c r="AD949" s="139">
        <f t="shared" si="236"/>
        <v>294</v>
      </c>
      <c r="AE949" s="139">
        <f t="shared" si="238"/>
        <v>28.721774193548388</v>
      </c>
      <c r="AF949" s="139">
        <f t="shared" si="239"/>
        <v>30.048387096774192</v>
      </c>
      <c r="AG949" s="139">
        <f t="shared" si="240"/>
        <v>50.240591397849464</v>
      </c>
      <c r="AH949" s="139">
        <f t="shared" si="241"/>
        <v>14.39622093510107</v>
      </c>
      <c r="AI949" s="139">
        <f t="shared" si="242"/>
        <v>11.376344086021506</v>
      </c>
      <c r="AJ949" s="139">
        <f t="shared" si="243"/>
        <v>7.538978494623656</v>
      </c>
      <c r="AK949" s="139">
        <f t="shared" si="244"/>
        <v>8.720430107526882</v>
      </c>
      <c r="AL949" s="139">
        <f t="shared" si="245"/>
        <v>7.502688172043011</v>
      </c>
      <c r="AM949" s="139">
        <f t="shared" si="246"/>
        <v>2.6747311827956985</v>
      </c>
      <c r="AN949" s="139">
        <f t="shared" si="247"/>
        <v>3.1518817204301075</v>
      </c>
      <c r="AO949" s="139">
        <f t="shared" si="248"/>
        <v>6.4865591397849469</v>
      </c>
      <c r="AP949" s="139">
        <f t="shared" si="249"/>
        <v>0.93682795698924737</v>
      </c>
      <c r="AQ949" s="139">
        <f t="shared" si="250"/>
        <v>1.428763440860215</v>
      </c>
      <c r="AR949" s="139">
        <f t="shared" si="251"/>
        <v>2.2150537634408605</v>
      </c>
      <c r="AS949" s="139">
        <f t="shared" si="252"/>
        <v>469.43923168778934</v>
      </c>
      <c r="AT949" s="139">
        <f t="shared" si="253"/>
        <v>21.437877926024616</v>
      </c>
      <c r="AU949" s="139">
        <f t="shared" si="254"/>
        <v>490.87710961381396</v>
      </c>
      <c r="AW949" s="139">
        <f t="shared" si="255"/>
        <v>417.9677419354839</v>
      </c>
      <c r="AX949" s="139">
        <f t="shared" si="256"/>
        <v>72.909367678330057</v>
      </c>
    </row>
    <row r="950" spans="1:50" ht="15.75" customHeight="1" x14ac:dyDescent="0.3">
      <c r="A950" s="642" t="s">
        <v>2235</v>
      </c>
      <c r="B950" s="642">
        <f t="shared" si="231"/>
        <v>294</v>
      </c>
      <c r="C950" s="139">
        <f t="shared" si="232"/>
        <v>196</v>
      </c>
      <c r="D950" s="643" t="s">
        <v>2916</v>
      </c>
      <c r="E950" s="139">
        <f t="shared" ref="E950:S950" si="258">+C870/$F$10/24</f>
        <v>30.06527777777778</v>
      </c>
      <c r="F950" s="139">
        <f t="shared" si="258"/>
        <v>31.481944444444448</v>
      </c>
      <c r="G950" s="139">
        <f t="shared" si="258"/>
        <v>52</v>
      </c>
      <c r="H950" s="139">
        <f t="shared" si="258"/>
        <v>3.0417800030295195</v>
      </c>
      <c r="I950" s="139">
        <f t="shared" si="258"/>
        <v>-8.0341392447458831E-2</v>
      </c>
      <c r="J950" s="139">
        <f t="shared" si="258"/>
        <v>15.895833333333334</v>
      </c>
      <c r="K950" s="139">
        <f t="shared" si="258"/>
        <v>9.0416666666666661</v>
      </c>
      <c r="L950" s="139">
        <f t="shared" si="258"/>
        <v>12.031944444444443</v>
      </c>
      <c r="M950" s="139">
        <f t="shared" si="258"/>
        <v>9.094444444444445</v>
      </c>
      <c r="N950" s="139">
        <f t="shared" si="258"/>
        <v>3.068055555555556</v>
      </c>
      <c r="O950" s="139">
        <f t="shared" si="258"/>
        <v>3.6152777777777776</v>
      </c>
      <c r="P950" s="139">
        <f t="shared" si="258"/>
        <v>7.094444444444445</v>
      </c>
      <c r="Q950" s="139">
        <f t="shared" si="258"/>
        <v>1.1430555555555555</v>
      </c>
      <c r="R950" s="139">
        <f t="shared" si="258"/>
        <v>2.3666666666666667</v>
      </c>
      <c r="S950" s="643">
        <f t="shared" si="258"/>
        <v>2.7027777777777775</v>
      </c>
      <c r="T950" s="139">
        <f t="shared" si="234"/>
        <v>476.56282749947093</v>
      </c>
      <c r="U950" s="139">
        <f t="shared" si="235"/>
        <v>378.56282749947093</v>
      </c>
      <c r="V950" s="139" t="s">
        <v>2916</v>
      </c>
      <c r="AC950">
        <v>4</v>
      </c>
      <c r="AD950" s="139">
        <f t="shared" si="236"/>
        <v>294</v>
      </c>
      <c r="AE950" s="139">
        <f t="shared" si="238"/>
        <v>28.721774193548388</v>
      </c>
      <c r="AF950" s="139">
        <f t="shared" si="239"/>
        <v>30.048387096774192</v>
      </c>
      <c r="AG950" s="139">
        <f t="shared" si="240"/>
        <v>50.240591397849464</v>
      </c>
      <c r="AH950" s="139">
        <f t="shared" si="241"/>
        <v>14.39622093510107</v>
      </c>
      <c r="AI950" s="139">
        <f t="shared" si="242"/>
        <v>11.376344086021506</v>
      </c>
      <c r="AJ950" s="139">
        <f t="shared" si="243"/>
        <v>7.538978494623656</v>
      </c>
      <c r="AK950" s="139">
        <f t="shared" si="244"/>
        <v>8.720430107526882</v>
      </c>
      <c r="AL950" s="139">
        <f t="shared" si="245"/>
        <v>7.502688172043011</v>
      </c>
      <c r="AM950" s="139">
        <f t="shared" si="246"/>
        <v>2.6747311827956985</v>
      </c>
      <c r="AN950" s="139">
        <f t="shared" si="247"/>
        <v>3.1518817204301075</v>
      </c>
      <c r="AO950" s="139">
        <f t="shared" si="248"/>
        <v>6.4865591397849469</v>
      </c>
      <c r="AP950" s="139">
        <f t="shared" si="249"/>
        <v>0.93682795698924737</v>
      </c>
      <c r="AQ950" s="139">
        <f t="shared" si="250"/>
        <v>1.428763440860215</v>
      </c>
      <c r="AR950" s="139">
        <f t="shared" si="251"/>
        <v>2.2150537634408605</v>
      </c>
      <c r="AS950" s="139">
        <f t="shared" si="252"/>
        <v>469.43923168778934</v>
      </c>
      <c r="AT950" s="139">
        <f t="shared" si="253"/>
        <v>21.437877926024616</v>
      </c>
      <c r="AU950" s="139">
        <f t="shared" si="254"/>
        <v>490.87710961381396</v>
      </c>
      <c r="AW950" s="139">
        <f t="shared" si="255"/>
        <v>417.9677419354839</v>
      </c>
      <c r="AX950" s="139">
        <f t="shared" si="256"/>
        <v>72.909367678330057</v>
      </c>
    </row>
    <row r="951" spans="1:50" ht="15.75" customHeight="1" x14ac:dyDescent="0.3">
      <c r="A951" s="642" t="s">
        <v>2236</v>
      </c>
      <c r="B951" s="642">
        <f t="shared" si="231"/>
        <v>294</v>
      </c>
      <c r="C951" s="139">
        <f t="shared" si="232"/>
        <v>196</v>
      </c>
      <c r="D951" s="643" t="s">
        <v>2916</v>
      </c>
      <c r="E951" s="139">
        <f t="shared" ref="E951:S951" si="259">+C871/$G$10/24</f>
        <v>30.02016129032258</v>
      </c>
      <c r="F951" s="139">
        <f t="shared" si="259"/>
        <v>31.427419354838708</v>
      </c>
      <c r="G951" s="139">
        <f t="shared" si="259"/>
        <v>51.452956989247305</v>
      </c>
      <c r="H951" s="139">
        <f t="shared" si="259"/>
        <v>0.45124957070220545</v>
      </c>
      <c r="I951" s="139">
        <f t="shared" si="259"/>
        <v>-2.1189994408926234</v>
      </c>
      <c r="J951" s="139">
        <f t="shared" si="259"/>
        <v>17.293010752688172</v>
      </c>
      <c r="K951" s="139">
        <f t="shared" si="259"/>
        <v>8.8077956989247301</v>
      </c>
      <c r="L951" s="139">
        <f t="shared" si="259"/>
        <v>11.888440860215054</v>
      </c>
      <c r="M951" s="139">
        <f t="shared" si="259"/>
        <v>8.443548387096774</v>
      </c>
      <c r="N951" s="139">
        <f t="shared" si="259"/>
        <v>3.0658602150537635</v>
      </c>
      <c r="O951" s="139">
        <f t="shared" si="259"/>
        <v>3.611559139784946</v>
      </c>
      <c r="P951" s="139">
        <f t="shared" si="259"/>
        <v>7.208333333333333</v>
      </c>
      <c r="Q951" s="139">
        <f t="shared" si="259"/>
        <v>1.081989247311828</v>
      </c>
      <c r="R951" s="139">
        <f t="shared" si="259"/>
        <v>2.650537634408602</v>
      </c>
      <c r="S951" s="643">
        <f t="shared" si="259"/>
        <v>2.5577956989247315</v>
      </c>
      <c r="T951" s="139">
        <f t="shared" si="234"/>
        <v>471.84165873196014</v>
      </c>
      <c r="U951" s="139">
        <f t="shared" si="235"/>
        <v>373.84165873196014</v>
      </c>
      <c r="V951" s="139" t="s">
        <v>2916</v>
      </c>
      <c r="AC951">
        <v>5</v>
      </c>
      <c r="AD951" s="139">
        <f t="shared" si="236"/>
        <v>294</v>
      </c>
      <c r="AE951" s="139">
        <f t="shared" si="238"/>
        <v>28.721774193548388</v>
      </c>
      <c r="AF951" s="139">
        <f t="shared" si="239"/>
        <v>30.048387096774192</v>
      </c>
      <c r="AG951" s="139">
        <f t="shared" si="240"/>
        <v>50.240591397849464</v>
      </c>
      <c r="AH951" s="139">
        <f t="shared" si="241"/>
        <v>14.39622093510107</v>
      </c>
      <c r="AI951" s="139">
        <f t="shared" si="242"/>
        <v>11.376344086021506</v>
      </c>
      <c r="AJ951" s="139">
        <f t="shared" si="243"/>
        <v>7.538978494623656</v>
      </c>
      <c r="AK951" s="139">
        <f t="shared" si="244"/>
        <v>8.720430107526882</v>
      </c>
      <c r="AL951" s="139">
        <f t="shared" si="245"/>
        <v>7.502688172043011</v>
      </c>
      <c r="AM951" s="139">
        <f t="shared" si="246"/>
        <v>2.6747311827956985</v>
      </c>
      <c r="AN951" s="139">
        <f t="shared" si="247"/>
        <v>3.1518817204301075</v>
      </c>
      <c r="AO951" s="139">
        <f t="shared" si="248"/>
        <v>6.4865591397849469</v>
      </c>
      <c r="AP951" s="139">
        <f t="shared" si="249"/>
        <v>0.93682795698924737</v>
      </c>
      <c r="AQ951" s="139">
        <f t="shared" si="250"/>
        <v>1.428763440860215</v>
      </c>
      <c r="AR951" s="139">
        <f t="shared" si="251"/>
        <v>2.2150537634408605</v>
      </c>
      <c r="AS951" s="139">
        <f t="shared" si="252"/>
        <v>469.43923168778934</v>
      </c>
      <c r="AT951" s="139">
        <f t="shared" si="253"/>
        <v>21.437877926024616</v>
      </c>
      <c r="AU951" s="139">
        <f t="shared" si="254"/>
        <v>490.87710961381396</v>
      </c>
      <c r="AW951" s="139">
        <f t="shared" si="255"/>
        <v>417.9677419354839</v>
      </c>
      <c r="AX951" s="139">
        <f t="shared" si="256"/>
        <v>72.909367678330057</v>
      </c>
    </row>
    <row r="952" spans="1:50" ht="15.75" customHeight="1" x14ac:dyDescent="0.3">
      <c r="A952" s="642" t="s">
        <v>2237</v>
      </c>
      <c r="B952" s="642">
        <f t="shared" si="231"/>
        <v>294</v>
      </c>
      <c r="C952" s="139">
        <f t="shared" si="232"/>
        <v>98</v>
      </c>
      <c r="D952" s="643">
        <f>H979</f>
        <v>0</v>
      </c>
      <c r="E952" s="139">
        <f t="shared" ref="E952:S952" si="260">+C872/$H$10/24</f>
        <v>22.861111111111111</v>
      </c>
      <c r="F952" s="139">
        <f t="shared" si="260"/>
        <v>23.915277777777778</v>
      </c>
      <c r="G952" s="139">
        <f t="shared" si="260"/>
        <v>38.494444444444447</v>
      </c>
      <c r="H952" s="139">
        <f t="shared" si="260"/>
        <v>0</v>
      </c>
      <c r="I952" s="139">
        <f t="shared" si="260"/>
        <v>-12.792535041446875</v>
      </c>
      <c r="J952" s="139">
        <f t="shared" si="260"/>
        <v>20.662499999999998</v>
      </c>
      <c r="K952" s="139">
        <f t="shared" si="260"/>
        <v>9.8569444444444443</v>
      </c>
      <c r="L952" s="139">
        <f t="shared" si="260"/>
        <v>9.7541666666666664</v>
      </c>
      <c r="M952" s="139">
        <f t="shared" si="260"/>
        <v>7.3694444444444445</v>
      </c>
      <c r="N952" s="139">
        <f t="shared" si="260"/>
        <v>2.5680555555555555</v>
      </c>
      <c r="O952" s="139">
        <f t="shared" si="260"/>
        <v>3.0222222222222221</v>
      </c>
      <c r="P952" s="139">
        <f t="shared" si="260"/>
        <v>5.7152777777777777</v>
      </c>
      <c r="Q952" s="139">
        <f t="shared" si="260"/>
        <v>1.1763888888888889</v>
      </c>
      <c r="R952" s="139">
        <f t="shared" si="260"/>
        <v>2.8222222222222224</v>
      </c>
      <c r="S952" s="643">
        <f t="shared" si="260"/>
        <v>2.7805555555555554</v>
      </c>
      <c r="T952" s="139">
        <f t="shared" si="234"/>
        <v>432.20607606966428</v>
      </c>
      <c r="U952" s="139">
        <f t="shared" si="235"/>
        <v>236.20607606966425</v>
      </c>
      <c r="V952" s="688">
        <f>D952+SUM(E952:S952)</f>
        <v>138.20607606966425</v>
      </c>
      <c r="AC952">
        <v>6</v>
      </c>
      <c r="AD952" s="139">
        <f t="shared" si="236"/>
        <v>294</v>
      </c>
      <c r="AE952" s="139">
        <f t="shared" si="238"/>
        <v>28.721774193548388</v>
      </c>
      <c r="AF952" s="139">
        <f t="shared" si="239"/>
        <v>30.048387096774192</v>
      </c>
      <c r="AG952" s="139">
        <f t="shared" si="240"/>
        <v>50.240591397849464</v>
      </c>
      <c r="AH952" s="139">
        <f t="shared" si="241"/>
        <v>14.39622093510107</v>
      </c>
      <c r="AI952" s="139">
        <f t="shared" si="242"/>
        <v>11.376344086021506</v>
      </c>
      <c r="AJ952" s="139">
        <f t="shared" si="243"/>
        <v>7.538978494623656</v>
      </c>
      <c r="AK952" s="139">
        <f t="shared" si="244"/>
        <v>8.720430107526882</v>
      </c>
      <c r="AL952" s="139">
        <f t="shared" si="245"/>
        <v>7.502688172043011</v>
      </c>
      <c r="AM952" s="139">
        <f t="shared" si="246"/>
        <v>2.6747311827956985</v>
      </c>
      <c r="AN952" s="139">
        <f t="shared" si="247"/>
        <v>3.1518817204301075</v>
      </c>
      <c r="AO952" s="139">
        <f t="shared" si="248"/>
        <v>6.4865591397849469</v>
      </c>
      <c r="AP952" s="139">
        <f t="shared" si="249"/>
        <v>0.93682795698924737</v>
      </c>
      <c r="AQ952" s="139">
        <f t="shared" si="250"/>
        <v>1.428763440860215</v>
      </c>
      <c r="AR952" s="139">
        <f t="shared" si="251"/>
        <v>2.2150537634408605</v>
      </c>
      <c r="AS952" s="139">
        <f t="shared" si="252"/>
        <v>469.43923168778934</v>
      </c>
      <c r="AT952" s="139">
        <f t="shared" si="253"/>
        <v>21.437877926024616</v>
      </c>
      <c r="AU952" s="139">
        <f t="shared" si="254"/>
        <v>490.87710961381396</v>
      </c>
      <c r="AW952" s="139">
        <f t="shared" si="255"/>
        <v>417.9677419354839</v>
      </c>
      <c r="AX952" s="139">
        <f t="shared" si="256"/>
        <v>72.909367678330057</v>
      </c>
    </row>
    <row r="953" spans="1:50" ht="15.75" customHeight="1" x14ac:dyDescent="0.3">
      <c r="A953" s="642" t="s">
        <v>1504</v>
      </c>
      <c r="B953" s="642">
        <f t="shared" si="231"/>
        <v>147</v>
      </c>
      <c r="C953" s="139">
        <f t="shared" si="232"/>
        <v>98</v>
      </c>
      <c r="D953" s="643">
        <f>H980</f>
        <v>0</v>
      </c>
      <c r="E953" s="139">
        <f t="shared" ref="E953:S953" si="261">+C873/$J$10/24</f>
        <v>15.55779569892473</v>
      </c>
      <c r="F953" s="139">
        <f t="shared" si="261"/>
        <v>16.25537634408602</v>
      </c>
      <c r="G953" s="139">
        <f t="shared" si="261"/>
        <v>25.283602150537632</v>
      </c>
      <c r="H953" s="139">
        <f t="shared" si="261"/>
        <v>0</v>
      </c>
      <c r="I953" s="139">
        <f t="shared" si="261"/>
        <v>-15.215088687394152</v>
      </c>
      <c r="J953" s="139">
        <f t="shared" si="261"/>
        <v>17.63978494623656</v>
      </c>
      <c r="K953" s="139">
        <f t="shared" si="261"/>
        <v>10.818548387096774</v>
      </c>
      <c r="L953" s="139">
        <f t="shared" si="261"/>
        <v>10.388440860215054</v>
      </c>
      <c r="M953" s="139">
        <f t="shared" si="261"/>
        <v>7.795698924731183</v>
      </c>
      <c r="N953" s="139">
        <f t="shared" si="261"/>
        <v>2.3655913978494625</v>
      </c>
      <c r="O953" s="139">
        <f t="shared" si="261"/>
        <v>2.78494623655914</v>
      </c>
      <c r="P953" s="139">
        <f t="shared" si="261"/>
        <v>5.025537634408602</v>
      </c>
      <c r="Q953" s="139">
        <f t="shared" si="261"/>
        <v>1.146505376344086</v>
      </c>
      <c r="R953" s="139">
        <f t="shared" si="261"/>
        <v>2.8817204301075265</v>
      </c>
      <c r="S953" s="643">
        <f t="shared" si="261"/>
        <v>2.681451612903226</v>
      </c>
      <c r="T953" s="139">
        <f t="shared" si="234"/>
        <v>252.40991131260586</v>
      </c>
      <c r="U953" s="139">
        <f t="shared" si="235"/>
        <v>203.40991131260586</v>
      </c>
      <c r="V953" s="688">
        <f>D953+SUM(E953:S953)</f>
        <v>105.40991131260584</v>
      </c>
      <c r="AC953">
        <v>7</v>
      </c>
      <c r="AD953" s="139">
        <f>IF($AF$944=1,VLOOKUP($AD$944,$A$974:$P$985,12,FALSE),IF(OR($AD$944="JAN",$AD$944="FEB",$AD$944="NOV",$AD$944="DEC"),VLOOKUP($AD$944,$A$947:$S$958,2,FALSE),VLOOKUP($AD$944,$A$947:$S$958,3,FALSE)))</f>
        <v>196</v>
      </c>
      <c r="AE953" s="139">
        <f t="shared" si="238"/>
        <v>28.721774193548388</v>
      </c>
      <c r="AF953" s="139">
        <f t="shared" si="239"/>
        <v>30.048387096774192</v>
      </c>
      <c r="AG953" s="139">
        <f t="shared" si="240"/>
        <v>50.240591397849464</v>
      </c>
      <c r="AH953" s="139">
        <f t="shared" si="241"/>
        <v>14.39622093510107</v>
      </c>
      <c r="AI953" s="139">
        <f t="shared" si="242"/>
        <v>11.376344086021506</v>
      </c>
      <c r="AJ953" s="139">
        <f t="shared" si="243"/>
        <v>7.538978494623656</v>
      </c>
      <c r="AK953" s="139">
        <f t="shared" si="244"/>
        <v>8.720430107526882</v>
      </c>
      <c r="AL953" s="139">
        <f t="shared" si="245"/>
        <v>7.502688172043011</v>
      </c>
      <c r="AM953" s="139">
        <f t="shared" si="246"/>
        <v>2.6747311827956985</v>
      </c>
      <c r="AN953" s="139">
        <f t="shared" si="247"/>
        <v>3.1518817204301075</v>
      </c>
      <c r="AO953" s="139">
        <f t="shared" si="248"/>
        <v>6.4865591397849469</v>
      </c>
      <c r="AP953" s="139">
        <f t="shared" si="249"/>
        <v>0.93682795698924737</v>
      </c>
      <c r="AQ953" s="139">
        <f t="shared" si="250"/>
        <v>1.428763440860215</v>
      </c>
      <c r="AR953" s="139">
        <f t="shared" si="251"/>
        <v>2.2150537634408605</v>
      </c>
      <c r="AS953" s="139">
        <f t="shared" si="252"/>
        <v>371.43923168778923</v>
      </c>
      <c r="AT953" s="139">
        <f t="shared" si="253"/>
        <v>16.962512649890915</v>
      </c>
      <c r="AU953" s="139">
        <f t="shared" si="254"/>
        <v>388.40174433768016</v>
      </c>
      <c r="AW953" s="139">
        <f t="shared" si="255"/>
        <v>417.9677419354839</v>
      </c>
      <c r="AX953" s="139">
        <f t="shared" si="256"/>
        <v>-29.565997597803744</v>
      </c>
    </row>
    <row r="954" spans="1:50" ht="15.75" customHeight="1" x14ac:dyDescent="0.3">
      <c r="A954" s="642" t="s">
        <v>1505</v>
      </c>
      <c r="B954" s="642">
        <f t="shared" si="231"/>
        <v>147</v>
      </c>
      <c r="C954" s="139">
        <f t="shared" si="232"/>
        <v>98</v>
      </c>
      <c r="D954" s="643">
        <f>H981</f>
        <v>0</v>
      </c>
      <c r="E954" s="139">
        <f t="shared" ref="E954:S954" si="262">+C874/$K$10/24</f>
        <v>16.622311827956988</v>
      </c>
      <c r="F954" s="139">
        <f t="shared" si="262"/>
        <v>17.385752688172044</v>
      </c>
      <c r="G954" s="139">
        <f t="shared" si="262"/>
        <v>27.364247311827956</v>
      </c>
      <c r="H954" s="139">
        <f t="shared" si="262"/>
        <v>0</v>
      </c>
      <c r="I954" s="139">
        <f t="shared" si="262"/>
        <v>-8.5795767149413269</v>
      </c>
      <c r="J954" s="139">
        <f t="shared" si="262"/>
        <v>16.307795698924732</v>
      </c>
      <c r="K954" s="139">
        <f t="shared" si="262"/>
        <v>10.733870967741936</v>
      </c>
      <c r="L954" s="139">
        <f t="shared" si="262"/>
        <v>10.977150537634408</v>
      </c>
      <c r="M954" s="139">
        <f t="shared" si="262"/>
        <v>8.875</v>
      </c>
      <c r="N954" s="139">
        <f t="shared" si="262"/>
        <v>2.6303763440860215</v>
      </c>
      <c r="O954" s="139">
        <f t="shared" si="262"/>
        <v>3.0981182795698925</v>
      </c>
      <c r="P954" s="139">
        <f t="shared" si="262"/>
        <v>5.791666666666667</v>
      </c>
      <c r="Q954" s="139">
        <f t="shared" si="262"/>
        <v>0.9946236559139785</v>
      </c>
      <c r="R954" s="139">
        <f t="shared" si="262"/>
        <v>2.6962365591397845</v>
      </c>
      <c r="S954" s="643">
        <f t="shared" si="262"/>
        <v>2.3521505376344085</v>
      </c>
      <c r="T954" s="139">
        <f t="shared" si="234"/>
        <v>264.24972436032749</v>
      </c>
      <c r="U954" s="139">
        <f t="shared" si="235"/>
        <v>215.24972436032749</v>
      </c>
      <c r="V954" s="688">
        <f>D954+SUM(E954:S954)</f>
        <v>117.24972436032751</v>
      </c>
      <c r="AC954">
        <v>8</v>
      </c>
      <c r="AD954" s="139">
        <f>IF($AF$944=1,VLOOKUP($AD$944,$A$974:$P$985,12,FALSE),VLOOKUP($AD$944,$A$947:$S$958,3,FALSE))</f>
        <v>196</v>
      </c>
      <c r="AE954" s="139">
        <f t="shared" si="238"/>
        <v>28.721774193548388</v>
      </c>
      <c r="AF954" s="139">
        <f t="shared" si="239"/>
        <v>30.048387096774192</v>
      </c>
      <c r="AG954" s="139">
        <f t="shared" si="240"/>
        <v>50.240591397849464</v>
      </c>
      <c r="AH954" s="139">
        <f t="shared" si="241"/>
        <v>14.39622093510107</v>
      </c>
      <c r="AI954" s="139">
        <f t="shared" si="242"/>
        <v>11.376344086021506</v>
      </c>
      <c r="AJ954" s="139">
        <f t="shared" si="243"/>
        <v>7.538978494623656</v>
      </c>
      <c r="AK954" s="139">
        <f t="shared" si="244"/>
        <v>8.720430107526882</v>
      </c>
      <c r="AL954" s="139">
        <f t="shared" si="245"/>
        <v>7.502688172043011</v>
      </c>
      <c r="AM954" s="139">
        <f t="shared" si="246"/>
        <v>2.6747311827956985</v>
      </c>
      <c r="AN954" s="139">
        <f t="shared" si="247"/>
        <v>3.1518817204301075</v>
      </c>
      <c r="AO954" s="139">
        <f t="shared" si="248"/>
        <v>6.4865591397849469</v>
      </c>
      <c r="AP954" s="139">
        <f t="shared" si="249"/>
        <v>0.93682795698924737</v>
      </c>
      <c r="AQ954" s="139">
        <f t="shared" si="250"/>
        <v>1.428763440860215</v>
      </c>
      <c r="AR954" s="139">
        <f t="shared" si="251"/>
        <v>2.2150537634408605</v>
      </c>
      <c r="AS954" s="139">
        <f t="shared" si="252"/>
        <v>371.43923168778923</v>
      </c>
      <c r="AT954" s="139">
        <f t="shared" si="253"/>
        <v>16.962512649890915</v>
      </c>
      <c r="AU954" s="139">
        <f t="shared" si="254"/>
        <v>388.40174433768016</v>
      </c>
      <c r="AW954" s="139">
        <f t="shared" si="255"/>
        <v>417.9677419354839</v>
      </c>
      <c r="AX954" s="139">
        <f t="shared" si="256"/>
        <v>-29.565997597803744</v>
      </c>
    </row>
    <row r="955" spans="1:50" ht="15.75" customHeight="1" x14ac:dyDescent="0.3">
      <c r="A955" s="642" t="s">
        <v>1506</v>
      </c>
      <c r="B955" s="642">
        <f t="shared" si="231"/>
        <v>245</v>
      </c>
      <c r="C955" s="139">
        <f t="shared" si="232"/>
        <v>147</v>
      </c>
      <c r="D955" s="643" t="s">
        <v>2916</v>
      </c>
      <c r="E955" s="139">
        <f t="shared" ref="E955:S955" si="263">+C875/$L$10/24</f>
        <v>23.659722222222225</v>
      </c>
      <c r="F955" s="139">
        <f t="shared" si="263"/>
        <v>24.724999999999998</v>
      </c>
      <c r="G955" s="139">
        <f t="shared" si="263"/>
        <v>38.723611111111111</v>
      </c>
      <c r="H955" s="139">
        <f t="shared" si="263"/>
        <v>6.5246762015551107</v>
      </c>
      <c r="I955" s="139">
        <f t="shared" si="263"/>
        <v>-0.76943977199983082</v>
      </c>
      <c r="J955" s="139">
        <f t="shared" si="263"/>
        <v>9.8222222222222211</v>
      </c>
      <c r="K955" s="139">
        <f t="shared" si="263"/>
        <v>7</v>
      </c>
      <c r="L955" s="139">
        <f t="shared" si="263"/>
        <v>8.5611111111111118</v>
      </c>
      <c r="M955" s="139">
        <f t="shared" si="263"/>
        <v>8.1236111111111118</v>
      </c>
      <c r="N955" s="139">
        <f t="shared" si="263"/>
        <v>2.5805555555555553</v>
      </c>
      <c r="O955" s="139">
        <f t="shared" si="263"/>
        <v>3.0388888888888892</v>
      </c>
      <c r="P955" s="139">
        <f t="shared" si="263"/>
        <v>5.9208333333333334</v>
      </c>
      <c r="Q955" s="139">
        <f t="shared" si="263"/>
        <v>0.96805555555555556</v>
      </c>
      <c r="R955" s="139">
        <f t="shared" si="263"/>
        <v>2.4069444444444446</v>
      </c>
      <c r="S955" s="643">
        <f t="shared" si="263"/>
        <v>2.2902777777777779</v>
      </c>
      <c r="T955" s="139">
        <f t="shared" si="234"/>
        <v>388.57606976288866</v>
      </c>
      <c r="U955" s="139">
        <f t="shared" si="235"/>
        <v>290.57606976288866</v>
      </c>
      <c r="V955" s="139" t="s">
        <v>2916</v>
      </c>
      <c r="AC955">
        <v>9</v>
      </c>
      <c r="AD955" s="139">
        <f>IF($AF$944=1,VLOOKUP($AD$944,$A$974:$P$985,12,FALSE),VLOOKUP($AD$944,$A$947:$S$958,3,FALSE))</f>
        <v>196</v>
      </c>
      <c r="AE955" s="139">
        <f t="shared" si="238"/>
        <v>28.721774193548388</v>
      </c>
      <c r="AF955" s="139">
        <f t="shared" si="239"/>
        <v>30.048387096774192</v>
      </c>
      <c r="AG955" s="139">
        <f t="shared" si="240"/>
        <v>50.240591397849464</v>
      </c>
      <c r="AH955" s="139">
        <f t="shared" si="241"/>
        <v>14.39622093510107</v>
      </c>
      <c r="AI955" s="139">
        <f t="shared" si="242"/>
        <v>11.376344086021506</v>
      </c>
      <c r="AJ955" s="139">
        <f t="shared" si="243"/>
        <v>7.538978494623656</v>
      </c>
      <c r="AK955" s="139">
        <f t="shared" si="244"/>
        <v>8.720430107526882</v>
      </c>
      <c r="AL955" s="139">
        <f t="shared" si="245"/>
        <v>7.502688172043011</v>
      </c>
      <c r="AM955" s="139">
        <f t="shared" si="246"/>
        <v>2.6747311827956985</v>
      </c>
      <c r="AN955" s="139">
        <f t="shared" si="247"/>
        <v>3.1518817204301075</v>
      </c>
      <c r="AO955" s="139">
        <f t="shared" si="248"/>
        <v>6.4865591397849469</v>
      </c>
      <c r="AP955" s="139">
        <f t="shared" si="249"/>
        <v>0.93682795698924737</v>
      </c>
      <c r="AQ955" s="139">
        <f t="shared" si="250"/>
        <v>1.428763440860215</v>
      </c>
      <c r="AR955" s="139">
        <f t="shared" si="251"/>
        <v>2.2150537634408605</v>
      </c>
      <c r="AS955" s="139">
        <f t="shared" si="252"/>
        <v>371.43923168778923</v>
      </c>
      <c r="AT955" s="139">
        <f t="shared" si="253"/>
        <v>16.962512649890915</v>
      </c>
      <c r="AU955" s="139">
        <f t="shared" si="254"/>
        <v>388.40174433768016</v>
      </c>
      <c r="AW955" s="139">
        <f t="shared" si="255"/>
        <v>417.9677419354839</v>
      </c>
      <c r="AX955" s="139">
        <f t="shared" si="256"/>
        <v>-29.565997597803744</v>
      </c>
    </row>
    <row r="956" spans="1:50" ht="15.75" customHeight="1" x14ac:dyDescent="0.3">
      <c r="A956" s="642" t="s">
        <v>1507</v>
      </c>
      <c r="B956" s="642">
        <f t="shared" si="231"/>
        <v>245</v>
      </c>
      <c r="C956" s="139">
        <f t="shared" si="232"/>
        <v>147</v>
      </c>
      <c r="D956" s="643" t="s">
        <v>2916</v>
      </c>
      <c r="E956" s="139">
        <f t="shared" ref="E956:S956" si="264">+C876/$N$10/24</f>
        <v>19.587365591397852</v>
      </c>
      <c r="F956" s="139">
        <f t="shared" si="264"/>
        <v>20.498655913978492</v>
      </c>
      <c r="G956" s="139">
        <f t="shared" si="264"/>
        <v>31.25940860215054</v>
      </c>
      <c r="H956" s="139">
        <f t="shared" si="264"/>
        <v>1.2121554797943845</v>
      </c>
      <c r="I956" s="139">
        <f t="shared" si="264"/>
        <v>0</v>
      </c>
      <c r="J956" s="139">
        <f t="shared" si="264"/>
        <v>8.426075268817204</v>
      </c>
      <c r="K956" s="139">
        <f t="shared" si="264"/>
        <v>4.235215053763441</v>
      </c>
      <c r="L956" s="139">
        <f t="shared" si="264"/>
        <v>5.623655913978495</v>
      </c>
      <c r="M956" s="139">
        <f t="shared" si="264"/>
        <v>5.303763440860215</v>
      </c>
      <c r="N956" s="139">
        <f t="shared" si="264"/>
        <v>1.8077956989247312</v>
      </c>
      <c r="O956" s="139">
        <f t="shared" si="264"/>
        <v>2.129032258064516</v>
      </c>
      <c r="P956" s="139">
        <f t="shared" si="264"/>
        <v>4.227150537634409</v>
      </c>
      <c r="Q956" s="139">
        <f t="shared" si="264"/>
        <v>0.82661290322580649</v>
      </c>
      <c r="R956" s="139">
        <f t="shared" si="264"/>
        <v>2.064516129032258</v>
      </c>
      <c r="S956" s="643">
        <f t="shared" si="264"/>
        <v>1.9543010752688172</v>
      </c>
      <c r="T956" s="139">
        <f t="shared" si="234"/>
        <v>354.15570386689114</v>
      </c>
      <c r="U956" s="139">
        <f t="shared" si="235"/>
        <v>256.15570386689114</v>
      </c>
      <c r="V956" s="139" t="s">
        <v>2916</v>
      </c>
      <c r="AC956">
        <v>10</v>
      </c>
      <c r="AD956" s="139">
        <f>IF($AF$944=1,VLOOKUP($AD$944,$A$974:$P$985,12,FALSE),VLOOKUP($AD$944,$A$947:$S$958,3,FALSE))</f>
        <v>196</v>
      </c>
      <c r="AE956" s="139">
        <f t="shared" si="238"/>
        <v>28.721774193548388</v>
      </c>
      <c r="AF956" s="139">
        <f t="shared" si="239"/>
        <v>30.048387096774192</v>
      </c>
      <c r="AG956" s="139">
        <f t="shared" si="240"/>
        <v>50.240591397849464</v>
      </c>
      <c r="AH956" s="139">
        <f t="shared" si="241"/>
        <v>14.39622093510107</v>
      </c>
      <c r="AI956" s="139">
        <f t="shared" si="242"/>
        <v>11.376344086021506</v>
      </c>
      <c r="AJ956" s="139">
        <f t="shared" si="243"/>
        <v>7.538978494623656</v>
      </c>
      <c r="AK956" s="139">
        <f t="shared" si="244"/>
        <v>8.720430107526882</v>
      </c>
      <c r="AL956" s="139">
        <f t="shared" si="245"/>
        <v>7.502688172043011</v>
      </c>
      <c r="AM956" s="139">
        <f t="shared" si="246"/>
        <v>2.6747311827956985</v>
      </c>
      <c r="AN956" s="139">
        <f t="shared" si="247"/>
        <v>3.1518817204301075</v>
      </c>
      <c r="AO956" s="139">
        <f t="shared" si="248"/>
        <v>6.4865591397849469</v>
      </c>
      <c r="AP956" s="139">
        <f t="shared" si="249"/>
        <v>0.93682795698924737</v>
      </c>
      <c r="AQ956" s="139">
        <f t="shared" si="250"/>
        <v>1.428763440860215</v>
      </c>
      <c r="AR956" s="139">
        <f t="shared" si="251"/>
        <v>2.2150537634408605</v>
      </c>
      <c r="AS956" s="139">
        <f t="shared" si="252"/>
        <v>371.43923168778923</v>
      </c>
      <c r="AT956" s="139">
        <f t="shared" si="253"/>
        <v>16.962512649890915</v>
      </c>
      <c r="AU956" s="139">
        <f t="shared" si="254"/>
        <v>388.40174433768016</v>
      </c>
      <c r="AW956" s="139">
        <f t="shared" si="255"/>
        <v>417.9677419354839</v>
      </c>
      <c r="AX956" s="139">
        <f t="shared" si="256"/>
        <v>-29.565997597803744</v>
      </c>
    </row>
    <row r="957" spans="1:50" ht="15.75" customHeight="1" x14ac:dyDescent="0.3">
      <c r="A957" s="642" t="s">
        <v>1508</v>
      </c>
      <c r="B957" s="642">
        <f t="shared" si="231"/>
        <v>245</v>
      </c>
      <c r="C957" s="139">
        <f t="shared" si="232"/>
        <v>147</v>
      </c>
      <c r="D957" s="643" t="s">
        <v>2916</v>
      </c>
      <c r="E957" s="139">
        <f t="shared" ref="E957:S957" si="265">+C877/$O$10/24</f>
        <v>22.963888888888889</v>
      </c>
      <c r="F957" s="139">
        <f t="shared" si="265"/>
        <v>24.052777777777777</v>
      </c>
      <c r="G957" s="139">
        <f t="shared" si="265"/>
        <v>38.130555555555553</v>
      </c>
      <c r="H957" s="139">
        <f t="shared" si="265"/>
        <v>12.656452869384578</v>
      </c>
      <c r="I957" s="139">
        <f t="shared" si="265"/>
        <v>0</v>
      </c>
      <c r="J957" s="139">
        <f t="shared" si="265"/>
        <v>5.927777777777778</v>
      </c>
      <c r="K957" s="139">
        <f t="shared" si="265"/>
        <v>2.5</v>
      </c>
      <c r="L957" s="139">
        <f t="shared" si="265"/>
        <v>3.8861111111111111</v>
      </c>
      <c r="M957" s="139">
        <f t="shared" si="265"/>
        <v>3.8874999999999997</v>
      </c>
      <c r="N957" s="139">
        <f t="shared" si="265"/>
        <v>1.2291666666666667</v>
      </c>
      <c r="O957" s="139">
        <f t="shared" si="265"/>
        <v>1.4458333333333335</v>
      </c>
      <c r="P957" s="139">
        <f t="shared" si="265"/>
        <v>2.9541666666666671</v>
      </c>
      <c r="Q957" s="139">
        <f t="shared" si="265"/>
        <v>0.59444444444444444</v>
      </c>
      <c r="R957" s="139">
        <f t="shared" si="265"/>
        <v>2.0847222222222221</v>
      </c>
      <c r="S957" s="643">
        <f t="shared" si="265"/>
        <v>1.4069444444444443</v>
      </c>
      <c r="T957" s="139">
        <f t="shared" si="234"/>
        <v>368.72034175827349</v>
      </c>
      <c r="U957" s="139">
        <f t="shared" si="235"/>
        <v>270.72034175827349</v>
      </c>
      <c r="V957" s="139" t="s">
        <v>2916</v>
      </c>
      <c r="AC957">
        <v>11</v>
      </c>
      <c r="AD957" s="139">
        <f>IF($AF$944=1,VLOOKUP($AD$944,$A$974:$P$985,12,FALSE),VLOOKUP($AD$944,$A$947:$S$958,3,FALSE))</f>
        <v>196</v>
      </c>
      <c r="AE957" s="139">
        <f t="shared" si="238"/>
        <v>28.721774193548388</v>
      </c>
      <c r="AF957" s="139">
        <f t="shared" si="239"/>
        <v>30.048387096774192</v>
      </c>
      <c r="AG957" s="139">
        <f t="shared" si="240"/>
        <v>50.240591397849464</v>
      </c>
      <c r="AH957" s="139">
        <f t="shared" si="241"/>
        <v>14.39622093510107</v>
      </c>
      <c r="AI957" s="139">
        <f t="shared" si="242"/>
        <v>11.376344086021506</v>
      </c>
      <c r="AJ957" s="139">
        <f t="shared" si="243"/>
        <v>7.538978494623656</v>
      </c>
      <c r="AK957" s="139">
        <f t="shared" si="244"/>
        <v>8.720430107526882</v>
      </c>
      <c r="AL957" s="139">
        <f t="shared" si="245"/>
        <v>7.502688172043011</v>
      </c>
      <c r="AM957" s="139">
        <f t="shared" si="246"/>
        <v>2.6747311827956985</v>
      </c>
      <c r="AN957" s="139">
        <f t="shared" si="247"/>
        <v>3.1518817204301075</v>
      </c>
      <c r="AO957" s="139">
        <f t="shared" si="248"/>
        <v>6.4865591397849469</v>
      </c>
      <c r="AP957" s="139">
        <f t="shared" si="249"/>
        <v>0.93682795698924737</v>
      </c>
      <c r="AQ957" s="139">
        <f t="shared" si="250"/>
        <v>1.428763440860215</v>
      </c>
      <c r="AR957" s="139">
        <f t="shared" si="251"/>
        <v>2.2150537634408605</v>
      </c>
      <c r="AS957" s="139">
        <f t="shared" si="252"/>
        <v>371.43923168778923</v>
      </c>
      <c r="AT957" s="139">
        <f t="shared" si="253"/>
        <v>16.962512649890915</v>
      </c>
      <c r="AU957" s="139">
        <f t="shared" si="254"/>
        <v>388.40174433768016</v>
      </c>
      <c r="AW957" s="139">
        <f t="shared" si="255"/>
        <v>417.9677419354839</v>
      </c>
      <c r="AX957" s="139">
        <f t="shared" si="256"/>
        <v>-29.565997597803744</v>
      </c>
    </row>
    <row r="958" spans="1:50" ht="15.75" customHeight="1" thickBot="1" x14ac:dyDescent="0.35">
      <c r="A958" s="644" t="s">
        <v>1509</v>
      </c>
      <c r="B958" s="644">
        <f t="shared" si="231"/>
        <v>294</v>
      </c>
      <c r="C958" s="645">
        <f t="shared" si="232"/>
        <v>98</v>
      </c>
      <c r="D958" s="646" t="s">
        <v>2916</v>
      </c>
      <c r="E958" s="645">
        <f t="shared" ref="E958:S958" si="266">+C878/$P$10/24</f>
        <v>18.623655913978492</v>
      </c>
      <c r="F958" s="645">
        <f t="shared" si="266"/>
        <v>19.504032258064516</v>
      </c>
      <c r="G958" s="645">
        <f t="shared" si="266"/>
        <v>32.48521505376344</v>
      </c>
      <c r="H958" s="645">
        <f t="shared" si="266"/>
        <v>10.689795703429541</v>
      </c>
      <c r="I958" s="645">
        <f t="shared" si="266"/>
        <v>0</v>
      </c>
      <c r="J958" s="645">
        <f t="shared" si="266"/>
        <v>6.1854838709677411</v>
      </c>
      <c r="K958" s="645">
        <f t="shared" si="266"/>
        <v>4.154569892473118</v>
      </c>
      <c r="L958" s="645">
        <f t="shared" si="266"/>
        <v>6.2661290322580641</v>
      </c>
      <c r="M958" s="645">
        <f t="shared" si="266"/>
        <v>6.317204301075269</v>
      </c>
      <c r="N958" s="645">
        <f t="shared" si="266"/>
        <v>2.2701612903225805</v>
      </c>
      <c r="O958" s="645">
        <f t="shared" si="266"/>
        <v>2.676075268817204</v>
      </c>
      <c r="P958" s="645">
        <f t="shared" si="266"/>
        <v>5.4086021505376349</v>
      </c>
      <c r="Q958" s="645">
        <f t="shared" si="266"/>
        <v>0.81989247311827951</v>
      </c>
      <c r="R958" s="645">
        <f t="shared" si="266"/>
        <v>0.46639784946236557</v>
      </c>
      <c r="S958" s="646">
        <f t="shared" si="266"/>
        <v>1.9422043010752688</v>
      </c>
      <c r="T958" s="139">
        <f t="shared" si="234"/>
        <v>411.80941935934351</v>
      </c>
      <c r="U958" s="139">
        <f t="shared" si="235"/>
        <v>215.80941935934351</v>
      </c>
      <c r="V958" s="139" t="s">
        <v>2916</v>
      </c>
      <c r="AC958">
        <v>12</v>
      </c>
      <c r="AD958" s="139">
        <f>IF($AF$944=1,VLOOKUP($AD$944,$A$974:$P$985,12,FALSE),VLOOKUP($AD$944,$A$947:$S$958,3,FALSE))</f>
        <v>196</v>
      </c>
      <c r="AE958" s="139">
        <f t="shared" si="238"/>
        <v>28.721774193548388</v>
      </c>
      <c r="AF958" s="139">
        <f t="shared" si="239"/>
        <v>30.048387096774192</v>
      </c>
      <c r="AG958" s="139">
        <f t="shared" si="240"/>
        <v>50.240591397849464</v>
      </c>
      <c r="AH958" s="139">
        <f t="shared" si="241"/>
        <v>14.39622093510107</v>
      </c>
      <c r="AI958" s="139">
        <f t="shared" si="242"/>
        <v>11.376344086021506</v>
      </c>
      <c r="AJ958" s="139">
        <f t="shared" si="243"/>
        <v>7.538978494623656</v>
      </c>
      <c r="AK958" s="139">
        <f t="shared" si="244"/>
        <v>8.720430107526882</v>
      </c>
      <c r="AL958" s="139">
        <f t="shared" si="245"/>
        <v>7.502688172043011</v>
      </c>
      <c r="AM958" s="139">
        <f t="shared" si="246"/>
        <v>2.6747311827956985</v>
      </c>
      <c r="AN958" s="139">
        <f t="shared" si="247"/>
        <v>3.1518817204301075</v>
      </c>
      <c r="AO958" s="139">
        <f t="shared" si="248"/>
        <v>6.4865591397849469</v>
      </c>
      <c r="AP958" s="139">
        <f t="shared" si="249"/>
        <v>0.93682795698924737</v>
      </c>
      <c r="AQ958" s="139">
        <f t="shared" si="250"/>
        <v>1.428763440860215</v>
      </c>
      <c r="AR958" s="139">
        <f t="shared" si="251"/>
        <v>2.2150537634408605</v>
      </c>
      <c r="AS958" s="139">
        <f t="shared" si="252"/>
        <v>371.43923168778923</v>
      </c>
      <c r="AT958" s="139">
        <f t="shared" si="253"/>
        <v>16.962512649890915</v>
      </c>
      <c r="AU958" s="139">
        <f t="shared" si="254"/>
        <v>388.40174433768016</v>
      </c>
      <c r="AW958" s="139">
        <f t="shared" si="255"/>
        <v>417.9677419354839</v>
      </c>
      <c r="AX958" s="139">
        <f t="shared" si="256"/>
        <v>-29.565997597803744</v>
      </c>
    </row>
    <row r="959" spans="1:50" ht="15.75" customHeight="1" x14ac:dyDescent="0.3">
      <c r="A959" s="641"/>
      <c r="AC959">
        <v>13</v>
      </c>
      <c r="AD959" s="139">
        <f>IF($AF$944=1,VLOOKUP($AD$944,$A$974:$P$985,12,FALSE),IF(OR($AD$944="JUN",$AD$944="JUL",$AD$944="AUG"),VLOOKUP($AD$944,$A$947:$S$958,4,FALSE),VLOOKUP($AD$944,$A$947:$S$958,3,FALSE)))</f>
        <v>196</v>
      </c>
      <c r="AE959" s="139">
        <f t="shared" si="238"/>
        <v>28.721774193548388</v>
      </c>
      <c r="AF959" s="139">
        <f t="shared" si="239"/>
        <v>30.048387096774192</v>
      </c>
      <c r="AG959" s="139">
        <f t="shared" si="240"/>
        <v>50.240591397849464</v>
      </c>
      <c r="AH959" s="139">
        <f t="shared" si="241"/>
        <v>14.39622093510107</v>
      </c>
      <c r="AI959" s="139">
        <f t="shared" si="242"/>
        <v>11.376344086021506</v>
      </c>
      <c r="AJ959" s="139">
        <f t="shared" si="243"/>
        <v>7.538978494623656</v>
      </c>
      <c r="AK959" s="139">
        <f t="shared" si="244"/>
        <v>8.720430107526882</v>
      </c>
      <c r="AL959" s="139">
        <f t="shared" si="245"/>
        <v>7.502688172043011</v>
      </c>
      <c r="AM959" s="139">
        <f t="shared" si="246"/>
        <v>2.6747311827956985</v>
      </c>
      <c r="AN959" s="139">
        <f t="shared" si="247"/>
        <v>3.1518817204301075</v>
      </c>
      <c r="AO959" s="139">
        <f t="shared" si="248"/>
        <v>6.4865591397849469</v>
      </c>
      <c r="AP959" s="139">
        <f t="shared" si="249"/>
        <v>0.93682795698924737</v>
      </c>
      <c r="AQ959" s="139">
        <f t="shared" si="250"/>
        <v>1.428763440860215</v>
      </c>
      <c r="AR959" s="139">
        <f t="shared" si="251"/>
        <v>2.2150537634408605</v>
      </c>
      <c r="AS959" s="139">
        <f t="shared" si="252"/>
        <v>371.43923168778923</v>
      </c>
      <c r="AT959" s="139">
        <f t="shared" si="253"/>
        <v>16.962512649890915</v>
      </c>
      <c r="AU959" s="139">
        <f t="shared" si="254"/>
        <v>388.40174433768016</v>
      </c>
      <c r="AW959" s="139">
        <f t="shared" si="255"/>
        <v>417.9677419354839</v>
      </c>
      <c r="AX959" s="139">
        <f t="shared" si="256"/>
        <v>-29.565997597803744</v>
      </c>
    </row>
    <row r="960" spans="1:50" ht="15.75" customHeight="1" x14ac:dyDescent="0.3">
      <c r="A960" s="641" t="s">
        <v>2889</v>
      </c>
      <c r="AC960">
        <v>14</v>
      </c>
      <c r="AD960" s="139">
        <f t="shared" ref="AD960:AD966" si="267">IF($AF$944=1,VLOOKUP($AD$944,$A$974:$P$985,12,FALSE),IF(OR($AD$944="JUN",$AD$944="JUL",$AD$944="AUG"),VLOOKUP($AD$944,$A$947:$S$958,4,FALSE),VLOOKUP($AD$944,$A$947:$S$958,3,FALSE)))</f>
        <v>196</v>
      </c>
      <c r="AE960" s="139">
        <f t="shared" si="238"/>
        <v>28.721774193548388</v>
      </c>
      <c r="AF960" s="139">
        <f t="shared" si="239"/>
        <v>30.048387096774192</v>
      </c>
      <c r="AG960" s="139">
        <f t="shared" si="240"/>
        <v>50.240591397849464</v>
      </c>
      <c r="AH960" s="139">
        <f t="shared" si="241"/>
        <v>14.39622093510107</v>
      </c>
      <c r="AI960" s="139">
        <f t="shared" si="242"/>
        <v>11.376344086021506</v>
      </c>
      <c r="AJ960" s="139">
        <f t="shared" si="243"/>
        <v>7.538978494623656</v>
      </c>
      <c r="AK960" s="139">
        <f t="shared" si="244"/>
        <v>8.720430107526882</v>
      </c>
      <c r="AL960" s="139">
        <f t="shared" si="245"/>
        <v>7.502688172043011</v>
      </c>
      <c r="AM960" s="139">
        <f t="shared" si="246"/>
        <v>2.6747311827956985</v>
      </c>
      <c r="AN960" s="139">
        <f t="shared" si="247"/>
        <v>3.1518817204301075</v>
      </c>
      <c r="AO960" s="139">
        <f t="shared" si="248"/>
        <v>6.4865591397849469</v>
      </c>
      <c r="AP960" s="139">
        <f t="shared" si="249"/>
        <v>0.93682795698924737</v>
      </c>
      <c r="AQ960" s="139">
        <f t="shared" si="250"/>
        <v>1.428763440860215</v>
      </c>
      <c r="AR960" s="139">
        <f t="shared" si="251"/>
        <v>2.2150537634408605</v>
      </c>
      <c r="AS960" s="139">
        <f t="shared" si="252"/>
        <v>371.43923168778923</v>
      </c>
      <c r="AT960" s="139">
        <f t="shared" si="253"/>
        <v>16.962512649890915</v>
      </c>
      <c r="AU960" s="139">
        <f t="shared" si="254"/>
        <v>388.40174433768016</v>
      </c>
      <c r="AW960" s="139">
        <f t="shared" si="255"/>
        <v>417.9677419354839</v>
      </c>
      <c r="AX960" s="139">
        <f t="shared" si="256"/>
        <v>-29.565997597803744</v>
      </c>
    </row>
    <row r="961" spans="1:50" ht="15.75" customHeight="1" x14ac:dyDescent="0.3">
      <c r="A961" s="641"/>
      <c r="AC961">
        <v>15</v>
      </c>
      <c r="AD961" s="139">
        <f t="shared" si="267"/>
        <v>196</v>
      </c>
      <c r="AE961" s="139">
        <f t="shared" si="238"/>
        <v>28.721774193548388</v>
      </c>
      <c r="AF961" s="139">
        <f t="shared" si="239"/>
        <v>30.048387096774192</v>
      </c>
      <c r="AG961" s="139">
        <f t="shared" si="240"/>
        <v>50.240591397849464</v>
      </c>
      <c r="AH961" s="139">
        <f t="shared" si="241"/>
        <v>14.39622093510107</v>
      </c>
      <c r="AI961" s="139">
        <f t="shared" si="242"/>
        <v>11.376344086021506</v>
      </c>
      <c r="AJ961" s="139">
        <f t="shared" si="243"/>
        <v>7.538978494623656</v>
      </c>
      <c r="AK961" s="139">
        <f t="shared" si="244"/>
        <v>8.720430107526882</v>
      </c>
      <c r="AL961" s="139">
        <f t="shared" si="245"/>
        <v>7.502688172043011</v>
      </c>
      <c r="AM961" s="139">
        <f t="shared" si="246"/>
        <v>2.6747311827956985</v>
      </c>
      <c r="AN961" s="139">
        <f t="shared" si="247"/>
        <v>3.1518817204301075</v>
      </c>
      <c r="AO961" s="139">
        <f t="shared" si="248"/>
        <v>6.4865591397849469</v>
      </c>
      <c r="AP961" s="139">
        <f t="shared" si="249"/>
        <v>0.93682795698924737</v>
      </c>
      <c r="AQ961" s="139">
        <f t="shared" si="250"/>
        <v>1.428763440860215</v>
      </c>
      <c r="AR961" s="139">
        <f t="shared" si="251"/>
        <v>2.2150537634408605</v>
      </c>
      <c r="AS961" s="139">
        <f t="shared" si="252"/>
        <v>371.43923168778923</v>
      </c>
      <c r="AT961" s="139">
        <f t="shared" si="253"/>
        <v>16.962512649890915</v>
      </c>
      <c r="AU961" s="139">
        <f t="shared" si="254"/>
        <v>388.40174433768016</v>
      </c>
      <c r="AW961" s="139">
        <f t="shared" si="255"/>
        <v>417.9677419354839</v>
      </c>
      <c r="AX961" s="139">
        <f t="shared" si="256"/>
        <v>-29.565997597803744</v>
      </c>
    </row>
    <row r="962" spans="1:50" ht="15.75" customHeight="1" x14ac:dyDescent="0.3">
      <c r="A962" s="641"/>
      <c r="AC962">
        <v>16</v>
      </c>
      <c r="AD962" s="139">
        <f t="shared" si="267"/>
        <v>196</v>
      </c>
      <c r="AE962" s="139">
        <f t="shared" si="238"/>
        <v>28.721774193548388</v>
      </c>
      <c r="AF962" s="139">
        <f t="shared" si="239"/>
        <v>30.048387096774192</v>
      </c>
      <c r="AG962" s="139">
        <f t="shared" si="240"/>
        <v>50.240591397849464</v>
      </c>
      <c r="AH962" s="139">
        <f t="shared" si="241"/>
        <v>14.39622093510107</v>
      </c>
      <c r="AI962" s="139">
        <f t="shared" si="242"/>
        <v>11.376344086021506</v>
      </c>
      <c r="AJ962" s="139">
        <f t="shared" si="243"/>
        <v>7.538978494623656</v>
      </c>
      <c r="AK962" s="139">
        <f t="shared" si="244"/>
        <v>8.720430107526882</v>
      </c>
      <c r="AL962" s="139">
        <f t="shared" si="245"/>
        <v>7.502688172043011</v>
      </c>
      <c r="AM962" s="139">
        <f t="shared" si="246"/>
        <v>2.6747311827956985</v>
      </c>
      <c r="AN962" s="139">
        <f t="shared" si="247"/>
        <v>3.1518817204301075</v>
      </c>
      <c r="AO962" s="139">
        <f t="shared" si="248"/>
        <v>6.4865591397849469</v>
      </c>
      <c r="AP962" s="139">
        <f t="shared" si="249"/>
        <v>0.93682795698924737</v>
      </c>
      <c r="AQ962" s="139">
        <f t="shared" si="250"/>
        <v>1.428763440860215</v>
      </c>
      <c r="AR962" s="139">
        <f t="shared" si="251"/>
        <v>2.2150537634408605</v>
      </c>
      <c r="AS962" s="139">
        <f t="shared" si="252"/>
        <v>371.43923168778923</v>
      </c>
      <c r="AT962" s="139">
        <f t="shared" si="253"/>
        <v>16.962512649890915</v>
      </c>
      <c r="AU962" s="139">
        <f t="shared" si="254"/>
        <v>388.40174433768016</v>
      </c>
      <c r="AW962" s="139">
        <f t="shared" si="255"/>
        <v>417.9677419354839</v>
      </c>
      <c r="AX962" s="139">
        <f t="shared" si="256"/>
        <v>-29.565997597803744</v>
      </c>
    </row>
    <row r="963" spans="1:50" ht="15.75" customHeight="1" thickBot="1" x14ac:dyDescent="0.35">
      <c r="A963" s="641"/>
      <c r="AC963">
        <v>17</v>
      </c>
      <c r="AD963" s="139">
        <f t="shared" si="267"/>
        <v>196</v>
      </c>
      <c r="AE963" s="139">
        <f t="shared" si="238"/>
        <v>28.721774193548388</v>
      </c>
      <c r="AF963" s="139">
        <f t="shared" si="239"/>
        <v>30.048387096774192</v>
      </c>
      <c r="AG963" s="139">
        <f t="shared" si="240"/>
        <v>50.240591397849464</v>
      </c>
      <c r="AH963" s="139">
        <f t="shared" si="241"/>
        <v>14.39622093510107</v>
      </c>
      <c r="AI963" s="139">
        <f t="shared" si="242"/>
        <v>11.376344086021506</v>
      </c>
      <c r="AJ963" s="139">
        <f t="shared" si="243"/>
        <v>7.538978494623656</v>
      </c>
      <c r="AK963" s="139">
        <f t="shared" si="244"/>
        <v>8.720430107526882</v>
      </c>
      <c r="AL963" s="139">
        <f t="shared" si="245"/>
        <v>7.502688172043011</v>
      </c>
      <c r="AM963" s="139">
        <f t="shared" si="246"/>
        <v>2.6747311827956985</v>
      </c>
      <c r="AN963" s="139">
        <f t="shared" si="247"/>
        <v>3.1518817204301075</v>
      </c>
      <c r="AO963" s="139">
        <f t="shared" si="248"/>
        <v>6.4865591397849469</v>
      </c>
      <c r="AP963" s="139">
        <f t="shared" si="249"/>
        <v>0.93682795698924737</v>
      </c>
      <c r="AQ963" s="139">
        <f t="shared" si="250"/>
        <v>1.428763440860215</v>
      </c>
      <c r="AR963" s="139">
        <f t="shared" si="251"/>
        <v>2.2150537634408605</v>
      </c>
      <c r="AS963" s="139">
        <f t="shared" si="252"/>
        <v>371.43923168778923</v>
      </c>
      <c r="AT963" s="139">
        <f t="shared" si="253"/>
        <v>16.962512649890915</v>
      </c>
      <c r="AU963" s="139">
        <f t="shared" si="254"/>
        <v>388.40174433768016</v>
      </c>
      <c r="AW963" s="139">
        <f t="shared" si="255"/>
        <v>417.9677419354839</v>
      </c>
      <c r="AX963" s="139">
        <f t="shared" si="256"/>
        <v>-29.565997597803744</v>
      </c>
    </row>
    <row r="964" spans="1:50" ht="15.75" customHeight="1" x14ac:dyDescent="0.3">
      <c r="A964" s="667"/>
      <c r="B964" s="782" t="s">
        <v>2887</v>
      </c>
      <c r="C964" s="782"/>
      <c r="D964" s="782"/>
      <c r="E964" s="782"/>
      <c r="F964" s="782"/>
      <c r="G964" s="782"/>
      <c r="H964" s="782"/>
      <c r="I964" s="782"/>
      <c r="J964" s="782"/>
      <c r="K964" s="782"/>
      <c r="L964" s="782"/>
      <c r="M964" s="782"/>
      <c r="N964" s="782"/>
      <c r="O964" s="782"/>
      <c r="P964" s="782"/>
      <c r="Q964" s="678" t="str">
        <f>+Q1</f>
        <v xml:space="preserve">PRINTED:  </v>
      </c>
      <c r="R964" s="679">
        <f ca="1">+R1</f>
        <v>44881.729634027775</v>
      </c>
      <c r="AC964">
        <v>18</v>
      </c>
      <c r="AD964" s="139">
        <f t="shared" si="267"/>
        <v>196</v>
      </c>
      <c r="AE964" s="139">
        <f t="shared" si="238"/>
        <v>28.721774193548388</v>
      </c>
      <c r="AF964" s="139">
        <f t="shared" si="239"/>
        <v>30.048387096774192</v>
      </c>
      <c r="AG964" s="139">
        <f t="shared" si="240"/>
        <v>50.240591397849464</v>
      </c>
      <c r="AH964" s="139">
        <f t="shared" si="241"/>
        <v>14.39622093510107</v>
      </c>
      <c r="AI964" s="139">
        <f t="shared" si="242"/>
        <v>11.376344086021506</v>
      </c>
      <c r="AJ964" s="139">
        <f t="shared" si="243"/>
        <v>7.538978494623656</v>
      </c>
      <c r="AK964" s="139">
        <f t="shared" si="244"/>
        <v>8.720430107526882</v>
      </c>
      <c r="AL964" s="139">
        <f t="shared" si="245"/>
        <v>7.502688172043011</v>
      </c>
      <c r="AM964" s="139">
        <f t="shared" si="246"/>
        <v>2.6747311827956985</v>
      </c>
      <c r="AN964" s="139">
        <f t="shared" si="247"/>
        <v>3.1518817204301075</v>
      </c>
      <c r="AO964" s="139">
        <f t="shared" si="248"/>
        <v>6.4865591397849469</v>
      </c>
      <c r="AP964" s="139">
        <f t="shared" si="249"/>
        <v>0.93682795698924737</v>
      </c>
      <c r="AQ964" s="139">
        <f t="shared" si="250"/>
        <v>1.428763440860215</v>
      </c>
      <c r="AR964" s="139">
        <f t="shared" si="251"/>
        <v>2.2150537634408605</v>
      </c>
      <c r="AS964" s="139">
        <f t="shared" si="252"/>
        <v>371.43923168778923</v>
      </c>
      <c r="AT964" s="139">
        <f t="shared" si="253"/>
        <v>16.962512649890915</v>
      </c>
      <c r="AU964" s="139">
        <f t="shared" si="254"/>
        <v>388.40174433768016</v>
      </c>
      <c r="AW964" s="139">
        <f t="shared" si="255"/>
        <v>417.9677419354839</v>
      </c>
      <c r="AX964" s="139">
        <f t="shared" si="256"/>
        <v>-29.565997597803744</v>
      </c>
    </row>
    <row r="965" spans="1:50" ht="16.5" customHeight="1" x14ac:dyDescent="0.3">
      <c r="A965" s="647"/>
      <c r="B965" s="786" t="str">
        <f>+A8</f>
        <v>Revised:  2/10/2015</v>
      </c>
      <c r="C965" s="786"/>
      <c r="D965" s="786"/>
      <c r="E965" s="786"/>
      <c r="F965" s="786"/>
      <c r="G965" s="786"/>
      <c r="H965" s="786"/>
      <c r="I965" s="786"/>
      <c r="J965" s="786"/>
      <c r="K965" s="786"/>
      <c r="L965" s="786"/>
      <c r="M965" s="786"/>
      <c r="N965" s="786"/>
      <c r="O965" s="786"/>
      <c r="P965" s="786"/>
      <c r="R965" s="561"/>
      <c r="AC965">
        <v>19</v>
      </c>
      <c r="AD965" s="139">
        <f t="shared" si="267"/>
        <v>196</v>
      </c>
      <c r="AE965" s="139">
        <f t="shared" si="238"/>
        <v>28.721774193548388</v>
      </c>
      <c r="AF965" s="139">
        <f t="shared" si="239"/>
        <v>30.048387096774192</v>
      </c>
      <c r="AG965" s="139">
        <f t="shared" si="240"/>
        <v>50.240591397849464</v>
      </c>
      <c r="AH965" s="139">
        <f t="shared" si="241"/>
        <v>14.39622093510107</v>
      </c>
      <c r="AI965" s="139">
        <f t="shared" si="242"/>
        <v>11.376344086021506</v>
      </c>
      <c r="AJ965" s="139">
        <f t="shared" si="243"/>
        <v>7.538978494623656</v>
      </c>
      <c r="AK965" s="139">
        <f t="shared" si="244"/>
        <v>8.720430107526882</v>
      </c>
      <c r="AL965" s="139">
        <f t="shared" si="245"/>
        <v>7.502688172043011</v>
      </c>
      <c r="AM965" s="139">
        <f t="shared" si="246"/>
        <v>2.6747311827956985</v>
      </c>
      <c r="AN965" s="139">
        <f t="shared" si="247"/>
        <v>3.1518817204301075</v>
      </c>
      <c r="AO965" s="139">
        <f t="shared" si="248"/>
        <v>6.4865591397849469</v>
      </c>
      <c r="AP965" s="139">
        <f t="shared" si="249"/>
        <v>0.93682795698924737</v>
      </c>
      <c r="AQ965" s="139">
        <f t="shared" si="250"/>
        <v>1.428763440860215</v>
      </c>
      <c r="AR965" s="139">
        <f t="shared" si="251"/>
        <v>2.2150537634408605</v>
      </c>
      <c r="AS965" s="139">
        <f t="shared" si="252"/>
        <v>371.43923168778923</v>
      </c>
      <c r="AT965" s="139">
        <f t="shared" si="253"/>
        <v>16.962512649890915</v>
      </c>
      <c r="AU965" s="139">
        <f t="shared" si="254"/>
        <v>388.40174433768016</v>
      </c>
      <c r="AW965" s="139">
        <f t="shared" si="255"/>
        <v>417.9677419354839</v>
      </c>
      <c r="AX965" s="139">
        <f t="shared" si="256"/>
        <v>-29.565997597803744</v>
      </c>
    </row>
    <row r="966" spans="1:50" ht="16.5" customHeight="1" x14ac:dyDescent="0.3">
      <c r="A966" s="647"/>
      <c r="B966" s="786" t="s">
        <v>2878</v>
      </c>
      <c r="C966" s="786"/>
      <c r="D966" s="786"/>
      <c r="E966" s="786"/>
      <c r="F966" s="786"/>
      <c r="G966" s="786"/>
      <c r="H966" s="786"/>
      <c r="I966" s="786"/>
      <c r="J966" s="786"/>
      <c r="K966" s="786"/>
      <c r="L966" s="786"/>
      <c r="M966" s="786"/>
      <c r="N966" s="786"/>
      <c r="O966" s="786"/>
      <c r="P966" s="786"/>
      <c r="R966" s="561"/>
      <c r="AC966">
        <v>20</v>
      </c>
      <c r="AD966" s="139">
        <f t="shared" si="267"/>
        <v>196</v>
      </c>
      <c r="AE966" s="139">
        <f t="shared" si="238"/>
        <v>28.721774193548388</v>
      </c>
      <c r="AF966" s="139">
        <f t="shared" si="239"/>
        <v>30.048387096774192</v>
      </c>
      <c r="AG966" s="139">
        <f t="shared" si="240"/>
        <v>50.240591397849464</v>
      </c>
      <c r="AH966" s="139">
        <f t="shared" si="241"/>
        <v>14.39622093510107</v>
      </c>
      <c r="AI966" s="139">
        <f t="shared" si="242"/>
        <v>11.376344086021506</v>
      </c>
      <c r="AJ966" s="139">
        <f t="shared" si="243"/>
        <v>7.538978494623656</v>
      </c>
      <c r="AK966" s="139">
        <f t="shared" si="244"/>
        <v>8.720430107526882</v>
      </c>
      <c r="AL966" s="139">
        <f t="shared" si="245"/>
        <v>7.502688172043011</v>
      </c>
      <c r="AM966" s="139">
        <f t="shared" si="246"/>
        <v>2.6747311827956985</v>
      </c>
      <c r="AN966" s="139">
        <f t="shared" si="247"/>
        <v>3.1518817204301075</v>
      </c>
      <c r="AO966" s="139">
        <f t="shared" si="248"/>
        <v>6.4865591397849469</v>
      </c>
      <c r="AP966" s="139">
        <f t="shared" si="249"/>
        <v>0.93682795698924737</v>
      </c>
      <c r="AQ966" s="139">
        <f t="shared" si="250"/>
        <v>1.428763440860215</v>
      </c>
      <c r="AR966" s="139">
        <f t="shared" si="251"/>
        <v>2.2150537634408605</v>
      </c>
      <c r="AS966" s="139">
        <f t="shared" si="252"/>
        <v>371.43923168778923</v>
      </c>
      <c r="AT966" s="139">
        <f t="shared" si="253"/>
        <v>16.962512649890915</v>
      </c>
      <c r="AU966" s="139">
        <f t="shared" si="254"/>
        <v>388.40174433768016</v>
      </c>
      <c r="AW966" s="139">
        <f t="shared" si="255"/>
        <v>417.9677419354839</v>
      </c>
      <c r="AX966" s="139">
        <f t="shared" si="256"/>
        <v>-29.565997597803744</v>
      </c>
    </row>
    <row r="967" spans="1:50" ht="16.5" customHeight="1" x14ac:dyDescent="0.3">
      <c r="A967" s="647"/>
      <c r="B967" s="67"/>
      <c r="C967" s="67"/>
      <c r="D967" s="67"/>
      <c r="E967" s="67"/>
      <c r="F967" s="67"/>
      <c r="G967" s="67"/>
      <c r="H967" s="67"/>
      <c r="I967" s="67"/>
      <c r="J967" s="67"/>
      <c r="K967" s="67"/>
      <c r="L967" s="67"/>
      <c r="M967" s="67"/>
      <c r="N967" s="67"/>
      <c r="O967" s="67"/>
      <c r="P967" s="67"/>
      <c r="R967" s="561"/>
      <c r="AC967">
        <v>21</v>
      </c>
      <c r="AD967" s="139">
        <f>IF($AF$944=1,VLOOKUP($AD$944,$A$974:$P$985,12,FALSE),VLOOKUP($AD$944,$A$947:$S$958,3,FALSE))</f>
        <v>196</v>
      </c>
      <c r="AE967" s="139">
        <f t="shared" si="238"/>
        <v>28.721774193548388</v>
      </c>
      <c r="AF967" s="139">
        <f t="shared" si="239"/>
        <v>30.048387096774192</v>
      </c>
      <c r="AG967" s="139">
        <f t="shared" si="240"/>
        <v>50.240591397849464</v>
      </c>
      <c r="AH967" s="139">
        <f t="shared" si="241"/>
        <v>14.39622093510107</v>
      </c>
      <c r="AI967" s="139">
        <f t="shared" si="242"/>
        <v>11.376344086021506</v>
      </c>
      <c r="AJ967" s="139">
        <f t="shared" si="243"/>
        <v>7.538978494623656</v>
      </c>
      <c r="AK967" s="139">
        <f t="shared" si="244"/>
        <v>8.720430107526882</v>
      </c>
      <c r="AL967" s="139">
        <f t="shared" si="245"/>
        <v>7.502688172043011</v>
      </c>
      <c r="AM967" s="139">
        <f t="shared" si="246"/>
        <v>2.6747311827956985</v>
      </c>
      <c r="AN967" s="139">
        <f t="shared" si="247"/>
        <v>3.1518817204301075</v>
      </c>
      <c r="AO967" s="139">
        <f t="shared" si="248"/>
        <v>6.4865591397849469</v>
      </c>
      <c r="AP967" s="139">
        <f t="shared" si="249"/>
        <v>0.93682795698924737</v>
      </c>
      <c r="AQ967" s="139">
        <f t="shared" si="250"/>
        <v>1.428763440860215</v>
      </c>
      <c r="AR967" s="139">
        <f t="shared" si="251"/>
        <v>2.2150537634408605</v>
      </c>
      <c r="AS967" s="139">
        <f t="shared" si="252"/>
        <v>371.43923168778923</v>
      </c>
      <c r="AT967" s="139">
        <f t="shared" si="253"/>
        <v>16.962512649890915</v>
      </c>
      <c r="AU967" s="139">
        <f t="shared" si="254"/>
        <v>388.40174433768016</v>
      </c>
      <c r="AW967" s="139">
        <f t="shared" si="255"/>
        <v>417.9677419354839</v>
      </c>
      <c r="AX967" s="139">
        <f t="shared" si="256"/>
        <v>-29.565997597803744</v>
      </c>
    </row>
    <row r="968" spans="1:50" ht="16.5" customHeight="1" x14ac:dyDescent="0.3">
      <c r="A968" s="647"/>
      <c r="B968" s="810">
        <f>+A5</f>
        <v>2014</v>
      </c>
      <c r="C968" s="787"/>
      <c r="D968" s="787"/>
      <c r="E968" s="787"/>
      <c r="F968" s="787"/>
      <c r="G968" s="787"/>
      <c r="H968" s="787"/>
      <c r="I968" s="787"/>
      <c r="J968" s="787"/>
      <c r="K968" s="787"/>
      <c r="L968" s="787"/>
      <c r="M968" s="787"/>
      <c r="N968" s="787"/>
      <c r="O968" s="787"/>
      <c r="P968" s="787"/>
      <c r="R968" s="561"/>
      <c r="AC968">
        <v>22</v>
      </c>
      <c r="AD968" s="139">
        <f>IF($AF$944=1,VLOOKUP($AD$944,$A$974:$P$985,12,FALSE),VLOOKUP($AD$944,$A$947:$S$958,3,FALSE))</f>
        <v>196</v>
      </c>
      <c r="AE968" s="139">
        <f t="shared" si="238"/>
        <v>28.721774193548388</v>
      </c>
      <c r="AF968" s="139">
        <f t="shared" si="239"/>
        <v>30.048387096774192</v>
      </c>
      <c r="AG968" s="139">
        <f t="shared" si="240"/>
        <v>50.240591397849464</v>
      </c>
      <c r="AH968" s="139">
        <f t="shared" si="241"/>
        <v>14.39622093510107</v>
      </c>
      <c r="AI968" s="139">
        <f t="shared" si="242"/>
        <v>11.376344086021506</v>
      </c>
      <c r="AJ968" s="139">
        <f t="shared" si="243"/>
        <v>7.538978494623656</v>
      </c>
      <c r="AK968" s="139">
        <f t="shared" si="244"/>
        <v>8.720430107526882</v>
      </c>
      <c r="AL968" s="139">
        <f t="shared" si="245"/>
        <v>7.502688172043011</v>
      </c>
      <c r="AM968" s="139">
        <f t="shared" si="246"/>
        <v>2.6747311827956985</v>
      </c>
      <c r="AN968" s="139">
        <f t="shared" si="247"/>
        <v>3.1518817204301075</v>
      </c>
      <c r="AO968" s="139">
        <f t="shared" si="248"/>
        <v>6.4865591397849469</v>
      </c>
      <c r="AP968" s="139">
        <f t="shared" si="249"/>
        <v>0.93682795698924737</v>
      </c>
      <c r="AQ968" s="139">
        <f t="shared" si="250"/>
        <v>1.428763440860215</v>
      </c>
      <c r="AR968" s="139">
        <f t="shared" si="251"/>
        <v>2.2150537634408605</v>
      </c>
      <c r="AS968" s="139">
        <f t="shared" si="252"/>
        <v>371.43923168778923</v>
      </c>
      <c r="AT968" s="139">
        <f t="shared" si="253"/>
        <v>16.962512649890915</v>
      </c>
      <c r="AU968" s="139">
        <f t="shared" si="254"/>
        <v>388.40174433768016</v>
      </c>
      <c r="AW968" s="139">
        <f t="shared" si="255"/>
        <v>417.9677419354839</v>
      </c>
      <c r="AX968" s="139">
        <f t="shared" si="256"/>
        <v>-29.565997597803744</v>
      </c>
    </row>
    <row r="969" spans="1:50" ht="15.75" customHeight="1" x14ac:dyDescent="0.3">
      <c r="A969" s="647"/>
      <c r="B969" s="786" t="s">
        <v>1199</v>
      </c>
      <c r="C969" s="786"/>
      <c r="D969" s="786"/>
      <c r="E969" s="786"/>
      <c r="F969" s="786"/>
      <c r="G969" s="786"/>
      <c r="H969" s="786"/>
      <c r="I969" s="786"/>
      <c r="J969" s="786"/>
      <c r="K969" s="786"/>
      <c r="L969" s="786"/>
      <c r="M969" s="786"/>
      <c r="N969" s="786"/>
      <c r="O969" s="786"/>
      <c r="P969" s="786"/>
      <c r="R969" s="561"/>
      <c r="AC969">
        <v>23</v>
      </c>
      <c r="AD969" s="139">
        <f>IF($AF$944=1,VLOOKUP($AD$944,$A$974:$P$985,12,FALSE),IF(OR($AD$944="JAN",$AD$944="FEB",$AD$944="NOV",$AD$944="DEC"),VLOOKUP($AD$944,$A$947:$S$958,3,FALSE),VLOOKUP($AD$944,$A$947:$S$958,2,FALSE)))</f>
        <v>294</v>
      </c>
      <c r="AE969" s="139">
        <f t="shared" si="238"/>
        <v>28.721774193548388</v>
      </c>
      <c r="AF969" s="139">
        <f t="shared" si="239"/>
        <v>30.048387096774192</v>
      </c>
      <c r="AG969" s="139">
        <f t="shared" si="240"/>
        <v>50.240591397849464</v>
      </c>
      <c r="AH969" s="139">
        <f t="shared" si="241"/>
        <v>14.39622093510107</v>
      </c>
      <c r="AI969" s="139">
        <f t="shared" si="242"/>
        <v>11.376344086021506</v>
      </c>
      <c r="AJ969" s="139">
        <f t="shared" si="243"/>
        <v>7.538978494623656</v>
      </c>
      <c r="AK969" s="139">
        <f t="shared" si="244"/>
        <v>8.720430107526882</v>
      </c>
      <c r="AL969" s="139">
        <f t="shared" si="245"/>
        <v>7.502688172043011</v>
      </c>
      <c r="AM969" s="139">
        <f t="shared" si="246"/>
        <v>2.6747311827956985</v>
      </c>
      <c r="AN969" s="139">
        <f t="shared" si="247"/>
        <v>3.1518817204301075</v>
      </c>
      <c r="AO969" s="139">
        <f t="shared" si="248"/>
        <v>6.4865591397849469</v>
      </c>
      <c r="AP969" s="139">
        <f t="shared" si="249"/>
        <v>0.93682795698924737</v>
      </c>
      <c r="AQ969" s="139">
        <f t="shared" si="250"/>
        <v>1.428763440860215</v>
      </c>
      <c r="AR969" s="139">
        <f t="shared" si="251"/>
        <v>2.2150537634408605</v>
      </c>
      <c r="AS969" s="139">
        <f t="shared" si="252"/>
        <v>469.43923168778934</v>
      </c>
      <c r="AT969" s="139">
        <f t="shared" si="253"/>
        <v>21.437877926024616</v>
      </c>
      <c r="AU969" s="139">
        <f t="shared" si="254"/>
        <v>490.87710961381396</v>
      </c>
      <c r="AW969" s="139">
        <f t="shared" si="255"/>
        <v>417.9677419354839</v>
      </c>
      <c r="AX969" s="139">
        <f t="shared" si="256"/>
        <v>72.909367678330057</v>
      </c>
    </row>
    <row r="970" spans="1:50" ht="15.75" customHeight="1" thickBot="1" x14ac:dyDescent="0.35">
      <c r="A970" s="647"/>
      <c r="R970" s="561"/>
      <c r="AC970">
        <v>24</v>
      </c>
      <c r="AD970" s="139">
        <f>IF($AF$944=1,VLOOKUP($AD$944,$A$974:$P$985,12,FALSE),VLOOKUP($AD$944,$A$947:$S$958,2,FALSE))</f>
        <v>294</v>
      </c>
      <c r="AE970" s="139">
        <f t="shared" si="238"/>
        <v>28.721774193548388</v>
      </c>
      <c r="AF970" s="139">
        <f t="shared" si="239"/>
        <v>30.048387096774192</v>
      </c>
      <c r="AG970" s="139">
        <f t="shared" si="240"/>
        <v>50.240591397849464</v>
      </c>
      <c r="AH970" s="139">
        <f t="shared" si="241"/>
        <v>14.39622093510107</v>
      </c>
      <c r="AI970" s="139">
        <f t="shared" si="242"/>
        <v>11.376344086021506</v>
      </c>
      <c r="AJ970" s="139">
        <f t="shared" si="243"/>
        <v>7.538978494623656</v>
      </c>
      <c r="AK970" s="139">
        <f t="shared" si="244"/>
        <v>8.720430107526882</v>
      </c>
      <c r="AL970" s="139">
        <f t="shared" si="245"/>
        <v>7.502688172043011</v>
      </c>
      <c r="AM970" s="139">
        <f t="shared" si="246"/>
        <v>2.6747311827956985</v>
      </c>
      <c r="AN970" s="139">
        <f t="shared" si="247"/>
        <v>3.1518817204301075</v>
      </c>
      <c r="AO970" s="139">
        <f t="shared" si="248"/>
        <v>6.4865591397849469</v>
      </c>
      <c r="AP970" s="139">
        <f t="shared" si="249"/>
        <v>0.93682795698924737</v>
      </c>
      <c r="AQ970" s="139">
        <f t="shared" si="250"/>
        <v>1.428763440860215</v>
      </c>
      <c r="AR970" s="139">
        <f t="shared" si="251"/>
        <v>2.2150537634408605</v>
      </c>
      <c r="AS970" s="139">
        <f t="shared" si="252"/>
        <v>469.43923168778934</v>
      </c>
      <c r="AT970" s="139">
        <f t="shared" si="253"/>
        <v>21.437877926024616</v>
      </c>
      <c r="AU970" s="139">
        <f t="shared" si="254"/>
        <v>490.87710961381396</v>
      </c>
      <c r="AW970" s="139">
        <f t="shared" si="255"/>
        <v>417.9677419354839</v>
      </c>
      <c r="AX970" s="139">
        <f t="shared" si="256"/>
        <v>72.909367678330057</v>
      </c>
    </row>
    <row r="971" spans="1:50" ht="15.75" customHeight="1" x14ac:dyDescent="0.3">
      <c r="A971" s="647"/>
      <c r="B971" s="814" t="s">
        <v>2883</v>
      </c>
      <c r="C971" s="815"/>
      <c r="D971" s="815"/>
      <c r="E971" s="815"/>
      <c r="F971" s="815"/>
      <c r="G971" s="815"/>
      <c r="H971" s="815"/>
      <c r="I971" s="815"/>
      <c r="J971" s="815"/>
      <c r="K971" s="815"/>
      <c r="L971" s="816"/>
      <c r="M971" s="817" t="s">
        <v>2884</v>
      </c>
      <c r="N971" s="815"/>
      <c r="O971" s="815"/>
      <c r="P971" s="815"/>
      <c r="Q971" s="139" t="s">
        <v>2899</v>
      </c>
      <c r="R971" s="643" t="s">
        <v>2898</v>
      </c>
      <c r="AC971" t="s">
        <v>2356</v>
      </c>
      <c r="AD971" s="139">
        <f>SUM(AD947:AD970)</f>
        <v>5488</v>
      </c>
      <c r="AE971" s="139">
        <f>SUM(AE947:AE970)</f>
        <v>689.32258064516168</v>
      </c>
      <c r="AF971" s="139">
        <f t="shared" ref="AF971:AW971" si="268">SUM(AF947:AF970)</f>
        <v>721.1612903225805</v>
      </c>
      <c r="AG971" s="139">
        <f t="shared" si="268"/>
        <v>1205.7741935483868</v>
      </c>
      <c r="AH971" s="139">
        <f t="shared" si="268"/>
        <v>345.50930244242556</v>
      </c>
      <c r="AI971" s="139">
        <f t="shared" si="268"/>
        <v>273.03225806451616</v>
      </c>
      <c r="AJ971" s="139">
        <f t="shared" si="268"/>
        <v>180.93548387096763</v>
      </c>
      <c r="AK971" s="139">
        <f t="shared" si="268"/>
        <v>209.29032258064515</v>
      </c>
      <c r="AL971" s="139">
        <f t="shared" si="268"/>
        <v>180.06451612903223</v>
      </c>
      <c r="AM971" s="139">
        <f t="shared" si="268"/>
        <v>64.193548387096754</v>
      </c>
      <c r="AN971" s="139">
        <f t="shared" si="268"/>
        <v>75.645161290322562</v>
      </c>
      <c r="AO971" s="139">
        <f t="shared" si="268"/>
        <v>155.67741935483875</v>
      </c>
      <c r="AP971" s="139">
        <f t="shared" si="268"/>
        <v>22.483870967741943</v>
      </c>
      <c r="AQ971" s="139">
        <f t="shared" si="268"/>
        <v>34.290322580645174</v>
      </c>
      <c r="AR971" s="139">
        <f t="shared" si="268"/>
        <v>53.161290322580676</v>
      </c>
      <c r="AS971" s="139">
        <f t="shared" si="268"/>
        <v>9698.5415605069429</v>
      </c>
      <c r="AT971" s="139">
        <f t="shared" si="268"/>
        <v>442.9032258064517</v>
      </c>
      <c r="AU971" s="139">
        <f t="shared" si="268"/>
        <v>10141.444786313388</v>
      </c>
      <c r="AW971" s="139">
        <f t="shared" si="268"/>
        <v>10031.225806451617</v>
      </c>
      <c r="AX971" s="139">
        <f>SUMIF(AX947:AX970,"&gt;0")</f>
        <v>583.27494142664045</v>
      </c>
    </row>
    <row r="972" spans="1:50" ht="15.75" customHeight="1" thickBot="1" x14ac:dyDescent="0.35">
      <c r="A972" s="647" t="s">
        <v>249</v>
      </c>
      <c r="B972" s="658" t="s">
        <v>2890</v>
      </c>
      <c r="C972" s="659" t="s">
        <v>2886</v>
      </c>
      <c r="D972" s="659" t="s">
        <v>2885</v>
      </c>
      <c r="E972" s="659" t="s">
        <v>2914</v>
      </c>
      <c r="F972" s="659" t="s">
        <v>2886</v>
      </c>
      <c r="G972" s="659" t="s">
        <v>2885</v>
      </c>
      <c r="H972" s="659" t="s">
        <v>2915</v>
      </c>
      <c r="I972" s="659" t="s">
        <v>2886</v>
      </c>
      <c r="J972" s="659" t="s">
        <v>2885</v>
      </c>
      <c r="K972" s="659" t="s">
        <v>2915</v>
      </c>
      <c r="L972" s="660" t="s">
        <v>2897</v>
      </c>
      <c r="M972" s="658" t="s">
        <v>2893</v>
      </c>
      <c r="N972" s="659" t="s">
        <v>2886</v>
      </c>
      <c r="O972" s="659" t="s">
        <v>2886</v>
      </c>
      <c r="P972" s="660" t="s">
        <v>2897</v>
      </c>
      <c r="Q972" s="668" t="s">
        <v>2356</v>
      </c>
      <c r="R972" s="672" t="s">
        <v>2900</v>
      </c>
      <c r="S972" s="139"/>
      <c r="AU972" s="139"/>
      <c r="AW972" s="139"/>
      <c r="AX972" s="139"/>
    </row>
    <row r="973" spans="1:50" ht="15.75" customHeight="1" thickTop="1" x14ac:dyDescent="0.3">
      <c r="A973" s="647"/>
      <c r="B973" s="661"/>
      <c r="C973" s="664" t="s">
        <v>2895</v>
      </c>
      <c r="D973" s="664" t="s">
        <v>2895</v>
      </c>
      <c r="E973" s="664" t="s">
        <v>2895</v>
      </c>
      <c r="F973" s="662" t="s">
        <v>2696</v>
      </c>
      <c r="G973" s="662" t="s">
        <v>2696</v>
      </c>
      <c r="H973" s="662" t="s">
        <v>2696</v>
      </c>
      <c r="I973" s="662" t="s">
        <v>2896</v>
      </c>
      <c r="J973" s="662" t="s">
        <v>2896</v>
      </c>
      <c r="K973" s="662" t="s">
        <v>2896</v>
      </c>
      <c r="L973" s="663" t="s">
        <v>2892</v>
      </c>
      <c r="M973" s="665"/>
      <c r="N973" s="664" t="s">
        <v>2895</v>
      </c>
      <c r="O973" s="662" t="s">
        <v>2696</v>
      </c>
      <c r="P973" s="663" t="s">
        <v>2896</v>
      </c>
      <c r="Q973" s="668" t="s">
        <v>2896</v>
      </c>
      <c r="R973" s="672" t="s">
        <v>2896</v>
      </c>
      <c r="S973" s="139"/>
    </row>
    <row r="974" spans="1:50" ht="15.75" customHeight="1" x14ac:dyDescent="0.3">
      <c r="A974" s="647" t="s">
        <v>2843</v>
      </c>
      <c r="B974" s="642">
        <f ca="1">+$B$10-M974</f>
        <v>27</v>
      </c>
      <c r="C974" s="656">
        <v>5</v>
      </c>
      <c r="D974" s="656">
        <v>0</v>
      </c>
      <c r="E974" s="656" t="s">
        <v>2916</v>
      </c>
      <c r="F974" s="139">
        <f t="shared" ref="F974:F985" si="269">+I974/8</f>
        <v>245</v>
      </c>
      <c r="G974" s="139">
        <f>+J974/16</f>
        <v>0</v>
      </c>
      <c r="H974" s="139" t="s">
        <v>2916</v>
      </c>
      <c r="I974" s="139">
        <f t="shared" ref="I974:I985" si="270">+C974*49*8</f>
        <v>1960</v>
      </c>
      <c r="J974" s="139">
        <f>+D974*49*16</f>
        <v>0</v>
      </c>
      <c r="K974" s="139" t="s">
        <v>2916</v>
      </c>
      <c r="L974" s="643">
        <f t="shared" ref="L974:L985" si="271">+J974+I974</f>
        <v>1960</v>
      </c>
      <c r="M974" s="642">
        <f ca="1">SUMPRODUCT(--(WEEKDAY(ROW(INDIRECT(DATE($B$968,MonthFromText(A974),1)&amp;":"&amp;DATE($B$968,MonthFromText(A974),$B$10))),1)=1))</f>
        <v>4</v>
      </c>
      <c r="N974" s="656">
        <v>5</v>
      </c>
      <c r="O974">
        <f t="shared" ref="O974:O985" si="272">+P974/24</f>
        <v>245</v>
      </c>
      <c r="P974" s="643">
        <f t="shared" ref="P974:P985" si="273">+N974*49*24</f>
        <v>5880</v>
      </c>
      <c r="Q974" s="139">
        <f t="shared" ref="Q974:Q985" ca="1" si="274">+(L974*B974)+(M974*P974)</f>
        <v>76440</v>
      </c>
      <c r="R974" s="643">
        <f t="shared" ref="R974:R985" ca="1" si="275">+Q974-B867</f>
        <v>-2936</v>
      </c>
      <c r="S974" s="139"/>
    </row>
    <row r="975" spans="1:50" ht="15.75" customHeight="1" x14ac:dyDescent="0.3">
      <c r="A975" s="647" t="s">
        <v>2091</v>
      </c>
      <c r="B975" s="642">
        <f ca="1">+$C$10-M975</f>
        <v>24</v>
      </c>
      <c r="C975" s="656">
        <v>6</v>
      </c>
      <c r="D975" s="656">
        <v>3</v>
      </c>
      <c r="E975" s="656" t="s">
        <v>2916</v>
      </c>
      <c r="F975" s="139">
        <f t="shared" si="269"/>
        <v>294</v>
      </c>
      <c r="G975" s="139">
        <f>+J975/16</f>
        <v>147</v>
      </c>
      <c r="H975" s="139" t="s">
        <v>2916</v>
      </c>
      <c r="I975" s="139">
        <f t="shared" si="270"/>
        <v>2352</v>
      </c>
      <c r="J975" s="139">
        <f>+D975*49*16</f>
        <v>2352</v>
      </c>
      <c r="K975" s="139" t="s">
        <v>2916</v>
      </c>
      <c r="L975" s="643">
        <f t="shared" si="271"/>
        <v>4704</v>
      </c>
      <c r="M975" s="642">
        <f ca="1">SUMPRODUCT(--(WEEKDAY(ROW(INDIRECT(DATE($B$968,MonthFromText(A975),1)&amp;":"&amp;DATE($B$968,MonthFromText(A975),$C$10))),1)=1))</f>
        <v>4</v>
      </c>
      <c r="N975" s="656">
        <v>6</v>
      </c>
      <c r="O975">
        <f t="shared" si="272"/>
        <v>294</v>
      </c>
      <c r="P975" s="643">
        <f t="shared" si="273"/>
        <v>7056</v>
      </c>
      <c r="Q975" s="139">
        <f t="shared" ca="1" si="274"/>
        <v>141120</v>
      </c>
      <c r="R975" s="643">
        <f t="shared" ca="1" si="275"/>
        <v>17230</v>
      </c>
      <c r="S975" s="139"/>
    </row>
    <row r="976" spans="1:50" ht="16.5" customHeight="1" x14ac:dyDescent="0.3">
      <c r="A976" s="647" t="s">
        <v>2234</v>
      </c>
      <c r="B976" s="642">
        <f ca="1">+$D$10-M976</f>
        <v>26</v>
      </c>
      <c r="C976" s="656">
        <v>6</v>
      </c>
      <c r="D976" s="656">
        <v>4</v>
      </c>
      <c r="E976" s="656" t="s">
        <v>2916</v>
      </c>
      <c r="F976" s="139">
        <f t="shared" si="269"/>
        <v>294</v>
      </c>
      <c r="G976" s="139">
        <f>+J976/16</f>
        <v>196</v>
      </c>
      <c r="H976" s="139" t="s">
        <v>2916</v>
      </c>
      <c r="I976" s="139">
        <f t="shared" si="270"/>
        <v>2352</v>
      </c>
      <c r="J976" s="139">
        <f>+D976*49*16</f>
        <v>3136</v>
      </c>
      <c r="K976" s="139" t="s">
        <v>2916</v>
      </c>
      <c r="L976" s="643">
        <f t="shared" si="271"/>
        <v>5488</v>
      </c>
      <c r="M976" s="642">
        <f ca="1">SUMPRODUCT(--(WEEKDAY(ROW(INDIRECT(DATE($B$968,MonthFromText(A976),1)&amp;":"&amp;DATE($B$968,MonthFromText(A976),$D$10))),1)=1))</f>
        <v>5</v>
      </c>
      <c r="N976" s="656">
        <v>6</v>
      </c>
      <c r="O976">
        <f t="shared" si="272"/>
        <v>294</v>
      </c>
      <c r="P976" s="643">
        <f t="shared" si="273"/>
        <v>7056</v>
      </c>
      <c r="Q976" s="139">
        <f t="shared" ca="1" si="274"/>
        <v>177968</v>
      </c>
      <c r="R976" s="643">
        <f t="shared" ca="1" si="275"/>
        <v>10084</v>
      </c>
      <c r="S976" s="139"/>
    </row>
    <row r="977" spans="1:19" ht="16.5" customHeight="1" x14ac:dyDescent="0.3">
      <c r="A977" s="647" t="s">
        <v>2235</v>
      </c>
      <c r="B977" s="642">
        <f ca="1">+$F$10-M977</f>
        <v>26</v>
      </c>
      <c r="C977" s="656">
        <v>6</v>
      </c>
      <c r="D977" s="656">
        <v>4</v>
      </c>
      <c r="E977" s="656" t="s">
        <v>2916</v>
      </c>
      <c r="F977" s="139">
        <f t="shared" si="269"/>
        <v>294</v>
      </c>
      <c r="G977" s="139">
        <f>+J977/16</f>
        <v>196</v>
      </c>
      <c r="H977" s="139" t="s">
        <v>2916</v>
      </c>
      <c r="I977" s="139">
        <f t="shared" si="270"/>
        <v>2352</v>
      </c>
      <c r="J977" s="139">
        <f>+D977*49*16</f>
        <v>3136</v>
      </c>
      <c r="K977" s="139" t="s">
        <v>2916</v>
      </c>
      <c r="L977" s="643">
        <f t="shared" si="271"/>
        <v>5488</v>
      </c>
      <c r="M977" s="642">
        <f ca="1">SUMPRODUCT(--(WEEKDAY(ROW(INDIRECT(DATE($B$968,MonthFromText(A977),1)&amp;":"&amp;DATE($B$968,MonthFromText(A977),$F$10))),1)=1))</f>
        <v>4</v>
      </c>
      <c r="N977" s="656">
        <v>6</v>
      </c>
      <c r="O977">
        <f t="shared" si="272"/>
        <v>294</v>
      </c>
      <c r="P977" s="643">
        <f t="shared" si="273"/>
        <v>7056</v>
      </c>
      <c r="Q977" s="139">
        <f t="shared" ca="1" si="274"/>
        <v>170912</v>
      </c>
      <c r="R977" s="643">
        <f t="shared" ca="1" si="275"/>
        <v>753</v>
      </c>
      <c r="S977" s="139"/>
    </row>
    <row r="978" spans="1:19" ht="15.75" customHeight="1" x14ac:dyDescent="0.3">
      <c r="A978" s="647" t="s">
        <v>2236</v>
      </c>
      <c r="B978" s="642">
        <f ca="1">+$G$10-M978</f>
        <v>27</v>
      </c>
      <c r="C978" s="656">
        <v>6</v>
      </c>
      <c r="D978" s="656">
        <v>4</v>
      </c>
      <c r="E978" s="656" t="s">
        <v>2916</v>
      </c>
      <c r="F978" s="139">
        <f t="shared" si="269"/>
        <v>294</v>
      </c>
      <c r="G978" s="139">
        <f>+J978/16</f>
        <v>196</v>
      </c>
      <c r="H978" s="139" t="s">
        <v>2916</v>
      </c>
      <c r="I978" s="139">
        <f t="shared" si="270"/>
        <v>2352</v>
      </c>
      <c r="J978" s="139">
        <f>+D978*49*16</f>
        <v>3136</v>
      </c>
      <c r="K978" s="139" t="s">
        <v>2916</v>
      </c>
      <c r="L978" s="643">
        <f t="shared" si="271"/>
        <v>5488</v>
      </c>
      <c r="M978" s="642">
        <f ca="1">SUMPRODUCT(--(WEEKDAY(ROW(INDIRECT(DATE($B$968,MonthFromText(A978),1)&amp;":"&amp;DATE($B$968,MonthFromText(A978),$G$10))),1)=1))</f>
        <v>4</v>
      </c>
      <c r="N978" s="656">
        <v>6</v>
      </c>
      <c r="O978">
        <f t="shared" si="272"/>
        <v>294</v>
      </c>
      <c r="P978" s="643">
        <f t="shared" si="273"/>
        <v>7056</v>
      </c>
      <c r="Q978" s="139">
        <f t="shared" ca="1" si="274"/>
        <v>176400</v>
      </c>
      <c r="R978" s="643">
        <f t="shared" ca="1" si="275"/>
        <v>795</v>
      </c>
      <c r="S978" s="139"/>
    </row>
    <row r="979" spans="1:19" ht="15.75" customHeight="1" x14ac:dyDescent="0.3">
      <c r="A979" s="647" t="s">
        <v>2237</v>
      </c>
      <c r="B979" s="642">
        <f ca="1">+$H$10-M979</f>
        <v>25</v>
      </c>
      <c r="C979" s="656">
        <v>6</v>
      </c>
      <c r="D979" s="656">
        <v>2</v>
      </c>
      <c r="E979" s="656">
        <v>0</v>
      </c>
      <c r="F979" s="139">
        <f t="shared" si="269"/>
        <v>294</v>
      </c>
      <c r="G979" s="139">
        <f t="shared" ref="G979:H981" si="276">+J979/8</f>
        <v>98</v>
      </c>
      <c r="H979" s="139">
        <f t="shared" si="276"/>
        <v>0</v>
      </c>
      <c r="I979" s="139">
        <f t="shared" si="270"/>
        <v>2352</v>
      </c>
      <c r="J979" s="139">
        <f t="shared" ref="J979:K981" si="277">+D979*49*8</f>
        <v>784</v>
      </c>
      <c r="K979" s="139">
        <f t="shared" si="277"/>
        <v>0</v>
      </c>
      <c r="L979" s="643">
        <f t="shared" si="271"/>
        <v>3136</v>
      </c>
      <c r="M979" s="642">
        <f ca="1">SUMPRODUCT(--(WEEKDAY(ROW(INDIRECT(DATE($B$968,MonthFromText(A979),1)&amp;":"&amp;DATE($B$968,MonthFromText(A979),$H$10))),1)=1))</f>
        <v>5</v>
      </c>
      <c r="N979" s="656">
        <v>5</v>
      </c>
      <c r="O979">
        <f t="shared" si="272"/>
        <v>245</v>
      </c>
      <c r="P979" s="643">
        <f t="shared" si="273"/>
        <v>5880</v>
      </c>
      <c r="Q979" s="139">
        <f t="shared" ca="1" si="274"/>
        <v>107800</v>
      </c>
      <c r="R979" s="643">
        <f t="shared" ca="1" si="275"/>
        <v>-21718</v>
      </c>
      <c r="S979" s="139"/>
    </row>
    <row r="980" spans="1:19" ht="15.75" customHeight="1" x14ac:dyDescent="0.3">
      <c r="A980" s="647" t="s">
        <v>1504</v>
      </c>
      <c r="B980" s="642">
        <f ca="1">+$J$10-M980</f>
        <v>27</v>
      </c>
      <c r="C980" s="656">
        <v>3</v>
      </c>
      <c r="D980" s="656">
        <v>2</v>
      </c>
      <c r="E980" s="656">
        <v>0</v>
      </c>
      <c r="F980" s="139">
        <f t="shared" si="269"/>
        <v>147</v>
      </c>
      <c r="G980" s="139">
        <f t="shared" si="276"/>
        <v>98</v>
      </c>
      <c r="H980" s="139">
        <f t="shared" si="276"/>
        <v>0</v>
      </c>
      <c r="I980" s="139">
        <f t="shared" si="270"/>
        <v>1176</v>
      </c>
      <c r="J980" s="139">
        <f t="shared" si="277"/>
        <v>784</v>
      </c>
      <c r="K980" s="139">
        <f t="shared" si="277"/>
        <v>0</v>
      </c>
      <c r="L980" s="643">
        <f t="shared" si="271"/>
        <v>1960</v>
      </c>
      <c r="M980" s="642">
        <f ca="1">SUMPRODUCT(--(WEEKDAY(ROW(INDIRECT(DATE($B$968,MonthFromText(A980),1)&amp;":"&amp;DATE($B$968,MonthFromText(A980),$J$10))),1)=1))</f>
        <v>4</v>
      </c>
      <c r="N980" s="656">
        <v>3</v>
      </c>
      <c r="O980">
        <f t="shared" si="272"/>
        <v>147</v>
      </c>
      <c r="P980" s="643">
        <f t="shared" si="273"/>
        <v>3528</v>
      </c>
      <c r="Q980" s="139">
        <f t="shared" ca="1" si="274"/>
        <v>67032</v>
      </c>
      <c r="R980" s="643">
        <f t="shared" ca="1" si="275"/>
        <v>-24163</v>
      </c>
      <c r="S980" s="139"/>
    </row>
    <row r="981" spans="1:19" ht="15.75" customHeight="1" x14ac:dyDescent="0.3">
      <c r="A981" s="647" t="s">
        <v>1505</v>
      </c>
      <c r="B981" s="642">
        <f ca="1">+$K$10-M981</f>
        <v>26</v>
      </c>
      <c r="C981" s="656">
        <v>3</v>
      </c>
      <c r="D981" s="656">
        <v>2</v>
      </c>
      <c r="E981" s="656">
        <v>0</v>
      </c>
      <c r="F981" s="139">
        <f t="shared" si="269"/>
        <v>147</v>
      </c>
      <c r="G981" s="139">
        <f t="shared" si="276"/>
        <v>98</v>
      </c>
      <c r="H981" s="139">
        <f t="shared" si="276"/>
        <v>0</v>
      </c>
      <c r="I981" s="139">
        <f t="shared" si="270"/>
        <v>1176</v>
      </c>
      <c r="J981" s="139">
        <f t="shared" si="277"/>
        <v>784</v>
      </c>
      <c r="K981" s="139">
        <f t="shared" si="277"/>
        <v>0</v>
      </c>
      <c r="L981" s="643">
        <f t="shared" si="271"/>
        <v>1960</v>
      </c>
      <c r="M981" s="642">
        <f ca="1">SUMPRODUCT(--(WEEKDAY(ROW(INDIRECT(DATE($B$968,MonthFromText(A981),1)&amp;":"&amp;DATE($B$968,MonthFromText(A981),$K$10))),1)=1))</f>
        <v>5</v>
      </c>
      <c r="N981" s="656">
        <v>3</v>
      </c>
      <c r="O981">
        <f t="shared" si="272"/>
        <v>147</v>
      </c>
      <c r="P981" s="643">
        <f t="shared" si="273"/>
        <v>3528</v>
      </c>
      <c r="Q981" s="139">
        <f t="shared" ca="1" si="274"/>
        <v>68600</v>
      </c>
      <c r="R981" s="643">
        <f t="shared" ca="1" si="275"/>
        <v>-28732</v>
      </c>
      <c r="S981" s="139"/>
    </row>
    <row r="982" spans="1:19" ht="15.75" customHeight="1" x14ac:dyDescent="0.3">
      <c r="A982" s="647" t="s">
        <v>1506</v>
      </c>
      <c r="B982" s="642">
        <f ca="1">+$L$10-M982</f>
        <v>26</v>
      </c>
      <c r="C982" s="656">
        <v>5</v>
      </c>
      <c r="D982" s="656">
        <v>3</v>
      </c>
      <c r="E982" s="656" t="s">
        <v>2916</v>
      </c>
      <c r="F982" s="139">
        <f t="shared" si="269"/>
        <v>245</v>
      </c>
      <c r="G982" s="139">
        <f>+J982/16</f>
        <v>147</v>
      </c>
      <c r="H982" s="139" t="s">
        <v>2916</v>
      </c>
      <c r="I982" s="139">
        <f t="shared" si="270"/>
        <v>1960</v>
      </c>
      <c r="J982" s="139">
        <f>+D982*49*16</f>
        <v>2352</v>
      </c>
      <c r="K982" s="139" t="s">
        <v>2916</v>
      </c>
      <c r="L982" s="643">
        <f t="shared" si="271"/>
        <v>4312</v>
      </c>
      <c r="M982" s="642">
        <f ca="1">SUMPRODUCT(--(WEEKDAY(ROW(INDIRECT(DATE($B$968,MonthFromText(A982),1)&amp;":"&amp;DATE($B$968,MonthFromText(A982),$L$10))),1)=1))</f>
        <v>4</v>
      </c>
      <c r="N982" s="656">
        <v>5</v>
      </c>
      <c r="O982">
        <f t="shared" si="272"/>
        <v>245</v>
      </c>
      <c r="P982" s="643">
        <f t="shared" si="273"/>
        <v>5880</v>
      </c>
      <c r="Q982" s="139">
        <f t="shared" ca="1" si="274"/>
        <v>135632</v>
      </c>
      <c r="R982" s="643">
        <f t="shared" ca="1" si="275"/>
        <v>1704</v>
      </c>
      <c r="S982" s="139"/>
    </row>
    <row r="983" spans="1:19" ht="15.75" customHeight="1" x14ac:dyDescent="0.3">
      <c r="A983" s="647" t="s">
        <v>1507</v>
      </c>
      <c r="B983" s="642">
        <f ca="1">+$N$10-M983</f>
        <v>27</v>
      </c>
      <c r="C983" s="656">
        <v>5</v>
      </c>
      <c r="D983" s="656">
        <v>3</v>
      </c>
      <c r="E983" s="656" t="s">
        <v>2916</v>
      </c>
      <c r="F983" s="139">
        <f t="shared" si="269"/>
        <v>245</v>
      </c>
      <c r="G983" s="139">
        <f>+J983/16</f>
        <v>147</v>
      </c>
      <c r="H983" s="139" t="s">
        <v>2916</v>
      </c>
      <c r="I983" s="139">
        <f t="shared" si="270"/>
        <v>1960</v>
      </c>
      <c r="J983" s="139">
        <f>+D983*49*16</f>
        <v>2352</v>
      </c>
      <c r="K983" s="139" t="s">
        <v>2916</v>
      </c>
      <c r="L983" s="643">
        <f t="shared" si="271"/>
        <v>4312</v>
      </c>
      <c r="M983" s="642">
        <f ca="1">SUMPRODUCT(--(WEEKDAY(ROW(INDIRECT(DATE($B$968,MonthFromText(A983),1)&amp;":"&amp;DATE($B$968,MonthFromText(A983),$N$10))),1)=1))</f>
        <v>4</v>
      </c>
      <c r="N983" s="656">
        <v>5</v>
      </c>
      <c r="O983">
        <f t="shared" si="272"/>
        <v>245</v>
      </c>
      <c r="P983" s="643">
        <f t="shared" si="273"/>
        <v>5880</v>
      </c>
      <c r="Q983" s="139">
        <f t="shared" ca="1" si="274"/>
        <v>139944</v>
      </c>
      <c r="R983" s="643">
        <f t="shared" ca="1" si="275"/>
        <v>25357</v>
      </c>
      <c r="S983" s="139"/>
    </row>
    <row r="984" spans="1:19" ht="15.75" customHeight="1" x14ac:dyDescent="0.3">
      <c r="A984" s="647" t="s">
        <v>1508</v>
      </c>
      <c r="B984" s="642">
        <f ca="1">+$O$10-M984</f>
        <v>25</v>
      </c>
      <c r="C984" s="656">
        <v>5</v>
      </c>
      <c r="D984" s="656">
        <v>3</v>
      </c>
      <c r="E984" s="656" t="s">
        <v>2916</v>
      </c>
      <c r="F984" s="139">
        <f t="shared" si="269"/>
        <v>245</v>
      </c>
      <c r="G984" s="139">
        <f>+J984/16</f>
        <v>147</v>
      </c>
      <c r="H984" s="139" t="s">
        <v>2916</v>
      </c>
      <c r="I984" s="139">
        <f t="shared" si="270"/>
        <v>1960</v>
      </c>
      <c r="J984" s="139">
        <f>+D984*49*16</f>
        <v>2352</v>
      </c>
      <c r="K984" s="139" t="s">
        <v>2916</v>
      </c>
      <c r="L984" s="643">
        <f t="shared" si="271"/>
        <v>4312</v>
      </c>
      <c r="M984" s="642">
        <f ca="1">SUMPRODUCT(--(WEEKDAY(ROW(INDIRECT(DATE($B$968,MonthFromText(A984),1)&amp;":"&amp;DATE($B$968,MonthFromText(A984),$O$10))),1)=1))</f>
        <v>5</v>
      </c>
      <c r="N984" s="656">
        <v>6</v>
      </c>
      <c r="O984">
        <f t="shared" si="272"/>
        <v>294</v>
      </c>
      <c r="P984" s="643">
        <f t="shared" si="273"/>
        <v>7056</v>
      </c>
      <c r="Q984" s="139">
        <f t="shared" ca="1" si="274"/>
        <v>143080</v>
      </c>
      <c r="R984" s="643">
        <f t="shared" ca="1" si="275"/>
        <v>13156</v>
      </c>
      <c r="S984" s="139"/>
    </row>
    <row r="985" spans="1:19" ht="15.75" customHeight="1" thickBot="1" x14ac:dyDescent="0.35">
      <c r="A985" s="647" t="s">
        <v>1509</v>
      </c>
      <c r="B985" s="644">
        <f ca="1">+$P$10-M985</f>
        <v>27</v>
      </c>
      <c r="C985" s="657">
        <v>6</v>
      </c>
      <c r="D985" s="657">
        <v>2</v>
      </c>
      <c r="E985" s="656" t="s">
        <v>2916</v>
      </c>
      <c r="F985" s="139">
        <f t="shared" si="269"/>
        <v>294</v>
      </c>
      <c r="G985" s="139">
        <f>+J985/16</f>
        <v>98</v>
      </c>
      <c r="H985" s="139" t="s">
        <v>2916</v>
      </c>
      <c r="I985" s="139">
        <f t="shared" si="270"/>
        <v>2352</v>
      </c>
      <c r="J985" s="139">
        <f>+D985*49*16</f>
        <v>1568</v>
      </c>
      <c r="K985" s="139" t="s">
        <v>2916</v>
      </c>
      <c r="L985" s="643">
        <f t="shared" si="271"/>
        <v>3920</v>
      </c>
      <c r="M985" s="644">
        <f ca="1">SUMPRODUCT(--(WEEKDAY(ROW(INDIRECT(DATE($B$968,MonthFromText(A985),1)&amp;":"&amp;DATE($B$968,MonthFromText(A985),$P$10))),1)=1))</f>
        <v>4</v>
      </c>
      <c r="N985" s="657">
        <v>6</v>
      </c>
      <c r="O985" s="581">
        <f t="shared" si="272"/>
        <v>294</v>
      </c>
      <c r="P985" s="646">
        <f t="shared" si="273"/>
        <v>7056</v>
      </c>
      <c r="Q985" s="666">
        <f t="shared" ca="1" si="274"/>
        <v>134064</v>
      </c>
      <c r="R985" s="673">
        <f t="shared" ca="1" si="275"/>
        <v>25199</v>
      </c>
      <c r="S985" s="139"/>
    </row>
    <row r="986" spans="1:19" ht="15.75" customHeight="1" thickBot="1" x14ac:dyDescent="0.35">
      <c r="A986" s="580"/>
      <c r="B986" s="581"/>
      <c r="C986" s="581"/>
      <c r="D986" s="581"/>
      <c r="E986" s="674"/>
      <c r="F986" s="674"/>
      <c r="G986" s="674"/>
      <c r="H986" s="674"/>
      <c r="I986" s="674"/>
      <c r="J986" s="674"/>
      <c r="K986" s="674"/>
      <c r="L986" s="674"/>
      <c r="M986" s="581"/>
      <c r="N986" s="581"/>
      <c r="O986" s="581"/>
      <c r="P986" s="581"/>
      <c r="Q986" s="645">
        <f ca="1">+SUM(Q974:Q985)</f>
        <v>1538992</v>
      </c>
      <c r="R986" s="646">
        <f ca="1">+Q986-B880</f>
        <v>16729</v>
      </c>
    </row>
    <row r="987" spans="1:19" ht="15.75" customHeight="1" x14ac:dyDescent="0.3">
      <c r="A987" s="641" t="s">
        <v>2891</v>
      </c>
      <c r="J987" s="139"/>
    </row>
    <row r="988" spans="1:19" ht="15.75" customHeight="1" x14ac:dyDescent="0.3">
      <c r="A988" s="641" t="s">
        <v>2894</v>
      </c>
    </row>
    <row r="989" spans="1:19" ht="15.75" customHeight="1" x14ac:dyDescent="0.3">
      <c r="A989" s="641" t="s">
        <v>2901</v>
      </c>
    </row>
    <row r="990" spans="1:19" ht="15.75" customHeight="1" x14ac:dyDescent="0.3"/>
    <row r="991" spans="1:19" ht="15.75" customHeight="1" x14ac:dyDescent="0.3"/>
    <row r="992" spans="1:19" ht="15.75" customHeight="1" x14ac:dyDescent="0.3"/>
    <row r="993" spans="9:10" ht="15.75" customHeight="1" x14ac:dyDescent="0.3"/>
    <row r="994" spans="9:10" ht="16.5" customHeight="1" x14ac:dyDescent="0.3"/>
    <row r="995" spans="9:10" ht="15.75" customHeight="1" x14ac:dyDescent="0.3"/>
    <row r="996" spans="9:10" ht="16.5" customHeight="1" x14ac:dyDescent="0.3"/>
    <row r="997" spans="9:10" ht="15.75" customHeight="1" x14ac:dyDescent="0.3"/>
    <row r="998" spans="9:10" ht="15.75" customHeight="1" x14ac:dyDescent="0.3"/>
    <row r="999" spans="9:10" ht="15.75" customHeight="1" x14ac:dyDescent="0.3"/>
    <row r="1000" spans="9:10" ht="15.75" customHeight="1" x14ac:dyDescent="0.3"/>
    <row r="1001" spans="9:10" ht="15.75" customHeight="1" x14ac:dyDescent="0.3">
      <c r="I1001" s="139"/>
      <c r="J1001" s="139"/>
    </row>
    <row r="1002" spans="9:10" ht="15.75" customHeight="1" x14ac:dyDescent="0.3"/>
    <row r="1003" spans="9:10" ht="15.75" customHeight="1" x14ac:dyDescent="0.3"/>
    <row r="1004" spans="9:10" ht="15.75" customHeight="1" x14ac:dyDescent="0.3"/>
    <row r="1005" spans="9:10" ht="15.75" customHeight="1" x14ac:dyDescent="0.3"/>
    <row r="1006" spans="9:10" ht="15.75" customHeight="1" x14ac:dyDescent="0.3"/>
    <row r="1007" spans="9:10" ht="15.75" customHeight="1" x14ac:dyDescent="0.3"/>
    <row r="1008" spans="9:10" ht="15.75" customHeight="1" thickBot="1" x14ac:dyDescent="0.35"/>
    <row r="1009" spans="1:19" ht="15.75" customHeight="1" x14ac:dyDescent="0.35">
      <c r="A1009" s="546"/>
      <c r="B1009" s="547"/>
      <c r="C1009" s="566"/>
      <c r="D1009" s="566"/>
      <c r="E1009" s="566"/>
      <c r="F1009" s="566"/>
      <c r="G1009" s="566"/>
      <c r="H1009" s="549" t="s">
        <v>1623</v>
      </c>
      <c r="I1009" s="547"/>
      <c r="J1009" s="547"/>
      <c r="K1009" s="547"/>
      <c r="L1009" s="547"/>
      <c r="M1009" s="547"/>
      <c r="N1009" s="547"/>
      <c r="O1009" s="547"/>
      <c r="P1009" s="547"/>
      <c r="Q1009" s="678" t="str">
        <f>+Q1</f>
        <v xml:space="preserve">PRINTED:  </v>
      </c>
      <c r="R1009" s="682">
        <f ca="1">+R1</f>
        <v>44881.729634027775</v>
      </c>
      <c r="S1009" s="560"/>
    </row>
    <row r="1010" spans="1:19" ht="15.75" customHeight="1" x14ac:dyDescent="0.35">
      <c r="A1010" s="551"/>
      <c r="B1010" s="67"/>
      <c r="C1010" s="215"/>
      <c r="D1010" s="215"/>
      <c r="E1010" s="215"/>
      <c r="F1010" s="215"/>
      <c r="G1010" s="215"/>
      <c r="H1010" s="67" t="s">
        <v>2435</v>
      </c>
      <c r="I1010" s="67" t="s">
        <v>852</v>
      </c>
      <c r="J1010" s="69" t="str">
        <f>+A8</f>
        <v>Revised:  2/10/2015</v>
      </c>
      <c r="K1010" s="67"/>
      <c r="L1010" s="67"/>
      <c r="M1010" s="67"/>
      <c r="N1010" s="67"/>
      <c r="O1010" s="67"/>
      <c r="P1010" s="67"/>
      <c r="Q1010" s="67"/>
      <c r="R1010" s="67"/>
      <c r="S1010" s="561"/>
    </row>
    <row r="1011" spans="1:19" ht="15.75" customHeight="1" x14ac:dyDescent="0.35">
      <c r="A1011" s="551"/>
      <c r="B1011" s="67"/>
      <c r="C1011" s="215"/>
      <c r="D1011" s="215"/>
      <c r="E1011" s="215"/>
      <c r="F1011" s="215"/>
      <c r="G1011" s="215"/>
      <c r="H1011" s="67" t="s">
        <v>2126</v>
      </c>
      <c r="I1011" s="67"/>
      <c r="J1011" s="67"/>
      <c r="K1011" s="67"/>
      <c r="L1011" s="67"/>
      <c r="M1011" s="67"/>
      <c r="N1011" s="67"/>
      <c r="O1011" s="67"/>
      <c r="P1011" s="67"/>
      <c r="Q1011" s="67"/>
      <c r="R1011" s="67"/>
      <c r="S1011" s="561"/>
    </row>
    <row r="1012" spans="1:19" ht="15.75" customHeight="1" x14ac:dyDescent="0.35">
      <c r="A1012" s="551"/>
      <c r="B1012" s="67"/>
      <c r="C1012" s="215"/>
      <c r="D1012" s="215"/>
      <c r="E1012" s="215"/>
      <c r="F1012" s="215"/>
      <c r="G1012" s="215"/>
      <c r="H1012" s="67"/>
      <c r="I1012" s="67"/>
      <c r="J1012" s="67"/>
      <c r="K1012" s="67"/>
      <c r="L1012" s="67"/>
      <c r="M1012" s="67"/>
      <c r="N1012" s="67"/>
      <c r="O1012" s="67"/>
      <c r="P1012" s="67"/>
      <c r="Q1012" s="67"/>
      <c r="R1012" s="67"/>
      <c r="S1012" s="561"/>
    </row>
    <row r="1013" spans="1:19" ht="15.75" customHeight="1" x14ac:dyDescent="0.35">
      <c r="A1013" s="551"/>
      <c r="B1013" s="67"/>
      <c r="C1013" s="215"/>
      <c r="D1013" s="215"/>
      <c r="E1013" s="215"/>
      <c r="F1013" s="215"/>
      <c r="G1013" s="215"/>
      <c r="H1013" s="67" t="s">
        <v>2435</v>
      </c>
      <c r="I1013" s="676">
        <f>+A5</f>
        <v>2014</v>
      </c>
      <c r="J1013" s="67"/>
      <c r="K1013" s="67"/>
      <c r="L1013" s="67"/>
      <c r="M1013" s="67"/>
      <c r="N1013" s="67"/>
      <c r="O1013" s="67"/>
      <c r="P1013" s="67"/>
      <c r="Q1013" s="67"/>
      <c r="R1013" s="67"/>
      <c r="S1013" s="561"/>
    </row>
    <row r="1014" spans="1:19" ht="15.75" customHeight="1" x14ac:dyDescent="0.3">
      <c r="A1014" s="551"/>
      <c r="B1014" s="67"/>
      <c r="C1014" s="67"/>
      <c r="D1014" s="67"/>
      <c r="E1014" s="67"/>
      <c r="F1014" s="67"/>
      <c r="G1014" s="67"/>
      <c r="H1014" s="67"/>
      <c r="I1014" s="67"/>
      <c r="J1014" s="67"/>
      <c r="K1014" s="67"/>
      <c r="L1014" s="67"/>
      <c r="M1014" s="67"/>
      <c r="N1014" s="67"/>
      <c r="O1014" s="67"/>
      <c r="P1014" s="67"/>
      <c r="Q1014" s="67"/>
      <c r="R1014" s="67"/>
      <c r="S1014" s="561"/>
    </row>
    <row r="1015" spans="1:19" ht="15.75" customHeight="1" x14ac:dyDescent="0.3">
      <c r="A1015" s="551"/>
      <c r="B1015" s="67"/>
      <c r="C1015" s="71" t="s">
        <v>1442</v>
      </c>
      <c r="D1015" s="67"/>
      <c r="E1015" s="67"/>
      <c r="F1015" s="67"/>
      <c r="G1015" s="71" t="s">
        <v>1409</v>
      </c>
      <c r="H1015" s="67"/>
      <c r="I1015" s="67"/>
      <c r="J1015" s="67"/>
      <c r="K1015" s="68" t="s">
        <v>234</v>
      </c>
      <c r="L1015" s="67"/>
      <c r="M1015" s="67"/>
      <c r="N1015" s="67"/>
      <c r="O1015" s="68" t="s">
        <v>1701</v>
      </c>
      <c r="P1015" s="67"/>
      <c r="Q1015" s="67"/>
      <c r="R1015" s="67"/>
      <c r="S1015" s="561"/>
    </row>
    <row r="1016" spans="1:19" ht="15.75" customHeight="1" x14ac:dyDescent="0.3">
      <c r="A1016" s="551"/>
      <c r="B1016" s="67"/>
      <c r="C1016" s="67">
        <f>+A5</f>
        <v>2014</v>
      </c>
      <c r="D1016" s="67"/>
      <c r="E1016" s="67"/>
      <c r="F1016" s="67" t="s">
        <v>2415</v>
      </c>
      <c r="G1016" s="67"/>
      <c r="H1016" s="67"/>
      <c r="I1016" s="67"/>
      <c r="J1016" s="67"/>
      <c r="K1016" s="67">
        <f>+A5</f>
        <v>2014</v>
      </c>
      <c r="L1016" s="67"/>
      <c r="M1016" s="67"/>
      <c r="N1016" s="67"/>
      <c r="O1016" s="67">
        <f>+A5</f>
        <v>2014</v>
      </c>
      <c r="P1016" s="67"/>
      <c r="Q1016" s="67"/>
      <c r="R1016" s="67"/>
      <c r="S1016" s="561"/>
    </row>
    <row r="1017" spans="1:19" ht="15.75" customHeight="1" x14ac:dyDescent="0.3">
      <c r="A1017" s="551"/>
      <c r="B1017" s="67"/>
      <c r="C1017" s="67"/>
      <c r="D1017" s="67"/>
      <c r="E1017" s="67"/>
      <c r="F1017" s="67"/>
      <c r="G1017" s="67">
        <f>+A5</f>
        <v>2014</v>
      </c>
      <c r="H1017" s="67"/>
      <c r="I1017" s="67"/>
      <c r="J1017" s="67"/>
      <c r="K1017" s="67"/>
      <c r="L1017" s="67"/>
      <c r="M1017" s="67"/>
      <c r="N1017" s="67"/>
      <c r="O1017" s="67"/>
      <c r="P1017" s="67"/>
      <c r="Q1017" s="67"/>
      <c r="R1017" s="67"/>
      <c r="S1017" s="561"/>
    </row>
    <row r="1018" spans="1:19" ht="15.75" customHeight="1" x14ac:dyDescent="0.3">
      <c r="A1018" s="551"/>
      <c r="B1018" s="67"/>
      <c r="C1018" s="70" t="s">
        <v>1413</v>
      </c>
      <c r="D1018" s="70" t="s">
        <v>31</v>
      </c>
      <c r="E1018" s="70" t="s">
        <v>32</v>
      </c>
      <c r="F1018" s="67"/>
      <c r="G1018" s="70" t="s">
        <v>1412</v>
      </c>
      <c r="H1018" s="70" t="s">
        <v>31</v>
      </c>
      <c r="I1018" s="70" t="s">
        <v>1077</v>
      </c>
      <c r="J1018" s="67"/>
      <c r="K1018" s="70" t="s">
        <v>229</v>
      </c>
      <c r="L1018" s="70" t="s">
        <v>31</v>
      </c>
      <c r="M1018" s="70" t="s">
        <v>1078</v>
      </c>
      <c r="N1018" s="67"/>
      <c r="O1018" s="70" t="s">
        <v>229</v>
      </c>
      <c r="P1018" s="70" t="s">
        <v>31</v>
      </c>
      <c r="Q1018" s="70" t="s">
        <v>1078</v>
      </c>
      <c r="R1018" s="67"/>
      <c r="S1018" s="561"/>
    </row>
    <row r="1019" spans="1:19" ht="15.75" customHeight="1" x14ac:dyDescent="0.3">
      <c r="A1019" s="551"/>
      <c r="B1019" s="67"/>
      <c r="C1019" s="70" t="s">
        <v>429</v>
      </c>
      <c r="D1019" s="70" t="s">
        <v>335</v>
      </c>
      <c r="E1019" s="70" t="s">
        <v>2000</v>
      </c>
      <c r="F1019" s="67"/>
      <c r="G1019" s="70" t="s">
        <v>1318</v>
      </c>
      <c r="H1019" s="70" t="s">
        <v>335</v>
      </c>
      <c r="I1019" s="70" t="s">
        <v>2000</v>
      </c>
      <c r="J1019" s="67"/>
      <c r="K1019" s="70" t="s">
        <v>1180</v>
      </c>
      <c r="L1019" s="70" t="s">
        <v>335</v>
      </c>
      <c r="M1019" s="70" t="s">
        <v>2000</v>
      </c>
      <c r="N1019" s="67"/>
      <c r="O1019" s="70" t="s">
        <v>1180</v>
      </c>
      <c r="P1019" s="70" t="s">
        <v>335</v>
      </c>
      <c r="Q1019" s="70" t="s">
        <v>2000</v>
      </c>
      <c r="R1019" s="67"/>
      <c r="S1019" s="561"/>
    </row>
    <row r="1020" spans="1:19" ht="15.75" customHeight="1" x14ac:dyDescent="0.3">
      <c r="A1020" s="551"/>
      <c r="B1020" s="67"/>
      <c r="C1020" s="70" t="s">
        <v>335</v>
      </c>
      <c r="D1020" s="70" t="s">
        <v>956</v>
      </c>
      <c r="E1020" s="70" t="s">
        <v>242</v>
      </c>
      <c r="F1020" s="67"/>
      <c r="G1020" s="70" t="s">
        <v>134</v>
      </c>
      <c r="H1020" s="70" t="s">
        <v>956</v>
      </c>
      <c r="I1020" s="70" t="s">
        <v>242</v>
      </c>
      <c r="J1020" s="67"/>
      <c r="K1020" s="70" t="s">
        <v>335</v>
      </c>
      <c r="L1020" s="70" t="s">
        <v>956</v>
      </c>
      <c r="M1020" s="70" t="s">
        <v>242</v>
      </c>
      <c r="N1020" s="67"/>
      <c r="O1020" s="70" t="s">
        <v>335</v>
      </c>
      <c r="P1020" s="70" t="s">
        <v>956</v>
      </c>
      <c r="Q1020" s="70" t="s">
        <v>242</v>
      </c>
      <c r="R1020" s="67"/>
      <c r="S1020" s="561"/>
    </row>
    <row r="1021" spans="1:19" ht="15.75" customHeight="1" x14ac:dyDescent="0.3">
      <c r="A1021" s="551"/>
      <c r="B1021" s="67"/>
      <c r="C1021" s="70" t="s">
        <v>932</v>
      </c>
      <c r="D1021" s="70" t="s">
        <v>1917</v>
      </c>
      <c r="E1021" s="70" t="s">
        <v>1481</v>
      </c>
      <c r="F1021" s="67"/>
      <c r="G1021" s="70" t="s">
        <v>932</v>
      </c>
      <c r="H1021" s="70" t="s">
        <v>1917</v>
      </c>
      <c r="I1021" s="70" t="s">
        <v>1481</v>
      </c>
      <c r="J1021" s="67"/>
      <c r="K1021" s="70" t="s">
        <v>932</v>
      </c>
      <c r="L1021" s="70" t="s">
        <v>1917</v>
      </c>
      <c r="M1021" s="70" t="s">
        <v>1481</v>
      </c>
      <c r="N1021" s="67"/>
      <c r="O1021" s="70" t="s">
        <v>932</v>
      </c>
      <c r="P1021" s="70" t="s">
        <v>1917</v>
      </c>
      <c r="Q1021" s="70" t="s">
        <v>1481</v>
      </c>
      <c r="R1021" s="67"/>
      <c r="S1021" s="561"/>
    </row>
    <row r="1022" spans="1:19" ht="15.75" customHeight="1" x14ac:dyDescent="0.3">
      <c r="A1022" s="551"/>
      <c r="B1022" s="67"/>
      <c r="C1022" s="67" t="s">
        <v>1353</v>
      </c>
      <c r="D1022" s="67" t="s">
        <v>1353</v>
      </c>
      <c r="E1022" s="67" t="s">
        <v>1353</v>
      </c>
      <c r="F1022" s="67"/>
      <c r="G1022" s="70" t="s">
        <v>1353</v>
      </c>
      <c r="H1022" s="70" t="s">
        <v>1353</v>
      </c>
      <c r="I1022" s="70" t="s">
        <v>1353</v>
      </c>
      <c r="J1022" s="67"/>
      <c r="K1022" s="67" t="s">
        <v>1353</v>
      </c>
      <c r="L1022" s="67" t="s">
        <v>1353</v>
      </c>
      <c r="M1022" s="67" t="s">
        <v>1353</v>
      </c>
      <c r="N1022" s="67"/>
      <c r="O1022" s="67" t="s">
        <v>1353</v>
      </c>
      <c r="P1022" s="67" t="s">
        <v>1353</v>
      </c>
      <c r="Q1022" s="67" t="s">
        <v>1353</v>
      </c>
      <c r="R1022" s="67"/>
      <c r="S1022" s="561"/>
    </row>
    <row r="1023" spans="1:19" ht="15.75" customHeight="1" x14ac:dyDescent="0.3">
      <c r="A1023" s="553" t="s">
        <v>1354</v>
      </c>
      <c r="B1023" s="67"/>
      <c r="C1023" s="67">
        <f t="shared" ref="C1023:C1034" si="278">(P895)</f>
        <v>-6704.3894229021389</v>
      </c>
      <c r="D1023" s="72">
        <v>0</v>
      </c>
      <c r="E1023" s="73">
        <f t="shared" ref="E1023:E1034" si="279">(P895*D1023/1000)</f>
        <v>0</v>
      </c>
      <c r="F1023" s="67"/>
      <c r="G1023" s="67">
        <v>0</v>
      </c>
      <c r="H1023" s="72">
        <v>0</v>
      </c>
      <c r="I1023" s="73">
        <f t="shared" ref="I1023:I1034" si="280">(G1023*H1023/1000)</f>
        <v>0</v>
      </c>
      <c r="J1023" s="67"/>
      <c r="K1023" s="589">
        <v>11848</v>
      </c>
      <c r="L1023" s="590">
        <v>0</v>
      </c>
      <c r="M1023" s="73">
        <f t="shared" ref="M1023:M1034" si="281">(K1023*L1023/1000)</f>
        <v>0</v>
      </c>
      <c r="N1023" s="67"/>
      <c r="O1023" s="589">
        <v>0</v>
      </c>
      <c r="P1023" s="72">
        <v>0</v>
      </c>
      <c r="Q1023" s="73">
        <f t="shared" ref="Q1023:Q1034" si="282">(O1023*P1023/1000)</f>
        <v>0</v>
      </c>
      <c r="R1023" s="67"/>
      <c r="S1023" s="561"/>
    </row>
    <row r="1024" spans="1:19" ht="15.75" customHeight="1" x14ac:dyDescent="0.3">
      <c r="A1024" s="553" t="s">
        <v>706</v>
      </c>
      <c r="B1024" s="67"/>
      <c r="C1024" s="67">
        <f t="shared" si="278"/>
        <v>-29946.216307452618</v>
      </c>
      <c r="D1024" s="72">
        <v>0</v>
      </c>
      <c r="E1024" s="73">
        <f t="shared" si="279"/>
        <v>0</v>
      </c>
      <c r="F1024" s="67"/>
      <c r="G1024" s="67" t="e">
        <f>#REF!</f>
        <v>#REF!</v>
      </c>
      <c r="H1024" s="72">
        <v>0</v>
      </c>
      <c r="I1024" s="73" t="e">
        <f t="shared" si="280"/>
        <v>#REF!</v>
      </c>
      <c r="J1024" s="67"/>
      <c r="K1024" s="589">
        <v>11489</v>
      </c>
      <c r="L1024" s="590">
        <v>0</v>
      </c>
      <c r="M1024" s="73">
        <f t="shared" si="281"/>
        <v>0</v>
      </c>
      <c r="N1024" s="67"/>
      <c r="O1024" s="589">
        <v>0</v>
      </c>
      <c r="P1024" s="72">
        <v>0</v>
      </c>
      <c r="Q1024" s="73">
        <f t="shared" si="282"/>
        <v>0</v>
      </c>
      <c r="R1024" s="67"/>
      <c r="S1024" s="561"/>
    </row>
    <row r="1025" spans="1:19" ht="15.75" customHeight="1" x14ac:dyDescent="0.3">
      <c r="A1025" s="553" t="s">
        <v>707</v>
      </c>
      <c r="B1025" s="67"/>
      <c r="C1025" s="67">
        <f t="shared" si="278"/>
        <v>-15337.211624284799</v>
      </c>
      <c r="D1025" s="72">
        <v>0</v>
      </c>
      <c r="E1025" s="73">
        <f t="shared" si="279"/>
        <v>0</v>
      </c>
      <c r="F1025" s="67">
        <f>SUM(E1023:E1025)</f>
        <v>0</v>
      </c>
      <c r="G1025" s="67" t="e">
        <f>#REF!</f>
        <v>#REF!</v>
      </c>
      <c r="H1025" s="72">
        <v>0</v>
      </c>
      <c r="I1025" s="73" t="e">
        <f t="shared" si="280"/>
        <v>#REF!</v>
      </c>
      <c r="J1025" s="67" t="e">
        <f>SUM(I1023:I1025)</f>
        <v>#REF!</v>
      </c>
      <c r="K1025" s="589">
        <v>16247</v>
      </c>
      <c r="L1025" s="590">
        <v>0</v>
      </c>
      <c r="M1025" s="73">
        <f t="shared" si="281"/>
        <v>0</v>
      </c>
      <c r="N1025" s="67">
        <f>SUM(M1023:M1025)</f>
        <v>0</v>
      </c>
      <c r="O1025" s="589">
        <v>0</v>
      </c>
      <c r="P1025" s="72">
        <v>0</v>
      </c>
      <c r="Q1025" s="73">
        <f t="shared" si="282"/>
        <v>0</v>
      </c>
      <c r="R1025" s="67">
        <f>SUM(Q1023:Q1025)</f>
        <v>0</v>
      </c>
      <c r="S1025" s="561"/>
    </row>
    <row r="1026" spans="1:19" ht="15.75" customHeight="1" x14ac:dyDescent="0.3">
      <c r="A1026" s="553" t="s">
        <v>1321</v>
      </c>
      <c r="B1026" s="67"/>
      <c r="C1026" s="67">
        <f t="shared" si="278"/>
        <v>1381.2357996191131</v>
      </c>
      <c r="D1026" s="72">
        <v>0</v>
      </c>
      <c r="E1026" s="73">
        <f t="shared" si="279"/>
        <v>0</v>
      </c>
      <c r="F1026" s="67"/>
      <c r="G1026" s="67" t="e">
        <f>#REF!</f>
        <v>#REF!</v>
      </c>
      <c r="H1026" s="72">
        <v>0</v>
      </c>
      <c r="I1026" s="73" t="e">
        <f t="shared" si="280"/>
        <v>#REF!</v>
      </c>
      <c r="J1026" s="67"/>
      <c r="K1026" s="589">
        <v>17740</v>
      </c>
      <c r="L1026" s="590">
        <v>0</v>
      </c>
      <c r="M1026" s="73">
        <f t="shared" si="281"/>
        <v>0</v>
      </c>
      <c r="N1026" s="67"/>
      <c r="O1026" s="589">
        <v>0</v>
      </c>
      <c r="P1026" s="72">
        <v>0</v>
      </c>
      <c r="Q1026" s="73">
        <f t="shared" si="282"/>
        <v>0</v>
      </c>
      <c r="R1026" s="67"/>
      <c r="S1026" s="561"/>
    </row>
    <row r="1027" spans="1:19" ht="15.75" customHeight="1" x14ac:dyDescent="0.3">
      <c r="A1027" s="553" t="s">
        <v>1905</v>
      </c>
      <c r="B1027" s="67"/>
      <c r="C1027" s="67">
        <f t="shared" si="278"/>
        <v>4040.1940965782851</v>
      </c>
      <c r="D1027" s="72">
        <v>0</v>
      </c>
      <c r="E1027" s="73">
        <f t="shared" si="279"/>
        <v>0</v>
      </c>
      <c r="F1027" s="67"/>
      <c r="G1027" s="67" t="e">
        <f>#REF!</f>
        <v>#REF!</v>
      </c>
      <c r="H1027" s="72">
        <v>0</v>
      </c>
      <c r="I1027" s="73" t="e">
        <f t="shared" si="280"/>
        <v>#REF!</v>
      </c>
      <c r="J1027" s="67"/>
      <c r="K1027" s="589">
        <v>15434</v>
      </c>
      <c r="L1027" s="590">
        <v>0</v>
      </c>
      <c r="M1027" s="73">
        <f t="shared" si="281"/>
        <v>0</v>
      </c>
      <c r="N1027" s="67"/>
      <c r="O1027" s="589">
        <v>0</v>
      </c>
      <c r="P1027" s="72">
        <v>0</v>
      </c>
      <c r="Q1027" s="73">
        <f t="shared" si="282"/>
        <v>0</v>
      </c>
      <c r="R1027" s="67"/>
      <c r="S1027" s="561"/>
    </row>
    <row r="1028" spans="1:19" ht="15.75" customHeight="1" x14ac:dyDescent="0.3">
      <c r="A1028" s="553" t="s">
        <v>1906</v>
      </c>
      <c r="B1028" s="67"/>
      <c r="C1028" s="67">
        <f t="shared" si="278"/>
        <v>5409.3747701582615</v>
      </c>
      <c r="D1028" s="72">
        <v>0</v>
      </c>
      <c r="E1028" s="73">
        <f t="shared" si="279"/>
        <v>0</v>
      </c>
      <c r="F1028" s="67">
        <f>SUM(E1026:E1028)</f>
        <v>0</v>
      </c>
      <c r="G1028" s="67" t="e">
        <f>#REF!</f>
        <v>#REF!</v>
      </c>
      <c r="H1028" s="72">
        <v>0</v>
      </c>
      <c r="I1028" s="73" t="e">
        <f t="shared" si="280"/>
        <v>#REF!</v>
      </c>
      <c r="J1028" s="67" t="e">
        <f>SUM(I1026:I1028)</f>
        <v>#REF!</v>
      </c>
      <c r="K1028" s="589">
        <v>14355</v>
      </c>
      <c r="L1028" s="590">
        <v>0</v>
      </c>
      <c r="M1028" s="73">
        <f t="shared" si="281"/>
        <v>0</v>
      </c>
      <c r="N1028" s="67">
        <f>SUM(M1026:M1028)</f>
        <v>0</v>
      </c>
      <c r="O1028" s="589">
        <v>0</v>
      </c>
      <c r="P1028" s="72">
        <v>0</v>
      </c>
      <c r="Q1028" s="73">
        <f t="shared" si="282"/>
        <v>0</v>
      </c>
      <c r="R1028" s="67">
        <f>SUM(Q1026:Q1028)</f>
        <v>0</v>
      </c>
      <c r="S1028" s="561"/>
    </row>
    <row r="1029" spans="1:19" ht="15.75" customHeight="1" x14ac:dyDescent="0.3">
      <c r="A1029" s="553" t="s">
        <v>1907</v>
      </c>
      <c r="B1029" s="67"/>
      <c r="C1029" s="67">
        <f t="shared" si="278"/>
        <v>10520.974016578752</v>
      </c>
      <c r="D1029" s="72">
        <v>0</v>
      </c>
      <c r="E1029" s="73">
        <f t="shared" si="279"/>
        <v>0</v>
      </c>
      <c r="F1029" s="67"/>
      <c r="G1029" s="67" t="e">
        <f>#REF!</f>
        <v>#REF!</v>
      </c>
      <c r="H1029" s="72">
        <v>0</v>
      </c>
      <c r="I1029" s="73" t="e">
        <f t="shared" si="280"/>
        <v>#REF!</v>
      </c>
      <c r="J1029" s="67"/>
      <c r="K1029" s="589">
        <v>13129</v>
      </c>
      <c r="L1029" s="590">
        <v>0</v>
      </c>
      <c r="M1029" s="73">
        <f t="shared" si="281"/>
        <v>0</v>
      </c>
      <c r="N1029" s="67"/>
      <c r="O1029" s="589">
        <v>0</v>
      </c>
      <c r="P1029" s="72">
        <v>0</v>
      </c>
      <c r="Q1029" s="73">
        <f t="shared" si="282"/>
        <v>0</v>
      </c>
      <c r="R1029" s="67"/>
      <c r="S1029" s="561"/>
    </row>
    <row r="1030" spans="1:19" ht="15.75" customHeight="1" x14ac:dyDescent="0.3">
      <c r="A1030" s="553" t="s">
        <v>1908</v>
      </c>
      <c r="B1030" s="67"/>
      <c r="C1030" s="67">
        <f t="shared" si="278"/>
        <v>23871.794924083661</v>
      </c>
      <c r="D1030" s="72">
        <v>0</v>
      </c>
      <c r="E1030" s="73">
        <f t="shared" si="279"/>
        <v>0</v>
      </c>
      <c r="F1030" s="67"/>
      <c r="G1030" s="67" t="e">
        <f>#REF!</f>
        <v>#REF!</v>
      </c>
      <c r="H1030" s="72">
        <v>0</v>
      </c>
      <c r="I1030" s="73" t="e">
        <f t="shared" si="280"/>
        <v>#REF!</v>
      </c>
      <c r="J1030" s="67"/>
      <c r="K1030" s="589">
        <v>12545</v>
      </c>
      <c r="L1030" s="590">
        <v>0</v>
      </c>
      <c r="M1030" s="73">
        <f t="shared" si="281"/>
        <v>0</v>
      </c>
      <c r="N1030" s="67"/>
      <c r="O1030" s="589">
        <v>0</v>
      </c>
      <c r="P1030" s="72">
        <v>0</v>
      </c>
      <c r="Q1030" s="73">
        <f t="shared" si="282"/>
        <v>0</v>
      </c>
      <c r="R1030" s="67"/>
      <c r="S1030" s="561"/>
    </row>
    <row r="1031" spans="1:19" ht="15.75" customHeight="1" x14ac:dyDescent="0.3">
      <c r="A1031" s="553" t="s">
        <v>2352</v>
      </c>
      <c r="B1031" s="67"/>
      <c r="C1031" s="67">
        <f t="shared" si="278"/>
        <v>-20771.22977072018</v>
      </c>
      <c r="D1031" s="72">
        <v>0</v>
      </c>
      <c r="E1031" s="73">
        <f t="shared" si="279"/>
        <v>0</v>
      </c>
      <c r="F1031" s="67">
        <f>SUM(E1029:E1031)</f>
        <v>0</v>
      </c>
      <c r="G1031" s="67" t="e">
        <f>#REF!</f>
        <v>#REF!</v>
      </c>
      <c r="H1031" s="72">
        <v>0</v>
      </c>
      <c r="I1031" s="73" t="e">
        <f t="shared" si="280"/>
        <v>#REF!</v>
      </c>
      <c r="J1031" s="67" t="e">
        <f>SUM(I1029:I1031)</f>
        <v>#REF!</v>
      </c>
      <c r="K1031" s="589">
        <v>9350</v>
      </c>
      <c r="L1031" s="590">
        <v>0</v>
      </c>
      <c r="M1031" s="73">
        <f t="shared" si="281"/>
        <v>0</v>
      </c>
      <c r="N1031" s="67">
        <f>SUM(M1029:M1031)</f>
        <v>0</v>
      </c>
      <c r="O1031" s="589">
        <v>0</v>
      </c>
      <c r="P1031" s="72">
        <v>0</v>
      </c>
      <c r="Q1031" s="73">
        <f t="shared" si="282"/>
        <v>0</v>
      </c>
      <c r="R1031" s="67">
        <f>SUM(Q1029:Q1031)</f>
        <v>0</v>
      </c>
      <c r="S1031" s="561"/>
    </row>
    <row r="1032" spans="1:19" ht="15.75" customHeight="1" x14ac:dyDescent="0.3">
      <c r="A1032" s="553" t="s">
        <v>2353</v>
      </c>
      <c r="B1032" s="67"/>
      <c r="C1032" s="67">
        <f t="shared" si="278"/>
        <v>-33940.156323032978</v>
      </c>
      <c r="D1032" s="72">
        <v>0</v>
      </c>
      <c r="E1032" s="73">
        <f t="shared" si="279"/>
        <v>0</v>
      </c>
      <c r="F1032" s="67"/>
      <c r="G1032" s="67" t="e">
        <f>#REF!</f>
        <v>#REF!</v>
      </c>
      <c r="H1032" s="72">
        <v>0</v>
      </c>
      <c r="I1032" s="73" t="e">
        <f t="shared" si="280"/>
        <v>#REF!</v>
      </c>
      <c r="J1032" s="67"/>
      <c r="K1032" s="589">
        <v>11649</v>
      </c>
      <c r="L1032" s="590">
        <v>0</v>
      </c>
      <c r="M1032" s="73">
        <f t="shared" si="281"/>
        <v>0</v>
      </c>
      <c r="N1032" s="67"/>
      <c r="O1032" s="589">
        <v>0</v>
      </c>
      <c r="P1032" s="72">
        <v>0</v>
      </c>
      <c r="Q1032" s="73">
        <f t="shared" si="282"/>
        <v>0</v>
      </c>
      <c r="R1032" s="67"/>
      <c r="S1032" s="561"/>
    </row>
    <row r="1033" spans="1:19" ht="15.75" customHeight="1" x14ac:dyDescent="0.3">
      <c r="A1033" s="553" t="s">
        <v>2354</v>
      </c>
      <c r="B1033" s="67"/>
      <c r="C1033" s="67">
        <f t="shared" si="278"/>
        <v>-5320.3539340431162</v>
      </c>
      <c r="D1033" s="72">
        <v>0</v>
      </c>
      <c r="E1033" s="73">
        <f t="shared" si="279"/>
        <v>0</v>
      </c>
      <c r="F1033" s="67"/>
      <c r="G1033" s="67" t="e">
        <f>#REF!</f>
        <v>#REF!</v>
      </c>
      <c r="H1033" s="72">
        <v>0</v>
      </c>
      <c r="I1033" s="73" t="e">
        <f t="shared" si="280"/>
        <v>#REF!</v>
      </c>
      <c r="J1033" s="67"/>
      <c r="K1033" s="589">
        <v>8035</v>
      </c>
      <c r="L1033" s="590">
        <v>0</v>
      </c>
      <c r="M1033" s="73">
        <f t="shared" si="281"/>
        <v>0</v>
      </c>
      <c r="N1033" s="67"/>
      <c r="O1033" s="589">
        <v>0</v>
      </c>
      <c r="P1033" s="72">
        <v>0</v>
      </c>
      <c r="Q1033" s="73">
        <f t="shared" si="282"/>
        <v>0</v>
      </c>
      <c r="R1033" s="67"/>
      <c r="S1033" s="561"/>
    </row>
    <row r="1034" spans="1:19" ht="15.75" customHeight="1" x14ac:dyDescent="0.3">
      <c r="A1034" s="553" t="s">
        <v>2355</v>
      </c>
      <c r="B1034" s="67"/>
      <c r="C1034" s="67">
        <f t="shared" si="278"/>
        <v>-52560.791996648419</v>
      </c>
      <c r="D1034" s="72">
        <v>0</v>
      </c>
      <c r="E1034" s="73">
        <f t="shared" si="279"/>
        <v>0</v>
      </c>
      <c r="F1034" s="67">
        <f>SUM(E1032:E1034)</f>
        <v>0</v>
      </c>
      <c r="G1034" s="67" t="e">
        <f>#REF!</f>
        <v>#REF!</v>
      </c>
      <c r="H1034" s="72">
        <v>0</v>
      </c>
      <c r="I1034" s="73" t="e">
        <f t="shared" si="280"/>
        <v>#REF!</v>
      </c>
      <c r="J1034" s="67" t="e">
        <f>SUM(I1032:I1034)</f>
        <v>#REF!</v>
      </c>
      <c r="K1034" s="589">
        <v>8092</v>
      </c>
      <c r="L1034" s="590">
        <v>0</v>
      </c>
      <c r="M1034" s="73">
        <f t="shared" si="281"/>
        <v>0</v>
      </c>
      <c r="N1034" s="67">
        <f>SUM(M1032:M1034)</f>
        <v>0</v>
      </c>
      <c r="O1034" s="589">
        <v>0</v>
      </c>
      <c r="P1034" s="72">
        <v>0</v>
      </c>
      <c r="Q1034" s="73">
        <f t="shared" si="282"/>
        <v>0</v>
      </c>
      <c r="R1034" s="67">
        <f>SUM(Q1032:Q1034)</f>
        <v>0</v>
      </c>
      <c r="S1034" s="561"/>
    </row>
    <row r="1035" spans="1:19" ht="15.75" customHeight="1" x14ac:dyDescent="0.3">
      <c r="A1035" s="551"/>
      <c r="B1035" s="67"/>
      <c r="C1035" s="67"/>
      <c r="D1035" s="67"/>
      <c r="E1035" s="67"/>
      <c r="F1035" s="67"/>
      <c r="G1035" s="67"/>
      <c r="H1035" s="67"/>
      <c r="I1035" s="67"/>
      <c r="J1035" s="67"/>
      <c r="K1035" s="67"/>
      <c r="L1035" s="67"/>
      <c r="M1035" s="67"/>
      <c r="N1035" s="67"/>
      <c r="O1035" s="67"/>
      <c r="P1035" s="67"/>
      <c r="Q1035" s="67"/>
      <c r="R1035" s="67"/>
      <c r="S1035" s="561"/>
    </row>
    <row r="1036" spans="1:19" ht="15.75" customHeight="1" x14ac:dyDescent="0.3">
      <c r="A1036" s="551"/>
      <c r="B1036" s="67"/>
      <c r="C1036" s="67"/>
      <c r="D1036" s="67"/>
      <c r="E1036" s="67"/>
      <c r="F1036" s="67"/>
      <c r="G1036" s="67"/>
      <c r="H1036" s="67"/>
      <c r="I1036" s="67"/>
      <c r="J1036" s="67"/>
      <c r="K1036" s="67"/>
      <c r="L1036" s="67"/>
      <c r="M1036" s="67"/>
      <c r="N1036" s="67"/>
      <c r="O1036" s="67"/>
      <c r="P1036" s="67"/>
      <c r="Q1036" s="67"/>
      <c r="R1036" s="67"/>
      <c r="S1036" s="561"/>
    </row>
    <row r="1037" spans="1:19" ht="16.5" customHeight="1" thickBot="1" x14ac:dyDescent="0.35">
      <c r="A1037" s="554" t="s">
        <v>2356</v>
      </c>
      <c r="B1037" s="555"/>
      <c r="C1037" s="555">
        <f>SUM(C1023:C1034)</f>
        <v>-119356.77577206618</v>
      </c>
      <c r="D1037" s="555"/>
      <c r="E1037" s="567">
        <f>SUM(E1023:E1034)</f>
        <v>0</v>
      </c>
      <c r="F1037" s="555"/>
      <c r="G1037" s="555" t="e">
        <f>SUM(G1023:G1034)</f>
        <v>#REF!</v>
      </c>
      <c r="H1037" s="555" t="s">
        <v>2435</v>
      </c>
      <c r="I1037" s="567" t="e">
        <f>SUM(I1023:I1034)</f>
        <v>#REF!</v>
      </c>
      <c r="J1037" s="555"/>
      <c r="K1037" s="555">
        <f>SUM(K1023:K1034)</f>
        <v>149913</v>
      </c>
      <c r="L1037" s="555" t="s">
        <v>2435</v>
      </c>
      <c r="M1037" s="567">
        <f>SUM(M1023:M1034)</f>
        <v>0</v>
      </c>
      <c r="N1037" s="555"/>
      <c r="O1037" s="555">
        <f>(SUM(O1023:O1034))</f>
        <v>0</v>
      </c>
      <c r="P1037" s="555" t="s">
        <v>2435</v>
      </c>
      <c r="Q1037" s="567">
        <f>SUM(Q1023:Q1034)</f>
        <v>0</v>
      </c>
      <c r="R1037" s="555"/>
      <c r="S1037" s="565"/>
    </row>
  </sheetData>
  <scenarios current="0">
    <scenario name="Jan" count="1" user="Windows User" comment="Created by Windows User on 4/11/2013">
      <inputCells r="B270" val="57771.3688407242" numFmtId="37"/>
    </scenario>
  </scenarios>
  <mergeCells count="71">
    <mergeCell ref="A778:R778"/>
    <mergeCell ref="A2:R2"/>
    <mergeCell ref="A3:R3"/>
    <mergeCell ref="A4:R4"/>
    <mergeCell ref="A5:R5"/>
    <mergeCell ref="A6:R6"/>
    <mergeCell ref="A8:R8"/>
    <mergeCell ref="A737:R737"/>
    <mergeCell ref="A738:R738"/>
    <mergeCell ref="A739:R739"/>
    <mergeCell ref="A740:R740"/>
    <mergeCell ref="A742:R742"/>
    <mergeCell ref="B831:P831"/>
    <mergeCell ref="A779:R779"/>
    <mergeCell ref="A780:R780"/>
    <mergeCell ref="A781:R781"/>
    <mergeCell ref="A783:R783"/>
    <mergeCell ref="B801:P801"/>
    <mergeCell ref="B802:P802"/>
    <mergeCell ref="B803:P803"/>
    <mergeCell ref="B804:P804"/>
    <mergeCell ref="B805:P805"/>
    <mergeCell ref="B806:P806"/>
    <mergeCell ref="B830:P830"/>
    <mergeCell ref="B887:P887"/>
    <mergeCell ref="B832:P832"/>
    <mergeCell ref="B833:P833"/>
    <mergeCell ref="B834:P834"/>
    <mergeCell ref="B835:P835"/>
    <mergeCell ref="B856:P856"/>
    <mergeCell ref="B857:P857"/>
    <mergeCell ref="B858:P858"/>
    <mergeCell ref="B860:P860"/>
    <mergeCell ref="B861:P861"/>
    <mergeCell ref="B885:P885"/>
    <mergeCell ref="B886:P886"/>
    <mergeCell ref="M917:O917"/>
    <mergeCell ref="B888:P888"/>
    <mergeCell ref="B889:F889"/>
    <mergeCell ref="G889:L889"/>
    <mergeCell ref="M889:O889"/>
    <mergeCell ref="P889:R889"/>
    <mergeCell ref="M890:O890"/>
    <mergeCell ref="B915:P915"/>
    <mergeCell ref="B916:F916"/>
    <mergeCell ref="G916:L916"/>
    <mergeCell ref="M916:O916"/>
    <mergeCell ref="P916:R916"/>
    <mergeCell ref="M971:P971"/>
    <mergeCell ref="B971:L971"/>
    <mergeCell ref="B939:P939"/>
    <mergeCell ref="B940:P940"/>
    <mergeCell ref="B941:P941"/>
    <mergeCell ref="B943:P943"/>
    <mergeCell ref="B944:P944"/>
    <mergeCell ref="B945:D945"/>
    <mergeCell ref="B964:P964"/>
    <mergeCell ref="B965:P965"/>
    <mergeCell ref="B966:P966"/>
    <mergeCell ref="B968:P968"/>
    <mergeCell ref="B969:P969"/>
    <mergeCell ref="AD851:AQ851"/>
    <mergeCell ref="AD852:AQ852"/>
    <mergeCell ref="AD855:AQ855"/>
    <mergeCell ref="AD856:AQ856"/>
    <mergeCell ref="AD853:AQ853"/>
    <mergeCell ref="AD886:AQ886"/>
    <mergeCell ref="AD887:AQ887"/>
    <mergeCell ref="AD888:AQ888"/>
    <mergeCell ref="AD890:AQ890"/>
    <mergeCell ref="AD891:AQ891"/>
  </mergeCells>
  <conditionalFormatting sqref="P895:P908">
    <cfRule type="cellIs" dxfId="11" priority="3" operator="lessThan">
      <formula>0</formula>
    </cfRule>
    <cfRule type="cellIs" dxfId="10" priority="4" operator="greaterThan">
      <formula>0</formula>
    </cfRule>
  </conditionalFormatting>
  <conditionalFormatting sqref="P922:P933">
    <cfRule type="cellIs" dxfId="9" priority="1" operator="lessThan">
      <formula>0</formula>
    </cfRule>
    <cfRule type="cellIs" dxfId="8" priority="2" operator="greaterThan">
      <formula>0</formula>
    </cfRule>
  </conditionalFormatting>
  <printOptions horizontalCentered="1"/>
  <pageMargins left="0.25" right="0.25" top="0.25" bottom="0.25" header="0" footer="0"/>
  <pageSetup paperSize="17" scale="10" orientation="landscape" r:id="rId1"/>
  <headerFooter alignWithMargins="0"/>
  <rowBreaks count="5" manualBreakCount="5">
    <brk id="734" max="17" man="1"/>
    <brk id="774" max="17" man="1"/>
    <brk id="827" max="18" man="1"/>
    <brk id="855" max="18" man="1"/>
    <brk id="823" min="28" max="46"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AX1028"/>
  <sheetViews>
    <sheetView topLeftCell="B793" zoomScale="70" zoomScaleNormal="70" workbookViewId="0">
      <selection activeCell="T803" sqref="T803"/>
    </sheetView>
  </sheetViews>
  <sheetFormatPr defaultRowHeight="15.6" x14ac:dyDescent="0.3"/>
  <cols>
    <col min="1" max="1" width="40.90625" customWidth="1"/>
    <col min="2" max="3" width="9.453125" customWidth="1"/>
    <col min="4" max="4" width="10.54296875" customWidth="1"/>
    <col min="5" max="5" width="11.81640625" customWidth="1"/>
    <col min="6" max="7" width="9.453125" customWidth="1"/>
    <col min="8" max="8" width="9.453125" bestFit="1" customWidth="1"/>
    <col min="9" max="9" width="11.08984375" customWidth="1"/>
    <col min="10"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20" max="20" width="9.453125" bestFit="1" customWidth="1"/>
  </cols>
  <sheetData>
    <row r="1" spans="1:42" x14ac:dyDescent="0.3">
      <c r="A1" s="10"/>
      <c r="B1" s="10"/>
      <c r="C1" s="10"/>
      <c r="D1" s="10"/>
      <c r="E1" s="10"/>
      <c r="F1" s="10"/>
      <c r="G1" s="10"/>
      <c r="H1" s="10"/>
      <c r="I1" s="10"/>
      <c r="J1" s="10"/>
      <c r="K1" s="10"/>
      <c r="L1" s="10"/>
      <c r="M1" s="10"/>
      <c r="N1" s="10"/>
      <c r="O1" s="10"/>
      <c r="P1" s="10"/>
      <c r="Q1" s="17" t="s">
        <v>1496</v>
      </c>
      <c r="R1" s="76">
        <f ca="1">NOW()</f>
        <v>44881.729634027775</v>
      </c>
    </row>
    <row r="2" spans="1:42" ht="19.5" customHeight="1" x14ac:dyDescent="0.35">
      <c r="A2" s="779" t="s">
        <v>43</v>
      </c>
      <c r="B2" s="779"/>
      <c r="C2" s="779"/>
      <c r="D2" s="779"/>
      <c r="E2" s="779"/>
      <c r="F2" s="779"/>
      <c r="G2" s="779"/>
      <c r="H2" s="779"/>
      <c r="I2" s="779"/>
      <c r="J2" s="779"/>
      <c r="K2" s="779"/>
      <c r="L2" s="779"/>
      <c r="M2" s="779"/>
      <c r="N2" s="779"/>
      <c r="O2" s="779"/>
      <c r="P2" s="779"/>
      <c r="Q2" s="779"/>
      <c r="R2" s="779"/>
    </row>
    <row r="3" spans="1:42" ht="19.5" customHeight="1" x14ac:dyDescent="0.35">
      <c r="A3" s="779" t="s">
        <v>1988</v>
      </c>
      <c r="B3" s="779"/>
      <c r="C3" s="779"/>
      <c r="D3" s="779"/>
      <c r="E3" s="779"/>
      <c r="F3" s="779"/>
      <c r="G3" s="779"/>
      <c r="H3" s="779"/>
      <c r="I3" s="779"/>
      <c r="J3" s="779"/>
      <c r="K3" s="779"/>
      <c r="L3" s="779"/>
      <c r="M3" s="779"/>
      <c r="N3" s="779"/>
      <c r="O3" s="779"/>
      <c r="P3" s="779"/>
      <c r="Q3" s="779"/>
      <c r="R3" s="779"/>
    </row>
    <row r="4" spans="1:42" ht="19.5" customHeight="1" x14ac:dyDescent="0.35">
      <c r="A4" s="780" t="s">
        <v>544</v>
      </c>
      <c r="B4" s="780"/>
      <c r="C4" s="780"/>
      <c r="D4" s="780"/>
      <c r="E4" s="780"/>
      <c r="F4" s="780"/>
      <c r="G4" s="780"/>
      <c r="H4" s="780"/>
      <c r="I4" s="780"/>
      <c r="J4" s="780"/>
      <c r="K4" s="780"/>
      <c r="L4" s="780"/>
      <c r="M4" s="780"/>
      <c r="N4" s="780"/>
      <c r="O4" s="780"/>
      <c r="P4" s="780"/>
      <c r="Q4" s="780"/>
      <c r="R4" s="780"/>
    </row>
    <row r="5" spans="1:42" ht="19.5" customHeight="1" x14ac:dyDescent="0.35">
      <c r="A5" s="781">
        <v>2013</v>
      </c>
      <c r="B5" s="781"/>
      <c r="C5" s="781"/>
      <c r="D5" s="781"/>
      <c r="E5" s="781"/>
      <c r="F5" s="781"/>
      <c r="G5" s="781"/>
      <c r="H5" s="781"/>
      <c r="I5" s="781"/>
      <c r="J5" s="781"/>
      <c r="K5" s="781"/>
      <c r="L5" s="781"/>
      <c r="M5" s="781"/>
      <c r="N5" s="781"/>
      <c r="O5" s="781"/>
      <c r="P5" s="781"/>
      <c r="Q5" s="781"/>
      <c r="R5" s="781"/>
    </row>
    <row r="6" spans="1:42" ht="19.5" customHeight="1" x14ac:dyDescent="0.35">
      <c r="A6" s="780" t="s">
        <v>2962</v>
      </c>
      <c r="B6" s="780"/>
      <c r="C6" s="780"/>
      <c r="D6" s="780"/>
      <c r="E6" s="780"/>
      <c r="F6" s="780"/>
      <c r="G6" s="780"/>
      <c r="H6" s="780"/>
      <c r="I6" s="780"/>
      <c r="J6" s="780"/>
      <c r="K6" s="780"/>
      <c r="L6" s="780"/>
      <c r="M6" s="780"/>
      <c r="N6" s="780"/>
      <c r="O6" s="780"/>
      <c r="P6" s="780"/>
      <c r="Q6" s="780"/>
      <c r="R6" s="780"/>
    </row>
    <row r="7" spans="1:42" ht="19.5" customHeight="1" x14ac:dyDescent="0.35">
      <c r="A7" s="434"/>
      <c r="B7" s="434"/>
      <c r="C7" s="434"/>
      <c r="D7" s="434"/>
      <c r="E7" s="434"/>
      <c r="F7" s="434"/>
      <c r="G7" s="434"/>
      <c r="H7" s="434"/>
      <c r="I7" s="434"/>
      <c r="J7" s="434"/>
      <c r="K7" s="434"/>
      <c r="L7" s="434"/>
      <c r="M7" s="434"/>
      <c r="N7" s="434"/>
      <c r="O7" s="434"/>
      <c r="P7" s="434"/>
      <c r="Q7" s="434"/>
      <c r="R7" s="434"/>
    </row>
    <row r="8" spans="1:42" ht="15.75" customHeight="1" x14ac:dyDescent="0.3">
      <c r="A8" s="778" t="s">
        <v>2956</v>
      </c>
      <c r="B8" s="778"/>
      <c r="C8" s="778"/>
      <c r="D8" s="778"/>
      <c r="E8" s="778"/>
      <c r="F8" s="778"/>
      <c r="G8" s="778"/>
      <c r="H8" s="778"/>
      <c r="I8" s="778"/>
      <c r="J8" s="778"/>
      <c r="K8" s="778"/>
      <c r="L8" s="778"/>
      <c r="M8" s="778"/>
      <c r="N8" s="778"/>
      <c r="O8" s="778"/>
      <c r="P8" s="778"/>
      <c r="Q8" s="778"/>
      <c r="R8" s="778"/>
    </row>
    <row r="9" spans="1:42" ht="15.75" customHeight="1" x14ac:dyDescent="0.3">
      <c r="A9" s="1"/>
      <c r="B9" s="220"/>
      <c r="C9" s="220"/>
      <c r="D9" s="220"/>
      <c r="E9" s="220"/>
      <c r="F9" s="220"/>
      <c r="G9" s="220"/>
      <c r="H9" s="220"/>
      <c r="I9" s="220"/>
      <c r="J9" s="220"/>
      <c r="K9" s="220"/>
      <c r="L9" s="220"/>
      <c r="M9" s="220"/>
      <c r="N9" s="220"/>
      <c r="O9" s="220"/>
      <c r="P9" s="220"/>
      <c r="Q9" s="220"/>
      <c r="R9" s="220"/>
    </row>
    <row r="10" spans="1:42" ht="15.75" customHeight="1" thickBot="1" x14ac:dyDescent="0.35">
      <c r="A10" s="356" t="s">
        <v>2844</v>
      </c>
      <c r="B10" s="10">
        <f>DAY(DATE($A$5,MonthFromText(B11)+1,1)-1)</f>
        <v>31</v>
      </c>
      <c r="C10" s="10">
        <f>DAY(DATE($A$5,MonthFromText(C11)+1,1)-1)</f>
        <v>28</v>
      </c>
      <c r="D10" s="10">
        <f>DAY(DATE($A$5,MonthFromText(D11)+1,1)-1)</f>
        <v>31</v>
      </c>
      <c r="E10" s="10"/>
      <c r="F10" s="10">
        <f>DAY(DATE($A$5,MonthFromText(F11)+1,1)-1)</f>
        <v>30</v>
      </c>
      <c r="G10" s="10">
        <f>DAY(DATE($A$5,MonthFromText(G11)+1,1)-1)</f>
        <v>31</v>
      </c>
      <c r="H10" s="10">
        <f>DAY(DATE($A$5,MonthFromText(H11)+1,1)-1)</f>
        <v>30</v>
      </c>
      <c r="I10" s="10"/>
      <c r="J10" s="10">
        <f>DAY(DATE($A$5,MonthFromText(J11)+1,1)-1)</f>
        <v>31</v>
      </c>
      <c r="K10" s="10">
        <f>DAY(DATE($A$5,MonthFromText(K11)+1,1)-1)</f>
        <v>31</v>
      </c>
      <c r="L10" s="10">
        <f>DAY(DATE($A$5,MonthFromText(L11)+1,1)-1)</f>
        <v>30</v>
      </c>
      <c r="M10" s="10"/>
      <c r="N10" s="10">
        <f>DAY(DATE($A$5,MonthFromText(N11)+1,1)-1)</f>
        <v>31</v>
      </c>
      <c r="O10" s="10">
        <f>DAY(DATE($A$5,MonthFromText(O11)+1,1)-1)</f>
        <v>30</v>
      </c>
      <c r="P10" s="10">
        <f>DAY(DATE($A$5,MonthFromText(P11)+1,1)-1)</f>
        <v>31</v>
      </c>
      <c r="Q10" s="10"/>
      <c r="R10" s="10"/>
    </row>
    <row r="11" spans="1:42" ht="15.75" customHeight="1" thickBot="1" x14ac:dyDescent="0.35">
      <c r="A11" s="427" t="s">
        <v>852</v>
      </c>
      <c r="B11" s="449" t="s">
        <v>2843</v>
      </c>
      <c r="C11" s="26" t="s">
        <v>2091</v>
      </c>
      <c r="D11" s="26" t="s">
        <v>2234</v>
      </c>
      <c r="E11" s="33" t="s">
        <v>1594</v>
      </c>
      <c r="F11" s="26" t="s">
        <v>2235</v>
      </c>
      <c r="G11" s="26" t="s">
        <v>2236</v>
      </c>
      <c r="H11" s="26" t="s">
        <v>2237</v>
      </c>
      <c r="I11" s="33" t="s">
        <v>1595</v>
      </c>
      <c r="J11" s="26" t="s">
        <v>1504</v>
      </c>
      <c r="K11" s="26" t="s">
        <v>1505</v>
      </c>
      <c r="L11" s="26" t="s">
        <v>1506</v>
      </c>
      <c r="M11" s="33" t="s">
        <v>1596</v>
      </c>
      <c r="N11" s="26" t="s">
        <v>1507</v>
      </c>
      <c r="O11" s="26" t="s">
        <v>1508</v>
      </c>
      <c r="P11" s="26" t="s">
        <v>1509</v>
      </c>
      <c r="Q11" s="33" t="s">
        <v>1597</v>
      </c>
      <c r="R11" s="34" t="s">
        <v>1510</v>
      </c>
      <c r="AD11" s="10">
        <f t="shared" ref="AD11:AO11" si="0">DAY(DATE($A$5,MonthFromText(AD12)+1,1)-1)</f>
        <v>31</v>
      </c>
      <c r="AE11" s="10">
        <f t="shared" si="0"/>
        <v>28</v>
      </c>
      <c r="AF11" s="10">
        <f t="shared" si="0"/>
        <v>31</v>
      </c>
      <c r="AG11" s="10">
        <f t="shared" si="0"/>
        <v>30</v>
      </c>
      <c r="AH11" s="10">
        <f t="shared" si="0"/>
        <v>31</v>
      </c>
      <c r="AI11" s="10">
        <f t="shared" si="0"/>
        <v>30</v>
      </c>
      <c r="AJ11" s="10">
        <f t="shared" si="0"/>
        <v>31</v>
      </c>
      <c r="AK11" s="10">
        <f t="shared" si="0"/>
        <v>31</v>
      </c>
      <c r="AL11" s="10">
        <f t="shared" si="0"/>
        <v>30</v>
      </c>
      <c r="AM11" s="10">
        <f t="shared" si="0"/>
        <v>31</v>
      </c>
      <c r="AN11" s="10">
        <f t="shared" si="0"/>
        <v>30</v>
      </c>
      <c r="AO11" s="10">
        <f t="shared" si="0"/>
        <v>31</v>
      </c>
      <c r="AP11" s="10"/>
    </row>
    <row r="12" spans="1:42" ht="16.5" customHeight="1" thickBot="1" x14ac:dyDescent="0.35">
      <c r="A12" s="231"/>
      <c r="B12" s="232"/>
      <c r="C12" s="232"/>
      <c r="D12" s="232"/>
      <c r="E12" s="233"/>
      <c r="F12" s="232"/>
      <c r="G12" s="232"/>
      <c r="H12" s="232"/>
      <c r="I12" s="233"/>
      <c r="J12" s="232"/>
      <c r="K12" s="232"/>
      <c r="L12" s="232"/>
      <c r="M12" s="233"/>
      <c r="N12" s="232"/>
      <c r="O12" s="232"/>
      <c r="P12" s="232"/>
      <c r="Q12" s="233"/>
      <c r="R12" s="233"/>
      <c r="AD12" s="449" t="s">
        <v>2843</v>
      </c>
      <c r="AE12" s="26" t="s">
        <v>2091</v>
      </c>
      <c r="AF12" s="26" t="s">
        <v>2234</v>
      </c>
      <c r="AG12" s="26" t="s">
        <v>2235</v>
      </c>
      <c r="AH12" s="26" t="s">
        <v>2236</v>
      </c>
      <c r="AI12" s="26" t="s">
        <v>2237</v>
      </c>
      <c r="AJ12" s="26" t="s">
        <v>1504</v>
      </c>
      <c r="AK12" s="26" t="s">
        <v>1505</v>
      </c>
      <c r="AL12" s="26" t="s">
        <v>1506</v>
      </c>
      <c r="AM12" s="26" t="s">
        <v>1507</v>
      </c>
      <c r="AN12" s="26" t="s">
        <v>1508</v>
      </c>
      <c r="AO12" s="26" t="s">
        <v>1509</v>
      </c>
      <c r="AP12" s="34" t="s">
        <v>1510</v>
      </c>
    </row>
    <row r="13" spans="1:42" ht="15.75" customHeight="1" x14ac:dyDescent="0.3">
      <c r="A13" s="234" t="s">
        <v>1277</v>
      </c>
      <c r="B13" s="172">
        <f>+B788</f>
        <v>50994</v>
      </c>
      <c r="C13" s="172">
        <f>+C788</f>
        <v>53487</v>
      </c>
      <c r="D13" s="172">
        <f>+D788</f>
        <v>105997</v>
      </c>
      <c r="E13" s="15">
        <f>SUM(B13:D13)</f>
        <v>210478</v>
      </c>
      <c r="F13" s="172">
        <f>+F788</f>
        <v>176631</v>
      </c>
      <c r="G13" s="172">
        <f>+G788</f>
        <v>187821</v>
      </c>
      <c r="H13" s="172">
        <f>+H788</f>
        <v>210914</v>
      </c>
      <c r="I13" s="15">
        <f t="shared" ref="I13:I19" si="1">SUM(F13:H13)</f>
        <v>575366</v>
      </c>
      <c r="J13" s="172">
        <f>+J788</f>
        <v>179001</v>
      </c>
      <c r="K13" s="172">
        <f>+K788</f>
        <v>179261</v>
      </c>
      <c r="L13" s="172">
        <f>+L788</f>
        <v>118144</v>
      </c>
      <c r="M13" s="15">
        <f t="shared" ref="M13:M20" si="2">SUM(J13:L13)</f>
        <v>476406</v>
      </c>
      <c r="N13" s="172">
        <f>+N788</f>
        <v>105253</v>
      </c>
      <c r="O13" s="172">
        <f>+O788</f>
        <v>59424</v>
      </c>
      <c r="P13" s="172">
        <f>+P788</f>
        <v>93077</v>
      </c>
      <c r="Q13" s="29">
        <f t="shared" ref="Q13:Q19" si="3">SUM(N13:P13)</f>
        <v>257754</v>
      </c>
      <c r="R13" s="15">
        <f t="shared" ref="R13:R20" si="4">+E13+I13+M13+Q13</f>
        <v>1520004</v>
      </c>
      <c r="V13" s="617"/>
      <c r="W13" s="617"/>
      <c r="X13" s="617"/>
      <c r="AD13" s="617">
        <f>+B13/$R$13</f>
        <v>3.3548595924747564E-2</v>
      </c>
      <c r="AE13" s="617">
        <f>+C13/$R$13</f>
        <v>3.5188723187570561E-2</v>
      </c>
      <c r="AF13" s="617">
        <f>+D13/$R$13</f>
        <v>6.9734684908723921E-2</v>
      </c>
      <c r="AG13" s="617">
        <f>+F13/$R$13</f>
        <v>0.11620429946236983</v>
      </c>
      <c r="AH13" s="617">
        <f>+G13/$R$13</f>
        <v>0.12356612219441528</v>
      </c>
      <c r="AI13" s="617">
        <f>+H13/$R$13</f>
        <v>0.13875884537145955</v>
      </c>
      <c r="AJ13" s="617">
        <f>+J13/$R$13</f>
        <v>0.11776350588551082</v>
      </c>
      <c r="AK13" s="617">
        <f>+K13/$R$13</f>
        <v>0.11793455806695245</v>
      </c>
      <c r="AL13" s="617">
        <f>+L13/$R$13</f>
        <v>7.7726111247075666E-2</v>
      </c>
      <c r="AM13" s="617">
        <f>+N13/$R$13</f>
        <v>6.9245212512598645E-2</v>
      </c>
      <c r="AN13" s="617">
        <f>+O13/$R$13</f>
        <v>3.9094633961489572E-2</v>
      </c>
      <c r="AO13" s="617">
        <f>+P13/$R$13</f>
        <v>6.123470727708611E-2</v>
      </c>
      <c r="AP13" s="617">
        <f>+R13/$R$13</f>
        <v>1</v>
      </c>
    </row>
    <row r="14" spans="1:42" ht="15.75" customHeight="1" x14ac:dyDescent="0.3">
      <c r="A14" s="234" t="s">
        <v>1278</v>
      </c>
      <c r="B14" s="172">
        <f>B25+B60+B126+B266+B398+B445+B487+B540+B550+B586+B630+B640+B674+B720</f>
        <v>739</v>
      </c>
      <c r="C14" s="172">
        <f>C25+C60+C126+C266+C398+C445+C487+C540+C550+C586+C630+C640+C674+C720</f>
        <v>1283</v>
      </c>
      <c r="D14" s="172">
        <f>D25+D60+D126+D266+D398+D445+D487+D540+D550+D586+D630+D640+D674+D720</f>
        <v>2185</v>
      </c>
      <c r="E14" s="15">
        <f t="shared" ref="E14:E19" si="5">SUM(B14:D14)</f>
        <v>4207</v>
      </c>
      <c r="F14" s="172">
        <f>F25+F60+F126+F266+F398+F445+F487+F540+F550+F586+F630+F640+F674+F720</f>
        <v>2959</v>
      </c>
      <c r="G14" s="172">
        <f>G25+G60+G126+G266+G398+G445+G487+G540+G550+G586+G630+G640+G674+G720</f>
        <v>3425</v>
      </c>
      <c r="H14" s="172">
        <f>H25+H60+H126+H266+H398+H445+H487+H540+H550+H586+H630+H640+H674+H720</f>
        <v>3464</v>
      </c>
      <c r="I14" s="15">
        <f t="shared" si="1"/>
        <v>9848</v>
      </c>
      <c r="J14" s="172">
        <f>J25+J60+J126+J266+J398+J445+J487+J540+J550+J586+J630+J640+J674+J720</f>
        <v>3382</v>
      </c>
      <c r="K14" s="172">
        <f>K25+K60+K126+K266+K398+K445+K487+K540+K550+K586+K630+K640+K674+K720</f>
        <v>2663</v>
      </c>
      <c r="L14" s="172">
        <f>L25+L60+L126+L266+L398+L445+L487+L540+L550+L586+L630+L640+L674+L720</f>
        <v>2559</v>
      </c>
      <c r="M14" s="15">
        <f t="shared" si="2"/>
        <v>8604</v>
      </c>
      <c r="N14" s="172">
        <f>N25+N60+N126+N266+N398+N445+N487+N540+N550+N586+N630+N640+N674+N720</f>
        <v>2343</v>
      </c>
      <c r="O14" s="172">
        <f>O25+O60+O126+O266+O398+O445+O487+O540+O550+O586+O630+O640+O674+O720</f>
        <v>1892</v>
      </c>
      <c r="P14" s="172">
        <f>P25+P60+P126+P266+P398+P445+P487+P540+P550+P586+P630+P640+P674+P720</f>
        <v>1423</v>
      </c>
      <c r="Q14" s="29">
        <f t="shared" si="3"/>
        <v>5658</v>
      </c>
      <c r="R14" s="15">
        <f t="shared" si="4"/>
        <v>28317</v>
      </c>
    </row>
    <row r="15" spans="1:42" ht="15.75" customHeight="1" x14ac:dyDescent="0.3">
      <c r="A15" s="234" t="s">
        <v>397</v>
      </c>
      <c r="B15" s="172">
        <f>B261</f>
        <v>0</v>
      </c>
      <c r="C15" s="172">
        <f>C261</f>
        <v>2171</v>
      </c>
      <c r="D15" s="172">
        <f>D261</f>
        <v>3910</v>
      </c>
      <c r="E15" s="15">
        <f t="shared" si="5"/>
        <v>6081</v>
      </c>
      <c r="F15" s="172">
        <f>F261</f>
        <v>5152</v>
      </c>
      <c r="G15" s="172">
        <f>G261</f>
        <v>5526</v>
      </c>
      <c r="H15" s="172">
        <f>H261</f>
        <v>5209</v>
      </c>
      <c r="I15" s="15">
        <f t="shared" si="1"/>
        <v>15887</v>
      </c>
      <c r="J15" s="172">
        <f>J261</f>
        <v>3458</v>
      </c>
      <c r="K15" s="172">
        <f>K261</f>
        <v>2691</v>
      </c>
      <c r="L15" s="172">
        <f>L261</f>
        <v>2136</v>
      </c>
      <c r="M15" s="15">
        <f t="shared" si="2"/>
        <v>8285</v>
      </c>
      <c r="N15" s="172">
        <f>N261</f>
        <v>3957</v>
      </c>
      <c r="O15" s="172">
        <f>O261</f>
        <v>2555</v>
      </c>
      <c r="P15" s="172">
        <f>P261</f>
        <v>111</v>
      </c>
      <c r="Q15" s="29">
        <f t="shared" si="3"/>
        <v>6623</v>
      </c>
      <c r="R15" s="15">
        <f t="shared" si="4"/>
        <v>36876</v>
      </c>
    </row>
    <row r="16" spans="1:42" ht="15.75" customHeight="1" x14ac:dyDescent="0.3">
      <c r="A16" s="235" t="s">
        <v>967</v>
      </c>
      <c r="B16" s="172">
        <f>+B262</f>
        <v>0</v>
      </c>
      <c r="C16" s="172">
        <f>+C262</f>
        <v>0</v>
      </c>
      <c r="D16" s="172">
        <f>+D262</f>
        <v>0</v>
      </c>
      <c r="E16" s="15">
        <f t="shared" si="5"/>
        <v>0</v>
      </c>
      <c r="F16" s="172">
        <f>+F262</f>
        <v>0</v>
      </c>
      <c r="G16" s="172">
        <f>+G262</f>
        <v>0</v>
      </c>
      <c r="H16" s="172">
        <f>+H262</f>
        <v>-11007</v>
      </c>
      <c r="I16" s="15">
        <f t="shared" si="1"/>
        <v>-11007</v>
      </c>
      <c r="J16" s="172">
        <f>+J262</f>
        <v>-6524</v>
      </c>
      <c r="K16" s="172">
        <f>+K262</f>
        <v>0</v>
      </c>
      <c r="L16" s="172">
        <f>+L262</f>
        <v>0</v>
      </c>
      <c r="M16" s="15">
        <f t="shared" si="2"/>
        <v>-6524</v>
      </c>
      <c r="N16" s="172">
        <f>+N262</f>
        <v>-2500</v>
      </c>
      <c r="O16" s="172">
        <f>+O262</f>
        <v>0</v>
      </c>
      <c r="P16" s="172">
        <f>+P262</f>
        <v>0</v>
      </c>
      <c r="Q16" s="29">
        <f t="shared" si="3"/>
        <v>-2500</v>
      </c>
      <c r="R16" s="15">
        <f t="shared" si="4"/>
        <v>-20031</v>
      </c>
    </row>
    <row r="17" spans="1:20" ht="15.75" customHeight="1" x14ac:dyDescent="0.3">
      <c r="A17" s="236" t="s">
        <v>1176</v>
      </c>
      <c r="B17" s="172">
        <f>B265</f>
        <v>54064</v>
      </c>
      <c r="C17" s="172">
        <f>C265</f>
        <v>89116</v>
      </c>
      <c r="D17" s="172">
        <f>D265</f>
        <v>66664</v>
      </c>
      <c r="E17" s="15">
        <f t="shared" si="5"/>
        <v>209844</v>
      </c>
      <c r="F17" s="172">
        <f>F265</f>
        <v>316</v>
      </c>
      <c r="G17" s="172">
        <f>G265</f>
        <v>0</v>
      </c>
      <c r="H17" s="172">
        <f>H265</f>
        <v>0</v>
      </c>
      <c r="I17" s="15">
        <f t="shared" si="1"/>
        <v>316</v>
      </c>
      <c r="J17" s="172">
        <f>J265</f>
        <v>0</v>
      </c>
      <c r="K17" s="172">
        <f>K265</f>
        <v>0</v>
      </c>
      <c r="L17" s="172">
        <f>L265</f>
        <v>27530</v>
      </c>
      <c r="M17" s="15">
        <f t="shared" si="2"/>
        <v>27530</v>
      </c>
      <c r="N17" s="172">
        <f>N265</f>
        <v>78545</v>
      </c>
      <c r="O17" s="172">
        <f>O265</f>
        <v>80601</v>
      </c>
      <c r="P17" s="172">
        <f>P265</f>
        <v>43033</v>
      </c>
      <c r="Q17" s="29">
        <f t="shared" si="3"/>
        <v>202179</v>
      </c>
      <c r="R17" s="15">
        <f t="shared" si="4"/>
        <v>439869</v>
      </c>
    </row>
    <row r="18" spans="1:20" ht="15.75" customHeight="1" x14ac:dyDescent="0.3">
      <c r="A18" s="236" t="s">
        <v>662</v>
      </c>
      <c r="B18" s="172">
        <f>B277</f>
        <v>-24714</v>
      </c>
      <c r="C18" s="172">
        <f>C277</f>
        <v>0</v>
      </c>
      <c r="D18" s="172">
        <f>D277</f>
        <v>0</v>
      </c>
      <c r="E18" s="15">
        <f t="shared" si="5"/>
        <v>-24714</v>
      </c>
      <c r="F18" s="172">
        <f>F277</f>
        <v>-34341</v>
      </c>
      <c r="G18" s="172">
        <f>G277</f>
        <v>-20589</v>
      </c>
      <c r="H18" s="172">
        <f>H277</f>
        <v>-78357</v>
      </c>
      <c r="I18" s="15">
        <f t="shared" si="1"/>
        <v>-133287</v>
      </c>
      <c r="J18" s="172">
        <f>J277</f>
        <v>-94386</v>
      </c>
      <c r="K18" s="172">
        <f>K277</f>
        <v>-87700</v>
      </c>
      <c r="L18" s="172">
        <f>L277</f>
        <v>-371</v>
      </c>
      <c r="M18" s="15">
        <f t="shared" si="2"/>
        <v>-182457</v>
      </c>
      <c r="N18" s="172">
        <f>N277</f>
        <v>0</v>
      </c>
      <c r="O18" s="172">
        <f>O277</f>
        <v>0</v>
      </c>
      <c r="P18" s="172">
        <f>P277</f>
        <v>0</v>
      </c>
      <c r="Q18" s="29">
        <f t="shared" si="3"/>
        <v>0</v>
      </c>
      <c r="R18" s="15">
        <f t="shared" si="4"/>
        <v>-340458</v>
      </c>
    </row>
    <row r="19" spans="1:20" ht="16.5" customHeight="1" thickBot="1" x14ac:dyDescent="0.35">
      <c r="A19" s="237" t="s">
        <v>851</v>
      </c>
      <c r="B19" s="238">
        <f>(B29)</f>
        <v>81083</v>
      </c>
      <c r="C19" s="238">
        <f>(C29)</f>
        <v>146057</v>
      </c>
      <c r="D19" s="238">
        <f>(D29)</f>
        <v>178756</v>
      </c>
      <c r="E19" s="16">
        <f t="shared" si="5"/>
        <v>405896</v>
      </c>
      <c r="F19" s="238">
        <f>(F29)</f>
        <v>150717</v>
      </c>
      <c r="G19" s="238">
        <f>(G29)</f>
        <v>176183</v>
      </c>
      <c r="H19" s="238">
        <f>(H29)</f>
        <v>130223</v>
      </c>
      <c r="I19" s="16">
        <f t="shared" si="1"/>
        <v>457123</v>
      </c>
      <c r="J19" s="238">
        <f>(J29)</f>
        <v>84931</v>
      </c>
      <c r="K19" s="238">
        <f>(K29)</f>
        <v>96915</v>
      </c>
      <c r="L19" s="238">
        <f>(L29)</f>
        <v>149998</v>
      </c>
      <c r="M19" s="16">
        <f t="shared" si="2"/>
        <v>331844</v>
      </c>
      <c r="N19" s="238">
        <f>(N29)</f>
        <v>187598</v>
      </c>
      <c r="O19" s="238">
        <f>(O29)</f>
        <v>144410</v>
      </c>
      <c r="P19" s="238">
        <f>(P29)</f>
        <v>137651</v>
      </c>
      <c r="Q19" s="30">
        <f t="shared" si="3"/>
        <v>469659</v>
      </c>
      <c r="R19" s="16">
        <f t="shared" si="4"/>
        <v>1664522</v>
      </c>
    </row>
    <row r="20" spans="1:20" ht="16.5" customHeight="1" thickBot="1" x14ac:dyDescent="0.35">
      <c r="A20" s="237" t="s">
        <v>496</v>
      </c>
      <c r="B20" s="238">
        <v>79888</v>
      </c>
      <c r="C20" s="238">
        <v>146879</v>
      </c>
      <c r="D20" s="238">
        <v>179730</v>
      </c>
      <c r="E20" s="16">
        <f>SUM(B20:D20)</f>
        <v>406497</v>
      </c>
      <c r="F20" s="238">
        <v>148444</v>
      </c>
      <c r="G20" s="238">
        <v>174238</v>
      </c>
      <c r="H20" s="238">
        <v>129487</v>
      </c>
      <c r="I20" s="16">
        <f>SUM(F20:H20)</f>
        <v>452169</v>
      </c>
      <c r="J20" s="238">
        <v>80301</v>
      </c>
      <c r="K20" s="238">
        <v>95266</v>
      </c>
      <c r="L20" s="238">
        <v>149252</v>
      </c>
      <c r="M20" s="16">
        <f t="shared" si="2"/>
        <v>324819</v>
      </c>
      <c r="N20" s="238">
        <v>186039</v>
      </c>
      <c r="O20" s="238">
        <v>143877</v>
      </c>
      <c r="P20" s="238">
        <v>137866</v>
      </c>
      <c r="Q20" s="30">
        <f>SUM(N20:P20)</f>
        <v>467782</v>
      </c>
      <c r="R20" s="16">
        <f t="shared" si="4"/>
        <v>1651267</v>
      </c>
    </row>
    <row r="21" spans="1:20" ht="15.75" customHeight="1" x14ac:dyDescent="0.3">
      <c r="A21" s="172"/>
      <c r="B21" s="172"/>
      <c r="C21" s="172"/>
      <c r="D21" s="172"/>
      <c r="E21" s="172"/>
      <c r="F21" s="172"/>
      <c r="G21" s="172"/>
      <c r="H21" s="172"/>
      <c r="I21" s="172"/>
      <c r="J21" s="172"/>
      <c r="K21" s="172"/>
      <c r="L21" s="172"/>
      <c r="M21" s="172"/>
      <c r="N21" s="172"/>
      <c r="O21" s="172"/>
      <c r="P21" s="172"/>
      <c r="Q21" s="172"/>
      <c r="R21" s="17"/>
    </row>
    <row r="22" spans="1:20" ht="15.75" customHeight="1" thickBot="1" x14ac:dyDescent="0.35">
      <c r="A22" s="172"/>
      <c r="B22" s="172"/>
      <c r="C22" s="172"/>
      <c r="D22" s="172"/>
      <c r="E22" s="172"/>
      <c r="F22" s="239" t="s">
        <v>852</v>
      </c>
      <c r="G22" s="239" t="s">
        <v>852</v>
      </c>
      <c r="H22" s="172"/>
      <c r="I22" s="172"/>
      <c r="J22" s="172"/>
      <c r="K22" s="172"/>
      <c r="L22" s="172"/>
      <c r="M22" s="172"/>
      <c r="N22" s="239" t="s">
        <v>852</v>
      </c>
      <c r="O22" s="239" t="s">
        <v>852</v>
      </c>
      <c r="P22" s="239" t="s">
        <v>852</v>
      </c>
      <c r="Q22" s="239"/>
      <c r="R22" s="18" t="s">
        <v>852</v>
      </c>
    </row>
    <row r="23" spans="1:20" ht="16.5" customHeight="1" thickBot="1" x14ac:dyDescent="0.35">
      <c r="A23" s="240" t="s">
        <v>1878</v>
      </c>
      <c r="B23" s="4" t="s">
        <v>2090</v>
      </c>
      <c r="C23" s="5" t="s">
        <v>2091</v>
      </c>
      <c r="D23" s="5" t="s">
        <v>2234</v>
      </c>
      <c r="E23" s="33" t="s">
        <v>1594</v>
      </c>
      <c r="F23" s="5" t="s">
        <v>2235</v>
      </c>
      <c r="G23" s="5" t="s">
        <v>2236</v>
      </c>
      <c r="H23" s="5" t="s">
        <v>2237</v>
      </c>
      <c r="I23" s="35" t="s">
        <v>1595</v>
      </c>
      <c r="J23" s="5" t="s">
        <v>1504</v>
      </c>
      <c r="K23" s="5" t="s">
        <v>1505</v>
      </c>
      <c r="L23" s="5" t="s">
        <v>1506</v>
      </c>
      <c r="M23" s="35" t="s">
        <v>1596</v>
      </c>
      <c r="N23" s="5" t="s">
        <v>1507</v>
      </c>
      <c r="O23" s="5" t="s">
        <v>1508</v>
      </c>
      <c r="P23" s="5" t="s">
        <v>1509</v>
      </c>
      <c r="Q23" s="35" t="s">
        <v>1597</v>
      </c>
      <c r="R23" s="36" t="s">
        <v>1510</v>
      </c>
    </row>
    <row r="24" spans="1:20" ht="16.5" customHeight="1" thickBot="1" x14ac:dyDescent="0.35">
      <c r="A24" s="241"/>
      <c r="B24" s="242"/>
      <c r="C24" s="242"/>
      <c r="D24" s="242"/>
      <c r="E24" s="243"/>
      <c r="F24" s="242"/>
      <c r="G24" s="242"/>
      <c r="H24" s="242"/>
      <c r="I24" s="243"/>
      <c r="J24" s="242"/>
      <c r="K24" s="242"/>
      <c r="L24" s="242"/>
      <c r="M24" s="243"/>
      <c r="N24" s="242"/>
      <c r="O24" s="242"/>
      <c r="P24" s="242"/>
      <c r="Q24" s="243"/>
      <c r="R24" s="19"/>
    </row>
    <row r="25" spans="1:20" ht="16.5" customHeight="1" thickBot="1" x14ac:dyDescent="0.35">
      <c r="A25" s="244" t="s">
        <v>853</v>
      </c>
      <c r="B25" s="238">
        <v>97</v>
      </c>
      <c r="C25" s="238">
        <v>148</v>
      </c>
      <c r="D25" s="238">
        <v>274</v>
      </c>
      <c r="E25" s="14">
        <f>SUM(B25:D25)</f>
        <v>519</v>
      </c>
      <c r="F25" s="238">
        <v>367</v>
      </c>
      <c r="G25" s="238">
        <v>425</v>
      </c>
      <c r="H25" s="238">
        <v>417</v>
      </c>
      <c r="I25" s="14">
        <f>SUM(F25:H25)</f>
        <v>1209</v>
      </c>
      <c r="J25" s="238">
        <v>416</v>
      </c>
      <c r="K25" s="238">
        <v>334</v>
      </c>
      <c r="L25" s="238">
        <v>316</v>
      </c>
      <c r="M25" s="14">
        <f>SUM(J25:L25)</f>
        <v>1066</v>
      </c>
      <c r="N25" s="238">
        <v>285</v>
      </c>
      <c r="O25" s="238">
        <v>235</v>
      </c>
      <c r="P25" s="238">
        <v>186</v>
      </c>
      <c r="Q25" s="14">
        <f>SUM(N25:P25)</f>
        <v>706</v>
      </c>
      <c r="R25" s="16">
        <f>+E25+I25+M25+Q25</f>
        <v>3500</v>
      </c>
    </row>
    <row r="26" spans="1:20" ht="16.5" customHeight="1" thickBot="1" x14ac:dyDescent="0.35">
      <c r="A26" s="22"/>
      <c r="B26" s="242"/>
      <c r="C26" s="242"/>
      <c r="D26" s="242"/>
      <c r="E26" s="21"/>
      <c r="F26" s="242"/>
      <c r="G26" s="242"/>
      <c r="H26" s="242"/>
      <c r="I26" s="21"/>
      <c r="J26" s="242"/>
      <c r="K26" s="242"/>
      <c r="L26" s="242"/>
      <c r="M26" s="21"/>
      <c r="N26" s="242"/>
      <c r="O26" s="242"/>
      <c r="P26" s="242"/>
      <c r="Q26" s="21"/>
      <c r="R26" s="13"/>
    </row>
    <row r="27" spans="1:20" ht="15.75" customHeight="1" x14ac:dyDescent="0.3">
      <c r="A27" s="234" t="s">
        <v>2011</v>
      </c>
      <c r="B27" s="172">
        <f>B25</f>
        <v>97</v>
      </c>
      <c r="C27" s="172">
        <f>C25</f>
        <v>148</v>
      </c>
      <c r="D27" s="172">
        <f>D25</f>
        <v>274</v>
      </c>
      <c r="E27" s="14">
        <f>SUM(B27:D27)</f>
        <v>519</v>
      </c>
      <c r="F27" s="172">
        <f>F25</f>
        <v>367</v>
      </c>
      <c r="G27" s="172">
        <f>G25</f>
        <v>425</v>
      </c>
      <c r="H27" s="172">
        <f>H25</f>
        <v>417</v>
      </c>
      <c r="I27" s="14">
        <f>SUM(F27:H27)</f>
        <v>1209</v>
      </c>
      <c r="J27" s="172">
        <f>J25</f>
        <v>416</v>
      </c>
      <c r="K27" s="172">
        <f>K25</f>
        <v>334</v>
      </c>
      <c r="L27" s="172">
        <f>L25</f>
        <v>316</v>
      </c>
      <c r="M27" s="14">
        <f>SUM(J27:L27)</f>
        <v>1066</v>
      </c>
      <c r="N27" s="172">
        <f>N25</f>
        <v>285</v>
      </c>
      <c r="O27" s="172">
        <f>O25</f>
        <v>235</v>
      </c>
      <c r="P27" s="172">
        <f>P25</f>
        <v>186</v>
      </c>
      <c r="Q27" s="28">
        <f>SUM(N27:P27)</f>
        <v>706</v>
      </c>
      <c r="R27" s="14">
        <f>+E27+I27+M27+Q27</f>
        <v>3500</v>
      </c>
    </row>
    <row r="28" spans="1:20" ht="15.75" customHeight="1" x14ac:dyDescent="0.3">
      <c r="A28" s="234" t="s">
        <v>1897</v>
      </c>
      <c r="B28" s="172">
        <f>(B27/B10)/1.983</f>
        <v>1.5779285214647079</v>
      </c>
      <c r="C28" s="172">
        <f>(C27/C10)/1.983</f>
        <v>2.6655140119587926</v>
      </c>
      <c r="D28" s="172">
        <f>(D27/D10)/1.983</f>
        <v>4.457241390529175</v>
      </c>
      <c r="E28" s="15"/>
      <c r="F28" s="172">
        <f>(F27/F10)/1.983</f>
        <v>6.1691040511010247</v>
      </c>
      <c r="G28" s="172">
        <f>(G27/G10)/1.983</f>
        <v>6.9136043466237203</v>
      </c>
      <c r="H28" s="172">
        <f>(H27/H10)/1.983</f>
        <v>7.0095814422592033</v>
      </c>
      <c r="I28" s="15"/>
      <c r="J28" s="172">
        <f>(J27/J10)/1.983</f>
        <v>6.7671986075187478</v>
      </c>
      <c r="K28" s="172">
        <f>(K27/K10)/1.983</f>
        <v>5.433279651228994</v>
      </c>
      <c r="L28" s="172">
        <f>(L27/L10)/1.983</f>
        <v>5.3118171121196838</v>
      </c>
      <c r="M28" s="15"/>
      <c r="N28" s="172">
        <f>(N27/N10)/1.983</f>
        <v>4.6361817383241419</v>
      </c>
      <c r="O28" s="172">
        <f>(O27/O10)/1.983</f>
        <v>3.9502437384434357</v>
      </c>
      <c r="P28" s="172">
        <f>(P27/P10)/1.983</f>
        <v>3.02571860816944</v>
      </c>
      <c r="Q28" s="29"/>
      <c r="R28" s="15"/>
    </row>
    <row r="29" spans="1:20" ht="15.75" customHeight="1" x14ac:dyDescent="0.3">
      <c r="A29" s="234" t="s">
        <v>1119</v>
      </c>
      <c r="B29" s="172">
        <f>B27+B64</f>
        <v>81083</v>
      </c>
      <c r="C29" s="172">
        <f>C27+C64</f>
        <v>146057</v>
      </c>
      <c r="D29" s="172">
        <f>D27+D64</f>
        <v>178756</v>
      </c>
      <c r="E29" s="15">
        <f>SUM(B29:D29)</f>
        <v>405896</v>
      </c>
      <c r="F29" s="172">
        <f>F27+F64</f>
        <v>150717</v>
      </c>
      <c r="G29" s="172">
        <f>G27+G64</f>
        <v>176183</v>
      </c>
      <c r="H29" s="172">
        <f>H27+H64</f>
        <v>130223</v>
      </c>
      <c r="I29" s="15">
        <f>SUM(F29:H29)</f>
        <v>457123</v>
      </c>
      <c r="J29" s="172">
        <f>J27+J64</f>
        <v>84931</v>
      </c>
      <c r="K29" s="172">
        <f>K27+K64</f>
        <v>96915</v>
      </c>
      <c r="L29" s="172">
        <f>L27+L64</f>
        <v>149998</v>
      </c>
      <c r="M29" s="15">
        <f>SUM(J29:L29)</f>
        <v>331844</v>
      </c>
      <c r="N29" s="172">
        <f>N27+N64</f>
        <v>187598</v>
      </c>
      <c r="O29" s="172">
        <f>O27+O64</f>
        <v>144410</v>
      </c>
      <c r="P29" s="172">
        <f>P27+P64</f>
        <v>137651</v>
      </c>
      <c r="Q29" s="29">
        <f>SUM(N29:P29)</f>
        <v>469659</v>
      </c>
      <c r="R29" s="15">
        <f>+E29+I29+M29+Q29</f>
        <v>1664522</v>
      </c>
    </row>
    <row r="30" spans="1:20" s="574" customFormat="1" ht="16.5" customHeight="1" thickBot="1" x14ac:dyDescent="0.35">
      <c r="A30" s="570" t="s">
        <v>1968</v>
      </c>
      <c r="B30" s="571">
        <f>(B29/B10)/1.983</f>
        <v>1319.0018382053909</v>
      </c>
      <c r="C30" s="571">
        <f>(C29/C10)/1.983</f>
        <v>2630.5201354369278</v>
      </c>
      <c r="D30" s="571">
        <f>(D29/D10)/1.983</f>
        <v>2907.8782554942818</v>
      </c>
      <c r="E30" s="572"/>
      <c r="F30" s="571">
        <f>(F29/F10)/1.983</f>
        <v>2533.4846192637415</v>
      </c>
      <c r="G30" s="571">
        <f>(G29/G10)/1.983</f>
        <v>2866.0224814146045</v>
      </c>
      <c r="H30" s="571">
        <f>(H29/H10)/1.983</f>
        <v>2188.9897461758278</v>
      </c>
      <c r="I30" s="572"/>
      <c r="J30" s="571">
        <f>(J29/J10)/1.983</f>
        <v>1381.5984253249392</v>
      </c>
      <c r="K30" s="571">
        <f>(K29/K10)/1.983</f>
        <v>1576.5458005953833</v>
      </c>
      <c r="L30" s="571">
        <f>(L29/L10)/1.983</f>
        <v>2521.3985543788872</v>
      </c>
      <c r="M30" s="572"/>
      <c r="N30" s="571">
        <f>(N29/N10)/1.983</f>
        <v>3051.7137605127455</v>
      </c>
      <c r="O30" s="571">
        <f>(O29/O10)/1.983</f>
        <v>2427.4668011430495</v>
      </c>
      <c r="P30" s="571">
        <f>(P29/P10)/1.983</f>
        <v>2239.2107103931803</v>
      </c>
      <c r="Q30" s="573"/>
      <c r="R30" s="572"/>
      <c r="T30" s="575" t="s">
        <v>2172</v>
      </c>
    </row>
    <row r="31" spans="1:20" ht="15.75" customHeight="1" x14ac:dyDescent="0.3">
      <c r="A31" s="17"/>
      <c r="B31" s="172"/>
      <c r="C31" s="172"/>
      <c r="D31" s="172"/>
      <c r="E31" s="172"/>
      <c r="F31" s="172"/>
      <c r="G31" s="172"/>
      <c r="H31" s="172"/>
      <c r="I31" s="172"/>
      <c r="J31" s="172"/>
      <c r="K31" s="172"/>
      <c r="L31" s="172"/>
      <c r="M31" s="172"/>
      <c r="N31" s="172"/>
      <c r="O31" s="172"/>
      <c r="P31" s="172"/>
      <c r="Q31" s="172"/>
      <c r="R31" s="17"/>
      <c r="T31" s="350" t="s">
        <v>2173</v>
      </c>
    </row>
    <row r="32" spans="1:20" ht="15.75" customHeight="1" thickBot="1" x14ac:dyDescent="0.35">
      <c r="A32" s="17"/>
      <c r="B32" s="172"/>
      <c r="C32" s="172"/>
      <c r="D32" s="172"/>
      <c r="E32" s="172"/>
      <c r="F32" s="172"/>
      <c r="G32" s="172"/>
      <c r="H32" s="172"/>
      <c r="I32" s="172"/>
      <c r="J32" s="172"/>
      <c r="K32" s="172"/>
      <c r="L32" s="172"/>
      <c r="M32" s="172"/>
      <c r="N32" s="172"/>
      <c r="O32" s="172"/>
      <c r="P32" s="172"/>
      <c r="Q32" s="172"/>
      <c r="R32" s="17"/>
    </row>
    <row r="33" spans="1:18" ht="15.75" customHeight="1" thickBot="1" x14ac:dyDescent="0.35">
      <c r="A33" s="245" t="s">
        <v>681</v>
      </c>
      <c r="B33" s="25" t="s">
        <v>2090</v>
      </c>
      <c r="C33" s="26" t="s">
        <v>2091</v>
      </c>
      <c r="D33" s="26" t="s">
        <v>2234</v>
      </c>
      <c r="E33" s="33" t="s">
        <v>1594</v>
      </c>
      <c r="F33" s="26" t="s">
        <v>2235</v>
      </c>
      <c r="G33" s="26" t="s">
        <v>2236</v>
      </c>
      <c r="H33" s="26" t="s">
        <v>2237</v>
      </c>
      <c r="I33" s="33" t="s">
        <v>1595</v>
      </c>
      <c r="J33" s="26" t="s">
        <v>1504</v>
      </c>
      <c r="K33" s="26" t="s">
        <v>1505</v>
      </c>
      <c r="L33" s="26" t="s">
        <v>1506</v>
      </c>
      <c r="M33" s="33" t="s">
        <v>1596</v>
      </c>
      <c r="N33" s="26" t="s">
        <v>1507</v>
      </c>
      <c r="O33" s="26" t="s">
        <v>1508</v>
      </c>
      <c r="P33" s="26" t="s">
        <v>1509</v>
      </c>
      <c r="Q33" s="33" t="s">
        <v>1597</v>
      </c>
      <c r="R33" s="34" t="s">
        <v>1510</v>
      </c>
    </row>
    <row r="34" spans="1:18" ht="16.5" customHeight="1" thickBot="1" x14ac:dyDescent="0.35">
      <c r="A34" s="21"/>
      <c r="B34" s="246"/>
      <c r="C34" s="232"/>
      <c r="D34" s="232"/>
      <c r="E34" s="233"/>
      <c r="F34" s="232"/>
      <c r="G34" s="232"/>
      <c r="H34" s="232"/>
      <c r="I34" s="233"/>
      <c r="J34" s="232"/>
      <c r="K34" s="232"/>
      <c r="L34" s="232"/>
      <c r="M34" s="233"/>
      <c r="N34" s="232"/>
      <c r="O34" s="232"/>
      <c r="P34" s="232"/>
      <c r="Q34" s="233"/>
      <c r="R34" s="75"/>
    </row>
    <row r="35" spans="1:18" ht="15.75" customHeight="1" x14ac:dyDescent="0.3">
      <c r="A35" s="247" t="s">
        <v>2417</v>
      </c>
      <c r="B35" s="18"/>
      <c r="C35" s="18"/>
      <c r="D35" s="18"/>
      <c r="E35" s="38" t="s">
        <v>852</v>
      </c>
      <c r="F35" s="18"/>
      <c r="G35" s="18"/>
      <c r="H35" s="18"/>
      <c r="I35" s="38" t="s">
        <v>852</v>
      </c>
      <c r="J35" s="18"/>
      <c r="K35" s="18"/>
      <c r="L35" s="18"/>
      <c r="M35" s="38" t="s">
        <v>852</v>
      </c>
      <c r="N35" s="18"/>
      <c r="O35" s="18"/>
      <c r="P35" s="18"/>
      <c r="Q35" s="38" t="s">
        <v>852</v>
      </c>
      <c r="R35" s="38" t="s">
        <v>852</v>
      </c>
    </row>
    <row r="36" spans="1:18" ht="15.75" customHeight="1" x14ac:dyDescent="0.3">
      <c r="A36" s="235" t="s">
        <v>2160</v>
      </c>
      <c r="B36" s="18" t="s">
        <v>852</v>
      </c>
      <c r="C36" s="248"/>
      <c r="D36" s="248"/>
      <c r="E36" s="38" t="s">
        <v>852</v>
      </c>
      <c r="F36" s="248"/>
      <c r="G36" s="248"/>
      <c r="H36" s="248"/>
      <c r="I36" s="38" t="s">
        <v>852</v>
      </c>
      <c r="J36" s="248"/>
      <c r="K36" s="248"/>
      <c r="L36" s="248"/>
      <c r="M36" s="38" t="s">
        <v>852</v>
      </c>
      <c r="N36" s="248"/>
      <c r="O36" s="248"/>
      <c r="P36" s="248"/>
      <c r="Q36" s="38" t="s">
        <v>852</v>
      </c>
      <c r="R36" s="38" t="s">
        <v>852</v>
      </c>
    </row>
    <row r="37" spans="1:18" ht="15.75" customHeight="1" x14ac:dyDescent="0.3">
      <c r="A37" s="235" t="s">
        <v>2161</v>
      </c>
      <c r="B37" s="18"/>
      <c r="C37" s="18"/>
      <c r="D37" s="18"/>
      <c r="E37" s="38" t="s">
        <v>852</v>
      </c>
      <c r="F37" s="18"/>
      <c r="G37" s="18"/>
      <c r="H37" s="18"/>
      <c r="I37" s="38" t="s">
        <v>852</v>
      </c>
      <c r="J37" s="18"/>
      <c r="K37" s="18"/>
      <c r="L37" s="18"/>
      <c r="M37" s="38" t="s">
        <v>852</v>
      </c>
      <c r="N37" s="18"/>
      <c r="O37" s="18"/>
      <c r="P37" s="18"/>
      <c r="Q37" s="38" t="s">
        <v>852</v>
      </c>
      <c r="R37" s="38" t="s">
        <v>852</v>
      </c>
    </row>
    <row r="38" spans="1:18" ht="15.75" customHeight="1" x14ac:dyDescent="0.3">
      <c r="A38" s="422" t="s">
        <v>230</v>
      </c>
      <c r="B38" s="172">
        <v>0</v>
      </c>
      <c r="C38" s="172">
        <v>28</v>
      </c>
      <c r="D38" s="172">
        <v>41</v>
      </c>
      <c r="E38" s="38">
        <f>SUM(B38:D38)</f>
        <v>69</v>
      </c>
      <c r="F38" s="172">
        <v>114</v>
      </c>
      <c r="G38" s="172">
        <v>171</v>
      </c>
      <c r="H38" s="172">
        <v>117</v>
      </c>
      <c r="I38" s="38">
        <f>SUM(F38:H38)</f>
        <v>402</v>
      </c>
      <c r="J38" s="172">
        <v>153</v>
      </c>
      <c r="K38" s="172">
        <v>58</v>
      </c>
      <c r="L38" s="172">
        <v>22</v>
      </c>
      <c r="M38" s="38">
        <f>SUM(J38:L38)</f>
        <v>233</v>
      </c>
      <c r="N38" s="172">
        <v>30</v>
      </c>
      <c r="O38" s="172">
        <v>1</v>
      </c>
      <c r="P38" s="172"/>
      <c r="Q38" s="38">
        <f>SUM(N38:P38)</f>
        <v>31</v>
      </c>
      <c r="R38" s="38">
        <f>+E38+I38+M38+Q38</f>
        <v>735</v>
      </c>
    </row>
    <row r="39" spans="1:18" ht="15.75" customHeight="1" x14ac:dyDescent="0.3">
      <c r="A39" s="235" t="s">
        <v>2162</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SUM(B35:B40)</f>
        <v>0</v>
      </c>
      <c r="C41" s="42">
        <f>SUM(C35:C40)</f>
        <v>28</v>
      </c>
      <c r="D41" s="42">
        <f>SUM(D35:D40)</f>
        <v>41</v>
      </c>
      <c r="E41" s="37">
        <f>SUM(B41:D41)</f>
        <v>69</v>
      </c>
      <c r="F41" s="42">
        <f>SUM(F35:F40)</f>
        <v>114</v>
      </c>
      <c r="G41" s="42">
        <f>SUM(G35:G40)</f>
        <v>171</v>
      </c>
      <c r="H41" s="42">
        <f>SUM(H35:H40)</f>
        <v>117</v>
      </c>
      <c r="I41" s="37">
        <f>SUM(F41:H41)</f>
        <v>402</v>
      </c>
      <c r="J41" s="42">
        <f>SUM(J35:J40)</f>
        <v>153</v>
      </c>
      <c r="K41" s="42">
        <f>SUM(K35:K40)</f>
        <v>58</v>
      </c>
      <c r="L41" s="42">
        <f>SUM(L35:L40)</f>
        <v>22</v>
      </c>
      <c r="M41" s="37">
        <f>SUM(J41:L41)</f>
        <v>233</v>
      </c>
      <c r="N41" s="42">
        <f>SUM(N35:N40)</f>
        <v>30</v>
      </c>
      <c r="O41" s="42">
        <f>SUM(O35:O40)</f>
        <v>1</v>
      </c>
      <c r="P41" s="42">
        <f>SUM(P35:P40)</f>
        <v>0</v>
      </c>
      <c r="Q41" s="37">
        <f>SUM(N41:P41)</f>
        <v>31</v>
      </c>
      <c r="R41" s="37">
        <f>+E41+I41+M41+Q41</f>
        <v>735</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1658</v>
      </c>
      <c r="B43" s="248"/>
      <c r="C43" s="248"/>
      <c r="D43" s="248"/>
      <c r="E43" s="38"/>
      <c r="F43" s="248"/>
      <c r="G43" s="248"/>
      <c r="H43" s="248"/>
      <c r="I43" s="38"/>
      <c r="J43" s="248"/>
      <c r="K43" s="248"/>
      <c r="L43" s="248"/>
      <c r="M43" s="38"/>
      <c r="N43" s="248"/>
      <c r="O43" s="248"/>
      <c r="P43" s="248"/>
      <c r="Q43" s="38"/>
      <c r="R43" s="38"/>
    </row>
    <row r="44" spans="1:18" ht="15.75" customHeight="1" x14ac:dyDescent="0.3">
      <c r="A44" s="235" t="s">
        <v>2409</v>
      </c>
      <c r="B44" s="248"/>
      <c r="C44" s="248"/>
      <c r="D44" s="248"/>
      <c r="E44" s="38" t="s">
        <v>852</v>
      </c>
      <c r="F44" s="248"/>
      <c r="G44" s="248"/>
      <c r="H44" s="248"/>
      <c r="I44" s="38" t="s">
        <v>852</v>
      </c>
      <c r="J44" s="248"/>
      <c r="K44" s="248"/>
      <c r="L44" s="248"/>
      <c r="M44" s="38" t="s">
        <v>852</v>
      </c>
      <c r="N44" s="248"/>
      <c r="O44" s="248"/>
      <c r="P44" s="248"/>
      <c r="Q44" s="38" t="s">
        <v>852</v>
      </c>
      <c r="R44" s="38" t="s">
        <v>852</v>
      </c>
    </row>
    <row r="45" spans="1:18" ht="15.75" customHeight="1" thickBot="1" x14ac:dyDescent="0.35">
      <c r="A45" s="235" t="s">
        <v>2165</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6.5" customHeight="1" thickBot="1" x14ac:dyDescent="0.35">
      <c r="A46" s="43" t="s">
        <v>1219</v>
      </c>
      <c r="B46" s="42">
        <f>SUM(B42:B45)</f>
        <v>0</v>
      </c>
      <c r="C46" s="42">
        <f>SUM(C42:C45)</f>
        <v>0</v>
      </c>
      <c r="D46" s="42">
        <f>SUM(D42:D45)</f>
        <v>0</v>
      </c>
      <c r="E46" s="37">
        <f>SUM(B46:D46)</f>
        <v>0</v>
      </c>
      <c r="F46" s="42">
        <f>SUM(F42:F45)</f>
        <v>0</v>
      </c>
      <c r="G46" s="42">
        <f>SUM(G42:G45)</f>
        <v>0</v>
      </c>
      <c r="H46" s="42">
        <f>SUM(H42:H45)</f>
        <v>0</v>
      </c>
      <c r="I46" s="37">
        <f>SUM(F46:H46)</f>
        <v>0</v>
      </c>
      <c r="J46" s="42">
        <f>SUM(J42:J45)</f>
        <v>0</v>
      </c>
      <c r="K46" s="42">
        <f>SUM(K42:K45)</f>
        <v>0</v>
      </c>
      <c r="L46" s="42">
        <f>SUM(L42:L45)</f>
        <v>0</v>
      </c>
      <c r="M46" s="37">
        <f>SUM(J46:L46)</f>
        <v>0</v>
      </c>
      <c r="N46" s="42">
        <f>SUM(N42:N45)</f>
        <v>0</v>
      </c>
      <c r="O46" s="42">
        <f>SUM(O42:O45)</f>
        <v>0</v>
      </c>
      <c r="P46" s="42">
        <f>SUM(P42:P45)</f>
        <v>0</v>
      </c>
      <c r="Q46" s="37">
        <f>SUM(N46:P46)</f>
        <v>0</v>
      </c>
      <c r="R46" s="37">
        <f>+E46+I46+M46+Q46</f>
        <v>0</v>
      </c>
    </row>
    <row r="47" spans="1:18" ht="15.75" customHeight="1" x14ac:dyDescent="0.3">
      <c r="A47" s="235" t="s">
        <v>2166</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x14ac:dyDescent="0.3">
      <c r="A48" s="235" t="s">
        <v>1245</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thickBot="1" x14ac:dyDescent="0.35">
      <c r="A49" s="235" t="s">
        <v>1711</v>
      </c>
      <c r="B49" s="248"/>
      <c r="C49" s="248"/>
      <c r="D49" s="248"/>
      <c r="E49" s="38"/>
      <c r="F49" s="248"/>
      <c r="G49" s="248"/>
      <c r="H49" s="248"/>
      <c r="I49" s="38"/>
      <c r="J49" s="248"/>
      <c r="K49" s="248"/>
      <c r="L49" s="248"/>
      <c r="M49" s="38"/>
      <c r="N49" s="248"/>
      <c r="O49" s="248"/>
      <c r="P49" s="248"/>
      <c r="Q49" s="38"/>
      <c r="R49" s="38"/>
    </row>
    <row r="50" spans="1:18" ht="16.5" customHeight="1" thickBot="1" x14ac:dyDescent="0.35">
      <c r="A50" s="43" t="s">
        <v>1220</v>
      </c>
      <c r="B50" s="42">
        <f>SUM(B47:B49)</f>
        <v>0</v>
      </c>
      <c r="C50" s="42">
        <f>SUM(C47:C49)</f>
        <v>0</v>
      </c>
      <c r="D50" s="42">
        <f>SUM(D47:D49)</f>
        <v>0</v>
      </c>
      <c r="E50" s="37">
        <f>SUM(B50:D50)</f>
        <v>0</v>
      </c>
      <c r="F50" s="42">
        <f>SUM(F47:F49)</f>
        <v>0</v>
      </c>
      <c r="G50" s="42">
        <f>SUM(G47:G49)</f>
        <v>0</v>
      </c>
      <c r="H50" s="42">
        <f>SUM(H47:H49)</f>
        <v>0</v>
      </c>
      <c r="I50" s="37">
        <f>SUM(F50:H50)</f>
        <v>0</v>
      </c>
      <c r="J50" s="42">
        <f>SUM(J47:J49)</f>
        <v>0</v>
      </c>
      <c r="K50" s="42">
        <f>SUM(K47:K49)</f>
        <v>0</v>
      </c>
      <c r="L50" s="42">
        <f>SUM(L47:L49)</f>
        <v>0</v>
      </c>
      <c r="M50" s="37">
        <f>SUM(J50:L50)</f>
        <v>0</v>
      </c>
      <c r="N50" s="42">
        <f>SUM(N47:N49)</f>
        <v>0</v>
      </c>
      <c r="O50" s="42">
        <f>SUM(O47:O49)</f>
        <v>0</v>
      </c>
      <c r="P50" s="42">
        <f>SUM(P47:P49)</f>
        <v>0</v>
      </c>
      <c r="Q50" s="37">
        <f>SUM(N50:P50)</f>
        <v>0</v>
      </c>
      <c r="R50" s="37">
        <f>+E50+I50+M50+Q50</f>
        <v>0</v>
      </c>
    </row>
    <row r="51" spans="1:18" ht="15.75" customHeight="1" x14ac:dyDescent="0.3">
      <c r="A51" s="235" t="s">
        <v>1712</v>
      </c>
      <c r="B51" s="248"/>
      <c r="C51" s="248"/>
      <c r="D51" s="248"/>
      <c r="E51" s="38" t="s">
        <v>852</v>
      </c>
      <c r="F51" s="248"/>
      <c r="G51" s="248"/>
      <c r="H51" s="248"/>
      <c r="I51" s="38" t="s">
        <v>852</v>
      </c>
      <c r="J51" s="248"/>
      <c r="K51" s="248"/>
      <c r="L51" s="248"/>
      <c r="M51" s="38" t="s">
        <v>852</v>
      </c>
      <c r="N51" s="248"/>
      <c r="O51" s="248"/>
      <c r="P51" s="248"/>
      <c r="Q51" s="38" t="s">
        <v>852</v>
      </c>
      <c r="R51" s="38" t="s">
        <v>852</v>
      </c>
    </row>
    <row r="52" spans="1:18" ht="15.75" customHeight="1" x14ac:dyDescent="0.3">
      <c r="A52" s="235" t="s">
        <v>1021</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557</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422" t="s">
        <v>2557</v>
      </c>
      <c r="B54" s="172"/>
      <c r="C54" s="172"/>
      <c r="D54" s="172"/>
      <c r="E54" s="38">
        <f>SUM(B54:D54)</f>
        <v>0</v>
      </c>
      <c r="F54" s="172"/>
      <c r="G54" s="172"/>
      <c r="H54" s="172"/>
      <c r="I54" s="38">
        <f>SUM(F54:H54)</f>
        <v>0</v>
      </c>
      <c r="J54" s="172"/>
      <c r="K54" s="172"/>
      <c r="L54" s="172"/>
      <c r="M54" s="38">
        <f>SUM(J54:L54)</f>
        <v>0</v>
      </c>
      <c r="N54" s="172"/>
      <c r="O54" s="172"/>
      <c r="P54" s="172"/>
      <c r="Q54" s="38">
        <f>SUM(N54:P54)</f>
        <v>0</v>
      </c>
      <c r="R54" s="38">
        <f>+E54+I54+M54+Q54</f>
        <v>0</v>
      </c>
    </row>
    <row r="55" spans="1:18" ht="15.75" customHeight="1" x14ac:dyDescent="0.3">
      <c r="A55" s="235" t="s">
        <v>1022</v>
      </c>
      <c r="B55" s="248"/>
      <c r="C55" s="248"/>
      <c r="D55" s="248"/>
      <c r="E55" s="38" t="s">
        <v>852</v>
      </c>
      <c r="F55" s="248"/>
      <c r="G55" s="248"/>
      <c r="H55" s="248"/>
      <c r="I55" s="38" t="s">
        <v>852</v>
      </c>
      <c r="J55" s="248"/>
      <c r="K55" s="248"/>
      <c r="L55" s="248"/>
      <c r="M55" s="38" t="s">
        <v>852</v>
      </c>
      <c r="N55" s="248"/>
      <c r="O55" s="248"/>
      <c r="P55" s="248"/>
      <c r="Q55" s="38" t="s">
        <v>852</v>
      </c>
      <c r="R55" s="38" t="s">
        <v>852</v>
      </c>
    </row>
    <row r="56" spans="1:18" ht="15.75" customHeight="1" thickBot="1" x14ac:dyDescent="0.35">
      <c r="A56" s="235" t="s">
        <v>559</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6.5" customHeight="1" thickBot="1" x14ac:dyDescent="0.35">
      <c r="A57" s="43" t="s">
        <v>1019</v>
      </c>
      <c r="B57" s="42">
        <f>SUM(B55:B56)</f>
        <v>0</v>
      </c>
      <c r="C57" s="42">
        <f>SUM(C55:C56)</f>
        <v>0</v>
      </c>
      <c r="D57" s="42">
        <f>SUM(D55:D56)</f>
        <v>0</v>
      </c>
      <c r="E57" s="39">
        <f>SUM(B57:D57)</f>
        <v>0</v>
      </c>
      <c r="F57" s="42">
        <f>SUM(F55:F56)</f>
        <v>0</v>
      </c>
      <c r="G57" s="42">
        <f>SUM(G55:G56)</f>
        <v>0</v>
      </c>
      <c r="H57" s="42">
        <f>SUM(H55:H56)</f>
        <v>0</v>
      </c>
      <c r="I57" s="39">
        <f>SUM(F57:H57)</f>
        <v>0</v>
      </c>
      <c r="J57" s="42">
        <f>SUM(J55:J56)</f>
        <v>0</v>
      </c>
      <c r="K57" s="42">
        <f>SUM(K55:K56)</f>
        <v>0</v>
      </c>
      <c r="L57" s="42">
        <f>SUM(L55:L56)</f>
        <v>0</v>
      </c>
      <c r="M57" s="39">
        <f>SUM(J57:L57)</f>
        <v>0</v>
      </c>
      <c r="N57" s="42">
        <f>SUM(N55:N56)</f>
        <v>0</v>
      </c>
      <c r="O57" s="42">
        <f>SUM(O55:O56)</f>
        <v>0</v>
      </c>
      <c r="P57" s="42">
        <f>SUM(P55:P56)</f>
        <v>0</v>
      </c>
      <c r="Q57" s="39">
        <f>SUM(N57:P57)</f>
        <v>0</v>
      </c>
      <c r="R57" s="37">
        <f>+E57+I57+M57+Q57</f>
        <v>0</v>
      </c>
    </row>
    <row r="58" spans="1:18" ht="16.5" customHeight="1" thickBot="1" x14ac:dyDescent="0.35">
      <c r="A58" s="43" t="s">
        <v>1221</v>
      </c>
      <c r="B58" s="42">
        <f>SUM(B51:B56)</f>
        <v>0</v>
      </c>
      <c r="C58" s="42">
        <f>SUM(C51:C56)</f>
        <v>0</v>
      </c>
      <c r="D58" s="42">
        <f>SUM(D51:D56)</f>
        <v>0</v>
      </c>
      <c r="E58" s="39">
        <f>SUM(B58:D58)</f>
        <v>0</v>
      </c>
      <c r="F58" s="42">
        <f>SUM(F51:F56)</f>
        <v>0</v>
      </c>
      <c r="G58" s="42">
        <f>SUM(G51:G56)</f>
        <v>0</v>
      </c>
      <c r="H58" s="42">
        <f>SUM(H51:H56)</f>
        <v>0</v>
      </c>
      <c r="I58" s="39">
        <f>SUM(F58:H58)</f>
        <v>0</v>
      </c>
      <c r="J58" s="42">
        <f>SUM(J51:J56)</f>
        <v>0</v>
      </c>
      <c r="K58" s="42">
        <f>SUM(K51:K56)</f>
        <v>0</v>
      </c>
      <c r="L58" s="42">
        <f>SUM(L51:L56)</f>
        <v>0</v>
      </c>
      <c r="M58" s="39">
        <f>SUM(J58:L58)</f>
        <v>0</v>
      </c>
      <c r="N58" s="42">
        <f>SUM(N51:N56)</f>
        <v>0</v>
      </c>
      <c r="O58" s="42">
        <f>SUM(O51:O56)</f>
        <v>0</v>
      </c>
      <c r="P58" s="42">
        <f>SUM(P51:P56)</f>
        <v>0</v>
      </c>
      <c r="Q58" s="39">
        <f>SUM(N58:P58)</f>
        <v>0</v>
      </c>
      <c r="R58" s="37">
        <f>+E58+I58+M58+Q58</f>
        <v>0</v>
      </c>
    </row>
    <row r="59" spans="1:18" ht="16.5" customHeight="1" thickBot="1" x14ac:dyDescent="0.35">
      <c r="A59" s="43" t="s">
        <v>1222</v>
      </c>
      <c r="B59" s="42">
        <f>+B41+B46+B50+B58</f>
        <v>0</v>
      </c>
      <c r="C59" s="42">
        <f>+C41+C46+C50+C58</f>
        <v>28</v>
      </c>
      <c r="D59" s="42">
        <f>+D41+D46+D50+D58</f>
        <v>41</v>
      </c>
      <c r="E59" s="37">
        <f>SUM(B59:D59)</f>
        <v>69</v>
      </c>
      <c r="F59" s="42">
        <f>+F41+F46+F50+F58</f>
        <v>114</v>
      </c>
      <c r="G59" s="42">
        <f>+G41+G46+G50+G58</f>
        <v>171</v>
      </c>
      <c r="H59" s="42">
        <f>+H41+H46+H50+H58</f>
        <v>117</v>
      </c>
      <c r="I59" s="37">
        <f>SUM(F59:H59)</f>
        <v>402</v>
      </c>
      <c r="J59" s="42">
        <f>+J41+J46+J50+J58</f>
        <v>153</v>
      </c>
      <c r="K59" s="42">
        <f>+K41+K46+K50+K58</f>
        <v>58</v>
      </c>
      <c r="L59" s="42">
        <f>+L41+L46+L50+L58</f>
        <v>22</v>
      </c>
      <c r="M59" s="37">
        <f>SUM(J59:L59)</f>
        <v>233</v>
      </c>
      <c r="N59" s="42">
        <f>+N41+N46+N50+N58</f>
        <v>30</v>
      </c>
      <c r="O59" s="42">
        <f>+O41+O46+O50+O58</f>
        <v>1</v>
      </c>
      <c r="P59" s="42">
        <f>+P41+P46+P50+P58</f>
        <v>0</v>
      </c>
      <c r="Q59" s="37">
        <f>SUM(N59:P59)</f>
        <v>31</v>
      </c>
      <c r="R59" s="37">
        <f>+E59+I59+M59+Q59</f>
        <v>735</v>
      </c>
    </row>
    <row r="60" spans="1:18" ht="16.5" customHeight="1" thickBot="1" x14ac:dyDescent="0.35">
      <c r="A60" s="250" t="s">
        <v>853</v>
      </c>
      <c r="B60" s="251">
        <v>96</v>
      </c>
      <c r="C60" s="251">
        <v>145</v>
      </c>
      <c r="D60" s="251">
        <v>261</v>
      </c>
      <c r="E60" s="21">
        <f>SUM(B60:D60)</f>
        <v>502</v>
      </c>
      <c r="F60" s="251">
        <v>350</v>
      </c>
      <c r="G60" s="251">
        <v>402</v>
      </c>
      <c r="H60" s="251">
        <v>396</v>
      </c>
      <c r="I60" s="21">
        <f>SUM(F60:H60)</f>
        <v>1148</v>
      </c>
      <c r="J60" s="251">
        <v>394</v>
      </c>
      <c r="K60" s="251">
        <v>318</v>
      </c>
      <c r="L60" s="251">
        <v>301</v>
      </c>
      <c r="M60" s="21">
        <f>SUM(J60:L60)</f>
        <v>1013</v>
      </c>
      <c r="N60" s="251">
        <v>272</v>
      </c>
      <c r="O60" s="251">
        <v>226</v>
      </c>
      <c r="P60" s="251">
        <v>179</v>
      </c>
      <c r="Q60" s="21">
        <f>SUM(N60:P60)</f>
        <v>677</v>
      </c>
      <c r="R60" s="21">
        <f>+E60+I60+M60+Q60</f>
        <v>3340</v>
      </c>
    </row>
    <row r="61" spans="1:18" ht="16.5" customHeight="1" thickBot="1" x14ac:dyDescent="0.35">
      <c r="A61" s="22"/>
      <c r="B61" s="242"/>
      <c r="C61" s="242"/>
      <c r="D61" s="242"/>
      <c r="E61" s="16"/>
      <c r="F61" s="242"/>
      <c r="G61" s="242"/>
      <c r="H61" s="242"/>
      <c r="I61" s="16"/>
      <c r="J61" s="242"/>
      <c r="K61" s="242"/>
      <c r="L61" s="242"/>
      <c r="M61" s="16"/>
      <c r="N61" s="242"/>
      <c r="O61" s="242"/>
      <c r="P61" s="242"/>
      <c r="Q61" s="16"/>
      <c r="R61" s="22"/>
    </row>
    <row r="62" spans="1:18" ht="15.75" customHeight="1" x14ac:dyDescent="0.3">
      <c r="A62" s="234" t="s">
        <v>2011</v>
      </c>
      <c r="B62" s="172">
        <f>+B59+B60</f>
        <v>96</v>
      </c>
      <c r="C62" s="172">
        <f>+C59+C60</f>
        <v>173</v>
      </c>
      <c r="D62" s="172">
        <f>+D59+D60</f>
        <v>302</v>
      </c>
      <c r="E62" s="14">
        <f>SUM(B62:D62)</f>
        <v>571</v>
      </c>
      <c r="F62" s="172">
        <f>+F59+F60</f>
        <v>464</v>
      </c>
      <c r="G62" s="172">
        <f>+G59+G60</f>
        <v>573</v>
      </c>
      <c r="H62" s="172">
        <f>+H59+H60</f>
        <v>513</v>
      </c>
      <c r="I62" s="14">
        <f>SUM(F62:H62)</f>
        <v>1550</v>
      </c>
      <c r="J62" s="172">
        <f>+J59+J60</f>
        <v>547</v>
      </c>
      <c r="K62" s="172">
        <f>+K59+K60</f>
        <v>376</v>
      </c>
      <c r="L62" s="172">
        <f>+L59+L60</f>
        <v>323</v>
      </c>
      <c r="M62" s="14">
        <f>SUM(J62:L62)</f>
        <v>1246</v>
      </c>
      <c r="N62" s="172">
        <f>+N59+N60</f>
        <v>302</v>
      </c>
      <c r="O62" s="172">
        <f>+O59+O60</f>
        <v>227</v>
      </c>
      <c r="P62" s="172">
        <f>+P59+P60</f>
        <v>179</v>
      </c>
      <c r="Q62" s="28">
        <f>SUM(N62:P62)</f>
        <v>708</v>
      </c>
      <c r="R62" s="15">
        <f>+E62+I62+M62+Q62</f>
        <v>4075</v>
      </c>
    </row>
    <row r="63" spans="1:18" ht="15.75" customHeight="1" x14ac:dyDescent="0.3">
      <c r="A63" s="234" t="s">
        <v>1897</v>
      </c>
      <c r="B63" s="172">
        <f>(B62/B10)/1.983</f>
        <v>1.5616612171197111</v>
      </c>
      <c r="C63" s="172">
        <f>(C62/C10)/1.983</f>
        <v>3.1157697572221021</v>
      </c>
      <c r="D63" s="172">
        <f>(D62/D10)/1.983</f>
        <v>4.9127259121890914</v>
      </c>
      <c r="E63" s="15"/>
      <c r="F63" s="172">
        <f>(F62/F10)/1.983</f>
        <v>7.7996301899478899</v>
      </c>
      <c r="G63" s="172">
        <f>(G62/G10)/1.983</f>
        <v>9.3211653896832747</v>
      </c>
      <c r="H63" s="172">
        <f>(H62/H10)/1.983</f>
        <v>8.6232980332829055</v>
      </c>
      <c r="I63" s="15"/>
      <c r="J63" s="172">
        <f>(J62/J10)/1.983</f>
        <v>8.8982154767133537</v>
      </c>
      <c r="K63" s="172">
        <f>(K62/K10)/1.983</f>
        <v>6.1165064337188682</v>
      </c>
      <c r="L63" s="172">
        <f>(L62/L10)/1.983</f>
        <v>5.4294839468818292</v>
      </c>
      <c r="M63" s="15"/>
      <c r="N63" s="172">
        <f>(N62/N10)/1.983</f>
        <v>4.9127259121890914</v>
      </c>
      <c r="O63" s="172">
        <f>(O62/O10)/1.983</f>
        <v>3.8157673558581271</v>
      </c>
      <c r="P63" s="172">
        <f>(P62/P10)/1.983</f>
        <v>2.9118474777544612</v>
      </c>
      <c r="Q63" s="29"/>
      <c r="R63" s="20"/>
    </row>
    <row r="64" spans="1:18" ht="15.75" customHeight="1" x14ac:dyDescent="0.3">
      <c r="A64" s="234" t="s">
        <v>1969</v>
      </c>
      <c r="B64" s="172">
        <f>B62+B130</f>
        <v>80986</v>
      </c>
      <c r="C64" s="172">
        <f>C62+C130</f>
        <v>145909</v>
      </c>
      <c r="D64" s="172">
        <f>D62+D130</f>
        <v>178482</v>
      </c>
      <c r="E64" s="15">
        <f>SUM(B64:D64)</f>
        <v>405377</v>
      </c>
      <c r="F64" s="172">
        <f>F62+F130</f>
        <v>150350</v>
      </c>
      <c r="G64" s="172">
        <f>G62+G130</f>
        <v>175758</v>
      </c>
      <c r="H64" s="172">
        <f>H62+H130</f>
        <v>129806</v>
      </c>
      <c r="I64" s="15">
        <f>SUM(F64:H64)</f>
        <v>455914</v>
      </c>
      <c r="J64" s="172">
        <f>J62+J130</f>
        <v>84515</v>
      </c>
      <c r="K64" s="172">
        <f>K62+K130</f>
        <v>96581</v>
      </c>
      <c r="L64" s="172">
        <f>L62+L130</f>
        <v>149682</v>
      </c>
      <c r="M64" s="15">
        <f>SUM(J64:L64)</f>
        <v>330778</v>
      </c>
      <c r="N64" s="172">
        <f>N62+N130</f>
        <v>187313</v>
      </c>
      <c r="O64" s="172">
        <f>O62+O130</f>
        <v>144175</v>
      </c>
      <c r="P64" s="172">
        <f>P62+P130</f>
        <v>137465</v>
      </c>
      <c r="Q64" s="29">
        <f>SUM(N64:P64)</f>
        <v>468953</v>
      </c>
      <c r="R64" s="15">
        <f>+E64+I64+M64+Q64</f>
        <v>1661022</v>
      </c>
    </row>
    <row r="65" spans="1:20" ht="16.5" customHeight="1" thickBot="1" x14ac:dyDescent="0.35">
      <c r="A65" s="237" t="s">
        <v>1970</v>
      </c>
      <c r="B65" s="238">
        <f>(B64/B10)/1.983</f>
        <v>1317.4239096839262</v>
      </c>
      <c r="C65" s="238">
        <f>(C64/C10)/1.983</f>
        <v>2627.8546214249695</v>
      </c>
      <c r="D65" s="238">
        <f>(D64/D10)/1.983</f>
        <v>2903.4210141037524</v>
      </c>
      <c r="E65" s="16"/>
      <c r="F65" s="238">
        <f>(F64/F10)/1.983</f>
        <v>2527.315515212641</v>
      </c>
      <c r="G65" s="238">
        <f>(G64/G10)/1.983</f>
        <v>2859.1088770679812</v>
      </c>
      <c r="H65" s="238">
        <f>(H64/H10)/1.983</f>
        <v>2181.9801647335685</v>
      </c>
      <c r="I65" s="16"/>
      <c r="J65" s="238">
        <f>(J64/J10)/1.983</f>
        <v>1374.8312267174206</v>
      </c>
      <c r="K65" s="238">
        <f>(K64/K10)/1.983</f>
        <v>1571.1125209441543</v>
      </c>
      <c r="L65" s="238">
        <f>(L64/L10)/1.983</f>
        <v>2516.0867372667672</v>
      </c>
      <c r="M65" s="16"/>
      <c r="N65" s="238">
        <f>(N64/N10)/1.983</f>
        <v>3047.077578774421</v>
      </c>
      <c r="O65" s="238">
        <f>(O64/O10)/1.983</f>
        <v>2423.5165574046055</v>
      </c>
      <c r="P65" s="238">
        <f>(P64/P10)/1.983</f>
        <v>2236.1849917850109</v>
      </c>
      <c r="Q65" s="30"/>
      <c r="R65" s="23" t="s">
        <v>852</v>
      </c>
    </row>
    <row r="66" spans="1:20" ht="15.75" customHeight="1" x14ac:dyDescent="0.3">
      <c r="A66" s="17"/>
      <c r="B66" s="172"/>
      <c r="C66" s="172"/>
      <c r="D66" s="172"/>
      <c r="E66" s="172"/>
      <c r="F66" s="172"/>
      <c r="G66" s="172"/>
      <c r="H66" s="172"/>
      <c r="I66" s="172"/>
      <c r="J66" s="172"/>
      <c r="K66" s="172"/>
      <c r="L66" s="172"/>
      <c r="M66" s="172"/>
      <c r="N66" s="172"/>
      <c r="O66" s="172"/>
      <c r="P66" s="172"/>
      <c r="Q66" s="172"/>
      <c r="R66" s="17"/>
    </row>
    <row r="67" spans="1:20" ht="15.75" customHeight="1" thickBot="1" x14ac:dyDescent="0.35">
      <c r="A67" s="17"/>
      <c r="B67" s="172"/>
      <c r="C67" s="172"/>
      <c r="D67" s="172"/>
      <c r="E67" s="172"/>
      <c r="F67" s="172"/>
      <c r="G67" s="172"/>
      <c r="H67" s="172"/>
      <c r="I67" s="172"/>
      <c r="J67" s="172"/>
      <c r="K67" s="172"/>
      <c r="L67" s="172"/>
      <c r="M67" s="172"/>
      <c r="N67" s="172"/>
      <c r="O67" s="172"/>
      <c r="P67" s="172"/>
      <c r="Q67" s="172"/>
      <c r="R67" s="17"/>
    </row>
    <row r="68" spans="1:20" ht="16.5" customHeight="1" thickBot="1" x14ac:dyDescent="0.35">
      <c r="A68" s="240" t="s">
        <v>603</v>
      </c>
      <c r="B68" s="4" t="s">
        <v>2090</v>
      </c>
      <c r="C68" s="5" t="s">
        <v>2091</v>
      </c>
      <c r="D68" s="5" t="s">
        <v>2234</v>
      </c>
      <c r="E68" s="33" t="s">
        <v>1594</v>
      </c>
      <c r="F68" s="5" t="s">
        <v>2235</v>
      </c>
      <c r="G68" s="5" t="s">
        <v>2236</v>
      </c>
      <c r="H68" s="5" t="s">
        <v>2237</v>
      </c>
      <c r="I68" s="35" t="s">
        <v>1595</v>
      </c>
      <c r="J68" s="5" t="s">
        <v>1504</v>
      </c>
      <c r="K68" s="5" t="s">
        <v>1505</v>
      </c>
      <c r="L68" s="5" t="s">
        <v>1506</v>
      </c>
      <c r="M68" s="35" t="s">
        <v>1596</v>
      </c>
      <c r="N68" s="5" t="s">
        <v>1507</v>
      </c>
      <c r="O68" s="5" t="s">
        <v>1508</v>
      </c>
      <c r="P68" s="5" t="s">
        <v>1509</v>
      </c>
      <c r="Q68" s="35" t="s">
        <v>1597</v>
      </c>
      <c r="R68" s="36" t="s">
        <v>1510</v>
      </c>
    </row>
    <row r="69" spans="1:20" ht="16.5" customHeight="1" thickBot="1" x14ac:dyDescent="0.35">
      <c r="A69" s="252"/>
      <c r="B69" s="231"/>
      <c r="C69" s="253"/>
      <c r="D69" s="253"/>
      <c r="E69" s="254"/>
      <c r="F69" s="253"/>
      <c r="G69" s="253"/>
      <c r="H69" s="253"/>
      <c r="I69" s="254"/>
      <c r="J69" s="253"/>
      <c r="K69" s="253"/>
      <c r="L69" s="253"/>
      <c r="M69" s="254"/>
      <c r="N69" s="253"/>
      <c r="O69" s="253"/>
      <c r="P69" s="255"/>
      <c r="Q69" s="254"/>
      <c r="R69" s="37"/>
    </row>
    <row r="70" spans="1:20" ht="15.75" customHeight="1" x14ac:dyDescent="0.3">
      <c r="A70" s="247" t="s">
        <v>2417</v>
      </c>
      <c r="B70" s="18"/>
      <c r="C70" s="18"/>
      <c r="D70" s="18"/>
      <c r="E70" s="38" t="s">
        <v>852</v>
      </c>
      <c r="F70" s="18"/>
      <c r="G70" s="18"/>
      <c r="H70" s="18"/>
      <c r="I70" s="38" t="s">
        <v>852</v>
      </c>
      <c r="J70" s="18"/>
      <c r="K70" s="18"/>
      <c r="L70" s="18"/>
      <c r="M70" s="38" t="s">
        <v>852</v>
      </c>
      <c r="N70" s="18"/>
      <c r="O70" s="18"/>
      <c r="P70" s="18"/>
      <c r="Q70" s="38" t="s">
        <v>852</v>
      </c>
      <c r="R70" s="38" t="s">
        <v>852</v>
      </c>
    </row>
    <row r="71" spans="1:20" ht="15.75" customHeight="1" x14ac:dyDescent="0.3">
      <c r="A71" s="235" t="s">
        <v>2160</v>
      </c>
      <c r="B71" s="18"/>
      <c r="C71" s="248"/>
      <c r="D71" s="248"/>
      <c r="E71" s="38" t="s">
        <v>852</v>
      </c>
      <c r="F71" s="248"/>
      <c r="G71" s="248"/>
      <c r="H71" s="248"/>
      <c r="I71" s="38" t="s">
        <v>852</v>
      </c>
      <c r="J71" s="248"/>
      <c r="K71" s="248"/>
      <c r="L71" s="248"/>
      <c r="M71" s="38" t="s">
        <v>852</v>
      </c>
      <c r="N71" s="248"/>
      <c r="O71" s="248"/>
      <c r="P71" s="248"/>
      <c r="Q71" s="38" t="s">
        <v>852</v>
      </c>
      <c r="R71" s="38" t="s">
        <v>852</v>
      </c>
    </row>
    <row r="72" spans="1:20" ht="15.75" customHeight="1" x14ac:dyDescent="0.3">
      <c r="A72" s="539" t="s">
        <v>2731</v>
      </c>
      <c r="B72" s="172"/>
      <c r="C72" s="172"/>
      <c r="D72" s="172"/>
      <c r="E72" s="38">
        <f t="shared" ref="E72:E80" si="6">SUM(B72:D72)</f>
        <v>0</v>
      </c>
      <c r="F72" s="172"/>
      <c r="G72" s="172"/>
      <c r="H72" s="172"/>
      <c r="I72" s="38">
        <f t="shared" ref="I72:I80" si="7">SUM(F72:H72)</f>
        <v>0</v>
      </c>
      <c r="J72" s="172"/>
      <c r="K72" s="172"/>
      <c r="L72" s="172"/>
      <c r="M72" s="38">
        <f t="shared" ref="M72:M80" si="8">SUM(J72:L72)</f>
        <v>0</v>
      </c>
      <c r="N72" s="172"/>
      <c r="O72" s="172"/>
      <c r="P72" s="172"/>
      <c r="Q72" s="38">
        <f t="shared" ref="Q72:Q80" si="9">SUM(N72:P72)</f>
        <v>0</v>
      </c>
      <c r="R72" s="38">
        <f t="shared" ref="R72:R80" si="10">+E72+I72+M72+Q72</f>
        <v>0</v>
      </c>
    </row>
    <row r="73" spans="1:20" ht="15.75" customHeight="1" x14ac:dyDescent="0.3">
      <c r="A73" s="539" t="s">
        <v>2732</v>
      </c>
      <c r="B73" s="172"/>
      <c r="C73" s="172"/>
      <c r="D73" s="172"/>
      <c r="E73" s="38">
        <f>SUM(B73:D73)</f>
        <v>0</v>
      </c>
      <c r="F73" s="172"/>
      <c r="G73" s="172"/>
      <c r="H73" s="172"/>
      <c r="I73" s="38">
        <f>SUM(F73:H73)</f>
        <v>0</v>
      </c>
      <c r="J73" s="172"/>
      <c r="K73" s="172"/>
      <c r="L73" s="172"/>
      <c r="M73" s="38">
        <f>SUM(J73:L73)</f>
        <v>0</v>
      </c>
      <c r="N73" s="172"/>
      <c r="O73" s="172"/>
      <c r="P73" s="172"/>
      <c r="Q73" s="38">
        <f>SUM(N73:P73)</f>
        <v>0</v>
      </c>
      <c r="R73" s="38">
        <f>+E73+I73+M73+Q73</f>
        <v>0</v>
      </c>
    </row>
    <row r="74" spans="1:20" ht="15.75" customHeight="1" x14ac:dyDescent="0.3">
      <c r="A74" s="539" t="s">
        <v>2060</v>
      </c>
      <c r="B74" s="172"/>
      <c r="C74" s="172"/>
      <c r="D74" s="172"/>
      <c r="E74" s="38">
        <f t="shared" si="6"/>
        <v>0</v>
      </c>
      <c r="F74" s="172"/>
      <c r="G74" s="172"/>
      <c r="H74" s="172"/>
      <c r="I74" s="38">
        <f t="shared" si="7"/>
        <v>0</v>
      </c>
      <c r="J74" s="172"/>
      <c r="K74" s="172"/>
      <c r="L74" s="172"/>
      <c r="M74" s="38">
        <f t="shared" si="8"/>
        <v>0</v>
      </c>
      <c r="N74" s="172"/>
      <c r="O74" s="172"/>
      <c r="P74" s="172"/>
      <c r="Q74" s="38">
        <f t="shared" si="9"/>
        <v>0</v>
      </c>
      <c r="R74" s="38">
        <f t="shared" si="10"/>
        <v>0</v>
      </c>
    </row>
    <row r="75" spans="1:20" ht="15.75" customHeight="1" x14ac:dyDescent="0.3">
      <c r="A75" s="539" t="s">
        <v>2773</v>
      </c>
      <c r="B75" s="172"/>
      <c r="C75" s="172"/>
      <c r="D75" s="172"/>
      <c r="E75" s="38">
        <f t="shared" si="6"/>
        <v>0</v>
      </c>
      <c r="F75" s="172"/>
      <c r="G75" s="172"/>
      <c r="H75" s="172"/>
      <c r="I75" s="38">
        <f t="shared" si="7"/>
        <v>0</v>
      </c>
      <c r="J75" s="172"/>
      <c r="K75" s="172"/>
      <c r="L75" s="172"/>
      <c r="M75" s="38">
        <f t="shared" si="8"/>
        <v>0</v>
      </c>
      <c r="N75" s="172"/>
      <c r="O75" s="172"/>
      <c r="P75" s="172"/>
      <c r="Q75" s="38">
        <f t="shared" si="9"/>
        <v>0</v>
      </c>
      <c r="R75" s="38">
        <f t="shared" si="10"/>
        <v>0</v>
      </c>
      <c r="T75" t="s">
        <v>2774</v>
      </c>
    </row>
    <row r="76" spans="1:20" ht="15.75" customHeight="1" x14ac:dyDescent="0.3">
      <c r="A76" s="539" t="s">
        <v>2794</v>
      </c>
      <c r="B76" s="172">
        <v>870</v>
      </c>
      <c r="C76" s="172">
        <v>446</v>
      </c>
      <c r="D76" s="172">
        <v>1877</v>
      </c>
      <c r="E76" s="38">
        <f t="shared" si="6"/>
        <v>3193</v>
      </c>
      <c r="F76" s="172">
        <v>1367</v>
      </c>
      <c r="G76" s="172">
        <v>200</v>
      </c>
      <c r="H76" s="172"/>
      <c r="I76" s="38">
        <f t="shared" si="7"/>
        <v>1567</v>
      </c>
      <c r="J76" s="172"/>
      <c r="K76" s="172"/>
      <c r="L76" s="172"/>
      <c r="M76" s="38">
        <f t="shared" si="8"/>
        <v>0</v>
      </c>
      <c r="N76" s="172"/>
      <c r="O76" s="172"/>
      <c r="P76" s="172"/>
      <c r="Q76" s="38">
        <f t="shared" si="9"/>
        <v>0</v>
      </c>
      <c r="R76" s="38">
        <f t="shared" si="10"/>
        <v>4760</v>
      </c>
      <c r="T76" t="s">
        <v>2774</v>
      </c>
    </row>
    <row r="77" spans="1:20" ht="15.75" customHeight="1" x14ac:dyDescent="0.3">
      <c r="A77" s="539" t="s">
        <v>2262</v>
      </c>
      <c r="B77" s="172"/>
      <c r="C77" s="172"/>
      <c r="D77" s="172"/>
      <c r="E77" s="38">
        <f t="shared" si="6"/>
        <v>0</v>
      </c>
      <c r="F77" s="172"/>
      <c r="G77" s="172"/>
      <c r="H77" s="172"/>
      <c r="I77" s="38">
        <f t="shared" si="7"/>
        <v>0</v>
      </c>
      <c r="J77" s="172"/>
      <c r="K77" s="172"/>
      <c r="L77" s="172"/>
      <c r="M77" s="38">
        <f t="shared" si="8"/>
        <v>0</v>
      </c>
      <c r="N77" s="172"/>
      <c r="O77" s="172"/>
      <c r="P77" s="172"/>
      <c r="Q77" s="38">
        <f t="shared" si="9"/>
        <v>0</v>
      </c>
      <c r="R77" s="38">
        <f t="shared" si="10"/>
        <v>0</v>
      </c>
    </row>
    <row r="78" spans="1:20" ht="15.75" customHeight="1" x14ac:dyDescent="0.3">
      <c r="A78" s="539" t="s">
        <v>789</v>
      </c>
      <c r="B78" s="172"/>
      <c r="C78" s="172"/>
      <c r="D78" s="172"/>
      <c r="E78" s="38">
        <f t="shared" si="6"/>
        <v>0</v>
      </c>
      <c r="F78" s="172"/>
      <c r="G78" s="172"/>
      <c r="H78" s="172"/>
      <c r="I78" s="38">
        <f t="shared" si="7"/>
        <v>0</v>
      </c>
      <c r="J78" s="172"/>
      <c r="K78" s="172"/>
      <c r="L78" s="172"/>
      <c r="M78" s="38">
        <f t="shared" si="8"/>
        <v>0</v>
      </c>
      <c r="N78" s="172"/>
      <c r="O78" s="172"/>
      <c r="P78" s="172"/>
      <c r="Q78" s="38">
        <f t="shared" si="9"/>
        <v>0</v>
      </c>
      <c r="R78" s="38">
        <f t="shared" si="10"/>
        <v>0</v>
      </c>
      <c r="T78" t="s">
        <v>2799</v>
      </c>
    </row>
    <row r="79" spans="1:20" ht="15.75" customHeight="1" x14ac:dyDescent="0.3">
      <c r="A79" s="410" t="s">
        <v>2183</v>
      </c>
      <c r="B79" s="172"/>
      <c r="C79" s="172"/>
      <c r="D79" s="172"/>
      <c r="E79" s="38">
        <f t="shared" si="6"/>
        <v>0</v>
      </c>
      <c r="F79" s="172"/>
      <c r="G79" s="172"/>
      <c r="H79" s="172"/>
      <c r="I79" s="38">
        <f t="shared" si="7"/>
        <v>0</v>
      </c>
      <c r="J79" s="172"/>
      <c r="K79" s="172"/>
      <c r="L79" s="172"/>
      <c r="M79" s="38">
        <f t="shared" si="8"/>
        <v>0</v>
      </c>
      <c r="N79" s="172"/>
      <c r="O79" s="172"/>
      <c r="P79" s="172"/>
      <c r="Q79" s="38">
        <f t="shared" si="9"/>
        <v>0</v>
      </c>
      <c r="R79" s="38">
        <f t="shared" si="10"/>
        <v>0</v>
      </c>
    </row>
    <row r="80" spans="1:20" ht="15.75" customHeight="1" x14ac:dyDescent="0.3">
      <c r="A80" s="410" t="s">
        <v>86</v>
      </c>
      <c r="B80" s="172"/>
      <c r="C80" s="172"/>
      <c r="D80" s="172"/>
      <c r="E80" s="38">
        <f t="shared" si="6"/>
        <v>0</v>
      </c>
      <c r="F80" s="172"/>
      <c r="G80" s="172"/>
      <c r="H80" s="172"/>
      <c r="I80" s="38">
        <f t="shared" si="7"/>
        <v>0</v>
      </c>
      <c r="J80" s="172"/>
      <c r="K80" s="172"/>
      <c r="L80" s="172"/>
      <c r="M80" s="38">
        <f t="shared" si="8"/>
        <v>0</v>
      </c>
      <c r="N80" s="172"/>
      <c r="O80" s="172"/>
      <c r="P80" s="172"/>
      <c r="Q80" s="38">
        <f t="shared" si="9"/>
        <v>0</v>
      </c>
      <c r="R80" s="38">
        <f t="shared" si="10"/>
        <v>0</v>
      </c>
      <c r="S80">
        <f>SUM(R72:R80)</f>
        <v>4760</v>
      </c>
    </row>
    <row r="81" spans="1:20" ht="15.75" customHeight="1" x14ac:dyDescent="0.3">
      <c r="A81" s="235" t="s">
        <v>2161</v>
      </c>
      <c r="B81" s="18"/>
      <c r="C81" s="18"/>
      <c r="D81" s="18"/>
      <c r="E81" s="38" t="s">
        <v>852</v>
      </c>
      <c r="F81" s="18"/>
      <c r="G81" s="18"/>
      <c r="H81" s="18"/>
      <c r="I81" s="38" t="s">
        <v>852</v>
      </c>
      <c r="J81" s="18"/>
      <c r="K81" s="18"/>
      <c r="L81" s="18"/>
      <c r="M81" s="38" t="s">
        <v>852</v>
      </c>
      <c r="N81" s="18"/>
      <c r="O81" s="18"/>
      <c r="P81" s="18"/>
      <c r="Q81" s="38" t="s">
        <v>852</v>
      </c>
      <c r="R81" s="38" t="s">
        <v>852</v>
      </c>
    </row>
    <row r="82" spans="1:20" ht="15.75" customHeight="1" x14ac:dyDescent="0.3">
      <c r="A82" s="410" t="s">
        <v>701</v>
      </c>
      <c r="B82" s="172"/>
      <c r="C82" s="172"/>
      <c r="D82" s="172"/>
      <c r="E82" s="38">
        <f>SUM(B82:D82)</f>
        <v>0</v>
      </c>
      <c r="F82" s="172"/>
      <c r="G82" s="172"/>
      <c r="H82" s="172"/>
      <c r="I82" s="38">
        <f>SUM(F82:H82)</f>
        <v>0</v>
      </c>
      <c r="J82" s="172"/>
      <c r="K82" s="172"/>
      <c r="L82" s="172"/>
      <c r="M82" s="38">
        <f>SUM(J82:L82)</f>
        <v>0</v>
      </c>
      <c r="N82" s="172"/>
      <c r="O82" s="172"/>
      <c r="P82" s="172"/>
      <c r="Q82" s="38">
        <f>SUM(N82:P82)</f>
        <v>0</v>
      </c>
      <c r="R82" s="38">
        <f>+E82+I82+M82+Q82</f>
        <v>0</v>
      </c>
    </row>
    <row r="83" spans="1:20" ht="15.75" customHeight="1" x14ac:dyDescent="0.3">
      <c r="A83" s="410" t="s">
        <v>2419</v>
      </c>
      <c r="B83" s="172"/>
      <c r="C83" s="172"/>
      <c r="D83" s="172"/>
      <c r="E83" s="38">
        <f>SUM(B83:D83)</f>
        <v>0</v>
      </c>
      <c r="F83" s="172"/>
      <c r="G83" s="172"/>
      <c r="H83" s="172"/>
      <c r="I83" s="38">
        <f>SUM(F83:H83)</f>
        <v>0</v>
      </c>
      <c r="J83" s="172">
        <v>133</v>
      </c>
      <c r="K83" s="172">
        <v>124</v>
      </c>
      <c r="L83" s="172">
        <v>168</v>
      </c>
      <c r="M83" s="38">
        <f>SUM(J83:L83)</f>
        <v>425</v>
      </c>
      <c r="N83" s="172">
        <v>5</v>
      </c>
      <c r="O83" s="172"/>
      <c r="P83" s="172"/>
      <c r="Q83" s="38">
        <f>SUM(N83:P83)</f>
        <v>5</v>
      </c>
      <c r="R83" s="38">
        <f>+E83+I83+M83+Q83</f>
        <v>430</v>
      </c>
    </row>
    <row r="84" spans="1:20" ht="15.75" customHeight="1" x14ac:dyDescent="0.3">
      <c r="A84" s="235" t="s">
        <v>2162</v>
      </c>
      <c r="B84" s="18"/>
      <c r="C84" s="18"/>
      <c r="D84" s="18"/>
      <c r="E84" s="38" t="s">
        <v>1598</v>
      </c>
      <c r="F84" s="18"/>
      <c r="G84" s="18"/>
      <c r="H84" s="18"/>
      <c r="I84" s="38" t="s">
        <v>1598</v>
      </c>
      <c r="J84" s="18"/>
      <c r="K84" s="18"/>
      <c r="L84" s="18"/>
      <c r="M84" s="38" t="s">
        <v>1598</v>
      </c>
      <c r="N84" s="18"/>
      <c r="O84" s="18"/>
      <c r="P84" s="18"/>
      <c r="Q84" s="38" t="s">
        <v>1598</v>
      </c>
      <c r="R84" s="38" t="s">
        <v>1598</v>
      </c>
    </row>
    <row r="85" spans="1:20" ht="15.75" customHeight="1" x14ac:dyDescent="0.3">
      <c r="A85" s="422" t="s">
        <v>2546</v>
      </c>
      <c r="B85" s="172"/>
      <c r="C85" s="172"/>
      <c r="D85" s="172"/>
      <c r="E85" s="38">
        <f>SUM(B85:D85)</f>
        <v>0</v>
      </c>
      <c r="F85" s="172"/>
      <c r="G85" s="172"/>
      <c r="H85" s="172"/>
      <c r="I85" s="38">
        <f>SUM(F85:H85)</f>
        <v>0</v>
      </c>
      <c r="J85" s="172"/>
      <c r="K85" s="172"/>
      <c r="L85" s="172"/>
      <c r="M85" s="38">
        <f>SUM(J85:L85)</f>
        <v>0</v>
      </c>
      <c r="N85" s="172"/>
      <c r="O85" s="172"/>
      <c r="P85" s="172"/>
      <c r="Q85" s="38">
        <f>SUM(N85:P85)</f>
        <v>0</v>
      </c>
      <c r="R85" s="38">
        <f>+E85+I85+M85+Q85</f>
        <v>0</v>
      </c>
    </row>
    <row r="86" spans="1:20" ht="15.75" customHeight="1" x14ac:dyDescent="0.3">
      <c r="A86" s="422" t="s">
        <v>2547</v>
      </c>
      <c r="B86" s="172"/>
      <c r="C86" s="172"/>
      <c r="D86" s="172"/>
      <c r="E86" s="38">
        <f>SUM(B86:D86)</f>
        <v>0</v>
      </c>
      <c r="F86" s="172"/>
      <c r="G86" s="172">
        <v>1253</v>
      </c>
      <c r="H86" s="172">
        <v>1442</v>
      </c>
      <c r="I86" s="38">
        <f>SUM(F86:H86)</f>
        <v>2695</v>
      </c>
      <c r="J86" s="172">
        <v>1968</v>
      </c>
      <c r="K86" s="172">
        <v>2044</v>
      </c>
      <c r="L86" s="172">
        <v>1489</v>
      </c>
      <c r="M86" s="38">
        <f>SUM(J86:L86)</f>
        <v>5501</v>
      </c>
      <c r="N86" s="172">
        <v>1058</v>
      </c>
      <c r="O86" s="172"/>
      <c r="P86" s="172"/>
      <c r="Q86" s="38">
        <f>SUM(N86:P86)</f>
        <v>1058</v>
      </c>
      <c r="R86" s="38">
        <f>+E86+I86+M86+Q86</f>
        <v>9254</v>
      </c>
      <c r="T86" t="s">
        <v>2774</v>
      </c>
    </row>
    <row r="87" spans="1:20" ht="15.75" customHeight="1" thickBot="1" x14ac:dyDescent="0.35">
      <c r="A87" s="235" t="s">
        <v>2164</v>
      </c>
      <c r="B87" s="248"/>
      <c r="C87" s="248"/>
      <c r="D87" s="248"/>
      <c r="E87" s="38" t="s">
        <v>852</v>
      </c>
      <c r="F87" s="248"/>
      <c r="G87" s="248"/>
      <c r="H87" s="248"/>
      <c r="I87" s="38" t="s">
        <v>852</v>
      </c>
      <c r="J87" s="248"/>
      <c r="K87" s="248"/>
      <c r="L87" s="248"/>
      <c r="M87" s="38" t="s">
        <v>852</v>
      </c>
      <c r="N87" s="248"/>
      <c r="O87" s="248"/>
      <c r="P87" s="248"/>
      <c r="Q87" s="38" t="s">
        <v>852</v>
      </c>
      <c r="R87" s="38" t="s">
        <v>852</v>
      </c>
    </row>
    <row r="88" spans="1:20" ht="16.5" customHeight="1" thickBot="1" x14ac:dyDescent="0.35">
      <c r="A88" s="43" t="s">
        <v>1218</v>
      </c>
      <c r="B88" s="42">
        <f>SUM(B70:B87)</f>
        <v>870</v>
      </c>
      <c r="C88" s="42">
        <f>SUM(C70:C87)</f>
        <v>446</v>
      </c>
      <c r="D88" s="42">
        <f>SUM(D70:D87)</f>
        <v>1877</v>
      </c>
      <c r="E88" s="37">
        <f>SUM(B88:D88)</f>
        <v>3193</v>
      </c>
      <c r="F88" s="42">
        <f>SUM(F70:F87)</f>
        <v>1367</v>
      </c>
      <c r="G88" s="42">
        <f>SUM(G70:G87)</f>
        <v>1453</v>
      </c>
      <c r="H88" s="42">
        <f>SUM(H70:H87)</f>
        <v>1442</v>
      </c>
      <c r="I88" s="37">
        <f>SUM(F88:H88)</f>
        <v>4262</v>
      </c>
      <c r="J88" s="42">
        <f>SUM(J70:J87)</f>
        <v>2101</v>
      </c>
      <c r="K88" s="42">
        <f>SUM(K70:K87)</f>
        <v>2168</v>
      </c>
      <c r="L88" s="42">
        <f>SUM(L70:L87)</f>
        <v>1657</v>
      </c>
      <c r="M88" s="37">
        <f>SUM(J88:L88)</f>
        <v>5926</v>
      </c>
      <c r="N88" s="42">
        <f>SUM(N70:N87)</f>
        <v>1063</v>
      </c>
      <c r="O88" s="42">
        <f>SUM(O70:O87)</f>
        <v>0</v>
      </c>
      <c r="P88" s="42">
        <f>SUM(P70:P87)</f>
        <v>0</v>
      </c>
      <c r="Q88" s="37">
        <f>SUM(N88:P88)</f>
        <v>1063</v>
      </c>
      <c r="R88" s="37">
        <f>+E88+I88+M88+Q88</f>
        <v>14444</v>
      </c>
    </row>
    <row r="89" spans="1:20" ht="15.75" customHeight="1" x14ac:dyDescent="0.3">
      <c r="A89" s="235" t="s">
        <v>1172</v>
      </c>
      <c r="B89" s="248"/>
      <c r="C89" s="248"/>
      <c r="D89" s="248"/>
      <c r="E89" s="38" t="s">
        <v>852</v>
      </c>
      <c r="F89" s="248"/>
      <c r="G89" s="248"/>
      <c r="H89" s="248"/>
      <c r="I89" s="38" t="s">
        <v>852</v>
      </c>
      <c r="J89" s="248"/>
      <c r="K89" s="248"/>
      <c r="L89" s="248"/>
      <c r="M89" s="38" t="s">
        <v>852</v>
      </c>
      <c r="N89" s="248"/>
      <c r="O89" s="248"/>
      <c r="P89" s="248"/>
      <c r="Q89" s="38" t="s">
        <v>852</v>
      </c>
      <c r="R89" s="39" t="s">
        <v>852</v>
      </c>
    </row>
    <row r="90" spans="1:20" ht="15.75" customHeight="1" x14ac:dyDescent="0.3">
      <c r="A90" s="235" t="s">
        <v>1658</v>
      </c>
      <c r="B90" s="248"/>
      <c r="C90" s="248"/>
      <c r="D90" s="248"/>
      <c r="E90" s="38" t="s">
        <v>852</v>
      </c>
      <c r="F90" s="248"/>
      <c r="G90" s="248"/>
      <c r="H90" s="248"/>
      <c r="I90" s="38" t="s">
        <v>852</v>
      </c>
      <c r="J90" s="248"/>
      <c r="K90" s="248"/>
      <c r="L90" s="248"/>
      <c r="M90" s="38" t="s">
        <v>852</v>
      </c>
      <c r="N90" s="248"/>
      <c r="O90" s="248"/>
      <c r="P90" s="248"/>
      <c r="Q90" s="38" t="s">
        <v>852</v>
      </c>
      <c r="R90" s="38" t="s">
        <v>852</v>
      </c>
    </row>
    <row r="91" spans="1:20" ht="15.75" customHeight="1" x14ac:dyDescent="0.3">
      <c r="A91" s="235" t="s">
        <v>2409</v>
      </c>
      <c r="B91" s="248"/>
      <c r="C91" s="248"/>
      <c r="D91" s="248"/>
      <c r="E91" s="38" t="s">
        <v>852</v>
      </c>
      <c r="F91" s="248"/>
      <c r="G91" s="248"/>
      <c r="H91" s="248"/>
      <c r="I91" s="38" t="s">
        <v>852</v>
      </c>
      <c r="J91" s="248"/>
      <c r="K91" s="248"/>
      <c r="L91" s="248"/>
      <c r="M91" s="38" t="s">
        <v>852</v>
      </c>
      <c r="N91" s="248"/>
      <c r="O91" s="248"/>
      <c r="P91" s="248"/>
      <c r="Q91" s="38" t="s">
        <v>852</v>
      </c>
      <c r="R91" s="38" t="s">
        <v>852</v>
      </c>
    </row>
    <row r="92" spans="1:20" ht="15.75" customHeight="1" x14ac:dyDescent="0.3">
      <c r="A92" s="410" t="s">
        <v>701</v>
      </c>
      <c r="B92" s="10">
        <v>913</v>
      </c>
      <c r="C92" s="10">
        <v>1102</v>
      </c>
      <c r="D92" s="10">
        <v>3812</v>
      </c>
      <c r="E92" s="38">
        <f>SUM(B92:D92)</f>
        <v>5827</v>
      </c>
      <c r="F92" s="10">
        <v>5784</v>
      </c>
      <c r="G92" s="10">
        <v>4519</v>
      </c>
      <c r="H92" s="10">
        <v>3798</v>
      </c>
      <c r="I92" s="38">
        <f>SUM(F92:H92)</f>
        <v>14101</v>
      </c>
      <c r="J92" s="10">
        <v>4666</v>
      </c>
      <c r="K92" s="10">
        <v>5553</v>
      </c>
      <c r="L92" s="10">
        <v>2792</v>
      </c>
      <c r="M92" s="38">
        <f>SUM(J92:L92)</f>
        <v>13011</v>
      </c>
      <c r="N92" s="10">
        <v>4211</v>
      </c>
      <c r="O92" s="10">
        <v>2379</v>
      </c>
      <c r="P92" s="10">
        <v>4206</v>
      </c>
      <c r="Q92" s="38">
        <f>SUM(N92:P92)</f>
        <v>10796</v>
      </c>
      <c r="R92" s="38">
        <f>+E92+I92+M92+Q92</f>
        <v>43735</v>
      </c>
      <c r="T92" t="s">
        <v>2810</v>
      </c>
    </row>
    <row r="93" spans="1:20" ht="15.75" customHeight="1" x14ac:dyDescent="0.3">
      <c r="A93" s="410" t="s">
        <v>702</v>
      </c>
      <c r="B93" s="10"/>
      <c r="C93" s="10"/>
      <c r="D93" s="10"/>
      <c r="E93" s="38">
        <f>SUM(B93:D93)</f>
        <v>0</v>
      </c>
      <c r="F93" s="10">
        <v>1000</v>
      </c>
      <c r="G93" s="10">
        <v>1000</v>
      </c>
      <c r="H93" s="10">
        <v>1000</v>
      </c>
      <c r="I93" s="38">
        <f>SUM(F93:H93)</f>
        <v>3000</v>
      </c>
      <c r="J93" s="10">
        <v>460</v>
      </c>
      <c r="K93" s="10"/>
      <c r="L93" s="10"/>
      <c r="M93" s="38">
        <f>SUM(J93:L93)</f>
        <v>460</v>
      </c>
      <c r="N93" s="10"/>
      <c r="O93" s="10"/>
      <c r="P93" s="10"/>
      <c r="Q93" s="38">
        <f>SUM(N93:P93)</f>
        <v>0</v>
      </c>
      <c r="R93" s="38">
        <f>+E93+I93+M93+Q93</f>
        <v>3460</v>
      </c>
      <c r="T93" t="s">
        <v>2774</v>
      </c>
    </row>
    <row r="94" spans="1:20" ht="15.75" customHeight="1" thickBot="1" x14ac:dyDescent="0.35">
      <c r="A94" s="235" t="s">
        <v>2165</v>
      </c>
      <c r="B94" s="248"/>
      <c r="C94" s="248"/>
      <c r="D94" s="248"/>
      <c r="E94" s="38" t="s">
        <v>852</v>
      </c>
      <c r="F94" s="248"/>
      <c r="G94" s="248"/>
      <c r="H94" s="248"/>
      <c r="I94" s="38" t="s">
        <v>852</v>
      </c>
      <c r="J94" s="248"/>
      <c r="K94" s="248"/>
      <c r="L94" s="248"/>
      <c r="M94" s="38" t="s">
        <v>852</v>
      </c>
      <c r="N94" s="248"/>
      <c r="O94" s="248"/>
      <c r="P94" s="248"/>
      <c r="Q94" s="38" t="s">
        <v>852</v>
      </c>
      <c r="R94" s="38" t="s">
        <v>852</v>
      </c>
    </row>
    <row r="95" spans="1:20" ht="16.5" customHeight="1" thickBot="1" x14ac:dyDescent="0.35">
      <c r="A95" s="43" t="s">
        <v>1219</v>
      </c>
      <c r="B95" s="42">
        <f>SUM(B89:B94)</f>
        <v>913</v>
      </c>
      <c r="C95" s="42">
        <f>SUM(C89:C94)</f>
        <v>1102</v>
      </c>
      <c r="D95" s="42">
        <f>SUM(D89:D94)</f>
        <v>3812</v>
      </c>
      <c r="E95" s="37">
        <f>SUM(B95:D95)</f>
        <v>5827</v>
      </c>
      <c r="F95" s="42">
        <f>SUM(F89:F94)</f>
        <v>6784</v>
      </c>
      <c r="G95" s="42">
        <f>SUM(G89:G94)</f>
        <v>5519</v>
      </c>
      <c r="H95" s="42">
        <f>SUM(H89:H94)</f>
        <v>4798</v>
      </c>
      <c r="I95" s="37">
        <f>SUM(F95:H95)</f>
        <v>17101</v>
      </c>
      <c r="J95" s="42">
        <f>SUM(J89:J94)</f>
        <v>5126</v>
      </c>
      <c r="K95" s="42">
        <f>SUM(K89:K94)</f>
        <v>5553</v>
      </c>
      <c r="L95" s="42">
        <f>SUM(L89:L94)</f>
        <v>2792</v>
      </c>
      <c r="M95" s="37">
        <f>SUM(J95:L95)</f>
        <v>13471</v>
      </c>
      <c r="N95" s="42">
        <f>SUM(N89:N94)</f>
        <v>4211</v>
      </c>
      <c r="O95" s="42">
        <f>SUM(O89:O94)</f>
        <v>2379</v>
      </c>
      <c r="P95" s="42">
        <f>SUM(P89:P94)</f>
        <v>4206</v>
      </c>
      <c r="Q95" s="37">
        <f>SUM(N95:P95)</f>
        <v>10796</v>
      </c>
      <c r="R95" s="37">
        <f>+E95+I95+M95+Q95</f>
        <v>47195</v>
      </c>
    </row>
    <row r="96" spans="1:20" ht="15.75" customHeight="1" x14ac:dyDescent="0.3">
      <c r="A96" s="235" t="s">
        <v>2166</v>
      </c>
      <c r="B96" s="248"/>
      <c r="C96" s="248"/>
      <c r="D96" s="248"/>
      <c r="E96" s="38" t="s">
        <v>852</v>
      </c>
      <c r="F96" s="248"/>
      <c r="G96" s="248"/>
      <c r="H96" s="248"/>
      <c r="I96" s="38" t="s">
        <v>852</v>
      </c>
      <c r="J96" s="248"/>
      <c r="K96" s="248"/>
      <c r="L96" s="248"/>
      <c r="M96" s="38" t="s">
        <v>852</v>
      </c>
      <c r="N96" s="248"/>
      <c r="O96" s="248"/>
      <c r="P96" s="248"/>
      <c r="Q96" s="38" t="s">
        <v>852</v>
      </c>
      <c r="R96" s="38" t="s">
        <v>852</v>
      </c>
    </row>
    <row r="97" spans="1:20" ht="15.75" customHeight="1" x14ac:dyDescent="0.3">
      <c r="A97" s="235" t="s">
        <v>1245</v>
      </c>
      <c r="B97" s="248"/>
      <c r="C97" s="248"/>
      <c r="D97" s="248"/>
      <c r="E97" s="38" t="s">
        <v>852</v>
      </c>
      <c r="F97" s="248"/>
      <c r="G97" s="248"/>
      <c r="H97" s="248"/>
      <c r="I97" s="38" t="s">
        <v>852</v>
      </c>
      <c r="J97" s="248"/>
      <c r="K97" s="248"/>
      <c r="L97" s="248"/>
      <c r="M97" s="38" t="s">
        <v>852</v>
      </c>
      <c r="N97" s="248"/>
      <c r="O97" s="248"/>
      <c r="P97" s="248"/>
      <c r="Q97" s="38" t="s">
        <v>852</v>
      </c>
      <c r="R97" s="38" t="s">
        <v>852</v>
      </c>
    </row>
    <row r="98" spans="1:20" ht="15.75" customHeight="1" x14ac:dyDescent="0.3">
      <c r="A98" s="235" t="s">
        <v>1711</v>
      </c>
      <c r="B98" s="248"/>
      <c r="C98" s="248"/>
      <c r="D98" s="248"/>
      <c r="E98" s="38"/>
      <c r="F98" s="248"/>
      <c r="G98" s="248"/>
      <c r="H98" s="248"/>
      <c r="I98" s="38"/>
      <c r="J98" s="248"/>
      <c r="K98" s="248"/>
      <c r="L98" s="248"/>
      <c r="M98" s="38"/>
      <c r="N98" s="248"/>
      <c r="O98" s="248"/>
      <c r="P98" s="248"/>
      <c r="Q98" s="38"/>
      <c r="R98" s="38"/>
    </row>
    <row r="99" spans="1:20" ht="15.75" customHeight="1" x14ac:dyDescent="0.3">
      <c r="A99" s="410" t="s">
        <v>1584</v>
      </c>
      <c r="B99" s="172"/>
      <c r="C99" s="172"/>
      <c r="D99" s="172"/>
      <c r="E99" s="38">
        <f t="shared" ref="E99:E106" si="11">SUM(B99:D99)</f>
        <v>0</v>
      </c>
      <c r="F99" s="172"/>
      <c r="G99" s="172"/>
      <c r="H99" s="172"/>
      <c r="I99" s="38">
        <f t="shared" ref="I99:I106" si="12">SUM(F99:H99)</f>
        <v>0</v>
      </c>
      <c r="J99" s="172"/>
      <c r="K99" s="172"/>
      <c r="L99" s="172"/>
      <c r="M99" s="38">
        <f t="shared" ref="M99:M106" si="13">SUM(J99:L99)</f>
        <v>0</v>
      </c>
      <c r="N99" s="172"/>
      <c r="O99" s="172"/>
      <c r="P99" s="172"/>
      <c r="Q99" s="38">
        <f t="shared" ref="Q99:Q106" si="14">SUM(N99:P99)</f>
        <v>0</v>
      </c>
      <c r="R99" s="38">
        <f t="shared" ref="R99:R106" si="15">+E99+I99+M99+Q99</f>
        <v>0</v>
      </c>
    </row>
    <row r="100" spans="1:20" ht="15.75" customHeight="1" x14ac:dyDescent="0.3">
      <c r="A100" s="410" t="s">
        <v>1977</v>
      </c>
      <c r="B100" s="172"/>
      <c r="C100" s="172"/>
      <c r="D100" s="172"/>
      <c r="E100" s="38">
        <f t="shared" si="11"/>
        <v>0</v>
      </c>
      <c r="F100" s="172"/>
      <c r="G100" s="172"/>
      <c r="H100" s="172"/>
      <c r="I100" s="38">
        <f t="shared" si="12"/>
        <v>0</v>
      </c>
      <c r="J100" s="172"/>
      <c r="K100" s="172"/>
      <c r="L100" s="172"/>
      <c r="M100" s="38">
        <f t="shared" si="13"/>
        <v>0</v>
      </c>
      <c r="N100" s="172"/>
      <c r="O100" s="172"/>
      <c r="P100" s="172"/>
      <c r="Q100" s="38">
        <f t="shared" si="14"/>
        <v>0</v>
      </c>
      <c r="R100" s="38">
        <f t="shared" si="15"/>
        <v>0</v>
      </c>
    </row>
    <row r="101" spans="1:20" ht="15.75" customHeight="1" x14ac:dyDescent="0.3">
      <c r="A101" s="410" t="s">
        <v>1571</v>
      </c>
      <c r="B101" s="172"/>
      <c r="C101" s="172"/>
      <c r="D101" s="172"/>
      <c r="E101" s="38">
        <f>SUM(B101:D101)</f>
        <v>0</v>
      </c>
      <c r="F101" s="172"/>
      <c r="G101" s="172"/>
      <c r="H101" s="172"/>
      <c r="I101" s="38">
        <f>SUM(F101:H101)</f>
        <v>0</v>
      </c>
      <c r="J101" s="172"/>
      <c r="K101" s="172"/>
      <c r="L101" s="172"/>
      <c r="M101" s="38">
        <f>SUM(J101:L101)</f>
        <v>0</v>
      </c>
      <c r="N101" s="172"/>
      <c r="O101" s="172"/>
      <c r="P101" s="172"/>
      <c r="Q101" s="38">
        <f>SUM(N101:P101)</f>
        <v>0</v>
      </c>
      <c r="R101" s="38">
        <f>+E101+I101+M101+Q101</f>
        <v>0</v>
      </c>
    </row>
    <row r="102" spans="1:20" ht="15.75" customHeight="1" x14ac:dyDescent="0.3">
      <c r="A102" s="410" t="s">
        <v>2506</v>
      </c>
      <c r="B102" s="172"/>
      <c r="C102" s="172"/>
      <c r="D102" s="172"/>
      <c r="E102" s="38">
        <f>SUM(B102:D102)</f>
        <v>0</v>
      </c>
      <c r="F102" s="172"/>
      <c r="G102" s="172"/>
      <c r="H102" s="172"/>
      <c r="I102" s="38">
        <f>SUM(F102:H102)</f>
        <v>0</v>
      </c>
      <c r="J102" s="172"/>
      <c r="K102" s="172"/>
      <c r="L102" s="172"/>
      <c r="M102" s="38">
        <f>SUM(J102:L102)</f>
        <v>0</v>
      </c>
      <c r="N102" s="172"/>
      <c r="O102" s="172"/>
      <c r="P102" s="172"/>
      <c r="Q102" s="38">
        <f>SUM(N102:P102)</f>
        <v>0</v>
      </c>
      <c r="R102" s="38">
        <f>+E102+I102+M102+Q102</f>
        <v>0</v>
      </c>
      <c r="T102" t="s">
        <v>2799</v>
      </c>
    </row>
    <row r="103" spans="1:20" ht="15.75" customHeight="1" x14ac:dyDescent="0.3">
      <c r="A103" s="410" t="s">
        <v>436</v>
      </c>
      <c r="B103" s="10"/>
      <c r="C103" s="10"/>
      <c r="D103" s="10"/>
      <c r="E103" s="38">
        <f>SUM(B103:D103)</f>
        <v>0</v>
      </c>
      <c r="F103" s="10"/>
      <c r="G103" s="10"/>
      <c r="H103" s="10"/>
      <c r="I103" s="38">
        <f>SUM(F103:H103)</f>
        <v>0</v>
      </c>
      <c r="J103" s="10"/>
      <c r="K103" s="10"/>
      <c r="L103" s="10"/>
      <c r="M103" s="38">
        <f>SUM(J103:L103)</f>
        <v>0</v>
      </c>
      <c r="N103" s="10"/>
      <c r="O103" s="10"/>
      <c r="P103" s="10"/>
      <c r="Q103" s="38">
        <f>SUM(N103:P103)</f>
        <v>0</v>
      </c>
      <c r="R103" s="38">
        <f>+E103+I103+M103+Q103</f>
        <v>0</v>
      </c>
    </row>
    <row r="104" spans="1:20" ht="15.75" customHeight="1" x14ac:dyDescent="0.3">
      <c r="A104" s="410" t="s">
        <v>2182</v>
      </c>
      <c r="B104" s="172"/>
      <c r="C104" s="172"/>
      <c r="D104" s="172"/>
      <c r="E104" s="38">
        <f t="shared" si="11"/>
        <v>0</v>
      </c>
      <c r="F104" s="172"/>
      <c r="G104" s="172"/>
      <c r="H104" s="172"/>
      <c r="I104" s="38">
        <f t="shared" si="12"/>
        <v>0</v>
      </c>
      <c r="J104" s="172"/>
      <c r="K104" s="172"/>
      <c r="L104" s="172"/>
      <c r="M104" s="38">
        <f t="shared" si="13"/>
        <v>0</v>
      </c>
      <c r="N104" s="172"/>
      <c r="O104" s="172"/>
      <c r="P104" s="172"/>
      <c r="Q104" s="38">
        <f t="shared" si="14"/>
        <v>0</v>
      </c>
      <c r="R104" s="38">
        <f t="shared" si="15"/>
        <v>0</v>
      </c>
    </row>
    <row r="105" spans="1:20" ht="15.75" customHeight="1" thickBot="1" x14ac:dyDescent="0.35">
      <c r="A105" s="410" t="s">
        <v>2261</v>
      </c>
      <c r="B105" s="172"/>
      <c r="C105" s="172"/>
      <c r="D105" s="172"/>
      <c r="E105" s="38">
        <f t="shared" si="11"/>
        <v>0</v>
      </c>
      <c r="F105" s="172"/>
      <c r="G105" s="172"/>
      <c r="H105" s="172"/>
      <c r="I105" s="38">
        <f t="shared" si="12"/>
        <v>0</v>
      </c>
      <c r="J105" s="172"/>
      <c r="K105" s="172"/>
      <c r="L105" s="172"/>
      <c r="M105" s="38">
        <f t="shared" si="13"/>
        <v>0</v>
      </c>
      <c r="N105" s="172"/>
      <c r="O105" s="172"/>
      <c r="P105" s="172"/>
      <c r="Q105" s="38">
        <f t="shared" si="14"/>
        <v>0</v>
      </c>
      <c r="R105" s="38">
        <f t="shared" si="15"/>
        <v>0</v>
      </c>
    </row>
    <row r="106" spans="1:20" ht="16.5" customHeight="1" thickBot="1" x14ac:dyDescent="0.35">
      <c r="A106" s="43" t="s">
        <v>1220</v>
      </c>
      <c r="B106" s="42">
        <f>SUM(B96:B105)</f>
        <v>0</v>
      </c>
      <c r="C106" s="42">
        <f>SUM(C96:C105)</f>
        <v>0</v>
      </c>
      <c r="D106" s="42">
        <f>SUM(D96:D105)</f>
        <v>0</v>
      </c>
      <c r="E106" s="37">
        <f t="shared" si="11"/>
        <v>0</v>
      </c>
      <c r="F106" s="42">
        <f>SUM(F96:F105)</f>
        <v>0</v>
      </c>
      <c r="G106" s="42">
        <f>SUM(G96:G105)</f>
        <v>0</v>
      </c>
      <c r="H106" s="42">
        <f>SUM(H96:H105)</f>
        <v>0</v>
      </c>
      <c r="I106" s="37">
        <f t="shared" si="12"/>
        <v>0</v>
      </c>
      <c r="J106" s="42">
        <f>SUM(J96:J105)</f>
        <v>0</v>
      </c>
      <c r="K106" s="42">
        <f>SUM(K96:K105)</f>
        <v>0</v>
      </c>
      <c r="L106" s="42">
        <f>SUM(L96:L105)</f>
        <v>0</v>
      </c>
      <c r="M106" s="37">
        <f t="shared" si="13"/>
        <v>0</v>
      </c>
      <c r="N106" s="42">
        <f>SUM(N96:N105)</f>
        <v>0</v>
      </c>
      <c r="O106" s="42">
        <f>SUM(O96:O105)</f>
        <v>0</v>
      </c>
      <c r="P106" s="42">
        <f>SUM(P96:P105)</f>
        <v>0</v>
      </c>
      <c r="Q106" s="37">
        <f t="shared" si="14"/>
        <v>0</v>
      </c>
      <c r="R106" s="37">
        <f t="shared" si="15"/>
        <v>0</v>
      </c>
    </row>
    <row r="107" spans="1:20" ht="15.75" customHeight="1" x14ac:dyDescent="0.3">
      <c r="A107" s="235" t="s">
        <v>1712</v>
      </c>
      <c r="B107" s="248"/>
      <c r="C107" s="248"/>
      <c r="D107" s="248"/>
      <c r="E107" s="38" t="s">
        <v>852</v>
      </c>
      <c r="F107" s="248"/>
      <c r="G107" s="248"/>
      <c r="H107" s="248"/>
      <c r="I107" s="38" t="s">
        <v>852</v>
      </c>
      <c r="J107" s="248"/>
      <c r="K107" s="248"/>
      <c r="L107" s="248"/>
      <c r="M107" s="38" t="s">
        <v>852</v>
      </c>
      <c r="N107" s="248"/>
      <c r="O107" s="248"/>
      <c r="P107" s="248"/>
      <c r="Q107" s="38" t="s">
        <v>852</v>
      </c>
      <c r="R107" s="38" t="s">
        <v>852</v>
      </c>
    </row>
    <row r="108" spans="1:20" ht="15.75" customHeight="1" x14ac:dyDescent="0.3">
      <c r="A108" s="235" t="s">
        <v>1021</v>
      </c>
      <c r="B108" s="248"/>
      <c r="C108" s="248"/>
      <c r="D108" s="248"/>
      <c r="E108" s="38" t="s">
        <v>852</v>
      </c>
      <c r="F108" s="248"/>
      <c r="G108" s="248"/>
      <c r="H108" s="248"/>
      <c r="I108" s="38" t="s">
        <v>852</v>
      </c>
      <c r="J108" s="248"/>
      <c r="K108" s="248"/>
      <c r="L108" s="248"/>
      <c r="M108" s="38" t="s">
        <v>852</v>
      </c>
      <c r="N108" s="248"/>
      <c r="O108" s="248"/>
      <c r="P108" s="248"/>
      <c r="Q108" s="38" t="s">
        <v>852</v>
      </c>
      <c r="R108" s="38" t="s">
        <v>852</v>
      </c>
    </row>
    <row r="109" spans="1:20" ht="15.75" customHeight="1" x14ac:dyDescent="0.3">
      <c r="A109" s="422" t="s">
        <v>2751</v>
      </c>
      <c r="B109" s="172"/>
      <c r="C109" s="172"/>
      <c r="D109" s="172"/>
      <c r="E109" s="38">
        <f t="shared" ref="E109:E114" si="16">SUM(B109:D109)</f>
        <v>0</v>
      </c>
      <c r="F109" s="172"/>
      <c r="G109" s="172"/>
      <c r="H109" s="172"/>
      <c r="I109" s="38">
        <f t="shared" ref="I109:I114" si="17">SUM(F109:H109)</f>
        <v>0</v>
      </c>
      <c r="J109" s="172"/>
      <c r="K109" s="172"/>
      <c r="L109" s="172"/>
      <c r="M109" s="38">
        <f t="shared" ref="M109:M114" si="18">SUM(J109:L109)</f>
        <v>0</v>
      </c>
      <c r="N109" s="172"/>
      <c r="O109" s="172"/>
      <c r="P109" s="172"/>
      <c r="Q109" s="38">
        <f t="shared" ref="Q109:Q114" si="19">SUM(N109:P109)</f>
        <v>0</v>
      </c>
      <c r="R109" s="38">
        <f t="shared" ref="R109:R114" si="20">+E109+I109+M109+Q109</f>
        <v>0</v>
      </c>
    </row>
    <row r="110" spans="1:20" ht="15.75" customHeight="1" x14ac:dyDescent="0.3">
      <c r="A110" s="422" t="s">
        <v>656</v>
      </c>
      <c r="B110" s="172"/>
      <c r="C110" s="172"/>
      <c r="D110" s="172"/>
      <c r="E110" s="38">
        <f t="shared" si="16"/>
        <v>0</v>
      </c>
      <c r="F110" s="172"/>
      <c r="G110" s="172"/>
      <c r="H110" s="172"/>
      <c r="I110" s="38">
        <f t="shared" si="17"/>
        <v>0</v>
      </c>
      <c r="J110" s="172"/>
      <c r="K110" s="172"/>
      <c r="L110" s="172"/>
      <c r="M110" s="38">
        <f t="shared" si="18"/>
        <v>0</v>
      </c>
      <c r="N110" s="172"/>
      <c r="O110" s="172"/>
      <c r="P110" s="172"/>
      <c r="Q110" s="38">
        <f t="shared" si="19"/>
        <v>0</v>
      </c>
      <c r="R110" s="38">
        <f t="shared" si="20"/>
        <v>0</v>
      </c>
    </row>
    <row r="111" spans="1:20" ht="15.75" customHeight="1" x14ac:dyDescent="0.3">
      <c r="A111" s="422" t="s">
        <v>320</v>
      </c>
      <c r="B111" s="172"/>
      <c r="C111" s="172"/>
      <c r="D111" s="172"/>
      <c r="E111" s="38">
        <f t="shared" si="16"/>
        <v>0</v>
      </c>
      <c r="F111" s="172"/>
      <c r="G111" s="172"/>
      <c r="H111" s="172"/>
      <c r="I111" s="38">
        <f t="shared" si="17"/>
        <v>0</v>
      </c>
      <c r="J111" s="172"/>
      <c r="K111" s="172"/>
      <c r="L111" s="172"/>
      <c r="M111" s="38">
        <f t="shared" si="18"/>
        <v>0</v>
      </c>
      <c r="N111" s="172"/>
      <c r="O111" s="172"/>
      <c r="P111" s="172"/>
      <c r="Q111" s="38">
        <f t="shared" si="19"/>
        <v>0</v>
      </c>
      <c r="R111" s="38">
        <f t="shared" si="20"/>
        <v>0</v>
      </c>
    </row>
    <row r="112" spans="1:20" ht="15.75" customHeight="1" x14ac:dyDescent="0.3">
      <c r="A112" s="422" t="s">
        <v>563</v>
      </c>
      <c r="B112" s="172"/>
      <c r="C112" s="172"/>
      <c r="D112" s="172"/>
      <c r="E112" s="38">
        <f t="shared" si="16"/>
        <v>0</v>
      </c>
      <c r="F112" s="172"/>
      <c r="G112" s="172"/>
      <c r="H112" s="172"/>
      <c r="I112" s="38">
        <f t="shared" si="17"/>
        <v>0</v>
      </c>
      <c r="J112" s="172"/>
      <c r="K112" s="172"/>
      <c r="L112" s="172"/>
      <c r="M112" s="38">
        <f t="shared" si="18"/>
        <v>0</v>
      </c>
      <c r="N112" s="172"/>
      <c r="O112" s="172"/>
      <c r="P112" s="172"/>
      <c r="Q112" s="38">
        <f t="shared" si="19"/>
        <v>0</v>
      </c>
      <c r="R112" s="38">
        <f t="shared" si="20"/>
        <v>0</v>
      </c>
    </row>
    <row r="113" spans="1:20" ht="15.75" customHeight="1" x14ac:dyDescent="0.3">
      <c r="A113" s="422" t="s">
        <v>2123</v>
      </c>
      <c r="B113" s="172"/>
      <c r="C113" s="172"/>
      <c r="D113" s="172"/>
      <c r="E113" s="38">
        <f t="shared" si="16"/>
        <v>0</v>
      </c>
      <c r="F113" s="172"/>
      <c r="G113" s="172"/>
      <c r="H113" s="172"/>
      <c r="I113" s="38">
        <f t="shared" si="17"/>
        <v>0</v>
      </c>
      <c r="J113" s="172"/>
      <c r="K113" s="172"/>
      <c r="L113" s="172"/>
      <c r="M113" s="38">
        <f t="shared" si="18"/>
        <v>0</v>
      </c>
      <c r="N113" s="172"/>
      <c r="O113" s="172"/>
      <c r="P113" s="172"/>
      <c r="Q113" s="38">
        <f t="shared" si="19"/>
        <v>0</v>
      </c>
      <c r="R113" s="38">
        <f t="shared" si="20"/>
        <v>0</v>
      </c>
    </row>
    <row r="114" spans="1:20" ht="15.75" customHeight="1" x14ac:dyDescent="0.3">
      <c r="A114" s="422" t="s">
        <v>2752</v>
      </c>
      <c r="B114" s="172"/>
      <c r="C114" s="172"/>
      <c r="D114" s="172"/>
      <c r="E114" s="38">
        <f t="shared" si="16"/>
        <v>0</v>
      </c>
      <c r="F114" s="172"/>
      <c r="G114" s="172"/>
      <c r="H114" s="172"/>
      <c r="I114" s="38">
        <f t="shared" si="17"/>
        <v>0</v>
      </c>
      <c r="J114" s="172"/>
      <c r="K114" s="172"/>
      <c r="L114" s="172"/>
      <c r="M114" s="38">
        <f t="shared" si="18"/>
        <v>0</v>
      </c>
      <c r="N114" s="172"/>
      <c r="O114" s="172"/>
      <c r="P114" s="172"/>
      <c r="Q114" s="38">
        <f t="shared" si="19"/>
        <v>0</v>
      </c>
      <c r="R114" s="38">
        <f t="shared" si="20"/>
        <v>0</v>
      </c>
    </row>
    <row r="115" spans="1:20" ht="15.75" customHeight="1" x14ac:dyDescent="0.3">
      <c r="A115" s="422" t="s">
        <v>2690</v>
      </c>
      <c r="B115" s="172"/>
      <c r="C115" s="172"/>
      <c r="D115" s="172"/>
      <c r="E115" s="38">
        <f>SUM(B115:D115)</f>
        <v>0</v>
      </c>
      <c r="F115" s="172"/>
      <c r="G115" s="172"/>
      <c r="H115" s="172"/>
      <c r="I115" s="38">
        <f>SUM(F115:H115)</f>
        <v>0</v>
      </c>
      <c r="J115" s="172"/>
      <c r="K115" s="172"/>
      <c r="L115" s="172"/>
      <c r="M115" s="38">
        <f>SUM(J115:L115)</f>
        <v>0</v>
      </c>
      <c r="N115" s="172"/>
      <c r="O115" s="172"/>
      <c r="P115" s="172"/>
      <c r="Q115" s="38">
        <f>SUM(N115:P115)</f>
        <v>0</v>
      </c>
      <c r="R115" s="38">
        <f>+E115+I115+M115+Q115</f>
        <v>0</v>
      </c>
    </row>
    <row r="116" spans="1:20" ht="15.75" customHeight="1" x14ac:dyDescent="0.3">
      <c r="A116" s="618" t="s">
        <v>2503</v>
      </c>
      <c r="B116" s="172"/>
      <c r="C116" s="172"/>
      <c r="D116" s="172"/>
      <c r="E116" s="38">
        <f>SUM(B116:D116)</f>
        <v>0</v>
      </c>
      <c r="F116" s="172"/>
      <c r="G116" s="172"/>
      <c r="H116" s="172"/>
      <c r="I116" s="38">
        <f>SUM(F116:H116)</f>
        <v>0</v>
      </c>
      <c r="J116" s="172"/>
      <c r="K116" s="172"/>
      <c r="L116" s="172"/>
      <c r="M116" s="38">
        <f>SUM(J116:L116)</f>
        <v>0</v>
      </c>
      <c r="N116" s="172"/>
      <c r="O116" s="172"/>
      <c r="P116" s="172"/>
      <c r="Q116" s="38">
        <f>SUM(N116:P116)</f>
        <v>0</v>
      </c>
      <c r="R116" s="38">
        <f>+E116+I116+M116+Q116</f>
        <v>0</v>
      </c>
      <c r="T116" t="s">
        <v>2811</v>
      </c>
    </row>
    <row r="117" spans="1:20" ht="15.75" customHeight="1" x14ac:dyDescent="0.3">
      <c r="A117" s="235" t="s">
        <v>557</v>
      </c>
      <c r="B117" s="248"/>
      <c r="C117" s="248"/>
      <c r="D117" s="248"/>
      <c r="E117" s="38" t="s">
        <v>852</v>
      </c>
      <c r="F117" s="248"/>
      <c r="G117" s="248"/>
      <c r="H117" s="248"/>
      <c r="I117" s="38" t="s">
        <v>852</v>
      </c>
      <c r="J117" s="248"/>
      <c r="K117" s="248"/>
      <c r="L117" s="248"/>
      <c r="M117" s="38" t="s">
        <v>852</v>
      </c>
      <c r="N117" s="248"/>
      <c r="O117" s="248"/>
      <c r="P117" s="248"/>
      <c r="Q117" s="38" t="s">
        <v>852</v>
      </c>
      <c r="R117" s="38" t="s">
        <v>852</v>
      </c>
    </row>
    <row r="118" spans="1:20" ht="15.75" customHeight="1" x14ac:dyDescent="0.3">
      <c r="A118" s="422" t="s">
        <v>2606</v>
      </c>
      <c r="B118" s="172"/>
      <c r="C118" s="172"/>
      <c r="D118" s="172"/>
      <c r="E118" s="38">
        <f>SUM(B118:D118)</f>
        <v>0</v>
      </c>
      <c r="F118" s="172"/>
      <c r="G118" s="172"/>
      <c r="H118" s="172"/>
      <c r="I118" s="38">
        <f>SUM(F118:H118)</f>
        <v>0</v>
      </c>
      <c r="J118" s="172"/>
      <c r="K118" s="172"/>
      <c r="L118" s="172"/>
      <c r="M118" s="38">
        <f>SUM(J118:L118)</f>
        <v>0</v>
      </c>
      <c r="N118" s="172"/>
      <c r="O118" s="172">
        <v>393</v>
      </c>
      <c r="P118" s="172">
        <v>12504</v>
      </c>
      <c r="Q118" s="38">
        <f>SUM(N118:P118)</f>
        <v>12897</v>
      </c>
      <c r="R118" s="38">
        <f>+E118+I118+M118+Q118</f>
        <v>12897</v>
      </c>
    </row>
    <row r="119" spans="1:20" ht="15.75" customHeight="1" x14ac:dyDescent="0.3">
      <c r="A119" s="422" t="s">
        <v>2548</v>
      </c>
      <c r="B119" s="172"/>
      <c r="C119" s="172"/>
      <c r="D119" s="172"/>
      <c r="E119" s="38">
        <f>SUM(B119:D119)</f>
        <v>0</v>
      </c>
      <c r="F119" s="172"/>
      <c r="G119" s="172"/>
      <c r="H119" s="172"/>
      <c r="I119" s="38">
        <f>SUM(F119:H119)</f>
        <v>0</v>
      </c>
      <c r="J119" s="172"/>
      <c r="K119" s="172"/>
      <c r="L119" s="172"/>
      <c r="M119" s="38">
        <f>SUM(J119:L119)</f>
        <v>0</v>
      </c>
      <c r="N119" s="172"/>
      <c r="O119" s="172"/>
      <c r="P119" s="172"/>
      <c r="Q119" s="38">
        <f>SUM(N119:P119)</f>
        <v>0</v>
      </c>
      <c r="R119" s="38">
        <f>+E119+I119+M119+Q119</f>
        <v>0</v>
      </c>
    </row>
    <row r="120" spans="1:20" ht="15.75" customHeight="1" x14ac:dyDescent="0.3">
      <c r="A120" s="235" t="s">
        <v>1022</v>
      </c>
      <c r="B120" s="248"/>
      <c r="C120" s="248"/>
      <c r="D120" s="248"/>
      <c r="E120" s="38" t="s">
        <v>852</v>
      </c>
      <c r="F120" s="248"/>
      <c r="G120" s="248"/>
      <c r="H120" s="248"/>
      <c r="I120" s="38" t="s">
        <v>852</v>
      </c>
      <c r="J120" s="248"/>
      <c r="K120" s="248"/>
      <c r="L120" s="248"/>
      <c r="M120" s="38" t="s">
        <v>852</v>
      </c>
      <c r="N120" s="248"/>
      <c r="O120" s="248"/>
      <c r="P120" s="248"/>
      <c r="Q120" s="38" t="s">
        <v>852</v>
      </c>
      <c r="R120" s="38" t="s">
        <v>852</v>
      </c>
    </row>
    <row r="121" spans="1:20" ht="15.75" customHeight="1" x14ac:dyDescent="0.3">
      <c r="A121" s="422" t="s">
        <v>239</v>
      </c>
      <c r="B121" s="172"/>
      <c r="C121" s="172"/>
      <c r="D121" s="172"/>
      <c r="E121" s="38">
        <f>SUM(B121:D121)</f>
        <v>0</v>
      </c>
      <c r="F121" s="172"/>
      <c r="G121" s="172"/>
      <c r="H121" s="172"/>
      <c r="I121" s="38">
        <f>SUM(F121:H121)</f>
        <v>0</v>
      </c>
      <c r="J121" s="172"/>
      <c r="K121" s="172"/>
      <c r="L121" s="172"/>
      <c r="M121" s="38">
        <f>SUM(J121:L121)</f>
        <v>0</v>
      </c>
      <c r="N121" s="172">
        <v>22</v>
      </c>
      <c r="O121" s="172">
        <v>130</v>
      </c>
      <c r="P121" s="172">
        <v>135</v>
      </c>
      <c r="Q121" s="38">
        <f>SUM(N121:P121)</f>
        <v>287</v>
      </c>
      <c r="R121" s="38">
        <f>+E121+I121+M121+Q121</f>
        <v>287</v>
      </c>
      <c r="T121" t="s">
        <v>2774</v>
      </c>
    </row>
    <row r="122" spans="1:20" ht="15.75" customHeight="1" thickBot="1" x14ac:dyDescent="0.35">
      <c r="A122" s="235" t="s">
        <v>559</v>
      </c>
      <c r="B122" s="248"/>
      <c r="C122" s="248"/>
      <c r="D122" s="248"/>
      <c r="E122" s="38" t="s">
        <v>852</v>
      </c>
      <c r="F122" s="248"/>
      <c r="G122" s="248"/>
      <c r="H122" s="248"/>
      <c r="I122" s="38" t="s">
        <v>852</v>
      </c>
      <c r="J122" s="248"/>
      <c r="K122" s="248"/>
      <c r="L122" s="248"/>
      <c r="M122" s="38" t="s">
        <v>852</v>
      </c>
      <c r="N122" s="248"/>
      <c r="O122" s="248"/>
      <c r="P122" s="248"/>
      <c r="Q122" s="38" t="s">
        <v>852</v>
      </c>
      <c r="R122" s="38" t="s">
        <v>852</v>
      </c>
    </row>
    <row r="123" spans="1:20" ht="16.5" customHeight="1" thickBot="1" x14ac:dyDescent="0.35">
      <c r="A123" s="43" t="s">
        <v>1019</v>
      </c>
      <c r="B123" s="42">
        <f>SUM(B120:B122)</f>
        <v>0</v>
      </c>
      <c r="C123" s="42">
        <f>SUM(C120:C122)</f>
        <v>0</v>
      </c>
      <c r="D123" s="42">
        <f>SUM(D120:D122)</f>
        <v>0</v>
      </c>
      <c r="E123" s="39">
        <f>SUM(B123:D123)</f>
        <v>0</v>
      </c>
      <c r="F123" s="42">
        <f>SUM(F120:F122)</f>
        <v>0</v>
      </c>
      <c r="G123" s="42">
        <f>SUM(G120:G122)</f>
        <v>0</v>
      </c>
      <c r="H123" s="42">
        <f>SUM(H120:H122)</f>
        <v>0</v>
      </c>
      <c r="I123" s="39">
        <f>SUM(F123:H123)</f>
        <v>0</v>
      </c>
      <c r="J123" s="42">
        <f>SUM(J120:J122)</f>
        <v>0</v>
      </c>
      <c r="K123" s="42">
        <f>SUM(K120:K122)</f>
        <v>0</v>
      </c>
      <c r="L123" s="42">
        <f>SUM(L120:L122)</f>
        <v>0</v>
      </c>
      <c r="M123" s="39">
        <f>SUM(J123:L123)</f>
        <v>0</v>
      </c>
      <c r="N123" s="42">
        <f>SUM(N120:N122)</f>
        <v>22</v>
      </c>
      <c r="O123" s="42">
        <f>SUM(O120:O122)</f>
        <v>130</v>
      </c>
      <c r="P123" s="42">
        <f>SUM(P120:P122)</f>
        <v>135</v>
      </c>
      <c r="Q123" s="39">
        <f>SUM(N123:P123)</f>
        <v>287</v>
      </c>
      <c r="R123" s="37">
        <f>+E123+I123+M123+Q123</f>
        <v>287</v>
      </c>
    </row>
    <row r="124" spans="1:20" ht="16.5" customHeight="1" thickBot="1" x14ac:dyDescent="0.35">
      <c r="A124" s="43" t="s">
        <v>1221</v>
      </c>
      <c r="B124" s="42">
        <f>SUM(B107:B122)</f>
        <v>0</v>
      </c>
      <c r="C124" s="42">
        <f>SUM(C107:C122)</f>
        <v>0</v>
      </c>
      <c r="D124" s="42">
        <f>SUM(D107:D122)</f>
        <v>0</v>
      </c>
      <c r="E124" s="39">
        <f>SUM(B124:D124)</f>
        <v>0</v>
      </c>
      <c r="F124" s="42">
        <f>SUM(F107:F122)</f>
        <v>0</v>
      </c>
      <c r="G124" s="42">
        <f>SUM(G107:G122)</f>
        <v>0</v>
      </c>
      <c r="H124" s="42">
        <f>SUM(H107:H122)</f>
        <v>0</v>
      </c>
      <c r="I124" s="39">
        <f>SUM(F124:H124)</f>
        <v>0</v>
      </c>
      <c r="J124" s="42">
        <f>SUM(J107:J122)</f>
        <v>0</v>
      </c>
      <c r="K124" s="42">
        <f>SUM(K107:K122)</f>
        <v>0</v>
      </c>
      <c r="L124" s="42">
        <f>SUM(L107:L122)</f>
        <v>0</v>
      </c>
      <c r="M124" s="39">
        <f>SUM(J124:L124)</f>
        <v>0</v>
      </c>
      <c r="N124" s="42">
        <f>SUM(N107:N122)</f>
        <v>22</v>
      </c>
      <c r="O124" s="42">
        <f>SUM(O107:O122)</f>
        <v>523</v>
      </c>
      <c r="P124" s="42">
        <f>SUM(P107:P122)</f>
        <v>12639</v>
      </c>
      <c r="Q124" s="39">
        <f>SUM(N124:P124)</f>
        <v>13184</v>
      </c>
      <c r="R124" s="37">
        <f>+E124+I124+M124+Q124</f>
        <v>13184</v>
      </c>
    </row>
    <row r="125" spans="1:20" ht="16.5" customHeight="1" thickBot="1" x14ac:dyDescent="0.35">
      <c r="A125" s="43" t="s">
        <v>1222</v>
      </c>
      <c r="B125" s="42">
        <f>+B88+B95+B106+B124</f>
        <v>1783</v>
      </c>
      <c r="C125" s="42">
        <f>+C88+C95+C106+C124</f>
        <v>1548</v>
      </c>
      <c r="D125" s="42">
        <f>+D88+D95+D106+D124</f>
        <v>5689</v>
      </c>
      <c r="E125" s="37">
        <f>SUM(B125:D125)</f>
        <v>9020</v>
      </c>
      <c r="F125" s="42">
        <f>+F88+F95+F106+F124</f>
        <v>8151</v>
      </c>
      <c r="G125" s="42">
        <f>+G88+G95+G106+G124</f>
        <v>6972</v>
      </c>
      <c r="H125" s="42">
        <f>+H88+H95+H106+H124</f>
        <v>6240</v>
      </c>
      <c r="I125" s="37">
        <f>SUM(F125:H125)</f>
        <v>21363</v>
      </c>
      <c r="J125" s="42">
        <f>+J88+J95+J106+J124</f>
        <v>7227</v>
      </c>
      <c r="K125" s="42">
        <f>+K88+K95+K106+K124</f>
        <v>7721</v>
      </c>
      <c r="L125" s="42">
        <f>+L88+L95+L106+L124</f>
        <v>4449</v>
      </c>
      <c r="M125" s="37">
        <f>SUM(J125:L125)</f>
        <v>19397</v>
      </c>
      <c r="N125" s="42">
        <f>+N88+N95+N106+N124</f>
        <v>5296</v>
      </c>
      <c r="O125" s="42">
        <f>+O88+O95+O106+O124</f>
        <v>2902</v>
      </c>
      <c r="P125" s="42">
        <f>+P88+P95+P106+P124</f>
        <v>16845</v>
      </c>
      <c r="Q125" s="37">
        <f>SUM(N125:P125)</f>
        <v>25043</v>
      </c>
      <c r="R125" s="37">
        <f>+E125+I125+M125+Q125</f>
        <v>74823</v>
      </c>
    </row>
    <row r="126" spans="1:20" ht="16.5" customHeight="1" thickBot="1" x14ac:dyDescent="0.35">
      <c r="A126" s="257" t="s">
        <v>853</v>
      </c>
      <c r="B126" s="238">
        <v>173</v>
      </c>
      <c r="C126" s="238">
        <v>260</v>
      </c>
      <c r="D126" s="238">
        <v>471</v>
      </c>
      <c r="E126" s="38">
        <f>SUM(B126:D126)</f>
        <v>904</v>
      </c>
      <c r="F126" s="238">
        <v>629</v>
      </c>
      <c r="G126" s="238">
        <v>725</v>
      </c>
      <c r="H126" s="238">
        <v>712</v>
      </c>
      <c r="I126" s="38">
        <f>SUM(F126:H126)</f>
        <v>2066</v>
      </c>
      <c r="J126" s="238">
        <v>711</v>
      </c>
      <c r="K126" s="238">
        <v>573</v>
      </c>
      <c r="L126" s="238">
        <v>542</v>
      </c>
      <c r="M126" s="38">
        <f>SUM(J126:L126)</f>
        <v>1826</v>
      </c>
      <c r="N126" s="238">
        <v>490</v>
      </c>
      <c r="O126" s="238">
        <v>407</v>
      </c>
      <c r="P126" s="238">
        <v>323</v>
      </c>
      <c r="Q126" s="38">
        <f>SUM(N126:P126)</f>
        <v>1220</v>
      </c>
      <c r="R126" s="38">
        <f>+E126+I126+M126+Q126</f>
        <v>6016</v>
      </c>
    </row>
    <row r="127" spans="1:20" ht="16.5" customHeight="1" thickBot="1" x14ac:dyDescent="0.35">
      <c r="A127" s="44"/>
      <c r="B127" s="258"/>
      <c r="C127" s="258"/>
      <c r="D127" s="258"/>
      <c r="E127" s="37" t="s">
        <v>852</v>
      </c>
      <c r="F127" s="258"/>
      <c r="G127" s="258"/>
      <c r="H127" s="258"/>
      <c r="I127" s="37" t="s">
        <v>852</v>
      </c>
      <c r="J127" s="258"/>
      <c r="K127" s="258"/>
      <c r="L127" s="258"/>
      <c r="M127" s="37" t="s">
        <v>852</v>
      </c>
      <c r="N127" s="258"/>
      <c r="O127" s="258"/>
      <c r="P127" s="258"/>
      <c r="Q127" s="37" t="s">
        <v>852</v>
      </c>
      <c r="R127" s="37" t="s">
        <v>852</v>
      </c>
    </row>
    <row r="128" spans="1:20" ht="15.75" customHeight="1" x14ac:dyDescent="0.3">
      <c r="A128" s="259" t="s">
        <v>2011</v>
      </c>
      <c r="B128" s="260">
        <f>+B125+B126</f>
        <v>1956</v>
      </c>
      <c r="C128" s="260">
        <f>+C125+C126</f>
        <v>1808</v>
      </c>
      <c r="D128" s="260">
        <f>+D125+D126</f>
        <v>6160</v>
      </c>
      <c r="E128" s="38">
        <f>SUM(B128:D128)</f>
        <v>9924</v>
      </c>
      <c r="F128" s="260">
        <f>+F125+F126</f>
        <v>8780</v>
      </c>
      <c r="G128" s="260">
        <f>+G125+G126</f>
        <v>7697</v>
      </c>
      <c r="H128" s="260">
        <f>+H125+H126</f>
        <v>6952</v>
      </c>
      <c r="I128" s="38">
        <f>SUM(F128:H128)</f>
        <v>23429</v>
      </c>
      <c r="J128" s="260">
        <f>+J125+J126</f>
        <v>7938</v>
      </c>
      <c r="K128" s="260">
        <f>+K125+K126</f>
        <v>8294</v>
      </c>
      <c r="L128" s="260">
        <f>+L125+L126</f>
        <v>4991</v>
      </c>
      <c r="M128" s="38">
        <f>SUM(J128:L128)</f>
        <v>21223</v>
      </c>
      <c r="N128" s="260">
        <f>+N125+N126</f>
        <v>5786</v>
      </c>
      <c r="O128" s="260">
        <f>+O125+O126</f>
        <v>3309</v>
      </c>
      <c r="P128" s="260">
        <f>+P125+P126</f>
        <v>17168</v>
      </c>
      <c r="Q128" s="38">
        <f>SUM(N128:P128)</f>
        <v>26263</v>
      </c>
      <c r="R128" s="38">
        <f>+E128+I128+M128+Q128</f>
        <v>80839</v>
      </c>
    </row>
    <row r="129" spans="1:20" ht="15.75" customHeight="1" x14ac:dyDescent="0.3">
      <c r="A129" s="261" t="s">
        <v>1897</v>
      </c>
      <c r="B129" s="172">
        <f>(B128/B10)/1.983</f>
        <v>31.818847298814109</v>
      </c>
      <c r="C129" s="172">
        <f>(C128/C10)/1.983</f>
        <v>32.562495497442548</v>
      </c>
      <c r="D129" s="172">
        <f>(D128/D10)/1.983</f>
        <v>100.20659476518146</v>
      </c>
      <c r="E129" s="38" t="s">
        <v>852</v>
      </c>
      <c r="F129" s="172">
        <f>(F128/F10)/1.983</f>
        <v>147.58782988737605</v>
      </c>
      <c r="G129" s="172">
        <f>(G128/G10)/1.983</f>
        <v>125.20944154344183</v>
      </c>
      <c r="H129" s="172">
        <f>(H128/H10)/1.983</f>
        <v>116.85997646663303</v>
      </c>
      <c r="I129" s="38" t="s">
        <v>852</v>
      </c>
      <c r="J129" s="172">
        <f>(J128/J10)/1.983</f>
        <v>129.12986189058611</v>
      </c>
      <c r="K129" s="172">
        <f>(K128/K10)/1.983</f>
        <v>134.92102223740503</v>
      </c>
      <c r="L129" s="172">
        <f>(L128/L10)/1.983</f>
        <v>83.896453185409314</v>
      </c>
      <c r="M129" s="38" t="s">
        <v>852</v>
      </c>
      <c r="N129" s="172">
        <f>(N128/N10)/1.983</f>
        <v>94.122622940152581</v>
      </c>
      <c r="O129" s="172">
        <f>(O128/O10)/1.983</f>
        <v>55.622793746848203</v>
      </c>
      <c r="P129" s="172">
        <f>(P128/P10)/1.983</f>
        <v>279.27708099490832</v>
      </c>
      <c r="Q129" s="38" t="s">
        <v>852</v>
      </c>
      <c r="R129" s="38" t="s">
        <v>852</v>
      </c>
    </row>
    <row r="130" spans="1:20" ht="15.75" customHeight="1" x14ac:dyDescent="0.3">
      <c r="A130" s="262" t="s">
        <v>1679</v>
      </c>
      <c r="B130" s="172">
        <f>B128+B270</f>
        <v>80890</v>
      </c>
      <c r="C130" s="172">
        <f>C128+C270</f>
        <v>145736</v>
      </c>
      <c r="D130" s="172">
        <f>D128+D270</f>
        <v>178180</v>
      </c>
      <c r="E130" s="38">
        <f>SUM(B130:D130)</f>
        <v>404806</v>
      </c>
      <c r="F130" s="172">
        <f>F128+F270</f>
        <v>149886</v>
      </c>
      <c r="G130" s="172">
        <f>G128+G270</f>
        <v>175185</v>
      </c>
      <c r="H130" s="172">
        <f>H128+H270</f>
        <v>129293</v>
      </c>
      <c r="I130" s="38">
        <f>SUM(F130:H130)</f>
        <v>454364</v>
      </c>
      <c r="J130" s="172">
        <f>J128+J270</f>
        <v>83968</v>
      </c>
      <c r="K130" s="172">
        <f>K128+K270</f>
        <v>96205</v>
      </c>
      <c r="L130" s="172">
        <f>L128+L270</f>
        <v>149359</v>
      </c>
      <c r="M130" s="38">
        <f>SUM(J130:L130)</f>
        <v>329532</v>
      </c>
      <c r="N130" s="172">
        <f>N128+N270</f>
        <v>187011</v>
      </c>
      <c r="O130" s="172">
        <f>O128+O270</f>
        <v>143948</v>
      </c>
      <c r="P130" s="172">
        <f>P128+P270</f>
        <v>137286</v>
      </c>
      <c r="Q130" s="38">
        <f>SUM(N130:P130)</f>
        <v>468245</v>
      </c>
      <c r="R130" s="38">
        <f>+E130+I130+M130+Q130</f>
        <v>1656947</v>
      </c>
    </row>
    <row r="131" spans="1:20" ht="16.5" customHeight="1" thickBot="1" x14ac:dyDescent="0.35">
      <c r="A131" s="263" t="s">
        <v>6</v>
      </c>
      <c r="B131" s="264">
        <f>(B130/B10)/1.983</f>
        <v>1315.8622484668065</v>
      </c>
      <c r="C131" s="264">
        <f>(C130/C10)/1.983</f>
        <v>2624.7388516677474</v>
      </c>
      <c r="D131" s="264">
        <f>(D130/D10)/1.983</f>
        <v>2898.5082881915637</v>
      </c>
      <c r="E131" s="40" t="s">
        <v>852</v>
      </c>
      <c r="F131" s="264">
        <f>(F130/F10)/1.983</f>
        <v>2519.5158850226926</v>
      </c>
      <c r="G131" s="264">
        <f>(G130/G10)/1.983</f>
        <v>2849.7877116782975</v>
      </c>
      <c r="H131" s="264">
        <f>(H130/H10)/1.983</f>
        <v>2173.3568667002855</v>
      </c>
      <c r="I131" s="40" t="s">
        <v>852</v>
      </c>
      <c r="J131" s="264">
        <f>(J130/J10)/1.983</f>
        <v>1365.9330112407072</v>
      </c>
      <c r="K131" s="264">
        <f>(K130/K10)/1.983</f>
        <v>1564.9960145104355</v>
      </c>
      <c r="L131" s="264">
        <f>(L130/L10)/1.983</f>
        <v>2510.6572533198855</v>
      </c>
      <c r="M131" s="40" t="s">
        <v>852</v>
      </c>
      <c r="N131" s="264">
        <f>(N130/N10)/1.983</f>
        <v>3042.1648528622322</v>
      </c>
      <c r="O131" s="264">
        <f>(O130/O10)/1.983</f>
        <v>2419.7007900487474</v>
      </c>
      <c r="P131" s="264">
        <f>(P130/P10)/1.983</f>
        <v>2233.2731443072571</v>
      </c>
      <c r="Q131" s="40" t="s">
        <v>852</v>
      </c>
      <c r="R131" s="40" t="s">
        <v>852</v>
      </c>
    </row>
    <row r="132" spans="1:20" ht="15.75" customHeight="1" x14ac:dyDescent="0.3">
      <c r="A132" s="18"/>
      <c r="B132" s="172"/>
      <c r="C132" s="172"/>
      <c r="D132" s="172"/>
      <c r="E132" s="172"/>
      <c r="F132" s="172"/>
      <c r="G132" s="172"/>
      <c r="H132" s="172"/>
      <c r="I132" s="172"/>
      <c r="J132" s="172"/>
      <c r="K132" s="172"/>
      <c r="L132" s="172"/>
      <c r="M132" s="172"/>
      <c r="N132" s="172"/>
      <c r="O132" s="172"/>
      <c r="P132" s="172"/>
      <c r="Q132" s="172"/>
      <c r="R132" s="17"/>
    </row>
    <row r="133" spans="1:20" ht="15.75" customHeight="1" thickBot="1" x14ac:dyDescent="0.35">
      <c r="A133" s="18" t="s">
        <v>852</v>
      </c>
      <c r="B133" s="172"/>
      <c r="C133" s="172"/>
      <c r="D133" s="172"/>
      <c r="E133" s="172"/>
      <c r="F133" s="172"/>
      <c r="G133" s="172"/>
      <c r="H133" s="172"/>
      <c r="I133" s="172"/>
      <c r="J133" s="172"/>
      <c r="K133" s="172"/>
      <c r="L133" s="172"/>
      <c r="M133" s="172"/>
      <c r="N133" s="172"/>
      <c r="O133" s="172"/>
      <c r="P133" s="172"/>
      <c r="Q133" s="172"/>
      <c r="R133" s="17"/>
    </row>
    <row r="134" spans="1:20" ht="16.5" customHeight="1" thickBot="1" x14ac:dyDescent="0.35">
      <c r="A134" s="240" t="s">
        <v>1446</v>
      </c>
      <c r="B134" s="4" t="s">
        <v>2090</v>
      </c>
      <c r="C134" s="5" t="s">
        <v>2091</v>
      </c>
      <c r="D134" s="5" t="s">
        <v>2234</v>
      </c>
      <c r="E134" s="33" t="s">
        <v>1594</v>
      </c>
      <c r="F134" s="5" t="s">
        <v>2235</v>
      </c>
      <c r="G134" s="5" t="s">
        <v>2236</v>
      </c>
      <c r="H134" s="5" t="s">
        <v>2237</v>
      </c>
      <c r="I134" s="35" t="s">
        <v>1595</v>
      </c>
      <c r="J134" s="5" t="s">
        <v>1504</v>
      </c>
      <c r="K134" s="5" t="s">
        <v>1505</v>
      </c>
      <c r="L134" s="5" t="s">
        <v>1506</v>
      </c>
      <c r="M134" s="35" t="s">
        <v>1596</v>
      </c>
      <c r="N134" s="5" t="s">
        <v>1507</v>
      </c>
      <c r="O134" s="5" t="s">
        <v>1508</v>
      </c>
      <c r="P134" s="5" t="s">
        <v>1509</v>
      </c>
      <c r="Q134" s="35" t="s">
        <v>1597</v>
      </c>
      <c r="R134" s="36" t="s">
        <v>1510</v>
      </c>
    </row>
    <row r="135" spans="1:20" ht="16.5" customHeight="1" thickBot="1" x14ac:dyDescent="0.35">
      <c r="A135" s="44"/>
      <c r="B135" s="258"/>
      <c r="C135" s="258"/>
      <c r="D135" s="258"/>
      <c r="E135" s="265"/>
      <c r="F135" s="258"/>
      <c r="G135" s="258"/>
      <c r="H135" s="258"/>
      <c r="I135" s="265"/>
      <c r="J135" s="258"/>
      <c r="K135" s="258"/>
      <c r="L135" s="258"/>
      <c r="M135" s="265"/>
      <c r="N135" s="258"/>
      <c r="O135" s="258"/>
      <c r="P135" s="258"/>
      <c r="Q135" s="265"/>
      <c r="R135" s="44"/>
    </row>
    <row r="136" spans="1:20" ht="15.75" customHeight="1" x14ac:dyDescent="0.3">
      <c r="A136" s="234" t="s">
        <v>2417</v>
      </c>
      <c r="B136" s="172" t="s">
        <v>852</v>
      </c>
      <c r="C136" s="172" t="s">
        <v>852</v>
      </c>
      <c r="D136" s="172" t="s">
        <v>852</v>
      </c>
      <c r="E136" s="38" t="s">
        <v>852</v>
      </c>
      <c r="F136" s="172" t="s">
        <v>852</v>
      </c>
      <c r="G136" s="172" t="s">
        <v>852</v>
      </c>
      <c r="H136" s="172" t="s">
        <v>852</v>
      </c>
      <c r="I136" s="38" t="s">
        <v>852</v>
      </c>
      <c r="J136" s="172" t="s">
        <v>852</v>
      </c>
      <c r="K136" s="172" t="s">
        <v>852</v>
      </c>
      <c r="L136" s="172" t="s">
        <v>852</v>
      </c>
      <c r="M136" s="38" t="s">
        <v>852</v>
      </c>
      <c r="N136" s="172" t="s">
        <v>852</v>
      </c>
      <c r="O136" s="172" t="s">
        <v>852</v>
      </c>
      <c r="P136" s="172" t="s">
        <v>852</v>
      </c>
      <c r="Q136" s="38" t="s">
        <v>852</v>
      </c>
      <c r="R136" s="48" t="s">
        <v>852</v>
      </c>
    </row>
    <row r="137" spans="1:20" ht="15.75" customHeight="1" x14ac:dyDescent="0.3">
      <c r="A137" s="234" t="s">
        <v>2160</v>
      </c>
      <c r="B137" s="172"/>
      <c r="C137" s="172"/>
      <c r="D137" s="172"/>
      <c r="E137" s="38" t="s">
        <v>852</v>
      </c>
      <c r="F137" s="172"/>
      <c r="G137" s="172"/>
      <c r="H137" s="172"/>
      <c r="I137" s="38" t="s">
        <v>852</v>
      </c>
      <c r="J137" s="172"/>
      <c r="K137" s="172"/>
      <c r="L137" s="172"/>
      <c r="M137" s="38" t="s">
        <v>852</v>
      </c>
      <c r="N137" s="172"/>
      <c r="O137" s="172"/>
      <c r="P137" s="172"/>
      <c r="Q137" s="38" t="s">
        <v>852</v>
      </c>
      <c r="R137" s="48"/>
    </row>
    <row r="138" spans="1:20" ht="15.75" customHeight="1" x14ac:dyDescent="0.3">
      <c r="A138" s="569" t="s">
        <v>2730</v>
      </c>
      <c r="B138" s="172"/>
      <c r="C138" s="172"/>
      <c r="D138" s="172">
        <v>200</v>
      </c>
      <c r="E138" s="38">
        <f t="shared" ref="E138:E152" si="21">SUM(B138:D138)</f>
        <v>200</v>
      </c>
      <c r="F138" s="172">
        <v>599</v>
      </c>
      <c r="G138" s="172">
        <v>649</v>
      </c>
      <c r="H138" s="172">
        <v>847</v>
      </c>
      <c r="I138" s="38">
        <f t="shared" ref="I138:I152" si="22">SUM(F138:H138)</f>
        <v>2095</v>
      </c>
      <c r="J138" s="172">
        <v>620</v>
      </c>
      <c r="K138" s="172">
        <v>698</v>
      </c>
      <c r="L138" s="172">
        <v>576</v>
      </c>
      <c r="M138" s="38">
        <f t="shared" ref="M138:M152" si="23">SUM(J138:L138)</f>
        <v>1894</v>
      </c>
      <c r="N138" s="172"/>
      <c r="O138" s="172"/>
      <c r="P138" s="172"/>
      <c r="Q138" s="38">
        <f>SUM(N138:P138)</f>
        <v>0</v>
      </c>
      <c r="R138" s="38">
        <f>+E138+I138+M138+Q138</f>
        <v>4189</v>
      </c>
      <c r="T138" t="s">
        <v>2764</v>
      </c>
    </row>
    <row r="139" spans="1:20" ht="15.75" customHeight="1" x14ac:dyDescent="0.3">
      <c r="A139" s="569" t="s">
        <v>2733</v>
      </c>
      <c r="B139" s="172"/>
      <c r="C139" s="172">
        <v>245</v>
      </c>
      <c r="D139" s="172">
        <v>699</v>
      </c>
      <c r="E139" s="38">
        <f t="shared" si="21"/>
        <v>944</v>
      </c>
      <c r="F139" s="172">
        <v>996</v>
      </c>
      <c r="G139" s="172">
        <v>1374</v>
      </c>
      <c r="H139" s="172">
        <v>1259</v>
      </c>
      <c r="I139" s="38">
        <f t="shared" si="22"/>
        <v>3629</v>
      </c>
      <c r="J139" s="172">
        <v>1586</v>
      </c>
      <c r="K139" s="172">
        <v>1200</v>
      </c>
      <c r="L139" s="172">
        <v>1269</v>
      </c>
      <c r="M139" s="38">
        <f t="shared" si="23"/>
        <v>4055</v>
      </c>
      <c r="N139" s="172">
        <v>984</v>
      </c>
      <c r="O139" s="172">
        <v>930</v>
      </c>
      <c r="P139" s="172">
        <v>285</v>
      </c>
      <c r="Q139" s="38">
        <f>SUM(N139:P139)</f>
        <v>2199</v>
      </c>
      <c r="R139" s="38">
        <f>+E139+I139+M139+Q139</f>
        <v>10827</v>
      </c>
      <c r="T139" t="s">
        <v>2764</v>
      </c>
    </row>
    <row r="140" spans="1:20" ht="15.75" customHeight="1" x14ac:dyDescent="0.3">
      <c r="A140" s="569" t="s">
        <v>2734</v>
      </c>
      <c r="B140" s="172"/>
      <c r="C140" s="172"/>
      <c r="D140" s="172">
        <v>221</v>
      </c>
      <c r="E140" s="38">
        <f t="shared" si="21"/>
        <v>221</v>
      </c>
      <c r="F140" s="172">
        <v>339</v>
      </c>
      <c r="G140" s="172">
        <v>339</v>
      </c>
      <c r="H140" s="172">
        <v>562</v>
      </c>
      <c r="I140" s="38">
        <f t="shared" si="22"/>
        <v>1240</v>
      </c>
      <c r="J140" s="172">
        <v>339</v>
      </c>
      <c r="K140" s="172">
        <v>265</v>
      </c>
      <c r="L140" s="172">
        <v>307</v>
      </c>
      <c r="M140" s="38">
        <f t="shared" si="23"/>
        <v>911</v>
      </c>
      <c r="N140" s="172"/>
      <c r="O140" s="172"/>
      <c r="P140" s="172"/>
      <c r="Q140" s="38">
        <f>SUM(N140:P140)</f>
        <v>0</v>
      </c>
      <c r="R140" s="38">
        <f>+E140+I140+M140+Q140</f>
        <v>2372</v>
      </c>
      <c r="T140" t="s">
        <v>2764</v>
      </c>
    </row>
    <row r="141" spans="1:20" ht="15.75" customHeight="1" x14ac:dyDescent="0.3">
      <c r="A141" s="569" t="s">
        <v>2735</v>
      </c>
      <c r="B141" s="172"/>
      <c r="C141" s="172"/>
      <c r="D141" s="172">
        <v>222</v>
      </c>
      <c r="E141" s="38">
        <f t="shared" si="21"/>
        <v>222</v>
      </c>
      <c r="F141" s="172">
        <v>323</v>
      </c>
      <c r="G141" s="172">
        <v>323</v>
      </c>
      <c r="H141" s="172">
        <v>539</v>
      </c>
      <c r="I141" s="38">
        <f t="shared" si="22"/>
        <v>1185</v>
      </c>
      <c r="J141" s="172">
        <v>324</v>
      </c>
      <c r="K141" s="172">
        <v>323</v>
      </c>
      <c r="L141" s="172">
        <v>403</v>
      </c>
      <c r="M141" s="38">
        <f t="shared" si="23"/>
        <v>1050</v>
      </c>
      <c r="N141" s="172">
        <v>647</v>
      </c>
      <c r="O141" s="172">
        <v>127</v>
      </c>
      <c r="P141" s="172"/>
      <c r="Q141" s="38">
        <f>SUM(N141:P141)</f>
        <v>774</v>
      </c>
      <c r="R141" s="38">
        <f>+E141+I141+M141+Q141</f>
        <v>3231</v>
      </c>
      <c r="T141" t="s">
        <v>2764</v>
      </c>
    </row>
    <row r="142" spans="1:20" ht="15.75" customHeight="1" x14ac:dyDescent="0.3">
      <c r="A142" s="539" t="s">
        <v>2238</v>
      </c>
      <c r="B142" s="10">
        <v>0</v>
      </c>
      <c r="C142" s="10">
        <v>0</v>
      </c>
      <c r="D142" s="10">
        <v>0</v>
      </c>
      <c r="E142" s="38">
        <f t="shared" si="21"/>
        <v>0</v>
      </c>
      <c r="F142" s="10">
        <v>0</v>
      </c>
      <c r="G142" s="10">
        <v>0</v>
      </c>
      <c r="H142" s="10">
        <v>0</v>
      </c>
      <c r="I142" s="38">
        <f t="shared" si="22"/>
        <v>0</v>
      </c>
      <c r="J142" s="10">
        <v>0</v>
      </c>
      <c r="K142" s="10">
        <v>0</v>
      </c>
      <c r="L142" s="10">
        <v>0</v>
      </c>
      <c r="M142" s="38">
        <f t="shared" si="23"/>
        <v>0</v>
      </c>
      <c r="N142" s="10">
        <v>0</v>
      </c>
      <c r="O142" s="10">
        <v>0</v>
      </c>
      <c r="P142" s="10">
        <v>0</v>
      </c>
      <c r="Q142" s="38">
        <f>SUM(N142:P142)</f>
        <v>0</v>
      </c>
      <c r="R142" s="38">
        <f>+E142+I142+M142+Q142</f>
        <v>0</v>
      </c>
      <c r="T142" t="s">
        <v>1193</v>
      </c>
    </row>
    <row r="143" spans="1:20" ht="15.75" customHeight="1" x14ac:dyDescent="0.3">
      <c r="A143" s="569" t="s">
        <v>2736</v>
      </c>
      <c r="B143" s="172"/>
      <c r="C143" s="172"/>
      <c r="D143" s="172"/>
      <c r="E143" s="38">
        <f t="shared" si="21"/>
        <v>0</v>
      </c>
      <c r="F143" s="172"/>
      <c r="G143" s="172"/>
      <c r="H143" s="172"/>
      <c r="I143" s="38">
        <f t="shared" si="22"/>
        <v>0</v>
      </c>
      <c r="J143" s="172"/>
      <c r="K143" s="172"/>
      <c r="L143" s="172"/>
      <c r="M143" s="38">
        <f t="shared" si="23"/>
        <v>0</v>
      </c>
      <c r="N143" s="172"/>
      <c r="O143" s="172"/>
      <c r="P143" s="172"/>
      <c r="Q143" s="38">
        <f t="shared" ref="Q143:Q171" si="24">SUM(N143:P143)</f>
        <v>0</v>
      </c>
      <c r="R143" s="38">
        <f t="shared" ref="R143:R171" si="25">+E143+I143+M143+Q143</f>
        <v>0</v>
      </c>
      <c r="T143" t="s">
        <v>2769</v>
      </c>
    </row>
    <row r="144" spans="1:20" ht="15.75" customHeight="1" x14ac:dyDescent="0.3">
      <c r="A144" s="569" t="s">
        <v>917</v>
      </c>
      <c r="B144" s="172"/>
      <c r="C144" s="172">
        <v>637</v>
      </c>
      <c r="D144" s="172">
        <v>1000</v>
      </c>
      <c r="E144" s="38">
        <f t="shared" si="21"/>
        <v>1637</v>
      </c>
      <c r="F144" s="172">
        <v>1285</v>
      </c>
      <c r="G144" s="172">
        <v>900</v>
      </c>
      <c r="H144" s="172">
        <v>798</v>
      </c>
      <c r="I144" s="38">
        <f t="shared" si="22"/>
        <v>2983</v>
      </c>
      <c r="J144" s="172">
        <v>796</v>
      </c>
      <c r="K144" s="172"/>
      <c r="L144" s="172"/>
      <c r="M144" s="38">
        <f t="shared" si="23"/>
        <v>796</v>
      </c>
      <c r="N144" s="172"/>
      <c r="O144" s="172"/>
      <c r="P144" s="172"/>
      <c r="Q144" s="38">
        <f t="shared" si="24"/>
        <v>0</v>
      </c>
      <c r="R144" s="38">
        <f t="shared" si="25"/>
        <v>5416</v>
      </c>
      <c r="T144" t="s">
        <v>2770</v>
      </c>
    </row>
    <row r="145" spans="1:20" ht="15.75" customHeight="1" x14ac:dyDescent="0.3">
      <c r="A145" s="569" t="s">
        <v>1323</v>
      </c>
      <c r="B145" s="172"/>
      <c r="C145" s="172"/>
      <c r="D145" s="172"/>
      <c r="E145" s="38">
        <f t="shared" si="21"/>
        <v>0</v>
      </c>
      <c r="F145" s="172"/>
      <c r="G145" s="172"/>
      <c r="H145" s="172"/>
      <c r="I145" s="38">
        <f t="shared" si="22"/>
        <v>0</v>
      </c>
      <c r="J145" s="172"/>
      <c r="K145" s="172"/>
      <c r="L145" s="172"/>
      <c r="M145" s="38">
        <f t="shared" si="23"/>
        <v>0</v>
      </c>
      <c r="N145" s="172"/>
      <c r="O145" s="172"/>
      <c r="P145" s="172"/>
      <c r="Q145" s="38">
        <f t="shared" si="24"/>
        <v>0</v>
      </c>
      <c r="R145" s="38">
        <f t="shared" si="25"/>
        <v>0</v>
      </c>
      <c r="T145" t="s">
        <v>2769</v>
      </c>
    </row>
    <row r="146" spans="1:20" ht="15.75" customHeight="1" x14ac:dyDescent="0.3">
      <c r="A146" s="569" t="s">
        <v>2317</v>
      </c>
      <c r="B146" s="172"/>
      <c r="C146" s="172"/>
      <c r="D146" s="172">
        <v>1339</v>
      </c>
      <c r="E146" s="38">
        <f t="shared" si="21"/>
        <v>1339</v>
      </c>
      <c r="F146" s="172">
        <v>661</v>
      </c>
      <c r="G146" s="172"/>
      <c r="H146" s="172">
        <v>500</v>
      </c>
      <c r="I146" s="38">
        <f t="shared" si="22"/>
        <v>1161</v>
      </c>
      <c r="J146" s="172">
        <v>736</v>
      </c>
      <c r="K146" s="172"/>
      <c r="L146" s="172"/>
      <c r="M146" s="38">
        <f t="shared" si="23"/>
        <v>736</v>
      </c>
      <c r="N146" s="172"/>
      <c r="O146" s="172"/>
      <c r="P146" s="172"/>
      <c r="Q146" s="38">
        <f t="shared" si="24"/>
        <v>0</v>
      </c>
      <c r="R146" s="38">
        <f t="shared" si="25"/>
        <v>3236</v>
      </c>
      <c r="T146" t="s">
        <v>2770</v>
      </c>
    </row>
    <row r="147" spans="1:20" ht="15.75" customHeight="1" x14ac:dyDescent="0.3">
      <c r="A147" s="539" t="s">
        <v>1880</v>
      </c>
      <c r="B147" s="172">
        <v>19</v>
      </c>
      <c r="C147" s="172">
        <v>8</v>
      </c>
      <c r="D147" s="172">
        <v>17</v>
      </c>
      <c r="E147" s="38">
        <f t="shared" si="21"/>
        <v>44</v>
      </c>
      <c r="F147" s="172">
        <v>60</v>
      </c>
      <c r="G147" s="172">
        <v>60</v>
      </c>
      <c r="H147" s="172">
        <v>61</v>
      </c>
      <c r="I147" s="38">
        <f t="shared" si="22"/>
        <v>181</v>
      </c>
      <c r="J147" s="172">
        <v>49</v>
      </c>
      <c r="K147" s="172">
        <v>44</v>
      </c>
      <c r="L147" s="172">
        <v>40</v>
      </c>
      <c r="M147" s="38">
        <f t="shared" si="23"/>
        <v>133</v>
      </c>
      <c r="N147" s="172">
        <v>44</v>
      </c>
      <c r="O147" s="172">
        <v>39</v>
      </c>
      <c r="P147" s="172">
        <v>49</v>
      </c>
      <c r="Q147" s="38">
        <f t="shared" si="24"/>
        <v>132</v>
      </c>
      <c r="R147" s="38">
        <f t="shared" si="25"/>
        <v>490</v>
      </c>
      <c r="T147" t="s">
        <v>2761</v>
      </c>
    </row>
    <row r="148" spans="1:20" ht="15.75" customHeight="1" x14ac:dyDescent="0.3">
      <c r="A148" s="539" t="s">
        <v>703</v>
      </c>
      <c r="B148" s="10">
        <v>172</v>
      </c>
      <c r="C148" s="10">
        <v>147</v>
      </c>
      <c r="D148" s="10">
        <v>171</v>
      </c>
      <c r="E148" s="38">
        <f t="shared" si="21"/>
        <v>490</v>
      </c>
      <c r="F148" s="10">
        <v>168</v>
      </c>
      <c r="G148" s="10">
        <v>195</v>
      </c>
      <c r="H148" s="10">
        <v>208</v>
      </c>
      <c r="I148" s="38">
        <f t="shared" si="22"/>
        <v>571</v>
      </c>
      <c r="J148" s="10">
        <v>189</v>
      </c>
      <c r="K148" s="10">
        <v>212</v>
      </c>
      <c r="L148" s="10">
        <v>185</v>
      </c>
      <c r="M148" s="38">
        <f t="shared" si="23"/>
        <v>586</v>
      </c>
      <c r="N148" s="10">
        <v>171</v>
      </c>
      <c r="O148" s="10">
        <v>157</v>
      </c>
      <c r="P148" s="10">
        <v>150</v>
      </c>
      <c r="Q148" s="38">
        <f t="shared" si="24"/>
        <v>478</v>
      </c>
      <c r="R148" s="38">
        <f t="shared" si="25"/>
        <v>2125</v>
      </c>
      <c r="T148" t="s">
        <v>2874</v>
      </c>
    </row>
    <row r="149" spans="1:20" ht="15.75" customHeight="1" x14ac:dyDescent="0.3">
      <c r="A149" s="539" t="s">
        <v>2304</v>
      </c>
      <c r="B149" s="172"/>
      <c r="C149" s="172"/>
      <c r="D149" s="172"/>
      <c r="E149" s="38">
        <f t="shared" si="21"/>
        <v>0</v>
      </c>
      <c r="F149" s="172"/>
      <c r="G149" s="172"/>
      <c r="H149" s="172"/>
      <c r="I149" s="38">
        <f t="shared" si="22"/>
        <v>0</v>
      </c>
      <c r="J149" s="172"/>
      <c r="K149" s="172"/>
      <c r="L149" s="172"/>
      <c r="M149" s="38">
        <f t="shared" si="23"/>
        <v>0</v>
      </c>
      <c r="N149" s="172">
        <v>722</v>
      </c>
      <c r="O149" s="172"/>
      <c r="P149" s="172">
        <v>396</v>
      </c>
      <c r="Q149" s="38">
        <f t="shared" si="24"/>
        <v>1118</v>
      </c>
      <c r="R149" s="38">
        <f t="shared" si="25"/>
        <v>1118</v>
      </c>
      <c r="T149" t="s">
        <v>2760</v>
      </c>
    </row>
    <row r="150" spans="1:20" ht="15.75" customHeight="1" x14ac:dyDescent="0.3">
      <c r="A150" s="569" t="s">
        <v>2829</v>
      </c>
      <c r="B150" s="172"/>
      <c r="C150" s="172"/>
      <c r="D150" s="172"/>
      <c r="E150" s="38">
        <f t="shared" si="21"/>
        <v>0</v>
      </c>
      <c r="F150" s="172">
        <v>50</v>
      </c>
      <c r="G150" s="172">
        <v>25</v>
      </c>
      <c r="H150" s="172">
        <v>25</v>
      </c>
      <c r="I150" s="38">
        <f t="shared" si="22"/>
        <v>100</v>
      </c>
      <c r="J150" s="172">
        <v>25</v>
      </c>
      <c r="K150" s="172">
        <v>25</v>
      </c>
      <c r="L150" s="172">
        <v>25</v>
      </c>
      <c r="M150" s="38">
        <f t="shared" si="23"/>
        <v>75</v>
      </c>
      <c r="N150" s="172">
        <v>25</v>
      </c>
      <c r="O150" s="172">
        <v>0</v>
      </c>
      <c r="P150" s="172"/>
      <c r="Q150" s="38">
        <f t="shared" si="24"/>
        <v>25</v>
      </c>
      <c r="R150" s="38">
        <f t="shared" si="25"/>
        <v>200</v>
      </c>
      <c r="T150" t="s">
        <v>2764</v>
      </c>
    </row>
    <row r="151" spans="1:20" ht="15.75" customHeight="1" x14ac:dyDescent="0.3">
      <c r="A151" s="539" t="s">
        <v>2830</v>
      </c>
      <c r="B151" s="172">
        <v>410</v>
      </c>
      <c r="C151" s="172">
        <v>343</v>
      </c>
      <c r="D151" s="172">
        <v>426</v>
      </c>
      <c r="E151" s="38">
        <f t="shared" si="21"/>
        <v>1179</v>
      </c>
      <c r="F151" s="172">
        <f>528-50</f>
        <v>478</v>
      </c>
      <c r="G151" s="172">
        <f>563-25</f>
        <v>538</v>
      </c>
      <c r="H151" s="172">
        <v>582</v>
      </c>
      <c r="I151" s="38">
        <f t="shared" si="22"/>
        <v>1598</v>
      </c>
      <c r="J151" s="172">
        <v>617</v>
      </c>
      <c r="K151" s="172">
        <v>618</v>
      </c>
      <c r="L151" s="172">
        <v>540</v>
      </c>
      <c r="M151" s="38">
        <f t="shared" si="23"/>
        <v>1775</v>
      </c>
      <c r="N151" s="172">
        <v>591</v>
      </c>
      <c r="O151" s="172">
        <v>470</v>
      </c>
      <c r="P151" s="172">
        <v>412</v>
      </c>
      <c r="Q151" s="38">
        <f t="shared" si="24"/>
        <v>1473</v>
      </c>
      <c r="R151" s="38">
        <f t="shared" si="25"/>
        <v>6025</v>
      </c>
      <c r="T151" t="s">
        <v>2762</v>
      </c>
    </row>
    <row r="152" spans="1:20" ht="15.75" customHeight="1" x14ac:dyDescent="0.3">
      <c r="A152" s="569" t="s">
        <v>2845</v>
      </c>
      <c r="B152" s="172"/>
      <c r="C152" s="172"/>
      <c r="D152" s="172"/>
      <c r="E152" s="38">
        <f t="shared" si="21"/>
        <v>0</v>
      </c>
      <c r="F152" s="172"/>
      <c r="G152" s="172"/>
      <c r="H152" s="172"/>
      <c r="I152" s="38">
        <f t="shared" si="22"/>
        <v>0</v>
      </c>
      <c r="J152" s="172"/>
      <c r="K152" s="172"/>
      <c r="L152" s="172">
        <v>508</v>
      </c>
      <c r="M152" s="38">
        <f t="shared" si="23"/>
        <v>508</v>
      </c>
      <c r="N152" s="172"/>
      <c r="O152" s="172"/>
      <c r="P152" s="172"/>
      <c r="Q152" s="38">
        <f t="shared" si="24"/>
        <v>0</v>
      </c>
      <c r="R152" s="38">
        <f t="shared" si="25"/>
        <v>508</v>
      </c>
      <c r="T152" t="s">
        <v>2770</v>
      </c>
    </row>
    <row r="153" spans="1:20" ht="15.75" customHeight="1" x14ac:dyDescent="0.3">
      <c r="A153" s="539" t="s">
        <v>2809</v>
      </c>
      <c r="B153" s="172"/>
      <c r="C153" s="172"/>
      <c r="D153" s="172"/>
      <c r="E153" s="38">
        <f t="shared" ref="E153:E167" si="26">SUM(B153:D153)</f>
        <v>0</v>
      </c>
      <c r="F153" s="172"/>
      <c r="G153" s="172"/>
      <c r="H153" s="172"/>
      <c r="I153" s="38">
        <f t="shared" ref="I153:I167" si="27">SUM(F153:H153)</f>
        <v>0</v>
      </c>
      <c r="J153" s="172"/>
      <c r="K153" s="172"/>
      <c r="L153" s="172"/>
      <c r="M153" s="38">
        <f t="shared" ref="M153:M167" si="28">SUM(J153:L153)</f>
        <v>0</v>
      </c>
      <c r="N153" s="172">
        <v>892</v>
      </c>
      <c r="O153" s="172">
        <v>703</v>
      </c>
      <c r="P153" s="172">
        <v>362</v>
      </c>
      <c r="Q153" s="38">
        <f t="shared" ref="Q153:Q167" si="29">SUM(N153:P153)</f>
        <v>1957</v>
      </c>
      <c r="R153" s="38">
        <f t="shared" si="25"/>
        <v>1957</v>
      </c>
      <c r="T153" t="s">
        <v>2760</v>
      </c>
    </row>
    <row r="154" spans="1:20" s="353" customFormat="1" ht="15.75" customHeight="1" x14ac:dyDescent="0.3">
      <c r="A154" s="535" t="s">
        <v>1242</v>
      </c>
      <c r="B154" s="352"/>
      <c r="C154" s="352"/>
      <c r="D154" s="352"/>
      <c r="E154" s="331">
        <f t="shared" si="26"/>
        <v>0</v>
      </c>
      <c r="F154" s="352"/>
      <c r="G154" s="352"/>
      <c r="H154" s="352"/>
      <c r="I154" s="331">
        <f t="shared" si="27"/>
        <v>0</v>
      </c>
      <c r="J154" s="352"/>
      <c r="K154" s="352"/>
      <c r="L154" s="352"/>
      <c r="M154" s="331">
        <f t="shared" si="28"/>
        <v>0</v>
      </c>
      <c r="N154" s="352"/>
      <c r="O154" s="352"/>
      <c r="P154" s="352"/>
      <c r="Q154" s="331">
        <f t="shared" si="29"/>
        <v>0</v>
      </c>
      <c r="R154" s="331">
        <f t="shared" si="25"/>
        <v>0</v>
      </c>
    </row>
    <row r="155" spans="1:20" ht="15.75" customHeight="1" x14ac:dyDescent="0.3">
      <c r="A155" s="539" t="s">
        <v>1379</v>
      </c>
      <c r="B155" s="172"/>
      <c r="C155" s="172"/>
      <c r="D155" s="172"/>
      <c r="E155" s="38">
        <f>SUM(B155:D155)</f>
        <v>0</v>
      </c>
      <c r="F155" s="172">
        <v>771</v>
      </c>
      <c r="G155" s="172">
        <v>1929</v>
      </c>
      <c r="H155" s="172">
        <v>2171</v>
      </c>
      <c r="I155" s="38">
        <f>SUM(F155:H155)</f>
        <v>4871</v>
      </c>
      <c r="J155" s="172">
        <v>1503</v>
      </c>
      <c r="K155" s="172">
        <v>1407</v>
      </c>
      <c r="L155" s="172">
        <v>1434</v>
      </c>
      <c r="M155" s="38">
        <f>SUM(J155:L155)</f>
        <v>4344</v>
      </c>
      <c r="N155" s="172">
        <v>1379</v>
      </c>
      <c r="O155" s="172">
        <v>903</v>
      </c>
      <c r="P155" s="172">
        <v>1631</v>
      </c>
      <c r="Q155" s="38">
        <f>SUM(N155:P155)</f>
        <v>3913</v>
      </c>
      <c r="R155" s="38">
        <f>+E155+I155+M155+Q155</f>
        <v>13128</v>
      </c>
      <c r="T155" t="s">
        <v>2775</v>
      </c>
    </row>
    <row r="156" spans="1:20" ht="15.75" customHeight="1" x14ac:dyDescent="0.3">
      <c r="A156" s="569" t="s">
        <v>2767</v>
      </c>
      <c r="B156" s="172"/>
      <c r="C156" s="172"/>
      <c r="D156" s="172"/>
      <c r="E156" s="38">
        <f>SUM(B156:D156)</f>
        <v>0</v>
      </c>
      <c r="F156" s="172"/>
      <c r="G156" s="172"/>
      <c r="H156" s="172"/>
      <c r="I156" s="38">
        <f>SUM(F156:H156)</f>
        <v>0</v>
      </c>
      <c r="J156" s="172"/>
      <c r="K156" s="172"/>
      <c r="L156" s="172"/>
      <c r="M156" s="38">
        <f>SUM(J156:L156)</f>
        <v>0</v>
      </c>
      <c r="N156" s="172"/>
      <c r="O156" s="172"/>
      <c r="P156" s="172"/>
      <c r="Q156" s="38">
        <f>SUM(N156:P156)</f>
        <v>0</v>
      </c>
      <c r="R156" s="38">
        <f>+E156+I156+M156+Q156</f>
        <v>0</v>
      </c>
      <c r="T156" t="s">
        <v>2769</v>
      </c>
    </row>
    <row r="157" spans="1:20" ht="15.75" customHeight="1" x14ac:dyDescent="0.3">
      <c r="A157" s="569" t="s">
        <v>2768</v>
      </c>
      <c r="B157" s="172"/>
      <c r="C157" s="172">
        <v>500</v>
      </c>
      <c r="D157" s="172"/>
      <c r="E157" s="38">
        <f>SUM(B157:D157)</f>
        <v>500</v>
      </c>
      <c r="F157" s="172">
        <v>800</v>
      </c>
      <c r="G157" s="172">
        <v>1038</v>
      </c>
      <c r="H157" s="172"/>
      <c r="I157" s="38">
        <f>SUM(F157:H157)</f>
        <v>1838</v>
      </c>
      <c r="J157" s="172">
        <v>1312</v>
      </c>
      <c r="K157" s="172"/>
      <c r="L157" s="172"/>
      <c r="M157" s="38">
        <f>SUM(J157:L157)</f>
        <v>1312</v>
      </c>
      <c r="N157" s="172"/>
      <c r="O157" s="172"/>
      <c r="P157" s="172"/>
      <c r="Q157" s="38">
        <f>SUM(N157:P157)</f>
        <v>0</v>
      </c>
      <c r="R157" s="38">
        <f>+E157+I157+M157+Q157</f>
        <v>3650</v>
      </c>
      <c r="T157" t="s">
        <v>2770</v>
      </c>
    </row>
    <row r="158" spans="1:20" ht="15.75" customHeight="1" x14ac:dyDescent="0.3">
      <c r="A158" s="539" t="s">
        <v>1879</v>
      </c>
      <c r="B158" s="172">
        <v>19</v>
      </c>
      <c r="C158" s="172">
        <v>19</v>
      </c>
      <c r="D158" s="172">
        <v>47</v>
      </c>
      <c r="E158" s="38">
        <f>SUM(B158:D158)</f>
        <v>85</v>
      </c>
      <c r="F158" s="172">
        <v>57</v>
      </c>
      <c r="G158" s="172">
        <v>65</v>
      </c>
      <c r="H158" s="172">
        <v>80</v>
      </c>
      <c r="I158" s="38">
        <f>SUM(F158:H158)</f>
        <v>202</v>
      </c>
      <c r="J158" s="172">
        <v>84</v>
      </c>
      <c r="K158" s="172">
        <v>65</v>
      </c>
      <c r="L158" s="172">
        <v>60</v>
      </c>
      <c r="M158" s="38">
        <f>SUM(J158:L158)</f>
        <v>209</v>
      </c>
      <c r="N158" s="172">
        <v>69</v>
      </c>
      <c r="O158" s="172">
        <v>36</v>
      </c>
      <c r="P158" s="172">
        <v>24</v>
      </c>
      <c r="Q158" s="38">
        <f>SUM(N158:P158)</f>
        <v>129</v>
      </c>
      <c r="R158" s="38">
        <f>+E158+I158+M158+Q158</f>
        <v>625</v>
      </c>
      <c r="T158" t="s">
        <v>1193</v>
      </c>
    </row>
    <row r="159" spans="1:20" ht="15.75" customHeight="1" x14ac:dyDescent="0.3">
      <c r="A159" s="569" t="s">
        <v>2737</v>
      </c>
      <c r="B159" s="172"/>
      <c r="C159" s="172"/>
      <c r="D159" s="172">
        <v>500</v>
      </c>
      <c r="E159" s="38">
        <f>SUM(B159:D159)</f>
        <v>500</v>
      </c>
      <c r="F159" s="172"/>
      <c r="G159" s="172"/>
      <c r="H159" s="172"/>
      <c r="I159" s="38">
        <f>SUM(F159:H159)</f>
        <v>0</v>
      </c>
      <c r="J159" s="356"/>
      <c r="K159" s="172"/>
      <c r="L159" s="172"/>
      <c r="M159" s="38">
        <f>SUM(J159:L159)</f>
        <v>0</v>
      </c>
      <c r="N159" s="172"/>
      <c r="O159" s="172"/>
      <c r="P159" s="172"/>
      <c r="Q159" s="38">
        <f>SUM(N159:P159)</f>
        <v>0</v>
      </c>
      <c r="R159" s="38">
        <f t="shared" si="25"/>
        <v>500</v>
      </c>
      <c r="T159" t="s">
        <v>2769</v>
      </c>
    </row>
    <row r="160" spans="1:20" ht="15.75" customHeight="1" x14ac:dyDescent="0.3">
      <c r="A160" s="569" t="s">
        <v>2738</v>
      </c>
      <c r="B160" s="172"/>
      <c r="C160" s="172"/>
      <c r="D160" s="172"/>
      <c r="E160" s="38">
        <f t="shared" si="26"/>
        <v>0</v>
      </c>
      <c r="F160" s="172"/>
      <c r="G160" s="172"/>
      <c r="H160" s="172"/>
      <c r="I160" s="38">
        <f t="shared" si="27"/>
        <v>0</v>
      </c>
      <c r="J160" s="356"/>
      <c r="K160" s="172"/>
      <c r="L160" s="172"/>
      <c r="M160" s="38">
        <f t="shared" si="28"/>
        <v>0</v>
      </c>
      <c r="N160" s="172"/>
      <c r="O160" s="172"/>
      <c r="P160" s="172"/>
      <c r="Q160" s="38">
        <f t="shared" si="29"/>
        <v>0</v>
      </c>
      <c r="R160" s="38">
        <f t="shared" si="25"/>
        <v>0</v>
      </c>
      <c r="T160" t="s">
        <v>2770</v>
      </c>
    </row>
    <row r="161" spans="1:20" ht="15.75" customHeight="1" x14ac:dyDescent="0.3">
      <c r="A161" s="569" t="s">
        <v>2816</v>
      </c>
      <c r="B161" s="172">
        <v>29</v>
      </c>
      <c r="C161" s="172">
        <v>20</v>
      </c>
      <c r="D161" s="172">
        <v>37</v>
      </c>
      <c r="E161" s="38">
        <f t="shared" si="26"/>
        <v>86</v>
      </c>
      <c r="F161" s="172">
        <v>57</v>
      </c>
      <c r="G161" s="172">
        <v>79</v>
      </c>
      <c r="H161" s="172">
        <v>92</v>
      </c>
      <c r="I161" s="38">
        <f t="shared" si="27"/>
        <v>228</v>
      </c>
      <c r="J161" s="356">
        <v>87</v>
      </c>
      <c r="K161" s="172">
        <v>76</v>
      </c>
      <c r="L161" s="172">
        <v>63</v>
      </c>
      <c r="M161" s="38">
        <f t="shared" si="28"/>
        <v>226</v>
      </c>
      <c r="N161" s="172">
        <v>97</v>
      </c>
      <c r="O161" s="172">
        <v>31</v>
      </c>
      <c r="P161" s="172">
        <v>24</v>
      </c>
      <c r="Q161" s="38">
        <f t="shared" si="29"/>
        <v>152</v>
      </c>
      <c r="R161" s="38">
        <f t="shared" si="25"/>
        <v>692</v>
      </c>
      <c r="T161" t="s">
        <v>2819</v>
      </c>
    </row>
    <row r="162" spans="1:20" ht="15.75" customHeight="1" x14ac:dyDescent="0.3">
      <c r="A162" s="569" t="s">
        <v>2817</v>
      </c>
      <c r="B162" s="172">
        <v>15</v>
      </c>
      <c r="C162" s="172">
        <v>16</v>
      </c>
      <c r="D162" s="172">
        <v>41</v>
      </c>
      <c r="E162" s="38">
        <f t="shared" si="26"/>
        <v>72</v>
      </c>
      <c r="F162" s="172">
        <v>56</v>
      </c>
      <c r="G162" s="172">
        <v>56</v>
      </c>
      <c r="H162" s="172">
        <v>89</v>
      </c>
      <c r="I162" s="38">
        <f t="shared" si="27"/>
        <v>201</v>
      </c>
      <c r="J162" s="356">
        <v>159</v>
      </c>
      <c r="K162" s="172">
        <v>89</v>
      </c>
      <c r="L162" s="172">
        <v>95</v>
      </c>
      <c r="M162" s="38">
        <f t="shared" si="28"/>
        <v>343</v>
      </c>
      <c r="N162" s="172">
        <v>106</v>
      </c>
      <c r="O162" s="172">
        <v>47</v>
      </c>
      <c r="P162" s="172">
        <v>23</v>
      </c>
      <c r="Q162" s="38">
        <f>SUM(N162:P162)</f>
        <v>176</v>
      </c>
      <c r="R162" s="38">
        <f>+E162+I162+M162+Q162</f>
        <v>792</v>
      </c>
      <c r="T162" t="s">
        <v>1193</v>
      </c>
    </row>
    <row r="163" spans="1:20" ht="15.75" customHeight="1" x14ac:dyDescent="0.3">
      <c r="A163" s="569" t="s">
        <v>2818</v>
      </c>
      <c r="B163" s="172"/>
      <c r="C163" s="172"/>
      <c r="D163" s="172"/>
      <c r="E163" s="38">
        <f t="shared" si="26"/>
        <v>0</v>
      </c>
      <c r="F163" s="172">
        <v>8</v>
      </c>
      <c r="G163" s="172">
        <v>69</v>
      </c>
      <c r="H163" s="172">
        <v>80</v>
      </c>
      <c r="I163" s="38">
        <f t="shared" si="27"/>
        <v>157</v>
      </c>
      <c r="J163" s="356">
        <v>21</v>
      </c>
      <c r="K163" s="172">
        <v>29</v>
      </c>
      <c r="L163" s="172">
        <v>27</v>
      </c>
      <c r="M163" s="38">
        <f t="shared" si="28"/>
        <v>77</v>
      </c>
      <c r="N163" s="172">
        <v>26</v>
      </c>
      <c r="O163" s="172">
        <v>1</v>
      </c>
      <c r="P163" s="172">
        <v>1</v>
      </c>
      <c r="Q163" s="38">
        <f>SUM(N163:P163)</f>
        <v>28</v>
      </c>
      <c r="R163" s="38">
        <f>+E163+I163+M163+Q163</f>
        <v>262</v>
      </c>
      <c r="T163" t="s">
        <v>2764</v>
      </c>
    </row>
    <row r="164" spans="1:20" ht="15.75" customHeight="1" x14ac:dyDescent="0.3">
      <c r="A164" s="539" t="s">
        <v>2758</v>
      </c>
      <c r="B164" s="172"/>
      <c r="C164" s="172"/>
      <c r="D164" s="172"/>
      <c r="E164" s="38">
        <f t="shared" si="26"/>
        <v>0</v>
      </c>
      <c r="F164" s="172"/>
      <c r="G164" s="172"/>
      <c r="H164" s="172"/>
      <c r="I164" s="38">
        <f t="shared" si="27"/>
        <v>0</v>
      </c>
      <c r="J164" s="356">
        <v>758</v>
      </c>
      <c r="K164" s="172">
        <v>1047</v>
      </c>
      <c r="L164" s="172">
        <v>946</v>
      </c>
      <c r="M164" s="38">
        <f t="shared" si="28"/>
        <v>2751</v>
      </c>
      <c r="N164" s="172">
        <v>1009</v>
      </c>
      <c r="O164" s="172">
        <v>804</v>
      </c>
      <c r="P164" s="172">
        <v>732</v>
      </c>
      <c r="Q164" s="38">
        <f t="shared" si="29"/>
        <v>2545</v>
      </c>
      <c r="R164" s="38">
        <f t="shared" si="25"/>
        <v>5296</v>
      </c>
      <c r="T164" t="s">
        <v>2775</v>
      </c>
    </row>
    <row r="165" spans="1:20" ht="15.75" customHeight="1" x14ac:dyDescent="0.3">
      <c r="A165" s="539" t="s">
        <v>2813</v>
      </c>
      <c r="B165" s="172"/>
      <c r="C165" s="172"/>
      <c r="D165" s="172"/>
      <c r="E165" s="38">
        <f t="shared" si="26"/>
        <v>0</v>
      </c>
      <c r="F165" s="172"/>
      <c r="G165" s="172"/>
      <c r="H165" s="172"/>
      <c r="I165" s="38">
        <f t="shared" si="27"/>
        <v>0</v>
      </c>
      <c r="J165" s="356">
        <v>2600</v>
      </c>
      <c r="K165" s="172">
        <v>1400</v>
      </c>
      <c r="L165" s="172">
        <v>1000</v>
      </c>
      <c r="M165" s="38">
        <f t="shared" si="28"/>
        <v>5000</v>
      </c>
      <c r="N165" s="172"/>
      <c r="O165" s="172"/>
      <c r="P165" s="172"/>
      <c r="Q165" s="38">
        <f t="shared" si="29"/>
        <v>0</v>
      </c>
      <c r="R165" s="38">
        <f t="shared" si="25"/>
        <v>5000</v>
      </c>
      <c r="T165" t="s">
        <v>2760</v>
      </c>
    </row>
    <row r="166" spans="1:20" ht="15.75" customHeight="1" x14ac:dyDescent="0.3">
      <c r="A166" s="539" t="s">
        <v>2820</v>
      </c>
      <c r="B166" s="172"/>
      <c r="C166" s="172"/>
      <c r="D166" s="172"/>
      <c r="E166" s="38">
        <f t="shared" si="26"/>
        <v>0</v>
      </c>
      <c r="F166" s="172"/>
      <c r="G166" s="172"/>
      <c r="H166" s="172"/>
      <c r="I166" s="38">
        <f t="shared" si="27"/>
        <v>0</v>
      </c>
      <c r="J166" s="172"/>
      <c r="K166" s="172"/>
      <c r="L166" s="172"/>
      <c r="M166" s="38">
        <f t="shared" si="28"/>
        <v>0</v>
      </c>
      <c r="N166" s="172"/>
      <c r="O166" s="172"/>
      <c r="P166" s="172"/>
      <c r="Q166" s="38">
        <f t="shared" si="29"/>
        <v>0</v>
      </c>
      <c r="R166" s="38">
        <f t="shared" si="25"/>
        <v>0</v>
      </c>
      <c r="T166" t="s">
        <v>2760</v>
      </c>
    </row>
    <row r="167" spans="1:20" ht="15.75" customHeight="1" x14ac:dyDescent="0.3">
      <c r="A167" s="539" t="s">
        <v>2426</v>
      </c>
      <c r="B167" s="10">
        <v>9443</v>
      </c>
      <c r="C167" s="10">
        <v>6325</v>
      </c>
      <c r="D167" s="10">
        <v>4654</v>
      </c>
      <c r="E167" s="38">
        <f t="shared" si="26"/>
        <v>20422</v>
      </c>
      <c r="F167" s="10">
        <v>9763</v>
      </c>
      <c r="G167" s="10">
        <v>5959</v>
      </c>
      <c r="H167" s="10"/>
      <c r="I167" s="38">
        <f t="shared" si="27"/>
        <v>15722</v>
      </c>
      <c r="J167" s="10">
        <v>9072</v>
      </c>
      <c r="K167" s="10">
        <v>14689</v>
      </c>
      <c r="L167" s="10">
        <v>12126</v>
      </c>
      <c r="M167" s="38">
        <f t="shared" si="28"/>
        <v>35887</v>
      </c>
      <c r="N167" s="10">
        <v>12169</v>
      </c>
      <c r="O167" s="10">
        <v>5034</v>
      </c>
      <c r="P167" s="10">
        <v>7170</v>
      </c>
      <c r="Q167" s="38">
        <f t="shared" si="29"/>
        <v>24373</v>
      </c>
      <c r="R167" s="38">
        <f t="shared" si="25"/>
        <v>96404</v>
      </c>
    </row>
    <row r="168" spans="1:20" ht="15.75" customHeight="1" x14ac:dyDescent="0.3">
      <c r="A168" s="539" t="s">
        <v>2864</v>
      </c>
      <c r="B168" s="172">
        <v>30</v>
      </c>
      <c r="C168" s="172">
        <v>30</v>
      </c>
      <c r="D168" s="172">
        <v>30</v>
      </c>
      <c r="E168" s="38">
        <f t="shared" ref="E168:E173" si="30">SUM(B168:D168)</f>
        <v>90</v>
      </c>
      <c r="F168" s="172">
        <v>35</v>
      </c>
      <c r="G168" s="172">
        <v>35</v>
      </c>
      <c r="H168" s="172">
        <v>35</v>
      </c>
      <c r="I168" s="38">
        <f t="shared" ref="I168:I173" si="31">SUM(F168:H168)</f>
        <v>105</v>
      </c>
      <c r="J168" s="172">
        <v>35</v>
      </c>
      <c r="K168" s="172">
        <v>35</v>
      </c>
      <c r="L168" s="172">
        <v>35</v>
      </c>
      <c r="M168" s="38">
        <f t="shared" ref="M168:M173" si="32">SUM(J168:L168)</f>
        <v>105</v>
      </c>
      <c r="N168" s="172">
        <v>35</v>
      </c>
      <c r="O168" s="172">
        <v>35</v>
      </c>
      <c r="P168" s="172">
        <v>30</v>
      </c>
      <c r="Q168" s="38">
        <f t="shared" si="24"/>
        <v>100</v>
      </c>
      <c r="R168" s="38">
        <f t="shared" si="25"/>
        <v>400</v>
      </c>
      <c r="T168" t="s">
        <v>2760</v>
      </c>
    </row>
    <row r="169" spans="1:20" ht="15.75" customHeight="1" x14ac:dyDescent="0.3">
      <c r="A169" s="539" t="s">
        <v>1520</v>
      </c>
      <c r="B169" s="10">
        <v>3283</v>
      </c>
      <c r="C169" s="10"/>
      <c r="D169" s="10"/>
      <c r="E169" s="38">
        <f t="shared" si="30"/>
        <v>3283</v>
      </c>
      <c r="F169" s="10"/>
      <c r="G169" s="10"/>
      <c r="H169" s="10">
        <v>4881</v>
      </c>
      <c r="I169" s="38">
        <f t="shared" si="31"/>
        <v>4881</v>
      </c>
      <c r="J169" s="10">
        <v>7141</v>
      </c>
      <c r="K169" s="10">
        <v>6752</v>
      </c>
      <c r="L169" s="10">
        <v>6236</v>
      </c>
      <c r="M169" s="38">
        <f t="shared" si="32"/>
        <v>20129</v>
      </c>
      <c r="N169" s="10">
        <v>7050</v>
      </c>
      <c r="O169" s="10">
        <v>5201</v>
      </c>
      <c r="P169" s="10">
        <v>5032</v>
      </c>
      <c r="Q169" s="38">
        <f t="shared" si="24"/>
        <v>17283</v>
      </c>
      <c r="R169" s="38">
        <f t="shared" si="25"/>
        <v>45576</v>
      </c>
    </row>
    <row r="170" spans="1:20" ht="15.75" customHeight="1" x14ac:dyDescent="0.3">
      <c r="A170" s="569" t="s">
        <v>2739</v>
      </c>
      <c r="B170" s="10"/>
      <c r="C170" s="10"/>
      <c r="D170" s="10"/>
      <c r="E170" s="38">
        <f t="shared" si="30"/>
        <v>0</v>
      </c>
      <c r="F170" s="10"/>
      <c r="G170" s="10"/>
      <c r="H170" s="10"/>
      <c r="I170" s="38">
        <f t="shared" si="31"/>
        <v>0</v>
      </c>
      <c r="J170" s="10"/>
      <c r="K170" s="10"/>
      <c r="L170" s="10"/>
      <c r="M170" s="38">
        <f t="shared" si="32"/>
        <v>0</v>
      </c>
      <c r="N170" s="10"/>
      <c r="O170" s="10"/>
      <c r="P170" s="10"/>
      <c r="Q170" s="38">
        <f t="shared" si="24"/>
        <v>0</v>
      </c>
      <c r="R170" s="38">
        <f t="shared" si="25"/>
        <v>0</v>
      </c>
      <c r="T170" t="s">
        <v>2769</v>
      </c>
    </row>
    <row r="171" spans="1:20" ht="15.75" customHeight="1" x14ac:dyDescent="0.3">
      <c r="A171" s="569" t="s">
        <v>2740</v>
      </c>
      <c r="B171" s="10"/>
      <c r="C171" s="10"/>
      <c r="D171" s="10"/>
      <c r="E171" s="38">
        <f t="shared" si="30"/>
        <v>0</v>
      </c>
      <c r="F171" s="10"/>
      <c r="G171" s="10"/>
      <c r="H171" s="10"/>
      <c r="I171" s="38">
        <f t="shared" si="31"/>
        <v>0</v>
      </c>
      <c r="J171" s="10"/>
      <c r="K171" s="10">
        <v>1738</v>
      </c>
      <c r="L171" s="10">
        <v>416</v>
      </c>
      <c r="M171" s="38">
        <f t="shared" si="32"/>
        <v>2154</v>
      </c>
      <c r="N171" s="10">
        <v>939</v>
      </c>
      <c r="O171" s="10">
        <v>2023</v>
      </c>
      <c r="P171" s="10"/>
      <c r="Q171" s="38">
        <f t="shared" si="24"/>
        <v>2962</v>
      </c>
      <c r="R171" s="38">
        <f t="shared" si="25"/>
        <v>5116</v>
      </c>
      <c r="T171" t="s">
        <v>2770</v>
      </c>
    </row>
    <row r="172" spans="1:20" ht="15.75" customHeight="1" x14ac:dyDescent="0.3">
      <c r="A172" s="539" t="s">
        <v>2821</v>
      </c>
      <c r="B172" s="172">
        <v>122</v>
      </c>
      <c r="C172" s="172">
        <v>300</v>
      </c>
      <c r="D172" s="172">
        <v>350</v>
      </c>
      <c r="E172" s="38">
        <f t="shared" si="30"/>
        <v>772</v>
      </c>
      <c r="F172" s="172">
        <v>350</v>
      </c>
      <c r="G172" s="172">
        <v>400</v>
      </c>
      <c r="H172" s="172">
        <v>450</v>
      </c>
      <c r="I172" s="38">
        <f t="shared" si="31"/>
        <v>1200</v>
      </c>
      <c r="J172" s="172">
        <v>493</v>
      </c>
      <c r="K172" s="172">
        <v>500</v>
      </c>
      <c r="L172" s="172">
        <v>400</v>
      </c>
      <c r="M172" s="38">
        <f t="shared" si="32"/>
        <v>1393</v>
      </c>
      <c r="N172" s="172">
        <v>400</v>
      </c>
      <c r="O172" s="172">
        <v>300</v>
      </c>
      <c r="P172" s="172">
        <v>250</v>
      </c>
      <c r="Q172" s="38">
        <f>SUM(N172:P172)</f>
        <v>950</v>
      </c>
      <c r="R172" s="38">
        <f>+E172+I172+M172+Q172</f>
        <v>4315</v>
      </c>
      <c r="T172" t="s">
        <v>2760</v>
      </c>
    </row>
    <row r="173" spans="1:20" ht="15.75" customHeight="1" x14ac:dyDescent="0.3">
      <c r="A173" s="539" t="s">
        <v>1574</v>
      </c>
      <c r="B173" s="172">
        <v>3</v>
      </c>
      <c r="C173" s="172">
        <v>2</v>
      </c>
      <c r="D173" s="172">
        <v>2</v>
      </c>
      <c r="E173" s="38">
        <f t="shared" si="30"/>
        <v>7</v>
      </c>
      <c r="F173" s="172">
        <v>3</v>
      </c>
      <c r="G173" s="172">
        <v>3</v>
      </c>
      <c r="H173" s="172">
        <v>3</v>
      </c>
      <c r="I173" s="38">
        <f t="shared" si="31"/>
        <v>9</v>
      </c>
      <c r="J173" s="172">
        <v>3</v>
      </c>
      <c r="K173" s="172">
        <v>3</v>
      </c>
      <c r="L173" s="172">
        <v>3</v>
      </c>
      <c r="M173" s="38">
        <f t="shared" si="32"/>
        <v>9</v>
      </c>
      <c r="N173" s="172">
        <v>3</v>
      </c>
      <c r="O173" s="172">
        <v>2</v>
      </c>
      <c r="P173" s="172">
        <v>2</v>
      </c>
      <c r="Q173" s="38">
        <f>SUM(N173:P173)</f>
        <v>7</v>
      </c>
      <c r="R173" s="38">
        <f>+E173+I173+M173+Q173</f>
        <v>32</v>
      </c>
      <c r="S173">
        <f>SUM(R138:R173)</f>
        <v>223482</v>
      </c>
    </row>
    <row r="174" spans="1:20" ht="15.75" customHeight="1" x14ac:dyDescent="0.3">
      <c r="A174" s="234" t="s">
        <v>2161</v>
      </c>
      <c r="B174" s="172"/>
      <c r="C174" s="172"/>
      <c r="D174" s="172"/>
      <c r="E174" s="38" t="s">
        <v>852</v>
      </c>
      <c r="F174" s="172"/>
      <c r="G174" s="172"/>
      <c r="H174" s="172"/>
      <c r="I174" s="38" t="s">
        <v>852</v>
      </c>
      <c r="J174" s="172"/>
      <c r="K174" s="172"/>
      <c r="L174" s="172"/>
      <c r="M174" s="38" t="s">
        <v>852</v>
      </c>
      <c r="N174" s="172"/>
      <c r="O174" s="172"/>
      <c r="P174" s="172"/>
      <c r="Q174" s="38" t="s">
        <v>852</v>
      </c>
      <c r="R174" s="38" t="s">
        <v>852</v>
      </c>
    </row>
    <row r="175" spans="1:20" ht="15.75" customHeight="1" x14ac:dyDescent="0.3">
      <c r="A175" s="539" t="s">
        <v>2515</v>
      </c>
      <c r="B175" s="10"/>
      <c r="C175" s="10"/>
      <c r="D175" s="10"/>
      <c r="E175" s="38">
        <f t="shared" ref="E175:E185" si="33">SUM(B175:D175)</f>
        <v>0</v>
      </c>
      <c r="F175" s="10"/>
      <c r="G175" s="10"/>
      <c r="H175" s="10"/>
      <c r="I175" s="38">
        <f t="shared" ref="I175:I185" si="34">SUM(F175:H175)</f>
        <v>0</v>
      </c>
      <c r="J175" s="10"/>
      <c r="K175" s="10"/>
      <c r="L175" s="10"/>
      <c r="M175" s="38">
        <f t="shared" ref="M175:M185" si="35">SUM(J175:L175)</f>
        <v>0</v>
      </c>
      <c r="N175" s="10"/>
      <c r="O175" s="10"/>
      <c r="P175" s="10"/>
      <c r="Q175" s="38">
        <f t="shared" ref="Q175:Q185" si="36">SUM(N175:P175)</f>
        <v>0</v>
      </c>
      <c r="R175" s="38">
        <f t="shared" ref="R175:R185" si="37">+E175+I175+M175+Q175</f>
        <v>0</v>
      </c>
    </row>
    <row r="176" spans="1:20" ht="15.75" customHeight="1" x14ac:dyDescent="0.3">
      <c r="A176" s="266" t="s">
        <v>2368</v>
      </c>
      <c r="B176" s="10">
        <v>16</v>
      </c>
      <c r="C176" s="10">
        <v>15</v>
      </c>
      <c r="D176" s="10">
        <v>26</v>
      </c>
      <c r="E176" s="38">
        <f>SUM(B176:D176)</f>
        <v>57</v>
      </c>
      <c r="F176" s="10">
        <v>37</v>
      </c>
      <c r="G176" s="10">
        <v>51</v>
      </c>
      <c r="H176" s="10">
        <v>54</v>
      </c>
      <c r="I176" s="38">
        <f>SUM(F176:H176)</f>
        <v>142</v>
      </c>
      <c r="J176" s="10">
        <v>47</v>
      </c>
      <c r="K176" s="10">
        <v>49</v>
      </c>
      <c r="L176" s="10">
        <v>38</v>
      </c>
      <c r="M176" s="38">
        <f>SUM(J176:L176)</f>
        <v>134</v>
      </c>
      <c r="N176" s="10">
        <v>62</v>
      </c>
      <c r="O176" s="10">
        <v>27</v>
      </c>
      <c r="P176" s="10">
        <v>20</v>
      </c>
      <c r="Q176" s="38">
        <f>SUM(N176:P176)</f>
        <v>109</v>
      </c>
      <c r="R176" s="38">
        <f>+E176+I176+M176+Q176</f>
        <v>442</v>
      </c>
      <c r="T176" t="s">
        <v>1193</v>
      </c>
    </row>
    <row r="177" spans="1:20" ht="15.75" customHeight="1" x14ac:dyDescent="0.3">
      <c r="A177" s="266" t="s">
        <v>1747</v>
      </c>
      <c r="B177" s="172">
        <v>3</v>
      </c>
      <c r="C177" s="172">
        <v>2</v>
      </c>
      <c r="D177" s="172">
        <v>4</v>
      </c>
      <c r="E177" s="38">
        <f t="shared" si="33"/>
        <v>9</v>
      </c>
      <c r="F177" s="172">
        <v>10</v>
      </c>
      <c r="G177" s="172">
        <v>21</v>
      </c>
      <c r="H177" s="172">
        <v>16</v>
      </c>
      <c r="I177" s="38">
        <f t="shared" si="34"/>
        <v>47</v>
      </c>
      <c r="J177" s="172">
        <v>23</v>
      </c>
      <c r="K177" s="172">
        <v>18</v>
      </c>
      <c r="L177" s="172">
        <v>22</v>
      </c>
      <c r="M177" s="38">
        <f t="shared" si="35"/>
        <v>63</v>
      </c>
      <c r="N177" s="172">
        <v>12</v>
      </c>
      <c r="O177" s="172">
        <v>4</v>
      </c>
      <c r="P177" s="172">
        <v>3</v>
      </c>
      <c r="Q177" s="38">
        <f t="shared" si="36"/>
        <v>19</v>
      </c>
      <c r="R177" s="38">
        <f t="shared" si="37"/>
        <v>138</v>
      </c>
    </row>
    <row r="178" spans="1:20" ht="15.75" customHeight="1" x14ac:dyDescent="0.3">
      <c r="A178" s="539" t="s">
        <v>2822</v>
      </c>
      <c r="B178" s="172">
        <v>35</v>
      </c>
      <c r="C178" s="172">
        <v>35</v>
      </c>
      <c r="D178" s="172">
        <v>35</v>
      </c>
      <c r="E178" s="38">
        <f t="shared" si="33"/>
        <v>105</v>
      </c>
      <c r="F178" s="172">
        <v>35</v>
      </c>
      <c r="G178" s="172">
        <v>35</v>
      </c>
      <c r="H178" s="172">
        <v>35</v>
      </c>
      <c r="I178" s="38">
        <f t="shared" si="34"/>
        <v>105</v>
      </c>
      <c r="J178" s="172">
        <v>50</v>
      </c>
      <c r="K178" s="172">
        <v>50</v>
      </c>
      <c r="L178" s="172">
        <v>50</v>
      </c>
      <c r="M178" s="38">
        <f t="shared" si="35"/>
        <v>150</v>
      </c>
      <c r="N178" s="172">
        <v>50</v>
      </c>
      <c r="O178" s="172">
        <v>50</v>
      </c>
      <c r="P178" s="172">
        <v>50</v>
      </c>
      <c r="Q178" s="38">
        <f t="shared" si="36"/>
        <v>150</v>
      </c>
      <c r="R178" s="38">
        <f t="shared" si="37"/>
        <v>510</v>
      </c>
      <c r="T178" t="s">
        <v>2760</v>
      </c>
    </row>
    <row r="179" spans="1:20" ht="15.75" customHeight="1" x14ac:dyDescent="0.3">
      <c r="A179" s="266" t="s">
        <v>1824</v>
      </c>
      <c r="B179" s="172"/>
      <c r="C179" s="172"/>
      <c r="D179" s="172"/>
      <c r="E179" s="38">
        <f t="shared" si="33"/>
        <v>0</v>
      </c>
      <c r="F179" s="172"/>
      <c r="G179" s="172"/>
      <c r="H179" s="172"/>
      <c r="I179" s="38">
        <f t="shared" si="34"/>
        <v>0</v>
      </c>
      <c r="J179" s="172"/>
      <c r="K179" s="172"/>
      <c r="L179" s="172"/>
      <c r="M179" s="38">
        <f t="shared" si="35"/>
        <v>0</v>
      </c>
      <c r="N179" s="172"/>
      <c r="O179" s="172"/>
      <c r="P179" s="172"/>
      <c r="Q179" s="38">
        <f t="shared" si="36"/>
        <v>0</v>
      </c>
      <c r="R179" s="38">
        <f t="shared" si="37"/>
        <v>0</v>
      </c>
    </row>
    <row r="180" spans="1:20" ht="15.75" customHeight="1" x14ac:dyDescent="0.3">
      <c r="A180" s="266" t="s">
        <v>1879</v>
      </c>
      <c r="B180" s="172"/>
      <c r="C180" s="172"/>
      <c r="D180" s="172"/>
      <c r="E180" s="38">
        <f t="shared" si="33"/>
        <v>0</v>
      </c>
      <c r="F180" s="172"/>
      <c r="G180" s="172"/>
      <c r="H180" s="172"/>
      <c r="I180" s="38">
        <f t="shared" si="34"/>
        <v>0</v>
      </c>
      <c r="J180" s="172"/>
      <c r="K180" s="172"/>
      <c r="L180" s="172"/>
      <c r="M180" s="38">
        <f t="shared" si="35"/>
        <v>0</v>
      </c>
      <c r="N180" s="172">
        <v>0</v>
      </c>
      <c r="O180" s="172"/>
      <c r="P180" s="172"/>
      <c r="Q180" s="38">
        <f t="shared" si="36"/>
        <v>0</v>
      </c>
      <c r="R180" s="38">
        <f t="shared" si="37"/>
        <v>0</v>
      </c>
      <c r="T180" t="s">
        <v>1193</v>
      </c>
    </row>
    <row r="181" spans="1:20" ht="15.75" customHeight="1" x14ac:dyDescent="0.3">
      <c r="A181" s="266" t="s">
        <v>1746</v>
      </c>
      <c r="B181" s="172">
        <v>0</v>
      </c>
      <c r="C181" s="172">
        <v>1</v>
      </c>
      <c r="D181" s="172">
        <v>1</v>
      </c>
      <c r="E181" s="38">
        <f t="shared" si="33"/>
        <v>2</v>
      </c>
      <c r="F181" s="172">
        <v>0</v>
      </c>
      <c r="G181" s="172">
        <v>1</v>
      </c>
      <c r="H181" s="172">
        <v>0</v>
      </c>
      <c r="I181" s="38">
        <f t="shared" si="34"/>
        <v>1</v>
      </c>
      <c r="J181" s="172">
        <v>1</v>
      </c>
      <c r="K181" s="172">
        <v>0</v>
      </c>
      <c r="L181" s="172">
        <v>0</v>
      </c>
      <c r="M181" s="38">
        <f t="shared" si="35"/>
        <v>1</v>
      </c>
      <c r="N181" s="172">
        <v>0</v>
      </c>
      <c r="O181" s="172"/>
      <c r="P181" s="172"/>
      <c r="Q181" s="38">
        <f t="shared" si="36"/>
        <v>0</v>
      </c>
      <c r="R181" s="38">
        <f t="shared" si="37"/>
        <v>4</v>
      </c>
    </row>
    <row r="182" spans="1:20" ht="15.75" customHeight="1" x14ac:dyDescent="0.3">
      <c r="A182" s="267" t="s">
        <v>1546</v>
      </c>
      <c r="B182" s="172"/>
      <c r="C182" s="172"/>
      <c r="D182" s="172"/>
      <c r="E182" s="38">
        <f t="shared" si="33"/>
        <v>0</v>
      </c>
      <c r="F182" s="172"/>
      <c r="G182" s="172"/>
      <c r="H182" s="172"/>
      <c r="I182" s="38">
        <f t="shared" si="34"/>
        <v>0</v>
      </c>
      <c r="J182" s="172"/>
      <c r="K182" s="172"/>
      <c r="L182" s="172"/>
      <c r="M182" s="38">
        <f t="shared" si="35"/>
        <v>0</v>
      </c>
      <c r="N182" s="172"/>
      <c r="O182" s="172"/>
      <c r="P182" s="172"/>
      <c r="Q182" s="38">
        <f t="shared" si="36"/>
        <v>0</v>
      </c>
      <c r="R182" s="38">
        <f t="shared" si="37"/>
        <v>0</v>
      </c>
    </row>
    <row r="183" spans="1:20" ht="15.75" customHeight="1" x14ac:dyDescent="0.3">
      <c r="A183" s="539" t="s">
        <v>2823</v>
      </c>
      <c r="B183" s="172">
        <v>5</v>
      </c>
      <c r="C183" s="172">
        <v>5</v>
      </c>
      <c r="D183" s="172">
        <v>6</v>
      </c>
      <c r="E183" s="38">
        <f t="shared" si="33"/>
        <v>16</v>
      </c>
      <c r="F183" s="172">
        <v>6</v>
      </c>
      <c r="G183" s="172">
        <v>6</v>
      </c>
      <c r="H183" s="172">
        <v>15</v>
      </c>
      <c r="I183" s="38">
        <f t="shared" si="34"/>
        <v>27</v>
      </c>
      <c r="J183" s="172">
        <v>15</v>
      </c>
      <c r="K183" s="172">
        <v>15</v>
      </c>
      <c r="L183" s="172">
        <v>8</v>
      </c>
      <c r="M183" s="38">
        <f t="shared" si="35"/>
        <v>38</v>
      </c>
      <c r="N183" s="172">
        <v>10</v>
      </c>
      <c r="O183" s="172">
        <v>6</v>
      </c>
      <c r="P183" s="172">
        <v>3</v>
      </c>
      <c r="Q183" s="38">
        <f t="shared" si="36"/>
        <v>19</v>
      </c>
      <c r="R183" s="38">
        <f t="shared" si="37"/>
        <v>100</v>
      </c>
      <c r="T183" t="s">
        <v>2760</v>
      </c>
    </row>
    <row r="184" spans="1:20" ht="15.75" customHeight="1" x14ac:dyDescent="0.3">
      <c r="A184" s="539" t="s">
        <v>2815</v>
      </c>
      <c r="B184" s="172"/>
      <c r="C184" s="172"/>
      <c r="D184" s="172"/>
      <c r="E184" s="38">
        <f t="shared" si="33"/>
        <v>0</v>
      </c>
      <c r="F184" s="172"/>
      <c r="G184" s="172"/>
      <c r="H184" s="172"/>
      <c r="I184" s="38">
        <f t="shared" si="34"/>
        <v>0</v>
      </c>
      <c r="J184" s="172"/>
      <c r="K184" s="172"/>
      <c r="L184" s="172"/>
      <c r="M184" s="38">
        <f t="shared" si="35"/>
        <v>0</v>
      </c>
      <c r="N184" s="172"/>
      <c r="O184" s="172"/>
      <c r="P184" s="172"/>
      <c r="Q184" s="38">
        <f t="shared" si="36"/>
        <v>0</v>
      </c>
      <c r="R184" s="38">
        <f t="shared" si="37"/>
        <v>0</v>
      </c>
      <c r="T184" t="s">
        <v>2631</v>
      </c>
    </row>
    <row r="185" spans="1:20" ht="15.75" customHeight="1" x14ac:dyDescent="0.3">
      <c r="A185" s="267" t="s">
        <v>5</v>
      </c>
      <c r="B185" s="172">
        <v>0</v>
      </c>
      <c r="C185" s="172">
        <v>0</v>
      </c>
      <c r="D185" s="172">
        <v>0</v>
      </c>
      <c r="E185" s="38">
        <f t="shared" si="33"/>
        <v>0</v>
      </c>
      <c r="F185" s="172">
        <v>8</v>
      </c>
      <c r="G185" s="172">
        <v>10</v>
      </c>
      <c r="H185" s="172">
        <v>1</v>
      </c>
      <c r="I185" s="38">
        <f t="shared" si="34"/>
        <v>19</v>
      </c>
      <c r="J185" s="172">
        <v>0</v>
      </c>
      <c r="K185" s="172">
        <v>0</v>
      </c>
      <c r="L185" s="172">
        <v>0</v>
      </c>
      <c r="M185" s="38">
        <f t="shared" si="35"/>
        <v>0</v>
      </c>
      <c r="N185" s="172">
        <v>2</v>
      </c>
      <c r="O185" s="172">
        <v>2</v>
      </c>
      <c r="P185" s="172">
        <v>2</v>
      </c>
      <c r="Q185" s="38">
        <f t="shared" si="36"/>
        <v>6</v>
      </c>
      <c r="R185" s="38">
        <f t="shared" si="37"/>
        <v>25</v>
      </c>
    </row>
    <row r="186" spans="1:20" ht="15.75" customHeight="1" x14ac:dyDescent="0.3">
      <c r="A186" s="234" t="s">
        <v>2162</v>
      </c>
      <c r="B186" s="172"/>
      <c r="C186" s="172"/>
      <c r="D186" s="172"/>
      <c r="E186" s="38" t="s">
        <v>852</v>
      </c>
      <c r="F186" s="172"/>
      <c r="G186" s="172"/>
      <c r="H186" s="172"/>
      <c r="I186" s="38" t="s">
        <v>852</v>
      </c>
      <c r="J186" s="172"/>
      <c r="K186" s="172"/>
      <c r="L186" s="172"/>
      <c r="M186" s="38" t="s">
        <v>852</v>
      </c>
      <c r="N186" s="172"/>
      <c r="O186" s="172"/>
      <c r="P186" s="172"/>
      <c r="Q186" s="38" t="s">
        <v>852</v>
      </c>
      <c r="R186" s="38" t="s">
        <v>852</v>
      </c>
    </row>
    <row r="187" spans="1:20" ht="15.75" customHeight="1" x14ac:dyDescent="0.3">
      <c r="A187" s="568" t="s">
        <v>2846</v>
      </c>
      <c r="B187" s="172"/>
      <c r="C187" s="172"/>
      <c r="D187" s="172"/>
      <c r="E187" s="38">
        <f>SUM(B187:D187)</f>
        <v>0</v>
      </c>
      <c r="F187" s="172"/>
      <c r="G187" s="172">
        <v>500</v>
      </c>
      <c r="H187" s="172">
        <v>306</v>
      </c>
      <c r="I187" s="38">
        <f>SUM(F187:H187)</f>
        <v>806</v>
      </c>
      <c r="J187" s="172"/>
      <c r="K187" s="172"/>
      <c r="L187" s="172"/>
      <c r="M187" s="38">
        <f>SUM(J187:L187)</f>
        <v>0</v>
      </c>
      <c r="N187" s="172"/>
      <c r="O187" s="172"/>
      <c r="P187" s="172"/>
      <c r="Q187" s="38">
        <f>SUM(N187:P187)</f>
        <v>0</v>
      </c>
      <c r="R187" s="38">
        <f>+E187+I187+M187+Q187</f>
        <v>806</v>
      </c>
      <c r="T187" t="s">
        <v>2769</v>
      </c>
    </row>
    <row r="188" spans="1:20" ht="15.75" customHeight="1" x14ac:dyDescent="0.3">
      <c r="A188" s="568" t="s">
        <v>2847</v>
      </c>
      <c r="B188" s="172"/>
      <c r="C188" s="172"/>
      <c r="D188" s="172"/>
      <c r="E188" s="38">
        <f>SUM(B188:D188)</f>
        <v>0</v>
      </c>
      <c r="F188" s="172"/>
      <c r="G188" s="172"/>
      <c r="H188" s="172"/>
      <c r="I188" s="38">
        <f>SUM(F188:H188)</f>
        <v>0</v>
      </c>
      <c r="J188" s="172">
        <v>6</v>
      </c>
      <c r="K188" s="172"/>
      <c r="L188" s="172"/>
      <c r="M188" s="38">
        <f>SUM(J188:L188)</f>
        <v>6</v>
      </c>
      <c r="N188" s="172"/>
      <c r="O188" s="172"/>
      <c r="P188" s="172"/>
      <c r="Q188" s="38">
        <f>SUM(N188:P188)</f>
        <v>0</v>
      </c>
      <c r="R188" s="38">
        <f>+E188+I188+M188+Q188</f>
        <v>6</v>
      </c>
      <c r="T188" t="s">
        <v>2770</v>
      </c>
    </row>
    <row r="189" spans="1:20" ht="15.75" customHeight="1" x14ac:dyDescent="0.3">
      <c r="A189" s="422" t="s">
        <v>2551</v>
      </c>
      <c r="B189" s="172">
        <v>9</v>
      </c>
      <c r="C189" s="172">
        <v>8</v>
      </c>
      <c r="D189" s="172">
        <v>22</v>
      </c>
      <c r="E189" s="38">
        <f>SUM(B189:D189)</f>
        <v>39</v>
      </c>
      <c r="F189" s="172">
        <v>45</v>
      </c>
      <c r="G189" s="172">
        <v>65</v>
      </c>
      <c r="H189" s="172">
        <v>84</v>
      </c>
      <c r="I189" s="38">
        <f>SUM(F189:H189)</f>
        <v>194</v>
      </c>
      <c r="J189" s="172">
        <v>52</v>
      </c>
      <c r="K189" s="172">
        <v>52</v>
      </c>
      <c r="L189" s="172">
        <v>42</v>
      </c>
      <c r="M189" s="38">
        <f>SUM(J189:L189)</f>
        <v>146</v>
      </c>
      <c r="N189" s="172">
        <v>66</v>
      </c>
      <c r="O189" s="172">
        <v>22</v>
      </c>
      <c r="P189" s="172">
        <v>10</v>
      </c>
      <c r="Q189" s="38">
        <f>SUM(N189:P189)</f>
        <v>98</v>
      </c>
      <c r="R189" s="38">
        <f>+E189+I189+M189+Q189</f>
        <v>477</v>
      </c>
      <c r="T189" t="s">
        <v>2793</v>
      </c>
    </row>
    <row r="190" spans="1:20" ht="15.75" customHeight="1" thickBot="1" x14ac:dyDescent="0.35">
      <c r="A190" s="234" t="s">
        <v>2164</v>
      </c>
      <c r="B190" s="172"/>
      <c r="C190" s="172"/>
      <c r="D190" s="172"/>
      <c r="E190" s="38" t="s">
        <v>852</v>
      </c>
      <c r="F190" s="172"/>
      <c r="G190" s="172"/>
      <c r="H190" s="172"/>
      <c r="I190" s="38" t="s">
        <v>852</v>
      </c>
      <c r="J190" s="172"/>
      <c r="K190" s="172"/>
      <c r="L190" s="172"/>
      <c r="M190" s="38" t="s">
        <v>852</v>
      </c>
      <c r="N190" s="172"/>
      <c r="O190" s="172"/>
      <c r="P190" s="172"/>
      <c r="Q190" s="38" t="s">
        <v>852</v>
      </c>
      <c r="R190" s="38" t="s">
        <v>852</v>
      </c>
    </row>
    <row r="191" spans="1:20" ht="16.5" customHeight="1" thickBot="1" x14ac:dyDescent="0.35">
      <c r="A191" s="43" t="s">
        <v>1218</v>
      </c>
      <c r="B191" s="45">
        <f>SUM(B136:B190)</f>
        <v>13613</v>
      </c>
      <c r="C191" s="46">
        <f>SUM(C136:C190)</f>
        <v>8658</v>
      </c>
      <c r="D191" s="46">
        <f>SUM(D136:D190)</f>
        <v>10050</v>
      </c>
      <c r="E191" s="37">
        <f>SUM(B191:D191)</f>
        <v>32321</v>
      </c>
      <c r="F191" s="46">
        <f>SUM(F136:F190)</f>
        <v>17000</v>
      </c>
      <c r="G191" s="46">
        <f>SUM(G136:G190)</f>
        <v>14725</v>
      </c>
      <c r="H191" s="46">
        <f>SUM(H136:H190)</f>
        <v>13773</v>
      </c>
      <c r="I191" s="37">
        <f>SUM(F191:H191)</f>
        <v>45498</v>
      </c>
      <c r="J191" s="46">
        <f>SUM(J136:J190)</f>
        <v>28743</v>
      </c>
      <c r="K191" s="46">
        <f>SUM(K136:K190)</f>
        <v>31399</v>
      </c>
      <c r="L191" s="46">
        <f>SUM(L136:L190)</f>
        <v>26854</v>
      </c>
      <c r="M191" s="37">
        <f>SUM(J191:L191)</f>
        <v>86996</v>
      </c>
      <c r="N191" s="46">
        <f>SUM(N136:N190)</f>
        <v>27560</v>
      </c>
      <c r="O191" s="46">
        <f>SUM(O136:O190)</f>
        <v>16954</v>
      </c>
      <c r="P191" s="46">
        <f>SUM(P136:P190)</f>
        <v>16661</v>
      </c>
      <c r="Q191" s="37">
        <f>SUM(N191:P191)</f>
        <v>61175</v>
      </c>
      <c r="R191" s="37">
        <f>+E191+I191+M191+Q191</f>
        <v>225990</v>
      </c>
    </row>
    <row r="192" spans="1:20" ht="15.75" customHeight="1" x14ac:dyDescent="0.3">
      <c r="A192" s="234" t="s">
        <v>1172</v>
      </c>
      <c r="B192" s="172"/>
      <c r="C192" s="172"/>
      <c r="D192" s="172"/>
      <c r="E192" s="38" t="s">
        <v>852</v>
      </c>
      <c r="F192" s="172"/>
      <c r="G192" s="172"/>
      <c r="H192" s="172"/>
      <c r="I192" s="38" t="s">
        <v>852</v>
      </c>
      <c r="J192" s="172"/>
      <c r="K192" s="172"/>
      <c r="L192" s="172"/>
      <c r="M192" s="38" t="s">
        <v>852</v>
      </c>
      <c r="N192" s="172"/>
      <c r="O192" s="172"/>
      <c r="P192" s="172"/>
      <c r="Q192" s="38" t="s">
        <v>852</v>
      </c>
      <c r="R192" s="38" t="s">
        <v>852</v>
      </c>
    </row>
    <row r="193" spans="1:20" ht="15.75" customHeight="1" x14ac:dyDescent="0.3">
      <c r="A193" s="234" t="s">
        <v>1658</v>
      </c>
      <c r="B193" s="172"/>
      <c r="C193" s="172"/>
      <c r="D193" s="172"/>
      <c r="E193" s="38" t="s">
        <v>852</v>
      </c>
      <c r="F193" s="172"/>
      <c r="G193" s="172"/>
      <c r="H193" s="172"/>
      <c r="I193" s="38" t="s">
        <v>852</v>
      </c>
      <c r="J193" s="172"/>
      <c r="K193" s="172"/>
      <c r="L193" s="172"/>
      <c r="M193" s="38" t="s">
        <v>852</v>
      </c>
      <c r="N193" s="172"/>
      <c r="O193" s="172"/>
      <c r="P193" s="172"/>
      <c r="Q193" s="38" t="s">
        <v>852</v>
      </c>
      <c r="R193" s="38" t="s">
        <v>852</v>
      </c>
    </row>
    <row r="194" spans="1:20" ht="15.75" customHeight="1" x14ac:dyDescent="0.3">
      <c r="A194" s="234" t="s">
        <v>2409</v>
      </c>
      <c r="B194" s="172"/>
      <c r="C194" s="172"/>
      <c r="D194" s="172"/>
      <c r="E194" s="38" t="s">
        <v>852</v>
      </c>
      <c r="F194" s="172"/>
      <c r="G194" s="172"/>
      <c r="H194" s="172"/>
      <c r="I194" s="38" t="s">
        <v>852</v>
      </c>
      <c r="J194" s="172"/>
      <c r="K194" s="172"/>
      <c r="L194" s="172"/>
      <c r="M194" s="38" t="s">
        <v>852</v>
      </c>
      <c r="N194" s="172"/>
      <c r="O194" s="172"/>
      <c r="P194" s="172"/>
      <c r="Q194" s="38" t="s">
        <v>852</v>
      </c>
      <c r="R194" s="38" t="s">
        <v>852</v>
      </c>
    </row>
    <row r="195" spans="1:20" ht="15.75" customHeight="1" x14ac:dyDescent="0.3">
      <c r="A195" s="568" t="s">
        <v>1645</v>
      </c>
      <c r="B195" s="172"/>
      <c r="C195" s="172"/>
      <c r="D195" s="172">
        <v>500</v>
      </c>
      <c r="E195" s="38">
        <f>SUM(B195:D195)</f>
        <v>500</v>
      </c>
      <c r="F195" s="172">
        <v>500</v>
      </c>
      <c r="G195" s="172">
        <v>500</v>
      </c>
      <c r="H195" s="172">
        <v>500</v>
      </c>
      <c r="I195" s="38">
        <f>SUM(F195:H195)</f>
        <v>1500</v>
      </c>
      <c r="J195" s="172">
        <v>500</v>
      </c>
      <c r="K195" s="172">
        <v>500</v>
      </c>
      <c r="L195" s="172">
        <v>500</v>
      </c>
      <c r="M195" s="38">
        <f>SUM(J195:L195)</f>
        <v>1500</v>
      </c>
      <c r="N195" s="172">
        <v>500</v>
      </c>
      <c r="O195" s="172"/>
      <c r="P195" s="172"/>
      <c r="Q195" s="38">
        <f>SUM(N195:P195)</f>
        <v>500</v>
      </c>
      <c r="R195" s="38">
        <f>+E195+I195+M195+Q195</f>
        <v>4000</v>
      </c>
    </row>
    <row r="196" spans="1:20" ht="15.75" customHeight="1" x14ac:dyDescent="0.3">
      <c r="A196" s="410" t="s">
        <v>2824</v>
      </c>
      <c r="B196" s="172"/>
      <c r="C196" s="172"/>
      <c r="D196" s="172"/>
      <c r="E196" s="38">
        <f>SUM(B196:D196)</f>
        <v>0</v>
      </c>
      <c r="F196" s="172">
        <v>500</v>
      </c>
      <c r="G196" s="172">
        <v>750</v>
      </c>
      <c r="H196" s="172">
        <v>750</v>
      </c>
      <c r="I196" s="38">
        <f>SUM(F196:H196)</f>
        <v>2000</v>
      </c>
      <c r="J196" s="172"/>
      <c r="K196" s="172">
        <v>500</v>
      </c>
      <c r="L196" s="172">
        <v>500</v>
      </c>
      <c r="M196" s="38">
        <f>SUM(J196:L196)</f>
        <v>1000</v>
      </c>
      <c r="N196" s="172"/>
      <c r="O196" s="172"/>
      <c r="P196" s="172">
        <v>800</v>
      </c>
      <c r="Q196" s="38">
        <f>SUM(N196:P196)</f>
        <v>800</v>
      </c>
      <c r="R196" s="38">
        <f>+E196+I196+M196+Q196</f>
        <v>3800</v>
      </c>
      <c r="T196" t="s">
        <v>2760</v>
      </c>
    </row>
    <row r="197" spans="1:20" ht="15.75" customHeight="1" thickBot="1" x14ac:dyDescent="0.35">
      <c r="A197" s="234" t="s">
        <v>2165</v>
      </c>
      <c r="B197" s="172"/>
      <c r="C197" s="172"/>
      <c r="D197" s="172"/>
      <c r="E197" s="38" t="s">
        <v>852</v>
      </c>
      <c r="F197" s="172"/>
      <c r="G197" s="172"/>
      <c r="H197" s="172"/>
      <c r="I197" s="38" t="s">
        <v>852</v>
      </c>
      <c r="J197" s="172"/>
      <c r="K197" s="172"/>
      <c r="L197" s="172"/>
      <c r="M197" s="38" t="s">
        <v>852</v>
      </c>
      <c r="N197" s="172"/>
      <c r="O197" s="172"/>
      <c r="P197" s="172"/>
      <c r="Q197" s="38" t="s">
        <v>852</v>
      </c>
      <c r="R197" s="38" t="s">
        <v>852</v>
      </c>
    </row>
    <row r="198" spans="1:20" ht="16.5" customHeight="1" thickBot="1" x14ac:dyDescent="0.35">
      <c r="A198" s="43" t="s">
        <v>1219</v>
      </c>
      <c r="B198" s="45">
        <f>SUM(B192:B197)</f>
        <v>0</v>
      </c>
      <c r="C198" s="46">
        <f>SUM(C192:C197)</f>
        <v>0</v>
      </c>
      <c r="D198" s="46">
        <f>SUM(D192:D197)</f>
        <v>500</v>
      </c>
      <c r="E198" s="37">
        <f>SUM(B198:D198)</f>
        <v>500</v>
      </c>
      <c r="F198" s="46">
        <f>SUM(F192:F197)</f>
        <v>1000</v>
      </c>
      <c r="G198" s="46">
        <f>SUM(G192:G197)</f>
        <v>1250</v>
      </c>
      <c r="H198" s="46">
        <f>SUM(H192:H197)</f>
        <v>1250</v>
      </c>
      <c r="I198" s="37">
        <f>SUM(F198:H198)</f>
        <v>3500</v>
      </c>
      <c r="J198" s="46">
        <f>SUM(J192:J197)</f>
        <v>500</v>
      </c>
      <c r="K198" s="46">
        <f>SUM(K192:K197)</f>
        <v>1000</v>
      </c>
      <c r="L198" s="46">
        <f>SUM(L192:L197)</f>
        <v>1000</v>
      </c>
      <c r="M198" s="37">
        <f>SUM(J198:L198)</f>
        <v>2500</v>
      </c>
      <c r="N198" s="46">
        <f>SUM(N192:N197)</f>
        <v>500</v>
      </c>
      <c r="O198" s="46">
        <f>SUM(O192:O197)</f>
        <v>0</v>
      </c>
      <c r="P198" s="46">
        <f>SUM(P192:P197)</f>
        <v>800</v>
      </c>
      <c r="Q198" s="37">
        <f>SUM(N198:P198)</f>
        <v>1300</v>
      </c>
      <c r="R198" s="37">
        <f>+E198+I198+M198+Q198</f>
        <v>7800</v>
      </c>
    </row>
    <row r="199" spans="1:20" ht="15.75" customHeight="1" x14ac:dyDescent="0.3">
      <c r="A199" s="234" t="s">
        <v>2166</v>
      </c>
      <c r="B199" s="172"/>
      <c r="C199" s="172"/>
      <c r="D199" s="172"/>
      <c r="E199" s="38" t="s">
        <v>852</v>
      </c>
      <c r="F199" s="172"/>
      <c r="G199" s="172"/>
      <c r="H199" s="172"/>
      <c r="I199" s="38" t="s">
        <v>852</v>
      </c>
      <c r="J199" s="172"/>
      <c r="K199" s="172"/>
      <c r="L199" s="172"/>
      <c r="M199" s="38" t="s">
        <v>852</v>
      </c>
      <c r="N199" s="172"/>
      <c r="O199" s="172"/>
      <c r="P199" s="172"/>
      <c r="Q199" s="38" t="s">
        <v>852</v>
      </c>
      <c r="R199" s="38" t="s">
        <v>852</v>
      </c>
    </row>
    <row r="200" spans="1:20" ht="15.75" customHeight="1" x14ac:dyDescent="0.3">
      <c r="A200" s="234" t="s">
        <v>1245</v>
      </c>
      <c r="B200" s="172"/>
      <c r="C200" s="172"/>
      <c r="D200" s="172"/>
      <c r="E200" s="38" t="s">
        <v>852</v>
      </c>
      <c r="F200" s="172"/>
      <c r="G200" s="172"/>
      <c r="H200" s="172"/>
      <c r="I200" s="38" t="s">
        <v>852</v>
      </c>
      <c r="J200" s="172"/>
      <c r="K200" s="172"/>
      <c r="L200" s="172"/>
      <c r="M200" s="38" t="s">
        <v>852</v>
      </c>
      <c r="N200" s="172"/>
      <c r="O200" s="172"/>
      <c r="P200" s="172"/>
      <c r="Q200" s="38" t="s">
        <v>852</v>
      </c>
      <c r="R200" s="38" t="s">
        <v>852</v>
      </c>
    </row>
    <row r="201" spans="1:20" ht="15.75" customHeight="1" x14ac:dyDescent="0.3">
      <c r="A201" s="234" t="s">
        <v>1711</v>
      </c>
      <c r="B201" s="172"/>
      <c r="C201" s="172"/>
      <c r="D201" s="172"/>
      <c r="E201" s="38" t="s">
        <v>852</v>
      </c>
      <c r="F201" s="172"/>
      <c r="G201" s="172"/>
      <c r="H201" s="172"/>
      <c r="I201" s="38" t="s">
        <v>852</v>
      </c>
      <c r="J201" s="172"/>
      <c r="K201" s="172"/>
      <c r="L201" s="172"/>
      <c r="M201" s="38" t="s">
        <v>852</v>
      </c>
      <c r="N201" s="172"/>
      <c r="O201" s="172"/>
      <c r="P201" s="172"/>
      <c r="Q201" s="38" t="s">
        <v>852</v>
      </c>
      <c r="R201" s="38" t="s">
        <v>852</v>
      </c>
    </row>
    <row r="202" spans="1:20" ht="15.75" customHeight="1" x14ac:dyDescent="0.3">
      <c r="A202" s="540" t="s">
        <v>1364</v>
      </c>
      <c r="B202" s="172">
        <v>249</v>
      </c>
      <c r="C202" s="172">
        <v>223</v>
      </c>
      <c r="D202" s="172">
        <v>302</v>
      </c>
      <c r="E202" s="38">
        <f>SUM(B202:D202)</f>
        <v>774</v>
      </c>
      <c r="F202" s="172">
        <v>340</v>
      </c>
      <c r="G202" s="172">
        <v>461</v>
      </c>
      <c r="H202" s="172">
        <v>489</v>
      </c>
      <c r="I202" s="38">
        <f>SUM(F202:H202)</f>
        <v>1290</v>
      </c>
      <c r="J202" s="172">
        <v>491</v>
      </c>
      <c r="K202" s="172">
        <v>492</v>
      </c>
      <c r="L202" s="172">
        <v>400</v>
      </c>
      <c r="M202" s="38">
        <f>SUM(J202:L202)</f>
        <v>1383</v>
      </c>
      <c r="N202" s="172">
        <v>418</v>
      </c>
      <c r="O202" s="172">
        <v>305</v>
      </c>
      <c r="P202" s="172">
        <v>273</v>
      </c>
      <c r="Q202" s="38">
        <f>SUM(N202:P202)</f>
        <v>996</v>
      </c>
      <c r="R202" s="38">
        <f>+E202+I202+M202+Q202</f>
        <v>4443</v>
      </c>
      <c r="T202" t="s">
        <v>2800</v>
      </c>
    </row>
    <row r="203" spans="1:20" ht="15.75" customHeight="1" x14ac:dyDescent="0.3">
      <c r="A203" s="540" t="s">
        <v>1388</v>
      </c>
      <c r="B203" s="172"/>
      <c r="C203" s="172"/>
      <c r="D203" s="172">
        <v>357</v>
      </c>
      <c r="E203" s="38">
        <f>SUM(B203:D203)</f>
        <v>357</v>
      </c>
      <c r="F203" s="172"/>
      <c r="G203" s="172"/>
      <c r="H203" s="172"/>
      <c r="I203" s="38">
        <f>SUM(F203:H203)</f>
        <v>0</v>
      </c>
      <c r="J203" s="172"/>
      <c r="K203" s="172"/>
      <c r="L203" s="172"/>
      <c r="M203" s="38">
        <f>SUM(J203:L203)</f>
        <v>0</v>
      </c>
      <c r="N203" s="172"/>
      <c r="O203" s="172"/>
      <c r="P203" s="172"/>
      <c r="Q203" s="38">
        <f>SUM(N203:P203)</f>
        <v>0</v>
      </c>
      <c r="R203" s="38">
        <f>+E203+I203+M203+Q203</f>
        <v>357</v>
      </c>
      <c r="T203" t="s">
        <v>2764</v>
      </c>
    </row>
    <row r="204" spans="1:20" ht="15.75" customHeight="1" x14ac:dyDescent="0.3">
      <c r="A204" s="540" t="s">
        <v>693</v>
      </c>
      <c r="B204" s="172">
        <v>17</v>
      </c>
      <c r="C204" s="172">
        <v>9</v>
      </c>
      <c r="D204" s="172">
        <v>27</v>
      </c>
      <c r="E204" s="38">
        <f>SUM(B204:D204)</f>
        <v>53</v>
      </c>
      <c r="F204" s="172">
        <v>52</v>
      </c>
      <c r="G204" s="172">
        <v>43</v>
      </c>
      <c r="H204" s="172">
        <v>98</v>
      </c>
      <c r="I204" s="38">
        <f>SUM(F204:H204)</f>
        <v>193</v>
      </c>
      <c r="J204" s="172">
        <v>76</v>
      </c>
      <c r="K204" s="172">
        <v>55</v>
      </c>
      <c r="L204" s="172">
        <v>44</v>
      </c>
      <c r="M204" s="38">
        <f>SUM(J204:L204)</f>
        <v>175</v>
      </c>
      <c r="N204" s="172">
        <v>65</v>
      </c>
      <c r="O204" s="172">
        <v>24</v>
      </c>
      <c r="P204" s="172">
        <v>5</v>
      </c>
      <c r="Q204" s="38">
        <f>SUM(N204:P204)</f>
        <v>94</v>
      </c>
      <c r="R204" s="38">
        <f>+E204+I204+M204+Q204</f>
        <v>515</v>
      </c>
      <c r="T204" t="s">
        <v>1193</v>
      </c>
    </row>
    <row r="205" spans="1:20" ht="15.75" customHeight="1" x14ac:dyDescent="0.3">
      <c r="A205" s="410" t="s">
        <v>1091</v>
      </c>
      <c r="B205" s="172"/>
      <c r="C205" s="172"/>
      <c r="D205" s="172"/>
      <c r="E205" s="38">
        <f t="shared" ref="E205:E240" si="38">SUM(B205:D205)</f>
        <v>0</v>
      </c>
      <c r="F205" s="172"/>
      <c r="G205" s="172"/>
      <c r="H205" s="172"/>
      <c r="I205" s="38">
        <f t="shared" ref="I205:I240" si="39">SUM(F205:H205)</f>
        <v>0</v>
      </c>
      <c r="J205" s="172"/>
      <c r="K205" s="172"/>
      <c r="L205" s="172"/>
      <c r="M205" s="38">
        <f t="shared" ref="M205:M240" si="40">SUM(J205:L205)</f>
        <v>0</v>
      </c>
      <c r="N205" s="172"/>
      <c r="O205" s="172"/>
      <c r="P205" s="172"/>
      <c r="Q205" s="38">
        <f t="shared" ref="Q205:Q240" si="41">SUM(N205:P205)</f>
        <v>0</v>
      </c>
      <c r="R205" s="38">
        <f t="shared" ref="R205:R240" si="42">+E205+I205+M205+Q205</f>
        <v>0</v>
      </c>
    </row>
    <row r="206" spans="1:20" ht="15.75" customHeight="1" x14ac:dyDescent="0.3">
      <c r="A206" s="410" t="s">
        <v>725</v>
      </c>
      <c r="B206" s="172"/>
      <c r="C206" s="172"/>
      <c r="D206" s="172"/>
      <c r="E206" s="38">
        <f>SUM(B206:D206)</f>
        <v>0</v>
      </c>
      <c r="F206" s="172"/>
      <c r="G206" s="172"/>
      <c r="H206" s="172"/>
      <c r="I206" s="38">
        <f>SUM(F206:H206)</f>
        <v>0</v>
      </c>
      <c r="J206" s="172"/>
      <c r="K206" s="172"/>
      <c r="L206" s="172"/>
      <c r="M206" s="38">
        <f>SUM(J206:L206)</f>
        <v>0</v>
      </c>
      <c r="N206" s="172"/>
      <c r="O206" s="172"/>
      <c r="P206" s="172"/>
      <c r="Q206" s="38">
        <f>SUM(N206:P206)</f>
        <v>0</v>
      </c>
      <c r="R206" s="38">
        <f>+E206+I206+M206+Q206</f>
        <v>0</v>
      </c>
    </row>
    <row r="207" spans="1:20" ht="15.75" customHeight="1" x14ac:dyDescent="0.3">
      <c r="A207" s="410" t="s">
        <v>568</v>
      </c>
      <c r="B207" s="172">
        <v>682</v>
      </c>
      <c r="C207" s="172"/>
      <c r="D207" s="172"/>
      <c r="E207" s="38">
        <f>SUM(B207:D207)</f>
        <v>682</v>
      </c>
      <c r="F207" s="172"/>
      <c r="G207" s="172"/>
      <c r="H207" s="172"/>
      <c r="I207" s="38">
        <f>SUM(F207:H207)</f>
        <v>0</v>
      </c>
      <c r="J207" s="172"/>
      <c r="K207" s="172"/>
      <c r="L207" s="172"/>
      <c r="M207" s="38">
        <f>SUM(J207:L207)</f>
        <v>0</v>
      </c>
      <c r="N207" s="172"/>
      <c r="O207" s="172"/>
      <c r="P207" s="172"/>
      <c r="Q207" s="38">
        <f>SUM(N207:P207)</f>
        <v>0</v>
      </c>
      <c r="R207" s="38">
        <f>+E207+I207+M207+Q207</f>
        <v>682</v>
      </c>
      <c r="T207" t="s">
        <v>2775</v>
      </c>
    </row>
    <row r="208" spans="1:20" ht="15.75" customHeight="1" x14ac:dyDescent="0.3">
      <c r="A208" s="410" t="s">
        <v>1150</v>
      </c>
      <c r="B208" s="172"/>
      <c r="C208" s="172"/>
      <c r="D208" s="172"/>
      <c r="E208" s="38">
        <f t="shared" si="38"/>
        <v>0</v>
      </c>
      <c r="F208" s="172"/>
      <c r="G208" s="172"/>
      <c r="H208" s="172"/>
      <c r="I208" s="38">
        <f t="shared" si="39"/>
        <v>0</v>
      </c>
      <c r="J208" s="172"/>
      <c r="K208" s="172"/>
      <c r="L208" s="172"/>
      <c r="M208" s="38">
        <f t="shared" si="40"/>
        <v>0</v>
      </c>
      <c r="N208" s="172"/>
      <c r="O208" s="172"/>
      <c r="P208" s="172"/>
      <c r="Q208" s="38">
        <f t="shared" si="41"/>
        <v>0</v>
      </c>
      <c r="R208" s="38">
        <f t="shared" si="42"/>
        <v>0</v>
      </c>
    </row>
    <row r="209" spans="1:21" ht="15.75" customHeight="1" x14ac:dyDescent="0.3">
      <c r="A209" s="410" t="s">
        <v>2599</v>
      </c>
      <c r="B209" s="172">
        <v>1136</v>
      </c>
      <c r="C209" s="172"/>
      <c r="D209" s="172"/>
      <c r="E209" s="38">
        <f>SUM(B209:D209)</f>
        <v>1136</v>
      </c>
      <c r="F209" s="172"/>
      <c r="G209" s="172"/>
      <c r="H209" s="172"/>
      <c r="I209" s="38">
        <f>SUM(F209:H209)</f>
        <v>0</v>
      </c>
      <c r="J209" s="172"/>
      <c r="K209" s="172"/>
      <c r="L209" s="172"/>
      <c r="M209" s="38">
        <f>SUM(J209:L209)</f>
        <v>0</v>
      </c>
      <c r="N209" s="172"/>
      <c r="O209" s="172"/>
      <c r="P209" s="172"/>
      <c r="Q209" s="38">
        <f>SUM(N209:P209)</f>
        <v>0</v>
      </c>
      <c r="R209" s="38">
        <f t="shared" si="42"/>
        <v>1136</v>
      </c>
    </row>
    <row r="210" spans="1:21" ht="15.75" customHeight="1" x14ac:dyDescent="0.3">
      <c r="A210" s="410" t="s">
        <v>1974</v>
      </c>
      <c r="B210" s="172">
        <v>23</v>
      </c>
      <c r="C210" s="172"/>
      <c r="D210" s="172"/>
      <c r="E210" s="38">
        <f t="shared" si="38"/>
        <v>23</v>
      </c>
      <c r="F210" s="172"/>
      <c r="G210" s="172"/>
      <c r="H210" s="172"/>
      <c r="I210" s="38">
        <f t="shared" si="39"/>
        <v>0</v>
      </c>
      <c r="J210" s="172"/>
      <c r="K210" s="172"/>
      <c r="L210" s="172"/>
      <c r="M210" s="38">
        <f t="shared" si="40"/>
        <v>0</v>
      </c>
      <c r="N210" s="172"/>
      <c r="O210" s="172"/>
      <c r="P210" s="172"/>
      <c r="Q210" s="38">
        <f t="shared" si="41"/>
        <v>0</v>
      </c>
      <c r="R210" s="38">
        <f t="shared" si="42"/>
        <v>23</v>
      </c>
    </row>
    <row r="211" spans="1:21" ht="15.75" customHeight="1" x14ac:dyDescent="0.3">
      <c r="A211" s="410" t="s">
        <v>2848</v>
      </c>
      <c r="B211" s="172">
        <v>23</v>
      </c>
      <c r="C211" s="172"/>
      <c r="D211" s="172"/>
      <c r="E211" s="38">
        <f t="shared" si="38"/>
        <v>23</v>
      </c>
      <c r="F211" s="172"/>
      <c r="G211" s="172"/>
      <c r="H211" s="172"/>
      <c r="I211" s="38">
        <f t="shared" si="39"/>
        <v>0</v>
      </c>
      <c r="J211" s="172"/>
      <c r="K211" s="172"/>
      <c r="L211" s="172"/>
      <c r="M211" s="38">
        <f t="shared" si="40"/>
        <v>0</v>
      </c>
      <c r="N211" s="172"/>
      <c r="O211" s="172"/>
      <c r="P211" s="172"/>
      <c r="Q211" s="38">
        <f t="shared" si="41"/>
        <v>0</v>
      </c>
      <c r="R211" s="38">
        <f t="shared" si="42"/>
        <v>23</v>
      </c>
      <c r="T211" t="s">
        <v>2760</v>
      </c>
    </row>
    <row r="212" spans="1:21" ht="15.75" customHeight="1" x14ac:dyDescent="0.3">
      <c r="A212" s="410" t="s">
        <v>2791</v>
      </c>
      <c r="B212" s="172"/>
      <c r="C212" s="172"/>
      <c r="D212" s="172"/>
      <c r="E212" s="38">
        <f t="shared" si="38"/>
        <v>0</v>
      </c>
      <c r="F212" s="172">
        <v>7500</v>
      </c>
      <c r="G212" s="172">
        <v>2500</v>
      </c>
      <c r="H212" s="172"/>
      <c r="I212" s="38">
        <f t="shared" si="39"/>
        <v>10000</v>
      </c>
      <c r="J212" s="172"/>
      <c r="K212" s="172"/>
      <c r="L212" s="172"/>
      <c r="M212" s="38">
        <f t="shared" si="40"/>
        <v>0</v>
      </c>
      <c r="N212" s="172"/>
      <c r="O212" s="172"/>
      <c r="P212" s="172"/>
      <c r="Q212" s="38">
        <f t="shared" si="41"/>
        <v>0</v>
      </c>
      <c r="R212" s="38">
        <f t="shared" si="42"/>
        <v>10000</v>
      </c>
      <c r="T212" t="s">
        <v>2760</v>
      </c>
    </row>
    <row r="213" spans="1:21" ht="15.75" customHeight="1" x14ac:dyDescent="0.3">
      <c r="A213" s="410" t="s">
        <v>1495</v>
      </c>
      <c r="B213" s="172"/>
      <c r="C213" s="172"/>
      <c r="D213" s="172"/>
      <c r="E213" s="38">
        <f t="shared" si="38"/>
        <v>0</v>
      </c>
      <c r="F213" s="172"/>
      <c r="G213" s="172"/>
      <c r="H213" s="172">
        <v>4300</v>
      </c>
      <c r="I213" s="38">
        <f t="shared" si="39"/>
        <v>4300</v>
      </c>
      <c r="J213" s="172"/>
      <c r="K213" s="172"/>
      <c r="L213" s="172"/>
      <c r="M213" s="38">
        <f t="shared" si="40"/>
        <v>0</v>
      </c>
      <c r="N213" s="172"/>
      <c r="O213" s="172"/>
      <c r="P213" s="172"/>
      <c r="Q213" s="38">
        <f t="shared" si="41"/>
        <v>0</v>
      </c>
      <c r="R213" s="38">
        <f t="shared" si="42"/>
        <v>4300</v>
      </c>
    </row>
    <row r="214" spans="1:21" ht="15.75" customHeight="1" x14ac:dyDescent="0.3">
      <c r="A214" s="540" t="s">
        <v>2753</v>
      </c>
      <c r="B214" s="172"/>
      <c r="C214" s="172">
        <v>87</v>
      </c>
      <c r="D214" s="172"/>
      <c r="E214" s="38">
        <f t="shared" si="38"/>
        <v>87</v>
      </c>
      <c r="F214" s="172">
        <v>1051</v>
      </c>
      <c r="G214" s="172">
        <v>470</v>
      </c>
      <c r="H214" s="172"/>
      <c r="I214" s="38">
        <f t="shared" si="39"/>
        <v>1521</v>
      </c>
      <c r="J214" s="172"/>
      <c r="K214" s="172"/>
      <c r="L214" s="172"/>
      <c r="M214" s="38">
        <f t="shared" si="40"/>
        <v>0</v>
      </c>
      <c r="N214" s="172"/>
      <c r="O214" s="172"/>
      <c r="P214" s="172"/>
      <c r="Q214" s="38">
        <f t="shared" si="41"/>
        <v>0</v>
      </c>
      <c r="R214" s="38">
        <f t="shared" si="42"/>
        <v>1608</v>
      </c>
    </row>
    <row r="215" spans="1:21" ht="15.75" customHeight="1" x14ac:dyDescent="0.3">
      <c r="A215" s="540" t="s">
        <v>2754</v>
      </c>
      <c r="B215" s="172">
        <v>107</v>
      </c>
      <c r="C215" s="172"/>
      <c r="D215" s="172">
        <v>23</v>
      </c>
      <c r="E215" s="38">
        <f t="shared" si="38"/>
        <v>130</v>
      </c>
      <c r="F215" s="172"/>
      <c r="G215" s="172"/>
      <c r="H215" s="172"/>
      <c r="I215" s="38">
        <f t="shared" si="39"/>
        <v>0</v>
      </c>
      <c r="J215" s="172"/>
      <c r="K215" s="172"/>
      <c r="L215" s="172"/>
      <c r="M215" s="38">
        <f t="shared" si="40"/>
        <v>0</v>
      </c>
      <c r="N215" s="172"/>
      <c r="O215" s="172"/>
      <c r="P215" s="172"/>
      <c r="Q215" s="38">
        <f t="shared" si="41"/>
        <v>0</v>
      </c>
      <c r="R215" s="38">
        <f t="shared" si="42"/>
        <v>130</v>
      </c>
    </row>
    <row r="216" spans="1:21" ht="15.75" customHeight="1" x14ac:dyDescent="0.3">
      <c r="A216" s="410" t="s">
        <v>2755</v>
      </c>
      <c r="B216" s="10">
        <v>726</v>
      </c>
      <c r="C216" s="10">
        <v>652</v>
      </c>
      <c r="D216" s="10">
        <v>746</v>
      </c>
      <c r="E216" s="38">
        <f t="shared" si="38"/>
        <v>2124</v>
      </c>
      <c r="F216" s="10">
        <v>775</v>
      </c>
      <c r="G216" s="10">
        <v>1039</v>
      </c>
      <c r="H216" s="10">
        <v>1038</v>
      </c>
      <c r="I216" s="38">
        <f t="shared" si="39"/>
        <v>2852</v>
      </c>
      <c r="J216" s="10">
        <v>286</v>
      </c>
      <c r="K216" s="10"/>
      <c r="L216" s="10"/>
      <c r="M216" s="38">
        <f t="shared" si="40"/>
        <v>286</v>
      </c>
      <c r="N216" s="10"/>
      <c r="O216" s="10"/>
      <c r="P216" s="10"/>
      <c r="Q216" s="38">
        <f t="shared" si="41"/>
        <v>0</v>
      </c>
      <c r="R216" s="38">
        <f t="shared" si="42"/>
        <v>5262</v>
      </c>
    </row>
    <row r="217" spans="1:21" ht="15.75" customHeight="1" x14ac:dyDescent="0.3">
      <c r="A217" s="410" t="s">
        <v>1851</v>
      </c>
      <c r="B217" s="10"/>
      <c r="C217" s="10"/>
      <c r="D217" s="10"/>
      <c r="E217" s="38">
        <f t="shared" si="38"/>
        <v>0</v>
      </c>
      <c r="F217" s="10"/>
      <c r="G217" s="10"/>
      <c r="H217" s="10">
        <v>9482</v>
      </c>
      <c r="I217" s="38">
        <f t="shared" si="39"/>
        <v>9482</v>
      </c>
      <c r="J217" s="10">
        <v>5518</v>
      </c>
      <c r="K217" s="10"/>
      <c r="L217" s="10"/>
      <c r="M217" s="38">
        <f t="shared" si="40"/>
        <v>5518</v>
      </c>
      <c r="N217" s="10"/>
      <c r="O217" s="10"/>
      <c r="P217" s="10"/>
      <c r="Q217" s="38">
        <f t="shared" si="41"/>
        <v>0</v>
      </c>
      <c r="R217" s="38">
        <f t="shared" si="42"/>
        <v>15000</v>
      </c>
    </row>
    <row r="218" spans="1:21" ht="15.75" customHeight="1" x14ac:dyDescent="0.3">
      <c r="A218" s="410" t="s">
        <v>1850</v>
      </c>
      <c r="B218" s="10"/>
      <c r="C218" s="10"/>
      <c r="D218" s="10"/>
      <c r="E218" s="38">
        <f t="shared" si="38"/>
        <v>0</v>
      </c>
      <c r="F218" s="10">
        <v>1943</v>
      </c>
      <c r="G218" s="10">
        <v>7165</v>
      </c>
      <c r="H218" s="10">
        <v>2892</v>
      </c>
      <c r="I218" s="38">
        <f t="shared" si="39"/>
        <v>12000</v>
      </c>
      <c r="J218" s="10"/>
      <c r="K218" s="10"/>
      <c r="L218" s="10"/>
      <c r="M218" s="38">
        <f t="shared" si="40"/>
        <v>0</v>
      </c>
      <c r="N218" s="10"/>
      <c r="O218" s="10"/>
      <c r="P218" s="10"/>
      <c r="Q218" s="38">
        <f t="shared" si="41"/>
        <v>0</v>
      </c>
      <c r="R218" s="38">
        <f t="shared" si="42"/>
        <v>12000</v>
      </c>
    </row>
    <row r="219" spans="1:21" ht="15.75" customHeight="1" x14ac:dyDescent="0.3">
      <c r="A219" s="410" t="s">
        <v>885</v>
      </c>
      <c r="B219" s="172"/>
      <c r="C219" s="172"/>
      <c r="D219" s="172"/>
      <c r="E219" s="38">
        <f t="shared" si="38"/>
        <v>0</v>
      </c>
      <c r="F219" s="172"/>
      <c r="G219" s="172"/>
      <c r="H219" s="172"/>
      <c r="I219" s="38">
        <f t="shared" si="39"/>
        <v>0</v>
      </c>
      <c r="J219" s="172"/>
      <c r="K219" s="172"/>
      <c r="L219" s="172"/>
      <c r="M219" s="38">
        <f t="shared" si="40"/>
        <v>0</v>
      </c>
      <c r="N219" s="172"/>
      <c r="O219" s="172"/>
      <c r="P219" s="172"/>
      <c r="Q219" s="38">
        <f t="shared" si="41"/>
        <v>0</v>
      </c>
      <c r="R219" s="38">
        <f t="shared" si="42"/>
        <v>0</v>
      </c>
    </row>
    <row r="220" spans="1:21" ht="15.75" customHeight="1" x14ac:dyDescent="0.3">
      <c r="A220" s="410" t="s">
        <v>2807</v>
      </c>
      <c r="B220" s="172"/>
      <c r="C220" s="172"/>
      <c r="D220" s="172"/>
      <c r="E220" s="38">
        <f t="shared" si="38"/>
        <v>0</v>
      </c>
      <c r="F220" s="172"/>
      <c r="G220" s="172"/>
      <c r="H220" s="172"/>
      <c r="I220" s="38">
        <f t="shared" si="39"/>
        <v>0</v>
      </c>
      <c r="J220" s="172">
        <v>10</v>
      </c>
      <c r="K220" s="172">
        <v>300</v>
      </c>
      <c r="L220" s="172">
        <v>350</v>
      </c>
      <c r="M220" s="38">
        <f t="shared" si="40"/>
        <v>660</v>
      </c>
      <c r="N220" s="172"/>
      <c r="O220" s="172"/>
      <c r="P220" s="172"/>
      <c r="Q220" s="38">
        <f t="shared" si="41"/>
        <v>0</v>
      </c>
      <c r="R220" s="38">
        <f t="shared" si="42"/>
        <v>660</v>
      </c>
      <c r="S220" s="230"/>
      <c r="T220" s="230" t="s">
        <v>2760</v>
      </c>
      <c r="U220" s="230"/>
    </row>
    <row r="221" spans="1:21" ht="15.75" customHeight="1" x14ac:dyDescent="0.3">
      <c r="A221" s="410" t="s">
        <v>1163</v>
      </c>
      <c r="B221" s="172"/>
      <c r="C221" s="172"/>
      <c r="D221" s="172">
        <v>905</v>
      </c>
      <c r="E221" s="38">
        <f>SUM(B221:D221)</f>
        <v>905</v>
      </c>
      <c r="F221" s="172">
        <v>909</v>
      </c>
      <c r="G221" s="172"/>
      <c r="H221" s="172"/>
      <c r="I221" s="38">
        <f>SUM(F221:H221)</f>
        <v>909</v>
      </c>
      <c r="J221" s="172"/>
      <c r="K221" s="172"/>
      <c r="L221" s="172"/>
      <c r="M221" s="38">
        <f t="shared" si="40"/>
        <v>0</v>
      </c>
      <c r="N221" s="172"/>
      <c r="O221" s="172"/>
      <c r="P221" s="172"/>
      <c r="Q221" s="38">
        <f t="shared" si="41"/>
        <v>0</v>
      </c>
      <c r="R221" s="38">
        <f t="shared" si="42"/>
        <v>1814</v>
      </c>
      <c r="T221" t="s">
        <v>2775</v>
      </c>
    </row>
    <row r="222" spans="1:21" ht="15.75" customHeight="1" x14ac:dyDescent="0.3">
      <c r="A222" s="410" t="s">
        <v>1097</v>
      </c>
      <c r="B222" s="172"/>
      <c r="E222" s="38">
        <f t="shared" si="38"/>
        <v>0</v>
      </c>
      <c r="G222" s="172"/>
      <c r="H222" s="172"/>
      <c r="I222" s="38">
        <f t="shared" si="39"/>
        <v>0</v>
      </c>
      <c r="J222" s="172"/>
      <c r="K222" s="172"/>
      <c r="L222" s="172"/>
      <c r="M222" s="38">
        <f t="shared" si="40"/>
        <v>0</v>
      </c>
      <c r="N222" s="172"/>
      <c r="O222" s="172"/>
      <c r="P222" s="172"/>
      <c r="Q222" s="38">
        <f t="shared" si="41"/>
        <v>0</v>
      </c>
      <c r="R222" s="38">
        <f t="shared" si="42"/>
        <v>0</v>
      </c>
    </row>
    <row r="223" spans="1:21" ht="15.75" customHeight="1" x14ac:dyDescent="0.3">
      <c r="A223" s="410" t="s">
        <v>14</v>
      </c>
      <c r="B223" s="172"/>
      <c r="C223" s="172"/>
      <c r="D223" s="172"/>
      <c r="E223" s="38">
        <f t="shared" si="38"/>
        <v>0</v>
      </c>
      <c r="F223" s="172"/>
      <c r="G223" s="172">
        <v>2229</v>
      </c>
      <c r="H223" s="172">
        <v>794</v>
      </c>
      <c r="I223" s="38">
        <f t="shared" si="39"/>
        <v>3023</v>
      </c>
      <c r="J223" s="172"/>
      <c r="K223" s="172"/>
      <c r="L223" s="172"/>
      <c r="M223" s="38">
        <f t="shared" si="40"/>
        <v>0</v>
      </c>
      <c r="N223" s="172"/>
      <c r="O223" s="172"/>
      <c r="P223" s="172"/>
      <c r="Q223" s="38">
        <f t="shared" si="41"/>
        <v>0</v>
      </c>
      <c r="R223" s="38">
        <f t="shared" si="42"/>
        <v>3023</v>
      </c>
    </row>
    <row r="224" spans="1:21" ht="15.75" customHeight="1" x14ac:dyDescent="0.3">
      <c r="A224" s="410" t="s">
        <v>2410</v>
      </c>
      <c r="B224" s="172">
        <v>60</v>
      </c>
      <c r="C224" s="172"/>
      <c r="D224" s="172"/>
      <c r="E224" s="38">
        <f t="shared" si="38"/>
        <v>60</v>
      </c>
      <c r="F224" s="172"/>
      <c r="G224" s="172"/>
      <c r="H224" s="172"/>
      <c r="I224" s="38">
        <f t="shared" si="39"/>
        <v>0</v>
      </c>
      <c r="J224" s="172"/>
      <c r="K224" s="172"/>
      <c r="L224" s="172"/>
      <c r="M224" s="38">
        <f t="shared" si="40"/>
        <v>0</v>
      </c>
      <c r="N224" s="172"/>
      <c r="O224" s="172"/>
      <c r="P224" s="172"/>
      <c r="Q224" s="38">
        <f t="shared" si="41"/>
        <v>0</v>
      </c>
      <c r="R224" s="38">
        <f t="shared" si="42"/>
        <v>60</v>
      </c>
    </row>
    <row r="225" spans="1:20" ht="15.75" customHeight="1" x14ac:dyDescent="0.3">
      <c r="A225" s="410" t="s">
        <v>2849</v>
      </c>
      <c r="B225" s="172">
        <v>60</v>
      </c>
      <c r="C225" s="172"/>
      <c r="D225" s="172"/>
      <c r="E225" s="38">
        <f t="shared" si="38"/>
        <v>60</v>
      </c>
      <c r="F225" s="172"/>
      <c r="G225" s="172"/>
      <c r="H225" s="172"/>
      <c r="I225" s="38">
        <f t="shared" si="39"/>
        <v>0</v>
      </c>
      <c r="J225" s="172"/>
      <c r="K225" s="172"/>
      <c r="L225" s="172"/>
      <c r="M225" s="38">
        <f t="shared" si="40"/>
        <v>0</v>
      </c>
      <c r="N225" s="172"/>
      <c r="O225" s="172"/>
      <c r="P225" s="172"/>
      <c r="Q225" s="38">
        <f t="shared" si="41"/>
        <v>0</v>
      </c>
      <c r="R225" s="38">
        <f t="shared" si="42"/>
        <v>60</v>
      </c>
      <c r="T225" t="s">
        <v>2760</v>
      </c>
    </row>
    <row r="226" spans="1:20" ht="15.75" customHeight="1" x14ac:dyDescent="0.3">
      <c r="A226" s="410" t="s">
        <v>2802</v>
      </c>
      <c r="B226" s="172"/>
      <c r="C226" s="172"/>
      <c r="D226" s="172"/>
      <c r="E226" s="38">
        <f t="shared" si="38"/>
        <v>0</v>
      </c>
      <c r="F226" s="172"/>
      <c r="G226" s="172"/>
      <c r="H226" s="172"/>
      <c r="I226" s="38">
        <f t="shared" si="39"/>
        <v>0</v>
      </c>
      <c r="J226" s="172"/>
      <c r="K226" s="172"/>
      <c r="L226" s="172"/>
      <c r="M226" s="38">
        <f t="shared" si="40"/>
        <v>0</v>
      </c>
      <c r="N226" s="172"/>
      <c r="O226" s="172">
        <v>250</v>
      </c>
      <c r="P226" s="172"/>
      <c r="Q226" s="38">
        <f t="shared" si="41"/>
        <v>250</v>
      </c>
      <c r="R226" s="38">
        <f t="shared" si="42"/>
        <v>250</v>
      </c>
      <c r="T226" t="s">
        <v>2760</v>
      </c>
    </row>
    <row r="227" spans="1:20" ht="15.75" customHeight="1" x14ac:dyDescent="0.3">
      <c r="A227" s="410" t="s">
        <v>2803</v>
      </c>
      <c r="B227" s="172">
        <v>740</v>
      </c>
      <c r="C227" s="172">
        <v>668</v>
      </c>
      <c r="D227" s="172">
        <v>789</v>
      </c>
      <c r="E227" s="38">
        <f t="shared" ref="E227:E232" si="43">SUM(B227:D227)</f>
        <v>2197</v>
      </c>
      <c r="F227" s="172">
        <v>916</v>
      </c>
      <c r="G227" s="172">
        <v>458</v>
      </c>
      <c r="H227" s="172">
        <v>539</v>
      </c>
      <c r="I227" s="38">
        <f t="shared" ref="I227:I232" si="44">SUM(F227:H227)</f>
        <v>1913</v>
      </c>
      <c r="J227" s="172">
        <v>380</v>
      </c>
      <c r="K227" s="172">
        <v>569</v>
      </c>
      <c r="L227" s="172">
        <v>752</v>
      </c>
      <c r="M227" s="38">
        <f t="shared" ref="M227:M232" si="45">SUM(J227:L227)</f>
        <v>1701</v>
      </c>
      <c r="N227" s="172">
        <v>705</v>
      </c>
      <c r="O227" s="172">
        <v>1082</v>
      </c>
      <c r="P227" s="172">
        <v>497</v>
      </c>
      <c r="Q227" s="38">
        <f t="shared" ref="Q227:Q232" si="46">SUM(N227:P227)</f>
        <v>2284</v>
      </c>
      <c r="R227" s="38">
        <f t="shared" ref="R227:R232" si="47">+E227+I227+M227+Q227</f>
        <v>8095</v>
      </c>
      <c r="T227" t="s">
        <v>2760</v>
      </c>
    </row>
    <row r="228" spans="1:20" ht="15.75" customHeight="1" x14ac:dyDescent="0.3">
      <c r="A228" s="620" t="s">
        <v>2826</v>
      </c>
      <c r="B228" s="172"/>
      <c r="C228" s="172"/>
      <c r="D228" s="172"/>
      <c r="E228" s="38">
        <f t="shared" si="43"/>
        <v>0</v>
      </c>
      <c r="F228" s="172"/>
      <c r="G228" s="172">
        <v>12000</v>
      </c>
      <c r="H228" s="172">
        <v>9500</v>
      </c>
      <c r="I228" s="38">
        <f t="shared" si="44"/>
        <v>21500</v>
      </c>
      <c r="J228" s="172">
        <v>4889</v>
      </c>
      <c r="K228" s="172"/>
      <c r="L228" s="172"/>
      <c r="M228" s="38">
        <f t="shared" si="45"/>
        <v>4889</v>
      </c>
      <c r="N228" s="172"/>
      <c r="O228" s="172"/>
      <c r="P228" s="172"/>
      <c r="Q228" s="38">
        <f t="shared" si="46"/>
        <v>0</v>
      </c>
      <c r="R228" s="38">
        <f t="shared" si="47"/>
        <v>26389</v>
      </c>
      <c r="T228" t="s">
        <v>2760</v>
      </c>
    </row>
    <row r="229" spans="1:20" ht="15.75" customHeight="1" x14ac:dyDescent="0.3">
      <c r="A229" s="540" t="s">
        <v>2741</v>
      </c>
      <c r="B229" s="172"/>
      <c r="C229" s="172"/>
      <c r="D229" s="172">
        <v>3392</v>
      </c>
      <c r="E229" s="38">
        <f t="shared" si="43"/>
        <v>3392</v>
      </c>
      <c r="F229" s="172">
        <v>1609</v>
      </c>
      <c r="G229" s="172">
        <v>2028</v>
      </c>
      <c r="H229" s="172">
        <v>2656</v>
      </c>
      <c r="I229" s="38">
        <f t="shared" si="44"/>
        <v>6293</v>
      </c>
      <c r="J229" s="172"/>
      <c r="K229" s="172"/>
      <c r="L229" s="172"/>
      <c r="M229" s="38">
        <f t="shared" si="45"/>
        <v>0</v>
      </c>
      <c r="N229" s="172"/>
      <c r="O229" s="172"/>
      <c r="P229" s="172"/>
      <c r="Q229" s="38">
        <f t="shared" si="46"/>
        <v>0</v>
      </c>
      <c r="R229" s="38">
        <f t="shared" si="47"/>
        <v>9685</v>
      </c>
      <c r="T229" t="s">
        <v>2769</v>
      </c>
    </row>
    <row r="230" spans="1:20" ht="15.75" customHeight="1" x14ac:dyDescent="0.3">
      <c r="A230" s="540" t="s">
        <v>2742</v>
      </c>
      <c r="B230" s="172"/>
      <c r="C230" s="172"/>
      <c r="D230" s="172"/>
      <c r="E230" s="38">
        <f t="shared" si="43"/>
        <v>0</v>
      </c>
      <c r="F230" s="172"/>
      <c r="G230" s="172"/>
      <c r="H230" s="172"/>
      <c r="I230" s="38">
        <f t="shared" si="44"/>
        <v>0</v>
      </c>
      <c r="J230" s="172"/>
      <c r="K230" s="172"/>
      <c r="L230" s="172"/>
      <c r="M230" s="38">
        <f t="shared" si="45"/>
        <v>0</v>
      </c>
      <c r="N230" s="172"/>
      <c r="O230" s="172"/>
      <c r="P230" s="172"/>
      <c r="Q230" s="38">
        <f t="shared" si="46"/>
        <v>0</v>
      </c>
      <c r="R230" s="38">
        <f t="shared" si="47"/>
        <v>0</v>
      </c>
      <c r="T230" t="s">
        <v>2770</v>
      </c>
    </row>
    <row r="231" spans="1:20" ht="15.75" customHeight="1" x14ac:dyDescent="0.3">
      <c r="A231" s="410" t="s">
        <v>2798</v>
      </c>
      <c r="B231" s="172"/>
      <c r="C231" s="172"/>
      <c r="D231" s="172"/>
      <c r="E231" s="38">
        <f t="shared" si="43"/>
        <v>0</v>
      </c>
      <c r="F231" s="172"/>
      <c r="G231" s="172"/>
      <c r="H231" s="172"/>
      <c r="I231" s="38">
        <f t="shared" si="44"/>
        <v>0</v>
      </c>
      <c r="J231" s="172"/>
      <c r="K231" s="172">
        <v>500</v>
      </c>
      <c r="L231" s="172">
        <v>1000</v>
      </c>
      <c r="M231" s="38">
        <f t="shared" si="45"/>
        <v>1500</v>
      </c>
      <c r="N231" s="172">
        <v>278</v>
      </c>
      <c r="O231" s="172"/>
      <c r="P231" s="172"/>
      <c r="Q231" s="38">
        <f t="shared" si="46"/>
        <v>278</v>
      </c>
      <c r="R231" s="38">
        <f t="shared" si="47"/>
        <v>1778</v>
      </c>
      <c r="T231" t="s">
        <v>2760</v>
      </c>
    </row>
    <row r="232" spans="1:20" ht="15.75" customHeight="1" x14ac:dyDescent="0.3">
      <c r="A232" s="410" t="s">
        <v>2808</v>
      </c>
      <c r="B232" s="172"/>
      <c r="C232" s="172"/>
      <c r="D232" s="172"/>
      <c r="E232" s="38">
        <f t="shared" si="43"/>
        <v>0</v>
      </c>
      <c r="F232" s="172">
        <v>477</v>
      </c>
      <c r="G232" s="172">
        <v>1118</v>
      </c>
      <c r="H232" s="172">
        <v>161</v>
      </c>
      <c r="I232" s="38">
        <f t="shared" si="44"/>
        <v>1756</v>
      </c>
      <c r="J232" s="172"/>
      <c r="K232" s="172"/>
      <c r="L232" s="172"/>
      <c r="M232" s="38">
        <f t="shared" si="45"/>
        <v>0</v>
      </c>
      <c r="N232" s="172"/>
      <c r="O232" s="172"/>
      <c r="P232" s="172"/>
      <c r="Q232" s="38">
        <f t="shared" si="46"/>
        <v>0</v>
      </c>
      <c r="R232" s="38">
        <f t="shared" si="47"/>
        <v>1756</v>
      </c>
      <c r="T232" t="s">
        <v>2760</v>
      </c>
    </row>
    <row r="233" spans="1:20" ht="15.75" customHeight="1" x14ac:dyDescent="0.3">
      <c r="A233" s="410" t="s">
        <v>100</v>
      </c>
      <c r="B233" s="172">
        <v>689</v>
      </c>
      <c r="C233" s="172">
        <v>1437</v>
      </c>
      <c r="D233" s="172">
        <v>724</v>
      </c>
      <c r="E233" s="38">
        <f t="shared" si="38"/>
        <v>2850</v>
      </c>
      <c r="F233" s="172"/>
      <c r="G233" s="172"/>
      <c r="H233" s="172"/>
      <c r="I233" s="38">
        <f t="shared" si="39"/>
        <v>0</v>
      </c>
      <c r="J233" s="172"/>
      <c r="K233" s="172"/>
      <c r="L233" s="172"/>
      <c r="M233" s="38">
        <f t="shared" si="40"/>
        <v>0</v>
      </c>
      <c r="N233" s="172"/>
      <c r="O233" s="172"/>
      <c r="P233" s="172"/>
      <c r="Q233" s="38">
        <f t="shared" si="41"/>
        <v>0</v>
      </c>
      <c r="R233" s="38">
        <f t="shared" si="42"/>
        <v>2850</v>
      </c>
      <c r="T233" t="s">
        <v>2775</v>
      </c>
    </row>
    <row r="234" spans="1:20" ht="15.75" customHeight="1" x14ac:dyDescent="0.3">
      <c r="A234" s="410" t="s">
        <v>101</v>
      </c>
      <c r="B234" s="172"/>
      <c r="C234" s="172"/>
      <c r="D234" s="172"/>
      <c r="E234" s="38">
        <f t="shared" si="38"/>
        <v>0</v>
      </c>
      <c r="F234" s="172"/>
      <c r="G234" s="172"/>
      <c r="H234" s="172"/>
      <c r="I234" s="38">
        <f t="shared" si="39"/>
        <v>0</v>
      </c>
      <c r="J234" s="172"/>
      <c r="K234" s="172"/>
      <c r="L234" s="172"/>
      <c r="M234" s="38">
        <f t="shared" si="40"/>
        <v>0</v>
      </c>
      <c r="N234" s="172"/>
      <c r="O234" s="172"/>
      <c r="P234" s="172"/>
      <c r="Q234" s="38">
        <f t="shared" si="41"/>
        <v>0</v>
      </c>
      <c r="R234" s="38">
        <f t="shared" si="42"/>
        <v>0</v>
      </c>
    </row>
    <row r="235" spans="1:20" ht="15.75" customHeight="1" x14ac:dyDescent="0.3">
      <c r="A235" s="410" t="s">
        <v>2446</v>
      </c>
      <c r="B235" s="172"/>
      <c r="C235" s="172"/>
      <c r="D235" s="172"/>
      <c r="E235" s="38">
        <f t="shared" si="38"/>
        <v>0</v>
      </c>
      <c r="F235" s="10"/>
      <c r="G235" s="10">
        <v>4750</v>
      </c>
      <c r="H235" s="172"/>
      <c r="I235" s="38">
        <f t="shared" si="39"/>
        <v>4750</v>
      </c>
      <c r="J235" s="172"/>
      <c r="K235" s="172"/>
      <c r="L235" s="172"/>
      <c r="M235" s="38">
        <f t="shared" si="40"/>
        <v>0</v>
      </c>
      <c r="N235" s="172"/>
      <c r="O235" s="172"/>
      <c r="P235" s="172"/>
      <c r="Q235" s="38">
        <f t="shared" si="41"/>
        <v>0</v>
      </c>
      <c r="R235" s="38">
        <f t="shared" si="42"/>
        <v>4750</v>
      </c>
    </row>
    <row r="236" spans="1:20" ht="15.75" customHeight="1" x14ac:dyDescent="0.3">
      <c r="A236" s="410" t="s">
        <v>829</v>
      </c>
      <c r="B236" s="172">
        <v>95</v>
      </c>
      <c r="C236" s="172"/>
      <c r="D236" s="172"/>
      <c r="E236" s="38">
        <f t="shared" si="38"/>
        <v>95</v>
      </c>
      <c r="F236" s="172"/>
      <c r="G236" s="172"/>
      <c r="H236" s="172"/>
      <c r="I236" s="38">
        <f t="shared" si="39"/>
        <v>0</v>
      </c>
      <c r="J236" s="172"/>
      <c r="K236" s="172"/>
      <c r="L236" s="172"/>
      <c r="M236" s="38">
        <f t="shared" si="40"/>
        <v>0</v>
      </c>
      <c r="N236" s="172"/>
      <c r="O236" s="172"/>
      <c r="P236" s="172"/>
      <c r="Q236" s="38">
        <f t="shared" si="41"/>
        <v>0</v>
      </c>
      <c r="R236" s="38">
        <f t="shared" si="42"/>
        <v>95</v>
      </c>
    </row>
    <row r="237" spans="1:20" ht="15.75" customHeight="1" x14ac:dyDescent="0.3">
      <c r="A237" s="410" t="s">
        <v>2850</v>
      </c>
      <c r="B237" s="172">
        <v>95</v>
      </c>
      <c r="C237" s="172"/>
      <c r="D237" s="172"/>
      <c r="E237" s="38">
        <f t="shared" si="38"/>
        <v>95</v>
      </c>
      <c r="F237" s="172"/>
      <c r="G237" s="172"/>
      <c r="H237" s="172"/>
      <c r="I237" s="38">
        <f t="shared" si="39"/>
        <v>0</v>
      </c>
      <c r="J237" s="172"/>
      <c r="K237" s="172"/>
      <c r="L237" s="172"/>
      <c r="M237" s="38">
        <f t="shared" si="40"/>
        <v>0</v>
      </c>
      <c r="N237" s="172"/>
      <c r="O237" s="172"/>
      <c r="P237" s="172"/>
      <c r="Q237" s="38">
        <f t="shared" si="41"/>
        <v>0</v>
      </c>
      <c r="R237" s="38">
        <f t="shared" si="42"/>
        <v>95</v>
      </c>
      <c r="T237" t="s">
        <v>2760</v>
      </c>
    </row>
    <row r="238" spans="1:20" ht="15.75" customHeight="1" x14ac:dyDescent="0.3">
      <c r="A238" s="410" t="s">
        <v>1453</v>
      </c>
      <c r="B238" s="172">
        <v>216</v>
      </c>
      <c r="C238" s="172">
        <v>3609</v>
      </c>
      <c r="D238" s="172">
        <v>4563</v>
      </c>
      <c r="E238" s="38">
        <f>SUM(B238:D238)</f>
        <v>8388</v>
      </c>
      <c r="F238" s="172">
        <v>4112</v>
      </c>
      <c r="G238" s="172"/>
      <c r="H238" s="172"/>
      <c r="I238" s="38">
        <f>SUM(F238:H238)</f>
        <v>4112</v>
      </c>
      <c r="J238" s="172"/>
      <c r="K238" s="172"/>
      <c r="L238" s="172"/>
      <c r="M238" s="38">
        <f>SUM(J238:L238)</f>
        <v>0</v>
      </c>
      <c r="N238" s="172"/>
      <c r="O238" s="172"/>
      <c r="P238" s="172"/>
      <c r="Q238" s="38">
        <f>SUM(N238:P238)</f>
        <v>0</v>
      </c>
      <c r="R238" s="38">
        <f>+E238+I238+M238+Q238</f>
        <v>12500</v>
      </c>
    </row>
    <row r="239" spans="1:20" ht="15.75" customHeight="1" thickBot="1" x14ac:dyDescent="0.35">
      <c r="A239" s="410" t="s">
        <v>1410</v>
      </c>
      <c r="B239" s="172">
        <v>500</v>
      </c>
      <c r="C239" s="172"/>
      <c r="D239" s="172"/>
      <c r="E239" s="38">
        <f t="shared" si="38"/>
        <v>500</v>
      </c>
      <c r="F239" s="172"/>
      <c r="G239" s="172"/>
      <c r="H239" s="172"/>
      <c r="I239" s="38">
        <f t="shared" si="39"/>
        <v>0</v>
      </c>
      <c r="J239" s="172"/>
      <c r="K239" s="172"/>
      <c r="L239" s="172"/>
      <c r="M239" s="38">
        <f t="shared" si="40"/>
        <v>0</v>
      </c>
      <c r="N239" s="172"/>
      <c r="O239" s="172"/>
      <c r="P239" s="172"/>
      <c r="Q239" s="38">
        <f t="shared" si="41"/>
        <v>0</v>
      </c>
      <c r="R239" s="38">
        <f t="shared" si="42"/>
        <v>500</v>
      </c>
    </row>
    <row r="240" spans="1:20" ht="16.5" customHeight="1" thickBot="1" x14ac:dyDescent="0.35">
      <c r="A240" s="43" t="s">
        <v>1220</v>
      </c>
      <c r="B240" s="45">
        <f>SUM(B199:B239)</f>
        <v>5418</v>
      </c>
      <c r="C240" s="46">
        <f>SUM(C199:C239)</f>
        <v>6685</v>
      </c>
      <c r="D240" s="46">
        <f>SUM(D199:D239)</f>
        <v>11828</v>
      </c>
      <c r="E240" s="37">
        <f t="shared" si="38"/>
        <v>23931</v>
      </c>
      <c r="F240" s="46">
        <f>SUM(F199:F239)</f>
        <v>19684</v>
      </c>
      <c r="G240" s="46">
        <f>SUM(G199:G239)</f>
        <v>34261</v>
      </c>
      <c r="H240" s="46">
        <f>SUM(H199:H239)</f>
        <v>31949</v>
      </c>
      <c r="I240" s="37">
        <f t="shared" si="39"/>
        <v>85894</v>
      </c>
      <c r="J240" s="46">
        <f>SUM(J199:J239)</f>
        <v>11650</v>
      </c>
      <c r="K240" s="46">
        <f>SUM(K199:K239)</f>
        <v>1916</v>
      </c>
      <c r="L240" s="46">
        <f>SUM(L199:L239)</f>
        <v>2546</v>
      </c>
      <c r="M240" s="37">
        <f t="shared" si="40"/>
        <v>16112</v>
      </c>
      <c r="N240" s="46">
        <f>SUM(N199:N239)</f>
        <v>1466</v>
      </c>
      <c r="O240" s="46">
        <f>SUM(O199:O239)</f>
        <v>1661</v>
      </c>
      <c r="P240" s="46">
        <f>SUM(P199:P239)</f>
        <v>775</v>
      </c>
      <c r="Q240" s="37">
        <f t="shared" si="41"/>
        <v>3902</v>
      </c>
      <c r="R240" s="37">
        <f t="shared" si="42"/>
        <v>129839</v>
      </c>
    </row>
    <row r="241" spans="1:21" ht="15.75" customHeight="1" x14ac:dyDescent="0.3">
      <c r="A241" s="234" t="s">
        <v>1712</v>
      </c>
      <c r="B241" s="172"/>
      <c r="C241" s="172"/>
      <c r="D241" s="172"/>
      <c r="E241" s="38" t="s">
        <v>852</v>
      </c>
      <c r="F241" s="172"/>
      <c r="G241" s="172"/>
      <c r="H241" s="172"/>
      <c r="I241" s="38" t="s">
        <v>852</v>
      </c>
      <c r="J241" s="172"/>
      <c r="K241" s="172"/>
      <c r="L241" s="172"/>
      <c r="M241" s="38" t="s">
        <v>852</v>
      </c>
      <c r="N241" s="172"/>
      <c r="O241" s="172"/>
      <c r="P241" s="172"/>
      <c r="Q241" s="38" t="s">
        <v>852</v>
      </c>
      <c r="R241" s="38" t="s">
        <v>852</v>
      </c>
    </row>
    <row r="242" spans="1:21" ht="15.75" customHeight="1" x14ac:dyDescent="0.3">
      <c r="A242" s="234" t="s">
        <v>1021</v>
      </c>
      <c r="B242" s="172"/>
      <c r="C242" s="172"/>
      <c r="D242" s="172"/>
      <c r="E242" s="38" t="s">
        <v>852</v>
      </c>
      <c r="F242" s="172"/>
      <c r="G242" s="172"/>
      <c r="H242" s="172"/>
      <c r="I242" s="38" t="s">
        <v>852</v>
      </c>
      <c r="J242" s="172"/>
      <c r="K242" s="172"/>
      <c r="L242" s="172"/>
      <c r="M242" s="38" t="s">
        <v>852</v>
      </c>
      <c r="N242" s="172"/>
      <c r="O242" s="172"/>
      <c r="P242" s="172"/>
      <c r="Q242" s="38" t="s">
        <v>852</v>
      </c>
      <c r="R242" s="38" t="s">
        <v>852</v>
      </c>
    </row>
    <row r="243" spans="1:21" ht="15.75" customHeight="1" x14ac:dyDescent="0.3">
      <c r="A243" s="618" t="s">
        <v>2796</v>
      </c>
      <c r="B243" s="172"/>
      <c r="C243" s="172"/>
      <c r="D243" s="172"/>
      <c r="E243" s="38">
        <f>SUM(B243:D243)</f>
        <v>0</v>
      </c>
      <c r="F243" s="172"/>
      <c r="G243" s="172"/>
      <c r="H243" s="172"/>
      <c r="I243" s="38">
        <f>SUM(F243:H243)</f>
        <v>0</v>
      </c>
      <c r="J243" s="172"/>
      <c r="K243" s="172"/>
      <c r="L243" s="172"/>
      <c r="M243" s="38">
        <f>SUM(J243:L243)</f>
        <v>0</v>
      </c>
      <c r="N243" s="172"/>
      <c r="O243" s="172"/>
      <c r="P243" s="172"/>
      <c r="Q243" s="38">
        <f>SUM(N243:P243)</f>
        <v>0</v>
      </c>
      <c r="R243" s="38">
        <f>+E243+I243+M243+Q243</f>
        <v>0</v>
      </c>
      <c r="T243" t="s">
        <v>2760</v>
      </c>
      <c r="U243" t="s">
        <v>2772</v>
      </c>
    </row>
    <row r="244" spans="1:21" ht="15.75" customHeight="1" x14ac:dyDescent="0.3">
      <c r="A244" s="568" t="s">
        <v>1323</v>
      </c>
      <c r="B244" s="172"/>
      <c r="C244" s="172"/>
      <c r="D244" s="172"/>
      <c r="E244" s="38">
        <f>SUM(B244:D244)</f>
        <v>0</v>
      </c>
      <c r="F244" s="172"/>
      <c r="G244" s="172"/>
      <c r="H244" s="172"/>
      <c r="I244" s="38">
        <f>SUM(F244:H244)</f>
        <v>0</v>
      </c>
      <c r="J244" s="172"/>
      <c r="K244" s="172"/>
      <c r="L244" s="172"/>
      <c r="M244" s="38">
        <f>SUM(J244:L244)</f>
        <v>0</v>
      </c>
      <c r="N244" s="172"/>
      <c r="O244" s="172"/>
      <c r="P244" s="172">
        <v>754</v>
      </c>
      <c r="Q244" s="38">
        <f>SUM(N244:P244)</f>
        <v>754</v>
      </c>
      <c r="R244" s="38">
        <f>+E244+I244+M244+Q244</f>
        <v>754</v>
      </c>
      <c r="T244" t="s">
        <v>2769</v>
      </c>
    </row>
    <row r="245" spans="1:21" ht="15.75" customHeight="1" x14ac:dyDescent="0.3">
      <c r="A245" s="568" t="s">
        <v>2317</v>
      </c>
      <c r="B245" s="172"/>
      <c r="C245" s="172"/>
      <c r="D245" s="172"/>
      <c r="E245" s="38">
        <f>SUM(B245:D245)</f>
        <v>0</v>
      </c>
      <c r="F245" s="172"/>
      <c r="G245" s="172"/>
      <c r="H245" s="172"/>
      <c r="I245" s="38">
        <f>SUM(F245:H245)</f>
        <v>0</v>
      </c>
      <c r="J245" s="172"/>
      <c r="K245" s="172"/>
      <c r="L245" s="172"/>
      <c r="M245" s="38">
        <f>SUM(J245:L245)</f>
        <v>0</v>
      </c>
      <c r="N245" s="172"/>
      <c r="O245" s="172"/>
      <c r="P245" s="172">
        <v>2000</v>
      </c>
      <c r="Q245" s="38">
        <f>SUM(N245:P245)</f>
        <v>2000</v>
      </c>
      <c r="R245" s="38">
        <f>+E245+I245+M245+Q245</f>
        <v>2000</v>
      </c>
      <c r="T245" t="s">
        <v>2770</v>
      </c>
    </row>
    <row r="246" spans="1:21" ht="15.75" customHeight="1" x14ac:dyDescent="0.3">
      <c r="A246" s="587" t="s">
        <v>2825</v>
      </c>
      <c r="B246" s="172"/>
      <c r="C246" s="172"/>
      <c r="D246" s="172"/>
      <c r="E246" s="38">
        <f>SUM(B246:D246)</f>
        <v>0</v>
      </c>
      <c r="F246" s="172"/>
      <c r="G246" s="172"/>
      <c r="H246" s="172"/>
      <c r="I246" s="38">
        <f>SUM(F246:H246)</f>
        <v>0</v>
      </c>
      <c r="J246" s="172"/>
      <c r="K246" s="172"/>
      <c r="L246" s="172"/>
      <c r="M246" s="38">
        <f>SUM(J246:L246)</f>
        <v>0</v>
      </c>
      <c r="N246" s="172"/>
      <c r="O246" s="172"/>
      <c r="P246" s="172"/>
      <c r="Q246" s="38">
        <f>SUM(N246:P246)</f>
        <v>0</v>
      </c>
      <c r="R246" s="38">
        <f>+E246+I246+M246+Q246</f>
        <v>0</v>
      </c>
      <c r="T246" t="s">
        <v>2760</v>
      </c>
    </row>
    <row r="247" spans="1:21" ht="15.75" customHeight="1" x14ac:dyDescent="0.3">
      <c r="A247" s="234" t="s">
        <v>557</v>
      </c>
      <c r="B247" s="172"/>
      <c r="C247" s="172"/>
      <c r="D247" s="172"/>
      <c r="E247" s="38" t="s">
        <v>852</v>
      </c>
      <c r="F247" s="172"/>
      <c r="G247" s="172"/>
      <c r="H247" s="172"/>
      <c r="I247" s="38" t="s">
        <v>852</v>
      </c>
      <c r="J247" s="172"/>
      <c r="K247" s="172"/>
      <c r="L247" s="172"/>
      <c r="M247" s="38" t="s">
        <v>852</v>
      </c>
      <c r="N247" s="172"/>
      <c r="O247" s="172"/>
      <c r="P247" s="172"/>
      <c r="Q247" s="38" t="s">
        <v>852</v>
      </c>
      <c r="R247" s="38" t="s">
        <v>852</v>
      </c>
    </row>
    <row r="248" spans="1:21" ht="15.75" customHeight="1" x14ac:dyDescent="0.3">
      <c r="A248" s="568" t="s">
        <v>2558</v>
      </c>
      <c r="B248" s="172"/>
      <c r="C248" s="172"/>
      <c r="D248" s="172"/>
      <c r="E248" s="38">
        <f>SUM(B248:D248)</f>
        <v>0</v>
      </c>
      <c r="F248" s="172"/>
      <c r="G248" s="172"/>
      <c r="H248" s="172"/>
      <c r="I248" s="38">
        <f>SUM(F248:H248)</f>
        <v>0</v>
      </c>
      <c r="J248" s="172"/>
      <c r="K248" s="172">
        <v>3034</v>
      </c>
      <c r="L248" s="172"/>
      <c r="M248" s="38">
        <f>SUM(J248:L248)</f>
        <v>3034</v>
      </c>
      <c r="N248" s="172">
        <v>1269</v>
      </c>
      <c r="O248" s="172">
        <v>3176</v>
      </c>
      <c r="P248" s="172">
        <v>2731</v>
      </c>
      <c r="Q248" s="38">
        <f>SUM(N248:P248)</f>
        <v>7176</v>
      </c>
      <c r="R248" s="38">
        <f>+E248+I248+M248+Q248</f>
        <v>10210</v>
      </c>
    </row>
    <row r="249" spans="1:21" ht="15.75" customHeight="1" x14ac:dyDescent="0.3">
      <c r="A249" s="568" t="s">
        <v>2559</v>
      </c>
      <c r="B249" s="172"/>
      <c r="C249" s="172"/>
      <c r="D249" s="172"/>
      <c r="E249" s="38">
        <f>SUM(B249:D249)</f>
        <v>0</v>
      </c>
      <c r="F249" s="172"/>
      <c r="G249" s="172"/>
      <c r="H249" s="172"/>
      <c r="I249" s="38">
        <f>SUM(F249:H249)</f>
        <v>0</v>
      </c>
      <c r="J249" s="172"/>
      <c r="K249" s="172"/>
      <c r="L249" s="172"/>
      <c r="M249" s="38">
        <f>SUM(J249:L249)</f>
        <v>0</v>
      </c>
      <c r="N249" s="172"/>
      <c r="O249" s="172"/>
      <c r="P249" s="172"/>
      <c r="Q249" s="38">
        <f>SUM(N249:P249)</f>
        <v>0</v>
      </c>
      <c r="R249" s="38">
        <f>+E249+I249+M249+Q249</f>
        <v>0</v>
      </c>
    </row>
    <row r="250" spans="1:21" ht="15.75" customHeight="1" x14ac:dyDescent="0.3">
      <c r="A250" s="539" t="s">
        <v>2560</v>
      </c>
      <c r="B250" s="172"/>
      <c r="C250" s="172"/>
      <c r="D250" s="172"/>
      <c r="E250" s="38">
        <f t="shared" ref="E250:E255" si="48">SUM(B250:D250)</f>
        <v>0</v>
      </c>
      <c r="F250" s="172"/>
      <c r="G250" s="172"/>
      <c r="H250" s="172"/>
      <c r="I250" s="38">
        <f t="shared" ref="I250:I255" si="49">SUM(F250:H250)</f>
        <v>0</v>
      </c>
      <c r="J250" s="172"/>
      <c r="K250" s="172"/>
      <c r="L250" s="172"/>
      <c r="M250" s="38">
        <f t="shared" ref="M250:M255" si="50">SUM(J250:L250)</f>
        <v>0</v>
      </c>
      <c r="N250" s="172"/>
      <c r="O250" s="172"/>
      <c r="P250" s="172"/>
      <c r="Q250" s="38">
        <f t="shared" ref="Q250:Q255" si="51">SUM(N250:P250)</f>
        <v>0</v>
      </c>
      <c r="R250" s="38">
        <f t="shared" ref="R250:R255" si="52">+E250+I250+M250+Q250</f>
        <v>0</v>
      </c>
    </row>
    <row r="251" spans="1:21" ht="15.75" customHeight="1" x14ac:dyDescent="0.3">
      <c r="A251" s="539" t="s">
        <v>2561</v>
      </c>
      <c r="B251" s="172"/>
      <c r="C251" s="172"/>
      <c r="D251" s="172"/>
      <c r="E251" s="38">
        <f t="shared" si="48"/>
        <v>0</v>
      </c>
      <c r="F251" s="172"/>
      <c r="G251" s="172"/>
      <c r="H251" s="172"/>
      <c r="I251" s="38">
        <f t="shared" si="49"/>
        <v>0</v>
      </c>
      <c r="J251" s="172"/>
      <c r="K251" s="172"/>
      <c r="L251" s="172"/>
      <c r="M251" s="38">
        <f t="shared" si="50"/>
        <v>0</v>
      </c>
      <c r="N251" s="172"/>
      <c r="O251" s="172"/>
      <c r="P251" s="172"/>
      <c r="Q251" s="38">
        <f t="shared" si="51"/>
        <v>0</v>
      </c>
      <c r="R251" s="38">
        <f t="shared" si="52"/>
        <v>0</v>
      </c>
    </row>
    <row r="252" spans="1:21" ht="15.75" customHeight="1" x14ac:dyDescent="0.3">
      <c r="A252" s="569" t="s">
        <v>2828</v>
      </c>
      <c r="B252" s="172"/>
      <c r="C252" s="172"/>
      <c r="D252" s="172"/>
      <c r="E252" s="38">
        <f t="shared" si="48"/>
        <v>0</v>
      </c>
      <c r="F252" s="172"/>
      <c r="G252" s="172"/>
      <c r="H252" s="172"/>
      <c r="I252" s="38">
        <f t="shared" si="49"/>
        <v>0</v>
      </c>
      <c r="J252" s="172"/>
      <c r="K252" s="172"/>
      <c r="L252" s="172"/>
      <c r="M252" s="38">
        <f t="shared" si="50"/>
        <v>0</v>
      </c>
      <c r="N252" s="172"/>
      <c r="O252" s="172">
        <v>22</v>
      </c>
      <c r="P252" s="172">
        <v>1032</v>
      </c>
      <c r="Q252" s="38">
        <f t="shared" si="51"/>
        <v>1054</v>
      </c>
      <c r="R252" s="38">
        <f t="shared" si="52"/>
        <v>1054</v>
      </c>
    </row>
    <row r="253" spans="1:21" ht="15.75" customHeight="1" x14ac:dyDescent="0.3">
      <c r="A253" s="569" t="s">
        <v>2563</v>
      </c>
      <c r="B253" s="172"/>
      <c r="C253" s="172"/>
      <c r="D253" s="172"/>
      <c r="E253" s="38">
        <f t="shared" si="48"/>
        <v>0</v>
      </c>
      <c r="F253" s="172"/>
      <c r="G253" s="172"/>
      <c r="H253" s="172"/>
      <c r="I253" s="38">
        <f t="shared" si="49"/>
        <v>0</v>
      </c>
      <c r="J253" s="172"/>
      <c r="K253" s="172"/>
      <c r="L253" s="172"/>
      <c r="M253" s="38">
        <f t="shared" si="50"/>
        <v>0</v>
      </c>
      <c r="N253" s="172"/>
      <c r="O253" s="172"/>
      <c r="P253" s="172"/>
      <c r="Q253" s="38">
        <f t="shared" si="51"/>
        <v>0</v>
      </c>
      <c r="R253" s="38">
        <f t="shared" si="52"/>
        <v>0</v>
      </c>
    </row>
    <row r="254" spans="1:21" ht="15.75" customHeight="1" x14ac:dyDescent="0.3">
      <c r="A254" s="422" t="s">
        <v>2564</v>
      </c>
      <c r="B254" s="172"/>
      <c r="C254" s="172"/>
      <c r="D254" s="172"/>
      <c r="E254" s="38">
        <f t="shared" si="48"/>
        <v>0</v>
      </c>
      <c r="F254" s="172"/>
      <c r="G254" s="172"/>
      <c r="H254" s="172"/>
      <c r="I254" s="38">
        <f t="shared" si="49"/>
        <v>0</v>
      </c>
      <c r="J254" s="172"/>
      <c r="K254" s="172"/>
      <c r="L254" s="172"/>
      <c r="M254" s="38">
        <f t="shared" si="50"/>
        <v>0</v>
      </c>
      <c r="N254" s="172"/>
      <c r="O254" s="172"/>
      <c r="P254" s="172"/>
      <c r="Q254" s="38">
        <f t="shared" si="51"/>
        <v>0</v>
      </c>
      <c r="R254" s="38">
        <f t="shared" si="52"/>
        <v>0</v>
      </c>
    </row>
    <row r="255" spans="1:21" ht="15.75" customHeight="1" x14ac:dyDescent="0.3">
      <c r="A255" s="422" t="s">
        <v>2565</v>
      </c>
      <c r="B255" s="172"/>
      <c r="C255" s="172"/>
      <c r="D255" s="172"/>
      <c r="E255" s="38">
        <f t="shared" si="48"/>
        <v>0</v>
      </c>
      <c r="F255" s="172"/>
      <c r="G255" s="172"/>
      <c r="H255" s="172"/>
      <c r="I255" s="38">
        <f t="shared" si="49"/>
        <v>0</v>
      </c>
      <c r="J255" s="172"/>
      <c r="K255" s="172"/>
      <c r="L255" s="172"/>
      <c r="M255" s="38">
        <f t="shared" si="50"/>
        <v>0</v>
      </c>
      <c r="N255" s="172"/>
      <c r="O255" s="172"/>
      <c r="P255" s="172"/>
      <c r="Q255" s="38">
        <f t="shared" si="51"/>
        <v>0</v>
      </c>
      <c r="R255" s="38">
        <f t="shared" si="52"/>
        <v>0</v>
      </c>
    </row>
    <row r="256" spans="1:21" ht="15.75" customHeight="1" x14ac:dyDescent="0.3">
      <c r="A256" s="234" t="s">
        <v>1022</v>
      </c>
      <c r="B256" s="172"/>
      <c r="C256" s="172"/>
      <c r="D256" s="172"/>
      <c r="E256" s="38" t="s">
        <v>852</v>
      </c>
      <c r="F256" s="172"/>
      <c r="G256" s="172"/>
      <c r="H256" s="172"/>
      <c r="I256" s="38" t="s">
        <v>852</v>
      </c>
      <c r="J256" s="172"/>
      <c r="K256" s="172"/>
      <c r="L256" s="172"/>
      <c r="M256" s="38" t="s">
        <v>852</v>
      </c>
      <c r="N256" s="172"/>
      <c r="O256" s="172"/>
      <c r="P256" s="172"/>
      <c r="Q256" s="38" t="s">
        <v>852</v>
      </c>
      <c r="R256" s="38" t="s">
        <v>852</v>
      </c>
    </row>
    <row r="257" spans="1:18" ht="15.75" customHeight="1" thickBot="1" x14ac:dyDescent="0.35">
      <c r="A257" s="234" t="s">
        <v>559</v>
      </c>
      <c r="B257" s="172"/>
      <c r="C257" s="172"/>
      <c r="D257" s="172"/>
      <c r="E257" s="38" t="s">
        <v>852</v>
      </c>
      <c r="F257" s="172"/>
      <c r="G257" s="172"/>
      <c r="H257" s="172"/>
      <c r="I257" s="38" t="s">
        <v>852</v>
      </c>
      <c r="J257" s="172"/>
      <c r="K257" s="172"/>
      <c r="L257" s="172"/>
      <c r="M257" s="38" t="s">
        <v>852</v>
      </c>
      <c r="N257" s="172"/>
      <c r="O257" s="172"/>
      <c r="P257" s="172"/>
      <c r="Q257" s="38" t="s">
        <v>852</v>
      </c>
      <c r="R257" s="38" t="s">
        <v>852</v>
      </c>
    </row>
    <row r="258" spans="1:18" ht="16.5" customHeight="1" thickBot="1" x14ac:dyDescent="0.35">
      <c r="A258" s="43" t="s">
        <v>1019</v>
      </c>
      <c r="B258" s="42">
        <f>SUM(B256:B257)</f>
        <v>0</v>
      </c>
      <c r="C258" s="42">
        <f>SUM(C256:C257)</f>
        <v>0</v>
      </c>
      <c r="D258" s="42">
        <f>SUM(D256:D257)</f>
        <v>0</v>
      </c>
      <c r="E258" s="39">
        <f t="shared" ref="E258:E266" si="53">SUM(B258:D258)</f>
        <v>0</v>
      </c>
      <c r="F258" s="42">
        <f>SUM(F256:F257)</f>
        <v>0</v>
      </c>
      <c r="G258" s="42">
        <f>SUM(G256:G257)</f>
        <v>0</v>
      </c>
      <c r="H258" s="42">
        <f>SUM(H256:H257)</f>
        <v>0</v>
      </c>
      <c r="I258" s="39">
        <f t="shared" ref="I258:I266" si="54">SUM(F258:H258)</f>
        <v>0</v>
      </c>
      <c r="J258" s="42">
        <f>SUM(J256:J257)</f>
        <v>0</v>
      </c>
      <c r="K258" s="42">
        <f>SUM(K256:K257)</f>
        <v>0</v>
      </c>
      <c r="L258" s="42">
        <f>SUM(L256:L257)</f>
        <v>0</v>
      </c>
      <c r="M258" s="39">
        <f t="shared" ref="M258:M266" si="55">SUM(J258:L258)</f>
        <v>0</v>
      </c>
      <c r="N258" s="42">
        <f>SUM(N256:N257)</f>
        <v>0</v>
      </c>
      <c r="O258" s="42">
        <f>SUM(O256:O257)</f>
        <v>0</v>
      </c>
      <c r="P258" s="42">
        <f>SUM(P256:P257)</f>
        <v>0</v>
      </c>
      <c r="Q258" s="39">
        <f t="shared" ref="Q258:Q266" si="56">SUM(N258:P258)</f>
        <v>0</v>
      </c>
      <c r="R258" s="37">
        <f t="shared" ref="R258:R266" si="57">+E258+I258+M258+Q258</f>
        <v>0</v>
      </c>
    </row>
    <row r="259" spans="1:18" ht="16.5" customHeight="1" thickBot="1" x14ac:dyDescent="0.35">
      <c r="A259" s="43" t="s">
        <v>1221</v>
      </c>
      <c r="B259" s="45">
        <f>SUM(B241:B257)</f>
        <v>0</v>
      </c>
      <c r="C259" s="46">
        <f>SUM(C241:C257)</f>
        <v>0</v>
      </c>
      <c r="D259" s="46">
        <f>SUM(D241:D257)</f>
        <v>0</v>
      </c>
      <c r="E259" s="37">
        <f t="shared" si="53"/>
        <v>0</v>
      </c>
      <c r="F259" s="46">
        <f>SUM(F241:F257)</f>
        <v>0</v>
      </c>
      <c r="G259" s="46">
        <f>SUM(G241:G257)</f>
        <v>0</v>
      </c>
      <c r="H259" s="46">
        <f>SUM(H241:H257)</f>
        <v>0</v>
      </c>
      <c r="I259" s="37">
        <f t="shared" si="54"/>
        <v>0</v>
      </c>
      <c r="J259" s="46">
        <f>SUM(J241:J257)</f>
        <v>0</v>
      </c>
      <c r="K259" s="46">
        <f>SUM(K241:K257)</f>
        <v>3034</v>
      </c>
      <c r="L259" s="46">
        <f>SUM(L241:L257)</f>
        <v>0</v>
      </c>
      <c r="M259" s="37">
        <f t="shared" si="55"/>
        <v>3034</v>
      </c>
      <c r="N259" s="46">
        <f>SUM(N241:N257)</f>
        <v>1269</v>
      </c>
      <c r="O259" s="46">
        <f>SUM(O241:O257)</f>
        <v>3198</v>
      </c>
      <c r="P259" s="46">
        <f>SUM(P241:P257)</f>
        <v>6517</v>
      </c>
      <c r="Q259" s="37">
        <f t="shared" si="56"/>
        <v>10984</v>
      </c>
      <c r="R259" s="37">
        <f t="shared" si="57"/>
        <v>14018</v>
      </c>
    </row>
    <row r="260" spans="1:18" ht="16.5" customHeight="1" thickBot="1" x14ac:dyDescent="0.35">
      <c r="A260" s="43" t="s">
        <v>1222</v>
      </c>
      <c r="B260" s="47">
        <f>+B191+B198+B240+B259</f>
        <v>19031</v>
      </c>
      <c r="C260" s="42">
        <f>+C191+C198+C240+C259</f>
        <v>15343</v>
      </c>
      <c r="D260" s="42">
        <f>+D191+D198+D240+D259</f>
        <v>22378</v>
      </c>
      <c r="E260" s="40">
        <f t="shared" si="53"/>
        <v>56752</v>
      </c>
      <c r="F260" s="42">
        <f>+F191+F198+F240+F259</f>
        <v>37684</v>
      </c>
      <c r="G260" s="42">
        <f>+G191+G198+G240+G259</f>
        <v>50236</v>
      </c>
      <c r="H260" s="42">
        <f>+H191+H198+H240+H259</f>
        <v>46972</v>
      </c>
      <c r="I260" s="40">
        <f t="shared" si="54"/>
        <v>134892</v>
      </c>
      <c r="J260" s="42">
        <f>+J191+J198+J240+J259</f>
        <v>40893</v>
      </c>
      <c r="K260" s="42">
        <f>+K191+K198+K240+K259</f>
        <v>37349</v>
      </c>
      <c r="L260" s="42">
        <f>+L191+L198+L240+L259</f>
        <v>30400</v>
      </c>
      <c r="M260" s="40">
        <f t="shared" si="55"/>
        <v>108642</v>
      </c>
      <c r="N260" s="42">
        <f>+N191+N198+N240+N259</f>
        <v>30795</v>
      </c>
      <c r="O260" s="42">
        <f>+O191+O198+O240+O259</f>
        <v>21813</v>
      </c>
      <c r="P260" s="42">
        <f>+P191+P198+P240+P259</f>
        <v>24753</v>
      </c>
      <c r="Q260" s="40">
        <f t="shared" si="56"/>
        <v>77361</v>
      </c>
      <c r="R260" s="40">
        <f t="shared" si="57"/>
        <v>377647</v>
      </c>
    </row>
    <row r="261" spans="1:18" ht="15.75" customHeight="1" x14ac:dyDescent="0.3">
      <c r="A261" s="540" t="s">
        <v>2827</v>
      </c>
      <c r="B261" s="172"/>
      <c r="C261" s="172">
        <f>2416-245</f>
        <v>2171</v>
      </c>
      <c r="D261" s="172">
        <f>6109-500-357-1342</f>
        <v>3910</v>
      </c>
      <c r="E261" s="38">
        <f t="shared" si="53"/>
        <v>6081</v>
      </c>
      <c r="F261" s="356">
        <f>7967-500-8-2307</f>
        <v>5152</v>
      </c>
      <c r="G261" s="172">
        <f>8805-500-69-2710</f>
        <v>5526</v>
      </c>
      <c r="H261" s="356">
        <f>9021-500-80-3232</f>
        <v>5209</v>
      </c>
      <c r="I261" s="38">
        <f t="shared" si="54"/>
        <v>15887</v>
      </c>
      <c r="J261" s="172">
        <f>6873-500-21-2894</f>
        <v>3458</v>
      </c>
      <c r="K261" s="172">
        <f>5731-500-29-2511</f>
        <v>2691</v>
      </c>
      <c r="L261" s="172">
        <f>5243-500-27-2580</f>
        <v>2136</v>
      </c>
      <c r="M261" s="38">
        <f t="shared" si="55"/>
        <v>8285</v>
      </c>
      <c r="N261" s="172">
        <f>6139-500-26-1656</f>
        <v>3957</v>
      </c>
      <c r="O261" s="172">
        <f>3613-1-1057</f>
        <v>2555</v>
      </c>
      <c r="P261" s="172">
        <f>397-1-285</f>
        <v>111</v>
      </c>
      <c r="Q261" s="38">
        <f t="shared" si="56"/>
        <v>6623</v>
      </c>
      <c r="R261" s="38">
        <f t="shared" si="57"/>
        <v>36876</v>
      </c>
    </row>
    <row r="262" spans="1:18" ht="15.75" customHeight="1" x14ac:dyDescent="0.3">
      <c r="A262" s="270" t="s">
        <v>899</v>
      </c>
      <c r="B262" s="172"/>
      <c r="C262" s="172"/>
      <c r="D262" s="172"/>
      <c r="E262" s="38">
        <f t="shared" si="53"/>
        <v>0</v>
      </c>
      <c r="F262" s="172"/>
      <c r="G262" s="172"/>
      <c r="H262" s="172">
        <v>-11007</v>
      </c>
      <c r="I262" s="38">
        <f t="shared" si="54"/>
        <v>-11007</v>
      </c>
      <c r="J262" s="172">
        <f>-9024+2500</f>
        <v>-6524</v>
      </c>
      <c r="K262" s="172"/>
      <c r="L262" s="172"/>
      <c r="M262" s="38">
        <f t="shared" si="55"/>
        <v>-6524</v>
      </c>
      <c r="N262" s="172">
        <v>-2500</v>
      </c>
      <c r="O262" s="172"/>
      <c r="P262" s="172"/>
      <c r="Q262" s="38">
        <f t="shared" si="56"/>
        <v>-2500</v>
      </c>
      <c r="R262" s="38">
        <f t="shared" si="57"/>
        <v>-20031</v>
      </c>
    </row>
    <row r="263" spans="1:18" ht="15.75" customHeight="1" x14ac:dyDescent="0.3">
      <c r="A263" s="539" t="s">
        <v>2271</v>
      </c>
      <c r="B263" s="10"/>
      <c r="C263" s="10"/>
      <c r="D263" s="10"/>
      <c r="E263" s="38">
        <f t="shared" si="53"/>
        <v>0</v>
      </c>
      <c r="F263" s="10"/>
      <c r="G263" s="10"/>
      <c r="H263" s="10"/>
      <c r="I263" s="38">
        <f t="shared" si="54"/>
        <v>0</v>
      </c>
      <c r="J263" s="10"/>
      <c r="K263" s="10"/>
      <c r="L263" s="10"/>
      <c r="M263" s="38">
        <f t="shared" si="55"/>
        <v>0</v>
      </c>
      <c r="N263" s="10"/>
      <c r="O263" s="10"/>
      <c r="P263" s="10"/>
      <c r="Q263" s="38">
        <f t="shared" si="56"/>
        <v>0</v>
      </c>
      <c r="R263" s="38">
        <f t="shared" si="57"/>
        <v>0</v>
      </c>
    </row>
    <row r="264" spans="1:18" ht="15.75" customHeight="1" x14ac:dyDescent="0.3">
      <c r="A264" s="270" t="s">
        <v>2475</v>
      </c>
      <c r="B264" s="172">
        <v>29</v>
      </c>
      <c r="C264" s="172">
        <v>39</v>
      </c>
      <c r="D264" s="172">
        <v>32</v>
      </c>
      <c r="E264" s="38">
        <f>SUM(B264:D264)</f>
        <v>100</v>
      </c>
      <c r="F264" s="172">
        <v>72</v>
      </c>
      <c r="G264" s="172">
        <v>111</v>
      </c>
      <c r="H264" s="172">
        <v>84</v>
      </c>
      <c r="I264" s="38">
        <f>SUM(F264:H264)</f>
        <v>267</v>
      </c>
      <c r="J264" s="172">
        <v>209</v>
      </c>
      <c r="K264" s="172">
        <v>77</v>
      </c>
      <c r="L264" s="172">
        <v>152</v>
      </c>
      <c r="M264" s="38">
        <f>SUM(J264:L264)</f>
        <v>438</v>
      </c>
      <c r="N264" s="172">
        <v>76</v>
      </c>
      <c r="O264" s="172">
        <v>30</v>
      </c>
      <c r="P264" s="172">
        <v>14</v>
      </c>
      <c r="Q264" s="38">
        <f>SUM(N264:P264)</f>
        <v>120</v>
      </c>
      <c r="R264" s="38">
        <f t="shared" si="57"/>
        <v>925</v>
      </c>
    </row>
    <row r="265" spans="1:18" ht="15.75" customHeight="1" x14ac:dyDescent="0.3">
      <c r="A265" s="267" t="s">
        <v>2096</v>
      </c>
      <c r="B265" s="172">
        <v>54064</v>
      </c>
      <c r="C265" s="172">
        <v>89116</v>
      </c>
      <c r="D265" s="172">
        <v>66664</v>
      </c>
      <c r="E265" s="38">
        <f t="shared" si="53"/>
        <v>209844</v>
      </c>
      <c r="F265" s="172">
        <v>316</v>
      </c>
      <c r="G265" s="172"/>
      <c r="H265" s="172"/>
      <c r="I265" s="38">
        <f t="shared" si="54"/>
        <v>316</v>
      </c>
      <c r="J265" s="172"/>
      <c r="K265" s="172"/>
      <c r="L265" s="172">
        <v>27530</v>
      </c>
      <c r="M265" s="38">
        <f t="shared" si="55"/>
        <v>27530</v>
      </c>
      <c r="N265" s="172">
        <v>78545</v>
      </c>
      <c r="O265" s="172">
        <v>80601</v>
      </c>
      <c r="P265" s="172">
        <v>43033</v>
      </c>
      <c r="Q265" s="38">
        <f t="shared" si="56"/>
        <v>202179</v>
      </c>
      <c r="R265" s="38">
        <f t="shared" si="57"/>
        <v>439869</v>
      </c>
    </row>
    <row r="266" spans="1:18" ht="16.5" customHeight="1" thickBot="1" x14ac:dyDescent="0.35">
      <c r="A266" s="244" t="s">
        <v>853</v>
      </c>
      <c r="B266" s="238">
        <v>104</v>
      </c>
      <c r="C266" s="238">
        <v>268</v>
      </c>
      <c r="D266" s="238">
        <v>474</v>
      </c>
      <c r="E266" s="38">
        <f t="shared" si="53"/>
        <v>846</v>
      </c>
      <c r="F266" s="238">
        <v>647</v>
      </c>
      <c r="G266" s="238">
        <v>742</v>
      </c>
      <c r="H266" s="238">
        <v>781</v>
      </c>
      <c r="I266" s="38">
        <f t="shared" si="54"/>
        <v>2170</v>
      </c>
      <c r="J266" s="238">
        <v>774</v>
      </c>
      <c r="K266" s="238">
        <v>596</v>
      </c>
      <c r="L266" s="238">
        <v>546</v>
      </c>
      <c r="M266" s="38">
        <f t="shared" si="55"/>
        <v>1916</v>
      </c>
      <c r="N266" s="238">
        <v>517</v>
      </c>
      <c r="O266" s="238">
        <v>413</v>
      </c>
      <c r="P266" s="238">
        <v>302</v>
      </c>
      <c r="Q266" s="38">
        <f t="shared" si="56"/>
        <v>1232</v>
      </c>
      <c r="R266" s="38">
        <f t="shared" si="57"/>
        <v>6164</v>
      </c>
    </row>
    <row r="267" spans="1:18" ht="16.5" customHeight="1" thickBot="1" x14ac:dyDescent="0.35">
      <c r="A267" s="44"/>
      <c r="B267" s="258"/>
      <c r="C267" s="258"/>
      <c r="D267" s="258"/>
      <c r="E267" s="39"/>
      <c r="F267" s="258"/>
      <c r="G267" s="258"/>
      <c r="H267" s="258"/>
      <c r="I267" s="37"/>
      <c r="J267" s="258"/>
      <c r="K267" s="258"/>
      <c r="L267" s="258"/>
      <c r="M267" s="37"/>
      <c r="N267" s="258"/>
      <c r="O267" s="258"/>
      <c r="P267" s="258"/>
      <c r="Q267" s="37"/>
      <c r="R267" s="37" t="s">
        <v>852</v>
      </c>
    </row>
    <row r="268" spans="1:18" ht="15.75" customHeight="1" x14ac:dyDescent="0.3">
      <c r="A268" s="259" t="s">
        <v>2011</v>
      </c>
      <c r="B268" s="260">
        <f>SUM(B260:B266)</f>
        <v>73228</v>
      </c>
      <c r="C268" s="260">
        <f>SUM(C260:C266)</f>
        <v>106937</v>
      </c>
      <c r="D268" s="260">
        <f>SUM(D260:D266)</f>
        <v>93458</v>
      </c>
      <c r="E268" s="39">
        <f>SUM(B268:D268)</f>
        <v>273623</v>
      </c>
      <c r="F268" s="260">
        <f>SUM(F260:F266)</f>
        <v>43871</v>
      </c>
      <c r="G268" s="260">
        <f>SUM(G260:G266)</f>
        <v>56615</v>
      </c>
      <c r="H268" s="260">
        <f>SUM(H260:H266)</f>
        <v>42039</v>
      </c>
      <c r="I268" s="39">
        <f>SUM(F268:H268)</f>
        <v>142525</v>
      </c>
      <c r="J268" s="260">
        <f>SUM(J260:J266)</f>
        <v>38810</v>
      </c>
      <c r="K268" s="260">
        <f>SUM(K260:K266)</f>
        <v>40713</v>
      </c>
      <c r="L268" s="260">
        <f>SUM(L260:L266)</f>
        <v>60764</v>
      </c>
      <c r="M268" s="39">
        <f>SUM(J268:L268)</f>
        <v>140287</v>
      </c>
      <c r="N268" s="260">
        <f>SUM(N260:N266)</f>
        <v>111390</v>
      </c>
      <c r="O268" s="260">
        <f>SUM(O260:O266)</f>
        <v>105412</v>
      </c>
      <c r="P268" s="260">
        <f>SUM(P260:P266)</f>
        <v>68213</v>
      </c>
      <c r="Q268" s="49">
        <f>SUM(N268:P268)</f>
        <v>285015</v>
      </c>
      <c r="R268" s="39">
        <f>+E268+I268+M268+Q268</f>
        <v>841450</v>
      </c>
    </row>
    <row r="269" spans="1:18" ht="15.75" customHeight="1" x14ac:dyDescent="0.3">
      <c r="A269" s="262" t="s">
        <v>1897</v>
      </c>
      <c r="B269" s="172">
        <f>(B268/B10)/1.983</f>
        <v>1191.2221625754394</v>
      </c>
      <c r="C269" s="172">
        <f>(C268/C10)/1.983</f>
        <v>1925.9599452489012</v>
      </c>
      <c r="D269" s="172">
        <f>(D268/D10)/1.983</f>
        <v>1520.3097294747288</v>
      </c>
      <c r="E269" s="38" t="s">
        <v>852</v>
      </c>
      <c r="F269" s="172">
        <f>(F268/F10)/1.983</f>
        <v>737.45167255000831</v>
      </c>
      <c r="G269" s="172">
        <f>(G268/G10)/1.983</f>
        <v>920.97343549200457</v>
      </c>
      <c r="H269" s="172">
        <f>(H268/H10)/1.983</f>
        <v>706.65658093797276</v>
      </c>
      <c r="I269" s="38" t="s">
        <v>852</v>
      </c>
      <c r="J269" s="172">
        <f>(J268/J10)/1.983</f>
        <v>631.33408162933324</v>
      </c>
      <c r="K269" s="172">
        <f>(K268/K10)/1.983</f>
        <v>662.29076179786239</v>
      </c>
      <c r="L269" s="172">
        <f>(L268/L10)/1.983</f>
        <v>1021.4153639267104</v>
      </c>
      <c r="M269" s="38" t="s">
        <v>852</v>
      </c>
      <c r="N269" s="172">
        <f>(N268/N10)/1.983</f>
        <v>1812.0150309892147</v>
      </c>
      <c r="O269" s="172">
        <f>(O268/O10)/1.983</f>
        <v>1771.9280551353168</v>
      </c>
      <c r="P269" s="172">
        <f>(P268/P10)/1.983</f>
        <v>1109.6416312852798</v>
      </c>
      <c r="Q269" s="50" t="s">
        <v>852</v>
      </c>
      <c r="R269" s="38" t="s">
        <v>852</v>
      </c>
    </row>
    <row r="270" spans="1:18" ht="15.75" customHeight="1" x14ac:dyDescent="0.3">
      <c r="A270" s="262" t="s">
        <v>154</v>
      </c>
      <c r="B270" s="172">
        <f>(+B268+B402)+B277</f>
        <v>78934</v>
      </c>
      <c r="C270" s="172">
        <f>(+C268+C402)+C277</f>
        <v>143928</v>
      </c>
      <c r="D270" s="172">
        <f>(+D268+D402)+D277</f>
        <v>172020</v>
      </c>
      <c r="E270" s="38">
        <f>SUM(B270:D270)</f>
        <v>394882</v>
      </c>
      <c r="F270" s="172">
        <f>(+F268+F402)+F277</f>
        <v>141106</v>
      </c>
      <c r="G270" s="172">
        <f>(+G268+G402)+G277</f>
        <v>167488</v>
      </c>
      <c r="H270" s="172">
        <f>(+H268+H402)+H277</f>
        <v>122341</v>
      </c>
      <c r="I270" s="38">
        <f>SUM(F270:H270)</f>
        <v>430935</v>
      </c>
      <c r="J270" s="172">
        <f>(+J268+J402)+J277</f>
        <v>76030</v>
      </c>
      <c r="K270" s="172">
        <f>(+K268+K402)+K277</f>
        <v>87911</v>
      </c>
      <c r="L270" s="172">
        <f>(+L268+L402)+L277</f>
        <v>144368</v>
      </c>
      <c r="M270" s="38">
        <f>SUM(J270:L270)</f>
        <v>308309</v>
      </c>
      <c r="N270" s="172">
        <f>(+N268+N402)+N277</f>
        <v>181225</v>
      </c>
      <c r="O270" s="172">
        <f>(+O268+O402)+O277</f>
        <v>140639</v>
      </c>
      <c r="P270" s="172">
        <f>(+P268+P402)+P277</f>
        <v>120118</v>
      </c>
      <c r="Q270" s="50">
        <f>SUM(N270:P270)</f>
        <v>441982</v>
      </c>
      <c r="R270" s="38">
        <f>+E270+I270+M270+Q270</f>
        <v>1576108</v>
      </c>
    </row>
    <row r="271" spans="1:18" ht="16.5" customHeight="1" thickBot="1" x14ac:dyDescent="0.35">
      <c r="A271" s="263" t="s">
        <v>2110</v>
      </c>
      <c r="B271" s="264">
        <f>(B270/B10)/1.983</f>
        <v>1284.0434011679924</v>
      </c>
      <c r="C271" s="264">
        <f>(C270/C10)/1.983</f>
        <v>2592.1763561703046</v>
      </c>
      <c r="D271" s="264">
        <f>(D270/D10)/1.983</f>
        <v>2798.3016934263824</v>
      </c>
      <c r="E271" s="40" t="s">
        <v>852</v>
      </c>
      <c r="F271" s="264">
        <f>(F270/F10)/1.983</f>
        <v>2371.9280551353168</v>
      </c>
      <c r="G271" s="264">
        <f>(G270/G10)/1.983</f>
        <v>2724.5782701348558</v>
      </c>
      <c r="H271" s="264">
        <f>(H270/H10)/1.983</f>
        <v>2056.4968902336527</v>
      </c>
      <c r="I271" s="40" t="s">
        <v>852</v>
      </c>
      <c r="J271" s="264">
        <f>(J270/J10)/1.983</f>
        <v>1236.8031493501212</v>
      </c>
      <c r="K271" s="264">
        <f>(K270/K10)/1.983</f>
        <v>1430.0749922730304</v>
      </c>
      <c r="L271" s="264">
        <f>(L270/L10)/1.983</f>
        <v>2426.7608001344761</v>
      </c>
      <c r="M271" s="40" t="s">
        <v>852</v>
      </c>
      <c r="N271" s="264">
        <f>(N270/N10)/1.983</f>
        <v>2948.0422299220795</v>
      </c>
      <c r="O271" s="264">
        <f>(O270/O10)/1.983</f>
        <v>2364.077996301899</v>
      </c>
      <c r="P271" s="264">
        <f>(P270/P10)/1.983</f>
        <v>1953.9960633123485</v>
      </c>
      <c r="Q271" s="51" t="s">
        <v>852</v>
      </c>
      <c r="R271" s="40" t="s">
        <v>852</v>
      </c>
    </row>
    <row r="272" spans="1:18" ht="16.5" customHeight="1" thickBot="1" x14ac:dyDescent="0.35">
      <c r="A272" s="271" t="s">
        <v>1700</v>
      </c>
      <c r="B272" s="229">
        <f>+(B270-(B138+B139+B140+B141+B143+B144+B145+B146+B150+B152+B156+B157+B159+B160+B161+B162+B163+B170+B171+B182+B185+B187+B188+B195+B202+B203+B204+B214+B215++B229+B230+B244+B245+B248+B249+B252+B253+B261+B265+B273)-B277)/(B10*1.983)</f>
        <v>746.13244839197694</v>
      </c>
      <c r="C272" s="229">
        <f>+(C270-(C138+C139+C140+C141+C143+C144+C145+C146+C150+C152+C156+C157+C159+C160+C161+C162+C163+C170+C171+C182+C185+C187+C188+C195+C202+C203+C204+C214+C215++C229+C230+C244+C245+C248+C249+C252+C253+C261+C265+C273)-C277)/(C10*1.983)</f>
        <v>860.96102586269001</v>
      </c>
      <c r="D272" s="229">
        <f>+(D270-(D138+D139+D140+D141+D143+D144+D145+D146+D150+D152+D156+D157+D159+D160+D161+D162+D163+D170+D171+D182+D185+D187+D188+D195+D202+D203+D204+D214+D215++D229+D230+D244+D245+D248+D249+D252+D253+D261+D265+D273)-D277)/(D10*1.983)</f>
        <v>1445.9356140094023</v>
      </c>
      <c r="E272" s="227"/>
      <c r="F272" s="229">
        <f>+(F270-(F138+F139+F140+F141+F143+F144+F145+F146+F150+F152+F156+F157+F159+F160+F161+F162+F163+F170+F171+F182+F185+F187+F188+F195+F202+F203+F204+F214+F215++F229+F230+F244+F245+F248+F249+F252+F253+F261+F265+F273)-F277)/(F10*1.983)</f>
        <v>2639.8554378887206</v>
      </c>
      <c r="G272" s="229">
        <f>+(G270-(G138+G139+G140+G141+G143+G144+G145+G146+G150+G152+G156+G157+G159+G160+G161+G162+G163+G170+G171+G182+G185+G187+G188+G195+G202+G203+G204+G214+G215++G229+G230+G244+G245+G248+G249+G252+G253+G261+G265+G273)-G277)/(G10*1.983)</f>
        <v>2747.3362289135066</v>
      </c>
      <c r="H272" s="229">
        <f>+(H270-(H138+H139+H140+H141+H143+H144+H145+H146+H150+H152+H156+H157+H159+H160+H161+H162+H163+H170+H171+H182+H185+H187+H188+H195+H202+H203+H204+H214+H215++H229+H230+H244+H245+H248+H249+H252+H253+H261+H265+H273)-H277)/(H10*1.983)</f>
        <v>3060.1445621112789</v>
      </c>
      <c r="I272" s="227"/>
      <c r="J272" s="229">
        <f>+(J270-(J138+J139+J140+J141+J143+J144+J145+J146+J150+J152+J156+J157+J159+J160+J161+J162+J163+J170+J171+J182+J185+J187+J188+J195+J202+J203+J204+J214+J215++J229+J230+J244+J245+J248+J249+J252+J253+J261+J265+J273)-J277)/(J10*1.983)</f>
        <v>2525.9870186911326</v>
      </c>
      <c r="K272" s="229">
        <f>+(K270-(K138+K139+K140+K141+K143+K144+K145+K146+K150+K152+K156+K157+K159+K160+K161+K162+K163+K170+K171+K182+K185+K187+K188+K195+K202+K203+K204+K214+K215++K229+K230+K244+K245+K248+K249+K252+K253+K261+K265+K273)-K277)/(K10*1.983)</f>
        <v>2599.4501651131391</v>
      </c>
      <c r="L272" s="229">
        <f>+(L270-(L138+L139+L140+L141+L143+L144+L145+L146+L150+L152+L156+L157+L159+L160+L161+L162+L163+L170+L171+L182+L185+L187+L188+L195+L202+L203+L204+L214+L215++L229+L230+L244+L245+L248+L249+L252+L253+L261+L265+L273)-L277)/(L10*1.983)</f>
        <v>1777.4415868213146</v>
      </c>
      <c r="M272" s="227"/>
      <c r="N272" s="229">
        <f>+(N270-(N138+N139+N140+N141+N143+N144+N145+N146+N150+N152+N156+N157+N159+N160+N161+N162+N163+N170+N171+N182+N185+N187+N188+N195+N202+N203+N204+N214+N215++N229+N230+N244+N245+N248+N249+N252+N253+N261+N265+N273)-N277)/(N10*1.983)</f>
        <v>1461.5359588762544</v>
      </c>
      <c r="O272" s="229">
        <f>+(O270-(O138+O139+O140+O141+O143+O144+O145+O146+O150+O152+O156+O157+O159+O160+O161+O162+O163+O170+O171+O182+O185+O187+O188+O195+O202+O203+O204+O214+O215++O229+O230+O244+O245+O248+O249+O252+O253+O261+O265+O273)-O277)/(O10*1.983)</f>
        <v>786.60279038493866</v>
      </c>
      <c r="P272" s="229">
        <f>+(P270-(P138+P139+P140+P141+P143+P144+P145+P146+P150+P152+P156+P157+P159+P160+P161+P162+P163+P170+P171+P182+P185+P187+P188+P195+P202+P203+P204+P214+P215++P229+P230+P244+P245+P248+P249+P252+P253+P261+P265+P273)-P277)/(P10*1.983)</f>
        <v>1079.2380394644802</v>
      </c>
      <c r="Q272" s="228"/>
      <c r="R272" s="227"/>
    </row>
    <row r="273" spans="1:20" ht="15.75" customHeight="1" x14ac:dyDescent="0.3">
      <c r="A273" s="541" t="s">
        <v>2272</v>
      </c>
      <c r="B273" s="172">
        <v>3300</v>
      </c>
      <c r="C273" s="172">
        <v>3100</v>
      </c>
      <c r="D273" s="172">
        <v>3700</v>
      </c>
      <c r="E273" s="172"/>
      <c r="F273" s="172">
        <v>4200</v>
      </c>
      <c r="G273" s="172">
        <v>4800</v>
      </c>
      <c r="H273" s="172">
        <v>4600</v>
      </c>
      <c r="I273" s="172"/>
      <c r="J273" s="172">
        <v>4600</v>
      </c>
      <c r="K273" s="172">
        <v>4600</v>
      </c>
      <c r="L273" s="172">
        <v>4700</v>
      </c>
      <c r="M273" s="172"/>
      <c r="N273" s="172">
        <v>3800</v>
      </c>
      <c r="O273" s="172">
        <v>4000</v>
      </c>
      <c r="P273" s="172">
        <v>3500</v>
      </c>
      <c r="Q273" s="172"/>
      <c r="R273" s="17"/>
    </row>
    <row r="274" spans="1:20" ht="15.75" customHeight="1" thickBot="1" x14ac:dyDescent="0.35">
      <c r="A274" s="18"/>
      <c r="B274" s="172"/>
      <c r="C274" s="172"/>
      <c r="D274" s="172"/>
      <c r="E274" s="172"/>
      <c r="F274" s="172"/>
      <c r="G274" s="172"/>
      <c r="H274" s="172"/>
      <c r="I274" s="172"/>
      <c r="J274" s="172"/>
      <c r="K274" s="172"/>
      <c r="L274" s="172"/>
      <c r="M274" s="172"/>
      <c r="N274" s="172"/>
      <c r="O274" s="172"/>
      <c r="P274" s="172"/>
      <c r="Q274" s="172"/>
      <c r="R274" s="17"/>
    </row>
    <row r="275" spans="1:20" ht="16.5" customHeight="1" thickBot="1" x14ac:dyDescent="0.35">
      <c r="A275" s="240" t="s">
        <v>1754</v>
      </c>
      <c r="B275" s="4" t="s">
        <v>2090</v>
      </c>
      <c r="C275" s="5" t="s">
        <v>2091</v>
      </c>
      <c r="D275" s="5" t="s">
        <v>2234</v>
      </c>
      <c r="E275" s="33" t="s">
        <v>1594</v>
      </c>
      <c r="F275" s="5" t="s">
        <v>2235</v>
      </c>
      <c r="G275" s="5" t="s">
        <v>2236</v>
      </c>
      <c r="H275" s="5" t="s">
        <v>2237</v>
      </c>
      <c r="I275" s="35" t="s">
        <v>1595</v>
      </c>
      <c r="J275" s="5" t="s">
        <v>1504</v>
      </c>
      <c r="K275" s="5" t="s">
        <v>1505</v>
      </c>
      <c r="L275" s="5" t="s">
        <v>1506</v>
      </c>
      <c r="M275" s="35" t="s">
        <v>1596</v>
      </c>
      <c r="N275" s="5" t="s">
        <v>1507</v>
      </c>
      <c r="O275" s="5" t="s">
        <v>1508</v>
      </c>
      <c r="P275" s="5" t="s">
        <v>1509</v>
      </c>
      <c r="Q275" s="35" t="s">
        <v>1597</v>
      </c>
      <c r="R275" s="36" t="s">
        <v>1510</v>
      </c>
    </row>
    <row r="276" spans="1:20" ht="16.5" customHeight="1" thickBot="1" x14ac:dyDescent="0.35">
      <c r="A276" s="44"/>
      <c r="B276" s="258"/>
      <c r="C276" s="258"/>
      <c r="D276" s="258"/>
      <c r="E276" s="265"/>
      <c r="F276" s="258"/>
      <c r="G276" s="258"/>
      <c r="H276" s="258"/>
      <c r="I276" s="265"/>
      <c r="J276" s="258"/>
      <c r="K276" s="258"/>
      <c r="L276" s="258"/>
      <c r="M276" s="265"/>
      <c r="N276" s="258"/>
      <c r="O276" s="258"/>
      <c r="P276" s="258"/>
      <c r="Q276" s="265"/>
      <c r="R276" s="52"/>
    </row>
    <row r="277" spans="1:20" ht="15.75" customHeight="1" thickBot="1" x14ac:dyDescent="0.35">
      <c r="A277" s="266" t="s">
        <v>1000</v>
      </c>
      <c r="B277" s="172">
        <v>-24714</v>
      </c>
      <c r="C277" s="172"/>
      <c r="D277" s="172"/>
      <c r="E277" s="38">
        <f>SUM(B277:D277)</f>
        <v>-24714</v>
      </c>
      <c r="F277" s="172">
        <v>-34341</v>
      </c>
      <c r="G277" s="172">
        <v>-20589</v>
      </c>
      <c r="H277" s="172">
        <v>-78357</v>
      </c>
      <c r="I277" s="38">
        <f>SUM(F277:H277)</f>
        <v>-133287</v>
      </c>
      <c r="J277" s="356">
        <v>-94386</v>
      </c>
      <c r="K277" s="172">
        <v>-87700</v>
      </c>
      <c r="L277" s="172">
        <v>-371</v>
      </c>
      <c r="M277" s="38">
        <f>SUM(J277:L277)</f>
        <v>-182457</v>
      </c>
      <c r="N277" s="172"/>
      <c r="O277" s="172"/>
      <c r="P277" s="172"/>
      <c r="Q277" s="38">
        <f>SUM(N277:P277)</f>
        <v>0</v>
      </c>
      <c r="R277" s="38">
        <f>+E277+I277+M277+Q277</f>
        <v>-340458</v>
      </c>
    </row>
    <row r="278" spans="1:20" ht="16.5" customHeight="1" thickBot="1" x14ac:dyDescent="0.35">
      <c r="A278" s="272"/>
      <c r="B278" s="273"/>
      <c r="C278" s="273"/>
      <c r="D278" s="273"/>
      <c r="E278" s="53"/>
      <c r="F278" s="273"/>
      <c r="G278" s="273"/>
      <c r="H278" s="273"/>
      <c r="I278" s="53"/>
      <c r="J278" s="273"/>
      <c r="K278" s="273"/>
      <c r="L278" s="273"/>
      <c r="M278" s="53"/>
      <c r="N278" s="273"/>
      <c r="O278" s="273"/>
      <c r="P278" s="273"/>
      <c r="Q278" s="53"/>
      <c r="R278" s="54"/>
    </row>
    <row r="279" spans="1:20" ht="15.75" customHeight="1" x14ac:dyDescent="0.3">
      <c r="A279" s="234" t="s">
        <v>662</v>
      </c>
      <c r="B279" s="172">
        <f>B277</f>
        <v>-24714</v>
      </c>
      <c r="C279" s="172">
        <f>C277</f>
        <v>0</v>
      </c>
      <c r="D279" s="172">
        <f>D277</f>
        <v>0</v>
      </c>
      <c r="E279" s="38">
        <f>SUM(B279:D279)</f>
        <v>-24714</v>
      </c>
      <c r="F279" s="172">
        <f>F277</f>
        <v>-34341</v>
      </c>
      <c r="G279" s="172">
        <f>G277</f>
        <v>-20589</v>
      </c>
      <c r="H279" s="172">
        <f>H277</f>
        <v>-78357</v>
      </c>
      <c r="I279" s="38">
        <f>SUM(F279:H279)</f>
        <v>-133287</v>
      </c>
      <c r="J279" s="172">
        <f>J277</f>
        <v>-94386</v>
      </c>
      <c r="K279" s="172">
        <f>K277</f>
        <v>-87700</v>
      </c>
      <c r="L279" s="172">
        <f>L277</f>
        <v>-371</v>
      </c>
      <c r="M279" s="38">
        <f>SUM(J279:L279)</f>
        <v>-182457</v>
      </c>
      <c r="N279" s="172">
        <f>N277</f>
        <v>0</v>
      </c>
      <c r="O279" s="172">
        <f>O277</f>
        <v>0</v>
      </c>
      <c r="P279" s="172">
        <f>P277</f>
        <v>0</v>
      </c>
      <c r="Q279" s="38">
        <f>SUM(N279:P279)</f>
        <v>0</v>
      </c>
      <c r="R279" s="55">
        <f>R277</f>
        <v>-340458</v>
      </c>
    </row>
    <row r="280" spans="1:20" ht="16.5" customHeight="1" thickBot="1" x14ac:dyDescent="0.35">
      <c r="A280" s="237" t="s">
        <v>1897</v>
      </c>
      <c r="B280" s="238">
        <f>(B279/B10)/1.983</f>
        <v>-402.03015958225564</v>
      </c>
      <c r="C280" s="238">
        <f>(C279/C10)/1.983</f>
        <v>0</v>
      </c>
      <c r="D280" s="238">
        <f>(D279/D10)/1.983</f>
        <v>0</v>
      </c>
      <c r="E280" s="40"/>
      <c r="F280" s="238">
        <f>(F279/F10)/1.983</f>
        <v>-577.25668179525974</v>
      </c>
      <c r="G280" s="238">
        <f>(G279/G10)/1.983</f>
        <v>-334.92752915914298</v>
      </c>
      <c r="H280" s="238">
        <f>(H279/H10)/1.983</f>
        <v>-1317.1457387796268</v>
      </c>
      <c r="I280" s="40"/>
      <c r="J280" s="238">
        <f>(J279/J10)/1.983</f>
        <v>-1535.4057879068857</v>
      </c>
      <c r="K280" s="238">
        <f>(K279/K10)/1.983</f>
        <v>-1426.6425910562359</v>
      </c>
      <c r="L280" s="238">
        <f>(L279/L10)/1.983</f>
        <v>-6.2363422423936798</v>
      </c>
      <c r="M280" s="40"/>
      <c r="N280" s="238">
        <f>(N279/N10)/1.983</f>
        <v>0</v>
      </c>
      <c r="O280" s="238">
        <f>(O279/O10)/1.983</f>
        <v>0</v>
      </c>
      <c r="P280" s="238">
        <f>(P279/P10)/1.983</f>
        <v>0</v>
      </c>
      <c r="Q280" s="40"/>
      <c r="R280" s="52" t="s">
        <v>852</v>
      </c>
    </row>
    <row r="281" spans="1:20" ht="15.75" customHeight="1" x14ac:dyDescent="0.3">
      <c r="A281" s="17"/>
      <c r="B281" s="172"/>
      <c r="C281" s="172"/>
      <c r="D281" s="172"/>
      <c r="E281" s="172"/>
      <c r="F281" s="172"/>
      <c r="G281" s="172"/>
      <c r="H281" s="172"/>
      <c r="I281" s="172"/>
      <c r="J281" s="172"/>
      <c r="K281" s="172"/>
      <c r="L281" s="172"/>
      <c r="M281" s="172"/>
      <c r="N281" s="172"/>
      <c r="O281" s="172"/>
      <c r="P281" s="172"/>
      <c r="Q281" s="172"/>
      <c r="R281" s="17"/>
    </row>
    <row r="282" spans="1:20" ht="16.5" customHeight="1" thickBot="1" x14ac:dyDescent="0.35">
      <c r="A282" s="24"/>
      <c r="B282" s="238"/>
      <c r="C282" s="238"/>
      <c r="D282" s="238"/>
      <c r="E282" s="238"/>
      <c r="F282" s="238"/>
      <c r="G282" s="238"/>
      <c r="H282" s="238"/>
      <c r="I282" s="238"/>
      <c r="J282" s="238"/>
      <c r="K282" s="238"/>
      <c r="L282" s="238"/>
      <c r="M282" s="238"/>
      <c r="N282" s="238"/>
      <c r="O282" s="238"/>
      <c r="P282" s="238"/>
      <c r="Q282" s="238"/>
      <c r="R282" s="24"/>
    </row>
    <row r="283" spans="1:20" ht="16.5" customHeight="1" thickBot="1" x14ac:dyDescent="0.35">
      <c r="A283" s="274" t="s">
        <v>89</v>
      </c>
      <c r="B283" s="4" t="s">
        <v>2090</v>
      </c>
      <c r="C283" s="5" t="s">
        <v>2091</v>
      </c>
      <c r="D283" s="5" t="s">
        <v>2234</v>
      </c>
      <c r="E283" s="33" t="s">
        <v>1594</v>
      </c>
      <c r="F283" s="5" t="s">
        <v>2235</v>
      </c>
      <c r="G283" s="5" t="s">
        <v>2236</v>
      </c>
      <c r="H283" s="5" t="s">
        <v>2237</v>
      </c>
      <c r="I283" s="35" t="s">
        <v>1595</v>
      </c>
      <c r="J283" s="5" t="s">
        <v>1504</v>
      </c>
      <c r="K283" s="5" t="s">
        <v>1505</v>
      </c>
      <c r="L283" s="5" t="s">
        <v>1506</v>
      </c>
      <c r="M283" s="35" t="s">
        <v>1596</v>
      </c>
      <c r="N283" s="5" t="s">
        <v>1507</v>
      </c>
      <c r="O283" s="5" t="s">
        <v>1508</v>
      </c>
      <c r="P283" s="5" t="s">
        <v>1509</v>
      </c>
      <c r="Q283" s="35" t="s">
        <v>1597</v>
      </c>
      <c r="R283" s="36" t="s">
        <v>1510</v>
      </c>
    </row>
    <row r="284" spans="1:20" ht="16.5" customHeight="1" thickBot="1" x14ac:dyDescent="0.35">
      <c r="A284" s="37"/>
      <c r="B284" s="258"/>
      <c r="C284" s="258"/>
      <c r="D284" s="258"/>
      <c r="E284" s="254"/>
      <c r="F284" s="258"/>
      <c r="G284" s="258"/>
      <c r="H284" s="258"/>
      <c r="I284" s="265"/>
      <c r="J284" s="258"/>
      <c r="K284" s="258"/>
      <c r="L284" s="258"/>
      <c r="M284" s="265"/>
      <c r="N284" s="258"/>
      <c r="O284" s="258"/>
      <c r="P284" s="258"/>
      <c r="Q284" s="265"/>
      <c r="R284" s="55"/>
    </row>
    <row r="285" spans="1:20" ht="15.75" customHeight="1" x14ac:dyDescent="0.3">
      <c r="A285" s="234" t="s">
        <v>2417</v>
      </c>
      <c r="B285" s="172" t="s">
        <v>852</v>
      </c>
      <c r="C285" s="172" t="s">
        <v>852</v>
      </c>
      <c r="D285" s="172" t="s">
        <v>852</v>
      </c>
      <c r="E285" s="38" t="s">
        <v>852</v>
      </c>
      <c r="F285" s="172" t="s">
        <v>852</v>
      </c>
      <c r="G285" s="172" t="s">
        <v>852</v>
      </c>
      <c r="H285" s="172" t="s">
        <v>852</v>
      </c>
      <c r="I285" s="38" t="s">
        <v>852</v>
      </c>
      <c r="J285" s="172" t="s">
        <v>852</v>
      </c>
      <c r="K285" s="172" t="s">
        <v>852</v>
      </c>
      <c r="L285" s="172" t="s">
        <v>852</v>
      </c>
      <c r="M285" s="38" t="s">
        <v>852</v>
      </c>
      <c r="N285" s="172" t="s">
        <v>852</v>
      </c>
      <c r="O285" s="172" t="s">
        <v>852</v>
      </c>
      <c r="P285" s="172" t="s">
        <v>852</v>
      </c>
      <c r="Q285" s="38" t="s">
        <v>852</v>
      </c>
      <c r="R285" s="39" t="s">
        <v>852</v>
      </c>
    </row>
    <row r="286" spans="1:20" ht="15.75" customHeight="1" x14ac:dyDescent="0.3">
      <c r="A286" s="234" t="s">
        <v>2160</v>
      </c>
      <c r="B286" s="172"/>
      <c r="C286" s="172"/>
      <c r="D286" s="172"/>
      <c r="E286" s="38" t="s">
        <v>852</v>
      </c>
      <c r="F286" s="172"/>
      <c r="G286" s="172"/>
      <c r="H286" s="172"/>
      <c r="I286" s="38" t="s">
        <v>852</v>
      </c>
      <c r="J286" s="172"/>
      <c r="K286" s="172"/>
      <c r="L286" s="172"/>
      <c r="M286" s="38" t="s">
        <v>852</v>
      </c>
      <c r="N286" s="172"/>
      <c r="O286" s="172"/>
      <c r="P286" s="172"/>
      <c r="Q286" s="38" t="s">
        <v>852</v>
      </c>
      <c r="R286" s="38" t="s">
        <v>852</v>
      </c>
    </row>
    <row r="287" spans="1:20" ht="15.75" customHeight="1" x14ac:dyDescent="0.3">
      <c r="A287" s="410" t="s">
        <v>2869</v>
      </c>
      <c r="B287" s="172">
        <v>124</v>
      </c>
      <c r="C287" s="275">
        <v>116</v>
      </c>
      <c r="D287" s="172">
        <v>125</v>
      </c>
      <c r="E287" s="38">
        <f t="shared" ref="E287:E300" si="58">SUM(B287:D287)</f>
        <v>365</v>
      </c>
      <c r="F287" s="172">
        <v>97</v>
      </c>
      <c r="G287" s="172">
        <v>71</v>
      </c>
      <c r="H287" s="172">
        <v>93</v>
      </c>
      <c r="I287" s="38">
        <f t="shared" ref="I287:I300" si="59">SUM(F287:H287)</f>
        <v>261</v>
      </c>
      <c r="J287" s="172">
        <v>107</v>
      </c>
      <c r="K287" s="172">
        <v>102</v>
      </c>
      <c r="L287" s="172">
        <v>88</v>
      </c>
      <c r="M287" s="38">
        <f t="shared" ref="M287:M300" si="60">SUM(J287:L287)</f>
        <v>297</v>
      </c>
      <c r="N287" s="172">
        <v>87</v>
      </c>
      <c r="O287" s="172">
        <v>72</v>
      </c>
      <c r="P287" s="172">
        <v>104</v>
      </c>
      <c r="Q287" s="38">
        <f t="shared" ref="Q287:Q300" si="61">SUM(N287:P287)</f>
        <v>263</v>
      </c>
      <c r="R287" s="38">
        <f t="shared" ref="R287:R300" si="62">+E287+I287+M287+Q287</f>
        <v>1186</v>
      </c>
      <c r="T287" t="s">
        <v>2870</v>
      </c>
    </row>
    <row r="288" spans="1:20" ht="15.75" customHeight="1" x14ac:dyDescent="0.3">
      <c r="A288" s="410" t="s">
        <v>2872</v>
      </c>
      <c r="B288" s="172"/>
      <c r="C288" s="275"/>
      <c r="D288" s="172"/>
      <c r="E288" s="38">
        <f t="shared" si="58"/>
        <v>0</v>
      </c>
      <c r="F288" s="172"/>
      <c r="G288" s="172"/>
      <c r="H288" s="172"/>
      <c r="I288" s="38">
        <f t="shared" si="59"/>
        <v>0</v>
      </c>
      <c r="J288" s="172"/>
      <c r="K288" s="172"/>
      <c r="L288" s="172"/>
      <c r="M288" s="38">
        <f t="shared" si="60"/>
        <v>0</v>
      </c>
      <c r="N288" s="172"/>
      <c r="O288" s="172"/>
      <c r="P288" s="172">
        <v>50</v>
      </c>
      <c r="Q288" s="38">
        <f t="shared" si="61"/>
        <v>50</v>
      </c>
      <c r="R288" s="38">
        <f t="shared" si="62"/>
        <v>50</v>
      </c>
      <c r="T288" t="s">
        <v>1358</v>
      </c>
    </row>
    <row r="289" spans="1:20" ht="15.75" customHeight="1" x14ac:dyDescent="0.3">
      <c r="A289" s="410" t="s">
        <v>2873</v>
      </c>
      <c r="B289" s="172">
        <v>93</v>
      </c>
      <c r="C289" s="172">
        <v>69</v>
      </c>
      <c r="D289" s="172">
        <v>250</v>
      </c>
      <c r="E289" s="38">
        <f t="shared" si="58"/>
        <v>412</v>
      </c>
      <c r="F289" s="172">
        <v>260</v>
      </c>
      <c r="G289" s="172">
        <v>354</v>
      </c>
      <c r="H289" s="172">
        <v>418</v>
      </c>
      <c r="I289" s="38">
        <f t="shared" si="59"/>
        <v>1032</v>
      </c>
      <c r="J289" s="172">
        <v>371</v>
      </c>
      <c r="K289" s="172">
        <v>341</v>
      </c>
      <c r="L289" s="172">
        <v>289</v>
      </c>
      <c r="M289" s="38">
        <f t="shared" si="60"/>
        <v>1001</v>
      </c>
      <c r="N289" s="172">
        <v>421</v>
      </c>
      <c r="O289" s="172">
        <v>172</v>
      </c>
      <c r="P289" s="172">
        <v>188</v>
      </c>
      <c r="Q289" s="38">
        <f t="shared" si="61"/>
        <v>781</v>
      </c>
      <c r="R289" s="38">
        <f t="shared" si="62"/>
        <v>3226</v>
      </c>
      <c r="T289" t="s">
        <v>2871</v>
      </c>
    </row>
    <row r="290" spans="1:20" ht="15.75" customHeight="1" x14ac:dyDescent="0.3">
      <c r="A290" s="256" t="s">
        <v>349</v>
      </c>
      <c r="B290" s="172">
        <v>43</v>
      </c>
      <c r="C290" s="172">
        <v>27</v>
      </c>
      <c r="D290" s="172">
        <v>75</v>
      </c>
      <c r="E290" s="38">
        <f t="shared" si="58"/>
        <v>145</v>
      </c>
      <c r="F290" s="172">
        <v>118</v>
      </c>
      <c r="G290" s="172">
        <v>120</v>
      </c>
      <c r="H290" s="172">
        <v>203</v>
      </c>
      <c r="I290" s="38">
        <f t="shared" si="59"/>
        <v>441</v>
      </c>
      <c r="J290" s="172">
        <v>349</v>
      </c>
      <c r="K290" s="172">
        <v>306</v>
      </c>
      <c r="L290" s="172">
        <v>172</v>
      </c>
      <c r="M290" s="38">
        <f t="shared" si="60"/>
        <v>827</v>
      </c>
      <c r="N290" s="172">
        <v>120</v>
      </c>
      <c r="O290" s="172">
        <v>48</v>
      </c>
      <c r="P290" s="172">
        <v>33</v>
      </c>
      <c r="Q290" s="38">
        <f t="shared" si="61"/>
        <v>201</v>
      </c>
      <c r="R290" s="38">
        <f t="shared" si="62"/>
        <v>1614</v>
      </c>
      <c r="T290" t="s">
        <v>2174</v>
      </c>
    </row>
    <row r="291" spans="1:20" ht="15.75" customHeight="1" x14ac:dyDescent="0.3">
      <c r="A291" s="410" t="s">
        <v>2743</v>
      </c>
      <c r="B291" s="172"/>
      <c r="C291" s="172"/>
      <c r="D291" s="172"/>
      <c r="E291" s="38">
        <f t="shared" si="58"/>
        <v>0</v>
      </c>
      <c r="F291" s="172"/>
      <c r="G291" s="172"/>
      <c r="H291" s="172"/>
      <c r="I291" s="38">
        <f t="shared" si="59"/>
        <v>0</v>
      </c>
      <c r="J291" s="172"/>
      <c r="K291" s="172"/>
      <c r="L291" s="172"/>
      <c r="M291" s="38">
        <f t="shared" si="60"/>
        <v>0</v>
      </c>
      <c r="N291" s="172"/>
      <c r="O291" s="172"/>
      <c r="P291" s="172">
        <v>623</v>
      </c>
      <c r="Q291" s="38">
        <f t="shared" si="61"/>
        <v>623</v>
      </c>
      <c r="R291" s="38">
        <f t="shared" si="62"/>
        <v>623</v>
      </c>
      <c r="T291" t="s">
        <v>1358</v>
      </c>
    </row>
    <row r="292" spans="1:20" ht="15.75" customHeight="1" x14ac:dyDescent="0.3">
      <c r="A292" s="410" t="s">
        <v>2744</v>
      </c>
      <c r="B292" s="10"/>
      <c r="C292" s="10"/>
      <c r="D292" s="10">
        <v>183</v>
      </c>
      <c r="E292" s="38">
        <f t="shared" si="58"/>
        <v>183</v>
      </c>
      <c r="F292" s="10">
        <v>949</v>
      </c>
      <c r="G292" s="10">
        <v>1134</v>
      </c>
      <c r="H292" s="10">
        <v>686</v>
      </c>
      <c r="I292" s="38">
        <f t="shared" si="59"/>
        <v>2769</v>
      </c>
      <c r="J292" s="10"/>
      <c r="K292" s="10"/>
      <c r="L292" s="10"/>
      <c r="M292" s="38">
        <f t="shared" si="60"/>
        <v>0</v>
      </c>
      <c r="N292" s="10"/>
      <c r="O292" s="10">
        <v>982</v>
      </c>
      <c r="P292" s="10">
        <v>1045</v>
      </c>
      <c r="Q292" s="38">
        <f t="shared" si="61"/>
        <v>2027</v>
      </c>
      <c r="R292" s="38">
        <f t="shared" si="62"/>
        <v>4979</v>
      </c>
      <c r="T292" t="s">
        <v>2780</v>
      </c>
    </row>
    <row r="293" spans="1:20" ht="15.75" customHeight="1" x14ac:dyDescent="0.3">
      <c r="A293" s="410" t="s">
        <v>2608</v>
      </c>
      <c r="B293" s="172">
        <v>16</v>
      </c>
      <c r="C293" s="172">
        <v>29</v>
      </c>
      <c r="D293" s="172">
        <v>29</v>
      </c>
      <c r="E293" s="38">
        <f t="shared" si="58"/>
        <v>74</v>
      </c>
      <c r="F293" s="172">
        <v>42</v>
      </c>
      <c r="G293" s="172">
        <v>67</v>
      </c>
      <c r="H293" s="172">
        <v>75</v>
      </c>
      <c r="I293" s="38">
        <f t="shared" si="59"/>
        <v>184</v>
      </c>
      <c r="J293" s="172">
        <v>58</v>
      </c>
      <c r="K293" s="172">
        <v>51</v>
      </c>
      <c r="L293" s="172">
        <v>35</v>
      </c>
      <c r="M293" s="38">
        <f t="shared" si="60"/>
        <v>144</v>
      </c>
      <c r="N293" s="172">
        <v>71</v>
      </c>
      <c r="O293" s="172">
        <v>21</v>
      </c>
      <c r="P293" s="172">
        <v>23</v>
      </c>
      <c r="Q293" s="38">
        <f t="shared" si="61"/>
        <v>115</v>
      </c>
      <c r="R293" s="38">
        <f t="shared" si="62"/>
        <v>517</v>
      </c>
      <c r="T293" t="s">
        <v>2174</v>
      </c>
    </row>
    <row r="294" spans="1:20" ht="15.75" customHeight="1" x14ac:dyDescent="0.3">
      <c r="A294" s="410" t="s">
        <v>2607</v>
      </c>
      <c r="B294" s="172"/>
      <c r="C294" s="172"/>
      <c r="D294" s="172"/>
      <c r="E294" s="38">
        <f t="shared" si="58"/>
        <v>0</v>
      </c>
      <c r="F294" s="172"/>
      <c r="G294" s="172"/>
      <c r="H294" s="172"/>
      <c r="I294" s="38">
        <f t="shared" si="59"/>
        <v>0</v>
      </c>
      <c r="J294" s="172"/>
      <c r="K294" s="172"/>
      <c r="L294" s="172"/>
      <c r="M294" s="38">
        <f t="shared" si="60"/>
        <v>0</v>
      </c>
      <c r="N294" s="172"/>
      <c r="O294" s="172"/>
      <c r="P294" s="172"/>
      <c r="Q294" s="38">
        <f t="shared" si="61"/>
        <v>0</v>
      </c>
      <c r="R294" s="38">
        <f t="shared" si="62"/>
        <v>0</v>
      </c>
      <c r="T294" t="s">
        <v>2174</v>
      </c>
    </row>
    <row r="295" spans="1:20" ht="15.75" customHeight="1" x14ac:dyDescent="0.3">
      <c r="A295" s="410" t="s">
        <v>2692</v>
      </c>
      <c r="B295" s="172"/>
      <c r="C295" s="172"/>
      <c r="D295" s="172"/>
      <c r="E295" s="38">
        <f>SUM(B295:D295)</f>
        <v>0</v>
      </c>
      <c r="F295" s="172"/>
      <c r="G295" s="172"/>
      <c r="H295" s="172"/>
      <c r="I295" s="38">
        <f>SUM(F295:H295)</f>
        <v>0</v>
      </c>
      <c r="J295" s="172"/>
      <c r="K295" s="172"/>
      <c r="L295" s="172"/>
      <c r="M295" s="38">
        <f>SUM(J295:L295)</f>
        <v>0</v>
      </c>
      <c r="N295" s="172">
        <v>726</v>
      </c>
      <c r="O295" s="172">
        <v>382</v>
      </c>
      <c r="P295" s="172"/>
      <c r="Q295" s="38">
        <f>SUM(N295:P295)</f>
        <v>1108</v>
      </c>
      <c r="R295" s="38">
        <f t="shared" si="62"/>
        <v>1108</v>
      </c>
      <c r="T295" t="s">
        <v>1358</v>
      </c>
    </row>
    <row r="296" spans="1:20" ht="15.75" customHeight="1" x14ac:dyDescent="0.3">
      <c r="A296" s="410" t="s">
        <v>347</v>
      </c>
      <c r="B296" s="172"/>
      <c r="C296" s="172"/>
      <c r="D296" s="172"/>
      <c r="E296" s="38">
        <f t="shared" si="58"/>
        <v>0</v>
      </c>
      <c r="F296" s="172"/>
      <c r="G296" s="172"/>
      <c r="H296" s="172"/>
      <c r="I296" s="38">
        <f t="shared" si="59"/>
        <v>0</v>
      </c>
      <c r="J296" s="172"/>
      <c r="K296" s="172"/>
      <c r="L296" s="172">
        <v>337</v>
      </c>
      <c r="M296" s="38">
        <f t="shared" si="60"/>
        <v>337</v>
      </c>
      <c r="N296" s="172">
        <v>1149</v>
      </c>
      <c r="O296" s="172">
        <v>1036</v>
      </c>
      <c r="P296" s="172">
        <v>1142</v>
      </c>
      <c r="Q296" s="38">
        <f t="shared" si="61"/>
        <v>3327</v>
      </c>
      <c r="R296" s="38">
        <f t="shared" si="62"/>
        <v>3664</v>
      </c>
      <c r="T296" t="s">
        <v>2780</v>
      </c>
    </row>
    <row r="297" spans="1:20" ht="15.75" customHeight="1" x14ac:dyDescent="0.3">
      <c r="A297" s="410" t="s">
        <v>2593</v>
      </c>
      <c r="B297" s="10">
        <v>31</v>
      </c>
      <c r="C297" s="10">
        <v>18</v>
      </c>
      <c r="D297" s="10">
        <v>49</v>
      </c>
      <c r="E297" s="38">
        <f t="shared" si="58"/>
        <v>98</v>
      </c>
      <c r="F297" s="10">
        <v>12</v>
      </c>
      <c r="G297" s="10">
        <v>11</v>
      </c>
      <c r="H297" s="10">
        <v>12</v>
      </c>
      <c r="I297" s="38">
        <f t="shared" si="59"/>
        <v>35</v>
      </c>
      <c r="J297" s="10">
        <v>14</v>
      </c>
      <c r="K297" s="10"/>
      <c r="L297" s="10"/>
      <c r="M297" s="38">
        <f t="shared" si="60"/>
        <v>14</v>
      </c>
      <c r="N297" s="10"/>
      <c r="O297" s="10"/>
      <c r="P297" s="10"/>
      <c r="Q297" s="38">
        <f t="shared" si="61"/>
        <v>0</v>
      </c>
      <c r="R297" s="38">
        <f t="shared" si="62"/>
        <v>147</v>
      </c>
      <c r="S297" s="538"/>
      <c r="T297" t="s">
        <v>2175</v>
      </c>
    </row>
    <row r="298" spans="1:20" ht="15.75" customHeight="1" x14ac:dyDescent="0.3">
      <c r="A298" s="256" t="s">
        <v>92</v>
      </c>
      <c r="B298" s="172">
        <v>1812</v>
      </c>
      <c r="C298" s="172">
        <v>854</v>
      </c>
      <c r="D298" s="172">
        <v>1505</v>
      </c>
      <c r="E298" s="38">
        <f t="shared" si="58"/>
        <v>4171</v>
      </c>
      <c r="F298" s="172">
        <v>753</v>
      </c>
      <c r="G298" s="172">
        <v>86</v>
      </c>
      <c r="H298" s="172">
        <v>5331</v>
      </c>
      <c r="I298" s="38">
        <f t="shared" si="59"/>
        <v>6170</v>
      </c>
      <c r="J298" s="172">
        <v>5264</v>
      </c>
      <c r="K298" s="172">
        <v>5037</v>
      </c>
      <c r="L298" s="172">
        <v>4119</v>
      </c>
      <c r="M298" s="38">
        <f t="shared" si="60"/>
        <v>14420</v>
      </c>
      <c r="N298" s="172">
        <v>4185</v>
      </c>
      <c r="O298" s="172">
        <v>3346</v>
      </c>
      <c r="P298" s="172">
        <v>2633</v>
      </c>
      <c r="Q298" s="38">
        <f t="shared" si="61"/>
        <v>10164</v>
      </c>
      <c r="R298" s="38">
        <f t="shared" si="62"/>
        <v>34925</v>
      </c>
      <c r="T298" t="s">
        <v>2177</v>
      </c>
    </row>
    <row r="299" spans="1:20" ht="15.75" customHeight="1" x14ac:dyDescent="0.3">
      <c r="A299" s="410" t="s">
        <v>2543</v>
      </c>
      <c r="B299" s="172"/>
      <c r="C299" s="172"/>
      <c r="D299" s="172"/>
      <c r="E299" s="38">
        <f t="shared" si="58"/>
        <v>0</v>
      </c>
      <c r="F299" s="172"/>
      <c r="G299" s="172"/>
      <c r="H299" s="172"/>
      <c r="I299" s="38">
        <f t="shared" si="59"/>
        <v>0</v>
      </c>
      <c r="J299" s="172"/>
      <c r="K299" s="172"/>
      <c r="L299" s="172"/>
      <c r="M299" s="38">
        <f t="shared" si="60"/>
        <v>0</v>
      </c>
      <c r="N299" s="172"/>
      <c r="O299" s="172"/>
      <c r="P299" s="172"/>
      <c r="Q299" s="38">
        <f t="shared" si="61"/>
        <v>0</v>
      </c>
      <c r="R299" s="38">
        <f t="shared" si="62"/>
        <v>0</v>
      </c>
    </row>
    <row r="300" spans="1:20" ht="15.75" customHeight="1" x14ac:dyDescent="0.3">
      <c r="A300" s="410" t="s">
        <v>2609</v>
      </c>
      <c r="B300" s="172">
        <v>1</v>
      </c>
      <c r="C300" s="172"/>
      <c r="D300" s="172"/>
      <c r="E300" s="38">
        <f t="shared" si="58"/>
        <v>1</v>
      </c>
      <c r="F300" s="172">
        <v>42</v>
      </c>
      <c r="G300" s="172">
        <v>0</v>
      </c>
      <c r="H300" s="172">
        <v>131</v>
      </c>
      <c r="I300" s="38">
        <f t="shared" si="59"/>
        <v>173</v>
      </c>
      <c r="J300" s="172">
        <v>115</v>
      </c>
      <c r="K300" s="172">
        <v>59</v>
      </c>
      <c r="L300" s="172"/>
      <c r="M300" s="38">
        <f t="shared" si="60"/>
        <v>174</v>
      </c>
      <c r="N300" s="172"/>
      <c r="O300" s="172"/>
      <c r="P300" s="172"/>
      <c r="Q300" s="38">
        <f t="shared" si="61"/>
        <v>0</v>
      </c>
      <c r="R300" s="38">
        <f t="shared" si="62"/>
        <v>348</v>
      </c>
      <c r="S300">
        <f>SUM(R287:R300)</f>
        <v>52387</v>
      </c>
      <c r="T300" t="s">
        <v>2175</v>
      </c>
    </row>
    <row r="301" spans="1:20" ht="15.75" customHeight="1" x14ac:dyDescent="0.3">
      <c r="A301" s="234" t="s">
        <v>2161</v>
      </c>
      <c r="B301" s="172"/>
      <c r="C301" s="172"/>
      <c r="D301" s="172"/>
      <c r="E301" s="38" t="s">
        <v>852</v>
      </c>
      <c r="F301" s="172"/>
      <c r="G301" s="172"/>
      <c r="H301" s="172"/>
      <c r="I301" s="38" t="s">
        <v>852</v>
      </c>
      <c r="J301" s="172"/>
      <c r="K301" s="172"/>
      <c r="L301" s="172"/>
      <c r="M301" s="38" t="s">
        <v>852</v>
      </c>
      <c r="N301" s="172"/>
      <c r="O301" s="172"/>
      <c r="P301" s="172"/>
      <c r="Q301" s="38" t="s">
        <v>852</v>
      </c>
      <c r="R301" s="38" t="s">
        <v>852</v>
      </c>
    </row>
    <row r="302" spans="1:20" ht="15.75" customHeight="1" x14ac:dyDescent="0.3">
      <c r="A302" s="256" t="s">
        <v>754</v>
      </c>
      <c r="B302" s="172"/>
      <c r="C302" s="172"/>
      <c r="D302" s="172"/>
      <c r="E302" s="38">
        <f t="shared" ref="E302:E316" si="63">SUM(B302:D302)</f>
        <v>0</v>
      </c>
      <c r="F302" s="172"/>
      <c r="G302" s="172"/>
      <c r="H302" s="172"/>
      <c r="I302" s="38">
        <f t="shared" ref="I302:I316" si="64">SUM(F302:H302)</f>
        <v>0</v>
      </c>
      <c r="J302" s="172"/>
      <c r="K302" s="172"/>
      <c r="L302" s="172"/>
      <c r="M302" s="38">
        <f t="shared" ref="M302:M316" si="65">SUM(J302:L302)</f>
        <v>0</v>
      </c>
      <c r="N302" s="172"/>
      <c r="O302" s="172"/>
      <c r="P302" s="172"/>
      <c r="Q302" s="38">
        <f t="shared" ref="Q302:Q316" si="66">SUM(N302:P302)</f>
        <v>0</v>
      </c>
      <c r="R302" s="38">
        <f t="shared" ref="R302:R316" si="67">+E302+I302+M302+Q302</f>
        <v>0</v>
      </c>
    </row>
    <row r="303" spans="1:20" ht="15.75" customHeight="1" x14ac:dyDescent="0.3">
      <c r="A303" s="410" t="s">
        <v>2759</v>
      </c>
      <c r="B303" s="10">
        <v>18</v>
      </c>
      <c r="C303" s="10">
        <v>8</v>
      </c>
      <c r="D303" s="10">
        <v>0</v>
      </c>
      <c r="E303" s="38">
        <f>SUM(B303:D303)</f>
        <v>26</v>
      </c>
      <c r="F303" s="10">
        <v>8</v>
      </c>
      <c r="G303" s="10">
        <v>12</v>
      </c>
      <c r="H303" s="10">
        <v>8</v>
      </c>
      <c r="I303" s="38">
        <f>SUM(F303:H303)</f>
        <v>28</v>
      </c>
      <c r="J303" s="10">
        <v>15</v>
      </c>
      <c r="K303" s="10">
        <v>8</v>
      </c>
      <c r="L303" s="10">
        <v>8</v>
      </c>
      <c r="M303" s="38">
        <f>SUM(J303:L303)</f>
        <v>31</v>
      </c>
      <c r="N303" s="10">
        <v>9</v>
      </c>
      <c r="O303" s="10">
        <v>0</v>
      </c>
      <c r="P303" s="10">
        <v>8</v>
      </c>
      <c r="Q303" s="38">
        <f>SUM(N303:P303)</f>
        <v>17</v>
      </c>
      <c r="R303" s="38">
        <f>+E303+I303+M303+Q303</f>
        <v>102</v>
      </c>
      <c r="T303" t="s">
        <v>131</v>
      </c>
    </row>
    <row r="304" spans="1:20" ht="15.75" customHeight="1" x14ac:dyDescent="0.3">
      <c r="A304" s="410" t="s">
        <v>2593</v>
      </c>
      <c r="B304" s="10"/>
      <c r="C304" s="10"/>
      <c r="D304" s="10">
        <v>0</v>
      </c>
      <c r="E304" s="38">
        <f t="shared" si="63"/>
        <v>0</v>
      </c>
      <c r="F304" s="10">
        <v>0</v>
      </c>
      <c r="G304" s="10">
        <v>0</v>
      </c>
      <c r="H304" s="10">
        <v>0</v>
      </c>
      <c r="I304" s="38">
        <f t="shared" si="64"/>
        <v>0</v>
      </c>
      <c r="J304" s="10">
        <v>3</v>
      </c>
      <c r="K304" s="10">
        <v>19</v>
      </c>
      <c r="L304" s="10">
        <v>14</v>
      </c>
      <c r="M304" s="38">
        <f t="shared" si="65"/>
        <v>36</v>
      </c>
      <c r="N304" s="10">
        <v>93</v>
      </c>
      <c r="O304" s="10">
        <v>40</v>
      </c>
      <c r="P304" s="10">
        <v>145</v>
      </c>
      <c r="Q304" s="38">
        <f t="shared" si="66"/>
        <v>278</v>
      </c>
      <c r="R304" s="38">
        <f>+E304+I304+M304+Q304</f>
        <v>314</v>
      </c>
      <c r="T304" t="s">
        <v>2175</v>
      </c>
    </row>
    <row r="305" spans="1:20" ht="15.75" customHeight="1" x14ac:dyDescent="0.3">
      <c r="A305" s="410" t="s">
        <v>2517</v>
      </c>
      <c r="B305" s="10">
        <v>2</v>
      </c>
      <c r="C305" s="10">
        <v>2</v>
      </c>
      <c r="D305" s="10">
        <v>4</v>
      </c>
      <c r="E305" s="38">
        <f>SUM(B305:D305)</f>
        <v>8</v>
      </c>
      <c r="F305" s="10">
        <v>4</v>
      </c>
      <c r="G305" s="10">
        <v>4</v>
      </c>
      <c r="H305" s="10">
        <v>7</v>
      </c>
      <c r="I305" s="38">
        <f>SUM(F305:H305)</f>
        <v>15</v>
      </c>
      <c r="J305" s="10">
        <v>6</v>
      </c>
      <c r="K305" s="10">
        <v>6</v>
      </c>
      <c r="L305" s="10">
        <v>5</v>
      </c>
      <c r="M305" s="38">
        <f>SUM(J305:L305)</f>
        <v>17</v>
      </c>
      <c r="N305" s="10">
        <v>4</v>
      </c>
      <c r="O305" s="10">
        <v>4</v>
      </c>
      <c r="P305" s="10">
        <v>2</v>
      </c>
      <c r="Q305" s="38">
        <f>SUM(N305:P305)</f>
        <v>10</v>
      </c>
      <c r="R305" s="38">
        <f>+E305+I305+M305+Q305</f>
        <v>50</v>
      </c>
      <c r="T305" t="s">
        <v>2229</v>
      </c>
    </row>
    <row r="306" spans="1:20" ht="15.75" customHeight="1" x14ac:dyDescent="0.3">
      <c r="A306" s="311" t="s">
        <v>375</v>
      </c>
      <c r="B306" s="172">
        <v>18</v>
      </c>
      <c r="C306" s="172">
        <v>12</v>
      </c>
      <c r="D306" s="172">
        <v>42</v>
      </c>
      <c r="E306" s="38">
        <f t="shared" si="63"/>
        <v>72</v>
      </c>
      <c r="F306" s="172">
        <v>53</v>
      </c>
      <c r="G306" s="172">
        <v>71</v>
      </c>
      <c r="H306" s="172">
        <v>82</v>
      </c>
      <c r="I306" s="38">
        <f t="shared" si="64"/>
        <v>206</v>
      </c>
      <c r="J306" s="172">
        <v>71</v>
      </c>
      <c r="K306" s="172">
        <v>60</v>
      </c>
      <c r="L306" s="172">
        <v>30</v>
      </c>
      <c r="M306" s="38">
        <f t="shared" si="65"/>
        <v>161</v>
      </c>
      <c r="N306" s="172">
        <v>67</v>
      </c>
      <c r="O306" s="172">
        <v>24</v>
      </c>
      <c r="P306" s="172">
        <v>15</v>
      </c>
      <c r="Q306" s="38">
        <f t="shared" si="66"/>
        <v>106</v>
      </c>
      <c r="R306" s="38">
        <f t="shared" si="67"/>
        <v>545</v>
      </c>
      <c r="T306" t="s">
        <v>1193</v>
      </c>
    </row>
    <row r="307" spans="1:20" ht="15.75" customHeight="1" x14ac:dyDescent="0.3">
      <c r="A307" s="256" t="s">
        <v>1732</v>
      </c>
      <c r="B307" s="172"/>
      <c r="C307" s="172"/>
      <c r="D307" s="172"/>
      <c r="E307" s="38">
        <f t="shared" si="63"/>
        <v>0</v>
      </c>
      <c r="F307" s="172"/>
      <c r="G307" s="172"/>
      <c r="H307" s="172"/>
      <c r="I307" s="38">
        <f t="shared" si="64"/>
        <v>0</v>
      </c>
      <c r="J307" s="172"/>
      <c r="K307" s="172"/>
      <c r="L307" s="172"/>
      <c r="M307" s="38">
        <f t="shared" si="65"/>
        <v>0</v>
      </c>
      <c r="N307" s="172"/>
      <c r="O307" s="172"/>
      <c r="P307" s="172"/>
      <c r="Q307" s="38">
        <f t="shared" si="66"/>
        <v>0</v>
      </c>
      <c r="R307" s="38">
        <f t="shared" si="67"/>
        <v>0</v>
      </c>
    </row>
    <row r="308" spans="1:20" ht="15.75" customHeight="1" x14ac:dyDescent="0.3">
      <c r="A308" s="410" t="s">
        <v>2771</v>
      </c>
      <c r="B308" s="172"/>
      <c r="C308" s="172"/>
      <c r="D308" s="172"/>
      <c r="E308" s="38">
        <f t="shared" si="63"/>
        <v>0</v>
      </c>
      <c r="F308" s="172">
        <v>7</v>
      </c>
      <c r="G308" s="172">
        <v>71</v>
      </c>
      <c r="H308" s="172">
        <v>73</v>
      </c>
      <c r="I308" s="38">
        <f t="shared" si="64"/>
        <v>151</v>
      </c>
      <c r="J308" s="172">
        <v>68</v>
      </c>
      <c r="K308" s="172">
        <v>85</v>
      </c>
      <c r="L308" s="172">
        <v>85</v>
      </c>
      <c r="M308" s="38">
        <f t="shared" si="65"/>
        <v>238</v>
      </c>
      <c r="N308" s="172">
        <v>24</v>
      </c>
      <c r="O308" s="172"/>
      <c r="P308" s="172"/>
      <c r="Q308" s="38">
        <f t="shared" si="66"/>
        <v>24</v>
      </c>
      <c r="R308" s="38">
        <f t="shared" si="67"/>
        <v>413</v>
      </c>
      <c r="T308" t="s">
        <v>2230</v>
      </c>
    </row>
    <row r="309" spans="1:20" ht="15.75" customHeight="1" x14ac:dyDescent="0.3">
      <c r="A309" s="256" t="s">
        <v>1138</v>
      </c>
      <c r="B309" s="172">
        <v>2</v>
      </c>
      <c r="C309" s="172">
        <v>2</v>
      </c>
      <c r="D309" s="172">
        <v>4</v>
      </c>
      <c r="E309" s="38">
        <f t="shared" si="63"/>
        <v>8</v>
      </c>
      <c r="F309" s="172">
        <v>1</v>
      </c>
      <c r="G309" s="172">
        <v>1</v>
      </c>
      <c r="H309" s="172">
        <v>2</v>
      </c>
      <c r="I309" s="38">
        <f t="shared" si="64"/>
        <v>4</v>
      </c>
      <c r="J309" s="172">
        <v>2</v>
      </c>
      <c r="K309" s="172">
        <v>3</v>
      </c>
      <c r="L309" s="172">
        <v>1</v>
      </c>
      <c r="M309" s="38">
        <f t="shared" si="65"/>
        <v>6</v>
      </c>
      <c r="N309" s="172">
        <v>1</v>
      </c>
      <c r="O309" s="172">
        <v>1</v>
      </c>
      <c r="P309" s="172">
        <v>1</v>
      </c>
      <c r="Q309" s="38">
        <f t="shared" si="66"/>
        <v>3</v>
      </c>
      <c r="R309" s="38">
        <f t="shared" si="67"/>
        <v>21</v>
      </c>
      <c r="T309" t="s">
        <v>2230</v>
      </c>
    </row>
    <row r="310" spans="1:20" ht="15.75" customHeight="1" x14ac:dyDescent="0.3">
      <c r="A310" s="410" t="s">
        <v>2628</v>
      </c>
      <c r="B310" s="172"/>
      <c r="C310" s="172"/>
      <c r="D310" s="172"/>
      <c r="E310" s="38">
        <f t="shared" si="63"/>
        <v>0</v>
      </c>
      <c r="F310" s="172"/>
      <c r="G310" s="172"/>
      <c r="H310" s="172"/>
      <c r="I310" s="38">
        <f t="shared" si="64"/>
        <v>0</v>
      </c>
      <c r="J310" s="172"/>
      <c r="K310" s="172">
        <v>16</v>
      </c>
      <c r="L310" s="172">
        <v>21</v>
      </c>
      <c r="M310" s="38">
        <f t="shared" si="65"/>
        <v>37</v>
      </c>
      <c r="N310" s="172">
        <v>15</v>
      </c>
      <c r="O310" s="172"/>
      <c r="P310" s="172"/>
      <c r="Q310" s="38">
        <f t="shared" si="66"/>
        <v>15</v>
      </c>
      <c r="R310" s="38">
        <f t="shared" si="67"/>
        <v>52</v>
      </c>
      <c r="T310" t="s">
        <v>2175</v>
      </c>
    </row>
    <row r="311" spans="1:20" ht="15.75" customHeight="1" x14ac:dyDescent="0.3">
      <c r="A311" s="256" t="s">
        <v>875</v>
      </c>
      <c r="B311" s="172">
        <v>21</v>
      </c>
      <c r="C311" s="172">
        <v>20</v>
      </c>
      <c r="D311" s="172">
        <v>40</v>
      </c>
      <c r="E311" s="38">
        <f t="shared" si="63"/>
        <v>81</v>
      </c>
      <c r="F311" s="172">
        <v>48</v>
      </c>
      <c r="G311" s="172">
        <v>58</v>
      </c>
      <c r="H311" s="172">
        <v>73</v>
      </c>
      <c r="I311" s="38">
        <f t="shared" si="64"/>
        <v>179</v>
      </c>
      <c r="J311" s="172">
        <v>72</v>
      </c>
      <c r="K311" s="172">
        <v>54</v>
      </c>
      <c r="L311" s="172">
        <v>31</v>
      </c>
      <c r="M311" s="38">
        <f t="shared" si="65"/>
        <v>157</v>
      </c>
      <c r="N311" s="172">
        <v>66</v>
      </c>
      <c r="O311" s="172">
        <v>33</v>
      </c>
      <c r="P311" s="172">
        <v>35</v>
      </c>
      <c r="Q311" s="38">
        <f t="shared" si="66"/>
        <v>134</v>
      </c>
      <c r="R311" s="38">
        <f t="shared" si="67"/>
        <v>551</v>
      </c>
      <c r="T311" t="s">
        <v>1193</v>
      </c>
    </row>
    <row r="312" spans="1:20" ht="15.75" customHeight="1" x14ac:dyDescent="0.3">
      <c r="A312" s="410" t="s">
        <v>2951</v>
      </c>
      <c r="B312" s="172">
        <v>1</v>
      </c>
      <c r="C312" s="172">
        <v>1</v>
      </c>
      <c r="D312" s="172">
        <v>1</v>
      </c>
      <c r="E312" s="38">
        <f t="shared" si="63"/>
        <v>3</v>
      </c>
      <c r="F312" s="172">
        <v>1</v>
      </c>
      <c r="G312" s="172">
        <v>1</v>
      </c>
      <c r="H312" s="172">
        <v>2</v>
      </c>
      <c r="I312" s="38">
        <f t="shared" si="64"/>
        <v>4</v>
      </c>
      <c r="J312" s="172">
        <v>2</v>
      </c>
      <c r="K312" s="172">
        <v>3</v>
      </c>
      <c r="L312" s="172">
        <v>0</v>
      </c>
      <c r="M312" s="38">
        <f t="shared" si="65"/>
        <v>5</v>
      </c>
      <c r="N312" s="172">
        <v>3</v>
      </c>
      <c r="O312" s="172">
        <v>1</v>
      </c>
      <c r="P312" s="172">
        <v>1</v>
      </c>
      <c r="Q312" s="38">
        <f t="shared" si="66"/>
        <v>5</v>
      </c>
      <c r="R312" s="38">
        <f t="shared" si="67"/>
        <v>17</v>
      </c>
      <c r="T312" t="s">
        <v>1193</v>
      </c>
    </row>
    <row r="313" spans="1:20" ht="15.75" customHeight="1" x14ac:dyDescent="0.3">
      <c r="A313" s="311" t="s">
        <v>644</v>
      </c>
      <c r="B313" s="172"/>
      <c r="C313" s="172"/>
      <c r="D313" s="172">
        <v>9</v>
      </c>
      <c r="E313" s="38">
        <f>SUM(B313:D313)</f>
        <v>9</v>
      </c>
      <c r="F313" s="172">
        <v>9</v>
      </c>
      <c r="G313" s="172">
        <v>10</v>
      </c>
      <c r="H313" s="172">
        <v>10</v>
      </c>
      <c r="I313" s="38">
        <f>SUM(F313:H313)</f>
        <v>29</v>
      </c>
      <c r="J313" s="172">
        <v>12</v>
      </c>
      <c r="K313" s="172">
        <v>16</v>
      </c>
      <c r="L313" s="172"/>
      <c r="M313" s="38">
        <f>SUM(J313:L313)</f>
        <v>28</v>
      </c>
      <c r="N313" s="172"/>
      <c r="O313" s="172"/>
      <c r="P313" s="172"/>
      <c r="Q313" s="38">
        <f>SUM(N313:P313)</f>
        <v>0</v>
      </c>
      <c r="R313" s="38">
        <f>+E313+I313+M313+Q313</f>
        <v>66</v>
      </c>
      <c r="T313" t="s">
        <v>1193</v>
      </c>
    </row>
    <row r="314" spans="1:20" ht="15.75" customHeight="1" x14ac:dyDescent="0.3">
      <c r="A314" s="256" t="s">
        <v>231</v>
      </c>
      <c r="B314" s="172"/>
      <c r="C314" s="172"/>
      <c r="D314" s="172"/>
      <c r="E314" s="38">
        <f t="shared" si="63"/>
        <v>0</v>
      </c>
      <c r="F314" s="172"/>
      <c r="G314" s="172"/>
      <c r="H314" s="172">
        <v>28</v>
      </c>
      <c r="I314" s="38">
        <f t="shared" si="64"/>
        <v>28</v>
      </c>
      <c r="J314" s="172">
        <v>24</v>
      </c>
      <c r="K314" s="172">
        <v>12</v>
      </c>
      <c r="L314" s="172">
        <v>0</v>
      </c>
      <c r="M314" s="38">
        <f t="shared" si="65"/>
        <v>36</v>
      </c>
      <c r="N314" s="172">
        <v>21</v>
      </c>
      <c r="O314" s="172"/>
      <c r="P314" s="172"/>
      <c r="Q314" s="38">
        <f t="shared" si="66"/>
        <v>21</v>
      </c>
      <c r="R314" s="38">
        <f t="shared" si="67"/>
        <v>85</v>
      </c>
      <c r="T314" t="s">
        <v>2179</v>
      </c>
    </row>
    <row r="315" spans="1:20" ht="15.75" customHeight="1" x14ac:dyDescent="0.3">
      <c r="A315" s="410" t="s">
        <v>2961</v>
      </c>
      <c r="B315" s="172"/>
      <c r="C315" s="172"/>
      <c r="D315" s="172"/>
      <c r="E315" s="38">
        <f>SUM(B315:D315)</f>
        <v>0</v>
      </c>
      <c r="F315" s="172"/>
      <c r="G315" s="172"/>
      <c r="H315" s="172"/>
      <c r="I315" s="38">
        <f>SUM(F315:H315)</f>
        <v>0</v>
      </c>
      <c r="J315" s="172"/>
      <c r="K315" s="172"/>
      <c r="L315" s="172"/>
      <c r="M315" s="38">
        <f>SUM(J315:L315)</f>
        <v>0</v>
      </c>
      <c r="N315" s="172"/>
      <c r="O315" s="172"/>
      <c r="P315" s="172">
        <v>16</v>
      </c>
      <c r="Q315" s="38">
        <f>SUM(N315:P315)</f>
        <v>16</v>
      </c>
      <c r="R315" s="38">
        <f>+E315+I315+M315+Q315</f>
        <v>16</v>
      </c>
    </row>
    <row r="316" spans="1:20" ht="15.75" customHeight="1" x14ac:dyDescent="0.3">
      <c r="A316" s="256" t="s">
        <v>2220</v>
      </c>
      <c r="B316" s="172">
        <v>16</v>
      </c>
      <c r="C316" s="172">
        <v>14</v>
      </c>
      <c r="D316" s="172">
        <v>40</v>
      </c>
      <c r="E316" s="38">
        <f t="shared" si="63"/>
        <v>70</v>
      </c>
      <c r="F316" s="172">
        <v>60</v>
      </c>
      <c r="G316" s="172">
        <v>69</v>
      </c>
      <c r="H316" s="172">
        <v>44</v>
      </c>
      <c r="I316" s="38">
        <f t="shared" si="64"/>
        <v>173</v>
      </c>
      <c r="J316" s="172">
        <v>47</v>
      </c>
      <c r="K316" s="172">
        <v>32</v>
      </c>
      <c r="L316" s="172">
        <v>18</v>
      </c>
      <c r="M316" s="38">
        <f t="shared" si="65"/>
        <v>97</v>
      </c>
      <c r="N316" s="172">
        <v>52</v>
      </c>
      <c r="O316" s="172">
        <v>29</v>
      </c>
      <c r="P316" s="172">
        <v>30</v>
      </c>
      <c r="Q316" s="38">
        <f t="shared" si="66"/>
        <v>111</v>
      </c>
      <c r="R316" s="38">
        <f t="shared" si="67"/>
        <v>451</v>
      </c>
      <c r="T316" t="s">
        <v>1193</v>
      </c>
    </row>
    <row r="317" spans="1:20" ht="15.75" customHeight="1" x14ac:dyDescent="0.3">
      <c r="A317" s="234" t="s">
        <v>2162</v>
      </c>
      <c r="B317" s="172"/>
      <c r="C317" s="172"/>
      <c r="D317" s="172"/>
      <c r="E317" s="38" t="s">
        <v>852</v>
      </c>
      <c r="F317" s="172"/>
      <c r="G317" s="172"/>
      <c r="H317" s="172"/>
      <c r="I317" s="38" t="s">
        <v>852</v>
      </c>
      <c r="J317" s="172"/>
      <c r="K317" s="172"/>
      <c r="L317" s="172"/>
      <c r="M317" s="38" t="s">
        <v>852</v>
      </c>
      <c r="N317" s="172"/>
      <c r="O317" s="172"/>
      <c r="P317" s="172"/>
      <c r="Q317" s="38" t="s">
        <v>852</v>
      </c>
      <c r="R317" s="38" t="s">
        <v>852</v>
      </c>
    </row>
    <row r="318" spans="1:20" ht="15.75" customHeight="1" x14ac:dyDescent="0.3">
      <c r="A318" s="410" t="s">
        <v>2552</v>
      </c>
      <c r="B318" s="10"/>
      <c r="C318" s="10"/>
      <c r="D318" s="10">
        <v>231</v>
      </c>
      <c r="E318" s="38">
        <f>SUM(B318:D318)</f>
        <v>231</v>
      </c>
      <c r="F318" s="10"/>
      <c r="G318" s="10"/>
      <c r="H318" s="10"/>
      <c r="I318" s="38">
        <f>SUM(F318:H318)</f>
        <v>0</v>
      </c>
      <c r="J318" s="10"/>
      <c r="K318" s="10"/>
      <c r="L318" s="10"/>
      <c r="M318" s="38">
        <f>SUM(J318:L318)</f>
        <v>0</v>
      </c>
      <c r="N318" s="10"/>
      <c r="O318" s="10"/>
      <c r="P318" s="10"/>
      <c r="Q318" s="38">
        <f>SUM(N318:P318)</f>
        <v>0</v>
      </c>
      <c r="R318" s="38">
        <f>+E318+I318+M318+Q318</f>
        <v>231</v>
      </c>
      <c r="T318" t="s">
        <v>2174</v>
      </c>
    </row>
    <row r="319" spans="1:20" ht="15.75" customHeight="1" x14ac:dyDescent="0.3">
      <c r="A319" s="410" t="s">
        <v>2553</v>
      </c>
      <c r="B319" s="10"/>
      <c r="C319" s="10"/>
      <c r="D319" s="10"/>
      <c r="E319" s="38">
        <f>SUM(B319:D319)</f>
        <v>0</v>
      </c>
      <c r="F319" s="10"/>
      <c r="G319" s="10">
        <v>3000</v>
      </c>
      <c r="H319" s="10"/>
      <c r="I319" s="38">
        <f>SUM(F319:H319)</f>
        <v>3000</v>
      </c>
      <c r="J319" s="10"/>
      <c r="K319" s="10">
        <v>2567</v>
      </c>
      <c r="L319" s="10">
        <v>3433</v>
      </c>
      <c r="M319" s="38">
        <f>SUM(J319:L319)</f>
        <v>6000</v>
      </c>
      <c r="N319" s="10"/>
      <c r="O319" s="10"/>
      <c r="P319" s="10"/>
      <c r="Q319" s="38">
        <f>SUM(N319:P319)</f>
        <v>0</v>
      </c>
      <c r="R319" s="38">
        <f>+E319+I319+M319+Q319</f>
        <v>9000</v>
      </c>
    </row>
    <row r="320" spans="1:20" ht="15.75" customHeight="1" x14ac:dyDescent="0.3">
      <c r="A320" s="410" t="s">
        <v>2554</v>
      </c>
      <c r="B320" s="10"/>
      <c r="C320" s="10"/>
      <c r="D320" s="10"/>
      <c r="E320" s="38">
        <f>SUM(B320:D320)</f>
        <v>0</v>
      </c>
      <c r="F320" s="10"/>
      <c r="G320" s="10">
        <v>1271</v>
      </c>
      <c r="H320" s="10">
        <v>1729</v>
      </c>
      <c r="I320" s="38">
        <f>SUM(F320:H320)</f>
        <v>3000</v>
      </c>
      <c r="J320" s="10"/>
      <c r="K320" s="10"/>
      <c r="L320" s="10"/>
      <c r="M320" s="38">
        <f>SUM(J320:L320)</f>
        <v>0</v>
      </c>
      <c r="N320" s="10"/>
      <c r="O320" s="10"/>
      <c r="P320" s="10"/>
      <c r="Q320" s="38">
        <f>SUM(N320:P320)</f>
        <v>0</v>
      </c>
      <c r="R320" s="38">
        <f>+E320+I320+M320+Q320</f>
        <v>3000</v>
      </c>
      <c r="T320" t="s">
        <v>2175</v>
      </c>
    </row>
    <row r="321" spans="1:20" ht="15.75" customHeight="1" x14ac:dyDescent="0.3">
      <c r="A321" s="410" t="s">
        <v>2727</v>
      </c>
      <c r="B321" s="10"/>
      <c r="C321" s="10"/>
      <c r="D321" s="10"/>
      <c r="E321" s="38">
        <f>SUM(B321:D321)</f>
        <v>0</v>
      </c>
      <c r="F321" s="10"/>
      <c r="G321" s="10"/>
      <c r="H321" s="10"/>
      <c r="I321" s="38">
        <f>SUM(F321:H321)</f>
        <v>0</v>
      </c>
      <c r="J321" s="10">
        <v>2188</v>
      </c>
      <c r="K321" s="10">
        <v>2500</v>
      </c>
      <c r="L321" s="10">
        <v>300</v>
      </c>
      <c r="M321" s="38">
        <f>SUM(J321:L321)</f>
        <v>4988</v>
      </c>
      <c r="N321" s="10">
        <v>907</v>
      </c>
      <c r="O321" s="10">
        <v>1200</v>
      </c>
      <c r="P321" s="10">
        <v>1098</v>
      </c>
      <c r="Q321" s="38">
        <f>SUM(N321:P321)</f>
        <v>3205</v>
      </c>
      <c r="R321" s="38">
        <f>+E321+I321+M321+Q321</f>
        <v>8193</v>
      </c>
      <c r="T321" t="s">
        <v>1358</v>
      </c>
    </row>
    <row r="322" spans="1:20" ht="16.5" customHeight="1" thickBot="1" x14ac:dyDescent="0.35">
      <c r="A322" s="234" t="s">
        <v>2164</v>
      </c>
      <c r="B322" s="172"/>
      <c r="C322" s="172"/>
      <c r="D322" s="172"/>
      <c r="E322" s="38" t="s">
        <v>852</v>
      </c>
      <c r="F322" s="172"/>
      <c r="G322" s="172"/>
      <c r="H322" s="172"/>
      <c r="I322" s="38" t="s">
        <v>852</v>
      </c>
      <c r="J322" s="172"/>
      <c r="K322" s="172"/>
      <c r="L322" s="172"/>
      <c r="M322" s="38" t="s">
        <v>852</v>
      </c>
      <c r="N322" s="172"/>
      <c r="O322" s="172"/>
      <c r="P322" s="172"/>
      <c r="Q322" s="38" t="s">
        <v>852</v>
      </c>
      <c r="R322" s="40" t="s">
        <v>852</v>
      </c>
    </row>
    <row r="323" spans="1:20" ht="16.5" customHeight="1" thickBot="1" x14ac:dyDescent="0.35">
      <c r="A323" s="276" t="s">
        <v>1218</v>
      </c>
      <c r="B323" s="45">
        <f>SUM(B285:B322)</f>
        <v>2198</v>
      </c>
      <c r="C323" s="46">
        <f>SUM(C285:C322)</f>
        <v>1172</v>
      </c>
      <c r="D323" s="46">
        <f>SUM(D285:D322)</f>
        <v>2587</v>
      </c>
      <c r="E323" s="37">
        <f>SUM(B323:D323)</f>
        <v>5957</v>
      </c>
      <c r="F323" s="46">
        <f>SUM(F285:F322)</f>
        <v>2464</v>
      </c>
      <c r="G323" s="46">
        <f>SUM(G285:G322)</f>
        <v>6411</v>
      </c>
      <c r="H323" s="46">
        <f>SUM(H285:H322)</f>
        <v>9007</v>
      </c>
      <c r="I323" s="37">
        <f>SUM(F323:H323)</f>
        <v>17882</v>
      </c>
      <c r="J323" s="46">
        <f>SUM(J285:J322)</f>
        <v>8788</v>
      </c>
      <c r="K323" s="46">
        <f>SUM(K285:K322)</f>
        <v>11277</v>
      </c>
      <c r="L323" s="46">
        <f>SUM(L285:L322)</f>
        <v>8986</v>
      </c>
      <c r="M323" s="37">
        <f>SUM(J323:L323)</f>
        <v>29051</v>
      </c>
      <c r="N323" s="46">
        <f>SUM(N285:N322)</f>
        <v>8021</v>
      </c>
      <c r="O323" s="46">
        <f>SUM(O285:O322)</f>
        <v>7391</v>
      </c>
      <c r="P323" s="46">
        <f>SUM(P285:P322)</f>
        <v>7192</v>
      </c>
      <c r="Q323" s="37">
        <f>SUM(N323:P323)</f>
        <v>22604</v>
      </c>
      <c r="R323" s="37">
        <f>+E323+I323+M323+Q323</f>
        <v>75494</v>
      </c>
      <c r="T323" s="230"/>
    </row>
    <row r="324" spans="1:20" ht="15.75" customHeight="1" x14ac:dyDescent="0.3">
      <c r="A324" s="234" t="s">
        <v>1172</v>
      </c>
      <c r="B324" s="172"/>
      <c r="C324" s="172"/>
      <c r="D324" s="172"/>
      <c r="E324" s="38" t="s">
        <v>852</v>
      </c>
      <c r="F324" s="172"/>
      <c r="G324" s="172"/>
      <c r="H324" s="172"/>
      <c r="I324" s="38" t="s">
        <v>852</v>
      </c>
      <c r="J324" s="172"/>
      <c r="K324" s="172"/>
      <c r="L324" s="172"/>
      <c r="M324" s="38" t="s">
        <v>852</v>
      </c>
      <c r="N324" s="172"/>
      <c r="O324" s="172"/>
      <c r="P324" s="172"/>
      <c r="Q324" s="38" t="s">
        <v>852</v>
      </c>
      <c r="R324" s="38" t="s">
        <v>852</v>
      </c>
    </row>
    <row r="325" spans="1:20" ht="15.75" customHeight="1" x14ac:dyDescent="0.3">
      <c r="A325" s="234" t="s">
        <v>1025</v>
      </c>
      <c r="B325" s="172"/>
      <c r="C325" s="172"/>
      <c r="D325" s="172"/>
      <c r="E325" s="38"/>
      <c r="F325" s="172"/>
      <c r="G325" s="172"/>
      <c r="H325" s="172"/>
      <c r="I325" s="38"/>
      <c r="J325" s="172"/>
      <c r="K325" s="172"/>
      <c r="L325" s="172"/>
      <c r="M325" s="38"/>
      <c r="N325" s="172"/>
      <c r="O325" s="172"/>
      <c r="P325" s="172"/>
      <c r="Q325" s="38"/>
      <c r="R325" s="38"/>
    </row>
    <row r="326" spans="1:20" ht="15.75" customHeight="1" x14ac:dyDescent="0.3">
      <c r="A326" s="234" t="s">
        <v>2409</v>
      </c>
      <c r="B326" s="172"/>
      <c r="C326" s="172"/>
      <c r="D326" s="172"/>
      <c r="E326" s="38" t="s">
        <v>852</v>
      </c>
      <c r="F326" s="172"/>
      <c r="G326" s="172"/>
      <c r="H326" s="172"/>
      <c r="I326" s="38" t="s">
        <v>852</v>
      </c>
      <c r="J326" s="172"/>
      <c r="K326" s="172"/>
      <c r="L326" s="172"/>
      <c r="M326" s="38" t="s">
        <v>852</v>
      </c>
      <c r="N326" s="172"/>
      <c r="O326" s="172"/>
      <c r="P326" s="172"/>
      <c r="Q326" s="38" t="s">
        <v>852</v>
      </c>
      <c r="R326" s="38" t="s">
        <v>852</v>
      </c>
    </row>
    <row r="327" spans="1:20" ht="15.75" customHeight="1" x14ac:dyDescent="0.3">
      <c r="A327" s="256" t="s">
        <v>2099</v>
      </c>
      <c r="B327" s="10">
        <v>87</v>
      </c>
      <c r="C327" s="10">
        <v>3</v>
      </c>
      <c r="D327" s="10">
        <v>573</v>
      </c>
      <c r="E327" s="38">
        <f>SUM(B327:D327)</f>
        <v>663</v>
      </c>
      <c r="F327" s="10">
        <v>3255</v>
      </c>
      <c r="G327" s="10">
        <v>2832</v>
      </c>
      <c r="H327" s="10">
        <v>4322</v>
      </c>
      <c r="I327" s="38">
        <f>SUM(F327:H327)</f>
        <v>10409</v>
      </c>
      <c r="J327" s="10">
        <v>3354</v>
      </c>
      <c r="K327" s="10">
        <v>3642</v>
      </c>
      <c r="L327" s="10">
        <v>1732</v>
      </c>
      <c r="M327" s="38">
        <f>SUM(J327:L327)</f>
        <v>8728</v>
      </c>
      <c r="N327" s="10">
        <v>1099</v>
      </c>
      <c r="O327" s="10">
        <v>797</v>
      </c>
      <c r="P327" s="10"/>
      <c r="Q327" s="38">
        <f>SUM(N327:P327)</f>
        <v>1896</v>
      </c>
      <c r="R327" s="38">
        <f t="shared" ref="R327:R334" si="68">+E327+I327+M327+Q327</f>
        <v>21696</v>
      </c>
      <c r="T327" t="s">
        <v>2174</v>
      </c>
    </row>
    <row r="328" spans="1:20" ht="15.75" customHeight="1" x14ac:dyDescent="0.3">
      <c r="A328" s="256" t="s">
        <v>357</v>
      </c>
      <c r="B328" s="172"/>
      <c r="C328" s="172"/>
      <c r="D328" s="172"/>
      <c r="E328" s="38">
        <f>SUM(B328:D328)</f>
        <v>0</v>
      </c>
      <c r="F328" s="172"/>
      <c r="G328" s="172"/>
      <c r="H328" s="172"/>
      <c r="I328" s="38">
        <f>SUM(F328:H328)</f>
        <v>0</v>
      </c>
      <c r="J328" s="172"/>
      <c r="K328" s="172"/>
      <c r="L328" s="172"/>
      <c r="M328" s="38">
        <f>SUM(J328:L328)</f>
        <v>0</v>
      </c>
      <c r="N328" s="172"/>
      <c r="O328" s="172"/>
      <c r="P328" s="172"/>
      <c r="Q328" s="38">
        <f>SUM(N328:P328)</f>
        <v>0</v>
      </c>
      <c r="R328" s="38">
        <f t="shared" si="68"/>
        <v>0</v>
      </c>
      <c r="T328" t="s">
        <v>2175</v>
      </c>
    </row>
    <row r="329" spans="1:20" ht="15.75" customHeight="1" x14ac:dyDescent="0.3">
      <c r="A329" s="311" t="s">
        <v>909</v>
      </c>
      <c r="B329" s="172">
        <v>826</v>
      </c>
      <c r="C329" s="172">
        <v>2351</v>
      </c>
      <c r="D329" s="172">
        <v>7528</v>
      </c>
      <c r="E329" s="38">
        <f t="shared" ref="E329:E334" si="69">SUM(B329:D329)</f>
        <v>10705</v>
      </c>
      <c r="F329" s="172">
        <v>5795</v>
      </c>
      <c r="G329" s="172">
        <v>7000</v>
      </c>
      <c r="H329" s="172">
        <v>14273</v>
      </c>
      <c r="I329" s="38">
        <f t="shared" ref="I329:I334" si="70">SUM(F329:H329)</f>
        <v>27068</v>
      </c>
      <c r="J329" s="172"/>
      <c r="K329" s="172"/>
      <c r="L329" s="172">
        <v>2500</v>
      </c>
      <c r="M329" s="38">
        <f t="shared" ref="M329:M334" si="71">SUM(J329:L329)</f>
        <v>2500</v>
      </c>
      <c r="N329" s="172"/>
      <c r="O329" s="172"/>
      <c r="P329" s="172"/>
      <c r="Q329" s="38">
        <f t="shared" ref="Q329:Q334" si="72">SUM(N329:P329)</f>
        <v>0</v>
      </c>
      <c r="R329" s="38">
        <f t="shared" si="68"/>
        <v>40273</v>
      </c>
      <c r="T329" t="s">
        <v>2776</v>
      </c>
    </row>
    <row r="330" spans="1:20" ht="15.75" customHeight="1" x14ac:dyDescent="0.3">
      <c r="A330" s="410" t="s">
        <v>2539</v>
      </c>
      <c r="B330" s="172">
        <v>2328</v>
      </c>
      <c r="C330" s="172">
        <v>503</v>
      </c>
      <c r="D330" s="172">
        <v>4985</v>
      </c>
      <c r="E330" s="38">
        <f t="shared" si="69"/>
        <v>7816</v>
      </c>
      <c r="F330" s="356">
        <v>16981</v>
      </c>
      <c r="G330" s="172">
        <v>17733</v>
      </c>
      <c r="H330" s="172">
        <v>23199</v>
      </c>
      <c r="I330" s="38">
        <f t="shared" si="70"/>
        <v>57913</v>
      </c>
      <c r="J330" s="172">
        <v>15174</v>
      </c>
      <c r="K330" s="172">
        <v>14961</v>
      </c>
      <c r="L330" s="172">
        <v>8087</v>
      </c>
      <c r="M330" s="38">
        <f t="shared" si="71"/>
        <v>38222</v>
      </c>
      <c r="N330" s="172">
        <v>8706</v>
      </c>
      <c r="O330" s="172">
        <v>3461</v>
      </c>
      <c r="P330" s="172">
        <v>2066</v>
      </c>
      <c r="Q330" s="38">
        <f t="shared" si="72"/>
        <v>14233</v>
      </c>
      <c r="R330" s="38">
        <f t="shared" si="68"/>
        <v>118184</v>
      </c>
      <c r="T330" t="s">
        <v>2174</v>
      </c>
    </row>
    <row r="331" spans="1:20" ht="15.75" customHeight="1" x14ac:dyDescent="0.3">
      <c r="A331" s="410" t="s">
        <v>2728</v>
      </c>
      <c r="B331" s="172">
        <v>1000</v>
      </c>
      <c r="C331" s="172">
        <v>1423</v>
      </c>
      <c r="D331" s="172">
        <v>5277</v>
      </c>
      <c r="E331" s="38">
        <f t="shared" si="69"/>
        <v>7700</v>
      </c>
      <c r="F331" s="172">
        <v>6900</v>
      </c>
      <c r="G331" s="172">
        <v>0</v>
      </c>
      <c r="H331" s="172">
        <v>2200</v>
      </c>
      <c r="I331" s="38">
        <f t="shared" si="70"/>
        <v>9100</v>
      </c>
      <c r="J331" s="172">
        <v>5300</v>
      </c>
      <c r="K331" s="172">
        <v>3725</v>
      </c>
      <c r="L331" s="172">
        <v>1500</v>
      </c>
      <c r="M331" s="38">
        <f t="shared" si="71"/>
        <v>10525</v>
      </c>
      <c r="N331" s="172">
        <v>3369</v>
      </c>
      <c r="O331" s="172"/>
      <c r="P331" s="172"/>
      <c r="Q331" s="38">
        <f t="shared" si="72"/>
        <v>3369</v>
      </c>
      <c r="R331" s="38">
        <f t="shared" si="68"/>
        <v>30694</v>
      </c>
      <c r="T331" t="s">
        <v>2777</v>
      </c>
    </row>
    <row r="332" spans="1:20" ht="15.75" customHeight="1" x14ac:dyDescent="0.3">
      <c r="A332" s="410" t="s">
        <v>2814</v>
      </c>
      <c r="B332" s="172">
        <v>1100</v>
      </c>
      <c r="C332" s="172">
        <v>1361</v>
      </c>
      <c r="D332" s="172">
        <v>2506</v>
      </c>
      <c r="E332" s="38">
        <f t="shared" si="69"/>
        <v>4967</v>
      </c>
      <c r="F332" s="172">
        <v>3916</v>
      </c>
      <c r="G332" s="172">
        <v>3117</v>
      </c>
      <c r="H332" s="172"/>
      <c r="I332" s="38">
        <f t="shared" si="70"/>
        <v>7033</v>
      </c>
      <c r="J332" s="172"/>
      <c r="K332" s="172"/>
      <c r="L332" s="172"/>
      <c r="M332" s="38">
        <f t="shared" si="71"/>
        <v>0</v>
      </c>
      <c r="N332" s="172"/>
      <c r="O332" s="172"/>
      <c r="P332" s="172"/>
      <c r="Q332" s="38">
        <f t="shared" si="72"/>
        <v>0</v>
      </c>
      <c r="R332" s="38">
        <f t="shared" si="68"/>
        <v>12000</v>
      </c>
      <c r="T332" t="s">
        <v>2175</v>
      </c>
    </row>
    <row r="333" spans="1:20" ht="15.75" customHeight="1" x14ac:dyDescent="0.3">
      <c r="A333" s="410" t="s">
        <v>2779</v>
      </c>
      <c r="B333" s="172">
        <v>86</v>
      </c>
      <c r="C333" s="172">
        <v>339</v>
      </c>
      <c r="D333" s="172">
        <v>3898</v>
      </c>
      <c r="E333" s="38">
        <f t="shared" si="69"/>
        <v>4323</v>
      </c>
      <c r="F333" s="172">
        <v>677</v>
      </c>
      <c r="G333" s="172"/>
      <c r="H333" s="172"/>
      <c r="I333" s="38">
        <f t="shared" si="70"/>
        <v>677</v>
      </c>
      <c r="J333" s="172"/>
      <c r="K333" s="172"/>
      <c r="L333" s="172"/>
      <c r="M333" s="38">
        <f t="shared" si="71"/>
        <v>0</v>
      </c>
      <c r="N333" s="172"/>
      <c r="O333" s="172"/>
      <c r="P333" s="172"/>
      <c r="Q333" s="38">
        <f t="shared" si="72"/>
        <v>0</v>
      </c>
      <c r="R333" s="38">
        <f t="shared" si="68"/>
        <v>5000</v>
      </c>
      <c r="T333" t="s">
        <v>2178</v>
      </c>
    </row>
    <row r="334" spans="1:20" ht="15.75" customHeight="1" x14ac:dyDescent="0.3">
      <c r="A334" s="256" t="s">
        <v>1513</v>
      </c>
      <c r="B334" s="172">
        <v>0</v>
      </c>
      <c r="C334" s="172">
        <v>29</v>
      </c>
      <c r="D334" s="172">
        <v>103</v>
      </c>
      <c r="E334" s="38">
        <f t="shared" si="69"/>
        <v>132</v>
      </c>
      <c r="F334" s="172">
        <v>87</v>
      </c>
      <c r="G334" s="172">
        <v>886</v>
      </c>
      <c r="H334" s="172">
        <v>2604</v>
      </c>
      <c r="I334" s="38">
        <f t="shared" si="70"/>
        <v>3577</v>
      </c>
      <c r="J334" s="172">
        <v>2574</v>
      </c>
      <c r="K334" s="172">
        <v>1916</v>
      </c>
      <c r="L334" s="172">
        <v>1549</v>
      </c>
      <c r="M334" s="38">
        <f t="shared" si="71"/>
        <v>6039</v>
      </c>
      <c r="N334" s="172">
        <v>1669</v>
      </c>
      <c r="O334" s="172">
        <v>296</v>
      </c>
      <c r="P334" s="172">
        <v>137</v>
      </c>
      <c r="Q334" s="38">
        <f t="shared" si="72"/>
        <v>2102</v>
      </c>
      <c r="R334" s="38">
        <f t="shared" si="68"/>
        <v>11850</v>
      </c>
    </row>
    <row r="335" spans="1:20" ht="15.75" customHeight="1" thickBot="1" x14ac:dyDescent="0.35">
      <c r="A335" s="234" t="s">
        <v>2165</v>
      </c>
      <c r="B335" s="172"/>
      <c r="C335" s="172"/>
      <c r="D335" s="172"/>
      <c r="E335" s="38" t="s">
        <v>852</v>
      </c>
      <c r="F335" s="172"/>
      <c r="G335" s="172"/>
      <c r="H335" s="172"/>
      <c r="I335" s="38" t="s">
        <v>852</v>
      </c>
      <c r="J335" s="172"/>
      <c r="K335" s="172"/>
      <c r="L335" s="172"/>
      <c r="M335" s="38" t="s">
        <v>852</v>
      </c>
      <c r="N335" s="172"/>
      <c r="O335" s="172"/>
      <c r="P335" s="172"/>
      <c r="Q335" s="38" t="s">
        <v>852</v>
      </c>
      <c r="R335" s="38" t="s">
        <v>852</v>
      </c>
    </row>
    <row r="336" spans="1:20" ht="16.5" customHeight="1" thickBot="1" x14ac:dyDescent="0.35">
      <c r="A336" s="43" t="s">
        <v>1219</v>
      </c>
      <c r="B336" s="45">
        <f>SUM(B324:B335)</f>
        <v>5427</v>
      </c>
      <c r="C336" s="46">
        <f>SUM(C324:C335)</f>
        <v>6009</v>
      </c>
      <c r="D336" s="46">
        <f>SUM(D324:D335)</f>
        <v>24870</v>
      </c>
      <c r="E336" s="37">
        <f>SUM(B336:D336)</f>
        <v>36306</v>
      </c>
      <c r="F336" s="46">
        <f>SUM(F324:F335)</f>
        <v>37611</v>
      </c>
      <c r="G336" s="46">
        <f>SUM(G324:G335)</f>
        <v>31568</v>
      </c>
      <c r="H336" s="46">
        <f>SUM(H324:H335)</f>
        <v>46598</v>
      </c>
      <c r="I336" s="37">
        <f>SUM(F336:H336)</f>
        <v>115777</v>
      </c>
      <c r="J336" s="46">
        <f>SUM(J324:J335)</f>
        <v>26402</v>
      </c>
      <c r="K336" s="46">
        <f>SUM(K324:K335)</f>
        <v>24244</v>
      </c>
      <c r="L336" s="46">
        <f>SUM(L324:L335)</f>
        <v>15368</v>
      </c>
      <c r="M336" s="37">
        <f>SUM(J336:L336)</f>
        <v>66014</v>
      </c>
      <c r="N336" s="46">
        <f>SUM(N324:N335)</f>
        <v>14843</v>
      </c>
      <c r="O336" s="46">
        <f>SUM(O324:O335)</f>
        <v>4554</v>
      </c>
      <c r="P336" s="46">
        <f>SUM(P324:P335)</f>
        <v>2203</v>
      </c>
      <c r="Q336" s="37">
        <f>SUM(N336:P336)</f>
        <v>21600</v>
      </c>
      <c r="R336" s="37">
        <f>+E336+I336+M336+Q336</f>
        <v>239697</v>
      </c>
    </row>
    <row r="337" spans="1:20" ht="15.75" customHeight="1" x14ac:dyDescent="0.3">
      <c r="A337" s="234" t="s">
        <v>2166</v>
      </c>
      <c r="B337" s="172"/>
      <c r="C337" s="172"/>
      <c r="D337" s="172"/>
      <c r="E337" s="38" t="s">
        <v>852</v>
      </c>
      <c r="F337" s="172"/>
      <c r="G337" s="172"/>
      <c r="H337" s="172"/>
      <c r="I337" s="38" t="s">
        <v>852</v>
      </c>
      <c r="J337" s="172"/>
      <c r="K337" s="172"/>
      <c r="L337" s="172"/>
      <c r="M337" s="38" t="s">
        <v>852</v>
      </c>
      <c r="N337" s="172"/>
      <c r="O337" s="172"/>
      <c r="P337" s="172"/>
      <c r="Q337" s="38" t="s">
        <v>852</v>
      </c>
      <c r="R337" s="38" t="s">
        <v>852</v>
      </c>
    </row>
    <row r="338" spans="1:20" ht="15.75" customHeight="1" x14ac:dyDescent="0.3">
      <c r="A338" s="234" t="s">
        <v>1245</v>
      </c>
      <c r="B338" s="172"/>
      <c r="C338" s="172"/>
      <c r="D338" s="172"/>
      <c r="E338" s="38" t="s">
        <v>852</v>
      </c>
      <c r="F338" s="172"/>
      <c r="G338" s="172"/>
      <c r="H338" s="172"/>
      <c r="I338" s="38" t="s">
        <v>852</v>
      </c>
      <c r="J338" s="172"/>
      <c r="K338" s="172"/>
      <c r="L338" s="172"/>
      <c r="M338" s="38" t="s">
        <v>852</v>
      </c>
      <c r="N338" s="172"/>
      <c r="O338" s="172"/>
      <c r="P338" s="172"/>
      <c r="Q338" s="38" t="s">
        <v>852</v>
      </c>
      <c r="R338" s="38" t="s">
        <v>852</v>
      </c>
    </row>
    <row r="339" spans="1:20" ht="15.75" customHeight="1" x14ac:dyDescent="0.3">
      <c r="A339" s="256" t="s">
        <v>727</v>
      </c>
      <c r="B339" s="172">
        <v>1982</v>
      </c>
      <c r="C339" s="172">
        <v>4982</v>
      </c>
      <c r="D339" s="172">
        <v>7220</v>
      </c>
      <c r="E339" s="38">
        <f>SUM(B339:D339)</f>
        <v>14184</v>
      </c>
      <c r="F339" s="172">
        <v>9945</v>
      </c>
      <c r="G339" s="172">
        <v>10759</v>
      </c>
      <c r="H339" s="172">
        <v>12480</v>
      </c>
      <c r="I339" s="38">
        <f>SUM(F339:H339)</f>
        <v>33184</v>
      </c>
      <c r="J339" s="172">
        <v>8469</v>
      </c>
      <c r="K339" s="172">
        <v>8076</v>
      </c>
      <c r="L339" s="172">
        <v>3985</v>
      </c>
      <c r="M339" s="38">
        <f>SUM(J339:L339)</f>
        <v>20530</v>
      </c>
      <c r="N339" s="172">
        <v>4128</v>
      </c>
      <c r="O339" s="172">
        <v>850</v>
      </c>
      <c r="P339" s="172">
        <v>1474</v>
      </c>
      <c r="Q339" s="38">
        <f>SUM(N339:P339)</f>
        <v>6452</v>
      </c>
      <c r="R339" s="38">
        <f>+E339+I339+M339+Q339</f>
        <v>74350</v>
      </c>
      <c r="T339" t="s">
        <v>2174</v>
      </c>
    </row>
    <row r="340" spans="1:20" ht="15.75" customHeight="1" x14ac:dyDescent="0.3">
      <c r="A340" s="410" t="s">
        <v>2618</v>
      </c>
      <c r="B340" s="10">
        <v>0</v>
      </c>
      <c r="C340" s="10">
        <v>290</v>
      </c>
      <c r="D340" s="10">
        <v>845</v>
      </c>
      <c r="E340" s="38">
        <f>SUM(B340:D340)</f>
        <v>1135</v>
      </c>
      <c r="F340" s="10">
        <v>4883</v>
      </c>
      <c r="G340" s="10">
        <v>9226</v>
      </c>
      <c r="H340" s="10">
        <v>11727</v>
      </c>
      <c r="I340" s="38">
        <f>SUM(F340:H340)</f>
        <v>25836</v>
      </c>
      <c r="J340" s="10">
        <v>10633</v>
      </c>
      <c r="K340" s="10">
        <v>6075</v>
      </c>
      <c r="L340" s="10">
        <v>1601</v>
      </c>
      <c r="M340" s="38">
        <f>SUM(J340:L340)</f>
        <v>18309</v>
      </c>
      <c r="N340" s="10">
        <v>6187</v>
      </c>
      <c r="O340" s="10"/>
      <c r="P340" s="10">
        <v>7102</v>
      </c>
      <c r="Q340" s="38">
        <f>SUM(N340:P340)</f>
        <v>13289</v>
      </c>
      <c r="R340" s="38">
        <f>+E340+I340+M340+Q340</f>
        <v>58569</v>
      </c>
      <c r="T340" t="s">
        <v>2176</v>
      </c>
    </row>
    <row r="341" spans="1:20" ht="15.75" customHeight="1" x14ac:dyDescent="0.3">
      <c r="A341" s="234" t="s">
        <v>1711</v>
      </c>
      <c r="B341" s="172"/>
      <c r="C341" s="172"/>
      <c r="D341" s="172"/>
      <c r="E341" s="38" t="s">
        <v>852</v>
      </c>
      <c r="F341" s="172"/>
      <c r="G341" s="172"/>
      <c r="H341" s="172"/>
      <c r="I341" s="38" t="s">
        <v>852</v>
      </c>
      <c r="J341" s="172"/>
      <c r="K341" s="172"/>
      <c r="L341" s="172"/>
      <c r="M341" s="38" t="s">
        <v>852</v>
      </c>
      <c r="N341" s="172"/>
      <c r="O341" s="172"/>
      <c r="P341" s="172"/>
      <c r="Q341" s="38" t="s">
        <v>852</v>
      </c>
      <c r="R341" s="38" t="s">
        <v>852</v>
      </c>
    </row>
    <row r="342" spans="1:20" ht="15.75" customHeight="1" x14ac:dyDescent="0.3">
      <c r="A342" s="256" t="s">
        <v>1091</v>
      </c>
      <c r="B342" s="10">
        <v>324</v>
      </c>
      <c r="C342" s="10">
        <v>262</v>
      </c>
      <c r="D342" s="10">
        <v>386</v>
      </c>
      <c r="E342" s="38">
        <f>SUM(B342:D342)</f>
        <v>972</v>
      </c>
      <c r="F342" s="10"/>
      <c r="G342" s="10"/>
      <c r="H342" s="10"/>
      <c r="I342" s="38">
        <f>SUM(F342:H342)</f>
        <v>0</v>
      </c>
      <c r="J342" s="10"/>
      <c r="K342" s="10"/>
      <c r="L342" s="10"/>
      <c r="M342" s="38">
        <f>SUM(J342:L342)</f>
        <v>0</v>
      </c>
      <c r="N342" s="10"/>
      <c r="O342" s="10"/>
      <c r="P342" s="10"/>
      <c r="Q342" s="38">
        <f>SUM(N342:P342)</f>
        <v>0</v>
      </c>
      <c r="R342" s="38">
        <f>+E342+I342+M342+Q342</f>
        <v>972</v>
      </c>
      <c r="T342" t="s">
        <v>2780</v>
      </c>
    </row>
    <row r="343" spans="1:20" ht="15.75" customHeight="1" x14ac:dyDescent="0.3">
      <c r="A343" s="410" t="s">
        <v>2781</v>
      </c>
      <c r="B343" s="172">
        <v>1124</v>
      </c>
      <c r="C343" s="172">
        <v>413</v>
      </c>
      <c r="D343" s="172"/>
      <c r="E343" s="38">
        <f t="shared" ref="E343:E369" si="73">SUM(B343:D343)</f>
        <v>1537</v>
      </c>
      <c r="F343" s="172"/>
      <c r="G343" s="172"/>
      <c r="H343" s="172"/>
      <c r="I343" s="38">
        <f t="shared" ref="I343:I369" si="74">SUM(F343:H343)</f>
        <v>0</v>
      </c>
      <c r="J343" s="172"/>
      <c r="K343" s="172"/>
      <c r="L343" s="172"/>
      <c r="M343" s="38">
        <f t="shared" ref="M343:M369" si="75">SUM(J343:L343)</f>
        <v>0</v>
      </c>
      <c r="N343" s="172"/>
      <c r="O343" s="172"/>
      <c r="P343" s="172"/>
      <c r="Q343" s="38">
        <f t="shared" ref="Q343:Q369" si="76">SUM(N343:P343)</f>
        <v>0</v>
      </c>
      <c r="R343" s="38">
        <f>+E343+I343+M343+Q343</f>
        <v>1537</v>
      </c>
      <c r="T343" t="s">
        <v>2780</v>
      </c>
    </row>
    <row r="344" spans="1:20" ht="15.75" customHeight="1" x14ac:dyDescent="0.3">
      <c r="A344" s="410" t="s">
        <v>2782</v>
      </c>
      <c r="B344" s="172"/>
      <c r="C344" s="172"/>
      <c r="D344" s="172"/>
      <c r="E344" s="38">
        <f t="shared" si="73"/>
        <v>0</v>
      </c>
      <c r="F344" s="172"/>
      <c r="G344" s="172"/>
      <c r="H344" s="172"/>
      <c r="I344" s="38">
        <f t="shared" si="74"/>
        <v>0</v>
      </c>
      <c r="J344" s="172"/>
      <c r="K344" s="172"/>
      <c r="L344" s="172"/>
      <c r="M344" s="38">
        <f t="shared" si="75"/>
        <v>0</v>
      </c>
      <c r="N344" s="172"/>
      <c r="O344" s="172"/>
      <c r="P344" s="172"/>
      <c r="Q344" s="38">
        <f t="shared" si="76"/>
        <v>0</v>
      </c>
      <c r="R344" s="38">
        <f>+E344+I344+M344+Q344</f>
        <v>0</v>
      </c>
      <c r="T344" t="s">
        <v>1358</v>
      </c>
    </row>
    <row r="345" spans="1:20" ht="15.75" customHeight="1" x14ac:dyDescent="0.3">
      <c r="A345" s="256" t="s">
        <v>1150</v>
      </c>
      <c r="B345" s="172"/>
      <c r="C345" s="172"/>
      <c r="D345" s="172"/>
      <c r="E345" s="38">
        <f t="shared" si="73"/>
        <v>0</v>
      </c>
      <c r="F345" s="172">
        <v>502</v>
      </c>
      <c r="G345" s="172">
        <v>125</v>
      </c>
      <c r="H345" s="172"/>
      <c r="I345" s="38">
        <f t="shared" si="74"/>
        <v>627</v>
      </c>
      <c r="J345" s="172"/>
      <c r="K345" s="172"/>
      <c r="L345" s="172"/>
      <c r="M345" s="38">
        <f t="shared" si="75"/>
        <v>0</v>
      </c>
      <c r="N345" s="172"/>
      <c r="O345" s="172"/>
      <c r="P345" s="172"/>
      <c r="Q345" s="38">
        <f t="shared" si="76"/>
        <v>0</v>
      </c>
      <c r="R345" s="38">
        <f t="shared" ref="R345:R368" si="77">+E345+I345+M345+Q345</f>
        <v>627</v>
      </c>
    </row>
    <row r="346" spans="1:20" ht="15.75" customHeight="1" x14ac:dyDescent="0.3">
      <c r="A346" s="410" t="s">
        <v>2598</v>
      </c>
      <c r="B346" s="172"/>
      <c r="C346" s="172"/>
      <c r="D346" s="172"/>
      <c r="E346" s="38">
        <f t="shared" si="73"/>
        <v>0</v>
      </c>
      <c r="F346" s="172">
        <v>6223</v>
      </c>
      <c r="G346" s="172">
        <v>7199</v>
      </c>
      <c r="H346" s="172">
        <v>7626</v>
      </c>
      <c r="I346" s="38">
        <f>SUM(F346:H346)</f>
        <v>21048</v>
      </c>
      <c r="J346" s="172">
        <v>6455</v>
      </c>
      <c r="K346" s="172">
        <v>7456</v>
      </c>
      <c r="L346" s="172">
        <v>5041</v>
      </c>
      <c r="M346" s="38">
        <f>SUM(J346:L346)</f>
        <v>18952</v>
      </c>
      <c r="N346" s="172">
        <v>2500</v>
      </c>
      <c r="O346" s="172"/>
      <c r="P346" s="172"/>
      <c r="Q346" s="38">
        <f>SUM(N346:P346)</f>
        <v>2500</v>
      </c>
      <c r="R346" s="38">
        <f>+E346+I346+M346+Q346</f>
        <v>42500</v>
      </c>
      <c r="T346" t="s">
        <v>2178</v>
      </c>
    </row>
    <row r="347" spans="1:20" ht="15.75" customHeight="1" x14ac:dyDescent="0.3">
      <c r="A347" s="410" t="s">
        <v>2837</v>
      </c>
      <c r="B347" s="10"/>
      <c r="C347" s="10"/>
      <c r="D347" s="10"/>
      <c r="E347" s="38">
        <f t="shared" si="73"/>
        <v>0</v>
      </c>
      <c r="F347" s="10"/>
      <c r="G347" s="10"/>
      <c r="H347" s="10"/>
      <c r="I347" s="38">
        <f t="shared" si="74"/>
        <v>0</v>
      </c>
      <c r="J347" s="10"/>
      <c r="K347" s="10"/>
      <c r="L347" s="10"/>
      <c r="M347" s="38">
        <f t="shared" si="75"/>
        <v>0</v>
      </c>
      <c r="N347" s="10"/>
      <c r="O347" s="10"/>
      <c r="P347" s="10"/>
      <c r="Q347" s="38">
        <f t="shared" si="76"/>
        <v>0</v>
      </c>
      <c r="R347" s="38">
        <f t="shared" si="77"/>
        <v>0</v>
      </c>
      <c r="T347" t="s">
        <v>2174</v>
      </c>
    </row>
    <row r="348" spans="1:20" ht="15.75" customHeight="1" x14ac:dyDescent="0.3">
      <c r="A348" s="410" t="s">
        <v>2729</v>
      </c>
      <c r="B348" s="10"/>
      <c r="C348" s="10"/>
      <c r="D348" s="10">
        <v>998</v>
      </c>
      <c r="E348" s="38">
        <f t="shared" si="73"/>
        <v>998</v>
      </c>
      <c r="F348" s="10"/>
      <c r="G348" s="10">
        <v>895</v>
      </c>
      <c r="H348" s="10">
        <v>3107</v>
      </c>
      <c r="I348" s="38">
        <f t="shared" si="74"/>
        <v>4002</v>
      </c>
      <c r="J348" s="10">
        <v>1000</v>
      </c>
      <c r="K348" s="10">
        <v>2000</v>
      </c>
      <c r="L348" s="10">
        <v>1000</v>
      </c>
      <c r="M348" s="38">
        <f t="shared" si="75"/>
        <v>4000</v>
      </c>
      <c r="N348" s="10">
        <v>1000</v>
      </c>
      <c r="O348" s="10">
        <v>1850</v>
      </c>
      <c r="P348" s="10">
        <v>1600</v>
      </c>
      <c r="Q348" s="38">
        <f t="shared" si="76"/>
        <v>4450</v>
      </c>
      <c r="R348" s="38">
        <f t="shared" si="77"/>
        <v>13450</v>
      </c>
    </row>
    <row r="349" spans="1:20" ht="15.75" customHeight="1" x14ac:dyDescent="0.3">
      <c r="A349" s="311" t="s">
        <v>464</v>
      </c>
      <c r="B349" s="10"/>
      <c r="C349" s="10"/>
      <c r="D349" s="10">
        <v>5540</v>
      </c>
      <c r="E349" s="38">
        <f t="shared" si="73"/>
        <v>5540</v>
      </c>
      <c r="F349" s="10">
        <v>4630</v>
      </c>
      <c r="G349" s="10">
        <v>7230</v>
      </c>
      <c r="H349" s="10">
        <v>5220</v>
      </c>
      <c r="I349" s="38">
        <f t="shared" si="74"/>
        <v>17080</v>
      </c>
      <c r="J349" s="10">
        <v>2300</v>
      </c>
      <c r="K349" s="10">
        <v>3040</v>
      </c>
      <c r="L349" s="10">
        <v>3620</v>
      </c>
      <c r="M349" s="38">
        <f t="shared" si="75"/>
        <v>8960</v>
      </c>
      <c r="N349" s="10">
        <v>3520</v>
      </c>
      <c r="O349" s="10">
        <v>1100</v>
      </c>
      <c r="P349" s="10">
        <v>1513</v>
      </c>
      <c r="Q349" s="38">
        <f t="shared" si="76"/>
        <v>6133</v>
      </c>
      <c r="R349" s="38">
        <f t="shared" si="77"/>
        <v>37713</v>
      </c>
      <c r="T349" t="s">
        <v>2174</v>
      </c>
    </row>
    <row r="350" spans="1:20" ht="15.75" customHeight="1" x14ac:dyDescent="0.3">
      <c r="A350" s="410" t="s">
        <v>1381</v>
      </c>
      <c r="B350" s="10"/>
      <c r="C350" s="10"/>
      <c r="D350" s="10">
        <v>0</v>
      </c>
      <c r="E350" s="38">
        <f>SUM(B350:D350)</f>
        <v>0</v>
      </c>
      <c r="F350" s="10">
        <v>5228</v>
      </c>
      <c r="G350" s="10">
        <v>2988</v>
      </c>
      <c r="H350" s="10">
        <v>361</v>
      </c>
      <c r="I350" s="38">
        <f>SUM(F350:H350)</f>
        <v>8577</v>
      </c>
      <c r="J350" s="10">
        <v>10426</v>
      </c>
      <c r="K350" s="10">
        <v>9493</v>
      </c>
      <c r="L350" s="10">
        <v>3792</v>
      </c>
      <c r="M350" s="38">
        <f>SUM(J350:L350)</f>
        <v>23711</v>
      </c>
      <c r="N350" s="10">
        <v>3132</v>
      </c>
      <c r="O350" s="10">
        <v>1599</v>
      </c>
      <c r="P350" s="10">
        <v>2581</v>
      </c>
      <c r="Q350" s="38">
        <f>SUM(N350:P350)</f>
        <v>7312</v>
      </c>
      <c r="R350" s="38">
        <f t="shared" si="77"/>
        <v>39600</v>
      </c>
    </row>
    <row r="351" spans="1:20" ht="15.75" customHeight="1" x14ac:dyDescent="0.3">
      <c r="A351" s="410" t="s">
        <v>2266</v>
      </c>
      <c r="B351" s="10"/>
      <c r="C351" s="10"/>
      <c r="D351" s="10"/>
      <c r="E351" s="38">
        <f t="shared" si="73"/>
        <v>0</v>
      </c>
      <c r="F351" s="10"/>
      <c r="G351" s="10"/>
      <c r="H351" s="10"/>
      <c r="I351" s="38">
        <f t="shared" si="74"/>
        <v>0</v>
      </c>
      <c r="J351" s="10">
        <v>1000</v>
      </c>
      <c r="K351" s="10">
        <v>1000</v>
      </c>
      <c r="L351" s="10">
        <v>400</v>
      </c>
      <c r="M351" s="38">
        <f t="shared" si="75"/>
        <v>2400</v>
      </c>
      <c r="N351" s="10"/>
      <c r="O351" s="10">
        <v>700</v>
      </c>
      <c r="P351" s="10">
        <v>386</v>
      </c>
      <c r="Q351" s="38">
        <f t="shared" si="76"/>
        <v>1086</v>
      </c>
      <c r="R351" s="38">
        <f t="shared" si="77"/>
        <v>3486</v>
      </c>
      <c r="T351" t="s">
        <v>1358</v>
      </c>
    </row>
    <row r="352" spans="1:20" ht="15.75" customHeight="1" x14ac:dyDescent="0.3">
      <c r="A352" s="256" t="s">
        <v>2362</v>
      </c>
      <c r="B352" s="172">
        <v>1201</v>
      </c>
      <c r="C352" s="172">
        <v>1582</v>
      </c>
      <c r="D352" s="172">
        <v>1582</v>
      </c>
      <c r="E352" s="38">
        <f>SUM(B352:D352)</f>
        <v>4365</v>
      </c>
      <c r="F352" s="172">
        <v>1963</v>
      </c>
      <c r="G352" s="172"/>
      <c r="H352" s="172"/>
      <c r="I352" s="38">
        <f>SUM(F352:H352)</f>
        <v>1963</v>
      </c>
      <c r="J352" s="172"/>
      <c r="K352" s="172"/>
      <c r="L352" s="172"/>
      <c r="M352" s="38">
        <f>SUM(J352:L352)</f>
        <v>0</v>
      </c>
      <c r="N352" s="172"/>
      <c r="O352" s="172"/>
      <c r="P352" s="172"/>
      <c r="Q352" s="38">
        <f>SUM(N352:P352)</f>
        <v>0</v>
      </c>
      <c r="R352" s="38">
        <f>+E352+I352+M352+Q352</f>
        <v>6328</v>
      </c>
    </row>
    <row r="353" spans="1:20" ht="15.75" customHeight="1" x14ac:dyDescent="0.3">
      <c r="A353" s="256" t="s">
        <v>2263</v>
      </c>
      <c r="B353" s="172"/>
      <c r="C353" s="172"/>
      <c r="D353" s="172"/>
      <c r="E353" s="38">
        <f>SUM(B353:D353)</f>
        <v>0</v>
      </c>
      <c r="F353" s="172"/>
      <c r="G353" s="172"/>
      <c r="H353" s="172"/>
      <c r="I353" s="38">
        <f>SUM(F353:H353)</f>
        <v>0</v>
      </c>
      <c r="J353" s="172"/>
      <c r="K353" s="172"/>
      <c r="L353" s="172"/>
      <c r="M353" s="38">
        <f>SUM(J353:L353)</f>
        <v>0</v>
      </c>
      <c r="N353" s="172"/>
      <c r="O353" s="172"/>
      <c r="P353" s="172"/>
      <c r="Q353" s="38">
        <f>SUM(N353:P353)</f>
        <v>0</v>
      </c>
      <c r="R353" s="38">
        <f>+E353+I353+M353+Q353</f>
        <v>0</v>
      </c>
    </row>
    <row r="354" spans="1:20" ht="15.75" customHeight="1" x14ac:dyDescent="0.3">
      <c r="A354" s="410" t="s">
        <v>2792</v>
      </c>
      <c r="B354" s="172"/>
      <c r="C354" s="172"/>
      <c r="D354" s="172"/>
      <c r="E354" s="38">
        <f>SUM(B354:D354)</f>
        <v>0</v>
      </c>
      <c r="F354" s="172"/>
      <c r="G354" s="172"/>
      <c r="H354" s="172"/>
      <c r="I354" s="38">
        <f>SUM(F354:H354)</f>
        <v>0</v>
      </c>
      <c r="J354" s="172">
        <v>2000</v>
      </c>
      <c r="K354" s="172">
        <v>1683</v>
      </c>
      <c r="L354" s="172"/>
      <c r="M354" s="38">
        <f>SUM(J354:L354)</f>
        <v>3683</v>
      </c>
      <c r="N354" s="172"/>
      <c r="O354" s="172"/>
      <c r="P354" s="172"/>
      <c r="Q354" s="38">
        <f>SUM(N354:P354)</f>
        <v>0</v>
      </c>
      <c r="R354" s="38">
        <f>+E354+I354+M354+Q354</f>
        <v>3683</v>
      </c>
      <c r="T354" t="s">
        <v>1358</v>
      </c>
    </row>
    <row r="355" spans="1:20" ht="15.75" customHeight="1" x14ac:dyDescent="0.3">
      <c r="A355" s="410" t="s">
        <v>2786</v>
      </c>
      <c r="B355" s="10"/>
      <c r="C355" s="10"/>
      <c r="D355" s="10"/>
      <c r="E355" s="38">
        <f t="shared" si="73"/>
        <v>0</v>
      </c>
      <c r="F355" s="10">
        <v>0</v>
      </c>
      <c r="G355" s="10">
        <v>4000</v>
      </c>
      <c r="H355" s="10">
        <v>452</v>
      </c>
      <c r="I355" s="38">
        <f t="shared" si="74"/>
        <v>4452</v>
      </c>
      <c r="J355" s="10">
        <v>1084</v>
      </c>
      <c r="K355" s="10">
        <v>464</v>
      </c>
      <c r="L355" s="10"/>
      <c r="M355" s="38">
        <f t="shared" si="75"/>
        <v>1548</v>
      </c>
      <c r="N355" s="10"/>
      <c r="O355" s="10"/>
      <c r="P355" s="10"/>
      <c r="Q355" s="38">
        <f t="shared" si="76"/>
        <v>0</v>
      </c>
      <c r="R355" s="38">
        <f t="shared" si="77"/>
        <v>6000</v>
      </c>
      <c r="T355" t="s">
        <v>2777</v>
      </c>
    </row>
    <row r="356" spans="1:20" ht="15.75" customHeight="1" x14ac:dyDescent="0.3">
      <c r="A356" s="410" t="s">
        <v>2787</v>
      </c>
      <c r="B356" s="172"/>
      <c r="C356" s="172"/>
      <c r="D356" s="172"/>
      <c r="E356" s="38">
        <f>SUM(B356:D356)</f>
        <v>0</v>
      </c>
      <c r="F356" s="172"/>
      <c r="G356" s="172"/>
      <c r="H356" s="172">
        <v>1916</v>
      </c>
      <c r="I356" s="38">
        <f>SUM(F356:H356)</f>
        <v>1916</v>
      </c>
      <c r="J356" s="172">
        <v>3158</v>
      </c>
      <c r="K356" s="172">
        <v>3105</v>
      </c>
      <c r="L356" s="172">
        <v>1479</v>
      </c>
      <c r="M356" s="38">
        <f>SUM(J356:L356)</f>
        <v>7742</v>
      </c>
      <c r="N356" s="172">
        <v>1342</v>
      </c>
      <c r="O356" s="172"/>
      <c r="P356" s="172"/>
      <c r="Q356" s="38">
        <f>SUM(N356:P356)</f>
        <v>1342</v>
      </c>
      <c r="R356" s="38">
        <f t="shared" si="77"/>
        <v>11000</v>
      </c>
      <c r="T356" t="s">
        <v>2175</v>
      </c>
    </row>
    <row r="357" spans="1:20" ht="15.75" customHeight="1" x14ac:dyDescent="0.3">
      <c r="A357" s="410" t="s">
        <v>2788</v>
      </c>
      <c r="B357" s="10"/>
      <c r="C357" s="10"/>
      <c r="D357" s="10"/>
      <c r="E357" s="38">
        <f>SUM(B357:D357)</f>
        <v>0</v>
      </c>
      <c r="F357" s="10"/>
      <c r="G357" s="10"/>
      <c r="H357" s="10"/>
      <c r="I357" s="38">
        <f>SUM(F357:H357)</f>
        <v>0</v>
      </c>
      <c r="J357" s="10"/>
      <c r="K357" s="10"/>
      <c r="L357" s="10"/>
      <c r="M357" s="38">
        <f>SUM(J357:L357)</f>
        <v>0</v>
      </c>
      <c r="N357" s="10"/>
      <c r="O357" s="10"/>
      <c r="P357" s="10"/>
      <c r="Q357" s="38">
        <f>SUM(N357:P357)</f>
        <v>0</v>
      </c>
      <c r="R357" s="38">
        <f>+E357+I357+M357+Q357</f>
        <v>0</v>
      </c>
      <c r="T357" t="s">
        <v>2780</v>
      </c>
    </row>
    <row r="358" spans="1:20" ht="15.75" customHeight="1" x14ac:dyDescent="0.3">
      <c r="A358" s="410" t="s">
        <v>2789</v>
      </c>
      <c r="B358" s="10"/>
      <c r="C358" s="10"/>
      <c r="D358" s="10"/>
      <c r="E358" s="38">
        <f>SUM(B358:D358)</f>
        <v>0</v>
      </c>
      <c r="F358" s="10"/>
      <c r="G358" s="10"/>
      <c r="H358" s="10"/>
      <c r="I358" s="38">
        <f>SUM(F358:H358)</f>
        <v>0</v>
      </c>
      <c r="J358" s="10"/>
      <c r="K358" s="10">
        <v>317</v>
      </c>
      <c r="L358" s="10">
        <v>1594</v>
      </c>
      <c r="M358" s="38">
        <f>SUM(J358:L358)</f>
        <v>1911</v>
      </c>
      <c r="N358" s="10">
        <v>1089</v>
      </c>
      <c r="O358" s="10"/>
      <c r="P358" s="10"/>
      <c r="Q358" s="38">
        <f>SUM(N358:P358)</f>
        <v>1089</v>
      </c>
      <c r="R358" s="38">
        <f>+E358+I358+M358+Q358</f>
        <v>3000</v>
      </c>
      <c r="T358" t="s">
        <v>1358</v>
      </c>
    </row>
    <row r="359" spans="1:20" ht="15.75" customHeight="1" x14ac:dyDescent="0.3">
      <c r="A359" s="256" t="s">
        <v>885</v>
      </c>
      <c r="B359" s="10"/>
      <c r="C359" s="10"/>
      <c r="D359" s="10"/>
      <c r="E359" s="38">
        <f>SUM(B359:D359)</f>
        <v>0</v>
      </c>
      <c r="F359" s="10"/>
      <c r="G359" s="10"/>
      <c r="H359" s="10">
        <v>412</v>
      </c>
      <c r="I359" s="38">
        <f>SUM(F359:H359)</f>
        <v>412</v>
      </c>
      <c r="J359" s="10">
        <v>1131</v>
      </c>
      <c r="K359" s="10">
        <v>1043</v>
      </c>
      <c r="L359" s="10"/>
      <c r="M359" s="38">
        <f>SUM(J359:L359)</f>
        <v>2174</v>
      </c>
      <c r="N359" s="10"/>
      <c r="O359" s="10"/>
      <c r="P359" s="10"/>
      <c r="Q359" s="38">
        <f>SUM(N359:P359)</f>
        <v>0</v>
      </c>
      <c r="R359" s="38">
        <f>+E359+I359+M359+Q359</f>
        <v>2586</v>
      </c>
      <c r="T359" t="s">
        <v>2780</v>
      </c>
    </row>
    <row r="360" spans="1:20" ht="15.75" customHeight="1" x14ac:dyDescent="0.3">
      <c r="A360" s="410" t="s">
        <v>2941</v>
      </c>
      <c r="B360" s="172"/>
      <c r="C360" s="172"/>
      <c r="D360" s="172"/>
      <c r="E360" s="38">
        <f t="shared" si="73"/>
        <v>0</v>
      </c>
      <c r="F360" s="172"/>
      <c r="G360" s="172"/>
      <c r="H360" s="172">
        <v>313</v>
      </c>
      <c r="I360" s="38">
        <f t="shared" si="74"/>
        <v>313</v>
      </c>
      <c r="J360" s="172">
        <v>1153</v>
      </c>
      <c r="K360" s="172">
        <v>1167</v>
      </c>
      <c r="L360" s="172">
        <v>795</v>
      </c>
      <c r="M360" s="38">
        <f t="shared" si="75"/>
        <v>3115</v>
      </c>
      <c r="N360" s="172"/>
      <c r="O360" s="172"/>
      <c r="P360" s="172"/>
      <c r="Q360" s="38">
        <f t="shared" si="76"/>
        <v>0</v>
      </c>
      <c r="R360" s="38">
        <f t="shared" si="77"/>
        <v>3428</v>
      </c>
      <c r="T360" t="s">
        <v>2780</v>
      </c>
    </row>
    <row r="361" spans="1:20" ht="15.75" customHeight="1" x14ac:dyDescent="0.3">
      <c r="A361" s="410" t="s">
        <v>2711</v>
      </c>
      <c r="B361" s="172"/>
      <c r="C361" s="172"/>
      <c r="D361" s="172"/>
      <c r="E361" s="38">
        <f>SUM(B361:D361)</f>
        <v>0</v>
      </c>
      <c r="F361" s="172"/>
      <c r="G361" s="172"/>
      <c r="H361" s="172"/>
      <c r="I361" s="38">
        <f>SUM(F361:H361)</f>
        <v>0</v>
      </c>
      <c r="J361" s="172"/>
      <c r="K361" s="172"/>
      <c r="L361" s="172"/>
      <c r="M361" s="38">
        <f>SUM(J361:L361)</f>
        <v>0</v>
      </c>
      <c r="N361" s="172"/>
      <c r="O361" s="172"/>
      <c r="P361" s="172"/>
      <c r="Q361" s="38">
        <f>SUM(N361:P361)</f>
        <v>0</v>
      </c>
      <c r="R361" s="38">
        <f t="shared" si="77"/>
        <v>0</v>
      </c>
      <c r="T361" t="s">
        <v>1358</v>
      </c>
    </row>
    <row r="362" spans="1:20" ht="15.75" customHeight="1" x14ac:dyDescent="0.3">
      <c r="A362" s="256" t="s">
        <v>1097</v>
      </c>
      <c r="B362" s="172"/>
      <c r="C362" s="10"/>
      <c r="D362" s="10"/>
      <c r="E362" s="38">
        <f t="shared" si="73"/>
        <v>0</v>
      </c>
      <c r="F362" s="172"/>
      <c r="G362" s="172">
        <v>1669</v>
      </c>
      <c r="H362" s="172"/>
      <c r="I362" s="38">
        <f t="shared" si="74"/>
        <v>1669</v>
      </c>
      <c r="J362" s="172"/>
      <c r="K362" s="172"/>
      <c r="L362" s="172"/>
      <c r="M362" s="38">
        <f t="shared" si="75"/>
        <v>0</v>
      </c>
      <c r="N362" s="172"/>
      <c r="O362" s="172"/>
      <c r="P362" s="172"/>
      <c r="Q362" s="38">
        <f t="shared" si="76"/>
        <v>0</v>
      </c>
      <c r="R362" s="38">
        <f t="shared" si="77"/>
        <v>1669</v>
      </c>
    </row>
    <row r="363" spans="1:20" ht="15.75" customHeight="1" x14ac:dyDescent="0.3">
      <c r="A363" s="410" t="s">
        <v>2745</v>
      </c>
      <c r="B363" s="10"/>
      <c r="C363" s="10"/>
      <c r="D363" s="10"/>
      <c r="E363" s="38">
        <f t="shared" si="73"/>
        <v>0</v>
      </c>
      <c r="F363" s="10"/>
      <c r="G363" s="10"/>
      <c r="H363" s="356"/>
      <c r="I363" s="38">
        <f t="shared" si="74"/>
        <v>0</v>
      </c>
      <c r="J363" s="10"/>
      <c r="K363" s="10">
        <v>75</v>
      </c>
      <c r="L363" s="10">
        <v>1077</v>
      </c>
      <c r="M363" s="38">
        <f t="shared" si="75"/>
        <v>1152</v>
      </c>
      <c r="N363" s="10">
        <v>1134</v>
      </c>
      <c r="O363" s="10"/>
      <c r="P363" s="10"/>
      <c r="Q363" s="38">
        <f t="shared" si="76"/>
        <v>1134</v>
      </c>
      <c r="R363" s="38">
        <f t="shared" si="77"/>
        <v>2286</v>
      </c>
      <c r="T363" t="s">
        <v>2780</v>
      </c>
    </row>
    <row r="364" spans="1:20" ht="15.75" customHeight="1" x14ac:dyDescent="0.3">
      <c r="A364" s="410" t="s">
        <v>2268</v>
      </c>
      <c r="B364" s="10"/>
      <c r="C364" s="10"/>
      <c r="D364" s="10"/>
      <c r="E364" s="38">
        <f>SUM(B364:D364)</f>
        <v>0</v>
      </c>
      <c r="F364" s="10"/>
      <c r="G364" s="10"/>
      <c r="H364" s="10"/>
      <c r="I364" s="38">
        <f>SUM(F364:H364)</f>
        <v>0</v>
      </c>
      <c r="J364" s="10"/>
      <c r="K364" s="10"/>
      <c r="L364" s="10"/>
      <c r="M364" s="38">
        <f>SUM(J364:L364)</f>
        <v>0</v>
      </c>
      <c r="N364" s="10"/>
      <c r="O364" s="10"/>
      <c r="P364" s="10"/>
      <c r="Q364" s="38">
        <f>SUM(N364:P364)</f>
        <v>0</v>
      </c>
      <c r="R364" s="38">
        <f>+E364+I364+M364+Q364</f>
        <v>0</v>
      </c>
      <c r="T364" t="s">
        <v>1358</v>
      </c>
    </row>
    <row r="365" spans="1:20" ht="15.75" customHeight="1" x14ac:dyDescent="0.3">
      <c r="A365" s="410" t="s">
        <v>2783</v>
      </c>
      <c r="B365" s="172"/>
      <c r="C365" s="172">
        <v>501</v>
      </c>
      <c r="D365" s="172">
        <v>1144</v>
      </c>
      <c r="E365" s="38">
        <f t="shared" si="73"/>
        <v>1645</v>
      </c>
      <c r="F365" s="172">
        <v>1076</v>
      </c>
      <c r="G365" s="172">
        <v>1149</v>
      </c>
      <c r="H365" s="172">
        <v>798</v>
      </c>
      <c r="I365" s="38">
        <f t="shared" si="74"/>
        <v>3023</v>
      </c>
      <c r="J365" s="172"/>
      <c r="K365" s="172"/>
      <c r="L365" s="172"/>
      <c r="M365" s="38">
        <f t="shared" si="75"/>
        <v>0</v>
      </c>
      <c r="N365" s="172"/>
      <c r="O365" s="172"/>
      <c r="P365" s="172"/>
      <c r="Q365" s="38">
        <f t="shared" si="76"/>
        <v>0</v>
      </c>
      <c r="R365" s="38">
        <f t="shared" si="77"/>
        <v>4668</v>
      </c>
      <c r="T365" t="s">
        <v>2780</v>
      </c>
    </row>
    <row r="366" spans="1:20" ht="15.75" customHeight="1" x14ac:dyDescent="0.3">
      <c r="A366" s="410" t="s">
        <v>2784</v>
      </c>
      <c r="B366" s="172"/>
      <c r="C366" s="172"/>
      <c r="D366" s="172"/>
      <c r="E366" s="38">
        <f t="shared" si="73"/>
        <v>0</v>
      </c>
      <c r="F366" s="172"/>
      <c r="G366" s="172"/>
      <c r="H366" s="172"/>
      <c r="I366" s="38">
        <f t="shared" si="74"/>
        <v>0</v>
      </c>
      <c r="J366" s="172"/>
      <c r="K366" s="172"/>
      <c r="L366" s="172"/>
      <c r="M366" s="38">
        <f t="shared" si="75"/>
        <v>0</v>
      </c>
      <c r="N366" s="172"/>
      <c r="O366" s="172"/>
      <c r="P366" s="172"/>
      <c r="Q366" s="38">
        <f t="shared" si="76"/>
        <v>0</v>
      </c>
      <c r="R366" s="38">
        <f t="shared" si="77"/>
        <v>0</v>
      </c>
      <c r="T366" t="s">
        <v>1358</v>
      </c>
    </row>
    <row r="367" spans="1:20" ht="15.75" customHeight="1" x14ac:dyDescent="0.3">
      <c r="A367" s="256" t="s">
        <v>101</v>
      </c>
      <c r="B367" s="172"/>
      <c r="C367" s="172"/>
      <c r="D367" s="172"/>
      <c r="E367" s="38">
        <f t="shared" si="73"/>
        <v>0</v>
      </c>
      <c r="F367" s="172"/>
      <c r="G367" s="172">
        <v>2622</v>
      </c>
      <c r="H367" s="172"/>
      <c r="I367" s="38">
        <f t="shared" si="74"/>
        <v>2622</v>
      </c>
      <c r="J367" s="172"/>
      <c r="K367" s="172"/>
      <c r="L367" s="172"/>
      <c r="M367" s="38">
        <f t="shared" si="75"/>
        <v>0</v>
      </c>
      <c r="N367" s="172"/>
      <c r="O367" s="172"/>
      <c r="P367" s="172"/>
      <c r="Q367" s="38">
        <f t="shared" si="76"/>
        <v>0</v>
      </c>
      <c r="R367" s="38">
        <f t="shared" si="77"/>
        <v>2622</v>
      </c>
    </row>
    <row r="368" spans="1:20" ht="15.75" customHeight="1" thickBot="1" x14ac:dyDescent="0.35">
      <c r="A368" s="256" t="s">
        <v>2717</v>
      </c>
      <c r="B368" s="172">
        <v>1047</v>
      </c>
      <c r="C368" s="172">
        <v>0</v>
      </c>
      <c r="D368" s="172">
        <v>0</v>
      </c>
      <c r="E368" s="38">
        <f>SUM(B368:D368)</f>
        <v>1047</v>
      </c>
      <c r="F368" s="172">
        <v>3823</v>
      </c>
      <c r="G368" s="172">
        <v>2000</v>
      </c>
      <c r="H368" s="172">
        <v>5130</v>
      </c>
      <c r="I368" s="38">
        <f>SUM(F368:H368)</f>
        <v>10953</v>
      </c>
      <c r="J368" s="172">
        <v>2000</v>
      </c>
      <c r="K368" s="172">
        <v>2000</v>
      </c>
      <c r="L368" s="172">
        <v>1421</v>
      </c>
      <c r="M368" s="38">
        <f>SUM(J368:L368)</f>
        <v>5421</v>
      </c>
      <c r="N368" s="172">
        <v>2395</v>
      </c>
      <c r="O368" s="172">
        <v>1849</v>
      </c>
      <c r="P368" s="172">
        <v>3335</v>
      </c>
      <c r="Q368" s="38">
        <f>SUM(N368:P368)</f>
        <v>7579</v>
      </c>
      <c r="R368" s="38">
        <f t="shared" si="77"/>
        <v>25000</v>
      </c>
    </row>
    <row r="369" spans="1:20" ht="16.5" customHeight="1" thickBot="1" x14ac:dyDescent="0.35">
      <c r="A369" s="277" t="s">
        <v>1220</v>
      </c>
      <c r="B369" s="47">
        <f>SUM(B337:B368)</f>
        <v>5678</v>
      </c>
      <c r="C369" s="42">
        <f>SUM(C337:C368)</f>
        <v>8030</v>
      </c>
      <c r="D369" s="42">
        <f>SUM(D337:D368)</f>
        <v>17715</v>
      </c>
      <c r="E369" s="37">
        <f t="shared" si="73"/>
        <v>31423</v>
      </c>
      <c r="F369" s="42">
        <f>SUM(F337:F368)</f>
        <v>38273</v>
      </c>
      <c r="G369" s="42">
        <f>SUM(G337:G368)</f>
        <v>49862</v>
      </c>
      <c r="H369" s="42">
        <f>SUM(H337:H368)</f>
        <v>49542</v>
      </c>
      <c r="I369" s="37">
        <f t="shared" si="74"/>
        <v>137677</v>
      </c>
      <c r="J369" s="42">
        <f>SUM(J337:J368)</f>
        <v>50809</v>
      </c>
      <c r="K369" s="42">
        <f>SUM(K337:K368)</f>
        <v>46994</v>
      </c>
      <c r="L369" s="42">
        <f>SUM(L337:L368)</f>
        <v>25805</v>
      </c>
      <c r="M369" s="37">
        <f t="shared" si="75"/>
        <v>123608</v>
      </c>
      <c r="N369" s="42">
        <f>SUM(N337:N368)</f>
        <v>26427</v>
      </c>
      <c r="O369" s="42">
        <f>SUM(O337:O368)</f>
        <v>7948</v>
      </c>
      <c r="P369" s="42">
        <f>SUM(P337:P368)</f>
        <v>17991</v>
      </c>
      <c r="Q369" s="37">
        <f t="shared" si="76"/>
        <v>52366</v>
      </c>
      <c r="R369" s="37">
        <f>+E369+I369+M369+Q369</f>
        <v>345074</v>
      </c>
      <c r="T369" s="230"/>
    </row>
    <row r="370" spans="1:20" ht="15.75" customHeight="1" x14ac:dyDescent="0.3">
      <c r="A370" s="234" t="s">
        <v>1712</v>
      </c>
      <c r="B370" s="172"/>
      <c r="C370" s="172"/>
      <c r="D370" s="172"/>
      <c r="E370" s="38" t="s">
        <v>852</v>
      </c>
      <c r="F370" s="172"/>
      <c r="G370" s="172"/>
      <c r="H370" s="172"/>
      <c r="I370" s="38" t="s">
        <v>852</v>
      </c>
      <c r="J370" s="172"/>
      <c r="K370" s="172"/>
      <c r="L370" s="172"/>
      <c r="M370" s="38" t="s">
        <v>852</v>
      </c>
      <c r="N370" s="172"/>
      <c r="O370" s="172"/>
      <c r="P370" s="172"/>
      <c r="Q370" s="38" t="s">
        <v>852</v>
      </c>
      <c r="R370" s="38" t="s">
        <v>852</v>
      </c>
    </row>
    <row r="371" spans="1:20" ht="15.75" customHeight="1" x14ac:dyDescent="0.3">
      <c r="A371" s="234" t="s">
        <v>1021</v>
      </c>
      <c r="B371" s="172"/>
      <c r="C371" s="172"/>
      <c r="D371" s="172"/>
      <c r="E371" s="38" t="s">
        <v>852</v>
      </c>
      <c r="F371" s="172"/>
      <c r="G371" s="172"/>
      <c r="H371" s="172"/>
      <c r="I371" s="38" t="s">
        <v>852</v>
      </c>
      <c r="J371" s="172"/>
      <c r="K371" s="172"/>
      <c r="L371" s="172"/>
      <c r="M371" s="38" t="s">
        <v>852</v>
      </c>
      <c r="N371" s="172"/>
      <c r="O371" s="172"/>
      <c r="P371" s="172"/>
      <c r="Q371" s="38" t="s">
        <v>852</v>
      </c>
      <c r="R371" s="38" t="s">
        <v>852</v>
      </c>
    </row>
    <row r="372" spans="1:20" ht="15.75" customHeight="1" x14ac:dyDescent="0.3">
      <c r="A372" s="410" t="s">
        <v>2746</v>
      </c>
      <c r="B372" s="172"/>
      <c r="C372" s="172"/>
      <c r="D372" s="172"/>
      <c r="E372" s="38">
        <f>SUM(B372:D372)</f>
        <v>0</v>
      </c>
      <c r="F372" s="172"/>
      <c r="G372" s="172"/>
      <c r="H372" s="172"/>
      <c r="I372" s="38">
        <f>SUM(F372:H372)</f>
        <v>0</v>
      </c>
      <c r="J372" s="172"/>
      <c r="K372" s="172"/>
      <c r="L372" s="172"/>
      <c r="M372" s="38">
        <f>SUM(J372:L372)</f>
        <v>0</v>
      </c>
      <c r="N372" s="172"/>
      <c r="O372" s="172"/>
      <c r="P372" s="172"/>
      <c r="Q372" s="38">
        <f>SUM(N372:P372)</f>
        <v>0</v>
      </c>
      <c r="R372" s="38">
        <f>+E372+I372+M372+Q372</f>
        <v>0</v>
      </c>
    </row>
    <row r="373" spans="1:20" ht="15.75" customHeight="1" x14ac:dyDescent="0.3">
      <c r="A373" s="234" t="s">
        <v>557</v>
      </c>
      <c r="B373" s="172"/>
      <c r="C373" s="172"/>
      <c r="D373" s="172"/>
      <c r="E373" s="38" t="s">
        <v>852</v>
      </c>
      <c r="F373" s="172"/>
      <c r="G373" s="172"/>
      <c r="H373" s="172"/>
      <c r="I373" s="38" t="s">
        <v>852</v>
      </c>
      <c r="J373" s="172"/>
      <c r="K373" s="172"/>
      <c r="L373" s="172"/>
      <c r="M373" s="38" t="s">
        <v>852</v>
      </c>
      <c r="N373" s="172"/>
      <c r="O373" s="172"/>
      <c r="P373" s="172"/>
      <c r="Q373" s="38" t="s">
        <v>852</v>
      </c>
      <c r="R373" s="38" t="s">
        <v>852</v>
      </c>
    </row>
    <row r="374" spans="1:20" ht="15.75" customHeight="1" x14ac:dyDescent="0.3">
      <c r="A374" s="410" t="s">
        <v>2566</v>
      </c>
      <c r="B374" s="172"/>
      <c r="C374" s="172"/>
      <c r="D374" s="172"/>
      <c r="E374" s="38">
        <f>SUM(B374:D374)</f>
        <v>0</v>
      </c>
      <c r="F374" s="172"/>
      <c r="G374" s="172"/>
      <c r="H374" s="172"/>
      <c r="I374" s="38">
        <f>SUM(F374:H374)</f>
        <v>0</v>
      </c>
      <c r="J374" s="172"/>
      <c r="K374" s="172"/>
      <c r="L374" s="172"/>
      <c r="M374" s="38">
        <f>SUM(J374:L374)</f>
        <v>0</v>
      </c>
      <c r="N374" s="172"/>
      <c r="O374" s="172"/>
      <c r="P374" s="172"/>
      <c r="Q374" s="38">
        <f>SUM(N374:P374)</f>
        <v>0</v>
      </c>
      <c r="R374" s="38">
        <f>+E374+I374+M374+Q374</f>
        <v>0</v>
      </c>
    </row>
    <row r="375" spans="1:20" ht="15.75" customHeight="1" x14ac:dyDescent="0.3">
      <c r="A375" s="410" t="s">
        <v>2657</v>
      </c>
      <c r="B375" s="172"/>
      <c r="C375" s="172"/>
      <c r="D375" s="172"/>
      <c r="E375" s="38">
        <f>SUM(B375:D375)</f>
        <v>0</v>
      </c>
      <c r="F375" s="172"/>
      <c r="G375" s="172"/>
      <c r="H375" s="172"/>
      <c r="I375" s="38">
        <f>SUM(F375:H375)</f>
        <v>0</v>
      </c>
      <c r="J375" s="172"/>
      <c r="K375" s="172">
        <v>300</v>
      </c>
      <c r="L375" s="172">
        <v>1000</v>
      </c>
      <c r="M375" s="38">
        <f>SUM(J375:L375)</f>
        <v>1300</v>
      </c>
      <c r="N375" s="172">
        <v>907</v>
      </c>
      <c r="O375" s="172">
        <v>1313</v>
      </c>
      <c r="P375" s="172">
        <v>1337</v>
      </c>
      <c r="Q375" s="38">
        <f>SUM(N375:P375)</f>
        <v>3557</v>
      </c>
      <c r="R375" s="38">
        <f>+E375+I375+M375+Q375</f>
        <v>4857</v>
      </c>
    </row>
    <row r="376" spans="1:20" ht="15.75" customHeight="1" x14ac:dyDescent="0.3">
      <c r="A376" s="234" t="s">
        <v>1022</v>
      </c>
      <c r="B376" s="172"/>
      <c r="C376" s="172"/>
      <c r="D376" s="172"/>
      <c r="E376" s="38" t="s">
        <v>852</v>
      </c>
      <c r="F376" s="172"/>
      <c r="G376" s="172"/>
      <c r="H376" s="172"/>
      <c r="I376" s="38" t="s">
        <v>852</v>
      </c>
      <c r="J376" s="172"/>
      <c r="K376" s="172"/>
      <c r="L376" s="172"/>
      <c r="M376" s="38" t="s">
        <v>852</v>
      </c>
      <c r="N376" s="172"/>
      <c r="O376" s="172"/>
      <c r="P376" s="172"/>
      <c r="Q376" s="38" t="s">
        <v>852</v>
      </c>
      <c r="R376" s="38" t="s">
        <v>852</v>
      </c>
    </row>
    <row r="377" spans="1:20" ht="15.75" customHeight="1" x14ac:dyDescent="0.3">
      <c r="A377" s="256" t="s">
        <v>2486</v>
      </c>
      <c r="B377" s="172"/>
      <c r="C377" s="172"/>
      <c r="D377" s="172"/>
      <c r="E377" s="38">
        <f t="shared" ref="E377:E382" si="78">SUM(B377:D377)</f>
        <v>0</v>
      </c>
      <c r="F377" s="172"/>
      <c r="G377" s="172"/>
      <c r="H377" s="172"/>
      <c r="I377" s="38">
        <f t="shared" ref="I377:I382" si="79">SUM(F377:H377)</f>
        <v>0</v>
      </c>
      <c r="J377" s="172"/>
      <c r="K377" s="172"/>
      <c r="L377" s="172"/>
      <c r="M377" s="38">
        <f t="shared" ref="M377:M382" si="80">SUM(J377:L377)</f>
        <v>0</v>
      </c>
      <c r="N377" s="172"/>
      <c r="O377" s="172"/>
      <c r="P377" s="172"/>
      <c r="Q377" s="38">
        <f t="shared" ref="Q377:Q382" si="81">SUM(N377:P377)</f>
        <v>0</v>
      </c>
      <c r="R377" s="38">
        <f t="shared" ref="R377:R382" si="82">+E377+I377+M377+Q377</f>
        <v>0</v>
      </c>
      <c r="T377" t="s">
        <v>2178</v>
      </c>
    </row>
    <row r="378" spans="1:20" ht="15.75" customHeight="1" x14ac:dyDescent="0.3">
      <c r="A378" s="311" t="s">
        <v>1374</v>
      </c>
      <c r="B378" s="10"/>
      <c r="C378" s="10"/>
      <c r="D378" s="10"/>
      <c r="E378" s="38">
        <f t="shared" si="78"/>
        <v>0</v>
      </c>
      <c r="F378" s="10"/>
      <c r="G378" s="10"/>
      <c r="H378" s="10"/>
      <c r="I378" s="38">
        <f t="shared" si="79"/>
        <v>0</v>
      </c>
      <c r="J378" s="10"/>
      <c r="K378" s="10">
        <v>0</v>
      </c>
      <c r="L378" s="10">
        <v>435</v>
      </c>
      <c r="M378" s="38">
        <f t="shared" si="80"/>
        <v>435</v>
      </c>
      <c r="N378" s="10">
        <v>1889</v>
      </c>
      <c r="O378" s="10">
        <v>2593</v>
      </c>
      <c r="P378" s="10">
        <v>1380</v>
      </c>
      <c r="Q378" s="38">
        <f t="shared" si="81"/>
        <v>5862</v>
      </c>
      <c r="R378" s="38">
        <f t="shared" si="82"/>
        <v>6297</v>
      </c>
      <c r="T378" t="s">
        <v>2178</v>
      </c>
    </row>
    <row r="379" spans="1:20" ht="15.75" customHeight="1" x14ac:dyDescent="0.3">
      <c r="A379" s="256" t="s">
        <v>1866</v>
      </c>
      <c r="B379" s="172"/>
      <c r="C379" s="172"/>
      <c r="D379" s="172"/>
      <c r="E379" s="38">
        <f t="shared" si="78"/>
        <v>0</v>
      </c>
      <c r="F379" s="172"/>
      <c r="G379" s="172"/>
      <c r="H379" s="172">
        <v>1000</v>
      </c>
      <c r="I379" s="38">
        <f t="shared" si="79"/>
        <v>1000</v>
      </c>
      <c r="J379" s="172"/>
      <c r="K379" s="172"/>
      <c r="L379" s="172"/>
      <c r="M379" s="38">
        <f t="shared" si="80"/>
        <v>0</v>
      </c>
      <c r="N379" s="172"/>
      <c r="O379" s="172"/>
      <c r="P379" s="172"/>
      <c r="Q379" s="38">
        <f t="shared" si="81"/>
        <v>0</v>
      </c>
      <c r="R379" s="38">
        <f t="shared" si="82"/>
        <v>1000</v>
      </c>
      <c r="T379" t="s">
        <v>2175</v>
      </c>
    </row>
    <row r="380" spans="1:20" ht="15.75" customHeight="1" x14ac:dyDescent="0.3">
      <c r="A380" s="256" t="s">
        <v>2340</v>
      </c>
      <c r="B380" s="172"/>
      <c r="C380" s="172"/>
      <c r="D380" s="172"/>
      <c r="E380" s="38">
        <f t="shared" si="78"/>
        <v>0</v>
      </c>
      <c r="F380" s="172"/>
      <c r="G380" s="172"/>
      <c r="H380" s="172"/>
      <c r="I380" s="38">
        <f t="shared" si="79"/>
        <v>0</v>
      </c>
      <c r="J380" s="172"/>
      <c r="K380" s="172"/>
      <c r="L380" s="172"/>
      <c r="M380" s="38">
        <f t="shared" si="80"/>
        <v>0</v>
      </c>
      <c r="N380" s="172"/>
      <c r="O380" s="172"/>
      <c r="P380" s="172"/>
      <c r="Q380" s="38">
        <f t="shared" si="81"/>
        <v>0</v>
      </c>
      <c r="R380" s="38">
        <f t="shared" si="82"/>
        <v>0</v>
      </c>
    </row>
    <row r="381" spans="1:20" ht="15.75" customHeight="1" x14ac:dyDescent="0.3">
      <c r="A381" s="311" t="s">
        <v>1376</v>
      </c>
      <c r="B381" s="10"/>
      <c r="C381" s="10"/>
      <c r="D381" s="10"/>
      <c r="E381" s="38">
        <f t="shared" si="78"/>
        <v>0</v>
      </c>
      <c r="F381" s="10"/>
      <c r="G381" s="10"/>
      <c r="H381" s="10"/>
      <c r="I381" s="38">
        <f t="shared" si="79"/>
        <v>0</v>
      </c>
      <c r="J381" s="10"/>
      <c r="K381" s="10"/>
      <c r="L381" s="10"/>
      <c r="M381" s="38">
        <f t="shared" si="80"/>
        <v>0</v>
      </c>
      <c r="N381" s="10"/>
      <c r="O381" s="10"/>
      <c r="P381" s="10"/>
      <c r="Q381" s="38">
        <f t="shared" si="81"/>
        <v>0</v>
      </c>
      <c r="R381" s="38">
        <f t="shared" si="82"/>
        <v>0</v>
      </c>
    </row>
    <row r="382" spans="1:20" ht="15.75" customHeight="1" x14ac:dyDescent="0.3">
      <c r="A382" s="311" t="s">
        <v>1227</v>
      </c>
      <c r="B382" s="10"/>
      <c r="C382" s="10"/>
      <c r="D382" s="10"/>
      <c r="E382" s="38">
        <f t="shared" si="78"/>
        <v>0</v>
      </c>
      <c r="F382" s="10"/>
      <c r="G382" s="10"/>
      <c r="H382" s="10"/>
      <c r="I382" s="38">
        <f t="shared" si="79"/>
        <v>0</v>
      </c>
      <c r="J382" s="10"/>
      <c r="K382" s="10"/>
      <c r="L382" s="10"/>
      <c r="M382" s="38">
        <f t="shared" si="80"/>
        <v>0</v>
      </c>
      <c r="N382" s="10"/>
      <c r="O382" s="10"/>
      <c r="P382" s="10"/>
      <c r="Q382" s="38">
        <f t="shared" si="81"/>
        <v>0</v>
      </c>
      <c r="R382" s="38">
        <f t="shared" si="82"/>
        <v>0</v>
      </c>
      <c r="T382" t="s">
        <v>2178</v>
      </c>
    </row>
    <row r="383" spans="1:20" ht="15.75" customHeight="1" x14ac:dyDescent="0.3">
      <c r="A383" s="234" t="s">
        <v>559</v>
      </c>
      <c r="B383" s="172"/>
      <c r="C383" s="172"/>
      <c r="D383" s="172"/>
      <c r="E383" s="38" t="s">
        <v>852</v>
      </c>
      <c r="F383" s="172"/>
      <c r="G383" s="172"/>
      <c r="H383" s="172"/>
      <c r="I383" s="38" t="s">
        <v>852</v>
      </c>
      <c r="J383" s="172"/>
      <c r="K383" s="172"/>
      <c r="L383" s="172"/>
      <c r="M383" s="38" t="s">
        <v>852</v>
      </c>
      <c r="N383" s="172"/>
      <c r="O383" s="172"/>
      <c r="P383" s="172"/>
      <c r="Q383" s="38" t="s">
        <v>852</v>
      </c>
      <c r="R383" s="38" t="s">
        <v>852</v>
      </c>
    </row>
    <row r="384" spans="1:20" ht="15.75" customHeight="1" x14ac:dyDescent="0.3">
      <c r="A384" s="311" t="s">
        <v>970</v>
      </c>
      <c r="B384" s="172"/>
      <c r="C384" s="172"/>
      <c r="D384" s="172"/>
      <c r="E384" s="38">
        <f>SUM(B384:D384)</f>
        <v>0</v>
      </c>
      <c r="F384" s="172">
        <v>1000</v>
      </c>
      <c r="G384" s="172"/>
      <c r="H384" s="172"/>
      <c r="I384" s="38">
        <f>SUM(F384:H384)</f>
        <v>1000</v>
      </c>
      <c r="J384" s="172"/>
      <c r="K384" s="172"/>
      <c r="L384" s="172"/>
      <c r="M384" s="38">
        <f>SUM(J384:L384)</f>
        <v>0</v>
      </c>
      <c r="N384" s="172"/>
      <c r="O384" s="172"/>
      <c r="P384" s="172"/>
      <c r="Q384" s="38">
        <f>SUM(N384:P384)</f>
        <v>0</v>
      </c>
      <c r="R384" s="38">
        <f>+E384+I384+M384+Q384</f>
        <v>1000</v>
      </c>
      <c r="T384" t="s">
        <v>2176</v>
      </c>
    </row>
    <row r="385" spans="1:20" ht="15.75" customHeight="1" x14ac:dyDescent="0.3">
      <c r="A385" s="410" t="s">
        <v>2831</v>
      </c>
      <c r="B385" s="10"/>
      <c r="C385" s="10"/>
      <c r="D385" s="10"/>
      <c r="E385" s="38">
        <f>SUM(B385:D385)</f>
        <v>0</v>
      </c>
      <c r="F385" s="10"/>
      <c r="G385" s="10"/>
      <c r="H385" s="10"/>
      <c r="I385" s="38">
        <f>SUM(F385:H385)</f>
        <v>0</v>
      </c>
      <c r="J385" s="10"/>
      <c r="K385" s="10"/>
      <c r="L385" s="10"/>
      <c r="M385" s="38">
        <f>SUM(J385:L385)</f>
        <v>0</v>
      </c>
      <c r="N385" s="10"/>
      <c r="O385" s="10"/>
      <c r="P385" s="10"/>
      <c r="Q385" s="38">
        <f>SUM(N385:P385)</f>
        <v>0</v>
      </c>
      <c r="R385" s="38">
        <f>+E385+I385+M385+Q385</f>
        <v>0</v>
      </c>
      <c r="T385" t="s">
        <v>2174</v>
      </c>
    </row>
    <row r="386" spans="1:20" ht="15.75" customHeight="1" x14ac:dyDescent="0.3">
      <c r="A386" s="410" t="s">
        <v>2832</v>
      </c>
      <c r="B386" s="172"/>
      <c r="C386" s="172"/>
      <c r="D386" s="172"/>
      <c r="E386" s="38">
        <f>SUM(B386:D386)</f>
        <v>0</v>
      </c>
      <c r="F386" s="172"/>
      <c r="G386" s="172"/>
      <c r="H386" s="172"/>
      <c r="I386" s="38">
        <f>SUM(F386:H386)</f>
        <v>0</v>
      </c>
      <c r="J386" s="172"/>
      <c r="K386" s="172"/>
      <c r="L386" s="172"/>
      <c r="M386" s="38">
        <f>SUM(J386:L386)</f>
        <v>0</v>
      </c>
      <c r="N386" s="172"/>
      <c r="O386" s="172"/>
      <c r="P386" s="172"/>
      <c r="Q386" s="38">
        <f>SUM(N386:P386)</f>
        <v>0</v>
      </c>
      <c r="R386" s="38">
        <f>+E386+I386+M386+Q386</f>
        <v>0</v>
      </c>
      <c r="T386" t="s">
        <v>2174</v>
      </c>
    </row>
    <row r="387" spans="1:20" ht="15.75" customHeight="1" x14ac:dyDescent="0.3">
      <c r="A387" s="410" t="s">
        <v>2569</v>
      </c>
      <c r="B387" s="172"/>
      <c r="C387" s="172"/>
      <c r="D387" s="172"/>
      <c r="E387" s="38">
        <f>SUM(B387:D387)</f>
        <v>0</v>
      </c>
      <c r="F387" s="172"/>
      <c r="G387" s="172"/>
      <c r="H387" s="172"/>
      <c r="I387" s="38">
        <f>SUM(F387:H387)</f>
        <v>0</v>
      </c>
      <c r="J387" s="172"/>
      <c r="K387" s="172"/>
      <c r="L387" s="172"/>
      <c r="M387" s="38">
        <f>SUM(J387:L387)</f>
        <v>0</v>
      </c>
      <c r="N387" s="172"/>
      <c r="O387" s="172"/>
      <c r="P387" s="172"/>
      <c r="Q387" s="38">
        <f>SUM(N387:P387)</f>
        <v>0</v>
      </c>
      <c r="R387" s="38">
        <f>+E387+I387+M387+Q387</f>
        <v>0</v>
      </c>
    </row>
    <row r="388" spans="1:20" ht="15.75" customHeight="1" x14ac:dyDescent="0.3">
      <c r="A388" s="410" t="s">
        <v>2570</v>
      </c>
      <c r="B388" s="172"/>
      <c r="C388" s="172"/>
      <c r="D388" s="172"/>
      <c r="E388" s="38">
        <f t="shared" ref="E388:E398" si="83">SUM(B388:D388)</f>
        <v>0</v>
      </c>
      <c r="F388" s="172"/>
      <c r="G388" s="172">
        <v>1400</v>
      </c>
      <c r="H388" s="172"/>
      <c r="I388" s="38">
        <f t="shared" ref="I388:I398" si="84">SUM(F388:H388)</f>
        <v>1400</v>
      </c>
      <c r="J388" s="172">
        <v>1000</v>
      </c>
      <c r="K388" s="172">
        <v>2200</v>
      </c>
      <c r="L388" s="172"/>
      <c r="M388" s="38">
        <f t="shared" ref="M388:M398" si="85">SUM(J388:L388)</f>
        <v>3200</v>
      </c>
      <c r="N388" s="172">
        <v>1000</v>
      </c>
      <c r="O388" s="172">
        <v>600</v>
      </c>
      <c r="P388" s="172">
        <v>133</v>
      </c>
      <c r="Q388" s="38">
        <f t="shared" ref="Q388:Q398" si="86">SUM(N388:P388)</f>
        <v>1733</v>
      </c>
      <c r="R388" s="38">
        <f t="shared" ref="R388:R398" si="87">+E388+I388+M388+Q388</f>
        <v>6333</v>
      </c>
    </row>
    <row r="389" spans="1:20" ht="15.75" customHeight="1" x14ac:dyDescent="0.3">
      <c r="A389" s="410" t="s">
        <v>2571</v>
      </c>
      <c r="B389" s="172"/>
      <c r="C389" s="172"/>
      <c r="D389" s="172"/>
      <c r="E389" s="38">
        <f>SUM(B389:D389)</f>
        <v>0</v>
      </c>
      <c r="F389" s="172"/>
      <c r="G389" s="172"/>
      <c r="H389" s="172"/>
      <c r="I389" s="38">
        <f>SUM(F389:H389)</f>
        <v>0</v>
      </c>
      <c r="J389" s="172"/>
      <c r="K389" s="172"/>
      <c r="L389" s="172"/>
      <c r="M389" s="38">
        <f>SUM(J389:L389)</f>
        <v>0</v>
      </c>
      <c r="N389" s="172"/>
      <c r="O389" s="172"/>
      <c r="P389" s="172"/>
      <c r="Q389" s="38">
        <f>SUM(N389:P389)</f>
        <v>0</v>
      </c>
      <c r="R389" s="38">
        <f>+E389+I389+M389+Q389</f>
        <v>0</v>
      </c>
    </row>
    <row r="390" spans="1:20" ht="15.75" customHeight="1" x14ac:dyDescent="0.3">
      <c r="A390" s="410" t="s">
        <v>2572</v>
      </c>
      <c r="B390" s="10">
        <v>510</v>
      </c>
      <c r="C390" s="10">
        <v>3140</v>
      </c>
      <c r="D390" s="10">
        <v>2350</v>
      </c>
      <c r="E390" s="38">
        <f>SUM(B390:D390)</f>
        <v>6000</v>
      </c>
      <c r="F390" s="10"/>
      <c r="G390" s="10">
        <v>600</v>
      </c>
      <c r="H390" s="10"/>
      <c r="I390" s="38">
        <f>SUM(F390:H390)</f>
        <v>600</v>
      </c>
      <c r="J390" s="10"/>
      <c r="K390" s="10"/>
      <c r="L390" s="10"/>
      <c r="M390" s="38">
        <f>SUM(J390:L390)</f>
        <v>0</v>
      </c>
      <c r="N390" s="172"/>
      <c r="O390" s="172"/>
      <c r="P390" s="172"/>
      <c r="Q390" s="38">
        <f>SUM(N390:P390)</f>
        <v>0</v>
      </c>
      <c r="R390" s="38">
        <f>+E390+I390+M390+Q390</f>
        <v>6600</v>
      </c>
      <c r="T390" t="s">
        <v>2174</v>
      </c>
    </row>
    <row r="391" spans="1:20" ht="15.75" customHeight="1" x14ac:dyDescent="0.3">
      <c r="A391" s="410" t="s">
        <v>2573</v>
      </c>
      <c r="B391" s="10"/>
      <c r="C391" s="10"/>
      <c r="D391" s="10"/>
      <c r="E391" s="38">
        <f>SUM(B391:D391)</f>
        <v>0</v>
      </c>
      <c r="F391" s="10"/>
      <c r="G391" s="10"/>
      <c r="H391" s="10"/>
      <c r="I391" s="38">
        <f>SUM(F391:H391)</f>
        <v>0</v>
      </c>
      <c r="J391" s="10"/>
      <c r="K391" s="10"/>
      <c r="L391" s="10"/>
      <c r="M391" s="38">
        <f>SUM(J391:L391)</f>
        <v>0</v>
      </c>
      <c r="N391" s="172"/>
      <c r="O391" s="172"/>
      <c r="P391" s="172"/>
      <c r="Q391" s="38">
        <f>SUM(N391:P391)</f>
        <v>0</v>
      </c>
      <c r="R391" s="38">
        <f>+E391+I391+M391+Q391</f>
        <v>0</v>
      </c>
    </row>
    <row r="392" spans="1:20" ht="15.75" customHeight="1" thickBot="1" x14ac:dyDescent="0.35">
      <c r="A392" s="410" t="s">
        <v>2574</v>
      </c>
      <c r="B392" s="10"/>
      <c r="C392" s="10"/>
      <c r="D392" s="10"/>
      <c r="E392" s="38">
        <f>SUM(B392:D392)</f>
        <v>0</v>
      </c>
      <c r="F392" s="10"/>
      <c r="G392" s="10"/>
      <c r="H392" s="10"/>
      <c r="I392" s="38">
        <f>SUM(F392:H392)</f>
        <v>0</v>
      </c>
      <c r="J392" s="10"/>
      <c r="K392" s="10"/>
      <c r="L392" s="10"/>
      <c r="M392" s="38">
        <f>SUM(J392:L392)</f>
        <v>0</v>
      </c>
      <c r="N392" s="10">
        <v>448</v>
      </c>
      <c r="O392" s="10">
        <v>987</v>
      </c>
      <c r="P392" s="10">
        <v>574</v>
      </c>
      <c r="Q392" s="38">
        <f>SUM(N392:P392)</f>
        <v>2009</v>
      </c>
      <c r="R392" s="38">
        <f>+E392+I392+M392+Q392</f>
        <v>2009</v>
      </c>
      <c r="T392" t="s">
        <v>2175</v>
      </c>
    </row>
    <row r="393" spans="1:20" ht="16.5" customHeight="1" thickBot="1" x14ac:dyDescent="0.35">
      <c r="A393" s="43" t="s">
        <v>1019</v>
      </c>
      <c r="B393" s="42">
        <f>SUM(B376:B392)</f>
        <v>510</v>
      </c>
      <c r="C393" s="42">
        <f>SUM(C376:C392)</f>
        <v>3140</v>
      </c>
      <c r="D393" s="42">
        <f>SUM(D376:D392)</f>
        <v>2350</v>
      </c>
      <c r="E393" s="39">
        <f t="shared" si="83"/>
        <v>6000</v>
      </c>
      <c r="F393" s="42">
        <f>SUM(F376:F392)</f>
        <v>1000</v>
      </c>
      <c r="G393" s="42">
        <f>SUM(G376:G392)</f>
        <v>2000</v>
      </c>
      <c r="H393" s="42">
        <f>SUM(H376:H392)</f>
        <v>1000</v>
      </c>
      <c r="I393" s="39">
        <f t="shared" si="84"/>
        <v>4000</v>
      </c>
      <c r="J393" s="42">
        <f>SUM(J376:J392)</f>
        <v>1000</v>
      </c>
      <c r="K393" s="42">
        <f>SUM(K376:K392)</f>
        <v>2200</v>
      </c>
      <c r="L393" s="42">
        <f>SUM(L376:L392)</f>
        <v>435</v>
      </c>
      <c r="M393" s="39">
        <f t="shared" si="85"/>
        <v>3635</v>
      </c>
      <c r="N393" s="42">
        <f>SUM(N376:N392)</f>
        <v>3337</v>
      </c>
      <c r="O393" s="42">
        <f>SUM(O376:O392)</f>
        <v>4180</v>
      </c>
      <c r="P393" s="42">
        <f>SUM(P376:P392)</f>
        <v>2087</v>
      </c>
      <c r="Q393" s="39">
        <f t="shared" si="86"/>
        <v>9604</v>
      </c>
      <c r="R393" s="37">
        <f t="shared" si="87"/>
        <v>23239</v>
      </c>
    </row>
    <row r="394" spans="1:20" ht="16.5" customHeight="1" thickBot="1" x14ac:dyDescent="0.35">
      <c r="A394" s="277" t="s">
        <v>1221</v>
      </c>
      <c r="B394" s="45">
        <f>SUM(B370:B392)</f>
        <v>510</v>
      </c>
      <c r="C394" s="46">
        <f>SUM(C370:C392)</f>
        <v>3140</v>
      </c>
      <c r="D394" s="58">
        <f>SUM(D370:D392)</f>
        <v>2350</v>
      </c>
      <c r="E394" s="39">
        <f t="shared" si="83"/>
        <v>6000</v>
      </c>
      <c r="F394" s="46">
        <f>SUM(F370:F392)</f>
        <v>1000</v>
      </c>
      <c r="G394" s="46">
        <f>SUM(G370:G392)</f>
        <v>2000</v>
      </c>
      <c r="H394" s="46">
        <f>SUM(H370:H392)</f>
        <v>1000</v>
      </c>
      <c r="I394" s="39">
        <f t="shared" si="84"/>
        <v>4000</v>
      </c>
      <c r="J394" s="46">
        <f>SUM(J370:J392)</f>
        <v>1000</v>
      </c>
      <c r="K394" s="46">
        <f>SUM(K370:K392)</f>
        <v>2500</v>
      </c>
      <c r="L394" s="46">
        <f>SUM(L370:L392)</f>
        <v>1435</v>
      </c>
      <c r="M394" s="39">
        <f t="shared" si="85"/>
        <v>4935</v>
      </c>
      <c r="N394" s="46">
        <f>SUM(N370:N392)</f>
        <v>4244</v>
      </c>
      <c r="O394" s="46">
        <f>SUM(O370:O392)</f>
        <v>5493</v>
      </c>
      <c r="P394" s="46">
        <f>SUM(P370:P392)</f>
        <v>3424</v>
      </c>
      <c r="Q394" s="39">
        <f t="shared" si="86"/>
        <v>13161</v>
      </c>
      <c r="R394" s="37">
        <f t="shared" si="87"/>
        <v>28096</v>
      </c>
    </row>
    <row r="395" spans="1:20" ht="16.5" customHeight="1" thickBot="1" x14ac:dyDescent="0.35">
      <c r="A395" s="43" t="s">
        <v>1222</v>
      </c>
      <c r="B395" s="47">
        <f>+B323+B336+B369+B394</f>
        <v>13813</v>
      </c>
      <c r="C395" s="42">
        <f>+C323+C336+C369+C394</f>
        <v>18351</v>
      </c>
      <c r="D395" s="42">
        <f>+D323+D336+D369+D394</f>
        <v>47522</v>
      </c>
      <c r="E395" s="37">
        <f t="shared" si="83"/>
        <v>79686</v>
      </c>
      <c r="F395" s="42">
        <f>+F323+F336+F369+F394</f>
        <v>79348</v>
      </c>
      <c r="G395" s="42">
        <f>+G323+G336+G369+G394</f>
        <v>89841</v>
      </c>
      <c r="H395" s="42">
        <f>+H323+H336+H369+H394</f>
        <v>106147</v>
      </c>
      <c r="I395" s="37">
        <f t="shared" si="84"/>
        <v>275336</v>
      </c>
      <c r="J395" s="42">
        <f>+J323+J336+J369+J394</f>
        <v>86999</v>
      </c>
      <c r="K395" s="42">
        <f>+K323+K336+K369+K394</f>
        <v>85015</v>
      </c>
      <c r="L395" s="42">
        <f>+L323+L336+L369+L394</f>
        <v>51594</v>
      </c>
      <c r="M395" s="37">
        <f t="shared" si="85"/>
        <v>223608</v>
      </c>
      <c r="N395" s="42">
        <f>+N323+N336+N369+N394</f>
        <v>53535</v>
      </c>
      <c r="O395" s="42">
        <f>+O323+O336+O369+O394</f>
        <v>25386</v>
      </c>
      <c r="P395" s="42">
        <f>+P323+P336+P369+P394</f>
        <v>30810</v>
      </c>
      <c r="Q395" s="37">
        <f t="shared" si="86"/>
        <v>109731</v>
      </c>
      <c r="R395" s="40">
        <f t="shared" si="87"/>
        <v>688361</v>
      </c>
    </row>
    <row r="396" spans="1:20" ht="15.75" customHeight="1" x14ac:dyDescent="0.3">
      <c r="A396" s="539" t="s">
        <v>2273</v>
      </c>
      <c r="B396" s="172"/>
      <c r="C396" s="172"/>
      <c r="D396" s="172"/>
      <c r="E396" s="38">
        <f t="shared" si="83"/>
        <v>0</v>
      </c>
      <c r="F396" s="172"/>
      <c r="G396" s="172"/>
      <c r="H396" s="172"/>
      <c r="I396" s="38">
        <f t="shared" si="84"/>
        <v>0</v>
      </c>
      <c r="J396" s="172"/>
      <c r="K396" s="172"/>
      <c r="L396" s="172"/>
      <c r="M396" s="38">
        <f t="shared" si="85"/>
        <v>0</v>
      </c>
      <c r="N396" s="172"/>
      <c r="O396" s="172"/>
      <c r="P396" s="172"/>
      <c r="Q396" s="38">
        <f t="shared" si="86"/>
        <v>0</v>
      </c>
      <c r="R396" s="38">
        <f t="shared" si="87"/>
        <v>0</v>
      </c>
    </row>
    <row r="397" spans="1:20" ht="15.75" customHeight="1" x14ac:dyDescent="0.3">
      <c r="A397" s="539" t="s">
        <v>2274</v>
      </c>
      <c r="B397" s="172"/>
      <c r="C397" s="172"/>
      <c r="D397" s="172"/>
      <c r="E397" s="38">
        <f t="shared" si="83"/>
        <v>0</v>
      </c>
      <c r="F397" s="172"/>
      <c r="G397" s="172"/>
      <c r="H397" s="172"/>
      <c r="I397" s="38">
        <f t="shared" si="84"/>
        <v>0</v>
      </c>
      <c r="J397" s="172"/>
      <c r="K397" s="172"/>
      <c r="L397" s="172"/>
      <c r="M397" s="38">
        <f t="shared" si="85"/>
        <v>0</v>
      </c>
      <c r="N397" s="172"/>
      <c r="O397" s="172"/>
      <c r="P397" s="172"/>
      <c r="Q397" s="38">
        <f t="shared" si="86"/>
        <v>0</v>
      </c>
      <c r="R397" s="38">
        <f t="shared" si="87"/>
        <v>0</v>
      </c>
    </row>
    <row r="398" spans="1:20" ht="16.5" customHeight="1" thickBot="1" x14ac:dyDescent="0.35">
      <c r="A398" s="257" t="s">
        <v>853</v>
      </c>
      <c r="B398" s="238">
        <v>155</v>
      </c>
      <c r="C398" s="238">
        <v>283</v>
      </c>
      <c r="D398" s="238">
        <v>435</v>
      </c>
      <c r="E398" s="40">
        <f t="shared" si="83"/>
        <v>873</v>
      </c>
      <c r="F398" s="238">
        <v>602</v>
      </c>
      <c r="G398" s="238">
        <v>711</v>
      </c>
      <c r="H398" s="238">
        <v>722</v>
      </c>
      <c r="I398" s="40">
        <f t="shared" si="84"/>
        <v>2035</v>
      </c>
      <c r="J398" s="238">
        <v>686</v>
      </c>
      <c r="K398" s="238">
        <v>519</v>
      </c>
      <c r="L398" s="238">
        <v>531</v>
      </c>
      <c r="M398" s="40">
        <f t="shared" si="85"/>
        <v>1736</v>
      </c>
      <c r="N398" s="238">
        <v>489</v>
      </c>
      <c r="O398" s="238">
        <v>389</v>
      </c>
      <c r="P398" s="238">
        <v>275</v>
      </c>
      <c r="Q398" s="40">
        <f t="shared" si="86"/>
        <v>1153</v>
      </c>
      <c r="R398" s="38">
        <f t="shared" si="87"/>
        <v>5797</v>
      </c>
    </row>
    <row r="399" spans="1:20" ht="16.5" customHeight="1" thickBot="1" x14ac:dyDescent="0.35">
      <c r="A399" s="44"/>
      <c r="B399" s="258"/>
      <c r="C399" s="258"/>
      <c r="D399" s="258"/>
      <c r="E399" s="37"/>
      <c r="F399" s="258"/>
      <c r="G399" s="258"/>
      <c r="H399" s="258"/>
      <c r="I399" s="37"/>
      <c r="J399" s="258"/>
      <c r="K399" s="258"/>
      <c r="L399" s="258"/>
      <c r="M399" s="37"/>
      <c r="N399" s="258"/>
      <c r="O399" s="258"/>
      <c r="P399" s="258"/>
      <c r="Q399" s="37"/>
      <c r="R399" s="37" t="s">
        <v>852</v>
      </c>
    </row>
    <row r="400" spans="1:20" ht="15.75" customHeight="1" x14ac:dyDescent="0.3">
      <c r="A400" s="259" t="s">
        <v>2011</v>
      </c>
      <c r="B400" s="260">
        <f>SUM(B395:B398)</f>
        <v>13968</v>
      </c>
      <c r="C400" s="260">
        <f>SUM(C395:C398)</f>
        <v>18634</v>
      </c>
      <c r="D400" s="260">
        <f>SUM(D395:D398)</f>
        <v>47957</v>
      </c>
      <c r="E400" s="39">
        <f>SUM(B400:D400)</f>
        <v>80559</v>
      </c>
      <c r="F400" s="260">
        <f>SUM(F395:F398)</f>
        <v>79950</v>
      </c>
      <c r="G400" s="260">
        <f>SUM(G395:G398)</f>
        <v>90552</v>
      </c>
      <c r="H400" s="260">
        <f>SUM(H395:H398)</f>
        <v>106869</v>
      </c>
      <c r="I400" s="39">
        <f>SUM(F400:H400)</f>
        <v>277371</v>
      </c>
      <c r="J400" s="260">
        <f>SUM(J395:J398)</f>
        <v>87685</v>
      </c>
      <c r="K400" s="260">
        <f>SUM(K395:K398)</f>
        <v>85534</v>
      </c>
      <c r="L400" s="260">
        <f>SUM(L395:L398)</f>
        <v>52125</v>
      </c>
      <c r="M400" s="39">
        <f>SUM(J400:L400)</f>
        <v>225344</v>
      </c>
      <c r="N400" s="260">
        <f>SUM(N395:N398)</f>
        <v>54024</v>
      </c>
      <c r="O400" s="260">
        <f>SUM(O395:O398)</f>
        <v>25775</v>
      </c>
      <c r="P400" s="260">
        <f>SUM(P395:P398)</f>
        <v>31085</v>
      </c>
      <c r="Q400" s="39">
        <f>SUM(N400:P400)</f>
        <v>110884</v>
      </c>
      <c r="R400" s="39">
        <f>+E400+I400+M400+Q400</f>
        <v>694158</v>
      </c>
    </row>
    <row r="401" spans="1:20" ht="15.75" customHeight="1" x14ac:dyDescent="0.3">
      <c r="A401" s="262" t="s">
        <v>1897</v>
      </c>
      <c r="B401" s="172">
        <f>(B400/B10)/1.983</f>
        <v>227.22170709091793</v>
      </c>
      <c r="C401" s="172">
        <f>(C400/C10)/1.983</f>
        <v>335.60262228946038</v>
      </c>
      <c r="D401" s="172">
        <f>(D400/D10)/1.983</f>
        <v>780.1311144730206</v>
      </c>
      <c r="E401" s="38" t="s">
        <v>852</v>
      </c>
      <c r="F401" s="172">
        <f>(F400/F10)/1.983</f>
        <v>1343.9233484619263</v>
      </c>
      <c r="G401" s="172">
        <f>(G400/G10)/1.983</f>
        <v>1473.0369430481674</v>
      </c>
      <c r="H401" s="172">
        <f>(H400/H10)/1.983</f>
        <v>1796.4195663136661</v>
      </c>
      <c r="I401" s="38" t="s">
        <v>852</v>
      </c>
      <c r="J401" s="172">
        <f>(J400/J10)/1.983</f>
        <v>1426.3985814910611</v>
      </c>
      <c r="K401" s="172">
        <f>(K400/K10)/1.983</f>
        <v>1391.4076098449725</v>
      </c>
      <c r="L401" s="172">
        <f>(L400/L10)/1.983</f>
        <v>876.19768028240037</v>
      </c>
      <c r="M401" s="38" t="s">
        <v>852</v>
      </c>
      <c r="N401" s="172">
        <f>(N400/N10)/1.983</f>
        <v>878.82484993411742</v>
      </c>
      <c r="O401" s="172">
        <f>(O400/O10)/1.983</f>
        <v>433.26609514204063</v>
      </c>
      <c r="P401" s="172">
        <f>(P400/P10)/1.983</f>
        <v>505.6691555642314</v>
      </c>
      <c r="Q401" s="38" t="s">
        <v>852</v>
      </c>
      <c r="R401" s="38" t="s">
        <v>852</v>
      </c>
    </row>
    <row r="402" spans="1:20" ht="15.75" customHeight="1" x14ac:dyDescent="0.3">
      <c r="A402" s="262" t="s">
        <v>2432</v>
      </c>
      <c r="B402" s="172">
        <f>B400+B449</f>
        <v>30420</v>
      </c>
      <c r="C402" s="172">
        <f>C400+C449</f>
        <v>36991</v>
      </c>
      <c r="D402" s="172">
        <f>D400+D449</f>
        <v>78562</v>
      </c>
      <c r="E402" s="38">
        <f>SUM(B402:D402)</f>
        <v>145973</v>
      </c>
      <c r="F402" s="172">
        <f>F400+F449</f>
        <v>131576</v>
      </c>
      <c r="G402" s="172">
        <f>G400+G449</f>
        <v>131462</v>
      </c>
      <c r="H402" s="172">
        <f>H400+H449</f>
        <v>158659</v>
      </c>
      <c r="I402" s="38">
        <f>SUM(F402:H402)</f>
        <v>421697</v>
      </c>
      <c r="J402" s="172">
        <f>J400+J449</f>
        <v>131606</v>
      </c>
      <c r="K402" s="172">
        <f>K400+K449</f>
        <v>134898</v>
      </c>
      <c r="L402" s="172">
        <f>L400+L449</f>
        <v>83975</v>
      </c>
      <c r="M402" s="38">
        <f>SUM(J402:L402)</f>
        <v>350479</v>
      </c>
      <c r="N402" s="172">
        <f>N400+N449</f>
        <v>69835</v>
      </c>
      <c r="O402" s="172">
        <f>O400+O449</f>
        <v>35227</v>
      </c>
      <c r="P402" s="172">
        <f>P400+P449</f>
        <v>51905</v>
      </c>
      <c r="Q402" s="38">
        <f>SUM(N402:P402)</f>
        <v>156967</v>
      </c>
      <c r="R402" s="38">
        <f>+E402+I402+M402+Q402</f>
        <v>1075116</v>
      </c>
    </row>
    <row r="403" spans="1:20" s="574" customFormat="1" ht="16.5" customHeight="1" thickBot="1" x14ac:dyDescent="0.35">
      <c r="A403" s="576" t="s">
        <v>104</v>
      </c>
      <c r="B403" s="577">
        <f>(B402/B10)/1.983</f>
        <v>494.85139817480842</v>
      </c>
      <c r="C403" s="577">
        <f>(C402/C10)/1.983</f>
        <v>666.21641092140339</v>
      </c>
      <c r="D403" s="577">
        <f>(D402/D10)/1.983</f>
        <v>1277.9919639516536</v>
      </c>
      <c r="E403" s="578" t="s">
        <v>852</v>
      </c>
      <c r="F403" s="577">
        <f>(F402/F10)/1.983</f>
        <v>2211.7330643805681</v>
      </c>
      <c r="G403" s="577">
        <f>(G402/G10)/1.983</f>
        <v>2138.5323638019945</v>
      </c>
      <c r="H403" s="577">
        <f>(H402/H10)/1.983</f>
        <v>2666.9860480753064</v>
      </c>
      <c r="I403" s="578" t="s">
        <v>852</v>
      </c>
      <c r="J403" s="577">
        <f>(J402/J10)/1.983</f>
        <v>2140.8748556276737</v>
      </c>
      <c r="K403" s="577">
        <f>(K402/K10)/1.983</f>
        <v>2194.4268215314041</v>
      </c>
      <c r="L403" s="577">
        <f>(L402/L10)/1.983</f>
        <v>1411.5817784501596</v>
      </c>
      <c r="M403" s="578" t="s">
        <v>852</v>
      </c>
      <c r="N403" s="577">
        <f>(N402/N10)/1.983</f>
        <v>1136.0271989328646</v>
      </c>
      <c r="O403" s="577">
        <f>(O402/O10)/1.983</f>
        <v>592.14994116658261</v>
      </c>
      <c r="P403" s="577">
        <f>(P402/P10)/1.983</f>
        <v>844.3544320270687</v>
      </c>
      <c r="Q403" s="578" t="s">
        <v>852</v>
      </c>
      <c r="R403" s="578" t="s">
        <v>852</v>
      </c>
    </row>
    <row r="404" spans="1:20" ht="15.75" customHeight="1" x14ac:dyDescent="0.3">
      <c r="A404" s="351" t="s">
        <v>1011</v>
      </c>
      <c r="B404" s="352">
        <f>B$405+(SUMIF($T$278:$T$380,"FLG",B$285:B$397)/B10/1.98)+(SUMIF($T$278:$T$380,"FCA",B$285:B$397)/B10/1.98)+(SUMIF($T$278:$T$380,"NSC",B$285:B$397)/B10/1.98)</f>
        <v>268.15103354071687</v>
      </c>
      <c r="C404" s="352">
        <f>C$405+(SUMIF($T$278:$T$380,"FLG",C$285:C$397)/C10/1.98)+(SUMIF($T$278:$T$380,"FCA",C$285:C$397)/C10/1.98)+(SUMIF($T$278:$T$380,"NSC",C$285:C$397)/C10/1.98)</f>
        <v>331.46155197970631</v>
      </c>
      <c r="D404" s="352">
        <f>D$405+(SUMIF($T$278:$T$380,"FLG",D$285:D$397)/D10/1.98)+(SUMIF($T$278:$T$380,"FCA",D$285:D$397)/D10/1.98)+(SUMIF($T$278:$T$380,"NSC",D$285:D$397)/D10/1.98)</f>
        <v>500.33722614855793</v>
      </c>
      <c r="E404" s="329"/>
      <c r="F404" s="352">
        <f>F$405+(SUMIF($T$278:$T$380,"FLG",F$285:F$397)/F10/1.98)+(SUMIF($T$278:$T$380,"FCA",F$285:F$397)/F10/1.98)+(SUMIF($T$278:$T$380,"NSC",F$285:F$397)/F10/1.98)</f>
        <v>974.94776305668881</v>
      </c>
      <c r="G404" s="352">
        <f>G$405+(SUMIF($T$278:$T$380,"FLG",G$285:G$397)/G10/1.98)+(SUMIF($T$278:$T$380,"FCA",G$285:G$397)/G10/1.98)+(SUMIF($T$278:$T$380,"NSC",G$285:G$397)/G10/1.98)</f>
        <v>797.39506233088787</v>
      </c>
      <c r="H404" s="352">
        <f>H$405+(SUMIF($T$278:$T$380,"FLG",H$285:H$397)/H10/1.98)+(SUMIF($T$278:$T$380,"FCA",H$285:H$397)/H10/1.98)+(SUMIF($T$278:$T$380,"NSC",H$285:H$397)/H10/1.98)</f>
        <v>1077.4520036471624</v>
      </c>
      <c r="I404" s="350"/>
      <c r="J404" s="352">
        <f>J$405+(SUMIF($T$278:$T$380,"FLG",J$285:J$397)/J10/1.98)+(SUMIF($T$278:$T$380,"FCA",J$285:J$397)/J10/1.98)+(SUMIF($T$278:$T$380,"NSC",J$285:J$397)/J10/1.98)</f>
        <v>947.71185575929121</v>
      </c>
      <c r="K404" s="352">
        <f>K$405+(SUMIF($T$278:$T$380,"FLG",K$285:K$397)/K10/1.98)+(SUMIF($T$278:$T$380,"FCA",K$285:K$397)/K10/1.98)+(SUMIF($T$278:$T$380,"NSC",K$285:K$397)/K10/1.98)</f>
        <v>1034.9351452152682</v>
      </c>
      <c r="L404" s="352">
        <f>L$405+(SUMIF($T$278:$T$380,"FLG",L$285:L$397)/L10/1.98)+(SUMIF($T$278:$T$380,"FCA",L$285:L$397)/L10/1.98)+(SUMIF($T$278:$T$380,"NSC",L$285:L$397)/L10/1.98)</f>
        <v>671.57938436304539</v>
      </c>
      <c r="M404" s="350"/>
      <c r="N404" s="352">
        <f>N$405+(SUMIF($T$278:$T$380,"FLG",N$285:N$397)/N10/1.98)+(SUMIF($T$278:$T$380,"FCA",N$285:N$397)/N10/1.98)+(SUMIF($T$278:$T$380,"NSC",N$285:N$397)/N10/1.98)</f>
        <v>347.23167451194394</v>
      </c>
      <c r="O404" s="352">
        <f>O$405+(SUMIF($T$278:$T$380,"FLG",O$285:O$397)/O10/1.98)+(SUMIF($T$278:$T$380,"FCA",O$285:O$397)/O10/1.98)+(SUMIF($T$278:$T$380,"NSC",O$285:O$397)/O10/1.98)</f>
        <v>163.86701100770691</v>
      </c>
      <c r="P404" s="352">
        <f>P$405+(SUMIF($T$278:$T$380,"FLG",P$285:P$397)/P10/1.98)+(SUMIF($T$278:$T$380,"FCA",P$285:P$397)/P10/1.98)+(SUMIF($T$278:$T$380,"NSC",P$285:P$397)/P10/1.98)</f>
        <v>340.91727385612506</v>
      </c>
      <c r="Q404" s="350"/>
      <c r="R404" s="350"/>
    </row>
    <row r="405" spans="1:20" ht="15.75" customHeight="1" x14ac:dyDescent="0.3">
      <c r="A405" s="351" t="s">
        <v>1012</v>
      </c>
      <c r="B405" s="352">
        <f>B$406+(SUMIF($T$278:$T$380,"FCI",B$285:B$397)/B10/1.98)+(SUMIF($T$278:$T$380,"FCC",B$285:B$397)/B10/1.98)</f>
        <v>268.15103354071687</v>
      </c>
      <c r="C405" s="352">
        <f>C$406+(SUMIF($T$278:$T$380,"FCI",C$285:C$397)/C10/1.98)+(SUMIF($T$278:$T$380,"FCC",C$285:C$397)/C10/1.98)</f>
        <v>331.46155197970631</v>
      </c>
      <c r="D405" s="352">
        <f>D$406+(SUMIF($T$278:$T$380,"FCI",D$285:D$397)/D10/1.98)+(SUMIF($T$278:$T$380,"FCC",D$285:D$397)/D10/1.98)</f>
        <v>500.33722614855793</v>
      </c>
      <c r="E405" s="329"/>
      <c r="F405" s="352">
        <f>F$406+(SUMIF($T$278:$T$380,"FCI",F$285:F$397)/F10/1.98)+(SUMIF($T$278:$T$380,"FCC",F$285:F$397)/F10/1.98)</f>
        <v>974.94776305668881</v>
      </c>
      <c r="G405" s="352">
        <f>G$406+(SUMIF($T$278:$T$380,"FCI",G$285:G$397)/G10/1.98)+(SUMIF($T$278:$T$380,"FCC",G$285:G$397)/G10/1.98)</f>
        <v>797.39506233088787</v>
      </c>
      <c r="H405" s="352">
        <f>H$406+(SUMIF($T$278:$T$380,"FCI",H$285:H$397)/H10/1.98)+(SUMIF($T$278:$T$380,"FCC",H$285:H$397)/H10/1.98)</f>
        <v>1077.4520036471624</v>
      </c>
      <c r="I405" s="350"/>
      <c r="J405" s="352">
        <f>J$406+(SUMIF($T$278:$T$380,"FCI",J$285:J$397)/J10/1.98)+(SUMIF($T$278:$T$380,"FCC",J$285:J$397)/J10/1.98)</f>
        <v>947.71185575929121</v>
      </c>
      <c r="K405" s="352">
        <f>K$406+(SUMIF($T$278:$T$380,"FCI",K$285:K$397)/K10/1.98)+(SUMIF($T$278:$T$380,"FCC",K$285:K$397)/K10/1.98)</f>
        <v>1034.9351452152682</v>
      </c>
      <c r="L405" s="352">
        <f>L$406+(SUMIF($T$278:$T$380,"FCI",L$285:L$397)/L10/1.98)+(SUMIF($T$278:$T$380,"FCC",L$285:L$397)/L10/1.98)</f>
        <v>671.57938436304539</v>
      </c>
      <c r="M405" s="350"/>
      <c r="N405" s="352">
        <f>N$406+(SUMIF($T$278:$T$380,"FCI",N$285:N$397)/N10/1.98)+(SUMIF($T$278:$T$380,"FCC",N$285:N$397)/N10/1.98)</f>
        <v>347.23167451194394</v>
      </c>
      <c r="O405" s="352">
        <f>O$406+(SUMIF($T$278:$T$380,"FCI",O$285:O$397)/O10/1.98)+(SUMIF($T$278:$T$380,"FCC",O$285:O$397)/O10/1.98)</f>
        <v>163.86701100770691</v>
      </c>
      <c r="P405" s="352">
        <f>P$406+(SUMIF($T$278:$T$380,"FCI",P$285:P$397)/P10/1.98)+(SUMIF($T$278:$T$380,"FCC",P$285:P$397)/P10/1.98)</f>
        <v>340.91727385612506</v>
      </c>
      <c r="Q405" s="350"/>
      <c r="R405" s="350"/>
    </row>
    <row r="406" spans="1:20" ht="15.75" customHeight="1" x14ac:dyDescent="0.3">
      <c r="A406" s="351" t="s">
        <v>1013</v>
      </c>
      <c r="B406" s="352">
        <f>B$407+(SUMIF($T$278:$T$380,"PIL",B$285:B$397)/B10/1.98)+(SUMIF($T$278:$T$380,"KLK",B$285:B$397)/B10/1.98)</f>
        <v>268.15103354071687</v>
      </c>
      <c r="C406" s="352">
        <f>C$407+(SUMIF($T$278:$T$380,"PIL",C$285:C$397)/C10/1.98)+(SUMIF($T$278:$T$380,"KLK",C$285:C$397)/C10/1.98)</f>
        <v>331.46155197970631</v>
      </c>
      <c r="D406" s="352">
        <f>D$407+(SUMIF($T$278:$T$380,"PIL",D$285:D$397)/D10/1.98)+(SUMIF($T$278:$T$380,"KLK",D$285:D$397)/D10/1.98)</f>
        <v>500.33722614855793</v>
      </c>
      <c r="E406" s="329"/>
      <c r="F406" s="352">
        <f>F$407+(SUMIF($T$278:$T$380,"PIL",F$285:F$397)/F10/1.98)+(SUMIF($T$278:$T$380,"KLK",F$285:F$397)/F10/1.98)</f>
        <v>974.94776305668881</v>
      </c>
      <c r="G406" s="352">
        <f>G$407+(SUMIF($T$278:$T$380,"PIL",G$285:G$397)/G10/1.98)+(SUMIF($T$278:$T$380,"KLK",G$285:G$397)/G10/1.98)</f>
        <v>797.39506233088787</v>
      </c>
      <c r="H406" s="352">
        <f>H$407+(SUMIF($T$278:$T$380,"PIL",H$285:H$397)/H10/1.98)+(SUMIF($T$278:$T$380,"KLK",H$285:H$397)/H10/1.98)</f>
        <v>1077.4520036471624</v>
      </c>
      <c r="I406" s="350"/>
      <c r="J406" s="352">
        <f>J$407+(SUMIF($T$278:$T$380,"PIL",J$285:J$397)/J10/1.98)+(SUMIF($T$278:$T$380,"KLK",J$285:J$397)/J10/1.98)</f>
        <v>947.71185575929121</v>
      </c>
      <c r="K406" s="352">
        <f>K$407+(SUMIF($T$278:$T$380,"PIL",K$285:K$397)/K10/1.98)+(SUMIF($T$278:$T$380,"KLK",K$285:K$397)/K10/1.98)</f>
        <v>1034.9351452152682</v>
      </c>
      <c r="L406" s="352">
        <f>L$407+(SUMIF($T$278:$T$380,"PIL",L$285:L$397)/L10/1.98)+(SUMIF($T$278:$T$380,"KLK",L$285:L$397)/L10/1.98)</f>
        <v>671.57938436304539</v>
      </c>
      <c r="M406" s="350"/>
      <c r="N406" s="352">
        <f>N$407+(SUMIF($T$278:$T$380,"PIL",N$285:N$397)/N10/1.98)+(SUMIF($T$278:$T$380,"KLK",N$285:N$397)/N10/1.98)</f>
        <v>347.23167451194394</v>
      </c>
      <c r="O406" s="352">
        <f>O$407+(SUMIF($T$278:$T$380,"PIL",O$285:O$397)/O10/1.98)+(SUMIF($T$278:$T$380,"KLK",O$285:O$397)/O10/1.98)</f>
        <v>163.86701100770691</v>
      </c>
      <c r="P406" s="352">
        <f>P$407+(SUMIF($T$278:$T$380,"PIL",P$285:P$397)/P10/1.98)+(SUMIF($T$278:$T$380,"KLK",P$285:P$397)/P10/1.98)</f>
        <v>340.91727385612506</v>
      </c>
      <c r="Q406" s="350"/>
      <c r="R406" s="350"/>
    </row>
    <row r="407" spans="1:20" ht="15.75" customHeight="1" x14ac:dyDescent="0.3">
      <c r="A407" s="351" t="s">
        <v>1014</v>
      </c>
      <c r="B407" s="352">
        <f>B$408+(SUMIF($T$278:$T$380,"CGE",B$285:B$397)/B10/1.98)</f>
        <v>268.15103354071687</v>
      </c>
      <c r="C407" s="352">
        <f>C$408+(SUMIF($T$278:$T$380,"CGE",C$285:C$397)/C10/1.98)</f>
        <v>331.46155197970631</v>
      </c>
      <c r="D407" s="352">
        <f>D$408+(SUMIF($T$278:$T$380,"CGE",D$285:D$397)/D10/1.98)</f>
        <v>500.33722614855793</v>
      </c>
      <c r="E407" s="329"/>
      <c r="F407" s="352">
        <f>F$408+(SUMIF($T$278:$T$380,"CGE",F$285:F$397)/F10/1.98)</f>
        <v>974.94776305668881</v>
      </c>
      <c r="G407" s="352">
        <f>G$408+(SUMIF($T$278:$T$380,"CGE",G$285:G$397)/G10/1.98)</f>
        <v>797.39506233088787</v>
      </c>
      <c r="H407" s="352">
        <f>H$408+(SUMIF($T$278:$T$380,"CGE",H$285:H$397)/H10/1.98)</f>
        <v>1077.4520036471624</v>
      </c>
      <c r="I407" s="350"/>
      <c r="J407" s="352">
        <f>J$408+(SUMIF($T$278:$T$380,"CGE",J$285:J$397)/J10/1.98)</f>
        <v>947.71185575929121</v>
      </c>
      <c r="K407" s="352">
        <f>K$408+(SUMIF($T$278:$T$380,"CGE",K$285:K$397)/K10/1.98)</f>
        <v>1034.9351452152682</v>
      </c>
      <c r="L407" s="352">
        <f>L$408+(SUMIF($T$278:$T$380,"CGE",L$285:L$397)/L10/1.98)</f>
        <v>671.57938436304539</v>
      </c>
      <c r="M407" s="350"/>
      <c r="N407" s="352">
        <f>N$408+(SUMIF($T$278:$T$380,"CGE",N$285:N$397)/N10/1.98)</f>
        <v>347.23167451194394</v>
      </c>
      <c r="O407" s="352">
        <f>O$408+(SUMIF($T$278:$T$380,"CGE",O$285:O$397)/O10/1.98)</f>
        <v>163.86701100770691</v>
      </c>
      <c r="P407" s="352">
        <f>P$408+(SUMIF($T$278:$T$380,"CGE",P$285:P$397)/P10/1.98)</f>
        <v>340.91727385612506</v>
      </c>
      <c r="Q407" s="350"/>
      <c r="R407" s="350"/>
    </row>
    <row r="408" spans="1:20" ht="15.75" customHeight="1" x14ac:dyDescent="0.3">
      <c r="A408" s="351" t="s">
        <v>1015</v>
      </c>
      <c r="B408" s="352">
        <f>B$409+(SUMIF($T$278:$T$380,"SRO",B$285:B$397)/B10/1.98)</f>
        <v>268.15103354071687</v>
      </c>
      <c r="C408" s="352">
        <f>C$409+(SUMIF($T$278:$T$380,"SRO",C$285:C$397)/C10/1.98)</f>
        <v>331.46155197970631</v>
      </c>
      <c r="D408" s="352">
        <f>D$409+(SUMIF($T$278:$T$380,"SRO",D$285:D$397)/D10/1.98)</f>
        <v>500.33722614855793</v>
      </c>
      <c r="E408" s="329"/>
      <c r="F408" s="352">
        <f>F$409+(SUMIF($T$278:$T$380,"SRO",F$285:F$397)/F10/1.98)</f>
        <v>974.94776305668881</v>
      </c>
      <c r="G408" s="352">
        <f>G$409+(SUMIF($T$278:$T$380,"SRO",G$285:G$397)/G10/1.98)</f>
        <v>797.39506233088787</v>
      </c>
      <c r="H408" s="352">
        <f>H$409+(SUMIF($T$278:$T$380,"SRO",H$285:H$397)/H10/1.98)</f>
        <v>1077.4520036471624</v>
      </c>
      <c r="I408" s="350"/>
      <c r="J408" s="352">
        <f>J$409+(SUMIF($T$278:$T$380,"SRO",J$285:J$397)/J10/1.98)</f>
        <v>947.71185575929121</v>
      </c>
      <c r="K408" s="352">
        <f>K$409+(SUMIF($T$278:$T$380,"SRO",K$285:K$397)/K10/1.98)</f>
        <v>1034.674473986855</v>
      </c>
      <c r="L408" s="352">
        <f>L$409+(SUMIF($T$278:$T$380,"SRO",L$285:L$397)/L10/1.98)</f>
        <v>671.22584900951006</v>
      </c>
      <c r="M408" s="350"/>
      <c r="N408" s="352">
        <f>N$409+(SUMIF($T$278:$T$380,"SRO",N$285:N$397)/N10/1.98)</f>
        <v>346.98729523530659</v>
      </c>
      <c r="O408" s="352">
        <f>O$409+(SUMIF($T$278:$T$380,"SRO",O$285:O$397)/O10/1.98)</f>
        <v>163.86701100770691</v>
      </c>
      <c r="P408" s="352">
        <f>P$409+(SUMIF($T$278:$T$380,"SRO",P$285:P$397)/P10/1.98)</f>
        <v>340.91727385612506</v>
      </c>
      <c r="Q408" s="350"/>
      <c r="R408" s="350"/>
    </row>
    <row r="409" spans="1:20" ht="15.75" customHeight="1" x14ac:dyDescent="0.3">
      <c r="A409" s="351" t="s">
        <v>130</v>
      </c>
      <c r="B409" s="352">
        <f>B$449/B10/1.983</f>
        <v>267.62969108389052</v>
      </c>
      <c r="C409" s="352">
        <f>C$449/C10/1.983</f>
        <v>330.61378863194295</v>
      </c>
      <c r="D409" s="352">
        <f>D$449/D10/1.983</f>
        <v>497.86084947863287</v>
      </c>
      <c r="E409" s="353"/>
      <c r="F409" s="352">
        <f>F$449/F10/1.983</f>
        <v>867.8097159186417</v>
      </c>
      <c r="G409" s="352">
        <f>G$449/G10/1.983</f>
        <v>665.49542075382692</v>
      </c>
      <c r="H409" s="352">
        <f>H$449/H10/1.983</f>
        <v>870.56648176164049</v>
      </c>
      <c r="I409" s="450"/>
      <c r="J409" s="352">
        <f>J$449/J10/1.983</f>
        <v>714.4762741366128</v>
      </c>
      <c r="K409" s="352">
        <f>K$449/K10/1.983</f>
        <v>803.0192116864315</v>
      </c>
      <c r="L409" s="352">
        <f>L$449/L10/1.983</f>
        <v>535.38409816775925</v>
      </c>
      <c r="M409" s="451"/>
      <c r="N409" s="352">
        <f>N$449/N10/1.983</f>
        <v>257.20234899874742</v>
      </c>
      <c r="O409" s="352">
        <f>O$449/O10/1.983</f>
        <v>158.88384602454192</v>
      </c>
      <c r="P409" s="352">
        <f>P$449/P10/1.983</f>
        <v>338.68527646283735</v>
      </c>
      <c r="Q409" s="451"/>
      <c r="R409" s="350"/>
    </row>
    <row r="410" spans="1:20" ht="15.75" customHeight="1" x14ac:dyDescent="0.3">
      <c r="A410" s="351"/>
      <c r="B410" s="352"/>
      <c r="C410" s="352"/>
      <c r="D410" s="352"/>
      <c r="E410" s="353"/>
      <c r="F410" s="352"/>
      <c r="G410" s="352"/>
      <c r="H410" s="352"/>
      <c r="I410" s="450"/>
      <c r="J410" s="352"/>
      <c r="K410" s="352"/>
      <c r="L410" s="352"/>
      <c r="M410" s="451"/>
      <c r="N410" s="352"/>
      <c r="O410" s="352"/>
      <c r="P410" s="352"/>
      <c r="Q410" s="451"/>
      <c r="R410" s="350"/>
    </row>
    <row r="411" spans="1:20" ht="15.75" customHeight="1" thickBot="1" x14ac:dyDescent="0.35">
      <c r="A411" s="18"/>
      <c r="B411" s="172"/>
      <c r="C411" s="172"/>
      <c r="D411" s="172"/>
      <c r="E411" s="172"/>
      <c r="F411" s="172"/>
      <c r="G411" s="172"/>
      <c r="H411" s="172"/>
      <c r="I411" s="172"/>
      <c r="J411" s="172"/>
      <c r="K411" s="172"/>
      <c r="L411" s="172"/>
      <c r="M411" s="172"/>
      <c r="N411" s="172"/>
      <c r="O411" s="172"/>
      <c r="P411" s="172"/>
      <c r="Q411" s="172"/>
      <c r="R411" s="17"/>
    </row>
    <row r="412" spans="1:20" ht="16.5" customHeight="1" thickBot="1" x14ac:dyDescent="0.35">
      <c r="A412" s="240" t="s">
        <v>813</v>
      </c>
      <c r="B412" s="4" t="s">
        <v>2090</v>
      </c>
      <c r="C412" s="5" t="s">
        <v>2091</v>
      </c>
      <c r="D412" s="5" t="s">
        <v>2234</v>
      </c>
      <c r="E412" s="33" t="s">
        <v>1594</v>
      </c>
      <c r="F412" s="5" t="s">
        <v>2235</v>
      </c>
      <c r="G412" s="5" t="s">
        <v>2236</v>
      </c>
      <c r="H412" s="5" t="s">
        <v>2237</v>
      </c>
      <c r="I412" s="35" t="s">
        <v>1595</v>
      </c>
      <c r="J412" s="5" t="s">
        <v>1504</v>
      </c>
      <c r="K412" s="5" t="s">
        <v>1505</v>
      </c>
      <c r="L412" s="5" t="s">
        <v>1506</v>
      </c>
      <c r="M412" s="35" t="s">
        <v>1596</v>
      </c>
      <c r="N412" s="5" t="s">
        <v>1507</v>
      </c>
      <c r="O412" s="5" t="s">
        <v>1508</v>
      </c>
      <c r="P412" s="5" t="s">
        <v>1509</v>
      </c>
      <c r="Q412" s="35" t="s">
        <v>1597</v>
      </c>
      <c r="R412" s="36" t="s">
        <v>1510</v>
      </c>
    </row>
    <row r="413" spans="1:20" ht="16.5" customHeight="1" thickBot="1" x14ac:dyDescent="0.35">
      <c r="A413" s="37"/>
      <c r="B413" s="258"/>
      <c r="C413" s="258"/>
      <c r="D413" s="258"/>
      <c r="E413" s="254"/>
      <c r="F413" s="258"/>
      <c r="G413" s="258"/>
      <c r="H413" s="258"/>
      <c r="I413" s="265"/>
      <c r="J413" s="258"/>
      <c r="K413" s="258"/>
      <c r="L413" s="258"/>
      <c r="M413" s="265"/>
      <c r="N413" s="258"/>
      <c r="O413" s="258"/>
      <c r="P413" s="258"/>
      <c r="Q413" s="265"/>
      <c r="R413" s="52"/>
    </row>
    <row r="414" spans="1:20" ht="15.75" customHeight="1" x14ac:dyDescent="0.3">
      <c r="A414" s="234" t="s">
        <v>2417</v>
      </c>
      <c r="B414" s="172" t="s">
        <v>852</v>
      </c>
      <c r="C414" s="172" t="s">
        <v>852</v>
      </c>
      <c r="D414" s="172" t="s">
        <v>852</v>
      </c>
      <c r="E414" s="38" t="s">
        <v>852</v>
      </c>
      <c r="F414" s="172" t="s">
        <v>852</v>
      </c>
      <c r="G414" s="172" t="s">
        <v>852</v>
      </c>
      <c r="H414" s="172" t="s">
        <v>852</v>
      </c>
      <c r="I414" s="38" t="s">
        <v>852</v>
      </c>
      <c r="J414" s="172" t="s">
        <v>852</v>
      </c>
      <c r="K414" s="172" t="s">
        <v>852</v>
      </c>
      <c r="L414" s="172" t="s">
        <v>852</v>
      </c>
      <c r="M414" s="38" t="s">
        <v>852</v>
      </c>
      <c r="N414" s="172" t="s">
        <v>852</v>
      </c>
      <c r="O414" s="172" t="s">
        <v>852</v>
      </c>
      <c r="P414" s="172" t="s">
        <v>852</v>
      </c>
      <c r="Q414" s="38" t="s">
        <v>852</v>
      </c>
      <c r="R414" s="38" t="s">
        <v>852</v>
      </c>
    </row>
    <row r="415" spans="1:20" ht="15.75" customHeight="1" x14ac:dyDescent="0.3">
      <c r="A415" s="234" t="s">
        <v>2160</v>
      </c>
      <c r="B415" s="172"/>
      <c r="C415" s="172"/>
      <c r="D415" s="172"/>
      <c r="E415" s="38" t="s">
        <v>852</v>
      </c>
      <c r="F415" s="172"/>
      <c r="G415" s="172"/>
      <c r="H415" s="172"/>
      <c r="I415" s="38" t="s">
        <v>852</v>
      </c>
      <c r="J415" s="172"/>
      <c r="K415" s="172"/>
      <c r="L415" s="172"/>
      <c r="M415" s="38" t="s">
        <v>852</v>
      </c>
      <c r="N415" s="172"/>
      <c r="O415" s="172"/>
      <c r="P415" s="172"/>
      <c r="Q415" s="38" t="s">
        <v>852</v>
      </c>
      <c r="R415" s="38" t="s">
        <v>852</v>
      </c>
    </row>
    <row r="416" spans="1:20" ht="15.75" customHeight="1" x14ac:dyDescent="0.3">
      <c r="A416" s="539" t="s">
        <v>2797</v>
      </c>
      <c r="B416" s="172"/>
      <c r="C416" s="172"/>
      <c r="D416" s="172"/>
      <c r="E416" s="38">
        <f>SUM(B416:D416)</f>
        <v>0</v>
      </c>
      <c r="F416" s="172"/>
      <c r="G416" s="172"/>
      <c r="H416" s="172">
        <v>1607</v>
      </c>
      <c r="I416" s="38">
        <f>SUM(F416:H416)</f>
        <v>1607</v>
      </c>
      <c r="J416" s="172"/>
      <c r="K416" s="172"/>
      <c r="L416" s="172"/>
      <c r="M416" s="38">
        <f>SUM(J416:L416)</f>
        <v>0</v>
      </c>
      <c r="N416" s="172"/>
      <c r="O416" s="172"/>
      <c r="P416" s="172"/>
      <c r="Q416" s="38">
        <f>SUM(N416:P416)</f>
        <v>0</v>
      </c>
      <c r="R416" s="38">
        <f>+E416+I416+M416+Q416</f>
        <v>1607</v>
      </c>
      <c r="T416" t="s">
        <v>500</v>
      </c>
    </row>
    <row r="417" spans="1:20" ht="15.75" customHeight="1" x14ac:dyDescent="0.3">
      <c r="A417" s="410" t="s">
        <v>2795</v>
      </c>
      <c r="B417" s="172"/>
      <c r="C417" s="172"/>
      <c r="D417" s="172"/>
      <c r="E417" s="38">
        <f>SUM(B417:D417)</f>
        <v>0</v>
      </c>
      <c r="F417" s="172"/>
      <c r="G417" s="172">
        <v>2048</v>
      </c>
      <c r="H417" s="172"/>
      <c r="I417" s="38">
        <f>SUM(F417:H417)</f>
        <v>2048</v>
      </c>
      <c r="J417" s="172"/>
      <c r="K417" s="172"/>
      <c r="L417" s="172"/>
      <c r="M417" s="38">
        <f>SUM(J417:L417)</f>
        <v>0</v>
      </c>
      <c r="N417" s="172"/>
      <c r="O417" s="172"/>
      <c r="P417" s="172"/>
      <c r="Q417" s="38">
        <f>SUM(N417:P417)</f>
        <v>0</v>
      </c>
      <c r="R417" s="38">
        <f>+E417+I417+M417+Q417</f>
        <v>2048</v>
      </c>
      <c r="T417" t="s">
        <v>500</v>
      </c>
    </row>
    <row r="418" spans="1:20" ht="15.75" customHeight="1" x14ac:dyDescent="0.3">
      <c r="A418" s="234" t="s">
        <v>2161</v>
      </c>
      <c r="B418" s="172"/>
      <c r="C418" s="172"/>
      <c r="D418" s="172"/>
      <c r="E418" s="38" t="s">
        <v>852</v>
      </c>
      <c r="F418" s="172"/>
      <c r="G418" s="172"/>
      <c r="H418" s="172"/>
      <c r="I418" s="38" t="s">
        <v>852</v>
      </c>
      <c r="J418" s="172"/>
      <c r="K418" s="172"/>
      <c r="L418" s="172"/>
      <c r="M418" s="38" t="s">
        <v>852</v>
      </c>
      <c r="N418" s="172"/>
      <c r="O418" s="172"/>
      <c r="P418" s="172"/>
      <c r="Q418" s="38" t="s">
        <v>852</v>
      </c>
      <c r="R418" s="38" t="s">
        <v>852</v>
      </c>
    </row>
    <row r="419" spans="1:20" ht="15.75" customHeight="1" x14ac:dyDescent="0.3">
      <c r="A419" s="266" t="s">
        <v>331</v>
      </c>
      <c r="B419" s="172"/>
      <c r="C419" s="172"/>
      <c r="D419" s="172"/>
      <c r="E419" s="38">
        <f>SUM(B419:D419)</f>
        <v>0</v>
      </c>
      <c r="F419" s="172"/>
      <c r="G419" s="172"/>
      <c r="H419" s="172"/>
      <c r="I419" s="38">
        <f>SUM(F419:H419)</f>
        <v>0</v>
      </c>
      <c r="J419" s="172"/>
      <c r="K419" s="172"/>
      <c r="L419" s="172"/>
      <c r="M419" s="38">
        <f>SUM(J419:L419)</f>
        <v>0</v>
      </c>
      <c r="N419" s="172"/>
      <c r="O419" s="172"/>
      <c r="P419" s="172"/>
      <c r="Q419" s="38">
        <f>SUM(N419:P419)</f>
        <v>0</v>
      </c>
      <c r="R419" s="38">
        <f>+E419+I419+M419+Q419</f>
        <v>0</v>
      </c>
    </row>
    <row r="420" spans="1:20" ht="15.75" customHeight="1" x14ac:dyDescent="0.3">
      <c r="A420" s="310" t="s">
        <v>1065</v>
      </c>
      <c r="B420" s="10"/>
      <c r="C420" s="10"/>
      <c r="D420" s="10"/>
      <c r="E420" s="38">
        <f>SUM(B420:D420)</f>
        <v>0</v>
      </c>
      <c r="F420" s="10"/>
      <c r="G420" s="10"/>
      <c r="H420" s="10"/>
      <c r="I420" s="38">
        <f>SUM(F420:H420)</f>
        <v>0</v>
      </c>
      <c r="J420" s="10"/>
      <c r="K420" s="10"/>
      <c r="L420" s="10"/>
      <c r="M420" s="38">
        <f>SUM(J420:L420)</f>
        <v>0</v>
      </c>
      <c r="N420" s="10"/>
      <c r="O420" s="10"/>
      <c r="P420" s="10"/>
      <c r="Q420" s="38">
        <f>SUM(N420:P420)</f>
        <v>0</v>
      </c>
      <c r="R420" s="38">
        <f>+E420+I420+M420+Q420</f>
        <v>0</v>
      </c>
    </row>
    <row r="421" spans="1:20" ht="15.75" customHeight="1" x14ac:dyDescent="0.3">
      <c r="A421" s="266" t="s">
        <v>355</v>
      </c>
      <c r="B421" s="172"/>
      <c r="C421" s="172"/>
      <c r="D421" s="172"/>
      <c r="E421" s="38">
        <f>SUM(B421:D421)</f>
        <v>0</v>
      </c>
      <c r="F421" s="172"/>
      <c r="G421" s="172"/>
      <c r="H421" s="172">
        <v>4</v>
      </c>
      <c r="I421" s="38">
        <f>SUM(F421:H421)</f>
        <v>4</v>
      </c>
      <c r="J421" s="172">
        <v>4</v>
      </c>
      <c r="K421" s="172"/>
      <c r="L421" s="172"/>
      <c r="M421" s="38">
        <f>SUM(J421:L421)</f>
        <v>4</v>
      </c>
      <c r="N421" s="172"/>
      <c r="O421" s="172"/>
      <c r="P421" s="172"/>
      <c r="Q421" s="38">
        <f>SUM(N421:P421)</f>
        <v>0</v>
      </c>
      <c r="R421" s="38">
        <f>+E421+I421+M421+Q421</f>
        <v>8</v>
      </c>
    </row>
    <row r="422" spans="1:20" ht="15.75" customHeight="1" x14ac:dyDescent="0.3">
      <c r="A422" s="234" t="s">
        <v>2162</v>
      </c>
      <c r="B422" s="172"/>
      <c r="C422" s="172"/>
      <c r="D422" s="172"/>
      <c r="E422" s="38" t="s">
        <v>852</v>
      </c>
      <c r="F422" s="172"/>
      <c r="G422" s="172"/>
      <c r="H422" s="172"/>
      <c r="I422" s="38" t="s">
        <v>852</v>
      </c>
      <c r="J422" s="172"/>
      <c r="K422" s="172"/>
      <c r="L422" s="172"/>
      <c r="M422" s="38" t="s">
        <v>852</v>
      </c>
      <c r="N422" s="172"/>
      <c r="O422" s="172"/>
      <c r="P422" s="172"/>
      <c r="Q422" s="38" t="s">
        <v>852</v>
      </c>
      <c r="R422" s="38" t="s">
        <v>852</v>
      </c>
    </row>
    <row r="423" spans="1:20" ht="15.75" customHeight="1" thickBot="1" x14ac:dyDescent="0.35">
      <c r="A423" s="234" t="s">
        <v>2164</v>
      </c>
      <c r="B423" s="172"/>
      <c r="C423" s="172"/>
      <c r="D423" s="172"/>
      <c r="E423" s="38" t="s">
        <v>852</v>
      </c>
      <c r="F423" s="172"/>
      <c r="G423" s="172"/>
      <c r="H423" s="172"/>
      <c r="I423" s="38" t="s">
        <v>852</v>
      </c>
      <c r="J423" s="172"/>
      <c r="K423" s="172"/>
      <c r="L423" s="172"/>
      <c r="M423" s="38" t="s">
        <v>852</v>
      </c>
      <c r="N423" s="172"/>
      <c r="O423" s="172"/>
      <c r="P423" s="172"/>
      <c r="Q423" s="38" t="s">
        <v>852</v>
      </c>
      <c r="R423" s="38" t="s">
        <v>852</v>
      </c>
    </row>
    <row r="424" spans="1:20" ht="16.5" customHeight="1" thickBot="1" x14ac:dyDescent="0.35">
      <c r="A424" s="276" t="s">
        <v>1218</v>
      </c>
      <c r="B424" s="45">
        <f>SUM(B414:B423)</f>
        <v>0</v>
      </c>
      <c r="C424" s="46">
        <f>SUM(C414:C423)</f>
        <v>0</v>
      </c>
      <c r="D424" s="46">
        <f>SUM(D414:D423)</f>
        <v>0</v>
      </c>
      <c r="E424" s="37">
        <f>SUM(B424:D424)</f>
        <v>0</v>
      </c>
      <c r="F424" s="46">
        <f>SUM(F414:F423)</f>
        <v>0</v>
      </c>
      <c r="G424" s="46">
        <f>SUM(G414:G423)</f>
        <v>2048</v>
      </c>
      <c r="H424" s="46">
        <f>SUM(H414:H423)</f>
        <v>1611</v>
      </c>
      <c r="I424" s="37">
        <f>SUM(F424:H424)</f>
        <v>3659</v>
      </c>
      <c r="J424" s="46">
        <f>SUM(J414:J423)</f>
        <v>4</v>
      </c>
      <c r="K424" s="46">
        <f>SUM(K414:K423)</f>
        <v>0</v>
      </c>
      <c r="L424" s="46">
        <f>SUM(L414:L423)</f>
        <v>0</v>
      </c>
      <c r="M424" s="37">
        <f>SUM(J424:L424)</f>
        <v>4</v>
      </c>
      <c r="N424" s="46">
        <f>SUM(N414:N423)</f>
        <v>0</v>
      </c>
      <c r="O424" s="46">
        <f>SUM(O414:O423)</f>
        <v>0</v>
      </c>
      <c r="P424" s="46">
        <f>SUM(P414:P423)</f>
        <v>0</v>
      </c>
      <c r="Q424" s="37">
        <f>SUM(N424:P424)</f>
        <v>0</v>
      </c>
      <c r="R424" s="37">
        <f>+E424+I424+M424+Q424</f>
        <v>3663</v>
      </c>
    </row>
    <row r="425" spans="1:20" ht="15.75" customHeight="1" x14ac:dyDescent="0.3">
      <c r="A425" s="234" t="s">
        <v>1172</v>
      </c>
      <c r="B425" s="172"/>
      <c r="C425" s="172"/>
      <c r="D425" s="172"/>
      <c r="E425" s="38" t="s">
        <v>852</v>
      </c>
      <c r="F425" s="172"/>
      <c r="G425" s="172"/>
      <c r="H425" s="172"/>
      <c r="I425" s="38" t="s">
        <v>852</v>
      </c>
      <c r="J425" s="172"/>
      <c r="K425" s="172"/>
      <c r="L425" s="172"/>
      <c r="M425" s="38" t="s">
        <v>852</v>
      </c>
      <c r="N425" s="172" t="s">
        <v>852</v>
      </c>
      <c r="O425" s="172"/>
      <c r="P425" s="172"/>
      <c r="Q425" s="38" t="s">
        <v>852</v>
      </c>
      <c r="R425" s="38" t="s">
        <v>852</v>
      </c>
    </row>
    <row r="426" spans="1:20" ht="15.75" customHeight="1" x14ac:dyDescent="0.3">
      <c r="A426" s="234" t="s">
        <v>2409</v>
      </c>
      <c r="B426" s="172"/>
      <c r="C426" s="172"/>
      <c r="D426" s="172"/>
      <c r="E426" s="38" t="s">
        <v>852</v>
      </c>
      <c r="F426" s="172"/>
      <c r="G426" s="172"/>
      <c r="H426" s="172"/>
      <c r="I426" s="38" t="s">
        <v>852</v>
      </c>
      <c r="J426" s="172"/>
      <c r="K426" s="172"/>
      <c r="L426" s="172"/>
      <c r="M426" s="38" t="s">
        <v>852</v>
      </c>
      <c r="N426" s="172"/>
      <c r="O426" s="172"/>
      <c r="P426" s="172"/>
      <c r="Q426" s="38" t="s">
        <v>852</v>
      </c>
      <c r="R426" s="38" t="s">
        <v>852</v>
      </c>
    </row>
    <row r="427" spans="1:20" ht="15.75" customHeight="1" x14ac:dyDescent="0.3">
      <c r="A427" s="266" t="s">
        <v>473</v>
      </c>
      <c r="B427" s="10">
        <v>360</v>
      </c>
      <c r="C427" s="10">
        <v>403</v>
      </c>
      <c r="D427" s="10">
        <v>249</v>
      </c>
      <c r="E427" s="38">
        <f>SUM(B427:D427)</f>
        <v>1012</v>
      </c>
      <c r="F427" s="10">
        <v>9177</v>
      </c>
      <c r="G427" s="10">
        <v>1055</v>
      </c>
      <c r="H427" s="10">
        <v>18742</v>
      </c>
      <c r="I427" s="38">
        <f>SUM(F427:H427)</f>
        <v>28974</v>
      </c>
      <c r="J427" s="10">
        <v>14381</v>
      </c>
      <c r="K427" s="10">
        <v>15966</v>
      </c>
      <c r="L427" s="10">
        <v>5023</v>
      </c>
      <c r="M427" s="38">
        <f>SUM(J427:L427)</f>
        <v>35370</v>
      </c>
      <c r="N427" s="10">
        <v>751</v>
      </c>
      <c r="O427" s="10">
        <v>316</v>
      </c>
      <c r="P427" s="10">
        <v>99</v>
      </c>
      <c r="Q427" s="38">
        <f>SUM(N427:P427)</f>
        <v>1166</v>
      </c>
      <c r="R427" s="38">
        <f>+E427+I427+M427+Q427</f>
        <v>66522</v>
      </c>
    </row>
    <row r="428" spans="1:20" ht="15.75" customHeight="1" thickBot="1" x14ac:dyDescent="0.35">
      <c r="A428" s="234" t="s">
        <v>2165</v>
      </c>
      <c r="B428" s="172"/>
      <c r="C428" s="172"/>
      <c r="D428" s="172"/>
      <c r="E428" s="38" t="s">
        <v>852</v>
      </c>
      <c r="F428" s="172"/>
      <c r="G428" s="172"/>
      <c r="H428" s="172"/>
      <c r="I428" s="38" t="s">
        <v>852</v>
      </c>
      <c r="J428" s="172"/>
      <c r="K428" s="172"/>
      <c r="L428" s="172"/>
      <c r="M428" s="38" t="s">
        <v>852</v>
      </c>
      <c r="N428" s="172"/>
      <c r="O428" s="172"/>
      <c r="P428" s="172"/>
      <c r="Q428" s="38" t="s">
        <v>852</v>
      </c>
      <c r="R428" s="38" t="s">
        <v>852</v>
      </c>
    </row>
    <row r="429" spans="1:20" ht="16.5" customHeight="1" thickBot="1" x14ac:dyDescent="0.35">
      <c r="A429" s="43" t="s">
        <v>1219</v>
      </c>
      <c r="B429" s="45">
        <f>SUM(B425:B428)</f>
        <v>360</v>
      </c>
      <c r="C429" s="46">
        <f>SUM(C425:C428)</f>
        <v>403</v>
      </c>
      <c r="D429" s="46">
        <f>SUM(D425:D428)</f>
        <v>249</v>
      </c>
      <c r="E429" s="37">
        <f>SUM(B429:D429)</f>
        <v>1012</v>
      </c>
      <c r="F429" s="46">
        <f>SUM(F425:F428)</f>
        <v>9177</v>
      </c>
      <c r="G429" s="46">
        <f>SUM(G425:G428)</f>
        <v>1055</v>
      </c>
      <c r="H429" s="46">
        <f>SUM(H425:H428)</f>
        <v>18742</v>
      </c>
      <c r="I429" s="37">
        <f>SUM(F429:H429)</f>
        <v>28974</v>
      </c>
      <c r="J429" s="46">
        <f>SUM(J425:J428)</f>
        <v>14381</v>
      </c>
      <c r="K429" s="46">
        <f>SUM(K425:K428)</f>
        <v>15966</v>
      </c>
      <c r="L429" s="46">
        <f>SUM(L425:L428)</f>
        <v>5023</v>
      </c>
      <c r="M429" s="37">
        <f>SUM(J429:L429)</f>
        <v>35370</v>
      </c>
      <c r="N429" s="46">
        <f>SUM(N425:N428)</f>
        <v>751</v>
      </c>
      <c r="O429" s="46">
        <f>SUM(O425:O428)</f>
        <v>316</v>
      </c>
      <c r="P429" s="46">
        <f>SUM(P425:P428)</f>
        <v>99</v>
      </c>
      <c r="Q429" s="37">
        <f>SUM(N429:P429)</f>
        <v>1166</v>
      </c>
      <c r="R429" s="37">
        <f>+E429+I429+M429+Q429</f>
        <v>66522</v>
      </c>
    </row>
    <row r="430" spans="1:20" ht="15.75" customHeight="1" x14ac:dyDescent="0.3">
      <c r="A430" s="234" t="s">
        <v>2166</v>
      </c>
      <c r="B430" s="172"/>
      <c r="C430" s="172"/>
      <c r="D430" s="172"/>
      <c r="E430" s="38" t="s">
        <v>852</v>
      </c>
      <c r="F430" s="172"/>
      <c r="G430" s="172"/>
      <c r="H430" s="172"/>
      <c r="I430" s="38" t="s">
        <v>852</v>
      </c>
      <c r="J430" s="172"/>
      <c r="K430" s="172"/>
      <c r="L430" s="172"/>
      <c r="M430" s="38" t="s">
        <v>852</v>
      </c>
      <c r="N430" s="172"/>
      <c r="O430" s="172"/>
      <c r="P430" s="172"/>
      <c r="Q430" s="38" t="s">
        <v>852</v>
      </c>
      <c r="R430" s="38" t="s">
        <v>852</v>
      </c>
    </row>
    <row r="431" spans="1:20" ht="15.75" customHeight="1" x14ac:dyDescent="0.3">
      <c r="A431" s="234" t="s">
        <v>1245</v>
      </c>
      <c r="B431" s="172"/>
      <c r="C431" s="172"/>
      <c r="D431" s="172"/>
      <c r="E431" s="38" t="s">
        <v>852</v>
      </c>
      <c r="F431" s="172"/>
      <c r="G431" s="172"/>
      <c r="H431" s="172"/>
      <c r="I431" s="38" t="s">
        <v>852</v>
      </c>
      <c r="J431" s="172"/>
      <c r="K431" s="172"/>
      <c r="L431" s="172"/>
      <c r="M431" s="38" t="s">
        <v>852</v>
      </c>
      <c r="N431" s="172"/>
      <c r="O431" s="172"/>
      <c r="P431" s="172"/>
      <c r="Q431" s="38" t="s">
        <v>852</v>
      </c>
      <c r="R431" s="38" t="s">
        <v>852</v>
      </c>
    </row>
    <row r="432" spans="1:20" ht="15.75" customHeight="1" x14ac:dyDescent="0.3">
      <c r="A432" s="234" t="s">
        <v>1711</v>
      </c>
      <c r="B432" s="172"/>
      <c r="C432" s="172"/>
      <c r="D432" s="172"/>
      <c r="E432" s="38" t="s">
        <v>852</v>
      </c>
      <c r="F432" s="172"/>
      <c r="G432" s="172"/>
      <c r="H432" s="172"/>
      <c r="I432" s="38" t="s">
        <v>852</v>
      </c>
      <c r="J432" s="172"/>
      <c r="K432" s="172"/>
      <c r="L432" s="172"/>
      <c r="M432" s="38" t="s">
        <v>852</v>
      </c>
      <c r="N432" s="172"/>
      <c r="O432" s="172"/>
      <c r="P432" s="172"/>
      <c r="Q432" s="38" t="s">
        <v>852</v>
      </c>
      <c r="R432" s="38" t="s">
        <v>852</v>
      </c>
    </row>
    <row r="433" spans="1:20" s="624" customFormat="1" ht="15.75" customHeight="1" thickBot="1" x14ac:dyDescent="0.35">
      <c r="A433" s="621" t="s">
        <v>2838</v>
      </c>
      <c r="B433" s="622"/>
      <c r="C433" s="622"/>
      <c r="D433" s="622">
        <v>8000</v>
      </c>
      <c r="E433" s="623">
        <f>SUM(B433:D433)</f>
        <v>8000</v>
      </c>
      <c r="F433" s="622">
        <v>8000</v>
      </c>
      <c r="G433" s="622">
        <v>10000</v>
      </c>
      <c r="H433" s="622">
        <v>1000</v>
      </c>
      <c r="I433" s="623">
        <f>SUM(F433:H433)</f>
        <v>19000</v>
      </c>
      <c r="J433" s="622">
        <v>3000</v>
      </c>
      <c r="K433" s="622"/>
      <c r="L433" s="622"/>
      <c r="M433" s="623">
        <f>SUM(J433:L433)</f>
        <v>3000</v>
      </c>
      <c r="N433" s="622"/>
      <c r="O433" s="622"/>
      <c r="P433" s="622"/>
      <c r="Q433" s="623">
        <f>SUM(N433:P433)</f>
        <v>0</v>
      </c>
      <c r="R433" s="623">
        <f>+E433+I433+M433+Q433</f>
        <v>30000</v>
      </c>
      <c r="T433" s="624" t="s">
        <v>500</v>
      </c>
    </row>
    <row r="434" spans="1:20" ht="16.5" customHeight="1" thickBot="1" x14ac:dyDescent="0.35">
      <c r="A434" s="277" t="s">
        <v>1220</v>
      </c>
      <c r="B434" s="45">
        <f>SUM(B430:B433)</f>
        <v>0</v>
      </c>
      <c r="C434" s="46">
        <f>SUM(C430:C433)</f>
        <v>0</v>
      </c>
      <c r="D434" s="46">
        <f>SUM(D430:D433)</f>
        <v>8000</v>
      </c>
      <c r="E434" s="37">
        <f>SUM(B434:D434)</f>
        <v>8000</v>
      </c>
      <c r="F434" s="46">
        <f>SUM(F430:F433)</f>
        <v>8000</v>
      </c>
      <c r="G434" s="46">
        <f>SUM(G430:G433)</f>
        <v>10000</v>
      </c>
      <c r="H434" s="46">
        <f>SUM(H430:H433)</f>
        <v>1000</v>
      </c>
      <c r="I434" s="37">
        <f>SUM(F434:H434)</f>
        <v>19000</v>
      </c>
      <c r="J434" s="46">
        <f>SUM(J430:J433)</f>
        <v>3000</v>
      </c>
      <c r="K434" s="46">
        <f>SUM(K430:K433)</f>
        <v>0</v>
      </c>
      <c r="L434" s="46">
        <f>SUM(L430:L433)</f>
        <v>0</v>
      </c>
      <c r="M434" s="37">
        <f>SUM(J434:L434)</f>
        <v>3000</v>
      </c>
      <c r="N434" s="46">
        <f>SUM(N430:N433)</f>
        <v>0</v>
      </c>
      <c r="O434" s="46">
        <f>SUM(O430:O433)</f>
        <v>0</v>
      </c>
      <c r="P434" s="46">
        <f>SUM(P430:P433)</f>
        <v>0</v>
      </c>
      <c r="Q434" s="37">
        <f>SUM(N434:P434)</f>
        <v>0</v>
      </c>
      <c r="R434" s="37">
        <f>+E434+I434+M434+Q434</f>
        <v>30000</v>
      </c>
    </row>
    <row r="435" spans="1:20" ht="15.75" customHeight="1" x14ac:dyDescent="0.3">
      <c r="A435" s="234" t="s">
        <v>1712</v>
      </c>
      <c r="B435" s="172"/>
      <c r="C435" s="172"/>
      <c r="D435" s="172"/>
      <c r="E435" s="38" t="s">
        <v>852</v>
      </c>
      <c r="F435" s="172"/>
      <c r="G435" s="172"/>
      <c r="H435" s="172"/>
      <c r="I435" s="38" t="s">
        <v>852</v>
      </c>
      <c r="J435" s="172"/>
      <c r="K435" s="172"/>
      <c r="L435" s="172"/>
      <c r="M435" s="38" t="s">
        <v>852</v>
      </c>
      <c r="N435" s="172"/>
      <c r="O435" s="172"/>
      <c r="P435" s="172"/>
      <c r="Q435" s="38" t="s">
        <v>852</v>
      </c>
      <c r="R435" s="38" t="s">
        <v>852</v>
      </c>
    </row>
    <row r="436" spans="1:20" ht="15.75" customHeight="1" x14ac:dyDescent="0.3">
      <c r="A436" s="234" t="s">
        <v>1021</v>
      </c>
      <c r="B436" s="172"/>
      <c r="C436" s="172"/>
      <c r="D436" s="172"/>
      <c r="E436" s="38" t="s">
        <v>852</v>
      </c>
      <c r="F436" s="172"/>
      <c r="G436" s="172"/>
      <c r="H436" s="172"/>
      <c r="I436" s="38" t="s">
        <v>852</v>
      </c>
      <c r="J436" s="172"/>
      <c r="K436" s="172"/>
      <c r="L436" s="172"/>
      <c r="M436" s="38" t="s">
        <v>852</v>
      </c>
      <c r="N436" s="172"/>
      <c r="O436" s="172"/>
      <c r="P436" s="172"/>
      <c r="Q436" s="38" t="s">
        <v>852</v>
      </c>
      <c r="R436" s="38" t="s">
        <v>852</v>
      </c>
    </row>
    <row r="437" spans="1:20" ht="15.75" customHeight="1" x14ac:dyDescent="0.3">
      <c r="A437" s="234" t="s">
        <v>557</v>
      </c>
      <c r="B437" s="172"/>
      <c r="C437" s="172"/>
      <c r="D437" s="172"/>
      <c r="E437" s="38" t="s">
        <v>852</v>
      </c>
      <c r="F437" s="172"/>
      <c r="G437" s="172"/>
      <c r="H437" s="172"/>
      <c r="I437" s="38" t="s">
        <v>852</v>
      </c>
      <c r="J437" s="172"/>
      <c r="K437" s="172"/>
      <c r="L437" s="172"/>
      <c r="M437" s="38" t="s">
        <v>852</v>
      </c>
      <c r="N437" s="172"/>
      <c r="O437" s="172"/>
      <c r="P437" s="172"/>
      <c r="Q437" s="38" t="s">
        <v>852</v>
      </c>
      <c r="R437" s="38" t="s">
        <v>852</v>
      </c>
    </row>
    <row r="438" spans="1:20" ht="15.75" customHeight="1" x14ac:dyDescent="0.3">
      <c r="A438" s="234" t="s">
        <v>1022</v>
      </c>
      <c r="B438" s="172"/>
      <c r="C438" s="172"/>
      <c r="D438" s="172"/>
      <c r="E438" s="38" t="s">
        <v>852</v>
      </c>
      <c r="F438" s="172"/>
      <c r="G438" s="172"/>
      <c r="H438" s="172"/>
      <c r="I438" s="38" t="s">
        <v>852</v>
      </c>
      <c r="J438" s="172"/>
      <c r="K438" s="172"/>
      <c r="L438" s="172"/>
      <c r="M438" s="38" t="s">
        <v>852</v>
      </c>
      <c r="N438" s="172"/>
      <c r="O438" s="172"/>
      <c r="P438" s="172"/>
      <c r="Q438" s="38" t="s">
        <v>852</v>
      </c>
      <c r="R438" s="38" t="s">
        <v>852</v>
      </c>
    </row>
    <row r="439" spans="1:20" ht="15.75" customHeight="1" x14ac:dyDescent="0.3">
      <c r="A439" s="234" t="s">
        <v>559</v>
      </c>
      <c r="B439" s="172"/>
      <c r="C439" s="172"/>
      <c r="D439" s="172"/>
      <c r="E439" s="38" t="s">
        <v>852</v>
      </c>
      <c r="F439" s="172"/>
      <c r="G439" s="172"/>
      <c r="H439" s="172"/>
      <c r="I439" s="38" t="s">
        <v>852</v>
      </c>
      <c r="J439" s="172"/>
      <c r="K439" s="172"/>
      <c r="L439" s="172"/>
      <c r="M439" s="38" t="s">
        <v>852</v>
      </c>
      <c r="N439" s="172"/>
      <c r="O439" s="172"/>
      <c r="P439" s="172"/>
      <c r="Q439" s="38" t="s">
        <v>852</v>
      </c>
      <c r="R439" s="38" t="s">
        <v>852</v>
      </c>
    </row>
    <row r="440" spans="1:20" ht="15.75" customHeight="1" x14ac:dyDescent="0.3">
      <c r="A440" s="539" t="s">
        <v>2833</v>
      </c>
      <c r="B440" s="10"/>
      <c r="C440" s="10"/>
      <c r="D440" s="10"/>
      <c r="E440" s="38">
        <f t="shared" ref="E440:E445" si="88">SUM(B440:D440)</f>
        <v>0</v>
      </c>
      <c r="F440" s="10"/>
      <c r="G440" s="10"/>
      <c r="H440" s="10"/>
      <c r="I440" s="38">
        <f t="shared" ref="I440:I445" si="89">SUM(F440:H440)</f>
        <v>0</v>
      </c>
      <c r="J440" s="10"/>
      <c r="K440" s="10">
        <v>2868</v>
      </c>
      <c r="L440" s="10">
        <v>1732</v>
      </c>
      <c r="M440" s="38">
        <f t="shared" ref="M440:M445" si="90">SUM(J440:L440)</f>
        <v>4600</v>
      </c>
      <c r="N440" s="10"/>
      <c r="O440" s="10"/>
      <c r="P440" s="10">
        <v>2095</v>
      </c>
      <c r="Q440" s="38">
        <f t="shared" ref="Q440:Q445" si="91">SUM(N440:P440)</f>
        <v>2095</v>
      </c>
      <c r="R440" s="38">
        <f t="shared" ref="R440:R445" si="92">+E440+I440+M440+Q440</f>
        <v>6695</v>
      </c>
      <c r="T440" t="s">
        <v>500</v>
      </c>
    </row>
    <row r="441" spans="1:20" ht="15.75" customHeight="1" thickBot="1" x14ac:dyDescent="0.35">
      <c r="A441" s="539" t="s">
        <v>2834</v>
      </c>
      <c r="B441" s="172"/>
      <c r="C441" s="172"/>
      <c r="D441" s="172"/>
      <c r="E441" s="38">
        <f t="shared" si="88"/>
        <v>0</v>
      </c>
      <c r="F441" s="172"/>
      <c r="G441" s="172"/>
      <c r="H441" s="172"/>
      <c r="I441" s="38">
        <f t="shared" si="89"/>
        <v>0</v>
      </c>
      <c r="J441" s="172"/>
      <c r="K441" s="172"/>
      <c r="L441" s="172"/>
      <c r="M441" s="38">
        <f t="shared" si="90"/>
        <v>0</v>
      </c>
      <c r="N441" s="172"/>
      <c r="O441" s="172"/>
      <c r="P441" s="172"/>
      <c r="Q441" s="38">
        <f t="shared" si="91"/>
        <v>0</v>
      </c>
      <c r="R441" s="38">
        <f t="shared" si="92"/>
        <v>0</v>
      </c>
      <c r="T441" t="s">
        <v>500</v>
      </c>
    </row>
    <row r="442" spans="1:20" ht="16.5" customHeight="1" thickBot="1" x14ac:dyDescent="0.35">
      <c r="A442" s="43" t="s">
        <v>1019</v>
      </c>
      <c r="B442" s="42">
        <f>SUM(B438:B441)</f>
        <v>0</v>
      </c>
      <c r="C442" s="42">
        <f>SUM(C438:C441)</f>
        <v>0</v>
      </c>
      <c r="D442" s="42">
        <f>SUM(D438:D441)</f>
        <v>0</v>
      </c>
      <c r="E442" s="39">
        <f t="shared" si="88"/>
        <v>0</v>
      </c>
      <c r="F442" s="42">
        <f>SUM(F438:F441)</f>
        <v>0</v>
      </c>
      <c r="G442" s="42">
        <f>SUM(G438:G441)</f>
        <v>0</v>
      </c>
      <c r="H442" s="42">
        <f>SUM(H438:H441)</f>
        <v>0</v>
      </c>
      <c r="I442" s="39">
        <f t="shared" si="89"/>
        <v>0</v>
      </c>
      <c r="J442" s="42">
        <f>SUM(J438:J441)</f>
        <v>0</v>
      </c>
      <c r="K442" s="42">
        <f>SUM(K438:K441)</f>
        <v>2868</v>
      </c>
      <c r="L442" s="42">
        <f>SUM(L438:L441)</f>
        <v>1732</v>
      </c>
      <c r="M442" s="39">
        <f t="shared" si="90"/>
        <v>4600</v>
      </c>
      <c r="N442" s="42">
        <f>SUM(N438:N441)</f>
        <v>0</v>
      </c>
      <c r="O442" s="42">
        <f>SUM(O438:O441)</f>
        <v>0</v>
      </c>
      <c r="P442" s="42">
        <f>SUM(P438:P441)</f>
        <v>2095</v>
      </c>
      <c r="Q442" s="39">
        <f t="shared" si="91"/>
        <v>2095</v>
      </c>
      <c r="R442" s="37">
        <f t="shared" si="92"/>
        <v>6695</v>
      </c>
    </row>
    <row r="443" spans="1:20" ht="16.5" customHeight="1" thickBot="1" x14ac:dyDescent="0.35">
      <c r="A443" s="277" t="s">
        <v>1221</v>
      </c>
      <c r="B443" s="45">
        <f>SUM(B435:B441)</f>
        <v>0</v>
      </c>
      <c r="C443" s="46">
        <f>SUM(C435:C441)</f>
        <v>0</v>
      </c>
      <c r="D443" s="58">
        <f>SUM(D435:D441)</f>
        <v>0</v>
      </c>
      <c r="E443" s="39">
        <f t="shared" si="88"/>
        <v>0</v>
      </c>
      <c r="F443" s="46">
        <f>SUM(F435:F441)</f>
        <v>0</v>
      </c>
      <c r="G443" s="46">
        <f>SUM(G435:G441)</f>
        <v>0</v>
      </c>
      <c r="H443" s="46">
        <f>SUM(H435:H441)</f>
        <v>0</v>
      </c>
      <c r="I443" s="39">
        <f t="shared" si="89"/>
        <v>0</v>
      </c>
      <c r="J443" s="46">
        <f>SUM(J435:J441)</f>
        <v>0</v>
      </c>
      <c r="K443" s="46">
        <f>SUM(K435:K441)</f>
        <v>2868</v>
      </c>
      <c r="L443" s="46">
        <f>SUM(L435:L441)</f>
        <v>1732</v>
      </c>
      <c r="M443" s="39">
        <f t="shared" si="90"/>
        <v>4600</v>
      </c>
      <c r="N443" s="46">
        <f>SUM(N435:N441)</f>
        <v>0</v>
      </c>
      <c r="O443" s="46">
        <f>SUM(O435:O441)</f>
        <v>0</v>
      </c>
      <c r="P443" s="46">
        <f>SUM(P435:P441)</f>
        <v>2095</v>
      </c>
      <c r="Q443" s="39">
        <f t="shared" si="91"/>
        <v>2095</v>
      </c>
      <c r="R443" s="37">
        <f t="shared" si="92"/>
        <v>6695</v>
      </c>
    </row>
    <row r="444" spans="1:20" ht="16.5" customHeight="1" thickBot="1" x14ac:dyDescent="0.35">
      <c r="A444" s="43" t="s">
        <v>1222</v>
      </c>
      <c r="B444" s="47">
        <f>+B424+B429+B434+B443</f>
        <v>360</v>
      </c>
      <c r="C444" s="42">
        <f>+C424+C429+C434+C443</f>
        <v>403</v>
      </c>
      <c r="D444" s="42">
        <f>+D424+D429+D434+D443</f>
        <v>8249</v>
      </c>
      <c r="E444" s="37">
        <f t="shared" si="88"/>
        <v>9012</v>
      </c>
      <c r="F444" s="42">
        <f>+F424+F429+F434+F443</f>
        <v>17177</v>
      </c>
      <c r="G444" s="42">
        <f>+G424+G429+G434+G443</f>
        <v>13103</v>
      </c>
      <c r="H444" s="42">
        <f>+H424+H429+H434+H443</f>
        <v>21353</v>
      </c>
      <c r="I444" s="37">
        <f t="shared" si="89"/>
        <v>51633</v>
      </c>
      <c r="J444" s="42">
        <f>+J424+J429+J434+J443</f>
        <v>17385</v>
      </c>
      <c r="K444" s="42">
        <f>+K424+K429+K434+K443</f>
        <v>18834</v>
      </c>
      <c r="L444" s="42">
        <f>+L424+L429+L434+L443</f>
        <v>6755</v>
      </c>
      <c r="M444" s="37">
        <f t="shared" si="90"/>
        <v>42974</v>
      </c>
      <c r="N444" s="42">
        <f>+N424+N429+N434+N443</f>
        <v>751</v>
      </c>
      <c r="O444" s="42">
        <f>+O424+O429+O434+O443</f>
        <v>316</v>
      </c>
      <c r="P444" s="42">
        <f>+P424+P429+P434+P443</f>
        <v>2194</v>
      </c>
      <c r="Q444" s="37">
        <f t="shared" si="91"/>
        <v>3261</v>
      </c>
      <c r="R444" s="40">
        <f t="shared" si="92"/>
        <v>106880</v>
      </c>
    </row>
    <row r="445" spans="1:20" ht="16.5" customHeight="1" thickBot="1" x14ac:dyDescent="0.35">
      <c r="A445" s="244" t="s">
        <v>853</v>
      </c>
      <c r="B445" s="238">
        <v>9</v>
      </c>
      <c r="C445" s="238">
        <v>16</v>
      </c>
      <c r="D445" s="238">
        <v>25</v>
      </c>
      <c r="E445" s="38">
        <f t="shared" si="88"/>
        <v>50</v>
      </c>
      <c r="F445" s="238">
        <v>34</v>
      </c>
      <c r="G445" s="238">
        <v>41</v>
      </c>
      <c r="H445" s="238">
        <v>41</v>
      </c>
      <c r="I445" s="38">
        <f t="shared" si="89"/>
        <v>116</v>
      </c>
      <c r="J445" s="238">
        <v>39</v>
      </c>
      <c r="K445" s="238">
        <v>30</v>
      </c>
      <c r="L445" s="238">
        <v>30</v>
      </c>
      <c r="M445" s="38">
        <f t="shared" si="90"/>
        <v>99</v>
      </c>
      <c r="N445" s="238">
        <v>28</v>
      </c>
      <c r="O445" s="238">
        <v>22</v>
      </c>
      <c r="P445" s="238">
        <v>16</v>
      </c>
      <c r="Q445" s="38">
        <f t="shared" si="91"/>
        <v>66</v>
      </c>
      <c r="R445" s="38">
        <f t="shared" si="92"/>
        <v>331</v>
      </c>
    </row>
    <row r="446" spans="1:20" ht="16.5" customHeight="1" thickBot="1" x14ac:dyDescent="0.35">
      <c r="A446" s="44"/>
      <c r="B446" s="258"/>
      <c r="C446" s="258"/>
      <c r="D446" s="258"/>
      <c r="E446" s="37"/>
      <c r="F446" s="258"/>
      <c r="G446" s="258"/>
      <c r="H446" s="258"/>
      <c r="I446" s="37"/>
      <c r="J446" s="258"/>
      <c r="K446" s="258"/>
      <c r="L446" s="258"/>
      <c r="M446" s="37"/>
      <c r="N446" s="258"/>
      <c r="O446" s="258"/>
      <c r="P446" s="258"/>
      <c r="Q446" s="37"/>
      <c r="R446" s="37" t="s">
        <v>852</v>
      </c>
    </row>
    <row r="447" spans="1:20" ht="15.75" customHeight="1" x14ac:dyDescent="0.3">
      <c r="A447" s="259" t="s">
        <v>2011</v>
      </c>
      <c r="B447" s="260">
        <f>SUM(B444:B445)</f>
        <v>369</v>
      </c>
      <c r="C447" s="260">
        <f>SUM(C444:C445)</f>
        <v>419</v>
      </c>
      <c r="D447" s="260">
        <f>SUM(D444:D445)</f>
        <v>8274</v>
      </c>
      <c r="E447" s="39">
        <f>SUM(B447:D447)</f>
        <v>9062</v>
      </c>
      <c r="F447" s="260">
        <f>SUM(F444:F445)</f>
        <v>17211</v>
      </c>
      <c r="G447" s="260">
        <f>SUM(G444:G445)</f>
        <v>13144</v>
      </c>
      <c r="H447" s="260">
        <f>SUM(H444:H445)</f>
        <v>21394</v>
      </c>
      <c r="I447" s="39">
        <f>SUM(F447:H447)</f>
        <v>51749</v>
      </c>
      <c r="J447" s="260">
        <f>SUM(J444:J445)</f>
        <v>17424</v>
      </c>
      <c r="K447" s="260">
        <f>SUM(K444:K445)</f>
        <v>18864</v>
      </c>
      <c r="L447" s="260">
        <f>SUM(L444:L445)</f>
        <v>6785</v>
      </c>
      <c r="M447" s="39">
        <f>SUM(J447:L447)</f>
        <v>43073</v>
      </c>
      <c r="N447" s="260">
        <f>SUM(N444:N445)</f>
        <v>779</v>
      </c>
      <c r="O447" s="260">
        <f>SUM(O444:O445)</f>
        <v>338</v>
      </c>
      <c r="P447" s="260">
        <f>SUM(P444:P445)</f>
        <v>2210</v>
      </c>
      <c r="Q447" s="39">
        <f>SUM(N447:P447)</f>
        <v>3327</v>
      </c>
      <c r="R447" s="39">
        <f>+E447+I447+M447+Q447</f>
        <v>107211</v>
      </c>
    </row>
    <row r="448" spans="1:20" ht="15.75" customHeight="1" x14ac:dyDescent="0.3">
      <c r="A448" s="262" t="s">
        <v>1897</v>
      </c>
      <c r="B448" s="172">
        <f>(B447/B10)/1.983</f>
        <v>6.0026353033038884</v>
      </c>
      <c r="C448" s="172">
        <f>(C447/C10)/1.983</f>
        <v>7.5462862906130672</v>
      </c>
      <c r="D448" s="172">
        <f>(D447/D10)/1.983</f>
        <v>134.59567615050508</v>
      </c>
      <c r="E448" s="38" t="s">
        <v>852</v>
      </c>
      <c r="F448" s="172">
        <f>(F447/F10)/1.983</f>
        <v>289.309127584468</v>
      </c>
      <c r="G448" s="172">
        <f>(G447/G10)/1.983</f>
        <v>213.81744831064043</v>
      </c>
      <c r="H448" s="172">
        <f>(H447/H10)/1.983</f>
        <v>359.62346612876109</v>
      </c>
      <c r="I448" s="38" t="s">
        <v>852</v>
      </c>
      <c r="J448" s="172">
        <f>(J447/J10)/1.983</f>
        <v>283.44151090722755</v>
      </c>
      <c r="K448" s="172">
        <f>(K447/K10)/1.983</f>
        <v>306.8664291640232</v>
      </c>
      <c r="L448" s="172">
        <f>(L447/L10)/1.983</f>
        <v>114.05278198016472</v>
      </c>
      <c r="M448" s="38" t="s">
        <v>852</v>
      </c>
      <c r="N448" s="172">
        <f>(N447/N10)/1.983</f>
        <v>12.672230084752655</v>
      </c>
      <c r="O448" s="172">
        <f>(O447/O10)/1.983</f>
        <v>5.6816271642292824</v>
      </c>
      <c r="P448" s="172">
        <f>(P447/P10)/1.983</f>
        <v>35.950742602443349</v>
      </c>
      <c r="Q448" s="38" t="s">
        <v>852</v>
      </c>
      <c r="R448" s="38" t="s">
        <v>852</v>
      </c>
    </row>
    <row r="449" spans="1:18" ht="15.75" customHeight="1" x14ac:dyDescent="0.3">
      <c r="A449" s="262" t="s">
        <v>575</v>
      </c>
      <c r="B449" s="172">
        <f>B447+B491</f>
        <v>16452</v>
      </c>
      <c r="C449" s="172">
        <f>C447+C491</f>
        <v>18357</v>
      </c>
      <c r="D449" s="172">
        <f>D447+D491</f>
        <v>30605</v>
      </c>
      <c r="E449" s="38">
        <f>SUM(B449:D449)</f>
        <v>65414</v>
      </c>
      <c r="F449" s="172">
        <f>F447+F491</f>
        <v>51626</v>
      </c>
      <c r="G449" s="172">
        <f>G447+G491</f>
        <v>40910</v>
      </c>
      <c r="H449" s="172">
        <f>H447+H491</f>
        <v>51790</v>
      </c>
      <c r="I449" s="38">
        <f>SUM(F449:H449)</f>
        <v>144326</v>
      </c>
      <c r="J449" s="172">
        <f>J447+J491</f>
        <v>43921</v>
      </c>
      <c r="K449" s="172">
        <f>K447+K491</f>
        <v>49364</v>
      </c>
      <c r="L449" s="172">
        <f>L447+L491</f>
        <v>31850</v>
      </c>
      <c r="M449" s="38">
        <f>SUM(J449:L449)</f>
        <v>125135</v>
      </c>
      <c r="N449" s="172">
        <f>N447+N491</f>
        <v>15811</v>
      </c>
      <c r="O449" s="172">
        <f>O447+O491</f>
        <v>9452</v>
      </c>
      <c r="P449" s="172">
        <f>P447+P491</f>
        <v>20820</v>
      </c>
      <c r="Q449" s="38">
        <f>SUM(N449:P449)</f>
        <v>46083</v>
      </c>
      <c r="R449" s="38">
        <f>+E449+I449+M449+Q449</f>
        <v>380958</v>
      </c>
    </row>
    <row r="450" spans="1:18" ht="16.5" customHeight="1" thickBot="1" x14ac:dyDescent="0.35">
      <c r="A450" s="263" t="s">
        <v>576</v>
      </c>
      <c r="B450" s="264">
        <f>(B449/B10)/1.983</f>
        <v>267.62969108389052</v>
      </c>
      <c r="C450" s="264">
        <f>(C449/C10)/1.983</f>
        <v>330.61378863194295</v>
      </c>
      <c r="D450" s="264">
        <f>(D449/D10)/1.983</f>
        <v>497.86084947863287</v>
      </c>
      <c r="E450" s="40" t="s">
        <v>852</v>
      </c>
      <c r="F450" s="264">
        <f>(F449/F10)/1.983</f>
        <v>867.8097159186417</v>
      </c>
      <c r="G450" s="264">
        <f>(G449/G10)/1.983</f>
        <v>665.49542075382692</v>
      </c>
      <c r="H450" s="264">
        <f>(H449/H10)/1.983</f>
        <v>870.56648176164049</v>
      </c>
      <c r="I450" s="40" t="s">
        <v>852</v>
      </c>
      <c r="J450" s="264">
        <f>(J449/J10)/1.983</f>
        <v>714.4762741366128</v>
      </c>
      <c r="K450" s="264">
        <f>(K449/K10)/1.983</f>
        <v>803.0192116864315</v>
      </c>
      <c r="L450" s="264">
        <f>(L449/L10)/1.983</f>
        <v>535.38409816775925</v>
      </c>
      <c r="M450" s="40" t="s">
        <v>852</v>
      </c>
      <c r="N450" s="264">
        <f>(N449/N10)/1.983</f>
        <v>257.20234899874742</v>
      </c>
      <c r="O450" s="264">
        <f>(O449/O10)/1.983</f>
        <v>158.88384602454192</v>
      </c>
      <c r="P450" s="264">
        <f>(P449/P10)/1.983</f>
        <v>338.68527646283735</v>
      </c>
      <c r="Q450" s="40" t="s">
        <v>852</v>
      </c>
      <c r="R450" s="40" t="s">
        <v>852</v>
      </c>
    </row>
    <row r="451" spans="1:18" ht="15.75" customHeight="1" x14ac:dyDescent="0.3">
      <c r="A451" s="17"/>
      <c r="B451" s="172"/>
      <c r="C451" s="172"/>
      <c r="D451" s="172"/>
      <c r="E451" s="172"/>
      <c r="F451" s="172"/>
      <c r="G451" s="172"/>
      <c r="H451" s="172"/>
      <c r="I451" s="172"/>
      <c r="J451" s="172"/>
      <c r="K451" s="172"/>
      <c r="L451" s="172"/>
      <c r="M451" s="172"/>
      <c r="N451" s="172"/>
      <c r="O451" s="172"/>
      <c r="P451" s="172"/>
      <c r="Q451" s="172"/>
      <c r="R451" s="17"/>
    </row>
    <row r="452" spans="1:18" ht="15.75" customHeight="1" thickBot="1" x14ac:dyDescent="0.35">
      <c r="A452" s="17"/>
      <c r="B452" s="172"/>
      <c r="C452" s="172"/>
      <c r="D452" s="172"/>
      <c r="E452" s="172"/>
      <c r="F452" s="172"/>
      <c r="G452" s="172"/>
      <c r="H452" s="172"/>
      <c r="I452" s="172"/>
      <c r="J452" s="172"/>
      <c r="K452" s="172"/>
      <c r="L452" s="172"/>
      <c r="M452" s="172"/>
      <c r="N452" s="172"/>
      <c r="O452" s="172"/>
      <c r="P452" s="172"/>
      <c r="Q452" s="172"/>
      <c r="R452" s="17"/>
    </row>
    <row r="453" spans="1:18" ht="16.5" customHeight="1" thickBot="1" x14ac:dyDescent="0.35">
      <c r="A453" s="278" t="s">
        <v>689</v>
      </c>
      <c r="B453" s="4" t="s">
        <v>2090</v>
      </c>
      <c r="C453" s="5" t="s">
        <v>2091</v>
      </c>
      <c r="D453" s="5" t="s">
        <v>2234</v>
      </c>
      <c r="E453" s="33" t="s">
        <v>1594</v>
      </c>
      <c r="F453" s="5" t="s">
        <v>2235</v>
      </c>
      <c r="G453" s="5" t="s">
        <v>2236</v>
      </c>
      <c r="H453" s="5" t="s">
        <v>2237</v>
      </c>
      <c r="I453" s="35" t="s">
        <v>1595</v>
      </c>
      <c r="J453" s="5" t="s">
        <v>1504</v>
      </c>
      <c r="K453" s="5" t="s">
        <v>1505</v>
      </c>
      <c r="L453" s="5" t="s">
        <v>1506</v>
      </c>
      <c r="M453" s="35" t="s">
        <v>1596</v>
      </c>
      <c r="N453" s="5" t="s">
        <v>1507</v>
      </c>
      <c r="O453" s="5" t="s">
        <v>1508</v>
      </c>
      <c r="P453" s="5" t="s">
        <v>1509</v>
      </c>
      <c r="Q453" s="35" t="s">
        <v>1597</v>
      </c>
      <c r="R453" s="36" t="s">
        <v>1510</v>
      </c>
    </row>
    <row r="454" spans="1:18" ht="16.5" customHeight="1" thickBot="1" x14ac:dyDescent="0.35">
      <c r="A454" s="37"/>
      <c r="B454" s="258"/>
      <c r="C454" s="258"/>
      <c r="D454" s="258"/>
      <c r="E454" s="254"/>
      <c r="F454" s="258"/>
      <c r="G454" s="258"/>
      <c r="H454" s="258"/>
      <c r="I454" s="265"/>
      <c r="J454" s="258"/>
      <c r="K454" s="258"/>
      <c r="L454" s="258"/>
      <c r="M454" s="265"/>
      <c r="N454" s="258"/>
      <c r="O454" s="258"/>
      <c r="P454" s="258"/>
      <c r="Q454" s="265"/>
      <c r="R454" s="52"/>
    </row>
    <row r="455" spans="1:18" ht="15.75" customHeight="1" x14ac:dyDescent="0.3">
      <c r="A455" s="234" t="s">
        <v>2417</v>
      </c>
      <c r="B455" s="172" t="s">
        <v>852</v>
      </c>
      <c r="C455" s="172" t="s">
        <v>852</v>
      </c>
      <c r="D455" s="172" t="s">
        <v>852</v>
      </c>
      <c r="E455" s="38" t="s">
        <v>852</v>
      </c>
      <c r="F455" s="172" t="s">
        <v>852</v>
      </c>
      <c r="G455" s="172" t="s">
        <v>852</v>
      </c>
      <c r="H455" s="172" t="s">
        <v>852</v>
      </c>
      <c r="I455" s="38" t="s">
        <v>852</v>
      </c>
      <c r="J455" s="172" t="s">
        <v>852</v>
      </c>
      <c r="K455" s="172" t="s">
        <v>852</v>
      </c>
      <c r="L455" s="172" t="s">
        <v>852</v>
      </c>
      <c r="M455" s="38" t="s">
        <v>852</v>
      </c>
      <c r="N455" s="172" t="s">
        <v>852</v>
      </c>
      <c r="O455" s="172" t="s">
        <v>852</v>
      </c>
      <c r="P455" s="172" t="s">
        <v>852</v>
      </c>
      <c r="Q455" s="38" t="s">
        <v>852</v>
      </c>
      <c r="R455" s="38" t="s">
        <v>852</v>
      </c>
    </row>
    <row r="456" spans="1:18" ht="15.75" customHeight="1" x14ac:dyDescent="0.3">
      <c r="A456" s="234" t="s">
        <v>2160</v>
      </c>
      <c r="B456" s="172"/>
      <c r="C456" s="172"/>
      <c r="D456" s="172"/>
      <c r="E456" s="38" t="s">
        <v>852</v>
      </c>
      <c r="F456" s="172"/>
      <c r="G456" s="172"/>
      <c r="H456" s="172"/>
      <c r="I456" s="38" t="s">
        <v>852</v>
      </c>
      <c r="J456" s="172"/>
      <c r="K456" s="172"/>
      <c r="L456" s="172"/>
      <c r="M456" s="38" t="s">
        <v>852</v>
      </c>
      <c r="N456" s="172"/>
      <c r="O456" s="172"/>
      <c r="P456" s="172"/>
      <c r="Q456" s="38" t="s">
        <v>852</v>
      </c>
      <c r="R456" s="38" t="s">
        <v>852</v>
      </c>
    </row>
    <row r="457" spans="1:18" ht="15.75" customHeight="1" x14ac:dyDescent="0.3">
      <c r="A457" s="310" t="s">
        <v>1478</v>
      </c>
      <c r="B457" s="10"/>
      <c r="C457" s="10"/>
      <c r="D457" s="10"/>
      <c r="E457" s="38">
        <f>SUM(B457:D457)</f>
        <v>0</v>
      </c>
      <c r="F457" s="10"/>
      <c r="G457" s="10">
        <v>861</v>
      </c>
      <c r="H457" s="10">
        <v>139</v>
      </c>
      <c r="I457" s="38">
        <f>SUM(F457:H457)</f>
        <v>1000</v>
      </c>
      <c r="J457" s="10"/>
      <c r="K457" s="10"/>
      <c r="L457" s="10"/>
      <c r="M457" s="38">
        <f>SUM(J457:L457)</f>
        <v>0</v>
      </c>
      <c r="N457" s="10"/>
      <c r="O457" s="10"/>
      <c r="P457" s="10"/>
      <c r="Q457" s="38">
        <f>SUM(N457:P457)</f>
        <v>0</v>
      </c>
      <c r="R457" s="38">
        <f>+E457+I457+M457+Q457</f>
        <v>1000</v>
      </c>
    </row>
    <row r="458" spans="1:18" ht="15.75" customHeight="1" x14ac:dyDescent="0.3">
      <c r="A458" s="266" t="s">
        <v>485</v>
      </c>
      <c r="B458" s="172"/>
      <c r="C458" s="172"/>
      <c r="D458" s="172"/>
      <c r="E458" s="38">
        <f>SUM(B458:D458)</f>
        <v>0</v>
      </c>
      <c r="F458" s="172"/>
      <c r="G458" s="172"/>
      <c r="H458" s="172">
        <v>1273</v>
      </c>
      <c r="I458" s="38">
        <f>SUM(F458:H458)</f>
        <v>1273</v>
      </c>
      <c r="J458" s="172">
        <v>1299</v>
      </c>
      <c r="K458" s="172">
        <v>1428</v>
      </c>
      <c r="L458" s="172"/>
      <c r="M458" s="38">
        <f>SUM(J458:L458)</f>
        <v>2727</v>
      </c>
      <c r="N458" s="172"/>
      <c r="O458" s="172"/>
      <c r="P458" s="172"/>
      <c r="Q458" s="38">
        <f>SUM(N458:P458)</f>
        <v>0</v>
      </c>
      <c r="R458" s="38">
        <f>+E458+I458+M458+Q458</f>
        <v>4000</v>
      </c>
    </row>
    <row r="459" spans="1:18" ht="15.75" customHeight="1" x14ac:dyDescent="0.3">
      <c r="A459" s="310" t="s">
        <v>1938</v>
      </c>
      <c r="B459" s="10"/>
      <c r="C459" s="10"/>
      <c r="D459" s="10"/>
      <c r="E459" s="38">
        <f>SUM(B459:D459)</f>
        <v>0</v>
      </c>
      <c r="F459" s="10"/>
      <c r="G459" s="10"/>
      <c r="H459" s="10"/>
      <c r="I459" s="38">
        <f>SUM(F459:H459)</f>
        <v>0</v>
      </c>
      <c r="J459" s="10"/>
      <c r="K459" s="10">
        <v>6</v>
      </c>
      <c r="L459" s="10">
        <v>894</v>
      </c>
      <c r="M459" s="38">
        <f>SUM(J459:L459)</f>
        <v>900</v>
      </c>
      <c r="N459" s="10">
        <v>167</v>
      </c>
      <c r="O459" s="10">
        <v>726</v>
      </c>
      <c r="P459" s="10">
        <v>62</v>
      </c>
      <c r="Q459" s="38">
        <f>SUM(N459:P459)</f>
        <v>955</v>
      </c>
      <c r="R459" s="38">
        <f>+E459+I459+M459+Q459</f>
        <v>1855</v>
      </c>
    </row>
    <row r="460" spans="1:18" ht="15.75" customHeight="1" x14ac:dyDescent="0.3">
      <c r="A460" s="234" t="s">
        <v>2161</v>
      </c>
      <c r="B460" s="172"/>
      <c r="C460" s="172"/>
      <c r="D460" s="172"/>
      <c r="E460" s="38" t="s">
        <v>852</v>
      </c>
      <c r="F460" s="172"/>
      <c r="G460" s="172"/>
      <c r="H460" s="172"/>
      <c r="I460" s="38" t="s">
        <v>852</v>
      </c>
      <c r="J460" s="172"/>
      <c r="K460" s="172"/>
      <c r="L460" s="172"/>
      <c r="M460" s="38" t="s">
        <v>852</v>
      </c>
      <c r="N460" s="172"/>
      <c r="O460" s="172"/>
      <c r="P460" s="172"/>
      <c r="Q460" s="38" t="s">
        <v>852</v>
      </c>
      <c r="R460" s="38" t="s">
        <v>852</v>
      </c>
    </row>
    <row r="461" spans="1:18" ht="15.75" customHeight="1" x14ac:dyDescent="0.3">
      <c r="A461" s="234" t="s">
        <v>2162</v>
      </c>
      <c r="B461" s="172"/>
      <c r="C461" s="172"/>
      <c r="D461" s="172"/>
      <c r="E461" s="38" t="s">
        <v>852</v>
      </c>
      <c r="F461" s="172"/>
      <c r="G461" s="172"/>
      <c r="H461" s="172"/>
      <c r="I461" s="38" t="s">
        <v>852</v>
      </c>
      <c r="J461" s="172"/>
      <c r="K461" s="172"/>
      <c r="L461" s="172"/>
      <c r="M461" s="38" t="s">
        <v>852</v>
      </c>
      <c r="N461" s="172"/>
      <c r="O461" s="172"/>
      <c r="P461" s="172"/>
      <c r="Q461" s="38" t="s">
        <v>852</v>
      </c>
      <c r="R461" s="38" t="s">
        <v>852</v>
      </c>
    </row>
    <row r="462" spans="1:18" ht="15.75" customHeight="1" thickBot="1" x14ac:dyDescent="0.35">
      <c r="A462" s="234" t="s">
        <v>2164</v>
      </c>
      <c r="B462" s="172"/>
      <c r="C462" s="172"/>
      <c r="D462" s="172"/>
      <c r="E462" s="38" t="s">
        <v>852</v>
      </c>
      <c r="F462" s="172"/>
      <c r="G462" s="172"/>
      <c r="H462" s="172"/>
      <c r="I462" s="38" t="s">
        <v>852</v>
      </c>
      <c r="J462" s="172"/>
      <c r="K462" s="172"/>
      <c r="L462" s="172"/>
      <c r="M462" s="38" t="s">
        <v>852</v>
      </c>
      <c r="N462" s="172"/>
      <c r="O462" s="172"/>
      <c r="P462" s="172"/>
      <c r="Q462" s="38" t="s">
        <v>852</v>
      </c>
      <c r="R462" s="38" t="s">
        <v>852</v>
      </c>
    </row>
    <row r="463" spans="1:18" ht="16.5" customHeight="1" thickBot="1" x14ac:dyDescent="0.35">
      <c r="A463" s="276" t="s">
        <v>1218</v>
      </c>
      <c r="B463" s="45">
        <f>SUM(B455:B462)</f>
        <v>0</v>
      </c>
      <c r="C463" s="46">
        <f>SUM(C455:C462)</f>
        <v>0</v>
      </c>
      <c r="D463" s="46">
        <f>SUM(D455:D462)</f>
        <v>0</v>
      </c>
      <c r="E463" s="37">
        <f>SUM(B463:D463)</f>
        <v>0</v>
      </c>
      <c r="F463" s="46">
        <f>SUM(F455:F462)</f>
        <v>0</v>
      </c>
      <c r="G463" s="46">
        <f>SUM(G455:G462)</f>
        <v>861</v>
      </c>
      <c r="H463" s="46">
        <f>SUM(H455:H462)</f>
        <v>1412</v>
      </c>
      <c r="I463" s="37">
        <f>SUM(F463:H463)</f>
        <v>2273</v>
      </c>
      <c r="J463" s="46">
        <f>SUM(J455:J462)</f>
        <v>1299</v>
      </c>
      <c r="K463" s="46">
        <f>SUM(K455:K462)</f>
        <v>1434</v>
      </c>
      <c r="L463" s="46">
        <f>SUM(L455:L462)</f>
        <v>894</v>
      </c>
      <c r="M463" s="37">
        <f>SUM(J463:L463)</f>
        <v>3627</v>
      </c>
      <c r="N463" s="46">
        <f>SUM(N455:N462)</f>
        <v>167</v>
      </c>
      <c r="O463" s="46">
        <f>SUM(O455:O462)</f>
        <v>726</v>
      </c>
      <c r="P463" s="46">
        <f>SUM(P455:P462)</f>
        <v>62</v>
      </c>
      <c r="Q463" s="37">
        <f>SUM(N463:P463)</f>
        <v>955</v>
      </c>
      <c r="R463" s="37">
        <f>+E463+I463+M463+Q463</f>
        <v>6855</v>
      </c>
    </row>
    <row r="464" spans="1:18" ht="15.75" customHeight="1" x14ac:dyDescent="0.3">
      <c r="A464" s="234" t="s">
        <v>1172</v>
      </c>
      <c r="B464" s="172"/>
      <c r="C464" s="172"/>
      <c r="D464" s="172"/>
      <c r="E464" s="39" t="s">
        <v>852</v>
      </c>
      <c r="F464" s="172"/>
      <c r="G464" s="172"/>
      <c r="H464" s="172"/>
      <c r="I464" s="39" t="s">
        <v>852</v>
      </c>
      <c r="J464" s="172"/>
      <c r="K464" s="172"/>
      <c r="L464" s="172"/>
      <c r="M464" s="39" t="s">
        <v>852</v>
      </c>
      <c r="N464" s="172"/>
      <c r="O464" s="172"/>
      <c r="P464" s="172"/>
      <c r="Q464" s="39" t="s">
        <v>852</v>
      </c>
      <c r="R464" s="63" t="s">
        <v>852</v>
      </c>
    </row>
    <row r="465" spans="1:20" ht="15.75" customHeight="1" x14ac:dyDescent="0.3">
      <c r="A465" s="234" t="s">
        <v>2409</v>
      </c>
      <c r="B465" s="172"/>
      <c r="C465" s="172"/>
      <c r="D465" s="172"/>
      <c r="E465" s="38" t="s">
        <v>852</v>
      </c>
      <c r="F465" s="172"/>
      <c r="G465" s="172"/>
      <c r="H465" s="172"/>
      <c r="I465" s="38" t="s">
        <v>852</v>
      </c>
      <c r="J465" s="172"/>
      <c r="K465" s="172"/>
      <c r="L465" s="172"/>
      <c r="M465" s="38" t="s">
        <v>852</v>
      </c>
      <c r="N465" s="172"/>
      <c r="O465" s="172"/>
      <c r="P465" s="172"/>
      <c r="Q465" s="38" t="s">
        <v>852</v>
      </c>
      <c r="R465" s="63" t="s">
        <v>852</v>
      </c>
    </row>
    <row r="466" spans="1:20" ht="15.75" customHeight="1" x14ac:dyDescent="0.3">
      <c r="A466" s="266" t="s">
        <v>791</v>
      </c>
      <c r="B466" s="10">
        <v>676</v>
      </c>
      <c r="C466" s="10">
        <v>409</v>
      </c>
      <c r="D466" s="10">
        <v>2129</v>
      </c>
      <c r="E466" s="38">
        <f>SUM(B466:D466)</f>
        <v>3214</v>
      </c>
      <c r="F466" s="10">
        <v>6500</v>
      </c>
      <c r="G466" s="10">
        <v>4532</v>
      </c>
      <c r="H466" s="10">
        <v>7277</v>
      </c>
      <c r="I466" s="38">
        <f>SUM(F466:H466)</f>
        <v>18309</v>
      </c>
      <c r="J466" s="10">
        <v>5754</v>
      </c>
      <c r="K466" s="10">
        <v>5622</v>
      </c>
      <c r="L466" s="10">
        <v>2751</v>
      </c>
      <c r="M466" s="38">
        <f>SUM(J466:L466)</f>
        <v>14127</v>
      </c>
      <c r="N466" s="10">
        <v>430</v>
      </c>
      <c r="O466" s="10">
        <v>71</v>
      </c>
      <c r="P466" s="10"/>
      <c r="Q466" s="38">
        <f>SUM(N466:P466)</f>
        <v>501</v>
      </c>
      <c r="R466" s="38">
        <f>+E466+I466+M466+Q466</f>
        <v>36151</v>
      </c>
      <c r="S466">
        <f>+SUM(R466,R427,R327)</f>
        <v>124369</v>
      </c>
      <c r="T466" t="s">
        <v>2704</v>
      </c>
    </row>
    <row r="467" spans="1:20" ht="15.75" customHeight="1" x14ac:dyDescent="0.3">
      <c r="A467" s="266" t="s">
        <v>2300</v>
      </c>
      <c r="B467" s="172"/>
      <c r="C467" s="172"/>
      <c r="D467" s="172">
        <v>311</v>
      </c>
      <c r="E467" s="38">
        <f>SUM(B467:D467)</f>
        <v>311</v>
      </c>
      <c r="F467" s="172">
        <v>244</v>
      </c>
      <c r="G467" s="172">
        <v>445</v>
      </c>
      <c r="H467" s="172"/>
      <c r="I467" s="38">
        <f>SUM(F467:H467)</f>
        <v>689</v>
      </c>
      <c r="J467" s="172"/>
      <c r="K467" s="172"/>
      <c r="L467" s="172"/>
      <c r="M467" s="38">
        <f>SUM(J467:L467)</f>
        <v>0</v>
      </c>
      <c r="N467" s="172"/>
      <c r="O467" s="172"/>
      <c r="P467" s="172"/>
      <c r="Q467" s="38">
        <f>SUM(N467:P467)</f>
        <v>0</v>
      </c>
      <c r="R467" s="38">
        <f>+E467+I467+M467+Q467</f>
        <v>1000</v>
      </c>
    </row>
    <row r="468" spans="1:20" ht="15.75" customHeight="1" thickBot="1" x14ac:dyDescent="0.35">
      <c r="A468" s="234" t="s">
        <v>2165</v>
      </c>
      <c r="B468" s="172"/>
      <c r="C468" s="172"/>
      <c r="D468" s="172"/>
      <c r="E468" s="38" t="s">
        <v>852</v>
      </c>
      <c r="F468" s="172"/>
      <c r="G468" s="172"/>
      <c r="H468" s="172"/>
      <c r="I468" s="38" t="s">
        <v>852</v>
      </c>
      <c r="J468" s="172"/>
      <c r="K468" s="172"/>
      <c r="L468" s="172"/>
      <c r="M468" s="38" t="s">
        <v>852</v>
      </c>
      <c r="N468" s="172"/>
      <c r="O468" s="172"/>
      <c r="P468" s="172"/>
      <c r="Q468" s="38" t="s">
        <v>852</v>
      </c>
      <c r="R468" s="63" t="s">
        <v>852</v>
      </c>
    </row>
    <row r="469" spans="1:20" ht="16.5" customHeight="1" thickBot="1" x14ac:dyDescent="0.35">
      <c r="A469" s="43" t="s">
        <v>1219</v>
      </c>
      <c r="B469" s="45">
        <f>SUM(B464:B468)</f>
        <v>676</v>
      </c>
      <c r="C469" s="46">
        <f>SUM(C464:C468)</f>
        <v>409</v>
      </c>
      <c r="D469" s="46">
        <f>SUM(D464:D468)</f>
        <v>2440</v>
      </c>
      <c r="E469" s="37">
        <f>SUM(B469:D469)</f>
        <v>3525</v>
      </c>
      <c r="F469" s="46">
        <f>SUM(F464:F468)</f>
        <v>6744</v>
      </c>
      <c r="G469" s="46">
        <f>SUM(G464:G468)</f>
        <v>4977</v>
      </c>
      <c r="H469" s="46">
        <f>SUM(H464:H468)</f>
        <v>7277</v>
      </c>
      <c r="I469" s="37">
        <f>SUM(F469:H469)</f>
        <v>18998</v>
      </c>
      <c r="J469" s="46">
        <f>SUM(J464:J468)</f>
        <v>5754</v>
      </c>
      <c r="K469" s="46">
        <f>SUM(K464:K468)</f>
        <v>5622</v>
      </c>
      <c r="L469" s="46">
        <f>SUM(L464:L468)</f>
        <v>2751</v>
      </c>
      <c r="M469" s="37">
        <f>SUM(J469:L469)</f>
        <v>14127</v>
      </c>
      <c r="N469" s="46">
        <f>SUM(N464:N468)</f>
        <v>430</v>
      </c>
      <c r="O469" s="46">
        <f>SUM(O464:O468)</f>
        <v>71</v>
      </c>
      <c r="P469" s="46">
        <f>SUM(P464:P468)</f>
        <v>0</v>
      </c>
      <c r="Q469" s="37">
        <f>SUM(N469:P469)</f>
        <v>501</v>
      </c>
      <c r="R469" s="37">
        <f>+E469+I469+M469+Q469</f>
        <v>37151</v>
      </c>
    </row>
    <row r="470" spans="1:20" ht="15.75" customHeight="1" x14ac:dyDescent="0.3">
      <c r="A470" s="234" t="s">
        <v>2166</v>
      </c>
      <c r="B470" s="172"/>
      <c r="C470" s="172"/>
      <c r="D470" s="172"/>
      <c r="E470" s="38" t="s">
        <v>852</v>
      </c>
      <c r="F470" s="172"/>
      <c r="G470" s="172"/>
      <c r="H470" s="172"/>
      <c r="I470" s="38" t="s">
        <v>852</v>
      </c>
      <c r="J470" s="172"/>
      <c r="K470" s="172"/>
      <c r="L470" s="172"/>
      <c r="M470" s="38" t="s">
        <v>852</v>
      </c>
      <c r="N470" s="172"/>
      <c r="O470" s="172"/>
      <c r="P470" s="172"/>
      <c r="Q470" s="38" t="s">
        <v>852</v>
      </c>
      <c r="R470" s="38" t="s">
        <v>852</v>
      </c>
    </row>
    <row r="471" spans="1:20" ht="15.75" customHeight="1" x14ac:dyDescent="0.3">
      <c r="A471" s="234" t="s">
        <v>1245</v>
      </c>
      <c r="B471" s="172"/>
      <c r="C471" s="172"/>
      <c r="D471" s="172"/>
      <c r="E471" s="38" t="s">
        <v>852</v>
      </c>
      <c r="F471" s="172"/>
      <c r="G471" s="172"/>
      <c r="H471" s="172"/>
      <c r="I471" s="38" t="s">
        <v>852</v>
      </c>
      <c r="J471" s="172"/>
      <c r="K471" s="172"/>
      <c r="L471" s="172"/>
      <c r="M471" s="38" t="s">
        <v>852</v>
      </c>
      <c r="N471" s="172"/>
      <c r="O471" s="172"/>
      <c r="P471" s="172"/>
      <c r="Q471" s="38" t="s">
        <v>852</v>
      </c>
      <c r="R471" s="38" t="s">
        <v>852</v>
      </c>
    </row>
    <row r="472" spans="1:20" ht="15.75" customHeight="1" x14ac:dyDescent="0.3">
      <c r="A472" s="234" t="s">
        <v>1711</v>
      </c>
      <c r="B472" s="172"/>
      <c r="C472" s="172"/>
      <c r="D472" s="172"/>
      <c r="E472" s="38" t="s">
        <v>852</v>
      </c>
      <c r="F472" s="172"/>
      <c r="G472" s="172"/>
      <c r="H472" s="172"/>
      <c r="I472" s="38" t="s">
        <v>852</v>
      </c>
      <c r="J472" s="172"/>
      <c r="K472" s="172"/>
      <c r="L472" s="172"/>
      <c r="M472" s="38" t="s">
        <v>852</v>
      </c>
      <c r="N472" s="172"/>
      <c r="O472" s="172"/>
      <c r="P472" s="172"/>
      <c r="Q472" s="38" t="s">
        <v>852</v>
      </c>
      <c r="R472" s="38" t="s">
        <v>852</v>
      </c>
    </row>
    <row r="473" spans="1:20" s="624" customFormat="1" ht="15.75" customHeight="1" thickBot="1" x14ac:dyDescent="0.35">
      <c r="A473" s="621" t="s">
        <v>2839</v>
      </c>
      <c r="B473" s="622"/>
      <c r="C473" s="622"/>
      <c r="D473" s="622"/>
      <c r="E473" s="623">
        <f>SUM(B473:D473)</f>
        <v>0</v>
      </c>
      <c r="F473" s="622"/>
      <c r="G473" s="622"/>
      <c r="H473" s="622"/>
      <c r="I473" s="623">
        <f>SUM(F473:H473)</f>
        <v>0</v>
      </c>
      <c r="J473" s="622"/>
      <c r="K473" s="622"/>
      <c r="L473" s="622"/>
      <c r="M473" s="623">
        <f>SUM(J473:L473)</f>
        <v>0</v>
      </c>
      <c r="N473" s="622"/>
      <c r="O473" s="622"/>
      <c r="P473" s="622"/>
      <c r="Q473" s="623">
        <f>SUM(N473:P473)</f>
        <v>0</v>
      </c>
      <c r="R473" s="623">
        <f>+E473+I473+M473+Q473</f>
        <v>0</v>
      </c>
      <c r="T473" s="624" t="s">
        <v>505</v>
      </c>
    </row>
    <row r="474" spans="1:20" ht="16.5" customHeight="1" thickBot="1" x14ac:dyDescent="0.35">
      <c r="A474" s="277" t="s">
        <v>1220</v>
      </c>
      <c r="B474" s="45">
        <f>SUM(B470:B473)</f>
        <v>0</v>
      </c>
      <c r="C474" s="46">
        <f>SUM(C470:C473)</f>
        <v>0</v>
      </c>
      <c r="D474" s="46">
        <f>SUM(D470:D473)</f>
        <v>0</v>
      </c>
      <c r="E474" s="37">
        <f>SUM(B474:D474)</f>
        <v>0</v>
      </c>
      <c r="F474" s="46">
        <f>SUM(F470:F473)</f>
        <v>0</v>
      </c>
      <c r="G474" s="46">
        <f>SUM(G470:G473)</f>
        <v>0</v>
      </c>
      <c r="H474" s="46">
        <f>SUM(H470:H473)</f>
        <v>0</v>
      </c>
      <c r="I474" s="37">
        <f>SUM(F474:H474)</f>
        <v>0</v>
      </c>
      <c r="J474" s="46">
        <f>SUM(J470:J473)</f>
        <v>0</v>
      </c>
      <c r="K474" s="46">
        <f>SUM(K470:K473)</f>
        <v>0</v>
      </c>
      <c r="L474" s="46">
        <f>SUM(L470:L473)</f>
        <v>0</v>
      </c>
      <c r="M474" s="37">
        <f>SUM(J474:L474)</f>
        <v>0</v>
      </c>
      <c r="N474" s="46">
        <f>SUM(N470:N473)</f>
        <v>0</v>
      </c>
      <c r="O474" s="46">
        <f>SUM(O470:O473)</f>
        <v>0</v>
      </c>
      <c r="P474" s="46">
        <f>SUM(P470:P473)</f>
        <v>0</v>
      </c>
      <c r="Q474" s="37">
        <f>SUM(N474:P474)</f>
        <v>0</v>
      </c>
      <c r="R474" s="37">
        <f>+E474+I474+M474+Q474</f>
        <v>0</v>
      </c>
    </row>
    <row r="475" spans="1:20" ht="15.75" customHeight="1" x14ac:dyDescent="0.3">
      <c r="A475" s="234" t="s">
        <v>1712</v>
      </c>
      <c r="B475" s="172"/>
      <c r="C475" s="172"/>
      <c r="D475" s="172"/>
      <c r="E475" s="38" t="s">
        <v>852</v>
      </c>
      <c r="F475" s="172"/>
      <c r="G475" s="172"/>
      <c r="H475" s="172"/>
      <c r="I475" s="38" t="s">
        <v>852</v>
      </c>
      <c r="J475" s="172"/>
      <c r="K475" s="172"/>
      <c r="L475" s="172"/>
      <c r="M475" s="38" t="s">
        <v>852</v>
      </c>
      <c r="N475" s="172"/>
      <c r="O475" s="172"/>
      <c r="P475" s="172"/>
      <c r="Q475" s="38" t="s">
        <v>852</v>
      </c>
      <c r="R475" s="38" t="s">
        <v>852</v>
      </c>
    </row>
    <row r="476" spans="1:20" ht="15.75" customHeight="1" x14ac:dyDescent="0.3">
      <c r="A476" s="234" t="s">
        <v>1021</v>
      </c>
      <c r="B476" s="172"/>
      <c r="C476" s="172"/>
      <c r="D476" s="172"/>
      <c r="E476" s="38" t="s">
        <v>852</v>
      </c>
      <c r="F476" s="172"/>
      <c r="G476" s="172"/>
      <c r="H476" s="172"/>
      <c r="I476" s="38" t="s">
        <v>852</v>
      </c>
      <c r="J476" s="172"/>
      <c r="K476" s="172"/>
      <c r="L476" s="172"/>
      <c r="M476" s="38" t="s">
        <v>852</v>
      </c>
      <c r="N476" s="172"/>
      <c r="O476" s="172"/>
      <c r="P476" s="172"/>
      <c r="Q476" s="38" t="s">
        <v>852</v>
      </c>
      <c r="R476" s="38" t="s">
        <v>852</v>
      </c>
    </row>
    <row r="477" spans="1:20" ht="15.75" customHeight="1" x14ac:dyDescent="0.3">
      <c r="A477" s="234" t="s">
        <v>557</v>
      </c>
      <c r="B477" s="172"/>
      <c r="C477" s="172"/>
      <c r="D477" s="172"/>
      <c r="E477" s="38" t="s">
        <v>852</v>
      </c>
      <c r="F477" s="172"/>
      <c r="G477" s="172"/>
      <c r="H477" s="172"/>
      <c r="I477" s="38" t="s">
        <v>852</v>
      </c>
      <c r="J477" s="172"/>
      <c r="K477" s="172"/>
      <c r="L477" s="172"/>
      <c r="M477" s="38" t="s">
        <v>852</v>
      </c>
      <c r="N477" s="172"/>
      <c r="O477" s="172"/>
      <c r="P477" s="172"/>
      <c r="Q477" s="38" t="s">
        <v>852</v>
      </c>
      <c r="R477" s="38" t="s">
        <v>852</v>
      </c>
    </row>
    <row r="478" spans="1:20" ht="15.75" customHeight="1" x14ac:dyDescent="0.3">
      <c r="A478" s="234" t="s">
        <v>1022</v>
      </c>
      <c r="B478" s="172"/>
      <c r="C478" s="172"/>
      <c r="D478" s="172"/>
      <c r="E478" s="38" t="s">
        <v>852</v>
      </c>
      <c r="F478" s="172"/>
      <c r="G478" s="172"/>
      <c r="H478" s="172"/>
      <c r="I478" s="38" t="s">
        <v>852</v>
      </c>
      <c r="J478" s="172"/>
      <c r="K478" s="172"/>
      <c r="L478" s="172"/>
      <c r="M478" s="38" t="s">
        <v>852</v>
      </c>
      <c r="N478" s="172"/>
      <c r="O478" s="172"/>
      <c r="P478" s="172"/>
      <c r="Q478" s="38" t="s">
        <v>852</v>
      </c>
      <c r="R478" s="38" t="s">
        <v>852</v>
      </c>
    </row>
    <row r="479" spans="1:20" ht="15.75" customHeight="1" x14ac:dyDescent="0.3">
      <c r="A479" s="266" t="s">
        <v>2102</v>
      </c>
      <c r="B479" s="172"/>
      <c r="C479" s="172"/>
      <c r="D479" s="172"/>
      <c r="E479" s="38">
        <f>SUM(B479:D479)</f>
        <v>0</v>
      </c>
      <c r="F479" s="172"/>
      <c r="G479" s="172"/>
      <c r="H479" s="172"/>
      <c r="I479" s="38">
        <f>SUM(F479:H479)</f>
        <v>0</v>
      </c>
      <c r="J479" s="172"/>
      <c r="K479" s="172"/>
      <c r="L479" s="172"/>
      <c r="M479" s="38">
        <f>SUM(J479:L479)</f>
        <v>0</v>
      </c>
      <c r="N479" s="172"/>
      <c r="O479" s="172"/>
      <c r="P479" s="172"/>
      <c r="Q479" s="38">
        <f>SUM(N479:P479)</f>
        <v>0</v>
      </c>
      <c r="R479" s="38">
        <f>+E479+I479+M479+Q479</f>
        <v>0</v>
      </c>
    </row>
    <row r="480" spans="1:20" ht="15.75" customHeight="1" x14ac:dyDescent="0.3">
      <c r="A480" s="234" t="s">
        <v>559</v>
      </c>
      <c r="B480" s="172"/>
      <c r="C480" s="172"/>
      <c r="D480" s="172"/>
      <c r="E480" s="38"/>
      <c r="F480" s="172"/>
      <c r="G480" s="172"/>
      <c r="H480" s="172"/>
      <c r="I480" s="38"/>
      <c r="J480" s="172"/>
      <c r="K480" s="172"/>
      <c r="L480" s="172"/>
      <c r="M480" s="38"/>
      <c r="N480" s="172"/>
      <c r="O480" s="172"/>
      <c r="P480" s="172"/>
      <c r="Q480" s="38"/>
      <c r="R480" s="38" t="s">
        <v>852</v>
      </c>
    </row>
    <row r="481" spans="1:20" ht="15.75" customHeight="1" x14ac:dyDescent="0.3">
      <c r="A481" s="539" t="s">
        <v>2835</v>
      </c>
      <c r="B481" s="10"/>
      <c r="C481" s="10"/>
      <c r="D481" s="10"/>
      <c r="E481" s="38">
        <f t="shared" ref="E481:E487" si="93">SUM(B481:D481)</f>
        <v>0</v>
      </c>
      <c r="F481" s="10"/>
      <c r="G481" s="10"/>
      <c r="H481" s="10"/>
      <c r="I481" s="38">
        <f t="shared" ref="I481:I487" si="94">SUM(F481:H481)</f>
        <v>0</v>
      </c>
      <c r="J481" s="10"/>
      <c r="K481" s="10"/>
      <c r="L481" s="10"/>
      <c r="M481" s="38">
        <f t="shared" ref="M481:M487" si="95">SUM(J481:L481)</f>
        <v>0</v>
      </c>
      <c r="N481" s="10"/>
      <c r="O481" s="10"/>
      <c r="P481" s="10"/>
      <c r="Q481" s="38">
        <f t="shared" ref="Q481:Q487" si="96">SUM(N481:P481)</f>
        <v>0</v>
      </c>
      <c r="R481" s="38">
        <f t="shared" ref="R481:R487" si="97">+E481+I481+M481+Q481</f>
        <v>0</v>
      </c>
      <c r="T481" t="s">
        <v>505</v>
      </c>
    </row>
    <row r="482" spans="1:20" ht="15.75" customHeight="1" x14ac:dyDescent="0.3">
      <c r="A482" s="539" t="s">
        <v>2836</v>
      </c>
      <c r="B482" s="172"/>
      <c r="C482" s="172"/>
      <c r="D482" s="172"/>
      <c r="E482" s="38">
        <f>SUM(B482:D482)</f>
        <v>0</v>
      </c>
      <c r="F482" s="172"/>
      <c r="G482" s="172"/>
      <c r="H482" s="172"/>
      <c r="I482" s="38">
        <f>SUM(F482:H482)</f>
        <v>0</v>
      </c>
      <c r="J482" s="172"/>
      <c r="K482" s="172"/>
      <c r="L482" s="172"/>
      <c r="M482" s="38">
        <f>SUM(J482:L482)</f>
        <v>0</v>
      </c>
      <c r="N482" s="172"/>
      <c r="O482" s="172"/>
      <c r="P482" s="172"/>
      <c r="Q482" s="38">
        <f>SUM(N482:P482)</f>
        <v>0</v>
      </c>
      <c r="R482" s="38">
        <f>+E482+I482+M482+Q482</f>
        <v>0</v>
      </c>
      <c r="T482" t="s">
        <v>505</v>
      </c>
    </row>
    <row r="483" spans="1:20" ht="15.75" customHeight="1" thickBot="1" x14ac:dyDescent="0.35">
      <c r="A483" s="539" t="s">
        <v>2577</v>
      </c>
      <c r="B483" s="172"/>
      <c r="C483" s="172"/>
      <c r="D483" s="172"/>
      <c r="E483" s="38">
        <f t="shared" si="93"/>
        <v>0</v>
      </c>
      <c r="F483" s="172"/>
      <c r="G483" s="172"/>
      <c r="H483" s="172"/>
      <c r="I483" s="38">
        <f t="shared" si="94"/>
        <v>0</v>
      </c>
      <c r="J483" s="172"/>
      <c r="K483" s="172"/>
      <c r="L483" s="172"/>
      <c r="M483" s="38">
        <f t="shared" si="95"/>
        <v>0</v>
      </c>
      <c r="N483" s="172"/>
      <c r="O483" s="172"/>
      <c r="P483" s="172"/>
      <c r="Q483" s="38">
        <f t="shared" si="96"/>
        <v>0</v>
      </c>
      <c r="R483" s="38">
        <f t="shared" si="97"/>
        <v>0</v>
      </c>
    </row>
    <row r="484" spans="1:20" ht="16.5" customHeight="1" thickBot="1" x14ac:dyDescent="0.35">
      <c r="A484" s="43" t="s">
        <v>1019</v>
      </c>
      <c r="B484" s="42">
        <f>SUM(B478:B483)</f>
        <v>0</v>
      </c>
      <c r="C484" s="42">
        <f>SUM(C478:C483)</f>
        <v>0</v>
      </c>
      <c r="D484" s="42">
        <f>SUM(D478:D483)</f>
        <v>0</v>
      </c>
      <c r="E484" s="39">
        <f t="shared" si="93"/>
        <v>0</v>
      </c>
      <c r="F484" s="42">
        <f>SUM(F478:F483)</f>
        <v>0</v>
      </c>
      <c r="G484" s="42">
        <f>SUM(G478:G483)</f>
        <v>0</v>
      </c>
      <c r="H484" s="42">
        <f>SUM(H478:H483)</f>
        <v>0</v>
      </c>
      <c r="I484" s="39">
        <f t="shared" si="94"/>
        <v>0</v>
      </c>
      <c r="J484" s="42">
        <f>SUM(J478:J483)</f>
        <v>0</v>
      </c>
      <c r="K484" s="42">
        <f>SUM(K478:K483)</f>
        <v>0</v>
      </c>
      <c r="L484" s="42">
        <f>SUM(L478:L483)</f>
        <v>0</v>
      </c>
      <c r="M484" s="39">
        <f t="shared" si="95"/>
        <v>0</v>
      </c>
      <c r="N484" s="42">
        <f>SUM(N478:N483)</f>
        <v>0</v>
      </c>
      <c r="O484" s="42">
        <f>SUM(O478:O483)</f>
        <v>0</v>
      </c>
      <c r="P484" s="42">
        <f>SUM(P478:P483)</f>
        <v>0</v>
      </c>
      <c r="Q484" s="39">
        <f t="shared" si="96"/>
        <v>0</v>
      </c>
      <c r="R484" s="37">
        <f t="shared" si="97"/>
        <v>0</v>
      </c>
    </row>
    <row r="485" spans="1:20" ht="16.5" customHeight="1" thickBot="1" x14ac:dyDescent="0.35">
      <c r="A485" s="277" t="s">
        <v>1221</v>
      </c>
      <c r="B485" s="45">
        <f>SUM(B475:B483)</f>
        <v>0</v>
      </c>
      <c r="C485" s="46">
        <f>SUM(C475:C483)</f>
        <v>0</v>
      </c>
      <c r="D485" s="58">
        <f>SUM(D475:D483)</f>
        <v>0</v>
      </c>
      <c r="E485" s="39">
        <f t="shared" si="93"/>
        <v>0</v>
      </c>
      <c r="F485" s="46">
        <f>SUM(F475:F483)</f>
        <v>0</v>
      </c>
      <c r="G485" s="46">
        <f>SUM(G475:G483)</f>
        <v>0</v>
      </c>
      <c r="H485" s="46">
        <f>SUM(H475:H483)</f>
        <v>0</v>
      </c>
      <c r="I485" s="39">
        <f t="shared" si="94"/>
        <v>0</v>
      </c>
      <c r="J485" s="46">
        <f>SUM(J475:J483)</f>
        <v>0</v>
      </c>
      <c r="K485" s="46">
        <f>SUM(K475:K483)</f>
        <v>0</v>
      </c>
      <c r="L485" s="46">
        <f>SUM(L475:L483)</f>
        <v>0</v>
      </c>
      <c r="M485" s="39">
        <f t="shared" si="95"/>
        <v>0</v>
      </c>
      <c r="N485" s="46">
        <f>SUM(N475:N483)</f>
        <v>0</v>
      </c>
      <c r="O485" s="46">
        <f>SUM(O475:O483)</f>
        <v>0</v>
      </c>
      <c r="P485" s="46">
        <f>SUM(P475:P483)</f>
        <v>0</v>
      </c>
      <c r="Q485" s="39">
        <f t="shared" si="96"/>
        <v>0</v>
      </c>
      <c r="R485" s="37">
        <f t="shared" si="97"/>
        <v>0</v>
      </c>
    </row>
    <row r="486" spans="1:20" ht="16.5" customHeight="1" thickBot="1" x14ac:dyDescent="0.35">
      <c r="A486" s="43" t="s">
        <v>1222</v>
      </c>
      <c r="B486" s="47">
        <f>+B463+B469+B474+B485</f>
        <v>676</v>
      </c>
      <c r="C486" s="42">
        <f>+C463+C469+C474+C485</f>
        <v>409</v>
      </c>
      <c r="D486" s="42">
        <f>+D463+D469+D474+D485</f>
        <v>2440</v>
      </c>
      <c r="E486" s="37">
        <f t="shared" si="93"/>
        <v>3525</v>
      </c>
      <c r="F486" s="42">
        <f>+F463+F469+F474+F485</f>
        <v>6744</v>
      </c>
      <c r="G486" s="42">
        <f>+G463+G469+G474+G485</f>
        <v>5838</v>
      </c>
      <c r="H486" s="42">
        <f>+H463+H469+H474+H485</f>
        <v>8689</v>
      </c>
      <c r="I486" s="37">
        <f t="shared" si="94"/>
        <v>21271</v>
      </c>
      <c r="J486" s="42">
        <f>+J463+J469+J474+J485</f>
        <v>7053</v>
      </c>
      <c r="K486" s="42">
        <f>+K463+K469+K474+K485</f>
        <v>7056</v>
      </c>
      <c r="L486" s="42">
        <f>+L463+L469+L474+L485</f>
        <v>3645</v>
      </c>
      <c r="M486" s="37">
        <f t="shared" si="95"/>
        <v>17754</v>
      </c>
      <c r="N486" s="42">
        <f>+N463+N469+N474+N485</f>
        <v>597</v>
      </c>
      <c r="O486" s="42">
        <f>+O463+O469+O474+O485</f>
        <v>797</v>
      </c>
      <c r="P486" s="42">
        <f>+P463+P469+P474+P485</f>
        <v>62</v>
      </c>
      <c r="Q486" s="37">
        <f t="shared" si="96"/>
        <v>1456</v>
      </c>
      <c r="R486" s="40">
        <f t="shared" si="97"/>
        <v>44006</v>
      </c>
    </row>
    <row r="487" spans="1:20" ht="16.5" customHeight="1" thickBot="1" x14ac:dyDescent="0.35">
      <c r="A487" s="244" t="s">
        <v>853</v>
      </c>
      <c r="B487" s="238">
        <v>23</v>
      </c>
      <c r="C487" s="238">
        <v>43</v>
      </c>
      <c r="D487" s="238">
        <v>66</v>
      </c>
      <c r="E487" s="40">
        <f t="shared" si="93"/>
        <v>132</v>
      </c>
      <c r="F487" s="238">
        <v>91</v>
      </c>
      <c r="G487" s="238">
        <v>108</v>
      </c>
      <c r="H487" s="238">
        <v>109</v>
      </c>
      <c r="I487" s="40">
        <f t="shared" si="94"/>
        <v>308</v>
      </c>
      <c r="J487" s="238">
        <v>104</v>
      </c>
      <c r="K487" s="238">
        <v>79</v>
      </c>
      <c r="L487" s="238">
        <v>80</v>
      </c>
      <c r="M487" s="40">
        <f t="shared" si="95"/>
        <v>263</v>
      </c>
      <c r="N487" s="238">
        <v>74</v>
      </c>
      <c r="O487" s="238">
        <v>58</v>
      </c>
      <c r="P487" s="238">
        <v>42</v>
      </c>
      <c r="Q487" s="40">
        <f t="shared" si="96"/>
        <v>174</v>
      </c>
      <c r="R487" s="38">
        <f t="shared" si="97"/>
        <v>877</v>
      </c>
    </row>
    <row r="488" spans="1:20" ht="16.5" customHeight="1" thickBot="1" x14ac:dyDescent="0.35">
      <c r="A488" s="22"/>
      <c r="B488" s="242"/>
      <c r="C488" s="242"/>
      <c r="D488" s="242"/>
      <c r="E488" s="21"/>
      <c r="F488" s="242"/>
      <c r="G488" s="242"/>
      <c r="H488" s="242"/>
      <c r="I488" s="31"/>
      <c r="J488" s="242"/>
      <c r="K488" s="242"/>
      <c r="L488" s="242"/>
      <c r="M488" s="31"/>
      <c r="N488" s="242"/>
      <c r="O488" s="242"/>
      <c r="P488" s="242"/>
      <c r="Q488" s="31"/>
      <c r="R488" s="21"/>
    </row>
    <row r="489" spans="1:20" ht="15.75" customHeight="1" x14ac:dyDescent="0.3">
      <c r="A489" s="234" t="s">
        <v>120</v>
      </c>
      <c r="B489" s="260">
        <f>SUM(B486:B487)</f>
        <v>699</v>
      </c>
      <c r="C489" s="260">
        <f>SUM(C486:C487)</f>
        <v>452</v>
      </c>
      <c r="D489" s="260">
        <f>SUM(D486:D487)</f>
        <v>2506</v>
      </c>
      <c r="E489" s="39">
        <f>SUM(B489:D489)</f>
        <v>3657</v>
      </c>
      <c r="F489" s="260">
        <f>SUM(F486:F487)</f>
        <v>6835</v>
      </c>
      <c r="G489" s="260">
        <f>SUM(G486:G487)</f>
        <v>5946</v>
      </c>
      <c r="H489" s="260">
        <f>SUM(H486:H487)</f>
        <v>8798</v>
      </c>
      <c r="I489" s="39">
        <f>SUM(F489:H489)</f>
        <v>21579</v>
      </c>
      <c r="J489" s="260">
        <f>SUM(J486:J487)</f>
        <v>7157</v>
      </c>
      <c r="K489" s="260">
        <f>SUM(K486:K487)</f>
        <v>7135</v>
      </c>
      <c r="L489" s="260">
        <f>SUM(L486:L487)</f>
        <v>3725</v>
      </c>
      <c r="M489" s="39">
        <f>SUM(J489:L489)</f>
        <v>18017</v>
      </c>
      <c r="N489" s="260">
        <f>SUM(N486:N487)</f>
        <v>671</v>
      </c>
      <c r="O489" s="260">
        <f>SUM(O486:O487)</f>
        <v>855</v>
      </c>
      <c r="P489" s="260">
        <f>SUM(P486:P487)</f>
        <v>104</v>
      </c>
      <c r="Q489" s="39">
        <f>SUM(N489:P489)</f>
        <v>1630</v>
      </c>
      <c r="R489" s="39">
        <f>+E489+I489+M489+Q489</f>
        <v>44883</v>
      </c>
    </row>
    <row r="490" spans="1:20" ht="15.75" customHeight="1" x14ac:dyDescent="0.3">
      <c r="A490" s="234" t="s">
        <v>1897</v>
      </c>
      <c r="B490" s="172">
        <f>(B489/B10)/1.983</f>
        <v>11.370845737152894</v>
      </c>
      <c r="C490" s="172">
        <f>(C489/C10)/1.983</f>
        <v>8.1406238743606369</v>
      </c>
      <c r="D490" s="172">
        <f>(D489/D10)/1.983</f>
        <v>40.765864688562459</v>
      </c>
      <c r="E490" s="38" t="s">
        <v>852</v>
      </c>
      <c r="F490" s="172">
        <f>(F489/F10)/1.983</f>
        <v>114.89325937132291</v>
      </c>
      <c r="G490" s="172">
        <f>(G489/G10)/1.983</f>
        <v>96.725391635352111</v>
      </c>
      <c r="H490" s="172">
        <f>(H489/H10)/1.983</f>
        <v>147.89040174819297</v>
      </c>
      <c r="I490" s="38" t="s">
        <v>852</v>
      </c>
      <c r="J490" s="172">
        <f>(J489/J10)/1.983</f>
        <v>116.42509719714346</v>
      </c>
      <c r="K490" s="172">
        <f>(K489/K10)/1.983</f>
        <v>116.06721650155352</v>
      </c>
      <c r="L490" s="172">
        <f>(L489/L10)/1.983</f>
        <v>62.615565641284249</v>
      </c>
      <c r="M490" s="38" t="s">
        <v>852</v>
      </c>
      <c r="N490" s="172">
        <f>(N489/N10)/1.983</f>
        <v>10.915361215492981</v>
      </c>
      <c r="O490" s="172">
        <f>(O489/O10)/1.983</f>
        <v>14.372163388804841</v>
      </c>
      <c r="P490" s="172">
        <f>(P489/P10)/1.983</f>
        <v>1.6917996518796869</v>
      </c>
      <c r="Q490" s="38" t="s">
        <v>852</v>
      </c>
      <c r="R490" s="38" t="s">
        <v>852</v>
      </c>
    </row>
    <row r="491" spans="1:20" ht="15.75" customHeight="1" x14ac:dyDescent="0.3">
      <c r="A491" s="234" t="s">
        <v>1433</v>
      </c>
      <c r="B491" s="172">
        <f>B489+B544</f>
        <v>16083</v>
      </c>
      <c r="C491" s="172">
        <f>C489+C544</f>
        <v>17938</v>
      </c>
      <c r="D491" s="172">
        <f>D489+D544</f>
        <v>22331</v>
      </c>
      <c r="E491" s="38">
        <f>SUM(B491:D491)</f>
        <v>56352</v>
      </c>
      <c r="F491" s="172">
        <f>F489+F544</f>
        <v>34415</v>
      </c>
      <c r="G491" s="172">
        <f>G489+G544</f>
        <v>27766</v>
      </c>
      <c r="H491" s="172">
        <f>H489+H544</f>
        <v>30396</v>
      </c>
      <c r="I491" s="38">
        <f>SUM(F491:H491)</f>
        <v>92577</v>
      </c>
      <c r="J491" s="172">
        <f>J489+J544</f>
        <v>26497</v>
      </c>
      <c r="K491" s="172">
        <f>K489+K544</f>
        <v>30500</v>
      </c>
      <c r="L491" s="172">
        <f>L489+L544</f>
        <v>25065</v>
      </c>
      <c r="M491" s="38">
        <f>SUM(J491:L491)</f>
        <v>82062</v>
      </c>
      <c r="N491" s="172">
        <f>N489+N544</f>
        <v>15032</v>
      </c>
      <c r="O491" s="172">
        <f>O489+O544</f>
        <v>9114</v>
      </c>
      <c r="P491" s="172">
        <f>P489+P544</f>
        <v>18610</v>
      </c>
      <c r="Q491" s="38">
        <f>SUM(N491:P491)</f>
        <v>42756</v>
      </c>
      <c r="R491" s="38">
        <f>+E491+I491+M491+Q491</f>
        <v>273747</v>
      </c>
    </row>
    <row r="492" spans="1:20" ht="16.5" customHeight="1" thickBot="1" x14ac:dyDescent="0.35">
      <c r="A492" s="237" t="s">
        <v>426</v>
      </c>
      <c r="B492" s="264">
        <f>(B491/B10)/1.983</f>
        <v>261.62705578058655</v>
      </c>
      <c r="C492" s="264">
        <f>(C491/C10)/1.983</f>
        <v>323.06750234132983</v>
      </c>
      <c r="D492" s="264">
        <f>(D491/D10)/1.983</f>
        <v>363.26517332812779</v>
      </c>
      <c r="E492" s="40" t="s">
        <v>852</v>
      </c>
      <c r="F492" s="264">
        <f>(F491/F10)/1.983</f>
        <v>578.50058833417381</v>
      </c>
      <c r="G492" s="264">
        <f>(G491/G10)/1.983</f>
        <v>451.67797244318638</v>
      </c>
      <c r="H492" s="264">
        <f>(H491/H10)/1.983</f>
        <v>510.94301563287945</v>
      </c>
      <c r="I492" s="40" t="s">
        <v>852</v>
      </c>
      <c r="J492" s="264">
        <f>(J491/J10)/1.983</f>
        <v>431.03476322938525</v>
      </c>
      <c r="K492" s="264">
        <f>(K491/K10)/1.983</f>
        <v>496.15278252240819</v>
      </c>
      <c r="L492" s="264">
        <f>(L491/L10)/1.983</f>
        <v>421.33131618759455</v>
      </c>
      <c r="M492" s="40" t="s">
        <v>852</v>
      </c>
      <c r="N492" s="264">
        <f>(N491/N10)/1.983</f>
        <v>244.53011891399473</v>
      </c>
      <c r="O492" s="264">
        <f>(O491/O10)/1.983</f>
        <v>153.20221886031266</v>
      </c>
      <c r="P492" s="264">
        <f>(P491/P10)/1.983</f>
        <v>302.73453386039398</v>
      </c>
      <c r="Q492" s="40" t="s">
        <v>852</v>
      </c>
      <c r="R492" s="40" t="s">
        <v>852</v>
      </c>
    </row>
    <row r="493" spans="1:20" ht="15.75" customHeight="1" x14ac:dyDescent="0.3">
      <c r="A493" s="17"/>
      <c r="B493" s="172"/>
      <c r="C493" s="172"/>
      <c r="D493" s="172"/>
      <c r="E493" s="172"/>
      <c r="F493" s="172"/>
      <c r="G493" s="172"/>
      <c r="H493" s="172"/>
      <c r="I493" s="172"/>
      <c r="J493" s="172"/>
      <c r="K493" s="172"/>
      <c r="L493" s="172"/>
      <c r="M493" s="172"/>
      <c r="N493" s="172"/>
      <c r="O493" s="172"/>
      <c r="P493" s="172"/>
      <c r="Q493" s="172"/>
      <c r="R493" s="17"/>
    </row>
    <row r="494" spans="1:20" ht="15.75" customHeight="1" thickBot="1" x14ac:dyDescent="0.35">
      <c r="A494" s="17"/>
      <c r="B494" s="172"/>
      <c r="C494" s="172"/>
      <c r="D494" s="172"/>
      <c r="E494" s="172"/>
      <c r="F494" s="172"/>
      <c r="G494" s="172"/>
      <c r="H494" s="172"/>
      <c r="I494" s="172"/>
      <c r="J494" s="172"/>
      <c r="K494" s="172"/>
      <c r="L494" s="172"/>
      <c r="M494" s="172"/>
      <c r="N494" s="172"/>
      <c r="O494" s="172"/>
      <c r="P494" s="172"/>
      <c r="Q494" s="172"/>
      <c r="R494" s="17"/>
    </row>
    <row r="495" spans="1:20" ht="16.5" customHeight="1" thickBot="1" x14ac:dyDescent="0.35">
      <c r="A495" s="278" t="s">
        <v>1069</v>
      </c>
      <c r="B495" s="4" t="s">
        <v>2090</v>
      </c>
      <c r="C495" s="5" t="s">
        <v>2091</v>
      </c>
      <c r="D495" s="5" t="s">
        <v>2234</v>
      </c>
      <c r="E495" s="33" t="s">
        <v>1594</v>
      </c>
      <c r="F495" s="5" t="s">
        <v>2235</v>
      </c>
      <c r="G495" s="5" t="s">
        <v>2236</v>
      </c>
      <c r="H495" s="5" t="s">
        <v>2237</v>
      </c>
      <c r="I495" s="35" t="s">
        <v>1595</v>
      </c>
      <c r="J495" s="5" t="s">
        <v>1504</v>
      </c>
      <c r="K495" s="5" t="s">
        <v>1505</v>
      </c>
      <c r="L495" s="5" t="s">
        <v>1506</v>
      </c>
      <c r="M495" s="35" t="s">
        <v>1596</v>
      </c>
      <c r="N495" s="5" t="s">
        <v>1507</v>
      </c>
      <c r="O495" s="5" t="s">
        <v>1508</v>
      </c>
      <c r="P495" s="5" t="s">
        <v>1509</v>
      </c>
      <c r="Q495" s="35" t="s">
        <v>1597</v>
      </c>
      <c r="R495" s="36" t="s">
        <v>1510</v>
      </c>
    </row>
    <row r="496" spans="1:20" ht="16.5" customHeight="1" thickBot="1" x14ac:dyDescent="0.35">
      <c r="A496" s="37"/>
      <c r="B496" s="258"/>
      <c r="C496" s="258"/>
      <c r="D496" s="258"/>
      <c r="E496" s="254"/>
      <c r="F496" s="258"/>
      <c r="G496" s="258"/>
      <c r="H496" s="258"/>
      <c r="I496" s="265"/>
      <c r="J496" s="258"/>
      <c r="K496" s="258"/>
      <c r="L496" s="258"/>
      <c r="M496" s="265"/>
      <c r="N496" s="258"/>
      <c r="O496" s="258"/>
      <c r="P496" s="258"/>
      <c r="Q496" s="265"/>
      <c r="R496" s="52"/>
    </row>
    <row r="497" spans="1:20" ht="15.75" customHeight="1" x14ac:dyDescent="0.3">
      <c r="A497" s="234" t="s">
        <v>2417</v>
      </c>
      <c r="B497" s="172" t="s">
        <v>852</v>
      </c>
      <c r="C497" s="172" t="s">
        <v>852</v>
      </c>
      <c r="D497" s="172" t="s">
        <v>852</v>
      </c>
      <c r="E497" s="38" t="s">
        <v>852</v>
      </c>
      <c r="F497" s="172" t="s">
        <v>852</v>
      </c>
      <c r="G497" s="172" t="s">
        <v>852</v>
      </c>
      <c r="H497" s="172" t="s">
        <v>852</v>
      </c>
      <c r="I497" s="38" t="s">
        <v>852</v>
      </c>
      <c r="J497" s="172" t="s">
        <v>852</v>
      </c>
      <c r="K497" s="172" t="s">
        <v>852</v>
      </c>
      <c r="L497" s="172" t="s">
        <v>852</v>
      </c>
      <c r="M497" s="38" t="s">
        <v>852</v>
      </c>
      <c r="N497" s="172" t="s">
        <v>852</v>
      </c>
      <c r="O497" s="172" t="s">
        <v>852</v>
      </c>
      <c r="P497" s="172" t="s">
        <v>852</v>
      </c>
      <c r="Q497" s="38" t="s">
        <v>852</v>
      </c>
      <c r="R497" s="38" t="s">
        <v>852</v>
      </c>
    </row>
    <row r="498" spans="1:20" ht="15.75" customHeight="1" x14ac:dyDescent="0.3">
      <c r="A498" s="234" t="s">
        <v>2160</v>
      </c>
      <c r="B498" s="172"/>
      <c r="C498" s="172"/>
      <c r="D498" s="172"/>
      <c r="E498" s="38" t="s">
        <v>852</v>
      </c>
      <c r="F498" s="172"/>
      <c r="G498" s="172"/>
      <c r="H498" s="172"/>
      <c r="I498" s="38" t="s">
        <v>852</v>
      </c>
      <c r="J498" s="172"/>
      <c r="K498" s="172"/>
      <c r="L498" s="172"/>
      <c r="M498" s="38" t="s">
        <v>852</v>
      </c>
      <c r="N498" s="172"/>
      <c r="O498" s="172"/>
      <c r="P498" s="172"/>
      <c r="Q498" s="38" t="s">
        <v>852</v>
      </c>
      <c r="R498" s="38" t="s">
        <v>852</v>
      </c>
    </row>
    <row r="499" spans="1:20" ht="15.75" customHeight="1" x14ac:dyDescent="0.3">
      <c r="A499" s="310" t="s">
        <v>746</v>
      </c>
      <c r="B499" s="10">
        <v>658</v>
      </c>
      <c r="C499" s="10">
        <v>646</v>
      </c>
      <c r="D499" s="10">
        <v>749</v>
      </c>
      <c r="E499" s="38">
        <f t="shared" ref="E499:E505" si="98">SUM(B499:D499)</f>
        <v>2053</v>
      </c>
      <c r="F499" s="10">
        <v>655</v>
      </c>
      <c r="G499" s="10">
        <v>589</v>
      </c>
      <c r="H499" s="10">
        <v>621</v>
      </c>
      <c r="I499" s="38">
        <f t="shared" ref="I499:I505" si="99">SUM(F499:H499)</f>
        <v>1865</v>
      </c>
      <c r="J499" s="10">
        <v>508</v>
      </c>
      <c r="K499" s="10">
        <v>363</v>
      </c>
      <c r="L499" s="10">
        <v>506</v>
      </c>
      <c r="M499" s="38">
        <f t="shared" ref="M499:M505" si="100">SUM(J499:L499)</f>
        <v>1377</v>
      </c>
      <c r="N499" s="10">
        <v>458</v>
      </c>
      <c r="O499" s="10">
        <v>377</v>
      </c>
      <c r="P499" s="10">
        <v>555</v>
      </c>
      <c r="Q499" s="38">
        <f t="shared" ref="Q499:Q505" si="101">SUM(N499:P499)</f>
        <v>1390</v>
      </c>
      <c r="R499" s="38">
        <f t="shared" ref="R499:R505" si="102">+E499+I499+M499+Q499</f>
        <v>6685</v>
      </c>
    </row>
    <row r="500" spans="1:20" ht="15.75" customHeight="1" x14ac:dyDescent="0.3">
      <c r="A500" s="310" t="s">
        <v>639</v>
      </c>
      <c r="B500" s="10"/>
      <c r="C500" s="10"/>
      <c r="D500" s="10"/>
      <c r="E500" s="38">
        <f>SUM(B500:D500)</f>
        <v>0</v>
      </c>
      <c r="F500" s="10"/>
      <c r="G500" s="10"/>
      <c r="H500" s="10"/>
      <c r="I500" s="38">
        <f>SUM(F500:H500)</f>
        <v>0</v>
      </c>
      <c r="J500" s="10">
        <v>100</v>
      </c>
      <c r="K500" s="10"/>
      <c r="L500" s="10"/>
      <c r="M500" s="38">
        <f>SUM(J500:L500)</f>
        <v>100</v>
      </c>
      <c r="N500" s="10"/>
      <c r="O500" s="10"/>
      <c r="P500" s="10"/>
      <c r="Q500" s="38">
        <f>SUM(N500:P500)</f>
        <v>0</v>
      </c>
      <c r="R500" s="38">
        <f>+E500+I500+M500+Q500</f>
        <v>100</v>
      </c>
    </row>
    <row r="501" spans="1:20" ht="15.75" customHeight="1" x14ac:dyDescent="0.3">
      <c r="A501" s="310" t="s">
        <v>1185</v>
      </c>
      <c r="B501" s="10"/>
      <c r="C501" s="10"/>
      <c r="D501" s="10">
        <v>603</v>
      </c>
      <c r="E501" s="38">
        <f t="shared" si="98"/>
        <v>603</v>
      </c>
      <c r="F501" s="10">
        <v>2393</v>
      </c>
      <c r="G501" s="10">
        <v>705</v>
      </c>
      <c r="H501" s="10">
        <v>774</v>
      </c>
      <c r="I501" s="38">
        <f t="shared" si="99"/>
        <v>3872</v>
      </c>
      <c r="J501" s="10">
        <f>1319-551</f>
        <v>768</v>
      </c>
      <c r="K501" s="10"/>
      <c r="L501" s="10"/>
      <c r="M501" s="38">
        <f t="shared" si="100"/>
        <v>768</v>
      </c>
      <c r="N501" s="10"/>
      <c r="O501" s="10"/>
      <c r="P501" s="10"/>
      <c r="Q501" s="38">
        <f t="shared" si="101"/>
        <v>0</v>
      </c>
      <c r="R501" s="38">
        <f t="shared" si="102"/>
        <v>5243</v>
      </c>
      <c r="T501" t="s">
        <v>2763</v>
      </c>
    </row>
    <row r="502" spans="1:20" ht="15.75" customHeight="1" x14ac:dyDescent="0.3">
      <c r="A502" s="310" t="s">
        <v>745</v>
      </c>
      <c r="B502" s="10"/>
      <c r="C502" s="10"/>
      <c r="D502" s="10"/>
      <c r="E502" s="38">
        <f>SUM(B502:D502)</f>
        <v>0</v>
      </c>
      <c r="F502" s="10"/>
      <c r="G502" s="10"/>
      <c r="H502" s="10"/>
      <c r="I502" s="38">
        <f>SUM(F502:H502)</f>
        <v>0</v>
      </c>
      <c r="J502" s="10"/>
      <c r="K502" s="10"/>
      <c r="L502" s="10"/>
      <c r="M502" s="38">
        <f>SUM(J502:L502)</f>
        <v>0</v>
      </c>
      <c r="N502" s="10"/>
      <c r="O502" s="10">
        <v>250</v>
      </c>
      <c r="P502" s="10">
        <v>182</v>
      </c>
      <c r="Q502" s="38">
        <f>SUM(N502:P502)</f>
        <v>432</v>
      </c>
      <c r="R502" s="38">
        <f>+E502+I502+M502+Q502</f>
        <v>432</v>
      </c>
      <c r="T502" t="s">
        <v>2766</v>
      </c>
    </row>
    <row r="503" spans="1:20" ht="15.75" customHeight="1" x14ac:dyDescent="0.3">
      <c r="A503" s="310" t="s">
        <v>484</v>
      </c>
      <c r="B503" s="10"/>
      <c r="C503" s="10"/>
      <c r="D503" s="10"/>
      <c r="E503" s="38">
        <f t="shared" si="98"/>
        <v>0</v>
      </c>
      <c r="F503" s="10">
        <v>1033</v>
      </c>
      <c r="G503" s="10">
        <v>367</v>
      </c>
      <c r="H503" s="10"/>
      <c r="I503" s="38">
        <f t="shared" si="99"/>
        <v>1400</v>
      </c>
      <c r="J503" s="10"/>
      <c r="K503" s="10"/>
      <c r="L503" s="10"/>
      <c r="M503" s="38">
        <f t="shared" si="100"/>
        <v>0</v>
      </c>
      <c r="N503" s="10"/>
      <c r="O503" s="10"/>
      <c r="P503" s="10"/>
      <c r="Q503" s="38">
        <f t="shared" si="101"/>
        <v>0</v>
      </c>
      <c r="R503" s="38">
        <f t="shared" si="102"/>
        <v>1400</v>
      </c>
      <c r="T503" t="s">
        <v>2766</v>
      </c>
    </row>
    <row r="504" spans="1:20" ht="15.75" customHeight="1" x14ac:dyDescent="0.3">
      <c r="A504" s="266" t="s">
        <v>1836</v>
      </c>
      <c r="B504" s="172"/>
      <c r="C504" s="172"/>
      <c r="D504" s="172"/>
      <c r="E504" s="38">
        <f t="shared" si="98"/>
        <v>0</v>
      </c>
      <c r="F504" s="172"/>
      <c r="G504" s="172"/>
      <c r="H504" s="172"/>
      <c r="I504" s="38">
        <f t="shared" si="99"/>
        <v>0</v>
      </c>
      <c r="J504" s="172"/>
      <c r="K504" s="172">
        <v>2800</v>
      </c>
      <c r="L504" s="172"/>
      <c r="M504" s="38">
        <f t="shared" si="100"/>
        <v>2800</v>
      </c>
      <c r="N504" s="172"/>
      <c r="O504" s="172"/>
      <c r="P504" s="172"/>
      <c r="Q504" s="38">
        <f t="shared" si="101"/>
        <v>0</v>
      </c>
      <c r="R504" s="38">
        <f t="shared" si="102"/>
        <v>2800</v>
      </c>
      <c r="T504" t="s">
        <v>2766</v>
      </c>
    </row>
    <row r="505" spans="1:20" ht="15.75" customHeight="1" x14ac:dyDescent="0.3">
      <c r="A505" s="266" t="s">
        <v>1295</v>
      </c>
      <c r="B505" s="172"/>
      <c r="C505" s="172"/>
      <c r="D505" s="172">
        <v>676</v>
      </c>
      <c r="E505" s="38">
        <f t="shared" si="98"/>
        <v>676</v>
      </c>
      <c r="F505" s="172">
        <v>852</v>
      </c>
      <c r="G505" s="172"/>
      <c r="H505" s="172"/>
      <c r="I505" s="38">
        <f t="shared" si="99"/>
        <v>852</v>
      </c>
      <c r="J505" s="172"/>
      <c r="K505" s="172"/>
      <c r="L505" s="172"/>
      <c r="M505" s="38">
        <f t="shared" si="100"/>
        <v>0</v>
      </c>
      <c r="N505" s="172"/>
      <c r="O505" s="172"/>
      <c r="P505" s="172"/>
      <c r="Q505" s="38">
        <f t="shared" si="101"/>
        <v>0</v>
      </c>
      <c r="R505" s="38">
        <f t="shared" si="102"/>
        <v>1528</v>
      </c>
      <c r="T505" t="s">
        <v>2766</v>
      </c>
    </row>
    <row r="506" spans="1:20" ht="15.75" customHeight="1" x14ac:dyDescent="0.3">
      <c r="A506" s="310" t="s">
        <v>2448</v>
      </c>
      <c r="B506" s="10"/>
      <c r="C506" s="10"/>
      <c r="D506" s="10"/>
      <c r="E506" s="38">
        <f>SUM(B506:D506)</f>
        <v>0</v>
      </c>
      <c r="F506" s="10"/>
      <c r="G506" s="10"/>
      <c r="H506" s="10"/>
      <c r="I506" s="38">
        <f>SUM(F506:H506)</f>
        <v>0</v>
      </c>
      <c r="J506" s="10"/>
      <c r="K506" s="10">
        <v>180</v>
      </c>
      <c r="L506" s="10"/>
      <c r="M506" s="38">
        <f>SUM(J506:L506)</f>
        <v>180</v>
      </c>
      <c r="N506" s="10"/>
      <c r="O506" s="10"/>
      <c r="P506" s="10"/>
      <c r="Q506" s="38">
        <f>SUM(N506:P506)</f>
        <v>0</v>
      </c>
      <c r="R506" s="38">
        <f>+E506+I506+M506+Q506</f>
        <v>180</v>
      </c>
      <c r="T506" t="s">
        <v>2763</v>
      </c>
    </row>
    <row r="507" spans="1:20" ht="15.75" customHeight="1" x14ac:dyDescent="0.3">
      <c r="A507" s="234" t="s">
        <v>2161</v>
      </c>
      <c r="B507" s="172"/>
      <c r="C507" s="172"/>
      <c r="D507" s="172"/>
      <c r="E507" s="38" t="s">
        <v>852</v>
      </c>
      <c r="F507" s="172"/>
      <c r="G507" s="172"/>
      <c r="H507" s="172"/>
      <c r="I507" s="38" t="s">
        <v>852</v>
      </c>
      <c r="J507" s="172"/>
      <c r="K507" s="172"/>
      <c r="L507" s="172"/>
      <c r="M507" s="38" t="s">
        <v>852</v>
      </c>
      <c r="N507" s="172"/>
      <c r="O507" s="172"/>
      <c r="P507" s="172"/>
      <c r="Q507" s="38" t="s">
        <v>852</v>
      </c>
      <c r="R507" s="38" t="s">
        <v>852</v>
      </c>
    </row>
    <row r="508" spans="1:20" ht="15.75" customHeight="1" x14ac:dyDescent="0.3">
      <c r="A508" s="266" t="s">
        <v>1295</v>
      </c>
      <c r="B508" s="172"/>
      <c r="C508" s="172"/>
      <c r="D508" s="172"/>
      <c r="E508" s="38">
        <f>SUM(B508:D508)</f>
        <v>0</v>
      </c>
      <c r="F508" s="172"/>
      <c r="G508" s="172"/>
      <c r="H508" s="172"/>
      <c r="I508" s="38">
        <f>SUM(F508:H508)</f>
        <v>0</v>
      </c>
      <c r="J508" s="172"/>
      <c r="K508" s="172"/>
      <c r="L508" s="172"/>
      <c r="M508" s="38">
        <f>SUM(J508:L508)</f>
        <v>0</v>
      </c>
      <c r="N508" s="172"/>
      <c r="O508" s="172"/>
      <c r="P508" s="172"/>
      <c r="Q508" s="38">
        <f>SUM(N508:P508)</f>
        <v>0</v>
      </c>
      <c r="R508" s="38">
        <f>+E508+I508+M508+Q508</f>
        <v>0</v>
      </c>
      <c r="T508" t="s">
        <v>2766</v>
      </c>
    </row>
    <row r="509" spans="1:20" ht="15.75" customHeight="1" x14ac:dyDescent="0.3">
      <c r="A509" s="234" t="s">
        <v>2162</v>
      </c>
      <c r="B509" s="172"/>
      <c r="C509" s="172"/>
      <c r="D509" s="172"/>
      <c r="E509" s="38" t="s">
        <v>852</v>
      </c>
      <c r="F509" s="172"/>
      <c r="G509" s="172"/>
      <c r="H509" s="172"/>
      <c r="I509" s="38" t="s">
        <v>852</v>
      </c>
      <c r="J509" s="172"/>
      <c r="K509" s="172"/>
      <c r="L509" s="172"/>
      <c r="M509" s="38" t="s">
        <v>852</v>
      </c>
      <c r="N509" s="172"/>
      <c r="O509" s="172"/>
      <c r="P509" s="172"/>
      <c r="Q509" s="38" t="s">
        <v>852</v>
      </c>
      <c r="R509" s="38" t="s">
        <v>852</v>
      </c>
    </row>
    <row r="510" spans="1:20" ht="15.75" customHeight="1" x14ac:dyDescent="0.3">
      <c r="A510" s="266" t="s">
        <v>624</v>
      </c>
      <c r="B510" s="172"/>
      <c r="C510" s="172"/>
      <c r="D510" s="172"/>
      <c r="E510" s="38">
        <f>SUM(B510:D510)</f>
        <v>0</v>
      </c>
      <c r="F510" s="172">
        <v>1000</v>
      </c>
      <c r="G510" s="172">
        <v>100</v>
      </c>
      <c r="H510" s="172">
        <v>1100</v>
      </c>
      <c r="I510" s="38">
        <f>SUM(F510:H510)</f>
        <v>2200</v>
      </c>
      <c r="J510" s="172"/>
      <c r="K510" s="172"/>
      <c r="L510" s="172"/>
      <c r="M510" s="38">
        <f>SUM(J510:L510)</f>
        <v>0</v>
      </c>
      <c r="N510" s="172"/>
      <c r="O510" s="172"/>
      <c r="P510" s="172"/>
      <c r="Q510" s="38">
        <f>SUM(N510:P510)</f>
        <v>0</v>
      </c>
      <c r="R510" s="38">
        <f>+E510+I510+M510+Q510</f>
        <v>2200</v>
      </c>
      <c r="T510" t="s">
        <v>2766</v>
      </c>
    </row>
    <row r="511" spans="1:20" ht="15.75" customHeight="1" thickBot="1" x14ac:dyDescent="0.35">
      <c r="A511" s="234" t="s">
        <v>2164</v>
      </c>
      <c r="B511" s="172"/>
      <c r="C511" s="172"/>
      <c r="D511" s="172"/>
      <c r="E511" s="38" t="s">
        <v>852</v>
      </c>
      <c r="F511" s="172"/>
      <c r="G511" s="172"/>
      <c r="H511" s="172"/>
      <c r="I511" s="38" t="s">
        <v>852</v>
      </c>
      <c r="J511" s="172"/>
      <c r="K511" s="172"/>
      <c r="L511" s="172"/>
      <c r="M511" s="38" t="s">
        <v>852</v>
      </c>
      <c r="N511" s="172"/>
      <c r="O511" s="172"/>
      <c r="P511" s="172"/>
      <c r="Q511" s="38" t="s">
        <v>852</v>
      </c>
      <c r="R511" s="38" t="s">
        <v>852</v>
      </c>
    </row>
    <row r="512" spans="1:20" ht="16.5" customHeight="1" thickBot="1" x14ac:dyDescent="0.35">
      <c r="A512" s="276" t="s">
        <v>1218</v>
      </c>
      <c r="B512" s="45">
        <f>SUM(B497:B511)</f>
        <v>658</v>
      </c>
      <c r="C512" s="46">
        <f>SUM(C497:C511)</f>
        <v>646</v>
      </c>
      <c r="D512" s="46">
        <f>SUM(D497:D511)</f>
        <v>2028</v>
      </c>
      <c r="E512" s="37">
        <f>SUM(B512:D512)</f>
        <v>3332</v>
      </c>
      <c r="F512" s="46">
        <f>SUM(F497:F511)</f>
        <v>5933</v>
      </c>
      <c r="G512" s="46">
        <f>SUM(G497:G511)</f>
        <v>1761</v>
      </c>
      <c r="H512" s="46">
        <f>SUM(H497:H511)</f>
        <v>2495</v>
      </c>
      <c r="I512" s="37">
        <f>SUM(F512:H512)</f>
        <v>10189</v>
      </c>
      <c r="J512" s="46">
        <f>SUM(J497:J511)</f>
        <v>1376</v>
      </c>
      <c r="K512" s="46">
        <f>SUM(K497:K511)</f>
        <v>3343</v>
      </c>
      <c r="L512" s="46">
        <f>SUM(L497:L511)</f>
        <v>506</v>
      </c>
      <c r="M512" s="37">
        <f>SUM(J512:L512)</f>
        <v>5225</v>
      </c>
      <c r="N512" s="46">
        <f>SUM(N497:N511)</f>
        <v>458</v>
      </c>
      <c r="O512" s="46">
        <f>SUM(O497:O511)</f>
        <v>627</v>
      </c>
      <c r="P512" s="46">
        <f>SUM(P497:P511)</f>
        <v>737</v>
      </c>
      <c r="Q512" s="37">
        <f>SUM(N512:P512)</f>
        <v>1822</v>
      </c>
      <c r="R512" s="37">
        <f>+E512+I512+M512+Q512</f>
        <v>20568</v>
      </c>
    </row>
    <row r="513" spans="1:20" ht="15.75" customHeight="1" x14ac:dyDescent="0.3">
      <c r="A513" s="234" t="s">
        <v>1172</v>
      </c>
      <c r="B513" s="172"/>
      <c r="C513" s="172"/>
      <c r="D513" s="172"/>
      <c r="E513" s="38" t="s">
        <v>852</v>
      </c>
      <c r="F513" s="172"/>
      <c r="G513" s="172"/>
      <c r="H513" s="172"/>
      <c r="I513" s="38" t="s">
        <v>852</v>
      </c>
      <c r="J513" s="172"/>
      <c r="K513" s="172"/>
      <c r="L513" s="172"/>
      <c r="M513" s="38" t="s">
        <v>852</v>
      </c>
      <c r="N513" s="172"/>
      <c r="O513" s="172"/>
      <c r="P513" s="172"/>
      <c r="Q513" s="38" t="s">
        <v>852</v>
      </c>
      <c r="R513" s="38" t="s">
        <v>852</v>
      </c>
    </row>
    <row r="514" spans="1:20" ht="15.75" customHeight="1" x14ac:dyDescent="0.3">
      <c r="A514" s="234" t="s">
        <v>2409</v>
      </c>
      <c r="B514" s="172"/>
      <c r="C514" s="172"/>
      <c r="D514" s="172"/>
      <c r="E514" s="38" t="s">
        <v>852</v>
      </c>
      <c r="F514" s="172"/>
      <c r="G514" s="172"/>
      <c r="H514" s="172"/>
      <c r="I514" s="38" t="s">
        <v>852</v>
      </c>
      <c r="J514" s="172"/>
      <c r="K514" s="172"/>
      <c r="L514" s="172"/>
      <c r="M514" s="38" t="s">
        <v>852</v>
      </c>
      <c r="N514" s="172"/>
      <c r="O514" s="172"/>
      <c r="P514" s="172"/>
      <c r="Q514" s="38" t="s">
        <v>852</v>
      </c>
      <c r="R514" s="38" t="s">
        <v>852</v>
      </c>
    </row>
    <row r="515" spans="1:20" ht="15.75" customHeight="1" x14ac:dyDescent="0.3">
      <c r="A515" s="266" t="s">
        <v>2478</v>
      </c>
      <c r="B515" s="172">
        <v>235</v>
      </c>
      <c r="C515" s="172">
        <v>454</v>
      </c>
      <c r="D515" s="172">
        <v>511</v>
      </c>
      <c r="E515" s="38">
        <f>SUM(B515:D515)</f>
        <v>1200</v>
      </c>
      <c r="F515" s="172">
        <v>300</v>
      </c>
      <c r="G515" s="172">
        <v>135</v>
      </c>
      <c r="H515" s="172"/>
      <c r="I515" s="38">
        <f>SUM(F515:H515)</f>
        <v>435</v>
      </c>
      <c r="J515" s="172"/>
      <c r="K515" s="172"/>
      <c r="L515" s="172"/>
      <c r="M515" s="38">
        <f>SUM(J515:L515)</f>
        <v>0</v>
      </c>
      <c r="N515" s="172"/>
      <c r="O515" s="172"/>
      <c r="P515" s="172"/>
      <c r="Q515" s="38">
        <f>SUM(N515:P515)</f>
        <v>0</v>
      </c>
      <c r="R515" s="38">
        <f>+E515+I515+M515+Q515</f>
        <v>1635</v>
      </c>
    </row>
    <row r="516" spans="1:20" ht="15.75" customHeight="1" x14ac:dyDescent="0.3">
      <c r="A516" s="266" t="s">
        <v>1958</v>
      </c>
      <c r="B516" s="172"/>
      <c r="C516" s="172"/>
      <c r="D516" s="172"/>
      <c r="E516" s="38">
        <f>SUM(B516:D516)</f>
        <v>0</v>
      </c>
      <c r="F516" s="172"/>
      <c r="G516" s="172"/>
      <c r="H516" s="172"/>
      <c r="I516" s="38">
        <f>SUM(F516:H516)</f>
        <v>0</v>
      </c>
      <c r="J516" s="172"/>
      <c r="K516" s="172"/>
      <c r="L516" s="172"/>
      <c r="M516" s="38">
        <f>SUM(J516:L516)</f>
        <v>0</v>
      </c>
      <c r="N516" s="172"/>
      <c r="O516" s="172"/>
      <c r="P516" s="172"/>
      <c r="Q516" s="38">
        <f>SUM(N516:P516)</f>
        <v>0</v>
      </c>
      <c r="R516" s="38">
        <f>+E516+I516+M516+Q516</f>
        <v>0</v>
      </c>
    </row>
    <row r="517" spans="1:20" ht="15.75" customHeight="1" thickBot="1" x14ac:dyDescent="0.35">
      <c r="A517" s="234" t="s">
        <v>2165</v>
      </c>
      <c r="B517" s="172"/>
      <c r="C517" s="172"/>
      <c r="D517" s="172"/>
      <c r="E517" s="38" t="s">
        <v>852</v>
      </c>
      <c r="F517" s="172"/>
      <c r="G517" s="172"/>
      <c r="H517" s="172"/>
      <c r="I517" s="38" t="s">
        <v>852</v>
      </c>
      <c r="J517" s="172"/>
      <c r="K517" s="172"/>
      <c r="L517" s="172"/>
      <c r="M517" s="38" t="s">
        <v>852</v>
      </c>
      <c r="N517" s="172"/>
      <c r="O517" s="172"/>
      <c r="P517" s="172"/>
      <c r="Q517" s="38" t="s">
        <v>852</v>
      </c>
      <c r="R517" s="38" t="s">
        <v>852</v>
      </c>
    </row>
    <row r="518" spans="1:20" ht="16.5" customHeight="1" thickBot="1" x14ac:dyDescent="0.35">
      <c r="A518" s="43" t="s">
        <v>1219</v>
      </c>
      <c r="B518" s="45">
        <f>SUM(B513:B517)</f>
        <v>235</v>
      </c>
      <c r="C518" s="46">
        <f>SUM(C513:C517)</f>
        <v>454</v>
      </c>
      <c r="D518" s="46">
        <f>SUM(D513:D517)</f>
        <v>511</v>
      </c>
      <c r="E518" s="37">
        <f>SUM(B518:D518)</f>
        <v>1200</v>
      </c>
      <c r="F518" s="46">
        <f>SUM(F513:F517)</f>
        <v>300</v>
      </c>
      <c r="G518" s="46">
        <f>SUM(G513:G517)</f>
        <v>135</v>
      </c>
      <c r="H518" s="46">
        <f>SUM(H513:H517)</f>
        <v>0</v>
      </c>
      <c r="I518" s="37">
        <f>SUM(F518:H518)</f>
        <v>435</v>
      </c>
      <c r="J518" s="46">
        <f>SUM(J513:J517)</f>
        <v>0</v>
      </c>
      <c r="K518" s="46">
        <f>SUM(K513:K517)</f>
        <v>0</v>
      </c>
      <c r="L518" s="46">
        <f>SUM(L513:L517)</f>
        <v>0</v>
      </c>
      <c r="M518" s="37">
        <f>SUM(J518:L518)</f>
        <v>0</v>
      </c>
      <c r="N518" s="46">
        <f>SUM(N513:N517)</f>
        <v>0</v>
      </c>
      <c r="O518" s="46">
        <f>SUM(O513:O517)</f>
        <v>0</v>
      </c>
      <c r="P518" s="46">
        <f>SUM(P513:P517)</f>
        <v>0</v>
      </c>
      <c r="Q518" s="37">
        <f>SUM(N518:P518)</f>
        <v>0</v>
      </c>
      <c r="R518" s="37">
        <f>+E518+I518+M518+Q518</f>
        <v>1635</v>
      </c>
    </row>
    <row r="519" spans="1:20" ht="15.75" customHeight="1" x14ac:dyDescent="0.3">
      <c r="A519" s="234" t="s">
        <v>2166</v>
      </c>
      <c r="B519" s="172"/>
      <c r="C519" s="172"/>
      <c r="D519" s="172"/>
      <c r="E519" s="38" t="s">
        <v>852</v>
      </c>
      <c r="F519" s="172"/>
      <c r="G519" s="172"/>
      <c r="H519" s="172"/>
      <c r="I519" s="38" t="s">
        <v>852</v>
      </c>
      <c r="J519" s="172"/>
      <c r="K519" s="172"/>
      <c r="L519" s="172"/>
      <c r="M519" s="38" t="s">
        <v>852</v>
      </c>
      <c r="N519" s="172"/>
      <c r="O519" s="172"/>
      <c r="P519" s="172"/>
      <c r="Q519" s="38" t="s">
        <v>852</v>
      </c>
      <c r="R519" s="38" t="s">
        <v>852</v>
      </c>
    </row>
    <row r="520" spans="1:20" ht="15.75" customHeight="1" x14ac:dyDescent="0.3">
      <c r="A520" s="234" t="s">
        <v>1245</v>
      </c>
      <c r="B520" s="172"/>
      <c r="C520" s="172"/>
      <c r="D520" s="172"/>
      <c r="E520" s="38" t="s">
        <v>852</v>
      </c>
      <c r="F520" s="172"/>
      <c r="G520" s="172"/>
      <c r="H520" s="172"/>
      <c r="I520" s="38" t="s">
        <v>852</v>
      </c>
      <c r="J520" s="172"/>
      <c r="K520" s="172"/>
      <c r="L520" s="172"/>
      <c r="M520" s="38" t="s">
        <v>852</v>
      </c>
      <c r="N520" s="172"/>
      <c r="O520" s="172"/>
      <c r="P520" s="172"/>
      <c r="Q520" s="38" t="s">
        <v>852</v>
      </c>
      <c r="R520" s="38" t="s">
        <v>852</v>
      </c>
    </row>
    <row r="521" spans="1:20" ht="15.75" customHeight="1" x14ac:dyDescent="0.3">
      <c r="A521" s="234" t="s">
        <v>1711</v>
      </c>
      <c r="B521" s="172"/>
      <c r="C521" s="172"/>
      <c r="D521" s="172"/>
      <c r="E521" s="38" t="s">
        <v>852</v>
      </c>
      <c r="F521" s="172"/>
      <c r="G521" s="172"/>
      <c r="H521" s="172"/>
      <c r="I521" s="38" t="s">
        <v>852</v>
      </c>
      <c r="J521" s="172"/>
      <c r="K521" s="172"/>
      <c r="L521" s="172"/>
      <c r="M521" s="38" t="s">
        <v>852</v>
      </c>
      <c r="N521" s="172"/>
      <c r="O521" s="172"/>
      <c r="P521" s="172"/>
      <c r="Q521" s="38" t="s">
        <v>852</v>
      </c>
      <c r="R521" s="38" t="s">
        <v>852</v>
      </c>
    </row>
    <row r="522" spans="1:20" ht="15.75" customHeight="1" thickBot="1" x14ac:dyDescent="0.35">
      <c r="A522" s="539" t="s">
        <v>2720</v>
      </c>
      <c r="B522" s="172"/>
      <c r="C522" s="172"/>
      <c r="D522" s="172"/>
      <c r="E522" s="38">
        <f>SUM(B522:D522)</f>
        <v>0</v>
      </c>
      <c r="F522" s="172"/>
      <c r="G522" s="172"/>
      <c r="H522" s="172"/>
      <c r="I522" s="38">
        <f>SUM(F522:H522)</f>
        <v>0</v>
      </c>
      <c r="J522" s="172"/>
      <c r="K522" s="172"/>
      <c r="L522" s="172"/>
      <c r="M522" s="38">
        <f>SUM(J522:L522)</f>
        <v>0</v>
      </c>
      <c r="N522" s="172"/>
      <c r="O522" s="172"/>
      <c r="P522" s="172"/>
      <c r="Q522" s="38">
        <f>SUM(N522:P522)</f>
        <v>0</v>
      </c>
      <c r="R522" s="38">
        <f>+E522+I522+M522+Q522</f>
        <v>0</v>
      </c>
      <c r="T522" t="s">
        <v>2766</v>
      </c>
    </row>
    <row r="523" spans="1:20" ht="16.5" customHeight="1" thickBot="1" x14ac:dyDescent="0.35">
      <c r="A523" s="277" t="s">
        <v>1220</v>
      </c>
      <c r="B523" s="45">
        <f>SUM(B519:B522)</f>
        <v>0</v>
      </c>
      <c r="C523" s="46">
        <f>SUM(C519:C522)</f>
        <v>0</v>
      </c>
      <c r="D523" s="46">
        <f>SUM(D519:D522)</f>
        <v>0</v>
      </c>
      <c r="E523" s="37">
        <f>SUM(B523:D523)</f>
        <v>0</v>
      </c>
      <c r="F523" s="46">
        <f>SUM(F519:F522)</f>
        <v>0</v>
      </c>
      <c r="G523" s="46">
        <f>SUM(G519:G522)</f>
        <v>0</v>
      </c>
      <c r="H523" s="46">
        <f>SUM(H519:H522)</f>
        <v>0</v>
      </c>
      <c r="I523" s="37">
        <f>SUM(F523:H523)</f>
        <v>0</v>
      </c>
      <c r="J523" s="46">
        <f>SUM(J519:J522)</f>
        <v>0</v>
      </c>
      <c r="K523" s="46">
        <f>SUM(K519:K522)</f>
        <v>0</v>
      </c>
      <c r="L523" s="46">
        <f>SUM(L519:L522)</f>
        <v>0</v>
      </c>
      <c r="M523" s="37">
        <f>SUM(J523:L523)</f>
        <v>0</v>
      </c>
      <c r="N523" s="46">
        <f>SUM(N519:N522)</f>
        <v>0</v>
      </c>
      <c r="O523" s="46">
        <f>SUM(O519:O522)</f>
        <v>0</v>
      </c>
      <c r="P523" s="46">
        <f>SUM(P519:P522)</f>
        <v>0</v>
      </c>
      <c r="Q523" s="37">
        <f>SUM(N523:P523)</f>
        <v>0</v>
      </c>
      <c r="R523" s="37">
        <f>+E523+I523+M523+Q523</f>
        <v>0</v>
      </c>
    </row>
    <row r="524" spans="1:20" ht="15.75" customHeight="1" x14ac:dyDescent="0.3">
      <c r="A524" s="234" t="s">
        <v>1712</v>
      </c>
      <c r="B524" s="172"/>
      <c r="C524" s="172"/>
      <c r="D524" s="172"/>
      <c r="E524" s="38" t="s">
        <v>852</v>
      </c>
      <c r="F524" s="172"/>
      <c r="G524" s="172"/>
      <c r="H524" s="172"/>
      <c r="I524" s="38" t="s">
        <v>852</v>
      </c>
      <c r="J524" s="172"/>
      <c r="K524" s="172"/>
      <c r="L524" s="172"/>
      <c r="M524" s="38" t="s">
        <v>852</v>
      </c>
      <c r="N524" s="172"/>
      <c r="O524" s="172"/>
      <c r="P524" s="172"/>
      <c r="Q524" s="38" t="s">
        <v>852</v>
      </c>
      <c r="R524" s="38" t="s">
        <v>852</v>
      </c>
    </row>
    <row r="525" spans="1:20" ht="15.75" customHeight="1" x14ac:dyDescent="0.3">
      <c r="A525" s="234" t="s">
        <v>1021</v>
      </c>
      <c r="B525" s="172"/>
      <c r="C525" s="172"/>
      <c r="D525" s="172"/>
      <c r="E525" s="38" t="s">
        <v>852</v>
      </c>
      <c r="F525" s="172"/>
      <c r="G525" s="172"/>
      <c r="H525" s="172"/>
      <c r="I525" s="38" t="s">
        <v>852</v>
      </c>
      <c r="J525" s="172"/>
      <c r="K525" s="172"/>
      <c r="L525" s="172"/>
      <c r="M525" s="38" t="s">
        <v>852</v>
      </c>
      <c r="N525" s="172"/>
      <c r="O525" s="172"/>
      <c r="P525" s="172"/>
      <c r="Q525" s="38" t="s">
        <v>852</v>
      </c>
      <c r="R525" s="38" t="s">
        <v>852</v>
      </c>
    </row>
    <row r="526" spans="1:20" ht="15.75" customHeight="1" x14ac:dyDescent="0.3">
      <c r="A526" s="266" t="s">
        <v>624</v>
      </c>
      <c r="B526" s="172"/>
      <c r="C526" s="172"/>
      <c r="D526" s="172"/>
      <c r="E526" s="38">
        <f>SUM(B526:D526)</f>
        <v>0</v>
      </c>
      <c r="F526" s="172"/>
      <c r="G526" s="172">
        <v>140</v>
      </c>
      <c r="H526" s="172">
        <v>1095</v>
      </c>
      <c r="I526" s="38">
        <f>SUM(F526:H526)</f>
        <v>1235</v>
      </c>
      <c r="J526" s="172"/>
      <c r="K526" s="172">
        <v>165</v>
      </c>
      <c r="L526" s="172"/>
      <c r="M526" s="38">
        <f>SUM(J526:L526)</f>
        <v>165</v>
      </c>
      <c r="N526" s="172"/>
      <c r="O526" s="172"/>
      <c r="P526" s="172"/>
      <c r="Q526" s="38">
        <f>SUM(N526:P526)</f>
        <v>0</v>
      </c>
      <c r="R526" s="38">
        <f>+E526+I526+M526+Q526</f>
        <v>1400</v>
      </c>
      <c r="T526" t="s">
        <v>2766</v>
      </c>
    </row>
    <row r="527" spans="1:20" ht="15.75" customHeight="1" x14ac:dyDescent="0.3">
      <c r="A527" s="266" t="s">
        <v>1787</v>
      </c>
      <c r="B527" s="172"/>
      <c r="C527" s="172"/>
      <c r="D527" s="172"/>
      <c r="E527" s="38">
        <f>SUM(B527:D527)</f>
        <v>0</v>
      </c>
      <c r="F527" s="172"/>
      <c r="G527" s="172"/>
      <c r="H527" s="172"/>
      <c r="I527" s="38">
        <f>SUM(F527:H527)</f>
        <v>0</v>
      </c>
      <c r="J527" s="172"/>
      <c r="K527" s="172"/>
      <c r="L527" s="172"/>
      <c r="M527" s="38">
        <f>SUM(J527:L527)</f>
        <v>0</v>
      </c>
      <c r="N527" s="172"/>
      <c r="O527" s="172"/>
      <c r="P527" s="172"/>
      <c r="Q527" s="38">
        <f>SUM(N527:P527)</f>
        <v>0</v>
      </c>
      <c r="R527" s="38">
        <f>+E527+I527+M527+Q527</f>
        <v>0</v>
      </c>
      <c r="T527" t="s">
        <v>2766</v>
      </c>
    </row>
    <row r="528" spans="1:20" ht="15.75" customHeight="1" x14ac:dyDescent="0.3">
      <c r="A528" s="234" t="s">
        <v>557</v>
      </c>
      <c r="B528" s="172"/>
      <c r="C528" s="172"/>
      <c r="D528" s="172"/>
      <c r="E528" s="38" t="s">
        <v>852</v>
      </c>
      <c r="F528" s="172"/>
      <c r="G528" s="172"/>
      <c r="H528" s="172"/>
      <c r="I528" s="38" t="s">
        <v>852</v>
      </c>
      <c r="J528" s="172"/>
      <c r="K528" s="172"/>
      <c r="L528" s="172"/>
      <c r="M528" s="38" t="s">
        <v>852</v>
      </c>
      <c r="N528" s="172"/>
      <c r="O528" s="172"/>
      <c r="P528" s="172"/>
      <c r="Q528" s="38" t="s">
        <v>852</v>
      </c>
      <c r="R528" s="38" t="s">
        <v>852</v>
      </c>
    </row>
    <row r="529" spans="1:20" ht="15.75" customHeight="1" x14ac:dyDescent="0.3">
      <c r="A529" s="539" t="s">
        <v>2812</v>
      </c>
      <c r="B529" s="172"/>
      <c r="C529" s="172"/>
      <c r="D529" s="172"/>
      <c r="E529" s="38">
        <f>SUM(B529:D529)</f>
        <v>0</v>
      </c>
      <c r="F529" s="172"/>
      <c r="G529" s="172"/>
      <c r="H529" s="172"/>
      <c r="I529" s="38">
        <f>SUM(F529:H529)</f>
        <v>0</v>
      </c>
      <c r="J529" s="172"/>
      <c r="K529" s="172"/>
      <c r="L529" s="172"/>
      <c r="M529" s="38">
        <f>SUM(J529:L529)</f>
        <v>0</v>
      </c>
      <c r="N529" s="172"/>
      <c r="O529" s="172"/>
      <c r="P529" s="172"/>
      <c r="Q529" s="38">
        <f>SUM(N529:P529)</f>
        <v>0</v>
      </c>
      <c r="R529" s="38">
        <f>+E529+I529+M529+Q529</f>
        <v>0</v>
      </c>
    </row>
    <row r="530" spans="1:20" ht="15.75" customHeight="1" x14ac:dyDescent="0.3">
      <c r="A530" s="539" t="s">
        <v>2579</v>
      </c>
      <c r="B530" s="172"/>
      <c r="C530" s="172"/>
      <c r="D530" s="172"/>
      <c r="E530" s="38">
        <f>SUM(B530:D530)</f>
        <v>0</v>
      </c>
      <c r="F530" s="172"/>
      <c r="G530" s="172"/>
      <c r="H530" s="172"/>
      <c r="I530" s="38">
        <f>SUM(F530:H530)</f>
        <v>0</v>
      </c>
      <c r="J530" s="172"/>
      <c r="K530" s="172"/>
      <c r="L530" s="172"/>
      <c r="M530" s="38">
        <f>SUM(J530:L530)</f>
        <v>0</v>
      </c>
      <c r="N530" s="172"/>
      <c r="O530" s="172"/>
      <c r="P530" s="172"/>
      <c r="Q530" s="38">
        <f>SUM(N530:P530)</f>
        <v>0</v>
      </c>
      <c r="R530" s="38">
        <f>+E530+I530+M530+Q530</f>
        <v>0</v>
      </c>
    </row>
    <row r="531" spans="1:20" ht="15.75" customHeight="1" x14ac:dyDescent="0.3">
      <c r="A531" s="539" t="s">
        <v>2581</v>
      </c>
      <c r="B531" s="172"/>
      <c r="C531" s="172"/>
      <c r="D531" s="172"/>
      <c r="E531" s="38">
        <f>SUM(B531:D531)</f>
        <v>0</v>
      </c>
      <c r="F531" s="172"/>
      <c r="G531" s="172"/>
      <c r="H531" s="172"/>
      <c r="I531" s="38">
        <f>SUM(F531:H531)</f>
        <v>0</v>
      </c>
      <c r="J531" s="172"/>
      <c r="K531" s="172">
        <v>201</v>
      </c>
      <c r="L531" s="172">
        <v>2696</v>
      </c>
      <c r="M531" s="38">
        <f>SUM(J531:L531)</f>
        <v>2897</v>
      </c>
      <c r="N531" s="172">
        <v>2322</v>
      </c>
      <c r="O531" s="172">
        <v>184</v>
      </c>
      <c r="P531" s="172">
        <v>3897</v>
      </c>
      <c r="Q531" s="38">
        <f>SUM(N531:P531)</f>
        <v>6403</v>
      </c>
      <c r="R531" s="38">
        <f>+E531+I531+M531+Q531</f>
        <v>9300</v>
      </c>
      <c r="T531" t="s">
        <v>2766</v>
      </c>
    </row>
    <row r="532" spans="1:20" ht="15.75" customHeight="1" x14ac:dyDescent="0.3">
      <c r="A532" s="539" t="s">
        <v>2582</v>
      </c>
      <c r="B532" s="172"/>
      <c r="C532" s="172"/>
      <c r="D532" s="172"/>
      <c r="E532" s="38">
        <f>SUM(B532:D532)</f>
        <v>0</v>
      </c>
      <c r="F532" s="172"/>
      <c r="G532" s="172"/>
      <c r="H532" s="172"/>
      <c r="I532" s="38">
        <f>SUM(F532:H532)</f>
        <v>0</v>
      </c>
      <c r="J532" s="172"/>
      <c r="K532" s="172"/>
      <c r="L532" s="172"/>
      <c r="M532" s="38">
        <f>SUM(J532:L532)</f>
        <v>0</v>
      </c>
      <c r="N532" s="172"/>
      <c r="O532" s="172"/>
      <c r="P532" s="172"/>
      <c r="Q532" s="38">
        <f>SUM(N532:P532)</f>
        <v>0</v>
      </c>
      <c r="R532" s="38">
        <f>+E532+I532+M532+Q532</f>
        <v>0</v>
      </c>
      <c r="T532" t="s">
        <v>2766</v>
      </c>
    </row>
    <row r="533" spans="1:20" ht="15.75" customHeight="1" x14ac:dyDescent="0.3">
      <c r="A533" s="234" t="s">
        <v>1022</v>
      </c>
      <c r="B533" s="172"/>
      <c r="C533" s="172"/>
      <c r="D533" s="172"/>
      <c r="E533" s="38" t="s">
        <v>852</v>
      </c>
      <c r="F533" s="172"/>
      <c r="G533" s="172"/>
      <c r="H533" s="172"/>
      <c r="I533" s="38" t="s">
        <v>852</v>
      </c>
      <c r="J533" s="172"/>
      <c r="K533" s="172"/>
      <c r="L533" s="172"/>
      <c r="M533" s="38" t="s">
        <v>852</v>
      </c>
      <c r="N533" s="172"/>
      <c r="O533" s="172"/>
      <c r="P533" s="172"/>
      <c r="Q533" s="38" t="s">
        <v>852</v>
      </c>
      <c r="R533" s="38" t="s">
        <v>852</v>
      </c>
    </row>
    <row r="534" spans="1:20" ht="15.75" customHeight="1" x14ac:dyDescent="0.3">
      <c r="A534" s="234" t="s">
        <v>559</v>
      </c>
      <c r="B534" s="172"/>
      <c r="C534" s="172"/>
      <c r="D534" s="172"/>
      <c r="E534" s="38" t="s">
        <v>852</v>
      </c>
      <c r="F534" s="172"/>
      <c r="G534" s="172"/>
      <c r="H534" s="172"/>
      <c r="I534" s="38" t="s">
        <v>852</v>
      </c>
      <c r="J534" s="172"/>
      <c r="K534" s="172"/>
      <c r="L534" s="172"/>
      <c r="M534" s="38" t="s">
        <v>852</v>
      </c>
      <c r="N534" s="172"/>
      <c r="O534" s="172"/>
      <c r="P534" s="172"/>
      <c r="Q534" s="38" t="s">
        <v>852</v>
      </c>
      <c r="R534" s="38" t="s">
        <v>852</v>
      </c>
    </row>
    <row r="535" spans="1:20" ht="15.75" customHeight="1" x14ac:dyDescent="0.3">
      <c r="A535" s="539" t="s">
        <v>2597</v>
      </c>
      <c r="B535" s="172"/>
      <c r="C535" s="172"/>
      <c r="D535" s="172"/>
      <c r="E535" s="38">
        <f t="shared" ref="E535:E540" si="103">SUM(B535:D535)</f>
        <v>0</v>
      </c>
      <c r="F535" s="172"/>
      <c r="G535" s="172"/>
      <c r="H535" s="172"/>
      <c r="I535" s="38">
        <f t="shared" ref="I535:I540" si="104">SUM(F535:H535)</f>
        <v>0</v>
      </c>
      <c r="J535" s="172"/>
      <c r="K535" s="172"/>
      <c r="L535" s="172"/>
      <c r="M535" s="38">
        <f t="shared" ref="M535:M540" si="105">SUM(J535:L535)</f>
        <v>0</v>
      </c>
      <c r="N535" s="172"/>
      <c r="O535" s="172"/>
      <c r="P535" s="172"/>
      <c r="Q535" s="38">
        <f t="shared" ref="Q535:Q540" si="106">SUM(N535:P535)</f>
        <v>0</v>
      </c>
      <c r="R535" s="38">
        <f t="shared" ref="R535:R540" si="107">+E535+I535+M535+Q535</f>
        <v>0</v>
      </c>
    </row>
    <row r="536" spans="1:20" ht="15.75" customHeight="1" thickBot="1" x14ac:dyDescent="0.35">
      <c r="A536" s="539" t="s">
        <v>2583</v>
      </c>
      <c r="B536" s="172"/>
      <c r="C536" s="172"/>
      <c r="D536" s="172"/>
      <c r="E536" s="38">
        <f t="shared" si="103"/>
        <v>0</v>
      </c>
      <c r="F536" s="172"/>
      <c r="G536" s="172"/>
      <c r="H536" s="172"/>
      <c r="I536" s="38">
        <f t="shared" si="104"/>
        <v>0</v>
      </c>
      <c r="J536" s="172">
        <v>551</v>
      </c>
      <c r="K536" s="172">
        <v>1041</v>
      </c>
      <c r="L536" s="172">
        <v>361</v>
      </c>
      <c r="M536" s="38">
        <f t="shared" si="105"/>
        <v>1953</v>
      </c>
      <c r="N536" s="172"/>
      <c r="O536" s="172"/>
      <c r="P536" s="172"/>
      <c r="Q536" s="38">
        <f t="shared" si="106"/>
        <v>0</v>
      </c>
      <c r="R536" s="38">
        <f t="shared" si="107"/>
        <v>1953</v>
      </c>
    </row>
    <row r="537" spans="1:20" ht="16.5" customHeight="1" thickBot="1" x14ac:dyDescent="0.35">
      <c r="A537" s="43" t="s">
        <v>1019</v>
      </c>
      <c r="B537" s="335">
        <f>SUM(B533:B536)</f>
        <v>0</v>
      </c>
      <c r="C537" s="335">
        <f>SUM(C533:C536)</f>
        <v>0</v>
      </c>
      <c r="D537" s="335">
        <f>SUM(D533:D536)</f>
        <v>0</v>
      </c>
      <c r="E537" s="39">
        <f t="shared" si="103"/>
        <v>0</v>
      </c>
      <c r="F537" s="335">
        <f>SUM(F533:F536)</f>
        <v>0</v>
      </c>
      <c r="G537" s="335">
        <f>SUM(G533:G536)</f>
        <v>0</v>
      </c>
      <c r="H537" s="335">
        <f>SUM(H533:H536)</f>
        <v>0</v>
      </c>
      <c r="I537" s="39">
        <f t="shared" si="104"/>
        <v>0</v>
      </c>
      <c r="J537" s="335">
        <f>SUM(J533:J536)</f>
        <v>551</v>
      </c>
      <c r="K537" s="335">
        <f>SUM(K533:K536)</f>
        <v>1041</v>
      </c>
      <c r="L537" s="335">
        <f>SUM(L533:L536)</f>
        <v>361</v>
      </c>
      <c r="M537" s="39">
        <f t="shared" si="105"/>
        <v>1953</v>
      </c>
      <c r="N537" s="335">
        <f>SUM(N533:N536)</f>
        <v>0</v>
      </c>
      <c r="O537" s="335">
        <f>SUM(O533:O536)</f>
        <v>0</v>
      </c>
      <c r="P537" s="335">
        <f>SUM(P533:P536)</f>
        <v>0</v>
      </c>
      <c r="Q537" s="39">
        <f t="shared" si="106"/>
        <v>0</v>
      </c>
      <c r="R537" s="37">
        <f t="shared" si="107"/>
        <v>1953</v>
      </c>
    </row>
    <row r="538" spans="1:20" ht="16.5" customHeight="1" thickBot="1" x14ac:dyDescent="0.35">
      <c r="A538" s="277" t="s">
        <v>1221</v>
      </c>
      <c r="B538" s="45">
        <f>SUM(B524:B536)</f>
        <v>0</v>
      </c>
      <c r="C538" s="46">
        <f>SUM(C524:C536)</f>
        <v>0</v>
      </c>
      <c r="D538" s="58">
        <f>SUM(D524:D536)</f>
        <v>0</v>
      </c>
      <c r="E538" s="39">
        <f t="shared" si="103"/>
        <v>0</v>
      </c>
      <c r="F538" s="45">
        <f>SUM(F524:F536)</f>
        <v>0</v>
      </c>
      <c r="G538" s="46">
        <f>SUM(G524:G536)</f>
        <v>140</v>
      </c>
      <c r="H538" s="58">
        <f>SUM(H524:H536)</f>
        <v>1095</v>
      </c>
      <c r="I538" s="39">
        <f t="shared" si="104"/>
        <v>1235</v>
      </c>
      <c r="J538" s="45">
        <f>SUM(J524:J536)</f>
        <v>551</v>
      </c>
      <c r="K538" s="46">
        <f>SUM(K524:K536)</f>
        <v>1407</v>
      </c>
      <c r="L538" s="58">
        <f>SUM(L524:L536)</f>
        <v>3057</v>
      </c>
      <c r="M538" s="39">
        <f t="shared" si="105"/>
        <v>5015</v>
      </c>
      <c r="N538" s="45">
        <f>SUM(N524:N536)</f>
        <v>2322</v>
      </c>
      <c r="O538" s="46">
        <f>SUM(O524:O536)</f>
        <v>184</v>
      </c>
      <c r="P538" s="58">
        <f>SUM(P524:P536)</f>
        <v>3897</v>
      </c>
      <c r="Q538" s="39">
        <f t="shared" si="106"/>
        <v>6403</v>
      </c>
      <c r="R538" s="37">
        <f t="shared" si="107"/>
        <v>12653</v>
      </c>
    </row>
    <row r="539" spans="1:20" ht="16.5" customHeight="1" thickBot="1" x14ac:dyDescent="0.35">
      <c r="A539" s="43" t="s">
        <v>1222</v>
      </c>
      <c r="B539" s="337">
        <f>+B512+B518+B523+B538</f>
        <v>893</v>
      </c>
      <c r="C539" s="338">
        <f>+C512+C518+C523+C538</f>
        <v>1100</v>
      </c>
      <c r="D539" s="338">
        <f>+D512+D518+D523+D538</f>
        <v>2539</v>
      </c>
      <c r="E539" s="37">
        <f t="shared" si="103"/>
        <v>4532</v>
      </c>
      <c r="F539" s="42">
        <f>+F512+F518+F523+F538</f>
        <v>6233</v>
      </c>
      <c r="G539" s="42">
        <f>+G512+G518+G523+G538</f>
        <v>2036</v>
      </c>
      <c r="H539" s="42">
        <f>+H512+H518+H523+H538</f>
        <v>3590</v>
      </c>
      <c r="I539" s="37">
        <f t="shared" si="104"/>
        <v>11859</v>
      </c>
      <c r="J539" s="42">
        <f>+J512+J518+J523+J538</f>
        <v>1927</v>
      </c>
      <c r="K539" s="42">
        <f>+K512+K518+K523+K538</f>
        <v>4750</v>
      </c>
      <c r="L539" s="42">
        <f>+L512+L518+L523+L538</f>
        <v>3563</v>
      </c>
      <c r="M539" s="37">
        <f t="shared" si="105"/>
        <v>10240</v>
      </c>
      <c r="N539" s="42">
        <f>+N512+N518+N523+N538</f>
        <v>2780</v>
      </c>
      <c r="O539" s="42">
        <f>+O512+O518+O523+O538</f>
        <v>811</v>
      </c>
      <c r="P539" s="42">
        <f>+P512+P518+P523+P538</f>
        <v>4634</v>
      </c>
      <c r="Q539" s="37">
        <f t="shared" si="106"/>
        <v>8225</v>
      </c>
      <c r="R539" s="40">
        <f t="shared" si="107"/>
        <v>34856</v>
      </c>
    </row>
    <row r="540" spans="1:20" ht="16.5" customHeight="1" thickBot="1" x14ac:dyDescent="0.35">
      <c r="A540" s="244" t="s">
        <v>853</v>
      </c>
      <c r="B540" s="238">
        <v>17</v>
      </c>
      <c r="C540" s="238">
        <v>47</v>
      </c>
      <c r="D540" s="238">
        <v>84</v>
      </c>
      <c r="E540" s="38">
        <f t="shared" si="103"/>
        <v>148</v>
      </c>
      <c r="F540" s="238">
        <v>116</v>
      </c>
      <c r="G540" s="238">
        <v>132</v>
      </c>
      <c r="H540" s="238">
        <v>138</v>
      </c>
      <c r="I540" s="38">
        <f t="shared" si="104"/>
        <v>386</v>
      </c>
      <c r="J540" s="238">
        <v>126</v>
      </c>
      <c r="K540" s="238">
        <v>95</v>
      </c>
      <c r="L540" s="238">
        <v>99</v>
      </c>
      <c r="M540" s="38">
        <f t="shared" si="105"/>
        <v>320</v>
      </c>
      <c r="N540" s="238">
        <v>91</v>
      </c>
      <c r="O540" s="238">
        <v>67</v>
      </c>
      <c r="P540" s="238">
        <v>38</v>
      </c>
      <c r="Q540" s="38">
        <f t="shared" si="106"/>
        <v>196</v>
      </c>
      <c r="R540" s="38">
        <f t="shared" si="107"/>
        <v>1050</v>
      </c>
    </row>
    <row r="541" spans="1:20" ht="16.5" customHeight="1" thickBot="1" x14ac:dyDescent="0.35">
      <c r="A541" s="22"/>
      <c r="B541" s="242"/>
      <c r="C541" s="242"/>
      <c r="D541" s="242"/>
      <c r="E541" s="21"/>
      <c r="F541" s="242"/>
      <c r="G541" s="242"/>
      <c r="H541" s="242"/>
      <c r="I541" s="21"/>
      <c r="J541" s="242"/>
      <c r="K541" s="242"/>
      <c r="L541" s="242"/>
      <c r="M541" s="21"/>
      <c r="N541" s="242"/>
      <c r="O541" s="242"/>
      <c r="P541" s="242"/>
      <c r="Q541" s="21"/>
      <c r="R541" s="21"/>
    </row>
    <row r="542" spans="1:20" ht="15.75" customHeight="1" x14ac:dyDescent="0.3">
      <c r="A542" s="259" t="s">
        <v>120</v>
      </c>
      <c r="B542" s="260">
        <f>SUM(B539:B540)</f>
        <v>910</v>
      </c>
      <c r="C542" s="260">
        <f>SUM(C539:C540)</f>
        <v>1147</v>
      </c>
      <c r="D542" s="260">
        <f>SUM(D539:D540)</f>
        <v>2623</v>
      </c>
      <c r="E542" s="39">
        <f>SUM(B542:D542)</f>
        <v>4680</v>
      </c>
      <c r="F542" s="260">
        <f>SUM(F539:F540)</f>
        <v>6349</v>
      </c>
      <c r="G542" s="260">
        <f>SUM(G539:G540)</f>
        <v>2168</v>
      </c>
      <c r="H542" s="260">
        <f>SUM(H539:H540)</f>
        <v>3728</v>
      </c>
      <c r="I542" s="39">
        <f>SUM(F542:H542)</f>
        <v>12245</v>
      </c>
      <c r="J542" s="260">
        <f>SUM(J539:J540)</f>
        <v>2053</v>
      </c>
      <c r="K542" s="260">
        <f>SUM(K539:K540)</f>
        <v>4845</v>
      </c>
      <c r="L542" s="260">
        <f>SUM(L539:L540)</f>
        <v>3662</v>
      </c>
      <c r="M542" s="39">
        <f>SUM(J542:L542)</f>
        <v>10560</v>
      </c>
      <c r="N542" s="260">
        <f>SUM(N539:N540)</f>
        <v>2871</v>
      </c>
      <c r="O542" s="260">
        <f>SUM(O539:O540)</f>
        <v>878</v>
      </c>
      <c r="P542" s="260">
        <f>SUM(P539:P540)</f>
        <v>4672</v>
      </c>
      <c r="Q542" s="39">
        <f>SUM(N542:P542)</f>
        <v>8421</v>
      </c>
      <c r="R542" s="39">
        <f>+E542+I542+M542+Q542</f>
        <v>35906</v>
      </c>
    </row>
    <row r="543" spans="1:20" ht="15.75" customHeight="1" x14ac:dyDescent="0.3">
      <c r="A543" s="262" t="s">
        <v>1897</v>
      </c>
      <c r="B543" s="172">
        <f>(B542/B10)/1.983</f>
        <v>14.80324695394726</v>
      </c>
      <c r="C543" s="172">
        <f>(C542/C10)/1.983</f>
        <v>20.657733592680643</v>
      </c>
      <c r="D543" s="172">
        <f>(D542/D10)/1.983</f>
        <v>42.669139296927099</v>
      </c>
      <c r="E543" s="38" t="s">
        <v>852</v>
      </c>
      <c r="F543" s="172">
        <f>(F542/F10)/1.983</f>
        <v>106.72381912926541</v>
      </c>
      <c r="G543" s="172">
        <f>(G542/G10)/1.983</f>
        <v>35.267515819953474</v>
      </c>
      <c r="H543" s="172">
        <f>(H542/H10)/1.983</f>
        <v>62.665994284753737</v>
      </c>
      <c r="I543" s="38" t="s">
        <v>852</v>
      </c>
      <c r="J543" s="172">
        <f>(J542/J10)/1.983</f>
        <v>33.396775820278819</v>
      </c>
      <c r="K543" s="172">
        <f>(K542/K10)/1.983</f>
        <v>78.815089551510411</v>
      </c>
      <c r="L543" s="172">
        <f>(L542/L10)/1.983</f>
        <v>61.556564128424938</v>
      </c>
      <c r="M543" s="38" t="s">
        <v>852</v>
      </c>
      <c r="N543" s="172">
        <f>(N542/N10)/1.983</f>
        <v>46.703430774486357</v>
      </c>
      <c r="O543" s="172">
        <f>(O542/O10)/1.983</f>
        <v>14.758782988737602</v>
      </c>
      <c r="P543" s="172">
        <f>(P542/P10)/1.983</f>
        <v>76.000845899825947</v>
      </c>
      <c r="Q543" s="38" t="s">
        <v>852</v>
      </c>
      <c r="R543" s="38" t="s">
        <v>852</v>
      </c>
    </row>
    <row r="544" spans="1:20" ht="15.75" customHeight="1" x14ac:dyDescent="0.3">
      <c r="A544" s="262" t="s">
        <v>1535</v>
      </c>
      <c r="B544" s="172">
        <f>B542+B554</f>
        <v>15384</v>
      </c>
      <c r="C544" s="172">
        <f>C542+C554</f>
        <v>17486</v>
      </c>
      <c r="D544" s="172">
        <f>D542+D554</f>
        <v>19825</v>
      </c>
      <c r="E544" s="38">
        <f>SUM(B544:D544)</f>
        <v>52695</v>
      </c>
      <c r="F544" s="172">
        <f>F542+F554</f>
        <v>27580</v>
      </c>
      <c r="G544" s="172">
        <f>G542+G554</f>
        <v>21820</v>
      </c>
      <c r="H544" s="172">
        <f>H542+H554</f>
        <v>21598</v>
      </c>
      <c r="I544" s="38">
        <f>SUM(F544:H544)</f>
        <v>70998</v>
      </c>
      <c r="J544" s="172">
        <f>J542+J554</f>
        <v>19340</v>
      </c>
      <c r="K544" s="172">
        <f>K542+K554</f>
        <v>23365</v>
      </c>
      <c r="L544" s="172">
        <f>L542+L554</f>
        <v>21340</v>
      </c>
      <c r="M544" s="38">
        <f>SUM(J544:L544)</f>
        <v>64045</v>
      </c>
      <c r="N544" s="172">
        <f>N542+N554</f>
        <v>14361</v>
      </c>
      <c r="O544" s="172">
        <f>O542+O554</f>
        <v>8259</v>
      </c>
      <c r="P544" s="172">
        <f>P542+P554</f>
        <v>18506</v>
      </c>
      <c r="Q544" s="38">
        <f>SUM(N544:P544)</f>
        <v>41126</v>
      </c>
      <c r="R544" s="38">
        <f>+E544+I544+M544+Q544</f>
        <v>228864</v>
      </c>
    </row>
    <row r="545" spans="1:18" ht="16.5" customHeight="1" thickBot="1" x14ac:dyDescent="0.35">
      <c r="A545" s="263" t="s">
        <v>1536</v>
      </c>
      <c r="B545" s="264">
        <f>(B544/B10)/1.983</f>
        <v>250.2562100434337</v>
      </c>
      <c r="C545" s="264">
        <f>(C544/C10)/1.983</f>
        <v>314.92687846696924</v>
      </c>
      <c r="D545" s="264">
        <f>(D544/D10)/1.983</f>
        <v>322.4993086395653</v>
      </c>
      <c r="E545" s="40" t="s">
        <v>852</v>
      </c>
      <c r="F545" s="264">
        <f>(F544/F10)/1.983</f>
        <v>463.60732896285089</v>
      </c>
      <c r="G545" s="264">
        <f>(G544/G10)/1.983</f>
        <v>354.95258080783429</v>
      </c>
      <c r="H545" s="264">
        <f>(H544/H10)/1.983</f>
        <v>363.05261388468648</v>
      </c>
      <c r="I545" s="40" t="s">
        <v>852</v>
      </c>
      <c r="J545" s="264">
        <f>(J544/J10)/1.983</f>
        <v>314.60966603224176</v>
      </c>
      <c r="K545" s="264">
        <f>(K544/K10)/1.983</f>
        <v>380.08556602085469</v>
      </c>
      <c r="L545" s="264">
        <f>(L544/L10)/1.983</f>
        <v>358.71575054631029</v>
      </c>
      <c r="M545" s="40" t="s">
        <v>852</v>
      </c>
      <c r="N545" s="264">
        <f>(N544/N10)/1.983</f>
        <v>233.61475769850176</v>
      </c>
      <c r="O545" s="264">
        <f>(O544/O10)/1.983</f>
        <v>138.83005547150782</v>
      </c>
      <c r="P545" s="264">
        <f>(P544/P10)/1.983</f>
        <v>301.04273420851433</v>
      </c>
      <c r="Q545" s="40" t="s">
        <v>852</v>
      </c>
      <c r="R545" s="40" t="s">
        <v>852</v>
      </c>
    </row>
    <row r="546" spans="1:18" ht="15.75" customHeight="1" x14ac:dyDescent="0.3">
      <c r="A546" s="17"/>
      <c r="B546" s="172"/>
      <c r="C546" s="172"/>
      <c r="D546" s="172"/>
      <c r="E546" s="172"/>
      <c r="F546" s="172"/>
      <c r="G546" s="172"/>
      <c r="H546" s="172"/>
      <c r="I546" s="172"/>
      <c r="J546" s="172"/>
      <c r="K546" s="172"/>
      <c r="L546" s="172"/>
      <c r="M546" s="172"/>
      <c r="N546" s="172"/>
      <c r="O546" s="172"/>
      <c r="P546" s="172"/>
      <c r="Q546" s="172"/>
      <c r="R546" s="17"/>
    </row>
    <row r="547" spans="1:18" ht="16.5" customHeight="1" thickBot="1" x14ac:dyDescent="0.35">
      <c r="A547" s="24"/>
      <c r="B547" s="238"/>
      <c r="C547" s="238"/>
      <c r="D547" s="238"/>
      <c r="E547" s="238"/>
      <c r="F547" s="238"/>
      <c r="G547" s="238"/>
      <c r="H547" s="238"/>
      <c r="I547" s="238"/>
      <c r="J547" s="238"/>
      <c r="K547" s="238"/>
      <c r="L547" s="238"/>
      <c r="M547" s="238"/>
      <c r="N547" s="238"/>
      <c r="O547" s="238"/>
      <c r="P547" s="238"/>
      <c r="Q547" s="238"/>
      <c r="R547" s="24"/>
    </row>
    <row r="548" spans="1:18" ht="16.5" customHeight="1" thickBot="1" x14ac:dyDescent="0.35">
      <c r="A548" s="278" t="s">
        <v>1537</v>
      </c>
      <c r="B548" s="4" t="s">
        <v>2090</v>
      </c>
      <c r="C548" s="5" t="s">
        <v>2091</v>
      </c>
      <c r="D548" s="5" t="s">
        <v>2234</v>
      </c>
      <c r="E548" s="33" t="s">
        <v>1594</v>
      </c>
      <c r="F548" s="5" t="s">
        <v>2235</v>
      </c>
      <c r="G548" s="5" t="s">
        <v>2236</v>
      </c>
      <c r="H548" s="5" t="s">
        <v>2237</v>
      </c>
      <c r="I548" s="35" t="s">
        <v>1595</v>
      </c>
      <c r="J548" s="5" t="s">
        <v>1504</v>
      </c>
      <c r="K548" s="5" t="s">
        <v>1505</v>
      </c>
      <c r="L548" s="5" t="s">
        <v>1506</v>
      </c>
      <c r="M548" s="35" t="s">
        <v>1596</v>
      </c>
      <c r="N548" s="5" t="s">
        <v>1507</v>
      </c>
      <c r="O548" s="5" t="s">
        <v>1508</v>
      </c>
      <c r="P548" s="5" t="s">
        <v>1509</v>
      </c>
      <c r="Q548" s="33" t="s">
        <v>1597</v>
      </c>
      <c r="R548" s="34" t="s">
        <v>1510</v>
      </c>
    </row>
    <row r="549" spans="1:18" ht="16.5" customHeight="1" thickBot="1" x14ac:dyDescent="0.35">
      <c r="A549" s="22"/>
      <c r="B549" s="242"/>
      <c r="C549" s="242"/>
      <c r="D549" s="242"/>
      <c r="E549" s="243"/>
      <c r="F549" s="242"/>
      <c r="G549" s="242"/>
      <c r="H549" s="242"/>
      <c r="I549" s="243"/>
      <c r="J549" s="242"/>
      <c r="K549" s="242"/>
      <c r="L549" s="242"/>
      <c r="M549" s="243"/>
      <c r="N549" s="242"/>
      <c r="O549" s="242"/>
      <c r="P549" s="242"/>
      <c r="Q549" s="279"/>
      <c r="R549" s="32"/>
    </row>
    <row r="550" spans="1:18" ht="16.5" customHeight="1" thickBot="1" x14ac:dyDescent="0.35">
      <c r="A550" s="244" t="s">
        <v>853</v>
      </c>
      <c r="B550" s="238">
        <v>20</v>
      </c>
      <c r="C550" s="238">
        <v>22</v>
      </c>
      <c r="D550" s="238">
        <v>28</v>
      </c>
      <c r="E550" s="38">
        <f>SUM(B550:D550)</f>
        <v>70</v>
      </c>
      <c r="F550" s="238">
        <v>37</v>
      </c>
      <c r="G550" s="238">
        <v>42</v>
      </c>
      <c r="H550" s="238">
        <v>44</v>
      </c>
      <c r="I550" s="38">
        <f>SUM(F550:H550)</f>
        <v>123</v>
      </c>
      <c r="J550" s="238">
        <v>39</v>
      </c>
      <c r="K550" s="238">
        <v>36</v>
      </c>
      <c r="L550" s="238">
        <v>34</v>
      </c>
      <c r="M550" s="38">
        <f>SUM(J550:L550)</f>
        <v>109</v>
      </c>
      <c r="N550" s="238">
        <v>29</v>
      </c>
      <c r="O550" s="238">
        <v>23</v>
      </c>
      <c r="P550" s="238">
        <v>19</v>
      </c>
      <c r="Q550" s="38">
        <f>SUM(N550:P550)</f>
        <v>71</v>
      </c>
      <c r="R550" s="38">
        <f>+E550+I550+M550+Q550</f>
        <v>373</v>
      </c>
    </row>
    <row r="551" spans="1:18" ht="16.5" customHeight="1" thickBot="1" x14ac:dyDescent="0.35">
      <c r="A551" s="22"/>
      <c r="B551" s="242"/>
      <c r="C551" s="242"/>
      <c r="D551" s="242"/>
      <c r="E551" s="233"/>
      <c r="F551" s="242"/>
      <c r="G551" s="242"/>
      <c r="H551" s="242"/>
      <c r="I551" s="233"/>
      <c r="J551" s="242"/>
      <c r="K551" s="242"/>
      <c r="L551" s="242"/>
      <c r="M551" s="233"/>
      <c r="N551" s="242"/>
      <c r="O551" s="242"/>
      <c r="P551" s="242"/>
      <c r="Q551" s="233"/>
      <c r="R551" s="21"/>
    </row>
    <row r="552" spans="1:18" ht="15.75" customHeight="1" x14ac:dyDescent="0.3">
      <c r="A552" s="259" t="s">
        <v>120</v>
      </c>
      <c r="B552" s="260">
        <f>B550</f>
        <v>20</v>
      </c>
      <c r="C552" s="260">
        <f>C550</f>
        <v>22</v>
      </c>
      <c r="D552" s="260">
        <f>D550</f>
        <v>28</v>
      </c>
      <c r="E552" s="39">
        <f>SUM(B552:D552)</f>
        <v>70</v>
      </c>
      <c r="F552" s="260">
        <f>F550</f>
        <v>37</v>
      </c>
      <c r="G552" s="260">
        <f>G550</f>
        <v>42</v>
      </c>
      <c r="H552" s="260">
        <f>H550</f>
        <v>44</v>
      </c>
      <c r="I552" s="39">
        <f>SUM(F552:H552)</f>
        <v>123</v>
      </c>
      <c r="J552" s="260">
        <f>J550</f>
        <v>39</v>
      </c>
      <c r="K552" s="260">
        <f>K550</f>
        <v>36</v>
      </c>
      <c r="L552" s="260">
        <f>L550</f>
        <v>34</v>
      </c>
      <c r="M552" s="39">
        <f>SUM(J552:L552)</f>
        <v>109</v>
      </c>
      <c r="N552" s="260">
        <f>N550</f>
        <v>29</v>
      </c>
      <c r="O552" s="260">
        <f>O550</f>
        <v>23</v>
      </c>
      <c r="P552" s="260">
        <f>P550</f>
        <v>19</v>
      </c>
      <c r="Q552" s="39">
        <f>SUM(N552:P552)</f>
        <v>71</v>
      </c>
      <c r="R552" s="39">
        <f>+E552+I552+M552+Q552</f>
        <v>373</v>
      </c>
    </row>
    <row r="553" spans="1:18" ht="15.75" customHeight="1" x14ac:dyDescent="0.3">
      <c r="A553" s="262" t="s">
        <v>1897</v>
      </c>
      <c r="B553" s="172">
        <f>(B552/B10)/1.983</f>
        <v>0.32534608689993977</v>
      </c>
      <c r="C553" s="172">
        <f>(C552/C10)/1.983</f>
        <v>0.39622505583171236</v>
      </c>
      <c r="D553" s="172">
        <f>(D552/D10)/1.983</f>
        <v>0.45548452165991571</v>
      </c>
      <c r="E553" s="38" t="s">
        <v>852</v>
      </c>
      <c r="F553" s="172">
        <f>(F552/F10)/1.983</f>
        <v>0.62195326945705165</v>
      </c>
      <c r="G553" s="172">
        <f>(G552/G10)/1.983</f>
        <v>0.68322678248987356</v>
      </c>
      <c r="H553" s="172">
        <f>(H552/H10)/1.983</f>
        <v>0.73962010421919644</v>
      </c>
      <c r="I553" s="38" t="s">
        <v>852</v>
      </c>
      <c r="J553" s="172">
        <f>(J552/J10)/1.983</f>
        <v>0.63442486945488263</v>
      </c>
      <c r="K553" s="172">
        <f>(K552/K10)/1.983</f>
        <v>0.5856229564198917</v>
      </c>
      <c r="L553" s="172">
        <f>(L552/L10)/1.983</f>
        <v>0.57152462598756093</v>
      </c>
      <c r="M553" s="38" t="s">
        <v>852</v>
      </c>
      <c r="N553" s="172">
        <f>(N552/N10)/1.983</f>
        <v>0.47175182600491267</v>
      </c>
      <c r="O553" s="172">
        <f>(O552/O10)/1.983</f>
        <v>0.38661959993276179</v>
      </c>
      <c r="P553" s="172">
        <f>(P552/P10)/1.983</f>
        <v>0.30907878255494281</v>
      </c>
      <c r="Q553" s="38" t="s">
        <v>852</v>
      </c>
      <c r="R553" s="38" t="s">
        <v>852</v>
      </c>
    </row>
    <row r="554" spans="1:18" ht="15.75" customHeight="1" x14ac:dyDescent="0.3">
      <c r="A554" s="262" t="s">
        <v>2019</v>
      </c>
      <c r="B554" s="172">
        <f>B552+B590</f>
        <v>14474</v>
      </c>
      <c r="C554" s="172">
        <f>C552+C590</f>
        <v>16339</v>
      </c>
      <c r="D554" s="172">
        <f>D552+D590</f>
        <v>17202</v>
      </c>
      <c r="E554" s="38">
        <f>SUM(B554:D554)</f>
        <v>48015</v>
      </c>
      <c r="F554" s="172">
        <f>F552+F590</f>
        <v>21231</v>
      </c>
      <c r="G554" s="172">
        <f>G552+G590</f>
        <v>19652</v>
      </c>
      <c r="H554" s="172">
        <f>H552+H590</f>
        <v>17870</v>
      </c>
      <c r="I554" s="38">
        <f>SUM(F554:H554)</f>
        <v>58753</v>
      </c>
      <c r="J554" s="172">
        <f>J552+J590</f>
        <v>17287</v>
      </c>
      <c r="K554" s="172">
        <f>K552+K590</f>
        <v>18520</v>
      </c>
      <c r="L554" s="172">
        <f>L552+L590</f>
        <v>17678</v>
      </c>
      <c r="M554" s="38">
        <f>SUM(J554:L554)</f>
        <v>53485</v>
      </c>
      <c r="N554" s="172">
        <f>N552+N590</f>
        <v>11490</v>
      </c>
      <c r="O554" s="172">
        <f>O552+O590</f>
        <v>7381</v>
      </c>
      <c r="P554" s="172">
        <f>P552+P590</f>
        <v>13834</v>
      </c>
      <c r="Q554" s="38">
        <f>SUM(N554:P554)</f>
        <v>32705</v>
      </c>
      <c r="R554" s="38">
        <f>+E554+I554+M554+Q554</f>
        <v>192958</v>
      </c>
    </row>
    <row r="555" spans="1:18" ht="16.5" customHeight="1" thickBot="1" x14ac:dyDescent="0.35">
      <c r="A555" s="263" t="s">
        <v>1332</v>
      </c>
      <c r="B555" s="264">
        <f>(B554/B10)/1.983</f>
        <v>235.45296308948642</v>
      </c>
      <c r="C555" s="264">
        <f>(C554/C10)/1.983</f>
        <v>294.2691448742886</v>
      </c>
      <c r="D555" s="264">
        <f>(D554/D10)/1.983</f>
        <v>279.83016934263821</v>
      </c>
      <c r="E555" s="40" t="s">
        <v>852</v>
      </c>
      <c r="F555" s="264">
        <f>(F554/F10)/1.983</f>
        <v>356.88350983358549</v>
      </c>
      <c r="G555" s="264">
        <f>(G554/G10)/1.983</f>
        <v>319.68506498788082</v>
      </c>
      <c r="H555" s="264">
        <f>(H554/H10)/1.983</f>
        <v>300.38661959993271</v>
      </c>
      <c r="I555" s="40" t="s">
        <v>852</v>
      </c>
      <c r="J555" s="264">
        <f>(J554/J10)/1.983</f>
        <v>281.21289021196293</v>
      </c>
      <c r="K555" s="264">
        <f>(K554/K10)/1.983</f>
        <v>301.2704764693442</v>
      </c>
      <c r="L555" s="264">
        <f>(L554/L10)/1.983</f>
        <v>297.15918641788534</v>
      </c>
      <c r="M555" s="40" t="s">
        <v>852</v>
      </c>
      <c r="N555" s="264">
        <f>(N554/N10)/1.983</f>
        <v>186.91132692401541</v>
      </c>
      <c r="O555" s="264">
        <f>(O554/O10)/1.983</f>
        <v>124.07127248277021</v>
      </c>
      <c r="P555" s="264">
        <f>(P554/P10)/1.983</f>
        <v>225.04188830868836</v>
      </c>
      <c r="Q555" s="40" t="s">
        <v>852</v>
      </c>
      <c r="R555" s="40" t="s">
        <v>852</v>
      </c>
    </row>
    <row r="556" spans="1:18" ht="15.75" customHeight="1" x14ac:dyDescent="0.3">
      <c r="A556" s="18"/>
      <c r="B556" s="172"/>
      <c r="C556" s="172"/>
      <c r="D556" s="172"/>
      <c r="E556" s="172"/>
      <c r="F556" s="172"/>
      <c r="G556" s="172"/>
      <c r="H556" s="172"/>
      <c r="I556" s="172"/>
      <c r="J556" s="172"/>
      <c r="K556" s="172"/>
      <c r="L556" s="172"/>
      <c r="M556" s="172"/>
      <c r="N556" s="172"/>
      <c r="O556" s="172"/>
      <c r="P556" s="172"/>
      <c r="Q556" s="172"/>
      <c r="R556" s="17"/>
    </row>
    <row r="557" spans="1:18" ht="15.75" customHeight="1" thickBot="1" x14ac:dyDescent="0.35">
      <c r="A557" s="18"/>
      <c r="B557" s="172"/>
      <c r="C557" s="172"/>
      <c r="D557" s="172"/>
      <c r="E557" s="172"/>
      <c r="F557" s="172"/>
      <c r="G557" s="172"/>
      <c r="H557" s="172"/>
      <c r="I557" s="172"/>
      <c r="J557" s="172"/>
      <c r="K557" s="172"/>
      <c r="L557" s="172"/>
      <c r="M557" s="172"/>
      <c r="N557" s="172"/>
      <c r="O557" s="172"/>
      <c r="P557" s="172"/>
      <c r="Q557" s="172"/>
      <c r="R557" s="17"/>
    </row>
    <row r="558" spans="1:18" ht="16.5" customHeight="1" thickBot="1" x14ac:dyDescent="0.35">
      <c r="A558" s="240" t="s">
        <v>1333</v>
      </c>
      <c r="B558" s="4" t="s">
        <v>2090</v>
      </c>
      <c r="C558" s="5" t="s">
        <v>2091</v>
      </c>
      <c r="D558" s="5" t="s">
        <v>2234</v>
      </c>
      <c r="E558" s="33" t="s">
        <v>1594</v>
      </c>
      <c r="F558" s="5" t="s">
        <v>2235</v>
      </c>
      <c r="G558" s="5" t="s">
        <v>2236</v>
      </c>
      <c r="H558" s="5" t="s">
        <v>2237</v>
      </c>
      <c r="I558" s="35" t="s">
        <v>1595</v>
      </c>
      <c r="J558" s="5" t="s">
        <v>1504</v>
      </c>
      <c r="K558" s="5" t="s">
        <v>1505</v>
      </c>
      <c r="L558" s="5" t="s">
        <v>1506</v>
      </c>
      <c r="M558" s="35" t="s">
        <v>1596</v>
      </c>
      <c r="N558" s="5" t="s">
        <v>1507</v>
      </c>
      <c r="O558" s="5" t="s">
        <v>1508</v>
      </c>
      <c r="P558" s="5" t="s">
        <v>1509</v>
      </c>
      <c r="Q558" s="35" t="s">
        <v>1597</v>
      </c>
      <c r="R558" s="36" t="s">
        <v>1510</v>
      </c>
    </row>
    <row r="559" spans="1:18" ht="16.5" customHeight="1" thickBot="1" x14ac:dyDescent="0.35">
      <c r="A559" s="22"/>
      <c r="B559" s="242"/>
      <c r="C559" s="242"/>
      <c r="D559" s="242"/>
      <c r="E559" s="233"/>
      <c r="F559" s="242"/>
      <c r="G559" s="242"/>
      <c r="H559" s="242"/>
      <c r="I559" s="233"/>
      <c r="J559" s="242"/>
      <c r="K559" s="242"/>
      <c r="L559" s="242"/>
      <c r="M559" s="233"/>
      <c r="N559" s="242"/>
      <c r="O559" s="242"/>
      <c r="P559" s="242"/>
      <c r="Q559" s="233"/>
      <c r="R559" s="19"/>
    </row>
    <row r="560" spans="1:18" ht="15.75" customHeight="1" x14ac:dyDescent="0.3">
      <c r="A560" s="234" t="s">
        <v>2417</v>
      </c>
      <c r="B560" s="172" t="s">
        <v>852</v>
      </c>
      <c r="C560" s="172" t="s">
        <v>852</v>
      </c>
      <c r="D560" s="172" t="s">
        <v>852</v>
      </c>
      <c r="E560" s="38" t="s">
        <v>852</v>
      </c>
      <c r="F560" s="172" t="s">
        <v>852</v>
      </c>
      <c r="G560" s="172" t="s">
        <v>852</v>
      </c>
      <c r="H560" s="172" t="s">
        <v>852</v>
      </c>
      <c r="I560" s="38" t="s">
        <v>852</v>
      </c>
      <c r="J560" s="172" t="s">
        <v>852</v>
      </c>
      <c r="K560" s="172" t="s">
        <v>852</v>
      </c>
      <c r="L560" s="172" t="s">
        <v>852</v>
      </c>
      <c r="M560" s="38" t="s">
        <v>852</v>
      </c>
      <c r="N560" s="172" t="s">
        <v>852</v>
      </c>
      <c r="O560" s="172" t="s">
        <v>852</v>
      </c>
      <c r="P560" s="172" t="s">
        <v>852</v>
      </c>
      <c r="Q560" s="38" t="s">
        <v>852</v>
      </c>
      <c r="R560" s="38" t="s">
        <v>852</v>
      </c>
    </row>
    <row r="561" spans="1:18" ht="15.75" customHeight="1" x14ac:dyDescent="0.3">
      <c r="A561" s="234" t="s">
        <v>2160</v>
      </c>
      <c r="B561" s="172"/>
      <c r="C561" s="172"/>
      <c r="D561" s="172"/>
      <c r="E561" s="38" t="s">
        <v>852</v>
      </c>
      <c r="F561" s="172"/>
      <c r="G561" s="172"/>
      <c r="H561" s="172"/>
      <c r="I561" s="38" t="s">
        <v>852</v>
      </c>
      <c r="J561" s="172"/>
      <c r="K561" s="172"/>
      <c r="L561" s="172"/>
      <c r="M561" s="38" t="s">
        <v>852</v>
      </c>
      <c r="N561" s="172"/>
      <c r="O561" s="172"/>
      <c r="P561" s="172"/>
      <c r="Q561" s="38" t="s">
        <v>852</v>
      </c>
      <c r="R561" s="38" t="s">
        <v>852</v>
      </c>
    </row>
    <row r="562" spans="1:18" ht="15.75" customHeight="1" x14ac:dyDescent="0.3">
      <c r="A562" s="539" t="s">
        <v>2747</v>
      </c>
      <c r="B562" s="172"/>
      <c r="C562" s="172"/>
      <c r="D562" s="172">
        <v>46</v>
      </c>
      <c r="E562" s="38">
        <f>SUM(B562:D562)</f>
        <v>46</v>
      </c>
      <c r="F562" s="172">
        <v>1723</v>
      </c>
      <c r="G562" s="172">
        <v>1295</v>
      </c>
      <c r="H562" s="172">
        <v>2116</v>
      </c>
      <c r="I562" s="38">
        <f>SUM(F562:H562)</f>
        <v>5134</v>
      </c>
      <c r="J562" s="172">
        <v>2208</v>
      </c>
      <c r="K562" s="172">
        <v>1947</v>
      </c>
      <c r="L562" s="172">
        <v>1342</v>
      </c>
      <c r="M562" s="38">
        <f>SUM(J562:L562)</f>
        <v>5497</v>
      </c>
      <c r="N562" s="172">
        <v>324</v>
      </c>
      <c r="O562" s="172">
        <v>22</v>
      </c>
      <c r="P562" s="172">
        <v>2</v>
      </c>
      <c r="Q562" s="38">
        <f>SUM(N562:P562)</f>
        <v>348</v>
      </c>
      <c r="R562" s="38">
        <f>+E562+I562+M562+Q562</f>
        <v>11025</v>
      </c>
    </row>
    <row r="563" spans="1:18" ht="15.75" customHeight="1" x14ac:dyDescent="0.3">
      <c r="A563" s="539" t="s">
        <v>2748</v>
      </c>
      <c r="B563" s="172"/>
      <c r="C563" s="172"/>
      <c r="D563" s="172"/>
      <c r="E563" s="38">
        <f>SUM(B563:D563)</f>
        <v>0</v>
      </c>
      <c r="F563" s="172">
        <v>126</v>
      </c>
      <c r="G563" s="172">
        <v>541</v>
      </c>
      <c r="H563" s="172">
        <v>460</v>
      </c>
      <c r="I563" s="38">
        <f>SUM(F563:H563)</f>
        <v>1127</v>
      </c>
      <c r="J563" s="172">
        <v>605</v>
      </c>
      <c r="K563" s="172">
        <v>405</v>
      </c>
      <c r="L563" s="172">
        <v>447</v>
      </c>
      <c r="M563" s="38">
        <f>SUM(J563:L563)</f>
        <v>1457</v>
      </c>
      <c r="N563" s="172">
        <v>135</v>
      </c>
      <c r="O563" s="172">
        <v>143</v>
      </c>
      <c r="P563" s="172">
        <v>194</v>
      </c>
      <c r="Q563" s="38">
        <f>SUM(N563:P563)</f>
        <v>472</v>
      </c>
      <c r="R563" s="38">
        <f>+E563+I563+M563+Q563</f>
        <v>3056</v>
      </c>
    </row>
    <row r="564" spans="1:18" ht="15.75" customHeight="1" x14ac:dyDescent="0.3">
      <c r="A564" s="266" t="s">
        <v>537</v>
      </c>
      <c r="B564" s="172"/>
      <c r="C564" s="172"/>
      <c r="D564" s="172"/>
      <c r="E564" s="38">
        <f>SUM(B564:D564)</f>
        <v>0</v>
      </c>
      <c r="F564" s="172">
        <v>71</v>
      </c>
      <c r="G564" s="172">
        <v>0</v>
      </c>
      <c r="H564" s="172">
        <v>88</v>
      </c>
      <c r="I564" s="38">
        <f>SUM(F564:H564)</f>
        <v>159</v>
      </c>
      <c r="J564" s="172">
        <v>50</v>
      </c>
      <c r="K564" s="172">
        <v>122</v>
      </c>
      <c r="L564" s="172"/>
      <c r="M564" s="38">
        <f>SUM(J564:L564)</f>
        <v>172</v>
      </c>
      <c r="N564" s="172"/>
      <c r="O564" s="172"/>
      <c r="P564" s="172"/>
      <c r="Q564" s="38">
        <f>SUM(N564:P564)</f>
        <v>0</v>
      </c>
      <c r="R564" s="38">
        <f>+E564+I564+M564+Q564</f>
        <v>331</v>
      </c>
    </row>
    <row r="565" spans="1:18" ht="15.75" customHeight="1" x14ac:dyDescent="0.3">
      <c r="A565" s="234" t="s">
        <v>2161</v>
      </c>
      <c r="B565" s="172"/>
      <c r="C565" s="172"/>
      <c r="D565" s="172"/>
      <c r="E565" s="38" t="s">
        <v>852</v>
      </c>
      <c r="F565" s="172"/>
      <c r="G565" s="172"/>
      <c r="H565" s="172"/>
      <c r="I565" s="38" t="s">
        <v>852</v>
      </c>
      <c r="J565" s="172"/>
      <c r="K565" s="172"/>
      <c r="L565" s="172"/>
      <c r="M565" s="38" t="s">
        <v>852</v>
      </c>
      <c r="N565" s="172"/>
      <c r="O565" s="172"/>
      <c r="P565" s="172"/>
      <c r="Q565" s="38" t="s">
        <v>852</v>
      </c>
      <c r="R565" s="38" t="s">
        <v>852</v>
      </c>
    </row>
    <row r="566" spans="1:18" ht="15.75" customHeight="1" x14ac:dyDescent="0.3">
      <c r="A566" s="234" t="s">
        <v>2162</v>
      </c>
      <c r="B566" s="172"/>
      <c r="C566" s="172"/>
      <c r="D566" s="172"/>
      <c r="E566" s="38" t="s">
        <v>852</v>
      </c>
      <c r="F566" s="172"/>
      <c r="G566" s="172"/>
      <c r="H566" s="172"/>
      <c r="I566" s="38" t="s">
        <v>852</v>
      </c>
      <c r="J566" s="172"/>
      <c r="K566" s="172"/>
      <c r="L566" s="172"/>
      <c r="M566" s="38" t="s">
        <v>852</v>
      </c>
      <c r="N566" s="172"/>
      <c r="O566" s="172"/>
      <c r="P566" s="172"/>
      <c r="Q566" s="38" t="s">
        <v>852</v>
      </c>
      <c r="R566" s="38" t="s">
        <v>852</v>
      </c>
    </row>
    <row r="567" spans="1:18" ht="15.75" customHeight="1" thickBot="1" x14ac:dyDescent="0.35">
      <c r="A567" s="234" t="s">
        <v>2164</v>
      </c>
      <c r="B567" s="172"/>
      <c r="C567" s="172"/>
      <c r="D567" s="172"/>
      <c r="E567" s="38" t="s">
        <v>852</v>
      </c>
      <c r="F567" s="172"/>
      <c r="G567" s="172"/>
      <c r="H567" s="172"/>
      <c r="I567" s="38" t="s">
        <v>852</v>
      </c>
      <c r="J567" s="172"/>
      <c r="K567" s="172"/>
      <c r="L567" s="172"/>
      <c r="M567" s="38" t="s">
        <v>852</v>
      </c>
      <c r="N567" s="172"/>
      <c r="O567" s="172"/>
      <c r="P567" s="172"/>
      <c r="Q567" s="38" t="s">
        <v>852</v>
      </c>
      <c r="R567" s="38" t="s">
        <v>852</v>
      </c>
    </row>
    <row r="568" spans="1:18" ht="16.5" customHeight="1" thickBot="1" x14ac:dyDescent="0.35">
      <c r="A568" s="276" t="s">
        <v>1218</v>
      </c>
      <c r="B568" s="45">
        <f>SUM(B560:B567)</f>
        <v>0</v>
      </c>
      <c r="C568" s="46">
        <f>SUM(C560:C567)</f>
        <v>0</v>
      </c>
      <c r="D568" s="46">
        <f>SUM(D560:D567)</f>
        <v>46</v>
      </c>
      <c r="E568" s="37">
        <f>SUM(B568:D568)</f>
        <v>46</v>
      </c>
      <c r="F568" s="46">
        <f>SUM(F560:F567)</f>
        <v>1920</v>
      </c>
      <c r="G568" s="46">
        <f>SUM(G560:G567)</f>
        <v>1836</v>
      </c>
      <c r="H568" s="46">
        <f>SUM(H560:H567)</f>
        <v>2664</v>
      </c>
      <c r="I568" s="37">
        <f>SUM(F568:H568)</f>
        <v>6420</v>
      </c>
      <c r="J568" s="46">
        <f>SUM(J560:J567)</f>
        <v>2863</v>
      </c>
      <c r="K568" s="46">
        <f>SUM(K560:K567)</f>
        <v>2474</v>
      </c>
      <c r="L568" s="46">
        <f>SUM(L560:L567)</f>
        <v>1789</v>
      </c>
      <c r="M568" s="37">
        <f>SUM(J568:L568)</f>
        <v>7126</v>
      </c>
      <c r="N568" s="46">
        <f>SUM(N560:N567)</f>
        <v>459</v>
      </c>
      <c r="O568" s="46">
        <f>SUM(O560:O567)</f>
        <v>165</v>
      </c>
      <c r="P568" s="46">
        <f>SUM(P560:P567)</f>
        <v>196</v>
      </c>
      <c r="Q568" s="37">
        <f>SUM(N568:P568)</f>
        <v>820</v>
      </c>
      <c r="R568" s="37">
        <f>+E568+I568+M568+Q568</f>
        <v>14412</v>
      </c>
    </row>
    <row r="569" spans="1:18" ht="15.75" customHeight="1" x14ac:dyDescent="0.3">
      <c r="A569" s="234" t="s">
        <v>1172</v>
      </c>
      <c r="B569" s="172"/>
      <c r="C569" s="172"/>
      <c r="D569" s="172"/>
      <c r="E569" s="38" t="s">
        <v>852</v>
      </c>
      <c r="F569" s="172"/>
      <c r="G569" s="172"/>
      <c r="H569" s="172"/>
      <c r="I569" s="38" t="s">
        <v>852</v>
      </c>
      <c r="J569" s="172"/>
      <c r="K569" s="172"/>
      <c r="L569" s="172"/>
      <c r="M569" s="38" t="s">
        <v>852</v>
      </c>
      <c r="N569" s="172"/>
      <c r="O569" s="172"/>
      <c r="P569" s="172"/>
      <c r="Q569" s="38" t="s">
        <v>852</v>
      </c>
      <c r="R569" s="38" t="s">
        <v>852</v>
      </c>
    </row>
    <row r="570" spans="1:18" ht="15.75" customHeight="1" x14ac:dyDescent="0.3">
      <c r="A570" s="234" t="s">
        <v>2409</v>
      </c>
      <c r="B570" s="172"/>
      <c r="C570" s="172"/>
      <c r="D570" s="172"/>
      <c r="E570" s="38" t="s">
        <v>852</v>
      </c>
      <c r="F570" s="172"/>
      <c r="G570" s="172"/>
      <c r="H570" s="172"/>
      <c r="I570" s="38" t="s">
        <v>852</v>
      </c>
      <c r="J570" s="172"/>
      <c r="K570" s="172"/>
      <c r="L570" s="172"/>
      <c r="M570" s="38" t="s">
        <v>852</v>
      </c>
      <c r="N570" s="172"/>
      <c r="O570" s="172"/>
      <c r="P570" s="172"/>
      <c r="Q570" s="38" t="s">
        <v>852</v>
      </c>
      <c r="R570" s="38" t="s">
        <v>852</v>
      </c>
    </row>
    <row r="571" spans="1:18" ht="15.75" customHeight="1" thickBot="1" x14ac:dyDescent="0.35">
      <c r="A571" s="234" t="s">
        <v>2165</v>
      </c>
      <c r="B571" s="172"/>
      <c r="C571" s="172"/>
      <c r="D571" s="172"/>
      <c r="E571" s="38" t="s">
        <v>852</v>
      </c>
      <c r="F571" s="172"/>
      <c r="G571" s="172"/>
      <c r="H571" s="172"/>
      <c r="I571" s="38" t="s">
        <v>852</v>
      </c>
      <c r="J571" s="172"/>
      <c r="K571" s="172"/>
      <c r="L571" s="172"/>
      <c r="M571" s="38" t="s">
        <v>852</v>
      </c>
      <c r="N571" s="172"/>
      <c r="O571" s="172"/>
      <c r="P571" s="172"/>
      <c r="Q571" s="38" t="s">
        <v>852</v>
      </c>
      <c r="R571" s="38" t="s">
        <v>852</v>
      </c>
    </row>
    <row r="572" spans="1:18" ht="16.5" customHeight="1" thickBot="1" x14ac:dyDescent="0.35">
      <c r="A572" s="43" t="s">
        <v>1219</v>
      </c>
      <c r="B572" s="45">
        <f>SUM(B569:B571)</f>
        <v>0</v>
      </c>
      <c r="C572" s="46">
        <f>SUM(C569:C571)</f>
        <v>0</v>
      </c>
      <c r="D572" s="46">
        <f>SUM(D569:D571)</f>
        <v>0</v>
      </c>
      <c r="E572" s="37">
        <f>SUM(B572:D572)</f>
        <v>0</v>
      </c>
      <c r="F572" s="46">
        <f>SUM(F569:F571)</f>
        <v>0</v>
      </c>
      <c r="G572" s="46">
        <f>SUM(G569:G571)</f>
        <v>0</v>
      </c>
      <c r="H572" s="46">
        <f>SUM(H569:H571)</f>
        <v>0</v>
      </c>
      <c r="I572" s="37">
        <f>SUM(F572:H572)</f>
        <v>0</v>
      </c>
      <c r="J572" s="46">
        <f>SUM(J569:J571)</f>
        <v>0</v>
      </c>
      <c r="K572" s="46">
        <f>SUM(K569:K571)</f>
        <v>0</v>
      </c>
      <c r="L572" s="46">
        <f>SUM(L569:L571)</f>
        <v>0</v>
      </c>
      <c r="M572" s="37">
        <f>SUM(J572:L572)</f>
        <v>0</v>
      </c>
      <c r="N572" s="46">
        <f>SUM(N569:N571)</f>
        <v>0</v>
      </c>
      <c r="O572" s="46">
        <f>SUM(O569:O571)</f>
        <v>0</v>
      </c>
      <c r="P572" s="46">
        <f>SUM(P569:P571)</f>
        <v>0</v>
      </c>
      <c r="Q572" s="37">
        <f>SUM(N572:P572)</f>
        <v>0</v>
      </c>
      <c r="R572" s="37">
        <f>+E572+I572+M572+Q572</f>
        <v>0</v>
      </c>
    </row>
    <row r="573" spans="1:18" ht="15.75" customHeight="1" x14ac:dyDescent="0.3">
      <c r="A573" s="234" t="s">
        <v>2166</v>
      </c>
      <c r="B573" s="172"/>
      <c r="C573" s="172"/>
      <c r="D573" s="172"/>
      <c r="E573" s="38" t="s">
        <v>852</v>
      </c>
      <c r="F573" s="172"/>
      <c r="G573" s="172"/>
      <c r="H573" s="172"/>
      <c r="I573" s="38" t="s">
        <v>852</v>
      </c>
      <c r="J573" s="172"/>
      <c r="K573" s="172"/>
      <c r="L573" s="172"/>
      <c r="M573" s="38" t="s">
        <v>852</v>
      </c>
      <c r="N573" s="172"/>
      <c r="O573" s="172"/>
      <c r="P573" s="172"/>
      <c r="Q573" s="38" t="s">
        <v>852</v>
      </c>
      <c r="R573" s="38" t="s">
        <v>852</v>
      </c>
    </row>
    <row r="574" spans="1:18" ht="15.75" customHeight="1" x14ac:dyDescent="0.3">
      <c r="A574" s="234" t="s">
        <v>1245</v>
      </c>
      <c r="B574" s="172"/>
      <c r="C574" s="172"/>
      <c r="D574" s="172"/>
      <c r="E574" s="38" t="s">
        <v>852</v>
      </c>
      <c r="F574" s="172"/>
      <c r="G574" s="172"/>
      <c r="H574" s="172"/>
      <c r="I574" s="38" t="s">
        <v>852</v>
      </c>
      <c r="J574" s="172"/>
      <c r="K574" s="172"/>
      <c r="L574" s="172"/>
      <c r="M574" s="38" t="s">
        <v>852</v>
      </c>
      <c r="N574" s="172"/>
      <c r="O574" s="172"/>
      <c r="P574" s="172"/>
      <c r="Q574" s="38" t="s">
        <v>852</v>
      </c>
      <c r="R574" s="38" t="s">
        <v>852</v>
      </c>
    </row>
    <row r="575" spans="1:18" ht="15.75" customHeight="1" thickBot="1" x14ac:dyDescent="0.35">
      <c r="A575" s="234" t="s">
        <v>1711</v>
      </c>
      <c r="B575" s="172"/>
      <c r="C575" s="172"/>
      <c r="D575" s="172"/>
      <c r="E575" s="38" t="s">
        <v>852</v>
      </c>
      <c r="F575" s="172"/>
      <c r="G575" s="172"/>
      <c r="H575" s="172"/>
      <c r="I575" s="38" t="s">
        <v>852</v>
      </c>
      <c r="J575" s="172"/>
      <c r="K575" s="172"/>
      <c r="L575" s="172"/>
      <c r="M575" s="38" t="s">
        <v>852</v>
      </c>
      <c r="N575" s="172"/>
      <c r="O575" s="172"/>
      <c r="P575" s="172"/>
      <c r="Q575" s="38" t="s">
        <v>852</v>
      </c>
      <c r="R575" s="38" t="s">
        <v>852</v>
      </c>
    </row>
    <row r="576" spans="1:18" ht="16.5" customHeight="1" thickBot="1" x14ac:dyDescent="0.35">
      <c r="A576" s="277" t="s">
        <v>1220</v>
      </c>
      <c r="B576" s="45">
        <f>SUM(B573:B575)</f>
        <v>0</v>
      </c>
      <c r="C576" s="46">
        <f>SUM(C573:C575)</f>
        <v>0</v>
      </c>
      <c r="D576" s="46">
        <f>SUM(D573:D575)</f>
        <v>0</v>
      </c>
      <c r="E576" s="37">
        <f>SUM(B576:D576)</f>
        <v>0</v>
      </c>
      <c r="F576" s="46">
        <f>SUM(F573:F575)</f>
        <v>0</v>
      </c>
      <c r="G576" s="46">
        <f>SUM(G573:G575)</f>
        <v>0</v>
      </c>
      <c r="H576" s="46">
        <f>SUM(H573:H575)</f>
        <v>0</v>
      </c>
      <c r="I576" s="37">
        <f>SUM(F576:H576)</f>
        <v>0</v>
      </c>
      <c r="J576" s="46">
        <f>SUM(J573:J575)</f>
        <v>0</v>
      </c>
      <c r="K576" s="46">
        <f>SUM(K573:K575)</f>
        <v>0</v>
      </c>
      <c r="L576" s="46">
        <f>SUM(L573:L575)</f>
        <v>0</v>
      </c>
      <c r="M576" s="37">
        <f>SUM(J576:L576)</f>
        <v>0</v>
      </c>
      <c r="N576" s="46">
        <f>SUM(N573:N575)</f>
        <v>0</v>
      </c>
      <c r="O576" s="46">
        <f>SUM(O573:O575)</f>
        <v>0</v>
      </c>
      <c r="P576" s="46">
        <f>SUM(P573:P575)</f>
        <v>0</v>
      </c>
      <c r="Q576" s="37">
        <f>SUM(N576:P576)</f>
        <v>0</v>
      </c>
      <c r="R576" s="37">
        <f>+E576+I576+M576+Q576</f>
        <v>0</v>
      </c>
    </row>
    <row r="577" spans="1:18" ht="15.75" customHeight="1" x14ac:dyDescent="0.3">
      <c r="A577" s="234" t="s">
        <v>1712</v>
      </c>
      <c r="B577" s="172"/>
      <c r="C577" s="172"/>
      <c r="D577" s="172"/>
      <c r="E577" s="38" t="s">
        <v>852</v>
      </c>
      <c r="F577" s="172"/>
      <c r="G577" s="172"/>
      <c r="H577" s="172"/>
      <c r="I577" s="38" t="s">
        <v>852</v>
      </c>
      <c r="J577" s="172"/>
      <c r="K577" s="172"/>
      <c r="L577" s="172"/>
      <c r="M577" s="38" t="s">
        <v>852</v>
      </c>
      <c r="N577" s="172"/>
      <c r="O577" s="172"/>
      <c r="P577" s="172"/>
      <c r="Q577" s="38" t="s">
        <v>852</v>
      </c>
      <c r="R577" s="38" t="s">
        <v>852</v>
      </c>
    </row>
    <row r="578" spans="1:18" ht="15.75" customHeight="1" x14ac:dyDescent="0.3">
      <c r="A578" s="234" t="s">
        <v>1021</v>
      </c>
      <c r="B578" s="172"/>
      <c r="C578" s="172"/>
      <c r="D578" s="172"/>
      <c r="E578" s="38" t="s">
        <v>852</v>
      </c>
      <c r="F578" s="172"/>
      <c r="G578" s="172"/>
      <c r="H578" s="172"/>
      <c r="I578" s="38" t="s">
        <v>852</v>
      </c>
      <c r="J578" s="172"/>
      <c r="K578" s="172"/>
      <c r="L578" s="172"/>
      <c r="M578" s="38" t="s">
        <v>852</v>
      </c>
      <c r="N578" s="172"/>
      <c r="O578" s="172"/>
      <c r="P578" s="172"/>
      <c r="Q578" s="38" t="s">
        <v>852</v>
      </c>
      <c r="R578" s="38" t="s">
        <v>852</v>
      </c>
    </row>
    <row r="579" spans="1:18" ht="15.75" customHeight="1" x14ac:dyDescent="0.3">
      <c r="A579" s="234" t="s">
        <v>557</v>
      </c>
      <c r="B579" s="172"/>
      <c r="C579" s="172"/>
      <c r="D579" s="172"/>
      <c r="E579" s="38" t="s">
        <v>852</v>
      </c>
      <c r="F579" s="172"/>
      <c r="G579" s="172"/>
      <c r="H579" s="172"/>
      <c r="I579" s="38" t="s">
        <v>852</v>
      </c>
      <c r="J579" s="172"/>
      <c r="K579" s="172"/>
      <c r="L579" s="172"/>
      <c r="M579" s="38" t="s">
        <v>852</v>
      </c>
      <c r="N579" s="172"/>
      <c r="O579" s="172"/>
      <c r="P579" s="172"/>
      <c r="Q579" s="38" t="s">
        <v>852</v>
      </c>
      <c r="R579" s="38" t="s">
        <v>852</v>
      </c>
    </row>
    <row r="580" spans="1:18" ht="15.75" customHeight="1" x14ac:dyDescent="0.3">
      <c r="A580" s="539" t="s">
        <v>2584</v>
      </c>
      <c r="B580" s="172"/>
      <c r="C580" s="172"/>
      <c r="D580" s="172"/>
      <c r="E580" s="38">
        <f>SUM(B580:D580)</f>
        <v>0</v>
      </c>
      <c r="F580" s="172"/>
      <c r="G580" s="172"/>
      <c r="H580" s="172"/>
      <c r="I580" s="38">
        <f>SUM(F580:H580)</f>
        <v>0</v>
      </c>
      <c r="J580" s="172"/>
      <c r="K580" s="172"/>
      <c r="L580" s="172"/>
      <c r="M580" s="38">
        <f>SUM(J580:L580)</f>
        <v>0</v>
      </c>
      <c r="N580" s="172"/>
      <c r="O580" s="172"/>
      <c r="P580" s="172"/>
      <c r="Q580" s="38">
        <f>SUM(N580:P580)</f>
        <v>0</v>
      </c>
      <c r="R580" s="38">
        <f>+E580+I580+M580+Q580</f>
        <v>0</v>
      </c>
    </row>
    <row r="581" spans="1:18" ht="15.75" customHeight="1" x14ac:dyDescent="0.3">
      <c r="A581" s="234" t="s">
        <v>1022</v>
      </c>
      <c r="B581" s="172"/>
      <c r="C581" s="172"/>
      <c r="D581" s="172"/>
      <c r="E581" s="38" t="s">
        <v>852</v>
      </c>
      <c r="F581" s="172"/>
      <c r="G581" s="172"/>
      <c r="H581" s="172"/>
      <c r="I581" s="38" t="s">
        <v>852</v>
      </c>
      <c r="J581" s="172"/>
      <c r="K581" s="172"/>
      <c r="L581" s="172"/>
      <c r="M581" s="38" t="s">
        <v>852</v>
      </c>
      <c r="N581" s="172"/>
      <c r="O581" s="172"/>
      <c r="P581" s="172"/>
      <c r="Q581" s="38" t="s">
        <v>852</v>
      </c>
      <c r="R581" s="38" t="s">
        <v>852</v>
      </c>
    </row>
    <row r="582" spans="1:18" ht="15.75" customHeight="1" thickBot="1" x14ac:dyDescent="0.35">
      <c r="A582" s="234" t="s">
        <v>559</v>
      </c>
      <c r="B582" s="172"/>
      <c r="C582" s="172"/>
      <c r="D582" s="172"/>
      <c r="E582" s="38" t="s">
        <v>852</v>
      </c>
      <c r="F582" s="172"/>
      <c r="G582" s="172"/>
      <c r="H582" s="172"/>
      <c r="I582" s="38" t="s">
        <v>852</v>
      </c>
      <c r="J582" s="172"/>
      <c r="K582" s="172"/>
      <c r="L582" s="172"/>
      <c r="M582" s="38" t="s">
        <v>852</v>
      </c>
      <c r="N582" s="172"/>
      <c r="O582" s="172"/>
      <c r="P582" s="172"/>
      <c r="Q582" s="38" t="s">
        <v>852</v>
      </c>
      <c r="R582" s="38" t="s">
        <v>852</v>
      </c>
    </row>
    <row r="583" spans="1:18" ht="16.5" customHeight="1" thickBot="1" x14ac:dyDescent="0.35">
      <c r="A583" s="43" t="s">
        <v>1019</v>
      </c>
      <c r="B583" s="42">
        <f>SUM(B581:B582)</f>
        <v>0</v>
      </c>
      <c r="C583" s="42">
        <f>SUM(C581:C582)</f>
        <v>0</v>
      </c>
      <c r="D583" s="42">
        <f>SUM(D581:D582)</f>
        <v>0</v>
      </c>
      <c r="E583" s="39">
        <f>SUM(B583:D583)</f>
        <v>0</v>
      </c>
      <c r="F583" s="42">
        <f>SUM(F581:F582)</f>
        <v>0</v>
      </c>
      <c r="G583" s="42">
        <f>SUM(G581:G582)</f>
        <v>0</v>
      </c>
      <c r="H583" s="42">
        <f>SUM(H581:H582)</f>
        <v>0</v>
      </c>
      <c r="I583" s="39">
        <f>SUM(F583:H583)</f>
        <v>0</v>
      </c>
      <c r="J583" s="42">
        <f>SUM(J581:J582)</f>
        <v>0</v>
      </c>
      <c r="K583" s="42">
        <f>SUM(K581:K582)</f>
        <v>0</v>
      </c>
      <c r="L583" s="42">
        <f>SUM(L581:L582)</f>
        <v>0</v>
      </c>
      <c r="M583" s="39">
        <f>SUM(J583:L583)</f>
        <v>0</v>
      </c>
      <c r="N583" s="42">
        <f>SUM(N581:N582)</f>
        <v>0</v>
      </c>
      <c r="O583" s="42">
        <f>SUM(O581:O582)</f>
        <v>0</v>
      </c>
      <c r="P583" s="42">
        <f>SUM(P581:P582)</f>
        <v>0</v>
      </c>
      <c r="Q583" s="39">
        <f>SUM(N583:P583)</f>
        <v>0</v>
      </c>
      <c r="R583" s="37">
        <f>+E583+I583+M583+Q583</f>
        <v>0</v>
      </c>
    </row>
    <row r="584" spans="1:18" ht="16.5" customHeight="1" thickBot="1" x14ac:dyDescent="0.35">
      <c r="A584" s="277" t="s">
        <v>1221</v>
      </c>
      <c r="B584" s="45">
        <f>SUM(B577:B582)</f>
        <v>0</v>
      </c>
      <c r="C584" s="46">
        <f>SUM(C577:C582)</f>
        <v>0</v>
      </c>
      <c r="D584" s="58">
        <f>SUM(D577:D582)</f>
        <v>0</v>
      </c>
      <c r="E584" s="39">
        <f>SUM(B584:D584)</f>
        <v>0</v>
      </c>
      <c r="F584" s="46">
        <f>SUM(F577:F582)</f>
        <v>0</v>
      </c>
      <c r="G584" s="46">
        <f>SUM(G577:G582)</f>
        <v>0</v>
      </c>
      <c r="H584" s="46">
        <f>SUM(H577:H582)</f>
        <v>0</v>
      </c>
      <c r="I584" s="39">
        <f>SUM(F584:H584)</f>
        <v>0</v>
      </c>
      <c r="J584" s="46">
        <f>SUM(J577:J582)</f>
        <v>0</v>
      </c>
      <c r="K584" s="46">
        <f>SUM(K577:K582)</f>
        <v>0</v>
      </c>
      <c r="L584" s="46">
        <f>SUM(L577:L582)</f>
        <v>0</v>
      </c>
      <c r="M584" s="39">
        <f>SUM(J584:L584)</f>
        <v>0</v>
      </c>
      <c r="N584" s="46">
        <f>SUM(N577:N582)</f>
        <v>0</v>
      </c>
      <c r="O584" s="46">
        <f>SUM(O577:O582)</f>
        <v>0</v>
      </c>
      <c r="P584" s="46">
        <f>SUM(P577:P582)</f>
        <v>0</v>
      </c>
      <c r="Q584" s="39">
        <f>SUM(N584:P584)</f>
        <v>0</v>
      </c>
      <c r="R584" s="37">
        <f>+E584+I584+M584+Q584</f>
        <v>0</v>
      </c>
    </row>
    <row r="585" spans="1:18" ht="16.5" customHeight="1" thickBot="1" x14ac:dyDescent="0.35">
      <c r="A585" s="43" t="s">
        <v>1222</v>
      </c>
      <c r="B585" s="47">
        <f>+B568+B572+B576+B584</f>
        <v>0</v>
      </c>
      <c r="C585" s="42">
        <f>+C568+C572+C576+C584</f>
        <v>0</v>
      </c>
      <c r="D585" s="42">
        <f>+D568+D572+D576+D584</f>
        <v>46</v>
      </c>
      <c r="E585" s="37">
        <f>SUM(B585:D585)</f>
        <v>46</v>
      </c>
      <c r="F585" s="42">
        <f>+F568+F572+F576+F584</f>
        <v>1920</v>
      </c>
      <c r="G585" s="42">
        <f>+G568+G572+G576+G584</f>
        <v>1836</v>
      </c>
      <c r="H585" s="42">
        <f>+H568+H572+H576+H584</f>
        <v>2664</v>
      </c>
      <c r="I585" s="37">
        <f>SUM(F585:H585)</f>
        <v>6420</v>
      </c>
      <c r="J585" s="42">
        <f>+J568+J572+J576+J584</f>
        <v>2863</v>
      </c>
      <c r="K585" s="42">
        <f>+K568+K572+K576+K584</f>
        <v>2474</v>
      </c>
      <c r="L585" s="42">
        <f>+L568+L572+L576+L584</f>
        <v>1789</v>
      </c>
      <c r="M585" s="37">
        <f>SUM(J585:L585)</f>
        <v>7126</v>
      </c>
      <c r="N585" s="42">
        <f>+N568+N572+N576+N584</f>
        <v>459</v>
      </c>
      <c r="O585" s="42">
        <f>+O568+O572+O576+O584</f>
        <v>165</v>
      </c>
      <c r="P585" s="42">
        <f>+P568+P572+P576+P584</f>
        <v>196</v>
      </c>
      <c r="Q585" s="37">
        <f>SUM(N585:P585)</f>
        <v>820</v>
      </c>
      <c r="R585" s="40">
        <f>+E585+I585+M585+Q585</f>
        <v>14412</v>
      </c>
    </row>
    <row r="586" spans="1:18" ht="16.5" customHeight="1" thickBot="1" x14ac:dyDescent="0.35">
      <c r="A586" s="244" t="s">
        <v>853</v>
      </c>
      <c r="B586" s="238">
        <v>10</v>
      </c>
      <c r="C586" s="238">
        <v>11</v>
      </c>
      <c r="D586" s="238">
        <v>14</v>
      </c>
      <c r="E586" s="38">
        <f>SUM(B586:D586)</f>
        <v>35</v>
      </c>
      <c r="F586" s="238">
        <v>18</v>
      </c>
      <c r="G586" s="238">
        <v>21</v>
      </c>
      <c r="H586" s="238">
        <v>22</v>
      </c>
      <c r="I586" s="38">
        <f>SUM(F586:H586)</f>
        <v>61</v>
      </c>
      <c r="J586" s="238">
        <v>19</v>
      </c>
      <c r="K586" s="238">
        <v>17</v>
      </c>
      <c r="L586" s="238">
        <v>17</v>
      </c>
      <c r="M586" s="38">
        <f>SUM(J586:L586)</f>
        <v>53</v>
      </c>
      <c r="N586" s="238">
        <v>14</v>
      </c>
      <c r="O586" s="238">
        <v>11</v>
      </c>
      <c r="P586" s="238">
        <v>9</v>
      </c>
      <c r="Q586" s="38">
        <f>SUM(N586:P586)</f>
        <v>34</v>
      </c>
      <c r="R586" s="38">
        <f>+E586+I586+M586+Q586</f>
        <v>183</v>
      </c>
    </row>
    <row r="587" spans="1:18" ht="16.5" customHeight="1" thickBot="1" x14ac:dyDescent="0.35">
      <c r="A587" s="22"/>
      <c r="B587" s="242"/>
      <c r="C587" s="242"/>
      <c r="D587" s="242"/>
      <c r="E587" s="233"/>
      <c r="F587" s="242"/>
      <c r="G587" s="242"/>
      <c r="H587" s="242"/>
      <c r="I587" s="233"/>
      <c r="J587" s="242"/>
      <c r="K587" s="242"/>
      <c r="L587" s="242"/>
      <c r="M587" s="280"/>
      <c r="N587" s="242"/>
      <c r="O587" s="242"/>
      <c r="P587" s="242"/>
      <c r="Q587" s="280"/>
      <c r="R587" s="14"/>
    </row>
    <row r="588" spans="1:18" ht="15.75" customHeight="1" x14ac:dyDescent="0.3">
      <c r="A588" s="234" t="s">
        <v>120</v>
      </c>
      <c r="B588" s="172">
        <f>SUM(B585:B586)</f>
        <v>10</v>
      </c>
      <c r="C588" s="172">
        <f>SUM(C585:C586)</f>
        <v>11</v>
      </c>
      <c r="D588" s="172">
        <f>SUM(D585:D586)</f>
        <v>60</v>
      </c>
      <c r="E588" s="38">
        <f>SUM(B588:D588)</f>
        <v>81</v>
      </c>
      <c r="F588" s="172">
        <f>SUM(F585:F586)</f>
        <v>1938</v>
      </c>
      <c r="G588" s="172">
        <f>SUM(G585:G586)</f>
        <v>1857</v>
      </c>
      <c r="H588" s="172">
        <f>SUM(H585:H586)</f>
        <v>2686</v>
      </c>
      <c r="I588" s="39">
        <f>SUM(F588:H588)</f>
        <v>6481</v>
      </c>
      <c r="J588" s="172">
        <f>SUM(J585:J586)</f>
        <v>2882</v>
      </c>
      <c r="K588" s="172">
        <f>SUM(K585:K586)</f>
        <v>2491</v>
      </c>
      <c r="L588" s="172">
        <f>SUM(L585:L586)</f>
        <v>1806</v>
      </c>
      <c r="M588" s="39">
        <f>SUM(J588:L588)</f>
        <v>7179</v>
      </c>
      <c r="N588" s="172">
        <f>SUM(N585:N586)</f>
        <v>473</v>
      </c>
      <c r="O588" s="172">
        <f>SUM(O585:O586)</f>
        <v>176</v>
      </c>
      <c r="P588" s="172">
        <f>SUM(P585:P586)</f>
        <v>205</v>
      </c>
      <c r="Q588" s="39">
        <f>SUM(N588:P588)</f>
        <v>854</v>
      </c>
      <c r="R588" s="39">
        <f>+E588+I588+M588+Q588</f>
        <v>14595</v>
      </c>
    </row>
    <row r="589" spans="1:18" ht="15.75" customHeight="1" x14ac:dyDescent="0.3">
      <c r="A589" s="234" t="s">
        <v>1897</v>
      </c>
      <c r="B589" s="172">
        <f>(B588/B10)/1.983</f>
        <v>0.16267304344996988</v>
      </c>
      <c r="C589" s="172">
        <f>(C588/C10)/1.983</f>
        <v>0.19811252791585618</v>
      </c>
      <c r="D589" s="172">
        <f>(D588/D10)/1.983</f>
        <v>0.97603826069981936</v>
      </c>
      <c r="E589" s="38" t="s">
        <v>852</v>
      </c>
      <c r="F589" s="172">
        <f>(F588/F10)/1.983</f>
        <v>32.576903681290972</v>
      </c>
      <c r="G589" s="172">
        <f>(G588/G10)/1.983</f>
        <v>30.208384168659411</v>
      </c>
      <c r="H589" s="172">
        <f>(H588/H10)/1.983</f>
        <v>45.150445453017312</v>
      </c>
      <c r="I589" s="38" t="s">
        <v>852</v>
      </c>
      <c r="J589" s="172">
        <f>(J588/J10)/1.983</f>
        <v>46.882371122281327</v>
      </c>
      <c r="K589" s="172">
        <f>(K588/K10)/1.983</f>
        <v>40.521855123387503</v>
      </c>
      <c r="L589" s="172">
        <f>(L588/L10)/1.983</f>
        <v>30.358043368633385</v>
      </c>
      <c r="M589" s="38" t="s">
        <v>852</v>
      </c>
      <c r="N589" s="172">
        <f>(N588/N10)/1.983</f>
        <v>7.694434955183576</v>
      </c>
      <c r="O589" s="172">
        <f>(O588/O10)/1.983</f>
        <v>2.9584804168767858</v>
      </c>
      <c r="P589" s="172">
        <f>(P588/P10)/1.983</f>
        <v>3.3347973907243831</v>
      </c>
      <c r="Q589" s="38" t="s">
        <v>852</v>
      </c>
      <c r="R589" s="38" t="s">
        <v>852</v>
      </c>
    </row>
    <row r="590" spans="1:18" ht="15.75" customHeight="1" x14ac:dyDescent="0.3">
      <c r="A590" s="234" t="s">
        <v>1334</v>
      </c>
      <c r="B590" s="172">
        <f>B588+B634</f>
        <v>14454</v>
      </c>
      <c r="C590" s="172">
        <f>C588+C634</f>
        <v>16317</v>
      </c>
      <c r="D590" s="172">
        <f>D588+D634</f>
        <v>17174</v>
      </c>
      <c r="E590" s="38">
        <f>SUM(B590:D590)</f>
        <v>47945</v>
      </c>
      <c r="F590" s="172">
        <f>F588+F634</f>
        <v>21194</v>
      </c>
      <c r="G590" s="172">
        <f>G588+G634</f>
        <v>19610</v>
      </c>
      <c r="H590" s="172">
        <f>H588+H634</f>
        <v>17826</v>
      </c>
      <c r="I590" s="38">
        <f>SUM(F590:H590)</f>
        <v>58630</v>
      </c>
      <c r="J590" s="172">
        <f>J588+J634</f>
        <v>17248</v>
      </c>
      <c r="K590" s="172">
        <f>K588+K634</f>
        <v>18484</v>
      </c>
      <c r="L590" s="172">
        <f>L588+L634</f>
        <v>17644</v>
      </c>
      <c r="M590" s="38">
        <f>SUM(J590:L590)</f>
        <v>53376</v>
      </c>
      <c r="N590" s="172">
        <f>N588+N634</f>
        <v>11461</v>
      </c>
      <c r="O590" s="172">
        <f>O588+O634</f>
        <v>7358</v>
      </c>
      <c r="P590" s="172">
        <f>P588+P634</f>
        <v>13815</v>
      </c>
      <c r="Q590" s="38">
        <f>SUM(N590:P590)</f>
        <v>32634</v>
      </c>
      <c r="R590" s="38">
        <f>+E590+I590+M590+Q590</f>
        <v>192585</v>
      </c>
    </row>
    <row r="591" spans="1:18" ht="16.5" customHeight="1" thickBot="1" x14ac:dyDescent="0.35">
      <c r="A591" s="237" t="s">
        <v>1335</v>
      </c>
      <c r="B591" s="238">
        <f>(B590/B10)/1.983</f>
        <v>235.12761700258648</v>
      </c>
      <c r="C591" s="238">
        <f>(C590/C10)/1.983</f>
        <v>293.87291981845686</v>
      </c>
      <c r="D591" s="238">
        <f>(D590/D10)/1.983</f>
        <v>279.3746848209783</v>
      </c>
      <c r="E591" s="40" t="s">
        <v>852</v>
      </c>
      <c r="F591" s="238">
        <f>(F590/F10)/1.983</f>
        <v>356.2615565641284</v>
      </c>
      <c r="G591" s="238">
        <f>(G590/G10)/1.983</f>
        <v>319.00183820539098</v>
      </c>
      <c r="H591" s="238">
        <f>(H590/H10)/1.983</f>
        <v>299.6469994957136</v>
      </c>
      <c r="I591" s="40" t="s">
        <v>852</v>
      </c>
      <c r="J591" s="238">
        <f>(J590/J10)/1.983</f>
        <v>280.57846534250808</v>
      </c>
      <c r="K591" s="238">
        <f>(K590/K10)/1.983</f>
        <v>300.68485351292435</v>
      </c>
      <c r="L591" s="238">
        <f>(L590/L10)/1.983</f>
        <v>296.5876617918978</v>
      </c>
      <c r="M591" s="40" t="s">
        <v>852</v>
      </c>
      <c r="N591" s="238">
        <f>(N590/N10)/1.983</f>
        <v>186.43957509801049</v>
      </c>
      <c r="O591" s="238">
        <f>(O590/O10)/1.983</f>
        <v>123.68465288283745</v>
      </c>
      <c r="P591" s="238">
        <f>(P590/P10)/1.983</f>
        <v>224.73280952613339</v>
      </c>
      <c r="Q591" s="40" t="s">
        <v>852</v>
      </c>
      <c r="R591" s="40" t="s">
        <v>852</v>
      </c>
    </row>
    <row r="592" spans="1:18" ht="15.75" customHeight="1" x14ac:dyDescent="0.3">
      <c r="A592" s="17"/>
      <c r="B592" s="172"/>
      <c r="C592" s="172"/>
      <c r="D592" s="172"/>
      <c r="E592" s="172"/>
      <c r="F592" s="172"/>
      <c r="G592" s="172"/>
      <c r="H592" s="172"/>
      <c r="I592" s="172"/>
      <c r="J592" s="172"/>
      <c r="K592" s="172"/>
      <c r="L592" s="172"/>
      <c r="M592" s="172"/>
      <c r="N592" s="172"/>
      <c r="O592" s="172"/>
      <c r="P592" s="172"/>
      <c r="Q592" s="172"/>
      <c r="R592" s="17"/>
    </row>
    <row r="593" spans="1:18" ht="16.5" customHeight="1" thickBot="1" x14ac:dyDescent="0.35">
      <c r="A593" s="24"/>
      <c r="B593" s="238"/>
      <c r="C593" s="238"/>
      <c r="D593" s="238"/>
      <c r="E593" s="238"/>
      <c r="F593" s="238"/>
      <c r="G593" s="238"/>
      <c r="H593" s="238"/>
      <c r="I593" s="238"/>
      <c r="J593" s="238"/>
      <c r="K593" s="238"/>
      <c r="L593" s="238"/>
      <c r="M593" s="238"/>
      <c r="N593" s="238"/>
      <c r="O593" s="238"/>
      <c r="P593" s="238"/>
      <c r="Q593" s="238"/>
      <c r="R593" s="24"/>
    </row>
    <row r="594" spans="1:18" ht="15.75" customHeight="1" thickBot="1" x14ac:dyDescent="0.35">
      <c r="A594" s="274" t="s">
        <v>1772</v>
      </c>
      <c r="B594" s="25" t="s">
        <v>2090</v>
      </c>
      <c r="C594" s="26" t="s">
        <v>2091</v>
      </c>
      <c r="D594" s="26" t="s">
        <v>2234</v>
      </c>
      <c r="E594" s="33" t="s">
        <v>1594</v>
      </c>
      <c r="F594" s="26" t="s">
        <v>2235</v>
      </c>
      <c r="G594" s="26" t="s">
        <v>2236</v>
      </c>
      <c r="H594" s="26" t="s">
        <v>2237</v>
      </c>
      <c r="I594" s="33" t="s">
        <v>1595</v>
      </c>
      <c r="J594" s="26" t="s">
        <v>1504</v>
      </c>
      <c r="K594" s="26" t="s">
        <v>1505</v>
      </c>
      <c r="L594" s="26" t="s">
        <v>1506</v>
      </c>
      <c r="M594" s="33" t="s">
        <v>1596</v>
      </c>
      <c r="N594" s="26" t="s">
        <v>1507</v>
      </c>
      <c r="O594" s="26" t="s">
        <v>1508</v>
      </c>
      <c r="P594" s="26" t="s">
        <v>1509</v>
      </c>
      <c r="Q594" s="33" t="s">
        <v>1597</v>
      </c>
      <c r="R594" s="34" t="s">
        <v>1510</v>
      </c>
    </row>
    <row r="595" spans="1:18" ht="16.5" customHeight="1" thickBot="1" x14ac:dyDescent="0.35">
      <c r="A595" s="281"/>
      <c r="B595" s="232"/>
      <c r="C595" s="232"/>
      <c r="D595" s="232"/>
      <c r="E595" s="233"/>
      <c r="F595" s="232"/>
      <c r="G595" s="232"/>
      <c r="H595" s="232"/>
      <c r="I595" s="233"/>
      <c r="J595" s="232"/>
      <c r="K595" s="232"/>
      <c r="L595" s="232"/>
      <c r="M595" s="233"/>
      <c r="N595" s="232"/>
      <c r="O595" s="232"/>
      <c r="P595" s="232"/>
      <c r="Q595" s="233"/>
      <c r="R595" s="75"/>
    </row>
    <row r="596" spans="1:18" ht="15.75" customHeight="1" x14ac:dyDescent="0.3">
      <c r="A596" s="234" t="s">
        <v>2417</v>
      </c>
      <c r="B596" s="172" t="s">
        <v>852</v>
      </c>
      <c r="C596" s="172" t="s">
        <v>852</v>
      </c>
      <c r="D596" s="172" t="s">
        <v>852</v>
      </c>
      <c r="E596" s="38" t="s">
        <v>852</v>
      </c>
      <c r="F596" s="172" t="s">
        <v>852</v>
      </c>
      <c r="G596" s="172" t="s">
        <v>852</v>
      </c>
      <c r="H596" s="172" t="s">
        <v>852</v>
      </c>
      <c r="I596" s="38" t="s">
        <v>852</v>
      </c>
      <c r="J596" s="172" t="s">
        <v>852</v>
      </c>
      <c r="K596" s="172" t="s">
        <v>852</v>
      </c>
      <c r="L596" s="172" t="s">
        <v>852</v>
      </c>
      <c r="M596" s="38" t="s">
        <v>852</v>
      </c>
      <c r="N596" s="172" t="s">
        <v>852</v>
      </c>
      <c r="O596" s="172" t="s">
        <v>852</v>
      </c>
      <c r="P596" s="172" t="s">
        <v>852</v>
      </c>
      <c r="Q596" s="38" t="s">
        <v>852</v>
      </c>
      <c r="R596" s="38" t="s">
        <v>852</v>
      </c>
    </row>
    <row r="597" spans="1:18" ht="15.75" customHeight="1" x14ac:dyDescent="0.3">
      <c r="A597" s="234" t="s">
        <v>2160</v>
      </c>
      <c r="B597" s="172"/>
      <c r="C597" s="172"/>
      <c r="D597" s="172"/>
      <c r="E597" s="38" t="s">
        <v>852</v>
      </c>
      <c r="F597" s="172"/>
      <c r="G597" s="172"/>
      <c r="H597" s="172"/>
      <c r="I597" s="38" t="s">
        <v>852</v>
      </c>
      <c r="J597" s="172"/>
      <c r="K597" s="172"/>
      <c r="L597" s="172"/>
      <c r="M597" s="38" t="s">
        <v>852</v>
      </c>
      <c r="N597" s="172"/>
      <c r="O597" s="172"/>
      <c r="P597" s="172"/>
      <c r="Q597" s="38" t="s">
        <v>852</v>
      </c>
      <c r="R597" s="38" t="s">
        <v>852</v>
      </c>
    </row>
    <row r="598" spans="1:18" ht="15.75" customHeight="1" x14ac:dyDescent="0.3">
      <c r="A598" s="266" t="s">
        <v>2171</v>
      </c>
      <c r="B598" s="10">
        <v>4955</v>
      </c>
      <c r="C598" s="10">
        <v>6300</v>
      </c>
      <c r="D598" s="10">
        <v>6674</v>
      </c>
      <c r="E598" s="38">
        <f>SUM(B598:D598)</f>
        <v>17929</v>
      </c>
      <c r="F598" s="10">
        <v>6259</v>
      </c>
      <c r="G598" s="10">
        <v>6093</v>
      </c>
      <c r="H598" s="10">
        <v>4614</v>
      </c>
      <c r="I598" s="38">
        <f>SUM(F598:H598)</f>
        <v>16966</v>
      </c>
      <c r="J598" s="10">
        <v>4811</v>
      </c>
      <c r="K598" s="10">
        <v>5484</v>
      </c>
      <c r="L598" s="10">
        <v>4950</v>
      </c>
      <c r="M598" s="38">
        <f>SUM(J598:L598)</f>
        <v>15245</v>
      </c>
      <c r="N598" s="10">
        <v>3147</v>
      </c>
      <c r="O598" s="10">
        <v>3118</v>
      </c>
      <c r="P598" s="10">
        <v>5285</v>
      </c>
      <c r="Q598" s="38">
        <f>SUM(N598:P598)</f>
        <v>11550</v>
      </c>
      <c r="R598" s="38">
        <f>+E598+I598+M598+Q598</f>
        <v>61690</v>
      </c>
    </row>
    <row r="599" spans="1:18" ht="15.75" customHeight="1" x14ac:dyDescent="0.3">
      <c r="A599" s="266" t="s">
        <v>2146</v>
      </c>
      <c r="B599" s="172">
        <v>4129</v>
      </c>
      <c r="C599" s="172">
        <v>4123</v>
      </c>
      <c r="D599" s="172">
        <v>3098</v>
      </c>
      <c r="E599" s="38">
        <f>SUM(B599:D599)</f>
        <v>11350</v>
      </c>
      <c r="F599" s="172">
        <v>4454</v>
      </c>
      <c r="G599" s="172">
        <v>5155</v>
      </c>
      <c r="H599" s="172">
        <v>5209</v>
      </c>
      <c r="I599" s="38">
        <f>SUM(F599:H599)</f>
        <v>14818</v>
      </c>
      <c r="J599" s="172">
        <v>2964</v>
      </c>
      <c r="K599" s="172">
        <v>4483</v>
      </c>
      <c r="L599" s="172">
        <v>5765</v>
      </c>
      <c r="M599" s="38">
        <f>SUM(J599:L599)</f>
        <v>13212</v>
      </c>
      <c r="N599" s="172">
        <v>4238</v>
      </c>
      <c r="O599" s="172">
        <v>309</v>
      </c>
      <c r="P599" s="172">
        <v>1127</v>
      </c>
      <c r="Q599" s="38">
        <f>SUM(N599:P599)</f>
        <v>5674</v>
      </c>
      <c r="R599" s="38">
        <f>+E599+I599+M599+Q599</f>
        <v>45054</v>
      </c>
    </row>
    <row r="600" spans="1:18" ht="15.75" customHeight="1" x14ac:dyDescent="0.3">
      <c r="A600" s="539" t="s">
        <v>2596</v>
      </c>
      <c r="B600" s="172">
        <v>200</v>
      </c>
      <c r="C600" s="172">
        <v>200</v>
      </c>
      <c r="D600" s="172">
        <v>120</v>
      </c>
      <c r="E600" s="38">
        <f>SUM(B600:D600)</f>
        <v>520</v>
      </c>
      <c r="F600" s="172">
        <v>120</v>
      </c>
      <c r="G600" s="172">
        <v>120</v>
      </c>
      <c r="H600" s="172">
        <v>120</v>
      </c>
      <c r="I600" s="38">
        <f>SUM(F600:H600)</f>
        <v>360</v>
      </c>
      <c r="J600" s="172">
        <v>120</v>
      </c>
      <c r="K600" s="172">
        <v>120</v>
      </c>
      <c r="L600" s="172">
        <v>120</v>
      </c>
      <c r="M600" s="38">
        <f>SUM(J600:L600)</f>
        <v>360</v>
      </c>
      <c r="N600" s="172">
        <v>120</v>
      </c>
      <c r="O600" s="172">
        <v>120</v>
      </c>
      <c r="P600" s="172">
        <v>120</v>
      </c>
      <c r="Q600" s="38">
        <f>SUM(N600:P600)</f>
        <v>360</v>
      </c>
      <c r="R600" s="38">
        <f>+E600+I600+M600+Q600</f>
        <v>1600</v>
      </c>
    </row>
    <row r="601" spans="1:18" ht="15.75" customHeight="1" x14ac:dyDescent="0.3">
      <c r="A601" s="234" t="s">
        <v>2161</v>
      </c>
      <c r="B601" s="172"/>
      <c r="C601" s="172"/>
      <c r="D601" s="172"/>
      <c r="E601" s="38" t="s">
        <v>852</v>
      </c>
      <c r="F601" s="172"/>
      <c r="G601" s="172"/>
      <c r="H601" s="172"/>
      <c r="I601" s="38" t="s">
        <v>852</v>
      </c>
      <c r="J601" s="172"/>
      <c r="K601" s="172"/>
      <c r="L601" s="172"/>
      <c r="M601" s="38" t="s">
        <v>852</v>
      </c>
      <c r="N601" s="172"/>
      <c r="O601" s="172"/>
      <c r="P601" s="172"/>
      <c r="Q601" s="38" t="s">
        <v>852</v>
      </c>
      <c r="R601" s="38" t="s">
        <v>852</v>
      </c>
    </row>
    <row r="602" spans="1:18" ht="15.75" customHeight="1" x14ac:dyDescent="0.3">
      <c r="A602" s="234" t="s">
        <v>2162</v>
      </c>
      <c r="B602" s="172"/>
      <c r="C602" s="172"/>
      <c r="D602" s="172"/>
      <c r="E602" s="38" t="s">
        <v>852</v>
      </c>
      <c r="F602" s="172"/>
      <c r="G602" s="172"/>
      <c r="H602" s="172"/>
      <c r="I602" s="38" t="s">
        <v>852</v>
      </c>
      <c r="J602" s="172"/>
      <c r="K602" s="172"/>
      <c r="L602" s="172"/>
      <c r="M602" s="38" t="s">
        <v>852</v>
      </c>
      <c r="N602" s="172"/>
      <c r="O602" s="172"/>
      <c r="P602" s="172"/>
      <c r="Q602" s="38" t="s">
        <v>852</v>
      </c>
      <c r="R602" s="38" t="s">
        <v>852</v>
      </c>
    </row>
    <row r="603" spans="1:18" ht="15.75" customHeight="1" thickBot="1" x14ac:dyDescent="0.35">
      <c r="A603" s="234" t="s">
        <v>2164</v>
      </c>
      <c r="B603" s="172"/>
      <c r="C603" s="172"/>
      <c r="D603" s="172"/>
      <c r="E603" s="38" t="s">
        <v>852</v>
      </c>
      <c r="F603" s="172"/>
      <c r="G603" s="172"/>
      <c r="H603" s="172"/>
      <c r="I603" s="38" t="s">
        <v>852</v>
      </c>
      <c r="J603" s="172"/>
      <c r="K603" s="172"/>
      <c r="L603" s="172"/>
      <c r="M603" s="38" t="s">
        <v>852</v>
      </c>
      <c r="N603" s="172"/>
      <c r="O603" s="172"/>
      <c r="P603" s="172"/>
      <c r="Q603" s="38" t="s">
        <v>852</v>
      </c>
      <c r="R603" s="38" t="s">
        <v>852</v>
      </c>
    </row>
    <row r="604" spans="1:18" ht="16.5" customHeight="1" thickBot="1" x14ac:dyDescent="0.35">
      <c r="A604" s="276" t="s">
        <v>1218</v>
      </c>
      <c r="B604" s="45">
        <f>SUM(B596:B603)</f>
        <v>9284</v>
      </c>
      <c r="C604" s="46">
        <f>SUM(C596:C603)</f>
        <v>10623</v>
      </c>
      <c r="D604" s="46">
        <f>SUM(D596:D603)</f>
        <v>9892</v>
      </c>
      <c r="E604" s="37">
        <f>SUM(B604:D604)</f>
        <v>29799</v>
      </c>
      <c r="F604" s="46">
        <f>SUM(F596:F603)</f>
        <v>10833</v>
      </c>
      <c r="G604" s="46">
        <f>SUM(G596:G603)</f>
        <v>11368</v>
      </c>
      <c r="H604" s="46">
        <f>SUM(H596:H603)</f>
        <v>9943</v>
      </c>
      <c r="I604" s="37">
        <f>SUM(F604:H604)</f>
        <v>32144</v>
      </c>
      <c r="J604" s="46">
        <f>SUM(J596:J603)</f>
        <v>7895</v>
      </c>
      <c r="K604" s="46">
        <f>SUM(K596:K603)</f>
        <v>10087</v>
      </c>
      <c r="L604" s="46">
        <f>SUM(L596:L603)</f>
        <v>10835</v>
      </c>
      <c r="M604" s="37">
        <f>SUM(J604:L604)</f>
        <v>28817</v>
      </c>
      <c r="N604" s="46">
        <f>SUM(N596:N603)</f>
        <v>7505</v>
      </c>
      <c r="O604" s="46">
        <f>SUM(O596:O603)</f>
        <v>3547</v>
      </c>
      <c r="P604" s="46">
        <f>SUM(P596:P603)</f>
        <v>6532</v>
      </c>
      <c r="Q604" s="37">
        <f>SUM(N604:P604)</f>
        <v>17584</v>
      </c>
      <c r="R604" s="37">
        <f>+E604+I604+M604+Q604</f>
        <v>108344</v>
      </c>
    </row>
    <row r="605" spans="1:18" ht="15.75" customHeight="1" x14ac:dyDescent="0.3">
      <c r="A605" s="234" t="s">
        <v>1172</v>
      </c>
      <c r="B605" s="172"/>
      <c r="C605" s="172"/>
      <c r="D605" s="172"/>
      <c r="E605" s="38" t="s">
        <v>852</v>
      </c>
      <c r="F605" s="172"/>
      <c r="G605" s="172"/>
      <c r="H605" s="172"/>
      <c r="I605" s="38" t="s">
        <v>852</v>
      </c>
      <c r="J605" s="172"/>
      <c r="K605" s="172"/>
      <c r="L605" s="172"/>
      <c r="M605" s="38" t="s">
        <v>852</v>
      </c>
      <c r="N605" s="172"/>
      <c r="O605" s="172"/>
      <c r="P605" s="172"/>
      <c r="Q605" s="38" t="s">
        <v>852</v>
      </c>
      <c r="R605" s="38" t="s">
        <v>852</v>
      </c>
    </row>
    <row r="606" spans="1:18" ht="15.75" customHeight="1" x14ac:dyDescent="0.3">
      <c r="A606" s="234" t="s">
        <v>2409</v>
      </c>
      <c r="B606" s="172"/>
      <c r="C606" s="172"/>
      <c r="D606" s="172"/>
      <c r="E606" s="38" t="s">
        <v>852</v>
      </c>
      <c r="F606" s="172"/>
      <c r="G606" s="172"/>
      <c r="H606" s="172"/>
      <c r="I606" s="38" t="s">
        <v>852</v>
      </c>
      <c r="J606" s="172"/>
      <c r="K606" s="172"/>
      <c r="L606" s="172"/>
      <c r="M606" s="38" t="s">
        <v>852</v>
      </c>
      <c r="N606" s="172"/>
      <c r="O606" s="172"/>
      <c r="P606" s="172"/>
      <c r="Q606" s="38" t="s">
        <v>852</v>
      </c>
      <c r="R606" s="38" t="s">
        <v>852</v>
      </c>
    </row>
    <row r="607" spans="1:18" ht="15.75" customHeight="1" thickBot="1" x14ac:dyDescent="0.35">
      <c r="A607" s="234" t="s">
        <v>2165</v>
      </c>
      <c r="B607" s="172"/>
      <c r="C607" s="172"/>
      <c r="D607" s="172"/>
      <c r="E607" s="38" t="s">
        <v>852</v>
      </c>
      <c r="F607" s="172"/>
      <c r="G607" s="172"/>
      <c r="H607" s="172"/>
      <c r="I607" s="38" t="s">
        <v>852</v>
      </c>
      <c r="J607" s="172"/>
      <c r="K607" s="172"/>
      <c r="L607" s="172"/>
      <c r="M607" s="38" t="s">
        <v>852</v>
      </c>
      <c r="N607" s="172"/>
      <c r="O607" s="172"/>
      <c r="P607" s="172"/>
      <c r="Q607" s="38" t="s">
        <v>852</v>
      </c>
      <c r="R607" s="38" t="s">
        <v>852</v>
      </c>
    </row>
    <row r="608" spans="1:18" ht="16.5" customHeight="1" thickBot="1" x14ac:dyDescent="0.35">
      <c r="A608" s="43" t="s">
        <v>1219</v>
      </c>
      <c r="B608" s="45">
        <f>SUM(B605:B607)</f>
        <v>0</v>
      </c>
      <c r="C608" s="46">
        <f>SUM(C605:C607)</f>
        <v>0</v>
      </c>
      <c r="D608" s="46">
        <f>SUM(D605:D607)</f>
        <v>0</v>
      </c>
      <c r="E608" s="37">
        <f>SUM(B608:D608)</f>
        <v>0</v>
      </c>
      <c r="F608" s="46">
        <f>SUM(F605:F607)</f>
        <v>0</v>
      </c>
      <c r="G608" s="46">
        <f>SUM(G605:G607)</f>
        <v>0</v>
      </c>
      <c r="H608" s="46">
        <f>SUM(H605:H607)</f>
        <v>0</v>
      </c>
      <c r="I608" s="37">
        <f>SUM(F608:H608)</f>
        <v>0</v>
      </c>
      <c r="J608" s="46">
        <f>SUM(J605:J607)</f>
        <v>0</v>
      </c>
      <c r="K608" s="46">
        <f>SUM(K605:K607)</f>
        <v>0</v>
      </c>
      <c r="L608" s="46">
        <f>SUM(L605:L607)</f>
        <v>0</v>
      </c>
      <c r="M608" s="37">
        <f>SUM(J608:L608)</f>
        <v>0</v>
      </c>
      <c r="N608" s="46">
        <f>SUM(N605:N607)</f>
        <v>0</v>
      </c>
      <c r="O608" s="46">
        <f>SUM(O605:O607)</f>
        <v>0</v>
      </c>
      <c r="P608" s="46">
        <f>SUM(P605:P607)</f>
        <v>0</v>
      </c>
      <c r="Q608" s="37">
        <f>SUM(N608:P608)</f>
        <v>0</v>
      </c>
      <c r="R608" s="37">
        <f>+E608+I608+M608+Q608</f>
        <v>0</v>
      </c>
    </row>
    <row r="609" spans="1:20" ht="15.75" customHeight="1" x14ac:dyDescent="0.3">
      <c r="A609" s="234" t="s">
        <v>2166</v>
      </c>
      <c r="B609" s="172"/>
      <c r="C609" s="172"/>
      <c r="D609" s="172"/>
      <c r="E609" s="38" t="s">
        <v>852</v>
      </c>
      <c r="F609" s="172"/>
      <c r="G609" s="172"/>
      <c r="H609" s="172"/>
      <c r="I609" s="38" t="s">
        <v>852</v>
      </c>
      <c r="J609" s="172"/>
      <c r="K609" s="172"/>
      <c r="L609" s="172"/>
      <c r="M609" s="38" t="s">
        <v>852</v>
      </c>
      <c r="N609" s="172"/>
      <c r="O609" s="172"/>
      <c r="P609" s="172"/>
      <c r="Q609" s="38" t="s">
        <v>852</v>
      </c>
      <c r="R609" s="38" t="s">
        <v>852</v>
      </c>
    </row>
    <row r="610" spans="1:20" ht="15.75" customHeight="1" x14ac:dyDescent="0.3">
      <c r="A610" s="234" t="s">
        <v>1245</v>
      </c>
      <c r="B610" s="172"/>
      <c r="C610" s="172"/>
      <c r="D610" s="172"/>
      <c r="E610" s="38" t="s">
        <v>852</v>
      </c>
      <c r="F610" s="172"/>
      <c r="G610" s="172"/>
      <c r="H610" s="172"/>
      <c r="I610" s="38" t="s">
        <v>852</v>
      </c>
      <c r="J610" s="172"/>
      <c r="K610" s="172"/>
      <c r="L610" s="172"/>
      <c r="M610" s="38" t="s">
        <v>852</v>
      </c>
      <c r="N610" s="172"/>
      <c r="O610" s="172"/>
      <c r="P610" s="172"/>
      <c r="Q610" s="38" t="s">
        <v>852</v>
      </c>
      <c r="R610" s="38" t="s">
        <v>852</v>
      </c>
    </row>
    <row r="611" spans="1:20" ht="15.75" customHeight="1" x14ac:dyDescent="0.3">
      <c r="A611" s="266" t="s">
        <v>641</v>
      </c>
      <c r="B611" s="172">
        <v>284</v>
      </c>
      <c r="C611" s="172">
        <v>601</v>
      </c>
      <c r="D611" s="172">
        <v>1149</v>
      </c>
      <c r="E611" s="38">
        <f>SUM(B611:D611)</f>
        <v>2034</v>
      </c>
      <c r="F611" s="172">
        <v>2464</v>
      </c>
      <c r="G611" s="172">
        <v>1388</v>
      </c>
      <c r="H611" s="172">
        <v>1448</v>
      </c>
      <c r="I611" s="38">
        <f>SUM(F611:H611)</f>
        <v>5300</v>
      </c>
      <c r="J611" s="172">
        <v>1377</v>
      </c>
      <c r="K611" s="172">
        <v>1032</v>
      </c>
      <c r="L611" s="172">
        <v>899</v>
      </c>
      <c r="M611" s="38">
        <f>SUM(J611:L611)</f>
        <v>3308</v>
      </c>
      <c r="N611" s="172">
        <v>182</v>
      </c>
      <c r="O611" s="172"/>
      <c r="P611" s="172"/>
      <c r="Q611" s="38">
        <f>SUM(N611:P611)</f>
        <v>182</v>
      </c>
      <c r="R611" s="38">
        <f>+E611+I611+M611+Q611</f>
        <v>10824</v>
      </c>
      <c r="T611" t="s">
        <v>2804</v>
      </c>
    </row>
    <row r="612" spans="1:20" ht="15.75" customHeight="1" x14ac:dyDescent="0.3">
      <c r="A612" s="234" t="s">
        <v>1711</v>
      </c>
      <c r="B612" s="172"/>
      <c r="C612" s="172"/>
      <c r="D612" s="172"/>
      <c r="E612" s="38" t="s">
        <v>852</v>
      </c>
      <c r="F612" s="172"/>
      <c r="G612" s="172"/>
      <c r="H612" s="172"/>
      <c r="I612" s="38" t="s">
        <v>852</v>
      </c>
      <c r="J612" s="172"/>
      <c r="K612" s="172"/>
      <c r="L612" s="172"/>
      <c r="M612" s="38" t="s">
        <v>852</v>
      </c>
      <c r="N612" s="172"/>
      <c r="O612" s="172"/>
      <c r="P612" s="172"/>
      <c r="Q612" s="38" t="s">
        <v>852</v>
      </c>
      <c r="R612" s="38" t="s">
        <v>852</v>
      </c>
    </row>
    <row r="613" spans="1:20" ht="15.75" customHeight="1" x14ac:dyDescent="0.3">
      <c r="A613" s="539" t="s">
        <v>2699</v>
      </c>
      <c r="B613" s="172"/>
      <c r="C613" s="172"/>
      <c r="D613" s="172"/>
      <c r="E613" s="38">
        <f>SUM(B613:D613)</f>
        <v>0</v>
      </c>
      <c r="F613" s="172"/>
      <c r="G613" s="172">
        <v>500</v>
      </c>
      <c r="H613" s="172"/>
      <c r="I613" s="38">
        <f>SUM(F613:H613)</f>
        <v>500</v>
      </c>
      <c r="J613" s="172"/>
      <c r="K613" s="172"/>
      <c r="L613" s="172"/>
      <c r="M613" s="38">
        <f>SUM(J613:L613)</f>
        <v>0</v>
      </c>
      <c r="N613" s="172"/>
      <c r="O613" s="172"/>
      <c r="P613" s="172"/>
      <c r="Q613" s="38">
        <f>SUM(N613:P613)</f>
        <v>0</v>
      </c>
      <c r="R613" s="38">
        <f>+E613+I613+M613+Q613</f>
        <v>500</v>
      </c>
      <c r="T613" t="s">
        <v>2801</v>
      </c>
    </row>
    <row r="614" spans="1:20" ht="15.75" customHeight="1" x14ac:dyDescent="0.3">
      <c r="A614" s="539" t="s">
        <v>2790</v>
      </c>
      <c r="B614" s="172"/>
      <c r="C614" s="172"/>
      <c r="D614" s="172"/>
      <c r="E614" s="38">
        <f>SUM(B614:D614)</f>
        <v>0</v>
      </c>
      <c r="F614" s="172"/>
      <c r="G614" s="172"/>
      <c r="H614" s="172"/>
      <c r="I614" s="38">
        <f>SUM(F614:H614)</f>
        <v>0</v>
      </c>
      <c r="J614" s="172"/>
      <c r="K614" s="172">
        <v>500</v>
      </c>
      <c r="L614" s="172">
        <v>500</v>
      </c>
      <c r="M614" s="38">
        <f>SUM(J614:L614)</f>
        <v>1000</v>
      </c>
      <c r="N614" s="172"/>
      <c r="O614" s="172"/>
      <c r="P614" s="172"/>
      <c r="Q614" s="38">
        <f>SUM(N614:P614)</f>
        <v>0</v>
      </c>
      <c r="R614" s="38">
        <f>+E614+I614+M614+Q614</f>
        <v>1000</v>
      </c>
      <c r="T614" t="s">
        <v>2801</v>
      </c>
    </row>
    <row r="615" spans="1:20" ht="15.75" customHeight="1" x14ac:dyDescent="0.3">
      <c r="A615" s="539" t="s">
        <v>2701</v>
      </c>
      <c r="B615" s="172"/>
      <c r="C615" s="172"/>
      <c r="D615" s="172"/>
      <c r="E615" s="38">
        <f>SUM(B615:D615)</f>
        <v>0</v>
      </c>
      <c r="F615" s="172"/>
      <c r="G615" s="172"/>
      <c r="H615" s="172"/>
      <c r="I615" s="38">
        <f>SUM(F615:H615)</f>
        <v>0</v>
      </c>
      <c r="J615" s="172"/>
      <c r="K615" s="172"/>
      <c r="L615" s="172"/>
      <c r="M615" s="38">
        <f>SUM(J615:L615)</f>
        <v>0</v>
      </c>
      <c r="N615" s="172"/>
      <c r="O615" s="172"/>
      <c r="P615" s="172"/>
      <c r="Q615" s="38">
        <f>SUM(N615:P615)</f>
        <v>0</v>
      </c>
      <c r="R615" s="38">
        <f>+E615+I615+M615+Q615</f>
        <v>0</v>
      </c>
      <c r="T615" t="s">
        <v>2801</v>
      </c>
    </row>
    <row r="616" spans="1:20" ht="15.75" customHeight="1" thickBot="1" x14ac:dyDescent="0.35">
      <c r="A616" s="266" t="s">
        <v>40</v>
      </c>
      <c r="B616" s="172"/>
      <c r="C616" s="172"/>
      <c r="D616" s="172"/>
      <c r="E616" s="38">
        <f>SUM(B616:D616)</f>
        <v>0</v>
      </c>
      <c r="F616" s="172"/>
      <c r="G616" s="172"/>
      <c r="H616" s="172"/>
      <c r="I616" s="38">
        <f>SUM(F616:H616)</f>
        <v>0</v>
      </c>
      <c r="J616" s="172"/>
      <c r="K616" s="172"/>
      <c r="L616" s="172"/>
      <c r="M616" s="38">
        <f>SUM(J616:L616)</f>
        <v>0</v>
      </c>
      <c r="N616" s="172"/>
      <c r="O616" s="172"/>
      <c r="P616" s="172"/>
      <c r="Q616" s="38">
        <f>SUM(N616:P616)</f>
        <v>0</v>
      </c>
      <c r="R616" s="38">
        <f>+E616+I616+M616+Q616</f>
        <v>0</v>
      </c>
      <c r="T616" t="s">
        <v>2801</v>
      </c>
    </row>
    <row r="617" spans="1:20" ht="16.5" customHeight="1" thickBot="1" x14ac:dyDescent="0.35">
      <c r="A617" s="43" t="s">
        <v>1220</v>
      </c>
      <c r="B617" s="45">
        <f>SUM(B609:B616)</f>
        <v>284</v>
      </c>
      <c r="C617" s="46">
        <f>SUM(C609:C616)</f>
        <v>601</v>
      </c>
      <c r="D617" s="46">
        <f>SUM(D609:D616)</f>
        <v>1149</v>
      </c>
      <c r="E617" s="37">
        <f>SUM(B617:D617)</f>
        <v>2034</v>
      </c>
      <c r="F617" s="46">
        <f>SUM(F609:F616)</f>
        <v>2464</v>
      </c>
      <c r="G617" s="46">
        <f>SUM(G609:G616)</f>
        <v>1888</v>
      </c>
      <c r="H617" s="46">
        <f>SUM(H609:H616)</f>
        <v>1448</v>
      </c>
      <c r="I617" s="37">
        <f>SUM(F617:H617)</f>
        <v>5800</v>
      </c>
      <c r="J617" s="46">
        <f>SUM(J609:J616)</f>
        <v>1377</v>
      </c>
      <c r="K617" s="46">
        <f>SUM(K609:K616)</f>
        <v>1532</v>
      </c>
      <c r="L617" s="46">
        <f>SUM(L609:L616)</f>
        <v>1399</v>
      </c>
      <c r="M617" s="37">
        <f>SUM(J617:L617)</f>
        <v>4308</v>
      </c>
      <c r="N617" s="46">
        <f>SUM(N609:N616)</f>
        <v>182</v>
      </c>
      <c r="O617" s="46">
        <f>SUM(O609:O616)</f>
        <v>0</v>
      </c>
      <c r="P617" s="46">
        <f>SUM(P609:P616)</f>
        <v>0</v>
      </c>
      <c r="Q617" s="37">
        <f>SUM(N617:P617)</f>
        <v>182</v>
      </c>
      <c r="R617" s="58">
        <f>+E617+I617+M617+Q617</f>
        <v>12324</v>
      </c>
    </row>
    <row r="618" spans="1:20" ht="15.75" customHeight="1" x14ac:dyDescent="0.3">
      <c r="A618" s="234" t="s">
        <v>1712</v>
      </c>
      <c r="B618" s="172"/>
      <c r="C618" s="172"/>
      <c r="D618" s="172"/>
      <c r="E618" s="38" t="s">
        <v>852</v>
      </c>
      <c r="F618" s="172"/>
      <c r="G618" s="172"/>
      <c r="H618" s="172"/>
      <c r="I618" s="38" t="s">
        <v>852</v>
      </c>
      <c r="J618" s="172"/>
      <c r="K618" s="172"/>
      <c r="L618" s="172"/>
      <c r="M618" s="38" t="s">
        <v>852</v>
      </c>
      <c r="N618" s="172"/>
      <c r="O618" s="172"/>
      <c r="P618" s="172"/>
      <c r="Q618" s="38" t="s">
        <v>852</v>
      </c>
      <c r="R618" s="38" t="s">
        <v>852</v>
      </c>
    </row>
    <row r="619" spans="1:20" ht="15.75" customHeight="1" x14ac:dyDescent="0.3">
      <c r="A619" s="234" t="s">
        <v>1021</v>
      </c>
      <c r="B619" s="172"/>
      <c r="C619" s="172"/>
      <c r="D619" s="172"/>
      <c r="E619" s="38" t="s">
        <v>852</v>
      </c>
      <c r="F619" s="172"/>
      <c r="G619" s="172"/>
      <c r="H619" s="172"/>
      <c r="I619" s="38" t="s">
        <v>852</v>
      </c>
      <c r="J619" s="172"/>
      <c r="K619" s="172"/>
      <c r="L619" s="172"/>
      <c r="M619" s="38" t="s">
        <v>852</v>
      </c>
      <c r="N619" s="172"/>
      <c r="O619" s="172"/>
      <c r="P619" s="172"/>
      <c r="Q619" s="38" t="s">
        <v>852</v>
      </c>
      <c r="R619" s="38" t="s">
        <v>852</v>
      </c>
    </row>
    <row r="620" spans="1:20" ht="15.75" customHeight="1" x14ac:dyDescent="0.3">
      <c r="A620" s="234" t="s">
        <v>557</v>
      </c>
      <c r="B620" s="172"/>
      <c r="C620" s="172"/>
      <c r="D620" s="172"/>
      <c r="E620" s="38" t="s">
        <v>852</v>
      </c>
      <c r="F620" s="172"/>
      <c r="G620" s="172"/>
      <c r="H620" s="172"/>
      <c r="I620" s="38" t="s">
        <v>852</v>
      </c>
      <c r="J620" s="172"/>
      <c r="K620" s="172"/>
      <c r="L620" s="172"/>
      <c r="M620" s="38" t="s">
        <v>852</v>
      </c>
      <c r="N620" s="172"/>
      <c r="O620" s="172"/>
      <c r="P620" s="172"/>
      <c r="Q620" s="38" t="s">
        <v>852</v>
      </c>
      <c r="R620" s="38" t="s">
        <v>852</v>
      </c>
    </row>
    <row r="621" spans="1:20" ht="15.75" customHeight="1" x14ac:dyDescent="0.3">
      <c r="A621" s="539" t="s">
        <v>2585</v>
      </c>
      <c r="B621" s="172"/>
      <c r="C621" s="172"/>
      <c r="D621" s="172"/>
      <c r="E621" s="38">
        <f>SUM(B621:D621)</f>
        <v>0</v>
      </c>
      <c r="F621" s="172"/>
      <c r="G621" s="172"/>
      <c r="H621" s="172"/>
      <c r="I621" s="38">
        <f>SUM(F621:H621)</f>
        <v>0</v>
      </c>
      <c r="J621" s="172"/>
      <c r="K621" s="172"/>
      <c r="L621" s="172"/>
      <c r="M621" s="38">
        <f>SUM(J621:L621)</f>
        <v>0</v>
      </c>
      <c r="N621" s="172"/>
      <c r="O621" s="172"/>
      <c r="P621" s="172"/>
      <c r="Q621" s="38">
        <f>SUM(N621:P621)</f>
        <v>0</v>
      </c>
      <c r="R621" s="38">
        <f>+E621+I621+M621+Q621</f>
        <v>0</v>
      </c>
    </row>
    <row r="622" spans="1:20" ht="15.75" customHeight="1" x14ac:dyDescent="0.3">
      <c r="A622" s="539" t="s">
        <v>2586</v>
      </c>
      <c r="B622" s="172"/>
      <c r="C622" s="172"/>
      <c r="D622" s="172"/>
      <c r="E622" s="38">
        <f>SUM(B622:D622)</f>
        <v>0</v>
      </c>
      <c r="F622" s="172"/>
      <c r="G622" s="172"/>
      <c r="H622" s="172"/>
      <c r="I622" s="38">
        <f>SUM(F622:H622)</f>
        <v>0</v>
      </c>
      <c r="J622" s="172"/>
      <c r="K622" s="172"/>
      <c r="L622" s="172"/>
      <c r="M622" s="38">
        <f>SUM(J622:L622)</f>
        <v>0</v>
      </c>
      <c r="N622" s="172"/>
      <c r="O622" s="172"/>
      <c r="P622" s="172"/>
      <c r="Q622" s="38">
        <f>SUM(N622:P622)</f>
        <v>0</v>
      </c>
      <c r="R622" s="38">
        <f>+E622+I622+M622+Q622</f>
        <v>0</v>
      </c>
    </row>
    <row r="623" spans="1:20" ht="15.75" customHeight="1" x14ac:dyDescent="0.3">
      <c r="A623" s="539" t="s">
        <v>2587</v>
      </c>
      <c r="B623" s="172">
        <v>2000</v>
      </c>
      <c r="C623" s="172">
        <v>2000</v>
      </c>
      <c r="D623" s="172">
        <v>2000</v>
      </c>
      <c r="E623" s="38">
        <f>SUM(B623:D623)</f>
        <v>6000</v>
      </c>
      <c r="F623" s="172">
        <v>2000</v>
      </c>
      <c r="G623" s="172"/>
      <c r="H623" s="172"/>
      <c r="I623" s="38">
        <f>SUM(F623:H623)</f>
        <v>2000</v>
      </c>
      <c r="J623" s="172"/>
      <c r="K623" s="172"/>
      <c r="L623" s="172"/>
      <c r="M623" s="38">
        <f>SUM(J623:L623)</f>
        <v>0</v>
      </c>
      <c r="N623" s="172"/>
      <c r="O623" s="172">
        <v>1500</v>
      </c>
      <c r="P623" s="172">
        <v>3755</v>
      </c>
      <c r="Q623" s="38">
        <f>SUM(N623:P623)</f>
        <v>5255</v>
      </c>
      <c r="R623" s="38">
        <f>+E623+I623+M623+Q623</f>
        <v>13255</v>
      </c>
    </row>
    <row r="624" spans="1:20" ht="15.75" customHeight="1" x14ac:dyDescent="0.3">
      <c r="A624" s="539" t="s">
        <v>2588</v>
      </c>
      <c r="B624" s="172"/>
      <c r="C624" s="172"/>
      <c r="D624" s="172"/>
      <c r="E624" s="38">
        <f>SUM(B624:D624)</f>
        <v>0</v>
      </c>
      <c r="F624" s="172"/>
      <c r="G624" s="172"/>
      <c r="H624" s="172"/>
      <c r="I624" s="38">
        <f>SUM(F624:H624)</f>
        <v>0</v>
      </c>
      <c r="J624" s="172"/>
      <c r="K624" s="172"/>
      <c r="L624" s="172"/>
      <c r="M624" s="38">
        <f>SUM(J624:L624)</f>
        <v>0</v>
      </c>
      <c r="N624" s="172"/>
      <c r="O624" s="172"/>
      <c r="P624" s="172"/>
      <c r="Q624" s="38">
        <f>SUM(N624:P624)</f>
        <v>0</v>
      </c>
      <c r="R624" s="38">
        <f>+E624+I624+M624+Q624</f>
        <v>0</v>
      </c>
    </row>
    <row r="625" spans="1:18" ht="15.75" customHeight="1" x14ac:dyDescent="0.3">
      <c r="A625" s="234" t="s">
        <v>1022</v>
      </c>
      <c r="B625" s="172"/>
      <c r="C625" s="172"/>
      <c r="D625" s="172"/>
      <c r="E625" s="38" t="s">
        <v>852</v>
      </c>
      <c r="F625" s="172"/>
      <c r="G625" s="172"/>
      <c r="H625" s="172"/>
      <c r="I625" s="38" t="s">
        <v>852</v>
      </c>
      <c r="J625" s="172"/>
      <c r="K625" s="172"/>
      <c r="L625" s="172"/>
      <c r="M625" s="38" t="s">
        <v>852</v>
      </c>
      <c r="N625" s="172"/>
      <c r="O625" s="172"/>
      <c r="P625" s="172"/>
      <c r="Q625" s="38" t="s">
        <v>852</v>
      </c>
      <c r="R625" s="38" t="s">
        <v>852</v>
      </c>
    </row>
    <row r="626" spans="1:18" ht="15.75" customHeight="1" thickBot="1" x14ac:dyDescent="0.35">
      <c r="A626" s="234" t="s">
        <v>559</v>
      </c>
      <c r="B626" s="172"/>
      <c r="C626" s="172"/>
      <c r="D626" s="172"/>
      <c r="E626" s="38" t="s">
        <v>852</v>
      </c>
      <c r="F626" s="172"/>
      <c r="G626" s="172"/>
      <c r="H626" s="172"/>
      <c r="I626" s="38" t="s">
        <v>852</v>
      </c>
      <c r="J626" s="172"/>
      <c r="K626" s="172"/>
      <c r="L626" s="172"/>
      <c r="M626" s="38" t="s">
        <v>852</v>
      </c>
      <c r="N626" s="172"/>
      <c r="O626" s="172"/>
      <c r="P626" s="172"/>
      <c r="Q626" s="38" t="s">
        <v>852</v>
      </c>
      <c r="R626" s="38" t="s">
        <v>852</v>
      </c>
    </row>
    <row r="627" spans="1:18" ht="16.5" customHeight="1" thickBot="1" x14ac:dyDescent="0.35">
      <c r="A627" s="43" t="s">
        <v>1019</v>
      </c>
      <c r="B627" s="42">
        <f>SUM(B625:B626)</f>
        <v>0</v>
      </c>
      <c r="C627" s="42">
        <f>SUM(C625:C626)</f>
        <v>0</v>
      </c>
      <c r="D627" s="42">
        <f>SUM(D625:D626)</f>
        <v>0</v>
      </c>
      <c r="E627" s="39">
        <f>SUM(B627:D627)</f>
        <v>0</v>
      </c>
      <c r="F627" s="42">
        <f>SUM(F625:F626)</f>
        <v>0</v>
      </c>
      <c r="G627" s="42">
        <f>SUM(G625:G626)</f>
        <v>0</v>
      </c>
      <c r="H627" s="42">
        <f>SUM(H625:H626)</f>
        <v>0</v>
      </c>
      <c r="I627" s="39">
        <f>SUM(F627:H627)</f>
        <v>0</v>
      </c>
      <c r="J627" s="42">
        <f>SUM(J625:J626)</f>
        <v>0</v>
      </c>
      <c r="K627" s="42">
        <f>SUM(K625:K626)</f>
        <v>0</v>
      </c>
      <c r="L627" s="42">
        <f>SUM(L625:L626)</f>
        <v>0</v>
      </c>
      <c r="M627" s="39">
        <f>SUM(J627:L627)</f>
        <v>0</v>
      </c>
      <c r="N627" s="42">
        <f>SUM(N625:N626)</f>
        <v>0</v>
      </c>
      <c r="O627" s="42">
        <f>SUM(O625:O626)</f>
        <v>0</v>
      </c>
      <c r="P627" s="42">
        <f>SUM(P625:P626)</f>
        <v>0</v>
      </c>
      <c r="Q627" s="39">
        <f>SUM(N627:P627)</f>
        <v>0</v>
      </c>
      <c r="R627" s="37">
        <f>+E627+I627+M627+Q627</f>
        <v>0</v>
      </c>
    </row>
    <row r="628" spans="1:18" ht="16.5" customHeight="1" thickBot="1" x14ac:dyDescent="0.35">
      <c r="A628" s="277" t="s">
        <v>1221</v>
      </c>
      <c r="B628" s="45">
        <f>SUM(B618:B626)</f>
        <v>2000</v>
      </c>
      <c r="C628" s="46">
        <f>SUM(C618:C626)</f>
        <v>2000</v>
      </c>
      <c r="D628" s="58">
        <f>SUM(D618:D626)</f>
        <v>2000</v>
      </c>
      <c r="E628" s="39">
        <f>SUM(B628:D628)</f>
        <v>6000</v>
      </c>
      <c r="F628" s="46">
        <f>SUM(F618:F626)</f>
        <v>2000</v>
      </c>
      <c r="G628" s="46">
        <f>SUM(G618:G626)</f>
        <v>0</v>
      </c>
      <c r="H628" s="46">
        <f>SUM(H618:H626)</f>
        <v>0</v>
      </c>
      <c r="I628" s="39">
        <f>SUM(F628:H628)</f>
        <v>2000</v>
      </c>
      <c r="J628" s="46">
        <f>SUM(J618:J626)</f>
        <v>0</v>
      </c>
      <c r="K628" s="46">
        <f>SUM(K618:K626)</f>
        <v>0</v>
      </c>
      <c r="L628" s="46">
        <f>SUM(L618:L626)</f>
        <v>0</v>
      </c>
      <c r="M628" s="39">
        <f>SUM(J628:L628)</f>
        <v>0</v>
      </c>
      <c r="N628" s="46">
        <f>SUM(N618:N626)</f>
        <v>0</v>
      </c>
      <c r="O628" s="46">
        <f>SUM(O618:O626)</f>
        <v>1500</v>
      </c>
      <c r="P628" s="46">
        <f>SUM(P618:P626)</f>
        <v>3755</v>
      </c>
      <c r="Q628" s="39">
        <f>SUM(N628:P628)</f>
        <v>5255</v>
      </c>
      <c r="R628" s="37">
        <f>+E628+I628+M628+Q628</f>
        <v>13255</v>
      </c>
    </row>
    <row r="629" spans="1:18" ht="16.5" customHeight="1" thickBot="1" x14ac:dyDescent="0.35">
      <c r="A629" s="43" t="s">
        <v>1222</v>
      </c>
      <c r="B629" s="47">
        <f>+B604+B608+B617+B628</f>
        <v>11568</v>
      </c>
      <c r="C629" s="42">
        <f>+C604+C608+C617+C628</f>
        <v>13224</v>
      </c>
      <c r="D629" s="42">
        <f>+D604+D608+D617+D628</f>
        <v>13041</v>
      </c>
      <c r="E629" s="37">
        <f>SUM(B629:D629)</f>
        <v>37833</v>
      </c>
      <c r="F629" s="42">
        <f>+F604+F608+F617+F628</f>
        <v>15297</v>
      </c>
      <c r="G629" s="42">
        <f>+G604+G608+G617+G628</f>
        <v>13256</v>
      </c>
      <c r="H629" s="42">
        <f>+H604+H608+H617+H628</f>
        <v>11391</v>
      </c>
      <c r="I629" s="37">
        <f>SUM(F629:H629)</f>
        <v>39944</v>
      </c>
      <c r="J629" s="42">
        <f>+J604+J608+J617+J628</f>
        <v>9272</v>
      </c>
      <c r="K629" s="42">
        <f>+K604+K608+K617+K628</f>
        <v>11619</v>
      </c>
      <c r="L629" s="42">
        <f>+L604+L608+L617+L628</f>
        <v>12234</v>
      </c>
      <c r="M629" s="37">
        <f>SUM(J629:L629)</f>
        <v>33125</v>
      </c>
      <c r="N629" s="42">
        <f>+N604+N608+N617+N628</f>
        <v>7687</v>
      </c>
      <c r="O629" s="42">
        <f>+O604+O608+O617+O628</f>
        <v>5047</v>
      </c>
      <c r="P629" s="42">
        <f>+P604+P608+P617+P628</f>
        <v>10287</v>
      </c>
      <c r="Q629" s="37">
        <f>SUM(N629:P629)</f>
        <v>23021</v>
      </c>
      <c r="R629" s="40">
        <f>+E629+I629+M629+Q629</f>
        <v>133923</v>
      </c>
    </row>
    <row r="630" spans="1:18" ht="16.5" customHeight="1" thickBot="1" x14ac:dyDescent="0.35">
      <c r="A630" s="250" t="s">
        <v>853</v>
      </c>
      <c r="B630" s="238">
        <v>22</v>
      </c>
      <c r="C630" s="238">
        <v>24</v>
      </c>
      <c r="D630" s="238">
        <v>31</v>
      </c>
      <c r="E630" s="37">
        <f>SUM(B630:D630)</f>
        <v>77</v>
      </c>
      <c r="F630" s="238">
        <v>40</v>
      </c>
      <c r="G630" s="238">
        <v>45</v>
      </c>
      <c r="H630" s="238">
        <v>48</v>
      </c>
      <c r="I630" s="37">
        <f>SUM(F630:H630)</f>
        <v>133</v>
      </c>
      <c r="J630" s="238">
        <v>42</v>
      </c>
      <c r="K630" s="238">
        <v>39</v>
      </c>
      <c r="L630" s="238">
        <v>38</v>
      </c>
      <c r="M630" s="37">
        <f>SUM(J630:L630)</f>
        <v>119</v>
      </c>
      <c r="N630" s="238">
        <v>32</v>
      </c>
      <c r="O630" s="238">
        <v>25</v>
      </c>
      <c r="P630" s="238">
        <v>21</v>
      </c>
      <c r="Q630" s="37">
        <f>SUM(N630:P630)</f>
        <v>78</v>
      </c>
      <c r="R630" s="39">
        <f>+E630+I630+M630+Q630</f>
        <v>407</v>
      </c>
    </row>
    <row r="631" spans="1:18" ht="16.5" customHeight="1" thickBot="1" x14ac:dyDescent="0.35">
      <c r="A631" s="22"/>
      <c r="B631" s="242"/>
      <c r="C631" s="242"/>
      <c r="D631" s="242"/>
      <c r="E631" s="233"/>
      <c r="F631" s="242"/>
      <c r="G631" s="242"/>
      <c r="H631" s="242"/>
      <c r="I631" s="233"/>
      <c r="J631" s="242"/>
      <c r="K631" s="242"/>
      <c r="L631" s="242"/>
      <c r="M631" s="233"/>
      <c r="N631" s="242"/>
      <c r="O631" s="242"/>
      <c r="P631" s="242"/>
      <c r="Q631" s="233"/>
      <c r="R631" s="21"/>
    </row>
    <row r="632" spans="1:18" ht="15.75" customHeight="1" x14ac:dyDescent="0.3">
      <c r="A632" s="234" t="s">
        <v>120</v>
      </c>
      <c r="B632" s="172">
        <f>+SUM(B629:B630)</f>
        <v>11590</v>
      </c>
      <c r="C632" s="172">
        <f>+SUM(C629:C630)</f>
        <v>13248</v>
      </c>
      <c r="D632" s="172">
        <f>+SUM(D629:D630)</f>
        <v>13072</v>
      </c>
      <c r="E632" s="39">
        <f>SUM(B632:D632)</f>
        <v>37910</v>
      </c>
      <c r="F632" s="172">
        <f>+SUM(F629:F630)</f>
        <v>15337</v>
      </c>
      <c r="G632" s="172">
        <f>+SUM(G629:G630)</f>
        <v>13301</v>
      </c>
      <c r="H632" s="172">
        <f>+SUM(H629:H630)</f>
        <v>11439</v>
      </c>
      <c r="I632" s="39">
        <f>SUM(F632:H632)</f>
        <v>40077</v>
      </c>
      <c r="J632" s="172">
        <f>+SUM(J629:J630)</f>
        <v>9314</v>
      </c>
      <c r="K632" s="172">
        <f>+SUM(K629:K630)</f>
        <v>11658</v>
      </c>
      <c r="L632" s="172">
        <f>+SUM(L629:L630)</f>
        <v>12272</v>
      </c>
      <c r="M632" s="39">
        <f>SUM(J632:L632)</f>
        <v>33244</v>
      </c>
      <c r="N632" s="172">
        <f>+SUM(N629:N630)</f>
        <v>7719</v>
      </c>
      <c r="O632" s="172">
        <f>+SUM(O629:O630)</f>
        <v>5072</v>
      </c>
      <c r="P632" s="172">
        <f>+SUM(P629:P630)</f>
        <v>10308</v>
      </c>
      <c r="Q632" s="39">
        <f>SUM(N632:P632)</f>
        <v>23099</v>
      </c>
      <c r="R632" s="39">
        <f>+E632+I632+M632+Q632</f>
        <v>134330</v>
      </c>
    </row>
    <row r="633" spans="1:18" ht="15.75" customHeight="1" x14ac:dyDescent="0.3">
      <c r="A633" s="234" t="s">
        <v>1897</v>
      </c>
      <c r="B633" s="172">
        <f>(B632/B10)/1.983</f>
        <v>188.53805735851512</v>
      </c>
      <c r="C633" s="172">
        <f>(C632/C10)/1.983</f>
        <v>238.59952452993301</v>
      </c>
      <c r="D633" s="172">
        <f>(D632/D10)/1.983</f>
        <v>212.64620239780066</v>
      </c>
      <c r="E633" s="38" t="s">
        <v>852</v>
      </c>
      <c r="F633" s="172">
        <f>(F632/F10)/1.983</f>
        <v>257.80803496385948</v>
      </c>
      <c r="G633" s="172">
        <f>(G632/G10)/1.983</f>
        <v>216.37141509280497</v>
      </c>
      <c r="H633" s="172">
        <f>(H632/H10)/1.983</f>
        <v>192.28441754916793</v>
      </c>
      <c r="I633" s="38" t="s">
        <v>852</v>
      </c>
      <c r="J633" s="172">
        <f>(J632/J10)/1.983</f>
        <v>151.51367266930197</v>
      </c>
      <c r="K633" s="172">
        <f>(K632/K10)/1.983</f>
        <v>189.64423405397491</v>
      </c>
      <c r="L633" s="172">
        <f>(L632/L10)/1.983</f>
        <v>206.28677088586315</v>
      </c>
      <c r="M633" s="38" t="s">
        <v>852</v>
      </c>
      <c r="N633" s="172">
        <f>(N632/N10)/1.983</f>
        <v>125.56732223903177</v>
      </c>
      <c r="O633" s="172">
        <f>(O632/O10)/1.983</f>
        <v>85.25802655908555</v>
      </c>
      <c r="P633" s="172">
        <f>(P632/P10)/1.983</f>
        <v>167.68337318822896</v>
      </c>
      <c r="Q633" s="38" t="s">
        <v>852</v>
      </c>
      <c r="R633" s="38" t="s">
        <v>852</v>
      </c>
    </row>
    <row r="634" spans="1:18" ht="15.75" customHeight="1" x14ac:dyDescent="0.3">
      <c r="A634" s="234" t="s">
        <v>2390</v>
      </c>
      <c r="B634" s="172">
        <f>B632+B644</f>
        <v>14444</v>
      </c>
      <c r="C634" s="172">
        <f>C632+C644</f>
        <v>16306</v>
      </c>
      <c r="D634" s="172">
        <f>D632+D644</f>
        <v>17114</v>
      </c>
      <c r="E634" s="38">
        <f>SUM(B634:D634)</f>
        <v>47864</v>
      </c>
      <c r="F634" s="172">
        <f>F632+F644</f>
        <v>19256</v>
      </c>
      <c r="G634" s="172">
        <f>G632+G644</f>
        <v>17753</v>
      </c>
      <c r="H634" s="172">
        <f>H632+H644</f>
        <v>15140</v>
      </c>
      <c r="I634" s="38">
        <f>SUM(F634:H634)</f>
        <v>52149</v>
      </c>
      <c r="J634" s="172">
        <f>J632+J644</f>
        <v>14366</v>
      </c>
      <c r="K634" s="172">
        <f>K632+K644</f>
        <v>15993</v>
      </c>
      <c r="L634" s="172">
        <f>L632+L644</f>
        <v>15838</v>
      </c>
      <c r="M634" s="38">
        <f>SUM(J634:L634)</f>
        <v>46197</v>
      </c>
      <c r="N634" s="172">
        <f>N632+N644</f>
        <v>10988</v>
      </c>
      <c r="O634" s="172">
        <f>O632+O644</f>
        <v>7182</v>
      </c>
      <c r="P634" s="172">
        <f>P632+P644</f>
        <v>13610</v>
      </c>
      <c r="Q634" s="38">
        <f>SUM(N634:P634)</f>
        <v>31780</v>
      </c>
      <c r="R634" s="38">
        <f>+E634+I634+M634+Q634</f>
        <v>177990</v>
      </c>
    </row>
    <row r="635" spans="1:18" ht="16.5" customHeight="1" thickBot="1" x14ac:dyDescent="0.35">
      <c r="A635" s="237" t="s">
        <v>1716</v>
      </c>
      <c r="B635" s="238">
        <f>(B634/B10)/1.983</f>
        <v>234.96494395913652</v>
      </c>
      <c r="C635" s="238">
        <f>(C634/C10)/1.983</f>
        <v>293.67480729054103</v>
      </c>
      <c r="D635" s="238">
        <f>(D634/D10)/1.983</f>
        <v>278.39864656027851</v>
      </c>
      <c r="E635" s="40" t="s">
        <v>852</v>
      </c>
      <c r="F635" s="238">
        <f>(F634/F10)/1.983</f>
        <v>323.68465288283744</v>
      </c>
      <c r="G635" s="238">
        <f>(G634/G10)/1.983</f>
        <v>288.79345403673153</v>
      </c>
      <c r="H635" s="238">
        <f>(H634/H10)/1.983</f>
        <v>254.49655404269626</v>
      </c>
      <c r="I635" s="40" t="s">
        <v>852</v>
      </c>
      <c r="J635" s="238">
        <f>(J634/J10)/1.983</f>
        <v>233.69609422022677</v>
      </c>
      <c r="K635" s="238">
        <f>(K634/K10)/1.983</f>
        <v>260.16299838953682</v>
      </c>
      <c r="L635" s="238">
        <f>(L634/L10)/1.983</f>
        <v>266.22961842326436</v>
      </c>
      <c r="M635" s="40" t="s">
        <v>852</v>
      </c>
      <c r="N635" s="238">
        <f>(N634/N10)/1.983</f>
        <v>178.74514014282693</v>
      </c>
      <c r="O635" s="238">
        <f>(O634/O10)/1.983</f>
        <v>120.72617246596066</v>
      </c>
      <c r="P635" s="238">
        <f>(P634/P10)/1.983</f>
        <v>221.39801213540903</v>
      </c>
      <c r="Q635" s="40" t="s">
        <v>852</v>
      </c>
      <c r="R635" s="40" t="s">
        <v>852</v>
      </c>
    </row>
    <row r="636" spans="1:18" ht="15.75" customHeight="1" x14ac:dyDescent="0.3">
      <c r="A636" s="17"/>
      <c r="B636" s="172"/>
      <c r="C636" s="172"/>
      <c r="D636" s="172"/>
      <c r="E636" s="172"/>
      <c r="F636" s="172"/>
      <c r="G636" s="172"/>
      <c r="H636" s="172"/>
      <c r="I636" s="172"/>
      <c r="J636" s="172"/>
      <c r="K636" s="172"/>
      <c r="L636" s="172"/>
      <c r="M636" s="172"/>
      <c r="N636" s="172"/>
      <c r="O636" s="172"/>
      <c r="P636" s="172"/>
      <c r="Q636" s="172"/>
      <c r="R636" s="17"/>
    </row>
    <row r="637" spans="1:18" ht="15.75" customHeight="1" thickBot="1" x14ac:dyDescent="0.35">
      <c r="A637" s="17"/>
      <c r="B637" s="172"/>
      <c r="C637" s="172"/>
      <c r="D637" s="172"/>
      <c r="E637" s="172"/>
      <c r="F637" s="172"/>
      <c r="G637" s="172"/>
      <c r="H637" s="172"/>
      <c r="I637" s="172"/>
      <c r="J637" s="172"/>
      <c r="K637" s="172"/>
      <c r="L637" s="172"/>
      <c r="M637" s="172"/>
      <c r="N637" s="172"/>
      <c r="O637" s="172"/>
      <c r="P637" s="172"/>
      <c r="Q637" s="172"/>
      <c r="R637" s="17"/>
    </row>
    <row r="638" spans="1:18" ht="16.5" customHeight="1" thickBot="1" x14ac:dyDescent="0.35">
      <c r="A638" s="278" t="s">
        <v>374</v>
      </c>
      <c r="B638" s="4" t="s">
        <v>2090</v>
      </c>
      <c r="C638" s="5" t="s">
        <v>2091</v>
      </c>
      <c r="D638" s="5" t="s">
        <v>2234</v>
      </c>
      <c r="E638" s="33" t="s">
        <v>1594</v>
      </c>
      <c r="F638" s="5" t="s">
        <v>2235</v>
      </c>
      <c r="G638" s="5" t="s">
        <v>2236</v>
      </c>
      <c r="H638" s="5" t="s">
        <v>2237</v>
      </c>
      <c r="I638" s="35" t="s">
        <v>1595</v>
      </c>
      <c r="J638" s="5" t="s">
        <v>1504</v>
      </c>
      <c r="K638" s="5" t="s">
        <v>1505</v>
      </c>
      <c r="L638" s="5" t="s">
        <v>1506</v>
      </c>
      <c r="M638" s="35" t="s">
        <v>1596</v>
      </c>
      <c r="N638" s="5" t="s">
        <v>1507</v>
      </c>
      <c r="O638" s="5" t="s">
        <v>1508</v>
      </c>
      <c r="P638" s="5" t="s">
        <v>1509</v>
      </c>
      <c r="Q638" s="35" t="s">
        <v>1597</v>
      </c>
      <c r="R638" s="36" t="s">
        <v>1510</v>
      </c>
    </row>
    <row r="639" spans="1:18" ht="16.5" customHeight="1" thickBot="1" x14ac:dyDescent="0.35">
      <c r="A639" s="22"/>
      <c r="B639" s="242"/>
      <c r="C639" s="242"/>
      <c r="D639" s="242"/>
      <c r="E639" s="243"/>
      <c r="F639" s="242"/>
      <c r="G639" s="242"/>
      <c r="H639" s="242"/>
      <c r="I639" s="243"/>
      <c r="J639" s="242"/>
      <c r="K639" s="242"/>
      <c r="L639" s="242"/>
      <c r="M639" s="243"/>
      <c r="N639" s="242"/>
      <c r="O639" s="242"/>
      <c r="P639" s="242"/>
      <c r="Q639" s="243"/>
      <c r="R639" s="22"/>
    </row>
    <row r="640" spans="1:18" ht="16.5" customHeight="1" thickBot="1" x14ac:dyDescent="0.35">
      <c r="A640" s="244" t="s">
        <v>853</v>
      </c>
      <c r="B640" s="238">
        <v>2</v>
      </c>
      <c r="C640" s="238">
        <v>3</v>
      </c>
      <c r="D640" s="238">
        <v>5</v>
      </c>
      <c r="E640" s="38">
        <f>SUM(B640:D640)</f>
        <v>10</v>
      </c>
      <c r="F640" s="238">
        <v>7</v>
      </c>
      <c r="G640" s="238">
        <v>8</v>
      </c>
      <c r="H640" s="238">
        <v>9</v>
      </c>
      <c r="I640" s="38">
        <f>SUM(F640:H640)</f>
        <v>24</v>
      </c>
      <c r="J640" s="238">
        <v>7</v>
      </c>
      <c r="K640" s="238">
        <v>6</v>
      </c>
      <c r="L640" s="238">
        <v>6</v>
      </c>
      <c r="M640" s="38">
        <f>SUM(J640:L640)</f>
        <v>19</v>
      </c>
      <c r="N640" s="238">
        <v>5</v>
      </c>
      <c r="O640" s="238">
        <v>3</v>
      </c>
      <c r="P640" s="238">
        <v>2</v>
      </c>
      <c r="Q640" s="38">
        <f>SUM(N640:P640)</f>
        <v>10</v>
      </c>
      <c r="R640" s="39">
        <f>+E640+I640+M640+Q640</f>
        <v>63</v>
      </c>
    </row>
    <row r="641" spans="1:18" ht="16.5" customHeight="1" thickBot="1" x14ac:dyDescent="0.35">
      <c r="A641" s="22"/>
      <c r="B641" s="242"/>
      <c r="C641" s="242"/>
      <c r="D641" s="242"/>
      <c r="E641" s="233"/>
      <c r="F641" s="242"/>
      <c r="G641" s="242"/>
      <c r="H641" s="242"/>
      <c r="I641" s="233"/>
      <c r="J641" s="242"/>
      <c r="K641" s="242"/>
      <c r="L641" s="242"/>
      <c r="M641" s="233"/>
      <c r="N641" s="242"/>
      <c r="O641" s="242"/>
      <c r="P641" s="242"/>
      <c r="Q641" s="233"/>
      <c r="R641" s="21"/>
    </row>
    <row r="642" spans="1:18" ht="15.75" customHeight="1" x14ac:dyDescent="0.3">
      <c r="A642" s="234" t="s">
        <v>120</v>
      </c>
      <c r="B642" s="172">
        <f>B640</f>
        <v>2</v>
      </c>
      <c r="C642" s="172">
        <f>C640</f>
        <v>3</v>
      </c>
      <c r="D642" s="172">
        <f>D640</f>
        <v>5</v>
      </c>
      <c r="E642" s="39">
        <f>SUM(B642:D642)</f>
        <v>10</v>
      </c>
      <c r="F642" s="172">
        <f>F640</f>
        <v>7</v>
      </c>
      <c r="G642" s="172">
        <f>G640</f>
        <v>8</v>
      </c>
      <c r="H642" s="172">
        <f>H640</f>
        <v>9</v>
      </c>
      <c r="I642" s="39">
        <f>SUM(F642:H642)</f>
        <v>24</v>
      </c>
      <c r="J642" s="172">
        <f>J640</f>
        <v>7</v>
      </c>
      <c r="K642" s="172">
        <f>K640</f>
        <v>6</v>
      </c>
      <c r="L642" s="172">
        <f>L640</f>
        <v>6</v>
      </c>
      <c r="M642" s="39">
        <f>SUM(J642:L642)</f>
        <v>19</v>
      </c>
      <c r="N642" s="172">
        <f>N640</f>
        <v>5</v>
      </c>
      <c r="O642" s="172">
        <f>O640</f>
        <v>3</v>
      </c>
      <c r="P642" s="172">
        <f>P640</f>
        <v>2</v>
      </c>
      <c r="Q642" s="39">
        <f>SUM(N642:P642)</f>
        <v>10</v>
      </c>
      <c r="R642" s="39">
        <f>+E642+I642+M642+Q642</f>
        <v>63</v>
      </c>
    </row>
    <row r="643" spans="1:18" ht="15.75" customHeight="1" x14ac:dyDescent="0.3">
      <c r="A643" s="234" t="s">
        <v>1897</v>
      </c>
      <c r="B643" s="172">
        <f>(B642/B10)/1.983</f>
        <v>3.2534608689993978E-2</v>
      </c>
      <c r="C643" s="172">
        <f>(C642/C10)/1.983</f>
        <v>5.403068943159714E-2</v>
      </c>
      <c r="D643" s="172">
        <f>(D642/D10)/1.983</f>
        <v>8.1336521724984942E-2</v>
      </c>
      <c r="E643" s="38" t="s">
        <v>852</v>
      </c>
      <c r="F643" s="172">
        <f>(F642/F10)/1.983</f>
        <v>0.1176668347621449</v>
      </c>
      <c r="G643" s="172">
        <f>(G642/G10)/1.983</f>
        <v>0.13013843475997591</v>
      </c>
      <c r="H643" s="172">
        <f>(H642/H10)/1.983</f>
        <v>0.15128593040847199</v>
      </c>
      <c r="I643" s="38" t="s">
        <v>852</v>
      </c>
      <c r="J643" s="172">
        <f>(J642/J10)/1.983</f>
        <v>0.11387113041497893</v>
      </c>
      <c r="K643" s="172">
        <f>(K642/K10)/1.983</f>
        <v>9.7603826069981942E-2</v>
      </c>
      <c r="L643" s="172">
        <f>(L642/L10)/1.983</f>
        <v>0.10085728693898134</v>
      </c>
      <c r="M643" s="38" t="s">
        <v>852</v>
      </c>
      <c r="N643" s="172">
        <f>(N642/N10)/1.983</f>
        <v>8.1336521724984942E-2</v>
      </c>
      <c r="O643" s="172">
        <f>(O642/O10)/1.983</f>
        <v>5.0428643469490671E-2</v>
      </c>
      <c r="P643" s="172">
        <f>(P642/P10)/1.983</f>
        <v>3.2534608689993978E-2</v>
      </c>
      <c r="Q643" s="38" t="s">
        <v>852</v>
      </c>
      <c r="R643" s="38" t="s">
        <v>852</v>
      </c>
    </row>
    <row r="644" spans="1:18" ht="15.75" customHeight="1" x14ac:dyDescent="0.3">
      <c r="A644" s="234" t="s">
        <v>585</v>
      </c>
      <c r="B644" s="172">
        <f>B642+B678+B724-B673</f>
        <v>2854</v>
      </c>
      <c r="C644" s="172">
        <f>C642+C678+C724-C673</f>
        <v>3058</v>
      </c>
      <c r="D644" s="172">
        <f>D642+D678+D724-D673</f>
        <v>4042</v>
      </c>
      <c r="E644" s="38">
        <f>SUM(B644:D644)</f>
        <v>9954</v>
      </c>
      <c r="F644" s="172">
        <f>F642+F678+F724-F673</f>
        <v>3919</v>
      </c>
      <c r="G644" s="172">
        <f>G642+G678+G724-G673</f>
        <v>4452</v>
      </c>
      <c r="H644" s="172">
        <f>H642+H678+H724-H673</f>
        <v>3701</v>
      </c>
      <c r="I644" s="38">
        <f>SUM(F644:H644)</f>
        <v>12072</v>
      </c>
      <c r="J644" s="172">
        <f>J642+J678+J724-J673</f>
        <v>5052</v>
      </c>
      <c r="K644" s="172">
        <f>K642+K678+K724-K673</f>
        <v>4335</v>
      </c>
      <c r="L644" s="172">
        <f>L642+L678+L724-L673</f>
        <v>3566</v>
      </c>
      <c r="M644" s="38">
        <f>SUM(J644:L644)</f>
        <v>12953</v>
      </c>
      <c r="N644" s="172">
        <f>N642+N678+N724-N673</f>
        <v>3269</v>
      </c>
      <c r="O644" s="172">
        <f>O642+O678+O724-O673</f>
        <v>2110</v>
      </c>
      <c r="P644" s="172">
        <f>P642+P678+P724-P673</f>
        <v>3302</v>
      </c>
      <c r="Q644" s="38">
        <f>SUM(N644:P644)</f>
        <v>8681</v>
      </c>
      <c r="R644" s="38">
        <f>+E644+I644+M644+Q644</f>
        <v>43660</v>
      </c>
    </row>
    <row r="645" spans="1:18" ht="16.5" customHeight="1" thickBot="1" x14ac:dyDescent="0.35">
      <c r="A645" s="237" t="s">
        <v>57</v>
      </c>
      <c r="B645" s="238">
        <f>(B644/B10)/1.983</f>
        <v>46.426886600621408</v>
      </c>
      <c r="C645" s="238">
        <f>(C644/C10)/1.983</f>
        <v>55.075282760608019</v>
      </c>
      <c r="D645" s="238">
        <f>(D644/D10)/1.983</f>
        <v>65.752444162477829</v>
      </c>
      <c r="E645" s="40" t="s">
        <v>852</v>
      </c>
      <c r="F645" s="238">
        <f>(F644/F10)/1.983</f>
        <v>65.876617918977971</v>
      </c>
      <c r="G645" s="238">
        <f>(G644/G10)/1.983</f>
        <v>72.422038943926609</v>
      </c>
      <c r="H645" s="238">
        <f>(H644/H10)/1.983</f>
        <v>62.21213649352832</v>
      </c>
      <c r="I645" s="40" t="s">
        <v>852</v>
      </c>
      <c r="J645" s="238">
        <f>(J644/J10)/1.983</f>
        <v>82.182421550924786</v>
      </c>
      <c r="K645" s="238">
        <f>(K644/K10)/1.983</f>
        <v>70.518764335561954</v>
      </c>
      <c r="L645" s="238">
        <f>(L644/L10)/1.983</f>
        <v>59.942847537401235</v>
      </c>
      <c r="M645" s="40" t="s">
        <v>852</v>
      </c>
      <c r="N645" s="238">
        <f>(N644/N10)/1.983</f>
        <v>53.177817903795159</v>
      </c>
      <c r="O645" s="238">
        <f>(O644/O10)/1.983</f>
        <v>35.468145906875101</v>
      </c>
      <c r="P645" s="238">
        <f>(P644/P10)/1.983</f>
        <v>53.714638947180063</v>
      </c>
      <c r="Q645" s="40" t="s">
        <v>852</v>
      </c>
      <c r="R645" s="40" t="s">
        <v>852</v>
      </c>
    </row>
    <row r="646" spans="1:18" ht="15.75" customHeight="1" x14ac:dyDescent="0.3">
      <c r="A646" s="17"/>
      <c r="B646" s="172"/>
      <c r="C646" s="172"/>
      <c r="D646" s="172"/>
      <c r="E646" s="172"/>
      <c r="F646" s="172"/>
      <c r="G646" s="172"/>
      <c r="H646" s="172"/>
      <c r="I646" s="172"/>
      <c r="J646" s="172"/>
      <c r="K646" s="172"/>
      <c r="L646" s="172"/>
      <c r="M646" s="172"/>
      <c r="N646" s="172"/>
      <c r="O646" s="172"/>
      <c r="P646" s="172"/>
      <c r="Q646" s="172"/>
      <c r="R646" s="17"/>
    </row>
    <row r="647" spans="1:18" ht="15.75" customHeight="1" thickBot="1" x14ac:dyDescent="0.35">
      <c r="A647" s="17"/>
      <c r="B647" s="172"/>
      <c r="C647" s="172"/>
      <c r="D647" s="172"/>
      <c r="E647" s="172"/>
      <c r="F647" s="172"/>
      <c r="G647" s="172"/>
      <c r="H647" s="172"/>
      <c r="I647" s="172"/>
      <c r="J647" s="172"/>
      <c r="K647" s="172"/>
      <c r="L647" s="172"/>
      <c r="M647" s="172"/>
      <c r="N647" s="172"/>
      <c r="O647" s="172"/>
      <c r="P647" s="172"/>
      <c r="Q647" s="172"/>
      <c r="R647" s="17"/>
    </row>
    <row r="648" spans="1:18" ht="16.5" customHeight="1" thickBot="1" x14ac:dyDescent="0.35">
      <c r="A648" s="278" t="s">
        <v>1709</v>
      </c>
      <c r="B648" s="4" t="s">
        <v>2090</v>
      </c>
      <c r="C648" s="5" t="s">
        <v>2091</v>
      </c>
      <c r="D648" s="5" t="s">
        <v>2234</v>
      </c>
      <c r="E648" s="35" t="s">
        <v>1594</v>
      </c>
      <c r="F648" s="5" t="s">
        <v>2235</v>
      </c>
      <c r="G648" s="5" t="s">
        <v>2236</v>
      </c>
      <c r="H648" s="5" t="s">
        <v>2237</v>
      </c>
      <c r="I648" s="35" t="s">
        <v>1595</v>
      </c>
      <c r="J648" s="5" t="s">
        <v>1504</v>
      </c>
      <c r="K648" s="5" t="s">
        <v>1505</v>
      </c>
      <c r="L648" s="5" t="s">
        <v>1506</v>
      </c>
      <c r="M648" s="35" t="s">
        <v>1596</v>
      </c>
      <c r="N648" s="5" t="s">
        <v>1507</v>
      </c>
      <c r="O648" s="5" t="s">
        <v>1508</v>
      </c>
      <c r="P648" s="5" t="s">
        <v>1509</v>
      </c>
      <c r="Q648" s="35" t="s">
        <v>1597</v>
      </c>
      <c r="R648" s="59" t="s">
        <v>1510</v>
      </c>
    </row>
    <row r="649" spans="1:18" ht="16.5" customHeight="1" thickBot="1" x14ac:dyDescent="0.35">
      <c r="A649" s="22"/>
      <c r="B649" s="242"/>
      <c r="C649" s="242"/>
      <c r="D649" s="242"/>
      <c r="E649" s="282"/>
      <c r="F649" s="242"/>
      <c r="G649" s="242"/>
      <c r="H649" s="242"/>
      <c r="I649" s="282"/>
      <c r="J649" s="242"/>
      <c r="K649" s="242"/>
      <c r="L649" s="242"/>
      <c r="M649" s="282"/>
      <c r="N649" s="242"/>
      <c r="O649" s="242"/>
      <c r="P649" s="242"/>
      <c r="Q649" s="282"/>
      <c r="R649" s="19"/>
    </row>
    <row r="650" spans="1:18" ht="15.75" customHeight="1" x14ac:dyDescent="0.3">
      <c r="A650" s="234" t="s">
        <v>2417</v>
      </c>
      <c r="B650" s="172" t="s">
        <v>852</v>
      </c>
      <c r="C650" s="172" t="s">
        <v>852</v>
      </c>
      <c r="D650" s="172" t="s">
        <v>852</v>
      </c>
      <c r="E650" s="38" t="s">
        <v>852</v>
      </c>
      <c r="F650" s="172" t="s">
        <v>852</v>
      </c>
      <c r="G650" s="172" t="s">
        <v>852</v>
      </c>
      <c r="H650" s="172" t="s">
        <v>852</v>
      </c>
      <c r="I650" s="38" t="s">
        <v>852</v>
      </c>
      <c r="J650" s="172" t="s">
        <v>852</v>
      </c>
      <c r="K650" s="172" t="s">
        <v>852</v>
      </c>
      <c r="L650" s="172" t="s">
        <v>852</v>
      </c>
      <c r="M650" s="38" t="s">
        <v>852</v>
      </c>
      <c r="N650" s="172" t="s">
        <v>852</v>
      </c>
      <c r="O650" s="172" t="s">
        <v>852</v>
      </c>
      <c r="P650" s="172" t="s">
        <v>852</v>
      </c>
      <c r="Q650" s="38" t="s">
        <v>852</v>
      </c>
      <c r="R650" s="38" t="s">
        <v>852</v>
      </c>
    </row>
    <row r="651" spans="1:18" ht="15.75" customHeight="1" x14ac:dyDescent="0.3">
      <c r="A651" s="234" t="s">
        <v>2160</v>
      </c>
      <c r="B651" s="172"/>
      <c r="C651" s="172"/>
      <c r="D651" s="172"/>
      <c r="E651" s="38" t="s">
        <v>852</v>
      </c>
      <c r="F651" s="172"/>
      <c r="G651" s="172"/>
      <c r="H651" s="172"/>
      <c r="I651" s="38" t="s">
        <v>852</v>
      </c>
      <c r="J651" s="172"/>
      <c r="K651" s="172"/>
      <c r="L651" s="172"/>
      <c r="M651" s="38" t="s">
        <v>852</v>
      </c>
      <c r="N651" s="172"/>
      <c r="O651" s="172"/>
      <c r="P651" s="172"/>
      <c r="Q651" s="38" t="s">
        <v>852</v>
      </c>
      <c r="R651" s="38" t="s">
        <v>852</v>
      </c>
    </row>
    <row r="652" spans="1:18" ht="15.75" customHeight="1" x14ac:dyDescent="0.3">
      <c r="A652" s="266" t="s">
        <v>573</v>
      </c>
      <c r="B652" s="172">
        <v>24</v>
      </c>
      <c r="C652" s="172">
        <v>30</v>
      </c>
      <c r="D652" s="172">
        <v>41</v>
      </c>
      <c r="E652" s="38">
        <f>SUM(B652:D652)</f>
        <v>95</v>
      </c>
      <c r="F652" s="172">
        <v>46</v>
      </c>
      <c r="G652" s="172">
        <v>27</v>
      </c>
      <c r="H652" s="172"/>
      <c r="I652" s="38">
        <f>SUM(F652:H652)</f>
        <v>73</v>
      </c>
      <c r="J652" s="172">
        <v>10</v>
      </c>
      <c r="K652" s="172"/>
      <c r="L652" s="172">
        <v>38</v>
      </c>
      <c r="M652" s="38">
        <f>SUM(J652:L652)</f>
        <v>48</v>
      </c>
      <c r="N652" s="172"/>
      <c r="O652" s="172"/>
      <c r="P652" s="172"/>
      <c r="Q652" s="38">
        <f>SUM(N652:P652)</f>
        <v>0</v>
      </c>
      <c r="R652" s="38">
        <f>+E652+I652+M652+Q652</f>
        <v>216</v>
      </c>
    </row>
    <row r="653" spans="1:18" ht="15.75" customHeight="1" x14ac:dyDescent="0.3">
      <c r="A653" s="234" t="s">
        <v>2161</v>
      </c>
      <c r="B653" s="172"/>
      <c r="C653" s="172"/>
      <c r="D653" s="172"/>
      <c r="E653" s="38" t="s">
        <v>852</v>
      </c>
      <c r="F653" s="172"/>
      <c r="G653" s="172"/>
      <c r="H653" s="172"/>
      <c r="I653" s="38" t="s">
        <v>852</v>
      </c>
      <c r="J653" s="172"/>
      <c r="K653" s="172"/>
      <c r="L653" s="172"/>
      <c r="M653" s="38" t="s">
        <v>852</v>
      </c>
      <c r="N653" s="172"/>
      <c r="O653" s="172"/>
      <c r="P653" s="172"/>
      <c r="Q653" s="38" t="s">
        <v>852</v>
      </c>
      <c r="R653" s="38" t="s">
        <v>852</v>
      </c>
    </row>
    <row r="654" spans="1:18" ht="15.75" customHeight="1" x14ac:dyDescent="0.3">
      <c r="A654" s="234" t="s">
        <v>2162</v>
      </c>
      <c r="B654" s="172"/>
      <c r="C654" s="172"/>
      <c r="D654" s="172"/>
      <c r="E654" s="38" t="s">
        <v>852</v>
      </c>
      <c r="F654" s="172"/>
      <c r="G654" s="172"/>
      <c r="H654" s="172"/>
      <c r="I654" s="38" t="s">
        <v>852</v>
      </c>
      <c r="J654" s="172"/>
      <c r="K654" s="172"/>
      <c r="L654" s="172"/>
      <c r="M654" s="38" t="s">
        <v>852</v>
      </c>
      <c r="N654" s="172"/>
      <c r="O654" s="172"/>
      <c r="P654" s="172"/>
      <c r="Q654" s="38" t="s">
        <v>852</v>
      </c>
      <c r="R654" s="38" t="s">
        <v>852</v>
      </c>
    </row>
    <row r="655" spans="1:18" ht="15.75" customHeight="1" thickBot="1" x14ac:dyDescent="0.35">
      <c r="A655" s="234" t="s">
        <v>2164</v>
      </c>
      <c r="B655" s="172"/>
      <c r="C655" s="172"/>
      <c r="D655" s="172"/>
      <c r="E655" s="38" t="s">
        <v>852</v>
      </c>
      <c r="F655" s="172"/>
      <c r="G655" s="172"/>
      <c r="H655" s="172"/>
      <c r="I655" s="38" t="s">
        <v>852</v>
      </c>
      <c r="J655" s="172"/>
      <c r="K655" s="172"/>
      <c r="L655" s="172"/>
      <c r="M655" s="38" t="s">
        <v>852</v>
      </c>
      <c r="N655" s="172"/>
      <c r="O655" s="172"/>
      <c r="P655" s="172"/>
      <c r="Q655" s="38" t="s">
        <v>852</v>
      </c>
      <c r="R655" s="38" t="s">
        <v>852</v>
      </c>
    </row>
    <row r="656" spans="1:18" ht="16.5" customHeight="1" thickBot="1" x14ac:dyDescent="0.35">
      <c r="A656" s="43" t="s">
        <v>1218</v>
      </c>
      <c r="B656" s="45">
        <f>SUM(B650:B655)</f>
        <v>24</v>
      </c>
      <c r="C656" s="46">
        <f>SUM(C650:C655)</f>
        <v>30</v>
      </c>
      <c r="D656" s="46">
        <f>SUM(D650:D655)</f>
        <v>41</v>
      </c>
      <c r="E656" s="37">
        <f>SUM(B656:D656)</f>
        <v>95</v>
      </c>
      <c r="F656" s="46">
        <f>SUM(F650:F655)</f>
        <v>46</v>
      </c>
      <c r="G656" s="46">
        <f>SUM(G650:G655)</f>
        <v>27</v>
      </c>
      <c r="H656" s="46">
        <f>SUM(H650:H655)</f>
        <v>0</v>
      </c>
      <c r="I656" s="37">
        <f>SUM(F656:H656)</f>
        <v>73</v>
      </c>
      <c r="J656" s="46">
        <f>SUM(J650:J655)</f>
        <v>10</v>
      </c>
      <c r="K656" s="46">
        <f>SUM(K650:K655)</f>
        <v>0</v>
      </c>
      <c r="L656" s="46">
        <f>SUM(L650:L655)</f>
        <v>38</v>
      </c>
      <c r="M656" s="37">
        <f>SUM(J656:L656)</f>
        <v>48</v>
      </c>
      <c r="N656" s="46">
        <f>SUM(N650:N655)</f>
        <v>0</v>
      </c>
      <c r="O656" s="46">
        <f>SUM(O650:O655)</f>
        <v>0</v>
      </c>
      <c r="P656" s="46">
        <f>SUM(P650:P655)</f>
        <v>0</v>
      </c>
      <c r="Q656" s="37">
        <f>SUM(N656:P656)</f>
        <v>0</v>
      </c>
      <c r="R656" s="37">
        <f>+E656+I656+M656+Q656</f>
        <v>216</v>
      </c>
    </row>
    <row r="657" spans="1:18" ht="15.75" customHeight="1" x14ac:dyDescent="0.3">
      <c r="A657" s="234" t="s">
        <v>1172</v>
      </c>
      <c r="B657" s="172"/>
      <c r="C657" s="172"/>
      <c r="D657" s="172"/>
      <c r="E657" s="38" t="s">
        <v>852</v>
      </c>
      <c r="F657" s="172"/>
      <c r="G657" s="172"/>
      <c r="H657" s="172"/>
      <c r="I657" s="38" t="s">
        <v>852</v>
      </c>
      <c r="J657" s="172"/>
      <c r="K657" s="172"/>
      <c r="L657" s="172"/>
      <c r="M657" s="38" t="s">
        <v>852</v>
      </c>
      <c r="N657" s="172"/>
      <c r="O657" s="172"/>
      <c r="P657" s="172"/>
      <c r="Q657" s="38" t="s">
        <v>852</v>
      </c>
      <c r="R657" s="38" t="s">
        <v>852</v>
      </c>
    </row>
    <row r="658" spans="1:18" ht="15.75" customHeight="1" x14ac:dyDescent="0.3">
      <c r="A658" s="234" t="s">
        <v>2409</v>
      </c>
      <c r="B658" s="172"/>
      <c r="C658" s="172"/>
      <c r="D658" s="172"/>
      <c r="E658" s="38" t="s">
        <v>852</v>
      </c>
      <c r="F658" s="172"/>
      <c r="G658" s="172"/>
      <c r="H658" s="172"/>
      <c r="I658" s="38" t="s">
        <v>852</v>
      </c>
      <c r="J658" s="172"/>
      <c r="K658" s="172"/>
      <c r="L658" s="172"/>
      <c r="M658" s="38" t="s">
        <v>852</v>
      </c>
      <c r="N658" s="172"/>
      <c r="O658" s="172"/>
      <c r="P658" s="172"/>
      <c r="Q658" s="38" t="s">
        <v>852</v>
      </c>
      <c r="R658" s="38" t="s">
        <v>852</v>
      </c>
    </row>
    <row r="659" spans="1:18" ht="15.75" customHeight="1" thickBot="1" x14ac:dyDescent="0.35">
      <c r="A659" s="234" t="s">
        <v>2165</v>
      </c>
      <c r="B659" s="172"/>
      <c r="C659" s="172"/>
      <c r="D659" s="172"/>
      <c r="E659" s="38" t="s">
        <v>852</v>
      </c>
      <c r="F659" s="172"/>
      <c r="G659" s="172"/>
      <c r="H659" s="172"/>
      <c r="I659" s="38" t="s">
        <v>852</v>
      </c>
      <c r="J659" s="172"/>
      <c r="K659" s="172"/>
      <c r="L659" s="172"/>
      <c r="M659" s="38" t="s">
        <v>852</v>
      </c>
      <c r="N659" s="172"/>
      <c r="O659" s="172"/>
      <c r="P659" s="172"/>
      <c r="Q659" s="38" t="s">
        <v>852</v>
      </c>
      <c r="R659" s="38" t="s">
        <v>852</v>
      </c>
    </row>
    <row r="660" spans="1:18" ht="16.5" customHeight="1" thickBot="1" x14ac:dyDescent="0.35">
      <c r="A660" s="43" t="s">
        <v>1219</v>
      </c>
      <c r="B660" s="45">
        <f>SUM(B657:B659)</f>
        <v>0</v>
      </c>
      <c r="C660" s="46">
        <f>SUM(C657:C659)</f>
        <v>0</v>
      </c>
      <c r="D660" s="46">
        <f>SUM(D657:D659)</f>
        <v>0</v>
      </c>
      <c r="E660" s="37">
        <f>SUM(B660:D660)</f>
        <v>0</v>
      </c>
      <c r="F660" s="46">
        <f>SUM(F657:F659)</f>
        <v>0</v>
      </c>
      <c r="G660" s="46">
        <f>SUM(G657:G659)</f>
        <v>0</v>
      </c>
      <c r="H660" s="46">
        <f>SUM(H657:H659)</f>
        <v>0</v>
      </c>
      <c r="I660" s="37">
        <f>SUM(F660:H660)</f>
        <v>0</v>
      </c>
      <c r="J660" s="46">
        <f>SUM(J657:J659)</f>
        <v>0</v>
      </c>
      <c r="K660" s="46">
        <f>SUM(K657:K659)</f>
        <v>0</v>
      </c>
      <c r="L660" s="46">
        <f>SUM(L657:L659)</f>
        <v>0</v>
      </c>
      <c r="M660" s="37">
        <f>SUM(J660:L660)</f>
        <v>0</v>
      </c>
      <c r="N660" s="46">
        <f>SUM(N657:N659)</f>
        <v>0</v>
      </c>
      <c r="O660" s="46">
        <f>SUM(O657:O659)</f>
        <v>0</v>
      </c>
      <c r="P660" s="46">
        <f>SUM(P657:P659)</f>
        <v>0</v>
      </c>
      <c r="Q660" s="37">
        <f>SUM(N660:P660)</f>
        <v>0</v>
      </c>
      <c r="R660" s="37">
        <f>+E660+I660+M660+Q660</f>
        <v>0</v>
      </c>
    </row>
    <row r="661" spans="1:18" ht="15.75" customHeight="1" x14ac:dyDescent="0.3">
      <c r="A661" s="234" t="s">
        <v>2166</v>
      </c>
      <c r="B661" s="172"/>
      <c r="C661" s="172"/>
      <c r="D661" s="172"/>
      <c r="E661" s="38" t="s">
        <v>852</v>
      </c>
      <c r="F661" s="172"/>
      <c r="G661" s="172"/>
      <c r="H661" s="172"/>
      <c r="I661" s="38" t="s">
        <v>852</v>
      </c>
      <c r="J661" s="172"/>
      <c r="K661" s="172"/>
      <c r="L661" s="172"/>
      <c r="M661" s="38" t="s">
        <v>852</v>
      </c>
      <c r="N661" s="172"/>
      <c r="O661" s="172"/>
      <c r="P661" s="172"/>
      <c r="Q661" s="38" t="s">
        <v>852</v>
      </c>
      <c r="R661" s="38" t="s">
        <v>852</v>
      </c>
    </row>
    <row r="662" spans="1:18" ht="15.75" customHeight="1" x14ac:dyDescent="0.3">
      <c r="A662" s="234" t="s">
        <v>1245</v>
      </c>
      <c r="B662" s="172"/>
      <c r="C662" s="172"/>
      <c r="D662" s="172"/>
      <c r="E662" s="38" t="s">
        <v>852</v>
      </c>
      <c r="F662" s="172"/>
      <c r="G662" s="172"/>
      <c r="H662" s="172"/>
      <c r="I662" s="38" t="s">
        <v>852</v>
      </c>
      <c r="J662" s="172"/>
      <c r="K662" s="172"/>
      <c r="L662" s="172"/>
      <c r="M662" s="38" t="s">
        <v>852</v>
      </c>
      <c r="N662" s="172"/>
      <c r="O662" s="172"/>
      <c r="P662" s="172"/>
      <c r="Q662" s="38" t="s">
        <v>852</v>
      </c>
      <c r="R662" s="38" t="s">
        <v>852</v>
      </c>
    </row>
    <row r="663" spans="1:18" ht="15.75" customHeight="1" thickBot="1" x14ac:dyDescent="0.35">
      <c r="A663" s="234" t="s">
        <v>1711</v>
      </c>
      <c r="B663" s="172"/>
      <c r="C663" s="172"/>
      <c r="D663" s="172"/>
      <c r="E663" s="38" t="s">
        <v>852</v>
      </c>
      <c r="F663" s="172"/>
      <c r="G663" s="172"/>
      <c r="H663" s="172"/>
      <c r="I663" s="38" t="s">
        <v>852</v>
      </c>
      <c r="J663" s="172"/>
      <c r="K663" s="172"/>
      <c r="L663" s="172"/>
      <c r="M663" s="38" t="s">
        <v>852</v>
      </c>
      <c r="N663" s="172"/>
      <c r="O663" s="172"/>
      <c r="P663" s="172"/>
      <c r="Q663" s="38" t="s">
        <v>852</v>
      </c>
      <c r="R663" s="38" t="s">
        <v>852</v>
      </c>
    </row>
    <row r="664" spans="1:18" ht="16.5" customHeight="1" thickBot="1" x14ac:dyDescent="0.35">
      <c r="A664" s="43" t="s">
        <v>1220</v>
      </c>
      <c r="B664" s="45">
        <f>SUM(B661:B663)</f>
        <v>0</v>
      </c>
      <c r="C664" s="46">
        <f>SUM(C661:C663)</f>
        <v>0</v>
      </c>
      <c r="D664" s="46">
        <f>SUM(D661:D663)</f>
        <v>0</v>
      </c>
      <c r="E664" s="37">
        <f>SUM(B664:D664)</f>
        <v>0</v>
      </c>
      <c r="F664" s="46">
        <f>SUM(F661:F663)</f>
        <v>0</v>
      </c>
      <c r="G664" s="46">
        <f>SUM(G661:G663)</f>
        <v>0</v>
      </c>
      <c r="H664" s="46">
        <f>SUM(H661:H663)</f>
        <v>0</v>
      </c>
      <c r="I664" s="37">
        <f>SUM(F664:H664)</f>
        <v>0</v>
      </c>
      <c r="J664" s="46">
        <f>SUM(J661:J663)</f>
        <v>0</v>
      </c>
      <c r="K664" s="46">
        <f>SUM(K661:K663)</f>
        <v>0</v>
      </c>
      <c r="L664" s="46">
        <f>SUM(L661:L663)</f>
        <v>0</v>
      </c>
      <c r="M664" s="37">
        <f>SUM(J664:L664)</f>
        <v>0</v>
      </c>
      <c r="N664" s="46">
        <f>SUM(N661:N663)</f>
        <v>0</v>
      </c>
      <c r="O664" s="46">
        <f>SUM(O661:O663)</f>
        <v>0</v>
      </c>
      <c r="P664" s="46">
        <f>SUM(P661:P663)</f>
        <v>0</v>
      </c>
      <c r="Q664" s="37">
        <f>SUM(N664:P664)</f>
        <v>0</v>
      </c>
      <c r="R664" s="37">
        <f>+E664+I664+M664+Q664</f>
        <v>0</v>
      </c>
    </row>
    <row r="665" spans="1:18" ht="15.75" customHeight="1" x14ac:dyDescent="0.3">
      <c r="A665" s="234" t="s">
        <v>1712</v>
      </c>
      <c r="B665" s="172"/>
      <c r="C665" s="172"/>
      <c r="D665" s="172"/>
      <c r="E665" s="38" t="s">
        <v>852</v>
      </c>
      <c r="F665" s="172"/>
      <c r="G665" s="172"/>
      <c r="H665" s="172"/>
      <c r="I665" s="38" t="s">
        <v>852</v>
      </c>
      <c r="J665" s="172"/>
      <c r="K665" s="172"/>
      <c r="L665" s="172"/>
      <c r="M665" s="38" t="s">
        <v>852</v>
      </c>
      <c r="N665" s="172"/>
      <c r="O665" s="172"/>
      <c r="P665" s="172"/>
      <c r="Q665" s="38" t="s">
        <v>852</v>
      </c>
      <c r="R665" s="38" t="s">
        <v>852</v>
      </c>
    </row>
    <row r="666" spans="1:18" ht="15.75" customHeight="1" x14ac:dyDescent="0.3">
      <c r="A666" s="234" t="s">
        <v>1021</v>
      </c>
      <c r="B666" s="172"/>
      <c r="C666" s="172"/>
      <c r="D666" s="172"/>
      <c r="E666" s="38" t="s">
        <v>852</v>
      </c>
      <c r="F666" s="172"/>
      <c r="G666" s="172"/>
      <c r="H666" s="172"/>
      <c r="I666" s="38" t="s">
        <v>852</v>
      </c>
      <c r="J666" s="172"/>
      <c r="K666" s="172"/>
      <c r="L666" s="172"/>
      <c r="M666" s="38" t="s">
        <v>852</v>
      </c>
      <c r="N666" s="172"/>
      <c r="O666" s="172"/>
      <c r="P666" s="172"/>
      <c r="Q666" s="38" t="s">
        <v>852</v>
      </c>
      <c r="R666" s="38" t="s">
        <v>852</v>
      </c>
    </row>
    <row r="667" spans="1:18" ht="15.75" customHeight="1" x14ac:dyDescent="0.3">
      <c r="A667" s="234" t="s">
        <v>557</v>
      </c>
      <c r="B667" s="172"/>
      <c r="C667" s="172"/>
      <c r="D667" s="172"/>
      <c r="E667" s="38" t="s">
        <v>852</v>
      </c>
      <c r="F667" s="172"/>
      <c r="G667" s="172"/>
      <c r="H667" s="172"/>
      <c r="I667" s="38" t="s">
        <v>852</v>
      </c>
      <c r="J667" s="172"/>
      <c r="K667" s="172"/>
      <c r="L667" s="172"/>
      <c r="M667" s="38" t="s">
        <v>852</v>
      </c>
      <c r="N667" s="172"/>
      <c r="O667" s="172"/>
      <c r="P667" s="172"/>
      <c r="Q667" s="38" t="s">
        <v>852</v>
      </c>
      <c r="R667" s="38" t="s">
        <v>852</v>
      </c>
    </row>
    <row r="668" spans="1:18" ht="15.75" customHeight="1" x14ac:dyDescent="0.3">
      <c r="A668" s="234" t="s">
        <v>1022</v>
      </c>
      <c r="B668" s="172"/>
      <c r="C668" s="172"/>
      <c r="D668" s="172"/>
      <c r="E668" s="38" t="s">
        <v>852</v>
      </c>
      <c r="F668" s="172"/>
      <c r="G668" s="172"/>
      <c r="H668" s="172"/>
      <c r="I668" s="38" t="s">
        <v>852</v>
      </c>
      <c r="J668" s="172"/>
      <c r="K668" s="172"/>
      <c r="L668" s="172"/>
      <c r="M668" s="38" t="s">
        <v>852</v>
      </c>
      <c r="N668" s="172"/>
      <c r="O668" s="172"/>
      <c r="P668" s="172"/>
      <c r="Q668" s="38" t="s">
        <v>852</v>
      </c>
      <c r="R668" s="38" t="s">
        <v>852</v>
      </c>
    </row>
    <row r="669" spans="1:18" ht="15.75" customHeight="1" thickBot="1" x14ac:dyDescent="0.35">
      <c r="A669" s="234" t="s">
        <v>559</v>
      </c>
      <c r="B669" s="172"/>
      <c r="C669" s="172"/>
      <c r="D669" s="172"/>
      <c r="E669" s="38" t="s">
        <v>852</v>
      </c>
      <c r="F669" s="172"/>
      <c r="G669" s="172"/>
      <c r="H669" s="172"/>
      <c r="I669" s="38" t="s">
        <v>852</v>
      </c>
      <c r="J669" s="172"/>
      <c r="K669" s="172"/>
      <c r="L669" s="172"/>
      <c r="M669" s="38" t="s">
        <v>852</v>
      </c>
      <c r="N669" s="172"/>
      <c r="O669" s="172"/>
      <c r="P669" s="172"/>
      <c r="Q669" s="38" t="s">
        <v>852</v>
      </c>
      <c r="R669" s="38" t="s">
        <v>852</v>
      </c>
    </row>
    <row r="670" spans="1:18" ht="16.5" customHeight="1" thickBot="1" x14ac:dyDescent="0.35">
      <c r="A670" s="43" t="s">
        <v>1019</v>
      </c>
      <c r="B670" s="42">
        <f>SUM(B668:B669)</f>
        <v>0</v>
      </c>
      <c r="C670" s="42">
        <f>SUM(C668:C669)</f>
        <v>0</v>
      </c>
      <c r="D670" s="42">
        <f>SUM(D668:D669)</f>
        <v>0</v>
      </c>
      <c r="E670" s="39">
        <f>SUM(B670:D670)</f>
        <v>0</v>
      </c>
      <c r="F670" s="42">
        <f>SUM(F668:F669)</f>
        <v>0</v>
      </c>
      <c r="G670" s="42">
        <f>SUM(G668:G669)</f>
        <v>0</v>
      </c>
      <c r="H670" s="42">
        <f>SUM(H668:H669)</f>
        <v>0</v>
      </c>
      <c r="I670" s="39">
        <f>SUM(F670:H670)</f>
        <v>0</v>
      </c>
      <c r="J670" s="42">
        <f>SUM(J668:J669)</f>
        <v>0</v>
      </c>
      <c r="K670" s="42">
        <f>SUM(K668:K669)</f>
        <v>0</v>
      </c>
      <c r="L670" s="42">
        <f>SUM(L668:L669)</f>
        <v>0</v>
      </c>
      <c r="M670" s="39">
        <f>SUM(J670:L670)</f>
        <v>0</v>
      </c>
      <c r="N670" s="42">
        <f>SUM(N668:N669)</f>
        <v>0</v>
      </c>
      <c r="O670" s="42">
        <f>SUM(O668:O669)</f>
        <v>0</v>
      </c>
      <c r="P670" s="42">
        <f>SUM(P668:P669)</f>
        <v>0</v>
      </c>
      <c r="Q670" s="39">
        <f>SUM(N670:P670)</f>
        <v>0</v>
      </c>
      <c r="R670" s="37">
        <f>+E670+I670+M670+Q670</f>
        <v>0</v>
      </c>
    </row>
    <row r="671" spans="1:18" ht="16.5" customHeight="1" thickBot="1" x14ac:dyDescent="0.35">
      <c r="A671" s="43" t="s">
        <v>1221</v>
      </c>
      <c r="B671" s="45">
        <f>SUM(B665:B669)</f>
        <v>0</v>
      </c>
      <c r="C671" s="46">
        <f>SUM(C665:C669)</f>
        <v>0</v>
      </c>
      <c r="D671" s="58">
        <f>SUM(D665:D669)</f>
        <v>0</v>
      </c>
      <c r="E671" s="39">
        <f>SUM(B671:D671)</f>
        <v>0</v>
      </c>
      <c r="F671" s="46">
        <f>SUM(F665:F669)</f>
        <v>0</v>
      </c>
      <c r="G671" s="46">
        <f>SUM(G665:G669)</f>
        <v>0</v>
      </c>
      <c r="H671" s="46">
        <f>SUM(H665:H669)</f>
        <v>0</v>
      </c>
      <c r="I671" s="39">
        <f>SUM(F671:H671)</f>
        <v>0</v>
      </c>
      <c r="J671" s="46">
        <f>SUM(J665:J669)</f>
        <v>0</v>
      </c>
      <c r="K671" s="46">
        <f>SUM(K665:K669)</f>
        <v>0</v>
      </c>
      <c r="L671" s="46">
        <f>SUM(L665:L669)</f>
        <v>0</v>
      </c>
      <c r="M671" s="39">
        <f>SUM(J671:L671)</f>
        <v>0</v>
      </c>
      <c r="N671" s="46">
        <f>SUM(N665:N669)</f>
        <v>0</v>
      </c>
      <c r="O671" s="46">
        <f>SUM(O665:O669)</f>
        <v>0</v>
      </c>
      <c r="P671" s="46">
        <f>SUM(P665:P669)</f>
        <v>0</v>
      </c>
      <c r="Q671" s="39">
        <f>SUM(N671:P671)</f>
        <v>0</v>
      </c>
      <c r="R671" s="37">
        <f>+E671+I671+M671+Q671</f>
        <v>0</v>
      </c>
    </row>
    <row r="672" spans="1:18" ht="16.5" customHeight="1" thickBot="1" x14ac:dyDescent="0.35">
      <c r="A672" s="43" t="s">
        <v>1222</v>
      </c>
      <c r="B672" s="47">
        <f>+B656+B660+B664+B671</f>
        <v>24</v>
      </c>
      <c r="C672" s="42">
        <f>+C656+C660+C664+C671</f>
        <v>30</v>
      </c>
      <c r="D672" s="42">
        <f>+D656+D660+D664+D671</f>
        <v>41</v>
      </c>
      <c r="E672" s="37">
        <f>SUM(B672:D672)</f>
        <v>95</v>
      </c>
      <c r="F672" s="42">
        <f>+F656+F660+F664+F671</f>
        <v>46</v>
      </c>
      <c r="G672" s="42">
        <f>+G656+G660+G664+G671</f>
        <v>27</v>
      </c>
      <c r="H672" s="42">
        <f>+H656+H660+H664+H671</f>
        <v>0</v>
      </c>
      <c r="I672" s="37">
        <f>SUM(F672:H672)</f>
        <v>73</v>
      </c>
      <c r="J672" s="42">
        <f>+J656+J660+J664+J671</f>
        <v>10</v>
      </c>
      <c r="K672" s="42">
        <f>+K656+K660+K664+K671</f>
        <v>0</v>
      </c>
      <c r="L672" s="42">
        <f>+L656+L660+L664+L671</f>
        <v>38</v>
      </c>
      <c r="M672" s="37">
        <f>SUM(J672:L672)</f>
        <v>48</v>
      </c>
      <c r="N672" s="42">
        <f>+N656+N660+N664+N671</f>
        <v>0</v>
      </c>
      <c r="O672" s="42">
        <f>+O656+O660+O664+O671</f>
        <v>0</v>
      </c>
      <c r="P672" s="42">
        <f>+P656+P660+P664+P671</f>
        <v>0</v>
      </c>
      <c r="Q672" s="37">
        <f>SUM(N672:P672)</f>
        <v>0</v>
      </c>
      <c r="R672" s="40">
        <f>+E672+I672+M672+Q672</f>
        <v>216</v>
      </c>
    </row>
    <row r="673" spans="1:20" ht="15.75" customHeight="1" x14ac:dyDescent="0.3">
      <c r="A673" s="266" t="s">
        <v>2117</v>
      </c>
      <c r="B673" s="172">
        <v>514</v>
      </c>
      <c r="C673" s="172">
        <v>89</v>
      </c>
      <c r="D673" s="172">
        <v>4671</v>
      </c>
      <c r="E673" s="38">
        <f>SUM(B673:D673)</f>
        <v>5274</v>
      </c>
      <c r="F673" s="172">
        <v>5145</v>
      </c>
      <c r="G673" s="172">
        <v>6039</v>
      </c>
      <c r="H673" s="172">
        <v>5950</v>
      </c>
      <c r="I673" s="38">
        <f>SUM(F673:H673)</f>
        <v>17134</v>
      </c>
      <c r="J673" s="172">
        <v>5841</v>
      </c>
      <c r="K673" s="172">
        <v>5727</v>
      </c>
      <c r="L673" s="172">
        <v>5485</v>
      </c>
      <c r="M673" s="38">
        <f>SUM(J673:L673)</f>
        <v>17053</v>
      </c>
      <c r="N673" s="172">
        <v>5354</v>
      </c>
      <c r="O673" s="172">
        <v>4371</v>
      </c>
      <c r="P673" s="172">
        <v>4942</v>
      </c>
      <c r="Q673" s="38">
        <f>SUM(N673:P673)</f>
        <v>14667</v>
      </c>
      <c r="R673" s="38">
        <f>+E673+I673+M673+Q673</f>
        <v>54128</v>
      </c>
    </row>
    <row r="674" spans="1:20" ht="15.75" customHeight="1" thickBot="1" x14ac:dyDescent="0.35">
      <c r="A674" s="266" t="s">
        <v>853</v>
      </c>
      <c r="B674" s="172">
        <v>0</v>
      </c>
      <c r="C674" s="172">
        <v>0</v>
      </c>
      <c r="D674" s="172">
        <v>0</v>
      </c>
      <c r="E674" s="38">
        <f>SUM(B674:D674)</f>
        <v>0</v>
      </c>
      <c r="F674" s="172">
        <v>0</v>
      </c>
      <c r="G674" s="172">
        <v>0</v>
      </c>
      <c r="H674" s="172">
        <v>0</v>
      </c>
      <c r="I674" s="38">
        <f>SUM(F674:H674)</f>
        <v>0</v>
      </c>
      <c r="J674" s="172">
        <v>0</v>
      </c>
      <c r="K674" s="172">
        <v>0</v>
      </c>
      <c r="L674" s="172">
        <v>0</v>
      </c>
      <c r="M674" s="38">
        <f>SUM(J674:L674)</f>
        <v>0</v>
      </c>
      <c r="N674" s="172">
        <v>0</v>
      </c>
      <c r="O674" s="172">
        <v>0</v>
      </c>
      <c r="P674" s="172">
        <v>0</v>
      </c>
      <c r="Q674" s="38">
        <f>SUM(N674:P674)</f>
        <v>0</v>
      </c>
      <c r="R674" s="38">
        <f>+E674+I674+M674+Q674</f>
        <v>0</v>
      </c>
    </row>
    <row r="675" spans="1:20" ht="16.5" customHeight="1" thickBot="1" x14ac:dyDescent="0.35">
      <c r="A675" s="281"/>
      <c r="B675" s="232"/>
      <c r="C675" s="232"/>
      <c r="D675" s="232"/>
      <c r="E675" s="37" t="s">
        <v>852</v>
      </c>
      <c r="F675" s="232"/>
      <c r="G675" s="232"/>
      <c r="H675" s="232"/>
      <c r="I675" s="37" t="s">
        <v>852</v>
      </c>
      <c r="J675" s="232"/>
      <c r="K675" s="232"/>
      <c r="L675" s="232"/>
      <c r="M675" s="37" t="s">
        <v>852</v>
      </c>
      <c r="N675" s="232"/>
      <c r="O675" s="232"/>
      <c r="P675" s="232"/>
      <c r="Q675" s="37"/>
      <c r="R675" s="37"/>
    </row>
    <row r="676" spans="1:20" ht="15.75" customHeight="1" x14ac:dyDescent="0.3">
      <c r="A676" s="234" t="s">
        <v>2011</v>
      </c>
      <c r="B676" s="172">
        <f>SUM(B672:B674)</f>
        <v>538</v>
      </c>
      <c r="C676" s="172">
        <f>SUM(C672:C674)</f>
        <v>119</v>
      </c>
      <c r="D676" s="172">
        <f>SUM(D672:D674)</f>
        <v>4712</v>
      </c>
      <c r="E676" s="39">
        <f>SUM(B676:D676)</f>
        <v>5369</v>
      </c>
      <c r="F676" s="172">
        <f>SUM(F672:F674)</f>
        <v>5191</v>
      </c>
      <c r="G676" s="172">
        <f>SUM(G672:G674)</f>
        <v>6066</v>
      </c>
      <c r="H676" s="172">
        <f>SUM(H672:H674)</f>
        <v>5950</v>
      </c>
      <c r="I676" s="39">
        <f>SUM(F676:H676)</f>
        <v>17207</v>
      </c>
      <c r="J676" s="172">
        <f>SUM(J672:J674)</f>
        <v>5851</v>
      </c>
      <c r="K676" s="172">
        <f>SUM(K672:K674)</f>
        <v>5727</v>
      </c>
      <c r="L676" s="172">
        <f>SUM(L672:L674)</f>
        <v>5523</v>
      </c>
      <c r="M676" s="39">
        <f>SUM(J676:L676)</f>
        <v>17101</v>
      </c>
      <c r="N676" s="172">
        <f>SUM(N672:N674)</f>
        <v>5354</v>
      </c>
      <c r="O676" s="172">
        <f>SUM(O672:O674)</f>
        <v>4371</v>
      </c>
      <c r="P676" s="172">
        <f>SUM(P672:P674)</f>
        <v>4942</v>
      </c>
      <c r="Q676" s="39">
        <f>SUM(N676:P676)</f>
        <v>14667</v>
      </c>
      <c r="R676" s="39">
        <f>+E676+I676+M676+Q676</f>
        <v>54344</v>
      </c>
    </row>
    <row r="677" spans="1:20" ht="15.75" customHeight="1" x14ac:dyDescent="0.3">
      <c r="A677" s="234" t="s">
        <v>1897</v>
      </c>
      <c r="B677" s="172">
        <f>(B676/B10)/1.983</f>
        <v>8.7518097376083812</v>
      </c>
      <c r="C677" s="172">
        <f>(C676/C10)/1.983</f>
        <v>2.1432173474533536</v>
      </c>
      <c r="D677" s="172">
        <f>(D676/D10)/1.983</f>
        <v>76.651538073625815</v>
      </c>
      <c r="E677" s="38" t="s">
        <v>852</v>
      </c>
      <c r="F677" s="172">
        <f>(F676/F10)/1.983</f>
        <v>87.258362750042025</v>
      </c>
      <c r="G677" s="172">
        <f>(G676/G10)/1.983</f>
        <v>98.677468156751743</v>
      </c>
      <c r="H677" s="172">
        <f>(H676/H10)/1.983</f>
        <v>100.01680954782316</v>
      </c>
      <c r="I677" s="38" t="s">
        <v>852</v>
      </c>
      <c r="J677" s="172">
        <f>(J676/J10)/1.983</f>
        <v>95.179997722577397</v>
      </c>
      <c r="K677" s="172">
        <f>(K676/K10)/1.983</f>
        <v>93.162851983797765</v>
      </c>
      <c r="L677" s="172">
        <f>(L676/L10)/1.983</f>
        <v>92.839132627332319</v>
      </c>
      <c r="M677" s="38" t="s">
        <v>852</v>
      </c>
      <c r="N677" s="172">
        <f>(N676/N10)/1.983</f>
        <v>87.095147463113889</v>
      </c>
      <c r="O677" s="172">
        <f>(O676/O10)/1.983</f>
        <v>73.474533535047897</v>
      </c>
      <c r="P677" s="172">
        <f>(P676/P10)/1.983</f>
        <v>80.393018072975124</v>
      </c>
      <c r="Q677" s="38" t="s">
        <v>852</v>
      </c>
      <c r="R677" s="38" t="s">
        <v>852</v>
      </c>
    </row>
    <row r="678" spans="1:20" ht="15.75" customHeight="1" x14ac:dyDescent="0.3">
      <c r="A678" s="234" t="s">
        <v>647</v>
      </c>
      <c r="B678" s="172">
        <f>B676</f>
        <v>538</v>
      </c>
      <c r="C678" s="172">
        <f>C676</f>
        <v>119</v>
      </c>
      <c r="D678" s="172">
        <f>D676</f>
        <v>4712</v>
      </c>
      <c r="E678" s="38">
        <f>SUM(B678:D678)</f>
        <v>5369</v>
      </c>
      <c r="F678" s="172">
        <f>F676</f>
        <v>5191</v>
      </c>
      <c r="G678" s="172">
        <f>G676</f>
        <v>6066</v>
      </c>
      <c r="H678" s="172">
        <f>H676</f>
        <v>5950</v>
      </c>
      <c r="I678" s="38">
        <f>SUM(F678:H678)</f>
        <v>17207</v>
      </c>
      <c r="J678" s="172">
        <f>J676</f>
        <v>5851</v>
      </c>
      <c r="K678" s="172">
        <f>K676</f>
        <v>5727</v>
      </c>
      <c r="L678" s="172">
        <f>L676</f>
        <v>5523</v>
      </c>
      <c r="M678" s="38">
        <f>SUM(J678:L678)</f>
        <v>17101</v>
      </c>
      <c r="N678" s="172">
        <f>N676</f>
        <v>5354</v>
      </c>
      <c r="O678" s="172">
        <f>O676</f>
        <v>4371</v>
      </c>
      <c r="P678" s="172">
        <f>P676</f>
        <v>4942</v>
      </c>
      <c r="Q678" s="38">
        <f>SUM(N678:P678)</f>
        <v>14667</v>
      </c>
      <c r="R678" s="38">
        <f>+E678+I678+M678+Q678</f>
        <v>54344</v>
      </c>
    </row>
    <row r="679" spans="1:20" ht="16.5" customHeight="1" thickBot="1" x14ac:dyDescent="0.35">
      <c r="A679" s="237" t="s">
        <v>2191</v>
      </c>
      <c r="B679" s="238">
        <f>(B678/B10)/1.983</f>
        <v>8.7518097376083812</v>
      </c>
      <c r="C679" s="238">
        <f>(C678/C10)/1.983</f>
        <v>2.1432173474533536</v>
      </c>
      <c r="D679" s="238">
        <f>(D678/D10)/1.983</f>
        <v>76.651538073625815</v>
      </c>
      <c r="E679" s="40" t="s">
        <v>852</v>
      </c>
      <c r="F679" s="238">
        <f>(F678/F10)/1.983</f>
        <v>87.258362750042025</v>
      </c>
      <c r="G679" s="238">
        <f>(G678/G10)/1.983</f>
        <v>98.677468156751743</v>
      </c>
      <c r="H679" s="238">
        <f>(H678/H10)/1.983</f>
        <v>100.01680954782316</v>
      </c>
      <c r="I679" s="40" t="s">
        <v>852</v>
      </c>
      <c r="J679" s="238">
        <f>(J678/J10)/1.983</f>
        <v>95.179997722577397</v>
      </c>
      <c r="K679" s="238">
        <f>(K678/K10)/1.983</f>
        <v>93.162851983797765</v>
      </c>
      <c r="L679" s="238">
        <f>(L678/L10)/1.983</f>
        <v>92.839132627332319</v>
      </c>
      <c r="M679" s="40" t="s">
        <v>852</v>
      </c>
      <c r="N679" s="238">
        <f>(N678/N10)/1.983</f>
        <v>87.095147463113889</v>
      </c>
      <c r="O679" s="238">
        <f>(O678/O10)/1.983</f>
        <v>73.474533535047897</v>
      </c>
      <c r="P679" s="238">
        <f>(P678/P10)/1.983</f>
        <v>80.393018072975124</v>
      </c>
      <c r="Q679" s="40" t="s">
        <v>852</v>
      </c>
      <c r="R679" s="40" t="s">
        <v>852</v>
      </c>
    </row>
    <row r="680" spans="1:20" ht="15.75" customHeight="1" x14ac:dyDescent="0.3">
      <c r="A680" s="17"/>
      <c r="B680" s="172"/>
      <c r="C680" s="172"/>
      <c r="D680" s="172"/>
      <c r="E680" s="172"/>
      <c r="F680" s="172"/>
      <c r="G680" s="172"/>
      <c r="H680" s="172"/>
      <c r="I680" s="172"/>
      <c r="J680" s="172"/>
      <c r="K680" s="172"/>
      <c r="L680" s="172"/>
      <c r="M680" s="172"/>
      <c r="N680" s="172"/>
      <c r="O680" s="172"/>
      <c r="P680" s="172"/>
      <c r="Q680" s="172"/>
      <c r="R680" s="17"/>
    </row>
    <row r="681" spans="1:20" ht="15.75" customHeight="1" thickBot="1" x14ac:dyDescent="0.35">
      <c r="A681" s="17"/>
      <c r="B681" s="172"/>
      <c r="C681" s="172"/>
      <c r="D681" s="172"/>
      <c r="E681" s="172"/>
      <c r="F681" s="172"/>
      <c r="G681" s="172"/>
      <c r="H681" s="172"/>
      <c r="I681" s="172"/>
      <c r="J681" s="172"/>
      <c r="K681" s="172"/>
      <c r="L681" s="172"/>
      <c r="M681" s="172"/>
      <c r="N681" s="172"/>
      <c r="O681" s="172"/>
      <c r="P681" s="172"/>
      <c r="Q681" s="172"/>
      <c r="R681" s="17"/>
    </row>
    <row r="682" spans="1:20" ht="16.5" customHeight="1" thickBot="1" x14ac:dyDescent="0.35">
      <c r="A682" s="278" t="s">
        <v>2192</v>
      </c>
      <c r="B682" s="4" t="s">
        <v>2090</v>
      </c>
      <c r="C682" s="5" t="s">
        <v>2091</v>
      </c>
      <c r="D682" s="5" t="s">
        <v>2234</v>
      </c>
      <c r="E682" s="33" t="s">
        <v>1594</v>
      </c>
      <c r="F682" s="5" t="s">
        <v>2235</v>
      </c>
      <c r="G682" s="5" t="s">
        <v>2236</v>
      </c>
      <c r="H682" s="5" t="s">
        <v>2237</v>
      </c>
      <c r="I682" s="35" t="s">
        <v>1595</v>
      </c>
      <c r="J682" s="5" t="s">
        <v>1504</v>
      </c>
      <c r="K682" s="5" t="s">
        <v>1505</v>
      </c>
      <c r="L682" s="5" t="s">
        <v>1506</v>
      </c>
      <c r="M682" s="35" t="s">
        <v>1596</v>
      </c>
      <c r="N682" s="5" t="s">
        <v>1507</v>
      </c>
      <c r="O682" s="5" t="s">
        <v>1508</v>
      </c>
      <c r="P682" s="5" t="s">
        <v>1509</v>
      </c>
      <c r="Q682" s="35" t="s">
        <v>1597</v>
      </c>
      <c r="R682" s="60" t="s">
        <v>1510</v>
      </c>
    </row>
    <row r="683" spans="1:20" ht="16.5" customHeight="1" thickBot="1" x14ac:dyDescent="0.35">
      <c r="A683" s="22"/>
      <c r="B683" s="242"/>
      <c r="C683" s="242"/>
      <c r="D683" s="242"/>
      <c r="E683" s="233"/>
      <c r="F683" s="242"/>
      <c r="G683" s="242"/>
      <c r="H683" s="242"/>
      <c r="I683" s="282"/>
      <c r="J683" s="242"/>
      <c r="K683" s="242"/>
      <c r="L683" s="242"/>
      <c r="M683" s="282"/>
      <c r="N683" s="242"/>
      <c r="O683" s="242"/>
      <c r="P683" s="242"/>
      <c r="Q683" s="283"/>
      <c r="R683" s="61"/>
    </row>
    <row r="684" spans="1:20" ht="15.75" customHeight="1" x14ac:dyDescent="0.3">
      <c r="A684" s="234" t="s">
        <v>2417</v>
      </c>
      <c r="B684" s="172" t="s">
        <v>852</v>
      </c>
      <c r="C684" s="172" t="s">
        <v>852</v>
      </c>
      <c r="D684" s="172" t="s">
        <v>852</v>
      </c>
      <c r="E684" s="284"/>
      <c r="F684" s="172" t="s">
        <v>852</v>
      </c>
      <c r="G684" s="172" t="s">
        <v>852</v>
      </c>
      <c r="H684" s="172" t="s">
        <v>852</v>
      </c>
      <c r="I684" s="284"/>
      <c r="J684" s="172" t="s">
        <v>852</v>
      </c>
      <c r="K684" s="172" t="s">
        <v>852</v>
      </c>
      <c r="L684" s="172" t="s">
        <v>852</v>
      </c>
      <c r="M684" s="284"/>
      <c r="N684" s="172" t="s">
        <v>852</v>
      </c>
      <c r="O684" s="172" t="s">
        <v>852</v>
      </c>
      <c r="P684" s="172" t="s">
        <v>852</v>
      </c>
      <c r="Q684" s="285"/>
      <c r="R684" s="62" t="s">
        <v>852</v>
      </c>
    </row>
    <row r="685" spans="1:20" ht="15.75" customHeight="1" x14ac:dyDescent="0.3">
      <c r="A685" s="234" t="s">
        <v>2160</v>
      </c>
      <c r="B685" s="172"/>
      <c r="C685" s="172"/>
      <c r="D685" s="172"/>
      <c r="E685" s="38" t="s">
        <v>852</v>
      </c>
      <c r="F685" s="172"/>
      <c r="G685" s="172"/>
      <c r="H685" s="172"/>
      <c r="I685" s="38" t="s">
        <v>852</v>
      </c>
      <c r="J685" s="172"/>
      <c r="K685" s="172"/>
      <c r="L685" s="172"/>
      <c r="M685" s="38" t="s">
        <v>852</v>
      </c>
      <c r="N685" s="172"/>
      <c r="O685" s="172"/>
      <c r="P685" s="172"/>
      <c r="Q685" s="38" t="s">
        <v>852</v>
      </c>
      <c r="R685" s="38" t="s">
        <v>852</v>
      </c>
    </row>
    <row r="686" spans="1:20" ht="15.75" customHeight="1" x14ac:dyDescent="0.3">
      <c r="A686" s="266" t="s">
        <v>1910</v>
      </c>
      <c r="B686" s="10"/>
      <c r="C686" s="10"/>
      <c r="D686" s="10"/>
      <c r="E686" s="38">
        <f>SUM(B686:D686)</f>
        <v>0</v>
      </c>
      <c r="F686" s="10"/>
      <c r="G686" s="10"/>
      <c r="H686" s="10"/>
      <c r="I686" s="38">
        <f>SUM(F686:H686)</f>
        <v>0</v>
      </c>
      <c r="J686" s="10"/>
      <c r="K686" s="10"/>
      <c r="L686" s="10"/>
      <c r="M686" s="38">
        <f>SUM(J686:L686)</f>
        <v>0</v>
      </c>
      <c r="N686" s="10"/>
      <c r="O686" s="10"/>
      <c r="P686" s="10"/>
      <c r="Q686" s="38">
        <f>SUM(N686:P686)</f>
        <v>0</v>
      </c>
      <c r="R686" s="38">
        <f>+E686+I686+M686+Q686</f>
        <v>0</v>
      </c>
      <c r="T686" t="s">
        <v>2765</v>
      </c>
    </row>
    <row r="687" spans="1:20" ht="15.75" customHeight="1" x14ac:dyDescent="0.3">
      <c r="A687" s="539" t="s">
        <v>604</v>
      </c>
      <c r="B687" s="172"/>
      <c r="C687" s="172"/>
      <c r="D687" s="172"/>
      <c r="E687" s="38">
        <f>SUM(B687:D687)</f>
        <v>0</v>
      </c>
      <c r="F687" s="172"/>
      <c r="G687" s="172"/>
      <c r="H687" s="172"/>
      <c r="I687" s="38">
        <f>SUM(F687:H687)</f>
        <v>0</v>
      </c>
      <c r="J687" s="172"/>
      <c r="K687" s="172"/>
      <c r="L687" s="172"/>
      <c r="M687" s="38">
        <f>SUM(J687:L687)</f>
        <v>0</v>
      </c>
      <c r="N687" s="172"/>
      <c r="O687" s="172"/>
      <c r="P687" s="172"/>
      <c r="Q687" s="38">
        <f>SUM(N687:P687)</f>
        <v>0</v>
      </c>
      <c r="R687" s="38">
        <f>+E687+I687+M687+Q687</f>
        <v>0</v>
      </c>
    </row>
    <row r="688" spans="1:20" ht="15.75" customHeight="1" x14ac:dyDescent="0.3">
      <c r="A688" s="310" t="s">
        <v>715</v>
      </c>
      <c r="B688" s="172">
        <v>1849</v>
      </c>
      <c r="C688" s="172">
        <v>2360</v>
      </c>
      <c r="D688" s="172">
        <v>1787</v>
      </c>
      <c r="E688" s="38">
        <f>SUM(B688:D688)</f>
        <v>5996</v>
      </c>
      <c r="F688" s="172">
        <v>1792</v>
      </c>
      <c r="G688" s="172">
        <v>2621</v>
      </c>
      <c r="H688" s="172">
        <v>1865</v>
      </c>
      <c r="I688" s="38">
        <f>SUM(F688:H688)</f>
        <v>6278</v>
      </c>
      <c r="J688" s="172">
        <v>3126</v>
      </c>
      <c r="K688" s="172">
        <v>2086</v>
      </c>
      <c r="L688" s="172">
        <v>952</v>
      </c>
      <c r="M688" s="38">
        <f>SUM(J688:L688)</f>
        <v>6164</v>
      </c>
      <c r="N688" s="172">
        <v>1554</v>
      </c>
      <c r="O688" s="172">
        <v>1577</v>
      </c>
      <c r="P688" s="172">
        <v>1231</v>
      </c>
      <c r="Q688" s="38">
        <f>SUM(N688:P688)</f>
        <v>4362</v>
      </c>
      <c r="R688" s="38">
        <f>+E688+I688+M688+Q688</f>
        <v>22800</v>
      </c>
    </row>
    <row r="689" spans="1:20" ht="15.75" customHeight="1" x14ac:dyDescent="0.3">
      <c r="A689" s="234" t="s">
        <v>2161</v>
      </c>
      <c r="B689" s="172"/>
      <c r="C689" s="172"/>
      <c r="D689" s="172"/>
      <c r="E689" s="38" t="s">
        <v>852</v>
      </c>
      <c r="F689" s="172"/>
      <c r="G689" s="172"/>
      <c r="H689" s="172"/>
      <c r="I689" s="38" t="s">
        <v>852</v>
      </c>
      <c r="J689" s="172"/>
      <c r="K689" s="172"/>
      <c r="L689" s="172"/>
      <c r="M689" s="38" t="s">
        <v>852</v>
      </c>
      <c r="N689" s="172"/>
      <c r="O689" s="172"/>
      <c r="P689" s="172"/>
      <c r="Q689" s="38" t="s">
        <v>852</v>
      </c>
      <c r="R689" s="38" t="s">
        <v>852</v>
      </c>
    </row>
    <row r="690" spans="1:20" ht="15.75" customHeight="1" x14ac:dyDescent="0.3">
      <c r="A690" s="234" t="s">
        <v>2162</v>
      </c>
      <c r="B690" s="172"/>
      <c r="C690" s="172"/>
      <c r="D690" s="172"/>
      <c r="E690" s="38" t="s">
        <v>852</v>
      </c>
      <c r="F690" s="172"/>
      <c r="G690" s="172"/>
      <c r="H690" s="172"/>
      <c r="I690" s="38" t="s">
        <v>852</v>
      </c>
      <c r="J690" s="172"/>
      <c r="K690" s="172"/>
      <c r="L690" s="172"/>
      <c r="M690" s="38" t="s">
        <v>852</v>
      </c>
      <c r="N690" s="172"/>
      <c r="O690" s="172"/>
      <c r="P690" s="172"/>
      <c r="Q690" s="38" t="s">
        <v>852</v>
      </c>
      <c r="R690" s="38" t="s">
        <v>852</v>
      </c>
    </row>
    <row r="691" spans="1:20" ht="15.75" customHeight="1" x14ac:dyDescent="0.3">
      <c r="A691" s="266" t="s">
        <v>447</v>
      </c>
      <c r="B691" s="172"/>
      <c r="C691" s="172"/>
      <c r="D691" s="172">
        <v>1000</v>
      </c>
      <c r="E691" s="38">
        <f>SUM(B691:D691)</f>
        <v>1000</v>
      </c>
      <c r="F691" s="172">
        <v>500</v>
      </c>
      <c r="G691" s="172"/>
      <c r="H691" s="172"/>
      <c r="I691" s="38">
        <f>SUM(F691:H691)</f>
        <v>500</v>
      </c>
      <c r="J691" s="172"/>
      <c r="K691" s="172">
        <v>210</v>
      </c>
      <c r="L691" s="172"/>
      <c r="M691" s="38">
        <f>SUM(J691:L691)</f>
        <v>210</v>
      </c>
      <c r="N691" s="172"/>
      <c r="O691" s="172"/>
      <c r="P691" s="172"/>
      <c r="Q691" s="38">
        <f>SUM(N691:P691)</f>
        <v>0</v>
      </c>
      <c r="R691" s="38">
        <f>+E691+I691+M691+Q691</f>
        <v>1710</v>
      </c>
    </row>
    <row r="692" spans="1:20" ht="15.75" customHeight="1" thickBot="1" x14ac:dyDescent="0.35">
      <c r="A692" s="234" t="s">
        <v>2164</v>
      </c>
      <c r="B692" s="172"/>
      <c r="C692" s="172"/>
      <c r="D692" s="172"/>
      <c r="E692" s="38" t="s">
        <v>852</v>
      </c>
      <c r="F692" s="172"/>
      <c r="G692" s="172"/>
      <c r="H692" s="172"/>
      <c r="I692" s="38" t="s">
        <v>852</v>
      </c>
      <c r="J692" s="172"/>
      <c r="K692" s="172"/>
      <c r="L692" s="172"/>
      <c r="M692" s="38" t="s">
        <v>852</v>
      </c>
      <c r="N692" s="172"/>
      <c r="O692" s="172"/>
      <c r="P692" s="172"/>
      <c r="Q692" s="38" t="s">
        <v>852</v>
      </c>
      <c r="R692" s="38" t="s">
        <v>852</v>
      </c>
    </row>
    <row r="693" spans="1:20" ht="16.5" customHeight="1" thickBot="1" x14ac:dyDescent="0.35">
      <c r="A693" s="43" t="s">
        <v>1218</v>
      </c>
      <c r="B693" s="45">
        <f>SUM(B684:B692)</f>
        <v>1849</v>
      </c>
      <c r="C693" s="46">
        <f>SUM(C684:C692)</f>
        <v>2360</v>
      </c>
      <c r="D693" s="46">
        <f>SUM(D684:D692)</f>
        <v>2787</v>
      </c>
      <c r="E693" s="37">
        <f>SUM(B693:D693)</f>
        <v>6996</v>
      </c>
      <c r="F693" s="46">
        <f>SUM(F684:F692)</f>
        <v>2292</v>
      </c>
      <c r="G693" s="46">
        <f>SUM(G684:G692)</f>
        <v>2621</v>
      </c>
      <c r="H693" s="46">
        <f>SUM(H684:H692)</f>
        <v>1865</v>
      </c>
      <c r="I693" s="37">
        <f>SUM(F693:H693)</f>
        <v>6778</v>
      </c>
      <c r="J693" s="46">
        <f>SUM(J684:J692)</f>
        <v>3126</v>
      </c>
      <c r="K693" s="46">
        <f>SUM(K684:K692)</f>
        <v>2296</v>
      </c>
      <c r="L693" s="46">
        <f>SUM(L684:L692)</f>
        <v>952</v>
      </c>
      <c r="M693" s="37">
        <f>SUM(J693:L693)</f>
        <v>6374</v>
      </c>
      <c r="N693" s="46">
        <f>SUM(N684:N692)</f>
        <v>1554</v>
      </c>
      <c r="O693" s="46">
        <f>SUM(O684:O692)</f>
        <v>1577</v>
      </c>
      <c r="P693" s="46">
        <f>SUM(P684:P692)</f>
        <v>1231</v>
      </c>
      <c r="Q693" s="37">
        <f>SUM(N693:P693)</f>
        <v>4362</v>
      </c>
      <c r="R693" s="37">
        <f>+E693+I693+M693+Q693</f>
        <v>24510</v>
      </c>
    </row>
    <row r="694" spans="1:20" ht="15.75" customHeight="1" x14ac:dyDescent="0.3">
      <c r="A694" s="234" t="s">
        <v>1172</v>
      </c>
      <c r="B694" s="172"/>
      <c r="C694" s="172"/>
      <c r="D694" s="172"/>
      <c r="E694" s="38" t="s">
        <v>852</v>
      </c>
      <c r="F694" s="172"/>
      <c r="G694" s="172"/>
      <c r="H694" s="172"/>
      <c r="I694" s="38" t="s">
        <v>852</v>
      </c>
      <c r="J694" s="172"/>
      <c r="K694" s="172"/>
      <c r="L694" s="172"/>
      <c r="M694" s="38" t="s">
        <v>852</v>
      </c>
      <c r="N694" s="172"/>
      <c r="O694" s="172"/>
      <c r="P694" s="172"/>
      <c r="Q694" s="38" t="s">
        <v>852</v>
      </c>
      <c r="R694" s="38" t="s">
        <v>852</v>
      </c>
    </row>
    <row r="695" spans="1:20" ht="15.75" customHeight="1" x14ac:dyDescent="0.3">
      <c r="A695" s="234" t="s">
        <v>2409</v>
      </c>
      <c r="B695" s="172"/>
      <c r="C695" s="172"/>
      <c r="D695" s="172"/>
      <c r="E695" s="38" t="s">
        <v>852</v>
      </c>
      <c r="F695" s="172"/>
      <c r="G695" s="172"/>
      <c r="H695" s="172"/>
      <c r="I695" s="38" t="s">
        <v>852</v>
      </c>
      <c r="J695" s="172"/>
      <c r="K695" s="172"/>
      <c r="L695" s="172"/>
      <c r="M695" s="38" t="s">
        <v>852</v>
      </c>
      <c r="N695" s="172"/>
      <c r="O695" s="172"/>
      <c r="P695" s="172"/>
      <c r="Q695" s="38" t="s">
        <v>852</v>
      </c>
      <c r="R695" s="38" t="s">
        <v>852</v>
      </c>
    </row>
    <row r="696" spans="1:20" ht="15.75" customHeight="1" x14ac:dyDescent="0.3">
      <c r="A696" s="539" t="s">
        <v>1648</v>
      </c>
      <c r="B696" s="172"/>
      <c r="C696" s="172"/>
      <c r="D696" s="172"/>
      <c r="E696" s="38">
        <f>SUM(B696:D696)</f>
        <v>0</v>
      </c>
      <c r="F696" s="172"/>
      <c r="G696" s="172"/>
      <c r="H696" s="172"/>
      <c r="I696" s="38">
        <f>SUM(F696:H696)</f>
        <v>0</v>
      </c>
      <c r="J696" s="172"/>
      <c r="K696" s="172"/>
      <c r="L696" s="172"/>
      <c r="M696" s="38">
        <f>SUM(J696:L696)</f>
        <v>0</v>
      </c>
      <c r="N696" s="172"/>
      <c r="O696" s="172"/>
      <c r="P696" s="172"/>
      <c r="Q696" s="38">
        <f>SUM(N696:P696)</f>
        <v>0</v>
      </c>
      <c r="R696" s="38">
        <f>+E696+I696+M696+Q696</f>
        <v>0</v>
      </c>
    </row>
    <row r="697" spans="1:20" ht="15.75" customHeight="1" thickBot="1" x14ac:dyDescent="0.35">
      <c r="A697" s="234" t="s">
        <v>2165</v>
      </c>
      <c r="B697" s="172"/>
      <c r="C697" s="172"/>
      <c r="D697" s="172"/>
      <c r="E697" s="38" t="s">
        <v>852</v>
      </c>
      <c r="F697" s="172"/>
      <c r="G697" s="172"/>
      <c r="H697" s="172"/>
      <c r="I697" s="38" t="s">
        <v>852</v>
      </c>
      <c r="J697" s="172"/>
      <c r="K697" s="172"/>
      <c r="L697" s="172"/>
      <c r="M697" s="38" t="s">
        <v>852</v>
      </c>
      <c r="N697" s="172"/>
      <c r="O697" s="172"/>
      <c r="P697" s="172"/>
      <c r="Q697" s="38" t="s">
        <v>852</v>
      </c>
      <c r="R697" s="38" t="s">
        <v>852</v>
      </c>
    </row>
    <row r="698" spans="1:20" ht="16.5" customHeight="1" thickBot="1" x14ac:dyDescent="0.35">
      <c r="A698" s="43" t="s">
        <v>1219</v>
      </c>
      <c r="B698" s="45">
        <f>SUM(B694:B697)</f>
        <v>0</v>
      </c>
      <c r="C698" s="46">
        <f>SUM(C694:C697)</f>
        <v>0</v>
      </c>
      <c r="D698" s="46">
        <f>SUM(D694:D697)</f>
        <v>0</v>
      </c>
      <c r="E698" s="37">
        <f>SUM(B698:D698)</f>
        <v>0</v>
      </c>
      <c r="F698" s="46">
        <f>SUM(F694:F697)</f>
        <v>0</v>
      </c>
      <c r="G698" s="46">
        <f>SUM(G694:G697)</f>
        <v>0</v>
      </c>
      <c r="H698" s="46">
        <f>SUM(H694:H697)</f>
        <v>0</v>
      </c>
      <c r="I698" s="37">
        <f>SUM(F698:H698)</f>
        <v>0</v>
      </c>
      <c r="J698" s="46">
        <f>SUM(J694:J697)</f>
        <v>0</v>
      </c>
      <c r="K698" s="46">
        <f>SUM(K694:K697)</f>
        <v>0</v>
      </c>
      <c r="L698" s="46">
        <f>SUM(L694:L697)</f>
        <v>0</v>
      </c>
      <c r="M698" s="37">
        <f>SUM(J698:L698)</f>
        <v>0</v>
      </c>
      <c r="N698" s="46">
        <f>SUM(N694:N697)</f>
        <v>0</v>
      </c>
      <c r="O698" s="46">
        <f>SUM(O694:O697)</f>
        <v>0</v>
      </c>
      <c r="P698" s="46">
        <f>SUM(P694:P697)</f>
        <v>0</v>
      </c>
      <c r="Q698" s="37">
        <f>SUM(N698:P698)</f>
        <v>0</v>
      </c>
      <c r="R698" s="37">
        <f>+E698+I698+M698+Q698</f>
        <v>0</v>
      </c>
    </row>
    <row r="699" spans="1:20" ht="15.75" customHeight="1" x14ac:dyDescent="0.3">
      <c r="A699" s="234" t="s">
        <v>2166</v>
      </c>
      <c r="B699" s="172"/>
      <c r="C699" s="172"/>
      <c r="D699" s="172"/>
      <c r="E699" s="38" t="s">
        <v>852</v>
      </c>
      <c r="F699" s="172"/>
      <c r="G699" s="172"/>
      <c r="H699" s="172"/>
      <c r="I699" s="38" t="s">
        <v>852</v>
      </c>
      <c r="J699" s="172" t="s">
        <v>852</v>
      </c>
      <c r="K699" s="172"/>
      <c r="L699" s="172"/>
      <c r="M699" s="38" t="s">
        <v>852</v>
      </c>
      <c r="N699" s="172"/>
      <c r="O699" s="172"/>
      <c r="P699" s="172"/>
      <c r="Q699" s="38" t="s">
        <v>852</v>
      </c>
      <c r="R699" s="38" t="s">
        <v>852</v>
      </c>
    </row>
    <row r="700" spans="1:20" ht="18" customHeight="1" x14ac:dyDescent="0.3">
      <c r="A700" s="234" t="s">
        <v>1245</v>
      </c>
      <c r="B700" s="172"/>
      <c r="C700" s="172"/>
      <c r="D700" s="172"/>
      <c r="E700" s="38" t="s">
        <v>852</v>
      </c>
      <c r="F700" s="172"/>
      <c r="G700" s="172"/>
      <c r="H700" s="172"/>
      <c r="I700" s="38" t="s">
        <v>852</v>
      </c>
      <c r="J700" s="172"/>
      <c r="K700" s="172"/>
      <c r="L700" s="172"/>
      <c r="M700" s="38" t="s">
        <v>852</v>
      </c>
      <c r="N700" s="172"/>
      <c r="O700" s="172"/>
      <c r="P700" s="172"/>
      <c r="Q700" s="38" t="s">
        <v>852</v>
      </c>
      <c r="R700" s="38" t="s">
        <v>852</v>
      </c>
    </row>
    <row r="701" spans="1:20" ht="15.75" customHeight="1" x14ac:dyDescent="0.3">
      <c r="A701" s="539" t="s">
        <v>2750</v>
      </c>
      <c r="B701" s="172">
        <v>307</v>
      </c>
      <c r="C701" s="172">
        <v>139</v>
      </c>
      <c r="D701" s="172">
        <v>589</v>
      </c>
      <c r="E701" s="38">
        <f>SUM(B701:D701)</f>
        <v>1035</v>
      </c>
      <c r="F701" s="172">
        <v>893</v>
      </c>
      <c r="G701" s="172">
        <v>1088</v>
      </c>
      <c r="H701" s="172">
        <v>1079</v>
      </c>
      <c r="I701" s="38">
        <f>SUM(F701:H701)</f>
        <v>3060</v>
      </c>
      <c r="J701" s="172">
        <v>769</v>
      </c>
      <c r="K701" s="172">
        <v>933</v>
      </c>
      <c r="L701" s="172">
        <v>903</v>
      </c>
      <c r="M701" s="38">
        <f>SUM(J701:L701)</f>
        <v>2605</v>
      </c>
      <c r="N701" s="172">
        <v>679</v>
      </c>
      <c r="O701" s="172">
        <v>288</v>
      </c>
      <c r="P701" s="172">
        <v>211</v>
      </c>
      <c r="Q701" s="38">
        <f>SUM(N701:P701)</f>
        <v>1178</v>
      </c>
      <c r="R701" s="38">
        <f>+E701+I701+M701+Q701</f>
        <v>7878</v>
      </c>
      <c r="T701" t="s">
        <v>2805</v>
      </c>
    </row>
    <row r="702" spans="1:20" ht="15.75" customHeight="1" x14ac:dyDescent="0.3">
      <c r="A702" s="539" t="s">
        <v>2702</v>
      </c>
      <c r="B702" s="172"/>
      <c r="C702" s="172"/>
      <c r="D702" s="172"/>
      <c r="E702" s="38">
        <f>SUM(B702:D702)</f>
        <v>0</v>
      </c>
      <c r="F702" s="172"/>
      <c r="G702" s="172"/>
      <c r="H702" s="172"/>
      <c r="I702" s="38">
        <f>SUM(F702:H702)</f>
        <v>0</v>
      </c>
      <c r="J702" s="172"/>
      <c r="K702" s="172"/>
      <c r="L702" s="172"/>
      <c r="M702" s="38">
        <f>SUM(J702:L702)</f>
        <v>0</v>
      </c>
      <c r="N702" s="172"/>
      <c r="O702" s="172"/>
      <c r="P702" s="172"/>
      <c r="Q702" s="38">
        <f>SUM(N702:P702)</f>
        <v>0</v>
      </c>
      <c r="R702" s="38">
        <f>+E702+I702+M702+Q702</f>
        <v>0</v>
      </c>
    </row>
    <row r="703" spans="1:20" ht="15.75" customHeight="1" x14ac:dyDescent="0.3">
      <c r="A703" s="234" t="s">
        <v>1711</v>
      </c>
      <c r="B703" s="172"/>
      <c r="C703" s="172"/>
      <c r="D703" s="172"/>
      <c r="E703" s="38" t="s">
        <v>852</v>
      </c>
      <c r="F703" s="172"/>
      <c r="G703" s="172"/>
      <c r="H703" s="172"/>
      <c r="I703" s="38" t="s">
        <v>852</v>
      </c>
      <c r="J703" s="172"/>
      <c r="K703" s="172"/>
      <c r="L703" s="172"/>
      <c r="M703" s="38" t="s">
        <v>852</v>
      </c>
      <c r="N703" s="172"/>
      <c r="O703" s="172"/>
      <c r="P703" s="172"/>
      <c r="Q703" s="38" t="s">
        <v>852</v>
      </c>
      <c r="R703" s="38" t="s">
        <v>852</v>
      </c>
    </row>
    <row r="704" spans="1:20" ht="15.75" customHeight="1" x14ac:dyDescent="0.3">
      <c r="A704" s="539" t="s">
        <v>2749</v>
      </c>
      <c r="B704" s="172">
        <v>14</v>
      </c>
      <c r="C704" s="172">
        <v>21</v>
      </c>
      <c r="D704" s="172">
        <v>53</v>
      </c>
      <c r="E704" s="38">
        <f>SUM(B704:D704)</f>
        <v>88</v>
      </c>
      <c r="F704" s="172">
        <v>73</v>
      </c>
      <c r="G704" s="172">
        <v>91</v>
      </c>
      <c r="H704" s="172">
        <v>111</v>
      </c>
      <c r="I704" s="38">
        <f>SUM(F704:H704)</f>
        <v>275</v>
      </c>
      <c r="J704" s="172">
        <v>259</v>
      </c>
      <c r="K704" s="172">
        <v>50</v>
      </c>
      <c r="L704" s="172">
        <v>76</v>
      </c>
      <c r="M704" s="38">
        <f>SUM(J704:L704)</f>
        <v>385</v>
      </c>
      <c r="N704" s="172">
        <v>66</v>
      </c>
      <c r="O704" s="172">
        <v>48</v>
      </c>
      <c r="P704" s="172">
        <v>121</v>
      </c>
      <c r="Q704" s="38">
        <f>SUM(N704:P704)</f>
        <v>235</v>
      </c>
      <c r="R704" s="38">
        <f>+E704+I704+M704+Q704</f>
        <v>983</v>
      </c>
      <c r="T704" t="s">
        <v>2785</v>
      </c>
    </row>
    <row r="705" spans="1:20" ht="15.75" customHeight="1" x14ac:dyDescent="0.3">
      <c r="A705" s="310" t="s">
        <v>783</v>
      </c>
      <c r="B705" s="172"/>
      <c r="C705" s="172"/>
      <c r="D705" s="172"/>
      <c r="E705" s="38">
        <f>SUM(B705:D705)</f>
        <v>0</v>
      </c>
      <c r="F705" s="172"/>
      <c r="G705" s="172"/>
      <c r="H705" s="172"/>
      <c r="I705" s="38">
        <f>SUM(F705:H705)</f>
        <v>0</v>
      </c>
      <c r="J705" s="172"/>
      <c r="K705" s="172"/>
      <c r="L705" s="172"/>
      <c r="M705" s="38">
        <f>SUM(J705:L705)</f>
        <v>0</v>
      </c>
      <c r="N705" s="172"/>
      <c r="O705" s="172"/>
      <c r="P705" s="172"/>
      <c r="Q705" s="38">
        <f>SUM(N705:P705)</f>
        <v>0</v>
      </c>
      <c r="R705" s="38">
        <f>+E705+I705+M705+Q705</f>
        <v>0</v>
      </c>
      <c r="T705" t="s">
        <v>2765</v>
      </c>
    </row>
    <row r="706" spans="1:20" ht="15.75" customHeight="1" thickBot="1" x14ac:dyDescent="0.35">
      <c r="A706" s="539" t="s">
        <v>2540</v>
      </c>
      <c r="B706" s="172">
        <v>647</v>
      </c>
      <c r="C706" s="172">
        <v>492</v>
      </c>
      <c r="D706" s="172">
        <v>550</v>
      </c>
      <c r="E706" s="38">
        <f>SUM(B706:D706)</f>
        <v>1689</v>
      </c>
      <c r="F706" s="172">
        <v>587</v>
      </c>
      <c r="G706" s="172">
        <v>594</v>
      </c>
      <c r="H706" s="172">
        <v>612</v>
      </c>
      <c r="I706" s="38">
        <f>SUM(F706:H706)</f>
        <v>1793</v>
      </c>
      <c r="J706" s="172">
        <v>856</v>
      </c>
      <c r="K706" s="172">
        <v>529</v>
      </c>
      <c r="L706" s="172">
        <v>772</v>
      </c>
      <c r="M706" s="38">
        <f>SUM(J706:L706)</f>
        <v>2157</v>
      </c>
      <c r="N706" s="172">
        <v>218</v>
      </c>
      <c r="O706" s="172">
        <v>181</v>
      </c>
      <c r="P706" s="172">
        <v>509</v>
      </c>
      <c r="Q706" s="38">
        <f>SUM(N706:P706)</f>
        <v>908</v>
      </c>
      <c r="R706" s="38">
        <f>+E706+I706+M706+Q706</f>
        <v>6547</v>
      </c>
      <c r="T706" t="s">
        <v>2806</v>
      </c>
    </row>
    <row r="707" spans="1:20" ht="16.5" customHeight="1" thickBot="1" x14ac:dyDescent="0.35">
      <c r="A707" s="43" t="s">
        <v>1220</v>
      </c>
      <c r="B707" s="45">
        <f>SUM(B699:B706)</f>
        <v>968</v>
      </c>
      <c r="C707" s="46">
        <f>SUM(C699:C706)</f>
        <v>652</v>
      </c>
      <c r="D707" s="46">
        <f>SUM(D699:D706)</f>
        <v>1192</v>
      </c>
      <c r="E707" s="37">
        <f>SUM(B707:D707)</f>
        <v>2812</v>
      </c>
      <c r="F707" s="46">
        <f>SUM(F699:F706)</f>
        <v>1553</v>
      </c>
      <c r="G707" s="46">
        <f>SUM(G699:G706)</f>
        <v>1773</v>
      </c>
      <c r="H707" s="46">
        <f>SUM(H699:H706)</f>
        <v>1802</v>
      </c>
      <c r="I707" s="37">
        <f>SUM(F707:H707)</f>
        <v>5128</v>
      </c>
      <c r="J707" s="46">
        <f>SUM(J699:J706)</f>
        <v>1884</v>
      </c>
      <c r="K707" s="46">
        <f>SUM(K699:K706)</f>
        <v>1512</v>
      </c>
      <c r="L707" s="46">
        <f>SUM(L699:L706)</f>
        <v>1751</v>
      </c>
      <c r="M707" s="37">
        <f>SUM(J707:L707)</f>
        <v>5147</v>
      </c>
      <c r="N707" s="46">
        <f>SUM(N699:N706)</f>
        <v>963</v>
      </c>
      <c r="O707" s="46">
        <f>SUM(O699:O706)</f>
        <v>517</v>
      </c>
      <c r="P707" s="46">
        <f>SUM(P699:P706)</f>
        <v>841</v>
      </c>
      <c r="Q707" s="37">
        <f>SUM(N707:P707)</f>
        <v>2321</v>
      </c>
      <c r="R707" s="37">
        <f>+E707+I707+M707+Q707</f>
        <v>15408</v>
      </c>
    </row>
    <row r="708" spans="1:20" ht="15.75" customHeight="1" x14ac:dyDescent="0.3">
      <c r="A708" s="234" t="s">
        <v>1712</v>
      </c>
      <c r="B708" s="172"/>
      <c r="C708" s="172"/>
      <c r="D708" s="172"/>
      <c r="E708" s="38" t="s">
        <v>852</v>
      </c>
      <c r="F708" s="172"/>
      <c r="G708" s="172"/>
      <c r="H708" s="172"/>
      <c r="I708" s="38" t="s">
        <v>852</v>
      </c>
      <c r="J708" s="172"/>
      <c r="K708" s="172"/>
      <c r="L708" s="172"/>
      <c r="M708" s="38" t="s">
        <v>852</v>
      </c>
      <c r="N708" s="172"/>
      <c r="O708" s="172"/>
      <c r="P708" s="172"/>
      <c r="Q708" s="38" t="s">
        <v>852</v>
      </c>
      <c r="R708" s="38" t="s">
        <v>852</v>
      </c>
    </row>
    <row r="709" spans="1:20" ht="15.75" customHeight="1" x14ac:dyDescent="0.3">
      <c r="A709" s="234" t="s">
        <v>1021</v>
      </c>
      <c r="B709" s="172"/>
      <c r="C709" s="172"/>
      <c r="D709" s="172"/>
      <c r="E709" s="38" t="s">
        <v>852</v>
      </c>
      <c r="F709" s="172"/>
      <c r="G709" s="172"/>
      <c r="H709" s="172"/>
      <c r="I709" s="38" t="s">
        <v>852</v>
      </c>
      <c r="J709" s="172"/>
      <c r="K709" s="172"/>
      <c r="L709" s="172"/>
      <c r="M709" s="38" t="s">
        <v>852</v>
      </c>
      <c r="N709" s="172"/>
      <c r="O709" s="172"/>
      <c r="P709" s="172"/>
      <c r="Q709" s="38" t="s">
        <v>852</v>
      </c>
      <c r="R709" s="38" t="s">
        <v>852</v>
      </c>
    </row>
    <row r="710" spans="1:20" ht="15.75" customHeight="1" x14ac:dyDescent="0.3">
      <c r="A710" s="266" t="s">
        <v>447</v>
      </c>
      <c r="B710" s="172"/>
      <c r="C710" s="172"/>
      <c r="D710" s="172"/>
      <c r="E710" s="38">
        <f>SUM(B710:D710)</f>
        <v>0</v>
      </c>
      <c r="F710" s="172"/>
      <c r="G710" s="172"/>
      <c r="H710" s="172"/>
      <c r="I710" s="38">
        <f>SUM(F710:H710)</f>
        <v>0</v>
      </c>
      <c r="J710" s="172"/>
      <c r="K710" s="172">
        <v>500</v>
      </c>
      <c r="L710" s="172"/>
      <c r="M710" s="38">
        <f>SUM(J710:L710)</f>
        <v>500</v>
      </c>
      <c r="N710" s="172">
        <v>230</v>
      </c>
      <c r="O710" s="172"/>
      <c r="P710" s="172">
        <v>450</v>
      </c>
      <c r="Q710" s="38">
        <f>SUM(N710:P710)</f>
        <v>680</v>
      </c>
      <c r="R710" s="38">
        <f>+E710+I710+M710+Q710</f>
        <v>1180</v>
      </c>
    </row>
    <row r="711" spans="1:20" ht="15.75" customHeight="1" x14ac:dyDescent="0.3">
      <c r="A711" s="266" t="s">
        <v>2392</v>
      </c>
      <c r="B711" s="172"/>
      <c r="C711" s="172"/>
      <c r="D711" s="172"/>
      <c r="E711" s="38">
        <f>SUM(B711:D711)</f>
        <v>0</v>
      </c>
      <c r="F711" s="172"/>
      <c r="G711" s="172"/>
      <c r="H711" s="172"/>
      <c r="I711" s="38">
        <f>SUM(F711:H711)</f>
        <v>0</v>
      </c>
      <c r="J711" s="172"/>
      <c r="K711" s="172"/>
      <c r="L711" s="172"/>
      <c r="M711" s="38">
        <f>SUM(J711:L711)</f>
        <v>0</v>
      </c>
      <c r="N711" s="172"/>
      <c r="O711" s="172"/>
      <c r="P711" s="172"/>
      <c r="Q711" s="38">
        <f>SUM(N711:P711)</f>
        <v>0</v>
      </c>
      <c r="R711" s="38">
        <f>+E711+I711+M711+Q711</f>
        <v>0</v>
      </c>
    </row>
    <row r="712" spans="1:20" ht="15.75" customHeight="1" x14ac:dyDescent="0.3">
      <c r="A712" s="234" t="s">
        <v>557</v>
      </c>
      <c r="B712" s="172"/>
      <c r="C712" s="172"/>
      <c r="D712" s="172"/>
      <c r="E712" s="38" t="s">
        <v>852</v>
      </c>
      <c r="F712" s="172"/>
      <c r="G712" s="172"/>
      <c r="H712" s="172"/>
      <c r="I712" s="38" t="s">
        <v>852</v>
      </c>
      <c r="J712" s="172"/>
      <c r="K712" s="172"/>
      <c r="L712" s="172"/>
      <c r="M712" s="38" t="s">
        <v>852</v>
      </c>
      <c r="N712" s="172"/>
      <c r="O712" s="172"/>
      <c r="P712" s="172"/>
      <c r="Q712" s="38" t="s">
        <v>852</v>
      </c>
      <c r="R712" s="38" t="s">
        <v>852</v>
      </c>
    </row>
    <row r="713" spans="1:20" ht="15.75" customHeight="1" x14ac:dyDescent="0.3">
      <c r="A713" s="539" t="s">
        <v>2589</v>
      </c>
      <c r="B713" s="172"/>
      <c r="C713" s="172"/>
      <c r="D713" s="172"/>
      <c r="E713" s="38">
        <f>SUM(B713:D713)</f>
        <v>0</v>
      </c>
      <c r="F713" s="172"/>
      <c r="G713" s="172"/>
      <c r="H713" s="172"/>
      <c r="I713" s="38">
        <f>SUM(F713:H713)</f>
        <v>0</v>
      </c>
      <c r="J713" s="172"/>
      <c r="K713" s="172"/>
      <c r="L713" s="172">
        <v>800</v>
      </c>
      <c r="M713" s="38">
        <f>SUM(J713:L713)</f>
        <v>800</v>
      </c>
      <c r="N713" s="172">
        <v>500</v>
      </c>
      <c r="O713" s="172"/>
      <c r="P713" s="172">
        <v>767</v>
      </c>
      <c r="Q713" s="38">
        <f>SUM(N713:P713)</f>
        <v>1267</v>
      </c>
      <c r="R713" s="38">
        <f>+E713+I713+M713+Q713</f>
        <v>2067</v>
      </c>
    </row>
    <row r="714" spans="1:20" ht="15.75" customHeight="1" x14ac:dyDescent="0.3">
      <c r="A714" s="539" t="s">
        <v>2590</v>
      </c>
      <c r="B714" s="172"/>
      <c r="C714" s="172"/>
      <c r="D714" s="172"/>
      <c r="E714" s="38">
        <f>SUM(B714:D714)</f>
        <v>0</v>
      </c>
      <c r="F714" s="172"/>
      <c r="G714" s="172"/>
      <c r="H714" s="172"/>
      <c r="I714" s="38">
        <f>SUM(F714:H714)</f>
        <v>0</v>
      </c>
      <c r="J714" s="172"/>
      <c r="K714" s="172"/>
      <c r="L714" s="172"/>
      <c r="M714" s="38">
        <f>SUM(J714:L714)</f>
        <v>0</v>
      </c>
      <c r="N714" s="172"/>
      <c r="O714" s="172"/>
      <c r="P714" s="172"/>
      <c r="Q714" s="38">
        <f>SUM(N714:P714)</f>
        <v>0</v>
      </c>
      <c r="R714" s="38">
        <f>+E714+I714+M714+Q714</f>
        <v>0</v>
      </c>
    </row>
    <row r="715" spans="1:20" ht="15.75" customHeight="1" x14ac:dyDescent="0.3">
      <c r="A715" s="234" t="s">
        <v>1022</v>
      </c>
      <c r="B715" s="172"/>
      <c r="C715" s="172"/>
      <c r="D715" s="172"/>
      <c r="E715" s="38" t="s">
        <v>852</v>
      </c>
      <c r="F715" s="172"/>
      <c r="G715" s="172"/>
      <c r="H715" s="172"/>
      <c r="I715" s="38" t="s">
        <v>852</v>
      </c>
      <c r="J715" s="172"/>
      <c r="K715" s="172"/>
      <c r="L715" s="172"/>
      <c r="M715" s="38" t="s">
        <v>852</v>
      </c>
      <c r="N715" s="172"/>
      <c r="O715" s="172"/>
      <c r="P715" s="172"/>
      <c r="Q715" s="38" t="s">
        <v>852</v>
      </c>
      <c r="R715" s="38" t="s">
        <v>852</v>
      </c>
    </row>
    <row r="716" spans="1:20" ht="15.75" customHeight="1" thickBot="1" x14ac:dyDescent="0.35">
      <c r="A716" s="234" t="s">
        <v>559</v>
      </c>
      <c r="B716" s="172"/>
      <c r="C716" s="172"/>
      <c r="D716" s="172"/>
      <c r="E716" s="38" t="s">
        <v>852</v>
      </c>
      <c r="F716" s="172"/>
      <c r="G716" s="172"/>
      <c r="H716" s="172"/>
      <c r="I716" s="38" t="s">
        <v>852</v>
      </c>
      <c r="J716" s="172"/>
      <c r="K716" s="172"/>
      <c r="L716" s="172"/>
      <c r="M716" s="38" t="s">
        <v>852</v>
      </c>
      <c r="N716" s="172"/>
      <c r="O716" s="172"/>
      <c r="P716" s="172"/>
      <c r="Q716" s="38" t="s">
        <v>852</v>
      </c>
      <c r="R716" s="38" t="s">
        <v>852</v>
      </c>
    </row>
    <row r="717" spans="1:20" ht="16.5" customHeight="1" thickBot="1" x14ac:dyDescent="0.35">
      <c r="A717" s="43" t="s">
        <v>1019</v>
      </c>
      <c r="B717" s="42">
        <f>SUM(B715:B716)</f>
        <v>0</v>
      </c>
      <c r="C717" s="42">
        <f>SUM(C715:C716)</f>
        <v>0</v>
      </c>
      <c r="D717" s="42">
        <f>SUM(D715:D716)</f>
        <v>0</v>
      </c>
      <c r="E717" s="39">
        <f>SUM(B717:D717)</f>
        <v>0</v>
      </c>
      <c r="F717" s="42">
        <f>SUM(F715:F716)</f>
        <v>0</v>
      </c>
      <c r="G717" s="42">
        <f>SUM(G715:G716)</f>
        <v>0</v>
      </c>
      <c r="H717" s="42">
        <f>SUM(H715:H716)</f>
        <v>0</v>
      </c>
      <c r="I717" s="39">
        <f>SUM(F717:H717)</f>
        <v>0</v>
      </c>
      <c r="J717" s="42">
        <f>SUM(J715:J716)</f>
        <v>0</v>
      </c>
      <c r="K717" s="42">
        <f>SUM(K715:K716)</f>
        <v>0</v>
      </c>
      <c r="L717" s="42">
        <f>SUM(L715:L716)</f>
        <v>0</v>
      </c>
      <c r="M717" s="39">
        <f>SUM(J717:L717)</f>
        <v>0</v>
      </c>
      <c r="N717" s="42">
        <f>SUM(N715:N716)</f>
        <v>0</v>
      </c>
      <c r="O717" s="42">
        <f>SUM(O715:O716)</f>
        <v>0</v>
      </c>
      <c r="P717" s="42">
        <f>SUM(P715:P716)</f>
        <v>0</v>
      </c>
      <c r="Q717" s="39">
        <f>SUM(N717:P717)</f>
        <v>0</v>
      </c>
      <c r="R717" s="37">
        <f>+E717+I717+M717+Q717</f>
        <v>0</v>
      </c>
    </row>
    <row r="718" spans="1:20" ht="16.5" customHeight="1" thickBot="1" x14ac:dyDescent="0.35">
      <c r="A718" s="43" t="s">
        <v>1221</v>
      </c>
      <c r="B718" s="45">
        <f>SUM(B708:B716)</f>
        <v>0</v>
      </c>
      <c r="C718" s="46">
        <f>SUM(C708:C716)</f>
        <v>0</v>
      </c>
      <c r="D718" s="58">
        <f>SUM(D708:D716)</f>
        <v>0</v>
      </c>
      <c r="E718" s="39">
        <f>SUM(B718:D718)</f>
        <v>0</v>
      </c>
      <c r="F718" s="46">
        <f>SUM(F708:F716)</f>
        <v>0</v>
      </c>
      <c r="G718" s="46">
        <f>SUM(G708:G716)</f>
        <v>0</v>
      </c>
      <c r="H718" s="46">
        <f>SUM(H708:H716)</f>
        <v>0</v>
      </c>
      <c r="I718" s="39">
        <f>SUM(F718:H718)</f>
        <v>0</v>
      </c>
      <c r="J718" s="46">
        <f>SUM(J708:J716)</f>
        <v>0</v>
      </c>
      <c r="K718" s="46">
        <f>SUM(K708:K716)</f>
        <v>500</v>
      </c>
      <c r="L718" s="46">
        <f>SUM(L708:L716)</f>
        <v>800</v>
      </c>
      <c r="M718" s="39">
        <f>SUM(J718:L718)</f>
        <v>1300</v>
      </c>
      <c r="N718" s="46">
        <f>SUM(N708:N716)</f>
        <v>730</v>
      </c>
      <c r="O718" s="46">
        <f>SUM(O708:O716)</f>
        <v>0</v>
      </c>
      <c r="P718" s="46">
        <f>SUM(P708:P716)</f>
        <v>1217</v>
      </c>
      <c r="Q718" s="39">
        <f>SUM(N718:P718)</f>
        <v>1947</v>
      </c>
      <c r="R718" s="37">
        <f>+E718+I718+M718+Q718</f>
        <v>3247</v>
      </c>
    </row>
    <row r="719" spans="1:20" ht="16.5" customHeight="1" thickBot="1" x14ac:dyDescent="0.35">
      <c r="A719" s="43" t="s">
        <v>1222</v>
      </c>
      <c r="B719" s="47">
        <f>+B693+B698+B707+B718</f>
        <v>2817</v>
      </c>
      <c r="C719" s="42">
        <f>+C693+C698+C707+C718</f>
        <v>3012</v>
      </c>
      <c r="D719" s="42">
        <f>+D693+D698+D707+D718</f>
        <v>3979</v>
      </c>
      <c r="E719" s="37">
        <f>SUM(B719:D719)</f>
        <v>9808</v>
      </c>
      <c r="F719" s="42">
        <f>+F693+F698+F707+F718</f>
        <v>3845</v>
      </c>
      <c r="G719" s="42">
        <f>+G693+G698+G707+G718</f>
        <v>4394</v>
      </c>
      <c r="H719" s="42">
        <f>+H693+H698+H707+H718</f>
        <v>3667</v>
      </c>
      <c r="I719" s="37">
        <f>SUM(F719:H719)</f>
        <v>11906</v>
      </c>
      <c r="J719" s="42">
        <f>+J693+J698+J707+J718</f>
        <v>5010</v>
      </c>
      <c r="K719" s="42">
        <f>+K693+K698+K707+K718</f>
        <v>4308</v>
      </c>
      <c r="L719" s="42">
        <f>+L693+L698+L707+L718</f>
        <v>3503</v>
      </c>
      <c r="M719" s="37">
        <f>SUM(J719:L719)</f>
        <v>12821</v>
      </c>
      <c r="N719" s="42">
        <f>+N693+N698+N707+N718</f>
        <v>3247</v>
      </c>
      <c r="O719" s="42">
        <f>+O693+O698+O707+O718</f>
        <v>2094</v>
      </c>
      <c r="P719" s="42">
        <f>+P693+P698+P707+P718</f>
        <v>3289</v>
      </c>
      <c r="Q719" s="37">
        <f>SUM(N719:P719)</f>
        <v>8630</v>
      </c>
      <c r="R719" s="40">
        <f>+E719+I719+M719+Q719</f>
        <v>43165</v>
      </c>
    </row>
    <row r="720" spans="1:20" ht="16.5" customHeight="1" thickBot="1" x14ac:dyDescent="0.35">
      <c r="A720" s="244" t="s">
        <v>853</v>
      </c>
      <c r="B720" s="238">
        <v>11</v>
      </c>
      <c r="C720" s="238">
        <v>13</v>
      </c>
      <c r="D720" s="238">
        <v>17</v>
      </c>
      <c r="E720" s="38">
        <f>SUM(B720:D720)</f>
        <v>41</v>
      </c>
      <c r="F720" s="238">
        <v>21</v>
      </c>
      <c r="G720" s="238">
        <v>23</v>
      </c>
      <c r="H720" s="238">
        <v>25</v>
      </c>
      <c r="I720" s="38">
        <f>SUM(F720:H720)</f>
        <v>69</v>
      </c>
      <c r="J720" s="238">
        <v>25</v>
      </c>
      <c r="K720" s="238">
        <v>21</v>
      </c>
      <c r="L720" s="238">
        <v>19</v>
      </c>
      <c r="M720" s="38">
        <f>SUM(J720:L720)</f>
        <v>65</v>
      </c>
      <c r="N720" s="238">
        <v>17</v>
      </c>
      <c r="O720" s="238">
        <v>13</v>
      </c>
      <c r="P720" s="238">
        <v>11</v>
      </c>
      <c r="Q720" s="38">
        <f>SUM(N720:P720)</f>
        <v>41</v>
      </c>
      <c r="R720" s="38">
        <f>+E720+I720+M720+Q720</f>
        <v>216</v>
      </c>
    </row>
    <row r="721" spans="1:18" ht="16.5" customHeight="1" thickBot="1" x14ac:dyDescent="0.35">
      <c r="A721" s="22"/>
      <c r="B721" s="242"/>
      <c r="C721" s="242"/>
      <c r="D721" s="242"/>
      <c r="E721" s="37" t="s">
        <v>852</v>
      </c>
      <c r="F721" s="242"/>
      <c r="G721" s="242"/>
      <c r="H721" s="242"/>
      <c r="I721" s="37" t="s">
        <v>852</v>
      </c>
      <c r="J721" s="242"/>
      <c r="K721" s="242"/>
      <c r="L721" s="242"/>
      <c r="M721" s="37" t="s">
        <v>852</v>
      </c>
      <c r="N721" s="242"/>
      <c r="O721" s="242"/>
      <c r="P721" s="242"/>
      <c r="Q721" s="37" t="s">
        <v>852</v>
      </c>
      <c r="R721" s="37" t="s">
        <v>852</v>
      </c>
    </row>
    <row r="722" spans="1:18" ht="15.75" customHeight="1" x14ac:dyDescent="0.3">
      <c r="A722" s="234" t="s">
        <v>2011</v>
      </c>
      <c r="B722" s="172">
        <f>SUM(B719:B720)</f>
        <v>2828</v>
      </c>
      <c r="C722" s="172">
        <f>SUM(C719:C720)</f>
        <v>3025</v>
      </c>
      <c r="D722" s="172">
        <f>SUM(D719:D720)</f>
        <v>3996</v>
      </c>
      <c r="E722" s="39">
        <f>SUM(B722:D722)</f>
        <v>9849</v>
      </c>
      <c r="F722" s="172">
        <f>SUM(F719:F720)</f>
        <v>3866</v>
      </c>
      <c r="G722" s="172">
        <f>SUM(G719:G720)</f>
        <v>4417</v>
      </c>
      <c r="H722" s="172">
        <f>SUM(H719:H720)</f>
        <v>3692</v>
      </c>
      <c r="I722" s="39">
        <f>SUM(F722:H722)</f>
        <v>11975</v>
      </c>
      <c r="J722" s="172">
        <f>SUM(J719:J720)</f>
        <v>5035</v>
      </c>
      <c r="K722" s="172">
        <f>SUM(K719:K720)</f>
        <v>4329</v>
      </c>
      <c r="L722" s="172">
        <f>SUM(L719:L720)</f>
        <v>3522</v>
      </c>
      <c r="M722" s="39">
        <f>SUM(J722:L722)</f>
        <v>12886</v>
      </c>
      <c r="N722" s="172">
        <f>SUM(N719:N720)</f>
        <v>3264</v>
      </c>
      <c r="O722" s="172">
        <f>SUM(O719:O720)</f>
        <v>2107</v>
      </c>
      <c r="P722" s="172">
        <f>SUM(P719:P720)</f>
        <v>3300</v>
      </c>
      <c r="Q722" s="39">
        <f>SUM(N722:P722)</f>
        <v>8671</v>
      </c>
      <c r="R722" s="39">
        <f>+E722+I722+M722+Q722</f>
        <v>43381</v>
      </c>
    </row>
    <row r="723" spans="1:18" ht="15.75" customHeight="1" x14ac:dyDescent="0.3">
      <c r="A723" s="234" t="s">
        <v>1897</v>
      </c>
      <c r="B723" s="172">
        <f>(B722/B10)/1.983</f>
        <v>46.003936687651482</v>
      </c>
      <c r="C723" s="172">
        <f>(C722/C10)/1.983</f>
        <v>54.480945176860459</v>
      </c>
      <c r="D723" s="172">
        <f>(D722/D10)/1.983</f>
        <v>65.004148162607976</v>
      </c>
      <c r="E723" s="38" t="s">
        <v>852</v>
      </c>
      <c r="F723" s="172">
        <f>(F722/F10)/1.983</f>
        <v>64.985711884350309</v>
      </c>
      <c r="G723" s="172">
        <f>(G722/G10)/1.983</f>
        <v>71.85268329185169</v>
      </c>
      <c r="H723" s="172">
        <f>(H722/H10)/1.983</f>
        <v>62.06085056311985</v>
      </c>
      <c r="I723" s="38" t="s">
        <v>852</v>
      </c>
      <c r="J723" s="172">
        <f>(J722/J10)/1.983</f>
        <v>81.905877377059838</v>
      </c>
      <c r="K723" s="172">
        <f>(K722/K10)/1.983</f>
        <v>70.421160509491969</v>
      </c>
      <c r="L723" s="172">
        <f>(L722/L10)/1.983</f>
        <v>59.20322743318205</v>
      </c>
      <c r="M723" s="38" t="s">
        <v>852</v>
      </c>
      <c r="N723" s="172">
        <f>(N722/N10)/1.983</f>
        <v>53.096481382070181</v>
      </c>
      <c r="O723" s="172">
        <f>(O722/O10)/1.983</f>
        <v>35.417717263405613</v>
      </c>
      <c r="P723" s="172">
        <f>(P722/P10)/1.983</f>
        <v>53.682104338490063</v>
      </c>
      <c r="Q723" s="38" t="s">
        <v>852</v>
      </c>
      <c r="R723" s="38" t="s">
        <v>852</v>
      </c>
    </row>
    <row r="724" spans="1:18" ht="15.75" customHeight="1" x14ac:dyDescent="0.3">
      <c r="A724" s="234" t="s">
        <v>2050</v>
      </c>
      <c r="B724" s="172">
        <f>B722</f>
        <v>2828</v>
      </c>
      <c r="C724" s="172">
        <f>C722</f>
        <v>3025</v>
      </c>
      <c r="D724" s="172">
        <f>D722</f>
        <v>3996</v>
      </c>
      <c r="E724" s="38">
        <f>SUM(B724:D724)</f>
        <v>9849</v>
      </c>
      <c r="F724" s="172">
        <f>F722</f>
        <v>3866</v>
      </c>
      <c r="G724" s="172">
        <f>G722</f>
        <v>4417</v>
      </c>
      <c r="H724" s="172">
        <f>H722</f>
        <v>3692</v>
      </c>
      <c r="I724" s="38">
        <f>SUM(F724:H724)</f>
        <v>11975</v>
      </c>
      <c r="J724" s="172">
        <f>J722</f>
        <v>5035</v>
      </c>
      <c r="K724" s="172">
        <f>K722</f>
        <v>4329</v>
      </c>
      <c r="L724" s="172">
        <f>L722</f>
        <v>3522</v>
      </c>
      <c r="M724" s="38">
        <f>SUM(J724:L724)</f>
        <v>12886</v>
      </c>
      <c r="N724" s="172">
        <f>N722</f>
        <v>3264</v>
      </c>
      <c r="O724" s="172">
        <f>O722</f>
        <v>2107</v>
      </c>
      <c r="P724" s="172">
        <f>P722</f>
        <v>3300</v>
      </c>
      <c r="Q724" s="38">
        <f>SUM(N724:P724)</f>
        <v>8671</v>
      </c>
      <c r="R724" s="38">
        <f>+E724+I724+M724+Q724</f>
        <v>43381</v>
      </c>
    </row>
    <row r="725" spans="1:18" ht="16.5" customHeight="1" thickBot="1" x14ac:dyDescent="0.35">
      <c r="A725" s="237" t="s">
        <v>2051</v>
      </c>
      <c r="B725" s="238">
        <f>(B724/B10)/1.983</f>
        <v>46.003936687651482</v>
      </c>
      <c r="C725" s="238">
        <f>(C724/C10)/1.983</f>
        <v>54.480945176860459</v>
      </c>
      <c r="D725" s="238">
        <f>(D724/D10)/1.983</f>
        <v>65.004148162607976</v>
      </c>
      <c r="E725" s="40" t="s">
        <v>852</v>
      </c>
      <c r="F725" s="238">
        <f>(F724/F10)/1.983</f>
        <v>64.985711884350309</v>
      </c>
      <c r="G725" s="238">
        <f>(G724/G10)/1.983</f>
        <v>71.85268329185169</v>
      </c>
      <c r="H725" s="238">
        <f>(H724/H10)/1.983</f>
        <v>62.06085056311985</v>
      </c>
      <c r="I725" s="40" t="s">
        <v>852</v>
      </c>
      <c r="J725" s="238">
        <f>(J724/J10)/1.983</f>
        <v>81.905877377059838</v>
      </c>
      <c r="K725" s="238">
        <f>(K724/K10)/1.983</f>
        <v>70.421160509491969</v>
      </c>
      <c r="L725" s="238">
        <f>(L724/L10)/1.983</f>
        <v>59.20322743318205</v>
      </c>
      <c r="M725" s="40" t="s">
        <v>852</v>
      </c>
      <c r="N725" s="238">
        <f>(N724/N10)/1.983</f>
        <v>53.096481382070181</v>
      </c>
      <c r="O725" s="238">
        <f>(O724/O10)/1.983</f>
        <v>35.417717263405613</v>
      </c>
      <c r="P725" s="238">
        <f>(P724/P10)/1.983</f>
        <v>53.682104338490063</v>
      </c>
      <c r="Q725" s="40" t="s">
        <v>852</v>
      </c>
      <c r="R725" s="40" t="s">
        <v>852</v>
      </c>
    </row>
    <row r="726" spans="1:18" ht="15.75" customHeight="1" x14ac:dyDescent="0.3">
      <c r="A726" s="18"/>
      <c r="B726" s="172"/>
      <c r="C726" s="172"/>
      <c r="D726" s="172"/>
      <c r="E726" s="17"/>
      <c r="F726" s="172"/>
      <c r="G726" s="172"/>
      <c r="H726" s="172"/>
      <c r="I726" s="17"/>
      <c r="J726" s="172"/>
      <c r="K726" s="172"/>
      <c r="L726" s="172"/>
      <c r="M726" s="17"/>
      <c r="N726" s="172"/>
      <c r="O726" s="172"/>
      <c r="P726" s="172"/>
      <c r="Q726" s="17"/>
      <c r="R726" s="17"/>
    </row>
    <row r="727" spans="1:18" ht="15.75" customHeight="1" x14ac:dyDescent="0.3">
      <c r="A727" s="18"/>
      <c r="B727" s="172"/>
      <c r="C727" s="172"/>
      <c r="D727" s="172"/>
      <c r="E727" s="172"/>
      <c r="F727" s="172"/>
      <c r="G727" s="172"/>
      <c r="H727" s="172"/>
      <c r="I727" s="172"/>
      <c r="J727" s="172"/>
      <c r="K727" s="172"/>
      <c r="L727" s="172"/>
      <c r="M727" s="172"/>
      <c r="N727" s="172"/>
      <c r="O727" s="172"/>
      <c r="P727" s="172"/>
      <c r="Q727" s="17" t="str">
        <f>+Q1</f>
        <v>PRINTED:</v>
      </c>
      <c r="R727" s="76">
        <f ca="1">+R1</f>
        <v>44881.729634027775</v>
      </c>
    </row>
    <row r="728" spans="1:18" ht="15.75" customHeight="1" x14ac:dyDescent="0.3">
      <c r="A728" s="778" t="s">
        <v>43</v>
      </c>
      <c r="B728" s="778"/>
      <c r="C728" s="778"/>
      <c r="D728" s="778"/>
      <c r="E728" s="778"/>
      <c r="F728" s="778"/>
      <c r="G728" s="778"/>
      <c r="H728" s="778"/>
      <c r="I728" s="778"/>
      <c r="J728" s="778"/>
      <c r="K728" s="778"/>
      <c r="L728" s="778"/>
      <c r="M728" s="778"/>
      <c r="N728" s="778"/>
      <c r="O728" s="778"/>
      <c r="P728" s="778"/>
      <c r="Q728" s="778"/>
      <c r="R728" s="778"/>
    </row>
    <row r="729" spans="1:18" ht="15.75" customHeight="1" x14ac:dyDescent="0.3">
      <c r="A729" s="778" t="s">
        <v>1988</v>
      </c>
      <c r="B729" s="778"/>
      <c r="C729" s="778"/>
      <c r="D729" s="778"/>
      <c r="E729" s="778"/>
      <c r="F729" s="778"/>
      <c r="G729" s="778"/>
      <c r="H729" s="778"/>
      <c r="I729" s="778"/>
      <c r="J729" s="778"/>
      <c r="K729" s="778"/>
      <c r="L729" s="778"/>
      <c r="M729" s="778"/>
      <c r="N729" s="778"/>
      <c r="O729" s="778"/>
      <c r="P729" s="778"/>
      <c r="Q729" s="778"/>
      <c r="R729" s="778"/>
    </row>
    <row r="730" spans="1:18" ht="15.75" customHeight="1" x14ac:dyDescent="0.3">
      <c r="A730" s="778" t="s">
        <v>544</v>
      </c>
      <c r="B730" s="778"/>
      <c r="C730" s="778"/>
      <c r="D730" s="778"/>
      <c r="E730" s="778"/>
      <c r="F730" s="778"/>
      <c r="G730" s="778"/>
      <c r="H730" s="778"/>
      <c r="I730" s="778"/>
      <c r="J730" s="778"/>
      <c r="K730" s="778"/>
      <c r="L730" s="778"/>
      <c r="M730" s="778"/>
      <c r="N730" s="778"/>
      <c r="O730" s="778"/>
      <c r="P730" s="778"/>
      <c r="Q730" s="778"/>
      <c r="R730" s="778"/>
    </row>
    <row r="731" spans="1:18" ht="15.75" customHeight="1" x14ac:dyDescent="0.3">
      <c r="A731" s="783">
        <f>+A5</f>
        <v>2013</v>
      </c>
      <c r="B731" s="783"/>
      <c r="C731" s="783"/>
      <c r="D731" s="783"/>
      <c r="E731" s="783"/>
      <c r="F731" s="783"/>
      <c r="G731" s="783"/>
      <c r="H731" s="783"/>
      <c r="I731" s="783"/>
      <c r="J731" s="783"/>
      <c r="K731" s="783"/>
      <c r="L731" s="783"/>
      <c r="M731" s="783"/>
      <c r="N731" s="783"/>
      <c r="O731" s="783"/>
      <c r="P731" s="783"/>
      <c r="Q731" s="783"/>
      <c r="R731" s="783"/>
    </row>
    <row r="732" spans="1:18" ht="15.75" customHeight="1" x14ac:dyDescent="0.3">
      <c r="A732" s="172"/>
      <c r="B732" s="172"/>
      <c r="C732" s="172"/>
      <c r="D732" s="1"/>
      <c r="E732" s="1"/>
      <c r="F732" s="1"/>
      <c r="G732" s="452"/>
      <c r="H732" s="1"/>
      <c r="I732" s="1"/>
      <c r="J732" s="452"/>
      <c r="K732" s="452"/>
      <c r="L732" s="452"/>
      <c r="M732" s="452"/>
      <c r="N732" s="172"/>
      <c r="O732" s="452"/>
      <c r="P732" s="452"/>
      <c r="Q732" s="452"/>
      <c r="R732" s="452"/>
    </row>
    <row r="733" spans="1:18" ht="15.75" customHeight="1" x14ac:dyDescent="0.3">
      <c r="A733" s="778" t="str">
        <f>+A8</f>
        <v>Revised:  11/25/13</v>
      </c>
      <c r="B733" s="778"/>
      <c r="C733" s="778"/>
      <c r="D733" s="778"/>
      <c r="E733" s="778"/>
      <c r="F733" s="778"/>
      <c r="G733" s="778"/>
      <c r="H733" s="778"/>
      <c r="I733" s="778"/>
      <c r="J733" s="778"/>
      <c r="K733" s="778"/>
      <c r="L733" s="778"/>
      <c r="M733" s="778"/>
      <c r="N733" s="778"/>
      <c r="O733" s="778"/>
      <c r="P733" s="778"/>
      <c r="Q733" s="778"/>
      <c r="R733" s="778"/>
    </row>
    <row r="734" spans="1:18" ht="15.75" customHeight="1" x14ac:dyDescent="0.3">
      <c r="A734" s="448"/>
      <c r="B734" s="448"/>
      <c r="C734" s="448"/>
      <c r="D734" s="448"/>
      <c r="E734" s="448"/>
      <c r="F734" s="448"/>
      <c r="G734" s="448"/>
      <c r="H734" s="448"/>
      <c r="I734" s="448"/>
      <c r="J734" s="448"/>
      <c r="K734" s="448"/>
      <c r="L734" s="448"/>
      <c r="M734" s="448"/>
      <c r="N734" s="448"/>
      <c r="O734" s="448"/>
      <c r="P734" s="448"/>
      <c r="Q734" s="448"/>
      <c r="R734" s="448"/>
    </row>
    <row r="735" spans="1:18" ht="15.75" customHeight="1" x14ac:dyDescent="0.3">
      <c r="A735" s="448"/>
      <c r="B735" s="448"/>
      <c r="C735" s="448"/>
      <c r="D735" s="448"/>
      <c r="E735" s="448"/>
      <c r="F735" s="448"/>
      <c r="G735" s="448"/>
      <c r="H735" s="448"/>
      <c r="I735" s="448"/>
      <c r="J735" s="448"/>
      <c r="K735" s="448"/>
      <c r="L735" s="448"/>
      <c r="M735" s="448"/>
      <c r="N735" s="448"/>
      <c r="O735" s="448"/>
      <c r="P735" s="448"/>
      <c r="Q735" s="448"/>
      <c r="R735" s="448"/>
    </row>
    <row r="736" spans="1:18" ht="15.75" customHeight="1" thickBot="1" x14ac:dyDescent="0.35">
      <c r="A736" s="18"/>
      <c r="B736" s="172"/>
      <c r="C736" s="172"/>
      <c r="D736" s="172"/>
      <c r="E736" s="172"/>
      <c r="F736" s="172"/>
      <c r="G736" s="172"/>
      <c r="H736" s="172"/>
      <c r="I736" s="172"/>
      <c r="J736" s="172"/>
      <c r="K736" s="172"/>
      <c r="L736" s="172"/>
      <c r="M736" s="172"/>
      <c r="N736" s="172"/>
      <c r="O736" s="172"/>
      <c r="P736" s="172"/>
      <c r="Q736" s="172"/>
      <c r="R736" s="17"/>
    </row>
    <row r="737" spans="1:20" ht="16.5" customHeight="1" thickBot="1" x14ac:dyDescent="0.35">
      <c r="A737" s="278" t="s">
        <v>1661</v>
      </c>
      <c r="B737" s="4" t="s">
        <v>2090</v>
      </c>
      <c r="C737" s="5" t="s">
        <v>2091</v>
      </c>
      <c r="D737" s="5" t="s">
        <v>2234</v>
      </c>
      <c r="E737" s="33" t="s">
        <v>1594</v>
      </c>
      <c r="F737" s="5" t="s">
        <v>2235</v>
      </c>
      <c r="G737" s="5" t="s">
        <v>2236</v>
      </c>
      <c r="H737" s="5" t="s">
        <v>2237</v>
      </c>
      <c r="I737" s="35" t="s">
        <v>1595</v>
      </c>
      <c r="J737" s="5" t="s">
        <v>1504</v>
      </c>
      <c r="K737" s="5" t="s">
        <v>1505</v>
      </c>
      <c r="L737" s="5" t="s">
        <v>1506</v>
      </c>
      <c r="M737" s="35" t="s">
        <v>1596</v>
      </c>
      <c r="N737" s="5" t="s">
        <v>1507</v>
      </c>
      <c r="O737" s="5" t="s">
        <v>1508</v>
      </c>
      <c r="P737" s="5" t="s">
        <v>1509</v>
      </c>
      <c r="Q737" s="35" t="s">
        <v>1597</v>
      </c>
      <c r="R737" s="60" t="s">
        <v>1510</v>
      </c>
    </row>
    <row r="738" spans="1:20" ht="16.5" customHeight="1" thickBot="1" x14ac:dyDescent="0.35">
      <c r="A738" s="22"/>
      <c r="B738" s="242"/>
      <c r="C738" s="242"/>
      <c r="D738" s="242"/>
      <c r="E738" s="233"/>
      <c r="F738" s="242"/>
      <c r="G738" s="242"/>
      <c r="H738" s="242"/>
      <c r="I738" s="282"/>
      <c r="J738" s="242"/>
      <c r="K738" s="242"/>
      <c r="L738" s="242"/>
      <c r="M738" s="282"/>
      <c r="N738" s="242"/>
      <c r="O738" s="242"/>
      <c r="P738" s="242"/>
      <c r="Q738" s="283"/>
      <c r="R738" s="61"/>
    </row>
    <row r="739" spans="1:20" ht="15.75" customHeight="1" x14ac:dyDescent="0.3">
      <c r="A739" s="234" t="s">
        <v>2417</v>
      </c>
      <c r="B739" s="172" t="s">
        <v>852</v>
      </c>
      <c r="C739" s="172" t="s">
        <v>852</v>
      </c>
      <c r="D739" s="172" t="s">
        <v>852</v>
      </c>
      <c r="E739" s="284"/>
      <c r="F739" s="172" t="s">
        <v>852</v>
      </c>
      <c r="G739" s="172" t="s">
        <v>852</v>
      </c>
      <c r="H739" s="172" t="s">
        <v>852</v>
      </c>
      <c r="I739" s="284"/>
      <c r="J739" s="172" t="s">
        <v>852</v>
      </c>
      <c r="K739" s="172" t="s">
        <v>852</v>
      </c>
      <c r="L739" s="172" t="s">
        <v>852</v>
      </c>
      <c r="M739" s="284"/>
      <c r="N739" s="172" t="s">
        <v>852</v>
      </c>
      <c r="O739" s="172" t="s">
        <v>852</v>
      </c>
      <c r="P739" s="172" t="s">
        <v>852</v>
      </c>
      <c r="Q739" s="285"/>
      <c r="R739" s="62" t="s">
        <v>852</v>
      </c>
    </row>
    <row r="740" spans="1:20" ht="15.75" customHeight="1" x14ac:dyDescent="0.3">
      <c r="A740" s="545" t="s">
        <v>2160</v>
      </c>
      <c r="B740" s="172">
        <f>+SUM(B71:B80)+SUM(B137:B173)+SUM(B286:B300)+SUM(B415:B417)+SUM(B456:B459)+SUM(B498:B506)+SUM(B561:B564)+SUM(B597:B600)+SUM(B651:B652)+SUM(B685:B688)</f>
        <v>28350</v>
      </c>
      <c r="C740" s="172">
        <f>+SUM(C71:C80)+SUM(C137:C173)+SUM(C286:C300)+SUM(C415:C417)+SUM(C456:C459)+SUM(C498:C506)+SUM(C561:C564)+SUM(C597:C600)+SUM(C651:C652)+SUM(C685:C688)</f>
        <v>23810</v>
      </c>
      <c r="D740" s="172">
        <f>+SUM(D71:D80)+SUM(D137:D173)+SUM(D286:D300)+SUM(D415:D417)+SUM(D456:D459)+SUM(D498:D506)+SUM(D561:D564)+SUM(D597:D600)+SUM(D651:D652)+SUM(D685:D688)</f>
        <v>27843</v>
      </c>
      <c r="E740" s="38">
        <f t="shared" ref="E740:E746" si="108">SUM(B740:D740)</f>
        <v>80003</v>
      </c>
      <c r="F740" s="172">
        <f>+SUM(F71:F80)+SUM(F137:F173)+SUM(F286:F300)+SUM(F415:F417)+SUM(F456:F459)+SUM(F498:F506)+SUM(F561:F564)+SUM(F597:F600)+SUM(F651:F652)+SUM(F685:F688)</f>
        <v>40023</v>
      </c>
      <c r="G740" s="172">
        <f>+SUM(G71:G80)+SUM(G137:G173)+SUM(G286:G300)+SUM(G415:G417)+SUM(G456:G459)+SUM(G498:G506)+SUM(G561:G564)+SUM(G597:G600)+SUM(G651:G652)+SUM(G685:G688)</f>
        <v>36501</v>
      </c>
      <c r="H740" s="172">
        <f>+SUM(H71:H80)+SUM(H137:H173)+SUM(H286:H300)+SUM(H415:H417)+SUM(H456:H459)+SUM(H498:H506)+SUM(H561:H564)+SUM(H597:H600)+SUM(H651:H652)+SUM(H685:H688)</f>
        <v>39097</v>
      </c>
      <c r="I740" s="38">
        <f t="shared" ref="I740:I746" si="109">SUM(F740:H740)</f>
        <v>115621</v>
      </c>
      <c r="J740" s="172">
        <f>+SUM(J71:J80)+SUM(J137:J173)+SUM(J286:J300)+SUM(J415:J417)+SUM(J456:J459)+SUM(J498:J506)+SUM(J561:J564)+SUM(J597:J600)+SUM(J651:J652)+SUM(J685:J688)</f>
        <v>51396</v>
      </c>
      <c r="K740" s="172">
        <f>+SUM(K71:K80)+SUM(K137:K173)+SUM(K286:K300)+SUM(K415:K417)+SUM(K456:K459)+SUM(K498:K506)+SUM(K561:K564)+SUM(K597:K600)+SUM(K651:K652)+SUM(K685:K688)</f>
        <v>56535</v>
      </c>
      <c r="L740" s="172">
        <f>+SUM(L71:L80)+SUM(L137:L173)+SUM(L286:L300)+SUM(L415:L417)+SUM(L456:L459)+SUM(L498:L506)+SUM(L561:L564)+SUM(L597:L600)+SUM(L651:L652)+SUM(L685:L688)</f>
        <v>46748</v>
      </c>
      <c r="M740" s="38">
        <f t="shared" ref="M740:M746" si="110">SUM(J740:L740)</f>
        <v>154679</v>
      </c>
      <c r="N740" s="172">
        <f>+SUM(N71:N80)+SUM(N137:N173)+SUM(N286:N300)+SUM(N415:N417)+SUM(N456:N459)+SUM(N498:N506)+SUM(N561:N564)+SUM(N597:N600)+SUM(N651:N652)+SUM(N685:N688)</f>
        <v>44260</v>
      </c>
      <c r="O740" s="172">
        <f>+SUM(O71:O80)+SUM(O137:O173)+SUM(O286:O300)+SUM(O415:O417)+SUM(O456:O459)+SUM(O498:O506)+SUM(O561:O564)+SUM(O597:O600)+SUM(O651:O652)+SUM(O685:O688)</f>
        <v>29544</v>
      </c>
      <c r="P740" s="172">
        <f>+SUM(P71:P80)+SUM(P137:P173)+SUM(P286:P300)+SUM(P415:P417)+SUM(P456:P459)+SUM(P498:P506)+SUM(P561:P564)+SUM(P597:P600)+SUM(P651:P652)+SUM(P685:P688)</f>
        <v>31172</v>
      </c>
      <c r="Q740" s="38">
        <f t="shared" ref="Q740:Q746" si="111">SUM(N740:P740)</f>
        <v>104976</v>
      </c>
      <c r="R740" s="38">
        <f t="shared" ref="R740:R746" si="112">+E740+I740+M740+Q740</f>
        <v>455279</v>
      </c>
    </row>
    <row r="741" spans="1:20" ht="15.75" customHeight="1" x14ac:dyDescent="0.3">
      <c r="A741" s="234" t="s">
        <v>2642</v>
      </c>
      <c r="B741" s="172">
        <f>+B38+SUM(B81:B83)+SUM(B175:B185)+SUM(B302:B316)+SUM(B419:B421)+B460+SUM(B507:B508)+B565+B601+B653+SUM(B689:B689)</f>
        <v>137</v>
      </c>
      <c r="C741" s="172">
        <f>+C38+SUM(C81:C83)+SUM(C175:C185)+SUM(C302:C316)+SUM(C419:C421)+C460+SUM(C507:C508)+C565+C601+C653+SUM(C689:C689)</f>
        <v>145</v>
      </c>
      <c r="D741" s="172">
        <f>+D38+SUM(D81:D83)+SUM(D175:D185)+SUM(D302:D316)+SUM(D419:D421)+D460+SUM(D507:D508)+D565+D601+D653+SUM(D689:D689)</f>
        <v>253</v>
      </c>
      <c r="E741" s="38">
        <f t="shared" si="108"/>
        <v>535</v>
      </c>
      <c r="F741" s="172">
        <f>+F38+SUM(F81:F83)+SUM(F175:F185)+SUM(F302:F316)+SUM(F419:F421)+F460+SUM(F507:F508)+F565+F601+F653+SUM(F689:F689)</f>
        <v>401</v>
      </c>
      <c r="G741" s="172">
        <f>+G38+SUM(G81:G83)+SUM(G175:G185)+SUM(G302:G316)+SUM(G419:G421)+G460+SUM(G507:G508)+G565+G601+G653+SUM(G689:G689)</f>
        <v>592</v>
      </c>
      <c r="H741" s="172">
        <f>+H38+SUM(H81:H83)+SUM(H175:H185)+SUM(H302:H316)+SUM(H419:H421)+H460+SUM(H507:H508)+H565+H601+H653+SUM(H689:H689)</f>
        <v>571</v>
      </c>
      <c r="I741" s="38">
        <f t="shared" si="109"/>
        <v>1564</v>
      </c>
      <c r="J741" s="172">
        <f>+J38+SUM(J81:J83)+SUM(J175:J185)+SUM(J302:J316)+SUM(J419:J421)+J460+SUM(J507:J508)+J565+J601+J653+SUM(J689:J689)</f>
        <v>748</v>
      </c>
      <c r="K741" s="172">
        <f>+K38+SUM(K81:K83)+SUM(K175:K185)+SUM(K302:K316)+SUM(K419:K421)+K460+SUM(K507:K508)+K565+K601+K653+SUM(K689:K689)</f>
        <v>628</v>
      </c>
      <c r="L741" s="172">
        <f>+L38+SUM(L81:L83)+SUM(L175:L185)+SUM(L302:L316)+SUM(L419:L421)+L460+SUM(L507:L508)+L565+L601+L653+SUM(L689:L689)</f>
        <v>521</v>
      </c>
      <c r="M741" s="38">
        <f t="shared" si="110"/>
        <v>1897</v>
      </c>
      <c r="N741" s="172">
        <f>+N38+SUM(N81:N83)+SUM(N175:N185)+SUM(N302:N316)+SUM(N419:N421)+N460+SUM(N507:N508)+N565+N601+N653+SUM(N689:N689)</f>
        <v>526</v>
      </c>
      <c r="O741" s="172">
        <f>+O38+SUM(O81:O83)+SUM(O175:O185)+SUM(O302:O316)+SUM(O419:O421)+O460+SUM(O507:O508)+O565+O601+O653+SUM(O689:O689)</f>
        <v>222</v>
      </c>
      <c r="P741" s="172">
        <f>+P38+SUM(P81:P83)+SUM(P175:P185)+SUM(P302:P316)+SUM(P419:P421)+P460+SUM(P507:P508)+P565+P601+P653+SUM(P689:P689)</f>
        <v>331</v>
      </c>
      <c r="Q741" s="38">
        <f t="shared" si="111"/>
        <v>1079</v>
      </c>
      <c r="R741" s="38">
        <f t="shared" si="112"/>
        <v>5075</v>
      </c>
    </row>
    <row r="742" spans="1:20" ht="15.75" customHeight="1" x14ac:dyDescent="0.3">
      <c r="A742" s="545" t="s">
        <v>2647</v>
      </c>
      <c r="B742" s="172">
        <f>+SUM(B84:B86)+SUM(B186:B189)+SUM(B317:B321)+B422+B461+SUM(B509:B510)+B566+B602+B654+SUM(B690:B691)</f>
        <v>9</v>
      </c>
      <c r="C742" s="172">
        <f>+SUM(C84:C86)+SUM(C186:C189)+SUM(C317:C321)+C422+C461+SUM(C509:C510)+C566+C602+C654+SUM(C690:C691)</f>
        <v>8</v>
      </c>
      <c r="D742" s="172">
        <f>+SUM(D84:D86)+SUM(D186:D189)+SUM(D317:D321)+D422+D461+SUM(D509:D510)+D566+D602+D654+SUM(D690:D691)</f>
        <v>1253</v>
      </c>
      <c r="E742" s="38">
        <f t="shared" si="108"/>
        <v>1270</v>
      </c>
      <c r="F742" s="172">
        <f>+SUM(F84:F86)+SUM(F186:F189)+SUM(F317:F321)+F422+F461+SUM(F509:F510)+F566+F602+F654+SUM(F690:F691)</f>
        <v>1545</v>
      </c>
      <c r="G742" s="172">
        <f>+SUM(G84:G86)+SUM(G186:G189)+SUM(G317:G321)+G422+G461+SUM(G509:G510)+G566+G602+G654+SUM(G690:G691)</f>
        <v>6189</v>
      </c>
      <c r="H742" s="172">
        <f>+SUM(H84:H86)+SUM(H186:H189)+SUM(H317:H321)+H422+H461+SUM(H509:H510)+H566+H602+H654+SUM(H690:H691)</f>
        <v>4661</v>
      </c>
      <c r="I742" s="38">
        <f t="shared" si="109"/>
        <v>12395</v>
      </c>
      <c r="J742" s="172">
        <f>+SUM(J84:J86)+SUM(J186:J189)+SUM(J317:J321)+J422+J461+SUM(J509:J510)+J566+J602+J654+SUM(J690:J691)</f>
        <v>4214</v>
      </c>
      <c r="K742" s="172">
        <f>+SUM(K84:K86)+SUM(K186:K189)+SUM(K317:K321)+K422+K461+SUM(K509:K510)+K566+K602+K654+SUM(K690:K691)</f>
        <v>7373</v>
      </c>
      <c r="L742" s="172">
        <f>+SUM(L84:L86)+SUM(L186:L189)+SUM(L317:L321)+L422+L461+SUM(L509:L510)+L566+L602+L654+SUM(L690:L691)</f>
        <v>5264</v>
      </c>
      <c r="M742" s="38">
        <f t="shared" si="110"/>
        <v>16851</v>
      </c>
      <c r="N742" s="172">
        <f>+SUM(N84:N86)+SUM(N186:N189)+SUM(N317:N321)+N422+N461+SUM(N509:N510)+N566+N602+N654+SUM(N690:N691)</f>
        <v>2031</v>
      </c>
      <c r="O742" s="172">
        <f>+SUM(O84:O86)+SUM(O186:O189)+SUM(O317:O321)+O422+O461+SUM(O509:O510)+O566+O602+O654+SUM(O690:O691)</f>
        <v>1222</v>
      </c>
      <c r="P742" s="172">
        <f>+SUM(P84:P86)+SUM(P186:P189)+SUM(P317:P321)+P422+P461+SUM(P509:P510)+P566+P602+P654+SUM(P690:P691)</f>
        <v>1108</v>
      </c>
      <c r="Q742" s="38">
        <f t="shared" si="111"/>
        <v>4361</v>
      </c>
      <c r="R742" s="38">
        <f t="shared" si="112"/>
        <v>34877</v>
      </c>
    </row>
    <row r="743" spans="1:20" ht="15.75" customHeight="1" x14ac:dyDescent="0.3">
      <c r="A743" s="234" t="s">
        <v>1067</v>
      </c>
      <c r="B743" s="172">
        <f>+B263+B396+B397</f>
        <v>0</v>
      </c>
      <c r="C743" s="172">
        <f>+C263+C396+C397</f>
        <v>0</v>
      </c>
      <c r="D743" s="172">
        <f>+D263+D396+D397</f>
        <v>0</v>
      </c>
      <c r="E743" s="38">
        <f t="shared" si="108"/>
        <v>0</v>
      </c>
      <c r="F743" s="172">
        <f>+F263+F396+F397</f>
        <v>0</v>
      </c>
      <c r="G743" s="172">
        <f>+G263+G396+G397</f>
        <v>0</v>
      </c>
      <c r="H743" s="172">
        <f>+H263+H396+H397</f>
        <v>0</v>
      </c>
      <c r="I743" s="38">
        <f t="shared" si="109"/>
        <v>0</v>
      </c>
      <c r="J743" s="172">
        <f>+J263+J396+J397</f>
        <v>0</v>
      </c>
      <c r="K743" s="172">
        <f>+K263+K396+K397</f>
        <v>0</v>
      </c>
      <c r="L743" s="172">
        <f>+L263+L396+L397</f>
        <v>0</v>
      </c>
      <c r="M743" s="38">
        <f t="shared" si="110"/>
        <v>0</v>
      </c>
      <c r="N743" s="172">
        <f>+N263+N396+N397</f>
        <v>0</v>
      </c>
      <c r="O743" s="172">
        <f>+O263+O396+O397</f>
        <v>0</v>
      </c>
      <c r="P743" s="172">
        <f>+P263+P396+P397</f>
        <v>0</v>
      </c>
      <c r="Q743" s="38">
        <f t="shared" si="111"/>
        <v>0</v>
      </c>
      <c r="R743" s="38">
        <f t="shared" si="112"/>
        <v>0</v>
      </c>
    </row>
    <row r="744" spans="1:20" ht="15.75" customHeight="1" x14ac:dyDescent="0.3">
      <c r="A744" s="545" t="s">
        <v>2163</v>
      </c>
      <c r="B744" s="172">
        <f>+B264</f>
        <v>29</v>
      </c>
      <c r="C744" s="172">
        <f>+C264</f>
        <v>39</v>
      </c>
      <c r="D744" s="172">
        <f>+D264</f>
        <v>32</v>
      </c>
      <c r="E744" s="38">
        <f>SUM(B744:D744)</f>
        <v>100</v>
      </c>
      <c r="F744" s="172">
        <f>+F264</f>
        <v>72</v>
      </c>
      <c r="G744" s="172">
        <f>+G264</f>
        <v>111</v>
      </c>
      <c r="H744" s="172">
        <f>+H264</f>
        <v>84</v>
      </c>
      <c r="I744" s="38">
        <f>SUM(F744:H744)</f>
        <v>267</v>
      </c>
      <c r="J744" s="172">
        <f>+J264</f>
        <v>209</v>
      </c>
      <c r="K744" s="172">
        <f>+K264</f>
        <v>77</v>
      </c>
      <c r="L744" s="172">
        <f>+L264</f>
        <v>152</v>
      </c>
      <c r="M744" s="38">
        <f>SUM(J744:L744)</f>
        <v>438</v>
      </c>
      <c r="N744" s="172">
        <f>+N264</f>
        <v>76</v>
      </c>
      <c r="O744" s="172">
        <v>92</v>
      </c>
      <c r="P744" s="172">
        <v>7</v>
      </c>
      <c r="Q744" s="38">
        <f t="shared" si="111"/>
        <v>175</v>
      </c>
      <c r="R744" s="38">
        <f>+E744+I744+M744+Q744</f>
        <v>980</v>
      </c>
    </row>
    <row r="745" spans="1:20" ht="15.75" customHeight="1" thickBot="1" x14ac:dyDescent="0.35">
      <c r="A745" s="234" t="s">
        <v>2164</v>
      </c>
      <c r="B745" s="172">
        <f>+B87+B423+B462+B511+B567+B603+B655+B692</f>
        <v>0</v>
      </c>
      <c r="C745" s="172">
        <f>+C87+C423+C462+C511+C567+C603+C655+C692</f>
        <v>0</v>
      </c>
      <c r="D745" s="172">
        <f>+D87+D423+D462+D511+D567+D603+D655+D692</f>
        <v>0</v>
      </c>
      <c r="E745" s="38">
        <f t="shared" si="108"/>
        <v>0</v>
      </c>
      <c r="F745" s="172">
        <f>+F87+F423+F462+F511+F567+F603+F655+F692</f>
        <v>0</v>
      </c>
      <c r="G745" s="172">
        <f>+G87+G423+G462+G511+G567+G603+G655+G692</f>
        <v>0</v>
      </c>
      <c r="H745" s="172">
        <f>+H87+H423+H462+H511+H567+H603+H655+H692</f>
        <v>0</v>
      </c>
      <c r="I745" s="38">
        <f t="shared" si="109"/>
        <v>0</v>
      </c>
      <c r="J745" s="172">
        <f>+J87+J423+J462+J511+J567+J603+J655+J692</f>
        <v>0</v>
      </c>
      <c r="K745" s="172">
        <f>+K87+K423+K462+K511+K567+K603+K655+K692</f>
        <v>0</v>
      </c>
      <c r="L745" s="172">
        <f>+L87+L423+L462+L511+L567+L603+L655+L692</f>
        <v>0</v>
      </c>
      <c r="M745" s="38">
        <f t="shared" si="110"/>
        <v>0</v>
      </c>
      <c r="N745" s="172">
        <f>+N87+N423+N462+N511+N567+N603+N655+N692</f>
        <v>0</v>
      </c>
      <c r="O745" s="172">
        <f>+O87+O423+O462+O511+O567+O603+O655+O692</f>
        <v>0</v>
      </c>
      <c r="P745" s="172">
        <f>+P87+P423+P462+P511+P567+P603+P655+P692</f>
        <v>0</v>
      </c>
      <c r="Q745" s="38">
        <f t="shared" si="111"/>
        <v>0</v>
      </c>
      <c r="R745" s="38">
        <f t="shared" si="112"/>
        <v>0</v>
      </c>
    </row>
    <row r="746" spans="1:20" ht="16.5" customHeight="1" thickBot="1" x14ac:dyDescent="0.35">
      <c r="A746" s="43" t="s">
        <v>1218</v>
      </c>
      <c r="B746" s="45">
        <f>SUM(B739:B745)</f>
        <v>28525</v>
      </c>
      <c r="C746" s="46">
        <f>SUM(C739:C745)</f>
        <v>24002</v>
      </c>
      <c r="D746" s="46">
        <f>SUM(D739:D745)</f>
        <v>29381</v>
      </c>
      <c r="E746" s="37">
        <f t="shared" si="108"/>
        <v>81908</v>
      </c>
      <c r="F746" s="46">
        <f>SUM(F739:F745)</f>
        <v>42041</v>
      </c>
      <c r="G746" s="46">
        <f>SUM(G739:G745)</f>
        <v>43393</v>
      </c>
      <c r="H746" s="46">
        <f>SUM(H739:H745)</f>
        <v>44413</v>
      </c>
      <c r="I746" s="37">
        <f t="shared" si="109"/>
        <v>129847</v>
      </c>
      <c r="J746" s="46">
        <f>SUM(J739:J745)</f>
        <v>56567</v>
      </c>
      <c r="K746" s="46">
        <f>SUM(K739:K745)</f>
        <v>64613</v>
      </c>
      <c r="L746" s="46">
        <f>SUM(L739:L745)</f>
        <v>52685</v>
      </c>
      <c r="M746" s="37">
        <f t="shared" si="110"/>
        <v>173865</v>
      </c>
      <c r="N746" s="46">
        <f>SUM(N739:N745)</f>
        <v>46893</v>
      </c>
      <c r="O746" s="46">
        <f>SUM(O739:O745)</f>
        <v>31080</v>
      </c>
      <c r="P746" s="46">
        <f>SUM(P739:P745)</f>
        <v>32618</v>
      </c>
      <c r="Q746" s="37">
        <f t="shared" si="111"/>
        <v>110591</v>
      </c>
      <c r="R746" s="37">
        <f t="shared" si="112"/>
        <v>496211</v>
      </c>
      <c r="T746">
        <f>+R746-R743-R742</f>
        <v>461334</v>
      </c>
    </row>
    <row r="747" spans="1:20" ht="15.75" customHeight="1" x14ac:dyDescent="0.3">
      <c r="A747" s="234" t="s">
        <v>1172</v>
      </c>
      <c r="B747" s="172"/>
      <c r="C747" s="172"/>
      <c r="D747" s="172"/>
      <c r="E747" s="38" t="s">
        <v>852</v>
      </c>
      <c r="F747" s="172"/>
      <c r="G747" s="172"/>
      <c r="H747" s="172"/>
      <c r="I747" s="38" t="s">
        <v>852</v>
      </c>
      <c r="J747" s="172"/>
      <c r="K747" s="172"/>
      <c r="L747" s="172"/>
      <c r="M747" s="38" t="s">
        <v>852</v>
      </c>
      <c r="N747" s="172"/>
      <c r="O747" s="172"/>
      <c r="P747" s="172"/>
      <c r="Q747" s="38" t="s">
        <v>852</v>
      </c>
      <c r="R747" s="38" t="s">
        <v>852</v>
      </c>
    </row>
    <row r="748" spans="1:20" ht="15.75" customHeight="1" x14ac:dyDescent="0.3">
      <c r="A748" s="234" t="s">
        <v>1658</v>
      </c>
      <c r="B748" s="172">
        <f>SUM(B43:B43)+SUM(B193:B193)+SUM(B90:B90)+SUM(B325:B325)</f>
        <v>0</v>
      </c>
      <c r="C748" s="172">
        <f>SUM(C43:C43)+SUM(C193:C193)+SUM(C90:C90)+SUM(C325:C325)</f>
        <v>0</v>
      </c>
      <c r="D748" s="172">
        <f>SUM(D43:D43)+SUM(D193:D193)+SUM(D90:D90)+SUM(D325:D325)</f>
        <v>0</v>
      </c>
      <c r="E748" s="38">
        <f>SUM(B748:D748)</f>
        <v>0</v>
      </c>
      <c r="F748" s="172">
        <f>SUM(F43:F43)+SUM(F193:F193)+SUM(F90:F90)+SUM(F325:F325)</f>
        <v>0</v>
      </c>
      <c r="G748" s="172">
        <f>SUM(G43:G43)+SUM(G193:G193)+SUM(G90:G90)+SUM(G325:G325)</f>
        <v>0</v>
      </c>
      <c r="H748" s="172">
        <f>SUM(H43:H43)+SUM(H193:H193)+SUM(H90:H90)+SUM(H325:H325)</f>
        <v>0</v>
      </c>
      <c r="I748" s="38">
        <f>SUM(F748:H748)</f>
        <v>0</v>
      </c>
      <c r="J748" s="172">
        <f>SUM(J43:J43)+SUM(J193:J193)+SUM(J90:J90)+SUM(J325:J325)</f>
        <v>0</v>
      </c>
      <c r="K748" s="172">
        <f>SUM(K43:K43)+SUM(K193:K193)+SUM(K90:K90)+SUM(K325:K325)</f>
        <v>0</v>
      </c>
      <c r="L748" s="172">
        <f>SUM(L43:L43)+SUM(L193:L193)+SUM(L90:L90)+SUM(L325:L325)</f>
        <v>0</v>
      </c>
      <c r="M748" s="38">
        <f>SUM(J748:L748)</f>
        <v>0</v>
      </c>
      <c r="N748" s="172">
        <f>SUM(N43:N43)+SUM(N193:N193)+SUM(N90:N90)+SUM(N325:N325)</f>
        <v>0</v>
      </c>
      <c r="O748" s="172">
        <f>SUM(O43:O43)+SUM(O193:O193)+SUM(O90:O90)+SUM(O325:O325)</f>
        <v>0</v>
      </c>
      <c r="P748" s="172">
        <f>SUM(P43:P43)+SUM(P193:P193)+SUM(P90:P90)+SUM(P325:P325)</f>
        <v>0</v>
      </c>
      <c r="Q748" s="38">
        <f>SUM(N748:P748)</f>
        <v>0</v>
      </c>
      <c r="R748" s="38">
        <f>+E748+I748+M748+Q748</f>
        <v>0</v>
      </c>
    </row>
    <row r="749" spans="1:20" ht="15.75" customHeight="1" x14ac:dyDescent="0.3">
      <c r="A749" s="545" t="s">
        <v>2409</v>
      </c>
      <c r="B749" s="172">
        <f>+SUM(B92:B93)+SUM(B194:B196)+SUM(B326:B334)+B427+SUM(B465:B467)+SUM(B514:B516)+SUM(B570:B570)+B606+B658+SUM(B695:B696)</f>
        <v>7611</v>
      </c>
      <c r="C749" s="172">
        <f>+SUM(C92:C93)+SUM(C194:C196)+SUM(C326:C334)+C427+SUM(C465:C467)+SUM(C514:C516)+SUM(C570:C570)+C606+C658+SUM(C695:C696)</f>
        <v>8377</v>
      </c>
      <c r="D749" s="172">
        <f>+SUM(D92:D93)+SUM(D194:D196)+SUM(D326:D334)+D427+SUM(D465:D467)+SUM(D514:D516)+SUM(D570:D570)+D606+D658+SUM(D695:D696)</f>
        <v>32382</v>
      </c>
      <c r="E749" s="38">
        <f>SUM(B749:D749)</f>
        <v>48370</v>
      </c>
      <c r="F749" s="172">
        <f>+SUM(F92:F93)+SUM(F194:F196)+SUM(F326:F334)+F427+SUM(F465:F467)+SUM(F514:F516)+SUM(F570:F570)+F606+F658+SUM(F695:F696)</f>
        <v>61616</v>
      </c>
      <c r="G749" s="172">
        <f>+SUM(G92:G93)+SUM(G194:G196)+SUM(G326:G334)+G427+SUM(G465:G467)+SUM(G514:G516)+SUM(G570:G570)+G606+G658+SUM(G695:G696)</f>
        <v>44504</v>
      </c>
      <c r="H749" s="172">
        <f>+SUM(H92:H93)+SUM(H194:H196)+SUM(H326:H334)+H427+SUM(H465:H467)+SUM(H514:H516)+SUM(H570:H570)+H606+H658+SUM(H695:H696)</f>
        <v>78665</v>
      </c>
      <c r="I749" s="38">
        <f>SUM(F749:H749)</f>
        <v>184785</v>
      </c>
      <c r="J749" s="172">
        <f>+SUM(J92:J93)+SUM(J194:J196)+SUM(J326:J334)+J427+SUM(J465:J467)+SUM(J514:J516)+SUM(J570:J570)+J606+J658+SUM(J695:J696)</f>
        <v>52163</v>
      </c>
      <c r="K749" s="172">
        <f>+SUM(K92:K93)+SUM(K194:K196)+SUM(K326:K334)+K427+SUM(K465:K467)+SUM(K514:K516)+SUM(K570:K570)+K606+K658+SUM(K695:K696)</f>
        <v>52385</v>
      </c>
      <c r="L749" s="172">
        <f>+SUM(L92:L93)+SUM(L194:L196)+SUM(L326:L334)+L427+SUM(L465:L467)+SUM(L514:L516)+SUM(L570:L570)+L606+L658+SUM(L695:L696)</f>
        <v>26934</v>
      </c>
      <c r="M749" s="38">
        <f>SUM(J749:L749)</f>
        <v>131482</v>
      </c>
      <c r="N749" s="172">
        <f>+SUM(N92:N93)+SUM(N194:N196)+SUM(N326:N334)+N427+SUM(N465:N467)+SUM(N514:N516)+SUM(N570:N570)+N606+N658+SUM(N695:N696)</f>
        <v>20735</v>
      </c>
      <c r="O749" s="172">
        <f>+SUM(O92:O93)+SUM(O194:O196)+SUM(O326:O334)+O427+SUM(O465:O467)+SUM(O514:O516)+SUM(O570:O570)+O606+O658+SUM(O695:O696)</f>
        <v>7320</v>
      </c>
      <c r="P749" s="172">
        <f>+SUM(P92:P93)+SUM(P194:P196)+SUM(P326:P334)+P427+SUM(P465:P467)+SUM(P514:P516)+SUM(P570:P570)+P606+P658+SUM(P695:P696)</f>
        <v>7308</v>
      </c>
      <c r="Q749" s="38">
        <f>SUM(N749:P749)</f>
        <v>35363</v>
      </c>
      <c r="R749" s="38">
        <f>+E749+I749+M749+Q749</f>
        <v>400000</v>
      </c>
    </row>
    <row r="750" spans="1:20" ht="15.75" customHeight="1" thickBot="1" x14ac:dyDescent="0.35">
      <c r="A750" s="234" t="s">
        <v>2165</v>
      </c>
      <c r="B750" s="172">
        <f>+B94+B428+B468+B517+B571+B607+B659+B697</f>
        <v>0</v>
      </c>
      <c r="C750" s="172">
        <f>+C94+C428+C468+C517+C571+C607+C659+C697</f>
        <v>0</v>
      </c>
      <c r="D750" s="172">
        <f>+D94+D428+D468+D517+D571+D607+D659+D697</f>
        <v>0</v>
      </c>
      <c r="E750" s="38">
        <f>SUM(B750:D750)</f>
        <v>0</v>
      </c>
      <c r="F750" s="172">
        <f>+F94+F428+F468+F517+F571+F607+F659+F697</f>
        <v>0</v>
      </c>
      <c r="G750" s="172">
        <f>+G94+G428+G468+G517+G571+G607+G659+G697</f>
        <v>0</v>
      </c>
      <c r="H750" s="172">
        <f>+H94+H428+H468+H517+H571+H607+H659+H697</f>
        <v>0</v>
      </c>
      <c r="I750" s="38">
        <f>SUM(F750:H750)</f>
        <v>0</v>
      </c>
      <c r="J750" s="172">
        <f>+J94+J428+J468+J517+J571+J607+J659+J697</f>
        <v>0</v>
      </c>
      <c r="K750" s="172">
        <f>+K94+K428+K468+K517+K571+K607+K659+K697</f>
        <v>0</v>
      </c>
      <c r="L750" s="172">
        <f>+L94+L428+L468+L517+L571+L607+L659+L697</f>
        <v>0</v>
      </c>
      <c r="M750" s="38">
        <f>SUM(J750:L750)</f>
        <v>0</v>
      </c>
      <c r="N750" s="172">
        <f>+N94+N428+N468+N517+N571+N607+N659+N697</f>
        <v>0</v>
      </c>
      <c r="O750" s="172">
        <f>+O94+O428+O468+O517+O571+O607+O659+O697</f>
        <v>0</v>
      </c>
      <c r="P750" s="172">
        <f>+P94+P428+P468+P517+P571+P607+P659+P697</f>
        <v>0</v>
      </c>
      <c r="Q750" s="38">
        <f>SUM(N750:P750)</f>
        <v>0</v>
      </c>
      <c r="R750" s="38">
        <f>+E750+I750+M750+Q750</f>
        <v>0</v>
      </c>
    </row>
    <row r="751" spans="1:20" ht="16.5" customHeight="1" thickBot="1" x14ac:dyDescent="0.35">
      <c r="A751" s="43" t="s">
        <v>1219</v>
      </c>
      <c r="B751" s="45">
        <f>SUM(B747:B750)</f>
        <v>7611</v>
      </c>
      <c r="C751" s="46">
        <f>SUM(C747:C750)</f>
        <v>8377</v>
      </c>
      <c r="D751" s="46">
        <f>SUM(D747:D750)</f>
        <v>32382</v>
      </c>
      <c r="E751" s="37">
        <f>SUM(B751:D751)</f>
        <v>48370</v>
      </c>
      <c r="F751" s="46">
        <f>SUM(F747:F750)</f>
        <v>61616</v>
      </c>
      <c r="G751" s="46">
        <f>SUM(G747:G750)</f>
        <v>44504</v>
      </c>
      <c r="H751" s="46">
        <f>SUM(H747:H750)</f>
        <v>78665</v>
      </c>
      <c r="I751" s="37">
        <f>SUM(F751:H751)</f>
        <v>184785</v>
      </c>
      <c r="J751" s="46">
        <f>SUM(J747:J750)</f>
        <v>52163</v>
      </c>
      <c r="K751" s="46">
        <f>SUM(K747:K750)</f>
        <v>52385</v>
      </c>
      <c r="L751" s="46">
        <f>SUM(L747:L750)</f>
        <v>26934</v>
      </c>
      <c r="M751" s="37">
        <f>SUM(J751:L751)</f>
        <v>131482</v>
      </c>
      <c r="N751" s="46">
        <f>SUM(N747:N750)</f>
        <v>20735</v>
      </c>
      <c r="O751" s="46">
        <f>SUM(O747:O750)</f>
        <v>7320</v>
      </c>
      <c r="P751" s="46">
        <f>SUM(P747:P750)</f>
        <v>7308</v>
      </c>
      <c r="Q751" s="37">
        <f>SUM(N751:P751)</f>
        <v>35363</v>
      </c>
      <c r="R751" s="37">
        <f>+E751+I751+M751+Q751</f>
        <v>400000</v>
      </c>
    </row>
    <row r="752" spans="1:20" ht="15.75" customHeight="1" x14ac:dyDescent="0.3">
      <c r="A752" s="234" t="s">
        <v>2166</v>
      </c>
      <c r="B752" s="172"/>
      <c r="C752" s="172"/>
      <c r="D752" s="172"/>
      <c r="E752" s="38" t="s">
        <v>852</v>
      </c>
      <c r="F752" s="172"/>
      <c r="G752" s="172"/>
      <c r="H752" s="172"/>
      <c r="I752" s="38" t="s">
        <v>852</v>
      </c>
      <c r="J752" s="172"/>
      <c r="K752" s="172"/>
      <c r="L752" s="172"/>
      <c r="M752" s="38" t="s">
        <v>852</v>
      </c>
      <c r="N752" s="172"/>
      <c r="O752" s="172"/>
      <c r="P752" s="172"/>
      <c r="Q752" s="38" t="s">
        <v>852</v>
      </c>
      <c r="R752" s="38" t="s">
        <v>852</v>
      </c>
    </row>
    <row r="753" spans="1:20" ht="15.75" customHeight="1" x14ac:dyDescent="0.3">
      <c r="A753" s="545" t="s">
        <v>1245</v>
      </c>
      <c r="B753" s="172">
        <f>+B48+B97+B200+SUM(B338:B340)+B431+B471+B520+B574+SUM(B610:B611)+B662+SUM(B700:B702)</f>
        <v>2573</v>
      </c>
      <c r="C753" s="172">
        <f>+C48+C97+C200+SUM(C338:C340)+C431+C471+C520+C574+SUM(C610:C611)+C662+SUM(C700:C702)</f>
        <v>6012</v>
      </c>
      <c r="D753" s="172">
        <f>+D48+D97+D200+SUM(D338:D340)+D431+D471+D520+D574+SUM(D610:D611)+D662+SUM(D700:D702)</f>
        <v>9803</v>
      </c>
      <c r="E753" s="38">
        <f>SUM(B753:D753)</f>
        <v>18388</v>
      </c>
      <c r="F753" s="172">
        <f>+F48+F97+F200+SUM(F338:F340)+F431+F471+F520+F574+SUM(F610:F611)+F662+SUM(F700:F702)</f>
        <v>18185</v>
      </c>
      <c r="G753" s="172">
        <f>+G48+G97+G200+SUM(G338:G340)+G431+G471+G520+G574+SUM(G610:G611)+G662+SUM(G700:G702)</f>
        <v>22461</v>
      </c>
      <c r="H753" s="172">
        <f>+H48+H97+H200+SUM(H338:H340)+H431+H471+H520+H574+SUM(H610:H611)+H662+SUM(H700:H702)</f>
        <v>26734</v>
      </c>
      <c r="I753" s="38">
        <f>SUM(F753:H753)</f>
        <v>67380</v>
      </c>
      <c r="J753" s="172">
        <f>+J48+J97+J200+SUM(J338:J340)+J431+J471+J520+J574+SUM(J610:J611)+J662+SUM(J700:J702)</f>
        <v>21248</v>
      </c>
      <c r="K753" s="172">
        <f>+K48+K97+K200+SUM(K338:K340)+K431+K471+K520+K574+SUM(K610:K611)+K662+SUM(K700:K702)</f>
        <v>16116</v>
      </c>
      <c r="L753" s="172">
        <f>+L48+L97+L200+SUM(L338:L340)+L431+L471+L520+L574+SUM(L610:L611)+L662+SUM(L700:L702)</f>
        <v>7388</v>
      </c>
      <c r="M753" s="38">
        <f>SUM(J753:L753)</f>
        <v>44752</v>
      </c>
      <c r="N753" s="172">
        <f>+N48+N97+N200+SUM(N338:N340)+N431+N471+N520+N574+SUM(N610:N611)+N662+SUM(N700:N702)</f>
        <v>11176</v>
      </c>
      <c r="O753" s="172">
        <f>+O48+O97+O200+SUM(O338:O340)+O431+O471+O520+O574+SUM(O610:O611)+O662+SUM(O700:O702)</f>
        <v>1138</v>
      </c>
      <c r="P753" s="172">
        <f>+P48+P97+P200+SUM(P338:P340)+P431+P471+P520+P574+SUM(P610:P611)+P662+SUM(P700:P702)</f>
        <v>8787</v>
      </c>
      <c r="Q753" s="38">
        <f>SUM(N753:P753)</f>
        <v>21101</v>
      </c>
      <c r="R753" s="38">
        <f>+E753+I753+M753+Q753</f>
        <v>151621</v>
      </c>
    </row>
    <row r="754" spans="1:20" ht="15.75" customHeight="1" thickBot="1" x14ac:dyDescent="0.35">
      <c r="A754" s="545" t="s">
        <v>1711</v>
      </c>
      <c r="B754" s="172">
        <f>+B49+SUM(B98:B105)+SUM(B201:B239)+SUM(B341:B368)+SUM(B432:B433)+SUM(B472:B473)+SUM(B521:B522)+B575+SUM(B612:B616)+B663+SUM(B703:B706)</f>
        <v>9775</v>
      </c>
      <c r="C754" s="172">
        <f>+C49+SUM(C98:C105)+SUM(C201:C239)+SUM(C341:C368)+SUM(C432:C433)+SUM(C472:C473)+SUM(C521:C522)+C575+SUM(C612:C616)+C663+SUM(C703:C706)</f>
        <v>9956</v>
      </c>
      <c r="D754" s="172">
        <f>+D49+SUM(D98:D105)+SUM(D201:D239)+SUM(D341:D368)+SUM(D432:D433)+SUM(D472:D473)+SUM(D521:D522)+D575+SUM(D612:D616)+D663+SUM(D703:D706)</f>
        <v>30081</v>
      </c>
      <c r="E754" s="38">
        <f>SUM(B754:D754)</f>
        <v>49812</v>
      </c>
      <c r="F754" s="172">
        <f>+F49+SUM(F98:F105)+SUM(F201:F239)+SUM(F341:F368)+SUM(F432:F433)+SUM(F472:F473)+SUM(F521:F522)+F575+SUM(F612:F616)+F663+SUM(F703:F706)</f>
        <v>51789</v>
      </c>
      <c r="G754" s="172">
        <f>+G49+SUM(G98:G105)+SUM(G201:G239)+SUM(G341:G368)+SUM(G432:G433)+SUM(G472:G473)+SUM(G521:G522)+G575+SUM(G612:G616)+G663+SUM(G703:G706)</f>
        <v>75323</v>
      </c>
      <c r="H754" s="172">
        <f>+H49+SUM(H98:H105)+SUM(H201:H239)+SUM(H341:H368)+SUM(H432:H433)+SUM(H472:H473)+SUM(H521:H522)+H575+SUM(H612:H616)+H663+SUM(H703:H706)</f>
        <v>59007</v>
      </c>
      <c r="I754" s="38">
        <f>SUM(F754:H754)</f>
        <v>186119</v>
      </c>
      <c r="J754" s="172">
        <f>+J49+SUM(J98:J105)+SUM(J201:J239)+SUM(J341:J368)+SUM(J432:J433)+SUM(J472:J473)+SUM(J521:J522)+J575+SUM(J612:J616)+J663+SUM(J703:J706)</f>
        <v>47472</v>
      </c>
      <c r="K754" s="172">
        <f>+K49+SUM(K98:K105)+SUM(K201:K239)+SUM(K341:K368)+SUM(K432:K433)+SUM(K472:K473)+SUM(K521:K522)+K575+SUM(K612:K616)+K663+SUM(K703:K706)</f>
        <v>35838</v>
      </c>
      <c r="L754" s="172">
        <f>+L49+SUM(L98:L105)+SUM(L201:L239)+SUM(L341:L368)+SUM(L432:L433)+SUM(L472:L473)+SUM(L521:L522)+L575+SUM(L612:L616)+L663+SUM(L703:L706)</f>
        <v>24113</v>
      </c>
      <c r="M754" s="38">
        <f>SUM(J754:L754)</f>
        <v>107423</v>
      </c>
      <c r="N754" s="172">
        <f>+N49+SUM(N98:N105)+SUM(N201:N239)+SUM(N341:N368)+SUM(N432:N433)+SUM(N472:N473)+SUM(N521:N522)+N575+SUM(N612:N616)+N663+SUM(N703:N706)</f>
        <v>17862</v>
      </c>
      <c r="O754" s="172">
        <f>+O49+SUM(O98:O105)+SUM(O201:O239)+SUM(O341:O368)+SUM(O432:O433)+SUM(O472:O473)+SUM(O521:O522)+O575+SUM(O612:O616)+O663+SUM(O703:O706)</f>
        <v>8988</v>
      </c>
      <c r="P754" s="172">
        <f>+P49+SUM(P98:P105)+SUM(P201:P239)+SUM(P341:P368)+SUM(P432:P433)+SUM(P472:P473)+SUM(P521:P522)+P575+SUM(P612:P616)+P663+SUM(P703:P706)</f>
        <v>10820</v>
      </c>
      <c r="Q754" s="38">
        <f>SUM(N754:P754)</f>
        <v>37670</v>
      </c>
      <c r="R754" s="38">
        <f>+E754+I754+M754+Q754</f>
        <v>381024</v>
      </c>
    </row>
    <row r="755" spans="1:20" ht="16.5" customHeight="1" thickBot="1" x14ac:dyDescent="0.35">
      <c r="A755" s="43" t="s">
        <v>1220</v>
      </c>
      <c r="B755" s="45">
        <f>SUM(B752:B754)</f>
        <v>12348</v>
      </c>
      <c r="C755" s="46">
        <f>SUM(C752:C754)</f>
        <v>15968</v>
      </c>
      <c r="D755" s="58">
        <f>SUM(D752:D754)</f>
        <v>39884</v>
      </c>
      <c r="E755" s="37">
        <f>SUM(B755:D755)</f>
        <v>68200</v>
      </c>
      <c r="F755" s="46">
        <f>SUM(F752:F754)</f>
        <v>69974</v>
      </c>
      <c r="G755" s="46">
        <f>SUM(G752:G754)</f>
        <v>97784</v>
      </c>
      <c r="H755" s="46">
        <f>SUM(H752:H754)</f>
        <v>85741</v>
      </c>
      <c r="I755" s="37">
        <f>SUM(F755:H755)</f>
        <v>253499</v>
      </c>
      <c r="J755" s="46">
        <f>SUM(J752:J754)</f>
        <v>68720</v>
      </c>
      <c r="K755" s="46">
        <f>SUM(K752:K754)</f>
        <v>51954</v>
      </c>
      <c r="L755" s="46">
        <f>SUM(L752:L754)</f>
        <v>31501</v>
      </c>
      <c r="M755" s="37">
        <f>SUM(J755:L755)</f>
        <v>152175</v>
      </c>
      <c r="N755" s="46">
        <f>SUM(N752:N754)</f>
        <v>29038</v>
      </c>
      <c r="O755" s="46">
        <f>SUM(O752:O754)</f>
        <v>10126</v>
      </c>
      <c r="P755" s="46">
        <f>SUM(P752:P754)</f>
        <v>19607</v>
      </c>
      <c r="Q755" s="37">
        <f>SUM(N755:P755)</f>
        <v>58771</v>
      </c>
      <c r="R755" s="37">
        <f>+E755+I755+M755+Q755</f>
        <v>532645</v>
      </c>
      <c r="T755">
        <v>1600000</v>
      </c>
    </row>
    <row r="756" spans="1:20" ht="20.25" customHeight="1" x14ac:dyDescent="0.3">
      <c r="A756" s="234" t="s">
        <v>2645</v>
      </c>
      <c r="B756" s="172"/>
      <c r="C756" s="172"/>
      <c r="D756" s="172"/>
      <c r="E756" s="38" t="s">
        <v>852</v>
      </c>
      <c r="F756" s="172"/>
      <c r="G756" s="172"/>
      <c r="H756" s="172"/>
      <c r="I756" s="38" t="s">
        <v>852</v>
      </c>
      <c r="J756" s="172"/>
      <c r="K756" s="172"/>
      <c r="L756" s="172"/>
      <c r="M756" s="38" t="s">
        <v>852</v>
      </c>
      <c r="N756" s="172"/>
      <c r="O756" s="172"/>
      <c r="P756" s="172"/>
      <c r="Q756" s="38" t="s">
        <v>852</v>
      </c>
      <c r="R756" s="38" t="s">
        <v>852</v>
      </c>
      <c r="T756">
        <f>+T755-28000-R740-R741-400000-R753-R754+12000</f>
        <v>191001</v>
      </c>
    </row>
    <row r="757" spans="1:20" ht="15.75" customHeight="1" x14ac:dyDescent="0.3">
      <c r="A757" s="234" t="s">
        <v>2643</v>
      </c>
      <c r="B757" s="172">
        <f>SUM(B52:B52)+SUM(B108:B116)+SUM(B242:B246)+SUM(B371:B372)+SUM(B436:B436)+B476+SUM(B525:B527)+B578+B619+B666+SUM(B709:B711)</f>
        <v>0</v>
      </c>
      <c r="C757" s="172">
        <f>SUM(C52:C52)+SUM(C108:C116)+SUM(C242:C246)+SUM(C371:C372)+SUM(C436:C436)+C476+SUM(C525:C527)+C578+C619+C666+SUM(C709:C711)</f>
        <v>0</v>
      </c>
      <c r="D757" s="172">
        <f>SUM(D52:D52)+SUM(D108:D116)+SUM(D242:D246)+SUM(D371:D372)+SUM(D436:D436)+D476+SUM(D525:D527)+D578+D619+D666+SUM(D709:D711)</f>
        <v>0</v>
      </c>
      <c r="E757" s="38">
        <f t="shared" ref="E757:E765" si="113">SUM(B757:D757)</f>
        <v>0</v>
      </c>
      <c r="F757" s="172">
        <f>SUM(F52:F52)+SUM(F108:F116)+SUM(F242:F246)+SUM(F371:F372)+SUM(F436:F436)+F476+SUM(F525:F527)+F578+F619+F666+SUM(F709:F711)</f>
        <v>0</v>
      </c>
      <c r="G757" s="172">
        <f>SUM(G52:G52)+SUM(G108:G116)+SUM(G242:G246)+SUM(G371:G372)+SUM(G436:G436)+G476+SUM(G525:G527)+G578+G619+G666+SUM(G709:G711)</f>
        <v>140</v>
      </c>
      <c r="H757" s="172">
        <f>SUM(H52:H52)+SUM(H108:H116)+SUM(H242:H246)+SUM(H371:H372)+SUM(H436:H436)+H476+SUM(H525:H527)+H578+H619+H666+SUM(H709:H711)</f>
        <v>1095</v>
      </c>
      <c r="I757" s="38">
        <f t="shared" ref="I757:I765" si="114">SUM(F757:H757)</f>
        <v>1235</v>
      </c>
      <c r="J757" s="172">
        <f>SUM(J52:J52)+SUM(J108:J116)+SUM(J242:J246)+SUM(J371:J372)+SUM(J436:J436)+J476+SUM(J525:J527)+J578+J619+J666+SUM(J709:J711)</f>
        <v>0</v>
      </c>
      <c r="K757" s="172">
        <f>SUM(K52:K52)+SUM(K108:K116)+SUM(K242:K246)+SUM(K371:K372)+SUM(K436:K436)+K476+SUM(K525:K527)+K578+K619+K666+SUM(K709:K711)</f>
        <v>665</v>
      </c>
      <c r="L757" s="172">
        <f>SUM(L52:L52)+SUM(L108:L116)+SUM(L242:L246)+SUM(L371:L372)+SUM(L436:L436)+L476+SUM(L525:L527)+L578+L619+L666+SUM(L709:L711)</f>
        <v>0</v>
      </c>
      <c r="M757" s="38">
        <f t="shared" ref="M757:M765" si="115">SUM(J757:L757)</f>
        <v>665</v>
      </c>
      <c r="N757" s="172">
        <f>SUM(N52:N52)+SUM(N108:N116)+SUM(N242:N246)+SUM(N371:N372)+SUM(N436:N436)+N476+SUM(N525:N527)+N578+N619+N666+SUM(N709:N711)</f>
        <v>230</v>
      </c>
      <c r="O757" s="172">
        <f>SUM(O52:O52)+SUM(O108:O116)+SUM(O242:O246)+SUM(O371:O372)+SUM(O436:O436)+O476+SUM(O525:O527)+O578+O619+O666+SUM(O709:O711)</f>
        <v>0</v>
      </c>
      <c r="P757" s="172">
        <f>SUM(P52:P52)+SUM(P108:P116)+SUM(P242:P246)+SUM(P371:P372)+SUM(P436:P436)+P476+SUM(P525:P527)+P578+P619+P666+SUM(P709:P711)</f>
        <v>3204</v>
      </c>
      <c r="Q757" s="38">
        <f t="shared" ref="Q757:Q765" si="116">SUM(N757:P757)</f>
        <v>3434</v>
      </c>
      <c r="R757" s="38">
        <f t="shared" ref="R757:R765" si="117">+E757+I757+M757+Q757</f>
        <v>5334</v>
      </c>
    </row>
    <row r="758" spans="1:20" ht="15.75" customHeight="1" x14ac:dyDescent="0.3">
      <c r="A758" s="234" t="s">
        <v>557</v>
      </c>
      <c r="B758" s="172">
        <f>SUM(B53:B54)+SUM(B117:B118)+SUM(B247:B248)+B250+B252+B254+B255+SUM(B373:B375)+B437+B477+SUM(B528:B529)+B531+SUM(B579:B580)+B621+B623+B667+SUM(B712:B713)</f>
        <v>2000</v>
      </c>
      <c r="C758" s="172">
        <f>SUM(C53:C54)+SUM(C117:C118)+SUM(C247:C248)+C250+C252+C254+C255+SUM(C373:C375)+C437+C477+SUM(C528:C529)+C531+SUM(C579:C580)+C621+C623+C667+SUM(C712:C713)</f>
        <v>2000</v>
      </c>
      <c r="D758" s="172">
        <f>SUM(D53:D54)+SUM(D117:D118)+SUM(D247:D248)+D250+D252+D254+D255+SUM(D373:D375)+D437+D477+SUM(D528:D529)+D531+SUM(D579:D580)+D621+D623+D667+SUM(D712:D713)</f>
        <v>2000</v>
      </c>
      <c r="E758" s="38">
        <f t="shared" si="113"/>
        <v>6000</v>
      </c>
      <c r="F758" s="172">
        <f>SUM(F53:F54)+SUM(F117:F118)+SUM(F247:F248)+F250+F252+F254+F255+SUM(F373:F375)+F437+F477+SUM(F528:F529)+F531+SUM(F579:F580)+F621+F623+F667+SUM(F712:F713)</f>
        <v>2000</v>
      </c>
      <c r="G758" s="172">
        <f>SUM(G53:G54)+SUM(G117:G118)+SUM(G247:G248)+G250+G252+G254+G255+SUM(G373:G375)+G437+G477+SUM(G528:G529)+G531+SUM(G579:G580)+G621+G623+G667+SUM(G712:G713)</f>
        <v>0</v>
      </c>
      <c r="H758" s="172">
        <f>SUM(H53:H54)+SUM(H117:H118)+SUM(H247:H248)+H250+H252+H254+H255+SUM(H373:H375)+H437+H477+SUM(H528:H529)+H531+SUM(H579:H580)+H621+H623+H667+SUM(H712:H713)</f>
        <v>0</v>
      </c>
      <c r="I758" s="38">
        <f t="shared" si="114"/>
        <v>2000</v>
      </c>
      <c r="J758" s="172">
        <f>SUM(J53:J54)+SUM(J117:J118)+SUM(J247:J248)+J250+J252+J254+J255+SUM(J373:J375)+J437+J477+SUM(J528:J529)+J531+SUM(J579:J580)+J621+J623+J667+SUM(J712:J713)</f>
        <v>0</v>
      </c>
      <c r="K758" s="172">
        <f>SUM(K53:K54)+SUM(K117:K118)+SUM(K247:K248)+K250+K252+K254+K255+SUM(K373:K375)+K437+K477+SUM(K528:K529)+K531+SUM(K579:K580)+K621+K623+K667+SUM(K712:K713)</f>
        <v>3535</v>
      </c>
      <c r="L758" s="172">
        <f>SUM(L53:L54)+SUM(L117:L118)+SUM(L247:L248)+L250+L252+L254+L255+SUM(L373:L375)+L437+L477+SUM(L528:L529)+L531+SUM(L579:L580)+L621+L623+L667+SUM(L712:L713)</f>
        <v>4496</v>
      </c>
      <c r="M758" s="38">
        <f t="shared" si="115"/>
        <v>8031</v>
      </c>
      <c r="N758" s="172">
        <f>SUM(N53:N54)+SUM(N117:N118)+SUM(N247:N248)+N250+N252+N254+N255+SUM(N373:N375)+N437+N477+SUM(N528:N529)+N531+SUM(N579:N580)+N621+N623+N667+SUM(N712:N713)</f>
        <v>4998</v>
      </c>
      <c r="O758" s="172">
        <f>SUM(O53:O54)+SUM(O117:O118)+SUM(O247:O248)+O250+O252+O254+O255+SUM(O373:O375)+O437+O477+SUM(O528:O529)+O531+SUM(O579:O580)+O621+O623+O667+SUM(O712:O713)</f>
        <v>6588</v>
      </c>
      <c r="P758" s="172">
        <f>SUM(P53:P54)+SUM(P117:P118)+SUM(P247:P248)+P250+P252+P254+P255+SUM(P373:P375)+P437+P477+SUM(P528:P529)+P531+SUM(P579:P580)+P621+P623+P667+SUM(P712:P713)</f>
        <v>26023</v>
      </c>
      <c r="Q758" s="38">
        <f t="shared" si="116"/>
        <v>37609</v>
      </c>
      <c r="R758" s="38">
        <f t="shared" si="117"/>
        <v>53640</v>
      </c>
    </row>
    <row r="759" spans="1:20" ht="15.75" customHeight="1" x14ac:dyDescent="0.3">
      <c r="A759" s="266" t="s">
        <v>614</v>
      </c>
      <c r="B759" s="172">
        <f>B119+B249+B251+B253+B530+B532+B622+B624+B714</f>
        <v>0</v>
      </c>
      <c r="C759" s="172">
        <f>C119+C249+C251+C253+C530+C532+C622+C624+C714</f>
        <v>0</v>
      </c>
      <c r="D759" s="172">
        <f>D119+D249+D251+D253+D530+D532+D622+D624+D714</f>
        <v>0</v>
      </c>
      <c r="E759" s="38">
        <f t="shared" si="113"/>
        <v>0</v>
      </c>
      <c r="F759" s="172">
        <f>F119+F249+F251+F253+F530+F532+F622+F624+F714</f>
        <v>0</v>
      </c>
      <c r="G759" s="172">
        <f>G119+G249+G251+G253+G530+G532+G622+G624+G714</f>
        <v>0</v>
      </c>
      <c r="H759" s="172">
        <f>H119+H249+H251+H253+H530+H532+H622+H624+H714</f>
        <v>0</v>
      </c>
      <c r="I759" s="38">
        <f t="shared" si="114"/>
        <v>0</v>
      </c>
      <c r="J759" s="172">
        <f>J119+J249+J251+J253+J530+J532+J622+J624+J714</f>
        <v>0</v>
      </c>
      <c r="K759" s="172">
        <f>K119+K249+K251+K253+K530+K532+K622+K624+K714</f>
        <v>0</v>
      </c>
      <c r="L759" s="172">
        <f>L119+L249+L251+L253+L530+L532+L622+L624+L714</f>
        <v>0</v>
      </c>
      <c r="M759" s="38">
        <f t="shared" si="115"/>
        <v>0</v>
      </c>
      <c r="N759" s="172">
        <f>N119+N249+N251+N253+N530+N532+N622+N624+N714</f>
        <v>0</v>
      </c>
      <c r="O759" s="172">
        <f>O119+O249+O251+O253+O530+O532+O622+O624+O714</f>
        <v>0</v>
      </c>
      <c r="P759" s="172">
        <f>P119+P249+P251+P253+P530+P532+P622+P624+P714</f>
        <v>0</v>
      </c>
      <c r="Q759" s="38">
        <f t="shared" si="116"/>
        <v>0</v>
      </c>
      <c r="R759" s="38">
        <f t="shared" si="117"/>
        <v>0</v>
      </c>
    </row>
    <row r="760" spans="1:20" ht="15.75" customHeight="1" x14ac:dyDescent="0.3">
      <c r="A760" s="234" t="s">
        <v>2644</v>
      </c>
      <c r="B760" s="172">
        <f>+B55+SUM(B120:B121)+SUM(B256:B256)+SUM(B376:B382)+SUM(B438:B438)+SUM(B478:B479)+B533+B581+B625+B715+B715</f>
        <v>0</v>
      </c>
      <c r="C760" s="172">
        <f>+C55+SUM(C120:C121)+SUM(C256:C256)+SUM(C376:C382)+SUM(C438:C438)+SUM(C478:C479)+C533+C581+C625+C715+C715</f>
        <v>0</v>
      </c>
      <c r="D760" s="172">
        <f>+D55+SUM(D120:D121)+SUM(D256:D256)+SUM(D376:D382)+SUM(D438:D438)+SUM(D478:D479)+D533+D581+D625+D715+D715</f>
        <v>0</v>
      </c>
      <c r="E760" s="38">
        <f t="shared" si="113"/>
        <v>0</v>
      </c>
      <c r="F760" s="172">
        <f>+F55+SUM(F120:F121)+SUM(F256:F256)+SUM(F376:F382)+SUM(F438:F438)+SUM(F478:F479)+F533+F581+F625+F715+F715</f>
        <v>0</v>
      </c>
      <c r="G760" s="172">
        <f>+G55+SUM(G120:G121)+SUM(G256:G256)+SUM(G376:G382)+SUM(G438:G438)+SUM(G478:G479)+G533+G581+G625+G715+G715</f>
        <v>0</v>
      </c>
      <c r="H760" s="172">
        <f>+H55+SUM(H120:H121)+SUM(H256:H256)+SUM(H376:H382)+SUM(H438:H438)+SUM(H478:H479)+H533+H581+H625+H715+H715</f>
        <v>1000</v>
      </c>
      <c r="I760" s="38">
        <f t="shared" si="114"/>
        <v>1000</v>
      </c>
      <c r="J760" s="172">
        <f>+J55+SUM(J120:J121)+SUM(J256:J256)+SUM(J376:J382)+SUM(J438:J438)+SUM(J478:J479)+J533+J581+J625+J715+J715</f>
        <v>0</v>
      </c>
      <c r="K760" s="172">
        <f>+K55+SUM(K120:K121)+SUM(K256:K256)+SUM(K376:K382)+SUM(K438:K438)+SUM(K478:K479)+K533+K581+K625+K715+K715</f>
        <v>0</v>
      </c>
      <c r="L760" s="172">
        <f>+L55+SUM(L120:L121)+SUM(L256:L256)+SUM(L376:L382)+SUM(L438:L438)+SUM(L478:L479)+L533+L581+L625+L715+L715</f>
        <v>435</v>
      </c>
      <c r="M760" s="38">
        <f t="shared" si="115"/>
        <v>435</v>
      </c>
      <c r="N760" s="172">
        <f>+N55+SUM(N120:N121)+SUM(N256:N256)+SUM(N376:N382)+SUM(N438:N438)+SUM(N478:N479)+N533+N581+N625+N715+N715</f>
        <v>1911</v>
      </c>
      <c r="O760" s="172">
        <f>+O55+SUM(O120:O121)+SUM(O256:O256)+SUM(O376:O382)+SUM(O438:O438)+SUM(O478:O479)+O533+O581+O625+O715+O715</f>
        <v>2723</v>
      </c>
      <c r="P760" s="172">
        <f>+P55+SUM(P120:P121)+SUM(P256:P256)+SUM(P376:P382)+SUM(P438:P438)+SUM(P478:P479)+P533+P581+P625+P715+P715</f>
        <v>1515</v>
      </c>
      <c r="Q760" s="38">
        <f t="shared" si="116"/>
        <v>6149</v>
      </c>
      <c r="R760" s="38">
        <f>+E760+I760+M760+Q760</f>
        <v>7584</v>
      </c>
    </row>
    <row r="761" spans="1:20" ht="22.5" customHeight="1" x14ac:dyDescent="0.3">
      <c r="A761" s="234" t="s">
        <v>2905</v>
      </c>
      <c r="B761" s="172">
        <f>SUM(B122:B122)+SUM(B257:B257)+B384+B385+B387+B388+B390+B392+SUM(B439:B440)+B481+B483+B534+SUM(B535:B536)+B582+B626+B669+B716</f>
        <v>510</v>
      </c>
      <c r="C761" s="172">
        <f>SUM(C122:C122)+SUM(C257:C257)+C384+C385+C387+C388+C390+C392+SUM(C439:C440)+C481+C483+C534+SUM(C535:C536)+C582+C626+C669+C716</f>
        <v>3140</v>
      </c>
      <c r="D761" s="172">
        <f>SUM(D122:D122)+SUM(D257:D257)+D384+D385+D387+D388+D390+D392+SUM(D439:D440)+D481+D483+D534+SUM(D535:D536)+D582+D626+D669+D716</f>
        <v>2350</v>
      </c>
      <c r="E761" s="38">
        <f t="shared" si="113"/>
        <v>6000</v>
      </c>
      <c r="F761" s="172">
        <f>SUM(F122:F122)+SUM(F257:F257)+F384+F385+F387+F388+F390+F392+SUM(F439:F440)+F481+F483+F534+SUM(F535:F536)+F582+F626+F669+F716</f>
        <v>1000</v>
      </c>
      <c r="G761" s="172">
        <f>SUM(G122:G122)+SUM(G257:G257)+G384+G385+G387+G388+G390+G392+SUM(G439:G440)+G481+G483+G534+SUM(G535:G536)+G582+G626+G669+G716</f>
        <v>2000</v>
      </c>
      <c r="H761" s="172">
        <f>SUM(H122:H122)+SUM(H257:H257)+H384+H385+H387+H388+H390+H392+SUM(H439:H440)+H481+H483+H534+SUM(H535:H536)+H582+H626+H669+H716</f>
        <v>0</v>
      </c>
      <c r="I761" s="38">
        <f t="shared" si="114"/>
        <v>3000</v>
      </c>
      <c r="J761" s="172">
        <f>SUM(J122:J122)+SUM(J257:J257)+J384+J385+J387+J388+J390+J392+SUM(J439:J440)+J481+J483+J534+SUM(J535:J536)+J582+J626+J669+J716</f>
        <v>1551</v>
      </c>
      <c r="K761" s="172">
        <f>SUM(K122:K122)+SUM(K257:K257)+K384+K385+K387+K388+K390+K392+SUM(K439:K440)+K481+K483+K534+SUM(K535:K536)+K582+K626+K669+K716</f>
        <v>6109</v>
      </c>
      <c r="L761" s="172">
        <f>SUM(L122:L122)+SUM(L257:L257)+L384+L385+L387+L388+L390+L392+SUM(L439:L440)+L481+L483+L534+SUM(L535:L536)+L582+L626+L669+L716</f>
        <v>2093</v>
      </c>
      <c r="M761" s="38">
        <f t="shared" si="115"/>
        <v>9753</v>
      </c>
      <c r="N761" s="172">
        <f>SUM(N122:N122)+SUM(N257:N257)+N384+N385+N387+N388+N390+N392+SUM(N439:N440)+N481+N483+N534+SUM(N535:N536)+N582+N626+N669+N716</f>
        <v>1448</v>
      </c>
      <c r="O761" s="172">
        <f>SUM(O122:O122)+SUM(O257:O257)+O384+O385+O387+O388+O390+O392+SUM(O439:O440)+O481+O483+O534+SUM(O535:O536)+O582+O626+O669+O716</f>
        <v>1587</v>
      </c>
      <c r="P761" s="172">
        <f>SUM(P122:P122)+SUM(P257:P257)+P384+P385+P387+P388+P390+P392+SUM(P439:P440)+P481+P483+P534+SUM(P535:P536)+P582+P626+P669+P716</f>
        <v>2802</v>
      </c>
      <c r="Q761" s="38">
        <f t="shared" si="116"/>
        <v>5837</v>
      </c>
      <c r="R761" s="38">
        <f t="shared" si="117"/>
        <v>24590</v>
      </c>
    </row>
    <row r="762" spans="1:20" ht="15.75" customHeight="1" thickBot="1" x14ac:dyDescent="0.35">
      <c r="A762" s="266" t="s">
        <v>1862</v>
      </c>
      <c r="B762" s="172">
        <f>+B386+B389+B391+B441</f>
        <v>0</v>
      </c>
      <c r="C762" s="172">
        <f>+C386+C389+C391+C441</f>
        <v>0</v>
      </c>
      <c r="D762" s="172">
        <f>+D386+D389+D391+D441</f>
        <v>0</v>
      </c>
      <c r="E762" s="38">
        <f>SUM(B762:D762)</f>
        <v>0</v>
      </c>
      <c r="F762" s="172">
        <f>+F386+F389+F391+F441</f>
        <v>0</v>
      </c>
      <c r="G762" s="172">
        <f>+G386+G389+G391+G441</f>
        <v>0</v>
      </c>
      <c r="H762" s="172">
        <f>+H386+H389+H391+H441</f>
        <v>0</v>
      </c>
      <c r="I762" s="38">
        <f>SUM(F762:H762)</f>
        <v>0</v>
      </c>
      <c r="J762" s="172">
        <f>+J386+J389+J391+J441</f>
        <v>0</v>
      </c>
      <c r="K762" s="172">
        <f>+K386+K389+K391+K441</f>
        <v>0</v>
      </c>
      <c r="L762" s="172">
        <f>+L386+L389+L391+L441</f>
        <v>0</v>
      </c>
      <c r="M762" s="38">
        <f>SUM(J762:L762)</f>
        <v>0</v>
      </c>
      <c r="N762" s="172">
        <f>+N386+N389+N391+N441</f>
        <v>0</v>
      </c>
      <c r="O762" s="172">
        <f>+O386+O389+O391+O441</f>
        <v>0</v>
      </c>
      <c r="P762" s="172">
        <f>+P386+P389+P391+P441</f>
        <v>0</v>
      </c>
      <c r="Q762" s="38">
        <f>SUM(N762:P762)</f>
        <v>0</v>
      </c>
      <c r="R762" s="38">
        <f>+E762+I762+M762+Q762</f>
        <v>0</v>
      </c>
    </row>
    <row r="763" spans="1:20" ht="16.5" customHeight="1" thickBot="1" x14ac:dyDescent="0.35">
      <c r="A763" s="43" t="s">
        <v>1019</v>
      </c>
      <c r="B763" s="335">
        <f>SUM(B760:B762)</f>
        <v>510</v>
      </c>
      <c r="C763" s="335">
        <f>SUM(C760:C762)</f>
        <v>3140</v>
      </c>
      <c r="D763" s="335">
        <f>SUM(D760:D762)</f>
        <v>2350</v>
      </c>
      <c r="E763" s="39">
        <f t="shared" si="113"/>
        <v>6000</v>
      </c>
      <c r="F763" s="335">
        <f>SUM(F760:F762)</f>
        <v>1000</v>
      </c>
      <c r="G763" s="335">
        <f>SUM(G760:G762)</f>
        <v>2000</v>
      </c>
      <c r="H763" s="335">
        <f>SUM(H760:H762)</f>
        <v>1000</v>
      </c>
      <c r="I763" s="39">
        <f t="shared" si="114"/>
        <v>4000</v>
      </c>
      <c r="J763" s="335">
        <f>SUM(J760:J762)</f>
        <v>1551</v>
      </c>
      <c r="K763" s="335">
        <f>SUM(K760:K762)</f>
        <v>6109</v>
      </c>
      <c r="L763" s="335">
        <f>SUM(L760:L762)</f>
        <v>2528</v>
      </c>
      <c r="M763" s="39">
        <f t="shared" si="115"/>
        <v>10188</v>
      </c>
      <c r="N763" s="335">
        <f>SUM(N760:N762)</f>
        <v>3359</v>
      </c>
      <c r="O763" s="335">
        <f>SUM(O760:O762)</f>
        <v>4310</v>
      </c>
      <c r="P763" s="335">
        <f>SUM(P760:P762)</f>
        <v>4317</v>
      </c>
      <c r="Q763" s="39">
        <f t="shared" si="116"/>
        <v>11986</v>
      </c>
      <c r="R763" s="37">
        <f t="shared" si="117"/>
        <v>32174</v>
      </c>
    </row>
    <row r="764" spans="1:20" ht="16.5" customHeight="1" thickBot="1" x14ac:dyDescent="0.35">
      <c r="A764" s="277" t="s">
        <v>1221</v>
      </c>
      <c r="B764" s="45">
        <f>SUM(B756:B762)</f>
        <v>2510</v>
      </c>
      <c r="C764" s="46">
        <f>SUM(C756:C762)</f>
        <v>5140</v>
      </c>
      <c r="D764" s="58">
        <f>SUM(D756:D762)</f>
        <v>4350</v>
      </c>
      <c r="E764" s="336">
        <f t="shared" si="113"/>
        <v>12000</v>
      </c>
      <c r="F764" s="45">
        <f>SUM(F756:F762)</f>
        <v>3000</v>
      </c>
      <c r="G764" s="46">
        <f>SUM(G756:G762)</f>
        <v>2140</v>
      </c>
      <c r="H764" s="58">
        <f>SUM(H756:H762)</f>
        <v>2095</v>
      </c>
      <c r="I764" s="39">
        <f t="shared" si="114"/>
        <v>7235</v>
      </c>
      <c r="J764" s="45">
        <f>SUM(J756:J762)</f>
        <v>1551</v>
      </c>
      <c r="K764" s="46">
        <f>SUM(K756:K762)</f>
        <v>10309</v>
      </c>
      <c r="L764" s="58">
        <f>SUM(L756:L762)</f>
        <v>7024</v>
      </c>
      <c r="M764" s="39">
        <f t="shared" si="115"/>
        <v>18884</v>
      </c>
      <c r="N764" s="45">
        <f>SUM(N756:N762)</f>
        <v>8587</v>
      </c>
      <c r="O764" s="46">
        <f>SUM(O756:O762)</f>
        <v>10898</v>
      </c>
      <c r="P764" s="58">
        <f>SUM(P756:P762)</f>
        <v>33544</v>
      </c>
      <c r="Q764" s="39">
        <f t="shared" si="116"/>
        <v>53029</v>
      </c>
      <c r="R764" s="37">
        <f t="shared" si="117"/>
        <v>91148</v>
      </c>
    </row>
    <row r="765" spans="1:20" ht="16.5" customHeight="1" thickBot="1" x14ac:dyDescent="0.35">
      <c r="A765" s="43" t="s">
        <v>1222</v>
      </c>
      <c r="B765" s="337">
        <f>+B746+B751+B755+B764</f>
        <v>50994</v>
      </c>
      <c r="C765" s="338">
        <f>+C746+C751+C755+C764</f>
        <v>53487</v>
      </c>
      <c r="D765" s="338">
        <f>+D746+D751+D755+D764</f>
        <v>105997</v>
      </c>
      <c r="E765" s="37">
        <f t="shared" si="113"/>
        <v>210478</v>
      </c>
      <c r="F765" s="42">
        <f>+F746+F751+F755+F764</f>
        <v>176631</v>
      </c>
      <c r="G765" s="42">
        <f>+G746+G751+G755+G764</f>
        <v>187821</v>
      </c>
      <c r="H765" s="42">
        <f>+H746+H751+H755+H764</f>
        <v>210914</v>
      </c>
      <c r="I765" s="37">
        <f t="shared" si="114"/>
        <v>575366</v>
      </c>
      <c r="J765" s="42">
        <f>+J746+J751+J755+J764</f>
        <v>179001</v>
      </c>
      <c r="K765" s="42">
        <f>+K746+K751+K755+K764</f>
        <v>179261</v>
      </c>
      <c r="L765" s="42">
        <f>+L746+L751+L755+L764</f>
        <v>118144</v>
      </c>
      <c r="M765" s="37">
        <f t="shared" si="115"/>
        <v>476406</v>
      </c>
      <c r="N765" s="42">
        <f>+N746+N751+N755+N764</f>
        <v>105253</v>
      </c>
      <c r="O765" s="42">
        <f>+O746+O751+O755+O764</f>
        <v>59424</v>
      </c>
      <c r="P765" s="42">
        <f>+P746+P751+P755+P764</f>
        <v>93077</v>
      </c>
      <c r="Q765" s="37">
        <f t="shared" si="116"/>
        <v>257754</v>
      </c>
      <c r="R765" s="40">
        <f t="shared" si="117"/>
        <v>1520004</v>
      </c>
    </row>
    <row r="766" spans="1:20" ht="15.75" customHeight="1" x14ac:dyDescent="0.3">
      <c r="A766" s="356" t="s">
        <v>2646</v>
      </c>
      <c r="B766" s="172"/>
      <c r="C766" s="172"/>
      <c r="D766" s="172"/>
      <c r="E766" s="172"/>
      <c r="F766" s="172"/>
      <c r="G766" s="172"/>
      <c r="H766" s="172"/>
      <c r="I766" s="172"/>
      <c r="J766" s="172"/>
      <c r="K766" s="172"/>
      <c r="L766" s="172"/>
      <c r="M766" s="172"/>
      <c r="N766" s="172"/>
      <c r="O766" s="453"/>
      <c r="P766" s="172"/>
      <c r="Q766" s="172"/>
      <c r="R766" s="17"/>
    </row>
    <row r="767" spans="1:20" ht="15.75" customHeight="1" x14ac:dyDescent="0.3">
      <c r="A767" s="356" t="s">
        <v>2906</v>
      </c>
      <c r="B767" s="172"/>
      <c r="C767" s="172"/>
      <c r="D767" s="172"/>
      <c r="E767" s="172"/>
      <c r="F767" s="172"/>
      <c r="G767" s="172"/>
      <c r="H767" s="172"/>
      <c r="I767" s="172"/>
      <c r="J767" s="172"/>
      <c r="K767" s="172"/>
      <c r="L767" s="172"/>
      <c r="M767" s="172"/>
      <c r="N767" s="172"/>
      <c r="O767" s="453"/>
      <c r="P767" s="172"/>
      <c r="Q767" s="172"/>
      <c r="R767" s="17"/>
    </row>
    <row r="768" spans="1:20" ht="15.75" customHeight="1" x14ac:dyDescent="0.3">
      <c r="A768" s="172"/>
      <c r="B768" s="172"/>
      <c r="C768" s="172"/>
      <c r="D768" s="172"/>
      <c r="E768" s="172"/>
      <c r="F768" s="172"/>
      <c r="G768" s="172"/>
      <c r="H768" s="172"/>
      <c r="I768" s="172"/>
      <c r="J768" s="172"/>
      <c r="K768" s="172"/>
      <c r="L768" s="172"/>
      <c r="M768" s="172"/>
      <c r="N768" s="172"/>
      <c r="O768" s="453"/>
      <c r="P768" s="172"/>
      <c r="Q768" s="17" t="str">
        <f>+Q1</f>
        <v>PRINTED:</v>
      </c>
      <c r="R768" s="76">
        <f ca="1">+R1</f>
        <v>44881.729634027775</v>
      </c>
    </row>
    <row r="769" spans="1:18" ht="15.75" customHeight="1" x14ac:dyDescent="0.3">
      <c r="A769" s="778" t="s">
        <v>43</v>
      </c>
      <c r="B769" s="778"/>
      <c r="C769" s="778"/>
      <c r="D769" s="778"/>
      <c r="E769" s="778"/>
      <c r="F769" s="778"/>
      <c r="G769" s="778"/>
      <c r="H769" s="778"/>
      <c r="I769" s="778"/>
      <c r="J769" s="778"/>
      <c r="K769" s="778"/>
      <c r="L769" s="778"/>
      <c r="M769" s="778"/>
      <c r="N769" s="778"/>
      <c r="O769" s="778"/>
      <c r="P769" s="778"/>
      <c r="Q769" s="778"/>
      <c r="R769" s="778"/>
    </row>
    <row r="770" spans="1:18" ht="15.75" customHeight="1" x14ac:dyDescent="0.3">
      <c r="A770" s="778" t="s">
        <v>1988</v>
      </c>
      <c r="B770" s="778"/>
      <c r="C770" s="778"/>
      <c r="D770" s="778"/>
      <c r="E770" s="778"/>
      <c r="F770" s="778"/>
      <c r="G770" s="778"/>
      <c r="H770" s="778"/>
      <c r="I770" s="778"/>
      <c r="J770" s="778"/>
      <c r="K770" s="778"/>
      <c r="L770" s="778"/>
      <c r="M770" s="778"/>
      <c r="N770" s="778"/>
      <c r="O770" s="778"/>
      <c r="P770" s="778"/>
      <c r="Q770" s="778"/>
      <c r="R770" s="778"/>
    </row>
    <row r="771" spans="1:18" ht="15.75" customHeight="1" x14ac:dyDescent="0.3">
      <c r="A771" s="778" t="s">
        <v>544</v>
      </c>
      <c r="B771" s="778"/>
      <c r="C771" s="778"/>
      <c r="D771" s="778"/>
      <c r="E771" s="778"/>
      <c r="F771" s="778"/>
      <c r="G771" s="778"/>
      <c r="H771" s="778"/>
      <c r="I771" s="778"/>
      <c r="J771" s="778"/>
      <c r="K771" s="778"/>
      <c r="L771" s="778"/>
      <c r="M771" s="778"/>
      <c r="N771" s="778"/>
      <c r="O771" s="778"/>
      <c r="P771" s="778"/>
      <c r="Q771" s="778"/>
      <c r="R771" s="778"/>
    </row>
    <row r="772" spans="1:18" ht="15.75" customHeight="1" x14ac:dyDescent="0.3">
      <c r="A772" s="778">
        <f>+A5</f>
        <v>2013</v>
      </c>
      <c r="B772" s="778"/>
      <c r="C772" s="778"/>
      <c r="D772" s="778"/>
      <c r="E772" s="778"/>
      <c r="F772" s="778"/>
      <c r="G772" s="778"/>
      <c r="H772" s="778"/>
      <c r="I772" s="778"/>
      <c r="J772" s="778"/>
      <c r="K772" s="778"/>
      <c r="L772" s="778"/>
      <c r="M772" s="778"/>
      <c r="N772" s="778"/>
      <c r="O772" s="778"/>
      <c r="P772" s="778"/>
      <c r="Q772" s="778"/>
      <c r="R772" s="778"/>
    </row>
    <row r="773" spans="1:18" ht="15.75" customHeight="1" x14ac:dyDescent="0.3">
      <c r="A773" s="172"/>
      <c r="B773" s="172"/>
      <c r="C773" s="172"/>
      <c r="D773" s="1"/>
      <c r="E773" s="1"/>
      <c r="F773" s="1"/>
      <c r="G773" s="452"/>
      <c r="H773" s="1"/>
      <c r="I773" s="1"/>
      <c r="J773" s="452"/>
      <c r="K773" s="452"/>
      <c r="L773" s="452"/>
      <c r="M773" s="452"/>
      <c r="N773" s="172"/>
      <c r="O773" s="452"/>
      <c r="P773" s="452"/>
      <c r="Q773" s="452"/>
      <c r="R773" s="452"/>
    </row>
    <row r="774" spans="1:18" ht="15.75" customHeight="1" x14ac:dyDescent="0.3">
      <c r="A774" s="778" t="str">
        <f>+A8</f>
        <v>Revised:  11/25/13</v>
      </c>
      <c r="B774" s="778"/>
      <c r="C774" s="778"/>
      <c r="D774" s="778"/>
      <c r="E774" s="778"/>
      <c r="F774" s="778"/>
      <c r="G774" s="778"/>
      <c r="H774" s="778"/>
      <c r="I774" s="778"/>
      <c r="J774" s="778"/>
      <c r="K774" s="778"/>
      <c r="L774" s="778"/>
      <c r="M774" s="778"/>
      <c r="N774" s="778"/>
      <c r="O774" s="778"/>
      <c r="P774" s="778"/>
      <c r="Q774" s="778"/>
      <c r="R774" s="778"/>
    </row>
    <row r="775" spans="1:18" ht="15.75" customHeight="1" x14ac:dyDescent="0.3">
      <c r="A775" s="448"/>
      <c r="B775" s="448"/>
      <c r="C775" s="448"/>
      <c r="D775" s="448"/>
      <c r="E775" s="448"/>
      <c r="F775" s="448"/>
      <c r="G775" s="448"/>
      <c r="H775" s="448"/>
      <c r="I775" s="448"/>
      <c r="J775" s="448"/>
      <c r="K775" s="448"/>
      <c r="L775" s="448"/>
      <c r="M775" s="448"/>
      <c r="N775" s="448"/>
      <c r="O775" s="448"/>
      <c r="P775" s="448"/>
      <c r="Q775" s="448"/>
      <c r="R775" s="448"/>
    </row>
    <row r="776" spans="1:18" ht="15.75" customHeight="1" x14ac:dyDescent="0.3">
      <c r="A776" s="18"/>
      <c r="B776" s="172"/>
      <c r="C776" s="172"/>
      <c r="D776" s="172"/>
      <c r="E776" s="172"/>
      <c r="F776" s="172"/>
      <c r="G776" s="172"/>
      <c r="H776" s="172"/>
      <c r="I776" s="172"/>
      <c r="J776" s="172"/>
      <c r="K776" s="172"/>
      <c r="L776" s="172"/>
      <c r="M776" s="172"/>
      <c r="N776" s="172"/>
      <c r="O776" s="172"/>
      <c r="P776" s="172"/>
      <c r="Q776" s="172"/>
      <c r="R776" s="17"/>
    </row>
    <row r="777" spans="1:18" ht="15.75" customHeight="1" thickBot="1" x14ac:dyDescent="0.35">
      <c r="A777" s="172"/>
      <c r="B777" s="172"/>
      <c r="C777" s="172"/>
      <c r="D777" s="172"/>
      <c r="E777" s="172"/>
      <c r="F777" s="172"/>
      <c r="G777" s="172"/>
      <c r="H777" s="172"/>
      <c r="I777" s="172"/>
      <c r="J777" s="172"/>
      <c r="K777" s="172"/>
      <c r="L777" s="172"/>
      <c r="M777" s="172"/>
      <c r="N777" s="172"/>
      <c r="O777" s="453"/>
      <c r="P777" s="172"/>
      <c r="Q777" s="172"/>
      <c r="R777" s="17"/>
    </row>
    <row r="778" spans="1:18" ht="15.75" customHeight="1" thickBot="1" x14ac:dyDescent="0.35">
      <c r="A778" s="274" t="s">
        <v>1088</v>
      </c>
      <c r="B778" s="25" t="s">
        <v>2090</v>
      </c>
      <c r="C778" s="26" t="s">
        <v>2091</v>
      </c>
      <c r="D778" s="26" t="s">
        <v>2234</v>
      </c>
      <c r="E778" s="33" t="s">
        <v>1594</v>
      </c>
      <c r="F778" s="26" t="s">
        <v>2235</v>
      </c>
      <c r="G778" s="26" t="s">
        <v>2236</v>
      </c>
      <c r="H778" s="26" t="s">
        <v>2237</v>
      </c>
      <c r="I778" s="33" t="s">
        <v>1595</v>
      </c>
      <c r="J778" s="26" t="s">
        <v>1504</v>
      </c>
      <c r="K778" s="26" t="s">
        <v>1505</v>
      </c>
      <c r="L778" s="26" t="s">
        <v>1506</v>
      </c>
      <c r="M778" s="33" t="s">
        <v>1596</v>
      </c>
      <c r="N778" s="26" t="s">
        <v>1507</v>
      </c>
      <c r="O778" s="26" t="s">
        <v>1508</v>
      </c>
      <c r="P778" s="26" t="s">
        <v>1509</v>
      </c>
      <c r="Q778" s="33" t="s">
        <v>1597</v>
      </c>
      <c r="R778" s="339" t="s">
        <v>1510</v>
      </c>
    </row>
    <row r="779" spans="1:18" ht="16.5" customHeight="1" thickBot="1" x14ac:dyDescent="0.35">
      <c r="A779" s="340"/>
      <c r="B779" s="341"/>
      <c r="C779" s="341"/>
      <c r="D779" s="341"/>
      <c r="E779" s="233"/>
      <c r="F779" s="341"/>
      <c r="G779" s="341"/>
      <c r="H779" s="341"/>
      <c r="I779" s="243"/>
      <c r="J779" s="341"/>
      <c r="K779" s="341"/>
      <c r="L779" s="341"/>
      <c r="M779" s="243"/>
      <c r="N779" s="341"/>
      <c r="O779" s="341"/>
      <c r="P779" s="341"/>
      <c r="Q779" s="279"/>
      <c r="R779" s="342"/>
    </row>
    <row r="780" spans="1:18" ht="16.5" customHeight="1" thickBot="1" x14ac:dyDescent="0.35">
      <c r="A780" s="343" t="s">
        <v>673</v>
      </c>
      <c r="B780" s="344">
        <f>+B746</f>
        <v>28525</v>
      </c>
      <c r="C780" s="344">
        <f>+C746</f>
        <v>24002</v>
      </c>
      <c r="D780" s="344">
        <f>+D746</f>
        <v>29381</v>
      </c>
      <c r="E780" s="45">
        <f>+SUM(B780:D780)</f>
        <v>81908</v>
      </c>
      <c r="F780" s="344">
        <f>+F746</f>
        <v>42041</v>
      </c>
      <c r="G780" s="344">
        <f>+G746</f>
        <v>43393</v>
      </c>
      <c r="H780" s="344">
        <f>+H746</f>
        <v>44413</v>
      </c>
      <c r="I780" s="45">
        <f>+SUM(F780:H780)</f>
        <v>129847</v>
      </c>
      <c r="J780" s="344">
        <f>+J746</f>
        <v>56567</v>
      </c>
      <c r="K780" s="344">
        <f>+K746</f>
        <v>64613</v>
      </c>
      <c r="L780" s="344">
        <f>+L746</f>
        <v>52685</v>
      </c>
      <c r="M780" s="45">
        <f>+SUM(J780:L780)</f>
        <v>173865</v>
      </c>
      <c r="N780" s="344">
        <f>+N746</f>
        <v>46893</v>
      </c>
      <c r="O780" s="344">
        <f>+O746</f>
        <v>31080</v>
      </c>
      <c r="P780" s="344">
        <f>+P746</f>
        <v>32618</v>
      </c>
      <c r="Q780" s="45">
        <f>+SUM(N780:P780)</f>
        <v>110591</v>
      </c>
      <c r="R780" s="37">
        <f>+E780+I780+M780+Q780</f>
        <v>496211</v>
      </c>
    </row>
    <row r="781" spans="1:18" ht="16.5" customHeight="1" thickBot="1" x14ac:dyDescent="0.35">
      <c r="A781" s="35"/>
      <c r="B781" s="45"/>
      <c r="C781" s="45"/>
      <c r="D781" s="45"/>
      <c r="E781" s="45"/>
      <c r="F781" s="45"/>
      <c r="G781" s="45"/>
      <c r="H781" s="45"/>
      <c r="I781" s="45"/>
      <c r="J781" s="45"/>
      <c r="K781" s="45"/>
      <c r="L781" s="45"/>
      <c r="M781" s="45"/>
      <c r="N781" s="45"/>
      <c r="O781" s="45"/>
      <c r="P781" s="45"/>
      <c r="Q781" s="45"/>
      <c r="R781" s="37"/>
    </row>
    <row r="782" spans="1:18" ht="16.5" customHeight="1" thickBot="1" x14ac:dyDescent="0.35">
      <c r="A782" s="343" t="s">
        <v>672</v>
      </c>
      <c r="B782" s="344">
        <f>+B751</f>
        <v>7611</v>
      </c>
      <c r="C782" s="344">
        <f>+C751</f>
        <v>8377</v>
      </c>
      <c r="D782" s="344">
        <f>+D751</f>
        <v>32382</v>
      </c>
      <c r="E782" s="45">
        <f>+SUM(B782:D782)</f>
        <v>48370</v>
      </c>
      <c r="F782" s="344">
        <f>+F751</f>
        <v>61616</v>
      </c>
      <c r="G782" s="344">
        <f>+G751</f>
        <v>44504</v>
      </c>
      <c r="H782" s="344">
        <f>+H751</f>
        <v>78665</v>
      </c>
      <c r="I782" s="45">
        <f>+SUM(F782:H782)</f>
        <v>184785</v>
      </c>
      <c r="J782" s="344">
        <f>+J751</f>
        <v>52163</v>
      </c>
      <c r="K782" s="344">
        <f>+K751</f>
        <v>52385</v>
      </c>
      <c r="L782" s="344">
        <f>+L751</f>
        <v>26934</v>
      </c>
      <c r="M782" s="45">
        <f>+SUM(J782:L782)</f>
        <v>131482</v>
      </c>
      <c r="N782" s="344">
        <f>+N751</f>
        <v>20735</v>
      </c>
      <c r="O782" s="344">
        <f>+O751</f>
        <v>7320</v>
      </c>
      <c r="P782" s="344">
        <f>+P751</f>
        <v>7308</v>
      </c>
      <c r="Q782" s="45">
        <f>+SUM(N782:P782)</f>
        <v>35363</v>
      </c>
      <c r="R782" s="37">
        <f>+E782+I782+M782+Q782</f>
        <v>400000</v>
      </c>
    </row>
    <row r="783" spans="1:18" ht="16.5" customHeight="1" thickBot="1" x14ac:dyDescent="0.35">
      <c r="A783" s="35"/>
      <c r="B783" s="45"/>
      <c r="C783" s="45"/>
      <c r="D783" s="45"/>
      <c r="E783" s="45"/>
      <c r="F783" s="45"/>
      <c r="G783" s="45"/>
      <c r="H783" s="45"/>
      <c r="I783" s="45"/>
      <c r="J783" s="45"/>
      <c r="K783" s="45"/>
      <c r="L783" s="45"/>
      <c r="M783" s="45"/>
      <c r="N783" s="45"/>
      <c r="O783" s="45"/>
      <c r="P783" s="45"/>
      <c r="Q783" s="45"/>
      <c r="R783" s="37"/>
    </row>
    <row r="784" spans="1:18" ht="16.5" customHeight="1" thickBot="1" x14ac:dyDescent="0.35">
      <c r="A784" s="343" t="s">
        <v>1089</v>
      </c>
      <c r="B784" s="344">
        <f>+B755</f>
        <v>12348</v>
      </c>
      <c r="C784" s="344">
        <f>+C755</f>
        <v>15968</v>
      </c>
      <c r="D784" s="344">
        <f>+D755</f>
        <v>39884</v>
      </c>
      <c r="E784" s="45">
        <f>+SUM(B784:D784)</f>
        <v>68200</v>
      </c>
      <c r="F784" s="344">
        <f>+F755</f>
        <v>69974</v>
      </c>
      <c r="G784" s="344">
        <f>+G755</f>
        <v>97784</v>
      </c>
      <c r="H784" s="344">
        <f>+H755</f>
        <v>85741</v>
      </c>
      <c r="I784" s="45">
        <f>+SUM(F784:H784)</f>
        <v>253499</v>
      </c>
      <c r="J784" s="344">
        <f>+J755</f>
        <v>68720</v>
      </c>
      <c r="K784" s="344">
        <f>+K755</f>
        <v>51954</v>
      </c>
      <c r="L784" s="344">
        <f>+L755</f>
        <v>31501</v>
      </c>
      <c r="M784" s="45">
        <f>+SUM(J784:L784)</f>
        <v>152175</v>
      </c>
      <c r="N784" s="344">
        <f>+N755</f>
        <v>29038</v>
      </c>
      <c r="O784" s="344">
        <f>+O755</f>
        <v>10126</v>
      </c>
      <c r="P784" s="344">
        <f>+P755</f>
        <v>19607</v>
      </c>
      <c r="Q784" s="45">
        <f>+SUM(N784:P784)</f>
        <v>58771</v>
      </c>
      <c r="R784" s="37">
        <f>+E784+I784+M784+Q784</f>
        <v>532645</v>
      </c>
    </row>
    <row r="785" spans="1:46" ht="16.5" customHeight="1" thickBot="1" x14ac:dyDescent="0.35">
      <c r="A785" s="35"/>
      <c r="B785" s="45"/>
      <c r="C785" s="45"/>
      <c r="D785" s="45"/>
      <c r="E785" s="45"/>
      <c r="F785" s="45"/>
      <c r="G785" s="45"/>
      <c r="H785" s="45"/>
      <c r="I785" s="45"/>
      <c r="J785" s="45"/>
      <c r="K785" s="45"/>
      <c r="L785" s="45"/>
      <c r="M785" s="45"/>
      <c r="N785" s="45"/>
      <c r="O785" s="45"/>
      <c r="P785" s="45"/>
      <c r="Q785" s="45"/>
      <c r="R785" s="37"/>
    </row>
    <row r="786" spans="1:46" ht="16.5" customHeight="1" thickBot="1" x14ac:dyDescent="0.35">
      <c r="A786" s="343" t="s">
        <v>1090</v>
      </c>
      <c r="B786" s="344">
        <f>+B764</f>
        <v>2510</v>
      </c>
      <c r="C786" s="344">
        <f>+C764</f>
        <v>5140</v>
      </c>
      <c r="D786" s="344">
        <f>+D764</f>
        <v>4350</v>
      </c>
      <c r="E786" s="45">
        <f>+SUM(B786:D786)</f>
        <v>12000</v>
      </c>
      <c r="F786" s="344">
        <f>+F764</f>
        <v>3000</v>
      </c>
      <c r="G786" s="344">
        <f>+G764</f>
        <v>2140</v>
      </c>
      <c r="H786" s="344">
        <f>+H764</f>
        <v>2095</v>
      </c>
      <c r="I786" s="45">
        <f>+SUM(F786:H786)</f>
        <v>7235</v>
      </c>
      <c r="J786" s="344">
        <f>+J764</f>
        <v>1551</v>
      </c>
      <c r="K786" s="344">
        <f>+K764</f>
        <v>10309</v>
      </c>
      <c r="L786" s="344">
        <f>+L764</f>
        <v>7024</v>
      </c>
      <c r="M786" s="45">
        <f>+SUM(J786:L786)</f>
        <v>18884</v>
      </c>
      <c r="N786" s="344">
        <f>+N764</f>
        <v>8587</v>
      </c>
      <c r="O786" s="344">
        <f>+O764</f>
        <v>10898</v>
      </c>
      <c r="P786" s="344">
        <f>+P764</f>
        <v>33544</v>
      </c>
      <c r="Q786" s="45">
        <f>+SUM(N786:P786)</f>
        <v>53029</v>
      </c>
      <c r="R786" s="37">
        <f>+E786+I786+M786+Q786</f>
        <v>91148</v>
      </c>
    </row>
    <row r="787" spans="1:46" ht="16.5" customHeight="1" thickBot="1" x14ac:dyDescent="0.35">
      <c r="A787" s="35"/>
      <c r="B787" s="45"/>
      <c r="C787" s="45"/>
      <c r="D787" s="45"/>
      <c r="E787" s="45"/>
      <c r="F787" s="45"/>
      <c r="G787" s="45"/>
      <c r="H787" s="45"/>
      <c r="I787" s="45"/>
      <c r="J787" s="45"/>
      <c r="K787" s="45"/>
      <c r="L787" s="45"/>
      <c r="M787" s="45"/>
      <c r="N787" s="45"/>
      <c r="O787" s="45"/>
      <c r="P787" s="45"/>
      <c r="Q787" s="45"/>
      <c r="R787" s="37"/>
    </row>
    <row r="788" spans="1:46" ht="16.5" customHeight="1" thickBot="1" x14ac:dyDescent="0.35">
      <c r="A788" s="35" t="s">
        <v>574</v>
      </c>
      <c r="B788" s="47">
        <f t="shared" ref="B788:R788" si="118">+SUM(B780:B786)</f>
        <v>50994</v>
      </c>
      <c r="C788" s="47">
        <f t="shared" si="118"/>
        <v>53487</v>
      </c>
      <c r="D788" s="47">
        <f t="shared" si="118"/>
        <v>105997</v>
      </c>
      <c r="E788" s="47">
        <f t="shared" si="118"/>
        <v>210478</v>
      </c>
      <c r="F788" s="47">
        <f t="shared" si="118"/>
        <v>176631</v>
      </c>
      <c r="G788" s="47">
        <f t="shared" si="118"/>
        <v>187821</v>
      </c>
      <c r="H788" s="47">
        <f t="shared" si="118"/>
        <v>210914</v>
      </c>
      <c r="I788" s="47">
        <f t="shared" si="118"/>
        <v>575366</v>
      </c>
      <c r="J788" s="47">
        <f t="shared" si="118"/>
        <v>179001</v>
      </c>
      <c r="K788" s="47">
        <f t="shared" si="118"/>
        <v>179261</v>
      </c>
      <c r="L788" s="47">
        <f t="shared" si="118"/>
        <v>118144</v>
      </c>
      <c r="M788" s="47">
        <f t="shared" si="118"/>
        <v>476406</v>
      </c>
      <c r="N788" s="47">
        <f t="shared" si="118"/>
        <v>105253</v>
      </c>
      <c r="O788" s="47">
        <f t="shared" si="118"/>
        <v>59424</v>
      </c>
      <c r="P788" s="47">
        <f t="shared" si="118"/>
        <v>93077</v>
      </c>
      <c r="Q788" s="47">
        <f t="shared" si="118"/>
        <v>257754</v>
      </c>
      <c r="R788" s="345">
        <f t="shared" si="118"/>
        <v>1520004</v>
      </c>
    </row>
    <row r="789" spans="1:46" ht="15.75" customHeight="1" x14ac:dyDescent="0.35">
      <c r="A789" s="201"/>
      <c r="B789" s="286"/>
      <c r="C789" s="286"/>
      <c r="D789" s="286"/>
      <c r="E789" s="286"/>
      <c r="F789" s="286"/>
      <c r="G789" s="286"/>
      <c r="H789" s="544" t="s">
        <v>2538</v>
      </c>
      <c r="I789" s="286"/>
      <c r="J789" s="286"/>
      <c r="K789" s="286"/>
      <c r="L789" s="286"/>
      <c r="M789" s="286"/>
      <c r="N789" s="286"/>
      <c r="O789" s="286"/>
      <c r="P789" s="286"/>
      <c r="Q789" s="286"/>
      <c r="R789" s="286"/>
    </row>
    <row r="790" spans="1:46" ht="15.75" customHeight="1" x14ac:dyDescent="0.35">
      <c r="A790" s="201"/>
      <c r="B790" s="286"/>
      <c r="C790" s="286"/>
      <c r="D790" s="286"/>
      <c r="E790" s="286"/>
      <c r="F790" s="286"/>
      <c r="G790" s="286"/>
      <c r="H790" s="544"/>
      <c r="I790" s="286"/>
      <c r="J790" s="286"/>
      <c r="K790" s="286"/>
      <c r="L790" s="286"/>
      <c r="M790" s="286"/>
      <c r="N790" s="286"/>
      <c r="O790" s="286"/>
      <c r="P790" s="286"/>
      <c r="Q790" s="286"/>
      <c r="R790" s="286"/>
    </row>
    <row r="791" spans="1:46" ht="15.75" customHeight="1" thickBot="1" x14ac:dyDescent="0.4">
      <c r="A791" s="201"/>
      <c r="B791" s="286"/>
      <c r="C791" s="286"/>
      <c r="D791" s="286"/>
      <c r="E791" s="286"/>
      <c r="F791" s="286"/>
      <c r="G791" s="286"/>
      <c r="H791" s="544"/>
      <c r="I791" s="286"/>
      <c r="J791" s="286"/>
      <c r="K791" s="286"/>
      <c r="L791" s="286"/>
      <c r="M791" s="286"/>
      <c r="N791" s="286"/>
      <c r="O791" s="286"/>
      <c r="P791" s="286"/>
      <c r="Q791" s="286"/>
      <c r="R791" s="286"/>
    </row>
    <row r="792" spans="1:46" ht="15.75" customHeight="1" x14ac:dyDescent="0.3">
      <c r="A792" s="651"/>
      <c r="B792" s="782" t="s">
        <v>864</v>
      </c>
      <c r="C792" s="782"/>
      <c r="D792" s="782"/>
      <c r="E792" s="782"/>
      <c r="F792" s="782"/>
      <c r="G792" s="782"/>
      <c r="H792" s="782"/>
      <c r="I792" s="782"/>
      <c r="J792" s="782"/>
      <c r="K792" s="782"/>
      <c r="L792" s="782"/>
      <c r="M792" s="782"/>
      <c r="N792" s="782"/>
      <c r="O792" s="782"/>
      <c r="P792" s="782"/>
      <c r="Q792" s="549" t="str">
        <f>+Q1</f>
        <v>PRINTED:</v>
      </c>
      <c r="R792" s="550">
        <f ca="1">+R1</f>
        <v>44881.729634027775</v>
      </c>
    </row>
    <row r="793" spans="1:46" ht="15.75" customHeight="1" thickBot="1" x14ac:dyDescent="0.35">
      <c r="A793" s="553"/>
      <c r="B793" s="786" t="str">
        <f>+A8</f>
        <v>Revised:  11/25/13</v>
      </c>
      <c r="C793" s="786"/>
      <c r="D793" s="786"/>
      <c r="E793" s="786"/>
      <c r="F793" s="786"/>
      <c r="G793" s="786"/>
      <c r="H793" s="786"/>
      <c r="I793" s="786"/>
      <c r="J793" s="786"/>
      <c r="K793" s="786"/>
      <c r="L793" s="786"/>
      <c r="M793" s="786"/>
      <c r="N793" s="786"/>
      <c r="O793" s="786"/>
      <c r="P793" s="786"/>
      <c r="Q793" s="67"/>
      <c r="R793" s="552"/>
    </row>
    <row r="794" spans="1:46" ht="15.75" customHeight="1" x14ac:dyDescent="0.3">
      <c r="A794" s="553"/>
      <c r="B794" s="786" t="s">
        <v>2878</v>
      </c>
      <c r="C794" s="786"/>
      <c r="D794" s="786"/>
      <c r="E794" s="786"/>
      <c r="F794" s="786"/>
      <c r="G794" s="786"/>
      <c r="H794" s="786"/>
      <c r="I794" s="786"/>
      <c r="J794" s="786"/>
      <c r="K794" s="786"/>
      <c r="L794" s="786"/>
      <c r="M794" s="786"/>
      <c r="N794" s="786"/>
      <c r="O794" s="786"/>
      <c r="P794" s="786"/>
      <c r="Q794" s="67"/>
      <c r="R794" s="552"/>
      <c r="AC794" s="546"/>
      <c r="AD794" s="547"/>
      <c r="AE794" s="549" t="s">
        <v>2434</v>
      </c>
      <c r="AF794" s="547"/>
      <c r="AG794" s="547"/>
      <c r="AH794" s="547"/>
      <c r="AI794" s="547"/>
      <c r="AJ794" s="547"/>
      <c r="AK794" s="547" t="s">
        <v>2435</v>
      </c>
      <c r="AL794" s="547"/>
      <c r="AM794" s="547" t="s">
        <v>852</v>
      </c>
      <c r="AN794" s="557" t="str">
        <f>+A8</f>
        <v>Revised:  11/25/13</v>
      </c>
      <c r="AO794" s="547"/>
      <c r="AP794" s="547"/>
      <c r="AQ794" s="547"/>
      <c r="AR794" s="547"/>
      <c r="AS794" s="549" t="str">
        <f>+Q1</f>
        <v>PRINTED:</v>
      </c>
      <c r="AT794" s="550">
        <f ca="1">+R1</f>
        <v>44881.729634027775</v>
      </c>
    </row>
    <row r="795" spans="1:46" ht="15.75" customHeight="1" x14ac:dyDescent="0.3">
      <c r="A795" s="553"/>
      <c r="B795" s="786"/>
      <c r="C795" s="786"/>
      <c r="D795" s="786"/>
      <c r="E795" s="786"/>
      <c r="F795" s="786"/>
      <c r="G795" s="786"/>
      <c r="H795" s="786"/>
      <c r="I795" s="786"/>
      <c r="J795" s="786"/>
      <c r="K795" s="786"/>
      <c r="L795" s="786"/>
      <c r="M795" s="786"/>
      <c r="N795" s="786"/>
      <c r="O795" s="786"/>
      <c r="P795" s="786"/>
      <c r="Q795" s="67"/>
      <c r="R795" s="552"/>
      <c r="AC795" s="551"/>
      <c r="AD795" s="67"/>
      <c r="AE795" s="67"/>
      <c r="AF795" s="67">
        <f>++A5</f>
        <v>2013</v>
      </c>
      <c r="AG795" s="67"/>
      <c r="AH795" s="67"/>
      <c r="AI795" s="67"/>
      <c r="AJ795" s="67"/>
      <c r="AK795" s="67"/>
      <c r="AL795" s="67"/>
      <c r="AM795" s="67"/>
      <c r="AN795" s="67"/>
      <c r="AO795" s="67"/>
      <c r="AP795" s="67"/>
      <c r="AQ795" s="67"/>
      <c r="AR795" s="67"/>
      <c r="AS795" s="67"/>
      <c r="AT795" s="552"/>
    </row>
    <row r="796" spans="1:46" ht="15.75" customHeight="1" x14ac:dyDescent="0.3">
      <c r="A796" s="553"/>
      <c r="B796" s="845">
        <f>+A5</f>
        <v>2013</v>
      </c>
      <c r="C796" s="845"/>
      <c r="D796" s="845"/>
      <c r="E796" s="845"/>
      <c r="F796" s="845"/>
      <c r="G796" s="845"/>
      <c r="H796" s="845"/>
      <c r="I796" s="845"/>
      <c r="J796" s="845"/>
      <c r="K796" s="845"/>
      <c r="L796" s="845"/>
      <c r="M796" s="845"/>
      <c r="N796" s="845"/>
      <c r="O796" s="845"/>
      <c r="P796" s="845"/>
      <c r="Q796" s="67"/>
      <c r="R796" s="552"/>
      <c r="AC796" s="551"/>
      <c r="AD796" s="67"/>
      <c r="AE796" s="67"/>
      <c r="AF796" s="67"/>
      <c r="AG796" s="67"/>
      <c r="AH796" s="67"/>
      <c r="AI796" s="67"/>
      <c r="AJ796" s="67"/>
      <c r="AK796" s="67"/>
      <c r="AL796" s="67"/>
      <c r="AM796" s="67"/>
      <c r="AN796" s="67"/>
      <c r="AO796" s="67"/>
      <c r="AP796" s="67"/>
      <c r="AQ796" s="67"/>
      <c r="AR796" s="67"/>
      <c r="AS796" s="67"/>
      <c r="AT796" s="552"/>
    </row>
    <row r="797" spans="1:46" ht="15.75" customHeight="1" x14ac:dyDescent="0.3">
      <c r="A797" s="553"/>
      <c r="B797" s="786" t="s">
        <v>1306</v>
      </c>
      <c r="C797" s="786"/>
      <c r="D797" s="786"/>
      <c r="E797" s="786"/>
      <c r="F797" s="786"/>
      <c r="G797" s="786"/>
      <c r="H797" s="786"/>
      <c r="I797" s="786"/>
      <c r="J797" s="786"/>
      <c r="K797" s="786"/>
      <c r="L797" s="786"/>
      <c r="M797" s="786"/>
      <c r="N797" s="786"/>
      <c r="O797" s="786"/>
      <c r="P797" s="786"/>
      <c r="Q797" s="67"/>
      <c r="R797" s="552"/>
      <c r="AC797" s="551"/>
      <c r="AD797" s="67"/>
      <c r="AE797" s="67"/>
      <c r="AF797" s="67"/>
      <c r="AG797" s="67"/>
      <c r="AH797" s="67"/>
      <c r="AI797" s="70" t="s">
        <v>2438</v>
      </c>
      <c r="AJ797" s="67"/>
      <c r="AK797" s="67"/>
      <c r="AL797" s="67"/>
      <c r="AM797" s="67"/>
      <c r="AN797" s="67"/>
      <c r="AO797" s="67"/>
      <c r="AP797" s="67"/>
      <c r="AQ797" s="67"/>
      <c r="AR797" s="67"/>
      <c r="AS797" s="67"/>
      <c r="AT797" s="552"/>
    </row>
    <row r="798" spans="1:46" ht="15.75" customHeight="1" x14ac:dyDescent="0.3">
      <c r="A798" s="553"/>
      <c r="B798" s="67"/>
      <c r="C798" s="67"/>
      <c r="D798" s="67"/>
      <c r="E798" s="67"/>
      <c r="F798" s="67"/>
      <c r="G798" s="67"/>
      <c r="H798" s="67"/>
      <c r="I798" s="67"/>
      <c r="J798" s="67"/>
      <c r="K798" s="67"/>
      <c r="L798" s="67"/>
      <c r="M798" s="67"/>
      <c r="N798" s="67"/>
      <c r="O798" s="67"/>
      <c r="P798" s="67"/>
      <c r="Q798" s="67"/>
      <c r="R798" s="552"/>
      <c r="AC798" s="551"/>
      <c r="AD798" s="67" t="s">
        <v>2435</v>
      </c>
      <c r="AE798" s="67"/>
      <c r="AF798" s="70" t="s">
        <v>2436</v>
      </c>
      <c r="AG798" s="70" t="s">
        <v>2436</v>
      </c>
      <c r="AH798" s="70" t="s">
        <v>2437</v>
      </c>
      <c r="AI798" s="70" t="s">
        <v>525</v>
      </c>
      <c r="AJ798" s="70" t="s">
        <v>2439</v>
      </c>
      <c r="AK798" s="70" t="s">
        <v>2463</v>
      </c>
      <c r="AL798" s="70" t="s">
        <v>2356</v>
      </c>
      <c r="AM798" s="67" t="s">
        <v>2435</v>
      </c>
      <c r="AN798" s="70" t="s">
        <v>2464</v>
      </c>
      <c r="AO798" s="70" t="s">
        <v>2464</v>
      </c>
      <c r="AP798" s="70" t="s">
        <v>2464</v>
      </c>
      <c r="AQ798" s="67"/>
      <c r="AR798" s="67"/>
      <c r="AS798" s="67"/>
      <c r="AT798" s="552"/>
    </row>
    <row r="799" spans="1:46" ht="15.75" customHeight="1" thickBot="1" x14ac:dyDescent="0.4">
      <c r="A799" s="553" t="s">
        <v>1307</v>
      </c>
      <c r="B799" s="634" t="s">
        <v>1308</v>
      </c>
      <c r="C799" s="634" t="s">
        <v>1309</v>
      </c>
      <c r="D799" s="634" t="s">
        <v>1029</v>
      </c>
      <c r="E799" s="634" t="s">
        <v>1030</v>
      </c>
      <c r="F799" s="634" t="s">
        <v>284</v>
      </c>
      <c r="G799" s="634" t="s">
        <v>284</v>
      </c>
      <c r="H799" s="634" t="s">
        <v>285</v>
      </c>
      <c r="I799" s="634" t="s">
        <v>286</v>
      </c>
      <c r="J799" s="634" t="s">
        <v>287</v>
      </c>
      <c r="K799" s="634" t="s">
        <v>288</v>
      </c>
      <c r="L799" s="634" t="s">
        <v>289</v>
      </c>
      <c r="M799" s="634" t="s">
        <v>633</v>
      </c>
      <c r="N799" s="634" t="s">
        <v>634</v>
      </c>
      <c r="O799" s="634" t="s">
        <v>1192</v>
      </c>
      <c r="P799" s="634" t="s">
        <v>524</v>
      </c>
      <c r="Q799" s="634" t="s">
        <v>525</v>
      </c>
      <c r="R799" s="552"/>
      <c r="AC799" s="551"/>
      <c r="AD799" s="70" t="s">
        <v>284</v>
      </c>
      <c r="AE799" s="70" t="s">
        <v>2379</v>
      </c>
      <c r="AF799" s="70" t="s">
        <v>844</v>
      </c>
      <c r="AG799" s="70" t="s">
        <v>844</v>
      </c>
      <c r="AH799" s="70" t="s">
        <v>845</v>
      </c>
      <c r="AI799" s="214" t="s">
        <v>955</v>
      </c>
      <c r="AJ799" s="70" t="s">
        <v>275</v>
      </c>
      <c r="AK799" s="70" t="s">
        <v>276</v>
      </c>
      <c r="AL799" s="70" t="s">
        <v>1554</v>
      </c>
      <c r="AM799" s="67" t="s">
        <v>2435</v>
      </c>
      <c r="AN799" s="70" t="s">
        <v>1555</v>
      </c>
      <c r="AO799" s="70" t="s">
        <v>955</v>
      </c>
      <c r="AP799" s="70" t="s">
        <v>1194</v>
      </c>
      <c r="AQ799" s="67"/>
      <c r="AR799" s="67"/>
      <c r="AS799" s="67"/>
      <c r="AT799" s="552"/>
    </row>
    <row r="800" spans="1:46" ht="15.75" customHeight="1" x14ac:dyDescent="0.3">
      <c r="A800" s="553" t="s">
        <v>526</v>
      </c>
      <c r="B800" s="67"/>
      <c r="C800" s="67"/>
      <c r="D800" s="67"/>
      <c r="E800" s="67"/>
      <c r="F800" s="70" t="s">
        <v>1193</v>
      </c>
      <c r="G800" s="70" t="s">
        <v>1194</v>
      </c>
      <c r="H800" s="67"/>
      <c r="I800" s="67"/>
      <c r="J800" s="67"/>
      <c r="K800" s="67"/>
      <c r="L800" s="67"/>
      <c r="M800" s="67"/>
      <c r="N800" s="67"/>
      <c r="O800" s="67"/>
      <c r="P800" s="67"/>
      <c r="Q800" s="67"/>
      <c r="R800" s="552"/>
      <c r="AC800" s="551"/>
      <c r="AD800" s="70" t="s">
        <v>1193</v>
      </c>
      <c r="AE800" s="70" t="s">
        <v>956</v>
      </c>
      <c r="AF800" s="70" t="s">
        <v>333</v>
      </c>
      <c r="AG800" s="70" t="s">
        <v>334</v>
      </c>
      <c r="AH800" s="70" t="s">
        <v>335</v>
      </c>
      <c r="AI800" s="70" t="s">
        <v>335</v>
      </c>
      <c r="AJ800" s="70" t="s">
        <v>335</v>
      </c>
      <c r="AK800" s="70" t="s">
        <v>335</v>
      </c>
      <c r="AL800" s="70" t="s">
        <v>1486</v>
      </c>
      <c r="AM800" s="67" t="s">
        <v>2435</v>
      </c>
      <c r="AN800" s="70" t="s">
        <v>1487</v>
      </c>
      <c r="AO800" s="70" t="s">
        <v>929</v>
      </c>
      <c r="AP800" s="70" t="s">
        <v>929</v>
      </c>
      <c r="AQ800" s="67"/>
      <c r="AR800" s="67"/>
      <c r="AS800" s="67"/>
      <c r="AT800" s="552"/>
    </row>
    <row r="801" spans="1:46" ht="15.75" customHeight="1" x14ac:dyDescent="0.3">
      <c r="A801" s="553" t="s">
        <v>1195</v>
      </c>
      <c r="B801" s="632">
        <v>957</v>
      </c>
      <c r="C801" s="632">
        <v>122</v>
      </c>
      <c r="D801" s="632">
        <v>128</v>
      </c>
      <c r="E801" s="632">
        <v>219</v>
      </c>
      <c r="F801" s="632"/>
      <c r="G801" s="632"/>
      <c r="H801" s="632">
        <v>97</v>
      </c>
      <c r="I801" s="632">
        <v>160</v>
      </c>
      <c r="J801" s="632">
        <v>250</v>
      </c>
      <c r="K801" s="632">
        <v>260</v>
      </c>
      <c r="L801" s="632">
        <v>100</v>
      </c>
      <c r="M801" s="632">
        <v>118</v>
      </c>
      <c r="N801" s="632">
        <v>250</v>
      </c>
      <c r="O801" s="632">
        <v>190</v>
      </c>
      <c r="P801" s="632">
        <v>340</v>
      </c>
      <c r="Q801" s="632">
        <v>450</v>
      </c>
      <c r="R801" s="552"/>
      <c r="T801" s="350" t="s">
        <v>2756</v>
      </c>
      <c r="AC801" s="551"/>
      <c r="AD801" s="70" t="s">
        <v>930</v>
      </c>
      <c r="AE801" s="70" t="s">
        <v>931</v>
      </c>
      <c r="AF801" s="70" t="s">
        <v>932</v>
      </c>
      <c r="AG801" s="70" t="s">
        <v>932</v>
      </c>
      <c r="AH801" s="70" t="s">
        <v>932</v>
      </c>
      <c r="AI801" s="70" t="s">
        <v>932</v>
      </c>
      <c r="AJ801" s="70" t="s">
        <v>932</v>
      </c>
      <c r="AK801" s="70" t="s">
        <v>932</v>
      </c>
      <c r="AL801" s="70" t="s">
        <v>932</v>
      </c>
      <c r="AM801" s="67" t="s">
        <v>2435</v>
      </c>
      <c r="AN801" s="70" t="s">
        <v>946</v>
      </c>
      <c r="AO801" s="70" t="s">
        <v>946</v>
      </c>
      <c r="AP801" s="70" t="s">
        <v>946</v>
      </c>
      <c r="AQ801" s="67"/>
      <c r="AR801" s="67"/>
      <c r="AS801" s="67"/>
      <c r="AT801" s="552"/>
    </row>
    <row r="802" spans="1:46" ht="15.75" customHeight="1" x14ac:dyDescent="0.3">
      <c r="A802" s="553"/>
      <c r="B802" s="67" t="s">
        <v>1353</v>
      </c>
      <c r="C802" s="67" t="s">
        <v>1353</v>
      </c>
      <c r="D802" s="67" t="s">
        <v>1353</v>
      </c>
      <c r="E802" s="67" t="s">
        <v>1353</v>
      </c>
      <c r="F802" s="67" t="s">
        <v>1353</v>
      </c>
      <c r="G802" s="67" t="s">
        <v>1353</v>
      </c>
      <c r="H802" s="67" t="s">
        <v>1353</v>
      </c>
      <c r="I802" s="67" t="s">
        <v>1353</v>
      </c>
      <c r="J802" s="67" t="s">
        <v>1353</v>
      </c>
      <c r="K802" s="67" t="s">
        <v>1353</v>
      </c>
      <c r="L802" s="67" t="s">
        <v>1353</v>
      </c>
      <c r="M802" s="67" t="s">
        <v>1353</v>
      </c>
      <c r="N802" s="67" t="s">
        <v>1353</v>
      </c>
      <c r="O802" s="67" t="s">
        <v>1353</v>
      </c>
      <c r="P802" s="67" t="s">
        <v>1353</v>
      </c>
      <c r="Q802" s="67" t="s">
        <v>1353</v>
      </c>
      <c r="R802" s="552"/>
      <c r="AC802" s="551"/>
      <c r="AD802" s="67" t="s">
        <v>1353</v>
      </c>
      <c r="AE802" s="67" t="s">
        <v>1353</v>
      </c>
      <c r="AF802" s="67" t="s">
        <v>1353</v>
      </c>
      <c r="AG802" s="67" t="s">
        <v>1353</v>
      </c>
      <c r="AH802" s="67" t="s">
        <v>1353</v>
      </c>
      <c r="AI802" s="67" t="s">
        <v>1353</v>
      </c>
      <c r="AJ802" s="67" t="s">
        <v>1353</v>
      </c>
      <c r="AK802" s="67" t="s">
        <v>1353</v>
      </c>
      <c r="AL802" s="67" t="s">
        <v>1353</v>
      </c>
      <c r="AM802" s="67" t="s">
        <v>2435</v>
      </c>
      <c r="AN802" s="67" t="s">
        <v>1353</v>
      </c>
      <c r="AO802" s="67" t="s">
        <v>1353</v>
      </c>
      <c r="AP802" s="67" t="s">
        <v>1353</v>
      </c>
      <c r="AQ802" s="67"/>
      <c r="AR802" s="67"/>
      <c r="AS802" s="67"/>
      <c r="AT802" s="552"/>
    </row>
    <row r="803" spans="1:46" ht="15.75" customHeight="1" x14ac:dyDescent="0.3">
      <c r="A803" s="139" t="s">
        <v>2843</v>
      </c>
      <c r="B803" s="67">
        <f>+B29</f>
        <v>81083</v>
      </c>
      <c r="C803" s="67">
        <f>+B64</f>
        <v>80986</v>
      </c>
      <c r="D803" s="67">
        <f>+B130</f>
        <v>80890</v>
      </c>
      <c r="E803" s="67">
        <f>+B270</f>
        <v>78934</v>
      </c>
      <c r="F803" s="67">
        <f>+B265</f>
        <v>54064</v>
      </c>
      <c r="G803" s="67">
        <f>+B277</f>
        <v>-24714</v>
      </c>
      <c r="H803" s="67">
        <f>+B402</f>
        <v>30420</v>
      </c>
      <c r="I803" s="67">
        <f>+B449</f>
        <v>16452</v>
      </c>
      <c r="J803" s="67">
        <f>+B491</f>
        <v>16083</v>
      </c>
      <c r="K803" s="67">
        <f>+B544</f>
        <v>15384</v>
      </c>
      <c r="L803" s="67">
        <f>+B554</f>
        <v>14474</v>
      </c>
      <c r="M803" s="67">
        <f>+B590</f>
        <v>14454</v>
      </c>
      <c r="N803" s="67">
        <f>+B634</f>
        <v>14444</v>
      </c>
      <c r="O803" s="67">
        <f>+B644</f>
        <v>2854</v>
      </c>
      <c r="P803" s="67">
        <f>+B678</f>
        <v>538</v>
      </c>
      <c r="Q803" s="67">
        <f>+B724</f>
        <v>2828</v>
      </c>
      <c r="R803" s="552"/>
      <c r="T803" s="619">
        <f>'Lake Pleasant Forecast'!B35</f>
        <v>1692.1</v>
      </c>
      <c r="AC803" s="553" t="s">
        <v>1354</v>
      </c>
      <c r="AD803" s="67">
        <f t="shared" ref="AD803:AD814" si="119">(F803)</f>
        <v>54064</v>
      </c>
      <c r="AE803" s="67">
        <f t="shared" ref="AE803:AE814" si="120">SUM($B$801:$E$801)+(T803-1526.8)/0.7702</f>
        <v>1640.619579330044</v>
      </c>
      <c r="AF803" s="67">
        <f>(AD803*AE803/1000)</f>
        <v>88698.4569368995</v>
      </c>
      <c r="AG803" s="67">
        <f t="shared" ref="AG803:AG814" si="121">(((B803-F803)*B$801)+((C803-F803)*C$801)+((D803-F803)*D$801)+((E803-F803)*E$801))/1000</f>
        <v>38021.925000000003</v>
      </c>
      <c r="AH803" s="67">
        <f>(AF803+AG803)</f>
        <v>126720.3819368995</v>
      </c>
      <c r="AI803" s="67">
        <f t="shared" ref="AI803:AI814" si="122">SUM(H858:Q858)</f>
        <v>22365.401999999995</v>
      </c>
      <c r="AJ803" s="67">
        <f>+AH803+AI803</f>
        <v>149085.7839368995</v>
      </c>
      <c r="AK803" s="67">
        <f t="shared" ref="AK803:AK810" si="123">(G886)</f>
        <v>3751</v>
      </c>
      <c r="AL803" s="67">
        <f t="shared" ref="AL803:AL814" si="124">(AJ803-AK803)</f>
        <v>145334.7839368995</v>
      </c>
      <c r="AM803" s="67" t="s">
        <v>2435</v>
      </c>
      <c r="AN803" s="67">
        <f>+B803/31/1.98</f>
        <v>1321.0003258390354</v>
      </c>
      <c r="AO803" s="67">
        <f>(AD803*43560/31/24/3600)</f>
        <v>879.26666666666665</v>
      </c>
      <c r="AP803" s="67">
        <f>+B280</f>
        <v>-402.03015958225564</v>
      </c>
      <c r="AQ803" s="67"/>
      <c r="AR803" s="67"/>
      <c r="AS803" s="67"/>
      <c r="AT803" s="552"/>
    </row>
    <row r="804" spans="1:46" ht="15.75" customHeight="1" x14ac:dyDescent="0.3">
      <c r="A804" s="139" t="s">
        <v>2091</v>
      </c>
      <c r="B804" s="67">
        <f>+C29</f>
        <v>146057</v>
      </c>
      <c r="C804" s="67">
        <f>+C64</f>
        <v>145909</v>
      </c>
      <c r="D804" s="67">
        <f>+C130</f>
        <v>145736</v>
      </c>
      <c r="E804" s="67">
        <f>+C270</f>
        <v>143928</v>
      </c>
      <c r="F804" s="67">
        <f>+C265</f>
        <v>89116</v>
      </c>
      <c r="G804" s="67">
        <f>+C277</f>
        <v>0</v>
      </c>
      <c r="H804" s="67">
        <f>+C402</f>
        <v>36991</v>
      </c>
      <c r="I804" s="67">
        <f>+C449</f>
        <v>18357</v>
      </c>
      <c r="J804" s="67">
        <f>+C491</f>
        <v>17938</v>
      </c>
      <c r="K804" s="67">
        <f>+C544</f>
        <v>17486</v>
      </c>
      <c r="L804" s="67">
        <f>+C554</f>
        <v>16339</v>
      </c>
      <c r="M804" s="67">
        <f>+C590</f>
        <v>16317</v>
      </c>
      <c r="N804" s="67">
        <f>+C634</f>
        <v>16306</v>
      </c>
      <c r="O804" s="67">
        <f>+C644</f>
        <v>3058</v>
      </c>
      <c r="P804" s="67">
        <f>+C678</f>
        <v>119</v>
      </c>
      <c r="Q804" s="67">
        <f>+C724</f>
        <v>3025</v>
      </c>
      <c r="R804" s="552"/>
      <c r="T804" s="619">
        <f>'Lake Pleasant Forecast'!B37</f>
        <v>1692.6399999999999</v>
      </c>
      <c r="AC804" s="553" t="s">
        <v>706</v>
      </c>
      <c r="AD804" s="67">
        <f t="shared" si="119"/>
        <v>89116</v>
      </c>
      <c r="AE804" s="67">
        <f t="shared" si="120"/>
        <v>1641.3206959231368</v>
      </c>
      <c r="AF804" s="67">
        <f>(AD804*AE804/1000)</f>
        <v>146267.93513788626</v>
      </c>
      <c r="AG804" s="67">
        <f t="shared" si="121"/>
        <v>80672.471000000005</v>
      </c>
      <c r="AH804" s="67">
        <f t="shared" ref="AH804:AH814" si="125">(AF804+AG804)</f>
        <v>226940.40613788628</v>
      </c>
      <c r="AI804" s="67">
        <f t="shared" si="122"/>
        <v>25174.643</v>
      </c>
      <c r="AJ804" s="67">
        <f t="shared" ref="AJ804:AJ814" si="126">+AH804+AI804</f>
        <v>252115.04913788629</v>
      </c>
      <c r="AK804" s="67">
        <f t="shared" si="123"/>
        <v>0</v>
      </c>
      <c r="AL804" s="67">
        <f t="shared" si="124"/>
        <v>252115.04913788629</v>
      </c>
      <c r="AM804" s="67" t="s">
        <v>2435</v>
      </c>
      <c r="AN804" s="67">
        <f>+B804/28/1.98</f>
        <v>2634.5057720057721</v>
      </c>
      <c r="AO804" s="67">
        <f>(AD804*43560/29/24/3600)</f>
        <v>1549.2867816091953</v>
      </c>
      <c r="AP804" s="67">
        <f>+C280</f>
        <v>0</v>
      </c>
      <c r="AQ804" s="67"/>
      <c r="AR804" s="67"/>
      <c r="AS804" s="67"/>
      <c r="AT804" s="552"/>
    </row>
    <row r="805" spans="1:46" ht="15.75" customHeight="1" x14ac:dyDescent="0.3">
      <c r="A805" s="139" t="s">
        <v>2234</v>
      </c>
      <c r="B805" s="67">
        <f>+D29</f>
        <v>178756</v>
      </c>
      <c r="C805" s="67">
        <f>+D64</f>
        <v>178482</v>
      </c>
      <c r="D805" s="67">
        <f>+D130</f>
        <v>178180</v>
      </c>
      <c r="E805" s="67">
        <f>+D270</f>
        <v>172020</v>
      </c>
      <c r="F805" s="67">
        <f>+D265</f>
        <v>66664</v>
      </c>
      <c r="G805" s="67">
        <f>+D277</f>
        <v>0</v>
      </c>
      <c r="H805" s="67">
        <f>+D402</f>
        <v>78562</v>
      </c>
      <c r="I805" s="67">
        <f>+D449</f>
        <v>30605</v>
      </c>
      <c r="J805" s="67">
        <f>+D491</f>
        <v>22331</v>
      </c>
      <c r="K805" s="67">
        <f>+D544</f>
        <v>19825</v>
      </c>
      <c r="L805" s="67">
        <f>+D554</f>
        <v>17202</v>
      </c>
      <c r="M805" s="67">
        <f>+D590</f>
        <v>17174</v>
      </c>
      <c r="N805" s="67">
        <f>+D634</f>
        <v>17114</v>
      </c>
      <c r="O805" s="67">
        <f>+D644</f>
        <v>4042</v>
      </c>
      <c r="P805" s="67">
        <f>+D678</f>
        <v>4712</v>
      </c>
      <c r="Q805" s="67">
        <f>+D724</f>
        <v>3996</v>
      </c>
      <c r="R805" s="552"/>
      <c r="T805" s="619">
        <f>'Lake Pleasant Forecast'!B39</f>
        <v>1698.210002846133</v>
      </c>
      <c r="AC805" s="553" t="s">
        <v>707</v>
      </c>
      <c r="AD805" s="67">
        <f t="shared" si="119"/>
        <v>66664</v>
      </c>
      <c r="AE805" s="67">
        <f t="shared" si="120"/>
        <v>1648.5525874397988</v>
      </c>
      <c r="AF805" s="67">
        <f t="shared" ref="AF805:AF814" si="127">(AD805*AE805/1000)</f>
        <v>109899.10968908675</v>
      </c>
      <c r="AG805" s="67">
        <f t="shared" si="121"/>
        <v>158260.85200000001</v>
      </c>
      <c r="AH805" s="67">
        <f t="shared" si="125"/>
        <v>268159.96168908675</v>
      </c>
      <c r="AI805" s="67">
        <f t="shared" si="122"/>
        <v>35448.055999999997</v>
      </c>
      <c r="AJ805" s="67">
        <f t="shared" si="126"/>
        <v>303608.01768908673</v>
      </c>
      <c r="AK805" s="67">
        <f t="shared" si="123"/>
        <v>0</v>
      </c>
      <c r="AL805" s="67">
        <f t="shared" si="124"/>
        <v>303608.01768908673</v>
      </c>
      <c r="AM805" s="67" t="s">
        <v>2435</v>
      </c>
      <c r="AN805" s="67">
        <f>+B805/31/1.98</f>
        <v>2912.2841316389704</v>
      </c>
      <c r="AO805" s="67">
        <f>(AD805*43560/31/24/3600)</f>
        <v>1084.1860215053764</v>
      </c>
      <c r="AP805" s="67">
        <f>+D280</f>
        <v>0</v>
      </c>
      <c r="AQ805" s="67"/>
      <c r="AR805" s="67"/>
      <c r="AS805" s="67"/>
      <c r="AT805" s="552"/>
    </row>
    <row r="806" spans="1:46" ht="15.75" customHeight="1" x14ac:dyDescent="0.3">
      <c r="A806" s="139" t="s">
        <v>2235</v>
      </c>
      <c r="B806" s="67">
        <f>+F29</f>
        <v>150717</v>
      </c>
      <c r="C806" s="67">
        <f>+F64</f>
        <v>150350</v>
      </c>
      <c r="D806" s="67">
        <f>+F130</f>
        <v>149886</v>
      </c>
      <c r="E806" s="67">
        <f>+F270</f>
        <v>141106</v>
      </c>
      <c r="F806" s="67">
        <f>+F265</f>
        <v>316</v>
      </c>
      <c r="G806" s="67">
        <f>+F277</f>
        <v>-34341</v>
      </c>
      <c r="H806" s="67">
        <f>+F402</f>
        <v>131576</v>
      </c>
      <c r="I806" s="67">
        <f>+F449</f>
        <v>51626</v>
      </c>
      <c r="J806" s="67">
        <f>+F491</f>
        <v>34415</v>
      </c>
      <c r="K806" s="67">
        <f>+F544</f>
        <v>27580</v>
      </c>
      <c r="L806" s="67">
        <f>+F554</f>
        <v>21231</v>
      </c>
      <c r="M806" s="67">
        <f>+F590</f>
        <v>21194</v>
      </c>
      <c r="N806" s="67">
        <f>+F634</f>
        <v>19256</v>
      </c>
      <c r="O806" s="67">
        <f>+F644</f>
        <v>3919</v>
      </c>
      <c r="P806" s="67">
        <f>+F678</f>
        <v>5191</v>
      </c>
      <c r="Q806" s="67">
        <f>+F724</f>
        <v>3866</v>
      </c>
      <c r="R806" s="552"/>
      <c r="T806" s="619">
        <f>'Lake Pleasant Forecast'!B41</f>
        <v>1698.3100000000002</v>
      </c>
      <c r="AC806" s="553" t="s">
        <v>1321</v>
      </c>
      <c r="AD806" s="67">
        <f t="shared" si="119"/>
        <v>316</v>
      </c>
      <c r="AE806" s="67">
        <f t="shared" si="120"/>
        <v>1648.6824201506106</v>
      </c>
      <c r="AF806" s="67">
        <f t="shared" si="127"/>
        <v>520.98364476759298</v>
      </c>
      <c r="AG806" s="67">
        <f t="shared" si="121"/>
        <v>212215.875</v>
      </c>
      <c r="AH806" s="67">
        <f t="shared" si="125"/>
        <v>212736.85864476761</v>
      </c>
      <c r="AI806" s="67">
        <f t="shared" si="122"/>
        <v>50484.824000000001</v>
      </c>
      <c r="AJ806" s="67">
        <f t="shared" si="126"/>
        <v>263221.68264476763</v>
      </c>
      <c r="AK806" s="67">
        <f t="shared" si="123"/>
        <v>5533</v>
      </c>
      <c r="AL806" s="67">
        <f t="shared" si="124"/>
        <v>257688.68264476763</v>
      </c>
      <c r="AM806" s="67" t="s">
        <v>2435</v>
      </c>
      <c r="AN806" s="67">
        <f>+B806/30/1.98</f>
        <v>2537.3232323232323</v>
      </c>
      <c r="AO806" s="67">
        <f>(AD806*43560/30/24/3600)</f>
        <v>5.3105555555555553</v>
      </c>
      <c r="AP806" s="67">
        <f>+F280</f>
        <v>-577.25668179525974</v>
      </c>
      <c r="AQ806" s="67"/>
      <c r="AR806" s="67"/>
      <c r="AS806" s="67"/>
      <c r="AT806" s="552"/>
    </row>
    <row r="807" spans="1:46" ht="15.75" customHeight="1" x14ac:dyDescent="0.3">
      <c r="A807" s="139" t="s">
        <v>2236</v>
      </c>
      <c r="B807" s="67">
        <f>+G29</f>
        <v>176183</v>
      </c>
      <c r="C807" s="67">
        <f>+G64</f>
        <v>175758</v>
      </c>
      <c r="D807" s="67">
        <f>+G130</f>
        <v>175185</v>
      </c>
      <c r="E807" s="67">
        <f>+G270</f>
        <v>167488</v>
      </c>
      <c r="F807" s="67">
        <f>+G265</f>
        <v>0</v>
      </c>
      <c r="G807" s="67">
        <f>+G277</f>
        <v>-20589</v>
      </c>
      <c r="H807" s="67">
        <f>+G402</f>
        <v>131462</v>
      </c>
      <c r="I807" s="67">
        <f>+G449</f>
        <v>40910</v>
      </c>
      <c r="J807" s="67">
        <f>+G491</f>
        <v>27766</v>
      </c>
      <c r="K807" s="67">
        <f>+G544</f>
        <v>21820</v>
      </c>
      <c r="L807" s="67">
        <f>+G554</f>
        <v>19652</v>
      </c>
      <c r="M807" s="67">
        <f>+G590</f>
        <v>19610</v>
      </c>
      <c r="N807" s="67">
        <f>+G634</f>
        <v>17753</v>
      </c>
      <c r="O807" s="67">
        <f>+G644</f>
        <v>4452</v>
      </c>
      <c r="P807" s="67">
        <f>+G678</f>
        <v>6066</v>
      </c>
      <c r="Q807" s="67">
        <f>+G724</f>
        <v>4417</v>
      </c>
      <c r="R807" s="552"/>
      <c r="T807" s="619">
        <f>'Lake Pleasant Forecast'!B43</f>
        <v>1696.36</v>
      </c>
      <c r="AC807" s="553" t="s">
        <v>1905</v>
      </c>
      <c r="AD807" s="67">
        <f t="shared" si="119"/>
        <v>0</v>
      </c>
      <c r="AE807" s="67">
        <f t="shared" si="120"/>
        <v>1646.1506102311087</v>
      </c>
      <c r="AF807" s="67">
        <f t="shared" si="127"/>
        <v>0</v>
      </c>
      <c r="AG807" s="67">
        <f t="shared" si="121"/>
        <v>249153.15900000001</v>
      </c>
      <c r="AH807" s="67">
        <f t="shared" si="125"/>
        <v>249153.15900000001</v>
      </c>
      <c r="AI807" s="67">
        <f t="shared" si="122"/>
        <v>45525.514000000003</v>
      </c>
      <c r="AJ807" s="67">
        <f t="shared" si="126"/>
        <v>294678.67300000001</v>
      </c>
      <c r="AK807" s="67">
        <f t="shared" si="123"/>
        <v>3257</v>
      </c>
      <c r="AL807" s="67">
        <f t="shared" si="124"/>
        <v>291421.67300000001</v>
      </c>
      <c r="AM807" s="67" t="s">
        <v>2435</v>
      </c>
      <c r="AN807" s="67">
        <f>+B807/31/1.98</f>
        <v>2870.3649397197782</v>
      </c>
      <c r="AO807" s="67">
        <f>(AD807*43560/31/24/3600)</f>
        <v>0</v>
      </c>
      <c r="AP807" s="67">
        <f>+G280</f>
        <v>-334.92752915914298</v>
      </c>
      <c r="AQ807" s="67"/>
      <c r="AR807" s="67"/>
      <c r="AS807" s="67"/>
      <c r="AT807" s="552"/>
    </row>
    <row r="808" spans="1:46" ht="15.75" customHeight="1" x14ac:dyDescent="0.3">
      <c r="A808" s="139" t="s">
        <v>2237</v>
      </c>
      <c r="B808" s="67">
        <f>+H29</f>
        <v>130223</v>
      </c>
      <c r="C808" s="67">
        <f>+H64</f>
        <v>129806</v>
      </c>
      <c r="D808" s="67">
        <f>+H130</f>
        <v>129293</v>
      </c>
      <c r="E808" s="67">
        <f>+H270</f>
        <v>122341</v>
      </c>
      <c r="F808" s="67">
        <f>+H265</f>
        <v>0</v>
      </c>
      <c r="G808" s="67">
        <f>+H277</f>
        <v>-78357</v>
      </c>
      <c r="H808" s="67">
        <f>+H402</f>
        <v>158659</v>
      </c>
      <c r="I808" s="67">
        <f>+H449</f>
        <v>51790</v>
      </c>
      <c r="J808" s="67">
        <f>+H491</f>
        <v>30396</v>
      </c>
      <c r="K808" s="67">
        <f>+H544</f>
        <v>21598</v>
      </c>
      <c r="L808" s="67">
        <f>+H554</f>
        <v>17870</v>
      </c>
      <c r="M808" s="67">
        <f>+H590</f>
        <v>17826</v>
      </c>
      <c r="N808" s="67">
        <f>+H634</f>
        <v>15140</v>
      </c>
      <c r="O808" s="67">
        <f>+H644</f>
        <v>3701</v>
      </c>
      <c r="P808" s="67">
        <f>+H678</f>
        <v>5950</v>
      </c>
      <c r="Q808" s="67">
        <f>+H724</f>
        <v>3692</v>
      </c>
      <c r="R808" s="552"/>
      <c r="T808" s="619">
        <f>'Lake Pleasant Forecast'!B45</f>
        <v>1685.88</v>
      </c>
      <c r="AC808" s="553" t="s">
        <v>1906</v>
      </c>
      <c r="AD808" s="67">
        <f t="shared" si="119"/>
        <v>0</v>
      </c>
      <c r="AE808" s="67">
        <f t="shared" si="120"/>
        <v>1632.5437548688653</v>
      </c>
      <c r="AF808" s="67">
        <f t="shared" si="127"/>
        <v>0</v>
      </c>
      <c r="AG808" s="67">
        <f t="shared" si="121"/>
        <v>183801.92600000001</v>
      </c>
      <c r="AH808" s="67">
        <f t="shared" si="125"/>
        <v>183801.92600000001</v>
      </c>
      <c r="AI808" s="67">
        <f t="shared" si="122"/>
        <v>48953.861000000004</v>
      </c>
      <c r="AJ808" s="67">
        <f t="shared" si="126"/>
        <v>232755.78700000001</v>
      </c>
      <c r="AK808" s="67">
        <f t="shared" si="123"/>
        <v>11158</v>
      </c>
      <c r="AL808" s="67">
        <f t="shared" si="124"/>
        <v>221597.78700000001</v>
      </c>
      <c r="AM808" s="67" t="s">
        <v>2435</v>
      </c>
      <c r="AN808" s="67">
        <f>+B808/30/1.98</f>
        <v>2192.3063973063972</v>
      </c>
      <c r="AO808" s="67">
        <f t="shared" ref="AO808:AO813" si="128">(AD808*43560/30/24/3600)</f>
        <v>0</v>
      </c>
      <c r="AP808" s="67">
        <f>+H280</f>
        <v>-1317.1457387796268</v>
      </c>
      <c r="AQ808" s="67"/>
      <c r="AR808" s="67"/>
      <c r="AS808" s="67"/>
      <c r="AT808" s="552"/>
    </row>
    <row r="809" spans="1:46" ht="15.75" customHeight="1" x14ac:dyDescent="0.3">
      <c r="A809" s="139" t="s">
        <v>1504</v>
      </c>
      <c r="B809" s="67">
        <f>+J29</f>
        <v>84931</v>
      </c>
      <c r="C809" s="67">
        <f>+J64</f>
        <v>84515</v>
      </c>
      <c r="D809" s="67">
        <f>+J130</f>
        <v>83968</v>
      </c>
      <c r="E809" s="67">
        <f>+J270</f>
        <v>76030</v>
      </c>
      <c r="F809" s="67">
        <f>+J265</f>
        <v>0</v>
      </c>
      <c r="G809" s="67">
        <f>+J277</f>
        <v>-94386</v>
      </c>
      <c r="H809" s="67">
        <f>+J402</f>
        <v>131606</v>
      </c>
      <c r="I809" s="67">
        <f>+J449</f>
        <v>43921</v>
      </c>
      <c r="J809" s="67">
        <f>+J491</f>
        <v>26497</v>
      </c>
      <c r="K809" s="67">
        <f>+J544</f>
        <v>19340</v>
      </c>
      <c r="L809" s="67">
        <f>+J554</f>
        <v>17287</v>
      </c>
      <c r="M809" s="67">
        <f>+J590</f>
        <v>17248</v>
      </c>
      <c r="N809" s="67">
        <f>+J634</f>
        <v>14366</v>
      </c>
      <c r="O809" s="67">
        <f>+J644</f>
        <v>5052</v>
      </c>
      <c r="P809" s="67">
        <f>+J678</f>
        <v>5851</v>
      </c>
      <c r="Q809" s="67">
        <f>+J724</f>
        <v>5035</v>
      </c>
      <c r="R809" s="552"/>
      <c r="T809" s="619">
        <f>'Lake Pleasant Forecast'!B47</f>
        <v>1671.42</v>
      </c>
      <c r="AC809" s="553" t="s">
        <v>1907</v>
      </c>
      <c r="AD809" s="67">
        <f t="shared" si="119"/>
        <v>0</v>
      </c>
      <c r="AE809" s="67">
        <f t="shared" si="120"/>
        <v>1613.7694105427163</v>
      </c>
      <c r="AF809" s="67">
        <f t="shared" si="127"/>
        <v>0</v>
      </c>
      <c r="AG809" s="67">
        <f t="shared" si="121"/>
        <v>118988.27099999999</v>
      </c>
      <c r="AH809" s="67">
        <f t="shared" si="125"/>
        <v>118988.27099999999</v>
      </c>
      <c r="AI809" s="67">
        <f t="shared" si="122"/>
        <v>44016.225999999995</v>
      </c>
      <c r="AJ809" s="67">
        <f t="shared" si="126"/>
        <v>163004.49699999997</v>
      </c>
      <c r="AK809" s="67">
        <f t="shared" si="123"/>
        <v>11383</v>
      </c>
      <c r="AL809" s="67">
        <f t="shared" si="124"/>
        <v>151621.49699999997</v>
      </c>
      <c r="AM809" s="67" t="s">
        <v>2435</v>
      </c>
      <c r="AN809" s="67">
        <f>+B809/31/1.98</f>
        <v>1383.6917562724013</v>
      </c>
      <c r="AO809" s="67">
        <f t="shared" si="128"/>
        <v>0</v>
      </c>
      <c r="AP809" s="67">
        <f>+J280</f>
        <v>-1535.4057879068857</v>
      </c>
      <c r="AQ809" s="67"/>
      <c r="AR809" s="67"/>
      <c r="AS809" s="67"/>
      <c r="AT809" s="552"/>
    </row>
    <row r="810" spans="1:46" ht="15.75" customHeight="1" x14ac:dyDescent="0.3">
      <c r="A810" s="139" t="s">
        <v>1505</v>
      </c>
      <c r="B810" s="67">
        <f>+K29</f>
        <v>96915</v>
      </c>
      <c r="C810" s="67">
        <f>+K64</f>
        <v>96581</v>
      </c>
      <c r="D810" s="67">
        <f>+K130</f>
        <v>96205</v>
      </c>
      <c r="E810" s="67">
        <f>+K270</f>
        <v>87911</v>
      </c>
      <c r="F810" s="67">
        <f>+K265</f>
        <v>0</v>
      </c>
      <c r="G810" s="67">
        <f>+K277</f>
        <v>-87700</v>
      </c>
      <c r="H810" s="67">
        <f>+K402</f>
        <v>134898</v>
      </c>
      <c r="I810" s="67">
        <f>+K449</f>
        <v>49364</v>
      </c>
      <c r="J810" s="67">
        <f>+K491</f>
        <v>30500</v>
      </c>
      <c r="K810" s="67">
        <f>+K544</f>
        <v>23365</v>
      </c>
      <c r="L810" s="67">
        <f>+K554</f>
        <v>18520</v>
      </c>
      <c r="M810" s="67">
        <f>+K590</f>
        <v>18484</v>
      </c>
      <c r="N810" s="67">
        <f>+K634</f>
        <v>15993</v>
      </c>
      <c r="O810" s="67">
        <f>+K644</f>
        <v>4335</v>
      </c>
      <c r="P810" s="67">
        <f>+K678</f>
        <v>5727</v>
      </c>
      <c r="Q810" s="67">
        <f>+K724</f>
        <v>4329</v>
      </c>
      <c r="R810" s="552"/>
      <c r="T810" s="619">
        <f>'Lake Pleasant Forecast'!B49</f>
        <v>1654.0999551114837</v>
      </c>
      <c r="AC810" s="553" t="s">
        <v>1908</v>
      </c>
      <c r="AD810" s="67">
        <f t="shared" si="119"/>
        <v>0</v>
      </c>
      <c r="AE810" s="67">
        <f t="shared" si="120"/>
        <v>1591.281686719662</v>
      </c>
      <c r="AF810" s="67">
        <f t="shared" si="127"/>
        <v>0</v>
      </c>
      <c r="AG810" s="67">
        <f t="shared" si="121"/>
        <v>136097.28599999999</v>
      </c>
      <c r="AH810" s="67">
        <f t="shared" si="125"/>
        <v>136097.28599999999</v>
      </c>
      <c r="AI810" s="67">
        <f t="shared" si="122"/>
        <v>47433.488000000005</v>
      </c>
      <c r="AJ810" s="67">
        <f t="shared" si="126"/>
        <v>183530.774</v>
      </c>
      <c r="AK810" s="67">
        <f t="shared" si="123"/>
        <v>8288</v>
      </c>
      <c r="AL810" s="67">
        <f t="shared" si="124"/>
        <v>175242.774</v>
      </c>
      <c r="AM810" s="67" t="s">
        <v>2435</v>
      </c>
      <c r="AN810" s="67">
        <f>+B810/31/1.98</f>
        <v>1578.9345063538613</v>
      </c>
      <c r="AO810" s="67">
        <f t="shared" si="128"/>
        <v>0</v>
      </c>
      <c r="AP810" s="67">
        <f>+K280</f>
        <v>-1426.6425910562359</v>
      </c>
      <c r="AQ810" s="67"/>
      <c r="AR810" s="67"/>
      <c r="AS810" s="67"/>
      <c r="AT810" s="552"/>
    </row>
    <row r="811" spans="1:46" ht="15.75" customHeight="1" x14ac:dyDescent="0.3">
      <c r="A811" s="139" t="s">
        <v>1506</v>
      </c>
      <c r="B811" s="67">
        <f>+L29</f>
        <v>149998</v>
      </c>
      <c r="C811" s="67">
        <f>+L64</f>
        <v>149682</v>
      </c>
      <c r="D811" s="67">
        <f>+L130</f>
        <v>149359</v>
      </c>
      <c r="E811" s="67">
        <f>+L270</f>
        <v>144368</v>
      </c>
      <c r="F811" s="67">
        <f>+L265</f>
        <v>27530</v>
      </c>
      <c r="G811" s="67">
        <f>+L277</f>
        <v>-371</v>
      </c>
      <c r="H811" s="67">
        <f>+L402</f>
        <v>83975</v>
      </c>
      <c r="I811" s="67">
        <f>+L449</f>
        <v>31850</v>
      </c>
      <c r="J811" s="67">
        <f>+L491</f>
        <v>25065</v>
      </c>
      <c r="K811" s="67">
        <f>+L544</f>
        <v>21340</v>
      </c>
      <c r="L811" s="67">
        <f>+L554</f>
        <v>17678</v>
      </c>
      <c r="M811" s="67">
        <f>+L590</f>
        <v>17644</v>
      </c>
      <c r="N811" s="67">
        <f>+L634</f>
        <v>15838</v>
      </c>
      <c r="O811" s="67">
        <f>+L644</f>
        <v>3566</v>
      </c>
      <c r="P811" s="67">
        <f>+L678</f>
        <v>5523</v>
      </c>
      <c r="Q811" s="67">
        <f>+L724</f>
        <v>3522</v>
      </c>
      <c r="R811" s="552"/>
      <c r="T811" s="619">
        <f>'Lake Pleasant Forecast'!B51</f>
        <v>1657.9899941811159</v>
      </c>
      <c r="AC811" s="553" t="s">
        <v>2352</v>
      </c>
      <c r="AD811" s="67">
        <f t="shared" si="119"/>
        <v>27530</v>
      </c>
      <c r="AE811" s="67">
        <f t="shared" si="120"/>
        <v>1596.3323736446584</v>
      </c>
      <c r="AF811" s="67">
        <f t="shared" si="127"/>
        <v>43947.030246437447</v>
      </c>
      <c r="AG811" s="67">
        <f t="shared" si="121"/>
        <v>173286.054</v>
      </c>
      <c r="AH811" s="67">
        <f t="shared" si="125"/>
        <v>217233.08424643744</v>
      </c>
      <c r="AI811" s="67">
        <f t="shared" si="122"/>
        <v>37005.777000000002</v>
      </c>
      <c r="AJ811" s="67">
        <f t="shared" si="126"/>
        <v>254238.86124643745</v>
      </c>
      <c r="AK811" s="67">
        <v>0</v>
      </c>
      <c r="AL811" s="67">
        <f t="shared" si="124"/>
        <v>254238.86124643745</v>
      </c>
      <c r="AM811" s="67" t="s">
        <v>2435</v>
      </c>
      <c r="AN811" s="67">
        <f>+B811/30/1.98</f>
        <v>2525.2188552188554</v>
      </c>
      <c r="AO811" s="67">
        <f t="shared" si="128"/>
        <v>462.65694444444443</v>
      </c>
      <c r="AP811" s="67">
        <f>+L280</f>
        <v>-6.2363422423936798</v>
      </c>
      <c r="AQ811" s="67"/>
      <c r="AR811" s="67"/>
      <c r="AS811" s="67"/>
      <c r="AT811" s="552"/>
    </row>
    <row r="812" spans="1:46" ht="15.75" customHeight="1" x14ac:dyDescent="0.3">
      <c r="A812" s="139" t="s">
        <v>1507</v>
      </c>
      <c r="B812" s="67">
        <f>+N29</f>
        <v>187598</v>
      </c>
      <c r="C812" s="67">
        <f>+N64</f>
        <v>187313</v>
      </c>
      <c r="D812" s="67">
        <f>+N130</f>
        <v>187011</v>
      </c>
      <c r="E812" s="67">
        <f>+N270</f>
        <v>181225</v>
      </c>
      <c r="F812" s="67">
        <f>+N265</f>
        <v>78545</v>
      </c>
      <c r="G812" s="67">
        <f>+N277</f>
        <v>0</v>
      </c>
      <c r="H812" s="67">
        <f>+N402</f>
        <v>69835</v>
      </c>
      <c r="I812" s="67">
        <f>+N449</f>
        <v>15811</v>
      </c>
      <c r="J812" s="67">
        <f>+N491</f>
        <v>15032</v>
      </c>
      <c r="K812" s="67">
        <f>+N544</f>
        <v>14361</v>
      </c>
      <c r="L812" s="67">
        <f>+N554</f>
        <v>11490</v>
      </c>
      <c r="M812" s="67">
        <f>+N590</f>
        <v>11461</v>
      </c>
      <c r="N812" s="67">
        <f>+N634</f>
        <v>10988</v>
      </c>
      <c r="O812" s="67">
        <f>+N644</f>
        <v>3269</v>
      </c>
      <c r="P812" s="67">
        <f>+N678</f>
        <v>5354</v>
      </c>
      <c r="Q812" s="67">
        <f>+N724</f>
        <v>3264</v>
      </c>
      <c r="R812" s="552"/>
      <c r="T812" s="619">
        <f>'Lake Pleasant Forecast'!B53</f>
        <v>1665.72</v>
      </c>
      <c r="AC812" s="553" t="s">
        <v>2353</v>
      </c>
      <c r="AD812" s="67">
        <f t="shared" si="119"/>
        <v>78545</v>
      </c>
      <c r="AE812" s="67">
        <f t="shared" si="120"/>
        <v>1606.3687353934044</v>
      </c>
      <c r="AF812" s="67">
        <f t="shared" si="127"/>
        <v>126172.23232147495</v>
      </c>
      <c r="AG812" s="67">
        <f t="shared" si="121"/>
        <v>154003.98499999999</v>
      </c>
      <c r="AH812" s="67">
        <f t="shared" si="125"/>
        <v>280176.21732147492</v>
      </c>
      <c r="AI812" s="67">
        <f t="shared" si="122"/>
        <v>25954.283000000003</v>
      </c>
      <c r="AJ812" s="67">
        <f t="shared" si="126"/>
        <v>306130.50032147492</v>
      </c>
      <c r="AK812" s="67">
        <v>0</v>
      </c>
      <c r="AL812" s="67">
        <f t="shared" si="124"/>
        <v>306130.50032147492</v>
      </c>
      <c r="AM812" s="67" t="s">
        <v>2435</v>
      </c>
      <c r="AN812" s="67">
        <f>+B812/31/1.98</f>
        <v>3056.3375692407953</v>
      </c>
      <c r="AO812" s="67">
        <f t="shared" si="128"/>
        <v>1319.9923611111112</v>
      </c>
      <c r="AP812" s="67">
        <f>+N280</f>
        <v>0</v>
      </c>
      <c r="AQ812" s="67"/>
      <c r="AR812" s="67"/>
      <c r="AS812" s="67"/>
      <c r="AT812" s="552"/>
    </row>
    <row r="813" spans="1:46" ht="15.75" customHeight="1" x14ac:dyDescent="0.3">
      <c r="A813" s="139" t="s">
        <v>1508</v>
      </c>
      <c r="B813" s="67">
        <f>+O29</f>
        <v>144410</v>
      </c>
      <c r="C813" s="67">
        <f>+O64</f>
        <v>144175</v>
      </c>
      <c r="D813" s="67">
        <f>+O130</f>
        <v>143948</v>
      </c>
      <c r="E813" s="67">
        <f>+O270</f>
        <v>140639</v>
      </c>
      <c r="F813" s="67">
        <f>+O265</f>
        <v>80601</v>
      </c>
      <c r="G813" s="67">
        <f>+O277</f>
        <v>0</v>
      </c>
      <c r="H813" s="67">
        <f>+O402</f>
        <v>35227</v>
      </c>
      <c r="I813" s="67">
        <f>+O449</f>
        <v>9452</v>
      </c>
      <c r="J813" s="67">
        <f>+O491</f>
        <v>9114</v>
      </c>
      <c r="K813" s="67">
        <f>+O544</f>
        <v>8259</v>
      </c>
      <c r="L813" s="67">
        <f>+O554</f>
        <v>7381</v>
      </c>
      <c r="M813" s="67">
        <f>+O590</f>
        <v>7358</v>
      </c>
      <c r="N813" s="67">
        <f>+O634</f>
        <v>7182</v>
      </c>
      <c r="O813" s="67">
        <f>+O644</f>
        <v>2110</v>
      </c>
      <c r="P813" s="67">
        <f>+O678</f>
        <v>4371</v>
      </c>
      <c r="Q813" s="67">
        <f>+O724</f>
        <v>2107</v>
      </c>
      <c r="R813" s="552"/>
      <c r="T813" s="619">
        <f>'Lake Pleasant Forecast'!B55</f>
        <v>1673.02</v>
      </c>
      <c r="AC813" s="553" t="s">
        <v>2354</v>
      </c>
      <c r="AD813" s="67">
        <f t="shared" si="119"/>
        <v>80601</v>
      </c>
      <c r="AE813" s="67">
        <f t="shared" si="120"/>
        <v>1615.8467930407687</v>
      </c>
      <c r="AF813" s="67">
        <f t="shared" si="127"/>
        <v>130238.86736587899</v>
      </c>
      <c r="AG813" s="67">
        <f t="shared" si="121"/>
        <v>90077.979000000007</v>
      </c>
      <c r="AH813" s="67">
        <f t="shared" si="125"/>
        <v>220316.846365879</v>
      </c>
      <c r="AI813" s="67">
        <f t="shared" si="122"/>
        <v>15592.213</v>
      </c>
      <c r="AJ813" s="67">
        <f t="shared" si="126"/>
        <v>235909.05936587899</v>
      </c>
      <c r="AK813" s="67">
        <f>(G896)</f>
        <v>0</v>
      </c>
      <c r="AL813" s="67">
        <f t="shared" si="124"/>
        <v>235909.05936587899</v>
      </c>
      <c r="AM813" s="67" t="s">
        <v>2435</v>
      </c>
      <c r="AN813" s="67">
        <f>+B813/30/1.98</f>
        <v>2431.1447811447815</v>
      </c>
      <c r="AO813" s="67">
        <f t="shared" si="128"/>
        <v>1354.5445833333333</v>
      </c>
      <c r="AP813" s="67">
        <f>+O280</f>
        <v>0</v>
      </c>
      <c r="AQ813" s="67"/>
      <c r="AR813" s="67"/>
      <c r="AS813" s="67"/>
      <c r="AT813" s="552"/>
    </row>
    <row r="814" spans="1:46" ht="15.75" customHeight="1" x14ac:dyDescent="0.3">
      <c r="A814" s="139" t="s">
        <v>1509</v>
      </c>
      <c r="B814" s="67">
        <f>+P29</f>
        <v>137651</v>
      </c>
      <c r="C814" s="67">
        <f>+P64</f>
        <v>137465</v>
      </c>
      <c r="D814" s="67">
        <f>+P130</f>
        <v>137286</v>
      </c>
      <c r="E814" s="67">
        <f>+P270</f>
        <v>120118</v>
      </c>
      <c r="F814" s="67">
        <f>+P265</f>
        <v>43033</v>
      </c>
      <c r="G814" s="67">
        <f>+P277</f>
        <v>0</v>
      </c>
      <c r="H814" s="67">
        <f>+P402</f>
        <v>51905</v>
      </c>
      <c r="I814" s="67">
        <f>+P449</f>
        <v>20820</v>
      </c>
      <c r="J814" s="67">
        <f>+P491</f>
        <v>18610</v>
      </c>
      <c r="K814" s="67">
        <f>+P544</f>
        <v>18506</v>
      </c>
      <c r="L814" s="67">
        <f>+P554</f>
        <v>13834</v>
      </c>
      <c r="M814" s="67">
        <f>+P590</f>
        <v>13815</v>
      </c>
      <c r="N814" s="67">
        <f>+P634</f>
        <v>13610</v>
      </c>
      <c r="O814" s="67">
        <f>+P644</f>
        <v>3302</v>
      </c>
      <c r="P814" s="67">
        <f>+P678</f>
        <v>4942</v>
      </c>
      <c r="Q814" s="67">
        <f>+P724</f>
        <v>3300</v>
      </c>
      <c r="R814" s="552"/>
      <c r="T814" s="619">
        <f>'Lake Pleasant Forecast'!B57</f>
        <v>1679.9390201045346</v>
      </c>
      <c r="AC814" s="553" t="s">
        <v>2355</v>
      </c>
      <c r="AD814" s="67">
        <f t="shared" si="119"/>
        <v>43033</v>
      </c>
      <c r="AE814" s="67">
        <f t="shared" si="120"/>
        <v>1624.8302000837896</v>
      </c>
      <c r="AF814" s="67">
        <f t="shared" si="127"/>
        <v>69921.318000205705</v>
      </c>
      <c r="AG814" s="67">
        <f t="shared" si="121"/>
        <v>131016.129</v>
      </c>
      <c r="AH814" s="67">
        <f t="shared" si="125"/>
        <v>200937.44700020569</v>
      </c>
      <c r="AI814" s="67">
        <f t="shared" si="122"/>
        <v>28038.775000000005</v>
      </c>
      <c r="AJ814" s="67">
        <f t="shared" si="126"/>
        <v>228976.22200020569</v>
      </c>
      <c r="AK814" s="67">
        <f>(G897)</f>
        <v>0</v>
      </c>
      <c r="AL814" s="67">
        <f t="shared" si="124"/>
        <v>228976.22200020569</v>
      </c>
      <c r="AM814" s="67" t="s">
        <v>2435</v>
      </c>
      <c r="AN814" s="67">
        <f>+B814/31/1.98</f>
        <v>2242.6034538937765</v>
      </c>
      <c r="AO814" s="67">
        <f>(AD814*43560/31/24/3600)</f>
        <v>699.86465053763436</v>
      </c>
      <c r="AP814" s="67">
        <f>+P280</f>
        <v>0</v>
      </c>
      <c r="AQ814" s="67"/>
      <c r="AR814" s="67"/>
      <c r="AS814" s="67"/>
      <c r="AT814" s="552"/>
    </row>
    <row r="815" spans="1:46" ht="15.75" customHeight="1" x14ac:dyDescent="0.3">
      <c r="A815" s="553"/>
      <c r="B815" s="67"/>
      <c r="C815" s="67"/>
      <c r="D815" s="67"/>
      <c r="E815" s="67"/>
      <c r="F815" s="67"/>
      <c r="G815" s="67"/>
      <c r="H815" s="67"/>
      <c r="I815" s="67"/>
      <c r="J815" s="67"/>
      <c r="K815" s="67"/>
      <c r="L815" s="67"/>
      <c r="M815" s="67"/>
      <c r="N815" s="67"/>
      <c r="O815" s="67"/>
      <c r="P815" s="67"/>
      <c r="Q815" s="67"/>
      <c r="R815" s="552"/>
      <c r="AC815" s="551"/>
      <c r="AD815" s="67"/>
      <c r="AE815" s="67"/>
      <c r="AF815" s="67"/>
      <c r="AG815" s="67"/>
      <c r="AH815" s="67"/>
      <c r="AI815" s="67"/>
      <c r="AJ815" s="67"/>
      <c r="AK815" s="67"/>
      <c r="AL815" s="67"/>
      <c r="AM815" s="67" t="s">
        <v>2435</v>
      </c>
      <c r="AN815" s="67"/>
      <c r="AO815" s="67"/>
      <c r="AP815" s="67"/>
      <c r="AQ815" s="67"/>
      <c r="AR815" s="67"/>
      <c r="AS815" s="67"/>
      <c r="AT815" s="552"/>
    </row>
    <row r="816" spans="1:46" ht="15.75" customHeight="1" x14ac:dyDescent="0.3">
      <c r="A816" s="553" t="s">
        <v>2356</v>
      </c>
      <c r="B816" s="67">
        <f t="shared" ref="B816:Q816" si="129">SUM(B803:B814)</f>
        <v>1664522</v>
      </c>
      <c r="C816" s="67">
        <f t="shared" si="129"/>
        <v>1661022</v>
      </c>
      <c r="D816" s="67">
        <f t="shared" si="129"/>
        <v>1656947</v>
      </c>
      <c r="E816" s="67">
        <f t="shared" si="129"/>
        <v>1576108</v>
      </c>
      <c r="F816" s="67">
        <f t="shared" si="129"/>
        <v>439869</v>
      </c>
      <c r="G816" s="67">
        <f t="shared" si="129"/>
        <v>-340458</v>
      </c>
      <c r="H816" s="67">
        <f t="shared" si="129"/>
        <v>1075116</v>
      </c>
      <c r="I816" s="67">
        <f t="shared" si="129"/>
        <v>380958</v>
      </c>
      <c r="J816" s="67">
        <f t="shared" si="129"/>
        <v>273747</v>
      </c>
      <c r="K816" s="67">
        <f t="shared" si="129"/>
        <v>228864</v>
      </c>
      <c r="L816" s="67">
        <f t="shared" si="129"/>
        <v>192958</v>
      </c>
      <c r="M816" s="67">
        <f t="shared" si="129"/>
        <v>192585</v>
      </c>
      <c r="N816" s="67">
        <f t="shared" si="129"/>
        <v>177990</v>
      </c>
      <c r="O816" s="67">
        <f t="shared" si="129"/>
        <v>43660</v>
      </c>
      <c r="P816" s="67">
        <f t="shared" si="129"/>
        <v>54344</v>
      </c>
      <c r="Q816" s="67">
        <f t="shared" si="129"/>
        <v>43381</v>
      </c>
      <c r="R816" s="552"/>
      <c r="AC816" s="551" t="s">
        <v>2356</v>
      </c>
      <c r="AD816" s="67">
        <f>SUM(AD803:AD814)</f>
        <v>439869</v>
      </c>
      <c r="AE816" s="67"/>
      <c r="AF816" s="67">
        <f t="shared" ref="AF816:AL816" si="130">SUM(AF803:AF814)</f>
        <v>715665.93334263714</v>
      </c>
      <c r="AG816" s="67">
        <f t="shared" si="130"/>
        <v>1725595.912</v>
      </c>
      <c r="AH816" s="67">
        <f t="shared" si="130"/>
        <v>2441261.845342637</v>
      </c>
      <c r="AI816" s="67">
        <f t="shared" si="130"/>
        <v>425993.06199999998</v>
      </c>
      <c r="AJ816" s="67">
        <f t="shared" si="130"/>
        <v>2867254.9073426374</v>
      </c>
      <c r="AK816" s="67">
        <f t="shared" si="130"/>
        <v>43370</v>
      </c>
      <c r="AL816" s="67">
        <f t="shared" si="130"/>
        <v>2823884.9073426374</v>
      </c>
      <c r="AM816" s="67"/>
      <c r="AN816" s="67"/>
      <c r="AO816" s="67"/>
      <c r="AP816" s="67"/>
      <c r="AQ816" s="67"/>
      <c r="AR816" s="67"/>
      <c r="AS816" s="67"/>
      <c r="AT816" s="552"/>
    </row>
    <row r="817" spans="1:50" ht="16.5" customHeight="1" thickBot="1" x14ac:dyDescent="0.35">
      <c r="A817" s="558" t="s">
        <v>852</v>
      </c>
      <c r="B817" s="555"/>
      <c r="C817" s="555"/>
      <c r="D817" s="555"/>
      <c r="E817" s="555"/>
      <c r="F817" s="555"/>
      <c r="G817" s="555"/>
      <c r="H817" s="555"/>
      <c r="I817" s="555"/>
      <c r="J817" s="555"/>
      <c r="K817" s="555"/>
      <c r="L817" s="555"/>
      <c r="M817" s="555"/>
      <c r="N817" s="555"/>
      <c r="O817" s="555"/>
      <c r="P817" s="555"/>
      <c r="Q817" s="555"/>
      <c r="R817" s="556"/>
      <c r="AC817" s="551"/>
      <c r="AD817" s="67"/>
      <c r="AE817" s="67"/>
      <c r="AF817" s="67"/>
      <c r="AG817" s="67"/>
      <c r="AH817" s="67"/>
      <c r="AI817" s="67"/>
      <c r="AJ817" s="67"/>
      <c r="AK817" s="67"/>
      <c r="AL817" s="67"/>
      <c r="AM817" s="67"/>
      <c r="AN817" s="67"/>
      <c r="AO817" s="67"/>
      <c r="AP817" s="67"/>
      <c r="AQ817" s="67"/>
      <c r="AR817" s="67"/>
      <c r="AS817" s="67"/>
      <c r="AT817" s="552"/>
    </row>
    <row r="818" spans="1:50" ht="15.75" customHeight="1" x14ac:dyDescent="0.3">
      <c r="A818" s="70"/>
      <c r="B818" s="67"/>
      <c r="C818" s="67"/>
      <c r="D818" s="67"/>
      <c r="E818" s="67"/>
      <c r="F818" s="67"/>
      <c r="G818" s="67"/>
      <c r="H818" s="67"/>
      <c r="I818" s="67"/>
      <c r="J818" s="67"/>
      <c r="K818" s="67"/>
      <c r="L818" s="67"/>
      <c r="M818" s="67"/>
      <c r="N818" s="67"/>
      <c r="O818" s="67"/>
      <c r="P818" s="67"/>
      <c r="Q818" s="67"/>
      <c r="R818" s="67"/>
      <c r="AC818" s="551" t="s">
        <v>1696</v>
      </c>
      <c r="AD818" s="67"/>
      <c r="AE818" s="67"/>
      <c r="AF818" s="67"/>
      <c r="AG818" s="67"/>
      <c r="AH818" s="67"/>
      <c r="AI818" s="67"/>
      <c r="AJ818" s="67"/>
      <c r="AK818" s="67"/>
      <c r="AL818" s="67"/>
      <c r="AM818" s="67"/>
      <c r="AN818" s="67"/>
      <c r="AO818" s="67"/>
      <c r="AP818" s="67"/>
      <c r="AQ818" s="67"/>
      <c r="AR818" s="67"/>
      <c r="AS818" s="67"/>
      <c r="AT818" s="552"/>
    </row>
    <row r="819" spans="1:50" ht="15.75" customHeight="1" x14ac:dyDescent="0.3">
      <c r="A819" s="139"/>
      <c r="AC819" s="551" t="s">
        <v>785</v>
      </c>
      <c r="AD819" s="67"/>
      <c r="AE819" s="67"/>
      <c r="AF819" s="67"/>
      <c r="AG819" s="67"/>
      <c r="AH819" s="67"/>
      <c r="AI819" s="67"/>
      <c r="AJ819" s="67"/>
      <c r="AK819" s="67"/>
      <c r="AL819" s="67"/>
      <c r="AM819" s="67"/>
      <c r="AN819" s="67"/>
      <c r="AO819" s="67"/>
      <c r="AP819" s="67"/>
      <c r="AQ819" s="67"/>
      <c r="AR819" s="67"/>
      <c r="AS819" s="67"/>
      <c r="AT819" s="552"/>
    </row>
    <row r="820" spans="1:50" ht="15.75" customHeight="1" thickBot="1" x14ac:dyDescent="0.35">
      <c r="A820" s="139"/>
      <c r="AC820" s="551"/>
      <c r="AD820" s="67"/>
      <c r="AE820" s="67"/>
      <c r="AF820" s="67"/>
      <c r="AG820" s="67"/>
      <c r="AH820" s="67"/>
      <c r="AI820" s="67"/>
      <c r="AJ820" s="67"/>
      <c r="AK820" s="67"/>
      <c r="AL820" s="67"/>
      <c r="AM820" s="67"/>
      <c r="AN820" s="67"/>
      <c r="AO820" s="67"/>
      <c r="AP820" s="67"/>
      <c r="AQ820" s="67"/>
      <c r="AR820" s="67"/>
      <c r="AS820" s="67"/>
      <c r="AT820" s="552"/>
    </row>
    <row r="821" spans="1:50" ht="15.75" customHeight="1" x14ac:dyDescent="0.3">
      <c r="A821" s="651"/>
      <c r="B821" s="782" t="s">
        <v>1898</v>
      </c>
      <c r="C821" s="782"/>
      <c r="D821" s="782"/>
      <c r="E821" s="782"/>
      <c r="F821" s="782"/>
      <c r="G821" s="782"/>
      <c r="H821" s="782"/>
      <c r="I821" s="782"/>
      <c r="J821" s="782"/>
      <c r="K821" s="782"/>
      <c r="L821" s="782"/>
      <c r="M821" s="782"/>
      <c r="N821" s="782"/>
      <c r="O821" s="782"/>
      <c r="P821" s="782"/>
      <c r="Q821" s="549" t="str">
        <f>+Q1</f>
        <v>PRINTED:</v>
      </c>
      <c r="R821" s="550">
        <f ca="1">+R1</f>
        <v>44881.729634027775</v>
      </c>
      <c r="AC821" s="551" t="s">
        <v>440</v>
      </c>
      <c r="AD821" s="67"/>
      <c r="AE821" s="67"/>
      <c r="AF821" s="67"/>
      <c r="AG821" s="67"/>
      <c r="AH821" s="67"/>
      <c r="AI821" s="67"/>
      <c r="AJ821" s="67"/>
      <c r="AK821" s="67"/>
      <c r="AL821" s="67"/>
      <c r="AM821" s="67"/>
      <c r="AN821" s="67"/>
      <c r="AO821" s="67"/>
      <c r="AP821" s="67"/>
      <c r="AQ821" s="67"/>
      <c r="AR821" s="67"/>
      <c r="AS821" s="67"/>
      <c r="AT821" s="552"/>
    </row>
    <row r="822" spans="1:50" ht="15.75" customHeight="1" x14ac:dyDescent="0.3">
      <c r="A822" s="553"/>
      <c r="B822" s="786" t="str">
        <f>+A8</f>
        <v>Revised:  11/25/13</v>
      </c>
      <c r="C822" s="786"/>
      <c r="D822" s="786"/>
      <c r="E822" s="786"/>
      <c r="F822" s="786"/>
      <c r="G822" s="786"/>
      <c r="H822" s="786"/>
      <c r="I822" s="786"/>
      <c r="J822" s="786"/>
      <c r="K822" s="786"/>
      <c r="L822" s="786"/>
      <c r="M822" s="786"/>
      <c r="N822" s="786"/>
      <c r="O822" s="786"/>
      <c r="P822" s="786"/>
      <c r="Q822" s="67"/>
      <c r="R822" s="552"/>
      <c r="AC822" s="551"/>
      <c r="AD822" s="67"/>
      <c r="AE822" s="67"/>
      <c r="AF822" s="67"/>
      <c r="AG822" s="67"/>
      <c r="AH822" s="67"/>
      <c r="AI822" s="67"/>
      <c r="AJ822" s="67"/>
      <c r="AK822" s="67"/>
      <c r="AL822" s="67"/>
      <c r="AM822" s="67"/>
      <c r="AN822" s="67"/>
      <c r="AO822" s="67"/>
      <c r="AP822" s="67"/>
      <c r="AQ822" s="67"/>
      <c r="AR822" s="67"/>
      <c r="AS822" s="67"/>
      <c r="AT822" s="552"/>
    </row>
    <row r="823" spans="1:50" ht="15.75" customHeight="1" thickBot="1" x14ac:dyDescent="0.35">
      <c r="A823" s="553"/>
      <c r="B823" s="786" t="s">
        <v>2545</v>
      </c>
      <c r="C823" s="786"/>
      <c r="D823" s="786"/>
      <c r="E823" s="786"/>
      <c r="F823" s="786"/>
      <c r="G823" s="786"/>
      <c r="H823" s="786"/>
      <c r="I823" s="786"/>
      <c r="J823" s="786"/>
      <c r="K823" s="786"/>
      <c r="L823" s="786"/>
      <c r="M823" s="786"/>
      <c r="N823" s="786"/>
      <c r="O823" s="786"/>
      <c r="P823" s="786"/>
      <c r="Q823" s="67"/>
      <c r="R823" s="552"/>
      <c r="AC823" s="554" t="s">
        <v>1480</v>
      </c>
      <c r="AD823" s="555"/>
      <c r="AE823" s="555"/>
      <c r="AF823" s="555"/>
      <c r="AG823" s="555"/>
      <c r="AH823" s="555"/>
      <c r="AI823" s="555"/>
      <c r="AJ823" s="555"/>
      <c r="AK823" s="555"/>
      <c r="AL823" s="555"/>
      <c r="AM823" s="555"/>
      <c r="AN823" s="555"/>
      <c r="AO823" s="555"/>
      <c r="AP823" s="555"/>
      <c r="AQ823" s="555"/>
      <c r="AR823" s="555"/>
      <c r="AS823" s="555"/>
      <c r="AT823" s="556"/>
    </row>
    <row r="824" spans="1:50" ht="15.75" customHeight="1" x14ac:dyDescent="0.3">
      <c r="A824" s="553"/>
      <c r="B824" s="786"/>
      <c r="C824" s="786"/>
      <c r="D824" s="786"/>
      <c r="E824" s="786"/>
      <c r="F824" s="786"/>
      <c r="G824" s="786"/>
      <c r="H824" s="786"/>
      <c r="I824" s="786"/>
      <c r="J824" s="786"/>
      <c r="K824" s="786"/>
      <c r="L824" s="786"/>
      <c r="M824" s="786"/>
      <c r="N824" s="786"/>
      <c r="O824" s="786"/>
      <c r="P824" s="786"/>
      <c r="Q824" s="67"/>
      <c r="R824" s="552"/>
    </row>
    <row r="825" spans="1:50" ht="15.75" customHeight="1" thickBot="1" x14ac:dyDescent="0.35">
      <c r="A825" s="553"/>
      <c r="B825" s="845">
        <f>+A5</f>
        <v>2013</v>
      </c>
      <c r="C825" s="845"/>
      <c r="D825" s="845"/>
      <c r="E825" s="845"/>
      <c r="F825" s="845"/>
      <c r="G825" s="845"/>
      <c r="H825" s="845"/>
      <c r="I825" s="845"/>
      <c r="J825" s="845"/>
      <c r="K825" s="845"/>
      <c r="L825" s="845"/>
      <c r="M825" s="845"/>
      <c r="N825" s="845"/>
      <c r="O825" s="845"/>
      <c r="P825" s="845"/>
      <c r="Q825" s="67"/>
      <c r="R825" s="552"/>
    </row>
    <row r="826" spans="1:50" ht="15.75" customHeight="1" x14ac:dyDescent="0.3">
      <c r="A826" s="553"/>
      <c r="B826" s="786" t="s">
        <v>2879</v>
      </c>
      <c r="C826" s="786"/>
      <c r="D826" s="786"/>
      <c r="E826" s="786"/>
      <c r="F826" s="786"/>
      <c r="G826" s="786"/>
      <c r="H826" s="786"/>
      <c r="I826" s="786"/>
      <c r="J826" s="786"/>
      <c r="K826" s="786"/>
      <c r="L826" s="786"/>
      <c r="M826" s="786"/>
      <c r="N826" s="786"/>
      <c r="O826" s="786"/>
      <c r="P826" s="786"/>
      <c r="Q826" s="67"/>
      <c r="R826" s="552"/>
      <c r="AC826" s="546"/>
      <c r="AD826" s="547"/>
      <c r="AE826" s="547"/>
      <c r="AF826" s="547"/>
      <c r="AG826" s="547"/>
      <c r="AH826" s="547"/>
      <c r="AI826" s="547"/>
      <c r="AJ826" s="547"/>
      <c r="AK826" s="547"/>
      <c r="AL826" s="547"/>
      <c r="AM826" s="547"/>
      <c r="AN826" s="547"/>
      <c r="AO826" s="547"/>
      <c r="AP826" s="547"/>
      <c r="AQ826" s="547"/>
      <c r="AR826" s="547"/>
      <c r="AS826" s="549" t="str">
        <f>+Q1</f>
        <v>PRINTED:</v>
      </c>
      <c r="AT826" s="559">
        <f ca="1">+R1</f>
        <v>44881.729634027775</v>
      </c>
      <c r="AU826" s="560"/>
      <c r="AW826" s="71" t="s">
        <v>253</v>
      </c>
      <c r="AX826" s="67"/>
    </row>
    <row r="827" spans="1:50" ht="15.75" customHeight="1" x14ac:dyDescent="0.35">
      <c r="A827" s="553"/>
      <c r="B827" s="67"/>
      <c r="C827" s="67"/>
      <c r="D827" s="67"/>
      <c r="E827" s="67"/>
      <c r="F827" s="67"/>
      <c r="G827" s="67"/>
      <c r="H827" s="67"/>
      <c r="I827" s="67"/>
      <c r="J827" s="67"/>
      <c r="K827" s="67"/>
      <c r="L827" s="67"/>
      <c r="M827" s="67"/>
      <c r="N827" s="67"/>
      <c r="O827" s="67"/>
      <c r="P827" s="67"/>
      <c r="Q827" s="67"/>
      <c r="R827" s="552"/>
      <c r="AC827" s="551"/>
      <c r="AD827" s="67"/>
      <c r="AE827" s="71" t="s">
        <v>2125</v>
      </c>
      <c r="AF827" s="67"/>
      <c r="AG827" s="67"/>
      <c r="AH827" s="67"/>
      <c r="AI827" s="67"/>
      <c r="AJ827" s="67"/>
      <c r="AK827" s="67"/>
      <c r="AL827" s="67"/>
      <c r="AM827" s="67"/>
      <c r="AN827" s="215"/>
      <c r="AO827" s="71" t="s">
        <v>1456</v>
      </c>
      <c r="AP827" s="67"/>
      <c r="AQ827" s="67"/>
      <c r="AR827" s="67"/>
      <c r="AS827" s="67"/>
      <c r="AT827" s="67"/>
      <c r="AU827" s="561"/>
      <c r="AW827" s="67" t="s">
        <v>254</v>
      </c>
      <c r="AX827" s="67"/>
    </row>
    <row r="828" spans="1:50" ht="15.75" customHeight="1" thickBot="1" x14ac:dyDescent="0.35">
      <c r="A828" s="553" t="s">
        <v>1307</v>
      </c>
      <c r="B828" s="634" t="s">
        <v>1308</v>
      </c>
      <c r="C828" s="634" t="s">
        <v>1309</v>
      </c>
      <c r="D828" s="634" t="s">
        <v>1029</v>
      </c>
      <c r="E828" s="634" t="s">
        <v>1030</v>
      </c>
      <c r="F828" s="634" t="s">
        <v>284</v>
      </c>
      <c r="G828" s="634" t="s">
        <v>284</v>
      </c>
      <c r="H828" s="634" t="s">
        <v>285</v>
      </c>
      <c r="I828" s="634" t="s">
        <v>286</v>
      </c>
      <c r="J828" s="634" t="s">
        <v>287</v>
      </c>
      <c r="K828" s="634" t="s">
        <v>288</v>
      </c>
      <c r="L828" s="634" t="s">
        <v>289</v>
      </c>
      <c r="M828" s="634" t="s">
        <v>633</v>
      </c>
      <c r="N828" s="634" t="s">
        <v>634</v>
      </c>
      <c r="O828" s="634" t="s">
        <v>1192</v>
      </c>
      <c r="P828" s="634" t="s">
        <v>524</v>
      </c>
      <c r="Q828" s="634" t="s">
        <v>525</v>
      </c>
      <c r="R828" s="552"/>
      <c r="AC828" s="551"/>
      <c r="AD828" s="67"/>
      <c r="AE828" s="67"/>
      <c r="AF828" s="67"/>
      <c r="AG828" s="67" t="s">
        <v>852</v>
      </c>
      <c r="AH828" s="69" t="str">
        <f>+A8</f>
        <v>Revised:  11/25/13</v>
      </c>
      <c r="AI828" s="67"/>
      <c r="AJ828" s="67"/>
      <c r="AK828" s="67"/>
      <c r="AL828" s="67"/>
      <c r="AM828" s="67"/>
      <c r="AN828" s="67"/>
      <c r="AO828" s="67"/>
      <c r="AP828" s="67"/>
      <c r="AQ828" s="67"/>
      <c r="AR828" s="67" t="s">
        <v>852</v>
      </c>
      <c r="AS828" s="69" t="str">
        <f>+A8</f>
        <v>Revised:  11/25/13</v>
      </c>
      <c r="AT828" s="67"/>
      <c r="AU828" s="561"/>
      <c r="AW828" s="67"/>
      <c r="AX828" s="67"/>
    </row>
    <row r="829" spans="1:50" ht="15.75" customHeight="1" x14ac:dyDescent="0.3">
      <c r="A829" s="553" t="s">
        <v>526</v>
      </c>
      <c r="B829" s="67"/>
      <c r="C829" s="67"/>
      <c r="D829" s="67"/>
      <c r="E829" s="67"/>
      <c r="F829" s="70" t="s">
        <v>1193</v>
      </c>
      <c r="G829" s="70" t="s">
        <v>1194</v>
      </c>
      <c r="H829" s="67"/>
      <c r="I829" s="67"/>
      <c r="J829" s="67"/>
      <c r="K829" s="67"/>
      <c r="L829" s="67"/>
      <c r="M829" s="67"/>
      <c r="N829" s="67"/>
      <c r="O829" s="67"/>
      <c r="P829" s="67"/>
      <c r="Q829" s="67"/>
      <c r="R829" s="552"/>
      <c r="AC829" s="551"/>
      <c r="AD829" s="67"/>
      <c r="AE829" s="67"/>
      <c r="AF829" s="67" t="s">
        <v>2545</v>
      </c>
      <c r="AG829" s="67"/>
      <c r="AH829" s="67"/>
      <c r="AI829" s="67"/>
      <c r="AJ829" s="67"/>
      <c r="AK829" s="67"/>
      <c r="AL829" s="67"/>
      <c r="AM829" s="67"/>
      <c r="AN829" s="67"/>
      <c r="AO829" s="67"/>
      <c r="AP829" s="67" t="s">
        <v>2545</v>
      </c>
      <c r="AQ829" s="67"/>
      <c r="AR829" s="67"/>
      <c r="AS829" s="67"/>
      <c r="AT829" s="67"/>
      <c r="AU829" s="561"/>
      <c r="AW829" s="67" t="s">
        <v>2435</v>
      </c>
      <c r="AX829" s="70" t="s">
        <v>335</v>
      </c>
    </row>
    <row r="830" spans="1:50" ht="15.75" customHeight="1" x14ac:dyDescent="0.3">
      <c r="A830" s="553" t="s">
        <v>1195</v>
      </c>
      <c r="B830" s="67">
        <f>+B$801</f>
        <v>957</v>
      </c>
      <c r="C830" s="67">
        <f>+C$801</f>
        <v>122</v>
      </c>
      <c r="D830" s="67">
        <f>+D$801</f>
        <v>128</v>
      </c>
      <c r="E830" s="67">
        <f>+E$801</f>
        <v>219</v>
      </c>
      <c r="F830" s="67"/>
      <c r="G830" s="67"/>
      <c r="H830" s="67">
        <f t="shared" ref="H830:Q830" si="131">+H$801</f>
        <v>97</v>
      </c>
      <c r="I830" s="67">
        <f t="shared" si="131"/>
        <v>160</v>
      </c>
      <c r="J830" s="67">
        <f t="shared" si="131"/>
        <v>250</v>
      </c>
      <c r="K830" s="67">
        <f t="shared" si="131"/>
        <v>260</v>
      </c>
      <c r="L830" s="67">
        <f t="shared" si="131"/>
        <v>100</v>
      </c>
      <c r="M830" s="67">
        <f t="shared" si="131"/>
        <v>118</v>
      </c>
      <c r="N830" s="67">
        <f t="shared" si="131"/>
        <v>250</v>
      </c>
      <c r="O830" s="67">
        <f t="shared" si="131"/>
        <v>190</v>
      </c>
      <c r="P830" s="67">
        <f t="shared" si="131"/>
        <v>340</v>
      </c>
      <c r="Q830" s="67">
        <f t="shared" si="131"/>
        <v>450</v>
      </c>
      <c r="R830" s="552"/>
      <c r="AC830" s="551"/>
      <c r="AD830" s="67"/>
      <c r="AE830" s="67"/>
      <c r="AF830" s="67"/>
      <c r="AG830" s="67"/>
      <c r="AH830" s="67"/>
      <c r="AI830" s="67"/>
      <c r="AJ830" s="67"/>
      <c r="AK830" s="67"/>
      <c r="AL830" s="67"/>
      <c r="AM830" s="67"/>
      <c r="AN830" s="67"/>
      <c r="AO830" s="67"/>
      <c r="AP830" s="67"/>
      <c r="AQ830" s="67"/>
      <c r="AR830" s="67"/>
      <c r="AS830" s="67"/>
      <c r="AT830" s="67"/>
      <c r="AU830" s="561"/>
      <c r="AW830" s="70" t="s">
        <v>335</v>
      </c>
      <c r="AX830" s="70" t="s">
        <v>956</v>
      </c>
    </row>
    <row r="831" spans="1:50" ht="15.75" customHeight="1" x14ac:dyDescent="0.3">
      <c r="A831" s="553"/>
      <c r="B831" s="74" t="s">
        <v>1353</v>
      </c>
      <c r="C831" s="74" t="s">
        <v>1353</v>
      </c>
      <c r="D831" s="74" t="s">
        <v>1353</v>
      </c>
      <c r="E831" s="74" t="s">
        <v>1353</v>
      </c>
      <c r="F831" s="74" t="s">
        <v>1353</v>
      </c>
      <c r="G831" s="74" t="s">
        <v>1353</v>
      </c>
      <c r="H831" s="74" t="s">
        <v>1353</v>
      </c>
      <c r="I831" s="74" t="s">
        <v>1353</v>
      </c>
      <c r="J831" s="74" t="s">
        <v>1353</v>
      </c>
      <c r="K831" s="74" t="s">
        <v>1353</v>
      </c>
      <c r="L831" s="74" t="s">
        <v>1353</v>
      </c>
      <c r="M831" s="74" t="s">
        <v>1353</v>
      </c>
      <c r="N831" s="74" t="s">
        <v>1353</v>
      </c>
      <c r="O831" s="74" t="s">
        <v>1353</v>
      </c>
      <c r="P831" s="74" t="s">
        <v>1353</v>
      </c>
      <c r="Q831" s="74" t="s">
        <v>1353</v>
      </c>
      <c r="R831" s="552"/>
      <c r="AC831" s="551"/>
      <c r="AD831" s="67"/>
      <c r="AE831" s="67"/>
      <c r="AF831" s="67"/>
      <c r="AG831" s="67">
        <f>+A5</f>
        <v>2013</v>
      </c>
      <c r="AH831" s="67"/>
      <c r="AI831" s="67"/>
      <c r="AJ831" s="67"/>
      <c r="AK831" s="67"/>
      <c r="AL831" s="67"/>
      <c r="AM831" s="67"/>
      <c r="AN831" s="67"/>
      <c r="AO831" s="67"/>
      <c r="AP831" s="67"/>
      <c r="AQ831" s="67"/>
      <c r="AR831" s="67">
        <f>+A5</f>
        <v>2013</v>
      </c>
      <c r="AS831" s="67"/>
      <c r="AT831" s="67"/>
      <c r="AU831" s="561"/>
      <c r="AW831" s="70" t="s">
        <v>998</v>
      </c>
      <c r="AX831" s="70" t="s">
        <v>2201</v>
      </c>
    </row>
    <row r="832" spans="1:50" ht="15.75" customHeight="1" x14ac:dyDescent="0.3">
      <c r="A832" s="139" t="s">
        <v>2843</v>
      </c>
      <c r="B832" s="67">
        <f t="shared" ref="B832:Q832" si="132">(B803/$B$10/1.983)</f>
        <v>1319.0018382053909</v>
      </c>
      <c r="C832" s="67">
        <f t="shared" si="132"/>
        <v>1317.4239096839262</v>
      </c>
      <c r="D832" s="67">
        <f t="shared" si="132"/>
        <v>1315.8622484668065</v>
      </c>
      <c r="E832" s="67">
        <f t="shared" si="132"/>
        <v>1284.0434011679924</v>
      </c>
      <c r="F832" s="67">
        <f t="shared" si="132"/>
        <v>879.47554210791725</v>
      </c>
      <c r="G832" s="67">
        <f t="shared" si="132"/>
        <v>-402.03015958225564</v>
      </c>
      <c r="H832" s="67">
        <f t="shared" si="132"/>
        <v>494.85139817480842</v>
      </c>
      <c r="I832" s="67">
        <f t="shared" si="132"/>
        <v>267.62969108389052</v>
      </c>
      <c r="J832" s="67">
        <f t="shared" si="132"/>
        <v>261.62705578058655</v>
      </c>
      <c r="K832" s="67">
        <f t="shared" si="132"/>
        <v>250.2562100434337</v>
      </c>
      <c r="L832" s="67">
        <f t="shared" si="132"/>
        <v>235.45296308948642</v>
      </c>
      <c r="M832" s="67">
        <f t="shared" si="132"/>
        <v>235.12761700258648</v>
      </c>
      <c r="N832" s="67">
        <f t="shared" si="132"/>
        <v>234.96494395913652</v>
      </c>
      <c r="O832" s="67">
        <f t="shared" si="132"/>
        <v>46.426886600621408</v>
      </c>
      <c r="P832" s="67">
        <f t="shared" si="132"/>
        <v>8.7518097376083812</v>
      </c>
      <c r="Q832" s="67">
        <f t="shared" si="132"/>
        <v>46.003936687651482</v>
      </c>
      <c r="R832" s="552"/>
      <c r="AC832" s="551"/>
      <c r="AD832" s="67"/>
      <c r="AE832" s="67"/>
      <c r="AF832" s="67"/>
      <c r="AG832" s="67" t="s">
        <v>1199</v>
      </c>
      <c r="AH832" s="67"/>
      <c r="AI832" s="67"/>
      <c r="AJ832" s="67"/>
      <c r="AK832" s="67"/>
      <c r="AL832" s="67"/>
      <c r="AM832" s="67"/>
      <c r="AN832" s="67"/>
      <c r="AO832" s="67"/>
      <c r="AP832" s="67"/>
      <c r="AQ832" s="67"/>
      <c r="AR832" s="67" t="s">
        <v>1199</v>
      </c>
      <c r="AS832" s="67"/>
      <c r="AT832" s="67"/>
      <c r="AU832" s="561"/>
      <c r="AW832" s="70" t="s">
        <v>1353</v>
      </c>
      <c r="AX832" s="70" t="s">
        <v>1353</v>
      </c>
    </row>
    <row r="833" spans="1:50" ht="15.75" customHeight="1" x14ac:dyDescent="0.3">
      <c r="A833" s="139" t="s">
        <v>2091</v>
      </c>
      <c r="B833" s="67">
        <f t="shared" ref="B833:Q833" si="133">(B804/$C$10/1.983)</f>
        <v>2630.5201354369278</v>
      </c>
      <c r="C833" s="67">
        <f t="shared" si="133"/>
        <v>2627.8546214249695</v>
      </c>
      <c r="D833" s="67">
        <f t="shared" si="133"/>
        <v>2624.7388516677474</v>
      </c>
      <c r="E833" s="67">
        <f t="shared" si="133"/>
        <v>2592.1763561703046</v>
      </c>
      <c r="F833" s="67">
        <f t="shared" si="133"/>
        <v>1604.9996397954037</v>
      </c>
      <c r="G833" s="67">
        <f t="shared" si="133"/>
        <v>0</v>
      </c>
      <c r="H833" s="67">
        <f t="shared" si="133"/>
        <v>666.21641092140339</v>
      </c>
      <c r="I833" s="67">
        <f t="shared" si="133"/>
        <v>330.61378863194295</v>
      </c>
      <c r="J833" s="67">
        <f t="shared" si="133"/>
        <v>323.06750234132983</v>
      </c>
      <c r="K833" s="67">
        <f t="shared" si="133"/>
        <v>314.92687846696924</v>
      </c>
      <c r="L833" s="67">
        <f t="shared" si="133"/>
        <v>294.2691448742886</v>
      </c>
      <c r="M833" s="67">
        <f t="shared" si="133"/>
        <v>293.87291981845686</v>
      </c>
      <c r="N833" s="67">
        <f t="shared" si="133"/>
        <v>293.67480729054103</v>
      </c>
      <c r="O833" s="67">
        <f t="shared" si="133"/>
        <v>55.075282760608019</v>
      </c>
      <c r="P833" s="67">
        <f t="shared" si="133"/>
        <v>2.1432173474533536</v>
      </c>
      <c r="Q833" s="67">
        <f t="shared" si="133"/>
        <v>54.480945176860459</v>
      </c>
      <c r="R833" s="552"/>
      <c r="AC833" s="551"/>
      <c r="AD833" s="67"/>
      <c r="AE833" s="67"/>
      <c r="AF833" s="67"/>
      <c r="AG833" s="67"/>
      <c r="AH833" s="67"/>
      <c r="AI833" s="67"/>
      <c r="AJ833" s="67"/>
      <c r="AK833" s="67"/>
      <c r="AL833" s="67"/>
      <c r="AM833" s="67"/>
      <c r="AN833" s="67"/>
      <c r="AO833" s="67"/>
      <c r="AP833" s="67"/>
      <c r="AQ833" s="67"/>
      <c r="AR833" s="67"/>
      <c r="AS833" s="67"/>
      <c r="AT833" s="67"/>
      <c r="AU833" s="561"/>
      <c r="AW833" s="67">
        <f t="shared" ref="AW833:AW844" si="134">SUM(L858:Q858)</f>
        <v>8761.7520000000004</v>
      </c>
      <c r="AX833" s="72">
        <v>2.4700000000000002</v>
      </c>
    </row>
    <row r="834" spans="1:50" ht="15.75" customHeight="1" x14ac:dyDescent="0.3">
      <c r="A834" s="139" t="s">
        <v>2234</v>
      </c>
      <c r="B834" s="67">
        <f t="shared" ref="B834:Q834" si="135">(B805/$D$10/1.983)</f>
        <v>2907.8782554942818</v>
      </c>
      <c r="C834" s="67">
        <f t="shared" si="135"/>
        <v>2903.4210141037524</v>
      </c>
      <c r="D834" s="67">
        <f t="shared" si="135"/>
        <v>2898.5082881915637</v>
      </c>
      <c r="E834" s="67">
        <f t="shared" si="135"/>
        <v>2798.3016934263824</v>
      </c>
      <c r="F834" s="67">
        <f t="shared" si="135"/>
        <v>1084.4435768548794</v>
      </c>
      <c r="G834" s="67">
        <f t="shared" si="135"/>
        <v>0</v>
      </c>
      <c r="H834" s="67">
        <f t="shared" si="135"/>
        <v>1277.9919639516536</v>
      </c>
      <c r="I834" s="67">
        <f t="shared" si="135"/>
        <v>497.86084947863287</v>
      </c>
      <c r="J834" s="67">
        <f t="shared" si="135"/>
        <v>363.26517332812779</v>
      </c>
      <c r="K834" s="67">
        <f t="shared" si="135"/>
        <v>322.4993086395653</v>
      </c>
      <c r="L834" s="67">
        <f t="shared" si="135"/>
        <v>279.83016934263821</v>
      </c>
      <c r="M834" s="67">
        <f t="shared" si="135"/>
        <v>279.3746848209783</v>
      </c>
      <c r="N834" s="67">
        <f t="shared" si="135"/>
        <v>278.39864656027851</v>
      </c>
      <c r="O834" s="67">
        <f t="shared" si="135"/>
        <v>65.752444162477829</v>
      </c>
      <c r="P834" s="67">
        <f t="shared" si="135"/>
        <v>76.651538073625815</v>
      </c>
      <c r="Q834" s="67">
        <f t="shared" si="135"/>
        <v>65.004148162607976</v>
      </c>
      <c r="R834" s="552"/>
      <c r="AC834" s="551" t="s">
        <v>1307</v>
      </c>
      <c r="AD834" s="70" t="s">
        <v>1308</v>
      </c>
      <c r="AE834" s="70" t="s">
        <v>1309</v>
      </c>
      <c r="AF834" s="70" t="s">
        <v>1029</v>
      </c>
      <c r="AG834" s="70" t="s">
        <v>1030</v>
      </c>
      <c r="AH834" s="70" t="s">
        <v>284</v>
      </c>
      <c r="AI834" s="67"/>
      <c r="AJ834" s="70" t="s">
        <v>2356</v>
      </c>
      <c r="AK834" s="67"/>
      <c r="AL834" s="67"/>
      <c r="AM834" s="67"/>
      <c r="AN834" s="67" t="s">
        <v>1307</v>
      </c>
      <c r="AO834" s="70" t="s">
        <v>1308</v>
      </c>
      <c r="AP834" s="70" t="s">
        <v>1309</v>
      </c>
      <c r="AQ834" s="70" t="s">
        <v>1029</v>
      </c>
      <c r="AR834" s="70" t="s">
        <v>1030</v>
      </c>
      <c r="AS834" s="70" t="s">
        <v>284</v>
      </c>
      <c r="AT834" s="70" t="s">
        <v>2356</v>
      </c>
      <c r="AU834" s="561"/>
      <c r="AW834" s="67">
        <f t="shared" si="134"/>
        <v>9618.5360000000001</v>
      </c>
      <c r="AX834" s="72">
        <v>2.4700000000000002</v>
      </c>
    </row>
    <row r="835" spans="1:50" ht="15.75" customHeight="1" x14ac:dyDescent="0.3">
      <c r="A835" s="139" t="s">
        <v>2235</v>
      </c>
      <c r="B835" s="67">
        <f t="shared" ref="B835:Q835" si="136">(B806/$F$10/1.983)</f>
        <v>2533.4846192637415</v>
      </c>
      <c r="C835" s="67">
        <f t="shared" si="136"/>
        <v>2527.315515212641</v>
      </c>
      <c r="D835" s="67">
        <f t="shared" si="136"/>
        <v>2519.5158850226926</v>
      </c>
      <c r="E835" s="67">
        <f t="shared" si="136"/>
        <v>2371.9280551353168</v>
      </c>
      <c r="F835" s="67">
        <f t="shared" si="136"/>
        <v>5.3118171121196838</v>
      </c>
      <c r="G835" s="67">
        <f t="shared" si="136"/>
        <v>-577.25668179525974</v>
      </c>
      <c r="H835" s="67">
        <f t="shared" si="136"/>
        <v>2211.7330643805681</v>
      </c>
      <c r="I835" s="67">
        <f t="shared" si="136"/>
        <v>867.8097159186417</v>
      </c>
      <c r="J835" s="67">
        <f t="shared" si="136"/>
        <v>578.50058833417381</v>
      </c>
      <c r="K835" s="67">
        <f t="shared" si="136"/>
        <v>463.60732896285089</v>
      </c>
      <c r="L835" s="67">
        <f t="shared" si="136"/>
        <v>356.88350983358549</v>
      </c>
      <c r="M835" s="67">
        <f t="shared" si="136"/>
        <v>356.2615565641284</v>
      </c>
      <c r="N835" s="67">
        <f t="shared" si="136"/>
        <v>323.68465288283744</v>
      </c>
      <c r="O835" s="67">
        <f t="shared" si="136"/>
        <v>65.876617918977971</v>
      </c>
      <c r="P835" s="67">
        <f t="shared" si="136"/>
        <v>87.258362750042025</v>
      </c>
      <c r="Q835" s="67">
        <f t="shared" si="136"/>
        <v>64.985711884350309</v>
      </c>
      <c r="R835" s="552"/>
      <c r="AC835" s="551" t="s">
        <v>526</v>
      </c>
      <c r="AD835" s="67"/>
      <c r="AE835" s="67"/>
      <c r="AF835" s="67"/>
      <c r="AG835" s="67"/>
      <c r="AH835" s="70" t="s">
        <v>1193</v>
      </c>
      <c r="AI835" s="67"/>
      <c r="AJ835" s="70" t="s">
        <v>252</v>
      </c>
      <c r="AK835" s="67"/>
      <c r="AL835" s="67"/>
      <c r="AM835" s="67"/>
      <c r="AN835" s="67" t="s">
        <v>526</v>
      </c>
      <c r="AO835" s="67"/>
      <c r="AP835" s="67"/>
      <c r="AQ835" s="67"/>
      <c r="AR835" s="67"/>
      <c r="AS835" s="70" t="s">
        <v>1193</v>
      </c>
      <c r="AT835" s="70" t="s">
        <v>252</v>
      </c>
      <c r="AU835" s="561"/>
      <c r="AW835" s="67">
        <f t="shared" si="134"/>
        <v>12193.492</v>
      </c>
      <c r="AX835" s="72">
        <v>2.4700000000000002</v>
      </c>
    </row>
    <row r="836" spans="1:50" ht="15.75" customHeight="1" x14ac:dyDescent="0.3">
      <c r="A836" s="139" t="s">
        <v>2236</v>
      </c>
      <c r="B836" s="67">
        <f t="shared" ref="B836:Q836" si="137">(B807/$G$10/1.983)</f>
        <v>2866.0224814146045</v>
      </c>
      <c r="C836" s="67">
        <f t="shared" si="137"/>
        <v>2859.1088770679812</v>
      </c>
      <c r="D836" s="67">
        <f t="shared" si="137"/>
        <v>2849.7877116782975</v>
      </c>
      <c r="E836" s="67">
        <f t="shared" si="137"/>
        <v>2724.5782701348558</v>
      </c>
      <c r="F836" s="67">
        <f t="shared" si="137"/>
        <v>0</v>
      </c>
      <c r="G836" s="67">
        <f t="shared" si="137"/>
        <v>-334.92752915914298</v>
      </c>
      <c r="H836" s="67">
        <f t="shared" si="137"/>
        <v>2138.5323638019945</v>
      </c>
      <c r="I836" s="67">
        <f t="shared" si="137"/>
        <v>665.49542075382692</v>
      </c>
      <c r="J836" s="67">
        <f t="shared" si="137"/>
        <v>451.67797244318638</v>
      </c>
      <c r="K836" s="67">
        <f t="shared" si="137"/>
        <v>354.95258080783429</v>
      </c>
      <c r="L836" s="67">
        <f t="shared" si="137"/>
        <v>319.68506498788082</v>
      </c>
      <c r="M836" s="67">
        <f t="shared" si="137"/>
        <v>319.00183820539098</v>
      </c>
      <c r="N836" s="67">
        <f t="shared" si="137"/>
        <v>288.79345403673153</v>
      </c>
      <c r="O836" s="67">
        <f t="shared" si="137"/>
        <v>72.422038943926609</v>
      </c>
      <c r="P836" s="67">
        <f t="shared" si="137"/>
        <v>98.677468156751743</v>
      </c>
      <c r="Q836" s="67">
        <f t="shared" si="137"/>
        <v>71.85268329185169</v>
      </c>
      <c r="R836" s="552"/>
      <c r="AC836" s="551" t="s">
        <v>1195</v>
      </c>
      <c r="AD836" s="67">
        <f>+B$801</f>
        <v>957</v>
      </c>
      <c r="AE836" s="67">
        <f>+C$801</f>
        <v>122</v>
      </c>
      <c r="AF836" s="67">
        <f>+D$801</f>
        <v>128</v>
      </c>
      <c r="AG836" s="67">
        <f>+E$801</f>
        <v>219</v>
      </c>
      <c r="AH836" s="67"/>
      <c r="AI836" s="67"/>
      <c r="AJ836" s="70" t="s">
        <v>335</v>
      </c>
      <c r="AK836" s="67"/>
      <c r="AL836" s="67"/>
      <c r="AM836" s="67"/>
      <c r="AN836" s="67" t="s">
        <v>1195</v>
      </c>
      <c r="AO836" s="67">
        <f>+B$801</f>
        <v>957</v>
      </c>
      <c r="AP836" s="67">
        <f>+C$801</f>
        <v>122</v>
      </c>
      <c r="AQ836" s="67">
        <f>+D$801</f>
        <v>128</v>
      </c>
      <c r="AR836" s="67">
        <f>+E$801</f>
        <v>219</v>
      </c>
      <c r="AS836" s="67"/>
      <c r="AT836" s="70" t="s">
        <v>335</v>
      </c>
      <c r="AU836" s="561"/>
      <c r="AW836" s="67">
        <f t="shared" si="134"/>
        <v>13687.242000000002</v>
      </c>
      <c r="AX836" s="72">
        <v>2.4700000000000002</v>
      </c>
    </row>
    <row r="837" spans="1:50" ht="15.75" customHeight="1" x14ac:dyDescent="0.3">
      <c r="A837" s="139" t="s">
        <v>2237</v>
      </c>
      <c r="B837" s="67">
        <f t="shared" ref="B837:Q837" si="138">(B808/$H$10/1.983)</f>
        <v>2188.9897461758278</v>
      </c>
      <c r="C837" s="67">
        <f t="shared" si="138"/>
        <v>2181.9801647335685</v>
      </c>
      <c r="D837" s="67">
        <f t="shared" si="138"/>
        <v>2173.3568667002855</v>
      </c>
      <c r="E837" s="67">
        <f t="shared" si="138"/>
        <v>2056.4968902336527</v>
      </c>
      <c r="F837" s="67">
        <f t="shared" si="138"/>
        <v>0</v>
      </c>
      <c r="G837" s="67">
        <f t="shared" si="138"/>
        <v>-1317.1457387796268</v>
      </c>
      <c r="H837" s="67">
        <f t="shared" si="138"/>
        <v>2666.9860480753064</v>
      </c>
      <c r="I837" s="67">
        <f t="shared" si="138"/>
        <v>870.56648176164049</v>
      </c>
      <c r="J837" s="67">
        <f t="shared" si="138"/>
        <v>510.94301563287945</v>
      </c>
      <c r="K837" s="67">
        <f t="shared" si="138"/>
        <v>363.05261388468648</v>
      </c>
      <c r="L837" s="67">
        <f t="shared" si="138"/>
        <v>300.38661959993271</v>
      </c>
      <c r="M837" s="67">
        <f t="shared" si="138"/>
        <v>299.6469994957136</v>
      </c>
      <c r="N837" s="67">
        <f t="shared" si="138"/>
        <v>254.49655404269626</v>
      </c>
      <c r="O837" s="67">
        <f t="shared" si="138"/>
        <v>62.21213649352832</v>
      </c>
      <c r="P837" s="67">
        <f t="shared" si="138"/>
        <v>100.01680954782316</v>
      </c>
      <c r="Q837" s="67">
        <f t="shared" si="138"/>
        <v>62.06085056311985</v>
      </c>
      <c r="R837" s="552"/>
      <c r="AC837" s="551"/>
      <c r="AD837" s="67" t="s">
        <v>1353</v>
      </c>
      <c r="AE837" s="67" t="s">
        <v>1353</v>
      </c>
      <c r="AF837" s="67" t="s">
        <v>1353</v>
      </c>
      <c r="AG837" s="67" t="s">
        <v>1353</v>
      </c>
      <c r="AH837" s="67" t="s">
        <v>1353</v>
      </c>
      <c r="AI837" s="67"/>
      <c r="AJ837" s="67" t="s">
        <v>251</v>
      </c>
      <c r="AK837" s="67"/>
      <c r="AL837" s="67"/>
      <c r="AM837" s="67"/>
      <c r="AN837" s="67"/>
      <c r="AO837" s="67" t="s">
        <v>1353</v>
      </c>
      <c r="AP837" s="67" t="s">
        <v>1353</v>
      </c>
      <c r="AQ837" s="67" t="s">
        <v>1353</v>
      </c>
      <c r="AR837" s="67" t="s">
        <v>1353</v>
      </c>
      <c r="AS837" s="67" t="s">
        <v>1353</v>
      </c>
      <c r="AT837" s="67" t="s">
        <v>251</v>
      </c>
      <c r="AU837" s="561"/>
      <c r="AW837" s="67">
        <f t="shared" si="134"/>
        <v>13613.4</v>
      </c>
      <c r="AX837" s="72">
        <v>2.4700000000000002</v>
      </c>
    </row>
    <row r="838" spans="1:50" ht="15.75" customHeight="1" x14ac:dyDescent="0.3">
      <c r="A838" s="139" t="s">
        <v>1504</v>
      </c>
      <c r="B838" s="67">
        <f t="shared" ref="B838:Q838" si="139">(B809/$J$10/1.983)</f>
        <v>1381.5984253249392</v>
      </c>
      <c r="C838" s="67">
        <f t="shared" si="139"/>
        <v>1374.8312267174206</v>
      </c>
      <c r="D838" s="67">
        <f t="shared" si="139"/>
        <v>1365.9330112407072</v>
      </c>
      <c r="E838" s="67">
        <f t="shared" si="139"/>
        <v>1236.8031493501212</v>
      </c>
      <c r="F838" s="67">
        <f t="shared" si="139"/>
        <v>0</v>
      </c>
      <c r="G838" s="67">
        <f t="shared" si="139"/>
        <v>-1535.4057879068857</v>
      </c>
      <c r="H838" s="67">
        <f t="shared" si="139"/>
        <v>2140.8748556276737</v>
      </c>
      <c r="I838" s="67">
        <f t="shared" si="139"/>
        <v>714.4762741366128</v>
      </c>
      <c r="J838" s="67">
        <f t="shared" si="139"/>
        <v>431.03476322938525</v>
      </c>
      <c r="K838" s="67">
        <f t="shared" si="139"/>
        <v>314.60966603224176</v>
      </c>
      <c r="L838" s="67">
        <f t="shared" si="139"/>
        <v>281.21289021196293</v>
      </c>
      <c r="M838" s="67">
        <f t="shared" si="139"/>
        <v>280.57846534250808</v>
      </c>
      <c r="N838" s="67">
        <f t="shared" si="139"/>
        <v>233.69609422022677</v>
      </c>
      <c r="O838" s="67">
        <f t="shared" si="139"/>
        <v>82.182421550924786</v>
      </c>
      <c r="P838" s="67">
        <f t="shared" si="139"/>
        <v>95.179997722577397</v>
      </c>
      <c r="Q838" s="67">
        <f t="shared" si="139"/>
        <v>81.905877377059838</v>
      </c>
      <c r="R838" s="552"/>
      <c r="AC838" s="553" t="s">
        <v>1354</v>
      </c>
      <c r="AD838" s="67">
        <f t="shared" ref="AD838:AD849" si="140">($F803)*B$801/1000</f>
        <v>51739.248</v>
      </c>
      <c r="AE838" s="67">
        <f t="shared" ref="AE838:AE849" si="141">($F803)*C$801/1000</f>
        <v>6595.808</v>
      </c>
      <c r="AF838" s="67">
        <f t="shared" ref="AF838:AF849" si="142">($F803)*D$801/1000</f>
        <v>6920.192</v>
      </c>
      <c r="AG838" s="67">
        <f t="shared" ref="AG838:AG849" si="143">($F803)*E$801/1000</f>
        <v>11840.016</v>
      </c>
      <c r="AH838" s="67">
        <f t="shared" ref="AH838:AH849" si="144">(F803*((T803-1526.8)/0.7702))/1000</f>
        <v>11603.192936899504</v>
      </c>
      <c r="AI838" s="67"/>
      <c r="AJ838" s="67">
        <f t="shared" ref="AJ838:AJ849" si="145">SUM(AD838:AH838)</f>
        <v>88698.4569368995</v>
      </c>
      <c r="AK838" s="67"/>
      <c r="AL838" s="67"/>
      <c r="AM838" s="67"/>
      <c r="AN838" s="70" t="s">
        <v>1354</v>
      </c>
      <c r="AO838" s="67">
        <f t="shared" ref="AO838:AO849" si="146">(B803-$F803)*B$801/1000</f>
        <v>25857.183000000001</v>
      </c>
      <c r="AP838" s="67">
        <f t="shared" ref="AP838:AP849" si="147">(C803-$F803)*C$801/1000</f>
        <v>3284.4839999999999</v>
      </c>
      <c r="AQ838" s="67">
        <f t="shared" ref="AQ838:AQ849" si="148">(D803-$F803)*D$801/1000</f>
        <v>3433.7280000000001</v>
      </c>
      <c r="AR838" s="67">
        <f t="shared" ref="AR838:AR849" si="149">(E803-$F803)*E$801/1000</f>
        <v>5446.53</v>
      </c>
      <c r="AS838" s="67">
        <f>((F803-$F803)*(('Lake Pleasant Forecast'!B35-1526.8)/0.7702))/1000</f>
        <v>0</v>
      </c>
      <c r="AT838" s="67">
        <f t="shared" ref="AT838:AT849" si="150">SUM(AN838:AR838)</f>
        <v>38021.925000000003</v>
      </c>
      <c r="AU838" s="561"/>
      <c r="AW838" s="67">
        <f t="shared" si="134"/>
        <v>12063.057999999999</v>
      </c>
      <c r="AX838" s="72">
        <v>2.4700000000000002</v>
      </c>
    </row>
    <row r="839" spans="1:50" ht="15.75" customHeight="1" x14ac:dyDescent="0.3">
      <c r="A839" s="139" t="s">
        <v>1505</v>
      </c>
      <c r="B839" s="67">
        <f t="shared" ref="B839:Q839" si="151">(B810/$K$10/1.983)</f>
        <v>1576.5458005953833</v>
      </c>
      <c r="C839" s="67">
        <f t="shared" si="151"/>
        <v>1571.1125209441543</v>
      </c>
      <c r="D839" s="67">
        <f t="shared" si="151"/>
        <v>1564.9960145104355</v>
      </c>
      <c r="E839" s="67">
        <f t="shared" si="151"/>
        <v>1430.0749922730304</v>
      </c>
      <c r="F839" s="67">
        <f t="shared" si="151"/>
        <v>0</v>
      </c>
      <c r="G839" s="67">
        <f t="shared" si="151"/>
        <v>-1426.6425910562359</v>
      </c>
      <c r="H839" s="67">
        <f t="shared" si="151"/>
        <v>2194.4268215314041</v>
      </c>
      <c r="I839" s="67">
        <f t="shared" si="151"/>
        <v>803.0192116864315</v>
      </c>
      <c r="J839" s="67">
        <f t="shared" si="151"/>
        <v>496.15278252240819</v>
      </c>
      <c r="K839" s="67">
        <f t="shared" si="151"/>
        <v>380.08556602085469</v>
      </c>
      <c r="L839" s="67">
        <f t="shared" si="151"/>
        <v>301.2704764693442</v>
      </c>
      <c r="M839" s="67">
        <f t="shared" si="151"/>
        <v>300.68485351292435</v>
      </c>
      <c r="N839" s="67">
        <f t="shared" si="151"/>
        <v>260.16299838953682</v>
      </c>
      <c r="O839" s="67">
        <f t="shared" si="151"/>
        <v>70.518764335561954</v>
      </c>
      <c r="P839" s="67">
        <f t="shared" si="151"/>
        <v>93.162851983797765</v>
      </c>
      <c r="Q839" s="67">
        <f t="shared" si="151"/>
        <v>70.421160509491969</v>
      </c>
      <c r="R839" s="552"/>
      <c r="AC839" s="553" t="s">
        <v>706</v>
      </c>
      <c r="AD839" s="67">
        <f t="shared" si="140"/>
        <v>85284.012000000002</v>
      </c>
      <c r="AE839" s="67">
        <f t="shared" si="141"/>
        <v>10872.152</v>
      </c>
      <c r="AF839" s="67">
        <f t="shared" si="142"/>
        <v>11406.848</v>
      </c>
      <c r="AG839" s="67">
        <f t="shared" si="143"/>
        <v>19516.403999999999</v>
      </c>
      <c r="AH839" s="67">
        <f t="shared" si="144"/>
        <v>19188.519137886255</v>
      </c>
      <c r="AI839" s="67"/>
      <c r="AJ839" s="67">
        <f t="shared" si="145"/>
        <v>146267.93513788626</v>
      </c>
      <c r="AK839" s="67"/>
      <c r="AL839" s="67"/>
      <c r="AM839" s="67"/>
      <c r="AN839" s="70" t="s">
        <v>706</v>
      </c>
      <c r="AO839" s="67">
        <f t="shared" si="146"/>
        <v>54492.536999999997</v>
      </c>
      <c r="AP839" s="67">
        <f t="shared" si="147"/>
        <v>6928.7460000000001</v>
      </c>
      <c r="AQ839" s="67">
        <f t="shared" si="148"/>
        <v>7247.36</v>
      </c>
      <c r="AR839" s="67">
        <f t="shared" si="149"/>
        <v>12003.828</v>
      </c>
      <c r="AS839" s="67">
        <f>((F804-$F804)*(('Lake Pleasant Forecast'!B37-1526.8)/0.7702))/1000</f>
        <v>0</v>
      </c>
      <c r="AT839" s="67">
        <f t="shared" si="150"/>
        <v>80672.47099999999</v>
      </c>
      <c r="AU839" s="561"/>
      <c r="AW839" s="67">
        <f t="shared" si="134"/>
        <v>12570.433999999999</v>
      </c>
      <c r="AX839" s="72">
        <v>2.4700000000000002</v>
      </c>
    </row>
    <row r="840" spans="1:50" ht="15.75" customHeight="1" x14ac:dyDescent="0.3">
      <c r="A840" s="139" t="s">
        <v>1506</v>
      </c>
      <c r="B840" s="67">
        <f t="shared" ref="B840:Q840" si="152">(B811/$L$10/1.983)</f>
        <v>2521.3985543788872</v>
      </c>
      <c r="C840" s="67">
        <f t="shared" si="152"/>
        <v>2516.0867372667672</v>
      </c>
      <c r="D840" s="67">
        <f t="shared" si="152"/>
        <v>2510.6572533198855</v>
      </c>
      <c r="E840" s="67">
        <f t="shared" si="152"/>
        <v>2426.7608001344761</v>
      </c>
      <c r="F840" s="67">
        <f t="shared" si="152"/>
        <v>462.76685157169265</v>
      </c>
      <c r="G840" s="67">
        <f t="shared" si="152"/>
        <v>-6.2363422423936798</v>
      </c>
      <c r="H840" s="67">
        <f t="shared" si="152"/>
        <v>1411.5817784501596</v>
      </c>
      <c r="I840" s="67">
        <f t="shared" si="152"/>
        <v>535.38409816775925</v>
      </c>
      <c r="J840" s="67">
        <f t="shared" si="152"/>
        <v>421.33131618759455</v>
      </c>
      <c r="K840" s="67">
        <f t="shared" si="152"/>
        <v>358.71575054631029</v>
      </c>
      <c r="L840" s="67">
        <f t="shared" si="152"/>
        <v>297.15918641788534</v>
      </c>
      <c r="M840" s="67">
        <f t="shared" si="152"/>
        <v>296.5876617918978</v>
      </c>
      <c r="N840" s="67">
        <f t="shared" si="152"/>
        <v>266.22961842326436</v>
      </c>
      <c r="O840" s="67">
        <f t="shared" si="152"/>
        <v>59.942847537401235</v>
      </c>
      <c r="P840" s="67">
        <f t="shared" si="152"/>
        <v>92.839132627332319</v>
      </c>
      <c r="Q840" s="67">
        <f t="shared" si="152"/>
        <v>59.20322743318205</v>
      </c>
      <c r="R840" s="552"/>
      <c r="AC840" s="553" t="s">
        <v>707</v>
      </c>
      <c r="AD840" s="67">
        <f t="shared" si="140"/>
        <v>63797.447999999997</v>
      </c>
      <c r="AE840" s="67">
        <f t="shared" si="141"/>
        <v>8133.0079999999998</v>
      </c>
      <c r="AF840" s="67">
        <f t="shared" si="142"/>
        <v>8532.9920000000002</v>
      </c>
      <c r="AG840" s="67">
        <f t="shared" si="143"/>
        <v>14599.415999999999</v>
      </c>
      <c r="AH840" s="67">
        <f t="shared" si="144"/>
        <v>14836.245689086745</v>
      </c>
      <c r="AI840" s="67"/>
      <c r="AJ840" s="67">
        <f t="shared" si="145"/>
        <v>109899.10968908673</v>
      </c>
      <c r="AK840" s="67"/>
      <c r="AL840" s="67"/>
      <c r="AM840" s="67"/>
      <c r="AN840" s="70" t="s">
        <v>707</v>
      </c>
      <c r="AO840" s="67">
        <f t="shared" si="146"/>
        <v>107272.04399999999</v>
      </c>
      <c r="AP840" s="67">
        <f t="shared" si="147"/>
        <v>13641.796</v>
      </c>
      <c r="AQ840" s="67">
        <f t="shared" si="148"/>
        <v>14274.048000000001</v>
      </c>
      <c r="AR840" s="67">
        <f t="shared" si="149"/>
        <v>23072.964</v>
      </c>
      <c r="AS840" s="67">
        <f>((F805-$F805)*(('Lake Pleasant Forecast'!B39-1526.8)/0.7702))/1000</f>
        <v>0</v>
      </c>
      <c r="AT840" s="67">
        <f t="shared" si="150"/>
        <v>158260.85200000001</v>
      </c>
      <c r="AU840" s="561"/>
      <c r="AW840" s="67">
        <f t="shared" si="134"/>
        <v>12750.242</v>
      </c>
      <c r="AX840" s="72">
        <v>2.4700000000000002</v>
      </c>
    </row>
    <row r="841" spans="1:50" ht="15.75" customHeight="1" x14ac:dyDescent="0.3">
      <c r="A841" s="139" t="s">
        <v>1507</v>
      </c>
      <c r="B841" s="67">
        <f t="shared" ref="B841:Q841" si="153">(B812/$N$10/1.983)</f>
        <v>3051.7137605127455</v>
      </c>
      <c r="C841" s="67">
        <f t="shared" si="153"/>
        <v>3047.077578774421</v>
      </c>
      <c r="D841" s="67">
        <f t="shared" si="153"/>
        <v>3042.1648528622322</v>
      </c>
      <c r="E841" s="67">
        <f t="shared" si="153"/>
        <v>2948.0422299220795</v>
      </c>
      <c r="F841" s="67">
        <f t="shared" si="153"/>
        <v>1277.7154197777884</v>
      </c>
      <c r="G841" s="67">
        <f t="shared" si="153"/>
        <v>0</v>
      </c>
      <c r="H841" s="67">
        <f t="shared" si="153"/>
        <v>1136.0271989328646</v>
      </c>
      <c r="I841" s="67">
        <f t="shared" si="153"/>
        <v>257.20234899874742</v>
      </c>
      <c r="J841" s="67">
        <f t="shared" si="153"/>
        <v>244.53011891399473</v>
      </c>
      <c r="K841" s="67">
        <f t="shared" si="153"/>
        <v>233.61475769850176</v>
      </c>
      <c r="L841" s="67">
        <f t="shared" si="153"/>
        <v>186.91132692401541</v>
      </c>
      <c r="M841" s="67">
        <f t="shared" si="153"/>
        <v>186.43957509801049</v>
      </c>
      <c r="N841" s="67">
        <f t="shared" si="153"/>
        <v>178.74514014282693</v>
      </c>
      <c r="O841" s="67">
        <f t="shared" si="153"/>
        <v>53.177817903795159</v>
      </c>
      <c r="P841" s="67">
        <f t="shared" si="153"/>
        <v>87.095147463113889</v>
      </c>
      <c r="Q841" s="67">
        <f t="shared" si="153"/>
        <v>53.096481382070181</v>
      </c>
      <c r="R841" s="552"/>
      <c r="AC841" s="553" t="s">
        <v>1321</v>
      </c>
      <c r="AD841" s="67">
        <f t="shared" si="140"/>
        <v>302.41199999999998</v>
      </c>
      <c r="AE841" s="67">
        <f t="shared" si="141"/>
        <v>38.552</v>
      </c>
      <c r="AF841" s="67">
        <f t="shared" si="142"/>
        <v>40.448</v>
      </c>
      <c r="AG841" s="67">
        <f t="shared" si="143"/>
        <v>69.203999999999994</v>
      </c>
      <c r="AH841" s="67">
        <f t="shared" si="144"/>
        <v>70.367644767592921</v>
      </c>
      <c r="AI841" s="67"/>
      <c r="AJ841" s="67">
        <f t="shared" si="145"/>
        <v>520.98364476759286</v>
      </c>
      <c r="AK841" s="67"/>
      <c r="AL841" s="67"/>
      <c r="AM841" s="67"/>
      <c r="AN841" s="70" t="s">
        <v>1321</v>
      </c>
      <c r="AO841" s="67">
        <f t="shared" si="146"/>
        <v>143933.75700000001</v>
      </c>
      <c r="AP841" s="67">
        <f t="shared" si="147"/>
        <v>18304.148000000001</v>
      </c>
      <c r="AQ841" s="67">
        <f t="shared" si="148"/>
        <v>19144.96</v>
      </c>
      <c r="AR841" s="67">
        <f t="shared" si="149"/>
        <v>30833.01</v>
      </c>
      <c r="AS841" s="67">
        <f>((F806-$F806)*(('Lake Pleasant Forecast'!B41-1526.8)/0.7702))/1000</f>
        <v>0</v>
      </c>
      <c r="AT841" s="67">
        <f t="shared" si="150"/>
        <v>212215.87500000003</v>
      </c>
      <c r="AU841" s="561"/>
      <c r="AW841" s="67">
        <f t="shared" si="134"/>
        <v>11949.552</v>
      </c>
      <c r="AX841" s="72">
        <v>2.4700000000000002</v>
      </c>
    </row>
    <row r="842" spans="1:50" ht="15.75" customHeight="1" x14ac:dyDescent="0.3">
      <c r="A842" s="139" t="s">
        <v>1508</v>
      </c>
      <c r="B842" s="67">
        <f t="shared" ref="B842:Q842" si="154">(B813/$O$10/1.983)</f>
        <v>2427.4668011430495</v>
      </c>
      <c r="C842" s="67">
        <f t="shared" si="154"/>
        <v>2423.5165574046055</v>
      </c>
      <c r="D842" s="67">
        <f t="shared" si="154"/>
        <v>2419.7007900487474</v>
      </c>
      <c r="E842" s="67">
        <f t="shared" si="154"/>
        <v>2364.077996301899</v>
      </c>
      <c r="F842" s="67">
        <f t="shared" si="154"/>
        <v>1354.8663640948057</v>
      </c>
      <c r="G842" s="67">
        <f t="shared" si="154"/>
        <v>0</v>
      </c>
      <c r="H842" s="67">
        <f t="shared" si="154"/>
        <v>592.14994116658261</v>
      </c>
      <c r="I842" s="67">
        <f t="shared" si="154"/>
        <v>158.88384602454192</v>
      </c>
      <c r="J842" s="67">
        <f t="shared" si="154"/>
        <v>153.20221886031266</v>
      </c>
      <c r="K842" s="67">
        <f t="shared" si="154"/>
        <v>138.83005547150782</v>
      </c>
      <c r="L842" s="67">
        <f t="shared" si="154"/>
        <v>124.07127248277021</v>
      </c>
      <c r="M842" s="67">
        <f t="shared" si="154"/>
        <v>123.68465288283745</v>
      </c>
      <c r="N842" s="67">
        <f t="shared" si="154"/>
        <v>120.72617246596066</v>
      </c>
      <c r="O842" s="67">
        <f t="shared" si="154"/>
        <v>35.468145906875101</v>
      </c>
      <c r="P842" s="67">
        <f t="shared" si="154"/>
        <v>73.474533535047897</v>
      </c>
      <c r="Q842" s="67">
        <f t="shared" si="154"/>
        <v>35.417717263405613</v>
      </c>
      <c r="R842" s="552"/>
      <c r="AC842" s="553" t="s">
        <v>1905</v>
      </c>
      <c r="AD842" s="67">
        <f t="shared" si="140"/>
        <v>0</v>
      </c>
      <c r="AE842" s="67">
        <f t="shared" si="141"/>
        <v>0</v>
      </c>
      <c r="AF842" s="67">
        <f t="shared" si="142"/>
        <v>0</v>
      </c>
      <c r="AG842" s="67">
        <f t="shared" si="143"/>
        <v>0</v>
      </c>
      <c r="AH842" s="67">
        <f t="shared" si="144"/>
        <v>0</v>
      </c>
      <c r="AI842" s="67"/>
      <c r="AJ842" s="67">
        <f t="shared" si="145"/>
        <v>0</v>
      </c>
      <c r="AK842" s="67"/>
      <c r="AL842" s="67"/>
      <c r="AM842" s="67"/>
      <c r="AN842" s="70" t="s">
        <v>1905</v>
      </c>
      <c r="AO842" s="67">
        <f t="shared" si="146"/>
        <v>168607.13099999999</v>
      </c>
      <c r="AP842" s="67">
        <f t="shared" si="147"/>
        <v>21442.475999999999</v>
      </c>
      <c r="AQ842" s="67">
        <f t="shared" si="148"/>
        <v>22423.68</v>
      </c>
      <c r="AR842" s="67">
        <f t="shared" si="149"/>
        <v>36679.872000000003</v>
      </c>
      <c r="AS842" s="67">
        <f>((F807-$F807)*(('Lake Pleasant Forecast'!B43-1526.8)/0.7702))/1000</f>
        <v>0</v>
      </c>
      <c r="AT842" s="67">
        <f t="shared" si="150"/>
        <v>249153.15899999999</v>
      </c>
      <c r="AU842" s="561"/>
      <c r="AW842" s="67">
        <f t="shared" si="134"/>
        <v>9158.6679999999997</v>
      </c>
      <c r="AX842" s="72">
        <v>2.4700000000000002</v>
      </c>
    </row>
    <row r="843" spans="1:50" ht="15.75" customHeight="1" thickBot="1" x14ac:dyDescent="0.35">
      <c r="A843" s="139" t="s">
        <v>1509</v>
      </c>
      <c r="B843" s="555">
        <f t="shared" ref="B843:Q843" si="155">(B814/$P$10/1.983)</f>
        <v>2239.2107103931803</v>
      </c>
      <c r="C843" s="555">
        <f t="shared" si="155"/>
        <v>2236.1849917850109</v>
      </c>
      <c r="D843" s="555">
        <f t="shared" si="155"/>
        <v>2233.2731443072571</v>
      </c>
      <c r="E843" s="555">
        <f t="shared" si="155"/>
        <v>1953.9960633123485</v>
      </c>
      <c r="F843" s="555">
        <f t="shared" si="155"/>
        <v>700.03090787825545</v>
      </c>
      <c r="G843" s="555">
        <f t="shared" si="155"/>
        <v>0</v>
      </c>
      <c r="H843" s="555">
        <f t="shared" si="155"/>
        <v>844.3544320270687</v>
      </c>
      <c r="I843" s="555">
        <f t="shared" si="155"/>
        <v>338.68527646283735</v>
      </c>
      <c r="J843" s="555">
        <f t="shared" si="155"/>
        <v>302.73453386039398</v>
      </c>
      <c r="K843" s="555">
        <f t="shared" si="155"/>
        <v>301.04273420851433</v>
      </c>
      <c r="L843" s="555">
        <f t="shared" si="155"/>
        <v>225.04188830868836</v>
      </c>
      <c r="M843" s="555">
        <f t="shared" si="155"/>
        <v>224.73280952613339</v>
      </c>
      <c r="N843" s="555">
        <f t="shared" si="155"/>
        <v>221.39801213540903</v>
      </c>
      <c r="O843" s="555">
        <f t="shared" si="155"/>
        <v>53.714638947180063</v>
      </c>
      <c r="P843" s="555">
        <f t="shared" si="155"/>
        <v>80.393018072975124</v>
      </c>
      <c r="Q843" s="555">
        <f t="shared" si="155"/>
        <v>53.682104338490063</v>
      </c>
      <c r="R843" s="556"/>
      <c r="AC843" s="553" t="s">
        <v>1906</v>
      </c>
      <c r="AD843" s="67">
        <f t="shared" si="140"/>
        <v>0</v>
      </c>
      <c r="AE843" s="67">
        <f t="shared" si="141"/>
        <v>0</v>
      </c>
      <c r="AF843" s="67">
        <f t="shared" si="142"/>
        <v>0</v>
      </c>
      <c r="AG843" s="67">
        <f t="shared" si="143"/>
        <v>0</v>
      </c>
      <c r="AH843" s="67">
        <f t="shared" si="144"/>
        <v>0</v>
      </c>
      <c r="AI843" s="67"/>
      <c r="AJ843" s="67">
        <f t="shared" si="145"/>
        <v>0</v>
      </c>
      <c r="AK843" s="67"/>
      <c r="AL843" s="67"/>
      <c r="AM843" s="67"/>
      <c r="AN843" s="70" t="s">
        <v>1906</v>
      </c>
      <c r="AO843" s="67">
        <f t="shared" si="146"/>
        <v>124623.41099999999</v>
      </c>
      <c r="AP843" s="67">
        <f t="shared" si="147"/>
        <v>15836.332</v>
      </c>
      <c r="AQ843" s="67">
        <f t="shared" si="148"/>
        <v>16549.504000000001</v>
      </c>
      <c r="AR843" s="67">
        <f t="shared" si="149"/>
        <v>26792.679</v>
      </c>
      <c r="AS843" s="67">
        <f>((F808-$F808)*(('Lake Pleasant Forecast'!B45-1526.8)/0.7702))/1000</f>
        <v>0</v>
      </c>
      <c r="AT843" s="67">
        <f t="shared" si="150"/>
        <v>183801.92599999998</v>
      </c>
      <c r="AU843" s="561"/>
      <c r="AW843" s="67">
        <f t="shared" si="134"/>
        <v>6237.0339999999997</v>
      </c>
      <c r="AX843" s="72">
        <v>2.4700000000000002</v>
      </c>
    </row>
    <row r="844" spans="1:50" ht="15.75" customHeight="1" x14ac:dyDescent="0.3">
      <c r="A844" s="139"/>
      <c r="AC844" s="553" t="s">
        <v>1907</v>
      </c>
      <c r="AD844" s="67">
        <f t="shared" si="140"/>
        <v>0</v>
      </c>
      <c r="AE844" s="67">
        <f t="shared" si="141"/>
        <v>0</v>
      </c>
      <c r="AF844" s="67">
        <f t="shared" si="142"/>
        <v>0</v>
      </c>
      <c r="AG844" s="67">
        <f t="shared" si="143"/>
        <v>0</v>
      </c>
      <c r="AH844" s="67">
        <f t="shared" si="144"/>
        <v>0</v>
      </c>
      <c r="AI844" s="67"/>
      <c r="AJ844" s="67">
        <f t="shared" si="145"/>
        <v>0</v>
      </c>
      <c r="AK844" s="67"/>
      <c r="AL844" s="67"/>
      <c r="AM844" s="67"/>
      <c r="AN844" s="70" t="s">
        <v>1907</v>
      </c>
      <c r="AO844" s="67">
        <f t="shared" si="146"/>
        <v>81278.967000000004</v>
      </c>
      <c r="AP844" s="67">
        <f t="shared" si="147"/>
        <v>10310.83</v>
      </c>
      <c r="AQ844" s="67">
        <f t="shared" si="148"/>
        <v>10747.904</v>
      </c>
      <c r="AR844" s="67">
        <f t="shared" si="149"/>
        <v>16650.57</v>
      </c>
      <c r="AS844" s="67">
        <f>((F809-$F809)*(('Lake Pleasant Forecast'!B47-1526.8)/0.7702))/1000</f>
        <v>0</v>
      </c>
      <c r="AT844" s="67">
        <f t="shared" si="150"/>
        <v>118988.27100000001</v>
      </c>
      <c r="AU844" s="561"/>
      <c r="AW844" s="67">
        <f t="shared" si="134"/>
        <v>10208.73</v>
      </c>
      <c r="AX844" s="72">
        <v>2.4700000000000002</v>
      </c>
    </row>
    <row r="845" spans="1:50" ht="15.75" customHeight="1" x14ac:dyDescent="0.3">
      <c r="A845" s="139"/>
      <c r="AC845" s="553" t="s">
        <v>1908</v>
      </c>
      <c r="AD845" s="67">
        <f t="shared" si="140"/>
        <v>0</v>
      </c>
      <c r="AE845" s="67">
        <f t="shared" si="141"/>
        <v>0</v>
      </c>
      <c r="AF845" s="67">
        <f t="shared" si="142"/>
        <v>0</v>
      </c>
      <c r="AG845" s="67">
        <f t="shared" si="143"/>
        <v>0</v>
      </c>
      <c r="AH845" s="67">
        <f t="shared" si="144"/>
        <v>0</v>
      </c>
      <c r="AI845" s="67"/>
      <c r="AJ845" s="67">
        <f t="shared" si="145"/>
        <v>0</v>
      </c>
      <c r="AK845" s="67"/>
      <c r="AL845" s="67"/>
      <c r="AM845" s="67"/>
      <c r="AN845" s="70" t="s">
        <v>1908</v>
      </c>
      <c r="AO845" s="67">
        <f t="shared" si="146"/>
        <v>92747.654999999999</v>
      </c>
      <c r="AP845" s="67">
        <f t="shared" si="147"/>
        <v>11782.882</v>
      </c>
      <c r="AQ845" s="67">
        <f t="shared" si="148"/>
        <v>12314.24</v>
      </c>
      <c r="AR845" s="67">
        <f t="shared" si="149"/>
        <v>19252.508999999998</v>
      </c>
      <c r="AS845" s="67">
        <f>((F810-$F810)*(('Lake Pleasant Forecast'!B49-1526.8)/0.7702))/1000</f>
        <v>0</v>
      </c>
      <c r="AT845" s="67">
        <f t="shared" si="150"/>
        <v>136097.28599999999</v>
      </c>
      <c r="AU845" s="561"/>
      <c r="AW845" s="67"/>
      <c r="AX845" s="72"/>
    </row>
    <row r="846" spans="1:50" ht="15.75" customHeight="1" thickBot="1" x14ac:dyDescent="0.35">
      <c r="A846" s="139"/>
      <c r="AC846" s="553" t="s">
        <v>2352</v>
      </c>
      <c r="AD846" s="67">
        <f t="shared" si="140"/>
        <v>26346.21</v>
      </c>
      <c r="AE846" s="67">
        <f t="shared" si="141"/>
        <v>3358.66</v>
      </c>
      <c r="AF846" s="67">
        <f t="shared" si="142"/>
        <v>3523.84</v>
      </c>
      <c r="AG846" s="67">
        <f t="shared" si="143"/>
        <v>6029.07</v>
      </c>
      <c r="AH846" s="67">
        <f t="shared" si="144"/>
        <v>4689.2502464374475</v>
      </c>
      <c r="AI846" s="67"/>
      <c r="AJ846" s="67">
        <f t="shared" si="145"/>
        <v>43947.030246437447</v>
      </c>
      <c r="AK846" s="67"/>
      <c r="AL846" s="67"/>
      <c r="AM846" s="67"/>
      <c r="AN846" s="70" t="s">
        <v>2352</v>
      </c>
      <c r="AO846" s="67">
        <f t="shared" si="146"/>
        <v>117201.876</v>
      </c>
      <c r="AP846" s="67">
        <f t="shared" si="147"/>
        <v>14902.544</v>
      </c>
      <c r="AQ846" s="67">
        <f t="shared" si="148"/>
        <v>15594.111999999999</v>
      </c>
      <c r="AR846" s="67">
        <f t="shared" si="149"/>
        <v>25587.522000000001</v>
      </c>
      <c r="AS846" s="67">
        <f>((F811-$F811)*(('Lake Pleasant Forecast'!B51-1526.8)/0.7702))/1000</f>
        <v>0</v>
      </c>
      <c r="AT846" s="67">
        <f t="shared" si="150"/>
        <v>173286.054</v>
      </c>
      <c r="AU846" s="561"/>
      <c r="AW846" s="67">
        <f>(SUM(AW833:AW844))</f>
        <v>132812.13999999998</v>
      </c>
      <c r="AX846" s="72"/>
    </row>
    <row r="847" spans="1:50" ht="15.75" customHeight="1" x14ac:dyDescent="0.3">
      <c r="A847" s="651"/>
      <c r="B847" s="782" t="s">
        <v>1198</v>
      </c>
      <c r="C847" s="782"/>
      <c r="D847" s="782"/>
      <c r="E847" s="782"/>
      <c r="F847" s="782"/>
      <c r="G847" s="782"/>
      <c r="H847" s="782"/>
      <c r="I847" s="782"/>
      <c r="J847" s="782"/>
      <c r="K847" s="782"/>
      <c r="L847" s="782"/>
      <c r="M847" s="782"/>
      <c r="N847" s="782"/>
      <c r="O847" s="782"/>
      <c r="P847" s="782"/>
      <c r="Q847" s="549" t="str">
        <f>+Q1</f>
        <v>PRINTED:</v>
      </c>
      <c r="R847" s="550">
        <f ca="1">+R1</f>
        <v>44881.729634027775</v>
      </c>
      <c r="AC847" s="553" t="s">
        <v>2353</v>
      </c>
      <c r="AD847" s="67">
        <f t="shared" si="140"/>
        <v>75167.565000000002</v>
      </c>
      <c r="AE847" s="67">
        <f t="shared" si="141"/>
        <v>9582.49</v>
      </c>
      <c r="AF847" s="67">
        <f t="shared" si="142"/>
        <v>10053.76</v>
      </c>
      <c r="AG847" s="67">
        <f t="shared" si="143"/>
        <v>17201.355</v>
      </c>
      <c r="AH847" s="67">
        <f t="shared" si="144"/>
        <v>14167.062321474948</v>
      </c>
      <c r="AI847" s="67"/>
      <c r="AJ847" s="67">
        <f t="shared" si="145"/>
        <v>126172.23232147495</v>
      </c>
      <c r="AK847" s="67"/>
      <c r="AL847" s="67"/>
      <c r="AM847" s="67"/>
      <c r="AN847" s="70" t="s">
        <v>2353</v>
      </c>
      <c r="AO847" s="67">
        <f t="shared" si="146"/>
        <v>104363.72100000001</v>
      </c>
      <c r="AP847" s="67">
        <f t="shared" si="147"/>
        <v>13269.696</v>
      </c>
      <c r="AQ847" s="67">
        <f t="shared" si="148"/>
        <v>13883.647999999999</v>
      </c>
      <c r="AR847" s="67">
        <f t="shared" si="149"/>
        <v>22486.92</v>
      </c>
      <c r="AS847" s="67">
        <f>((F812-$F812)*(('Lake Pleasant Forecast'!B53-1526.8)/0.7702))/1000</f>
        <v>0</v>
      </c>
      <c r="AT847" s="67">
        <f t="shared" si="150"/>
        <v>154003.98499999999</v>
      </c>
      <c r="AU847" s="561"/>
    </row>
    <row r="848" spans="1:50" ht="16.5" customHeight="1" x14ac:dyDescent="0.3">
      <c r="A848" s="553"/>
      <c r="B848" s="786" t="str">
        <f>+A8</f>
        <v>Revised:  11/25/13</v>
      </c>
      <c r="C848" s="786"/>
      <c r="D848" s="786"/>
      <c r="E848" s="786"/>
      <c r="F848" s="786"/>
      <c r="G848" s="786"/>
      <c r="H848" s="786"/>
      <c r="I848" s="786"/>
      <c r="J848" s="786"/>
      <c r="K848" s="786"/>
      <c r="L848" s="786"/>
      <c r="M848" s="786"/>
      <c r="N848" s="786"/>
      <c r="O848" s="786"/>
      <c r="P848" s="786"/>
      <c r="Q848" s="67"/>
      <c r="R848" s="552"/>
      <c r="AC848" s="553" t="s">
        <v>2354</v>
      </c>
      <c r="AD848" s="67">
        <f t="shared" si="140"/>
        <v>77135.157000000007</v>
      </c>
      <c r="AE848" s="67">
        <f t="shared" si="141"/>
        <v>9833.3220000000001</v>
      </c>
      <c r="AF848" s="67">
        <f t="shared" si="142"/>
        <v>10316.928</v>
      </c>
      <c r="AG848" s="67">
        <f t="shared" si="143"/>
        <v>17651.618999999999</v>
      </c>
      <c r="AH848" s="67">
        <f t="shared" si="144"/>
        <v>15301.841365878996</v>
      </c>
      <c r="AI848" s="67"/>
      <c r="AJ848" s="67">
        <f t="shared" si="145"/>
        <v>130238.86736587901</v>
      </c>
      <c r="AK848" s="67"/>
      <c r="AL848" s="67"/>
      <c r="AM848" s="67"/>
      <c r="AN848" s="70" t="s">
        <v>2354</v>
      </c>
      <c r="AO848" s="67">
        <f t="shared" si="146"/>
        <v>61065.213000000003</v>
      </c>
      <c r="AP848" s="67">
        <f t="shared" si="147"/>
        <v>7756.0280000000002</v>
      </c>
      <c r="AQ848" s="67">
        <f t="shared" si="148"/>
        <v>8108.4160000000002</v>
      </c>
      <c r="AR848" s="67">
        <f t="shared" si="149"/>
        <v>13148.322</v>
      </c>
      <c r="AS848" s="67">
        <f>((F813-$F813)*(('Lake Pleasant Forecast'!B55-1526.8)/0.7702))/1000</f>
        <v>0</v>
      </c>
      <c r="AT848" s="67">
        <f t="shared" si="150"/>
        <v>90077.979000000007</v>
      </c>
      <c r="AU848" s="561"/>
    </row>
    <row r="849" spans="1:47" ht="15.75" customHeight="1" x14ac:dyDescent="0.3">
      <c r="A849" s="553"/>
      <c r="B849" s="786" t="s">
        <v>2878</v>
      </c>
      <c r="C849" s="786"/>
      <c r="D849" s="786"/>
      <c r="E849" s="786"/>
      <c r="F849" s="786"/>
      <c r="G849" s="786"/>
      <c r="H849" s="786"/>
      <c r="I849" s="786"/>
      <c r="J849" s="786"/>
      <c r="K849" s="786"/>
      <c r="L849" s="786"/>
      <c r="M849" s="786"/>
      <c r="N849" s="786"/>
      <c r="O849" s="786"/>
      <c r="P849" s="786"/>
      <c r="Q849" s="67"/>
      <c r="R849" s="552"/>
      <c r="AC849" s="553" t="s">
        <v>2355</v>
      </c>
      <c r="AD849" s="67">
        <f t="shared" si="140"/>
        <v>41182.580999999998</v>
      </c>
      <c r="AE849" s="67">
        <f t="shared" si="141"/>
        <v>5250.0259999999998</v>
      </c>
      <c r="AF849" s="67">
        <f t="shared" si="142"/>
        <v>5508.2240000000002</v>
      </c>
      <c r="AG849" s="67">
        <f t="shared" si="143"/>
        <v>9424.2270000000008</v>
      </c>
      <c r="AH849" s="67">
        <f t="shared" si="144"/>
        <v>8556.2600002057115</v>
      </c>
      <c r="AI849" s="67"/>
      <c r="AJ849" s="67">
        <f t="shared" si="145"/>
        <v>69921.318000205705</v>
      </c>
      <c r="AK849" s="67"/>
      <c r="AL849" s="67"/>
      <c r="AM849" s="67"/>
      <c r="AN849" s="70" t="s">
        <v>2355</v>
      </c>
      <c r="AO849" s="67">
        <f t="shared" si="146"/>
        <v>90549.426000000007</v>
      </c>
      <c r="AP849" s="67">
        <f t="shared" si="147"/>
        <v>11520.704</v>
      </c>
      <c r="AQ849" s="67">
        <f t="shared" si="148"/>
        <v>12064.384</v>
      </c>
      <c r="AR849" s="67">
        <f t="shared" si="149"/>
        <v>16881.615000000002</v>
      </c>
      <c r="AS849" s="67">
        <f>((F814-$F814)*(('Lake Pleasant Forecast'!B57-1526.8)/0.7702))/1000</f>
        <v>0</v>
      </c>
      <c r="AT849" s="67">
        <f t="shared" si="150"/>
        <v>131016.12900000002</v>
      </c>
      <c r="AU849" s="561"/>
    </row>
    <row r="850" spans="1:47" ht="15.75" customHeight="1" x14ac:dyDescent="0.3">
      <c r="A850" s="553"/>
      <c r="B850" s="67"/>
      <c r="C850" s="67"/>
      <c r="D850" s="67"/>
      <c r="E850" s="67"/>
      <c r="F850" s="67"/>
      <c r="G850" s="67"/>
      <c r="H850" s="67"/>
      <c r="I850" s="67"/>
      <c r="J850" s="67"/>
      <c r="K850" s="67"/>
      <c r="L850" s="67"/>
      <c r="M850" s="67"/>
      <c r="N850" s="67"/>
      <c r="O850" s="67"/>
      <c r="P850" s="67"/>
      <c r="Q850" s="67"/>
      <c r="R850" s="552"/>
      <c r="AC850" s="551"/>
      <c r="AD850" s="67"/>
      <c r="AE850" s="67"/>
      <c r="AF850" s="67"/>
      <c r="AG850" s="67"/>
      <c r="AH850" s="67"/>
      <c r="AI850" s="67"/>
      <c r="AJ850" s="67"/>
      <c r="AK850" s="67"/>
      <c r="AL850" s="67"/>
      <c r="AM850" s="67"/>
      <c r="AN850" s="67"/>
      <c r="AO850" s="67"/>
      <c r="AP850" s="67"/>
      <c r="AQ850" s="67"/>
      <c r="AR850" s="67"/>
      <c r="AS850" s="67"/>
      <c r="AT850" s="67"/>
      <c r="AU850" s="561"/>
    </row>
    <row r="851" spans="1:47" ht="15.75" customHeight="1" thickBot="1" x14ac:dyDescent="0.35">
      <c r="A851" s="553"/>
      <c r="B851" s="845">
        <f>A5</f>
        <v>2013</v>
      </c>
      <c r="C851" s="845"/>
      <c r="D851" s="845"/>
      <c r="E851" s="845"/>
      <c r="F851" s="845"/>
      <c r="G851" s="845"/>
      <c r="H851" s="845"/>
      <c r="I851" s="845"/>
      <c r="J851" s="845"/>
      <c r="K851" s="845"/>
      <c r="L851" s="845"/>
      <c r="M851" s="845"/>
      <c r="N851" s="845"/>
      <c r="O851" s="845"/>
      <c r="P851" s="845"/>
      <c r="Q851" s="67"/>
      <c r="R851" s="552"/>
      <c r="S851" s="67"/>
      <c r="AC851" s="558" t="s">
        <v>2356</v>
      </c>
      <c r="AD851" s="555">
        <f>SUM(AD838:AD849)</f>
        <v>420954.63300000003</v>
      </c>
      <c r="AE851" s="555">
        <f>SUM(AE838:AE849)</f>
        <v>53664.017999999996</v>
      </c>
      <c r="AF851" s="555">
        <f>SUM(AF838:AF849)</f>
        <v>56303.232000000004</v>
      </c>
      <c r="AG851" s="555">
        <f>SUM(AG838:AG849)</f>
        <v>96331.311000000002</v>
      </c>
      <c r="AH851" s="555">
        <f>SUM(AH838:AH849)</f>
        <v>88412.7393426372</v>
      </c>
      <c r="AI851" s="555"/>
      <c r="AJ851" s="555">
        <f>SUM(AJ838:AJ849)</f>
        <v>715665.93334263714</v>
      </c>
      <c r="AK851" s="555"/>
      <c r="AL851" s="555"/>
      <c r="AM851" s="555"/>
      <c r="AN851" s="564" t="s">
        <v>2356</v>
      </c>
      <c r="AO851" s="555">
        <f t="shared" ref="AO851:AT851" si="156">SUM(AO838:AO849)</f>
        <v>1171992.9210000001</v>
      </c>
      <c r="AP851" s="555">
        <f t="shared" si="156"/>
        <v>148980.66599999997</v>
      </c>
      <c r="AQ851" s="555">
        <f t="shared" si="156"/>
        <v>155785.98399999997</v>
      </c>
      <c r="AR851" s="555">
        <f t="shared" si="156"/>
        <v>248836.34099999996</v>
      </c>
      <c r="AS851" s="555">
        <f t="shared" si="156"/>
        <v>0</v>
      </c>
      <c r="AT851" s="555">
        <f t="shared" si="156"/>
        <v>1725595.912</v>
      </c>
      <c r="AU851" s="565"/>
    </row>
    <row r="852" spans="1:47" ht="15.75" customHeight="1" x14ac:dyDescent="0.3">
      <c r="A852" s="553"/>
      <c r="B852" s="786" t="s">
        <v>1199</v>
      </c>
      <c r="C852" s="786"/>
      <c r="D852" s="786"/>
      <c r="E852" s="786"/>
      <c r="F852" s="786"/>
      <c r="G852" s="786"/>
      <c r="H852" s="786"/>
      <c r="I852" s="786"/>
      <c r="J852" s="786"/>
      <c r="K852" s="786"/>
      <c r="L852" s="786"/>
      <c r="M852" s="786"/>
      <c r="N852" s="786"/>
      <c r="O852" s="786"/>
      <c r="P852" s="786"/>
      <c r="Q852" s="67"/>
      <c r="R852" s="552"/>
      <c r="S852" s="67"/>
    </row>
    <row r="853" spans="1:47" ht="15.75" customHeight="1" thickBot="1" x14ac:dyDescent="0.35">
      <c r="A853" s="553"/>
      <c r="B853" s="67"/>
      <c r="C853" s="67"/>
      <c r="D853" s="67"/>
      <c r="E853" s="67"/>
      <c r="F853" s="67"/>
      <c r="G853" s="67"/>
      <c r="H853" s="67"/>
      <c r="I853" s="67"/>
      <c r="J853" s="67"/>
      <c r="K853" s="67"/>
      <c r="L853" s="67"/>
      <c r="M853" s="67"/>
      <c r="N853" s="67"/>
      <c r="O853" s="67"/>
      <c r="P853" s="67"/>
      <c r="Q853" s="67"/>
      <c r="R853" s="552"/>
      <c r="S853" s="67"/>
    </row>
    <row r="854" spans="1:47" ht="15.75" customHeight="1" thickBot="1" x14ac:dyDescent="0.35">
      <c r="A854" s="553" t="s">
        <v>1307</v>
      </c>
      <c r="B854" s="634" t="s">
        <v>1308</v>
      </c>
      <c r="C854" s="634" t="s">
        <v>1309</v>
      </c>
      <c r="D854" s="634" t="s">
        <v>1029</v>
      </c>
      <c r="E854" s="634" t="s">
        <v>1030</v>
      </c>
      <c r="F854" s="634" t="s">
        <v>284</v>
      </c>
      <c r="G854" s="634" t="s">
        <v>284</v>
      </c>
      <c r="H854" s="634" t="s">
        <v>285</v>
      </c>
      <c r="I854" s="634" t="s">
        <v>286</v>
      </c>
      <c r="J854" s="634" t="s">
        <v>287</v>
      </c>
      <c r="K854" s="634" t="s">
        <v>288</v>
      </c>
      <c r="L854" s="634" t="s">
        <v>289</v>
      </c>
      <c r="M854" s="634" t="s">
        <v>633</v>
      </c>
      <c r="N854" s="634" t="s">
        <v>634</v>
      </c>
      <c r="O854" s="634" t="s">
        <v>1192</v>
      </c>
      <c r="P854" s="634" t="s">
        <v>524</v>
      </c>
      <c r="Q854" s="634" t="s">
        <v>525</v>
      </c>
      <c r="R854" s="635" t="s">
        <v>2356</v>
      </c>
      <c r="S854" s="70"/>
    </row>
    <row r="855" spans="1:47" ht="15.75" customHeight="1" x14ac:dyDescent="0.3">
      <c r="A855" s="553" t="s">
        <v>526</v>
      </c>
      <c r="B855" s="67"/>
      <c r="C855" s="67"/>
      <c r="D855" s="67"/>
      <c r="E855" s="67"/>
      <c r="F855" s="70" t="s">
        <v>1193</v>
      </c>
      <c r="G855" s="70" t="s">
        <v>1194</v>
      </c>
      <c r="H855" s="67"/>
      <c r="I855" s="67"/>
      <c r="J855" s="67"/>
      <c r="K855" s="67"/>
      <c r="L855" s="67"/>
      <c r="M855" s="67"/>
      <c r="N855" s="67"/>
      <c r="O855" s="67"/>
      <c r="P855" s="67"/>
      <c r="Q855" s="67"/>
      <c r="R855" s="592" t="s">
        <v>1236</v>
      </c>
      <c r="S855" s="70"/>
    </row>
    <row r="856" spans="1:47" ht="15.75" customHeight="1" x14ac:dyDescent="0.3">
      <c r="A856" s="553" t="s">
        <v>1195</v>
      </c>
      <c r="B856" s="67">
        <f>+B$801</f>
        <v>957</v>
      </c>
      <c r="C856" s="67">
        <f>+C$801</f>
        <v>122</v>
      </c>
      <c r="D856" s="67">
        <f>+D$801</f>
        <v>128</v>
      </c>
      <c r="E856" s="67">
        <f>+E$801</f>
        <v>219</v>
      </c>
      <c r="F856" s="67"/>
      <c r="G856" s="67"/>
      <c r="H856" s="67">
        <f t="shared" ref="H856:Q856" si="157">+H$801</f>
        <v>97</v>
      </c>
      <c r="I856" s="67">
        <f t="shared" si="157"/>
        <v>160</v>
      </c>
      <c r="J856" s="67">
        <f t="shared" si="157"/>
        <v>250</v>
      </c>
      <c r="K856" s="67">
        <f t="shared" si="157"/>
        <v>260</v>
      </c>
      <c r="L856" s="67">
        <f t="shared" si="157"/>
        <v>100</v>
      </c>
      <c r="M856" s="67">
        <f t="shared" si="157"/>
        <v>118</v>
      </c>
      <c r="N856" s="67">
        <f t="shared" si="157"/>
        <v>250</v>
      </c>
      <c r="O856" s="67">
        <f t="shared" si="157"/>
        <v>190</v>
      </c>
      <c r="P856" s="67">
        <f t="shared" si="157"/>
        <v>340</v>
      </c>
      <c r="Q856" s="67">
        <f t="shared" si="157"/>
        <v>450</v>
      </c>
      <c r="R856" s="592" t="s">
        <v>335</v>
      </c>
      <c r="S856" s="70"/>
    </row>
    <row r="857" spans="1:47" ht="15.75" customHeight="1" x14ac:dyDescent="0.3">
      <c r="A857" s="553"/>
      <c r="B857" s="67" t="s">
        <v>1353</v>
      </c>
      <c r="C857" s="67" t="s">
        <v>1353</v>
      </c>
      <c r="D857" s="67" t="s">
        <v>1353</v>
      </c>
      <c r="E857" s="67" t="s">
        <v>1353</v>
      </c>
      <c r="F857" s="67" t="s">
        <v>1353</v>
      </c>
      <c r="G857" s="67" t="s">
        <v>1353</v>
      </c>
      <c r="H857" s="67" t="s">
        <v>1353</v>
      </c>
      <c r="I857" s="67" t="s">
        <v>1353</v>
      </c>
      <c r="J857" s="67" t="s">
        <v>1353</v>
      </c>
      <c r="K857" s="67" t="s">
        <v>1353</v>
      </c>
      <c r="L857" s="67" t="s">
        <v>1353</v>
      </c>
      <c r="M857" s="67" t="s">
        <v>1353</v>
      </c>
      <c r="N857" s="67" t="s">
        <v>1353</v>
      </c>
      <c r="O857" s="67" t="s">
        <v>1353</v>
      </c>
      <c r="P857" s="67" t="s">
        <v>1353</v>
      </c>
      <c r="Q857" s="67" t="s">
        <v>1353</v>
      </c>
      <c r="R857" s="636" t="s">
        <v>251</v>
      </c>
      <c r="S857" s="70"/>
    </row>
    <row r="858" spans="1:47" ht="15.75" customHeight="1" x14ac:dyDescent="0.3">
      <c r="A858" s="139" t="s">
        <v>2843</v>
      </c>
      <c r="B858" s="67">
        <f t="shared" ref="B858:B869" si="158">ROUND((B803*$B$801)/1000,0)</f>
        <v>77596</v>
      </c>
      <c r="C858" s="67">
        <f>(C803*C801)/1000</f>
        <v>9880.2919999999995</v>
      </c>
      <c r="D858" s="67">
        <f>(D803*D801)/1000</f>
        <v>10353.92</v>
      </c>
      <c r="E858" s="67">
        <f>(E803*E801)/1000</f>
        <v>17286.545999999998</v>
      </c>
      <c r="F858" s="67">
        <f t="shared" ref="F858:F869" si="159">(F803*((T803-1526.8)/0.7702))/1000</f>
        <v>11603.192936899504</v>
      </c>
      <c r="G858" s="67">
        <f t="shared" ref="G858:G869" si="160">(G803*((T803-1591.4)/0.6635))/1000</f>
        <v>-3750.8663149962258</v>
      </c>
      <c r="H858" s="67">
        <f t="shared" ref="H858:Q858" si="161">(H803*H801)/1000</f>
        <v>2950.74</v>
      </c>
      <c r="I858" s="67">
        <f t="shared" si="161"/>
        <v>2632.32</v>
      </c>
      <c r="J858" s="67">
        <f t="shared" si="161"/>
        <v>4020.75</v>
      </c>
      <c r="K858" s="67">
        <f t="shared" si="161"/>
        <v>3999.84</v>
      </c>
      <c r="L858" s="67">
        <f t="shared" si="161"/>
        <v>1447.4</v>
      </c>
      <c r="M858" s="67">
        <f t="shared" si="161"/>
        <v>1705.5719999999999</v>
      </c>
      <c r="N858" s="67">
        <f t="shared" si="161"/>
        <v>3611</v>
      </c>
      <c r="O858" s="67">
        <f t="shared" si="161"/>
        <v>542.26</v>
      </c>
      <c r="P858" s="67">
        <f t="shared" si="161"/>
        <v>182.92</v>
      </c>
      <c r="Q858" s="67">
        <f t="shared" si="161"/>
        <v>1272.5999999999999</v>
      </c>
      <c r="R858" s="638">
        <f>(SUM(B858:Q858))</f>
        <v>145334.48662190331</v>
      </c>
      <c r="S858" s="73"/>
    </row>
    <row r="859" spans="1:47" ht="15.75" customHeight="1" x14ac:dyDescent="0.3">
      <c r="A859" s="139" t="s">
        <v>2091</v>
      </c>
      <c r="B859" s="67">
        <f t="shared" si="158"/>
        <v>139777</v>
      </c>
      <c r="C859" s="67">
        <f>(C804*C801)/1000</f>
        <v>17800.898000000001</v>
      </c>
      <c r="D859" s="67">
        <f>(D804*D801)/1000</f>
        <v>18654.207999999999</v>
      </c>
      <c r="E859" s="67">
        <f>(E804*E801)/1000</f>
        <v>31520.232</v>
      </c>
      <c r="F859" s="67">
        <f t="shared" si="159"/>
        <v>19188.519137886255</v>
      </c>
      <c r="G859" s="67">
        <f t="shared" si="160"/>
        <v>0</v>
      </c>
      <c r="H859" s="67">
        <f t="shared" ref="H859:Q859" si="162">(H804*H801)/1000</f>
        <v>3588.127</v>
      </c>
      <c r="I859" s="67">
        <f t="shared" si="162"/>
        <v>2937.12</v>
      </c>
      <c r="J859" s="67">
        <f t="shared" si="162"/>
        <v>4484.5</v>
      </c>
      <c r="K859" s="67">
        <f t="shared" si="162"/>
        <v>4546.3599999999997</v>
      </c>
      <c r="L859" s="67">
        <f t="shared" si="162"/>
        <v>1633.9</v>
      </c>
      <c r="M859" s="67">
        <f t="shared" si="162"/>
        <v>1925.4059999999999</v>
      </c>
      <c r="N859" s="67">
        <f t="shared" si="162"/>
        <v>4076.5</v>
      </c>
      <c r="O859" s="67">
        <f t="shared" si="162"/>
        <v>581.02</v>
      </c>
      <c r="P859" s="67">
        <f t="shared" si="162"/>
        <v>40.46</v>
      </c>
      <c r="Q859" s="67">
        <f t="shared" si="162"/>
        <v>1361.25</v>
      </c>
      <c r="R859" s="638">
        <f t="shared" ref="R859:R869" si="163">(SUM(B859:Q859))</f>
        <v>252115.50013788618</v>
      </c>
      <c r="S859" s="73"/>
    </row>
    <row r="860" spans="1:47" ht="15.75" customHeight="1" x14ac:dyDescent="0.3">
      <c r="A860" s="139" t="s">
        <v>2234</v>
      </c>
      <c r="B860" s="67">
        <f t="shared" si="158"/>
        <v>171069</v>
      </c>
      <c r="C860" s="67">
        <f>(C805*C801)/1000</f>
        <v>21774.804</v>
      </c>
      <c r="D860" s="67">
        <f>(D805*D801)/1000</f>
        <v>22807.040000000001</v>
      </c>
      <c r="E860" s="67">
        <f>(E805*E801)/1000</f>
        <v>37672.379999999997</v>
      </c>
      <c r="F860" s="67">
        <f t="shared" si="159"/>
        <v>14836.245689086745</v>
      </c>
      <c r="G860" s="67">
        <f t="shared" si="160"/>
        <v>0</v>
      </c>
      <c r="H860" s="67">
        <f t="shared" ref="H860:Q860" si="164">(H805*H801)/1000</f>
        <v>7620.5140000000001</v>
      </c>
      <c r="I860" s="67">
        <f t="shared" si="164"/>
        <v>4896.8</v>
      </c>
      <c r="J860" s="67">
        <f t="shared" si="164"/>
        <v>5582.75</v>
      </c>
      <c r="K860" s="67">
        <f t="shared" si="164"/>
        <v>5154.5</v>
      </c>
      <c r="L860" s="67">
        <f t="shared" si="164"/>
        <v>1720.2</v>
      </c>
      <c r="M860" s="67">
        <f t="shared" si="164"/>
        <v>2026.5319999999999</v>
      </c>
      <c r="N860" s="67">
        <f t="shared" si="164"/>
        <v>4278.5</v>
      </c>
      <c r="O860" s="67">
        <f t="shared" si="164"/>
        <v>767.98</v>
      </c>
      <c r="P860" s="67">
        <f t="shared" si="164"/>
        <v>1602.08</v>
      </c>
      <c r="Q860" s="67">
        <f t="shared" si="164"/>
        <v>1798.2</v>
      </c>
      <c r="R860" s="638">
        <f t="shared" si="163"/>
        <v>303607.52568908682</v>
      </c>
      <c r="S860" s="73"/>
    </row>
    <row r="861" spans="1:47" ht="15.75" customHeight="1" x14ac:dyDescent="0.3">
      <c r="A861" s="139" t="s">
        <v>2235</v>
      </c>
      <c r="B861" s="67">
        <f t="shared" si="158"/>
        <v>144236</v>
      </c>
      <c r="C861" s="67">
        <f>(C806*C801)/1000</f>
        <v>18342.7</v>
      </c>
      <c r="D861" s="67">
        <f>(D806*D801)/1000</f>
        <v>19185.407999999999</v>
      </c>
      <c r="E861" s="67">
        <f>(E806*E801)/1000</f>
        <v>30902.214</v>
      </c>
      <c r="F861" s="67">
        <f t="shared" si="159"/>
        <v>70.367644767592921</v>
      </c>
      <c r="G861" s="67">
        <f t="shared" si="160"/>
        <v>-5533.3780105501173</v>
      </c>
      <c r="H861" s="67">
        <f t="shared" ref="H861:Q861" si="165">(H806*H801)/1000</f>
        <v>12762.871999999999</v>
      </c>
      <c r="I861" s="67">
        <f t="shared" si="165"/>
        <v>8260.16</v>
      </c>
      <c r="J861" s="67">
        <f t="shared" si="165"/>
        <v>8603.75</v>
      </c>
      <c r="K861" s="67">
        <f t="shared" si="165"/>
        <v>7170.8</v>
      </c>
      <c r="L861" s="67">
        <f t="shared" si="165"/>
        <v>2123.1</v>
      </c>
      <c r="M861" s="67">
        <f t="shared" si="165"/>
        <v>2500.8919999999998</v>
      </c>
      <c r="N861" s="67">
        <f t="shared" si="165"/>
        <v>4814</v>
      </c>
      <c r="O861" s="67">
        <f t="shared" si="165"/>
        <v>744.61</v>
      </c>
      <c r="P861" s="67">
        <f t="shared" si="165"/>
        <v>1764.94</v>
      </c>
      <c r="Q861" s="67">
        <f t="shared" si="165"/>
        <v>1739.7</v>
      </c>
      <c r="R861" s="638">
        <f t="shared" si="163"/>
        <v>257688.1356342175</v>
      </c>
      <c r="S861" s="73"/>
    </row>
    <row r="862" spans="1:47" ht="15.75" customHeight="1" x14ac:dyDescent="0.3">
      <c r="A862" s="139" t="s">
        <v>2236</v>
      </c>
      <c r="B862" s="67">
        <f t="shared" si="158"/>
        <v>168607</v>
      </c>
      <c r="C862" s="67">
        <f>(C807*C801)/1000</f>
        <v>21442.475999999999</v>
      </c>
      <c r="D862" s="67">
        <f>(D807*D801)/1000</f>
        <v>22423.68</v>
      </c>
      <c r="E862" s="67">
        <f>(E807*E801)/1000</f>
        <v>36679.872000000003</v>
      </c>
      <c r="F862" s="67">
        <f t="shared" si="159"/>
        <v>0</v>
      </c>
      <c r="G862" s="67">
        <f t="shared" si="160"/>
        <v>-3257.0029238884645</v>
      </c>
      <c r="H862" s="67">
        <f t="shared" ref="H862:Q862" si="166">(H807*H801)/1000</f>
        <v>12751.814</v>
      </c>
      <c r="I862" s="67">
        <f t="shared" si="166"/>
        <v>6545.6</v>
      </c>
      <c r="J862" s="67">
        <f t="shared" si="166"/>
        <v>6941.5</v>
      </c>
      <c r="K862" s="67">
        <f t="shared" si="166"/>
        <v>5673.2</v>
      </c>
      <c r="L862" s="67">
        <f t="shared" si="166"/>
        <v>1965.2</v>
      </c>
      <c r="M862" s="67">
        <f t="shared" si="166"/>
        <v>2313.98</v>
      </c>
      <c r="N862" s="67">
        <f t="shared" si="166"/>
        <v>4438.25</v>
      </c>
      <c r="O862" s="67">
        <f t="shared" si="166"/>
        <v>845.88</v>
      </c>
      <c r="P862" s="67">
        <f t="shared" si="166"/>
        <v>2062.44</v>
      </c>
      <c r="Q862" s="67">
        <f t="shared" si="166"/>
        <v>1987.65</v>
      </c>
      <c r="R862" s="638">
        <f t="shared" si="163"/>
        <v>291421.53907611157</v>
      </c>
      <c r="S862" s="73"/>
    </row>
    <row r="863" spans="1:47" ht="15.75" customHeight="1" x14ac:dyDescent="0.3">
      <c r="A863" s="139" t="s">
        <v>2237</v>
      </c>
      <c r="B863" s="67">
        <f t="shared" si="158"/>
        <v>124623</v>
      </c>
      <c r="C863" s="67">
        <f>(C808*C801)/1000</f>
        <v>15836.332</v>
      </c>
      <c r="D863" s="67">
        <f>(D808*D801)/1000</f>
        <v>16549.504000000001</v>
      </c>
      <c r="E863" s="67">
        <f>(E808*E801)/1000</f>
        <v>26792.679</v>
      </c>
      <c r="F863" s="67">
        <f t="shared" si="159"/>
        <v>0</v>
      </c>
      <c r="G863" s="67">
        <f t="shared" si="160"/>
        <v>-11157.753368500378</v>
      </c>
      <c r="H863" s="67">
        <f t="shared" ref="H863:Q863" si="167">(H808*H801)/1000</f>
        <v>15389.923000000001</v>
      </c>
      <c r="I863" s="67">
        <f t="shared" si="167"/>
        <v>8286.4</v>
      </c>
      <c r="J863" s="67">
        <f t="shared" si="167"/>
        <v>7599</v>
      </c>
      <c r="K863" s="67">
        <f t="shared" si="167"/>
        <v>5615.48</v>
      </c>
      <c r="L863" s="67">
        <f t="shared" si="167"/>
        <v>1787</v>
      </c>
      <c r="M863" s="67">
        <f t="shared" si="167"/>
        <v>2103.4679999999998</v>
      </c>
      <c r="N863" s="67">
        <f t="shared" si="167"/>
        <v>3785</v>
      </c>
      <c r="O863" s="67">
        <f t="shared" si="167"/>
        <v>703.19</v>
      </c>
      <c r="P863" s="67">
        <f t="shared" si="167"/>
        <v>2023</v>
      </c>
      <c r="Q863" s="67">
        <f t="shared" si="167"/>
        <v>1661.4</v>
      </c>
      <c r="R863" s="638">
        <f t="shared" si="163"/>
        <v>221597.62263149963</v>
      </c>
      <c r="S863" s="73"/>
    </row>
    <row r="864" spans="1:47" ht="15.75" customHeight="1" x14ac:dyDescent="0.3">
      <c r="A864" s="139" t="s">
        <v>1504</v>
      </c>
      <c r="B864" s="67">
        <f t="shared" si="158"/>
        <v>81279</v>
      </c>
      <c r="C864" s="67">
        <f>(C809*C801)/1000</f>
        <v>10310.83</v>
      </c>
      <c r="D864" s="67">
        <f>(D809*D801)/1000</f>
        <v>10747.904</v>
      </c>
      <c r="E864" s="67">
        <f>(E809*E801)/1000</f>
        <v>16650.57</v>
      </c>
      <c r="F864" s="67">
        <f t="shared" si="159"/>
        <v>0</v>
      </c>
      <c r="G864" s="67">
        <f t="shared" si="160"/>
        <v>-11383.221883948754</v>
      </c>
      <c r="H864" s="67">
        <f t="shared" ref="H864:Q864" si="168">(H809*H801)/1000</f>
        <v>12765.781999999999</v>
      </c>
      <c r="I864" s="67">
        <f t="shared" si="168"/>
        <v>7027.36</v>
      </c>
      <c r="J864" s="67">
        <f t="shared" si="168"/>
        <v>6624.25</v>
      </c>
      <c r="K864" s="67">
        <f t="shared" si="168"/>
        <v>5028.3999999999996</v>
      </c>
      <c r="L864" s="67">
        <f t="shared" si="168"/>
        <v>1728.7</v>
      </c>
      <c r="M864" s="67">
        <f t="shared" si="168"/>
        <v>2035.2639999999999</v>
      </c>
      <c r="N864" s="67">
        <f t="shared" si="168"/>
        <v>3591.5</v>
      </c>
      <c r="O864" s="67">
        <f t="shared" si="168"/>
        <v>959.88</v>
      </c>
      <c r="P864" s="67">
        <f t="shared" si="168"/>
        <v>1989.34</v>
      </c>
      <c r="Q864" s="67">
        <f t="shared" si="168"/>
        <v>2265.75</v>
      </c>
      <c r="R864" s="638">
        <f t="shared" si="163"/>
        <v>151621.30811605128</v>
      </c>
      <c r="S864" s="73"/>
    </row>
    <row r="865" spans="1:19" ht="15.75" customHeight="1" x14ac:dyDescent="0.3">
      <c r="A865" s="139" t="s">
        <v>1505</v>
      </c>
      <c r="B865" s="67">
        <f t="shared" si="158"/>
        <v>92748</v>
      </c>
      <c r="C865" s="67">
        <f>(C810*C801)/1000</f>
        <v>11782.882</v>
      </c>
      <c r="D865" s="67">
        <f>(D810*D801)/1000</f>
        <v>12314.24</v>
      </c>
      <c r="E865" s="67">
        <f>(E810*E801)/1000</f>
        <v>19252.508999999998</v>
      </c>
      <c r="F865" s="67">
        <f t="shared" si="159"/>
        <v>0</v>
      </c>
      <c r="G865" s="67">
        <f t="shared" si="160"/>
        <v>-8287.5449333490797</v>
      </c>
      <c r="H865" s="67">
        <f t="shared" ref="H865:Q865" si="169">(H810*H801)/1000</f>
        <v>13085.106</v>
      </c>
      <c r="I865" s="67">
        <f t="shared" si="169"/>
        <v>7898.24</v>
      </c>
      <c r="J865" s="67">
        <f t="shared" si="169"/>
        <v>7625</v>
      </c>
      <c r="K865" s="67">
        <f t="shared" si="169"/>
        <v>6074.9</v>
      </c>
      <c r="L865" s="67">
        <f t="shared" si="169"/>
        <v>1852</v>
      </c>
      <c r="M865" s="67">
        <f t="shared" si="169"/>
        <v>2181.1120000000001</v>
      </c>
      <c r="N865" s="67">
        <f t="shared" si="169"/>
        <v>3998.25</v>
      </c>
      <c r="O865" s="67">
        <f t="shared" si="169"/>
        <v>823.65</v>
      </c>
      <c r="P865" s="67">
        <f t="shared" si="169"/>
        <v>1947.18</v>
      </c>
      <c r="Q865" s="67">
        <f t="shared" si="169"/>
        <v>1948.05</v>
      </c>
      <c r="R865" s="638">
        <f t="shared" si="163"/>
        <v>175243.57406665085</v>
      </c>
      <c r="S865" s="73"/>
    </row>
    <row r="866" spans="1:19" ht="15.75" customHeight="1" x14ac:dyDescent="0.3">
      <c r="A866" s="139" t="s">
        <v>1506</v>
      </c>
      <c r="B866" s="67">
        <f t="shared" si="158"/>
        <v>143548</v>
      </c>
      <c r="C866" s="67">
        <f>(C811*C801)/1000</f>
        <v>18261.204000000002</v>
      </c>
      <c r="D866" s="67">
        <f>(D811*D801)/1000</f>
        <v>19117.952000000001</v>
      </c>
      <c r="E866" s="67">
        <f>(E811*E801)/1000</f>
        <v>31616.592000000001</v>
      </c>
      <c r="F866" s="67">
        <f t="shared" si="159"/>
        <v>4689.2502464374475</v>
      </c>
      <c r="G866" s="67">
        <f t="shared" si="160"/>
        <v>-37.23419418416573</v>
      </c>
      <c r="H866" s="67">
        <f t="shared" ref="H866:Q866" si="170">(H811*H801)/1000</f>
        <v>8145.5749999999998</v>
      </c>
      <c r="I866" s="67">
        <f t="shared" si="170"/>
        <v>5096</v>
      </c>
      <c r="J866" s="67">
        <f t="shared" si="170"/>
        <v>6266.25</v>
      </c>
      <c r="K866" s="67">
        <f t="shared" si="170"/>
        <v>5548.4</v>
      </c>
      <c r="L866" s="67">
        <f t="shared" si="170"/>
        <v>1767.8</v>
      </c>
      <c r="M866" s="67">
        <f t="shared" si="170"/>
        <v>2081.9920000000002</v>
      </c>
      <c r="N866" s="67">
        <f t="shared" si="170"/>
        <v>3959.5</v>
      </c>
      <c r="O866" s="67">
        <f t="shared" si="170"/>
        <v>677.54</v>
      </c>
      <c r="P866" s="67">
        <f t="shared" si="170"/>
        <v>1877.82</v>
      </c>
      <c r="Q866" s="67">
        <f t="shared" si="170"/>
        <v>1584.9</v>
      </c>
      <c r="R866" s="638">
        <f t="shared" si="163"/>
        <v>254201.54105225328</v>
      </c>
      <c r="S866" s="73"/>
    </row>
    <row r="867" spans="1:19" ht="15.75" customHeight="1" x14ac:dyDescent="0.3">
      <c r="A867" s="139" t="s">
        <v>1507</v>
      </c>
      <c r="B867" s="67">
        <f t="shared" si="158"/>
        <v>179531</v>
      </c>
      <c r="C867" s="67">
        <f>(C812*C801)/1000</f>
        <v>22852.186000000002</v>
      </c>
      <c r="D867" s="67">
        <f>(D812*D801)/1000</f>
        <v>23937.407999999999</v>
      </c>
      <c r="E867" s="67">
        <f>(E812*E801)/1000</f>
        <v>39688.275000000001</v>
      </c>
      <c r="F867" s="67">
        <f t="shared" si="159"/>
        <v>14167.062321474948</v>
      </c>
      <c r="G867" s="67">
        <f t="shared" si="160"/>
        <v>0</v>
      </c>
      <c r="H867" s="67">
        <f t="shared" ref="H867:Q867" si="171">(H812*H801)/1000</f>
        <v>6773.9949999999999</v>
      </c>
      <c r="I867" s="67">
        <f t="shared" si="171"/>
        <v>2529.7600000000002</v>
      </c>
      <c r="J867" s="67">
        <f t="shared" si="171"/>
        <v>3758</v>
      </c>
      <c r="K867" s="67">
        <f t="shared" si="171"/>
        <v>3733.86</v>
      </c>
      <c r="L867" s="67">
        <f t="shared" si="171"/>
        <v>1149</v>
      </c>
      <c r="M867" s="67">
        <f t="shared" si="171"/>
        <v>1352.3979999999999</v>
      </c>
      <c r="N867" s="67">
        <f t="shared" si="171"/>
        <v>2747</v>
      </c>
      <c r="O867" s="67">
        <f t="shared" si="171"/>
        <v>621.11</v>
      </c>
      <c r="P867" s="67">
        <f t="shared" si="171"/>
        <v>1820.36</v>
      </c>
      <c r="Q867" s="67">
        <f t="shared" si="171"/>
        <v>1468.8</v>
      </c>
      <c r="R867" s="638">
        <f t="shared" si="163"/>
        <v>306130.21432147489</v>
      </c>
      <c r="S867" s="73"/>
    </row>
    <row r="868" spans="1:19" ht="15.75" customHeight="1" x14ac:dyDescent="0.3">
      <c r="A868" s="139" t="s">
        <v>1508</v>
      </c>
      <c r="B868" s="67">
        <f t="shared" si="158"/>
        <v>138200</v>
      </c>
      <c r="C868" s="67">
        <f>(C813*C801)/1000</f>
        <v>17589.349999999999</v>
      </c>
      <c r="D868" s="67">
        <f>(D813*D801)/1000</f>
        <v>18425.344000000001</v>
      </c>
      <c r="E868" s="67">
        <f>(E813*E801)/1000</f>
        <v>30799.940999999999</v>
      </c>
      <c r="F868" s="67">
        <f t="shared" si="159"/>
        <v>15301.841365878996</v>
      </c>
      <c r="G868" s="67">
        <f t="shared" si="160"/>
        <v>0</v>
      </c>
      <c r="H868" s="67">
        <f t="shared" ref="H868:Q868" si="172">(H813*H801)/1000</f>
        <v>3417.0189999999998</v>
      </c>
      <c r="I868" s="67">
        <f t="shared" si="172"/>
        <v>1512.32</v>
      </c>
      <c r="J868" s="67">
        <f t="shared" si="172"/>
        <v>2278.5</v>
      </c>
      <c r="K868" s="67">
        <f t="shared" si="172"/>
        <v>2147.34</v>
      </c>
      <c r="L868" s="67">
        <f t="shared" si="172"/>
        <v>738.1</v>
      </c>
      <c r="M868" s="67">
        <f t="shared" si="172"/>
        <v>868.24400000000003</v>
      </c>
      <c r="N868" s="67">
        <f t="shared" si="172"/>
        <v>1795.5</v>
      </c>
      <c r="O868" s="67">
        <f t="shared" si="172"/>
        <v>400.9</v>
      </c>
      <c r="P868" s="67">
        <f t="shared" si="172"/>
        <v>1486.14</v>
      </c>
      <c r="Q868" s="67">
        <f t="shared" si="172"/>
        <v>948.15</v>
      </c>
      <c r="R868" s="638">
        <f t="shared" si="163"/>
        <v>235908.68936587902</v>
      </c>
      <c r="S868" s="73"/>
    </row>
    <row r="869" spans="1:19" ht="15.75" customHeight="1" x14ac:dyDescent="0.3">
      <c r="A869" s="139" t="s">
        <v>1509</v>
      </c>
      <c r="B869" s="67">
        <f t="shared" si="158"/>
        <v>131732</v>
      </c>
      <c r="C869" s="67">
        <f>(C814*C801)/1000</f>
        <v>16770.73</v>
      </c>
      <c r="D869" s="67">
        <f>(D814*D801)/1000</f>
        <v>17572.608</v>
      </c>
      <c r="E869" s="67">
        <f>(E814*E801)/1000</f>
        <v>26305.842000000001</v>
      </c>
      <c r="F869" s="67">
        <f t="shared" si="159"/>
        <v>8556.2600002057115</v>
      </c>
      <c r="G869" s="67">
        <f t="shared" si="160"/>
        <v>0</v>
      </c>
      <c r="H869" s="67">
        <f t="shared" ref="H869:Q869" si="173">(H814*H801)/1000</f>
        <v>5034.7849999999999</v>
      </c>
      <c r="I869" s="67">
        <f t="shared" si="173"/>
        <v>3331.2</v>
      </c>
      <c r="J869" s="67">
        <f t="shared" si="173"/>
        <v>4652.5</v>
      </c>
      <c r="K869" s="67">
        <f t="shared" si="173"/>
        <v>4811.5600000000004</v>
      </c>
      <c r="L869" s="67">
        <f t="shared" si="173"/>
        <v>1383.4</v>
      </c>
      <c r="M869" s="67">
        <f t="shared" si="173"/>
        <v>1630.17</v>
      </c>
      <c r="N869" s="67">
        <f t="shared" si="173"/>
        <v>3402.5</v>
      </c>
      <c r="O869" s="67">
        <f t="shared" si="173"/>
        <v>627.38</v>
      </c>
      <c r="P869" s="67">
        <f t="shared" si="173"/>
        <v>1680.28</v>
      </c>
      <c r="Q869" s="67">
        <f t="shared" si="173"/>
        <v>1485</v>
      </c>
      <c r="R869" s="638">
        <f t="shared" si="163"/>
        <v>228976.21500020576</v>
      </c>
      <c r="S869" s="73"/>
    </row>
    <row r="870" spans="1:19" ht="15.75" customHeight="1" x14ac:dyDescent="0.3">
      <c r="A870" s="553"/>
      <c r="B870" s="67"/>
      <c r="C870" s="67"/>
      <c r="D870" s="67"/>
      <c r="E870" s="67"/>
      <c r="F870" s="67"/>
      <c r="G870" s="67"/>
      <c r="H870" s="67"/>
      <c r="I870" s="67"/>
      <c r="J870" s="67"/>
      <c r="K870" s="67"/>
      <c r="L870" s="67"/>
      <c r="M870" s="67"/>
      <c r="N870" s="67"/>
      <c r="O870" s="67"/>
      <c r="P870" s="67"/>
      <c r="Q870" s="67"/>
      <c r="R870" s="636"/>
      <c r="S870" s="73"/>
    </row>
    <row r="871" spans="1:19" ht="15.75" customHeight="1" x14ac:dyDescent="0.3">
      <c r="A871" s="553" t="s">
        <v>2356</v>
      </c>
      <c r="B871" s="67">
        <f>SUM(B858:B869)</f>
        <v>1592946</v>
      </c>
      <c r="C871" s="67">
        <f t="shared" ref="C871:R871" si="174">SUM(C858:C869)</f>
        <v>202644.68400000001</v>
      </c>
      <c r="D871" s="67">
        <f t="shared" si="174"/>
        <v>212089.21599999999</v>
      </c>
      <c r="E871" s="67">
        <f t="shared" si="174"/>
        <v>345167.652</v>
      </c>
      <c r="F871" s="67">
        <f t="shared" si="174"/>
        <v>88412.7393426372</v>
      </c>
      <c r="G871" s="67">
        <f t="shared" si="174"/>
        <v>-43407.001629417187</v>
      </c>
      <c r="H871" s="67">
        <f t="shared" si="174"/>
        <v>104286.25199999999</v>
      </c>
      <c r="I871" s="67">
        <f t="shared" si="174"/>
        <v>60953.279999999999</v>
      </c>
      <c r="J871" s="67">
        <f t="shared" si="174"/>
        <v>68436.75</v>
      </c>
      <c r="K871" s="67">
        <f t="shared" si="174"/>
        <v>59504.639999999999</v>
      </c>
      <c r="L871" s="67">
        <f t="shared" si="174"/>
        <v>19295.800000000003</v>
      </c>
      <c r="M871" s="67">
        <f t="shared" si="174"/>
        <v>22725.03</v>
      </c>
      <c r="N871" s="67">
        <f t="shared" si="174"/>
        <v>44497.5</v>
      </c>
      <c r="O871" s="67">
        <f t="shared" si="174"/>
        <v>8295.4</v>
      </c>
      <c r="P871" s="67">
        <f t="shared" si="174"/>
        <v>18476.96</v>
      </c>
      <c r="Q871" s="67">
        <f t="shared" si="174"/>
        <v>19521.45</v>
      </c>
      <c r="R871" s="639">
        <f t="shared" si="174"/>
        <v>2823846.3517132201</v>
      </c>
      <c r="S871" s="73"/>
    </row>
    <row r="872" spans="1:19" ht="16.5" customHeight="1" thickBot="1" x14ac:dyDescent="0.35">
      <c r="A872" s="558" t="s">
        <v>852</v>
      </c>
      <c r="B872" s="555"/>
      <c r="C872" s="555"/>
      <c r="D872" s="555"/>
      <c r="E872" s="555"/>
      <c r="F872" s="555"/>
      <c r="G872" s="555"/>
      <c r="H872" s="555"/>
      <c r="I872" s="555"/>
      <c r="J872" s="555"/>
      <c r="K872" s="555"/>
      <c r="L872" s="555"/>
      <c r="M872" s="555"/>
      <c r="N872" s="555"/>
      <c r="O872" s="555"/>
      <c r="P872" s="555"/>
      <c r="Q872" s="555"/>
      <c r="R872" s="637"/>
      <c r="S872" s="67"/>
    </row>
    <row r="873" spans="1:19" ht="15.75" customHeight="1" x14ac:dyDescent="0.3">
      <c r="A873" s="67"/>
      <c r="B873" s="67"/>
      <c r="C873" s="67"/>
      <c r="D873" s="67"/>
      <c r="E873" s="67"/>
      <c r="F873" s="67"/>
      <c r="G873" s="67"/>
      <c r="H873" s="67"/>
      <c r="I873" s="67"/>
      <c r="J873" s="67"/>
      <c r="K873" s="67"/>
      <c r="L873" s="67"/>
      <c r="M873" s="67"/>
      <c r="N873" s="67"/>
      <c r="O873" s="67"/>
      <c r="P873" s="67"/>
      <c r="Q873" s="67"/>
      <c r="R873" s="67"/>
    </row>
    <row r="874" spans="1:19" ht="15.75" customHeight="1" x14ac:dyDescent="0.3"/>
    <row r="875" spans="1:19" ht="15.75" customHeight="1" thickBot="1" x14ac:dyDescent="0.35"/>
    <row r="876" spans="1:19" ht="15.75" customHeight="1" x14ac:dyDescent="0.3">
      <c r="B876" s="790" t="s">
        <v>2675</v>
      </c>
      <c r="C876" s="782"/>
      <c r="D876" s="782"/>
      <c r="E876" s="782"/>
      <c r="F876" s="782"/>
      <c r="G876" s="782"/>
      <c r="H876" s="782"/>
      <c r="I876" s="782"/>
      <c r="J876" s="782"/>
      <c r="K876" s="782"/>
      <c r="L876" s="782"/>
      <c r="M876" s="782"/>
      <c r="N876" s="782"/>
      <c r="O876" s="782"/>
      <c r="P876" s="782"/>
      <c r="Q876" s="549" t="str">
        <f>+Q1</f>
        <v>PRINTED:</v>
      </c>
      <c r="R876" s="559">
        <f ca="1">+R1</f>
        <v>44881.729634027775</v>
      </c>
      <c r="S876" s="597"/>
    </row>
    <row r="877" spans="1:19" ht="15.75" customHeight="1" x14ac:dyDescent="0.3">
      <c r="B877" s="843">
        <f>+A5</f>
        <v>2013</v>
      </c>
      <c r="C877" s="844"/>
      <c r="D877" s="844"/>
      <c r="E877" s="844"/>
      <c r="F877" s="844"/>
      <c r="G877" s="844"/>
      <c r="H877" s="844"/>
      <c r="I877" s="844"/>
      <c r="J877" s="844"/>
      <c r="K877" s="844"/>
      <c r="L877" s="844"/>
      <c r="M877" s="844"/>
      <c r="N877" s="844"/>
      <c r="O877" s="844"/>
      <c r="P877" s="844"/>
      <c r="Q877" s="67"/>
      <c r="R877" s="67"/>
      <c r="S877" s="552"/>
    </row>
    <row r="878" spans="1:19" ht="15.75" customHeight="1" x14ac:dyDescent="0.3">
      <c r="B878" s="792" t="str">
        <f>+A8</f>
        <v>Revised:  11/25/13</v>
      </c>
      <c r="C878" s="786"/>
      <c r="D878" s="786"/>
      <c r="E878" s="786"/>
      <c r="F878" s="786"/>
      <c r="G878" s="786"/>
      <c r="H878" s="786"/>
      <c r="I878" s="786"/>
      <c r="J878" s="786"/>
      <c r="K878" s="786"/>
      <c r="L878" s="786"/>
      <c r="M878" s="786"/>
      <c r="N878" s="786"/>
      <c r="O878" s="786"/>
      <c r="P878" s="786"/>
      <c r="Q878" s="67"/>
      <c r="R878" s="67"/>
      <c r="S878" s="552"/>
    </row>
    <row r="879" spans="1:19" ht="15.75" customHeight="1" thickBot="1" x14ac:dyDescent="0.35">
      <c r="B879" s="793" t="s">
        <v>2676</v>
      </c>
      <c r="C879" s="794"/>
      <c r="D879" s="794"/>
      <c r="E879" s="794"/>
      <c r="F879" s="794"/>
      <c r="G879" s="794"/>
      <c r="H879" s="794"/>
      <c r="I879" s="794"/>
      <c r="J879" s="794"/>
      <c r="K879" s="794"/>
      <c r="L879" s="794"/>
      <c r="M879" s="794"/>
      <c r="N879" s="794"/>
      <c r="O879" s="794"/>
      <c r="P879" s="794"/>
      <c r="Q879" s="67"/>
      <c r="R879" s="67"/>
      <c r="S879" s="552"/>
    </row>
    <row r="880" spans="1:19" ht="15.75" customHeight="1" thickBot="1" x14ac:dyDescent="0.35">
      <c r="A880" s="649"/>
      <c r="B880" s="795" t="s">
        <v>2633</v>
      </c>
      <c r="C880" s="796"/>
      <c r="D880" s="796"/>
      <c r="E880" s="796"/>
      <c r="F880" s="797"/>
      <c r="G880" s="795" t="s">
        <v>2674</v>
      </c>
      <c r="H880" s="796"/>
      <c r="I880" s="796"/>
      <c r="J880" s="796"/>
      <c r="K880" s="796"/>
      <c r="L880" s="796"/>
      <c r="M880" s="798" t="s">
        <v>2677</v>
      </c>
      <c r="N880" s="811"/>
      <c r="O880" s="834"/>
      <c r="P880" s="796" t="s">
        <v>2682</v>
      </c>
      <c r="Q880" s="796"/>
      <c r="R880" s="797"/>
      <c r="S880" s="552"/>
    </row>
    <row r="881" spans="1:19" ht="15.75" customHeight="1" x14ac:dyDescent="0.3">
      <c r="A881" s="649"/>
      <c r="B881" s="553" t="s">
        <v>2439</v>
      </c>
      <c r="C881" s="70"/>
      <c r="D881" s="70" t="s">
        <v>336</v>
      </c>
      <c r="E881" s="70" t="s">
        <v>596</v>
      </c>
      <c r="F881" s="562" t="s">
        <v>2652</v>
      </c>
      <c r="G881" s="553" t="s">
        <v>228</v>
      </c>
      <c r="H881" s="70"/>
      <c r="I881" s="70"/>
      <c r="J881" s="70" t="s">
        <v>229</v>
      </c>
      <c r="K881" s="70" t="s">
        <v>2638</v>
      </c>
      <c r="L881" s="70" t="s">
        <v>2639</v>
      </c>
      <c r="M881" s="808" t="s">
        <v>2857</v>
      </c>
      <c r="N881" s="809"/>
      <c r="O881" s="835"/>
      <c r="P881" s="70" t="s">
        <v>2683</v>
      </c>
      <c r="Q881" s="610" t="s">
        <v>134</v>
      </c>
      <c r="R881" s="611" t="s">
        <v>2685</v>
      </c>
      <c r="S881" s="552"/>
    </row>
    <row r="882" spans="1:19" ht="15.75" customHeight="1" x14ac:dyDescent="0.3">
      <c r="A882" s="649"/>
      <c r="B882" s="593" t="s">
        <v>2648</v>
      </c>
      <c r="C882" s="588" t="s">
        <v>2656</v>
      </c>
      <c r="D882" s="588" t="s">
        <v>2651</v>
      </c>
      <c r="E882" s="70" t="s">
        <v>335</v>
      </c>
      <c r="F882" s="591" t="s">
        <v>2653</v>
      </c>
      <c r="G882" s="553" t="s">
        <v>2463</v>
      </c>
      <c r="H882" s="70" t="s">
        <v>1416</v>
      </c>
      <c r="I882" s="70" t="s">
        <v>1417</v>
      </c>
      <c r="J882" s="588" t="s">
        <v>2632</v>
      </c>
      <c r="K882" s="70" t="s">
        <v>2634</v>
      </c>
      <c r="L882" s="588" t="s">
        <v>2637</v>
      </c>
      <c r="M882" s="603" t="s">
        <v>2679</v>
      </c>
      <c r="N882" s="604" t="s">
        <v>2680</v>
      </c>
      <c r="O882" s="630" t="s">
        <v>2356</v>
      </c>
      <c r="P882" s="70" t="s">
        <v>2684</v>
      </c>
      <c r="Q882" s="70" t="s">
        <v>2686</v>
      </c>
      <c r="R882" s="562" t="s">
        <v>2687</v>
      </c>
      <c r="S882" s="552"/>
    </row>
    <row r="883" spans="1:19" ht="15.75" customHeight="1" x14ac:dyDescent="0.3">
      <c r="A883" s="649"/>
      <c r="B883" s="594" t="s">
        <v>2654</v>
      </c>
      <c r="C883" s="217">
        <v>5.0000000000000001E-3</v>
      </c>
      <c r="D883" s="217">
        <v>4.2999999999999997E-2</v>
      </c>
      <c r="E883" s="70" t="s">
        <v>133</v>
      </c>
      <c r="F883" s="595" t="s">
        <v>2649</v>
      </c>
      <c r="G883" s="553" t="s">
        <v>2650</v>
      </c>
      <c r="H883" s="70" t="s">
        <v>335</v>
      </c>
      <c r="I883" s="70" t="s">
        <v>335</v>
      </c>
      <c r="J883" s="70" t="s">
        <v>335</v>
      </c>
      <c r="K883" s="70" t="s">
        <v>134</v>
      </c>
      <c r="L883" s="70" t="s">
        <v>2636</v>
      </c>
      <c r="M883" s="605" t="s">
        <v>955</v>
      </c>
      <c r="N883" s="599" t="s">
        <v>2681</v>
      </c>
      <c r="O883" s="630" t="s">
        <v>2688</v>
      </c>
      <c r="P883" s="70" t="s">
        <v>335</v>
      </c>
      <c r="Q883" s="70" t="s">
        <v>335</v>
      </c>
      <c r="R883" s="562" t="s">
        <v>335</v>
      </c>
      <c r="S883" s="552"/>
    </row>
    <row r="884" spans="1:19" ht="15.75" customHeight="1" x14ac:dyDescent="0.3">
      <c r="A884" s="592" t="s">
        <v>249</v>
      </c>
      <c r="B884" s="553" t="s">
        <v>932</v>
      </c>
      <c r="C884" s="70" t="s">
        <v>932</v>
      </c>
      <c r="D884" s="70" t="s">
        <v>932</v>
      </c>
      <c r="E884" s="70" t="s">
        <v>932</v>
      </c>
      <c r="F884" s="562" t="s">
        <v>932</v>
      </c>
      <c r="G884" s="553" t="s">
        <v>932</v>
      </c>
      <c r="H884" s="70" t="s">
        <v>932</v>
      </c>
      <c r="I884" s="70" t="s">
        <v>932</v>
      </c>
      <c r="J884" s="70" t="s">
        <v>932</v>
      </c>
      <c r="K884" s="70" t="s">
        <v>932</v>
      </c>
      <c r="L884" s="70" t="s">
        <v>932</v>
      </c>
      <c r="M884" s="605" t="s">
        <v>932</v>
      </c>
      <c r="N884" s="599" t="s">
        <v>932</v>
      </c>
      <c r="O884" s="630" t="s">
        <v>932</v>
      </c>
      <c r="P884" s="70" t="s">
        <v>932</v>
      </c>
      <c r="Q884" s="70" t="s">
        <v>932</v>
      </c>
      <c r="R884" s="562" t="s">
        <v>932</v>
      </c>
      <c r="S884" s="552"/>
    </row>
    <row r="885" spans="1:19" ht="15.75" customHeight="1" x14ac:dyDescent="0.3">
      <c r="A885" s="592" t="s">
        <v>1353</v>
      </c>
      <c r="B885" s="553" t="s">
        <v>1353</v>
      </c>
      <c r="C885" s="70" t="s">
        <v>1353</v>
      </c>
      <c r="D885" s="70" t="s">
        <v>1353</v>
      </c>
      <c r="E885" s="70" t="s">
        <v>2202</v>
      </c>
      <c r="F885" s="562" t="s">
        <v>1353</v>
      </c>
      <c r="G885" s="553" t="s">
        <v>1353</v>
      </c>
      <c r="H885" s="70" t="s">
        <v>2119</v>
      </c>
      <c r="I885" s="70" t="s">
        <v>2119</v>
      </c>
      <c r="J885" s="70" t="s">
        <v>1353</v>
      </c>
      <c r="K885" s="70" t="s">
        <v>1353</v>
      </c>
      <c r="L885" s="70" t="s">
        <v>1353</v>
      </c>
      <c r="M885" s="605" t="s">
        <v>1353</v>
      </c>
      <c r="N885" s="599" t="s">
        <v>1353</v>
      </c>
      <c r="O885" s="630" t="s">
        <v>1353</v>
      </c>
      <c r="P885" s="70" t="s">
        <v>1353</v>
      </c>
      <c r="Q885" s="70" t="s">
        <v>1353</v>
      </c>
      <c r="R885" s="562" t="s">
        <v>1353</v>
      </c>
      <c r="S885" s="552"/>
    </row>
    <row r="886" spans="1:19" ht="15.75" customHeight="1" x14ac:dyDescent="0.3">
      <c r="A886" s="139" t="s">
        <v>2843</v>
      </c>
      <c r="B886" s="553">
        <f t="shared" ref="B886:B897" si="175">+ROUND(AJ803,0)</f>
        <v>149086</v>
      </c>
      <c r="C886" s="70">
        <f t="shared" ref="C886:C897" si="176">+ROUND(B886*$C$883,0)</f>
        <v>745</v>
      </c>
      <c r="D886" s="70">
        <f t="shared" ref="D886:D897" si="177">ROUND((B886*D$883),0)</f>
        <v>6411</v>
      </c>
      <c r="E886" s="70">
        <f t="shared" ref="E886:E897" si="178">+B886+C886</f>
        <v>149831</v>
      </c>
      <c r="F886" s="562">
        <f t="shared" ref="F886:F897" si="179">(D886+E886)</f>
        <v>156242</v>
      </c>
      <c r="G886" s="553">
        <f t="shared" ref="G886:G897" si="180">ROUND((G803*((T803-1591.4)/0.6635))/(-1000),0)</f>
        <v>3751</v>
      </c>
      <c r="H886" s="70">
        <f t="shared" ref="H886:H897" si="181">ROUND((K1014),0)</f>
        <v>10653</v>
      </c>
      <c r="I886" s="70">
        <f t="shared" ref="I886:I897" si="182">(O1014)</f>
        <v>0</v>
      </c>
      <c r="J886" s="70">
        <f>(H886+I886)</f>
        <v>10653</v>
      </c>
      <c r="K886" s="600">
        <v>0</v>
      </c>
      <c r="L886" s="600">
        <v>0</v>
      </c>
      <c r="M886" s="606">
        <v>175704</v>
      </c>
      <c r="N886" s="607">
        <v>0</v>
      </c>
      <c r="O886" s="630">
        <f>+M886+N886</f>
        <v>175704</v>
      </c>
      <c r="P886" s="628">
        <f>(F886-G886-J886-K886-L886-O886)</f>
        <v>-33866</v>
      </c>
      <c r="Q886" s="70" t="str">
        <f>+IF(P886&gt;=0,ABS(P886),"")</f>
        <v/>
      </c>
      <c r="R886" s="562">
        <f>+IF(P886&lt;=0,ABS(P886),"")</f>
        <v>33866</v>
      </c>
      <c r="S886" s="552"/>
    </row>
    <row r="887" spans="1:19" ht="15.75" customHeight="1" x14ac:dyDescent="0.3">
      <c r="A887" s="139" t="s">
        <v>2091</v>
      </c>
      <c r="B887" s="553">
        <f t="shared" si="175"/>
        <v>252115</v>
      </c>
      <c r="C887" s="70">
        <f t="shared" si="176"/>
        <v>1261</v>
      </c>
      <c r="D887" s="70">
        <f t="shared" si="177"/>
        <v>10841</v>
      </c>
      <c r="E887" s="70">
        <f t="shared" si="178"/>
        <v>253376</v>
      </c>
      <c r="F887" s="562">
        <f t="shared" si="179"/>
        <v>264217</v>
      </c>
      <c r="G887" s="553">
        <f t="shared" si="180"/>
        <v>0</v>
      </c>
      <c r="H887" s="70">
        <f t="shared" si="181"/>
        <v>11930</v>
      </c>
      <c r="I887" s="70">
        <f t="shared" si="182"/>
        <v>0</v>
      </c>
      <c r="J887" s="70">
        <f t="shared" ref="J887:J896" si="183">(H887+I887)</f>
        <v>11930</v>
      </c>
      <c r="K887" s="600">
        <v>0</v>
      </c>
      <c r="L887" s="600">
        <v>0</v>
      </c>
      <c r="M887" s="606">
        <v>244608</v>
      </c>
      <c r="N887" s="607">
        <v>0</v>
      </c>
      <c r="O887" s="630">
        <f t="shared" ref="O887:O899" si="184">+M887+N887</f>
        <v>244608</v>
      </c>
      <c r="P887" s="628">
        <f t="shared" ref="P887:P897" si="185">(F887-G887-J887-K887-L887-O887)</f>
        <v>7679</v>
      </c>
      <c r="Q887" s="70">
        <f t="shared" ref="Q887:Q897" si="186">+IF(P887&gt;=0,ABS(P887),"")</f>
        <v>7679</v>
      </c>
      <c r="R887" s="562" t="str">
        <f t="shared" ref="R887:R897" si="187">+IF(P887&lt;=0,ABS(P887),"")</f>
        <v/>
      </c>
      <c r="S887" s="552"/>
    </row>
    <row r="888" spans="1:19" ht="15.75" customHeight="1" x14ac:dyDescent="0.3">
      <c r="A888" s="139" t="s">
        <v>2234</v>
      </c>
      <c r="B888" s="553">
        <f t="shared" si="175"/>
        <v>303608</v>
      </c>
      <c r="C888" s="70">
        <f t="shared" si="176"/>
        <v>1518</v>
      </c>
      <c r="D888" s="70">
        <f t="shared" si="177"/>
        <v>13055</v>
      </c>
      <c r="E888" s="70">
        <f t="shared" si="178"/>
        <v>305126</v>
      </c>
      <c r="F888" s="562">
        <f t="shared" si="179"/>
        <v>318181</v>
      </c>
      <c r="G888" s="553">
        <f t="shared" si="180"/>
        <v>0</v>
      </c>
      <c r="H888" s="70">
        <f t="shared" si="181"/>
        <v>17147</v>
      </c>
      <c r="I888" s="70">
        <f t="shared" si="182"/>
        <v>0</v>
      </c>
      <c r="J888" s="70">
        <f t="shared" si="183"/>
        <v>17147</v>
      </c>
      <c r="K888" s="600">
        <v>0</v>
      </c>
      <c r="L888" s="600">
        <v>0</v>
      </c>
      <c r="M888" s="606">
        <v>310968</v>
      </c>
      <c r="N888" s="607">
        <v>0</v>
      </c>
      <c r="O888" s="630">
        <f t="shared" si="184"/>
        <v>310968</v>
      </c>
      <c r="P888" s="628">
        <f t="shared" si="185"/>
        <v>-9934</v>
      </c>
      <c r="Q888" s="70" t="str">
        <f t="shared" si="186"/>
        <v/>
      </c>
      <c r="R888" s="562">
        <f t="shared" si="187"/>
        <v>9934</v>
      </c>
      <c r="S888" s="552"/>
    </row>
    <row r="889" spans="1:19" ht="15.75" customHeight="1" x14ac:dyDescent="0.3">
      <c r="A889" s="139" t="s">
        <v>2235</v>
      </c>
      <c r="B889" s="553">
        <f t="shared" si="175"/>
        <v>263222</v>
      </c>
      <c r="C889" s="70">
        <f t="shared" si="176"/>
        <v>1316</v>
      </c>
      <c r="D889" s="70">
        <f t="shared" si="177"/>
        <v>11319</v>
      </c>
      <c r="E889" s="70">
        <f t="shared" si="178"/>
        <v>264538</v>
      </c>
      <c r="F889" s="562">
        <f t="shared" si="179"/>
        <v>275857</v>
      </c>
      <c r="G889" s="553">
        <f t="shared" si="180"/>
        <v>5533</v>
      </c>
      <c r="H889" s="70">
        <f t="shared" si="181"/>
        <v>19834</v>
      </c>
      <c r="I889" s="70">
        <f t="shared" si="182"/>
        <v>0</v>
      </c>
      <c r="J889" s="70">
        <f t="shared" si="183"/>
        <v>19834</v>
      </c>
      <c r="K889" s="600">
        <v>0</v>
      </c>
      <c r="L889" s="600">
        <v>0</v>
      </c>
      <c r="M889" s="606">
        <v>294528</v>
      </c>
      <c r="N889" s="607">
        <v>0</v>
      </c>
      <c r="O889" s="630">
        <f t="shared" si="184"/>
        <v>294528</v>
      </c>
      <c r="P889" s="628">
        <f t="shared" si="185"/>
        <v>-44038</v>
      </c>
      <c r="Q889" s="70" t="str">
        <f t="shared" si="186"/>
        <v/>
      </c>
      <c r="R889" s="562">
        <f t="shared" si="187"/>
        <v>44038</v>
      </c>
      <c r="S889" s="552"/>
    </row>
    <row r="890" spans="1:19" ht="15.75" customHeight="1" x14ac:dyDescent="0.3">
      <c r="A890" s="139" t="s">
        <v>2236</v>
      </c>
      <c r="B890" s="553">
        <f t="shared" si="175"/>
        <v>294679</v>
      </c>
      <c r="C890" s="70">
        <f t="shared" si="176"/>
        <v>1473</v>
      </c>
      <c r="D890" s="70">
        <f t="shared" si="177"/>
        <v>12671</v>
      </c>
      <c r="E890" s="70">
        <f t="shared" si="178"/>
        <v>296152</v>
      </c>
      <c r="F890" s="562">
        <f t="shared" si="179"/>
        <v>308823</v>
      </c>
      <c r="G890" s="553">
        <f t="shared" si="180"/>
        <v>3257</v>
      </c>
      <c r="H890" s="70">
        <f t="shared" si="181"/>
        <v>16704</v>
      </c>
      <c r="I890" s="70">
        <f t="shared" si="182"/>
        <v>0</v>
      </c>
      <c r="J890" s="70">
        <f t="shared" si="183"/>
        <v>16704</v>
      </c>
      <c r="K890" s="600">
        <v>0</v>
      </c>
      <c r="L890" s="600">
        <v>0</v>
      </c>
      <c r="M890" s="606">
        <v>300840</v>
      </c>
      <c r="N890" s="607">
        <v>0</v>
      </c>
      <c r="O890" s="630">
        <f t="shared" si="184"/>
        <v>300840</v>
      </c>
      <c r="P890" s="628">
        <f t="shared" si="185"/>
        <v>-11978</v>
      </c>
      <c r="Q890" s="70" t="str">
        <f t="shared" si="186"/>
        <v/>
      </c>
      <c r="R890" s="562">
        <f t="shared" si="187"/>
        <v>11978</v>
      </c>
      <c r="S890" s="552"/>
    </row>
    <row r="891" spans="1:19" ht="15.75" customHeight="1" x14ac:dyDescent="0.3">
      <c r="A891" s="139" t="s">
        <v>2237</v>
      </c>
      <c r="B891" s="553">
        <f t="shared" si="175"/>
        <v>232756</v>
      </c>
      <c r="C891" s="70">
        <f t="shared" si="176"/>
        <v>1164</v>
      </c>
      <c r="D891" s="70">
        <f t="shared" si="177"/>
        <v>10009</v>
      </c>
      <c r="E891" s="70">
        <f t="shared" si="178"/>
        <v>233920</v>
      </c>
      <c r="F891" s="562">
        <f t="shared" si="179"/>
        <v>243929</v>
      </c>
      <c r="G891" s="553">
        <f t="shared" si="180"/>
        <v>11158</v>
      </c>
      <c r="H891" s="70">
        <f t="shared" si="181"/>
        <v>15526</v>
      </c>
      <c r="I891" s="70">
        <f t="shared" si="182"/>
        <v>0</v>
      </c>
      <c r="J891" s="70">
        <f t="shared" si="183"/>
        <v>15526</v>
      </c>
      <c r="K891" s="600">
        <v>0</v>
      </c>
      <c r="L891" s="600">
        <v>0</v>
      </c>
      <c r="M891" s="606">
        <v>236880</v>
      </c>
      <c r="N891" s="607">
        <v>0</v>
      </c>
      <c r="O891" s="630">
        <f t="shared" si="184"/>
        <v>236880</v>
      </c>
      <c r="P891" s="628">
        <f t="shared" si="185"/>
        <v>-19635</v>
      </c>
      <c r="Q891" s="70" t="str">
        <f t="shared" si="186"/>
        <v/>
      </c>
      <c r="R891" s="562">
        <f t="shared" si="187"/>
        <v>19635</v>
      </c>
      <c r="S891" s="552"/>
    </row>
    <row r="892" spans="1:19" ht="15.75" customHeight="1" x14ac:dyDescent="0.3">
      <c r="A892" s="139" t="s">
        <v>1504</v>
      </c>
      <c r="B892" s="553">
        <f t="shared" si="175"/>
        <v>163004</v>
      </c>
      <c r="C892" s="70">
        <f t="shared" si="176"/>
        <v>815</v>
      </c>
      <c r="D892" s="70">
        <f t="shared" si="177"/>
        <v>7009</v>
      </c>
      <c r="E892" s="70">
        <f t="shared" si="178"/>
        <v>163819</v>
      </c>
      <c r="F892" s="562">
        <f t="shared" si="179"/>
        <v>170828</v>
      </c>
      <c r="G892" s="553">
        <f t="shared" si="180"/>
        <v>11383</v>
      </c>
      <c r="H892" s="70">
        <f t="shared" si="181"/>
        <v>13264</v>
      </c>
      <c r="I892" s="70">
        <f t="shared" si="182"/>
        <v>0</v>
      </c>
      <c r="J892" s="70">
        <f t="shared" si="183"/>
        <v>13264</v>
      </c>
      <c r="K892" s="600">
        <v>0</v>
      </c>
      <c r="L892" s="600">
        <v>0</v>
      </c>
      <c r="M892" s="606">
        <v>154752</v>
      </c>
      <c r="N892" s="607">
        <v>0</v>
      </c>
      <c r="O892" s="630">
        <f t="shared" si="184"/>
        <v>154752</v>
      </c>
      <c r="P892" s="628">
        <f t="shared" si="185"/>
        <v>-8571</v>
      </c>
      <c r="Q892" s="70" t="str">
        <f t="shared" si="186"/>
        <v/>
      </c>
      <c r="R892" s="562">
        <f t="shared" si="187"/>
        <v>8571</v>
      </c>
      <c r="S892" s="552"/>
    </row>
    <row r="893" spans="1:19" ht="15.75" customHeight="1" x14ac:dyDescent="0.3">
      <c r="A893" s="139" t="s">
        <v>1505</v>
      </c>
      <c r="B893" s="553">
        <f t="shared" si="175"/>
        <v>183531</v>
      </c>
      <c r="C893" s="70">
        <f t="shared" si="176"/>
        <v>918</v>
      </c>
      <c r="D893" s="70">
        <f t="shared" si="177"/>
        <v>7892</v>
      </c>
      <c r="E893" s="70">
        <f t="shared" si="178"/>
        <v>184449</v>
      </c>
      <c r="F893" s="562">
        <f t="shared" si="179"/>
        <v>192341</v>
      </c>
      <c r="G893" s="553">
        <f t="shared" si="180"/>
        <v>8288</v>
      </c>
      <c r="H893" s="70">
        <f t="shared" si="181"/>
        <v>11537</v>
      </c>
      <c r="I893" s="70">
        <f t="shared" si="182"/>
        <v>0</v>
      </c>
      <c r="J893" s="70">
        <f t="shared" si="183"/>
        <v>11537</v>
      </c>
      <c r="K893" s="600">
        <v>0</v>
      </c>
      <c r="L893" s="600">
        <v>0</v>
      </c>
      <c r="M893" s="606">
        <v>159960</v>
      </c>
      <c r="N893" s="607">
        <v>0</v>
      </c>
      <c r="O893" s="630">
        <f t="shared" si="184"/>
        <v>159960</v>
      </c>
      <c r="P893" s="628">
        <f t="shared" si="185"/>
        <v>12556</v>
      </c>
      <c r="Q893" s="70">
        <f t="shared" si="186"/>
        <v>12556</v>
      </c>
      <c r="R893" s="562" t="str">
        <f t="shared" si="187"/>
        <v/>
      </c>
      <c r="S893" s="552"/>
    </row>
    <row r="894" spans="1:19" ht="15.75" customHeight="1" x14ac:dyDescent="0.3">
      <c r="A894" s="139" t="s">
        <v>1506</v>
      </c>
      <c r="B894" s="553">
        <f t="shared" si="175"/>
        <v>254239</v>
      </c>
      <c r="C894" s="70">
        <f t="shared" si="176"/>
        <v>1271</v>
      </c>
      <c r="D894" s="70">
        <f t="shared" si="177"/>
        <v>10932</v>
      </c>
      <c r="E894" s="70">
        <f t="shared" si="178"/>
        <v>255510</v>
      </c>
      <c r="F894" s="562">
        <f t="shared" si="179"/>
        <v>266442</v>
      </c>
      <c r="G894" s="553">
        <f t="shared" si="180"/>
        <v>37</v>
      </c>
      <c r="H894" s="70">
        <f t="shared" si="181"/>
        <v>7751</v>
      </c>
      <c r="I894" s="70">
        <f t="shared" si="182"/>
        <v>0</v>
      </c>
      <c r="J894" s="70">
        <f t="shared" si="183"/>
        <v>7751</v>
      </c>
      <c r="K894" s="600">
        <v>0</v>
      </c>
      <c r="L894" s="600">
        <v>0</v>
      </c>
      <c r="M894" s="606">
        <v>221760</v>
      </c>
      <c r="N894" s="607">
        <v>0</v>
      </c>
      <c r="O894" s="630">
        <f t="shared" si="184"/>
        <v>221760</v>
      </c>
      <c r="P894" s="628">
        <f t="shared" si="185"/>
        <v>36894</v>
      </c>
      <c r="Q894" s="70">
        <f t="shared" si="186"/>
        <v>36894</v>
      </c>
      <c r="R894" s="562" t="str">
        <f t="shared" si="187"/>
        <v/>
      </c>
      <c r="S894" s="552"/>
    </row>
    <row r="895" spans="1:19" ht="15.75" customHeight="1" x14ac:dyDescent="0.3">
      <c r="A895" s="139" t="s">
        <v>1507</v>
      </c>
      <c r="B895" s="553">
        <f t="shared" si="175"/>
        <v>306131</v>
      </c>
      <c r="C895" s="70">
        <f t="shared" si="176"/>
        <v>1531</v>
      </c>
      <c r="D895" s="70">
        <f t="shared" si="177"/>
        <v>13164</v>
      </c>
      <c r="E895" s="70">
        <f t="shared" si="178"/>
        <v>307662</v>
      </c>
      <c r="F895" s="562">
        <f t="shared" si="179"/>
        <v>320826</v>
      </c>
      <c r="G895" s="553">
        <f t="shared" si="180"/>
        <v>0</v>
      </c>
      <c r="H895" s="70">
        <f t="shared" si="181"/>
        <v>11649</v>
      </c>
      <c r="I895" s="70">
        <f t="shared" si="182"/>
        <v>0</v>
      </c>
      <c r="J895" s="70">
        <f t="shared" si="183"/>
        <v>11649</v>
      </c>
      <c r="K895" s="600">
        <v>0</v>
      </c>
      <c r="L895" s="600">
        <v>0</v>
      </c>
      <c r="M895" s="606">
        <v>237336</v>
      </c>
      <c r="N895" s="607">
        <v>36704</v>
      </c>
      <c r="O895" s="630">
        <f t="shared" si="184"/>
        <v>274040</v>
      </c>
      <c r="P895" s="628">
        <f t="shared" si="185"/>
        <v>35137</v>
      </c>
      <c r="Q895" s="70">
        <f t="shared" si="186"/>
        <v>35137</v>
      </c>
      <c r="R895" s="562" t="str">
        <f t="shared" si="187"/>
        <v/>
      </c>
      <c r="S895" s="552"/>
    </row>
    <row r="896" spans="1:19" ht="15.75" customHeight="1" x14ac:dyDescent="0.3">
      <c r="A896" s="139" t="s">
        <v>1508</v>
      </c>
      <c r="B896" s="553">
        <f t="shared" si="175"/>
        <v>235909</v>
      </c>
      <c r="C896" s="70">
        <f t="shared" si="176"/>
        <v>1180</v>
      </c>
      <c r="D896" s="70">
        <f t="shared" si="177"/>
        <v>10144</v>
      </c>
      <c r="E896" s="70">
        <f t="shared" si="178"/>
        <v>237089</v>
      </c>
      <c r="F896" s="562">
        <f t="shared" si="179"/>
        <v>247233</v>
      </c>
      <c r="G896" s="553">
        <f t="shared" si="180"/>
        <v>0</v>
      </c>
      <c r="H896" s="70">
        <f t="shared" si="181"/>
        <v>8035</v>
      </c>
      <c r="I896" s="70">
        <f t="shared" si="182"/>
        <v>0</v>
      </c>
      <c r="J896" s="70">
        <f t="shared" si="183"/>
        <v>8035</v>
      </c>
      <c r="K896" s="600">
        <v>0</v>
      </c>
      <c r="L896" s="600">
        <v>0</v>
      </c>
      <c r="M896" s="606">
        <v>217440</v>
      </c>
      <c r="N896" s="607">
        <v>35520</v>
      </c>
      <c r="O896" s="630">
        <f t="shared" si="184"/>
        <v>252960</v>
      </c>
      <c r="P896" s="628">
        <f t="shared" si="185"/>
        <v>-13762</v>
      </c>
      <c r="Q896" s="70" t="str">
        <f t="shared" si="186"/>
        <v/>
      </c>
      <c r="R896" s="562">
        <f t="shared" si="187"/>
        <v>13762</v>
      </c>
      <c r="S896" s="552"/>
    </row>
    <row r="897" spans="1:21" ht="15.75" customHeight="1" x14ac:dyDescent="0.3">
      <c r="A897" s="139" t="s">
        <v>1509</v>
      </c>
      <c r="B897" s="553">
        <f t="shared" si="175"/>
        <v>228976</v>
      </c>
      <c r="C897" s="70">
        <f t="shared" si="176"/>
        <v>1145</v>
      </c>
      <c r="D897" s="70">
        <f t="shared" si="177"/>
        <v>9846</v>
      </c>
      <c r="E897" s="70">
        <f t="shared" si="178"/>
        <v>230121</v>
      </c>
      <c r="F897" s="562">
        <f t="shared" si="179"/>
        <v>239967</v>
      </c>
      <c r="G897" s="553">
        <f t="shared" si="180"/>
        <v>0</v>
      </c>
      <c r="H897" s="70">
        <f t="shared" si="181"/>
        <v>8092</v>
      </c>
      <c r="I897" s="70">
        <f t="shared" si="182"/>
        <v>0</v>
      </c>
      <c r="J897" s="70">
        <f>(H897+I897)</f>
        <v>8092</v>
      </c>
      <c r="K897" s="600">
        <v>0</v>
      </c>
      <c r="L897" s="600">
        <v>0</v>
      </c>
      <c r="M897" s="606">
        <v>203856</v>
      </c>
      <c r="N897" s="607">
        <v>44391.999999999993</v>
      </c>
      <c r="O897" s="630">
        <f t="shared" si="184"/>
        <v>248248</v>
      </c>
      <c r="P897" s="628">
        <f t="shared" si="185"/>
        <v>-16373</v>
      </c>
      <c r="Q897" s="70" t="str">
        <f t="shared" si="186"/>
        <v/>
      </c>
      <c r="R897" s="562">
        <f t="shared" si="187"/>
        <v>16373</v>
      </c>
      <c r="S897" s="552"/>
    </row>
    <row r="898" spans="1:21" ht="15.75" customHeight="1" x14ac:dyDescent="0.3">
      <c r="A898" s="592" t="s">
        <v>2435</v>
      </c>
      <c r="B898" s="553" t="s">
        <v>2435</v>
      </c>
      <c r="C898" s="70"/>
      <c r="D898" s="70"/>
      <c r="E898" s="70" t="s">
        <v>852</v>
      </c>
      <c r="F898" s="562"/>
      <c r="G898" s="553"/>
      <c r="H898" s="70"/>
      <c r="I898" s="70" t="s">
        <v>852</v>
      </c>
      <c r="J898" s="70" t="s">
        <v>852</v>
      </c>
      <c r="K898" s="601"/>
      <c r="L898" s="70"/>
      <c r="M898" s="606"/>
      <c r="N898" s="607"/>
      <c r="O898" s="630">
        <f t="shared" si="184"/>
        <v>0</v>
      </c>
      <c r="P898" s="628"/>
      <c r="Q898" s="70"/>
      <c r="R898" s="562"/>
      <c r="S898" s="552"/>
    </row>
    <row r="899" spans="1:21" ht="16.5" customHeight="1" thickBot="1" x14ac:dyDescent="0.35">
      <c r="A899" s="596" t="s">
        <v>2356</v>
      </c>
      <c r="B899" s="558">
        <f>SUM(B886:B897)</f>
        <v>2867256</v>
      </c>
      <c r="C899" s="564">
        <f>+SUM(C886:C897)</f>
        <v>14337</v>
      </c>
      <c r="D899" s="564">
        <f>SUM(D886:D897)</f>
        <v>123293</v>
      </c>
      <c r="E899" s="564">
        <f>(B899*1.005)</f>
        <v>2881592.28</v>
      </c>
      <c r="F899" s="602">
        <f>SUM(F886:F897)</f>
        <v>3004886</v>
      </c>
      <c r="G899" s="558">
        <f>SUM(G886:G897)</f>
        <v>43407</v>
      </c>
      <c r="H899" s="564">
        <f>(K1028)</f>
        <v>152122</v>
      </c>
      <c r="I899" s="564">
        <f>(O1028)</f>
        <v>0</v>
      </c>
      <c r="J899" s="564">
        <f>(H899+I899)</f>
        <v>152122</v>
      </c>
      <c r="K899" s="564">
        <f>SUM(K886:K897)</f>
        <v>0</v>
      </c>
      <c r="L899" s="564">
        <f>SUM(L886:L897)</f>
        <v>0</v>
      </c>
      <c r="M899" s="608">
        <f>SUM(M886:M897)</f>
        <v>2758632</v>
      </c>
      <c r="N899" s="609">
        <f>SUM(N886:N897)</f>
        <v>116616</v>
      </c>
      <c r="O899" s="631">
        <f t="shared" si="184"/>
        <v>2875248</v>
      </c>
      <c r="P899" s="629">
        <f>(F899-G899-J899-K899-L899-O899)</f>
        <v>-65891</v>
      </c>
      <c r="Q899" s="564">
        <f>+SUM(Q886:Q897)</f>
        <v>92266</v>
      </c>
      <c r="R899" s="602">
        <f>+SUM(R886:R897)</f>
        <v>158157</v>
      </c>
      <c r="S899" s="552"/>
    </row>
    <row r="900" spans="1:21" ht="15.75" customHeight="1" x14ac:dyDescent="0.3">
      <c r="A900" s="579"/>
      <c r="B900" s="67"/>
      <c r="C900" s="67"/>
      <c r="D900" s="67"/>
      <c r="E900" s="67"/>
      <c r="F900" s="67" t="s">
        <v>2435</v>
      </c>
      <c r="G900" s="67"/>
      <c r="H900" s="67"/>
      <c r="I900" s="67"/>
      <c r="K900" s="67"/>
      <c r="L900" s="67"/>
      <c r="M900" s="219"/>
      <c r="O900" s="561"/>
      <c r="P900" s="67"/>
      <c r="S900" s="561"/>
    </row>
    <row r="901" spans="1:21" ht="15.75" customHeight="1" x14ac:dyDescent="0.3">
      <c r="A901" s="551" t="s">
        <v>2640</v>
      </c>
      <c r="O901" s="561"/>
      <c r="P901" s="67"/>
      <c r="Q901" s="67"/>
      <c r="R901" s="67"/>
      <c r="S901" s="561"/>
    </row>
    <row r="902" spans="1:21" ht="15.75" customHeight="1" x14ac:dyDescent="0.3">
      <c r="A902" s="551" t="s">
        <v>1660</v>
      </c>
      <c r="D902" s="67"/>
      <c r="E902" s="67"/>
      <c r="F902" s="67"/>
      <c r="G902" s="67"/>
      <c r="H902" s="67"/>
      <c r="I902" s="67"/>
      <c r="J902" s="67"/>
      <c r="K902" s="67"/>
      <c r="L902" s="67"/>
      <c r="M902" s="67"/>
      <c r="N902" s="67"/>
      <c r="O902" s="552"/>
      <c r="P902" s="67"/>
      <c r="Q902" s="67"/>
      <c r="R902" s="67"/>
      <c r="S902" s="561"/>
    </row>
    <row r="903" spans="1:21" ht="15.75" customHeight="1" x14ac:dyDescent="0.3">
      <c r="A903" s="551" t="s">
        <v>2853</v>
      </c>
      <c r="D903" s="67"/>
      <c r="E903" s="67"/>
      <c r="F903" s="67"/>
      <c r="G903" s="67"/>
      <c r="H903" s="67"/>
      <c r="I903" s="67"/>
      <c r="J903" s="67"/>
      <c r="K903" s="67"/>
      <c r="L903" s="67"/>
      <c r="M903" s="67"/>
      <c r="N903" s="67"/>
      <c r="O903" s="552"/>
      <c r="P903" s="67"/>
      <c r="Q903" s="67"/>
      <c r="R903" s="67"/>
      <c r="S903" s="561"/>
    </row>
    <row r="904" spans="1:21" ht="15.75" customHeight="1" thickBot="1" x14ac:dyDescent="0.35">
      <c r="A904" s="554" t="s">
        <v>2626</v>
      </c>
      <c r="B904" s="581"/>
      <c r="C904" s="581"/>
      <c r="D904" s="555"/>
      <c r="E904" s="555"/>
      <c r="F904" s="555"/>
      <c r="G904" s="555"/>
      <c r="H904" s="555"/>
      <c r="I904" s="555"/>
      <c r="J904" s="555"/>
      <c r="K904" s="555"/>
      <c r="L904" s="555"/>
      <c r="M904" s="555"/>
      <c r="N904" s="555"/>
      <c r="O904" s="556"/>
      <c r="P904" s="67"/>
      <c r="Q904" s="67"/>
      <c r="R904" s="67"/>
      <c r="S904" s="561"/>
    </row>
    <row r="905" spans="1:21" ht="15.75" customHeight="1" thickBot="1" x14ac:dyDescent="0.35">
      <c r="A905" s="551"/>
      <c r="D905" s="67"/>
      <c r="E905" s="67"/>
      <c r="F905" s="67"/>
      <c r="G905" s="67"/>
      <c r="H905" s="67"/>
      <c r="I905" s="67"/>
      <c r="J905" s="67"/>
      <c r="K905" s="67"/>
      <c r="L905" s="67"/>
      <c r="M905" s="67"/>
      <c r="N905" s="67"/>
      <c r="O905" s="67"/>
      <c r="P905" s="67"/>
      <c r="Q905" s="67"/>
      <c r="R905" s="67"/>
      <c r="S905" s="561"/>
    </row>
    <row r="906" spans="1:21" ht="15.75" customHeight="1" thickBot="1" x14ac:dyDescent="0.35">
      <c r="A906" s="139"/>
      <c r="B906" s="806" t="s">
        <v>2689</v>
      </c>
      <c r="C906" s="807"/>
      <c r="D906" s="807"/>
      <c r="E906" s="807"/>
      <c r="F906" s="807"/>
      <c r="G906" s="807"/>
      <c r="H906" s="807"/>
      <c r="I906" s="807"/>
      <c r="J906" s="807"/>
      <c r="K906" s="807"/>
      <c r="L906" s="807"/>
      <c r="M906" s="807"/>
      <c r="N906" s="807"/>
      <c r="O906" s="807"/>
      <c r="P906" s="836"/>
      <c r="Q906" s="67"/>
      <c r="R906" s="67"/>
      <c r="S906" s="561"/>
    </row>
    <row r="907" spans="1:21" ht="15.75" customHeight="1" thickBot="1" x14ac:dyDescent="0.35">
      <c r="A907" s="139"/>
      <c r="B907" s="795" t="s">
        <v>2633</v>
      </c>
      <c r="C907" s="796"/>
      <c r="D907" s="796"/>
      <c r="E907" s="796"/>
      <c r="F907" s="797"/>
      <c r="G907" s="795" t="s">
        <v>2674</v>
      </c>
      <c r="H907" s="796"/>
      <c r="I907" s="796"/>
      <c r="J907" s="796"/>
      <c r="K907" s="796"/>
      <c r="L907" s="796"/>
      <c r="M907" s="798" t="s">
        <v>2677</v>
      </c>
      <c r="N907" s="811"/>
      <c r="O907" s="811"/>
      <c r="P907" s="795" t="s">
        <v>2682</v>
      </c>
      <c r="Q907" s="796"/>
      <c r="R907" s="797"/>
      <c r="S907" s="561"/>
      <c r="U907" t="s">
        <v>2930</v>
      </c>
    </row>
    <row r="908" spans="1:21" ht="15.75" customHeight="1" x14ac:dyDescent="0.3">
      <c r="A908" s="592"/>
      <c r="B908" s="553" t="s">
        <v>2439</v>
      </c>
      <c r="C908" s="70"/>
      <c r="D908" s="70" t="s">
        <v>336</v>
      </c>
      <c r="E908" s="70" t="s">
        <v>596</v>
      </c>
      <c r="F908" s="562" t="s">
        <v>2652</v>
      </c>
      <c r="G908" s="553" t="s">
        <v>228</v>
      </c>
      <c r="H908" s="70"/>
      <c r="I908" s="70"/>
      <c r="J908" s="70" t="s">
        <v>229</v>
      </c>
      <c r="K908" s="70" t="s">
        <v>2638</v>
      </c>
      <c r="L908" s="70" t="s">
        <v>2639</v>
      </c>
      <c r="M908" s="808" t="s">
        <v>2678</v>
      </c>
      <c r="N908" s="809"/>
      <c r="O908" s="809"/>
      <c r="P908" s="553" t="s">
        <v>2683</v>
      </c>
      <c r="Q908" s="610" t="s">
        <v>134</v>
      </c>
      <c r="R908" s="611" t="s">
        <v>2685</v>
      </c>
      <c r="S908" s="561"/>
    </row>
    <row r="909" spans="1:21" ht="15.75" customHeight="1" x14ac:dyDescent="0.3">
      <c r="A909" s="592"/>
      <c r="B909" s="593" t="s">
        <v>2648</v>
      </c>
      <c r="C909" s="588" t="s">
        <v>2656</v>
      </c>
      <c r="D909" s="588" t="s">
        <v>2651</v>
      </c>
      <c r="E909" s="70" t="s">
        <v>335</v>
      </c>
      <c r="F909" s="591" t="s">
        <v>2653</v>
      </c>
      <c r="G909" s="553" t="s">
        <v>2463</v>
      </c>
      <c r="H909" s="70" t="s">
        <v>1416</v>
      </c>
      <c r="I909" s="70" t="s">
        <v>1417</v>
      </c>
      <c r="J909" s="588" t="s">
        <v>2632</v>
      </c>
      <c r="K909" s="70" t="s">
        <v>2634</v>
      </c>
      <c r="L909" s="588" t="s">
        <v>2637</v>
      </c>
      <c r="M909" s="603" t="s">
        <v>2679</v>
      </c>
      <c r="N909" s="604" t="s">
        <v>2680</v>
      </c>
      <c r="O909" s="599" t="s">
        <v>2356</v>
      </c>
      <c r="P909" s="553" t="s">
        <v>2684</v>
      </c>
      <c r="Q909" s="70" t="s">
        <v>2686</v>
      </c>
      <c r="R909" s="562" t="s">
        <v>2687</v>
      </c>
      <c r="S909" s="561"/>
    </row>
    <row r="910" spans="1:21" ht="15.75" customHeight="1" x14ac:dyDescent="0.3">
      <c r="A910" s="592"/>
      <c r="B910" s="594" t="s">
        <v>2654</v>
      </c>
      <c r="C910" s="217">
        <v>5.0000000000000001E-3</v>
      </c>
      <c r="D910" s="217">
        <v>4.2999999999999997E-2</v>
      </c>
      <c r="E910" s="70" t="s">
        <v>133</v>
      </c>
      <c r="F910" s="595" t="s">
        <v>2649</v>
      </c>
      <c r="G910" s="553" t="s">
        <v>2650</v>
      </c>
      <c r="H910" s="70" t="s">
        <v>335</v>
      </c>
      <c r="I910" s="70" t="s">
        <v>335</v>
      </c>
      <c r="J910" s="70" t="s">
        <v>335</v>
      </c>
      <c r="K910" s="70" t="s">
        <v>134</v>
      </c>
      <c r="L910" s="70" t="s">
        <v>2636</v>
      </c>
      <c r="M910" s="605" t="s">
        <v>955</v>
      </c>
      <c r="N910" s="599" t="s">
        <v>2681</v>
      </c>
      <c r="O910" s="599" t="s">
        <v>2688</v>
      </c>
      <c r="P910" s="553" t="s">
        <v>335</v>
      </c>
      <c r="Q910" s="70" t="s">
        <v>335</v>
      </c>
      <c r="R910" s="562" t="s">
        <v>335</v>
      </c>
      <c r="S910" s="561"/>
    </row>
    <row r="911" spans="1:21" ht="15.75" customHeight="1" x14ac:dyDescent="0.3">
      <c r="A911" s="592" t="s">
        <v>249</v>
      </c>
      <c r="B911" s="553" t="s">
        <v>2695</v>
      </c>
      <c r="C911" s="70" t="s">
        <v>2695</v>
      </c>
      <c r="D911" s="70" t="s">
        <v>2695</v>
      </c>
      <c r="E911" s="70" t="s">
        <v>2695</v>
      </c>
      <c r="F911" s="70" t="s">
        <v>2695</v>
      </c>
      <c r="G911" s="553" t="s">
        <v>2695</v>
      </c>
      <c r="H911" s="70" t="s">
        <v>2695</v>
      </c>
      <c r="I911" s="70" t="s">
        <v>2695</v>
      </c>
      <c r="J911" s="70" t="s">
        <v>2695</v>
      </c>
      <c r="K911" s="70" t="s">
        <v>2695</v>
      </c>
      <c r="L911" s="70" t="s">
        <v>2695</v>
      </c>
      <c r="M911" s="605" t="s">
        <v>2695</v>
      </c>
      <c r="N911" s="599" t="s">
        <v>2696</v>
      </c>
      <c r="O911" s="599" t="s">
        <v>2695</v>
      </c>
      <c r="P911" s="553" t="s">
        <v>2695</v>
      </c>
      <c r="Q911" s="70" t="s">
        <v>2695</v>
      </c>
      <c r="R911" s="562" t="s">
        <v>2695</v>
      </c>
      <c r="S911" s="561"/>
    </row>
    <row r="912" spans="1:21" ht="15.75" customHeight="1" x14ac:dyDescent="0.3">
      <c r="A912" s="592" t="s">
        <v>1353</v>
      </c>
      <c r="B912" s="553" t="s">
        <v>1353</v>
      </c>
      <c r="C912" s="70" t="s">
        <v>1353</v>
      </c>
      <c r="D912" s="70" t="s">
        <v>1353</v>
      </c>
      <c r="E912" s="70" t="s">
        <v>2202</v>
      </c>
      <c r="F912" s="562" t="s">
        <v>1353</v>
      </c>
      <c r="G912" s="553" t="s">
        <v>1353</v>
      </c>
      <c r="H912" s="70" t="s">
        <v>2119</v>
      </c>
      <c r="I912" s="70" t="s">
        <v>2119</v>
      </c>
      <c r="J912" s="70" t="s">
        <v>1353</v>
      </c>
      <c r="K912" s="70" t="s">
        <v>1353</v>
      </c>
      <c r="L912" s="70" t="s">
        <v>1353</v>
      </c>
      <c r="M912" s="605" t="s">
        <v>1353</v>
      </c>
      <c r="N912" s="599" t="s">
        <v>1353</v>
      </c>
      <c r="O912" s="599" t="s">
        <v>1353</v>
      </c>
      <c r="P912" s="553" t="s">
        <v>1353</v>
      </c>
      <c r="Q912" s="70" t="s">
        <v>1353</v>
      </c>
      <c r="R912" s="562" t="s">
        <v>1353</v>
      </c>
      <c r="S912" s="561"/>
    </row>
    <row r="913" spans="1:19" ht="15.75" customHeight="1" x14ac:dyDescent="0.3">
      <c r="A913" s="139" t="s">
        <v>2843</v>
      </c>
      <c r="B913" s="553">
        <f>+B886/($B$10*24)</f>
        <v>200.38440860215053</v>
      </c>
      <c r="C913" s="70">
        <f t="shared" ref="C913:P913" si="188">+C886/($B$10*24)</f>
        <v>1.0013440860215055</v>
      </c>
      <c r="D913" s="70">
        <f t="shared" si="188"/>
        <v>8.616935483870968</v>
      </c>
      <c r="E913" s="70">
        <f t="shared" si="188"/>
        <v>201.38575268817203</v>
      </c>
      <c r="F913" s="562">
        <f t="shared" si="188"/>
        <v>210.00268817204301</v>
      </c>
      <c r="G913" s="70">
        <f t="shared" si="188"/>
        <v>5.041666666666667</v>
      </c>
      <c r="H913" s="70">
        <f t="shared" si="188"/>
        <v>14.318548387096774</v>
      </c>
      <c r="I913" s="70">
        <f t="shared" si="188"/>
        <v>0</v>
      </c>
      <c r="J913" s="70">
        <f t="shared" si="188"/>
        <v>14.318548387096774</v>
      </c>
      <c r="K913" s="70">
        <f t="shared" si="188"/>
        <v>0</v>
      </c>
      <c r="L913" s="70">
        <f t="shared" si="188"/>
        <v>0</v>
      </c>
      <c r="M913" s="606">
        <f t="shared" si="188"/>
        <v>236.16129032258064</v>
      </c>
      <c r="N913" s="607">
        <f t="shared" si="188"/>
        <v>0</v>
      </c>
      <c r="O913" s="599">
        <f t="shared" si="188"/>
        <v>236.16129032258064</v>
      </c>
      <c r="P913" s="612">
        <f t="shared" si="188"/>
        <v>-45.518817204301072</v>
      </c>
      <c r="Q913" s="70" t="str">
        <f>+IF(P913&gt;=0,ABS(P913),"")</f>
        <v/>
      </c>
      <c r="R913" s="562">
        <f>+IF(P913&lt;=0,ABS(P913),"")</f>
        <v>45.518817204301072</v>
      </c>
      <c r="S913" s="561"/>
    </row>
    <row r="914" spans="1:19" ht="15.75" customHeight="1" x14ac:dyDescent="0.3">
      <c r="A914" s="139" t="s">
        <v>2091</v>
      </c>
      <c r="B914" s="553">
        <f>+B887/($C$10*24)</f>
        <v>375.17113095238096</v>
      </c>
      <c r="C914" s="70">
        <f t="shared" ref="C914:P914" si="189">+C887/($C$10*24)</f>
        <v>1.8764880952380953</v>
      </c>
      <c r="D914" s="70">
        <f t="shared" si="189"/>
        <v>16.132440476190474</v>
      </c>
      <c r="E914" s="70">
        <f t="shared" si="189"/>
        <v>377.04761904761904</v>
      </c>
      <c r="F914" s="562">
        <f t="shared" si="189"/>
        <v>393.18005952380952</v>
      </c>
      <c r="G914" s="70">
        <f t="shared" si="189"/>
        <v>0</v>
      </c>
      <c r="H914" s="70">
        <f t="shared" si="189"/>
        <v>17.75297619047619</v>
      </c>
      <c r="I914" s="70">
        <f t="shared" si="189"/>
        <v>0</v>
      </c>
      <c r="J914" s="70">
        <f t="shared" si="189"/>
        <v>17.75297619047619</v>
      </c>
      <c r="K914" s="70">
        <f t="shared" si="189"/>
        <v>0</v>
      </c>
      <c r="L914" s="70">
        <f t="shared" si="189"/>
        <v>0</v>
      </c>
      <c r="M914" s="606">
        <f t="shared" si="189"/>
        <v>364</v>
      </c>
      <c r="N914" s="607">
        <f t="shared" si="189"/>
        <v>0</v>
      </c>
      <c r="O914" s="599">
        <f t="shared" si="189"/>
        <v>364</v>
      </c>
      <c r="P914" s="612">
        <f t="shared" si="189"/>
        <v>11.427083333333334</v>
      </c>
      <c r="Q914" s="70">
        <f t="shared" ref="Q914:Q924" si="190">+IF(P914&gt;=0,ABS(P914),"")</f>
        <v>11.427083333333334</v>
      </c>
      <c r="R914" s="562" t="str">
        <f t="shared" ref="R914:R924" si="191">+IF(P914&lt;=0,ABS(P914),"")</f>
        <v/>
      </c>
      <c r="S914" s="561"/>
    </row>
    <row r="915" spans="1:19" ht="15.75" customHeight="1" x14ac:dyDescent="0.3">
      <c r="A915" s="139" t="s">
        <v>2234</v>
      </c>
      <c r="B915" s="553">
        <f>+B888/($D$10*24)</f>
        <v>408.07526881720429</v>
      </c>
      <c r="C915" s="70">
        <f t="shared" ref="C915:P915" si="192">+C888/($D$10*24)</f>
        <v>2.0403225806451615</v>
      </c>
      <c r="D915" s="70">
        <f t="shared" si="192"/>
        <v>17.547043010752688</v>
      </c>
      <c r="E915" s="70">
        <f t="shared" si="192"/>
        <v>410.11559139784947</v>
      </c>
      <c r="F915" s="562">
        <f t="shared" si="192"/>
        <v>427.66263440860217</v>
      </c>
      <c r="G915" s="70">
        <f t="shared" si="192"/>
        <v>0</v>
      </c>
      <c r="H915" s="70">
        <f t="shared" si="192"/>
        <v>23.047043010752688</v>
      </c>
      <c r="I915" s="70">
        <f t="shared" si="192"/>
        <v>0</v>
      </c>
      <c r="J915" s="70">
        <f t="shared" si="192"/>
        <v>23.047043010752688</v>
      </c>
      <c r="K915" s="70">
        <f t="shared" si="192"/>
        <v>0</v>
      </c>
      <c r="L915" s="70">
        <f t="shared" si="192"/>
        <v>0</v>
      </c>
      <c r="M915" s="606">
        <f t="shared" si="192"/>
        <v>417.96774193548384</v>
      </c>
      <c r="N915" s="607">
        <f t="shared" si="192"/>
        <v>0</v>
      </c>
      <c r="O915" s="599">
        <f t="shared" si="192"/>
        <v>417.96774193548384</v>
      </c>
      <c r="P915" s="612">
        <f t="shared" si="192"/>
        <v>-13.352150537634408</v>
      </c>
      <c r="Q915" s="70" t="str">
        <f t="shared" si="190"/>
        <v/>
      </c>
      <c r="R915" s="562">
        <f t="shared" si="191"/>
        <v>13.352150537634408</v>
      </c>
      <c r="S915" s="561"/>
    </row>
    <row r="916" spans="1:19" ht="15.75" customHeight="1" x14ac:dyDescent="0.3">
      <c r="A916" s="139" t="s">
        <v>2235</v>
      </c>
      <c r="B916" s="553">
        <f>+B889/($F$10*24)</f>
        <v>365.58611111111111</v>
      </c>
      <c r="C916" s="70">
        <f t="shared" ref="C916:P916" si="193">+C889/($F$10*24)</f>
        <v>1.8277777777777777</v>
      </c>
      <c r="D916" s="70">
        <f t="shared" si="193"/>
        <v>15.720833333333333</v>
      </c>
      <c r="E916" s="70">
        <f t="shared" si="193"/>
        <v>367.41388888888889</v>
      </c>
      <c r="F916" s="562">
        <f t="shared" si="193"/>
        <v>383.13472222222219</v>
      </c>
      <c r="G916" s="70">
        <f t="shared" si="193"/>
        <v>7.6847222222222218</v>
      </c>
      <c r="H916" s="70">
        <f t="shared" si="193"/>
        <v>27.547222222222221</v>
      </c>
      <c r="I916" s="70">
        <f t="shared" si="193"/>
        <v>0</v>
      </c>
      <c r="J916" s="70">
        <f t="shared" si="193"/>
        <v>27.547222222222221</v>
      </c>
      <c r="K916" s="70">
        <f t="shared" si="193"/>
        <v>0</v>
      </c>
      <c r="L916" s="70">
        <f t="shared" si="193"/>
        <v>0</v>
      </c>
      <c r="M916" s="606">
        <f t="shared" si="193"/>
        <v>409.06666666666666</v>
      </c>
      <c r="N916" s="607">
        <f t="shared" si="193"/>
        <v>0</v>
      </c>
      <c r="O916" s="599">
        <f t="shared" si="193"/>
        <v>409.06666666666666</v>
      </c>
      <c r="P916" s="612">
        <f t="shared" si="193"/>
        <v>-61.163888888888891</v>
      </c>
      <c r="Q916" s="70" t="str">
        <f t="shared" si="190"/>
        <v/>
      </c>
      <c r="R916" s="562">
        <f t="shared" si="191"/>
        <v>61.163888888888891</v>
      </c>
      <c r="S916" s="561"/>
    </row>
    <row r="917" spans="1:19" ht="15.75" customHeight="1" x14ac:dyDescent="0.3">
      <c r="A917" s="139" t="s">
        <v>2236</v>
      </c>
      <c r="B917" s="553">
        <f>+B890/($G$10*24)</f>
        <v>396.07392473118279</v>
      </c>
      <c r="C917" s="70">
        <f t="shared" ref="C917:P917" si="194">+C890/($G$10*24)</f>
        <v>1.9798387096774193</v>
      </c>
      <c r="D917" s="70">
        <f t="shared" si="194"/>
        <v>17.030913978494624</v>
      </c>
      <c r="E917" s="70">
        <f t="shared" si="194"/>
        <v>398.05376344086022</v>
      </c>
      <c r="F917" s="562">
        <f t="shared" si="194"/>
        <v>415.08467741935482</v>
      </c>
      <c r="G917" s="70">
        <f t="shared" si="194"/>
        <v>4.377688172043011</v>
      </c>
      <c r="H917" s="70">
        <f t="shared" si="194"/>
        <v>22.451612903225808</v>
      </c>
      <c r="I917" s="70">
        <f t="shared" si="194"/>
        <v>0</v>
      </c>
      <c r="J917" s="70">
        <f t="shared" si="194"/>
        <v>22.451612903225808</v>
      </c>
      <c r="K917" s="70">
        <f t="shared" si="194"/>
        <v>0</v>
      </c>
      <c r="L917" s="70">
        <f t="shared" si="194"/>
        <v>0</v>
      </c>
      <c r="M917" s="606">
        <f t="shared" si="194"/>
        <v>404.35483870967744</v>
      </c>
      <c r="N917" s="607">
        <f t="shared" si="194"/>
        <v>0</v>
      </c>
      <c r="O917" s="599">
        <f t="shared" si="194"/>
        <v>404.35483870967744</v>
      </c>
      <c r="P917" s="612">
        <f t="shared" si="194"/>
        <v>-16.099462365591396</v>
      </c>
      <c r="Q917" s="70" t="str">
        <f t="shared" si="190"/>
        <v/>
      </c>
      <c r="R917" s="562">
        <f t="shared" si="191"/>
        <v>16.099462365591396</v>
      </c>
      <c r="S917" s="561"/>
    </row>
    <row r="918" spans="1:19" ht="15.75" customHeight="1" x14ac:dyDescent="0.3">
      <c r="A918" s="139" t="s">
        <v>2237</v>
      </c>
      <c r="B918" s="553">
        <f>+B891/($H$10*24)</f>
        <v>323.27222222222224</v>
      </c>
      <c r="C918" s="70">
        <f t="shared" ref="C918:P918" si="195">+C891/($H$10*24)</f>
        <v>1.6166666666666667</v>
      </c>
      <c r="D918" s="70">
        <f t="shared" si="195"/>
        <v>13.901388888888889</v>
      </c>
      <c r="E918" s="70">
        <f t="shared" si="195"/>
        <v>324.88888888888891</v>
      </c>
      <c r="F918" s="562">
        <f t="shared" si="195"/>
        <v>338.79027777777776</v>
      </c>
      <c r="G918" s="70">
        <f t="shared" si="195"/>
        <v>15.497222222222222</v>
      </c>
      <c r="H918" s="70">
        <f t="shared" si="195"/>
        <v>21.56388888888889</v>
      </c>
      <c r="I918" s="70">
        <f t="shared" si="195"/>
        <v>0</v>
      </c>
      <c r="J918" s="70">
        <f t="shared" si="195"/>
        <v>21.56388888888889</v>
      </c>
      <c r="K918" s="70">
        <f t="shared" si="195"/>
        <v>0</v>
      </c>
      <c r="L918" s="70">
        <f t="shared" si="195"/>
        <v>0</v>
      </c>
      <c r="M918" s="606">
        <f t="shared" si="195"/>
        <v>329</v>
      </c>
      <c r="N918" s="607">
        <f t="shared" si="195"/>
        <v>0</v>
      </c>
      <c r="O918" s="599">
        <f t="shared" si="195"/>
        <v>329</v>
      </c>
      <c r="P918" s="612">
        <f t="shared" si="195"/>
        <v>-27.270833333333332</v>
      </c>
      <c r="Q918" s="70" t="str">
        <f t="shared" si="190"/>
        <v/>
      </c>
      <c r="R918" s="562">
        <f t="shared" si="191"/>
        <v>27.270833333333332</v>
      </c>
      <c r="S918" s="561"/>
    </row>
    <row r="919" spans="1:19" ht="15.75" customHeight="1" x14ac:dyDescent="0.3">
      <c r="A919" s="139" t="s">
        <v>1504</v>
      </c>
      <c r="B919" s="553">
        <f>+B892/($J$10*24)</f>
        <v>219.09139784946237</v>
      </c>
      <c r="C919" s="70">
        <f t="shared" ref="C919:P919" si="196">+C892/($J$10*24)</f>
        <v>1.0954301075268817</v>
      </c>
      <c r="D919" s="70">
        <f t="shared" si="196"/>
        <v>9.4206989247311821</v>
      </c>
      <c r="E919" s="70">
        <f t="shared" si="196"/>
        <v>220.18682795698925</v>
      </c>
      <c r="F919" s="562">
        <f t="shared" si="196"/>
        <v>229.60752688172042</v>
      </c>
      <c r="G919" s="70">
        <f t="shared" si="196"/>
        <v>15.299731182795698</v>
      </c>
      <c r="H919" s="70">
        <f t="shared" si="196"/>
        <v>17.827956989247312</v>
      </c>
      <c r="I919" s="70">
        <f t="shared" si="196"/>
        <v>0</v>
      </c>
      <c r="J919" s="70">
        <f t="shared" si="196"/>
        <v>17.827956989247312</v>
      </c>
      <c r="K919" s="70">
        <f t="shared" si="196"/>
        <v>0</v>
      </c>
      <c r="L919" s="70">
        <f t="shared" si="196"/>
        <v>0</v>
      </c>
      <c r="M919" s="606">
        <f t="shared" si="196"/>
        <v>208</v>
      </c>
      <c r="N919" s="607">
        <f t="shared" si="196"/>
        <v>0</v>
      </c>
      <c r="O919" s="599">
        <f t="shared" si="196"/>
        <v>208</v>
      </c>
      <c r="P919" s="612">
        <f t="shared" si="196"/>
        <v>-11.52016129032258</v>
      </c>
      <c r="Q919" s="70" t="str">
        <f t="shared" si="190"/>
        <v/>
      </c>
      <c r="R919" s="562">
        <f t="shared" si="191"/>
        <v>11.52016129032258</v>
      </c>
      <c r="S919" s="561"/>
    </row>
    <row r="920" spans="1:19" ht="15.75" customHeight="1" x14ac:dyDescent="0.3">
      <c r="A920" s="139" t="s">
        <v>1505</v>
      </c>
      <c r="B920" s="553">
        <f>+B893/($K$10*24)</f>
        <v>246.68145161290323</v>
      </c>
      <c r="C920" s="70">
        <f t="shared" ref="C920:P920" si="197">+C893/($K$10*24)</f>
        <v>1.2338709677419355</v>
      </c>
      <c r="D920" s="70">
        <f t="shared" si="197"/>
        <v>10.60752688172043</v>
      </c>
      <c r="E920" s="70">
        <f t="shared" si="197"/>
        <v>247.91532258064515</v>
      </c>
      <c r="F920" s="562">
        <f t="shared" si="197"/>
        <v>258.52284946236557</v>
      </c>
      <c r="G920" s="70">
        <f t="shared" si="197"/>
        <v>11.13978494623656</v>
      </c>
      <c r="H920" s="70">
        <f t="shared" si="197"/>
        <v>15.506720430107526</v>
      </c>
      <c r="I920" s="70">
        <f t="shared" si="197"/>
        <v>0</v>
      </c>
      <c r="J920" s="70">
        <f t="shared" si="197"/>
        <v>15.506720430107526</v>
      </c>
      <c r="K920" s="70">
        <f t="shared" si="197"/>
        <v>0</v>
      </c>
      <c r="L920" s="70">
        <f t="shared" si="197"/>
        <v>0</v>
      </c>
      <c r="M920" s="606">
        <f t="shared" si="197"/>
        <v>215</v>
      </c>
      <c r="N920" s="607">
        <f t="shared" si="197"/>
        <v>0</v>
      </c>
      <c r="O920" s="599">
        <f t="shared" si="197"/>
        <v>215</v>
      </c>
      <c r="P920" s="612">
        <f t="shared" si="197"/>
        <v>16.876344086021504</v>
      </c>
      <c r="Q920" s="70">
        <f t="shared" si="190"/>
        <v>16.876344086021504</v>
      </c>
      <c r="R920" s="562" t="str">
        <f t="shared" si="191"/>
        <v/>
      </c>
      <c r="S920" s="561"/>
    </row>
    <row r="921" spans="1:19" ht="15.75" customHeight="1" x14ac:dyDescent="0.3">
      <c r="A921" s="139" t="s">
        <v>1506</v>
      </c>
      <c r="B921" s="553">
        <f>+B894/($L$10*24)</f>
        <v>353.10972222222222</v>
      </c>
      <c r="C921" s="70">
        <f t="shared" ref="C921:P921" si="198">+C894/($L$10*24)</f>
        <v>1.7652777777777777</v>
      </c>
      <c r="D921" s="70">
        <f t="shared" si="198"/>
        <v>15.183333333333334</v>
      </c>
      <c r="E921" s="70">
        <f t="shared" si="198"/>
        <v>354.875</v>
      </c>
      <c r="F921" s="562">
        <f t="shared" si="198"/>
        <v>370.05833333333334</v>
      </c>
      <c r="G921" s="70">
        <f t="shared" si="198"/>
        <v>5.1388888888888887E-2</v>
      </c>
      <c r="H921" s="70">
        <f t="shared" si="198"/>
        <v>10.765277777777778</v>
      </c>
      <c r="I921" s="70">
        <f t="shared" si="198"/>
        <v>0</v>
      </c>
      <c r="J921" s="70">
        <f t="shared" si="198"/>
        <v>10.765277777777778</v>
      </c>
      <c r="K921" s="70">
        <f t="shared" si="198"/>
        <v>0</v>
      </c>
      <c r="L921" s="70">
        <f t="shared" si="198"/>
        <v>0</v>
      </c>
      <c r="M921" s="606">
        <f t="shared" si="198"/>
        <v>308</v>
      </c>
      <c r="N921" s="607">
        <f t="shared" si="198"/>
        <v>0</v>
      </c>
      <c r="O921" s="599">
        <f t="shared" si="198"/>
        <v>308</v>
      </c>
      <c r="P921" s="612">
        <f t="shared" si="198"/>
        <v>51.241666666666667</v>
      </c>
      <c r="Q921" s="70">
        <f t="shared" si="190"/>
        <v>51.241666666666667</v>
      </c>
      <c r="R921" s="562" t="str">
        <f t="shared" si="191"/>
        <v/>
      </c>
      <c r="S921" s="561"/>
    </row>
    <row r="922" spans="1:19" ht="15.75" customHeight="1" x14ac:dyDescent="0.3">
      <c r="A922" s="139" t="s">
        <v>1507</v>
      </c>
      <c r="B922" s="553">
        <f>+B895/($N$10*24)</f>
        <v>411.46639784946234</v>
      </c>
      <c r="C922" s="70">
        <f t="shared" ref="C922:P922" si="199">+C895/($N$10*24)</f>
        <v>2.057795698924731</v>
      </c>
      <c r="D922" s="70">
        <f t="shared" si="199"/>
        <v>17.693548387096776</v>
      </c>
      <c r="E922" s="70">
        <f t="shared" si="199"/>
        <v>413.52419354838707</v>
      </c>
      <c r="F922" s="562">
        <f t="shared" si="199"/>
        <v>431.21774193548384</v>
      </c>
      <c r="G922" s="70">
        <f t="shared" si="199"/>
        <v>0</v>
      </c>
      <c r="H922" s="70">
        <f t="shared" si="199"/>
        <v>15.65725806451613</v>
      </c>
      <c r="I922" s="70">
        <f t="shared" si="199"/>
        <v>0</v>
      </c>
      <c r="J922" s="70">
        <f t="shared" si="199"/>
        <v>15.65725806451613</v>
      </c>
      <c r="K922" s="70">
        <f t="shared" si="199"/>
        <v>0</v>
      </c>
      <c r="L922" s="70">
        <f t="shared" si="199"/>
        <v>0</v>
      </c>
      <c r="M922" s="606">
        <f t="shared" si="199"/>
        <v>319</v>
      </c>
      <c r="N922" s="607">
        <f t="shared" si="199"/>
        <v>49.333333333333336</v>
      </c>
      <c r="O922" s="599">
        <f t="shared" si="199"/>
        <v>368.33333333333331</v>
      </c>
      <c r="P922" s="612">
        <f t="shared" si="199"/>
        <v>47.227150537634408</v>
      </c>
      <c r="Q922" s="70">
        <f t="shared" si="190"/>
        <v>47.227150537634408</v>
      </c>
      <c r="R922" s="562" t="str">
        <f t="shared" si="191"/>
        <v/>
      </c>
      <c r="S922" s="561"/>
    </row>
    <row r="923" spans="1:19" ht="15.75" customHeight="1" x14ac:dyDescent="0.3">
      <c r="A923" s="139" t="s">
        <v>1508</v>
      </c>
      <c r="B923" s="553">
        <f>+B896/($O$10*24)</f>
        <v>327.6513888888889</v>
      </c>
      <c r="C923" s="70">
        <f t="shared" ref="C923:P923" si="200">+C896/($O$10*24)</f>
        <v>1.6388888888888888</v>
      </c>
      <c r="D923" s="70">
        <f t="shared" si="200"/>
        <v>14.088888888888889</v>
      </c>
      <c r="E923" s="70">
        <f t="shared" si="200"/>
        <v>329.29027777777776</v>
      </c>
      <c r="F923" s="562">
        <f t="shared" si="200"/>
        <v>343.37916666666666</v>
      </c>
      <c r="G923" s="70">
        <f t="shared" si="200"/>
        <v>0</v>
      </c>
      <c r="H923" s="70">
        <f t="shared" si="200"/>
        <v>11.159722222222221</v>
      </c>
      <c r="I923" s="70">
        <f t="shared" si="200"/>
        <v>0</v>
      </c>
      <c r="J923" s="70">
        <f t="shared" si="200"/>
        <v>11.159722222222221</v>
      </c>
      <c r="K923" s="70">
        <f t="shared" si="200"/>
        <v>0</v>
      </c>
      <c r="L923" s="70">
        <f t="shared" si="200"/>
        <v>0</v>
      </c>
      <c r="M923" s="606">
        <f t="shared" si="200"/>
        <v>302</v>
      </c>
      <c r="N923" s="607">
        <f t="shared" si="200"/>
        <v>49.333333333333336</v>
      </c>
      <c r="O923" s="599">
        <f t="shared" si="200"/>
        <v>351.33333333333331</v>
      </c>
      <c r="P923" s="612">
        <f t="shared" si="200"/>
        <v>-19.113888888888887</v>
      </c>
      <c r="Q923" s="70" t="str">
        <f t="shared" si="190"/>
        <v/>
      </c>
      <c r="R923" s="562">
        <f t="shared" si="191"/>
        <v>19.113888888888887</v>
      </c>
      <c r="S923" s="561"/>
    </row>
    <row r="924" spans="1:19" ht="15.75" customHeight="1" thickBot="1" x14ac:dyDescent="0.35">
      <c r="A924" s="139" t="s">
        <v>1509</v>
      </c>
      <c r="B924" s="558">
        <f>+B897/($P$10*24)</f>
        <v>307.76344086021504</v>
      </c>
      <c r="C924" s="564">
        <f t="shared" ref="C924:P924" si="201">+C897/($P$10*24)</f>
        <v>1.538978494623656</v>
      </c>
      <c r="D924" s="564">
        <f t="shared" si="201"/>
        <v>13.233870967741936</v>
      </c>
      <c r="E924" s="564">
        <f t="shared" si="201"/>
        <v>309.30241935483872</v>
      </c>
      <c r="F924" s="602">
        <f t="shared" si="201"/>
        <v>322.53629032258067</v>
      </c>
      <c r="G924" s="564">
        <f t="shared" si="201"/>
        <v>0</v>
      </c>
      <c r="H924" s="564">
        <f t="shared" si="201"/>
        <v>10.876344086021506</v>
      </c>
      <c r="I924" s="564">
        <f t="shared" si="201"/>
        <v>0</v>
      </c>
      <c r="J924" s="564">
        <f t="shared" si="201"/>
        <v>10.876344086021506</v>
      </c>
      <c r="K924" s="564">
        <f t="shared" si="201"/>
        <v>0</v>
      </c>
      <c r="L924" s="564">
        <f t="shared" si="201"/>
        <v>0</v>
      </c>
      <c r="M924" s="615">
        <f t="shared" si="201"/>
        <v>274</v>
      </c>
      <c r="N924" s="616">
        <f t="shared" si="201"/>
        <v>59.666666666666657</v>
      </c>
      <c r="O924" s="609">
        <f t="shared" si="201"/>
        <v>333.66666666666669</v>
      </c>
      <c r="P924" s="613">
        <f t="shared" si="201"/>
        <v>-22.006720430107528</v>
      </c>
      <c r="Q924" s="564" t="str">
        <f t="shared" si="190"/>
        <v/>
      </c>
      <c r="R924" s="602">
        <f t="shared" si="191"/>
        <v>22.006720430107528</v>
      </c>
      <c r="S924" s="561"/>
    </row>
    <row r="925" spans="1:19" ht="15.75" customHeight="1" x14ac:dyDescent="0.3">
      <c r="A925" s="647"/>
      <c r="S925" s="561"/>
    </row>
    <row r="926" spans="1:19" ht="16.5" customHeight="1" thickBot="1" x14ac:dyDescent="0.35">
      <c r="A926" s="648"/>
      <c r="B926" s="581"/>
      <c r="C926" s="581"/>
      <c r="D926" s="581"/>
      <c r="E926" s="581"/>
      <c r="F926" s="581"/>
      <c r="G926" s="581"/>
      <c r="H926" s="581"/>
      <c r="I926" s="581"/>
      <c r="J926" s="581"/>
      <c r="K926" s="581"/>
      <c r="L926" s="581"/>
      <c r="M926" s="581"/>
      <c r="N926" s="581"/>
      <c r="O926" s="581"/>
      <c r="P926" s="581"/>
      <c r="Q926" s="581"/>
      <c r="R926" s="581"/>
      <c r="S926" s="565"/>
    </row>
    <row r="927" spans="1:19" ht="15.75" customHeight="1" x14ac:dyDescent="0.3">
      <c r="A927" s="74"/>
      <c r="B927" s="67"/>
      <c r="C927" s="67"/>
      <c r="D927" s="67"/>
      <c r="E927" s="67"/>
      <c r="F927" s="67"/>
      <c r="G927" s="67"/>
      <c r="H927" s="67"/>
      <c r="I927" s="67"/>
      <c r="J927" s="67"/>
      <c r="K927" s="67"/>
      <c r="L927" s="67"/>
      <c r="M927" s="67"/>
      <c r="N927" s="67"/>
      <c r="O927" s="67"/>
      <c r="P927" s="67"/>
      <c r="Q927" s="67"/>
      <c r="R927" s="67"/>
    </row>
    <row r="928" spans="1:19" ht="15.75" customHeight="1" x14ac:dyDescent="0.3">
      <c r="A928" s="641"/>
    </row>
    <row r="929" spans="1:33" ht="15.75" customHeight="1" thickBot="1" x14ac:dyDescent="0.35">
      <c r="A929" s="641"/>
    </row>
    <row r="930" spans="1:33" ht="15.75" customHeight="1" x14ac:dyDescent="0.3">
      <c r="A930" s="650"/>
      <c r="B930" s="782" t="s">
        <v>2880</v>
      </c>
      <c r="C930" s="782"/>
      <c r="D930" s="782"/>
      <c r="E930" s="782"/>
      <c r="F930" s="782"/>
      <c r="G930" s="782"/>
      <c r="H930" s="782"/>
      <c r="I930" s="782"/>
      <c r="J930" s="782"/>
      <c r="K930" s="782"/>
      <c r="L930" s="782"/>
      <c r="M930" s="782"/>
      <c r="N930" s="782"/>
      <c r="O930" s="782"/>
      <c r="P930" s="782"/>
      <c r="Q930" s="549" t="str">
        <f>+Q1</f>
        <v>PRINTED:</v>
      </c>
      <c r="R930" s="550">
        <f ca="1">+R1</f>
        <v>44881.729634027775</v>
      </c>
    </row>
    <row r="931" spans="1:33" ht="15.75" customHeight="1" x14ac:dyDescent="0.3">
      <c r="A931" s="640"/>
      <c r="B931" s="786" t="str">
        <f>+A8</f>
        <v>Revised:  11/25/13</v>
      </c>
      <c r="C931" s="786"/>
      <c r="D931" s="786"/>
      <c r="E931" s="786"/>
      <c r="F931" s="786"/>
      <c r="G931" s="786"/>
      <c r="H931" s="786"/>
      <c r="I931" s="786"/>
      <c r="J931" s="786"/>
      <c r="K931" s="786"/>
      <c r="L931" s="786"/>
      <c r="M931" s="786"/>
      <c r="N931" s="786"/>
      <c r="O931" s="786"/>
      <c r="P931" s="786"/>
      <c r="Q931" s="67"/>
      <c r="R931" s="552"/>
    </row>
    <row r="932" spans="1:33" ht="16.5" customHeight="1" x14ac:dyDescent="0.3">
      <c r="A932" s="640"/>
      <c r="B932" s="786" t="s">
        <v>2878</v>
      </c>
      <c r="C932" s="786"/>
      <c r="D932" s="786"/>
      <c r="E932" s="786"/>
      <c r="F932" s="786"/>
      <c r="G932" s="786"/>
      <c r="H932" s="786"/>
      <c r="I932" s="786"/>
      <c r="J932" s="786"/>
      <c r="K932" s="786"/>
      <c r="L932" s="786"/>
      <c r="M932" s="786"/>
      <c r="N932" s="786"/>
      <c r="O932" s="786"/>
      <c r="P932" s="786"/>
      <c r="Q932" s="67"/>
      <c r="R932" s="552"/>
    </row>
    <row r="933" spans="1:33" ht="15.75" customHeight="1" x14ac:dyDescent="0.3">
      <c r="A933" s="640"/>
      <c r="B933" s="67"/>
      <c r="C933" s="67"/>
      <c r="D933" s="67"/>
      <c r="E933" s="67"/>
      <c r="F933" s="67"/>
      <c r="G933" s="67"/>
      <c r="H933" s="67"/>
      <c r="I933" s="67"/>
      <c r="J933" s="67"/>
      <c r="K933" s="67"/>
      <c r="L933" s="67"/>
      <c r="M933" s="67"/>
      <c r="N933" s="67"/>
      <c r="O933" s="67"/>
      <c r="P933" s="67"/>
      <c r="Q933" s="67"/>
      <c r="R933" s="552"/>
      <c r="AG933" s="139"/>
    </row>
    <row r="934" spans="1:33" ht="15.75" customHeight="1" x14ac:dyDescent="0.3">
      <c r="A934" s="640"/>
      <c r="B934" s="810">
        <f>+A5</f>
        <v>2013</v>
      </c>
      <c r="C934" s="787"/>
      <c r="D934" s="787"/>
      <c r="E934" s="787"/>
      <c r="F934" s="787"/>
      <c r="G934" s="787"/>
      <c r="H934" s="787"/>
      <c r="I934" s="787"/>
      <c r="J934" s="787"/>
      <c r="K934" s="787"/>
      <c r="L934" s="787"/>
      <c r="M934" s="787"/>
      <c r="N934" s="787"/>
      <c r="O934" s="787"/>
      <c r="P934" s="787"/>
      <c r="Q934" s="67"/>
      <c r="R934" s="552"/>
    </row>
    <row r="935" spans="1:33" ht="15.75" customHeight="1" thickBot="1" x14ac:dyDescent="0.35">
      <c r="A935" s="640"/>
      <c r="B935" s="786" t="s">
        <v>1199</v>
      </c>
      <c r="C935" s="786"/>
      <c r="D935" s="786"/>
      <c r="E935" s="786"/>
      <c r="F935" s="786"/>
      <c r="G935" s="786"/>
      <c r="H935" s="786"/>
      <c r="I935" s="786"/>
      <c r="J935" s="786"/>
      <c r="K935" s="786"/>
      <c r="L935" s="786"/>
      <c r="M935" s="786"/>
      <c r="N935" s="786"/>
      <c r="O935" s="786"/>
      <c r="P935" s="786"/>
      <c r="Q935" s="67"/>
      <c r="R935" s="552"/>
    </row>
    <row r="936" spans="1:33" ht="15.75" customHeight="1" x14ac:dyDescent="0.3">
      <c r="A936" s="640"/>
      <c r="B936" s="818" t="s">
        <v>2888</v>
      </c>
      <c r="C936" s="837"/>
      <c r="D936" s="652"/>
      <c r="E936" s="70"/>
      <c r="F936" s="70"/>
      <c r="G936" s="70"/>
      <c r="H936" s="70"/>
      <c r="I936" s="70"/>
      <c r="J936" s="70"/>
      <c r="K936" s="70"/>
      <c r="L936" s="70"/>
      <c r="M936" s="70"/>
      <c r="N936" s="70"/>
      <c r="O936" s="70"/>
      <c r="P936" s="70"/>
      <c r="Q936" s="67"/>
      <c r="R936" s="552"/>
    </row>
    <row r="937" spans="1:33" ht="15.75" customHeight="1" thickBot="1" x14ac:dyDescent="0.35">
      <c r="A937" s="634" t="s">
        <v>249</v>
      </c>
      <c r="B937" s="653" t="s">
        <v>2886</v>
      </c>
      <c r="C937" s="655" t="s">
        <v>2885</v>
      </c>
      <c r="D937" s="654" t="s">
        <v>1309</v>
      </c>
      <c r="E937" s="654" t="s">
        <v>1029</v>
      </c>
      <c r="F937" s="654" t="s">
        <v>1030</v>
      </c>
      <c r="G937" s="654" t="s">
        <v>2881</v>
      </c>
      <c r="H937" s="654" t="s">
        <v>2882</v>
      </c>
      <c r="I937" s="654" t="s">
        <v>285</v>
      </c>
      <c r="J937" s="654" t="s">
        <v>286</v>
      </c>
      <c r="K937" s="654" t="s">
        <v>287</v>
      </c>
      <c r="L937" s="654" t="s">
        <v>288</v>
      </c>
      <c r="M937" s="654" t="s">
        <v>289</v>
      </c>
      <c r="N937" s="654" t="s">
        <v>633</v>
      </c>
      <c r="O937" s="654" t="s">
        <v>634</v>
      </c>
      <c r="P937" s="654" t="s">
        <v>1192</v>
      </c>
      <c r="Q937" s="654" t="s">
        <v>524</v>
      </c>
      <c r="R937" s="655" t="s">
        <v>525</v>
      </c>
      <c r="S937" s="669" t="s">
        <v>2903</v>
      </c>
      <c r="T937" s="669" t="s">
        <v>2904</v>
      </c>
    </row>
    <row r="938" spans="1:33" ht="15.75" customHeight="1" x14ac:dyDescent="0.3">
      <c r="A938" s="642" t="s">
        <v>2843</v>
      </c>
      <c r="B938" s="642">
        <f t="shared" ref="B938:B949" si="202">+E965</f>
        <v>245</v>
      </c>
      <c r="C938" s="643">
        <f t="shared" ref="C938:C949" si="203">+F965</f>
        <v>0</v>
      </c>
      <c r="D938" s="139">
        <f t="shared" ref="D938:R938" si="204">+C858/$B$10/24</f>
        <v>13.279962365591397</v>
      </c>
      <c r="E938" s="139">
        <f t="shared" si="204"/>
        <v>13.916559139784946</v>
      </c>
      <c r="F938" s="139">
        <f t="shared" si="204"/>
        <v>23.234604838709675</v>
      </c>
      <c r="G938" s="139">
        <f t="shared" si="204"/>
        <v>15.595689431316538</v>
      </c>
      <c r="H938" s="139">
        <f t="shared" si="204"/>
        <v>-5.0414869825218087</v>
      </c>
      <c r="I938" s="139">
        <f t="shared" si="204"/>
        <v>3.9660483870967735</v>
      </c>
      <c r="J938" s="139">
        <f t="shared" si="204"/>
        <v>3.5380645161290327</v>
      </c>
      <c r="K938" s="139">
        <f t="shared" si="204"/>
        <v>5.4042338709677411</v>
      </c>
      <c r="L938" s="139">
        <f t="shared" si="204"/>
        <v>5.3761290322580644</v>
      </c>
      <c r="M938" s="139">
        <f t="shared" si="204"/>
        <v>1.9454301075268818</v>
      </c>
      <c r="N938" s="139">
        <f t="shared" si="204"/>
        <v>2.2924354838709675</v>
      </c>
      <c r="O938" s="139">
        <f t="shared" si="204"/>
        <v>4.853494623655914</v>
      </c>
      <c r="P938" s="139">
        <f t="shared" si="204"/>
        <v>0.72884408602150541</v>
      </c>
      <c r="Q938" s="139">
        <f t="shared" si="204"/>
        <v>0.24586021505376343</v>
      </c>
      <c r="R938" s="643">
        <f t="shared" si="204"/>
        <v>1.7104838709677417</v>
      </c>
      <c r="S938" s="139">
        <f>+B938+SUM(D938:R938)</f>
        <v>336.04635298642916</v>
      </c>
      <c r="T938" s="139">
        <f>+C938+SUM(D938:R938)</f>
        <v>91.046352986429142</v>
      </c>
    </row>
    <row r="939" spans="1:33" ht="15.75" customHeight="1" x14ac:dyDescent="0.3">
      <c r="A939" s="642" t="s">
        <v>2091</v>
      </c>
      <c r="B939" s="642">
        <f t="shared" si="202"/>
        <v>294</v>
      </c>
      <c r="C939" s="643">
        <f t="shared" si="203"/>
        <v>147</v>
      </c>
      <c r="D939" s="139">
        <f t="shared" ref="D939:R939" si="205">+C859/$C$10/24</f>
        <v>26.489431547619049</v>
      </c>
      <c r="E939" s="139">
        <f t="shared" si="205"/>
        <v>27.759238095238093</v>
      </c>
      <c r="F939" s="139">
        <f t="shared" si="205"/>
        <v>46.90510714285714</v>
      </c>
      <c r="G939" s="139">
        <f t="shared" si="205"/>
        <v>28.554343955187878</v>
      </c>
      <c r="H939" s="139">
        <f t="shared" si="205"/>
        <v>0</v>
      </c>
      <c r="I939" s="139">
        <f t="shared" si="205"/>
        <v>5.3394747023809517</v>
      </c>
      <c r="J939" s="139">
        <f t="shared" si="205"/>
        <v>4.3707142857142856</v>
      </c>
      <c r="K939" s="139">
        <f t="shared" si="205"/>
        <v>6.6733630952380949</v>
      </c>
      <c r="L939" s="139">
        <f t="shared" si="205"/>
        <v>6.765416666666666</v>
      </c>
      <c r="M939" s="139">
        <f t="shared" si="205"/>
        <v>2.4313988095238099</v>
      </c>
      <c r="N939" s="139">
        <f t="shared" si="205"/>
        <v>2.8651874999999998</v>
      </c>
      <c r="O939" s="139">
        <f t="shared" si="205"/>
        <v>6.0662202380952381</v>
      </c>
      <c r="P939" s="139">
        <f t="shared" si="205"/>
        <v>0.86461309523809515</v>
      </c>
      <c r="Q939" s="139">
        <f t="shared" si="205"/>
        <v>6.0208333333333336E-2</v>
      </c>
      <c r="R939" s="643">
        <f t="shared" si="205"/>
        <v>2.0256696428571428</v>
      </c>
      <c r="S939" s="139">
        <f t="shared" ref="S939:S949" si="206">+B939+SUM(D939:R939)</f>
        <v>461.17038710994973</v>
      </c>
      <c r="T939" s="139">
        <f t="shared" ref="T939:T949" si="207">+C939+SUM(D939:R939)</f>
        <v>314.17038710994973</v>
      </c>
    </row>
    <row r="940" spans="1:33" ht="15.75" customHeight="1" x14ac:dyDescent="0.3">
      <c r="A940" s="642" t="s">
        <v>2234</v>
      </c>
      <c r="B940" s="642">
        <f t="shared" si="202"/>
        <v>294</v>
      </c>
      <c r="C940" s="643">
        <f t="shared" si="203"/>
        <v>196</v>
      </c>
      <c r="D940" s="139">
        <f t="shared" ref="D940:R940" si="208">+C860/$D$10/24</f>
        <v>29.267209677419356</v>
      </c>
      <c r="E940" s="139">
        <f t="shared" si="208"/>
        <v>30.65462365591398</v>
      </c>
      <c r="F940" s="139">
        <f t="shared" si="208"/>
        <v>50.634919354838708</v>
      </c>
      <c r="G940" s="139">
        <f t="shared" si="208"/>
        <v>19.941190442320895</v>
      </c>
      <c r="H940" s="139">
        <f t="shared" si="208"/>
        <v>0</v>
      </c>
      <c r="I940" s="139">
        <f t="shared" si="208"/>
        <v>10.242626344086021</v>
      </c>
      <c r="J940" s="139">
        <f t="shared" si="208"/>
        <v>6.5817204301075272</v>
      </c>
      <c r="K940" s="139">
        <f t="shared" si="208"/>
        <v>7.50369623655914</v>
      </c>
      <c r="L940" s="139">
        <f t="shared" si="208"/>
        <v>6.9280913978494629</v>
      </c>
      <c r="M940" s="139">
        <f t="shared" si="208"/>
        <v>2.3120967741935483</v>
      </c>
      <c r="N940" s="139">
        <f t="shared" si="208"/>
        <v>2.7238333333333333</v>
      </c>
      <c r="O940" s="139">
        <f t="shared" si="208"/>
        <v>5.750672043010753</v>
      </c>
      <c r="P940" s="139">
        <f t="shared" si="208"/>
        <v>1.0322311827956989</v>
      </c>
      <c r="Q940" s="139">
        <f t="shared" si="208"/>
        <v>2.1533333333333333</v>
      </c>
      <c r="R940" s="643">
        <f t="shared" si="208"/>
        <v>2.4169354838709678</v>
      </c>
      <c r="S940" s="139">
        <f t="shared" si="206"/>
        <v>472.1431796896328</v>
      </c>
      <c r="T940" s="139">
        <f t="shared" si="207"/>
        <v>374.1431796896328</v>
      </c>
    </row>
    <row r="941" spans="1:33" ht="15.75" customHeight="1" x14ac:dyDescent="0.3">
      <c r="A941" s="642" t="s">
        <v>2235</v>
      </c>
      <c r="B941" s="642">
        <f t="shared" si="202"/>
        <v>294</v>
      </c>
      <c r="C941" s="643">
        <f t="shared" si="203"/>
        <v>196</v>
      </c>
      <c r="D941" s="139">
        <f t="shared" ref="D941:R941" si="209">+C861/$F$10/24</f>
        <v>25.475972222222225</v>
      </c>
      <c r="E941" s="139">
        <f t="shared" si="209"/>
        <v>26.6464</v>
      </c>
      <c r="F941" s="139">
        <f t="shared" si="209"/>
        <v>42.91974166666666</v>
      </c>
      <c r="G941" s="139">
        <f t="shared" si="209"/>
        <v>9.7732839954990172E-2</v>
      </c>
      <c r="H941" s="139">
        <f t="shared" si="209"/>
        <v>-7.6852472368751634</v>
      </c>
      <c r="I941" s="139">
        <f t="shared" si="209"/>
        <v>17.726211111111109</v>
      </c>
      <c r="J941" s="139">
        <f t="shared" si="209"/>
        <v>11.472444444444443</v>
      </c>
      <c r="K941" s="139">
        <f t="shared" si="209"/>
        <v>11.949652777777779</v>
      </c>
      <c r="L941" s="139">
        <f t="shared" si="209"/>
        <v>9.9594444444444452</v>
      </c>
      <c r="M941" s="139">
        <f t="shared" si="209"/>
        <v>2.94875</v>
      </c>
      <c r="N941" s="139">
        <f t="shared" si="209"/>
        <v>3.4734611111111104</v>
      </c>
      <c r="O941" s="139">
        <f t="shared" si="209"/>
        <v>6.6861111111111109</v>
      </c>
      <c r="P941" s="139">
        <f t="shared" si="209"/>
        <v>1.0341805555555557</v>
      </c>
      <c r="Q941" s="139">
        <f t="shared" si="209"/>
        <v>2.4513055555555554</v>
      </c>
      <c r="R941" s="643">
        <f t="shared" si="209"/>
        <v>2.4162500000000002</v>
      </c>
      <c r="S941" s="139">
        <f t="shared" si="206"/>
        <v>451.57241060307979</v>
      </c>
      <c r="T941" s="139">
        <f t="shared" si="207"/>
        <v>353.57241060307979</v>
      </c>
    </row>
    <row r="942" spans="1:33" ht="15.75" customHeight="1" x14ac:dyDescent="0.3">
      <c r="A942" s="642" t="s">
        <v>2236</v>
      </c>
      <c r="B942" s="642">
        <f t="shared" si="202"/>
        <v>294</v>
      </c>
      <c r="C942" s="643">
        <f t="shared" si="203"/>
        <v>196</v>
      </c>
      <c r="D942" s="139">
        <f t="shared" ref="D942:R942" si="210">+C862/$G$10/24</f>
        <v>28.820532258064514</v>
      </c>
      <c r="E942" s="139">
        <f t="shared" si="210"/>
        <v>30.139354838709679</v>
      </c>
      <c r="F942" s="139">
        <f t="shared" si="210"/>
        <v>49.300903225806458</v>
      </c>
      <c r="G942" s="139">
        <f t="shared" si="210"/>
        <v>0</v>
      </c>
      <c r="H942" s="139">
        <f t="shared" si="210"/>
        <v>-4.3776921020006245</v>
      </c>
      <c r="I942" s="139">
        <f t="shared" si="210"/>
        <v>17.139534946236559</v>
      </c>
      <c r="J942" s="139">
        <f t="shared" si="210"/>
        <v>8.7978494623655923</v>
      </c>
      <c r="K942" s="139">
        <f t="shared" si="210"/>
        <v>9.32997311827957</v>
      </c>
      <c r="L942" s="139">
        <f t="shared" si="210"/>
        <v>7.6252688172043008</v>
      </c>
      <c r="M942" s="139">
        <f t="shared" si="210"/>
        <v>2.6413978494623658</v>
      </c>
      <c r="N942" s="139">
        <f t="shared" si="210"/>
        <v>3.1101881720430105</v>
      </c>
      <c r="O942" s="139">
        <f t="shared" si="210"/>
        <v>5.9653897849462361</v>
      </c>
      <c r="P942" s="139">
        <f t="shared" si="210"/>
        <v>1.1369354838709678</v>
      </c>
      <c r="Q942" s="139">
        <f t="shared" si="210"/>
        <v>2.7720967741935483</v>
      </c>
      <c r="R942" s="643">
        <f t="shared" si="210"/>
        <v>2.6715725806451616</v>
      </c>
      <c r="S942" s="139">
        <f t="shared" si="206"/>
        <v>459.07330520982737</v>
      </c>
      <c r="T942" s="139">
        <f t="shared" si="207"/>
        <v>361.07330520982737</v>
      </c>
    </row>
    <row r="943" spans="1:33" ht="15.75" customHeight="1" x14ac:dyDescent="0.3">
      <c r="A943" s="642" t="s">
        <v>2237</v>
      </c>
      <c r="B943" s="642">
        <f t="shared" si="202"/>
        <v>294</v>
      </c>
      <c r="C943" s="643">
        <f t="shared" si="203"/>
        <v>98</v>
      </c>
      <c r="D943" s="139">
        <f t="shared" ref="D943:R943" si="211">+C863/$H$10/24</f>
        <v>21.994905555555558</v>
      </c>
      <c r="E943" s="139">
        <f t="shared" si="211"/>
        <v>22.985422222222223</v>
      </c>
      <c r="F943" s="139">
        <f t="shared" si="211"/>
        <v>37.212054166666668</v>
      </c>
      <c r="G943" s="139">
        <f t="shared" si="211"/>
        <v>0</v>
      </c>
      <c r="H943" s="139">
        <f t="shared" si="211"/>
        <v>-15.496879678472746</v>
      </c>
      <c r="I943" s="139">
        <f t="shared" si="211"/>
        <v>21.374893055555557</v>
      </c>
      <c r="J943" s="139">
        <f t="shared" si="211"/>
        <v>11.508888888888889</v>
      </c>
      <c r="K943" s="139">
        <f t="shared" si="211"/>
        <v>10.554166666666667</v>
      </c>
      <c r="L943" s="139">
        <f t="shared" si="211"/>
        <v>7.7992777777777773</v>
      </c>
      <c r="M943" s="139">
        <f t="shared" si="211"/>
        <v>2.4819444444444447</v>
      </c>
      <c r="N943" s="139">
        <f t="shared" si="211"/>
        <v>2.9214833333333332</v>
      </c>
      <c r="O943" s="139">
        <f t="shared" si="211"/>
        <v>5.2569444444444446</v>
      </c>
      <c r="P943" s="139">
        <f t="shared" si="211"/>
        <v>0.97665277777777781</v>
      </c>
      <c r="Q943" s="139">
        <f t="shared" si="211"/>
        <v>2.8097222222222222</v>
      </c>
      <c r="R943" s="643">
        <f t="shared" si="211"/>
        <v>2.3075000000000001</v>
      </c>
      <c r="S943" s="139">
        <f t="shared" si="206"/>
        <v>428.68697587708289</v>
      </c>
      <c r="T943" s="139">
        <f t="shared" si="207"/>
        <v>232.68697587708286</v>
      </c>
    </row>
    <row r="944" spans="1:33" ht="15.75" customHeight="1" x14ac:dyDescent="0.3">
      <c r="A944" s="642" t="s">
        <v>1504</v>
      </c>
      <c r="B944" s="642">
        <f t="shared" si="202"/>
        <v>147</v>
      </c>
      <c r="C944" s="643">
        <f t="shared" si="203"/>
        <v>98</v>
      </c>
      <c r="D944" s="139">
        <f t="shared" ref="D944:R944" si="212">+C864/$J$10/24</f>
        <v>13.85864247311828</v>
      </c>
      <c r="E944" s="139">
        <f t="shared" si="212"/>
        <v>14.44610752688172</v>
      </c>
      <c r="F944" s="139">
        <f t="shared" si="212"/>
        <v>22.379798387096773</v>
      </c>
      <c r="G944" s="139">
        <f t="shared" si="212"/>
        <v>0</v>
      </c>
      <c r="H944" s="139">
        <f t="shared" si="212"/>
        <v>-15.300029413909614</v>
      </c>
      <c r="I944" s="139">
        <f t="shared" si="212"/>
        <v>17.158309139784944</v>
      </c>
      <c r="J944" s="139">
        <f t="shared" si="212"/>
        <v>9.4453763440860214</v>
      </c>
      <c r="K944" s="139">
        <f t="shared" si="212"/>
        <v>8.9035618279569899</v>
      </c>
      <c r="L944" s="139">
        <f t="shared" si="212"/>
        <v>6.7586021505376337</v>
      </c>
      <c r="M944" s="139">
        <f t="shared" si="212"/>
        <v>2.3235215053763443</v>
      </c>
      <c r="N944" s="139">
        <f t="shared" si="212"/>
        <v>2.735569892473118</v>
      </c>
      <c r="O944" s="139">
        <f t="shared" si="212"/>
        <v>4.827284946236559</v>
      </c>
      <c r="P944" s="139">
        <f t="shared" si="212"/>
        <v>1.2901612903225808</v>
      </c>
      <c r="Q944" s="139">
        <f t="shared" si="212"/>
        <v>2.6738440860215054</v>
      </c>
      <c r="R944" s="643">
        <f t="shared" si="212"/>
        <v>3.0453629032258065</v>
      </c>
      <c r="S944" s="139">
        <f t="shared" si="206"/>
        <v>241.54611305920866</v>
      </c>
      <c r="T944" s="139">
        <f t="shared" si="207"/>
        <v>192.54611305920866</v>
      </c>
    </row>
    <row r="945" spans="1:20" ht="15.75" customHeight="1" x14ac:dyDescent="0.3">
      <c r="A945" s="642" t="s">
        <v>1505</v>
      </c>
      <c r="B945" s="642">
        <f t="shared" si="202"/>
        <v>147</v>
      </c>
      <c r="C945" s="643">
        <f t="shared" si="203"/>
        <v>98</v>
      </c>
      <c r="D945" s="139">
        <f t="shared" ref="D945:R945" si="213">+C865/$K$10/24</f>
        <v>15.837206989247312</v>
      </c>
      <c r="E945" s="139">
        <f t="shared" si="213"/>
        <v>16.551397849462365</v>
      </c>
      <c r="F945" s="139">
        <f t="shared" si="213"/>
        <v>25.877028225806452</v>
      </c>
      <c r="G945" s="139">
        <f t="shared" si="213"/>
        <v>0</v>
      </c>
      <c r="H945" s="139">
        <f t="shared" si="213"/>
        <v>-11.139173297512203</v>
      </c>
      <c r="I945" s="139">
        <f t="shared" si="213"/>
        <v>17.587508064516129</v>
      </c>
      <c r="J945" s="139">
        <f t="shared" si="213"/>
        <v>10.615913978494623</v>
      </c>
      <c r="K945" s="139">
        <f t="shared" si="213"/>
        <v>10.248655913978494</v>
      </c>
      <c r="L945" s="139">
        <f t="shared" si="213"/>
        <v>8.1651881720430097</v>
      </c>
      <c r="M945" s="139">
        <f t="shared" si="213"/>
        <v>2.489247311827957</v>
      </c>
      <c r="N945" s="139">
        <f t="shared" si="213"/>
        <v>2.9316021505376342</v>
      </c>
      <c r="O945" s="139">
        <f t="shared" si="213"/>
        <v>5.373991935483871</v>
      </c>
      <c r="P945" s="139">
        <f t="shared" si="213"/>
        <v>1.1070564516129033</v>
      </c>
      <c r="Q945" s="139">
        <f t="shared" si="213"/>
        <v>2.6171774193548387</v>
      </c>
      <c r="R945" s="643">
        <f t="shared" si="213"/>
        <v>2.6183467741935482</v>
      </c>
      <c r="S945" s="139">
        <f t="shared" si="206"/>
        <v>257.88114793904697</v>
      </c>
      <c r="T945" s="139">
        <f t="shared" si="207"/>
        <v>208.88114793904694</v>
      </c>
    </row>
    <row r="946" spans="1:20" ht="15.75" customHeight="1" x14ac:dyDescent="0.3">
      <c r="A946" s="642" t="s">
        <v>1506</v>
      </c>
      <c r="B946" s="642">
        <f t="shared" si="202"/>
        <v>245</v>
      </c>
      <c r="C946" s="643">
        <f t="shared" si="203"/>
        <v>147</v>
      </c>
      <c r="D946" s="139">
        <f t="shared" ref="D946:R946" si="214">+C866/$L$10/24</f>
        <v>25.362783333333336</v>
      </c>
      <c r="E946" s="139">
        <f t="shared" si="214"/>
        <v>26.552711111111112</v>
      </c>
      <c r="F946" s="139">
        <f t="shared" si="214"/>
        <v>43.911933333333337</v>
      </c>
      <c r="G946" s="139">
        <f t="shared" si="214"/>
        <v>6.5128475644964547</v>
      </c>
      <c r="H946" s="139">
        <f t="shared" si="214"/>
        <v>-5.1714158589119069E-2</v>
      </c>
      <c r="I946" s="139">
        <f t="shared" si="214"/>
        <v>11.31329861111111</v>
      </c>
      <c r="J946" s="139">
        <f t="shared" si="214"/>
        <v>7.0777777777777784</v>
      </c>
      <c r="K946" s="139">
        <f t="shared" si="214"/>
        <v>8.703125</v>
      </c>
      <c r="L946" s="139">
        <f t="shared" si="214"/>
        <v>7.7061111111111105</v>
      </c>
      <c r="M946" s="139">
        <f t="shared" si="214"/>
        <v>2.4552777777777774</v>
      </c>
      <c r="N946" s="139">
        <f t="shared" si="214"/>
        <v>2.8916555555555559</v>
      </c>
      <c r="O946" s="139">
        <f t="shared" si="214"/>
        <v>5.499305555555555</v>
      </c>
      <c r="P946" s="139">
        <f t="shared" si="214"/>
        <v>0.9410277777777778</v>
      </c>
      <c r="Q946" s="139">
        <f t="shared" si="214"/>
        <v>2.6080833333333335</v>
      </c>
      <c r="R946" s="643">
        <f t="shared" si="214"/>
        <v>2.2012500000000004</v>
      </c>
      <c r="S946" s="139">
        <f t="shared" si="206"/>
        <v>398.68547368368513</v>
      </c>
      <c r="T946" s="139">
        <f t="shared" si="207"/>
        <v>300.68547368368513</v>
      </c>
    </row>
    <row r="947" spans="1:20" ht="15.75" customHeight="1" x14ac:dyDescent="0.3">
      <c r="A947" s="642" t="s">
        <v>1507</v>
      </c>
      <c r="B947" s="642">
        <f t="shared" si="202"/>
        <v>245</v>
      </c>
      <c r="C947" s="643">
        <f t="shared" si="203"/>
        <v>147</v>
      </c>
      <c r="D947" s="139">
        <f t="shared" ref="D947:R947" si="215">+C867/$N$10/24</f>
        <v>30.715303763440861</v>
      </c>
      <c r="E947" s="139">
        <f t="shared" si="215"/>
        <v>32.17393548387097</v>
      </c>
      <c r="F947" s="139">
        <f t="shared" si="215"/>
        <v>53.344455645161297</v>
      </c>
      <c r="G947" s="139">
        <f t="shared" si="215"/>
        <v>19.041750432089984</v>
      </c>
      <c r="H947" s="139">
        <f t="shared" si="215"/>
        <v>0</v>
      </c>
      <c r="I947" s="139">
        <f t="shared" si="215"/>
        <v>9.1048319892473106</v>
      </c>
      <c r="J947" s="139">
        <f t="shared" si="215"/>
        <v>3.400215053763441</v>
      </c>
      <c r="K947" s="139">
        <f t="shared" si="215"/>
        <v>5.051075268817204</v>
      </c>
      <c r="L947" s="139">
        <f t="shared" si="215"/>
        <v>5.0186290322580644</v>
      </c>
      <c r="M947" s="139">
        <f t="shared" si="215"/>
        <v>1.5443548387096773</v>
      </c>
      <c r="N947" s="139">
        <f t="shared" si="215"/>
        <v>1.8177392473118277</v>
      </c>
      <c r="O947" s="139">
        <f t="shared" si="215"/>
        <v>3.6922043010752685</v>
      </c>
      <c r="P947" s="139">
        <f t="shared" si="215"/>
        <v>0.83482526881720431</v>
      </c>
      <c r="Q947" s="139">
        <f t="shared" si="215"/>
        <v>2.4467204301075269</v>
      </c>
      <c r="R947" s="643">
        <f t="shared" si="215"/>
        <v>1.9741935483870969</v>
      </c>
      <c r="S947" s="139">
        <f t="shared" si="206"/>
        <v>415.16023430305779</v>
      </c>
      <c r="T947" s="139">
        <f t="shared" si="207"/>
        <v>317.16023430305779</v>
      </c>
    </row>
    <row r="948" spans="1:20" ht="15.75" customHeight="1" x14ac:dyDescent="0.3">
      <c r="A948" s="642" t="s">
        <v>1508</v>
      </c>
      <c r="B948" s="642">
        <f t="shared" si="202"/>
        <v>245</v>
      </c>
      <c r="C948" s="643">
        <f t="shared" si="203"/>
        <v>147</v>
      </c>
      <c r="D948" s="139">
        <f t="shared" ref="D948:R948" si="216">+C868/$O$10/24</f>
        <v>24.429652777777775</v>
      </c>
      <c r="E948" s="139">
        <f t="shared" si="216"/>
        <v>25.590755555555557</v>
      </c>
      <c r="F948" s="139">
        <f t="shared" si="216"/>
        <v>42.777695833333333</v>
      </c>
      <c r="G948" s="139">
        <f t="shared" si="216"/>
        <v>21.252557452609718</v>
      </c>
      <c r="H948" s="139">
        <f t="shared" si="216"/>
        <v>0</v>
      </c>
      <c r="I948" s="139">
        <f t="shared" si="216"/>
        <v>4.7458597222222219</v>
      </c>
      <c r="J948" s="139">
        <f t="shared" si="216"/>
        <v>2.1004444444444443</v>
      </c>
      <c r="K948" s="139">
        <f t="shared" si="216"/>
        <v>3.1645833333333333</v>
      </c>
      <c r="L948" s="139">
        <f t="shared" si="216"/>
        <v>2.9824166666666669</v>
      </c>
      <c r="M948" s="139">
        <f t="shared" si="216"/>
        <v>1.025138888888889</v>
      </c>
      <c r="N948" s="139">
        <f t="shared" si="216"/>
        <v>1.2058944444444444</v>
      </c>
      <c r="O948" s="139">
        <f t="shared" si="216"/>
        <v>2.4937499999999999</v>
      </c>
      <c r="P948" s="139">
        <f t="shared" si="216"/>
        <v>0.55680555555555555</v>
      </c>
      <c r="Q948" s="139">
        <f t="shared" si="216"/>
        <v>2.0640833333333335</v>
      </c>
      <c r="R948" s="643">
        <f t="shared" si="216"/>
        <v>1.316875</v>
      </c>
      <c r="S948" s="139">
        <f t="shared" si="206"/>
        <v>380.7065130081653</v>
      </c>
      <c r="T948" s="139">
        <f t="shared" si="207"/>
        <v>282.7065130081653</v>
      </c>
    </row>
    <row r="949" spans="1:20" ht="15.75" customHeight="1" thickBot="1" x14ac:dyDescent="0.35">
      <c r="A949" s="644" t="s">
        <v>1509</v>
      </c>
      <c r="B949" s="644">
        <f t="shared" si="202"/>
        <v>294</v>
      </c>
      <c r="C949" s="646">
        <f t="shared" si="203"/>
        <v>98</v>
      </c>
      <c r="D949" s="645">
        <f t="shared" ref="D949:R949" si="217">+C869/$P$10/24</f>
        <v>22.541303763440862</v>
      </c>
      <c r="E949" s="645">
        <f t="shared" si="217"/>
        <v>23.619096774193551</v>
      </c>
      <c r="F949" s="645">
        <f t="shared" si="217"/>
        <v>35.35731451612903</v>
      </c>
      <c r="G949" s="645">
        <f t="shared" si="217"/>
        <v>11.500349462642085</v>
      </c>
      <c r="H949" s="645">
        <f t="shared" si="217"/>
        <v>0</v>
      </c>
      <c r="I949" s="645">
        <f t="shared" si="217"/>
        <v>6.7671841397849457</v>
      </c>
      <c r="J949" s="645">
        <f t="shared" si="217"/>
        <v>4.4774193548387098</v>
      </c>
      <c r="K949" s="645">
        <f t="shared" si="217"/>
        <v>6.2533602150537639</v>
      </c>
      <c r="L949" s="645">
        <f t="shared" si="217"/>
        <v>6.4671505376344092</v>
      </c>
      <c r="M949" s="645">
        <f t="shared" si="217"/>
        <v>1.8594086021505378</v>
      </c>
      <c r="N949" s="645">
        <f t="shared" si="217"/>
        <v>2.1910887096774192</v>
      </c>
      <c r="O949" s="645">
        <f t="shared" si="217"/>
        <v>4.573252688172043</v>
      </c>
      <c r="P949" s="645">
        <f t="shared" si="217"/>
        <v>0.84325268817204302</v>
      </c>
      <c r="Q949" s="645">
        <f t="shared" si="217"/>
        <v>2.2584408602150536</v>
      </c>
      <c r="R949" s="646">
        <f t="shared" si="217"/>
        <v>1.995967741935484</v>
      </c>
      <c r="S949" s="139">
        <f t="shared" si="206"/>
        <v>424.70459005403995</v>
      </c>
      <c r="T949" s="139">
        <f t="shared" si="207"/>
        <v>228.70459005403995</v>
      </c>
    </row>
    <row r="950" spans="1:20" ht="15.75" customHeight="1" x14ac:dyDescent="0.3">
      <c r="A950" s="641"/>
    </row>
    <row r="951" spans="1:20" ht="15.75" customHeight="1" x14ac:dyDescent="0.3">
      <c r="A951" s="641" t="s">
        <v>2889</v>
      </c>
    </row>
    <row r="952" spans="1:20" ht="15.75" customHeight="1" x14ac:dyDescent="0.3">
      <c r="A952" s="641"/>
    </row>
    <row r="953" spans="1:20" ht="15.75" customHeight="1" x14ac:dyDescent="0.3">
      <c r="A953" s="641"/>
    </row>
    <row r="954" spans="1:20" ht="15.75" customHeight="1" thickBot="1" x14ac:dyDescent="0.35">
      <c r="A954" s="641"/>
    </row>
    <row r="955" spans="1:20" ht="15.75" customHeight="1" x14ac:dyDescent="0.3">
      <c r="A955" s="667"/>
      <c r="B955" s="782" t="s">
        <v>2887</v>
      </c>
      <c r="C955" s="782"/>
      <c r="D955" s="782"/>
      <c r="E955" s="782"/>
      <c r="F955" s="782"/>
      <c r="G955" s="782"/>
      <c r="H955" s="782"/>
      <c r="I955" s="782"/>
      <c r="J955" s="782"/>
      <c r="K955" s="782"/>
      <c r="L955" s="782"/>
      <c r="M955" s="782"/>
      <c r="N955" s="782"/>
      <c r="O955" s="782"/>
      <c r="P955" s="782"/>
      <c r="Q955" s="549" t="str">
        <f>+Q1</f>
        <v>PRINTED:</v>
      </c>
      <c r="R955" s="550">
        <f ca="1">+R1</f>
        <v>44881.729634027775</v>
      </c>
    </row>
    <row r="956" spans="1:20" ht="16.5" customHeight="1" x14ac:dyDescent="0.3">
      <c r="A956" s="647"/>
      <c r="B956" s="786" t="str">
        <f>+A8</f>
        <v>Revised:  11/25/13</v>
      </c>
      <c r="C956" s="786"/>
      <c r="D956" s="786"/>
      <c r="E956" s="786"/>
      <c r="F956" s="786"/>
      <c r="G956" s="786"/>
      <c r="H956" s="786"/>
      <c r="I956" s="786"/>
      <c r="J956" s="786"/>
      <c r="K956" s="786"/>
      <c r="L956" s="786"/>
      <c r="M956" s="786"/>
      <c r="N956" s="786"/>
      <c r="O956" s="786"/>
      <c r="P956" s="786"/>
      <c r="R956" s="561"/>
    </row>
    <row r="957" spans="1:20" ht="16.5" customHeight="1" x14ac:dyDescent="0.3">
      <c r="A957" s="647"/>
      <c r="B957" s="786" t="s">
        <v>2878</v>
      </c>
      <c r="C957" s="786"/>
      <c r="D957" s="786"/>
      <c r="E957" s="786"/>
      <c r="F957" s="786"/>
      <c r="G957" s="786"/>
      <c r="H957" s="786"/>
      <c r="I957" s="786"/>
      <c r="J957" s="786"/>
      <c r="K957" s="786"/>
      <c r="L957" s="786"/>
      <c r="M957" s="786"/>
      <c r="N957" s="786"/>
      <c r="O957" s="786"/>
      <c r="P957" s="786"/>
      <c r="R957" s="561"/>
    </row>
    <row r="958" spans="1:20" ht="16.5" customHeight="1" x14ac:dyDescent="0.3">
      <c r="A958" s="647"/>
      <c r="B958" s="67"/>
      <c r="C958" s="67"/>
      <c r="D958" s="67"/>
      <c r="E958" s="67"/>
      <c r="F958" s="67"/>
      <c r="G958" s="67"/>
      <c r="H958" s="67"/>
      <c r="I958" s="67"/>
      <c r="J958" s="67"/>
      <c r="K958" s="67"/>
      <c r="L958" s="67"/>
      <c r="M958" s="67"/>
      <c r="N958" s="67"/>
      <c r="O958" s="67"/>
      <c r="P958" s="67"/>
      <c r="R958" s="561"/>
    </row>
    <row r="959" spans="1:20" ht="16.5" customHeight="1" x14ac:dyDescent="0.3">
      <c r="A959" s="647"/>
      <c r="B959" s="810">
        <f>+A5</f>
        <v>2013</v>
      </c>
      <c r="C959" s="787"/>
      <c r="D959" s="787"/>
      <c r="E959" s="787"/>
      <c r="F959" s="787"/>
      <c r="G959" s="787"/>
      <c r="H959" s="787"/>
      <c r="I959" s="787"/>
      <c r="J959" s="787"/>
      <c r="K959" s="787"/>
      <c r="L959" s="787"/>
      <c r="M959" s="787"/>
      <c r="N959" s="787"/>
      <c r="O959" s="787"/>
      <c r="P959" s="787"/>
      <c r="R959" s="561"/>
    </row>
    <row r="960" spans="1:20" ht="15.75" customHeight="1" x14ac:dyDescent="0.3">
      <c r="A960" s="647"/>
      <c r="B960" s="786" t="s">
        <v>1199</v>
      </c>
      <c r="C960" s="786"/>
      <c r="D960" s="786"/>
      <c r="E960" s="786"/>
      <c r="F960" s="786"/>
      <c r="G960" s="786"/>
      <c r="H960" s="786"/>
      <c r="I960" s="786"/>
      <c r="J960" s="786"/>
      <c r="K960" s="786"/>
      <c r="L960" s="786"/>
      <c r="M960" s="786"/>
      <c r="N960" s="786"/>
      <c r="O960" s="786"/>
      <c r="P960" s="786"/>
      <c r="R960" s="561"/>
    </row>
    <row r="961" spans="1:19" ht="15.75" customHeight="1" thickBot="1" x14ac:dyDescent="0.35">
      <c r="A961" s="647"/>
      <c r="R961" s="561"/>
    </row>
    <row r="962" spans="1:19" ht="15.75" customHeight="1" x14ac:dyDescent="0.3">
      <c r="A962" s="647"/>
      <c r="B962" s="814" t="s">
        <v>2883</v>
      </c>
      <c r="C962" s="838"/>
      <c r="D962" s="838"/>
      <c r="E962" s="838"/>
      <c r="F962" s="838"/>
      <c r="G962" s="838"/>
      <c r="H962" s="838"/>
      <c r="I962" s="839"/>
      <c r="J962" s="840" t="s">
        <v>2884</v>
      </c>
      <c r="K962" s="841"/>
      <c r="L962" s="841"/>
      <c r="M962" s="842"/>
      <c r="N962" s="139" t="s">
        <v>2899</v>
      </c>
      <c r="O962" s="139" t="s">
        <v>2898</v>
      </c>
      <c r="R962" s="561"/>
    </row>
    <row r="963" spans="1:19" ht="15.75" customHeight="1" thickBot="1" x14ac:dyDescent="0.35">
      <c r="A963" s="647" t="s">
        <v>249</v>
      </c>
      <c r="B963" s="658" t="s">
        <v>2890</v>
      </c>
      <c r="C963" s="659" t="s">
        <v>2886</v>
      </c>
      <c r="D963" s="659" t="s">
        <v>2885</v>
      </c>
      <c r="E963" s="659" t="s">
        <v>2886</v>
      </c>
      <c r="F963" s="659" t="s">
        <v>2885</v>
      </c>
      <c r="G963" s="659" t="s">
        <v>2886</v>
      </c>
      <c r="H963" s="659" t="s">
        <v>2885</v>
      </c>
      <c r="I963" s="660" t="s">
        <v>2897</v>
      </c>
      <c r="J963" s="658" t="s">
        <v>2893</v>
      </c>
      <c r="K963" s="659" t="s">
        <v>2886</v>
      </c>
      <c r="L963" s="659" t="s">
        <v>2886</v>
      </c>
      <c r="M963" s="660" t="s">
        <v>2897</v>
      </c>
      <c r="N963" s="668" t="s">
        <v>2356</v>
      </c>
      <c r="O963" s="668" t="s">
        <v>2900</v>
      </c>
      <c r="R963" s="561"/>
      <c r="S963" s="139"/>
    </row>
    <row r="964" spans="1:19" ht="15.75" customHeight="1" thickTop="1" x14ac:dyDescent="0.3">
      <c r="A964" s="647"/>
      <c r="B964" s="661"/>
      <c r="C964" s="664" t="s">
        <v>2895</v>
      </c>
      <c r="D964" s="664" t="s">
        <v>2895</v>
      </c>
      <c r="E964" s="662" t="s">
        <v>2696</v>
      </c>
      <c r="F964" s="662" t="s">
        <v>2696</v>
      </c>
      <c r="G964" s="662" t="s">
        <v>2896</v>
      </c>
      <c r="H964" s="662" t="s">
        <v>2896</v>
      </c>
      <c r="I964" s="663" t="s">
        <v>2892</v>
      </c>
      <c r="J964" s="665"/>
      <c r="K964" s="664" t="s">
        <v>2895</v>
      </c>
      <c r="L964" s="662" t="s">
        <v>2696</v>
      </c>
      <c r="M964" s="663" t="s">
        <v>2896</v>
      </c>
      <c r="N964" s="668" t="s">
        <v>2896</v>
      </c>
      <c r="O964" s="668" t="s">
        <v>2896</v>
      </c>
      <c r="R964" s="561"/>
      <c r="S964" s="139"/>
    </row>
    <row r="965" spans="1:19" ht="15.75" customHeight="1" x14ac:dyDescent="0.3">
      <c r="A965" s="647" t="s">
        <v>2843</v>
      </c>
      <c r="B965" s="642">
        <f ca="1">+$B$10-J965</f>
        <v>27</v>
      </c>
      <c r="C965" s="656">
        <v>5</v>
      </c>
      <c r="D965" s="656">
        <v>0</v>
      </c>
      <c r="E965" s="139">
        <f t="shared" ref="E965:E976" si="218">+G965/8</f>
        <v>245</v>
      </c>
      <c r="F965" s="139">
        <f t="shared" ref="F965:F976" si="219">+H965/16</f>
        <v>0</v>
      </c>
      <c r="G965" s="139">
        <f t="shared" ref="G965:G976" si="220">+C965*49*8</f>
        <v>1960</v>
      </c>
      <c r="H965" s="139">
        <f t="shared" ref="H965:H976" si="221">+D965*49*16</f>
        <v>0</v>
      </c>
      <c r="I965" s="643">
        <f t="shared" ref="I965:I976" si="222">+H965+G965</f>
        <v>1960</v>
      </c>
      <c r="J965" s="642">
        <f ca="1">SUMPRODUCT(--(WEEKDAY(ROW(INDIRECT(DATE($B$959,MonthFromText(A965),1)&amp;":"&amp;DATE($B$959,MonthFromText(A965),$B$10))),1)=1))</f>
        <v>4</v>
      </c>
      <c r="K965" s="656">
        <v>5</v>
      </c>
      <c r="L965">
        <f t="shared" ref="L965:L976" si="223">+M965/24</f>
        <v>245</v>
      </c>
      <c r="M965" s="643">
        <f t="shared" ref="M965:M976" si="224">+K965*49*24</f>
        <v>5880</v>
      </c>
      <c r="N965" s="139">
        <f t="shared" ref="N965:N976" ca="1" si="225">+(I965*B965)+(J965*M965)</f>
        <v>76440</v>
      </c>
      <c r="O965" s="139">
        <f t="shared" ref="O965:O976" ca="1" si="226">+N965-B858</f>
        <v>-1156</v>
      </c>
      <c r="R965" s="561"/>
      <c r="S965" s="139"/>
    </row>
    <row r="966" spans="1:19" ht="15.75" customHeight="1" x14ac:dyDescent="0.3">
      <c r="A966" s="647" t="s">
        <v>2091</v>
      </c>
      <c r="B966" s="642">
        <f ca="1">+$C$10-J966</f>
        <v>24</v>
      </c>
      <c r="C966" s="656">
        <v>6</v>
      </c>
      <c r="D966" s="656">
        <v>3</v>
      </c>
      <c r="E966" s="139">
        <f t="shared" si="218"/>
        <v>294</v>
      </c>
      <c r="F966" s="139">
        <f t="shared" si="219"/>
        <v>147</v>
      </c>
      <c r="G966" s="139">
        <f t="shared" si="220"/>
        <v>2352</v>
      </c>
      <c r="H966" s="139">
        <f t="shared" si="221"/>
        <v>2352</v>
      </c>
      <c r="I966" s="643">
        <f t="shared" si="222"/>
        <v>4704</v>
      </c>
      <c r="J966" s="642">
        <f ca="1">SUMPRODUCT(--(WEEKDAY(ROW(INDIRECT(DATE($B$959,MonthFromText(A966),1)&amp;":"&amp;DATE($B$959,MonthFromText(A966),$C$10))),1)=1))</f>
        <v>4</v>
      </c>
      <c r="K966" s="656">
        <v>6</v>
      </c>
      <c r="L966">
        <f t="shared" si="223"/>
        <v>294</v>
      </c>
      <c r="M966" s="643">
        <f t="shared" si="224"/>
        <v>7056</v>
      </c>
      <c r="N966" s="139">
        <f t="shared" ca="1" si="225"/>
        <v>141120</v>
      </c>
      <c r="O966" s="139">
        <f t="shared" ca="1" si="226"/>
        <v>1343</v>
      </c>
      <c r="R966" s="561"/>
      <c r="S966" s="139"/>
    </row>
    <row r="967" spans="1:19" ht="16.5" customHeight="1" x14ac:dyDescent="0.3">
      <c r="A967" s="647" t="s">
        <v>2234</v>
      </c>
      <c r="B967" s="642">
        <f ca="1">+$D$10-J967</f>
        <v>26</v>
      </c>
      <c r="C967" s="656">
        <v>6</v>
      </c>
      <c r="D967" s="656">
        <v>4</v>
      </c>
      <c r="E967" s="139">
        <f t="shared" si="218"/>
        <v>294</v>
      </c>
      <c r="F967" s="139">
        <f t="shared" si="219"/>
        <v>196</v>
      </c>
      <c r="G967" s="139">
        <f t="shared" si="220"/>
        <v>2352</v>
      </c>
      <c r="H967" s="139">
        <f t="shared" si="221"/>
        <v>3136</v>
      </c>
      <c r="I967" s="643">
        <f t="shared" si="222"/>
        <v>5488</v>
      </c>
      <c r="J967" s="642">
        <f ca="1">SUMPRODUCT(--(WEEKDAY(ROW(INDIRECT(DATE($B$959,MonthFromText(A967),1)&amp;":"&amp;DATE($B$959,MonthFromText(A967),$D$10))),1)=1))</f>
        <v>5</v>
      </c>
      <c r="K967" s="656">
        <v>6</v>
      </c>
      <c r="L967">
        <f t="shared" si="223"/>
        <v>294</v>
      </c>
      <c r="M967" s="643">
        <f t="shared" si="224"/>
        <v>7056</v>
      </c>
      <c r="N967" s="139">
        <f t="shared" ca="1" si="225"/>
        <v>177968</v>
      </c>
      <c r="O967" s="139">
        <f t="shared" ca="1" si="226"/>
        <v>6899</v>
      </c>
      <c r="R967" s="561"/>
      <c r="S967" s="139"/>
    </row>
    <row r="968" spans="1:19" ht="16.5" customHeight="1" x14ac:dyDescent="0.3">
      <c r="A968" s="647" t="s">
        <v>2235</v>
      </c>
      <c r="B968" s="642">
        <f ca="1">+$F$10-J968</f>
        <v>26</v>
      </c>
      <c r="C968" s="656">
        <v>6</v>
      </c>
      <c r="D968" s="656">
        <v>4</v>
      </c>
      <c r="E968" s="139">
        <f t="shared" si="218"/>
        <v>294</v>
      </c>
      <c r="F968" s="139">
        <f t="shared" si="219"/>
        <v>196</v>
      </c>
      <c r="G968" s="139">
        <f t="shared" si="220"/>
        <v>2352</v>
      </c>
      <c r="H968" s="139">
        <f t="shared" si="221"/>
        <v>3136</v>
      </c>
      <c r="I968" s="643">
        <f t="shared" si="222"/>
        <v>5488</v>
      </c>
      <c r="J968" s="642">
        <f ca="1">SUMPRODUCT(--(WEEKDAY(ROW(INDIRECT(DATE($B$959,MonthFromText(A968),1)&amp;":"&amp;DATE($B$959,MonthFromText(A968),$F$10))),1)=1))</f>
        <v>4</v>
      </c>
      <c r="K968" s="656">
        <v>6</v>
      </c>
      <c r="L968">
        <f t="shared" si="223"/>
        <v>294</v>
      </c>
      <c r="M968" s="643">
        <f t="shared" si="224"/>
        <v>7056</v>
      </c>
      <c r="N968" s="139">
        <f t="shared" ca="1" si="225"/>
        <v>170912</v>
      </c>
      <c r="O968" s="139">
        <f t="shared" ca="1" si="226"/>
        <v>26676</v>
      </c>
      <c r="R968" s="561"/>
      <c r="S968" s="139"/>
    </row>
    <row r="969" spans="1:19" ht="15.75" customHeight="1" x14ac:dyDescent="0.3">
      <c r="A969" s="647" t="s">
        <v>2236</v>
      </c>
      <c r="B969" s="642">
        <f ca="1">+$G$10-J969</f>
        <v>27</v>
      </c>
      <c r="C969" s="656">
        <v>6</v>
      </c>
      <c r="D969" s="656">
        <v>4</v>
      </c>
      <c r="E969" s="139">
        <f t="shared" si="218"/>
        <v>294</v>
      </c>
      <c r="F969" s="139">
        <f t="shared" si="219"/>
        <v>196</v>
      </c>
      <c r="G969" s="139">
        <f t="shared" si="220"/>
        <v>2352</v>
      </c>
      <c r="H969" s="139">
        <f t="shared" si="221"/>
        <v>3136</v>
      </c>
      <c r="I969" s="643">
        <f t="shared" si="222"/>
        <v>5488</v>
      </c>
      <c r="J969" s="642">
        <f ca="1">SUMPRODUCT(--(WEEKDAY(ROW(INDIRECT(DATE($B$959,MonthFromText(A969),1)&amp;":"&amp;DATE($B$959,MonthFromText(A969),$G$10))),1)=1))</f>
        <v>4</v>
      </c>
      <c r="K969" s="656">
        <v>6</v>
      </c>
      <c r="L969">
        <f t="shared" si="223"/>
        <v>294</v>
      </c>
      <c r="M969" s="643">
        <f t="shared" si="224"/>
        <v>7056</v>
      </c>
      <c r="N969" s="139">
        <f t="shared" ca="1" si="225"/>
        <v>176400</v>
      </c>
      <c r="O969" s="139">
        <f t="shared" ca="1" si="226"/>
        <v>7793</v>
      </c>
      <c r="R969" s="561"/>
      <c r="S969" s="139"/>
    </row>
    <row r="970" spans="1:19" ht="15.75" customHeight="1" x14ac:dyDescent="0.3">
      <c r="A970" s="647" t="s">
        <v>2237</v>
      </c>
      <c r="B970" s="642">
        <f ca="1">+$H$10-J970</f>
        <v>25</v>
      </c>
      <c r="C970" s="656">
        <v>6</v>
      </c>
      <c r="D970" s="656">
        <v>2</v>
      </c>
      <c r="E970" s="139">
        <f t="shared" si="218"/>
        <v>294</v>
      </c>
      <c r="F970" s="139">
        <f t="shared" si="219"/>
        <v>98</v>
      </c>
      <c r="G970" s="139">
        <f t="shared" si="220"/>
        <v>2352</v>
      </c>
      <c r="H970" s="139">
        <f t="shared" si="221"/>
        <v>1568</v>
      </c>
      <c r="I970" s="643">
        <f t="shared" si="222"/>
        <v>3920</v>
      </c>
      <c r="J970" s="642">
        <f ca="1">SUMPRODUCT(--(WEEKDAY(ROW(INDIRECT(DATE($B$959,MonthFromText(A970),1)&amp;":"&amp;DATE($B$959,MonthFromText(A970),$H$10))),1)=1))</f>
        <v>5</v>
      </c>
      <c r="K970" s="656">
        <v>5</v>
      </c>
      <c r="L970">
        <f t="shared" si="223"/>
        <v>245</v>
      </c>
      <c r="M970" s="643">
        <f t="shared" si="224"/>
        <v>5880</v>
      </c>
      <c r="N970" s="139">
        <f t="shared" ca="1" si="225"/>
        <v>127400</v>
      </c>
      <c r="O970" s="139">
        <f t="shared" ca="1" si="226"/>
        <v>2777</v>
      </c>
      <c r="R970" s="561"/>
      <c r="S970" s="139"/>
    </row>
    <row r="971" spans="1:19" ht="15.75" customHeight="1" x14ac:dyDescent="0.3">
      <c r="A971" s="647" t="s">
        <v>1504</v>
      </c>
      <c r="B971" s="642">
        <f ca="1">+$J$10-J971</f>
        <v>27</v>
      </c>
      <c r="C971" s="656">
        <v>3</v>
      </c>
      <c r="D971" s="656">
        <v>2</v>
      </c>
      <c r="E971" s="139">
        <f t="shared" si="218"/>
        <v>147</v>
      </c>
      <c r="F971" s="139">
        <f t="shared" si="219"/>
        <v>98</v>
      </c>
      <c r="G971" s="139">
        <f t="shared" si="220"/>
        <v>1176</v>
      </c>
      <c r="H971" s="139">
        <f t="shared" si="221"/>
        <v>1568</v>
      </c>
      <c r="I971" s="643">
        <f t="shared" si="222"/>
        <v>2744</v>
      </c>
      <c r="J971" s="642">
        <f ca="1">SUMPRODUCT(--(WEEKDAY(ROW(INDIRECT(DATE($B$959,MonthFromText(A971),1)&amp;":"&amp;DATE($B$959,MonthFromText(A971),$J$10))),1)=1))</f>
        <v>4</v>
      </c>
      <c r="K971" s="656">
        <v>3</v>
      </c>
      <c r="L971">
        <f t="shared" si="223"/>
        <v>147</v>
      </c>
      <c r="M971" s="643">
        <f t="shared" si="224"/>
        <v>3528</v>
      </c>
      <c r="N971" s="139">
        <f t="shared" ca="1" si="225"/>
        <v>88200</v>
      </c>
      <c r="O971" s="139">
        <f t="shared" ca="1" si="226"/>
        <v>6921</v>
      </c>
      <c r="R971" s="561"/>
      <c r="S971" s="139"/>
    </row>
    <row r="972" spans="1:19" ht="15.75" customHeight="1" x14ac:dyDescent="0.3">
      <c r="A972" s="647" t="s">
        <v>1505</v>
      </c>
      <c r="B972" s="642">
        <f ca="1">+$K$10-J972</f>
        <v>27</v>
      </c>
      <c r="C972" s="656">
        <v>3</v>
      </c>
      <c r="D972" s="656">
        <v>2</v>
      </c>
      <c r="E972" s="139">
        <f t="shared" si="218"/>
        <v>147</v>
      </c>
      <c r="F972" s="139">
        <f t="shared" si="219"/>
        <v>98</v>
      </c>
      <c r="G972" s="139">
        <f t="shared" si="220"/>
        <v>1176</v>
      </c>
      <c r="H972" s="139">
        <f t="shared" si="221"/>
        <v>1568</v>
      </c>
      <c r="I972" s="643">
        <f t="shared" si="222"/>
        <v>2744</v>
      </c>
      <c r="J972" s="642">
        <f ca="1">SUMPRODUCT(--(WEEKDAY(ROW(INDIRECT(DATE($B$959,MonthFromText(A972),1)&amp;":"&amp;DATE($B$959,MonthFromText(A972),$K$10))),1)=1))</f>
        <v>4</v>
      </c>
      <c r="K972" s="656">
        <v>3</v>
      </c>
      <c r="L972">
        <f t="shared" si="223"/>
        <v>147</v>
      </c>
      <c r="M972" s="643">
        <f t="shared" si="224"/>
        <v>3528</v>
      </c>
      <c r="N972" s="139">
        <f t="shared" ca="1" si="225"/>
        <v>88200</v>
      </c>
      <c r="O972" s="139">
        <f t="shared" ca="1" si="226"/>
        <v>-4548</v>
      </c>
      <c r="R972" s="561"/>
      <c r="S972" s="139"/>
    </row>
    <row r="973" spans="1:19" ht="15.75" customHeight="1" x14ac:dyDescent="0.3">
      <c r="A973" s="647" t="s">
        <v>1506</v>
      </c>
      <c r="B973" s="642">
        <f ca="1">+$L$10-J973</f>
        <v>25</v>
      </c>
      <c r="C973" s="656">
        <v>5</v>
      </c>
      <c r="D973" s="656">
        <v>3</v>
      </c>
      <c r="E973" s="139">
        <f t="shared" si="218"/>
        <v>245</v>
      </c>
      <c r="F973" s="139">
        <f t="shared" si="219"/>
        <v>147</v>
      </c>
      <c r="G973" s="139">
        <f t="shared" si="220"/>
        <v>1960</v>
      </c>
      <c r="H973" s="139">
        <f t="shared" si="221"/>
        <v>2352</v>
      </c>
      <c r="I973" s="643">
        <f t="shared" si="222"/>
        <v>4312</v>
      </c>
      <c r="J973" s="642">
        <f ca="1">SUMPRODUCT(--(WEEKDAY(ROW(INDIRECT(DATE($B$959,MonthFromText(A973),1)&amp;":"&amp;DATE($B$959,MonthFromText(A973),$L$10))),1)=1))</f>
        <v>5</v>
      </c>
      <c r="K973" s="656">
        <v>5</v>
      </c>
      <c r="L973">
        <f t="shared" si="223"/>
        <v>245</v>
      </c>
      <c r="M973" s="643">
        <f t="shared" si="224"/>
        <v>5880</v>
      </c>
      <c r="N973" s="139">
        <f t="shared" ca="1" si="225"/>
        <v>137200</v>
      </c>
      <c r="O973" s="139">
        <f t="shared" ca="1" si="226"/>
        <v>-6348</v>
      </c>
      <c r="R973" s="561"/>
      <c r="S973" s="139"/>
    </row>
    <row r="974" spans="1:19" ht="15.75" customHeight="1" x14ac:dyDescent="0.3">
      <c r="A974" s="647" t="s">
        <v>1507</v>
      </c>
      <c r="B974" s="642">
        <f ca="1">+$N$10-J974</f>
        <v>27</v>
      </c>
      <c r="C974" s="656">
        <v>5</v>
      </c>
      <c r="D974" s="656">
        <v>3</v>
      </c>
      <c r="E974" s="139">
        <f t="shared" si="218"/>
        <v>245</v>
      </c>
      <c r="F974" s="139">
        <f t="shared" si="219"/>
        <v>147</v>
      </c>
      <c r="G974" s="139">
        <f t="shared" si="220"/>
        <v>1960</v>
      </c>
      <c r="H974" s="139">
        <f t="shared" si="221"/>
        <v>2352</v>
      </c>
      <c r="I974" s="643">
        <f t="shared" si="222"/>
        <v>4312</v>
      </c>
      <c r="J974" s="642">
        <f ca="1">SUMPRODUCT(--(WEEKDAY(ROW(INDIRECT(DATE($B$959,MonthFromText(A974),1)&amp;":"&amp;DATE($B$959,MonthFromText(A974),$N$10))),1)=1))</f>
        <v>4</v>
      </c>
      <c r="K974" s="656">
        <v>5</v>
      </c>
      <c r="L974">
        <f t="shared" si="223"/>
        <v>245</v>
      </c>
      <c r="M974" s="643">
        <f t="shared" si="224"/>
        <v>5880</v>
      </c>
      <c r="N974" s="139">
        <f t="shared" ca="1" si="225"/>
        <v>139944</v>
      </c>
      <c r="O974" s="139">
        <f t="shared" ca="1" si="226"/>
        <v>-39587</v>
      </c>
      <c r="R974" s="561"/>
      <c r="S974" s="139"/>
    </row>
    <row r="975" spans="1:19" ht="15.75" customHeight="1" x14ac:dyDescent="0.3">
      <c r="A975" s="647" t="s">
        <v>1508</v>
      </c>
      <c r="B975" s="642">
        <f ca="1">+$O$10-J975</f>
        <v>26</v>
      </c>
      <c r="C975" s="656">
        <v>5</v>
      </c>
      <c r="D975" s="656">
        <v>3</v>
      </c>
      <c r="E975" s="139">
        <f t="shared" si="218"/>
        <v>245</v>
      </c>
      <c r="F975" s="139">
        <f t="shared" si="219"/>
        <v>147</v>
      </c>
      <c r="G975" s="139">
        <f t="shared" si="220"/>
        <v>1960</v>
      </c>
      <c r="H975" s="139">
        <f t="shared" si="221"/>
        <v>2352</v>
      </c>
      <c r="I975" s="643">
        <f t="shared" si="222"/>
        <v>4312</v>
      </c>
      <c r="J975" s="642">
        <f ca="1">SUMPRODUCT(--(WEEKDAY(ROW(INDIRECT(DATE($B$959,MonthFromText(A975),1)&amp;":"&amp;DATE($B$959,MonthFromText(A975),$O$10))),1)=1))</f>
        <v>4</v>
      </c>
      <c r="K975" s="656">
        <v>6</v>
      </c>
      <c r="L975">
        <f t="shared" si="223"/>
        <v>294</v>
      </c>
      <c r="M975" s="643">
        <f t="shared" si="224"/>
        <v>7056</v>
      </c>
      <c r="N975" s="139">
        <f t="shared" ca="1" si="225"/>
        <v>140336</v>
      </c>
      <c r="O975" s="139">
        <f t="shared" ca="1" si="226"/>
        <v>2136</v>
      </c>
      <c r="R975" s="561"/>
      <c r="S975" s="139"/>
    </row>
    <row r="976" spans="1:19" ht="15.75" customHeight="1" thickBot="1" x14ac:dyDescent="0.35">
      <c r="A976" s="647" t="s">
        <v>1509</v>
      </c>
      <c r="B976" s="644">
        <f ca="1">+$P$10-J976</f>
        <v>26</v>
      </c>
      <c r="C976" s="657">
        <v>6</v>
      </c>
      <c r="D976" s="657">
        <v>2</v>
      </c>
      <c r="E976" s="645">
        <f t="shared" si="218"/>
        <v>294</v>
      </c>
      <c r="F976" s="645">
        <f t="shared" si="219"/>
        <v>98</v>
      </c>
      <c r="G976" s="645">
        <f t="shared" si="220"/>
        <v>2352</v>
      </c>
      <c r="H976" s="645">
        <f t="shared" si="221"/>
        <v>1568</v>
      </c>
      <c r="I976" s="646">
        <f t="shared" si="222"/>
        <v>3920</v>
      </c>
      <c r="J976" s="644">
        <f ca="1">SUMPRODUCT(--(WEEKDAY(ROW(INDIRECT(DATE($B$959,MonthFromText(A976),1)&amp;":"&amp;DATE($B$959,MonthFromText(A976),$P$10))),1)=1))</f>
        <v>5</v>
      </c>
      <c r="K976" s="657">
        <v>6</v>
      </c>
      <c r="L976" s="581">
        <f t="shared" si="223"/>
        <v>294</v>
      </c>
      <c r="M976" s="646">
        <f t="shared" si="224"/>
        <v>7056</v>
      </c>
      <c r="N976" s="666">
        <f t="shared" ca="1" si="225"/>
        <v>137200</v>
      </c>
      <c r="O976" s="140">
        <f t="shared" ca="1" si="226"/>
        <v>5468</v>
      </c>
      <c r="R976" s="561"/>
      <c r="S976" s="139"/>
    </row>
    <row r="977" spans="1:18" ht="15.75" customHeight="1" thickBot="1" x14ac:dyDescent="0.35">
      <c r="A977" s="580"/>
      <c r="B977" s="581"/>
      <c r="C977" s="581"/>
      <c r="D977" s="581"/>
      <c r="E977" s="581"/>
      <c r="F977" s="581"/>
      <c r="G977" s="581"/>
      <c r="H977" s="581"/>
      <c r="I977" s="581"/>
      <c r="J977" s="581"/>
      <c r="K977" s="581"/>
      <c r="L977" s="581"/>
      <c r="M977" s="581"/>
      <c r="N977" s="645">
        <f ca="1">+SUM(N965:N976)</f>
        <v>1601320</v>
      </c>
      <c r="O977" s="645">
        <f ca="1">+N977-B871</f>
        <v>8374</v>
      </c>
      <c r="P977" s="581"/>
      <c r="Q977" s="581"/>
      <c r="R977" s="565"/>
    </row>
    <row r="978" spans="1:18" ht="15.75" customHeight="1" x14ac:dyDescent="0.3">
      <c r="A978" s="641" t="s">
        <v>2891</v>
      </c>
      <c r="J978" s="139"/>
    </row>
    <row r="979" spans="1:18" ht="15.75" customHeight="1" x14ac:dyDescent="0.3">
      <c r="A979" s="641" t="s">
        <v>2894</v>
      </c>
    </row>
    <row r="980" spans="1:18" ht="15.75" customHeight="1" x14ac:dyDescent="0.3">
      <c r="A980" s="641" t="s">
        <v>2901</v>
      </c>
    </row>
    <row r="981" spans="1:18" ht="15.75" customHeight="1" x14ac:dyDescent="0.3"/>
    <row r="982" spans="1:18" ht="15.75" customHeight="1" x14ac:dyDescent="0.3"/>
    <row r="983" spans="1:18" ht="15.75" customHeight="1" x14ac:dyDescent="0.3"/>
    <row r="984" spans="1:18" ht="15.75" customHeight="1" x14ac:dyDescent="0.3"/>
    <row r="985" spans="1:18" ht="16.5" customHeight="1" x14ac:dyDescent="0.3"/>
    <row r="986" spans="1:18" ht="15.75" customHeight="1" x14ac:dyDescent="0.3"/>
    <row r="987" spans="1:18" ht="16.5" customHeight="1" x14ac:dyDescent="0.3"/>
    <row r="988" spans="1:18" ht="15.75" customHeight="1" x14ac:dyDescent="0.3"/>
    <row r="989" spans="1:18" ht="15.75" customHeight="1" x14ac:dyDescent="0.3"/>
    <row r="990" spans="1:18" ht="15.75" customHeight="1" x14ac:dyDescent="0.3"/>
    <row r="991" spans="1:18" ht="15.75" customHeight="1" x14ac:dyDescent="0.3"/>
    <row r="992" spans="1:18" ht="15.75" customHeight="1" x14ac:dyDescent="0.3">
      <c r="I992" s="139"/>
      <c r="J992" s="139"/>
    </row>
    <row r="993" spans="1:19" ht="15.75" customHeight="1" x14ac:dyDescent="0.3"/>
    <row r="994" spans="1:19" ht="15.75" customHeight="1" x14ac:dyDescent="0.3"/>
    <row r="995" spans="1:19" ht="15.75" customHeight="1" x14ac:dyDescent="0.3"/>
    <row r="996" spans="1:19" ht="15.75" customHeight="1" x14ac:dyDescent="0.3"/>
    <row r="997" spans="1:19" ht="15.75" customHeight="1" x14ac:dyDescent="0.3"/>
    <row r="998" spans="1:19" ht="15.75" customHeight="1" x14ac:dyDescent="0.3"/>
    <row r="999" spans="1:19" ht="15.75" customHeight="1" thickBot="1" x14ac:dyDescent="0.35"/>
    <row r="1000" spans="1:19" ht="15.75" customHeight="1" x14ac:dyDescent="0.35">
      <c r="A1000" s="546"/>
      <c r="B1000" s="547"/>
      <c r="C1000" s="566"/>
      <c r="D1000" s="566"/>
      <c r="E1000" s="566"/>
      <c r="F1000" s="566"/>
      <c r="G1000" s="566"/>
      <c r="H1000" s="549" t="s">
        <v>1623</v>
      </c>
      <c r="I1000" s="547"/>
      <c r="J1000" s="547"/>
      <c r="K1000" s="547"/>
      <c r="L1000" s="547"/>
      <c r="M1000" s="547"/>
      <c r="N1000" s="547"/>
      <c r="O1000" s="547"/>
      <c r="P1000" s="547"/>
      <c r="Q1000" s="549" t="str">
        <f>+Q1</f>
        <v>PRINTED:</v>
      </c>
      <c r="R1000" s="559">
        <f ca="1">+R1</f>
        <v>44881.729634027775</v>
      </c>
      <c r="S1000" s="560"/>
    </row>
    <row r="1001" spans="1:19" ht="15.75" customHeight="1" x14ac:dyDescent="0.35">
      <c r="A1001" s="551"/>
      <c r="B1001" s="67"/>
      <c r="C1001" s="215"/>
      <c r="D1001" s="215"/>
      <c r="E1001" s="215"/>
      <c r="F1001" s="215"/>
      <c r="G1001" s="215"/>
      <c r="H1001" s="67" t="s">
        <v>2435</v>
      </c>
      <c r="I1001" s="67" t="s">
        <v>852</v>
      </c>
      <c r="J1001" s="69" t="str">
        <f>+A8</f>
        <v>Revised:  11/25/13</v>
      </c>
      <c r="K1001" s="67"/>
      <c r="L1001" s="67"/>
      <c r="M1001" s="67"/>
      <c r="N1001" s="67"/>
      <c r="O1001" s="67"/>
      <c r="P1001" s="67"/>
      <c r="Q1001" s="67"/>
      <c r="R1001" s="67"/>
      <c r="S1001" s="561"/>
    </row>
    <row r="1002" spans="1:19" ht="15.75" customHeight="1" x14ac:dyDescent="0.35">
      <c r="A1002" s="551"/>
      <c r="B1002" s="67"/>
      <c r="C1002" s="215"/>
      <c r="D1002" s="215"/>
      <c r="E1002" s="215"/>
      <c r="F1002" s="215"/>
      <c r="G1002" s="215"/>
      <c r="H1002" s="67" t="s">
        <v>2126</v>
      </c>
      <c r="I1002" s="67"/>
      <c r="J1002" s="67"/>
      <c r="K1002" s="67"/>
      <c r="L1002" s="67"/>
      <c r="M1002" s="67"/>
      <c r="N1002" s="67"/>
      <c r="O1002" s="67"/>
      <c r="P1002" s="67"/>
      <c r="Q1002" s="67"/>
      <c r="R1002" s="67"/>
      <c r="S1002" s="561"/>
    </row>
    <row r="1003" spans="1:19" ht="15.75" customHeight="1" x14ac:dyDescent="0.35">
      <c r="A1003" s="551"/>
      <c r="B1003" s="67"/>
      <c r="C1003" s="215"/>
      <c r="D1003" s="215"/>
      <c r="E1003" s="215"/>
      <c r="F1003" s="215"/>
      <c r="G1003" s="215"/>
      <c r="H1003" s="67"/>
      <c r="I1003" s="67"/>
      <c r="J1003" s="67"/>
      <c r="K1003" s="67"/>
      <c r="L1003" s="67"/>
      <c r="M1003" s="67"/>
      <c r="N1003" s="67"/>
      <c r="O1003" s="67"/>
      <c r="P1003" s="67"/>
      <c r="Q1003" s="67"/>
      <c r="R1003" s="67"/>
      <c r="S1003" s="561"/>
    </row>
    <row r="1004" spans="1:19" ht="15.75" customHeight="1" x14ac:dyDescent="0.35">
      <c r="A1004" s="551"/>
      <c r="B1004" s="67"/>
      <c r="C1004" s="215"/>
      <c r="D1004" s="215"/>
      <c r="E1004" s="215"/>
      <c r="F1004" s="215"/>
      <c r="G1004" s="215"/>
      <c r="H1004" s="67" t="s">
        <v>2435</v>
      </c>
      <c r="I1004" s="67">
        <f>+A5</f>
        <v>2013</v>
      </c>
      <c r="J1004" s="67"/>
      <c r="K1004" s="67"/>
      <c r="L1004" s="67"/>
      <c r="M1004" s="67"/>
      <c r="N1004" s="67"/>
      <c r="O1004" s="67"/>
      <c r="P1004" s="67"/>
      <c r="Q1004" s="67"/>
      <c r="R1004" s="67"/>
      <c r="S1004" s="561"/>
    </row>
    <row r="1005" spans="1:19" ht="15.75" customHeight="1" x14ac:dyDescent="0.3">
      <c r="A1005" s="551"/>
      <c r="B1005" s="67"/>
      <c r="C1005" s="67"/>
      <c r="D1005" s="67"/>
      <c r="E1005" s="67"/>
      <c r="F1005" s="67"/>
      <c r="G1005" s="67"/>
      <c r="H1005" s="67"/>
      <c r="I1005" s="67"/>
      <c r="J1005" s="67"/>
      <c r="K1005" s="67"/>
      <c r="L1005" s="67"/>
      <c r="M1005" s="67"/>
      <c r="N1005" s="67"/>
      <c r="O1005" s="67"/>
      <c r="P1005" s="67"/>
      <c r="Q1005" s="67"/>
      <c r="R1005" s="67"/>
      <c r="S1005" s="561"/>
    </row>
    <row r="1006" spans="1:19" ht="15.75" customHeight="1" x14ac:dyDescent="0.3">
      <c r="A1006" s="551"/>
      <c r="B1006" s="67"/>
      <c r="C1006" s="71" t="s">
        <v>1442</v>
      </c>
      <c r="D1006" s="67"/>
      <c r="E1006" s="67"/>
      <c r="F1006" s="67"/>
      <c r="G1006" s="71" t="s">
        <v>1409</v>
      </c>
      <c r="H1006" s="67"/>
      <c r="I1006" s="67"/>
      <c r="J1006" s="67"/>
      <c r="K1006" s="68" t="s">
        <v>234</v>
      </c>
      <c r="L1006" s="67"/>
      <c r="M1006" s="67"/>
      <c r="N1006" s="67"/>
      <c r="O1006" s="68" t="s">
        <v>1701</v>
      </c>
      <c r="P1006" s="67"/>
      <c r="Q1006" s="67"/>
      <c r="R1006" s="67"/>
      <c r="S1006" s="561"/>
    </row>
    <row r="1007" spans="1:19" ht="15.75" customHeight="1" x14ac:dyDescent="0.3">
      <c r="A1007" s="551"/>
      <c r="B1007" s="67"/>
      <c r="C1007" s="67">
        <f>+A5</f>
        <v>2013</v>
      </c>
      <c r="D1007" s="67"/>
      <c r="E1007" s="67"/>
      <c r="F1007" s="67" t="s">
        <v>2415</v>
      </c>
      <c r="G1007" s="67"/>
      <c r="H1007" s="67"/>
      <c r="I1007" s="67"/>
      <c r="J1007" s="67"/>
      <c r="K1007" s="67">
        <f>+A5</f>
        <v>2013</v>
      </c>
      <c r="L1007" s="67"/>
      <c r="M1007" s="67"/>
      <c r="N1007" s="67"/>
      <c r="O1007" s="67">
        <f>+A5</f>
        <v>2013</v>
      </c>
      <c r="P1007" s="67"/>
      <c r="Q1007" s="67"/>
      <c r="R1007" s="67"/>
      <c r="S1007" s="561"/>
    </row>
    <row r="1008" spans="1:19" ht="15.75" customHeight="1" x14ac:dyDescent="0.3">
      <c r="A1008" s="551"/>
      <c r="B1008" s="67"/>
      <c r="C1008" s="67"/>
      <c r="D1008" s="67"/>
      <c r="E1008" s="67"/>
      <c r="F1008" s="67"/>
      <c r="G1008" s="67">
        <f>+A5</f>
        <v>2013</v>
      </c>
      <c r="H1008" s="67"/>
      <c r="I1008" s="67"/>
      <c r="J1008" s="67"/>
      <c r="K1008" s="67"/>
      <c r="L1008" s="67"/>
      <c r="M1008" s="67"/>
      <c r="N1008" s="67"/>
      <c r="O1008" s="67"/>
      <c r="P1008" s="67"/>
      <c r="Q1008" s="67"/>
      <c r="R1008" s="67"/>
      <c r="S1008" s="561"/>
    </row>
    <row r="1009" spans="1:19" ht="15.75" customHeight="1" x14ac:dyDescent="0.3">
      <c r="A1009" s="551"/>
      <c r="B1009" s="67"/>
      <c r="C1009" s="70" t="s">
        <v>1413</v>
      </c>
      <c r="D1009" s="70" t="s">
        <v>31</v>
      </c>
      <c r="E1009" s="70" t="s">
        <v>32</v>
      </c>
      <c r="F1009" s="67"/>
      <c r="G1009" s="70" t="s">
        <v>1412</v>
      </c>
      <c r="H1009" s="70" t="s">
        <v>31</v>
      </c>
      <c r="I1009" s="70" t="s">
        <v>1077</v>
      </c>
      <c r="J1009" s="67"/>
      <c r="K1009" s="70" t="s">
        <v>229</v>
      </c>
      <c r="L1009" s="70" t="s">
        <v>31</v>
      </c>
      <c r="M1009" s="70" t="s">
        <v>1078</v>
      </c>
      <c r="N1009" s="67"/>
      <c r="O1009" s="70" t="s">
        <v>229</v>
      </c>
      <c r="P1009" s="70" t="s">
        <v>31</v>
      </c>
      <c r="Q1009" s="70" t="s">
        <v>1078</v>
      </c>
      <c r="R1009" s="67"/>
      <c r="S1009" s="561"/>
    </row>
    <row r="1010" spans="1:19" ht="15.75" customHeight="1" x14ac:dyDescent="0.3">
      <c r="A1010" s="551"/>
      <c r="B1010" s="67"/>
      <c r="C1010" s="70" t="s">
        <v>429</v>
      </c>
      <c r="D1010" s="70" t="s">
        <v>335</v>
      </c>
      <c r="E1010" s="70" t="s">
        <v>2000</v>
      </c>
      <c r="F1010" s="67"/>
      <c r="G1010" s="70" t="s">
        <v>1318</v>
      </c>
      <c r="H1010" s="70" t="s">
        <v>335</v>
      </c>
      <c r="I1010" s="70" t="s">
        <v>2000</v>
      </c>
      <c r="J1010" s="67"/>
      <c r="K1010" s="70" t="s">
        <v>1180</v>
      </c>
      <c r="L1010" s="70" t="s">
        <v>335</v>
      </c>
      <c r="M1010" s="70" t="s">
        <v>2000</v>
      </c>
      <c r="N1010" s="67"/>
      <c r="O1010" s="70" t="s">
        <v>1180</v>
      </c>
      <c r="P1010" s="70" t="s">
        <v>335</v>
      </c>
      <c r="Q1010" s="70" t="s">
        <v>2000</v>
      </c>
      <c r="R1010" s="67"/>
      <c r="S1010" s="561"/>
    </row>
    <row r="1011" spans="1:19" ht="15.75" customHeight="1" x14ac:dyDescent="0.3">
      <c r="A1011" s="551"/>
      <c r="B1011" s="67"/>
      <c r="C1011" s="70" t="s">
        <v>335</v>
      </c>
      <c r="D1011" s="70" t="s">
        <v>956</v>
      </c>
      <c r="E1011" s="70" t="s">
        <v>242</v>
      </c>
      <c r="F1011" s="67"/>
      <c r="G1011" s="70" t="s">
        <v>134</v>
      </c>
      <c r="H1011" s="70" t="s">
        <v>956</v>
      </c>
      <c r="I1011" s="70" t="s">
        <v>242</v>
      </c>
      <c r="J1011" s="67"/>
      <c r="K1011" s="70" t="s">
        <v>335</v>
      </c>
      <c r="L1011" s="70" t="s">
        <v>956</v>
      </c>
      <c r="M1011" s="70" t="s">
        <v>242</v>
      </c>
      <c r="N1011" s="67"/>
      <c r="O1011" s="70" t="s">
        <v>335</v>
      </c>
      <c r="P1011" s="70" t="s">
        <v>956</v>
      </c>
      <c r="Q1011" s="70" t="s">
        <v>242</v>
      </c>
      <c r="R1011" s="67"/>
      <c r="S1011" s="561"/>
    </row>
    <row r="1012" spans="1:19" ht="15.75" customHeight="1" x14ac:dyDescent="0.3">
      <c r="A1012" s="551"/>
      <c r="B1012" s="67"/>
      <c r="C1012" s="70" t="s">
        <v>932</v>
      </c>
      <c r="D1012" s="70" t="s">
        <v>1917</v>
      </c>
      <c r="E1012" s="70" t="s">
        <v>1481</v>
      </c>
      <c r="F1012" s="67"/>
      <c r="G1012" s="70" t="s">
        <v>932</v>
      </c>
      <c r="H1012" s="70" t="s">
        <v>1917</v>
      </c>
      <c r="I1012" s="70" t="s">
        <v>1481</v>
      </c>
      <c r="J1012" s="67"/>
      <c r="K1012" s="70" t="s">
        <v>932</v>
      </c>
      <c r="L1012" s="70" t="s">
        <v>1917</v>
      </c>
      <c r="M1012" s="70" t="s">
        <v>1481</v>
      </c>
      <c r="N1012" s="67"/>
      <c r="O1012" s="70" t="s">
        <v>932</v>
      </c>
      <c r="P1012" s="70" t="s">
        <v>1917</v>
      </c>
      <c r="Q1012" s="70" t="s">
        <v>1481</v>
      </c>
      <c r="R1012" s="67"/>
      <c r="S1012" s="561"/>
    </row>
    <row r="1013" spans="1:19" ht="15.75" customHeight="1" x14ac:dyDescent="0.3">
      <c r="A1013" s="551"/>
      <c r="B1013" s="67"/>
      <c r="C1013" s="67" t="s">
        <v>1353</v>
      </c>
      <c r="D1013" s="67" t="s">
        <v>1353</v>
      </c>
      <c r="E1013" s="67" t="s">
        <v>1353</v>
      </c>
      <c r="F1013" s="67"/>
      <c r="G1013" s="70" t="s">
        <v>1353</v>
      </c>
      <c r="H1013" s="70" t="s">
        <v>1353</v>
      </c>
      <c r="I1013" s="70" t="s">
        <v>1353</v>
      </c>
      <c r="J1013" s="67"/>
      <c r="K1013" s="67" t="s">
        <v>1353</v>
      </c>
      <c r="L1013" s="67" t="s">
        <v>1353</v>
      </c>
      <c r="M1013" s="67" t="s">
        <v>1353</v>
      </c>
      <c r="N1013" s="67"/>
      <c r="O1013" s="67" t="s">
        <v>1353</v>
      </c>
      <c r="P1013" s="67" t="s">
        <v>1353</v>
      </c>
      <c r="Q1013" s="67" t="s">
        <v>1353</v>
      </c>
      <c r="R1013" s="67"/>
      <c r="S1013" s="561"/>
    </row>
    <row r="1014" spans="1:19" ht="15.75" customHeight="1" x14ac:dyDescent="0.3">
      <c r="A1014" s="553" t="s">
        <v>1354</v>
      </c>
      <c r="B1014" s="67"/>
      <c r="C1014" s="67">
        <f t="shared" ref="C1014:C1025" si="227">(P886)</f>
        <v>-33866</v>
      </c>
      <c r="D1014" s="72">
        <v>0</v>
      </c>
      <c r="E1014" s="73">
        <f t="shared" ref="E1014:E1025" si="228">(P886*D1014/1000)</f>
        <v>0</v>
      </c>
      <c r="F1014" s="67"/>
      <c r="G1014" s="67">
        <v>0</v>
      </c>
      <c r="H1014" s="72">
        <v>0</v>
      </c>
      <c r="I1014" s="73">
        <f t="shared" ref="I1014:I1025" si="229">(G1014*H1014/1000)</f>
        <v>0</v>
      </c>
      <c r="J1014" s="67"/>
      <c r="K1014" s="589">
        <v>10653</v>
      </c>
      <c r="L1014" s="590">
        <v>0</v>
      </c>
      <c r="M1014" s="73">
        <f t="shared" ref="M1014:M1025" si="230">(K1014*L1014/1000)</f>
        <v>0</v>
      </c>
      <c r="N1014" s="67"/>
      <c r="O1014" s="589">
        <v>0</v>
      </c>
      <c r="P1014" s="72">
        <v>0</v>
      </c>
      <c r="Q1014" s="73">
        <f t="shared" ref="Q1014:Q1025" si="231">(O1014*P1014/1000)</f>
        <v>0</v>
      </c>
      <c r="R1014" s="67"/>
      <c r="S1014" s="561"/>
    </row>
    <row r="1015" spans="1:19" ht="15.75" customHeight="1" x14ac:dyDescent="0.3">
      <c r="A1015" s="553" t="s">
        <v>706</v>
      </c>
      <c r="B1015" s="67"/>
      <c r="C1015" s="67">
        <f t="shared" si="227"/>
        <v>7679</v>
      </c>
      <c r="D1015" s="72">
        <v>0</v>
      </c>
      <c r="E1015" s="73">
        <f t="shared" si="228"/>
        <v>0</v>
      </c>
      <c r="F1015" s="67"/>
      <c r="G1015" s="67" t="e">
        <f>#REF!</f>
        <v>#REF!</v>
      </c>
      <c r="H1015" s="72">
        <v>0</v>
      </c>
      <c r="I1015" s="73" t="e">
        <f t="shared" si="229"/>
        <v>#REF!</v>
      </c>
      <c r="J1015" s="67"/>
      <c r="K1015" s="589">
        <v>11930</v>
      </c>
      <c r="L1015" s="590">
        <v>0</v>
      </c>
      <c r="M1015" s="73">
        <f t="shared" si="230"/>
        <v>0</v>
      </c>
      <c r="N1015" s="67"/>
      <c r="O1015" s="589">
        <v>0</v>
      </c>
      <c r="P1015" s="72">
        <v>0</v>
      </c>
      <c r="Q1015" s="73">
        <f t="shared" si="231"/>
        <v>0</v>
      </c>
      <c r="R1015" s="67"/>
      <c r="S1015" s="561"/>
    </row>
    <row r="1016" spans="1:19" ht="15.75" customHeight="1" x14ac:dyDescent="0.3">
      <c r="A1016" s="553" t="s">
        <v>707</v>
      </c>
      <c r="B1016" s="67"/>
      <c r="C1016" s="67">
        <f t="shared" si="227"/>
        <v>-9934</v>
      </c>
      <c r="D1016" s="72">
        <v>0</v>
      </c>
      <c r="E1016" s="73">
        <f t="shared" si="228"/>
        <v>0</v>
      </c>
      <c r="F1016" s="67">
        <f>SUM(E1014:E1016)</f>
        <v>0</v>
      </c>
      <c r="G1016" s="67" t="e">
        <f>#REF!</f>
        <v>#REF!</v>
      </c>
      <c r="H1016" s="72">
        <v>0</v>
      </c>
      <c r="I1016" s="73" t="e">
        <f t="shared" si="229"/>
        <v>#REF!</v>
      </c>
      <c r="J1016" s="67" t="e">
        <f>SUM(I1014:I1016)</f>
        <v>#REF!</v>
      </c>
      <c r="K1016" s="589">
        <v>17147</v>
      </c>
      <c r="L1016" s="590">
        <v>0</v>
      </c>
      <c r="M1016" s="73">
        <f t="shared" si="230"/>
        <v>0</v>
      </c>
      <c r="N1016" s="67">
        <f>SUM(M1014:M1016)</f>
        <v>0</v>
      </c>
      <c r="O1016" s="589">
        <v>0</v>
      </c>
      <c r="P1016" s="72">
        <v>0</v>
      </c>
      <c r="Q1016" s="73">
        <f t="shared" si="231"/>
        <v>0</v>
      </c>
      <c r="R1016" s="67">
        <f>SUM(Q1014:Q1016)</f>
        <v>0</v>
      </c>
      <c r="S1016" s="561"/>
    </row>
    <row r="1017" spans="1:19" ht="15.75" customHeight="1" x14ac:dyDescent="0.3">
      <c r="A1017" s="553" t="s">
        <v>1321</v>
      </c>
      <c r="B1017" s="67"/>
      <c r="C1017" s="67">
        <f t="shared" si="227"/>
        <v>-44038</v>
      </c>
      <c r="D1017" s="72">
        <v>0</v>
      </c>
      <c r="E1017" s="73">
        <f t="shared" si="228"/>
        <v>0</v>
      </c>
      <c r="F1017" s="67"/>
      <c r="G1017" s="67" t="e">
        <f>#REF!</f>
        <v>#REF!</v>
      </c>
      <c r="H1017" s="72">
        <v>0</v>
      </c>
      <c r="I1017" s="73" t="e">
        <f t="shared" si="229"/>
        <v>#REF!</v>
      </c>
      <c r="J1017" s="67"/>
      <c r="K1017" s="589">
        <v>19834</v>
      </c>
      <c r="L1017" s="590">
        <v>0</v>
      </c>
      <c r="M1017" s="73">
        <f t="shared" si="230"/>
        <v>0</v>
      </c>
      <c r="N1017" s="67"/>
      <c r="O1017" s="589">
        <v>0</v>
      </c>
      <c r="P1017" s="72">
        <v>0</v>
      </c>
      <c r="Q1017" s="73">
        <f t="shared" si="231"/>
        <v>0</v>
      </c>
      <c r="R1017" s="67"/>
      <c r="S1017" s="561"/>
    </row>
    <row r="1018" spans="1:19" ht="15.75" customHeight="1" x14ac:dyDescent="0.3">
      <c r="A1018" s="553" t="s">
        <v>1905</v>
      </c>
      <c r="B1018" s="67"/>
      <c r="C1018" s="67">
        <f t="shared" si="227"/>
        <v>-11978</v>
      </c>
      <c r="D1018" s="72">
        <v>0</v>
      </c>
      <c r="E1018" s="73">
        <f t="shared" si="228"/>
        <v>0</v>
      </c>
      <c r="F1018" s="67"/>
      <c r="G1018" s="67" t="e">
        <f>#REF!</f>
        <v>#REF!</v>
      </c>
      <c r="H1018" s="72">
        <v>0</v>
      </c>
      <c r="I1018" s="73" t="e">
        <f t="shared" si="229"/>
        <v>#REF!</v>
      </c>
      <c r="J1018" s="67"/>
      <c r="K1018" s="589">
        <v>16704</v>
      </c>
      <c r="L1018" s="590">
        <v>0</v>
      </c>
      <c r="M1018" s="73">
        <f t="shared" si="230"/>
        <v>0</v>
      </c>
      <c r="N1018" s="67"/>
      <c r="O1018" s="589">
        <v>0</v>
      </c>
      <c r="P1018" s="72">
        <v>0</v>
      </c>
      <c r="Q1018" s="73">
        <f t="shared" si="231"/>
        <v>0</v>
      </c>
      <c r="R1018" s="67"/>
      <c r="S1018" s="561"/>
    </row>
    <row r="1019" spans="1:19" ht="15.75" customHeight="1" x14ac:dyDescent="0.3">
      <c r="A1019" s="553" t="s">
        <v>1906</v>
      </c>
      <c r="B1019" s="67"/>
      <c r="C1019" s="67">
        <f t="shared" si="227"/>
        <v>-19635</v>
      </c>
      <c r="D1019" s="72">
        <v>0</v>
      </c>
      <c r="E1019" s="73">
        <f t="shared" si="228"/>
        <v>0</v>
      </c>
      <c r="F1019" s="67">
        <f>SUM(E1017:E1019)</f>
        <v>0</v>
      </c>
      <c r="G1019" s="67" t="e">
        <f>#REF!</f>
        <v>#REF!</v>
      </c>
      <c r="H1019" s="72">
        <v>0</v>
      </c>
      <c r="I1019" s="73" t="e">
        <f t="shared" si="229"/>
        <v>#REF!</v>
      </c>
      <c r="J1019" s="67" t="e">
        <f>SUM(I1017:I1019)</f>
        <v>#REF!</v>
      </c>
      <c r="K1019" s="589">
        <v>15526</v>
      </c>
      <c r="L1019" s="590">
        <v>0</v>
      </c>
      <c r="M1019" s="73">
        <f t="shared" si="230"/>
        <v>0</v>
      </c>
      <c r="N1019" s="67">
        <f>SUM(M1017:M1019)</f>
        <v>0</v>
      </c>
      <c r="O1019" s="589">
        <v>0</v>
      </c>
      <c r="P1019" s="72">
        <v>0</v>
      </c>
      <c r="Q1019" s="73">
        <f t="shared" si="231"/>
        <v>0</v>
      </c>
      <c r="R1019" s="67">
        <f>SUM(Q1017:Q1019)</f>
        <v>0</v>
      </c>
      <c r="S1019" s="561"/>
    </row>
    <row r="1020" spans="1:19" ht="15.75" customHeight="1" x14ac:dyDescent="0.3">
      <c r="A1020" s="553" t="s">
        <v>1907</v>
      </c>
      <c r="B1020" s="67"/>
      <c r="C1020" s="67">
        <f t="shared" si="227"/>
        <v>-8571</v>
      </c>
      <c r="D1020" s="72">
        <v>0</v>
      </c>
      <c r="E1020" s="73">
        <f t="shared" si="228"/>
        <v>0</v>
      </c>
      <c r="F1020" s="67"/>
      <c r="G1020" s="67" t="e">
        <f>#REF!</f>
        <v>#REF!</v>
      </c>
      <c r="H1020" s="72">
        <v>0</v>
      </c>
      <c r="I1020" s="73" t="e">
        <f t="shared" si="229"/>
        <v>#REF!</v>
      </c>
      <c r="J1020" s="67"/>
      <c r="K1020" s="589">
        <v>13264</v>
      </c>
      <c r="L1020" s="590">
        <v>0</v>
      </c>
      <c r="M1020" s="73">
        <f t="shared" si="230"/>
        <v>0</v>
      </c>
      <c r="N1020" s="67"/>
      <c r="O1020" s="589">
        <v>0</v>
      </c>
      <c r="P1020" s="72">
        <v>0</v>
      </c>
      <c r="Q1020" s="73">
        <f t="shared" si="231"/>
        <v>0</v>
      </c>
      <c r="R1020" s="67"/>
      <c r="S1020" s="561"/>
    </row>
    <row r="1021" spans="1:19" ht="15.75" customHeight="1" x14ac:dyDescent="0.3">
      <c r="A1021" s="553" t="s">
        <v>1908</v>
      </c>
      <c r="B1021" s="67"/>
      <c r="C1021" s="67">
        <f t="shared" si="227"/>
        <v>12556</v>
      </c>
      <c r="D1021" s="72">
        <v>0</v>
      </c>
      <c r="E1021" s="73">
        <f t="shared" si="228"/>
        <v>0</v>
      </c>
      <c r="F1021" s="67"/>
      <c r="G1021" s="67" t="e">
        <f>#REF!</f>
        <v>#REF!</v>
      </c>
      <c r="H1021" s="72">
        <v>0</v>
      </c>
      <c r="I1021" s="73" t="e">
        <f t="shared" si="229"/>
        <v>#REF!</v>
      </c>
      <c r="J1021" s="67"/>
      <c r="K1021" s="589">
        <v>11537</v>
      </c>
      <c r="L1021" s="590">
        <v>0</v>
      </c>
      <c r="M1021" s="73">
        <f t="shared" si="230"/>
        <v>0</v>
      </c>
      <c r="N1021" s="67"/>
      <c r="O1021" s="589">
        <v>0</v>
      </c>
      <c r="P1021" s="72">
        <v>0</v>
      </c>
      <c r="Q1021" s="73">
        <f t="shared" si="231"/>
        <v>0</v>
      </c>
      <c r="R1021" s="67"/>
      <c r="S1021" s="561"/>
    </row>
    <row r="1022" spans="1:19" ht="15.75" customHeight="1" x14ac:dyDescent="0.3">
      <c r="A1022" s="553" t="s">
        <v>2352</v>
      </c>
      <c r="B1022" s="67"/>
      <c r="C1022" s="67">
        <f t="shared" si="227"/>
        <v>36894</v>
      </c>
      <c r="D1022" s="72">
        <v>0</v>
      </c>
      <c r="E1022" s="73">
        <f t="shared" si="228"/>
        <v>0</v>
      </c>
      <c r="F1022" s="67">
        <f>SUM(E1020:E1022)</f>
        <v>0</v>
      </c>
      <c r="G1022" s="67" t="e">
        <f>#REF!</f>
        <v>#REF!</v>
      </c>
      <c r="H1022" s="72">
        <v>0</v>
      </c>
      <c r="I1022" s="73" t="e">
        <f t="shared" si="229"/>
        <v>#REF!</v>
      </c>
      <c r="J1022" s="67" t="e">
        <f>SUM(I1020:I1022)</f>
        <v>#REF!</v>
      </c>
      <c r="K1022" s="589">
        <v>7751</v>
      </c>
      <c r="L1022" s="590">
        <v>0</v>
      </c>
      <c r="M1022" s="73">
        <f t="shared" si="230"/>
        <v>0</v>
      </c>
      <c r="N1022" s="67">
        <f>SUM(M1020:M1022)</f>
        <v>0</v>
      </c>
      <c r="O1022" s="589">
        <v>0</v>
      </c>
      <c r="P1022" s="72">
        <v>0</v>
      </c>
      <c r="Q1022" s="73">
        <f t="shared" si="231"/>
        <v>0</v>
      </c>
      <c r="R1022" s="67">
        <f>SUM(Q1020:Q1022)</f>
        <v>0</v>
      </c>
      <c r="S1022" s="561"/>
    </row>
    <row r="1023" spans="1:19" ht="15.75" customHeight="1" x14ac:dyDescent="0.3">
      <c r="A1023" s="553" t="s">
        <v>2353</v>
      </c>
      <c r="B1023" s="67"/>
      <c r="C1023" s="67">
        <f t="shared" si="227"/>
        <v>35137</v>
      </c>
      <c r="D1023" s="72">
        <v>0</v>
      </c>
      <c r="E1023" s="73">
        <f t="shared" si="228"/>
        <v>0</v>
      </c>
      <c r="F1023" s="67"/>
      <c r="G1023" s="67" t="e">
        <f>#REF!</f>
        <v>#REF!</v>
      </c>
      <c r="H1023" s="72">
        <v>0</v>
      </c>
      <c r="I1023" s="73" t="e">
        <f t="shared" si="229"/>
        <v>#REF!</v>
      </c>
      <c r="J1023" s="67"/>
      <c r="K1023" s="589">
        <v>11649</v>
      </c>
      <c r="L1023" s="590">
        <v>0</v>
      </c>
      <c r="M1023" s="73">
        <f t="shared" si="230"/>
        <v>0</v>
      </c>
      <c r="N1023" s="67"/>
      <c r="O1023" s="589">
        <v>0</v>
      </c>
      <c r="P1023" s="72">
        <v>0</v>
      </c>
      <c r="Q1023" s="73">
        <f t="shared" si="231"/>
        <v>0</v>
      </c>
      <c r="R1023" s="67"/>
      <c r="S1023" s="561"/>
    </row>
    <row r="1024" spans="1:19" ht="15.75" customHeight="1" x14ac:dyDescent="0.3">
      <c r="A1024" s="553" t="s">
        <v>2354</v>
      </c>
      <c r="B1024" s="67"/>
      <c r="C1024" s="67">
        <f t="shared" si="227"/>
        <v>-13762</v>
      </c>
      <c r="D1024" s="72">
        <v>0</v>
      </c>
      <c r="E1024" s="73">
        <f t="shared" si="228"/>
        <v>0</v>
      </c>
      <c r="F1024" s="67"/>
      <c r="G1024" s="67" t="e">
        <f>#REF!</f>
        <v>#REF!</v>
      </c>
      <c r="H1024" s="72">
        <v>0</v>
      </c>
      <c r="I1024" s="73" t="e">
        <f t="shared" si="229"/>
        <v>#REF!</v>
      </c>
      <c r="J1024" s="67"/>
      <c r="K1024" s="589">
        <v>8035</v>
      </c>
      <c r="L1024" s="590">
        <v>0</v>
      </c>
      <c r="M1024" s="73">
        <f t="shared" si="230"/>
        <v>0</v>
      </c>
      <c r="N1024" s="67"/>
      <c r="O1024" s="589">
        <v>0</v>
      </c>
      <c r="P1024" s="72">
        <v>0</v>
      </c>
      <c r="Q1024" s="73">
        <f t="shared" si="231"/>
        <v>0</v>
      </c>
      <c r="R1024" s="67"/>
      <c r="S1024" s="561"/>
    </row>
    <row r="1025" spans="1:19" ht="15.75" customHeight="1" x14ac:dyDescent="0.3">
      <c r="A1025" s="553" t="s">
        <v>2355</v>
      </c>
      <c r="B1025" s="67"/>
      <c r="C1025" s="67">
        <f t="shared" si="227"/>
        <v>-16373</v>
      </c>
      <c r="D1025" s="72">
        <v>0</v>
      </c>
      <c r="E1025" s="73">
        <f t="shared" si="228"/>
        <v>0</v>
      </c>
      <c r="F1025" s="67">
        <f>SUM(E1023:E1025)</f>
        <v>0</v>
      </c>
      <c r="G1025" s="67" t="e">
        <f>#REF!</f>
        <v>#REF!</v>
      </c>
      <c r="H1025" s="72">
        <v>0</v>
      </c>
      <c r="I1025" s="73" t="e">
        <f t="shared" si="229"/>
        <v>#REF!</v>
      </c>
      <c r="J1025" s="67" t="e">
        <f>SUM(I1023:I1025)</f>
        <v>#REF!</v>
      </c>
      <c r="K1025" s="589">
        <v>8092</v>
      </c>
      <c r="L1025" s="590">
        <v>0</v>
      </c>
      <c r="M1025" s="73">
        <f t="shared" si="230"/>
        <v>0</v>
      </c>
      <c r="N1025" s="67">
        <f>SUM(M1023:M1025)</f>
        <v>0</v>
      </c>
      <c r="O1025" s="589">
        <v>0</v>
      </c>
      <c r="P1025" s="72">
        <v>0</v>
      </c>
      <c r="Q1025" s="73">
        <f t="shared" si="231"/>
        <v>0</v>
      </c>
      <c r="R1025" s="67">
        <f>SUM(Q1023:Q1025)</f>
        <v>0</v>
      </c>
      <c r="S1025" s="561"/>
    </row>
    <row r="1026" spans="1:19" ht="15.75" customHeight="1" x14ac:dyDescent="0.3">
      <c r="A1026" s="551"/>
      <c r="B1026" s="67"/>
      <c r="C1026" s="67"/>
      <c r="D1026" s="67"/>
      <c r="E1026" s="67"/>
      <c r="F1026" s="67"/>
      <c r="G1026" s="67"/>
      <c r="H1026" s="67"/>
      <c r="I1026" s="67"/>
      <c r="J1026" s="67"/>
      <c r="K1026" s="67"/>
      <c r="L1026" s="67"/>
      <c r="M1026" s="67"/>
      <c r="N1026" s="67"/>
      <c r="O1026" s="67"/>
      <c r="P1026" s="67"/>
      <c r="Q1026" s="67"/>
      <c r="R1026" s="67"/>
      <c r="S1026" s="561"/>
    </row>
    <row r="1027" spans="1:19" ht="15.75" customHeight="1" x14ac:dyDescent="0.3">
      <c r="A1027" s="551"/>
      <c r="B1027" s="67"/>
      <c r="C1027" s="67"/>
      <c r="D1027" s="67"/>
      <c r="E1027" s="67"/>
      <c r="F1027" s="67"/>
      <c r="G1027" s="67"/>
      <c r="H1027" s="67"/>
      <c r="I1027" s="67"/>
      <c r="J1027" s="67"/>
      <c r="K1027" s="67"/>
      <c r="L1027" s="67"/>
      <c r="M1027" s="67"/>
      <c r="N1027" s="67"/>
      <c r="O1027" s="67"/>
      <c r="P1027" s="67"/>
      <c r="Q1027" s="67"/>
      <c r="R1027" s="67"/>
      <c r="S1027" s="561"/>
    </row>
    <row r="1028" spans="1:19" ht="16.5" customHeight="1" thickBot="1" x14ac:dyDescent="0.35">
      <c r="A1028" s="554" t="s">
        <v>2356</v>
      </c>
      <c r="B1028" s="555"/>
      <c r="C1028" s="555">
        <f>SUM(C1014:C1025)</f>
        <v>-65891</v>
      </c>
      <c r="D1028" s="555"/>
      <c r="E1028" s="567">
        <f>SUM(E1014:E1025)</f>
        <v>0</v>
      </c>
      <c r="F1028" s="555"/>
      <c r="G1028" s="555" t="e">
        <f>SUM(G1014:G1025)</f>
        <v>#REF!</v>
      </c>
      <c r="H1028" s="555" t="s">
        <v>2435</v>
      </c>
      <c r="I1028" s="567" t="e">
        <f>SUM(I1014:I1025)</f>
        <v>#REF!</v>
      </c>
      <c r="J1028" s="555"/>
      <c r="K1028" s="555">
        <f>SUM(K1014:K1025)</f>
        <v>152122</v>
      </c>
      <c r="L1028" s="555" t="s">
        <v>2435</v>
      </c>
      <c r="M1028" s="567">
        <f>SUM(M1014:M1025)</f>
        <v>0</v>
      </c>
      <c r="N1028" s="555"/>
      <c r="O1028" s="555">
        <f>(SUM(O1014:O1025))</f>
        <v>0</v>
      </c>
      <c r="P1028" s="555" t="s">
        <v>2435</v>
      </c>
      <c r="Q1028" s="567">
        <f>SUM(Q1014:Q1025)</f>
        <v>0</v>
      </c>
      <c r="R1028" s="555"/>
      <c r="S1028" s="565"/>
    </row>
  </sheetData>
  <scenarios current="0">
    <scenario name="Jan" count="1" user="Windows User" comment="Created by Windows User on 4/11/2013">
      <inputCells r="B265" val="57771.3688407242" numFmtId="37"/>
    </scenario>
  </scenarios>
  <autoFilter ref="A31:R1028" xr:uid="{00000000-0009-0000-0000-00000E000000}"/>
  <mergeCells count="61">
    <mergeCell ref="A769:R769"/>
    <mergeCell ref="A770:R770"/>
    <mergeCell ref="A8:R8"/>
    <mergeCell ref="A2:R2"/>
    <mergeCell ref="A3:R3"/>
    <mergeCell ref="A4:R4"/>
    <mergeCell ref="A5:R5"/>
    <mergeCell ref="A6:R6"/>
    <mergeCell ref="A728:R728"/>
    <mergeCell ref="A729:R729"/>
    <mergeCell ref="A730:R730"/>
    <mergeCell ref="A731:R731"/>
    <mergeCell ref="A733:R733"/>
    <mergeCell ref="A771:R771"/>
    <mergeCell ref="A772:R772"/>
    <mergeCell ref="A774:R774"/>
    <mergeCell ref="B824:P824"/>
    <mergeCell ref="B825:P825"/>
    <mergeCell ref="B797:P797"/>
    <mergeCell ref="B821:P821"/>
    <mergeCell ref="B822:P822"/>
    <mergeCell ref="B823:P823"/>
    <mergeCell ref="B792:P792"/>
    <mergeCell ref="B793:P793"/>
    <mergeCell ref="B794:P794"/>
    <mergeCell ref="B795:P795"/>
    <mergeCell ref="B796:P796"/>
    <mergeCell ref="B826:P826"/>
    <mergeCell ref="B847:P847"/>
    <mergeCell ref="B848:P848"/>
    <mergeCell ref="B849:P849"/>
    <mergeCell ref="B851:P851"/>
    <mergeCell ref="B852:P852"/>
    <mergeCell ref="B930:P930"/>
    <mergeCell ref="B931:P931"/>
    <mergeCell ref="G880:L880"/>
    <mergeCell ref="M880:O880"/>
    <mergeCell ref="B932:P932"/>
    <mergeCell ref="B876:P876"/>
    <mergeCell ref="B877:P877"/>
    <mergeCell ref="B878:P878"/>
    <mergeCell ref="B879:P879"/>
    <mergeCell ref="B906:P906"/>
    <mergeCell ref="P880:R880"/>
    <mergeCell ref="M908:O908"/>
    <mergeCell ref="M881:O881"/>
    <mergeCell ref="B907:F907"/>
    <mergeCell ref="G907:L907"/>
    <mergeCell ref="M907:O907"/>
    <mergeCell ref="P907:R907"/>
    <mergeCell ref="B880:F880"/>
    <mergeCell ref="B957:P957"/>
    <mergeCell ref="B959:P959"/>
    <mergeCell ref="B960:P960"/>
    <mergeCell ref="B962:I962"/>
    <mergeCell ref="J962:M962"/>
    <mergeCell ref="B934:P934"/>
    <mergeCell ref="B935:P935"/>
    <mergeCell ref="B936:C936"/>
    <mergeCell ref="B955:P955"/>
    <mergeCell ref="B956:P956"/>
  </mergeCells>
  <conditionalFormatting sqref="P886:P899">
    <cfRule type="cellIs" dxfId="7" priority="5" operator="lessThan">
      <formula>0</formula>
    </cfRule>
    <cfRule type="cellIs" dxfId="6" priority="6" operator="greaterThan">
      <formula>0</formula>
    </cfRule>
  </conditionalFormatting>
  <conditionalFormatting sqref="P913:P924">
    <cfRule type="cellIs" dxfId="5" priority="1" operator="lessThan">
      <formula>0</formula>
    </cfRule>
    <cfRule type="cellIs" dxfId="4" priority="2" operator="greaterThan">
      <formula>0</formula>
    </cfRule>
  </conditionalFormatting>
  <printOptions horizontalCentered="1"/>
  <pageMargins left="0.25" right="0.25" top="0.25" bottom="0.25" header="0" footer="0"/>
  <pageSetup paperSize="17" scale="82" orientation="landscape" r:id="rId1"/>
  <headerFooter alignWithMargins="0"/>
  <rowBreaks count="5" manualBreakCount="5">
    <brk id="725" max="17" man="1"/>
    <brk id="765" max="17" man="1"/>
    <brk id="818" max="18" man="1"/>
    <brk id="846" max="18" man="1"/>
    <brk id="825" min="28" max="46"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pageSetUpPr fitToPage="1"/>
  </sheetPr>
  <dimension ref="A1:AJ990"/>
  <sheetViews>
    <sheetView zoomScale="70" zoomScaleNormal="70" workbookViewId="0">
      <selection activeCell="B773" sqref="B773:B784"/>
    </sheetView>
  </sheetViews>
  <sheetFormatPr defaultRowHeight="15.6" x14ac:dyDescent="0.3"/>
  <cols>
    <col min="1" max="1" width="40.90625" customWidth="1"/>
    <col min="2" max="3" width="11" bestFit="1" customWidth="1"/>
    <col min="4" max="4" width="11.1796875" customWidth="1"/>
    <col min="5" max="5" width="11.81640625" customWidth="1"/>
    <col min="6" max="6" width="11.54296875" customWidth="1"/>
    <col min="7" max="8" width="9.453125" bestFit="1" customWidth="1"/>
    <col min="9" max="9" width="11.08984375" customWidth="1"/>
    <col min="10" max="12" width="9.453125" bestFit="1" customWidth="1"/>
    <col min="13" max="13" width="12.6328125" customWidth="1"/>
    <col min="14" max="14" width="9.453125" bestFit="1" customWidth="1"/>
    <col min="15" max="15" width="10" bestFit="1" customWidth="1"/>
    <col min="16" max="16" width="9.453125" bestFit="1" customWidth="1"/>
    <col min="17" max="17" width="11" customWidth="1"/>
    <col min="18" max="18" width="12" customWidth="1"/>
    <col min="20" max="20" width="9.453125" bestFit="1" customWidth="1"/>
  </cols>
  <sheetData>
    <row r="1" spans="1:36" x14ac:dyDescent="0.3">
      <c r="A1" s="10"/>
      <c r="B1" s="10"/>
      <c r="C1" s="10"/>
      <c r="D1" s="10"/>
      <c r="E1" s="10"/>
      <c r="F1" s="10"/>
      <c r="G1" s="10"/>
      <c r="H1" s="10"/>
      <c r="I1" s="10"/>
      <c r="J1" s="10"/>
      <c r="K1" s="10"/>
      <c r="L1" s="10"/>
      <c r="M1" s="10"/>
      <c r="N1" s="10"/>
      <c r="O1" s="10"/>
      <c r="P1" s="10"/>
      <c r="Q1" s="17" t="s">
        <v>1496</v>
      </c>
      <c r="R1" s="76">
        <f ca="1">NOW()</f>
        <v>44881.72963425926</v>
      </c>
    </row>
    <row r="2" spans="1:36" ht="19.8" x14ac:dyDescent="0.35">
      <c r="A2" s="779" t="s">
        <v>43</v>
      </c>
      <c r="B2" s="779"/>
      <c r="C2" s="779"/>
      <c r="D2" s="779"/>
      <c r="E2" s="779"/>
      <c r="F2" s="779"/>
      <c r="G2" s="779"/>
      <c r="H2" s="779"/>
      <c r="I2" s="779"/>
      <c r="J2" s="779"/>
      <c r="K2" s="779"/>
      <c r="L2" s="779"/>
      <c r="M2" s="779"/>
      <c r="N2" s="779"/>
      <c r="O2" s="779"/>
      <c r="P2" s="779"/>
      <c r="Q2" s="779"/>
      <c r="R2" s="779"/>
    </row>
    <row r="3" spans="1:36" ht="19.8" x14ac:dyDescent="0.35">
      <c r="A3" s="779" t="s">
        <v>1988</v>
      </c>
      <c r="B3" s="779"/>
      <c r="C3" s="779"/>
      <c r="D3" s="779"/>
      <c r="E3" s="779"/>
      <c r="F3" s="779"/>
      <c r="G3" s="779"/>
      <c r="H3" s="779"/>
      <c r="I3" s="779"/>
      <c r="J3" s="779"/>
      <c r="K3" s="779"/>
      <c r="L3" s="779"/>
      <c r="M3" s="779"/>
      <c r="N3" s="779"/>
      <c r="O3" s="779"/>
      <c r="P3" s="779"/>
      <c r="Q3" s="779"/>
      <c r="R3" s="779"/>
    </row>
    <row r="4" spans="1:36" ht="18" x14ac:dyDescent="0.35">
      <c r="A4" s="780" t="s">
        <v>544</v>
      </c>
      <c r="B4" s="780"/>
      <c r="C4" s="780"/>
      <c r="D4" s="780"/>
      <c r="E4" s="780"/>
      <c r="F4" s="780"/>
      <c r="G4" s="780"/>
      <c r="H4" s="780"/>
      <c r="I4" s="780"/>
      <c r="J4" s="780"/>
      <c r="K4" s="780"/>
      <c r="L4" s="780"/>
      <c r="M4" s="780"/>
      <c r="N4" s="780"/>
      <c r="O4" s="780"/>
      <c r="P4" s="780"/>
      <c r="Q4" s="780"/>
      <c r="R4" s="780"/>
    </row>
    <row r="5" spans="1:36" ht="18" x14ac:dyDescent="0.35">
      <c r="A5" s="780" t="s">
        <v>598</v>
      </c>
      <c r="B5" s="780"/>
      <c r="C5" s="780"/>
      <c r="D5" s="780"/>
      <c r="E5" s="780"/>
      <c r="F5" s="780"/>
      <c r="G5" s="780"/>
      <c r="H5" s="780"/>
      <c r="I5" s="780"/>
      <c r="J5" s="780"/>
      <c r="K5" s="780"/>
      <c r="L5" s="780"/>
      <c r="M5" s="780"/>
      <c r="N5" s="780"/>
      <c r="O5" s="780"/>
      <c r="P5" s="780"/>
      <c r="Q5" s="780"/>
      <c r="R5" s="780"/>
    </row>
    <row r="6" spans="1:36" x14ac:dyDescent="0.3">
      <c r="A6" s="10"/>
      <c r="B6" s="10"/>
      <c r="C6" s="10"/>
      <c r="D6" s="1"/>
      <c r="E6" s="1"/>
      <c r="F6" s="1"/>
      <c r="G6" s="220"/>
      <c r="H6" s="1"/>
      <c r="I6" s="1"/>
      <c r="J6" s="220"/>
      <c r="K6" s="220"/>
      <c r="L6" s="220"/>
      <c r="M6" s="220"/>
      <c r="N6" s="10"/>
      <c r="O6" s="220"/>
      <c r="P6" s="220"/>
      <c r="Q6" s="220"/>
      <c r="R6" s="220"/>
    </row>
    <row r="7" spans="1:36" ht="18" x14ac:dyDescent="0.35">
      <c r="A7" s="780" t="s">
        <v>2866</v>
      </c>
      <c r="B7" s="780"/>
      <c r="C7" s="780"/>
      <c r="D7" s="780"/>
      <c r="E7" s="780"/>
      <c r="F7" s="780"/>
      <c r="G7" s="780"/>
      <c r="H7" s="780"/>
      <c r="I7" s="780"/>
      <c r="J7" s="780"/>
      <c r="K7" s="780"/>
      <c r="L7" s="780"/>
      <c r="M7" s="780"/>
      <c r="N7" s="780"/>
      <c r="O7" s="780"/>
      <c r="P7" s="780"/>
      <c r="Q7" s="780"/>
      <c r="R7" s="780"/>
    </row>
    <row r="8" spans="1:36" ht="18" x14ac:dyDescent="0.35">
      <c r="A8" s="434"/>
      <c r="B8" s="434"/>
      <c r="C8" s="434"/>
      <c r="D8" s="434"/>
      <c r="E8" s="434"/>
      <c r="F8" s="434"/>
      <c r="G8" s="434"/>
      <c r="H8" s="434"/>
      <c r="I8" s="434"/>
      <c r="J8" s="434"/>
      <c r="K8" s="434"/>
      <c r="L8" s="434"/>
      <c r="M8" s="434"/>
      <c r="N8" s="434"/>
      <c r="O8" s="434"/>
      <c r="P8" s="434"/>
      <c r="Q8" s="434"/>
      <c r="R8" s="434"/>
    </row>
    <row r="9" spans="1:36" x14ac:dyDescent="0.3">
      <c r="A9" s="778" t="s">
        <v>2867</v>
      </c>
      <c r="B9" s="778"/>
      <c r="C9" s="778"/>
      <c r="D9" s="778"/>
      <c r="E9" s="778"/>
      <c r="F9" s="778"/>
      <c r="G9" s="778"/>
      <c r="H9" s="778"/>
      <c r="I9" s="778"/>
      <c r="J9" s="778"/>
      <c r="K9" s="778"/>
      <c r="L9" s="778"/>
      <c r="M9" s="778"/>
      <c r="N9" s="778"/>
      <c r="O9" s="778"/>
      <c r="P9" s="778"/>
      <c r="Q9" s="778"/>
      <c r="R9" s="778"/>
    </row>
    <row r="10" spans="1:36" x14ac:dyDescent="0.3">
      <c r="A10" s="1"/>
      <c r="B10" s="220"/>
      <c r="C10" s="220"/>
      <c r="D10" s="220"/>
      <c r="E10" s="220"/>
      <c r="F10" s="220"/>
      <c r="G10" s="220"/>
      <c r="H10" s="220"/>
      <c r="I10" s="220"/>
      <c r="J10" s="220"/>
      <c r="K10" s="220"/>
      <c r="L10" s="220"/>
      <c r="M10" s="220"/>
      <c r="N10" s="220"/>
      <c r="O10" s="220"/>
      <c r="P10" s="220"/>
      <c r="Q10" s="220"/>
      <c r="R10" s="220"/>
    </row>
    <row r="11" spans="1:36" ht="16.2" thickBot="1" x14ac:dyDescent="0.35">
      <c r="A11" s="10"/>
      <c r="B11" s="10"/>
      <c r="C11" s="10"/>
      <c r="D11" s="10"/>
      <c r="E11" s="10"/>
      <c r="F11" s="10"/>
      <c r="G11" s="10"/>
      <c r="H11" s="10"/>
      <c r="I11" s="10"/>
      <c r="J11" s="10"/>
      <c r="K11" s="10"/>
      <c r="L11" s="10"/>
      <c r="M11" s="10"/>
      <c r="N11" s="10"/>
      <c r="O11" s="10"/>
      <c r="P11" s="10"/>
      <c r="Q11" s="10"/>
      <c r="R11" s="10"/>
    </row>
    <row r="12" spans="1:36" ht="16.2" thickBot="1" x14ac:dyDescent="0.35">
      <c r="A12" s="427" t="s">
        <v>852</v>
      </c>
      <c r="B12" s="449" t="s">
        <v>2090</v>
      </c>
      <c r="C12" s="26" t="s">
        <v>2091</v>
      </c>
      <c r="D12" s="26" t="s">
        <v>2234</v>
      </c>
      <c r="E12" s="33" t="s">
        <v>1594</v>
      </c>
      <c r="F12" s="26" t="s">
        <v>2235</v>
      </c>
      <c r="G12" s="26" t="s">
        <v>2236</v>
      </c>
      <c r="H12" s="26" t="s">
        <v>2237</v>
      </c>
      <c r="I12" s="33" t="s">
        <v>1595</v>
      </c>
      <c r="J12" s="26" t="s">
        <v>1504</v>
      </c>
      <c r="K12" s="26" t="s">
        <v>1505</v>
      </c>
      <c r="L12" s="26" t="s">
        <v>1506</v>
      </c>
      <c r="M12" s="33" t="s">
        <v>1596</v>
      </c>
      <c r="N12" s="26" t="s">
        <v>1507</v>
      </c>
      <c r="O12" s="26" t="s">
        <v>1508</v>
      </c>
      <c r="P12" s="26" t="s">
        <v>1509</v>
      </c>
      <c r="Q12" s="33" t="s">
        <v>1597</v>
      </c>
      <c r="R12" s="34" t="s">
        <v>1510</v>
      </c>
    </row>
    <row r="13" spans="1:36" ht="16.5" customHeight="1" thickBot="1" x14ac:dyDescent="0.35">
      <c r="A13" s="231"/>
      <c r="B13" s="232"/>
      <c r="C13" s="232"/>
      <c r="D13" s="232"/>
      <c r="E13" s="233"/>
      <c r="F13" s="232"/>
      <c r="G13" s="232"/>
      <c r="H13" s="232"/>
      <c r="I13" s="233"/>
      <c r="J13" s="232"/>
      <c r="K13" s="232"/>
      <c r="L13" s="232"/>
      <c r="M13" s="233"/>
      <c r="N13" s="232"/>
      <c r="O13" s="232"/>
      <c r="P13" s="232"/>
      <c r="Q13" s="233"/>
      <c r="R13" s="233"/>
    </row>
    <row r="14" spans="1:36" ht="15.75" customHeight="1" x14ac:dyDescent="0.3">
      <c r="A14" s="234" t="s">
        <v>1277</v>
      </c>
      <c r="B14" s="172">
        <f>+B760</f>
        <v>71862</v>
      </c>
      <c r="C14" s="172">
        <f>+C760</f>
        <v>97013</v>
      </c>
      <c r="D14" s="172">
        <f>+D760</f>
        <v>138394</v>
      </c>
      <c r="E14" s="15">
        <f t="shared" ref="E14:E20" si="0">SUM(B14:D14)</f>
        <v>307269</v>
      </c>
      <c r="F14" s="172">
        <f>+F760</f>
        <v>173973</v>
      </c>
      <c r="G14" s="172">
        <f>+G760</f>
        <v>190845</v>
      </c>
      <c r="H14" s="172">
        <f>+H760</f>
        <v>207776</v>
      </c>
      <c r="I14" s="15">
        <f t="shared" ref="I14:I20" si="1">SUM(F14:H14)</f>
        <v>572594</v>
      </c>
      <c r="J14" s="172">
        <f>+J760</f>
        <v>174557</v>
      </c>
      <c r="K14" s="172">
        <f>+K760</f>
        <v>175287</v>
      </c>
      <c r="L14" s="172">
        <f>+L760</f>
        <v>133433</v>
      </c>
      <c r="M14" s="15">
        <f t="shared" ref="M14:M20" si="2">SUM(J14:L14)</f>
        <v>483277</v>
      </c>
      <c r="N14" s="172">
        <f>+N760</f>
        <v>101903</v>
      </c>
      <c r="O14" s="172">
        <f>+O760</f>
        <v>59004</v>
      </c>
      <c r="P14" s="172">
        <f>+P760</f>
        <v>74452.000000000015</v>
      </c>
      <c r="Q14" s="29">
        <f t="shared" ref="Q14:Q20" si="3">SUM(N14:P14)</f>
        <v>235359</v>
      </c>
      <c r="R14" s="15">
        <f t="shared" ref="R14:R21" si="4">+E14+I14+M14+Q14</f>
        <v>1598499</v>
      </c>
      <c r="V14" s="617"/>
      <c r="W14" s="617"/>
      <c r="X14" s="617"/>
      <c r="Z14" s="617"/>
      <c r="AA14" s="617"/>
      <c r="AB14" s="617"/>
      <c r="AD14" s="617"/>
      <c r="AE14" s="617"/>
      <c r="AF14" s="617"/>
      <c r="AH14" s="617"/>
      <c r="AI14" s="617"/>
      <c r="AJ14" s="617"/>
    </row>
    <row r="15" spans="1:36" ht="15.75" customHeight="1" x14ac:dyDescent="0.3">
      <c r="A15" s="234" t="s">
        <v>1278</v>
      </c>
      <c r="B15" s="172">
        <f>B26+B61+B124+B246+B375+B420+B461+B514+B524+B559+B602+B612+B646+B692</f>
        <v>739</v>
      </c>
      <c r="C15" s="172">
        <f>C26+C61+C124+C246+C375+C420+C461+C514+C524+C559+C602+C612+C646+C692</f>
        <v>1283</v>
      </c>
      <c r="D15" s="172">
        <f>D26+D61+D124+D246+D375+D420+D461+D514+D524+D559+D602+D612+D646+D692</f>
        <v>2185</v>
      </c>
      <c r="E15" s="15">
        <f t="shared" si="0"/>
        <v>4207</v>
      </c>
      <c r="F15" s="172">
        <f>F26+F61+F124+F246+F375+F420+F461+F514+F524+F559+F602+F612+F646+F692</f>
        <v>2959</v>
      </c>
      <c r="G15" s="172">
        <f>G26+G61+G124+G246+G375+G420+G461+G514+G524+G559+G602+G612+G646+G692</f>
        <v>3425</v>
      </c>
      <c r="H15" s="172">
        <f>H26+H61+H124+H246+H375+H420+H461+H514+H524+H559+H602+H612+H646+H692</f>
        <v>3464</v>
      </c>
      <c r="I15" s="15">
        <f t="shared" si="1"/>
        <v>9848</v>
      </c>
      <c r="J15" s="172">
        <f>J26+J61+J124+J246+J375+J420+J461+J514+J524+J559+J602+J612+J646+J692</f>
        <v>3382</v>
      </c>
      <c r="K15" s="172">
        <f>K26+K61+K124+K246+K375+K420+K461+K514+K524+K559+K602+K612+K646+K692</f>
        <v>2663</v>
      </c>
      <c r="L15" s="172">
        <f>L26+L61+L124+L246+L375+L420+L461+L514+L524+L559+L602+L612+L646+L692</f>
        <v>2559</v>
      </c>
      <c r="M15" s="15">
        <f t="shared" si="2"/>
        <v>8604</v>
      </c>
      <c r="N15" s="172">
        <f>N26+N61+N124+N246+N375+N420+N461+N514+N524+N559+N602+N612+N646+N692</f>
        <v>2343</v>
      </c>
      <c r="O15" s="172">
        <f>O26+O61+O124+O246+O375+O420+O461+O514+O524+O559+O602+O612+O646+O692</f>
        <v>1892</v>
      </c>
      <c r="P15" s="172">
        <f>P26+P61+P124+P246+P375+P420+P461+P514+P524+P559+P602+P612+P646+P692</f>
        <v>1423</v>
      </c>
      <c r="Q15" s="29">
        <f t="shared" si="3"/>
        <v>5658</v>
      </c>
      <c r="R15" s="15">
        <f t="shared" si="4"/>
        <v>28317</v>
      </c>
    </row>
    <row r="16" spans="1:36" ht="15.75" customHeight="1" x14ac:dyDescent="0.3">
      <c r="A16" s="234" t="s">
        <v>397</v>
      </c>
      <c r="B16" s="172">
        <f>B241</f>
        <v>0</v>
      </c>
      <c r="C16" s="172">
        <f>C241</f>
        <v>2973</v>
      </c>
      <c r="D16" s="172">
        <f>D241</f>
        <v>4033</v>
      </c>
      <c r="E16" s="15">
        <f t="shared" si="0"/>
        <v>7006</v>
      </c>
      <c r="F16" s="172">
        <f>F241</f>
        <v>4005</v>
      </c>
      <c r="G16" s="172">
        <f>G241</f>
        <v>5449</v>
      </c>
      <c r="H16" s="172">
        <f>H241</f>
        <v>4499</v>
      </c>
      <c r="I16" s="15">
        <f t="shared" si="1"/>
        <v>13953</v>
      </c>
      <c r="J16" s="172">
        <f>J241</f>
        <v>2651</v>
      </c>
      <c r="K16" s="172">
        <f>K241</f>
        <v>3116</v>
      </c>
      <c r="L16" s="172">
        <f>L241</f>
        <v>3139</v>
      </c>
      <c r="M16" s="15">
        <f t="shared" si="2"/>
        <v>8906</v>
      </c>
      <c r="N16" s="172">
        <f>N241</f>
        <v>3227</v>
      </c>
      <c r="O16" s="172">
        <f>O241</f>
        <v>3812</v>
      </c>
      <c r="P16" s="172">
        <f>P241</f>
        <v>1548</v>
      </c>
      <c r="Q16" s="29">
        <f t="shared" si="3"/>
        <v>8587</v>
      </c>
      <c r="R16" s="15">
        <f t="shared" si="4"/>
        <v>38452</v>
      </c>
    </row>
    <row r="17" spans="1:20" ht="15.75" customHeight="1" x14ac:dyDescent="0.3">
      <c r="A17" s="235" t="s">
        <v>967</v>
      </c>
      <c r="B17" s="172">
        <f>+B242</f>
        <v>-267</v>
      </c>
      <c r="C17" s="172">
        <f>+C242</f>
        <v>-578</v>
      </c>
      <c r="D17" s="172">
        <f>+D242</f>
        <v>-1487</v>
      </c>
      <c r="E17" s="15">
        <f t="shared" si="0"/>
        <v>-2332</v>
      </c>
      <c r="F17" s="172">
        <f>+F242</f>
        <v>-2176</v>
      </c>
      <c r="G17" s="172">
        <f>+G242</f>
        <v>-1120</v>
      </c>
      <c r="H17" s="172">
        <f>+H242</f>
        <v>-4972</v>
      </c>
      <c r="I17" s="15">
        <f t="shared" si="1"/>
        <v>-8268</v>
      </c>
      <c r="J17" s="172">
        <f>+J242</f>
        <v>-3294</v>
      </c>
      <c r="K17" s="172">
        <f>+K242</f>
        <v>0</v>
      </c>
      <c r="L17" s="172">
        <f>+L242</f>
        <v>0</v>
      </c>
      <c r="M17" s="15">
        <f t="shared" si="2"/>
        <v>-3294</v>
      </c>
      <c r="N17" s="172">
        <f>+N242</f>
        <v>-344</v>
      </c>
      <c r="O17" s="172">
        <f>+O242</f>
        <v>-654</v>
      </c>
      <c r="P17" s="172">
        <f>+P242</f>
        <v>-193</v>
      </c>
      <c r="Q17" s="29">
        <f t="shared" si="3"/>
        <v>-1191</v>
      </c>
      <c r="R17" s="15">
        <f t="shared" si="4"/>
        <v>-15085</v>
      </c>
    </row>
    <row r="18" spans="1:20" ht="15.75" customHeight="1" x14ac:dyDescent="0.3">
      <c r="A18" s="236" t="s">
        <v>1176</v>
      </c>
      <c r="B18" s="172">
        <f>B245</f>
        <v>111219</v>
      </c>
      <c r="C18" s="172">
        <f>C245</f>
        <v>67581</v>
      </c>
      <c r="D18" s="172">
        <f>D245</f>
        <v>44397</v>
      </c>
      <c r="E18" s="15">
        <f t="shared" si="0"/>
        <v>223197</v>
      </c>
      <c r="F18" s="172">
        <f>F245</f>
        <v>6884</v>
      </c>
      <c r="G18" s="172">
        <f>G245</f>
        <v>1498</v>
      </c>
      <c r="H18" s="172">
        <f>H245</f>
        <v>0</v>
      </c>
      <c r="I18" s="15">
        <f t="shared" si="1"/>
        <v>8382</v>
      </c>
      <c r="J18" s="172">
        <f>J245</f>
        <v>0</v>
      </c>
      <c r="K18" s="172">
        <f>K245</f>
        <v>0</v>
      </c>
      <c r="L18" s="172">
        <f>L245</f>
        <v>4628</v>
      </c>
      <c r="M18" s="15">
        <f t="shared" si="2"/>
        <v>4628</v>
      </c>
      <c r="N18" s="172">
        <f>N245</f>
        <v>9922</v>
      </c>
      <c r="O18" s="172">
        <f>O245</f>
        <v>109236</v>
      </c>
      <c r="P18" s="172">
        <f>P245</f>
        <v>56385</v>
      </c>
      <c r="Q18" s="29">
        <f t="shared" si="3"/>
        <v>175543</v>
      </c>
      <c r="R18" s="15">
        <f t="shared" si="4"/>
        <v>411750</v>
      </c>
    </row>
    <row r="19" spans="1:20" ht="15.75" customHeight="1" x14ac:dyDescent="0.3">
      <c r="A19" s="236" t="s">
        <v>662</v>
      </c>
      <c r="B19" s="172">
        <f>B257</f>
        <v>0</v>
      </c>
      <c r="C19" s="172">
        <f>C257</f>
        <v>0</v>
      </c>
      <c r="D19" s="172">
        <f>D257</f>
        <v>0</v>
      </c>
      <c r="E19" s="15">
        <f t="shared" si="0"/>
        <v>0</v>
      </c>
      <c r="F19" s="172">
        <f>F257</f>
        <v>-4241</v>
      </c>
      <c r="G19" s="172">
        <f>G257</f>
        <v>-19505</v>
      </c>
      <c r="H19" s="172">
        <f>H257</f>
        <v>-79570</v>
      </c>
      <c r="I19" s="15">
        <f t="shared" si="1"/>
        <v>-103316</v>
      </c>
      <c r="J19" s="172">
        <f>J257</f>
        <v>-137316</v>
      </c>
      <c r="K19" s="172">
        <f>K257</f>
        <v>-94470</v>
      </c>
      <c r="L19" s="172">
        <f>L257</f>
        <v>-6379</v>
      </c>
      <c r="M19" s="15">
        <f t="shared" si="2"/>
        <v>-238165</v>
      </c>
      <c r="N19" s="172">
        <f>N257</f>
        <v>-85065</v>
      </c>
      <c r="O19" s="172">
        <f>O257</f>
        <v>0</v>
      </c>
      <c r="P19" s="172">
        <f>P257</f>
        <v>0</v>
      </c>
      <c r="Q19" s="29">
        <f t="shared" si="3"/>
        <v>-85065</v>
      </c>
      <c r="R19" s="15">
        <f t="shared" si="4"/>
        <v>-426546</v>
      </c>
    </row>
    <row r="20" spans="1:20" ht="16.5" customHeight="1" thickBot="1" x14ac:dyDescent="0.35">
      <c r="A20" s="237" t="s">
        <v>851</v>
      </c>
      <c r="B20" s="238">
        <f>(B30)</f>
        <v>183553</v>
      </c>
      <c r="C20" s="238">
        <f>(C30)</f>
        <v>168272</v>
      </c>
      <c r="D20" s="238">
        <f>(D30)</f>
        <v>187522</v>
      </c>
      <c r="E20" s="16">
        <f t="shared" si="0"/>
        <v>539347</v>
      </c>
      <c r="F20" s="238">
        <f>(F30)</f>
        <v>181404</v>
      </c>
      <c r="G20" s="238">
        <f>(G30)</f>
        <v>180592</v>
      </c>
      <c r="H20" s="238">
        <f>(H30)</f>
        <v>131197</v>
      </c>
      <c r="I20" s="16">
        <f t="shared" si="1"/>
        <v>493193</v>
      </c>
      <c r="J20" s="238">
        <f>(J30)</f>
        <v>39980</v>
      </c>
      <c r="K20" s="238">
        <f>(K30)</f>
        <v>86596</v>
      </c>
      <c r="L20" s="238">
        <f>(L30)</f>
        <v>137380</v>
      </c>
      <c r="M20" s="16">
        <f t="shared" si="2"/>
        <v>263956</v>
      </c>
      <c r="N20" s="238">
        <f>(N30)</f>
        <v>31986</v>
      </c>
      <c r="O20" s="238">
        <f>(O30)</f>
        <v>173290</v>
      </c>
      <c r="P20" s="238">
        <f>(P30)</f>
        <v>133980</v>
      </c>
      <c r="Q20" s="30">
        <f t="shared" si="3"/>
        <v>339256</v>
      </c>
      <c r="R20" s="16">
        <f t="shared" si="4"/>
        <v>1635752</v>
      </c>
    </row>
    <row r="21" spans="1:20" ht="16.5" customHeight="1" thickBot="1" x14ac:dyDescent="0.35">
      <c r="A21" s="237" t="s">
        <v>496</v>
      </c>
      <c r="B21" s="238">
        <v>186564</v>
      </c>
      <c r="C21" s="238">
        <v>168959</v>
      </c>
      <c r="D21" s="238">
        <v>187497</v>
      </c>
      <c r="E21" s="16">
        <f>SUM(B21:D21)</f>
        <v>543020</v>
      </c>
      <c r="F21" s="238">
        <v>179531</v>
      </c>
      <c r="G21" s="238">
        <v>179210</v>
      </c>
      <c r="H21" s="238">
        <v>129951</v>
      </c>
      <c r="I21" s="16">
        <f>SUM(F21:H21)</f>
        <v>488692</v>
      </c>
      <c r="J21" s="238">
        <v>34437</v>
      </c>
      <c r="K21" s="238">
        <v>85226</v>
      </c>
      <c r="L21" s="238">
        <v>136910</v>
      </c>
      <c r="M21" s="16">
        <f>SUM(J21:L21)</f>
        <v>256573</v>
      </c>
      <c r="N21" s="238">
        <v>31581</v>
      </c>
      <c r="O21" s="238">
        <v>173912</v>
      </c>
      <c r="P21" s="238">
        <v>132284</v>
      </c>
      <c r="Q21" s="30">
        <f>SUM(N21:P21)</f>
        <v>337777</v>
      </c>
      <c r="R21" s="16">
        <f t="shared" si="4"/>
        <v>1626062</v>
      </c>
    </row>
    <row r="22" spans="1:20" ht="15.75" customHeight="1" x14ac:dyDescent="0.3">
      <c r="A22" s="172"/>
      <c r="B22" s="172"/>
      <c r="C22" s="172"/>
      <c r="D22" s="172"/>
      <c r="E22" s="172"/>
      <c r="F22" s="172"/>
      <c r="G22" s="172"/>
      <c r="H22" s="172"/>
      <c r="I22" s="172"/>
      <c r="J22" s="172"/>
      <c r="K22" s="172"/>
      <c r="L22" s="172"/>
      <c r="M22" s="172"/>
      <c r="N22" s="172"/>
      <c r="O22" s="172"/>
      <c r="P22" s="172"/>
      <c r="Q22" s="172"/>
      <c r="R22" s="17"/>
    </row>
    <row r="23" spans="1:20" ht="15.75" customHeight="1" thickBot="1" x14ac:dyDescent="0.35">
      <c r="A23" s="172"/>
      <c r="B23" s="172"/>
      <c r="C23" s="172"/>
      <c r="D23" s="172"/>
      <c r="E23" s="172"/>
      <c r="F23" s="239" t="s">
        <v>852</v>
      </c>
      <c r="G23" s="239" t="s">
        <v>852</v>
      </c>
      <c r="H23" s="172"/>
      <c r="I23" s="172"/>
      <c r="J23" s="172"/>
      <c r="K23" s="172"/>
      <c r="L23" s="172"/>
      <c r="M23" s="172"/>
      <c r="N23" s="239" t="s">
        <v>852</v>
      </c>
      <c r="O23" s="239" t="s">
        <v>852</v>
      </c>
      <c r="P23" s="239" t="s">
        <v>852</v>
      </c>
      <c r="Q23" s="239"/>
      <c r="R23" s="18" t="s">
        <v>852</v>
      </c>
    </row>
    <row r="24" spans="1:20" ht="16.5" customHeight="1" thickBot="1" x14ac:dyDescent="0.35">
      <c r="A24" s="240" t="s">
        <v>1878</v>
      </c>
      <c r="B24" s="4" t="s">
        <v>2090</v>
      </c>
      <c r="C24" s="5" t="s">
        <v>2091</v>
      </c>
      <c r="D24" s="5" t="s">
        <v>2234</v>
      </c>
      <c r="E24" s="33" t="s">
        <v>1594</v>
      </c>
      <c r="F24" s="5" t="s">
        <v>2235</v>
      </c>
      <c r="G24" s="5" t="s">
        <v>2236</v>
      </c>
      <c r="H24" s="5" t="s">
        <v>2237</v>
      </c>
      <c r="I24" s="35" t="s">
        <v>1595</v>
      </c>
      <c r="J24" s="5" t="s">
        <v>1504</v>
      </c>
      <c r="K24" s="5" t="s">
        <v>1505</v>
      </c>
      <c r="L24" s="5" t="s">
        <v>1506</v>
      </c>
      <c r="M24" s="35" t="s">
        <v>1596</v>
      </c>
      <c r="N24" s="5" t="s">
        <v>1507</v>
      </c>
      <c r="O24" s="5" t="s">
        <v>1508</v>
      </c>
      <c r="P24" s="5" t="s">
        <v>1509</v>
      </c>
      <c r="Q24" s="35" t="s">
        <v>1597</v>
      </c>
      <c r="R24" s="36" t="s">
        <v>1510</v>
      </c>
    </row>
    <row r="25" spans="1:20" ht="16.5" customHeight="1" thickBot="1" x14ac:dyDescent="0.35">
      <c r="A25" s="241"/>
      <c r="B25" s="242"/>
      <c r="C25" s="242"/>
      <c r="D25" s="242"/>
      <c r="E25" s="243"/>
      <c r="F25" s="242"/>
      <c r="G25" s="242"/>
      <c r="H25" s="242"/>
      <c r="I25" s="243"/>
      <c r="J25" s="242"/>
      <c r="K25" s="242"/>
      <c r="L25" s="242"/>
      <c r="M25" s="243"/>
      <c r="N25" s="242"/>
      <c r="O25" s="242"/>
      <c r="P25" s="242"/>
      <c r="Q25" s="243"/>
      <c r="R25" s="19"/>
    </row>
    <row r="26" spans="1:20" ht="16.5" customHeight="1" thickBot="1" x14ac:dyDescent="0.35">
      <c r="A26" s="244" t="s">
        <v>853</v>
      </c>
      <c r="B26" s="238">
        <v>97</v>
      </c>
      <c r="C26" s="238">
        <v>148</v>
      </c>
      <c r="D26" s="238">
        <v>274</v>
      </c>
      <c r="E26" s="14">
        <f>SUM(B26:D26)</f>
        <v>519</v>
      </c>
      <c r="F26" s="238">
        <v>367</v>
      </c>
      <c r="G26" s="238">
        <v>425</v>
      </c>
      <c r="H26" s="238">
        <v>417</v>
      </c>
      <c r="I26" s="14">
        <f>SUM(F26:H26)</f>
        <v>1209</v>
      </c>
      <c r="J26" s="238">
        <v>416</v>
      </c>
      <c r="K26" s="238">
        <v>334</v>
      </c>
      <c r="L26" s="238">
        <v>316</v>
      </c>
      <c r="M26" s="14">
        <f>SUM(J26:L26)</f>
        <v>1066</v>
      </c>
      <c r="N26" s="238">
        <v>285</v>
      </c>
      <c r="O26" s="238">
        <v>235</v>
      </c>
      <c r="P26" s="238">
        <v>186</v>
      </c>
      <c r="Q26" s="14">
        <f>SUM(N26:P26)</f>
        <v>706</v>
      </c>
      <c r="R26" s="16">
        <f>+E26+I26+M26+Q26</f>
        <v>3500</v>
      </c>
    </row>
    <row r="27" spans="1:20" ht="16.5" customHeight="1" thickBot="1" x14ac:dyDescent="0.35">
      <c r="A27" s="22"/>
      <c r="B27" s="242"/>
      <c r="C27" s="242"/>
      <c r="D27" s="242"/>
      <c r="E27" s="21"/>
      <c r="F27" s="242"/>
      <c r="G27" s="242"/>
      <c r="H27" s="242"/>
      <c r="I27" s="21"/>
      <c r="J27" s="242"/>
      <c r="K27" s="242"/>
      <c r="L27" s="242"/>
      <c r="M27" s="21"/>
      <c r="N27" s="242"/>
      <c r="O27" s="242"/>
      <c r="P27" s="242"/>
      <c r="Q27" s="21"/>
      <c r="R27" s="13"/>
    </row>
    <row r="28" spans="1:20" ht="15.75" customHeight="1" x14ac:dyDescent="0.3">
      <c r="A28" s="234" t="s">
        <v>2011</v>
      </c>
      <c r="B28" s="172">
        <f>B26</f>
        <v>97</v>
      </c>
      <c r="C28" s="172">
        <f>C26</f>
        <v>148</v>
      </c>
      <c r="D28" s="172">
        <f>D26</f>
        <v>274</v>
      </c>
      <c r="E28" s="14">
        <f>SUM(B28:D28)</f>
        <v>519</v>
      </c>
      <c r="F28" s="172">
        <f>F26</f>
        <v>367</v>
      </c>
      <c r="G28" s="172">
        <f>G26</f>
        <v>425</v>
      </c>
      <c r="H28" s="172">
        <f>H26</f>
        <v>417</v>
      </c>
      <c r="I28" s="14">
        <f>SUM(F28:H28)</f>
        <v>1209</v>
      </c>
      <c r="J28" s="172">
        <f>J26</f>
        <v>416</v>
      </c>
      <c r="K28" s="172">
        <f>K26</f>
        <v>334</v>
      </c>
      <c r="L28" s="172">
        <f>L26</f>
        <v>316</v>
      </c>
      <c r="M28" s="14">
        <f>SUM(J28:L28)</f>
        <v>1066</v>
      </c>
      <c r="N28" s="172">
        <f>N26</f>
        <v>285</v>
      </c>
      <c r="O28" s="172">
        <f>O26</f>
        <v>235</v>
      </c>
      <c r="P28" s="172">
        <f>P26</f>
        <v>186</v>
      </c>
      <c r="Q28" s="28">
        <f>SUM(N28:P28)</f>
        <v>706</v>
      </c>
      <c r="R28" s="14">
        <f>+E28+I28+M28+Q28</f>
        <v>3500</v>
      </c>
    </row>
    <row r="29" spans="1:20" ht="15.75" customHeight="1" x14ac:dyDescent="0.3">
      <c r="A29" s="234" t="s">
        <v>1897</v>
      </c>
      <c r="B29" s="172">
        <f>(B28/31)/1.983</f>
        <v>1.5779285214647079</v>
      </c>
      <c r="C29" s="172">
        <f>(C28/28)/1.983</f>
        <v>2.6655140119587926</v>
      </c>
      <c r="D29" s="172">
        <f>(D28/31)/1.983</f>
        <v>4.457241390529175</v>
      </c>
      <c r="E29" s="15"/>
      <c r="F29" s="172">
        <f>(F28/30)/1.983</f>
        <v>6.1691040511010247</v>
      </c>
      <c r="G29" s="172">
        <f>(G28/31)/1.983</f>
        <v>6.9136043466237203</v>
      </c>
      <c r="H29" s="172">
        <f>(H28/30)/1.983</f>
        <v>7.0095814422592033</v>
      </c>
      <c r="I29" s="15"/>
      <c r="J29" s="172">
        <f>(J28/31)/1.983</f>
        <v>6.7671986075187478</v>
      </c>
      <c r="K29" s="172">
        <f>(K28/31)/1.983</f>
        <v>5.433279651228994</v>
      </c>
      <c r="L29" s="172">
        <f>(L28/30)/1.983</f>
        <v>5.3118171121196838</v>
      </c>
      <c r="M29" s="15"/>
      <c r="N29" s="172">
        <f>(N28/31)/1.983</f>
        <v>4.6361817383241419</v>
      </c>
      <c r="O29" s="172">
        <f>(O28/30)/1.983</f>
        <v>3.9502437384434357</v>
      </c>
      <c r="P29" s="172">
        <f>(P28/31)/1.983</f>
        <v>3.02571860816944</v>
      </c>
      <c r="Q29" s="29"/>
      <c r="R29" s="15"/>
    </row>
    <row r="30" spans="1:20" ht="15.75" customHeight="1" x14ac:dyDescent="0.3">
      <c r="A30" s="234" t="s">
        <v>1119</v>
      </c>
      <c r="B30" s="172">
        <f>B28+B65</f>
        <v>183553</v>
      </c>
      <c r="C30" s="172">
        <f>C28+C65</f>
        <v>168272</v>
      </c>
      <c r="D30" s="172">
        <f>D28+D65</f>
        <v>187522</v>
      </c>
      <c r="E30" s="15">
        <f>SUM(B30:D30)</f>
        <v>539347</v>
      </c>
      <c r="F30" s="172">
        <f>F28+F65</f>
        <v>181404</v>
      </c>
      <c r="G30" s="172">
        <f>G28+G65</f>
        <v>180592</v>
      </c>
      <c r="H30" s="172">
        <f>H28+H65</f>
        <v>131197</v>
      </c>
      <c r="I30" s="15">
        <f>SUM(F30:H30)</f>
        <v>493193</v>
      </c>
      <c r="J30" s="172">
        <f>J28+J65</f>
        <v>39980</v>
      </c>
      <c r="K30" s="172">
        <f>K28+K65</f>
        <v>86596</v>
      </c>
      <c r="L30" s="172">
        <f>L28+L65</f>
        <v>137380</v>
      </c>
      <c r="M30" s="15">
        <f>SUM(J30:L30)</f>
        <v>263956</v>
      </c>
      <c r="N30" s="172">
        <f>N28+N65</f>
        <v>31986</v>
      </c>
      <c r="O30" s="172">
        <f>O28+O65</f>
        <v>173290</v>
      </c>
      <c r="P30" s="172">
        <f>P28+P65</f>
        <v>133980</v>
      </c>
      <c r="Q30" s="29">
        <f>SUM(N30:P30)</f>
        <v>339256</v>
      </c>
      <c r="R30" s="15">
        <f>+E30+I30+M30+Q30</f>
        <v>1635752</v>
      </c>
    </row>
    <row r="31" spans="1:20" s="574" customFormat="1" ht="16.5" customHeight="1" thickBot="1" x14ac:dyDescent="0.35">
      <c r="A31" s="570" t="s">
        <v>1968</v>
      </c>
      <c r="B31" s="571">
        <f>(B30/31)/1.983</f>
        <v>2985.9125144372324</v>
      </c>
      <c r="C31" s="571">
        <f>(C30/29)/1.983</f>
        <v>2926.113342723494</v>
      </c>
      <c r="D31" s="571">
        <f>(D30/31)/1.983</f>
        <v>3050.4774453825253</v>
      </c>
      <c r="E31" s="572"/>
      <c r="F31" s="571">
        <f>(F30/30)/1.983</f>
        <v>3049.319213313162</v>
      </c>
      <c r="G31" s="571">
        <f>(G30/31)/1.983</f>
        <v>2937.7450262716966</v>
      </c>
      <c r="H31" s="571">
        <f>(H30/30)/1.983</f>
        <v>2205.3622457555894</v>
      </c>
      <c r="I31" s="572"/>
      <c r="J31" s="571">
        <f>(J30/31)/1.983</f>
        <v>650.36682771297967</v>
      </c>
      <c r="K31" s="571">
        <f>(K30/31)/1.983</f>
        <v>1408.6834870593593</v>
      </c>
      <c r="L31" s="571">
        <f>(L30/30)/1.983</f>
        <v>2309.295679946209</v>
      </c>
      <c r="M31" s="572"/>
      <c r="N31" s="571">
        <f>(N30/31)/1.983</f>
        <v>520.32599677907365</v>
      </c>
      <c r="O31" s="571">
        <f>(O30/30)/1.983</f>
        <v>2912.9265422760127</v>
      </c>
      <c r="P31" s="571">
        <f>(P30/31)/1.983</f>
        <v>2179.4934361426967</v>
      </c>
      <c r="Q31" s="573"/>
      <c r="R31" s="572"/>
      <c r="T31" s="575" t="s">
        <v>2172</v>
      </c>
    </row>
    <row r="32" spans="1:20" ht="15.75" customHeight="1" x14ac:dyDescent="0.3">
      <c r="A32" s="17"/>
      <c r="B32" s="172"/>
      <c r="C32" s="172"/>
      <c r="D32" s="172"/>
      <c r="E32" s="172"/>
      <c r="F32" s="172"/>
      <c r="G32" s="172"/>
      <c r="H32" s="172"/>
      <c r="I32" s="172"/>
      <c r="J32" s="172"/>
      <c r="K32" s="172"/>
      <c r="L32" s="172"/>
      <c r="M32" s="172"/>
      <c r="N32" s="172"/>
      <c r="O32" s="172"/>
      <c r="P32" s="172"/>
      <c r="Q32" s="172"/>
      <c r="R32" s="17"/>
      <c r="T32" s="350" t="s">
        <v>2173</v>
      </c>
    </row>
    <row r="33" spans="1:18" ht="15.75" customHeight="1" thickBot="1" x14ac:dyDescent="0.35">
      <c r="A33" s="17"/>
      <c r="B33" s="172"/>
      <c r="C33" s="172"/>
      <c r="D33" s="172"/>
      <c r="E33" s="172"/>
      <c r="F33" s="172"/>
      <c r="G33" s="172"/>
      <c r="H33" s="172"/>
      <c r="I33" s="172"/>
      <c r="J33" s="172"/>
      <c r="K33" s="172"/>
      <c r="L33" s="172"/>
      <c r="M33" s="172"/>
      <c r="N33" s="172"/>
      <c r="O33" s="172"/>
      <c r="P33" s="172"/>
      <c r="Q33" s="172"/>
      <c r="R33" s="17"/>
    </row>
    <row r="34" spans="1:18" ht="15.75" customHeight="1" thickBot="1" x14ac:dyDescent="0.35">
      <c r="A34" s="245" t="s">
        <v>681</v>
      </c>
      <c r="B34" s="25" t="s">
        <v>2090</v>
      </c>
      <c r="C34" s="26" t="s">
        <v>2091</v>
      </c>
      <c r="D34" s="26" t="s">
        <v>2234</v>
      </c>
      <c r="E34" s="33" t="s">
        <v>1594</v>
      </c>
      <c r="F34" s="26" t="s">
        <v>2235</v>
      </c>
      <c r="G34" s="26" t="s">
        <v>2236</v>
      </c>
      <c r="H34" s="26" t="s">
        <v>2237</v>
      </c>
      <c r="I34" s="33" t="s">
        <v>1595</v>
      </c>
      <c r="J34" s="26" t="s">
        <v>1504</v>
      </c>
      <c r="K34" s="26" t="s">
        <v>1505</v>
      </c>
      <c r="L34" s="26" t="s">
        <v>1506</v>
      </c>
      <c r="M34" s="33" t="s">
        <v>1596</v>
      </c>
      <c r="N34" s="26" t="s">
        <v>1507</v>
      </c>
      <c r="O34" s="26" t="s">
        <v>1508</v>
      </c>
      <c r="P34" s="26" t="s">
        <v>1509</v>
      </c>
      <c r="Q34" s="33" t="s">
        <v>1597</v>
      </c>
      <c r="R34" s="34" t="s">
        <v>1510</v>
      </c>
    </row>
    <row r="35" spans="1:18" ht="16.5" customHeight="1" thickBot="1" x14ac:dyDescent="0.35">
      <c r="A35" s="21"/>
      <c r="B35" s="246"/>
      <c r="C35" s="232"/>
      <c r="D35" s="232"/>
      <c r="E35" s="233"/>
      <c r="F35" s="232"/>
      <c r="G35" s="232"/>
      <c r="H35" s="232"/>
      <c r="I35" s="233"/>
      <c r="J35" s="232"/>
      <c r="K35" s="232"/>
      <c r="L35" s="232"/>
      <c r="M35" s="233"/>
      <c r="N35" s="232"/>
      <c r="O35" s="232"/>
      <c r="P35" s="232"/>
      <c r="Q35" s="233"/>
      <c r="R35" s="75"/>
    </row>
    <row r="36" spans="1:18" ht="15.75" customHeight="1" x14ac:dyDescent="0.3">
      <c r="A36" s="247" t="s">
        <v>2417</v>
      </c>
      <c r="B36" s="18"/>
      <c r="C36" s="18"/>
      <c r="D36" s="18"/>
      <c r="E36" s="38" t="s">
        <v>852</v>
      </c>
      <c r="F36" s="18"/>
      <c r="G36" s="18"/>
      <c r="H36" s="18"/>
      <c r="I36" s="38" t="s">
        <v>852</v>
      </c>
      <c r="J36" s="18"/>
      <c r="K36" s="18"/>
      <c r="L36" s="18"/>
      <c r="M36" s="38" t="s">
        <v>852</v>
      </c>
      <c r="N36" s="18"/>
      <c r="O36" s="18"/>
      <c r="P36" s="18"/>
      <c r="Q36" s="38" t="s">
        <v>852</v>
      </c>
      <c r="R36" s="38" t="s">
        <v>852</v>
      </c>
    </row>
    <row r="37" spans="1:18" ht="15.75" customHeight="1" x14ac:dyDescent="0.3">
      <c r="A37" s="235" t="s">
        <v>2160</v>
      </c>
      <c r="B37" s="18" t="s">
        <v>852</v>
      </c>
      <c r="C37" s="248"/>
      <c r="D37" s="248"/>
      <c r="E37" s="38" t="s">
        <v>852</v>
      </c>
      <c r="F37" s="248"/>
      <c r="G37" s="248"/>
      <c r="H37" s="248"/>
      <c r="I37" s="38" t="s">
        <v>852</v>
      </c>
      <c r="J37" s="248"/>
      <c r="K37" s="248"/>
      <c r="L37" s="248"/>
      <c r="M37" s="38" t="s">
        <v>852</v>
      </c>
      <c r="N37" s="248"/>
      <c r="O37" s="248"/>
      <c r="P37" s="248"/>
      <c r="Q37" s="38" t="s">
        <v>852</v>
      </c>
      <c r="R37" s="38" t="s">
        <v>852</v>
      </c>
    </row>
    <row r="38" spans="1:18" ht="15.75" customHeight="1" x14ac:dyDescent="0.3">
      <c r="A38" s="235" t="s">
        <v>2161</v>
      </c>
      <c r="B38" s="18"/>
      <c r="C38" s="18"/>
      <c r="D38" s="18"/>
      <c r="E38" s="38" t="s">
        <v>852</v>
      </c>
      <c r="F38" s="18"/>
      <c r="G38" s="18"/>
      <c r="H38" s="18"/>
      <c r="I38" s="38" t="s">
        <v>852</v>
      </c>
      <c r="J38" s="18"/>
      <c r="K38" s="18"/>
      <c r="L38" s="18"/>
      <c r="M38" s="38" t="s">
        <v>852</v>
      </c>
      <c r="N38" s="18"/>
      <c r="O38" s="18"/>
      <c r="P38" s="18"/>
      <c r="Q38" s="38" t="s">
        <v>852</v>
      </c>
      <c r="R38" s="38" t="s">
        <v>852</v>
      </c>
    </row>
    <row r="39" spans="1:18" ht="15.75" customHeight="1" x14ac:dyDescent="0.3">
      <c r="A39" s="422" t="s">
        <v>230</v>
      </c>
      <c r="B39" s="172">
        <v>0</v>
      </c>
      <c r="C39" s="172">
        <v>1</v>
      </c>
      <c r="D39" s="172">
        <v>16</v>
      </c>
      <c r="E39" s="38">
        <f>SUM(B39:D39)</f>
        <v>17</v>
      </c>
      <c r="F39" s="172">
        <v>59</v>
      </c>
      <c r="G39" s="172">
        <v>160</v>
      </c>
      <c r="H39" s="172">
        <v>89</v>
      </c>
      <c r="I39" s="38">
        <f>SUM(F39:H39)</f>
        <v>308</v>
      </c>
      <c r="J39" s="172">
        <v>74</v>
      </c>
      <c r="K39" s="172">
        <v>54</v>
      </c>
      <c r="L39" s="172">
        <v>137</v>
      </c>
      <c r="M39" s="38">
        <f>SUM(J39:L39)</f>
        <v>265</v>
      </c>
      <c r="N39" s="172">
        <v>25</v>
      </c>
      <c r="O39" s="172">
        <v>39</v>
      </c>
      <c r="P39" s="172"/>
      <c r="Q39" s="38">
        <f>SUM(N39:P39)</f>
        <v>64</v>
      </c>
      <c r="R39" s="38">
        <f>+E39+I39+M39+Q39</f>
        <v>654</v>
      </c>
    </row>
    <row r="40" spans="1:18" ht="15.75" customHeight="1" x14ac:dyDescent="0.3">
      <c r="A40" s="235" t="s">
        <v>2162</v>
      </c>
      <c r="B40" s="18"/>
      <c r="C40" s="18"/>
      <c r="D40" s="18"/>
      <c r="E40" s="38" t="s">
        <v>1598</v>
      </c>
      <c r="F40" s="18"/>
      <c r="G40" s="18"/>
      <c r="H40" s="18"/>
      <c r="I40" s="38" t="s">
        <v>1598</v>
      </c>
      <c r="J40" s="18"/>
      <c r="K40" s="18"/>
      <c r="L40" s="18"/>
      <c r="M40" s="38" t="s">
        <v>1598</v>
      </c>
      <c r="N40" s="18"/>
      <c r="O40" s="18"/>
      <c r="P40" s="18"/>
      <c r="Q40" s="38" t="s">
        <v>1598</v>
      </c>
      <c r="R40" s="38" t="s">
        <v>1598</v>
      </c>
    </row>
    <row r="41" spans="1:18" ht="15.75" customHeight="1" thickBot="1" x14ac:dyDescent="0.35">
      <c r="A41" s="235" t="s">
        <v>2164</v>
      </c>
      <c r="B41" s="248"/>
      <c r="C41" s="248"/>
      <c r="D41" s="248"/>
      <c r="E41" s="38" t="s">
        <v>852</v>
      </c>
      <c r="F41" s="248"/>
      <c r="G41" s="248"/>
      <c r="H41" s="248"/>
      <c r="I41" s="38" t="s">
        <v>852</v>
      </c>
      <c r="J41" s="248"/>
      <c r="K41" s="248"/>
      <c r="L41" s="248"/>
      <c r="M41" s="38" t="s">
        <v>852</v>
      </c>
      <c r="N41" s="248"/>
      <c r="O41" s="248"/>
      <c r="P41" s="248"/>
      <c r="Q41" s="38" t="s">
        <v>852</v>
      </c>
      <c r="R41" s="38" t="s">
        <v>852</v>
      </c>
    </row>
    <row r="42" spans="1:18" ht="16.5" customHeight="1" thickBot="1" x14ac:dyDescent="0.35">
      <c r="A42" s="43" t="s">
        <v>1218</v>
      </c>
      <c r="B42" s="42">
        <f>SUM(B36:B41)</f>
        <v>0</v>
      </c>
      <c r="C42" s="42">
        <f>SUM(C36:C41)</f>
        <v>1</v>
      </c>
      <c r="D42" s="42">
        <f>SUM(D36:D41)</f>
        <v>16</v>
      </c>
      <c r="E42" s="37">
        <f>SUM(B42:D42)</f>
        <v>17</v>
      </c>
      <c r="F42" s="42">
        <f>SUM(F36:F41)</f>
        <v>59</v>
      </c>
      <c r="G42" s="42">
        <f>SUM(G36:G41)</f>
        <v>160</v>
      </c>
      <c r="H42" s="42">
        <f>SUM(H36:H41)</f>
        <v>89</v>
      </c>
      <c r="I42" s="37">
        <f>SUM(F42:H42)</f>
        <v>308</v>
      </c>
      <c r="J42" s="42">
        <f>SUM(J36:J41)</f>
        <v>74</v>
      </c>
      <c r="K42" s="42">
        <f>SUM(K36:K41)</f>
        <v>54</v>
      </c>
      <c r="L42" s="42">
        <f>SUM(L36:L41)</f>
        <v>137</v>
      </c>
      <c r="M42" s="37">
        <f>SUM(J42:L42)</f>
        <v>265</v>
      </c>
      <c r="N42" s="42">
        <f>SUM(N36:N41)</f>
        <v>25</v>
      </c>
      <c r="O42" s="42">
        <f>SUM(O36:O41)</f>
        <v>39</v>
      </c>
      <c r="P42" s="42">
        <f>SUM(P36:P41)</f>
        <v>0</v>
      </c>
      <c r="Q42" s="37">
        <f>SUM(N42:P42)</f>
        <v>64</v>
      </c>
      <c r="R42" s="37">
        <f>+E42+I42+M42+Q42</f>
        <v>654</v>
      </c>
    </row>
    <row r="43" spans="1:18" ht="15.75" customHeight="1" x14ac:dyDescent="0.3">
      <c r="A43" s="235" t="s">
        <v>1172</v>
      </c>
      <c r="B43" s="248"/>
      <c r="C43" s="248"/>
      <c r="D43" s="248"/>
      <c r="E43" s="38" t="s">
        <v>852</v>
      </c>
      <c r="F43" s="248"/>
      <c r="G43" s="248"/>
      <c r="H43" s="248"/>
      <c r="I43" s="38" t="s">
        <v>852</v>
      </c>
      <c r="J43" s="248"/>
      <c r="K43" s="248"/>
      <c r="L43" s="248"/>
      <c r="M43" s="38" t="s">
        <v>852</v>
      </c>
      <c r="N43" s="248"/>
      <c r="O43" s="248"/>
      <c r="P43" s="248"/>
      <c r="Q43" s="38" t="s">
        <v>852</v>
      </c>
      <c r="R43" s="39" t="s">
        <v>852</v>
      </c>
    </row>
    <row r="44" spans="1:18" ht="15.75" customHeight="1" x14ac:dyDescent="0.3">
      <c r="A44" s="235" t="s">
        <v>1658</v>
      </c>
      <c r="B44" s="248"/>
      <c r="C44" s="248"/>
      <c r="D44" s="248"/>
      <c r="E44" s="38"/>
      <c r="F44" s="248"/>
      <c r="G44" s="248"/>
      <c r="H44" s="248"/>
      <c r="I44" s="38"/>
      <c r="J44" s="248"/>
      <c r="K44" s="248"/>
      <c r="L44" s="248"/>
      <c r="M44" s="38"/>
      <c r="N44" s="248"/>
      <c r="O44" s="248"/>
      <c r="P44" s="248"/>
      <c r="Q44" s="38"/>
      <c r="R44" s="38"/>
    </row>
    <row r="45" spans="1:18" ht="15.75" customHeight="1" x14ac:dyDescent="0.3">
      <c r="A45" s="235" t="s">
        <v>2409</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5.75" customHeight="1" thickBot="1" x14ac:dyDescent="0.35">
      <c r="A46" s="235" t="s">
        <v>2165</v>
      </c>
      <c r="B46" s="248"/>
      <c r="C46" s="248"/>
      <c r="D46" s="248"/>
      <c r="E46" s="38" t="s">
        <v>852</v>
      </c>
      <c r="F46" s="248"/>
      <c r="G46" s="248"/>
      <c r="H46" s="248"/>
      <c r="I46" s="38" t="s">
        <v>852</v>
      </c>
      <c r="J46" s="248"/>
      <c r="K46" s="248"/>
      <c r="L46" s="248"/>
      <c r="M46" s="38" t="s">
        <v>852</v>
      </c>
      <c r="N46" s="248"/>
      <c r="O46" s="248"/>
      <c r="P46" s="248"/>
      <c r="Q46" s="38" t="s">
        <v>852</v>
      </c>
      <c r="R46" s="38" t="s">
        <v>852</v>
      </c>
    </row>
    <row r="47" spans="1:18" ht="16.5" customHeight="1" thickBot="1" x14ac:dyDescent="0.35">
      <c r="A47" s="43" t="s">
        <v>1219</v>
      </c>
      <c r="B47" s="42">
        <f>SUM(B43:B46)</f>
        <v>0</v>
      </c>
      <c r="C47" s="42">
        <f>SUM(C43:C46)</f>
        <v>0</v>
      </c>
      <c r="D47" s="42">
        <f>SUM(D43:D46)</f>
        <v>0</v>
      </c>
      <c r="E47" s="37">
        <f>SUM(B47:D47)</f>
        <v>0</v>
      </c>
      <c r="F47" s="42">
        <f>SUM(F43:F46)</f>
        <v>0</v>
      </c>
      <c r="G47" s="42">
        <f>SUM(G43:G46)</f>
        <v>0</v>
      </c>
      <c r="H47" s="42">
        <f>SUM(H43:H46)</f>
        <v>0</v>
      </c>
      <c r="I47" s="37">
        <f>SUM(F47:H47)</f>
        <v>0</v>
      </c>
      <c r="J47" s="42">
        <f>SUM(J43:J46)</f>
        <v>0</v>
      </c>
      <c r="K47" s="42">
        <f>SUM(K43:K46)</f>
        <v>0</v>
      </c>
      <c r="L47" s="42">
        <f>SUM(L43:L46)</f>
        <v>0</v>
      </c>
      <c r="M47" s="37">
        <f>SUM(J47:L47)</f>
        <v>0</v>
      </c>
      <c r="N47" s="42">
        <f>SUM(N43:N46)</f>
        <v>0</v>
      </c>
      <c r="O47" s="42">
        <f>SUM(O43:O46)</f>
        <v>0</v>
      </c>
      <c r="P47" s="42">
        <f>SUM(P43:P46)</f>
        <v>0</v>
      </c>
      <c r="Q47" s="37">
        <f>SUM(N47:P47)</f>
        <v>0</v>
      </c>
      <c r="R47" s="37">
        <f>+E47+I47+M47+Q47</f>
        <v>0</v>
      </c>
    </row>
    <row r="48" spans="1:18" ht="15.75" customHeight="1" x14ac:dyDescent="0.3">
      <c r="A48" s="235" t="s">
        <v>2166</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x14ac:dyDescent="0.3">
      <c r="A49" s="235" t="s">
        <v>1245</v>
      </c>
      <c r="B49" s="248"/>
      <c r="C49" s="248"/>
      <c r="D49" s="248"/>
      <c r="E49" s="38" t="s">
        <v>852</v>
      </c>
      <c r="F49" s="248"/>
      <c r="G49" s="248"/>
      <c r="H49" s="248"/>
      <c r="I49" s="38" t="s">
        <v>852</v>
      </c>
      <c r="J49" s="248"/>
      <c r="K49" s="248"/>
      <c r="L49" s="248"/>
      <c r="M49" s="38" t="s">
        <v>852</v>
      </c>
      <c r="N49" s="248"/>
      <c r="O49" s="248"/>
      <c r="P49" s="248"/>
      <c r="Q49" s="38" t="s">
        <v>852</v>
      </c>
      <c r="R49" s="38" t="s">
        <v>852</v>
      </c>
    </row>
    <row r="50" spans="1:18" ht="15.75" customHeight="1" thickBot="1" x14ac:dyDescent="0.35">
      <c r="A50" s="235" t="s">
        <v>1711</v>
      </c>
      <c r="B50" s="248"/>
      <c r="C50" s="248"/>
      <c r="D50" s="248"/>
      <c r="E50" s="38"/>
      <c r="F50" s="248"/>
      <c r="G50" s="248"/>
      <c r="H50" s="248"/>
      <c r="I50" s="38"/>
      <c r="J50" s="248"/>
      <c r="K50" s="248"/>
      <c r="L50" s="248"/>
      <c r="M50" s="38"/>
      <c r="N50" s="248"/>
      <c r="O50" s="248"/>
      <c r="P50" s="248"/>
      <c r="Q50" s="38"/>
      <c r="R50" s="38"/>
    </row>
    <row r="51" spans="1:18" ht="16.5" customHeight="1" thickBot="1" x14ac:dyDescent="0.35">
      <c r="A51" s="43" t="s">
        <v>1220</v>
      </c>
      <c r="B51" s="42">
        <f>SUM(B48:B50)</f>
        <v>0</v>
      </c>
      <c r="C51" s="42">
        <f>SUM(C48:C50)</f>
        <v>0</v>
      </c>
      <c r="D51" s="42">
        <f>SUM(D48:D50)</f>
        <v>0</v>
      </c>
      <c r="E51" s="37">
        <f>SUM(B51:D51)</f>
        <v>0</v>
      </c>
      <c r="F51" s="42">
        <f>SUM(F48:F50)</f>
        <v>0</v>
      </c>
      <c r="G51" s="42">
        <f>SUM(G48:G50)</f>
        <v>0</v>
      </c>
      <c r="H51" s="42">
        <f>SUM(H48:H50)</f>
        <v>0</v>
      </c>
      <c r="I51" s="37">
        <f>SUM(F51:H51)</f>
        <v>0</v>
      </c>
      <c r="J51" s="42">
        <f>SUM(J48:J50)</f>
        <v>0</v>
      </c>
      <c r="K51" s="42">
        <f>SUM(K48:K50)</f>
        <v>0</v>
      </c>
      <c r="L51" s="42">
        <f>SUM(L48:L50)</f>
        <v>0</v>
      </c>
      <c r="M51" s="37">
        <f>SUM(J51:L51)</f>
        <v>0</v>
      </c>
      <c r="N51" s="42">
        <f>SUM(N48:N50)</f>
        <v>0</v>
      </c>
      <c r="O51" s="42">
        <f>SUM(O48:O50)</f>
        <v>0</v>
      </c>
      <c r="P51" s="42">
        <f>SUM(P48:P50)</f>
        <v>0</v>
      </c>
      <c r="Q51" s="37">
        <f>SUM(N51:P51)</f>
        <v>0</v>
      </c>
      <c r="R51" s="37">
        <f>+E51+I51+M51+Q51</f>
        <v>0</v>
      </c>
    </row>
    <row r="52" spans="1:18" ht="15.75" customHeight="1" x14ac:dyDescent="0.3">
      <c r="A52" s="235" t="s">
        <v>1712</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1021</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235" t="s">
        <v>557</v>
      </c>
      <c r="B54" s="248"/>
      <c r="C54" s="248"/>
      <c r="D54" s="248"/>
      <c r="E54" s="38" t="s">
        <v>852</v>
      </c>
      <c r="F54" s="248"/>
      <c r="G54" s="248"/>
      <c r="H54" s="248"/>
      <c r="I54" s="38" t="s">
        <v>852</v>
      </c>
      <c r="J54" s="248"/>
      <c r="K54" s="248"/>
      <c r="L54" s="248"/>
      <c r="M54" s="38" t="s">
        <v>852</v>
      </c>
      <c r="N54" s="248"/>
      <c r="O54" s="248"/>
      <c r="P54" s="248"/>
      <c r="Q54" s="38" t="s">
        <v>852</v>
      </c>
      <c r="R54" s="38" t="s">
        <v>852</v>
      </c>
    </row>
    <row r="55" spans="1:18" ht="15.75" customHeight="1" x14ac:dyDescent="0.3">
      <c r="A55" s="422" t="s">
        <v>2557</v>
      </c>
      <c r="B55" s="172"/>
      <c r="C55" s="172"/>
      <c r="D55" s="172"/>
      <c r="E55" s="38">
        <f>SUM(B55:D55)</f>
        <v>0</v>
      </c>
      <c r="F55" s="172"/>
      <c r="G55" s="172"/>
      <c r="H55" s="172"/>
      <c r="I55" s="38">
        <f>SUM(F55:H55)</f>
        <v>0</v>
      </c>
      <c r="J55" s="172"/>
      <c r="K55" s="172"/>
      <c r="L55" s="172"/>
      <c r="M55" s="38">
        <f>SUM(J55:L55)</f>
        <v>0</v>
      </c>
      <c r="N55" s="172"/>
      <c r="O55" s="172"/>
      <c r="P55" s="172"/>
      <c r="Q55" s="38">
        <f>SUM(N55:P55)</f>
        <v>0</v>
      </c>
      <c r="R55" s="38">
        <f>+E55+I55+M55+Q55</f>
        <v>0</v>
      </c>
    </row>
    <row r="56" spans="1:18" ht="15.75" customHeight="1" x14ac:dyDescent="0.3">
      <c r="A56" s="235" t="s">
        <v>1022</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5.75" customHeight="1" thickBot="1" x14ac:dyDescent="0.35">
      <c r="A57" s="235" t="s">
        <v>559</v>
      </c>
      <c r="B57" s="248"/>
      <c r="C57" s="248"/>
      <c r="D57" s="248"/>
      <c r="E57" s="38" t="s">
        <v>852</v>
      </c>
      <c r="F57" s="248"/>
      <c r="G57" s="248"/>
      <c r="H57" s="248"/>
      <c r="I57" s="38" t="s">
        <v>852</v>
      </c>
      <c r="J57" s="248"/>
      <c r="K57" s="248"/>
      <c r="L57" s="248"/>
      <c r="M57" s="38" t="s">
        <v>852</v>
      </c>
      <c r="N57" s="248"/>
      <c r="O57" s="248"/>
      <c r="P57" s="248"/>
      <c r="Q57" s="38" t="s">
        <v>852</v>
      </c>
      <c r="R57" s="38" t="s">
        <v>852</v>
      </c>
    </row>
    <row r="58" spans="1:18" ht="16.5" customHeight="1" thickBot="1" x14ac:dyDescent="0.35">
      <c r="A58" s="43" t="s">
        <v>1019</v>
      </c>
      <c r="B58" s="42">
        <f>SUM(B56:B57)</f>
        <v>0</v>
      </c>
      <c r="C58" s="42">
        <f>SUM(C56:C57)</f>
        <v>0</v>
      </c>
      <c r="D58" s="42">
        <f>SUM(D56:D57)</f>
        <v>0</v>
      </c>
      <c r="E58" s="39">
        <f>SUM(B58:D58)</f>
        <v>0</v>
      </c>
      <c r="F58" s="42">
        <f>SUM(F56:F57)</f>
        <v>0</v>
      </c>
      <c r="G58" s="42">
        <f>SUM(G56:G57)</f>
        <v>0</v>
      </c>
      <c r="H58" s="42">
        <f>SUM(H56:H57)</f>
        <v>0</v>
      </c>
      <c r="I58" s="39">
        <f>SUM(F58:H58)</f>
        <v>0</v>
      </c>
      <c r="J58" s="42">
        <f>SUM(J56:J57)</f>
        <v>0</v>
      </c>
      <c r="K58" s="42">
        <f>SUM(K56:K57)</f>
        <v>0</v>
      </c>
      <c r="L58" s="42">
        <f>SUM(L56:L57)</f>
        <v>0</v>
      </c>
      <c r="M58" s="39">
        <f>SUM(J58:L58)</f>
        <v>0</v>
      </c>
      <c r="N58" s="42">
        <f>SUM(N56:N57)</f>
        <v>0</v>
      </c>
      <c r="O58" s="42">
        <f>SUM(O56:O57)</f>
        <v>0</v>
      </c>
      <c r="P58" s="42">
        <f>SUM(P56:P57)</f>
        <v>0</v>
      </c>
      <c r="Q58" s="39">
        <f>SUM(N58:P58)</f>
        <v>0</v>
      </c>
      <c r="R58" s="37">
        <f>+E58+I58+M58+Q58</f>
        <v>0</v>
      </c>
    </row>
    <row r="59" spans="1:18" ht="16.5" customHeight="1" thickBot="1" x14ac:dyDescent="0.35">
      <c r="A59" s="43" t="s">
        <v>1221</v>
      </c>
      <c r="B59" s="42">
        <f>SUM(B52:B57)</f>
        <v>0</v>
      </c>
      <c r="C59" s="42">
        <f>SUM(C52:C57)</f>
        <v>0</v>
      </c>
      <c r="D59" s="42">
        <f>SUM(D52:D57)</f>
        <v>0</v>
      </c>
      <c r="E59" s="39">
        <f>SUM(B59:D59)</f>
        <v>0</v>
      </c>
      <c r="F59" s="42">
        <f>SUM(F52:F57)</f>
        <v>0</v>
      </c>
      <c r="G59" s="42">
        <f>SUM(G52:G57)</f>
        <v>0</v>
      </c>
      <c r="H59" s="42">
        <f>SUM(H52:H57)</f>
        <v>0</v>
      </c>
      <c r="I59" s="39">
        <f>SUM(F59:H59)</f>
        <v>0</v>
      </c>
      <c r="J59" s="42">
        <f>SUM(J52:J57)</f>
        <v>0</v>
      </c>
      <c r="K59" s="42">
        <f>SUM(K52:K57)</f>
        <v>0</v>
      </c>
      <c r="L59" s="42">
        <f>SUM(L52:L57)</f>
        <v>0</v>
      </c>
      <c r="M59" s="39">
        <f>SUM(J59:L59)</f>
        <v>0</v>
      </c>
      <c r="N59" s="42">
        <f>SUM(N52:N57)</f>
        <v>0</v>
      </c>
      <c r="O59" s="42">
        <f>SUM(O52:O57)</f>
        <v>0</v>
      </c>
      <c r="P59" s="42">
        <f>SUM(P52:P57)</f>
        <v>0</v>
      </c>
      <c r="Q59" s="39">
        <f>SUM(N59:P59)</f>
        <v>0</v>
      </c>
      <c r="R59" s="37">
        <f>+E59+I59+M59+Q59</f>
        <v>0</v>
      </c>
    </row>
    <row r="60" spans="1:18" ht="16.5" customHeight="1" thickBot="1" x14ac:dyDescent="0.35">
      <c r="A60" s="43" t="s">
        <v>1222</v>
      </c>
      <c r="B60" s="42">
        <f>+B42+B47+B51+B59</f>
        <v>0</v>
      </c>
      <c r="C60" s="42">
        <f>+C42+C47+C51+C59</f>
        <v>1</v>
      </c>
      <c r="D60" s="42">
        <f>+D42+D47+D51+D59</f>
        <v>16</v>
      </c>
      <c r="E60" s="37">
        <f>SUM(B60:D60)</f>
        <v>17</v>
      </c>
      <c r="F60" s="42">
        <f>+F42+F47+F51+F59</f>
        <v>59</v>
      </c>
      <c r="G60" s="42">
        <f>+G42+G47+G51+G59</f>
        <v>160</v>
      </c>
      <c r="H60" s="42">
        <f>+H42+H47+H51+H59</f>
        <v>89</v>
      </c>
      <c r="I60" s="37">
        <f>SUM(F60:H60)</f>
        <v>308</v>
      </c>
      <c r="J60" s="42">
        <f>+J42+J47+J51+J59</f>
        <v>74</v>
      </c>
      <c r="K60" s="42">
        <f>+K42+K47+K51+K59</f>
        <v>54</v>
      </c>
      <c r="L60" s="42">
        <f>+L42+L47+L51+L59</f>
        <v>137</v>
      </c>
      <c r="M60" s="37">
        <f>SUM(J60:L60)</f>
        <v>265</v>
      </c>
      <c r="N60" s="42">
        <f>+N42+N47+N51+N59</f>
        <v>25</v>
      </c>
      <c r="O60" s="42">
        <f>+O42+O47+O51+O59</f>
        <v>39</v>
      </c>
      <c r="P60" s="42">
        <f>+P42+P47+P51+P59</f>
        <v>0</v>
      </c>
      <c r="Q60" s="37">
        <f>SUM(N60:P60)</f>
        <v>64</v>
      </c>
      <c r="R60" s="37">
        <f>+E60+I60+M60+Q60</f>
        <v>654</v>
      </c>
    </row>
    <row r="61" spans="1:18" ht="16.5" customHeight="1" thickBot="1" x14ac:dyDescent="0.35">
      <c r="A61" s="250" t="s">
        <v>853</v>
      </c>
      <c r="B61" s="251">
        <v>96</v>
      </c>
      <c r="C61" s="251">
        <v>145</v>
      </c>
      <c r="D61" s="251">
        <v>261</v>
      </c>
      <c r="E61" s="21">
        <f>SUM(B61:D61)</f>
        <v>502</v>
      </c>
      <c r="F61" s="251">
        <v>350</v>
      </c>
      <c r="G61" s="251">
        <v>402</v>
      </c>
      <c r="H61" s="251">
        <v>396</v>
      </c>
      <c r="I61" s="21">
        <f>SUM(F61:H61)</f>
        <v>1148</v>
      </c>
      <c r="J61" s="251">
        <v>394</v>
      </c>
      <c r="K61" s="251">
        <v>318</v>
      </c>
      <c r="L61" s="251">
        <v>301</v>
      </c>
      <c r="M61" s="21">
        <f>SUM(J61:L61)</f>
        <v>1013</v>
      </c>
      <c r="N61" s="251">
        <v>272</v>
      </c>
      <c r="O61" s="251">
        <v>226</v>
      </c>
      <c r="P61" s="251">
        <v>179</v>
      </c>
      <c r="Q61" s="21">
        <f>SUM(N61:P61)</f>
        <v>677</v>
      </c>
      <c r="R61" s="21">
        <f>+E61+I61+M61+Q61</f>
        <v>3340</v>
      </c>
    </row>
    <row r="62" spans="1:18" ht="16.5" customHeight="1" thickBot="1" x14ac:dyDescent="0.35">
      <c r="A62" s="22"/>
      <c r="B62" s="242"/>
      <c r="C62" s="242"/>
      <c r="D62" s="242"/>
      <c r="E62" s="16"/>
      <c r="F62" s="242"/>
      <c r="G62" s="242"/>
      <c r="H62" s="242"/>
      <c r="I62" s="16"/>
      <c r="J62" s="242"/>
      <c r="K62" s="242"/>
      <c r="L62" s="242"/>
      <c r="M62" s="16"/>
      <c r="N62" s="242"/>
      <c r="O62" s="242"/>
      <c r="P62" s="242"/>
      <c r="Q62" s="16"/>
      <c r="R62" s="22"/>
    </row>
    <row r="63" spans="1:18" ht="15.75" customHeight="1" x14ac:dyDescent="0.3">
      <c r="A63" s="234" t="s">
        <v>2011</v>
      </c>
      <c r="B63" s="172">
        <f>+B60+B61</f>
        <v>96</v>
      </c>
      <c r="C63" s="172">
        <f>+C60+C61</f>
        <v>146</v>
      </c>
      <c r="D63" s="172">
        <f>+D60+D61</f>
        <v>277</v>
      </c>
      <c r="E63" s="14">
        <f>SUM(B63:D63)</f>
        <v>519</v>
      </c>
      <c r="F63" s="172">
        <f>+F60+F61</f>
        <v>409</v>
      </c>
      <c r="G63" s="172">
        <f>+G60+G61</f>
        <v>562</v>
      </c>
      <c r="H63" s="172">
        <f>+H60+H61</f>
        <v>485</v>
      </c>
      <c r="I63" s="14">
        <f>SUM(F63:H63)</f>
        <v>1456</v>
      </c>
      <c r="J63" s="172">
        <f>+J60+J61</f>
        <v>468</v>
      </c>
      <c r="K63" s="172">
        <f>+K60+K61</f>
        <v>372</v>
      </c>
      <c r="L63" s="172">
        <f>+L60+L61</f>
        <v>438</v>
      </c>
      <c r="M63" s="14">
        <f>SUM(J63:L63)</f>
        <v>1278</v>
      </c>
      <c r="N63" s="172">
        <f>+N60+N61</f>
        <v>297</v>
      </c>
      <c r="O63" s="172">
        <f>+O60+O61</f>
        <v>265</v>
      </c>
      <c r="P63" s="172">
        <f>+P60+P61</f>
        <v>179</v>
      </c>
      <c r="Q63" s="28">
        <f>SUM(N63:P63)</f>
        <v>741</v>
      </c>
      <c r="R63" s="15">
        <f>+E63+I63+M63+Q63</f>
        <v>3994</v>
      </c>
    </row>
    <row r="64" spans="1:18" ht="15.75" customHeight="1" x14ac:dyDescent="0.3">
      <c r="A64" s="234" t="s">
        <v>1897</v>
      </c>
      <c r="B64" s="172">
        <f>(B63/31)/1.983</f>
        <v>1.5616612171197111</v>
      </c>
      <c r="C64" s="172">
        <f>(C63/28)/1.983</f>
        <v>2.6294935523377276</v>
      </c>
      <c r="D64" s="172">
        <f>(D63/31)/1.983</f>
        <v>4.5060433035641658</v>
      </c>
      <c r="E64" s="15"/>
      <c r="F64" s="172">
        <f>(F63/30)/1.983</f>
        <v>6.8751050596738938</v>
      </c>
      <c r="G64" s="172">
        <f>(G63/31)/1.983</f>
        <v>9.1422250418883078</v>
      </c>
      <c r="H64" s="172">
        <f>(H63/30)/1.983</f>
        <v>8.1526306942343254</v>
      </c>
      <c r="I64" s="15"/>
      <c r="J64" s="172">
        <f>(J63/31)/1.983</f>
        <v>7.6130984334585916</v>
      </c>
      <c r="K64" s="172">
        <f>(K63/31)/1.983</f>
        <v>6.0514372163388801</v>
      </c>
      <c r="L64" s="172">
        <f>(L63/30)/1.983</f>
        <v>7.362581946545637</v>
      </c>
      <c r="M64" s="15"/>
      <c r="N64" s="172">
        <f>(N63/31)/1.983</f>
        <v>4.8313893904641061</v>
      </c>
      <c r="O64" s="172">
        <f>(O63/30)/1.983</f>
        <v>4.4545301731383429</v>
      </c>
      <c r="P64" s="172">
        <f>(P63/31)/1.983</f>
        <v>2.9118474777544612</v>
      </c>
      <c r="Q64" s="29"/>
      <c r="R64" s="20"/>
    </row>
    <row r="65" spans="1:19" ht="15.75" customHeight="1" x14ac:dyDescent="0.3">
      <c r="A65" s="234" t="s">
        <v>1969</v>
      </c>
      <c r="B65" s="172">
        <f>B63+B128</f>
        <v>183456</v>
      </c>
      <c r="C65" s="172">
        <f>C63+C128</f>
        <v>168124</v>
      </c>
      <c r="D65" s="172">
        <f>D63+D128</f>
        <v>187248</v>
      </c>
      <c r="E65" s="15">
        <f>SUM(B65:D65)</f>
        <v>538828</v>
      </c>
      <c r="F65" s="172">
        <f>F63+F128</f>
        <v>181037</v>
      </c>
      <c r="G65" s="172">
        <f>G63+G128</f>
        <v>180167</v>
      </c>
      <c r="H65" s="172">
        <f>H63+H128</f>
        <v>130780</v>
      </c>
      <c r="I65" s="15">
        <f>SUM(F65:H65)</f>
        <v>491984</v>
      </c>
      <c r="J65" s="172">
        <f>J63+J128</f>
        <v>39564</v>
      </c>
      <c r="K65" s="172">
        <f>K63+K128</f>
        <v>86262</v>
      </c>
      <c r="L65" s="172">
        <f>L63+L128</f>
        <v>137064</v>
      </c>
      <c r="M65" s="15">
        <f>SUM(J65:L65)</f>
        <v>262890</v>
      </c>
      <c r="N65" s="172">
        <f>N63+N128</f>
        <v>31701</v>
      </c>
      <c r="O65" s="172">
        <f>O63+O128</f>
        <v>173055</v>
      </c>
      <c r="P65" s="172">
        <f>P63+P128</f>
        <v>133794</v>
      </c>
      <c r="Q65" s="29">
        <f>SUM(N65:P65)</f>
        <v>338550</v>
      </c>
      <c r="R65" s="15">
        <f>+E65+I65+M65+Q65</f>
        <v>1632252</v>
      </c>
    </row>
    <row r="66" spans="1:19" ht="16.5" customHeight="1" thickBot="1" x14ac:dyDescent="0.35">
      <c r="A66" s="237" t="s">
        <v>1970</v>
      </c>
      <c r="B66" s="238">
        <f>(B65/31)/1.983</f>
        <v>2984.334585915768</v>
      </c>
      <c r="C66" s="238">
        <f>(C65/28)/1.983</f>
        <v>3027.9518766659462</v>
      </c>
      <c r="D66" s="238">
        <f>(D65/31)/1.983</f>
        <v>3046.0202039919964</v>
      </c>
      <c r="E66" s="16"/>
      <c r="F66" s="238">
        <f>(F65/30)/1.983</f>
        <v>3043.1501092620606</v>
      </c>
      <c r="G66" s="238">
        <f>(G65/31)/1.983</f>
        <v>2930.8314219250728</v>
      </c>
      <c r="H66" s="238">
        <f>(H65/30)/1.983</f>
        <v>2198.3526643133296</v>
      </c>
      <c r="I66" s="16"/>
      <c r="J66" s="238">
        <f>(J65/31)/1.983</f>
        <v>643.59962910546085</v>
      </c>
      <c r="K66" s="238">
        <f>(K65/31)/1.983</f>
        <v>1403.2502074081303</v>
      </c>
      <c r="L66" s="238">
        <f>(L65/30)/1.983</f>
        <v>2303.9838628340899</v>
      </c>
      <c r="M66" s="16"/>
      <c r="N66" s="238">
        <f>(N65/31)/1.983</f>
        <v>515.68981504074952</v>
      </c>
      <c r="O66" s="238">
        <f>(O65/30)/1.983</f>
        <v>2908.9762985375692</v>
      </c>
      <c r="P66" s="238">
        <f>(P65/31)/1.983</f>
        <v>2176.4677175345273</v>
      </c>
      <c r="Q66" s="30"/>
      <c r="R66" s="23" t="s">
        <v>852</v>
      </c>
    </row>
    <row r="67" spans="1:19" ht="15.75" customHeight="1" x14ac:dyDescent="0.3">
      <c r="A67" s="17"/>
      <c r="B67" s="172"/>
      <c r="C67" s="172"/>
      <c r="D67" s="172"/>
      <c r="E67" s="172"/>
      <c r="F67" s="172"/>
      <c r="G67" s="172"/>
      <c r="H67" s="172"/>
      <c r="I67" s="172"/>
      <c r="J67" s="172"/>
      <c r="K67" s="172"/>
      <c r="L67" s="172"/>
      <c r="M67" s="172"/>
      <c r="N67" s="172"/>
      <c r="O67" s="172"/>
      <c r="P67" s="172"/>
      <c r="Q67" s="172"/>
      <c r="R67" s="17"/>
    </row>
    <row r="68" spans="1:19" ht="15.75" customHeight="1" thickBot="1" x14ac:dyDescent="0.35">
      <c r="A68" s="17"/>
      <c r="B68" s="172"/>
      <c r="C68" s="172"/>
      <c r="D68" s="172"/>
      <c r="E68" s="172"/>
      <c r="F68" s="172"/>
      <c r="G68" s="172"/>
      <c r="H68" s="172"/>
      <c r="I68" s="172"/>
      <c r="J68" s="172"/>
      <c r="K68" s="172"/>
      <c r="L68" s="172"/>
      <c r="M68" s="172"/>
      <c r="N68" s="172"/>
      <c r="O68" s="172"/>
      <c r="P68" s="172"/>
      <c r="Q68" s="172"/>
      <c r="R68" s="17"/>
    </row>
    <row r="69" spans="1:19" ht="16.5" customHeight="1" thickBot="1" x14ac:dyDescent="0.35">
      <c r="A69" s="240" t="s">
        <v>603</v>
      </c>
      <c r="B69" s="4" t="s">
        <v>2090</v>
      </c>
      <c r="C69" s="5" t="s">
        <v>2091</v>
      </c>
      <c r="D69" s="5" t="s">
        <v>2234</v>
      </c>
      <c r="E69" s="33" t="s">
        <v>1594</v>
      </c>
      <c r="F69" s="5" t="s">
        <v>2235</v>
      </c>
      <c r="G69" s="5" t="s">
        <v>2236</v>
      </c>
      <c r="H69" s="5" t="s">
        <v>2237</v>
      </c>
      <c r="I69" s="35" t="s">
        <v>1595</v>
      </c>
      <c r="J69" s="5" t="s">
        <v>1504</v>
      </c>
      <c r="K69" s="5" t="s">
        <v>1505</v>
      </c>
      <c r="L69" s="5" t="s">
        <v>1506</v>
      </c>
      <c r="M69" s="35" t="s">
        <v>1596</v>
      </c>
      <c r="N69" s="5" t="s">
        <v>1507</v>
      </c>
      <c r="O69" s="5" t="s">
        <v>1508</v>
      </c>
      <c r="P69" s="5" t="s">
        <v>1509</v>
      </c>
      <c r="Q69" s="35" t="s">
        <v>1597</v>
      </c>
      <c r="R69" s="36" t="s">
        <v>1510</v>
      </c>
    </row>
    <row r="70" spans="1:19" ht="16.5" customHeight="1" thickBot="1" x14ac:dyDescent="0.35">
      <c r="A70" s="252"/>
      <c r="B70" s="231"/>
      <c r="C70" s="253"/>
      <c r="D70" s="253"/>
      <c r="E70" s="254"/>
      <c r="F70" s="253"/>
      <c r="G70" s="253"/>
      <c r="H70" s="253"/>
      <c r="I70" s="254"/>
      <c r="J70" s="253"/>
      <c r="K70" s="253"/>
      <c r="L70" s="253"/>
      <c r="M70" s="254"/>
      <c r="N70" s="253"/>
      <c r="O70" s="253"/>
      <c r="P70" s="255"/>
      <c r="Q70" s="254"/>
      <c r="R70" s="37"/>
    </row>
    <row r="71" spans="1:19" ht="15.75" customHeight="1" x14ac:dyDescent="0.3">
      <c r="A71" s="247" t="s">
        <v>2417</v>
      </c>
      <c r="B71" s="18"/>
      <c r="C71" s="18"/>
      <c r="D71" s="18"/>
      <c r="E71" s="38" t="s">
        <v>852</v>
      </c>
      <c r="F71" s="18"/>
      <c r="G71" s="18"/>
      <c r="H71" s="18"/>
      <c r="I71" s="38" t="s">
        <v>852</v>
      </c>
      <c r="J71" s="18"/>
      <c r="K71" s="18"/>
      <c r="L71" s="18"/>
      <c r="M71" s="38" t="s">
        <v>852</v>
      </c>
      <c r="N71" s="18"/>
      <c r="O71" s="18"/>
      <c r="P71" s="18"/>
      <c r="Q71" s="38" t="s">
        <v>852</v>
      </c>
      <c r="R71" s="38" t="s">
        <v>852</v>
      </c>
    </row>
    <row r="72" spans="1:19" ht="15.75" customHeight="1" x14ac:dyDescent="0.3">
      <c r="A72" s="235" t="s">
        <v>2160</v>
      </c>
      <c r="B72" s="18"/>
      <c r="C72" s="248"/>
      <c r="D72" s="248"/>
      <c r="E72" s="38" t="s">
        <v>852</v>
      </c>
      <c r="F72" s="248"/>
      <c r="G72" s="248"/>
      <c r="H72" s="248"/>
      <c r="I72" s="38" t="s">
        <v>852</v>
      </c>
      <c r="J72" s="248"/>
      <c r="K72" s="248"/>
      <c r="L72" s="248"/>
      <c r="M72" s="38" t="s">
        <v>852</v>
      </c>
      <c r="N72" s="248"/>
      <c r="O72" s="248"/>
      <c r="P72" s="248"/>
      <c r="Q72" s="38" t="s">
        <v>852</v>
      </c>
      <c r="R72" s="38" t="s">
        <v>852</v>
      </c>
    </row>
    <row r="73" spans="1:19" ht="15.75" customHeight="1" x14ac:dyDescent="0.3">
      <c r="A73" s="539" t="s">
        <v>222</v>
      </c>
      <c r="B73" s="172"/>
      <c r="C73" s="172"/>
      <c r="D73" s="172"/>
      <c r="E73" s="38">
        <f t="shared" ref="E73:E79" si="5">SUM(B73:D73)</f>
        <v>0</v>
      </c>
      <c r="F73" s="172"/>
      <c r="G73" s="172"/>
      <c r="H73" s="172"/>
      <c r="I73" s="38">
        <f t="shared" ref="I73:I79" si="6">SUM(F73:H73)</f>
        <v>0</v>
      </c>
      <c r="J73" s="172"/>
      <c r="K73" s="172"/>
      <c r="L73" s="172"/>
      <c r="M73" s="38">
        <f t="shared" ref="M73:M79" si="7">SUM(J73:L73)</f>
        <v>0</v>
      </c>
      <c r="N73" s="172"/>
      <c r="O73" s="172"/>
      <c r="P73" s="172"/>
      <c r="Q73" s="38">
        <f t="shared" ref="Q73:Q79" si="8">SUM(N73:P73)</f>
        <v>0</v>
      </c>
      <c r="R73" s="38">
        <f t="shared" ref="R73:R79" si="9">+E73+I73+M73+Q73</f>
        <v>0</v>
      </c>
    </row>
    <row r="74" spans="1:19" ht="15.75" customHeight="1" x14ac:dyDescent="0.3">
      <c r="A74" s="539" t="s">
        <v>223</v>
      </c>
      <c r="B74" s="172"/>
      <c r="C74" s="172"/>
      <c r="D74" s="172"/>
      <c r="E74" s="38">
        <f>SUM(B74:D74)</f>
        <v>0</v>
      </c>
      <c r="F74" s="172"/>
      <c r="G74" s="172"/>
      <c r="H74" s="172"/>
      <c r="I74" s="38">
        <f>SUM(F74:H74)</f>
        <v>0</v>
      </c>
      <c r="J74" s="172"/>
      <c r="K74" s="172"/>
      <c r="L74" s="172"/>
      <c r="M74" s="38">
        <f>SUM(J74:L74)</f>
        <v>0</v>
      </c>
      <c r="N74" s="172"/>
      <c r="O74" s="172"/>
      <c r="P74" s="172"/>
      <c r="Q74" s="38">
        <f>SUM(N74:P74)</f>
        <v>0</v>
      </c>
      <c r="R74" s="38">
        <f>+E74+I74+M74+Q74</f>
        <v>0</v>
      </c>
    </row>
    <row r="75" spans="1:19" ht="15.75" customHeight="1" x14ac:dyDescent="0.3">
      <c r="A75" s="539" t="s">
        <v>2060</v>
      </c>
      <c r="B75" s="172"/>
      <c r="C75" s="172"/>
      <c r="D75" s="172"/>
      <c r="E75" s="38">
        <f t="shared" si="5"/>
        <v>0</v>
      </c>
      <c r="F75" s="172"/>
      <c r="G75" s="172"/>
      <c r="H75" s="172"/>
      <c r="I75" s="38">
        <f t="shared" si="6"/>
        <v>0</v>
      </c>
      <c r="J75" s="172"/>
      <c r="K75" s="172"/>
      <c r="L75" s="172"/>
      <c r="M75" s="38">
        <f t="shared" si="7"/>
        <v>0</v>
      </c>
      <c r="N75" s="172"/>
      <c r="O75" s="172"/>
      <c r="P75" s="172"/>
      <c r="Q75" s="38">
        <f t="shared" si="8"/>
        <v>0</v>
      </c>
      <c r="R75" s="38">
        <f t="shared" si="9"/>
        <v>0</v>
      </c>
    </row>
    <row r="76" spans="1:19" ht="15.75" customHeight="1" x14ac:dyDescent="0.3">
      <c r="A76" s="539" t="s">
        <v>2262</v>
      </c>
      <c r="B76" s="172"/>
      <c r="C76" s="172"/>
      <c r="D76" s="172"/>
      <c r="E76" s="38">
        <f t="shared" si="5"/>
        <v>0</v>
      </c>
      <c r="F76" s="172"/>
      <c r="G76" s="172"/>
      <c r="H76" s="172"/>
      <c r="I76" s="38">
        <f t="shared" si="6"/>
        <v>0</v>
      </c>
      <c r="J76" s="172"/>
      <c r="K76" s="172"/>
      <c r="L76" s="172"/>
      <c r="M76" s="38">
        <f t="shared" si="7"/>
        <v>0</v>
      </c>
      <c r="N76" s="172"/>
      <c r="O76" s="172"/>
      <c r="P76" s="172"/>
      <c r="Q76" s="38">
        <f t="shared" si="8"/>
        <v>0</v>
      </c>
      <c r="R76" s="38">
        <f t="shared" si="9"/>
        <v>0</v>
      </c>
    </row>
    <row r="77" spans="1:19" ht="15.75" customHeight="1" x14ac:dyDescent="0.3">
      <c r="A77" s="539" t="s">
        <v>789</v>
      </c>
      <c r="B77" s="172"/>
      <c r="C77" s="172"/>
      <c r="D77" s="172"/>
      <c r="E77" s="38">
        <f t="shared" si="5"/>
        <v>0</v>
      </c>
      <c r="F77" s="172"/>
      <c r="G77" s="172"/>
      <c r="H77" s="172"/>
      <c r="I77" s="38">
        <f t="shared" si="6"/>
        <v>0</v>
      </c>
      <c r="J77" s="172"/>
      <c r="K77" s="172"/>
      <c r="L77" s="172"/>
      <c r="M77" s="38">
        <f t="shared" si="7"/>
        <v>0</v>
      </c>
      <c r="N77" s="172"/>
      <c r="O77" s="172">
        <v>200</v>
      </c>
      <c r="P77" s="172">
        <v>308</v>
      </c>
      <c r="Q77" s="38">
        <f t="shared" si="8"/>
        <v>508</v>
      </c>
      <c r="R77" s="38">
        <f t="shared" si="9"/>
        <v>508</v>
      </c>
    </row>
    <row r="78" spans="1:19" ht="15.75" customHeight="1" x14ac:dyDescent="0.3">
      <c r="A78" s="410" t="s">
        <v>2183</v>
      </c>
      <c r="B78" s="172"/>
      <c r="C78" s="172"/>
      <c r="D78" s="172"/>
      <c r="E78" s="38">
        <f t="shared" si="5"/>
        <v>0</v>
      </c>
      <c r="F78" s="172"/>
      <c r="G78" s="172"/>
      <c r="H78" s="172"/>
      <c r="I78" s="38">
        <f t="shared" si="6"/>
        <v>0</v>
      </c>
      <c r="J78" s="172"/>
      <c r="K78" s="172"/>
      <c r="L78" s="172"/>
      <c r="M78" s="38">
        <f t="shared" si="7"/>
        <v>0</v>
      </c>
      <c r="N78" s="172"/>
      <c r="O78" s="172"/>
      <c r="P78" s="172"/>
      <c r="Q78" s="38">
        <f t="shared" si="8"/>
        <v>0</v>
      </c>
      <c r="R78" s="38">
        <f t="shared" si="9"/>
        <v>0</v>
      </c>
    </row>
    <row r="79" spans="1:19" ht="15.75" customHeight="1" x14ac:dyDescent="0.3">
      <c r="A79" s="410" t="s">
        <v>86</v>
      </c>
      <c r="B79" s="172"/>
      <c r="C79" s="172"/>
      <c r="D79" s="172"/>
      <c r="E79" s="38">
        <f t="shared" si="5"/>
        <v>0</v>
      </c>
      <c r="F79" s="172"/>
      <c r="G79" s="172"/>
      <c r="H79" s="172"/>
      <c r="I79" s="38">
        <f t="shared" si="6"/>
        <v>0</v>
      </c>
      <c r="J79" s="172"/>
      <c r="K79" s="172"/>
      <c r="L79" s="172"/>
      <c r="M79" s="38">
        <f t="shared" si="7"/>
        <v>0</v>
      </c>
      <c r="N79" s="172"/>
      <c r="O79" s="172"/>
      <c r="P79" s="172"/>
      <c r="Q79" s="38">
        <f t="shared" si="8"/>
        <v>0</v>
      </c>
      <c r="R79" s="38">
        <f t="shared" si="9"/>
        <v>0</v>
      </c>
      <c r="S79">
        <f>SUM(R73:R79)</f>
        <v>508</v>
      </c>
    </row>
    <row r="80" spans="1:19" ht="15.75" customHeight="1" x14ac:dyDescent="0.3">
      <c r="A80" s="235" t="s">
        <v>2161</v>
      </c>
      <c r="B80" s="18"/>
      <c r="C80" s="18"/>
      <c r="D80" s="18"/>
      <c r="E80" s="38" t="s">
        <v>852</v>
      </c>
      <c r="F80" s="18"/>
      <c r="G80" s="18"/>
      <c r="H80" s="18"/>
      <c r="I80" s="38" t="s">
        <v>852</v>
      </c>
      <c r="J80" s="18"/>
      <c r="K80" s="18"/>
      <c r="L80" s="18"/>
      <c r="M80" s="38" t="s">
        <v>852</v>
      </c>
      <c r="N80" s="18"/>
      <c r="O80" s="18"/>
      <c r="P80" s="18"/>
      <c r="Q80" s="38" t="s">
        <v>852</v>
      </c>
      <c r="R80" s="38" t="s">
        <v>852</v>
      </c>
    </row>
    <row r="81" spans="1:18" ht="15.75" customHeight="1" x14ac:dyDescent="0.3">
      <c r="A81" s="410" t="s">
        <v>701</v>
      </c>
      <c r="B81" s="172"/>
      <c r="C81" s="172"/>
      <c r="D81" s="172"/>
      <c r="E81" s="38">
        <f>SUM(B81:D81)</f>
        <v>0</v>
      </c>
      <c r="F81" s="172"/>
      <c r="G81" s="172"/>
      <c r="H81" s="172"/>
      <c r="I81" s="38">
        <f>SUM(F81:H81)</f>
        <v>0</v>
      </c>
      <c r="J81" s="172"/>
      <c r="K81" s="172"/>
      <c r="L81" s="172"/>
      <c r="M81" s="38">
        <f>SUM(J81:L81)</f>
        <v>0</v>
      </c>
      <c r="N81" s="172"/>
      <c r="O81" s="172"/>
      <c r="P81" s="172">
        <v>509</v>
      </c>
      <c r="Q81" s="38">
        <f>SUM(N81:P81)</f>
        <v>509</v>
      </c>
      <c r="R81" s="38">
        <f>+E81+I81+M81+Q81</f>
        <v>509</v>
      </c>
    </row>
    <row r="82" spans="1:18" ht="15.75" customHeight="1" x14ac:dyDescent="0.3">
      <c r="A82" s="410" t="s">
        <v>2419</v>
      </c>
      <c r="B82" s="172"/>
      <c r="C82" s="172"/>
      <c r="D82" s="172"/>
      <c r="E82" s="38">
        <f>SUM(B82:D82)</f>
        <v>0</v>
      </c>
      <c r="F82" s="172"/>
      <c r="G82" s="172"/>
      <c r="H82" s="172"/>
      <c r="I82" s="38">
        <f>SUM(F82:H82)</f>
        <v>0</v>
      </c>
      <c r="J82" s="172"/>
      <c r="K82" s="172"/>
      <c r="L82" s="172"/>
      <c r="M82" s="38">
        <f>SUM(J82:L82)</f>
        <v>0</v>
      </c>
      <c r="N82" s="172"/>
      <c r="O82" s="172"/>
      <c r="P82" s="172"/>
      <c r="Q82" s="38">
        <f>SUM(N82:P82)</f>
        <v>0</v>
      </c>
      <c r="R82" s="38">
        <f>+E82+I82+M82+Q82</f>
        <v>0</v>
      </c>
    </row>
    <row r="83" spans="1:18" ht="15.75" customHeight="1" x14ac:dyDescent="0.3">
      <c r="A83" s="235" t="s">
        <v>2162</v>
      </c>
      <c r="B83" s="18"/>
      <c r="C83" s="18"/>
      <c r="D83" s="18"/>
      <c r="E83" s="38" t="s">
        <v>1598</v>
      </c>
      <c r="F83" s="18"/>
      <c r="G83" s="18"/>
      <c r="H83" s="18"/>
      <c r="I83" s="38" t="s">
        <v>1598</v>
      </c>
      <c r="J83" s="18"/>
      <c r="K83" s="18"/>
      <c r="L83" s="18"/>
      <c r="M83" s="38" t="s">
        <v>1598</v>
      </c>
      <c r="N83" s="18"/>
      <c r="O83" s="18"/>
      <c r="P83" s="18"/>
      <c r="Q83" s="38" t="s">
        <v>1598</v>
      </c>
      <c r="R83" s="38" t="s">
        <v>1598</v>
      </c>
    </row>
    <row r="84" spans="1:18" ht="15.75" customHeight="1" x14ac:dyDescent="0.3">
      <c r="A84" s="422" t="s">
        <v>2546</v>
      </c>
      <c r="B84" s="172"/>
      <c r="C84" s="172"/>
      <c r="D84" s="172"/>
      <c r="E84" s="38">
        <f>SUM(B84:D84)</f>
        <v>0</v>
      </c>
      <c r="F84" s="172"/>
      <c r="G84" s="172"/>
      <c r="H84" s="172"/>
      <c r="I84" s="38">
        <f>SUM(F84:H84)</f>
        <v>0</v>
      </c>
      <c r="J84" s="172"/>
      <c r="K84" s="172"/>
      <c r="L84" s="172"/>
      <c r="M84" s="38">
        <f>SUM(J84:L84)</f>
        <v>0</v>
      </c>
      <c r="N84" s="172"/>
      <c r="O84" s="172"/>
      <c r="P84" s="172"/>
      <c r="Q84" s="38">
        <f>SUM(N84:P84)</f>
        <v>0</v>
      </c>
      <c r="R84" s="38">
        <f>+E84+I84+M84+Q84</f>
        <v>0</v>
      </c>
    </row>
    <row r="85" spans="1:18" ht="15.75" customHeight="1" x14ac:dyDescent="0.3">
      <c r="A85" s="422" t="s">
        <v>2547</v>
      </c>
      <c r="B85" s="172">
        <v>305</v>
      </c>
      <c r="C85" s="172">
        <v>694</v>
      </c>
      <c r="D85" s="172">
        <v>1103</v>
      </c>
      <c r="E85" s="38">
        <f>SUM(B85:D85)</f>
        <v>2102</v>
      </c>
      <c r="F85" s="172">
        <v>2105</v>
      </c>
      <c r="G85" s="172">
        <v>1129</v>
      </c>
      <c r="H85" s="172">
        <f>1093-129</f>
        <v>964</v>
      </c>
      <c r="I85" s="38">
        <f>SUM(F85:H85)</f>
        <v>4198</v>
      </c>
      <c r="J85" s="172"/>
      <c r="K85" s="172"/>
      <c r="L85" s="172"/>
      <c r="M85" s="38">
        <f>SUM(J85:L85)</f>
        <v>0</v>
      </c>
      <c r="N85" s="172"/>
      <c r="O85" s="172"/>
      <c r="P85" s="172">
        <v>285</v>
      </c>
      <c r="Q85" s="38">
        <f>SUM(N85:P85)</f>
        <v>285</v>
      </c>
      <c r="R85" s="38">
        <f>+E85+I85+M85+Q85</f>
        <v>6585</v>
      </c>
    </row>
    <row r="86" spans="1:18" ht="15.75" customHeight="1" thickBot="1" x14ac:dyDescent="0.35">
      <c r="A86" s="235" t="s">
        <v>2164</v>
      </c>
      <c r="B86" s="248"/>
      <c r="C86" s="248"/>
      <c r="D86" s="248"/>
      <c r="E86" s="38" t="s">
        <v>852</v>
      </c>
      <c r="F86" s="248"/>
      <c r="G86" s="248"/>
      <c r="H86" s="248"/>
      <c r="I86" s="38" t="s">
        <v>852</v>
      </c>
      <c r="J86" s="248"/>
      <c r="K86" s="248"/>
      <c r="L86" s="248"/>
      <c r="M86" s="38" t="s">
        <v>852</v>
      </c>
      <c r="N86" s="248"/>
      <c r="O86" s="248"/>
      <c r="P86" s="248"/>
      <c r="Q86" s="38" t="s">
        <v>852</v>
      </c>
      <c r="R86" s="38" t="s">
        <v>852</v>
      </c>
    </row>
    <row r="87" spans="1:18" ht="16.5" customHeight="1" thickBot="1" x14ac:dyDescent="0.35">
      <c r="A87" s="43" t="s">
        <v>1218</v>
      </c>
      <c r="B87" s="42">
        <f>SUM(B71:B86)</f>
        <v>305</v>
      </c>
      <c r="C87" s="42">
        <f>SUM(C71:C86)</f>
        <v>694</v>
      </c>
      <c r="D87" s="42">
        <f>SUM(D71:D86)</f>
        <v>1103</v>
      </c>
      <c r="E87" s="37">
        <f>SUM(B87:D87)</f>
        <v>2102</v>
      </c>
      <c r="F87" s="42">
        <f>SUM(F71:F86)</f>
        <v>2105</v>
      </c>
      <c r="G87" s="42">
        <f>SUM(G71:G86)</f>
        <v>1129</v>
      </c>
      <c r="H87" s="42">
        <f>SUM(H71:H86)</f>
        <v>964</v>
      </c>
      <c r="I87" s="37">
        <f>SUM(F87:H87)</f>
        <v>4198</v>
      </c>
      <c r="J87" s="42">
        <f>SUM(J71:J86)</f>
        <v>0</v>
      </c>
      <c r="K87" s="42">
        <f>SUM(K71:K86)</f>
        <v>0</v>
      </c>
      <c r="L87" s="42">
        <f>SUM(L71:L86)</f>
        <v>0</v>
      </c>
      <c r="M87" s="37">
        <f>SUM(J87:L87)</f>
        <v>0</v>
      </c>
      <c r="N87" s="42">
        <f>SUM(N71:N86)</f>
        <v>0</v>
      </c>
      <c r="O87" s="42">
        <f>SUM(O71:O86)</f>
        <v>200</v>
      </c>
      <c r="P87" s="42">
        <f>SUM(P71:P86)</f>
        <v>1102</v>
      </c>
      <c r="Q87" s="37">
        <f>SUM(N87:P87)</f>
        <v>1302</v>
      </c>
      <c r="R87" s="37">
        <f>+E87+I87+M87+Q87</f>
        <v>7602</v>
      </c>
    </row>
    <row r="88" spans="1:18" ht="15.75" customHeight="1" x14ac:dyDescent="0.3">
      <c r="A88" s="235" t="s">
        <v>1172</v>
      </c>
      <c r="B88" s="248"/>
      <c r="C88" s="248"/>
      <c r="D88" s="248"/>
      <c r="E88" s="38" t="s">
        <v>852</v>
      </c>
      <c r="F88" s="248"/>
      <c r="G88" s="248"/>
      <c r="H88" s="248"/>
      <c r="I88" s="38" t="s">
        <v>852</v>
      </c>
      <c r="J88" s="248"/>
      <c r="K88" s="248"/>
      <c r="L88" s="248"/>
      <c r="M88" s="38" t="s">
        <v>852</v>
      </c>
      <c r="N88" s="248"/>
      <c r="O88" s="248"/>
      <c r="P88" s="248"/>
      <c r="Q88" s="38" t="s">
        <v>852</v>
      </c>
      <c r="R88" s="39" t="s">
        <v>852</v>
      </c>
    </row>
    <row r="89" spans="1:18" ht="15.75" customHeight="1" x14ac:dyDescent="0.3">
      <c r="A89" s="235" t="s">
        <v>1658</v>
      </c>
      <c r="B89" s="248"/>
      <c r="C89" s="248"/>
      <c r="D89" s="248"/>
      <c r="E89" s="38" t="s">
        <v>852</v>
      </c>
      <c r="F89" s="248"/>
      <c r="G89" s="248"/>
      <c r="H89" s="248"/>
      <c r="I89" s="38" t="s">
        <v>852</v>
      </c>
      <c r="J89" s="248"/>
      <c r="K89" s="248"/>
      <c r="L89" s="248"/>
      <c r="M89" s="38" t="s">
        <v>852</v>
      </c>
      <c r="N89" s="248"/>
      <c r="O89" s="248"/>
      <c r="P89" s="248"/>
      <c r="Q89" s="38" t="s">
        <v>852</v>
      </c>
      <c r="R89" s="38" t="s">
        <v>852</v>
      </c>
    </row>
    <row r="90" spans="1:18" ht="15.75" customHeight="1" x14ac:dyDescent="0.3">
      <c r="A90" s="235" t="s">
        <v>2409</v>
      </c>
      <c r="B90" s="248"/>
      <c r="C90" s="248"/>
      <c r="D90" s="248"/>
      <c r="E90" s="38" t="s">
        <v>852</v>
      </c>
      <c r="F90" s="248"/>
      <c r="G90" s="248"/>
      <c r="H90" s="248"/>
      <c r="I90" s="38" t="s">
        <v>852</v>
      </c>
      <c r="J90" s="248"/>
      <c r="K90" s="248"/>
      <c r="L90" s="248"/>
      <c r="M90" s="38" t="s">
        <v>852</v>
      </c>
      <c r="N90" s="248"/>
      <c r="O90" s="248"/>
      <c r="P90" s="248"/>
      <c r="Q90" s="38" t="s">
        <v>852</v>
      </c>
      <c r="R90" s="38" t="s">
        <v>852</v>
      </c>
    </row>
    <row r="91" spans="1:18" ht="15.75" customHeight="1" x14ac:dyDescent="0.3">
      <c r="A91" s="410" t="s">
        <v>701</v>
      </c>
      <c r="B91" s="10">
        <v>1459</v>
      </c>
      <c r="C91" s="10">
        <v>1790</v>
      </c>
      <c r="D91" s="10">
        <v>2600</v>
      </c>
      <c r="E91" s="38">
        <f>SUM(B91:D91)</f>
        <v>5849</v>
      </c>
      <c r="F91" s="10">
        <v>5219</v>
      </c>
      <c r="G91" s="10">
        <v>5546</v>
      </c>
      <c r="H91" s="10">
        <v>4821</v>
      </c>
      <c r="I91" s="38">
        <f>SUM(F91:H91)</f>
        <v>15586</v>
      </c>
      <c r="J91" s="10">
        <v>6327</v>
      </c>
      <c r="K91" s="10">
        <v>7248</v>
      </c>
      <c r="L91" s="10">
        <v>6141</v>
      </c>
      <c r="M91" s="38">
        <f>SUM(J91:L91)</f>
        <v>19716</v>
      </c>
      <c r="N91" s="10">
        <v>2916</v>
      </c>
      <c r="O91" s="10">
        <v>1804</v>
      </c>
      <c r="P91" s="10">
        <v>4493</v>
      </c>
      <c r="Q91" s="38">
        <f>SUM(N91:P91)</f>
        <v>9213</v>
      </c>
      <c r="R91" s="38">
        <f>+E91+I91+M91+Q91</f>
        <v>50364</v>
      </c>
    </row>
    <row r="92" spans="1:18" ht="15.75" customHeight="1" x14ac:dyDescent="0.3">
      <c r="A92" s="410" t="s">
        <v>702</v>
      </c>
      <c r="B92" s="10"/>
      <c r="C92" s="10"/>
      <c r="D92" s="10"/>
      <c r="E92" s="38">
        <f>SUM(B92:D92)</f>
        <v>0</v>
      </c>
      <c r="F92" s="10"/>
      <c r="G92" s="10">
        <v>1000</v>
      </c>
      <c r="H92" s="10">
        <v>1000</v>
      </c>
      <c r="I92" s="38">
        <f>SUM(F92:H92)</f>
        <v>2000</v>
      </c>
      <c r="J92" s="10">
        <v>1000</v>
      </c>
      <c r="K92" s="10">
        <v>460</v>
      </c>
      <c r="L92" s="10"/>
      <c r="M92" s="38">
        <f>SUM(J92:L92)</f>
        <v>1460</v>
      </c>
      <c r="N92" s="10"/>
      <c r="O92" s="10"/>
      <c r="P92" s="10"/>
      <c r="Q92" s="38">
        <f>SUM(N92:P92)</f>
        <v>0</v>
      </c>
      <c r="R92" s="38">
        <f>+E92+I92+M92+Q92</f>
        <v>3460</v>
      </c>
    </row>
    <row r="93" spans="1:18" ht="15.75" customHeight="1" thickBot="1" x14ac:dyDescent="0.35">
      <c r="A93" s="235" t="s">
        <v>2165</v>
      </c>
      <c r="B93" s="248"/>
      <c r="C93" s="248"/>
      <c r="D93" s="248"/>
      <c r="E93" s="38" t="s">
        <v>852</v>
      </c>
      <c r="F93" s="248"/>
      <c r="G93" s="248"/>
      <c r="H93" s="248"/>
      <c r="I93" s="38" t="s">
        <v>852</v>
      </c>
      <c r="J93" s="248"/>
      <c r="K93" s="248"/>
      <c r="L93" s="248"/>
      <c r="M93" s="38" t="s">
        <v>852</v>
      </c>
      <c r="N93" s="248"/>
      <c r="O93" s="248"/>
      <c r="P93" s="248"/>
      <c r="Q93" s="38" t="s">
        <v>852</v>
      </c>
      <c r="R93" s="38" t="s">
        <v>852</v>
      </c>
    </row>
    <row r="94" spans="1:18" ht="16.5" customHeight="1" thickBot="1" x14ac:dyDescent="0.35">
      <c r="A94" s="43" t="s">
        <v>1219</v>
      </c>
      <c r="B94" s="42">
        <f>SUM(B88:B93)</f>
        <v>1459</v>
      </c>
      <c r="C94" s="42">
        <f>SUM(C88:C93)</f>
        <v>1790</v>
      </c>
      <c r="D94" s="42">
        <f>SUM(D88:D93)</f>
        <v>2600</v>
      </c>
      <c r="E94" s="37">
        <f>SUM(B94:D94)</f>
        <v>5849</v>
      </c>
      <c r="F94" s="42">
        <f>SUM(F88:F93)</f>
        <v>5219</v>
      </c>
      <c r="G94" s="42">
        <f>SUM(G88:G93)</f>
        <v>6546</v>
      </c>
      <c r="H94" s="42">
        <f>SUM(H88:H93)</f>
        <v>5821</v>
      </c>
      <c r="I94" s="37">
        <f>SUM(F94:H94)</f>
        <v>17586</v>
      </c>
      <c r="J94" s="42">
        <f>SUM(J88:J93)</f>
        <v>7327</v>
      </c>
      <c r="K94" s="42">
        <f>SUM(K88:K93)</f>
        <v>7708</v>
      </c>
      <c r="L94" s="42">
        <f>SUM(L88:L93)</f>
        <v>6141</v>
      </c>
      <c r="M94" s="37">
        <f>SUM(J94:L94)</f>
        <v>21176</v>
      </c>
      <c r="N94" s="42">
        <f>SUM(N88:N93)</f>
        <v>2916</v>
      </c>
      <c r="O94" s="42">
        <f>SUM(O88:O93)</f>
        <v>1804</v>
      </c>
      <c r="P94" s="42">
        <f>SUM(P88:P93)</f>
        <v>4493</v>
      </c>
      <c r="Q94" s="37">
        <f>SUM(N94:P94)</f>
        <v>9213</v>
      </c>
      <c r="R94" s="37">
        <f>+E94+I94+M94+Q94</f>
        <v>53824</v>
      </c>
    </row>
    <row r="95" spans="1:18" ht="15.75" customHeight="1" x14ac:dyDescent="0.3">
      <c r="A95" s="235" t="s">
        <v>2166</v>
      </c>
      <c r="B95" s="248"/>
      <c r="C95" s="248"/>
      <c r="D95" s="248"/>
      <c r="E95" s="38" t="s">
        <v>852</v>
      </c>
      <c r="F95" s="248"/>
      <c r="G95" s="248"/>
      <c r="H95" s="248"/>
      <c r="I95" s="38" t="s">
        <v>852</v>
      </c>
      <c r="J95" s="248"/>
      <c r="K95" s="248"/>
      <c r="L95" s="248"/>
      <c r="M95" s="38" t="s">
        <v>852</v>
      </c>
      <c r="N95" s="248"/>
      <c r="O95" s="248"/>
      <c r="P95" s="248"/>
      <c r="Q95" s="38" t="s">
        <v>852</v>
      </c>
      <c r="R95" s="38" t="s">
        <v>852</v>
      </c>
    </row>
    <row r="96" spans="1:18" ht="15.75" customHeight="1" x14ac:dyDescent="0.3">
      <c r="A96" s="235" t="s">
        <v>1245</v>
      </c>
      <c r="B96" s="248"/>
      <c r="C96" s="248"/>
      <c r="D96" s="248"/>
      <c r="E96" s="38" t="s">
        <v>852</v>
      </c>
      <c r="F96" s="248"/>
      <c r="G96" s="248"/>
      <c r="H96" s="248"/>
      <c r="I96" s="38" t="s">
        <v>852</v>
      </c>
      <c r="J96" s="248"/>
      <c r="K96" s="248"/>
      <c r="L96" s="248"/>
      <c r="M96" s="38" t="s">
        <v>852</v>
      </c>
      <c r="N96" s="248"/>
      <c r="O96" s="248"/>
      <c r="P96" s="248"/>
      <c r="Q96" s="38" t="s">
        <v>852</v>
      </c>
      <c r="R96" s="38" t="s">
        <v>852</v>
      </c>
    </row>
    <row r="97" spans="1:18" ht="15.75" customHeight="1" x14ac:dyDescent="0.3">
      <c r="A97" s="235" t="s">
        <v>1711</v>
      </c>
      <c r="B97" s="248"/>
      <c r="C97" s="248"/>
      <c r="D97" s="248"/>
      <c r="E97" s="38"/>
      <c r="F97" s="248"/>
      <c r="G97" s="248"/>
      <c r="H97" s="248"/>
      <c r="I97" s="38"/>
      <c r="J97" s="248"/>
      <c r="K97" s="248"/>
      <c r="L97" s="248"/>
      <c r="M97" s="38"/>
      <c r="N97" s="248"/>
      <c r="O97" s="248"/>
      <c r="P97" s="248"/>
      <c r="Q97" s="38"/>
      <c r="R97" s="38"/>
    </row>
    <row r="98" spans="1:18" ht="15.75" customHeight="1" x14ac:dyDescent="0.3">
      <c r="A98" s="410" t="s">
        <v>1584</v>
      </c>
      <c r="B98" s="172"/>
      <c r="C98" s="172"/>
      <c r="D98" s="172"/>
      <c r="E98" s="38">
        <f t="shared" ref="E98:E105" si="10">SUM(B98:D98)</f>
        <v>0</v>
      </c>
      <c r="F98" s="172"/>
      <c r="G98" s="172"/>
      <c r="H98" s="172"/>
      <c r="I98" s="38">
        <f t="shared" ref="I98:I105" si="11">SUM(F98:H98)</f>
        <v>0</v>
      </c>
      <c r="J98" s="172"/>
      <c r="K98" s="172"/>
      <c r="L98" s="172"/>
      <c r="M98" s="38">
        <f t="shared" ref="M98:M105" si="12">SUM(J98:L98)</f>
        <v>0</v>
      </c>
      <c r="N98" s="172"/>
      <c r="O98" s="172"/>
      <c r="P98" s="172"/>
      <c r="Q98" s="38">
        <f t="shared" ref="Q98:Q105" si="13">SUM(N98:P98)</f>
        <v>0</v>
      </c>
      <c r="R98" s="38">
        <f t="shared" ref="R98:R105" si="14">+E98+I98+M98+Q98</f>
        <v>0</v>
      </c>
    </row>
    <row r="99" spans="1:18" ht="15.75" customHeight="1" x14ac:dyDescent="0.3">
      <c r="A99" s="410" t="s">
        <v>1977</v>
      </c>
      <c r="B99" s="172"/>
      <c r="C99" s="172"/>
      <c r="D99" s="172"/>
      <c r="E99" s="38">
        <f t="shared" si="10"/>
        <v>0</v>
      </c>
      <c r="F99" s="172"/>
      <c r="G99" s="172"/>
      <c r="H99" s="172"/>
      <c r="I99" s="38">
        <f t="shared" si="11"/>
        <v>0</v>
      </c>
      <c r="J99" s="172"/>
      <c r="K99" s="172"/>
      <c r="L99" s="172"/>
      <c r="M99" s="38">
        <f t="shared" si="12"/>
        <v>0</v>
      </c>
      <c r="N99" s="172"/>
      <c r="O99" s="172"/>
      <c r="P99" s="172"/>
      <c r="Q99" s="38">
        <f t="shared" si="13"/>
        <v>0</v>
      </c>
      <c r="R99" s="38">
        <f t="shared" si="14"/>
        <v>0</v>
      </c>
    </row>
    <row r="100" spans="1:18" ht="15.75" customHeight="1" x14ac:dyDescent="0.3">
      <c r="A100" s="410" t="s">
        <v>1571</v>
      </c>
      <c r="B100" s="172"/>
      <c r="C100" s="172"/>
      <c r="D100" s="172"/>
      <c r="E100" s="38">
        <f>SUM(B100:D100)</f>
        <v>0</v>
      </c>
      <c r="F100" s="172"/>
      <c r="G100" s="172"/>
      <c r="H100" s="172"/>
      <c r="I100" s="38">
        <f>SUM(F100:H100)</f>
        <v>0</v>
      </c>
      <c r="J100" s="172"/>
      <c r="K100" s="172"/>
      <c r="L100" s="172"/>
      <c r="M100" s="38">
        <f>SUM(J100:L100)</f>
        <v>0</v>
      </c>
      <c r="N100" s="172"/>
      <c r="O100" s="172"/>
      <c r="P100" s="172"/>
      <c r="Q100" s="38">
        <f>SUM(N100:P100)</f>
        <v>0</v>
      </c>
      <c r="R100" s="38">
        <f>+E100+I100+M100+Q100</f>
        <v>0</v>
      </c>
    </row>
    <row r="101" spans="1:18" ht="15.75" customHeight="1" x14ac:dyDescent="0.3">
      <c r="A101" s="410" t="s">
        <v>2506</v>
      </c>
      <c r="B101" s="172"/>
      <c r="C101" s="172"/>
      <c r="D101" s="172"/>
      <c r="E101" s="38">
        <f>SUM(B101:D101)</f>
        <v>0</v>
      </c>
      <c r="F101" s="172"/>
      <c r="G101" s="172"/>
      <c r="H101" s="172"/>
      <c r="I101" s="38">
        <f>SUM(F101:H101)</f>
        <v>0</v>
      </c>
      <c r="J101" s="172"/>
      <c r="K101" s="172"/>
      <c r="L101" s="172"/>
      <c r="M101" s="38">
        <f>SUM(J101:L101)</f>
        <v>0</v>
      </c>
      <c r="N101" s="172"/>
      <c r="O101" s="172"/>
      <c r="P101" s="172"/>
      <c r="Q101" s="38">
        <f>SUM(N101:P101)</f>
        <v>0</v>
      </c>
      <c r="R101" s="38">
        <f>+E101+I101+M101+Q101</f>
        <v>0</v>
      </c>
    </row>
    <row r="102" spans="1:18" ht="15.75" customHeight="1" x14ac:dyDescent="0.3">
      <c r="A102" s="410" t="s">
        <v>436</v>
      </c>
      <c r="B102" s="10"/>
      <c r="C102" s="10"/>
      <c r="D102" s="10"/>
      <c r="E102" s="38">
        <f>SUM(B102:D102)</f>
        <v>0</v>
      </c>
      <c r="F102" s="10"/>
      <c r="G102" s="10"/>
      <c r="H102" s="10"/>
      <c r="I102" s="38">
        <f>SUM(F102:H102)</f>
        <v>0</v>
      </c>
      <c r="J102" s="10"/>
      <c r="K102" s="10"/>
      <c r="L102" s="10"/>
      <c r="M102" s="38">
        <f>SUM(J102:L102)</f>
        <v>0</v>
      </c>
      <c r="N102" s="10"/>
      <c r="O102" s="10"/>
      <c r="P102" s="10"/>
      <c r="Q102" s="38">
        <f>SUM(N102:P102)</f>
        <v>0</v>
      </c>
      <c r="R102" s="38">
        <f>+E102+I102+M102+Q102</f>
        <v>0</v>
      </c>
    </row>
    <row r="103" spans="1:18" ht="15.75" customHeight="1" x14ac:dyDescent="0.3">
      <c r="A103" s="410" t="s">
        <v>2182</v>
      </c>
      <c r="B103" s="172"/>
      <c r="C103" s="172"/>
      <c r="D103" s="172"/>
      <c r="E103" s="38">
        <f t="shared" si="10"/>
        <v>0</v>
      </c>
      <c r="F103" s="172"/>
      <c r="G103" s="172"/>
      <c r="H103" s="172"/>
      <c r="I103" s="38">
        <f t="shared" si="11"/>
        <v>0</v>
      </c>
      <c r="J103" s="172"/>
      <c r="K103" s="172"/>
      <c r="L103" s="172"/>
      <c r="M103" s="38">
        <f t="shared" si="12"/>
        <v>0</v>
      </c>
      <c r="N103" s="172"/>
      <c r="O103" s="172"/>
      <c r="P103" s="172"/>
      <c r="Q103" s="38">
        <f t="shared" si="13"/>
        <v>0</v>
      </c>
      <c r="R103" s="38">
        <f t="shared" si="14"/>
        <v>0</v>
      </c>
    </row>
    <row r="104" spans="1:18" ht="15.75" customHeight="1" thickBot="1" x14ac:dyDescent="0.35">
      <c r="A104" s="410" t="s">
        <v>2261</v>
      </c>
      <c r="B104" s="172"/>
      <c r="C104" s="172"/>
      <c r="D104" s="172"/>
      <c r="E104" s="38">
        <f t="shared" si="10"/>
        <v>0</v>
      </c>
      <c r="F104" s="172"/>
      <c r="G104" s="172"/>
      <c r="H104" s="172"/>
      <c r="I104" s="38">
        <f t="shared" si="11"/>
        <v>0</v>
      </c>
      <c r="J104" s="172"/>
      <c r="K104" s="172"/>
      <c r="L104" s="172"/>
      <c r="M104" s="38">
        <f t="shared" si="12"/>
        <v>0</v>
      </c>
      <c r="N104" s="172"/>
      <c r="O104" s="172"/>
      <c r="P104" s="172"/>
      <c r="Q104" s="38">
        <f t="shared" si="13"/>
        <v>0</v>
      </c>
      <c r="R104" s="38">
        <f t="shared" si="14"/>
        <v>0</v>
      </c>
    </row>
    <row r="105" spans="1:18" ht="16.5" customHeight="1" thickBot="1" x14ac:dyDescent="0.35">
      <c r="A105" s="43" t="s">
        <v>1220</v>
      </c>
      <c r="B105" s="42">
        <f>SUM(B95:B104)</f>
        <v>0</v>
      </c>
      <c r="C105" s="42">
        <f>SUM(C95:C104)</f>
        <v>0</v>
      </c>
      <c r="D105" s="42">
        <f>SUM(D95:D104)</f>
        <v>0</v>
      </c>
      <c r="E105" s="37">
        <f t="shared" si="10"/>
        <v>0</v>
      </c>
      <c r="F105" s="42">
        <f>SUM(F95:F104)</f>
        <v>0</v>
      </c>
      <c r="G105" s="42">
        <f>SUM(G95:G104)</f>
        <v>0</v>
      </c>
      <c r="H105" s="42">
        <f>SUM(H95:H104)</f>
        <v>0</v>
      </c>
      <c r="I105" s="37">
        <f t="shared" si="11"/>
        <v>0</v>
      </c>
      <c r="J105" s="42">
        <f>SUM(J95:J104)</f>
        <v>0</v>
      </c>
      <c r="K105" s="42">
        <f>SUM(K95:K104)</f>
        <v>0</v>
      </c>
      <c r="L105" s="42">
        <f>SUM(L95:L104)</f>
        <v>0</v>
      </c>
      <c r="M105" s="37">
        <f t="shared" si="12"/>
        <v>0</v>
      </c>
      <c r="N105" s="42">
        <f>SUM(N95:N104)</f>
        <v>0</v>
      </c>
      <c r="O105" s="42">
        <f>SUM(O95:O104)</f>
        <v>0</v>
      </c>
      <c r="P105" s="42">
        <f>SUM(P95:P104)</f>
        <v>0</v>
      </c>
      <c r="Q105" s="37">
        <f t="shared" si="13"/>
        <v>0</v>
      </c>
      <c r="R105" s="37">
        <f t="shared" si="14"/>
        <v>0</v>
      </c>
    </row>
    <row r="106" spans="1:18" ht="15.75" customHeight="1" x14ac:dyDescent="0.3">
      <c r="A106" s="235" t="s">
        <v>1712</v>
      </c>
      <c r="B106" s="248"/>
      <c r="C106" s="248"/>
      <c r="D106" s="248"/>
      <c r="E106" s="38" t="s">
        <v>852</v>
      </c>
      <c r="F106" s="248"/>
      <c r="G106" s="248"/>
      <c r="H106" s="248"/>
      <c r="I106" s="38" t="s">
        <v>852</v>
      </c>
      <c r="J106" s="248"/>
      <c r="K106" s="248"/>
      <c r="L106" s="248"/>
      <c r="M106" s="38" t="s">
        <v>852</v>
      </c>
      <c r="N106" s="248"/>
      <c r="O106" s="248"/>
      <c r="P106" s="248"/>
      <c r="Q106" s="38" t="s">
        <v>852</v>
      </c>
      <c r="R106" s="38" t="s">
        <v>852</v>
      </c>
    </row>
    <row r="107" spans="1:18" ht="15.75" customHeight="1" x14ac:dyDescent="0.3">
      <c r="A107" s="235" t="s">
        <v>1021</v>
      </c>
      <c r="B107" s="248"/>
      <c r="C107" s="248"/>
      <c r="D107" s="248"/>
      <c r="E107" s="38" t="s">
        <v>852</v>
      </c>
      <c r="F107" s="248"/>
      <c r="G107" s="248"/>
      <c r="H107" s="248"/>
      <c r="I107" s="38" t="s">
        <v>852</v>
      </c>
      <c r="J107" s="248"/>
      <c r="K107" s="248"/>
      <c r="L107" s="248"/>
      <c r="M107" s="38" t="s">
        <v>852</v>
      </c>
      <c r="N107" s="248"/>
      <c r="O107" s="248"/>
      <c r="P107" s="248"/>
      <c r="Q107" s="38" t="s">
        <v>852</v>
      </c>
      <c r="R107" s="38" t="s">
        <v>852</v>
      </c>
    </row>
    <row r="108" spans="1:18" ht="15.75" customHeight="1" x14ac:dyDescent="0.3">
      <c r="A108" s="422" t="s">
        <v>2270</v>
      </c>
      <c r="B108" s="172"/>
      <c r="C108" s="172"/>
      <c r="D108" s="172"/>
      <c r="E108" s="38">
        <f t="shared" ref="E108:E113" si="15">SUM(B108:D108)</f>
        <v>0</v>
      </c>
      <c r="F108" s="172"/>
      <c r="G108" s="172"/>
      <c r="H108" s="172"/>
      <c r="I108" s="38">
        <f t="shared" ref="I108:I113" si="16">SUM(F108:H108)</f>
        <v>0</v>
      </c>
      <c r="J108" s="172"/>
      <c r="K108" s="172"/>
      <c r="L108" s="172"/>
      <c r="M108" s="38">
        <f t="shared" ref="M108:M113" si="17">SUM(J108:L108)</f>
        <v>0</v>
      </c>
      <c r="N108" s="172"/>
      <c r="O108" s="172"/>
      <c r="P108" s="172"/>
      <c r="Q108" s="38">
        <f t="shared" ref="Q108:Q113" si="18">SUM(N108:P108)</f>
        <v>0</v>
      </c>
      <c r="R108" s="38">
        <f t="shared" ref="R108:R113" si="19">+E108+I108+M108+Q108</f>
        <v>0</v>
      </c>
    </row>
    <row r="109" spans="1:18" ht="15.75" customHeight="1" x14ac:dyDescent="0.3">
      <c r="A109" s="422" t="s">
        <v>656</v>
      </c>
      <c r="B109" s="172"/>
      <c r="C109" s="172"/>
      <c r="D109" s="172"/>
      <c r="E109" s="38">
        <f t="shared" si="15"/>
        <v>0</v>
      </c>
      <c r="F109" s="172"/>
      <c r="G109" s="172"/>
      <c r="H109" s="172"/>
      <c r="I109" s="38">
        <f t="shared" si="16"/>
        <v>0</v>
      </c>
      <c r="J109" s="172"/>
      <c r="K109" s="172"/>
      <c r="L109" s="172"/>
      <c r="M109" s="38">
        <f t="shared" si="17"/>
        <v>0</v>
      </c>
      <c r="N109" s="172"/>
      <c r="O109" s="172"/>
      <c r="P109" s="172"/>
      <c r="Q109" s="38">
        <f t="shared" si="18"/>
        <v>0</v>
      </c>
      <c r="R109" s="38">
        <f t="shared" si="19"/>
        <v>0</v>
      </c>
    </row>
    <row r="110" spans="1:18" ht="15.75" customHeight="1" x14ac:dyDescent="0.3">
      <c r="A110" s="422" t="s">
        <v>320</v>
      </c>
      <c r="B110" s="172"/>
      <c r="C110" s="172"/>
      <c r="D110" s="172"/>
      <c r="E110" s="38">
        <f t="shared" si="15"/>
        <v>0</v>
      </c>
      <c r="F110" s="172"/>
      <c r="G110" s="172"/>
      <c r="H110" s="172"/>
      <c r="I110" s="38">
        <f t="shared" si="16"/>
        <v>0</v>
      </c>
      <c r="J110" s="172"/>
      <c r="K110" s="172"/>
      <c r="L110" s="172"/>
      <c r="M110" s="38">
        <f t="shared" si="17"/>
        <v>0</v>
      </c>
      <c r="N110" s="172"/>
      <c r="O110" s="172"/>
      <c r="P110" s="172"/>
      <c r="Q110" s="38">
        <f t="shared" si="18"/>
        <v>0</v>
      </c>
      <c r="R110" s="38">
        <f t="shared" si="19"/>
        <v>0</v>
      </c>
    </row>
    <row r="111" spans="1:18" ht="15.75" customHeight="1" x14ac:dyDescent="0.3">
      <c r="A111" s="422" t="s">
        <v>563</v>
      </c>
      <c r="B111" s="172"/>
      <c r="C111" s="172"/>
      <c r="D111" s="172"/>
      <c r="E111" s="38">
        <f t="shared" si="15"/>
        <v>0</v>
      </c>
      <c r="F111" s="172"/>
      <c r="G111" s="172"/>
      <c r="H111" s="172"/>
      <c r="I111" s="38">
        <f t="shared" si="16"/>
        <v>0</v>
      </c>
      <c r="J111" s="172"/>
      <c r="K111" s="172"/>
      <c r="L111" s="172"/>
      <c r="M111" s="38">
        <f t="shared" si="17"/>
        <v>0</v>
      </c>
      <c r="N111" s="172"/>
      <c r="O111" s="172"/>
      <c r="P111" s="172"/>
      <c r="Q111" s="38">
        <f t="shared" si="18"/>
        <v>0</v>
      </c>
      <c r="R111" s="38">
        <f t="shared" si="19"/>
        <v>0</v>
      </c>
    </row>
    <row r="112" spans="1:18" ht="15.75" customHeight="1" x14ac:dyDescent="0.3">
      <c r="A112" s="422" t="s">
        <v>2123</v>
      </c>
      <c r="B112" s="172"/>
      <c r="C112" s="172"/>
      <c r="D112" s="172"/>
      <c r="E112" s="38">
        <f t="shared" si="15"/>
        <v>0</v>
      </c>
      <c r="F112" s="172"/>
      <c r="G112" s="172"/>
      <c r="H112" s="172"/>
      <c r="I112" s="38">
        <f t="shared" si="16"/>
        <v>0</v>
      </c>
      <c r="J112" s="172"/>
      <c r="K112" s="172"/>
      <c r="L112" s="172"/>
      <c r="M112" s="38">
        <f t="shared" si="17"/>
        <v>0</v>
      </c>
      <c r="N112" s="172"/>
      <c r="O112" s="172"/>
      <c r="P112" s="172"/>
      <c r="Q112" s="38">
        <f t="shared" si="18"/>
        <v>0</v>
      </c>
      <c r="R112" s="38">
        <f t="shared" si="19"/>
        <v>0</v>
      </c>
    </row>
    <row r="113" spans="1:18" ht="15.75" customHeight="1" x14ac:dyDescent="0.3">
      <c r="A113" s="422" t="s">
        <v>521</v>
      </c>
      <c r="B113" s="172">
        <v>0</v>
      </c>
      <c r="C113" s="172">
        <v>0</v>
      </c>
      <c r="D113" s="172"/>
      <c r="E113" s="38">
        <f t="shared" si="15"/>
        <v>0</v>
      </c>
      <c r="F113" s="172">
        <v>0</v>
      </c>
      <c r="G113" s="172">
        <v>0</v>
      </c>
      <c r="H113" s="172">
        <v>0</v>
      </c>
      <c r="I113" s="38">
        <f t="shared" si="16"/>
        <v>0</v>
      </c>
      <c r="J113" s="172">
        <v>0</v>
      </c>
      <c r="K113" s="172">
        <v>0</v>
      </c>
      <c r="L113" s="172">
        <v>0</v>
      </c>
      <c r="M113" s="38">
        <f t="shared" si="17"/>
        <v>0</v>
      </c>
      <c r="N113" s="172">
        <v>0</v>
      </c>
      <c r="O113" s="172">
        <v>0</v>
      </c>
      <c r="P113" s="172">
        <v>0</v>
      </c>
      <c r="Q113" s="38">
        <f t="shared" si="18"/>
        <v>0</v>
      </c>
      <c r="R113" s="38">
        <f t="shared" si="19"/>
        <v>0</v>
      </c>
    </row>
    <row r="114" spans="1:18" ht="15.75" customHeight="1" x14ac:dyDescent="0.3">
      <c r="A114" s="422" t="s">
        <v>2690</v>
      </c>
      <c r="B114" s="172"/>
      <c r="C114" s="172"/>
      <c r="D114" s="172"/>
      <c r="E114" s="38">
        <f>SUM(B114:D114)</f>
        <v>0</v>
      </c>
      <c r="F114" s="172"/>
      <c r="G114" s="172"/>
      <c r="H114" s="172"/>
      <c r="I114" s="38">
        <f>SUM(F114:H114)</f>
        <v>0</v>
      </c>
      <c r="J114" s="172"/>
      <c r="K114" s="172"/>
      <c r="L114" s="172"/>
      <c r="M114" s="38">
        <f>SUM(J114:L114)</f>
        <v>0</v>
      </c>
      <c r="N114" s="172"/>
      <c r="O114" s="172"/>
      <c r="P114" s="172"/>
      <c r="Q114" s="38">
        <f>SUM(N114:P114)</f>
        <v>0</v>
      </c>
      <c r="R114" s="38">
        <f>+E114+I114+M114+Q114</f>
        <v>0</v>
      </c>
    </row>
    <row r="115" spans="1:18" ht="15.75" customHeight="1" x14ac:dyDescent="0.3">
      <c r="A115" s="235" t="s">
        <v>557</v>
      </c>
      <c r="B115" s="248"/>
      <c r="C115" s="248"/>
      <c r="D115" s="248"/>
      <c r="E115" s="38" t="s">
        <v>852</v>
      </c>
      <c r="F115" s="248"/>
      <c r="G115" s="248"/>
      <c r="H115" s="248"/>
      <c r="I115" s="38" t="s">
        <v>852</v>
      </c>
      <c r="J115" s="248"/>
      <c r="K115" s="248"/>
      <c r="L115" s="248"/>
      <c r="M115" s="38" t="s">
        <v>852</v>
      </c>
      <c r="N115" s="248"/>
      <c r="O115" s="248"/>
      <c r="P115" s="248"/>
      <c r="Q115" s="38" t="s">
        <v>852</v>
      </c>
      <c r="R115" s="38" t="s">
        <v>852</v>
      </c>
    </row>
    <row r="116" spans="1:18" ht="15.75" customHeight="1" x14ac:dyDescent="0.3">
      <c r="A116" s="422" t="s">
        <v>2606</v>
      </c>
      <c r="B116" s="172">
        <v>13414</v>
      </c>
      <c r="C116" s="172">
        <v>16005</v>
      </c>
      <c r="D116" s="172">
        <v>16933</v>
      </c>
      <c r="E116" s="38">
        <f>SUM(B116:D116)</f>
        <v>46352</v>
      </c>
      <c r="F116" s="172">
        <v>463</v>
      </c>
      <c r="G116" s="172"/>
      <c r="H116" s="172"/>
      <c r="I116" s="38">
        <f>SUM(F116:H116)</f>
        <v>463</v>
      </c>
      <c r="J116" s="172"/>
      <c r="K116" s="172"/>
      <c r="L116" s="172"/>
      <c r="M116" s="38">
        <f>SUM(J116:L116)</f>
        <v>0</v>
      </c>
      <c r="N116" s="172"/>
      <c r="O116" s="172"/>
      <c r="P116" s="172">
        <v>2</v>
      </c>
      <c r="Q116" s="38">
        <f>SUM(N116:P116)</f>
        <v>2</v>
      </c>
      <c r="R116" s="38">
        <f>+E116+I116+M116+Q116</f>
        <v>46817</v>
      </c>
    </row>
    <row r="117" spans="1:18" ht="15.75" customHeight="1" x14ac:dyDescent="0.3">
      <c r="A117" s="422" t="s">
        <v>2548</v>
      </c>
      <c r="B117" s="172"/>
      <c r="C117" s="172"/>
      <c r="D117" s="172"/>
      <c r="E117" s="38">
        <f>SUM(B117:D117)</f>
        <v>0</v>
      </c>
      <c r="F117" s="172"/>
      <c r="G117" s="172"/>
      <c r="H117" s="172"/>
      <c r="I117" s="38">
        <f>SUM(F117:H117)</f>
        <v>0</v>
      </c>
      <c r="J117" s="172"/>
      <c r="K117" s="172"/>
      <c r="L117" s="172"/>
      <c r="M117" s="38">
        <f>SUM(J117:L117)</f>
        <v>0</v>
      </c>
      <c r="N117" s="172"/>
      <c r="O117" s="172"/>
      <c r="P117" s="172"/>
      <c r="Q117" s="38">
        <f>SUM(N117:P117)</f>
        <v>0</v>
      </c>
      <c r="R117" s="38">
        <f>+E117+I117+M117+Q117</f>
        <v>0</v>
      </c>
    </row>
    <row r="118" spans="1:18" ht="15.75" customHeight="1" x14ac:dyDescent="0.3">
      <c r="A118" s="235" t="s">
        <v>1022</v>
      </c>
      <c r="B118" s="248"/>
      <c r="C118" s="248"/>
      <c r="D118" s="248"/>
      <c r="E118" s="38" t="s">
        <v>852</v>
      </c>
      <c r="F118" s="248"/>
      <c r="G118" s="248"/>
      <c r="H118" s="248"/>
      <c r="I118" s="38" t="s">
        <v>852</v>
      </c>
      <c r="J118" s="248"/>
      <c r="K118" s="248"/>
      <c r="L118" s="248"/>
      <c r="M118" s="38" t="s">
        <v>852</v>
      </c>
      <c r="N118" s="248"/>
      <c r="O118" s="248"/>
      <c r="P118" s="248"/>
      <c r="Q118" s="38" t="s">
        <v>852</v>
      </c>
      <c r="R118" s="38" t="s">
        <v>852</v>
      </c>
    </row>
    <row r="119" spans="1:18" ht="15.75" customHeight="1" x14ac:dyDescent="0.3">
      <c r="A119" s="422" t="s">
        <v>239</v>
      </c>
      <c r="B119" s="172"/>
      <c r="C119" s="172"/>
      <c r="D119" s="172"/>
      <c r="E119" s="38">
        <f>SUM(B119:D119)</f>
        <v>0</v>
      </c>
      <c r="F119" s="172"/>
      <c r="G119" s="172"/>
      <c r="H119" s="172">
        <v>440</v>
      </c>
      <c r="I119" s="38">
        <f>SUM(F119:H119)</f>
        <v>440</v>
      </c>
      <c r="J119" s="172">
        <v>894</v>
      </c>
      <c r="K119" s="172">
        <v>1237</v>
      </c>
      <c r="L119" s="172">
        <v>660</v>
      </c>
      <c r="M119" s="38">
        <f>SUM(J119:L119)</f>
        <v>2791</v>
      </c>
      <c r="N119" s="172">
        <v>837</v>
      </c>
      <c r="O119" s="172">
        <v>625</v>
      </c>
      <c r="P119" s="172">
        <v>6</v>
      </c>
      <c r="Q119" s="38">
        <f>SUM(N119:P119)</f>
        <v>1468</v>
      </c>
      <c r="R119" s="38">
        <f>+E119+I119+M119+Q119</f>
        <v>4699</v>
      </c>
    </row>
    <row r="120" spans="1:18" ht="15.75" customHeight="1" thickBot="1" x14ac:dyDescent="0.35">
      <c r="A120" s="235" t="s">
        <v>559</v>
      </c>
      <c r="B120" s="248"/>
      <c r="C120" s="248"/>
      <c r="D120" s="248"/>
      <c r="E120" s="38" t="s">
        <v>852</v>
      </c>
      <c r="F120" s="248"/>
      <c r="G120" s="248"/>
      <c r="H120" s="248"/>
      <c r="I120" s="38" t="s">
        <v>852</v>
      </c>
      <c r="J120" s="248"/>
      <c r="K120" s="248"/>
      <c r="L120" s="248"/>
      <c r="M120" s="38" t="s">
        <v>852</v>
      </c>
      <c r="N120" s="248"/>
      <c r="O120" s="248"/>
      <c r="P120" s="248"/>
      <c r="Q120" s="38" t="s">
        <v>852</v>
      </c>
      <c r="R120" s="38" t="s">
        <v>852</v>
      </c>
    </row>
    <row r="121" spans="1:18" ht="16.5" customHeight="1" thickBot="1" x14ac:dyDescent="0.35">
      <c r="A121" s="43" t="s">
        <v>1019</v>
      </c>
      <c r="B121" s="42">
        <f>SUM(B120:B120)</f>
        <v>0</v>
      </c>
      <c r="C121" s="42">
        <f>SUM(C120:C120)</f>
        <v>0</v>
      </c>
      <c r="D121" s="42">
        <f>SUM(D120:D120)</f>
        <v>0</v>
      </c>
      <c r="E121" s="39">
        <f>SUM(B121:D121)</f>
        <v>0</v>
      </c>
      <c r="F121" s="42">
        <f>SUM(F120:F120)</f>
        <v>0</v>
      </c>
      <c r="G121" s="42">
        <f>SUM(G120:G120)</f>
        <v>0</v>
      </c>
      <c r="H121" s="42">
        <f>SUM(H120:H120)</f>
        <v>0</v>
      </c>
      <c r="I121" s="39">
        <f>SUM(F121:H121)</f>
        <v>0</v>
      </c>
      <c r="J121" s="42">
        <f>SUM(J120:J120)</f>
        <v>0</v>
      </c>
      <c r="K121" s="42">
        <f>SUM(K120:K120)</f>
        <v>0</v>
      </c>
      <c r="L121" s="42">
        <f>SUM(L120:L120)</f>
        <v>0</v>
      </c>
      <c r="M121" s="39">
        <f>SUM(J121:L121)</f>
        <v>0</v>
      </c>
      <c r="N121" s="42">
        <f>SUM(N120:N120)</f>
        <v>0</v>
      </c>
      <c r="O121" s="42">
        <f>SUM(O120:O120)</f>
        <v>0</v>
      </c>
      <c r="P121" s="42">
        <f>SUM(P120:P120)</f>
        <v>0</v>
      </c>
      <c r="Q121" s="39">
        <f>SUM(N121:P121)</f>
        <v>0</v>
      </c>
      <c r="R121" s="37">
        <f>+E121+I121+M121+Q121</f>
        <v>0</v>
      </c>
    </row>
    <row r="122" spans="1:18" ht="16.5" customHeight="1" thickBot="1" x14ac:dyDescent="0.35">
      <c r="A122" s="43" t="s">
        <v>1221</v>
      </c>
      <c r="B122" s="42">
        <f>SUM(B106:B120)</f>
        <v>13414</v>
      </c>
      <c r="C122" s="42">
        <f>SUM(C106:C120)</f>
        <v>16005</v>
      </c>
      <c r="D122" s="42">
        <f>SUM(D106:D120)</f>
        <v>16933</v>
      </c>
      <c r="E122" s="39">
        <f>SUM(B122:D122)</f>
        <v>46352</v>
      </c>
      <c r="F122" s="42">
        <f>SUM(F106:F120)</f>
        <v>463</v>
      </c>
      <c r="G122" s="42">
        <f>SUM(G106:G120)</f>
        <v>0</v>
      </c>
      <c r="H122" s="42">
        <f>SUM(H106:H120)</f>
        <v>440</v>
      </c>
      <c r="I122" s="39">
        <f>SUM(F122:H122)</f>
        <v>903</v>
      </c>
      <c r="J122" s="42">
        <f>SUM(J106:J120)</f>
        <v>894</v>
      </c>
      <c r="K122" s="42">
        <f>SUM(K106:K120)</f>
        <v>1237</v>
      </c>
      <c r="L122" s="42">
        <f>SUM(L106:L120)</f>
        <v>660</v>
      </c>
      <c r="M122" s="39">
        <f>SUM(J122:L122)</f>
        <v>2791</v>
      </c>
      <c r="N122" s="42">
        <f>SUM(N106:N120)</f>
        <v>837</v>
      </c>
      <c r="O122" s="42">
        <f>SUM(O106:O120)</f>
        <v>625</v>
      </c>
      <c r="P122" s="42">
        <f>SUM(P106:P120)</f>
        <v>8</v>
      </c>
      <c r="Q122" s="39">
        <f>SUM(N122:P122)</f>
        <v>1470</v>
      </c>
      <c r="R122" s="37">
        <f>+E122+I122+M122+Q122</f>
        <v>51516</v>
      </c>
    </row>
    <row r="123" spans="1:18" ht="16.5" customHeight="1" thickBot="1" x14ac:dyDescent="0.35">
      <c r="A123" s="43" t="s">
        <v>1222</v>
      </c>
      <c r="B123" s="42">
        <f>+B87+B94+B105+B122</f>
        <v>15178</v>
      </c>
      <c r="C123" s="42">
        <f>+C87+C94+C105+C122</f>
        <v>18489</v>
      </c>
      <c r="D123" s="42">
        <f>+D87+D94+D105+D122</f>
        <v>20636</v>
      </c>
      <c r="E123" s="37">
        <f>SUM(B123:D123)</f>
        <v>54303</v>
      </c>
      <c r="F123" s="42">
        <f>+F87+F94+F105+F122</f>
        <v>7787</v>
      </c>
      <c r="G123" s="42">
        <f>+G87+G94+G105+G122</f>
        <v>7675</v>
      </c>
      <c r="H123" s="42">
        <f>+H87+H94+H105+H122</f>
        <v>7225</v>
      </c>
      <c r="I123" s="37">
        <f>SUM(F123:H123)</f>
        <v>22687</v>
      </c>
      <c r="J123" s="42">
        <f>+J87+J94+J105+J122</f>
        <v>8221</v>
      </c>
      <c r="K123" s="42">
        <f>+K87+K94+K105+K122</f>
        <v>8945</v>
      </c>
      <c r="L123" s="42">
        <f>+L87+L94+L105+L122</f>
        <v>6801</v>
      </c>
      <c r="M123" s="37">
        <f>SUM(J123:L123)</f>
        <v>23967</v>
      </c>
      <c r="N123" s="42">
        <f>+N87+N94+N105+N122</f>
        <v>3753</v>
      </c>
      <c r="O123" s="42">
        <f>+O87+O94+O105+O122</f>
        <v>2629</v>
      </c>
      <c r="P123" s="42">
        <f>+P87+P94+P105+P122</f>
        <v>5603</v>
      </c>
      <c r="Q123" s="37">
        <f>SUM(N123:P123)</f>
        <v>11985</v>
      </c>
      <c r="R123" s="37">
        <f>+E123+I123+M123+Q123</f>
        <v>112942</v>
      </c>
    </row>
    <row r="124" spans="1:18" ht="16.5" customHeight="1" thickBot="1" x14ac:dyDescent="0.35">
      <c r="A124" s="257" t="s">
        <v>853</v>
      </c>
      <c r="B124" s="238">
        <v>173</v>
      </c>
      <c r="C124" s="238">
        <v>260</v>
      </c>
      <c r="D124" s="238">
        <v>471</v>
      </c>
      <c r="E124" s="38">
        <f>SUM(B124:D124)</f>
        <v>904</v>
      </c>
      <c r="F124" s="238">
        <v>629</v>
      </c>
      <c r="G124" s="238">
        <v>725</v>
      </c>
      <c r="H124" s="238">
        <v>712</v>
      </c>
      <c r="I124" s="38">
        <f>SUM(F124:H124)</f>
        <v>2066</v>
      </c>
      <c r="J124" s="238">
        <v>711</v>
      </c>
      <c r="K124" s="238">
        <v>573</v>
      </c>
      <c r="L124" s="238">
        <v>542</v>
      </c>
      <c r="M124" s="38">
        <f>SUM(J124:L124)</f>
        <v>1826</v>
      </c>
      <c r="N124" s="238">
        <v>490</v>
      </c>
      <c r="O124" s="238">
        <v>407</v>
      </c>
      <c r="P124" s="238">
        <v>323</v>
      </c>
      <c r="Q124" s="38">
        <f>SUM(N124:P124)</f>
        <v>1220</v>
      </c>
      <c r="R124" s="38">
        <f>+E124+I124+M124+Q124</f>
        <v>6016</v>
      </c>
    </row>
    <row r="125" spans="1:18" ht="16.5" customHeight="1" thickBot="1" x14ac:dyDescent="0.35">
      <c r="A125" s="44"/>
      <c r="B125" s="258"/>
      <c r="C125" s="258"/>
      <c r="D125" s="258"/>
      <c r="E125" s="37" t="s">
        <v>852</v>
      </c>
      <c r="F125" s="258"/>
      <c r="G125" s="258"/>
      <c r="H125" s="258"/>
      <c r="I125" s="37" t="s">
        <v>852</v>
      </c>
      <c r="J125" s="258"/>
      <c r="K125" s="258"/>
      <c r="L125" s="258"/>
      <c r="M125" s="37" t="s">
        <v>852</v>
      </c>
      <c r="N125" s="258"/>
      <c r="O125" s="258"/>
      <c r="P125" s="258"/>
      <c r="Q125" s="37" t="s">
        <v>852</v>
      </c>
      <c r="R125" s="37" t="s">
        <v>852</v>
      </c>
    </row>
    <row r="126" spans="1:18" ht="15.75" customHeight="1" x14ac:dyDescent="0.3">
      <c r="A126" s="259" t="s">
        <v>2011</v>
      </c>
      <c r="B126" s="260">
        <f>+B123+B124</f>
        <v>15351</v>
      </c>
      <c r="C126" s="260">
        <f>+C123+C124</f>
        <v>18749</v>
      </c>
      <c r="D126" s="260">
        <f>+D123+D124</f>
        <v>21107</v>
      </c>
      <c r="E126" s="38">
        <f>SUM(B126:D126)</f>
        <v>55207</v>
      </c>
      <c r="F126" s="260">
        <f>+F123+F124</f>
        <v>8416</v>
      </c>
      <c r="G126" s="260">
        <f>+G123+G124</f>
        <v>8400</v>
      </c>
      <c r="H126" s="260">
        <f>+H123+H124</f>
        <v>7937</v>
      </c>
      <c r="I126" s="38">
        <f>SUM(F126:H126)</f>
        <v>24753</v>
      </c>
      <c r="J126" s="260">
        <f>+J123+J124</f>
        <v>8932</v>
      </c>
      <c r="K126" s="260">
        <f>+K123+K124</f>
        <v>9518</v>
      </c>
      <c r="L126" s="260">
        <f>+L123+L124</f>
        <v>7343</v>
      </c>
      <c r="M126" s="38">
        <f>SUM(J126:L126)</f>
        <v>25793</v>
      </c>
      <c r="N126" s="260">
        <f>+N123+N124</f>
        <v>4243</v>
      </c>
      <c r="O126" s="260">
        <f>+O123+O124</f>
        <v>3036</v>
      </c>
      <c r="P126" s="260">
        <f>+P123+P124</f>
        <v>5926</v>
      </c>
      <c r="Q126" s="38">
        <f>SUM(N126:P126)</f>
        <v>13205</v>
      </c>
      <c r="R126" s="38">
        <f>+E126+I126+M126+Q126</f>
        <v>118958</v>
      </c>
    </row>
    <row r="127" spans="1:18" ht="15.75" customHeight="1" x14ac:dyDescent="0.3">
      <c r="A127" s="261" t="s">
        <v>1897</v>
      </c>
      <c r="B127" s="172">
        <f>(B126/31)/1.983</f>
        <v>249.71938900004878</v>
      </c>
      <c r="C127" s="172">
        <f>(C126/28)/1.983</f>
        <v>337.67379871767162</v>
      </c>
      <c r="D127" s="172">
        <f>(D126/31)/1.983</f>
        <v>343.35399280985149</v>
      </c>
      <c r="E127" s="38" t="s">
        <v>852</v>
      </c>
      <c r="F127" s="172">
        <f>(F126/30)/1.983</f>
        <v>141.4691544797445</v>
      </c>
      <c r="G127" s="172">
        <f>(G126/31)/1.983</f>
        <v>136.64535649797469</v>
      </c>
      <c r="H127" s="172">
        <f>(H126/30)/1.983</f>
        <v>133.41738107244913</v>
      </c>
      <c r="I127" s="38" t="s">
        <v>852</v>
      </c>
      <c r="J127" s="172">
        <f>(J126/31)/1.983</f>
        <v>145.2995624095131</v>
      </c>
      <c r="K127" s="172">
        <f>(K126/31)/1.983</f>
        <v>154.83220275568135</v>
      </c>
      <c r="L127" s="172">
        <f>(L126/30)/1.983</f>
        <v>123.43250966549</v>
      </c>
      <c r="M127" s="38" t="s">
        <v>852</v>
      </c>
      <c r="N127" s="172">
        <f>(N126/31)/1.983</f>
        <v>69.022172335822233</v>
      </c>
      <c r="O127" s="172">
        <f>(O126/30)/1.983</f>
        <v>51.03378719112456</v>
      </c>
      <c r="P127" s="172">
        <f>(P126/31)/1.983</f>
        <v>96.400045548452155</v>
      </c>
      <c r="Q127" s="38" t="s">
        <v>852</v>
      </c>
      <c r="R127" s="38" t="s">
        <v>852</v>
      </c>
    </row>
    <row r="128" spans="1:18" ht="15.75" customHeight="1" x14ac:dyDescent="0.3">
      <c r="A128" s="262" t="s">
        <v>1679</v>
      </c>
      <c r="B128" s="172">
        <f>B126+B250</f>
        <v>183360</v>
      </c>
      <c r="C128" s="172">
        <f>C126+C250</f>
        <v>167978</v>
      </c>
      <c r="D128" s="172">
        <f>D126+D250</f>
        <v>186971</v>
      </c>
      <c r="E128" s="38">
        <f>SUM(B128:D128)</f>
        <v>538309</v>
      </c>
      <c r="F128" s="172">
        <f>F126+F250</f>
        <v>180628</v>
      </c>
      <c r="G128" s="172">
        <f>G126+G250</f>
        <v>179605</v>
      </c>
      <c r="H128" s="172">
        <f>H126+H250</f>
        <v>130295</v>
      </c>
      <c r="I128" s="38">
        <f>SUM(F128:H128)</f>
        <v>490528</v>
      </c>
      <c r="J128" s="172">
        <f>J126+J250</f>
        <v>39096</v>
      </c>
      <c r="K128" s="172">
        <f>K126+K250</f>
        <v>85890</v>
      </c>
      <c r="L128" s="172">
        <f>L126+L250</f>
        <v>136626</v>
      </c>
      <c r="M128" s="38">
        <f>SUM(J128:L128)</f>
        <v>261612</v>
      </c>
      <c r="N128" s="172">
        <f>N126+N250</f>
        <v>31404</v>
      </c>
      <c r="O128" s="172">
        <f>O126+O250</f>
        <v>172790</v>
      </c>
      <c r="P128" s="172">
        <f>P126+P250</f>
        <v>133615</v>
      </c>
      <c r="Q128" s="38">
        <f>SUM(N128:P128)</f>
        <v>337809</v>
      </c>
      <c r="R128" s="38">
        <f>+E128+I128+M128+Q128</f>
        <v>1628258</v>
      </c>
    </row>
    <row r="129" spans="1:18" ht="16.5" customHeight="1" thickBot="1" x14ac:dyDescent="0.35">
      <c r="A129" s="263" t="s">
        <v>6</v>
      </c>
      <c r="B129" s="264">
        <f>(B128/31)/1.983</f>
        <v>2982.7729246986482</v>
      </c>
      <c r="C129" s="264">
        <f>(C128/28)/1.983</f>
        <v>3025.3223831136083</v>
      </c>
      <c r="D129" s="264">
        <f>(D128/31)/1.983</f>
        <v>3041.5141606884322</v>
      </c>
      <c r="E129" s="40" t="s">
        <v>852</v>
      </c>
      <c r="F129" s="264">
        <f>(F128/30)/1.983</f>
        <v>3036.2750042023868</v>
      </c>
      <c r="G129" s="264">
        <f>(G128/31)/1.983</f>
        <v>2921.6891968831846</v>
      </c>
      <c r="H129" s="264">
        <f>(H128/30)/1.983</f>
        <v>2190.2000336190958</v>
      </c>
      <c r="I129" s="40" t="s">
        <v>852</v>
      </c>
      <c r="J129" s="264">
        <f>(J128/31)/1.983</f>
        <v>635.98653067200235</v>
      </c>
      <c r="K129" s="264">
        <f>(K128/31)/1.983</f>
        <v>1397.1987701917915</v>
      </c>
      <c r="L129" s="264">
        <f>(L128/30)/1.983</f>
        <v>2296.6212808875439</v>
      </c>
      <c r="M129" s="40" t="s">
        <v>852</v>
      </c>
      <c r="N129" s="264">
        <f>(N128/31)/1.983</f>
        <v>510.85842565028543</v>
      </c>
      <c r="O129" s="264">
        <f>(O128/30)/1.983</f>
        <v>2904.521768364431</v>
      </c>
      <c r="P129" s="264">
        <f>(P128/31)/1.983</f>
        <v>2173.5558700567726</v>
      </c>
      <c r="Q129" s="40" t="s">
        <v>852</v>
      </c>
      <c r="R129" s="40" t="s">
        <v>852</v>
      </c>
    </row>
    <row r="130" spans="1:18" ht="15.75" customHeight="1" x14ac:dyDescent="0.3">
      <c r="A130" s="18"/>
      <c r="B130" s="172"/>
      <c r="C130" s="172"/>
      <c r="D130" s="172"/>
      <c r="E130" s="172"/>
      <c r="F130" s="172"/>
      <c r="G130" s="172"/>
      <c r="H130" s="172"/>
      <c r="I130" s="172"/>
      <c r="J130" s="172"/>
      <c r="K130" s="172"/>
      <c r="L130" s="172"/>
      <c r="M130" s="172"/>
      <c r="N130" s="172"/>
      <c r="O130" s="172"/>
      <c r="P130" s="172"/>
      <c r="Q130" s="172"/>
      <c r="R130" s="17"/>
    </row>
    <row r="131" spans="1:18" ht="15.75" customHeight="1" thickBot="1" x14ac:dyDescent="0.35">
      <c r="A131" s="18" t="s">
        <v>852</v>
      </c>
      <c r="B131" s="172"/>
      <c r="C131" s="172"/>
      <c r="D131" s="172"/>
      <c r="E131" s="172"/>
      <c r="F131" s="172"/>
      <c r="G131" s="172"/>
      <c r="H131" s="172"/>
      <c r="I131" s="172"/>
      <c r="J131" s="172"/>
      <c r="K131" s="172"/>
      <c r="L131" s="172"/>
      <c r="M131" s="172"/>
      <c r="N131" s="172"/>
      <c r="O131" s="172"/>
      <c r="P131" s="172"/>
      <c r="Q131" s="172"/>
      <c r="R131" s="17"/>
    </row>
    <row r="132" spans="1:18" ht="16.5" customHeight="1" thickBot="1" x14ac:dyDescent="0.35">
      <c r="A132" s="240" t="s">
        <v>1446</v>
      </c>
      <c r="B132" s="4" t="s">
        <v>2090</v>
      </c>
      <c r="C132" s="5" t="s">
        <v>2091</v>
      </c>
      <c r="D132" s="5" t="s">
        <v>2234</v>
      </c>
      <c r="E132" s="33" t="s">
        <v>1594</v>
      </c>
      <c r="F132" s="5" t="s">
        <v>2235</v>
      </c>
      <c r="G132" s="5" t="s">
        <v>2236</v>
      </c>
      <c r="H132" s="5" t="s">
        <v>2237</v>
      </c>
      <c r="I132" s="35" t="s">
        <v>1595</v>
      </c>
      <c r="J132" s="5" t="s">
        <v>1504</v>
      </c>
      <c r="K132" s="5" t="s">
        <v>1505</v>
      </c>
      <c r="L132" s="5" t="s">
        <v>1506</v>
      </c>
      <c r="M132" s="35" t="s">
        <v>1596</v>
      </c>
      <c r="N132" s="5" t="s">
        <v>1507</v>
      </c>
      <c r="O132" s="5" t="s">
        <v>1508</v>
      </c>
      <c r="P132" s="5" t="s">
        <v>1509</v>
      </c>
      <c r="Q132" s="35" t="s">
        <v>1597</v>
      </c>
      <c r="R132" s="36" t="s">
        <v>1510</v>
      </c>
    </row>
    <row r="133" spans="1:18" ht="16.5" customHeight="1" thickBot="1" x14ac:dyDescent="0.35">
      <c r="A133" s="44"/>
      <c r="B133" s="258"/>
      <c r="C133" s="258"/>
      <c r="D133" s="258"/>
      <c r="E133" s="265"/>
      <c r="F133" s="258"/>
      <c r="G133" s="258"/>
      <c r="H133" s="258"/>
      <c r="I133" s="265"/>
      <c r="J133" s="258"/>
      <c r="K133" s="258"/>
      <c r="L133" s="258"/>
      <c r="M133" s="265"/>
      <c r="N133" s="258"/>
      <c r="O133" s="258"/>
      <c r="P133" s="258"/>
      <c r="Q133" s="265"/>
      <c r="R133" s="44"/>
    </row>
    <row r="134" spans="1:18" ht="15.75" customHeight="1" x14ac:dyDescent="0.3">
      <c r="A134" s="234" t="s">
        <v>2417</v>
      </c>
      <c r="B134" s="172" t="s">
        <v>852</v>
      </c>
      <c r="C134" s="172" t="s">
        <v>852</v>
      </c>
      <c r="D134" s="172" t="s">
        <v>852</v>
      </c>
      <c r="E134" s="38" t="s">
        <v>852</v>
      </c>
      <c r="F134" s="172" t="s">
        <v>852</v>
      </c>
      <c r="G134" s="172" t="s">
        <v>852</v>
      </c>
      <c r="H134" s="172" t="s">
        <v>852</v>
      </c>
      <c r="I134" s="38" t="s">
        <v>852</v>
      </c>
      <c r="J134" s="172" t="s">
        <v>852</v>
      </c>
      <c r="K134" s="172" t="s">
        <v>852</v>
      </c>
      <c r="L134" s="172" t="s">
        <v>852</v>
      </c>
      <c r="M134" s="38" t="s">
        <v>852</v>
      </c>
      <c r="N134" s="172" t="s">
        <v>852</v>
      </c>
      <c r="O134" s="172" t="s">
        <v>852</v>
      </c>
      <c r="P134" s="172" t="s">
        <v>852</v>
      </c>
      <c r="Q134" s="38" t="s">
        <v>852</v>
      </c>
      <c r="R134" s="48" t="s">
        <v>852</v>
      </c>
    </row>
    <row r="135" spans="1:18" ht="15.75" customHeight="1" x14ac:dyDescent="0.3">
      <c r="A135" s="234" t="s">
        <v>2160</v>
      </c>
      <c r="B135" s="172"/>
      <c r="C135" s="172"/>
      <c r="D135" s="172"/>
      <c r="E135" s="38" t="s">
        <v>852</v>
      </c>
      <c r="F135" s="172"/>
      <c r="G135" s="172"/>
      <c r="H135" s="172"/>
      <c r="I135" s="38" t="s">
        <v>852</v>
      </c>
      <c r="J135" s="172"/>
      <c r="K135" s="172"/>
      <c r="L135" s="172"/>
      <c r="M135" s="38" t="s">
        <v>852</v>
      </c>
      <c r="N135" s="172"/>
      <c r="O135" s="172"/>
      <c r="P135" s="172"/>
      <c r="Q135" s="38" t="s">
        <v>852</v>
      </c>
      <c r="R135" s="48"/>
    </row>
    <row r="136" spans="1:18" ht="15.75" customHeight="1" x14ac:dyDescent="0.3">
      <c r="A136" s="569" t="s">
        <v>328</v>
      </c>
      <c r="B136" s="172"/>
      <c r="C136" s="172"/>
      <c r="D136" s="172">
        <v>243</v>
      </c>
      <c r="E136" s="38">
        <f>SUM(B136:D136)</f>
        <v>243</v>
      </c>
      <c r="F136" s="172">
        <v>657</v>
      </c>
      <c r="G136" s="172">
        <v>658</v>
      </c>
      <c r="H136" s="172">
        <v>658</v>
      </c>
      <c r="I136" s="38">
        <f>SUM(F136:H136)</f>
        <v>1973</v>
      </c>
      <c r="J136" s="172">
        <v>658</v>
      </c>
      <c r="K136" s="172">
        <v>658</v>
      </c>
      <c r="L136" s="172">
        <v>657</v>
      </c>
      <c r="M136" s="38">
        <f>SUM(J136:L136)</f>
        <v>1973</v>
      </c>
      <c r="N136" s="172"/>
      <c r="O136" s="172"/>
      <c r="P136" s="172"/>
      <c r="Q136" s="38">
        <f>SUM(N136:P136)</f>
        <v>0</v>
      </c>
      <c r="R136" s="38">
        <f>+E136+I136+M136+Q136</f>
        <v>4189</v>
      </c>
    </row>
    <row r="137" spans="1:18" ht="15.75" customHeight="1" x14ac:dyDescent="0.3">
      <c r="A137" s="569" t="s">
        <v>2440</v>
      </c>
      <c r="B137" s="172"/>
      <c r="C137" s="172"/>
      <c r="D137" s="172">
        <v>734</v>
      </c>
      <c r="E137" s="38">
        <f>SUM(B137:D137)</f>
        <v>734</v>
      </c>
      <c r="F137" s="172">
        <v>694</v>
      </c>
      <c r="G137" s="172">
        <v>1036</v>
      </c>
      <c r="H137" s="172">
        <v>1150</v>
      </c>
      <c r="I137" s="38">
        <f>SUM(F137:H137)</f>
        <v>2880</v>
      </c>
      <c r="J137" s="172">
        <v>959</v>
      </c>
      <c r="K137" s="172">
        <v>1249</v>
      </c>
      <c r="L137" s="172">
        <v>741</v>
      </c>
      <c r="M137" s="38">
        <f>SUM(J137:L137)</f>
        <v>2949</v>
      </c>
      <c r="N137" s="172">
        <v>955</v>
      </c>
      <c r="O137" s="172">
        <v>889</v>
      </c>
      <c r="P137" s="172">
        <v>412</v>
      </c>
      <c r="Q137" s="38">
        <f>SUM(N137:P137)</f>
        <v>2256</v>
      </c>
      <c r="R137" s="38">
        <f>+E137+I137+M137+Q137</f>
        <v>8819</v>
      </c>
    </row>
    <row r="138" spans="1:18" ht="15.75" customHeight="1" x14ac:dyDescent="0.3">
      <c r="A138" s="569" t="s">
        <v>2414</v>
      </c>
      <c r="B138" s="172"/>
      <c r="C138" s="172"/>
      <c r="D138" s="172">
        <v>200</v>
      </c>
      <c r="E138" s="38">
        <f>SUM(B138:D138)</f>
        <v>200</v>
      </c>
      <c r="F138" s="172">
        <v>362</v>
      </c>
      <c r="G138" s="172">
        <v>362</v>
      </c>
      <c r="H138" s="172">
        <v>362</v>
      </c>
      <c r="I138" s="38">
        <f>SUM(F138:H138)</f>
        <v>1086</v>
      </c>
      <c r="J138" s="172">
        <v>362</v>
      </c>
      <c r="K138" s="172">
        <v>362</v>
      </c>
      <c r="L138" s="172">
        <v>362</v>
      </c>
      <c r="M138" s="38">
        <f>SUM(J138:L138)</f>
        <v>1086</v>
      </c>
      <c r="N138" s="172"/>
      <c r="O138" s="172"/>
      <c r="P138" s="172"/>
      <c r="Q138" s="38">
        <f>SUM(N138:P138)</f>
        <v>0</v>
      </c>
      <c r="R138" s="38">
        <f>+E138+I138+M138+Q138</f>
        <v>2372</v>
      </c>
    </row>
    <row r="139" spans="1:18" ht="15.75" customHeight="1" x14ac:dyDescent="0.3">
      <c r="A139" s="569" t="s">
        <v>2441</v>
      </c>
      <c r="B139" s="172"/>
      <c r="C139" s="172"/>
      <c r="D139" s="172">
        <v>200</v>
      </c>
      <c r="E139" s="38">
        <f>SUM(B139:D139)</f>
        <v>200</v>
      </c>
      <c r="F139" s="172">
        <v>514</v>
      </c>
      <c r="G139" s="172">
        <v>513</v>
      </c>
      <c r="H139" s="172">
        <v>511</v>
      </c>
      <c r="I139" s="38">
        <f>SUM(F139:H139)</f>
        <v>1538</v>
      </c>
      <c r="J139" s="172">
        <v>258</v>
      </c>
      <c r="K139" s="172">
        <v>258</v>
      </c>
      <c r="L139" s="172">
        <v>258</v>
      </c>
      <c r="M139" s="38">
        <f>SUM(J139:L139)</f>
        <v>774</v>
      </c>
      <c r="N139" s="172">
        <v>719</v>
      </c>
      <c r="O139" s="172"/>
      <c r="P139" s="172"/>
      <c r="Q139" s="38">
        <f>SUM(N139:P139)</f>
        <v>719</v>
      </c>
      <c r="R139" s="38">
        <f>+E139+I139+M139+Q139</f>
        <v>3231</v>
      </c>
    </row>
    <row r="140" spans="1:18" ht="15.75" customHeight="1" x14ac:dyDescent="0.3">
      <c r="A140" s="539" t="s">
        <v>2238</v>
      </c>
      <c r="B140" s="10"/>
      <c r="C140" s="10"/>
      <c r="D140" s="10">
        <v>0</v>
      </c>
      <c r="E140" s="38">
        <f>SUM(B140:D140)</f>
        <v>0</v>
      </c>
      <c r="F140" s="10">
        <v>0</v>
      </c>
      <c r="G140" s="10">
        <v>0</v>
      </c>
      <c r="H140" s="10">
        <v>0</v>
      </c>
      <c r="I140" s="38">
        <f>SUM(F140:H140)</f>
        <v>0</v>
      </c>
      <c r="J140" s="10">
        <v>0</v>
      </c>
      <c r="K140" s="10">
        <v>0</v>
      </c>
      <c r="L140" s="10">
        <v>0</v>
      </c>
      <c r="M140" s="38">
        <f>SUM(J140:L140)</f>
        <v>0</v>
      </c>
      <c r="N140" s="10">
        <v>0</v>
      </c>
      <c r="O140" s="10">
        <v>0</v>
      </c>
      <c r="P140" s="10">
        <v>0</v>
      </c>
      <c r="Q140" s="38">
        <f>SUM(N140:P140)</f>
        <v>0</v>
      </c>
      <c r="R140" s="38">
        <f>+E140+I140+M140+Q140</f>
        <v>0</v>
      </c>
    </row>
    <row r="141" spans="1:18" ht="15.75" customHeight="1" x14ac:dyDescent="0.3">
      <c r="A141" s="569" t="s">
        <v>1911</v>
      </c>
      <c r="B141" s="172"/>
      <c r="C141" s="172"/>
      <c r="D141" s="172">
        <v>2000</v>
      </c>
      <c r="E141" s="38">
        <f t="shared" ref="E141:E156" si="20">SUM(B141:D141)</f>
        <v>2000</v>
      </c>
      <c r="F141" s="172">
        <v>3416</v>
      </c>
      <c r="G141" s="172"/>
      <c r="H141" s="172"/>
      <c r="I141" s="38">
        <f t="shared" ref="I141:I156" si="21">SUM(F141:H141)</f>
        <v>3416</v>
      </c>
      <c r="J141" s="172"/>
      <c r="K141" s="172"/>
      <c r="L141" s="172"/>
      <c r="M141" s="38">
        <f t="shared" ref="M141:M156" si="22">SUM(J141:L141)</f>
        <v>0</v>
      </c>
      <c r="N141" s="172"/>
      <c r="O141" s="172"/>
      <c r="P141" s="172"/>
      <c r="Q141" s="38">
        <f t="shared" ref="Q141:Q156" si="23">SUM(N141:P141)</f>
        <v>0</v>
      </c>
      <c r="R141" s="38">
        <f t="shared" ref="R141:R156" si="24">+E141+I141+M141+Q141</f>
        <v>5416</v>
      </c>
    </row>
    <row r="142" spans="1:18" ht="15.75" customHeight="1" x14ac:dyDescent="0.3">
      <c r="A142" s="569" t="s">
        <v>748</v>
      </c>
      <c r="B142" s="172"/>
      <c r="C142" s="172"/>
      <c r="D142" s="172"/>
      <c r="E142" s="38">
        <f t="shared" si="20"/>
        <v>0</v>
      </c>
      <c r="F142" s="172"/>
      <c r="G142" s="172">
        <f>1261+2996</f>
        <v>4257</v>
      </c>
      <c r="H142" s="172">
        <v>294</v>
      </c>
      <c r="I142" s="38">
        <f t="shared" si="21"/>
        <v>4551</v>
      </c>
      <c r="J142" s="172">
        <v>445</v>
      </c>
      <c r="K142" s="172"/>
      <c r="L142" s="172"/>
      <c r="M142" s="38">
        <f t="shared" si="22"/>
        <v>445</v>
      </c>
      <c r="N142" s="172"/>
      <c r="O142" s="172"/>
      <c r="P142" s="172"/>
      <c r="Q142" s="38">
        <f t="shared" si="23"/>
        <v>0</v>
      </c>
      <c r="R142" s="38">
        <f t="shared" si="24"/>
        <v>4996</v>
      </c>
    </row>
    <row r="143" spans="1:18" ht="15.75" customHeight="1" x14ac:dyDescent="0.3">
      <c r="A143" s="539" t="s">
        <v>1880</v>
      </c>
      <c r="B143" s="172">
        <v>5</v>
      </c>
      <c r="C143" s="172">
        <v>32</v>
      </c>
      <c r="D143" s="172">
        <v>45</v>
      </c>
      <c r="E143" s="38">
        <f t="shared" si="20"/>
        <v>82</v>
      </c>
      <c r="F143" s="172">
        <v>44</v>
      </c>
      <c r="G143" s="172">
        <v>54</v>
      </c>
      <c r="H143" s="172">
        <v>51</v>
      </c>
      <c r="I143" s="38">
        <f t="shared" si="21"/>
        <v>149</v>
      </c>
      <c r="J143" s="172">
        <v>56</v>
      </c>
      <c r="K143" s="172">
        <v>49</v>
      </c>
      <c r="L143" s="172">
        <v>45</v>
      </c>
      <c r="M143" s="38">
        <f t="shared" si="22"/>
        <v>150</v>
      </c>
      <c r="N143" s="172">
        <v>52</v>
      </c>
      <c r="O143" s="172">
        <v>25</v>
      </c>
      <c r="P143" s="172">
        <v>21</v>
      </c>
      <c r="Q143" s="38">
        <f t="shared" si="23"/>
        <v>98</v>
      </c>
      <c r="R143" s="38">
        <f t="shared" si="24"/>
        <v>479</v>
      </c>
    </row>
    <row r="144" spans="1:18" ht="15.75" customHeight="1" x14ac:dyDescent="0.3">
      <c r="A144" s="539" t="s">
        <v>703</v>
      </c>
      <c r="B144" s="10">
        <v>140</v>
      </c>
      <c r="C144" s="10">
        <v>138</v>
      </c>
      <c r="D144" s="10">
        <v>154</v>
      </c>
      <c r="E144" s="38">
        <f t="shared" si="20"/>
        <v>432</v>
      </c>
      <c r="F144" s="10">
        <v>161</v>
      </c>
      <c r="G144" s="10">
        <v>196</v>
      </c>
      <c r="H144" s="10">
        <v>216</v>
      </c>
      <c r="I144" s="38">
        <f t="shared" si="21"/>
        <v>573</v>
      </c>
      <c r="J144" s="10">
        <v>216</v>
      </c>
      <c r="K144" s="10">
        <v>208</v>
      </c>
      <c r="L144" s="10">
        <v>192</v>
      </c>
      <c r="M144" s="38">
        <f t="shared" si="22"/>
        <v>616</v>
      </c>
      <c r="N144" s="10">
        <v>174</v>
      </c>
      <c r="O144" s="10">
        <v>166</v>
      </c>
      <c r="P144" s="10">
        <v>164</v>
      </c>
      <c r="Q144" s="38">
        <f t="shared" si="23"/>
        <v>504</v>
      </c>
      <c r="R144" s="38">
        <f t="shared" si="24"/>
        <v>2125</v>
      </c>
    </row>
    <row r="145" spans="1:19" ht="15.75" customHeight="1" x14ac:dyDescent="0.3">
      <c r="A145" s="539" t="s">
        <v>2304</v>
      </c>
      <c r="B145" s="172"/>
      <c r="C145" s="172"/>
      <c r="D145" s="172"/>
      <c r="E145" s="38">
        <f t="shared" si="20"/>
        <v>0</v>
      </c>
      <c r="F145" s="172"/>
      <c r="G145" s="172"/>
      <c r="H145" s="172"/>
      <c r="I145" s="38">
        <f t="shared" si="21"/>
        <v>0</v>
      </c>
      <c r="J145" s="172"/>
      <c r="K145" s="172"/>
      <c r="L145" s="172"/>
      <c r="M145" s="38">
        <f t="shared" si="22"/>
        <v>0</v>
      </c>
      <c r="N145" s="172"/>
      <c r="O145" s="172"/>
      <c r="P145" s="172"/>
      <c r="Q145" s="38">
        <f t="shared" si="23"/>
        <v>0</v>
      </c>
      <c r="R145" s="38">
        <f t="shared" si="24"/>
        <v>0</v>
      </c>
    </row>
    <row r="146" spans="1:19" ht="15.75" customHeight="1" x14ac:dyDescent="0.3">
      <c r="A146" s="539" t="s">
        <v>1676</v>
      </c>
      <c r="B146" s="172">
        <v>428</v>
      </c>
      <c r="C146" s="172">
        <v>413</v>
      </c>
      <c r="D146" s="172">
        <v>488</v>
      </c>
      <c r="E146" s="38">
        <f t="shared" si="20"/>
        <v>1329</v>
      </c>
      <c r="F146" s="172">
        <v>517</v>
      </c>
      <c r="G146" s="172">
        <v>598</v>
      </c>
      <c r="H146" s="172">
        <v>637</v>
      </c>
      <c r="I146" s="38">
        <f t="shared" si="21"/>
        <v>1752</v>
      </c>
      <c r="J146" s="172">
        <v>656</v>
      </c>
      <c r="K146" s="172">
        <v>641</v>
      </c>
      <c r="L146" s="172">
        <v>583</v>
      </c>
      <c r="M146" s="38">
        <f t="shared" si="22"/>
        <v>1880</v>
      </c>
      <c r="N146" s="172">
        <v>642</v>
      </c>
      <c r="O146" s="172">
        <v>735</v>
      </c>
      <c r="P146" s="172">
        <v>438</v>
      </c>
      <c r="Q146" s="38">
        <f t="shared" si="23"/>
        <v>1815</v>
      </c>
      <c r="R146" s="38">
        <f t="shared" si="24"/>
        <v>6776</v>
      </c>
    </row>
    <row r="147" spans="1:19" ht="15.75" customHeight="1" x14ac:dyDescent="0.3">
      <c r="A147" s="539" t="s">
        <v>347</v>
      </c>
      <c r="B147" s="172"/>
      <c r="C147" s="172"/>
      <c r="D147" s="172"/>
      <c r="E147" s="38">
        <f t="shared" ref="E147:E153" si="25">SUM(B147:D147)</f>
        <v>0</v>
      </c>
      <c r="F147" s="172"/>
      <c r="G147" s="172"/>
      <c r="H147" s="172"/>
      <c r="I147" s="38">
        <f t="shared" ref="I147:I153" si="26">SUM(F147:H147)</f>
        <v>0</v>
      </c>
      <c r="J147" s="172"/>
      <c r="K147" s="172"/>
      <c r="L147" s="172"/>
      <c r="M147" s="38">
        <f t="shared" ref="M147:M153" si="27">SUM(J147:L147)</f>
        <v>0</v>
      </c>
      <c r="N147" s="172"/>
      <c r="O147" s="172"/>
      <c r="P147" s="172"/>
      <c r="Q147" s="38">
        <f t="shared" ref="Q147:Q153" si="28">SUM(N147:P147)</f>
        <v>0</v>
      </c>
      <c r="R147" s="38">
        <f t="shared" si="24"/>
        <v>0</v>
      </c>
    </row>
    <row r="148" spans="1:19" s="353" customFormat="1" ht="15.75" customHeight="1" x14ac:dyDescent="0.3">
      <c r="A148" s="535" t="s">
        <v>1242</v>
      </c>
      <c r="B148" s="352"/>
      <c r="C148" s="352"/>
      <c r="D148" s="352"/>
      <c r="E148" s="331">
        <f t="shared" si="25"/>
        <v>0</v>
      </c>
      <c r="F148" s="352"/>
      <c r="G148" s="352"/>
      <c r="H148" s="352"/>
      <c r="I148" s="331">
        <f t="shared" si="26"/>
        <v>0</v>
      </c>
      <c r="J148" s="352"/>
      <c r="K148" s="352"/>
      <c r="L148" s="352"/>
      <c r="M148" s="331">
        <f t="shared" si="27"/>
        <v>0</v>
      </c>
      <c r="N148" s="352"/>
      <c r="O148" s="352"/>
      <c r="P148" s="352">
        <v>0</v>
      </c>
      <c r="Q148" s="331">
        <f t="shared" si="28"/>
        <v>0</v>
      </c>
      <c r="R148" s="331">
        <f t="shared" si="24"/>
        <v>0</v>
      </c>
    </row>
    <row r="149" spans="1:19" ht="15.75" customHeight="1" x14ac:dyDescent="0.3">
      <c r="A149" s="539" t="s">
        <v>1379</v>
      </c>
      <c r="B149" s="172"/>
      <c r="C149" s="172"/>
      <c r="D149" s="172"/>
      <c r="E149" s="38">
        <f>SUM(B149:D149)</f>
        <v>0</v>
      </c>
      <c r="F149" s="172"/>
      <c r="G149" s="172">
        <v>317</v>
      </c>
      <c r="H149" s="172">
        <v>1245</v>
      </c>
      <c r="I149" s="38">
        <f>SUM(F149:H149)</f>
        <v>1562</v>
      </c>
      <c r="J149" s="172">
        <v>1241</v>
      </c>
      <c r="K149" s="172">
        <v>1236</v>
      </c>
      <c r="L149" s="172">
        <v>9</v>
      </c>
      <c r="M149" s="38">
        <f>SUM(J149:L149)</f>
        <v>2486</v>
      </c>
      <c r="N149" s="172"/>
      <c r="O149" s="172"/>
      <c r="P149" s="172">
        <v>24</v>
      </c>
      <c r="Q149" s="38">
        <f>SUM(N149:P149)</f>
        <v>24</v>
      </c>
      <c r="R149" s="38">
        <f>+E149+I149+M149+Q149</f>
        <v>4072</v>
      </c>
    </row>
    <row r="150" spans="1:19" ht="15.75" customHeight="1" x14ac:dyDescent="0.3">
      <c r="A150" s="539" t="s">
        <v>1879</v>
      </c>
      <c r="B150" s="172">
        <v>24</v>
      </c>
      <c r="C150" s="172">
        <v>24</v>
      </c>
      <c r="D150" s="172">
        <v>48</v>
      </c>
      <c r="E150" s="38">
        <f>SUM(B150:D150)</f>
        <v>96</v>
      </c>
      <c r="F150" s="172">
        <v>62</v>
      </c>
      <c r="G150" s="172">
        <v>72</v>
      </c>
      <c r="H150" s="172">
        <v>101</v>
      </c>
      <c r="I150" s="38">
        <f>SUM(F150:H150)</f>
        <v>235</v>
      </c>
      <c r="J150" s="172">
        <v>82</v>
      </c>
      <c r="K150" s="172">
        <v>60</v>
      </c>
      <c r="L150" s="172">
        <v>64</v>
      </c>
      <c r="M150" s="38">
        <f>SUM(J150:L150)</f>
        <v>206</v>
      </c>
      <c r="N150" s="172">
        <v>66</v>
      </c>
      <c r="O150" s="172">
        <v>38</v>
      </c>
      <c r="P150" s="172">
        <v>24</v>
      </c>
      <c r="Q150" s="38">
        <f>SUM(N150:P150)</f>
        <v>128</v>
      </c>
      <c r="R150" s="38">
        <f>+E150+I150+M150+Q150</f>
        <v>665</v>
      </c>
    </row>
    <row r="151" spans="1:19" ht="15.75" customHeight="1" x14ac:dyDescent="0.3">
      <c r="A151" s="569" t="s">
        <v>2714</v>
      </c>
      <c r="B151" s="172">
        <v>0</v>
      </c>
      <c r="C151" s="172">
        <v>0</v>
      </c>
      <c r="D151" s="172">
        <v>0</v>
      </c>
      <c r="E151" s="38">
        <f>SUM(B151:D151)</f>
        <v>0</v>
      </c>
      <c r="F151" s="172">
        <v>2775</v>
      </c>
      <c r="G151" s="172">
        <v>2579</v>
      </c>
      <c r="H151" s="172">
        <v>1286</v>
      </c>
      <c r="I151" s="38">
        <f>SUM(F151:H151)</f>
        <v>6640</v>
      </c>
      <c r="J151" s="356">
        <v>1294</v>
      </c>
      <c r="K151" s="172">
        <v>1160</v>
      </c>
      <c r="L151" s="172">
        <v>1080</v>
      </c>
      <c r="M151" s="38">
        <f>SUM(J151:L151)</f>
        <v>3534</v>
      </c>
      <c r="N151" s="172">
        <v>1119</v>
      </c>
      <c r="O151" s="172">
        <v>858</v>
      </c>
      <c r="P151" s="172">
        <v>698</v>
      </c>
      <c r="Q151" s="38">
        <f>SUM(N151:P151)</f>
        <v>2675</v>
      </c>
      <c r="R151" s="38">
        <f>+E151+I151+M151+Q151</f>
        <v>12849</v>
      </c>
    </row>
    <row r="152" spans="1:19" ht="15.75" customHeight="1" x14ac:dyDescent="0.3">
      <c r="A152" s="569" t="s">
        <v>1375</v>
      </c>
      <c r="B152" s="172"/>
      <c r="C152" s="172"/>
      <c r="D152" s="172"/>
      <c r="E152" s="38">
        <f t="shared" si="25"/>
        <v>0</v>
      </c>
      <c r="F152" s="172"/>
      <c r="G152" s="172"/>
      <c r="H152" s="172"/>
      <c r="I152" s="38">
        <f t="shared" si="26"/>
        <v>0</v>
      </c>
      <c r="J152" s="172"/>
      <c r="K152" s="172"/>
      <c r="L152" s="172"/>
      <c r="M152" s="38">
        <f t="shared" si="27"/>
        <v>0</v>
      </c>
      <c r="N152" s="172"/>
      <c r="O152" s="172"/>
      <c r="P152" s="172"/>
      <c r="Q152" s="38">
        <f t="shared" si="28"/>
        <v>0</v>
      </c>
      <c r="R152" s="38">
        <f t="shared" si="24"/>
        <v>0</v>
      </c>
    </row>
    <row r="153" spans="1:19" ht="15.75" customHeight="1" x14ac:dyDescent="0.3">
      <c r="A153" s="539" t="s">
        <v>2426</v>
      </c>
      <c r="B153" s="10">
        <v>6865</v>
      </c>
      <c r="C153" s="10">
        <v>7728</v>
      </c>
      <c r="D153" s="10">
        <v>9180</v>
      </c>
      <c r="E153" s="38">
        <f t="shared" si="25"/>
        <v>23773</v>
      </c>
      <c r="F153" s="10">
        <v>10572</v>
      </c>
      <c r="G153" s="10">
        <v>1799</v>
      </c>
      <c r="H153" s="10"/>
      <c r="I153" s="38">
        <f t="shared" si="26"/>
        <v>12371</v>
      </c>
      <c r="J153" s="10">
        <v>12536</v>
      </c>
      <c r="K153" s="10">
        <v>13611</v>
      </c>
      <c r="L153" s="10">
        <v>11000</v>
      </c>
      <c r="M153" s="38">
        <f t="shared" si="27"/>
        <v>37147</v>
      </c>
      <c r="N153" s="10">
        <v>12158</v>
      </c>
      <c r="O153" s="10">
        <v>10647</v>
      </c>
      <c r="P153" s="10">
        <v>7922</v>
      </c>
      <c r="Q153" s="38">
        <f t="shared" si="28"/>
        <v>30727</v>
      </c>
      <c r="R153" s="38">
        <f t="shared" si="24"/>
        <v>104018</v>
      </c>
    </row>
    <row r="154" spans="1:19" ht="15.75" customHeight="1" x14ac:dyDescent="0.3">
      <c r="A154" s="539" t="s">
        <v>2239</v>
      </c>
      <c r="B154" s="172">
        <v>14</v>
      </c>
      <c r="C154" s="172">
        <v>14</v>
      </c>
      <c r="D154" s="172">
        <v>18</v>
      </c>
      <c r="E154" s="38">
        <f t="shared" si="20"/>
        <v>46</v>
      </c>
      <c r="F154" s="172">
        <v>17</v>
      </c>
      <c r="G154" s="172">
        <v>16</v>
      </c>
      <c r="H154" s="172">
        <v>17</v>
      </c>
      <c r="I154" s="38">
        <f t="shared" si="21"/>
        <v>50</v>
      </c>
      <c r="J154" s="172">
        <v>19</v>
      </c>
      <c r="K154" s="172">
        <v>20</v>
      </c>
      <c r="L154" s="172">
        <v>19</v>
      </c>
      <c r="M154" s="38">
        <f t="shared" si="22"/>
        <v>58</v>
      </c>
      <c r="N154" s="172">
        <v>21</v>
      </c>
      <c r="O154" s="172">
        <v>18</v>
      </c>
      <c r="P154" s="172">
        <v>11</v>
      </c>
      <c r="Q154" s="38">
        <f t="shared" si="23"/>
        <v>50</v>
      </c>
      <c r="R154" s="38">
        <f t="shared" si="24"/>
        <v>204</v>
      </c>
    </row>
    <row r="155" spans="1:19" ht="15.75" customHeight="1" x14ac:dyDescent="0.3">
      <c r="A155" s="539" t="s">
        <v>1520</v>
      </c>
      <c r="B155" s="10">
        <f>3283</f>
        <v>3283</v>
      </c>
      <c r="C155" s="10">
        <v>0</v>
      </c>
      <c r="D155" s="10">
        <v>3112</v>
      </c>
      <c r="E155" s="38">
        <f t="shared" si="20"/>
        <v>6395</v>
      </c>
      <c r="F155" s="10">
        <v>5692</v>
      </c>
      <c r="G155" s="10">
        <v>7152</v>
      </c>
      <c r="H155" s="10">
        <v>7080</v>
      </c>
      <c r="I155" s="38">
        <f t="shared" si="21"/>
        <v>19924</v>
      </c>
      <c r="J155" s="10">
        <v>6602</v>
      </c>
      <c r="K155" s="10">
        <v>6150</v>
      </c>
      <c r="L155" s="10">
        <v>5973</v>
      </c>
      <c r="M155" s="38">
        <f t="shared" si="22"/>
        <v>18725</v>
      </c>
      <c r="N155" s="10">
        <v>6275</v>
      </c>
      <c r="O155" s="10">
        <v>4170</v>
      </c>
      <c r="P155" s="10">
        <v>603.99999999999545</v>
      </c>
      <c r="Q155" s="38">
        <f t="shared" si="23"/>
        <v>11048.999999999996</v>
      </c>
      <c r="R155" s="38">
        <f t="shared" si="24"/>
        <v>56093</v>
      </c>
    </row>
    <row r="156" spans="1:19" ht="15.75" customHeight="1" x14ac:dyDescent="0.3">
      <c r="A156" s="569" t="s">
        <v>2601</v>
      </c>
      <c r="B156" s="10"/>
      <c r="C156" s="10"/>
      <c r="D156" s="10"/>
      <c r="E156" s="38">
        <f t="shared" si="20"/>
        <v>0</v>
      </c>
      <c r="F156" s="10"/>
      <c r="G156" s="10"/>
      <c r="H156" s="10">
        <v>1524</v>
      </c>
      <c r="I156" s="38">
        <f t="shared" si="21"/>
        <v>1524</v>
      </c>
      <c r="J156" s="10"/>
      <c r="K156" s="10">
        <v>1524</v>
      </c>
      <c r="L156" s="10"/>
      <c r="M156" s="38">
        <f t="shared" si="22"/>
        <v>1524</v>
      </c>
      <c r="N156" s="10"/>
      <c r="O156" s="10">
        <v>315</v>
      </c>
      <c r="P156" s="10">
        <v>1867</v>
      </c>
      <c r="Q156" s="38">
        <f t="shared" si="23"/>
        <v>2182</v>
      </c>
      <c r="R156" s="38">
        <f t="shared" si="24"/>
        <v>5230</v>
      </c>
    </row>
    <row r="157" spans="1:19" ht="15.75" customHeight="1" x14ac:dyDescent="0.3">
      <c r="A157" s="539" t="s">
        <v>346</v>
      </c>
      <c r="B157" s="172">
        <v>22</v>
      </c>
      <c r="C157" s="172">
        <v>300</v>
      </c>
      <c r="D157" s="172">
        <v>350</v>
      </c>
      <c r="E157" s="38">
        <f>SUM(B157:D157)</f>
        <v>672</v>
      </c>
      <c r="F157" s="172">
        <v>350</v>
      </c>
      <c r="G157" s="172">
        <v>400</v>
      </c>
      <c r="H157" s="172">
        <v>450</v>
      </c>
      <c r="I157" s="38">
        <f>SUM(F157:H157)</f>
        <v>1200</v>
      </c>
      <c r="J157" s="172">
        <v>493</v>
      </c>
      <c r="K157" s="172">
        <v>500</v>
      </c>
      <c r="L157" s="172">
        <v>400</v>
      </c>
      <c r="M157" s="38">
        <f>SUM(J157:L157)</f>
        <v>1393</v>
      </c>
      <c r="N157" s="172">
        <v>400</v>
      </c>
      <c r="O157" s="172">
        <v>300</v>
      </c>
      <c r="P157" s="172">
        <v>350</v>
      </c>
      <c r="Q157" s="38">
        <f>SUM(N157:P157)</f>
        <v>1050</v>
      </c>
      <c r="R157" s="38">
        <f>+E157+I157+M157+Q157</f>
        <v>4315</v>
      </c>
    </row>
    <row r="158" spans="1:19" ht="15.75" customHeight="1" x14ac:dyDescent="0.3">
      <c r="A158" s="539" t="s">
        <v>1574</v>
      </c>
      <c r="B158" s="172">
        <v>2</v>
      </c>
      <c r="C158" s="172">
        <v>2</v>
      </c>
      <c r="D158" s="172">
        <v>2</v>
      </c>
      <c r="E158" s="38">
        <f>SUM(B158:D158)</f>
        <v>6</v>
      </c>
      <c r="F158" s="172">
        <v>3</v>
      </c>
      <c r="G158" s="172">
        <v>3</v>
      </c>
      <c r="H158" s="172">
        <v>3</v>
      </c>
      <c r="I158" s="38">
        <f>SUM(F158:H158)</f>
        <v>9</v>
      </c>
      <c r="J158" s="172">
        <v>3</v>
      </c>
      <c r="K158" s="172">
        <v>3</v>
      </c>
      <c r="L158" s="172">
        <v>3</v>
      </c>
      <c r="M158" s="38">
        <f>SUM(J158:L158)</f>
        <v>9</v>
      </c>
      <c r="N158" s="172">
        <v>3</v>
      </c>
      <c r="O158" s="172">
        <v>2</v>
      </c>
      <c r="P158" s="172">
        <v>2</v>
      </c>
      <c r="Q158" s="38">
        <f>SUM(N158:P158)</f>
        <v>7</v>
      </c>
      <c r="R158" s="38">
        <f>+E158+I158+M158+Q158</f>
        <v>31</v>
      </c>
      <c r="S158">
        <f>SUM(R136:R158)</f>
        <v>225880</v>
      </c>
    </row>
    <row r="159" spans="1:19" ht="15.75" customHeight="1" x14ac:dyDescent="0.3">
      <c r="A159" s="234" t="s">
        <v>2161</v>
      </c>
      <c r="B159" s="172"/>
      <c r="C159" s="172"/>
      <c r="D159" s="172"/>
      <c r="E159" s="38" t="s">
        <v>852</v>
      </c>
      <c r="F159" s="172"/>
      <c r="G159" s="172"/>
      <c r="H159" s="172"/>
      <c r="I159" s="38" t="s">
        <v>852</v>
      </c>
      <c r="J159" s="172"/>
      <c r="K159" s="172"/>
      <c r="L159" s="172"/>
      <c r="M159" s="38" t="s">
        <v>852</v>
      </c>
      <c r="N159" s="172"/>
      <c r="O159" s="172"/>
      <c r="P159" s="172"/>
      <c r="Q159" s="38" t="s">
        <v>852</v>
      </c>
      <c r="R159" s="38" t="s">
        <v>852</v>
      </c>
    </row>
    <row r="160" spans="1:19" ht="15.75" customHeight="1" x14ac:dyDescent="0.3">
      <c r="A160" s="539" t="s">
        <v>2515</v>
      </c>
      <c r="B160" s="10"/>
      <c r="C160" s="10"/>
      <c r="D160" s="10"/>
      <c r="E160" s="38">
        <f t="shared" ref="E160:E170" si="29">SUM(B160:D160)</f>
        <v>0</v>
      </c>
      <c r="F160" s="10"/>
      <c r="G160" s="10"/>
      <c r="H160" s="10"/>
      <c r="I160" s="38">
        <f t="shared" ref="I160:I170" si="30">SUM(F160:H160)</f>
        <v>0</v>
      </c>
      <c r="J160" s="10"/>
      <c r="K160" s="10"/>
      <c r="L160" s="10"/>
      <c r="M160" s="38">
        <f t="shared" ref="M160:M170" si="31">SUM(J160:L160)</f>
        <v>0</v>
      </c>
      <c r="N160" s="10"/>
      <c r="O160" s="10"/>
      <c r="P160" s="10"/>
      <c r="Q160" s="38">
        <f t="shared" ref="Q160:Q170" si="32">SUM(N160:P160)</f>
        <v>0</v>
      </c>
      <c r="R160" s="38">
        <f t="shared" ref="R160:R170" si="33">+E160+I160+M160+Q160</f>
        <v>0</v>
      </c>
    </row>
    <row r="161" spans="1:20" ht="15.75" customHeight="1" x14ac:dyDescent="0.3">
      <c r="A161" s="266" t="s">
        <v>2368</v>
      </c>
      <c r="B161" s="10">
        <v>16</v>
      </c>
      <c r="C161" s="10">
        <v>22</v>
      </c>
      <c r="D161" s="10">
        <v>32</v>
      </c>
      <c r="E161" s="38">
        <f>SUM(B161:D161)</f>
        <v>70</v>
      </c>
      <c r="F161" s="10">
        <v>41</v>
      </c>
      <c r="G161" s="10">
        <v>51</v>
      </c>
      <c r="H161" s="10">
        <v>52</v>
      </c>
      <c r="I161" s="38">
        <f>SUM(F161:H161)</f>
        <v>144</v>
      </c>
      <c r="J161" s="10">
        <v>52</v>
      </c>
      <c r="K161" s="10">
        <v>43</v>
      </c>
      <c r="L161" s="10">
        <v>36</v>
      </c>
      <c r="M161" s="38">
        <f>SUM(J161:L161)</f>
        <v>131</v>
      </c>
      <c r="N161" s="10">
        <v>66</v>
      </c>
      <c r="O161" s="10">
        <v>32</v>
      </c>
      <c r="P161" s="10">
        <v>19</v>
      </c>
      <c r="Q161" s="38">
        <f>SUM(N161:P161)</f>
        <v>117</v>
      </c>
      <c r="R161" s="38">
        <f>+E161+I161+M161+Q161</f>
        <v>462</v>
      </c>
    </row>
    <row r="162" spans="1:20" ht="15.75" customHeight="1" x14ac:dyDescent="0.3">
      <c r="A162" s="266" t="s">
        <v>1747</v>
      </c>
      <c r="B162" s="172">
        <v>1</v>
      </c>
      <c r="C162" s="172">
        <v>3</v>
      </c>
      <c r="D162" s="172">
        <v>4</v>
      </c>
      <c r="E162" s="38">
        <f t="shared" si="29"/>
        <v>8</v>
      </c>
      <c r="F162" s="172">
        <v>12</v>
      </c>
      <c r="G162" s="172">
        <v>15</v>
      </c>
      <c r="H162" s="172">
        <v>5</v>
      </c>
      <c r="I162" s="38">
        <f t="shared" si="30"/>
        <v>32</v>
      </c>
      <c r="J162" s="172">
        <v>22</v>
      </c>
      <c r="K162" s="172">
        <v>17</v>
      </c>
      <c r="L162" s="172">
        <v>14</v>
      </c>
      <c r="M162" s="38">
        <f t="shared" si="31"/>
        <v>53</v>
      </c>
      <c r="N162" s="172">
        <v>14</v>
      </c>
      <c r="O162" s="172">
        <v>10</v>
      </c>
      <c r="P162" s="172">
        <v>2</v>
      </c>
      <c r="Q162" s="38">
        <f t="shared" si="32"/>
        <v>26</v>
      </c>
      <c r="R162" s="38">
        <f t="shared" si="33"/>
        <v>119</v>
      </c>
    </row>
    <row r="163" spans="1:20" ht="15.75" customHeight="1" x14ac:dyDescent="0.3">
      <c r="A163" s="266" t="s">
        <v>37</v>
      </c>
      <c r="B163" s="172">
        <v>35</v>
      </c>
      <c r="C163" s="172">
        <v>35</v>
      </c>
      <c r="D163" s="172">
        <v>35</v>
      </c>
      <c r="E163" s="38">
        <f t="shared" si="29"/>
        <v>105</v>
      </c>
      <c r="F163" s="172">
        <v>35</v>
      </c>
      <c r="G163" s="172">
        <v>35</v>
      </c>
      <c r="H163" s="172">
        <v>35</v>
      </c>
      <c r="I163" s="38">
        <f t="shared" si="30"/>
        <v>105</v>
      </c>
      <c r="J163" s="172">
        <v>50</v>
      </c>
      <c r="K163" s="172">
        <v>50</v>
      </c>
      <c r="L163" s="172">
        <v>50</v>
      </c>
      <c r="M163" s="38">
        <f t="shared" si="31"/>
        <v>150</v>
      </c>
      <c r="N163" s="172">
        <v>50</v>
      </c>
      <c r="O163" s="172">
        <v>50</v>
      </c>
      <c r="P163" s="172">
        <v>50</v>
      </c>
      <c r="Q163" s="38">
        <f t="shared" si="32"/>
        <v>150</v>
      </c>
      <c r="R163" s="38">
        <f t="shared" si="33"/>
        <v>510</v>
      </c>
    </row>
    <row r="164" spans="1:20" ht="15.75" customHeight="1" x14ac:dyDescent="0.3">
      <c r="A164" s="266" t="s">
        <v>1824</v>
      </c>
      <c r="B164" s="172">
        <v>1</v>
      </c>
      <c r="C164" s="172">
        <v>0</v>
      </c>
      <c r="D164" s="172">
        <v>0</v>
      </c>
      <c r="E164" s="38">
        <f t="shared" si="29"/>
        <v>1</v>
      </c>
      <c r="F164" s="172">
        <v>0</v>
      </c>
      <c r="G164" s="172">
        <v>0</v>
      </c>
      <c r="H164" s="172">
        <v>1</v>
      </c>
      <c r="I164" s="38">
        <f t="shared" si="30"/>
        <v>1</v>
      </c>
      <c r="J164" s="172">
        <v>0</v>
      </c>
      <c r="K164" s="172">
        <v>0</v>
      </c>
      <c r="L164" s="172">
        <v>1</v>
      </c>
      <c r="M164" s="38">
        <f t="shared" si="31"/>
        <v>1</v>
      </c>
      <c r="N164" s="172"/>
      <c r="O164" s="172"/>
      <c r="P164" s="172"/>
      <c r="Q164" s="38">
        <f t="shared" si="32"/>
        <v>0</v>
      </c>
      <c r="R164" s="38">
        <f t="shared" si="33"/>
        <v>3</v>
      </c>
    </row>
    <row r="165" spans="1:20" ht="15.75" customHeight="1" x14ac:dyDescent="0.3">
      <c r="A165" s="266" t="s">
        <v>1879</v>
      </c>
      <c r="B165" s="172"/>
      <c r="C165" s="172"/>
      <c r="D165" s="172"/>
      <c r="E165" s="38">
        <f t="shared" si="29"/>
        <v>0</v>
      </c>
      <c r="F165" s="172"/>
      <c r="G165" s="172"/>
      <c r="H165" s="172"/>
      <c r="I165" s="38">
        <f t="shared" si="30"/>
        <v>0</v>
      </c>
      <c r="J165" s="172"/>
      <c r="K165" s="172"/>
      <c r="L165" s="172">
        <v>0</v>
      </c>
      <c r="M165" s="38">
        <f t="shared" si="31"/>
        <v>0</v>
      </c>
      <c r="N165" s="172">
        <v>0</v>
      </c>
      <c r="O165" s="172">
        <v>0</v>
      </c>
      <c r="P165" s="172">
        <v>2</v>
      </c>
      <c r="Q165" s="38">
        <f t="shared" si="32"/>
        <v>2</v>
      </c>
      <c r="R165" s="38">
        <f t="shared" si="33"/>
        <v>2</v>
      </c>
    </row>
    <row r="166" spans="1:20" ht="15.75" customHeight="1" x14ac:dyDescent="0.3">
      <c r="A166" s="266" t="s">
        <v>1746</v>
      </c>
      <c r="B166" s="172">
        <v>0</v>
      </c>
      <c r="C166" s="172">
        <v>1</v>
      </c>
      <c r="D166" s="172">
        <v>1</v>
      </c>
      <c r="E166" s="38">
        <f t="shared" si="29"/>
        <v>2</v>
      </c>
      <c r="F166" s="172">
        <v>1</v>
      </c>
      <c r="G166" s="172">
        <v>1</v>
      </c>
      <c r="H166" s="172">
        <v>2</v>
      </c>
      <c r="I166" s="38">
        <f t="shared" si="30"/>
        <v>4</v>
      </c>
      <c r="J166" s="172">
        <v>2</v>
      </c>
      <c r="K166" s="172">
        <v>1</v>
      </c>
      <c r="L166" s="172">
        <v>2</v>
      </c>
      <c r="M166" s="38">
        <f t="shared" si="31"/>
        <v>5</v>
      </c>
      <c r="N166" s="172">
        <v>1</v>
      </c>
      <c r="O166" s="172">
        <v>1</v>
      </c>
      <c r="P166" s="172">
        <v>0</v>
      </c>
      <c r="Q166" s="38">
        <f t="shared" si="32"/>
        <v>2</v>
      </c>
      <c r="R166" s="38">
        <f t="shared" si="33"/>
        <v>13</v>
      </c>
    </row>
    <row r="167" spans="1:20" ht="15.75" customHeight="1" x14ac:dyDescent="0.3">
      <c r="A167" s="267" t="s">
        <v>1546</v>
      </c>
      <c r="B167" s="172"/>
      <c r="C167" s="172"/>
      <c r="D167" s="172"/>
      <c r="E167" s="38">
        <f t="shared" si="29"/>
        <v>0</v>
      </c>
      <c r="F167" s="172"/>
      <c r="G167" s="172"/>
      <c r="H167" s="172"/>
      <c r="I167" s="38">
        <f t="shared" si="30"/>
        <v>0</v>
      </c>
      <c r="J167" s="172"/>
      <c r="K167" s="172"/>
      <c r="L167" s="172"/>
      <c r="M167" s="38">
        <f t="shared" si="31"/>
        <v>0</v>
      </c>
      <c r="N167" s="172"/>
      <c r="O167" s="172"/>
      <c r="P167" s="172"/>
      <c r="Q167" s="38">
        <f t="shared" si="32"/>
        <v>0</v>
      </c>
      <c r="R167" s="38">
        <f t="shared" si="33"/>
        <v>0</v>
      </c>
    </row>
    <row r="168" spans="1:20" ht="15.75" customHeight="1" x14ac:dyDescent="0.3">
      <c r="A168" s="266" t="s">
        <v>1132</v>
      </c>
      <c r="B168" s="172">
        <v>24</v>
      </c>
      <c r="C168" s="172">
        <v>24</v>
      </c>
      <c r="D168" s="172">
        <v>24</v>
      </c>
      <c r="E168" s="38">
        <f t="shared" si="29"/>
        <v>72</v>
      </c>
      <c r="F168" s="172">
        <v>24</v>
      </c>
      <c r="G168" s="172">
        <v>24</v>
      </c>
      <c r="H168" s="172">
        <v>24</v>
      </c>
      <c r="I168" s="38">
        <f t="shared" si="30"/>
        <v>72</v>
      </c>
      <c r="J168" s="172">
        <v>24</v>
      </c>
      <c r="K168" s="172">
        <v>24</v>
      </c>
      <c r="L168" s="172">
        <v>24</v>
      </c>
      <c r="M168" s="38">
        <f t="shared" si="31"/>
        <v>72</v>
      </c>
      <c r="N168" s="172">
        <v>24</v>
      </c>
      <c r="O168" s="172">
        <v>24</v>
      </c>
      <c r="P168" s="172">
        <v>24</v>
      </c>
      <c r="Q168" s="38">
        <f t="shared" si="32"/>
        <v>72</v>
      </c>
      <c r="R168" s="38">
        <f t="shared" si="33"/>
        <v>288</v>
      </c>
    </row>
    <row r="169" spans="1:20" ht="15.75" customHeight="1" x14ac:dyDescent="0.3">
      <c r="A169" s="539" t="s">
        <v>2630</v>
      </c>
      <c r="B169" s="172">
        <v>0</v>
      </c>
      <c r="C169" s="172">
        <v>0</v>
      </c>
      <c r="D169" s="172">
        <v>500</v>
      </c>
      <c r="E169" s="38">
        <f t="shared" si="29"/>
        <v>500</v>
      </c>
      <c r="F169" s="172">
        <v>50</v>
      </c>
      <c r="G169" s="172">
        <v>320</v>
      </c>
      <c r="H169" s="172">
        <v>500</v>
      </c>
      <c r="I169" s="38">
        <f t="shared" si="30"/>
        <v>870</v>
      </c>
      <c r="J169" s="172">
        <v>620</v>
      </c>
      <c r="K169" s="172">
        <v>620</v>
      </c>
      <c r="L169" s="172">
        <v>350</v>
      </c>
      <c r="M169" s="38">
        <f t="shared" si="31"/>
        <v>1590</v>
      </c>
      <c r="N169" s="172">
        <v>290</v>
      </c>
      <c r="O169" s="172">
        <v>200</v>
      </c>
      <c r="P169" s="172">
        <v>50</v>
      </c>
      <c r="Q169" s="38">
        <f t="shared" si="32"/>
        <v>540</v>
      </c>
      <c r="R169" s="38">
        <f t="shared" si="33"/>
        <v>3500</v>
      </c>
      <c r="T169" t="s">
        <v>2631</v>
      </c>
    </row>
    <row r="170" spans="1:20" ht="15.75" customHeight="1" x14ac:dyDescent="0.3">
      <c r="A170" s="267" t="s">
        <v>5</v>
      </c>
      <c r="B170" s="172">
        <v>0</v>
      </c>
      <c r="C170" s="172">
        <v>0</v>
      </c>
      <c r="D170" s="172">
        <v>0</v>
      </c>
      <c r="E170" s="38">
        <f t="shared" si="29"/>
        <v>0</v>
      </c>
      <c r="F170" s="172">
        <v>0</v>
      </c>
      <c r="G170" s="172">
        <v>0</v>
      </c>
      <c r="H170" s="172">
        <v>0</v>
      </c>
      <c r="I170" s="38">
        <f t="shared" si="30"/>
        <v>0</v>
      </c>
      <c r="J170" s="172">
        <v>0</v>
      </c>
      <c r="K170" s="172">
        <v>0</v>
      </c>
      <c r="L170" s="172">
        <v>0</v>
      </c>
      <c r="M170" s="38">
        <f t="shared" si="31"/>
        <v>0</v>
      </c>
      <c r="N170" s="172">
        <v>11</v>
      </c>
      <c r="O170" s="172">
        <v>10</v>
      </c>
      <c r="P170" s="172">
        <v>3</v>
      </c>
      <c r="Q170" s="38">
        <f t="shared" si="32"/>
        <v>24</v>
      </c>
      <c r="R170" s="38">
        <f t="shared" si="33"/>
        <v>24</v>
      </c>
    </row>
    <row r="171" spans="1:20" ht="15.75" customHeight="1" x14ac:dyDescent="0.3">
      <c r="A171" s="234" t="s">
        <v>2162</v>
      </c>
      <c r="B171" s="172"/>
      <c r="C171" s="172"/>
      <c r="D171" s="172"/>
      <c r="E171" s="38" t="s">
        <v>852</v>
      </c>
      <c r="F171" s="172"/>
      <c r="G171" s="172"/>
      <c r="H171" s="172"/>
      <c r="I171" s="38" t="s">
        <v>852</v>
      </c>
      <c r="J171" s="172"/>
      <c r="K171" s="172"/>
      <c r="L171" s="172"/>
      <c r="M171" s="38" t="s">
        <v>852</v>
      </c>
      <c r="N171" s="172"/>
      <c r="O171" s="172"/>
      <c r="P171" s="172"/>
      <c r="Q171" s="38" t="s">
        <v>852</v>
      </c>
      <c r="R171" s="38" t="s">
        <v>852</v>
      </c>
    </row>
    <row r="172" spans="1:20" ht="15.75" customHeight="1" x14ac:dyDescent="0.3">
      <c r="A172" s="568" t="s">
        <v>2549</v>
      </c>
      <c r="B172" s="172"/>
      <c r="C172" s="172"/>
      <c r="D172" s="172"/>
      <c r="E172" s="38">
        <f>SUM(B172:D172)</f>
        <v>0</v>
      </c>
      <c r="F172" s="172"/>
      <c r="G172" s="172"/>
      <c r="H172" s="172"/>
      <c r="I172" s="38">
        <f>SUM(F172:H172)</f>
        <v>0</v>
      </c>
      <c r="J172" s="172"/>
      <c r="K172" s="172"/>
      <c r="L172" s="172"/>
      <c r="M172" s="38">
        <f>SUM(J172:L172)</f>
        <v>0</v>
      </c>
      <c r="N172" s="172"/>
      <c r="O172" s="172"/>
      <c r="P172" s="172"/>
      <c r="Q172" s="38">
        <f>SUM(N172:P172)</f>
        <v>0</v>
      </c>
      <c r="R172" s="38">
        <f>+E172+I172+M172+Q172</f>
        <v>0</v>
      </c>
    </row>
    <row r="173" spans="1:20" ht="15.75" customHeight="1" x14ac:dyDescent="0.3">
      <c r="A173" s="568" t="s">
        <v>2550</v>
      </c>
      <c r="B173" s="172"/>
      <c r="C173" s="172"/>
      <c r="D173" s="172"/>
      <c r="E173" s="38">
        <f>SUM(B173:D173)</f>
        <v>0</v>
      </c>
      <c r="F173" s="172"/>
      <c r="G173" s="172"/>
      <c r="H173" s="172"/>
      <c r="I173" s="38">
        <f>SUM(F173:H173)</f>
        <v>0</v>
      </c>
      <c r="J173" s="172"/>
      <c r="K173" s="172"/>
      <c r="L173" s="172"/>
      <c r="M173" s="38">
        <f>SUM(J173:L173)</f>
        <v>0</v>
      </c>
      <c r="N173" s="172"/>
      <c r="O173" s="172"/>
      <c r="P173" s="172"/>
      <c r="Q173" s="38">
        <f>SUM(N173:P173)</f>
        <v>0</v>
      </c>
      <c r="R173" s="38">
        <f>+E173+I173+M173+Q173</f>
        <v>0</v>
      </c>
    </row>
    <row r="174" spans="1:20" ht="15.75" customHeight="1" x14ac:dyDescent="0.3">
      <c r="A174" s="422" t="s">
        <v>2551</v>
      </c>
      <c r="B174" s="172">
        <v>15</v>
      </c>
      <c r="C174" s="172">
        <v>19</v>
      </c>
      <c r="D174" s="172">
        <v>25</v>
      </c>
      <c r="E174" s="38">
        <f>SUM(B174:D174)</f>
        <v>59</v>
      </c>
      <c r="F174" s="172">
        <v>39</v>
      </c>
      <c r="G174" s="172">
        <v>67</v>
      </c>
      <c r="H174" s="172">
        <v>82</v>
      </c>
      <c r="I174" s="38">
        <f>SUM(F174:H174)</f>
        <v>188</v>
      </c>
      <c r="J174" s="172">
        <v>74</v>
      </c>
      <c r="K174" s="172">
        <v>67</v>
      </c>
      <c r="L174" s="172">
        <v>38</v>
      </c>
      <c r="M174" s="38">
        <f>SUM(J174:L174)</f>
        <v>179</v>
      </c>
      <c r="N174" s="172">
        <v>51</v>
      </c>
      <c r="O174" s="172">
        <v>25</v>
      </c>
      <c r="P174" s="172">
        <v>10</v>
      </c>
      <c r="Q174" s="38">
        <f>SUM(N174:P174)</f>
        <v>86</v>
      </c>
      <c r="R174" s="38">
        <f>+E174+I174+M174+Q174</f>
        <v>512</v>
      </c>
    </row>
    <row r="175" spans="1:20" ht="15.75" customHeight="1" thickBot="1" x14ac:dyDescent="0.35">
      <c r="A175" s="234" t="s">
        <v>2164</v>
      </c>
      <c r="B175" s="172"/>
      <c r="C175" s="172"/>
      <c r="D175" s="172"/>
      <c r="E175" s="38" t="s">
        <v>852</v>
      </c>
      <c r="F175" s="172"/>
      <c r="G175" s="172"/>
      <c r="H175" s="172"/>
      <c r="I175" s="38" t="s">
        <v>852</v>
      </c>
      <c r="J175" s="172"/>
      <c r="K175" s="172"/>
      <c r="L175" s="172"/>
      <c r="M175" s="38" t="s">
        <v>852</v>
      </c>
      <c r="N175" s="172"/>
      <c r="O175" s="172"/>
      <c r="P175" s="172"/>
      <c r="Q175" s="38" t="s">
        <v>852</v>
      </c>
      <c r="R175" s="38" t="s">
        <v>852</v>
      </c>
    </row>
    <row r="176" spans="1:20" ht="16.5" customHeight="1" thickBot="1" x14ac:dyDescent="0.35">
      <c r="A176" s="43" t="s">
        <v>1218</v>
      </c>
      <c r="B176" s="45">
        <f>SUM(B134:B175)</f>
        <v>10875</v>
      </c>
      <c r="C176" s="46">
        <f>SUM(C134:C175)</f>
        <v>8755</v>
      </c>
      <c r="D176" s="46">
        <f>SUM(D134:D175)</f>
        <v>17395</v>
      </c>
      <c r="E176" s="37">
        <f>SUM(B176:D176)</f>
        <v>37025</v>
      </c>
      <c r="F176" s="46">
        <f>SUM(F134:F175)</f>
        <v>26038</v>
      </c>
      <c r="G176" s="46">
        <f>SUM(G134:G175)</f>
        <v>20525</v>
      </c>
      <c r="H176" s="46">
        <f>SUM(H134:H175)</f>
        <v>16286</v>
      </c>
      <c r="I176" s="37">
        <f>SUM(F176:H176)</f>
        <v>62849</v>
      </c>
      <c r="J176" s="46">
        <f>SUM(J134:J175)</f>
        <v>26724</v>
      </c>
      <c r="K176" s="46">
        <f>SUM(K134:K175)</f>
        <v>28511</v>
      </c>
      <c r="L176" s="46">
        <f>SUM(L134:L175)</f>
        <v>21901</v>
      </c>
      <c r="M176" s="37">
        <f>SUM(J176:L176)</f>
        <v>77136</v>
      </c>
      <c r="N176" s="46">
        <f>SUM(N134:N175)</f>
        <v>23091</v>
      </c>
      <c r="O176" s="46">
        <f>SUM(O134:O175)</f>
        <v>18515</v>
      </c>
      <c r="P176" s="46">
        <f>SUM(P134:P175)</f>
        <v>12696.999999999996</v>
      </c>
      <c r="Q176" s="37">
        <f>SUM(N176:P176)</f>
        <v>54303</v>
      </c>
      <c r="R176" s="37">
        <f>+E176+I176+M176+Q176</f>
        <v>231313</v>
      </c>
    </row>
    <row r="177" spans="1:18" ht="15.75" customHeight="1" x14ac:dyDescent="0.3">
      <c r="A177" s="234" t="s">
        <v>1172</v>
      </c>
      <c r="B177" s="172"/>
      <c r="C177" s="172"/>
      <c r="D177" s="172"/>
      <c r="E177" s="38" t="s">
        <v>852</v>
      </c>
      <c r="F177" s="172"/>
      <c r="G177" s="172"/>
      <c r="H177" s="172"/>
      <c r="I177" s="38" t="s">
        <v>852</v>
      </c>
      <c r="J177" s="172"/>
      <c r="K177" s="172"/>
      <c r="L177" s="172"/>
      <c r="M177" s="38" t="s">
        <v>852</v>
      </c>
      <c r="N177" s="172"/>
      <c r="O177" s="172"/>
      <c r="P177" s="172"/>
      <c r="Q177" s="38" t="s">
        <v>852</v>
      </c>
      <c r="R177" s="38" t="s">
        <v>852</v>
      </c>
    </row>
    <row r="178" spans="1:18" ht="15.75" customHeight="1" x14ac:dyDescent="0.3">
      <c r="A178" s="234" t="s">
        <v>1658</v>
      </c>
      <c r="B178" s="172"/>
      <c r="C178" s="172"/>
      <c r="D178" s="172"/>
      <c r="E178" s="38" t="s">
        <v>852</v>
      </c>
      <c r="F178" s="172"/>
      <c r="G178" s="172"/>
      <c r="H178" s="172"/>
      <c r="I178" s="38" t="s">
        <v>852</v>
      </c>
      <c r="J178" s="172"/>
      <c r="K178" s="172"/>
      <c r="L178" s="172"/>
      <c r="M178" s="38" t="s">
        <v>852</v>
      </c>
      <c r="N178" s="172"/>
      <c r="O178" s="172"/>
      <c r="P178" s="172"/>
      <c r="Q178" s="38" t="s">
        <v>852</v>
      </c>
      <c r="R178" s="38" t="s">
        <v>852</v>
      </c>
    </row>
    <row r="179" spans="1:18" ht="15.75" customHeight="1" x14ac:dyDescent="0.3">
      <c r="A179" s="234" t="s">
        <v>2409</v>
      </c>
      <c r="B179" s="172"/>
      <c r="C179" s="172"/>
      <c r="D179" s="172"/>
      <c r="E179" s="38" t="s">
        <v>852</v>
      </c>
      <c r="F179" s="172"/>
      <c r="G179" s="172"/>
      <c r="H179" s="172"/>
      <c r="I179" s="38" t="s">
        <v>852</v>
      </c>
      <c r="J179" s="172"/>
      <c r="K179" s="172"/>
      <c r="L179" s="172"/>
      <c r="M179" s="38" t="s">
        <v>852</v>
      </c>
      <c r="N179" s="172"/>
      <c r="O179" s="172"/>
      <c r="P179" s="172"/>
      <c r="Q179" s="38" t="s">
        <v>852</v>
      </c>
      <c r="R179" s="38" t="s">
        <v>852</v>
      </c>
    </row>
    <row r="180" spans="1:18" ht="15.75" customHeight="1" x14ac:dyDescent="0.3">
      <c r="A180" s="422" t="s">
        <v>1645</v>
      </c>
      <c r="B180" s="172"/>
      <c r="C180" s="172"/>
      <c r="D180" s="172">
        <v>500</v>
      </c>
      <c r="E180" s="38">
        <f>SUM(B180:D180)</f>
        <v>500</v>
      </c>
      <c r="F180" s="172">
        <v>500</v>
      </c>
      <c r="G180" s="172">
        <v>500</v>
      </c>
      <c r="H180" s="172">
        <v>500</v>
      </c>
      <c r="I180" s="38">
        <f>SUM(F180:H180)</f>
        <v>1500</v>
      </c>
      <c r="J180" s="172">
        <v>500</v>
      </c>
      <c r="K180" s="172">
        <v>500</v>
      </c>
      <c r="L180" s="172">
        <v>500</v>
      </c>
      <c r="M180" s="38">
        <f>SUM(J180:L180)</f>
        <v>1500</v>
      </c>
      <c r="N180" s="172">
        <v>500</v>
      </c>
      <c r="O180" s="172"/>
      <c r="P180" s="172"/>
      <c r="Q180" s="38">
        <f>SUM(N180:P180)</f>
        <v>500</v>
      </c>
      <c r="R180" s="38">
        <f>+E180+I180+M180+Q180</f>
        <v>4000</v>
      </c>
    </row>
    <row r="181" spans="1:18" ht="15.75" customHeight="1" thickBot="1" x14ac:dyDescent="0.35">
      <c r="A181" s="234" t="s">
        <v>2165</v>
      </c>
      <c r="B181" s="172"/>
      <c r="C181" s="172"/>
      <c r="D181" s="172"/>
      <c r="E181" s="38" t="s">
        <v>852</v>
      </c>
      <c r="F181" s="172"/>
      <c r="G181" s="172"/>
      <c r="H181" s="172"/>
      <c r="I181" s="38" t="s">
        <v>852</v>
      </c>
      <c r="J181" s="172"/>
      <c r="K181" s="172"/>
      <c r="L181" s="172"/>
      <c r="M181" s="38" t="s">
        <v>852</v>
      </c>
      <c r="N181" s="172"/>
      <c r="O181" s="172"/>
      <c r="P181" s="172"/>
      <c r="Q181" s="38" t="s">
        <v>852</v>
      </c>
      <c r="R181" s="38" t="s">
        <v>852</v>
      </c>
    </row>
    <row r="182" spans="1:18" ht="16.5" customHeight="1" thickBot="1" x14ac:dyDescent="0.35">
      <c r="A182" s="43" t="s">
        <v>1219</v>
      </c>
      <c r="B182" s="45">
        <f>SUM(B177:B181)</f>
        <v>0</v>
      </c>
      <c r="C182" s="46">
        <f>SUM(C177:C181)</f>
        <v>0</v>
      </c>
      <c r="D182" s="46">
        <f>SUM(D177:D181)</f>
        <v>500</v>
      </c>
      <c r="E182" s="37">
        <f>SUM(B182:D182)</f>
        <v>500</v>
      </c>
      <c r="F182" s="46">
        <f>SUM(F177:F181)</f>
        <v>500</v>
      </c>
      <c r="G182" s="46">
        <f>SUM(G177:G181)</f>
        <v>500</v>
      </c>
      <c r="H182" s="46">
        <f>SUM(H177:H181)</f>
        <v>500</v>
      </c>
      <c r="I182" s="37">
        <f>SUM(F182:H182)</f>
        <v>1500</v>
      </c>
      <c r="J182" s="46">
        <f>SUM(J177:J181)</f>
        <v>500</v>
      </c>
      <c r="K182" s="46">
        <f>SUM(K177:K181)</f>
        <v>500</v>
      </c>
      <c r="L182" s="46">
        <f>SUM(L177:L181)</f>
        <v>500</v>
      </c>
      <c r="M182" s="37">
        <f>SUM(J182:L182)</f>
        <v>1500</v>
      </c>
      <c r="N182" s="46">
        <f>SUM(N177:N181)</f>
        <v>500</v>
      </c>
      <c r="O182" s="46">
        <f>SUM(O177:O181)</f>
        <v>0</v>
      </c>
      <c r="P182" s="46">
        <f>SUM(P177:P181)</f>
        <v>0</v>
      </c>
      <c r="Q182" s="37">
        <f>SUM(N182:P182)</f>
        <v>500</v>
      </c>
      <c r="R182" s="37">
        <f>+E182+I182+M182+Q182</f>
        <v>4000</v>
      </c>
    </row>
    <row r="183" spans="1:18" ht="15.75" customHeight="1" x14ac:dyDescent="0.3">
      <c r="A183" s="234" t="s">
        <v>2166</v>
      </c>
      <c r="B183" s="172"/>
      <c r="C183" s="172"/>
      <c r="D183" s="172"/>
      <c r="E183" s="38" t="s">
        <v>852</v>
      </c>
      <c r="F183" s="172"/>
      <c r="G183" s="172"/>
      <c r="H183" s="172"/>
      <c r="I183" s="38" t="s">
        <v>852</v>
      </c>
      <c r="J183" s="172"/>
      <c r="K183" s="172"/>
      <c r="L183" s="172"/>
      <c r="M183" s="38" t="s">
        <v>852</v>
      </c>
      <c r="N183" s="172"/>
      <c r="O183" s="172"/>
      <c r="P183" s="172"/>
      <c r="Q183" s="38" t="s">
        <v>852</v>
      </c>
      <c r="R183" s="38" t="s">
        <v>852</v>
      </c>
    </row>
    <row r="184" spans="1:18" ht="15.75" customHeight="1" x14ac:dyDescent="0.3">
      <c r="A184" s="234" t="s">
        <v>1245</v>
      </c>
      <c r="B184" s="172"/>
      <c r="C184" s="172"/>
      <c r="D184" s="172"/>
      <c r="E184" s="38" t="s">
        <v>852</v>
      </c>
      <c r="F184" s="172"/>
      <c r="G184" s="172"/>
      <c r="H184" s="172"/>
      <c r="I184" s="38" t="s">
        <v>852</v>
      </c>
      <c r="J184" s="172"/>
      <c r="K184" s="172"/>
      <c r="L184" s="172"/>
      <c r="M184" s="38" t="s">
        <v>852</v>
      </c>
      <c r="N184" s="172"/>
      <c r="O184" s="172"/>
      <c r="P184" s="172"/>
      <c r="Q184" s="38" t="s">
        <v>852</v>
      </c>
      <c r="R184" s="38" t="s">
        <v>852</v>
      </c>
    </row>
    <row r="185" spans="1:18" ht="15.75" customHeight="1" x14ac:dyDescent="0.3">
      <c r="A185" s="234" t="s">
        <v>1711</v>
      </c>
      <c r="B185" s="172"/>
      <c r="C185" s="172"/>
      <c r="D185" s="172"/>
      <c r="E185" s="38" t="s">
        <v>852</v>
      </c>
      <c r="F185" s="172"/>
      <c r="G185" s="172"/>
      <c r="H185" s="172"/>
      <c r="I185" s="38" t="s">
        <v>852</v>
      </c>
      <c r="J185" s="172"/>
      <c r="K185" s="172"/>
      <c r="L185" s="172"/>
      <c r="M185" s="38" t="s">
        <v>852</v>
      </c>
      <c r="N185" s="172"/>
      <c r="O185" s="172"/>
      <c r="P185" s="172"/>
      <c r="Q185" s="38" t="s">
        <v>852</v>
      </c>
      <c r="R185" s="38" t="s">
        <v>852</v>
      </c>
    </row>
    <row r="186" spans="1:18" ht="15.75" customHeight="1" x14ac:dyDescent="0.3">
      <c r="A186" s="540" t="s">
        <v>1364</v>
      </c>
      <c r="B186" s="172">
        <v>306</v>
      </c>
      <c r="C186" s="172">
        <v>285</v>
      </c>
      <c r="D186" s="172">
        <v>318</v>
      </c>
      <c r="E186" s="38">
        <f>SUM(B186:D186)</f>
        <v>909</v>
      </c>
      <c r="F186" s="172">
        <v>384</v>
      </c>
      <c r="G186" s="172">
        <v>475</v>
      </c>
      <c r="H186" s="172">
        <v>553</v>
      </c>
      <c r="I186" s="38">
        <f>SUM(F186:H186)</f>
        <v>1412</v>
      </c>
      <c r="J186" s="172">
        <v>523</v>
      </c>
      <c r="K186" s="172">
        <v>453</v>
      </c>
      <c r="L186" s="172">
        <v>417</v>
      </c>
      <c r="M186" s="38">
        <f>SUM(J186:L186)</f>
        <v>1393</v>
      </c>
      <c r="N186" s="172">
        <v>439</v>
      </c>
      <c r="O186" s="172">
        <v>370</v>
      </c>
      <c r="P186" s="172">
        <v>259</v>
      </c>
      <c r="Q186" s="38">
        <f>SUM(N186:P186)</f>
        <v>1068</v>
      </c>
      <c r="R186" s="38">
        <f>+E186+I186+M186+Q186</f>
        <v>4782</v>
      </c>
    </row>
    <row r="187" spans="1:18" ht="15.75" customHeight="1" x14ac:dyDescent="0.3">
      <c r="A187" s="540" t="s">
        <v>1388</v>
      </c>
      <c r="B187" s="172"/>
      <c r="C187" s="172"/>
      <c r="D187" s="172">
        <v>357</v>
      </c>
      <c r="E187" s="38">
        <f>SUM(B187:D187)</f>
        <v>357</v>
      </c>
      <c r="F187" s="172"/>
      <c r="G187" s="172"/>
      <c r="H187" s="172"/>
      <c r="I187" s="38">
        <f>SUM(F187:H187)</f>
        <v>0</v>
      </c>
      <c r="J187" s="172"/>
      <c r="K187" s="172"/>
      <c r="L187" s="172"/>
      <c r="M187" s="38">
        <f>SUM(J187:L187)</f>
        <v>0</v>
      </c>
      <c r="N187" s="172"/>
      <c r="O187" s="172"/>
      <c r="P187" s="172"/>
      <c r="Q187" s="38">
        <f>SUM(N187:P187)</f>
        <v>0</v>
      </c>
      <c r="R187" s="38">
        <f>+E187+I187+M187+Q187</f>
        <v>357</v>
      </c>
    </row>
    <row r="188" spans="1:18" ht="15.75" customHeight="1" x14ac:dyDescent="0.3">
      <c r="A188" s="540" t="s">
        <v>693</v>
      </c>
      <c r="B188" s="172">
        <v>33</v>
      </c>
      <c r="C188" s="172">
        <v>31</v>
      </c>
      <c r="D188" s="172">
        <v>40</v>
      </c>
      <c r="E188" s="38">
        <f>SUM(B188:D188)</f>
        <v>104</v>
      </c>
      <c r="F188" s="172">
        <v>57</v>
      </c>
      <c r="G188" s="172">
        <v>54</v>
      </c>
      <c r="H188" s="172">
        <v>102</v>
      </c>
      <c r="I188" s="38">
        <f>SUM(F188:H188)</f>
        <v>213</v>
      </c>
      <c r="J188" s="172">
        <v>81</v>
      </c>
      <c r="K188" s="172">
        <v>66</v>
      </c>
      <c r="L188" s="172">
        <v>77</v>
      </c>
      <c r="M188" s="38">
        <f>SUM(J188:L188)</f>
        <v>224</v>
      </c>
      <c r="N188" s="172">
        <v>70</v>
      </c>
      <c r="O188" s="172">
        <v>39</v>
      </c>
      <c r="P188" s="172">
        <v>21</v>
      </c>
      <c r="Q188" s="38">
        <f>SUM(N188:P188)</f>
        <v>130</v>
      </c>
      <c r="R188" s="38">
        <f>+E188+I188+M188+Q188</f>
        <v>671</v>
      </c>
    </row>
    <row r="189" spans="1:18" ht="15.75" customHeight="1" x14ac:dyDescent="0.3">
      <c r="A189" s="410" t="s">
        <v>1091</v>
      </c>
      <c r="B189" s="172"/>
      <c r="C189" s="172"/>
      <c r="D189" s="172"/>
      <c r="E189" s="38">
        <f t="shared" ref="E189:E219" si="34">SUM(B189:D189)</f>
        <v>0</v>
      </c>
      <c r="F189" s="172"/>
      <c r="G189" s="172"/>
      <c r="H189" s="172"/>
      <c r="I189" s="38">
        <f t="shared" ref="I189:I219" si="35">SUM(F189:H189)</f>
        <v>0</v>
      </c>
      <c r="J189" s="172"/>
      <c r="K189" s="172"/>
      <c r="L189" s="172"/>
      <c r="M189" s="38">
        <f t="shared" ref="M189:M219" si="36">SUM(J189:L189)</f>
        <v>0</v>
      </c>
      <c r="N189" s="172"/>
      <c r="O189" s="172"/>
      <c r="P189" s="172"/>
      <c r="Q189" s="38">
        <f t="shared" ref="Q189:Q219" si="37">SUM(N189:P189)</f>
        <v>0</v>
      </c>
      <c r="R189" s="38">
        <f t="shared" ref="R189:R219" si="38">+E189+I189+M189+Q189</f>
        <v>0</v>
      </c>
    </row>
    <row r="190" spans="1:18" ht="15.75" customHeight="1" x14ac:dyDescent="0.3">
      <c r="A190" s="410" t="s">
        <v>725</v>
      </c>
      <c r="B190" s="172"/>
      <c r="C190" s="172"/>
      <c r="D190" s="172"/>
      <c r="E190" s="38">
        <f>SUM(B190:D190)</f>
        <v>0</v>
      </c>
      <c r="F190" s="172"/>
      <c r="G190" s="172"/>
      <c r="H190" s="172"/>
      <c r="I190" s="38">
        <f>SUM(F190:H190)</f>
        <v>0</v>
      </c>
      <c r="J190" s="172"/>
      <c r="K190" s="172"/>
      <c r="L190" s="172"/>
      <c r="M190" s="38">
        <f>SUM(J190:L190)</f>
        <v>0</v>
      </c>
      <c r="N190" s="172"/>
      <c r="O190" s="172"/>
      <c r="P190" s="172"/>
      <c r="Q190" s="38">
        <f>SUM(N190:P190)</f>
        <v>0</v>
      </c>
      <c r="R190" s="38">
        <f>+E190+I190+M190+Q190</f>
        <v>0</v>
      </c>
    </row>
    <row r="191" spans="1:18" ht="15.75" customHeight="1" x14ac:dyDescent="0.3">
      <c r="A191" s="410" t="s">
        <v>568</v>
      </c>
      <c r="B191" s="172">
        <v>629</v>
      </c>
      <c r="C191" s="172">
        <v>53</v>
      </c>
      <c r="D191" s="172"/>
      <c r="E191" s="38">
        <f>SUM(B191:D191)</f>
        <v>682</v>
      </c>
      <c r="F191" s="172"/>
      <c r="G191" s="172"/>
      <c r="H191" s="172"/>
      <c r="I191" s="38">
        <f>SUM(F191:H191)</f>
        <v>0</v>
      </c>
      <c r="J191" s="172"/>
      <c r="K191" s="172"/>
      <c r="L191" s="172"/>
      <c r="M191" s="38">
        <f>SUM(J191:L191)</f>
        <v>0</v>
      </c>
      <c r="N191" s="172"/>
      <c r="O191" s="172"/>
      <c r="P191" s="172"/>
      <c r="Q191" s="38">
        <f>SUM(N191:P191)</f>
        <v>0</v>
      </c>
      <c r="R191" s="38">
        <f>+E191+I191+M191+Q191</f>
        <v>682</v>
      </c>
    </row>
    <row r="192" spans="1:18" ht="15.75" customHeight="1" x14ac:dyDescent="0.3">
      <c r="A192" s="410" t="s">
        <v>1150</v>
      </c>
      <c r="B192" s="172"/>
      <c r="C192" s="172"/>
      <c r="D192" s="172"/>
      <c r="E192" s="38">
        <f t="shared" si="34"/>
        <v>0</v>
      </c>
      <c r="F192" s="172"/>
      <c r="G192" s="172"/>
      <c r="H192" s="172"/>
      <c r="I192" s="38">
        <f t="shared" si="35"/>
        <v>0</v>
      </c>
      <c r="J192" s="172"/>
      <c r="K192" s="172"/>
      <c r="L192" s="172"/>
      <c r="M192" s="38">
        <f t="shared" si="36"/>
        <v>0</v>
      </c>
      <c r="N192" s="172"/>
      <c r="O192" s="172"/>
      <c r="P192" s="172"/>
      <c r="Q192" s="38">
        <f t="shared" si="37"/>
        <v>0</v>
      </c>
      <c r="R192" s="38">
        <f t="shared" si="38"/>
        <v>0</v>
      </c>
    </row>
    <row r="193" spans="1:21" ht="15.75" customHeight="1" x14ac:dyDescent="0.3">
      <c r="A193" s="410" t="s">
        <v>2599</v>
      </c>
      <c r="B193" s="172">
        <v>1136</v>
      </c>
      <c r="C193" s="172"/>
      <c r="D193" s="172"/>
      <c r="E193" s="38">
        <f>SUM(B193:D193)</f>
        <v>1136</v>
      </c>
      <c r="F193" s="172"/>
      <c r="G193" s="172"/>
      <c r="H193" s="172"/>
      <c r="I193" s="38">
        <f>SUM(F193:H193)</f>
        <v>0</v>
      </c>
      <c r="J193" s="172"/>
      <c r="K193" s="172"/>
      <c r="L193" s="172"/>
      <c r="M193" s="38">
        <f>SUM(J193:L193)</f>
        <v>0</v>
      </c>
      <c r="N193" s="172"/>
      <c r="O193" s="172"/>
      <c r="P193" s="172"/>
      <c r="Q193" s="38">
        <f>SUM(N193:P193)</f>
        <v>0</v>
      </c>
      <c r="R193" s="38">
        <f>+E193+I193+M193+Q193</f>
        <v>1136</v>
      </c>
    </row>
    <row r="194" spans="1:21" ht="15.75" customHeight="1" x14ac:dyDescent="0.3">
      <c r="A194" s="410" t="s">
        <v>1974</v>
      </c>
      <c r="B194" s="172">
        <v>23</v>
      </c>
      <c r="C194" s="172"/>
      <c r="D194" s="172"/>
      <c r="E194" s="38">
        <f t="shared" si="34"/>
        <v>23</v>
      </c>
      <c r="F194" s="172"/>
      <c r="G194" s="172"/>
      <c r="H194" s="172"/>
      <c r="I194" s="38">
        <f t="shared" si="35"/>
        <v>0</v>
      </c>
      <c r="J194" s="172"/>
      <c r="K194" s="172"/>
      <c r="L194" s="172"/>
      <c r="M194" s="38">
        <f t="shared" si="36"/>
        <v>0</v>
      </c>
      <c r="N194" s="172"/>
      <c r="O194" s="172"/>
      <c r="P194" s="172"/>
      <c r="Q194" s="38">
        <f t="shared" si="37"/>
        <v>0</v>
      </c>
      <c r="R194" s="38">
        <f t="shared" si="38"/>
        <v>23</v>
      </c>
    </row>
    <row r="195" spans="1:21" ht="15.75" customHeight="1" x14ac:dyDescent="0.3">
      <c r="A195" s="410" t="s">
        <v>1975</v>
      </c>
      <c r="B195" s="172">
        <v>23</v>
      </c>
      <c r="C195" s="172"/>
      <c r="D195" s="172"/>
      <c r="E195" s="38">
        <f t="shared" si="34"/>
        <v>23</v>
      </c>
      <c r="F195" s="172"/>
      <c r="G195" s="172"/>
      <c r="H195" s="172"/>
      <c r="I195" s="38">
        <f t="shared" si="35"/>
        <v>0</v>
      </c>
      <c r="J195" s="172"/>
      <c r="K195" s="172"/>
      <c r="L195" s="172"/>
      <c r="M195" s="38">
        <f t="shared" si="36"/>
        <v>0</v>
      </c>
      <c r="N195" s="172"/>
      <c r="O195" s="172"/>
      <c r="P195" s="172"/>
      <c r="Q195" s="38">
        <f t="shared" si="37"/>
        <v>0</v>
      </c>
      <c r="R195" s="38">
        <f t="shared" si="38"/>
        <v>23</v>
      </c>
    </row>
    <row r="196" spans="1:21" ht="15.75" customHeight="1" x14ac:dyDescent="0.3">
      <c r="A196" s="410" t="s">
        <v>1495</v>
      </c>
      <c r="B196" s="172"/>
      <c r="C196" s="172"/>
      <c r="D196" s="172"/>
      <c r="E196" s="38">
        <f t="shared" si="34"/>
        <v>0</v>
      </c>
      <c r="F196" s="172"/>
      <c r="G196" s="172">
        <v>4300</v>
      </c>
      <c r="H196" s="172"/>
      <c r="I196" s="38">
        <f t="shared" si="35"/>
        <v>4300</v>
      </c>
      <c r="J196" s="172"/>
      <c r="K196" s="172"/>
      <c r="L196" s="172"/>
      <c r="M196" s="38">
        <f t="shared" si="36"/>
        <v>0</v>
      </c>
      <c r="N196" s="172"/>
      <c r="O196" s="172"/>
      <c r="P196" s="172"/>
      <c r="Q196" s="38">
        <f t="shared" si="37"/>
        <v>0</v>
      </c>
      <c r="R196" s="38">
        <f t="shared" si="38"/>
        <v>4300</v>
      </c>
    </row>
    <row r="197" spans="1:21" ht="15.75" customHeight="1" x14ac:dyDescent="0.3">
      <c r="A197" s="410" t="s">
        <v>1849</v>
      </c>
      <c r="B197" s="10">
        <v>1268</v>
      </c>
      <c r="C197" s="10">
        <v>2364</v>
      </c>
      <c r="D197" s="10">
        <v>2240</v>
      </c>
      <c r="E197" s="38">
        <f t="shared" si="34"/>
        <v>5872</v>
      </c>
      <c r="F197" s="10">
        <v>1128</v>
      </c>
      <c r="G197" s="10"/>
      <c r="H197" s="10"/>
      <c r="I197" s="38">
        <f t="shared" si="35"/>
        <v>1128</v>
      </c>
      <c r="J197" s="10"/>
      <c r="K197" s="10"/>
      <c r="L197" s="10"/>
      <c r="M197" s="38">
        <f t="shared" si="36"/>
        <v>0</v>
      </c>
      <c r="N197" s="10"/>
      <c r="O197" s="10"/>
      <c r="P197" s="10"/>
      <c r="Q197" s="38">
        <f t="shared" si="37"/>
        <v>0</v>
      </c>
      <c r="R197" s="38">
        <f t="shared" si="38"/>
        <v>7000</v>
      </c>
    </row>
    <row r="198" spans="1:21" ht="15.75" customHeight="1" x14ac:dyDescent="0.3">
      <c r="A198" s="410" t="s">
        <v>1851</v>
      </c>
      <c r="B198" s="10"/>
      <c r="C198" s="10"/>
      <c r="D198" s="10"/>
      <c r="E198" s="38">
        <f t="shared" si="34"/>
        <v>0</v>
      </c>
      <c r="F198" s="10"/>
      <c r="G198" s="10">
        <v>19</v>
      </c>
      <c r="H198" s="10">
        <v>14084</v>
      </c>
      <c r="I198" s="38">
        <f t="shared" si="35"/>
        <v>14103</v>
      </c>
      <c r="J198" s="10">
        <v>897</v>
      </c>
      <c r="K198" s="10"/>
      <c r="L198" s="10"/>
      <c r="M198" s="38">
        <f t="shared" si="36"/>
        <v>897</v>
      </c>
      <c r="N198" s="10"/>
      <c r="O198" s="10"/>
      <c r="P198" s="10"/>
      <c r="Q198" s="38">
        <f t="shared" si="37"/>
        <v>0</v>
      </c>
      <c r="R198" s="38">
        <f t="shared" si="38"/>
        <v>15000</v>
      </c>
    </row>
    <row r="199" spans="1:21" ht="15.75" customHeight="1" x14ac:dyDescent="0.3">
      <c r="A199" s="410" t="s">
        <v>1850</v>
      </c>
      <c r="B199" s="10"/>
      <c r="C199" s="10"/>
      <c r="D199" s="10"/>
      <c r="E199" s="38">
        <f t="shared" si="34"/>
        <v>0</v>
      </c>
      <c r="F199" s="10"/>
      <c r="G199" s="10"/>
      <c r="H199" s="10"/>
      <c r="I199" s="38">
        <f t="shared" si="35"/>
        <v>0</v>
      </c>
      <c r="J199" s="10"/>
      <c r="K199" s="10"/>
      <c r="L199" s="10"/>
      <c r="M199" s="38">
        <f t="shared" si="36"/>
        <v>0</v>
      </c>
      <c r="N199" s="10"/>
      <c r="O199" s="10"/>
      <c r="P199" s="10">
        <v>3303</v>
      </c>
      <c r="Q199" s="38">
        <f t="shared" si="37"/>
        <v>3303</v>
      </c>
      <c r="R199" s="38">
        <f t="shared" si="38"/>
        <v>3303</v>
      </c>
    </row>
    <row r="200" spans="1:21" ht="15.75" customHeight="1" x14ac:dyDescent="0.3">
      <c r="A200" s="410" t="s">
        <v>885</v>
      </c>
      <c r="B200" s="172"/>
      <c r="C200" s="172"/>
      <c r="D200" s="172"/>
      <c r="E200" s="38">
        <f t="shared" si="34"/>
        <v>0</v>
      </c>
      <c r="F200" s="172"/>
      <c r="G200" s="172"/>
      <c r="H200" s="172"/>
      <c r="I200" s="38">
        <f t="shared" si="35"/>
        <v>0</v>
      </c>
      <c r="J200" s="172"/>
      <c r="K200" s="172"/>
      <c r="L200" s="172"/>
      <c r="M200" s="38">
        <f t="shared" si="36"/>
        <v>0</v>
      </c>
      <c r="N200" s="172"/>
      <c r="O200" s="172"/>
      <c r="P200" s="172"/>
      <c r="Q200" s="38">
        <f t="shared" si="37"/>
        <v>0</v>
      </c>
      <c r="R200" s="38">
        <f t="shared" si="38"/>
        <v>0</v>
      </c>
    </row>
    <row r="201" spans="1:21" ht="15.75" customHeight="1" x14ac:dyDescent="0.3">
      <c r="A201" s="410" t="s">
        <v>613</v>
      </c>
      <c r="B201" s="172"/>
      <c r="C201" s="172"/>
      <c r="D201" s="172"/>
      <c r="E201" s="38">
        <f t="shared" si="34"/>
        <v>0</v>
      </c>
      <c r="F201" s="172"/>
      <c r="G201" s="172"/>
      <c r="H201" s="172"/>
      <c r="I201" s="38">
        <f t="shared" si="35"/>
        <v>0</v>
      </c>
      <c r="J201" s="172"/>
      <c r="K201" s="172"/>
      <c r="L201" s="172"/>
      <c r="M201" s="38">
        <f t="shared" si="36"/>
        <v>0</v>
      </c>
      <c r="N201" s="172"/>
      <c r="O201" s="172"/>
      <c r="P201" s="172"/>
      <c r="Q201" s="38">
        <f t="shared" si="37"/>
        <v>0</v>
      </c>
      <c r="R201" s="38">
        <f t="shared" si="38"/>
        <v>0</v>
      </c>
      <c r="S201" s="230"/>
      <c r="T201" s="230"/>
      <c r="U201" s="230"/>
    </row>
    <row r="202" spans="1:21" ht="15.75" customHeight="1" x14ac:dyDescent="0.3">
      <c r="A202" s="410" t="s">
        <v>1163</v>
      </c>
      <c r="B202" s="172"/>
      <c r="C202" s="172"/>
      <c r="D202" s="172">
        <v>186</v>
      </c>
      <c r="E202" s="38">
        <f t="shared" si="34"/>
        <v>186</v>
      </c>
      <c r="F202" s="172">
        <v>969</v>
      </c>
      <c r="G202" s="172">
        <v>659</v>
      </c>
      <c r="H202" s="172"/>
      <c r="I202" s="38">
        <f t="shared" si="35"/>
        <v>1628</v>
      </c>
      <c r="J202" s="172"/>
      <c r="K202" s="172"/>
      <c r="L202" s="172"/>
      <c r="M202" s="38">
        <f t="shared" si="36"/>
        <v>0</v>
      </c>
      <c r="N202" s="172"/>
      <c r="O202" s="172"/>
      <c r="P202" s="172"/>
      <c r="Q202" s="38">
        <f t="shared" si="37"/>
        <v>0</v>
      </c>
      <c r="R202" s="38">
        <f t="shared" si="38"/>
        <v>1814</v>
      </c>
    </row>
    <row r="203" spans="1:21" ht="15.75" customHeight="1" x14ac:dyDescent="0.3">
      <c r="A203" s="410" t="s">
        <v>1097</v>
      </c>
      <c r="B203" s="172"/>
      <c r="C203" s="172"/>
      <c r="D203" s="172"/>
      <c r="E203" s="38">
        <f t="shared" si="34"/>
        <v>0</v>
      </c>
      <c r="F203" s="172"/>
      <c r="G203" s="172"/>
      <c r="H203" s="172"/>
      <c r="I203" s="38">
        <f t="shared" si="35"/>
        <v>0</v>
      </c>
      <c r="J203" s="172"/>
      <c r="K203" s="172"/>
      <c r="L203" s="172"/>
      <c r="M203" s="38">
        <f t="shared" si="36"/>
        <v>0</v>
      </c>
      <c r="N203" s="172"/>
      <c r="O203" s="172"/>
      <c r="P203" s="172"/>
      <c r="Q203" s="38">
        <f t="shared" si="37"/>
        <v>0</v>
      </c>
      <c r="R203" s="38">
        <f t="shared" si="38"/>
        <v>0</v>
      </c>
    </row>
    <row r="204" spans="1:21" ht="15.75" customHeight="1" x14ac:dyDescent="0.3">
      <c r="A204" s="410" t="s">
        <v>14</v>
      </c>
      <c r="B204" s="172"/>
      <c r="C204" s="172"/>
      <c r="D204" s="172"/>
      <c r="E204" s="38">
        <f t="shared" si="34"/>
        <v>0</v>
      </c>
      <c r="F204" s="172"/>
      <c r="G204" s="172">
        <v>3023</v>
      </c>
      <c r="H204" s="172"/>
      <c r="I204" s="38">
        <f t="shared" si="35"/>
        <v>3023</v>
      </c>
      <c r="J204" s="172"/>
      <c r="K204" s="172"/>
      <c r="L204" s="172"/>
      <c r="M204" s="38">
        <f t="shared" si="36"/>
        <v>0</v>
      </c>
      <c r="N204" s="172"/>
      <c r="O204" s="172"/>
      <c r="P204" s="172"/>
      <c r="Q204" s="38">
        <f t="shared" si="37"/>
        <v>0</v>
      </c>
      <c r="R204" s="38">
        <f t="shared" si="38"/>
        <v>3023</v>
      </c>
    </row>
    <row r="205" spans="1:21" ht="15.75" customHeight="1" x14ac:dyDescent="0.3">
      <c r="A205" s="410" t="s">
        <v>2410</v>
      </c>
      <c r="B205" s="172">
        <v>60</v>
      </c>
      <c r="C205" s="172"/>
      <c r="D205" s="172"/>
      <c r="E205" s="38">
        <f t="shared" si="34"/>
        <v>60</v>
      </c>
      <c r="F205" s="172"/>
      <c r="G205" s="172"/>
      <c r="H205" s="172"/>
      <c r="I205" s="38">
        <f t="shared" si="35"/>
        <v>0</v>
      </c>
      <c r="J205" s="172"/>
      <c r="K205" s="172"/>
      <c r="L205" s="172"/>
      <c r="M205" s="38">
        <f t="shared" si="36"/>
        <v>0</v>
      </c>
      <c r="N205" s="172"/>
      <c r="O205" s="172"/>
      <c r="P205" s="172"/>
      <c r="Q205" s="38">
        <f t="shared" si="37"/>
        <v>0</v>
      </c>
      <c r="R205" s="38">
        <f t="shared" si="38"/>
        <v>60</v>
      </c>
    </row>
    <row r="206" spans="1:21" ht="15.75" customHeight="1" x14ac:dyDescent="0.3">
      <c r="A206" s="410" t="s">
        <v>2485</v>
      </c>
      <c r="B206" s="172">
        <v>60</v>
      </c>
      <c r="C206" s="172"/>
      <c r="D206" s="172"/>
      <c r="E206" s="38">
        <f t="shared" si="34"/>
        <v>60</v>
      </c>
      <c r="F206" s="172"/>
      <c r="G206" s="172"/>
      <c r="H206" s="172"/>
      <c r="I206" s="38">
        <f t="shared" si="35"/>
        <v>0</v>
      </c>
      <c r="J206" s="172"/>
      <c r="K206" s="172"/>
      <c r="L206" s="172"/>
      <c r="M206" s="38">
        <f t="shared" si="36"/>
        <v>0</v>
      </c>
      <c r="N206" s="172"/>
      <c r="O206" s="172"/>
      <c r="P206" s="172"/>
      <c r="Q206" s="38">
        <f t="shared" si="37"/>
        <v>0</v>
      </c>
      <c r="R206" s="38">
        <f t="shared" si="38"/>
        <v>60</v>
      </c>
    </row>
    <row r="207" spans="1:21" ht="15.75" customHeight="1" x14ac:dyDescent="0.3">
      <c r="A207" s="410" t="s">
        <v>1066</v>
      </c>
      <c r="B207" s="172"/>
      <c r="C207" s="172"/>
      <c r="D207" s="172"/>
      <c r="E207" s="38">
        <f t="shared" si="34"/>
        <v>0</v>
      </c>
      <c r="F207" s="172"/>
      <c r="G207" s="172"/>
      <c r="H207" s="172"/>
      <c r="I207" s="38">
        <f t="shared" si="35"/>
        <v>0</v>
      </c>
      <c r="J207" s="172"/>
      <c r="K207" s="172"/>
      <c r="L207" s="172"/>
      <c r="M207" s="38">
        <f t="shared" si="36"/>
        <v>0</v>
      </c>
      <c r="N207" s="172"/>
      <c r="O207" s="172"/>
      <c r="P207" s="172">
        <v>250</v>
      </c>
      <c r="Q207" s="38">
        <f t="shared" si="37"/>
        <v>250</v>
      </c>
      <c r="R207" s="38">
        <f t="shared" si="38"/>
        <v>250</v>
      </c>
    </row>
    <row r="208" spans="1:21" ht="15.75" customHeight="1" x14ac:dyDescent="0.3">
      <c r="A208" s="410" t="s">
        <v>2602</v>
      </c>
      <c r="B208" s="172">
        <v>500</v>
      </c>
      <c r="C208" s="172">
        <v>455</v>
      </c>
      <c r="D208" s="172">
        <v>810</v>
      </c>
      <c r="E208" s="38">
        <f>SUM(B208:D208)</f>
        <v>1765</v>
      </c>
      <c r="F208" s="172">
        <v>775</v>
      </c>
      <c r="G208" s="172">
        <v>565</v>
      </c>
      <c r="H208" s="172">
        <v>360</v>
      </c>
      <c r="I208" s="38">
        <f>SUM(F208:H208)</f>
        <v>1700</v>
      </c>
      <c r="J208" s="172">
        <v>375</v>
      </c>
      <c r="K208" s="172">
        <v>1216</v>
      </c>
      <c r="L208" s="172">
        <v>525</v>
      </c>
      <c r="M208" s="38">
        <f>SUM(J208:L208)</f>
        <v>2116</v>
      </c>
      <c r="N208" s="172">
        <v>139</v>
      </c>
      <c r="O208" s="172">
        <v>610</v>
      </c>
      <c r="P208" s="172">
        <v>430.00000000000051</v>
      </c>
      <c r="Q208" s="38">
        <f>SUM(N208:P208)</f>
        <v>1179.0000000000005</v>
      </c>
      <c r="R208" s="38">
        <f>+E208+I208+M208+Q208</f>
        <v>6760</v>
      </c>
    </row>
    <row r="209" spans="1:20" ht="15.75" customHeight="1" x14ac:dyDescent="0.3">
      <c r="A209" s="540" t="s">
        <v>1466</v>
      </c>
      <c r="B209" s="172">
        <v>675</v>
      </c>
      <c r="C209" s="172">
        <v>1089</v>
      </c>
      <c r="D209" s="172">
        <v>1477</v>
      </c>
      <c r="E209" s="38">
        <f>SUM(B209:D209)</f>
        <v>3241</v>
      </c>
      <c r="F209" s="172">
        <v>1802</v>
      </c>
      <c r="G209" s="172">
        <v>2907</v>
      </c>
      <c r="H209" s="172">
        <v>0</v>
      </c>
      <c r="I209" s="38">
        <f>SUM(F209:H209)</f>
        <v>4709</v>
      </c>
      <c r="J209" s="172">
        <f>14+3237</f>
        <v>3251</v>
      </c>
      <c r="K209" s="172">
        <v>1000</v>
      </c>
      <c r="L209" s="172">
        <v>1335</v>
      </c>
      <c r="M209" s="38">
        <f>SUM(J209:L209)</f>
        <v>5586</v>
      </c>
      <c r="N209" s="172">
        <v>648</v>
      </c>
      <c r="O209" s="172">
        <v>2334</v>
      </c>
      <c r="P209" s="172">
        <v>1683.0000000000036</v>
      </c>
      <c r="Q209" s="38">
        <f>SUM(N209:P209)</f>
        <v>4665.0000000000036</v>
      </c>
      <c r="R209" s="38">
        <f>+E209+I209+M209+Q209</f>
        <v>18201.000000000004</v>
      </c>
    </row>
    <row r="210" spans="1:20" ht="15.75" customHeight="1" x14ac:dyDescent="0.3">
      <c r="A210" s="410" t="s">
        <v>2089</v>
      </c>
      <c r="B210" s="172"/>
      <c r="C210" s="172"/>
      <c r="D210" s="172"/>
      <c r="E210" s="38">
        <f>SUM(B210:D210)</f>
        <v>0</v>
      </c>
      <c r="F210" s="172"/>
      <c r="G210" s="172"/>
      <c r="H210" s="172"/>
      <c r="I210" s="38">
        <f>SUM(F210:H210)</f>
        <v>0</v>
      </c>
      <c r="J210" s="172"/>
      <c r="K210" s="172"/>
      <c r="L210" s="172"/>
      <c r="M210" s="38">
        <f>SUM(J210:L210)</f>
        <v>0</v>
      </c>
      <c r="N210" s="172"/>
      <c r="O210" s="172"/>
      <c r="P210" s="172"/>
      <c r="Q210" s="38">
        <f>SUM(N210:P210)</f>
        <v>0</v>
      </c>
      <c r="R210" s="38">
        <f>+E210+I210+M210+Q210</f>
        <v>0</v>
      </c>
    </row>
    <row r="211" spans="1:20" ht="15.75" customHeight="1" x14ac:dyDescent="0.3">
      <c r="A211" s="410" t="s">
        <v>1475</v>
      </c>
      <c r="B211" s="172"/>
      <c r="C211" s="172"/>
      <c r="D211" s="172"/>
      <c r="E211" s="38">
        <f>SUM(B211:D211)</f>
        <v>0</v>
      </c>
      <c r="F211" s="172"/>
      <c r="G211" s="172"/>
      <c r="H211" s="172"/>
      <c r="I211" s="38">
        <f>SUM(F211:H211)</f>
        <v>0</v>
      </c>
      <c r="J211" s="172"/>
      <c r="K211" s="172"/>
      <c r="L211" s="172"/>
      <c r="M211" s="38">
        <f>SUM(J211:L211)</f>
        <v>0</v>
      </c>
      <c r="N211" s="172"/>
      <c r="O211" s="172"/>
      <c r="P211" s="172"/>
      <c r="Q211" s="38">
        <f>SUM(N211:P211)</f>
        <v>0</v>
      </c>
      <c r="R211" s="38">
        <f>+E211+I211+M211+Q211</f>
        <v>0</v>
      </c>
    </row>
    <row r="212" spans="1:20" ht="15.75" customHeight="1" x14ac:dyDescent="0.3">
      <c r="A212" s="410" t="s">
        <v>100</v>
      </c>
      <c r="B212" s="172"/>
      <c r="C212" s="172">
        <v>1365</v>
      </c>
      <c r="D212" s="172">
        <v>1485</v>
      </c>
      <c r="E212" s="38">
        <f t="shared" si="34"/>
        <v>2850</v>
      </c>
      <c r="F212" s="172"/>
      <c r="G212" s="172"/>
      <c r="H212" s="172"/>
      <c r="I212" s="38">
        <f t="shared" si="35"/>
        <v>0</v>
      </c>
      <c r="J212" s="172"/>
      <c r="K212" s="172"/>
      <c r="L212" s="172"/>
      <c r="M212" s="38">
        <f t="shared" si="36"/>
        <v>0</v>
      </c>
      <c r="N212" s="172"/>
      <c r="O212" s="172"/>
      <c r="P212" s="172"/>
      <c r="Q212" s="38">
        <f t="shared" si="37"/>
        <v>0</v>
      </c>
      <c r="R212" s="38">
        <f t="shared" si="38"/>
        <v>2850</v>
      </c>
    </row>
    <row r="213" spans="1:20" ht="15.75" customHeight="1" x14ac:dyDescent="0.3">
      <c r="A213" s="410" t="s">
        <v>101</v>
      </c>
      <c r="B213" s="172"/>
      <c r="C213" s="172"/>
      <c r="D213" s="172"/>
      <c r="E213" s="38">
        <f t="shared" si="34"/>
        <v>0</v>
      </c>
      <c r="F213" s="172"/>
      <c r="G213" s="172"/>
      <c r="H213" s="172"/>
      <c r="I213" s="38">
        <f t="shared" si="35"/>
        <v>0</v>
      </c>
      <c r="J213" s="172"/>
      <c r="K213" s="172"/>
      <c r="L213" s="172"/>
      <c r="M213" s="38">
        <f t="shared" si="36"/>
        <v>0</v>
      </c>
      <c r="N213" s="172"/>
      <c r="O213" s="172"/>
      <c r="P213" s="172"/>
      <c r="Q213" s="38">
        <f t="shared" si="37"/>
        <v>0</v>
      </c>
      <c r="R213" s="38">
        <f t="shared" si="38"/>
        <v>0</v>
      </c>
    </row>
    <row r="214" spans="1:20" ht="15.75" customHeight="1" x14ac:dyDescent="0.3">
      <c r="A214" s="410" t="s">
        <v>2446</v>
      </c>
      <c r="B214" s="172"/>
      <c r="C214" s="172"/>
      <c r="D214" s="172"/>
      <c r="E214" s="38">
        <f t="shared" si="34"/>
        <v>0</v>
      </c>
      <c r="F214" s="10"/>
      <c r="G214" s="10">
        <v>4750</v>
      </c>
      <c r="H214" s="172"/>
      <c r="I214" s="38">
        <f t="shared" si="35"/>
        <v>4750</v>
      </c>
      <c r="J214" s="172"/>
      <c r="K214" s="172"/>
      <c r="L214" s="172"/>
      <c r="M214" s="38">
        <f t="shared" si="36"/>
        <v>0</v>
      </c>
      <c r="N214" s="172"/>
      <c r="O214" s="172"/>
      <c r="P214" s="172"/>
      <c r="Q214" s="38">
        <f t="shared" si="37"/>
        <v>0</v>
      </c>
      <c r="R214" s="38">
        <f t="shared" si="38"/>
        <v>4750</v>
      </c>
    </row>
    <row r="215" spans="1:20" ht="15.75" customHeight="1" x14ac:dyDescent="0.3">
      <c r="A215" s="410" t="s">
        <v>829</v>
      </c>
      <c r="B215" s="172">
        <v>95</v>
      </c>
      <c r="C215" s="172"/>
      <c r="D215" s="172"/>
      <c r="E215" s="38">
        <f t="shared" si="34"/>
        <v>95</v>
      </c>
      <c r="F215" s="172"/>
      <c r="G215" s="172"/>
      <c r="H215" s="172"/>
      <c r="I215" s="38">
        <f t="shared" si="35"/>
        <v>0</v>
      </c>
      <c r="J215" s="172"/>
      <c r="K215" s="172"/>
      <c r="L215" s="172"/>
      <c r="M215" s="38">
        <f t="shared" si="36"/>
        <v>0</v>
      </c>
      <c r="N215" s="172"/>
      <c r="O215" s="172"/>
      <c r="P215" s="172"/>
      <c r="Q215" s="38">
        <f t="shared" si="37"/>
        <v>0</v>
      </c>
      <c r="R215" s="38">
        <f t="shared" si="38"/>
        <v>95</v>
      </c>
    </row>
    <row r="216" spans="1:20" ht="15.75" customHeight="1" x14ac:dyDescent="0.3">
      <c r="A216" s="410" t="s">
        <v>343</v>
      </c>
      <c r="B216" s="172">
        <v>95</v>
      </c>
      <c r="C216" s="172"/>
      <c r="D216" s="172"/>
      <c r="E216" s="38">
        <f t="shared" si="34"/>
        <v>95</v>
      </c>
      <c r="F216" s="172"/>
      <c r="G216" s="172"/>
      <c r="H216" s="172"/>
      <c r="I216" s="38">
        <f t="shared" si="35"/>
        <v>0</v>
      </c>
      <c r="J216" s="172"/>
      <c r="K216" s="172"/>
      <c r="L216" s="172"/>
      <c r="M216" s="38">
        <f t="shared" si="36"/>
        <v>0</v>
      </c>
      <c r="N216" s="172"/>
      <c r="O216" s="172"/>
      <c r="P216" s="172"/>
      <c r="Q216" s="38">
        <f t="shared" si="37"/>
        <v>0</v>
      </c>
      <c r="R216" s="38">
        <f t="shared" si="38"/>
        <v>95</v>
      </c>
    </row>
    <row r="217" spans="1:20" ht="15.75" customHeight="1" x14ac:dyDescent="0.3">
      <c r="A217" s="410" t="s">
        <v>1453</v>
      </c>
      <c r="B217" s="172">
        <v>866</v>
      </c>
      <c r="C217" s="172">
        <v>4444</v>
      </c>
      <c r="D217" s="172">
        <v>1690</v>
      </c>
      <c r="E217" s="38">
        <f>SUM(B217:D217)</f>
        <v>7000</v>
      </c>
      <c r="F217" s="172"/>
      <c r="G217" s="172"/>
      <c r="H217" s="172"/>
      <c r="I217" s="38">
        <f>SUM(F217:H217)</f>
        <v>0</v>
      </c>
      <c r="J217" s="172"/>
      <c r="K217" s="172"/>
      <c r="L217" s="172"/>
      <c r="M217" s="38">
        <f>SUM(J217:L217)</f>
        <v>0</v>
      </c>
      <c r="N217" s="172"/>
      <c r="O217" s="172"/>
      <c r="P217" s="172"/>
      <c r="Q217" s="38">
        <f>SUM(N217:P217)</f>
        <v>0</v>
      </c>
      <c r="R217" s="38">
        <f>+E217+I217+M217+Q217</f>
        <v>7000</v>
      </c>
    </row>
    <row r="218" spans="1:20" ht="15.75" customHeight="1" thickBot="1" x14ac:dyDescent="0.35">
      <c r="A218" s="410" t="s">
        <v>1410</v>
      </c>
      <c r="B218" s="172">
        <v>500</v>
      </c>
      <c r="C218" s="172"/>
      <c r="D218" s="172"/>
      <c r="E218" s="38">
        <f t="shared" si="34"/>
        <v>500</v>
      </c>
      <c r="F218" s="172"/>
      <c r="G218" s="172"/>
      <c r="H218" s="172"/>
      <c r="I218" s="38">
        <f t="shared" si="35"/>
        <v>0</v>
      </c>
      <c r="J218" s="172"/>
      <c r="K218" s="172"/>
      <c r="L218" s="172"/>
      <c r="M218" s="38">
        <f t="shared" si="36"/>
        <v>0</v>
      </c>
      <c r="N218" s="172"/>
      <c r="O218" s="172"/>
      <c r="P218" s="172"/>
      <c r="Q218" s="38">
        <f t="shared" si="37"/>
        <v>0</v>
      </c>
      <c r="R218" s="38">
        <f t="shared" si="38"/>
        <v>500</v>
      </c>
    </row>
    <row r="219" spans="1:20" ht="16.5" customHeight="1" thickBot="1" x14ac:dyDescent="0.35">
      <c r="A219" s="43" t="s">
        <v>1220</v>
      </c>
      <c r="B219" s="45">
        <f>SUM(B183:B218)</f>
        <v>6269</v>
      </c>
      <c r="C219" s="46">
        <f>SUM(C183:C218)</f>
        <v>10086</v>
      </c>
      <c r="D219" s="46">
        <f>SUM(D183:D218)</f>
        <v>8603</v>
      </c>
      <c r="E219" s="37">
        <f t="shared" si="34"/>
        <v>24958</v>
      </c>
      <c r="F219" s="46">
        <f>SUM(F183:F218)</f>
        <v>5115</v>
      </c>
      <c r="G219" s="46">
        <f>SUM(G183:G218)</f>
        <v>16752</v>
      </c>
      <c r="H219" s="46">
        <f>SUM(H183:H218)</f>
        <v>15099</v>
      </c>
      <c r="I219" s="37">
        <f t="shared" si="35"/>
        <v>36966</v>
      </c>
      <c r="J219" s="46">
        <f>SUM(J183:J218)</f>
        <v>5127</v>
      </c>
      <c r="K219" s="46">
        <f>SUM(K183:K218)</f>
        <v>2735</v>
      </c>
      <c r="L219" s="46">
        <f>SUM(L183:L218)</f>
        <v>2354</v>
      </c>
      <c r="M219" s="37">
        <f t="shared" si="36"/>
        <v>10216</v>
      </c>
      <c r="N219" s="46">
        <f>SUM(N183:N218)</f>
        <v>1296</v>
      </c>
      <c r="O219" s="46">
        <f>SUM(O183:O218)</f>
        <v>3353</v>
      </c>
      <c r="P219" s="46">
        <f>SUM(P183:P218)</f>
        <v>5946.0000000000045</v>
      </c>
      <c r="Q219" s="37">
        <f t="shared" si="37"/>
        <v>10595.000000000004</v>
      </c>
      <c r="R219" s="37">
        <f t="shared" si="38"/>
        <v>82735</v>
      </c>
    </row>
    <row r="220" spans="1:20" ht="15.75" customHeight="1" x14ac:dyDescent="0.3">
      <c r="A220" s="234" t="s">
        <v>1712</v>
      </c>
      <c r="B220" s="172"/>
      <c r="C220" s="172"/>
      <c r="D220" s="172"/>
      <c r="E220" s="38" t="s">
        <v>852</v>
      </c>
      <c r="F220" s="172"/>
      <c r="G220" s="172"/>
      <c r="H220" s="172"/>
      <c r="I220" s="38" t="s">
        <v>852</v>
      </c>
      <c r="J220" s="172"/>
      <c r="K220" s="172"/>
      <c r="L220" s="172"/>
      <c r="M220" s="38" t="s">
        <v>852</v>
      </c>
      <c r="N220" s="172"/>
      <c r="O220" s="172"/>
      <c r="P220" s="172"/>
      <c r="Q220" s="38" t="s">
        <v>852</v>
      </c>
      <c r="R220" s="38" t="s">
        <v>852</v>
      </c>
    </row>
    <row r="221" spans="1:20" ht="15.75" customHeight="1" x14ac:dyDescent="0.3">
      <c r="A221" s="234" t="s">
        <v>1021</v>
      </c>
      <c r="B221" s="172"/>
      <c r="C221" s="172"/>
      <c r="D221" s="172"/>
      <c r="E221" s="38" t="s">
        <v>852</v>
      </c>
      <c r="F221" s="172"/>
      <c r="G221" s="172"/>
      <c r="H221" s="172"/>
      <c r="I221" s="38" t="s">
        <v>852</v>
      </c>
      <c r="J221" s="172"/>
      <c r="K221" s="172"/>
      <c r="L221" s="172"/>
      <c r="M221" s="38" t="s">
        <v>852</v>
      </c>
      <c r="N221" s="172"/>
      <c r="O221" s="172"/>
      <c r="P221" s="172"/>
      <c r="Q221" s="38" t="s">
        <v>852</v>
      </c>
      <c r="R221" s="38" t="s">
        <v>852</v>
      </c>
    </row>
    <row r="222" spans="1:20" ht="15.75" customHeight="1" x14ac:dyDescent="0.3">
      <c r="A222" s="568" t="s">
        <v>2503</v>
      </c>
      <c r="B222" s="172"/>
      <c r="C222" s="172"/>
      <c r="D222" s="172"/>
      <c r="E222" s="38">
        <f>SUM(B222:D222)</f>
        <v>0</v>
      </c>
      <c r="F222" s="172"/>
      <c r="G222" s="172"/>
      <c r="H222" s="172"/>
      <c r="I222" s="38">
        <f>SUM(F222:H222)</f>
        <v>0</v>
      </c>
      <c r="J222" s="172"/>
      <c r="K222" s="172"/>
      <c r="L222" s="172"/>
      <c r="M222" s="38">
        <f>SUM(J222:L222)</f>
        <v>0</v>
      </c>
      <c r="N222" s="172"/>
      <c r="O222" s="172"/>
      <c r="P222" s="172"/>
      <c r="Q222" s="38">
        <f>SUM(N222:P222)</f>
        <v>0</v>
      </c>
      <c r="R222" s="38">
        <f>+E222+I222+M222+Q222</f>
        <v>0</v>
      </c>
    </row>
    <row r="223" spans="1:20" ht="15.75" customHeight="1" x14ac:dyDescent="0.3">
      <c r="A223" s="568" t="s">
        <v>2623</v>
      </c>
      <c r="B223" s="172"/>
      <c r="C223" s="172"/>
      <c r="D223" s="172"/>
      <c r="E223" s="38">
        <f>SUM(B223:D223)</f>
        <v>0</v>
      </c>
      <c r="F223" s="172"/>
      <c r="G223" s="172"/>
      <c r="H223" s="172"/>
      <c r="I223" s="38">
        <f>SUM(F223:H223)</f>
        <v>0</v>
      </c>
      <c r="J223" s="172">
        <v>484</v>
      </c>
      <c r="K223" s="172">
        <v>484</v>
      </c>
      <c r="L223" s="172">
        <v>484</v>
      </c>
      <c r="M223" s="38">
        <f>SUM(J223:L223)</f>
        <v>1452</v>
      </c>
      <c r="N223" s="172">
        <v>484</v>
      </c>
      <c r="O223" s="172">
        <v>484</v>
      </c>
      <c r="P223" s="172">
        <v>480</v>
      </c>
      <c r="Q223" s="38">
        <f>SUM(N223:P223)</f>
        <v>1448</v>
      </c>
      <c r="R223" s="38">
        <f>+E223+I223+M223+Q223</f>
        <v>2900</v>
      </c>
      <c r="T223" t="s">
        <v>2624</v>
      </c>
    </row>
    <row r="224" spans="1:20" ht="15.75" customHeight="1" x14ac:dyDescent="0.3">
      <c r="A224" s="568" t="s">
        <v>1323</v>
      </c>
      <c r="B224" s="172"/>
      <c r="C224" s="172"/>
      <c r="D224" s="172"/>
      <c r="E224" s="38">
        <f>SUM(B224:D224)</f>
        <v>0</v>
      </c>
      <c r="F224" s="172"/>
      <c r="G224" s="172"/>
      <c r="H224" s="172"/>
      <c r="I224" s="38">
        <f>SUM(F224:H224)</f>
        <v>0</v>
      </c>
      <c r="J224" s="172"/>
      <c r="K224" s="172"/>
      <c r="L224" s="172"/>
      <c r="M224" s="38">
        <f>SUM(J224:L224)</f>
        <v>0</v>
      </c>
      <c r="N224" s="172"/>
      <c r="O224" s="172"/>
      <c r="P224" s="172"/>
      <c r="Q224" s="38">
        <f>SUM(N224:P224)</f>
        <v>0</v>
      </c>
      <c r="R224" s="38">
        <f>+E224+I224+M224+Q224</f>
        <v>0</v>
      </c>
    </row>
    <row r="225" spans="1:18" ht="15.75" customHeight="1" x14ac:dyDescent="0.3">
      <c r="A225" s="568" t="s">
        <v>2317</v>
      </c>
      <c r="B225" s="172"/>
      <c r="C225" s="172"/>
      <c r="D225" s="172"/>
      <c r="E225" s="38">
        <f>SUM(B225:D225)</f>
        <v>0</v>
      </c>
      <c r="F225" s="172"/>
      <c r="G225" s="172"/>
      <c r="H225" s="172"/>
      <c r="I225" s="38">
        <f>SUM(F225:H225)</f>
        <v>0</v>
      </c>
      <c r="J225" s="172"/>
      <c r="K225" s="172"/>
      <c r="L225" s="172"/>
      <c r="M225" s="38">
        <f>SUM(J225:L225)</f>
        <v>0</v>
      </c>
      <c r="N225" s="172"/>
      <c r="O225" s="172"/>
      <c r="P225" s="172">
        <v>1</v>
      </c>
      <c r="Q225" s="38">
        <f>SUM(N225:P225)</f>
        <v>1</v>
      </c>
      <c r="R225" s="38">
        <f>+E225+I225+M225+Q225</f>
        <v>1</v>
      </c>
    </row>
    <row r="226" spans="1:18" ht="15.75" customHeight="1" x14ac:dyDescent="0.3">
      <c r="A226" s="587" t="s">
        <v>2629</v>
      </c>
      <c r="B226" s="172"/>
      <c r="C226" s="172"/>
      <c r="D226" s="172"/>
      <c r="E226" s="38">
        <f>SUM(B226:D226)</f>
        <v>0</v>
      </c>
      <c r="F226" s="172"/>
      <c r="G226" s="172"/>
      <c r="H226" s="172"/>
      <c r="I226" s="38">
        <f>SUM(F226:H226)</f>
        <v>0</v>
      </c>
      <c r="J226" s="172"/>
      <c r="K226" s="172"/>
      <c r="L226" s="172">
        <v>200</v>
      </c>
      <c r="M226" s="38">
        <f>SUM(J226:L226)</f>
        <v>200</v>
      </c>
      <c r="N226" s="172"/>
      <c r="O226" s="172"/>
      <c r="P226" s="172"/>
      <c r="Q226" s="38">
        <f>SUM(N226:P226)</f>
        <v>0</v>
      </c>
      <c r="R226" s="38">
        <f>+E226+I226+M226+Q226</f>
        <v>200</v>
      </c>
    </row>
    <row r="227" spans="1:18" ht="15.75" customHeight="1" x14ac:dyDescent="0.3">
      <c r="A227" s="234" t="s">
        <v>557</v>
      </c>
      <c r="B227" s="172"/>
      <c r="C227" s="172"/>
      <c r="D227" s="172"/>
      <c r="E227" s="38" t="s">
        <v>852</v>
      </c>
      <c r="F227" s="172"/>
      <c r="G227" s="172"/>
      <c r="H227" s="172"/>
      <c r="I227" s="38" t="s">
        <v>852</v>
      </c>
      <c r="J227" s="172"/>
      <c r="K227" s="172"/>
      <c r="L227" s="172"/>
      <c r="M227" s="38" t="s">
        <v>852</v>
      </c>
      <c r="N227" s="172"/>
      <c r="O227" s="172"/>
      <c r="P227" s="172"/>
      <c r="Q227" s="38" t="s">
        <v>852</v>
      </c>
      <c r="R227" s="38" t="s">
        <v>852</v>
      </c>
    </row>
    <row r="228" spans="1:18" ht="15.75" customHeight="1" x14ac:dyDescent="0.3">
      <c r="A228" s="568" t="s">
        <v>2558</v>
      </c>
      <c r="B228" s="172"/>
      <c r="C228" s="172"/>
      <c r="D228" s="172"/>
      <c r="E228" s="38">
        <f>SUM(B228:D228)</f>
        <v>0</v>
      </c>
      <c r="F228" s="172"/>
      <c r="G228" s="172"/>
      <c r="H228" s="172"/>
      <c r="I228" s="38">
        <f>SUM(F228:H228)</f>
        <v>0</v>
      </c>
      <c r="J228" s="172"/>
      <c r="K228" s="172"/>
      <c r="L228" s="172"/>
      <c r="M228" s="38">
        <f>SUM(J228:L228)</f>
        <v>0</v>
      </c>
      <c r="N228" s="172"/>
      <c r="O228" s="172"/>
      <c r="P228" s="172"/>
      <c r="Q228" s="38">
        <f>SUM(N228:P228)</f>
        <v>0</v>
      </c>
      <c r="R228" s="38">
        <f>+E228+I228+M228+Q228</f>
        <v>0</v>
      </c>
    </row>
    <row r="229" spans="1:18" ht="15.75" customHeight="1" x14ac:dyDescent="0.3">
      <c r="A229" s="568" t="s">
        <v>2559</v>
      </c>
      <c r="B229" s="172"/>
      <c r="C229" s="172"/>
      <c r="D229" s="172"/>
      <c r="E229" s="38">
        <f>SUM(B229:D229)</f>
        <v>0</v>
      </c>
      <c r="F229" s="172"/>
      <c r="G229" s="172"/>
      <c r="H229" s="172"/>
      <c r="I229" s="38">
        <f>SUM(F229:H229)</f>
        <v>0</v>
      </c>
      <c r="J229" s="172"/>
      <c r="K229" s="172"/>
      <c r="L229" s="172"/>
      <c r="M229" s="38">
        <f>SUM(J229:L229)</f>
        <v>0</v>
      </c>
      <c r="N229" s="172"/>
      <c r="O229" s="172"/>
      <c r="P229" s="172"/>
      <c r="Q229" s="38">
        <f>SUM(N229:P229)</f>
        <v>0</v>
      </c>
      <c r="R229" s="38">
        <f>+E229+I229+M229+Q229</f>
        <v>0</v>
      </c>
    </row>
    <row r="230" spans="1:18" ht="15.75" customHeight="1" x14ac:dyDescent="0.3">
      <c r="A230" s="539" t="s">
        <v>2560</v>
      </c>
      <c r="B230" s="172"/>
      <c r="C230" s="172"/>
      <c r="D230" s="172"/>
      <c r="E230" s="38">
        <f t="shared" ref="E230:E235" si="39">SUM(B230:D230)</f>
        <v>0</v>
      </c>
      <c r="F230" s="172"/>
      <c r="G230" s="172"/>
      <c r="H230" s="172"/>
      <c r="I230" s="38">
        <f t="shared" ref="I230:I235" si="40">SUM(F230:H230)</f>
        <v>0</v>
      </c>
      <c r="J230" s="172"/>
      <c r="K230" s="172"/>
      <c r="L230" s="172"/>
      <c r="M230" s="38">
        <f t="shared" ref="M230:M235" si="41">SUM(J230:L230)</f>
        <v>0</v>
      </c>
      <c r="N230" s="172"/>
      <c r="O230" s="172"/>
      <c r="P230" s="172"/>
      <c r="Q230" s="38">
        <f t="shared" ref="Q230:Q235" si="42">SUM(N230:P230)</f>
        <v>0</v>
      </c>
      <c r="R230" s="38">
        <f t="shared" ref="R230:R235" si="43">+E230+I230+M230+Q230</f>
        <v>0</v>
      </c>
    </row>
    <row r="231" spans="1:18" ht="15.75" customHeight="1" x14ac:dyDescent="0.3">
      <c r="A231" s="539" t="s">
        <v>2561</v>
      </c>
      <c r="B231" s="172"/>
      <c r="C231" s="172"/>
      <c r="D231" s="172"/>
      <c r="E231" s="38">
        <f t="shared" si="39"/>
        <v>0</v>
      </c>
      <c r="F231" s="172"/>
      <c r="G231" s="172"/>
      <c r="H231" s="172"/>
      <c r="I231" s="38">
        <f t="shared" si="40"/>
        <v>0</v>
      </c>
      <c r="J231" s="172"/>
      <c r="K231" s="172"/>
      <c r="L231" s="172"/>
      <c r="M231" s="38">
        <f t="shared" si="41"/>
        <v>0</v>
      </c>
      <c r="N231" s="172"/>
      <c r="O231" s="172"/>
      <c r="P231" s="172"/>
      <c r="Q231" s="38">
        <f t="shared" si="42"/>
        <v>0</v>
      </c>
      <c r="R231" s="38">
        <f t="shared" si="43"/>
        <v>0</v>
      </c>
    </row>
    <row r="232" spans="1:18" ht="15.75" customHeight="1" x14ac:dyDescent="0.3">
      <c r="A232" s="569" t="s">
        <v>2562</v>
      </c>
      <c r="B232" s="172"/>
      <c r="C232" s="172"/>
      <c r="D232" s="172"/>
      <c r="E232" s="38">
        <f t="shared" si="39"/>
        <v>0</v>
      </c>
      <c r="F232" s="172"/>
      <c r="G232" s="172"/>
      <c r="H232" s="172"/>
      <c r="I232" s="38">
        <f t="shared" si="40"/>
        <v>0</v>
      </c>
      <c r="J232" s="172"/>
      <c r="K232" s="172"/>
      <c r="L232" s="172"/>
      <c r="M232" s="38">
        <f t="shared" si="41"/>
        <v>0</v>
      </c>
      <c r="N232" s="172"/>
      <c r="O232" s="172"/>
      <c r="P232" s="172"/>
      <c r="Q232" s="38">
        <f t="shared" si="42"/>
        <v>0</v>
      </c>
      <c r="R232" s="38">
        <f t="shared" si="43"/>
        <v>0</v>
      </c>
    </row>
    <row r="233" spans="1:18" ht="15.75" customHeight="1" x14ac:dyDescent="0.3">
      <c r="A233" s="569" t="s">
        <v>2563</v>
      </c>
      <c r="B233" s="172"/>
      <c r="C233" s="172"/>
      <c r="D233" s="172"/>
      <c r="E233" s="38">
        <f t="shared" si="39"/>
        <v>0</v>
      </c>
      <c r="F233" s="172"/>
      <c r="G233" s="172"/>
      <c r="H233" s="172"/>
      <c r="I233" s="38">
        <f t="shared" si="40"/>
        <v>0</v>
      </c>
      <c r="J233" s="172"/>
      <c r="K233" s="172"/>
      <c r="L233" s="172"/>
      <c r="M233" s="38">
        <f t="shared" si="41"/>
        <v>0</v>
      </c>
      <c r="N233" s="172"/>
      <c r="O233" s="172"/>
      <c r="P233" s="172"/>
      <c r="Q233" s="38">
        <f t="shared" si="42"/>
        <v>0</v>
      </c>
      <c r="R233" s="38">
        <f t="shared" si="43"/>
        <v>0</v>
      </c>
    </row>
    <row r="234" spans="1:18" ht="15.75" customHeight="1" x14ac:dyDescent="0.3">
      <c r="A234" s="422" t="s">
        <v>2564</v>
      </c>
      <c r="B234" s="172"/>
      <c r="C234" s="172"/>
      <c r="D234" s="172"/>
      <c r="E234" s="38">
        <f t="shared" si="39"/>
        <v>0</v>
      </c>
      <c r="F234" s="172"/>
      <c r="G234" s="172"/>
      <c r="H234" s="172"/>
      <c r="I234" s="38">
        <f t="shared" si="40"/>
        <v>0</v>
      </c>
      <c r="J234" s="172"/>
      <c r="K234" s="172"/>
      <c r="L234" s="172"/>
      <c r="M234" s="38">
        <f t="shared" si="41"/>
        <v>0</v>
      </c>
      <c r="N234" s="172"/>
      <c r="O234" s="172"/>
      <c r="P234" s="172"/>
      <c r="Q234" s="38">
        <f t="shared" si="42"/>
        <v>0</v>
      </c>
      <c r="R234" s="38">
        <f t="shared" si="43"/>
        <v>0</v>
      </c>
    </row>
    <row r="235" spans="1:18" ht="15.75" customHeight="1" x14ac:dyDescent="0.3">
      <c r="A235" s="422" t="s">
        <v>2565</v>
      </c>
      <c r="B235" s="172"/>
      <c r="C235" s="172"/>
      <c r="D235" s="172"/>
      <c r="E235" s="38">
        <f t="shared" si="39"/>
        <v>0</v>
      </c>
      <c r="F235" s="172"/>
      <c r="G235" s="172"/>
      <c r="H235" s="172"/>
      <c r="I235" s="38">
        <f t="shared" si="40"/>
        <v>0</v>
      </c>
      <c r="J235" s="172"/>
      <c r="K235" s="172"/>
      <c r="L235" s="172"/>
      <c r="M235" s="38">
        <f t="shared" si="41"/>
        <v>0</v>
      </c>
      <c r="N235" s="172"/>
      <c r="O235" s="172"/>
      <c r="P235" s="172"/>
      <c r="Q235" s="38">
        <f t="shared" si="42"/>
        <v>0</v>
      </c>
      <c r="R235" s="38">
        <f t="shared" si="43"/>
        <v>0</v>
      </c>
    </row>
    <row r="236" spans="1:18" ht="15.75" customHeight="1" x14ac:dyDescent="0.3">
      <c r="A236" s="234" t="s">
        <v>1022</v>
      </c>
      <c r="B236" s="172"/>
      <c r="C236" s="172"/>
      <c r="D236" s="172"/>
      <c r="E236" s="38" t="s">
        <v>852</v>
      </c>
      <c r="F236" s="172"/>
      <c r="G236" s="172"/>
      <c r="H236" s="172"/>
      <c r="I236" s="38" t="s">
        <v>852</v>
      </c>
      <c r="J236" s="172"/>
      <c r="K236" s="172"/>
      <c r="L236" s="172"/>
      <c r="M236" s="38" t="s">
        <v>852</v>
      </c>
      <c r="N236" s="172"/>
      <c r="O236" s="172"/>
      <c r="P236" s="172"/>
      <c r="Q236" s="38" t="s">
        <v>852</v>
      </c>
      <c r="R236" s="38" t="s">
        <v>852</v>
      </c>
    </row>
    <row r="237" spans="1:18" ht="15.75" customHeight="1" thickBot="1" x14ac:dyDescent="0.35">
      <c r="A237" s="234" t="s">
        <v>559</v>
      </c>
      <c r="B237" s="172"/>
      <c r="C237" s="172"/>
      <c r="D237" s="172"/>
      <c r="E237" s="38" t="s">
        <v>852</v>
      </c>
      <c r="F237" s="172"/>
      <c r="G237" s="172"/>
      <c r="H237" s="172"/>
      <c r="I237" s="38" t="s">
        <v>852</v>
      </c>
      <c r="J237" s="172"/>
      <c r="K237" s="172"/>
      <c r="L237" s="172"/>
      <c r="M237" s="38" t="s">
        <v>852</v>
      </c>
      <c r="N237" s="172"/>
      <c r="O237" s="172"/>
      <c r="P237" s="172"/>
      <c r="Q237" s="38" t="s">
        <v>852</v>
      </c>
      <c r="R237" s="38" t="s">
        <v>852</v>
      </c>
    </row>
    <row r="238" spans="1:18" ht="16.5" customHeight="1" thickBot="1" x14ac:dyDescent="0.35">
      <c r="A238" s="43" t="s">
        <v>1019</v>
      </c>
      <c r="B238" s="42">
        <f>SUM(B236:B237)</f>
        <v>0</v>
      </c>
      <c r="C238" s="42">
        <f>SUM(C236:C237)</f>
        <v>0</v>
      </c>
      <c r="D238" s="42">
        <f>SUM(D236:D237)</f>
        <v>0</v>
      </c>
      <c r="E238" s="39">
        <f t="shared" ref="E238:E246" si="44">SUM(B238:D238)</f>
        <v>0</v>
      </c>
      <c r="F238" s="42">
        <f>SUM(F236:F237)</f>
        <v>0</v>
      </c>
      <c r="G238" s="42">
        <f>SUM(G236:G237)</f>
        <v>0</v>
      </c>
      <c r="H238" s="42">
        <f>SUM(H236:H237)</f>
        <v>0</v>
      </c>
      <c r="I238" s="39">
        <f t="shared" ref="I238:I246" si="45">SUM(F238:H238)</f>
        <v>0</v>
      </c>
      <c r="J238" s="42">
        <f>SUM(J236:J237)</f>
        <v>0</v>
      </c>
      <c r="K238" s="42">
        <f>SUM(K236:K237)</f>
        <v>0</v>
      </c>
      <c r="L238" s="42">
        <f>SUM(L236:L237)</f>
        <v>0</v>
      </c>
      <c r="M238" s="39">
        <f t="shared" ref="M238:M246" si="46">SUM(J238:L238)</f>
        <v>0</v>
      </c>
      <c r="N238" s="42">
        <f>SUM(N236:N237)</f>
        <v>0</v>
      </c>
      <c r="O238" s="42">
        <f>SUM(O236:O237)</f>
        <v>0</v>
      </c>
      <c r="P238" s="42">
        <f>SUM(P236:P237)</f>
        <v>0</v>
      </c>
      <c r="Q238" s="39">
        <f t="shared" ref="Q238:Q246" si="47">SUM(N238:P238)</f>
        <v>0</v>
      </c>
      <c r="R238" s="37">
        <f t="shared" ref="R238:R246" si="48">+E238+I238+M238+Q238</f>
        <v>0</v>
      </c>
    </row>
    <row r="239" spans="1:18" ht="16.5" customHeight="1" thickBot="1" x14ac:dyDescent="0.35">
      <c r="A239" s="43" t="s">
        <v>1221</v>
      </c>
      <c r="B239" s="45">
        <f>SUM(B220:B237)</f>
        <v>0</v>
      </c>
      <c r="C239" s="46">
        <f>SUM(C220:C237)</f>
        <v>0</v>
      </c>
      <c r="D239" s="46">
        <f>SUM(D220:D237)</f>
        <v>0</v>
      </c>
      <c r="E239" s="37">
        <f t="shared" si="44"/>
        <v>0</v>
      </c>
      <c r="F239" s="46">
        <f>SUM(F220:F237)</f>
        <v>0</v>
      </c>
      <c r="G239" s="46">
        <f>SUM(G220:G237)</f>
        <v>0</v>
      </c>
      <c r="H239" s="46">
        <f>SUM(H220:H237)</f>
        <v>0</v>
      </c>
      <c r="I239" s="37">
        <f t="shared" si="45"/>
        <v>0</v>
      </c>
      <c r="J239" s="46">
        <f>SUM(J220:J237)</f>
        <v>484</v>
      </c>
      <c r="K239" s="46">
        <f>SUM(K220:K237)</f>
        <v>484</v>
      </c>
      <c r="L239" s="46">
        <f>SUM(L220:L237)</f>
        <v>684</v>
      </c>
      <c r="M239" s="37">
        <f t="shared" si="46"/>
        <v>1652</v>
      </c>
      <c r="N239" s="46">
        <f>SUM(N220:N237)</f>
        <v>484</v>
      </c>
      <c r="O239" s="46">
        <f>SUM(O220:O237)</f>
        <v>484</v>
      </c>
      <c r="P239" s="46">
        <f>SUM(P220:P237)</f>
        <v>481</v>
      </c>
      <c r="Q239" s="37">
        <f t="shared" si="47"/>
        <v>1449</v>
      </c>
      <c r="R239" s="37">
        <f t="shared" si="48"/>
        <v>3101</v>
      </c>
    </row>
    <row r="240" spans="1:18" ht="16.5" customHeight="1" thickBot="1" x14ac:dyDescent="0.35">
      <c r="A240" s="43" t="s">
        <v>1222</v>
      </c>
      <c r="B240" s="47">
        <f>+B176+B182+B219+B239</f>
        <v>17144</v>
      </c>
      <c r="C240" s="42">
        <f>+C176+C182+C219+C239</f>
        <v>18841</v>
      </c>
      <c r="D240" s="42">
        <f>+D176+D182+D219+D239</f>
        <v>26498</v>
      </c>
      <c r="E240" s="40">
        <f t="shared" si="44"/>
        <v>62483</v>
      </c>
      <c r="F240" s="42">
        <f>+F176+F182+F219+F239</f>
        <v>31653</v>
      </c>
      <c r="G240" s="42">
        <f>+G176+G182+G219+G239</f>
        <v>37777</v>
      </c>
      <c r="H240" s="42">
        <f>+H176+H182+H219+H239</f>
        <v>31885</v>
      </c>
      <c r="I240" s="40">
        <f t="shared" si="45"/>
        <v>101315</v>
      </c>
      <c r="J240" s="42">
        <f>+J176+J182+J219+J239</f>
        <v>32835</v>
      </c>
      <c r="K240" s="42">
        <f>+K176+K182+K219+K239</f>
        <v>32230</v>
      </c>
      <c r="L240" s="42">
        <f>+L176+L182+L219+L239</f>
        <v>25439</v>
      </c>
      <c r="M240" s="40">
        <f t="shared" si="46"/>
        <v>90504</v>
      </c>
      <c r="N240" s="42">
        <f>+N176+N182+N219+N239</f>
        <v>25371</v>
      </c>
      <c r="O240" s="42">
        <f>+O176+O182+O219+O239</f>
        <v>22352</v>
      </c>
      <c r="P240" s="42">
        <f>+P176+P182+P219+P239</f>
        <v>19124</v>
      </c>
      <c r="Q240" s="40">
        <f t="shared" si="47"/>
        <v>66847</v>
      </c>
      <c r="R240" s="40">
        <f t="shared" si="48"/>
        <v>321149</v>
      </c>
    </row>
    <row r="241" spans="1:18" ht="15.75" customHeight="1" x14ac:dyDescent="0.3">
      <c r="A241" s="269" t="s">
        <v>474</v>
      </c>
      <c r="B241" s="172">
        <v>0</v>
      </c>
      <c r="C241" s="172">
        <v>2973</v>
      </c>
      <c r="D241" s="172">
        <f>6267-500-1377-357</f>
        <v>4033</v>
      </c>
      <c r="E241" s="38">
        <f t="shared" si="44"/>
        <v>7006</v>
      </c>
      <c r="F241" s="356">
        <f>6732-500-2227</f>
        <v>4005</v>
      </c>
      <c r="G241" s="172">
        <f>8535-500-17-2569</f>
        <v>5449</v>
      </c>
      <c r="H241" s="172">
        <f>7711-500-31-2681</f>
        <v>4499</v>
      </c>
      <c r="I241" s="38">
        <f t="shared" si="45"/>
        <v>13953</v>
      </c>
      <c r="J241" s="172">
        <f>5432-500-44-2237</f>
        <v>2651</v>
      </c>
      <c r="K241" s="172">
        <f>6167-500-24-2527</f>
        <v>3116</v>
      </c>
      <c r="L241" s="172">
        <f>5669-500-12-2018</f>
        <v>3139</v>
      </c>
      <c r="M241" s="38">
        <f t="shared" si="46"/>
        <v>8906</v>
      </c>
      <c r="N241" s="172">
        <f>4039+1378-500-16-1674</f>
        <v>3227</v>
      </c>
      <c r="O241" s="172">
        <f>4709-8-889</f>
        <v>3812</v>
      </c>
      <c r="P241" s="172">
        <f>1961-1-412</f>
        <v>1548</v>
      </c>
      <c r="Q241" s="38">
        <f t="shared" si="47"/>
        <v>8587</v>
      </c>
      <c r="R241" s="38">
        <f t="shared" si="48"/>
        <v>38452</v>
      </c>
    </row>
    <row r="242" spans="1:18" ht="15.75" customHeight="1" x14ac:dyDescent="0.3">
      <c r="A242" s="270" t="s">
        <v>899</v>
      </c>
      <c r="B242" s="172">
        <v>-267</v>
      </c>
      <c r="C242" s="172">
        <v>-578</v>
      </c>
      <c r="D242" s="172">
        <v>-1487</v>
      </c>
      <c r="E242" s="38">
        <f t="shared" si="44"/>
        <v>-2332</v>
      </c>
      <c r="F242" s="172">
        <v>-2176</v>
      </c>
      <c r="G242" s="172">
        <v>-1120</v>
      </c>
      <c r="H242" s="172">
        <v>-4972</v>
      </c>
      <c r="I242" s="38">
        <f t="shared" si="45"/>
        <v>-8268</v>
      </c>
      <c r="J242" s="172">
        <v>-3294</v>
      </c>
      <c r="K242" s="172">
        <v>0</v>
      </c>
      <c r="L242" s="172">
        <v>0</v>
      </c>
      <c r="M242" s="38">
        <f t="shared" si="46"/>
        <v>-3294</v>
      </c>
      <c r="N242" s="172">
        <v>-344</v>
      </c>
      <c r="O242" s="172">
        <v>-654</v>
      </c>
      <c r="P242" s="172">
        <v>-193</v>
      </c>
      <c r="Q242" s="38">
        <f t="shared" si="47"/>
        <v>-1191</v>
      </c>
      <c r="R242" s="38">
        <f t="shared" si="48"/>
        <v>-15085</v>
      </c>
    </row>
    <row r="243" spans="1:18" ht="15.75" customHeight="1" x14ac:dyDescent="0.3">
      <c r="A243" s="539" t="s">
        <v>2271</v>
      </c>
      <c r="B243" s="10"/>
      <c r="C243" s="10"/>
      <c r="D243" s="10"/>
      <c r="E243" s="38">
        <f t="shared" si="44"/>
        <v>0</v>
      </c>
      <c r="F243" s="10"/>
      <c r="G243" s="10"/>
      <c r="H243" s="10"/>
      <c r="I243" s="38">
        <f t="shared" si="45"/>
        <v>0</v>
      </c>
      <c r="J243" s="10"/>
      <c r="K243" s="10"/>
      <c r="L243" s="10"/>
      <c r="M243" s="38">
        <f t="shared" si="46"/>
        <v>0</v>
      </c>
      <c r="N243" s="10"/>
      <c r="O243" s="10"/>
      <c r="P243" s="10"/>
      <c r="Q243" s="38">
        <f t="shared" si="47"/>
        <v>0</v>
      </c>
      <c r="R243" s="38">
        <f t="shared" si="48"/>
        <v>0</v>
      </c>
    </row>
    <row r="244" spans="1:18" ht="15.75" customHeight="1" x14ac:dyDescent="0.3">
      <c r="A244" s="270" t="s">
        <v>2475</v>
      </c>
      <c r="B244" s="172">
        <v>19</v>
      </c>
      <c r="C244" s="172">
        <v>23</v>
      </c>
      <c r="D244" s="172">
        <v>17</v>
      </c>
      <c r="E244" s="38">
        <f>SUM(B244:D244)</f>
        <v>59</v>
      </c>
      <c r="F244" s="172">
        <v>17</v>
      </c>
      <c r="G244" s="172">
        <v>26</v>
      </c>
      <c r="H244" s="172">
        <v>18</v>
      </c>
      <c r="I244" s="38">
        <f>SUM(F244:H244)</f>
        <v>61</v>
      </c>
      <c r="J244" s="172">
        <v>9</v>
      </c>
      <c r="K244" s="172">
        <v>39</v>
      </c>
      <c r="L244" s="172">
        <v>39</v>
      </c>
      <c r="M244" s="38">
        <f>SUM(J244:L244)</f>
        <v>87</v>
      </c>
      <c r="N244" s="172">
        <v>35</v>
      </c>
      <c r="O244" s="172">
        <v>34</v>
      </c>
      <c r="P244" s="172">
        <v>419</v>
      </c>
      <c r="Q244" s="38">
        <f>SUM(N244:P244)</f>
        <v>488</v>
      </c>
      <c r="R244" s="38">
        <f t="shared" si="48"/>
        <v>695</v>
      </c>
    </row>
    <row r="245" spans="1:18" ht="15.75" customHeight="1" x14ac:dyDescent="0.3">
      <c r="A245" s="267" t="s">
        <v>2096</v>
      </c>
      <c r="B245" s="172">
        <v>111219</v>
      </c>
      <c r="C245" s="172">
        <v>67581</v>
      </c>
      <c r="D245" s="172">
        <v>44397</v>
      </c>
      <c r="E245" s="38">
        <f t="shared" si="44"/>
        <v>223197</v>
      </c>
      <c r="F245" s="172">
        <v>6884</v>
      </c>
      <c r="G245" s="172">
        <v>1498</v>
      </c>
      <c r="H245" s="172"/>
      <c r="I245" s="38">
        <f t="shared" si="45"/>
        <v>8382</v>
      </c>
      <c r="J245" s="172"/>
      <c r="K245" s="172"/>
      <c r="L245" s="172">
        <v>4628</v>
      </c>
      <c r="M245" s="38">
        <f t="shared" si="46"/>
        <v>4628</v>
      </c>
      <c r="N245" s="172">
        <v>9922</v>
      </c>
      <c r="O245" s="172">
        <v>109236</v>
      </c>
      <c r="P245" s="172">
        <v>56385</v>
      </c>
      <c r="Q245" s="38">
        <f t="shared" si="47"/>
        <v>175543</v>
      </c>
      <c r="R245" s="38">
        <f t="shared" si="48"/>
        <v>411750</v>
      </c>
    </row>
    <row r="246" spans="1:18" ht="16.5" customHeight="1" thickBot="1" x14ac:dyDescent="0.35">
      <c r="A246" s="244" t="s">
        <v>853</v>
      </c>
      <c r="B246" s="238">
        <v>104</v>
      </c>
      <c r="C246" s="238">
        <v>268</v>
      </c>
      <c r="D246" s="238">
        <v>474</v>
      </c>
      <c r="E246" s="38">
        <f t="shared" si="44"/>
        <v>846</v>
      </c>
      <c r="F246" s="238">
        <v>647</v>
      </c>
      <c r="G246" s="238">
        <v>742</v>
      </c>
      <c r="H246" s="238">
        <v>781</v>
      </c>
      <c r="I246" s="38">
        <f t="shared" si="45"/>
        <v>2170</v>
      </c>
      <c r="J246" s="238">
        <v>774</v>
      </c>
      <c r="K246" s="238">
        <v>596</v>
      </c>
      <c r="L246" s="238">
        <v>546</v>
      </c>
      <c r="M246" s="38">
        <f t="shared" si="46"/>
        <v>1916</v>
      </c>
      <c r="N246" s="238">
        <v>517</v>
      </c>
      <c r="O246" s="238">
        <v>413</v>
      </c>
      <c r="P246" s="238">
        <v>302</v>
      </c>
      <c r="Q246" s="38">
        <f t="shared" si="47"/>
        <v>1232</v>
      </c>
      <c r="R246" s="38">
        <f t="shared" si="48"/>
        <v>6164</v>
      </c>
    </row>
    <row r="247" spans="1:18" ht="16.5" customHeight="1" thickBot="1" x14ac:dyDescent="0.35">
      <c r="A247" s="44"/>
      <c r="B247" s="258"/>
      <c r="C247" s="258"/>
      <c r="D247" s="258"/>
      <c r="E247" s="39"/>
      <c r="F247" s="258"/>
      <c r="G247" s="258"/>
      <c r="H247" s="258"/>
      <c r="I247" s="37"/>
      <c r="J247" s="258"/>
      <c r="K247" s="258"/>
      <c r="L247" s="258"/>
      <c r="M247" s="37"/>
      <c r="N247" s="258"/>
      <c r="O247" s="258"/>
      <c r="P247" s="258"/>
      <c r="Q247" s="37"/>
      <c r="R247" s="37" t="s">
        <v>852</v>
      </c>
    </row>
    <row r="248" spans="1:18" ht="15.75" customHeight="1" x14ac:dyDescent="0.3">
      <c r="A248" s="259" t="s">
        <v>2011</v>
      </c>
      <c r="B248" s="260">
        <f>SUM(B240:B246)</f>
        <v>128219</v>
      </c>
      <c r="C248" s="260">
        <f>SUM(C240:C246)</f>
        <v>89108</v>
      </c>
      <c r="D248" s="260">
        <f>SUM(D240:D246)</f>
        <v>73932</v>
      </c>
      <c r="E248" s="39">
        <f>SUM(B248:D248)</f>
        <v>291259</v>
      </c>
      <c r="F248" s="260">
        <f>SUM(F240:F246)</f>
        <v>41030</v>
      </c>
      <c r="G248" s="260">
        <f>SUM(G240:G246)</f>
        <v>44372</v>
      </c>
      <c r="H248" s="260">
        <f>SUM(H240:H246)</f>
        <v>32211</v>
      </c>
      <c r="I248" s="39">
        <f>SUM(F248:H248)</f>
        <v>117613</v>
      </c>
      <c r="J248" s="260">
        <f>SUM(J240:J246)</f>
        <v>32975</v>
      </c>
      <c r="K248" s="260">
        <f>SUM(K240:K246)</f>
        <v>35981</v>
      </c>
      <c r="L248" s="260">
        <f>SUM(L240:L246)</f>
        <v>33791</v>
      </c>
      <c r="M248" s="39">
        <f>SUM(J248:L248)</f>
        <v>102747</v>
      </c>
      <c r="N248" s="260">
        <f>SUM(N240:N246)</f>
        <v>38728</v>
      </c>
      <c r="O248" s="260">
        <f>SUM(O240:O246)</f>
        <v>135193</v>
      </c>
      <c r="P248" s="260">
        <f>SUM(P240:P246)</f>
        <v>77585</v>
      </c>
      <c r="Q248" s="49">
        <f>SUM(N248:P248)</f>
        <v>251506</v>
      </c>
      <c r="R248" s="39">
        <f>+E248+I248+M248+Q248</f>
        <v>763125</v>
      </c>
    </row>
    <row r="249" spans="1:18" ht="15.75" customHeight="1" x14ac:dyDescent="0.3">
      <c r="A249" s="262" t="s">
        <v>1897</v>
      </c>
      <c r="B249" s="172">
        <f>(B248/31)/1.983</f>
        <v>2085.777495811169</v>
      </c>
      <c r="C249" s="172">
        <f>(C248/28)/1.983</f>
        <v>1604.8555579569195</v>
      </c>
      <c r="D249" s="172">
        <f>(D248/31)/1.983</f>
        <v>1202.6743448343175</v>
      </c>
      <c r="E249" s="38" t="s">
        <v>852</v>
      </c>
      <c r="F249" s="172">
        <f>(F248/30)/1.983</f>
        <v>689.69574718440072</v>
      </c>
      <c r="G249" s="172">
        <f>(G248/31)/1.983</f>
        <v>721.81282839620633</v>
      </c>
      <c r="H249" s="172">
        <f>(H248/30)/1.983</f>
        <v>541.45234493192129</v>
      </c>
      <c r="I249" s="38" t="s">
        <v>852</v>
      </c>
      <c r="J249" s="172">
        <f>(J248/31)/1.983</f>
        <v>536.41436077627577</v>
      </c>
      <c r="K249" s="172">
        <f>(K248/31)/1.983</f>
        <v>585.31387763733676</v>
      </c>
      <c r="L249" s="172">
        <f>(L248/30)/1.983</f>
        <v>568.01143049251971</v>
      </c>
      <c r="M249" s="38" t="s">
        <v>852</v>
      </c>
      <c r="N249" s="172">
        <f>(N248/31)/1.983</f>
        <v>630.00016267304341</v>
      </c>
      <c r="O249" s="172">
        <f>(O248/30)/1.983</f>
        <v>2272.5331988569505</v>
      </c>
      <c r="P249" s="172">
        <f>(P248/31)/1.983</f>
        <v>1262.0988076065914</v>
      </c>
      <c r="Q249" s="50" t="s">
        <v>852</v>
      </c>
      <c r="R249" s="38" t="s">
        <v>852</v>
      </c>
    </row>
    <row r="250" spans="1:18" ht="15.75" customHeight="1" x14ac:dyDescent="0.3">
      <c r="A250" s="262" t="s">
        <v>154</v>
      </c>
      <c r="B250" s="172">
        <f>(+B248+B379)+B257</f>
        <v>168009</v>
      </c>
      <c r="C250" s="172">
        <f>(+C248+C379)+C257</f>
        <v>149229</v>
      </c>
      <c r="D250" s="172">
        <f>(+D248+D379)+D257</f>
        <v>165864</v>
      </c>
      <c r="E250" s="38">
        <f>SUM(B250:D250)</f>
        <v>483102</v>
      </c>
      <c r="F250" s="172">
        <f>(+F248+F379)+F257</f>
        <v>172212</v>
      </c>
      <c r="G250" s="172">
        <f>(+G248+G379)+G257</f>
        <v>171205</v>
      </c>
      <c r="H250" s="172">
        <f>(+H248+H379)+H257</f>
        <v>122358</v>
      </c>
      <c r="I250" s="38">
        <f>SUM(F250:H250)</f>
        <v>465775</v>
      </c>
      <c r="J250" s="172">
        <f>(+J248+J379)+J257</f>
        <v>30164</v>
      </c>
      <c r="K250" s="172">
        <f>(+K248+K379)+K257</f>
        <v>76372</v>
      </c>
      <c r="L250" s="172">
        <f>(+L248+L379)+L257</f>
        <v>129283</v>
      </c>
      <c r="M250" s="38">
        <f>SUM(J250:L250)</f>
        <v>235819</v>
      </c>
      <c r="N250" s="172">
        <f>(+N248+N379)+N257</f>
        <v>27161</v>
      </c>
      <c r="O250" s="172">
        <f>(+O248+O379)+O257</f>
        <v>169754</v>
      </c>
      <c r="P250" s="172">
        <f>(+P248+P379)+P257</f>
        <v>127689.00000000001</v>
      </c>
      <c r="Q250" s="50">
        <f>SUM(N250:P250)</f>
        <v>324604</v>
      </c>
      <c r="R250" s="38">
        <f>+E250+I250+M250+Q250</f>
        <v>1509300</v>
      </c>
    </row>
    <row r="251" spans="1:18" ht="16.5" customHeight="1" thickBot="1" x14ac:dyDescent="0.35">
      <c r="A251" s="263" t="s">
        <v>2110</v>
      </c>
      <c r="B251" s="264">
        <f>(B250/31)/1.983</f>
        <v>2733.0535356985993</v>
      </c>
      <c r="C251" s="264">
        <f>(C250/28)/1.983</f>
        <v>2687.6485843959367</v>
      </c>
      <c r="D251" s="264">
        <f>(D250/31)/1.983</f>
        <v>2698.1601678785805</v>
      </c>
      <c r="E251" s="40" t="s">
        <v>852</v>
      </c>
      <c r="F251" s="264">
        <f>(F250/30)/1.983</f>
        <v>2894.8058497226421</v>
      </c>
      <c r="G251" s="264">
        <f>(G250/31)/1.983</f>
        <v>2785.0438403852099</v>
      </c>
      <c r="H251" s="264">
        <f>(H250/30)/1.983</f>
        <v>2056.7826525466462</v>
      </c>
      <c r="I251" s="40" t="s">
        <v>852</v>
      </c>
      <c r="J251" s="264">
        <f>(J250/31)/1.983</f>
        <v>490.68696826248919</v>
      </c>
      <c r="K251" s="264">
        <f>(K250/31)/1.983</f>
        <v>1242.36656743611</v>
      </c>
      <c r="L251" s="264">
        <f>(L250/30)/1.983</f>
        <v>2173.1887712220541</v>
      </c>
      <c r="M251" s="40" t="s">
        <v>852</v>
      </c>
      <c r="N251" s="264">
        <f>(N250/30)/1.983</f>
        <v>456.56412842494535</v>
      </c>
      <c r="O251" s="264">
        <f>(O250/30)/1.983</f>
        <v>2853.4879811733063</v>
      </c>
      <c r="P251" s="264">
        <f>(P250/31)/1.983</f>
        <v>2077.1558245083211</v>
      </c>
      <c r="Q251" s="51" t="s">
        <v>852</v>
      </c>
      <c r="R251" s="40" t="s">
        <v>852</v>
      </c>
    </row>
    <row r="252" spans="1:18" ht="16.5" customHeight="1" thickBot="1" x14ac:dyDescent="0.35">
      <c r="A252" s="271" t="s">
        <v>1700</v>
      </c>
      <c r="B252" s="229">
        <f>+(B250-(B136+B137+B138+B139+B141+B142+B151+B156+B167+B170+B172+B173+B186+B187+B188+B209+B222+B224+B225+B228+B229+B232+B233+B241+B245+B253)-B257)/(31*1.983)</f>
        <v>907.32516714655208</v>
      </c>
      <c r="C252" s="229">
        <f>+(C250-(C136+C137+C138+C139+C141+C142+C151+C156+C167+C170+C172+C173+C186+C187+C188+C209+C222+C224+C225+C228+C229+C232+C233+C241+C245+C253)-C257)/(31*1.983)</f>
        <v>1256.9746067379174</v>
      </c>
      <c r="D252" s="229">
        <f>+(D250-(D136+D137+D138+D139+D141+D142+D151+D156+D167+D170+D172+D173+D186+D187+D188+D209+D222+D224+D225+D228+D229+D232+D233+D241+D245+D253)-D257)/(31*1.983)</f>
        <v>1819.7420005530882</v>
      </c>
      <c r="E252" s="227"/>
      <c r="F252" s="229">
        <f>+(F250-(F136+F137+F138+F139+F141+F142+F151+F156+F167+F170+F172+F173+F186+F187+F188+F209+F222+F224+F225+F228+F229+F232+F233+F241+F245+F253)-F257)/(31*1.983)</f>
        <v>2519.8542449530687</v>
      </c>
      <c r="G252" s="229">
        <f>+(G250-(G136+G137+G138+G139+G141+G142+G151+G156+G167+G170+G172+G173+G186+G187+G188+G209+G222+G224+G225+G228+G229+G232+G233+G241+G245+G253)-G257)/(31*1.983)</f>
        <v>2780.4401932555752</v>
      </c>
      <c r="H252" s="229">
        <f>+(H250-(H136+H137+H138+H139+H141+H142+H151+H156+H167+H170+H172+H173+H186+H187+H188+H209+H222+H224+H225+H228+H229+H232+H233+H241+H245+H253)-H257)/(31*1.983)</f>
        <v>3106.87618954663</v>
      </c>
      <c r="I252" s="227"/>
      <c r="J252" s="229">
        <f>+(J250-(J136+J137+J138+J139+J141+J142+J151+J156+J167+J170+J172+J173+J186+J187+J188+J209+J222+J224+J225+J228+J229+J232+J233+J241+J245+J253)-J257)/(31*1.983)</f>
        <v>2553.9342475558374</v>
      </c>
      <c r="K252" s="229">
        <f>+(K250-(K136+K137+K138+K139+K141+K142+K151+K156+K167+K170+K172+K173+K186+K187+K188+K209+K222+K224+K225+K228+K229+K232+K233+K241+K245+K253)-K257)/(31*1.983)</f>
        <v>2618.9709303271352</v>
      </c>
      <c r="L252" s="229">
        <f>+(L250-(L136+L137+L138+L139+L141+L142+L151+L156+L167+L170+L172+L173+L186+L187+L188+L209+L222+L224+L225+L228+L229+L232+L233+L241+L245+L253)-L257)/(31*1.983)</f>
        <v>2000.3578806955898</v>
      </c>
      <c r="M252" s="227"/>
      <c r="N252" s="229">
        <f>+(N250-(N136+N137+N138+N139+N141+N142+N151+N156+N167+N170+N172+N173+N186+N187+N188+N209+N222+N224+N225+N228+N229+N232+N233+N241+N245+N253)-N257)/(31*1.983)</f>
        <v>1547.2809200787335</v>
      </c>
      <c r="O252" s="229">
        <f>+(O250-(O136+O137+O138+O139+O141+O142+O151+O156+O167+O170+O172+O173+O186+O187+O188+O209+O222+O224+O225+O228+O229+O232+O233+O241+O245+O253)-O257)/(31*1.983)</f>
        <v>844.12668976623877</v>
      </c>
      <c r="P252" s="229">
        <f>+(P250-(P136+P137+P138+P139+P141+P142+P151+P156+P167+P170+P172+P173+P186+P187+P188+P209+P222+P224+P225+P228+P229+P232+P233+P241+P245+P253)-P257)/(31*1.983)</f>
        <v>1054.316529207945</v>
      </c>
      <c r="Q252" s="228"/>
      <c r="R252" s="227"/>
    </row>
    <row r="253" spans="1:18" ht="15.75" customHeight="1" x14ac:dyDescent="0.3">
      <c r="A253" s="541" t="s">
        <v>2272</v>
      </c>
      <c r="B253" s="172"/>
      <c r="C253" s="172"/>
      <c r="D253" s="172"/>
      <c r="E253" s="172"/>
      <c r="F253" s="172"/>
      <c r="G253" s="172"/>
      <c r="H253" s="172"/>
      <c r="I253" s="172"/>
      <c r="J253" s="172"/>
      <c r="K253" s="172"/>
      <c r="L253" s="172"/>
      <c r="M253" s="172"/>
      <c r="N253" s="172"/>
      <c r="O253" s="172"/>
      <c r="P253" s="172"/>
      <c r="Q253" s="172"/>
      <c r="R253" s="17"/>
    </row>
    <row r="254" spans="1:18" ht="15.75" customHeight="1" thickBot="1" x14ac:dyDescent="0.35">
      <c r="A254" s="18"/>
      <c r="B254" s="172"/>
      <c r="C254" s="172"/>
      <c r="D254" s="172"/>
      <c r="E254" s="172"/>
      <c r="F254" s="172"/>
      <c r="G254" s="172"/>
      <c r="H254" s="172"/>
      <c r="I254" s="172"/>
      <c r="J254" s="172"/>
      <c r="K254" s="172"/>
      <c r="L254" s="172"/>
      <c r="M254" s="172"/>
      <c r="N254" s="172"/>
      <c r="O254" s="172"/>
      <c r="P254" s="172"/>
      <c r="Q254" s="172"/>
      <c r="R254" s="17"/>
    </row>
    <row r="255" spans="1:18" ht="16.5" customHeight="1" thickBot="1" x14ac:dyDescent="0.35">
      <c r="A255" s="240" t="s">
        <v>1754</v>
      </c>
      <c r="B255" s="4" t="s">
        <v>2090</v>
      </c>
      <c r="C255" s="5" t="s">
        <v>2091</v>
      </c>
      <c r="D255" s="5" t="s">
        <v>2234</v>
      </c>
      <c r="E255" s="33" t="s">
        <v>1594</v>
      </c>
      <c r="F255" s="5" t="s">
        <v>2235</v>
      </c>
      <c r="G255" s="5" t="s">
        <v>2236</v>
      </c>
      <c r="H255" s="5" t="s">
        <v>2237</v>
      </c>
      <c r="I255" s="35" t="s">
        <v>1595</v>
      </c>
      <c r="J255" s="5" t="s">
        <v>1504</v>
      </c>
      <c r="K255" s="5" t="s">
        <v>1505</v>
      </c>
      <c r="L255" s="5" t="s">
        <v>1506</v>
      </c>
      <c r="M255" s="35" t="s">
        <v>1596</v>
      </c>
      <c r="N255" s="5" t="s">
        <v>1507</v>
      </c>
      <c r="O255" s="5" t="s">
        <v>1508</v>
      </c>
      <c r="P255" s="5" t="s">
        <v>1509</v>
      </c>
      <c r="Q255" s="35" t="s">
        <v>1597</v>
      </c>
      <c r="R255" s="36" t="s">
        <v>1510</v>
      </c>
    </row>
    <row r="256" spans="1:18" ht="16.5" customHeight="1" thickBot="1" x14ac:dyDescent="0.35">
      <c r="A256" s="44"/>
      <c r="B256" s="258"/>
      <c r="C256" s="258"/>
      <c r="D256" s="258"/>
      <c r="E256" s="265"/>
      <c r="F256" s="258"/>
      <c r="G256" s="258"/>
      <c r="H256" s="258"/>
      <c r="I256" s="265"/>
      <c r="J256" s="258"/>
      <c r="K256" s="258"/>
      <c r="L256" s="258"/>
      <c r="M256" s="265"/>
      <c r="N256" s="258"/>
      <c r="O256" s="258"/>
      <c r="P256" s="258"/>
      <c r="Q256" s="265"/>
      <c r="R256" s="52"/>
    </row>
    <row r="257" spans="1:20" ht="15.75" customHeight="1" thickBot="1" x14ac:dyDescent="0.35">
      <c r="A257" s="266" t="s">
        <v>1000</v>
      </c>
      <c r="B257" s="172"/>
      <c r="C257" s="172"/>
      <c r="D257" s="172"/>
      <c r="E257" s="38">
        <f>SUM(B257:D257)</f>
        <v>0</v>
      </c>
      <c r="F257" s="172">
        <v>-4241</v>
      </c>
      <c r="G257" s="172">
        <v>-19505</v>
      </c>
      <c r="H257" s="172">
        <v>-79570</v>
      </c>
      <c r="I257" s="38">
        <f>SUM(F257:H257)</f>
        <v>-103316</v>
      </c>
      <c r="J257" s="356">
        <v>-137316</v>
      </c>
      <c r="K257" s="172">
        <v>-94470</v>
      </c>
      <c r="L257" s="172">
        <v>-6379</v>
      </c>
      <c r="M257" s="38">
        <f>SUM(J257:L257)</f>
        <v>-238165</v>
      </c>
      <c r="N257" s="172">
        <v>-85065</v>
      </c>
      <c r="O257" s="172"/>
      <c r="P257" s="172"/>
      <c r="Q257" s="38">
        <f>SUM(N257:P257)</f>
        <v>-85065</v>
      </c>
      <c r="R257" s="38">
        <f>+E257+I257+M257+Q257</f>
        <v>-426546</v>
      </c>
    </row>
    <row r="258" spans="1:20" ht="16.5" customHeight="1" thickBot="1" x14ac:dyDescent="0.35">
      <c r="A258" s="272"/>
      <c r="B258" s="273"/>
      <c r="C258" s="273"/>
      <c r="D258" s="273"/>
      <c r="E258" s="53"/>
      <c r="F258" s="273"/>
      <c r="G258" s="273"/>
      <c r="H258" s="273"/>
      <c r="I258" s="53"/>
      <c r="J258" s="273"/>
      <c r="K258" s="273"/>
      <c r="L258" s="273"/>
      <c r="M258" s="53"/>
      <c r="N258" s="273"/>
      <c r="O258" s="273"/>
      <c r="P258" s="273"/>
      <c r="Q258" s="53"/>
      <c r="R258" s="54"/>
    </row>
    <row r="259" spans="1:20" ht="15.75" customHeight="1" x14ac:dyDescent="0.3">
      <c r="A259" s="234" t="s">
        <v>662</v>
      </c>
      <c r="B259" s="172">
        <f>B257</f>
        <v>0</v>
      </c>
      <c r="C259" s="172">
        <f>C257</f>
        <v>0</v>
      </c>
      <c r="D259" s="172">
        <f>D257</f>
        <v>0</v>
      </c>
      <c r="E259" s="38">
        <f>SUM(B259:D259)</f>
        <v>0</v>
      </c>
      <c r="F259" s="172">
        <f>F257</f>
        <v>-4241</v>
      </c>
      <c r="G259" s="172">
        <f>G257</f>
        <v>-19505</v>
      </c>
      <c r="H259" s="172">
        <f>H257</f>
        <v>-79570</v>
      </c>
      <c r="I259" s="38">
        <f>SUM(F259:H259)</f>
        <v>-103316</v>
      </c>
      <c r="J259" s="172">
        <f>J257</f>
        <v>-137316</v>
      </c>
      <c r="K259" s="172">
        <f>K257</f>
        <v>-94470</v>
      </c>
      <c r="L259" s="172">
        <f>L257</f>
        <v>-6379</v>
      </c>
      <c r="M259" s="38">
        <f>SUM(J259:L259)</f>
        <v>-238165</v>
      </c>
      <c r="N259" s="172">
        <f>N257</f>
        <v>-85065</v>
      </c>
      <c r="O259" s="172">
        <f>O257</f>
        <v>0</v>
      </c>
      <c r="P259" s="172">
        <f>P257</f>
        <v>0</v>
      </c>
      <c r="Q259" s="38">
        <f>SUM(N259:P259)</f>
        <v>-85065</v>
      </c>
      <c r="R259" s="55">
        <f>R257</f>
        <v>-426546</v>
      </c>
    </row>
    <row r="260" spans="1:20" ht="16.5" customHeight="1" thickBot="1" x14ac:dyDescent="0.35">
      <c r="A260" s="237" t="s">
        <v>1897</v>
      </c>
      <c r="B260" s="238">
        <f>(B259/31)/1.983</f>
        <v>0</v>
      </c>
      <c r="C260" s="238">
        <f>(C259/28)/1.983</f>
        <v>0</v>
      </c>
      <c r="D260" s="238">
        <f>(D259/31)/1.983</f>
        <v>0</v>
      </c>
      <c r="E260" s="40"/>
      <c r="F260" s="238">
        <f>(F259/30)/1.983</f>
        <v>-71.289292318036644</v>
      </c>
      <c r="G260" s="238">
        <f>(G259/31)/1.983</f>
        <v>-317.2937712491663</v>
      </c>
      <c r="H260" s="238">
        <f>(H259/30)/1.983</f>
        <v>-1337.5357202891241</v>
      </c>
      <c r="I260" s="40"/>
      <c r="J260" s="238">
        <f>(J259/31)/1.983</f>
        <v>-2233.7611634376067</v>
      </c>
      <c r="K260" s="238">
        <f>(K259/31)/1.983</f>
        <v>-1536.7722414718658</v>
      </c>
      <c r="L260" s="238">
        <f>(L259/30)/1.983</f>
        <v>-107.22810556396033</v>
      </c>
      <c r="M260" s="40"/>
      <c r="N260" s="238">
        <f>(N259/31)/1.983</f>
        <v>-1383.778244107169</v>
      </c>
      <c r="O260" s="238">
        <f>(O259/30)/1.983</f>
        <v>0</v>
      </c>
      <c r="P260" s="238">
        <f>(P259/31)/1.983</f>
        <v>0</v>
      </c>
      <c r="Q260" s="40"/>
      <c r="R260" s="52" t="s">
        <v>852</v>
      </c>
      <c r="T260" t="s">
        <v>2228</v>
      </c>
    </row>
    <row r="261" spans="1:20" ht="15.75" customHeight="1" x14ac:dyDescent="0.3">
      <c r="A261" s="17"/>
      <c r="B261" s="172"/>
      <c r="C261" s="172"/>
      <c r="D261" s="172"/>
      <c r="E261" s="172"/>
      <c r="F261" s="172"/>
      <c r="G261" s="172"/>
      <c r="H261" s="172"/>
      <c r="I261" s="172"/>
      <c r="J261" s="172"/>
      <c r="K261" s="172"/>
      <c r="L261" s="172"/>
      <c r="M261" s="172"/>
      <c r="N261" s="172"/>
      <c r="O261" s="172"/>
      <c r="P261" s="172"/>
      <c r="Q261" s="172"/>
      <c r="R261" s="17"/>
      <c r="T261" t="s">
        <v>1360</v>
      </c>
    </row>
    <row r="262" spans="1:20" ht="16.5" customHeight="1" thickBot="1" x14ac:dyDescent="0.35">
      <c r="A262" s="24"/>
      <c r="B262" s="238"/>
      <c r="C262" s="238"/>
      <c r="D262" s="238"/>
      <c r="E262" s="238"/>
      <c r="F262" s="238"/>
      <c r="G262" s="238"/>
      <c r="H262" s="238"/>
      <c r="I262" s="238"/>
      <c r="J262" s="238"/>
      <c r="K262" s="238"/>
      <c r="L262" s="238"/>
      <c r="M262" s="238"/>
      <c r="N262" s="238"/>
      <c r="O262" s="238"/>
      <c r="P262" s="238"/>
      <c r="Q262" s="238"/>
      <c r="R262" s="24"/>
      <c r="T262" t="s">
        <v>2228</v>
      </c>
    </row>
    <row r="263" spans="1:20" ht="16.5" customHeight="1" thickBot="1" x14ac:dyDescent="0.35">
      <c r="A263" s="274" t="s">
        <v>89</v>
      </c>
      <c r="B263" s="4" t="s">
        <v>2090</v>
      </c>
      <c r="C263" s="5" t="s">
        <v>2091</v>
      </c>
      <c r="D263" s="5" t="s">
        <v>2234</v>
      </c>
      <c r="E263" s="33" t="s">
        <v>1594</v>
      </c>
      <c r="F263" s="5" t="s">
        <v>2235</v>
      </c>
      <c r="G263" s="5" t="s">
        <v>2236</v>
      </c>
      <c r="H263" s="5" t="s">
        <v>2237</v>
      </c>
      <c r="I263" s="35" t="s">
        <v>1595</v>
      </c>
      <c r="J263" s="5" t="s">
        <v>1504</v>
      </c>
      <c r="K263" s="5" t="s">
        <v>1505</v>
      </c>
      <c r="L263" s="5" t="s">
        <v>1506</v>
      </c>
      <c r="M263" s="35" t="s">
        <v>1596</v>
      </c>
      <c r="N263" s="5" t="s">
        <v>1507</v>
      </c>
      <c r="O263" s="5" t="s">
        <v>1508</v>
      </c>
      <c r="P263" s="5" t="s">
        <v>1509</v>
      </c>
      <c r="Q263" s="35" t="s">
        <v>1597</v>
      </c>
      <c r="R263" s="36" t="s">
        <v>1510</v>
      </c>
      <c r="T263" t="s">
        <v>2174</v>
      </c>
    </row>
    <row r="264" spans="1:20" ht="16.5" customHeight="1" thickBot="1" x14ac:dyDescent="0.35">
      <c r="A264" s="37"/>
      <c r="B264" s="258"/>
      <c r="C264" s="258"/>
      <c r="D264" s="258"/>
      <c r="E264" s="254"/>
      <c r="F264" s="258"/>
      <c r="G264" s="258"/>
      <c r="H264" s="258"/>
      <c r="I264" s="265"/>
      <c r="J264" s="258"/>
      <c r="K264" s="258"/>
      <c r="L264" s="258"/>
      <c r="M264" s="265"/>
      <c r="N264" s="258"/>
      <c r="O264" s="258"/>
      <c r="P264" s="258"/>
      <c r="Q264" s="265"/>
      <c r="R264" s="55"/>
      <c r="T264" t="s">
        <v>2177</v>
      </c>
    </row>
    <row r="265" spans="1:20" ht="15.75" customHeight="1" x14ac:dyDescent="0.3">
      <c r="A265" s="234" t="s">
        <v>2417</v>
      </c>
      <c r="B265" s="172" t="s">
        <v>852</v>
      </c>
      <c r="C265" s="172" t="s">
        <v>852</v>
      </c>
      <c r="D265" s="172" t="s">
        <v>852</v>
      </c>
      <c r="E265" s="38" t="s">
        <v>852</v>
      </c>
      <c r="F265" s="172" t="s">
        <v>852</v>
      </c>
      <c r="G265" s="172" t="s">
        <v>852</v>
      </c>
      <c r="H265" s="172" t="s">
        <v>852</v>
      </c>
      <c r="I265" s="38" t="s">
        <v>852</v>
      </c>
      <c r="J265" s="172" t="s">
        <v>852</v>
      </c>
      <c r="K265" s="172" t="s">
        <v>852</v>
      </c>
      <c r="L265" s="172" t="s">
        <v>852</v>
      </c>
      <c r="M265" s="38" t="s">
        <v>852</v>
      </c>
      <c r="N265" s="172" t="s">
        <v>852</v>
      </c>
      <c r="O265" s="172" t="s">
        <v>852</v>
      </c>
      <c r="P265" s="172" t="s">
        <v>852</v>
      </c>
      <c r="Q265" s="38" t="s">
        <v>852</v>
      </c>
      <c r="R265" s="39" t="s">
        <v>852</v>
      </c>
      <c r="T265" t="s">
        <v>2174</v>
      </c>
    </row>
    <row r="266" spans="1:20" ht="15.75" customHeight="1" x14ac:dyDescent="0.3">
      <c r="A266" s="234" t="s">
        <v>2160</v>
      </c>
      <c r="B266" s="172"/>
      <c r="C266" s="172"/>
      <c r="D266" s="172"/>
      <c r="E266" s="38" t="s">
        <v>852</v>
      </c>
      <c r="F266" s="172"/>
      <c r="G266" s="172"/>
      <c r="H266" s="172"/>
      <c r="I266" s="38" t="s">
        <v>852</v>
      </c>
      <c r="J266" s="172"/>
      <c r="K266" s="172"/>
      <c r="L266" s="172"/>
      <c r="M266" s="38" t="s">
        <v>852</v>
      </c>
      <c r="N266" s="172"/>
      <c r="O266" s="172"/>
      <c r="P266" s="172"/>
      <c r="Q266" s="38" t="s">
        <v>852</v>
      </c>
      <c r="R266" s="38" t="s">
        <v>852</v>
      </c>
      <c r="T266" t="s">
        <v>2174</v>
      </c>
    </row>
    <row r="267" spans="1:20" ht="15.75" customHeight="1" x14ac:dyDescent="0.3">
      <c r="A267" s="256" t="s">
        <v>2200</v>
      </c>
      <c r="B267" s="172">
        <v>113</v>
      </c>
      <c r="C267" s="275">
        <v>75</v>
      </c>
      <c r="D267" s="172">
        <v>99</v>
      </c>
      <c r="E267" s="38">
        <f t="shared" ref="E267:E278" si="49">SUM(B267:D267)</f>
        <v>287</v>
      </c>
      <c r="F267" s="172">
        <v>95</v>
      </c>
      <c r="G267" s="172">
        <v>98</v>
      </c>
      <c r="H267" s="172">
        <v>103</v>
      </c>
      <c r="I267" s="38">
        <f t="shared" ref="I267:I278" si="50">SUM(F267:H267)</f>
        <v>296</v>
      </c>
      <c r="J267" s="172">
        <v>58</v>
      </c>
      <c r="K267" s="172">
        <v>92</v>
      </c>
      <c r="L267" s="172">
        <v>75</v>
      </c>
      <c r="M267" s="38">
        <f t="shared" ref="M267:M278" si="51">SUM(J267:L267)</f>
        <v>225</v>
      </c>
      <c r="N267" s="172">
        <v>121</v>
      </c>
      <c r="O267" s="172">
        <v>114</v>
      </c>
      <c r="P267" s="172">
        <v>106</v>
      </c>
      <c r="Q267" s="38">
        <f t="shared" ref="Q267:Q278" si="52">SUM(N267:P267)</f>
        <v>341</v>
      </c>
      <c r="R267" s="38">
        <f t="shared" ref="R267:R278" si="53">+E267+I267+M267+Q267</f>
        <v>1149</v>
      </c>
      <c r="T267" t="s">
        <v>2177</v>
      </c>
    </row>
    <row r="268" spans="1:20" ht="15.75" customHeight="1" x14ac:dyDescent="0.3">
      <c r="A268" s="256" t="s">
        <v>348</v>
      </c>
      <c r="B268" s="172">
        <v>150</v>
      </c>
      <c r="C268" s="172">
        <v>135</v>
      </c>
      <c r="D268" s="172">
        <v>211</v>
      </c>
      <c r="E268" s="38">
        <f t="shared" si="49"/>
        <v>496</v>
      </c>
      <c r="F268" s="172">
        <v>296</v>
      </c>
      <c r="G268" s="172">
        <v>377</v>
      </c>
      <c r="H268" s="172">
        <v>457</v>
      </c>
      <c r="I268" s="38">
        <f t="shared" si="50"/>
        <v>1130</v>
      </c>
      <c r="J268" s="172">
        <v>274</v>
      </c>
      <c r="K268" s="172">
        <v>282</v>
      </c>
      <c r="L268" s="172">
        <v>307</v>
      </c>
      <c r="M268" s="38">
        <f t="shared" si="51"/>
        <v>863</v>
      </c>
      <c r="N268" s="172">
        <v>425</v>
      </c>
      <c r="O268" s="172">
        <v>203</v>
      </c>
      <c r="P268" s="172">
        <v>112</v>
      </c>
      <c r="Q268" s="38">
        <f t="shared" si="52"/>
        <v>740</v>
      </c>
      <c r="R268" s="38">
        <f t="shared" si="53"/>
        <v>3229</v>
      </c>
      <c r="T268" t="s">
        <v>2177</v>
      </c>
    </row>
    <row r="269" spans="1:20" ht="15.75" customHeight="1" x14ac:dyDescent="0.3">
      <c r="A269" s="256" t="s">
        <v>349</v>
      </c>
      <c r="B269" s="172">
        <v>106</v>
      </c>
      <c r="C269" s="172">
        <v>54</v>
      </c>
      <c r="D269" s="172">
        <v>70</v>
      </c>
      <c r="E269" s="38">
        <f t="shared" si="49"/>
        <v>230</v>
      </c>
      <c r="F269" s="172">
        <v>120</v>
      </c>
      <c r="G269" s="172">
        <v>174</v>
      </c>
      <c r="H269" s="172">
        <v>221</v>
      </c>
      <c r="I269" s="38">
        <f t="shared" si="50"/>
        <v>515</v>
      </c>
      <c r="J269" s="172">
        <v>263</v>
      </c>
      <c r="K269" s="172">
        <v>284</v>
      </c>
      <c r="L269" s="172">
        <v>120</v>
      </c>
      <c r="M269" s="38">
        <f t="shared" si="51"/>
        <v>667</v>
      </c>
      <c r="N269" s="172">
        <v>160</v>
      </c>
      <c r="O269" s="172">
        <v>68</v>
      </c>
      <c r="P269" s="172">
        <v>28</v>
      </c>
      <c r="Q269" s="38">
        <f t="shared" si="52"/>
        <v>256</v>
      </c>
      <c r="R269" s="38">
        <f t="shared" si="53"/>
        <v>1668</v>
      </c>
      <c r="T269" t="s">
        <v>2175</v>
      </c>
    </row>
    <row r="270" spans="1:20" ht="15.75" customHeight="1" x14ac:dyDescent="0.3">
      <c r="A270" s="410" t="s">
        <v>2600</v>
      </c>
      <c r="B270" s="10"/>
      <c r="C270" s="10"/>
      <c r="D270" s="10"/>
      <c r="E270" s="38">
        <f t="shared" si="49"/>
        <v>0</v>
      </c>
      <c r="F270" s="10">
        <v>612</v>
      </c>
      <c r="G270" s="10">
        <v>1143</v>
      </c>
      <c r="H270" s="10">
        <v>1083</v>
      </c>
      <c r="I270" s="38">
        <f t="shared" si="50"/>
        <v>2838</v>
      </c>
      <c r="J270" s="10">
        <v>114</v>
      </c>
      <c r="K270" s="10"/>
      <c r="L270" s="10"/>
      <c r="M270" s="38">
        <f t="shared" si="51"/>
        <v>114</v>
      </c>
      <c r="N270" s="10"/>
      <c r="O270" s="10">
        <v>888</v>
      </c>
      <c r="P270" s="10">
        <v>1145</v>
      </c>
      <c r="Q270" s="38">
        <f t="shared" si="52"/>
        <v>2033</v>
      </c>
      <c r="R270" s="38">
        <f t="shared" si="53"/>
        <v>4985</v>
      </c>
    </row>
    <row r="271" spans="1:20" ht="15.75" customHeight="1" x14ac:dyDescent="0.3">
      <c r="A271" s="410" t="s">
        <v>2608</v>
      </c>
      <c r="B271" s="172">
        <v>21</v>
      </c>
      <c r="C271" s="172">
        <v>17</v>
      </c>
      <c r="D271" s="172">
        <v>25</v>
      </c>
      <c r="E271" s="38">
        <f t="shared" si="49"/>
        <v>63</v>
      </c>
      <c r="F271" s="172">
        <v>1620</v>
      </c>
      <c r="G271" s="172">
        <v>22</v>
      </c>
      <c r="H271" s="172">
        <v>23</v>
      </c>
      <c r="I271" s="38">
        <f t="shared" si="50"/>
        <v>1665</v>
      </c>
      <c r="J271" s="172">
        <v>18</v>
      </c>
      <c r="K271" s="172">
        <v>17</v>
      </c>
      <c r="L271" s="172">
        <v>24</v>
      </c>
      <c r="M271" s="38">
        <f t="shared" si="51"/>
        <v>59</v>
      </c>
      <c r="N271" s="172">
        <v>87</v>
      </c>
      <c r="O271" s="172">
        <v>30</v>
      </c>
      <c r="P271" s="172">
        <v>20</v>
      </c>
      <c r="Q271" s="38">
        <f t="shared" si="52"/>
        <v>137</v>
      </c>
      <c r="R271" s="38">
        <f t="shared" si="53"/>
        <v>1924</v>
      </c>
      <c r="T271" t="s">
        <v>2229</v>
      </c>
    </row>
    <row r="272" spans="1:20" ht="15.75" customHeight="1" x14ac:dyDescent="0.3">
      <c r="A272" s="410" t="s">
        <v>2607</v>
      </c>
      <c r="B272" s="172"/>
      <c r="C272" s="172"/>
      <c r="D272" s="172"/>
      <c r="E272" s="38">
        <f t="shared" si="49"/>
        <v>0</v>
      </c>
      <c r="F272" s="172"/>
      <c r="G272" s="172"/>
      <c r="H272" s="172">
        <v>2048</v>
      </c>
      <c r="I272" s="38">
        <f t="shared" si="50"/>
        <v>2048</v>
      </c>
      <c r="J272" s="172"/>
      <c r="K272" s="172"/>
      <c r="L272" s="172"/>
      <c r="M272" s="38">
        <f t="shared" si="51"/>
        <v>0</v>
      </c>
      <c r="N272" s="172"/>
      <c r="O272" s="172"/>
      <c r="P272" s="172"/>
      <c r="Q272" s="38">
        <f t="shared" si="52"/>
        <v>0</v>
      </c>
      <c r="R272" s="38">
        <f t="shared" si="53"/>
        <v>2048</v>
      </c>
      <c r="T272" t="s">
        <v>131</v>
      </c>
    </row>
    <row r="273" spans="1:20" ht="15.75" customHeight="1" x14ac:dyDescent="0.3">
      <c r="A273" s="410" t="s">
        <v>2692</v>
      </c>
      <c r="B273" s="172"/>
      <c r="C273" s="172"/>
      <c r="D273" s="172"/>
      <c r="E273" s="38">
        <f>SUM(B273:D273)</f>
        <v>0</v>
      </c>
      <c r="F273" s="172"/>
      <c r="G273" s="172">
        <v>1624</v>
      </c>
      <c r="H273" s="172"/>
      <c r="I273" s="38">
        <f>SUM(F273:H273)</f>
        <v>1624</v>
      </c>
      <c r="J273" s="172"/>
      <c r="K273" s="172"/>
      <c r="L273" s="172"/>
      <c r="M273" s="38">
        <f>SUM(J273:L273)</f>
        <v>0</v>
      </c>
      <c r="N273" s="172"/>
      <c r="O273" s="172"/>
      <c r="P273" s="172"/>
      <c r="Q273" s="38">
        <f>SUM(N273:P273)</f>
        <v>0</v>
      </c>
      <c r="R273" s="38">
        <f>+E273+I273+M273+Q273</f>
        <v>1624</v>
      </c>
    </row>
    <row r="274" spans="1:20" ht="15.75" customHeight="1" x14ac:dyDescent="0.3">
      <c r="A274" s="410" t="s">
        <v>347</v>
      </c>
      <c r="B274" s="172"/>
      <c r="C274" s="172"/>
      <c r="D274" s="172"/>
      <c r="E274" s="38">
        <f t="shared" si="49"/>
        <v>0</v>
      </c>
      <c r="F274" s="172"/>
      <c r="G274" s="172">
        <f>5095-G273</f>
        <v>3471</v>
      </c>
      <c r="H274" s="172">
        <v>2140</v>
      </c>
      <c r="I274" s="38">
        <f t="shared" si="50"/>
        <v>5611</v>
      </c>
      <c r="J274" s="172"/>
      <c r="K274" s="172"/>
      <c r="L274" s="172"/>
      <c r="M274" s="38">
        <f t="shared" si="51"/>
        <v>0</v>
      </c>
      <c r="N274" s="172"/>
      <c r="O274" s="172"/>
      <c r="P274" s="172"/>
      <c r="Q274" s="38">
        <f t="shared" si="52"/>
        <v>0</v>
      </c>
      <c r="R274" s="38">
        <f t="shared" si="53"/>
        <v>5611</v>
      </c>
      <c r="T274" t="s">
        <v>2175</v>
      </c>
    </row>
    <row r="275" spans="1:20" ht="15.75" customHeight="1" x14ac:dyDescent="0.3">
      <c r="A275" s="410" t="s">
        <v>2593</v>
      </c>
      <c r="B275" s="10">
        <v>47</v>
      </c>
      <c r="C275" s="10">
        <v>26</v>
      </c>
      <c r="D275" s="10">
        <v>39</v>
      </c>
      <c r="E275" s="38">
        <f t="shared" si="49"/>
        <v>112</v>
      </c>
      <c r="F275" s="10">
        <v>35</v>
      </c>
      <c r="G275" s="10"/>
      <c r="H275" s="10"/>
      <c r="I275" s="38">
        <f t="shared" si="50"/>
        <v>35</v>
      </c>
      <c r="J275" s="10"/>
      <c r="K275" s="10"/>
      <c r="L275" s="10"/>
      <c r="M275" s="38">
        <f t="shared" si="51"/>
        <v>0</v>
      </c>
      <c r="N275" s="10"/>
      <c r="O275" s="10"/>
      <c r="P275" s="10"/>
      <c r="Q275" s="38">
        <f t="shared" si="52"/>
        <v>0</v>
      </c>
      <c r="R275" s="38">
        <f t="shared" si="53"/>
        <v>147</v>
      </c>
      <c r="S275" s="538"/>
      <c r="T275" t="s">
        <v>2174</v>
      </c>
    </row>
    <row r="276" spans="1:20" ht="15.75" customHeight="1" x14ac:dyDescent="0.3">
      <c r="A276" s="256" t="s">
        <v>92</v>
      </c>
      <c r="B276" s="172">
        <v>3307</v>
      </c>
      <c r="C276" s="172">
        <v>1617</v>
      </c>
      <c r="D276" s="172"/>
      <c r="E276" s="38">
        <f t="shared" si="49"/>
        <v>4924</v>
      </c>
      <c r="F276" s="172">
        <v>1687</v>
      </c>
      <c r="G276" s="172">
        <v>3619</v>
      </c>
      <c r="H276" s="172">
        <v>5259</v>
      </c>
      <c r="I276" s="38">
        <f t="shared" si="50"/>
        <v>10565</v>
      </c>
      <c r="J276" s="172">
        <v>5067</v>
      </c>
      <c r="K276" s="172">
        <v>5097</v>
      </c>
      <c r="L276" s="172">
        <v>4573</v>
      </c>
      <c r="M276" s="38">
        <f t="shared" si="51"/>
        <v>14737</v>
      </c>
      <c r="N276" s="172">
        <v>5030</v>
      </c>
      <c r="O276" s="172">
        <v>4562</v>
      </c>
      <c r="P276" s="172">
        <v>2930</v>
      </c>
      <c r="Q276" s="38">
        <f t="shared" si="52"/>
        <v>12522</v>
      </c>
      <c r="R276" s="38">
        <f t="shared" si="53"/>
        <v>42748</v>
      </c>
      <c r="T276" t="s">
        <v>2178</v>
      </c>
    </row>
    <row r="277" spans="1:20" ht="15.75" customHeight="1" x14ac:dyDescent="0.3">
      <c r="A277" s="410" t="s">
        <v>2543</v>
      </c>
      <c r="B277" s="172"/>
      <c r="C277" s="172"/>
      <c r="D277" s="172"/>
      <c r="E277" s="38">
        <f t="shared" si="49"/>
        <v>0</v>
      </c>
      <c r="F277" s="172"/>
      <c r="G277" s="172">
        <v>3000</v>
      </c>
      <c r="H277" s="172"/>
      <c r="I277" s="38">
        <f t="shared" si="50"/>
        <v>3000</v>
      </c>
      <c r="J277" s="172"/>
      <c r="K277" s="172"/>
      <c r="L277" s="172"/>
      <c r="M277" s="38">
        <f t="shared" si="51"/>
        <v>0</v>
      </c>
      <c r="N277" s="172"/>
      <c r="O277" s="172"/>
      <c r="P277" s="172"/>
      <c r="Q277" s="38">
        <f t="shared" si="52"/>
        <v>0</v>
      </c>
      <c r="R277" s="38">
        <f t="shared" si="53"/>
        <v>3000</v>
      </c>
    </row>
    <row r="278" spans="1:20" ht="15.75" customHeight="1" x14ac:dyDescent="0.3">
      <c r="A278" s="410" t="s">
        <v>2609</v>
      </c>
      <c r="B278" s="172">
        <v>0</v>
      </c>
      <c r="C278" s="172">
        <v>0</v>
      </c>
      <c r="D278" s="172">
        <v>0</v>
      </c>
      <c r="E278" s="38">
        <f t="shared" si="49"/>
        <v>0</v>
      </c>
      <c r="F278" s="172">
        <v>0</v>
      </c>
      <c r="G278" s="172">
        <v>29</v>
      </c>
      <c r="H278" s="172">
        <v>109</v>
      </c>
      <c r="I278" s="38">
        <f t="shared" si="50"/>
        <v>138</v>
      </c>
      <c r="J278" s="172">
        <v>65</v>
      </c>
      <c r="K278" s="172">
        <v>73</v>
      </c>
      <c r="L278" s="172">
        <v>30</v>
      </c>
      <c r="M278" s="38">
        <f t="shared" si="51"/>
        <v>168</v>
      </c>
      <c r="N278" s="172">
        <v>42</v>
      </c>
      <c r="O278" s="172"/>
      <c r="P278" s="172"/>
      <c r="Q278" s="38">
        <f t="shared" si="52"/>
        <v>42</v>
      </c>
      <c r="R278" s="38">
        <f t="shared" si="53"/>
        <v>348</v>
      </c>
      <c r="S278">
        <f>SUM(R267:R278)</f>
        <v>68481</v>
      </c>
      <c r="T278" t="s">
        <v>2230</v>
      </c>
    </row>
    <row r="279" spans="1:20" ht="15.75" customHeight="1" x14ac:dyDescent="0.3">
      <c r="A279" s="234" t="s">
        <v>2161</v>
      </c>
      <c r="B279" s="172"/>
      <c r="C279" s="172"/>
      <c r="D279" s="172"/>
      <c r="E279" s="38" t="s">
        <v>852</v>
      </c>
      <c r="F279" s="172"/>
      <c r="G279" s="172"/>
      <c r="H279" s="172"/>
      <c r="I279" s="38" t="s">
        <v>852</v>
      </c>
      <c r="J279" s="172"/>
      <c r="K279" s="172"/>
      <c r="L279" s="172"/>
      <c r="M279" s="38" t="s">
        <v>852</v>
      </c>
      <c r="N279" s="172"/>
      <c r="O279" s="172"/>
      <c r="P279" s="172"/>
      <c r="Q279" s="38" t="s">
        <v>852</v>
      </c>
      <c r="R279" s="38" t="s">
        <v>852</v>
      </c>
      <c r="T279" t="s">
        <v>2175</v>
      </c>
    </row>
    <row r="280" spans="1:20" ht="15.75" customHeight="1" x14ac:dyDescent="0.3">
      <c r="A280" s="256" t="s">
        <v>754</v>
      </c>
      <c r="B280" s="172"/>
      <c r="C280" s="172"/>
      <c r="D280" s="172"/>
      <c r="E280" s="38">
        <f t="shared" ref="E280:E293" si="54">SUM(B280:D280)</f>
        <v>0</v>
      </c>
      <c r="F280" s="172"/>
      <c r="G280" s="172"/>
      <c r="H280" s="172"/>
      <c r="I280" s="38">
        <f t="shared" ref="I280:I293" si="55">SUM(F280:H280)</f>
        <v>0</v>
      </c>
      <c r="J280" s="172"/>
      <c r="K280" s="172"/>
      <c r="L280" s="172"/>
      <c r="M280" s="38">
        <f t="shared" ref="M280:M293" si="56">SUM(J280:L280)</f>
        <v>0</v>
      </c>
      <c r="N280" s="172"/>
      <c r="O280" s="172"/>
      <c r="P280" s="172"/>
      <c r="Q280" s="38">
        <f t="shared" ref="Q280:Q293" si="57">SUM(N280:P280)</f>
        <v>0</v>
      </c>
      <c r="R280" s="38">
        <f t="shared" ref="R280:R293" si="58">+E280+I280+M280+Q280</f>
        <v>0</v>
      </c>
      <c r="T280" t="s">
        <v>1360</v>
      </c>
    </row>
    <row r="281" spans="1:20" ht="15.75" customHeight="1" x14ac:dyDescent="0.3">
      <c r="A281" s="256" t="s">
        <v>1173</v>
      </c>
      <c r="B281" s="10">
        <v>3</v>
      </c>
      <c r="C281" s="10">
        <v>6</v>
      </c>
      <c r="D281" s="10">
        <v>9</v>
      </c>
      <c r="E281" s="38">
        <f>SUM(B281:D281)</f>
        <v>18</v>
      </c>
      <c r="F281" s="10">
        <v>27</v>
      </c>
      <c r="G281" s="10">
        <v>30</v>
      </c>
      <c r="H281" s="10">
        <v>6</v>
      </c>
      <c r="I281" s="38">
        <f>SUM(F281:H281)</f>
        <v>63</v>
      </c>
      <c r="J281" s="10">
        <v>18</v>
      </c>
      <c r="K281" s="10">
        <v>24</v>
      </c>
      <c r="L281" s="10">
        <v>8</v>
      </c>
      <c r="M281" s="38">
        <f>SUM(J281:L281)</f>
        <v>50</v>
      </c>
      <c r="N281" s="10">
        <v>26</v>
      </c>
      <c r="O281" s="10">
        <v>0</v>
      </c>
      <c r="P281" s="10">
        <v>0</v>
      </c>
      <c r="Q281" s="38">
        <f>SUM(N281:P281)</f>
        <v>26</v>
      </c>
      <c r="R281" s="38">
        <f>+E281+I281+M281+Q281</f>
        <v>157</v>
      </c>
      <c r="T281" t="s">
        <v>1360</v>
      </c>
    </row>
    <row r="282" spans="1:20" ht="15.75" customHeight="1" x14ac:dyDescent="0.3">
      <c r="A282" s="410" t="s">
        <v>2593</v>
      </c>
      <c r="B282" s="10">
        <v>0</v>
      </c>
      <c r="C282" s="10">
        <v>0</v>
      </c>
      <c r="D282" s="10">
        <v>0</v>
      </c>
      <c r="E282" s="38">
        <f t="shared" si="54"/>
        <v>0</v>
      </c>
      <c r="F282" s="10">
        <v>33</v>
      </c>
      <c r="G282" s="10">
        <v>30</v>
      </c>
      <c r="H282" s="10">
        <v>28</v>
      </c>
      <c r="I282" s="38">
        <f t="shared" si="55"/>
        <v>91</v>
      </c>
      <c r="J282" s="10">
        <v>25</v>
      </c>
      <c r="K282" s="10">
        <v>11</v>
      </c>
      <c r="L282" s="10">
        <v>21</v>
      </c>
      <c r="M282" s="38">
        <f t="shared" si="56"/>
        <v>57</v>
      </c>
      <c r="N282" s="10">
        <v>59</v>
      </c>
      <c r="O282" s="10">
        <v>45</v>
      </c>
      <c r="P282" s="10">
        <v>30</v>
      </c>
      <c r="Q282" s="38">
        <f t="shared" si="57"/>
        <v>134</v>
      </c>
      <c r="R282" s="38">
        <f>+E282+I282+M282+Q282</f>
        <v>282</v>
      </c>
      <c r="T282" t="s">
        <v>2174</v>
      </c>
    </row>
    <row r="283" spans="1:20" ht="15.75" customHeight="1" x14ac:dyDescent="0.3">
      <c r="A283" s="410" t="s">
        <v>2517</v>
      </c>
      <c r="B283" s="10">
        <v>3</v>
      </c>
      <c r="C283" s="10">
        <v>3</v>
      </c>
      <c r="D283" s="10">
        <v>7</v>
      </c>
      <c r="E283" s="38">
        <f>SUM(B283:D283)</f>
        <v>13</v>
      </c>
      <c r="F283" s="10">
        <v>2</v>
      </c>
      <c r="G283" s="10">
        <v>7</v>
      </c>
      <c r="H283" s="10">
        <v>2</v>
      </c>
      <c r="I283" s="38">
        <f>SUM(F283:H283)</f>
        <v>11</v>
      </c>
      <c r="J283" s="10">
        <v>2</v>
      </c>
      <c r="K283" s="10">
        <v>4</v>
      </c>
      <c r="L283" s="10">
        <v>2</v>
      </c>
      <c r="M283" s="38">
        <f>SUM(J283:L283)</f>
        <v>8</v>
      </c>
      <c r="N283" s="10">
        <v>2</v>
      </c>
      <c r="O283" s="10">
        <v>0</v>
      </c>
      <c r="P283" s="10">
        <v>2</v>
      </c>
      <c r="Q283" s="38">
        <f>SUM(N283:P283)</f>
        <v>4</v>
      </c>
      <c r="R283" s="38">
        <f>+E283+I283+M283+Q283</f>
        <v>36</v>
      </c>
      <c r="T283" t="s">
        <v>2174</v>
      </c>
    </row>
    <row r="284" spans="1:20" ht="15.75" customHeight="1" x14ac:dyDescent="0.3">
      <c r="A284" s="311" t="s">
        <v>375</v>
      </c>
      <c r="B284" s="172">
        <v>22</v>
      </c>
      <c r="C284" s="172">
        <v>21</v>
      </c>
      <c r="D284" s="172">
        <v>43</v>
      </c>
      <c r="E284" s="38">
        <f t="shared" si="54"/>
        <v>86</v>
      </c>
      <c r="F284" s="172">
        <v>51</v>
      </c>
      <c r="G284" s="172">
        <v>66</v>
      </c>
      <c r="H284" s="172">
        <v>80</v>
      </c>
      <c r="I284" s="38">
        <f t="shared" si="55"/>
        <v>197</v>
      </c>
      <c r="J284" s="172">
        <v>58</v>
      </c>
      <c r="K284" s="172">
        <v>48</v>
      </c>
      <c r="L284" s="172">
        <v>37</v>
      </c>
      <c r="M284" s="38">
        <f t="shared" si="56"/>
        <v>143</v>
      </c>
      <c r="N284" s="172">
        <v>58</v>
      </c>
      <c r="O284" s="172">
        <v>27</v>
      </c>
      <c r="P284" s="172">
        <v>18</v>
      </c>
      <c r="Q284" s="38">
        <f t="shared" si="57"/>
        <v>103</v>
      </c>
      <c r="R284" s="38">
        <f t="shared" si="58"/>
        <v>529</v>
      </c>
    </row>
    <row r="285" spans="1:20" ht="15.75" customHeight="1" x14ac:dyDescent="0.3">
      <c r="A285" s="256" t="s">
        <v>1732</v>
      </c>
      <c r="B285" s="172"/>
      <c r="C285" s="172"/>
      <c r="D285" s="172">
        <v>1</v>
      </c>
      <c r="E285" s="38">
        <f t="shared" si="54"/>
        <v>1</v>
      </c>
      <c r="F285" s="172">
        <v>0</v>
      </c>
      <c r="G285" s="172">
        <v>0</v>
      </c>
      <c r="H285" s="172"/>
      <c r="I285" s="38">
        <f t="shared" si="55"/>
        <v>0</v>
      </c>
      <c r="J285" s="172">
        <v>1</v>
      </c>
      <c r="K285" s="172">
        <v>0</v>
      </c>
      <c r="L285" s="172">
        <v>1</v>
      </c>
      <c r="M285" s="38">
        <f t="shared" si="56"/>
        <v>2</v>
      </c>
      <c r="N285" s="172">
        <v>1</v>
      </c>
      <c r="O285" s="172">
        <v>0</v>
      </c>
      <c r="P285" s="172">
        <v>0</v>
      </c>
      <c r="Q285" s="38">
        <f t="shared" si="57"/>
        <v>1</v>
      </c>
      <c r="R285" s="38">
        <f t="shared" si="58"/>
        <v>4</v>
      </c>
      <c r="T285" t="s">
        <v>2174</v>
      </c>
    </row>
    <row r="286" spans="1:20" ht="15.75" customHeight="1" x14ac:dyDescent="0.3">
      <c r="A286" s="256" t="s">
        <v>1095</v>
      </c>
      <c r="B286" s="172"/>
      <c r="C286" s="172"/>
      <c r="D286" s="172"/>
      <c r="E286" s="38">
        <f t="shared" si="54"/>
        <v>0</v>
      </c>
      <c r="F286" s="172"/>
      <c r="G286" s="172">
        <v>76</v>
      </c>
      <c r="H286" s="172">
        <v>103</v>
      </c>
      <c r="I286" s="38">
        <f t="shared" si="55"/>
        <v>179</v>
      </c>
      <c r="J286" s="172">
        <v>122</v>
      </c>
      <c r="K286" s="172">
        <v>30</v>
      </c>
      <c r="L286" s="172"/>
      <c r="M286" s="38">
        <f t="shared" si="56"/>
        <v>152</v>
      </c>
      <c r="N286" s="172"/>
      <c r="O286" s="172"/>
      <c r="P286" s="172"/>
      <c r="Q286" s="38">
        <f t="shared" si="57"/>
        <v>0</v>
      </c>
      <c r="R286" s="38">
        <f t="shared" si="58"/>
        <v>331</v>
      </c>
      <c r="T286" t="s">
        <v>1361</v>
      </c>
    </row>
    <row r="287" spans="1:20" ht="15.75" customHeight="1" x14ac:dyDescent="0.3">
      <c r="A287" s="256" t="s">
        <v>1138</v>
      </c>
      <c r="B287" s="172">
        <v>1</v>
      </c>
      <c r="C287" s="172">
        <v>1</v>
      </c>
      <c r="D287" s="172">
        <v>1</v>
      </c>
      <c r="E287" s="38">
        <f t="shared" si="54"/>
        <v>3</v>
      </c>
      <c r="F287" s="172">
        <v>2</v>
      </c>
      <c r="G287" s="172">
        <v>1</v>
      </c>
      <c r="H287" s="172">
        <v>1</v>
      </c>
      <c r="I287" s="38">
        <f t="shared" si="55"/>
        <v>4</v>
      </c>
      <c r="J287" s="172">
        <v>1</v>
      </c>
      <c r="K287" s="172">
        <v>2</v>
      </c>
      <c r="L287" s="172">
        <v>1</v>
      </c>
      <c r="M287" s="38">
        <f t="shared" si="56"/>
        <v>4</v>
      </c>
      <c r="N287" s="172">
        <v>2</v>
      </c>
      <c r="O287" s="172">
        <v>1</v>
      </c>
      <c r="P287" s="172">
        <v>1</v>
      </c>
      <c r="Q287" s="38">
        <f t="shared" si="57"/>
        <v>4</v>
      </c>
      <c r="R287" s="38">
        <f t="shared" si="58"/>
        <v>15</v>
      </c>
      <c r="T287" t="s">
        <v>2174</v>
      </c>
    </row>
    <row r="288" spans="1:20" ht="15.75" customHeight="1" x14ac:dyDescent="0.3">
      <c r="A288" s="410" t="s">
        <v>2628</v>
      </c>
      <c r="B288" s="172"/>
      <c r="C288" s="172"/>
      <c r="D288" s="172"/>
      <c r="E288" s="38">
        <f t="shared" si="54"/>
        <v>0</v>
      </c>
      <c r="F288" s="172"/>
      <c r="G288" s="172"/>
      <c r="H288" s="172"/>
      <c r="I288" s="38">
        <f t="shared" si="55"/>
        <v>0</v>
      </c>
      <c r="J288" s="172"/>
      <c r="K288" s="172"/>
      <c r="L288" s="172"/>
      <c r="M288" s="38">
        <f t="shared" si="56"/>
        <v>0</v>
      </c>
      <c r="N288" s="172">
        <v>46</v>
      </c>
      <c r="O288" s="172">
        <v>6</v>
      </c>
      <c r="P288" s="172">
        <v>0</v>
      </c>
      <c r="Q288" s="38">
        <f t="shared" si="57"/>
        <v>52</v>
      </c>
      <c r="R288" s="38">
        <f t="shared" si="58"/>
        <v>52</v>
      </c>
      <c r="T288" t="s">
        <v>2174</v>
      </c>
    </row>
    <row r="289" spans="1:20" ht="15.75" customHeight="1" x14ac:dyDescent="0.3">
      <c r="A289" s="256" t="s">
        <v>875</v>
      </c>
      <c r="B289" s="172">
        <v>30</v>
      </c>
      <c r="C289" s="172">
        <v>29</v>
      </c>
      <c r="D289" s="172">
        <v>43</v>
      </c>
      <c r="E289" s="38">
        <f t="shared" si="54"/>
        <v>102</v>
      </c>
      <c r="F289" s="172">
        <v>44</v>
      </c>
      <c r="G289" s="172">
        <v>59</v>
      </c>
      <c r="H289" s="172">
        <v>83</v>
      </c>
      <c r="I289" s="38">
        <f t="shared" si="55"/>
        <v>186</v>
      </c>
      <c r="J289" s="172">
        <v>55</v>
      </c>
      <c r="K289" s="172">
        <v>51</v>
      </c>
      <c r="L289" s="172">
        <v>33</v>
      </c>
      <c r="M289" s="38">
        <f t="shared" si="56"/>
        <v>139</v>
      </c>
      <c r="N289" s="172">
        <v>75</v>
      </c>
      <c r="O289" s="172">
        <v>39</v>
      </c>
      <c r="P289" s="172">
        <v>32</v>
      </c>
      <c r="Q289" s="38">
        <f t="shared" si="57"/>
        <v>146</v>
      </c>
      <c r="R289" s="38">
        <f t="shared" si="58"/>
        <v>573</v>
      </c>
      <c r="T289" t="s">
        <v>2175</v>
      </c>
    </row>
    <row r="290" spans="1:20" ht="15.75" customHeight="1" x14ac:dyDescent="0.3">
      <c r="A290" s="256" t="s">
        <v>1059</v>
      </c>
      <c r="B290" s="172">
        <v>2</v>
      </c>
      <c r="C290" s="172">
        <v>1</v>
      </c>
      <c r="D290" s="172">
        <v>2</v>
      </c>
      <c r="E290" s="38">
        <f t="shared" si="54"/>
        <v>5</v>
      </c>
      <c r="F290" s="172">
        <v>2</v>
      </c>
      <c r="G290" s="172">
        <v>2</v>
      </c>
      <c r="H290" s="172">
        <v>2</v>
      </c>
      <c r="I290" s="38">
        <f t="shared" si="55"/>
        <v>6</v>
      </c>
      <c r="J290" s="172">
        <v>1</v>
      </c>
      <c r="K290" s="172">
        <v>2</v>
      </c>
      <c r="L290" s="172">
        <v>2</v>
      </c>
      <c r="M290" s="38">
        <f t="shared" si="56"/>
        <v>5</v>
      </c>
      <c r="N290" s="172">
        <v>2</v>
      </c>
      <c r="O290" s="172">
        <v>1</v>
      </c>
      <c r="P290" s="172">
        <v>1</v>
      </c>
      <c r="Q290" s="38">
        <f t="shared" si="57"/>
        <v>4</v>
      </c>
      <c r="R290" s="38">
        <f t="shared" si="58"/>
        <v>20</v>
      </c>
      <c r="T290" t="s">
        <v>1358</v>
      </c>
    </row>
    <row r="291" spans="1:20" ht="15.75" customHeight="1" x14ac:dyDescent="0.3">
      <c r="A291" s="311" t="s">
        <v>644</v>
      </c>
      <c r="B291" s="172"/>
      <c r="C291" s="172">
        <v>8</v>
      </c>
      <c r="D291" s="172"/>
      <c r="E291" s="38">
        <f>SUM(B291:D291)</f>
        <v>8</v>
      </c>
      <c r="F291" s="172">
        <v>9</v>
      </c>
      <c r="G291" s="172">
        <v>14</v>
      </c>
      <c r="H291" s="172">
        <v>17</v>
      </c>
      <c r="I291" s="38">
        <f>SUM(F291:H291)</f>
        <v>40</v>
      </c>
      <c r="J291" s="172">
        <v>0</v>
      </c>
      <c r="K291" s="172">
        <v>7</v>
      </c>
      <c r="L291" s="172">
        <v>0</v>
      </c>
      <c r="M291" s="38">
        <f>SUM(J291:L291)</f>
        <v>7</v>
      </c>
      <c r="N291" s="172">
        <v>0</v>
      </c>
      <c r="O291" s="172">
        <v>0</v>
      </c>
      <c r="P291" s="172">
        <v>5</v>
      </c>
      <c r="Q291" s="38">
        <f>SUM(N291:P291)</f>
        <v>5</v>
      </c>
      <c r="R291" s="38">
        <f>+E291+I291+M291+Q291</f>
        <v>60</v>
      </c>
    </row>
    <row r="292" spans="1:20" ht="15.75" customHeight="1" x14ac:dyDescent="0.3">
      <c r="A292" s="256" t="s">
        <v>231</v>
      </c>
      <c r="B292" s="172">
        <v>0</v>
      </c>
      <c r="C292" s="172">
        <v>0</v>
      </c>
      <c r="D292" s="172"/>
      <c r="E292" s="38">
        <f t="shared" si="54"/>
        <v>0</v>
      </c>
      <c r="F292" s="172">
        <v>0</v>
      </c>
      <c r="G292" s="172">
        <v>8</v>
      </c>
      <c r="H292" s="172">
        <v>32</v>
      </c>
      <c r="I292" s="38">
        <f t="shared" si="55"/>
        <v>40</v>
      </c>
      <c r="J292" s="172">
        <v>16</v>
      </c>
      <c r="K292" s="172">
        <v>12</v>
      </c>
      <c r="L292" s="172">
        <v>15</v>
      </c>
      <c r="M292" s="38">
        <f t="shared" si="56"/>
        <v>43</v>
      </c>
      <c r="N292" s="172">
        <v>0</v>
      </c>
      <c r="O292" s="172">
        <v>24</v>
      </c>
      <c r="P292" s="172">
        <v>2</v>
      </c>
      <c r="Q292" s="38">
        <f t="shared" si="57"/>
        <v>26</v>
      </c>
      <c r="R292" s="38">
        <f t="shared" si="58"/>
        <v>109</v>
      </c>
    </row>
    <row r="293" spans="1:20" ht="15.75" customHeight="1" x14ac:dyDescent="0.3">
      <c r="A293" s="256" t="s">
        <v>2220</v>
      </c>
      <c r="B293" s="172">
        <v>14</v>
      </c>
      <c r="C293" s="172">
        <v>11</v>
      </c>
      <c r="D293" s="172">
        <v>19</v>
      </c>
      <c r="E293" s="38">
        <f t="shared" si="54"/>
        <v>44</v>
      </c>
      <c r="F293" s="172">
        <v>23</v>
      </c>
      <c r="G293" s="172">
        <v>29</v>
      </c>
      <c r="H293" s="172">
        <v>27</v>
      </c>
      <c r="I293" s="38">
        <f t="shared" si="55"/>
        <v>79</v>
      </c>
      <c r="J293" s="172">
        <v>45</v>
      </c>
      <c r="K293" s="172">
        <v>36</v>
      </c>
      <c r="L293" s="172">
        <v>36</v>
      </c>
      <c r="M293" s="38">
        <f t="shared" si="56"/>
        <v>117</v>
      </c>
      <c r="N293" s="172">
        <v>85</v>
      </c>
      <c r="O293" s="172">
        <v>34</v>
      </c>
      <c r="P293" s="172">
        <v>19</v>
      </c>
      <c r="Q293" s="38">
        <f t="shared" si="57"/>
        <v>138</v>
      </c>
      <c r="R293" s="38">
        <f t="shared" si="58"/>
        <v>378</v>
      </c>
    </row>
    <row r="294" spans="1:20" ht="15.75" customHeight="1" x14ac:dyDescent="0.3">
      <c r="A294" s="234" t="s">
        <v>2162</v>
      </c>
      <c r="B294" s="172"/>
      <c r="C294" s="172"/>
      <c r="D294" s="172"/>
      <c r="E294" s="38" t="s">
        <v>852</v>
      </c>
      <c r="F294" s="172"/>
      <c r="G294" s="172"/>
      <c r="H294" s="172"/>
      <c r="I294" s="38" t="s">
        <v>852</v>
      </c>
      <c r="J294" s="172"/>
      <c r="K294" s="172"/>
      <c r="L294" s="172"/>
      <c r="M294" s="38" t="s">
        <v>852</v>
      </c>
      <c r="N294" s="172"/>
      <c r="O294" s="172"/>
      <c r="P294" s="172"/>
      <c r="Q294" s="38" t="s">
        <v>852</v>
      </c>
      <c r="R294" s="38" t="s">
        <v>852</v>
      </c>
      <c r="T294" t="s">
        <v>2175</v>
      </c>
    </row>
    <row r="295" spans="1:20" ht="15.75" customHeight="1" x14ac:dyDescent="0.3">
      <c r="A295" s="410" t="s">
        <v>2552</v>
      </c>
      <c r="B295" s="10"/>
      <c r="C295" s="10"/>
      <c r="D295" s="10">
        <v>240</v>
      </c>
      <c r="E295" s="38">
        <f>SUM(B295:D295)</f>
        <v>240</v>
      </c>
      <c r="F295" s="10"/>
      <c r="G295" s="10"/>
      <c r="H295" s="10"/>
      <c r="I295" s="38">
        <f>SUM(F295:H295)</f>
        <v>0</v>
      </c>
      <c r="J295" s="10"/>
      <c r="K295" s="10"/>
      <c r="L295" s="10"/>
      <c r="M295" s="38">
        <f>SUM(J295:L295)</f>
        <v>0</v>
      </c>
      <c r="N295" s="10"/>
      <c r="O295" s="10"/>
      <c r="P295" s="10"/>
      <c r="Q295" s="38">
        <f>SUM(N295:P295)</f>
        <v>0</v>
      </c>
      <c r="R295" s="38">
        <f>+E295+I295+M295+Q295</f>
        <v>240</v>
      </c>
      <c r="T295" t="s">
        <v>294</v>
      </c>
    </row>
    <row r="296" spans="1:20" ht="15.75" customHeight="1" x14ac:dyDescent="0.3">
      <c r="A296" s="410" t="s">
        <v>2553</v>
      </c>
      <c r="B296" s="10"/>
      <c r="C296" s="10"/>
      <c r="D296" s="10"/>
      <c r="E296" s="38">
        <f>SUM(B296:D296)</f>
        <v>0</v>
      </c>
      <c r="F296" s="10"/>
      <c r="G296" s="10">
        <v>3920</v>
      </c>
      <c r="H296" s="10">
        <v>2080</v>
      </c>
      <c r="I296" s="38">
        <f>SUM(F296:H296)</f>
        <v>6000</v>
      </c>
      <c r="J296" s="10"/>
      <c r="K296" s="10"/>
      <c r="L296" s="10"/>
      <c r="M296" s="38">
        <f>SUM(J296:L296)</f>
        <v>0</v>
      </c>
      <c r="N296" s="10"/>
      <c r="O296" s="10"/>
      <c r="P296" s="10"/>
      <c r="Q296" s="38">
        <f>SUM(N296:P296)</f>
        <v>0</v>
      </c>
      <c r="R296" s="38">
        <f>+E296+I296+M296+Q296</f>
        <v>6000</v>
      </c>
      <c r="T296" t="s">
        <v>2174</v>
      </c>
    </row>
    <row r="297" spans="1:20" ht="15.75" customHeight="1" x14ac:dyDescent="0.3">
      <c r="A297" s="410" t="s">
        <v>2554</v>
      </c>
      <c r="B297" s="10"/>
      <c r="C297" s="10"/>
      <c r="D297" s="10"/>
      <c r="E297" s="38">
        <f>SUM(B297:D297)</f>
        <v>0</v>
      </c>
      <c r="F297" s="10"/>
      <c r="G297" s="10">
        <v>2316</v>
      </c>
      <c r="H297" s="10">
        <v>684</v>
      </c>
      <c r="I297" s="38">
        <f>SUM(F297:H297)</f>
        <v>3000</v>
      </c>
      <c r="J297" s="10"/>
      <c r="K297" s="10"/>
      <c r="L297" s="10"/>
      <c r="M297" s="38">
        <f>SUM(J297:L297)</f>
        <v>0</v>
      </c>
      <c r="N297" s="10"/>
      <c r="O297" s="10"/>
      <c r="P297" s="10"/>
      <c r="Q297" s="38">
        <f>SUM(N297:P297)</f>
        <v>0</v>
      </c>
      <c r="R297" s="38">
        <f>+E297+I297+M297+Q297</f>
        <v>3000</v>
      </c>
      <c r="T297" t="s">
        <v>1427</v>
      </c>
    </row>
    <row r="298" spans="1:20" ht="15.75" customHeight="1" x14ac:dyDescent="0.3">
      <c r="A298" s="410" t="s">
        <v>2555</v>
      </c>
      <c r="B298" s="10"/>
      <c r="C298" s="10"/>
      <c r="D298" s="10"/>
      <c r="E298" s="38">
        <f>SUM(B298:D298)</f>
        <v>0</v>
      </c>
      <c r="F298" s="10">
        <v>1000</v>
      </c>
      <c r="G298" s="10"/>
      <c r="H298" s="10"/>
      <c r="I298" s="38">
        <f>SUM(F298:H298)</f>
        <v>1000</v>
      </c>
      <c r="J298" s="10">
        <v>500</v>
      </c>
      <c r="K298" s="10"/>
      <c r="L298" s="10"/>
      <c r="M298" s="38">
        <f>SUM(J298:L298)</f>
        <v>500</v>
      </c>
      <c r="N298" s="10"/>
      <c r="O298" s="10"/>
      <c r="P298" s="10">
        <v>215</v>
      </c>
      <c r="Q298" s="38">
        <f>SUM(N298:P298)</f>
        <v>215</v>
      </c>
      <c r="R298" s="38">
        <f>+E298+I298+M298+Q298</f>
        <v>1715</v>
      </c>
      <c r="T298" t="s">
        <v>2175</v>
      </c>
    </row>
    <row r="299" spans="1:20" ht="16.5" customHeight="1" thickBot="1" x14ac:dyDescent="0.35">
      <c r="A299" s="234" t="s">
        <v>2164</v>
      </c>
      <c r="B299" s="172"/>
      <c r="C299" s="172"/>
      <c r="D299" s="172"/>
      <c r="E299" s="38" t="s">
        <v>852</v>
      </c>
      <c r="F299" s="172"/>
      <c r="G299" s="172"/>
      <c r="H299" s="172"/>
      <c r="I299" s="38" t="s">
        <v>852</v>
      </c>
      <c r="J299" s="172"/>
      <c r="K299" s="172"/>
      <c r="L299" s="172"/>
      <c r="M299" s="38" t="s">
        <v>852</v>
      </c>
      <c r="N299" s="172"/>
      <c r="O299" s="172"/>
      <c r="P299" s="172"/>
      <c r="Q299" s="38" t="s">
        <v>852</v>
      </c>
      <c r="R299" s="40" t="s">
        <v>852</v>
      </c>
      <c r="T299" t="s">
        <v>2178</v>
      </c>
    </row>
    <row r="300" spans="1:20" ht="16.5" customHeight="1" thickBot="1" x14ac:dyDescent="0.35">
      <c r="A300" s="276" t="s">
        <v>1218</v>
      </c>
      <c r="B300" s="45">
        <f>SUM(B265:B299)</f>
        <v>3819</v>
      </c>
      <c r="C300" s="46">
        <f>SUM(C265:C299)</f>
        <v>2004</v>
      </c>
      <c r="D300" s="46">
        <f>SUM(D265:D299)</f>
        <v>809</v>
      </c>
      <c r="E300" s="37">
        <f>SUM(B300:D300)</f>
        <v>6632</v>
      </c>
      <c r="F300" s="46">
        <f>SUM(F265:F299)</f>
        <v>5658</v>
      </c>
      <c r="G300" s="46">
        <f>SUM(G265:G299)</f>
        <v>20115</v>
      </c>
      <c r="H300" s="46">
        <f>SUM(H265:H299)</f>
        <v>14588</v>
      </c>
      <c r="I300" s="37">
        <f>SUM(F300:H300)</f>
        <v>40361</v>
      </c>
      <c r="J300" s="46">
        <f>SUM(J265:J299)</f>
        <v>6703</v>
      </c>
      <c r="K300" s="46">
        <f>SUM(K265:K299)</f>
        <v>6072</v>
      </c>
      <c r="L300" s="46">
        <f>SUM(L265:L299)</f>
        <v>5285</v>
      </c>
      <c r="M300" s="37">
        <f>SUM(J300:L300)</f>
        <v>18060</v>
      </c>
      <c r="N300" s="46">
        <f>SUM(N265:N299)</f>
        <v>6221</v>
      </c>
      <c r="O300" s="46">
        <f>SUM(O265:O299)</f>
        <v>6042</v>
      </c>
      <c r="P300" s="46">
        <f>SUM(P265:P299)</f>
        <v>4666</v>
      </c>
      <c r="Q300" s="37">
        <f>SUM(N300:P300)</f>
        <v>16929</v>
      </c>
      <c r="R300" s="37">
        <f>+E300+I300+M300+Q300</f>
        <v>81982</v>
      </c>
      <c r="T300" s="230" t="s">
        <v>66</v>
      </c>
    </row>
    <row r="301" spans="1:20" ht="15.75" customHeight="1" x14ac:dyDescent="0.3">
      <c r="A301" s="234" t="s">
        <v>1172</v>
      </c>
      <c r="B301" s="172"/>
      <c r="C301" s="172"/>
      <c r="D301" s="172"/>
      <c r="E301" s="38" t="s">
        <v>852</v>
      </c>
      <c r="F301" s="172"/>
      <c r="G301" s="172"/>
      <c r="H301" s="172"/>
      <c r="I301" s="38" t="s">
        <v>852</v>
      </c>
      <c r="J301" s="172"/>
      <c r="K301" s="172"/>
      <c r="L301" s="172"/>
      <c r="M301" s="38" t="s">
        <v>852</v>
      </c>
      <c r="N301" s="172"/>
      <c r="O301" s="172"/>
      <c r="P301" s="172"/>
      <c r="Q301" s="38" t="s">
        <v>852</v>
      </c>
      <c r="R301" s="38" t="s">
        <v>852</v>
      </c>
    </row>
    <row r="302" spans="1:20" ht="15.75" customHeight="1" x14ac:dyDescent="0.3">
      <c r="A302" s="234" t="s">
        <v>1025</v>
      </c>
      <c r="B302" s="172"/>
      <c r="C302" s="172"/>
      <c r="D302" s="172"/>
      <c r="E302" s="38"/>
      <c r="F302" s="172"/>
      <c r="G302" s="172"/>
      <c r="H302" s="172"/>
      <c r="I302" s="38"/>
      <c r="J302" s="172"/>
      <c r="K302" s="172"/>
      <c r="L302" s="172"/>
      <c r="M302" s="38"/>
      <c r="N302" s="172"/>
      <c r="O302" s="172"/>
      <c r="P302" s="172"/>
      <c r="Q302" s="38"/>
      <c r="R302" s="38"/>
    </row>
    <row r="303" spans="1:20" ht="15.75" customHeight="1" x14ac:dyDescent="0.3">
      <c r="A303" s="234" t="s">
        <v>2409</v>
      </c>
      <c r="B303" s="172"/>
      <c r="C303" s="172"/>
      <c r="D303" s="172"/>
      <c r="E303" s="38" t="s">
        <v>852</v>
      </c>
      <c r="F303" s="172"/>
      <c r="G303" s="172"/>
      <c r="H303" s="172"/>
      <c r="I303" s="38" t="s">
        <v>852</v>
      </c>
      <c r="J303" s="172"/>
      <c r="K303" s="172"/>
      <c r="L303" s="172"/>
      <c r="M303" s="38" t="s">
        <v>852</v>
      </c>
      <c r="N303" s="172"/>
      <c r="O303" s="172"/>
      <c r="P303" s="172"/>
      <c r="Q303" s="38" t="s">
        <v>852</v>
      </c>
      <c r="R303" s="38" t="s">
        <v>852</v>
      </c>
      <c r="T303" t="s">
        <v>2174</v>
      </c>
    </row>
    <row r="304" spans="1:20" ht="15.75" customHeight="1" x14ac:dyDescent="0.3">
      <c r="A304" s="256" t="s">
        <v>2099</v>
      </c>
      <c r="B304" s="10">
        <v>4</v>
      </c>
      <c r="C304" s="10">
        <v>534</v>
      </c>
      <c r="D304" s="10">
        <v>1434</v>
      </c>
      <c r="E304" s="38">
        <f>SUM(B304:D304)</f>
        <v>1972</v>
      </c>
      <c r="F304" s="10">
        <v>2528</v>
      </c>
      <c r="G304" s="10">
        <v>2880</v>
      </c>
      <c r="H304" s="10">
        <v>4278</v>
      </c>
      <c r="I304" s="38">
        <f>SUM(F304:H304)</f>
        <v>9686</v>
      </c>
      <c r="J304" s="10">
        <v>4575</v>
      </c>
      <c r="K304" s="10">
        <v>5312</v>
      </c>
      <c r="L304" s="10">
        <v>2766</v>
      </c>
      <c r="M304" s="38">
        <f>SUM(J304:L304)</f>
        <v>12653</v>
      </c>
      <c r="N304" s="10">
        <v>1962</v>
      </c>
      <c r="O304" s="10">
        <v>1293</v>
      </c>
      <c r="P304" s="10">
        <v>928</v>
      </c>
      <c r="Q304" s="38">
        <f>SUM(N304:P304)</f>
        <v>4183</v>
      </c>
      <c r="R304" s="38">
        <f t="shared" ref="R304:R311" si="59">+E304+I304+M304+Q304</f>
        <v>28494</v>
      </c>
    </row>
    <row r="305" spans="1:20" ht="15.75" customHeight="1" x14ac:dyDescent="0.3">
      <c r="A305" s="256" t="s">
        <v>357</v>
      </c>
      <c r="B305" s="172"/>
      <c r="C305" s="172"/>
      <c r="D305" s="172"/>
      <c r="E305" s="38">
        <f>SUM(B305:D305)</f>
        <v>0</v>
      </c>
      <c r="F305" s="172">
        <v>59</v>
      </c>
      <c r="G305" s="172">
        <v>68</v>
      </c>
      <c r="H305" s="172">
        <v>76</v>
      </c>
      <c r="I305" s="38">
        <f>SUM(F305:H305)</f>
        <v>203</v>
      </c>
      <c r="J305" s="172">
        <v>25</v>
      </c>
      <c r="K305" s="172">
        <v>42</v>
      </c>
      <c r="L305" s="172">
        <v>41</v>
      </c>
      <c r="M305" s="38">
        <f>SUM(J305:L305)</f>
        <v>108</v>
      </c>
      <c r="N305" s="172">
        <v>112</v>
      </c>
      <c r="O305" s="172">
        <v>0</v>
      </c>
      <c r="P305" s="172">
        <v>0</v>
      </c>
      <c r="Q305" s="38">
        <f>SUM(N305:P305)</f>
        <v>112</v>
      </c>
      <c r="R305" s="38">
        <f t="shared" si="59"/>
        <v>423</v>
      </c>
    </row>
    <row r="306" spans="1:20" ht="15.75" customHeight="1" x14ac:dyDescent="0.3">
      <c r="A306" s="311" t="s">
        <v>909</v>
      </c>
      <c r="B306" s="172">
        <v>1237</v>
      </c>
      <c r="C306" s="172">
        <v>3135</v>
      </c>
      <c r="D306" s="172">
        <v>6091</v>
      </c>
      <c r="E306" s="38">
        <f t="shared" ref="E306:E311" si="60">SUM(B306:D306)</f>
        <v>10463</v>
      </c>
      <c r="F306" s="172">
        <v>9728</v>
      </c>
      <c r="G306" s="172">
        <v>10412</v>
      </c>
      <c r="H306" s="172">
        <v>4097</v>
      </c>
      <c r="I306" s="38">
        <f t="shared" ref="I306:I311" si="61">SUM(F306:H306)</f>
        <v>24237</v>
      </c>
      <c r="J306" s="172">
        <v>1098</v>
      </c>
      <c r="K306" s="172">
        <v>100</v>
      </c>
      <c r="L306" s="172"/>
      <c r="M306" s="38">
        <f t="shared" ref="M306:M311" si="62">SUM(J306:L306)</f>
        <v>1198</v>
      </c>
      <c r="N306" s="172"/>
      <c r="O306" s="172">
        <v>425</v>
      </c>
      <c r="P306" s="172"/>
      <c r="Q306" s="38">
        <f t="shared" ref="Q306:Q311" si="63">SUM(N306:P306)</f>
        <v>425</v>
      </c>
      <c r="R306" s="38">
        <f t="shared" si="59"/>
        <v>36323</v>
      </c>
    </row>
    <row r="307" spans="1:20" ht="15.75" customHeight="1" x14ac:dyDescent="0.3">
      <c r="A307" s="410" t="s">
        <v>2539</v>
      </c>
      <c r="B307" s="172">
        <v>1248</v>
      </c>
      <c r="C307" s="172">
        <v>1567</v>
      </c>
      <c r="D307" s="172">
        <v>6093</v>
      </c>
      <c r="E307" s="38">
        <f t="shared" si="60"/>
        <v>8908</v>
      </c>
      <c r="F307" s="172">
        <v>13712</v>
      </c>
      <c r="G307" s="172">
        <v>24405</v>
      </c>
      <c r="H307" s="172">
        <v>23863</v>
      </c>
      <c r="I307" s="38">
        <f t="shared" si="61"/>
        <v>61980</v>
      </c>
      <c r="J307" s="172">
        <v>7272</v>
      </c>
      <c r="K307" s="172">
        <v>11511</v>
      </c>
      <c r="L307" s="172">
        <v>10658</v>
      </c>
      <c r="M307" s="38">
        <f t="shared" si="62"/>
        <v>29441</v>
      </c>
      <c r="N307" s="172">
        <v>6876</v>
      </c>
      <c r="O307" s="172">
        <v>3656</v>
      </c>
      <c r="P307" s="172">
        <v>3750.00000000001</v>
      </c>
      <c r="Q307" s="38">
        <f t="shared" si="63"/>
        <v>14282.000000000011</v>
      </c>
      <c r="R307" s="38">
        <f t="shared" si="59"/>
        <v>114611.00000000001</v>
      </c>
      <c r="T307" t="s">
        <v>2176</v>
      </c>
    </row>
    <row r="308" spans="1:20" ht="15.75" customHeight="1" x14ac:dyDescent="0.3">
      <c r="A308" s="256" t="s">
        <v>612</v>
      </c>
      <c r="B308" s="172">
        <v>1000</v>
      </c>
      <c r="C308" s="172">
        <v>2948</v>
      </c>
      <c r="D308" s="172">
        <v>3897</v>
      </c>
      <c r="E308" s="38">
        <f t="shared" si="60"/>
        <v>7845</v>
      </c>
      <c r="F308" s="172">
        <v>6774</v>
      </c>
      <c r="G308" s="172">
        <v>126</v>
      </c>
      <c r="H308" s="172">
        <v>8712</v>
      </c>
      <c r="I308" s="38">
        <f t="shared" si="61"/>
        <v>15612</v>
      </c>
      <c r="J308" s="172">
        <v>3733</v>
      </c>
      <c r="K308" s="172">
        <v>1759</v>
      </c>
      <c r="L308" s="172">
        <v>1623</v>
      </c>
      <c r="M308" s="38">
        <f t="shared" si="62"/>
        <v>7115</v>
      </c>
      <c r="N308" s="172">
        <v>3766</v>
      </c>
      <c r="O308" s="172">
        <v>3500</v>
      </c>
      <c r="P308" s="172"/>
      <c r="Q308" s="38">
        <f t="shared" si="63"/>
        <v>7266</v>
      </c>
      <c r="R308" s="38">
        <f t="shared" si="59"/>
        <v>37838</v>
      </c>
    </row>
    <row r="309" spans="1:20" ht="15.75" customHeight="1" x14ac:dyDescent="0.3">
      <c r="A309" s="256" t="s">
        <v>626</v>
      </c>
      <c r="B309" s="172">
        <v>958</v>
      </c>
      <c r="C309" s="172">
        <v>1753</v>
      </c>
      <c r="D309" s="172">
        <v>3303</v>
      </c>
      <c r="E309" s="38">
        <f t="shared" si="60"/>
        <v>6014</v>
      </c>
      <c r="F309" s="172">
        <v>3762</v>
      </c>
      <c r="G309" s="172">
        <v>2224</v>
      </c>
      <c r="H309" s="172"/>
      <c r="I309" s="38">
        <f t="shared" si="61"/>
        <v>5986</v>
      </c>
      <c r="J309" s="172"/>
      <c r="K309" s="172"/>
      <c r="L309" s="172"/>
      <c r="M309" s="38">
        <f t="shared" si="62"/>
        <v>0</v>
      </c>
      <c r="N309" s="172"/>
      <c r="O309" s="172"/>
      <c r="P309" s="172"/>
      <c r="Q309" s="38">
        <f t="shared" si="63"/>
        <v>0</v>
      </c>
      <c r="R309" s="38">
        <f t="shared" si="59"/>
        <v>12000</v>
      </c>
      <c r="T309" t="s">
        <v>2177</v>
      </c>
    </row>
    <row r="310" spans="1:20" ht="15.75" customHeight="1" x14ac:dyDescent="0.3">
      <c r="A310" s="256" t="s">
        <v>342</v>
      </c>
      <c r="B310" s="172">
        <v>893</v>
      </c>
      <c r="C310" s="172">
        <v>848</v>
      </c>
      <c r="D310" s="172">
        <v>2951</v>
      </c>
      <c r="E310" s="38">
        <f t="shared" si="60"/>
        <v>4692</v>
      </c>
      <c r="F310" s="172">
        <v>308</v>
      </c>
      <c r="G310" s="172"/>
      <c r="H310" s="172"/>
      <c r="I310" s="38">
        <f t="shared" si="61"/>
        <v>308</v>
      </c>
      <c r="J310" s="172"/>
      <c r="K310" s="172"/>
      <c r="L310" s="172"/>
      <c r="M310" s="38">
        <f t="shared" si="62"/>
        <v>0</v>
      </c>
      <c r="N310" s="172"/>
      <c r="O310" s="172"/>
      <c r="P310" s="172"/>
      <c r="Q310" s="38">
        <f t="shared" si="63"/>
        <v>0</v>
      </c>
      <c r="R310" s="38">
        <f t="shared" si="59"/>
        <v>5000</v>
      </c>
      <c r="T310" t="s">
        <v>2177</v>
      </c>
    </row>
    <row r="311" spans="1:20" ht="15.75" customHeight="1" x14ac:dyDescent="0.3">
      <c r="A311" s="256" t="s">
        <v>1513</v>
      </c>
      <c r="B311" s="172">
        <v>45</v>
      </c>
      <c r="C311" s="172">
        <v>0</v>
      </c>
      <c r="D311" s="172">
        <v>285</v>
      </c>
      <c r="E311" s="38">
        <f t="shared" si="60"/>
        <v>330</v>
      </c>
      <c r="F311" s="172">
        <v>895</v>
      </c>
      <c r="G311" s="172">
        <v>1473</v>
      </c>
      <c r="H311" s="172">
        <v>3067</v>
      </c>
      <c r="I311" s="38">
        <f t="shared" si="61"/>
        <v>5435</v>
      </c>
      <c r="J311" s="172">
        <v>3074</v>
      </c>
      <c r="K311" s="172">
        <v>2549</v>
      </c>
      <c r="L311" s="172">
        <v>454</v>
      </c>
      <c r="M311" s="38">
        <f t="shared" si="62"/>
        <v>6077</v>
      </c>
      <c r="N311" s="172">
        <v>297</v>
      </c>
      <c r="O311" s="172">
        <v>62</v>
      </c>
      <c r="P311" s="172">
        <v>548</v>
      </c>
      <c r="Q311" s="38">
        <f t="shared" si="63"/>
        <v>907</v>
      </c>
      <c r="R311" s="38">
        <f t="shared" si="59"/>
        <v>12749</v>
      </c>
      <c r="T311" t="s">
        <v>2177</v>
      </c>
    </row>
    <row r="312" spans="1:20" ht="15.75" customHeight="1" thickBot="1" x14ac:dyDescent="0.35">
      <c r="A312" s="234" t="s">
        <v>2165</v>
      </c>
      <c r="B312" s="172"/>
      <c r="C312" s="172"/>
      <c r="D312" s="172"/>
      <c r="E312" s="38" t="s">
        <v>852</v>
      </c>
      <c r="F312" s="172"/>
      <c r="G312" s="172"/>
      <c r="H312" s="172"/>
      <c r="I312" s="38" t="s">
        <v>852</v>
      </c>
      <c r="J312" s="172"/>
      <c r="K312" s="172"/>
      <c r="L312" s="172"/>
      <c r="M312" s="38" t="s">
        <v>852</v>
      </c>
      <c r="N312" s="172"/>
      <c r="O312" s="172"/>
      <c r="P312" s="172"/>
      <c r="Q312" s="38" t="s">
        <v>852</v>
      </c>
      <c r="R312" s="38" t="s">
        <v>852</v>
      </c>
      <c r="T312" t="s">
        <v>72</v>
      </c>
    </row>
    <row r="313" spans="1:20" ht="16.5" customHeight="1" thickBot="1" x14ac:dyDescent="0.35">
      <c r="A313" s="43" t="s">
        <v>1219</v>
      </c>
      <c r="B313" s="45">
        <f>SUM(B301:B312)</f>
        <v>5385</v>
      </c>
      <c r="C313" s="46">
        <f>SUM(C301:C312)</f>
        <v>10785</v>
      </c>
      <c r="D313" s="46">
        <f>SUM(D301:D312)</f>
        <v>24054</v>
      </c>
      <c r="E313" s="37">
        <f>SUM(B313:D313)</f>
        <v>40224</v>
      </c>
      <c r="F313" s="46">
        <f>SUM(F301:F312)</f>
        <v>37766</v>
      </c>
      <c r="G313" s="46">
        <f>SUM(G301:G312)</f>
        <v>41588</v>
      </c>
      <c r="H313" s="46">
        <f>SUM(H301:H312)</f>
        <v>44093</v>
      </c>
      <c r="I313" s="37">
        <f>SUM(F313:H313)</f>
        <v>123447</v>
      </c>
      <c r="J313" s="46">
        <f>SUM(J301:J312)</f>
        <v>19777</v>
      </c>
      <c r="K313" s="46">
        <f>SUM(K301:K312)</f>
        <v>21273</v>
      </c>
      <c r="L313" s="46">
        <f>SUM(L301:L312)</f>
        <v>15542</v>
      </c>
      <c r="M313" s="37">
        <f>SUM(J313:L313)</f>
        <v>56592</v>
      </c>
      <c r="N313" s="46">
        <f>SUM(N301:N312)</f>
        <v>13013</v>
      </c>
      <c r="O313" s="46">
        <f>SUM(O301:O312)</f>
        <v>8936</v>
      </c>
      <c r="P313" s="46">
        <f>SUM(P301:P312)</f>
        <v>5226.00000000001</v>
      </c>
      <c r="Q313" s="37">
        <f>SUM(N313:P313)</f>
        <v>27175.000000000011</v>
      </c>
      <c r="R313" s="37">
        <f>+E313+I313+M313+Q313</f>
        <v>247438</v>
      </c>
      <c r="T313" t="s">
        <v>2174</v>
      </c>
    </row>
    <row r="314" spans="1:20" ht="15.75" customHeight="1" x14ac:dyDescent="0.3">
      <c r="A314" s="234" t="s">
        <v>2166</v>
      </c>
      <c r="B314" s="172"/>
      <c r="C314" s="172"/>
      <c r="D314" s="172"/>
      <c r="E314" s="38" t="s">
        <v>852</v>
      </c>
      <c r="F314" s="172"/>
      <c r="G314" s="172"/>
      <c r="H314" s="172"/>
      <c r="I314" s="38" t="s">
        <v>852</v>
      </c>
      <c r="J314" s="172"/>
      <c r="K314" s="172"/>
      <c r="L314" s="172"/>
      <c r="M314" s="38" t="s">
        <v>852</v>
      </c>
      <c r="N314" s="172"/>
      <c r="O314" s="172"/>
      <c r="P314" s="172"/>
      <c r="Q314" s="38" t="s">
        <v>852</v>
      </c>
      <c r="R314" s="38" t="s">
        <v>852</v>
      </c>
      <c r="T314" t="s">
        <v>2177</v>
      </c>
    </row>
    <row r="315" spans="1:20" ht="15.75" customHeight="1" x14ac:dyDescent="0.3">
      <c r="A315" s="234" t="s">
        <v>1245</v>
      </c>
      <c r="B315" s="172"/>
      <c r="C315" s="172"/>
      <c r="D315" s="172"/>
      <c r="E315" s="38" t="s">
        <v>852</v>
      </c>
      <c r="F315" s="172"/>
      <c r="G315" s="172"/>
      <c r="H315" s="172"/>
      <c r="I315" s="38" t="s">
        <v>852</v>
      </c>
      <c r="J315" s="172"/>
      <c r="K315" s="172"/>
      <c r="L315" s="172"/>
      <c r="M315" s="38" t="s">
        <v>852</v>
      </c>
      <c r="N315" s="172"/>
      <c r="O315" s="172"/>
      <c r="P315" s="172"/>
      <c r="Q315" s="38" t="s">
        <v>852</v>
      </c>
      <c r="R315" s="38" t="s">
        <v>852</v>
      </c>
      <c r="T315" t="s">
        <v>2177</v>
      </c>
    </row>
    <row r="316" spans="1:20" ht="15.75" customHeight="1" x14ac:dyDescent="0.3">
      <c r="A316" s="256" t="s">
        <v>727</v>
      </c>
      <c r="B316" s="172">
        <v>2863</v>
      </c>
      <c r="C316" s="172">
        <v>5143</v>
      </c>
      <c r="D316" s="172">
        <v>7624</v>
      </c>
      <c r="E316" s="38">
        <f>SUM(B316:D316)</f>
        <v>15630</v>
      </c>
      <c r="F316" s="172">
        <v>10452</v>
      </c>
      <c r="G316" s="172">
        <v>12255</v>
      </c>
      <c r="H316" s="172">
        <v>11714</v>
      </c>
      <c r="I316" s="38">
        <f>SUM(F316:H316)</f>
        <v>34421</v>
      </c>
      <c r="J316" s="172">
        <v>6985</v>
      </c>
      <c r="K316" s="172">
        <v>6275</v>
      </c>
      <c r="L316" s="172">
        <v>5150</v>
      </c>
      <c r="M316" s="38">
        <f>SUM(J316:L316)</f>
        <v>18410</v>
      </c>
      <c r="N316" s="172">
        <v>4022</v>
      </c>
      <c r="O316" s="172">
        <v>382</v>
      </c>
      <c r="P316" s="172">
        <v>3528</v>
      </c>
      <c r="Q316" s="38">
        <f>SUM(N316:P316)</f>
        <v>7932</v>
      </c>
      <c r="R316" s="38">
        <f>+E316+I316+M316+Q316</f>
        <v>76393</v>
      </c>
      <c r="T316" t="s">
        <v>2177</v>
      </c>
    </row>
    <row r="317" spans="1:20" ht="15.75" customHeight="1" x14ac:dyDescent="0.3">
      <c r="A317" s="410" t="s">
        <v>2618</v>
      </c>
      <c r="B317" s="10">
        <v>452</v>
      </c>
      <c r="C317" s="10">
        <v>2293</v>
      </c>
      <c r="D317" s="10">
        <v>3989</v>
      </c>
      <c r="E317" s="38">
        <f>SUM(B317:D317)</f>
        <v>6734</v>
      </c>
      <c r="F317" s="10">
        <v>9329</v>
      </c>
      <c r="G317" s="10">
        <v>8457</v>
      </c>
      <c r="H317" s="10">
        <v>11586</v>
      </c>
      <c r="I317" s="38">
        <f>SUM(F317:H317)</f>
        <v>29372</v>
      </c>
      <c r="J317" s="10">
        <v>10586</v>
      </c>
      <c r="K317" s="10">
        <v>8637</v>
      </c>
      <c r="L317" s="10">
        <v>9029</v>
      </c>
      <c r="M317" s="38">
        <f>SUM(J317:L317)</f>
        <v>28252</v>
      </c>
      <c r="N317" s="10">
        <v>7871</v>
      </c>
      <c r="O317" s="10"/>
      <c r="P317" s="10">
        <v>2075</v>
      </c>
      <c r="Q317" s="38">
        <f>SUM(N317:P317)</f>
        <v>9946</v>
      </c>
      <c r="R317" s="38">
        <f>+E317+I317+M317+Q317</f>
        <v>74304</v>
      </c>
      <c r="T317" t="s">
        <v>2177</v>
      </c>
    </row>
    <row r="318" spans="1:20" ht="15.75" customHeight="1" x14ac:dyDescent="0.3">
      <c r="A318" s="234" t="s">
        <v>1711</v>
      </c>
      <c r="B318" s="172"/>
      <c r="C318" s="172"/>
      <c r="D318" s="172"/>
      <c r="E318" s="38" t="s">
        <v>852</v>
      </c>
      <c r="F318" s="172"/>
      <c r="G318" s="172"/>
      <c r="H318" s="172"/>
      <c r="I318" s="38" t="s">
        <v>852</v>
      </c>
      <c r="J318" s="172"/>
      <c r="K318" s="172"/>
      <c r="L318" s="172"/>
      <c r="M318" s="38" t="s">
        <v>852</v>
      </c>
      <c r="N318" s="172"/>
      <c r="O318" s="172"/>
      <c r="P318" s="172"/>
      <c r="Q318" s="38" t="s">
        <v>852</v>
      </c>
      <c r="R318" s="38" t="s">
        <v>852</v>
      </c>
      <c r="T318" t="s">
        <v>2177</v>
      </c>
    </row>
    <row r="319" spans="1:20" ht="15.75" customHeight="1" x14ac:dyDescent="0.3">
      <c r="A319" s="256" t="s">
        <v>1091</v>
      </c>
      <c r="B319" s="10"/>
      <c r="C319" s="10"/>
      <c r="D319" s="10">
        <v>478</v>
      </c>
      <c r="E319" s="38">
        <f>SUM(B319:D319)</f>
        <v>478</v>
      </c>
      <c r="F319" s="10">
        <v>494</v>
      </c>
      <c r="G319" s="10"/>
      <c r="H319" s="10"/>
      <c r="I319" s="38">
        <f>SUM(F319:H319)</f>
        <v>494</v>
      </c>
      <c r="J319" s="10"/>
      <c r="K319" s="10"/>
      <c r="L319" s="10"/>
      <c r="M319" s="38">
        <f>SUM(J319:L319)</f>
        <v>0</v>
      </c>
      <c r="N319" s="10"/>
      <c r="O319" s="10"/>
      <c r="P319" s="10"/>
      <c r="Q319" s="38">
        <f>SUM(N319:P319)</f>
        <v>0</v>
      </c>
      <c r="R319" s="38">
        <f>+E319+I319+M319+Q319</f>
        <v>972</v>
      </c>
      <c r="T319" t="s">
        <v>2177</v>
      </c>
    </row>
    <row r="320" spans="1:20" ht="15.75" customHeight="1" x14ac:dyDescent="0.3">
      <c r="A320" s="410" t="s">
        <v>725</v>
      </c>
      <c r="B320" s="172">
        <v>390</v>
      </c>
      <c r="C320" s="172">
        <v>352</v>
      </c>
      <c r="D320" s="172">
        <v>478</v>
      </c>
      <c r="E320" s="38">
        <f t="shared" ref="E320:E346" si="64">SUM(B320:D320)</f>
        <v>1220</v>
      </c>
      <c r="F320" s="172">
        <v>317</v>
      </c>
      <c r="G320" s="172"/>
      <c r="H320" s="172"/>
      <c r="I320" s="38">
        <f t="shared" ref="I320:I346" si="65">SUM(F320:H320)</f>
        <v>317</v>
      </c>
      <c r="J320" s="172"/>
      <c r="K320" s="172"/>
      <c r="L320" s="172"/>
      <c r="M320" s="38">
        <f t="shared" ref="M320:M346" si="66">SUM(J320:L320)</f>
        <v>0</v>
      </c>
      <c r="N320" s="172"/>
      <c r="O320" s="172"/>
      <c r="P320" s="172"/>
      <c r="Q320" s="38">
        <f t="shared" ref="Q320:Q346" si="67">SUM(N320:P320)</f>
        <v>0</v>
      </c>
      <c r="R320" s="38">
        <f>+E320+I320+M320+Q320</f>
        <v>1537</v>
      </c>
      <c r="T320" t="s">
        <v>2177</v>
      </c>
    </row>
    <row r="321" spans="1:20" ht="15.75" customHeight="1" x14ac:dyDescent="0.3">
      <c r="A321" s="256" t="s">
        <v>1150</v>
      </c>
      <c r="B321" s="172"/>
      <c r="C321" s="172">
        <v>627</v>
      </c>
      <c r="D321" s="172"/>
      <c r="E321" s="38">
        <f t="shared" si="64"/>
        <v>627</v>
      </c>
      <c r="F321" s="172"/>
      <c r="G321" s="172"/>
      <c r="H321" s="172"/>
      <c r="I321" s="38">
        <f t="shared" si="65"/>
        <v>0</v>
      </c>
      <c r="J321" s="172"/>
      <c r="K321" s="172"/>
      <c r="L321" s="172"/>
      <c r="M321" s="38">
        <f t="shared" si="66"/>
        <v>0</v>
      </c>
      <c r="N321" s="172"/>
      <c r="O321" s="172"/>
      <c r="P321" s="172"/>
      <c r="Q321" s="38">
        <f t="shared" si="67"/>
        <v>0</v>
      </c>
      <c r="R321" s="38">
        <f t="shared" ref="R321:R344" si="68">+E321+I321+M321+Q321</f>
        <v>627</v>
      </c>
    </row>
    <row r="322" spans="1:20" ht="15.75" customHeight="1" x14ac:dyDescent="0.3">
      <c r="A322" s="410" t="s">
        <v>2598</v>
      </c>
      <c r="B322" s="172"/>
      <c r="C322" s="172"/>
      <c r="D322" s="172"/>
      <c r="E322" s="38">
        <f t="shared" si="64"/>
        <v>0</v>
      </c>
      <c r="F322" s="172"/>
      <c r="G322" s="172"/>
      <c r="H322" s="172"/>
      <c r="I322" s="38">
        <f>SUM(F322:H322)</f>
        <v>0</v>
      </c>
      <c r="J322" s="172"/>
      <c r="K322" s="172">
        <v>4083</v>
      </c>
      <c r="L322" s="172">
        <v>2302</v>
      </c>
      <c r="M322" s="38">
        <f>SUM(J322:L322)</f>
        <v>6385</v>
      </c>
      <c r="N322" s="172">
        <v>2172</v>
      </c>
      <c r="O322" s="172">
        <v>1877</v>
      </c>
      <c r="P322" s="172">
        <v>566</v>
      </c>
      <c r="Q322" s="38">
        <f>SUM(N322:P322)</f>
        <v>4615</v>
      </c>
      <c r="R322" s="38">
        <f>+E322+I322+M322+Q322</f>
        <v>11000</v>
      </c>
    </row>
    <row r="323" spans="1:20" ht="15.75" customHeight="1" x14ac:dyDescent="0.3">
      <c r="A323" s="311" t="s">
        <v>1380</v>
      </c>
      <c r="B323" s="10"/>
      <c r="C323" s="10">
        <v>2000</v>
      </c>
      <c r="D323" s="10">
        <v>8900</v>
      </c>
      <c r="E323" s="38">
        <f t="shared" si="64"/>
        <v>10900</v>
      </c>
      <c r="F323" s="10">
        <v>15000</v>
      </c>
      <c r="G323" s="10">
        <v>10000</v>
      </c>
      <c r="H323" s="10">
        <v>10000</v>
      </c>
      <c r="I323" s="38">
        <f t="shared" si="65"/>
        <v>35000</v>
      </c>
      <c r="J323" s="10">
        <v>11630</v>
      </c>
      <c r="K323" s="10">
        <v>5000</v>
      </c>
      <c r="L323" s="10"/>
      <c r="M323" s="38">
        <f t="shared" si="66"/>
        <v>16630</v>
      </c>
      <c r="N323" s="10"/>
      <c r="O323" s="10"/>
      <c r="P323" s="10"/>
      <c r="Q323" s="38">
        <f t="shared" si="67"/>
        <v>0</v>
      </c>
      <c r="R323" s="38">
        <f t="shared" si="68"/>
        <v>62530</v>
      </c>
    </row>
    <row r="324" spans="1:20" ht="15.75" customHeight="1" x14ac:dyDescent="0.3">
      <c r="A324" s="410" t="s">
        <v>2594</v>
      </c>
      <c r="B324" s="10"/>
      <c r="C324" s="10"/>
      <c r="D324" s="10"/>
      <c r="E324" s="38">
        <f t="shared" si="64"/>
        <v>0</v>
      </c>
      <c r="F324" s="10"/>
      <c r="G324" s="10">
        <v>2000</v>
      </c>
      <c r="H324" s="10"/>
      <c r="I324" s="38">
        <f t="shared" si="65"/>
        <v>2000</v>
      </c>
      <c r="J324" s="10"/>
      <c r="K324" s="10"/>
      <c r="L324" s="10"/>
      <c r="M324" s="38">
        <f t="shared" si="66"/>
        <v>0</v>
      </c>
      <c r="N324" s="10"/>
      <c r="O324" s="10"/>
      <c r="P324" s="10"/>
      <c r="Q324" s="38">
        <f t="shared" si="67"/>
        <v>0</v>
      </c>
      <c r="R324" s="38">
        <f t="shared" si="68"/>
        <v>2000</v>
      </c>
    </row>
    <row r="325" spans="1:20" ht="15.75" customHeight="1" x14ac:dyDescent="0.3">
      <c r="A325" s="311" t="s">
        <v>464</v>
      </c>
      <c r="B325" s="10">
        <v>1750</v>
      </c>
      <c r="C325" s="10">
        <v>4175</v>
      </c>
      <c r="D325" s="10">
        <v>7214</v>
      </c>
      <c r="E325" s="38">
        <f t="shared" si="64"/>
        <v>13139</v>
      </c>
      <c r="F325" s="10">
        <v>7657</v>
      </c>
      <c r="G325" s="10">
        <v>7935</v>
      </c>
      <c r="H325" s="10">
        <v>8705</v>
      </c>
      <c r="I325" s="38">
        <f t="shared" si="65"/>
        <v>24297</v>
      </c>
      <c r="J325" s="10">
        <v>9340</v>
      </c>
      <c r="K325" s="10">
        <v>9215</v>
      </c>
      <c r="L325" s="10">
        <v>7560</v>
      </c>
      <c r="M325" s="38">
        <f t="shared" si="66"/>
        <v>26115</v>
      </c>
      <c r="N325" s="10">
        <v>6666</v>
      </c>
      <c r="O325" s="10">
        <v>3597</v>
      </c>
      <c r="P325" s="10">
        <v>3136</v>
      </c>
      <c r="Q325" s="38">
        <f t="shared" si="67"/>
        <v>13399</v>
      </c>
      <c r="R325" s="38">
        <f t="shared" si="68"/>
        <v>76950</v>
      </c>
    </row>
    <row r="326" spans="1:20" ht="15.75" customHeight="1" x14ac:dyDescent="0.3">
      <c r="A326" s="410" t="s">
        <v>1381</v>
      </c>
      <c r="B326" s="10"/>
      <c r="C326" s="10"/>
      <c r="D326" s="10"/>
      <c r="E326" s="38">
        <f>SUM(B326:D326)</f>
        <v>0</v>
      </c>
      <c r="F326" s="10"/>
      <c r="G326" s="10">
        <v>0</v>
      </c>
      <c r="H326" s="10">
        <v>9657</v>
      </c>
      <c r="I326" s="38">
        <f>SUM(F326:H326)</f>
        <v>9657</v>
      </c>
      <c r="J326" s="10">
        <v>10960</v>
      </c>
      <c r="K326" s="10">
        <v>10903</v>
      </c>
      <c r="L326" s="10">
        <v>6590</v>
      </c>
      <c r="M326" s="38">
        <f>SUM(J326:L326)</f>
        <v>28453</v>
      </c>
      <c r="N326" s="10">
        <v>3558</v>
      </c>
      <c r="O326" s="10">
        <v>658</v>
      </c>
      <c r="P326" s="10">
        <v>4068</v>
      </c>
      <c r="Q326" s="38">
        <f>SUM(N326:P326)</f>
        <v>8284</v>
      </c>
      <c r="R326" s="38">
        <f>+E326+I326+M326+Q326</f>
        <v>46394</v>
      </c>
    </row>
    <row r="327" spans="1:20" ht="15.75" customHeight="1" x14ac:dyDescent="0.3">
      <c r="A327" s="410" t="s">
        <v>780</v>
      </c>
      <c r="B327" s="10">
        <v>1121</v>
      </c>
      <c r="C327" s="10">
        <v>1070</v>
      </c>
      <c r="D327" s="10">
        <v>750</v>
      </c>
      <c r="E327" s="38">
        <f t="shared" si="64"/>
        <v>2941</v>
      </c>
      <c r="F327" s="10"/>
      <c r="G327" s="10"/>
      <c r="H327" s="10"/>
      <c r="I327" s="38">
        <f t="shared" si="65"/>
        <v>0</v>
      </c>
      <c r="J327" s="10"/>
      <c r="K327" s="10"/>
      <c r="L327" s="10"/>
      <c r="M327" s="38">
        <f t="shared" si="66"/>
        <v>0</v>
      </c>
      <c r="N327" s="10"/>
      <c r="O327" s="10"/>
      <c r="P327" s="10"/>
      <c r="Q327" s="38">
        <f t="shared" si="67"/>
        <v>0</v>
      </c>
      <c r="R327" s="38">
        <f t="shared" si="68"/>
        <v>2941</v>
      </c>
      <c r="T327" t="s">
        <v>2139</v>
      </c>
    </row>
    <row r="328" spans="1:20" ht="15.75" customHeight="1" x14ac:dyDescent="0.3">
      <c r="A328" s="256" t="s">
        <v>2362</v>
      </c>
      <c r="B328" s="172">
        <v>1247</v>
      </c>
      <c r="C328" s="172">
        <v>1247</v>
      </c>
      <c r="D328" s="172">
        <v>1246</v>
      </c>
      <c r="E328" s="38">
        <f>SUM(B328:D328)</f>
        <v>3740</v>
      </c>
      <c r="F328" s="172">
        <v>1246</v>
      </c>
      <c r="G328" s="172">
        <v>1246</v>
      </c>
      <c r="H328" s="172"/>
      <c r="I328" s="38">
        <f>SUM(F328:H328)</f>
        <v>2492</v>
      </c>
      <c r="J328" s="172"/>
      <c r="K328" s="172"/>
      <c r="L328" s="172"/>
      <c r="M328" s="38">
        <f>SUM(J328:L328)</f>
        <v>0</v>
      </c>
      <c r="N328" s="172"/>
      <c r="O328" s="172"/>
      <c r="P328" s="172"/>
      <c r="Q328" s="38">
        <f>SUM(N328:P328)</f>
        <v>0</v>
      </c>
      <c r="R328" s="38">
        <f>+E328+I328+M328+Q328</f>
        <v>6232</v>
      </c>
      <c r="T328" t="s">
        <v>2177</v>
      </c>
    </row>
    <row r="329" spans="1:20" ht="15.75" customHeight="1" x14ac:dyDescent="0.3">
      <c r="A329" s="256" t="s">
        <v>2263</v>
      </c>
      <c r="B329" s="172"/>
      <c r="C329" s="172"/>
      <c r="D329" s="172"/>
      <c r="E329" s="38">
        <f>SUM(B329:D329)</f>
        <v>0</v>
      </c>
      <c r="F329" s="172"/>
      <c r="G329" s="172"/>
      <c r="H329" s="172"/>
      <c r="I329" s="38">
        <f>SUM(F329:H329)</f>
        <v>0</v>
      </c>
      <c r="J329" s="172"/>
      <c r="K329" s="172"/>
      <c r="L329" s="172"/>
      <c r="M329" s="38">
        <f>SUM(J329:L329)</f>
        <v>0</v>
      </c>
      <c r="N329" s="172"/>
      <c r="O329" s="172"/>
      <c r="P329" s="172"/>
      <c r="Q329" s="38">
        <f>SUM(N329:P329)</f>
        <v>0</v>
      </c>
      <c r="R329" s="38">
        <f>+E329+I329+M329+Q329</f>
        <v>0</v>
      </c>
    </row>
    <row r="330" spans="1:20" ht="15.75" customHeight="1" x14ac:dyDescent="0.3">
      <c r="A330" s="311" t="s">
        <v>970</v>
      </c>
      <c r="B330" s="172">
        <v>0</v>
      </c>
      <c r="C330" s="172">
        <v>1000</v>
      </c>
      <c r="D330" s="172"/>
      <c r="E330" s="38">
        <f>SUM(B330:D330)</f>
        <v>1000</v>
      </c>
      <c r="F330" s="172"/>
      <c r="G330" s="172"/>
      <c r="H330" s="172"/>
      <c r="I330" s="38">
        <f>SUM(F330:H330)</f>
        <v>0</v>
      </c>
      <c r="J330" s="172"/>
      <c r="K330" s="172"/>
      <c r="L330" s="172"/>
      <c r="M330" s="38">
        <f>SUM(J330:L330)</f>
        <v>0</v>
      </c>
      <c r="N330" s="172"/>
      <c r="O330" s="172"/>
      <c r="P330" s="172"/>
      <c r="Q330" s="38">
        <f>SUM(N330:P330)</f>
        <v>0</v>
      </c>
      <c r="R330" s="38">
        <f>+E330+I330+M330+Q330</f>
        <v>1000</v>
      </c>
      <c r="T330" t="s">
        <v>1362</v>
      </c>
    </row>
    <row r="331" spans="1:20" ht="15.75" customHeight="1" x14ac:dyDescent="0.3">
      <c r="A331" s="256" t="s">
        <v>885</v>
      </c>
      <c r="B331" s="10"/>
      <c r="C331" s="10"/>
      <c r="D331" s="10"/>
      <c r="E331" s="38">
        <f t="shared" si="64"/>
        <v>0</v>
      </c>
      <c r="F331" s="10"/>
      <c r="G331" s="10"/>
      <c r="H331" s="10"/>
      <c r="I331" s="38">
        <f t="shared" si="65"/>
        <v>0</v>
      </c>
      <c r="J331" s="10">
        <v>1015</v>
      </c>
      <c r="K331" s="10">
        <v>789</v>
      </c>
      <c r="L331" s="10">
        <v>738</v>
      </c>
      <c r="M331" s="38">
        <f t="shared" si="66"/>
        <v>2542</v>
      </c>
      <c r="N331" s="10"/>
      <c r="O331" s="10"/>
      <c r="P331" s="10"/>
      <c r="Q331" s="38">
        <f t="shared" si="67"/>
        <v>0</v>
      </c>
      <c r="R331" s="38">
        <f t="shared" si="68"/>
        <v>2542</v>
      </c>
      <c r="T331" t="s">
        <v>2175</v>
      </c>
    </row>
    <row r="332" spans="1:20" ht="15.75" customHeight="1" x14ac:dyDescent="0.3">
      <c r="A332" s="410" t="s">
        <v>2841</v>
      </c>
      <c r="B332" s="10"/>
      <c r="C332" s="10"/>
      <c r="D332" s="10"/>
      <c r="E332" s="38">
        <f>SUM(B332:D332)</f>
        <v>0</v>
      </c>
      <c r="F332" s="10"/>
      <c r="G332" s="10"/>
      <c r="H332" s="10"/>
      <c r="I332" s="38">
        <f>SUM(F332:H332)</f>
        <v>0</v>
      </c>
      <c r="J332" s="10"/>
      <c r="K332" s="10"/>
      <c r="L332" s="10">
        <v>44</v>
      </c>
      <c r="M332" s="38">
        <f>SUM(J332:L332)</f>
        <v>44</v>
      </c>
      <c r="N332" s="10"/>
      <c r="O332" s="10"/>
      <c r="P332" s="10"/>
      <c r="Q332" s="38">
        <f>SUM(N332:P332)</f>
        <v>0</v>
      </c>
      <c r="R332" s="38">
        <f>+E332+I332+M332+Q332</f>
        <v>44</v>
      </c>
    </row>
    <row r="333" spans="1:20" ht="15.75" customHeight="1" x14ac:dyDescent="0.3">
      <c r="A333" s="410" t="s">
        <v>2603</v>
      </c>
      <c r="B333" s="10"/>
      <c r="C333" s="10"/>
      <c r="D333" s="10"/>
      <c r="E333" s="38">
        <f t="shared" si="64"/>
        <v>0</v>
      </c>
      <c r="F333" s="10">
        <v>2000</v>
      </c>
      <c r="G333" s="10">
        <v>683</v>
      </c>
      <c r="H333" s="10"/>
      <c r="I333" s="38">
        <f t="shared" si="65"/>
        <v>2683</v>
      </c>
      <c r="J333" s="10"/>
      <c r="K333" s="10"/>
      <c r="L333" s="10"/>
      <c r="M333" s="38">
        <f t="shared" si="66"/>
        <v>0</v>
      </c>
      <c r="N333" s="10"/>
      <c r="O333" s="10"/>
      <c r="P333" s="10"/>
      <c r="Q333" s="38">
        <f t="shared" si="67"/>
        <v>0</v>
      </c>
      <c r="R333" s="38">
        <f t="shared" si="68"/>
        <v>2683</v>
      </c>
    </row>
    <row r="334" spans="1:20" ht="15.75" customHeight="1" x14ac:dyDescent="0.3">
      <c r="A334" s="410" t="s">
        <v>2604</v>
      </c>
      <c r="B334" s="172"/>
      <c r="C334" s="172"/>
      <c r="D334" s="172"/>
      <c r="E334" s="38">
        <f>SUM(B334:D334)</f>
        <v>0</v>
      </c>
      <c r="F334" s="172"/>
      <c r="G334" s="172"/>
      <c r="H334" s="172">
        <v>3287</v>
      </c>
      <c r="I334" s="38">
        <f>SUM(F334:H334)</f>
        <v>3287</v>
      </c>
      <c r="J334" s="172">
        <v>3392</v>
      </c>
      <c r="K334" s="172">
        <v>3267</v>
      </c>
      <c r="L334" s="172">
        <v>1054</v>
      </c>
      <c r="M334" s="38">
        <f>SUM(J334:L334)</f>
        <v>7713</v>
      </c>
      <c r="N334" s="172"/>
      <c r="O334" s="172"/>
      <c r="P334" s="172"/>
      <c r="Q334" s="38">
        <f>SUM(N334:P334)</f>
        <v>0</v>
      </c>
      <c r="R334" s="38">
        <f>+E334+I334+M334+Q334</f>
        <v>11000</v>
      </c>
    </row>
    <row r="335" spans="1:20" ht="15.75" customHeight="1" x14ac:dyDescent="0.3">
      <c r="A335" s="410" t="s">
        <v>613</v>
      </c>
      <c r="B335" s="172"/>
      <c r="C335" s="172"/>
      <c r="D335" s="172"/>
      <c r="E335" s="38">
        <f t="shared" si="64"/>
        <v>0</v>
      </c>
      <c r="F335" s="172">
        <f>4088-1886</f>
        <v>2202</v>
      </c>
      <c r="G335" s="172"/>
      <c r="H335" s="172"/>
      <c r="I335" s="38">
        <f t="shared" si="65"/>
        <v>2202</v>
      </c>
      <c r="J335" s="172"/>
      <c r="K335" s="172"/>
      <c r="L335" s="172"/>
      <c r="M335" s="38">
        <f t="shared" si="66"/>
        <v>0</v>
      </c>
      <c r="N335" s="172"/>
      <c r="O335" s="172"/>
      <c r="P335" s="172"/>
      <c r="Q335" s="38">
        <f t="shared" si="67"/>
        <v>0</v>
      </c>
      <c r="R335" s="38">
        <f t="shared" si="68"/>
        <v>2202</v>
      </c>
    </row>
    <row r="336" spans="1:20" ht="15.75" customHeight="1" x14ac:dyDescent="0.3">
      <c r="A336" s="410" t="s">
        <v>2711</v>
      </c>
      <c r="B336" s="172"/>
      <c r="C336" s="172"/>
      <c r="D336" s="172"/>
      <c r="E336" s="38">
        <f>SUM(B336:D336)</f>
        <v>0</v>
      </c>
      <c r="F336" s="172">
        <v>1886</v>
      </c>
      <c r="G336" s="172"/>
      <c r="H336" s="172"/>
      <c r="I336" s="38">
        <f>SUM(F336:H336)</f>
        <v>1886</v>
      </c>
      <c r="J336" s="172"/>
      <c r="K336" s="172"/>
      <c r="L336" s="172"/>
      <c r="M336" s="38">
        <f>SUM(J336:L336)</f>
        <v>0</v>
      </c>
      <c r="N336" s="172"/>
      <c r="O336" s="172"/>
      <c r="P336" s="172"/>
      <c r="Q336" s="38">
        <f>SUM(N336:P336)</f>
        <v>0</v>
      </c>
      <c r="R336" s="38">
        <f>+E336+I336+M336+Q336</f>
        <v>1886</v>
      </c>
    </row>
    <row r="337" spans="1:20" ht="15.75" customHeight="1" x14ac:dyDescent="0.3">
      <c r="A337" s="256" t="s">
        <v>1097</v>
      </c>
      <c r="B337" s="172"/>
      <c r="C337" s="10">
        <v>703</v>
      </c>
      <c r="D337" s="10">
        <v>966</v>
      </c>
      <c r="E337" s="38">
        <f t="shared" si="64"/>
        <v>1669</v>
      </c>
      <c r="F337" s="172"/>
      <c r="G337" s="172"/>
      <c r="H337" s="172"/>
      <c r="I337" s="38">
        <f t="shared" si="65"/>
        <v>0</v>
      </c>
      <c r="J337" s="172"/>
      <c r="K337" s="172"/>
      <c r="L337" s="172"/>
      <c r="M337" s="38">
        <f t="shared" si="66"/>
        <v>0</v>
      </c>
      <c r="N337" s="172"/>
      <c r="O337" s="172"/>
      <c r="P337" s="172"/>
      <c r="Q337" s="38">
        <f t="shared" si="67"/>
        <v>0</v>
      </c>
      <c r="R337" s="38">
        <f t="shared" si="68"/>
        <v>1669</v>
      </c>
      <c r="T337" t="s">
        <v>2178</v>
      </c>
    </row>
    <row r="338" spans="1:20" ht="15.75" customHeight="1" x14ac:dyDescent="0.3">
      <c r="A338" s="410" t="s">
        <v>2706</v>
      </c>
      <c r="B338" s="10"/>
      <c r="C338" s="10"/>
      <c r="D338" s="10"/>
      <c r="E338" s="38">
        <f>SUM(B338:D338)</f>
        <v>0</v>
      </c>
      <c r="F338" s="10">
        <v>78</v>
      </c>
      <c r="G338" s="10">
        <v>777</v>
      </c>
      <c r="H338" s="10">
        <v>833</v>
      </c>
      <c r="I338" s="38">
        <f>SUM(F338:H338)</f>
        <v>1688</v>
      </c>
      <c r="J338" s="10">
        <v>926</v>
      </c>
      <c r="K338" s="10">
        <v>841</v>
      </c>
      <c r="L338" s="10">
        <v>761</v>
      </c>
      <c r="M338" s="38">
        <f>SUM(J338:L338)</f>
        <v>2528</v>
      </c>
      <c r="N338" s="10">
        <v>696</v>
      </c>
      <c r="O338" s="10">
        <v>496</v>
      </c>
      <c r="P338" s="10">
        <v>498</v>
      </c>
      <c r="Q338" s="38">
        <f>SUM(N338:P338)</f>
        <v>1690</v>
      </c>
      <c r="R338" s="38">
        <f>+E338+I338+M338+Q338</f>
        <v>5906</v>
      </c>
    </row>
    <row r="339" spans="1:20" ht="15.75" customHeight="1" x14ac:dyDescent="0.3">
      <c r="A339" s="410" t="s">
        <v>2664</v>
      </c>
      <c r="B339" s="10">
        <v>562</v>
      </c>
      <c r="C339" s="10">
        <v>2158</v>
      </c>
      <c r="D339" s="10">
        <v>3109</v>
      </c>
      <c r="E339" s="38">
        <f>SUM(B339:D339)</f>
        <v>5829</v>
      </c>
      <c r="F339" s="10"/>
      <c r="G339" s="10">
        <v>554</v>
      </c>
      <c r="H339" s="10">
        <v>1757</v>
      </c>
      <c r="I339" s="38">
        <f>SUM(F339:H339)</f>
        <v>2311</v>
      </c>
      <c r="J339" s="10">
        <v>1590</v>
      </c>
      <c r="K339" s="10">
        <v>2780</v>
      </c>
      <c r="L339" s="10">
        <v>877</v>
      </c>
      <c r="M339" s="38">
        <f>SUM(J339:L339)</f>
        <v>5247</v>
      </c>
      <c r="N339" s="10">
        <v>687.99999999999841</v>
      </c>
      <c r="O339" s="10"/>
      <c r="P339" s="10"/>
      <c r="Q339" s="38">
        <f>SUM(N339:P339)</f>
        <v>687.99999999999841</v>
      </c>
      <c r="R339" s="38">
        <f>+E339+I339+M339+Q339</f>
        <v>14074.999999999998</v>
      </c>
    </row>
    <row r="340" spans="1:20" ht="15.75" customHeight="1" x14ac:dyDescent="0.3">
      <c r="A340" s="410" t="s">
        <v>2267</v>
      </c>
      <c r="B340" s="10"/>
      <c r="C340" s="10"/>
      <c r="D340" s="10"/>
      <c r="E340" s="38">
        <f t="shared" si="64"/>
        <v>0</v>
      </c>
      <c r="F340" s="10"/>
      <c r="G340" s="10"/>
      <c r="H340" s="10"/>
      <c r="I340" s="38">
        <f t="shared" si="65"/>
        <v>0</v>
      </c>
      <c r="J340" s="10"/>
      <c r="K340" s="10"/>
      <c r="L340" s="10"/>
      <c r="M340" s="38">
        <f t="shared" si="66"/>
        <v>0</v>
      </c>
      <c r="N340" s="10">
        <v>761</v>
      </c>
      <c r="O340" s="10">
        <v>217</v>
      </c>
      <c r="P340" s="10"/>
      <c r="Q340" s="38">
        <f t="shared" si="67"/>
        <v>978</v>
      </c>
      <c r="R340" s="38">
        <f t="shared" si="68"/>
        <v>978</v>
      </c>
      <c r="T340" t="s">
        <v>2175</v>
      </c>
    </row>
    <row r="341" spans="1:20" ht="15.75" customHeight="1" x14ac:dyDescent="0.3">
      <c r="A341" s="410" t="s">
        <v>2862</v>
      </c>
      <c r="B341" s="10"/>
      <c r="C341" s="10"/>
      <c r="D341" s="10"/>
      <c r="E341" s="38">
        <f>SUM(B341:D341)</f>
        <v>0</v>
      </c>
      <c r="F341" s="10"/>
      <c r="G341" s="10"/>
      <c r="H341" s="10"/>
      <c r="I341" s="38">
        <f>SUM(F341:H341)</f>
        <v>0</v>
      </c>
      <c r="J341" s="10"/>
      <c r="K341" s="10"/>
      <c r="L341" s="10"/>
      <c r="M341" s="38">
        <f>SUM(J341:L341)</f>
        <v>0</v>
      </c>
      <c r="N341" s="10">
        <v>665</v>
      </c>
      <c r="O341" s="10"/>
      <c r="P341" s="10"/>
      <c r="Q341" s="38">
        <f>SUM(N341:P341)</f>
        <v>665</v>
      </c>
      <c r="R341" s="38">
        <f>+E341+I341+M341+Q341</f>
        <v>665</v>
      </c>
    </row>
    <row r="342" spans="1:20" ht="15.75" customHeight="1" x14ac:dyDescent="0.3">
      <c r="A342" s="410" t="s">
        <v>2268</v>
      </c>
      <c r="B342" s="10"/>
      <c r="C342" s="10"/>
      <c r="D342" s="10"/>
      <c r="E342" s="38">
        <f>SUM(B342:D342)</f>
        <v>0</v>
      </c>
      <c r="F342" s="10"/>
      <c r="G342" s="10"/>
      <c r="H342" s="10"/>
      <c r="I342" s="38">
        <f>SUM(F342:H342)</f>
        <v>0</v>
      </c>
      <c r="J342" s="10"/>
      <c r="K342" s="10"/>
      <c r="L342" s="10">
        <v>1456</v>
      </c>
      <c r="M342" s="38">
        <f>SUM(J342:L342)</f>
        <v>1456</v>
      </c>
      <c r="N342" s="10">
        <v>965</v>
      </c>
      <c r="O342" s="10"/>
      <c r="P342" s="10"/>
      <c r="Q342" s="38">
        <f>SUM(N342:P342)</f>
        <v>965</v>
      </c>
      <c r="R342" s="38">
        <f>+E342+I342+M342+Q342</f>
        <v>2421</v>
      </c>
    </row>
    <row r="343" spans="1:20" ht="15.75" customHeight="1" x14ac:dyDescent="0.3">
      <c r="A343" s="410" t="s">
        <v>1475</v>
      </c>
      <c r="B343" s="172"/>
      <c r="C343" s="172"/>
      <c r="D343" s="172"/>
      <c r="E343" s="38">
        <f t="shared" si="64"/>
        <v>0</v>
      </c>
      <c r="F343" s="172">
        <v>2730</v>
      </c>
      <c r="G343" s="172">
        <v>3694</v>
      </c>
      <c r="H343" s="172"/>
      <c r="I343" s="38">
        <f t="shared" si="65"/>
        <v>6424</v>
      </c>
      <c r="J343" s="172"/>
      <c r="K343" s="172"/>
      <c r="L343" s="172"/>
      <c r="M343" s="38">
        <f t="shared" si="66"/>
        <v>0</v>
      </c>
      <c r="N343" s="172"/>
      <c r="O343" s="172"/>
      <c r="P343" s="172"/>
      <c r="Q343" s="38">
        <f t="shared" si="67"/>
        <v>0</v>
      </c>
      <c r="R343" s="38">
        <f t="shared" si="68"/>
        <v>6424</v>
      </c>
      <c r="T343" t="s">
        <v>2174</v>
      </c>
    </row>
    <row r="344" spans="1:20" ht="15.75" customHeight="1" x14ac:dyDescent="0.3">
      <c r="A344" s="256" t="s">
        <v>101</v>
      </c>
      <c r="B344" s="172"/>
      <c r="C344" s="172"/>
      <c r="D344" s="172">
        <v>1324</v>
      </c>
      <c r="E344" s="38">
        <f t="shared" si="64"/>
        <v>1324</v>
      </c>
      <c r="F344" s="172">
        <v>1298</v>
      </c>
      <c r="G344" s="172"/>
      <c r="H344" s="172"/>
      <c r="I344" s="38">
        <f t="shared" si="65"/>
        <v>1298</v>
      </c>
      <c r="J344" s="172"/>
      <c r="K344" s="172"/>
      <c r="L344" s="172"/>
      <c r="M344" s="38">
        <f t="shared" si="66"/>
        <v>0</v>
      </c>
      <c r="N344" s="172"/>
      <c r="O344" s="172"/>
      <c r="P344" s="172"/>
      <c r="Q344" s="38">
        <f t="shared" si="67"/>
        <v>0</v>
      </c>
      <c r="R344" s="38">
        <f t="shared" si="68"/>
        <v>2622</v>
      </c>
      <c r="T344" t="s">
        <v>2175</v>
      </c>
    </row>
    <row r="345" spans="1:20" ht="15.75" customHeight="1" thickBot="1" x14ac:dyDescent="0.35">
      <c r="A345" s="256" t="s">
        <v>2717</v>
      </c>
      <c r="B345" s="172"/>
      <c r="C345" s="172"/>
      <c r="D345" s="172"/>
      <c r="E345" s="38">
        <f>SUM(B345:D345)</f>
        <v>0</v>
      </c>
      <c r="F345" s="172"/>
      <c r="G345" s="172"/>
      <c r="H345" s="172"/>
      <c r="I345" s="38">
        <f>SUM(F345:H345)</f>
        <v>0</v>
      </c>
      <c r="J345" s="172"/>
      <c r="K345" s="172">
        <v>7000</v>
      </c>
      <c r="L345" s="172"/>
      <c r="M345" s="38">
        <f>SUM(J345:L345)</f>
        <v>7000</v>
      </c>
      <c r="N345" s="172"/>
      <c r="O345" s="172"/>
      <c r="P345" s="172"/>
      <c r="Q345" s="38">
        <f>SUM(N345:P345)</f>
        <v>0</v>
      </c>
      <c r="R345" s="38">
        <f>+E345+I345+M345+Q345</f>
        <v>7000</v>
      </c>
    </row>
    <row r="346" spans="1:20" ht="16.5" customHeight="1" thickBot="1" x14ac:dyDescent="0.35">
      <c r="A346" s="277" t="s">
        <v>1220</v>
      </c>
      <c r="B346" s="47">
        <f>SUM(B314:B345)</f>
        <v>8385</v>
      </c>
      <c r="C346" s="42">
        <f>SUM(C314:C345)</f>
        <v>20768</v>
      </c>
      <c r="D346" s="42">
        <f>SUM(D314:D345)</f>
        <v>36078</v>
      </c>
      <c r="E346" s="37">
        <f t="shared" si="64"/>
        <v>65231</v>
      </c>
      <c r="F346" s="42">
        <f>SUM(F314:F345)</f>
        <v>54689</v>
      </c>
      <c r="G346" s="42">
        <f>SUM(G314:G345)</f>
        <v>47601</v>
      </c>
      <c r="H346" s="42">
        <f>SUM(H314:H345)</f>
        <v>57539</v>
      </c>
      <c r="I346" s="37">
        <f t="shared" si="65"/>
        <v>159829</v>
      </c>
      <c r="J346" s="42">
        <f>SUM(J314:J345)</f>
        <v>56424</v>
      </c>
      <c r="K346" s="42">
        <f>SUM(K314:K345)</f>
        <v>58790</v>
      </c>
      <c r="L346" s="42">
        <f>SUM(L314:L345)</f>
        <v>35561</v>
      </c>
      <c r="M346" s="37">
        <f t="shared" si="66"/>
        <v>150775</v>
      </c>
      <c r="N346" s="42">
        <f>SUM(N314:N345)</f>
        <v>28064</v>
      </c>
      <c r="O346" s="42">
        <f>SUM(O314:O345)</f>
        <v>7227</v>
      </c>
      <c r="P346" s="42">
        <f>SUM(P314:P345)</f>
        <v>13871</v>
      </c>
      <c r="Q346" s="37">
        <f t="shared" si="67"/>
        <v>49162</v>
      </c>
      <c r="R346" s="37">
        <f>+E346+I346+M346+Q346</f>
        <v>424997</v>
      </c>
      <c r="T346" s="230" t="s">
        <v>1737</v>
      </c>
    </row>
    <row r="347" spans="1:20" ht="15.75" customHeight="1" x14ac:dyDescent="0.3">
      <c r="A347" s="234" t="s">
        <v>1712</v>
      </c>
      <c r="B347" s="172"/>
      <c r="C347" s="172"/>
      <c r="D347" s="172"/>
      <c r="E347" s="38" t="s">
        <v>852</v>
      </c>
      <c r="F347" s="172"/>
      <c r="G347" s="172"/>
      <c r="H347" s="172"/>
      <c r="I347" s="38" t="s">
        <v>852</v>
      </c>
      <c r="J347" s="172"/>
      <c r="K347" s="172"/>
      <c r="L347" s="172"/>
      <c r="M347" s="38" t="s">
        <v>852</v>
      </c>
      <c r="N347" s="172"/>
      <c r="O347" s="172"/>
      <c r="P347" s="172"/>
      <c r="Q347" s="38" t="s">
        <v>852</v>
      </c>
      <c r="R347" s="38" t="s">
        <v>852</v>
      </c>
    </row>
    <row r="348" spans="1:20" ht="15.75" customHeight="1" x14ac:dyDescent="0.3">
      <c r="A348" s="234" t="s">
        <v>1021</v>
      </c>
      <c r="B348" s="172"/>
      <c r="C348" s="172"/>
      <c r="D348" s="172"/>
      <c r="E348" s="38" t="s">
        <v>852</v>
      </c>
      <c r="F348" s="172"/>
      <c r="G348" s="172"/>
      <c r="H348" s="172"/>
      <c r="I348" s="38" t="s">
        <v>852</v>
      </c>
      <c r="J348" s="172"/>
      <c r="K348" s="172"/>
      <c r="L348" s="172"/>
      <c r="M348" s="38" t="s">
        <v>852</v>
      </c>
      <c r="N348" s="172"/>
      <c r="O348" s="172"/>
      <c r="P348" s="172"/>
      <c r="Q348" s="38" t="s">
        <v>852</v>
      </c>
      <c r="R348" s="38" t="s">
        <v>852</v>
      </c>
      <c r="T348" t="s">
        <v>2174</v>
      </c>
    </row>
    <row r="349" spans="1:20" ht="15.75" customHeight="1" x14ac:dyDescent="0.3">
      <c r="A349" s="256" t="s">
        <v>747</v>
      </c>
      <c r="B349" s="172"/>
      <c r="C349" s="172"/>
      <c r="D349" s="172"/>
      <c r="E349" s="38">
        <f>SUM(B349:D349)</f>
        <v>0</v>
      </c>
      <c r="F349" s="172"/>
      <c r="G349" s="172"/>
      <c r="H349" s="172"/>
      <c r="I349" s="38">
        <f>SUM(F349:H349)</f>
        <v>0</v>
      </c>
      <c r="J349" s="172"/>
      <c r="K349" s="172"/>
      <c r="L349" s="172"/>
      <c r="M349" s="38">
        <f>SUM(J349:L349)</f>
        <v>0</v>
      </c>
      <c r="N349" s="172"/>
      <c r="O349" s="172"/>
      <c r="P349" s="172">
        <v>123</v>
      </c>
      <c r="Q349" s="38">
        <f>SUM(N349:P349)</f>
        <v>123</v>
      </c>
      <c r="R349" s="38">
        <f>+E349+I349+M349+Q349</f>
        <v>123</v>
      </c>
    </row>
    <row r="350" spans="1:20" ht="15.75" customHeight="1" x14ac:dyDescent="0.3">
      <c r="A350" s="410" t="s">
        <v>2840</v>
      </c>
      <c r="B350" s="172"/>
      <c r="C350" s="172"/>
      <c r="D350" s="172"/>
      <c r="E350" s="38">
        <f>SUM(B350:D350)</f>
        <v>0</v>
      </c>
      <c r="F350" s="172"/>
      <c r="G350" s="172"/>
      <c r="H350" s="172"/>
      <c r="I350" s="38">
        <f>SUM(F350:H350)</f>
        <v>0</v>
      </c>
      <c r="J350" s="172"/>
      <c r="K350" s="172"/>
      <c r="L350" s="172"/>
      <c r="M350" s="38">
        <f>SUM(J350:L350)</f>
        <v>0</v>
      </c>
      <c r="N350" s="172">
        <v>50</v>
      </c>
      <c r="O350" s="172"/>
      <c r="P350" s="172"/>
      <c r="Q350" s="38">
        <f>SUM(N350:P350)</f>
        <v>50</v>
      </c>
      <c r="R350" s="38">
        <f>+E350+I350+M350+Q350</f>
        <v>50</v>
      </c>
    </row>
    <row r="351" spans="1:20" ht="15.75" customHeight="1" x14ac:dyDescent="0.3">
      <c r="A351" s="234" t="s">
        <v>557</v>
      </c>
      <c r="B351" s="172"/>
      <c r="C351" s="172"/>
      <c r="D351" s="172"/>
      <c r="E351" s="38" t="s">
        <v>852</v>
      </c>
      <c r="F351" s="172"/>
      <c r="G351" s="172"/>
      <c r="H351" s="172"/>
      <c r="I351" s="38" t="s">
        <v>852</v>
      </c>
      <c r="J351" s="172"/>
      <c r="K351" s="172"/>
      <c r="L351" s="172"/>
      <c r="M351" s="38" t="s">
        <v>852</v>
      </c>
      <c r="N351" s="172"/>
      <c r="O351" s="172"/>
      <c r="P351" s="172"/>
      <c r="Q351" s="38" t="s">
        <v>852</v>
      </c>
      <c r="R351" s="38" t="s">
        <v>852</v>
      </c>
    </row>
    <row r="352" spans="1:20" ht="15.75" customHeight="1" x14ac:dyDescent="0.3">
      <c r="A352" s="410" t="s">
        <v>2566</v>
      </c>
      <c r="B352" s="172"/>
      <c r="C352" s="172"/>
      <c r="D352" s="172"/>
      <c r="E352" s="38">
        <f>SUM(B352:D352)</f>
        <v>0</v>
      </c>
      <c r="F352" s="172"/>
      <c r="G352" s="172"/>
      <c r="H352" s="172"/>
      <c r="I352" s="38">
        <f>SUM(F352:H352)</f>
        <v>0</v>
      </c>
      <c r="J352" s="172"/>
      <c r="K352" s="172"/>
      <c r="L352" s="172"/>
      <c r="M352" s="38">
        <f>SUM(J352:L352)</f>
        <v>0</v>
      </c>
      <c r="N352" s="172"/>
      <c r="O352" s="172"/>
      <c r="P352" s="172"/>
      <c r="Q352" s="38">
        <f>SUM(N352:P352)</f>
        <v>0</v>
      </c>
      <c r="R352" s="38">
        <f>+E352+I352+M352+Q352</f>
        <v>0</v>
      </c>
      <c r="T352" t="s">
        <v>2174</v>
      </c>
    </row>
    <row r="353" spans="1:20" ht="15.75" customHeight="1" x14ac:dyDescent="0.3">
      <c r="A353" s="410" t="s">
        <v>2595</v>
      </c>
      <c r="B353" s="172"/>
      <c r="C353" s="172">
        <v>1000</v>
      </c>
      <c r="D353" s="172">
        <v>0</v>
      </c>
      <c r="E353" s="38">
        <f>SUM(B353:D353)</f>
        <v>1000</v>
      </c>
      <c r="F353" s="172"/>
      <c r="G353" s="172"/>
      <c r="H353" s="172"/>
      <c r="I353" s="38">
        <f>SUM(F353:H353)</f>
        <v>0</v>
      </c>
      <c r="J353" s="172"/>
      <c r="K353" s="172"/>
      <c r="L353" s="172"/>
      <c r="M353" s="38">
        <f>SUM(J353:L353)</f>
        <v>0</v>
      </c>
      <c r="N353" s="172">
        <v>1386</v>
      </c>
      <c r="O353" s="172"/>
      <c r="P353" s="172"/>
      <c r="Q353" s="38">
        <f>SUM(N353:P353)</f>
        <v>1386</v>
      </c>
      <c r="R353" s="38">
        <f>+E353+I353+M353+Q353</f>
        <v>2386</v>
      </c>
      <c r="T353" t="s">
        <v>2175</v>
      </c>
    </row>
    <row r="354" spans="1:20" ht="15.75" customHeight="1" x14ac:dyDescent="0.3">
      <c r="A354" s="234" t="s">
        <v>1022</v>
      </c>
      <c r="B354" s="172"/>
      <c r="C354" s="172"/>
      <c r="D354" s="172"/>
      <c r="E354" s="38" t="s">
        <v>852</v>
      </c>
      <c r="F354" s="172"/>
      <c r="G354" s="172"/>
      <c r="H354" s="172"/>
      <c r="I354" s="38" t="s">
        <v>852</v>
      </c>
      <c r="J354" s="172"/>
      <c r="K354" s="172"/>
      <c r="L354" s="172"/>
      <c r="M354" s="38" t="s">
        <v>852</v>
      </c>
      <c r="N354" s="172"/>
      <c r="O354" s="172"/>
      <c r="P354" s="172"/>
      <c r="Q354" s="38" t="s">
        <v>852</v>
      </c>
      <c r="R354" s="38" t="s">
        <v>852</v>
      </c>
      <c r="T354" t="s">
        <v>2176</v>
      </c>
    </row>
    <row r="355" spans="1:20" ht="15.75" customHeight="1" x14ac:dyDescent="0.3">
      <c r="A355" s="256" t="s">
        <v>2486</v>
      </c>
      <c r="B355" s="172"/>
      <c r="C355" s="172"/>
      <c r="D355" s="172"/>
      <c r="E355" s="38">
        <f t="shared" ref="E355:E360" si="69">SUM(B355:D355)</f>
        <v>0</v>
      </c>
      <c r="F355" s="172">
        <v>1175</v>
      </c>
      <c r="G355" s="172">
        <v>10</v>
      </c>
      <c r="H355" s="172">
        <v>3586</v>
      </c>
      <c r="I355" s="38">
        <f t="shared" ref="I355:I360" si="70">SUM(F355:H355)</f>
        <v>4771</v>
      </c>
      <c r="J355" s="172">
        <v>1229</v>
      </c>
      <c r="K355" s="172"/>
      <c r="L355" s="172"/>
      <c r="M355" s="38">
        <f t="shared" ref="M355:M360" si="71">SUM(J355:L355)</f>
        <v>1229</v>
      </c>
      <c r="N355" s="172"/>
      <c r="O355" s="172"/>
      <c r="P355" s="172"/>
      <c r="Q355" s="38">
        <f t="shared" ref="Q355:Q360" si="72">SUM(N355:P355)</f>
        <v>0</v>
      </c>
      <c r="R355" s="38">
        <f t="shared" ref="R355:R360" si="73">+E355+I355+M355+Q355</f>
        <v>6000</v>
      </c>
      <c r="T355" t="s">
        <v>294</v>
      </c>
    </row>
    <row r="356" spans="1:20" ht="15.75" customHeight="1" x14ac:dyDescent="0.3">
      <c r="A356" s="311" t="s">
        <v>1374</v>
      </c>
      <c r="B356" s="10"/>
      <c r="C356" s="10"/>
      <c r="D356" s="10"/>
      <c r="E356" s="38">
        <f t="shared" si="69"/>
        <v>0</v>
      </c>
      <c r="F356" s="10"/>
      <c r="G356" s="10"/>
      <c r="H356" s="10">
        <v>6357</v>
      </c>
      <c r="I356" s="38">
        <f t="shared" si="70"/>
        <v>6357</v>
      </c>
      <c r="J356" s="10">
        <v>4776</v>
      </c>
      <c r="K356" s="10">
        <v>635</v>
      </c>
      <c r="L356" s="10"/>
      <c r="M356" s="38">
        <f t="shared" si="71"/>
        <v>5411</v>
      </c>
      <c r="N356" s="10">
        <v>158</v>
      </c>
      <c r="O356" s="10"/>
      <c r="P356" s="10">
        <v>305</v>
      </c>
      <c r="Q356" s="38">
        <f t="shared" si="72"/>
        <v>463</v>
      </c>
      <c r="R356" s="38">
        <f t="shared" si="73"/>
        <v>12231</v>
      </c>
      <c r="T356" t="s">
        <v>2174</v>
      </c>
    </row>
    <row r="357" spans="1:20" ht="15.75" customHeight="1" x14ac:dyDescent="0.3">
      <c r="A357" s="256" t="s">
        <v>1866</v>
      </c>
      <c r="B357" s="172"/>
      <c r="C357" s="172"/>
      <c r="D357" s="172"/>
      <c r="E357" s="38">
        <f t="shared" si="69"/>
        <v>0</v>
      </c>
      <c r="F357" s="172"/>
      <c r="G357" s="172"/>
      <c r="H357" s="172">
        <v>825</v>
      </c>
      <c r="I357" s="38">
        <f t="shared" si="70"/>
        <v>825</v>
      </c>
      <c r="J357" s="172"/>
      <c r="K357" s="172"/>
      <c r="L357" s="172"/>
      <c r="M357" s="38">
        <f t="shared" si="71"/>
        <v>0</v>
      </c>
      <c r="N357" s="172"/>
      <c r="O357" s="172"/>
      <c r="P357" s="172"/>
      <c r="Q357" s="38">
        <f t="shared" si="72"/>
        <v>0</v>
      </c>
      <c r="R357" s="38">
        <f t="shared" si="73"/>
        <v>825</v>
      </c>
      <c r="T357" t="s">
        <v>2174</v>
      </c>
    </row>
    <row r="358" spans="1:20" ht="15.75" customHeight="1" x14ac:dyDescent="0.3">
      <c r="A358" s="256" t="s">
        <v>2340</v>
      </c>
      <c r="B358" s="172"/>
      <c r="C358" s="172"/>
      <c r="D358" s="172"/>
      <c r="E358" s="38">
        <f t="shared" si="69"/>
        <v>0</v>
      </c>
      <c r="F358" s="172"/>
      <c r="G358" s="172"/>
      <c r="H358" s="172"/>
      <c r="I358" s="38">
        <f t="shared" si="70"/>
        <v>0</v>
      </c>
      <c r="J358" s="172"/>
      <c r="K358" s="172"/>
      <c r="L358" s="172"/>
      <c r="M358" s="38">
        <f t="shared" si="71"/>
        <v>0</v>
      </c>
      <c r="N358" s="172"/>
      <c r="O358" s="172"/>
      <c r="P358" s="172"/>
      <c r="Q358" s="38">
        <f t="shared" si="72"/>
        <v>0</v>
      </c>
      <c r="R358" s="38">
        <f t="shared" si="73"/>
        <v>0</v>
      </c>
      <c r="T358" t="s">
        <v>2175</v>
      </c>
    </row>
    <row r="359" spans="1:20" ht="15.75" customHeight="1" x14ac:dyDescent="0.3">
      <c r="A359" s="311" t="s">
        <v>1376</v>
      </c>
      <c r="B359" s="10"/>
      <c r="C359" s="10"/>
      <c r="D359" s="10"/>
      <c r="E359" s="38">
        <f t="shared" si="69"/>
        <v>0</v>
      </c>
      <c r="F359" s="10"/>
      <c r="G359" s="10"/>
      <c r="H359" s="10"/>
      <c r="I359" s="38">
        <f t="shared" si="70"/>
        <v>0</v>
      </c>
      <c r="J359" s="10"/>
      <c r="K359" s="10"/>
      <c r="L359" s="10"/>
      <c r="M359" s="38">
        <f t="shared" si="71"/>
        <v>0</v>
      </c>
      <c r="N359" s="10"/>
      <c r="O359" s="10"/>
      <c r="P359" s="10"/>
      <c r="Q359" s="38">
        <f t="shared" si="72"/>
        <v>0</v>
      </c>
      <c r="R359" s="38">
        <f t="shared" si="73"/>
        <v>0</v>
      </c>
    </row>
    <row r="360" spans="1:20" ht="15.75" customHeight="1" x14ac:dyDescent="0.3">
      <c r="A360" s="311" t="s">
        <v>1227</v>
      </c>
      <c r="B360" s="10"/>
      <c r="C360" s="10"/>
      <c r="D360" s="10"/>
      <c r="E360" s="38">
        <f t="shared" si="69"/>
        <v>0</v>
      </c>
      <c r="F360" s="10"/>
      <c r="G360" s="10"/>
      <c r="H360" s="10"/>
      <c r="I360" s="38">
        <f t="shared" si="70"/>
        <v>0</v>
      </c>
      <c r="J360" s="10"/>
      <c r="K360" s="10"/>
      <c r="L360" s="10"/>
      <c r="M360" s="38">
        <f t="shared" si="71"/>
        <v>0</v>
      </c>
      <c r="N360" s="10"/>
      <c r="O360" s="10"/>
      <c r="P360" s="10"/>
      <c r="Q360" s="38">
        <f t="shared" si="72"/>
        <v>0</v>
      </c>
      <c r="R360" s="38">
        <f t="shared" si="73"/>
        <v>0</v>
      </c>
    </row>
    <row r="361" spans="1:20" ht="15.75" customHeight="1" x14ac:dyDescent="0.3">
      <c r="A361" s="234" t="s">
        <v>559</v>
      </c>
      <c r="B361" s="172"/>
      <c r="C361" s="172"/>
      <c r="D361" s="172"/>
      <c r="E361" s="38" t="s">
        <v>852</v>
      </c>
      <c r="F361" s="172"/>
      <c r="G361" s="172"/>
      <c r="H361" s="172"/>
      <c r="I361" s="38" t="s">
        <v>852</v>
      </c>
      <c r="J361" s="172"/>
      <c r="K361" s="172"/>
      <c r="L361" s="172"/>
      <c r="M361" s="38" t="s">
        <v>852</v>
      </c>
      <c r="N361" s="172"/>
      <c r="O361" s="172"/>
      <c r="P361" s="172"/>
      <c r="Q361" s="38" t="s">
        <v>852</v>
      </c>
      <c r="R361" s="38" t="s">
        <v>852</v>
      </c>
    </row>
    <row r="362" spans="1:20" ht="15.75" customHeight="1" x14ac:dyDescent="0.3">
      <c r="A362" s="410" t="s">
        <v>2567</v>
      </c>
      <c r="B362" s="10"/>
      <c r="C362" s="10"/>
      <c r="D362" s="10"/>
      <c r="E362" s="38">
        <f>SUM(B362:D362)</f>
        <v>0</v>
      </c>
      <c r="F362" s="10"/>
      <c r="G362" s="10"/>
      <c r="H362" s="10"/>
      <c r="I362" s="38">
        <f>SUM(F362:H362)</f>
        <v>0</v>
      </c>
      <c r="J362" s="10"/>
      <c r="K362" s="10"/>
      <c r="L362" s="10"/>
      <c r="M362" s="38">
        <f>SUM(J362:L362)</f>
        <v>0</v>
      </c>
      <c r="N362" s="10"/>
      <c r="O362" s="10"/>
      <c r="P362" s="10"/>
      <c r="Q362" s="38">
        <f>SUM(N362:P362)</f>
        <v>0</v>
      </c>
      <c r="R362" s="38">
        <f>+E362+I362+M362+Q362</f>
        <v>0</v>
      </c>
    </row>
    <row r="363" spans="1:20" ht="15.75" customHeight="1" x14ac:dyDescent="0.3">
      <c r="A363" s="410" t="s">
        <v>2568</v>
      </c>
      <c r="B363" s="172"/>
      <c r="C363" s="172"/>
      <c r="D363" s="172"/>
      <c r="E363" s="38">
        <f>SUM(B363:D363)</f>
        <v>0</v>
      </c>
      <c r="F363" s="172"/>
      <c r="G363" s="172"/>
      <c r="H363" s="172"/>
      <c r="I363" s="38">
        <f>SUM(F363:H363)</f>
        <v>0</v>
      </c>
      <c r="J363" s="172"/>
      <c r="K363" s="172"/>
      <c r="L363" s="172"/>
      <c r="M363" s="38">
        <f>SUM(J363:L363)</f>
        <v>0</v>
      </c>
      <c r="N363" s="172"/>
      <c r="O363" s="172"/>
      <c r="P363" s="172"/>
      <c r="Q363" s="38">
        <f>SUM(N363:P363)</f>
        <v>0</v>
      </c>
      <c r="R363" s="38">
        <f>+E363+I363+M363+Q363</f>
        <v>0</v>
      </c>
    </row>
    <row r="364" spans="1:20" ht="15.75" customHeight="1" x14ac:dyDescent="0.3">
      <c r="A364" s="410" t="s">
        <v>2569</v>
      </c>
      <c r="B364" s="172">
        <v>1013</v>
      </c>
      <c r="C364" s="172">
        <v>0</v>
      </c>
      <c r="D364" s="172">
        <v>3128</v>
      </c>
      <c r="E364" s="38">
        <f>SUM(B364:D364)</f>
        <v>4141</v>
      </c>
      <c r="F364" s="172">
        <v>1999</v>
      </c>
      <c r="G364" s="172">
        <v>0</v>
      </c>
      <c r="H364" s="172">
        <v>49</v>
      </c>
      <c r="I364" s="38">
        <f>SUM(F364:H364)</f>
        <v>2048</v>
      </c>
      <c r="J364" s="172">
        <v>5215</v>
      </c>
      <c r="K364" s="172">
        <v>0</v>
      </c>
      <c r="L364" s="172">
        <v>6646</v>
      </c>
      <c r="M364" s="38">
        <f>SUM(J364:L364)</f>
        <v>11861</v>
      </c>
      <c r="N364" s="172">
        <v>1908</v>
      </c>
      <c r="O364" s="172">
        <v>172</v>
      </c>
      <c r="P364" s="172">
        <v>3736</v>
      </c>
      <c r="Q364" s="38">
        <f>SUM(N364:P364)</f>
        <v>5816</v>
      </c>
      <c r="R364" s="38">
        <f>+E364+I364+M364+Q364</f>
        <v>23866</v>
      </c>
    </row>
    <row r="365" spans="1:20" ht="15.75" customHeight="1" x14ac:dyDescent="0.3">
      <c r="A365" s="410" t="s">
        <v>2570</v>
      </c>
      <c r="B365" s="172">
        <v>0</v>
      </c>
      <c r="C365" s="172"/>
      <c r="D365" s="172"/>
      <c r="E365" s="38">
        <f t="shared" ref="E365:E375" si="74">SUM(B365:D365)</f>
        <v>0</v>
      </c>
      <c r="F365" s="172"/>
      <c r="G365" s="172"/>
      <c r="H365" s="172"/>
      <c r="I365" s="38">
        <f t="shared" ref="I365:I375" si="75">SUM(F365:H365)</f>
        <v>0</v>
      </c>
      <c r="J365" s="172"/>
      <c r="K365" s="172">
        <v>734</v>
      </c>
      <c r="L365" s="172">
        <v>1468</v>
      </c>
      <c r="M365" s="38">
        <f t="shared" ref="M365:M375" si="76">SUM(J365:L365)</f>
        <v>2202</v>
      </c>
      <c r="N365" s="172">
        <v>1000</v>
      </c>
      <c r="O365" s="172">
        <v>468</v>
      </c>
      <c r="P365" s="172"/>
      <c r="Q365" s="38">
        <f t="shared" ref="Q365:Q375" si="77">SUM(N365:P365)</f>
        <v>1468</v>
      </c>
      <c r="R365" s="38">
        <f t="shared" ref="R365:R375" si="78">+E365+I365+M365+Q365</f>
        <v>3670</v>
      </c>
    </row>
    <row r="366" spans="1:20" ht="15.75" customHeight="1" x14ac:dyDescent="0.3">
      <c r="A366" s="410" t="s">
        <v>2571</v>
      </c>
      <c r="B366" s="172"/>
      <c r="C366" s="172"/>
      <c r="D366" s="172"/>
      <c r="E366" s="38">
        <f>SUM(B366:D366)</f>
        <v>0</v>
      </c>
      <c r="F366" s="172"/>
      <c r="G366" s="172"/>
      <c r="H366" s="172"/>
      <c r="I366" s="38">
        <f>SUM(F366:H366)</f>
        <v>0</v>
      </c>
      <c r="J366" s="172"/>
      <c r="K366" s="172"/>
      <c r="L366" s="172"/>
      <c r="M366" s="38">
        <f>SUM(J366:L366)</f>
        <v>0</v>
      </c>
      <c r="N366" s="172"/>
      <c r="O366" s="172"/>
      <c r="P366" s="172"/>
      <c r="Q366" s="38">
        <f>SUM(N366:P366)</f>
        <v>0</v>
      </c>
      <c r="R366" s="38">
        <f>+E366+I366+M366+Q366</f>
        <v>0</v>
      </c>
    </row>
    <row r="367" spans="1:20" ht="15.75" customHeight="1" x14ac:dyDescent="0.3">
      <c r="A367" s="410" t="s">
        <v>2572</v>
      </c>
      <c r="B367" s="10">
        <v>510</v>
      </c>
      <c r="C367" s="10">
        <v>1020</v>
      </c>
      <c r="D367" s="10">
        <v>1330</v>
      </c>
      <c r="E367" s="38">
        <f>SUM(B367:D367)</f>
        <v>2860</v>
      </c>
      <c r="F367" s="10">
        <v>1440</v>
      </c>
      <c r="G367" s="10">
        <v>1440</v>
      </c>
      <c r="H367" s="10">
        <v>1440</v>
      </c>
      <c r="I367" s="38">
        <f>SUM(F367:H367)</f>
        <v>4320</v>
      </c>
      <c r="J367" s="10">
        <v>690</v>
      </c>
      <c r="K367" s="10">
        <v>490</v>
      </c>
      <c r="L367" s="10">
        <v>310</v>
      </c>
      <c r="M367" s="38">
        <f>SUM(J367:L367)</f>
        <v>1490</v>
      </c>
      <c r="N367" s="172">
        <v>0</v>
      </c>
      <c r="O367" s="172">
        <v>0</v>
      </c>
      <c r="P367" s="172">
        <v>0</v>
      </c>
      <c r="Q367" s="38">
        <f>SUM(N367:P367)</f>
        <v>0</v>
      </c>
      <c r="R367" s="38">
        <f>+E367+I367+M367+Q367</f>
        <v>8670</v>
      </c>
    </row>
    <row r="368" spans="1:20" ht="15.75" customHeight="1" x14ac:dyDescent="0.3">
      <c r="A368" s="410" t="s">
        <v>2573</v>
      </c>
      <c r="B368" s="10"/>
      <c r="C368" s="10"/>
      <c r="D368" s="10"/>
      <c r="E368" s="38">
        <f>SUM(B368:D368)</f>
        <v>0</v>
      </c>
      <c r="F368" s="10"/>
      <c r="G368" s="10"/>
      <c r="H368" s="10"/>
      <c r="I368" s="38">
        <f>SUM(F368:H368)</f>
        <v>0</v>
      </c>
      <c r="J368" s="10"/>
      <c r="K368" s="10"/>
      <c r="L368" s="10"/>
      <c r="M368" s="38">
        <f>SUM(J368:L368)</f>
        <v>0</v>
      </c>
      <c r="N368" s="172"/>
      <c r="O368" s="172"/>
      <c r="P368" s="172"/>
      <c r="Q368" s="38">
        <f>SUM(N368:P368)</f>
        <v>0</v>
      </c>
      <c r="R368" s="38">
        <f>+E368+I368+M368+Q368</f>
        <v>0</v>
      </c>
    </row>
    <row r="369" spans="1:18" ht="15.75" customHeight="1" thickBot="1" x14ac:dyDescent="0.35">
      <c r="A369" s="410" t="s">
        <v>2574</v>
      </c>
      <c r="B369" s="10"/>
      <c r="C369" s="10"/>
      <c r="D369" s="10"/>
      <c r="E369" s="38">
        <f>SUM(B369:D369)</f>
        <v>0</v>
      </c>
      <c r="F369" s="10"/>
      <c r="G369" s="10"/>
      <c r="H369" s="10"/>
      <c r="I369" s="38">
        <f>SUM(F369:H369)</f>
        <v>0</v>
      </c>
      <c r="J369" s="10">
        <v>175</v>
      </c>
      <c r="K369" s="10"/>
      <c r="L369" s="10">
        <v>637</v>
      </c>
      <c r="M369" s="38">
        <f>SUM(J369:L369)</f>
        <v>812</v>
      </c>
      <c r="N369" s="10">
        <v>1872</v>
      </c>
      <c r="O369" s="10">
        <v>1025</v>
      </c>
      <c r="P369" s="10">
        <v>1248</v>
      </c>
      <c r="Q369" s="38">
        <f>SUM(N369:P369)</f>
        <v>4145</v>
      </c>
      <c r="R369" s="38">
        <f>+E369+I369+M369+Q369</f>
        <v>4957</v>
      </c>
    </row>
    <row r="370" spans="1:18" ht="16.5" customHeight="1" thickBot="1" x14ac:dyDescent="0.35">
      <c r="A370" s="43" t="s">
        <v>1019</v>
      </c>
      <c r="B370" s="42">
        <f>SUM(B355:B369)</f>
        <v>1523</v>
      </c>
      <c r="C370" s="42">
        <f>SUM(C355:C369)</f>
        <v>1020</v>
      </c>
      <c r="D370" s="42">
        <f>SUM(D355:D369)</f>
        <v>4458</v>
      </c>
      <c r="E370" s="39">
        <f t="shared" si="74"/>
        <v>7001</v>
      </c>
      <c r="F370" s="42">
        <f>SUM(F355:F369)</f>
        <v>4614</v>
      </c>
      <c r="G370" s="42">
        <f>SUM(G355:G369)</f>
        <v>1450</v>
      </c>
      <c r="H370" s="42">
        <f>SUM(H355:H369)</f>
        <v>12257</v>
      </c>
      <c r="I370" s="39">
        <f t="shared" si="75"/>
        <v>18321</v>
      </c>
      <c r="J370" s="42">
        <f>SUM(J355:J369)</f>
        <v>12085</v>
      </c>
      <c r="K370" s="42">
        <f>SUM(K355:K369)</f>
        <v>1859</v>
      </c>
      <c r="L370" s="42">
        <f>SUM(L355:L369)</f>
        <v>9061</v>
      </c>
      <c r="M370" s="39">
        <f t="shared" si="76"/>
        <v>23005</v>
      </c>
      <c r="N370" s="42">
        <f>SUM(N355:N369)</f>
        <v>4938</v>
      </c>
      <c r="O370" s="42">
        <f>SUM(O355:O369)</f>
        <v>1665</v>
      </c>
      <c r="P370" s="42">
        <f>SUM(P355:P369)</f>
        <v>5289</v>
      </c>
      <c r="Q370" s="39">
        <f t="shared" si="77"/>
        <v>11892</v>
      </c>
      <c r="R370" s="37">
        <f t="shared" si="78"/>
        <v>60219</v>
      </c>
    </row>
    <row r="371" spans="1:18" ht="16.5" customHeight="1" thickBot="1" x14ac:dyDescent="0.35">
      <c r="A371" s="277" t="s">
        <v>1221</v>
      </c>
      <c r="B371" s="45">
        <f>SUM(B347:B369)</f>
        <v>1523</v>
      </c>
      <c r="C371" s="46">
        <f>SUM(C347:C369)</f>
        <v>2020</v>
      </c>
      <c r="D371" s="58">
        <f>SUM(D347:D369)</f>
        <v>4458</v>
      </c>
      <c r="E371" s="39">
        <f t="shared" si="74"/>
        <v>8001</v>
      </c>
      <c r="F371" s="46">
        <f>SUM(F347:F369)</f>
        <v>4614</v>
      </c>
      <c r="G371" s="46">
        <f>SUM(G347:G369)</f>
        <v>1450</v>
      </c>
      <c r="H371" s="46">
        <f>SUM(H347:H369)</f>
        <v>12257</v>
      </c>
      <c r="I371" s="39">
        <f t="shared" si="75"/>
        <v>18321</v>
      </c>
      <c r="J371" s="46">
        <f>SUM(J347:J369)</f>
        <v>12085</v>
      </c>
      <c r="K371" s="46">
        <f>SUM(K347:K369)</f>
        <v>1859</v>
      </c>
      <c r="L371" s="46">
        <f>SUM(L347:L369)</f>
        <v>9061</v>
      </c>
      <c r="M371" s="39">
        <f t="shared" si="76"/>
        <v>23005</v>
      </c>
      <c r="N371" s="46">
        <f>SUM(N347:N369)</f>
        <v>6374</v>
      </c>
      <c r="O371" s="46">
        <f>SUM(O347:O369)</f>
        <v>1665</v>
      </c>
      <c r="P371" s="46">
        <f>SUM(P347:P369)</f>
        <v>5412</v>
      </c>
      <c r="Q371" s="39">
        <f t="shared" si="77"/>
        <v>13451</v>
      </c>
      <c r="R371" s="37">
        <f t="shared" si="78"/>
        <v>62778</v>
      </c>
    </row>
    <row r="372" spans="1:18" ht="16.5" customHeight="1" thickBot="1" x14ac:dyDescent="0.35">
      <c r="A372" s="43" t="s">
        <v>1222</v>
      </c>
      <c r="B372" s="47">
        <f>+B300+B313+B346+B371</f>
        <v>19112</v>
      </c>
      <c r="C372" s="42">
        <f>+C300+C313+C346+C371</f>
        <v>35577</v>
      </c>
      <c r="D372" s="42">
        <f>+D300+D313+D346+D371</f>
        <v>65399</v>
      </c>
      <c r="E372" s="37">
        <f t="shared" si="74"/>
        <v>120088</v>
      </c>
      <c r="F372" s="42">
        <f>+F300+F313+F346+F371</f>
        <v>102727</v>
      </c>
      <c r="G372" s="42">
        <f>+G300+G313+G346+G371</f>
        <v>110754</v>
      </c>
      <c r="H372" s="42">
        <f>+H300+H313+H346+H371</f>
        <v>128477</v>
      </c>
      <c r="I372" s="37">
        <f t="shared" si="75"/>
        <v>341958</v>
      </c>
      <c r="J372" s="42">
        <f>+J300+J313+J346+J371</f>
        <v>94989</v>
      </c>
      <c r="K372" s="42">
        <f>+K300+K313+K346+K371</f>
        <v>87994</v>
      </c>
      <c r="L372" s="42">
        <f>+L300+L313+L346+L371</f>
        <v>65449</v>
      </c>
      <c r="M372" s="37">
        <f t="shared" si="76"/>
        <v>248432</v>
      </c>
      <c r="N372" s="42">
        <f>+N300+N313+N346+N371</f>
        <v>53672</v>
      </c>
      <c r="O372" s="42">
        <f>+O300+O313+O346+O371</f>
        <v>23870</v>
      </c>
      <c r="P372" s="42">
        <f>+P300+P313+P346+P371</f>
        <v>29175.000000000011</v>
      </c>
      <c r="Q372" s="37">
        <f t="shared" si="77"/>
        <v>106717.00000000001</v>
      </c>
      <c r="R372" s="40">
        <f t="shared" si="78"/>
        <v>817195</v>
      </c>
    </row>
    <row r="373" spans="1:18" ht="15.75" customHeight="1" x14ac:dyDescent="0.3">
      <c r="A373" s="539" t="s">
        <v>2273</v>
      </c>
      <c r="B373" s="172">
        <v>0</v>
      </c>
      <c r="C373" s="172">
        <v>0</v>
      </c>
      <c r="D373" s="172">
        <v>0</v>
      </c>
      <c r="E373" s="38">
        <f t="shared" si="74"/>
        <v>0</v>
      </c>
      <c r="F373" s="172">
        <v>0</v>
      </c>
      <c r="G373" s="172">
        <v>0</v>
      </c>
      <c r="H373" s="172">
        <v>0</v>
      </c>
      <c r="I373" s="38">
        <f t="shared" si="75"/>
        <v>0</v>
      </c>
      <c r="J373" s="172">
        <v>0</v>
      </c>
      <c r="K373" s="172">
        <v>0</v>
      </c>
      <c r="L373" s="172">
        <v>0</v>
      </c>
      <c r="M373" s="38">
        <f t="shared" si="76"/>
        <v>0</v>
      </c>
      <c r="N373" s="172">
        <v>0</v>
      </c>
      <c r="O373" s="172">
        <v>0</v>
      </c>
      <c r="P373" s="172">
        <v>0</v>
      </c>
      <c r="Q373" s="38">
        <f t="shared" si="77"/>
        <v>0</v>
      </c>
      <c r="R373" s="38">
        <f t="shared" si="78"/>
        <v>0</v>
      </c>
    </row>
    <row r="374" spans="1:18" ht="15.75" customHeight="1" x14ac:dyDescent="0.3">
      <c r="A374" s="539" t="s">
        <v>2274</v>
      </c>
      <c r="B374" s="172">
        <v>0</v>
      </c>
      <c r="C374" s="172">
        <v>0</v>
      </c>
      <c r="D374" s="172">
        <v>0</v>
      </c>
      <c r="E374" s="38">
        <f t="shared" si="74"/>
        <v>0</v>
      </c>
      <c r="F374" s="172">
        <v>0</v>
      </c>
      <c r="G374" s="172">
        <v>0</v>
      </c>
      <c r="H374" s="172">
        <v>0</v>
      </c>
      <c r="I374" s="38">
        <f t="shared" si="75"/>
        <v>0</v>
      </c>
      <c r="J374" s="172">
        <v>0</v>
      </c>
      <c r="K374" s="172">
        <v>0</v>
      </c>
      <c r="L374" s="172">
        <v>0</v>
      </c>
      <c r="M374" s="38">
        <f t="shared" si="76"/>
        <v>0</v>
      </c>
      <c r="N374" s="172">
        <v>0</v>
      </c>
      <c r="O374" s="172">
        <v>0</v>
      </c>
      <c r="P374" s="172">
        <v>0</v>
      </c>
      <c r="Q374" s="38">
        <f t="shared" si="77"/>
        <v>0</v>
      </c>
      <c r="R374" s="38">
        <f t="shared" si="78"/>
        <v>0</v>
      </c>
    </row>
    <row r="375" spans="1:18" ht="16.5" customHeight="1" thickBot="1" x14ac:dyDescent="0.35">
      <c r="A375" s="257" t="s">
        <v>853</v>
      </c>
      <c r="B375" s="238">
        <v>155</v>
      </c>
      <c r="C375" s="238">
        <v>283</v>
      </c>
      <c r="D375" s="238">
        <v>435</v>
      </c>
      <c r="E375" s="40">
        <f t="shared" si="74"/>
        <v>873</v>
      </c>
      <c r="F375" s="238">
        <v>602</v>
      </c>
      <c r="G375" s="238">
        <v>711</v>
      </c>
      <c r="H375" s="238">
        <v>722</v>
      </c>
      <c r="I375" s="40">
        <f t="shared" si="75"/>
        <v>2035</v>
      </c>
      <c r="J375" s="238">
        <v>686</v>
      </c>
      <c r="K375" s="238">
        <v>519</v>
      </c>
      <c r="L375" s="238">
        <v>531</v>
      </c>
      <c r="M375" s="40">
        <f t="shared" si="76"/>
        <v>1736</v>
      </c>
      <c r="N375" s="238">
        <v>489</v>
      </c>
      <c r="O375" s="238">
        <v>389</v>
      </c>
      <c r="P375" s="238">
        <v>275</v>
      </c>
      <c r="Q375" s="40">
        <f t="shared" si="77"/>
        <v>1153</v>
      </c>
      <c r="R375" s="38">
        <f t="shared" si="78"/>
        <v>5797</v>
      </c>
    </row>
    <row r="376" spans="1:18" ht="16.5" customHeight="1" thickBot="1" x14ac:dyDescent="0.35">
      <c r="A376" s="44"/>
      <c r="B376" s="258"/>
      <c r="C376" s="258"/>
      <c r="D376" s="258"/>
      <c r="E376" s="37"/>
      <c r="F376" s="258"/>
      <c r="G376" s="258"/>
      <c r="H376" s="258"/>
      <c r="I376" s="37"/>
      <c r="J376" s="258"/>
      <c r="K376" s="258"/>
      <c r="L376" s="258"/>
      <c r="M376" s="37"/>
      <c r="N376" s="258"/>
      <c r="O376" s="258"/>
      <c r="P376" s="258"/>
      <c r="Q376" s="37"/>
      <c r="R376" s="37" t="s">
        <v>852</v>
      </c>
    </row>
    <row r="377" spans="1:18" ht="15.75" customHeight="1" x14ac:dyDescent="0.3">
      <c r="A377" s="259" t="s">
        <v>2011</v>
      </c>
      <c r="B377" s="260">
        <f>SUM(B372:B375)</f>
        <v>19267</v>
      </c>
      <c r="C377" s="260">
        <f>SUM(C372:C375)</f>
        <v>35860</v>
      </c>
      <c r="D377" s="260">
        <f>SUM(D372:D375)</f>
        <v>65834</v>
      </c>
      <c r="E377" s="39">
        <f>SUM(B377:D377)</f>
        <v>120961</v>
      </c>
      <c r="F377" s="260">
        <f>SUM(F372:F375)</f>
        <v>103329</v>
      </c>
      <c r="G377" s="260">
        <f>SUM(G372:G375)</f>
        <v>111465</v>
      </c>
      <c r="H377" s="260">
        <f>SUM(H372:H375)</f>
        <v>129199</v>
      </c>
      <c r="I377" s="39">
        <f>SUM(F377:H377)</f>
        <v>343993</v>
      </c>
      <c r="J377" s="260">
        <f>SUM(J372:J375)</f>
        <v>95675</v>
      </c>
      <c r="K377" s="260">
        <f>SUM(K372:K375)</f>
        <v>88513</v>
      </c>
      <c r="L377" s="260">
        <f>SUM(L372:L375)</f>
        <v>65980</v>
      </c>
      <c r="M377" s="39">
        <f>SUM(J377:L377)</f>
        <v>250168</v>
      </c>
      <c r="N377" s="260">
        <f>SUM(N372:N375)</f>
        <v>54161</v>
      </c>
      <c r="O377" s="260">
        <f>SUM(O372:O375)</f>
        <v>24259</v>
      </c>
      <c r="P377" s="260">
        <f>SUM(P372:P375)</f>
        <v>29450.000000000011</v>
      </c>
      <c r="Q377" s="39">
        <f>SUM(N377:P377)</f>
        <v>107870.00000000001</v>
      </c>
      <c r="R377" s="39">
        <f>+E377+I377+M377+Q377</f>
        <v>822992</v>
      </c>
    </row>
    <row r="378" spans="1:18" ht="15.75" customHeight="1" x14ac:dyDescent="0.3">
      <c r="A378" s="262" t="s">
        <v>1897</v>
      </c>
      <c r="B378" s="172">
        <f>(B377/31)/1.983</f>
        <v>313.42215281505702</v>
      </c>
      <c r="C378" s="172">
        <f>(C377/28)/1.983</f>
        <v>645.8468410056912</v>
      </c>
      <c r="D378" s="172">
        <f>(D377/31)/1.983</f>
        <v>1070.9417142485318</v>
      </c>
      <c r="E378" s="38" t="s">
        <v>852</v>
      </c>
      <c r="F378" s="172">
        <f>(F377/30)/1.983</f>
        <v>1736.9137670196671</v>
      </c>
      <c r="G378" s="172">
        <f>(G377/31)/1.983</f>
        <v>1813.2350788150893</v>
      </c>
      <c r="H378" s="172">
        <f>(H377/30)/1.983</f>
        <v>2171.7767692049083</v>
      </c>
      <c r="I378" s="38" t="s">
        <v>852</v>
      </c>
      <c r="J378" s="172">
        <f>(J377/31)/1.983</f>
        <v>1556.3743432075871</v>
      </c>
      <c r="K378" s="172">
        <f>(K377/31)/1.983</f>
        <v>1439.8679094887186</v>
      </c>
      <c r="L378" s="172">
        <f>(L377/30)/1.983</f>
        <v>1109.0939653723315</v>
      </c>
      <c r="M378" s="38" t="s">
        <v>852</v>
      </c>
      <c r="N378" s="172">
        <f>(N377/31)/1.983</f>
        <v>881.05347062938199</v>
      </c>
      <c r="O378" s="172">
        <f>(O377/30)/1.983</f>
        <v>407.7828206421247</v>
      </c>
      <c r="P378" s="172">
        <f>(P377/31)/1.983</f>
        <v>479.07211296016152</v>
      </c>
      <c r="Q378" s="38" t="s">
        <v>852</v>
      </c>
      <c r="R378" s="38" t="s">
        <v>852</v>
      </c>
    </row>
    <row r="379" spans="1:18" ht="15.75" customHeight="1" x14ac:dyDescent="0.3">
      <c r="A379" s="262" t="s">
        <v>2432</v>
      </c>
      <c r="B379" s="172">
        <f>B377+B424</f>
        <v>39790</v>
      </c>
      <c r="C379" s="172">
        <f>C377+C424</f>
        <v>60121</v>
      </c>
      <c r="D379" s="172">
        <f>D377+D424</f>
        <v>91932</v>
      </c>
      <c r="E379" s="38">
        <f>SUM(B379:D379)</f>
        <v>191843</v>
      </c>
      <c r="F379" s="172">
        <f>F377+F424</f>
        <v>135423</v>
      </c>
      <c r="G379" s="172">
        <f>G377+G424</f>
        <v>146338</v>
      </c>
      <c r="H379" s="172">
        <f>H377+H424</f>
        <v>169717</v>
      </c>
      <c r="I379" s="38">
        <f>SUM(F379:H379)</f>
        <v>451478</v>
      </c>
      <c r="J379" s="172">
        <f>J377+J424</f>
        <v>134505</v>
      </c>
      <c r="K379" s="172">
        <f>K377+K424</f>
        <v>134861</v>
      </c>
      <c r="L379" s="172">
        <f>L377+L424</f>
        <v>101871</v>
      </c>
      <c r="M379" s="38">
        <f>SUM(J379:L379)</f>
        <v>371237</v>
      </c>
      <c r="N379" s="172">
        <f>N377+N424</f>
        <v>73498</v>
      </c>
      <c r="O379" s="172">
        <f>O377+O424</f>
        <v>34561</v>
      </c>
      <c r="P379" s="172">
        <f>P377+P424</f>
        <v>50104.000000000015</v>
      </c>
      <c r="Q379" s="38">
        <f>SUM(N379:P379)</f>
        <v>158163</v>
      </c>
      <c r="R379" s="38">
        <f>+E379+I379+M379+Q379</f>
        <v>1172721</v>
      </c>
    </row>
    <row r="380" spans="1:18" s="574" customFormat="1" ht="16.5" customHeight="1" thickBot="1" x14ac:dyDescent="0.35">
      <c r="A380" s="576" t="s">
        <v>104</v>
      </c>
      <c r="B380" s="577">
        <f>(B379/31)/1.983</f>
        <v>647.27603988743022</v>
      </c>
      <c r="C380" s="577">
        <f>(C379/28)/1.983</f>
        <v>1082.7930264390175</v>
      </c>
      <c r="D380" s="577">
        <f>(D379/31)/1.983</f>
        <v>1495.4858230442633</v>
      </c>
      <c r="E380" s="578" t="s">
        <v>852</v>
      </c>
      <c r="F380" s="577">
        <f>(F379/30)/1.983</f>
        <v>2276.3993948562784</v>
      </c>
      <c r="G380" s="577">
        <f>(G379/31)/1.983</f>
        <v>2380.5247832381697</v>
      </c>
      <c r="H380" s="577">
        <f>(H379/30)/1.983</f>
        <v>2852.8660279038495</v>
      </c>
      <c r="I380" s="578" t="s">
        <v>852</v>
      </c>
      <c r="J380" s="577">
        <f>(J379/31)/1.983</f>
        <v>2188.0337709238202</v>
      </c>
      <c r="K380" s="577">
        <f>(K379/31)/1.983</f>
        <v>2193.8249312706389</v>
      </c>
      <c r="L380" s="577">
        <f>(L379/30)/1.983</f>
        <v>1712.4054462934946</v>
      </c>
      <c r="M380" s="578" t="s">
        <v>852</v>
      </c>
      <c r="N380" s="577">
        <f>(N379/31)/1.983</f>
        <v>1195.6143347485888</v>
      </c>
      <c r="O380" s="577">
        <f>(O379/30)/1.983</f>
        <v>580.95478231635559</v>
      </c>
      <c r="P380" s="577">
        <f>(P379/31)/1.983</f>
        <v>815.05701690172941</v>
      </c>
      <c r="Q380" s="578" t="s">
        <v>852</v>
      </c>
      <c r="R380" s="578" t="s">
        <v>852</v>
      </c>
    </row>
    <row r="381" spans="1:18" ht="15.75" customHeight="1" x14ac:dyDescent="0.3">
      <c r="A381" s="351" t="s">
        <v>1011</v>
      </c>
      <c r="B381" s="352">
        <f>B$382+(SUMIF($T$258:$T$358,"FLG",B$265:B$374)/31/1.98)+(SUMIF($T$258:$T$358,"FCA",B$265:B$374)/31/1.98)+(SUMIF($T$258:$T$358,"NSC",B$265:B$374)/31/1.98)</f>
        <v>372.28739002932554</v>
      </c>
      <c r="C381" s="352">
        <f>C$382+(SUMIF($T$258:$T$358,"FLG",C$265:C$374)/28/1.98)+(SUMIF($T$258:$T$358,"FCA",C$265:C$374)/28/1.98)+(SUMIF($T$258:$T$358,"NSC",C$265:C$374)/28/1.98)</f>
        <v>459.79437229437229</v>
      </c>
      <c r="D381" s="352">
        <f>D$382+(SUMIF($T$258:$T$358,"FLG",D$265:D$374)/31/1.98)+(SUMIF($T$258:$T$358,"FCA",D$265:D$374)/31/1.98)+(SUMIF($T$258:$T$358,"NSC",D$265:D$374)/31/1.98)</f>
        <v>536.65689149560126</v>
      </c>
      <c r="E381" s="329"/>
      <c r="F381" s="352">
        <f>F$382+(SUMIF($T$258:$T$358,"FLG",F$265:F$374)/30/1.98)+(SUMIF($T$258:$T$358,"FCA",F$265:F$374)/30/1.98)+(SUMIF($T$258:$T$358,"NSC",F$265:F$374)/30/1.98)</f>
        <v>615.89225589225589</v>
      </c>
      <c r="G381" s="352">
        <f>G$382+(SUMIF($T$258:$T$358,"FLG",G$265:G$374)/31/1.98)+(SUMIF($T$258:$T$358,"FCA",G$265:G$374)/31/1.98)+(SUMIF($T$258:$T$358,"NSC",G$265:G$374)/31/1.98)</f>
        <v>615.00488758553286</v>
      </c>
      <c r="H381" s="352">
        <f>H$382+(SUMIF($T$258:$T$358,"FLG",H$265:H$374)/30/1.98)+(SUMIF($T$258:$T$358,"FCA",H$265:H$374)/30/1.98)+(SUMIF($T$258:$T$358,"NSC",H$265:H$374)/30/1.98)</f>
        <v>798.46801346801351</v>
      </c>
      <c r="I381" s="350"/>
      <c r="J381" s="352">
        <f>J$382+(SUMIF($T$258:$T$358,"FLG",J$265:J$374)/31/1.98)+(SUMIF($T$258:$T$358,"FCA",J$265:J$374)/31/1.98)+(SUMIF($T$258:$T$358,"NSC",J$265:J$374)/31/1.98)</f>
        <v>741.03942652329749</v>
      </c>
      <c r="K381" s="352">
        <f>K$382+(SUMIF($T$258:$T$358,"FLG",K$265:K$374)/31/1.98)+(SUMIF($T$258:$T$358,"FCA",K$265:K$374)/31/1.98)+(SUMIF($T$258:$T$358,"NSC",K$265:K$374)/31/1.98)</f>
        <v>756.33756924079501</v>
      </c>
      <c r="L381" s="352">
        <f>L$382+(SUMIF($T$258:$T$358,"FLG",L$265:L$374)/30/1.98)+(SUMIF($T$258:$T$358,"FCA",L$265:L$374)/30/1.98)+(SUMIF($T$258:$T$358,"NSC",L$265:L$374)/30/1.98)</f>
        <v>717.30639730639723</v>
      </c>
      <c r="M381" s="350"/>
      <c r="N381" s="352">
        <f>N$382+(SUMIF($T$258:$T$358,"FLG",N$265:N$374)/31/1.98)+(SUMIF($T$258:$T$358,"FCA",N$265:N$374)/31/1.98)+(SUMIF($T$258:$T$358,"NSC",N$265:N$374)/31/1.98)</f>
        <v>349.15281850765723</v>
      </c>
      <c r="O381" s="352">
        <f>O$382+(SUMIF($T$258:$T$358,"FLG",O$265:O$374)/30/1.98)+(SUMIF($T$258:$T$358,"FCA",O$265:O$374)/30/1.98)+(SUMIF($T$258:$T$358,"NSC",O$265:O$374)/30/1.98)</f>
        <v>193.11447811447809</v>
      </c>
      <c r="P381" s="352">
        <f>P$382+(SUMIF($T$258:$T$358,"FLG",P$265:P$374)/31/1.98)+(SUMIF($T$258:$T$358,"FCA",P$265:P$374)/31/1.98)+(SUMIF($T$258:$T$358,"NSC",P$265:P$374)/31/1.98)</f>
        <v>417.07396546106224</v>
      </c>
      <c r="Q381" s="350"/>
      <c r="R381" s="350"/>
    </row>
    <row r="382" spans="1:18" ht="15.75" customHeight="1" x14ac:dyDescent="0.3">
      <c r="A382" s="351" t="s">
        <v>1012</v>
      </c>
      <c r="B382" s="352">
        <f>B$383+(SUMIF($T$258:$T$358,"FCI",B$265:B$374)/31/1.98)+(SUMIF($T$258:$T$358,"FCC",B$265:B$374)/31/1.98)</f>
        <v>372.28739002932554</v>
      </c>
      <c r="C382" s="352">
        <f>C$383+(SUMIF($T$258:$T$358,"FCI",C$265:C$374)/28/1.98)+(SUMIF($T$258:$T$358,"FCC",C$265:C$374)/28/1.98)</f>
        <v>459.79437229437229</v>
      </c>
      <c r="D382" s="352">
        <f>D$383+(SUMIF($T$258:$T$358,"FCI",D$265:D$374)/31/1.98)+(SUMIF($T$258:$T$358,"FCC",D$265:D$374)/31/1.98)</f>
        <v>536.65689149560126</v>
      </c>
      <c r="E382" s="329"/>
      <c r="F382" s="352">
        <f>F$383+(SUMIF($T$258:$T$358,"FCI",F$265:F$374)/30/1.98)+(SUMIF($T$258:$T$358,"FCC",F$265:F$374)/30/1.98)</f>
        <v>615.89225589225589</v>
      </c>
      <c r="G382" s="352">
        <f>G$383+(SUMIF($T$258:$T$358,"FCI",G$265:G$374)/31/1.98)+(SUMIF($T$258:$T$358,"FCC",G$265:G$374)/31/1.98)</f>
        <v>615.00488758553286</v>
      </c>
      <c r="H382" s="352">
        <f>H$383+(SUMIF($T$258:$T$358,"FCI",H$265:H$374)/30/1.98)+(SUMIF($T$258:$T$358,"FCC",H$265:H$374)/30/1.98)</f>
        <v>798.46801346801351</v>
      </c>
      <c r="I382" s="350"/>
      <c r="J382" s="352">
        <f>J$383+(SUMIF($T$258:$T$358,"FCI",J$265:J$374)/31/1.98)+(SUMIF($T$258:$T$358,"FCC",J$265:J$374)/31/1.98)</f>
        <v>741.03942652329749</v>
      </c>
      <c r="K382" s="352">
        <f>K$383+(SUMIF($T$258:$T$358,"FCI",K$265:K$374)/31/1.98)+(SUMIF($T$258:$T$358,"FCC",K$265:K$374)/31/1.98)</f>
        <v>756.33756924079501</v>
      </c>
      <c r="L382" s="352">
        <f>L$383+(SUMIF($T$258:$T$358,"FCI",L$265:L$374)/30/1.98)+(SUMIF($T$258:$T$358,"FCC",L$265:L$374)/30/1.98)</f>
        <v>717.30639730639723</v>
      </c>
      <c r="M382" s="350"/>
      <c r="N382" s="352">
        <f>N$383+(SUMIF($T$258:$T$358,"FCI",N$265:N$374)/31/1.98)+(SUMIF($T$258:$T$358,"FCC",N$265:N$374)/31/1.98)</f>
        <v>349.15281850765723</v>
      </c>
      <c r="O382" s="352">
        <f>O$383+(SUMIF($T$258:$T$358,"FCI",O$265:O$374)/30/1.98)+(SUMIF($T$258:$T$358,"FCC",O$265:O$374)/30/1.98)</f>
        <v>193.11447811447809</v>
      </c>
      <c r="P382" s="352">
        <f>P$383+(SUMIF($T$258:$T$358,"FCI",P$265:P$374)/31/1.98)+(SUMIF($T$258:$T$358,"FCC",P$265:P$374)/31/1.98)</f>
        <v>417.07396546106224</v>
      </c>
      <c r="Q382" s="350"/>
      <c r="R382" s="350"/>
    </row>
    <row r="383" spans="1:18" ht="15.75" customHeight="1" x14ac:dyDescent="0.3">
      <c r="A383" s="351" t="s">
        <v>1013</v>
      </c>
      <c r="B383" s="352">
        <f>B$384+(SUMIF($T$258:$T$358,"PIL",B$265:B$374)/31/1.98)+(SUMIF($T$258:$T$358,"KLK",B$265:B$374)/31/1.98)</f>
        <v>372.28739002932554</v>
      </c>
      <c r="C383" s="352">
        <f>C$384+(SUMIF($T$258:$T$358,"PIL",C$265:C$374)/28/1.98)+(SUMIF($T$258:$T$358,"KLK",C$265:C$374)/28/1.98)</f>
        <v>459.79437229437229</v>
      </c>
      <c r="D383" s="352">
        <f>D$384+(SUMIF($T$258:$T$358,"PIL",D$265:D$374)/31/1.98)+(SUMIF($T$258:$T$358,"KLK",D$265:D$374)/31/1.98)</f>
        <v>536.65689149560126</v>
      </c>
      <c r="E383" s="329"/>
      <c r="F383" s="352">
        <f>F$384+(SUMIF($T$258:$T$358,"PIL",F$265:F$374)/30/1.98)+(SUMIF($T$258:$T$358,"KLK",F$265:F$374)/30/1.98)</f>
        <v>615.89225589225589</v>
      </c>
      <c r="G383" s="352">
        <f>G$384+(SUMIF($T$258:$T$358,"PIL",G$265:G$374)/31/1.98)+(SUMIF($T$258:$T$358,"KLK",G$265:G$374)/31/1.98)</f>
        <v>615.00488758553286</v>
      </c>
      <c r="H383" s="352">
        <f>H$384+(SUMIF($T$258:$T$358,"PIL",H$265:H$374)/30/1.98)+(SUMIF($T$258:$T$358,"KLK",H$265:H$374)/30/1.98)</f>
        <v>798.46801346801351</v>
      </c>
      <c r="I383" s="350"/>
      <c r="J383" s="352">
        <f>J$384+(SUMIF($T$258:$T$358,"PIL",J$265:J$374)/31/1.98)+(SUMIF($T$258:$T$358,"KLK",J$265:J$374)/31/1.98)</f>
        <v>741.03942652329749</v>
      </c>
      <c r="K383" s="352">
        <f>K$384+(SUMIF($T$258:$T$358,"PIL",K$265:K$374)/31/1.98)+(SUMIF($T$258:$T$358,"KLK",K$265:K$374)/31/1.98)</f>
        <v>756.33756924079501</v>
      </c>
      <c r="L383" s="352">
        <f>L$384+(SUMIF($T$258:$T$358,"PIL",L$265:L$374)/30/1.98)+(SUMIF($T$258:$T$358,"KLK",L$265:L$374)/30/1.98)</f>
        <v>717.30639730639723</v>
      </c>
      <c r="M383" s="350"/>
      <c r="N383" s="352">
        <f>N$384+(SUMIF($T$258:$T$358,"PIL",N$265:N$374)/31/1.98)+(SUMIF($T$258:$T$358,"KLK",N$265:N$374)/31/1.98)</f>
        <v>349.15281850765723</v>
      </c>
      <c r="O383" s="352">
        <f>O$384+(SUMIF($T$258:$T$358,"PIL",O$265:O$374)/30/1.98)+(SUMIF($T$258:$T$358,"KLK",O$265:O$374)/30/1.98)</f>
        <v>193.11447811447809</v>
      </c>
      <c r="P383" s="352">
        <f>P$384+(SUMIF($T$258:$T$358,"PIL",P$265:P$374)/31/1.98)+(SUMIF($T$258:$T$358,"KLK",P$265:P$374)/31/1.98)</f>
        <v>417.07396546106224</v>
      </c>
      <c r="Q383" s="350"/>
      <c r="R383" s="350"/>
    </row>
    <row r="384" spans="1:18" ht="15.75" customHeight="1" x14ac:dyDescent="0.3">
      <c r="A384" s="351" t="s">
        <v>1014</v>
      </c>
      <c r="B384" s="352">
        <f>B$385+(SUMIF($T$258:$T$358,"CGE",B$265:B$374)/31/1.98)</f>
        <v>372.28739002932554</v>
      </c>
      <c r="C384" s="352">
        <f>C$385+(SUMIF($T$258:$T$358,"CGE",C$265:C$374)/28/1.98)</f>
        <v>459.79437229437229</v>
      </c>
      <c r="D384" s="352">
        <f>D$385+(SUMIF($T$258:$T$358,"CGE",D$265:D$374)/31/1.98)</f>
        <v>536.65689149560126</v>
      </c>
      <c r="E384" s="329"/>
      <c r="F384" s="352">
        <f>F$385+(SUMIF($T$258:$T$358,"CGE",F$265:F$374)/30/1.98)</f>
        <v>615.89225589225589</v>
      </c>
      <c r="G384" s="352">
        <f>G$385+(SUMIF($T$258:$T$358,"CGE",G$265:G$374)/31/1.98)</f>
        <v>615.00488758553286</v>
      </c>
      <c r="H384" s="352">
        <f>H$385+(SUMIF($T$258:$T$358,"CGE",H$265:H$374)/30/1.98)</f>
        <v>798.46801346801351</v>
      </c>
      <c r="I384" s="350"/>
      <c r="J384" s="352">
        <f>J$385+(SUMIF($T$258:$T$358,"CGE",J$265:J$374)/31/1.98)</f>
        <v>741.03942652329749</v>
      </c>
      <c r="K384" s="352">
        <f>K$385+(SUMIF($T$258:$T$358,"CGE",K$265:K$374)/31/1.98)</f>
        <v>756.33756924079501</v>
      </c>
      <c r="L384" s="352">
        <f>L$385+(SUMIF($T$258:$T$358,"CGE",L$265:L$374)/30/1.98)</f>
        <v>717.30639730639723</v>
      </c>
      <c r="M384" s="350"/>
      <c r="N384" s="352">
        <f>N$385+(SUMIF($T$258:$T$358,"CGE",N$265:N$374)/31/1.98)</f>
        <v>349.15281850765723</v>
      </c>
      <c r="O384" s="352">
        <f>O$385+(SUMIF($T$258:$T$358,"CGE",O$265:O$374)/30/1.98)</f>
        <v>193.11447811447809</v>
      </c>
      <c r="P384" s="352">
        <f>P$385+(SUMIF($T$258:$T$358,"CGE",P$265:P$374)/31/1.98)</f>
        <v>417.07396546106224</v>
      </c>
      <c r="Q384" s="350"/>
      <c r="R384" s="350"/>
    </row>
    <row r="385" spans="1:18" ht="15.75" customHeight="1" x14ac:dyDescent="0.3">
      <c r="A385" s="351" t="s">
        <v>1015</v>
      </c>
      <c r="B385" s="352">
        <f>B$386+(SUMIF($T$258:$T$358,"SRO",B$265:B$374)/31/1.98)</f>
        <v>372.28739002932554</v>
      </c>
      <c r="C385" s="352">
        <f>C$386+(SUMIF($T$258:$T$358,"SRO",C$265:C$374)/28/1.98)</f>
        <v>459.79437229437229</v>
      </c>
      <c r="D385" s="352">
        <f>D$386+(SUMIF($T$258:$T$358,"SRO",D$265:D$374)/31/1.98)</f>
        <v>536.65689149560126</v>
      </c>
      <c r="E385" s="329"/>
      <c r="F385" s="352">
        <f>F$386+(SUMIF($T$258:$T$358,"SRO",F$265:F$374)/30/1.98)</f>
        <v>615.89225589225589</v>
      </c>
      <c r="G385" s="352">
        <f>G$386+(SUMIF($T$258:$T$358,"SRO",G$265:G$374)/31/1.98)</f>
        <v>615.00488758553286</v>
      </c>
      <c r="H385" s="352">
        <f>H$386+(SUMIF($T$258:$T$358,"SRO",H$265:H$374)/30/1.98)</f>
        <v>798.46801346801351</v>
      </c>
      <c r="I385" s="350"/>
      <c r="J385" s="352">
        <f>J$386+(SUMIF($T$258:$T$358,"SRO",J$265:J$374)/31/1.98)</f>
        <v>741.03942652329749</v>
      </c>
      <c r="K385" s="352">
        <f>K$386+(SUMIF($T$258:$T$358,"SRO",K$265:K$374)/31/1.98)</f>
        <v>756.33756924079501</v>
      </c>
      <c r="L385" s="352">
        <f>L$386+(SUMIF($T$258:$T$358,"SRO",L$265:L$374)/30/1.98)</f>
        <v>717.30639730639723</v>
      </c>
      <c r="M385" s="350"/>
      <c r="N385" s="352">
        <f>N$386+(SUMIF($T$258:$T$358,"SRO",N$265:N$374)/31/1.98)</f>
        <v>349.15281850765723</v>
      </c>
      <c r="O385" s="352">
        <f>O$386+(SUMIF($T$258:$T$358,"SRO",O$265:O$374)/30/1.98)</f>
        <v>193.11447811447809</v>
      </c>
      <c r="P385" s="352">
        <f>P$386+(SUMIF($T$258:$T$358,"SRO",P$265:P$374)/31/1.98)</f>
        <v>417.07396546106224</v>
      </c>
      <c r="Q385" s="350"/>
      <c r="R385" s="350"/>
    </row>
    <row r="386" spans="1:18" ht="15.75" customHeight="1" x14ac:dyDescent="0.3">
      <c r="A386" s="351" t="s">
        <v>130</v>
      </c>
      <c r="B386" s="352">
        <f>B$424/31/1.98</f>
        <v>334.35972629521018</v>
      </c>
      <c r="C386" s="352">
        <f>C$424/28/1.98</f>
        <v>437.6082251082251</v>
      </c>
      <c r="D386" s="352">
        <f>D$424/31/1.98</f>
        <v>425.18735744542198</v>
      </c>
      <c r="E386" s="353"/>
      <c r="F386" s="352">
        <f>F$424/30/1.98</f>
        <v>540.30303030303025</v>
      </c>
      <c r="G386" s="352">
        <f>G$424/31/1.98</f>
        <v>568.14923427826659</v>
      </c>
      <c r="H386" s="352">
        <f>H$424/30/1.98</f>
        <v>682.12121212121212</v>
      </c>
      <c r="I386" s="450"/>
      <c r="J386" s="352">
        <f>J$424/31/1.98</f>
        <v>632.6164874551971</v>
      </c>
      <c r="K386" s="352">
        <f>K$424/31/1.98</f>
        <v>755.0993809058325</v>
      </c>
      <c r="L386" s="352">
        <f>L$424/30/1.98</f>
        <v>604.22558922558915</v>
      </c>
      <c r="M386" s="451"/>
      <c r="N386" s="352">
        <f>N$424/31/1.98</f>
        <v>315.0374714890844</v>
      </c>
      <c r="O386" s="352">
        <f>O$424/30/1.98</f>
        <v>173.43434343434342</v>
      </c>
      <c r="P386" s="352">
        <f>P$424/31/1.98</f>
        <v>336.49397197784293</v>
      </c>
      <c r="Q386" s="451"/>
      <c r="R386" s="350"/>
    </row>
    <row r="387" spans="1:18" ht="15.75" customHeight="1" thickBot="1" x14ac:dyDescent="0.35">
      <c r="A387" s="18"/>
      <c r="B387" s="172"/>
      <c r="C387" s="172"/>
      <c r="D387" s="172"/>
      <c r="E387" s="172"/>
      <c r="F387" s="172"/>
      <c r="G387" s="172"/>
      <c r="H387" s="172"/>
      <c r="I387" s="172"/>
      <c r="J387" s="172"/>
      <c r="K387" s="172"/>
      <c r="L387" s="172"/>
      <c r="M387" s="172"/>
      <c r="N387" s="172"/>
      <c r="O387" s="172"/>
      <c r="P387" s="172"/>
      <c r="Q387" s="172"/>
      <c r="R387" s="17"/>
    </row>
    <row r="388" spans="1:18" ht="16.5" customHeight="1" thickBot="1" x14ac:dyDescent="0.35">
      <c r="A388" s="240" t="s">
        <v>813</v>
      </c>
      <c r="B388" s="4" t="s">
        <v>2090</v>
      </c>
      <c r="C388" s="5" t="s">
        <v>2091</v>
      </c>
      <c r="D388" s="5" t="s">
        <v>2234</v>
      </c>
      <c r="E388" s="33" t="s">
        <v>1594</v>
      </c>
      <c r="F388" s="5" t="s">
        <v>2235</v>
      </c>
      <c r="G388" s="5" t="s">
        <v>2236</v>
      </c>
      <c r="H388" s="5" t="s">
        <v>2237</v>
      </c>
      <c r="I388" s="35" t="s">
        <v>1595</v>
      </c>
      <c r="J388" s="5" t="s">
        <v>1504</v>
      </c>
      <c r="K388" s="5" t="s">
        <v>1505</v>
      </c>
      <c r="L388" s="5" t="s">
        <v>1506</v>
      </c>
      <c r="M388" s="35" t="s">
        <v>1596</v>
      </c>
      <c r="N388" s="5" t="s">
        <v>1507</v>
      </c>
      <c r="O388" s="5" t="s">
        <v>1508</v>
      </c>
      <c r="P388" s="5" t="s">
        <v>1509</v>
      </c>
      <c r="Q388" s="35" t="s">
        <v>1597</v>
      </c>
      <c r="R388" s="36" t="s">
        <v>1510</v>
      </c>
    </row>
    <row r="389" spans="1:18" ht="16.5" customHeight="1" thickBot="1" x14ac:dyDescent="0.35">
      <c r="A389" s="37"/>
      <c r="B389" s="258"/>
      <c r="C389" s="258"/>
      <c r="D389" s="258"/>
      <c r="E389" s="254"/>
      <c r="F389" s="258"/>
      <c r="G389" s="258"/>
      <c r="H389" s="258"/>
      <c r="I389" s="265"/>
      <c r="J389" s="258"/>
      <c r="K389" s="258"/>
      <c r="L389" s="258"/>
      <c r="M389" s="265"/>
      <c r="N389" s="258"/>
      <c r="O389" s="258"/>
      <c r="P389" s="258"/>
      <c r="Q389" s="265"/>
      <c r="R389" s="52"/>
    </row>
    <row r="390" spans="1:18" ht="15.75" customHeight="1" x14ac:dyDescent="0.3">
      <c r="A390" s="234" t="s">
        <v>2417</v>
      </c>
      <c r="B390" s="172" t="s">
        <v>852</v>
      </c>
      <c r="C390" s="172" t="s">
        <v>852</v>
      </c>
      <c r="D390" s="172" t="s">
        <v>852</v>
      </c>
      <c r="E390" s="38" t="s">
        <v>852</v>
      </c>
      <c r="F390" s="172" t="s">
        <v>852</v>
      </c>
      <c r="G390" s="172" t="s">
        <v>852</v>
      </c>
      <c r="H390" s="172" t="s">
        <v>852</v>
      </c>
      <c r="I390" s="38" t="s">
        <v>852</v>
      </c>
      <c r="J390" s="172" t="s">
        <v>852</v>
      </c>
      <c r="K390" s="172" t="s">
        <v>852</v>
      </c>
      <c r="L390" s="172" t="s">
        <v>852</v>
      </c>
      <c r="M390" s="38" t="s">
        <v>852</v>
      </c>
      <c r="N390" s="172" t="s">
        <v>852</v>
      </c>
      <c r="O390" s="172" t="s">
        <v>852</v>
      </c>
      <c r="P390" s="172" t="s">
        <v>852</v>
      </c>
      <c r="Q390" s="38" t="s">
        <v>852</v>
      </c>
      <c r="R390" s="38" t="s">
        <v>852</v>
      </c>
    </row>
    <row r="391" spans="1:18" ht="15.75" customHeight="1" x14ac:dyDescent="0.3">
      <c r="A391" s="234" t="s">
        <v>2160</v>
      </c>
      <c r="B391" s="172"/>
      <c r="C391" s="172"/>
      <c r="D391" s="172"/>
      <c r="E391" s="38" t="s">
        <v>852</v>
      </c>
      <c r="F391" s="172"/>
      <c r="G391" s="172"/>
      <c r="H391" s="172"/>
      <c r="I391" s="38" t="s">
        <v>852</v>
      </c>
      <c r="J391" s="172"/>
      <c r="K391" s="172"/>
      <c r="L391" s="172"/>
      <c r="M391" s="38" t="s">
        <v>852</v>
      </c>
      <c r="N391" s="172"/>
      <c r="O391" s="172"/>
      <c r="P391" s="172"/>
      <c r="Q391" s="38" t="s">
        <v>852</v>
      </c>
      <c r="R391" s="38" t="s">
        <v>852</v>
      </c>
    </row>
    <row r="392" spans="1:18" ht="15.75" customHeight="1" x14ac:dyDescent="0.3">
      <c r="A392" s="266" t="s">
        <v>331</v>
      </c>
      <c r="B392" s="172"/>
      <c r="C392" s="172"/>
      <c r="D392" s="172"/>
      <c r="E392" s="38">
        <f>SUM(B392:D392)</f>
        <v>0</v>
      </c>
      <c r="F392" s="172"/>
      <c r="G392" s="172"/>
      <c r="H392" s="172"/>
      <c r="I392" s="38">
        <f>SUM(F392:H392)</f>
        <v>0</v>
      </c>
      <c r="J392" s="172"/>
      <c r="K392" s="172"/>
      <c r="L392" s="172"/>
      <c r="M392" s="38">
        <f>SUM(J392:L392)</f>
        <v>0</v>
      </c>
      <c r="N392" s="172"/>
      <c r="O392" s="172"/>
      <c r="P392" s="172"/>
      <c r="Q392" s="38">
        <f>SUM(N392:P392)</f>
        <v>0</v>
      </c>
      <c r="R392" s="38">
        <f>+E392+I392+M392+Q392</f>
        <v>0</v>
      </c>
    </row>
    <row r="393" spans="1:18" ht="15.75" customHeight="1" x14ac:dyDescent="0.3">
      <c r="A393" s="256" t="s">
        <v>1161</v>
      </c>
      <c r="B393" s="172"/>
      <c r="C393" s="172"/>
      <c r="D393" s="172"/>
      <c r="E393" s="38">
        <f>SUM(B393:D393)</f>
        <v>0</v>
      </c>
      <c r="F393" s="172"/>
      <c r="G393" s="172"/>
      <c r="H393" s="172"/>
      <c r="I393" s="38">
        <f>SUM(F393:H393)</f>
        <v>0</v>
      </c>
      <c r="J393" s="172"/>
      <c r="K393" s="172"/>
      <c r="L393" s="172"/>
      <c r="M393" s="38">
        <f>SUM(J393:L393)</f>
        <v>0</v>
      </c>
      <c r="N393" s="172"/>
      <c r="O393" s="172"/>
      <c r="P393" s="172"/>
      <c r="Q393" s="38">
        <f>SUM(N393:P393)</f>
        <v>0</v>
      </c>
      <c r="R393" s="38">
        <f>+E393+I393+M393+Q393</f>
        <v>0</v>
      </c>
    </row>
    <row r="394" spans="1:18" ht="15.75" customHeight="1" x14ac:dyDescent="0.3">
      <c r="A394" s="234" t="s">
        <v>2161</v>
      </c>
      <c r="B394" s="172"/>
      <c r="C394" s="172"/>
      <c r="D394" s="172"/>
      <c r="E394" s="38" t="s">
        <v>852</v>
      </c>
      <c r="F394" s="172"/>
      <c r="G394" s="172"/>
      <c r="H394" s="172"/>
      <c r="I394" s="38" t="s">
        <v>852</v>
      </c>
      <c r="J394" s="172"/>
      <c r="K394" s="172"/>
      <c r="L394" s="172"/>
      <c r="M394" s="38" t="s">
        <v>852</v>
      </c>
      <c r="N394" s="172"/>
      <c r="O394" s="172"/>
      <c r="P394" s="172"/>
      <c r="Q394" s="38" t="s">
        <v>852</v>
      </c>
      <c r="R394" s="38" t="s">
        <v>852</v>
      </c>
    </row>
    <row r="395" spans="1:18" ht="15.75" customHeight="1" x14ac:dyDescent="0.3">
      <c r="A395" s="266" t="s">
        <v>331</v>
      </c>
      <c r="B395" s="172"/>
      <c r="C395" s="172"/>
      <c r="D395" s="172"/>
      <c r="E395" s="38">
        <f>SUM(B395:D395)</f>
        <v>0</v>
      </c>
      <c r="F395" s="172"/>
      <c r="G395" s="172"/>
      <c r="H395" s="172"/>
      <c r="I395" s="38">
        <f>SUM(F395:H395)</f>
        <v>0</v>
      </c>
      <c r="J395" s="172"/>
      <c r="K395" s="172"/>
      <c r="L395" s="172"/>
      <c r="M395" s="38">
        <f>SUM(J395:L395)</f>
        <v>0</v>
      </c>
      <c r="N395" s="172"/>
      <c r="O395" s="172"/>
      <c r="P395" s="172"/>
      <c r="Q395" s="38">
        <f>SUM(N395:P395)</f>
        <v>0</v>
      </c>
      <c r="R395" s="38">
        <f>+E395+I395+M395+Q395</f>
        <v>0</v>
      </c>
    </row>
    <row r="396" spans="1:18" ht="15.75" customHeight="1" x14ac:dyDescent="0.3">
      <c r="A396" s="310" t="s">
        <v>1065</v>
      </c>
      <c r="B396" s="10"/>
      <c r="C396" s="10"/>
      <c r="D396" s="10"/>
      <c r="E396" s="38">
        <f>SUM(B396:D396)</f>
        <v>0</v>
      </c>
      <c r="F396" s="10"/>
      <c r="G396" s="10"/>
      <c r="H396" s="10"/>
      <c r="I396" s="38">
        <f>SUM(F396:H396)</f>
        <v>0</v>
      </c>
      <c r="J396" s="10"/>
      <c r="K396" s="10"/>
      <c r="L396" s="10"/>
      <c r="M396" s="38">
        <f>SUM(J396:L396)</f>
        <v>0</v>
      </c>
      <c r="N396" s="10"/>
      <c r="O396" s="10"/>
      <c r="P396" s="10"/>
      <c r="Q396" s="38">
        <f>SUM(N396:P396)</f>
        <v>0</v>
      </c>
      <c r="R396" s="38">
        <f>+E396+I396+M396+Q396</f>
        <v>0</v>
      </c>
    </row>
    <row r="397" spans="1:18" ht="15.75" customHeight="1" x14ac:dyDescent="0.3">
      <c r="A397" s="266" t="s">
        <v>355</v>
      </c>
      <c r="B397" s="172"/>
      <c r="C397" s="172"/>
      <c r="D397" s="172">
        <v>2</v>
      </c>
      <c r="E397" s="38">
        <f>SUM(B397:D397)</f>
        <v>2</v>
      </c>
      <c r="F397" s="172"/>
      <c r="G397" s="172"/>
      <c r="H397" s="172">
        <v>2</v>
      </c>
      <c r="I397" s="38">
        <f>SUM(F397:H397)</f>
        <v>2</v>
      </c>
      <c r="J397" s="172">
        <v>2</v>
      </c>
      <c r="K397" s="172">
        <v>0</v>
      </c>
      <c r="L397" s="172">
        <v>2</v>
      </c>
      <c r="M397" s="38">
        <f>SUM(J397:L397)</f>
        <v>4</v>
      </c>
      <c r="N397" s="172"/>
      <c r="O397" s="172"/>
      <c r="P397" s="172"/>
      <c r="Q397" s="38">
        <f>SUM(N397:P397)</f>
        <v>0</v>
      </c>
      <c r="R397" s="38">
        <f>+E397+I397+M397+Q397</f>
        <v>8</v>
      </c>
    </row>
    <row r="398" spans="1:18" ht="15.75" customHeight="1" x14ac:dyDescent="0.3">
      <c r="A398" s="234" t="s">
        <v>2162</v>
      </c>
      <c r="B398" s="172"/>
      <c r="C398" s="172"/>
      <c r="D398" s="172"/>
      <c r="E398" s="38" t="s">
        <v>852</v>
      </c>
      <c r="F398" s="172"/>
      <c r="G398" s="172"/>
      <c r="H398" s="172"/>
      <c r="I398" s="38" t="s">
        <v>852</v>
      </c>
      <c r="J398" s="172"/>
      <c r="K398" s="172"/>
      <c r="L398" s="172"/>
      <c r="M398" s="38" t="s">
        <v>852</v>
      </c>
      <c r="N398" s="172"/>
      <c r="O398" s="172"/>
      <c r="P398" s="172"/>
      <c r="Q398" s="38" t="s">
        <v>852</v>
      </c>
      <c r="R398" s="38" t="s">
        <v>852</v>
      </c>
    </row>
    <row r="399" spans="1:18" ht="15.75" customHeight="1" thickBot="1" x14ac:dyDescent="0.35">
      <c r="A399" s="234" t="s">
        <v>2164</v>
      </c>
      <c r="B399" s="172"/>
      <c r="C399" s="172"/>
      <c r="D399" s="172"/>
      <c r="E399" s="38" t="s">
        <v>852</v>
      </c>
      <c r="F399" s="172"/>
      <c r="G399" s="172"/>
      <c r="H399" s="172"/>
      <c r="I399" s="38" t="s">
        <v>852</v>
      </c>
      <c r="J399" s="172"/>
      <c r="K399" s="172"/>
      <c r="L399" s="172"/>
      <c r="M399" s="38" t="s">
        <v>852</v>
      </c>
      <c r="N399" s="172"/>
      <c r="O399" s="172"/>
      <c r="P399" s="172"/>
      <c r="Q399" s="38" t="s">
        <v>852</v>
      </c>
      <c r="R399" s="38" t="s">
        <v>852</v>
      </c>
    </row>
    <row r="400" spans="1:18" ht="16.5" customHeight="1" thickBot="1" x14ac:dyDescent="0.35">
      <c r="A400" s="276" t="s">
        <v>1218</v>
      </c>
      <c r="B400" s="45">
        <f>SUM(B390:B399)</f>
        <v>0</v>
      </c>
      <c r="C400" s="46">
        <f>SUM(C390:C399)</f>
        <v>0</v>
      </c>
      <c r="D400" s="46">
        <f>SUM(D390:D399)</f>
        <v>2</v>
      </c>
      <c r="E400" s="37">
        <f>SUM(B400:D400)</f>
        <v>2</v>
      </c>
      <c r="F400" s="46">
        <f>SUM(F390:F399)</f>
        <v>0</v>
      </c>
      <c r="G400" s="46">
        <f>SUM(G390:G399)</f>
        <v>0</v>
      </c>
      <c r="H400" s="46">
        <f>SUM(H390:H399)</f>
        <v>2</v>
      </c>
      <c r="I400" s="37">
        <f>SUM(F400:H400)</f>
        <v>2</v>
      </c>
      <c r="J400" s="46">
        <f>SUM(J390:J399)</f>
        <v>2</v>
      </c>
      <c r="K400" s="46">
        <f>SUM(K390:K399)</f>
        <v>0</v>
      </c>
      <c r="L400" s="46">
        <f>SUM(L390:L399)</f>
        <v>2</v>
      </c>
      <c r="M400" s="37">
        <f>SUM(J400:L400)</f>
        <v>4</v>
      </c>
      <c r="N400" s="46">
        <f>SUM(N390:N399)</f>
        <v>0</v>
      </c>
      <c r="O400" s="46">
        <f>SUM(O390:O399)</f>
        <v>0</v>
      </c>
      <c r="P400" s="46">
        <f>SUM(P390:P399)</f>
        <v>0</v>
      </c>
      <c r="Q400" s="37">
        <f>SUM(N400:P400)</f>
        <v>0</v>
      </c>
      <c r="R400" s="37">
        <f>+E400+I400+M400+Q400</f>
        <v>8</v>
      </c>
    </row>
    <row r="401" spans="1:18" ht="15.75" customHeight="1" x14ac:dyDescent="0.3">
      <c r="A401" s="234" t="s">
        <v>1172</v>
      </c>
      <c r="B401" s="172"/>
      <c r="C401" s="172"/>
      <c r="D401" s="172"/>
      <c r="E401" s="38" t="s">
        <v>852</v>
      </c>
      <c r="F401" s="172"/>
      <c r="G401" s="172"/>
      <c r="H401" s="172"/>
      <c r="I401" s="38" t="s">
        <v>852</v>
      </c>
      <c r="J401" s="172"/>
      <c r="K401" s="172"/>
      <c r="L401" s="172"/>
      <c r="M401" s="38" t="s">
        <v>852</v>
      </c>
      <c r="N401" s="172" t="s">
        <v>852</v>
      </c>
      <c r="O401" s="172"/>
      <c r="P401" s="172"/>
      <c r="Q401" s="38" t="s">
        <v>852</v>
      </c>
      <c r="R401" s="38" t="s">
        <v>852</v>
      </c>
    </row>
    <row r="402" spans="1:18" ht="15.75" customHeight="1" x14ac:dyDescent="0.3">
      <c r="A402" s="234" t="s">
        <v>2409</v>
      </c>
      <c r="B402" s="172"/>
      <c r="C402" s="172"/>
      <c r="D402" s="172"/>
      <c r="E402" s="38" t="s">
        <v>852</v>
      </c>
      <c r="F402" s="172"/>
      <c r="G402" s="172"/>
      <c r="H402" s="172"/>
      <c r="I402" s="38" t="s">
        <v>852</v>
      </c>
      <c r="J402" s="172"/>
      <c r="K402" s="172"/>
      <c r="L402" s="172"/>
      <c r="M402" s="38" t="s">
        <v>852</v>
      </c>
      <c r="N402" s="172"/>
      <c r="O402" s="172"/>
      <c r="P402" s="172"/>
      <c r="Q402" s="38" t="s">
        <v>852</v>
      </c>
      <c r="R402" s="38" t="s">
        <v>852</v>
      </c>
    </row>
    <row r="403" spans="1:18" ht="15.75" customHeight="1" x14ac:dyDescent="0.3">
      <c r="A403" s="266" t="s">
        <v>473</v>
      </c>
      <c r="B403" s="10">
        <v>0</v>
      </c>
      <c r="C403" s="10">
        <v>285</v>
      </c>
      <c r="D403" s="10">
        <v>0</v>
      </c>
      <c r="E403" s="38">
        <f>SUM(B403:D403)</f>
        <v>285</v>
      </c>
      <c r="F403" s="10">
        <v>584</v>
      </c>
      <c r="G403" s="10">
        <v>3464</v>
      </c>
      <c r="H403" s="10">
        <v>12887</v>
      </c>
      <c r="I403" s="38">
        <f>SUM(F403:H403)</f>
        <v>16935</v>
      </c>
      <c r="J403" s="10">
        <v>11249</v>
      </c>
      <c r="K403" s="10">
        <v>17704</v>
      </c>
      <c r="L403" s="10">
        <v>9125</v>
      </c>
      <c r="M403" s="38">
        <f>SUM(J403:L403)</f>
        <v>38078</v>
      </c>
      <c r="N403" s="10">
        <f>2749-N304</f>
        <v>787</v>
      </c>
      <c r="O403" s="10">
        <v>743</v>
      </c>
      <c r="P403" s="10">
        <v>412</v>
      </c>
      <c r="Q403" s="38">
        <f>SUM(N403:P403)</f>
        <v>1942</v>
      </c>
      <c r="R403" s="38">
        <f>+E403+I403+M403+Q403</f>
        <v>57240</v>
      </c>
    </row>
    <row r="404" spans="1:18" ht="15.75" customHeight="1" thickBot="1" x14ac:dyDescent="0.35">
      <c r="A404" s="234" t="s">
        <v>2165</v>
      </c>
      <c r="B404" s="172"/>
      <c r="C404" s="172"/>
      <c r="D404" s="172"/>
      <c r="E404" s="38" t="s">
        <v>852</v>
      </c>
      <c r="F404" s="172"/>
      <c r="G404" s="172"/>
      <c r="H404" s="172"/>
      <c r="I404" s="38" t="s">
        <v>852</v>
      </c>
      <c r="J404" s="172"/>
      <c r="K404" s="172"/>
      <c r="L404" s="172"/>
      <c r="M404" s="38" t="s">
        <v>852</v>
      </c>
      <c r="N404" s="172"/>
      <c r="O404" s="172"/>
      <c r="P404" s="172"/>
      <c r="Q404" s="38" t="s">
        <v>852</v>
      </c>
      <c r="R404" s="38" t="s">
        <v>852</v>
      </c>
    </row>
    <row r="405" spans="1:18" ht="16.5" customHeight="1" thickBot="1" x14ac:dyDescent="0.35">
      <c r="A405" s="43" t="s">
        <v>1219</v>
      </c>
      <c r="B405" s="45">
        <f>SUM(B401:B404)</f>
        <v>0</v>
      </c>
      <c r="C405" s="46">
        <f>SUM(C401:C404)</f>
        <v>285</v>
      </c>
      <c r="D405" s="46">
        <f>SUM(D401:D404)</f>
        <v>0</v>
      </c>
      <c r="E405" s="37">
        <f>SUM(B405:D405)</f>
        <v>285</v>
      </c>
      <c r="F405" s="46">
        <f>SUM(F401:F404)</f>
        <v>584</v>
      </c>
      <c r="G405" s="46">
        <f>SUM(G401:G404)</f>
        <v>3464</v>
      </c>
      <c r="H405" s="46">
        <f>SUM(H401:H404)</f>
        <v>12887</v>
      </c>
      <c r="I405" s="37">
        <f>SUM(F405:H405)</f>
        <v>16935</v>
      </c>
      <c r="J405" s="46">
        <f>SUM(J401:J404)</f>
        <v>11249</v>
      </c>
      <c r="K405" s="46">
        <f>SUM(K401:K404)</f>
        <v>17704</v>
      </c>
      <c r="L405" s="46">
        <f>SUM(L401:L404)</f>
        <v>9125</v>
      </c>
      <c r="M405" s="37">
        <f>SUM(J405:L405)</f>
        <v>38078</v>
      </c>
      <c r="N405" s="46">
        <f>SUM(N401:N404)</f>
        <v>787</v>
      </c>
      <c r="O405" s="46">
        <f>SUM(O401:O404)</f>
        <v>743</v>
      </c>
      <c r="P405" s="46">
        <f>SUM(P401:P404)</f>
        <v>412</v>
      </c>
      <c r="Q405" s="37">
        <f>SUM(N405:P405)</f>
        <v>1942</v>
      </c>
      <c r="R405" s="37">
        <f>+E405+I405+M405+Q405</f>
        <v>57240</v>
      </c>
    </row>
    <row r="406" spans="1:18" ht="15.75" customHeight="1" x14ac:dyDescent="0.3">
      <c r="A406" s="234" t="s">
        <v>2166</v>
      </c>
      <c r="B406" s="172"/>
      <c r="C406" s="172"/>
      <c r="D406" s="172"/>
      <c r="E406" s="38" t="s">
        <v>852</v>
      </c>
      <c r="F406" s="172"/>
      <c r="G406" s="172"/>
      <c r="H406" s="172"/>
      <c r="I406" s="38" t="s">
        <v>852</v>
      </c>
      <c r="J406" s="172"/>
      <c r="K406" s="172"/>
      <c r="L406" s="172"/>
      <c r="M406" s="38" t="s">
        <v>852</v>
      </c>
      <c r="N406" s="172"/>
      <c r="O406" s="172"/>
      <c r="P406" s="172"/>
      <c r="Q406" s="38" t="s">
        <v>852</v>
      </c>
      <c r="R406" s="38" t="s">
        <v>852</v>
      </c>
    </row>
    <row r="407" spans="1:18" ht="15.75" customHeight="1" x14ac:dyDescent="0.3">
      <c r="A407" s="234" t="s">
        <v>1245</v>
      </c>
      <c r="B407" s="172"/>
      <c r="C407" s="172"/>
      <c r="D407" s="172"/>
      <c r="E407" s="38" t="s">
        <v>852</v>
      </c>
      <c r="F407" s="172"/>
      <c r="G407" s="172"/>
      <c r="H407" s="172"/>
      <c r="I407" s="38" t="s">
        <v>852</v>
      </c>
      <c r="J407" s="172"/>
      <c r="K407" s="172"/>
      <c r="L407" s="172"/>
      <c r="M407" s="38" t="s">
        <v>852</v>
      </c>
      <c r="N407" s="172"/>
      <c r="O407" s="172"/>
      <c r="P407" s="172"/>
      <c r="Q407" s="38" t="s">
        <v>852</v>
      </c>
      <c r="R407" s="38" t="s">
        <v>852</v>
      </c>
    </row>
    <row r="408" spans="1:18" ht="15.75" customHeight="1" thickBot="1" x14ac:dyDescent="0.35">
      <c r="A408" s="234" t="s">
        <v>1711</v>
      </c>
      <c r="B408" s="172"/>
      <c r="C408" s="172"/>
      <c r="D408" s="172"/>
      <c r="E408" s="38" t="s">
        <v>852</v>
      </c>
      <c r="F408" s="172"/>
      <c r="G408" s="172"/>
      <c r="H408" s="172"/>
      <c r="I408" s="38" t="s">
        <v>852</v>
      </c>
      <c r="J408" s="172"/>
      <c r="K408" s="172"/>
      <c r="L408" s="172"/>
      <c r="M408" s="38" t="s">
        <v>852</v>
      </c>
      <c r="N408" s="172"/>
      <c r="O408" s="172"/>
      <c r="P408" s="172"/>
      <c r="Q408" s="38" t="s">
        <v>852</v>
      </c>
      <c r="R408" s="38" t="s">
        <v>852</v>
      </c>
    </row>
    <row r="409" spans="1:18" ht="16.5" customHeight="1" thickBot="1" x14ac:dyDescent="0.35">
      <c r="A409" s="277" t="s">
        <v>1220</v>
      </c>
      <c r="B409" s="45">
        <f>SUM(B406:B408)</f>
        <v>0</v>
      </c>
      <c r="C409" s="46">
        <f>SUM(C406:C408)</f>
        <v>0</v>
      </c>
      <c r="D409" s="46">
        <f>SUM(D406:D408)</f>
        <v>0</v>
      </c>
      <c r="E409" s="37">
        <f>SUM(B409:D409)</f>
        <v>0</v>
      </c>
      <c r="F409" s="46">
        <f>SUM(F406:F408)</f>
        <v>0</v>
      </c>
      <c r="G409" s="46">
        <f>SUM(G406:G408)</f>
        <v>0</v>
      </c>
      <c r="H409" s="46">
        <f>SUM(H406:H408)</f>
        <v>0</v>
      </c>
      <c r="I409" s="37">
        <f>SUM(F409:H409)</f>
        <v>0</v>
      </c>
      <c r="J409" s="46">
        <f>SUM(J406:J408)</f>
        <v>0</v>
      </c>
      <c r="K409" s="46">
        <f>SUM(K406:K408)</f>
        <v>0</v>
      </c>
      <c r="L409" s="46">
        <f>SUM(L406:L408)</f>
        <v>0</v>
      </c>
      <c r="M409" s="37">
        <f>SUM(J409:L409)</f>
        <v>0</v>
      </c>
      <c r="N409" s="46">
        <f>SUM(N406:N408)</f>
        <v>0</v>
      </c>
      <c r="O409" s="46">
        <f>SUM(O406:O408)</f>
        <v>0</v>
      </c>
      <c r="P409" s="46">
        <f>SUM(P406:P408)</f>
        <v>0</v>
      </c>
      <c r="Q409" s="37">
        <f>SUM(N409:P409)</f>
        <v>0</v>
      </c>
      <c r="R409" s="37">
        <f>+E409+I409+M409+Q409</f>
        <v>0</v>
      </c>
    </row>
    <row r="410" spans="1:18" ht="15.75" customHeight="1" x14ac:dyDescent="0.3">
      <c r="A410" s="234" t="s">
        <v>1712</v>
      </c>
      <c r="B410" s="172"/>
      <c r="C410" s="172"/>
      <c r="D410" s="172"/>
      <c r="E410" s="38" t="s">
        <v>852</v>
      </c>
      <c r="F410" s="172"/>
      <c r="G410" s="172"/>
      <c r="H410" s="172"/>
      <c r="I410" s="38" t="s">
        <v>852</v>
      </c>
      <c r="J410" s="172"/>
      <c r="K410" s="172"/>
      <c r="L410" s="172"/>
      <c r="M410" s="38" t="s">
        <v>852</v>
      </c>
      <c r="N410" s="172"/>
      <c r="O410" s="172"/>
      <c r="P410" s="172"/>
      <c r="Q410" s="38" t="s">
        <v>852</v>
      </c>
      <c r="R410" s="38" t="s">
        <v>852</v>
      </c>
    </row>
    <row r="411" spans="1:18" ht="15.75" customHeight="1" x14ac:dyDescent="0.3">
      <c r="A411" s="234" t="s">
        <v>1021</v>
      </c>
      <c r="B411" s="172"/>
      <c r="C411" s="172"/>
      <c r="D411" s="172"/>
      <c r="E411" s="38" t="s">
        <v>852</v>
      </c>
      <c r="F411" s="172"/>
      <c r="G411" s="172"/>
      <c r="H411" s="172"/>
      <c r="I411" s="38" t="s">
        <v>852</v>
      </c>
      <c r="J411" s="172"/>
      <c r="K411" s="172"/>
      <c r="L411" s="172"/>
      <c r="M411" s="38" t="s">
        <v>852</v>
      </c>
      <c r="N411" s="172"/>
      <c r="O411" s="172"/>
      <c r="P411" s="172"/>
      <c r="Q411" s="38" t="s">
        <v>852</v>
      </c>
      <c r="R411" s="38" t="s">
        <v>852</v>
      </c>
    </row>
    <row r="412" spans="1:18" ht="15.75" customHeight="1" x14ac:dyDescent="0.3">
      <c r="A412" s="234" t="s">
        <v>557</v>
      </c>
      <c r="B412" s="172"/>
      <c r="C412" s="172"/>
      <c r="D412" s="172"/>
      <c r="E412" s="38" t="s">
        <v>852</v>
      </c>
      <c r="F412" s="172"/>
      <c r="G412" s="172"/>
      <c r="H412" s="172"/>
      <c r="I412" s="38" t="s">
        <v>852</v>
      </c>
      <c r="J412" s="172"/>
      <c r="K412" s="172"/>
      <c r="L412" s="172"/>
      <c r="M412" s="38" t="s">
        <v>852</v>
      </c>
      <c r="N412" s="172"/>
      <c r="O412" s="172"/>
      <c r="P412" s="172"/>
      <c r="Q412" s="38" t="s">
        <v>852</v>
      </c>
      <c r="R412" s="38" t="s">
        <v>852</v>
      </c>
    </row>
    <row r="413" spans="1:18" ht="15.75" customHeight="1" x14ac:dyDescent="0.3">
      <c r="A413" s="234" t="s">
        <v>1022</v>
      </c>
      <c r="B413" s="172"/>
      <c r="C413" s="172"/>
      <c r="D413" s="172"/>
      <c r="E413" s="38" t="s">
        <v>852</v>
      </c>
      <c r="F413" s="172"/>
      <c r="G413" s="172"/>
      <c r="H413" s="172"/>
      <c r="I413" s="38" t="s">
        <v>852</v>
      </c>
      <c r="J413" s="172"/>
      <c r="K413" s="172"/>
      <c r="L413" s="172"/>
      <c r="M413" s="38" t="s">
        <v>852</v>
      </c>
      <c r="N413" s="172"/>
      <c r="O413" s="172"/>
      <c r="P413" s="172"/>
      <c r="Q413" s="38" t="s">
        <v>852</v>
      </c>
      <c r="R413" s="38" t="s">
        <v>852</v>
      </c>
    </row>
    <row r="414" spans="1:18" ht="15.75" customHeight="1" x14ac:dyDescent="0.3">
      <c r="A414" s="234" t="s">
        <v>559</v>
      </c>
      <c r="B414" s="172"/>
      <c r="C414" s="172"/>
      <c r="D414" s="172"/>
      <c r="E414" s="38" t="s">
        <v>852</v>
      </c>
      <c r="F414" s="172"/>
      <c r="G414" s="172"/>
      <c r="H414" s="172"/>
      <c r="I414" s="38" t="s">
        <v>852</v>
      </c>
      <c r="J414" s="172"/>
      <c r="K414" s="172"/>
      <c r="L414" s="172"/>
      <c r="M414" s="38" t="s">
        <v>852</v>
      </c>
      <c r="N414" s="172"/>
      <c r="O414" s="172"/>
      <c r="P414" s="172"/>
      <c r="Q414" s="38" t="s">
        <v>852</v>
      </c>
      <c r="R414" s="38" t="s">
        <v>852</v>
      </c>
    </row>
    <row r="415" spans="1:18" ht="15.75" customHeight="1" x14ac:dyDescent="0.3">
      <c r="A415" s="539" t="s">
        <v>2575</v>
      </c>
      <c r="B415" s="10"/>
      <c r="C415" s="10"/>
      <c r="D415" s="10"/>
      <c r="E415" s="38">
        <f t="shared" ref="E415:E420" si="79">SUM(B415:D415)</f>
        <v>0</v>
      </c>
      <c r="F415" s="10"/>
      <c r="G415" s="10"/>
      <c r="H415" s="10"/>
      <c r="I415" s="38">
        <f t="shared" ref="I415:I420" si="80">SUM(F415:H415)</f>
        <v>0</v>
      </c>
      <c r="J415" s="10"/>
      <c r="K415" s="10"/>
      <c r="L415" s="10"/>
      <c r="M415" s="38">
        <f t="shared" ref="M415:M420" si="81">SUM(J415:L415)</f>
        <v>0</v>
      </c>
      <c r="N415" s="10">
        <v>2361</v>
      </c>
      <c r="O415" s="10"/>
      <c r="P415" s="10"/>
      <c r="Q415" s="38">
        <f t="shared" ref="Q415:Q420" si="82">SUM(N415:P415)</f>
        <v>2361</v>
      </c>
      <c r="R415" s="38">
        <f t="shared" ref="R415:R420" si="83">+E415+I415+M415+Q415</f>
        <v>2361</v>
      </c>
    </row>
    <row r="416" spans="1:18" ht="15.75" customHeight="1" thickBot="1" x14ac:dyDescent="0.35">
      <c r="A416" s="539" t="s">
        <v>2576</v>
      </c>
      <c r="B416" s="172"/>
      <c r="C416" s="172"/>
      <c r="D416" s="172"/>
      <c r="E416" s="38">
        <f t="shared" si="79"/>
        <v>0</v>
      </c>
      <c r="F416" s="172"/>
      <c r="G416" s="172"/>
      <c r="H416" s="172"/>
      <c r="I416" s="38">
        <f t="shared" si="80"/>
        <v>0</v>
      </c>
      <c r="J416" s="172"/>
      <c r="K416" s="172"/>
      <c r="L416" s="172"/>
      <c r="M416" s="38">
        <f t="shared" si="81"/>
        <v>0</v>
      </c>
      <c r="N416" s="172"/>
      <c r="O416" s="172"/>
      <c r="P416" s="172"/>
      <c r="Q416" s="38">
        <f t="shared" si="82"/>
        <v>0</v>
      </c>
      <c r="R416" s="38">
        <f t="shared" si="83"/>
        <v>0</v>
      </c>
    </row>
    <row r="417" spans="1:18" ht="16.5" customHeight="1" thickBot="1" x14ac:dyDescent="0.35">
      <c r="A417" s="43" t="s">
        <v>1019</v>
      </c>
      <c r="B417" s="42">
        <f>SUM(B413:B416)</f>
        <v>0</v>
      </c>
      <c r="C417" s="42">
        <f>SUM(C413:C416)</f>
        <v>0</v>
      </c>
      <c r="D417" s="42">
        <f>SUM(D413:D416)</f>
        <v>0</v>
      </c>
      <c r="E417" s="39">
        <f t="shared" si="79"/>
        <v>0</v>
      </c>
      <c r="F417" s="42">
        <f>SUM(F413:F416)</f>
        <v>0</v>
      </c>
      <c r="G417" s="42">
        <f>SUM(G413:G416)</f>
        <v>0</v>
      </c>
      <c r="H417" s="42">
        <f>SUM(H413:H416)</f>
        <v>0</v>
      </c>
      <c r="I417" s="39">
        <f t="shared" si="80"/>
        <v>0</v>
      </c>
      <c r="J417" s="42">
        <f>SUM(J413:J416)</f>
        <v>0</v>
      </c>
      <c r="K417" s="42">
        <f>SUM(K413:K416)</f>
        <v>0</v>
      </c>
      <c r="L417" s="42">
        <f>SUM(L413:L416)</f>
        <v>0</v>
      </c>
      <c r="M417" s="39">
        <f t="shared" si="81"/>
        <v>0</v>
      </c>
      <c r="N417" s="42">
        <f>SUM(N413:N416)</f>
        <v>2361</v>
      </c>
      <c r="O417" s="42">
        <f>SUM(O413:O416)</f>
        <v>0</v>
      </c>
      <c r="P417" s="42">
        <f>SUM(P413:P416)</f>
        <v>0</v>
      </c>
      <c r="Q417" s="39">
        <f t="shared" si="82"/>
        <v>2361</v>
      </c>
      <c r="R417" s="37">
        <f t="shared" si="83"/>
        <v>2361</v>
      </c>
    </row>
    <row r="418" spans="1:18" ht="16.5" customHeight="1" thickBot="1" x14ac:dyDescent="0.35">
      <c r="A418" s="277" t="s">
        <v>1221</v>
      </c>
      <c r="B418" s="45">
        <f>SUM(B410:B416)</f>
        <v>0</v>
      </c>
      <c r="C418" s="46">
        <f>SUM(C410:C416)</f>
        <v>0</v>
      </c>
      <c r="D418" s="58">
        <f>SUM(D410:D416)</f>
        <v>0</v>
      </c>
      <c r="E418" s="39">
        <f t="shared" si="79"/>
        <v>0</v>
      </c>
      <c r="F418" s="46">
        <f>SUM(F410:F416)</f>
        <v>0</v>
      </c>
      <c r="G418" s="46">
        <f>SUM(G410:G416)</f>
        <v>0</v>
      </c>
      <c r="H418" s="46">
        <f>SUM(H410:H416)</f>
        <v>0</v>
      </c>
      <c r="I418" s="39">
        <f t="shared" si="80"/>
        <v>0</v>
      </c>
      <c r="J418" s="46">
        <f>SUM(J410:J416)</f>
        <v>0</v>
      </c>
      <c r="K418" s="46">
        <f>SUM(K410:K416)</f>
        <v>0</v>
      </c>
      <c r="L418" s="46">
        <f>SUM(L410:L416)</f>
        <v>0</v>
      </c>
      <c r="M418" s="39">
        <f t="shared" si="81"/>
        <v>0</v>
      </c>
      <c r="N418" s="46">
        <f>SUM(N410:N416)</f>
        <v>2361</v>
      </c>
      <c r="O418" s="46">
        <f>SUM(O410:O416)</f>
        <v>0</v>
      </c>
      <c r="P418" s="46">
        <f>SUM(P410:P416)</f>
        <v>0</v>
      </c>
      <c r="Q418" s="39">
        <f t="shared" si="82"/>
        <v>2361</v>
      </c>
      <c r="R418" s="37">
        <f t="shared" si="83"/>
        <v>2361</v>
      </c>
    </row>
    <row r="419" spans="1:18" ht="16.5" customHeight="1" thickBot="1" x14ac:dyDescent="0.35">
      <c r="A419" s="43" t="s">
        <v>1222</v>
      </c>
      <c r="B419" s="47">
        <f>+B400+B405+B409+B418</f>
        <v>0</v>
      </c>
      <c r="C419" s="42">
        <f>+C400+C405+C409+C418</f>
        <v>285</v>
      </c>
      <c r="D419" s="42">
        <f>+D400+D405+D409+D418</f>
        <v>2</v>
      </c>
      <c r="E419" s="37">
        <f t="shared" si="79"/>
        <v>287</v>
      </c>
      <c r="F419" s="42">
        <f>+F400+F405+F409+F418</f>
        <v>584</v>
      </c>
      <c r="G419" s="42">
        <f>+G400+G405+G409+G418</f>
        <v>3464</v>
      </c>
      <c r="H419" s="42">
        <f>+H400+H405+H409+H418</f>
        <v>12889</v>
      </c>
      <c r="I419" s="37">
        <f t="shared" si="80"/>
        <v>16937</v>
      </c>
      <c r="J419" s="42">
        <f>+J400+J405+J409+J418</f>
        <v>11251</v>
      </c>
      <c r="K419" s="42">
        <f>+K400+K405+K409+K418</f>
        <v>17704</v>
      </c>
      <c r="L419" s="42">
        <f>+L400+L405+L409+L418</f>
        <v>9127</v>
      </c>
      <c r="M419" s="37">
        <f t="shared" si="81"/>
        <v>38082</v>
      </c>
      <c r="N419" s="42">
        <f>+N400+N405+N409+N418</f>
        <v>3148</v>
      </c>
      <c r="O419" s="42">
        <f>+O400+O405+O409+O418</f>
        <v>743</v>
      </c>
      <c r="P419" s="42">
        <f>+P400+P405+P409+P418</f>
        <v>412</v>
      </c>
      <c r="Q419" s="37">
        <f t="shared" si="82"/>
        <v>4303</v>
      </c>
      <c r="R419" s="40">
        <f t="shared" si="83"/>
        <v>59609</v>
      </c>
    </row>
    <row r="420" spans="1:18" ht="16.5" customHeight="1" thickBot="1" x14ac:dyDescent="0.35">
      <c r="A420" s="244" t="s">
        <v>853</v>
      </c>
      <c r="B420" s="238">
        <v>9</v>
      </c>
      <c r="C420" s="238">
        <v>16</v>
      </c>
      <c r="D420" s="238">
        <v>25</v>
      </c>
      <c r="E420" s="38">
        <f t="shared" si="79"/>
        <v>50</v>
      </c>
      <c r="F420" s="238">
        <v>34</v>
      </c>
      <c r="G420" s="238">
        <v>41</v>
      </c>
      <c r="H420" s="238">
        <v>41</v>
      </c>
      <c r="I420" s="38">
        <f t="shared" si="80"/>
        <v>116</v>
      </c>
      <c r="J420" s="238">
        <v>39</v>
      </c>
      <c r="K420" s="238">
        <v>30</v>
      </c>
      <c r="L420" s="238">
        <v>30</v>
      </c>
      <c r="M420" s="38">
        <f t="shared" si="81"/>
        <v>99</v>
      </c>
      <c r="N420" s="238">
        <v>28</v>
      </c>
      <c r="O420" s="238">
        <v>22</v>
      </c>
      <c r="P420" s="238">
        <v>16</v>
      </c>
      <c r="Q420" s="38">
        <f t="shared" si="82"/>
        <v>66</v>
      </c>
      <c r="R420" s="38">
        <f t="shared" si="83"/>
        <v>331</v>
      </c>
    </row>
    <row r="421" spans="1:18" ht="16.5" customHeight="1" thickBot="1" x14ac:dyDescent="0.35">
      <c r="A421" s="44"/>
      <c r="B421" s="258"/>
      <c r="C421" s="258"/>
      <c r="D421" s="258"/>
      <c r="E421" s="37"/>
      <c r="F421" s="258"/>
      <c r="G421" s="258"/>
      <c r="H421" s="258"/>
      <c r="I421" s="37"/>
      <c r="J421" s="258"/>
      <c r="K421" s="258"/>
      <c r="L421" s="258"/>
      <c r="M421" s="37"/>
      <c r="N421" s="258"/>
      <c r="O421" s="258"/>
      <c r="P421" s="258"/>
      <c r="Q421" s="37"/>
      <c r="R421" s="37" t="s">
        <v>852</v>
      </c>
    </row>
    <row r="422" spans="1:18" ht="15.75" customHeight="1" x14ac:dyDescent="0.3">
      <c r="A422" s="259" t="s">
        <v>2011</v>
      </c>
      <c r="B422" s="260">
        <f>SUM(B419:B420)</f>
        <v>9</v>
      </c>
      <c r="C422" s="260">
        <f>SUM(C419:C420)</f>
        <v>301</v>
      </c>
      <c r="D422" s="260">
        <f>SUM(D419:D420)</f>
        <v>27</v>
      </c>
      <c r="E422" s="39">
        <f>SUM(B422:D422)</f>
        <v>337</v>
      </c>
      <c r="F422" s="260">
        <f>SUM(F419:F420)</f>
        <v>618</v>
      </c>
      <c r="G422" s="260">
        <f>SUM(G419:G420)</f>
        <v>3505</v>
      </c>
      <c r="H422" s="260">
        <f>SUM(H419:H420)</f>
        <v>12930</v>
      </c>
      <c r="I422" s="39">
        <f>SUM(F422:H422)</f>
        <v>17053</v>
      </c>
      <c r="J422" s="260">
        <f>SUM(J419:J420)</f>
        <v>11290</v>
      </c>
      <c r="K422" s="260">
        <f>SUM(K419:K420)</f>
        <v>17734</v>
      </c>
      <c r="L422" s="260">
        <f>SUM(L419:L420)</f>
        <v>9157</v>
      </c>
      <c r="M422" s="39">
        <f>SUM(J422:L422)</f>
        <v>38181</v>
      </c>
      <c r="N422" s="260">
        <f>SUM(N419:N420)</f>
        <v>3176</v>
      </c>
      <c r="O422" s="260">
        <f>SUM(O419:O420)</f>
        <v>765</v>
      </c>
      <c r="P422" s="260">
        <f>SUM(P419:P420)</f>
        <v>428</v>
      </c>
      <c r="Q422" s="39">
        <f>SUM(N422:P422)</f>
        <v>4369</v>
      </c>
      <c r="R422" s="39">
        <f>+E422+I422+M422+Q422</f>
        <v>59940</v>
      </c>
    </row>
    <row r="423" spans="1:18" ht="15.75" customHeight="1" x14ac:dyDescent="0.3">
      <c r="A423" s="262" t="s">
        <v>1897</v>
      </c>
      <c r="B423" s="172">
        <f>(B422/31)/1.983</f>
        <v>0.14640573910497293</v>
      </c>
      <c r="C423" s="172">
        <f>(C422/28)/1.983</f>
        <v>5.4210791729702468</v>
      </c>
      <c r="D423" s="172">
        <f>(D422/31)/1.983</f>
        <v>0.43921721731491875</v>
      </c>
      <c r="E423" s="38" t="s">
        <v>852</v>
      </c>
      <c r="F423" s="172">
        <f>(F422/30)/1.983</f>
        <v>10.388300554715078</v>
      </c>
      <c r="G423" s="172">
        <f>(G422/31)/1.983</f>
        <v>57.016901729214446</v>
      </c>
      <c r="H423" s="172">
        <f>(H422/30)/1.983</f>
        <v>217.34745335350479</v>
      </c>
      <c r="I423" s="38" t="s">
        <v>852</v>
      </c>
      <c r="J423" s="172">
        <f>(J422/31)/1.983</f>
        <v>183.657866055016</v>
      </c>
      <c r="K423" s="172">
        <f>(K422/31)/1.983</f>
        <v>288.48437525417665</v>
      </c>
      <c r="L423" s="172">
        <f>(L422/30)/1.983</f>
        <v>153.9250294167087</v>
      </c>
      <c r="M423" s="38" t="s">
        <v>852</v>
      </c>
      <c r="N423" s="172">
        <f>(N422/31)/1.983</f>
        <v>51.664958599710438</v>
      </c>
      <c r="O423" s="172">
        <f>(O422/30)/1.983</f>
        <v>12.859304084720121</v>
      </c>
      <c r="P423" s="172">
        <f>(P422/31)/1.983</f>
        <v>6.962406259658712</v>
      </c>
      <c r="Q423" s="38" t="s">
        <v>852</v>
      </c>
      <c r="R423" s="38" t="s">
        <v>852</v>
      </c>
    </row>
    <row r="424" spans="1:18" ht="15.75" customHeight="1" x14ac:dyDescent="0.3">
      <c r="A424" s="262" t="s">
        <v>575</v>
      </c>
      <c r="B424" s="172">
        <f>B422+B465</f>
        <v>20523</v>
      </c>
      <c r="C424" s="172">
        <f>C422+C465</f>
        <v>24261</v>
      </c>
      <c r="D424" s="172">
        <f>D422+D465</f>
        <v>26098</v>
      </c>
      <c r="E424" s="38">
        <f>SUM(B424:D424)</f>
        <v>70882</v>
      </c>
      <c r="F424" s="172">
        <f>F422+F465</f>
        <v>32094</v>
      </c>
      <c r="G424" s="172">
        <f>G422+G465</f>
        <v>34873</v>
      </c>
      <c r="H424" s="172">
        <f>H422+H465</f>
        <v>40518</v>
      </c>
      <c r="I424" s="38">
        <f>SUM(F424:H424)</f>
        <v>107485</v>
      </c>
      <c r="J424" s="172">
        <f>J422+J465</f>
        <v>38830</v>
      </c>
      <c r="K424" s="172">
        <f>K422+K465</f>
        <v>46348</v>
      </c>
      <c r="L424" s="172">
        <f>L422+L465</f>
        <v>35891</v>
      </c>
      <c r="M424" s="38">
        <f>SUM(J424:L424)</f>
        <v>121069</v>
      </c>
      <c r="N424" s="172">
        <f>N422+N465</f>
        <v>19337</v>
      </c>
      <c r="O424" s="172">
        <f>O422+O465</f>
        <v>10302</v>
      </c>
      <c r="P424" s="172">
        <f>P422+P465</f>
        <v>20654</v>
      </c>
      <c r="Q424" s="38">
        <f>SUM(N424:P424)</f>
        <v>50293</v>
      </c>
      <c r="R424" s="38">
        <f>+E424+I424+M424+Q424</f>
        <v>349729</v>
      </c>
    </row>
    <row r="425" spans="1:18" ht="16.5" customHeight="1" thickBot="1" x14ac:dyDescent="0.35">
      <c r="A425" s="263" t="s">
        <v>576</v>
      </c>
      <c r="B425" s="264">
        <f>(B424/31)/1.983</f>
        <v>333.8538870723732</v>
      </c>
      <c r="C425" s="264">
        <f>(C424/28)/1.983</f>
        <v>436.94618543332609</v>
      </c>
      <c r="D425" s="264">
        <f>(D424/31)/1.983</f>
        <v>424.54410879573146</v>
      </c>
      <c r="E425" s="40" t="s">
        <v>852</v>
      </c>
      <c r="F425" s="264">
        <f>(F424/30)/1.983</f>
        <v>539.48562783661112</v>
      </c>
      <c r="G425" s="264">
        <f>(G424/31)/1.983</f>
        <v>567.28970442308002</v>
      </c>
      <c r="H425" s="264">
        <f>(H424/30)/1.983</f>
        <v>681.08925869894097</v>
      </c>
      <c r="I425" s="40" t="s">
        <v>852</v>
      </c>
      <c r="J425" s="264">
        <f>(J424/31)/1.983</f>
        <v>631.65942771623304</v>
      </c>
      <c r="K425" s="264">
        <f>(K424/31)/1.983</f>
        <v>753.95702178192039</v>
      </c>
      <c r="L425" s="264">
        <f>(L424/30)/1.983</f>
        <v>603.31148092116314</v>
      </c>
      <c r="M425" s="40" t="s">
        <v>852</v>
      </c>
      <c r="N425" s="264">
        <f>(N424/31)/1.983</f>
        <v>314.56086411920677</v>
      </c>
      <c r="O425" s="264">
        <f>(O424/30)/1.983</f>
        <v>173.17196167423094</v>
      </c>
      <c r="P425" s="264">
        <f>(P424/31)/1.983</f>
        <v>335.98490394156784</v>
      </c>
      <c r="Q425" s="40" t="s">
        <v>852</v>
      </c>
      <c r="R425" s="40" t="s">
        <v>852</v>
      </c>
    </row>
    <row r="426" spans="1:18" ht="15.75" customHeight="1" x14ac:dyDescent="0.3">
      <c r="A426" s="17"/>
      <c r="B426" s="172"/>
      <c r="C426" s="172"/>
      <c r="D426" s="172"/>
      <c r="E426" s="172"/>
      <c r="F426" s="172"/>
      <c r="G426" s="172"/>
      <c r="H426" s="172"/>
      <c r="I426" s="172"/>
      <c r="J426" s="172"/>
      <c r="K426" s="172"/>
      <c r="L426" s="172"/>
      <c r="M426" s="172"/>
      <c r="N426" s="172"/>
      <c r="O426" s="172"/>
      <c r="P426" s="172"/>
      <c r="Q426" s="172"/>
      <c r="R426" s="17"/>
    </row>
    <row r="427" spans="1:18" ht="15.75" customHeight="1" thickBot="1" x14ac:dyDescent="0.35">
      <c r="A427" s="17"/>
      <c r="B427" s="172"/>
      <c r="C427" s="172"/>
      <c r="D427" s="172"/>
      <c r="E427" s="172"/>
      <c r="F427" s="172"/>
      <c r="G427" s="172"/>
      <c r="H427" s="172"/>
      <c r="I427" s="172"/>
      <c r="J427" s="172"/>
      <c r="K427" s="172"/>
      <c r="L427" s="172"/>
      <c r="M427" s="172"/>
      <c r="N427" s="172"/>
      <c r="O427" s="172"/>
      <c r="P427" s="172"/>
      <c r="Q427" s="172"/>
      <c r="R427" s="17"/>
    </row>
    <row r="428" spans="1:18" ht="16.5" customHeight="1" thickBot="1" x14ac:dyDescent="0.35">
      <c r="A428" s="278" t="s">
        <v>689</v>
      </c>
      <c r="B428" s="4" t="s">
        <v>2090</v>
      </c>
      <c r="C428" s="5" t="s">
        <v>2091</v>
      </c>
      <c r="D428" s="5" t="s">
        <v>2234</v>
      </c>
      <c r="E428" s="33" t="s">
        <v>1594</v>
      </c>
      <c r="F428" s="5" t="s">
        <v>2235</v>
      </c>
      <c r="G428" s="5" t="s">
        <v>2236</v>
      </c>
      <c r="H428" s="5" t="s">
        <v>2237</v>
      </c>
      <c r="I428" s="35" t="s">
        <v>1595</v>
      </c>
      <c r="J428" s="5" t="s">
        <v>1504</v>
      </c>
      <c r="K428" s="5" t="s">
        <v>1505</v>
      </c>
      <c r="L428" s="5" t="s">
        <v>1506</v>
      </c>
      <c r="M428" s="35" t="s">
        <v>1596</v>
      </c>
      <c r="N428" s="5" t="s">
        <v>1507</v>
      </c>
      <c r="O428" s="5" t="s">
        <v>1508</v>
      </c>
      <c r="P428" s="5" t="s">
        <v>1509</v>
      </c>
      <c r="Q428" s="35" t="s">
        <v>1597</v>
      </c>
      <c r="R428" s="36" t="s">
        <v>1510</v>
      </c>
    </row>
    <row r="429" spans="1:18" ht="16.5" customHeight="1" thickBot="1" x14ac:dyDescent="0.35">
      <c r="A429" s="37"/>
      <c r="B429" s="258"/>
      <c r="C429" s="258"/>
      <c r="D429" s="258"/>
      <c r="E429" s="254"/>
      <c r="F429" s="258"/>
      <c r="G429" s="258"/>
      <c r="H429" s="258"/>
      <c r="I429" s="265"/>
      <c r="J429" s="258"/>
      <c r="K429" s="258"/>
      <c r="L429" s="258"/>
      <c r="M429" s="265"/>
      <c r="N429" s="258"/>
      <c r="O429" s="258"/>
      <c r="P429" s="258"/>
      <c r="Q429" s="265"/>
      <c r="R429" s="52"/>
    </row>
    <row r="430" spans="1:18" ht="15.75" customHeight="1" x14ac:dyDescent="0.3">
      <c r="A430" s="234" t="s">
        <v>2417</v>
      </c>
      <c r="B430" s="172" t="s">
        <v>852</v>
      </c>
      <c r="C430" s="172" t="s">
        <v>852</v>
      </c>
      <c r="D430" s="172" t="s">
        <v>852</v>
      </c>
      <c r="E430" s="38" t="s">
        <v>852</v>
      </c>
      <c r="F430" s="172" t="s">
        <v>852</v>
      </c>
      <c r="G430" s="172" t="s">
        <v>852</v>
      </c>
      <c r="H430" s="172" t="s">
        <v>852</v>
      </c>
      <c r="I430" s="38" t="s">
        <v>852</v>
      </c>
      <c r="J430" s="172" t="s">
        <v>852</v>
      </c>
      <c r="K430" s="172" t="s">
        <v>852</v>
      </c>
      <c r="L430" s="172" t="s">
        <v>852</v>
      </c>
      <c r="M430" s="38" t="s">
        <v>852</v>
      </c>
      <c r="N430" s="172" t="s">
        <v>852</v>
      </c>
      <c r="O430" s="172" t="s">
        <v>852</v>
      </c>
      <c r="P430" s="172" t="s">
        <v>852</v>
      </c>
      <c r="Q430" s="38" t="s">
        <v>852</v>
      </c>
      <c r="R430" s="38" t="s">
        <v>852</v>
      </c>
    </row>
    <row r="431" spans="1:18" ht="15.75" customHeight="1" x14ac:dyDescent="0.3">
      <c r="A431" s="234" t="s">
        <v>2160</v>
      </c>
      <c r="B431" s="172"/>
      <c r="C431" s="172"/>
      <c r="D431" s="172"/>
      <c r="E431" s="38" t="s">
        <v>852</v>
      </c>
      <c r="F431" s="172"/>
      <c r="G431" s="172"/>
      <c r="H431" s="172"/>
      <c r="I431" s="38" t="s">
        <v>852</v>
      </c>
      <c r="J431" s="172"/>
      <c r="K431" s="172"/>
      <c r="L431" s="172"/>
      <c r="M431" s="38" t="s">
        <v>852</v>
      </c>
      <c r="N431" s="172"/>
      <c r="O431" s="172"/>
      <c r="P431" s="172"/>
      <c r="Q431" s="38" t="s">
        <v>852</v>
      </c>
      <c r="R431" s="38" t="s">
        <v>852</v>
      </c>
    </row>
    <row r="432" spans="1:18" ht="15.75" customHeight="1" x14ac:dyDescent="0.3">
      <c r="A432" s="310" t="s">
        <v>1478</v>
      </c>
      <c r="B432" s="10"/>
      <c r="C432" s="10"/>
      <c r="D432" s="10"/>
      <c r="E432" s="38">
        <f>SUM(B432:D432)</f>
        <v>0</v>
      </c>
      <c r="F432" s="10"/>
      <c r="G432" s="10"/>
      <c r="H432" s="10">
        <v>846</v>
      </c>
      <c r="I432" s="38">
        <f>SUM(F432:H432)</f>
        <v>846</v>
      </c>
      <c r="J432" s="10">
        <v>154</v>
      </c>
      <c r="K432" s="10"/>
      <c r="L432" s="10"/>
      <c r="M432" s="38">
        <f>SUM(J432:L432)</f>
        <v>154</v>
      </c>
      <c r="N432" s="10"/>
      <c r="O432" s="10"/>
      <c r="P432" s="10"/>
      <c r="Q432" s="38">
        <f>SUM(N432:P432)</f>
        <v>0</v>
      </c>
      <c r="R432" s="38">
        <f>+E432+I432+M432+Q432</f>
        <v>1000</v>
      </c>
    </row>
    <row r="433" spans="1:20" ht="15.75" customHeight="1" x14ac:dyDescent="0.3">
      <c r="A433" s="266" t="s">
        <v>485</v>
      </c>
      <c r="B433" s="172"/>
      <c r="C433" s="172"/>
      <c r="D433" s="172"/>
      <c r="E433" s="38">
        <f>SUM(B433:D433)</f>
        <v>0</v>
      </c>
      <c r="F433" s="172"/>
      <c r="G433" s="172"/>
      <c r="H433" s="172"/>
      <c r="I433" s="38">
        <f>SUM(F433:H433)</f>
        <v>0</v>
      </c>
      <c r="J433" s="172">
        <v>1532</v>
      </c>
      <c r="K433" s="172">
        <v>968</v>
      </c>
      <c r="L433" s="172"/>
      <c r="M433" s="38">
        <f>SUM(J433:L433)</f>
        <v>2500</v>
      </c>
      <c r="N433" s="172"/>
      <c r="O433" s="172"/>
      <c r="P433" s="172"/>
      <c r="Q433" s="38">
        <f>SUM(N433:P433)</f>
        <v>0</v>
      </c>
      <c r="R433" s="38">
        <f>+E433+I433+M433+Q433</f>
        <v>2500</v>
      </c>
    </row>
    <row r="434" spans="1:20" ht="15.75" customHeight="1" x14ac:dyDescent="0.3">
      <c r="A434" s="310" t="s">
        <v>1938</v>
      </c>
      <c r="B434" s="10"/>
      <c r="C434" s="10"/>
      <c r="D434" s="10"/>
      <c r="E434" s="38">
        <f>SUM(B434:D434)</f>
        <v>0</v>
      </c>
      <c r="F434" s="10"/>
      <c r="G434" s="10"/>
      <c r="H434" s="10"/>
      <c r="I434" s="38">
        <f>SUM(F434:H434)</f>
        <v>0</v>
      </c>
      <c r="J434" s="10">
        <v>0</v>
      </c>
      <c r="K434" s="10">
        <v>585</v>
      </c>
      <c r="L434" s="10">
        <v>1272</v>
      </c>
      <c r="M434" s="38">
        <f>SUM(J434:L434)</f>
        <v>1857</v>
      </c>
      <c r="N434" s="10"/>
      <c r="O434" s="10"/>
      <c r="P434" s="10"/>
      <c r="Q434" s="38">
        <f>SUM(N434:P434)</f>
        <v>0</v>
      </c>
      <c r="R434" s="38">
        <f>+E434+I434+M434+Q434</f>
        <v>1857</v>
      </c>
    </row>
    <row r="435" spans="1:20" ht="15.75" customHeight="1" x14ac:dyDescent="0.3">
      <c r="A435" s="234" t="s">
        <v>2161</v>
      </c>
      <c r="B435" s="172"/>
      <c r="C435" s="172"/>
      <c r="D435" s="172"/>
      <c r="E435" s="38" t="s">
        <v>852</v>
      </c>
      <c r="F435" s="172"/>
      <c r="G435" s="172"/>
      <c r="H435" s="172"/>
      <c r="I435" s="38" t="s">
        <v>852</v>
      </c>
      <c r="J435" s="172"/>
      <c r="K435" s="172"/>
      <c r="L435" s="172"/>
      <c r="M435" s="38" t="s">
        <v>852</v>
      </c>
      <c r="N435" s="172"/>
      <c r="O435" s="172"/>
      <c r="P435" s="172"/>
      <c r="Q435" s="38" t="s">
        <v>852</v>
      </c>
      <c r="R435" s="38" t="s">
        <v>852</v>
      </c>
    </row>
    <row r="436" spans="1:20" ht="15.75" customHeight="1" x14ac:dyDescent="0.3">
      <c r="A436" s="234" t="s">
        <v>2162</v>
      </c>
      <c r="B436" s="172"/>
      <c r="C436" s="172"/>
      <c r="D436" s="172"/>
      <c r="E436" s="38" t="s">
        <v>852</v>
      </c>
      <c r="F436" s="172"/>
      <c r="G436" s="172"/>
      <c r="H436" s="172"/>
      <c r="I436" s="38" t="s">
        <v>852</v>
      </c>
      <c r="J436" s="172"/>
      <c r="K436" s="172"/>
      <c r="L436" s="172"/>
      <c r="M436" s="38" t="s">
        <v>852</v>
      </c>
      <c r="N436" s="172"/>
      <c r="O436" s="172"/>
      <c r="P436" s="172"/>
      <c r="Q436" s="38" t="s">
        <v>852</v>
      </c>
      <c r="R436" s="38" t="s">
        <v>852</v>
      </c>
    </row>
    <row r="437" spans="1:20" ht="15.75" customHeight="1" thickBot="1" x14ac:dyDescent="0.35">
      <c r="A437" s="234" t="s">
        <v>2164</v>
      </c>
      <c r="B437" s="172"/>
      <c r="C437" s="172"/>
      <c r="D437" s="172"/>
      <c r="E437" s="38" t="s">
        <v>852</v>
      </c>
      <c r="F437" s="172"/>
      <c r="G437" s="172"/>
      <c r="H437" s="172"/>
      <c r="I437" s="38" t="s">
        <v>852</v>
      </c>
      <c r="J437" s="172"/>
      <c r="K437" s="172"/>
      <c r="L437" s="172"/>
      <c r="M437" s="38" t="s">
        <v>852</v>
      </c>
      <c r="N437" s="172"/>
      <c r="O437" s="172"/>
      <c r="P437" s="172"/>
      <c r="Q437" s="38" t="s">
        <v>852</v>
      </c>
      <c r="R437" s="38" t="s">
        <v>852</v>
      </c>
    </row>
    <row r="438" spans="1:20" ht="16.5" customHeight="1" thickBot="1" x14ac:dyDescent="0.35">
      <c r="A438" s="276" t="s">
        <v>1218</v>
      </c>
      <c r="B438" s="45">
        <f>SUM(B430:B437)</f>
        <v>0</v>
      </c>
      <c r="C438" s="46">
        <f>SUM(C430:C437)</f>
        <v>0</v>
      </c>
      <c r="D438" s="46">
        <f>SUM(D430:D437)</f>
        <v>0</v>
      </c>
      <c r="E438" s="37">
        <f>SUM(B438:D438)</f>
        <v>0</v>
      </c>
      <c r="F438" s="46">
        <f>SUM(F430:F437)</f>
        <v>0</v>
      </c>
      <c r="G438" s="46">
        <f>SUM(G430:G437)</f>
        <v>0</v>
      </c>
      <c r="H438" s="46">
        <f>SUM(H430:H437)</f>
        <v>846</v>
      </c>
      <c r="I438" s="37">
        <f>SUM(F438:H438)</f>
        <v>846</v>
      </c>
      <c r="J438" s="46">
        <f>SUM(J430:J437)</f>
        <v>1686</v>
      </c>
      <c r="K438" s="46">
        <f>SUM(K430:K437)</f>
        <v>1553</v>
      </c>
      <c r="L438" s="46">
        <f>SUM(L430:L437)</f>
        <v>1272</v>
      </c>
      <c r="M438" s="37">
        <f>SUM(J438:L438)</f>
        <v>4511</v>
      </c>
      <c r="N438" s="46">
        <f>SUM(N430:N437)</f>
        <v>0</v>
      </c>
      <c r="O438" s="46">
        <f>SUM(O430:O437)</f>
        <v>0</v>
      </c>
      <c r="P438" s="46">
        <f>SUM(P430:P437)</f>
        <v>0</v>
      </c>
      <c r="Q438" s="37">
        <f>SUM(N438:P438)</f>
        <v>0</v>
      </c>
      <c r="R438" s="37">
        <f>+E438+I438+M438+Q438</f>
        <v>5357</v>
      </c>
    </row>
    <row r="439" spans="1:20" ht="15.75" customHeight="1" x14ac:dyDescent="0.3">
      <c r="A439" s="234" t="s">
        <v>1172</v>
      </c>
      <c r="B439" s="172"/>
      <c r="C439" s="172"/>
      <c r="D439" s="172"/>
      <c r="E439" s="39" t="s">
        <v>852</v>
      </c>
      <c r="F439" s="172"/>
      <c r="G439" s="172"/>
      <c r="H439" s="172"/>
      <c r="I439" s="39" t="s">
        <v>852</v>
      </c>
      <c r="J439" s="172"/>
      <c r="K439" s="172"/>
      <c r="L439" s="172"/>
      <c r="M439" s="39" t="s">
        <v>852</v>
      </c>
      <c r="N439" s="172"/>
      <c r="O439" s="172"/>
      <c r="P439" s="172"/>
      <c r="Q439" s="39" t="s">
        <v>852</v>
      </c>
      <c r="R439" s="63" t="s">
        <v>852</v>
      </c>
    </row>
    <row r="440" spans="1:20" ht="15.75" customHeight="1" x14ac:dyDescent="0.3">
      <c r="A440" s="234" t="s">
        <v>2409</v>
      </c>
      <c r="B440" s="172"/>
      <c r="C440" s="172"/>
      <c r="D440" s="172"/>
      <c r="E440" s="38" t="s">
        <v>852</v>
      </c>
      <c r="F440" s="172"/>
      <c r="G440" s="172"/>
      <c r="H440" s="172"/>
      <c r="I440" s="38" t="s">
        <v>852</v>
      </c>
      <c r="J440" s="172"/>
      <c r="K440" s="172"/>
      <c r="L440" s="172"/>
      <c r="M440" s="38" t="s">
        <v>852</v>
      </c>
      <c r="N440" s="172"/>
      <c r="O440" s="172"/>
      <c r="P440" s="172"/>
      <c r="Q440" s="38" t="s">
        <v>852</v>
      </c>
      <c r="R440" s="63" t="s">
        <v>852</v>
      </c>
    </row>
    <row r="441" spans="1:20" ht="15.75" customHeight="1" x14ac:dyDescent="0.3">
      <c r="A441" s="266" t="s">
        <v>791</v>
      </c>
      <c r="B441" s="10">
        <v>663</v>
      </c>
      <c r="C441" s="10">
        <v>221</v>
      </c>
      <c r="D441" s="10">
        <v>0</v>
      </c>
      <c r="E441" s="38">
        <f>SUM(B441:D441)</f>
        <v>884</v>
      </c>
      <c r="F441" s="10">
        <v>5220</v>
      </c>
      <c r="G441" s="10">
        <v>5491</v>
      </c>
      <c r="H441" s="10">
        <v>6264</v>
      </c>
      <c r="I441" s="38">
        <f>SUM(F441:H441)</f>
        <v>16975</v>
      </c>
      <c r="J441" s="10">
        <v>6991</v>
      </c>
      <c r="K441" s="10">
        <v>7395</v>
      </c>
      <c r="L441" s="10">
        <v>1925</v>
      </c>
      <c r="M441" s="38">
        <f>SUM(J441:L441)</f>
        <v>16311</v>
      </c>
      <c r="N441" s="10"/>
      <c r="O441" s="10">
        <v>344</v>
      </c>
      <c r="P441" s="10">
        <v>349</v>
      </c>
      <c r="Q441" s="38">
        <f>SUM(N441:P441)</f>
        <v>693</v>
      </c>
      <c r="R441" s="38">
        <f>+E441+I441+M441+Q441</f>
        <v>34863</v>
      </c>
      <c r="S441">
        <f>+SUM(R441,R403,R304)</f>
        <v>120597</v>
      </c>
      <c r="T441" t="s">
        <v>2704</v>
      </c>
    </row>
    <row r="442" spans="1:20" ht="15.75" customHeight="1" x14ac:dyDescent="0.3">
      <c r="A442" s="266" t="s">
        <v>2300</v>
      </c>
      <c r="B442" s="172"/>
      <c r="C442" s="172">
        <v>129</v>
      </c>
      <c r="D442" s="172">
        <v>371</v>
      </c>
      <c r="E442" s="38">
        <f>SUM(B442:D442)</f>
        <v>500</v>
      </c>
      <c r="F442" s="172">
        <v>466</v>
      </c>
      <c r="G442" s="172">
        <v>34</v>
      </c>
      <c r="H442" s="172"/>
      <c r="I442" s="38">
        <f>SUM(F442:H442)</f>
        <v>500</v>
      </c>
      <c r="J442" s="172"/>
      <c r="K442" s="172"/>
      <c r="L442" s="172"/>
      <c r="M442" s="38">
        <f>SUM(J442:L442)</f>
        <v>0</v>
      </c>
      <c r="N442" s="172"/>
      <c r="O442" s="172"/>
      <c r="P442" s="172"/>
      <c r="Q442" s="38">
        <f>SUM(N442:P442)</f>
        <v>0</v>
      </c>
      <c r="R442" s="38">
        <f>+E442+I442+M442+Q442</f>
        <v>1000</v>
      </c>
    </row>
    <row r="443" spans="1:20" ht="15.75" customHeight="1" thickBot="1" x14ac:dyDescent="0.35">
      <c r="A443" s="234" t="s">
        <v>2165</v>
      </c>
      <c r="B443" s="172"/>
      <c r="C443" s="172"/>
      <c r="D443" s="172"/>
      <c r="E443" s="38" t="s">
        <v>852</v>
      </c>
      <c r="F443" s="172"/>
      <c r="G443" s="172"/>
      <c r="H443" s="172"/>
      <c r="I443" s="38" t="s">
        <v>852</v>
      </c>
      <c r="J443" s="172"/>
      <c r="K443" s="172"/>
      <c r="L443" s="172"/>
      <c r="M443" s="38" t="s">
        <v>852</v>
      </c>
      <c r="N443" s="172"/>
      <c r="O443" s="172"/>
      <c r="P443" s="172"/>
      <c r="Q443" s="38" t="s">
        <v>852</v>
      </c>
      <c r="R443" s="63" t="s">
        <v>852</v>
      </c>
    </row>
    <row r="444" spans="1:20" ht="16.5" customHeight="1" thickBot="1" x14ac:dyDescent="0.35">
      <c r="A444" s="43" t="s">
        <v>1219</v>
      </c>
      <c r="B444" s="45">
        <f>SUM(B439:B443)</f>
        <v>663</v>
      </c>
      <c r="C444" s="46">
        <f>SUM(C439:C443)</f>
        <v>350</v>
      </c>
      <c r="D444" s="46">
        <f>SUM(D439:D443)</f>
        <v>371</v>
      </c>
      <c r="E444" s="37">
        <f>SUM(B444:D444)</f>
        <v>1384</v>
      </c>
      <c r="F444" s="46">
        <f>SUM(F439:F443)</f>
        <v>5686</v>
      </c>
      <c r="G444" s="46">
        <f>SUM(G439:G443)</f>
        <v>5525</v>
      </c>
      <c r="H444" s="46">
        <f>SUM(H439:H443)</f>
        <v>6264</v>
      </c>
      <c r="I444" s="37">
        <f>SUM(F444:H444)</f>
        <v>17475</v>
      </c>
      <c r="J444" s="46">
        <f>SUM(J439:J443)</f>
        <v>6991</v>
      </c>
      <c r="K444" s="46">
        <f>SUM(K439:K443)</f>
        <v>7395</v>
      </c>
      <c r="L444" s="46">
        <f>SUM(L439:L443)</f>
        <v>1925</v>
      </c>
      <c r="M444" s="37">
        <f>SUM(J444:L444)</f>
        <v>16311</v>
      </c>
      <c r="N444" s="46">
        <f>SUM(N439:N443)</f>
        <v>0</v>
      </c>
      <c r="O444" s="46">
        <f>SUM(O439:O443)</f>
        <v>344</v>
      </c>
      <c r="P444" s="46">
        <f>SUM(P439:P443)</f>
        <v>349</v>
      </c>
      <c r="Q444" s="37">
        <f>SUM(N444:P444)</f>
        <v>693</v>
      </c>
      <c r="R444" s="37">
        <f>+E444+I444+M444+Q444</f>
        <v>35863</v>
      </c>
    </row>
    <row r="445" spans="1:20" ht="15.75" customHeight="1" x14ac:dyDescent="0.3">
      <c r="A445" s="234" t="s">
        <v>2166</v>
      </c>
      <c r="B445" s="172"/>
      <c r="C445" s="172"/>
      <c r="D445" s="172"/>
      <c r="E445" s="38" t="s">
        <v>852</v>
      </c>
      <c r="F445" s="172"/>
      <c r="G445" s="172"/>
      <c r="H445" s="172"/>
      <c r="I445" s="38" t="s">
        <v>852</v>
      </c>
      <c r="J445" s="172"/>
      <c r="K445" s="172"/>
      <c r="L445" s="172"/>
      <c r="M445" s="38" t="s">
        <v>852</v>
      </c>
      <c r="N445" s="172"/>
      <c r="O445" s="172"/>
      <c r="P445" s="172"/>
      <c r="Q445" s="38" t="s">
        <v>852</v>
      </c>
      <c r="R445" s="38" t="s">
        <v>852</v>
      </c>
    </row>
    <row r="446" spans="1:20" ht="15.75" customHeight="1" x14ac:dyDescent="0.3">
      <c r="A446" s="234" t="s">
        <v>1245</v>
      </c>
      <c r="B446" s="172"/>
      <c r="C446" s="172"/>
      <c r="D446" s="172"/>
      <c r="E446" s="38" t="s">
        <v>852</v>
      </c>
      <c r="F446" s="172"/>
      <c r="G446" s="172"/>
      <c r="H446" s="172"/>
      <c r="I446" s="38" t="s">
        <v>852</v>
      </c>
      <c r="J446" s="172"/>
      <c r="K446" s="172"/>
      <c r="L446" s="172"/>
      <c r="M446" s="38" t="s">
        <v>852</v>
      </c>
      <c r="N446" s="172"/>
      <c r="O446" s="172"/>
      <c r="P446" s="172"/>
      <c r="Q446" s="38" t="s">
        <v>852</v>
      </c>
      <c r="R446" s="38" t="s">
        <v>852</v>
      </c>
    </row>
    <row r="447" spans="1:20" ht="15.75" customHeight="1" thickBot="1" x14ac:dyDescent="0.35">
      <c r="A447" s="234" t="s">
        <v>1711</v>
      </c>
      <c r="B447" s="172"/>
      <c r="C447" s="172"/>
      <c r="D447" s="172"/>
      <c r="E447" s="38" t="s">
        <v>852</v>
      </c>
      <c r="F447" s="172"/>
      <c r="G447" s="172"/>
      <c r="H447" s="172"/>
      <c r="I447" s="38" t="s">
        <v>852</v>
      </c>
      <c r="J447" s="172"/>
      <c r="K447" s="172"/>
      <c r="L447" s="172"/>
      <c r="M447" s="38" t="s">
        <v>852</v>
      </c>
      <c r="N447" s="172"/>
      <c r="O447" s="172"/>
      <c r="P447" s="172"/>
      <c r="Q447" s="38" t="s">
        <v>852</v>
      </c>
      <c r="R447" s="38" t="s">
        <v>852</v>
      </c>
    </row>
    <row r="448" spans="1:20" ht="16.5" customHeight="1" thickBot="1" x14ac:dyDescent="0.35">
      <c r="A448" s="277" t="s">
        <v>1220</v>
      </c>
      <c r="B448" s="45">
        <f>SUM(B445:B447)</f>
        <v>0</v>
      </c>
      <c r="C448" s="46">
        <f>SUM(C445:C447)</f>
        <v>0</v>
      </c>
      <c r="D448" s="46">
        <f>SUM(D445:D447)</f>
        <v>0</v>
      </c>
      <c r="E448" s="37">
        <f>SUM(B448:D448)</f>
        <v>0</v>
      </c>
      <c r="F448" s="46">
        <f>SUM(F445:F447)</f>
        <v>0</v>
      </c>
      <c r="G448" s="46">
        <f>SUM(G445:G447)</f>
        <v>0</v>
      </c>
      <c r="H448" s="46">
        <f>SUM(H445:H447)</f>
        <v>0</v>
      </c>
      <c r="I448" s="37">
        <f>SUM(F448:H448)</f>
        <v>0</v>
      </c>
      <c r="J448" s="46">
        <f>SUM(J445:J447)</f>
        <v>0</v>
      </c>
      <c r="K448" s="46">
        <f>SUM(K445:K447)</f>
        <v>0</v>
      </c>
      <c r="L448" s="46">
        <f>SUM(L445:L447)</f>
        <v>0</v>
      </c>
      <c r="M448" s="37">
        <f>SUM(J448:L448)</f>
        <v>0</v>
      </c>
      <c r="N448" s="46">
        <f>SUM(N445:N447)</f>
        <v>0</v>
      </c>
      <c r="O448" s="46">
        <f>SUM(O445:O447)</f>
        <v>0</v>
      </c>
      <c r="P448" s="46">
        <f>SUM(P445:P447)</f>
        <v>0</v>
      </c>
      <c r="Q448" s="37">
        <f>SUM(N448:P448)</f>
        <v>0</v>
      </c>
      <c r="R448" s="37">
        <f>+E448+I448+M448+Q448</f>
        <v>0</v>
      </c>
    </row>
    <row r="449" spans="1:18" ht="15.75" customHeight="1" x14ac:dyDescent="0.3">
      <c r="A449" s="234" t="s">
        <v>1712</v>
      </c>
      <c r="B449" s="172"/>
      <c r="C449" s="172"/>
      <c r="D449" s="172"/>
      <c r="E449" s="38" t="s">
        <v>852</v>
      </c>
      <c r="F449" s="172"/>
      <c r="G449" s="172"/>
      <c r="H449" s="172"/>
      <c r="I449" s="38" t="s">
        <v>852</v>
      </c>
      <c r="J449" s="172"/>
      <c r="K449" s="172"/>
      <c r="L449" s="172"/>
      <c r="M449" s="38" t="s">
        <v>852</v>
      </c>
      <c r="N449" s="172"/>
      <c r="O449" s="172"/>
      <c r="P449" s="172"/>
      <c r="Q449" s="38" t="s">
        <v>852</v>
      </c>
      <c r="R449" s="38" t="s">
        <v>852</v>
      </c>
    </row>
    <row r="450" spans="1:18" ht="15.75" customHeight="1" x14ac:dyDescent="0.3">
      <c r="A450" s="234" t="s">
        <v>1021</v>
      </c>
      <c r="B450" s="172"/>
      <c r="C450" s="172"/>
      <c r="D450" s="172"/>
      <c r="E450" s="38" t="s">
        <v>852</v>
      </c>
      <c r="F450" s="172"/>
      <c r="G450" s="172"/>
      <c r="H450" s="172"/>
      <c r="I450" s="38" t="s">
        <v>852</v>
      </c>
      <c r="J450" s="172"/>
      <c r="K450" s="172"/>
      <c r="L450" s="172"/>
      <c r="M450" s="38" t="s">
        <v>852</v>
      </c>
      <c r="N450" s="172"/>
      <c r="O450" s="172"/>
      <c r="P450" s="172"/>
      <c r="Q450" s="38" t="s">
        <v>852</v>
      </c>
      <c r="R450" s="38" t="s">
        <v>852</v>
      </c>
    </row>
    <row r="451" spans="1:18" ht="15.75" customHeight="1" x14ac:dyDescent="0.3">
      <c r="A451" s="234" t="s">
        <v>557</v>
      </c>
      <c r="B451" s="172"/>
      <c r="C451" s="172"/>
      <c r="D451" s="172"/>
      <c r="E451" s="38" t="s">
        <v>852</v>
      </c>
      <c r="F451" s="172"/>
      <c r="G451" s="172"/>
      <c r="H451" s="172"/>
      <c r="I451" s="38" t="s">
        <v>852</v>
      </c>
      <c r="J451" s="172"/>
      <c r="K451" s="172"/>
      <c r="L451" s="172"/>
      <c r="M451" s="38" t="s">
        <v>852</v>
      </c>
      <c r="N451" s="172"/>
      <c r="O451" s="172"/>
      <c r="P451" s="172"/>
      <c r="Q451" s="38" t="s">
        <v>852</v>
      </c>
      <c r="R451" s="38" t="s">
        <v>852</v>
      </c>
    </row>
    <row r="452" spans="1:18" ht="15.75" customHeight="1" x14ac:dyDescent="0.3">
      <c r="A452" s="234" t="s">
        <v>1022</v>
      </c>
      <c r="B452" s="172"/>
      <c r="C452" s="172"/>
      <c r="D452" s="172"/>
      <c r="E452" s="38" t="s">
        <v>852</v>
      </c>
      <c r="F452" s="172"/>
      <c r="G452" s="172"/>
      <c r="H452" s="172"/>
      <c r="I452" s="38" t="s">
        <v>852</v>
      </c>
      <c r="J452" s="172"/>
      <c r="K452" s="172"/>
      <c r="L452" s="172"/>
      <c r="M452" s="38" t="s">
        <v>852</v>
      </c>
      <c r="N452" s="172"/>
      <c r="O452" s="172"/>
      <c r="P452" s="172"/>
      <c r="Q452" s="38" t="s">
        <v>852</v>
      </c>
      <c r="R452" s="38" t="s">
        <v>852</v>
      </c>
    </row>
    <row r="453" spans="1:18" ht="15.75" customHeight="1" x14ac:dyDescent="0.3">
      <c r="A453" s="266" t="s">
        <v>2102</v>
      </c>
      <c r="B453" s="172"/>
      <c r="C453" s="172"/>
      <c r="D453" s="172"/>
      <c r="E453" s="38">
        <f>SUM(B453:D453)</f>
        <v>0</v>
      </c>
      <c r="F453" s="172"/>
      <c r="G453" s="172"/>
      <c r="H453" s="172"/>
      <c r="I453" s="38">
        <f>SUM(F453:H453)</f>
        <v>0</v>
      </c>
      <c r="J453" s="172"/>
      <c r="K453" s="172"/>
      <c r="L453" s="172"/>
      <c r="M453" s="38">
        <f>SUM(J453:L453)</f>
        <v>0</v>
      </c>
      <c r="N453" s="172"/>
      <c r="O453" s="172"/>
      <c r="P453" s="172"/>
      <c r="Q453" s="38">
        <f>SUM(N453:P453)</f>
        <v>0</v>
      </c>
      <c r="R453" s="38">
        <f>+E453+I453+M453+Q453</f>
        <v>0</v>
      </c>
    </row>
    <row r="454" spans="1:18" ht="15.75" customHeight="1" x14ac:dyDescent="0.3">
      <c r="A454" s="234" t="s">
        <v>559</v>
      </c>
      <c r="B454" s="172"/>
      <c r="C454" s="172"/>
      <c r="D454" s="172"/>
      <c r="E454" s="38"/>
      <c r="F454" s="172"/>
      <c r="G454" s="172"/>
      <c r="H454" s="172"/>
      <c r="I454" s="38"/>
      <c r="J454" s="172"/>
      <c r="K454" s="172"/>
      <c r="L454" s="172"/>
      <c r="M454" s="38"/>
      <c r="N454" s="172"/>
      <c r="O454" s="172"/>
      <c r="P454" s="172"/>
      <c r="Q454" s="38"/>
      <c r="R454" s="38" t="s">
        <v>852</v>
      </c>
    </row>
    <row r="455" spans="1:18" ht="15.75" customHeight="1" x14ac:dyDescent="0.3">
      <c r="A455" s="539" t="s">
        <v>2567</v>
      </c>
      <c r="B455" s="10"/>
      <c r="C455" s="10"/>
      <c r="D455" s="10"/>
      <c r="E455" s="38">
        <f t="shared" ref="E455:E461" si="84">SUM(B455:D455)</f>
        <v>0</v>
      </c>
      <c r="F455" s="10"/>
      <c r="G455" s="10"/>
      <c r="H455" s="10"/>
      <c r="I455" s="38">
        <f t="shared" ref="I455:I461" si="85">SUM(F455:H455)</f>
        <v>0</v>
      </c>
      <c r="J455" s="10">
        <v>0</v>
      </c>
      <c r="K455" s="10">
        <v>0</v>
      </c>
      <c r="L455" s="10">
        <v>2000</v>
      </c>
      <c r="M455" s="38">
        <f t="shared" ref="M455:M461" si="86">SUM(J455:L455)</f>
        <v>2000</v>
      </c>
      <c r="N455" s="10">
        <v>1684</v>
      </c>
      <c r="O455" s="10"/>
      <c r="P455" s="10">
        <v>2201</v>
      </c>
      <c r="Q455" s="38">
        <f t="shared" ref="Q455:Q461" si="87">SUM(N455:P455)</f>
        <v>3885</v>
      </c>
      <c r="R455" s="38">
        <f t="shared" ref="R455:R461" si="88">+E455+I455+M455+Q455</f>
        <v>5885</v>
      </c>
    </row>
    <row r="456" spans="1:18" ht="15.75" customHeight="1" x14ac:dyDescent="0.3">
      <c r="A456" s="539" t="s">
        <v>2568</v>
      </c>
      <c r="B456" s="172"/>
      <c r="C456" s="172"/>
      <c r="D456" s="172"/>
      <c r="E456" s="38">
        <f>SUM(B456:D456)</f>
        <v>0</v>
      </c>
      <c r="F456" s="172"/>
      <c r="G456" s="172"/>
      <c r="H456" s="172"/>
      <c r="I456" s="38">
        <f>SUM(F456:H456)</f>
        <v>0</v>
      </c>
      <c r="J456" s="172"/>
      <c r="K456" s="172"/>
      <c r="L456" s="172"/>
      <c r="M456" s="38">
        <f>SUM(J456:L456)</f>
        <v>0</v>
      </c>
      <c r="N456" s="172"/>
      <c r="O456" s="172"/>
      <c r="P456" s="172"/>
      <c r="Q456" s="38">
        <f>SUM(N456:P456)</f>
        <v>0</v>
      </c>
      <c r="R456" s="38">
        <f>+E456+I456+M456+Q456</f>
        <v>0</v>
      </c>
    </row>
    <row r="457" spans="1:18" ht="15.75" customHeight="1" thickBot="1" x14ac:dyDescent="0.35">
      <c r="A457" s="539" t="s">
        <v>2577</v>
      </c>
      <c r="B457" s="172"/>
      <c r="C457" s="172"/>
      <c r="D457" s="172"/>
      <c r="E457" s="38">
        <f t="shared" si="84"/>
        <v>0</v>
      </c>
      <c r="F457" s="172"/>
      <c r="G457" s="172">
        <v>1178</v>
      </c>
      <c r="H457" s="172">
        <v>322</v>
      </c>
      <c r="I457" s="38">
        <f t="shared" si="85"/>
        <v>1500</v>
      </c>
      <c r="J457" s="172"/>
      <c r="K457" s="172"/>
      <c r="L457" s="172">
        <v>21</v>
      </c>
      <c r="M457" s="38">
        <f t="shared" si="86"/>
        <v>21</v>
      </c>
      <c r="N457" s="172">
        <v>129</v>
      </c>
      <c r="O457" s="172">
        <v>201</v>
      </c>
      <c r="P457" s="172"/>
      <c r="Q457" s="38">
        <f t="shared" si="87"/>
        <v>330</v>
      </c>
      <c r="R457" s="38">
        <f t="shared" si="88"/>
        <v>1851</v>
      </c>
    </row>
    <row r="458" spans="1:18" ht="16.5" customHeight="1" thickBot="1" x14ac:dyDescent="0.35">
      <c r="A458" s="43" t="s">
        <v>1019</v>
      </c>
      <c r="B458" s="42">
        <f>SUM(B452:B457)</f>
        <v>0</v>
      </c>
      <c r="C458" s="42">
        <f>SUM(C452:C457)</f>
        <v>0</v>
      </c>
      <c r="D458" s="42">
        <f>SUM(D452:D457)</f>
        <v>0</v>
      </c>
      <c r="E458" s="39">
        <f t="shared" si="84"/>
        <v>0</v>
      </c>
      <c r="F458" s="42">
        <f>SUM(F452:F457)</f>
        <v>0</v>
      </c>
      <c r="G458" s="42">
        <f>SUM(G452:G457)</f>
        <v>1178</v>
      </c>
      <c r="H458" s="42">
        <f>SUM(H452:H457)</f>
        <v>322</v>
      </c>
      <c r="I458" s="39">
        <f t="shared" si="85"/>
        <v>1500</v>
      </c>
      <c r="J458" s="42">
        <f>SUM(J452:J457)</f>
        <v>0</v>
      </c>
      <c r="K458" s="42">
        <f>SUM(K452:K457)</f>
        <v>0</v>
      </c>
      <c r="L458" s="42">
        <f>SUM(L452:L457)</f>
        <v>2021</v>
      </c>
      <c r="M458" s="39">
        <f t="shared" si="86"/>
        <v>2021</v>
      </c>
      <c r="N458" s="42">
        <f>SUM(N452:N457)</f>
        <v>1813</v>
      </c>
      <c r="O458" s="42">
        <f>SUM(O452:O457)</f>
        <v>201</v>
      </c>
      <c r="P458" s="42">
        <f>SUM(P452:P457)</f>
        <v>2201</v>
      </c>
      <c r="Q458" s="39">
        <f t="shared" si="87"/>
        <v>4215</v>
      </c>
      <c r="R458" s="37">
        <f t="shared" si="88"/>
        <v>7736</v>
      </c>
    </row>
    <row r="459" spans="1:18" ht="16.5" customHeight="1" thickBot="1" x14ac:dyDescent="0.35">
      <c r="A459" s="277" t="s">
        <v>1221</v>
      </c>
      <c r="B459" s="45">
        <f>SUM(B449:B457)</f>
        <v>0</v>
      </c>
      <c r="C459" s="46">
        <f>SUM(C449:C457)</f>
        <v>0</v>
      </c>
      <c r="D459" s="58">
        <f>SUM(D449:D457)</f>
        <v>0</v>
      </c>
      <c r="E459" s="39">
        <f t="shared" si="84"/>
        <v>0</v>
      </c>
      <c r="F459" s="46">
        <f>SUM(F449:F457)</f>
        <v>0</v>
      </c>
      <c r="G459" s="46">
        <f>SUM(G449:G457)</f>
        <v>1178</v>
      </c>
      <c r="H459" s="46">
        <f>SUM(H449:H457)</f>
        <v>322</v>
      </c>
      <c r="I459" s="39">
        <f t="shared" si="85"/>
        <v>1500</v>
      </c>
      <c r="J459" s="46">
        <f>SUM(J449:J457)</f>
        <v>0</v>
      </c>
      <c r="K459" s="46">
        <f>SUM(K449:K457)</f>
        <v>0</v>
      </c>
      <c r="L459" s="46">
        <f>SUM(L449:L457)</f>
        <v>2021</v>
      </c>
      <c r="M459" s="39">
        <f t="shared" si="86"/>
        <v>2021</v>
      </c>
      <c r="N459" s="46">
        <f>SUM(N449:N457)</f>
        <v>1813</v>
      </c>
      <c r="O459" s="46">
        <f>SUM(O449:O457)</f>
        <v>201</v>
      </c>
      <c r="P459" s="46">
        <f>SUM(P449:P457)</f>
        <v>2201</v>
      </c>
      <c r="Q459" s="39">
        <f t="shared" si="87"/>
        <v>4215</v>
      </c>
      <c r="R459" s="37">
        <f t="shared" si="88"/>
        <v>7736</v>
      </c>
    </row>
    <row r="460" spans="1:18" ht="16.5" customHeight="1" thickBot="1" x14ac:dyDescent="0.35">
      <c r="A460" s="43" t="s">
        <v>1222</v>
      </c>
      <c r="B460" s="47">
        <f>+B438+B444+B448+B459</f>
        <v>663</v>
      </c>
      <c r="C460" s="42">
        <f>+C438+C444+C448+C459</f>
        <v>350</v>
      </c>
      <c r="D460" s="42">
        <f>+D438+D444+D448+D459</f>
        <v>371</v>
      </c>
      <c r="E460" s="37">
        <f t="shared" si="84"/>
        <v>1384</v>
      </c>
      <c r="F460" s="42">
        <f>+F438+F444+F448+F459</f>
        <v>5686</v>
      </c>
      <c r="G460" s="42">
        <f>+G438+G444+G448+G459</f>
        <v>6703</v>
      </c>
      <c r="H460" s="42">
        <f>+H438+H444+H448+H459</f>
        <v>7432</v>
      </c>
      <c r="I460" s="37">
        <f t="shared" si="85"/>
        <v>19821</v>
      </c>
      <c r="J460" s="42">
        <f>+J438+J444+J448+J459</f>
        <v>8677</v>
      </c>
      <c r="K460" s="42">
        <f>+K438+K444+K448+K459</f>
        <v>8948</v>
      </c>
      <c r="L460" s="42">
        <f>+L438+L444+L448+L459</f>
        <v>5218</v>
      </c>
      <c r="M460" s="37">
        <f t="shared" si="86"/>
        <v>22843</v>
      </c>
      <c r="N460" s="42">
        <f>+N438+N444+N448+N459</f>
        <v>1813</v>
      </c>
      <c r="O460" s="42">
        <f>+O438+O444+O448+O459</f>
        <v>545</v>
      </c>
      <c r="P460" s="42">
        <f>+P438+P444+P448+P459</f>
        <v>2550</v>
      </c>
      <c r="Q460" s="37">
        <f t="shared" si="87"/>
        <v>4908</v>
      </c>
      <c r="R460" s="40">
        <f t="shared" si="88"/>
        <v>48956</v>
      </c>
    </row>
    <row r="461" spans="1:18" ht="16.5" customHeight="1" thickBot="1" x14ac:dyDescent="0.35">
      <c r="A461" s="244" t="s">
        <v>853</v>
      </c>
      <c r="B461" s="238">
        <v>23</v>
      </c>
      <c r="C461" s="238">
        <v>43</v>
      </c>
      <c r="D461" s="238">
        <v>66</v>
      </c>
      <c r="E461" s="40">
        <f t="shared" si="84"/>
        <v>132</v>
      </c>
      <c r="F461" s="238">
        <v>91</v>
      </c>
      <c r="G461" s="238">
        <v>108</v>
      </c>
      <c r="H461" s="238">
        <v>109</v>
      </c>
      <c r="I461" s="40">
        <f t="shared" si="85"/>
        <v>308</v>
      </c>
      <c r="J461" s="238">
        <v>104</v>
      </c>
      <c r="K461" s="238">
        <v>79</v>
      </c>
      <c r="L461" s="238">
        <v>80</v>
      </c>
      <c r="M461" s="40">
        <f t="shared" si="86"/>
        <v>263</v>
      </c>
      <c r="N461" s="238">
        <v>74</v>
      </c>
      <c r="O461" s="238">
        <v>58</v>
      </c>
      <c r="P461" s="238">
        <v>42</v>
      </c>
      <c r="Q461" s="40">
        <f t="shared" si="87"/>
        <v>174</v>
      </c>
      <c r="R461" s="38">
        <f t="shared" si="88"/>
        <v>877</v>
      </c>
    </row>
    <row r="462" spans="1:18" ht="16.5" customHeight="1" thickBot="1" x14ac:dyDescent="0.35">
      <c r="A462" s="22"/>
      <c r="B462" s="242"/>
      <c r="C462" s="242"/>
      <c r="D462" s="242"/>
      <c r="E462" s="21"/>
      <c r="F462" s="242"/>
      <c r="G462" s="242"/>
      <c r="H462" s="242"/>
      <c r="I462" s="31"/>
      <c r="J462" s="242"/>
      <c r="K462" s="242"/>
      <c r="L462" s="242"/>
      <c r="M462" s="31"/>
      <c r="N462" s="242"/>
      <c r="O462" s="242"/>
      <c r="P462" s="242"/>
      <c r="Q462" s="31"/>
      <c r="R462" s="21"/>
    </row>
    <row r="463" spans="1:18" ht="15.75" customHeight="1" x14ac:dyDescent="0.3">
      <c r="A463" s="234" t="s">
        <v>120</v>
      </c>
      <c r="B463" s="260">
        <f>SUM(B460:B461)</f>
        <v>686</v>
      </c>
      <c r="C463" s="260">
        <f>SUM(C460:C461)</f>
        <v>393</v>
      </c>
      <c r="D463" s="260">
        <f>SUM(D460:D461)</f>
        <v>437</v>
      </c>
      <c r="E463" s="39">
        <f>SUM(B463:D463)</f>
        <v>1516</v>
      </c>
      <c r="F463" s="260">
        <f>SUM(F460:F461)</f>
        <v>5777</v>
      </c>
      <c r="G463" s="260">
        <f>SUM(G460:G461)</f>
        <v>6811</v>
      </c>
      <c r="H463" s="260">
        <f>SUM(H460:H461)</f>
        <v>7541</v>
      </c>
      <c r="I463" s="39">
        <f>SUM(F463:H463)</f>
        <v>20129</v>
      </c>
      <c r="J463" s="260">
        <f>SUM(J460:J461)</f>
        <v>8781</v>
      </c>
      <c r="K463" s="260">
        <f>SUM(K460:K461)</f>
        <v>9027</v>
      </c>
      <c r="L463" s="260">
        <f>SUM(L460:L461)</f>
        <v>5298</v>
      </c>
      <c r="M463" s="39">
        <f>SUM(J463:L463)</f>
        <v>23106</v>
      </c>
      <c r="N463" s="260">
        <f>SUM(N460:N461)</f>
        <v>1887</v>
      </c>
      <c r="O463" s="260">
        <f>SUM(O460:O461)</f>
        <v>603</v>
      </c>
      <c r="P463" s="260">
        <f>SUM(P460:P461)</f>
        <v>2592</v>
      </c>
      <c r="Q463" s="39">
        <f>SUM(N463:P463)</f>
        <v>5082</v>
      </c>
      <c r="R463" s="39">
        <f>+E463+I463+M463+Q463</f>
        <v>49833</v>
      </c>
    </row>
    <row r="464" spans="1:18" ht="15.75" customHeight="1" x14ac:dyDescent="0.3">
      <c r="A464" s="234" t="s">
        <v>1897</v>
      </c>
      <c r="B464" s="172">
        <f>(B463/31)/1.983</f>
        <v>11.159370780667935</v>
      </c>
      <c r="C464" s="172">
        <f>(C463/28)/1.983</f>
        <v>7.0780203155392263</v>
      </c>
      <c r="D464" s="172">
        <f>(D463/31)/1.983</f>
        <v>7.1088119987636853</v>
      </c>
      <c r="E464" s="38" t="s">
        <v>852</v>
      </c>
      <c r="F464" s="172">
        <f>(F463/30)/1.983</f>
        <v>97.108757774415864</v>
      </c>
      <c r="G464" s="172">
        <f>(G463/31)/1.983</f>
        <v>110.7966098937745</v>
      </c>
      <c r="H464" s="172">
        <f>(H463/30)/1.983</f>
        <v>126.76080013447638</v>
      </c>
      <c r="I464" s="38" t="s">
        <v>852</v>
      </c>
      <c r="J464" s="172">
        <f>(J463/31)/1.983</f>
        <v>142.84319945341855</v>
      </c>
      <c r="K464" s="172">
        <f>(K463/31)/1.983</f>
        <v>146.84495632228783</v>
      </c>
      <c r="L464" s="172">
        <f>(L463/30)/1.983</f>
        <v>89.056984367120521</v>
      </c>
      <c r="M464" s="38" t="s">
        <v>852</v>
      </c>
      <c r="N464" s="172">
        <f>(N463/31)/1.983</f>
        <v>30.696403299009319</v>
      </c>
      <c r="O464" s="172">
        <f>(O463/30)/1.983</f>
        <v>10.136157337367624</v>
      </c>
      <c r="P464" s="172">
        <f>(P463/31)/1.983</f>
        <v>42.164852862232195</v>
      </c>
      <c r="Q464" s="38" t="s">
        <v>852</v>
      </c>
      <c r="R464" s="38" t="s">
        <v>852</v>
      </c>
    </row>
    <row r="465" spans="1:18" ht="15.75" customHeight="1" x14ac:dyDescent="0.3">
      <c r="A465" s="234" t="s">
        <v>1433</v>
      </c>
      <c r="B465" s="172">
        <f>B463+B518</f>
        <v>20514</v>
      </c>
      <c r="C465" s="172">
        <f>C463+C518</f>
        <v>23960</v>
      </c>
      <c r="D465" s="172">
        <f>D463+D518</f>
        <v>26071</v>
      </c>
      <c r="E465" s="38">
        <f>SUM(B465:D465)</f>
        <v>70545</v>
      </c>
      <c r="F465" s="172">
        <f>F463+F518</f>
        <v>31476</v>
      </c>
      <c r="G465" s="172">
        <f>G463+G518</f>
        <v>31368</v>
      </c>
      <c r="H465" s="172">
        <f>H463+H518</f>
        <v>27588</v>
      </c>
      <c r="I465" s="38">
        <f>SUM(F465:H465)</f>
        <v>90432</v>
      </c>
      <c r="J465" s="172">
        <f>J463+J518</f>
        <v>27540</v>
      </c>
      <c r="K465" s="172">
        <f>K463+K518</f>
        <v>28614</v>
      </c>
      <c r="L465" s="172">
        <f>L463+L518</f>
        <v>26734</v>
      </c>
      <c r="M465" s="38">
        <f>SUM(J465:L465)</f>
        <v>82888</v>
      </c>
      <c r="N465" s="172">
        <f>N463+N518</f>
        <v>16161</v>
      </c>
      <c r="O465" s="172">
        <f>O463+O518</f>
        <v>9537</v>
      </c>
      <c r="P465" s="172">
        <f>P463+P518</f>
        <v>20226</v>
      </c>
      <c r="Q465" s="38">
        <f>SUM(N465:P465)</f>
        <v>45924</v>
      </c>
      <c r="R465" s="38">
        <f>+E465+I465+M465+Q465</f>
        <v>289789</v>
      </c>
    </row>
    <row r="466" spans="1:18" ht="16.5" customHeight="1" thickBot="1" x14ac:dyDescent="0.35">
      <c r="A466" s="237" t="s">
        <v>426</v>
      </c>
      <c r="B466" s="264">
        <f>(B465/31)/1.983</f>
        <v>333.70748133326828</v>
      </c>
      <c r="C466" s="264">
        <f>(C465/28)/1.983</f>
        <v>431.52510626035581</v>
      </c>
      <c r="D466" s="264">
        <f>(D465/31)/1.983</f>
        <v>424.10489157841653</v>
      </c>
      <c r="E466" s="40" t="s">
        <v>852</v>
      </c>
      <c r="F466" s="264">
        <f>(F465/30)/1.983</f>
        <v>529.09732728189613</v>
      </c>
      <c r="G466" s="264">
        <f>(G465/31)/1.983</f>
        <v>510.27280269386557</v>
      </c>
      <c r="H466" s="264">
        <f>(H465/30)/1.983</f>
        <v>463.74180534543621</v>
      </c>
      <c r="I466" s="40" t="s">
        <v>852</v>
      </c>
      <c r="J466" s="264">
        <f>(J465/31)/1.983</f>
        <v>448.00156166121707</v>
      </c>
      <c r="K466" s="264">
        <f>(K465/31)/1.983</f>
        <v>465.47264652774385</v>
      </c>
      <c r="L466" s="264">
        <f>(L465/30)/1.983</f>
        <v>449.3864515044545</v>
      </c>
      <c r="M466" s="40" t="s">
        <v>852</v>
      </c>
      <c r="N466" s="264">
        <f>(N465/31)/1.983</f>
        <v>262.89590551949635</v>
      </c>
      <c r="O466" s="264">
        <f>(O465/30)/1.983</f>
        <v>160.31265758951082</v>
      </c>
      <c r="P466" s="264">
        <f>(P465/31)/1.983</f>
        <v>329.02249768190916</v>
      </c>
      <c r="Q466" s="40" t="s">
        <v>852</v>
      </c>
      <c r="R466" s="40" t="s">
        <v>852</v>
      </c>
    </row>
    <row r="467" spans="1:18" ht="15.75" customHeight="1" x14ac:dyDescent="0.3">
      <c r="A467" s="17"/>
      <c r="B467" s="172"/>
      <c r="C467" s="172"/>
      <c r="D467" s="172"/>
      <c r="E467" s="172"/>
      <c r="F467" s="172"/>
      <c r="G467" s="172"/>
      <c r="H467" s="172"/>
      <c r="I467" s="172"/>
      <c r="J467" s="172"/>
      <c r="K467" s="172"/>
      <c r="L467" s="172"/>
      <c r="M467" s="172"/>
      <c r="N467" s="172"/>
      <c r="O467" s="172"/>
      <c r="P467" s="172"/>
      <c r="Q467" s="172"/>
      <c r="R467" s="17"/>
    </row>
    <row r="468" spans="1:18" ht="15.75" customHeight="1" thickBot="1" x14ac:dyDescent="0.35">
      <c r="A468" s="17"/>
      <c r="B468" s="172"/>
      <c r="C468" s="172"/>
      <c r="D468" s="172"/>
      <c r="E468" s="172"/>
      <c r="F468" s="172"/>
      <c r="G468" s="172"/>
      <c r="H468" s="172"/>
      <c r="I468" s="172"/>
      <c r="J468" s="172"/>
      <c r="K468" s="172"/>
      <c r="L468" s="172"/>
      <c r="M468" s="172"/>
      <c r="N468" s="172"/>
      <c r="O468" s="172"/>
      <c r="P468" s="172"/>
      <c r="Q468" s="172"/>
      <c r="R468" s="17"/>
    </row>
    <row r="469" spans="1:18" ht="16.5" customHeight="1" thickBot="1" x14ac:dyDescent="0.35">
      <c r="A469" s="278" t="s">
        <v>1069</v>
      </c>
      <c r="B469" s="4" t="s">
        <v>2090</v>
      </c>
      <c r="C469" s="5" t="s">
        <v>2091</v>
      </c>
      <c r="D469" s="5" t="s">
        <v>2234</v>
      </c>
      <c r="E469" s="33" t="s">
        <v>1594</v>
      </c>
      <c r="F469" s="5" t="s">
        <v>2235</v>
      </c>
      <c r="G469" s="5" t="s">
        <v>2236</v>
      </c>
      <c r="H469" s="5" t="s">
        <v>2237</v>
      </c>
      <c r="I469" s="35" t="s">
        <v>1595</v>
      </c>
      <c r="J469" s="5" t="s">
        <v>1504</v>
      </c>
      <c r="K469" s="5" t="s">
        <v>1505</v>
      </c>
      <c r="L469" s="5" t="s">
        <v>1506</v>
      </c>
      <c r="M469" s="35" t="s">
        <v>1596</v>
      </c>
      <c r="N469" s="5" t="s">
        <v>1507</v>
      </c>
      <c r="O469" s="5" t="s">
        <v>1508</v>
      </c>
      <c r="P469" s="5" t="s">
        <v>1509</v>
      </c>
      <c r="Q469" s="35" t="s">
        <v>1597</v>
      </c>
      <c r="R469" s="36" t="s">
        <v>1510</v>
      </c>
    </row>
    <row r="470" spans="1:18" ht="16.5" customHeight="1" thickBot="1" x14ac:dyDescent="0.35">
      <c r="A470" s="37"/>
      <c r="B470" s="258"/>
      <c r="C470" s="258"/>
      <c r="D470" s="258"/>
      <c r="E470" s="254"/>
      <c r="F470" s="258"/>
      <c r="G470" s="258"/>
      <c r="H470" s="258"/>
      <c r="I470" s="265"/>
      <c r="J470" s="258"/>
      <c r="K470" s="258"/>
      <c r="L470" s="258"/>
      <c r="M470" s="265"/>
      <c r="N470" s="258"/>
      <c r="O470" s="258"/>
      <c r="P470" s="258"/>
      <c r="Q470" s="265"/>
      <c r="R470" s="52"/>
    </row>
    <row r="471" spans="1:18" ht="15.75" customHeight="1" x14ac:dyDescent="0.3">
      <c r="A471" s="234" t="s">
        <v>2417</v>
      </c>
      <c r="B471" s="172" t="s">
        <v>852</v>
      </c>
      <c r="C471" s="172" t="s">
        <v>852</v>
      </c>
      <c r="D471" s="172" t="s">
        <v>852</v>
      </c>
      <c r="E471" s="38" t="s">
        <v>852</v>
      </c>
      <c r="F471" s="172" t="s">
        <v>852</v>
      </c>
      <c r="G471" s="172" t="s">
        <v>852</v>
      </c>
      <c r="H471" s="172" t="s">
        <v>852</v>
      </c>
      <c r="I471" s="38" t="s">
        <v>852</v>
      </c>
      <c r="J471" s="172" t="s">
        <v>852</v>
      </c>
      <c r="K471" s="172" t="s">
        <v>852</v>
      </c>
      <c r="L471" s="172" t="s">
        <v>852</v>
      </c>
      <c r="M471" s="38" t="s">
        <v>852</v>
      </c>
      <c r="N471" s="172" t="s">
        <v>852</v>
      </c>
      <c r="O471" s="172" t="s">
        <v>852</v>
      </c>
      <c r="P471" s="172" t="s">
        <v>852</v>
      </c>
      <c r="Q471" s="38" t="s">
        <v>852</v>
      </c>
      <c r="R471" s="38" t="s">
        <v>852</v>
      </c>
    </row>
    <row r="472" spans="1:18" ht="15.75" customHeight="1" x14ac:dyDescent="0.3">
      <c r="A472" s="234" t="s">
        <v>2160</v>
      </c>
      <c r="B472" s="172"/>
      <c r="C472" s="172"/>
      <c r="D472" s="172"/>
      <c r="E472" s="38" t="s">
        <v>852</v>
      </c>
      <c r="F472" s="172"/>
      <c r="G472" s="172"/>
      <c r="H472" s="172"/>
      <c r="I472" s="38" t="s">
        <v>852</v>
      </c>
      <c r="J472" s="172"/>
      <c r="K472" s="172"/>
      <c r="L472" s="172"/>
      <c r="M472" s="38" t="s">
        <v>852</v>
      </c>
      <c r="N472" s="172"/>
      <c r="O472" s="172"/>
      <c r="P472" s="172"/>
      <c r="Q472" s="38" t="s">
        <v>852</v>
      </c>
      <c r="R472" s="38" t="s">
        <v>852</v>
      </c>
    </row>
    <row r="473" spans="1:18" ht="15.75" customHeight="1" x14ac:dyDescent="0.3">
      <c r="A473" s="310" t="s">
        <v>746</v>
      </c>
      <c r="B473" s="10">
        <v>617</v>
      </c>
      <c r="C473" s="10">
        <v>670</v>
      </c>
      <c r="D473" s="10">
        <v>719</v>
      </c>
      <c r="E473" s="38">
        <f t="shared" ref="E473:E479" si="89">SUM(B473:D473)</f>
        <v>2006</v>
      </c>
      <c r="F473" s="10">
        <v>753</v>
      </c>
      <c r="G473" s="10">
        <v>725</v>
      </c>
      <c r="H473" s="10">
        <v>694</v>
      </c>
      <c r="I473" s="38">
        <f t="shared" ref="I473:I479" si="90">SUM(F473:H473)</f>
        <v>2172</v>
      </c>
      <c r="J473" s="10">
        <v>418</v>
      </c>
      <c r="K473" s="10">
        <v>791</v>
      </c>
      <c r="L473" s="10">
        <v>713</v>
      </c>
      <c r="M473" s="38">
        <f t="shared" ref="M473:M479" si="91">SUM(J473:L473)</f>
        <v>1922</v>
      </c>
      <c r="N473" s="10">
        <v>336</v>
      </c>
      <c r="O473" s="10">
        <v>0</v>
      </c>
      <c r="P473" s="10">
        <v>0</v>
      </c>
      <c r="Q473" s="38">
        <f t="shared" ref="Q473:Q479" si="92">SUM(N473:P473)</f>
        <v>336</v>
      </c>
      <c r="R473" s="38">
        <f t="shared" ref="R473:R479" si="93">+E473+I473+M473+Q473</f>
        <v>6436</v>
      </c>
    </row>
    <row r="474" spans="1:18" ht="15.75" customHeight="1" x14ac:dyDescent="0.3">
      <c r="A474" s="310" t="s">
        <v>639</v>
      </c>
      <c r="B474" s="10"/>
      <c r="C474" s="10"/>
      <c r="D474" s="10">
        <v>100</v>
      </c>
      <c r="E474" s="38">
        <f>SUM(B474:D474)</f>
        <v>100</v>
      </c>
      <c r="F474" s="10"/>
      <c r="G474" s="10"/>
      <c r="H474" s="10"/>
      <c r="I474" s="38">
        <f>SUM(F474:H474)</f>
        <v>0</v>
      </c>
      <c r="J474" s="10"/>
      <c r="K474" s="10"/>
      <c r="L474" s="10"/>
      <c r="M474" s="38">
        <f>SUM(J474:L474)</f>
        <v>0</v>
      </c>
      <c r="N474" s="10"/>
      <c r="O474" s="10"/>
      <c r="P474" s="10"/>
      <c r="Q474" s="38">
        <f>SUM(N474:P474)</f>
        <v>0</v>
      </c>
      <c r="R474" s="38">
        <f>+E474+I474+M474+Q474</f>
        <v>100</v>
      </c>
    </row>
    <row r="475" spans="1:18" ht="15.75" customHeight="1" x14ac:dyDescent="0.3">
      <c r="A475" s="310" t="s">
        <v>1185</v>
      </c>
      <c r="B475" s="10">
        <v>13</v>
      </c>
      <c r="C475" s="10">
        <v>130</v>
      </c>
      <c r="D475" s="10">
        <v>419</v>
      </c>
      <c r="E475" s="38">
        <f t="shared" si="89"/>
        <v>562</v>
      </c>
      <c r="F475" s="10">
        <v>2206</v>
      </c>
      <c r="G475" s="10">
        <v>932</v>
      </c>
      <c r="H475" s="10">
        <v>0</v>
      </c>
      <c r="I475" s="38">
        <f t="shared" si="90"/>
        <v>3138</v>
      </c>
      <c r="J475" s="10"/>
      <c r="K475" s="10"/>
      <c r="L475" s="10"/>
      <c r="M475" s="38">
        <f t="shared" si="91"/>
        <v>0</v>
      </c>
      <c r="N475" s="10"/>
      <c r="O475" s="10"/>
      <c r="P475" s="10"/>
      <c r="Q475" s="38">
        <f t="shared" si="92"/>
        <v>0</v>
      </c>
      <c r="R475" s="38">
        <f t="shared" si="93"/>
        <v>3700</v>
      </c>
    </row>
    <row r="476" spans="1:18" ht="15.75" customHeight="1" x14ac:dyDescent="0.3">
      <c r="A476" s="310" t="s">
        <v>745</v>
      </c>
      <c r="B476" s="10"/>
      <c r="C476" s="10"/>
      <c r="D476" s="10"/>
      <c r="E476" s="38">
        <f>SUM(B476:D476)</f>
        <v>0</v>
      </c>
      <c r="F476" s="10"/>
      <c r="G476" s="10"/>
      <c r="H476" s="10"/>
      <c r="I476" s="38">
        <f>SUM(F476:H476)</f>
        <v>0</v>
      </c>
      <c r="J476" s="10"/>
      <c r="K476" s="10"/>
      <c r="L476" s="10"/>
      <c r="M476" s="38">
        <f>SUM(J476:L476)</f>
        <v>0</v>
      </c>
      <c r="N476" s="10"/>
      <c r="O476" s="10"/>
      <c r="P476" s="10"/>
      <c r="Q476" s="38">
        <f>SUM(N476:P476)</f>
        <v>0</v>
      </c>
      <c r="R476" s="38">
        <f>+E476+I476+M476+Q476</f>
        <v>0</v>
      </c>
    </row>
    <row r="477" spans="1:18" ht="15.75" customHeight="1" x14ac:dyDescent="0.3">
      <c r="A477" s="310" t="s">
        <v>484</v>
      </c>
      <c r="B477" s="10"/>
      <c r="C477" s="10"/>
      <c r="D477" s="10"/>
      <c r="E477" s="38">
        <f t="shared" si="89"/>
        <v>0</v>
      </c>
      <c r="F477" s="10"/>
      <c r="G477" s="10"/>
      <c r="H477" s="10"/>
      <c r="I477" s="38">
        <f t="shared" si="90"/>
        <v>0</v>
      </c>
      <c r="J477" s="10"/>
      <c r="K477" s="10"/>
      <c r="L477" s="10"/>
      <c r="M477" s="38">
        <f t="shared" si="91"/>
        <v>0</v>
      </c>
      <c r="N477" s="10"/>
      <c r="O477" s="10"/>
      <c r="P477" s="10"/>
      <c r="Q477" s="38">
        <f t="shared" si="92"/>
        <v>0</v>
      </c>
      <c r="R477" s="38">
        <f t="shared" si="93"/>
        <v>0</v>
      </c>
    </row>
    <row r="478" spans="1:18" ht="15.75" customHeight="1" x14ac:dyDescent="0.3">
      <c r="A478" s="266" t="s">
        <v>1836</v>
      </c>
      <c r="B478" s="172"/>
      <c r="C478" s="172"/>
      <c r="D478" s="172"/>
      <c r="E478" s="38">
        <f t="shared" si="89"/>
        <v>0</v>
      </c>
      <c r="F478" s="172"/>
      <c r="G478" s="172"/>
      <c r="H478" s="172"/>
      <c r="I478" s="38">
        <f t="shared" si="90"/>
        <v>0</v>
      </c>
      <c r="J478" s="172"/>
      <c r="K478" s="172">
        <v>1277</v>
      </c>
      <c r="L478" s="172">
        <v>1000</v>
      </c>
      <c r="M478" s="38">
        <f t="shared" si="91"/>
        <v>2277</v>
      </c>
      <c r="N478" s="172"/>
      <c r="O478" s="172">
        <v>123</v>
      </c>
      <c r="P478" s="172"/>
      <c r="Q478" s="38">
        <f t="shared" si="92"/>
        <v>123</v>
      </c>
      <c r="R478" s="38">
        <f t="shared" si="93"/>
        <v>2400</v>
      </c>
    </row>
    <row r="479" spans="1:18" ht="15.75" customHeight="1" x14ac:dyDescent="0.3">
      <c r="A479" s="266" t="s">
        <v>1295</v>
      </c>
      <c r="B479" s="172">
        <v>509</v>
      </c>
      <c r="C479" s="172">
        <v>509</v>
      </c>
      <c r="D479" s="172">
        <v>510</v>
      </c>
      <c r="E479" s="38">
        <f t="shared" si="89"/>
        <v>1528</v>
      </c>
      <c r="F479" s="172"/>
      <c r="G479" s="172"/>
      <c r="H479" s="172"/>
      <c r="I479" s="38">
        <f t="shared" si="90"/>
        <v>0</v>
      </c>
      <c r="J479" s="172"/>
      <c r="K479" s="172"/>
      <c r="L479" s="172"/>
      <c r="M479" s="38">
        <f t="shared" si="91"/>
        <v>0</v>
      </c>
      <c r="N479" s="172"/>
      <c r="O479" s="172"/>
      <c r="P479" s="172"/>
      <c r="Q479" s="38">
        <f t="shared" si="92"/>
        <v>0</v>
      </c>
      <c r="R479" s="38">
        <f t="shared" si="93"/>
        <v>1528</v>
      </c>
    </row>
    <row r="480" spans="1:18" ht="15.75" customHeight="1" x14ac:dyDescent="0.3">
      <c r="A480" s="310" t="s">
        <v>2448</v>
      </c>
      <c r="B480" s="10"/>
      <c r="C480" s="10"/>
      <c r="D480" s="10"/>
      <c r="E480" s="38">
        <f>SUM(B480:D480)</f>
        <v>0</v>
      </c>
      <c r="F480" s="10"/>
      <c r="G480" s="10"/>
      <c r="H480" s="10"/>
      <c r="I480" s="38">
        <f>SUM(F480:H480)</f>
        <v>0</v>
      </c>
      <c r="J480" s="10"/>
      <c r="K480" s="10"/>
      <c r="L480" s="10">
        <v>180</v>
      </c>
      <c r="M480" s="38">
        <f>SUM(J480:L480)</f>
        <v>180</v>
      </c>
      <c r="N480" s="10"/>
      <c r="O480" s="10"/>
      <c r="P480" s="10"/>
      <c r="Q480" s="38">
        <f>SUM(N480:P480)</f>
        <v>0</v>
      </c>
      <c r="R480" s="38">
        <f>+E480+I480+M480+Q480</f>
        <v>180</v>
      </c>
    </row>
    <row r="481" spans="1:18" ht="15.75" customHeight="1" x14ac:dyDescent="0.3">
      <c r="A481" s="234" t="s">
        <v>2161</v>
      </c>
      <c r="B481" s="172"/>
      <c r="C481" s="172"/>
      <c r="D481" s="172"/>
      <c r="E481" s="38" t="s">
        <v>852</v>
      </c>
      <c r="F481" s="172"/>
      <c r="G481" s="172"/>
      <c r="H481" s="172"/>
      <c r="I481" s="38" t="s">
        <v>852</v>
      </c>
      <c r="J481" s="172"/>
      <c r="K481" s="172"/>
      <c r="L481" s="172"/>
      <c r="M481" s="38" t="s">
        <v>852</v>
      </c>
      <c r="N481" s="172"/>
      <c r="O481" s="172"/>
      <c r="P481" s="172"/>
      <c r="Q481" s="38" t="s">
        <v>852</v>
      </c>
      <c r="R481" s="38" t="s">
        <v>852</v>
      </c>
    </row>
    <row r="482" spans="1:18" ht="15.75" customHeight="1" x14ac:dyDescent="0.3">
      <c r="A482" s="266" t="s">
        <v>1295</v>
      </c>
      <c r="B482" s="172"/>
      <c r="C482" s="172"/>
      <c r="D482" s="172"/>
      <c r="E482" s="38">
        <f>SUM(B482:D482)</f>
        <v>0</v>
      </c>
      <c r="F482" s="172"/>
      <c r="G482" s="172"/>
      <c r="H482" s="172"/>
      <c r="I482" s="38">
        <f>SUM(F482:H482)</f>
        <v>0</v>
      </c>
      <c r="J482" s="172"/>
      <c r="K482" s="172"/>
      <c r="L482" s="172"/>
      <c r="M482" s="38">
        <f>SUM(J482:L482)</f>
        <v>0</v>
      </c>
      <c r="N482" s="172"/>
      <c r="O482" s="172"/>
      <c r="P482" s="172"/>
      <c r="Q482" s="38">
        <f>SUM(N482:P482)</f>
        <v>0</v>
      </c>
      <c r="R482" s="38">
        <f>+E482+I482+M482+Q482</f>
        <v>0</v>
      </c>
    </row>
    <row r="483" spans="1:18" ht="15.75" customHeight="1" x14ac:dyDescent="0.3">
      <c r="A483" s="234" t="s">
        <v>2162</v>
      </c>
      <c r="B483" s="172"/>
      <c r="C483" s="172"/>
      <c r="D483" s="172"/>
      <c r="E483" s="38" t="s">
        <v>852</v>
      </c>
      <c r="F483" s="172"/>
      <c r="G483" s="172"/>
      <c r="H483" s="172"/>
      <c r="I483" s="38" t="s">
        <v>852</v>
      </c>
      <c r="J483" s="172"/>
      <c r="K483" s="172"/>
      <c r="L483" s="172"/>
      <c r="M483" s="38" t="s">
        <v>852</v>
      </c>
      <c r="N483" s="172"/>
      <c r="O483" s="172"/>
      <c r="P483" s="172"/>
      <c r="Q483" s="38" t="s">
        <v>852</v>
      </c>
      <c r="R483" s="38" t="s">
        <v>852</v>
      </c>
    </row>
    <row r="484" spans="1:18" ht="15.75" customHeight="1" x14ac:dyDescent="0.3">
      <c r="A484" s="234" t="s">
        <v>2578</v>
      </c>
      <c r="B484" s="172"/>
      <c r="C484" s="172"/>
      <c r="D484" s="172"/>
      <c r="E484" s="38">
        <f>SUM(B484:D484)</f>
        <v>0</v>
      </c>
      <c r="F484" s="172"/>
      <c r="G484" s="172"/>
      <c r="H484" s="172"/>
      <c r="I484" s="38">
        <f>SUM(F484:H484)</f>
        <v>0</v>
      </c>
      <c r="J484" s="172"/>
      <c r="K484" s="172"/>
      <c r="L484" s="172"/>
      <c r="M484" s="38">
        <f>SUM(J484:L484)</f>
        <v>0</v>
      </c>
      <c r="N484" s="172"/>
      <c r="O484" s="172"/>
      <c r="P484" s="172"/>
      <c r="Q484" s="38">
        <f>SUM(N484:P484)</f>
        <v>0</v>
      </c>
      <c r="R484" s="38">
        <f>+E484+I484+M484+Q484</f>
        <v>0</v>
      </c>
    </row>
    <row r="485" spans="1:18" ht="15.75" customHeight="1" thickBot="1" x14ac:dyDescent="0.35">
      <c r="A485" s="234" t="s">
        <v>2164</v>
      </c>
      <c r="B485" s="172"/>
      <c r="C485" s="172"/>
      <c r="D485" s="172"/>
      <c r="E485" s="38" t="s">
        <v>852</v>
      </c>
      <c r="F485" s="172"/>
      <c r="G485" s="172"/>
      <c r="H485" s="172"/>
      <c r="I485" s="38" t="s">
        <v>852</v>
      </c>
      <c r="J485" s="172"/>
      <c r="K485" s="172"/>
      <c r="L485" s="172"/>
      <c r="M485" s="38" t="s">
        <v>852</v>
      </c>
      <c r="N485" s="172"/>
      <c r="O485" s="172"/>
      <c r="P485" s="172"/>
      <c r="Q485" s="38" t="s">
        <v>852</v>
      </c>
      <c r="R485" s="38" t="s">
        <v>852</v>
      </c>
    </row>
    <row r="486" spans="1:18" ht="16.5" customHeight="1" thickBot="1" x14ac:dyDescent="0.35">
      <c r="A486" s="276" t="s">
        <v>1218</v>
      </c>
      <c r="B486" s="45">
        <f>SUM(B471:B485)</f>
        <v>1139</v>
      </c>
      <c r="C486" s="46">
        <f>SUM(C471:C485)</f>
        <v>1309</v>
      </c>
      <c r="D486" s="46">
        <f>SUM(D471:D485)</f>
        <v>1748</v>
      </c>
      <c r="E486" s="37">
        <f>SUM(B486:D486)</f>
        <v>4196</v>
      </c>
      <c r="F486" s="46">
        <f>SUM(F471:F485)</f>
        <v>2959</v>
      </c>
      <c r="G486" s="46">
        <f>SUM(G471:G485)</f>
        <v>1657</v>
      </c>
      <c r="H486" s="46">
        <f>SUM(H471:H485)</f>
        <v>694</v>
      </c>
      <c r="I486" s="37">
        <f>SUM(F486:H486)</f>
        <v>5310</v>
      </c>
      <c r="J486" s="46">
        <f>SUM(J471:J485)</f>
        <v>418</v>
      </c>
      <c r="K486" s="46">
        <f>SUM(K471:K485)</f>
        <v>2068</v>
      </c>
      <c r="L486" s="46">
        <f>SUM(L471:L485)</f>
        <v>1893</v>
      </c>
      <c r="M486" s="37">
        <f>SUM(J486:L486)</f>
        <v>4379</v>
      </c>
      <c r="N486" s="46">
        <f>SUM(N471:N485)</f>
        <v>336</v>
      </c>
      <c r="O486" s="46">
        <f>SUM(O471:O485)</f>
        <v>123</v>
      </c>
      <c r="P486" s="46">
        <f>SUM(P471:P485)</f>
        <v>0</v>
      </c>
      <c r="Q486" s="37">
        <f>SUM(N486:P486)</f>
        <v>459</v>
      </c>
      <c r="R486" s="37">
        <f>+E486+I486+M486+Q486</f>
        <v>14344</v>
      </c>
    </row>
    <row r="487" spans="1:18" ht="15.75" customHeight="1" x14ac:dyDescent="0.3">
      <c r="A487" s="234" t="s">
        <v>1172</v>
      </c>
      <c r="B487" s="172"/>
      <c r="C487" s="172"/>
      <c r="D487" s="172"/>
      <c r="E487" s="38" t="s">
        <v>852</v>
      </c>
      <c r="F487" s="172"/>
      <c r="G487" s="172"/>
      <c r="H487" s="172"/>
      <c r="I487" s="38" t="s">
        <v>852</v>
      </c>
      <c r="J487" s="172"/>
      <c r="K487" s="172"/>
      <c r="L487" s="172"/>
      <c r="M487" s="38" t="s">
        <v>852</v>
      </c>
      <c r="N487" s="172"/>
      <c r="O487" s="172"/>
      <c r="P487" s="172"/>
      <c r="Q487" s="38" t="s">
        <v>852</v>
      </c>
      <c r="R487" s="38" t="s">
        <v>852</v>
      </c>
    </row>
    <row r="488" spans="1:18" ht="15.75" customHeight="1" x14ac:dyDescent="0.3">
      <c r="A488" s="234" t="s">
        <v>2409</v>
      </c>
      <c r="B488" s="172"/>
      <c r="C488" s="172"/>
      <c r="D488" s="172"/>
      <c r="E488" s="38" t="s">
        <v>852</v>
      </c>
      <c r="F488" s="172"/>
      <c r="G488" s="172"/>
      <c r="H488" s="172"/>
      <c r="I488" s="38" t="s">
        <v>852</v>
      </c>
      <c r="J488" s="172"/>
      <c r="K488" s="172"/>
      <c r="L488" s="172"/>
      <c r="M488" s="38" t="s">
        <v>852</v>
      </c>
      <c r="N488" s="172"/>
      <c r="O488" s="172"/>
      <c r="P488" s="172"/>
      <c r="Q488" s="38" t="s">
        <v>852</v>
      </c>
      <c r="R488" s="38" t="s">
        <v>852</v>
      </c>
    </row>
    <row r="489" spans="1:18" ht="15.75" customHeight="1" x14ac:dyDescent="0.3">
      <c r="A489" s="266" t="s">
        <v>2478</v>
      </c>
      <c r="B489" s="172">
        <v>507</v>
      </c>
      <c r="C489" s="172">
        <v>555</v>
      </c>
      <c r="D489" s="172">
        <v>138</v>
      </c>
      <c r="E489" s="38">
        <f>SUM(B489:D489)</f>
        <v>1200</v>
      </c>
      <c r="F489" s="172">
        <v>300</v>
      </c>
      <c r="G489" s="172">
        <v>135</v>
      </c>
      <c r="H489" s="172">
        <v>0</v>
      </c>
      <c r="I489" s="38">
        <f>SUM(F489:H489)</f>
        <v>435</v>
      </c>
      <c r="J489" s="172">
        <v>0</v>
      </c>
      <c r="K489" s="172">
        <v>0</v>
      </c>
      <c r="L489" s="172">
        <v>0</v>
      </c>
      <c r="M489" s="38">
        <f>SUM(J489:L489)</f>
        <v>0</v>
      </c>
      <c r="N489" s="172">
        <v>0</v>
      </c>
      <c r="O489" s="172">
        <v>0</v>
      </c>
      <c r="P489" s="172">
        <v>0</v>
      </c>
      <c r="Q489" s="38">
        <f>SUM(N489:P489)</f>
        <v>0</v>
      </c>
      <c r="R489" s="38">
        <f>+E489+I489+M489+Q489</f>
        <v>1635</v>
      </c>
    </row>
    <row r="490" spans="1:18" ht="15.75" customHeight="1" x14ac:dyDescent="0.3">
      <c r="A490" s="266" t="s">
        <v>1958</v>
      </c>
      <c r="B490" s="172"/>
      <c r="C490" s="172"/>
      <c r="D490" s="172"/>
      <c r="E490" s="38">
        <f>SUM(B490:D490)</f>
        <v>0</v>
      </c>
      <c r="F490" s="172"/>
      <c r="G490" s="172"/>
      <c r="H490" s="172"/>
      <c r="I490" s="38">
        <f>SUM(F490:H490)</f>
        <v>0</v>
      </c>
      <c r="J490" s="172"/>
      <c r="K490" s="172"/>
      <c r="L490" s="172"/>
      <c r="M490" s="38">
        <f>SUM(J490:L490)</f>
        <v>0</v>
      </c>
      <c r="N490" s="172"/>
      <c r="O490" s="172"/>
      <c r="P490" s="172"/>
      <c r="Q490" s="38">
        <f>SUM(N490:P490)</f>
        <v>0</v>
      </c>
      <c r="R490" s="38">
        <f>+E490+I490+M490+Q490</f>
        <v>0</v>
      </c>
    </row>
    <row r="491" spans="1:18" ht="15.75" customHeight="1" thickBot="1" x14ac:dyDescent="0.35">
      <c r="A491" s="234" t="s">
        <v>2165</v>
      </c>
      <c r="B491" s="172"/>
      <c r="C491" s="172"/>
      <c r="D491" s="172"/>
      <c r="E491" s="38" t="s">
        <v>852</v>
      </c>
      <c r="F491" s="172"/>
      <c r="G491" s="172"/>
      <c r="H491" s="172"/>
      <c r="I491" s="38" t="s">
        <v>852</v>
      </c>
      <c r="J491" s="172"/>
      <c r="K491" s="172"/>
      <c r="L491" s="172"/>
      <c r="M491" s="38" t="s">
        <v>852</v>
      </c>
      <c r="N491" s="172"/>
      <c r="O491" s="172"/>
      <c r="P491" s="172"/>
      <c r="Q491" s="38" t="s">
        <v>852</v>
      </c>
      <c r="R491" s="38" t="s">
        <v>852</v>
      </c>
    </row>
    <row r="492" spans="1:18" ht="16.5" customHeight="1" thickBot="1" x14ac:dyDescent="0.35">
      <c r="A492" s="43" t="s">
        <v>1219</v>
      </c>
      <c r="B492" s="45">
        <f>SUM(B487:B491)</f>
        <v>507</v>
      </c>
      <c r="C492" s="46">
        <f>SUM(C487:C491)</f>
        <v>555</v>
      </c>
      <c r="D492" s="46">
        <f>SUM(D487:D491)</f>
        <v>138</v>
      </c>
      <c r="E492" s="37">
        <f>SUM(B492:D492)</f>
        <v>1200</v>
      </c>
      <c r="F492" s="46">
        <f>SUM(F487:F491)</f>
        <v>300</v>
      </c>
      <c r="G492" s="46">
        <f>SUM(G487:G491)</f>
        <v>135</v>
      </c>
      <c r="H492" s="46">
        <f>SUM(H487:H491)</f>
        <v>0</v>
      </c>
      <c r="I492" s="37">
        <f>SUM(F492:H492)</f>
        <v>435</v>
      </c>
      <c r="J492" s="46">
        <f>SUM(J487:J491)</f>
        <v>0</v>
      </c>
      <c r="K492" s="46">
        <f>SUM(K487:K491)</f>
        <v>0</v>
      </c>
      <c r="L492" s="46">
        <f>SUM(L487:L491)</f>
        <v>0</v>
      </c>
      <c r="M492" s="37">
        <f>SUM(J492:L492)</f>
        <v>0</v>
      </c>
      <c r="N492" s="46">
        <f>SUM(N487:N491)</f>
        <v>0</v>
      </c>
      <c r="O492" s="46">
        <f>SUM(O487:O491)</f>
        <v>0</v>
      </c>
      <c r="P492" s="46">
        <f>SUM(P487:P491)</f>
        <v>0</v>
      </c>
      <c r="Q492" s="37">
        <f>SUM(N492:P492)</f>
        <v>0</v>
      </c>
      <c r="R492" s="37">
        <f>+E492+I492+M492+Q492</f>
        <v>1635</v>
      </c>
    </row>
    <row r="493" spans="1:18" ht="15.75" customHeight="1" x14ac:dyDescent="0.3">
      <c r="A493" s="234" t="s">
        <v>2166</v>
      </c>
      <c r="B493" s="172"/>
      <c r="C493" s="172"/>
      <c r="D493" s="172"/>
      <c r="E493" s="38" t="s">
        <v>852</v>
      </c>
      <c r="F493" s="172"/>
      <c r="G493" s="172"/>
      <c r="H493" s="172"/>
      <c r="I493" s="38" t="s">
        <v>852</v>
      </c>
      <c r="J493" s="172"/>
      <c r="K493" s="172"/>
      <c r="L493" s="172"/>
      <c r="M493" s="38" t="s">
        <v>852</v>
      </c>
      <c r="N493" s="172"/>
      <c r="O493" s="172"/>
      <c r="P493" s="172"/>
      <c r="Q493" s="38" t="s">
        <v>852</v>
      </c>
      <c r="R493" s="38" t="s">
        <v>852</v>
      </c>
    </row>
    <row r="494" spans="1:18" ht="15.75" customHeight="1" x14ac:dyDescent="0.3">
      <c r="A494" s="234" t="s">
        <v>1245</v>
      </c>
      <c r="B494" s="172"/>
      <c r="C494" s="172"/>
      <c r="D494" s="172"/>
      <c r="E494" s="38" t="s">
        <v>852</v>
      </c>
      <c r="F494" s="172"/>
      <c r="G494" s="172"/>
      <c r="H494" s="172"/>
      <c r="I494" s="38" t="s">
        <v>852</v>
      </c>
      <c r="J494" s="172"/>
      <c r="K494" s="172"/>
      <c r="L494" s="172"/>
      <c r="M494" s="38" t="s">
        <v>852</v>
      </c>
      <c r="N494" s="172"/>
      <c r="O494" s="172"/>
      <c r="P494" s="172"/>
      <c r="Q494" s="38" t="s">
        <v>852</v>
      </c>
      <c r="R494" s="38" t="s">
        <v>852</v>
      </c>
    </row>
    <row r="495" spans="1:18" ht="15.75" customHeight="1" x14ac:dyDescent="0.3">
      <c r="A495" s="234" t="s">
        <v>1711</v>
      </c>
      <c r="B495" s="172"/>
      <c r="C495" s="172"/>
      <c r="D495" s="172"/>
      <c r="E495" s="38" t="s">
        <v>852</v>
      </c>
      <c r="F495" s="172"/>
      <c r="G495" s="172"/>
      <c r="H495" s="172"/>
      <c r="I495" s="38" t="s">
        <v>852</v>
      </c>
      <c r="J495" s="172"/>
      <c r="K495" s="172"/>
      <c r="L495" s="172"/>
      <c r="M495" s="38" t="s">
        <v>852</v>
      </c>
      <c r="N495" s="172"/>
      <c r="O495" s="172"/>
      <c r="P495" s="172"/>
      <c r="Q495" s="38" t="s">
        <v>852</v>
      </c>
      <c r="R495" s="38" t="s">
        <v>852</v>
      </c>
    </row>
    <row r="496" spans="1:18" ht="15.75" customHeight="1" thickBot="1" x14ac:dyDescent="0.35">
      <c r="A496" s="539" t="s">
        <v>2720</v>
      </c>
      <c r="B496" s="172"/>
      <c r="C496" s="172"/>
      <c r="D496" s="172"/>
      <c r="E496" s="38">
        <f>SUM(B496:D496)</f>
        <v>0</v>
      </c>
      <c r="F496" s="172"/>
      <c r="G496" s="172"/>
      <c r="H496" s="172"/>
      <c r="I496" s="38">
        <f>SUM(F496:H496)</f>
        <v>0</v>
      </c>
      <c r="J496" s="172"/>
      <c r="K496" s="172"/>
      <c r="L496" s="172">
        <v>2769</v>
      </c>
      <c r="M496" s="38">
        <f>SUM(J496:L496)</f>
        <v>2769</v>
      </c>
      <c r="N496" s="172">
        <v>2290</v>
      </c>
      <c r="O496" s="172">
        <v>1425</v>
      </c>
      <c r="P496" s="172">
        <v>2200</v>
      </c>
      <c r="Q496" s="38">
        <f>SUM(N496:P496)</f>
        <v>5915</v>
      </c>
      <c r="R496" s="38">
        <f>+E496+I496+M496+Q496</f>
        <v>8684</v>
      </c>
    </row>
    <row r="497" spans="1:18" ht="16.5" customHeight="1" thickBot="1" x14ac:dyDescent="0.35">
      <c r="A497" s="277" t="s">
        <v>1220</v>
      </c>
      <c r="B497" s="45">
        <f>SUM(B493:B496)</f>
        <v>0</v>
      </c>
      <c r="C497" s="46">
        <f>SUM(C493:C496)</f>
        <v>0</v>
      </c>
      <c r="D497" s="46">
        <f>SUM(D493:D496)</f>
        <v>0</v>
      </c>
      <c r="E497" s="37">
        <f>SUM(B497:D497)</f>
        <v>0</v>
      </c>
      <c r="F497" s="46">
        <f>SUM(F493:F496)</f>
        <v>0</v>
      </c>
      <c r="G497" s="46">
        <f>SUM(G493:G496)</f>
        <v>0</v>
      </c>
      <c r="H497" s="46">
        <f>SUM(H493:H496)</f>
        <v>0</v>
      </c>
      <c r="I497" s="37">
        <f>SUM(F497:H497)</f>
        <v>0</v>
      </c>
      <c r="J497" s="46">
        <f>SUM(J493:J496)</f>
        <v>0</v>
      </c>
      <c r="K497" s="46">
        <f>SUM(K493:K496)</f>
        <v>0</v>
      </c>
      <c r="L497" s="46">
        <f>SUM(L493:L496)</f>
        <v>2769</v>
      </c>
      <c r="M497" s="37">
        <f>SUM(J497:L497)</f>
        <v>2769</v>
      </c>
      <c r="N497" s="46">
        <f>SUM(N493:N496)</f>
        <v>2290</v>
      </c>
      <c r="O497" s="46">
        <f>SUM(O493:O496)</f>
        <v>1425</v>
      </c>
      <c r="P497" s="46">
        <f>SUM(P493:P496)</f>
        <v>2200</v>
      </c>
      <c r="Q497" s="37">
        <f>SUM(N497:P497)</f>
        <v>5915</v>
      </c>
      <c r="R497" s="37">
        <f>+E497+I497+M497+Q497</f>
        <v>8684</v>
      </c>
    </row>
    <row r="498" spans="1:18" ht="15.75" customHeight="1" x14ac:dyDescent="0.3">
      <c r="A498" s="234" t="s">
        <v>1712</v>
      </c>
      <c r="B498" s="172"/>
      <c r="C498" s="172"/>
      <c r="D498" s="172"/>
      <c r="E498" s="38" t="s">
        <v>852</v>
      </c>
      <c r="F498" s="172"/>
      <c r="G498" s="172"/>
      <c r="H498" s="172"/>
      <c r="I498" s="38" t="s">
        <v>852</v>
      </c>
      <c r="J498" s="172"/>
      <c r="K498" s="172"/>
      <c r="L498" s="172"/>
      <c r="M498" s="38" t="s">
        <v>852</v>
      </c>
      <c r="N498" s="172"/>
      <c r="O498" s="172"/>
      <c r="P498" s="172"/>
      <c r="Q498" s="38" t="s">
        <v>852</v>
      </c>
      <c r="R498" s="38" t="s">
        <v>852</v>
      </c>
    </row>
    <row r="499" spans="1:18" ht="15.75" customHeight="1" x14ac:dyDescent="0.3">
      <c r="A499" s="234" t="s">
        <v>1021</v>
      </c>
      <c r="B499" s="172"/>
      <c r="C499" s="172"/>
      <c r="D499" s="172"/>
      <c r="E499" s="38" t="s">
        <v>852</v>
      </c>
      <c r="F499" s="172"/>
      <c r="G499" s="172"/>
      <c r="H499" s="172"/>
      <c r="I499" s="38" t="s">
        <v>852</v>
      </c>
      <c r="J499" s="172"/>
      <c r="K499" s="172"/>
      <c r="L499" s="172"/>
      <c r="M499" s="38" t="s">
        <v>852</v>
      </c>
      <c r="N499" s="172"/>
      <c r="O499" s="172"/>
      <c r="P499" s="172"/>
      <c r="Q499" s="38" t="s">
        <v>852</v>
      </c>
      <c r="R499" s="38" t="s">
        <v>852</v>
      </c>
    </row>
    <row r="500" spans="1:18" ht="15.75" customHeight="1" x14ac:dyDescent="0.3">
      <c r="A500" s="266" t="s">
        <v>624</v>
      </c>
      <c r="B500" s="172"/>
      <c r="C500" s="172"/>
      <c r="D500" s="172"/>
      <c r="E500" s="38">
        <f>SUM(B500:D500)</f>
        <v>0</v>
      </c>
      <c r="F500" s="172"/>
      <c r="G500" s="172"/>
      <c r="H500" s="172"/>
      <c r="I500" s="38">
        <f>SUM(F500:H500)</f>
        <v>0</v>
      </c>
      <c r="J500" s="172"/>
      <c r="K500" s="172"/>
      <c r="L500" s="172"/>
      <c r="M500" s="38">
        <f>SUM(J500:L500)</f>
        <v>0</v>
      </c>
      <c r="N500" s="172"/>
      <c r="O500" s="172"/>
      <c r="P500" s="172"/>
      <c r="Q500" s="38">
        <f>SUM(N500:P500)</f>
        <v>0</v>
      </c>
      <c r="R500" s="38">
        <f>+E500+I500+M500+Q500</f>
        <v>0</v>
      </c>
    </row>
    <row r="501" spans="1:18" ht="15.75" customHeight="1" x14ac:dyDescent="0.3">
      <c r="A501" s="266" t="s">
        <v>1787</v>
      </c>
      <c r="B501" s="172"/>
      <c r="C501" s="172"/>
      <c r="D501" s="172"/>
      <c r="E501" s="38">
        <f>SUM(B501:D501)</f>
        <v>0</v>
      </c>
      <c r="F501" s="172"/>
      <c r="G501" s="172"/>
      <c r="H501" s="172"/>
      <c r="I501" s="38">
        <f>SUM(F501:H501)</f>
        <v>0</v>
      </c>
      <c r="J501" s="172"/>
      <c r="K501" s="172"/>
      <c r="L501" s="172"/>
      <c r="M501" s="38">
        <f>SUM(J501:L501)</f>
        <v>0</v>
      </c>
      <c r="N501" s="172"/>
      <c r="O501" s="172"/>
      <c r="P501" s="172"/>
      <c r="Q501" s="38">
        <f>SUM(N501:P501)</f>
        <v>0</v>
      </c>
      <c r="R501" s="38">
        <f>+E501+I501+M501+Q501</f>
        <v>0</v>
      </c>
    </row>
    <row r="502" spans="1:18" ht="15.75" customHeight="1" x14ac:dyDescent="0.3">
      <c r="A502" s="234" t="s">
        <v>557</v>
      </c>
      <c r="B502" s="172"/>
      <c r="C502" s="172"/>
      <c r="D502" s="172"/>
      <c r="E502" s="38" t="s">
        <v>852</v>
      </c>
      <c r="F502" s="172"/>
      <c r="G502" s="172"/>
      <c r="H502" s="172"/>
      <c r="I502" s="38" t="s">
        <v>852</v>
      </c>
      <c r="J502" s="172"/>
      <c r="K502" s="172"/>
      <c r="L502" s="172"/>
      <c r="M502" s="38" t="s">
        <v>852</v>
      </c>
      <c r="N502" s="172"/>
      <c r="O502" s="172"/>
      <c r="P502" s="172"/>
      <c r="Q502" s="38" t="s">
        <v>852</v>
      </c>
      <c r="R502" s="38" t="s">
        <v>852</v>
      </c>
    </row>
    <row r="503" spans="1:18" ht="15.75" customHeight="1" x14ac:dyDescent="0.3">
      <c r="A503" s="539" t="s">
        <v>2580</v>
      </c>
      <c r="B503" s="172"/>
      <c r="C503" s="172"/>
      <c r="D503" s="172"/>
      <c r="E503" s="38">
        <f>SUM(B503:D503)</f>
        <v>0</v>
      </c>
      <c r="F503" s="172"/>
      <c r="G503" s="172"/>
      <c r="H503" s="172"/>
      <c r="I503" s="38">
        <f>SUM(F503:H503)</f>
        <v>0</v>
      </c>
      <c r="J503" s="172"/>
      <c r="K503" s="172"/>
      <c r="L503" s="172"/>
      <c r="M503" s="38">
        <f>SUM(J503:L503)</f>
        <v>0</v>
      </c>
      <c r="N503" s="172">
        <v>312</v>
      </c>
      <c r="O503" s="172">
        <v>51</v>
      </c>
      <c r="P503" s="172">
        <v>411</v>
      </c>
      <c r="Q503" s="38">
        <f>SUM(N503:P503)</f>
        <v>774</v>
      </c>
      <c r="R503" s="38">
        <f>+E503+I503+M503+Q503</f>
        <v>774</v>
      </c>
    </row>
    <row r="504" spans="1:18" ht="15.75" customHeight="1" x14ac:dyDescent="0.3">
      <c r="A504" s="539" t="s">
        <v>2579</v>
      </c>
      <c r="B504" s="172"/>
      <c r="C504" s="172"/>
      <c r="D504" s="172"/>
      <c r="E504" s="38">
        <f>SUM(B504:D504)</f>
        <v>0</v>
      </c>
      <c r="F504" s="172"/>
      <c r="G504" s="172"/>
      <c r="H504" s="172"/>
      <c r="I504" s="38">
        <f>SUM(F504:H504)</f>
        <v>0</v>
      </c>
      <c r="J504" s="172"/>
      <c r="K504" s="172"/>
      <c r="L504" s="172"/>
      <c r="M504" s="38">
        <f>SUM(J504:L504)</f>
        <v>0</v>
      </c>
      <c r="N504" s="172"/>
      <c r="O504" s="172"/>
      <c r="P504" s="172"/>
      <c r="Q504" s="38">
        <f>SUM(N504:P504)</f>
        <v>0</v>
      </c>
      <c r="R504" s="38">
        <f>+E504+I504+M504+Q504</f>
        <v>0</v>
      </c>
    </row>
    <row r="505" spans="1:18" ht="15.75" customHeight="1" x14ac:dyDescent="0.3">
      <c r="A505" s="539" t="s">
        <v>2581</v>
      </c>
      <c r="B505" s="172">
        <v>2731</v>
      </c>
      <c r="C505" s="172">
        <v>3194</v>
      </c>
      <c r="D505" s="172">
        <v>3405</v>
      </c>
      <c r="E505" s="38">
        <f>SUM(B505:D505)</f>
        <v>9330</v>
      </c>
      <c r="F505" s="172">
        <v>1531</v>
      </c>
      <c r="G505" s="172"/>
      <c r="H505" s="172"/>
      <c r="I505" s="38">
        <f>SUM(F505:H505)</f>
        <v>1531</v>
      </c>
      <c r="J505" s="172"/>
      <c r="K505" s="172"/>
      <c r="L505" s="172"/>
      <c r="M505" s="38">
        <f>SUM(J505:L505)</f>
        <v>0</v>
      </c>
      <c r="N505" s="172"/>
      <c r="O505" s="172"/>
      <c r="P505" s="172">
        <v>394</v>
      </c>
      <c r="Q505" s="38">
        <f>SUM(N505:P505)</f>
        <v>394</v>
      </c>
      <c r="R505" s="38">
        <f>+E505+I505+M505+Q505</f>
        <v>11255</v>
      </c>
    </row>
    <row r="506" spans="1:18" ht="15.75" customHeight="1" x14ac:dyDescent="0.3">
      <c r="A506" s="539" t="s">
        <v>2582</v>
      </c>
      <c r="B506" s="172"/>
      <c r="C506" s="172"/>
      <c r="D506" s="172"/>
      <c r="E506" s="38">
        <f>SUM(B506:D506)</f>
        <v>0</v>
      </c>
      <c r="F506" s="172"/>
      <c r="G506" s="172"/>
      <c r="H506" s="172"/>
      <c r="I506" s="38">
        <f>SUM(F506:H506)</f>
        <v>0</v>
      </c>
      <c r="J506" s="172"/>
      <c r="K506" s="172"/>
      <c r="L506" s="172"/>
      <c r="M506" s="38">
        <f>SUM(J506:L506)</f>
        <v>0</v>
      </c>
      <c r="N506" s="172"/>
      <c r="O506" s="172"/>
      <c r="P506" s="172"/>
      <c r="Q506" s="38">
        <f>SUM(N506:P506)</f>
        <v>0</v>
      </c>
      <c r="R506" s="38">
        <f>+E506+I506+M506+Q506</f>
        <v>0</v>
      </c>
    </row>
    <row r="507" spans="1:18" ht="15.75" customHeight="1" x14ac:dyDescent="0.3">
      <c r="A507" s="234" t="s">
        <v>1022</v>
      </c>
      <c r="B507" s="172"/>
      <c r="C507" s="172"/>
      <c r="D507" s="172"/>
      <c r="E507" s="38" t="s">
        <v>852</v>
      </c>
      <c r="F507" s="172"/>
      <c r="G507" s="172"/>
      <c r="H507" s="172"/>
      <c r="I507" s="38" t="s">
        <v>852</v>
      </c>
      <c r="J507" s="172"/>
      <c r="K507" s="172"/>
      <c r="L507" s="172"/>
      <c r="M507" s="38" t="s">
        <v>852</v>
      </c>
      <c r="N507" s="172"/>
      <c r="O507" s="172"/>
      <c r="P507" s="172"/>
      <c r="Q507" s="38" t="s">
        <v>852</v>
      </c>
      <c r="R507" s="38" t="s">
        <v>852</v>
      </c>
    </row>
    <row r="508" spans="1:18" ht="15.75" customHeight="1" x14ac:dyDescent="0.3">
      <c r="A508" s="234" t="s">
        <v>559</v>
      </c>
      <c r="B508" s="172"/>
      <c r="C508" s="172"/>
      <c r="D508" s="172"/>
      <c r="E508" s="38" t="s">
        <v>852</v>
      </c>
      <c r="F508" s="172"/>
      <c r="G508" s="172"/>
      <c r="H508" s="172"/>
      <c r="I508" s="38" t="s">
        <v>852</v>
      </c>
      <c r="J508" s="172"/>
      <c r="K508" s="172"/>
      <c r="L508" s="172"/>
      <c r="M508" s="38" t="s">
        <v>852</v>
      </c>
      <c r="N508" s="172"/>
      <c r="O508" s="172"/>
      <c r="P508" s="172"/>
      <c r="Q508" s="38" t="s">
        <v>852</v>
      </c>
      <c r="R508" s="38" t="s">
        <v>852</v>
      </c>
    </row>
    <row r="509" spans="1:18" ht="15.75" customHeight="1" x14ac:dyDescent="0.3">
      <c r="A509" s="539" t="s">
        <v>2597</v>
      </c>
      <c r="B509" s="172"/>
      <c r="C509" s="172"/>
      <c r="D509" s="172">
        <v>200</v>
      </c>
      <c r="E509" s="38">
        <f t="shared" ref="E509:E514" si="94">SUM(B509:D509)</f>
        <v>200</v>
      </c>
      <c r="F509" s="172"/>
      <c r="G509" s="172"/>
      <c r="H509" s="172"/>
      <c r="I509" s="38">
        <f t="shared" ref="I509:I514" si="95">SUM(F509:H509)</f>
        <v>0</v>
      </c>
      <c r="J509" s="172"/>
      <c r="K509" s="172"/>
      <c r="L509" s="172"/>
      <c r="M509" s="38">
        <f t="shared" ref="M509:M514" si="96">SUM(J509:L509)</f>
        <v>0</v>
      </c>
      <c r="N509" s="172"/>
      <c r="O509" s="172"/>
      <c r="P509" s="172"/>
      <c r="Q509" s="38">
        <f t="shared" ref="Q509:Q514" si="97">SUM(N509:P509)</f>
        <v>0</v>
      </c>
      <c r="R509" s="38">
        <f t="shared" ref="R509:R514" si="98">+E509+I509+M509+Q509</f>
        <v>200</v>
      </c>
    </row>
    <row r="510" spans="1:18" ht="15.75" customHeight="1" thickBot="1" x14ac:dyDescent="0.35">
      <c r="A510" s="539" t="s">
        <v>2583</v>
      </c>
      <c r="B510" s="172"/>
      <c r="C510" s="172"/>
      <c r="D510" s="172"/>
      <c r="E510" s="38">
        <f t="shared" si="94"/>
        <v>0</v>
      </c>
      <c r="F510" s="172"/>
      <c r="G510" s="172">
        <v>400</v>
      </c>
      <c r="H510" s="172">
        <v>1221</v>
      </c>
      <c r="I510" s="38">
        <f t="shared" si="95"/>
        <v>1621</v>
      </c>
      <c r="J510" s="172">
        <v>1128</v>
      </c>
      <c r="K510" s="172">
        <v>835</v>
      </c>
      <c r="L510" s="172">
        <v>513</v>
      </c>
      <c r="M510" s="38">
        <f t="shared" si="96"/>
        <v>2476</v>
      </c>
      <c r="N510" s="172"/>
      <c r="O510" s="172"/>
      <c r="P510" s="172"/>
      <c r="Q510" s="38">
        <f t="shared" si="97"/>
        <v>0</v>
      </c>
      <c r="R510" s="38">
        <f t="shared" si="98"/>
        <v>4097</v>
      </c>
    </row>
    <row r="511" spans="1:18" ht="16.5" customHeight="1" thickBot="1" x14ac:dyDescent="0.35">
      <c r="A511" s="43" t="s">
        <v>1019</v>
      </c>
      <c r="B511" s="335">
        <f>SUM(B508:B510)</f>
        <v>0</v>
      </c>
      <c r="C511" s="335">
        <f>SUM(C508:C510)</f>
        <v>0</v>
      </c>
      <c r="D511" s="335">
        <f>SUM(D508:D510)</f>
        <v>200</v>
      </c>
      <c r="E511" s="39">
        <f t="shared" si="94"/>
        <v>200</v>
      </c>
      <c r="F511" s="335">
        <f>SUM(F508:F510)</f>
        <v>0</v>
      </c>
      <c r="G511" s="335">
        <f>SUM(G508:G510)</f>
        <v>400</v>
      </c>
      <c r="H511" s="335">
        <f>SUM(H508:H510)</f>
        <v>1221</v>
      </c>
      <c r="I511" s="39">
        <f t="shared" si="95"/>
        <v>1621</v>
      </c>
      <c r="J511" s="335">
        <f>SUM(J508:J510)</f>
        <v>1128</v>
      </c>
      <c r="K511" s="335">
        <f>SUM(K508:K510)</f>
        <v>835</v>
      </c>
      <c r="L511" s="335">
        <f>SUM(L508:L510)</f>
        <v>513</v>
      </c>
      <c r="M511" s="39">
        <f t="shared" si="96"/>
        <v>2476</v>
      </c>
      <c r="N511" s="335">
        <f>SUM(N508:N510)</f>
        <v>0</v>
      </c>
      <c r="O511" s="335">
        <f>SUM(O508:O510)</f>
        <v>0</v>
      </c>
      <c r="P511" s="335">
        <f>SUM(P508:P510)</f>
        <v>0</v>
      </c>
      <c r="Q511" s="39">
        <f t="shared" si="97"/>
        <v>0</v>
      </c>
      <c r="R511" s="37">
        <f t="shared" si="98"/>
        <v>4297</v>
      </c>
    </row>
    <row r="512" spans="1:18" ht="16.5" customHeight="1" thickBot="1" x14ac:dyDescent="0.35">
      <c r="A512" s="277" t="s">
        <v>1221</v>
      </c>
      <c r="B512" s="45">
        <f>SUM(B498:B510)</f>
        <v>2731</v>
      </c>
      <c r="C512" s="46">
        <f>SUM(C498:C510)</f>
        <v>3194</v>
      </c>
      <c r="D512" s="58">
        <f>SUM(D498:D510)</f>
        <v>3605</v>
      </c>
      <c r="E512" s="39">
        <f t="shared" si="94"/>
        <v>9530</v>
      </c>
      <c r="F512" s="45">
        <f>SUM(F498:F510)</f>
        <v>1531</v>
      </c>
      <c r="G512" s="46">
        <f>SUM(G498:G510)</f>
        <v>400</v>
      </c>
      <c r="H512" s="58">
        <f>SUM(H498:H510)</f>
        <v>1221</v>
      </c>
      <c r="I512" s="39">
        <f t="shared" si="95"/>
        <v>3152</v>
      </c>
      <c r="J512" s="45">
        <f>SUM(J498:J510)</f>
        <v>1128</v>
      </c>
      <c r="K512" s="46">
        <f>SUM(K498:K510)</f>
        <v>835</v>
      </c>
      <c r="L512" s="58">
        <f>SUM(L498:L510)</f>
        <v>513</v>
      </c>
      <c r="M512" s="39">
        <f t="shared" si="96"/>
        <v>2476</v>
      </c>
      <c r="N512" s="45">
        <f>SUM(N498:N510)</f>
        <v>312</v>
      </c>
      <c r="O512" s="46">
        <f>SUM(O498:O510)</f>
        <v>51</v>
      </c>
      <c r="P512" s="58">
        <f>SUM(P498:P510)</f>
        <v>805</v>
      </c>
      <c r="Q512" s="39">
        <f t="shared" si="97"/>
        <v>1168</v>
      </c>
      <c r="R512" s="37">
        <f t="shared" si="98"/>
        <v>16326</v>
      </c>
    </row>
    <row r="513" spans="1:18" ht="16.5" customHeight="1" thickBot="1" x14ac:dyDescent="0.35">
      <c r="A513" s="43" t="s">
        <v>1222</v>
      </c>
      <c r="B513" s="337">
        <f>+B486+B492+B497+B512</f>
        <v>4377</v>
      </c>
      <c r="C513" s="338">
        <f>+C486+C492+C497+C512</f>
        <v>5058</v>
      </c>
      <c r="D513" s="338">
        <f>+D486+D492+D497+D512</f>
        <v>5491</v>
      </c>
      <c r="E513" s="37">
        <f t="shared" si="94"/>
        <v>14926</v>
      </c>
      <c r="F513" s="42">
        <f>+F486+F492+F497+F512</f>
        <v>4790</v>
      </c>
      <c r="G513" s="42">
        <f>+G486+G492+G497+G512</f>
        <v>2192</v>
      </c>
      <c r="H513" s="42">
        <f>+H486+H492+H497+H512</f>
        <v>1915</v>
      </c>
      <c r="I513" s="37">
        <f t="shared" si="95"/>
        <v>8897</v>
      </c>
      <c r="J513" s="42">
        <f>+J486+J492+J497+J512</f>
        <v>1546</v>
      </c>
      <c r="K513" s="42">
        <f>+K486+K492+K497+K512</f>
        <v>2903</v>
      </c>
      <c r="L513" s="42">
        <f>+L486+L492+L497+L512</f>
        <v>5175</v>
      </c>
      <c r="M513" s="37">
        <f t="shared" si="96"/>
        <v>9624</v>
      </c>
      <c r="N513" s="42">
        <f>+N486+N492+N497+N512</f>
        <v>2938</v>
      </c>
      <c r="O513" s="42">
        <f>+O486+O492+O497+O512</f>
        <v>1599</v>
      </c>
      <c r="P513" s="42">
        <f>+P486+P492+P497+P512</f>
        <v>3005</v>
      </c>
      <c r="Q513" s="37">
        <f t="shared" si="97"/>
        <v>7542</v>
      </c>
      <c r="R513" s="40">
        <f t="shared" si="98"/>
        <v>40989</v>
      </c>
    </row>
    <row r="514" spans="1:18" ht="16.5" customHeight="1" thickBot="1" x14ac:dyDescent="0.35">
      <c r="A514" s="244" t="s">
        <v>853</v>
      </c>
      <c r="B514" s="238">
        <v>17</v>
      </c>
      <c r="C514" s="238">
        <v>47</v>
      </c>
      <c r="D514" s="238">
        <v>84</v>
      </c>
      <c r="E514" s="38">
        <f t="shared" si="94"/>
        <v>148</v>
      </c>
      <c r="F514" s="238">
        <v>116</v>
      </c>
      <c r="G514" s="238">
        <v>132</v>
      </c>
      <c r="H514" s="238">
        <v>138</v>
      </c>
      <c r="I514" s="38">
        <f t="shared" si="95"/>
        <v>386</v>
      </c>
      <c r="J514" s="238">
        <v>126</v>
      </c>
      <c r="K514" s="238">
        <v>95</v>
      </c>
      <c r="L514" s="238">
        <v>99</v>
      </c>
      <c r="M514" s="38">
        <f t="shared" si="96"/>
        <v>320</v>
      </c>
      <c r="N514" s="238">
        <v>91</v>
      </c>
      <c r="O514" s="238">
        <v>67</v>
      </c>
      <c r="P514" s="238">
        <v>38</v>
      </c>
      <c r="Q514" s="38">
        <f t="shared" si="97"/>
        <v>196</v>
      </c>
      <c r="R514" s="38">
        <f t="shared" si="98"/>
        <v>1050</v>
      </c>
    </row>
    <row r="515" spans="1:18" ht="16.5" customHeight="1" thickBot="1" x14ac:dyDescent="0.35">
      <c r="A515" s="22"/>
      <c r="B515" s="242"/>
      <c r="C515" s="242"/>
      <c r="D515" s="242"/>
      <c r="E515" s="21"/>
      <c r="F515" s="242"/>
      <c r="G515" s="242"/>
      <c r="H515" s="242"/>
      <c r="I515" s="21"/>
      <c r="J515" s="242"/>
      <c r="K515" s="242"/>
      <c r="L515" s="242"/>
      <c r="M515" s="21"/>
      <c r="N515" s="242"/>
      <c r="O515" s="242"/>
      <c r="P515" s="242"/>
      <c r="Q515" s="21"/>
      <c r="R515" s="21"/>
    </row>
    <row r="516" spans="1:18" ht="15.75" customHeight="1" x14ac:dyDescent="0.3">
      <c r="A516" s="259" t="s">
        <v>120</v>
      </c>
      <c r="B516" s="260">
        <f>SUM(B513:B514)</f>
        <v>4394</v>
      </c>
      <c r="C516" s="260">
        <f>SUM(C513:C514)</f>
        <v>5105</v>
      </c>
      <c r="D516" s="260">
        <f>SUM(D513:D514)</f>
        <v>5575</v>
      </c>
      <c r="E516" s="39">
        <f>SUM(B516:D516)</f>
        <v>15074</v>
      </c>
      <c r="F516" s="260">
        <f>SUM(F513:F514)</f>
        <v>4906</v>
      </c>
      <c r="G516" s="260">
        <f>SUM(G513:G514)</f>
        <v>2324</v>
      </c>
      <c r="H516" s="260">
        <f>SUM(H513:H514)</f>
        <v>2053</v>
      </c>
      <c r="I516" s="39">
        <f>SUM(F516:H516)</f>
        <v>9283</v>
      </c>
      <c r="J516" s="260">
        <f>SUM(J513:J514)</f>
        <v>1672</v>
      </c>
      <c r="K516" s="260">
        <f>SUM(K513:K514)</f>
        <v>2998</v>
      </c>
      <c r="L516" s="260">
        <f>SUM(L513:L514)</f>
        <v>5274</v>
      </c>
      <c r="M516" s="39">
        <f>SUM(J516:L516)</f>
        <v>9944</v>
      </c>
      <c r="N516" s="260">
        <f>SUM(N513:N514)</f>
        <v>3029</v>
      </c>
      <c r="O516" s="260">
        <f>SUM(O513:O514)</f>
        <v>1666</v>
      </c>
      <c r="P516" s="260">
        <f>SUM(P513:P514)</f>
        <v>3043</v>
      </c>
      <c r="Q516" s="39">
        <f>SUM(N516:P516)</f>
        <v>7738</v>
      </c>
      <c r="R516" s="39">
        <f>+E516+I516+M516+Q516</f>
        <v>42039</v>
      </c>
    </row>
    <row r="517" spans="1:18" ht="15.75" customHeight="1" x14ac:dyDescent="0.3">
      <c r="A517" s="262" t="s">
        <v>1897</v>
      </c>
      <c r="B517" s="172">
        <f>(B516/31)/1.983</f>
        <v>71.478535291916771</v>
      </c>
      <c r="C517" s="172">
        <f>(C516/28)/1.983</f>
        <v>91.942223182767819</v>
      </c>
      <c r="D517" s="172">
        <f>(D516/31)/1.983</f>
        <v>90.690221723358221</v>
      </c>
      <c r="E517" s="38" t="s">
        <v>852</v>
      </c>
      <c r="F517" s="172">
        <f>(F516/30)/1.983</f>
        <v>82.467641620440403</v>
      </c>
      <c r="G517" s="172">
        <f>(G516/31)/1.983</f>
        <v>37.805215297773003</v>
      </c>
      <c r="H517" s="172">
        <f>(H516/30)/1.983</f>
        <v>34.51000168095478</v>
      </c>
      <c r="I517" s="38" t="s">
        <v>852</v>
      </c>
      <c r="J517" s="172">
        <f>(J516/31)/1.983</f>
        <v>27.198932864834969</v>
      </c>
      <c r="K517" s="172">
        <f>(K516/31)/1.983</f>
        <v>48.769378426300975</v>
      </c>
      <c r="L517" s="172">
        <f>(L516/30)/1.983</f>
        <v>88.653555219364605</v>
      </c>
      <c r="M517" s="38" t="s">
        <v>852</v>
      </c>
      <c r="N517" s="172">
        <f>(N516/31)/1.983</f>
        <v>49.273664860995879</v>
      </c>
      <c r="O517" s="172">
        <f>(O516/30)/1.983</f>
        <v>28.004706673390483</v>
      </c>
      <c r="P517" s="172">
        <f>(P516/31)/1.983</f>
        <v>49.501407121825835</v>
      </c>
      <c r="Q517" s="38" t="s">
        <v>852</v>
      </c>
      <c r="R517" s="38" t="s">
        <v>852</v>
      </c>
    </row>
    <row r="518" spans="1:18" ht="15.75" customHeight="1" x14ac:dyDescent="0.3">
      <c r="A518" s="262" t="s">
        <v>1535</v>
      </c>
      <c r="B518" s="172">
        <f>B516+B528</f>
        <v>19828</v>
      </c>
      <c r="C518" s="172">
        <f>C516+C528</f>
        <v>23567</v>
      </c>
      <c r="D518" s="172">
        <f>D516+D528</f>
        <v>25634</v>
      </c>
      <c r="E518" s="38">
        <f>SUM(B518:D518)</f>
        <v>69029</v>
      </c>
      <c r="F518" s="172">
        <f>F516+F528</f>
        <v>25699</v>
      </c>
      <c r="G518" s="172">
        <f>G516+G528</f>
        <v>24557</v>
      </c>
      <c r="H518" s="172">
        <f>H516+H528</f>
        <v>20047</v>
      </c>
      <c r="I518" s="38">
        <f>SUM(F518:H518)</f>
        <v>70303</v>
      </c>
      <c r="J518" s="172">
        <f>J516+J528</f>
        <v>18759</v>
      </c>
      <c r="K518" s="172">
        <f>K516+K528</f>
        <v>19587</v>
      </c>
      <c r="L518" s="172">
        <f>L516+L528</f>
        <v>21436</v>
      </c>
      <c r="M518" s="38">
        <f>SUM(J518:L518)</f>
        <v>59782</v>
      </c>
      <c r="N518" s="172">
        <f>N516+N528</f>
        <v>14274</v>
      </c>
      <c r="O518" s="172">
        <f>O516+O528</f>
        <v>8934</v>
      </c>
      <c r="P518" s="172">
        <f>P516+P528</f>
        <v>17634</v>
      </c>
      <c r="Q518" s="38">
        <f>SUM(N518:P518)</f>
        <v>40842</v>
      </c>
      <c r="R518" s="38">
        <f>+E518+I518+M518+Q518</f>
        <v>239956</v>
      </c>
    </row>
    <row r="519" spans="1:18" ht="16.5" customHeight="1" thickBot="1" x14ac:dyDescent="0.35">
      <c r="A519" s="263" t="s">
        <v>1536</v>
      </c>
      <c r="B519" s="264">
        <f>(B518/31)/1.983</f>
        <v>322.54811055260029</v>
      </c>
      <c r="C519" s="264">
        <f>(C518/28)/1.983</f>
        <v>424.44708594481665</v>
      </c>
      <c r="D519" s="264">
        <f>(D518/31)/1.983</f>
        <v>416.99607957965281</v>
      </c>
      <c r="E519" s="40" t="s">
        <v>852</v>
      </c>
      <c r="F519" s="264">
        <f>(F518/30)/1.983</f>
        <v>431.98856950748024</v>
      </c>
      <c r="G519" s="264">
        <f>(G518/31)/1.983</f>
        <v>399.47619280009104</v>
      </c>
      <c r="H519" s="264">
        <f>(H518/30)/1.983</f>
        <v>336.98100521095984</v>
      </c>
      <c r="I519" s="40" t="s">
        <v>852</v>
      </c>
      <c r="J519" s="264">
        <f>(J518/31)/1.983</f>
        <v>305.15836220779852</v>
      </c>
      <c r="K519" s="264">
        <f>(K518/31)/1.983</f>
        <v>318.62769020545608</v>
      </c>
      <c r="L519" s="264">
        <f>(L518/30)/1.983</f>
        <v>360.32946713733395</v>
      </c>
      <c r="M519" s="40" t="s">
        <v>852</v>
      </c>
      <c r="N519" s="264">
        <f>(N518/31)/1.983</f>
        <v>232.19950222048703</v>
      </c>
      <c r="O519" s="264">
        <f>(O518/30)/1.983</f>
        <v>150.17650025214323</v>
      </c>
      <c r="P519" s="264">
        <f>(P518/31)/1.983</f>
        <v>286.85764481967692</v>
      </c>
      <c r="Q519" s="40" t="s">
        <v>852</v>
      </c>
      <c r="R519" s="40" t="s">
        <v>852</v>
      </c>
    </row>
    <row r="520" spans="1:18" ht="15.75" customHeight="1" x14ac:dyDescent="0.3">
      <c r="A520" s="17"/>
      <c r="B520" s="172"/>
      <c r="C520" s="172"/>
      <c r="D520" s="172"/>
      <c r="E520" s="172"/>
      <c r="F520" s="172"/>
      <c r="G520" s="172"/>
      <c r="H520" s="172"/>
      <c r="I520" s="172"/>
      <c r="J520" s="172"/>
      <c r="K520" s="172"/>
      <c r="L520" s="172"/>
      <c r="M520" s="172"/>
      <c r="N520" s="172"/>
      <c r="O520" s="172"/>
      <c r="P520" s="172"/>
      <c r="Q520" s="172"/>
      <c r="R520" s="17"/>
    </row>
    <row r="521" spans="1:18" ht="16.5" customHeight="1" thickBot="1" x14ac:dyDescent="0.35">
      <c r="A521" s="24"/>
      <c r="B521" s="238"/>
      <c r="C521" s="238"/>
      <c r="D521" s="238"/>
      <c r="E521" s="238"/>
      <c r="F521" s="238"/>
      <c r="G521" s="238"/>
      <c r="H521" s="238"/>
      <c r="I521" s="238"/>
      <c r="J521" s="238"/>
      <c r="K521" s="238"/>
      <c r="L521" s="238"/>
      <c r="M521" s="238"/>
      <c r="N521" s="238"/>
      <c r="O521" s="238"/>
      <c r="P521" s="238"/>
      <c r="Q521" s="238"/>
      <c r="R521" s="24"/>
    </row>
    <row r="522" spans="1:18" ht="16.5" customHeight="1" thickBot="1" x14ac:dyDescent="0.35">
      <c r="A522" s="278" t="s">
        <v>1537</v>
      </c>
      <c r="B522" s="4" t="s">
        <v>2090</v>
      </c>
      <c r="C522" s="5" t="s">
        <v>2091</v>
      </c>
      <c r="D522" s="5" t="s">
        <v>2234</v>
      </c>
      <c r="E522" s="33" t="s">
        <v>1594</v>
      </c>
      <c r="F522" s="5" t="s">
        <v>2235</v>
      </c>
      <c r="G522" s="5" t="s">
        <v>2236</v>
      </c>
      <c r="H522" s="5" t="s">
        <v>2237</v>
      </c>
      <c r="I522" s="35" t="s">
        <v>1595</v>
      </c>
      <c r="J522" s="5" t="s">
        <v>1504</v>
      </c>
      <c r="K522" s="5" t="s">
        <v>1505</v>
      </c>
      <c r="L522" s="5" t="s">
        <v>1506</v>
      </c>
      <c r="M522" s="35" t="s">
        <v>1596</v>
      </c>
      <c r="N522" s="5" t="s">
        <v>1507</v>
      </c>
      <c r="O522" s="5" t="s">
        <v>1508</v>
      </c>
      <c r="P522" s="5" t="s">
        <v>1509</v>
      </c>
      <c r="Q522" s="33" t="s">
        <v>1597</v>
      </c>
      <c r="R522" s="34" t="s">
        <v>1510</v>
      </c>
    </row>
    <row r="523" spans="1:18" ht="16.5" customHeight="1" thickBot="1" x14ac:dyDescent="0.35">
      <c r="A523" s="22"/>
      <c r="B523" s="242"/>
      <c r="C523" s="242"/>
      <c r="D523" s="242"/>
      <c r="E523" s="243"/>
      <c r="F523" s="242"/>
      <c r="G523" s="242"/>
      <c r="H523" s="242"/>
      <c r="I523" s="243"/>
      <c r="J523" s="242"/>
      <c r="K523" s="242"/>
      <c r="L523" s="242"/>
      <c r="M523" s="243"/>
      <c r="N523" s="242"/>
      <c r="O523" s="242"/>
      <c r="P523" s="242"/>
      <c r="Q523" s="279"/>
      <c r="R523" s="32"/>
    </row>
    <row r="524" spans="1:18" ht="16.5" customHeight="1" thickBot="1" x14ac:dyDescent="0.35">
      <c r="A524" s="244" t="s">
        <v>853</v>
      </c>
      <c r="B524" s="238">
        <v>20</v>
      </c>
      <c r="C524" s="238">
        <v>22</v>
      </c>
      <c r="D524" s="238">
        <v>28</v>
      </c>
      <c r="E524" s="38">
        <f>SUM(B524:D524)</f>
        <v>70</v>
      </c>
      <c r="F524" s="238">
        <v>37</v>
      </c>
      <c r="G524" s="238">
        <v>42</v>
      </c>
      <c r="H524" s="238">
        <v>44</v>
      </c>
      <c r="I524" s="38">
        <f>SUM(F524:H524)</f>
        <v>123</v>
      </c>
      <c r="J524" s="238">
        <v>39</v>
      </c>
      <c r="K524" s="238">
        <v>36</v>
      </c>
      <c r="L524" s="238">
        <v>34</v>
      </c>
      <c r="M524" s="38">
        <f>SUM(J524:L524)</f>
        <v>109</v>
      </c>
      <c r="N524" s="238">
        <v>29</v>
      </c>
      <c r="O524" s="238">
        <v>23</v>
      </c>
      <c r="P524" s="238">
        <v>19</v>
      </c>
      <c r="Q524" s="38">
        <f>SUM(N524:P524)</f>
        <v>71</v>
      </c>
      <c r="R524" s="38">
        <f>+E524+I524+M524+Q524</f>
        <v>373</v>
      </c>
    </row>
    <row r="525" spans="1:18" ht="16.5" customHeight="1" thickBot="1" x14ac:dyDescent="0.35">
      <c r="A525" s="22"/>
      <c r="B525" s="242"/>
      <c r="C525" s="242"/>
      <c r="D525" s="242"/>
      <c r="E525" s="233"/>
      <c r="F525" s="242"/>
      <c r="G525" s="242"/>
      <c r="H525" s="242"/>
      <c r="I525" s="233"/>
      <c r="J525" s="242"/>
      <c r="K525" s="242"/>
      <c r="L525" s="242"/>
      <c r="M525" s="233"/>
      <c r="N525" s="242"/>
      <c r="O525" s="242"/>
      <c r="P525" s="242"/>
      <c r="Q525" s="233"/>
      <c r="R525" s="21"/>
    </row>
    <row r="526" spans="1:18" ht="15.75" customHeight="1" x14ac:dyDescent="0.3">
      <c r="A526" s="259" t="s">
        <v>120</v>
      </c>
      <c r="B526" s="260">
        <f>B524</f>
        <v>20</v>
      </c>
      <c r="C526" s="260">
        <f>C524</f>
        <v>22</v>
      </c>
      <c r="D526" s="260">
        <f>D524</f>
        <v>28</v>
      </c>
      <c r="E526" s="39">
        <f>SUM(B526:D526)</f>
        <v>70</v>
      </c>
      <c r="F526" s="260">
        <f>F524</f>
        <v>37</v>
      </c>
      <c r="G526" s="260">
        <f>G524</f>
        <v>42</v>
      </c>
      <c r="H526" s="260">
        <f>H524</f>
        <v>44</v>
      </c>
      <c r="I526" s="39">
        <f>SUM(F526:H526)</f>
        <v>123</v>
      </c>
      <c r="J526" s="260">
        <f>J524</f>
        <v>39</v>
      </c>
      <c r="K526" s="260">
        <f>K524</f>
        <v>36</v>
      </c>
      <c r="L526" s="260">
        <f>L524</f>
        <v>34</v>
      </c>
      <c r="M526" s="39">
        <f>SUM(J526:L526)</f>
        <v>109</v>
      </c>
      <c r="N526" s="260">
        <f>N524</f>
        <v>29</v>
      </c>
      <c r="O526" s="260">
        <f>O524</f>
        <v>23</v>
      </c>
      <c r="P526" s="260">
        <f>P524</f>
        <v>19</v>
      </c>
      <c r="Q526" s="39">
        <f>SUM(N526:P526)</f>
        <v>71</v>
      </c>
      <c r="R526" s="39">
        <f>+E526+I526+M526+Q526</f>
        <v>373</v>
      </c>
    </row>
    <row r="527" spans="1:18" ht="15.75" customHeight="1" x14ac:dyDescent="0.3">
      <c r="A527" s="262" t="s">
        <v>1897</v>
      </c>
      <c r="B527" s="172">
        <f>(B526/31)/1.983</f>
        <v>0.32534608689993977</v>
      </c>
      <c r="C527" s="172">
        <f>(C526/28)/1.983</f>
        <v>0.39622505583171236</v>
      </c>
      <c r="D527" s="172">
        <f>(D526/31)/1.983</f>
        <v>0.45548452165991571</v>
      </c>
      <c r="E527" s="38" t="s">
        <v>852</v>
      </c>
      <c r="F527" s="172">
        <f>(F526/30)/1.983</f>
        <v>0.62195326945705165</v>
      </c>
      <c r="G527" s="172">
        <f>(G526/31)/1.983</f>
        <v>0.68322678248987356</v>
      </c>
      <c r="H527" s="172">
        <f>(H526/30)/1.983</f>
        <v>0.73962010421919644</v>
      </c>
      <c r="I527" s="38" t="s">
        <v>852</v>
      </c>
      <c r="J527" s="172">
        <f>(J526/31)/1.983</f>
        <v>0.63442486945488263</v>
      </c>
      <c r="K527" s="172">
        <f>(K526/31)/1.983</f>
        <v>0.5856229564198917</v>
      </c>
      <c r="L527" s="172">
        <f>(L526/30)/1.983</f>
        <v>0.57152462598756093</v>
      </c>
      <c r="M527" s="38" t="s">
        <v>852</v>
      </c>
      <c r="N527" s="172">
        <f>(N526/31)/1.983</f>
        <v>0.47175182600491267</v>
      </c>
      <c r="O527" s="172">
        <f>(O526/30)/1.983</f>
        <v>0.38661959993276179</v>
      </c>
      <c r="P527" s="172">
        <f>(P526/31)/1.983</f>
        <v>0.30907878255494281</v>
      </c>
      <c r="Q527" s="38" t="s">
        <v>852</v>
      </c>
      <c r="R527" s="38" t="s">
        <v>852</v>
      </c>
    </row>
    <row r="528" spans="1:18" ht="15.75" customHeight="1" x14ac:dyDescent="0.3">
      <c r="A528" s="262" t="s">
        <v>2019</v>
      </c>
      <c r="B528" s="172">
        <f>B526+B563</f>
        <v>15434</v>
      </c>
      <c r="C528" s="172">
        <f>C526+C563</f>
        <v>18462</v>
      </c>
      <c r="D528" s="172">
        <f>D526+D563</f>
        <v>20059</v>
      </c>
      <c r="E528" s="38">
        <f>SUM(B528:D528)</f>
        <v>53955</v>
      </c>
      <c r="F528" s="172">
        <f>F526+F563</f>
        <v>20793</v>
      </c>
      <c r="G528" s="172">
        <f>G526+G563</f>
        <v>22233</v>
      </c>
      <c r="H528" s="172">
        <f>H526+H563</f>
        <v>17994</v>
      </c>
      <c r="I528" s="38">
        <f>SUM(F528:H528)</f>
        <v>61020</v>
      </c>
      <c r="J528" s="172">
        <f>J526+J563</f>
        <v>17087</v>
      </c>
      <c r="K528" s="172">
        <f>K526+K563</f>
        <v>16589</v>
      </c>
      <c r="L528" s="172">
        <f>L526+L563</f>
        <v>16162</v>
      </c>
      <c r="M528" s="38">
        <f>SUM(J528:L528)</f>
        <v>49838</v>
      </c>
      <c r="N528" s="172">
        <f>N526+N563</f>
        <v>11245</v>
      </c>
      <c r="O528" s="172">
        <f>O526+O563</f>
        <v>7268</v>
      </c>
      <c r="P528" s="172">
        <f>P526+P563</f>
        <v>14591</v>
      </c>
      <c r="Q528" s="38">
        <f>SUM(N528:P528)</f>
        <v>33104</v>
      </c>
      <c r="R528" s="38">
        <f>+E528+I528+M528+Q528</f>
        <v>197917</v>
      </c>
    </row>
    <row r="529" spans="1:18" ht="16.5" customHeight="1" thickBot="1" x14ac:dyDescent="0.35">
      <c r="A529" s="263" t="s">
        <v>1332</v>
      </c>
      <c r="B529" s="264">
        <f>(B528/31)/1.983</f>
        <v>251.06957526068354</v>
      </c>
      <c r="C529" s="264">
        <f>(C528/28)/1.983</f>
        <v>332.50486276204884</v>
      </c>
      <c r="D529" s="264">
        <f>(D528/31)/1.983</f>
        <v>326.30585785629466</v>
      </c>
      <c r="E529" s="40" t="s">
        <v>852</v>
      </c>
      <c r="F529" s="264">
        <f>(F528/30)/1.983</f>
        <v>349.52092788703982</v>
      </c>
      <c r="G529" s="264">
        <f>(G528/31)/1.983</f>
        <v>361.67097750231812</v>
      </c>
      <c r="H529" s="264">
        <f>(H528/30)/1.983</f>
        <v>302.47100353000502</v>
      </c>
      <c r="I529" s="40" t="s">
        <v>852</v>
      </c>
      <c r="J529" s="264">
        <f>(J528/31)/1.983</f>
        <v>277.95942934296357</v>
      </c>
      <c r="K529" s="264">
        <f>(K528/31)/1.983</f>
        <v>269.85831177915509</v>
      </c>
      <c r="L529" s="264">
        <f>(L528/30)/1.983</f>
        <v>271.67591191796942</v>
      </c>
      <c r="M529" s="40" t="s">
        <v>852</v>
      </c>
      <c r="N529" s="264">
        <f>(N528/31)/1.983</f>
        <v>182.92583735949114</v>
      </c>
      <c r="O529" s="264">
        <f>(O528/30)/1.983</f>
        <v>122.17179357875273</v>
      </c>
      <c r="P529" s="264">
        <f>(P528/31)/1.983</f>
        <v>237.35623769785107</v>
      </c>
      <c r="Q529" s="40" t="s">
        <v>852</v>
      </c>
      <c r="R529" s="40" t="s">
        <v>852</v>
      </c>
    </row>
    <row r="530" spans="1:18" ht="15.75" customHeight="1" x14ac:dyDescent="0.3">
      <c r="A530" s="18"/>
      <c r="B530" s="172"/>
      <c r="C530" s="172"/>
      <c r="D530" s="172"/>
      <c r="E530" s="172"/>
      <c r="F530" s="172"/>
      <c r="G530" s="172"/>
      <c r="H530" s="172"/>
      <c r="I530" s="172"/>
      <c r="J530" s="172"/>
      <c r="K530" s="172"/>
      <c r="L530" s="172"/>
      <c r="M530" s="172"/>
      <c r="N530" s="172"/>
      <c r="O530" s="172"/>
      <c r="P530" s="172"/>
      <c r="Q530" s="172"/>
      <c r="R530" s="17"/>
    </row>
    <row r="531" spans="1:18" ht="15.75" customHeight="1" thickBot="1" x14ac:dyDescent="0.35">
      <c r="A531" s="18"/>
      <c r="B531" s="172"/>
      <c r="C531" s="172"/>
      <c r="D531" s="172"/>
      <c r="E531" s="172"/>
      <c r="F531" s="172"/>
      <c r="G531" s="172"/>
      <c r="H531" s="172"/>
      <c r="I531" s="172"/>
      <c r="J531" s="172"/>
      <c r="K531" s="172"/>
      <c r="L531" s="172"/>
      <c r="M531" s="172"/>
      <c r="N531" s="172"/>
      <c r="O531" s="172"/>
      <c r="P531" s="172"/>
      <c r="Q531" s="172"/>
      <c r="R531" s="17"/>
    </row>
    <row r="532" spans="1:18" ht="16.5" customHeight="1" thickBot="1" x14ac:dyDescent="0.35">
      <c r="A532" s="240" t="s">
        <v>1333</v>
      </c>
      <c r="B532" s="4" t="s">
        <v>2090</v>
      </c>
      <c r="C532" s="5" t="s">
        <v>2091</v>
      </c>
      <c r="D532" s="5" t="s">
        <v>2234</v>
      </c>
      <c r="E532" s="33" t="s">
        <v>1594</v>
      </c>
      <c r="F532" s="5" t="s">
        <v>2235</v>
      </c>
      <c r="G532" s="5" t="s">
        <v>2236</v>
      </c>
      <c r="H532" s="5" t="s">
        <v>2237</v>
      </c>
      <c r="I532" s="35" t="s">
        <v>1595</v>
      </c>
      <c r="J532" s="5" t="s">
        <v>1504</v>
      </c>
      <c r="K532" s="5" t="s">
        <v>1505</v>
      </c>
      <c r="L532" s="5" t="s">
        <v>1506</v>
      </c>
      <c r="M532" s="35" t="s">
        <v>1596</v>
      </c>
      <c r="N532" s="5" t="s">
        <v>1507</v>
      </c>
      <c r="O532" s="5" t="s">
        <v>1508</v>
      </c>
      <c r="P532" s="5" t="s">
        <v>1509</v>
      </c>
      <c r="Q532" s="35" t="s">
        <v>1597</v>
      </c>
      <c r="R532" s="36" t="s">
        <v>1510</v>
      </c>
    </row>
    <row r="533" spans="1:18" ht="16.5" customHeight="1" thickBot="1" x14ac:dyDescent="0.35">
      <c r="A533" s="22"/>
      <c r="B533" s="242"/>
      <c r="C533" s="242"/>
      <c r="D533" s="242"/>
      <c r="E533" s="233"/>
      <c r="F533" s="242"/>
      <c r="G533" s="242"/>
      <c r="H533" s="242"/>
      <c r="I533" s="233"/>
      <c r="J533" s="242"/>
      <c r="K533" s="242"/>
      <c r="L533" s="242"/>
      <c r="M533" s="233"/>
      <c r="N533" s="242"/>
      <c r="O533" s="242"/>
      <c r="P533" s="242"/>
      <c r="Q533" s="233"/>
      <c r="R533" s="19"/>
    </row>
    <row r="534" spans="1:18" ht="15.75" customHeight="1" x14ac:dyDescent="0.3">
      <c r="A534" s="234" t="s">
        <v>2417</v>
      </c>
      <c r="B534" s="172" t="s">
        <v>852</v>
      </c>
      <c r="C534" s="172" t="s">
        <v>852</v>
      </c>
      <c r="D534" s="172" t="s">
        <v>852</v>
      </c>
      <c r="E534" s="38" t="s">
        <v>852</v>
      </c>
      <c r="F534" s="172" t="s">
        <v>852</v>
      </c>
      <c r="G534" s="172" t="s">
        <v>852</v>
      </c>
      <c r="H534" s="172" t="s">
        <v>852</v>
      </c>
      <c r="I534" s="38" t="s">
        <v>852</v>
      </c>
      <c r="J534" s="172" t="s">
        <v>852</v>
      </c>
      <c r="K534" s="172" t="s">
        <v>852</v>
      </c>
      <c r="L534" s="172" t="s">
        <v>852</v>
      </c>
      <c r="M534" s="38" t="s">
        <v>852</v>
      </c>
      <c r="N534" s="172" t="s">
        <v>852</v>
      </c>
      <c r="O534" s="172" t="s">
        <v>852</v>
      </c>
      <c r="P534" s="172" t="s">
        <v>852</v>
      </c>
      <c r="Q534" s="38" t="s">
        <v>852</v>
      </c>
      <c r="R534" s="38" t="s">
        <v>852</v>
      </c>
    </row>
    <row r="535" spans="1:18" ht="15.75" customHeight="1" x14ac:dyDescent="0.3">
      <c r="A535" s="234" t="s">
        <v>2160</v>
      </c>
      <c r="B535" s="172"/>
      <c r="C535" s="172"/>
      <c r="D535" s="172"/>
      <c r="E535" s="38" t="s">
        <v>852</v>
      </c>
      <c r="F535" s="172"/>
      <c r="G535" s="172"/>
      <c r="H535" s="172"/>
      <c r="I535" s="38" t="s">
        <v>852</v>
      </c>
      <c r="J535" s="172"/>
      <c r="K535" s="172"/>
      <c r="L535" s="172"/>
      <c r="M535" s="38" t="s">
        <v>852</v>
      </c>
      <c r="N535" s="172"/>
      <c r="O535" s="172"/>
      <c r="P535" s="172"/>
      <c r="Q535" s="38" t="s">
        <v>852</v>
      </c>
      <c r="R535" s="38" t="s">
        <v>852</v>
      </c>
    </row>
    <row r="536" spans="1:18" ht="15.75" customHeight="1" x14ac:dyDescent="0.3">
      <c r="A536" s="539" t="s">
        <v>2710</v>
      </c>
      <c r="B536" s="172"/>
      <c r="C536" s="172"/>
      <c r="D536" s="172">
        <v>281</v>
      </c>
      <c r="E536" s="38">
        <f>SUM(B536:D536)</f>
        <v>281</v>
      </c>
      <c r="F536" s="356">
        <f>1710+244</f>
        <v>1954</v>
      </c>
      <c r="G536" s="172">
        <f>1531+612</f>
        <v>2143</v>
      </c>
      <c r="H536" s="172">
        <f>1684+594</f>
        <v>2278</v>
      </c>
      <c r="I536" s="38">
        <f>SUM(F536:H536)</f>
        <v>6375</v>
      </c>
      <c r="J536" s="172">
        <f>2095+795</f>
        <v>2890</v>
      </c>
      <c r="K536" s="172">
        <f>1498+461</f>
        <v>1959</v>
      </c>
      <c r="L536" s="172">
        <f>736+387</f>
        <v>1123</v>
      </c>
      <c r="M536" s="38">
        <f>SUM(J536:L536)</f>
        <v>5972</v>
      </c>
      <c r="N536" s="356">
        <f>219+155</f>
        <v>374</v>
      </c>
      <c r="O536" s="172">
        <v>174</v>
      </c>
      <c r="P536" s="172">
        <v>374</v>
      </c>
      <c r="Q536" s="38">
        <f>SUM(N536:P536)</f>
        <v>922</v>
      </c>
      <c r="R536" s="38">
        <f>+E536+I536+M536+Q536</f>
        <v>13550</v>
      </c>
    </row>
    <row r="537" spans="1:18" ht="15.75" customHeight="1" x14ac:dyDescent="0.3">
      <c r="A537" s="266" t="s">
        <v>537</v>
      </c>
      <c r="B537" s="172"/>
      <c r="C537" s="172"/>
      <c r="D537" s="172">
        <v>0</v>
      </c>
      <c r="E537" s="38">
        <f>SUM(B537:D537)</f>
        <v>0</v>
      </c>
      <c r="F537" s="172">
        <v>121</v>
      </c>
      <c r="G537" s="172">
        <v>0</v>
      </c>
      <c r="H537" s="172">
        <v>108</v>
      </c>
      <c r="I537" s="38">
        <f>SUM(F537:H537)</f>
        <v>229</v>
      </c>
      <c r="J537" s="172">
        <v>106</v>
      </c>
      <c r="K537" s="172">
        <v>144</v>
      </c>
      <c r="L537" s="172"/>
      <c r="M537" s="38">
        <f>SUM(J537:L537)</f>
        <v>250</v>
      </c>
      <c r="N537" s="172"/>
      <c r="O537" s="172"/>
      <c r="P537" s="172"/>
      <c r="Q537" s="38">
        <f>SUM(N537:P537)</f>
        <v>0</v>
      </c>
      <c r="R537" s="38">
        <f>+E537+I537+M537+Q537</f>
        <v>479</v>
      </c>
    </row>
    <row r="538" spans="1:18" ht="15.75" customHeight="1" x14ac:dyDescent="0.3">
      <c r="A538" s="234" t="s">
        <v>2161</v>
      </c>
      <c r="B538" s="172"/>
      <c r="C538" s="172"/>
      <c r="D538" s="172"/>
      <c r="E538" s="38" t="s">
        <v>852</v>
      </c>
      <c r="F538" s="172"/>
      <c r="G538" s="172"/>
      <c r="H538" s="172"/>
      <c r="I538" s="38" t="s">
        <v>852</v>
      </c>
      <c r="J538" s="172"/>
      <c r="K538" s="172"/>
      <c r="L538" s="172"/>
      <c r="M538" s="38" t="s">
        <v>852</v>
      </c>
      <c r="N538" s="172"/>
      <c r="O538" s="172"/>
      <c r="P538" s="172"/>
      <c r="Q538" s="38" t="s">
        <v>852</v>
      </c>
      <c r="R538" s="38" t="s">
        <v>852</v>
      </c>
    </row>
    <row r="539" spans="1:18" ht="15.75" customHeight="1" x14ac:dyDescent="0.3">
      <c r="A539" s="234" t="s">
        <v>2162</v>
      </c>
      <c r="B539" s="172"/>
      <c r="C539" s="172"/>
      <c r="D539" s="172"/>
      <c r="E539" s="38" t="s">
        <v>852</v>
      </c>
      <c r="F539" s="172"/>
      <c r="G539" s="172"/>
      <c r="H539" s="172"/>
      <c r="I539" s="38" t="s">
        <v>852</v>
      </c>
      <c r="J539" s="172"/>
      <c r="K539" s="172"/>
      <c r="L539" s="172"/>
      <c r="M539" s="38" t="s">
        <v>852</v>
      </c>
      <c r="N539" s="172"/>
      <c r="O539" s="172"/>
      <c r="P539" s="172"/>
      <c r="Q539" s="38" t="s">
        <v>852</v>
      </c>
      <c r="R539" s="38" t="s">
        <v>852</v>
      </c>
    </row>
    <row r="540" spans="1:18" ht="15.75" customHeight="1" thickBot="1" x14ac:dyDescent="0.35">
      <c r="A540" s="234" t="s">
        <v>2164</v>
      </c>
      <c r="B540" s="172"/>
      <c r="C540" s="172"/>
      <c r="D540" s="172"/>
      <c r="E540" s="38" t="s">
        <v>852</v>
      </c>
      <c r="F540" s="172"/>
      <c r="G540" s="172"/>
      <c r="H540" s="172"/>
      <c r="I540" s="38" t="s">
        <v>852</v>
      </c>
      <c r="J540" s="172"/>
      <c r="K540" s="172"/>
      <c r="L540" s="172"/>
      <c r="M540" s="38" t="s">
        <v>852</v>
      </c>
      <c r="N540" s="172"/>
      <c r="O540" s="172"/>
      <c r="P540" s="172"/>
      <c r="Q540" s="38" t="s">
        <v>852</v>
      </c>
      <c r="R540" s="38" t="s">
        <v>852</v>
      </c>
    </row>
    <row r="541" spans="1:18" ht="16.5" customHeight="1" thickBot="1" x14ac:dyDescent="0.35">
      <c r="A541" s="276" t="s">
        <v>1218</v>
      </c>
      <c r="B541" s="45">
        <f>SUM(B534:B540)</f>
        <v>0</v>
      </c>
      <c r="C541" s="46">
        <f>SUM(C534:C540)</f>
        <v>0</v>
      </c>
      <c r="D541" s="46">
        <f>SUM(D534:D540)</f>
        <v>281</v>
      </c>
      <c r="E541" s="37">
        <f>SUM(B541:D541)</f>
        <v>281</v>
      </c>
      <c r="F541" s="46">
        <f>SUM(F534:F540)</f>
        <v>2075</v>
      </c>
      <c r="G541" s="46">
        <f>SUM(G534:G540)</f>
        <v>2143</v>
      </c>
      <c r="H541" s="46">
        <f>SUM(H534:H540)</f>
        <v>2386</v>
      </c>
      <c r="I541" s="37">
        <f>SUM(F541:H541)</f>
        <v>6604</v>
      </c>
      <c r="J541" s="46">
        <f>SUM(J534:J540)</f>
        <v>2996</v>
      </c>
      <c r="K541" s="46">
        <f>SUM(K534:K540)</f>
        <v>2103</v>
      </c>
      <c r="L541" s="46">
        <f>SUM(L534:L540)</f>
        <v>1123</v>
      </c>
      <c r="M541" s="37">
        <f>SUM(J541:L541)</f>
        <v>6222</v>
      </c>
      <c r="N541" s="46">
        <f>SUM(N534:N540)</f>
        <v>374</v>
      </c>
      <c r="O541" s="46">
        <f>SUM(O534:O540)</f>
        <v>174</v>
      </c>
      <c r="P541" s="46">
        <f>SUM(P534:P540)</f>
        <v>374</v>
      </c>
      <c r="Q541" s="37">
        <f>SUM(N541:P541)</f>
        <v>922</v>
      </c>
      <c r="R541" s="37">
        <f>+E541+I541+M541+Q541</f>
        <v>14029</v>
      </c>
    </row>
    <row r="542" spans="1:18" ht="15.75" customHeight="1" x14ac:dyDescent="0.3">
      <c r="A542" s="234" t="s">
        <v>1172</v>
      </c>
      <c r="B542" s="172"/>
      <c r="C542" s="172"/>
      <c r="D542" s="172"/>
      <c r="E542" s="38" t="s">
        <v>852</v>
      </c>
      <c r="F542" s="172"/>
      <c r="G542" s="172"/>
      <c r="H542" s="172"/>
      <c r="I542" s="38" t="s">
        <v>852</v>
      </c>
      <c r="J542" s="172"/>
      <c r="K542" s="172"/>
      <c r="L542" s="172"/>
      <c r="M542" s="38" t="s">
        <v>852</v>
      </c>
      <c r="N542" s="172"/>
      <c r="O542" s="172"/>
      <c r="P542" s="172"/>
      <c r="Q542" s="38" t="s">
        <v>852</v>
      </c>
      <c r="R542" s="38" t="s">
        <v>852</v>
      </c>
    </row>
    <row r="543" spans="1:18" ht="15.75" customHeight="1" x14ac:dyDescent="0.3">
      <c r="A543" s="234" t="s">
        <v>2409</v>
      </c>
      <c r="B543" s="172"/>
      <c r="C543" s="172"/>
      <c r="D543" s="172"/>
      <c r="E543" s="38" t="s">
        <v>852</v>
      </c>
      <c r="F543" s="172"/>
      <c r="G543" s="172"/>
      <c r="H543" s="172"/>
      <c r="I543" s="38" t="s">
        <v>852</v>
      </c>
      <c r="J543" s="172"/>
      <c r="K543" s="172"/>
      <c r="L543" s="172"/>
      <c r="M543" s="38" t="s">
        <v>852</v>
      </c>
      <c r="N543" s="172"/>
      <c r="O543" s="172"/>
      <c r="P543" s="172"/>
      <c r="Q543" s="38" t="s">
        <v>852</v>
      </c>
      <c r="R543" s="38" t="s">
        <v>852</v>
      </c>
    </row>
    <row r="544" spans="1:18" ht="15.75" customHeight="1" thickBot="1" x14ac:dyDescent="0.35">
      <c r="A544" s="234" t="s">
        <v>2165</v>
      </c>
      <c r="B544" s="172"/>
      <c r="C544" s="172"/>
      <c r="D544" s="172"/>
      <c r="E544" s="38" t="s">
        <v>852</v>
      </c>
      <c r="F544" s="172"/>
      <c r="G544" s="172"/>
      <c r="H544" s="172"/>
      <c r="I544" s="38" t="s">
        <v>852</v>
      </c>
      <c r="J544" s="172"/>
      <c r="K544" s="172"/>
      <c r="L544" s="172"/>
      <c r="M544" s="38" t="s">
        <v>852</v>
      </c>
      <c r="N544" s="172"/>
      <c r="O544" s="172"/>
      <c r="P544" s="172"/>
      <c r="Q544" s="38" t="s">
        <v>852</v>
      </c>
      <c r="R544" s="38" t="s">
        <v>852</v>
      </c>
    </row>
    <row r="545" spans="1:18" ht="16.5" customHeight="1" thickBot="1" x14ac:dyDescent="0.35">
      <c r="A545" s="43" t="s">
        <v>1219</v>
      </c>
      <c r="B545" s="45">
        <f>SUM(B542:B544)</f>
        <v>0</v>
      </c>
      <c r="C545" s="46">
        <f>SUM(C542:C544)</f>
        <v>0</v>
      </c>
      <c r="D545" s="46">
        <f>SUM(D542:D544)</f>
        <v>0</v>
      </c>
      <c r="E545" s="37">
        <f>SUM(B545:D545)</f>
        <v>0</v>
      </c>
      <c r="F545" s="46">
        <f>SUM(F542:F544)</f>
        <v>0</v>
      </c>
      <c r="G545" s="46">
        <f>SUM(G542:G544)</f>
        <v>0</v>
      </c>
      <c r="H545" s="46">
        <f>SUM(H542:H544)</f>
        <v>0</v>
      </c>
      <c r="I545" s="37">
        <f>SUM(F545:H545)</f>
        <v>0</v>
      </c>
      <c r="J545" s="46">
        <f>SUM(J542:J544)</f>
        <v>0</v>
      </c>
      <c r="K545" s="46">
        <f>SUM(K542:K544)</f>
        <v>0</v>
      </c>
      <c r="L545" s="46">
        <f>SUM(L542:L544)</f>
        <v>0</v>
      </c>
      <c r="M545" s="37">
        <f>SUM(J545:L545)</f>
        <v>0</v>
      </c>
      <c r="N545" s="46">
        <f>SUM(N542:N544)</f>
        <v>0</v>
      </c>
      <c r="O545" s="46">
        <f>SUM(O542:O544)</f>
        <v>0</v>
      </c>
      <c r="P545" s="46">
        <f>SUM(P542:P544)</f>
        <v>0</v>
      </c>
      <c r="Q545" s="37">
        <f>SUM(N545:P545)</f>
        <v>0</v>
      </c>
      <c r="R545" s="37">
        <f>+E545+I545+M545+Q545</f>
        <v>0</v>
      </c>
    </row>
    <row r="546" spans="1:18" ht="15.75" customHeight="1" x14ac:dyDescent="0.3">
      <c r="A546" s="234" t="s">
        <v>2166</v>
      </c>
      <c r="B546" s="172"/>
      <c r="C546" s="172"/>
      <c r="D546" s="172"/>
      <c r="E546" s="38" t="s">
        <v>852</v>
      </c>
      <c r="F546" s="172"/>
      <c r="G546" s="172"/>
      <c r="H546" s="172"/>
      <c r="I546" s="38" t="s">
        <v>852</v>
      </c>
      <c r="J546" s="172"/>
      <c r="K546" s="172"/>
      <c r="L546" s="172"/>
      <c r="M546" s="38" t="s">
        <v>852</v>
      </c>
      <c r="N546" s="172"/>
      <c r="O546" s="172"/>
      <c r="P546" s="172"/>
      <c r="Q546" s="38" t="s">
        <v>852</v>
      </c>
      <c r="R546" s="38" t="s">
        <v>852</v>
      </c>
    </row>
    <row r="547" spans="1:18" ht="15.75" customHeight="1" x14ac:dyDescent="0.3">
      <c r="A547" s="234" t="s">
        <v>1245</v>
      </c>
      <c r="B547" s="172"/>
      <c r="C547" s="172"/>
      <c r="D547" s="172"/>
      <c r="E547" s="38" t="s">
        <v>852</v>
      </c>
      <c r="F547" s="172"/>
      <c r="G547" s="172"/>
      <c r="H547" s="172"/>
      <c r="I547" s="38" t="s">
        <v>852</v>
      </c>
      <c r="J547" s="172"/>
      <c r="K547" s="172"/>
      <c r="L547" s="172"/>
      <c r="M547" s="38" t="s">
        <v>852</v>
      </c>
      <c r="N547" s="172"/>
      <c r="O547" s="172"/>
      <c r="P547" s="172"/>
      <c r="Q547" s="38" t="s">
        <v>852</v>
      </c>
      <c r="R547" s="38" t="s">
        <v>852</v>
      </c>
    </row>
    <row r="548" spans="1:18" ht="15.75" customHeight="1" thickBot="1" x14ac:dyDescent="0.35">
      <c r="A548" s="234" t="s">
        <v>1711</v>
      </c>
      <c r="B548" s="172"/>
      <c r="C548" s="172"/>
      <c r="D548" s="172"/>
      <c r="E548" s="38" t="s">
        <v>852</v>
      </c>
      <c r="F548" s="172"/>
      <c r="G548" s="172"/>
      <c r="H548" s="172"/>
      <c r="I548" s="38" t="s">
        <v>852</v>
      </c>
      <c r="J548" s="172"/>
      <c r="K548" s="172"/>
      <c r="L548" s="172"/>
      <c r="M548" s="38" t="s">
        <v>852</v>
      </c>
      <c r="N548" s="172"/>
      <c r="O548" s="172"/>
      <c r="P548" s="172"/>
      <c r="Q548" s="38" t="s">
        <v>852</v>
      </c>
      <c r="R548" s="38" t="s">
        <v>852</v>
      </c>
    </row>
    <row r="549" spans="1:18" ht="16.5" customHeight="1" thickBot="1" x14ac:dyDescent="0.35">
      <c r="A549" s="277" t="s">
        <v>1220</v>
      </c>
      <c r="B549" s="45">
        <f>SUM(B546:B548)</f>
        <v>0</v>
      </c>
      <c r="C549" s="46">
        <f>SUM(C546:C548)</f>
        <v>0</v>
      </c>
      <c r="D549" s="46">
        <f>SUM(D546:D548)</f>
        <v>0</v>
      </c>
      <c r="E549" s="37">
        <f>SUM(B549:D549)</f>
        <v>0</v>
      </c>
      <c r="F549" s="46">
        <f>SUM(F546:F548)</f>
        <v>0</v>
      </c>
      <c r="G549" s="46">
        <f>SUM(G546:G548)</f>
        <v>0</v>
      </c>
      <c r="H549" s="46">
        <f>SUM(H546:H548)</f>
        <v>0</v>
      </c>
      <c r="I549" s="37">
        <f>SUM(F549:H549)</f>
        <v>0</v>
      </c>
      <c r="J549" s="46">
        <f>SUM(J546:J548)</f>
        <v>0</v>
      </c>
      <c r="K549" s="46">
        <f>SUM(K546:K548)</f>
        <v>0</v>
      </c>
      <c r="L549" s="46">
        <f>SUM(L546:L548)</f>
        <v>0</v>
      </c>
      <c r="M549" s="37">
        <f>SUM(J549:L549)</f>
        <v>0</v>
      </c>
      <c r="N549" s="46">
        <f>SUM(N546:N548)</f>
        <v>0</v>
      </c>
      <c r="O549" s="46">
        <f>SUM(O546:O548)</f>
        <v>0</v>
      </c>
      <c r="P549" s="46">
        <f>SUM(P546:P548)</f>
        <v>0</v>
      </c>
      <c r="Q549" s="37">
        <f>SUM(N549:P549)</f>
        <v>0</v>
      </c>
      <c r="R549" s="37">
        <f>+E549+I549+M549+Q549</f>
        <v>0</v>
      </c>
    </row>
    <row r="550" spans="1:18" ht="15.75" customHeight="1" x14ac:dyDescent="0.3">
      <c r="A550" s="234" t="s">
        <v>1712</v>
      </c>
      <c r="B550" s="172"/>
      <c r="C550" s="172"/>
      <c r="D550" s="172"/>
      <c r="E550" s="38" t="s">
        <v>852</v>
      </c>
      <c r="F550" s="172"/>
      <c r="G550" s="172"/>
      <c r="H550" s="172"/>
      <c r="I550" s="38" t="s">
        <v>852</v>
      </c>
      <c r="J550" s="172"/>
      <c r="K550" s="172"/>
      <c r="L550" s="172"/>
      <c r="M550" s="38" t="s">
        <v>852</v>
      </c>
      <c r="N550" s="172"/>
      <c r="O550" s="172"/>
      <c r="P550" s="172"/>
      <c r="Q550" s="38" t="s">
        <v>852</v>
      </c>
      <c r="R550" s="38" t="s">
        <v>852</v>
      </c>
    </row>
    <row r="551" spans="1:18" ht="15.75" customHeight="1" x14ac:dyDescent="0.3">
      <c r="A551" s="234" t="s">
        <v>1021</v>
      </c>
      <c r="B551" s="172"/>
      <c r="C551" s="172"/>
      <c r="D551" s="172"/>
      <c r="E551" s="38" t="s">
        <v>852</v>
      </c>
      <c r="F551" s="172"/>
      <c r="G551" s="172"/>
      <c r="H551" s="172"/>
      <c r="I551" s="38" t="s">
        <v>852</v>
      </c>
      <c r="J551" s="172"/>
      <c r="K551" s="172"/>
      <c r="L551" s="172"/>
      <c r="M551" s="38" t="s">
        <v>852</v>
      </c>
      <c r="N551" s="172"/>
      <c r="O551" s="172"/>
      <c r="P551" s="172"/>
      <c r="Q551" s="38" t="s">
        <v>852</v>
      </c>
      <c r="R551" s="38" t="s">
        <v>852</v>
      </c>
    </row>
    <row r="552" spans="1:18" ht="15.75" customHeight="1" x14ac:dyDescent="0.3">
      <c r="A552" s="234" t="s">
        <v>557</v>
      </c>
      <c r="B552" s="172"/>
      <c r="C552" s="172"/>
      <c r="D552" s="172"/>
      <c r="E552" s="38" t="s">
        <v>852</v>
      </c>
      <c r="F552" s="172"/>
      <c r="G552" s="172"/>
      <c r="H552" s="172"/>
      <c r="I552" s="38" t="s">
        <v>852</v>
      </c>
      <c r="J552" s="172"/>
      <c r="K552" s="172"/>
      <c r="L552" s="172"/>
      <c r="M552" s="38" t="s">
        <v>852</v>
      </c>
      <c r="N552" s="172"/>
      <c r="O552" s="172"/>
      <c r="P552" s="172"/>
      <c r="Q552" s="38" t="s">
        <v>852</v>
      </c>
      <c r="R552" s="38" t="s">
        <v>852</v>
      </c>
    </row>
    <row r="553" spans="1:18" ht="15.75" customHeight="1" x14ac:dyDescent="0.3">
      <c r="A553" s="539" t="s">
        <v>2584</v>
      </c>
      <c r="B553" s="172"/>
      <c r="C553" s="172"/>
      <c r="D553" s="172"/>
      <c r="E553" s="38">
        <f>SUM(B553:D553)</f>
        <v>0</v>
      </c>
      <c r="F553" s="172"/>
      <c r="G553" s="172"/>
      <c r="H553" s="172"/>
      <c r="I553" s="38">
        <f>SUM(F553:H553)</f>
        <v>0</v>
      </c>
      <c r="J553" s="172"/>
      <c r="K553" s="172"/>
      <c r="L553" s="172"/>
      <c r="M553" s="38">
        <f>SUM(J553:L553)</f>
        <v>0</v>
      </c>
      <c r="N553" s="172"/>
      <c r="O553" s="172"/>
      <c r="P553" s="172"/>
      <c r="Q553" s="38">
        <f>SUM(N553:P553)</f>
        <v>0</v>
      </c>
      <c r="R553" s="38">
        <f>+E553+I553+M553+Q553</f>
        <v>0</v>
      </c>
    </row>
    <row r="554" spans="1:18" ht="15.75" customHeight="1" x14ac:dyDescent="0.3">
      <c r="A554" s="234" t="s">
        <v>1022</v>
      </c>
      <c r="B554" s="172"/>
      <c r="C554" s="172"/>
      <c r="D554" s="172"/>
      <c r="E554" s="38" t="s">
        <v>852</v>
      </c>
      <c r="F554" s="172"/>
      <c r="G554" s="172"/>
      <c r="H554" s="172"/>
      <c r="I554" s="38" t="s">
        <v>852</v>
      </c>
      <c r="J554" s="172"/>
      <c r="K554" s="172"/>
      <c r="L554" s="172"/>
      <c r="M554" s="38" t="s">
        <v>852</v>
      </c>
      <c r="N554" s="172"/>
      <c r="O554" s="172"/>
      <c r="P554" s="172"/>
      <c r="Q554" s="38" t="s">
        <v>852</v>
      </c>
      <c r="R554" s="38" t="s">
        <v>852</v>
      </c>
    </row>
    <row r="555" spans="1:18" ht="15.75" customHeight="1" thickBot="1" x14ac:dyDescent="0.35">
      <c r="A555" s="234" t="s">
        <v>559</v>
      </c>
      <c r="B555" s="172"/>
      <c r="C555" s="172"/>
      <c r="D555" s="172"/>
      <c r="E555" s="38" t="s">
        <v>852</v>
      </c>
      <c r="F555" s="172"/>
      <c r="G555" s="172"/>
      <c r="H555" s="172"/>
      <c r="I555" s="38" t="s">
        <v>852</v>
      </c>
      <c r="J555" s="172"/>
      <c r="K555" s="172"/>
      <c r="L555" s="172"/>
      <c r="M555" s="38" t="s">
        <v>852</v>
      </c>
      <c r="N555" s="172"/>
      <c r="O555" s="172"/>
      <c r="P555" s="172"/>
      <c r="Q555" s="38" t="s">
        <v>852</v>
      </c>
      <c r="R555" s="38" t="s">
        <v>852</v>
      </c>
    </row>
    <row r="556" spans="1:18" ht="16.5" customHeight="1" thickBot="1" x14ac:dyDescent="0.35">
      <c r="A556" s="43" t="s">
        <v>1019</v>
      </c>
      <c r="B556" s="42">
        <f>SUM(B554:B555)</f>
        <v>0</v>
      </c>
      <c r="C556" s="42">
        <f>SUM(C554:C555)</f>
        <v>0</v>
      </c>
      <c r="D556" s="42">
        <f>SUM(D554:D555)</f>
        <v>0</v>
      </c>
      <c r="E556" s="39">
        <f>SUM(B556:D556)</f>
        <v>0</v>
      </c>
      <c r="F556" s="42">
        <f>SUM(F554:F555)</f>
        <v>0</v>
      </c>
      <c r="G556" s="42">
        <f>SUM(G554:G555)</f>
        <v>0</v>
      </c>
      <c r="H556" s="42">
        <f>SUM(H554:H555)</f>
        <v>0</v>
      </c>
      <c r="I556" s="39">
        <f>SUM(F556:H556)</f>
        <v>0</v>
      </c>
      <c r="J556" s="42">
        <f>SUM(J554:J555)</f>
        <v>0</v>
      </c>
      <c r="K556" s="42">
        <f>SUM(K554:K555)</f>
        <v>0</v>
      </c>
      <c r="L556" s="42">
        <f>SUM(L554:L555)</f>
        <v>0</v>
      </c>
      <c r="M556" s="39">
        <f>SUM(J556:L556)</f>
        <v>0</v>
      </c>
      <c r="N556" s="42">
        <f>SUM(N554:N555)</f>
        <v>0</v>
      </c>
      <c r="O556" s="42">
        <f>SUM(O554:O555)</f>
        <v>0</v>
      </c>
      <c r="P556" s="42">
        <f>SUM(P554:P555)</f>
        <v>0</v>
      </c>
      <c r="Q556" s="39">
        <f>SUM(N556:P556)</f>
        <v>0</v>
      </c>
      <c r="R556" s="37">
        <f>+E556+I556+M556+Q556</f>
        <v>0</v>
      </c>
    </row>
    <row r="557" spans="1:18" ht="16.5" customHeight="1" thickBot="1" x14ac:dyDescent="0.35">
      <c r="A557" s="277" t="s">
        <v>1221</v>
      </c>
      <c r="B557" s="45">
        <f>SUM(B550:B555)</f>
        <v>0</v>
      </c>
      <c r="C557" s="46">
        <f>SUM(C550:C555)</f>
        <v>0</v>
      </c>
      <c r="D557" s="58">
        <f>SUM(D550:D555)</f>
        <v>0</v>
      </c>
      <c r="E557" s="39">
        <f>SUM(B557:D557)</f>
        <v>0</v>
      </c>
      <c r="F557" s="46">
        <f>SUM(F550:F555)</f>
        <v>0</v>
      </c>
      <c r="G557" s="46">
        <f>SUM(G550:G555)</f>
        <v>0</v>
      </c>
      <c r="H557" s="46">
        <f>SUM(H550:H555)</f>
        <v>0</v>
      </c>
      <c r="I557" s="39">
        <f>SUM(F557:H557)</f>
        <v>0</v>
      </c>
      <c r="J557" s="46">
        <f>SUM(J550:J555)</f>
        <v>0</v>
      </c>
      <c r="K557" s="46">
        <f>SUM(K550:K555)</f>
        <v>0</v>
      </c>
      <c r="L557" s="46">
        <f>SUM(L550:L555)</f>
        <v>0</v>
      </c>
      <c r="M557" s="39">
        <f>SUM(J557:L557)</f>
        <v>0</v>
      </c>
      <c r="N557" s="46">
        <f>SUM(N550:N555)</f>
        <v>0</v>
      </c>
      <c r="O557" s="46">
        <f>SUM(O550:O555)</f>
        <v>0</v>
      </c>
      <c r="P557" s="46">
        <f>SUM(P550:P555)</f>
        <v>0</v>
      </c>
      <c r="Q557" s="39">
        <f>SUM(N557:P557)</f>
        <v>0</v>
      </c>
      <c r="R557" s="37">
        <f>+E557+I557+M557+Q557</f>
        <v>0</v>
      </c>
    </row>
    <row r="558" spans="1:18" ht="16.5" customHeight="1" thickBot="1" x14ac:dyDescent="0.35">
      <c r="A558" s="43" t="s">
        <v>1222</v>
      </c>
      <c r="B558" s="47">
        <f>+B541+B545+B549+B557</f>
        <v>0</v>
      </c>
      <c r="C558" s="42">
        <f>+C541+C545+C549+C557</f>
        <v>0</v>
      </c>
      <c r="D558" s="42">
        <f>+D541+D545+D549+D557</f>
        <v>281</v>
      </c>
      <c r="E558" s="37">
        <f>SUM(B558:D558)</f>
        <v>281</v>
      </c>
      <c r="F558" s="42">
        <f>+F541+F545+F549+F557</f>
        <v>2075</v>
      </c>
      <c r="G558" s="42">
        <f>+G541+G545+G549+G557</f>
        <v>2143</v>
      </c>
      <c r="H558" s="42">
        <f>+H541+H545+H549+H557</f>
        <v>2386</v>
      </c>
      <c r="I558" s="37">
        <f>SUM(F558:H558)</f>
        <v>6604</v>
      </c>
      <c r="J558" s="42">
        <f>+J541+J545+J549+J557</f>
        <v>2996</v>
      </c>
      <c r="K558" s="42">
        <f>+K541+K545+K549+K557</f>
        <v>2103</v>
      </c>
      <c r="L558" s="42">
        <f>+L541+L545+L549+L557</f>
        <v>1123</v>
      </c>
      <c r="M558" s="37">
        <f>SUM(J558:L558)</f>
        <v>6222</v>
      </c>
      <c r="N558" s="42">
        <f>+N541+N545+N549+N557</f>
        <v>374</v>
      </c>
      <c r="O558" s="42">
        <f>+O541+O545+O549+O557</f>
        <v>174</v>
      </c>
      <c r="P558" s="42">
        <f>+P541+P545+P549+P557</f>
        <v>374</v>
      </c>
      <c r="Q558" s="37">
        <f>SUM(N558:P558)</f>
        <v>922</v>
      </c>
      <c r="R558" s="40">
        <f>+E558+I558+M558+Q558</f>
        <v>14029</v>
      </c>
    </row>
    <row r="559" spans="1:18" ht="16.5" customHeight="1" thickBot="1" x14ac:dyDescent="0.35">
      <c r="A559" s="244" t="s">
        <v>853</v>
      </c>
      <c r="B559" s="238">
        <v>10</v>
      </c>
      <c r="C559" s="238">
        <v>11</v>
      </c>
      <c r="D559" s="238">
        <v>14</v>
      </c>
      <c r="E559" s="38">
        <f>SUM(B559:D559)</f>
        <v>35</v>
      </c>
      <c r="F559" s="238">
        <v>18</v>
      </c>
      <c r="G559" s="238">
        <v>21</v>
      </c>
      <c r="H559" s="238">
        <v>22</v>
      </c>
      <c r="I559" s="38">
        <f>SUM(F559:H559)</f>
        <v>61</v>
      </c>
      <c r="J559" s="238">
        <v>19</v>
      </c>
      <c r="K559" s="238">
        <v>17</v>
      </c>
      <c r="L559" s="238">
        <v>17</v>
      </c>
      <c r="M559" s="38">
        <f>SUM(J559:L559)</f>
        <v>53</v>
      </c>
      <c r="N559" s="238">
        <v>14</v>
      </c>
      <c r="O559" s="238">
        <v>11</v>
      </c>
      <c r="P559" s="238">
        <v>9</v>
      </c>
      <c r="Q559" s="38">
        <f>SUM(N559:P559)</f>
        <v>34</v>
      </c>
      <c r="R559" s="38">
        <f>+E559+I559+M559+Q559</f>
        <v>183</v>
      </c>
    </row>
    <row r="560" spans="1:18" ht="16.5" customHeight="1" thickBot="1" x14ac:dyDescent="0.35">
      <c r="A560" s="22"/>
      <c r="B560" s="242"/>
      <c r="C560" s="242"/>
      <c r="D560" s="242"/>
      <c r="E560" s="233"/>
      <c r="F560" s="242"/>
      <c r="G560" s="242"/>
      <c r="H560" s="242"/>
      <c r="I560" s="233"/>
      <c r="J560" s="242"/>
      <c r="K560" s="242"/>
      <c r="L560" s="242"/>
      <c r="M560" s="280"/>
      <c r="N560" s="242"/>
      <c r="O560" s="242"/>
      <c r="P560" s="242"/>
      <c r="Q560" s="280"/>
      <c r="R560" s="14"/>
    </row>
    <row r="561" spans="1:18" ht="15.75" customHeight="1" x14ac:dyDescent="0.3">
      <c r="A561" s="234" t="s">
        <v>120</v>
      </c>
      <c r="B561" s="172">
        <f>SUM(B558:B559)</f>
        <v>10</v>
      </c>
      <c r="C561" s="172">
        <f>SUM(C558:C559)</f>
        <v>11</v>
      </c>
      <c r="D561" s="172">
        <f>SUM(D558:D559)</f>
        <v>295</v>
      </c>
      <c r="E561" s="38">
        <f>SUM(B561:D561)</f>
        <v>316</v>
      </c>
      <c r="F561" s="172">
        <f>SUM(F558:F559)</f>
        <v>2093</v>
      </c>
      <c r="G561" s="172">
        <f>SUM(G558:G559)</f>
        <v>2164</v>
      </c>
      <c r="H561" s="172">
        <f>SUM(H558:H559)</f>
        <v>2408</v>
      </c>
      <c r="I561" s="39">
        <f>SUM(F561:H561)</f>
        <v>6665</v>
      </c>
      <c r="J561" s="172">
        <f>SUM(J558:J559)</f>
        <v>3015</v>
      </c>
      <c r="K561" s="172">
        <f>SUM(K558:K559)</f>
        <v>2120</v>
      </c>
      <c r="L561" s="172">
        <f>SUM(L558:L559)</f>
        <v>1140</v>
      </c>
      <c r="M561" s="39">
        <f>SUM(J561:L561)</f>
        <v>6275</v>
      </c>
      <c r="N561" s="172">
        <f>SUM(N558:N559)</f>
        <v>388</v>
      </c>
      <c r="O561" s="172">
        <f>SUM(O558:O559)</f>
        <v>185</v>
      </c>
      <c r="P561" s="172">
        <f>SUM(P558:P559)</f>
        <v>383</v>
      </c>
      <c r="Q561" s="39">
        <f>SUM(N561:P561)</f>
        <v>956</v>
      </c>
      <c r="R561" s="39">
        <f>+E561+I561+M561+Q561</f>
        <v>14212</v>
      </c>
    </row>
    <row r="562" spans="1:18" ht="15.75" customHeight="1" x14ac:dyDescent="0.3">
      <c r="A562" s="234" t="s">
        <v>1897</v>
      </c>
      <c r="B562" s="172">
        <f>(B561/31)/1.983</f>
        <v>0.16267304344996988</v>
      </c>
      <c r="C562" s="172">
        <f>(C561/28)/1.983</f>
        <v>0.19811252791585618</v>
      </c>
      <c r="D562" s="172">
        <f>(D561/31)/1.983</f>
        <v>4.7988547817741116</v>
      </c>
      <c r="E562" s="38" t="s">
        <v>852</v>
      </c>
      <c r="F562" s="172">
        <f>(F561/30)/1.983</f>
        <v>35.182383593881319</v>
      </c>
      <c r="G562" s="172">
        <f>(G561/31)/1.983</f>
        <v>35.202446602573488</v>
      </c>
      <c r="H562" s="172">
        <f>(H561/30)/1.983</f>
        <v>40.477391158177845</v>
      </c>
      <c r="I562" s="38" t="s">
        <v>852</v>
      </c>
      <c r="J562" s="172">
        <f>(J561/31)/1.983</f>
        <v>49.04592260016593</v>
      </c>
      <c r="K562" s="172">
        <f>(K561/31)/1.983</f>
        <v>34.48668521139362</v>
      </c>
      <c r="L562" s="172">
        <f>(L561/30)/1.983</f>
        <v>19.162884518406454</v>
      </c>
      <c r="M562" s="38" t="s">
        <v>852</v>
      </c>
      <c r="N562" s="172">
        <f>(N561/31)/1.983</f>
        <v>6.3117140858588314</v>
      </c>
      <c r="O562" s="172">
        <f>(O561/30)/1.983</f>
        <v>3.1097663472852579</v>
      </c>
      <c r="P562" s="172">
        <f>(P561/31)/1.983</f>
        <v>6.230377564133847</v>
      </c>
      <c r="Q562" s="38" t="s">
        <v>852</v>
      </c>
      <c r="R562" s="38" t="s">
        <v>852</v>
      </c>
    </row>
    <row r="563" spans="1:18" ht="15.75" customHeight="1" x14ac:dyDescent="0.3">
      <c r="A563" s="234" t="s">
        <v>1334</v>
      </c>
      <c r="B563" s="172">
        <f>B561+B606</f>
        <v>15414</v>
      </c>
      <c r="C563" s="172">
        <f>C561+C606</f>
        <v>18440</v>
      </c>
      <c r="D563" s="172">
        <f>D561+D606</f>
        <v>20031</v>
      </c>
      <c r="E563" s="38">
        <f>SUM(B563:D563)</f>
        <v>53885</v>
      </c>
      <c r="F563" s="172">
        <f>F561+F606</f>
        <v>20756</v>
      </c>
      <c r="G563" s="172">
        <f>G561+G606</f>
        <v>22191</v>
      </c>
      <c r="H563" s="172">
        <f>H561+H606</f>
        <v>17950</v>
      </c>
      <c r="I563" s="38">
        <f>SUM(F563:H563)</f>
        <v>60897</v>
      </c>
      <c r="J563" s="172">
        <f>J561+J606</f>
        <v>17048</v>
      </c>
      <c r="K563" s="172">
        <f>K561+K606</f>
        <v>16553</v>
      </c>
      <c r="L563" s="172">
        <f>L561+L606</f>
        <v>16128</v>
      </c>
      <c r="M563" s="38">
        <f>SUM(J563:L563)</f>
        <v>49729</v>
      </c>
      <c r="N563" s="172">
        <f>N561+N606</f>
        <v>11216</v>
      </c>
      <c r="O563" s="172">
        <f>O561+O606</f>
        <v>7245</v>
      </c>
      <c r="P563" s="172">
        <f>P561+P606</f>
        <v>14572</v>
      </c>
      <c r="Q563" s="38">
        <f>SUM(N563:P563)</f>
        <v>33033</v>
      </c>
      <c r="R563" s="38">
        <f>+E563+I563+M563+Q563</f>
        <v>197544</v>
      </c>
    </row>
    <row r="564" spans="1:18" ht="16.5" customHeight="1" thickBot="1" x14ac:dyDescent="0.35">
      <c r="A564" s="237" t="s">
        <v>1335</v>
      </c>
      <c r="B564" s="238">
        <f>(B563/31)/1.983</f>
        <v>250.74422917378362</v>
      </c>
      <c r="C564" s="238">
        <f>(C563/28)/1.983</f>
        <v>332.10863770621711</v>
      </c>
      <c r="D564" s="238">
        <f>(D563/31)/1.983</f>
        <v>325.8503733346347</v>
      </c>
      <c r="E564" s="40" t="s">
        <v>852</v>
      </c>
      <c r="F564" s="238">
        <f>(F563/30)/1.983</f>
        <v>348.89897461758278</v>
      </c>
      <c r="G564" s="238">
        <f>(G563/31)/1.983</f>
        <v>360.98775071982823</v>
      </c>
      <c r="H564" s="238">
        <f>(H563/30)/1.983</f>
        <v>301.73138342578585</v>
      </c>
      <c r="I564" s="40" t="s">
        <v>852</v>
      </c>
      <c r="J564" s="238">
        <f>(J563/31)/1.983</f>
        <v>277.32500447350867</v>
      </c>
      <c r="K564" s="238">
        <f>(K563/31)/1.983</f>
        <v>269.27268882273518</v>
      </c>
      <c r="L564" s="238">
        <f>(L563/30)/1.983</f>
        <v>271.10438729198182</v>
      </c>
      <c r="M564" s="40" t="s">
        <v>852</v>
      </c>
      <c r="N564" s="238">
        <f>(N563/31)/1.983</f>
        <v>182.45408553348625</v>
      </c>
      <c r="O564" s="238">
        <f>(O563/30)/1.983</f>
        <v>121.78517397881997</v>
      </c>
      <c r="P564" s="238">
        <f>(P563/31)/1.983</f>
        <v>237.04715891529614</v>
      </c>
      <c r="Q564" s="40" t="s">
        <v>852</v>
      </c>
      <c r="R564" s="40" t="s">
        <v>852</v>
      </c>
    </row>
    <row r="565" spans="1:18" ht="15.75" customHeight="1" x14ac:dyDescent="0.3">
      <c r="A565" s="17"/>
      <c r="B565" s="172"/>
      <c r="C565" s="172"/>
      <c r="D565" s="172"/>
      <c r="E565" s="172"/>
      <c r="F565" s="172"/>
      <c r="G565" s="172"/>
      <c r="H565" s="172"/>
      <c r="I565" s="172"/>
      <c r="J565" s="172"/>
      <c r="K565" s="172"/>
      <c r="L565" s="172"/>
      <c r="M565" s="172"/>
      <c r="N565" s="172"/>
      <c r="O565" s="172"/>
      <c r="P565" s="172"/>
      <c r="Q565" s="172"/>
      <c r="R565" s="17"/>
    </row>
    <row r="566" spans="1:18" ht="16.5" customHeight="1" thickBot="1" x14ac:dyDescent="0.35">
      <c r="A566" s="24"/>
      <c r="B566" s="238"/>
      <c r="C566" s="238"/>
      <c r="D566" s="238"/>
      <c r="E566" s="238"/>
      <c r="F566" s="238"/>
      <c r="G566" s="238"/>
      <c r="H566" s="238"/>
      <c r="I566" s="238"/>
      <c r="J566" s="238"/>
      <c r="K566" s="238"/>
      <c r="L566" s="238"/>
      <c r="M566" s="238"/>
      <c r="N566" s="238"/>
      <c r="O566" s="238"/>
      <c r="P566" s="238"/>
      <c r="Q566" s="238"/>
      <c r="R566" s="24"/>
    </row>
    <row r="567" spans="1:18" ht="15.75" customHeight="1" thickBot="1" x14ac:dyDescent="0.35">
      <c r="A567" s="274" t="s">
        <v>1772</v>
      </c>
      <c r="B567" s="25" t="s">
        <v>2090</v>
      </c>
      <c r="C567" s="26" t="s">
        <v>2091</v>
      </c>
      <c r="D567" s="26" t="s">
        <v>2234</v>
      </c>
      <c r="E567" s="33" t="s">
        <v>1594</v>
      </c>
      <c r="F567" s="26" t="s">
        <v>2235</v>
      </c>
      <c r="G567" s="26" t="s">
        <v>2236</v>
      </c>
      <c r="H567" s="26" t="s">
        <v>2237</v>
      </c>
      <c r="I567" s="33" t="s">
        <v>1595</v>
      </c>
      <c r="J567" s="26" t="s">
        <v>1504</v>
      </c>
      <c r="K567" s="26" t="s">
        <v>1505</v>
      </c>
      <c r="L567" s="26" t="s">
        <v>1506</v>
      </c>
      <c r="M567" s="33" t="s">
        <v>1596</v>
      </c>
      <c r="N567" s="26" t="s">
        <v>1507</v>
      </c>
      <c r="O567" s="26" t="s">
        <v>1508</v>
      </c>
      <c r="P567" s="26" t="s">
        <v>1509</v>
      </c>
      <c r="Q567" s="33" t="s">
        <v>1597</v>
      </c>
      <c r="R567" s="34" t="s">
        <v>1510</v>
      </c>
    </row>
    <row r="568" spans="1:18" ht="16.5" customHeight="1" thickBot="1" x14ac:dyDescent="0.35">
      <c r="A568" s="281"/>
      <c r="B568" s="232"/>
      <c r="C568" s="232"/>
      <c r="D568" s="232"/>
      <c r="E568" s="233"/>
      <c r="F568" s="232"/>
      <c r="G568" s="232"/>
      <c r="H568" s="232"/>
      <c r="I568" s="233"/>
      <c r="J568" s="232"/>
      <c r="K568" s="232"/>
      <c r="L568" s="232"/>
      <c r="M568" s="233"/>
      <c r="N568" s="232"/>
      <c r="O568" s="232"/>
      <c r="P568" s="232"/>
      <c r="Q568" s="233"/>
      <c r="R568" s="75"/>
    </row>
    <row r="569" spans="1:18" ht="15.75" customHeight="1" x14ac:dyDescent="0.3">
      <c r="A569" s="234" t="s">
        <v>2417</v>
      </c>
      <c r="B569" s="172" t="s">
        <v>852</v>
      </c>
      <c r="C569" s="172" t="s">
        <v>852</v>
      </c>
      <c r="D569" s="172" t="s">
        <v>852</v>
      </c>
      <c r="E569" s="38" t="s">
        <v>852</v>
      </c>
      <c r="F569" s="172" t="s">
        <v>852</v>
      </c>
      <c r="G569" s="172" t="s">
        <v>852</v>
      </c>
      <c r="H569" s="172" t="s">
        <v>852</v>
      </c>
      <c r="I569" s="38" t="s">
        <v>852</v>
      </c>
      <c r="J569" s="172" t="s">
        <v>852</v>
      </c>
      <c r="K569" s="172" t="s">
        <v>852</v>
      </c>
      <c r="L569" s="172" t="s">
        <v>852</v>
      </c>
      <c r="M569" s="38" t="s">
        <v>852</v>
      </c>
      <c r="N569" s="172" t="s">
        <v>852</v>
      </c>
      <c r="O569" s="172" t="s">
        <v>852</v>
      </c>
      <c r="P569" s="172" t="s">
        <v>852</v>
      </c>
      <c r="Q569" s="38" t="s">
        <v>852</v>
      </c>
      <c r="R569" s="38" t="s">
        <v>852</v>
      </c>
    </row>
    <row r="570" spans="1:18" ht="15.75" customHeight="1" x14ac:dyDescent="0.3">
      <c r="A570" s="234" t="s">
        <v>2160</v>
      </c>
      <c r="B570" s="172"/>
      <c r="C570" s="172"/>
      <c r="D570" s="172"/>
      <c r="E570" s="38" t="s">
        <v>852</v>
      </c>
      <c r="F570" s="172"/>
      <c r="G570" s="172"/>
      <c r="H570" s="172"/>
      <c r="I570" s="38" t="s">
        <v>852</v>
      </c>
      <c r="J570" s="172"/>
      <c r="K570" s="172"/>
      <c r="L570" s="172"/>
      <c r="M570" s="38" t="s">
        <v>852</v>
      </c>
      <c r="N570" s="172"/>
      <c r="O570" s="172"/>
      <c r="P570" s="172"/>
      <c r="Q570" s="38" t="s">
        <v>852</v>
      </c>
      <c r="R570" s="38" t="s">
        <v>852</v>
      </c>
    </row>
    <row r="571" spans="1:18" ht="15.75" customHeight="1" x14ac:dyDescent="0.3">
      <c r="A571" s="266" t="s">
        <v>2171</v>
      </c>
      <c r="B571" s="10">
        <v>5668</v>
      </c>
      <c r="C571" s="10">
        <v>6767</v>
      </c>
      <c r="D571" s="10">
        <v>6737</v>
      </c>
      <c r="E571" s="38">
        <f>SUM(B571:D571)</f>
        <v>19172</v>
      </c>
      <c r="F571" s="10">
        <f>6219</f>
        <v>6219</v>
      </c>
      <c r="G571" s="10">
        <f>5821</f>
        <v>5821</v>
      </c>
      <c r="H571" s="10">
        <v>4906</v>
      </c>
      <c r="I571" s="38">
        <f>SUM(F571:H571)</f>
        <v>16946</v>
      </c>
      <c r="J571" s="10">
        <v>3597</v>
      </c>
      <c r="K571" s="10">
        <v>4321</v>
      </c>
      <c r="L571" s="10">
        <v>6108</v>
      </c>
      <c r="M571" s="38">
        <f>SUM(J571:L571)</f>
        <v>14026</v>
      </c>
      <c r="N571" s="10">
        <v>4609</v>
      </c>
      <c r="O571" s="10">
        <v>3096</v>
      </c>
      <c r="P571" s="10">
        <v>6203</v>
      </c>
      <c r="Q571" s="38">
        <f>SUM(N571:P571)</f>
        <v>13908</v>
      </c>
      <c r="R571" s="38">
        <f>+E571+I571+M571+Q571</f>
        <v>64052</v>
      </c>
    </row>
    <row r="572" spans="1:18" ht="15.75" customHeight="1" x14ac:dyDescent="0.3">
      <c r="A572" s="266" t="s">
        <v>2146</v>
      </c>
      <c r="B572" s="172">
        <v>4570</v>
      </c>
      <c r="C572" s="172">
        <v>4338</v>
      </c>
      <c r="D572" s="172">
        <v>5209</v>
      </c>
      <c r="E572" s="38">
        <f>SUM(B572:D572)</f>
        <v>14117</v>
      </c>
      <c r="F572" s="172">
        <v>4961</v>
      </c>
      <c r="G572" s="172">
        <v>5284</v>
      </c>
      <c r="H572" s="172">
        <v>5289</v>
      </c>
      <c r="I572" s="38">
        <f>SUM(F572:H572)</f>
        <v>15534</v>
      </c>
      <c r="J572" s="172">
        <v>3626</v>
      </c>
      <c r="K572" s="172">
        <v>4307</v>
      </c>
      <c r="L572" s="172">
        <v>3675</v>
      </c>
      <c r="M572" s="38">
        <f>SUM(J572:L572)</f>
        <v>11608</v>
      </c>
      <c r="N572" s="172">
        <v>1574</v>
      </c>
      <c r="O572" s="172">
        <v>1009</v>
      </c>
      <c r="P572" s="172"/>
      <c r="Q572" s="38">
        <f>SUM(N572:P572)</f>
        <v>2583</v>
      </c>
      <c r="R572" s="38">
        <f>+E572+I572+M572+Q572</f>
        <v>43842</v>
      </c>
    </row>
    <row r="573" spans="1:18" ht="15.75" customHeight="1" x14ac:dyDescent="0.3">
      <c r="A573" s="539" t="s">
        <v>2596</v>
      </c>
      <c r="B573" s="172">
        <v>200</v>
      </c>
      <c r="C573" s="172">
        <v>200</v>
      </c>
      <c r="D573" s="172">
        <v>160</v>
      </c>
      <c r="E573" s="38">
        <f>SUM(B573:D573)</f>
        <v>560</v>
      </c>
      <c r="F573" s="172">
        <v>160</v>
      </c>
      <c r="G573" s="172">
        <v>160</v>
      </c>
      <c r="H573" s="172">
        <v>160</v>
      </c>
      <c r="I573" s="38">
        <f>SUM(F573:H573)</f>
        <v>480</v>
      </c>
      <c r="J573" s="172">
        <v>160</v>
      </c>
      <c r="K573" s="172">
        <v>160</v>
      </c>
      <c r="L573" s="172">
        <v>160</v>
      </c>
      <c r="M573" s="38">
        <f>SUM(J573:L573)</f>
        <v>480</v>
      </c>
      <c r="N573" s="172">
        <v>160</v>
      </c>
      <c r="O573" s="172">
        <v>160</v>
      </c>
      <c r="P573" s="172">
        <v>160</v>
      </c>
      <c r="Q573" s="38">
        <f>SUM(N573:P573)</f>
        <v>480</v>
      </c>
      <c r="R573" s="38">
        <f>+E573+I573+M573+Q573</f>
        <v>2000</v>
      </c>
    </row>
    <row r="574" spans="1:18" ht="15.75" customHeight="1" x14ac:dyDescent="0.3">
      <c r="A574" s="234" t="s">
        <v>2161</v>
      </c>
      <c r="B574" s="172"/>
      <c r="C574" s="172"/>
      <c r="D574" s="172"/>
      <c r="E574" s="38" t="s">
        <v>852</v>
      </c>
      <c r="F574" s="172"/>
      <c r="G574" s="172"/>
      <c r="H574" s="172"/>
      <c r="I574" s="38" t="s">
        <v>852</v>
      </c>
      <c r="J574" s="172"/>
      <c r="K574" s="172"/>
      <c r="L574" s="172"/>
      <c r="M574" s="38" t="s">
        <v>852</v>
      </c>
      <c r="N574" s="172"/>
      <c r="O574" s="172"/>
      <c r="P574" s="172"/>
      <c r="Q574" s="38" t="s">
        <v>852</v>
      </c>
      <c r="R574" s="38" t="s">
        <v>852</v>
      </c>
    </row>
    <row r="575" spans="1:18" ht="15.75" customHeight="1" x14ac:dyDescent="0.3">
      <c r="A575" s="234" t="s">
        <v>2162</v>
      </c>
      <c r="B575" s="172"/>
      <c r="C575" s="172"/>
      <c r="D575" s="172"/>
      <c r="E575" s="38" t="s">
        <v>852</v>
      </c>
      <c r="F575" s="172"/>
      <c r="G575" s="172"/>
      <c r="H575" s="172"/>
      <c r="I575" s="38" t="s">
        <v>852</v>
      </c>
      <c r="J575" s="172"/>
      <c r="K575" s="172"/>
      <c r="L575" s="172"/>
      <c r="M575" s="38" t="s">
        <v>852</v>
      </c>
      <c r="N575" s="172"/>
      <c r="O575" s="172"/>
      <c r="P575" s="172"/>
      <c r="Q575" s="38" t="s">
        <v>852</v>
      </c>
      <c r="R575" s="38" t="s">
        <v>852</v>
      </c>
    </row>
    <row r="576" spans="1:18" ht="15.75" customHeight="1" thickBot="1" x14ac:dyDescent="0.35">
      <c r="A576" s="234" t="s">
        <v>2164</v>
      </c>
      <c r="B576" s="172"/>
      <c r="C576" s="172"/>
      <c r="D576" s="172"/>
      <c r="E576" s="38" t="s">
        <v>852</v>
      </c>
      <c r="F576" s="172"/>
      <c r="G576" s="172"/>
      <c r="H576" s="172"/>
      <c r="I576" s="38" t="s">
        <v>852</v>
      </c>
      <c r="J576" s="172"/>
      <c r="K576" s="172"/>
      <c r="L576" s="172"/>
      <c r="M576" s="38" t="s">
        <v>852</v>
      </c>
      <c r="N576" s="172"/>
      <c r="O576" s="172"/>
      <c r="P576" s="172"/>
      <c r="Q576" s="38" t="s">
        <v>852</v>
      </c>
      <c r="R576" s="38" t="s">
        <v>852</v>
      </c>
    </row>
    <row r="577" spans="1:18" ht="16.5" customHeight="1" thickBot="1" x14ac:dyDescent="0.35">
      <c r="A577" s="276" t="s">
        <v>1218</v>
      </c>
      <c r="B577" s="45">
        <f>SUM(B569:B576)</f>
        <v>10438</v>
      </c>
      <c r="C577" s="46">
        <f>SUM(C569:C576)</f>
        <v>11305</v>
      </c>
      <c r="D577" s="46">
        <f>SUM(D569:D576)</f>
        <v>12106</v>
      </c>
      <c r="E577" s="37">
        <f>SUM(B577:D577)</f>
        <v>33849</v>
      </c>
      <c r="F577" s="46">
        <f>SUM(F569:F576)</f>
        <v>11340</v>
      </c>
      <c r="G577" s="46">
        <f>SUM(G569:G576)</f>
        <v>11265</v>
      </c>
      <c r="H577" s="46">
        <f>SUM(H569:H576)</f>
        <v>10355</v>
      </c>
      <c r="I577" s="37">
        <f>SUM(F577:H577)</f>
        <v>32960</v>
      </c>
      <c r="J577" s="46">
        <f>SUM(J569:J576)</f>
        <v>7383</v>
      </c>
      <c r="K577" s="46">
        <f>SUM(K569:K576)</f>
        <v>8788</v>
      </c>
      <c r="L577" s="46">
        <f>SUM(L569:L576)</f>
        <v>9943</v>
      </c>
      <c r="M577" s="37">
        <f>SUM(J577:L577)</f>
        <v>26114</v>
      </c>
      <c r="N577" s="46">
        <f>SUM(N569:N576)</f>
        <v>6343</v>
      </c>
      <c r="O577" s="46">
        <f>SUM(O569:O576)</f>
        <v>4265</v>
      </c>
      <c r="P577" s="46">
        <f>SUM(P569:P576)</f>
        <v>6363</v>
      </c>
      <c r="Q577" s="37">
        <f>SUM(N577:P577)</f>
        <v>16971</v>
      </c>
      <c r="R577" s="37">
        <f>+E577+I577+M577+Q577</f>
        <v>109894</v>
      </c>
    </row>
    <row r="578" spans="1:18" ht="15.75" customHeight="1" x14ac:dyDescent="0.3">
      <c r="A578" s="234" t="s">
        <v>1172</v>
      </c>
      <c r="B578" s="172"/>
      <c r="C578" s="172"/>
      <c r="D578" s="172"/>
      <c r="E578" s="38" t="s">
        <v>852</v>
      </c>
      <c r="F578" s="172"/>
      <c r="G578" s="172"/>
      <c r="H578" s="172"/>
      <c r="I578" s="38" t="s">
        <v>852</v>
      </c>
      <c r="J578" s="172"/>
      <c r="K578" s="172"/>
      <c r="L578" s="172"/>
      <c r="M578" s="38" t="s">
        <v>852</v>
      </c>
      <c r="N578" s="172"/>
      <c r="O578" s="172"/>
      <c r="P578" s="172"/>
      <c r="Q578" s="38" t="s">
        <v>852</v>
      </c>
      <c r="R578" s="38" t="s">
        <v>852</v>
      </c>
    </row>
    <row r="579" spans="1:18" ht="15.75" customHeight="1" x14ac:dyDescent="0.3">
      <c r="A579" s="234" t="s">
        <v>2409</v>
      </c>
      <c r="B579" s="172"/>
      <c r="C579" s="172"/>
      <c r="D579" s="172"/>
      <c r="E579" s="38" t="s">
        <v>852</v>
      </c>
      <c r="F579" s="172"/>
      <c r="G579" s="172"/>
      <c r="H579" s="172"/>
      <c r="I579" s="38" t="s">
        <v>852</v>
      </c>
      <c r="J579" s="172"/>
      <c r="K579" s="172"/>
      <c r="L579" s="172"/>
      <c r="M579" s="38" t="s">
        <v>852</v>
      </c>
      <c r="N579" s="172"/>
      <c r="O579" s="172"/>
      <c r="P579" s="172"/>
      <c r="Q579" s="38" t="s">
        <v>852</v>
      </c>
      <c r="R579" s="38" t="s">
        <v>852</v>
      </c>
    </row>
    <row r="580" spans="1:18" ht="15.75" customHeight="1" thickBot="1" x14ac:dyDescent="0.35">
      <c r="A580" s="234" t="s">
        <v>2165</v>
      </c>
      <c r="B580" s="172"/>
      <c r="C580" s="172"/>
      <c r="D580" s="172"/>
      <c r="E580" s="38" t="s">
        <v>852</v>
      </c>
      <c r="F580" s="172"/>
      <c r="G580" s="172"/>
      <c r="H580" s="172"/>
      <c r="I580" s="38" t="s">
        <v>852</v>
      </c>
      <c r="J580" s="172"/>
      <c r="K580" s="172"/>
      <c r="L580" s="172"/>
      <c r="M580" s="38" t="s">
        <v>852</v>
      </c>
      <c r="N580" s="172"/>
      <c r="O580" s="172"/>
      <c r="P580" s="172"/>
      <c r="Q580" s="38" t="s">
        <v>852</v>
      </c>
      <c r="R580" s="38" t="s">
        <v>852</v>
      </c>
    </row>
    <row r="581" spans="1:18" ht="16.5" customHeight="1" thickBot="1" x14ac:dyDescent="0.35">
      <c r="A581" s="43" t="s">
        <v>1219</v>
      </c>
      <c r="B581" s="45">
        <f>SUM(B578:B580)</f>
        <v>0</v>
      </c>
      <c r="C581" s="46">
        <f>SUM(C578:C580)</f>
        <v>0</v>
      </c>
      <c r="D581" s="46">
        <f>SUM(D578:D580)</f>
        <v>0</v>
      </c>
      <c r="E581" s="37">
        <f>SUM(B581:D581)</f>
        <v>0</v>
      </c>
      <c r="F581" s="46">
        <f>SUM(F578:F580)</f>
        <v>0</v>
      </c>
      <c r="G581" s="46">
        <f>SUM(G578:G580)</f>
        <v>0</v>
      </c>
      <c r="H581" s="46">
        <f>SUM(H578:H580)</f>
        <v>0</v>
      </c>
      <c r="I581" s="37">
        <f>SUM(F581:H581)</f>
        <v>0</v>
      </c>
      <c r="J581" s="46">
        <f>SUM(J578:J580)</f>
        <v>0</v>
      </c>
      <c r="K581" s="46">
        <f>SUM(K578:K580)</f>
        <v>0</v>
      </c>
      <c r="L581" s="46">
        <f>SUM(L578:L580)</f>
        <v>0</v>
      </c>
      <c r="M581" s="37">
        <f>SUM(J581:L581)</f>
        <v>0</v>
      </c>
      <c r="N581" s="46">
        <f>SUM(N578:N580)</f>
        <v>0</v>
      </c>
      <c r="O581" s="46">
        <f>SUM(O578:O580)</f>
        <v>0</v>
      </c>
      <c r="P581" s="46">
        <f>SUM(P578:P580)</f>
        <v>0</v>
      </c>
      <c r="Q581" s="37">
        <f>SUM(N581:P581)</f>
        <v>0</v>
      </c>
      <c r="R581" s="37">
        <f>+E581+I581+M581+Q581</f>
        <v>0</v>
      </c>
    </row>
    <row r="582" spans="1:18" ht="15.75" customHeight="1" x14ac:dyDescent="0.3">
      <c r="A582" s="234" t="s">
        <v>2166</v>
      </c>
      <c r="B582" s="172"/>
      <c r="C582" s="172"/>
      <c r="D582" s="172"/>
      <c r="E582" s="38" t="s">
        <v>852</v>
      </c>
      <c r="F582" s="172"/>
      <c r="G582" s="172"/>
      <c r="H582" s="172"/>
      <c r="I582" s="38" t="s">
        <v>852</v>
      </c>
      <c r="J582" s="172"/>
      <c r="K582" s="172"/>
      <c r="L582" s="172"/>
      <c r="M582" s="38" t="s">
        <v>852</v>
      </c>
      <c r="N582" s="172"/>
      <c r="O582" s="172"/>
      <c r="P582" s="172"/>
      <c r="Q582" s="38" t="s">
        <v>852</v>
      </c>
      <c r="R582" s="38" t="s">
        <v>852</v>
      </c>
    </row>
    <row r="583" spans="1:18" ht="15.75" customHeight="1" x14ac:dyDescent="0.3">
      <c r="A583" s="234" t="s">
        <v>1245</v>
      </c>
      <c r="B583" s="172"/>
      <c r="C583" s="172"/>
      <c r="D583" s="172"/>
      <c r="E583" s="38" t="s">
        <v>852</v>
      </c>
      <c r="F583" s="172"/>
      <c r="G583" s="172"/>
      <c r="H583" s="172"/>
      <c r="I583" s="38" t="s">
        <v>852</v>
      </c>
      <c r="J583" s="172"/>
      <c r="K583" s="172"/>
      <c r="L583" s="172"/>
      <c r="M583" s="38" t="s">
        <v>852</v>
      </c>
      <c r="N583" s="172"/>
      <c r="O583" s="172"/>
      <c r="P583" s="172"/>
      <c r="Q583" s="38" t="s">
        <v>852</v>
      </c>
      <c r="R583" s="38" t="s">
        <v>852</v>
      </c>
    </row>
    <row r="584" spans="1:18" ht="15.75" customHeight="1" x14ac:dyDescent="0.3">
      <c r="A584" s="266" t="s">
        <v>641</v>
      </c>
      <c r="B584" s="172">
        <v>351</v>
      </c>
      <c r="C584" s="172">
        <v>626</v>
      </c>
      <c r="D584" s="172">
        <v>806</v>
      </c>
      <c r="E584" s="38">
        <f>SUM(B584:D584)</f>
        <v>1783</v>
      </c>
      <c r="F584" s="172">
        <v>2016</v>
      </c>
      <c r="G584" s="172">
        <v>1678</v>
      </c>
      <c r="H584" s="172">
        <v>2003</v>
      </c>
      <c r="I584" s="38">
        <f>SUM(F584:H584)</f>
        <v>5697</v>
      </c>
      <c r="J584" s="172">
        <v>2577</v>
      </c>
      <c r="K584" s="172">
        <v>2506</v>
      </c>
      <c r="L584" s="172">
        <v>587</v>
      </c>
      <c r="M584" s="38">
        <f>SUM(J584:L584)</f>
        <v>5670</v>
      </c>
      <c r="N584" s="172">
        <v>231</v>
      </c>
      <c r="O584" s="172">
        <v>0</v>
      </c>
      <c r="P584" s="172">
        <v>514</v>
      </c>
      <c r="Q584" s="38">
        <f>SUM(N584:P584)</f>
        <v>745</v>
      </c>
      <c r="R584" s="38">
        <f>+E584+I584+M584+Q584</f>
        <v>13895</v>
      </c>
    </row>
    <row r="585" spans="1:18" ht="15.75" customHeight="1" x14ac:dyDescent="0.3">
      <c r="A585" s="234" t="s">
        <v>1711</v>
      </c>
      <c r="B585" s="172"/>
      <c r="C585" s="172"/>
      <c r="D585" s="172"/>
      <c r="E585" s="38" t="s">
        <v>852</v>
      </c>
      <c r="F585" s="172"/>
      <c r="G585" s="172"/>
      <c r="H585" s="172"/>
      <c r="I585" s="38" t="s">
        <v>852</v>
      </c>
      <c r="J585" s="172"/>
      <c r="K585" s="172"/>
      <c r="L585" s="172"/>
      <c r="M585" s="38" t="s">
        <v>852</v>
      </c>
      <c r="N585" s="172"/>
      <c r="O585" s="172"/>
      <c r="P585" s="172"/>
      <c r="Q585" s="38" t="s">
        <v>852</v>
      </c>
      <c r="R585" s="38" t="s">
        <v>852</v>
      </c>
    </row>
    <row r="586" spans="1:18" ht="15.75" customHeight="1" x14ac:dyDescent="0.3">
      <c r="A586" s="539" t="s">
        <v>2699</v>
      </c>
      <c r="B586" s="172"/>
      <c r="C586" s="172"/>
      <c r="D586" s="172"/>
      <c r="E586" s="38">
        <f>SUM(B586:D586)</f>
        <v>0</v>
      </c>
      <c r="F586" s="172"/>
      <c r="G586" s="172"/>
      <c r="H586" s="172"/>
      <c r="I586" s="38">
        <f>SUM(F586:H586)</f>
        <v>0</v>
      </c>
      <c r="J586" s="172"/>
      <c r="K586" s="172"/>
      <c r="L586" s="172">
        <v>351</v>
      </c>
      <c r="M586" s="38">
        <f>SUM(J586:L586)</f>
        <v>351</v>
      </c>
      <c r="N586" s="172"/>
      <c r="O586" s="172"/>
      <c r="P586" s="172"/>
      <c r="Q586" s="38">
        <f>SUM(N586:P586)</f>
        <v>0</v>
      </c>
      <c r="R586" s="38">
        <f>+E586+I586+M586+Q586</f>
        <v>351</v>
      </c>
    </row>
    <row r="587" spans="1:18" ht="15.75" customHeight="1" x14ac:dyDescent="0.3">
      <c r="A587" s="539" t="s">
        <v>2701</v>
      </c>
      <c r="B587" s="172"/>
      <c r="C587" s="172"/>
      <c r="D587" s="172"/>
      <c r="E587" s="38">
        <f>SUM(B587:D587)</f>
        <v>0</v>
      </c>
      <c r="F587" s="172"/>
      <c r="G587" s="172"/>
      <c r="H587" s="172">
        <v>307</v>
      </c>
      <c r="I587" s="38">
        <f>SUM(F587:H587)</f>
        <v>307</v>
      </c>
      <c r="J587" s="172">
        <v>500</v>
      </c>
      <c r="K587" s="172"/>
      <c r="L587" s="172"/>
      <c r="M587" s="38">
        <f>SUM(J587:L587)</f>
        <v>500</v>
      </c>
      <c r="N587" s="172"/>
      <c r="O587" s="172"/>
      <c r="P587" s="172"/>
      <c r="Q587" s="38">
        <f>SUM(N587:P587)</f>
        <v>0</v>
      </c>
      <c r="R587" s="38">
        <f>+E587+I587+M587+Q587</f>
        <v>807</v>
      </c>
    </row>
    <row r="588" spans="1:18" ht="15.75" customHeight="1" thickBot="1" x14ac:dyDescent="0.35">
      <c r="A588" s="266" t="s">
        <v>40</v>
      </c>
      <c r="B588" s="172"/>
      <c r="C588" s="172"/>
      <c r="D588" s="172"/>
      <c r="E588" s="38">
        <f>SUM(B588:D588)</f>
        <v>0</v>
      </c>
      <c r="F588" s="172"/>
      <c r="G588" s="172"/>
      <c r="H588" s="172"/>
      <c r="I588" s="38">
        <f>SUM(F588:H588)</f>
        <v>0</v>
      </c>
      <c r="J588" s="172"/>
      <c r="K588" s="172"/>
      <c r="L588" s="172"/>
      <c r="M588" s="38">
        <f>SUM(J588:L588)</f>
        <v>0</v>
      </c>
      <c r="N588" s="172"/>
      <c r="O588" s="172"/>
      <c r="P588" s="172"/>
      <c r="Q588" s="38">
        <f>SUM(N588:P588)</f>
        <v>0</v>
      </c>
      <c r="R588" s="38">
        <f>+E588+I588+M588+Q588</f>
        <v>0</v>
      </c>
    </row>
    <row r="589" spans="1:18" ht="16.5" customHeight="1" thickBot="1" x14ac:dyDescent="0.35">
      <c r="A589" s="43" t="s">
        <v>1220</v>
      </c>
      <c r="B589" s="45">
        <f>SUM(B582:B588)</f>
        <v>351</v>
      </c>
      <c r="C589" s="46">
        <f>SUM(C582:C588)</f>
        <v>626</v>
      </c>
      <c r="D589" s="46">
        <f>SUM(D582:D588)</f>
        <v>806</v>
      </c>
      <c r="E589" s="37">
        <f>SUM(B589:D589)</f>
        <v>1783</v>
      </c>
      <c r="F589" s="46">
        <f>SUM(F582:F588)</f>
        <v>2016</v>
      </c>
      <c r="G589" s="46">
        <f>SUM(G582:G588)</f>
        <v>1678</v>
      </c>
      <c r="H589" s="46">
        <f>SUM(H582:H588)</f>
        <v>2310</v>
      </c>
      <c r="I589" s="37">
        <f>SUM(F589:H589)</f>
        <v>6004</v>
      </c>
      <c r="J589" s="46">
        <f>SUM(J582:J588)</f>
        <v>3077</v>
      </c>
      <c r="K589" s="46">
        <f>SUM(K582:K588)</f>
        <v>2506</v>
      </c>
      <c r="L589" s="46">
        <f>SUM(L582:L588)</f>
        <v>938</v>
      </c>
      <c r="M589" s="37">
        <f>SUM(J589:L589)</f>
        <v>6521</v>
      </c>
      <c r="N589" s="46">
        <f>SUM(N582:N588)</f>
        <v>231</v>
      </c>
      <c r="O589" s="46">
        <f>SUM(O582:O588)</f>
        <v>0</v>
      </c>
      <c r="P589" s="46">
        <f>SUM(P582:P588)</f>
        <v>514</v>
      </c>
      <c r="Q589" s="37">
        <f>SUM(N589:P589)</f>
        <v>745</v>
      </c>
      <c r="R589" s="58">
        <f>+E589+I589+M589+Q589</f>
        <v>15053</v>
      </c>
    </row>
    <row r="590" spans="1:18" ht="15.75" customHeight="1" x14ac:dyDescent="0.3">
      <c r="A590" s="234" t="s">
        <v>1712</v>
      </c>
      <c r="B590" s="172"/>
      <c r="C590" s="172"/>
      <c r="D590" s="172"/>
      <c r="E590" s="38" t="s">
        <v>852</v>
      </c>
      <c r="F590" s="172"/>
      <c r="G590" s="172"/>
      <c r="H590" s="172"/>
      <c r="I590" s="38" t="s">
        <v>852</v>
      </c>
      <c r="J590" s="172"/>
      <c r="K590" s="172"/>
      <c r="L590" s="172"/>
      <c r="M590" s="38" t="s">
        <v>852</v>
      </c>
      <c r="N590" s="172"/>
      <c r="O590" s="172"/>
      <c r="P590" s="172"/>
      <c r="Q590" s="38" t="s">
        <v>852</v>
      </c>
      <c r="R590" s="38" t="s">
        <v>852</v>
      </c>
    </row>
    <row r="591" spans="1:18" ht="15.75" customHeight="1" x14ac:dyDescent="0.3">
      <c r="A591" s="234" t="s">
        <v>1021</v>
      </c>
      <c r="B591" s="172"/>
      <c r="C591" s="172"/>
      <c r="D591" s="172"/>
      <c r="E591" s="38" t="s">
        <v>852</v>
      </c>
      <c r="F591" s="172"/>
      <c r="G591" s="172"/>
      <c r="H591" s="172"/>
      <c r="I591" s="38" t="s">
        <v>852</v>
      </c>
      <c r="J591" s="172"/>
      <c r="K591" s="172"/>
      <c r="L591" s="172"/>
      <c r="M591" s="38" t="s">
        <v>852</v>
      </c>
      <c r="N591" s="172"/>
      <c r="O591" s="172"/>
      <c r="P591" s="172"/>
      <c r="Q591" s="38" t="s">
        <v>852</v>
      </c>
      <c r="R591" s="38" t="s">
        <v>852</v>
      </c>
    </row>
    <row r="592" spans="1:18" ht="15.75" customHeight="1" x14ac:dyDescent="0.3">
      <c r="A592" s="234" t="s">
        <v>557</v>
      </c>
      <c r="B592" s="172"/>
      <c r="C592" s="172"/>
      <c r="D592" s="172"/>
      <c r="E592" s="38" t="s">
        <v>852</v>
      </c>
      <c r="F592" s="172"/>
      <c r="G592" s="172"/>
      <c r="H592" s="172"/>
      <c r="I592" s="38" t="s">
        <v>852</v>
      </c>
      <c r="J592" s="172"/>
      <c r="K592" s="172"/>
      <c r="L592" s="172"/>
      <c r="M592" s="38" t="s">
        <v>852</v>
      </c>
      <c r="N592" s="172"/>
      <c r="O592" s="172"/>
      <c r="P592" s="172"/>
      <c r="Q592" s="38" t="s">
        <v>852</v>
      </c>
      <c r="R592" s="38" t="s">
        <v>852</v>
      </c>
    </row>
    <row r="593" spans="1:18" ht="15.75" customHeight="1" x14ac:dyDescent="0.3">
      <c r="A593" s="539" t="s">
        <v>2585</v>
      </c>
      <c r="B593" s="172"/>
      <c r="C593" s="172"/>
      <c r="D593" s="172"/>
      <c r="E593" s="38">
        <f>SUM(B593:D593)</f>
        <v>0</v>
      </c>
      <c r="F593" s="172"/>
      <c r="G593" s="172"/>
      <c r="H593" s="172"/>
      <c r="I593" s="38">
        <f>SUM(F593:H593)</f>
        <v>0</v>
      </c>
      <c r="J593" s="172"/>
      <c r="K593" s="172"/>
      <c r="L593" s="172"/>
      <c r="M593" s="38">
        <f>SUM(J593:L593)</f>
        <v>0</v>
      </c>
      <c r="N593" s="172"/>
      <c r="O593" s="172"/>
      <c r="P593" s="172">
        <v>51</v>
      </c>
      <c r="Q593" s="38">
        <f>SUM(N593:P593)</f>
        <v>51</v>
      </c>
      <c r="R593" s="38">
        <f>+E593+I593+M593+Q593</f>
        <v>51</v>
      </c>
    </row>
    <row r="594" spans="1:18" ht="15.75" customHeight="1" x14ac:dyDescent="0.3">
      <c r="A594" s="539" t="s">
        <v>2586</v>
      </c>
      <c r="B594" s="172"/>
      <c r="C594" s="172"/>
      <c r="D594" s="172"/>
      <c r="E594" s="38">
        <f>SUM(B594:D594)</f>
        <v>0</v>
      </c>
      <c r="F594" s="172"/>
      <c r="G594" s="172"/>
      <c r="H594" s="172"/>
      <c r="I594" s="38">
        <f>SUM(F594:H594)</f>
        <v>0</v>
      </c>
      <c r="J594" s="172"/>
      <c r="K594" s="172"/>
      <c r="L594" s="172"/>
      <c r="M594" s="38">
        <f>SUM(J594:L594)</f>
        <v>0</v>
      </c>
      <c r="N594" s="172"/>
      <c r="O594" s="172"/>
      <c r="P594" s="172"/>
      <c r="Q594" s="38">
        <f>SUM(N594:P594)</f>
        <v>0</v>
      </c>
      <c r="R594" s="38">
        <f>+E594+I594+M594+Q594</f>
        <v>0</v>
      </c>
    </row>
    <row r="595" spans="1:18" ht="15.75" customHeight="1" x14ac:dyDescent="0.3">
      <c r="A595" s="539" t="s">
        <v>2587</v>
      </c>
      <c r="B595" s="172">
        <v>2000</v>
      </c>
      <c r="C595" s="172">
        <v>2000</v>
      </c>
      <c r="D595" s="172">
        <v>2000</v>
      </c>
      <c r="E595" s="38">
        <f>SUM(B595:D595)</f>
        <v>6000</v>
      </c>
      <c r="F595" s="172">
        <v>2000</v>
      </c>
      <c r="G595" s="172">
        <v>2000</v>
      </c>
      <c r="H595" s="172"/>
      <c r="I595" s="38">
        <f>SUM(F595:H595)</f>
        <v>4000</v>
      </c>
      <c r="J595" s="172"/>
      <c r="K595" s="172"/>
      <c r="L595" s="172"/>
      <c r="M595" s="38">
        <f>SUM(J595:L595)</f>
        <v>0</v>
      </c>
      <c r="N595" s="172">
        <v>1000</v>
      </c>
      <c r="O595" s="172">
        <v>751</v>
      </c>
      <c r="P595" s="172">
        <v>3781</v>
      </c>
      <c r="Q595" s="38">
        <f>SUM(N595:P595)</f>
        <v>5532</v>
      </c>
      <c r="R595" s="38">
        <f>+E595+I595+M595+Q595</f>
        <v>15532</v>
      </c>
    </row>
    <row r="596" spans="1:18" ht="15.75" customHeight="1" x14ac:dyDescent="0.3">
      <c r="A596" s="539" t="s">
        <v>2588</v>
      </c>
      <c r="B596" s="172"/>
      <c r="C596" s="172"/>
      <c r="D596" s="172"/>
      <c r="E596" s="38">
        <f>SUM(B596:D596)</f>
        <v>0</v>
      </c>
      <c r="F596" s="172"/>
      <c r="G596" s="172"/>
      <c r="H596" s="172"/>
      <c r="I596" s="38">
        <f>SUM(F596:H596)</f>
        <v>0</v>
      </c>
      <c r="J596" s="172"/>
      <c r="K596" s="172"/>
      <c r="L596" s="172"/>
      <c r="M596" s="38">
        <f>SUM(J596:L596)</f>
        <v>0</v>
      </c>
      <c r="N596" s="172"/>
      <c r="O596" s="172"/>
      <c r="P596" s="172"/>
      <c r="Q596" s="38">
        <f>SUM(N596:P596)</f>
        <v>0</v>
      </c>
      <c r="R596" s="38">
        <f>+E596+I596+M596+Q596</f>
        <v>0</v>
      </c>
    </row>
    <row r="597" spans="1:18" ht="15.75" customHeight="1" x14ac:dyDescent="0.3">
      <c r="A597" s="234" t="s">
        <v>1022</v>
      </c>
      <c r="B597" s="172"/>
      <c r="C597" s="172"/>
      <c r="D597" s="172"/>
      <c r="E597" s="38" t="s">
        <v>852</v>
      </c>
      <c r="F597" s="172"/>
      <c r="G597" s="172"/>
      <c r="H597" s="172"/>
      <c r="I597" s="38" t="s">
        <v>852</v>
      </c>
      <c r="J597" s="172"/>
      <c r="K597" s="172"/>
      <c r="L597" s="172"/>
      <c r="M597" s="38" t="s">
        <v>852</v>
      </c>
      <c r="N597" s="172"/>
      <c r="O597" s="172"/>
      <c r="P597" s="172"/>
      <c r="Q597" s="38" t="s">
        <v>852</v>
      </c>
      <c r="R597" s="38" t="s">
        <v>852</v>
      </c>
    </row>
    <row r="598" spans="1:18" ht="15.75" customHeight="1" thickBot="1" x14ac:dyDescent="0.35">
      <c r="A598" s="234" t="s">
        <v>559</v>
      </c>
      <c r="B598" s="172"/>
      <c r="C598" s="172"/>
      <c r="D598" s="172"/>
      <c r="E598" s="38" t="s">
        <v>852</v>
      </c>
      <c r="F598" s="172"/>
      <c r="G598" s="172"/>
      <c r="H598" s="172"/>
      <c r="I598" s="38" t="s">
        <v>852</v>
      </c>
      <c r="J598" s="172"/>
      <c r="K598" s="172"/>
      <c r="L598" s="172"/>
      <c r="M598" s="38" t="s">
        <v>852</v>
      </c>
      <c r="N598" s="172"/>
      <c r="O598" s="172"/>
      <c r="P598" s="172"/>
      <c r="Q598" s="38" t="s">
        <v>852</v>
      </c>
      <c r="R598" s="38" t="s">
        <v>852</v>
      </c>
    </row>
    <row r="599" spans="1:18" ht="16.5" customHeight="1" thickBot="1" x14ac:dyDescent="0.35">
      <c r="A599" s="43" t="s">
        <v>1019</v>
      </c>
      <c r="B599" s="42">
        <f>SUM(B597:B598)</f>
        <v>0</v>
      </c>
      <c r="C599" s="42">
        <f>SUM(C597:C598)</f>
        <v>0</v>
      </c>
      <c r="D599" s="42">
        <f>SUM(D597:D598)</f>
        <v>0</v>
      </c>
      <c r="E599" s="39">
        <f>SUM(B599:D599)</f>
        <v>0</v>
      </c>
      <c r="F599" s="42">
        <f>SUM(F597:F598)</f>
        <v>0</v>
      </c>
      <c r="G599" s="42">
        <f>SUM(G597:G598)</f>
        <v>0</v>
      </c>
      <c r="H599" s="42">
        <f>SUM(H597:H598)</f>
        <v>0</v>
      </c>
      <c r="I599" s="39">
        <f>SUM(F599:H599)</f>
        <v>0</v>
      </c>
      <c r="J599" s="42">
        <f>SUM(J597:J598)</f>
        <v>0</v>
      </c>
      <c r="K599" s="42">
        <f>SUM(K597:K598)</f>
        <v>0</v>
      </c>
      <c r="L599" s="42">
        <f>SUM(L597:L598)</f>
        <v>0</v>
      </c>
      <c r="M599" s="39">
        <f>SUM(J599:L599)</f>
        <v>0</v>
      </c>
      <c r="N599" s="42">
        <f>SUM(N597:N598)</f>
        <v>0</v>
      </c>
      <c r="O599" s="42">
        <f>SUM(O597:O598)</f>
        <v>0</v>
      </c>
      <c r="P599" s="42">
        <f>SUM(P597:P598)</f>
        <v>0</v>
      </c>
      <c r="Q599" s="39">
        <f>SUM(N599:P599)</f>
        <v>0</v>
      </c>
      <c r="R599" s="37">
        <f>+E599+I599+M599+Q599</f>
        <v>0</v>
      </c>
    </row>
    <row r="600" spans="1:18" ht="16.5" customHeight="1" thickBot="1" x14ac:dyDescent="0.35">
      <c r="A600" s="277" t="s">
        <v>1221</v>
      </c>
      <c r="B600" s="45">
        <f>SUM(B590:B598)</f>
        <v>2000</v>
      </c>
      <c r="C600" s="46">
        <f>SUM(C590:C598)</f>
        <v>2000</v>
      </c>
      <c r="D600" s="58">
        <f>SUM(D590:D598)</f>
        <v>2000</v>
      </c>
      <c r="E600" s="39">
        <f>SUM(B600:D600)</f>
        <v>6000</v>
      </c>
      <c r="F600" s="46">
        <f>SUM(F590:F598)</f>
        <v>2000</v>
      </c>
      <c r="G600" s="46">
        <f>SUM(G590:G598)</f>
        <v>2000</v>
      </c>
      <c r="H600" s="46">
        <f>SUM(H590:H598)</f>
        <v>0</v>
      </c>
      <c r="I600" s="39">
        <f>SUM(F600:H600)</f>
        <v>4000</v>
      </c>
      <c r="J600" s="46">
        <f>SUM(J590:J598)</f>
        <v>0</v>
      </c>
      <c r="K600" s="46">
        <f>SUM(K590:K598)</f>
        <v>0</v>
      </c>
      <c r="L600" s="46">
        <f>SUM(L590:L598)</f>
        <v>0</v>
      </c>
      <c r="M600" s="39">
        <f>SUM(J600:L600)</f>
        <v>0</v>
      </c>
      <c r="N600" s="46">
        <f>SUM(N590:N598)</f>
        <v>1000</v>
      </c>
      <c r="O600" s="46">
        <f>SUM(O590:O598)</f>
        <v>751</v>
      </c>
      <c r="P600" s="46">
        <f>SUM(P590:P598)</f>
        <v>3832</v>
      </c>
      <c r="Q600" s="39">
        <f>SUM(N600:P600)</f>
        <v>5583</v>
      </c>
      <c r="R600" s="37">
        <f>+E600+I600+M600+Q600</f>
        <v>15583</v>
      </c>
    </row>
    <row r="601" spans="1:18" ht="16.5" customHeight="1" thickBot="1" x14ac:dyDescent="0.35">
      <c r="A601" s="43" t="s">
        <v>1222</v>
      </c>
      <c r="B601" s="47">
        <f>+B577+B581+B589+B600</f>
        <v>12789</v>
      </c>
      <c r="C601" s="42">
        <f>+C577+C581+C589+C600</f>
        <v>13931</v>
      </c>
      <c r="D601" s="42">
        <f>+D577+D581+D589+D600</f>
        <v>14912</v>
      </c>
      <c r="E601" s="37">
        <f>SUM(B601:D601)</f>
        <v>41632</v>
      </c>
      <c r="F601" s="42">
        <f>+F577+F581+F589+F600</f>
        <v>15356</v>
      </c>
      <c r="G601" s="42">
        <f>+G577+G581+G589+G600</f>
        <v>14943</v>
      </c>
      <c r="H601" s="42">
        <f>+H577+H581+H589+H600</f>
        <v>12665</v>
      </c>
      <c r="I601" s="37">
        <f>SUM(F601:H601)</f>
        <v>42964</v>
      </c>
      <c r="J601" s="42">
        <f>+J577+J581+J589+J600</f>
        <v>10460</v>
      </c>
      <c r="K601" s="42">
        <f>+K577+K581+K589+K600</f>
        <v>11294</v>
      </c>
      <c r="L601" s="42">
        <f>+L577+L581+L589+L600</f>
        <v>10881</v>
      </c>
      <c r="M601" s="37">
        <f>SUM(J601:L601)</f>
        <v>32635</v>
      </c>
      <c r="N601" s="42">
        <f>+N577+N581+N589+N600</f>
        <v>7574</v>
      </c>
      <c r="O601" s="42">
        <f>+O577+O581+O589+O600</f>
        <v>5016</v>
      </c>
      <c r="P601" s="42">
        <f>+P577+P581+P589+P600</f>
        <v>10709</v>
      </c>
      <c r="Q601" s="37">
        <f>SUM(N601:P601)</f>
        <v>23299</v>
      </c>
      <c r="R601" s="40">
        <f>+E601+I601+M601+Q601</f>
        <v>140530</v>
      </c>
    </row>
    <row r="602" spans="1:18" ht="16.5" customHeight="1" thickBot="1" x14ac:dyDescent="0.35">
      <c r="A602" s="250" t="s">
        <v>853</v>
      </c>
      <c r="B602" s="238">
        <v>22</v>
      </c>
      <c r="C602" s="238">
        <v>24</v>
      </c>
      <c r="D602" s="238">
        <v>31</v>
      </c>
      <c r="E602" s="37">
        <f>SUM(B602:D602)</f>
        <v>77</v>
      </c>
      <c r="F602" s="238">
        <v>40</v>
      </c>
      <c r="G602" s="238">
        <v>45</v>
      </c>
      <c r="H602" s="238">
        <v>48</v>
      </c>
      <c r="I602" s="37">
        <f>SUM(F602:H602)</f>
        <v>133</v>
      </c>
      <c r="J602" s="238">
        <v>42</v>
      </c>
      <c r="K602" s="238">
        <v>39</v>
      </c>
      <c r="L602" s="238">
        <v>38</v>
      </c>
      <c r="M602" s="37">
        <f>SUM(J602:L602)</f>
        <v>119</v>
      </c>
      <c r="N602" s="238">
        <v>32</v>
      </c>
      <c r="O602" s="238">
        <v>25</v>
      </c>
      <c r="P602" s="238">
        <v>21</v>
      </c>
      <c r="Q602" s="37">
        <f>SUM(N602:P602)</f>
        <v>78</v>
      </c>
      <c r="R602" s="39">
        <f>+E602+I602+M602+Q602</f>
        <v>407</v>
      </c>
    </row>
    <row r="603" spans="1:18" ht="16.5" customHeight="1" thickBot="1" x14ac:dyDescent="0.35">
      <c r="A603" s="22"/>
      <c r="B603" s="242"/>
      <c r="C603" s="242"/>
      <c r="D603" s="242"/>
      <c r="E603" s="233"/>
      <c r="F603" s="242"/>
      <c r="G603" s="242"/>
      <c r="H603" s="242"/>
      <c r="I603" s="233"/>
      <c r="J603" s="242"/>
      <c r="K603" s="242"/>
      <c r="L603" s="242"/>
      <c r="M603" s="233"/>
      <c r="N603" s="242"/>
      <c r="O603" s="242"/>
      <c r="P603" s="242"/>
      <c r="Q603" s="233"/>
      <c r="R603" s="21"/>
    </row>
    <row r="604" spans="1:18" ht="15.75" customHeight="1" x14ac:dyDescent="0.3">
      <c r="A604" s="234" t="s">
        <v>120</v>
      </c>
      <c r="B604" s="172">
        <f>+SUM(B601:B602)</f>
        <v>12811</v>
      </c>
      <c r="C604" s="172">
        <f>+SUM(C601:C602)</f>
        <v>13955</v>
      </c>
      <c r="D604" s="172">
        <f>+SUM(D601:D602)</f>
        <v>14943</v>
      </c>
      <c r="E604" s="39">
        <f>SUM(B604:D604)</f>
        <v>41709</v>
      </c>
      <c r="F604" s="172">
        <f>+SUM(F601:F602)</f>
        <v>15396</v>
      </c>
      <c r="G604" s="172">
        <f>+SUM(G601:G602)</f>
        <v>14988</v>
      </c>
      <c r="H604" s="172">
        <f>+SUM(H601:H602)</f>
        <v>12713</v>
      </c>
      <c r="I604" s="39">
        <f>SUM(F604:H604)</f>
        <v>43097</v>
      </c>
      <c r="J604" s="172">
        <f>+SUM(J601:J602)</f>
        <v>10502</v>
      </c>
      <c r="K604" s="172">
        <f>+SUM(K601:K602)</f>
        <v>11333</v>
      </c>
      <c r="L604" s="172">
        <f>+SUM(L601:L602)</f>
        <v>10919</v>
      </c>
      <c r="M604" s="39">
        <f>SUM(J604:L604)</f>
        <v>32754</v>
      </c>
      <c r="N604" s="172">
        <f>+SUM(N601:N602)</f>
        <v>7606</v>
      </c>
      <c r="O604" s="172">
        <f>+SUM(O601:O602)</f>
        <v>5041</v>
      </c>
      <c r="P604" s="172">
        <f>+SUM(P601:P602)</f>
        <v>10730</v>
      </c>
      <c r="Q604" s="39">
        <f>SUM(N604:P604)</f>
        <v>23377</v>
      </c>
      <c r="R604" s="39">
        <f>+E604+I604+M604+Q604</f>
        <v>140937</v>
      </c>
    </row>
    <row r="605" spans="1:18" ht="15.75" customHeight="1" x14ac:dyDescent="0.3">
      <c r="A605" s="234" t="s">
        <v>1897</v>
      </c>
      <c r="B605" s="172">
        <f>(B604/31)/1.983</f>
        <v>208.40043596375642</v>
      </c>
      <c r="C605" s="172">
        <f>(C604/28)/1.983</f>
        <v>251.3327570059794</v>
      </c>
      <c r="D605" s="172">
        <f>(D604/31)/1.983</f>
        <v>243.08232882729004</v>
      </c>
      <c r="E605" s="38" t="s">
        <v>852</v>
      </c>
      <c r="F605" s="172">
        <f>(F604/30)/1.983</f>
        <v>258.79979828542611</v>
      </c>
      <c r="G605" s="172">
        <f>(G604/31)/1.983</f>
        <v>243.8143575228149</v>
      </c>
      <c r="H605" s="172">
        <f>(H604/30)/1.983</f>
        <v>213.69978147587827</v>
      </c>
      <c r="I605" s="38" t="s">
        <v>852</v>
      </c>
      <c r="J605" s="172">
        <f>(J604/31)/1.983</f>
        <v>170.83923023115838</v>
      </c>
      <c r="K605" s="172">
        <f>(K604/31)/1.983</f>
        <v>184.35736014185088</v>
      </c>
      <c r="L605" s="172">
        <f>(L604/30)/1.983</f>
        <v>183.54345268112286</v>
      </c>
      <c r="M605" s="38" t="s">
        <v>852</v>
      </c>
      <c r="N605" s="172">
        <f>(N604/31)/1.983</f>
        <v>123.7291168480471</v>
      </c>
      <c r="O605" s="172">
        <f>(O604/30)/1.983</f>
        <v>84.736930576567488</v>
      </c>
      <c r="P605" s="172">
        <f>(P604/31)/1.983</f>
        <v>174.54817562181771</v>
      </c>
      <c r="Q605" s="38" t="s">
        <v>852</v>
      </c>
      <c r="R605" s="38" t="s">
        <v>852</v>
      </c>
    </row>
    <row r="606" spans="1:18" ht="15.75" customHeight="1" x14ac:dyDescent="0.3">
      <c r="A606" s="234" t="s">
        <v>2390</v>
      </c>
      <c r="B606" s="172">
        <f>B604+B616</f>
        <v>15404</v>
      </c>
      <c r="C606" s="172">
        <f>C604+C616</f>
        <v>18429</v>
      </c>
      <c r="D606" s="172">
        <f>D604+D616</f>
        <v>19736</v>
      </c>
      <c r="E606" s="38">
        <f>SUM(B606:D606)</f>
        <v>53569</v>
      </c>
      <c r="F606" s="172">
        <f>F604+F616</f>
        <v>18663</v>
      </c>
      <c r="G606" s="172">
        <f>G604+G616</f>
        <v>20027</v>
      </c>
      <c r="H606" s="172">
        <f>H604+H616</f>
        <v>15542</v>
      </c>
      <c r="I606" s="38">
        <f>SUM(F606:H606)</f>
        <v>54232</v>
      </c>
      <c r="J606" s="172">
        <f>J604+J616</f>
        <v>14033</v>
      </c>
      <c r="K606" s="172">
        <f>K604+K616</f>
        <v>14433</v>
      </c>
      <c r="L606" s="172">
        <f>L604+L616</f>
        <v>14988</v>
      </c>
      <c r="M606" s="38">
        <f>SUM(J606:L606)</f>
        <v>43454</v>
      </c>
      <c r="N606" s="172">
        <f>N604+N616</f>
        <v>10828</v>
      </c>
      <c r="O606" s="172">
        <f>O604+O616</f>
        <v>7060</v>
      </c>
      <c r="P606" s="172">
        <f>P604+P616</f>
        <v>14189</v>
      </c>
      <c r="Q606" s="38">
        <f>SUM(N606:P606)</f>
        <v>32077</v>
      </c>
      <c r="R606" s="38">
        <f>+E606+I606+M606+Q606</f>
        <v>183332</v>
      </c>
    </row>
    <row r="607" spans="1:18" ht="16.5" customHeight="1" thickBot="1" x14ac:dyDescent="0.35">
      <c r="A607" s="237" t="s">
        <v>1716</v>
      </c>
      <c r="B607" s="238">
        <f>(B606/31)/1.983</f>
        <v>250.58155613033361</v>
      </c>
      <c r="C607" s="238">
        <f>(C606/28)/1.983</f>
        <v>331.91052517830127</v>
      </c>
      <c r="D607" s="238">
        <f>(D606/31)/1.983</f>
        <v>321.05151855286056</v>
      </c>
      <c r="E607" s="40" t="s">
        <v>852</v>
      </c>
      <c r="F607" s="238">
        <f>(F606/30)/1.983</f>
        <v>313.71659102370148</v>
      </c>
      <c r="G607" s="238">
        <f>(G606/31)/1.983</f>
        <v>325.78530411725473</v>
      </c>
      <c r="H607" s="238">
        <f>(H606/30)/1.983</f>
        <v>261.253992267608</v>
      </c>
      <c r="I607" s="40" t="s">
        <v>852</v>
      </c>
      <c r="J607" s="238">
        <f>(J606/31)/1.983</f>
        <v>228.27908187334276</v>
      </c>
      <c r="K607" s="238">
        <f>(K606/31)/1.983</f>
        <v>234.78600361134156</v>
      </c>
      <c r="L607" s="238">
        <f>(L606/30)/1.983</f>
        <v>251.94150277357539</v>
      </c>
      <c r="M607" s="40" t="s">
        <v>852</v>
      </c>
      <c r="N607" s="238">
        <f>(N606/31)/1.983</f>
        <v>176.14237144762743</v>
      </c>
      <c r="O607" s="238">
        <f>(O606/30)/1.983</f>
        <v>118.67540763153471</v>
      </c>
      <c r="P607" s="238">
        <f>(P606/31)/1.983</f>
        <v>230.81678135116229</v>
      </c>
      <c r="Q607" s="40" t="s">
        <v>852</v>
      </c>
      <c r="R607" s="40" t="s">
        <v>852</v>
      </c>
    </row>
    <row r="608" spans="1:18" ht="15.75" customHeight="1" x14ac:dyDescent="0.3">
      <c r="A608" s="17"/>
      <c r="B608" s="172"/>
      <c r="C608" s="172"/>
      <c r="D608" s="172"/>
      <c r="E608" s="172"/>
      <c r="F608" s="172"/>
      <c r="G608" s="172"/>
      <c r="H608" s="172"/>
      <c r="I608" s="172"/>
      <c r="J608" s="172"/>
      <c r="K608" s="172"/>
      <c r="L608" s="172"/>
      <c r="M608" s="172"/>
      <c r="N608" s="172"/>
      <c r="O608" s="172"/>
      <c r="P608" s="172"/>
      <c r="Q608" s="172"/>
      <c r="R608" s="17"/>
    </row>
    <row r="609" spans="1:18" ht="15.75" customHeight="1" thickBot="1" x14ac:dyDescent="0.35">
      <c r="A609" s="17"/>
      <c r="B609" s="172"/>
      <c r="C609" s="172"/>
      <c r="D609" s="172"/>
      <c r="E609" s="172"/>
      <c r="F609" s="172"/>
      <c r="G609" s="172"/>
      <c r="H609" s="172"/>
      <c r="I609" s="172"/>
      <c r="J609" s="172"/>
      <c r="K609" s="172"/>
      <c r="L609" s="172"/>
      <c r="M609" s="172"/>
      <c r="N609" s="172"/>
      <c r="O609" s="172"/>
      <c r="P609" s="172"/>
      <c r="Q609" s="172"/>
      <c r="R609" s="17"/>
    </row>
    <row r="610" spans="1:18" ht="16.5" customHeight="1" thickBot="1" x14ac:dyDescent="0.35">
      <c r="A610" s="278" t="s">
        <v>374</v>
      </c>
      <c r="B610" s="4" t="s">
        <v>2090</v>
      </c>
      <c r="C610" s="5" t="s">
        <v>2091</v>
      </c>
      <c r="D610" s="5" t="s">
        <v>2234</v>
      </c>
      <c r="E610" s="33" t="s">
        <v>1594</v>
      </c>
      <c r="F610" s="5" t="s">
        <v>2235</v>
      </c>
      <c r="G610" s="5" t="s">
        <v>2236</v>
      </c>
      <c r="H610" s="5" t="s">
        <v>2237</v>
      </c>
      <c r="I610" s="35" t="s">
        <v>1595</v>
      </c>
      <c r="J610" s="5" t="s">
        <v>1504</v>
      </c>
      <c r="K610" s="5" t="s">
        <v>1505</v>
      </c>
      <c r="L610" s="5" t="s">
        <v>1506</v>
      </c>
      <c r="M610" s="35" t="s">
        <v>1596</v>
      </c>
      <c r="N610" s="5" t="s">
        <v>1507</v>
      </c>
      <c r="O610" s="5" t="s">
        <v>1508</v>
      </c>
      <c r="P610" s="5" t="s">
        <v>1509</v>
      </c>
      <c r="Q610" s="35" t="s">
        <v>1597</v>
      </c>
      <c r="R610" s="36" t="s">
        <v>1510</v>
      </c>
    </row>
    <row r="611" spans="1:18" ht="16.5" customHeight="1" thickBot="1" x14ac:dyDescent="0.35">
      <c r="A611" s="22"/>
      <c r="B611" s="242"/>
      <c r="C611" s="242"/>
      <c r="D611" s="242"/>
      <c r="E611" s="243"/>
      <c r="F611" s="242"/>
      <c r="G611" s="242"/>
      <c r="H611" s="242"/>
      <c r="I611" s="243"/>
      <c r="J611" s="242"/>
      <c r="K611" s="242"/>
      <c r="L611" s="242"/>
      <c r="M611" s="243"/>
      <c r="N611" s="242"/>
      <c r="O611" s="242"/>
      <c r="P611" s="242"/>
      <c r="Q611" s="243"/>
      <c r="R611" s="22"/>
    </row>
    <row r="612" spans="1:18" ht="16.5" customHeight="1" thickBot="1" x14ac:dyDescent="0.35">
      <c r="A612" s="244" t="s">
        <v>853</v>
      </c>
      <c r="B612" s="238">
        <v>2</v>
      </c>
      <c r="C612" s="238">
        <v>3</v>
      </c>
      <c r="D612" s="238">
        <v>5</v>
      </c>
      <c r="E612" s="38">
        <f>SUM(B612:D612)</f>
        <v>10</v>
      </c>
      <c r="F612" s="238">
        <v>7</v>
      </c>
      <c r="G612" s="238">
        <v>8</v>
      </c>
      <c r="H612" s="238">
        <v>9</v>
      </c>
      <c r="I612" s="38">
        <f>SUM(F612:H612)</f>
        <v>24</v>
      </c>
      <c r="J612" s="238">
        <v>7</v>
      </c>
      <c r="K612" s="238">
        <v>6</v>
      </c>
      <c r="L612" s="238">
        <v>6</v>
      </c>
      <c r="M612" s="38">
        <f>SUM(J612:L612)</f>
        <v>19</v>
      </c>
      <c r="N612" s="238">
        <v>5</v>
      </c>
      <c r="O612" s="238">
        <v>3</v>
      </c>
      <c r="P612" s="238">
        <v>2</v>
      </c>
      <c r="Q612" s="38">
        <f>SUM(N612:P612)</f>
        <v>10</v>
      </c>
      <c r="R612" s="39">
        <f>+E612+I612+M612+Q612</f>
        <v>63</v>
      </c>
    </row>
    <row r="613" spans="1:18" ht="16.5" customHeight="1" thickBot="1" x14ac:dyDescent="0.35">
      <c r="A613" s="22"/>
      <c r="B613" s="242"/>
      <c r="C613" s="242"/>
      <c r="D613" s="242"/>
      <c r="E613" s="233"/>
      <c r="F613" s="242"/>
      <c r="G613" s="242"/>
      <c r="H613" s="242"/>
      <c r="I613" s="233"/>
      <c r="J613" s="242"/>
      <c r="K613" s="242"/>
      <c r="L613" s="242"/>
      <c r="M613" s="233"/>
      <c r="N613" s="242"/>
      <c r="O613" s="242"/>
      <c r="P613" s="242"/>
      <c r="Q613" s="233"/>
      <c r="R613" s="21"/>
    </row>
    <row r="614" spans="1:18" ht="15.75" customHeight="1" x14ac:dyDescent="0.3">
      <c r="A614" s="234" t="s">
        <v>120</v>
      </c>
      <c r="B614" s="172">
        <f>B612</f>
        <v>2</v>
      </c>
      <c r="C614" s="172">
        <f>C612</f>
        <v>3</v>
      </c>
      <c r="D614" s="172">
        <f>D612</f>
        <v>5</v>
      </c>
      <c r="E614" s="39">
        <f>SUM(B614:D614)</f>
        <v>10</v>
      </c>
      <c r="F614" s="172">
        <f>F612</f>
        <v>7</v>
      </c>
      <c r="G614" s="172">
        <f>G612</f>
        <v>8</v>
      </c>
      <c r="H614" s="172">
        <f>H612</f>
        <v>9</v>
      </c>
      <c r="I614" s="39">
        <f>SUM(F614:H614)</f>
        <v>24</v>
      </c>
      <c r="J614" s="172">
        <f>J612</f>
        <v>7</v>
      </c>
      <c r="K614" s="172">
        <f>K612</f>
        <v>6</v>
      </c>
      <c r="L614" s="172">
        <f>L612</f>
        <v>6</v>
      </c>
      <c r="M614" s="39">
        <f>SUM(J614:L614)</f>
        <v>19</v>
      </c>
      <c r="N614" s="172">
        <f>N612</f>
        <v>5</v>
      </c>
      <c r="O614" s="172">
        <f>O612</f>
        <v>3</v>
      </c>
      <c r="P614" s="172">
        <f>P612</f>
        <v>2</v>
      </c>
      <c r="Q614" s="39">
        <f>SUM(N614:P614)</f>
        <v>10</v>
      </c>
      <c r="R614" s="39">
        <f>+E614+I614+M614+Q614</f>
        <v>63</v>
      </c>
    </row>
    <row r="615" spans="1:18" ht="15.75" customHeight="1" x14ac:dyDescent="0.3">
      <c r="A615" s="234" t="s">
        <v>1897</v>
      </c>
      <c r="B615" s="172">
        <f>(B614/31)/1.983</f>
        <v>3.2534608689993978E-2</v>
      </c>
      <c r="C615" s="172">
        <f>(C614/28)/1.983</f>
        <v>5.403068943159714E-2</v>
      </c>
      <c r="D615" s="172">
        <f>(D614/31)/1.983</f>
        <v>8.1336521724984942E-2</v>
      </c>
      <c r="E615" s="38" t="s">
        <v>852</v>
      </c>
      <c r="F615" s="172">
        <f>(F614/30)/1.983</f>
        <v>0.1176668347621449</v>
      </c>
      <c r="G615" s="172">
        <f>(G614/31)/1.983</f>
        <v>0.13013843475997591</v>
      </c>
      <c r="H615" s="172">
        <f>(H614/30)/1.983</f>
        <v>0.15128593040847199</v>
      </c>
      <c r="I615" s="38" t="s">
        <v>852</v>
      </c>
      <c r="J615" s="172">
        <f>(J614/31)/1.983</f>
        <v>0.11387113041497893</v>
      </c>
      <c r="K615" s="172">
        <f>(K614/31)/1.983</f>
        <v>9.7603826069981942E-2</v>
      </c>
      <c r="L615" s="172">
        <f>(L614/30)/1.983</f>
        <v>0.10085728693898134</v>
      </c>
      <c r="M615" s="38" t="s">
        <v>852</v>
      </c>
      <c r="N615" s="172">
        <f>(N614/31)/1.983</f>
        <v>8.1336521724984942E-2</v>
      </c>
      <c r="O615" s="172">
        <f>(O614/30)/1.983</f>
        <v>5.0428643469490671E-2</v>
      </c>
      <c r="P615" s="172">
        <f>(P614/31)/1.983</f>
        <v>3.2534608689993978E-2</v>
      </c>
      <c r="Q615" s="38" t="s">
        <v>852</v>
      </c>
      <c r="R615" s="38" t="s">
        <v>852</v>
      </c>
    </row>
    <row r="616" spans="1:18" ht="15.75" customHeight="1" x14ac:dyDescent="0.3">
      <c r="A616" s="234" t="s">
        <v>585</v>
      </c>
      <c r="B616" s="172">
        <f>B614+B650+B696-B645</f>
        <v>2593</v>
      </c>
      <c r="C616" s="172">
        <f>C614+C650+C696-C645</f>
        <v>4474</v>
      </c>
      <c r="D616" s="172">
        <f>D614+D650+D696-D645</f>
        <v>4793</v>
      </c>
      <c r="E616" s="38">
        <f>SUM(B616:D616)</f>
        <v>11860</v>
      </c>
      <c r="F616" s="172">
        <f>F614+F650+F696-F645</f>
        <v>3267</v>
      </c>
      <c r="G616" s="172">
        <f>G614+G650+G696-G645</f>
        <v>5039</v>
      </c>
      <c r="H616" s="172">
        <f>H614+H650+H696-H645</f>
        <v>2829</v>
      </c>
      <c r="I616" s="38">
        <f>SUM(F616:H616)</f>
        <v>11135</v>
      </c>
      <c r="J616" s="172">
        <f>J614+J650+J696-J645</f>
        <v>3531</v>
      </c>
      <c r="K616" s="172">
        <f>K614+K650+K696-K645</f>
        <v>3100</v>
      </c>
      <c r="L616" s="172">
        <f>L614+L650+L696-L645</f>
        <v>4069</v>
      </c>
      <c r="M616" s="38">
        <f>SUM(J616:L616)</f>
        <v>10700</v>
      </c>
      <c r="N616" s="172">
        <f>N614+N650+N696-N645</f>
        <v>3222</v>
      </c>
      <c r="O616" s="172">
        <f>O614+O650+O696-O645</f>
        <v>2019</v>
      </c>
      <c r="P616" s="172">
        <f>P614+P650+P696-P645</f>
        <v>3459</v>
      </c>
      <c r="Q616" s="38">
        <f>SUM(N616:P616)</f>
        <v>8700</v>
      </c>
      <c r="R616" s="38">
        <f>+E616+I616+M616+Q616</f>
        <v>42395</v>
      </c>
    </row>
    <row r="617" spans="1:18" ht="16.5" customHeight="1" thickBot="1" x14ac:dyDescent="0.35">
      <c r="A617" s="237" t="s">
        <v>57</v>
      </c>
      <c r="B617" s="238">
        <f>(B616/31)/1.983</f>
        <v>42.181120166577195</v>
      </c>
      <c r="C617" s="238">
        <f>(C616/28)/1.983</f>
        <v>80.577768172321868</v>
      </c>
      <c r="D617" s="238">
        <f>(D616/31)/1.983</f>
        <v>77.969189725570573</v>
      </c>
      <c r="E617" s="40" t="s">
        <v>852</v>
      </c>
      <c r="F617" s="238">
        <f>(F616/30)/1.983</f>
        <v>54.91679273827534</v>
      </c>
      <c r="G617" s="238">
        <f>(G616/31)/1.983</f>
        <v>81.970946594439837</v>
      </c>
      <c r="H617" s="238">
        <f>(H616/30)/1.983</f>
        <v>47.554210791729702</v>
      </c>
      <c r="I617" s="40" t="s">
        <v>852</v>
      </c>
      <c r="J617" s="238">
        <f>(J616/31)/1.983</f>
        <v>57.439851642184372</v>
      </c>
      <c r="K617" s="238">
        <f>(K616/31)/1.983</f>
        <v>50.428643469490666</v>
      </c>
      <c r="L617" s="238">
        <f>(L616/30)/1.983</f>
        <v>68.398050092452507</v>
      </c>
      <c r="M617" s="40" t="s">
        <v>852</v>
      </c>
      <c r="N617" s="238">
        <f>(N616/31)/1.983</f>
        <v>52.413254599580299</v>
      </c>
      <c r="O617" s="238">
        <f>(O616/30)/1.983</f>
        <v>33.938477054967215</v>
      </c>
      <c r="P617" s="238">
        <f>(P616/31)/1.983</f>
        <v>56.268605729344586</v>
      </c>
      <c r="Q617" s="40" t="s">
        <v>852</v>
      </c>
      <c r="R617" s="40" t="s">
        <v>852</v>
      </c>
    </row>
    <row r="618" spans="1:18" ht="15.75" customHeight="1" x14ac:dyDescent="0.3">
      <c r="A618" s="17"/>
      <c r="B618" s="172"/>
      <c r="C618" s="172"/>
      <c r="D618" s="172"/>
      <c r="E618" s="172"/>
      <c r="F618" s="172"/>
      <c r="G618" s="172"/>
      <c r="H618" s="172"/>
      <c r="I618" s="172"/>
      <c r="J618" s="172"/>
      <c r="K618" s="172"/>
      <c r="L618" s="172"/>
      <c r="M618" s="172"/>
      <c r="N618" s="172"/>
      <c r="O618" s="172"/>
      <c r="P618" s="172"/>
      <c r="Q618" s="172"/>
      <c r="R618" s="17"/>
    </row>
    <row r="619" spans="1:18" ht="15.75" customHeight="1" thickBot="1" x14ac:dyDescent="0.35">
      <c r="A619" s="17"/>
      <c r="B619" s="172"/>
      <c r="C619" s="172"/>
      <c r="D619" s="172"/>
      <c r="E619" s="172"/>
      <c r="F619" s="172"/>
      <c r="G619" s="172"/>
      <c r="H619" s="172"/>
      <c r="I619" s="172"/>
      <c r="J619" s="172"/>
      <c r="K619" s="172"/>
      <c r="L619" s="172"/>
      <c r="M619" s="172"/>
      <c r="N619" s="172"/>
      <c r="O619" s="172"/>
      <c r="P619" s="172"/>
      <c r="Q619" s="172"/>
      <c r="R619" s="17"/>
    </row>
    <row r="620" spans="1:18" ht="16.5" customHeight="1" thickBot="1" x14ac:dyDescent="0.35">
      <c r="A620" s="278" t="s">
        <v>1709</v>
      </c>
      <c r="B620" s="4" t="s">
        <v>2090</v>
      </c>
      <c r="C620" s="5" t="s">
        <v>2091</v>
      </c>
      <c r="D620" s="5" t="s">
        <v>2234</v>
      </c>
      <c r="E620" s="35" t="s">
        <v>1594</v>
      </c>
      <c r="F620" s="5" t="s">
        <v>2235</v>
      </c>
      <c r="G620" s="5" t="s">
        <v>2236</v>
      </c>
      <c r="H620" s="5" t="s">
        <v>2237</v>
      </c>
      <c r="I620" s="35" t="s">
        <v>1595</v>
      </c>
      <c r="J620" s="5" t="s">
        <v>1504</v>
      </c>
      <c r="K620" s="5" t="s">
        <v>1505</v>
      </c>
      <c r="L620" s="5" t="s">
        <v>1506</v>
      </c>
      <c r="M620" s="35" t="s">
        <v>1596</v>
      </c>
      <c r="N620" s="5" t="s">
        <v>1507</v>
      </c>
      <c r="O620" s="5" t="s">
        <v>1508</v>
      </c>
      <c r="P620" s="5" t="s">
        <v>1509</v>
      </c>
      <c r="Q620" s="35" t="s">
        <v>1597</v>
      </c>
      <c r="R620" s="59" t="s">
        <v>1510</v>
      </c>
    </row>
    <row r="621" spans="1:18" ht="16.5" customHeight="1" thickBot="1" x14ac:dyDescent="0.35">
      <c r="A621" s="22"/>
      <c r="B621" s="242"/>
      <c r="C621" s="242"/>
      <c r="D621" s="242"/>
      <c r="E621" s="282"/>
      <c r="F621" s="242"/>
      <c r="G621" s="242"/>
      <c r="H621" s="242"/>
      <c r="I621" s="282"/>
      <c r="J621" s="242"/>
      <c r="K621" s="242"/>
      <c r="L621" s="242"/>
      <c r="M621" s="282"/>
      <c r="N621" s="242"/>
      <c r="O621" s="242"/>
      <c r="P621" s="242"/>
      <c r="Q621" s="282"/>
      <c r="R621" s="19"/>
    </row>
    <row r="622" spans="1:18" ht="15.75" customHeight="1" x14ac:dyDescent="0.3">
      <c r="A622" s="234" t="s">
        <v>2417</v>
      </c>
      <c r="B622" s="172" t="s">
        <v>852</v>
      </c>
      <c r="C622" s="172" t="s">
        <v>852</v>
      </c>
      <c r="D622" s="172" t="s">
        <v>852</v>
      </c>
      <c r="E622" s="38" t="s">
        <v>852</v>
      </c>
      <c r="F622" s="172" t="s">
        <v>852</v>
      </c>
      <c r="G622" s="172" t="s">
        <v>852</v>
      </c>
      <c r="H622" s="172" t="s">
        <v>852</v>
      </c>
      <c r="I622" s="38" t="s">
        <v>852</v>
      </c>
      <c r="J622" s="172" t="s">
        <v>852</v>
      </c>
      <c r="K622" s="172" t="s">
        <v>852</v>
      </c>
      <c r="L622" s="172" t="s">
        <v>852</v>
      </c>
      <c r="M622" s="38" t="s">
        <v>852</v>
      </c>
      <c r="N622" s="172" t="s">
        <v>852</v>
      </c>
      <c r="O622" s="172" t="s">
        <v>852</v>
      </c>
      <c r="P622" s="172" t="s">
        <v>852</v>
      </c>
      <c r="Q622" s="38" t="s">
        <v>852</v>
      </c>
      <c r="R622" s="38" t="s">
        <v>852</v>
      </c>
    </row>
    <row r="623" spans="1:18" ht="15.75" customHeight="1" x14ac:dyDescent="0.3">
      <c r="A623" s="234" t="s">
        <v>2160</v>
      </c>
      <c r="B623" s="172"/>
      <c r="C623" s="172"/>
      <c r="D623" s="172"/>
      <c r="E623" s="38" t="s">
        <v>852</v>
      </c>
      <c r="F623" s="172"/>
      <c r="G623" s="172"/>
      <c r="H623" s="172"/>
      <c r="I623" s="38" t="s">
        <v>852</v>
      </c>
      <c r="J623" s="172"/>
      <c r="K623" s="172"/>
      <c r="L623" s="172"/>
      <c r="M623" s="38" t="s">
        <v>852</v>
      </c>
      <c r="N623" s="172"/>
      <c r="O623" s="172"/>
      <c r="P623" s="172"/>
      <c r="Q623" s="38" t="s">
        <v>852</v>
      </c>
      <c r="R623" s="38" t="s">
        <v>852</v>
      </c>
    </row>
    <row r="624" spans="1:18" ht="15.75" customHeight="1" x14ac:dyDescent="0.3">
      <c r="A624" s="266" t="s">
        <v>573</v>
      </c>
      <c r="B624" s="172">
        <v>0</v>
      </c>
      <c r="C624" s="172">
        <v>0</v>
      </c>
      <c r="D624" s="172">
        <v>0</v>
      </c>
      <c r="E624" s="38">
        <f>SUM(B624:D624)</f>
        <v>0</v>
      </c>
      <c r="F624" s="172">
        <v>36</v>
      </c>
      <c r="G624" s="172">
        <v>27</v>
      </c>
      <c r="H624" s="172">
        <v>22</v>
      </c>
      <c r="I624" s="38">
        <f>SUM(F624:H624)</f>
        <v>85</v>
      </c>
      <c r="J624" s="172">
        <v>70</v>
      </c>
      <c r="K624" s="172">
        <v>0</v>
      </c>
      <c r="L624" s="172">
        <v>23</v>
      </c>
      <c r="M624" s="38">
        <f>SUM(J624:L624)</f>
        <v>93</v>
      </c>
      <c r="N624" s="172">
        <v>18</v>
      </c>
      <c r="O624" s="172">
        <v>13</v>
      </c>
      <c r="P624" s="172">
        <v>40</v>
      </c>
      <c r="Q624" s="38">
        <f>SUM(N624:P624)</f>
        <v>71</v>
      </c>
      <c r="R624" s="38">
        <f>+E624+I624+M624+Q624</f>
        <v>249</v>
      </c>
    </row>
    <row r="625" spans="1:18" ht="15.75" customHeight="1" x14ac:dyDescent="0.3">
      <c r="A625" s="234" t="s">
        <v>2161</v>
      </c>
      <c r="B625" s="172"/>
      <c r="C625" s="172"/>
      <c r="D625" s="172"/>
      <c r="E625" s="38" t="s">
        <v>852</v>
      </c>
      <c r="F625" s="172"/>
      <c r="G625" s="172"/>
      <c r="H625" s="172"/>
      <c r="I625" s="38" t="s">
        <v>852</v>
      </c>
      <c r="J625" s="172"/>
      <c r="K625" s="172"/>
      <c r="L625" s="172"/>
      <c r="M625" s="38" t="s">
        <v>852</v>
      </c>
      <c r="N625" s="172"/>
      <c r="O625" s="172"/>
      <c r="P625" s="172"/>
      <c r="Q625" s="38" t="s">
        <v>852</v>
      </c>
      <c r="R625" s="38" t="s">
        <v>852</v>
      </c>
    </row>
    <row r="626" spans="1:18" ht="15.75" customHeight="1" x14ac:dyDescent="0.3">
      <c r="A626" s="234" t="s">
        <v>2162</v>
      </c>
      <c r="B626" s="172"/>
      <c r="C626" s="172"/>
      <c r="D626" s="172"/>
      <c r="E626" s="38" t="s">
        <v>852</v>
      </c>
      <c r="F626" s="172"/>
      <c r="G626" s="172"/>
      <c r="H626" s="172"/>
      <c r="I626" s="38" t="s">
        <v>852</v>
      </c>
      <c r="J626" s="172"/>
      <c r="K626" s="172"/>
      <c r="L626" s="172"/>
      <c r="M626" s="38" t="s">
        <v>852</v>
      </c>
      <c r="N626" s="172"/>
      <c r="O626" s="172"/>
      <c r="P626" s="172"/>
      <c r="Q626" s="38" t="s">
        <v>852</v>
      </c>
      <c r="R626" s="38" t="s">
        <v>852</v>
      </c>
    </row>
    <row r="627" spans="1:18" ht="15.75" customHeight="1" thickBot="1" x14ac:dyDescent="0.35">
      <c r="A627" s="234" t="s">
        <v>2164</v>
      </c>
      <c r="B627" s="172"/>
      <c r="C627" s="172"/>
      <c r="D627" s="172"/>
      <c r="E627" s="38" t="s">
        <v>852</v>
      </c>
      <c r="F627" s="172"/>
      <c r="G627" s="172"/>
      <c r="H627" s="172"/>
      <c r="I627" s="38" t="s">
        <v>852</v>
      </c>
      <c r="J627" s="172"/>
      <c r="K627" s="172"/>
      <c r="L627" s="172"/>
      <c r="M627" s="38" t="s">
        <v>852</v>
      </c>
      <c r="N627" s="172"/>
      <c r="O627" s="172"/>
      <c r="P627" s="172"/>
      <c r="Q627" s="38" t="s">
        <v>852</v>
      </c>
      <c r="R627" s="38" t="s">
        <v>852</v>
      </c>
    </row>
    <row r="628" spans="1:18" ht="16.5" customHeight="1" thickBot="1" x14ac:dyDescent="0.35">
      <c r="A628" s="43" t="s">
        <v>1218</v>
      </c>
      <c r="B628" s="45">
        <f>SUM(B622:B627)</f>
        <v>0</v>
      </c>
      <c r="C628" s="46">
        <f>SUM(C622:C627)</f>
        <v>0</v>
      </c>
      <c r="D628" s="46">
        <f>SUM(D622:D627)</f>
        <v>0</v>
      </c>
      <c r="E628" s="37">
        <f>SUM(B628:D628)</f>
        <v>0</v>
      </c>
      <c r="F628" s="46">
        <f>SUM(F622:F627)</f>
        <v>36</v>
      </c>
      <c r="G628" s="46">
        <f>SUM(G622:G627)</f>
        <v>27</v>
      </c>
      <c r="H628" s="46">
        <f>SUM(H622:H627)</f>
        <v>22</v>
      </c>
      <c r="I628" s="37">
        <f>SUM(F628:H628)</f>
        <v>85</v>
      </c>
      <c r="J628" s="46">
        <f>SUM(J622:J627)</f>
        <v>70</v>
      </c>
      <c r="K628" s="46">
        <f>SUM(K622:K627)</f>
        <v>0</v>
      </c>
      <c r="L628" s="46">
        <f>SUM(L622:L627)</f>
        <v>23</v>
      </c>
      <c r="M628" s="37">
        <f>SUM(J628:L628)</f>
        <v>93</v>
      </c>
      <c r="N628" s="46">
        <f>SUM(N622:N627)</f>
        <v>18</v>
      </c>
      <c r="O628" s="46">
        <f>SUM(O622:O627)</f>
        <v>13</v>
      </c>
      <c r="P628" s="46">
        <f>SUM(P622:P627)</f>
        <v>40</v>
      </c>
      <c r="Q628" s="37">
        <f>SUM(N628:P628)</f>
        <v>71</v>
      </c>
      <c r="R628" s="37">
        <f>+E628+I628+M628+Q628</f>
        <v>249</v>
      </c>
    </row>
    <row r="629" spans="1:18" ht="15.75" customHeight="1" x14ac:dyDescent="0.3">
      <c r="A629" s="234" t="s">
        <v>1172</v>
      </c>
      <c r="B629" s="172"/>
      <c r="C629" s="172"/>
      <c r="D629" s="172"/>
      <c r="E629" s="38" t="s">
        <v>852</v>
      </c>
      <c r="F629" s="172"/>
      <c r="G629" s="172"/>
      <c r="H629" s="172"/>
      <c r="I629" s="38" t="s">
        <v>852</v>
      </c>
      <c r="J629" s="172"/>
      <c r="K629" s="172"/>
      <c r="L629" s="172"/>
      <c r="M629" s="38" t="s">
        <v>852</v>
      </c>
      <c r="N629" s="172"/>
      <c r="O629" s="172"/>
      <c r="P629" s="172"/>
      <c r="Q629" s="38" t="s">
        <v>852</v>
      </c>
      <c r="R629" s="38" t="s">
        <v>852</v>
      </c>
    </row>
    <row r="630" spans="1:18" ht="15.75" customHeight="1" x14ac:dyDescent="0.3">
      <c r="A630" s="234" t="s">
        <v>2409</v>
      </c>
      <c r="B630" s="172"/>
      <c r="C630" s="172"/>
      <c r="D630" s="172"/>
      <c r="E630" s="38" t="s">
        <v>852</v>
      </c>
      <c r="F630" s="172"/>
      <c r="G630" s="172"/>
      <c r="H630" s="172"/>
      <c r="I630" s="38" t="s">
        <v>852</v>
      </c>
      <c r="J630" s="172"/>
      <c r="K630" s="172"/>
      <c r="L630" s="172"/>
      <c r="M630" s="38" t="s">
        <v>852</v>
      </c>
      <c r="N630" s="172"/>
      <c r="O630" s="172"/>
      <c r="P630" s="172"/>
      <c r="Q630" s="38" t="s">
        <v>852</v>
      </c>
      <c r="R630" s="38" t="s">
        <v>852</v>
      </c>
    </row>
    <row r="631" spans="1:18" ht="15.75" customHeight="1" thickBot="1" x14ac:dyDescent="0.35">
      <c r="A631" s="234" t="s">
        <v>2165</v>
      </c>
      <c r="B631" s="172"/>
      <c r="C631" s="172"/>
      <c r="D631" s="172"/>
      <c r="E631" s="38" t="s">
        <v>852</v>
      </c>
      <c r="F631" s="172"/>
      <c r="G631" s="172"/>
      <c r="H631" s="172"/>
      <c r="I631" s="38" t="s">
        <v>852</v>
      </c>
      <c r="J631" s="172"/>
      <c r="K631" s="172"/>
      <c r="L631" s="172"/>
      <c r="M631" s="38" t="s">
        <v>852</v>
      </c>
      <c r="N631" s="172"/>
      <c r="O631" s="172"/>
      <c r="P631" s="172"/>
      <c r="Q631" s="38" t="s">
        <v>852</v>
      </c>
      <c r="R631" s="38" t="s">
        <v>852</v>
      </c>
    </row>
    <row r="632" spans="1:18" ht="16.5" customHeight="1" thickBot="1" x14ac:dyDescent="0.35">
      <c r="A632" s="43" t="s">
        <v>1219</v>
      </c>
      <c r="B632" s="45">
        <f>SUM(B629:B631)</f>
        <v>0</v>
      </c>
      <c r="C632" s="46">
        <f>SUM(C629:C631)</f>
        <v>0</v>
      </c>
      <c r="D632" s="46">
        <f>SUM(D629:D631)</f>
        <v>0</v>
      </c>
      <c r="E632" s="37">
        <f>SUM(B632:D632)</f>
        <v>0</v>
      </c>
      <c r="F632" s="46">
        <f>SUM(F629:F631)</f>
        <v>0</v>
      </c>
      <c r="G632" s="46">
        <f>SUM(G629:G631)</f>
        <v>0</v>
      </c>
      <c r="H632" s="46">
        <f>SUM(H629:H631)</f>
        <v>0</v>
      </c>
      <c r="I632" s="37">
        <f>SUM(F632:H632)</f>
        <v>0</v>
      </c>
      <c r="J632" s="46">
        <f>SUM(J629:J631)</f>
        <v>0</v>
      </c>
      <c r="K632" s="46">
        <f>SUM(K629:K631)</f>
        <v>0</v>
      </c>
      <c r="L632" s="46">
        <f>SUM(L629:L631)</f>
        <v>0</v>
      </c>
      <c r="M632" s="37">
        <f>SUM(J632:L632)</f>
        <v>0</v>
      </c>
      <c r="N632" s="46">
        <f>SUM(N629:N631)</f>
        <v>0</v>
      </c>
      <c r="O632" s="46">
        <f>SUM(O629:O631)</f>
        <v>0</v>
      </c>
      <c r="P632" s="46">
        <f>SUM(P629:P631)</f>
        <v>0</v>
      </c>
      <c r="Q632" s="37">
        <f>SUM(N632:P632)</f>
        <v>0</v>
      </c>
      <c r="R632" s="37">
        <f>+E632+I632+M632+Q632</f>
        <v>0</v>
      </c>
    </row>
    <row r="633" spans="1:18" ht="15.75" customHeight="1" x14ac:dyDescent="0.3">
      <c r="A633" s="234" t="s">
        <v>2166</v>
      </c>
      <c r="B633" s="172"/>
      <c r="C633" s="172"/>
      <c r="D633" s="172"/>
      <c r="E633" s="38" t="s">
        <v>852</v>
      </c>
      <c r="F633" s="172"/>
      <c r="G633" s="172"/>
      <c r="H633" s="172"/>
      <c r="I633" s="38" t="s">
        <v>852</v>
      </c>
      <c r="J633" s="172"/>
      <c r="K633" s="172"/>
      <c r="L633" s="172"/>
      <c r="M633" s="38" t="s">
        <v>852</v>
      </c>
      <c r="N633" s="172"/>
      <c r="O633" s="172"/>
      <c r="P633" s="172"/>
      <c r="Q633" s="38" t="s">
        <v>852</v>
      </c>
      <c r="R633" s="38" t="s">
        <v>852</v>
      </c>
    </row>
    <row r="634" spans="1:18" ht="15.75" customHeight="1" x14ac:dyDescent="0.3">
      <c r="A634" s="234" t="s">
        <v>1245</v>
      </c>
      <c r="B634" s="172"/>
      <c r="C634" s="172"/>
      <c r="D634" s="172"/>
      <c r="E634" s="38" t="s">
        <v>852</v>
      </c>
      <c r="F634" s="172"/>
      <c r="G634" s="172"/>
      <c r="H634" s="172"/>
      <c r="I634" s="38" t="s">
        <v>852</v>
      </c>
      <c r="J634" s="172"/>
      <c r="K634" s="172"/>
      <c r="L634" s="172"/>
      <c r="M634" s="38" t="s">
        <v>852</v>
      </c>
      <c r="N634" s="172"/>
      <c r="O634" s="172"/>
      <c r="P634" s="172"/>
      <c r="Q634" s="38" t="s">
        <v>852</v>
      </c>
      <c r="R634" s="38" t="s">
        <v>852</v>
      </c>
    </row>
    <row r="635" spans="1:18" ht="15.75" customHeight="1" thickBot="1" x14ac:dyDescent="0.35">
      <c r="A635" s="234" t="s">
        <v>1711</v>
      </c>
      <c r="B635" s="172"/>
      <c r="C635" s="172"/>
      <c r="D635" s="172"/>
      <c r="E635" s="38" t="s">
        <v>852</v>
      </c>
      <c r="F635" s="172"/>
      <c r="G635" s="172"/>
      <c r="H635" s="172"/>
      <c r="I635" s="38" t="s">
        <v>852</v>
      </c>
      <c r="J635" s="172"/>
      <c r="K635" s="172"/>
      <c r="L635" s="172"/>
      <c r="M635" s="38" t="s">
        <v>852</v>
      </c>
      <c r="N635" s="172"/>
      <c r="O635" s="172"/>
      <c r="P635" s="172"/>
      <c r="Q635" s="38" t="s">
        <v>852</v>
      </c>
      <c r="R635" s="38" t="s">
        <v>852</v>
      </c>
    </row>
    <row r="636" spans="1:18" ht="16.5" customHeight="1" thickBot="1" x14ac:dyDescent="0.35">
      <c r="A636" s="43" t="s">
        <v>1220</v>
      </c>
      <c r="B636" s="45">
        <f>SUM(B633:B635)</f>
        <v>0</v>
      </c>
      <c r="C636" s="46">
        <f>SUM(C633:C635)</f>
        <v>0</v>
      </c>
      <c r="D636" s="46">
        <f>SUM(D633:D635)</f>
        <v>0</v>
      </c>
      <c r="E636" s="37">
        <f>SUM(B636:D636)</f>
        <v>0</v>
      </c>
      <c r="F636" s="46">
        <f>SUM(F633:F635)</f>
        <v>0</v>
      </c>
      <c r="G636" s="46">
        <f>SUM(G633:G635)</f>
        <v>0</v>
      </c>
      <c r="H636" s="46">
        <f>SUM(H633:H635)</f>
        <v>0</v>
      </c>
      <c r="I636" s="37">
        <f>SUM(F636:H636)</f>
        <v>0</v>
      </c>
      <c r="J636" s="46">
        <f>SUM(J633:J635)</f>
        <v>0</v>
      </c>
      <c r="K636" s="46">
        <f>SUM(K633:K635)</f>
        <v>0</v>
      </c>
      <c r="L636" s="46">
        <f>SUM(L633:L635)</f>
        <v>0</v>
      </c>
      <c r="M636" s="37">
        <f>SUM(J636:L636)</f>
        <v>0</v>
      </c>
      <c r="N636" s="46">
        <f>SUM(N633:N635)</f>
        <v>0</v>
      </c>
      <c r="O636" s="46">
        <f>SUM(O633:O635)</f>
        <v>0</v>
      </c>
      <c r="P636" s="46">
        <f>SUM(P633:P635)</f>
        <v>0</v>
      </c>
      <c r="Q636" s="37">
        <f>SUM(N636:P636)</f>
        <v>0</v>
      </c>
      <c r="R636" s="37">
        <f>+E636+I636+M636+Q636</f>
        <v>0</v>
      </c>
    </row>
    <row r="637" spans="1:18" ht="15.75" customHeight="1" x14ac:dyDescent="0.3">
      <c r="A637" s="234" t="s">
        <v>1712</v>
      </c>
      <c r="B637" s="172"/>
      <c r="C637" s="172"/>
      <c r="D637" s="172"/>
      <c r="E637" s="38" t="s">
        <v>852</v>
      </c>
      <c r="F637" s="172"/>
      <c r="G637" s="172"/>
      <c r="H637" s="172"/>
      <c r="I637" s="38" t="s">
        <v>852</v>
      </c>
      <c r="J637" s="172"/>
      <c r="K637" s="172"/>
      <c r="L637" s="172"/>
      <c r="M637" s="38" t="s">
        <v>852</v>
      </c>
      <c r="N637" s="172"/>
      <c r="O637" s="172"/>
      <c r="P637" s="172"/>
      <c r="Q637" s="38" t="s">
        <v>852</v>
      </c>
      <c r="R637" s="38" t="s">
        <v>852</v>
      </c>
    </row>
    <row r="638" spans="1:18" ht="15.75" customHeight="1" x14ac:dyDescent="0.3">
      <c r="A638" s="234" t="s">
        <v>1021</v>
      </c>
      <c r="B638" s="172"/>
      <c r="C638" s="172"/>
      <c r="D638" s="172"/>
      <c r="E638" s="38" t="s">
        <v>852</v>
      </c>
      <c r="F638" s="172"/>
      <c r="G638" s="172"/>
      <c r="H638" s="172"/>
      <c r="I638" s="38" t="s">
        <v>852</v>
      </c>
      <c r="J638" s="172"/>
      <c r="K638" s="172"/>
      <c r="L638" s="172"/>
      <c r="M638" s="38" t="s">
        <v>852</v>
      </c>
      <c r="N638" s="172"/>
      <c r="O638" s="172"/>
      <c r="P638" s="172"/>
      <c r="Q638" s="38" t="s">
        <v>852</v>
      </c>
      <c r="R638" s="38" t="s">
        <v>852</v>
      </c>
    </row>
    <row r="639" spans="1:18" ht="15.75" customHeight="1" x14ac:dyDescent="0.3">
      <c r="A639" s="234" t="s">
        <v>557</v>
      </c>
      <c r="B639" s="172"/>
      <c r="C639" s="172"/>
      <c r="D639" s="172"/>
      <c r="E639" s="38" t="s">
        <v>852</v>
      </c>
      <c r="F639" s="172"/>
      <c r="G639" s="172"/>
      <c r="H639" s="172"/>
      <c r="I639" s="38" t="s">
        <v>852</v>
      </c>
      <c r="J639" s="172"/>
      <c r="K639" s="172"/>
      <c r="L639" s="172"/>
      <c r="M639" s="38" t="s">
        <v>852</v>
      </c>
      <c r="N639" s="172"/>
      <c r="O639" s="172"/>
      <c r="P639" s="172"/>
      <c r="Q639" s="38" t="s">
        <v>852</v>
      </c>
      <c r="R639" s="38" t="s">
        <v>852</v>
      </c>
    </row>
    <row r="640" spans="1:18" ht="15.75" customHeight="1" x14ac:dyDescent="0.3">
      <c r="A640" s="234" t="s">
        <v>1022</v>
      </c>
      <c r="B640" s="172"/>
      <c r="C640" s="172"/>
      <c r="D640" s="172"/>
      <c r="E640" s="38" t="s">
        <v>852</v>
      </c>
      <c r="F640" s="172"/>
      <c r="G640" s="172"/>
      <c r="H640" s="172"/>
      <c r="I640" s="38" t="s">
        <v>852</v>
      </c>
      <c r="J640" s="172"/>
      <c r="K640" s="172"/>
      <c r="L640" s="172"/>
      <c r="M640" s="38" t="s">
        <v>852</v>
      </c>
      <c r="N640" s="172"/>
      <c r="O640" s="172"/>
      <c r="P640" s="172"/>
      <c r="Q640" s="38" t="s">
        <v>852</v>
      </c>
      <c r="R640" s="38" t="s">
        <v>852</v>
      </c>
    </row>
    <row r="641" spans="1:18" ht="15.75" customHeight="1" thickBot="1" x14ac:dyDescent="0.35">
      <c r="A641" s="234" t="s">
        <v>559</v>
      </c>
      <c r="B641" s="172"/>
      <c r="C641" s="172"/>
      <c r="D641" s="172"/>
      <c r="E641" s="38" t="s">
        <v>852</v>
      </c>
      <c r="F641" s="172"/>
      <c r="G641" s="172"/>
      <c r="H641" s="172"/>
      <c r="I641" s="38" t="s">
        <v>852</v>
      </c>
      <c r="J641" s="172"/>
      <c r="K641" s="172"/>
      <c r="L641" s="172"/>
      <c r="M641" s="38" t="s">
        <v>852</v>
      </c>
      <c r="N641" s="172"/>
      <c r="O641" s="172"/>
      <c r="P641" s="172"/>
      <c r="Q641" s="38" t="s">
        <v>852</v>
      </c>
      <c r="R641" s="38" t="s">
        <v>852</v>
      </c>
    </row>
    <row r="642" spans="1:18" ht="16.5" customHeight="1" thickBot="1" x14ac:dyDescent="0.35">
      <c r="A642" s="43" t="s">
        <v>1019</v>
      </c>
      <c r="B642" s="42">
        <f>SUM(B641:B641)</f>
        <v>0</v>
      </c>
      <c r="C642" s="42">
        <f>SUM(C641:C641)</f>
        <v>0</v>
      </c>
      <c r="D642" s="42">
        <f>SUM(D641:D641)</f>
        <v>0</v>
      </c>
      <c r="E642" s="39">
        <f>SUM(B642:D642)</f>
        <v>0</v>
      </c>
      <c r="F642" s="42">
        <f>SUM(F641:F641)</f>
        <v>0</v>
      </c>
      <c r="G642" s="42">
        <f>SUM(G641:G641)</f>
        <v>0</v>
      </c>
      <c r="H642" s="42">
        <f>SUM(H641:H641)</f>
        <v>0</v>
      </c>
      <c r="I642" s="39">
        <f>SUM(F642:H642)</f>
        <v>0</v>
      </c>
      <c r="J642" s="42">
        <f>SUM(J641:J641)</f>
        <v>0</v>
      </c>
      <c r="K642" s="42">
        <f>SUM(K641:K641)</f>
        <v>0</v>
      </c>
      <c r="L642" s="42">
        <f>SUM(L641:L641)</f>
        <v>0</v>
      </c>
      <c r="M642" s="39">
        <f>SUM(J642:L642)</f>
        <v>0</v>
      </c>
      <c r="N642" s="42">
        <f>SUM(N641:N641)</f>
        <v>0</v>
      </c>
      <c r="O642" s="42">
        <f>SUM(O641:O641)</f>
        <v>0</v>
      </c>
      <c r="P642" s="42">
        <f>SUM(P641:P641)</f>
        <v>0</v>
      </c>
      <c r="Q642" s="39">
        <f>SUM(N642:P642)</f>
        <v>0</v>
      </c>
      <c r="R642" s="37">
        <f>+E642+I642+M642+Q642</f>
        <v>0</v>
      </c>
    </row>
    <row r="643" spans="1:18" ht="16.5" customHeight="1" thickBot="1" x14ac:dyDescent="0.35">
      <c r="A643" s="43" t="s">
        <v>1221</v>
      </c>
      <c r="B643" s="45">
        <f>SUM(B637:B641)</f>
        <v>0</v>
      </c>
      <c r="C643" s="46">
        <f>SUM(C637:C641)</f>
        <v>0</v>
      </c>
      <c r="D643" s="58">
        <f>SUM(D637:D641)</f>
        <v>0</v>
      </c>
      <c r="E643" s="39">
        <f>SUM(B643:D643)</f>
        <v>0</v>
      </c>
      <c r="F643" s="46">
        <f>SUM(F637:F641)</f>
        <v>0</v>
      </c>
      <c r="G643" s="46">
        <f>SUM(G637:G641)</f>
        <v>0</v>
      </c>
      <c r="H643" s="46">
        <f>SUM(H637:H641)</f>
        <v>0</v>
      </c>
      <c r="I643" s="39">
        <f>SUM(F643:H643)</f>
        <v>0</v>
      </c>
      <c r="J643" s="46">
        <f>SUM(J637:J641)</f>
        <v>0</v>
      </c>
      <c r="K643" s="46">
        <f>SUM(K637:K641)</f>
        <v>0</v>
      </c>
      <c r="L643" s="46">
        <f>SUM(L637:L641)</f>
        <v>0</v>
      </c>
      <c r="M643" s="39">
        <f>SUM(J643:L643)</f>
        <v>0</v>
      </c>
      <c r="N643" s="46">
        <f>SUM(N637:N641)</f>
        <v>0</v>
      </c>
      <c r="O643" s="46">
        <f>SUM(O637:O641)</f>
        <v>0</v>
      </c>
      <c r="P643" s="46">
        <f>SUM(P637:P641)</f>
        <v>0</v>
      </c>
      <c r="Q643" s="39">
        <f>SUM(N643:P643)</f>
        <v>0</v>
      </c>
      <c r="R643" s="37">
        <f>+E643+I643+M643+Q643</f>
        <v>0</v>
      </c>
    </row>
    <row r="644" spans="1:18" ht="16.5" customHeight="1" thickBot="1" x14ac:dyDescent="0.35">
      <c r="A644" s="43" t="s">
        <v>1222</v>
      </c>
      <c r="B644" s="47">
        <f>+B628+B632+B636+B643</f>
        <v>0</v>
      </c>
      <c r="C644" s="42">
        <f>+C628+C632+C636+C643</f>
        <v>0</v>
      </c>
      <c r="D644" s="42">
        <f>+D628+D632+D636+D643</f>
        <v>0</v>
      </c>
      <c r="E644" s="37">
        <f>SUM(B644:D644)</f>
        <v>0</v>
      </c>
      <c r="F644" s="42">
        <f>+F628+F632+F636+F643</f>
        <v>36</v>
      </c>
      <c r="G644" s="42">
        <f>+G628+G632+G636+G643</f>
        <v>27</v>
      </c>
      <c r="H644" s="42">
        <f>+H628+H632+H636+H643</f>
        <v>22</v>
      </c>
      <c r="I644" s="37">
        <f>SUM(F644:H644)</f>
        <v>85</v>
      </c>
      <c r="J644" s="42">
        <f>+J628+J632+J636+J643</f>
        <v>70</v>
      </c>
      <c r="K644" s="42">
        <f>+K628+K632+K636+K643</f>
        <v>0</v>
      </c>
      <c r="L644" s="42">
        <f>+L628+L632+L636+L643</f>
        <v>23</v>
      </c>
      <c r="M644" s="37">
        <f>SUM(J644:L644)</f>
        <v>93</v>
      </c>
      <c r="N644" s="42">
        <f>+N628+N632+N636+N643</f>
        <v>18</v>
      </c>
      <c r="O644" s="42">
        <f>+O628+O632+O636+O643</f>
        <v>13</v>
      </c>
      <c r="P644" s="42">
        <f>+P628+P632+P636+P643</f>
        <v>40</v>
      </c>
      <c r="Q644" s="37">
        <f>SUM(N644:P644)</f>
        <v>71</v>
      </c>
      <c r="R644" s="40">
        <f>+E644+I644+M644+Q644</f>
        <v>249</v>
      </c>
    </row>
    <row r="645" spans="1:18" ht="15.75" customHeight="1" x14ac:dyDescent="0.3">
      <c r="A645" s="266" t="s">
        <v>2117</v>
      </c>
      <c r="B645" s="172">
        <v>5175</v>
      </c>
      <c r="C645" s="172">
        <v>5419</v>
      </c>
      <c r="D645" s="172">
        <v>5780</v>
      </c>
      <c r="E645" s="38">
        <f>SUM(B645:D645)</f>
        <v>16374</v>
      </c>
      <c r="F645" s="172">
        <v>6045</v>
      </c>
      <c r="G645" s="172">
        <v>6546</v>
      </c>
      <c r="H645" s="172">
        <v>6292</v>
      </c>
      <c r="I645" s="38">
        <f>SUM(F645:H645)</f>
        <v>18883</v>
      </c>
      <c r="J645" s="172">
        <v>6365</v>
      </c>
      <c r="K645" s="172">
        <v>2363</v>
      </c>
      <c r="L645" s="172">
        <v>4519</v>
      </c>
      <c r="M645" s="38">
        <f>SUM(J645:L645)</f>
        <v>13247</v>
      </c>
      <c r="N645" s="172">
        <v>5799</v>
      </c>
      <c r="O645" s="172">
        <v>5436</v>
      </c>
      <c r="P645" s="172">
        <v>5565</v>
      </c>
      <c r="Q645" s="38">
        <f>SUM(N645:P645)</f>
        <v>16800</v>
      </c>
      <c r="R645" s="38">
        <f>+E645+I645+M645+Q645</f>
        <v>65304</v>
      </c>
    </row>
    <row r="646" spans="1:18" ht="15.75" customHeight="1" thickBot="1" x14ac:dyDescent="0.35">
      <c r="A646" s="266" t="s">
        <v>853</v>
      </c>
      <c r="B646" s="172">
        <v>0</v>
      </c>
      <c r="C646" s="172">
        <v>0</v>
      </c>
      <c r="D646" s="172">
        <v>0</v>
      </c>
      <c r="E646" s="38">
        <f>SUM(B646:D646)</f>
        <v>0</v>
      </c>
      <c r="F646" s="172">
        <v>0</v>
      </c>
      <c r="G646" s="172">
        <v>0</v>
      </c>
      <c r="H646" s="172">
        <v>0</v>
      </c>
      <c r="I646" s="38">
        <f>SUM(F646:H646)</f>
        <v>0</v>
      </c>
      <c r="J646" s="172">
        <v>0</v>
      </c>
      <c r="K646" s="172">
        <v>0</v>
      </c>
      <c r="L646" s="172">
        <v>0</v>
      </c>
      <c r="M646" s="38">
        <f>SUM(J646:L646)</f>
        <v>0</v>
      </c>
      <c r="N646" s="172">
        <v>0</v>
      </c>
      <c r="O646" s="172">
        <v>0</v>
      </c>
      <c r="P646" s="172">
        <v>0</v>
      </c>
      <c r="Q646" s="38">
        <f>SUM(N646:P646)</f>
        <v>0</v>
      </c>
      <c r="R646" s="38">
        <f>+E646+I646+M646+Q646</f>
        <v>0</v>
      </c>
    </row>
    <row r="647" spans="1:18" ht="16.5" customHeight="1" thickBot="1" x14ac:dyDescent="0.35">
      <c r="A647" s="281"/>
      <c r="B647" s="232"/>
      <c r="C647" s="232"/>
      <c r="D647" s="232"/>
      <c r="E647" s="37" t="s">
        <v>852</v>
      </c>
      <c r="F647" s="232"/>
      <c r="G647" s="232"/>
      <c r="H647" s="232"/>
      <c r="I647" s="37" t="s">
        <v>852</v>
      </c>
      <c r="J647" s="232"/>
      <c r="K647" s="232"/>
      <c r="L647" s="232"/>
      <c r="M647" s="37" t="s">
        <v>852</v>
      </c>
      <c r="N647" s="232"/>
      <c r="O647" s="232"/>
      <c r="P647" s="232"/>
      <c r="Q647" s="37"/>
      <c r="R647" s="37"/>
    </row>
    <row r="648" spans="1:18" ht="15.75" customHeight="1" x14ac:dyDescent="0.3">
      <c r="A648" s="234" t="s">
        <v>2011</v>
      </c>
      <c r="B648" s="172">
        <f>SUM(B644:B646)</f>
        <v>5175</v>
      </c>
      <c r="C648" s="172">
        <f>SUM(C644:C646)</f>
        <v>5419</v>
      </c>
      <c r="D648" s="172">
        <f>SUM(D644:D646)</f>
        <v>5780</v>
      </c>
      <c r="E648" s="39">
        <f>SUM(B648:D648)</f>
        <v>16374</v>
      </c>
      <c r="F648" s="172">
        <f>SUM(F644:F646)</f>
        <v>6081</v>
      </c>
      <c r="G648" s="172">
        <f>SUM(G644:G646)</f>
        <v>6573</v>
      </c>
      <c r="H648" s="172">
        <f>SUM(H644:H646)</f>
        <v>6314</v>
      </c>
      <c r="I648" s="39">
        <f>SUM(F648:H648)</f>
        <v>18968</v>
      </c>
      <c r="J648" s="172">
        <f>SUM(J644:J646)</f>
        <v>6435</v>
      </c>
      <c r="K648" s="172">
        <f>SUM(K644:K646)</f>
        <v>2363</v>
      </c>
      <c r="L648" s="172">
        <f>SUM(L644:L646)</f>
        <v>4542</v>
      </c>
      <c r="M648" s="39">
        <f>SUM(J648:L648)</f>
        <v>13340</v>
      </c>
      <c r="N648" s="172">
        <f>SUM(N644:N646)</f>
        <v>5817</v>
      </c>
      <c r="O648" s="172">
        <f>SUM(O644:O646)</f>
        <v>5449</v>
      </c>
      <c r="P648" s="172">
        <f>SUM(P644:P646)</f>
        <v>5605</v>
      </c>
      <c r="Q648" s="39">
        <f>SUM(N648:P648)</f>
        <v>16871</v>
      </c>
      <c r="R648" s="39">
        <f>+E648+I648+M648+Q648</f>
        <v>65553</v>
      </c>
    </row>
    <row r="649" spans="1:18" ht="15.75" customHeight="1" x14ac:dyDescent="0.3">
      <c r="A649" s="234" t="s">
        <v>1897</v>
      </c>
      <c r="B649" s="172">
        <f>(B648/31)/1.983</f>
        <v>84.183299985359426</v>
      </c>
      <c r="C649" s="172">
        <f>(C648/28)/1.983</f>
        <v>97.597435343274967</v>
      </c>
      <c r="D649" s="172">
        <f>(D648/31)/1.983</f>
        <v>94.025019114082596</v>
      </c>
      <c r="E649" s="38" t="s">
        <v>852</v>
      </c>
      <c r="F649" s="172">
        <f>(F648/30)/1.983</f>
        <v>102.21886031265758</v>
      </c>
      <c r="G649" s="172">
        <f>(G648/31)/1.983</f>
        <v>106.92499145966521</v>
      </c>
      <c r="H649" s="172">
        <f>(H648/30)/1.983</f>
        <v>106.1354849554547</v>
      </c>
      <c r="I649" s="38" t="s">
        <v>852</v>
      </c>
      <c r="J649" s="172">
        <f>(J648/31)/1.983</f>
        <v>104.68010346005563</v>
      </c>
      <c r="K649" s="172">
        <f>(K648/31)/1.983</f>
        <v>38.439640167227886</v>
      </c>
      <c r="L649" s="172">
        <f>(L648/30)/1.983</f>
        <v>76.348966212808875</v>
      </c>
      <c r="M649" s="38" t="s">
        <v>852</v>
      </c>
      <c r="N649" s="172">
        <f>(N648/31)/1.983</f>
        <v>94.6269093748475</v>
      </c>
      <c r="O649" s="172">
        <f>(O648/30)/1.983</f>
        <v>91.595226088418215</v>
      </c>
      <c r="P649" s="172">
        <f>(P648/31)/1.983</f>
        <v>91.178240853708132</v>
      </c>
      <c r="Q649" s="38" t="s">
        <v>852</v>
      </c>
      <c r="R649" s="38" t="s">
        <v>852</v>
      </c>
    </row>
    <row r="650" spans="1:18" ht="15.75" customHeight="1" x14ac:dyDescent="0.3">
      <c r="A650" s="234" t="s">
        <v>647</v>
      </c>
      <c r="B650" s="172">
        <f>B648</f>
        <v>5175</v>
      </c>
      <c r="C650" s="172">
        <f>C648</f>
        <v>5419</v>
      </c>
      <c r="D650" s="172">
        <f>D648</f>
        <v>5780</v>
      </c>
      <c r="E650" s="38">
        <f>SUM(B650:D650)</f>
        <v>16374</v>
      </c>
      <c r="F650" s="172">
        <f>F648</f>
        <v>6081</v>
      </c>
      <c r="G650" s="172">
        <f>G648</f>
        <v>6573</v>
      </c>
      <c r="H650" s="172">
        <f>H648</f>
        <v>6314</v>
      </c>
      <c r="I650" s="38">
        <f>SUM(F650:H650)</f>
        <v>18968</v>
      </c>
      <c r="J650" s="172">
        <f>J648</f>
        <v>6435</v>
      </c>
      <c r="K650" s="172">
        <f>K648</f>
        <v>2363</v>
      </c>
      <c r="L650" s="172">
        <f>L648</f>
        <v>4542</v>
      </c>
      <c r="M650" s="38">
        <f>SUM(J650:L650)</f>
        <v>13340</v>
      </c>
      <c r="N650" s="172">
        <f>N648</f>
        <v>5817</v>
      </c>
      <c r="O650" s="172">
        <f>O648</f>
        <v>5449</v>
      </c>
      <c r="P650" s="172">
        <f>P648</f>
        <v>5605</v>
      </c>
      <c r="Q650" s="38">
        <f>SUM(N650:P650)</f>
        <v>16871</v>
      </c>
      <c r="R650" s="38">
        <f>+E650+I650+M650+Q650</f>
        <v>65553</v>
      </c>
    </row>
    <row r="651" spans="1:18" ht="16.5" customHeight="1" thickBot="1" x14ac:dyDescent="0.35">
      <c r="A651" s="237" t="s">
        <v>2191</v>
      </c>
      <c r="B651" s="238">
        <f>(B650/31)/1.983</f>
        <v>84.183299985359426</v>
      </c>
      <c r="C651" s="238">
        <f>(C650/28)/1.983</f>
        <v>97.597435343274967</v>
      </c>
      <c r="D651" s="238">
        <f>(D650/31)/1.983</f>
        <v>94.025019114082596</v>
      </c>
      <c r="E651" s="40" t="s">
        <v>852</v>
      </c>
      <c r="F651" s="238">
        <f>(F650/30)/1.983</f>
        <v>102.21886031265758</v>
      </c>
      <c r="G651" s="238">
        <f>(G650/31)/1.983</f>
        <v>106.92499145966521</v>
      </c>
      <c r="H651" s="238">
        <f>(H650/30)/1.983</f>
        <v>106.1354849554547</v>
      </c>
      <c r="I651" s="40" t="s">
        <v>852</v>
      </c>
      <c r="J651" s="238">
        <f>(J650/31)/1.983</f>
        <v>104.68010346005563</v>
      </c>
      <c r="K651" s="238">
        <f>(K650/31)/1.983</f>
        <v>38.439640167227886</v>
      </c>
      <c r="L651" s="238">
        <f>(L650/30)/1.983</f>
        <v>76.348966212808875</v>
      </c>
      <c r="M651" s="40" t="s">
        <v>852</v>
      </c>
      <c r="N651" s="238">
        <f>(N650/31)/1.983</f>
        <v>94.6269093748475</v>
      </c>
      <c r="O651" s="238">
        <f>(O650/30)/1.983</f>
        <v>91.595226088418215</v>
      </c>
      <c r="P651" s="238">
        <f>(P650/31)/1.983</f>
        <v>91.178240853708132</v>
      </c>
      <c r="Q651" s="40" t="s">
        <v>852</v>
      </c>
      <c r="R651" s="40" t="s">
        <v>852</v>
      </c>
    </row>
    <row r="652" spans="1:18" ht="15.75" customHeight="1" x14ac:dyDescent="0.3">
      <c r="A652" s="17"/>
      <c r="B652" s="172"/>
      <c r="C652" s="172"/>
      <c r="D652" s="172"/>
      <c r="E652" s="172"/>
      <c r="F652" s="172"/>
      <c r="G652" s="172"/>
      <c r="H652" s="172"/>
      <c r="I652" s="172"/>
      <c r="J652" s="172"/>
      <c r="K652" s="172"/>
      <c r="L652" s="172"/>
      <c r="M652" s="172"/>
      <c r="N652" s="172"/>
      <c r="O652" s="172"/>
      <c r="P652" s="172"/>
      <c r="Q652" s="172"/>
      <c r="R652" s="17"/>
    </row>
    <row r="653" spans="1:18" ht="15.75" customHeight="1" thickBot="1" x14ac:dyDescent="0.35">
      <c r="A653" s="17"/>
      <c r="B653" s="172"/>
      <c r="C653" s="172"/>
      <c r="D653" s="172"/>
      <c r="E653" s="172"/>
      <c r="F653" s="172"/>
      <c r="G653" s="172"/>
      <c r="H653" s="172"/>
      <c r="I653" s="172"/>
      <c r="J653" s="172"/>
      <c r="K653" s="172"/>
      <c r="L653" s="172"/>
      <c r="M653" s="172"/>
      <c r="N653" s="172"/>
      <c r="O653" s="172"/>
      <c r="P653" s="172"/>
      <c r="Q653" s="172"/>
      <c r="R653" s="17"/>
    </row>
    <row r="654" spans="1:18" ht="16.5" customHeight="1" thickBot="1" x14ac:dyDescent="0.35">
      <c r="A654" s="278" t="s">
        <v>2192</v>
      </c>
      <c r="B654" s="4" t="s">
        <v>2090</v>
      </c>
      <c r="C654" s="5" t="s">
        <v>2091</v>
      </c>
      <c r="D654" s="5" t="s">
        <v>2234</v>
      </c>
      <c r="E654" s="33" t="s">
        <v>1594</v>
      </c>
      <c r="F654" s="5" t="s">
        <v>2235</v>
      </c>
      <c r="G654" s="5" t="s">
        <v>2236</v>
      </c>
      <c r="H654" s="5" t="s">
        <v>2237</v>
      </c>
      <c r="I654" s="35" t="s">
        <v>1595</v>
      </c>
      <c r="J654" s="5" t="s">
        <v>1504</v>
      </c>
      <c r="K654" s="5" t="s">
        <v>1505</v>
      </c>
      <c r="L654" s="5" t="s">
        <v>1506</v>
      </c>
      <c r="M654" s="35" t="s">
        <v>1596</v>
      </c>
      <c r="N654" s="5" t="s">
        <v>1507</v>
      </c>
      <c r="O654" s="5" t="s">
        <v>1508</v>
      </c>
      <c r="P654" s="5" t="s">
        <v>1509</v>
      </c>
      <c r="Q654" s="35" t="s">
        <v>1597</v>
      </c>
      <c r="R654" s="60" t="s">
        <v>1510</v>
      </c>
    </row>
    <row r="655" spans="1:18" ht="16.5" customHeight="1" thickBot="1" x14ac:dyDescent="0.35">
      <c r="A655" s="22"/>
      <c r="B655" s="242"/>
      <c r="C655" s="242"/>
      <c r="D655" s="242"/>
      <c r="E655" s="233"/>
      <c r="F655" s="242"/>
      <c r="G655" s="242"/>
      <c r="H655" s="242"/>
      <c r="I655" s="282"/>
      <c r="J655" s="242"/>
      <c r="K655" s="242"/>
      <c r="L655" s="242"/>
      <c r="M655" s="282"/>
      <c r="N655" s="242"/>
      <c r="O655" s="242"/>
      <c r="P655" s="242"/>
      <c r="Q655" s="283"/>
      <c r="R655" s="61"/>
    </row>
    <row r="656" spans="1:18" ht="15.75" customHeight="1" x14ac:dyDescent="0.3">
      <c r="A656" s="234" t="s">
        <v>2417</v>
      </c>
      <c r="B656" s="172" t="s">
        <v>852</v>
      </c>
      <c r="C656" s="172" t="s">
        <v>852</v>
      </c>
      <c r="D656" s="172" t="s">
        <v>852</v>
      </c>
      <c r="E656" s="284"/>
      <c r="F656" s="172" t="s">
        <v>852</v>
      </c>
      <c r="G656" s="172" t="s">
        <v>852</v>
      </c>
      <c r="H656" s="172" t="s">
        <v>852</v>
      </c>
      <c r="I656" s="284"/>
      <c r="J656" s="172" t="s">
        <v>852</v>
      </c>
      <c r="K656" s="172" t="s">
        <v>852</v>
      </c>
      <c r="L656" s="172" t="s">
        <v>852</v>
      </c>
      <c r="M656" s="284"/>
      <c r="N656" s="172" t="s">
        <v>852</v>
      </c>
      <c r="O656" s="172" t="s">
        <v>852</v>
      </c>
      <c r="P656" s="172" t="s">
        <v>852</v>
      </c>
      <c r="Q656" s="285"/>
      <c r="R656" s="62" t="s">
        <v>852</v>
      </c>
    </row>
    <row r="657" spans="1:18" ht="15.75" customHeight="1" x14ac:dyDescent="0.3">
      <c r="A657" s="234" t="s">
        <v>2160</v>
      </c>
      <c r="B657" s="172"/>
      <c r="C657" s="172"/>
      <c r="D657" s="172"/>
      <c r="E657" s="38" t="s">
        <v>852</v>
      </c>
      <c r="F657" s="172"/>
      <c r="G657" s="172"/>
      <c r="H657" s="172"/>
      <c r="I657" s="38" t="s">
        <v>852</v>
      </c>
      <c r="J657" s="172"/>
      <c r="K657" s="172"/>
      <c r="L657" s="172"/>
      <c r="M657" s="38" t="s">
        <v>852</v>
      </c>
      <c r="N657" s="172"/>
      <c r="O657" s="172"/>
      <c r="P657" s="172"/>
      <c r="Q657" s="38" t="s">
        <v>852</v>
      </c>
      <c r="R657" s="38" t="s">
        <v>852</v>
      </c>
    </row>
    <row r="658" spans="1:18" ht="15.75" customHeight="1" x14ac:dyDescent="0.3">
      <c r="A658" s="266" t="s">
        <v>1910</v>
      </c>
      <c r="B658" s="10"/>
      <c r="C658" s="10"/>
      <c r="D658" s="10"/>
      <c r="E658" s="38">
        <f>SUM(B658:D658)</f>
        <v>0</v>
      </c>
      <c r="F658" s="10"/>
      <c r="G658" s="10"/>
      <c r="H658" s="10"/>
      <c r="I658" s="38">
        <f>SUM(F658:H658)</f>
        <v>0</v>
      </c>
      <c r="J658" s="10"/>
      <c r="K658" s="10"/>
      <c r="L658" s="10"/>
      <c r="M658" s="38">
        <f>SUM(J658:L658)</f>
        <v>0</v>
      </c>
      <c r="N658" s="10">
        <v>375</v>
      </c>
      <c r="O658" s="10"/>
      <c r="P658" s="10">
        <v>0</v>
      </c>
      <c r="Q658" s="38">
        <f>SUM(N658:P658)</f>
        <v>375</v>
      </c>
      <c r="R658" s="38">
        <f>+E658+I658+M658+Q658</f>
        <v>375</v>
      </c>
    </row>
    <row r="659" spans="1:18" ht="15.75" customHeight="1" x14ac:dyDescent="0.3">
      <c r="A659" s="539" t="s">
        <v>604</v>
      </c>
      <c r="B659" s="172">
        <v>250</v>
      </c>
      <c r="C659" s="172">
        <v>250</v>
      </c>
      <c r="D659" s="172"/>
      <c r="E659" s="38">
        <f>SUM(B659:D659)</f>
        <v>500</v>
      </c>
      <c r="F659" s="172"/>
      <c r="G659" s="172"/>
      <c r="H659" s="172"/>
      <c r="I659" s="38">
        <f>SUM(F659:H659)</f>
        <v>0</v>
      </c>
      <c r="J659" s="172"/>
      <c r="K659" s="172"/>
      <c r="L659" s="172"/>
      <c r="M659" s="38">
        <f>SUM(J659:L659)</f>
        <v>0</v>
      </c>
      <c r="N659" s="172"/>
      <c r="O659" s="172"/>
      <c r="P659" s="172"/>
      <c r="Q659" s="38">
        <f>SUM(N659:P659)</f>
        <v>0</v>
      </c>
      <c r="R659" s="38">
        <f>+E659+I659+M659+Q659</f>
        <v>500</v>
      </c>
    </row>
    <row r="660" spans="1:18" ht="15.75" customHeight="1" x14ac:dyDescent="0.3">
      <c r="A660" s="310" t="s">
        <v>715</v>
      </c>
      <c r="B660" s="172">
        <v>858</v>
      </c>
      <c r="C660" s="172">
        <v>2642</v>
      </c>
      <c r="D660" s="172">
        <v>3341</v>
      </c>
      <c r="E660" s="38">
        <f>SUM(B660:D660)</f>
        <v>6841</v>
      </c>
      <c r="F660" s="172">
        <v>1835</v>
      </c>
      <c r="G660" s="172">
        <v>3517</v>
      </c>
      <c r="H660" s="172">
        <v>1306</v>
      </c>
      <c r="I660" s="38">
        <f>SUM(F660:H660)</f>
        <v>6658</v>
      </c>
      <c r="J660" s="172">
        <v>1000</v>
      </c>
      <c r="K660" s="172">
        <v>1569</v>
      </c>
      <c r="L660" s="172">
        <v>2757</v>
      </c>
      <c r="M660" s="38">
        <f>SUM(J660:L660)</f>
        <v>5326</v>
      </c>
      <c r="N660" s="172">
        <v>459</v>
      </c>
      <c r="O660" s="172">
        <v>547</v>
      </c>
      <c r="P660" s="172">
        <v>2169</v>
      </c>
      <c r="Q660" s="38">
        <f>SUM(N660:P660)</f>
        <v>3175</v>
      </c>
      <c r="R660" s="38">
        <f>+E660+I660+M660+Q660</f>
        <v>22000</v>
      </c>
    </row>
    <row r="661" spans="1:18" ht="15.75" customHeight="1" x14ac:dyDescent="0.3">
      <c r="A661" s="234" t="s">
        <v>2161</v>
      </c>
      <c r="B661" s="172"/>
      <c r="C661" s="172"/>
      <c r="D661" s="172"/>
      <c r="E661" s="38" t="s">
        <v>852</v>
      </c>
      <c r="F661" s="172"/>
      <c r="G661" s="172"/>
      <c r="H661" s="172"/>
      <c r="I661" s="38" t="s">
        <v>852</v>
      </c>
      <c r="J661" s="172"/>
      <c r="K661" s="172"/>
      <c r="L661" s="172"/>
      <c r="M661" s="38" t="s">
        <v>852</v>
      </c>
      <c r="N661" s="172"/>
      <c r="O661" s="172"/>
      <c r="P661" s="172"/>
      <c r="Q661" s="38" t="s">
        <v>852</v>
      </c>
      <c r="R661" s="38" t="s">
        <v>852</v>
      </c>
    </row>
    <row r="662" spans="1:18" ht="15.75" customHeight="1" x14ac:dyDescent="0.3">
      <c r="A662" s="234" t="s">
        <v>2162</v>
      </c>
      <c r="B662" s="172"/>
      <c r="C662" s="172"/>
      <c r="D662" s="172"/>
      <c r="E662" s="38" t="s">
        <v>852</v>
      </c>
      <c r="F662" s="172"/>
      <c r="G662" s="172"/>
      <c r="H662" s="172"/>
      <c r="I662" s="38" t="s">
        <v>852</v>
      </c>
      <c r="J662" s="172"/>
      <c r="K662" s="172"/>
      <c r="L662" s="172"/>
      <c r="M662" s="38" t="s">
        <v>852</v>
      </c>
      <c r="N662" s="172"/>
      <c r="O662" s="172"/>
      <c r="P662" s="172"/>
      <c r="Q662" s="38" t="s">
        <v>852</v>
      </c>
      <c r="R662" s="38" t="s">
        <v>852</v>
      </c>
    </row>
    <row r="663" spans="1:18" ht="15.75" customHeight="1" x14ac:dyDescent="0.3">
      <c r="A663" s="539" t="s">
        <v>2544</v>
      </c>
      <c r="B663" s="172"/>
      <c r="C663" s="172"/>
      <c r="D663" s="172"/>
      <c r="E663" s="38">
        <f>SUM(B663:D663)</f>
        <v>0</v>
      </c>
      <c r="F663" s="172"/>
      <c r="G663" s="172"/>
      <c r="H663" s="172"/>
      <c r="I663" s="38">
        <f>SUM(F663:H663)</f>
        <v>0</v>
      </c>
      <c r="J663" s="172">
        <v>1000</v>
      </c>
      <c r="K663" s="172"/>
      <c r="L663" s="172"/>
      <c r="M663" s="38">
        <f>SUM(J663:L663)</f>
        <v>1000</v>
      </c>
      <c r="N663" s="172">
        <f>793</f>
        <v>793</v>
      </c>
      <c r="O663" s="172"/>
      <c r="P663" s="172"/>
      <c r="Q663" s="38">
        <f>SUM(N663:P663)</f>
        <v>793</v>
      </c>
      <c r="R663" s="38">
        <f>+E663+I663+M663+Q663</f>
        <v>1793</v>
      </c>
    </row>
    <row r="664" spans="1:18" ht="15.75" customHeight="1" thickBot="1" x14ac:dyDescent="0.35">
      <c r="A664" s="234" t="s">
        <v>2164</v>
      </c>
      <c r="B664" s="172"/>
      <c r="C664" s="172"/>
      <c r="D664" s="172"/>
      <c r="E664" s="38" t="s">
        <v>852</v>
      </c>
      <c r="F664" s="172"/>
      <c r="G664" s="172"/>
      <c r="H664" s="172"/>
      <c r="I664" s="38" t="s">
        <v>852</v>
      </c>
      <c r="J664" s="172"/>
      <c r="K664" s="172"/>
      <c r="L664" s="172"/>
      <c r="M664" s="38" t="s">
        <v>852</v>
      </c>
      <c r="N664" s="172"/>
      <c r="O664" s="172"/>
      <c r="P664" s="172"/>
      <c r="Q664" s="38" t="s">
        <v>852</v>
      </c>
      <c r="R664" s="38" t="s">
        <v>852</v>
      </c>
    </row>
    <row r="665" spans="1:18" ht="16.5" customHeight="1" thickBot="1" x14ac:dyDescent="0.35">
      <c r="A665" s="43" t="s">
        <v>1218</v>
      </c>
      <c r="B665" s="45">
        <f>SUM(B656:B664)</f>
        <v>1108</v>
      </c>
      <c r="C665" s="46">
        <f>SUM(C656:C664)</f>
        <v>2892</v>
      </c>
      <c r="D665" s="46">
        <f>SUM(D656:D664)</f>
        <v>3341</v>
      </c>
      <c r="E665" s="37">
        <f>SUM(B665:D665)</f>
        <v>7341</v>
      </c>
      <c r="F665" s="46">
        <f>SUM(F656:F664)</f>
        <v>1835</v>
      </c>
      <c r="G665" s="46">
        <f>SUM(G656:G664)</f>
        <v>3517</v>
      </c>
      <c r="H665" s="46">
        <f>SUM(H656:H664)</f>
        <v>1306</v>
      </c>
      <c r="I665" s="37">
        <f>SUM(F665:H665)</f>
        <v>6658</v>
      </c>
      <c r="J665" s="46">
        <f>SUM(J656:J664)</f>
        <v>2000</v>
      </c>
      <c r="K665" s="46">
        <f>SUM(K656:K664)</f>
        <v>1569</v>
      </c>
      <c r="L665" s="46">
        <f>SUM(L656:L664)</f>
        <v>2757</v>
      </c>
      <c r="M665" s="37">
        <f>SUM(J665:L665)</f>
        <v>6326</v>
      </c>
      <c r="N665" s="46">
        <f>SUM(N656:N664)</f>
        <v>1627</v>
      </c>
      <c r="O665" s="46">
        <f>SUM(O656:O664)</f>
        <v>547</v>
      </c>
      <c r="P665" s="46">
        <f>SUM(P656:P664)</f>
        <v>2169</v>
      </c>
      <c r="Q665" s="37">
        <f>SUM(N665:P665)</f>
        <v>4343</v>
      </c>
      <c r="R665" s="37">
        <f>+E665+I665+M665+Q665</f>
        <v>24668</v>
      </c>
    </row>
    <row r="666" spans="1:18" ht="15.75" customHeight="1" x14ac:dyDescent="0.3">
      <c r="A666" s="234" t="s">
        <v>1172</v>
      </c>
      <c r="B666" s="172"/>
      <c r="C666" s="172"/>
      <c r="D666" s="172"/>
      <c r="E666" s="38" t="s">
        <v>852</v>
      </c>
      <c r="F666" s="172"/>
      <c r="G666" s="172"/>
      <c r="H666" s="172"/>
      <c r="I666" s="38" t="s">
        <v>852</v>
      </c>
      <c r="J666" s="172"/>
      <c r="K666" s="172"/>
      <c r="L666" s="172"/>
      <c r="M666" s="38" t="s">
        <v>852</v>
      </c>
      <c r="N666" s="172"/>
      <c r="O666" s="172"/>
      <c r="P666" s="172"/>
      <c r="Q666" s="38" t="s">
        <v>852</v>
      </c>
      <c r="R666" s="38" t="s">
        <v>852</v>
      </c>
    </row>
    <row r="667" spans="1:18" ht="15.75" customHeight="1" x14ac:dyDescent="0.3">
      <c r="A667" s="234" t="s">
        <v>2409</v>
      </c>
      <c r="B667" s="172"/>
      <c r="C667" s="172"/>
      <c r="D667" s="172"/>
      <c r="E667" s="38" t="s">
        <v>852</v>
      </c>
      <c r="F667" s="172"/>
      <c r="G667" s="172"/>
      <c r="H667" s="172"/>
      <c r="I667" s="38" t="s">
        <v>852</v>
      </c>
      <c r="J667" s="172"/>
      <c r="K667" s="172"/>
      <c r="L667" s="172"/>
      <c r="M667" s="38" t="s">
        <v>852</v>
      </c>
      <c r="N667" s="172"/>
      <c r="O667" s="172"/>
      <c r="P667" s="172"/>
      <c r="Q667" s="38" t="s">
        <v>852</v>
      </c>
      <c r="R667" s="38" t="s">
        <v>852</v>
      </c>
    </row>
    <row r="668" spans="1:18" ht="15.75" customHeight="1" x14ac:dyDescent="0.3">
      <c r="A668" s="539" t="s">
        <v>1648</v>
      </c>
      <c r="B668" s="172"/>
      <c r="C668" s="172"/>
      <c r="D668" s="172"/>
      <c r="E668" s="38">
        <f>SUM(B668:D668)</f>
        <v>0</v>
      </c>
      <c r="F668" s="172"/>
      <c r="G668" s="172"/>
      <c r="H668" s="172"/>
      <c r="I668" s="38">
        <f>SUM(F668:H668)</f>
        <v>0</v>
      </c>
      <c r="J668" s="172"/>
      <c r="K668" s="172"/>
      <c r="L668" s="172"/>
      <c r="M668" s="38">
        <f>SUM(J668:L668)</f>
        <v>0</v>
      </c>
      <c r="N668" s="172"/>
      <c r="O668" s="172"/>
      <c r="P668" s="172"/>
      <c r="Q668" s="38">
        <f>SUM(N668:P668)</f>
        <v>0</v>
      </c>
      <c r="R668" s="38">
        <f>+E668+I668+M668+Q668</f>
        <v>0</v>
      </c>
    </row>
    <row r="669" spans="1:18" ht="15.75" customHeight="1" thickBot="1" x14ac:dyDescent="0.35">
      <c r="A669" s="234" t="s">
        <v>2165</v>
      </c>
      <c r="B669" s="172"/>
      <c r="C669" s="172"/>
      <c r="D669" s="172"/>
      <c r="E669" s="38" t="s">
        <v>852</v>
      </c>
      <c r="F669" s="172"/>
      <c r="G669" s="172"/>
      <c r="H669" s="172"/>
      <c r="I669" s="38" t="s">
        <v>852</v>
      </c>
      <c r="J669" s="172"/>
      <c r="K669" s="172"/>
      <c r="L669" s="172"/>
      <c r="M669" s="38" t="s">
        <v>852</v>
      </c>
      <c r="N669" s="172"/>
      <c r="O669" s="172"/>
      <c r="P669" s="172"/>
      <c r="Q669" s="38" t="s">
        <v>852</v>
      </c>
      <c r="R669" s="38" t="s">
        <v>852</v>
      </c>
    </row>
    <row r="670" spans="1:18" ht="16.5" customHeight="1" thickBot="1" x14ac:dyDescent="0.35">
      <c r="A670" s="43" t="s">
        <v>1219</v>
      </c>
      <c r="B670" s="45">
        <f>SUM(B666:B669)</f>
        <v>0</v>
      </c>
      <c r="C670" s="46">
        <f>SUM(C666:C669)</f>
        <v>0</v>
      </c>
      <c r="D670" s="46">
        <f>SUM(D666:D669)</f>
        <v>0</v>
      </c>
      <c r="E670" s="37">
        <f>SUM(B670:D670)</f>
        <v>0</v>
      </c>
      <c r="F670" s="46">
        <f>SUM(F666:F669)</f>
        <v>0</v>
      </c>
      <c r="G670" s="46">
        <f>SUM(G666:G669)</f>
        <v>0</v>
      </c>
      <c r="H670" s="46">
        <f>SUM(H666:H669)</f>
        <v>0</v>
      </c>
      <c r="I670" s="37">
        <f>SUM(F670:H670)</f>
        <v>0</v>
      </c>
      <c r="J670" s="46">
        <f>SUM(J666:J669)</f>
        <v>0</v>
      </c>
      <c r="K670" s="46">
        <f>SUM(K666:K669)</f>
        <v>0</v>
      </c>
      <c r="L670" s="46">
        <f>SUM(L666:L669)</f>
        <v>0</v>
      </c>
      <c r="M670" s="37">
        <f>SUM(J670:L670)</f>
        <v>0</v>
      </c>
      <c r="N670" s="46">
        <f>SUM(N666:N669)</f>
        <v>0</v>
      </c>
      <c r="O670" s="46">
        <f>SUM(O666:O669)</f>
        <v>0</v>
      </c>
      <c r="P670" s="46">
        <f>SUM(P666:P669)</f>
        <v>0</v>
      </c>
      <c r="Q670" s="37">
        <f>SUM(N670:P670)</f>
        <v>0</v>
      </c>
      <c r="R670" s="37">
        <f>+E670+I670+M670+Q670</f>
        <v>0</v>
      </c>
    </row>
    <row r="671" spans="1:18" ht="15.75" customHeight="1" x14ac:dyDescent="0.3">
      <c r="A671" s="234" t="s">
        <v>2166</v>
      </c>
      <c r="B671" s="172"/>
      <c r="C671" s="172"/>
      <c r="D671" s="172"/>
      <c r="E671" s="38" t="s">
        <v>852</v>
      </c>
      <c r="F671" s="172"/>
      <c r="G671" s="172"/>
      <c r="H671" s="172"/>
      <c r="I671" s="38" t="s">
        <v>852</v>
      </c>
      <c r="J671" s="172" t="s">
        <v>852</v>
      </c>
      <c r="K671" s="172"/>
      <c r="L671" s="172"/>
      <c r="M671" s="38" t="s">
        <v>852</v>
      </c>
      <c r="N671" s="172"/>
      <c r="O671" s="172"/>
      <c r="P671" s="172"/>
      <c r="Q671" s="38" t="s">
        <v>852</v>
      </c>
      <c r="R671" s="38" t="s">
        <v>852</v>
      </c>
    </row>
    <row r="672" spans="1:18" ht="18" customHeight="1" x14ac:dyDescent="0.3">
      <c r="A672" s="234" t="s">
        <v>1245</v>
      </c>
      <c r="B672" s="172"/>
      <c r="C672" s="172"/>
      <c r="D672" s="172"/>
      <c r="E672" s="38" t="s">
        <v>852</v>
      </c>
      <c r="F672" s="172"/>
      <c r="G672" s="172"/>
      <c r="H672" s="172"/>
      <c r="I672" s="38" t="s">
        <v>852</v>
      </c>
      <c r="J672" s="172"/>
      <c r="K672" s="172"/>
      <c r="L672" s="172"/>
      <c r="M672" s="38" t="s">
        <v>852</v>
      </c>
      <c r="N672" s="172"/>
      <c r="O672" s="172"/>
      <c r="P672" s="172"/>
      <c r="Q672" s="38" t="s">
        <v>852</v>
      </c>
      <c r="R672" s="38" t="s">
        <v>852</v>
      </c>
    </row>
    <row r="673" spans="1:18" ht="15.75" customHeight="1" x14ac:dyDescent="0.3">
      <c r="A673" s="266" t="s">
        <v>1918</v>
      </c>
      <c r="B673" s="172">
        <v>437</v>
      </c>
      <c r="C673" s="172">
        <v>472</v>
      </c>
      <c r="D673" s="172">
        <v>204</v>
      </c>
      <c r="E673" s="38">
        <f>SUM(B673:D673)</f>
        <v>1113</v>
      </c>
      <c r="F673" s="172">
        <v>673</v>
      </c>
      <c r="G673" s="172">
        <v>758</v>
      </c>
      <c r="H673" s="172">
        <v>773</v>
      </c>
      <c r="I673" s="38">
        <f>SUM(F673:H673)</f>
        <v>2204</v>
      </c>
      <c r="J673" s="172">
        <v>315</v>
      </c>
      <c r="K673" s="172">
        <v>743</v>
      </c>
      <c r="L673" s="172">
        <v>659</v>
      </c>
      <c r="M673" s="38">
        <f>SUM(J673:L673)</f>
        <v>1717</v>
      </c>
      <c r="N673" s="172">
        <v>586</v>
      </c>
      <c r="O673" s="172">
        <v>563</v>
      </c>
      <c r="P673" s="172">
        <v>245</v>
      </c>
      <c r="Q673" s="38">
        <f>SUM(N673:P673)</f>
        <v>1394</v>
      </c>
      <c r="R673" s="38">
        <f>+E673+I673+M673+Q673</f>
        <v>6428</v>
      </c>
    </row>
    <row r="674" spans="1:18" ht="15.75" customHeight="1" x14ac:dyDescent="0.3">
      <c r="A674" s="539" t="s">
        <v>2702</v>
      </c>
      <c r="B674" s="172"/>
      <c r="C674" s="172"/>
      <c r="D674" s="172"/>
      <c r="E674" s="38">
        <f>SUM(B674:D674)</f>
        <v>0</v>
      </c>
      <c r="F674" s="172"/>
      <c r="G674" s="172"/>
      <c r="H674" s="172">
        <v>6</v>
      </c>
      <c r="I674" s="38">
        <f>SUM(F674:H674)</f>
        <v>6</v>
      </c>
      <c r="J674" s="172">
        <v>38</v>
      </c>
      <c r="K674" s="172">
        <v>41</v>
      </c>
      <c r="L674" s="172">
        <v>39</v>
      </c>
      <c r="M674" s="38">
        <f>SUM(J674:L674)</f>
        <v>118</v>
      </c>
      <c r="N674" s="172">
        <v>25</v>
      </c>
      <c r="O674" s="172"/>
      <c r="P674" s="172"/>
      <c r="Q674" s="38">
        <f>SUM(N674:P674)</f>
        <v>25</v>
      </c>
      <c r="R674" s="38">
        <f>+E674+I674+M674+Q674</f>
        <v>149</v>
      </c>
    </row>
    <row r="675" spans="1:18" ht="15.75" customHeight="1" x14ac:dyDescent="0.3">
      <c r="A675" s="234" t="s">
        <v>1711</v>
      </c>
      <c r="B675" s="172"/>
      <c r="C675" s="172"/>
      <c r="D675" s="172"/>
      <c r="E675" s="38" t="s">
        <v>852</v>
      </c>
      <c r="F675" s="172"/>
      <c r="G675" s="172"/>
      <c r="H675" s="172"/>
      <c r="I675" s="38" t="s">
        <v>852</v>
      </c>
      <c r="J675" s="172"/>
      <c r="K675" s="172"/>
      <c r="L675" s="172"/>
      <c r="M675" s="38" t="s">
        <v>852</v>
      </c>
      <c r="N675" s="172"/>
      <c r="O675" s="172"/>
      <c r="P675" s="172"/>
      <c r="Q675" s="38" t="s">
        <v>852</v>
      </c>
      <c r="R675" s="38" t="s">
        <v>852</v>
      </c>
    </row>
    <row r="676" spans="1:18" ht="15.75" customHeight="1" x14ac:dyDescent="0.3">
      <c r="A676" s="539" t="s">
        <v>2700</v>
      </c>
      <c r="B676" s="172"/>
      <c r="C676" s="172"/>
      <c r="D676" s="172"/>
      <c r="E676" s="38">
        <f>SUM(B676:D676)</f>
        <v>0</v>
      </c>
      <c r="F676" s="172"/>
      <c r="G676" s="172"/>
      <c r="H676" s="172"/>
      <c r="I676" s="38">
        <f>SUM(F676:H676)</f>
        <v>0</v>
      </c>
      <c r="J676" s="172"/>
      <c r="K676" s="172"/>
      <c r="L676" s="172"/>
      <c r="M676" s="38">
        <f>SUM(J676:L676)</f>
        <v>0</v>
      </c>
      <c r="N676" s="172">
        <v>54</v>
      </c>
      <c r="O676" s="172">
        <v>79</v>
      </c>
      <c r="P676" s="172">
        <v>25</v>
      </c>
      <c r="Q676" s="38">
        <f>SUM(N676:P676)</f>
        <v>158</v>
      </c>
      <c r="R676" s="38">
        <f>+E676+I676+M676+Q676</f>
        <v>158</v>
      </c>
    </row>
    <row r="677" spans="1:18" ht="15.75" customHeight="1" x14ac:dyDescent="0.3">
      <c r="A677" s="310" t="s">
        <v>783</v>
      </c>
      <c r="B677" s="172">
        <v>500</v>
      </c>
      <c r="C677" s="172">
        <v>500</v>
      </c>
      <c r="D677" s="172">
        <v>500</v>
      </c>
      <c r="E677" s="38">
        <f>SUM(B677:D677)</f>
        <v>1500</v>
      </c>
      <c r="F677" s="172"/>
      <c r="G677" s="172"/>
      <c r="H677" s="172"/>
      <c r="I677" s="38">
        <f>SUM(F677:H677)</f>
        <v>0</v>
      </c>
      <c r="J677" s="172">
        <v>445</v>
      </c>
      <c r="K677" s="172"/>
      <c r="L677" s="172"/>
      <c r="M677" s="38">
        <f>SUM(J677:L677)</f>
        <v>445</v>
      </c>
      <c r="N677" s="172">
        <v>500</v>
      </c>
      <c r="O677" s="172">
        <v>555</v>
      </c>
      <c r="P677" s="172"/>
      <c r="Q677" s="38">
        <f>SUM(N677:P677)</f>
        <v>1055</v>
      </c>
      <c r="R677" s="38">
        <f>+E677+I677+M677+Q677</f>
        <v>3000</v>
      </c>
    </row>
    <row r="678" spans="1:18" ht="15.75" customHeight="1" thickBot="1" x14ac:dyDescent="0.35">
      <c r="A678" s="539" t="s">
        <v>2540</v>
      </c>
      <c r="B678" s="172">
        <v>535</v>
      </c>
      <c r="C678" s="172">
        <v>594</v>
      </c>
      <c r="D678" s="172">
        <v>726</v>
      </c>
      <c r="E678" s="38">
        <f>SUM(B678:D678)</f>
        <v>1855</v>
      </c>
      <c r="F678" s="172">
        <v>695</v>
      </c>
      <c r="G678" s="172">
        <v>706</v>
      </c>
      <c r="H678" s="172">
        <v>688</v>
      </c>
      <c r="I678" s="38">
        <f>SUM(F678:H678)</f>
        <v>2089</v>
      </c>
      <c r="J678" s="172">
        <v>631</v>
      </c>
      <c r="K678" s="172">
        <v>720</v>
      </c>
      <c r="L678" s="172">
        <v>566</v>
      </c>
      <c r="M678" s="38">
        <f>SUM(J678:L678)</f>
        <v>1917</v>
      </c>
      <c r="N678" s="172">
        <v>390</v>
      </c>
      <c r="O678" s="172">
        <v>246</v>
      </c>
      <c r="P678" s="172">
        <v>366</v>
      </c>
      <c r="Q678" s="38">
        <f>SUM(N678:P678)</f>
        <v>1002</v>
      </c>
      <c r="R678" s="38">
        <f>+E678+I678+M678+Q678</f>
        <v>6863</v>
      </c>
    </row>
    <row r="679" spans="1:18" ht="16.5" customHeight="1" thickBot="1" x14ac:dyDescent="0.35">
      <c r="A679" s="43" t="s">
        <v>1220</v>
      </c>
      <c r="B679" s="45">
        <f>SUM(B671:B678)</f>
        <v>1472</v>
      </c>
      <c r="C679" s="46">
        <f>SUM(C671:C678)</f>
        <v>1566</v>
      </c>
      <c r="D679" s="46">
        <f>SUM(D671:D678)</f>
        <v>1430</v>
      </c>
      <c r="E679" s="37">
        <f>SUM(B679:D679)</f>
        <v>4468</v>
      </c>
      <c r="F679" s="46">
        <f>SUM(F671:F678)</f>
        <v>1368</v>
      </c>
      <c r="G679" s="46">
        <f>SUM(G671:G678)</f>
        <v>1464</v>
      </c>
      <c r="H679" s="46">
        <f>SUM(H671:H678)</f>
        <v>1467</v>
      </c>
      <c r="I679" s="37">
        <f>SUM(F679:H679)</f>
        <v>4299</v>
      </c>
      <c r="J679" s="46">
        <f>SUM(J671:J678)</f>
        <v>1429</v>
      </c>
      <c r="K679" s="46">
        <f>SUM(K671:K678)</f>
        <v>1504</v>
      </c>
      <c r="L679" s="46">
        <f>SUM(L671:L678)</f>
        <v>1264</v>
      </c>
      <c r="M679" s="37">
        <f>SUM(J679:L679)</f>
        <v>4197</v>
      </c>
      <c r="N679" s="46">
        <f>SUM(N671:N678)</f>
        <v>1555</v>
      </c>
      <c r="O679" s="46">
        <f>SUM(O671:O678)</f>
        <v>1443</v>
      </c>
      <c r="P679" s="46">
        <f>SUM(P671:P678)</f>
        <v>636</v>
      </c>
      <c r="Q679" s="37">
        <f>SUM(N679:P679)</f>
        <v>3634</v>
      </c>
      <c r="R679" s="37">
        <f>+E679+I679+M679+Q679</f>
        <v>16598</v>
      </c>
    </row>
    <row r="680" spans="1:18" ht="15.75" customHeight="1" x14ac:dyDescent="0.3">
      <c r="A680" s="234" t="s">
        <v>1712</v>
      </c>
      <c r="B680" s="172"/>
      <c r="C680" s="172"/>
      <c r="D680" s="172"/>
      <c r="E680" s="38" t="s">
        <v>852</v>
      </c>
      <c r="F680" s="172"/>
      <c r="G680" s="172"/>
      <c r="H680" s="172"/>
      <c r="I680" s="38" t="s">
        <v>852</v>
      </c>
      <c r="J680" s="172"/>
      <c r="K680" s="172"/>
      <c r="L680" s="172"/>
      <c r="M680" s="38" t="s">
        <v>852</v>
      </c>
      <c r="N680" s="172"/>
      <c r="O680" s="172"/>
      <c r="P680" s="172"/>
      <c r="Q680" s="38" t="s">
        <v>852</v>
      </c>
      <c r="R680" s="38" t="s">
        <v>852</v>
      </c>
    </row>
    <row r="681" spans="1:18" ht="15.75" customHeight="1" x14ac:dyDescent="0.3">
      <c r="A681" s="234" t="s">
        <v>1021</v>
      </c>
      <c r="B681" s="172"/>
      <c r="C681" s="172"/>
      <c r="D681" s="172"/>
      <c r="E681" s="38" t="s">
        <v>852</v>
      </c>
      <c r="F681" s="172"/>
      <c r="G681" s="172"/>
      <c r="H681" s="172"/>
      <c r="I681" s="38" t="s">
        <v>852</v>
      </c>
      <c r="J681" s="172"/>
      <c r="K681" s="172"/>
      <c r="L681" s="172"/>
      <c r="M681" s="38" t="s">
        <v>852</v>
      </c>
      <c r="N681" s="172"/>
      <c r="O681" s="172"/>
      <c r="P681" s="172"/>
      <c r="Q681" s="38" t="s">
        <v>852</v>
      </c>
      <c r="R681" s="38" t="s">
        <v>852</v>
      </c>
    </row>
    <row r="682" spans="1:18" ht="15.75" customHeight="1" x14ac:dyDescent="0.3">
      <c r="A682" s="266" t="s">
        <v>447</v>
      </c>
      <c r="B682" s="172"/>
      <c r="C682" s="172"/>
      <c r="D682" s="172"/>
      <c r="E682" s="38">
        <f>SUM(B682:D682)</f>
        <v>0</v>
      </c>
      <c r="F682" s="172"/>
      <c r="G682" s="172"/>
      <c r="H682" s="172"/>
      <c r="I682" s="38">
        <f>SUM(F682:H682)</f>
        <v>0</v>
      </c>
      <c r="J682" s="172"/>
      <c r="K682" s="172"/>
      <c r="L682" s="172"/>
      <c r="M682" s="38">
        <f>SUM(J682:L682)</f>
        <v>0</v>
      </c>
      <c r="N682" s="172"/>
      <c r="O682" s="172"/>
      <c r="P682" s="172"/>
      <c r="Q682" s="38">
        <f>SUM(N682:P682)</f>
        <v>0</v>
      </c>
      <c r="R682" s="38">
        <f>+E682+I682+M682+Q682</f>
        <v>0</v>
      </c>
    </row>
    <row r="683" spans="1:18" ht="15.75" customHeight="1" x14ac:dyDescent="0.3">
      <c r="A683" s="266" t="s">
        <v>2392</v>
      </c>
      <c r="B683" s="172"/>
      <c r="C683" s="172"/>
      <c r="D683" s="172"/>
      <c r="E683" s="38">
        <f>SUM(B683:D683)</f>
        <v>0</v>
      </c>
      <c r="F683" s="172"/>
      <c r="G683" s="172"/>
      <c r="H683" s="172"/>
      <c r="I683" s="38">
        <f>SUM(F683:H683)</f>
        <v>0</v>
      </c>
      <c r="J683" s="172"/>
      <c r="K683" s="172"/>
      <c r="L683" s="172"/>
      <c r="M683" s="38">
        <f>SUM(J683:L683)</f>
        <v>0</v>
      </c>
      <c r="N683" s="172"/>
      <c r="O683" s="172"/>
      <c r="P683" s="172"/>
      <c r="Q683" s="38">
        <f>SUM(N683:P683)</f>
        <v>0</v>
      </c>
      <c r="R683" s="38">
        <f>+E683+I683+M683+Q683</f>
        <v>0</v>
      </c>
    </row>
    <row r="684" spans="1:18" ht="15.75" customHeight="1" x14ac:dyDescent="0.3">
      <c r="A684" s="234" t="s">
        <v>557</v>
      </c>
      <c r="B684" s="172"/>
      <c r="C684" s="172"/>
      <c r="D684" s="172"/>
      <c r="E684" s="38" t="s">
        <v>852</v>
      </c>
      <c r="F684" s="172"/>
      <c r="G684" s="172"/>
      <c r="H684" s="172"/>
      <c r="I684" s="38" t="s">
        <v>852</v>
      </c>
      <c r="J684" s="172"/>
      <c r="K684" s="172"/>
      <c r="L684" s="172"/>
      <c r="M684" s="38" t="s">
        <v>852</v>
      </c>
      <c r="N684" s="172"/>
      <c r="O684" s="172"/>
      <c r="P684" s="172"/>
      <c r="Q684" s="38" t="s">
        <v>852</v>
      </c>
      <c r="R684" s="38" t="s">
        <v>852</v>
      </c>
    </row>
    <row r="685" spans="1:18" ht="15.75" customHeight="1" x14ac:dyDescent="0.3">
      <c r="A685" s="539" t="s">
        <v>2589</v>
      </c>
      <c r="B685" s="172"/>
      <c r="C685" s="172"/>
      <c r="D685" s="172"/>
      <c r="E685" s="38">
        <f>SUM(B685:D685)</f>
        <v>0</v>
      </c>
      <c r="F685" s="172"/>
      <c r="G685" s="172"/>
      <c r="H685" s="172"/>
      <c r="I685" s="38">
        <f>SUM(F685:H685)</f>
        <v>0</v>
      </c>
      <c r="J685" s="172"/>
      <c r="K685" s="172"/>
      <c r="L685" s="172"/>
      <c r="M685" s="38">
        <f>SUM(J685:L685)</f>
        <v>0</v>
      </c>
      <c r="N685" s="172"/>
      <c r="O685" s="172"/>
      <c r="P685" s="172">
        <v>601</v>
      </c>
      <c r="Q685" s="38">
        <f>SUM(N685:P685)</f>
        <v>601</v>
      </c>
      <c r="R685" s="38">
        <f>+E685+I685+M685+Q685</f>
        <v>601</v>
      </c>
    </row>
    <row r="686" spans="1:18" ht="15.75" customHeight="1" x14ac:dyDescent="0.3">
      <c r="A686" s="539" t="s">
        <v>2590</v>
      </c>
      <c r="B686" s="172"/>
      <c r="C686" s="172"/>
      <c r="D686" s="172"/>
      <c r="E686" s="38">
        <f>SUM(B686:D686)</f>
        <v>0</v>
      </c>
      <c r="F686" s="172"/>
      <c r="G686" s="172"/>
      <c r="H686" s="172"/>
      <c r="I686" s="38">
        <f>SUM(F686:H686)</f>
        <v>0</v>
      </c>
      <c r="J686" s="172"/>
      <c r="K686" s="172"/>
      <c r="L686" s="172"/>
      <c r="M686" s="38">
        <f>SUM(J686:L686)</f>
        <v>0</v>
      </c>
      <c r="N686" s="172"/>
      <c r="O686" s="172"/>
      <c r="P686" s="172"/>
      <c r="Q686" s="38">
        <f>SUM(N686:P686)</f>
        <v>0</v>
      </c>
      <c r="R686" s="38">
        <f>+E686+I686+M686+Q686</f>
        <v>0</v>
      </c>
    </row>
    <row r="687" spans="1:18" ht="15.75" customHeight="1" x14ac:dyDescent="0.3">
      <c r="A687" s="234" t="s">
        <v>1022</v>
      </c>
      <c r="B687" s="172"/>
      <c r="C687" s="172"/>
      <c r="D687" s="172"/>
      <c r="E687" s="38" t="s">
        <v>852</v>
      </c>
      <c r="F687" s="172"/>
      <c r="G687" s="172"/>
      <c r="H687" s="172"/>
      <c r="I687" s="38" t="s">
        <v>852</v>
      </c>
      <c r="J687" s="172"/>
      <c r="K687" s="172"/>
      <c r="L687" s="172"/>
      <c r="M687" s="38" t="s">
        <v>852</v>
      </c>
      <c r="N687" s="172"/>
      <c r="O687" s="172"/>
      <c r="P687" s="172"/>
      <c r="Q687" s="38" t="s">
        <v>852</v>
      </c>
      <c r="R687" s="38" t="s">
        <v>852</v>
      </c>
    </row>
    <row r="688" spans="1:18" ht="15.75" customHeight="1" thickBot="1" x14ac:dyDescent="0.35">
      <c r="A688" s="234" t="s">
        <v>559</v>
      </c>
      <c r="B688" s="172"/>
      <c r="C688" s="172"/>
      <c r="D688" s="172"/>
      <c r="E688" s="38" t="s">
        <v>852</v>
      </c>
      <c r="F688" s="172"/>
      <c r="G688" s="172"/>
      <c r="H688" s="172"/>
      <c r="I688" s="38" t="s">
        <v>852</v>
      </c>
      <c r="J688" s="172"/>
      <c r="K688" s="172"/>
      <c r="L688" s="172"/>
      <c r="M688" s="38" t="s">
        <v>852</v>
      </c>
      <c r="N688" s="172"/>
      <c r="O688" s="172"/>
      <c r="P688" s="172"/>
      <c r="Q688" s="38" t="s">
        <v>852</v>
      </c>
      <c r="R688" s="38" t="s">
        <v>852</v>
      </c>
    </row>
    <row r="689" spans="1:18" ht="16.5" customHeight="1" thickBot="1" x14ac:dyDescent="0.35">
      <c r="A689" s="43" t="s">
        <v>1019</v>
      </c>
      <c r="B689" s="42">
        <f>SUM(B687:B688)</f>
        <v>0</v>
      </c>
      <c r="C689" s="42">
        <f>SUM(C687:C688)</f>
        <v>0</v>
      </c>
      <c r="D689" s="42">
        <f>SUM(D687:D688)</f>
        <v>0</v>
      </c>
      <c r="E689" s="39">
        <f>SUM(B689:D689)</f>
        <v>0</v>
      </c>
      <c r="F689" s="42">
        <f>SUM(F687:F688)</f>
        <v>0</v>
      </c>
      <c r="G689" s="42">
        <f>SUM(G687:G688)</f>
        <v>0</v>
      </c>
      <c r="H689" s="42">
        <f>SUM(H687:H688)</f>
        <v>0</v>
      </c>
      <c r="I689" s="39">
        <f>SUM(F689:H689)</f>
        <v>0</v>
      </c>
      <c r="J689" s="42">
        <f>SUM(J687:J688)</f>
        <v>0</v>
      </c>
      <c r="K689" s="42">
        <f>SUM(K687:K688)</f>
        <v>0</v>
      </c>
      <c r="L689" s="42">
        <f>SUM(L687:L688)</f>
        <v>0</v>
      </c>
      <c r="M689" s="39">
        <f>SUM(J689:L689)</f>
        <v>0</v>
      </c>
      <c r="N689" s="42">
        <f>SUM(N687:N688)</f>
        <v>0</v>
      </c>
      <c r="O689" s="42">
        <f>SUM(O687:O688)</f>
        <v>0</v>
      </c>
      <c r="P689" s="42">
        <f>SUM(P687:P688)</f>
        <v>0</v>
      </c>
      <c r="Q689" s="39">
        <f>SUM(N689:P689)</f>
        <v>0</v>
      </c>
      <c r="R689" s="37">
        <f>+E689+I689+M689+Q689</f>
        <v>0</v>
      </c>
    </row>
    <row r="690" spans="1:18" ht="16.5" customHeight="1" thickBot="1" x14ac:dyDescent="0.35">
      <c r="A690" s="43" t="s">
        <v>1221</v>
      </c>
      <c r="B690" s="45">
        <f>SUM(B680:B688)</f>
        <v>0</v>
      </c>
      <c r="C690" s="46">
        <f>SUM(C680:C688)</f>
        <v>0</v>
      </c>
      <c r="D690" s="58">
        <f>SUM(D680:D688)</f>
        <v>0</v>
      </c>
      <c r="E690" s="39">
        <f>SUM(B690:D690)</f>
        <v>0</v>
      </c>
      <c r="F690" s="46">
        <f>SUM(F680:F688)</f>
        <v>0</v>
      </c>
      <c r="G690" s="46">
        <f>SUM(G680:G688)</f>
        <v>0</v>
      </c>
      <c r="H690" s="46">
        <f>SUM(H680:H688)</f>
        <v>0</v>
      </c>
      <c r="I690" s="39">
        <f>SUM(F690:H690)</f>
        <v>0</v>
      </c>
      <c r="J690" s="46">
        <f>SUM(J680:J688)</f>
        <v>0</v>
      </c>
      <c r="K690" s="46">
        <f>SUM(K680:K688)</f>
        <v>0</v>
      </c>
      <c r="L690" s="46">
        <f>SUM(L680:L688)</f>
        <v>0</v>
      </c>
      <c r="M690" s="39">
        <f>SUM(J690:L690)</f>
        <v>0</v>
      </c>
      <c r="N690" s="46">
        <f>SUM(N680:N688)</f>
        <v>0</v>
      </c>
      <c r="O690" s="46">
        <f>SUM(O680:O688)</f>
        <v>0</v>
      </c>
      <c r="P690" s="46">
        <f>SUM(P680:P688)</f>
        <v>601</v>
      </c>
      <c r="Q690" s="39">
        <f>SUM(N690:P690)</f>
        <v>601</v>
      </c>
      <c r="R690" s="37">
        <f>+E690+I690+M690+Q690</f>
        <v>601</v>
      </c>
    </row>
    <row r="691" spans="1:18" ht="16.5" customHeight="1" thickBot="1" x14ac:dyDescent="0.35">
      <c r="A691" s="43" t="s">
        <v>1222</v>
      </c>
      <c r="B691" s="47">
        <f>+B665+B670+B679+B690</f>
        <v>2580</v>
      </c>
      <c r="C691" s="42">
        <f>+C665+C670+C679+C690</f>
        <v>4458</v>
      </c>
      <c r="D691" s="42">
        <f>+D665+D670+D679+D690</f>
        <v>4771</v>
      </c>
      <c r="E691" s="37">
        <f>SUM(B691:D691)</f>
        <v>11809</v>
      </c>
      <c r="F691" s="42">
        <f>+F665+F670+F679+F690</f>
        <v>3203</v>
      </c>
      <c r="G691" s="42">
        <f>+G665+G670+G679+G690</f>
        <v>4981</v>
      </c>
      <c r="H691" s="42">
        <f>+H665+H670+H679+H690</f>
        <v>2773</v>
      </c>
      <c r="I691" s="37">
        <f>SUM(F691:H691)</f>
        <v>10957</v>
      </c>
      <c r="J691" s="42">
        <f>+J665+J670+J679+J690</f>
        <v>3429</v>
      </c>
      <c r="K691" s="42">
        <f>+K665+K670+K679+K690</f>
        <v>3073</v>
      </c>
      <c r="L691" s="42">
        <f>+L665+L670+L679+L690</f>
        <v>4021</v>
      </c>
      <c r="M691" s="37">
        <f>SUM(J691:L691)</f>
        <v>10523</v>
      </c>
      <c r="N691" s="42">
        <f>+N665+N670+N679+N690</f>
        <v>3182</v>
      </c>
      <c r="O691" s="42">
        <f>+O665+O670+O679+O690</f>
        <v>1990</v>
      </c>
      <c r="P691" s="42">
        <f>+P665+P670+P679+P690</f>
        <v>3406</v>
      </c>
      <c r="Q691" s="37">
        <f>SUM(N691:P691)</f>
        <v>8578</v>
      </c>
      <c r="R691" s="40">
        <f>+E691+I691+M691+Q691</f>
        <v>41867</v>
      </c>
    </row>
    <row r="692" spans="1:18" ht="16.5" customHeight="1" thickBot="1" x14ac:dyDescent="0.35">
      <c r="A692" s="244" t="s">
        <v>853</v>
      </c>
      <c r="B692" s="238">
        <v>11</v>
      </c>
      <c r="C692" s="238">
        <v>13</v>
      </c>
      <c r="D692" s="238">
        <v>17</v>
      </c>
      <c r="E692" s="38">
        <f>SUM(B692:D692)</f>
        <v>41</v>
      </c>
      <c r="F692" s="238">
        <v>21</v>
      </c>
      <c r="G692" s="238">
        <v>23</v>
      </c>
      <c r="H692" s="238">
        <v>25</v>
      </c>
      <c r="I692" s="38">
        <f>SUM(F692:H692)</f>
        <v>69</v>
      </c>
      <c r="J692" s="238">
        <v>25</v>
      </c>
      <c r="K692" s="238">
        <v>21</v>
      </c>
      <c r="L692" s="238">
        <v>19</v>
      </c>
      <c r="M692" s="38">
        <f>SUM(J692:L692)</f>
        <v>65</v>
      </c>
      <c r="N692" s="238">
        <v>17</v>
      </c>
      <c r="O692" s="238">
        <v>13</v>
      </c>
      <c r="P692" s="238">
        <v>11</v>
      </c>
      <c r="Q692" s="38">
        <f>SUM(N692:P692)</f>
        <v>41</v>
      </c>
      <c r="R692" s="38">
        <f>+E692+I692+M692+Q692</f>
        <v>216</v>
      </c>
    </row>
    <row r="693" spans="1:18" ht="16.5" customHeight="1" thickBot="1" x14ac:dyDescent="0.35">
      <c r="A693" s="22"/>
      <c r="B693" s="242"/>
      <c r="C693" s="242"/>
      <c r="D693" s="242"/>
      <c r="E693" s="37" t="s">
        <v>852</v>
      </c>
      <c r="F693" s="242"/>
      <c r="G693" s="242"/>
      <c r="H693" s="242"/>
      <c r="I693" s="37" t="s">
        <v>852</v>
      </c>
      <c r="J693" s="242"/>
      <c r="K693" s="242"/>
      <c r="L693" s="242"/>
      <c r="M693" s="37" t="s">
        <v>852</v>
      </c>
      <c r="N693" s="242"/>
      <c r="O693" s="242"/>
      <c r="P693" s="242"/>
      <c r="Q693" s="37" t="s">
        <v>852</v>
      </c>
      <c r="R693" s="37" t="s">
        <v>852</v>
      </c>
    </row>
    <row r="694" spans="1:18" ht="15.75" customHeight="1" x14ac:dyDescent="0.3">
      <c r="A694" s="234" t="s">
        <v>2011</v>
      </c>
      <c r="B694" s="172">
        <f>SUM(B691:B692)</f>
        <v>2591</v>
      </c>
      <c r="C694" s="172">
        <f>SUM(C691:C692)</f>
        <v>4471</v>
      </c>
      <c r="D694" s="172">
        <f>SUM(D691:D692)</f>
        <v>4788</v>
      </c>
      <c r="E694" s="39">
        <f>SUM(B694:D694)</f>
        <v>11850</v>
      </c>
      <c r="F694" s="172">
        <f>SUM(F691:F692)</f>
        <v>3224</v>
      </c>
      <c r="G694" s="172">
        <f>SUM(G691:G692)</f>
        <v>5004</v>
      </c>
      <c r="H694" s="172">
        <f>SUM(H691:H692)</f>
        <v>2798</v>
      </c>
      <c r="I694" s="39">
        <f>SUM(F694:H694)</f>
        <v>11026</v>
      </c>
      <c r="J694" s="172">
        <f>SUM(J691:J692)</f>
        <v>3454</v>
      </c>
      <c r="K694" s="172">
        <f>SUM(K691:K692)</f>
        <v>3094</v>
      </c>
      <c r="L694" s="172">
        <f>SUM(L691:L692)</f>
        <v>4040</v>
      </c>
      <c r="M694" s="39">
        <f>SUM(J694:L694)</f>
        <v>10588</v>
      </c>
      <c r="N694" s="172">
        <f>SUM(N691:N692)</f>
        <v>3199</v>
      </c>
      <c r="O694" s="172">
        <f>SUM(O691:O692)</f>
        <v>2003</v>
      </c>
      <c r="P694" s="172">
        <f>SUM(P691:P692)</f>
        <v>3417</v>
      </c>
      <c r="Q694" s="39">
        <f>SUM(N694:P694)</f>
        <v>8619</v>
      </c>
      <c r="R694" s="39">
        <f>+E694+I694+M694+Q694</f>
        <v>42083</v>
      </c>
    </row>
    <row r="695" spans="1:18" ht="15.75" customHeight="1" x14ac:dyDescent="0.3">
      <c r="A695" s="234" t="s">
        <v>1897</v>
      </c>
      <c r="B695" s="172">
        <f>(B694/31)/1.983</f>
        <v>42.148585557887202</v>
      </c>
      <c r="C695" s="172">
        <f>(C694/28)/1.983</f>
        <v>80.523737482890269</v>
      </c>
      <c r="D695" s="172">
        <f>(D694/31)/1.983</f>
        <v>77.88785320384558</v>
      </c>
      <c r="E695" s="38" t="s">
        <v>852</v>
      </c>
      <c r="F695" s="172">
        <f>(F694/30)/1.983</f>
        <v>54.193982181879306</v>
      </c>
      <c r="G695" s="172">
        <f>(G694/31)/1.983</f>
        <v>81.401590942364933</v>
      </c>
      <c r="H695" s="172">
        <f>(H694/30)/1.983</f>
        <v>47.033114809211632</v>
      </c>
      <c r="I695" s="38" t="s">
        <v>852</v>
      </c>
      <c r="J695" s="172">
        <f>(J694/31)/1.983</f>
        <v>56.1872692076196</v>
      </c>
      <c r="K695" s="172">
        <f>(K694/31)/1.983</f>
        <v>50.331039643420688</v>
      </c>
      <c r="L695" s="172">
        <f>(L694/30)/1.983</f>
        <v>67.910573205580761</v>
      </c>
      <c r="M695" s="38" t="s">
        <v>852</v>
      </c>
      <c r="N695" s="172">
        <f>(N694/31)/1.983</f>
        <v>52.039106599645365</v>
      </c>
      <c r="O695" s="172">
        <f>(O694/30)/1.983</f>
        <v>33.669524289796605</v>
      </c>
      <c r="P695" s="172">
        <f>(P694/31)/1.983</f>
        <v>55.585378946854711</v>
      </c>
      <c r="Q695" s="38" t="s">
        <v>852</v>
      </c>
      <c r="R695" s="38" t="s">
        <v>852</v>
      </c>
    </row>
    <row r="696" spans="1:18" ht="15.75" customHeight="1" x14ac:dyDescent="0.3">
      <c r="A696" s="234" t="s">
        <v>2050</v>
      </c>
      <c r="B696" s="172">
        <f>B694</f>
        <v>2591</v>
      </c>
      <c r="C696" s="172">
        <f>C694</f>
        <v>4471</v>
      </c>
      <c r="D696" s="172">
        <f>D694</f>
        <v>4788</v>
      </c>
      <c r="E696" s="38">
        <f>SUM(B696:D696)</f>
        <v>11850</v>
      </c>
      <c r="F696" s="172">
        <f>F694</f>
        <v>3224</v>
      </c>
      <c r="G696" s="172">
        <f>G694</f>
        <v>5004</v>
      </c>
      <c r="H696" s="172">
        <f>H694</f>
        <v>2798</v>
      </c>
      <c r="I696" s="38">
        <f>SUM(F696:H696)</f>
        <v>11026</v>
      </c>
      <c r="J696" s="172">
        <f>J694</f>
        <v>3454</v>
      </c>
      <c r="K696" s="172">
        <f>K694</f>
        <v>3094</v>
      </c>
      <c r="L696" s="172">
        <f>L694</f>
        <v>4040</v>
      </c>
      <c r="M696" s="38">
        <f>SUM(J696:L696)</f>
        <v>10588</v>
      </c>
      <c r="N696" s="172">
        <f>N694</f>
        <v>3199</v>
      </c>
      <c r="O696" s="172">
        <f>O694</f>
        <v>2003</v>
      </c>
      <c r="P696" s="172">
        <f>P694</f>
        <v>3417</v>
      </c>
      <c r="Q696" s="38">
        <f>SUM(N696:P696)</f>
        <v>8619</v>
      </c>
      <c r="R696" s="38">
        <f>+E696+I696+M696+Q696</f>
        <v>42083</v>
      </c>
    </row>
    <row r="697" spans="1:18" ht="16.5" customHeight="1" thickBot="1" x14ac:dyDescent="0.35">
      <c r="A697" s="237" t="s">
        <v>2051</v>
      </c>
      <c r="B697" s="238">
        <f>(B696/31)/1.983</f>
        <v>42.148585557887202</v>
      </c>
      <c r="C697" s="238">
        <f>(C696/28)/1.983</f>
        <v>80.523737482890269</v>
      </c>
      <c r="D697" s="238">
        <f>(D696/31)/1.983</f>
        <v>77.88785320384558</v>
      </c>
      <c r="E697" s="40" t="s">
        <v>852</v>
      </c>
      <c r="F697" s="238">
        <f>(F696/30)/1.983</f>
        <v>54.193982181879306</v>
      </c>
      <c r="G697" s="238">
        <f>(G696/31)/1.983</f>
        <v>81.401590942364933</v>
      </c>
      <c r="H697" s="238">
        <f>(H696/30)/1.983</f>
        <v>47.033114809211632</v>
      </c>
      <c r="I697" s="40" t="s">
        <v>852</v>
      </c>
      <c r="J697" s="238">
        <f>(J696/31)/1.983</f>
        <v>56.1872692076196</v>
      </c>
      <c r="K697" s="238">
        <f>(K696/31)/1.983</f>
        <v>50.331039643420688</v>
      </c>
      <c r="L697" s="238">
        <f>(L696/30)/1.983</f>
        <v>67.910573205580761</v>
      </c>
      <c r="M697" s="40" t="s">
        <v>852</v>
      </c>
      <c r="N697" s="238">
        <f>(N696/31)/1.983</f>
        <v>52.039106599645365</v>
      </c>
      <c r="O697" s="238">
        <f>(O696/30)/1.983</f>
        <v>33.669524289796605</v>
      </c>
      <c r="P697" s="238">
        <f>(P696/31)/1.983</f>
        <v>55.585378946854711</v>
      </c>
      <c r="Q697" s="40" t="s">
        <v>852</v>
      </c>
      <c r="R697" s="40" t="s">
        <v>852</v>
      </c>
    </row>
    <row r="698" spans="1:18" ht="15.75" customHeight="1" x14ac:dyDescent="0.3">
      <c r="A698" s="18"/>
      <c r="B698" s="172"/>
      <c r="C698" s="172"/>
      <c r="D698" s="172"/>
      <c r="E698" s="17"/>
      <c r="F698" s="172"/>
      <c r="G698" s="172"/>
      <c r="H698" s="172"/>
      <c r="I698" s="17"/>
      <c r="J698" s="172"/>
      <c r="K698" s="172"/>
      <c r="L698" s="172"/>
      <c r="M698" s="17"/>
      <c r="N698" s="172"/>
      <c r="O698" s="172"/>
      <c r="P698" s="172"/>
      <c r="Q698" s="17"/>
      <c r="R698" s="17"/>
    </row>
    <row r="699" spans="1:18" ht="15.75" customHeight="1" x14ac:dyDescent="0.3">
      <c r="A699" s="18"/>
      <c r="B699" s="172"/>
      <c r="C699" s="172"/>
      <c r="D699" s="172"/>
      <c r="E699" s="172"/>
      <c r="F699" s="172"/>
      <c r="G699" s="172"/>
      <c r="H699" s="172"/>
      <c r="I699" s="172"/>
      <c r="J699" s="172"/>
      <c r="K699" s="172"/>
      <c r="L699" s="172"/>
      <c r="M699" s="172"/>
      <c r="N699" s="172"/>
      <c r="O699" s="172"/>
      <c r="P699" s="172"/>
      <c r="Q699" s="17" t="str">
        <f>+Q1</f>
        <v>PRINTED:</v>
      </c>
      <c r="R699" s="76">
        <f ca="1">+R1</f>
        <v>44881.72963425926</v>
      </c>
    </row>
    <row r="700" spans="1:18" ht="15.75" customHeight="1" x14ac:dyDescent="0.3">
      <c r="A700" s="778" t="s">
        <v>43</v>
      </c>
      <c r="B700" s="778"/>
      <c r="C700" s="778"/>
      <c r="D700" s="778"/>
      <c r="E700" s="778"/>
      <c r="F700" s="778"/>
      <c r="G700" s="778"/>
      <c r="H700" s="778"/>
      <c r="I700" s="778"/>
      <c r="J700" s="778"/>
      <c r="K700" s="778"/>
      <c r="L700" s="778"/>
      <c r="M700" s="778"/>
      <c r="N700" s="778"/>
      <c r="O700" s="778"/>
      <c r="P700" s="778"/>
      <c r="Q700" s="778"/>
      <c r="R700" s="778"/>
    </row>
    <row r="701" spans="1:18" ht="15.75" customHeight="1" x14ac:dyDescent="0.3">
      <c r="A701" s="778" t="s">
        <v>1988</v>
      </c>
      <c r="B701" s="778"/>
      <c r="C701" s="778"/>
      <c r="D701" s="778"/>
      <c r="E701" s="778"/>
      <c r="F701" s="778"/>
      <c r="G701" s="778"/>
      <c r="H701" s="778"/>
      <c r="I701" s="778"/>
      <c r="J701" s="778"/>
      <c r="K701" s="778"/>
      <c r="L701" s="778"/>
      <c r="M701" s="778"/>
      <c r="N701" s="778"/>
      <c r="O701" s="778"/>
      <c r="P701" s="778"/>
      <c r="Q701" s="778"/>
      <c r="R701" s="778"/>
    </row>
    <row r="702" spans="1:18" ht="15.75" customHeight="1" x14ac:dyDescent="0.3">
      <c r="A702" s="778" t="s">
        <v>544</v>
      </c>
      <c r="B702" s="778"/>
      <c r="C702" s="778"/>
      <c r="D702" s="778"/>
      <c r="E702" s="778"/>
      <c r="F702" s="778"/>
      <c r="G702" s="778"/>
      <c r="H702" s="778"/>
      <c r="I702" s="778"/>
      <c r="J702" s="778"/>
      <c r="K702" s="778"/>
      <c r="L702" s="778"/>
      <c r="M702" s="778"/>
      <c r="N702" s="778"/>
      <c r="O702" s="778"/>
      <c r="P702" s="778"/>
      <c r="Q702" s="778"/>
      <c r="R702" s="778"/>
    </row>
    <row r="703" spans="1:18" ht="15.75" customHeight="1" x14ac:dyDescent="0.3">
      <c r="A703" s="778" t="str">
        <f>+A5</f>
        <v>Calendar Year 2012</v>
      </c>
      <c r="B703" s="778"/>
      <c r="C703" s="778"/>
      <c r="D703" s="778"/>
      <c r="E703" s="778"/>
      <c r="F703" s="778"/>
      <c r="G703" s="778"/>
      <c r="H703" s="778"/>
      <c r="I703" s="778"/>
      <c r="J703" s="778"/>
      <c r="K703" s="778"/>
      <c r="L703" s="778"/>
      <c r="M703" s="778"/>
      <c r="N703" s="778"/>
      <c r="O703" s="778"/>
      <c r="P703" s="778"/>
      <c r="Q703" s="778"/>
      <c r="R703" s="778"/>
    </row>
    <row r="704" spans="1:18" ht="15.75" customHeight="1" x14ac:dyDescent="0.3">
      <c r="A704" s="172"/>
      <c r="B704" s="172"/>
      <c r="C704" s="172"/>
      <c r="D704" s="1"/>
      <c r="E704" s="1"/>
      <c r="F704" s="1"/>
      <c r="G704" s="452"/>
      <c r="H704" s="1"/>
      <c r="I704" s="1"/>
      <c r="J704" s="452"/>
      <c r="K704" s="452"/>
      <c r="L704" s="452"/>
      <c r="M704" s="452"/>
      <c r="N704" s="172"/>
      <c r="O704" s="452"/>
      <c r="P704" s="452"/>
      <c r="Q704" s="452"/>
      <c r="R704" s="452"/>
    </row>
    <row r="705" spans="1:20" ht="15.75" customHeight="1" x14ac:dyDescent="0.3">
      <c r="A705" s="778" t="str">
        <f>+A9</f>
        <v>Revised:  1/22/2013</v>
      </c>
      <c r="B705" s="778"/>
      <c r="C705" s="778"/>
      <c r="D705" s="778"/>
      <c r="E705" s="778"/>
      <c r="F705" s="778"/>
      <c r="G705" s="778"/>
      <c r="H705" s="778"/>
      <c r="I705" s="778"/>
      <c r="J705" s="778"/>
      <c r="K705" s="778"/>
      <c r="L705" s="778"/>
      <c r="M705" s="778"/>
      <c r="N705" s="778"/>
      <c r="O705" s="778"/>
      <c r="P705" s="778"/>
      <c r="Q705" s="778"/>
      <c r="R705" s="778"/>
    </row>
    <row r="706" spans="1:20" ht="15.75" customHeight="1" x14ac:dyDescent="0.3">
      <c r="A706" s="448"/>
      <c r="B706" s="448"/>
      <c r="C706" s="448"/>
      <c r="D706" s="448"/>
      <c r="E706" s="448"/>
      <c r="F706" s="448"/>
      <c r="G706" s="448"/>
      <c r="H706" s="448"/>
      <c r="I706" s="448"/>
      <c r="J706" s="448"/>
      <c r="K706" s="448"/>
      <c r="L706" s="448"/>
      <c r="M706" s="448"/>
      <c r="N706" s="448"/>
      <c r="O706" s="448"/>
      <c r="P706" s="448"/>
      <c r="Q706" s="448"/>
      <c r="R706" s="448"/>
    </row>
    <row r="707" spans="1:20" ht="15.75" customHeight="1" x14ac:dyDescent="0.3">
      <c r="A707" s="448"/>
      <c r="B707" s="448"/>
      <c r="C707" s="448"/>
      <c r="D707" s="448"/>
      <c r="E707" s="448"/>
      <c r="F707" s="448"/>
      <c r="G707" s="448"/>
      <c r="H707" s="448"/>
      <c r="I707" s="448"/>
      <c r="J707" s="448"/>
      <c r="K707" s="448"/>
      <c r="L707" s="448"/>
      <c r="M707" s="448"/>
      <c r="N707" s="448"/>
      <c r="O707" s="448"/>
      <c r="P707" s="448"/>
      <c r="Q707" s="448"/>
      <c r="R707" s="448"/>
    </row>
    <row r="708" spans="1:20" ht="15.75" customHeight="1" thickBot="1" x14ac:dyDescent="0.35">
      <c r="A708" s="18"/>
      <c r="B708" s="172"/>
      <c r="C708" s="172"/>
      <c r="D708" s="172"/>
      <c r="E708" s="172"/>
      <c r="F708" s="172"/>
      <c r="G708" s="172"/>
      <c r="H708" s="172"/>
      <c r="I708" s="172"/>
      <c r="J708" s="172"/>
      <c r="K708" s="172"/>
      <c r="L708" s="172"/>
      <c r="M708" s="172"/>
      <c r="N708" s="172"/>
      <c r="O708" s="172"/>
      <c r="P708" s="172"/>
      <c r="Q708" s="172"/>
      <c r="R708" s="17"/>
    </row>
    <row r="709" spans="1:20" ht="16.5" customHeight="1" thickBot="1" x14ac:dyDescent="0.35">
      <c r="A709" s="278" t="s">
        <v>1661</v>
      </c>
      <c r="B709" s="4" t="s">
        <v>2090</v>
      </c>
      <c r="C709" s="5" t="s">
        <v>2091</v>
      </c>
      <c r="D709" s="5" t="s">
        <v>2234</v>
      </c>
      <c r="E709" s="33" t="s">
        <v>1594</v>
      </c>
      <c r="F709" s="5" t="s">
        <v>2235</v>
      </c>
      <c r="G709" s="5" t="s">
        <v>2236</v>
      </c>
      <c r="H709" s="5" t="s">
        <v>2237</v>
      </c>
      <c r="I709" s="35" t="s">
        <v>1595</v>
      </c>
      <c r="J709" s="5" t="s">
        <v>1504</v>
      </c>
      <c r="K709" s="5" t="s">
        <v>1505</v>
      </c>
      <c r="L709" s="5" t="s">
        <v>1506</v>
      </c>
      <c r="M709" s="35" t="s">
        <v>1596</v>
      </c>
      <c r="N709" s="5" t="s">
        <v>1507</v>
      </c>
      <c r="O709" s="5" t="s">
        <v>1508</v>
      </c>
      <c r="P709" s="5" t="s">
        <v>1509</v>
      </c>
      <c r="Q709" s="35" t="s">
        <v>1597</v>
      </c>
      <c r="R709" s="60" t="s">
        <v>1510</v>
      </c>
    </row>
    <row r="710" spans="1:20" ht="16.5" customHeight="1" thickBot="1" x14ac:dyDescent="0.35">
      <c r="A710" s="22"/>
      <c r="B710" s="242"/>
      <c r="C710" s="242"/>
      <c r="D710" s="242"/>
      <c r="E710" s="233"/>
      <c r="F710" s="242"/>
      <c r="G710" s="242"/>
      <c r="H710" s="242"/>
      <c r="I710" s="282"/>
      <c r="J710" s="242"/>
      <c r="K710" s="242"/>
      <c r="L710" s="242"/>
      <c r="M710" s="282"/>
      <c r="N710" s="242"/>
      <c r="O710" s="242"/>
      <c r="P710" s="242"/>
      <c r="Q710" s="283"/>
      <c r="R710" s="61"/>
    </row>
    <row r="711" spans="1:20" ht="15.75" customHeight="1" x14ac:dyDescent="0.3">
      <c r="A711" s="234" t="s">
        <v>2417</v>
      </c>
      <c r="B711" s="172" t="s">
        <v>852</v>
      </c>
      <c r="C711" s="172" t="s">
        <v>852</v>
      </c>
      <c r="D711" s="172" t="s">
        <v>852</v>
      </c>
      <c r="E711" s="284"/>
      <c r="F711" s="172" t="s">
        <v>852</v>
      </c>
      <c r="G711" s="172" t="s">
        <v>852</v>
      </c>
      <c r="H711" s="172" t="s">
        <v>852</v>
      </c>
      <c r="I711" s="284"/>
      <c r="J711" s="172" t="s">
        <v>852</v>
      </c>
      <c r="K711" s="172" t="s">
        <v>852</v>
      </c>
      <c r="L711" s="172" t="s">
        <v>852</v>
      </c>
      <c r="M711" s="284"/>
      <c r="N711" s="172" t="s">
        <v>852</v>
      </c>
      <c r="O711" s="172" t="s">
        <v>852</v>
      </c>
      <c r="P711" s="172" t="s">
        <v>852</v>
      </c>
      <c r="Q711" s="285"/>
      <c r="R711" s="62" t="s">
        <v>852</v>
      </c>
    </row>
    <row r="712" spans="1:20" ht="15.75" customHeight="1" x14ac:dyDescent="0.3">
      <c r="A712" s="545" t="s">
        <v>2160</v>
      </c>
      <c r="B712" s="172">
        <f>+SUM(B72:B79)+SUM(B135:B158)+SUM(B266:B278)+SUM(B391:B393)+SUM(B431:B434)+SUM(B472:B480)+SUM(B535:B537)+SUM(B570:B573)+SUM(B623:B624)+SUM(B657:B660)</f>
        <v>27212</v>
      </c>
      <c r="C712" s="172">
        <f>+SUM(C72:C79)+SUM(C135:C158)+SUM(C266:C278)+SUM(C391:C393)+SUM(C431:C434)+SUM(C472:C480)+SUM(C535:C537)+SUM(C570:C573)+SUM(C623:C624)+SUM(C657:C660)</f>
        <v>26081</v>
      </c>
      <c r="D712" s="172">
        <f>+SUM(D72:D79)+SUM(D135:D158)+SUM(D266:D278)+SUM(D391:D393)+SUM(D431:D434)+SUM(D472:D480)+SUM(D535:D537)+SUM(D570:D573)+SUM(D623:D624)+SUM(D657:D660)</f>
        <v>34694</v>
      </c>
      <c r="E712" s="38">
        <f t="shared" ref="E712:E718" si="99">SUM(B712:D712)</f>
        <v>87987</v>
      </c>
      <c r="F712" s="172">
        <f>+SUM(F72:F79)+SUM(F135:F158)+SUM(F266:F278)+SUM(F391:F393)+SUM(F431:F434)+SUM(F472:F480)+SUM(F535:F537)+SUM(F570:F573)+SUM(F623:F624)+SUM(F657:F660)</f>
        <v>48546</v>
      </c>
      <c r="G712" s="172">
        <f>+SUM(G72:G79)+SUM(G135:G158)+SUM(G266:G278)+SUM(G391:G393)+SUM(G431:G434)+SUM(G472:G480)+SUM(G535:G537)+SUM(G570:G573)+SUM(G623:G624)+SUM(G657:G660)</f>
        <v>52178</v>
      </c>
      <c r="H712" s="172">
        <f>+SUM(H72:H79)+SUM(H135:H158)+SUM(H266:H278)+SUM(H391:H393)+SUM(H431:H434)+SUM(H472:H480)+SUM(H535:H537)+SUM(H570:H573)+SUM(H623:H624)+SUM(H657:H660)</f>
        <v>42637</v>
      </c>
      <c r="I712" s="38">
        <f t="shared" ref="I712:I718" si="100">SUM(F712:H712)</f>
        <v>143361</v>
      </c>
      <c r="J712" s="172">
        <f>+SUM(J72:J79)+SUM(J135:J158)+SUM(J266:J278)+SUM(J391:J393)+SUM(J431:J434)+SUM(J472:J480)+SUM(J535:J537)+SUM(J570:J573)+SUM(J623:J624)+SUM(J657:J660)</f>
        <v>45292</v>
      </c>
      <c r="K712" s="172">
        <f>+SUM(K72:K79)+SUM(K135:K158)+SUM(K266:K278)+SUM(K391:K393)+SUM(K431:K434)+SUM(K472:K480)+SUM(K535:K537)+SUM(K570:K573)+SUM(K623:K624)+SUM(K657:K660)</f>
        <v>49615</v>
      </c>
      <c r="L712" s="172">
        <f>+SUM(L72:L79)+SUM(L135:L158)+SUM(L266:L278)+SUM(L391:L393)+SUM(L431:L434)+SUM(L472:L480)+SUM(L535:L537)+SUM(L570:L573)+SUM(L623:L624)+SUM(L657:L660)</f>
        <v>43526</v>
      </c>
      <c r="M712" s="38">
        <f t="shared" ref="M712:M718" si="101">SUM(J712:L712)</f>
        <v>138433</v>
      </c>
      <c r="N712" s="172">
        <f>+SUM(N72:N79)+SUM(N135:N158)+SUM(N266:N278)+SUM(N391:N393)+SUM(N431:N434)+SUM(N472:N480)+SUM(N535:N537)+SUM(N570:N573)+SUM(N623:N624)+SUM(N657:N660)</f>
        <v>36354</v>
      </c>
      <c r="O712" s="172">
        <f>+SUM(O72:O79)+SUM(O135:O158)+SUM(O266:O278)+SUM(O391:O393)+SUM(O431:O434)+SUM(O472:O480)+SUM(O535:O537)+SUM(O570:O573)+SUM(O623:O624)+SUM(O657:O660)</f>
        <v>29350</v>
      </c>
      <c r="P712" s="172">
        <f>+SUM(P72:P79)+SUM(P135:P158)+SUM(P266:P278)+SUM(P391:P393)+SUM(P431:P434)+SUM(P472:P480)+SUM(P535:P537)+SUM(P570:P573)+SUM(P623:P624)+SUM(P657:P660)</f>
        <v>26131.999999999996</v>
      </c>
      <c r="Q712" s="38">
        <f t="shared" ref="Q712:Q718" si="102">SUM(N712:P712)</f>
        <v>91836</v>
      </c>
      <c r="R712" s="38">
        <f t="shared" ref="R712:R718" si="103">+E712+I712+M712+Q712</f>
        <v>461617</v>
      </c>
    </row>
    <row r="713" spans="1:20" ht="15.75" customHeight="1" x14ac:dyDescent="0.3">
      <c r="A713" s="234" t="s">
        <v>2642</v>
      </c>
      <c r="B713" s="172">
        <f>+B39+SUM(B80:B82)+SUM(B160:B170)+SUM(B280:B293)+SUM(B395:B397)+B435+SUM(B481:B482)+B538+B574+B625+SUM(B661:B661)</f>
        <v>152</v>
      </c>
      <c r="C713" s="172">
        <f>+C39+SUM(C80:C82)+SUM(C160:C170)+SUM(C280:C293)+SUM(C395:C397)+C435+SUM(C481:C482)+C538+C574+C625+SUM(C661:C661)</f>
        <v>166</v>
      </c>
      <c r="D713" s="172">
        <f>+D39+SUM(D80:D82)+SUM(D160:D170)+SUM(D280:D293)+SUM(D395:D397)+D435+SUM(D481:D482)+D538+D574+D625+SUM(D661:D661)</f>
        <v>739</v>
      </c>
      <c r="E713" s="38">
        <f t="shared" si="99"/>
        <v>1057</v>
      </c>
      <c r="F713" s="172">
        <f>+F39+SUM(F80:F82)+SUM(F160:F170)+SUM(F280:F293)+SUM(F395:F397)+F435+SUM(F481:F482)+F538+F574+F625+SUM(F661:F661)</f>
        <v>415</v>
      </c>
      <c r="G713" s="172">
        <f>+G39+SUM(G80:G82)+SUM(G160:G170)+SUM(G280:G293)+SUM(G395:G397)+G435+SUM(G481:G482)+G538+G574+G625+SUM(G661:G661)</f>
        <v>928</v>
      </c>
      <c r="H713" s="172">
        <f>+H39+SUM(H80:H82)+SUM(H160:H170)+SUM(H280:H293)+SUM(H395:H397)+H435+SUM(H481:H482)+H538+H574+H625+SUM(H661:H661)</f>
        <v>1091</v>
      </c>
      <c r="I713" s="38">
        <f t="shared" si="100"/>
        <v>2434</v>
      </c>
      <c r="J713" s="172">
        <f>+J39+SUM(J80:J82)+SUM(J160:J170)+SUM(J280:J293)+SUM(J395:J397)+J435+SUM(J481:J482)+J538+J574+J625+SUM(J661:J661)</f>
        <v>1190</v>
      </c>
      <c r="K713" s="172">
        <f>+K39+SUM(K80:K82)+SUM(K160:K170)+SUM(K280:K293)+SUM(K395:K397)+K435+SUM(K481:K482)+K538+K574+K625+SUM(K661:K661)</f>
        <v>1036</v>
      </c>
      <c r="L713" s="172">
        <f>+L39+SUM(L80:L82)+SUM(L160:L170)+SUM(L280:L293)+SUM(L395:L397)+L435+SUM(L481:L482)+L538+L574+L625+SUM(L661:L661)</f>
        <v>772</v>
      </c>
      <c r="M713" s="38">
        <f t="shared" si="101"/>
        <v>2998</v>
      </c>
      <c r="N713" s="172">
        <f>+N39+SUM(N80:N82)+SUM(N160:N170)+SUM(N280:N293)+SUM(N395:N397)+N435+SUM(N481:N482)+N538+N574+N625+SUM(N661:N661)</f>
        <v>837</v>
      </c>
      <c r="O713" s="172">
        <f>+O39+SUM(O80:O82)+SUM(O160:O170)+SUM(O280:O293)+SUM(O395:O397)+O435+SUM(O481:O482)+O538+O574+O625+SUM(O661:O661)</f>
        <v>543</v>
      </c>
      <c r="P713" s="172">
        <f>+P39+SUM(P80:P82)+SUM(P160:P170)+SUM(P280:P293)+SUM(P395:P397)+P435+SUM(P481:P482)+P538+P574+P625+SUM(P661:P661)</f>
        <v>769</v>
      </c>
      <c r="Q713" s="38">
        <f t="shared" si="102"/>
        <v>2149</v>
      </c>
      <c r="R713" s="38">
        <f t="shared" si="103"/>
        <v>8638</v>
      </c>
    </row>
    <row r="714" spans="1:20" ht="15.75" customHeight="1" x14ac:dyDescent="0.3">
      <c r="A714" s="545" t="s">
        <v>2647</v>
      </c>
      <c r="B714" s="172">
        <f>+SUM(B83:B85)+SUM(B171:B174)+SUM(B294:B298)+B398+B436+SUM(B483:B484)+B539+B575+B626+SUM(B662:B663)</f>
        <v>320</v>
      </c>
      <c r="C714" s="172">
        <f>+SUM(C83:C85)+SUM(C171:C174)+SUM(C294:C298)+C398+C436+SUM(C483:C484)+C539+C575+C626+SUM(C662:C663)</f>
        <v>713</v>
      </c>
      <c r="D714" s="172">
        <f>+SUM(D83:D85)+SUM(D171:D174)+SUM(D294:D298)+D398+D436+SUM(D483:D484)+D539+D575+D626+SUM(D662:D663)</f>
        <v>1368</v>
      </c>
      <c r="E714" s="38">
        <f t="shared" si="99"/>
        <v>2401</v>
      </c>
      <c r="F714" s="172">
        <f>+SUM(F83:F85)+SUM(F171:F174)+SUM(F294:F298)+F398+F436+SUM(F483:F484)+F539+F575+F626+SUM(F662:F663)</f>
        <v>3144</v>
      </c>
      <c r="G714" s="172">
        <f>+SUM(G83:G85)+SUM(G171:G174)+SUM(G294:G298)+G398+G436+SUM(G483:G484)+G539+G575+G626+SUM(G662:G663)</f>
        <v>7432</v>
      </c>
      <c r="H714" s="172">
        <f>+SUM(H83:H85)+SUM(H171:H174)+SUM(H294:H298)+H398+H436+SUM(H483:H484)+H539+H575+H626+SUM(H662:H663)</f>
        <v>3810</v>
      </c>
      <c r="I714" s="38">
        <f t="shared" si="100"/>
        <v>14386</v>
      </c>
      <c r="J714" s="172">
        <f>+SUM(J83:J85)+SUM(J171:J174)+SUM(J294:J298)+J398+J436+SUM(J483:J484)+J539+J575+J626+SUM(J662:J663)</f>
        <v>1574</v>
      </c>
      <c r="K714" s="172">
        <f>+SUM(K83:K85)+SUM(K171:K174)+SUM(K294:K298)+K398+K436+SUM(K483:K484)+K539+K575+K626+SUM(K662:K663)</f>
        <v>67</v>
      </c>
      <c r="L714" s="172">
        <f>+SUM(L83:L85)+SUM(L171:L174)+SUM(L294:L298)+L398+L436+SUM(L483:L484)+L539+L575+L626+SUM(L662:L663)</f>
        <v>38</v>
      </c>
      <c r="M714" s="38">
        <f t="shared" si="101"/>
        <v>1679</v>
      </c>
      <c r="N714" s="172">
        <f>+SUM(N83:N85)+SUM(N171:N174)+SUM(N294:N298)+N398+N436+SUM(N483:N484)+N539+N575+N626+SUM(N662:N663)</f>
        <v>844</v>
      </c>
      <c r="O714" s="172">
        <f>+SUM(O83:O85)+SUM(O171:O174)+SUM(O294:O298)+O398+O436+SUM(O483:O484)+O539+O575+O626+SUM(O662:O663)</f>
        <v>25</v>
      </c>
      <c r="P714" s="172">
        <f>+SUM(P83:P85)+SUM(P171:P174)+SUM(P294:P298)+P398+P436+SUM(P483:P484)+P539+P575+P626+SUM(P662:P663)</f>
        <v>510</v>
      </c>
      <c r="Q714" s="38">
        <f t="shared" si="102"/>
        <v>1379</v>
      </c>
      <c r="R714" s="38">
        <f>+E714+I714+M714+Q714</f>
        <v>19845</v>
      </c>
    </row>
    <row r="715" spans="1:20" ht="15.75" customHeight="1" x14ac:dyDescent="0.3">
      <c r="A715" s="234" t="s">
        <v>1067</v>
      </c>
      <c r="B715" s="172">
        <f>+B243+B373+B374</f>
        <v>0</v>
      </c>
      <c r="C715" s="172">
        <f>+C243+C373+C374</f>
        <v>0</v>
      </c>
      <c r="D715" s="172">
        <f>+D243+D373+D374</f>
        <v>0</v>
      </c>
      <c r="E715" s="38">
        <f t="shared" si="99"/>
        <v>0</v>
      </c>
      <c r="F715" s="172">
        <f>+F243+F373+F374</f>
        <v>0</v>
      </c>
      <c r="G715" s="172">
        <f>+G243+G373+G374</f>
        <v>0</v>
      </c>
      <c r="H715" s="172">
        <f>+H243+H373+H374</f>
        <v>0</v>
      </c>
      <c r="I715" s="38">
        <f t="shared" si="100"/>
        <v>0</v>
      </c>
      <c r="J715" s="172">
        <f>+J243+J373+J374</f>
        <v>0</v>
      </c>
      <c r="K715" s="172">
        <f>+K243+K373+K374</f>
        <v>0</v>
      </c>
      <c r="L715" s="172">
        <f>+L243+L373+L374</f>
        <v>0</v>
      </c>
      <c r="M715" s="38">
        <f t="shared" si="101"/>
        <v>0</v>
      </c>
      <c r="N715" s="172">
        <f>+N243+N373+N374</f>
        <v>0</v>
      </c>
      <c r="O715" s="172">
        <f>+O243+O373+O374</f>
        <v>0</v>
      </c>
      <c r="P715" s="172">
        <f>+P243+P373+P374</f>
        <v>0</v>
      </c>
      <c r="Q715" s="38">
        <f t="shared" si="102"/>
        <v>0</v>
      </c>
      <c r="R715" s="38">
        <f t="shared" si="103"/>
        <v>0</v>
      </c>
    </row>
    <row r="716" spans="1:20" ht="15.75" customHeight="1" x14ac:dyDescent="0.3">
      <c r="A716" s="545" t="s">
        <v>2163</v>
      </c>
      <c r="B716" s="172">
        <f>+B244</f>
        <v>19</v>
      </c>
      <c r="C716" s="172">
        <f>+C244</f>
        <v>23</v>
      </c>
      <c r="D716" s="172">
        <f>+D244</f>
        <v>17</v>
      </c>
      <c r="E716" s="38">
        <f>SUM(B716:D716)</f>
        <v>59</v>
      </c>
      <c r="F716" s="172">
        <f>+F244</f>
        <v>17</v>
      </c>
      <c r="G716" s="172">
        <f>+G244</f>
        <v>26</v>
      </c>
      <c r="H716" s="172">
        <f>+H244</f>
        <v>18</v>
      </c>
      <c r="I716" s="38">
        <f>SUM(F716:H716)</f>
        <v>61</v>
      </c>
      <c r="J716" s="172">
        <f>+J244</f>
        <v>9</v>
      </c>
      <c r="K716" s="172">
        <f>+K244</f>
        <v>39</v>
      </c>
      <c r="L716" s="172">
        <f>+L244</f>
        <v>39</v>
      </c>
      <c r="M716" s="38">
        <f>SUM(J716:L716)</f>
        <v>87</v>
      </c>
      <c r="N716" s="172">
        <f>+N244</f>
        <v>35</v>
      </c>
      <c r="O716" s="172">
        <f>+O244</f>
        <v>34</v>
      </c>
      <c r="P716" s="172">
        <v>54</v>
      </c>
      <c r="Q716" s="38">
        <f t="shared" si="102"/>
        <v>123</v>
      </c>
      <c r="R716" s="38">
        <f>+E716+I716+M716+Q716</f>
        <v>330</v>
      </c>
    </row>
    <row r="717" spans="1:20" ht="15.75" customHeight="1" thickBot="1" x14ac:dyDescent="0.35">
      <c r="A717" s="234" t="s">
        <v>2164</v>
      </c>
      <c r="B717" s="172">
        <f>+B86+B399+B437+B485+B540+B576+B627+B664</f>
        <v>0</v>
      </c>
      <c r="C717" s="172">
        <f>+C86+C399+C437+C485+C540+C576+C627+C664</f>
        <v>0</v>
      </c>
      <c r="D717" s="172">
        <f>+D86+D399+D437+D485+D540+D576+D627+D664</f>
        <v>0</v>
      </c>
      <c r="E717" s="38">
        <f t="shared" si="99"/>
        <v>0</v>
      </c>
      <c r="F717" s="172">
        <f>+F86+F399+F437+F485+F540+F576+F627+F664</f>
        <v>0</v>
      </c>
      <c r="G717" s="172">
        <f>+G86+G399+G437+G485+G540+G576+G627+G664</f>
        <v>0</v>
      </c>
      <c r="H717" s="172">
        <f>+H86+H399+H437+H485+H540+H576+H627+H664</f>
        <v>0</v>
      </c>
      <c r="I717" s="38">
        <f t="shared" si="100"/>
        <v>0</v>
      </c>
      <c r="J717" s="172">
        <f>+J86+J399+J437+J485+J540+J576+J627+J664</f>
        <v>0</v>
      </c>
      <c r="K717" s="172">
        <f>+K86+K399+K437+K485+K540+K576+K627+K664</f>
        <v>0</v>
      </c>
      <c r="L717" s="172">
        <f>+L86+L399+L437+L485+L540+L576+L627+L664</f>
        <v>0</v>
      </c>
      <c r="M717" s="38">
        <f t="shared" si="101"/>
        <v>0</v>
      </c>
      <c r="N717" s="172">
        <f>+N86+N399+N437+N485+N540+N576+N627+N664</f>
        <v>0</v>
      </c>
      <c r="O717" s="172">
        <f>+O86+O399+O437+O485+O540+O576+O627+O664</f>
        <v>0</v>
      </c>
      <c r="P717" s="172">
        <f>+P86+P399+P437+P485+P540+P576+P627+P664</f>
        <v>0</v>
      </c>
      <c r="Q717" s="38">
        <f t="shared" si="102"/>
        <v>0</v>
      </c>
      <c r="R717" s="38">
        <f t="shared" si="103"/>
        <v>0</v>
      </c>
    </row>
    <row r="718" spans="1:20" ht="16.5" customHeight="1" thickBot="1" x14ac:dyDescent="0.35">
      <c r="A718" s="43" t="s">
        <v>1218</v>
      </c>
      <c r="B718" s="45">
        <f>SUM(B711:B717)</f>
        <v>27703</v>
      </c>
      <c r="C718" s="46">
        <f>SUM(C711:C717)</f>
        <v>26983</v>
      </c>
      <c r="D718" s="46">
        <f>SUM(D711:D717)</f>
        <v>36818</v>
      </c>
      <c r="E718" s="37">
        <f t="shared" si="99"/>
        <v>91504</v>
      </c>
      <c r="F718" s="46">
        <f>SUM(F711:F717)</f>
        <v>52122</v>
      </c>
      <c r="G718" s="46">
        <f>SUM(G711:G717)</f>
        <v>60564</v>
      </c>
      <c r="H718" s="46">
        <f>SUM(H711:H717)</f>
        <v>47556</v>
      </c>
      <c r="I718" s="37">
        <f t="shared" si="100"/>
        <v>160242</v>
      </c>
      <c r="J718" s="46">
        <f>SUM(J711:J717)</f>
        <v>48065</v>
      </c>
      <c r="K718" s="46">
        <f>SUM(K711:K717)</f>
        <v>50757</v>
      </c>
      <c r="L718" s="46">
        <f>SUM(L711:L717)</f>
        <v>44375</v>
      </c>
      <c r="M718" s="37">
        <f t="shared" si="101"/>
        <v>143197</v>
      </c>
      <c r="N718" s="46">
        <f>SUM(N711:N717)</f>
        <v>38070</v>
      </c>
      <c r="O718" s="46">
        <f>SUM(O711:O717)</f>
        <v>29952</v>
      </c>
      <c r="P718" s="46">
        <f>SUM(P711:P717)</f>
        <v>27464.999999999996</v>
      </c>
      <c r="Q718" s="37">
        <f t="shared" si="102"/>
        <v>95487</v>
      </c>
      <c r="R718" s="37">
        <f t="shared" si="103"/>
        <v>490430</v>
      </c>
      <c r="T718">
        <f>+R718-R715-R714</f>
        <v>470585</v>
      </c>
    </row>
    <row r="719" spans="1:20" ht="15.75" customHeight="1" x14ac:dyDescent="0.3">
      <c r="A719" s="234" t="s">
        <v>1172</v>
      </c>
      <c r="B719" s="172"/>
      <c r="C719" s="172"/>
      <c r="D719" s="172"/>
      <c r="E719" s="38" t="s">
        <v>852</v>
      </c>
      <c r="F719" s="172"/>
      <c r="G719" s="172"/>
      <c r="H719" s="172"/>
      <c r="I719" s="38" t="s">
        <v>852</v>
      </c>
      <c r="J719" s="172"/>
      <c r="K719" s="172"/>
      <c r="L719" s="172"/>
      <c r="M719" s="38" t="s">
        <v>852</v>
      </c>
      <c r="N719" s="172"/>
      <c r="O719" s="172"/>
      <c r="P719" s="172"/>
      <c r="Q719" s="38" t="s">
        <v>852</v>
      </c>
      <c r="R719" s="38" t="s">
        <v>852</v>
      </c>
    </row>
    <row r="720" spans="1:20" ht="15.75" customHeight="1" x14ac:dyDescent="0.3">
      <c r="A720" s="234" t="s">
        <v>1658</v>
      </c>
      <c r="B720" s="172">
        <f>SUM(B44:B44)+SUM(B178:B178)+SUM(B89:B89)+SUM(B302:B302)</f>
        <v>0</v>
      </c>
      <c r="C720" s="172">
        <f>SUM(C44:C44)+SUM(C178:C178)+SUM(C89:C89)+SUM(C302:C302)</f>
        <v>0</v>
      </c>
      <c r="D720" s="172">
        <f>SUM(D44:D44)+SUM(D178:D178)+SUM(D89:D89)+SUM(D302:D302)</f>
        <v>0</v>
      </c>
      <c r="E720" s="38">
        <f>SUM(B720:D720)</f>
        <v>0</v>
      </c>
      <c r="F720" s="172">
        <f>SUM(F44:F44)+SUM(F178:F178)+SUM(F89:F89)+SUM(F302:F302)</f>
        <v>0</v>
      </c>
      <c r="G720" s="172">
        <f>SUM(G44:G44)+SUM(G178:G178)+SUM(G89:G89)+SUM(G302:G302)</f>
        <v>0</v>
      </c>
      <c r="H720" s="172">
        <f>SUM(H44:H44)+SUM(H178:H178)+SUM(H89:H89)+SUM(H302:H302)</f>
        <v>0</v>
      </c>
      <c r="I720" s="38">
        <f>SUM(F720:H720)</f>
        <v>0</v>
      </c>
      <c r="J720" s="172">
        <f>SUM(J44:J44)+SUM(J178:J178)+SUM(J89:J89)+SUM(J302:J302)</f>
        <v>0</v>
      </c>
      <c r="K720" s="172">
        <f>SUM(K44:K44)+SUM(K178:K178)+SUM(K89:K89)+SUM(K302:K302)</f>
        <v>0</v>
      </c>
      <c r="L720" s="172">
        <f>SUM(L44:L44)+SUM(L178:L178)+SUM(L89:L89)+SUM(L302:L302)</f>
        <v>0</v>
      </c>
      <c r="M720" s="38">
        <f>SUM(J720:L720)</f>
        <v>0</v>
      </c>
      <c r="N720" s="172">
        <f>SUM(N44:N44)+SUM(N178:N178)+SUM(N89:N89)+SUM(N302:N302)</f>
        <v>0</v>
      </c>
      <c r="O720" s="172">
        <f>SUM(O44:O44)+SUM(O178:O178)+SUM(O89:O89)+SUM(O302:O302)</f>
        <v>0</v>
      </c>
      <c r="P720" s="172">
        <f>SUM(P44:P44)+SUM(P178:P178)+SUM(P89:P89)+SUM(P302:P302)</f>
        <v>0</v>
      </c>
      <c r="Q720" s="38">
        <f>SUM(N720:P720)</f>
        <v>0</v>
      </c>
      <c r="R720" s="38">
        <f>+E720+I720+M720+Q720</f>
        <v>0</v>
      </c>
    </row>
    <row r="721" spans="1:20" ht="15.75" customHeight="1" x14ac:dyDescent="0.3">
      <c r="A721" s="545" t="s">
        <v>2409</v>
      </c>
      <c r="B721" s="172">
        <f>+SUM(B91:B92)+SUM(B179:B180)+SUM(B303:B311)+B403+SUM(B440:B442)+SUM(B488:B490)+SUM(B543:B543)+B579+B630+SUM(B667:B668)</f>
        <v>8014</v>
      </c>
      <c r="C721" s="172">
        <f>+SUM(C91:C92)+SUM(C179:C180)+SUM(C303:C311)+C403+SUM(C440:C442)+SUM(C488:C490)+SUM(C543:C543)+C579+C630+SUM(C667:C668)</f>
        <v>13765</v>
      </c>
      <c r="D721" s="172">
        <f>+SUM(D91:D92)+SUM(D179:D180)+SUM(D303:D311)+D403+SUM(D440:D442)+SUM(D488:D490)+SUM(D543:D543)+D579+D630+SUM(D667:D668)</f>
        <v>27663</v>
      </c>
      <c r="E721" s="38">
        <f>SUM(B721:D721)</f>
        <v>49442</v>
      </c>
      <c r="F721" s="172">
        <f>+SUM(F91:F92)+SUM(F179:F180)+SUM(F303:F311)+F403+SUM(F440:F442)+SUM(F488:F490)+SUM(F543:F543)+F579+F630+SUM(F667:F668)</f>
        <v>50055</v>
      </c>
      <c r="G721" s="172">
        <f>+SUM(G91:G92)+SUM(G179:G180)+SUM(G303:G311)+G403+SUM(G440:G442)+SUM(G488:G490)+SUM(G543:G543)+G579+G630+SUM(G667:G668)</f>
        <v>57758</v>
      </c>
      <c r="H721" s="172">
        <f>+SUM(H91:H92)+SUM(H179:H180)+SUM(H303:H311)+H403+SUM(H440:H442)+SUM(H488:H490)+SUM(H543:H543)+H579+H630+SUM(H667:H668)</f>
        <v>69565</v>
      </c>
      <c r="I721" s="38">
        <f>SUM(F721:H721)</f>
        <v>177378</v>
      </c>
      <c r="J721" s="172">
        <f>+SUM(J91:J92)+SUM(J179:J180)+SUM(J303:J311)+J403+SUM(J440:J442)+SUM(J488:J490)+SUM(J543:J543)+J579+J630+SUM(J667:J668)</f>
        <v>45844</v>
      </c>
      <c r="K721" s="172">
        <f>+SUM(K91:K92)+SUM(K179:K180)+SUM(K303:K311)+K403+SUM(K440:K442)+SUM(K488:K490)+SUM(K543:K543)+K579+K630+SUM(K667:K668)</f>
        <v>54580</v>
      </c>
      <c r="L721" s="172">
        <f>+SUM(L91:L92)+SUM(L179:L180)+SUM(L303:L311)+L403+SUM(L440:L442)+SUM(L488:L490)+SUM(L543:L543)+L579+L630+SUM(L667:L668)</f>
        <v>33233</v>
      </c>
      <c r="M721" s="38">
        <f>SUM(J721:L721)</f>
        <v>133657</v>
      </c>
      <c r="N721" s="172">
        <f>+SUM(N91:N92)+SUM(N179:N180)+SUM(N303:N311)+N403+SUM(N440:N442)+SUM(N488:N490)+SUM(N543:N543)+N579+N630+SUM(N667:N668)</f>
        <v>17216</v>
      </c>
      <c r="O721" s="172">
        <f>+SUM(O91:O92)+SUM(O179:O180)+SUM(O303:O311)+O403+SUM(O440:O442)+SUM(O488:O490)+SUM(O543:O543)+O579+O630+SUM(O667:O668)</f>
        <v>11827</v>
      </c>
      <c r="P721" s="172">
        <f>+SUM(P91:P92)+SUM(P179:P180)+SUM(P303:P311)+P403+SUM(P440:P442)+SUM(P488:P490)+SUM(P543:P543)+P579+P630+SUM(P667:P668)</f>
        <v>10480.000000000011</v>
      </c>
      <c r="Q721" s="38">
        <f>SUM(N721:P721)</f>
        <v>39523.000000000015</v>
      </c>
      <c r="R721" s="38">
        <f>+E721+I721+M721+Q721</f>
        <v>400000</v>
      </c>
    </row>
    <row r="722" spans="1:20" ht="15.75" customHeight="1" thickBot="1" x14ac:dyDescent="0.35">
      <c r="A722" s="234" t="s">
        <v>2165</v>
      </c>
      <c r="B722" s="172">
        <f>+B93+B404+B443+B491+B544+B580+B631+B669</f>
        <v>0</v>
      </c>
      <c r="C722" s="172">
        <f>+C93+C404+C443+C491+C544+C580+C631+C669</f>
        <v>0</v>
      </c>
      <c r="D722" s="172">
        <f>+D93+D404+D443+D491+D544+D580+D631+D669</f>
        <v>0</v>
      </c>
      <c r="E722" s="38">
        <f>SUM(B722:D722)</f>
        <v>0</v>
      </c>
      <c r="F722" s="172">
        <f>+F93+F404+F443+F491+F544+F580+F631+F669</f>
        <v>0</v>
      </c>
      <c r="G722" s="172">
        <f>+G93+G404+G443+G491+G544+G580+G631+G669</f>
        <v>0</v>
      </c>
      <c r="H722" s="172">
        <f>+H93+H404+H443+H491+H544+H580+H631+H669</f>
        <v>0</v>
      </c>
      <c r="I722" s="38">
        <f>SUM(F722:H722)</f>
        <v>0</v>
      </c>
      <c r="J722" s="172">
        <f>+J93+J404+J443+J491+J544+J580+J631+J669</f>
        <v>0</v>
      </c>
      <c r="K722" s="172">
        <f>+K93+K404+K443+K491+K544+K580+K631+K669</f>
        <v>0</v>
      </c>
      <c r="L722" s="172">
        <f>+L93+L404+L443+L491+L544+L580+L631+L669</f>
        <v>0</v>
      </c>
      <c r="M722" s="38">
        <f>SUM(J722:L722)</f>
        <v>0</v>
      </c>
      <c r="N722" s="172">
        <f>+N93+N404+N443+N491+N544+N580+N631+N669</f>
        <v>0</v>
      </c>
      <c r="O722" s="172">
        <f>+O93+O404+O443+O491+O544+O580+O631+O669</f>
        <v>0</v>
      </c>
      <c r="P722" s="172">
        <f>+P93+P404+P443+P491+P544+P580+P631+P669</f>
        <v>0</v>
      </c>
      <c r="Q722" s="38">
        <f>SUM(N722:P722)</f>
        <v>0</v>
      </c>
      <c r="R722" s="38">
        <f>+E722+I722+M722+Q722</f>
        <v>0</v>
      </c>
    </row>
    <row r="723" spans="1:20" ht="16.5" customHeight="1" thickBot="1" x14ac:dyDescent="0.35">
      <c r="A723" s="43" t="s">
        <v>1219</v>
      </c>
      <c r="B723" s="45">
        <f>SUM(B719:B722)</f>
        <v>8014</v>
      </c>
      <c r="C723" s="46">
        <f>SUM(C719:C722)</f>
        <v>13765</v>
      </c>
      <c r="D723" s="46">
        <f>SUM(D719:D722)</f>
        <v>27663</v>
      </c>
      <c r="E723" s="37">
        <f>SUM(B723:D723)</f>
        <v>49442</v>
      </c>
      <c r="F723" s="46">
        <f>SUM(F719:F722)</f>
        <v>50055</v>
      </c>
      <c r="G723" s="46">
        <f>SUM(G719:G722)</f>
        <v>57758</v>
      </c>
      <c r="H723" s="46">
        <f>SUM(H719:H722)</f>
        <v>69565</v>
      </c>
      <c r="I723" s="37">
        <f>SUM(F723:H723)</f>
        <v>177378</v>
      </c>
      <c r="J723" s="46">
        <f>SUM(J719:J722)</f>
        <v>45844</v>
      </c>
      <c r="K723" s="46">
        <f>SUM(K719:K722)</f>
        <v>54580</v>
      </c>
      <c r="L723" s="46">
        <f>SUM(L719:L722)</f>
        <v>33233</v>
      </c>
      <c r="M723" s="37">
        <f>SUM(J723:L723)</f>
        <v>133657</v>
      </c>
      <c r="N723" s="46">
        <f>SUM(N719:N722)</f>
        <v>17216</v>
      </c>
      <c r="O723" s="46">
        <f>SUM(O719:O722)</f>
        <v>11827</v>
      </c>
      <c r="P723" s="46">
        <f>SUM(P719:P722)</f>
        <v>10480.000000000011</v>
      </c>
      <c r="Q723" s="37">
        <f>SUM(N723:P723)</f>
        <v>39523.000000000015</v>
      </c>
      <c r="R723" s="37">
        <f>+E723+I723+M723+Q723</f>
        <v>400000</v>
      </c>
    </row>
    <row r="724" spans="1:20" ht="15.75" customHeight="1" x14ac:dyDescent="0.3">
      <c r="A724" s="234" t="s">
        <v>2166</v>
      </c>
      <c r="B724" s="172"/>
      <c r="C724" s="172"/>
      <c r="D724" s="172"/>
      <c r="E724" s="38" t="s">
        <v>852</v>
      </c>
      <c r="F724" s="172"/>
      <c r="G724" s="172"/>
      <c r="H724" s="172"/>
      <c r="I724" s="38" t="s">
        <v>852</v>
      </c>
      <c r="J724" s="172"/>
      <c r="K724" s="172"/>
      <c r="L724" s="172"/>
      <c r="M724" s="38" t="s">
        <v>852</v>
      </c>
      <c r="N724" s="172"/>
      <c r="O724" s="172"/>
      <c r="P724" s="172"/>
      <c r="Q724" s="38" t="s">
        <v>852</v>
      </c>
      <c r="R724" s="38" t="s">
        <v>852</v>
      </c>
    </row>
    <row r="725" spans="1:20" ht="15.75" customHeight="1" x14ac:dyDescent="0.3">
      <c r="A725" s="545" t="s">
        <v>1245</v>
      </c>
      <c r="B725" s="172">
        <f>+B49+B96+B184+SUM(B315:B317)+B407+B446+B494+B547+SUM(B583:B584)+B634+SUM(B672:B674)</f>
        <v>4103</v>
      </c>
      <c r="C725" s="172">
        <f>+C49+C96+C184+SUM(C315:C317)+C407+C446+C494+C547+SUM(C583:C584)+C634+SUM(C672:C674)</f>
        <v>8534</v>
      </c>
      <c r="D725" s="172">
        <f>+D49+D96+D184+SUM(D315:D317)+D407+D446+D494+D547+SUM(D583:D584)+D634+SUM(D672:D674)</f>
        <v>12623</v>
      </c>
      <c r="E725" s="38">
        <f>SUM(B725:D725)</f>
        <v>25260</v>
      </c>
      <c r="F725" s="172">
        <f>+F49+F96+F184+SUM(F315:F317)+F407+F446+F494+F547+SUM(F583:F584)+F634+SUM(F672:F674)</f>
        <v>22470</v>
      </c>
      <c r="G725" s="172">
        <f>+G49+G96+G184+SUM(G315:G317)+G407+G446+G494+G547+SUM(G583:G584)+G634+SUM(G672:G674)</f>
        <v>23148</v>
      </c>
      <c r="H725" s="172">
        <f>+H49+H96+H184+SUM(H315:H317)+H407+H446+H494+H547+SUM(H583:H584)+H634+SUM(H672:H674)</f>
        <v>26082</v>
      </c>
      <c r="I725" s="38">
        <f>SUM(F725:H725)</f>
        <v>71700</v>
      </c>
      <c r="J725" s="172">
        <f>+J49+J96+J184+SUM(J315:J317)+J407+J446+J494+J547+SUM(J583:J584)+J634+SUM(J672:J674)</f>
        <v>20501</v>
      </c>
      <c r="K725" s="172">
        <f>+K49+K96+K184+SUM(K315:K317)+K407+K446+K494+K547+SUM(K583:K584)+K634+SUM(K672:K674)</f>
        <v>18202</v>
      </c>
      <c r="L725" s="172">
        <f>+L49+L96+L184+SUM(L315:L317)+L407+L446+L494+L547+SUM(L583:L584)+L634+SUM(L672:L674)</f>
        <v>15464</v>
      </c>
      <c r="M725" s="38">
        <f>SUM(J725:L725)</f>
        <v>54167</v>
      </c>
      <c r="N725" s="172">
        <f>+N49+N96+N184+SUM(N315:N317)+N407+N446+N494+N547+SUM(N583:N584)+N634+SUM(N672:N674)</f>
        <v>12735</v>
      </c>
      <c r="O725" s="172">
        <f>+O49+O96+O184+SUM(O315:O317)+O407+O446+O494+O547+SUM(O583:O584)+O634+SUM(O672:O674)</f>
        <v>945</v>
      </c>
      <c r="P725" s="172">
        <f>+P49+P96+P184+SUM(P315:P317)+P407+P446+P494+P547+SUM(P583:P584)+P634+SUM(P672:P674)</f>
        <v>6362</v>
      </c>
      <c r="Q725" s="38">
        <f>SUM(N725:P725)</f>
        <v>20042</v>
      </c>
      <c r="R725" s="38">
        <f>+E725+I725+M725+Q725</f>
        <v>171169</v>
      </c>
    </row>
    <row r="726" spans="1:20" ht="15.75" customHeight="1" thickBot="1" x14ac:dyDescent="0.35">
      <c r="A726" s="545" t="s">
        <v>1711</v>
      </c>
      <c r="B726" s="172">
        <f>+B50+SUM(B97:B104)+SUM(B185:B218)+SUM(B318:B345)+B408+B447+SUM(B495:B496)+B548+SUM(B585:B588)+B635+SUM(B675:B678)</f>
        <v>12374</v>
      </c>
      <c r="C726" s="172">
        <f>+C50+SUM(C97:C104)+SUM(C185:C218)+SUM(C318:C345)+C408+C447+SUM(C495:C496)+C548+SUM(C585:C588)+C635+SUM(C675:C678)</f>
        <v>24512</v>
      </c>
      <c r="D726" s="172">
        <f>+D50+SUM(D97:D104)+SUM(D185:D218)+SUM(D318:D345)+D408+D447+SUM(D495:D496)+D548+SUM(D585:D588)+D635+SUM(D675:D678)</f>
        <v>34294</v>
      </c>
      <c r="E726" s="38">
        <f>SUM(B726:D726)</f>
        <v>71180</v>
      </c>
      <c r="F726" s="172">
        <f>+F50+SUM(F97:F104)+SUM(F185:F218)+SUM(F318:F345)+F408+F447+SUM(F495:F496)+F548+SUM(F585:F588)+F635+SUM(F675:F678)</f>
        <v>40718</v>
      </c>
      <c r="G726" s="172">
        <f>+G50+SUM(G97:G104)+SUM(G185:G218)+SUM(G318:G345)+G408+G447+SUM(G495:G496)+G548+SUM(G585:G588)+G635+SUM(G675:G678)</f>
        <v>44347</v>
      </c>
      <c r="H726" s="172">
        <f>+H50+SUM(H97:H104)+SUM(H185:H218)+SUM(H318:H345)+H408+H447+SUM(H495:H496)+H548+SUM(H585:H588)+H635+SUM(H675:H678)</f>
        <v>50333</v>
      </c>
      <c r="I726" s="38">
        <f>SUM(F726:H726)</f>
        <v>135398</v>
      </c>
      <c r="J726" s="172">
        <f>+J50+SUM(J97:J104)+SUM(J185:J218)+SUM(J318:J345)+J408+J447+SUM(J495:J496)+J548+SUM(J585:J588)+J635+SUM(J675:J678)</f>
        <v>45556</v>
      </c>
      <c r="K726" s="172">
        <f>+K50+SUM(K97:K104)+SUM(K185:K218)+SUM(K318:K345)+K408+K447+SUM(K495:K496)+K548+SUM(K585:K588)+K635+SUM(K675:K678)</f>
        <v>47333</v>
      </c>
      <c r="L726" s="172">
        <f>+L50+SUM(L97:L104)+SUM(L185:L218)+SUM(L318:L345)+L408+L447+SUM(L495:L496)+L548+SUM(L585:L588)+L635+SUM(L675:L678)</f>
        <v>27422</v>
      </c>
      <c r="M726" s="38">
        <f>SUM(J726:L726)</f>
        <v>120311</v>
      </c>
      <c r="N726" s="172">
        <f>+N50+SUM(N97:N104)+SUM(N185:N218)+SUM(N318:N345)+N408+N447+SUM(N495:N496)+N548+SUM(N585:N588)+N635+SUM(N675:N678)</f>
        <v>20701</v>
      </c>
      <c r="O726" s="172">
        <f>+O50+SUM(O97:O104)+SUM(O185:O218)+SUM(O318:O345)+O408+O447+SUM(O495:O496)+O548+SUM(O585:O588)+O635+SUM(O675:O678)</f>
        <v>12503</v>
      </c>
      <c r="P726" s="172">
        <f>+P50+SUM(P97:P104)+SUM(P185:P218)+SUM(P318:P345)+P408+P447+SUM(P495:P496)+P548+SUM(P585:P588)+P635+SUM(P675:P678)</f>
        <v>16805.000000000004</v>
      </c>
      <c r="Q726" s="38">
        <f>SUM(N726:P726)</f>
        <v>50009</v>
      </c>
      <c r="R726" s="38">
        <f>+E726+I726+M726+Q726</f>
        <v>376898</v>
      </c>
    </row>
    <row r="727" spans="1:20" ht="16.5" customHeight="1" thickBot="1" x14ac:dyDescent="0.35">
      <c r="A727" s="43" t="s">
        <v>1220</v>
      </c>
      <c r="B727" s="45">
        <f>SUM(B724:B726)</f>
        <v>16477</v>
      </c>
      <c r="C727" s="46">
        <f>SUM(C724:C726)</f>
        <v>33046</v>
      </c>
      <c r="D727" s="58">
        <f>SUM(D724:D726)</f>
        <v>46917</v>
      </c>
      <c r="E727" s="37">
        <f>SUM(B727:D727)</f>
        <v>96440</v>
      </c>
      <c r="F727" s="46">
        <f>SUM(F724:F726)</f>
        <v>63188</v>
      </c>
      <c r="G727" s="46">
        <f>SUM(G724:G726)</f>
        <v>67495</v>
      </c>
      <c r="H727" s="46">
        <f>SUM(H724:H726)</f>
        <v>76415</v>
      </c>
      <c r="I727" s="37">
        <f>SUM(F727:H727)</f>
        <v>207098</v>
      </c>
      <c r="J727" s="46">
        <f>SUM(J724:J726)</f>
        <v>66057</v>
      </c>
      <c r="K727" s="46">
        <f>SUM(K724:K726)</f>
        <v>65535</v>
      </c>
      <c r="L727" s="46">
        <f>SUM(L724:L726)</f>
        <v>42886</v>
      </c>
      <c r="M727" s="37">
        <f>SUM(J727:L727)</f>
        <v>174478</v>
      </c>
      <c r="N727" s="46">
        <f>SUM(N724:N726)</f>
        <v>33436</v>
      </c>
      <c r="O727" s="46">
        <f>SUM(O724:O726)</f>
        <v>13448</v>
      </c>
      <c r="P727" s="46">
        <f>SUM(P724:P726)</f>
        <v>23167.000000000004</v>
      </c>
      <c r="Q727" s="37">
        <f>SUM(N727:P727)</f>
        <v>70051</v>
      </c>
      <c r="R727" s="37">
        <f>+E727+I727+M727+Q727</f>
        <v>548067</v>
      </c>
      <c r="T727">
        <v>1600000</v>
      </c>
    </row>
    <row r="728" spans="1:20" ht="15.75" customHeight="1" x14ac:dyDescent="0.3">
      <c r="A728" s="234" t="s">
        <v>2645</v>
      </c>
      <c r="B728" s="172"/>
      <c r="C728" s="172"/>
      <c r="D728" s="172"/>
      <c r="E728" s="38" t="s">
        <v>852</v>
      </c>
      <c r="F728" s="172"/>
      <c r="G728" s="172"/>
      <c r="H728" s="172"/>
      <c r="I728" s="38" t="s">
        <v>852</v>
      </c>
      <c r="J728" s="172"/>
      <c r="K728" s="172"/>
      <c r="L728" s="172"/>
      <c r="M728" s="38" t="s">
        <v>852</v>
      </c>
      <c r="N728" s="172"/>
      <c r="O728" s="172"/>
      <c r="P728" s="172"/>
      <c r="Q728" s="38" t="s">
        <v>852</v>
      </c>
      <c r="R728" s="38" t="s">
        <v>852</v>
      </c>
      <c r="T728">
        <f>+T727-28000-R712-R713-400000-R725-R726+12000</f>
        <v>165678</v>
      </c>
    </row>
    <row r="729" spans="1:20" ht="15.75" customHeight="1" x14ac:dyDescent="0.3">
      <c r="A729" s="234" t="s">
        <v>2643</v>
      </c>
      <c r="B729" s="172">
        <f>SUM(B53:B53)+SUM(B107:B114)+SUM(B221:B226)+SUM(B348:B350)+SUM(B411:B411)+B450+SUM(B499:B501)+B551+B591+B638+SUM(B681:B683)</f>
        <v>0</v>
      </c>
      <c r="C729" s="172">
        <f>SUM(C53:C53)+SUM(C107:C114)+SUM(C221:C226)+SUM(C348:C350)+SUM(C411:C411)+C450+SUM(C499:C501)+C551+C591+C638+SUM(C681:C683)</f>
        <v>0</v>
      </c>
      <c r="D729" s="172">
        <f>SUM(D53:D53)+SUM(D107:D114)+SUM(D221:D226)+SUM(D348:D350)+SUM(D411:D411)+D450+SUM(D499:D501)+D551+D591+D638+SUM(D681:D683)</f>
        <v>0</v>
      </c>
      <c r="E729" s="38">
        <f t="shared" ref="E729:E737" si="104">SUM(B729:D729)</f>
        <v>0</v>
      </c>
      <c r="F729" s="172">
        <f>SUM(F53:F53)+SUM(F107:F114)+SUM(F221:F226)+SUM(F348:F350)+SUM(F411:F411)+F450+SUM(F499:F501)+F551+F591+F638+SUM(F681:F683)</f>
        <v>0</v>
      </c>
      <c r="G729" s="172">
        <f>SUM(G53:G53)+SUM(G107:G114)+SUM(G221:G226)+SUM(G348:G350)+SUM(G411:G411)+G450+SUM(G499:G501)+G551+G591+G638+SUM(G681:G683)</f>
        <v>0</v>
      </c>
      <c r="H729" s="172">
        <f>SUM(H53:H53)+SUM(H107:H114)+SUM(H221:H226)+SUM(H348:H350)+SUM(H411:H411)+H450+SUM(H499:H501)+H551+H591+H638+SUM(H681:H683)</f>
        <v>0</v>
      </c>
      <c r="I729" s="38">
        <f t="shared" ref="I729:I737" si="105">SUM(F729:H729)</f>
        <v>0</v>
      </c>
      <c r="J729" s="172">
        <f>SUM(J53:J53)+SUM(J107:J114)+SUM(J221:J226)+SUM(J348:J350)+SUM(J411:J411)+J450+SUM(J499:J501)+J551+J591+J638+SUM(J681:J683)</f>
        <v>484</v>
      </c>
      <c r="K729" s="172">
        <f>SUM(K53:K53)+SUM(K107:K114)+SUM(K221:K226)+SUM(K348:K350)+SUM(K411:K411)+K450+SUM(K499:K501)+K551+K591+K638+SUM(K681:K683)</f>
        <v>484</v>
      </c>
      <c r="L729" s="172">
        <f>SUM(L53:L53)+SUM(L107:L114)+SUM(L221:L226)+SUM(L348:L350)+SUM(L411:L411)+L450+SUM(L499:L501)+L551+L591+L638+SUM(L681:L683)</f>
        <v>684</v>
      </c>
      <c r="M729" s="38">
        <f t="shared" ref="M729:M737" si="106">SUM(J729:L729)</f>
        <v>1652</v>
      </c>
      <c r="N729" s="172">
        <f>SUM(N53:N53)+SUM(N107:N114)+SUM(N221:N226)+SUM(N348:N350)+SUM(N411:N411)+N450+SUM(N499:N501)+N551+N591+N638+SUM(N681:N683)</f>
        <v>534</v>
      </c>
      <c r="O729" s="172">
        <f>SUM(O53:O53)+SUM(O107:O114)+SUM(O221:O226)+SUM(O348:O350)+SUM(O411:O411)+O450+SUM(O499:O501)+O551+O591+O638+SUM(O681:O683)</f>
        <v>484</v>
      </c>
      <c r="P729" s="172">
        <f>SUM(P53:P53)+SUM(P107:P114)+SUM(P221:P226)+SUM(P348:P350)+SUM(P411:P411)+P450+SUM(P499:P501)+P551+P591+P638+SUM(P681:P683)</f>
        <v>604</v>
      </c>
      <c r="Q729" s="38">
        <f t="shared" ref="Q729:Q737" si="107">SUM(N729:P729)</f>
        <v>1622</v>
      </c>
      <c r="R729" s="38">
        <f t="shared" ref="R729:R737" si="108">+E729+I729+M729+Q729</f>
        <v>3274</v>
      </c>
    </row>
    <row r="730" spans="1:20" ht="15.75" customHeight="1" x14ac:dyDescent="0.3">
      <c r="A730" s="234" t="s">
        <v>557</v>
      </c>
      <c r="B730" s="172">
        <f>SUM(B54:B55)+SUM(B115:B116)+SUM(B227:B228)+B230+B232+B234+B235+SUM(B351:B353)+B412+B451+SUM(B502:B503)+B505+SUM(B552:B553)+B593+B595+B639+SUM(B684:B685)</f>
        <v>18145</v>
      </c>
      <c r="C730" s="172">
        <f>SUM(C54:C55)+SUM(C115:C116)+SUM(C227:C228)+C230+C232+C234+C235+SUM(C351:C353)+C412+C451+SUM(C502:C503)+C505+SUM(C552:C553)+C593+C595+C639+SUM(C684:C685)</f>
        <v>22199</v>
      </c>
      <c r="D730" s="172">
        <f>SUM(D54:D55)+SUM(D115:D116)+SUM(D227:D228)+D230+D232+D234+D235+SUM(D351:D353)+D412+D451+SUM(D502:D503)+D505+SUM(D552:D553)+D593+D595+D639+SUM(D684:D685)</f>
        <v>22338</v>
      </c>
      <c r="E730" s="38">
        <f t="shared" si="104"/>
        <v>62682</v>
      </c>
      <c r="F730" s="172">
        <f>SUM(F54:F55)+SUM(F115:F116)+SUM(F227:F228)+F230+F232+F234+F235+SUM(F351:F353)+F412+F451+SUM(F502:F503)+F505+SUM(F552:F553)+F593+F595+F639+SUM(F684:F685)</f>
        <v>3994</v>
      </c>
      <c r="G730" s="172">
        <f>SUM(G54:G55)+SUM(G115:G116)+SUM(G227:G228)+G230+G232+G234+G235+SUM(G351:G353)+G412+G451+SUM(G502:G503)+G505+SUM(G552:G553)+G593+G595+G639+SUM(G684:G685)</f>
        <v>2000</v>
      </c>
      <c r="H730" s="172">
        <f>SUM(H54:H55)+SUM(H115:H116)+SUM(H227:H228)+H230+H232+H234+H235+SUM(H351:H353)+H412+H451+SUM(H502:H503)+H505+SUM(H552:H553)+H593+H595+H639+SUM(H684:H685)</f>
        <v>0</v>
      </c>
      <c r="I730" s="38">
        <f t="shared" si="105"/>
        <v>5994</v>
      </c>
      <c r="J730" s="172">
        <f>SUM(J54:J55)+SUM(J115:J116)+SUM(J227:J228)+J230+J232+J234+J235+SUM(J351:J353)+J412+J451+SUM(J502:J503)+J505+SUM(J552:J553)+J593+J595+J639+SUM(J684:J685)</f>
        <v>0</v>
      </c>
      <c r="K730" s="172">
        <f>SUM(K54:K55)+SUM(K115:K116)+SUM(K227:K228)+K230+K232+K234+K235+SUM(K351:K353)+K412+K451+SUM(K502:K503)+K505+SUM(K552:K553)+K593+K595+K639+SUM(K684:K685)</f>
        <v>0</v>
      </c>
      <c r="L730" s="172">
        <f>SUM(L54:L55)+SUM(L115:L116)+SUM(L227:L228)+L230+L232+L234+L235+SUM(L351:L353)+L412+L451+SUM(L502:L503)+L505+SUM(L552:L553)+L593+L595+L639+SUM(L684:L685)</f>
        <v>0</v>
      </c>
      <c r="M730" s="38">
        <f t="shared" si="106"/>
        <v>0</v>
      </c>
      <c r="N730" s="172">
        <f>SUM(N54:N55)+SUM(N115:N116)+SUM(N227:N228)+N230+N232+N234+N235+SUM(N351:N353)+N412+N451+SUM(N502:N503)+N505+SUM(N552:N553)+N593+N595+N639+SUM(N684:N685)</f>
        <v>2698</v>
      </c>
      <c r="O730" s="172">
        <f>SUM(O54:O55)+SUM(O115:O116)+SUM(O227:O228)+O230+O232+O234+O235+SUM(O351:O353)+O412+O451+SUM(O502:O503)+O505+SUM(O552:O553)+O593+O595+O639+SUM(O684:O685)</f>
        <v>802</v>
      </c>
      <c r="P730" s="172">
        <f>SUM(P54:P55)+SUM(P115:P116)+SUM(P227:P228)+P230+P232+P234+P235+SUM(P351:P353)+P412+P451+SUM(P502:P503)+P505+SUM(P552:P553)+P593+P595+P639+SUM(P684:P685)</f>
        <v>5240</v>
      </c>
      <c r="Q730" s="38">
        <f t="shared" si="107"/>
        <v>8740</v>
      </c>
      <c r="R730" s="38">
        <f t="shared" si="108"/>
        <v>77416</v>
      </c>
    </row>
    <row r="731" spans="1:20" ht="15.75" customHeight="1" x14ac:dyDescent="0.3">
      <c r="A731" s="266" t="s">
        <v>614</v>
      </c>
      <c r="B731" s="172">
        <f>B117+B229+B231+B233+B504+B506+B594+B596+B686</f>
        <v>0</v>
      </c>
      <c r="C731" s="172">
        <f>C117+C229+C231+C233+C504+C506+C594+C596+C686</f>
        <v>0</v>
      </c>
      <c r="D731" s="172">
        <f>D117+D229+D231+D233+D504+D506+D594+D596+D686</f>
        <v>0</v>
      </c>
      <c r="E731" s="38">
        <f t="shared" si="104"/>
        <v>0</v>
      </c>
      <c r="F731" s="172">
        <f>F117+F229+F231+F233+F504+F506+F594+F596+F686</f>
        <v>0</v>
      </c>
      <c r="G731" s="172">
        <f>G117+G229+G231+G233+G504+G506+G594+G596+G686</f>
        <v>0</v>
      </c>
      <c r="H731" s="172">
        <f>H117+H229+H231+H233+H504+H506+H594+H596+H686</f>
        <v>0</v>
      </c>
      <c r="I731" s="38">
        <f t="shared" si="105"/>
        <v>0</v>
      </c>
      <c r="J731" s="172">
        <f>J117+J229+J231+J233+J504+J506+J594+J596+J686</f>
        <v>0</v>
      </c>
      <c r="K731" s="172">
        <f>K117+K229+K231+K233+K504+K506+K594+K596+K686</f>
        <v>0</v>
      </c>
      <c r="L731" s="172">
        <f>L117+L229+L231+L233+L504+L506+L594+L596+L686</f>
        <v>0</v>
      </c>
      <c r="M731" s="38">
        <f t="shared" si="106"/>
        <v>0</v>
      </c>
      <c r="N731" s="172">
        <f>N117+N229+N231+N233+N504+N506+N594+N596+N686</f>
        <v>0</v>
      </c>
      <c r="O731" s="172">
        <f>O117+O229+O231+O233+O504+O506+O594+O596+O686</f>
        <v>0</v>
      </c>
      <c r="P731" s="172">
        <f>P117+P229+P231+P233+P504+P506+P594+P596+P686</f>
        <v>0</v>
      </c>
      <c r="Q731" s="38">
        <f t="shared" si="107"/>
        <v>0</v>
      </c>
      <c r="R731" s="38">
        <f t="shared" si="108"/>
        <v>0</v>
      </c>
    </row>
    <row r="732" spans="1:20" ht="15.75" customHeight="1" x14ac:dyDescent="0.3">
      <c r="A732" s="234" t="s">
        <v>2644</v>
      </c>
      <c r="B732" s="172">
        <f>+B56+SUM(B118:B119)+SUM(B236:B236)+SUM(B354:B360)+SUM(B413:B413)+SUM(B452:B453)+B507+B554+B597+B687+B687</f>
        <v>0</v>
      </c>
      <c r="C732" s="172">
        <f>+C56+SUM(C118:C119)+SUM(C236:C236)+SUM(C354:C360)+SUM(C413:C413)+SUM(C452:C453)+C507+C554+C597+C687+C687</f>
        <v>0</v>
      </c>
      <c r="D732" s="172">
        <f>+D56+SUM(D118:D119)+SUM(D236:D236)+SUM(D354:D360)+SUM(D413:D413)+SUM(D452:D453)+D507+D554+D597+D687+D687</f>
        <v>0</v>
      </c>
      <c r="E732" s="38">
        <f t="shared" si="104"/>
        <v>0</v>
      </c>
      <c r="F732" s="172">
        <f>+F56+SUM(F118:F119)+SUM(F236:F236)+SUM(F354:F360)+SUM(F413:F413)+SUM(F452:F453)+F507+F554+F597+F687+F687</f>
        <v>1175</v>
      </c>
      <c r="G732" s="172">
        <f>+G56+SUM(G118:G119)+SUM(G236:G236)+SUM(G354:G360)+SUM(G413:G413)+SUM(G452:G453)+G507+G554+G597+G687+G687</f>
        <v>10</v>
      </c>
      <c r="H732" s="172">
        <f>+H56+SUM(H118:H119)+SUM(H236:H236)+SUM(H354:H360)+SUM(H413:H413)+SUM(H452:H453)+H507+H554+H597+H687+H687</f>
        <v>11208</v>
      </c>
      <c r="I732" s="38">
        <f t="shared" si="105"/>
        <v>12393</v>
      </c>
      <c r="J732" s="172">
        <f>+J56+SUM(J118:J119)+SUM(J236:J236)+SUM(J354:J360)+SUM(J413:J413)+SUM(J452:J453)+J507+J554+J597+J687+J687</f>
        <v>6899</v>
      </c>
      <c r="K732" s="172">
        <f>+K56+SUM(K118:K119)+SUM(K236:K236)+SUM(K354:K360)+SUM(K413:K413)+SUM(K452:K453)+K507+K554+K597+K687+K687</f>
        <v>1872</v>
      </c>
      <c r="L732" s="172">
        <f>+L56+SUM(L118:L119)+SUM(L236:L236)+SUM(L354:L360)+SUM(L413:L413)+SUM(L452:L453)+L507+L554+L597+L687+L687</f>
        <v>660</v>
      </c>
      <c r="M732" s="38">
        <f t="shared" si="106"/>
        <v>9431</v>
      </c>
      <c r="N732" s="172">
        <f>+N56+SUM(N118:N119)+SUM(N236:N236)+SUM(N354:N360)+SUM(N413:N413)+SUM(N452:N453)+N507+N554+N597+N687+N687</f>
        <v>995</v>
      </c>
      <c r="O732" s="172">
        <f>+O56+SUM(O118:O119)+SUM(O236:O236)+SUM(O354:O360)+SUM(O413:O413)+SUM(O452:O453)+O507+O554+O597+O687+O687</f>
        <v>625</v>
      </c>
      <c r="P732" s="172">
        <f>+P56+SUM(P118:P119)+SUM(P236:P236)+SUM(P354:P360)+SUM(P413:P413)+SUM(P452:P453)+P507+P554+P597+P687+P687</f>
        <v>311</v>
      </c>
      <c r="Q732" s="38">
        <f t="shared" si="107"/>
        <v>1931</v>
      </c>
      <c r="R732" s="38">
        <f>+E732+I732+M732+Q732</f>
        <v>23755</v>
      </c>
    </row>
    <row r="733" spans="1:20" ht="15.75" customHeight="1" x14ac:dyDescent="0.3">
      <c r="A733" s="234" t="s">
        <v>559</v>
      </c>
      <c r="B733" s="172">
        <f>SUM(B120:B120)+SUM(B237:B237)+B362+B364+B365+B367+B369+SUM(B414:B415)+B455+B457+B508+SUM(B509:B510)+B555+B598+B641+B688</f>
        <v>1523</v>
      </c>
      <c r="C733" s="172">
        <f>SUM(C120:C120)+SUM(C237:C237)+C362+C364+C365+C367+C369+SUM(C414:C415)+C455+C457+C508+SUM(C509:C510)+C555+C598+C641+C688</f>
        <v>1020</v>
      </c>
      <c r="D733" s="172">
        <f>SUM(D120:D120)+SUM(D237:D237)+D362+D364+D365+D367+D369+SUM(D414:D415)+D455+D457+D508+SUM(D509:D510)+D555+D598+D641+D688</f>
        <v>4658</v>
      </c>
      <c r="E733" s="38">
        <f t="shared" si="104"/>
        <v>7201</v>
      </c>
      <c r="F733" s="172">
        <f>SUM(F120:F120)+SUM(F237:F237)+F362+F364+F365+F367+F369+SUM(F414:F415)+F455+F457+F508+SUM(F509:F510)+F555+F598+F641+F688</f>
        <v>3439</v>
      </c>
      <c r="G733" s="172">
        <f>SUM(G120:G120)+SUM(G237:G237)+G362+G364+G365+G367+G369+SUM(G414:G415)+G455+G457+G508+SUM(G509:G510)+G555+G598+G641+G688</f>
        <v>3018</v>
      </c>
      <c r="H733" s="172">
        <f>SUM(H120:H120)+SUM(H237:H237)+H362+H364+H365+H367+H369+SUM(H414:H415)+H455+H457+H508+SUM(H509:H510)+H555+H598+H641+H688</f>
        <v>3032</v>
      </c>
      <c r="I733" s="38">
        <f t="shared" si="105"/>
        <v>9489</v>
      </c>
      <c r="J733" s="172">
        <f>SUM(J120:J120)+SUM(J237:J237)+J362+J364+J365+J367+J369+SUM(J414:J415)+J455+J457+J508+SUM(J509:J510)+J555+J598+J641+J688</f>
        <v>7208</v>
      </c>
      <c r="K733" s="172">
        <f>SUM(K120:K120)+SUM(K237:K237)+K362+K364+K365+K367+K369+SUM(K414:K415)+K455+K457+K508+SUM(K509:K510)+K555+K598+K641+K688</f>
        <v>2059</v>
      </c>
      <c r="L733" s="172">
        <f>SUM(L120:L120)+SUM(L237:L237)+L362+L364+L365+L367+L369+SUM(L414:L415)+L455+L457+L508+SUM(L509:L510)+L555+L598+L641+L688</f>
        <v>11595</v>
      </c>
      <c r="M733" s="38">
        <f t="shared" si="106"/>
        <v>20862</v>
      </c>
      <c r="N733" s="172">
        <f>SUM(N120:N120)+SUM(N237:N237)+N362+N364+N365+N367+N369+SUM(N414:N415)+N455+N457+N508+SUM(N509:N510)+N555+N598+N641+N688</f>
        <v>8954</v>
      </c>
      <c r="O733" s="172">
        <f>SUM(O120:O120)+SUM(O237:O237)+O362+O364+O365+O367+O369+SUM(O414:O415)+O455+O457+O508+SUM(O509:O510)+O555+O598+O641+O688</f>
        <v>1866</v>
      </c>
      <c r="P733" s="172">
        <f>SUM(P120:P120)+SUM(P237:P237)+P362+P364+P365+P367+P369+SUM(P414:P415)+P455+P457+P508+SUM(P509:P510)+P555+P598+P641+P688</f>
        <v>7185</v>
      </c>
      <c r="Q733" s="38">
        <f t="shared" si="107"/>
        <v>18005</v>
      </c>
      <c r="R733" s="38">
        <f t="shared" si="108"/>
        <v>55557</v>
      </c>
    </row>
    <row r="734" spans="1:20" ht="15.75" customHeight="1" thickBot="1" x14ac:dyDescent="0.35">
      <c r="A734" s="266" t="s">
        <v>1862</v>
      </c>
      <c r="B734" s="172">
        <f>+B363+B366+B368+B416</f>
        <v>0</v>
      </c>
      <c r="C734" s="172">
        <f>+C363+C366+C368+C416</f>
        <v>0</v>
      </c>
      <c r="D734" s="172">
        <f>+D363+D366+D368+D416</f>
        <v>0</v>
      </c>
      <c r="E734" s="38">
        <f>SUM(B734:D734)</f>
        <v>0</v>
      </c>
      <c r="F734" s="172">
        <f>+F363+F366+F368+F416</f>
        <v>0</v>
      </c>
      <c r="G734" s="172">
        <f>+G363+G366+G368+G416</f>
        <v>0</v>
      </c>
      <c r="H734" s="172">
        <f>+H363+H366+H368+H416</f>
        <v>0</v>
      </c>
      <c r="I734" s="38">
        <f>SUM(F734:H734)</f>
        <v>0</v>
      </c>
      <c r="J734" s="172">
        <f>+J363+J366+J368+J416</f>
        <v>0</v>
      </c>
      <c r="K734" s="172">
        <f>+K363+K366+K368+K416</f>
        <v>0</v>
      </c>
      <c r="L734" s="172">
        <f>+L363+L366+L368+L416</f>
        <v>0</v>
      </c>
      <c r="M734" s="38">
        <f>SUM(J734:L734)</f>
        <v>0</v>
      </c>
      <c r="N734" s="172">
        <f>+N363+N366+N368+N416</f>
        <v>0</v>
      </c>
      <c r="O734" s="172">
        <f>+O363+O366+O368+O416</f>
        <v>0</v>
      </c>
      <c r="P734" s="172">
        <f>+P363+P366+P368+P416</f>
        <v>0</v>
      </c>
      <c r="Q734" s="38">
        <f>SUM(N734:P734)</f>
        <v>0</v>
      </c>
      <c r="R734" s="38">
        <f>+E734+I734+M734+Q734</f>
        <v>0</v>
      </c>
    </row>
    <row r="735" spans="1:20" ht="16.5" customHeight="1" thickBot="1" x14ac:dyDescent="0.35">
      <c r="A735" s="43" t="s">
        <v>1019</v>
      </c>
      <c r="B735" s="335">
        <f>SUM(B732:B734)</f>
        <v>1523</v>
      </c>
      <c r="C735" s="335">
        <f>SUM(C732:C734)</f>
        <v>1020</v>
      </c>
      <c r="D735" s="335">
        <f>SUM(D732:D734)</f>
        <v>4658</v>
      </c>
      <c r="E735" s="39">
        <f t="shared" si="104"/>
        <v>7201</v>
      </c>
      <c r="F735" s="335">
        <f>SUM(F732:F734)</f>
        <v>4614</v>
      </c>
      <c r="G735" s="335">
        <f>SUM(G732:G734)</f>
        <v>3028</v>
      </c>
      <c r="H735" s="335">
        <f>SUM(H732:H734)</f>
        <v>14240</v>
      </c>
      <c r="I735" s="39">
        <f t="shared" si="105"/>
        <v>21882</v>
      </c>
      <c r="J735" s="335">
        <f>SUM(J732:J734)</f>
        <v>14107</v>
      </c>
      <c r="K735" s="335">
        <f>SUM(K732:K734)</f>
        <v>3931</v>
      </c>
      <c r="L735" s="335">
        <f>SUM(L732:L734)</f>
        <v>12255</v>
      </c>
      <c r="M735" s="39">
        <f t="shared" si="106"/>
        <v>30293</v>
      </c>
      <c r="N735" s="335">
        <f>SUM(N732:N734)</f>
        <v>9949</v>
      </c>
      <c r="O735" s="335">
        <f>SUM(O732:O734)</f>
        <v>2491</v>
      </c>
      <c r="P735" s="335">
        <f>SUM(P732:P734)</f>
        <v>7496</v>
      </c>
      <c r="Q735" s="39">
        <f t="shared" si="107"/>
        <v>19936</v>
      </c>
      <c r="R735" s="37">
        <f t="shared" si="108"/>
        <v>79312</v>
      </c>
    </row>
    <row r="736" spans="1:20" ht="16.5" customHeight="1" thickBot="1" x14ac:dyDescent="0.35">
      <c r="A736" s="277" t="s">
        <v>1221</v>
      </c>
      <c r="B736" s="45">
        <f>SUM(B728:B734)</f>
        <v>19668</v>
      </c>
      <c r="C736" s="46">
        <f>SUM(C728:C734)</f>
        <v>23219</v>
      </c>
      <c r="D736" s="58">
        <f>SUM(D728:D734)</f>
        <v>26996</v>
      </c>
      <c r="E736" s="336">
        <f t="shared" si="104"/>
        <v>69883</v>
      </c>
      <c r="F736" s="45">
        <f>SUM(F728:F734)</f>
        <v>8608</v>
      </c>
      <c r="G736" s="46">
        <f>SUM(G728:G734)</f>
        <v>5028</v>
      </c>
      <c r="H736" s="58">
        <f>SUM(H728:H734)</f>
        <v>14240</v>
      </c>
      <c r="I736" s="39">
        <f t="shared" si="105"/>
        <v>27876</v>
      </c>
      <c r="J736" s="45">
        <f>SUM(J728:J734)</f>
        <v>14591</v>
      </c>
      <c r="K736" s="46">
        <f>SUM(K728:K734)</f>
        <v>4415</v>
      </c>
      <c r="L736" s="58">
        <f>SUM(L728:L734)</f>
        <v>12939</v>
      </c>
      <c r="M736" s="39">
        <f t="shared" si="106"/>
        <v>31945</v>
      </c>
      <c r="N736" s="45">
        <f>SUM(N728:N734)</f>
        <v>13181</v>
      </c>
      <c r="O736" s="46">
        <f>SUM(O728:O734)</f>
        <v>3777</v>
      </c>
      <c r="P736" s="58">
        <f>SUM(P728:P734)</f>
        <v>13340</v>
      </c>
      <c r="Q736" s="39">
        <f t="shared" si="107"/>
        <v>30298</v>
      </c>
      <c r="R736" s="37">
        <f t="shared" si="108"/>
        <v>160002</v>
      </c>
    </row>
    <row r="737" spans="1:18" ht="16.5" customHeight="1" thickBot="1" x14ac:dyDescent="0.35">
      <c r="A737" s="43" t="s">
        <v>1222</v>
      </c>
      <c r="B737" s="337">
        <f>+B718+B723+B727+B736</f>
        <v>71862</v>
      </c>
      <c r="C737" s="338">
        <f>+C718+C723+C727+C736</f>
        <v>97013</v>
      </c>
      <c r="D737" s="338">
        <f>+D718+D723+D727+D736</f>
        <v>138394</v>
      </c>
      <c r="E737" s="37">
        <f t="shared" si="104"/>
        <v>307269</v>
      </c>
      <c r="F737" s="42">
        <f>+F718+F723+F727+F736</f>
        <v>173973</v>
      </c>
      <c r="G737" s="42">
        <f>+G718+G723+G727+G736</f>
        <v>190845</v>
      </c>
      <c r="H737" s="42">
        <f>+H718+H723+H727+H736</f>
        <v>207776</v>
      </c>
      <c r="I737" s="37">
        <f t="shared" si="105"/>
        <v>572594</v>
      </c>
      <c r="J737" s="42">
        <f>+J718+J723+J727+J736</f>
        <v>174557</v>
      </c>
      <c r="K737" s="42">
        <f>+K718+K723+K727+K736</f>
        <v>175287</v>
      </c>
      <c r="L737" s="42">
        <f>+L718+L723+L727+L736</f>
        <v>133433</v>
      </c>
      <c r="M737" s="37">
        <f t="shared" si="106"/>
        <v>483277</v>
      </c>
      <c r="N737" s="42">
        <f>+N718+N723+N727+N736</f>
        <v>101903</v>
      </c>
      <c r="O737" s="42">
        <f>+O718+O723+O727+O736</f>
        <v>59004</v>
      </c>
      <c r="P737" s="42">
        <f>+P718+P723+P727+P736</f>
        <v>74452.000000000015</v>
      </c>
      <c r="Q737" s="37">
        <f t="shared" si="107"/>
        <v>235359</v>
      </c>
      <c r="R737" s="40">
        <f t="shared" si="108"/>
        <v>1598499</v>
      </c>
    </row>
    <row r="738" spans="1:18" ht="15.75" customHeight="1" x14ac:dyDescent="0.3">
      <c r="A738" s="356" t="s">
        <v>2646</v>
      </c>
      <c r="B738" s="172"/>
      <c r="C738" s="172"/>
      <c r="D738" s="172"/>
      <c r="E738" s="172"/>
      <c r="F738" s="172"/>
      <c r="G738" s="172"/>
      <c r="H738" s="172"/>
      <c r="I738" s="172"/>
      <c r="J738" s="172"/>
      <c r="K738" s="172"/>
      <c r="L738" s="172"/>
      <c r="M738" s="172"/>
      <c r="N738" s="172"/>
      <c r="O738" s="453"/>
      <c r="P738" s="172"/>
      <c r="Q738" s="172"/>
      <c r="R738" s="17"/>
    </row>
    <row r="739" spans="1:18" ht="15.75" customHeight="1" x14ac:dyDescent="0.3">
      <c r="A739" s="356"/>
      <c r="B739" s="172"/>
      <c r="C739" s="172"/>
      <c r="D739" s="172"/>
      <c r="E739" s="172"/>
      <c r="F739" s="172"/>
      <c r="G739" s="172"/>
      <c r="H739" s="172"/>
      <c r="I739" s="172"/>
      <c r="J739" s="172"/>
      <c r="K739" s="172"/>
      <c r="L739" s="172"/>
      <c r="M739" s="172"/>
      <c r="N739" s="172"/>
      <c r="O739" s="453"/>
      <c r="P739" s="172"/>
      <c r="Q739" s="172"/>
      <c r="R739" s="17"/>
    </row>
    <row r="740" spans="1:18" ht="15.75" customHeight="1" x14ac:dyDescent="0.3">
      <c r="A740" s="172"/>
      <c r="B740" s="172"/>
      <c r="C740" s="172"/>
      <c r="D740" s="172"/>
      <c r="E740" s="172"/>
      <c r="F740" s="172"/>
      <c r="G740" s="172"/>
      <c r="H740" s="172"/>
      <c r="I740" s="172"/>
      <c r="J740" s="172"/>
      <c r="K740" s="172"/>
      <c r="L740" s="172"/>
      <c r="M740" s="172"/>
      <c r="N740" s="172"/>
      <c r="O740" s="453"/>
      <c r="P740" s="172"/>
      <c r="Q740" s="17" t="str">
        <f>+Q1</f>
        <v>PRINTED:</v>
      </c>
      <c r="R740" s="76">
        <f ca="1">+R1</f>
        <v>44881.72963425926</v>
      </c>
    </row>
    <row r="741" spans="1:18" ht="15.75" customHeight="1" x14ac:dyDescent="0.3">
      <c r="A741" s="778" t="s">
        <v>43</v>
      </c>
      <c r="B741" s="778"/>
      <c r="C741" s="778"/>
      <c r="D741" s="778"/>
      <c r="E741" s="778"/>
      <c r="F741" s="778"/>
      <c r="G741" s="778"/>
      <c r="H741" s="778"/>
      <c r="I741" s="778"/>
      <c r="J741" s="778"/>
      <c r="K741" s="778"/>
      <c r="L741" s="778"/>
      <c r="M741" s="778"/>
      <c r="N741" s="778"/>
      <c r="O741" s="778"/>
      <c r="P741" s="778"/>
      <c r="Q741" s="778"/>
      <c r="R741" s="778"/>
    </row>
    <row r="742" spans="1:18" ht="15.75" customHeight="1" x14ac:dyDescent="0.3">
      <c r="A742" s="778" t="s">
        <v>1988</v>
      </c>
      <c r="B742" s="778"/>
      <c r="C742" s="778"/>
      <c r="D742" s="778"/>
      <c r="E742" s="778"/>
      <c r="F742" s="778"/>
      <c r="G742" s="778"/>
      <c r="H742" s="778"/>
      <c r="I742" s="778"/>
      <c r="J742" s="778"/>
      <c r="K742" s="778"/>
      <c r="L742" s="778"/>
      <c r="M742" s="778"/>
      <c r="N742" s="778"/>
      <c r="O742" s="778"/>
      <c r="P742" s="778"/>
      <c r="Q742" s="778"/>
      <c r="R742" s="778"/>
    </row>
    <row r="743" spans="1:18" ht="15.75" customHeight="1" x14ac:dyDescent="0.3">
      <c r="A743" s="778" t="s">
        <v>544</v>
      </c>
      <c r="B743" s="778"/>
      <c r="C743" s="778"/>
      <c r="D743" s="778"/>
      <c r="E743" s="778"/>
      <c r="F743" s="778"/>
      <c r="G743" s="778"/>
      <c r="H743" s="778"/>
      <c r="I743" s="778"/>
      <c r="J743" s="778"/>
      <c r="K743" s="778"/>
      <c r="L743" s="778"/>
      <c r="M743" s="778"/>
      <c r="N743" s="778"/>
      <c r="O743" s="778"/>
      <c r="P743" s="778"/>
      <c r="Q743" s="778"/>
      <c r="R743" s="778"/>
    </row>
    <row r="744" spans="1:18" ht="15.75" customHeight="1" x14ac:dyDescent="0.3">
      <c r="A744" s="778" t="str">
        <f>+A5</f>
        <v>Calendar Year 2012</v>
      </c>
      <c r="B744" s="778"/>
      <c r="C744" s="778"/>
      <c r="D744" s="778"/>
      <c r="E744" s="778"/>
      <c r="F744" s="778"/>
      <c r="G744" s="778"/>
      <c r="H744" s="778"/>
      <c r="I744" s="778"/>
      <c r="J744" s="778"/>
      <c r="K744" s="778"/>
      <c r="L744" s="778"/>
      <c r="M744" s="778"/>
      <c r="N744" s="778"/>
      <c r="O744" s="778"/>
      <c r="P744" s="778"/>
      <c r="Q744" s="778"/>
      <c r="R744" s="778"/>
    </row>
    <row r="745" spans="1:18" ht="15.75" customHeight="1" x14ac:dyDescent="0.3">
      <c r="A745" s="172"/>
      <c r="B745" s="172"/>
      <c r="C745" s="172"/>
      <c r="D745" s="1"/>
      <c r="E745" s="1"/>
      <c r="F745" s="1"/>
      <c r="G745" s="452"/>
      <c r="H745" s="1"/>
      <c r="I745" s="1"/>
      <c r="J745" s="452"/>
      <c r="K745" s="452"/>
      <c r="L745" s="452"/>
      <c r="M745" s="452"/>
      <c r="N745" s="172"/>
      <c r="O745" s="452"/>
      <c r="P745" s="452"/>
      <c r="Q745" s="452"/>
      <c r="R745" s="452"/>
    </row>
    <row r="746" spans="1:18" ht="15.75" customHeight="1" x14ac:dyDescent="0.3">
      <c r="A746" s="778" t="str">
        <f>+A9</f>
        <v>Revised:  1/22/2013</v>
      </c>
      <c r="B746" s="778"/>
      <c r="C746" s="778"/>
      <c r="D746" s="778"/>
      <c r="E746" s="778"/>
      <c r="F746" s="778"/>
      <c r="G746" s="778"/>
      <c r="H746" s="778"/>
      <c r="I746" s="778"/>
      <c r="J746" s="778"/>
      <c r="K746" s="778"/>
      <c r="L746" s="778"/>
      <c r="M746" s="778"/>
      <c r="N746" s="778"/>
      <c r="O746" s="778"/>
      <c r="P746" s="778"/>
      <c r="Q746" s="778"/>
      <c r="R746" s="778"/>
    </row>
    <row r="747" spans="1:18" ht="15.75" customHeight="1" x14ac:dyDescent="0.3">
      <c r="A747" s="448"/>
      <c r="B747" s="448"/>
      <c r="C747" s="448"/>
      <c r="D747" s="448"/>
      <c r="E747" s="448"/>
      <c r="F747" s="448"/>
      <c r="G747" s="448"/>
      <c r="H747" s="448"/>
      <c r="I747" s="448"/>
      <c r="J747" s="448"/>
      <c r="K747" s="448"/>
      <c r="L747" s="448"/>
      <c r="M747" s="448"/>
      <c r="N747" s="448"/>
      <c r="O747" s="448"/>
      <c r="P747" s="448"/>
      <c r="Q747" s="448"/>
      <c r="R747" s="448"/>
    </row>
    <row r="748" spans="1:18" ht="15.75" customHeight="1" x14ac:dyDescent="0.3">
      <c r="A748" s="18"/>
      <c r="B748" s="172"/>
      <c r="C748" s="172"/>
      <c r="D748" s="172"/>
      <c r="E748" s="172"/>
      <c r="F748" s="172"/>
      <c r="G748" s="172"/>
      <c r="H748" s="172"/>
      <c r="I748" s="172"/>
      <c r="J748" s="172"/>
      <c r="K748" s="172"/>
      <c r="L748" s="172"/>
      <c r="M748" s="172"/>
      <c r="N748" s="172"/>
      <c r="O748" s="172"/>
      <c r="P748" s="172"/>
      <c r="Q748" s="172"/>
      <c r="R748" s="17"/>
    </row>
    <row r="749" spans="1:18" ht="15.75" customHeight="1" thickBot="1" x14ac:dyDescent="0.35">
      <c r="A749" s="172"/>
      <c r="B749" s="172"/>
      <c r="C749" s="172"/>
      <c r="D749" s="172"/>
      <c r="E749" s="172"/>
      <c r="F749" s="172"/>
      <c r="G749" s="172"/>
      <c r="H749" s="172"/>
      <c r="I749" s="172"/>
      <c r="J749" s="172"/>
      <c r="K749" s="172"/>
      <c r="L749" s="172"/>
      <c r="M749" s="172"/>
      <c r="N749" s="172"/>
      <c r="O749" s="453"/>
      <c r="P749" s="172"/>
      <c r="Q749" s="172"/>
      <c r="R749" s="17"/>
    </row>
    <row r="750" spans="1:18" ht="15.75" customHeight="1" thickBot="1" x14ac:dyDescent="0.35">
      <c r="A750" s="274" t="s">
        <v>1088</v>
      </c>
      <c r="B750" s="25" t="s">
        <v>2090</v>
      </c>
      <c r="C750" s="26" t="s">
        <v>2091</v>
      </c>
      <c r="D750" s="26" t="s">
        <v>2234</v>
      </c>
      <c r="E750" s="33" t="s">
        <v>1594</v>
      </c>
      <c r="F750" s="26" t="s">
        <v>2235</v>
      </c>
      <c r="G750" s="26" t="s">
        <v>2236</v>
      </c>
      <c r="H750" s="26" t="s">
        <v>2237</v>
      </c>
      <c r="I750" s="33" t="s">
        <v>1595</v>
      </c>
      <c r="J750" s="26" t="s">
        <v>1504</v>
      </c>
      <c r="K750" s="26" t="s">
        <v>1505</v>
      </c>
      <c r="L750" s="26" t="s">
        <v>1506</v>
      </c>
      <c r="M750" s="33" t="s">
        <v>1596</v>
      </c>
      <c r="N750" s="26" t="s">
        <v>1507</v>
      </c>
      <c r="O750" s="26" t="s">
        <v>1508</v>
      </c>
      <c r="P750" s="26" t="s">
        <v>1509</v>
      </c>
      <c r="Q750" s="33" t="s">
        <v>1597</v>
      </c>
      <c r="R750" s="339" t="s">
        <v>1510</v>
      </c>
    </row>
    <row r="751" spans="1:18" ht="16.5" customHeight="1" thickBot="1" x14ac:dyDescent="0.35">
      <c r="A751" s="340"/>
      <c r="B751" s="341"/>
      <c r="C751" s="341"/>
      <c r="D751" s="341"/>
      <c r="E751" s="233"/>
      <c r="F751" s="341"/>
      <c r="G751" s="341"/>
      <c r="H751" s="341"/>
      <c r="I751" s="243"/>
      <c r="J751" s="341"/>
      <c r="K751" s="341"/>
      <c r="L751" s="341"/>
      <c r="M751" s="243"/>
      <c r="N751" s="341"/>
      <c r="O751" s="341"/>
      <c r="P751" s="341"/>
      <c r="Q751" s="279"/>
      <c r="R751" s="342"/>
    </row>
    <row r="752" spans="1:18" ht="16.5" customHeight="1" thickBot="1" x14ac:dyDescent="0.35">
      <c r="A752" s="343" t="s">
        <v>673</v>
      </c>
      <c r="B752" s="344">
        <f>+B718</f>
        <v>27703</v>
      </c>
      <c r="C752" s="344">
        <f>+C718</f>
        <v>26983</v>
      </c>
      <c r="D752" s="344">
        <f>+D718</f>
        <v>36818</v>
      </c>
      <c r="E752" s="45">
        <f>+SUM(B752:D752)</f>
        <v>91504</v>
      </c>
      <c r="F752" s="344">
        <f>+F718</f>
        <v>52122</v>
      </c>
      <c r="G752" s="344">
        <f>+G718</f>
        <v>60564</v>
      </c>
      <c r="H752" s="344">
        <f>+H718</f>
        <v>47556</v>
      </c>
      <c r="I752" s="45">
        <f>+SUM(F752:H752)</f>
        <v>160242</v>
      </c>
      <c r="J752" s="344">
        <f>+J718</f>
        <v>48065</v>
      </c>
      <c r="K752" s="344">
        <f>+K718</f>
        <v>50757</v>
      </c>
      <c r="L752" s="344">
        <f>+L718</f>
        <v>44375</v>
      </c>
      <c r="M752" s="45">
        <f>+SUM(J752:L752)</f>
        <v>143197</v>
      </c>
      <c r="N752" s="344">
        <f>+N718</f>
        <v>38070</v>
      </c>
      <c r="O752" s="344">
        <f>+O718</f>
        <v>29952</v>
      </c>
      <c r="P752" s="344">
        <f>+P718</f>
        <v>27464.999999999996</v>
      </c>
      <c r="Q752" s="45">
        <f>+SUM(N752:P752)</f>
        <v>95487</v>
      </c>
      <c r="R752" s="37">
        <f>+E752+I752+M752+Q752</f>
        <v>490430</v>
      </c>
    </row>
    <row r="753" spans="1:18" ht="16.5" customHeight="1" thickBot="1" x14ac:dyDescent="0.35">
      <c r="A753" s="35"/>
      <c r="B753" s="45"/>
      <c r="C753" s="45"/>
      <c r="D753" s="45"/>
      <c r="E753" s="45"/>
      <c r="F753" s="45"/>
      <c r="G753" s="45"/>
      <c r="H753" s="45"/>
      <c r="I753" s="45"/>
      <c r="J753" s="45"/>
      <c r="K753" s="45"/>
      <c r="L753" s="45"/>
      <c r="M753" s="45"/>
      <c r="N753" s="45"/>
      <c r="O753" s="45"/>
      <c r="P753" s="45"/>
      <c r="Q753" s="45"/>
      <c r="R753" s="37"/>
    </row>
    <row r="754" spans="1:18" ht="16.5" customHeight="1" thickBot="1" x14ac:dyDescent="0.35">
      <c r="A754" s="343" t="s">
        <v>672</v>
      </c>
      <c r="B754" s="344">
        <f>+B723</f>
        <v>8014</v>
      </c>
      <c r="C754" s="344">
        <f>+C723</f>
        <v>13765</v>
      </c>
      <c r="D754" s="344">
        <f>+D723</f>
        <v>27663</v>
      </c>
      <c r="E754" s="45">
        <f>+SUM(B754:D754)</f>
        <v>49442</v>
      </c>
      <c r="F754" s="344">
        <f>+F723</f>
        <v>50055</v>
      </c>
      <c r="G754" s="344">
        <f>+G723</f>
        <v>57758</v>
      </c>
      <c r="H754" s="344">
        <f>+H723</f>
        <v>69565</v>
      </c>
      <c r="I754" s="45">
        <f>+SUM(F754:H754)</f>
        <v>177378</v>
      </c>
      <c r="J754" s="344">
        <f>+J723</f>
        <v>45844</v>
      </c>
      <c r="K754" s="344">
        <f>+K723</f>
        <v>54580</v>
      </c>
      <c r="L754" s="344">
        <f>+L723</f>
        <v>33233</v>
      </c>
      <c r="M754" s="45">
        <f>+SUM(J754:L754)</f>
        <v>133657</v>
      </c>
      <c r="N754" s="344">
        <f>+N723</f>
        <v>17216</v>
      </c>
      <c r="O754" s="344">
        <f>+O723</f>
        <v>11827</v>
      </c>
      <c r="P754" s="344">
        <f>+P723</f>
        <v>10480.000000000011</v>
      </c>
      <c r="Q754" s="45">
        <f>+SUM(N754:P754)</f>
        <v>39523.000000000015</v>
      </c>
      <c r="R754" s="37">
        <f>+E754+I754+M754+Q754</f>
        <v>400000</v>
      </c>
    </row>
    <row r="755" spans="1:18" ht="16.5" customHeight="1" thickBot="1" x14ac:dyDescent="0.35">
      <c r="A755" s="35"/>
      <c r="B755" s="45"/>
      <c r="C755" s="45"/>
      <c r="D755" s="45"/>
      <c r="E755" s="45"/>
      <c r="F755" s="45"/>
      <c r="G755" s="45"/>
      <c r="H755" s="45"/>
      <c r="I755" s="45"/>
      <c r="J755" s="45"/>
      <c r="K755" s="45"/>
      <c r="L755" s="45"/>
      <c r="M755" s="45"/>
      <c r="N755" s="45"/>
      <c r="O755" s="45"/>
      <c r="P755" s="45"/>
      <c r="Q755" s="45"/>
      <c r="R755" s="37"/>
    </row>
    <row r="756" spans="1:18" ht="16.5" customHeight="1" thickBot="1" x14ac:dyDescent="0.35">
      <c r="A756" s="343" t="s">
        <v>1089</v>
      </c>
      <c r="B756" s="344">
        <f>+B727</f>
        <v>16477</v>
      </c>
      <c r="C756" s="344">
        <f>+C727</f>
        <v>33046</v>
      </c>
      <c r="D756" s="344">
        <f>+D727</f>
        <v>46917</v>
      </c>
      <c r="E756" s="45">
        <f>+SUM(B756:D756)</f>
        <v>96440</v>
      </c>
      <c r="F756" s="344">
        <f>+F727</f>
        <v>63188</v>
      </c>
      <c r="G756" s="344">
        <f>+G727</f>
        <v>67495</v>
      </c>
      <c r="H756" s="344">
        <f>+H727</f>
        <v>76415</v>
      </c>
      <c r="I756" s="45">
        <f>+SUM(F756:H756)</f>
        <v>207098</v>
      </c>
      <c r="J756" s="344">
        <f>+J727</f>
        <v>66057</v>
      </c>
      <c r="K756" s="344">
        <f>+K727</f>
        <v>65535</v>
      </c>
      <c r="L756" s="344">
        <f>+L727</f>
        <v>42886</v>
      </c>
      <c r="M756" s="45">
        <f>+SUM(J756:L756)</f>
        <v>174478</v>
      </c>
      <c r="N756" s="344">
        <f>+N727</f>
        <v>33436</v>
      </c>
      <c r="O756" s="344">
        <f>+O727</f>
        <v>13448</v>
      </c>
      <c r="P756" s="344">
        <f>+P727</f>
        <v>23167.000000000004</v>
      </c>
      <c r="Q756" s="45">
        <f>+SUM(N756:P756)</f>
        <v>70051</v>
      </c>
      <c r="R756" s="37">
        <f>+E756+I756+M756+Q756</f>
        <v>548067</v>
      </c>
    </row>
    <row r="757" spans="1:18" ht="16.5" customHeight="1" thickBot="1" x14ac:dyDescent="0.35">
      <c r="A757" s="35"/>
      <c r="B757" s="45"/>
      <c r="C757" s="45"/>
      <c r="D757" s="45"/>
      <c r="E757" s="45"/>
      <c r="F757" s="45"/>
      <c r="G757" s="45"/>
      <c r="H757" s="45"/>
      <c r="I757" s="45"/>
      <c r="J757" s="45"/>
      <c r="K757" s="45"/>
      <c r="L757" s="45"/>
      <c r="M757" s="45"/>
      <c r="N757" s="45"/>
      <c r="O757" s="45"/>
      <c r="P757" s="45"/>
      <c r="Q757" s="45"/>
      <c r="R757" s="37"/>
    </row>
    <row r="758" spans="1:18" ht="16.5" customHeight="1" thickBot="1" x14ac:dyDescent="0.35">
      <c r="A758" s="343" t="s">
        <v>1090</v>
      </c>
      <c r="B758" s="344">
        <f>+B736</f>
        <v>19668</v>
      </c>
      <c r="C758" s="344">
        <f>+C736</f>
        <v>23219</v>
      </c>
      <c r="D758" s="344">
        <f>+D736</f>
        <v>26996</v>
      </c>
      <c r="E758" s="45">
        <f>+SUM(B758:D758)</f>
        <v>69883</v>
      </c>
      <c r="F758" s="344">
        <f>+F736</f>
        <v>8608</v>
      </c>
      <c r="G758" s="344">
        <f>+G736</f>
        <v>5028</v>
      </c>
      <c r="H758" s="344">
        <f>+H736</f>
        <v>14240</v>
      </c>
      <c r="I758" s="45">
        <f>+SUM(F758:H758)</f>
        <v>27876</v>
      </c>
      <c r="J758" s="344">
        <f>+J736</f>
        <v>14591</v>
      </c>
      <c r="K758" s="344">
        <f>+K736</f>
        <v>4415</v>
      </c>
      <c r="L758" s="344">
        <f>+L736</f>
        <v>12939</v>
      </c>
      <c r="M758" s="45">
        <f>+SUM(J758:L758)</f>
        <v>31945</v>
      </c>
      <c r="N758" s="344">
        <f>+N736</f>
        <v>13181</v>
      </c>
      <c r="O758" s="344">
        <f>+O736</f>
        <v>3777</v>
      </c>
      <c r="P758" s="344">
        <f>+P736</f>
        <v>13340</v>
      </c>
      <c r="Q758" s="45">
        <f>+SUM(N758:P758)</f>
        <v>30298</v>
      </c>
      <c r="R758" s="37">
        <f>+E758+I758+M758+Q758</f>
        <v>160002</v>
      </c>
    </row>
    <row r="759" spans="1:18" ht="16.5" customHeight="1" thickBot="1" x14ac:dyDescent="0.35">
      <c r="A759" s="35"/>
      <c r="B759" s="45"/>
      <c r="C759" s="45"/>
      <c r="D759" s="45"/>
      <c r="E759" s="45"/>
      <c r="F759" s="45"/>
      <c r="G759" s="45"/>
      <c r="H759" s="45"/>
      <c r="I759" s="45"/>
      <c r="J759" s="45"/>
      <c r="K759" s="45"/>
      <c r="L759" s="45"/>
      <c r="M759" s="45"/>
      <c r="N759" s="45"/>
      <c r="O759" s="45"/>
      <c r="P759" s="45"/>
      <c r="Q759" s="45"/>
      <c r="R759" s="37"/>
    </row>
    <row r="760" spans="1:18" ht="16.5" customHeight="1" thickBot="1" x14ac:dyDescent="0.35">
      <c r="A760" s="35" t="s">
        <v>574</v>
      </c>
      <c r="B760" s="47">
        <f t="shared" ref="B760:R760" si="109">+SUM(B752:B758)</f>
        <v>71862</v>
      </c>
      <c r="C760" s="47">
        <f t="shared" si="109"/>
        <v>97013</v>
      </c>
      <c r="D760" s="47">
        <f t="shared" si="109"/>
        <v>138394</v>
      </c>
      <c r="E760" s="47">
        <f t="shared" si="109"/>
        <v>307269</v>
      </c>
      <c r="F760" s="47">
        <f t="shared" si="109"/>
        <v>173973</v>
      </c>
      <c r="G760" s="47">
        <f t="shared" si="109"/>
        <v>190845</v>
      </c>
      <c r="H760" s="47">
        <f t="shared" si="109"/>
        <v>207776</v>
      </c>
      <c r="I760" s="47">
        <f t="shared" si="109"/>
        <v>572594</v>
      </c>
      <c r="J760" s="47">
        <f t="shared" si="109"/>
        <v>174557</v>
      </c>
      <c r="K760" s="47">
        <f t="shared" si="109"/>
        <v>175287</v>
      </c>
      <c r="L760" s="47">
        <f t="shared" si="109"/>
        <v>133433</v>
      </c>
      <c r="M760" s="47">
        <f t="shared" si="109"/>
        <v>483277</v>
      </c>
      <c r="N760" s="47">
        <f t="shared" si="109"/>
        <v>101903</v>
      </c>
      <c r="O760" s="47">
        <f t="shared" si="109"/>
        <v>59004</v>
      </c>
      <c r="P760" s="47">
        <f t="shared" si="109"/>
        <v>74452.000000000015</v>
      </c>
      <c r="Q760" s="47">
        <f t="shared" si="109"/>
        <v>235359</v>
      </c>
      <c r="R760" s="345">
        <f t="shared" si="109"/>
        <v>1598499</v>
      </c>
    </row>
    <row r="761" spans="1:18" ht="16.5" customHeight="1" thickBot="1" x14ac:dyDescent="0.4">
      <c r="A761" s="201"/>
      <c r="B761" s="286"/>
      <c r="C761" s="286"/>
      <c r="D761" s="286"/>
      <c r="E761" s="286"/>
      <c r="F761" s="286"/>
      <c r="G761" s="286"/>
      <c r="H761" s="544" t="s">
        <v>2538</v>
      </c>
      <c r="I761" s="286"/>
      <c r="J761" s="286"/>
      <c r="K761" s="286"/>
      <c r="L761" s="286"/>
      <c r="M761" s="286"/>
      <c r="N761" s="286"/>
      <c r="O761" s="286"/>
      <c r="P761" s="286"/>
      <c r="Q761" s="286"/>
      <c r="R761" s="286"/>
    </row>
    <row r="762" spans="1:18" ht="15.75" customHeight="1" x14ac:dyDescent="0.3">
      <c r="A762" s="546"/>
      <c r="B762" s="547"/>
      <c r="C762" s="548" t="s">
        <v>864</v>
      </c>
      <c r="D762" s="547"/>
      <c r="E762" s="547"/>
      <c r="F762" s="547"/>
      <c r="G762" s="547"/>
      <c r="H762" s="547"/>
      <c r="I762" s="547"/>
      <c r="J762" s="547"/>
      <c r="K762" s="547"/>
      <c r="L762" s="547"/>
      <c r="M762" s="547"/>
      <c r="N762" s="547"/>
      <c r="O762" s="547"/>
      <c r="P762" s="547"/>
      <c r="Q762" s="549" t="str">
        <f>+Q1</f>
        <v>PRINTED:</v>
      </c>
      <c r="R762" s="550">
        <f ca="1">+R1</f>
        <v>44881.72963425926</v>
      </c>
    </row>
    <row r="763" spans="1:18" ht="15.75" customHeight="1" x14ac:dyDescent="0.3">
      <c r="A763" s="551"/>
      <c r="B763" s="67"/>
      <c r="C763" s="67"/>
      <c r="D763" s="67"/>
      <c r="E763" s="67" t="s">
        <v>852</v>
      </c>
      <c r="F763" s="69" t="str">
        <f>+A9</f>
        <v>Revised:  1/22/2013</v>
      </c>
      <c r="G763" s="67"/>
      <c r="H763" s="67"/>
      <c r="I763" s="67"/>
      <c r="J763" s="67"/>
      <c r="K763" s="67"/>
      <c r="L763" s="67"/>
      <c r="M763" s="67"/>
      <c r="N763" s="67"/>
      <c r="O763" s="67"/>
      <c r="P763" s="67"/>
      <c r="Q763" s="67"/>
      <c r="R763" s="552"/>
    </row>
    <row r="764" spans="1:18" ht="15.75" customHeight="1" x14ac:dyDescent="0.3">
      <c r="A764" s="551"/>
      <c r="B764" s="67"/>
      <c r="C764" s="67"/>
      <c r="D764" s="67" t="s">
        <v>2545</v>
      </c>
      <c r="E764" s="67"/>
      <c r="F764" s="67"/>
      <c r="G764" s="67"/>
      <c r="H764" s="67"/>
      <c r="I764" s="67"/>
      <c r="J764" s="67"/>
      <c r="K764" s="67"/>
      <c r="L764" s="67"/>
      <c r="M764" s="67"/>
      <c r="N764" s="67"/>
      <c r="O764" s="67"/>
      <c r="P764" s="67"/>
      <c r="Q764" s="67"/>
      <c r="R764" s="552"/>
    </row>
    <row r="765" spans="1:18" ht="15.75" customHeight="1" x14ac:dyDescent="0.3">
      <c r="A765" s="551"/>
      <c r="B765" s="67"/>
      <c r="C765" s="67"/>
      <c r="D765" s="67"/>
      <c r="E765" s="67"/>
      <c r="F765" s="67"/>
      <c r="G765" s="67"/>
      <c r="H765" s="67"/>
      <c r="I765" s="67"/>
      <c r="J765" s="67"/>
      <c r="K765" s="67"/>
      <c r="L765" s="67"/>
      <c r="M765" s="67"/>
      <c r="N765" s="67"/>
      <c r="O765" s="67"/>
      <c r="P765" s="67"/>
      <c r="Q765" s="67"/>
      <c r="R765" s="552"/>
    </row>
    <row r="766" spans="1:18" ht="15.75" customHeight="1" x14ac:dyDescent="0.3">
      <c r="A766" s="551"/>
      <c r="B766" s="67"/>
      <c r="C766" s="67"/>
      <c r="D766" s="67"/>
      <c r="E766" s="67" t="str">
        <f>+A5</f>
        <v>Calendar Year 2012</v>
      </c>
      <c r="F766" s="67"/>
      <c r="G766" s="67"/>
      <c r="H766" s="67"/>
      <c r="I766" s="67"/>
      <c r="J766" s="67"/>
      <c r="K766" s="67"/>
      <c r="L766" s="67"/>
      <c r="M766" s="67"/>
      <c r="N766" s="67"/>
      <c r="O766" s="67"/>
      <c r="P766" s="67"/>
      <c r="Q766" s="67"/>
      <c r="R766" s="552"/>
    </row>
    <row r="767" spans="1:18" ht="15.75" customHeight="1" x14ac:dyDescent="0.3">
      <c r="A767" s="551"/>
      <c r="B767" s="67"/>
      <c r="C767" s="67"/>
      <c r="D767" s="67"/>
      <c r="E767" s="67" t="s">
        <v>1306</v>
      </c>
      <c r="F767" s="67"/>
      <c r="G767" s="67"/>
      <c r="H767" s="67"/>
      <c r="I767" s="67"/>
      <c r="J767" s="67"/>
      <c r="K767" s="67"/>
      <c r="L767" s="67"/>
      <c r="M767" s="67"/>
      <c r="N767" s="67"/>
      <c r="O767" s="67"/>
      <c r="P767" s="67"/>
      <c r="Q767" s="67"/>
      <c r="R767" s="552"/>
    </row>
    <row r="768" spans="1:18" ht="15.75" customHeight="1" x14ac:dyDescent="0.3">
      <c r="A768" s="551"/>
      <c r="B768" s="67"/>
      <c r="C768" s="67"/>
      <c r="D768" s="67"/>
      <c r="E768" s="67"/>
      <c r="F768" s="67"/>
      <c r="G768" s="67"/>
      <c r="H768" s="67"/>
      <c r="I768" s="67"/>
      <c r="J768" s="67"/>
      <c r="K768" s="67"/>
      <c r="L768" s="67"/>
      <c r="M768" s="67"/>
      <c r="N768" s="67"/>
      <c r="O768" s="67"/>
      <c r="P768" s="67"/>
      <c r="Q768" s="67"/>
      <c r="R768" s="552"/>
    </row>
    <row r="769" spans="1:20" ht="15.75" customHeight="1" x14ac:dyDescent="0.3">
      <c r="A769" s="551" t="s">
        <v>1307</v>
      </c>
      <c r="B769" s="70" t="s">
        <v>1308</v>
      </c>
      <c r="C769" s="70" t="s">
        <v>1309</v>
      </c>
      <c r="D769" s="70" t="s">
        <v>1029</v>
      </c>
      <c r="E769" s="70" t="s">
        <v>1030</v>
      </c>
      <c r="F769" s="70" t="s">
        <v>284</v>
      </c>
      <c r="G769" s="70" t="s">
        <v>284</v>
      </c>
      <c r="H769" s="70" t="s">
        <v>285</v>
      </c>
      <c r="I769" s="70" t="s">
        <v>286</v>
      </c>
      <c r="J769" s="70" t="s">
        <v>287</v>
      </c>
      <c r="K769" s="70" t="s">
        <v>288</v>
      </c>
      <c r="L769" s="70" t="s">
        <v>289</v>
      </c>
      <c r="M769" s="70" t="s">
        <v>633</v>
      </c>
      <c r="N769" s="70" t="s">
        <v>634</v>
      </c>
      <c r="O769" s="70" t="s">
        <v>1192</v>
      </c>
      <c r="P769" s="70" t="s">
        <v>524</v>
      </c>
      <c r="Q769" s="70" t="s">
        <v>525</v>
      </c>
      <c r="R769" s="552"/>
    </row>
    <row r="770" spans="1:20" ht="15.75" customHeight="1" x14ac:dyDescent="0.3">
      <c r="A770" s="551" t="s">
        <v>526</v>
      </c>
      <c r="B770" s="67"/>
      <c r="C770" s="67"/>
      <c r="D770" s="67"/>
      <c r="E770" s="67"/>
      <c r="F770" s="70" t="s">
        <v>1193</v>
      </c>
      <c r="G770" s="70" t="s">
        <v>1194</v>
      </c>
      <c r="H770" s="67"/>
      <c r="I770" s="67"/>
      <c r="J770" s="67"/>
      <c r="K770" s="67"/>
      <c r="L770" s="67"/>
      <c r="M770" s="67"/>
      <c r="N770" s="67"/>
      <c r="O770" s="67"/>
      <c r="P770" s="67"/>
      <c r="Q770" s="67"/>
      <c r="R770" s="552"/>
    </row>
    <row r="771" spans="1:20" ht="15.75" customHeight="1" x14ac:dyDescent="0.3">
      <c r="A771" s="551" t="s">
        <v>1195</v>
      </c>
      <c r="B771" s="67">
        <v>957</v>
      </c>
      <c r="C771" s="67">
        <v>122</v>
      </c>
      <c r="D771" s="67">
        <v>128</v>
      </c>
      <c r="E771" s="67">
        <v>219</v>
      </c>
      <c r="F771" s="67"/>
      <c r="G771" s="67"/>
      <c r="H771" s="67">
        <v>97</v>
      </c>
      <c r="I771" s="67">
        <v>167</v>
      </c>
      <c r="J771" s="67">
        <v>247</v>
      </c>
      <c r="K771" s="67">
        <v>260</v>
      </c>
      <c r="L771" s="67">
        <v>122</v>
      </c>
      <c r="M771" s="67">
        <v>122</v>
      </c>
      <c r="N771" s="67">
        <v>275</v>
      </c>
      <c r="O771" s="67">
        <v>191</v>
      </c>
      <c r="P771" s="67">
        <v>325</v>
      </c>
      <c r="Q771" s="67">
        <v>503</v>
      </c>
      <c r="R771" s="552"/>
    </row>
    <row r="772" spans="1:20" ht="15.75" customHeight="1" x14ac:dyDescent="0.3">
      <c r="A772" s="551"/>
      <c r="B772" s="67" t="s">
        <v>1353</v>
      </c>
      <c r="C772" s="67" t="s">
        <v>1353</v>
      </c>
      <c r="D772" s="67" t="s">
        <v>1353</v>
      </c>
      <c r="E772" s="67" t="s">
        <v>1353</v>
      </c>
      <c r="F772" s="67" t="s">
        <v>1353</v>
      </c>
      <c r="G772" s="67" t="s">
        <v>1353</v>
      </c>
      <c r="H772" s="67" t="s">
        <v>1353</v>
      </c>
      <c r="I772" s="67" t="s">
        <v>1353</v>
      </c>
      <c r="J772" s="67" t="s">
        <v>1353</v>
      </c>
      <c r="K772" s="67" t="s">
        <v>1353</v>
      </c>
      <c r="L772" s="67" t="s">
        <v>1353</v>
      </c>
      <c r="M772" s="67" t="s">
        <v>1353</v>
      </c>
      <c r="N772" s="67" t="s">
        <v>1353</v>
      </c>
      <c r="O772" s="67" t="s">
        <v>1353</v>
      </c>
      <c r="P772" s="67" t="s">
        <v>1353</v>
      </c>
      <c r="Q772" s="67" t="s">
        <v>1353</v>
      </c>
      <c r="R772" s="552"/>
    </row>
    <row r="773" spans="1:20" ht="15.75" customHeight="1" x14ac:dyDescent="0.3">
      <c r="A773" s="553" t="s">
        <v>1354</v>
      </c>
      <c r="B773" s="67">
        <f>+B30</f>
        <v>183553</v>
      </c>
      <c r="C773" s="67">
        <f>+B65</f>
        <v>183456</v>
      </c>
      <c r="D773" s="67">
        <f>+B128</f>
        <v>183360</v>
      </c>
      <c r="E773" s="67">
        <f>+B250</f>
        <v>168009</v>
      </c>
      <c r="F773" s="67">
        <f>+B245</f>
        <v>111219</v>
      </c>
      <c r="G773" s="67">
        <f>+B257</f>
        <v>0</v>
      </c>
      <c r="H773" s="67">
        <f>+B379</f>
        <v>39790</v>
      </c>
      <c r="I773" s="67">
        <f>+B424</f>
        <v>20523</v>
      </c>
      <c r="J773" s="67">
        <f>+B465</f>
        <v>20514</v>
      </c>
      <c r="K773" s="67">
        <f>+B518</f>
        <v>19828</v>
      </c>
      <c r="L773" s="67">
        <f>+B528</f>
        <v>15434</v>
      </c>
      <c r="M773" s="67">
        <f>+B563</f>
        <v>15414</v>
      </c>
      <c r="N773" s="67">
        <f>+B606</f>
        <v>15404</v>
      </c>
      <c r="O773" s="67">
        <f>+B616</f>
        <v>2593</v>
      </c>
      <c r="P773" s="67">
        <f>+B650</f>
        <v>5175</v>
      </c>
      <c r="Q773" s="67">
        <f>+B696</f>
        <v>2591</v>
      </c>
      <c r="R773" s="552"/>
      <c r="T773">
        <f>+SUM(B773:Q773)</f>
        <v>986863</v>
      </c>
    </row>
    <row r="774" spans="1:20" ht="15.75" customHeight="1" x14ac:dyDescent="0.3">
      <c r="A774" s="553" t="s">
        <v>706</v>
      </c>
      <c r="B774" s="67">
        <f>+C30</f>
        <v>168272</v>
      </c>
      <c r="C774" s="67">
        <f>+C65</f>
        <v>168124</v>
      </c>
      <c r="D774" s="67">
        <f>+C128</f>
        <v>167978</v>
      </c>
      <c r="E774" s="67">
        <f>+C250</f>
        <v>149229</v>
      </c>
      <c r="F774" s="67">
        <f>+C245</f>
        <v>67581</v>
      </c>
      <c r="G774" s="67">
        <f>+C257</f>
        <v>0</v>
      </c>
      <c r="H774" s="67">
        <f>+C379</f>
        <v>60121</v>
      </c>
      <c r="I774" s="67">
        <f>+C424</f>
        <v>24261</v>
      </c>
      <c r="J774" s="67">
        <f>+C465</f>
        <v>23960</v>
      </c>
      <c r="K774" s="67">
        <f>+C518</f>
        <v>23567</v>
      </c>
      <c r="L774" s="67">
        <f>+C528</f>
        <v>18462</v>
      </c>
      <c r="M774" s="67">
        <f>+C563</f>
        <v>18440</v>
      </c>
      <c r="N774" s="67">
        <f>+C606</f>
        <v>18429</v>
      </c>
      <c r="O774" s="67">
        <f>+C616</f>
        <v>4474</v>
      </c>
      <c r="P774" s="67">
        <f>+C650</f>
        <v>5419</v>
      </c>
      <c r="Q774" s="67">
        <f>+C696</f>
        <v>4471</v>
      </c>
      <c r="R774" s="552"/>
      <c r="T774">
        <f t="shared" ref="T774:T784" si="110">+SUM(B774:Q774)</f>
        <v>922788</v>
      </c>
    </row>
    <row r="775" spans="1:20" ht="15.75" customHeight="1" x14ac:dyDescent="0.3">
      <c r="A775" s="553" t="s">
        <v>707</v>
      </c>
      <c r="B775" s="67">
        <f>+D30</f>
        <v>187522</v>
      </c>
      <c r="C775" s="67">
        <f>+D65</f>
        <v>187248</v>
      </c>
      <c r="D775" s="67">
        <f>+D128</f>
        <v>186971</v>
      </c>
      <c r="E775" s="67">
        <f>+D250</f>
        <v>165864</v>
      </c>
      <c r="F775" s="67">
        <f>+D245</f>
        <v>44397</v>
      </c>
      <c r="G775" s="67">
        <f>+D257</f>
        <v>0</v>
      </c>
      <c r="H775" s="67">
        <f>+D379</f>
        <v>91932</v>
      </c>
      <c r="I775" s="67">
        <f>+D424</f>
        <v>26098</v>
      </c>
      <c r="J775" s="67">
        <f>+D465</f>
        <v>26071</v>
      </c>
      <c r="K775" s="67">
        <f>+D518</f>
        <v>25634</v>
      </c>
      <c r="L775" s="67">
        <f>+D528</f>
        <v>20059</v>
      </c>
      <c r="M775" s="67">
        <f>+D563</f>
        <v>20031</v>
      </c>
      <c r="N775" s="67">
        <f>+D606</f>
        <v>19736</v>
      </c>
      <c r="O775" s="67">
        <f>+D616</f>
        <v>4793</v>
      </c>
      <c r="P775" s="67">
        <f>+D650</f>
        <v>5780</v>
      </c>
      <c r="Q775" s="67">
        <f>+D696</f>
        <v>4788</v>
      </c>
      <c r="R775" s="552"/>
      <c r="T775">
        <f t="shared" si="110"/>
        <v>1016924</v>
      </c>
    </row>
    <row r="776" spans="1:20" ht="15.75" customHeight="1" x14ac:dyDescent="0.3">
      <c r="A776" s="553" t="s">
        <v>1321</v>
      </c>
      <c r="B776" s="67">
        <f>+F30</f>
        <v>181404</v>
      </c>
      <c r="C776" s="67">
        <f>+F65</f>
        <v>181037</v>
      </c>
      <c r="D776" s="67">
        <f>+F128</f>
        <v>180628</v>
      </c>
      <c r="E776" s="67">
        <f>+F250</f>
        <v>172212</v>
      </c>
      <c r="F776" s="67">
        <f>+F245</f>
        <v>6884</v>
      </c>
      <c r="G776" s="67">
        <f>+F257</f>
        <v>-4241</v>
      </c>
      <c r="H776" s="67">
        <f>+F379</f>
        <v>135423</v>
      </c>
      <c r="I776" s="67">
        <f>+F424</f>
        <v>32094</v>
      </c>
      <c r="J776" s="67">
        <f>+F465</f>
        <v>31476</v>
      </c>
      <c r="K776" s="67">
        <f>+F518</f>
        <v>25699</v>
      </c>
      <c r="L776" s="67">
        <f>+F528</f>
        <v>20793</v>
      </c>
      <c r="M776" s="67">
        <f>+F563</f>
        <v>20756</v>
      </c>
      <c r="N776" s="67">
        <f>+F606</f>
        <v>18663</v>
      </c>
      <c r="O776" s="67">
        <f>+F616</f>
        <v>3267</v>
      </c>
      <c r="P776" s="67">
        <f>+F650</f>
        <v>6081</v>
      </c>
      <c r="Q776" s="67">
        <f>+F696</f>
        <v>3224</v>
      </c>
      <c r="R776" s="552"/>
      <c r="T776">
        <f t="shared" si="110"/>
        <v>1015400</v>
      </c>
    </row>
    <row r="777" spans="1:20" ht="15.75" customHeight="1" x14ac:dyDescent="0.3">
      <c r="A777" s="553" t="s">
        <v>1905</v>
      </c>
      <c r="B777" s="67">
        <f>+G30</f>
        <v>180592</v>
      </c>
      <c r="C777" s="67">
        <f>+G65</f>
        <v>180167</v>
      </c>
      <c r="D777" s="67">
        <f>+G128</f>
        <v>179605</v>
      </c>
      <c r="E777" s="67">
        <f>+G250</f>
        <v>171205</v>
      </c>
      <c r="F777" s="67">
        <f>+G245</f>
        <v>1498</v>
      </c>
      <c r="G777" s="67">
        <f>+G257</f>
        <v>-19505</v>
      </c>
      <c r="H777" s="67">
        <f>+G379</f>
        <v>146338</v>
      </c>
      <c r="I777" s="67">
        <f>+G424</f>
        <v>34873</v>
      </c>
      <c r="J777" s="67">
        <f>+G465</f>
        <v>31368</v>
      </c>
      <c r="K777" s="67">
        <f>+G518</f>
        <v>24557</v>
      </c>
      <c r="L777" s="67">
        <f>+G528</f>
        <v>22233</v>
      </c>
      <c r="M777" s="67">
        <f>+G563</f>
        <v>22191</v>
      </c>
      <c r="N777" s="67">
        <f>+G606</f>
        <v>20027</v>
      </c>
      <c r="O777" s="67">
        <f>+G616</f>
        <v>5039</v>
      </c>
      <c r="P777" s="67">
        <f>+G650</f>
        <v>6573</v>
      </c>
      <c r="Q777" s="67">
        <f>+G696</f>
        <v>5004</v>
      </c>
      <c r="R777" s="552"/>
      <c r="T777">
        <f t="shared" si="110"/>
        <v>1011765</v>
      </c>
    </row>
    <row r="778" spans="1:20" ht="15.75" customHeight="1" x14ac:dyDescent="0.3">
      <c r="A778" s="553" t="s">
        <v>1906</v>
      </c>
      <c r="B778" s="67">
        <f>+H30</f>
        <v>131197</v>
      </c>
      <c r="C778" s="67">
        <f>+H65</f>
        <v>130780</v>
      </c>
      <c r="D778" s="67">
        <f>+H128</f>
        <v>130295</v>
      </c>
      <c r="E778" s="67">
        <f>+H250</f>
        <v>122358</v>
      </c>
      <c r="F778" s="67">
        <f>+H245</f>
        <v>0</v>
      </c>
      <c r="G778" s="67">
        <f>+H257</f>
        <v>-79570</v>
      </c>
      <c r="H778" s="67">
        <f>+H379</f>
        <v>169717</v>
      </c>
      <c r="I778" s="67">
        <f>+H424</f>
        <v>40518</v>
      </c>
      <c r="J778" s="67">
        <f>+H465</f>
        <v>27588</v>
      </c>
      <c r="K778" s="67">
        <f>+H518</f>
        <v>20047</v>
      </c>
      <c r="L778" s="67">
        <f>+H528</f>
        <v>17994</v>
      </c>
      <c r="M778" s="67">
        <f>+H563</f>
        <v>17950</v>
      </c>
      <c r="N778" s="67">
        <f>+H606</f>
        <v>15542</v>
      </c>
      <c r="O778" s="67">
        <f>+H616</f>
        <v>2829</v>
      </c>
      <c r="P778" s="67">
        <f>+H650</f>
        <v>6314</v>
      </c>
      <c r="Q778" s="67">
        <f>+H696</f>
        <v>2798</v>
      </c>
      <c r="R778" s="552"/>
      <c r="T778">
        <f t="shared" si="110"/>
        <v>756357</v>
      </c>
    </row>
    <row r="779" spans="1:20" ht="15.75" customHeight="1" x14ac:dyDescent="0.3">
      <c r="A779" s="553" t="s">
        <v>1907</v>
      </c>
      <c r="B779" s="67">
        <f>+J30</f>
        <v>39980</v>
      </c>
      <c r="C779" s="67">
        <f>+J65</f>
        <v>39564</v>
      </c>
      <c r="D779" s="67">
        <f>+J128</f>
        <v>39096</v>
      </c>
      <c r="E779" s="67">
        <f>+J250</f>
        <v>30164</v>
      </c>
      <c r="F779" s="67">
        <f>+J245</f>
        <v>0</v>
      </c>
      <c r="G779" s="67">
        <f>+J257</f>
        <v>-137316</v>
      </c>
      <c r="H779" s="67">
        <f>+J379</f>
        <v>134505</v>
      </c>
      <c r="I779" s="67">
        <f>+J424</f>
        <v>38830</v>
      </c>
      <c r="J779" s="67">
        <f>+J465</f>
        <v>27540</v>
      </c>
      <c r="K779" s="67">
        <f>+J518</f>
        <v>18759</v>
      </c>
      <c r="L779" s="67">
        <f>+J528</f>
        <v>17087</v>
      </c>
      <c r="M779" s="67">
        <f>+J563</f>
        <v>17048</v>
      </c>
      <c r="N779" s="67">
        <f>+J606</f>
        <v>14033</v>
      </c>
      <c r="O779" s="67">
        <f>+J616</f>
        <v>3531</v>
      </c>
      <c r="P779" s="67">
        <f>+J650</f>
        <v>6435</v>
      </c>
      <c r="Q779" s="67">
        <f>+J696</f>
        <v>3454</v>
      </c>
      <c r="R779" s="552"/>
      <c r="T779">
        <f t="shared" si="110"/>
        <v>292710</v>
      </c>
    </row>
    <row r="780" spans="1:20" ht="15.75" customHeight="1" x14ac:dyDescent="0.3">
      <c r="A780" s="553" t="s">
        <v>1908</v>
      </c>
      <c r="B780" s="67">
        <f>+K30</f>
        <v>86596</v>
      </c>
      <c r="C780" s="67">
        <f>+K65</f>
        <v>86262</v>
      </c>
      <c r="D780" s="67">
        <f>+K128</f>
        <v>85890</v>
      </c>
      <c r="E780" s="67">
        <f>+K250</f>
        <v>76372</v>
      </c>
      <c r="F780" s="67">
        <f>+K245</f>
        <v>0</v>
      </c>
      <c r="G780" s="67">
        <f>+K257</f>
        <v>-94470</v>
      </c>
      <c r="H780" s="67">
        <f>+K379</f>
        <v>134861</v>
      </c>
      <c r="I780" s="67">
        <f>+K424</f>
        <v>46348</v>
      </c>
      <c r="J780" s="67">
        <f>+K465</f>
        <v>28614</v>
      </c>
      <c r="K780" s="67">
        <f>+K518</f>
        <v>19587</v>
      </c>
      <c r="L780" s="67">
        <f>+K528</f>
        <v>16589</v>
      </c>
      <c r="M780" s="67">
        <f>+K563</f>
        <v>16553</v>
      </c>
      <c r="N780" s="67">
        <f>+K606</f>
        <v>14433</v>
      </c>
      <c r="O780" s="67">
        <f>+K616</f>
        <v>3100</v>
      </c>
      <c r="P780" s="67">
        <f>+K650</f>
        <v>2363</v>
      </c>
      <c r="Q780" s="67">
        <f>+K696</f>
        <v>3094</v>
      </c>
      <c r="R780" s="552"/>
      <c r="T780">
        <f t="shared" si="110"/>
        <v>526192</v>
      </c>
    </row>
    <row r="781" spans="1:20" ht="15.75" customHeight="1" x14ac:dyDescent="0.3">
      <c r="A781" s="553" t="s">
        <v>2352</v>
      </c>
      <c r="B781" s="67">
        <f>+L30</f>
        <v>137380</v>
      </c>
      <c r="C781" s="67">
        <f>+L65</f>
        <v>137064</v>
      </c>
      <c r="D781" s="67">
        <f>+L128</f>
        <v>136626</v>
      </c>
      <c r="E781" s="67">
        <f>+L250</f>
        <v>129283</v>
      </c>
      <c r="F781" s="67">
        <f>+L245</f>
        <v>4628</v>
      </c>
      <c r="G781" s="67">
        <f>+L257</f>
        <v>-6379</v>
      </c>
      <c r="H781" s="67">
        <f>+L379</f>
        <v>101871</v>
      </c>
      <c r="I781" s="67">
        <f>+L424</f>
        <v>35891</v>
      </c>
      <c r="J781" s="67">
        <f>+L465</f>
        <v>26734</v>
      </c>
      <c r="K781" s="67">
        <f>+L518</f>
        <v>21436</v>
      </c>
      <c r="L781" s="67">
        <f>+L528</f>
        <v>16162</v>
      </c>
      <c r="M781" s="67">
        <f>+L563</f>
        <v>16128</v>
      </c>
      <c r="N781" s="67">
        <f>+L606</f>
        <v>14988</v>
      </c>
      <c r="O781" s="67">
        <f>+L616</f>
        <v>4069</v>
      </c>
      <c r="P781" s="67">
        <f>+L650</f>
        <v>4542</v>
      </c>
      <c r="Q781" s="67">
        <f>+L696</f>
        <v>4040</v>
      </c>
      <c r="R781" s="552"/>
      <c r="T781">
        <f t="shared" si="110"/>
        <v>784463</v>
      </c>
    </row>
    <row r="782" spans="1:20" ht="15.75" customHeight="1" x14ac:dyDescent="0.3">
      <c r="A782" s="553" t="s">
        <v>2353</v>
      </c>
      <c r="B782" s="67">
        <f>+N30</f>
        <v>31986</v>
      </c>
      <c r="C782" s="67">
        <f>+N65</f>
        <v>31701</v>
      </c>
      <c r="D782" s="67">
        <f>+N128</f>
        <v>31404</v>
      </c>
      <c r="E782" s="67">
        <f>+N250</f>
        <v>27161</v>
      </c>
      <c r="F782" s="67">
        <f>+N245</f>
        <v>9922</v>
      </c>
      <c r="G782" s="67">
        <f>+N257</f>
        <v>-85065</v>
      </c>
      <c r="H782" s="67">
        <f>+N379</f>
        <v>73498</v>
      </c>
      <c r="I782" s="67">
        <f>+N424</f>
        <v>19337</v>
      </c>
      <c r="J782" s="67">
        <f>+N465</f>
        <v>16161</v>
      </c>
      <c r="K782" s="67">
        <f>+N518</f>
        <v>14274</v>
      </c>
      <c r="L782" s="67">
        <f>+N528</f>
        <v>11245</v>
      </c>
      <c r="M782" s="67">
        <f>+N563</f>
        <v>11216</v>
      </c>
      <c r="N782" s="67">
        <f>+N606</f>
        <v>10828</v>
      </c>
      <c r="O782" s="67">
        <f>+N616</f>
        <v>3222</v>
      </c>
      <c r="P782" s="67">
        <f>+N650</f>
        <v>5817</v>
      </c>
      <c r="Q782" s="67">
        <f>+N696</f>
        <v>3199</v>
      </c>
      <c r="R782" s="552"/>
      <c r="T782">
        <f t="shared" si="110"/>
        <v>215906</v>
      </c>
    </row>
    <row r="783" spans="1:20" ht="15.75" customHeight="1" x14ac:dyDescent="0.3">
      <c r="A783" s="553" t="s">
        <v>2354</v>
      </c>
      <c r="B783" s="67">
        <f>+O30</f>
        <v>173290</v>
      </c>
      <c r="C783" s="67">
        <f>+O65</f>
        <v>173055</v>
      </c>
      <c r="D783" s="67">
        <f>+O128</f>
        <v>172790</v>
      </c>
      <c r="E783" s="67">
        <f>+O250</f>
        <v>169754</v>
      </c>
      <c r="F783" s="67">
        <f>+O245</f>
        <v>109236</v>
      </c>
      <c r="G783" s="67">
        <f>+O257</f>
        <v>0</v>
      </c>
      <c r="H783" s="67">
        <f>+O379</f>
        <v>34561</v>
      </c>
      <c r="I783" s="67">
        <f>+O424</f>
        <v>10302</v>
      </c>
      <c r="J783" s="67">
        <f>+O465</f>
        <v>9537</v>
      </c>
      <c r="K783" s="67">
        <f>+O518</f>
        <v>8934</v>
      </c>
      <c r="L783" s="67">
        <f>+O528</f>
        <v>7268</v>
      </c>
      <c r="M783" s="67">
        <f>+O563</f>
        <v>7245</v>
      </c>
      <c r="N783" s="67">
        <f>+O606</f>
        <v>7060</v>
      </c>
      <c r="O783" s="67">
        <f>+O616</f>
        <v>2019</v>
      </c>
      <c r="P783" s="67">
        <f>+O650</f>
        <v>5449</v>
      </c>
      <c r="Q783" s="67">
        <f>+O696</f>
        <v>2003</v>
      </c>
      <c r="R783" s="552"/>
      <c r="T783">
        <f t="shared" si="110"/>
        <v>892503</v>
      </c>
    </row>
    <row r="784" spans="1:20" ht="15.75" customHeight="1" x14ac:dyDescent="0.3">
      <c r="A784" s="553" t="s">
        <v>2355</v>
      </c>
      <c r="B784" s="67">
        <f>+P30</f>
        <v>133980</v>
      </c>
      <c r="C784" s="67">
        <f>+P65</f>
        <v>133794</v>
      </c>
      <c r="D784" s="67">
        <f>+P128</f>
        <v>133615</v>
      </c>
      <c r="E784" s="67">
        <f>+P250</f>
        <v>127689.00000000001</v>
      </c>
      <c r="F784" s="67">
        <f>+P245</f>
        <v>56385</v>
      </c>
      <c r="G784" s="67">
        <f>+P257</f>
        <v>0</v>
      </c>
      <c r="H784" s="67">
        <f>+P379</f>
        <v>50104.000000000015</v>
      </c>
      <c r="I784" s="67">
        <f>+P424</f>
        <v>20654</v>
      </c>
      <c r="J784" s="67">
        <f>+P465</f>
        <v>20226</v>
      </c>
      <c r="K784" s="67">
        <f>+P518</f>
        <v>17634</v>
      </c>
      <c r="L784" s="67">
        <f>+P528</f>
        <v>14591</v>
      </c>
      <c r="M784" s="67">
        <f>+P563</f>
        <v>14572</v>
      </c>
      <c r="N784" s="67">
        <f>+P606</f>
        <v>14189</v>
      </c>
      <c r="O784" s="67">
        <f>+P616</f>
        <v>3459</v>
      </c>
      <c r="P784" s="67">
        <f>+P650</f>
        <v>5605</v>
      </c>
      <c r="Q784" s="67">
        <f>+P696</f>
        <v>3417</v>
      </c>
      <c r="R784" s="552"/>
      <c r="T784">
        <f t="shared" si="110"/>
        <v>749914</v>
      </c>
    </row>
    <row r="785" spans="1:18" ht="15.75" customHeight="1" x14ac:dyDescent="0.3">
      <c r="A785" s="551"/>
      <c r="B785" s="67"/>
      <c r="C785" s="67"/>
      <c r="D785" s="67"/>
      <c r="E785" s="67"/>
      <c r="F785" s="67"/>
      <c r="G785" s="67"/>
      <c r="H785" s="67"/>
      <c r="I785" s="67"/>
      <c r="J785" s="67"/>
      <c r="K785" s="67"/>
      <c r="L785" s="67"/>
      <c r="M785" s="67"/>
      <c r="N785" s="67"/>
      <c r="O785" s="67"/>
      <c r="P785" s="67"/>
      <c r="Q785" s="67"/>
      <c r="R785" s="552"/>
    </row>
    <row r="786" spans="1:18" ht="15.75" customHeight="1" x14ac:dyDescent="0.3">
      <c r="A786" s="553" t="s">
        <v>2356</v>
      </c>
      <c r="B786" s="67">
        <f t="shared" ref="B786:Q786" si="111">SUM(B773:B784)</f>
        <v>1635752</v>
      </c>
      <c r="C786" s="67">
        <f t="shared" si="111"/>
        <v>1632252</v>
      </c>
      <c r="D786" s="67">
        <f t="shared" si="111"/>
        <v>1628258</v>
      </c>
      <c r="E786" s="67">
        <f t="shared" si="111"/>
        <v>1509300</v>
      </c>
      <c r="F786" s="67">
        <f t="shared" si="111"/>
        <v>411750</v>
      </c>
      <c r="G786" s="67">
        <f t="shared" si="111"/>
        <v>-426546</v>
      </c>
      <c r="H786" s="67">
        <f t="shared" si="111"/>
        <v>1172721</v>
      </c>
      <c r="I786" s="67">
        <f t="shared" si="111"/>
        <v>349729</v>
      </c>
      <c r="J786" s="67">
        <f t="shared" si="111"/>
        <v>289789</v>
      </c>
      <c r="K786" s="67">
        <f t="shared" si="111"/>
        <v>239956</v>
      </c>
      <c r="L786" s="67">
        <f t="shared" si="111"/>
        <v>197917</v>
      </c>
      <c r="M786" s="67">
        <f t="shared" si="111"/>
        <v>197544</v>
      </c>
      <c r="N786" s="67">
        <f t="shared" si="111"/>
        <v>183332</v>
      </c>
      <c r="O786" s="67">
        <f t="shared" si="111"/>
        <v>42395</v>
      </c>
      <c r="P786" s="67">
        <f t="shared" si="111"/>
        <v>65553</v>
      </c>
      <c r="Q786" s="67">
        <f t="shared" si="111"/>
        <v>42083</v>
      </c>
      <c r="R786" s="552"/>
    </row>
    <row r="787" spans="1:18" ht="16.5" customHeight="1" thickBot="1" x14ac:dyDescent="0.35">
      <c r="A787" s="554" t="s">
        <v>852</v>
      </c>
      <c r="B787" s="555"/>
      <c r="C787" s="555"/>
      <c r="D787" s="555"/>
      <c r="E787" s="555"/>
      <c r="F787" s="555"/>
      <c r="G787" s="555"/>
      <c r="H787" s="555"/>
      <c r="I787" s="555"/>
      <c r="J787" s="555"/>
      <c r="K787" s="555"/>
      <c r="L787" s="555"/>
      <c r="M787" s="555"/>
      <c r="N787" s="555"/>
      <c r="O787" s="555"/>
      <c r="P787" s="555"/>
      <c r="Q787" s="555"/>
      <c r="R787" s="556"/>
    </row>
    <row r="788" spans="1:18" ht="16.5" customHeight="1" thickBot="1" x14ac:dyDescent="0.35">
      <c r="A788" s="67"/>
      <c r="B788" s="67"/>
      <c r="C788" s="67"/>
      <c r="D788" s="67"/>
      <c r="E788" s="67"/>
      <c r="F788" s="67"/>
      <c r="G788" s="67"/>
      <c r="H788" s="67"/>
      <c r="I788" s="67"/>
      <c r="J788" s="67"/>
      <c r="K788" s="67"/>
      <c r="L788" s="67"/>
      <c r="M788" s="67"/>
      <c r="N788" s="67"/>
      <c r="O788" s="67"/>
      <c r="P788" s="67"/>
      <c r="Q788" s="67"/>
      <c r="R788" s="67"/>
    </row>
    <row r="789" spans="1:18" ht="15.75" customHeight="1" x14ac:dyDescent="0.3">
      <c r="A789" s="546"/>
      <c r="B789" s="547"/>
      <c r="C789" s="549" t="s">
        <v>2434</v>
      </c>
      <c r="D789" s="547"/>
      <c r="E789" s="547"/>
      <c r="F789" s="547"/>
      <c r="G789" s="547"/>
      <c r="H789" s="547"/>
      <c r="I789" s="547" t="s">
        <v>2435</v>
      </c>
      <c r="J789" s="547"/>
      <c r="K789" s="547" t="s">
        <v>852</v>
      </c>
      <c r="L789" s="557" t="str">
        <f>+A9</f>
        <v>Revised:  1/22/2013</v>
      </c>
      <c r="M789" s="547"/>
      <c r="N789" s="547"/>
      <c r="O789" s="547"/>
      <c r="P789" s="547"/>
      <c r="Q789" s="549" t="str">
        <f>+Q1</f>
        <v>PRINTED:</v>
      </c>
      <c r="R789" s="550">
        <f ca="1">+R1</f>
        <v>44881.72963425926</v>
      </c>
    </row>
    <row r="790" spans="1:18" ht="15.75" customHeight="1" x14ac:dyDescent="0.3">
      <c r="A790" s="551"/>
      <c r="B790" s="67"/>
      <c r="C790" s="67"/>
      <c r="D790" s="67" t="str">
        <f>++A5</f>
        <v>Calendar Year 2012</v>
      </c>
      <c r="E790" s="67"/>
      <c r="F790" s="67"/>
      <c r="G790" s="67"/>
      <c r="H790" s="67"/>
      <c r="I790" s="67"/>
      <c r="J790" s="67"/>
      <c r="K790" s="67"/>
      <c r="L790" s="67"/>
      <c r="M790" s="67"/>
      <c r="N790" s="67"/>
      <c r="O790" s="67"/>
      <c r="P790" s="67"/>
      <c r="Q790" s="67"/>
      <c r="R790" s="552"/>
    </row>
    <row r="791" spans="1:18" ht="15.75" customHeight="1" x14ac:dyDescent="0.3">
      <c r="A791" s="551"/>
      <c r="B791" s="67"/>
      <c r="C791" s="67"/>
      <c r="D791" s="67"/>
      <c r="E791" s="67"/>
      <c r="F791" s="67"/>
      <c r="G791" s="67"/>
      <c r="H791" s="67"/>
      <c r="I791" s="67"/>
      <c r="J791" s="67"/>
      <c r="K791" s="67"/>
      <c r="L791" s="67"/>
      <c r="M791" s="67"/>
      <c r="N791" s="67"/>
      <c r="O791" s="67"/>
      <c r="P791" s="67"/>
      <c r="Q791" s="67"/>
      <c r="R791" s="552"/>
    </row>
    <row r="792" spans="1:18" ht="15.75" customHeight="1" x14ac:dyDescent="0.3">
      <c r="A792" s="551"/>
      <c r="B792" s="67"/>
      <c r="C792" s="67"/>
      <c r="D792" s="67"/>
      <c r="E792" s="67"/>
      <c r="F792" s="67"/>
      <c r="G792" s="70" t="s">
        <v>2438</v>
      </c>
      <c r="H792" s="67"/>
      <c r="I792" s="67"/>
      <c r="J792" s="67"/>
      <c r="K792" s="67"/>
      <c r="L792" s="67"/>
      <c r="M792" s="67"/>
      <c r="N792" s="67"/>
      <c r="O792" s="67"/>
      <c r="P792" s="67"/>
      <c r="Q792" s="67"/>
      <c r="R792" s="552"/>
    </row>
    <row r="793" spans="1:18" ht="15.75" customHeight="1" x14ac:dyDescent="0.3">
      <c r="A793" s="551"/>
      <c r="B793" s="67" t="s">
        <v>2435</v>
      </c>
      <c r="C793" s="67"/>
      <c r="D793" s="70" t="s">
        <v>2436</v>
      </c>
      <c r="E793" s="70" t="s">
        <v>2436</v>
      </c>
      <c r="F793" s="70" t="s">
        <v>2437</v>
      </c>
      <c r="G793" s="70" t="s">
        <v>525</v>
      </c>
      <c r="H793" s="70" t="s">
        <v>2439</v>
      </c>
      <c r="I793" s="70" t="s">
        <v>2463</v>
      </c>
      <c r="J793" s="70" t="s">
        <v>2356</v>
      </c>
      <c r="K793" s="67" t="s">
        <v>2435</v>
      </c>
      <c r="L793" s="70" t="s">
        <v>2464</v>
      </c>
      <c r="M793" s="70" t="s">
        <v>2464</v>
      </c>
      <c r="N793" s="70" t="s">
        <v>2464</v>
      </c>
      <c r="O793" s="67"/>
      <c r="P793" s="67"/>
      <c r="Q793" s="67"/>
      <c r="R793" s="552"/>
    </row>
    <row r="794" spans="1:18" ht="15.75" customHeight="1" x14ac:dyDescent="0.35">
      <c r="A794" s="551"/>
      <c r="B794" s="70" t="s">
        <v>284</v>
      </c>
      <c r="C794" s="70" t="s">
        <v>2379</v>
      </c>
      <c r="D794" s="70" t="s">
        <v>844</v>
      </c>
      <c r="E794" s="70" t="s">
        <v>844</v>
      </c>
      <c r="F794" s="70" t="s">
        <v>845</v>
      </c>
      <c r="G794" s="214" t="s">
        <v>955</v>
      </c>
      <c r="H794" s="70" t="s">
        <v>275</v>
      </c>
      <c r="I794" s="70" t="s">
        <v>276</v>
      </c>
      <c r="J794" s="70" t="s">
        <v>1554</v>
      </c>
      <c r="K794" s="67" t="s">
        <v>2435</v>
      </c>
      <c r="L794" s="70" t="s">
        <v>1555</v>
      </c>
      <c r="M794" s="70" t="s">
        <v>955</v>
      </c>
      <c r="N794" s="70" t="s">
        <v>1194</v>
      </c>
      <c r="O794" s="67"/>
      <c r="P794" s="67"/>
      <c r="Q794" s="67"/>
      <c r="R794" s="552"/>
    </row>
    <row r="795" spans="1:18" ht="15.75" customHeight="1" x14ac:dyDescent="0.3">
      <c r="A795" s="551"/>
      <c r="B795" s="70" t="s">
        <v>1193</v>
      </c>
      <c r="C795" s="70" t="s">
        <v>956</v>
      </c>
      <c r="D795" s="70" t="s">
        <v>333</v>
      </c>
      <c r="E795" s="70" t="s">
        <v>334</v>
      </c>
      <c r="F795" s="70" t="s">
        <v>335</v>
      </c>
      <c r="G795" s="70" t="s">
        <v>335</v>
      </c>
      <c r="H795" s="70" t="s">
        <v>335</v>
      </c>
      <c r="I795" s="70" t="s">
        <v>335</v>
      </c>
      <c r="J795" s="70" t="s">
        <v>1486</v>
      </c>
      <c r="K795" s="67" t="s">
        <v>2435</v>
      </c>
      <c r="L795" s="70" t="s">
        <v>1487</v>
      </c>
      <c r="M795" s="70" t="s">
        <v>929</v>
      </c>
      <c r="N795" s="70" t="s">
        <v>929</v>
      </c>
      <c r="O795" s="67"/>
      <c r="P795" s="67"/>
      <c r="Q795" s="67"/>
      <c r="R795" s="552"/>
    </row>
    <row r="796" spans="1:18" ht="15.75" customHeight="1" x14ac:dyDescent="0.3">
      <c r="A796" s="551"/>
      <c r="B796" s="70" t="s">
        <v>930</v>
      </c>
      <c r="C796" s="70" t="s">
        <v>931</v>
      </c>
      <c r="D796" s="70" t="s">
        <v>932</v>
      </c>
      <c r="E796" s="70" t="s">
        <v>932</v>
      </c>
      <c r="F796" s="70" t="s">
        <v>932</v>
      </c>
      <c r="G796" s="70" t="s">
        <v>932</v>
      </c>
      <c r="H796" s="70" t="s">
        <v>932</v>
      </c>
      <c r="I796" s="70" t="s">
        <v>932</v>
      </c>
      <c r="J796" s="70" t="s">
        <v>932</v>
      </c>
      <c r="K796" s="67" t="s">
        <v>2435</v>
      </c>
      <c r="L796" s="70" t="s">
        <v>946</v>
      </c>
      <c r="M796" s="70" t="s">
        <v>946</v>
      </c>
      <c r="N796" s="70" t="s">
        <v>946</v>
      </c>
      <c r="O796" s="67"/>
      <c r="P796" s="67"/>
      <c r="Q796" s="67"/>
      <c r="R796" s="552"/>
    </row>
    <row r="797" spans="1:18" ht="15.75" customHeight="1" x14ac:dyDescent="0.3">
      <c r="A797" s="551"/>
      <c r="B797" s="67" t="s">
        <v>1353</v>
      </c>
      <c r="C797" s="67" t="s">
        <v>1353</v>
      </c>
      <c r="D797" s="67" t="s">
        <v>1353</v>
      </c>
      <c r="E797" s="67" t="s">
        <v>1353</v>
      </c>
      <c r="F797" s="67" t="s">
        <v>1353</v>
      </c>
      <c r="G797" s="67" t="s">
        <v>1353</v>
      </c>
      <c r="H797" s="67" t="s">
        <v>1353</v>
      </c>
      <c r="I797" s="67" t="s">
        <v>1353</v>
      </c>
      <c r="J797" s="67" t="s">
        <v>1353</v>
      </c>
      <c r="K797" s="67" t="s">
        <v>2435</v>
      </c>
      <c r="L797" s="67" t="s">
        <v>1353</v>
      </c>
      <c r="M797" s="67" t="s">
        <v>1353</v>
      </c>
      <c r="N797" s="67" t="s">
        <v>1353</v>
      </c>
      <c r="O797" s="67"/>
      <c r="P797" s="67"/>
      <c r="Q797" s="67"/>
      <c r="R797" s="552"/>
    </row>
    <row r="798" spans="1:18" ht="15.75" customHeight="1" x14ac:dyDescent="0.3">
      <c r="A798" s="553" t="s">
        <v>1354</v>
      </c>
      <c r="B798" s="67">
        <f t="shared" ref="B798:B809" si="112">(F773)</f>
        <v>111219</v>
      </c>
      <c r="C798" s="67">
        <f>SUM($B$771:$E$771)+(('Lake Pleasant Forecast'!B35-1526.8)/0.7702)</f>
        <v>1640.619579330044</v>
      </c>
      <c r="D798" s="67">
        <f>(B798*C798/1000)</f>
        <v>182468.06899350815</v>
      </c>
      <c r="E798" s="67">
        <f>(((B773-F773)*B$771)+((C773-F773)*C$771)+((D773-F773)*D$771)+((E773-F773)*E$771))/1000</f>
        <v>99707.61</v>
      </c>
      <c r="F798" s="67">
        <f>(D798+E798)</f>
        <v>282175.67899350816</v>
      </c>
      <c r="G798" s="67">
        <f t="shared" ref="G798:G809" si="113">SUM(H855:Q855)</f>
        <v>28989.175999999999</v>
      </c>
      <c r="H798" s="67">
        <f>+F798+G798</f>
        <v>311164.85499350814</v>
      </c>
      <c r="I798" s="67">
        <f t="shared" ref="I798:I805" si="114">(G908)</f>
        <v>0</v>
      </c>
      <c r="J798" s="67">
        <f t="shared" ref="J798:J809" si="115">(H798-I798)</f>
        <v>311164.85499350814</v>
      </c>
      <c r="K798" s="67" t="s">
        <v>2435</v>
      </c>
      <c r="L798" s="67">
        <f>+B773/31/1.98</f>
        <v>2990.436624307592</v>
      </c>
      <c r="M798" s="67">
        <f>(B798*43560/31/24/3600)</f>
        <v>1808.8036290322584</v>
      </c>
      <c r="N798" s="67">
        <f>+B260</f>
        <v>0</v>
      </c>
      <c r="O798" s="67"/>
      <c r="P798" s="67"/>
      <c r="Q798" s="67"/>
      <c r="R798" s="552"/>
    </row>
    <row r="799" spans="1:18" ht="15.75" customHeight="1" x14ac:dyDescent="0.3">
      <c r="A799" s="553" t="s">
        <v>706</v>
      </c>
      <c r="B799" s="67">
        <f t="shared" si="112"/>
        <v>67581</v>
      </c>
      <c r="C799" s="67">
        <f>SUM($B$771:$E$771)+(('Lake Pleasant Forecast'!B37-1526.8)/0.7702)</f>
        <v>1641.3206959231368</v>
      </c>
      <c r="D799" s="67">
        <f>(B799*C799/1000)</f>
        <v>110922.09395118149</v>
      </c>
      <c r="E799" s="67">
        <f t="shared" ref="E799:E809" si="116">(((B774-F774)*B$771)+((C774-F774)*C$771)+((D774-F774)*D$771)+((E774-F774)*E$771))/1000</f>
        <v>139359.261</v>
      </c>
      <c r="F799" s="67">
        <f t="shared" ref="F799:F809" si="117">(D799+E799)</f>
        <v>250281.35495118151</v>
      </c>
      <c r="G799" s="67">
        <f t="shared" si="113"/>
        <v>36363.505000000005</v>
      </c>
      <c r="H799" s="67">
        <f t="shared" ref="H799:H809" si="118">+F799+G799</f>
        <v>286644.85995118151</v>
      </c>
      <c r="I799" s="67">
        <f t="shared" si="114"/>
        <v>0</v>
      </c>
      <c r="J799" s="67">
        <f t="shared" si="115"/>
        <v>286644.85995118151</v>
      </c>
      <c r="K799" s="67" t="s">
        <v>2435</v>
      </c>
      <c r="L799" s="67">
        <f>+B774/28/1.98</f>
        <v>3035.209235209235</v>
      </c>
      <c r="M799" s="67">
        <f>(B799*43560/29/24/3600)</f>
        <v>1174.8995689655173</v>
      </c>
      <c r="N799" s="67">
        <f>+C260</f>
        <v>0</v>
      </c>
      <c r="O799" s="67"/>
      <c r="P799" s="67"/>
      <c r="Q799" s="67"/>
      <c r="R799" s="552"/>
    </row>
    <row r="800" spans="1:18" ht="15.75" customHeight="1" x14ac:dyDescent="0.3">
      <c r="A800" s="553" t="s">
        <v>707</v>
      </c>
      <c r="B800" s="67">
        <f t="shared" si="112"/>
        <v>44397</v>
      </c>
      <c r="C800" s="67">
        <f>SUM($B$771:$E$771)+(('Lake Pleasant Forecast'!B39-1526.8)/0.7702)</f>
        <v>1648.5525874397988</v>
      </c>
      <c r="D800" s="67">
        <f t="shared" ref="D800:D809" si="119">(B800*C800/1000)</f>
        <v>73190.789224564753</v>
      </c>
      <c r="E800" s="67">
        <f t="shared" si="116"/>
        <v>199249.19200000001</v>
      </c>
      <c r="F800" s="67">
        <f t="shared" si="117"/>
        <v>272439.98122456478</v>
      </c>
      <c r="G800" s="67">
        <f t="shared" si="113"/>
        <v>41900.854000000007</v>
      </c>
      <c r="H800" s="67">
        <f t="shared" si="118"/>
        <v>314340.83522456477</v>
      </c>
      <c r="I800" s="67">
        <f t="shared" si="114"/>
        <v>0</v>
      </c>
      <c r="J800" s="67">
        <f t="shared" si="115"/>
        <v>314340.83522456477</v>
      </c>
      <c r="K800" s="67" t="s">
        <v>2435</v>
      </c>
      <c r="L800" s="67">
        <f>+B775/31/1.98</f>
        <v>3055.0993809058323</v>
      </c>
      <c r="M800" s="67">
        <f>(B800*43560/31/24/3600)</f>
        <v>722.04798387096764</v>
      </c>
      <c r="N800" s="67">
        <f>+D260</f>
        <v>0</v>
      </c>
      <c r="O800" s="67"/>
      <c r="P800" s="67"/>
      <c r="Q800" s="67"/>
      <c r="R800" s="552"/>
    </row>
    <row r="801" spans="1:18" ht="15.75" customHeight="1" x14ac:dyDescent="0.3">
      <c r="A801" s="553" t="s">
        <v>1321</v>
      </c>
      <c r="B801" s="67">
        <f t="shared" si="112"/>
        <v>6884</v>
      </c>
      <c r="C801" s="67">
        <f>SUM($B$771:$E$771)+(('Lake Pleasant Forecast'!B41-1526.8)/0.7702)</f>
        <v>1648.6824201506106</v>
      </c>
      <c r="D801" s="67">
        <f t="shared" si="119"/>
        <v>11349.529780316803</v>
      </c>
      <c r="E801" s="67">
        <f t="shared" si="116"/>
        <v>246708.37</v>
      </c>
      <c r="F801" s="67">
        <f t="shared" si="117"/>
        <v>258057.8997803168</v>
      </c>
      <c r="G801" s="67">
        <f t="shared" si="113"/>
        <v>47375.337999999996</v>
      </c>
      <c r="H801" s="67">
        <f t="shared" si="118"/>
        <v>305433.23778031679</v>
      </c>
      <c r="I801" s="67">
        <f t="shared" si="114"/>
        <v>683.35389600602923</v>
      </c>
      <c r="J801" s="67">
        <f t="shared" si="115"/>
        <v>304749.88388431078</v>
      </c>
      <c r="K801" s="67" t="s">
        <v>2435</v>
      </c>
      <c r="L801" s="67">
        <f>+B776/30/1.98</f>
        <v>3053.939393939394</v>
      </c>
      <c r="M801" s="67">
        <f>(B801*43560/30/24/3600)</f>
        <v>115.68944444444445</v>
      </c>
      <c r="N801" s="67">
        <f>+F260</f>
        <v>-71.289292318036644</v>
      </c>
      <c r="O801" s="67"/>
      <c r="P801" s="67"/>
      <c r="Q801" s="67"/>
      <c r="R801" s="552"/>
    </row>
    <row r="802" spans="1:18" ht="15.75" customHeight="1" x14ac:dyDescent="0.3">
      <c r="A802" s="553" t="s">
        <v>1905</v>
      </c>
      <c r="B802" s="67">
        <f t="shared" si="112"/>
        <v>1498</v>
      </c>
      <c r="C802" s="67">
        <f>SUM($B$771:$E$771)+(('Lake Pleasant Forecast'!B43-1526.8)/0.7702)</f>
        <v>1646.1506102311087</v>
      </c>
      <c r="D802" s="67">
        <f t="shared" si="119"/>
        <v>2465.9336141262006</v>
      </c>
      <c r="E802" s="67">
        <f t="shared" si="116"/>
        <v>253154.10500000001</v>
      </c>
      <c r="F802" s="67">
        <f t="shared" si="117"/>
        <v>255620.03861412621</v>
      </c>
      <c r="G802" s="67">
        <f t="shared" si="113"/>
        <v>50694.132000000012</v>
      </c>
      <c r="H802" s="67">
        <f t="shared" si="118"/>
        <v>306314.17061412625</v>
      </c>
      <c r="I802" s="67">
        <f t="shared" si="114"/>
        <v>3085.5234363225263</v>
      </c>
      <c r="J802" s="67">
        <f t="shared" si="115"/>
        <v>303228.64717780374</v>
      </c>
      <c r="K802" s="67" t="s">
        <v>2435</v>
      </c>
      <c r="L802" s="67">
        <f>+B777/31/1.98</f>
        <v>2942.196155099381</v>
      </c>
      <c r="M802" s="67">
        <f>(B802*43560/31/24/3600)</f>
        <v>24.362634408602151</v>
      </c>
      <c r="N802" s="67">
        <f>+G260</f>
        <v>-317.2937712491663</v>
      </c>
      <c r="O802" s="67"/>
      <c r="P802" s="67"/>
      <c r="Q802" s="67"/>
      <c r="R802" s="552"/>
    </row>
    <row r="803" spans="1:18" ht="15.75" customHeight="1" x14ac:dyDescent="0.3">
      <c r="A803" s="553" t="s">
        <v>1906</v>
      </c>
      <c r="B803" s="67">
        <f t="shared" si="112"/>
        <v>0</v>
      </c>
      <c r="C803" s="67">
        <f>SUM($B$771:$E$771)+(('Lake Pleasant Forecast'!B45-1526.8)/0.7702)</f>
        <v>1632.5437548688653</v>
      </c>
      <c r="D803" s="67">
        <f t="shared" si="119"/>
        <v>0</v>
      </c>
      <c r="E803" s="67">
        <f t="shared" si="116"/>
        <v>184984.851</v>
      </c>
      <c r="F803" s="67">
        <f t="shared" si="117"/>
        <v>184984.851</v>
      </c>
      <c r="G803" s="67">
        <f t="shared" si="113"/>
        <v>47914.512000000002</v>
      </c>
      <c r="H803" s="67">
        <f t="shared" si="118"/>
        <v>232899.36300000001</v>
      </c>
      <c r="I803" s="67">
        <f t="shared" si="114"/>
        <v>11330.480180859084</v>
      </c>
      <c r="J803" s="67">
        <f t="shared" si="115"/>
        <v>221568.88281914094</v>
      </c>
      <c r="K803" s="67" t="s">
        <v>2435</v>
      </c>
      <c r="L803" s="67">
        <f>+B778/30/1.98</f>
        <v>2208.7037037037039</v>
      </c>
      <c r="M803" s="67">
        <f t="shared" ref="M803:M808" si="120">(B803*43560/30/24/3600)</f>
        <v>0</v>
      </c>
      <c r="N803" s="67">
        <f>+H260</f>
        <v>-1337.5357202891241</v>
      </c>
      <c r="O803" s="67"/>
      <c r="P803" s="67"/>
      <c r="Q803" s="67"/>
      <c r="R803" s="552"/>
    </row>
    <row r="804" spans="1:18" ht="15.75" customHeight="1" x14ac:dyDescent="0.3">
      <c r="A804" s="553" t="s">
        <v>1907</v>
      </c>
      <c r="B804" s="67">
        <f t="shared" si="112"/>
        <v>0</v>
      </c>
      <c r="C804" s="67">
        <f>SUM($B$771:$E$771)+(('Lake Pleasant Forecast'!B47-1526.8)/0.7702)</f>
        <v>1613.7694105427163</v>
      </c>
      <c r="D804" s="67">
        <f t="shared" si="119"/>
        <v>0</v>
      </c>
      <c r="E804" s="67">
        <f t="shared" si="116"/>
        <v>54697.872000000003</v>
      </c>
      <c r="F804" s="67">
        <f t="shared" si="117"/>
        <v>54697.872000000003</v>
      </c>
      <c r="G804" s="67">
        <f t="shared" si="113"/>
        <v>43738.018000000004</v>
      </c>
      <c r="H804" s="67">
        <f t="shared" si="118"/>
        <v>98435.890000000014</v>
      </c>
      <c r="I804" s="67">
        <f t="shared" si="114"/>
        <v>16560.702818387337</v>
      </c>
      <c r="J804" s="67">
        <f t="shared" si="115"/>
        <v>81875.18718161268</v>
      </c>
      <c r="K804" s="67" t="s">
        <v>2435</v>
      </c>
      <c r="L804" s="67">
        <f>+B779/31/1.98</f>
        <v>651.35223199739335</v>
      </c>
      <c r="M804" s="67">
        <f t="shared" si="120"/>
        <v>0</v>
      </c>
      <c r="N804" s="67">
        <f>+J260</f>
        <v>-2233.7611634376067</v>
      </c>
      <c r="O804" s="67"/>
      <c r="P804" s="67"/>
      <c r="Q804" s="67"/>
      <c r="R804" s="552"/>
    </row>
    <row r="805" spans="1:18" ht="15.75" customHeight="1" x14ac:dyDescent="0.3">
      <c r="A805" s="553" t="s">
        <v>1908</v>
      </c>
      <c r="B805" s="67">
        <f t="shared" si="112"/>
        <v>0</v>
      </c>
      <c r="C805" s="67">
        <f>SUM($B$771:$E$771)+(('Lake Pleasant Forecast'!B49-1526.8)/0.7702)</f>
        <v>1591.281686719662</v>
      </c>
      <c r="D805" s="67">
        <f t="shared" si="119"/>
        <v>0</v>
      </c>
      <c r="E805" s="67">
        <f t="shared" si="116"/>
        <v>121115.724</v>
      </c>
      <c r="F805" s="67">
        <f t="shared" si="117"/>
        <v>121115.724</v>
      </c>
      <c r="G805" s="67">
        <f t="shared" si="113"/>
        <v>43910.666999999994</v>
      </c>
      <c r="H805" s="67">
        <f t="shared" si="118"/>
        <v>165026.391</v>
      </c>
      <c r="I805" s="67">
        <f t="shared" si="114"/>
        <v>8927.3018227307584</v>
      </c>
      <c r="J805" s="67">
        <f t="shared" si="115"/>
        <v>156099.08917726926</v>
      </c>
      <c r="K805" s="67" t="s">
        <v>2435</v>
      </c>
      <c r="L805" s="67">
        <f>+B780/31/1.98</f>
        <v>1410.8178559791463</v>
      </c>
      <c r="M805" s="67">
        <f t="shared" si="120"/>
        <v>0</v>
      </c>
      <c r="N805" s="67">
        <f>+K260</f>
        <v>-1536.7722414718658</v>
      </c>
      <c r="O805" s="67"/>
      <c r="P805" s="67"/>
      <c r="Q805" s="67"/>
      <c r="R805" s="552"/>
    </row>
    <row r="806" spans="1:18" ht="15.75" customHeight="1" x14ac:dyDescent="0.3">
      <c r="A806" s="553" t="s">
        <v>2352</v>
      </c>
      <c r="B806" s="67">
        <f t="shared" si="112"/>
        <v>4628</v>
      </c>
      <c r="C806" s="67">
        <f>SUM($B$771:$E$771)+(('Lake Pleasant Forecast'!B51-1526.8)/0.7702)</f>
        <v>1596.3323736446584</v>
      </c>
      <c r="D806" s="67">
        <f t="shared" si="119"/>
        <v>7387.826225227479</v>
      </c>
      <c r="E806" s="67">
        <f t="shared" si="116"/>
        <v>187396.04500000001</v>
      </c>
      <c r="F806" s="67">
        <f t="shared" si="117"/>
        <v>194783.87122522749</v>
      </c>
      <c r="G806" s="67">
        <f t="shared" si="113"/>
        <v>40398.470999999998</v>
      </c>
      <c r="H806" s="67">
        <f t="shared" si="118"/>
        <v>235182.34222522748</v>
      </c>
      <c r="I806" s="67">
        <v>0</v>
      </c>
      <c r="J806" s="67">
        <f t="shared" si="115"/>
        <v>235182.34222522748</v>
      </c>
      <c r="K806" s="67" t="s">
        <v>2435</v>
      </c>
      <c r="L806" s="67">
        <f>+B781/30/1.98</f>
        <v>2312.7946127946125</v>
      </c>
      <c r="M806" s="67">
        <f t="shared" si="120"/>
        <v>77.776111111111106</v>
      </c>
      <c r="N806" s="67">
        <f>+L260</f>
        <v>-107.22810556396033</v>
      </c>
      <c r="O806" s="67"/>
      <c r="P806" s="67"/>
      <c r="Q806" s="67"/>
      <c r="R806" s="552"/>
    </row>
    <row r="807" spans="1:18" ht="15.75" customHeight="1" x14ac:dyDescent="0.3">
      <c r="A807" s="553" t="s">
        <v>2353</v>
      </c>
      <c r="B807" s="67">
        <f t="shared" si="112"/>
        <v>9922</v>
      </c>
      <c r="C807" s="67">
        <f>SUM($B$771:$E$771)+(('Lake Pleasant Forecast'!B53-1526.8)/0.7702)</f>
        <v>1606.3687353934044</v>
      </c>
      <c r="D807" s="67">
        <f t="shared" si="119"/>
        <v>15938.39059257336</v>
      </c>
      <c r="E807" s="67">
        <f t="shared" si="116"/>
        <v>30297.323</v>
      </c>
      <c r="F807" s="67">
        <f t="shared" si="117"/>
        <v>46235.71359257336</v>
      </c>
      <c r="G807" s="67">
        <f t="shared" si="113"/>
        <v>27894.557999999997</v>
      </c>
      <c r="H807" s="67">
        <f t="shared" si="118"/>
        <v>74130.27159257335</v>
      </c>
      <c r="I807" s="67">
        <v>0</v>
      </c>
      <c r="J807" s="67">
        <f t="shared" si="115"/>
        <v>74130.27159257335</v>
      </c>
      <c r="K807" s="67" t="s">
        <v>2435</v>
      </c>
      <c r="L807" s="67">
        <f>+B782/31/1.98</f>
        <v>521.11436950146629</v>
      </c>
      <c r="M807" s="67">
        <f t="shared" si="120"/>
        <v>166.74472222222221</v>
      </c>
      <c r="N807" s="67">
        <f>+N260</f>
        <v>-1383.778244107169</v>
      </c>
      <c r="O807" s="67"/>
      <c r="P807" s="67"/>
      <c r="Q807" s="67"/>
      <c r="R807" s="552"/>
    </row>
    <row r="808" spans="1:18" ht="15.75" customHeight="1" x14ac:dyDescent="0.3">
      <c r="A808" s="553" t="s">
        <v>2354</v>
      </c>
      <c r="B808" s="67">
        <f t="shared" si="112"/>
        <v>109236</v>
      </c>
      <c r="C808" s="67">
        <f>SUM($B$771:$E$771)+(('Lake Pleasant Forecast'!B55-1526.8)/0.7702)</f>
        <v>1615.8467930407687</v>
      </c>
      <c r="D808" s="67">
        <f t="shared" si="119"/>
        <v>176508.64028460142</v>
      </c>
      <c r="E808" s="67">
        <f t="shared" si="116"/>
        <v>90473.95</v>
      </c>
      <c r="F808" s="67">
        <f t="shared" si="117"/>
        <v>266982.59028460144</v>
      </c>
      <c r="G808" s="67">
        <f t="shared" si="113"/>
        <v>16627.478999999999</v>
      </c>
      <c r="H808" s="67">
        <f t="shared" si="118"/>
        <v>283610.06928460143</v>
      </c>
      <c r="I808" s="67">
        <f>(G918)</f>
        <v>0</v>
      </c>
      <c r="J808" s="67">
        <f t="shared" si="115"/>
        <v>283610.06928460143</v>
      </c>
      <c r="K808" s="67" t="s">
        <v>2435</v>
      </c>
      <c r="L808" s="67">
        <f>+B783/30/1.98</f>
        <v>2917.3400673400674</v>
      </c>
      <c r="M808" s="67">
        <f t="shared" si="120"/>
        <v>1835.7716666666668</v>
      </c>
      <c r="N808" s="67">
        <f>+O260</f>
        <v>0</v>
      </c>
      <c r="O808" s="67"/>
      <c r="P808" s="67"/>
      <c r="Q808" s="67"/>
      <c r="R808" s="552"/>
    </row>
    <row r="809" spans="1:18" ht="15.75" customHeight="1" x14ac:dyDescent="0.3">
      <c r="A809" s="553" t="s">
        <v>2355</v>
      </c>
      <c r="B809" s="67">
        <f t="shared" si="112"/>
        <v>56385</v>
      </c>
      <c r="C809" s="67">
        <f>SUM($B$771:$E$771)+(('Lake Pleasant Forecast'!B57-1526.8)/0.7702)</f>
        <v>1624.8302000837896</v>
      </c>
      <c r="D809" s="67">
        <f t="shared" si="119"/>
        <v>91616.050831724482</v>
      </c>
      <c r="E809" s="67">
        <f t="shared" si="116"/>
        <v>109203.329</v>
      </c>
      <c r="F809" s="67">
        <f t="shared" si="117"/>
        <v>200819.37983172448</v>
      </c>
      <c r="G809" s="67">
        <f t="shared" si="113"/>
        <v>29550.874</v>
      </c>
      <c r="H809" s="67">
        <f t="shared" si="118"/>
        <v>230370.25383172449</v>
      </c>
      <c r="I809" s="67">
        <f>(G919)</f>
        <v>0</v>
      </c>
      <c r="J809" s="67">
        <f t="shared" si="115"/>
        <v>230370.25383172449</v>
      </c>
      <c r="K809" s="67" t="s">
        <v>2435</v>
      </c>
      <c r="L809" s="67">
        <f>+B784/31/1.98</f>
        <v>2182.7956989247314</v>
      </c>
      <c r="M809" s="67">
        <f>(B809*43560/31/24/3600)</f>
        <v>917.01411290322585</v>
      </c>
      <c r="N809" s="67">
        <f>+P260</f>
        <v>0</v>
      </c>
      <c r="O809" s="67"/>
      <c r="P809" s="67"/>
      <c r="Q809" s="67"/>
      <c r="R809" s="552"/>
    </row>
    <row r="810" spans="1:18" ht="15.75" customHeight="1" x14ac:dyDescent="0.3">
      <c r="A810" s="551"/>
      <c r="B810" s="67"/>
      <c r="C810" s="67"/>
      <c r="D810" s="67"/>
      <c r="E810" s="67"/>
      <c r="F810" s="67"/>
      <c r="G810" s="67"/>
      <c r="H810" s="67"/>
      <c r="I810" s="67"/>
      <c r="J810" s="67"/>
      <c r="K810" s="67" t="s">
        <v>2435</v>
      </c>
      <c r="L810" s="67"/>
      <c r="M810" s="67"/>
      <c r="N810" s="67"/>
      <c r="O810" s="67"/>
      <c r="P810" s="67"/>
      <c r="Q810" s="67"/>
      <c r="R810" s="552"/>
    </row>
    <row r="811" spans="1:18" ht="15.75" customHeight="1" x14ac:dyDescent="0.3">
      <c r="A811" s="551" t="s">
        <v>2356</v>
      </c>
      <c r="B811" s="67">
        <f>SUM(B798:B809)</f>
        <v>411750</v>
      </c>
      <c r="C811" s="67"/>
      <c r="D811" s="67">
        <f t="shared" ref="D811:J811" si="121">SUM(D798:D809)</f>
        <v>671847.32349782414</v>
      </c>
      <c r="E811" s="67">
        <f t="shared" si="121"/>
        <v>1716347.6319999998</v>
      </c>
      <c r="F811" s="67">
        <f t="shared" si="121"/>
        <v>2388194.9554978241</v>
      </c>
      <c r="G811" s="67">
        <f t="shared" si="121"/>
        <v>455357.58400000003</v>
      </c>
      <c r="H811" s="67">
        <f t="shared" si="121"/>
        <v>2843552.5394978244</v>
      </c>
      <c r="I811" s="67">
        <f t="shared" si="121"/>
        <v>40587.362154305738</v>
      </c>
      <c r="J811" s="67">
        <f t="shared" si="121"/>
        <v>2802965.1773435189</v>
      </c>
      <c r="K811" s="67"/>
      <c r="L811" s="67"/>
      <c r="M811" s="67"/>
      <c r="N811" s="67"/>
      <c r="O811" s="67"/>
      <c r="P811" s="67"/>
      <c r="Q811" s="67"/>
      <c r="R811" s="552"/>
    </row>
    <row r="812" spans="1:18" ht="15.75" customHeight="1" x14ac:dyDescent="0.3">
      <c r="A812" s="551"/>
      <c r="B812" s="67"/>
      <c r="C812" s="67"/>
      <c r="D812" s="67"/>
      <c r="E812" s="67"/>
      <c r="F812" s="67"/>
      <c r="G812" s="67"/>
      <c r="H812" s="67"/>
      <c r="I812" s="67"/>
      <c r="J812" s="67"/>
      <c r="K812" s="67"/>
      <c r="L812" s="67"/>
      <c r="M812" s="67"/>
      <c r="N812" s="67"/>
      <c r="O812" s="67"/>
      <c r="P812" s="67"/>
      <c r="Q812" s="67"/>
      <c r="R812" s="552"/>
    </row>
    <row r="813" spans="1:18" ht="15.75" customHeight="1" x14ac:dyDescent="0.3">
      <c r="A813" s="551" t="s">
        <v>1696</v>
      </c>
      <c r="B813" s="67"/>
      <c r="C813" s="67"/>
      <c r="D813" s="67"/>
      <c r="E813" s="67"/>
      <c r="F813" s="67"/>
      <c r="G813" s="67"/>
      <c r="H813" s="67"/>
      <c r="I813" s="67"/>
      <c r="J813" s="67"/>
      <c r="K813" s="67"/>
      <c r="L813" s="67"/>
      <c r="M813" s="67"/>
      <c r="N813" s="67"/>
      <c r="O813" s="67"/>
      <c r="P813" s="67"/>
      <c r="Q813" s="67"/>
      <c r="R813" s="552"/>
    </row>
    <row r="814" spans="1:18" ht="15.75" customHeight="1" x14ac:dyDescent="0.3">
      <c r="A814" s="551" t="s">
        <v>785</v>
      </c>
      <c r="B814" s="67"/>
      <c r="C814" s="67"/>
      <c r="D814" s="67"/>
      <c r="E814" s="67"/>
      <c r="F814" s="67"/>
      <c r="G814" s="67"/>
      <c r="H814" s="67"/>
      <c r="I814" s="67"/>
      <c r="J814" s="67"/>
      <c r="K814" s="67"/>
      <c r="L814" s="67"/>
      <c r="M814" s="67"/>
      <c r="N814" s="67"/>
      <c r="O814" s="67"/>
      <c r="P814" s="67"/>
      <c r="Q814" s="67"/>
      <c r="R814" s="552"/>
    </row>
    <row r="815" spans="1:18" ht="15.75" customHeight="1" x14ac:dyDescent="0.3">
      <c r="A815" s="551"/>
      <c r="B815" s="67"/>
      <c r="C815" s="67"/>
      <c r="D815" s="67"/>
      <c r="E815" s="67"/>
      <c r="F815" s="67"/>
      <c r="G815" s="67"/>
      <c r="H815" s="67"/>
      <c r="I815" s="67"/>
      <c r="J815" s="67"/>
      <c r="K815" s="67"/>
      <c r="L815" s="67"/>
      <c r="M815" s="67"/>
      <c r="N815" s="67"/>
      <c r="O815" s="67"/>
      <c r="P815" s="67"/>
      <c r="Q815" s="67"/>
      <c r="R815" s="552"/>
    </row>
    <row r="816" spans="1:18" ht="15.75" customHeight="1" x14ac:dyDescent="0.3">
      <c r="A816" s="551" t="s">
        <v>440</v>
      </c>
      <c r="B816" s="67"/>
      <c r="C816" s="67"/>
      <c r="D816" s="67"/>
      <c r="E816" s="67"/>
      <c r="F816" s="67"/>
      <c r="G816" s="67"/>
      <c r="H816" s="67"/>
      <c r="I816" s="67"/>
      <c r="J816" s="67"/>
      <c r="K816" s="67"/>
      <c r="L816" s="67"/>
      <c r="M816" s="67"/>
      <c r="N816" s="67"/>
      <c r="O816" s="67"/>
      <c r="P816" s="67"/>
      <c r="Q816" s="67"/>
      <c r="R816" s="552"/>
    </row>
    <row r="817" spans="1:18" ht="15.75" customHeight="1" x14ac:dyDescent="0.3">
      <c r="A817" s="551"/>
      <c r="B817" s="67"/>
      <c r="C817" s="67"/>
      <c r="D817" s="67"/>
      <c r="E817" s="67"/>
      <c r="F817" s="67"/>
      <c r="G817" s="67"/>
      <c r="H817" s="67"/>
      <c r="I817" s="67"/>
      <c r="J817" s="67"/>
      <c r="K817" s="67"/>
      <c r="L817" s="67"/>
      <c r="M817" s="67"/>
      <c r="N817" s="67"/>
      <c r="O817" s="67"/>
      <c r="P817" s="67"/>
      <c r="Q817" s="67"/>
      <c r="R817" s="552"/>
    </row>
    <row r="818" spans="1:18" ht="16.5" customHeight="1" thickBot="1" x14ac:dyDescent="0.35">
      <c r="A818" s="554" t="s">
        <v>1480</v>
      </c>
      <c r="B818" s="555"/>
      <c r="C818" s="555"/>
      <c r="D818" s="555"/>
      <c r="E818" s="555"/>
      <c r="F818" s="555"/>
      <c r="G818" s="555"/>
      <c r="H818" s="555"/>
      <c r="I818" s="555"/>
      <c r="J818" s="555"/>
      <c r="K818" s="555"/>
      <c r="L818" s="555"/>
      <c r="M818" s="555"/>
      <c r="N818" s="555"/>
      <c r="O818" s="555"/>
      <c r="P818" s="555"/>
      <c r="Q818" s="555"/>
      <c r="R818" s="556"/>
    </row>
    <row r="819" spans="1:18" ht="16.5" customHeight="1" thickBot="1" x14ac:dyDescent="0.35">
      <c r="A819" s="67"/>
      <c r="B819" s="67"/>
      <c r="C819" s="67"/>
      <c r="D819" s="67"/>
      <c r="E819" s="67"/>
      <c r="F819" s="67"/>
      <c r="G819" s="67"/>
      <c r="H819" s="67"/>
      <c r="I819" s="67"/>
      <c r="J819" s="67"/>
      <c r="K819" s="67"/>
      <c r="L819" s="67"/>
      <c r="M819" s="67"/>
      <c r="N819" s="67"/>
      <c r="O819" s="67"/>
      <c r="P819" s="67"/>
      <c r="Q819" s="67"/>
      <c r="R819" s="67"/>
    </row>
    <row r="820" spans="1:18" ht="15.75" customHeight="1" x14ac:dyDescent="0.3">
      <c r="A820" s="546"/>
      <c r="B820" s="547"/>
      <c r="C820" s="547"/>
      <c r="D820" s="549" t="s">
        <v>1898</v>
      </c>
      <c r="E820" s="547"/>
      <c r="F820" s="547"/>
      <c r="G820" s="547"/>
      <c r="H820" s="547"/>
      <c r="I820" s="547"/>
      <c r="J820" s="547"/>
      <c r="K820" s="547"/>
      <c r="L820" s="547"/>
      <c r="M820" s="547"/>
      <c r="N820" s="547"/>
      <c r="O820" s="547"/>
      <c r="P820" s="547"/>
      <c r="Q820" s="549" t="str">
        <f>+Q1</f>
        <v>PRINTED:</v>
      </c>
      <c r="R820" s="550">
        <f ca="1">+R1</f>
        <v>44881.72963425926</v>
      </c>
    </row>
    <row r="821" spans="1:18" ht="15.75" customHeight="1" x14ac:dyDescent="0.3">
      <c r="A821" s="551"/>
      <c r="B821" s="67"/>
      <c r="C821" s="67"/>
      <c r="D821" s="67"/>
      <c r="E821" s="67" t="s">
        <v>852</v>
      </c>
      <c r="F821" s="69" t="str">
        <f>+A9</f>
        <v>Revised:  1/22/2013</v>
      </c>
      <c r="G821" s="67"/>
      <c r="H821" s="67"/>
      <c r="I821" s="67"/>
      <c r="J821" s="67"/>
      <c r="K821" s="67"/>
      <c r="L821" s="67"/>
      <c r="M821" s="67"/>
      <c r="N821" s="67"/>
      <c r="O821" s="67"/>
      <c r="P821" s="67"/>
      <c r="Q821" s="67"/>
      <c r="R821" s="552"/>
    </row>
    <row r="822" spans="1:18" ht="15.75" customHeight="1" x14ac:dyDescent="0.3">
      <c r="A822" s="551"/>
      <c r="B822" s="67"/>
      <c r="C822" s="67"/>
      <c r="D822" s="67" t="s">
        <v>2545</v>
      </c>
      <c r="E822" s="67"/>
      <c r="F822" s="67"/>
      <c r="G822" s="67"/>
      <c r="H822" s="67"/>
      <c r="I822" s="67"/>
      <c r="J822" s="67"/>
      <c r="K822" s="67"/>
      <c r="L822" s="67"/>
      <c r="M822" s="67"/>
      <c r="N822" s="67"/>
      <c r="O822" s="67"/>
      <c r="P822" s="67"/>
      <c r="Q822" s="67"/>
      <c r="R822" s="552"/>
    </row>
    <row r="823" spans="1:18" ht="15.75" customHeight="1" x14ac:dyDescent="0.3">
      <c r="A823" s="551"/>
      <c r="B823" s="67"/>
      <c r="C823" s="67"/>
      <c r="D823" s="67"/>
      <c r="E823" s="67"/>
      <c r="F823" s="67"/>
      <c r="G823" s="67"/>
      <c r="H823" s="67"/>
      <c r="I823" s="67"/>
      <c r="J823" s="67"/>
      <c r="K823" s="67"/>
      <c r="L823" s="67"/>
      <c r="M823" s="67"/>
      <c r="N823" s="67"/>
      <c r="O823" s="67"/>
      <c r="P823" s="67"/>
      <c r="Q823" s="67"/>
      <c r="R823" s="552"/>
    </row>
    <row r="824" spans="1:18" ht="15.75" customHeight="1" x14ac:dyDescent="0.3">
      <c r="A824" s="551"/>
      <c r="B824" s="67"/>
      <c r="C824" s="67"/>
      <c r="D824" s="67"/>
      <c r="E824" s="67" t="str">
        <f>+A5</f>
        <v>Calendar Year 2012</v>
      </c>
      <c r="F824" s="67"/>
      <c r="G824" s="67"/>
      <c r="H824" s="67"/>
      <c r="I824" s="67"/>
      <c r="J824" s="67"/>
      <c r="K824" s="67"/>
      <c r="L824" s="67"/>
      <c r="M824" s="67"/>
      <c r="N824" s="67"/>
      <c r="O824" s="67"/>
      <c r="P824" s="67"/>
      <c r="Q824" s="67"/>
      <c r="R824" s="552"/>
    </row>
    <row r="825" spans="1:18" ht="15.75" customHeight="1" x14ac:dyDescent="0.3">
      <c r="A825" s="551"/>
      <c r="B825" s="67"/>
      <c r="C825" s="67"/>
      <c r="D825" s="67"/>
      <c r="E825" s="67" t="s">
        <v>1271</v>
      </c>
      <c r="F825" s="67"/>
      <c r="G825" s="67"/>
      <c r="H825" s="67"/>
      <c r="I825" s="67"/>
      <c r="J825" s="67"/>
      <c r="K825" s="67"/>
      <c r="L825" s="67"/>
      <c r="M825" s="67"/>
      <c r="N825" s="67"/>
      <c r="O825" s="67"/>
      <c r="P825" s="67"/>
      <c r="Q825" s="67"/>
      <c r="R825" s="552"/>
    </row>
    <row r="826" spans="1:18" ht="15.75" customHeight="1" x14ac:dyDescent="0.3">
      <c r="A826" s="551"/>
      <c r="B826" s="67"/>
      <c r="C826" s="67"/>
      <c r="D826" s="67"/>
      <c r="E826" s="67"/>
      <c r="F826" s="67"/>
      <c r="G826" s="67"/>
      <c r="H826" s="67"/>
      <c r="I826" s="67"/>
      <c r="J826" s="67"/>
      <c r="K826" s="67"/>
      <c r="L826" s="67"/>
      <c r="M826" s="67"/>
      <c r="N826" s="67"/>
      <c r="O826" s="67"/>
      <c r="P826" s="67"/>
      <c r="Q826" s="67"/>
      <c r="R826" s="552"/>
    </row>
    <row r="827" spans="1:18" ht="15.75" customHeight="1" x14ac:dyDescent="0.3">
      <c r="A827" s="551" t="s">
        <v>1307</v>
      </c>
      <c r="B827" s="70" t="s">
        <v>1308</v>
      </c>
      <c r="C827" s="70" t="s">
        <v>1309</v>
      </c>
      <c r="D827" s="70" t="s">
        <v>1029</v>
      </c>
      <c r="E827" s="70" t="s">
        <v>1030</v>
      </c>
      <c r="F827" s="70" t="s">
        <v>284</v>
      </c>
      <c r="G827" s="70" t="s">
        <v>284</v>
      </c>
      <c r="H827" s="70" t="s">
        <v>285</v>
      </c>
      <c r="I827" s="70" t="s">
        <v>286</v>
      </c>
      <c r="J827" s="70" t="s">
        <v>287</v>
      </c>
      <c r="K827" s="70" t="s">
        <v>288</v>
      </c>
      <c r="L827" s="70" t="s">
        <v>289</v>
      </c>
      <c r="M827" s="70" t="s">
        <v>633</v>
      </c>
      <c r="N827" s="70" t="s">
        <v>634</v>
      </c>
      <c r="O827" s="70" t="s">
        <v>1192</v>
      </c>
      <c r="P827" s="70" t="s">
        <v>524</v>
      </c>
      <c r="Q827" s="70" t="s">
        <v>525</v>
      </c>
      <c r="R827" s="552"/>
    </row>
    <row r="828" spans="1:18" ht="15.75" customHeight="1" x14ac:dyDescent="0.3">
      <c r="A828" s="551" t="s">
        <v>526</v>
      </c>
      <c r="B828" s="67"/>
      <c r="C828" s="67"/>
      <c r="D828" s="67"/>
      <c r="E828" s="67"/>
      <c r="F828" s="70" t="s">
        <v>1193</v>
      </c>
      <c r="G828" s="70" t="s">
        <v>1194</v>
      </c>
      <c r="H828" s="67"/>
      <c r="I828" s="67"/>
      <c r="J828" s="67"/>
      <c r="K828" s="67"/>
      <c r="L828" s="67"/>
      <c r="M828" s="67"/>
      <c r="N828" s="67"/>
      <c r="O828" s="67"/>
      <c r="P828" s="67"/>
      <c r="Q828" s="67"/>
      <c r="R828" s="552"/>
    </row>
    <row r="829" spans="1:18" ht="15.75" customHeight="1" x14ac:dyDescent="0.3">
      <c r="A829" s="551" t="s">
        <v>1195</v>
      </c>
      <c r="B829" s="67">
        <v>957</v>
      </c>
      <c r="C829" s="67">
        <v>122</v>
      </c>
      <c r="D829" s="67">
        <v>128</v>
      </c>
      <c r="E829" s="67">
        <v>219</v>
      </c>
      <c r="F829" s="67"/>
      <c r="G829" s="67"/>
      <c r="H829" s="67">
        <v>97</v>
      </c>
      <c r="I829" s="67">
        <v>167</v>
      </c>
      <c r="J829" s="67">
        <v>247</v>
      </c>
      <c r="K829" s="67">
        <v>260</v>
      </c>
      <c r="L829" s="67">
        <v>122</v>
      </c>
      <c r="M829" s="67">
        <v>122</v>
      </c>
      <c r="N829" s="67">
        <v>275</v>
      </c>
      <c r="O829" s="67">
        <v>191</v>
      </c>
      <c r="P829" s="67">
        <v>325</v>
      </c>
      <c r="Q829" s="67">
        <v>503</v>
      </c>
      <c r="R829" s="552"/>
    </row>
    <row r="830" spans="1:18" ht="15.75" customHeight="1" x14ac:dyDescent="0.3">
      <c r="A830" s="551"/>
      <c r="B830" s="74" t="s">
        <v>1353</v>
      </c>
      <c r="C830" s="74" t="s">
        <v>1353</v>
      </c>
      <c r="D830" s="74" t="s">
        <v>1353</v>
      </c>
      <c r="E830" s="74" t="s">
        <v>1353</v>
      </c>
      <c r="F830" s="74" t="s">
        <v>1353</v>
      </c>
      <c r="G830" s="74" t="s">
        <v>1353</v>
      </c>
      <c r="H830" s="74" t="s">
        <v>1353</v>
      </c>
      <c r="I830" s="74" t="s">
        <v>1353</v>
      </c>
      <c r="J830" s="74" t="s">
        <v>1353</v>
      </c>
      <c r="K830" s="74" t="s">
        <v>1353</v>
      </c>
      <c r="L830" s="74" t="s">
        <v>1353</v>
      </c>
      <c r="M830" s="74" t="s">
        <v>1353</v>
      </c>
      <c r="N830" s="74" t="s">
        <v>1353</v>
      </c>
      <c r="O830" s="74" t="s">
        <v>1353</v>
      </c>
      <c r="P830" s="74" t="s">
        <v>1353</v>
      </c>
      <c r="Q830" s="74" t="s">
        <v>1353</v>
      </c>
      <c r="R830" s="552"/>
    </row>
    <row r="831" spans="1:18" ht="15.75" customHeight="1" x14ac:dyDescent="0.3">
      <c r="A831" s="553" t="s">
        <v>1354</v>
      </c>
      <c r="B831" s="67">
        <f>(B773/31/1.983)</f>
        <v>2985.9125144372324</v>
      </c>
      <c r="C831" s="67">
        <f>(C773/31/1.983)</f>
        <v>2984.334585915768</v>
      </c>
      <c r="D831" s="67">
        <f t="shared" ref="D831:O831" si="122">(D773/31/1.9833)</f>
        <v>2982.3217413792263</v>
      </c>
      <c r="E831" s="67">
        <f t="shared" si="122"/>
        <v>2732.6401256947124</v>
      </c>
      <c r="F831" s="67">
        <f>(F773/31/1.9833)</f>
        <v>1808.9596518022258</v>
      </c>
      <c r="G831" s="67">
        <f t="shared" si="122"/>
        <v>0</v>
      </c>
      <c r="H831" s="67">
        <f t="shared" si="122"/>
        <v>647.17813094175062</v>
      </c>
      <c r="I831" s="67">
        <f t="shared" si="122"/>
        <v>333.80338731634959</v>
      </c>
      <c r="J831" s="67">
        <f t="shared" si="122"/>
        <v>333.65700372302274</v>
      </c>
      <c r="K831" s="67">
        <f t="shared" si="122"/>
        <v>322.4993209427754</v>
      </c>
      <c r="L831" s="67">
        <f t="shared" si="122"/>
        <v>251.03159771186179</v>
      </c>
      <c r="M831" s="67">
        <f t="shared" si="122"/>
        <v>250.7063008378021</v>
      </c>
      <c r="N831" s="67">
        <f t="shared" si="122"/>
        <v>250.54365240077223</v>
      </c>
      <c r="O831" s="67">
        <f t="shared" si="122"/>
        <v>42.174739721838641</v>
      </c>
      <c r="P831" s="67">
        <f>(P773/31/1.983)</f>
        <v>84.183299985359426</v>
      </c>
      <c r="Q831" s="67">
        <f>(Q773/31/1.983)</f>
        <v>42.148585557887202</v>
      </c>
      <c r="R831" s="552"/>
    </row>
    <row r="832" spans="1:18" ht="15.75" customHeight="1" x14ac:dyDescent="0.3">
      <c r="A832" s="553" t="s">
        <v>706</v>
      </c>
      <c r="B832" s="67">
        <f>(B774/29/1.983)</f>
        <v>2926.113342723494</v>
      </c>
      <c r="C832" s="67">
        <f t="shared" ref="C832:Q832" si="123">(C774/29/1.983)</f>
        <v>2923.5397429878103</v>
      </c>
      <c r="D832" s="67">
        <f t="shared" si="123"/>
        <v>2921.0009216269323</v>
      </c>
      <c r="E832" s="67">
        <f t="shared" si="123"/>
        <v>2594.9710470029736</v>
      </c>
      <c r="F832" s="67">
        <f t="shared" si="123"/>
        <v>1175.1786739005686</v>
      </c>
      <c r="G832" s="67">
        <f t="shared" si="123"/>
        <v>0</v>
      </c>
      <c r="H832" s="67">
        <f t="shared" si="123"/>
        <v>1045.4553358721546</v>
      </c>
      <c r="I832" s="67">
        <f t="shared" si="123"/>
        <v>421.87907559079764</v>
      </c>
      <c r="J832" s="67">
        <f t="shared" si="123"/>
        <v>416.64493018241257</v>
      </c>
      <c r="K832" s="67">
        <f t="shared" si="123"/>
        <v>409.81097953292641</v>
      </c>
      <c r="L832" s="67">
        <f t="shared" si="123"/>
        <v>321.03917783921958</v>
      </c>
      <c r="M832" s="67">
        <f t="shared" si="123"/>
        <v>320.65661571634752</v>
      </c>
      <c r="N832" s="67">
        <f t="shared" si="123"/>
        <v>320.46533465491154</v>
      </c>
      <c r="O832" s="67">
        <f t="shared" si="123"/>
        <v>77.799224442241808</v>
      </c>
      <c r="P832" s="67">
        <f t="shared" si="123"/>
        <v>94.23200653833446</v>
      </c>
      <c r="Q832" s="67">
        <f t="shared" si="123"/>
        <v>77.747056880031991</v>
      </c>
      <c r="R832" s="552"/>
    </row>
    <row r="833" spans="1:19" ht="15.75" customHeight="1" x14ac:dyDescent="0.3">
      <c r="A833" s="553" t="s">
        <v>707</v>
      </c>
      <c r="B833" s="67">
        <f t="shared" ref="B833:Q833" si="124">(B775/31/1.983)</f>
        <v>3050.4774453825253</v>
      </c>
      <c r="C833" s="67">
        <f t="shared" si="124"/>
        <v>3046.0202039919964</v>
      </c>
      <c r="D833" s="67">
        <f t="shared" si="124"/>
        <v>3041.5141606884322</v>
      </c>
      <c r="E833" s="67">
        <f t="shared" si="124"/>
        <v>2698.1601678785805</v>
      </c>
      <c r="F833" s="67">
        <f t="shared" si="124"/>
        <v>722.21951100483136</v>
      </c>
      <c r="G833" s="67">
        <f t="shared" si="124"/>
        <v>0</v>
      </c>
      <c r="H833" s="67">
        <f t="shared" si="124"/>
        <v>1495.4858230442633</v>
      </c>
      <c r="I833" s="67">
        <f t="shared" si="124"/>
        <v>424.54410879573146</v>
      </c>
      <c r="J833" s="67">
        <f t="shared" si="124"/>
        <v>424.10489157841653</v>
      </c>
      <c r="K833" s="67">
        <f t="shared" si="124"/>
        <v>416.99607957965281</v>
      </c>
      <c r="L833" s="67">
        <f t="shared" si="124"/>
        <v>326.30585785629466</v>
      </c>
      <c r="M833" s="67">
        <f t="shared" si="124"/>
        <v>325.8503733346347</v>
      </c>
      <c r="N833" s="67">
        <f t="shared" si="124"/>
        <v>321.05151855286056</v>
      </c>
      <c r="O833" s="67">
        <f t="shared" si="124"/>
        <v>77.969189725570573</v>
      </c>
      <c r="P833" s="67">
        <f t="shared" si="124"/>
        <v>94.025019114082596</v>
      </c>
      <c r="Q833" s="67">
        <f t="shared" si="124"/>
        <v>77.88785320384558</v>
      </c>
      <c r="R833" s="552"/>
    </row>
    <row r="834" spans="1:19" ht="15.75" customHeight="1" x14ac:dyDescent="0.3">
      <c r="A834" s="553" t="s">
        <v>1321</v>
      </c>
      <c r="B834" s="67">
        <f t="shared" ref="B834:Q834" si="125">(B776/30/1.983)</f>
        <v>3049.319213313162</v>
      </c>
      <c r="C834" s="67">
        <f t="shared" si="125"/>
        <v>3043.1501092620606</v>
      </c>
      <c r="D834" s="67">
        <f t="shared" si="125"/>
        <v>3036.2750042023868</v>
      </c>
      <c r="E834" s="67">
        <f t="shared" si="125"/>
        <v>2894.8058497226421</v>
      </c>
      <c r="F834" s="67">
        <f t="shared" si="125"/>
        <v>115.71692721465791</v>
      </c>
      <c r="G834" s="67">
        <f>(G776/30/1.983)</f>
        <v>-71.289292318036644</v>
      </c>
      <c r="H834" s="67">
        <f t="shared" si="125"/>
        <v>2276.3993948562784</v>
      </c>
      <c r="I834" s="67">
        <f t="shared" si="125"/>
        <v>539.48562783661112</v>
      </c>
      <c r="J834" s="67">
        <f t="shared" si="125"/>
        <v>529.09732728189613</v>
      </c>
      <c r="K834" s="67">
        <f t="shared" si="125"/>
        <v>431.98856950748024</v>
      </c>
      <c r="L834" s="67">
        <f t="shared" si="125"/>
        <v>349.52092788703982</v>
      </c>
      <c r="M834" s="67">
        <f t="shared" si="125"/>
        <v>348.89897461758278</v>
      </c>
      <c r="N834" s="67">
        <f t="shared" si="125"/>
        <v>313.71659102370148</v>
      </c>
      <c r="O834" s="67">
        <f t="shared" si="125"/>
        <v>54.91679273827534</v>
      </c>
      <c r="P834" s="67">
        <f t="shared" si="125"/>
        <v>102.21886031265758</v>
      </c>
      <c r="Q834" s="67">
        <f t="shared" si="125"/>
        <v>54.193982181879306</v>
      </c>
      <c r="R834" s="552"/>
    </row>
    <row r="835" spans="1:19" ht="15.75" customHeight="1" x14ac:dyDescent="0.3">
      <c r="A835" s="553" t="s">
        <v>1905</v>
      </c>
      <c r="B835" s="67">
        <f t="shared" ref="B835:Q835" si="126">(B777/31/1.983)</f>
        <v>2937.7450262716966</v>
      </c>
      <c r="C835" s="67">
        <f t="shared" si="126"/>
        <v>2930.8314219250728</v>
      </c>
      <c r="D835" s="67">
        <f t="shared" si="126"/>
        <v>2921.6891968831846</v>
      </c>
      <c r="E835" s="67">
        <f t="shared" si="126"/>
        <v>2785.0438403852099</v>
      </c>
      <c r="F835" s="67">
        <f t="shared" si="126"/>
        <v>24.368421908805491</v>
      </c>
      <c r="G835" s="67">
        <f t="shared" si="126"/>
        <v>-317.2937712491663</v>
      </c>
      <c r="H835" s="67">
        <f t="shared" si="126"/>
        <v>2380.5247832381697</v>
      </c>
      <c r="I835" s="67">
        <f t="shared" si="126"/>
        <v>567.28970442308002</v>
      </c>
      <c r="J835" s="67">
        <f t="shared" si="126"/>
        <v>510.27280269386557</v>
      </c>
      <c r="K835" s="67">
        <f t="shared" si="126"/>
        <v>399.47619280009104</v>
      </c>
      <c r="L835" s="67">
        <f t="shared" si="126"/>
        <v>361.67097750231812</v>
      </c>
      <c r="M835" s="67">
        <f t="shared" si="126"/>
        <v>360.98775071982823</v>
      </c>
      <c r="N835" s="67">
        <f t="shared" si="126"/>
        <v>325.78530411725473</v>
      </c>
      <c r="O835" s="67">
        <f t="shared" si="126"/>
        <v>81.970946594439837</v>
      </c>
      <c r="P835" s="67">
        <f t="shared" si="126"/>
        <v>106.92499145966521</v>
      </c>
      <c r="Q835" s="67">
        <f t="shared" si="126"/>
        <v>81.401590942364933</v>
      </c>
      <c r="R835" s="552"/>
    </row>
    <row r="836" spans="1:19" ht="15.75" customHeight="1" x14ac:dyDescent="0.3">
      <c r="A836" s="553" t="s">
        <v>1906</v>
      </c>
      <c r="B836" s="67">
        <f t="shared" ref="B836:Q836" si="127">(B778/30/1.983)</f>
        <v>2205.3622457555894</v>
      </c>
      <c r="C836" s="67">
        <f t="shared" si="127"/>
        <v>2198.3526643133296</v>
      </c>
      <c r="D836" s="67">
        <f t="shared" si="127"/>
        <v>2190.2000336190958</v>
      </c>
      <c r="E836" s="67">
        <f t="shared" si="127"/>
        <v>2056.7826525466462</v>
      </c>
      <c r="F836" s="67">
        <f t="shared" si="127"/>
        <v>0</v>
      </c>
      <c r="G836" s="67">
        <f t="shared" si="127"/>
        <v>-1337.5357202891241</v>
      </c>
      <c r="H836" s="67">
        <f t="shared" si="127"/>
        <v>2852.8660279038495</v>
      </c>
      <c r="I836" s="67">
        <f t="shared" si="127"/>
        <v>681.08925869894097</v>
      </c>
      <c r="J836" s="67">
        <f t="shared" si="127"/>
        <v>463.74180534543621</v>
      </c>
      <c r="K836" s="67">
        <f t="shared" si="127"/>
        <v>336.98100521095984</v>
      </c>
      <c r="L836" s="67">
        <f t="shared" si="127"/>
        <v>302.47100353000502</v>
      </c>
      <c r="M836" s="67">
        <f t="shared" si="127"/>
        <v>301.73138342578585</v>
      </c>
      <c r="N836" s="67">
        <f t="shared" si="127"/>
        <v>261.253992267608</v>
      </c>
      <c r="O836" s="67">
        <f t="shared" si="127"/>
        <v>47.554210791729702</v>
      </c>
      <c r="P836" s="67">
        <f t="shared" si="127"/>
        <v>106.1354849554547</v>
      </c>
      <c r="Q836" s="67">
        <f t="shared" si="127"/>
        <v>47.033114809211632</v>
      </c>
      <c r="R836" s="552"/>
    </row>
    <row r="837" spans="1:19" ht="15.75" customHeight="1" x14ac:dyDescent="0.3">
      <c r="A837" s="553" t="s">
        <v>1907</v>
      </c>
      <c r="B837" s="67">
        <f t="shared" ref="B837:Q837" si="128">(B779/31/1.983)</f>
        <v>650.36682771297967</v>
      </c>
      <c r="C837" s="67">
        <f t="shared" si="128"/>
        <v>643.59962910546085</v>
      </c>
      <c r="D837" s="67">
        <f t="shared" si="128"/>
        <v>635.98653067200235</v>
      </c>
      <c r="E837" s="67">
        <f t="shared" si="128"/>
        <v>490.68696826248919</v>
      </c>
      <c r="F837" s="67">
        <f t="shared" si="128"/>
        <v>0</v>
      </c>
      <c r="G837" s="67">
        <f t="shared" si="128"/>
        <v>-2233.7611634376067</v>
      </c>
      <c r="H837" s="67">
        <f t="shared" si="128"/>
        <v>2188.0337709238202</v>
      </c>
      <c r="I837" s="67">
        <f t="shared" si="128"/>
        <v>631.65942771623304</v>
      </c>
      <c r="J837" s="67">
        <f t="shared" si="128"/>
        <v>448.00156166121707</v>
      </c>
      <c r="K837" s="67">
        <f t="shared" si="128"/>
        <v>305.15836220779852</v>
      </c>
      <c r="L837" s="67">
        <f t="shared" si="128"/>
        <v>277.95942934296357</v>
      </c>
      <c r="M837" s="67">
        <f t="shared" si="128"/>
        <v>277.32500447350867</v>
      </c>
      <c r="N837" s="67">
        <f t="shared" si="128"/>
        <v>228.27908187334276</v>
      </c>
      <c r="O837" s="67">
        <f t="shared" si="128"/>
        <v>57.439851642184372</v>
      </c>
      <c r="P837" s="67">
        <f t="shared" si="128"/>
        <v>104.68010346005563</v>
      </c>
      <c r="Q837" s="67">
        <f t="shared" si="128"/>
        <v>56.1872692076196</v>
      </c>
      <c r="R837" s="552"/>
    </row>
    <row r="838" spans="1:19" ht="15.75" customHeight="1" x14ac:dyDescent="0.3">
      <c r="A838" s="553" t="s">
        <v>1908</v>
      </c>
      <c r="B838" s="67">
        <f t="shared" ref="B838:Q838" si="129">(B780/31/1.983)</f>
        <v>1408.6834870593593</v>
      </c>
      <c r="C838" s="67">
        <f t="shared" si="129"/>
        <v>1403.2502074081303</v>
      </c>
      <c r="D838" s="67">
        <f t="shared" si="129"/>
        <v>1397.1987701917915</v>
      </c>
      <c r="E838" s="67">
        <f t="shared" si="129"/>
        <v>1242.36656743611</v>
      </c>
      <c r="F838" s="67">
        <f t="shared" si="129"/>
        <v>0</v>
      </c>
      <c r="G838" s="67">
        <f t="shared" si="129"/>
        <v>-1536.7722414718658</v>
      </c>
      <c r="H838" s="67">
        <f t="shared" si="129"/>
        <v>2193.8249312706389</v>
      </c>
      <c r="I838" s="67">
        <f t="shared" si="129"/>
        <v>753.95702178192039</v>
      </c>
      <c r="J838" s="67">
        <f t="shared" si="129"/>
        <v>465.47264652774385</v>
      </c>
      <c r="K838" s="67">
        <f t="shared" si="129"/>
        <v>318.62769020545608</v>
      </c>
      <c r="L838" s="67">
        <f t="shared" si="129"/>
        <v>269.85831177915509</v>
      </c>
      <c r="M838" s="67">
        <f t="shared" si="129"/>
        <v>269.27268882273518</v>
      </c>
      <c r="N838" s="67">
        <f t="shared" si="129"/>
        <v>234.78600361134156</v>
      </c>
      <c r="O838" s="67">
        <f t="shared" si="129"/>
        <v>50.428643469490666</v>
      </c>
      <c r="P838" s="67">
        <f t="shared" si="129"/>
        <v>38.439640167227886</v>
      </c>
      <c r="Q838" s="67">
        <f t="shared" si="129"/>
        <v>50.331039643420688</v>
      </c>
      <c r="R838" s="552"/>
    </row>
    <row r="839" spans="1:19" ht="15.75" customHeight="1" x14ac:dyDescent="0.3">
      <c r="A839" s="553" t="s">
        <v>2352</v>
      </c>
      <c r="B839" s="67">
        <f>(B781/30/1.983)</f>
        <v>2309.295679946209</v>
      </c>
      <c r="C839" s="67">
        <f t="shared" ref="C839:Q839" si="130">(C781/30/1.983)</f>
        <v>2303.9838628340899</v>
      </c>
      <c r="D839" s="67">
        <f t="shared" si="130"/>
        <v>2296.6212808875439</v>
      </c>
      <c r="E839" s="67">
        <f t="shared" si="130"/>
        <v>2173.1887712220541</v>
      </c>
      <c r="F839" s="67">
        <f t="shared" si="130"/>
        <v>77.794587325600943</v>
      </c>
      <c r="G839" s="67">
        <f t="shared" si="130"/>
        <v>-107.22810556396033</v>
      </c>
      <c r="H839" s="67">
        <f t="shared" si="130"/>
        <v>1712.4054462934946</v>
      </c>
      <c r="I839" s="67">
        <f t="shared" si="130"/>
        <v>603.31148092116314</v>
      </c>
      <c r="J839" s="67">
        <f t="shared" si="130"/>
        <v>449.3864515044545</v>
      </c>
      <c r="K839" s="67">
        <f t="shared" si="130"/>
        <v>360.32946713733395</v>
      </c>
      <c r="L839" s="67">
        <f t="shared" si="130"/>
        <v>271.67591191796942</v>
      </c>
      <c r="M839" s="67">
        <f t="shared" si="130"/>
        <v>271.10438729198182</v>
      </c>
      <c r="N839" s="67">
        <f t="shared" si="130"/>
        <v>251.94150277357539</v>
      </c>
      <c r="O839" s="67">
        <f t="shared" si="130"/>
        <v>68.398050092452507</v>
      </c>
      <c r="P839" s="67">
        <f t="shared" si="130"/>
        <v>76.348966212808875</v>
      </c>
      <c r="Q839" s="67">
        <f t="shared" si="130"/>
        <v>67.910573205580761</v>
      </c>
      <c r="R839" s="552"/>
    </row>
    <row r="840" spans="1:19" ht="15.75" customHeight="1" x14ac:dyDescent="0.3">
      <c r="A840" s="553" t="s">
        <v>2353</v>
      </c>
      <c r="B840" s="67">
        <f t="shared" ref="B840:Q840" si="131">(B782/31/1.983)</f>
        <v>520.32599677907365</v>
      </c>
      <c r="C840" s="67">
        <f t="shared" si="131"/>
        <v>515.68981504074952</v>
      </c>
      <c r="D840" s="67">
        <f t="shared" si="131"/>
        <v>510.85842565028543</v>
      </c>
      <c r="E840" s="67">
        <f t="shared" si="131"/>
        <v>441.83625331446325</v>
      </c>
      <c r="F840" s="67">
        <f t="shared" si="131"/>
        <v>161.40419371106015</v>
      </c>
      <c r="G840" s="67">
        <f t="shared" si="131"/>
        <v>-1383.778244107169</v>
      </c>
      <c r="H840" s="67">
        <f t="shared" si="131"/>
        <v>1195.6143347485888</v>
      </c>
      <c r="I840" s="67">
        <f t="shared" si="131"/>
        <v>314.56086411920677</v>
      </c>
      <c r="J840" s="67">
        <f t="shared" si="131"/>
        <v>262.89590551949635</v>
      </c>
      <c r="K840" s="67">
        <f t="shared" si="131"/>
        <v>232.19950222048703</v>
      </c>
      <c r="L840" s="67">
        <f t="shared" si="131"/>
        <v>182.92583735949114</v>
      </c>
      <c r="M840" s="67">
        <f t="shared" si="131"/>
        <v>182.45408553348625</v>
      </c>
      <c r="N840" s="67">
        <f t="shared" si="131"/>
        <v>176.14237144762743</v>
      </c>
      <c r="O840" s="67">
        <f t="shared" si="131"/>
        <v>52.413254599580299</v>
      </c>
      <c r="P840" s="67">
        <f t="shared" si="131"/>
        <v>94.6269093748475</v>
      </c>
      <c r="Q840" s="67">
        <f t="shared" si="131"/>
        <v>52.039106599645365</v>
      </c>
      <c r="R840" s="552"/>
    </row>
    <row r="841" spans="1:19" ht="15.75" customHeight="1" x14ac:dyDescent="0.3">
      <c r="A841" s="553" t="s">
        <v>2354</v>
      </c>
      <c r="B841" s="67">
        <f t="shared" ref="B841:Q841" si="132">(B783/30/1.983)</f>
        <v>2912.9265422760127</v>
      </c>
      <c r="C841" s="67">
        <f t="shared" si="132"/>
        <v>2908.9762985375692</v>
      </c>
      <c r="D841" s="67">
        <f t="shared" si="132"/>
        <v>2904.521768364431</v>
      </c>
      <c r="E841" s="67">
        <f t="shared" si="132"/>
        <v>2853.4879811733063</v>
      </c>
      <c r="F841" s="67">
        <f t="shared" si="132"/>
        <v>1836.207766011094</v>
      </c>
      <c r="G841" s="67">
        <f t="shared" si="132"/>
        <v>0</v>
      </c>
      <c r="H841" s="67">
        <f t="shared" si="132"/>
        <v>580.95478231635559</v>
      </c>
      <c r="I841" s="67">
        <f t="shared" si="132"/>
        <v>173.17196167423094</v>
      </c>
      <c r="J841" s="67">
        <f t="shared" si="132"/>
        <v>160.31265758951082</v>
      </c>
      <c r="K841" s="67">
        <f t="shared" si="132"/>
        <v>150.17650025214323</v>
      </c>
      <c r="L841" s="67">
        <f t="shared" si="132"/>
        <v>122.17179357875273</v>
      </c>
      <c r="M841" s="67">
        <f t="shared" si="132"/>
        <v>121.78517397881997</v>
      </c>
      <c r="N841" s="67">
        <f t="shared" si="132"/>
        <v>118.67540763153471</v>
      </c>
      <c r="O841" s="67">
        <f t="shared" si="132"/>
        <v>33.938477054967215</v>
      </c>
      <c r="P841" s="67">
        <f t="shared" si="132"/>
        <v>91.595226088418215</v>
      </c>
      <c r="Q841" s="67">
        <f t="shared" si="132"/>
        <v>33.669524289796605</v>
      </c>
      <c r="R841" s="552"/>
    </row>
    <row r="842" spans="1:19" ht="16.5" customHeight="1" thickBot="1" x14ac:dyDescent="0.35">
      <c r="A842" s="558" t="s">
        <v>2355</v>
      </c>
      <c r="B842" s="555">
        <f t="shared" ref="B842:Q842" si="133">(B784/31/1.983)</f>
        <v>2179.4934361426967</v>
      </c>
      <c r="C842" s="555">
        <f t="shared" si="133"/>
        <v>2176.4677175345273</v>
      </c>
      <c r="D842" s="555">
        <f t="shared" si="133"/>
        <v>2173.5558700567726</v>
      </c>
      <c r="E842" s="555">
        <f t="shared" si="133"/>
        <v>2077.1558245083211</v>
      </c>
      <c r="F842" s="555">
        <f t="shared" si="133"/>
        <v>917.23195549265517</v>
      </c>
      <c r="G842" s="555">
        <f t="shared" si="133"/>
        <v>0</v>
      </c>
      <c r="H842" s="555">
        <f t="shared" si="133"/>
        <v>815.05701690172941</v>
      </c>
      <c r="I842" s="555">
        <f t="shared" si="133"/>
        <v>335.98490394156784</v>
      </c>
      <c r="J842" s="555">
        <f t="shared" si="133"/>
        <v>329.02249768190916</v>
      </c>
      <c r="K842" s="555">
        <f t="shared" si="133"/>
        <v>286.85764481967692</v>
      </c>
      <c r="L842" s="555">
        <f t="shared" si="133"/>
        <v>237.35623769785107</v>
      </c>
      <c r="M842" s="555">
        <f t="shared" si="133"/>
        <v>237.04715891529614</v>
      </c>
      <c r="N842" s="555">
        <f t="shared" si="133"/>
        <v>230.81678135116229</v>
      </c>
      <c r="O842" s="555">
        <f t="shared" si="133"/>
        <v>56.268605729344586</v>
      </c>
      <c r="P842" s="555">
        <f t="shared" si="133"/>
        <v>91.178240853708132</v>
      </c>
      <c r="Q842" s="555">
        <f t="shared" si="133"/>
        <v>55.585378946854711</v>
      </c>
      <c r="R842" s="556"/>
    </row>
    <row r="843" spans="1:19" ht="16.5" customHeight="1" thickBot="1" x14ac:dyDescent="0.35">
      <c r="A843" s="67"/>
      <c r="B843" s="67"/>
      <c r="C843" s="67"/>
      <c r="D843" s="67"/>
      <c r="E843" s="67"/>
      <c r="F843" s="67"/>
      <c r="G843" s="67"/>
      <c r="H843" s="67"/>
      <c r="I843" s="67"/>
      <c r="J843" s="67"/>
      <c r="K843" s="67"/>
      <c r="L843" s="67"/>
      <c r="M843" s="67"/>
      <c r="N843" s="67"/>
      <c r="O843" s="67"/>
      <c r="P843" s="67"/>
      <c r="Q843" s="67"/>
      <c r="R843" s="67"/>
    </row>
    <row r="844" spans="1:19" ht="15.75" customHeight="1" x14ac:dyDescent="0.3">
      <c r="A844" s="546"/>
      <c r="B844" s="547"/>
      <c r="C844" s="547"/>
      <c r="D844" s="549" t="s">
        <v>1198</v>
      </c>
      <c r="E844" s="547"/>
      <c r="F844" s="547"/>
      <c r="G844" s="547"/>
      <c r="H844" s="547"/>
      <c r="I844" s="547"/>
      <c r="J844" s="547"/>
      <c r="K844" s="547"/>
      <c r="L844" s="547"/>
      <c r="M844" s="547"/>
      <c r="N844" s="547"/>
      <c r="O844" s="547"/>
      <c r="P844" s="547"/>
      <c r="Q844" s="549" t="str">
        <f>+Q1</f>
        <v>PRINTED:</v>
      </c>
      <c r="R844" s="559">
        <f ca="1">+R1</f>
        <v>44881.72963425926</v>
      </c>
      <c r="S844" s="560"/>
    </row>
    <row r="845" spans="1:19" ht="15.75" customHeight="1" x14ac:dyDescent="0.3">
      <c r="A845" s="551"/>
      <c r="B845" s="67"/>
      <c r="C845" s="67"/>
      <c r="D845" s="67"/>
      <c r="E845" s="67" t="s">
        <v>852</v>
      </c>
      <c r="F845" s="69" t="str">
        <f>+A9</f>
        <v>Revised:  1/22/2013</v>
      </c>
      <c r="G845" s="67"/>
      <c r="H845" s="67"/>
      <c r="I845" s="67"/>
      <c r="J845" s="67"/>
      <c r="K845" s="67"/>
      <c r="L845" s="67"/>
      <c r="M845" s="67"/>
      <c r="N845" s="67"/>
      <c r="O845" s="67"/>
      <c r="P845" s="67"/>
      <c r="Q845" s="67"/>
      <c r="R845" s="67"/>
      <c r="S845" s="561"/>
    </row>
    <row r="846" spans="1:19" ht="15.75" customHeight="1" x14ac:dyDescent="0.3">
      <c r="A846" s="551"/>
      <c r="B846" s="67"/>
      <c r="C846" s="67"/>
      <c r="D846" s="67" t="s">
        <v>2545</v>
      </c>
      <c r="E846" s="67"/>
      <c r="F846" s="67"/>
      <c r="G846" s="67"/>
      <c r="H846" s="67"/>
      <c r="I846" s="67"/>
      <c r="J846" s="67"/>
      <c r="K846" s="67"/>
      <c r="L846" s="67"/>
      <c r="M846" s="67"/>
      <c r="N846" s="67"/>
      <c r="O846" s="67"/>
      <c r="P846" s="67"/>
      <c r="Q846" s="67"/>
      <c r="R846" s="67"/>
      <c r="S846" s="561"/>
    </row>
    <row r="847" spans="1:19" ht="15.75" customHeight="1" x14ac:dyDescent="0.3">
      <c r="A847" s="551"/>
      <c r="B847" s="67"/>
      <c r="C847" s="67"/>
      <c r="D847" s="67"/>
      <c r="E847" s="67"/>
      <c r="F847" s="67"/>
      <c r="G847" s="67"/>
      <c r="H847" s="67"/>
      <c r="I847" s="67"/>
      <c r="J847" s="67"/>
      <c r="K847" s="67"/>
      <c r="L847" s="67"/>
      <c r="M847" s="67"/>
      <c r="N847" s="67"/>
      <c r="O847" s="67"/>
      <c r="P847" s="67"/>
      <c r="Q847" s="67"/>
      <c r="R847" s="67"/>
      <c r="S847" s="561"/>
    </row>
    <row r="848" spans="1:19" ht="15.75" customHeight="1" x14ac:dyDescent="0.3">
      <c r="A848" s="551"/>
      <c r="B848" s="67"/>
      <c r="C848" s="67"/>
      <c r="D848" s="67"/>
      <c r="E848" s="67" t="str">
        <f>A5</f>
        <v>Calendar Year 2012</v>
      </c>
      <c r="F848" s="67"/>
      <c r="G848" s="67"/>
      <c r="H848" s="67"/>
      <c r="I848" s="67"/>
      <c r="J848" s="67"/>
      <c r="K848" s="67"/>
      <c r="L848" s="67"/>
      <c r="M848" s="67"/>
      <c r="N848" s="67"/>
      <c r="O848" s="67"/>
      <c r="P848" s="67"/>
      <c r="Q848" s="67"/>
      <c r="R848" s="67"/>
      <c r="S848" s="552"/>
    </row>
    <row r="849" spans="1:19" ht="15.75" customHeight="1" x14ac:dyDescent="0.3">
      <c r="A849" s="551"/>
      <c r="B849" s="67"/>
      <c r="C849" s="67"/>
      <c r="D849" s="67"/>
      <c r="E849" s="67" t="s">
        <v>1199</v>
      </c>
      <c r="F849" s="67"/>
      <c r="G849" s="67"/>
      <c r="H849" s="67"/>
      <c r="I849" s="67"/>
      <c r="J849" s="67"/>
      <c r="K849" s="67"/>
      <c r="L849" s="67"/>
      <c r="M849" s="67"/>
      <c r="N849" s="67"/>
      <c r="O849" s="67"/>
      <c r="P849" s="67"/>
      <c r="Q849" s="67"/>
      <c r="R849" s="67"/>
      <c r="S849" s="552"/>
    </row>
    <row r="850" spans="1:19" ht="15.75" customHeight="1" x14ac:dyDescent="0.3">
      <c r="A850" s="551"/>
      <c r="B850" s="67"/>
      <c r="C850" s="67"/>
      <c r="D850" s="67"/>
      <c r="E850" s="67"/>
      <c r="F850" s="67"/>
      <c r="G850" s="67"/>
      <c r="H850" s="67"/>
      <c r="I850" s="67"/>
      <c r="J850" s="67"/>
      <c r="K850" s="67"/>
      <c r="L850" s="67"/>
      <c r="M850" s="67"/>
      <c r="N850" s="67"/>
      <c r="O850" s="67"/>
      <c r="P850" s="67"/>
      <c r="Q850" s="67"/>
      <c r="R850" s="67"/>
      <c r="S850" s="552"/>
    </row>
    <row r="851" spans="1:19" ht="15.75" customHeight="1" x14ac:dyDescent="0.3">
      <c r="A851" s="551" t="s">
        <v>1307</v>
      </c>
      <c r="B851" s="70" t="s">
        <v>1308</v>
      </c>
      <c r="C851" s="70" t="s">
        <v>1309</v>
      </c>
      <c r="D851" s="70" t="s">
        <v>1029</v>
      </c>
      <c r="E851" s="70" t="s">
        <v>1030</v>
      </c>
      <c r="F851" s="70" t="s">
        <v>284</v>
      </c>
      <c r="G851" s="70" t="s">
        <v>284</v>
      </c>
      <c r="H851" s="70" t="s">
        <v>285</v>
      </c>
      <c r="I851" s="70" t="s">
        <v>286</v>
      </c>
      <c r="J851" s="70" t="s">
        <v>287</v>
      </c>
      <c r="K851" s="70" t="s">
        <v>288</v>
      </c>
      <c r="L851" s="70" t="s">
        <v>289</v>
      </c>
      <c r="M851" s="70" t="s">
        <v>633</v>
      </c>
      <c r="N851" s="70" t="s">
        <v>634</v>
      </c>
      <c r="O851" s="70" t="s">
        <v>1192</v>
      </c>
      <c r="P851" s="70" t="s">
        <v>524</v>
      </c>
      <c r="Q851" s="70" t="s">
        <v>525</v>
      </c>
      <c r="R851" s="70" t="s">
        <v>2356</v>
      </c>
      <c r="S851" s="562" t="s">
        <v>2000</v>
      </c>
    </row>
    <row r="852" spans="1:19" ht="15.75" customHeight="1" x14ac:dyDescent="0.3">
      <c r="A852" s="551" t="s">
        <v>526</v>
      </c>
      <c r="B852" s="67"/>
      <c r="C852" s="67"/>
      <c r="D852" s="67"/>
      <c r="E852" s="67"/>
      <c r="F852" s="70" t="s">
        <v>1193</v>
      </c>
      <c r="G852" s="70" t="s">
        <v>1194</v>
      </c>
      <c r="H852" s="67"/>
      <c r="I852" s="67"/>
      <c r="J852" s="67"/>
      <c r="K852" s="67"/>
      <c r="L852" s="67"/>
      <c r="M852" s="67"/>
      <c r="N852" s="67"/>
      <c r="O852" s="67"/>
      <c r="P852" s="67"/>
      <c r="Q852" s="67"/>
      <c r="R852" s="70" t="s">
        <v>1236</v>
      </c>
      <c r="S852" s="562" t="s">
        <v>242</v>
      </c>
    </row>
    <row r="853" spans="1:19" ht="15.75" customHeight="1" x14ac:dyDescent="0.3">
      <c r="A853" s="551" t="s">
        <v>1195</v>
      </c>
      <c r="B853" s="67">
        <v>957</v>
      </c>
      <c r="C853" s="67">
        <v>122</v>
      </c>
      <c r="D853" s="67">
        <v>128</v>
      </c>
      <c r="E853" s="67">
        <v>219</v>
      </c>
      <c r="F853" s="67"/>
      <c r="G853" s="67"/>
      <c r="H853" s="67">
        <v>97</v>
      </c>
      <c r="I853" s="67">
        <v>167</v>
      </c>
      <c r="J853" s="67">
        <v>247</v>
      </c>
      <c r="K853" s="67">
        <v>260</v>
      </c>
      <c r="L853" s="67">
        <v>122</v>
      </c>
      <c r="M853" s="67">
        <v>122</v>
      </c>
      <c r="N853" s="67">
        <v>275</v>
      </c>
      <c r="O853" s="67">
        <v>191</v>
      </c>
      <c r="P853" s="67">
        <v>325</v>
      </c>
      <c r="Q853" s="67">
        <v>503</v>
      </c>
      <c r="R853" s="70" t="s">
        <v>335</v>
      </c>
      <c r="S853" s="562" t="s">
        <v>1481</v>
      </c>
    </row>
    <row r="854" spans="1:19" ht="15.75" customHeight="1" x14ac:dyDescent="0.3">
      <c r="A854" s="551"/>
      <c r="B854" s="67" t="s">
        <v>1353</v>
      </c>
      <c r="C854" s="67" t="s">
        <v>1353</v>
      </c>
      <c r="D854" s="67" t="s">
        <v>1353</v>
      </c>
      <c r="E854" s="67" t="s">
        <v>1353</v>
      </c>
      <c r="F854" s="67" t="s">
        <v>1353</v>
      </c>
      <c r="G854" s="67" t="s">
        <v>1353</v>
      </c>
      <c r="H854" s="67" t="s">
        <v>1353</v>
      </c>
      <c r="I854" s="67" t="s">
        <v>1353</v>
      </c>
      <c r="J854" s="67" t="s">
        <v>1353</v>
      </c>
      <c r="K854" s="67" t="s">
        <v>1353</v>
      </c>
      <c r="L854" s="67" t="s">
        <v>1353</v>
      </c>
      <c r="M854" s="67" t="s">
        <v>1353</v>
      </c>
      <c r="N854" s="67" t="s">
        <v>1353</v>
      </c>
      <c r="O854" s="67" t="s">
        <v>1353</v>
      </c>
      <c r="P854" s="67" t="s">
        <v>1353</v>
      </c>
      <c r="Q854" s="67" t="s">
        <v>1353</v>
      </c>
      <c r="R854" s="67" t="s">
        <v>251</v>
      </c>
      <c r="S854" s="562" t="s">
        <v>1353</v>
      </c>
    </row>
    <row r="855" spans="1:19" ht="15.75" customHeight="1" x14ac:dyDescent="0.3">
      <c r="A855" s="553" t="s">
        <v>1354</v>
      </c>
      <c r="B855" s="67">
        <f>(B773*B771)/1000</f>
        <v>175660.22099999999</v>
      </c>
      <c r="C855" s="67">
        <f t="shared" ref="C855:Q855" si="134">(C773*C771)/1000</f>
        <v>22381.632000000001</v>
      </c>
      <c r="D855" s="67">
        <f t="shared" si="134"/>
        <v>23470.080000000002</v>
      </c>
      <c r="E855" s="67">
        <f t="shared" si="134"/>
        <v>36793.970999999998</v>
      </c>
      <c r="F855" s="67">
        <f>(F773*(('Lake Pleasant Forecast'!B35-1526.8)/0.7702))/1000</f>
        <v>23869.77499350817</v>
      </c>
      <c r="G855" s="67">
        <f>(G773*(('Lake Pleasant Forecast'!B35-1591.4)/0.6635))/1000</f>
        <v>0</v>
      </c>
      <c r="H855" s="67">
        <f t="shared" si="134"/>
        <v>3859.63</v>
      </c>
      <c r="I855" s="67">
        <f t="shared" si="134"/>
        <v>3427.3409999999999</v>
      </c>
      <c r="J855" s="67">
        <f t="shared" si="134"/>
        <v>5066.9579999999996</v>
      </c>
      <c r="K855" s="67">
        <f t="shared" si="134"/>
        <v>5155.28</v>
      </c>
      <c r="L855" s="67">
        <f t="shared" si="134"/>
        <v>1882.9480000000001</v>
      </c>
      <c r="M855" s="67">
        <f t="shared" si="134"/>
        <v>1880.508</v>
      </c>
      <c r="N855" s="67">
        <f t="shared" si="134"/>
        <v>4236.1000000000004</v>
      </c>
      <c r="O855" s="67">
        <f t="shared" si="134"/>
        <v>495.26299999999998</v>
      </c>
      <c r="P855" s="67">
        <f t="shared" si="134"/>
        <v>1681.875</v>
      </c>
      <c r="Q855" s="67">
        <f t="shared" si="134"/>
        <v>1303.2729999999999</v>
      </c>
      <c r="R855" s="67">
        <f>(SUM(B855:Q855))</f>
        <v>311164.85499350808</v>
      </c>
      <c r="S855" s="563">
        <f t="shared" ref="S855:S866" si="135">(U885*V885)/1000</f>
        <v>28.355518490000001</v>
      </c>
    </row>
    <row r="856" spans="1:19" ht="15.75" customHeight="1" x14ac:dyDescent="0.3">
      <c r="A856" s="553" t="s">
        <v>706</v>
      </c>
      <c r="B856" s="67">
        <f t="shared" ref="B856:Q856" si="136">(B774*B771)/1000</f>
        <v>161036.304</v>
      </c>
      <c r="C856" s="67">
        <f t="shared" si="136"/>
        <v>20511.128000000001</v>
      </c>
      <c r="D856" s="67">
        <f t="shared" si="136"/>
        <v>21501.184000000001</v>
      </c>
      <c r="E856" s="67">
        <f t="shared" si="136"/>
        <v>32681.151000000002</v>
      </c>
      <c r="F856" s="67">
        <f>(F774*(('Lake Pleasant Forecast'!B37-1526.8)/0.7702))/1000</f>
        <v>14551.587951181506</v>
      </c>
      <c r="G856" s="67">
        <f>(G774*(('Lake Pleasant Forecast'!B37-1591.4)/0.6635))/1000</f>
        <v>0</v>
      </c>
      <c r="H856" s="67">
        <f t="shared" si="136"/>
        <v>5831.7370000000001</v>
      </c>
      <c r="I856" s="67">
        <f t="shared" si="136"/>
        <v>4051.587</v>
      </c>
      <c r="J856" s="67">
        <f t="shared" si="136"/>
        <v>5918.12</v>
      </c>
      <c r="K856" s="67">
        <f t="shared" si="136"/>
        <v>6127.42</v>
      </c>
      <c r="L856" s="67">
        <f t="shared" si="136"/>
        <v>2252.364</v>
      </c>
      <c r="M856" s="67">
        <f t="shared" si="136"/>
        <v>2249.6799999999998</v>
      </c>
      <c r="N856" s="67">
        <f t="shared" si="136"/>
        <v>5067.9750000000004</v>
      </c>
      <c r="O856" s="67">
        <f t="shared" si="136"/>
        <v>854.53399999999999</v>
      </c>
      <c r="P856" s="67">
        <f t="shared" si="136"/>
        <v>1761.175</v>
      </c>
      <c r="Q856" s="67">
        <f t="shared" si="136"/>
        <v>2248.913</v>
      </c>
      <c r="R856" s="67">
        <f t="shared" ref="R856:R866" si="137">(SUM(B856:Q856))</f>
        <v>286644.85995118145</v>
      </c>
      <c r="S856" s="563">
        <f t="shared" si="135"/>
        <v>35.653563269999999</v>
      </c>
    </row>
    <row r="857" spans="1:19" s="627" customFormat="1" ht="15.75" customHeight="1" x14ac:dyDescent="0.3">
      <c r="A857" s="605" t="s">
        <v>707</v>
      </c>
      <c r="B857" s="625">
        <f t="shared" ref="B857:Q857" si="138">(B775*B771)/1000</f>
        <v>179458.554</v>
      </c>
      <c r="C857" s="625">
        <f t="shared" si="138"/>
        <v>22844.256000000001</v>
      </c>
      <c r="D857" s="625">
        <f t="shared" si="138"/>
        <v>23932.288</v>
      </c>
      <c r="E857" s="625">
        <f t="shared" si="138"/>
        <v>36324.216</v>
      </c>
      <c r="F857" s="625">
        <f>(F775*(('Lake Pleasant Forecast'!B39-1526.8)/0.7702))/1000</f>
        <v>9880.667224564746</v>
      </c>
      <c r="G857" s="625">
        <f>(G775*(('Lake Pleasant Forecast'!B39-1591.4)/0.6635))/1000</f>
        <v>0</v>
      </c>
      <c r="H857" s="625">
        <f t="shared" si="138"/>
        <v>8917.4040000000005</v>
      </c>
      <c r="I857" s="625">
        <f t="shared" si="138"/>
        <v>4358.366</v>
      </c>
      <c r="J857" s="625">
        <f t="shared" si="138"/>
        <v>6439.5370000000003</v>
      </c>
      <c r="K857" s="625">
        <f t="shared" si="138"/>
        <v>6664.84</v>
      </c>
      <c r="L857" s="625">
        <f t="shared" si="138"/>
        <v>2447.1979999999999</v>
      </c>
      <c r="M857" s="625">
        <f t="shared" si="138"/>
        <v>2443.7820000000002</v>
      </c>
      <c r="N857" s="625">
        <f t="shared" si="138"/>
        <v>5427.4</v>
      </c>
      <c r="O857" s="625">
        <f t="shared" si="138"/>
        <v>915.46299999999997</v>
      </c>
      <c r="P857" s="625">
        <f t="shared" si="138"/>
        <v>1878.5</v>
      </c>
      <c r="Q857" s="625">
        <f t="shared" si="138"/>
        <v>2408.364</v>
      </c>
      <c r="R857" s="625">
        <f t="shared" si="137"/>
        <v>314340.83522456477</v>
      </c>
      <c r="S857" s="626">
        <f t="shared" si="135"/>
        <v>38.336146289999995</v>
      </c>
    </row>
    <row r="858" spans="1:19" ht="15.75" customHeight="1" x14ac:dyDescent="0.3">
      <c r="A858" s="553" t="s">
        <v>1321</v>
      </c>
      <c r="B858" s="67">
        <f t="shared" ref="B858:Q858" si="139">(B776*B771)/1000</f>
        <v>173603.628</v>
      </c>
      <c r="C858" s="67">
        <f t="shared" si="139"/>
        <v>22086.513999999999</v>
      </c>
      <c r="D858" s="67">
        <f t="shared" si="139"/>
        <v>23120.383999999998</v>
      </c>
      <c r="E858" s="67">
        <f t="shared" si="139"/>
        <v>37714.428</v>
      </c>
      <c r="F858" s="67">
        <f>(F776*(('Lake Pleasant Forecast'!B41-1526.8)/0.7702))/1000</f>
        <v>1532.9457803168027</v>
      </c>
      <c r="G858" s="67">
        <f>(G776*(('Lake Pleasant Forecast'!B41-1591.4)/0.6635))/1000</f>
        <v>-683.35389600602923</v>
      </c>
      <c r="H858" s="67">
        <f t="shared" si="139"/>
        <v>13136.031000000001</v>
      </c>
      <c r="I858" s="67">
        <f t="shared" si="139"/>
        <v>5359.6980000000003</v>
      </c>
      <c r="J858" s="67">
        <f t="shared" si="139"/>
        <v>7774.5720000000001</v>
      </c>
      <c r="K858" s="67">
        <f t="shared" si="139"/>
        <v>6681.74</v>
      </c>
      <c r="L858" s="67">
        <f t="shared" si="139"/>
        <v>2536.7460000000001</v>
      </c>
      <c r="M858" s="67">
        <f t="shared" si="139"/>
        <v>2532.232</v>
      </c>
      <c r="N858" s="67">
        <f t="shared" si="139"/>
        <v>5132.3249999999998</v>
      </c>
      <c r="O858" s="67">
        <f t="shared" si="139"/>
        <v>623.99699999999996</v>
      </c>
      <c r="P858" s="67">
        <f t="shared" si="139"/>
        <v>1976.325</v>
      </c>
      <c r="Q858" s="67">
        <f t="shared" si="139"/>
        <v>1621.672</v>
      </c>
      <c r="R858" s="67">
        <f t="shared" si="137"/>
        <v>304749.88388431072</v>
      </c>
      <c r="S858" s="563">
        <f t="shared" si="135"/>
        <v>35.625543589999999</v>
      </c>
    </row>
    <row r="859" spans="1:19" ht="15.75" customHeight="1" x14ac:dyDescent="0.3">
      <c r="A859" s="553" t="s">
        <v>1905</v>
      </c>
      <c r="B859" s="67">
        <f t="shared" ref="B859:Q859" si="140">(B777*B771)/1000</f>
        <v>172826.54399999999</v>
      </c>
      <c r="C859" s="67">
        <f t="shared" si="140"/>
        <v>21980.374</v>
      </c>
      <c r="D859" s="67">
        <f t="shared" si="140"/>
        <v>22989.439999999999</v>
      </c>
      <c r="E859" s="67">
        <f t="shared" si="140"/>
        <v>37493.894999999997</v>
      </c>
      <c r="F859" s="67">
        <f>(F777*(('Lake Pleasant Forecast'!B43-1526.8)/0.7702))/1000</f>
        <v>329.78561412620093</v>
      </c>
      <c r="G859" s="67">
        <f>(G777*(('Lake Pleasant Forecast'!B43-1591.4)/0.6635))/1000</f>
        <v>-3085.5234363225263</v>
      </c>
      <c r="H859" s="67">
        <f t="shared" si="140"/>
        <v>14194.786</v>
      </c>
      <c r="I859" s="67">
        <f t="shared" si="140"/>
        <v>5823.7910000000002</v>
      </c>
      <c r="J859" s="67">
        <f t="shared" si="140"/>
        <v>7747.8959999999997</v>
      </c>
      <c r="K859" s="67">
        <f t="shared" si="140"/>
        <v>6384.82</v>
      </c>
      <c r="L859" s="67">
        <f t="shared" si="140"/>
        <v>2712.4259999999999</v>
      </c>
      <c r="M859" s="67">
        <f t="shared" si="140"/>
        <v>2707.3020000000001</v>
      </c>
      <c r="N859" s="67">
        <f t="shared" si="140"/>
        <v>5507.4250000000002</v>
      </c>
      <c r="O859" s="67">
        <f t="shared" si="140"/>
        <v>962.44899999999996</v>
      </c>
      <c r="P859" s="67">
        <f t="shared" si="140"/>
        <v>2136.2249999999999</v>
      </c>
      <c r="Q859" s="67">
        <f t="shared" si="140"/>
        <v>2517.0120000000002</v>
      </c>
      <c r="R859" s="67">
        <f t="shared" si="137"/>
        <v>303228.64717780368</v>
      </c>
      <c r="S859" s="563">
        <f t="shared" si="135"/>
        <v>40.860812330000002</v>
      </c>
    </row>
    <row r="860" spans="1:19" ht="15.75" customHeight="1" x14ac:dyDescent="0.3">
      <c r="A860" s="553" t="s">
        <v>1906</v>
      </c>
      <c r="B860" s="67">
        <f t="shared" ref="B860:Q860" si="141">(B778*B771)/1000</f>
        <v>125555.52899999999</v>
      </c>
      <c r="C860" s="67">
        <f t="shared" si="141"/>
        <v>15955.16</v>
      </c>
      <c r="D860" s="67">
        <f t="shared" si="141"/>
        <v>16677.759999999998</v>
      </c>
      <c r="E860" s="67">
        <f t="shared" si="141"/>
        <v>26796.401999999998</v>
      </c>
      <c r="F860" s="67">
        <f>(F778*(('Lake Pleasant Forecast'!B45-1526.8)/0.7702))/1000</f>
        <v>0</v>
      </c>
      <c r="G860" s="67">
        <f>(G778*(('Lake Pleasant Forecast'!B45-1591.4)/0.6635))/1000</f>
        <v>-11330.480180859084</v>
      </c>
      <c r="H860" s="67">
        <f t="shared" si="141"/>
        <v>16462.548999999999</v>
      </c>
      <c r="I860" s="67">
        <f t="shared" si="141"/>
        <v>6766.5060000000003</v>
      </c>
      <c r="J860" s="67">
        <f t="shared" si="141"/>
        <v>6814.2359999999999</v>
      </c>
      <c r="K860" s="67">
        <f t="shared" si="141"/>
        <v>5212.22</v>
      </c>
      <c r="L860" s="67">
        <f t="shared" si="141"/>
        <v>2195.268</v>
      </c>
      <c r="M860" s="67">
        <f t="shared" si="141"/>
        <v>2189.9</v>
      </c>
      <c r="N860" s="67">
        <f t="shared" si="141"/>
        <v>4274.05</v>
      </c>
      <c r="O860" s="67">
        <f t="shared" si="141"/>
        <v>540.33900000000006</v>
      </c>
      <c r="P860" s="67">
        <f t="shared" si="141"/>
        <v>2052.0500000000002</v>
      </c>
      <c r="Q860" s="67">
        <f t="shared" si="141"/>
        <v>1407.394</v>
      </c>
      <c r="R860" s="67">
        <f t="shared" si="137"/>
        <v>221568.88281914091</v>
      </c>
      <c r="S860" s="563">
        <f t="shared" si="135"/>
        <v>31.267732470000002</v>
      </c>
    </row>
    <row r="861" spans="1:19" ht="15.75" customHeight="1" x14ac:dyDescent="0.3">
      <c r="A861" s="553" t="s">
        <v>1907</v>
      </c>
      <c r="B861" s="67">
        <f t="shared" ref="B861:Q861" si="142">(B779*B771)/1000</f>
        <v>38260.86</v>
      </c>
      <c r="C861" s="67">
        <f t="shared" si="142"/>
        <v>4826.808</v>
      </c>
      <c r="D861" s="67">
        <f t="shared" si="142"/>
        <v>5004.2879999999996</v>
      </c>
      <c r="E861" s="67">
        <f t="shared" si="142"/>
        <v>6605.9160000000002</v>
      </c>
      <c r="F861" s="67">
        <f>(F779*(('Lake Pleasant Forecast'!B47-1526.8)/0.7702))/1000</f>
        <v>0</v>
      </c>
      <c r="G861" s="67">
        <f>(G779*(('Lake Pleasant Forecast'!B47-1591.4)/0.6635))/1000</f>
        <v>-16560.702818387337</v>
      </c>
      <c r="H861" s="67">
        <f t="shared" si="142"/>
        <v>13046.985000000001</v>
      </c>
      <c r="I861" s="67">
        <f t="shared" si="142"/>
        <v>6484.61</v>
      </c>
      <c r="J861" s="67">
        <f t="shared" si="142"/>
        <v>6802.38</v>
      </c>
      <c r="K861" s="67">
        <f t="shared" si="142"/>
        <v>4877.34</v>
      </c>
      <c r="L861" s="67">
        <f t="shared" si="142"/>
        <v>2084.614</v>
      </c>
      <c r="M861" s="67">
        <f t="shared" si="142"/>
        <v>2079.8560000000002</v>
      </c>
      <c r="N861" s="67">
        <f t="shared" si="142"/>
        <v>3859.0749999999998</v>
      </c>
      <c r="O861" s="67">
        <f t="shared" si="142"/>
        <v>674.42100000000005</v>
      </c>
      <c r="P861" s="67">
        <f t="shared" si="142"/>
        <v>2091.375</v>
      </c>
      <c r="Q861" s="67">
        <f t="shared" si="142"/>
        <v>1737.3620000000001</v>
      </c>
      <c r="R861" s="67">
        <f t="shared" si="137"/>
        <v>81875.187181612651</v>
      </c>
      <c r="S861" s="563">
        <f t="shared" si="135"/>
        <v>30.940956410000005</v>
      </c>
    </row>
    <row r="862" spans="1:19" ht="15.75" customHeight="1" x14ac:dyDescent="0.3">
      <c r="A862" s="553" t="s">
        <v>1908</v>
      </c>
      <c r="B862" s="67">
        <f t="shared" ref="B862:Q862" si="143">(B780*B771)/1000</f>
        <v>82872.372000000003</v>
      </c>
      <c r="C862" s="67">
        <f t="shared" si="143"/>
        <v>10523.964</v>
      </c>
      <c r="D862" s="67">
        <f t="shared" si="143"/>
        <v>10993.92</v>
      </c>
      <c r="E862" s="67">
        <f t="shared" si="143"/>
        <v>16725.468000000001</v>
      </c>
      <c r="F862" s="67">
        <f>(F780*(('Lake Pleasant Forecast'!B49-1526.8)/0.7702))/1000</f>
        <v>0</v>
      </c>
      <c r="G862" s="67">
        <f>(G780*(('Lake Pleasant Forecast'!B49-1591.4)/0.6635))/1000</f>
        <v>-8927.3018227307584</v>
      </c>
      <c r="H862" s="67">
        <f t="shared" si="143"/>
        <v>13081.517</v>
      </c>
      <c r="I862" s="67">
        <f t="shared" si="143"/>
        <v>7740.116</v>
      </c>
      <c r="J862" s="67">
        <f t="shared" si="143"/>
        <v>7067.6580000000004</v>
      </c>
      <c r="K862" s="67">
        <f t="shared" si="143"/>
        <v>5092.62</v>
      </c>
      <c r="L862" s="67">
        <f t="shared" si="143"/>
        <v>2023.8579999999999</v>
      </c>
      <c r="M862" s="67">
        <f t="shared" si="143"/>
        <v>2019.4659999999999</v>
      </c>
      <c r="N862" s="67">
        <f t="shared" si="143"/>
        <v>3969.0749999999998</v>
      </c>
      <c r="O862" s="67">
        <f t="shared" si="143"/>
        <v>592.1</v>
      </c>
      <c r="P862" s="67">
        <f t="shared" si="143"/>
        <v>767.97500000000002</v>
      </c>
      <c r="Q862" s="67">
        <f t="shared" si="143"/>
        <v>1556.2819999999999</v>
      </c>
      <c r="R862" s="67">
        <f t="shared" si="137"/>
        <v>156099.08917726928</v>
      </c>
      <c r="S862" s="563">
        <f t="shared" si="135"/>
        <v>26.994027320000001</v>
      </c>
    </row>
    <row r="863" spans="1:19" ht="15.75" customHeight="1" x14ac:dyDescent="0.3">
      <c r="A863" s="553" t="s">
        <v>2352</v>
      </c>
      <c r="B863" s="67">
        <f>(B781*B771)/1000</f>
        <v>131472.66</v>
      </c>
      <c r="C863" s="67">
        <f>(C781*C771)/1000</f>
        <v>16721.808000000001</v>
      </c>
      <c r="D863" s="67">
        <f>(D781*D771)/1000</f>
        <v>17488.128000000001</v>
      </c>
      <c r="E863" s="67">
        <f>(E781*E771)/1000</f>
        <v>28312.976999999999</v>
      </c>
      <c r="F863" s="67">
        <f>(F781*(('Lake Pleasant Forecast'!B51-1526.8)/0.7702))/1000</f>
        <v>788.29822522747929</v>
      </c>
      <c r="G863" s="67">
        <f>(G781*(('Lake Pleasant Forecast'!B51-1591.4)/0.6635))/1000</f>
        <v>-640.20734420698977</v>
      </c>
      <c r="H863" s="67">
        <f t="shared" ref="H863:Q863" si="144">(H781*H771)/1000</f>
        <v>9881.4869999999992</v>
      </c>
      <c r="I863" s="67">
        <f t="shared" si="144"/>
        <v>5993.7969999999996</v>
      </c>
      <c r="J863" s="67">
        <f t="shared" si="144"/>
        <v>6603.2979999999998</v>
      </c>
      <c r="K863" s="67">
        <f t="shared" si="144"/>
        <v>5573.36</v>
      </c>
      <c r="L863" s="67">
        <f t="shared" si="144"/>
        <v>1971.7639999999999</v>
      </c>
      <c r="M863" s="67">
        <f t="shared" si="144"/>
        <v>1967.616</v>
      </c>
      <c r="N863" s="67">
        <f t="shared" si="144"/>
        <v>4121.7</v>
      </c>
      <c r="O863" s="67">
        <f t="shared" si="144"/>
        <v>777.17899999999997</v>
      </c>
      <c r="P863" s="67">
        <f t="shared" si="144"/>
        <v>1476.15</v>
      </c>
      <c r="Q863" s="67">
        <f t="shared" si="144"/>
        <v>2032.12</v>
      </c>
      <c r="R863" s="67">
        <f t="shared" si="137"/>
        <v>234542.13488102047</v>
      </c>
      <c r="S863" s="563">
        <f t="shared" si="135"/>
        <v>30.49592663</v>
      </c>
    </row>
    <row r="864" spans="1:19" ht="15.75" customHeight="1" x14ac:dyDescent="0.3">
      <c r="A864" s="553" t="s">
        <v>2353</v>
      </c>
      <c r="B864" s="67">
        <f>(B782*B771)/1000</f>
        <v>30610.601999999999</v>
      </c>
      <c r="C864" s="67">
        <f>(C782*C771)/1000</f>
        <v>3867.5219999999999</v>
      </c>
      <c r="D864" s="67">
        <f>(D782*D771)/1000</f>
        <v>4019.712</v>
      </c>
      <c r="E864" s="67">
        <f>(E782*E771)/1000</f>
        <v>5948.259</v>
      </c>
      <c r="F864" s="67">
        <f>(F782*(('Lake Pleasant Forecast'!B53-1526.8)/0.7702))/1000</f>
        <v>1789.6185925733585</v>
      </c>
      <c r="G864" s="67">
        <f>(G782*(('Lake Pleasant Forecast'!B53-1591.4)/0.6635))/1000</f>
        <v>-9528.3056518462618</v>
      </c>
      <c r="H864" s="67">
        <f t="shared" ref="H864:Q864" si="145">(H782*H771)/1000</f>
        <v>7129.3059999999996</v>
      </c>
      <c r="I864" s="67">
        <f t="shared" si="145"/>
        <v>3229.279</v>
      </c>
      <c r="J864" s="67">
        <f t="shared" si="145"/>
        <v>3991.7669999999998</v>
      </c>
      <c r="K864" s="67">
        <f t="shared" si="145"/>
        <v>3711.24</v>
      </c>
      <c r="L864" s="67">
        <f t="shared" si="145"/>
        <v>1371.89</v>
      </c>
      <c r="M864" s="67">
        <f t="shared" si="145"/>
        <v>1368.3520000000001</v>
      </c>
      <c r="N864" s="67">
        <f t="shared" si="145"/>
        <v>2977.7</v>
      </c>
      <c r="O864" s="67">
        <f t="shared" si="145"/>
        <v>615.40200000000004</v>
      </c>
      <c r="P864" s="67">
        <f t="shared" si="145"/>
        <v>1890.5250000000001</v>
      </c>
      <c r="Q864" s="67">
        <f t="shared" si="145"/>
        <v>1609.097</v>
      </c>
      <c r="R864" s="67">
        <f t="shared" si="137"/>
        <v>64601.965940727088</v>
      </c>
      <c r="S864" s="563">
        <f t="shared" si="135"/>
        <v>24.287426020000002</v>
      </c>
    </row>
    <row r="865" spans="1:22" ht="15.75" customHeight="1" x14ac:dyDescent="0.3">
      <c r="A865" s="553" t="s">
        <v>2354</v>
      </c>
      <c r="B865" s="67">
        <f t="shared" ref="B865:Q865" si="146">(B783*B771)/1000</f>
        <v>165838.53</v>
      </c>
      <c r="C865" s="67">
        <f t="shared" si="146"/>
        <v>21112.71</v>
      </c>
      <c r="D865" s="67">
        <f t="shared" si="146"/>
        <v>22117.119999999999</v>
      </c>
      <c r="E865" s="67">
        <f t="shared" si="146"/>
        <v>37176.125999999997</v>
      </c>
      <c r="F865" s="67">
        <f>(F783*(('Lake Pleasant Forecast'!B55-1526.8)/0.7702))/1000</f>
        <v>20738.104284601406</v>
      </c>
      <c r="G865" s="67">
        <f>(G783*(('Lake Pleasant Forecast'!B55-1591.4)/0.6635))/1000</f>
        <v>0</v>
      </c>
      <c r="H865" s="67">
        <f t="shared" si="146"/>
        <v>3352.4169999999999</v>
      </c>
      <c r="I865" s="67">
        <f t="shared" si="146"/>
        <v>1720.434</v>
      </c>
      <c r="J865" s="67">
        <f t="shared" si="146"/>
        <v>2355.6390000000001</v>
      </c>
      <c r="K865" s="67">
        <f t="shared" si="146"/>
        <v>2322.84</v>
      </c>
      <c r="L865" s="67">
        <f t="shared" si="146"/>
        <v>886.69600000000003</v>
      </c>
      <c r="M865" s="67">
        <f t="shared" si="146"/>
        <v>883.89</v>
      </c>
      <c r="N865" s="67">
        <f t="shared" si="146"/>
        <v>1941.5</v>
      </c>
      <c r="O865" s="67">
        <f t="shared" si="146"/>
        <v>385.62900000000002</v>
      </c>
      <c r="P865" s="67">
        <f t="shared" si="146"/>
        <v>1770.925</v>
      </c>
      <c r="Q865" s="67">
        <f t="shared" si="146"/>
        <v>1007.509</v>
      </c>
      <c r="R865" s="67">
        <f t="shared" si="137"/>
        <v>283610.06928460149</v>
      </c>
      <c r="S865" s="563">
        <f t="shared" si="135"/>
        <v>16.984088030000002</v>
      </c>
    </row>
    <row r="866" spans="1:22" ht="15.75" customHeight="1" x14ac:dyDescent="0.3">
      <c r="A866" s="553" t="s">
        <v>2355</v>
      </c>
      <c r="B866" s="67">
        <f t="shared" ref="B866:Q866" si="147">(B784*B771)/1000</f>
        <v>128218.86</v>
      </c>
      <c r="C866" s="67">
        <f t="shared" si="147"/>
        <v>16322.868</v>
      </c>
      <c r="D866" s="67">
        <f t="shared" si="147"/>
        <v>17102.72</v>
      </c>
      <c r="E866" s="67">
        <f t="shared" si="147"/>
        <v>27963.891000000003</v>
      </c>
      <c r="F866" s="67">
        <f>(F784*(('Lake Pleasant Forecast'!B57-1526.8)/0.7702))/1000</f>
        <v>11211.040831724471</v>
      </c>
      <c r="G866" s="67">
        <f>(G784*(('Lake Pleasant Forecast'!B57-1591.4)/0.6635))/1000</f>
        <v>0</v>
      </c>
      <c r="H866" s="67">
        <f t="shared" si="147"/>
        <v>4860.0880000000016</v>
      </c>
      <c r="I866" s="67">
        <f t="shared" si="147"/>
        <v>3449.2179999999998</v>
      </c>
      <c r="J866" s="67">
        <f t="shared" si="147"/>
        <v>4995.8220000000001</v>
      </c>
      <c r="K866" s="67">
        <f t="shared" si="147"/>
        <v>4584.84</v>
      </c>
      <c r="L866" s="67">
        <f t="shared" si="147"/>
        <v>1780.1020000000001</v>
      </c>
      <c r="M866" s="67">
        <f t="shared" si="147"/>
        <v>1777.7840000000001</v>
      </c>
      <c r="N866" s="67">
        <f t="shared" si="147"/>
        <v>3901.9749999999999</v>
      </c>
      <c r="O866" s="67">
        <f t="shared" si="147"/>
        <v>660.66899999999998</v>
      </c>
      <c r="P866" s="67">
        <f t="shared" si="147"/>
        <v>1821.625</v>
      </c>
      <c r="Q866" s="67">
        <f t="shared" si="147"/>
        <v>1718.751</v>
      </c>
      <c r="R866" s="67">
        <f t="shared" si="137"/>
        <v>230370.25383172449</v>
      </c>
      <c r="S866" s="563">
        <f t="shared" si="135"/>
        <v>28.802437820000002</v>
      </c>
    </row>
    <row r="867" spans="1:22" ht="15.75" customHeight="1" x14ac:dyDescent="0.3">
      <c r="A867" s="551"/>
      <c r="B867" s="67"/>
      <c r="C867" s="67"/>
      <c r="D867" s="67"/>
      <c r="E867" s="67"/>
      <c r="F867" s="67"/>
      <c r="G867" s="67"/>
      <c r="H867" s="67"/>
      <c r="I867" s="67"/>
      <c r="J867" s="67"/>
      <c r="K867" s="67"/>
      <c r="L867" s="67"/>
      <c r="M867" s="67"/>
      <c r="N867" s="67"/>
      <c r="O867" s="67"/>
      <c r="P867" s="67"/>
      <c r="Q867" s="67"/>
      <c r="R867" s="67"/>
      <c r="S867" s="563"/>
    </row>
    <row r="868" spans="1:22" ht="15.75" customHeight="1" x14ac:dyDescent="0.3">
      <c r="A868" s="553" t="s">
        <v>2356</v>
      </c>
      <c r="B868" s="67">
        <f t="shared" ref="B868:R868" si="148">SUM(B855:B866)</f>
        <v>1565414.6640000001</v>
      </c>
      <c r="C868" s="67">
        <f t="shared" si="148"/>
        <v>199134.74399999998</v>
      </c>
      <c r="D868" s="67">
        <f t="shared" si="148"/>
        <v>208417.024</v>
      </c>
      <c r="E868" s="67">
        <f t="shared" si="148"/>
        <v>330536.7</v>
      </c>
      <c r="F868" s="67">
        <f t="shared" si="148"/>
        <v>84691.823497824138</v>
      </c>
      <c r="G868" s="67">
        <f t="shared" si="148"/>
        <v>-50755.875150358988</v>
      </c>
      <c r="H868" s="67">
        <f t="shared" si="148"/>
        <v>113753.93699999999</v>
      </c>
      <c r="I868" s="67">
        <f t="shared" si="148"/>
        <v>58404.743000000002</v>
      </c>
      <c r="J868" s="67">
        <f t="shared" si="148"/>
        <v>71577.883000000002</v>
      </c>
      <c r="K868" s="67">
        <f t="shared" si="148"/>
        <v>62388.56</v>
      </c>
      <c r="L868" s="67">
        <f t="shared" si="148"/>
        <v>24145.873999999996</v>
      </c>
      <c r="M868" s="67">
        <f t="shared" si="148"/>
        <v>24100.367999999995</v>
      </c>
      <c r="N868" s="67">
        <f t="shared" si="148"/>
        <v>50416.299999999988</v>
      </c>
      <c r="O868" s="67">
        <f t="shared" si="148"/>
        <v>8097.4450000000006</v>
      </c>
      <c r="P868" s="67">
        <f t="shared" si="148"/>
        <v>21304.725000000002</v>
      </c>
      <c r="Q868" s="67">
        <f t="shared" si="148"/>
        <v>21167.749</v>
      </c>
      <c r="R868" s="67">
        <f t="shared" si="148"/>
        <v>2792796.6643474652</v>
      </c>
      <c r="S868" s="563">
        <f>(SUM(S855:S866))</f>
        <v>368.60417867000001</v>
      </c>
    </row>
    <row r="869" spans="1:22" ht="16.5" customHeight="1" thickBot="1" x14ac:dyDescent="0.35">
      <c r="A869" s="554" t="s">
        <v>852</v>
      </c>
      <c r="B869" s="555"/>
      <c r="C869" s="555"/>
      <c r="D869" s="555"/>
      <c r="E869" s="555"/>
      <c r="F869" s="555"/>
      <c r="G869" s="555"/>
      <c r="H869" s="555"/>
      <c r="I869" s="555"/>
      <c r="J869" s="555"/>
      <c r="K869" s="555"/>
      <c r="L869" s="555"/>
      <c r="M869" s="555"/>
      <c r="N869" s="555"/>
      <c r="O869" s="555"/>
      <c r="P869" s="555"/>
      <c r="Q869" s="555"/>
      <c r="R869" s="555"/>
      <c r="S869" s="556"/>
    </row>
    <row r="870" spans="1:22" ht="16.5" customHeight="1" thickBot="1" x14ac:dyDescent="0.35">
      <c r="A870" s="67"/>
      <c r="B870" s="67"/>
      <c r="C870" s="67"/>
      <c r="D870" s="67"/>
      <c r="E870" s="67"/>
      <c r="F870" s="67"/>
      <c r="G870" s="67"/>
      <c r="H870" s="67"/>
      <c r="I870" s="67"/>
      <c r="J870" s="67"/>
      <c r="K870" s="67"/>
      <c r="L870" s="67"/>
      <c r="M870" s="67"/>
      <c r="N870" s="67"/>
      <c r="O870" s="67"/>
      <c r="P870" s="67"/>
      <c r="Q870" s="67"/>
      <c r="R870" s="67"/>
    </row>
    <row r="871" spans="1:22" ht="15.75" customHeight="1" x14ac:dyDescent="0.3">
      <c r="A871" s="546"/>
      <c r="B871" s="547"/>
      <c r="C871" s="547"/>
      <c r="D871" s="547"/>
      <c r="E871" s="547"/>
      <c r="F871" s="547"/>
      <c r="G871" s="547"/>
      <c r="H871" s="547"/>
      <c r="I871" s="547"/>
      <c r="J871" s="547"/>
      <c r="K871" s="547"/>
      <c r="L871" s="547"/>
      <c r="M871" s="547"/>
      <c r="N871" s="547"/>
      <c r="O871" s="547"/>
      <c r="P871" s="547"/>
      <c r="Q871" s="549" t="str">
        <f>+Q1</f>
        <v>PRINTED:</v>
      </c>
      <c r="R871" s="559">
        <f ca="1">+R1</f>
        <v>44881.72963425926</v>
      </c>
      <c r="S871" s="560"/>
    </row>
    <row r="872" spans="1:22" ht="15.75" customHeight="1" x14ac:dyDescent="0.35">
      <c r="A872" s="551"/>
      <c r="B872" s="67"/>
      <c r="C872" s="71" t="s">
        <v>2125</v>
      </c>
      <c r="D872" s="67"/>
      <c r="E872" s="67"/>
      <c r="F872" s="67"/>
      <c r="G872" s="67"/>
      <c r="H872" s="67"/>
      <c r="I872" s="67"/>
      <c r="J872" s="67"/>
      <c r="K872" s="67"/>
      <c r="L872" s="215"/>
      <c r="M872" s="71" t="s">
        <v>1456</v>
      </c>
      <c r="N872" s="67"/>
      <c r="O872" s="67"/>
      <c r="P872" s="67"/>
      <c r="Q872" s="67"/>
      <c r="R872" s="67"/>
      <c r="S872" s="561"/>
    </row>
    <row r="873" spans="1:22" ht="15.75" customHeight="1" x14ac:dyDescent="0.3">
      <c r="A873" s="551"/>
      <c r="B873" s="67"/>
      <c r="C873" s="67"/>
      <c r="D873" s="67"/>
      <c r="E873" s="67" t="s">
        <v>852</v>
      </c>
      <c r="F873" s="69" t="str">
        <f>+A9</f>
        <v>Revised:  1/22/2013</v>
      </c>
      <c r="G873" s="67"/>
      <c r="H873" s="67"/>
      <c r="I873" s="67"/>
      <c r="J873" s="67"/>
      <c r="K873" s="67"/>
      <c r="L873" s="67"/>
      <c r="M873" s="67"/>
      <c r="N873" s="67"/>
      <c r="O873" s="67"/>
      <c r="P873" s="67" t="s">
        <v>852</v>
      </c>
      <c r="Q873" s="69" t="str">
        <f>+A9</f>
        <v>Revised:  1/22/2013</v>
      </c>
      <c r="R873" s="67"/>
      <c r="S873" s="561"/>
    </row>
    <row r="874" spans="1:22" ht="15.75" customHeight="1" x14ac:dyDescent="0.3">
      <c r="A874" s="551"/>
      <c r="B874" s="67"/>
      <c r="C874" s="67"/>
      <c r="D874" s="67" t="s">
        <v>2545</v>
      </c>
      <c r="E874" s="67"/>
      <c r="F874" s="67"/>
      <c r="G874" s="67"/>
      <c r="H874" s="67"/>
      <c r="I874" s="67"/>
      <c r="J874" s="67"/>
      <c r="K874" s="67"/>
      <c r="L874" s="67"/>
      <c r="M874" s="67"/>
      <c r="N874" s="67" t="s">
        <v>2545</v>
      </c>
      <c r="O874" s="67"/>
      <c r="P874" s="67"/>
      <c r="Q874" s="67"/>
      <c r="R874" s="67"/>
      <c r="S874" s="561"/>
    </row>
    <row r="875" spans="1:22" ht="15.75" customHeight="1" x14ac:dyDescent="0.3">
      <c r="A875" s="551"/>
      <c r="B875" s="67"/>
      <c r="C875" s="67"/>
      <c r="D875" s="67"/>
      <c r="E875" s="67"/>
      <c r="F875" s="67"/>
      <c r="G875" s="67"/>
      <c r="H875" s="67"/>
      <c r="I875" s="67"/>
      <c r="J875" s="67"/>
      <c r="K875" s="67"/>
      <c r="L875" s="67"/>
      <c r="M875" s="67"/>
      <c r="N875" s="67"/>
      <c r="O875" s="67"/>
      <c r="P875" s="67"/>
      <c r="Q875" s="67"/>
      <c r="R875" s="67"/>
      <c r="S875" s="561"/>
    </row>
    <row r="876" spans="1:22" ht="15.75" customHeight="1" x14ac:dyDescent="0.3">
      <c r="A876" s="551"/>
      <c r="B876" s="67"/>
      <c r="C876" s="67"/>
      <c r="D876" s="67"/>
      <c r="E876" s="67" t="str">
        <f>+A5</f>
        <v>Calendar Year 2012</v>
      </c>
      <c r="F876" s="67"/>
      <c r="G876" s="67"/>
      <c r="H876" s="67"/>
      <c r="I876" s="67"/>
      <c r="J876" s="67"/>
      <c r="K876" s="67"/>
      <c r="L876" s="67"/>
      <c r="M876" s="67"/>
      <c r="N876" s="67"/>
      <c r="O876" s="67"/>
      <c r="P876" s="67" t="str">
        <f>+A5</f>
        <v>Calendar Year 2012</v>
      </c>
      <c r="Q876" s="67"/>
      <c r="R876" s="67"/>
      <c r="S876" s="561"/>
    </row>
    <row r="877" spans="1:22" ht="15.75" customHeight="1" x14ac:dyDescent="0.3">
      <c r="A877" s="551"/>
      <c r="B877" s="67"/>
      <c r="C877" s="67"/>
      <c r="D877" s="67"/>
      <c r="E877" s="67" t="s">
        <v>1199</v>
      </c>
      <c r="F877" s="67"/>
      <c r="G877" s="67"/>
      <c r="H877" s="67"/>
      <c r="I877" s="67"/>
      <c r="J877" s="67"/>
      <c r="K877" s="67"/>
      <c r="L877" s="67"/>
      <c r="M877" s="67"/>
      <c r="N877" s="67"/>
      <c r="O877" s="67"/>
      <c r="P877" s="67" t="s">
        <v>1199</v>
      </c>
      <c r="Q877" s="67"/>
      <c r="R877" s="67"/>
      <c r="S877" s="561"/>
    </row>
    <row r="878" spans="1:22" ht="15.75" customHeight="1" x14ac:dyDescent="0.3">
      <c r="A878" s="551"/>
      <c r="B878" s="67"/>
      <c r="C878" s="67"/>
      <c r="D878" s="67"/>
      <c r="E878" s="67"/>
      <c r="F878" s="67"/>
      <c r="G878" s="67"/>
      <c r="H878" s="67"/>
      <c r="I878" s="67"/>
      <c r="J878" s="67"/>
      <c r="K878" s="67"/>
      <c r="L878" s="67"/>
      <c r="M878" s="67"/>
      <c r="N878" s="67"/>
      <c r="O878" s="67"/>
      <c r="P878" s="67"/>
      <c r="Q878" s="67"/>
      <c r="R878" s="67"/>
      <c r="S878" s="561"/>
      <c r="U878" s="71" t="s">
        <v>253</v>
      </c>
      <c r="V878" s="67"/>
    </row>
    <row r="879" spans="1:22" ht="15.75" customHeight="1" x14ac:dyDescent="0.3">
      <c r="A879" s="551" t="s">
        <v>1307</v>
      </c>
      <c r="B879" s="70" t="s">
        <v>1308</v>
      </c>
      <c r="C879" s="70" t="s">
        <v>1309</v>
      </c>
      <c r="D879" s="70" t="s">
        <v>1029</v>
      </c>
      <c r="E879" s="70" t="s">
        <v>1030</v>
      </c>
      <c r="F879" s="70" t="s">
        <v>284</v>
      </c>
      <c r="G879" s="67"/>
      <c r="H879" s="70" t="s">
        <v>2356</v>
      </c>
      <c r="I879" s="67"/>
      <c r="J879" s="67"/>
      <c r="K879" s="67"/>
      <c r="L879" s="67" t="s">
        <v>1307</v>
      </c>
      <c r="M879" s="70" t="s">
        <v>1308</v>
      </c>
      <c r="N879" s="70" t="s">
        <v>1309</v>
      </c>
      <c r="O879" s="70" t="s">
        <v>1029</v>
      </c>
      <c r="P879" s="70" t="s">
        <v>1030</v>
      </c>
      <c r="Q879" s="70" t="s">
        <v>284</v>
      </c>
      <c r="R879" s="70" t="s">
        <v>2356</v>
      </c>
      <c r="S879" s="561"/>
      <c r="U879" s="67" t="s">
        <v>254</v>
      </c>
      <c r="V879" s="67"/>
    </row>
    <row r="880" spans="1:22" ht="15.75" customHeight="1" x14ac:dyDescent="0.3">
      <c r="A880" s="551" t="s">
        <v>526</v>
      </c>
      <c r="B880" s="67"/>
      <c r="C880" s="67"/>
      <c r="D880" s="67"/>
      <c r="E880" s="67"/>
      <c r="F880" s="70" t="s">
        <v>1193</v>
      </c>
      <c r="G880" s="67"/>
      <c r="H880" s="70" t="s">
        <v>252</v>
      </c>
      <c r="I880" s="67"/>
      <c r="J880" s="67"/>
      <c r="K880" s="67"/>
      <c r="L880" s="67" t="s">
        <v>526</v>
      </c>
      <c r="M880" s="67"/>
      <c r="N880" s="67"/>
      <c r="O880" s="67"/>
      <c r="P880" s="67"/>
      <c r="Q880" s="70" t="s">
        <v>1193</v>
      </c>
      <c r="R880" s="70" t="s">
        <v>252</v>
      </c>
      <c r="S880" s="561"/>
      <c r="U880" s="67"/>
      <c r="V880" s="67"/>
    </row>
    <row r="881" spans="1:22" ht="15.75" customHeight="1" x14ac:dyDescent="0.3">
      <c r="A881" s="551" t="s">
        <v>1195</v>
      </c>
      <c r="B881" s="67">
        <v>957</v>
      </c>
      <c r="C881" s="67">
        <v>122</v>
      </c>
      <c r="D881" s="67">
        <v>128</v>
      </c>
      <c r="E881" s="67">
        <v>219</v>
      </c>
      <c r="F881" s="67"/>
      <c r="G881" s="67"/>
      <c r="H881" s="70" t="s">
        <v>335</v>
      </c>
      <c r="I881" s="67"/>
      <c r="J881" s="67"/>
      <c r="K881" s="67"/>
      <c r="L881" s="67" t="s">
        <v>1195</v>
      </c>
      <c r="M881" s="67">
        <v>957</v>
      </c>
      <c r="N881" s="67">
        <v>122</v>
      </c>
      <c r="O881" s="67">
        <v>128</v>
      </c>
      <c r="P881" s="67">
        <v>219</v>
      </c>
      <c r="Q881" s="67"/>
      <c r="R881" s="70" t="s">
        <v>335</v>
      </c>
      <c r="S881" s="561"/>
      <c r="U881" s="67" t="s">
        <v>2435</v>
      </c>
      <c r="V881" s="70" t="s">
        <v>335</v>
      </c>
    </row>
    <row r="882" spans="1:22" ht="15.75" customHeight="1" x14ac:dyDescent="0.3">
      <c r="A882" s="551"/>
      <c r="B882" s="67" t="s">
        <v>1353</v>
      </c>
      <c r="C882" s="67" t="s">
        <v>1353</v>
      </c>
      <c r="D882" s="67" t="s">
        <v>1353</v>
      </c>
      <c r="E882" s="67" t="s">
        <v>1353</v>
      </c>
      <c r="F882" s="67" t="s">
        <v>1353</v>
      </c>
      <c r="G882" s="67"/>
      <c r="H882" s="67" t="s">
        <v>251</v>
      </c>
      <c r="I882" s="67"/>
      <c r="J882" s="67"/>
      <c r="K882" s="67"/>
      <c r="L882" s="67"/>
      <c r="M882" s="67" t="s">
        <v>1353</v>
      </c>
      <c r="N882" s="67" t="s">
        <v>1353</v>
      </c>
      <c r="O882" s="67" t="s">
        <v>1353</v>
      </c>
      <c r="P882" s="67" t="s">
        <v>1353</v>
      </c>
      <c r="Q882" s="67" t="s">
        <v>1353</v>
      </c>
      <c r="R882" s="67" t="s">
        <v>251</v>
      </c>
      <c r="S882" s="561"/>
      <c r="U882" s="70" t="s">
        <v>335</v>
      </c>
      <c r="V882" s="70" t="s">
        <v>956</v>
      </c>
    </row>
    <row r="883" spans="1:22" ht="15.75" customHeight="1" x14ac:dyDescent="0.3">
      <c r="A883" s="553" t="s">
        <v>1354</v>
      </c>
      <c r="B883" s="67">
        <f t="shared" ref="B883:E894" si="149">($F773)*B$771/1000</f>
        <v>106436.583</v>
      </c>
      <c r="C883" s="67">
        <f t="shared" si="149"/>
        <v>13568.718000000001</v>
      </c>
      <c r="D883" s="67">
        <f t="shared" si="149"/>
        <v>14236.031999999999</v>
      </c>
      <c r="E883" s="67">
        <f t="shared" si="149"/>
        <v>24356.960999999999</v>
      </c>
      <c r="F883" s="67">
        <f>(F773*(('Lake Pleasant Forecast'!B35-1526.8)/0.7702))/1000</f>
        <v>23869.77499350817</v>
      </c>
      <c r="G883" s="67"/>
      <c r="H883" s="67">
        <f t="shared" ref="H883:H894" si="150">SUM(B883:F883)</f>
        <v>182468.0689935082</v>
      </c>
      <c r="I883" s="67"/>
      <c r="J883" s="67"/>
      <c r="K883" s="67"/>
      <c r="L883" s="70" t="s">
        <v>1354</v>
      </c>
      <c r="M883" s="67">
        <f t="shared" ref="M883:P894" si="151">(B773-$F773)*B$771/1000</f>
        <v>69223.638000000006</v>
      </c>
      <c r="N883" s="67">
        <f t="shared" si="151"/>
        <v>8812.9140000000007</v>
      </c>
      <c r="O883" s="67">
        <f t="shared" si="151"/>
        <v>9234.0480000000007</v>
      </c>
      <c r="P883" s="67">
        <f t="shared" si="151"/>
        <v>12437.01</v>
      </c>
      <c r="Q883" s="67">
        <f>((F773-$F773)*(('Lake Pleasant Forecast'!B35-1526.8)/0.7702))/1000</f>
        <v>0</v>
      </c>
      <c r="R883" s="67">
        <f t="shared" ref="R883:R894" si="152">SUM(L883:P883)</f>
        <v>99707.61</v>
      </c>
      <c r="S883" s="561"/>
      <c r="U883" s="70" t="s">
        <v>998</v>
      </c>
      <c r="V883" s="70" t="s">
        <v>2201</v>
      </c>
    </row>
    <row r="884" spans="1:22" ht="15.75" customHeight="1" x14ac:dyDescent="0.3">
      <c r="A884" s="553" t="s">
        <v>706</v>
      </c>
      <c r="B884" s="67">
        <f t="shared" si="149"/>
        <v>64675.017</v>
      </c>
      <c r="C884" s="67">
        <f t="shared" si="149"/>
        <v>8244.8819999999996</v>
      </c>
      <c r="D884" s="67">
        <f t="shared" si="149"/>
        <v>8650.3680000000004</v>
      </c>
      <c r="E884" s="67">
        <f t="shared" si="149"/>
        <v>14800.239</v>
      </c>
      <c r="F884" s="67">
        <f>(F774*(('Lake Pleasant Forecast'!B37-1526.8)/0.7702))/1000</f>
        <v>14551.587951181506</v>
      </c>
      <c r="G884" s="67"/>
      <c r="H884" s="67">
        <f t="shared" si="150"/>
        <v>110922.09395118151</v>
      </c>
      <c r="I884" s="67"/>
      <c r="J884" s="67"/>
      <c r="K884" s="67"/>
      <c r="L884" s="70" t="s">
        <v>706</v>
      </c>
      <c r="M884" s="67">
        <f t="shared" si="151"/>
        <v>96361.286999999997</v>
      </c>
      <c r="N884" s="67">
        <f t="shared" si="151"/>
        <v>12266.245999999999</v>
      </c>
      <c r="O884" s="67">
        <f t="shared" si="151"/>
        <v>12850.816000000001</v>
      </c>
      <c r="P884" s="67">
        <f t="shared" si="151"/>
        <v>17880.912</v>
      </c>
      <c r="Q884" s="67">
        <f>((F774-$F774)*(('Lake Pleasant Forecast'!B37-1526.8)/0.7702))/1000</f>
        <v>0</v>
      </c>
      <c r="R884" s="67">
        <f t="shared" si="152"/>
        <v>139359.261</v>
      </c>
      <c r="S884" s="561"/>
      <c r="U884" s="70" t="s">
        <v>1353</v>
      </c>
      <c r="V884" s="70" t="s">
        <v>1353</v>
      </c>
    </row>
    <row r="885" spans="1:22" ht="15.75" customHeight="1" x14ac:dyDescent="0.3">
      <c r="A885" s="553" t="s">
        <v>707</v>
      </c>
      <c r="B885" s="67">
        <f t="shared" si="149"/>
        <v>42487.928999999996</v>
      </c>
      <c r="C885" s="67">
        <f t="shared" si="149"/>
        <v>5416.4340000000002</v>
      </c>
      <c r="D885" s="67">
        <f t="shared" si="149"/>
        <v>5682.8159999999998</v>
      </c>
      <c r="E885" s="67">
        <f t="shared" si="149"/>
        <v>9722.9429999999993</v>
      </c>
      <c r="F885" s="67">
        <f>(F775*(('Lake Pleasant Forecast'!B39-1526.8)/0.7702))/1000</f>
        <v>9880.667224564746</v>
      </c>
      <c r="G885" s="67"/>
      <c r="H885" s="67">
        <f t="shared" si="150"/>
        <v>73190.789224564738</v>
      </c>
      <c r="I885" s="67"/>
      <c r="J885" s="67"/>
      <c r="K885" s="67"/>
      <c r="L885" s="70" t="s">
        <v>707</v>
      </c>
      <c r="M885" s="67">
        <f t="shared" si="151"/>
        <v>136970.625</v>
      </c>
      <c r="N885" s="67">
        <f t="shared" si="151"/>
        <v>17427.822</v>
      </c>
      <c r="O885" s="67">
        <f t="shared" si="151"/>
        <v>18249.472000000002</v>
      </c>
      <c r="P885" s="67">
        <f t="shared" si="151"/>
        <v>26601.273000000001</v>
      </c>
      <c r="Q885" s="67">
        <f>((F775-$F775)*(('Lake Pleasant Forecast'!B39-1526.8)/0.7702))/1000</f>
        <v>0</v>
      </c>
      <c r="R885" s="67">
        <f t="shared" si="152"/>
        <v>199249.19199999998</v>
      </c>
      <c r="S885" s="561"/>
      <c r="U885" s="67">
        <f t="shared" ref="U885:U896" si="153">SUM(L855:Q855)</f>
        <v>11479.967000000001</v>
      </c>
      <c r="V885" s="72">
        <v>2.4700000000000002</v>
      </c>
    </row>
    <row r="886" spans="1:22" ht="15.75" customHeight="1" x14ac:dyDescent="0.3">
      <c r="A886" s="553" t="s">
        <v>1321</v>
      </c>
      <c r="B886" s="67">
        <f t="shared" si="149"/>
        <v>6587.9880000000003</v>
      </c>
      <c r="C886" s="67">
        <f t="shared" si="149"/>
        <v>839.84799999999996</v>
      </c>
      <c r="D886" s="67">
        <f t="shared" si="149"/>
        <v>881.15200000000004</v>
      </c>
      <c r="E886" s="67">
        <f t="shared" si="149"/>
        <v>1507.596</v>
      </c>
      <c r="F886" s="67">
        <f>(F776*(('Lake Pleasant Forecast'!B41-1526.8)/0.7702))/1000</f>
        <v>1532.9457803168027</v>
      </c>
      <c r="G886" s="67"/>
      <c r="H886" s="67">
        <f t="shared" si="150"/>
        <v>11349.529780316803</v>
      </c>
      <c r="I886" s="67"/>
      <c r="J886" s="67"/>
      <c r="K886" s="67"/>
      <c r="L886" s="70" t="s">
        <v>1321</v>
      </c>
      <c r="M886" s="67">
        <f t="shared" si="151"/>
        <v>167015.64000000001</v>
      </c>
      <c r="N886" s="67">
        <f t="shared" si="151"/>
        <v>21246.666000000001</v>
      </c>
      <c r="O886" s="67">
        <f t="shared" si="151"/>
        <v>22239.232</v>
      </c>
      <c r="P886" s="67">
        <f t="shared" si="151"/>
        <v>36206.832000000002</v>
      </c>
      <c r="Q886" s="67">
        <f>((F776-$F776)*(('Lake Pleasant Forecast'!B41-1526.8)/0.7702))/1000</f>
        <v>0</v>
      </c>
      <c r="R886" s="67">
        <f t="shared" si="152"/>
        <v>246708.37</v>
      </c>
      <c r="S886" s="561"/>
      <c r="U886" s="67">
        <f t="shared" si="153"/>
        <v>14434.641</v>
      </c>
      <c r="V886" s="72">
        <v>2.4700000000000002</v>
      </c>
    </row>
    <row r="887" spans="1:22" ht="15.75" customHeight="1" x14ac:dyDescent="0.3">
      <c r="A887" s="553" t="s">
        <v>1905</v>
      </c>
      <c r="B887" s="67">
        <f t="shared" si="149"/>
        <v>1433.586</v>
      </c>
      <c r="C887" s="67">
        <f t="shared" si="149"/>
        <v>182.756</v>
      </c>
      <c r="D887" s="67">
        <f t="shared" si="149"/>
        <v>191.744</v>
      </c>
      <c r="E887" s="67">
        <f t="shared" si="149"/>
        <v>328.06200000000001</v>
      </c>
      <c r="F887" s="67">
        <f>(F777*(('Lake Pleasant Forecast'!B43-1526.8)/0.7702))/1000</f>
        <v>329.78561412620093</v>
      </c>
      <c r="G887" s="67"/>
      <c r="H887" s="67">
        <f t="shared" si="150"/>
        <v>2465.9336141262011</v>
      </c>
      <c r="I887" s="67"/>
      <c r="J887" s="67"/>
      <c r="K887" s="67"/>
      <c r="L887" s="70" t="s">
        <v>1905</v>
      </c>
      <c r="M887" s="67">
        <f t="shared" si="151"/>
        <v>171392.95800000001</v>
      </c>
      <c r="N887" s="67">
        <f t="shared" si="151"/>
        <v>21797.617999999999</v>
      </c>
      <c r="O887" s="67">
        <f t="shared" si="151"/>
        <v>22797.696</v>
      </c>
      <c r="P887" s="67">
        <f t="shared" si="151"/>
        <v>37165.832999999999</v>
      </c>
      <c r="Q887" s="67">
        <f>((F777-$F777)*(('Lake Pleasant Forecast'!B43-1526.8)/0.7702))/1000</f>
        <v>0</v>
      </c>
      <c r="R887" s="67">
        <f t="shared" si="152"/>
        <v>253154.10499999998</v>
      </c>
      <c r="S887" s="561"/>
      <c r="U887" s="67">
        <f t="shared" si="153"/>
        <v>15520.706999999999</v>
      </c>
      <c r="V887" s="72">
        <v>2.4700000000000002</v>
      </c>
    </row>
    <row r="888" spans="1:22" ht="15.75" customHeight="1" x14ac:dyDescent="0.3">
      <c r="A888" s="553" t="s">
        <v>1906</v>
      </c>
      <c r="B888" s="67">
        <f t="shared" si="149"/>
        <v>0</v>
      </c>
      <c r="C888" s="67">
        <f t="shared" si="149"/>
        <v>0</v>
      </c>
      <c r="D888" s="67">
        <f t="shared" si="149"/>
        <v>0</v>
      </c>
      <c r="E888" s="67">
        <f t="shared" si="149"/>
        <v>0</v>
      </c>
      <c r="F888" s="67">
        <f>(F778*(('Lake Pleasant Forecast'!B45-1526.8)/0.7702))/1000</f>
        <v>0</v>
      </c>
      <c r="G888" s="67"/>
      <c r="H888" s="67">
        <f t="shared" si="150"/>
        <v>0</v>
      </c>
      <c r="I888" s="67"/>
      <c r="J888" s="67"/>
      <c r="K888" s="67"/>
      <c r="L888" s="70" t="s">
        <v>1906</v>
      </c>
      <c r="M888" s="67">
        <f t="shared" si="151"/>
        <v>125555.52899999999</v>
      </c>
      <c r="N888" s="67">
        <f t="shared" si="151"/>
        <v>15955.16</v>
      </c>
      <c r="O888" s="67">
        <f t="shared" si="151"/>
        <v>16677.759999999998</v>
      </c>
      <c r="P888" s="67">
        <f t="shared" si="151"/>
        <v>26796.401999999998</v>
      </c>
      <c r="Q888" s="67">
        <f>((F778-$F778)*(('Lake Pleasant Forecast'!B45-1526.8)/0.7702))/1000</f>
        <v>0</v>
      </c>
      <c r="R888" s="67">
        <f t="shared" si="152"/>
        <v>184984.851</v>
      </c>
      <c r="S888" s="561"/>
      <c r="U888" s="67">
        <f t="shared" si="153"/>
        <v>14423.297</v>
      </c>
      <c r="V888" s="72">
        <v>2.4700000000000002</v>
      </c>
    </row>
    <row r="889" spans="1:22" ht="15.75" customHeight="1" x14ac:dyDescent="0.3">
      <c r="A889" s="553" t="s">
        <v>1907</v>
      </c>
      <c r="B889" s="67">
        <f t="shared" si="149"/>
        <v>0</v>
      </c>
      <c r="C889" s="67">
        <f t="shared" si="149"/>
        <v>0</v>
      </c>
      <c r="D889" s="67">
        <f t="shared" si="149"/>
        <v>0</v>
      </c>
      <c r="E889" s="67">
        <f t="shared" si="149"/>
        <v>0</v>
      </c>
      <c r="F889" s="67">
        <f>(F779*(('Lake Pleasant Forecast'!B47-1526.8)/0.7702))/1000</f>
        <v>0</v>
      </c>
      <c r="G889" s="67"/>
      <c r="H889" s="67">
        <f t="shared" si="150"/>
        <v>0</v>
      </c>
      <c r="I889" s="67"/>
      <c r="J889" s="67"/>
      <c r="K889" s="67"/>
      <c r="L889" s="70" t="s">
        <v>1907</v>
      </c>
      <c r="M889" s="67">
        <f t="shared" si="151"/>
        <v>38260.86</v>
      </c>
      <c r="N889" s="67">
        <f t="shared" si="151"/>
        <v>4826.808</v>
      </c>
      <c r="O889" s="67">
        <f t="shared" si="151"/>
        <v>5004.2879999999996</v>
      </c>
      <c r="P889" s="67">
        <f t="shared" si="151"/>
        <v>6605.9160000000002</v>
      </c>
      <c r="Q889" s="67">
        <f>((F779-$F779)*(('Lake Pleasant Forecast'!B47-1526.8)/0.7702))/1000</f>
        <v>0</v>
      </c>
      <c r="R889" s="67">
        <f t="shared" si="152"/>
        <v>54697.871999999996</v>
      </c>
      <c r="S889" s="561"/>
      <c r="U889" s="67">
        <f t="shared" si="153"/>
        <v>16542.839</v>
      </c>
      <c r="V889" s="72">
        <v>2.4700000000000002</v>
      </c>
    </row>
    <row r="890" spans="1:22" ht="15.75" customHeight="1" x14ac:dyDescent="0.3">
      <c r="A890" s="553" t="s">
        <v>1908</v>
      </c>
      <c r="B890" s="67">
        <f t="shared" si="149"/>
        <v>0</v>
      </c>
      <c r="C890" s="67">
        <f t="shared" si="149"/>
        <v>0</v>
      </c>
      <c r="D890" s="67">
        <f t="shared" si="149"/>
        <v>0</v>
      </c>
      <c r="E890" s="67">
        <f t="shared" si="149"/>
        <v>0</v>
      </c>
      <c r="F890" s="67">
        <f>(F780*(('Lake Pleasant Forecast'!B49-1526.8)/0.7702))/1000</f>
        <v>0</v>
      </c>
      <c r="G890" s="67"/>
      <c r="H890" s="67">
        <f t="shared" si="150"/>
        <v>0</v>
      </c>
      <c r="I890" s="67"/>
      <c r="J890" s="67"/>
      <c r="K890" s="67"/>
      <c r="L890" s="70" t="s">
        <v>1908</v>
      </c>
      <c r="M890" s="67">
        <f t="shared" si="151"/>
        <v>82872.372000000003</v>
      </c>
      <c r="N890" s="67">
        <f t="shared" si="151"/>
        <v>10523.964</v>
      </c>
      <c r="O890" s="67">
        <f t="shared" si="151"/>
        <v>10993.92</v>
      </c>
      <c r="P890" s="67">
        <f t="shared" si="151"/>
        <v>16725.468000000001</v>
      </c>
      <c r="Q890" s="67">
        <f>((F780-$F780)*(('Lake Pleasant Forecast'!B49-1526.8)/0.7702))/1000</f>
        <v>0</v>
      </c>
      <c r="R890" s="67">
        <f t="shared" si="152"/>
        <v>121115.72400000002</v>
      </c>
      <c r="S890" s="561"/>
      <c r="U890" s="67">
        <f t="shared" si="153"/>
        <v>12659.001</v>
      </c>
      <c r="V890" s="72">
        <v>2.4700000000000002</v>
      </c>
    </row>
    <row r="891" spans="1:22" ht="15.75" customHeight="1" x14ac:dyDescent="0.3">
      <c r="A891" s="553" t="s">
        <v>2352</v>
      </c>
      <c r="B891" s="67">
        <f t="shared" si="149"/>
        <v>4428.9960000000001</v>
      </c>
      <c r="C891" s="67">
        <f t="shared" si="149"/>
        <v>564.61599999999999</v>
      </c>
      <c r="D891" s="67">
        <f t="shared" si="149"/>
        <v>592.38400000000001</v>
      </c>
      <c r="E891" s="67">
        <f t="shared" si="149"/>
        <v>1013.532</v>
      </c>
      <c r="F891" s="67">
        <f>(F781*(('Lake Pleasant Forecast'!B51-1526.8)/0.7702))/1000</f>
        <v>788.29822522747929</v>
      </c>
      <c r="G891" s="67"/>
      <c r="H891" s="67">
        <f t="shared" si="150"/>
        <v>7387.8262252274799</v>
      </c>
      <c r="I891" s="67"/>
      <c r="J891" s="67"/>
      <c r="K891" s="67"/>
      <c r="L891" s="70" t="s">
        <v>2352</v>
      </c>
      <c r="M891" s="67">
        <f t="shared" si="151"/>
        <v>127043.664</v>
      </c>
      <c r="N891" s="67">
        <f t="shared" si="151"/>
        <v>16157.191999999999</v>
      </c>
      <c r="O891" s="67">
        <f t="shared" si="151"/>
        <v>16895.743999999999</v>
      </c>
      <c r="P891" s="67">
        <f t="shared" si="151"/>
        <v>27299.445</v>
      </c>
      <c r="Q891" s="67">
        <f>((F781-$F781)*(('Lake Pleasant Forecast'!B51-1526.8)/0.7702))/1000</f>
        <v>0</v>
      </c>
      <c r="R891" s="67">
        <f t="shared" si="152"/>
        <v>187396.04500000001</v>
      </c>
      <c r="S891" s="561"/>
      <c r="U891" s="67">
        <f t="shared" si="153"/>
        <v>12526.703000000001</v>
      </c>
      <c r="V891" s="72">
        <v>2.4700000000000002</v>
      </c>
    </row>
    <row r="892" spans="1:22" ht="15.75" customHeight="1" x14ac:dyDescent="0.3">
      <c r="A892" s="553" t="s">
        <v>2353</v>
      </c>
      <c r="B892" s="67">
        <f t="shared" si="149"/>
        <v>9495.3539999999994</v>
      </c>
      <c r="C892" s="67">
        <f t="shared" si="149"/>
        <v>1210.4839999999999</v>
      </c>
      <c r="D892" s="67">
        <f t="shared" si="149"/>
        <v>1270.0160000000001</v>
      </c>
      <c r="E892" s="67">
        <f t="shared" si="149"/>
        <v>2172.9180000000001</v>
      </c>
      <c r="F892" s="67">
        <f>(F782*(('Lake Pleasant Forecast'!B53-1526.8)/0.7702))/1000</f>
        <v>1789.6185925733585</v>
      </c>
      <c r="G892" s="67"/>
      <c r="H892" s="67">
        <f t="shared" si="150"/>
        <v>15938.390592573358</v>
      </c>
      <c r="I892" s="67"/>
      <c r="J892" s="67"/>
      <c r="K892" s="67"/>
      <c r="L892" s="70" t="s">
        <v>2353</v>
      </c>
      <c r="M892" s="67">
        <f t="shared" si="151"/>
        <v>21115.248</v>
      </c>
      <c r="N892" s="67">
        <f t="shared" si="151"/>
        <v>2657.038</v>
      </c>
      <c r="O892" s="67">
        <f t="shared" si="151"/>
        <v>2749.6959999999999</v>
      </c>
      <c r="P892" s="67">
        <f t="shared" si="151"/>
        <v>3775.3409999999999</v>
      </c>
      <c r="Q892" s="67">
        <f>((F782-$F782)*(('Lake Pleasant Forecast'!B53-1526.8)/0.7702))/1000</f>
        <v>0</v>
      </c>
      <c r="R892" s="67">
        <f t="shared" si="152"/>
        <v>30297.323</v>
      </c>
      <c r="S892" s="561"/>
      <c r="U892" s="67">
        <f t="shared" si="153"/>
        <v>10928.755999999999</v>
      </c>
      <c r="V892" s="72">
        <v>2.4700000000000002</v>
      </c>
    </row>
    <row r="893" spans="1:22" ht="15.75" customHeight="1" x14ac:dyDescent="0.3">
      <c r="A893" s="553" t="s">
        <v>2354</v>
      </c>
      <c r="B893" s="67">
        <f t="shared" si="149"/>
        <v>104538.852</v>
      </c>
      <c r="C893" s="67">
        <f t="shared" si="149"/>
        <v>13326.791999999999</v>
      </c>
      <c r="D893" s="67">
        <f t="shared" si="149"/>
        <v>13982.208000000001</v>
      </c>
      <c r="E893" s="67">
        <f t="shared" si="149"/>
        <v>23922.684000000001</v>
      </c>
      <c r="F893" s="67">
        <f>(F783*(('Lake Pleasant Forecast'!B55-1526.8)/0.7702))/1000</f>
        <v>20738.104284601406</v>
      </c>
      <c r="G893" s="67"/>
      <c r="H893" s="67">
        <f t="shared" si="150"/>
        <v>176508.64028460142</v>
      </c>
      <c r="I893" s="67"/>
      <c r="J893" s="67"/>
      <c r="K893" s="67"/>
      <c r="L893" s="70" t="s">
        <v>2354</v>
      </c>
      <c r="M893" s="67">
        <f t="shared" si="151"/>
        <v>61299.678</v>
      </c>
      <c r="N893" s="67">
        <f t="shared" si="151"/>
        <v>7785.9179999999997</v>
      </c>
      <c r="O893" s="67">
        <f t="shared" si="151"/>
        <v>8134.9120000000003</v>
      </c>
      <c r="P893" s="67">
        <f t="shared" si="151"/>
        <v>13253.441999999999</v>
      </c>
      <c r="Q893" s="67">
        <f>((F783-$F783)*(('Lake Pleasant Forecast'!B55-1526.8)/0.7702))/1000</f>
        <v>0</v>
      </c>
      <c r="R893" s="67">
        <f t="shared" si="152"/>
        <v>90473.95</v>
      </c>
      <c r="S893" s="561"/>
      <c r="U893" s="67">
        <f t="shared" si="153"/>
        <v>12346.528999999999</v>
      </c>
      <c r="V893" s="72">
        <v>2.4700000000000002</v>
      </c>
    </row>
    <row r="894" spans="1:22" ht="15.75" customHeight="1" x14ac:dyDescent="0.3">
      <c r="A894" s="553" t="s">
        <v>2355</v>
      </c>
      <c r="B894" s="67">
        <f t="shared" si="149"/>
        <v>53960.445</v>
      </c>
      <c r="C894" s="67">
        <f t="shared" si="149"/>
        <v>6878.97</v>
      </c>
      <c r="D894" s="67">
        <f t="shared" si="149"/>
        <v>7217.28</v>
      </c>
      <c r="E894" s="67">
        <f t="shared" si="149"/>
        <v>12348.315000000001</v>
      </c>
      <c r="F894" s="67">
        <f>(F784*(('Lake Pleasant Forecast'!B57-1526.8)/0.7702))/1000</f>
        <v>11211.040831724471</v>
      </c>
      <c r="G894" s="67"/>
      <c r="H894" s="67">
        <f t="shared" si="150"/>
        <v>91616.050831724482</v>
      </c>
      <c r="I894" s="67"/>
      <c r="J894" s="67"/>
      <c r="K894" s="67"/>
      <c r="L894" s="70" t="s">
        <v>2355</v>
      </c>
      <c r="M894" s="67">
        <f t="shared" si="151"/>
        <v>74258.414999999994</v>
      </c>
      <c r="N894" s="67">
        <f t="shared" si="151"/>
        <v>9443.8979999999992</v>
      </c>
      <c r="O894" s="67">
        <f t="shared" si="151"/>
        <v>9885.44</v>
      </c>
      <c r="P894" s="67">
        <f t="shared" si="151"/>
        <v>15615.576000000005</v>
      </c>
      <c r="Q894" s="67">
        <f>((F784-$F784)*(('Lake Pleasant Forecast'!B57-1526.8)/0.7702))/1000</f>
        <v>0</v>
      </c>
      <c r="R894" s="67">
        <f t="shared" si="152"/>
        <v>109203.329</v>
      </c>
      <c r="S894" s="561"/>
      <c r="U894" s="67">
        <f t="shared" si="153"/>
        <v>9832.9660000000003</v>
      </c>
      <c r="V894" s="72">
        <v>2.4700000000000002</v>
      </c>
    </row>
    <row r="895" spans="1:22" ht="15.75" customHeight="1" x14ac:dyDescent="0.3">
      <c r="A895" s="551"/>
      <c r="B895" s="67"/>
      <c r="C895" s="67"/>
      <c r="D895" s="67"/>
      <c r="E895" s="67"/>
      <c r="F895" s="67"/>
      <c r="G895" s="67"/>
      <c r="H895" s="67"/>
      <c r="I895" s="67"/>
      <c r="J895" s="67"/>
      <c r="K895" s="67"/>
      <c r="L895" s="67"/>
      <c r="M895" s="67"/>
      <c r="N895" s="67"/>
      <c r="O895" s="67"/>
      <c r="P895" s="67"/>
      <c r="Q895" s="67"/>
      <c r="R895" s="67"/>
      <c r="S895" s="561"/>
      <c r="U895" s="67">
        <f t="shared" si="153"/>
        <v>6876.1490000000003</v>
      </c>
      <c r="V895" s="72">
        <v>2.4700000000000002</v>
      </c>
    </row>
    <row r="896" spans="1:22" ht="16.5" customHeight="1" thickBot="1" x14ac:dyDescent="0.35">
      <c r="A896" s="558" t="s">
        <v>2356</v>
      </c>
      <c r="B896" s="555">
        <f>SUM(B883:B894)</f>
        <v>394044.75000000006</v>
      </c>
      <c r="C896" s="555">
        <f>SUM(C883:C894)</f>
        <v>50233.5</v>
      </c>
      <c r="D896" s="555">
        <f>SUM(D883:D894)</f>
        <v>52704</v>
      </c>
      <c r="E896" s="555">
        <f>SUM(E883:E894)</f>
        <v>90173.25</v>
      </c>
      <c r="F896" s="555">
        <f>SUM(F883:F894)</f>
        <v>84691.823497824138</v>
      </c>
      <c r="G896" s="555"/>
      <c r="H896" s="555">
        <f>SUM(H883:H894)</f>
        <v>671847.32349782414</v>
      </c>
      <c r="I896" s="555"/>
      <c r="J896" s="555"/>
      <c r="K896" s="555"/>
      <c r="L896" s="564" t="s">
        <v>2356</v>
      </c>
      <c r="M896" s="555">
        <f t="shared" ref="M896:R896" si="154">SUM(M883:M894)</f>
        <v>1171369.9140000001</v>
      </c>
      <c r="N896" s="555">
        <f t="shared" si="154"/>
        <v>148901.24399999998</v>
      </c>
      <c r="O896" s="555">
        <f t="shared" si="154"/>
        <v>155713.024</v>
      </c>
      <c r="P896" s="555">
        <f t="shared" si="154"/>
        <v>240363.44999999998</v>
      </c>
      <c r="Q896" s="555">
        <f t="shared" si="154"/>
        <v>0</v>
      </c>
      <c r="R896" s="555">
        <f t="shared" si="154"/>
        <v>1716347.6319999998</v>
      </c>
      <c r="S896" s="565"/>
      <c r="U896" s="67">
        <f t="shared" si="153"/>
        <v>11660.906000000001</v>
      </c>
      <c r="V896" s="72">
        <v>2.4700000000000002</v>
      </c>
    </row>
    <row r="897" spans="1:22" ht="16.5" customHeight="1" thickBot="1" x14ac:dyDescent="0.35">
      <c r="A897" s="67"/>
      <c r="B897" s="67"/>
      <c r="C897" s="67"/>
      <c r="D897" s="67"/>
      <c r="E897" s="67"/>
      <c r="F897" s="67"/>
      <c r="G897" s="67"/>
      <c r="H897" s="67"/>
      <c r="I897" s="67"/>
      <c r="J897" s="67"/>
      <c r="K897" s="67"/>
      <c r="L897" s="67"/>
      <c r="M897" s="67"/>
      <c r="N897" s="67"/>
      <c r="O897" s="67"/>
      <c r="P897" s="67"/>
      <c r="Q897" s="67"/>
      <c r="R897" s="67"/>
      <c r="U897" s="67"/>
      <c r="V897" s="72"/>
    </row>
    <row r="898" spans="1:22" ht="15.75" customHeight="1" x14ac:dyDescent="0.3">
      <c r="A898" s="790" t="s">
        <v>2675</v>
      </c>
      <c r="B898" s="782"/>
      <c r="C898" s="782"/>
      <c r="D898" s="782"/>
      <c r="E898" s="782"/>
      <c r="F898" s="782"/>
      <c r="G898" s="782"/>
      <c r="H898" s="782"/>
      <c r="I898" s="782"/>
      <c r="J898" s="782"/>
      <c r="K898" s="782"/>
      <c r="L898" s="782"/>
      <c r="M898" s="782"/>
      <c r="N898" s="782"/>
      <c r="O898" s="782"/>
      <c r="P898" s="782"/>
      <c r="Q898" s="549" t="str">
        <f>+Q1</f>
        <v>PRINTED:</v>
      </c>
      <c r="R898" s="559">
        <f ca="1">+R1</f>
        <v>44881.72963425926</v>
      </c>
      <c r="S898" s="597"/>
      <c r="U898" s="67">
        <f>(SUM(U885:U896))</f>
        <v>149232.46099999998</v>
      </c>
      <c r="V898" s="72"/>
    </row>
    <row r="899" spans="1:22" ht="15.75" customHeight="1" x14ac:dyDescent="0.3">
      <c r="A899" s="792" t="str">
        <f>+A9</f>
        <v>Revised:  1/22/2013</v>
      </c>
      <c r="B899" s="786"/>
      <c r="C899" s="786"/>
      <c r="D899" s="786"/>
      <c r="E899" s="786"/>
      <c r="F899" s="786"/>
      <c r="G899" s="786"/>
      <c r="H899" s="786"/>
      <c r="I899" s="786"/>
      <c r="J899" s="786"/>
      <c r="K899" s="786"/>
      <c r="L899" s="786"/>
      <c r="M899" s="786"/>
      <c r="N899" s="786"/>
      <c r="O899" s="786"/>
      <c r="P899" s="786"/>
      <c r="Q899" s="67"/>
      <c r="R899" s="67"/>
      <c r="S899" s="552"/>
    </row>
    <row r="900" spans="1:22" ht="15.75" customHeight="1" x14ac:dyDescent="0.3">
      <c r="A900" s="792" t="s">
        <v>2676</v>
      </c>
      <c r="B900" s="786"/>
      <c r="C900" s="786"/>
      <c r="D900" s="786"/>
      <c r="E900" s="786"/>
      <c r="F900" s="786"/>
      <c r="G900" s="786"/>
      <c r="H900" s="786"/>
      <c r="I900" s="786"/>
      <c r="J900" s="786"/>
      <c r="K900" s="786"/>
      <c r="L900" s="786"/>
      <c r="M900" s="786"/>
      <c r="N900" s="786"/>
      <c r="O900" s="786"/>
      <c r="P900" s="786"/>
      <c r="Q900" s="67"/>
      <c r="R900" s="67"/>
      <c r="S900" s="552"/>
    </row>
    <row r="901" spans="1:22" ht="16.5" customHeight="1" thickBot="1" x14ac:dyDescent="0.35">
      <c r="A901" s="792" t="str">
        <f>+A5</f>
        <v>Calendar Year 2012</v>
      </c>
      <c r="B901" s="786"/>
      <c r="C901" s="786"/>
      <c r="D901" s="786"/>
      <c r="E901" s="786"/>
      <c r="F901" s="786"/>
      <c r="G901" s="786"/>
      <c r="H901" s="786"/>
      <c r="I901" s="786"/>
      <c r="J901" s="786"/>
      <c r="K901" s="786"/>
      <c r="L901" s="786"/>
      <c r="M901" s="786"/>
      <c r="N901" s="786"/>
      <c r="O901" s="786"/>
      <c r="P901" s="786"/>
      <c r="Q901" s="67"/>
      <c r="R901" s="67"/>
      <c r="S901" s="552"/>
    </row>
    <row r="902" spans="1:22" ht="16.5" customHeight="1" thickBot="1" x14ac:dyDescent="0.35">
      <c r="A902" s="598"/>
      <c r="B902" s="795" t="s">
        <v>2633</v>
      </c>
      <c r="C902" s="796"/>
      <c r="D902" s="796"/>
      <c r="E902" s="796"/>
      <c r="F902" s="797"/>
      <c r="G902" s="795" t="s">
        <v>2674</v>
      </c>
      <c r="H902" s="796"/>
      <c r="I902" s="796"/>
      <c r="J902" s="796"/>
      <c r="K902" s="796"/>
      <c r="L902" s="796"/>
      <c r="M902" s="798" t="s">
        <v>2677</v>
      </c>
      <c r="N902" s="811"/>
      <c r="O902" s="811"/>
      <c r="P902" s="795" t="s">
        <v>2682</v>
      </c>
      <c r="Q902" s="796"/>
      <c r="R902" s="797"/>
      <c r="S902" s="552"/>
    </row>
    <row r="903" spans="1:22" ht="15.75" customHeight="1" x14ac:dyDescent="0.3">
      <c r="A903" s="592"/>
      <c r="B903" s="553" t="s">
        <v>2439</v>
      </c>
      <c r="C903" s="70"/>
      <c r="D903" s="70" t="s">
        <v>336</v>
      </c>
      <c r="E903" s="70" t="s">
        <v>596</v>
      </c>
      <c r="F903" s="562" t="s">
        <v>2652</v>
      </c>
      <c r="G903" s="553" t="s">
        <v>228</v>
      </c>
      <c r="H903" s="70"/>
      <c r="I903" s="70"/>
      <c r="J903" s="70" t="s">
        <v>229</v>
      </c>
      <c r="K903" s="70" t="s">
        <v>2638</v>
      </c>
      <c r="L903" s="70" t="s">
        <v>2639</v>
      </c>
      <c r="M903" s="808" t="s">
        <v>2678</v>
      </c>
      <c r="N903" s="809"/>
      <c r="O903" s="809"/>
      <c r="P903" s="553" t="s">
        <v>2683</v>
      </c>
      <c r="Q903" s="610" t="s">
        <v>134</v>
      </c>
      <c r="R903" s="611" t="s">
        <v>2685</v>
      </c>
      <c r="S903" s="552"/>
    </row>
    <row r="904" spans="1:22" ht="29.25" customHeight="1" x14ac:dyDescent="0.3">
      <c r="A904" s="592"/>
      <c r="B904" s="593" t="s">
        <v>2648</v>
      </c>
      <c r="C904" s="588" t="s">
        <v>2656</v>
      </c>
      <c r="D904" s="588" t="s">
        <v>2651</v>
      </c>
      <c r="E904" s="70" t="s">
        <v>335</v>
      </c>
      <c r="F904" s="591" t="s">
        <v>2653</v>
      </c>
      <c r="G904" s="553" t="s">
        <v>2463</v>
      </c>
      <c r="H904" s="70" t="s">
        <v>1416</v>
      </c>
      <c r="I904" s="70" t="s">
        <v>1417</v>
      </c>
      <c r="J904" s="588" t="s">
        <v>2632</v>
      </c>
      <c r="K904" s="70" t="s">
        <v>2634</v>
      </c>
      <c r="L904" s="588" t="s">
        <v>2637</v>
      </c>
      <c r="M904" s="603" t="s">
        <v>2679</v>
      </c>
      <c r="N904" s="604" t="s">
        <v>2680</v>
      </c>
      <c r="O904" s="599" t="s">
        <v>2356</v>
      </c>
      <c r="P904" s="553" t="s">
        <v>2684</v>
      </c>
      <c r="Q904" s="70" t="s">
        <v>2686</v>
      </c>
      <c r="R904" s="562" t="s">
        <v>2687</v>
      </c>
      <c r="S904" s="552"/>
    </row>
    <row r="905" spans="1:22" ht="15.75" customHeight="1" x14ac:dyDescent="0.3">
      <c r="A905" s="592"/>
      <c r="B905" s="594" t="s">
        <v>2654</v>
      </c>
      <c r="C905" s="217">
        <v>5.0000000000000001E-3</v>
      </c>
      <c r="D905" s="217">
        <v>4.2999999999999997E-2</v>
      </c>
      <c r="E905" s="70" t="s">
        <v>133</v>
      </c>
      <c r="F905" s="595" t="s">
        <v>2649</v>
      </c>
      <c r="G905" s="553" t="s">
        <v>2650</v>
      </c>
      <c r="H905" s="70" t="s">
        <v>335</v>
      </c>
      <c r="I905" s="70" t="s">
        <v>335</v>
      </c>
      <c r="J905" s="70" t="s">
        <v>335</v>
      </c>
      <c r="K905" s="70" t="s">
        <v>134</v>
      </c>
      <c r="L905" s="70" t="s">
        <v>2636</v>
      </c>
      <c r="M905" s="605" t="s">
        <v>955</v>
      </c>
      <c r="N905" s="599" t="s">
        <v>2681</v>
      </c>
      <c r="O905" s="599" t="s">
        <v>2688</v>
      </c>
      <c r="P905" s="553" t="s">
        <v>335</v>
      </c>
      <c r="Q905" s="70" t="s">
        <v>335</v>
      </c>
      <c r="R905" s="562" t="s">
        <v>335</v>
      </c>
      <c r="S905" s="552"/>
    </row>
    <row r="906" spans="1:22" ht="15.75" customHeight="1" x14ac:dyDescent="0.3">
      <c r="A906" s="592" t="s">
        <v>249</v>
      </c>
      <c r="B906" s="553" t="s">
        <v>932</v>
      </c>
      <c r="C906" s="70" t="s">
        <v>932</v>
      </c>
      <c r="D906" s="70" t="s">
        <v>932</v>
      </c>
      <c r="E906" s="70" t="s">
        <v>932</v>
      </c>
      <c r="F906" s="562" t="s">
        <v>932</v>
      </c>
      <c r="G906" s="553" t="s">
        <v>932</v>
      </c>
      <c r="H906" s="70" t="s">
        <v>932</v>
      </c>
      <c r="I906" s="70" t="s">
        <v>932</v>
      </c>
      <c r="J906" s="70" t="s">
        <v>932</v>
      </c>
      <c r="K906" s="70" t="s">
        <v>932</v>
      </c>
      <c r="L906" s="70" t="s">
        <v>932</v>
      </c>
      <c r="M906" s="605" t="s">
        <v>932</v>
      </c>
      <c r="N906" s="599" t="s">
        <v>932</v>
      </c>
      <c r="O906" s="599" t="s">
        <v>932</v>
      </c>
      <c r="P906" s="553" t="s">
        <v>932</v>
      </c>
      <c r="Q906" s="70" t="s">
        <v>932</v>
      </c>
      <c r="R906" s="562" t="s">
        <v>932</v>
      </c>
      <c r="S906" s="552"/>
    </row>
    <row r="907" spans="1:22" ht="15.75" customHeight="1" x14ac:dyDescent="0.3">
      <c r="A907" s="592" t="s">
        <v>1353</v>
      </c>
      <c r="B907" s="553" t="s">
        <v>1353</v>
      </c>
      <c r="C907" s="70" t="s">
        <v>1353</v>
      </c>
      <c r="D907" s="70" t="s">
        <v>1353</v>
      </c>
      <c r="E907" s="70" t="s">
        <v>2202</v>
      </c>
      <c r="F907" s="562" t="s">
        <v>1353</v>
      </c>
      <c r="G907" s="553" t="s">
        <v>1353</v>
      </c>
      <c r="H907" s="70" t="s">
        <v>2119</v>
      </c>
      <c r="I907" s="70" t="s">
        <v>2119</v>
      </c>
      <c r="J907" s="70" t="s">
        <v>1353</v>
      </c>
      <c r="K907" s="70" t="s">
        <v>1353</v>
      </c>
      <c r="L907" s="70" t="s">
        <v>1353</v>
      </c>
      <c r="M907" s="605" t="s">
        <v>1353</v>
      </c>
      <c r="N907" s="599" t="s">
        <v>1353</v>
      </c>
      <c r="O907" s="599" t="s">
        <v>1353</v>
      </c>
      <c r="P907" s="553" t="s">
        <v>1353</v>
      </c>
      <c r="Q907" s="70" t="s">
        <v>1353</v>
      </c>
      <c r="R907" s="562" t="s">
        <v>1353</v>
      </c>
      <c r="S907" s="552"/>
    </row>
    <row r="908" spans="1:22" ht="15.75" customHeight="1" x14ac:dyDescent="0.3">
      <c r="A908" s="592" t="s">
        <v>1354</v>
      </c>
      <c r="B908" s="553">
        <f t="shared" ref="B908:B919" si="155">+H798</f>
        <v>311164.85499350814</v>
      </c>
      <c r="C908" s="70">
        <f t="shared" ref="C908:C919" si="156">+B908*$C$905</f>
        <v>1555.8242749675408</v>
      </c>
      <c r="D908" s="70">
        <f t="shared" ref="D908:D919" si="157">(B908*D$905)</f>
        <v>13380.088764720849</v>
      </c>
      <c r="E908" s="70">
        <f t="shared" ref="E908:E919" si="158">+B908+C908</f>
        <v>312720.67926847568</v>
      </c>
      <c r="F908" s="562">
        <f t="shared" ref="F908:F919" si="159">(D908+E908)</f>
        <v>326100.76803319651</v>
      </c>
      <c r="G908" s="553">
        <f>(G773*(('Lake Pleasant Forecast'!B35-1591.4)/0.6635))/(-1000)</f>
        <v>0</v>
      </c>
      <c r="H908" s="70">
        <f>(K975)</f>
        <v>12856</v>
      </c>
      <c r="I908" s="70">
        <f t="shared" ref="I908:I919" si="160">(O975)</f>
        <v>0</v>
      </c>
      <c r="J908" s="70">
        <f>(H908+I908)</f>
        <v>12856</v>
      </c>
      <c r="K908" s="600">
        <v>0</v>
      </c>
      <c r="L908" s="600">
        <v>0</v>
      </c>
      <c r="M908" s="606">
        <v>310620</v>
      </c>
      <c r="N908" s="607">
        <v>9300</v>
      </c>
      <c r="O908" s="599">
        <f>+M908+N908</f>
        <v>319920</v>
      </c>
      <c r="P908" s="612">
        <f>(F908-G908-J908-K908-L908-O908)</f>
        <v>-6675.2319668034906</v>
      </c>
      <c r="Q908" s="70" t="str">
        <f>+IF(P908&gt;=0,ABS(P908),"")</f>
        <v/>
      </c>
      <c r="R908" s="562">
        <f>+IF(P908&lt;=0,ABS(P908),"")</f>
        <v>6675.2319668034906</v>
      </c>
      <c r="S908" s="552"/>
    </row>
    <row r="909" spans="1:22" ht="15.75" customHeight="1" x14ac:dyDescent="0.3">
      <c r="A909" s="592" t="s">
        <v>706</v>
      </c>
      <c r="B909" s="553">
        <f t="shared" si="155"/>
        <v>286644.85995118151</v>
      </c>
      <c r="C909" s="70">
        <f t="shared" si="156"/>
        <v>1433.2242997559076</v>
      </c>
      <c r="D909" s="70">
        <f t="shared" si="157"/>
        <v>12325.728977900804</v>
      </c>
      <c r="E909" s="70">
        <f t="shared" si="158"/>
        <v>288078.08425093739</v>
      </c>
      <c r="F909" s="562">
        <f t="shared" si="159"/>
        <v>300403.8132288382</v>
      </c>
      <c r="G909" s="553">
        <f>(G774*(('Lake Pleasant Forecast'!B37-1591.4)/0.6635))/(-1000)</f>
        <v>0</v>
      </c>
      <c r="H909" s="70">
        <f t="shared" ref="H909:H919" si="161">(K976)</f>
        <v>14745</v>
      </c>
      <c r="I909" s="70">
        <f t="shared" si="160"/>
        <v>0</v>
      </c>
      <c r="J909" s="70">
        <f t="shared" ref="J909:J918" si="162">(H909+I909)</f>
        <v>14745</v>
      </c>
      <c r="K909" s="600">
        <v>0</v>
      </c>
      <c r="L909" s="600">
        <v>0</v>
      </c>
      <c r="M909" s="606">
        <v>253344</v>
      </c>
      <c r="N909" s="607">
        <v>0</v>
      </c>
      <c r="O909" s="599">
        <f t="shared" ref="O909:O921" si="163">+M909+N909</f>
        <v>253344</v>
      </c>
      <c r="P909" s="612">
        <f t="shared" ref="P909:P921" si="164">(F909-G909-J909-K909-L909-O909)</f>
        <v>32314.813228838204</v>
      </c>
      <c r="Q909" s="70">
        <f t="shared" ref="Q909:Q919" si="165">+IF(P909&gt;=0,ABS(P909),"")</f>
        <v>32314.813228838204</v>
      </c>
      <c r="R909" s="562" t="str">
        <f t="shared" ref="R909:R919" si="166">+IF(P909&lt;=0,ABS(P909),"")</f>
        <v/>
      </c>
      <c r="S909" s="552"/>
    </row>
    <row r="910" spans="1:22" ht="15.75" customHeight="1" x14ac:dyDescent="0.3">
      <c r="A910" s="592" t="s">
        <v>707</v>
      </c>
      <c r="B910" s="553">
        <f t="shared" si="155"/>
        <v>314340.83522456477</v>
      </c>
      <c r="C910" s="70">
        <f t="shared" si="156"/>
        <v>1571.7041761228238</v>
      </c>
      <c r="D910" s="70">
        <f t="shared" si="157"/>
        <v>13516.655914656283</v>
      </c>
      <c r="E910" s="70">
        <f t="shared" si="158"/>
        <v>315912.53940068762</v>
      </c>
      <c r="F910" s="562">
        <f t="shared" si="159"/>
        <v>329429.19531534391</v>
      </c>
      <c r="G910" s="553">
        <f>(G775*(('Lake Pleasant Forecast'!B39-1591.4)/0.6635))/(-1000)</f>
        <v>0</v>
      </c>
      <c r="H910" s="70">
        <f t="shared" si="161"/>
        <v>16776</v>
      </c>
      <c r="I910" s="70">
        <f t="shared" si="160"/>
        <v>0</v>
      </c>
      <c r="J910" s="70">
        <f t="shared" si="162"/>
        <v>16776</v>
      </c>
      <c r="K910" s="600">
        <v>0</v>
      </c>
      <c r="L910" s="600">
        <v>0</v>
      </c>
      <c r="M910" s="606">
        <v>303180</v>
      </c>
      <c r="N910" s="607">
        <v>9300</v>
      </c>
      <c r="O910" s="599">
        <f t="shared" si="163"/>
        <v>312480</v>
      </c>
      <c r="P910" s="612">
        <f t="shared" si="164"/>
        <v>173.1953153439099</v>
      </c>
      <c r="Q910" s="70">
        <f t="shared" si="165"/>
        <v>173.1953153439099</v>
      </c>
      <c r="R910" s="562" t="str">
        <f t="shared" si="166"/>
        <v/>
      </c>
      <c r="S910" s="552"/>
    </row>
    <row r="911" spans="1:22" ht="15.75" customHeight="1" x14ac:dyDescent="0.3">
      <c r="A911" s="592" t="s">
        <v>1321</v>
      </c>
      <c r="B911" s="553">
        <f t="shared" si="155"/>
        <v>305433.23778031679</v>
      </c>
      <c r="C911" s="70">
        <f t="shared" si="156"/>
        <v>1527.1661889015841</v>
      </c>
      <c r="D911" s="70">
        <f t="shared" si="157"/>
        <v>13133.629224553621</v>
      </c>
      <c r="E911" s="70">
        <f t="shared" si="158"/>
        <v>306960.40396921837</v>
      </c>
      <c r="F911" s="562">
        <f t="shared" si="159"/>
        <v>320094.03319377202</v>
      </c>
      <c r="G911" s="553">
        <f>(G776*(('Lake Pleasant Forecast'!B41-1591.4)/0.6635))/(-1000)</f>
        <v>683.35389600602923</v>
      </c>
      <c r="H911" s="70">
        <f t="shared" si="161"/>
        <v>20692</v>
      </c>
      <c r="I911" s="70">
        <f t="shared" si="160"/>
        <v>0</v>
      </c>
      <c r="J911" s="70">
        <f t="shared" si="162"/>
        <v>20692</v>
      </c>
      <c r="K911" s="600">
        <v>0</v>
      </c>
      <c r="L911" s="600">
        <v>0</v>
      </c>
      <c r="M911" s="606">
        <v>269280</v>
      </c>
      <c r="N911" s="607">
        <v>0</v>
      </c>
      <c r="O911" s="599">
        <f t="shared" si="163"/>
        <v>269280</v>
      </c>
      <c r="P911" s="612">
        <f t="shared" si="164"/>
        <v>29438.679297766008</v>
      </c>
      <c r="Q911" s="70">
        <f t="shared" si="165"/>
        <v>29438.679297766008</v>
      </c>
      <c r="R911" s="562" t="str">
        <f t="shared" si="166"/>
        <v/>
      </c>
      <c r="S911" s="552"/>
    </row>
    <row r="912" spans="1:22" ht="15.75" customHeight="1" x14ac:dyDescent="0.3">
      <c r="A912" s="592" t="s">
        <v>1905</v>
      </c>
      <c r="B912" s="553">
        <f t="shared" si="155"/>
        <v>306314.17061412625</v>
      </c>
      <c r="C912" s="70">
        <f t="shared" si="156"/>
        <v>1531.5708530706313</v>
      </c>
      <c r="D912" s="70">
        <f t="shared" si="157"/>
        <v>13171.509336407427</v>
      </c>
      <c r="E912" s="70">
        <f t="shared" si="158"/>
        <v>307845.7414671969</v>
      </c>
      <c r="F912" s="562">
        <f t="shared" si="159"/>
        <v>321017.25080360431</v>
      </c>
      <c r="G912" s="553">
        <f>(G777*(('Lake Pleasant Forecast'!B43-1591.4)/0.6635))/(-1000)</f>
        <v>3085.5234363225263</v>
      </c>
      <c r="H912" s="70">
        <f t="shared" si="161"/>
        <v>16816</v>
      </c>
      <c r="I912" s="70">
        <f t="shared" si="160"/>
        <v>0</v>
      </c>
      <c r="J912" s="70">
        <f t="shared" si="162"/>
        <v>16816</v>
      </c>
      <c r="K912" s="600">
        <v>0</v>
      </c>
      <c r="L912" s="600">
        <v>0</v>
      </c>
      <c r="M912" s="606">
        <v>293632</v>
      </c>
      <c r="N912" s="607">
        <v>0</v>
      </c>
      <c r="O912" s="599">
        <f t="shared" si="163"/>
        <v>293632</v>
      </c>
      <c r="P912" s="612">
        <f t="shared" si="164"/>
        <v>7483.7273672817973</v>
      </c>
      <c r="Q912" s="70">
        <f t="shared" si="165"/>
        <v>7483.7273672817973</v>
      </c>
      <c r="R912" s="562" t="str">
        <f t="shared" si="166"/>
        <v/>
      </c>
      <c r="S912" s="552"/>
    </row>
    <row r="913" spans="1:19" ht="15.75" customHeight="1" x14ac:dyDescent="0.3">
      <c r="A913" s="592" t="s">
        <v>1906</v>
      </c>
      <c r="B913" s="553">
        <f t="shared" si="155"/>
        <v>232899.36300000001</v>
      </c>
      <c r="C913" s="70">
        <f t="shared" si="156"/>
        <v>1164.4968150000002</v>
      </c>
      <c r="D913" s="70">
        <f t="shared" si="157"/>
        <v>10014.672608999999</v>
      </c>
      <c r="E913" s="70">
        <f t="shared" si="158"/>
        <v>234063.859815</v>
      </c>
      <c r="F913" s="562">
        <f t="shared" si="159"/>
        <v>244078.532424</v>
      </c>
      <c r="G913" s="553">
        <f>(G778*(('Lake Pleasant Forecast'!B45-1591.4)/0.6635))/(-1000)</f>
        <v>11330.480180859084</v>
      </c>
      <c r="H913" s="70">
        <f t="shared" si="161"/>
        <v>15424</v>
      </c>
      <c r="I913" s="70">
        <f t="shared" si="160"/>
        <v>0</v>
      </c>
      <c r="J913" s="70">
        <f t="shared" si="162"/>
        <v>15424</v>
      </c>
      <c r="K913" s="600">
        <v>0</v>
      </c>
      <c r="L913" s="600">
        <v>0</v>
      </c>
      <c r="M913" s="606">
        <v>233880</v>
      </c>
      <c r="N913" s="607">
        <v>4440</v>
      </c>
      <c r="O913" s="599">
        <f t="shared" si="163"/>
        <v>238320</v>
      </c>
      <c r="P913" s="612">
        <f t="shared" si="164"/>
        <v>-20995.947756859066</v>
      </c>
      <c r="Q913" s="70" t="str">
        <f t="shared" si="165"/>
        <v/>
      </c>
      <c r="R913" s="562">
        <f t="shared" si="166"/>
        <v>20995.947756859066</v>
      </c>
      <c r="S913" s="552"/>
    </row>
    <row r="914" spans="1:19" ht="15.75" customHeight="1" x14ac:dyDescent="0.3">
      <c r="A914" s="592" t="s">
        <v>1907</v>
      </c>
      <c r="B914" s="553">
        <f t="shared" si="155"/>
        <v>98435.890000000014</v>
      </c>
      <c r="C914" s="70">
        <f t="shared" si="156"/>
        <v>492.17945000000009</v>
      </c>
      <c r="D914" s="70">
        <f t="shared" si="157"/>
        <v>4232.7432699999999</v>
      </c>
      <c r="E914" s="70">
        <f t="shared" si="158"/>
        <v>98928.06945000001</v>
      </c>
      <c r="F914" s="562">
        <f t="shared" si="159"/>
        <v>103160.81272000002</v>
      </c>
      <c r="G914" s="553">
        <f>(G779*(('Lake Pleasant Forecast'!B47-1591.4)/0.6635))/(-1000)</f>
        <v>16560.702818387337</v>
      </c>
      <c r="H914" s="70">
        <f t="shared" si="161"/>
        <v>14843</v>
      </c>
      <c r="I914" s="70">
        <f t="shared" si="160"/>
        <v>0</v>
      </c>
      <c r="J914" s="70">
        <f t="shared" si="162"/>
        <v>14843</v>
      </c>
      <c r="K914" s="600">
        <v>0</v>
      </c>
      <c r="L914" s="600">
        <v>0</v>
      </c>
      <c r="M914" s="606">
        <v>36363</v>
      </c>
      <c r="N914" s="607">
        <v>2325</v>
      </c>
      <c r="O914" s="599">
        <f t="shared" si="163"/>
        <v>38688</v>
      </c>
      <c r="P914" s="612">
        <f t="shared" si="164"/>
        <v>33069.109901612683</v>
      </c>
      <c r="Q914" s="70">
        <f t="shared" si="165"/>
        <v>33069.109901612683</v>
      </c>
      <c r="R914" s="562" t="str">
        <f t="shared" si="166"/>
        <v/>
      </c>
      <c r="S914" s="552"/>
    </row>
    <row r="915" spans="1:19" ht="15.75" customHeight="1" x14ac:dyDescent="0.3">
      <c r="A915" s="592" t="s">
        <v>1908</v>
      </c>
      <c r="B915" s="553">
        <f t="shared" si="155"/>
        <v>165026.391</v>
      </c>
      <c r="C915" s="70">
        <f t="shared" si="156"/>
        <v>825.13195500000006</v>
      </c>
      <c r="D915" s="70">
        <f t="shared" si="157"/>
        <v>7096.1348129999997</v>
      </c>
      <c r="E915" s="70">
        <f t="shared" si="158"/>
        <v>165851.52295499999</v>
      </c>
      <c r="F915" s="562">
        <f t="shared" si="159"/>
        <v>172947.657768</v>
      </c>
      <c r="G915" s="553">
        <f>(G780*(('Lake Pleasant Forecast'!B49-1591.4)/0.6635))/(-1000)</f>
        <v>8927.3018227307584</v>
      </c>
      <c r="H915" s="70">
        <f t="shared" si="161"/>
        <v>12390</v>
      </c>
      <c r="I915" s="70">
        <f t="shared" si="160"/>
        <v>0</v>
      </c>
      <c r="J915" s="70">
        <f t="shared" si="162"/>
        <v>12390</v>
      </c>
      <c r="K915" s="600">
        <v>0</v>
      </c>
      <c r="L915" s="600">
        <v>0</v>
      </c>
      <c r="M915" s="606">
        <v>72602</v>
      </c>
      <c r="N915" s="607">
        <v>11470</v>
      </c>
      <c r="O915" s="599">
        <f t="shared" si="163"/>
        <v>84072</v>
      </c>
      <c r="P915" s="612">
        <f t="shared" si="164"/>
        <v>67558.355945269257</v>
      </c>
      <c r="Q915" s="70">
        <f t="shared" si="165"/>
        <v>67558.355945269257</v>
      </c>
      <c r="R915" s="562" t="str">
        <f t="shared" si="166"/>
        <v/>
      </c>
      <c r="S915" s="552"/>
    </row>
    <row r="916" spans="1:19" ht="15.75" customHeight="1" x14ac:dyDescent="0.3">
      <c r="A916" s="592" t="s">
        <v>2352</v>
      </c>
      <c r="B916" s="553">
        <f t="shared" si="155"/>
        <v>235182.34222522748</v>
      </c>
      <c r="C916" s="70">
        <f t="shared" si="156"/>
        <v>1175.9117111261373</v>
      </c>
      <c r="D916" s="70">
        <f t="shared" si="157"/>
        <v>10112.840715684781</v>
      </c>
      <c r="E916" s="70">
        <f t="shared" si="158"/>
        <v>236358.25393635361</v>
      </c>
      <c r="F916" s="562">
        <f t="shared" si="159"/>
        <v>246471.09465203839</v>
      </c>
      <c r="G916" s="553">
        <f>(G781*(('Lake Pleasant Forecast'!B51-1591.4)/0.6635))/(-1000)</f>
        <v>640.20734420698977</v>
      </c>
      <c r="H916" s="70">
        <f t="shared" si="161"/>
        <v>5923</v>
      </c>
      <c r="I916" s="70">
        <f t="shared" si="160"/>
        <v>0</v>
      </c>
      <c r="J916" s="70">
        <f t="shared" si="162"/>
        <v>5923</v>
      </c>
      <c r="K916" s="600">
        <v>0</v>
      </c>
      <c r="L916" s="600">
        <v>0</v>
      </c>
      <c r="M916" s="606">
        <v>263970</v>
      </c>
      <c r="N916" s="607">
        <v>6900</v>
      </c>
      <c r="O916" s="599">
        <f t="shared" si="163"/>
        <v>270870</v>
      </c>
      <c r="P916" s="612">
        <f t="shared" si="164"/>
        <v>-30962.112692168594</v>
      </c>
      <c r="Q916" s="70" t="str">
        <f t="shared" si="165"/>
        <v/>
      </c>
      <c r="R916" s="562">
        <f t="shared" si="166"/>
        <v>30962.112692168594</v>
      </c>
      <c r="S916" s="552"/>
    </row>
    <row r="917" spans="1:19" ht="15.75" customHeight="1" x14ac:dyDescent="0.3">
      <c r="A917" s="592" t="s">
        <v>2353</v>
      </c>
      <c r="B917" s="553">
        <f t="shared" si="155"/>
        <v>74130.27159257335</v>
      </c>
      <c r="C917" s="70">
        <f t="shared" si="156"/>
        <v>370.65135796286677</v>
      </c>
      <c r="D917" s="70">
        <f t="shared" si="157"/>
        <v>3187.6016784806538</v>
      </c>
      <c r="E917" s="70">
        <f t="shared" si="158"/>
        <v>74500.922950536216</v>
      </c>
      <c r="F917" s="562">
        <f t="shared" si="159"/>
        <v>77688.524629016872</v>
      </c>
      <c r="G917" s="553">
        <f>(G782*(('Lake Pleasant Forecast'!B53-1591.4)/0.6635))/(-1000)</f>
        <v>9528.3056518462618</v>
      </c>
      <c r="H917" s="70">
        <f t="shared" si="161"/>
        <v>6715</v>
      </c>
      <c r="I917" s="70">
        <f t="shared" si="160"/>
        <v>0</v>
      </c>
      <c r="J917" s="70">
        <f t="shared" si="162"/>
        <v>6715</v>
      </c>
      <c r="K917" s="600">
        <v>0</v>
      </c>
      <c r="L917" s="600">
        <v>0</v>
      </c>
      <c r="M917" s="606">
        <v>309132</v>
      </c>
      <c r="N917" s="607">
        <v>9300</v>
      </c>
      <c r="O917" s="599">
        <f t="shared" si="163"/>
        <v>318432</v>
      </c>
      <c r="P917" s="612">
        <f t="shared" si="164"/>
        <v>-256986.78102282938</v>
      </c>
      <c r="Q917" s="70" t="str">
        <f t="shared" si="165"/>
        <v/>
      </c>
      <c r="R917" s="562">
        <f t="shared" si="166"/>
        <v>256986.78102282938</v>
      </c>
      <c r="S917" s="552"/>
    </row>
    <row r="918" spans="1:19" ht="15.75" customHeight="1" x14ac:dyDescent="0.3">
      <c r="A918" s="592" t="s">
        <v>2354</v>
      </c>
      <c r="B918" s="553">
        <f t="shared" si="155"/>
        <v>283610.06928460143</v>
      </c>
      <c r="C918" s="70">
        <f t="shared" si="156"/>
        <v>1418.0503464230071</v>
      </c>
      <c r="D918" s="70">
        <f t="shared" si="157"/>
        <v>12195.23297923786</v>
      </c>
      <c r="E918" s="70">
        <f t="shared" si="158"/>
        <v>285028.11963102443</v>
      </c>
      <c r="F918" s="562">
        <f t="shared" si="159"/>
        <v>297223.35261026229</v>
      </c>
      <c r="G918" s="553">
        <f>(G783*(('Lake Pleasant Forecast'!B55-1591.4)/0.6635))/(-1000)</f>
        <v>0</v>
      </c>
      <c r="H918" s="70">
        <f t="shared" si="161"/>
        <v>8425</v>
      </c>
      <c r="I918" s="70">
        <f t="shared" si="160"/>
        <v>0</v>
      </c>
      <c r="J918" s="70">
        <f t="shared" si="162"/>
        <v>8425</v>
      </c>
      <c r="K918" s="600">
        <v>0</v>
      </c>
      <c r="L918" s="600">
        <v>0</v>
      </c>
      <c r="M918" s="606">
        <v>0</v>
      </c>
      <c r="N918" s="607">
        <v>0</v>
      </c>
      <c r="O918" s="599">
        <f t="shared" si="163"/>
        <v>0</v>
      </c>
      <c r="P918" s="612">
        <f t="shared" si="164"/>
        <v>288798.35261026229</v>
      </c>
      <c r="Q918" s="70">
        <f t="shared" si="165"/>
        <v>288798.35261026229</v>
      </c>
      <c r="R918" s="562" t="str">
        <f t="shared" si="166"/>
        <v/>
      </c>
      <c r="S918" s="552"/>
    </row>
    <row r="919" spans="1:19" ht="15.75" customHeight="1" x14ac:dyDescent="0.3">
      <c r="A919" s="592" t="s">
        <v>2355</v>
      </c>
      <c r="B919" s="553">
        <f t="shared" si="155"/>
        <v>230370.25383172449</v>
      </c>
      <c r="C919" s="70">
        <f t="shared" si="156"/>
        <v>1151.8512691586225</v>
      </c>
      <c r="D919" s="70">
        <f t="shared" si="157"/>
        <v>9905.9209147641523</v>
      </c>
      <c r="E919" s="70">
        <f t="shared" si="158"/>
        <v>231522.10510088311</v>
      </c>
      <c r="F919" s="562">
        <f t="shared" si="159"/>
        <v>241428.02601564728</v>
      </c>
      <c r="G919" s="553">
        <f>(G784*(('Lake Pleasant Forecast'!B57-1591.4)/0.6635))/(-1000)</f>
        <v>0</v>
      </c>
      <c r="H919" s="70">
        <f t="shared" si="161"/>
        <v>7570</v>
      </c>
      <c r="I919" s="70">
        <f t="shared" si="160"/>
        <v>0</v>
      </c>
      <c r="J919" s="70">
        <f>(H919+I919)</f>
        <v>7570</v>
      </c>
      <c r="K919" s="600">
        <v>0</v>
      </c>
      <c r="L919" s="600">
        <v>0</v>
      </c>
      <c r="M919" s="606">
        <v>226920</v>
      </c>
      <c r="N919" s="607">
        <v>65224</v>
      </c>
      <c r="O919" s="599">
        <f t="shared" si="163"/>
        <v>292144</v>
      </c>
      <c r="P919" s="612">
        <f t="shared" si="164"/>
        <v>-58285.97398435272</v>
      </c>
      <c r="Q919" s="70" t="str">
        <f t="shared" si="165"/>
        <v/>
      </c>
      <c r="R919" s="562">
        <f t="shared" si="166"/>
        <v>58285.97398435272</v>
      </c>
      <c r="S919" s="552"/>
    </row>
    <row r="920" spans="1:19" ht="15.75" customHeight="1" x14ac:dyDescent="0.3">
      <c r="A920" s="592" t="s">
        <v>2435</v>
      </c>
      <c r="B920" s="553" t="s">
        <v>2435</v>
      </c>
      <c r="C920" s="70"/>
      <c r="D920" s="70"/>
      <c r="E920" s="70" t="s">
        <v>852</v>
      </c>
      <c r="F920" s="562"/>
      <c r="G920" s="553"/>
      <c r="H920" s="70"/>
      <c r="I920" s="70" t="s">
        <v>852</v>
      </c>
      <c r="J920" s="70" t="s">
        <v>852</v>
      </c>
      <c r="K920" s="601"/>
      <c r="L920" s="70"/>
      <c r="M920" s="606"/>
      <c r="N920" s="607"/>
      <c r="O920" s="599">
        <f t="shared" si="163"/>
        <v>0</v>
      </c>
      <c r="P920" s="612"/>
      <c r="Q920" s="70"/>
      <c r="R920" s="562"/>
      <c r="S920" s="552"/>
    </row>
    <row r="921" spans="1:19" ht="16.5" customHeight="1" thickBot="1" x14ac:dyDescent="0.35">
      <c r="A921" s="596" t="s">
        <v>2356</v>
      </c>
      <c r="B921" s="558">
        <f>SUM(B908:B919)</f>
        <v>2843552.5394978244</v>
      </c>
      <c r="C921" s="564">
        <f>+SUM(C908:C919)</f>
        <v>14217.762697489121</v>
      </c>
      <c r="D921" s="564">
        <f>SUM(D908:D919)</f>
        <v>122272.75919840643</v>
      </c>
      <c r="E921" s="564">
        <f>(B921*1.005)</f>
        <v>2857770.3021953134</v>
      </c>
      <c r="F921" s="602">
        <f>SUM(F908:F919)</f>
        <v>2980043.0613937196</v>
      </c>
      <c r="G921" s="558">
        <f>SUM(G908:G919)</f>
        <v>50755.875150358988</v>
      </c>
      <c r="H921" s="564">
        <f>(K989)</f>
        <v>153175</v>
      </c>
      <c r="I921" s="564">
        <f>(O989)</f>
        <v>0</v>
      </c>
      <c r="J921" s="564">
        <f>(H921+I921)</f>
        <v>153175</v>
      </c>
      <c r="K921" s="564">
        <f>SUM(K908:K919)</f>
        <v>0</v>
      </c>
      <c r="L921" s="564">
        <f>SUM(L908:L919)</f>
        <v>0</v>
      </c>
      <c r="M921" s="608">
        <f>SUM(M908:M919)</f>
        <v>2572923</v>
      </c>
      <c r="N921" s="609">
        <f>SUM(N908:N919)</f>
        <v>118259</v>
      </c>
      <c r="O921" s="609">
        <f t="shared" si="163"/>
        <v>2691182</v>
      </c>
      <c r="P921" s="613">
        <f t="shared" si="164"/>
        <v>84930.186243360862</v>
      </c>
      <c r="Q921" s="564">
        <f>+SUM(Q908:Q919)</f>
        <v>458836.23366637412</v>
      </c>
      <c r="R921" s="602">
        <f>+SUM(R908:R919)</f>
        <v>373906.04742301325</v>
      </c>
      <c r="S921" s="552"/>
    </row>
    <row r="922" spans="1:19" ht="15.75" customHeight="1" x14ac:dyDescent="0.3">
      <c r="A922" s="579"/>
      <c r="B922" s="67"/>
      <c r="C922" s="67"/>
      <c r="D922" s="67"/>
      <c r="E922" s="67"/>
      <c r="F922" s="67" t="s">
        <v>2435</v>
      </c>
      <c r="G922" s="67"/>
      <c r="H922" s="67"/>
      <c r="I922" s="67"/>
      <c r="K922" s="67"/>
      <c r="L922" s="67"/>
      <c r="M922" s="219"/>
      <c r="P922" s="67"/>
      <c r="S922" s="561"/>
    </row>
    <row r="923" spans="1:19" ht="15.75" customHeight="1" x14ac:dyDescent="0.3">
      <c r="A923" s="551" t="s">
        <v>2640</v>
      </c>
      <c r="P923" s="67"/>
      <c r="Q923" s="67"/>
      <c r="R923" s="67"/>
      <c r="S923" s="561"/>
    </row>
    <row r="924" spans="1:19" ht="15.75" customHeight="1" x14ac:dyDescent="0.3">
      <c r="A924" s="551" t="s">
        <v>1660</v>
      </c>
      <c r="D924" s="67"/>
      <c r="E924" s="67"/>
      <c r="F924" s="67"/>
      <c r="G924" s="67"/>
      <c r="H924" s="67"/>
      <c r="I924" s="67"/>
      <c r="J924" s="67"/>
      <c r="K924" s="67"/>
      <c r="L924" s="67"/>
      <c r="M924" s="67"/>
      <c r="N924" s="67"/>
      <c r="O924" s="67"/>
      <c r="P924" s="67"/>
      <c r="Q924" s="67"/>
      <c r="R924" s="67"/>
      <c r="S924" s="561"/>
    </row>
    <row r="925" spans="1:19" ht="15.75" customHeight="1" x14ac:dyDescent="0.3">
      <c r="A925" s="551" t="s">
        <v>2635</v>
      </c>
      <c r="D925" s="67"/>
      <c r="E925" s="67"/>
      <c r="F925" s="67"/>
      <c r="G925" s="67"/>
      <c r="H925" s="67"/>
      <c r="I925" s="67"/>
      <c r="J925" s="67"/>
      <c r="K925" s="67"/>
      <c r="L925" s="67"/>
      <c r="M925" s="67"/>
      <c r="N925" s="67"/>
      <c r="O925" s="67"/>
      <c r="P925" s="67"/>
      <c r="Q925" s="67"/>
      <c r="R925" s="67"/>
      <c r="S925" s="561"/>
    </row>
    <row r="926" spans="1:19" ht="15.75" customHeight="1" x14ac:dyDescent="0.3">
      <c r="A926" s="551" t="s">
        <v>2626</v>
      </c>
      <c r="D926" s="67"/>
      <c r="E926" s="67"/>
      <c r="F926" s="67"/>
      <c r="G926" s="67"/>
      <c r="H926" s="67"/>
      <c r="I926" s="67"/>
      <c r="J926" s="67"/>
      <c r="K926" s="67"/>
      <c r="L926" s="67"/>
      <c r="M926" s="67"/>
      <c r="N926" s="67"/>
      <c r="O926" s="67"/>
      <c r="P926" s="67"/>
      <c r="Q926" s="67"/>
      <c r="R926" s="67"/>
      <c r="S926" s="561"/>
    </row>
    <row r="927" spans="1:19" ht="16.5" customHeight="1" thickBot="1" x14ac:dyDescent="0.35">
      <c r="A927" s="551"/>
      <c r="D927" s="67"/>
      <c r="E927" s="67"/>
      <c r="F927" s="67"/>
      <c r="G927" s="67"/>
      <c r="H927" s="67"/>
      <c r="I927" s="67"/>
      <c r="J927" s="67"/>
      <c r="K927" s="67"/>
      <c r="L927" s="67"/>
      <c r="M927" s="67"/>
      <c r="N927" s="67"/>
      <c r="O927" s="67"/>
      <c r="P927" s="67"/>
      <c r="Q927" s="67"/>
      <c r="R927" s="67"/>
      <c r="S927" s="561"/>
    </row>
    <row r="928" spans="1:19" ht="16.5" customHeight="1" thickBot="1" x14ac:dyDescent="0.35">
      <c r="A928" s="806" t="s">
        <v>2689</v>
      </c>
      <c r="B928" s="807"/>
      <c r="C928" s="807"/>
      <c r="D928" s="807"/>
      <c r="E928" s="807"/>
      <c r="F928" s="807"/>
      <c r="G928" s="807"/>
      <c r="H928" s="807"/>
      <c r="I928" s="807"/>
      <c r="J928" s="807"/>
      <c r="K928" s="807"/>
      <c r="L928" s="807"/>
      <c r="M928" s="807"/>
      <c r="N928" s="807"/>
      <c r="O928" s="807"/>
      <c r="P928" s="836"/>
      <c r="Q928" s="67"/>
      <c r="R928" s="67"/>
      <c r="S928" s="561"/>
    </row>
    <row r="929" spans="1:19" ht="16.5" customHeight="1" thickBot="1" x14ac:dyDescent="0.35">
      <c r="A929" s="598"/>
      <c r="B929" s="795" t="s">
        <v>2633</v>
      </c>
      <c r="C929" s="796"/>
      <c r="D929" s="796"/>
      <c r="E929" s="796"/>
      <c r="F929" s="797"/>
      <c r="G929" s="795" t="s">
        <v>2674</v>
      </c>
      <c r="H929" s="796"/>
      <c r="I929" s="796"/>
      <c r="J929" s="796"/>
      <c r="K929" s="796"/>
      <c r="L929" s="796"/>
      <c r="M929" s="798" t="s">
        <v>2677</v>
      </c>
      <c r="N929" s="811"/>
      <c r="O929" s="811"/>
      <c r="P929" s="795" t="s">
        <v>2682</v>
      </c>
      <c r="Q929" s="796"/>
      <c r="R929" s="797"/>
      <c r="S929" s="561"/>
    </row>
    <row r="930" spans="1:19" ht="15.75" customHeight="1" x14ac:dyDescent="0.3">
      <c r="A930" s="592"/>
      <c r="B930" s="553" t="s">
        <v>2439</v>
      </c>
      <c r="C930" s="70"/>
      <c r="D930" s="70" t="s">
        <v>336</v>
      </c>
      <c r="E930" s="70" t="s">
        <v>596</v>
      </c>
      <c r="F930" s="562" t="s">
        <v>2652</v>
      </c>
      <c r="G930" s="553" t="s">
        <v>228</v>
      </c>
      <c r="H930" s="70"/>
      <c r="I930" s="70"/>
      <c r="J930" s="70" t="s">
        <v>229</v>
      </c>
      <c r="K930" s="70" t="s">
        <v>2638</v>
      </c>
      <c r="L930" s="70" t="s">
        <v>2639</v>
      </c>
      <c r="M930" s="808" t="s">
        <v>2678</v>
      </c>
      <c r="N930" s="809"/>
      <c r="O930" s="809"/>
      <c r="P930" s="553" t="s">
        <v>2683</v>
      </c>
      <c r="Q930" s="610" t="s">
        <v>134</v>
      </c>
      <c r="R930" s="611" t="s">
        <v>2685</v>
      </c>
      <c r="S930" s="561"/>
    </row>
    <row r="931" spans="1:19" ht="29.25" customHeight="1" x14ac:dyDescent="0.3">
      <c r="A931" s="592"/>
      <c r="B931" s="593" t="s">
        <v>2648</v>
      </c>
      <c r="C931" s="588" t="s">
        <v>2656</v>
      </c>
      <c r="D931" s="588" t="s">
        <v>2651</v>
      </c>
      <c r="E931" s="70" t="s">
        <v>335</v>
      </c>
      <c r="F931" s="591" t="s">
        <v>2653</v>
      </c>
      <c r="G931" s="553" t="s">
        <v>2463</v>
      </c>
      <c r="H931" s="70" t="s">
        <v>1416</v>
      </c>
      <c r="I931" s="70" t="s">
        <v>1417</v>
      </c>
      <c r="J931" s="588" t="s">
        <v>2632</v>
      </c>
      <c r="K931" s="70" t="s">
        <v>2634</v>
      </c>
      <c r="L931" s="588" t="s">
        <v>2637</v>
      </c>
      <c r="M931" s="603" t="s">
        <v>2679</v>
      </c>
      <c r="N931" s="604" t="s">
        <v>2680</v>
      </c>
      <c r="O931" s="599" t="s">
        <v>2356</v>
      </c>
      <c r="P931" s="553" t="s">
        <v>2684</v>
      </c>
      <c r="Q931" s="70" t="s">
        <v>2686</v>
      </c>
      <c r="R931" s="562" t="s">
        <v>2687</v>
      </c>
      <c r="S931" s="561"/>
    </row>
    <row r="932" spans="1:19" ht="15.75" customHeight="1" x14ac:dyDescent="0.3">
      <c r="A932" s="592"/>
      <c r="B932" s="594" t="s">
        <v>2654</v>
      </c>
      <c r="C932" s="217">
        <v>5.0000000000000001E-3</v>
      </c>
      <c r="D932" s="217">
        <v>4.2999999999999997E-2</v>
      </c>
      <c r="E932" s="70" t="s">
        <v>133</v>
      </c>
      <c r="F932" s="595" t="s">
        <v>2649</v>
      </c>
      <c r="G932" s="553" t="s">
        <v>2650</v>
      </c>
      <c r="H932" s="70" t="s">
        <v>335</v>
      </c>
      <c r="I932" s="70" t="s">
        <v>335</v>
      </c>
      <c r="J932" s="70" t="s">
        <v>335</v>
      </c>
      <c r="K932" s="70" t="s">
        <v>134</v>
      </c>
      <c r="L932" s="70" t="s">
        <v>2636</v>
      </c>
      <c r="M932" s="605" t="s">
        <v>955</v>
      </c>
      <c r="N932" s="599" t="s">
        <v>2681</v>
      </c>
      <c r="O932" s="599" t="s">
        <v>2688</v>
      </c>
      <c r="P932" s="553" t="s">
        <v>335</v>
      </c>
      <c r="Q932" s="70" t="s">
        <v>335</v>
      </c>
      <c r="R932" s="562" t="s">
        <v>335</v>
      </c>
      <c r="S932" s="561"/>
    </row>
    <row r="933" spans="1:19" ht="15.75" customHeight="1" x14ac:dyDescent="0.3">
      <c r="A933" s="592" t="s">
        <v>249</v>
      </c>
      <c r="B933" s="553" t="s">
        <v>2695</v>
      </c>
      <c r="C933" s="70" t="s">
        <v>2695</v>
      </c>
      <c r="D933" s="70" t="s">
        <v>2695</v>
      </c>
      <c r="E933" s="70" t="s">
        <v>2695</v>
      </c>
      <c r="F933" s="70" t="s">
        <v>2695</v>
      </c>
      <c r="G933" s="553" t="s">
        <v>2695</v>
      </c>
      <c r="H933" s="70" t="s">
        <v>2695</v>
      </c>
      <c r="I933" s="70" t="s">
        <v>2695</v>
      </c>
      <c r="J933" s="70" t="s">
        <v>2695</v>
      </c>
      <c r="K933" s="70" t="s">
        <v>2695</v>
      </c>
      <c r="L933" s="70" t="s">
        <v>2695</v>
      </c>
      <c r="M933" s="605" t="s">
        <v>2695</v>
      </c>
      <c r="N933" s="599" t="s">
        <v>2696</v>
      </c>
      <c r="O933" s="599" t="s">
        <v>2695</v>
      </c>
      <c r="P933" s="553" t="s">
        <v>2695</v>
      </c>
      <c r="Q933" s="70" t="s">
        <v>2695</v>
      </c>
      <c r="R933" s="562" t="s">
        <v>2695</v>
      </c>
      <c r="S933" s="561"/>
    </row>
    <row r="934" spans="1:19" ht="15.75" customHeight="1" x14ac:dyDescent="0.3">
      <c r="A934" s="592" t="s">
        <v>1353</v>
      </c>
      <c r="B934" s="553" t="s">
        <v>1353</v>
      </c>
      <c r="C934" s="70" t="s">
        <v>1353</v>
      </c>
      <c r="D934" s="70" t="s">
        <v>1353</v>
      </c>
      <c r="E934" s="70" t="s">
        <v>2202</v>
      </c>
      <c r="F934" s="562" t="s">
        <v>1353</v>
      </c>
      <c r="G934" s="553" t="s">
        <v>1353</v>
      </c>
      <c r="H934" s="70" t="s">
        <v>2119</v>
      </c>
      <c r="I934" s="70" t="s">
        <v>2119</v>
      </c>
      <c r="J934" s="70" t="s">
        <v>1353</v>
      </c>
      <c r="K934" s="70" t="s">
        <v>1353</v>
      </c>
      <c r="L934" s="70" t="s">
        <v>1353</v>
      </c>
      <c r="M934" s="605" t="s">
        <v>1353</v>
      </c>
      <c r="N934" s="599" t="s">
        <v>1353</v>
      </c>
      <c r="O934" s="599" t="s">
        <v>1353</v>
      </c>
      <c r="P934" s="553" t="s">
        <v>1353</v>
      </c>
      <c r="Q934" s="70" t="s">
        <v>1353</v>
      </c>
      <c r="R934" s="562" t="s">
        <v>1353</v>
      </c>
      <c r="S934" s="561"/>
    </row>
    <row r="935" spans="1:19" ht="15.75" customHeight="1" x14ac:dyDescent="0.3">
      <c r="A935" s="592" t="s">
        <v>1354</v>
      </c>
      <c r="B935" s="553">
        <f>+B908/(31*24)</f>
        <v>418.23233198052168</v>
      </c>
      <c r="C935" s="70">
        <f t="shared" ref="C935:O935" si="167">+C908/(31*24)</f>
        <v>2.0911616599026086</v>
      </c>
      <c r="D935" s="70">
        <f t="shared" si="167"/>
        <v>17.98399027516243</v>
      </c>
      <c r="E935" s="70">
        <f t="shared" si="167"/>
        <v>420.32349364042432</v>
      </c>
      <c r="F935" s="562">
        <f t="shared" si="167"/>
        <v>438.30748391558672</v>
      </c>
      <c r="G935" s="553">
        <f t="shared" si="167"/>
        <v>0</v>
      </c>
      <c r="H935" s="70">
        <f t="shared" si="167"/>
        <v>17.27956989247312</v>
      </c>
      <c r="I935" s="70">
        <f t="shared" si="167"/>
        <v>0</v>
      </c>
      <c r="J935" s="70">
        <f t="shared" si="167"/>
        <v>17.27956989247312</v>
      </c>
      <c r="K935" s="600">
        <f t="shared" si="167"/>
        <v>0</v>
      </c>
      <c r="L935" s="600">
        <f t="shared" si="167"/>
        <v>0</v>
      </c>
      <c r="M935" s="606">
        <f t="shared" si="167"/>
        <v>417.5</v>
      </c>
      <c r="N935" s="607">
        <f t="shared" si="167"/>
        <v>12.5</v>
      </c>
      <c r="O935" s="599">
        <f t="shared" si="167"/>
        <v>430</v>
      </c>
      <c r="P935" s="612">
        <f>+P908/(31*24)</f>
        <v>-8.9720859768864116</v>
      </c>
      <c r="Q935" s="70" t="str">
        <f>+IF(P935&gt;=0,ABS(P935),"")</f>
        <v/>
      </c>
      <c r="R935" s="562">
        <f>+IF(P935&lt;=0,ABS(P935),"")</f>
        <v>8.9720859768864116</v>
      </c>
      <c r="S935" s="561"/>
    </row>
    <row r="936" spans="1:19" ht="15.75" customHeight="1" x14ac:dyDescent="0.3">
      <c r="A936" s="592" t="s">
        <v>706</v>
      </c>
      <c r="B936" s="553">
        <f>+B909/(29*24)</f>
        <v>411.8460631482493</v>
      </c>
      <c r="C936" s="70">
        <f t="shared" ref="C936:O936" si="168">+C909/(29*24)</f>
        <v>2.0592303157412464</v>
      </c>
      <c r="D936" s="70">
        <f t="shared" si="168"/>
        <v>17.709380715374717</v>
      </c>
      <c r="E936" s="70">
        <f t="shared" si="168"/>
        <v>413.90529346399052</v>
      </c>
      <c r="F936" s="562">
        <f t="shared" si="168"/>
        <v>431.61467417936524</v>
      </c>
      <c r="G936" s="553">
        <f t="shared" si="168"/>
        <v>0</v>
      </c>
      <c r="H936" s="70">
        <f t="shared" si="168"/>
        <v>21.185344827586206</v>
      </c>
      <c r="I936" s="70">
        <f t="shared" si="168"/>
        <v>0</v>
      </c>
      <c r="J936" s="70">
        <f t="shared" si="168"/>
        <v>21.185344827586206</v>
      </c>
      <c r="K936" s="600">
        <f t="shared" si="168"/>
        <v>0</v>
      </c>
      <c r="L936" s="600">
        <f t="shared" si="168"/>
        <v>0</v>
      </c>
      <c r="M936" s="606">
        <f t="shared" si="168"/>
        <v>364</v>
      </c>
      <c r="N936" s="607">
        <f t="shared" si="168"/>
        <v>0</v>
      </c>
      <c r="O936" s="599">
        <f t="shared" si="168"/>
        <v>364</v>
      </c>
      <c r="P936" s="612">
        <f>+P909/(29*24)</f>
        <v>46.429329351779032</v>
      </c>
      <c r="Q936" s="70">
        <f t="shared" ref="Q936:Q946" si="169">+IF(P936&gt;=0,ABS(P936),"")</f>
        <v>46.429329351779032</v>
      </c>
      <c r="R936" s="562" t="str">
        <f t="shared" ref="R936:R946" si="170">+IF(P936&lt;=0,ABS(P936),"")</f>
        <v/>
      </c>
      <c r="S936" s="561"/>
    </row>
    <row r="937" spans="1:19" ht="15.75" customHeight="1" x14ac:dyDescent="0.3">
      <c r="A937" s="592" t="s">
        <v>707</v>
      </c>
      <c r="B937" s="553">
        <f t="shared" ref="B937:B946" si="171">+B910/(31*24)</f>
        <v>422.50112261366235</v>
      </c>
      <c r="C937" s="70">
        <f t="shared" ref="C937:O937" si="172">+C910/(31*24)</f>
        <v>2.1125056130683117</v>
      </c>
      <c r="D937" s="70">
        <f t="shared" si="172"/>
        <v>18.167548272387478</v>
      </c>
      <c r="E937" s="70">
        <f t="shared" si="172"/>
        <v>424.61362822673067</v>
      </c>
      <c r="F937" s="562">
        <f t="shared" si="172"/>
        <v>442.78117649911815</v>
      </c>
      <c r="G937" s="553">
        <f t="shared" si="172"/>
        <v>0</v>
      </c>
      <c r="H937" s="70">
        <f t="shared" si="172"/>
        <v>22.548387096774192</v>
      </c>
      <c r="I937" s="70">
        <f t="shared" si="172"/>
        <v>0</v>
      </c>
      <c r="J937" s="70">
        <f t="shared" si="172"/>
        <v>22.548387096774192</v>
      </c>
      <c r="K937" s="600">
        <f t="shared" si="172"/>
        <v>0</v>
      </c>
      <c r="L937" s="600">
        <f t="shared" si="172"/>
        <v>0</v>
      </c>
      <c r="M937" s="606">
        <f t="shared" si="172"/>
        <v>407.5</v>
      </c>
      <c r="N937" s="607">
        <f t="shared" si="172"/>
        <v>12.5</v>
      </c>
      <c r="O937" s="599">
        <f t="shared" si="172"/>
        <v>420</v>
      </c>
      <c r="P937" s="612">
        <f>+P910/(31*24)</f>
        <v>0.23278940234396492</v>
      </c>
      <c r="Q937" s="70">
        <f t="shared" si="169"/>
        <v>0.23278940234396492</v>
      </c>
      <c r="R937" s="562" t="str">
        <f t="shared" si="170"/>
        <v/>
      </c>
      <c r="S937" s="561"/>
    </row>
    <row r="938" spans="1:19" ht="15.75" customHeight="1" x14ac:dyDescent="0.3">
      <c r="A938" s="592" t="s">
        <v>1321</v>
      </c>
      <c r="B938" s="553">
        <f>+B911/(30*24)</f>
        <v>424.21283025043999</v>
      </c>
      <c r="C938" s="70">
        <f t="shared" ref="C938:O938" si="173">+C911/(30*24)</f>
        <v>2.1210641512522002</v>
      </c>
      <c r="D938" s="70">
        <f t="shared" si="173"/>
        <v>18.241151700768917</v>
      </c>
      <c r="E938" s="70">
        <f t="shared" si="173"/>
        <v>426.33389440169219</v>
      </c>
      <c r="F938" s="562">
        <f t="shared" si="173"/>
        <v>444.57504610246116</v>
      </c>
      <c r="G938" s="553">
        <f t="shared" si="173"/>
        <v>0.9491026333417073</v>
      </c>
      <c r="H938" s="70">
        <f t="shared" si="173"/>
        <v>28.738888888888887</v>
      </c>
      <c r="I938" s="70">
        <f t="shared" si="173"/>
        <v>0</v>
      </c>
      <c r="J938" s="70">
        <f t="shared" si="173"/>
        <v>28.738888888888887</v>
      </c>
      <c r="K938" s="600">
        <f t="shared" si="173"/>
        <v>0</v>
      </c>
      <c r="L938" s="600">
        <f t="shared" si="173"/>
        <v>0</v>
      </c>
      <c r="M938" s="606">
        <f t="shared" si="173"/>
        <v>374</v>
      </c>
      <c r="N938" s="607">
        <f t="shared" si="173"/>
        <v>0</v>
      </c>
      <c r="O938" s="599">
        <f t="shared" si="173"/>
        <v>374</v>
      </c>
      <c r="P938" s="612">
        <f>+P911/(30*24)</f>
        <v>40.887054580230568</v>
      </c>
      <c r="Q938" s="70">
        <f t="shared" si="169"/>
        <v>40.887054580230568</v>
      </c>
      <c r="R938" s="562" t="str">
        <f t="shared" si="170"/>
        <v/>
      </c>
      <c r="S938" s="561"/>
    </row>
    <row r="939" spans="1:19" ht="15.75" customHeight="1" x14ac:dyDescent="0.3">
      <c r="A939" s="592" t="s">
        <v>1905</v>
      </c>
      <c r="B939" s="553">
        <f t="shared" si="171"/>
        <v>411.71259491146003</v>
      </c>
      <c r="C939" s="70">
        <f t="shared" ref="C939:O939" si="174">+C912/(31*24)</f>
        <v>2.0585629745573</v>
      </c>
      <c r="D939" s="70">
        <f t="shared" si="174"/>
        <v>17.70364158119278</v>
      </c>
      <c r="E939" s="70">
        <f t="shared" si="174"/>
        <v>413.77115788601736</v>
      </c>
      <c r="F939" s="562">
        <f t="shared" si="174"/>
        <v>431.47479946721012</v>
      </c>
      <c r="G939" s="553">
        <f t="shared" si="174"/>
        <v>4.1472089197883415</v>
      </c>
      <c r="H939" s="70">
        <f t="shared" si="174"/>
        <v>22.602150537634408</v>
      </c>
      <c r="I939" s="70">
        <f t="shared" si="174"/>
        <v>0</v>
      </c>
      <c r="J939" s="70">
        <f t="shared" si="174"/>
        <v>22.602150537634408</v>
      </c>
      <c r="K939" s="600">
        <f t="shared" si="174"/>
        <v>0</v>
      </c>
      <c r="L939" s="600">
        <f t="shared" si="174"/>
        <v>0</v>
      </c>
      <c r="M939" s="606">
        <f t="shared" si="174"/>
        <v>394.66666666666669</v>
      </c>
      <c r="N939" s="607">
        <f t="shared" si="174"/>
        <v>0</v>
      </c>
      <c r="O939" s="599">
        <f t="shared" si="174"/>
        <v>394.66666666666669</v>
      </c>
      <c r="P939" s="612">
        <f>+P912/(31*24)</f>
        <v>10.058773343120695</v>
      </c>
      <c r="Q939" s="70">
        <f t="shared" si="169"/>
        <v>10.058773343120695</v>
      </c>
      <c r="R939" s="562" t="str">
        <f t="shared" si="170"/>
        <v/>
      </c>
      <c r="S939" s="561"/>
    </row>
    <row r="940" spans="1:19" ht="15.75" customHeight="1" x14ac:dyDescent="0.3">
      <c r="A940" s="592" t="s">
        <v>1906</v>
      </c>
      <c r="B940" s="553">
        <f>+B913/(30*24)</f>
        <v>323.4713375</v>
      </c>
      <c r="C940" s="70">
        <f t="shared" ref="C940:O940" si="175">+C913/(30*24)</f>
        <v>1.6173566875000003</v>
      </c>
      <c r="D940" s="70">
        <f t="shared" si="175"/>
        <v>13.9092675125</v>
      </c>
      <c r="E940" s="70">
        <f t="shared" si="175"/>
        <v>325.08869418749998</v>
      </c>
      <c r="F940" s="562">
        <f t="shared" si="175"/>
        <v>338.99796170000002</v>
      </c>
      <c r="G940" s="553">
        <f t="shared" si="175"/>
        <v>15.736778028970949</v>
      </c>
      <c r="H940" s="70">
        <f t="shared" si="175"/>
        <v>21.422222222222221</v>
      </c>
      <c r="I940" s="70">
        <f t="shared" si="175"/>
        <v>0</v>
      </c>
      <c r="J940" s="70">
        <f t="shared" si="175"/>
        <v>21.422222222222221</v>
      </c>
      <c r="K940" s="600">
        <f t="shared" si="175"/>
        <v>0</v>
      </c>
      <c r="L940" s="600">
        <f t="shared" si="175"/>
        <v>0</v>
      </c>
      <c r="M940" s="606">
        <f t="shared" si="175"/>
        <v>324.83333333333331</v>
      </c>
      <c r="N940" s="607">
        <f t="shared" si="175"/>
        <v>6.166666666666667</v>
      </c>
      <c r="O940" s="599">
        <f t="shared" si="175"/>
        <v>331</v>
      </c>
      <c r="P940" s="612">
        <f>+P913/(30*24)</f>
        <v>-29.161038551193148</v>
      </c>
      <c r="Q940" s="70" t="str">
        <f t="shared" si="169"/>
        <v/>
      </c>
      <c r="R940" s="562">
        <f t="shared" si="170"/>
        <v>29.161038551193148</v>
      </c>
      <c r="S940" s="561"/>
    </row>
    <row r="941" spans="1:19" ht="15.75" customHeight="1" x14ac:dyDescent="0.3">
      <c r="A941" s="592" t="s">
        <v>1907</v>
      </c>
      <c r="B941" s="553">
        <f t="shared" si="171"/>
        <v>132.30630376344087</v>
      </c>
      <c r="C941" s="70">
        <f t="shared" ref="C941:O941" si="176">+C914/(31*24)</f>
        <v>0.6615315188172044</v>
      </c>
      <c r="D941" s="70">
        <f t="shared" si="176"/>
        <v>5.689171061827957</v>
      </c>
      <c r="E941" s="70">
        <f t="shared" si="176"/>
        <v>132.96783528225808</v>
      </c>
      <c r="F941" s="562">
        <f t="shared" si="176"/>
        <v>138.65700634408606</v>
      </c>
      <c r="G941" s="553">
        <f t="shared" si="176"/>
        <v>22.259009164499108</v>
      </c>
      <c r="H941" s="70">
        <f t="shared" si="176"/>
        <v>19.9502688172043</v>
      </c>
      <c r="I941" s="70">
        <f t="shared" si="176"/>
        <v>0</v>
      </c>
      <c r="J941" s="70">
        <f t="shared" si="176"/>
        <v>19.9502688172043</v>
      </c>
      <c r="K941" s="600">
        <f t="shared" si="176"/>
        <v>0</v>
      </c>
      <c r="L941" s="600">
        <f t="shared" si="176"/>
        <v>0</v>
      </c>
      <c r="M941" s="606">
        <f t="shared" si="176"/>
        <v>48.875</v>
      </c>
      <c r="N941" s="607">
        <f t="shared" si="176"/>
        <v>3.125</v>
      </c>
      <c r="O941" s="599">
        <f t="shared" si="176"/>
        <v>52</v>
      </c>
      <c r="P941" s="612">
        <f>+P914/(31*24)</f>
        <v>44.447728362382641</v>
      </c>
      <c r="Q941" s="70">
        <f t="shared" si="169"/>
        <v>44.447728362382641</v>
      </c>
      <c r="R941" s="562" t="str">
        <f t="shared" si="170"/>
        <v/>
      </c>
      <c r="S941" s="561"/>
    </row>
    <row r="942" spans="1:19" ht="15.75" customHeight="1" x14ac:dyDescent="0.3">
      <c r="A942" s="592" t="s">
        <v>1908</v>
      </c>
      <c r="B942" s="553">
        <f t="shared" si="171"/>
        <v>221.80966532258066</v>
      </c>
      <c r="C942" s="70">
        <f t="shared" ref="C942:O942" si="177">+C915/(31*24)</f>
        <v>1.1090483266129032</v>
      </c>
      <c r="D942" s="70">
        <f t="shared" si="177"/>
        <v>9.537815608870968</v>
      </c>
      <c r="E942" s="70">
        <f t="shared" si="177"/>
        <v>222.91871364919353</v>
      </c>
      <c r="F942" s="562">
        <f t="shared" si="177"/>
        <v>232.45652925806453</v>
      </c>
      <c r="G942" s="553">
        <f t="shared" si="177"/>
        <v>11.99906158969188</v>
      </c>
      <c r="H942" s="70">
        <f t="shared" si="177"/>
        <v>16.653225806451612</v>
      </c>
      <c r="I942" s="70">
        <f t="shared" si="177"/>
        <v>0</v>
      </c>
      <c r="J942" s="70">
        <f t="shared" si="177"/>
        <v>16.653225806451612</v>
      </c>
      <c r="K942" s="600">
        <f t="shared" si="177"/>
        <v>0</v>
      </c>
      <c r="L942" s="600">
        <f t="shared" si="177"/>
        <v>0</v>
      </c>
      <c r="M942" s="606">
        <f t="shared" si="177"/>
        <v>97.583333333333329</v>
      </c>
      <c r="N942" s="607">
        <f t="shared" si="177"/>
        <v>15.416666666666666</v>
      </c>
      <c r="O942" s="599">
        <f t="shared" si="177"/>
        <v>113</v>
      </c>
      <c r="P942" s="612">
        <f>+P915/(31*24)</f>
        <v>90.804241861921042</v>
      </c>
      <c r="Q942" s="70">
        <f t="shared" si="169"/>
        <v>90.804241861921042</v>
      </c>
      <c r="R942" s="562" t="str">
        <f t="shared" si="170"/>
        <v/>
      </c>
      <c r="S942" s="561"/>
    </row>
    <row r="943" spans="1:19" ht="15.75" customHeight="1" x14ac:dyDescent="0.3">
      <c r="A943" s="592" t="s">
        <v>2352</v>
      </c>
      <c r="B943" s="553">
        <f>+B916/(30*24)</f>
        <v>326.64214197948263</v>
      </c>
      <c r="C943" s="70">
        <f t="shared" ref="C943:O943" si="178">+C916/(30*24)</f>
        <v>1.6332107098974129</v>
      </c>
      <c r="D943" s="70">
        <f t="shared" si="178"/>
        <v>14.045612105117751</v>
      </c>
      <c r="E943" s="70">
        <f t="shared" si="178"/>
        <v>328.27535268937999</v>
      </c>
      <c r="F943" s="562">
        <f t="shared" si="178"/>
        <v>342.32096479449774</v>
      </c>
      <c r="G943" s="553">
        <f t="shared" si="178"/>
        <v>0.88917686695415243</v>
      </c>
      <c r="H943" s="70">
        <f t="shared" si="178"/>
        <v>8.2263888888888896</v>
      </c>
      <c r="I943" s="70">
        <f t="shared" si="178"/>
        <v>0</v>
      </c>
      <c r="J943" s="70">
        <f t="shared" si="178"/>
        <v>8.2263888888888896</v>
      </c>
      <c r="K943" s="600">
        <f t="shared" si="178"/>
        <v>0</v>
      </c>
      <c r="L943" s="600">
        <f t="shared" si="178"/>
        <v>0</v>
      </c>
      <c r="M943" s="606">
        <f t="shared" si="178"/>
        <v>366.625</v>
      </c>
      <c r="N943" s="607">
        <f t="shared" si="178"/>
        <v>9.5833333333333339</v>
      </c>
      <c r="O943" s="599">
        <f t="shared" si="178"/>
        <v>376.20833333333331</v>
      </c>
      <c r="P943" s="612">
        <f>+P916/(30*24)</f>
        <v>-43.002934294678603</v>
      </c>
      <c r="Q943" s="70" t="str">
        <f t="shared" si="169"/>
        <v/>
      </c>
      <c r="R943" s="562">
        <f t="shared" si="170"/>
        <v>43.002934294678603</v>
      </c>
      <c r="S943" s="561"/>
    </row>
    <row r="944" spans="1:19" ht="15.75" customHeight="1" x14ac:dyDescent="0.3">
      <c r="A944" s="592" t="s">
        <v>2353</v>
      </c>
      <c r="B944" s="553">
        <f t="shared" si="171"/>
        <v>99.637461817974938</v>
      </c>
      <c r="C944" s="70">
        <f t="shared" ref="C944:O944" si="179">+C917/(31*24)</f>
        <v>0.49818730908987469</v>
      </c>
      <c r="D944" s="70">
        <f t="shared" si="179"/>
        <v>4.2844108581729214</v>
      </c>
      <c r="E944" s="70">
        <f t="shared" si="179"/>
        <v>100.13564912706481</v>
      </c>
      <c r="F944" s="562">
        <f t="shared" si="179"/>
        <v>104.42005998523773</v>
      </c>
      <c r="G944" s="553">
        <f t="shared" si="179"/>
        <v>12.806862435277234</v>
      </c>
      <c r="H944" s="70">
        <f t="shared" si="179"/>
        <v>9.025537634408602</v>
      </c>
      <c r="I944" s="70">
        <f t="shared" si="179"/>
        <v>0</v>
      </c>
      <c r="J944" s="70">
        <f t="shared" si="179"/>
        <v>9.025537634408602</v>
      </c>
      <c r="K944" s="600">
        <f t="shared" si="179"/>
        <v>0</v>
      </c>
      <c r="L944" s="600">
        <f t="shared" si="179"/>
        <v>0</v>
      </c>
      <c r="M944" s="606">
        <f t="shared" si="179"/>
        <v>415.5</v>
      </c>
      <c r="N944" s="607">
        <f t="shared" si="179"/>
        <v>12.5</v>
      </c>
      <c r="O944" s="599">
        <f t="shared" si="179"/>
        <v>428</v>
      </c>
      <c r="P944" s="612">
        <f>+P917/(31*24)</f>
        <v>-345.41234008444809</v>
      </c>
      <c r="Q944" s="70" t="str">
        <f t="shared" si="169"/>
        <v/>
      </c>
      <c r="R944" s="562">
        <f t="shared" si="170"/>
        <v>345.41234008444809</v>
      </c>
      <c r="S944" s="561"/>
    </row>
    <row r="945" spans="1:19" ht="15.75" customHeight="1" x14ac:dyDescent="0.3">
      <c r="A945" s="592" t="s">
        <v>2354</v>
      </c>
      <c r="B945" s="553">
        <f>+B918/(30*24)</f>
        <v>393.90287400639085</v>
      </c>
      <c r="C945" s="70">
        <f t="shared" ref="C945:O945" si="180">+C918/(30*24)</f>
        <v>1.9695143700319544</v>
      </c>
      <c r="D945" s="70">
        <f t="shared" si="180"/>
        <v>16.937823582274806</v>
      </c>
      <c r="E945" s="70">
        <f t="shared" si="180"/>
        <v>395.8723883764228</v>
      </c>
      <c r="F945" s="562">
        <f t="shared" si="180"/>
        <v>412.81021195869761</v>
      </c>
      <c r="G945" s="553">
        <f t="shared" si="180"/>
        <v>0</v>
      </c>
      <c r="H945" s="70">
        <f t="shared" si="180"/>
        <v>11.701388888888889</v>
      </c>
      <c r="I945" s="70">
        <f t="shared" si="180"/>
        <v>0</v>
      </c>
      <c r="J945" s="70">
        <f t="shared" si="180"/>
        <v>11.701388888888889</v>
      </c>
      <c r="K945" s="600">
        <f t="shared" si="180"/>
        <v>0</v>
      </c>
      <c r="L945" s="600">
        <f t="shared" si="180"/>
        <v>0</v>
      </c>
      <c r="M945" s="606">
        <f t="shared" si="180"/>
        <v>0</v>
      </c>
      <c r="N945" s="607">
        <f t="shared" si="180"/>
        <v>0</v>
      </c>
      <c r="O945" s="599">
        <f t="shared" si="180"/>
        <v>0</v>
      </c>
      <c r="P945" s="612">
        <f>+P918/(30*24)</f>
        <v>401.10882306980875</v>
      </c>
      <c r="Q945" s="70">
        <f t="shared" si="169"/>
        <v>401.10882306980875</v>
      </c>
      <c r="R945" s="562" t="str">
        <f t="shared" si="170"/>
        <v/>
      </c>
      <c r="S945" s="561"/>
    </row>
    <row r="946" spans="1:19" ht="16.5" customHeight="1" thickBot="1" x14ac:dyDescent="0.35">
      <c r="A946" s="596" t="s">
        <v>2355</v>
      </c>
      <c r="B946" s="558">
        <f t="shared" si="171"/>
        <v>309.63743794586622</v>
      </c>
      <c r="C946" s="564">
        <f t="shared" ref="C946:O946" si="181">+C919/(31*24)</f>
        <v>1.5481871897293313</v>
      </c>
      <c r="D946" s="564">
        <f t="shared" si="181"/>
        <v>13.314409831672247</v>
      </c>
      <c r="E946" s="564">
        <f t="shared" si="181"/>
        <v>311.18562513559556</v>
      </c>
      <c r="F946" s="602">
        <f t="shared" si="181"/>
        <v>324.50003496726782</v>
      </c>
      <c r="G946" s="558">
        <f t="shared" si="181"/>
        <v>0</v>
      </c>
      <c r="H946" s="564">
        <f t="shared" si="181"/>
        <v>10.174731182795698</v>
      </c>
      <c r="I946" s="564">
        <f t="shared" si="181"/>
        <v>0</v>
      </c>
      <c r="J946" s="564">
        <f t="shared" si="181"/>
        <v>10.174731182795698</v>
      </c>
      <c r="K946" s="614">
        <f t="shared" si="181"/>
        <v>0</v>
      </c>
      <c r="L946" s="614">
        <f t="shared" si="181"/>
        <v>0</v>
      </c>
      <c r="M946" s="615">
        <f t="shared" si="181"/>
        <v>305</v>
      </c>
      <c r="N946" s="616">
        <f t="shared" si="181"/>
        <v>87.666666666666671</v>
      </c>
      <c r="O946" s="609">
        <f t="shared" si="181"/>
        <v>392.66666666666669</v>
      </c>
      <c r="P946" s="613">
        <f>+P919/(31*24)</f>
        <v>-78.341362882194517</v>
      </c>
      <c r="Q946" s="564" t="str">
        <f t="shared" si="169"/>
        <v/>
      </c>
      <c r="R946" s="602">
        <f t="shared" si="170"/>
        <v>78.341362882194517</v>
      </c>
      <c r="S946" s="561"/>
    </row>
    <row r="947" spans="1:19" ht="15.75" customHeight="1" x14ac:dyDescent="0.3">
      <c r="A947" s="579"/>
      <c r="S947" s="561"/>
    </row>
    <row r="948" spans="1:19" ht="16.5" customHeight="1" thickBot="1" x14ac:dyDescent="0.35">
      <c r="A948" s="580"/>
      <c r="B948" s="581"/>
      <c r="C948" s="581"/>
      <c r="D948" s="581"/>
      <c r="E948" s="581"/>
      <c r="F948" s="581"/>
      <c r="G948" s="581"/>
      <c r="H948" s="581"/>
      <c r="I948" s="581"/>
      <c r="J948" s="581"/>
      <c r="K948" s="581"/>
      <c r="L948" s="581"/>
      <c r="M948" s="581"/>
      <c r="N948" s="581"/>
      <c r="O948" s="581"/>
      <c r="P948" s="581"/>
      <c r="Q948" s="581"/>
      <c r="R948" s="581"/>
      <c r="S948" s="565"/>
    </row>
    <row r="949" spans="1:19" ht="15.75" customHeight="1" x14ac:dyDescent="0.3"/>
    <row r="950" spans="1:19" ht="15.75" customHeight="1" x14ac:dyDescent="0.3"/>
    <row r="951" spans="1:19" ht="15.75" customHeight="1" x14ac:dyDescent="0.3"/>
    <row r="952" spans="1:19" ht="15.75" customHeight="1" x14ac:dyDescent="0.3"/>
    <row r="953" spans="1:19" ht="15.75" customHeight="1" x14ac:dyDescent="0.3"/>
    <row r="954" spans="1:19" ht="15.75" customHeight="1" x14ac:dyDescent="0.3"/>
    <row r="955" spans="1:19" ht="15.75" customHeight="1" x14ac:dyDescent="0.3"/>
    <row r="956" spans="1:19" ht="15.75" customHeight="1" x14ac:dyDescent="0.3"/>
    <row r="957" spans="1:19" ht="15.75" customHeight="1" x14ac:dyDescent="0.3"/>
    <row r="958" spans="1:19" ht="15.75" customHeight="1" x14ac:dyDescent="0.3"/>
    <row r="959" spans="1:19" ht="15.75" customHeight="1" x14ac:dyDescent="0.3"/>
    <row r="960" spans="1:19" ht="16.5" customHeight="1" thickBot="1" x14ac:dyDescent="0.35"/>
    <row r="961" spans="1:19" ht="15.75" customHeight="1" x14ac:dyDescent="0.35">
      <c r="A961" s="546"/>
      <c r="B961" s="547"/>
      <c r="C961" s="566"/>
      <c r="D961" s="566"/>
      <c r="E961" s="566"/>
      <c r="F961" s="566"/>
      <c r="G961" s="566"/>
      <c r="H961" s="549" t="s">
        <v>1623</v>
      </c>
      <c r="I961" s="547"/>
      <c r="J961" s="547"/>
      <c r="K961" s="547"/>
      <c r="L961" s="547"/>
      <c r="M961" s="547"/>
      <c r="N961" s="547"/>
      <c r="O961" s="547"/>
      <c r="P961" s="547"/>
      <c r="Q961" s="549" t="str">
        <f>+Q1</f>
        <v>PRINTED:</v>
      </c>
      <c r="R961" s="559">
        <f ca="1">+R1</f>
        <v>44881.72963425926</v>
      </c>
      <c r="S961" s="560"/>
    </row>
    <row r="962" spans="1:19" ht="15.75" customHeight="1" x14ac:dyDescent="0.35">
      <c r="A962" s="551"/>
      <c r="B962" s="67"/>
      <c r="C962" s="215"/>
      <c r="D962" s="215"/>
      <c r="E962" s="215"/>
      <c r="F962" s="215"/>
      <c r="G962" s="215"/>
      <c r="H962" s="67" t="s">
        <v>2435</v>
      </c>
      <c r="I962" s="67" t="s">
        <v>852</v>
      </c>
      <c r="J962" s="69" t="str">
        <f>+A9</f>
        <v>Revised:  1/22/2013</v>
      </c>
      <c r="K962" s="67"/>
      <c r="L962" s="67"/>
      <c r="M962" s="67"/>
      <c r="N962" s="67"/>
      <c r="O962" s="67"/>
      <c r="P962" s="67"/>
      <c r="Q962" s="67"/>
      <c r="R962" s="67"/>
      <c r="S962" s="561"/>
    </row>
    <row r="963" spans="1:19" ht="15.75" customHeight="1" x14ac:dyDescent="0.35">
      <c r="A963" s="551"/>
      <c r="B963" s="67"/>
      <c r="C963" s="215"/>
      <c r="D963" s="215"/>
      <c r="E963" s="215"/>
      <c r="F963" s="215"/>
      <c r="G963" s="215"/>
      <c r="H963" s="67" t="s">
        <v>2126</v>
      </c>
      <c r="I963" s="67"/>
      <c r="J963" s="67"/>
      <c r="K963" s="67"/>
      <c r="L963" s="67"/>
      <c r="M963" s="67"/>
      <c r="N963" s="67"/>
      <c r="O963" s="67"/>
      <c r="P963" s="67"/>
      <c r="Q963" s="67"/>
      <c r="R963" s="67"/>
      <c r="S963" s="561"/>
    </row>
    <row r="964" spans="1:19" ht="15.75" customHeight="1" x14ac:dyDescent="0.35">
      <c r="A964" s="551"/>
      <c r="B964" s="67"/>
      <c r="C964" s="215"/>
      <c r="D964" s="215"/>
      <c r="E964" s="215"/>
      <c r="F964" s="215"/>
      <c r="G964" s="215"/>
      <c r="H964" s="67"/>
      <c r="I964" s="67"/>
      <c r="J964" s="67"/>
      <c r="K964" s="67"/>
      <c r="L964" s="67"/>
      <c r="M964" s="67"/>
      <c r="N964" s="67"/>
      <c r="O964" s="67"/>
      <c r="P964" s="67"/>
      <c r="Q964" s="67"/>
      <c r="R964" s="67"/>
      <c r="S964" s="561"/>
    </row>
    <row r="965" spans="1:19" ht="15.75" customHeight="1" x14ac:dyDescent="0.35">
      <c r="A965" s="551"/>
      <c r="B965" s="67"/>
      <c r="C965" s="215"/>
      <c r="D965" s="215"/>
      <c r="E965" s="215"/>
      <c r="F965" s="215"/>
      <c r="G965" s="215"/>
      <c r="H965" s="67" t="s">
        <v>2435</v>
      </c>
      <c r="I965" s="67" t="str">
        <f>+A5</f>
        <v>Calendar Year 2012</v>
      </c>
      <c r="J965" s="67"/>
      <c r="K965" s="67"/>
      <c r="L965" s="67"/>
      <c r="M965" s="67"/>
      <c r="N965" s="67"/>
      <c r="O965" s="67"/>
      <c r="P965" s="67"/>
      <c r="Q965" s="67"/>
      <c r="R965" s="67"/>
      <c r="S965" s="561"/>
    </row>
    <row r="966" spans="1:19" ht="15.75" customHeight="1" x14ac:dyDescent="0.3">
      <c r="A966" s="551"/>
      <c r="B966" s="67"/>
      <c r="C966" s="67"/>
      <c r="D966" s="67"/>
      <c r="E966" s="67"/>
      <c r="F966" s="67"/>
      <c r="G966" s="67"/>
      <c r="H966" s="67"/>
      <c r="I966" s="67"/>
      <c r="J966" s="67"/>
      <c r="K966" s="67"/>
      <c r="L966" s="67"/>
      <c r="M966" s="67"/>
      <c r="N966" s="67"/>
      <c r="O966" s="67"/>
      <c r="P966" s="67"/>
      <c r="Q966" s="67"/>
      <c r="R966" s="67"/>
      <c r="S966" s="561"/>
    </row>
    <row r="967" spans="1:19" ht="15.75" customHeight="1" x14ac:dyDescent="0.3">
      <c r="A967" s="551"/>
      <c r="B967" s="67"/>
      <c r="C967" s="71" t="s">
        <v>1442</v>
      </c>
      <c r="D967" s="67"/>
      <c r="E967" s="67"/>
      <c r="F967" s="67"/>
      <c r="G967" s="71" t="s">
        <v>1409</v>
      </c>
      <c r="H967" s="67"/>
      <c r="I967" s="67"/>
      <c r="J967" s="67"/>
      <c r="K967" s="68" t="s">
        <v>234</v>
      </c>
      <c r="L967" s="67"/>
      <c r="M967" s="67"/>
      <c r="N967" s="67"/>
      <c r="O967" s="68" t="s">
        <v>1701</v>
      </c>
      <c r="P967" s="67"/>
      <c r="Q967" s="67"/>
      <c r="R967" s="67"/>
      <c r="S967" s="561"/>
    </row>
    <row r="968" spans="1:19" ht="15.75" customHeight="1" x14ac:dyDescent="0.3">
      <c r="A968" s="551"/>
      <c r="B968" s="67"/>
      <c r="C968" s="67" t="str">
        <f>+A5</f>
        <v>Calendar Year 2012</v>
      </c>
      <c r="D968" s="67"/>
      <c r="E968" s="67"/>
      <c r="F968" s="67" t="s">
        <v>2415</v>
      </c>
      <c r="G968" s="67"/>
      <c r="H968" s="67"/>
      <c r="I968" s="67"/>
      <c r="J968" s="67"/>
      <c r="K968" s="67" t="str">
        <f>+A5</f>
        <v>Calendar Year 2012</v>
      </c>
      <c r="L968" s="67"/>
      <c r="M968" s="67"/>
      <c r="N968" s="67"/>
      <c r="O968" s="67" t="str">
        <f>+A5</f>
        <v>Calendar Year 2012</v>
      </c>
      <c r="P968" s="67"/>
      <c r="Q968" s="67"/>
      <c r="R968" s="67"/>
      <c r="S968" s="561"/>
    </row>
    <row r="969" spans="1:19" ht="15.75" customHeight="1" x14ac:dyDescent="0.3">
      <c r="A969" s="551"/>
      <c r="B969" s="67"/>
      <c r="C969" s="67"/>
      <c r="D969" s="67"/>
      <c r="E969" s="67"/>
      <c r="F969" s="67"/>
      <c r="G969" s="67" t="str">
        <f>+A5</f>
        <v>Calendar Year 2012</v>
      </c>
      <c r="H969" s="67"/>
      <c r="I969" s="67"/>
      <c r="J969" s="67"/>
      <c r="K969" s="67"/>
      <c r="L969" s="67"/>
      <c r="M969" s="67"/>
      <c r="N969" s="67"/>
      <c r="O969" s="67"/>
      <c r="P969" s="67"/>
      <c r="Q969" s="67"/>
      <c r="R969" s="67"/>
      <c r="S969" s="561"/>
    </row>
    <row r="970" spans="1:19" ht="15.75" customHeight="1" x14ac:dyDescent="0.3">
      <c r="A970" s="551"/>
      <c r="B970" s="67"/>
      <c r="C970" s="70" t="s">
        <v>1413</v>
      </c>
      <c r="D970" s="70" t="s">
        <v>31</v>
      </c>
      <c r="E970" s="70" t="s">
        <v>32</v>
      </c>
      <c r="F970" s="67"/>
      <c r="G970" s="70" t="s">
        <v>1412</v>
      </c>
      <c r="H970" s="70" t="s">
        <v>31</v>
      </c>
      <c r="I970" s="70" t="s">
        <v>1077</v>
      </c>
      <c r="J970" s="67"/>
      <c r="K970" s="70" t="s">
        <v>229</v>
      </c>
      <c r="L970" s="70" t="s">
        <v>31</v>
      </c>
      <c r="M970" s="70" t="s">
        <v>1078</v>
      </c>
      <c r="N970" s="67"/>
      <c r="O970" s="70" t="s">
        <v>229</v>
      </c>
      <c r="P970" s="70" t="s">
        <v>31</v>
      </c>
      <c r="Q970" s="70" t="s">
        <v>1078</v>
      </c>
      <c r="R970" s="67"/>
      <c r="S970" s="561"/>
    </row>
    <row r="971" spans="1:19" ht="15.75" customHeight="1" x14ac:dyDescent="0.3">
      <c r="A971" s="551"/>
      <c r="B971" s="67"/>
      <c r="C971" s="70" t="s">
        <v>429</v>
      </c>
      <c r="D971" s="70" t="s">
        <v>335</v>
      </c>
      <c r="E971" s="70" t="s">
        <v>2000</v>
      </c>
      <c r="F971" s="67"/>
      <c r="G971" s="70" t="s">
        <v>1318</v>
      </c>
      <c r="H971" s="70" t="s">
        <v>335</v>
      </c>
      <c r="I971" s="70" t="s">
        <v>2000</v>
      </c>
      <c r="J971" s="67"/>
      <c r="K971" s="70" t="s">
        <v>1180</v>
      </c>
      <c r="L971" s="70" t="s">
        <v>335</v>
      </c>
      <c r="M971" s="70" t="s">
        <v>2000</v>
      </c>
      <c r="N971" s="67"/>
      <c r="O971" s="70" t="s">
        <v>1180</v>
      </c>
      <c r="P971" s="70" t="s">
        <v>335</v>
      </c>
      <c r="Q971" s="70" t="s">
        <v>2000</v>
      </c>
      <c r="R971" s="67"/>
      <c r="S971" s="561"/>
    </row>
    <row r="972" spans="1:19" ht="15.75" customHeight="1" x14ac:dyDescent="0.3">
      <c r="A972" s="551"/>
      <c r="B972" s="67"/>
      <c r="C972" s="70" t="s">
        <v>335</v>
      </c>
      <c r="D972" s="70" t="s">
        <v>956</v>
      </c>
      <c r="E972" s="70" t="s">
        <v>242</v>
      </c>
      <c r="F972" s="67"/>
      <c r="G972" s="70" t="s">
        <v>134</v>
      </c>
      <c r="H972" s="70" t="s">
        <v>956</v>
      </c>
      <c r="I972" s="70" t="s">
        <v>242</v>
      </c>
      <c r="J972" s="67"/>
      <c r="K972" s="70" t="s">
        <v>335</v>
      </c>
      <c r="L972" s="70" t="s">
        <v>956</v>
      </c>
      <c r="M972" s="70" t="s">
        <v>242</v>
      </c>
      <c r="N972" s="67"/>
      <c r="O972" s="70" t="s">
        <v>335</v>
      </c>
      <c r="P972" s="70" t="s">
        <v>956</v>
      </c>
      <c r="Q972" s="70" t="s">
        <v>242</v>
      </c>
      <c r="R972" s="67"/>
      <c r="S972" s="561"/>
    </row>
    <row r="973" spans="1:19" ht="15.75" customHeight="1" x14ac:dyDescent="0.3">
      <c r="A973" s="551"/>
      <c r="B973" s="67"/>
      <c r="C973" s="70" t="s">
        <v>932</v>
      </c>
      <c r="D973" s="70" t="s">
        <v>1917</v>
      </c>
      <c r="E973" s="70" t="s">
        <v>1481</v>
      </c>
      <c r="F973" s="67"/>
      <c r="G973" s="70" t="s">
        <v>932</v>
      </c>
      <c r="H973" s="70" t="s">
        <v>1917</v>
      </c>
      <c r="I973" s="70" t="s">
        <v>1481</v>
      </c>
      <c r="J973" s="67"/>
      <c r="K973" s="70" t="s">
        <v>932</v>
      </c>
      <c r="L973" s="70" t="s">
        <v>1917</v>
      </c>
      <c r="M973" s="70" t="s">
        <v>1481</v>
      </c>
      <c r="N973" s="67"/>
      <c r="O973" s="70" t="s">
        <v>932</v>
      </c>
      <c r="P973" s="70" t="s">
        <v>1917</v>
      </c>
      <c r="Q973" s="70" t="s">
        <v>1481</v>
      </c>
      <c r="R973" s="67"/>
      <c r="S973" s="561"/>
    </row>
    <row r="974" spans="1:19" ht="15.75" customHeight="1" x14ac:dyDescent="0.3">
      <c r="A974" s="551"/>
      <c r="B974" s="67"/>
      <c r="C974" s="67" t="s">
        <v>1353</v>
      </c>
      <c r="D974" s="67" t="s">
        <v>1353</v>
      </c>
      <c r="E974" s="67" t="s">
        <v>1353</v>
      </c>
      <c r="F974" s="67"/>
      <c r="G974" s="70" t="s">
        <v>1353</v>
      </c>
      <c r="H974" s="70" t="s">
        <v>1353</v>
      </c>
      <c r="I974" s="70" t="s">
        <v>1353</v>
      </c>
      <c r="J974" s="67"/>
      <c r="K974" s="67" t="s">
        <v>1353</v>
      </c>
      <c r="L974" s="67" t="s">
        <v>1353</v>
      </c>
      <c r="M974" s="67" t="s">
        <v>1353</v>
      </c>
      <c r="N974" s="67"/>
      <c r="O974" s="67" t="s">
        <v>1353</v>
      </c>
      <c r="P974" s="67" t="s">
        <v>1353</v>
      </c>
      <c r="Q974" s="67" t="s">
        <v>1353</v>
      </c>
      <c r="R974" s="67"/>
      <c r="S974" s="561"/>
    </row>
    <row r="975" spans="1:19" ht="15.75" customHeight="1" x14ac:dyDescent="0.3">
      <c r="A975" s="553" t="s">
        <v>1354</v>
      </c>
      <c r="B975" s="67"/>
      <c r="C975" s="67">
        <f t="shared" ref="C975:C986" si="182">(P908)</f>
        <v>-6675.2319668034906</v>
      </c>
      <c r="D975" s="72">
        <v>0</v>
      </c>
      <c r="E975" s="73">
        <f t="shared" ref="E975:E986" si="183">(P908*D975/1000)</f>
        <v>0</v>
      </c>
      <c r="F975" s="67"/>
      <c r="G975" s="67">
        <v>0</v>
      </c>
      <c r="H975" s="72">
        <v>0</v>
      </c>
      <c r="I975" s="73">
        <f t="shared" ref="I975:I986" si="184">(G975*H975/1000)</f>
        <v>0</v>
      </c>
      <c r="J975" s="67"/>
      <c r="K975" s="589">
        <v>12856</v>
      </c>
      <c r="L975" s="590">
        <v>0</v>
      </c>
      <c r="M975" s="73">
        <f t="shared" ref="M975:M986" si="185">(K975*L975/1000)</f>
        <v>0</v>
      </c>
      <c r="N975" s="67"/>
      <c r="O975" s="589">
        <v>0</v>
      </c>
      <c r="P975" s="72">
        <v>0</v>
      </c>
      <c r="Q975" s="73">
        <f t="shared" ref="Q975:Q986" si="186">(O975*P975/1000)</f>
        <v>0</v>
      </c>
      <c r="R975" s="67"/>
      <c r="S975" s="561"/>
    </row>
    <row r="976" spans="1:19" ht="15.75" customHeight="1" x14ac:dyDescent="0.3">
      <c r="A976" s="553" t="s">
        <v>706</v>
      </c>
      <c r="B976" s="67"/>
      <c r="C976" s="67">
        <f t="shared" si="182"/>
        <v>32314.813228838204</v>
      </c>
      <c r="D976" s="72">
        <v>0</v>
      </c>
      <c r="E976" s="73">
        <f t="shared" si="183"/>
        <v>0</v>
      </c>
      <c r="F976" s="67"/>
      <c r="G976" s="67" t="e">
        <f>#REF!</f>
        <v>#REF!</v>
      </c>
      <c r="H976" s="72">
        <v>0</v>
      </c>
      <c r="I976" s="73" t="e">
        <f t="shared" si="184"/>
        <v>#REF!</v>
      </c>
      <c r="J976" s="67"/>
      <c r="K976" s="589">
        <v>14745</v>
      </c>
      <c r="L976" s="590">
        <v>0</v>
      </c>
      <c r="M976" s="73">
        <f t="shared" si="185"/>
        <v>0</v>
      </c>
      <c r="N976" s="67"/>
      <c r="O976" s="589">
        <v>0</v>
      </c>
      <c r="P976" s="72">
        <v>0</v>
      </c>
      <c r="Q976" s="73">
        <f t="shared" si="186"/>
        <v>0</v>
      </c>
      <c r="R976" s="67"/>
      <c r="S976" s="561"/>
    </row>
    <row r="977" spans="1:19" ht="15.75" customHeight="1" x14ac:dyDescent="0.3">
      <c r="A977" s="553" t="s">
        <v>707</v>
      </c>
      <c r="B977" s="67"/>
      <c r="C977" s="67">
        <f t="shared" si="182"/>
        <v>173.1953153439099</v>
      </c>
      <c r="D977" s="72">
        <v>0</v>
      </c>
      <c r="E977" s="73">
        <f t="shared" si="183"/>
        <v>0</v>
      </c>
      <c r="F977" s="67">
        <f>SUM(E975:E977)</f>
        <v>0</v>
      </c>
      <c r="G977" s="67" t="e">
        <f>#REF!</f>
        <v>#REF!</v>
      </c>
      <c r="H977" s="72">
        <v>0</v>
      </c>
      <c r="I977" s="73" t="e">
        <f t="shared" si="184"/>
        <v>#REF!</v>
      </c>
      <c r="J977" s="67" t="e">
        <f>SUM(I975:I977)</f>
        <v>#REF!</v>
      </c>
      <c r="K977" s="589">
        <v>16776</v>
      </c>
      <c r="L977" s="590">
        <v>0</v>
      </c>
      <c r="M977" s="73">
        <f t="shared" si="185"/>
        <v>0</v>
      </c>
      <c r="N977" s="67">
        <f>SUM(M975:M977)</f>
        <v>0</v>
      </c>
      <c r="O977" s="589">
        <v>0</v>
      </c>
      <c r="P977" s="72">
        <v>0</v>
      </c>
      <c r="Q977" s="73">
        <f t="shared" si="186"/>
        <v>0</v>
      </c>
      <c r="R977" s="67">
        <f>SUM(Q975:Q977)</f>
        <v>0</v>
      </c>
      <c r="S977" s="561"/>
    </row>
    <row r="978" spans="1:19" ht="15.75" customHeight="1" x14ac:dyDescent="0.3">
      <c r="A978" s="553" t="s">
        <v>1321</v>
      </c>
      <c r="B978" s="67"/>
      <c r="C978" s="67">
        <f t="shared" si="182"/>
        <v>29438.679297766008</v>
      </c>
      <c r="D978" s="72">
        <v>0</v>
      </c>
      <c r="E978" s="73">
        <f t="shared" si="183"/>
        <v>0</v>
      </c>
      <c r="F978" s="67"/>
      <c r="G978" s="67" t="e">
        <f>#REF!</f>
        <v>#REF!</v>
      </c>
      <c r="H978" s="72">
        <v>0</v>
      </c>
      <c r="I978" s="73" t="e">
        <f t="shared" si="184"/>
        <v>#REF!</v>
      </c>
      <c r="J978" s="67"/>
      <c r="K978" s="589">
        <v>20692</v>
      </c>
      <c r="L978" s="590">
        <v>0</v>
      </c>
      <c r="M978" s="73">
        <f t="shared" si="185"/>
        <v>0</v>
      </c>
      <c r="N978" s="67"/>
      <c r="O978" s="589">
        <v>0</v>
      </c>
      <c r="P978" s="72">
        <v>0</v>
      </c>
      <c r="Q978" s="73">
        <f t="shared" si="186"/>
        <v>0</v>
      </c>
      <c r="R978" s="67"/>
      <c r="S978" s="561"/>
    </row>
    <row r="979" spans="1:19" ht="15.75" customHeight="1" x14ac:dyDescent="0.3">
      <c r="A979" s="553" t="s">
        <v>1905</v>
      </c>
      <c r="B979" s="67"/>
      <c r="C979" s="67">
        <f t="shared" si="182"/>
        <v>7483.7273672817973</v>
      </c>
      <c r="D979" s="72">
        <v>0</v>
      </c>
      <c r="E979" s="73">
        <f t="shared" si="183"/>
        <v>0</v>
      </c>
      <c r="F979" s="67"/>
      <c r="G979" s="67" t="e">
        <f>#REF!</f>
        <v>#REF!</v>
      </c>
      <c r="H979" s="72">
        <v>0</v>
      </c>
      <c r="I979" s="73" t="e">
        <f t="shared" si="184"/>
        <v>#REF!</v>
      </c>
      <c r="J979" s="67"/>
      <c r="K979" s="589">
        <v>16816</v>
      </c>
      <c r="L979" s="590">
        <v>0</v>
      </c>
      <c r="M979" s="73">
        <f t="shared" si="185"/>
        <v>0</v>
      </c>
      <c r="N979" s="67"/>
      <c r="O979" s="589">
        <v>0</v>
      </c>
      <c r="P979" s="72">
        <v>0</v>
      </c>
      <c r="Q979" s="73">
        <f t="shared" si="186"/>
        <v>0</v>
      </c>
      <c r="R979" s="67"/>
      <c r="S979" s="561"/>
    </row>
    <row r="980" spans="1:19" ht="15.75" customHeight="1" x14ac:dyDescent="0.3">
      <c r="A980" s="553" t="s">
        <v>1906</v>
      </c>
      <c r="B980" s="67"/>
      <c r="C980" s="67">
        <f t="shared" si="182"/>
        <v>-20995.947756859066</v>
      </c>
      <c r="D980" s="72">
        <v>0</v>
      </c>
      <c r="E980" s="73">
        <f t="shared" si="183"/>
        <v>0</v>
      </c>
      <c r="F980" s="67">
        <f>SUM(E978:E980)</f>
        <v>0</v>
      </c>
      <c r="G980" s="67" t="e">
        <f>#REF!</f>
        <v>#REF!</v>
      </c>
      <c r="H980" s="72">
        <v>0</v>
      </c>
      <c r="I980" s="73" t="e">
        <f t="shared" si="184"/>
        <v>#REF!</v>
      </c>
      <c r="J980" s="67" t="e">
        <f>SUM(I978:I980)</f>
        <v>#REF!</v>
      </c>
      <c r="K980" s="589">
        <v>15424</v>
      </c>
      <c r="L980" s="590">
        <v>0</v>
      </c>
      <c r="M980" s="73">
        <f t="shared" si="185"/>
        <v>0</v>
      </c>
      <c r="N980" s="67">
        <f>SUM(M978:M980)</f>
        <v>0</v>
      </c>
      <c r="O980" s="589">
        <v>0</v>
      </c>
      <c r="P980" s="72">
        <v>0</v>
      </c>
      <c r="Q980" s="73">
        <f t="shared" si="186"/>
        <v>0</v>
      </c>
      <c r="R980" s="67">
        <f>SUM(Q978:Q980)</f>
        <v>0</v>
      </c>
      <c r="S980" s="561"/>
    </row>
    <row r="981" spans="1:19" ht="15.75" customHeight="1" x14ac:dyDescent="0.3">
      <c r="A981" s="553" t="s">
        <v>1907</v>
      </c>
      <c r="B981" s="67"/>
      <c r="C981" s="67">
        <f t="shared" si="182"/>
        <v>33069.109901612683</v>
      </c>
      <c r="D981" s="72">
        <v>0</v>
      </c>
      <c r="E981" s="73">
        <f t="shared" si="183"/>
        <v>0</v>
      </c>
      <c r="F981" s="67"/>
      <c r="G981" s="67" t="e">
        <f>#REF!</f>
        <v>#REF!</v>
      </c>
      <c r="H981" s="72">
        <v>0</v>
      </c>
      <c r="I981" s="73" t="e">
        <f t="shared" si="184"/>
        <v>#REF!</v>
      </c>
      <c r="J981" s="67"/>
      <c r="K981" s="589">
        <v>14843</v>
      </c>
      <c r="L981" s="590">
        <v>0</v>
      </c>
      <c r="M981" s="73">
        <f t="shared" si="185"/>
        <v>0</v>
      </c>
      <c r="N981" s="67"/>
      <c r="O981" s="589">
        <v>0</v>
      </c>
      <c r="P981" s="72">
        <v>0</v>
      </c>
      <c r="Q981" s="73">
        <f t="shared" si="186"/>
        <v>0</v>
      </c>
      <c r="R981" s="67"/>
      <c r="S981" s="561"/>
    </row>
    <row r="982" spans="1:19" ht="15.75" customHeight="1" x14ac:dyDescent="0.3">
      <c r="A982" s="553" t="s">
        <v>1908</v>
      </c>
      <c r="B982" s="67"/>
      <c r="C982" s="67">
        <f t="shared" si="182"/>
        <v>67558.355945269257</v>
      </c>
      <c r="D982" s="72">
        <v>0</v>
      </c>
      <c r="E982" s="73">
        <f t="shared" si="183"/>
        <v>0</v>
      </c>
      <c r="F982" s="67"/>
      <c r="G982" s="67" t="e">
        <f>#REF!</f>
        <v>#REF!</v>
      </c>
      <c r="H982" s="72">
        <v>0</v>
      </c>
      <c r="I982" s="73" t="e">
        <f t="shared" si="184"/>
        <v>#REF!</v>
      </c>
      <c r="J982" s="67"/>
      <c r="K982" s="589">
        <v>12390</v>
      </c>
      <c r="L982" s="590">
        <v>0</v>
      </c>
      <c r="M982" s="73">
        <f t="shared" si="185"/>
        <v>0</v>
      </c>
      <c r="N982" s="67"/>
      <c r="O982" s="589">
        <v>0</v>
      </c>
      <c r="P982" s="72">
        <v>0</v>
      </c>
      <c r="Q982" s="73">
        <f t="shared" si="186"/>
        <v>0</v>
      </c>
      <c r="R982" s="67"/>
      <c r="S982" s="561"/>
    </row>
    <row r="983" spans="1:19" ht="15.75" customHeight="1" x14ac:dyDescent="0.3">
      <c r="A983" s="553" t="s">
        <v>2352</v>
      </c>
      <c r="B983" s="67"/>
      <c r="C983" s="67">
        <f t="shared" si="182"/>
        <v>-30962.112692168594</v>
      </c>
      <c r="D983" s="72">
        <v>0</v>
      </c>
      <c r="E983" s="73">
        <f t="shared" si="183"/>
        <v>0</v>
      </c>
      <c r="F983" s="67">
        <f>SUM(E981:E983)</f>
        <v>0</v>
      </c>
      <c r="G983" s="67" t="e">
        <f>#REF!</f>
        <v>#REF!</v>
      </c>
      <c r="H983" s="72">
        <v>0</v>
      </c>
      <c r="I983" s="73" t="e">
        <f t="shared" si="184"/>
        <v>#REF!</v>
      </c>
      <c r="J983" s="67" t="e">
        <f>SUM(I981:I983)</f>
        <v>#REF!</v>
      </c>
      <c r="K983" s="589">
        <v>5923</v>
      </c>
      <c r="L983" s="590">
        <v>0</v>
      </c>
      <c r="M983" s="73">
        <f t="shared" si="185"/>
        <v>0</v>
      </c>
      <c r="N983" s="67">
        <f>SUM(M981:M983)</f>
        <v>0</v>
      </c>
      <c r="O983" s="589">
        <v>0</v>
      </c>
      <c r="P983" s="72">
        <v>0</v>
      </c>
      <c r="Q983" s="73">
        <f t="shared" si="186"/>
        <v>0</v>
      </c>
      <c r="R983" s="67">
        <f>SUM(Q981:Q983)</f>
        <v>0</v>
      </c>
      <c r="S983" s="561"/>
    </row>
    <row r="984" spans="1:19" ht="15.75" customHeight="1" x14ac:dyDescent="0.3">
      <c r="A984" s="553" t="s">
        <v>2353</v>
      </c>
      <c r="B984" s="67"/>
      <c r="C984" s="67">
        <f t="shared" si="182"/>
        <v>-256986.78102282938</v>
      </c>
      <c r="D984" s="72">
        <v>0</v>
      </c>
      <c r="E984" s="73">
        <f t="shared" si="183"/>
        <v>0</v>
      </c>
      <c r="F984" s="67"/>
      <c r="G984" s="67" t="e">
        <f>#REF!</f>
        <v>#REF!</v>
      </c>
      <c r="H984" s="72">
        <v>0</v>
      </c>
      <c r="I984" s="73" t="e">
        <f t="shared" si="184"/>
        <v>#REF!</v>
      </c>
      <c r="J984" s="67"/>
      <c r="K984" s="589">
        <v>6715</v>
      </c>
      <c r="L984" s="590">
        <v>0</v>
      </c>
      <c r="M984" s="73">
        <f t="shared" si="185"/>
        <v>0</v>
      </c>
      <c r="N984" s="67"/>
      <c r="O984" s="589">
        <v>0</v>
      </c>
      <c r="P984" s="72">
        <v>0</v>
      </c>
      <c r="Q984" s="73">
        <f t="shared" si="186"/>
        <v>0</v>
      </c>
      <c r="R984" s="67"/>
      <c r="S984" s="561"/>
    </row>
    <row r="985" spans="1:19" ht="15.75" customHeight="1" x14ac:dyDescent="0.3">
      <c r="A985" s="553" t="s">
        <v>2354</v>
      </c>
      <c r="B985" s="67"/>
      <c r="C985" s="67">
        <f t="shared" si="182"/>
        <v>288798.35261026229</v>
      </c>
      <c r="D985" s="72">
        <v>0</v>
      </c>
      <c r="E985" s="73">
        <f t="shared" si="183"/>
        <v>0</v>
      </c>
      <c r="F985" s="67"/>
      <c r="G985" s="67" t="e">
        <f>#REF!</f>
        <v>#REF!</v>
      </c>
      <c r="H985" s="72">
        <v>0</v>
      </c>
      <c r="I985" s="73" t="e">
        <f t="shared" si="184"/>
        <v>#REF!</v>
      </c>
      <c r="J985" s="67"/>
      <c r="K985" s="589">
        <v>8425</v>
      </c>
      <c r="L985" s="590">
        <v>0</v>
      </c>
      <c r="M985" s="73">
        <f t="shared" si="185"/>
        <v>0</v>
      </c>
      <c r="N985" s="67"/>
      <c r="O985" s="589">
        <v>0</v>
      </c>
      <c r="P985" s="72">
        <v>0</v>
      </c>
      <c r="Q985" s="73">
        <f t="shared" si="186"/>
        <v>0</v>
      </c>
      <c r="R985" s="67"/>
      <c r="S985" s="561"/>
    </row>
    <row r="986" spans="1:19" ht="15.75" customHeight="1" x14ac:dyDescent="0.3">
      <c r="A986" s="553" t="s">
        <v>2355</v>
      </c>
      <c r="B986" s="67"/>
      <c r="C986" s="67">
        <f t="shared" si="182"/>
        <v>-58285.97398435272</v>
      </c>
      <c r="D986" s="72">
        <v>0</v>
      </c>
      <c r="E986" s="73">
        <f t="shared" si="183"/>
        <v>0</v>
      </c>
      <c r="F986" s="67">
        <f>SUM(E984:E986)</f>
        <v>0</v>
      </c>
      <c r="G986" s="67" t="e">
        <f>#REF!</f>
        <v>#REF!</v>
      </c>
      <c r="H986" s="72">
        <v>0</v>
      </c>
      <c r="I986" s="73" t="e">
        <f t="shared" si="184"/>
        <v>#REF!</v>
      </c>
      <c r="J986" s="67" t="e">
        <f>SUM(I984:I986)</f>
        <v>#REF!</v>
      </c>
      <c r="K986" s="589">
        <v>7570</v>
      </c>
      <c r="L986" s="590">
        <v>0</v>
      </c>
      <c r="M986" s="73">
        <f t="shared" si="185"/>
        <v>0</v>
      </c>
      <c r="N986" s="67">
        <f>SUM(M984:M986)</f>
        <v>0</v>
      </c>
      <c r="O986" s="589">
        <v>0</v>
      </c>
      <c r="P986" s="72">
        <v>0</v>
      </c>
      <c r="Q986" s="73">
        <f t="shared" si="186"/>
        <v>0</v>
      </c>
      <c r="R986" s="67">
        <f>SUM(Q984:Q986)</f>
        <v>0</v>
      </c>
      <c r="S986" s="561"/>
    </row>
    <row r="987" spans="1:19" ht="15.75" customHeight="1" x14ac:dyDescent="0.3">
      <c r="A987" s="551"/>
      <c r="B987" s="67"/>
      <c r="C987" s="67"/>
      <c r="D987" s="67"/>
      <c r="E987" s="67"/>
      <c r="F987" s="67"/>
      <c r="G987" s="67"/>
      <c r="H987" s="67"/>
      <c r="I987" s="67"/>
      <c r="J987" s="67"/>
      <c r="K987" s="67"/>
      <c r="L987" s="67"/>
      <c r="M987" s="67"/>
      <c r="N987" s="67"/>
      <c r="O987" s="67"/>
      <c r="P987" s="67"/>
      <c r="Q987" s="67"/>
      <c r="R987" s="67"/>
      <c r="S987" s="561"/>
    </row>
    <row r="988" spans="1:19" ht="15.75" customHeight="1" x14ac:dyDescent="0.3">
      <c r="A988" s="551"/>
      <c r="B988" s="67"/>
      <c r="C988" s="67"/>
      <c r="D988" s="67"/>
      <c r="E988" s="67"/>
      <c r="F988" s="67"/>
      <c r="G988" s="67"/>
      <c r="H988" s="67"/>
      <c r="I988" s="67"/>
      <c r="J988" s="67"/>
      <c r="K988" s="67"/>
      <c r="L988" s="67"/>
      <c r="M988" s="67"/>
      <c r="N988" s="67"/>
      <c r="O988" s="67"/>
      <c r="P988" s="67"/>
      <c r="Q988" s="67"/>
      <c r="R988" s="67"/>
      <c r="S988" s="561"/>
    </row>
    <row r="989" spans="1:19" ht="16.5" customHeight="1" thickBot="1" x14ac:dyDescent="0.35">
      <c r="A989" s="554" t="s">
        <v>2356</v>
      </c>
      <c r="B989" s="555"/>
      <c r="C989" s="555">
        <f>SUM(C975:C986)</f>
        <v>84930.186243360891</v>
      </c>
      <c r="D989" s="555"/>
      <c r="E989" s="567">
        <f>SUM(E975:E986)</f>
        <v>0</v>
      </c>
      <c r="F989" s="555"/>
      <c r="G989" s="555" t="e">
        <f>SUM(G975:G986)</f>
        <v>#REF!</v>
      </c>
      <c r="H989" s="555" t="s">
        <v>2435</v>
      </c>
      <c r="I989" s="567" t="e">
        <f>SUM(I975:I986)</f>
        <v>#REF!</v>
      </c>
      <c r="J989" s="555"/>
      <c r="K989" s="555">
        <f>SUM(K975:K986)</f>
        <v>153175</v>
      </c>
      <c r="L989" s="555" t="s">
        <v>2435</v>
      </c>
      <c r="M989" s="567">
        <f>SUM(M975:M986)</f>
        <v>0</v>
      </c>
      <c r="N989" s="555"/>
      <c r="O989" s="555">
        <f>(SUM(O975:O986))</f>
        <v>0</v>
      </c>
      <c r="P989" s="555" t="s">
        <v>2435</v>
      </c>
      <c r="Q989" s="567">
        <f>SUM(Q975:Q986)</f>
        <v>0</v>
      </c>
      <c r="R989" s="555"/>
      <c r="S989" s="565"/>
    </row>
    <row r="990" spans="1:19" x14ac:dyDescent="0.3">
      <c r="P990" t="s">
        <v>2865</v>
      </c>
    </row>
  </sheetData>
  <mergeCells count="31">
    <mergeCell ref="M930:O930"/>
    <mergeCell ref="A928:P928"/>
    <mergeCell ref="M903:O903"/>
    <mergeCell ref="P902:R902"/>
    <mergeCell ref="B929:F929"/>
    <mergeCell ref="G929:L929"/>
    <mergeCell ref="M929:O929"/>
    <mergeCell ref="P929:R929"/>
    <mergeCell ref="A741:R741"/>
    <mergeCell ref="A2:R2"/>
    <mergeCell ref="A3:R3"/>
    <mergeCell ref="A4:R4"/>
    <mergeCell ref="A5:R5"/>
    <mergeCell ref="A7:R7"/>
    <mergeCell ref="A9:R9"/>
    <mergeCell ref="A700:R700"/>
    <mergeCell ref="A701:R701"/>
    <mergeCell ref="A702:R702"/>
    <mergeCell ref="A703:R703"/>
    <mergeCell ref="A705:R705"/>
    <mergeCell ref="A742:R742"/>
    <mergeCell ref="A743:R743"/>
    <mergeCell ref="A744:R744"/>
    <mergeCell ref="A746:R746"/>
    <mergeCell ref="G902:L902"/>
    <mergeCell ref="B902:F902"/>
    <mergeCell ref="A898:P898"/>
    <mergeCell ref="A899:P899"/>
    <mergeCell ref="A900:P900"/>
    <mergeCell ref="A901:P901"/>
    <mergeCell ref="M902:O902"/>
  </mergeCells>
  <conditionalFormatting sqref="P908:P921">
    <cfRule type="cellIs" dxfId="3" priority="3" operator="lessThan">
      <formula>0</formula>
    </cfRule>
    <cfRule type="cellIs" dxfId="2" priority="4" operator="greaterThan">
      <formula>0</formula>
    </cfRule>
  </conditionalFormatting>
  <conditionalFormatting sqref="P935:P946">
    <cfRule type="cellIs" dxfId="1" priority="1" operator="lessThan">
      <formula>0</formula>
    </cfRule>
    <cfRule type="cellIs" dxfId="0" priority="2" operator="greaterThan">
      <formula>0</formula>
    </cfRule>
  </conditionalFormatting>
  <printOptions horizontalCentered="1"/>
  <pageMargins left="0.25" right="0.25" top="0.25" bottom="0.25" header="0" footer="0"/>
  <pageSetup paperSize="17" scale="10" orientation="landscape" r:id="rId1"/>
  <headerFooter alignWithMargins="0"/>
  <rowBreaks count="6" manualBreakCount="6">
    <brk id="697" max="17" man="1"/>
    <brk id="737" max="17" man="1"/>
    <brk id="788" max="18" man="1"/>
    <brk id="819" max="18" man="1"/>
    <brk id="843" max="18" man="1"/>
    <brk id="870" max="18"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AD948"/>
  <sheetViews>
    <sheetView zoomScale="65" zoomScaleNormal="65" workbookViewId="0">
      <selection activeCell="T20" sqref="T20"/>
    </sheetView>
  </sheetViews>
  <sheetFormatPr defaultRowHeight="15.6" x14ac:dyDescent="0.3"/>
  <cols>
    <col min="1" max="1" width="37.81640625" customWidth="1"/>
    <col min="2" max="3" width="11" bestFit="1" customWidth="1"/>
    <col min="4" max="4" width="12.6328125" bestFit="1" customWidth="1"/>
    <col min="5" max="5" width="11.453125" customWidth="1"/>
    <col min="6" max="8" width="9.453125" bestFit="1" customWidth="1"/>
    <col min="9" max="9" width="9.81640625" bestFit="1" customWidth="1"/>
    <col min="10" max="12" width="9.453125" bestFit="1" customWidth="1"/>
    <col min="13" max="13" width="9.90625" bestFit="1" customWidth="1"/>
    <col min="14" max="16" width="9.453125" bestFit="1" customWidth="1"/>
    <col min="17" max="18" width="11.1796875" customWidth="1"/>
  </cols>
  <sheetData>
    <row r="1" spans="1:18" x14ac:dyDescent="0.3">
      <c r="A1" s="10"/>
      <c r="B1" s="10"/>
      <c r="C1" s="10"/>
      <c r="D1" s="10"/>
      <c r="E1" s="10"/>
      <c r="F1" s="10"/>
      <c r="G1" s="10"/>
      <c r="H1" s="10"/>
      <c r="I1" s="10"/>
      <c r="J1" s="10"/>
      <c r="K1" s="10"/>
      <c r="L1" s="10"/>
      <c r="M1" s="10"/>
      <c r="N1" s="10"/>
      <c r="O1" s="10"/>
      <c r="P1" s="10"/>
      <c r="Q1" s="17" t="s">
        <v>1496</v>
      </c>
      <c r="R1" s="76">
        <f ca="1">NOW()</f>
        <v>44881.72963425926</v>
      </c>
    </row>
    <row r="2" spans="1:18" ht="19.8" x14ac:dyDescent="0.35">
      <c r="A2" s="779" t="s">
        <v>43</v>
      </c>
      <c r="B2" s="779"/>
      <c r="C2" s="779"/>
      <c r="D2" s="779"/>
      <c r="E2" s="779"/>
      <c r="F2" s="779"/>
      <c r="G2" s="779"/>
      <c r="H2" s="779"/>
      <c r="I2" s="779"/>
      <c r="J2" s="779"/>
      <c r="K2" s="779"/>
      <c r="L2" s="779"/>
      <c r="M2" s="779"/>
      <c r="N2" s="779"/>
      <c r="O2" s="779"/>
      <c r="P2" s="779"/>
      <c r="Q2" s="779"/>
      <c r="R2" s="779"/>
    </row>
    <row r="3" spans="1:18" ht="19.8" x14ac:dyDescent="0.35">
      <c r="A3" s="779" t="s">
        <v>1988</v>
      </c>
      <c r="B3" s="779"/>
      <c r="C3" s="779"/>
      <c r="D3" s="779"/>
      <c r="E3" s="779"/>
      <c r="F3" s="779"/>
      <c r="G3" s="779"/>
      <c r="H3" s="779"/>
      <c r="I3" s="779"/>
      <c r="J3" s="779"/>
      <c r="K3" s="779"/>
      <c r="L3" s="779"/>
      <c r="M3" s="779"/>
      <c r="N3" s="779"/>
      <c r="O3" s="779"/>
      <c r="P3" s="779"/>
      <c r="Q3" s="779"/>
      <c r="R3" s="779"/>
    </row>
    <row r="4" spans="1:18" ht="18" x14ac:dyDescent="0.35">
      <c r="A4" s="780" t="s">
        <v>544</v>
      </c>
      <c r="B4" s="780"/>
      <c r="C4" s="780"/>
      <c r="D4" s="780"/>
      <c r="E4" s="780"/>
      <c r="F4" s="780"/>
      <c r="G4" s="780"/>
      <c r="H4" s="780"/>
      <c r="I4" s="780"/>
      <c r="J4" s="780"/>
      <c r="K4" s="780"/>
      <c r="L4" s="780"/>
      <c r="M4" s="780"/>
      <c r="N4" s="780"/>
      <c r="O4" s="780"/>
      <c r="P4" s="780"/>
      <c r="Q4" s="780"/>
      <c r="R4" s="780"/>
    </row>
    <row r="5" spans="1:18" ht="18" x14ac:dyDescent="0.35">
      <c r="A5" s="780" t="s">
        <v>445</v>
      </c>
      <c r="B5" s="780"/>
      <c r="C5" s="780"/>
      <c r="D5" s="780"/>
      <c r="E5" s="780"/>
      <c r="F5" s="780"/>
      <c r="G5" s="780"/>
      <c r="H5" s="780"/>
      <c r="I5" s="780"/>
      <c r="J5" s="780"/>
      <c r="K5" s="780"/>
      <c r="L5" s="780"/>
      <c r="M5" s="780"/>
      <c r="N5" s="780"/>
      <c r="O5" s="780"/>
      <c r="P5" s="780"/>
      <c r="Q5" s="780"/>
      <c r="R5" s="780"/>
    </row>
    <row r="6" spans="1:18" x14ac:dyDescent="0.3">
      <c r="A6" s="10"/>
      <c r="B6" s="10"/>
      <c r="C6" s="10"/>
      <c r="D6" s="1"/>
      <c r="E6" s="1"/>
      <c r="F6" s="1"/>
      <c r="G6" s="220"/>
      <c r="H6" s="1"/>
      <c r="I6" s="1"/>
      <c r="J6" s="220"/>
      <c r="K6" s="220"/>
      <c r="L6" s="220"/>
      <c r="M6" s="220"/>
      <c r="N6" s="10"/>
      <c r="O6" s="220"/>
      <c r="P6" s="220"/>
      <c r="Q6" s="220"/>
      <c r="R6" s="220"/>
    </row>
    <row r="7" spans="1:18" ht="18" x14ac:dyDescent="0.35">
      <c r="A7" s="780" t="s">
        <v>2671</v>
      </c>
      <c r="B7" s="780"/>
      <c r="C7" s="780"/>
      <c r="D7" s="780"/>
      <c r="E7" s="780"/>
      <c r="F7" s="780"/>
      <c r="G7" s="780"/>
      <c r="H7" s="780"/>
      <c r="I7" s="780"/>
      <c r="J7" s="780"/>
      <c r="K7" s="780"/>
      <c r="L7" s="780"/>
      <c r="M7" s="780"/>
      <c r="N7" s="780"/>
      <c r="O7" s="780"/>
      <c r="P7" s="780"/>
      <c r="Q7" s="780"/>
      <c r="R7" s="780"/>
    </row>
    <row r="8" spans="1:18" ht="18" x14ac:dyDescent="0.35">
      <c r="A8" s="434"/>
      <c r="B8" s="434"/>
      <c r="C8" s="434"/>
      <c r="D8" s="434"/>
      <c r="E8" s="434"/>
      <c r="F8" s="434"/>
      <c r="G8" s="434"/>
      <c r="H8" s="434"/>
      <c r="I8" s="434"/>
      <c r="J8" s="434"/>
      <c r="K8" s="434"/>
      <c r="L8" s="434"/>
      <c r="M8" s="434"/>
      <c r="N8" s="434"/>
      <c r="O8" s="434"/>
      <c r="P8" s="434"/>
      <c r="Q8" s="434"/>
      <c r="R8" s="434"/>
    </row>
    <row r="9" spans="1:18" x14ac:dyDescent="0.3">
      <c r="A9" s="778" t="s">
        <v>2670</v>
      </c>
      <c r="B9" s="778"/>
      <c r="C9" s="778"/>
      <c r="D9" s="778"/>
      <c r="E9" s="778"/>
      <c r="F9" s="778"/>
      <c r="G9" s="778"/>
      <c r="H9" s="778"/>
      <c r="I9" s="778"/>
      <c r="J9" s="778"/>
      <c r="K9" s="778"/>
      <c r="L9" s="778"/>
      <c r="M9" s="778"/>
      <c r="N9" s="778"/>
      <c r="O9" s="778"/>
      <c r="P9" s="778"/>
      <c r="Q9" s="778"/>
      <c r="R9" s="778"/>
    </row>
    <row r="10" spans="1:18" x14ac:dyDescent="0.3">
      <c r="A10" s="1"/>
      <c r="B10" s="220"/>
      <c r="C10" s="220"/>
      <c r="D10" s="220"/>
      <c r="E10" s="220"/>
      <c r="F10" s="220"/>
      <c r="G10" s="220"/>
      <c r="H10" s="220"/>
      <c r="I10" s="220"/>
      <c r="J10" s="220"/>
      <c r="K10" s="220"/>
      <c r="L10" s="220"/>
      <c r="M10" s="220"/>
      <c r="N10" s="220"/>
      <c r="O10" s="220"/>
      <c r="P10" s="220"/>
      <c r="Q10" s="220"/>
      <c r="R10" s="220"/>
    </row>
    <row r="11" spans="1:18" ht="16.2" thickBot="1" x14ac:dyDescent="0.35">
      <c r="A11" s="10"/>
      <c r="B11" s="10"/>
      <c r="C11" s="10"/>
      <c r="D11" s="10"/>
      <c r="E11" s="10"/>
      <c r="F11" s="10"/>
      <c r="G11" s="10"/>
      <c r="H11" s="10"/>
      <c r="I11" s="10"/>
      <c r="J11" s="10"/>
      <c r="K11" s="10"/>
      <c r="L11" s="10"/>
      <c r="M11" s="10"/>
      <c r="N11" s="10"/>
      <c r="O11" s="10"/>
      <c r="P11" s="10"/>
      <c r="Q11" s="10"/>
      <c r="R11" s="10"/>
    </row>
    <row r="12" spans="1:18" ht="16.2" thickBot="1" x14ac:dyDescent="0.35">
      <c r="A12" s="427" t="s">
        <v>852</v>
      </c>
      <c r="B12" s="449" t="s">
        <v>2090</v>
      </c>
      <c r="C12" s="26" t="s">
        <v>2091</v>
      </c>
      <c r="D12" s="26" t="s">
        <v>2234</v>
      </c>
      <c r="E12" s="33" t="s">
        <v>1594</v>
      </c>
      <c r="F12" s="26" t="s">
        <v>2235</v>
      </c>
      <c r="G12" s="26" t="s">
        <v>2236</v>
      </c>
      <c r="H12" s="26" t="s">
        <v>2237</v>
      </c>
      <c r="I12" s="33" t="s">
        <v>1595</v>
      </c>
      <c r="J12" s="26" t="s">
        <v>1504</v>
      </c>
      <c r="K12" s="26" t="s">
        <v>1505</v>
      </c>
      <c r="L12" s="26" t="s">
        <v>1506</v>
      </c>
      <c r="M12" s="33" t="s">
        <v>1596</v>
      </c>
      <c r="N12" s="26" t="s">
        <v>1507</v>
      </c>
      <c r="O12" s="26" t="s">
        <v>1508</v>
      </c>
      <c r="P12" s="26" t="s">
        <v>1509</v>
      </c>
      <c r="Q12" s="33" t="s">
        <v>1597</v>
      </c>
      <c r="R12" s="34" t="s">
        <v>1510</v>
      </c>
    </row>
    <row r="13" spans="1:18" ht="16.5" customHeight="1" thickBot="1" x14ac:dyDescent="0.35">
      <c r="A13" s="231"/>
      <c r="B13" s="232"/>
      <c r="C13" s="232"/>
      <c r="D13" s="232"/>
      <c r="E13" s="233"/>
      <c r="F13" s="232"/>
      <c r="G13" s="232"/>
      <c r="H13" s="232"/>
      <c r="I13" s="233"/>
      <c r="J13" s="232"/>
      <c r="K13" s="232"/>
      <c r="L13" s="232"/>
      <c r="M13" s="233"/>
      <c r="N13" s="232"/>
      <c r="O13" s="232"/>
      <c r="P13" s="232"/>
      <c r="Q13" s="233"/>
      <c r="R13" s="233"/>
    </row>
    <row r="14" spans="1:18" ht="15.75" customHeight="1" x14ac:dyDescent="0.3">
      <c r="A14" s="234" t="s">
        <v>1277</v>
      </c>
      <c r="B14" s="172">
        <f>+B748</f>
        <v>66498</v>
      </c>
      <c r="C14" s="172">
        <f>+C748</f>
        <v>78366</v>
      </c>
      <c r="D14" s="172">
        <f>+D748</f>
        <v>135796</v>
      </c>
      <c r="E14" s="15">
        <f t="shared" ref="E14:E20" si="0">SUM(B14:D14)</f>
        <v>280660</v>
      </c>
      <c r="F14" s="172">
        <f>+F748</f>
        <v>151715</v>
      </c>
      <c r="G14" s="172">
        <f>+G748</f>
        <v>177404</v>
      </c>
      <c r="H14" s="172">
        <f>+H748</f>
        <v>223913</v>
      </c>
      <c r="I14" s="15">
        <f t="shared" ref="I14:I20" si="1">SUM(F14:H14)</f>
        <v>553032</v>
      </c>
      <c r="J14" s="172">
        <f>+J748</f>
        <v>229857</v>
      </c>
      <c r="K14" s="172">
        <f>+K748</f>
        <v>215585</v>
      </c>
      <c r="L14" s="172">
        <f>+L748</f>
        <v>138247</v>
      </c>
      <c r="M14" s="15">
        <f t="shared" ref="M14:M20" si="2">SUM(J14:L14)</f>
        <v>583689</v>
      </c>
      <c r="N14" s="172">
        <f>+N748</f>
        <v>90308</v>
      </c>
      <c r="O14" s="172">
        <f>+O748</f>
        <v>48560</v>
      </c>
      <c r="P14" s="172">
        <f>+P748</f>
        <v>60098</v>
      </c>
      <c r="Q14" s="29">
        <f t="shared" ref="Q14:Q20" si="3">SUM(N14:P14)</f>
        <v>198966</v>
      </c>
      <c r="R14" s="15">
        <f>+E14+I14+M14+Q14</f>
        <v>1616347</v>
      </c>
    </row>
    <row r="15" spans="1:18" ht="15.75" customHeight="1" x14ac:dyDescent="0.3">
      <c r="A15" s="234" t="s">
        <v>1278</v>
      </c>
      <c r="B15" s="172">
        <f>B26+B61+B125+B246+B370+B415+B456+B508+B518+B553+B594+B604+B638+B681</f>
        <v>739</v>
      </c>
      <c r="C15" s="172">
        <f>C26+C61+C125+C246+C370+C415+C456+C508+C518+C553+C594+C604+C638+C681</f>
        <v>1283</v>
      </c>
      <c r="D15" s="172">
        <f>D26+D61+D125+D246+D370+D415+D456+D508+D518+D553+D594+D604+D638+D681</f>
        <v>2185</v>
      </c>
      <c r="E15" s="15">
        <f t="shared" si="0"/>
        <v>4207</v>
      </c>
      <c r="F15" s="172">
        <f>F26+F61+F125+F246+F370+F415+F456+F508+F518+F553+F594+F604+F638+F681</f>
        <v>2959</v>
      </c>
      <c r="G15" s="172">
        <f>G26+G61+G125+G246+G370+G415+G456+G508+G518+G553+G594+G604+G638+G681</f>
        <v>3425</v>
      </c>
      <c r="H15" s="172">
        <f>H26+H61+H125+H246+H370+H415+H456+H508+H518+H553+H594+H604+H638+H681</f>
        <v>3464</v>
      </c>
      <c r="I15" s="15">
        <f t="shared" si="1"/>
        <v>9848</v>
      </c>
      <c r="J15" s="172">
        <f>J26+J61+J125+J246+J370+J415+J456+J508+J518+J553+J594+J604+J638+J681</f>
        <v>3382</v>
      </c>
      <c r="K15" s="172">
        <f>K26+K61+K125+K246+K370+K415+K456+K508+K518+K553+K594+K604+K638+K681</f>
        <v>2663</v>
      </c>
      <c r="L15" s="172">
        <f>L26+L61+L125+L246+L370+L415+L456+L508+L518+L553+L594+L604+L638+L681</f>
        <v>2559</v>
      </c>
      <c r="M15" s="15">
        <f t="shared" si="2"/>
        <v>8604</v>
      </c>
      <c r="N15" s="172">
        <f>N26+N61+N125+N246+N370+N415+N456+N508+N518+N553+N594+N604+N638+N681</f>
        <v>2343</v>
      </c>
      <c r="O15" s="172">
        <f>O26+O61+O125+O246+O370+O415+O456+O508+O518+O553+O594+O604+O638+O681</f>
        <v>1892</v>
      </c>
      <c r="P15" s="172">
        <f>P26+P61+P125+P246+P370+P415+P456+P508+P518+P553+P594+P604+P638+P681</f>
        <v>1423</v>
      </c>
      <c r="Q15" s="29">
        <f t="shared" si="3"/>
        <v>5658</v>
      </c>
      <c r="R15" s="15">
        <f t="shared" ref="R15:R20" si="4">+E15+I15+M15+Q15</f>
        <v>28317</v>
      </c>
    </row>
    <row r="16" spans="1:18" ht="15.75" customHeight="1" x14ac:dyDescent="0.3">
      <c r="A16" s="234" t="s">
        <v>397</v>
      </c>
      <c r="B16" s="172">
        <f>B241</f>
        <v>0</v>
      </c>
      <c r="C16" s="172">
        <f>C241</f>
        <v>1539</v>
      </c>
      <c r="D16" s="172">
        <f>D241</f>
        <v>3357</v>
      </c>
      <c r="E16" s="15">
        <f t="shared" si="0"/>
        <v>4896</v>
      </c>
      <c r="F16" s="172">
        <f>F241</f>
        <v>4557</v>
      </c>
      <c r="G16" s="172">
        <f>G241</f>
        <v>5249</v>
      </c>
      <c r="H16" s="172">
        <f>H241</f>
        <v>4832</v>
      </c>
      <c r="I16" s="15">
        <f t="shared" si="1"/>
        <v>14638</v>
      </c>
      <c r="J16" s="172">
        <f>J241</f>
        <v>5186</v>
      </c>
      <c r="K16" s="172">
        <f>K241</f>
        <v>4567</v>
      </c>
      <c r="L16" s="172">
        <f>L241</f>
        <v>3615</v>
      </c>
      <c r="M16" s="15">
        <f t="shared" si="2"/>
        <v>13368</v>
      </c>
      <c r="N16" s="172">
        <f>N241</f>
        <v>3951</v>
      </c>
      <c r="O16" s="172">
        <f>O241</f>
        <v>3560</v>
      </c>
      <c r="P16" s="172">
        <f>P241</f>
        <v>916</v>
      </c>
      <c r="Q16" s="29">
        <f t="shared" si="3"/>
        <v>8427</v>
      </c>
      <c r="R16" s="15">
        <f t="shared" si="4"/>
        <v>41329</v>
      </c>
    </row>
    <row r="17" spans="1:20" ht="15.75" customHeight="1" x14ac:dyDescent="0.3">
      <c r="A17" s="235" t="s">
        <v>967</v>
      </c>
      <c r="B17" s="172">
        <f>+B242</f>
        <v>0</v>
      </c>
      <c r="C17" s="172">
        <f>+C242</f>
        <v>0</v>
      </c>
      <c r="D17" s="172">
        <f>+D242</f>
        <v>0</v>
      </c>
      <c r="E17" s="15">
        <f t="shared" si="0"/>
        <v>0</v>
      </c>
      <c r="F17" s="172">
        <f>+F242</f>
        <v>0</v>
      </c>
      <c r="G17" s="172">
        <f>+G242</f>
        <v>0</v>
      </c>
      <c r="H17" s="172">
        <f>+H242</f>
        <v>0</v>
      </c>
      <c r="I17" s="15">
        <f t="shared" si="1"/>
        <v>0</v>
      </c>
      <c r="J17" s="172">
        <f>+J242</f>
        <v>0</v>
      </c>
      <c r="K17" s="172">
        <f>+K242</f>
        <v>0</v>
      </c>
      <c r="L17" s="172">
        <f>+L242</f>
        <v>0</v>
      </c>
      <c r="M17" s="15">
        <f t="shared" si="2"/>
        <v>0</v>
      </c>
      <c r="N17" s="172">
        <f>+N242</f>
        <v>0</v>
      </c>
      <c r="O17" s="172">
        <f>+O242</f>
        <v>0</v>
      </c>
      <c r="P17" s="172">
        <f>+P242</f>
        <v>70</v>
      </c>
      <c r="Q17" s="29">
        <f t="shared" si="3"/>
        <v>70</v>
      </c>
      <c r="R17" s="15">
        <f t="shared" si="4"/>
        <v>70</v>
      </c>
    </row>
    <row r="18" spans="1:20" ht="15.75" customHeight="1" x14ac:dyDescent="0.3">
      <c r="A18" s="236" t="s">
        <v>1176</v>
      </c>
      <c r="B18" s="172">
        <f>B245</f>
        <v>22743</v>
      </c>
      <c r="C18" s="172">
        <f>C245</f>
        <v>52608</v>
      </c>
      <c r="D18" s="172">
        <f>D245</f>
        <v>44419</v>
      </c>
      <c r="E18" s="15">
        <f t="shared" si="0"/>
        <v>119770</v>
      </c>
      <c r="F18" s="172">
        <f>F245</f>
        <v>21347</v>
      </c>
      <c r="G18" s="172">
        <f>G245</f>
        <v>7072</v>
      </c>
      <c r="H18" s="172">
        <f>H245</f>
        <v>1045</v>
      </c>
      <c r="I18" s="15">
        <f t="shared" si="1"/>
        <v>29464</v>
      </c>
      <c r="J18" s="172">
        <f>J245</f>
        <v>316</v>
      </c>
      <c r="K18" s="172">
        <f>K245</f>
        <v>0</v>
      </c>
      <c r="L18" s="172">
        <f>L245</f>
        <v>4936</v>
      </c>
      <c r="M18" s="15">
        <f t="shared" si="2"/>
        <v>5252</v>
      </c>
      <c r="N18" s="172">
        <f>N245</f>
        <v>51830</v>
      </c>
      <c r="O18" s="172">
        <f>O245</f>
        <v>121619</v>
      </c>
      <c r="P18" s="172">
        <f>P245</f>
        <v>87741</v>
      </c>
      <c r="Q18" s="29">
        <f t="shared" si="3"/>
        <v>261190</v>
      </c>
      <c r="R18" s="15">
        <f t="shared" si="4"/>
        <v>415676</v>
      </c>
    </row>
    <row r="19" spans="1:20" ht="15.75" customHeight="1" x14ac:dyDescent="0.3">
      <c r="A19" s="236" t="s">
        <v>662</v>
      </c>
      <c r="B19" s="172">
        <f>B257</f>
        <v>0</v>
      </c>
      <c r="C19" s="172">
        <f>C257</f>
        <v>0</v>
      </c>
      <c r="D19" s="172">
        <f>D257</f>
        <v>0</v>
      </c>
      <c r="E19" s="15">
        <f t="shared" si="0"/>
        <v>0</v>
      </c>
      <c r="F19" s="172">
        <f>F257</f>
        <v>0</v>
      </c>
      <c r="G19" s="172">
        <f>G257</f>
        <v>-25965</v>
      </c>
      <c r="H19" s="172">
        <f>H257</f>
        <v>-77908</v>
      </c>
      <c r="I19" s="15">
        <f t="shared" si="1"/>
        <v>-103873</v>
      </c>
      <c r="J19" s="172">
        <f>J257</f>
        <v>-159336</v>
      </c>
      <c r="K19" s="172">
        <f>K257</f>
        <v>-161275</v>
      </c>
      <c r="L19" s="172">
        <f>L257</f>
        <v>-46169</v>
      </c>
      <c r="M19" s="15">
        <f t="shared" si="2"/>
        <v>-366780</v>
      </c>
      <c r="N19" s="172">
        <f>N257</f>
        <v>0</v>
      </c>
      <c r="O19" s="172">
        <f>O257</f>
        <v>0</v>
      </c>
      <c r="P19" s="172">
        <f>P257</f>
        <v>0</v>
      </c>
      <c r="Q19" s="29">
        <f t="shared" si="3"/>
        <v>0</v>
      </c>
      <c r="R19" s="15">
        <f t="shared" si="4"/>
        <v>-470653</v>
      </c>
    </row>
    <row r="20" spans="1:20" ht="16.5" customHeight="1" thickBot="1" x14ac:dyDescent="0.35">
      <c r="A20" s="237" t="s">
        <v>851</v>
      </c>
      <c r="B20" s="238">
        <f>(B30)</f>
        <v>89980</v>
      </c>
      <c r="C20" s="238">
        <f>(C30)</f>
        <v>133796</v>
      </c>
      <c r="D20" s="238">
        <f>(D30)</f>
        <v>185757</v>
      </c>
      <c r="E20" s="16">
        <f t="shared" si="0"/>
        <v>409533</v>
      </c>
      <c r="F20" s="238">
        <f>(F30)</f>
        <v>180578</v>
      </c>
      <c r="G20" s="238">
        <f>(G30)</f>
        <v>167185</v>
      </c>
      <c r="H20" s="238">
        <f>(H30)</f>
        <v>155346</v>
      </c>
      <c r="I20" s="16">
        <f t="shared" si="1"/>
        <v>503109</v>
      </c>
      <c r="J20" s="238">
        <f>(J30)</f>
        <v>79405</v>
      </c>
      <c r="K20" s="238">
        <f>(K30)</f>
        <v>61540</v>
      </c>
      <c r="L20" s="238">
        <f>(L30)</f>
        <v>103188</v>
      </c>
      <c r="M20" s="16">
        <f t="shared" si="2"/>
        <v>244133</v>
      </c>
      <c r="N20" s="238">
        <f>(N30)</f>
        <v>148432</v>
      </c>
      <c r="O20" s="238">
        <f>(O30)</f>
        <v>175631</v>
      </c>
      <c r="P20" s="238">
        <f>(P30)</f>
        <v>150248</v>
      </c>
      <c r="Q20" s="30">
        <f t="shared" si="3"/>
        <v>474311</v>
      </c>
      <c r="R20" s="16">
        <f t="shared" si="4"/>
        <v>1631086</v>
      </c>
      <c r="S20" t="s">
        <v>400</v>
      </c>
      <c r="T20" t="s">
        <v>75</v>
      </c>
    </row>
    <row r="21" spans="1:20" ht="16.5" customHeight="1" thickBot="1" x14ac:dyDescent="0.35">
      <c r="A21" s="237" t="s">
        <v>496</v>
      </c>
      <c r="B21" s="238">
        <v>89029</v>
      </c>
      <c r="C21" s="238">
        <v>134563</v>
      </c>
      <c r="D21" s="238">
        <v>186159</v>
      </c>
      <c r="E21" s="16">
        <f>SUM(B21:D21)</f>
        <v>409751</v>
      </c>
      <c r="F21" s="238">
        <v>180434</v>
      </c>
      <c r="G21" s="238">
        <v>166473</v>
      </c>
      <c r="H21" s="238">
        <v>154609</v>
      </c>
      <c r="I21" s="16">
        <f>SUM(F21:H21)</f>
        <v>501516</v>
      </c>
      <c r="J21" s="238">
        <v>76895</v>
      </c>
      <c r="K21" s="238">
        <v>60168</v>
      </c>
      <c r="L21" s="238">
        <v>101762</v>
      </c>
      <c r="M21" s="16">
        <f>SUM(J21:L21)</f>
        <v>238825</v>
      </c>
      <c r="N21" s="238">
        <v>149410</v>
      </c>
      <c r="O21" s="238">
        <v>174986</v>
      </c>
      <c r="P21" s="238">
        <v>150555</v>
      </c>
      <c r="Q21" s="30">
        <f>SUM(N21:P21)</f>
        <v>474951</v>
      </c>
      <c r="R21" s="16">
        <f>+E21+I21+M21+Q21</f>
        <v>1625043</v>
      </c>
    </row>
    <row r="22" spans="1:20" ht="15.75" customHeight="1" x14ac:dyDescent="0.3">
      <c r="A22" s="172"/>
      <c r="B22" s="172"/>
      <c r="C22" s="172"/>
      <c r="D22" s="172"/>
      <c r="E22" s="172"/>
      <c r="F22" s="172"/>
      <c r="G22" s="172"/>
      <c r="H22" s="172"/>
      <c r="I22" s="172"/>
      <c r="J22" s="172"/>
      <c r="K22" s="172"/>
      <c r="L22" s="172"/>
      <c r="M22" s="172"/>
      <c r="N22" s="172"/>
      <c r="O22" s="172"/>
      <c r="P22" s="172"/>
      <c r="Q22" s="172"/>
      <c r="R22" s="17"/>
      <c r="T22" t="s">
        <v>1956</v>
      </c>
    </row>
    <row r="23" spans="1:20" ht="15.75" customHeight="1" thickBot="1" x14ac:dyDescent="0.35">
      <c r="A23" s="172"/>
      <c r="B23" s="172"/>
      <c r="C23" s="172"/>
      <c r="D23" s="172"/>
      <c r="E23" s="172"/>
      <c r="F23" s="239" t="s">
        <v>852</v>
      </c>
      <c r="G23" s="239" t="s">
        <v>852</v>
      </c>
      <c r="H23" s="172"/>
      <c r="I23" s="172"/>
      <c r="J23" s="172"/>
      <c r="K23" s="172"/>
      <c r="L23" s="172"/>
      <c r="M23" s="172"/>
      <c r="N23" s="239" t="s">
        <v>852</v>
      </c>
      <c r="O23" s="239" t="s">
        <v>852</v>
      </c>
      <c r="P23" s="239" t="s">
        <v>852</v>
      </c>
      <c r="Q23" s="239"/>
      <c r="R23" s="18" t="s">
        <v>852</v>
      </c>
      <c r="T23" t="s">
        <v>2277</v>
      </c>
    </row>
    <row r="24" spans="1:20" ht="16.5" customHeight="1" thickBot="1" x14ac:dyDescent="0.35">
      <c r="A24" s="240" t="s">
        <v>1878</v>
      </c>
      <c r="B24" s="4" t="s">
        <v>2090</v>
      </c>
      <c r="C24" s="5" t="s">
        <v>2091</v>
      </c>
      <c r="D24" s="5" t="s">
        <v>2234</v>
      </c>
      <c r="E24" s="33" t="s">
        <v>1594</v>
      </c>
      <c r="F24" s="5" t="s">
        <v>2235</v>
      </c>
      <c r="G24" s="5" t="s">
        <v>2236</v>
      </c>
      <c r="H24" s="5" t="s">
        <v>2237</v>
      </c>
      <c r="I24" s="35" t="s">
        <v>1595</v>
      </c>
      <c r="J24" s="5" t="s">
        <v>1504</v>
      </c>
      <c r="K24" s="5" t="s">
        <v>1505</v>
      </c>
      <c r="L24" s="5" t="s">
        <v>1506</v>
      </c>
      <c r="M24" s="35" t="s">
        <v>1596</v>
      </c>
      <c r="N24" s="5" t="s">
        <v>1507</v>
      </c>
      <c r="O24" s="5" t="s">
        <v>1508</v>
      </c>
      <c r="P24" s="5" t="s">
        <v>1509</v>
      </c>
      <c r="Q24" s="35" t="s">
        <v>1597</v>
      </c>
      <c r="R24" s="36" t="s">
        <v>1510</v>
      </c>
    </row>
    <row r="25" spans="1:20" ht="16.5" customHeight="1" thickBot="1" x14ac:dyDescent="0.35">
      <c r="A25" s="241"/>
      <c r="B25" s="242"/>
      <c r="C25" s="242"/>
      <c r="D25" s="242"/>
      <c r="E25" s="243"/>
      <c r="F25" s="242"/>
      <c r="G25" s="242"/>
      <c r="H25" s="242"/>
      <c r="I25" s="243"/>
      <c r="J25" s="242"/>
      <c r="K25" s="242"/>
      <c r="L25" s="242"/>
      <c r="M25" s="243"/>
      <c r="N25" s="242"/>
      <c r="O25" s="242"/>
      <c r="P25" s="242"/>
      <c r="Q25" s="243"/>
      <c r="R25" s="19"/>
    </row>
    <row r="26" spans="1:20" ht="16.5" customHeight="1" thickBot="1" x14ac:dyDescent="0.35">
      <c r="A26" s="244" t="s">
        <v>853</v>
      </c>
      <c r="B26" s="238">
        <v>97</v>
      </c>
      <c r="C26" s="238">
        <v>148</v>
      </c>
      <c r="D26" s="238">
        <v>274</v>
      </c>
      <c r="E26" s="14">
        <f>SUM(B26:D26)</f>
        <v>519</v>
      </c>
      <c r="F26" s="238">
        <v>367</v>
      </c>
      <c r="G26" s="238">
        <v>425</v>
      </c>
      <c r="H26" s="238">
        <v>417</v>
      </c>
      <c r="I26" s="14">
        <f>SUM(F26:H26)</f>
        <v>1209</v>
      </c>
      <c r="J26" s="238">
        <v>416</v>
      </c>
      <c r="K26" s="238">
        <v>334</v>
      </c>
      <c r="L26" s="238">
        <v>316</v>
      </c>
      <c r="M26" s="14">
        <f>SUM(J26:L26)</f>
        <v>1066</v>
      </c>
      <c r="N26" s="238">
        <v>285</v>
      </c>
      <c r="O26" s="238">
        <v>235</v>
      </c>
      <c r="P26" s="238">
        <v>186</v>
      </c>
      <c r="Q26" s="14">
        <f>SUM(N26:P26)</f>
        <v>706</v>
      </c>
      <c r="R26" s="16">
        <f>+E26+I26+M26+Q26</f>
        <v>3500</v>
      </c>
    </row>
    <row r="27" spans="1:20" ht="16.5" customHeight="1" thickBot="1" x14ac:dyDescent="0.35">
      <c r="A27" s="22"/>
      <c r="B27" s="242"/>
      <c r="C27" s="242"/>
      <c r="D27" s="242"/>
      <c r="E27" s="21"/>
      <c r="F27" s="242"/>
      <c r="G27" s="242"/>
      <c r="H27" s="242"/>
      <c r="I27" s="21"/>
      <c r="J27" s="242"/>
      <c r="K27" s="242"/>
      <c r="L27" s="242"/>
      <c r="M27" s="21"/>
      <c r="N27" s="242"/>
      <c r="O27" s="242"/>
      <c r="P27" s="242"/>
      <c r="Q27" s="21"/>
      <c r="R27" s="13"/>
    </row>
    <row r="28" spans="1:20" ht="15.75" customHeight="1" x14ac:dyDescent="0.3">
      <c r="A28" s="234" t="s">
        <v>2011</v>
      </c>
      <c r="B28" s="172">
        <f>B26</f>
        <v>97</v>
      </c>
      <c r="C28" s="172">
        <f>C26</f>
        <v>148</v>
      </c>
      <c r="D28" s="172">
        <f>D26</f>
        <v>274</v>
      </c>
      <c r="E28" s="14">
        <f>SUM(B28:D28)</f>
        <v>519</v>
      </c>
      <c r="F28" s="172">
        <f>F26</f>
        <v>367</v>
      </c>
      <c r="G28" s="172">
        <f>G26</f>
        <v>425</v>
      </c>
      <c r="H28" s="172">
        <f>H26</f>
        <v>417</v>
      </c>
      <c r="I28" s="14">
        <f>SUM(F28:H28)</f>
        <v>1209</v>
      </c>
      <c r="J28" s="172">
        <f>J26</f>
        <v>416</v>
      </c>
      <c r="K28" s="172">
        <f>K26</f>
        <v>334</v>
      </c>
      <c r="L28" s="172">
        <f>L26</f>
        <v>316</v>
      </c>
      <c r="M28" s="14">
        <f>SUM(J28:L28)</f>
        <v>1066</v>
      </c>
      <c r="N28" s="172">
        <f>N26</f>
        <v>285</v>
      </c>
      <c r="O28" s="172">
        <f>O26</f>
        <v>235</v>
      </c>
      <c r="P28" s="172">
        <f>P26</f>
        <v>186</v>
      </c>
      <c r="Q28" s="28">
        <f>SUM(N28:P28)</f>
        <v>706</v>
      </c>
      <c r="R28" s="14">
        <f>+E28+I28+M28+Q28</f>
        <v>3500</v>
      </c>
    </row>
    <row r="29" spans="1:20" ht="15.75" customHeight="1" x14ac:dyDescent="0.3">
      <c r="A29" s="234" t="s">
        <v>1897</v>
      </c>
      <c r="B29" s="172">
        <f>(B28/31)/1.983</f>
        <v>1.5779285214647079</v>
      </c>
      <c r="C29" s="172">
        <f>(C28/28)/1.983</f>
        <v>2.6655140119587926</v>
      </c>
      <c r="D29" s="172">
        <f>(D28/31)/1.983</f>
        <v>4.457241390529175</v>
      </c>
      <c r="E29" s="15"/>
      <c r="F29" s="172">
        <f>(F28/30)/1.983</f>
        <v>6.1691040511010247</v>
      </c>
      <c r="G29" s="172">
        <f>(G28/31)/1.983</f>
        <v>6.9136043466237203</v>
      </c>
      <c r="H29" s="172">
        <f>(H28/30)/1.983</f>
        <v>7.0095814422592033</v>
      </c>
      <c r="I29" s="15"/>
      <c r="J29" s="172">
        <f>(J28/31)/1.983</f>
        <v>6.7671986075187478</v>
      </c>
      <c r="K29" s="172">
        <f>(K28/31)/1.983</f>
        <v>5.433279651228994</v>
      </c>
      <c r="L29" s="172">
        <f>(L28/30)/1.983</f>
        <v>5.3118171121196838</v>
      </c>
      <c r="M29" s="15"/>
      <c r="N29" s="172">
        <f>(N28/31)/1.983</f>
        <v>4.6361817383241419</v>
      </c>
      <c r="O29" s="172">
        <f>(O28/30)/1.983</f>
        <v>3.9502437384434357</v>
      </c>
      <c r="P29" s="172">
        <f>(P28/31)/1.983</f>
        <v>3.02571860816944</v>
      </c>
      <c r="Q29" s="29"/>
      <c r="R29" s="15"/>
    </row>
    <row r="30" spans="1:20" ht="15.75" customHeight="1" x14ac:dyDescent="0.3">
      <c r="A30" s="234" t="s">
        <v>1119</v>
      </c>
      <c r="B30" s="172">
        <f>B28+B65</f>
        <v>89980</v>
      </c>
      <c r="C30" s="172">
        <f>C28+C65</f>
        <v>133796</v>
      </c>
      <c r="D30" s="172">
        <f>D28+D65</f>
        <v>185757</v>
      </c>
      <c r="E30" s="15">
        <f>SUM(B30:D30)</f>
        <v>409533</v>
      </c>
      <c r="F30" s="172">
        <f>F28+F65</f>
        <v>180578</v>
      </c>
      <c r="G30" s="172">
        <f>G28+G65</f>
        <v>167185</v>
      </c>
      <c r="H30" s="172">
        <f>H28+H65</f>
        <v>155346</v>
      </c>
      <c r="I30" s="15">
        <f>SUM(F30:H30)</f>
        <v>503109</v>
      </c>
      <c r="J30" s="172">
        <f>J28+J65</f>
        <v>79405</v>
      </c>
      <c r="K30" s="172">
        <f>K28+K65</f>
        <v>61540</v>
      </c>
      <c r="L30" s="172">
        <f>L28+L65</f>
        <v>103188</v>
      </c>
      <c r="M30" s="15">
        <f>SUM(J30:L30)</f>
        <v>244133</v>
      </c>
      <c r="N30" s="172">
        <f>N28+N65</f>
        <v>148432</v>
      </c>
      <c r="O30" s="172">
        <f>O28+O65</f>
        <v>175631</v>
      </c>
      <c r="P30" s="172">
        <f>P28+P65</f>
        <v>150248</v>
      </c>
      <c r="Q30" s="29">
        <f>SUM(N30:P30)</f>
        <v>474311</v>
      </c>
      <c r="R30" s="15">
        <f>+E30+I30+M30+Q30</f>
        <v>1631086</v>
      </c>
    </row>
    <row r="31" spans="1:20" ht="16.5" customHeight="1" thickBot="1" x14ac:dyDescent="0.35">
      <c r="A31" s="237" t="s">
        <v>1968</v>
      </c>
      <c r="B31" s="238">
        <f>(B30/31)/1.983</f>
        <v>1463.7320449628291</v>
      </c>
      <c r="C31" s="238">
        <f>(C30/28)/1.983</f>
        <v>2409.6967077299905</v>
      </c>
      <c r="D31" s="238">
        <f>(D30/31)/1.983</f>
        <v>3021.7656532136057</v>
      </c>
      <c r="E31" s="16"/>
      <c r="F31" s="238">
        <f>(F30/30)/1.983</f>
        <v>3035.4345268112284</v>
      </c>
      <c r="G31" s="238">
        <f>(G30/31)/1.983</f>
        <v>2719.6492769183219</v>
      </c>
      <c r="H31" s="238">
        <f>(H30/30)/1.983</f>
        <v>2611.2960161371657</v>
      </c>
      <c r="I31" s="16"/>
      <c r="J31" s="238">
        <f>(J30/31)/1.983</f>
        <v>1291.7053015144859</v>
      </c>
      <c r="K31" s="238">
        <f>(K30/31)/1.983</f>
        <v>1001.0899093911148</v>
      </c>
      <c r="L31" s="238">
        <f>(L30/30)/1.983</f>
        <v>1734.5436207766011</v>
      </c>
      <c r="M31" s="16"/>
      <c r="N31" s="238">
        <f>(N30/31)/1.983</f>
        <v>2414.5885185365933</v>
      </c>
      <c r="O31" s="238">
        <f>(O30/30)/1.983</f>
        <v>2952.2776937300387</v>
      </c>
      <c r="P31" s="238">
        <f>(P30/31)/1.983</f>
        <v>2444.129943227108</v>
      </c>
      <c r="Q31" s="30"/>
      <c r="R31" s="16"/>
      <c r="T31" s="350" t="s">
        <v>2172</v>
      </c>
    </row>
    <row r="32" spans="1:20" ht="15.75" customHeight="1" x14ac:dyDescent="0.3">
      <c r="A32" s="17"/>
      <c r="B32" s="172"/>
      <c r="C32" s="172"/>
      <c r="D32" s="172"/>
      <c r="E32" s="172"/>
      <c r="F32" s="172"/>
      <c r="G32" s="172"/>
      <c r="H32" s="172"/>
      <c r="I32" s="172"/>
      <c r="J32" s="172"/>
      <c r="K32" s="172"/>
      <c r="L32" s="172"/>
      <c r="M32" s="172"/>
      <c r="N32" s="172"/>
      <c r="O32" s="172"/>
      <c r="P32" s="172"/>
      <c r="Q32" s="172"/>
      <c r="R32" s="17"/>
      <c r="T32" s="350" t="s">
        <v>2173</v>
      </c>
    </row>
    <row r="33" spans="1:18" ht="15.75" customHeight="1" thickBot="1" x14ac:dyDescent="0.35">
      <c r="A33" s="17"/>
      <c r="B33" s="172"/>
      <c r="C33" s="172"/>
      <c r="D33" s="172"/>
      <c r="E33" s="172"/>
      <c r="F33" s="172"/>
      <c r="G33" s="172"/>
      <c r="H33" s="172"/>
      <c r="I33" s="172"/>
      <c r="J33" s="172"/>
      <c r="K33" s="172"/>
      <c r="L33" s="172"/>
      <c r="M33" s="172"/>
      <c r="N33" s="172"/>
      <c r="O33" s="172"/>
      <c r="P33" s="172"/>
      <c r="Q33" s="172"/>
      <c r="R33" s="17"/>
    </row>
    <row r="34" spans="1:18" ht="15.75" customHeight="1" thickBot="1" x14ac:dyDescent="0.35">
      <c r="A34" s="245" t="s">
        <v>681</v>
      </c>
      <c r="B34" s="25" t="s">
        <v>2090</v>
      </c>
      <c r="C34" s="26" t="s">
        <v>2091</v>
      </c>
      <c r="D34" s="26" t="s">
        <v>2234</v>
      </c>
      <c r="E34" s="33" t="s">
        <v>1594</v>
      </c>
      <c r="F34" s="26" t="s">
        <v>2235</v>
      </c>
      <c r="G34" s="26" t="s">
        <v>2236</v>
      </c>
      <c r="H34" s="26" t="s">
        <v>2237</v>
      </c>
      <c r="I34" s="33" t="s">
        <v>1595</v>
      </c>
      <c r="J34" s="26" t="s">
        <v>1504</v>
      </c>
      <c r="K34" s="26" t="s">
        <v>1505</v>
      </c>
      <c r="L34" s="26" t="s">
        <v>1506</v>
      </c>
      <c r="M34" s="33" t="s">
        <v>1596</v>
      </c>
      <c r="N34" s="26" t="s">
        <v>1507</v>
      </c>
      <c r="O34" s="26" t="s">
        <v>1508</v>
      </c>
      <c r="P34" s="26" t="s">
        <v>1509</v>
      </c>
      <c r="Q34" s="33" t="s">
        <v>1597</v>
      </c>
      <c r="R34" s="34" t="s">
        <v>1510</v>
      </c>
    </row>
    <row r="35" spans="1:18" ht="16.5" customHeight="1" thickBot="1" x14ac:dyDescent="0.35">
      <c r="A35" s="21"/>
      <c r="B35" s="246"/>
      <c r="C35" s="232"/>
      <c r="D35" s="232"/>
      <c r="E35" s="233"/>
      <c r="F35" s="232"/>
      <c r="G35" s="232"/>
      <c r="H35" s="232"/>
      <c r="I35" s="233"/>
      <c r="J35" s="232"/>
      <c r="K35" s="232"/>
      <c r="L35" s="232"/>
      <c r="M35" s="233"/>
      <c r="N35" s="232"/>
      <c r="O35" s="232"/>
      <c r="P35" s="232"/>
      <c r="Q35" s="233"/>
      <c r="R35" s="75"/>
    </row>
    <row r="36" spans="1:18" ht="15.75" customHeight="1" x14ac:dyDescent="0.3">
      <c r="A36" s="247" t="s">
        <v>2417</v>
      </c>
      <c r="B36" s="18"/>
      <c r="C36" s="18"/>
      <c r="D36" s="18"/>
      <c r="E36" s="38" t="s">
        <v>852</v>
      </c>
      <c r="F36" s="18"/>
      <c r="G36" s="18"/>
      <c r="H36" s="18"/>
      <c r="I36" s="38" t="s">
        <v>852</v>
      </c>
      <c r="J36" s="18"/>
      <c r="K36" s="18"/>
      <c r="L36" s="18"/>
      <c r="M36" s="38" t="s">
        <v>852</v>
      </c>
      <c r="N36" s="18"/>
      <c r="O36" s="18"/>
      <c r="P36" s="18"/>
      <c r="Q36" s="38" t="s">
        <v>852</v>
      </c>
      <c r="R36" s="38" t="s">
        <v>852</v>
      </c>
    </row>
    <row r="37" spans="1:18" ht="15.75" customHeight="1" x14ac:dyDescent="0.3">
      <c r="A37" s="235" t="s">
        <v>2160</v>
      </c>
      <c r="B37" s="18" t="s">
        <v>852</v>
      </c>
      <c r="C37" s="248"/>
      <c r="D37" s="248"/>
      <c r="E37" s="38" t="s">
        <v>852</v>
      </c>
      <c r="F37" s="248"/>
      <c r="G37" s="248"/>
      <c r="H37" s="248"/>
      <c r="I37" s="38" t="s">
        <v>852</v>
      </c>
      <c r="J37" s="248"/>
      <c r="K37" s="248"/>
      <c r="L37" s="248"/>
      <c r="M37" s="38" t="s">
        <v>852</v>
      </c>
      <c r="N37" s="248"/>
      <c r="O37" s="248"/>
      <c r="P37" s="248"/>
      <c r="Q37" s="38" t="s">
        <v>852</v>
      </c>
      <c r="R37" s="38" t="s">
        <v>852</v>
      </c>
    </row>
    <row r="38" spans="1:18" ht="15.75" customHeight="1" x14ac:dyDescent="0.3">
      <c r="A38" s="235" t="s">
        <v>2161</v>
      </c>
      <c r="B38" s="18"/>
      <c r="C38" s="18"/>
      <c r="D38" s="18"/>
      <c r="E38" s="38" t="s">
        <v>852</v>
      </c>
      <c r="F38" s="18"/>
      <c r="G38" s="18"/>
      <c r="H38" s="18"/>
      <c r="I38" s="38" t="s">
        <v>852</v>
      </c>
      <c r="J38" s="18"/>
      <c r="K38" s="18"/>
      <c r="L38" s="18"/>
      <c r="M38" s="38" t="s">
        <v>852</v>
      </c>
      <c r="N38" s="18"/>
      <c r="O38" s="18"/>
      <c r="P38" s="18"/>
      <c r="Q38" s="38" t="s">
        <v>852</v>
      </c>
      <c r="R38" s="38" t="s">
        <v>852</v>
      </c>
    </row>
    <row r="39" spans="1:18" ht="15.75" customHeight="1" x14ac:dyDescent="0.3">
      <c r="A39" s="235" t="s">
        <v>2162</v>
      </c>
      <c r="B39" s="18"/>
      <c r="C39" s="18"/>
      <c r="D39" s="18"/>
      <c r="E39" s="38" t="s">
        <v>1598</v>
      </c>
      <c r="F39" s="18"/>
      <c r="G39" s="18"/>
      <c r="H39" s="18"/>
      <c r="I39" s="38" t="s">
        <v>1598</v>
      </c>
      <c r="J39" s="18"/>
      <c r="K39" s="18"/>
      <c r="L39" s="18"/>
      <c r="M39" s="38" t="s">
        <v>1598</v>
      </c>
      <c r="N39" s="18"/>
      <c r="O39" s="18"/>
      <c r="P39" s="18"/>
      <c r="Q39" s="38" t="s">
        <v>1598</v>
      </c>
      <c r="R39" s="38" t="s">
        <v>1598</v>
      </c>
    </row>
    <row r="40" spans="1:18" ht="15.75" customHeight="1" thickBot="1" x14ac:dyDescent="0.35">
      <c r="A40" s="235" t="s">
        <v>2164</v>
      </c>
      <c r="B40" s="248"/>
      <c r="C40" s="248"/>
      <c r="D40" s="248"/>
      <c r="E40" s="38" t="s">
        <v>852</v>
      </c>
      <c r="F40" s="248"/>
      <c r="G40" s="248"/>
      <c r="H40" s="248"/>
      <c r="I40" s="38" t="s">
        <v>852</v>
      </c>
      <c r="J40" s="248"/>
      <c r="K40" s="248"/>
      <c r="L40" s="248"/>
      <c r="M40" s="38" t="s">
        <v>852</v>
      </c>
      <c r="N40" s="248"/>
      <c r="O40" s="248"/>
      <c r="P40" s="248"/>
      <c r="Q40" s="38" t="s">
        <v>852</v>
      </c>
      <c r="R40" s="38" t="s">
        <v>852</v>
      </c>
    </row>
    <row r="41" spans="1:18" ht="16.5" customHeight="1" thickBot="1" x14ac:dyDescent="0.35">
      <c r="A41" s="43" t="s">
        <v>1218</v>
      </c>
      <c r="B41" s="42">
        <f>SUM(B36:B40)</f>
        <v>0</v>
      </c>
      <c r="C41" s="42">
        <f>SUM(C36:C40)</f>
        <v>0</v>
      </c>
      <c r="D41" s="42">
        <f>SUM(D36:D40)</f>
        <v>0</v>
      </c>
      <c r="E41" s="37">
        <f>SUM(B41:D41)</f>
        <v>0</v>
      </c>
      <c r="F41" s="42">
        <f>SUM(F36:F40)</f>
        <v>0</v>
      </c>
      <c r="G41" s="42">
        <f>SUM(G36:G40)</f>
        <v>0</v>
      </c>
      <c r="H41" s="42">
        <f>SUM(H36:H40)</f>
        <v>0</v>
      </c>
      <c r="I41" s="37">
        <f>SUM(F41:H41)</f>
        <v>0</v>
      </c>
      <c r="J41" s="42">
        <f>SUM(J36:J40)</f>
        <v>0</v>
      </c>
      <c r="K41" s="42">
        <f>SUM(K36:K40)</f>
        <v>0</v>
      </c>
      <c r="L41" s="42">
        <f>SUM(L36:L40)</f>
        <v>0</v>
      </c>
      <c r="M41" s="37">
        <f>SUM(J41:L41)</f>
        <v>0</v>
      </c>
      <c r="N41" s="42">
        <f>SUM(N36:N40)</f>
        <v>0</v>
      </c>
      <c r="O41" s="42">
        <f>SUM(O36:O40)</f>
        <v>0</v>
      </c>
      <c r="P41" s="42">
        <f>SUM(P36:P40)</f>
        <v>0</v>
      </c>
      <c r="Q41" s="37">
        <f>SUM(N41:P41)</f>
        <v>0</v>
      </c>
      <c r="R41" s="37">
        <f>+E41+I41+M41+Q41</f>
        <v>0</v>
      </c>
    </row>
    <row r="42" spans="1:18" ht="15.75" customHeight="1" x14ac:dyDescent="0.3">
      <c r="A42" s="235" t="s">
        <v>1172</v>
      </c>
      <c r="B42" s="248"/>
      <c r="C42" s="248"/>
      <c r="D42" s="248"/>
      <c r="E42" s="38" t="s">
        <v>852</v>
      </c>
      <c r="F42" s="248"/>
      <c r="G42" s="248"/>
      <c r="H42" s="248"/>
      <c r="I42" s="38" t="s">
        <v>852</v>
      </c>
      <c r="J42" s="248"/>
      <c r="K42" s="248"/>
      <c r="L42" s="248"/>
      <c r="M42" s="38" t="s">
        <v>852</v>
      </c>
      <c r="N42" s="248"/>
      <c r="O42" s="248"/>
      <c r="P42" s="248"/>
      <c r="Q42" s="38" t="s">
        <v>852</v>
      </c>
      <c r="R42" s="39" t="s">
        <v>852</v>
      </c>
    </row>
    <row r="43" spans="1:18" ht="15.75" customHeight="1" x14ac:dyDescent="0.3">
      <c r="A43" s="235" t="s">
        <v>2658</v>
      </c>
      <c r="B43" s="248"/>
      <c r="C43" s="248"/>
      <c r="D43" s="248"/>
      <c r="E43" s="38"/>
      <c r="F43" s="248"/>
      <c r="G43" s="248"/>
      <c r="H43" s="248"/>
      <c r="I43" s="38"/>
      <c r="J43" s="248"/>
      <c r="K43" s="248"/>
      <c r="L43" s="248"/>
      <c r="M43" s="38"/>
      <c r="N43" s="248"/>
      <c r="O43" s="248"/>
      <c r="P43" s="248"/>
      <c r="Q43" s="38"/>
      <c r="R43" s="38"/>
    </row>
    <row r="44" spans="1:18" ht="15.75" customHeight="1" x14ac:dyDescent="0.3">
      <c r="A44" s="422" t="s">
        <v>230</v>
      </c>
      <c r="B44" s="172">
        <v>0</v>
      </c>
      <c r="C44" s="172">
        <v>0</v>
      </c>
      <c r="D44" s="172">
        <v>0</v>
      </c>
      <c r="E44" s="38">
        <f>SUM(B44:D44)</f>
        <v>0</v>
      </c>
      <c r="F44" s="172">
        <v>33</v>
      </c>
      <c r="G44" s="172">
        <v>102</v>
      </c>
      <c r="H44" s="172">
        <v>69</v>
      </c>
      <c r="I44" s="38">
        <f>SUM(F44:H44)</f>
        <v>204</v>
      </c>
      <c r="J44" s="172">
        <v>84</v>
      </c>
      <c r="K44" s="172">
        <v>198</v>
      </c>
      <c r="L44" s="172">
        <v>252</v>
      </c>
      <c r="M44" s="38">
        <f>SUM(J44:L44)</f>
        <v>534</v>
      </c>
      <c r="N44" s="172">
        <v>0</v>
      </c>
      <c r="O44" s="172">
        <v>0</v>
      </c>
      <c r="P44" s="172">
        <v>0</v>
      </c>
      <c r="Q44" s="38">
        <f>SUM(N44:P44)</f>
        <v>0</v>
      </c>
      <c r="R44" s="38">
        <f>+E44+I44+M44+Q44</f>
        <v>738</v>
      </c>
    </row>
    <row r="45" spans="1:18" ht="15.75" customHeight="1" x14ac:dyDescent="0.3">
      <c r="A45" s="235" t="s">
        <v>2409</v>
      </c>
      <c r="B45" s="248"/>
      <c r="C45" s="248"/>
      <c r="D45" s="248"/>
      <c r="E45" s="38" t="s">
        <v>852</v>
      </c>
      <c r="F45" s="248"/>
      <c r="G45" s="248"/>
      <c r="H45" s="248"/>
      <c r="I45" s="38" t="s">
        <v>852</v>
      </c>
      <c r="J45" s="248"/>
      <c r="K45" s="248"/>
      <c r="L45" s="248"/>
      <c r="M45" s="38" t="s">
        <v>852</v>
      </c>
      <c r="N45" s="248"/>
      <c r="O45" s="248"/>
      <c r="P45" s="248"/>
      <c r="Q45" s="38" t="s">
        <v>852</v>
      </c>
      <c r="R45" s="38" t="s">
        <v>852</v>
      </c>
    </row>
    <row r="46" spans="1:18" ht="15.75" customHeight="1" thickBot="1" x14ac:dyDescent="0.35">
      <c r="A46" s="235" t="s">
        <v>2165</v>
      </c>
      <c r="B46" s="248"/>
      <c r="C46" s="248"/>
      <c r="D46" s="248"/>
      <c r="E46" s="38" t="s">
        <v>852</v>
      </c>
      <c r="F46" s="248"/>
      <c r="G46" s="248"/>
      <c r="H46" s="248"/>
      <c r="I46" s="38" t="s">
        <v>852</v>
      </c>
      <c r="J46" s="248"/>
      <c r="K46" s="248"/>
      <c r="L46" s="248"/>
      <c r="M46" s="38" t="s">
        <v>852</v>
      </c>
      <c r="N46" s="248"/>
      <c r="O46" s="248"/>
      <c r="P46" s="248"/>
      <c r="Q46" s="38" t="s">
        <v>852</v>
      </c>
      <c r="R46" s="38" t="s">
        <v>852</v>
      </c>
    </row>
    <row r="47" spans="1:18" ht="16.5" customHeight="1" thickBot="1" x14ac:dyDescent="0.35">
      <c r="A47" s="43" t="s">
        <v>1219</v>
      </c>
      <c r="B47" s="42">
        <f>SUM(B42:B46)</f>
        <v>0</v>
      </c>
      <c r="C47" s="42">
        <f>SUM(C42:C46)</f>
        <v>0</v>
      </c>
      <c r="D47" s="42">
        <f>SUM(D42:D46)</f>
        <v>0</v>
      </c>
      <c r="E47" s="37">
        <f>SUM(B47:D47)</f>
        <v>0</v>
      </c>
      <c r="F47" s="42">
        <f>SUM(F42:F46)</f>
        <v>33</v>
      </c>
      <c r="G47" s="42">
        <f>SUM(G42:G46)</f>
        <v>102</v>
      </c>
      <c r="H47" s="42">
        <f>SUM(H42:H46)</f>
        <v>69</v>
      </c>
      <c r="I47" s="37">
        <f>SUM(F47:H47)</f>
        <v>204</v>
      </c>
      <c r="J47" s="42">
        <f>SUM(J42:J46)</f>
        <v>84</v>
      </c>
      <c r="K47" s="42">
        <f>SUM(K42:K46)</f>
        <v>198</v>
      </c>
      <c r="L47" s="42">
        <f>SUM(L42:L46)</f>
        <v>252</v>
      </c>
      <c r="M47" s="37">
        <f>SUM(J47:L47)</f>
        <v>534</v>
      </c>
      <c r="N47" s="42">
        <f>SUM(N42:N46)</f>
        <v>0</v>
      </c>
      <c r="O47" s="42">
        <f>SUM(O42:O46)</f>
        <v>0</v>
      </c>
      <c r="P47" s="42">
        <f>SUM(P42:P46)</f>
        <v>0</v>
      </c>
      <c r="Q47" s="37">
        <f>SUM(N47:P47)</f>
        <v>0</v>
      </c>
      <c r="R47" s="37">
        <f>+E47+I47+M47+Q47</f>
        <v>738</v>
      </c>
    </row>
    <row r="48" spans="1:18" ht="15.75" customHeight="1" x14ac:dyDescent="0.3">
      <c r="A48" s="235" t="s">
        <v>2166</v>
      </c>
      <c r="B48" s="248"/>
      <c r="C48" s="248"/>
      <c r="D48" s="248"/>
      <c r="E48" s="38" t="s">
        <v>852</v>
      </c>
      <c r="F48" s="248"/>
      <c r="G48" s="248"/>
      <c r="H48" s="248"/>
      <c r="I48" s="38" t="s">
        <v>852</v>
      </c>
      <c r="J48" s="248"/>
      <c r="K48" s="248"/>
      <c r="L48" s="248"/>
      <c r="M48" s="38" t="s">
        <v>852</v>
      </c>
      <c r="N48" s="248"/>
      <c r="O48" s="248"/>
      <c r="P48" s="248"/>
      <c r="Q48" s="38" t="s">
        <v>852</v>
      </c>
      <c r="R48" s="38" t="s">
        <v>852</v>
      </c>
    </row>
    <row r="49" spans="1:18" ht="15.75" customHeight="1" x14ac:dyDescent="0.3">
      <c r="A49" s="235" t="s">
        <v>1245</v>
      </c>
      <c r="B49" s="248"/>
      <c r="C49" s="248"/>
      <c r="D49" s="248"/>
      <c r="E49" s="38" t="s">
        <v>852</v>
      </c>
      <c r="F49" s="248"/>
      <c r="G49" s="248"/>
      <c r="H49" s="248"/>
      <c r="I49" s="38" t="s">
        <v>852</v>
      </c>
      <c r="J49" s="248"/>
      <c r="K49" s="248"/>
      <c r="L49" s="248"/>
      <c r="M49" s="38" t="s">
        <v>852</v>
      </c>
      <c r="N49" s="248"/>
      <c r="O49" s="248"/>
      <c r="P49" s="248"/>
      <c r="Q49" s="38" t="s">
        <v>852</v>
      </c>
      <c r="R49" s="38" t="s">
        <v>852</v>
      </c>
    </row>
    <row r="50" spans="1:18" ht="15.75" customHeight="1" thickBot="1" x14ac:dyDescent="0.35">
      <c r="A50" s="235" t="s">
        <v>1711</v>
      </c>
      <c r="B50" s="248"/>
      <c r="C50" s="248"/>
      <c r="D50" s="248"/>
      <c r="E50" s="38"/>
      <c r="F50" s="248"/>
      <c r="G50" s="248"/>
      <c r="H50" s="248"/>
      <c r="I50" s="38"/>
      <c r="J50" s="248"/>
      <c r="K50" s="248"/>
      <c r="L50" s="248"/>
      <c r="M50" s="38"/>
      <c r="N50" s="248"/>
      <c r="O50" s="248"/>
      <c r="P50" s="248"/>
      <c r="Q50" s="38"/>
      <c r="R50" s="38"/>
    </row>
    <row r="51" spans="1:18" ht="16.5" customHeight="1" thickBot="1" x14ac:dyDescent="0.35">
      <c r="A51" s="43" t="s">
        <v>1220</v>
      </c>
      <c r="B51" s="42">
        <f>SUM(B48:B50)</f>
        <v>0</v>
      </c>
      <c r="C51" s="42">
        <f>SUM(C48:C50)</f>
        <v>0</v>
      </c>
      <c r="D51" s="42">
        <f>SUM(D48:D50)</f>
        <v>0</v>
      </c>
      <c r="E51" s="37">
        <f>SUM(B51:D51)</f>
        <v>0</v>
      </c>
      <c r="F51" s="42">
        <f>SUM(F48:F50)</f>
        <v>0</v>
      </c>
      <c r="G51" s="42">
        <f>SUM(G48:G50)</f>
        <v>0</v>
      </c>
      <c r="H51" s="42">
        <f>SUM(H48:H50)</f>
        <v>0</v>
      </c>
      <c r="I51" s="37">
        <f>SUM(F51:H51)</f>
        <v>0</v>
      </c>
      <c r="J51" s="42">
        <f>SUM(J48:J50)</f>
        <v>0</v>
      </c>
      <c r="K51" s="42">
        <f>SUM(K48:K50)</f>
        <v>0</v>
      </c>
      <c r="L51" s="42">
        <f>SUM(L48:L50)</f>
        <v>0</v>
      </c>
      <c r="M51" s="37">
        <f>SUM(J51:L51)</f>
        <v>0</v>
      </c>
      <c r="N51" s="42">
        <f>SUM(N48:N50)</f>
        <v>0</v>
      </c>
      <c r="O51" s="42">
        <f>SUM(O48:O50)</f>
        <v>0</v>
      </c>
      <c r="P51" s="42">
        <f>SUM(P48:P50)</f>
        <v>0</v>
      </c>
      <c r="Q51" s="37">
        <f>SUM(N51:P51)</f>
        <v>0</v>
      </c>
      <c r="R51" s="37">
        <f>+E51+I51+M51+Q51</f>
        <v>0</v>
      </c>
    </row>
    <row r="52" spans="1:18" ht="15.75" customHeight="1" x14ac:dyDescent="0.3">
      <c r="A52" s="235" t="s">
        <v>1712</v>
      </c>
      <c r="B52" s="248"/>
      <c r="C52" s="248"/>
      <c r="D52" s="248"/>
      <c r="E52" s="38" t="s">
        <v>852</v>
      </c>
      <c r="F52" s="248"/>
      <c r="G52" s="248"/>
      <c r="H52" s="248"/>
      <c r="I52" s="38" t="s">
        <v>852</v>
      </c>
      <c r="J52" s="248"/>
      <c r="K52" s="248"/>
      <c r="L52" s="248"/>
      <c r="M52" s="38" t="s">
        <v>852</v>
      </c>
      <c r="N52" s="248"/>
      <c r="O52" s="248"/>
      <c r="P52" s="248"/>
      <c r="Q52" s="38" t="s">
        <v>852</v>
      </c>
      <c r="R52" s="38" t="s">
        <v>852</v>
      </c>
    </row>
    <row r="53" spans="1:18" ht="15.75" customHeight="1" x14ac:dyDescent="0.3">
      <c r="A53" s="235" t="s">
        <v>1021</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235" t="s">
        <v>557</v>
      </c>
      <c r="B54" s="248"/>
      <c r="C54" s="248"/>
      <c r="D54" s="248"/>
      <c r="E54" s="38" t="s">
        <v>852</v>
      </c>
      <c r="F54" s="248"/>
      <c r="G54" s="248"/>
      <c r="H54" s="248"/>
      <c r="I54" s="38" t="s">
        <v>852</v>
      </c>
      <c r="J54" s="248"/>
      <c r="K54" s="248"/>
      <c r="L54" s="248"/>
      <c r="M54" s="38" t="s">
        <v>852</v>
      </c>
      <c r="N54" s="248"/>
      <c r="O54" s="248"/>
      <c r="P54" s="248"/>
      <c r="Q54" s="38" t="s">
        <v>852</v>
      </c>
      <c r="R54" s="38" t="s">
        <v>852</v>
      </c>
    </row>
    <row r="55" spans="1:18" ht="15.75" customHeight="1" x14ac:dyDescent="0.3">
      <c r="A55" s="422" t="s">
        <v>2557</v>
      </c>
      <c r="B55" s="172">
        <v>0</v>
      </c>
      <c r="C55" s="172">
        <v>0</v>
      </c>
      <c r="D55" s="172">
        <v>0</v>
      </c>
      <c r="E55" s="38">
        <f>SUM(B55:D55)</f>
        <v>0</v>
      </c>
      <c r="F55" s="172">
        <v>0</v>
      </c>
      <c r="G55" s="172">
        <v>0</v>
      </c>
      <c r="H55" s="172">
        <v>0</v>
      </c>
      <c r="I55" s="38">
        <f>SUM(F55:H55)</f>
        <v>0</v>
      </c>
      <c r="J55" s="172">
        <v>0</v>
      </c>
      <c r="K55" s="172">
        <v>0</v>
      </c>
      <c r="L55" s="172">
        <v>0</v>
      </c>
      <c r="M55" s="38">
        <f>SUM(J55:L55)</f>
        <v>0</v>
      </c>
      <c r="N55" s="172">
        <v>0</v>
      </c>
      <c r="O55" s="172">
        <v>0</v>
      </c>
      <c r="P55" s="172">
        <v>0</v>
      </c>
      <c r="Q55" s="38">
        <f>SUM(N55:P55)</f>
        <v>0</v>
      </c>
      <c r="R55" s="38">
        <f>+E55+I55+M55+Q55</f>
        <v>0</v>
      </c>
    </row>
    <row r="56" spans="1:18" ht="15.75" customHeight="1" x14ac:dyDescent="0.3">
      <c r="A56" s="235" t="s">
        <v>1022</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5.75" customHeight="1" thickBot="1" x14ac:dyDescent="0.35">
      <c r="A57" s="235" t="s">
        <v>559</v>
      </c>
      <c r="B57" s="248"/>
      <c r="C57" s="248"/>
      <c r="D57" s="248"/>
      <c r="E57" s="38" t="s">
        <v>852</v>
      </c>
      <c r="F57" s="248"/>
      <c r="G57" s="248"/>
      <c r="H57" s="248"/>
      <c r="I57" s="38" t="s">
        <v>852</v>
      </c>
      <c r="J57" s="248"/>
      <c r="K57" s="248"/>
      <c r="L57" s="248"/>
      <c r="M57" s="38" t="s">
        <v>852</v>
      </c>
      <c r="N57" s="248"/>
      <c r="O57" s="248"/>
      <c r="P57" s="248"/>
      <c r="Q57" s="38" t="s">
        <v>852</v>
      </c>
      <c r="R57" s="38" t="s">
        <v>852</v>
      </c>
    </row>
    <row r="58" spans="1:18" ht="16.5" customHeight="1" thickBot="1" x14ac:dyDescent="0.35">
      <c r="A58" s="43" t="s">
        <v>1019</v>
      </c>
      <c r="B58" s="42">
        <f>SUM(B56:B57)</f>
        <v>0</v>
      </c>
      <c r="C58" s="42">
        <f>SUM(C56:C57)</f>
        <v>0</v>
      </c>
      <c r="D58" s="42">
        <f>SUM(D56:D57)</f>
        <v>0</v>
      </c>
      <c r="E58" s="39">
        <f>SUM(B58:D58)</f>
        <v>0</v>
      </c>
      <c r="F58" s="42">
        <f>SUM(F56:F57)</f>
        <v>0</v>
      </c>
      <c r="G58" s="42">
        <f>SUM(G56:G57)</f>
        <v>0</v>
      </c>
      <c r="H58" s="42">
        <f>SUM(H56:H57)</f>
        <v>0</v>
      </c>
      <c r="I58" s="39">
        <f>SUM(F58:H58)</f>
        <v>0</v>
      </c>
      <c r="J58" s="42">
        <f>SUM(J56:J57)</f>
        <v>0</v>
      </c>
      <c r="K58" s="42">
        <f>SUM(K56:K57)</f>
        <v>0</v>
      </c>
      <c r="L58" s="42">
        <f>SUM(L56:L57)</f>
        <v>0</v>
      </c>
      <c r="M58" s="39">
        <f>SUM(J58:L58)</f>
        <v>0</v>
      </c>
      <c r="N58" s="42">
        <f>SUM(N56:N57)</f>
        <v>0</v>
      </c>
      <c r="O58" s="42">
        <f>SUM(O56:O57)</f>
        <v>0</v>
      </c>
      <c r="P58" s="42">
        <f>SUM(P56:P57)</f>
        <v>0</v>
      </c>
      <c r="Q58" s="39">
        <f>SUM(N58:P58)</f>
        <v>0</v>
      </c>
      <c r="R58" s="37">
        <f>+E58+I58+M58+Q58</f>
        <v>0</v>
      </c>
    </row>
    <row r="59" spans="1:18" ht="16.5" customHeight="1" thickBot="1" x14ac:dyDescent="0.35">
      <c r="A59" s="43" t="s">
        <v>1221</v>
      </c>
      <c r="B59" s="42">
        <f>SUM(B52:B57)</f>
        <v>0</v>
      </c>
      <c r="C59" s="42">
        <f>SUM(C52:C57)</f>
        <v>0</v>
      </c>
      <c r="D59" s="42">
        <f>SUM(D52:D57)</f>
        <v>0</v>
      </c>
      <c r="E59" s="39">
        <f>SUM(B59:D59)</f>
        <v>0</v>
      </c>
      <c r="F59" s="42">
        <f>SUM(F52:F57)</f>
        <v>0</v>
      </c>
      <c r="G59" s="42">
        <f>SUM(G52:G57)</f>
        <v>0</v>
      </c>
      <c r="H59" s="42">
        <f>SUM(H52:H57)</f>
        <v>0</v>
      </c>
      <c r="I59" s="39">
        <f>SUM(F59:H59)</f>
        <v>0</v>
      </c>
      <c r="J59" s="42">
        <f>SUM(J52:J57)</f>
        <v>0</v>
      </c>
      <c r="K59" s="42">
        <f>SUM(K52:K57)</f>
        <v>0</v>
      </c>
      <c r="L59" s="42">
        <f>SUM(L52:L57)</f>
        <v>0</v>
      </c>
      <c r="M59" s="39">
        <f>SUM(J59:L59)</f>
        <v>0</v>
      </c>
      <c r="N59" s="42">
        <f>SUM(N52:N57)</f>
        <v>0</v>
      </c>
      <c r="O59" s="42">
        <f>SUM(O52:O57)</f>
        <v>0</v>
      </c>
      <c r="P59" s="42">
        <f>SUM(P52:P57)</f>
        <v>0</v>
      </c>
      <c r="Q59" s="39">
        <f>SUM(N59:P59)</f>
        <v>0</v>
      </c>
      <c r="R59" s="37">
        <f>+E59+I59+M59+Q59</f>
        <v>0</v>
      </c>
    </row>
    <row r="60" spans="1:18" ht="16.5" customHeight="1" thickBot="1" x14ac:dyDescent="0.35">
      <c r="A60" s="43" t="s">
        <v>1222</v>
      </c>
      <c r="B60" s="42">
        <f>+B41+B47+B51+B59</f>
        <v>0</v>
      </c>
      <c r="C60" s="42">
        <f>+C41+C47+C51+C59</f>
        <v>0</v>
      </c>
      <c r="D60" s="42">
        <f>+D41+D47+D51+D59</f>
        <v>0</v>
      </c>
      <c r="E60" s="37">
        <f>SUM(B60:D60)</f>
        <v>0</v>
      </c>
      <c r="F60" s="42">
        <f>+F41+F47+F51+F59</f>
        <v>33</v>
      </c>
      <c r="G60" s="42">
        <f>+G41+G47+G51+G59</f>
        <v>102</v>
      </c>
      <c r="H60" s="42">
        <f>+H41+H47+H51+H59</f>
        <v>69</v>
      </c>
      <c r="I60" s="37">
        <f>SUM(F60:H60)</f>
        <v>204</v>
      </c>
      <c r="J60" s="42">
        <f>+J41+J47+J51+J59</f>
        <v>84</v>
      </c>
      <c r="K60" s="42">
        <f>+K41+K47+K51+K59</f>
        <v>198</v>
      </c>
      <c r="L60" s="42">
        <f>+L41+L47+L51+L59</f>
        <v>252</v>
      </c>
      <c r="M60" s="37">
        <f>SUM(J60:L60)</f>
        <v>534</v>
      </c>
      <c r="N60" s="42">
        <f>+N41+N47+N51+N59</f>
        <v>0</v>
      </c>
      <c r="O60" s="42">
        <f>+O41+O47+O51+O59</f>
        <v>0</v>
      </c>
      <c r="P60" s="42">
        <f>+P41+P47+P51+P59</f>
        <v>0</v>
      </c>
      <c r="Q60" s="37">
        <f>SUM(N60:P60)</f>
        <v>0</v>
      </c>
      <c r="R60" s="37">
        <f>+E60+I60+M60+Q60</f>
        <v>738</v>
      </c>
    </row>
    <row r="61" spans="1:18" ht="16.5" customHeight="1" thickBot="1" x14ac:dyDescent="0.35">
      <c r="A61" s="250" t="s">
        <v>853</v>
      </c>
      <c r="B61" s="251">
        <v>96</v>
      </c>
      <c r="C61" s="251">
        <v>145</v>
      </c>
      <c r="D61" s="251">
        <v>261</v>
      </c>
      <c r="E61" s="21">
        <f>SUM(B61:D61)</f>
        <v>502</v>
      </c>
      <c r="F61" s="251">
        <v>350</v>
      </c>
      <c r="G61" s="251">
        <v>402</v>
      </c>
      <c r="H61" s="251">
        <v>396</v>
      </c>
      <c r="I61" s="21">
        <f>SUM(F61:H61)</f>
        <v>1148</v>
      </c>
      <c r="J61" s="251">
        <v>394</v>
      </c>
      <c r="K61" s="251">
        <v>318</v>
      </c>
      <c r="L61" s="251">
        <v>301</v>
      </c>
      <c r="M61" s="21">
        <f>SUM(J61:L61)</f>
        <v>1013</v>
      </c>
      <c r="N61" s="251">
        <v>272</v>
      </c>
      <c r="O61" s="251">
        <v>226</v>
      </c>
      <c r="P61" s="251">
        <v>179</v>
      </c>
      <c r="Q61" s="21">
        <f>SUM(N61:P61)</f>
        <v>677</v>
      </c>
      <c r="R61" s="21">
        <f>+E61+I61+M61+Q61</f>
        <v>3340</v>
      </c>
    </row>
    <row r="62" spans="1:18" ht="16.5" customHeight="1" thickBot="1" x14ac:dyDescent="0.35">
      <c r="A62" s="22"/>
      <c r="B62" s="242"/>
      <c r="C62" s="242"/>
      <c r="D62" s="242"/>
      <c r="E62" s="16"/>
      <c r="F62" s="242"/>
      <c r="G62" s="242"/>
      <c r="H62" s="242"/>
      <c r="I62" s="16"/>
      <c r="J62" s="242"/>
      <c r="K62" s="242"/>
      <c r="L62" s="242"/>
      <c r="M62" s="16"/>
      <c r="N62" s="242"/>
      <c r="O62" s="242"/>
      <c r="P62" s="242"/>
      <c r="Q62" s="16"/>
      <c r="R62" s="22"/>
    </row>
    <row r="63" spans="1:18" ht="15.75" customHeight="1" x14ac:dyDescent="0.3">
      <c r="A63" s="234" t="s">
        <v>2011</v>
      </c>
      <c r="B63" s="172">
        <f>+B60+B61</f>
        <v>96</v>
      </c>
      <c r="C63" s="172">
        <f>+C60+C61</f>
        <v>145</v>
      </c>
      <c r="D63" s="172">
        <f>+D60+D61</f>
        <v>261</v>
      </c>
      <c r="E63" s="14">
        <f>SUM(B63:D63)</f>
        <v>502</v>
      </c>
      <c r="F63" s="172">
        <f>+F60+F61</f>
        <v>383</v>
      </c>
      <c r="G63" s="172">
        <f>+G60+G61</f>
        <v>504</v>
      </c>
      <c r="H63" s="172">
        <f>+H60+H61</f>
        <v>465</v>
      </c>
      <c r="I63" s="14">
        <f>SUM(F63:H63)</f>
        <v>1352</v>
      </c>
      <c r="J63" s="172">
        <f>+J60+J61</f>
        <v>478</v>
      </c>
      <c r="K63" s="172">
        <f>+K60+K61</f>
        <v>516</v>
      </c>
      <c r="L63" s="172">
        <f>+L60+L61</f>
        <v>553</v>
      </c>
      <c r="M63" s="14">
        <f>SUM(J63:L63)</f>
        <v>1547</v>
      </c>
      <c r="N63" s="172">
        <f>+N60+N61</f>
        <v>272</v>
      </c>
      <c r="O63" s="172">
        <f>+O60+O61</f>
        <v>226</v>
      </c>
      <c r="P63" s="172">
        <f>+P60+P61</f>
        <v>179</v>
      </c>
      <c r="Q63" s="28">
        <f>SUM(N63:P63)</f>
        <v>677</v>
      </c>
      <c r="R63" s="15">
        <f>+E63+I63+M63+Q63</f>
        <v>4078</v>
      </c>
    </row>
    <row r="64" spans="1:18" ht="15.75" customHeight="1" x14ac:dyDescent="0.3">
      <c r="A64" s="234" t="s">
        <v>1897</v>
      </c>
      <c r="B64" s="172">
        <f>(B63/31)/1.983</f>
        <v>1.5616612171197111</v>
      </c>
      <c r="C64" s="172">
        <f>(C63/28)/1.983</f>
        <v>2.6114833225271954</v>
      </c>
      <c r="D64" s="172">
        <f>(D63/31)/1.983</f>
        <v>4.2457664340442145</v>
      </c>
      <c r="E64" s="15"/>
      <c r="F64" s="172">
        <f>(F63/30)/1.983</f>
        <v>6.4380568162716427</v>
      </c>
      <c r="G64" s="172">
        <f>(G63/31)/1.983</f>
        <v>8.1987213898784823</v>
      </c>
      <c r="H64" s="172">
        <f>(H63/30)/1.983</f>
        <v>7.8164397377710539</v>
      </c>
      <c r="I64" s="15"/>
      <c r="J64" s="172">
        <f>(J63/31)/1.983</f>
        <v>7.7757714769085613</v>
      </c>
      <c r="K64" s="172">
        <f>(K63/31)/1.983</f>
        <v>8.3939290420184456</v>
      </c>
      <c r="L64" s="172">
        <f>(L63/30)/1.983</f>
        <v>9.2956799462094466</v>
      </c>
      <c r="M64" s="15"/>
      <c r="N64" s="172">
        <f>(N63/31)/1.983</f>
        <v>4.4247067818391805</v>
      </c>
      <c r="O64" s="172">
        <f>(O63/30)/1.983</f>
        <v>3.7989578080349635</v>
      </c>
      <c r="P64" s="172">
        <f>(P63/31)/1.983</f>
        <v>2.9118474777544612</v>
      </c>
      <c r="Q64" s="29"/>
      <c r="R64" s="20"/>
    </row>
    <row r="65" spans="1:19" ht="15.75" customHeight="1" x14ac:dyDescent="0.3">
      <c r="A65" s="234" t="s">
        <v>1969</v>
      </c>
      <c r="B65" s="172">
        <f>B63+B129</f>
        <v>89883</v>
      </c>
      <c r="C65" s="172">
        <f>C63+C129</f>
        <v>133648</v>
      </c>
      <c r="D65" s="172">
        <f>D63+D129</f>
        <v>185483</v>
      </c>
      <c r="E65" s="15">
        <f>SUM(B65:D65)</f>
        <v>409014</v>
      </c>
      <c r="F65" s="172">
        <f>F63+F129</f>
        <v>180211</v>
      </c>
      <c r="G65" s="172">
        <f>G63+G129</f>
        <v>166760</v>
      </c>
      <c r="H65" s="172">
        <f>H63+H129</f>
        <v>154929</v>
      </c>
      <c r="I65" s="15">
        <f>SUM(F65:H65)</f>
        <v>501900</v>
      </c>
      <c r="J65" s="172">
        <f>J63+J129</f>
        <v>78989</v>
      </c>
      <c r="K65" s="172">
        <f>K63+K129</f>
        <v>61206</v>
      </c>
      <c r="L65" s="172">
        <f>L63+L129</f>
        <v>102872</v>
      </c>
      <c r="M65" s="15">
        <f>SUM(J65:L65)</f>
        <v>243067</v>
      </c>
      <c r="N65" s="172">
        <f>N63+N129</f>
        <v>148147</v>
      </c>
      <c r="O65" s="172">
        <f>O63+O129</f>
        <v>175396</v>
      </c>
      <c r="P65" s="172">
        <f>P63+P129</f>
        <v>150062</v>
      </c>
      <c r="Q65" s="29">
        <f>SUM(N65:P65)</f>
        <v>473605</v>
      </c>
      <c r="R65" s="15">
        <f>+E65+I65+M65+Q65</f>
        <v>1627586</v>
      </c>
    </row>
    <row r="66" spans="1:19" ht="16.5" customHeight="1" thickBot="1" x14ac:dyDescent="0.35">
      <c r="A66" s="237" t="s">
        <v>1970</v>
      </c>
      <c r="B66" s="238">
        <f>(B65/31)/1.983</f>
        <v>1462.1541164413645</v>
      </c>
      <c r="C66" s="238">
        <f>(C65/28)/1.983</f>
        <v>2407.0311937180318</v>
      </c>
      <c r="D66" s="238">
        <f>(D65/31)/1.983</f>
        <v>3017.3084118230763</v>
      </c>
      <c r="E66" s="16"/>
      <c r="F66" s="238">
        <f>(F65/30)/1.983</f>
        <v>3029.2654227601279</v>
      </c>
      <c r="G66" s="238">
        <f>(G65/31)/1.983</f>
        <v>2712.7356725716977</v>
      </c>
      <c r="H66" s="238">
        <f>(H65/30)/1.983</f>
        <v>2604.2864346949068</v>
      </c>
      <c r="I66" s="16"/>
      <c r="J66" s="238">
        <f>(J65/31)/1.983</f>
        <v>1284.9381029069673</v>
      </c>
      <c r="K66" s="238">
        <f>(K65/31)/1.983</f>
        <v>995.65662973988583</v>
      </c>
      <c r="L66" s="238">
        <f>(L65/30)/1.983</f>
        <v>1729.2318036644813</v>
      </c>
      <c r="M66" s="16"/>
      <c r="N66" s="238">
        <f>(N65/31)/1.983</f>
        <v>2409.9523367982692</v>
      </c>
      <c r="O66" s="238">
        <f>(O65/30)/1.983</f>
        <v>2948.3274499915951</v>
      </c>
      <c r="P66" s="238">
        <f>(P65/31)/1.983</f>
        <v>2441.1042246189386</v>
      </c>
      <c r="Q66" s="30"/>
      <c r="R66" s="23" t="s">
        <v>852</v>
      </c>
    </row>
    <row r="67" spans="1:19" ht="15.75" customHeight="1" x14ac:dyDescent="0.3">
      <c r="A67" s="17"/>
      <c r="B67" s="172"/>
      <c r="C67" s="172"/>
      <c r="D67" s="172"/>
      <c r="E67" s="172"/>
      <c r="F67" s="172"/>
      <c r="G67" s="172"/>
      <c r="H67" s="172"/>
      <c r="I67" s="172"/>
      <c r="J67" s="172"/>
      <c r="K67" s="172"/>
      <c r="L67" s="172"/>
      <c r="M67" s="172"/>
      <c r="N67" s="172"/>
      <c r="O67" s="172"/>
      <c r="P67" s="172"/>
      <c r="Q67" s="172"/>
      <c r="R67" s="17"/>
    </row>
    <row r="68" spans="1:19" ht="15.75" customHeight="1" thickBot="1" x14ac:dyDescent="0.35">
      <c r="A68" s="17"/>
      <c r="B68" s="172"/>
      <c r="C68" s="172"/>
      <c r="D68" s="172"/>
      <c r="E68" s="172"/>
      <c r="F68" s="172"/>
      <c r="G68" s="172"/>
      <c r="H68" s="172"/>
      <c r="I68" s="172"/>
      <c r="J68" s="172"/>
      <c r="K68" s="172"/>
      <c r="L68" s="172"/>
      <c r="M68" s="172"/>
      <c r="N68" s="172"/>
      <c r="O68" s="172"/>
      <c r="P68" s="172"/>
      <c r="Q68" s="172"/>
      <c r="R68" s="17"/>
    </row>
    <row r="69" spans="1:19" ht="16.5" customHeight="1" thickBot="1" x14ac:dyDescent="0.35">
      <c r="A69" s="240" t="s">
        <v>603</v>
      </c>
      <c r="B69" s="4" t="s">
        <v>2090</v>
      </c>
      <c r="C69" s="5" t="s">
        <v>2091</v>
      </c>
      <c r="D69" s="5" t="s">
        <v>2234</v>
      </c>
      <c r="E69" s="33" t="s">
        <v>1594</v>
      </c>
      <c r="F69" s="5" t="s">
        <v>2235</v>
      </c>
      <c r="G69" s="5" t="s">
        <v>2236</v>
      </c>
      <c r="H69" s="5" t="s">
        <v>2237</v>
      </c>
      <c r="I69" s="35" t="s">
        <v>1595</v>
      </c>
      <c r="J69" s="5" t="s">
        <v>1504</v>
      </c>
      <c r="K69" s="5" t="s">
        <v>1505</v>
      </c>
      <c r="L69" s="5" t="s">
        <v>1506</v>
      </c>
      <c r="M69" s="35" t="s">
        <v>1596</v>
      </c>
      <c r="N69" s="5" t="s">
        <v>1507</v>
      </c>
      <c r="O69" s="5" t="s">
        <v>1508</v>
      </c>
      <c r="P69" s="5" t="s">
        <v>1509</v>
      </c>
      <c r="Q69" s="35" t="s">
        <v>1597</v>
      </c>
      <c r="R69" s="36" t="s">
        <v>1510</v>
      </c>
    </row>
    <row r="70" spans="1:19" ht="16.5" customHeight="1" thickBot="1" x14ac:dyDescent="0.35">
      <c r="A70" s="252"/>
      <c r="B70" s="231"/>
      <c r="C70" s="253"/>
      <c r="D70" s="253"/>
      <c r="E70" s="254"/>
      <c r="F70" s="253"/>
      <c r="G70" s="253"/>
      <c r="H70" s="253"/>
      <c r="I70" s="254"/>
      <c r="J70" s="253"/>
      <c r="K70" s="253"/>
      <c r="L70" s="253"/>
      <c r="M70" s="254"/>
      <c r="N70" s="253"/>
      <c r="O70" s="253"/>
      <c r="P70" s="255"/>
      <c r="Q70" s="254"/>
      <c r="R70" s="37"/>
    </row>
    <row r="71" spans="1:19" ht="15.75" customHeight="1" x14ac:dyDescent="0.3">
      <c r="A71" s="247" t="s">
        <v>2417</v>
      </c>
      <c r="B71" s="18"/>
      <c r="C71" s="18"/>
      <c r="D71" s="18"/>
      <c r="E71" s="38" t="s">
        <v>852</v>
      </c>
      <c r="F71" s="18"/>
      <c r="G71" s="18"/>
      <c r="H71" s="18"/>
      <c r="I71" s="38" t="s">
        <v>852</v>
      </c>
      <c r="J71" s="18"/>
      <c r="K71" s="18"/>
      <c r="L71" s="18"/>
      <c r="M71" s="38" t="s">
        <v>852</v>
      </c>
      <c r="N71" s="18"/>
      <c r="O71" s="18"/>
      <c r="P71" s="18"/>
      <c r="Q71" s="38" t="s">
        <v>852</v>
      </c>
      <c r="R71" s="38" t="s">
        <v>852</v>
      </c>
    </row>
    <row r="72" spans="1:19" ht="15.75" customHeight="1" x14ac:dyDescent="0.3">
      <c r="A72" s="235" t="s">
        <v>2160</v>
      </c>
      <c r="B72" s="18"/>
      <c r="C72" s="248"/>
      <c r="D72" s="248"/>
      <c r="E72" s="38" t="s">
        <v>852</v>
      </c>
      <c r="F72" s="248"/>
      <c r="G72" s="248"/>
      <c r="H72" s="248"/>
      <c r="I72" s="38" t="s">
        <v>852</v>
      </c>
      <c r="J72" s="248"/>
      <c r="K72" s="248"/>
      <c r="L72" s="248"/>
      <c r="M72" s="38" t="s">
        <v>852</v>
      </c>
      <c r="N72" s="248"/>
      <c r="O72" s="248"/>
      <c r="P72" s="248"/>
      <c r="Q72" s="38" t="s">
        <v>852</v>
      </c>
      <c r="R72" s="38" t="s">
        <v>852</v>
      </c>
    </row>
    <row r="73" spans="1:19" ht="15.75" customHeight="1" x14ac:dyDescent="0.3">
      <c r="A73" s="539" t="s">
        <v>222</v>
      </c>
      <c r="B73" s="172">
        <v>0</v>
      </c>
      <c r="C73" s="172">
        <v>239</v>
      </c>
      <c r="D73" s="172">
        <v>0</v>
      </c>
      <c r="E73" s="38">
        <f t="shared" ref="E73:E79" si="5">SUM(B73:D73)</f>
        <v>239</v>
      </c>
      <c r="F73" s="172">
        <v>0</v>
      </c>
      <c r="G73" s="172">
        <v>0</v>
      </c>
      <c r="H73" s="172">
        <v>0</v>
      </c>
      <c r="I73" s="38">
        <f t="shared" ref="I73:I79" si="6">SUM(F73:H73)</f>
        <v>0</v>
      </c>
      <c r="J73" s="172">
        <v>0</v>
      </c>
      <c r="K73" s="172">
        <v>0</v>
      </c>
      <c r="L73" s="172">
        <v>0</v>
      </c>
      <c r="M73" s="38">
        <f t="shared" ref="M73:M79" si="7">SUM(J73:L73)</f>
        <v>0</v>
      </c>
      <c r="N73" s="172">
        <v>0</v>
      </c>
      <c r="O73" s="172">
        <v>0</v>
      </c>
      <c r="P73" s="172">
        <v>0</v>
      </c>
      <c r="Q73" s="38">
        <f t="shared" ref="Q73:Q79" si="8">SUM(N73:P73)</f>
        <v>0</v>
      </c>
      <c r="R73" s="38">
        <f t="shared" ref="R73:R79" si="9">+E73+I73+M73+Q73</f>
        <v>239</v>
      </c>
    </row>
    <row r="74" spans="1:19" ht="15.75" customHeight="1" x14ac:dyDescent="0.3">
      <c r="A74" s="539" t="s">
        <v>223</v>
      </c>
      <c r="B74" s="172">
        <v>0</v>
      </c>
      <c r="C74" s="172">
        <v>231</v>
      </c>
      <c r="D74" s="172">
        <v>0</v>
      </c>
      <c r="E74" s="38">
        <f>SUM(B74:D74)</f>
        <v>231</v>
      </c>
      <c r="F74" s="172">
        <v>0</v>
      </c>
      <c r="G74" s="172">
        <v>0</v>
      </c>
      <c r="H74" s="172">
        <v>0</v>
      </c>
      <c r="I74" s="38">
        <f>SUM(F74:H74)</f>
        <v>0</v>
      </c>
      <c r="J74" s="172">
        <v>0</v>
      </c>
      <c r="K74" s="172">
        <v>0</v>
      </c>
      <c r="L74" s="172">
        <v>0</v>
      </c>
      <c r="M74" s="38">
        <f>SUM(J74:L74)</f>
        <v>0</v>
      </c>
      <c r="N74" s="172">
        <v>0</v>
      </c>
      <c r="O74" s="172">
        <v>0</v>
      </c>
      <c r="P74" s="172">
        <v>0</v>
      </c>
      <c r="Q74" s="38">
        <f>SUM(N74:P74)</f>
        <v>0</v>
      </c>
      <c r="R74" s="38">
        <f>+E74+I74+M74+Q74</f>
        <v>231</v>
      </c>
    </row>
    <row r="75" spans="1:19" ht="15.75" customHeight="1" x14ac:dyDescent="0.3">
      <c r="A75" s="539" t="s">
        <v>2060</v>
      </c>
      <c r="B75" s="172">
        <v>0</v>
      </c>
      <c r="C75" s="172">
        <v>0</v>
      </c>
      <c r="D75" s="172">
        <v>0</v>
      </c>
      <c r="E75" s="38">
        <f t="shared" si="5"/>
        <v>0</v>
      </c>
      <c r="F75" s="172">
        <v>0</v>
      </c>
      <c r="G75" s="172">
        <v>0</v>
      </c>
      <c r="H75" s="172">
        <v>0</v>
      </c>
      <c r="I75" s="38">
        <f t="shared" si="6"/>
        <v>0</v>
      </c>
      <c r="J75" s="172">
        <v>0</v>
      </c>
      <c r="K75" s="172">
        <v>0</v>
      </c>
      <c r="L75" s="172">
        <v>0</v>
      </c>
      <c r="M75" s="38">
        <f t="shared" si="7"/>
        <v>0</v>
      </c>
      <c r="N75" s="172">
        <v>0</v>
      </c>
      <c r="O75" s="172">
        <v>0</v>
      </c>
      <c r="P75" s="172">
        <v>0</v>
      </c>
      <c r="Q75" s="38">
        <f t="shared" si="8"/>
        <v>0</v>
      </c>
      <c r="R75" s="38">
        <f t="shared" si="9"/>
        <v>0</v>
      </c>
    </row>
    <row r="76" spans="1:19" ht="15.75" customHeight="1" x14ac:dyDescent="0.3">
      <c r="A76" s="539" t="s">
        <v>2262</v>
      </c>
      <c r="B76" s="172">
        <v>0</v>
      </c>
      <c r="C76" s="172">
        <v>0</v>
      </c>
      <c r="D76" s="172">
        <v>0</v>
      </c>
      <c r="E76" s="38">
        <f t="shared" si="5"/>
        <v>0</v>
      </c>
      <c r="F76" s="172">
        <v>0</v>
      </c>
      <c r="G76" s="172">
        <v>0</v>
      </c>
      <c r="H76" s="172">
        <v>0</v>
      </c>
      <c r="I76" s="38">
        <f t="shared" si="6"/>
        <v>0</v>
      </c>
      <c r="J76" s="172">
        <v>0</v>
      </c>
      <c r="K76" s="172">
        <v>0</v>
      </c>
      <c r="L76" s="172">
        <v>0</v>
      </c>
      <c r="M76" s="38">
        <f t="shared" si="7"/>
        <v>0</v>
      </c>
      <c r="N76" s="172">
        <v>0</v>
      </c>
      <c r="O76" s="172">
        <v>0</v>
      </c>
      <c r="P76" s="172">
        <v>0</v>
      </c>
      <c r="Q76" s="38">
        <f t="shared" si="8"/>
        <v>0</v>
      </c>
      <c r="R76" s="38">
        <f t="shared" si="9"/>
        <v>0</v>
      </c>
    </row>
    <row r="77" spans="1:19" ht="15.75" customHeight="1" x14ac:dyDescent="0.3">
      <c r="A77" s="539" t="s">
        <v>789</v>
      </c>
      <c r="B77" s="172">
        <v>0</v>
      </c>
      <c r="C77" s="172">
        <v>0</v>
      </c>
      <c r="D77" s="172">
        <v>0</v>
      </c>
      <c r="E77" s="38">
        <f t="shared" si="5"/>
        <v>0</v>
      </c>
      <c r="F77" s="172">
        <v>0</v>
      </c>
      <c r="G77" s="172">
        <v>0</v>
      </c>
      <c r="H77" s="172">
        <v>0</v>
      </c>
      <c r="I77" s="38">
        <f t="shared" si="6"/>
        <v>0</v>
      </c>
      <c r="J77" s="172">
        <v>508</v>
      </c>
      <c r="K77" s="172">
        <v>0</v>
      </c>
      <c r="L77" s="172">
        <v>0</v>
      </c>
      <c r="M77" s="38">
        <f t="shared" si="7"/>
        <v>508</v>
      </c>
      <c r="N77" s="172">
        <v>0</v>
      </c>
      <c r="O77" s="172">
        <v>0</v>
      </c>
      <c r="P77" s="172">
        <v>0</v>
      </c>
      <c r="Q77" s="38">
        <f t="shared" si="8"/>
        <v>0</v>
      </c>
      <c r="R77" s="38">
        <f t="shared" si="9"/>
        <v>508</v>
      </c>
    </row>
    <row r="78" spans="1:19" ht="15.75" customHeight="1" x14ac:dyDescent="0.3">
      <c r="A78" s="410" t="s">
        <v>2183</v>
      </c>
      <c r="B78" s="172">
        <v>0</v>
      </c>
      <c r="C78" s="172">
        <v>0</v>
      </c>
      <c r="D78" s="172">
        <v>0</v>
      </c>
      <c r="E78" s="38">
        <f t="shared" si="5"/>
        <v>0</v>
      </c>
      <c r="F78" s="172">
        <v>0</v>
      </c>
      <c r="G78" s="172">
        <v>0</v>
      </c>
      <c r="H78" s="172">
        <v>0</v>
      </c>
      <c r="I78" s="38">
        <f t="shared" si="6"/>
        <v>0</v>
      </c>
      <c r="J78" s="172">
        <v>0</v>
      </c>
      <c r="K78" s="172">
        <v>0</v>
      </c>
      <c r="L78" s="172">
        <v>0</v>
      </c>
      <c r="M78" s="38">
        <f t="shared" si="7"/>
        <v>0</v>
      </c>
      <c r="N78" s="172">
        <v>0</v>
      </c>
      <c r="O78" s="172">
        <v>0</v>
      </c>
      <c r="P78" s="172">
        <v>0</v>
      </c>
      <c r="Q78" s="38">
        <f t="shared" si="8"/>
        <v>0</v>
      </c>
      <c r="R78" s="38">
        <f t="shared" si="9"/>
        <v>0</v>
      </c>
    </row>
    <row r="79" spans="1:19" ht="15.75" customHeight="1" x14ac:dyDescent="0.3">
      <c r="A79" s="410" t="s">
        <v>86</v>
      </c>
      <c r="B79" s="172">
        <v>0</v>
      </c>
      <c r="C79" s="172">
        <v>0</v>
      </c>
      <c r="D79" s="172">
        <v>0</v>
      </c>
      <c r="E79" s="38">
        <f t="shared" si="5"/>
        <v>0</v>
      </c>
      <c r="F79" s="172">
        <v>0</v>
      </c>
      <c r="G79" s="172">
        <v>0</v>
      </c>
      <c r="H79" s="172">
        <v>0</v>
      </c>
      <c r="I79" s="38">
        <f t="shared" si="6"/>
        <v>0</v>
      </c>
      <c r="J79" s="172">
        <v>0</v>
      </c>
      <c r="K79" s="172">
        <v>0</v>
      </c>
      <c r="L79" s="172">
        <v>0</v>
      </c>
      <c r="M79" s="38">
        <f t="shared" si="7"/>
        <v>0</v>
      </c>
      <c r="N79" s="172">
        <v>0</v>
      </c>
      <c r="O79" s="172">
        <v>0</v>
      </c>
      <c r="P79" s="172">
        <v>0</v>
      </c>
      <c r="Q79" s="38">
        <f t="shared" si="8"/>
        <v>0</v>
      </c>
      <c r="R79" s="38">
        <f t="shared" si="9"/>
        <v>0</v>
      </c>
      <c r="S79">
        <f>SUM(R73:R79)</f>
        <v>978</v>
      </c>
    </row>
    <row r="80" spans="1:19" ht="15.75" customHeight="1" x14ac:dyDescent="0.3">
      <c r="A80" s="410" t="s">
        <v>2547</v>
      </c>
      <c r="B80" s="172">
        <v>0</v>
      </c>
      <c r="C80" s="172">
        <v>0</v>
      </c>
      <c r="D80" s="172">
        <v>0</v>
      </c>
      <c r="E80" s="38">
        <f>SUM(B80:D80)</f>
        <v>0</v>
      </c>
      <c r="F80" s="172">
        <v>0</v>
      </c>
      <c r="G80" s="172">
        <v>0</v>
      </c>
      <c r="H80" s="172">
        <v>0</v>
      </c>
      <c r="I80" s="38">
        <f>SUM(F80:H80)</f>
        <v>0</v>
      </c>
      <c r="J80" s="172">
        <v>0</v>
      </c>
      <c r="K80" s="172">
        <v>0</v>
      </c>
      <c r="L80" s="172">
        <v>88</v>
      </c>
      <c r="M80" s="38">
        <f>SUM(J80:L80)</f>
        <v>88</v>
      </c>
      <c r="N80" s="172">
        <v>0</v>
      </c>
      <c r="O80" s="172">
        <v>0</v>
      </c>
      <c r="P80" s="172">
        <v>0</v>
      </c>
      <c r="Q80" s="38">
        <f>SUM(N80:P80)</f>
        <v>0</v>
      </c>
      <c r="R80" s="38">
        <f>+E80+I80+M80+Q80</f>
        <v>88</v>
      </c>
    </row>
    <row r="81" spans="1:18" ht="15.75" customHeight="1" x14ac:dyDescent="0.3">
      <c r="A81" s="235" t="s">
        <v>2161</v>
      </c>
      <c r="B81" s="18"/>
      <c r="C81" s="18"/>
      <c r="D81" s="18"/>
      <c r="E81" s="38" t="s">
        <v>852</v>
      </c>
      <c r="F81" s="18"/>
      <c r="G81" s="18"/>
      <c r="H81" s="18"/>
      <c r="I81" s="38" t="s">
        <v>852</v>
      </c>
      <c r="J81" s="18"/>
      <c r="K81" s="18"/>
      <c r="L81" s="18"/>
      <c r="M81" s="38" t="s">
        <v>852</v>
      </c>
      <c r="N81" s="18"/>
      <c r="O81" s="18"/>
      <c r="P81" s="18"/>
      <c r="Q81" s="38" t="s">
        <v>852</v>
      </c>
      <c r="R81" s="38" t="s">
        <v>852</v>
      </c>
    </row>
    <row r="82" spans="1:18" ht="15.75" customHeight="1" x14ac:dyDescent="0.3">
      <c r="A82" s="410" t="s">
        <v>701</v>
      </c>
      <c r="B82" s="172">
        <v>0</v>
      </c>
      <c r="C82" s="172">
        <v>0</v>
      </c>
      <c r="D82" s="172">
        <v>0</v>
      </c>
      <c r="E82" s="38">
        <f>SUM(B82:D82)</f>
        <v>0</v>
      </c>
      <c r="F82" s="172">
        <v>0</v>
      </c>
      <c r="G82" s="172">
        <v>0</v>
      </c>
      <c r="H82" s="172">
        <v>0</v>
      </c>
      <c r="I82" s="38">
        <f>SUM(F82:H82)</f>
        <v>0</v>
      </c>
      <c r="J82" s="172">
        <v>0</v>
      </c>
      <c r="K82" s="172">
        <v>0</v>
      </c>
      <c r="L82" s="172">
        <v>0</v>
      </c>
      <c r="M82" s="38">
        <f>SUM(J82:L82)</f>
        <v>0</v>
      </c>
      <c r="N82" s="172">
        <v>0</v>
      </c>
      <c r="O82" s="172">
        <v>0</v>
      </c>
      <c r="P82" s="172">
        <v>500</v>
      </c>
      <c r="Q82" s="38">
        <f>SUM(N82:P82)</f>
        <v>500</v>
      </c>
      <c r="R82" s="38">
        <f>+E82+I82+M82+Q82</f>
        <v>500</v>
      </c>
    </row>
    <row r="83" spans="1:18" ht="15.75" customHeight="1" x14ac:dyDescent="0.3">
      <c r="A83" s="410" t="s">
        <v>2419</v>
      </c>
      <c r="B83" s="172">
        <v>0</v>
      </c>
      <c r="C83" s="172">
        <v>0</v>
      </c>
      <c r="D83" s="172">
        <v>0</v>
      </c>
      <c r="E83" s="38">
        <f>SUM(B83:D83)</f>
        <v>0</v>
      </c>
      <c r="F83" s="172">
        <v>0</v>
      </c>
      <c r="G83" s="172">
        <v>0</v>
      </c>
      <c r="H83" s="172">
        <v>0</v>
      </c>
      <c r="I83" s="38">
        <f>SUM(F83:H83)</f>
        <v>0</v>
      </c>
      <c r="J83" s="172">
        <v>51</v>
      </c>
      <c r="K83" s="172">
        <v>136</v>
      </c>
      <c r="L83" s="172">
        <v>27</v>
      </c>
      <c r="M83" s="38">
        <f>SUM(J83:L83)</f>
        <v>214</v>
      </c>
      <c r="N83" s="172">
        <v>0</v>
      </c>
      <c r="O83" s="172">
        <v>0</v>
      </c>
      <c r="P83" s="172">
        <v>0</v>
      </c>
      <c r="Q83" s="38">
        <f>SUM(N83:P83)</f>
        <v>0</v>
      </c>
      <c r="R83" s="38">
        <f>+E83+I83+M83+Q83</f>
        <v>214</v>
      </c>
    </row>
    <row r="84" spans="1:18" ht="15.75" customHeight="1" x14ac:dyDescent="0.3">
      <c r="A84" s="235" t="s">
        <v>2162</v>
      </c>
      <c r="B84" s="18"/>
      <c r="C84" s="18"/>
      <c r="D84" s="18"/>
      <c r="E84" s="38" t="s">
        <v>1598</v>
      </c>
      <c r="F84" s="18"/>
      <c r="G84" s="18"/>
      <c r="H84" s="18"/>
      <c r="I84" s="38" t="s">
        <v>1598</v>
      </c>
      <c r="J84" s="18"/>
      <c r="K84" s="18"/>
      <c r="L84" s="18"/>
      <c r="M84" s="38" t="s">
        <v>1598</v>
      </c>
      <c r="N84" s="18"/>
      <c r="O84" s="18"/>
      <c r="P84" s="18"/>
      <c r="Q84" s="38" t="s">
        <v>1598</v>
      </c>
      <c r="R84" s="38" t="s">
        <v>1598</v>
      </c>
    </row>
    <row r="85" spans="1:18" ht="15.75" customHeight="1" x14ac:dyDescent="0.3">
      <c r="A85" s="422" t="s">
        <v>2546</v>
      </c>
      <c r="B85" s="172">
        <v>0</v>
      </c>
      <c r="C85" s="172">
        <v>0</v>
      </c>
      <c r="D85" s="172">
        <v>0</v>
      </c>
      <c r="E85" s="38">
        <f>SUM(B85:D85)</f>
        <v>0</v>
      </c>
      <c r="F85" s="172">
        <v>0</v>
      </c>
      <c r="G85" s="172">
        <v>0</v>
      </c>
      <c r="H85" s="172">
        <v>0</v>
      </c>
      <c r="I85" s="38">
        <f>SUM(F85:H85)</f>
        <v>0</v>
      </c>
      <c r="J85" s="172">
        <v>0</v>
      </c>
      <c r="K85" s="172">
        <v>0</v>
      </c>
      <c r="L85" s="172">
        <v>0</v>
      </c>
      <c r="M85" s="38">
        <f>SUM(J85:L85)</f>
        <v>0</v>
      </c>
      <c r="N85" s="172">
        <v>0</v>
      </c>
      <c r="O85" s="172">
        <v>0</v>
      </c>
      <c r="P85" s="172">
        <v>0</v>
      </c>
      <c r="Q85" s="38">
        <f>SUM(N85:P85)</f>
        <v>0</v>
      </c>
      <c r="R85" s="38">
        <f>+E85+I85+M85+Q85</f>
        <v>0</v>
      </c>
    </row>
    <row r="86" spans="1:18" ht="15.75" customHeight="1" x14ac:dyDescent="0.3">
      <c r="A86" s="422" t="s">
        <v>2547</v>
      </c>
      <c r="B86" s="172">
        <v>482</v>
      </c>
      <c r="C86" s="172">
        <v>308</v>
      </c>
      <c r="D86" s="172">
        <v>1523</v>
      </c>
      <c r="E86" s="38">
        <f>SUM(B86:D86)</f>
        <v>2313</v>
      </c>
      <c r="F86" s="172">
        <v>670</v>
      </c>
      <c r="G86" s="172">
        <v>786</v>
      </c>
      <c r="H86" s="172">
        <v>1450</v>
      </c>
      <c r="I86" s="38">
        <f>SUM(F86:H86)</f>
        <v>2906</v>
      </c>
      <c r="J86" s="172">
        <v>381</v>
      </c>
      <c r="K86" s="172">
        <v>0</v>
      </c>
      <c r="L86" s="172">
        <v>0</v>
      </c>
      <c r="M86" s="38">
        <f>SUM(J86:L86)</f>
        <v>381</v>
      </c>
      <c r="N86" s="172">
        <v>0</v>
      </c>
      <c r="O86" s="172">
        <v>0</v>
      </c>
      <c r="P86" s="172">
        <v>0</v>
      </c>
      <c r="Q86" s="38">
        <f>SUM(N86:P86)</f>
        <v>0</v>
      </c>
      <c r="R86" s="38">
        <f>+E86+I86+M86+Q86</f>
        <v>5600</v>
      </c>
    </row>
    <row r="87" spans="1:18" ht="15.75" customHeight="1" thickBot="1" x14ac:dyDescent="0.35">
      <c r="A87" s="235" t="s">
        <v>2164</v>
      </c>
      <c r="B87" s="248"/>
      <c r="C87" s="248"/>
      <c r="D87" s="248"/>
      <c r="E87" s="38" t="s">
        <v>852</v>
      </c>
      <c r="F87" s="248"/>
      <c r="G87" s="248"/>
      <c r="H87" s="248"/>
      <c r="I87" s="38" t="s">
        <v>852</v>
      </c>
      <c r="J87" s="248"/>
      <c r="K87" s="248"/>
      <c r="L87" s="248"/>
      <c r="M87" s="38" t="s">
        <v>852</v>
      </c>
      <c r="N87" s="248"/>
      <c r="O87" s="248"/>
      <c r="P87" s="248"/>
      <c r="Q87" s="38" t="s">
        <v>852</v>
      </c>
      <c r="R87" s="38" t="s">
        <v>852</v>
      </c>
    </row>
    <row r="88" spans="1:18" ht="16.5" customHeight="1" thickBot="1" x14ac:dyDescent="0.35">
      <c r="A88" s="43" t="s">
        <v>1218</v>
      </c>
      <c r="B88" s="42">
        <f>SUM(B71:B87)</f>
        <v>482</v>
      </c>
      <c r="C88" s="42">
        <f>SUM(C71:C87)</f>
        <v>778</v>
      </c>
      <c r="D88" s="42">
        <f>SUM(D71:D87)</f>
        <v>1523</v>
      </c>
      <c r="E88" s="37">
        <f>SUM(B88:D88)</f>
        <v>2783</v>
      </c>
      <c r="F88" s="42">
        <f>SUM(F71:F87)</f>
        <v>670</v>
      </c>
      <c r="G88" s="42">
        <f>SUM(G71:G87)</f>
        <v>786</v>
      </c>
      <c r="H88" s="42">
        <f>SUM(H71:H87)</f>
        <v>1450</v>
      </c>
      <c r="I88" s="37">
        <f>SUM(F88:H88)</f>
        <v>2906</v>
      </c>
      <c r="J88" s="42">
        <f>SUM(J71:J87)</f>
        <v>940</v>
      </c>
      <c r="K88" s="42">
        <f>SUM(K71:K87)</f>
        <v>136</v>
      </c>
      <c r="L88" s="42">
        <f>SUM(L71:L87)</f>
        <v>115</v>
      </c>
      <c r="M88" s="37">
        <f>SUM(J88:L88)</f>
        <v>1191</v>
      </c>
      <c r="N88" s="42">
        <f>SUM(N71:N87)</f>
        <v>0</v>
      </c>
      <c r="O88" s="42">
        <f>SUM(O71:O87)</f>
        <v>0</v>
      </c>
      <c r="P88" s="42">
        <f>SUM(P71:P87)</f>
        <v>500</v>
      </c>
      <c r="Q88" s="37">
        <f>SUM(N88:P88)</f>
        <v>500</v>
      </c>
      <c r="R88" s="37">
        <f>+E88+I88+M88+Q88</f>
        <v>7380</v>
      </c>
    </row>
    <row r="89" spans="1:18" ht="15.75" customHeight="1" x14ac:dyDescent="0.3">
      <c r="A89" s="235" t="s">
        <v>1172</v>
      </c>
      <c r="B89" s="248"/>
      <c r="C89" s="248"/>
      <c r="D89" s="248"/>
      <c r="E89" s="38" t="s">
        <v>852</v>
      </c>
      <c r="F89" s="248"/>
      <c r="G89" s="248"/>
      <c r="H89" s="248"/>
      <c r="I89" s="38" t="s">
        <v>852</v>
      </c>
      <c r="J89" s="248"/>
      <c r="K89" s="248"/>
      <c r="L89" s="248"/>
      <c r="M89" s="38" t="s">
        <v>852</v>
      </c>
      <c r="N89" s="248"/>
      <c r="O89" s="248"/>
      <c r="P89" s="248"/>
      <c r="Q89" s="38" t="s">
        <v>852</v>
      </c>
      <c r="R89" s="39" t="s">
        <v>852</v>
      </c>
    </row>
    <row r="90" spans="1:18" ht="15.75" customHeight="1" x14ac:dyDescent="0.3">
      <c r="A90" s="235" t="s">
        <v>2658</v>
      </c>
      <c r="B90" s="248"/>
      <c r="C90" s="248"/>
      <c r="D90" s="248"/>
      <c r="E90" s="38" t="s">
        <v>852</v>
      </c>
      <c r="F90" s="248"/>
      <c r="G90" s="248"/>
      <c r="H90" s="248"/>
      <c r="I90" s="38" t="s">
        <v>852</v>
      </c>
      <c r="J90" s="248"/>
      <c r="K90" s="248"/>
      <c r="L90" s="248"/>
      <c r="M90" s="38" t="s">
        <v>852</v>
      </c>
      <c r="N90" s="248"/>
      <c r="O90" s="248"/>
      <c r="P90" s="248"/>
      <c r="Q90" s="38" t="s">
        <v>852</v>
      </c>
      <c r="R90" s="38" t="s">
        <v>852</v>
      </c>
    </row>
    <row r="91" spans="1:18" ht="15.75" customHeight="1" x14ac:dyDescent="0.3">
      <c r="A91" s="235" t="s">
        <v>2409</v>
      </c>
      <c r="B91" s="248"/>
      <c r="C91" s="248"/>
      <c r="D91" s="248"/>
      <c r="E91" s="38" t="s">
        <v>852</v>
      </c>
      <c r="F91" s="248"/>
      <c r="G91" s="248"/>
      <c r="H91" s="248"/>
      <c r="I91" s="38" t="s">
        <v>852</v>
      </c>
      <c r="J91" s="248"/>
      <c r="K91" s="248"/>
      <c r="L91" s="248"/>
      <c r="M91" s="38" t="s">
        <v>852</v>
      </c>
      <c r="N91" s="248"/>
      <c r="O91" s="248"/>
      <c r="P91" s="248"/>
      <c r="Q91" s="38" t="s">
        <v>852</v>
      </c>
      <c r="R91" s="38" t="s">
        <v>852</v>
      </c>
    </row>
    <row r="92" spans="1:18" ht="15.75" customHeight="1" x14ac:dyDescent="0.3">
      <c r="A92" s="410" t="s">
        <v>701</v>
      </c>
      <c r="B92" s="10">
        <v>530</v>
      </c>
      <c r="C92" s="10">
        <v>881</v>
      </c>
      <c r="D92" s="10">
        <v>2862</v>
      </c>
      <c r="E92" s="38">
        <f>SUM(B92:D92)</f>
        <v>4273</v>
      </c>
      <c r="F92" s="10">
        <v>5425</v>
      </c>
      <c r="G92" s="10">
        <v>6634</v>
      </c>
      <c r="H92" s="10">
        <v>7362</v>
      </c>
      <c r="I92" s="38">
        <f>SUM(F92:H92)</f>
        <v>19421</v>
      </c>
      <c r="J92" s="10">
        <v>7092</v>
      </c>
      <c r="K92" s="10">
        <v>7555</v>
      </c>
      <c r="L92" s="10">
        <v>3458</v>
      </c>
      <c r="M92" s="38">
        <f>SUM(J92:L92)</f>
        <v>18105</v>
      </c>
      <c r="N92" s="10">
        <v>663</v>
      </c>
      <c r="O92" s="10">
        <v>302</v>
      </c>
      <c r="P92" s="10">
        <v>1469</v>
      </c>
      <c r="Q92" s="38">
        <f>SUM(N92:P92)</f>
        <v>2434</v>
      </c>
      <c r="R92" s="38">
        <f>+E92+I92+M92+Q92</f>
        <v>44233</v>
      </c>
    </row>
    <row r="93" spans="1:18" ht="15.75" customHeight="1" x14ac:dyDescent="0.3">
      <c r="A93" s="410" t="s">
        <v>702</v>
      </c>
      <c r="B93" s="10">
        <v>0</v>
      </c>
      <c r="C93" s="10">
        <v>0</v>
      </c>
      <c r="D93" s="10">
        <v>0</v>
      </c>
      <c r="E93" s="38">
        <f>SUM(B93:D93)</f>
        <v>0</v>
      </c>
      <c r="F93" s="10">
        <v>1000</v>
      </c>
      <c r="G93" s="10">
        <v>1000</v>
      </c>
      <c r="H93" s="10">
        <v>1000</v>
      </c>
      <c r="I93" s="38">
        <f>SUM(F93:H93)</f>
        <v>3000</v>
      </c>
      <c r="J93" s="10">
        <v>460</v>
      </c>
      <c r="K93" s="10">
        <v>0</v>
      </c>
      <c r="L93" s="10">
        <v>0</v>
      </c>
      <c r="M93" s="38">
        <f>SUM(J93:L93)</f>
        <v>460</v>
      </c>
      <c r="N93" s="10">
        <v>0</v>
      </c>
      <c r="O93" s="10">
        <v>0</v>
      </c>
      <c r="P93" s="10">
        <v>0</v>
      </c>
      <c r="Q93" s="38">
        <f>SUM(N93:P93)</f>
        <v>0</v>
      </c>
      <c r="R93" s="38">
        <f>+E93+I93+M93+Q93</f>
        <v>3460</v>
      </c>
    </row>
    <row r="94" spans="1:18" ht="15.75" customHeight="1" thickBot="1" x14ac:dyDescent="0.35">
      <c r="A94" s="235" t="s">
        <v>2165</v>
      </c>
      <c r="B94" s="248"/>
      <c r="C94" s="248"/>
      <c r="D94" s="248"/>
      <c r="E94" s="38" t="s">
        <v>852</v>
      </c>
      <c r="F94" s="248"/>
      <c r="G94" s="248"/>
      <c r="H94" s="248"/>
      <c r="I94" s="38" t="s">
        <v>852</v>
      </c>
      <c r="J94" s="248"/>
      <c r="K94" s="248"/>
      <c r="L94" s="248"/>
      <c r="M94" s="38" t="s">
        <v>852</v>
      </c>
      <c r="N94" s="248"/>
      <c r="O94" s="248"/>
      <c r="P94" s="248"/>
      <c r="Q94" s="38" t="s">
        <v>852</v>
      </c>
      <c r="R94" s="38" t="s">
        <v>852</v>
      </c>
    </row>
    <row r="95" spans="1:18" ht="16.5" customHeight="1" thickBot="1" x14ac:dyDescent="0.35">
      <c r="A95" s="43" t="s">
        <v>1219</v>
      </c>
      <c r="B95" s="42">
        <f>SUM(B89:B94)</f>
        <v>530</v>
      </c>
      <c r="C95" s="42">
        <f>SUM(C89:C94)</f>
        <v>881</v>
      </c>
      <c r="D95" s="42">
        <f>SUM(D89:D94)</f>
        <v>2862</v>
      </c>
      <c r="E95" s="37">
        <f>SUM(B95:D95)</f>
        <v>4273</v>
      </c>
      <c r="F95" s="42">
        <f>SUM(F89:F94)</f>
        <v>6425</v>
      </c>
      <c r="G95" s="42">
        <f>SUM(G89:G94)</f>
        <v>7634</v>
      </c>
      <c r="H95" s="42">
        <f>SUM(H89:H94)</f>
        <v>8362</v>
      </c>
      <c r="I95" s="37">
        <f>SUM(F95:H95)</f>
        <v>22421</v>
      </c>
      <c r="J95" s="42">
        <f>SUM(J89:J94)</f>
        <v>7552</v>
      </c>
      <c r="K95" s="42">
        <f>SUM(K89:K94)</f>
        <v>7555</v>
      </c>
      <c r="L95" s="42">
        <f>SUM(L89:L94)</f>
        <v>3458</v>
      </c>
      <c r="M95" s="37">
        <f>SUM(J95:L95)</f>
        <v>18565</v>
      </c>
      <c r="N95" s="42">
        <f>SUM(N89:N94)</f>
        <v>663</v>
      </c>
      <c r="O95" s="42">
        <f>SUM(O89:O94)</f>
        <v>302</v>
      </c>
      <c r="P95" s="42">
        <f>SUM(P89:P94)</f>
        <v>1469</v>
      </c>
      <c r="Q95" s="37">
        <f>SUM(N95:P95)</f>
        <v>2434</v>
      </c>
      <c r="R95" s="37">
        <f>+E95+I95+M95+Q95</f>
        <v>47693</v>
      </c>
    </row>
    <row r="96" spans="1:18" ht="15.75" customHeight="1" x14ac:dyDescent="0.3">
      <c r="A96" s="235" t="s">
        <v>2166</v>
      </c>
      <c r="B96" s="248"/>
      <c r="C96" s="248"/>
      <c r="D96" s="248"/>
      <c r="E96" s="38" t="s">
        <v>852</v>
      </c>
      <c r="F96" s="248"/>
      <c r="G96" s="248"/>
      <c r="H96" s="248"/>
      <c r="I96" s="38" t="s">
        <v>852</v>
      </c>
      <c r="J96" s="248"/>
      <c r="K96" s="248"/>
      <c r="L96" s="248"/>
      <c r="M96" s="38" t="s">
        <v>852</v>
      </c>
      <c r="N96" s="248"/>
      <c r="O96" s="248"/>
      <c r="P96" s="248"/>
      <c r="Q96" s="38" t="s">
        <v>852</v>
      </c>
      <c r="R96" s="38" t="s">
        <v>852</v>
      </c>
    </row>
    <row r="97" spans="1:18" ht="15.75" customHeight="1" x14ac:dyDescent="0.3">
      <c r="A97" s="235" t="s">
        <v>1245</v>
      </c>
      <c r="B97" s="248"/>
      <c r="C97" s="248"/>
      <c r="D97" s="248"/>
      <c r="E97" s="38" t="s">
        <v>852</v>
      </c>
      <c r="F97" s="248"/>
      <c r="G97" s="248"/>
      <c r="H97" s="248"/>
      <c r="I97" s="38" t="s">
        <v>852</v>
      </c>
      <c r="J97" s="248"/>
      <c r="K97" s="248"/>
      <c r="L97" s="248"/>
      <c r="M97" s="38" t="s">
        <v>852</v>
      </c>
      <c r="N97" s="248"/>
      <c r="O97" s="248"/>
      <c r="P97" s="248"/>
      <c r="Q97" s="38" t="s">
        <v>852</v>
      </c>
      <c r="R97" s="38" t="s">
        <v>852</v>
      </c>
    </row>
    <row r="98" spans="1:18" ht="15.75" customHeight="1" x14ac:dyDescent="0.3">
      <c r="A98" s="235" t="s">
        <v>1711</v>
      </c>
      <c r="B98" s="248"/>
      <c r="C98" s="248"/>
      <c r="D98" s="248"/>
      <c r="E98" s="38"/>
      <c r="F98" s="248"/>
      <c r="G98" s="248"/>
      <c r="H98" s="248"/>
      <c r="I98" s="38"/>
      <c r="J98" s="248"/>
      <c r="K98" s="248"/>
      <c r="L98" s="248"/>
      <c r="M98" s="38"/>
      <c r="N98" s="248"/>
      <c r="O98" s="248"/>
      <c r="P98" s="248"/>
      <c r="Q98" s="38"/>
      <c r="R98" s="38"/>
    </row>
    <row r="99" spans="1:18" ht="15.75" customHeight="1" x14ac:dyDescent="0.3">
      <c r="A99" s="410" t="s">
        <v>1584</v>
      </c>
      <c r="B99" s="172">
        <v>0</v>
      </c>
      <c r="C99" s="172">
        <v>0</v>
      </c>
      <c r="D99" s="172">
        <v>0</v>
      </c>
      <c r="E99" s="38">
        <f t="shared" ref="E99:E106" si="10">SUM(B99:D99)</f>
        <v>0</v>
      </c>
      <c r="F99" s="172">
        <v>0</v>
      </c>
      <c r="G99" s="172">
        <v>0</v>
      </c>
      <c r="H99" s="172">
        <v>0</v>
      </c>
      <c r="I99" s="38">
        <f t="shared" ref="I99:I106" si="11">SUM(F99:H99)</f>
        <v>0</v>
      </c>
      <c r="J99" s="172">
        <v>0</v>
      </c>
      <c r="K99" s="172">
        <v>0</v>
      </c>
      <c r="L99" s="172">
        <v>0</v>
      </c>
      <c r="M99" s="38">
        <f t="shared" ref="M99:M106" si="12">SUM(J99:L99)</f>
        <v>0</v>
      </c>
      <c r="N99" s="172">
        <v>0</v>
      </c>
      <c r="O99" s="172">
        <v>0</v>
      </c>
      <c r="P99" s="172">
        <v>0</v>
      </c>
      <c r="Q99" s="38">
        <f t="shared" ref="Q99:Q106" si="13">SUM(N99:P99)</f>
        <v>0</v>
      </c>
      <c r="R99" s="38">
        <f t="shared" ref="R99:R106" si="14">+E99+I99+M99+Q99</f>
        <v>0</v>
      </c>
    </row>
    <row r="100" spans="1:18" ht="15.75" customHeight="1" x14ac:dyDescent="0.3">
      <c r="A100" s="410" t="s">
        <v>1977</v>
      </c>
      <c r="B100" s="172">
        <v>0</v>
      </c>
      <c r="C100" s="172">
        <v>0</v>
      </c>
      <c r="D100" s="172">
        <v>0</v>
      </c>
      <c r="E100" s="38">
        <f t="shared" si="10"/>
        <v>0</v>
      </c>
      <c r="F100" s="172">
        <v>0</v>
      </c>
      <c r="G100" s="172">
        <v>0</v>
      </c>
      <c r="H100" s="172">
        <v>0</v>
      </c>
      <c r="I100" s="38">
        <f t="shared" si="11"/>
        <v>0</v>
      </c>
      <c r="J100" s="172">
        <v>0</v>
      </c>
      <c r="K100" s="172">
        <v>0</v>
      </c>
      <c r="L100" s="172">
        <v>0</v>
      </c>
      <c r="M100" s="38">
        <f t="shared" si="12"/>
        <v>0</v>
      </c>
      <c r="N100" s="172">
        <v>0</v>
      </c>
      <c r="O100" s="172">
        <v>0</v>
      </c>
      <c r="P100" s="172">
        <v>0</v>
      </c>
      <c r="Q100" s="38">
        <f t="shared" si="13"/>
        <v>0</v>
      </c>
      <c r="R100" s="38">
        <f t="shared" si="14"/>
        <v>0</v>
      </c>
    </row>
    <row r="101" spans="1:18" ht="15.75" customHeight="1" x14ac:dyDescent="0.3">
      <c r="A101" s="410" t="s">
        <v>1571</v>
      </c>
      <c r="B101" s="172">
        <v>0</v>
      </c>
      <c r="C101" s="172">
        <v>0</v>
      </c>
      <c r="D101" s="172">
        <v>0</v>
      </c>
      <c r="E101" s="38">
        <f>SUM(B101:D101)</f>
        <v>0</v>
      </c>
      <c r="F101" s="172">
        <v>0</v>
      </c>
      <c r="G101" s="172">
        <v>0</v>
      </c>
      <c r="H101" s="172">
        <v>0</v>
      </c>
      <c r="I101" s="38">
        <f>SUM(F101:H101)</f>
        <v>0</v>
      </c>
      <c r="J101" s="172">
        <v>0</v>
      </c>
      <c r="K101" s="172">
        <v>0</v>
      </c>
      <c r="L101" s="172">
        <v>0</v>
      </c>
      <c r="M101" s="38">
        <f>SUM(J101:L101)</f>
        <v>0</v>
      </c>
      <c r="N101" s="172">
        <v>0</v>
      </c>
      <c r="O101" s="172">
        <v>0</v>
      </c>
      <c r="P101" s="172">
        <v>0</v>
      </c>
      <c r="Q101" s="38">
        <f>SUM(N101:P101)</f>
        <v>0</v>
      </c>
      <c r="R101" s="38">
        <f>+E101+I101+M101+Q101</f>
        <v>0</v>
      </c>
    </row>
    <row r="102" spans="1:18" ht="15.75" customHeight="1" x14ac:dyDescent="0.3">
      <c r="A102" s="410" t="s">
        <v>2506</v>
      </c>
      <c r="B102" s="172">
        <v>0</v>
      </c>
      <c r="C102" s="172">
        <v>0</v>
      </c>
      <c r="D102" s="172">
        <v>3933</v>
      </c>
      <c r="E102" s="38">
        <f>SUM(B102:D102)</f>
        <v>3933</v>
      </c>
      <c r="F102" s="172">
        <v>0</v>
      </c>
      <c r="G102" s="172">
        <v>0</v>
      </c>
      <c r="H102" s="172">
        <v>0</v>
      </c>
      <c r="I102" s="38">
        <f>SUM(F102:H102)</f>
        <v>0</v>
      </c>
      <c r="J102" s="172">
        <v>0</v>
      </c>
      <c r="K102" s="172">
        <v>0</v>
      </c>
      <c r="L102" s="172">
        <v>0</v>
      </c>
      <c r="M102" s="38">
        <f>SUM(J102:L102)</f>
        <v>0</v>
      </c>
      <c r="N102" s="172">
        <v>0</v>
      </c>
      <c r="O102" s="172">
        <v>0</v>
      </c>
      <c r="P102" s="172">
        <v>0</v>
      </c>
      <c r="Q102" s="38">
        <f>SUM(N102:P102)</f>
        <v>0</v>
      </c>
      <c r="R102" s="38">
        <f>+E102+I102+M102+Q102</f>
        <v>3933</v>
      </c>
    </row>
    <row r="103" spans="1:18" ht="15.75" customHeight="1" x14ac:dyDescent="0.3">
      <c r="A103" s="410" t="s">
        <v>436</v>
      </c>
      <c r="B103" s="10">
        <v>0</v>
      </c>
      <c r="C103" s="10">
        <v>0</v>
      </c>
      <c r="D103" s="10">
        <v>0</v>
      </c>
      <c r="E103" s="38">
        <f>SUM(B103:D103)</f>
        <v>0</v>
      </c>
      <c r="F103" s="10">
        <v>0</v>
      </c>
      <c r="G103" s="10">
        <v>0</v>
      </c>
      <c r="H103" s="10">
        <v>0</v>
      </c>
      <c r="I103" s="38">
        <f>SUM(F103:H103)</f>
        <v>0</v>
      </c>
      <c r="J103" s="10">
        <v>0</v>
      </c>
      <c r="K103" s="10">
        <v>0</v>
      </c>
      <c r="L103" s="10">
        <v>0</v>
      </c>
      <c r="M103" s="38">
        <f>SUM(J103:L103)</f>
        <v>0</v>
      </c>
      <c r="N103" s="10">
        <v>0</v>
      </c>
      <c r="O103" s="10">
        <v>0</v>
      </c>
      <c r="P103" s="10">
        <v>0</v>
      </c>
      <c r="Q103" s="38">
        <f>SUM(N103:P103)</f>
        <v>0</v>
      </c>
      <c r="R103" s="38">
        <f>+E103+I103+M103+Q103</f>
        <v>0</v>
      </c>
    </row>
    <row r="104" spans="1:18" ht="15.75" customHeight="1" x14ac:dyDescent="0.3">
      <c r="A104" s="410" t="s">
        <v>2182</v>
      </c>
      <c r="B104" s="172">
        <v>0</v>
      </c>
      <c r="C104" s="172">
        <v>0</v>
      </c>
      <c r="D104" s="172">
        <v>0</v>
      </c>
      <c r="E104" s="38">
        <f t="shared" si="10"/>
        <v>0</v>
      </c>
      <c r="F104" s="172">
        <v>0</v>
      </c>
      <c r="G104" s="172">
        <v>0</v>
      </c>
      <c r="H104" s="172">
        <v>0</v>
      </c>
      <c r="I104" s="38">
        <f t="shared" si="11"/>
        <v>0</v>
      </c>
      <c r="J104" s="172">
        <v>0</v>
      </c>
      <c r="K104" s="172">
        <v>0</v>
      </c>
      <c r="L104" s="172">
        <v>0</v>
      </c>
      <c r="M104" s="38">
        <f t="shared" si="12"/>
        <v>0</v>
      </c>
      <c r="N104" s="172">
        <v>0</v>
      </c>
      <c r="O104" s="172">
        <v>0</v>
      </c>
      <c r="P104" s="172">
        <v>0</v>
      </c>
      <c r="Q104" s="38">
        <f t="shared" si="13"/>
        <v>0</v>
      </c>
      <c r="R104" s="38">
        <f t="shared" si="14"/>
        <v>0</v>
      </c>
    </row>
    <row r="105" spans="1:18" ht="15.75" customHeight="1" thickBot="1" x14ac:dyDescent="0.35">
      <c r="A105" s="410" t="s">
        <v>2261</v>
      </c>
      <c r="B105" s="172">
        <v>0</v>
      </c>
      <c r="C105" s="172">
        <v>0</v>
      </c>
      <c r="D105" s="172">
        <v>0</v>
      </c>
      <c r="E105" s="38">
        <f t="shared" si="10"/>
        <v>0</v>
      </c>
      <c r="F105" s="172">
        <v>0</v>
      </c>
      <c r="G105" s="172">
        <v>0</v>
      </c>
      <c r="H105" s="172">
        <v>0</v>
      </c>
      <c r="I105" s="38">
        <f t="shared" si="11"/>
        <v>0</v>
      </c>
      <c r="J105" s="172">
        <v>0</v>
      </c>
      <c r="K105" s="172">
        <v>0</v>
      </c>
      <c r="L105" s="172">
        <v>0</v>
      </c>
      <c r="M105" s="38">
        <f t="shared" si="12"/>
        <v>0</v>
      </c>
      <c r="N105" s="172">
        <v>0</v>
      </c>
      <c r="O105" s="172">
        <v>0</v>
      </c>
      <c r="P105" s="172">
        <v>0</v>
      </c>
      <c r="Q105" s="38">
        <f t="shared" si="13"/>
        <v>0</v>
      </c>
      <c r="R105" s="38">
        <f t="shared" si="14"/>
        <v>0</v>
      </c>
    </row>
    <row r="106" spans="1:18" ht="16.5" customHeight="1" thickBot="1" x14ac:dyDescent="0.35">
      <c r="A106" s="43" t="s">
        <v>1220</v>
      </c>
      <c r="B106" s="42">
        <f>SUM(B96:B105)</f>
        <v>0</v>
      </c>
      <c r="C106" s="42">
        <f>SUM(C96:C105)</f>
        <v>0</v>
      </c>
      <c r="D106" s="42">
        <f>SUM(D96:D105)</f>
        <v>3933</v>
      </c>
      <c r="E106" s="37">
        <f t="shared" si="10"/>
        <v>3933</v>
      </c>
      <c r="F106" s="42">
        <f>SUM(F96:F105)</f>
        <v>0</v>
      </c>
      <c r="G106" s="42">
        <f>SUM(G96:G105)</f>
        <v>0</v>
      </c>
      <c r="H106" s="42">
        <f>SUM(H96:H105)</f>
        <v>0</v>
      </c>
      <c r="I106" s="37">
        <f t="shared" si="11"/>
        <v>0</v>
      </c>
      <c r="J106" s="42">
        <f>SUM(J96:J105)</f>
        <v>0</v>
      </c>
      <c r="K106" s="42">
        <f>SUM(K96:K105)</f>
        <v>0</v>
      </c>
      <c r="L106" s="42">
        <f>SUM(L96:L105)</f>
        <v>0</v>
      </c>
      <c r="M106" s="37">
        <f t="shared" si="12"/>
        <v>0</v>
      </c>
      <c r="N106" s="42">
        <f>SUM(N96:N105)</f>
        <v>0</v>
      </c>
      <c r="O106" s="42">
        <f>SUM(O96:O105)</f>
        <v>0</v>
      </c>
      <c r="P106" s="42">
        <f>SUM(P96:P105)</f>
        <v>0</v>
      </c>
      <c r="Q106" s="37">
        <f t="shared" si="13"/>
        <v>0</v>
      </c>
      <c r="R106" s="37">
        <f t="shared" si="14"/>
        <v>3933</v>
      </c>
    </row>
    <row r="107" spans="1:18" ht="15.75" customHeight="1" x14ac:dyDescent="0.3">
      <c r="A107" s="235" t="s">
        <v>1712</v>
      </c>
      <c r="B107" s="248"/>
      <c r="C107" s="248"/>
      <c r="D107" s="248"/>
      <c r="E107" s="38" t="s">
        <v>852</v>
      </c>
      <c r="F107" s="248"/>
      <c r="G107" s="248"/>
      <c r="H107" s="248"/>
      <c r="I107" s="38" t="s">
        <v>852</v>
      </c>
      <c r="J107" s="248"/>
      <c r="K107" s="248"/>
      <c r="L107" s="248"/>
      <c r="M107" s="38" t="s">
        <v>852</v>
      </c>
      <c r="N107" s="248"/>
      <c r="O107" s="248"/>
      <c r="P107" s="248"/>
      <c r="Q107" s="38" t="s">
        <v>852</v>
      </c>
      <c r="R107" s="38" t="s">
        <v>852</v>
      </c>
    </row>
    <row r="108" spans="1:18" ht="15.75" customHeight="1" x14ac:dyDescent="0.3">
      <c r="A108" s="235" t="s">
        <v>1021</v>
      </c>
      <c r="B108" s="248"/>
      <c r="C108" s="248"/>
      <c r="D108" s="248"/>
      <c r="E108" s="38" t="s">
        <v>852</v>
      </c>
      <c r="F108" s="248"/>
      <c r="G108" s="248"/>
      <c r="H108" s="248"/>
      <c r="I108" s="38" t="s">
        <v>852</v>
      </c>
      <c r="J108" s="248"/>
      <c r="K108" s="248"/>
      <c r="L108" s="248"/>
      <c r="M108" s="38" t="s">
        <v>852</v>
      </c>
      <c r="N108" s="248"/>
      <c r="O108" s="248"/>
      <c r="P108" s="248"/>
      <c r="Q108" s="38" t="s">
        <v>852</v>
      </c>
      <c r="R108" s="38" t="s">
        <v>852</v>
      </c>
    </row>
    <row r="109" spans="1:18" ht="15.75" customHeight="1" x14ac:dyDescent="0.3">
      <c r="A109" s="422" t="s">
        <v>2270</v>
      </c>
      <c r="B109" s="172">
        <v>4</v>
      </c>
      <c r="C109" s="172">
        <v>0</v>
      </c>
      <c r="D109" s="172">
        <v>0</v>
      </c>
      <c r="E109" s="38">
        <f t="shared" ref="E109:E114" si="15">SUM(B109:D109)</f>
        <v>4</v>
      </c>
      <c r="F109" s="172">
        <v>0</v>
      </c>
      <c r="G109" s="172">
        <v>0</v>
      </c>
      <c r="H109" s="172">
        <v>0</v>
      </c>
      <c r="I109" s="38">
        <f t="shared" ref="I109:I114" si="16">SUM(F109:H109)</f>
        <v>0</v>
      </c>
      <c r="J109" s="172">
        <v>0</v>
      </c>
      <c r="K109" s="172">
        <v>0</v>
      </c>
      <c r="L109" s="172">
        <v>0</v>
      </c>
      <c r="M109" s="38">
        <f t="shared" ref="M109:M114" si="17">SUM(J109:L109)</f>
        <v>0</v>
      </c>
      <c r="N109" s="172">
        <v>0</v>
      </c>
      <c r="O109" s="172">
        <v>0</v>
      </c>
      <c r="P109" s="172">
        <v>0</v>
      </c>
      <c r="Q109" s="38">
        <f t="shared" ref="Q109:Q114" si="18">SUM(N109:P109)</f>
        <v>0</v>
      </c>
      <c r="R109" s="38">
        <f t="shared" ref="R109:R114" si="19">+E109+I109+M109+Q109</f>
        <v>4</v>
      </c>
    </row>
    <row r="110" spans="1:18" ht="15.75" customHeight="1" x14ac:dyDescent="0.3">
      <c r="A110" s="422" t="s">
        <v>656</v>
      </c>
      <c r="B110" s="172">
        <v>0</v>
      </c>
      <c r="C110" s="172">
        <v>0</v>
      </c>
      <c r="D110" s="172">
        <v>0</v>
      </c>
      <c r="E110" s="38">
        <f t="shared" si="15"/>
        <v>0</v>
      </c>
      <c r="F110" s="172">
        <v>0</v>
      </c>
      <c r="G110" s="172">
        <v>0</v>
      </c>
      <c r="H110" s="172">
        <v>0</v>
      </c>
      <c r="I110" s="38">
        <f t="shared" si="16"/>
        <v>0</v>
      </c>
      <c r="J110" s="172">
        <v>0</v>
      </c>
      <c r="K110" s="172">
        <v>0</v>
      </c>
      <c r="L110" s="172">
        <v>0</v>
      </c>
      <c r="M110" s="38">
        <f t="shared" si="17"/>
        <v>0</v>
      </c>
      <c r="N110" s="172">
        <v>0</v>
      </c>
      <c r="O110" s="172">
        <v>0</v>
      </c>
      <c r="P110" s="172">
        <v>0</v>
      </c>
      <c r="Q110" s="38">
        <f t="shared" si="18"/>
        <v>0</v>
      </c>
      <c r="R110" s="38">
        <f t="shared" si="19"/>
        <v>0</v>
      </c>
    </row>
    <row r="111" spans="1:18" ht="15.75" customHeight="1" x14ac:dyDescent="0.3">
      <c r="A111" s="422" t="s">
        <v>320</v>
      </c>
      <c r="B111" s="172">
        <v>0</v>
      </c>
      <c r="C111" s="172">
        <v>0</v>
      </c>
      <c r="D111" s="172">
        <v>0</v>
      </c>
      <c r="E111" s="38">
        <f t="shared" si="15"/>
        <v>0</v>
      </c>
      <c r="F111" s="172">
        <v>0</v>
      </c>
      <c r="G111" s="172">
        <v>0</v>
      </c>
      <c r="H111" s="172">
        <v>0</v>
      </c>
      <c r="I111" s="38">
        <f t="shared" si="16"/>
        <v>0</v>
      </c>
      <c r="J111" s="172">
        <v>5000</v>
      </c>
      <c r="K111" s="172">
        <v>0</v>
      </c>
      <c r="L111" s="172">
        <v>0</v>
      </c>
      <c r="M111" s="38">
        <f t="shared" si="17"/>
        <v>5000</v>
      </c>
      <c r="N111" s="172">
        <v>0</v>
      </c>
      <c r="O111" s="172">
        <v>0</v>
      </c>
      <c r="P111" s="172">
        <v>6154</v>
      </c>
      <c r="Q111" s="38">
        <f t="shared" si="18"/>
        <v>6154</v>
      </c>
      <c r="R111" s="38">
        <f t="shared" si="19"/>
        <v>11154</v>
      </c>
    </row>
    <row r="112" spans="1:18" ht="15.75" customHeight="1" x14ac:dyDescent="0.3">
      <c r="A112" s="422" t="s">
        <v>563</v>
      </c>
      <c r="B112" s="172">
        <v>0</v>
      </c>
      <c r="C112" s="172">
        <v>0</v>
      </c>
      <c r="D112" s="172">
        <v>0</v>
      </c>
      <c r="E112" s="38">
        <f t="shared" si="15"/>
        <v>0</v>
      </c>
      <c r="F112" s="172">
        <v>0</v>
      </c>
      <c r="G112" s="172">
        <v>0</v>
      </c>
      <c r="H112" s="172">
        <v>0</v>
      </c>
      <c r="I112" s="38">
        <f t="shared" si="16"/>
        <v>0</v>
      </c>
      <c r="J112" s="172">
        <v>0</v>
      </c>
      <c r="K112" s="172">
        <v>0</v>
      </c>
      <c r="L112" s="172">
        <v>0</v>
      </c>
      <c r="M112" s="38">
        <f t="shared" si="17"/>
        <v>0</v>
      </c>
      <c r="N112" s="172">
        <v>1994</v>
      </c>
      <c r="O112" s="172">
        <v>0</v>
      </c>
      <c r="P112" s="172">
        <v>6</v>
      </c>
      <c r="Q112" s="38">
        <f t="shared" si="18"/>
        <v>2000</v>
      </c>
      <c r="R112" s="38">
        <f t="shared" si="19"/>
        <v>2000</v>
      </c>
    </row>
    <row r="113" spans="1:18" ht="15.75" customHeight="1" x14ac:dyDescent="0.3">
      <c r="A113" s="422" t="s">
        <v>2123</v>
      </c>
      <c r="B113" s="172">
        <v>0</v>
      </c>
      <c r="C113" s="172">
        <v>0</v>
      </c>
      <c r="D113" s="172">
        <v>0</v>
      </c>
      <c r="E113" s="38">
        <f t="shared" si="15"/>
        <v>0</v>
      </c>
      <c r="F113" s="172">
        <v>0</v>
      </c>
      <c r="G113" s="172">
        <v>0</v>
      </c>
      <c r="H113" s="172">
        <v>0</v>
      </c>
      <c r="I113" s="38">
        <f t="shared" si="16"/>
        <v>0</v>
      </c>
      <c r="J113" s="172">
        <v>0</v>
      </c>
      <c r="K113" s="172">
        <v>0</v>
      </c>
      <c r="L113" s="172">
        <v>0</v>
      </c>
      <c r="M113" s="38">
        <f t="shared" si="17"/>
        <v>0</v>
      </c>
      <c r="N113" s="172">
        <v>0</v>
      </c>
      <c r="O113" s="172">
        <v>0</v>
      </c>
      <c r="P113" s="172">
        <v>0</v>
      </c>
      <c r="Q113" s="38">
        <f t="shared" si="18"/>
        <v>0</v>
      </c>
      <c r="R113" s="38">
        <f t="shared" si="19"/>
        <v>0</v>
      </c>
    </row>
    <row r="114" spans="1:18" ht="15.75" customHeight="1" x14ac:dyDescent="0.3">
      <c r="A114" s="422" t="s">
        <v>521</v>
      </c>
      <c r="B114" s="172">
        <v>0</v>
      </c>
      <c r="C114" s="172">
        <v>0</v>
      </c>
      <c r="D114" s="172">
        <v>0</v>
      </c>
      <c r="E114" s="38">
        <f t="shared" si="15"/>
        <v>0</v>
      </c>
      <c r="F114" s="172">
        <v>0</v>
      </c>
      <c r="G114" s="172">
        <v>0</v>
      </c>
      <c r="H114" s="172">
        <v>0</v>
      </c>
      <c r="I114" s="38">
        <f t="shared" si="16"/>
        <v>0</v>
      </c>
      <c r="J114" s="172">
        <v>0</v>
      </c>
      <c r="K114" s="172">
        <v>0</v>
      </c>
      <c r="L114" s="172">
        <v>0</v>
      </c>
      <c r="M114" s="38">
        <f t="shared" si="17"/>
        <v>0</v>
      </c>
      <c r="N114" s="172">
        <v>0</v>
      </c>
      <c r="O114" s="172">
        <v>0</v>
      </c>
      <c r="P114" s="172">
        <v>0</v>
      </c>
      <c r="Q114" s="38">
        <f t="shared" si="18"/>
        <v>0</v>
      </c>
      <c r="R114" s="38">
        <f t="shared" si="19"/>
        <v>0</v>
      </c>
    </row>
    <row r="115" spans="1:18" ht="15.75" customHeight="1" x14ac:dyDescent="0.3">
      <c r="A115" s="422" t="s">
        <v>217</v>
      </c>
      <c r="B115" s="172">
        <v>1731</v>
      </c>
      <c r="C115" s="172">
        <v>1797</v>
      </c>
      <c r="D115" s="172">
        <v>2046</v>
      </c>
      <c r="E115" s="38">
        <f>SUM(B115:D115)</f>
        <v>5574</v>
      </c>
      <c r="F115" s="172">
        <v>1990</v>
      </c>
      <c r="G115" s="172">
        <v>2020</v>
      </c>
      <c r="H115" s="172">
        <v>2640</v>
      </c>
      <c r="I115" s="38">
        <f>SUM(F115:H115)</f>
        <v>6650</v>
      </c>
      <c r="J115" s="172">
        <v>2780</v>
      </c>
      <c r="K115" s="172">
        <v>2600</v>
      </c>
      <c r="L115" s="172">
        <v>2536</v>
      </c>
      <c r="M115" s="38">
        <f>SUM(J115:L115)</f>
        <v>7916</v>
      </c>
      <c r="N115" s="172">
        <v>2538</v>
      </c>
      <c r="O115" s="172">
        <v>2322</v>
      </c>
      <c r="P115" s="172">
        <v>0</v>
      </c>
      <c r="Q115" s="38">
        <f>SUM(N115:P115)</f>
        <v>4860</v>
      </c>
      <c r="R115" s="38">
        <f>+E115+I115+M115+Q115</f>
        <v>25000</v>
      </c>
    </row>
    <row r="116" spans="1:18" ht="15.75" customHeight="1" x14ac:dyDescent="0.3">
      <c r="A116" s="235" t="s">
        <v>557</v>
      </c>
      <c r="B116" s="248"/>
      <c r="C116" s="248"/>
      <c r="D116" s="248"/>
      <c r="E116" s="38" t="s">
        <v>852</v>
      </c>
      <c r="F116" s="248"/>
      <c r="G116" s="248"/>
      <c r="H116" s="248"/>
      <c r="I116" s="38" t="s">
        <v>852</v>
      </c>
      <c r="J116" s="248"/>
      <c r="K116" s="248"/>
      <c r="L116" s="248"/>
      <c r="M116" s="38" t="s">
        <v>852</v>
      </c>
      <c r="N116" s="248"/>
      <c r="O116" s="248"/>
      <c r="P116" s="248"/>
      <c r="Q116" s="38" t="s">
        <v>852</v>
      </c>
      <c r="R116" s="38" t="s">
        <v>852</v>
      </c>
    </row>
    <row r="117" spans="1:18" ht="15.75" customHeight="1" x14ac:dyDescent="0.3">
      <c r="A117" s="422" t="s">
        <v>2556</v>
      </c>
      <c r="B117" s="172">
        <v>171</v>
      </c>
      <c r="C117" s="172">
        <v>6262</v>
      </c>
      <c r="D117" s="172">
        <v>12622</v>
      </c>
      <c r="E117" s="38">
        <f>SUM(B117:D117)</f>
        <v>19055</v>
      </c>
      <c r="F117" s="172">
        <v>3753</v>
      </c>
      <c r="G117" s="172">
        <v>1706</v>
      </c>
      <c r="H117" s="172">
        <v>14354</v>
      </c>
      <c r="I117" s="38">
        <f>SUM(F117:H117)</f>
        <v>19813</v>
      </c>
      <c r="J117" s="172">
        <v>12465</v>
      </c>
      <c r="K117" s="172">
        <v>2497</v>
      </c>
      <c r="L117" s="172">
        <v>0</v>
      </c>
      <c r="M117" s="38">
        <f>SUM(J117:L117)</f>
        <v>14962</v>
      </c>
      <c r="N117" s="172">
        <v>0</v>
      </c>
      <c r="O117" s="172">
        <v>0</v>
      </c>
      <c r="P117" s="172">
        <v>0</v>
      </c>
      <c r="Q117" s="38">
        <f>SUM(N117:P117)</f>
        <v>0</v>
      </c>
      <c r="R117" s="38">
        <f>+E117+I117+M117+Q117</f>
        <v>53830</v>
      </c>
    </row>
    <row r="118" spans="1:18" ht="15.75" customHeight="1" x14ac:dyDescent="0.3">
      <c r="A118" s="422" t="s">
        <v>2548</v>
      </c>
      <c r="B118" s="172">
        <v>0</v>
      </c>
      <c r="C118" s="172">
        <v>0</v>
      </c>
      <c r="D118" s="172">
        <v>0</v>
      </c>
      <c r="E118" s="38">
        <f>SUM(B118:D118)</f>
        <v>0</v>
      </c>
      <c r="F118" s="172">
        <v>0</v>
      </c>
      <c r="G118" s="172">
        <v>0</v>
      </c>
      <c r="H118" s="172">
        <v>0</v>
      </c>
      <c r="I118" s="38">
        <f>SUM(F118:H118)</f>
        <v>0</v>
      </c>
      <c r="J118" s="172">
        <v>0</v>
      </c>
      <c r="K118" s="172">
        <v>0</v>
      </c>
      <c r="L118" s="172">
        <v>0</v>
      </c>
      <c r="M118" s="38">
        <f>SUM(J118:L118)</f>
        <v>0</v>
      </c>
      <c r="N118" s="172">
        <v>0</v>
      </c>
      <c r="O118" s="172">
        <v>0</v>
      </c>
      <c r="P118" s="172">
        <v>0</v>
      </c>
      <c r="Q118" s="38">
        <f>SUM(N118:P118)</f>
        <v>0</v>
      </c>
      <c r="R118" s="38">
        <f>+E118+I118+M118+Q118</f>
        <v>0</v>
      </c>
    </row>
    <row r="119" spans="1:18" ht="15.75" customHeight="1" x14ac:dyDescent="0.3">
      <c r="A119" s="235" t="s">
        <v>1022</v>
      </c>
      <c r="B119" s="248"/>
      <c r="C119" s="248"/>
      <c r="D119" s="248"/>
      <c r="E119" s="38" t="s">
        <v>852</v>
      </c>
      <c r="F119" s="248"/>
      <c r="G119" s="248"/>
      <c r="H119" s="248"/>
      <c r="I119" s="38" t="s">
        <v>852</v>
      </c>
      <c r="J119" s="248"/>
      <c r="K119" s="248"/>
      <c r="L119" s="248"/>
      <c r="M119" s="38" t="s">
        <v>852</v>
      </c>
      <c r="N119" s="248"/>
      <c r="O119" s="248"/>
      <c r="P119" s="248"/>
      <c r="Q119" s="38" t="s">
        <v>852</v>
      </c>
      <c r="R119" s="38" t="s">
        <v>852</v>
      </c>
    </row>
    <row r="120" spans="1:18" ht="15.75" customHeight="1" x14ac:dyDescent="0.3">
      <c r="A120" s="422" t="s">
        <v>239</v>
      </c>
      <c r="B120" s="172">
        <v>0</v>
      </c>
      <c r="C120" s="172">
        <v>0</v>
      </c>
      <c r="D120" s="172">
        <v>0</v>
      </c>
      <c r="E120" s="38">
        <f>SUM(B120:D120)</f>
        <v>0</v>
      </c>
      <c r="F120" s="172">
        <v>0</v>
      </c>
      <c r="G120" s="172">
        <v>0</v>
      </c>
      <c r="H120" s="172">
        <v>0</v>
      </c>
      <c r="I120" s="38">
        <f>SUM(F120:H120)</f>
        <v>0</v>
      </c>
      <c r="J120" s="172">
        <v>1154</v>
      </c>
      <c r="K120" s="172">
        <v>2443</v>
      </c>
      <c r="L120" s="172">
        <v>1803</v>
      </c>
      <c r="M120" s="38">
        <f>SUM(J120:L120)</f>
        <v>5400</v>
      </c>
      <c r="N120" s="172">
        <v>1029</v>
      </c>
      <c r="O120" s="172">
        <v>333</v>
      </c>
      <c r="P120" s="172">
        <v>591</v>
      </c>
      <c r="Q120" s="38">
        <f>SUM(N120:P120)</f>
        <v>1953</v>
      </c>
      <c r="R120" s="38">
        <f>+E120+I120+M120+Q120</f>
        <v>7353</v>
      </c>
    </row>
    <row r="121" spans="1:18" ht="15.75" customHeight="1" thickBot="1" x14ac:dyDescent="0.35">
      <c r="A121" s="235" t="s">
        <v>559</v>
      </c>
      <c r="B121" s="248"/>
      <c r="C121" s="248"/>
      <c r="D121" s="248"/>
      <c r="E121" s="38" t="s">
        <v>852</v>
      </c>
      <c r="F121" s="248"/>
      <c r="G121" s="248"/>
      <c r="H121" s="248"/>
      <c r="I121" s="38" t="s">
        <v>852</v>
      </c>
      <c r="J121" s="248"/>
      <c r="K121" s="248"/>
      <c r="L121" s="248"/>
      <c r="M121" s="38" t="s">
        <v>852</v>
      </c>
      <c r="N121" s="248"/>
      <c r="O121" s="248"/>
      <c r="P121" s="248"/>
      <c r="Q121" s="38" t="s">
        <v>852</v>
      </c>
      <c r="R121" s="38" t="s">
        <v>852</v>
      </c>
    </row>
    <row r="122" spans="1:18" ht="16.5" customHeight="1" thickBot="1" x14ac:dyDescent="0.35">
      <c r="A122" s="43" t="s">
        <v>1019</v>
      </c>
      <c r="B122" s="42">
        <f>SUM(B121:B121)</f>
        <v>0</v>
      </c>
      <c r="C122" s="42">
        <f>SUM(C121:C121)</f>
        <v>0</v>
      </c>
      <c r="D122" s="42">
        <f>SUM(D121:D121)</f>
        <v>0</v>
      </c>
      <c r="E122" s="39">
        <f>SUM(B122:D122)</f>
        <v>0</v>
      </c>
      <c r="F122" s="42">
        <f>SUM(F121:F121)</f>
        <v>0</v>
      </c>
      <c r="G122" s="42">
        <f>SUM(G121:G121)</f>
        <v>0</v>
      </c>
      <c r="H122" s="42">
        <f>SUM(H121:H121)</f>
        <v>0</v>
      </c>
      <c r="I122" s="39">
        <f>SUM(F122:H122)</f>
        <v>0</v>
      </c>
      <c r="J122" s="42">
        <f>SUM(J121:J121)</f>
        <v>0</v>
      </c>
      <c r="K122" s="42">
        <f>SUM(K121:K121)</f>
        <v>0</v>
      </c>
      <c r="L122" s="42">
        <f>SUM(L121:L121)</f>
        <v>0</v>
      </c>
      <c r="M122" s="39">
        <f>SUM(J122:L122)</f>
        <v>0</v>
      </c>
      <c r="N122" s="42">
        <f>SUM(N121:N121)</f>
        <v>0</v>
      </c>
      <c r="O122" s="42">
        <f>SUM(O121:O121)</f>
        <v>0</v>
      </c>
      <c r="P122" s="42">
        <f>SUM(P121:P121)</f>
        <v>0</v>
      </c>
      <c r="Q122" s="39">
        <f>SUM(N122:P122)</f>
        <v>0</v>
      </c>
      <c r="R122" s="37">
        <f>+E122+I122+M122+Q122</f>
        <v>0</v>
      </c>
    </row>
    <row r="123" spans="1:18" ht="16.5" customHeight="1" thickBot="1" x14ac:dyDescent="0.35">
      <c r="A123" s="43" t="s">
        <v>1221</v>
      </c>
      <c r="B123" s="42">
        <f>SUM(B107:B121)</f>
        <v>1906</v>
      </c>
      <c r="C123" s="42">
        <f>SUM(C107:C121)</f>
        <v>8059</v>
      </c>
      <c r="D123" s="42">
        <f>SUM(D107:D121)</f>
        <v>14668</v>
      </c>
      <c r="E123" s="39">
        <f>SUM(B123:D123)</f>
        <v>24633</v>
      </c>
      <c r="F123" s="42">
        <f>SUM(F107:F121)</f>
        <v>5743</v>
      </c>
      <c r="G123" s="42">
        <f>SUM(G107:G121)</f>
        <v>3726</v>
      </c>
      <c r="H123" s="42">
        <f>SUM(H107:H121)</f>
        <v>16994</v>
      </c>
      <c r="I123" s="39">
        <f>SUM(F123:H123)</f>
        <v>26463</v>
      </c>
      <c r="J123" s="42">
        <f>SUM(J107:J121)</f>
        <v>21399</v>
      </c>
      <c r="K123" s="42">
        <f>SUM(K107:K121)</f>
        <v>7540</v>
      </c>
      <c r="L123" s="42">
        <f>SUM(L107:L121)</f>
        <v>4339</v>
      </c>
      <c r="M123" s="39">
        <f>SUM(J123:L123)</f>
        <v>33278</v>
      </c>
      <c r="N123" s="42">
        <f>SUM(N107:N121)</f>
        <v>5561</v>
      </c>
      <c r="O123" s="42">
        <f>SUM(O107:O121)</f>
        <v>2655</v>
      </c>
      <c r="P123" s="42">
        <f>SUM(P107:P121)</f>
        <v>6751</v>
      </c>
      <c r="Q123" s="39">
        <f>SUM(N123:P123)</f>
        <v>14967</v>
      </c>
      <c r="R123" s="37">
        <f>+E123+I123+M123+Q123</f>
        <v>99341</v>
      </c>
    </row>
    <row r="124" spans="1:18" ht="16.5" customHeight="1" thickBot="1" x14ac:dyDescent="0.35">
      <c r="A124" s="43" t="s">
        <v>1222</v>
      </c>
      <c r="B124" s="42">
        <f>+B88+B95+B106+B123</f>
        <v>2918</v>
      </c>
      <c r="C124" s="42">
        <f>+C88+C95+C106+C123</f>
        <v>9718</v>
      </c>
      <c r="D124" s="42">
        <f>+D88+D95+D106+D123</f>
        <v>22986</v>
      </c>
      <c r="E124" s="37">
        <f>SUM(B124:D124)</f>
        <v>35622</v>
      </c>
      <c r="F124" s="42">
        <f>+F88+F95+F106+F123</f>
        <v>12838</v>
      </c>
      <c r="G124" s="42">
        <f>+G88+G95+G106+G123</f>
        <v>12146</v>
      </c>
      <c r="H124" s="42">
        <f>+H88+H95+H106+H123</f>
        <v>26806</v>
      </c>
      <c r="I124" s="37">
        <f>SUM(F124:H124)</f>
        <v>51790</v>
      </c>
      <c r="J124" s="42">
        <f>+J88+J95+J106+J123</f>
        <v>29891</v>
      </c>
      <c r="K124" s="42">
        <f>+K88+K95+K106+K123</f>
        <v>15231</v>
      </c>
      <c r="L124" s="42">
        <f>+L88+L95+L106+L123</f>
        <v>7912</v>
      </c>
      <c r="M124" s="37">
        <f>SUM(J124:L124)</f>
        <v>53034</v>
      </c>
      <c r="N124" s="42">
        <f>+N88+N95+N106+N123</f>
        <v>6224</v>
      </c>
      <c r="O124" s="42">
        <f>+O88+O95+O106+O123</f>
        <v>2957</v>
      </c>
      <c r="P124" s="42">
        <f>+P88+P95+P106+P123</f>
        <v>8720</v>
      </c>
      <c r="Q124" s="37">
        <f>SUM(N124:P124)</f>
        <v>17901</v>
      </c>
      <c r="R124" s="37">
        <f>+E124+I124+M124+Q124</f>
        <v>158347</v>
      </c>
    </row>
    <row r="125" spans="1:18" ht="16.5" customHeight="1" thickBot="1" x14ac:dyDescent="0.35">
      <c r="A125" s="257" t="s">
        <v>853</v>
      </c>
      <c r="B125" s="238">
        <v>173</v>
      </c>
      <c r="C125" s="238">
        <v>260</v>
      </c>
      <c r="D125" s="238">
        <v>471</v>
      </c>
      <c r="E125" s="38">
        <f>SUM(B125:D125)</f>
        <v>904</v>
      </c>
      <c r="F125" s="238">
        <v>629</v>
      </c>
      <c r="G125" s="238">
        <v>725</v>
      </c>
      <c r="H125" s="238">
        <v>712</v>
      </c>
      <c r="I125" s="38">
        <f>SUM(F125:H125)</f>
        <v>2066</v>
      </c>
      <c r="J125" s="238">
        <v>711</v>
      </c>
      <c r="K125" s="238">
        <v>573</v>
      </c>
      <c r="L125" s="238">
        <v>542</v>
      </c>
      <c r="M125" s="38">
        <f>SUM(J125:L125)</f>
        <v>1826</v>
      </c>
      <c r="N125" s="238">
        <v>490</v>
      </c>
      <c r="O125" s="238">
        <v>407</v>
      </c>
      <c r="P125" s="238">
        <v>323</v>
      </c>
      <c r="Q125" s="38">
        <f>SUM(N125:P125)</f>
        <v>1220</v>
      </c>
      <c r="R125" s="38">
        <f>+E125+I125+M125+Q125</f>
        <v>6016</v>
      </c>
    </row>
    <row r="126" spans="1:18" ht="16.5" customHeight="1" thickBot="1" x14ac:dyDescent="0.35">
      <c r="A126" s="44"/>
      <c r="B126" s="258"/>
      <c r="C126" s="258"/>
      <c r="D126" s="258"/>
      <c r="E126" s="37" t="s">
        <v>852</v>
      </c>
      <c r="F126" s="258"/>
      <c r="G126" s="258"/>
      <c r="H126" s="258"/>
      <c r="I126" s="37" t="s">
        <v>852</v>
      </c>
      <c r="J126" s="258"/>
      <c r="K126" s="258"/>
      <c r="L126" s="258"/>
      <c r="M126" s="37" t="s">
        <v>852</v>
      </c>
      <c r="N126" s="258"/>
      <c r="O126" s="258"/>
      <c r="P126" s="258"/>
      <c r="Q126" s="37" t="s">
        <v>852</v>
      </c>
      <c r="R126" s="37" t="s">
        <v>852</v>
      </c>
    </row>
    <row r="127" spans="1:18" ht="15.75" customHeight="1" x14ac:dyDescent="0.3">
      <c r="A127" s="259" t="s">
        <v>2011</v>
      </c>
      <c r="B127" s="260">
        <f>+B124+B125</f>
        <v>3091</v>
      </c>
      <c r="C127" s="260">
        <f>+C124+C125</f>
        <v>9978</v>
      </c>
      <c r="D127" s="260">
        <f>+D124+D125</f>
        <v>23457</v>
      </c>
      <c r="E127" s="38">
        <f>SUM(B127:D127)</f>
        <v>36526</v>
      </c>
      <c r="F127" s="260">
        <f>+F124+F125</f>
        <v>13467</v>
      </c>
      <c r="G127" s="260">
        <f>+G124+G125</f>
        <v>12871</v>
      </c>
      <c r="H127" s="260">
        <f>+H124+H125</f>
        <v>27518</v>
      </c>
      <c r="I127" s="38">
        <f>SUM(F127:H127)</f>
        <v>53856</v>
      </c>
      <c r="J127" s="260">
        <f>+J124+J125</f>
        <v>30602</v>
      </c>
      <c r="K127" s="260">
        <f>+K124+K125</f>
        <v>15804</v>
      </c>
      <c r="L127" s="260">
        <f>+L124+L125</f>
        <v>8454</v>
      </c>
      <c r="M127" s="38">
        <f>SUM(J127:L127)</f>
        <v>54860</v>
      </c>
      <c r="N127" s="260">
        <f>+N124+N125</f>
        <v>6714</v>
      </c>
      <c r="O127" s="260">
        <f>+O124+O125</f>
        <v>3364</v>
      </c>
      <c r="P127" s="260">
        <f>+P124+P125</f>
        <v>9043</v>
      </c>
      <c r="Q127" s="38">
        <f>SUM(N127:P127)</f>
        <v>19121</v>
      </c>
      <c r="R127" s="38">
        <f>+E127+I127+M127+Q127</f>
        <v>164363</v>
      </c>
    </row>
    <row r="128" spans="1:18" ht="15.75" customHeight="1" x14ac:dyDescent="0.3">
      <c r="A128" s="261" t="s">
        <v>1897</v>
      </c>
      <c r="B128" s="172">
        <f>(B127/31)/1.983</f>
        <v>50.282237730385695</v>
      </c>
      <c r="C128" s="172">
        <f>(C127/28)/1.983</f>
        <v>179.70607304949209</v>
      </c>
      <c r="D128" s="172">
        <f>(D127/31)/1.983</f>
        <v>381.58215802059436</v>
      </c>
      <c r="E128" s="38" t="s">
        <v>852</v>
      </c>
      <c r="F128" s="172">
        <f>(F127/30)/1.983</f>
        <v>226.3741805345436</v>
      </c>
      <c r="G128" s="172">
        <f>(G127/31)/1.983</f>
        <v>209.37647422445625</v>
      </c>
      <c r="H128" s="172">
        <f>(H127/30)/1.983</f>
        <v>462.5651369978147</v>
      </c>
      <c r="I128" s="38" t="s">
        <v>852</v>
      </c>
      <c r="J128" s="172">
        <f>(J127/31)/1.983</f>
        <v>497.81204756559788</v>
      </c>
      <c r="K128" s="172">
        <f>(K127/31)/1.983</f>
        <v>257.0884778683324</v>
      </c>
      <c r="L128" s="172">
        <f>(L127/30)/1.983</f>
        <v>142.1079172970247</v>
      </c>
      <c r="M128" s="38" t="s">
        <v>852</v>
      </c>
      <c r="N128" s="172">
        <f>(N127/31)/1.983</f>
        <v>109.21868137230979</v>
      </c>
      <c r="O128" s="172">
        <f>(O127/30)/1.983</f>
        <v>56.547318877122208</v>
      </c>
      <c r="P128" s="172">
        <f>(P127/31)/1.983</f>
        <v>147.10523319180777</v>
      </c>
      <c r="Q128" s="38" t="s">
        <v>852</v>
      </c>
      <c r="R128" s="38" t="s">
        <v>852</v>
      </c>
    </row>
    <row r="129" spans="1:18" ht="15.75" customHeight="1" x14ac:dyDescent="0.3">
      <c r="A129" s="262" t="s">
        <v>1679</v>
      </c>
      <c r="B129" s="172">
        <f>B127+B250</f>
        <v>89787</v>
      </c>
      <c r="C129" s="172">
        <f>C127+C250</f>
        <v>133503</v>
      </c>
      <c r="D129" s="172">
        <f>D127+D250</f>
        <v>185222</v>
      </c>
      <c r="E129" s="38">
        <f>SUM(B129:D129)</f>
        <v>408512</v>
      </c>
      <c r="F129" s="172">
        <f>F127+F250</f>
        <v>179828</v>
      </c>
      <c r="G129" s="172">
        <f>G127+G250</f>
        <v>166256</v>
      </c>
      <c r="H129" s="172">
        <f>H127+H250</f>
        <v>154464</v>
      </c>
      <c r="I129" s="38">
        <f>SUM(F129:H129)</f>
        <v>500548</v>
      </c>
      <c r="J129" s="172">
        <f>J127+J250</f>
        <v>78511</v>
      </c>
      <c r="K129" s="172">
        <f>K127+K250</f>
        <v>60690</v>
      </c>
      <c r="L129" s="172">
        <f>L127+L250</f>
        <v>102319</v>
      </c>
      <c r="M129" s="38">
        <f>SUM(J129:L129)</f>
        <v>241520</v>
      </c>
      <c r="N129" s="172">
        <f>N127+N250</f>
        <v>147875</v>
      </c>
      <c r="O129" s="172">
        <f>O127+O250</f>
        <v>175170</v>
      </c>
      <c r="P129" s="172">
        <f>P127+P250</f>
        <v>149883</v>
      </c>
      <c r="Q129" s="38">
        <f>SUM(N129:P129)</f>
        <v>472928</v>
      </c>
      <c r="R129" s="38">
        <f>+E129+I129+M129+Q129</f>
        <v>1623508</v>
      </c>
    </row>
    <row r="130" spans="1:18" ht="16.5" customHeight="1" thickBot="1" x14ac:dyDescent="0.35">
      <c r="A130" s="263" t="s">
        <v>6</v>
      </c>
      <c r="B130" s="264">
        <f>(B129/31)/1.983</f>
        <v>1460.5924552242448</v>
      </c>
      <c r="C130" s="264">
        <f>(C129/28)/1.983</f>
        <v>2404.4197103955044</v>
      </c>
      <c r="D130" s="264">
        <f>(D129/31)/1.983</f>
        <v>3013.0626453890327</v>
      </c>
      <c r="E130" s="40" t="s">
        <v>852</v>
      </c>
      <c r="F130" s="264">
        <f>(F129/30)/1.983</f>
        <v>3022.827365943856</v>
      </c>
      <c r="G130" s="264">
        <f>(G129/31)/1.983</f>
        <v>2704.5369511818194</v>
      </c>
      <c r="H130" s="264">
        <f>(H129/30)/1.983</f>
        <v>2596.4699949571354</v>
      </c>
      <c r="I130" s="40" t="s">
        <v>852</v>
      </c>
      <c r="J130" s="264">
        <f>(J129/31)/1.983</f>
        <v>1277.1623314300587</v>
      </c>
      <c r="K130" s="264">
        <f>(K129/31)/1.983</f>
        <v>987.26270069786733</v>
      </c>
      <c r="L130" s="264">
        <f>(L129/30)/1.983</f>
        <v>1719.9361237182718</v>
      </c>
      <c r="M130" s="40" t="s">
        <v>852</v>
      </c>
      <c r="N130" s="264">
        <f>(N129/31)/1.983</f>
        <v>2405.5276300164296</v>
      </c>
      <c r="O130" s="264">
        <f>(O129/30)/1.983</f>
        <v>2944.52849218356</v>
      </c>
      <c r="P130" s="264">
        <f>(P129/31)/1.983</f>
        <v>2438.1923771411839</v>
      </c>
      <c r="Q130" s="40" t="s">
        <v>852</v>
      </c>
      <c r="R130" s="40" t="s">
        <v>852</v>
      </c>
    </row>
    <row r="131" spans="1:18" ht="15.75" customHeight="1" x14ac:dyDescent="0.3">
      <c r="A131" s="18"/>
      <c r="B131" s="172"/>
      <c r="C131" s="172"/>
      <c r="D131" s="172"/>
      <c r="E131" s="172"/>
      <c r="F131" s="172"/>
      <c r="G131" s="172"/>
      <c r="H131" s="172"/>
      <c r="I131" s="172"/>
      <c r="J131" s="172"/>
      <c r="K131" s="172"/>
      <c r="L131" s="172"/>
      <c r="M131" s="172"/>
      <c r="N131" s="172"/>
      <c r="O131" s="172"/>
      <c r="P131" s="172"/>
      <c r="Q131" s="172"/>
      <c r="R131" s="17"/>
    </row>
    <row r="132" spans="1:18" ht="15.75" customHeight="1" thickBot="1" x14ac:dyDescent="0.35">
      <c r="A132" s="18" t="s">
        <v>852</v>
      </c>
      <c r="B132" s="172"/>
      <c r="C132" s="172"/>
      <c r="D132" s="172"/>
      <c r="E132" s="172"/>
      <c r="F132" s="172"/>
      <c r="G132" s="172"/>
      <c r="H132" s="172"/>
      <c r="I132" s="172"/>
      <c r="J132" s="172"/>
      <c r="K132" s="172"/>
      <c r="L132" s="172"/>
      <c r="M132" s="172"/>
      <c r="N132" s="172"/>
      <c r="O132" s="172"/>
      <c r="P132" s="172"/>
      <c r="Q132" s="172"/>
      <c r="R132" s="17"/>
    </row>
    <row r="133" spans="1:18" ht="16.5" customHeight="1" thickBot="1" x14ac:dyDescent="0.35">
      <c r="A133" s="240" t="s">
        <v>1446</v>
      </c>
      <c r="B133" s="4" t="s">
        <v>2090</v>
      </c>
      <c r="C133" s="5" t="s">
        <v>2091</v>
      </c>
      <c r="D133" s="5" t="s">
        <v>2234</v>
      </c>
      <c r="E133" s="33" t="s">
        <v>1594</v>
      </c>
      <c r="F133" s="5" t="s">
        <v>2235</v>
      </c>
      <c r="G133" s="5" t="s">
        <v>2236</v>
      </c>
      <c r="H133" s="5" t="s">
        <v>2237</v>
      </c>
      <c r="I133" s="35" t="s">
        <v>1595</v>
      </c>
      <c r="J133" s="5" t="s">
        <v>1504</v>
      </c>
      <c r="K133" s="5" t="s">
        <v>1505</v>
      </c>
      <c r="L133" s="5" t="s">
        <v>1506</v>
      </c>
      <c r="M133" s="35" t="s">
        <v>1596</v>
      </c>
      <c r="N133" s="5" t="s">
        <v>1507</v>
      </c>
      <c r="O133" s="5" t="s">
        <v>1508</v>
      </c>
      <c r="P133" s="5" t="s">
        <v>1509</v>
      </c>
      <c r="Q133" s="35" t="s">
        <v>1597</v>
      </c>
      <c r="R133" s="36" t="s">
        <v>1510</v>
      </c>
    </row>
    <row r="134" spans="1:18" ht="16.5" customHeight="1" thickBot="1" x14ac:dyDescent="0.35">
      <c r="A134" s="44"/>
      <c r="B134" s="258"/>
      <c r="C134" s="258"/>
      <c r="D134" s="258"/>
      <c r="E134" s="265"/>
      <c r="F134" s="258"/>
      <c r="G134" s="258"/>
      <c r="H134" s="258"/>
      <c r="I134" s="265"/>
      <c r="J134" s="258"/>
      <c r="K134" s="258"/>
      <c r="L134" s="258"/>
      <c r="M134" s="265"/>
      <c r="N134" s="258"/>
      <c r="O134" s="258"/>
      <c r="P134" s="258"/>
      <c r="Q134" s="265"/>
      <c r="R134" s="44"/>
    </row>
    <row r="135" spans="1:18" ht="15.75" customHeight="1" x14ac:dyDescent="0.3">
      <c r="A135" s="234" t="s">
        <v>2417</v>
      </c>
      <c r="B135" s="172" t="s">
        <v>852</v>
      </c>
      <c r="C135" s="172" t="s">
        <v>852</v>
      </c>
      <c r="D135" s="172" t="s">
        <v>852</v>
      </c>
      <c r="E135" s="38" t="s">
        <v>852</v>
      </c>
      <c r="F135" s="172" t="s">
        <v>852</v>
      </c>
      <c r="G135" s="172" t="s">
        <v>852</v>
      </c>
      <c r="H135" s="172" t="s">
        <v>852</v>
      </c>
      <c r="I135" s="38" t="s">
        <v>852</v>
      </c>
      <c r="J135" s="172" t="s">
        <v>852</v>
      </c>
      <c r="K135" s="172" t="s">
        <v>852</v>
      </c>
      <c r="L135" s="172" t="s">
        <v>852</v>
      </c>
      <c r="M135" s="38" t="s">
        <v>852</v>
      </c>
      <c r="N135" s="172" t="s">
        <v>852</v>
      </c>
      <c r="O135" s="172" t="s">
        <v>852</v>
      </c>
      <c r="P135" s="172" t="s">
        <v>852</v>
      </c>
      <c r="Q135" s="38" t="s">
        <v>852</v>
      </c>
      <c r="R135" s="48" t="s">
        <v>852</v>
      </c>
    </row>
    <row r="136" spans="1:18" ht="15.75" customHeight="1" x14ac:dyDescent="0.3">
      <c r="A136" s="234" t="s">
        <v>2160</v>
      </c>
      <c r="B136" s="172"/>
      <c r="C136" s="172"/>
      <c r="D136" s="172"/>
      <c r="E136" s="38" t="s">
        <v>852</v>
      </c>
      <c r="F136" s="172"/>
      <c r="G136" s="172"/>
      <c r="H136" s="172"/>
      <c r="I136" s="38" t="s">
        <v>852</v>
      </c>
      <c r="J136" s="172"/>
      <c r="K136" s="172"/>
      <c r="L136" s="172"/>
      <c r="M136" s="38" t="s">
        <v>852</v>
      </c>
      <c r="N136" s="172"/>
      <c r="O136" s="172"/>
      <c r="P136" s="172"/>
      <c r="Q136" s="38" t="s">
        <v>852</v>
      </c>
      <c r="R136" s="48"/>
    </row>
    <row r="137" spans="1:18" ht="15.75" customHeight="1" x14ac:dyDescent="0.3">
      <c r="A137" s="569" t="s">
        <v>328</v>
      </c>
      <c r="B137" s="172">
        <v>0</v>
      </c>
      <c r="C137" s="172">
        <v>0</v>
      </c>
      <c r="D137" s="172">
        <v>175</v>
      </c>
      <c r="E137" s="38">
        <f>SUM(B137:D137)</f>
        <v>175</v>
      </c>
      <c r="F137" s="172">
        <v>669</v>
      </c>
      <c r="G137" s="172">
        <v>669</v>
      </c>
      <c r="H137" s="172">
        <v>669</v>
      </c>
      <c r="I137" s="38">
        <f>SUM(F137:H137)</f>
        <v>2007</v>
      </c>
      <c r="J137" s="172">
        <v>669</v>
      </c>
      <c r="K137" s="172">
        <v>669</v>
      </c>
      <c r="L137" s="172">
        <v>669</v>
      </c>
      <c r="M137" s="38">
        <f>SUM(J137:L137)</f>
        <v>2007</v>
      </c>
      <c r="N137" s="172">
        <v>0</v>
      </c>
      <c r="O137" s="172">
        <v>0</v>
      </c>
      <c r="P137" s="172">
        <v>0</v>
      </c>
      <c r="Q137" s="38">
        <f>SUM(N137:P137)</f>
        <v>0</v>
      </c>
      <c r="R137" s="38">
        <f>+E137+I137+M137+Q137</f>
        <v>4189</v>
      </c>
    </row>
    <row r="138" spans="1:18" ht="15.75" customHeight="1" x14ac:dyDescent="0.3">
      <c r="A138" s="569" t="s">
        <v>2440</v>
      </c>
      <c r="B138" s="172">
        <v>0</v>
      </c>
      <c r="C138" s="172">
        <v>0</v>
      </c>
      <c r="D138" s="172">
        <v>668</v>
      </c>
      <c r="E138" s="38">
        <f>SUM(B138:D138)</f>
        <v>668</v>
      </c>
      <c r="F138" s="172">
        <v>977</v>
      </c>
      <c r="G138" s="172">
        <v>1057</v>
      </c>
      <c r="H138" s="172">
        <v>1471</v>
      </c>
      <c r="I138" s="38">
        <f>SUM(F138:H138)</f>
        <v>3505</v>
      </c>
      <c r="J138" s="172">
        <v>1091</v>
      </c>
      <c r="K138" s="172">
        <v>906</v>
      </c>
      <c r="L138" s="172">
        <v>668</v>
      </c>
      <c r="M138" s="38">
        <f>SUM(J138:L138)</f>
        <v>2665</v>
      </c>
      <c r="N138" s="172">
        <v>980</v>
      </c>
      <c r="O138" s="172">
        <v>835</v>
      </c>
      <c r="P138" s="172">
        <v>282</v>
      </c>
      <c r="Q138" s="38">
        <f>SUM(N138:P138)</f>
        <v>2097</v>
      </c>
      <c r="R138" s="38">
        <f>+E138+I138+M138+Q138</f>
        <v>8935</v>
      </c>
    </row>
    <row r="139" spans="1:18" ht="15.75" customHeight="1" x14ac:dyDescent="0.3">
      <c r="A139" s="569" t="s">
        <v>2414</v>
      </c>
      <c r="B139" s="172">
        <v>0</v>
      </c>
      <c r="C139" s="172">
        <v>0</v>
      </c>
      <c r="D139" s="172">
        <v>174</v>
      </c>
      <c r="E139" s="38">
        <f>SUM(B139:D139)</f>
        <v>174</v>
      </c>
      <c r="F139" s="172">
        <v>366</v>
      </c>
      <c r="G139" s="172">
        <v>366</v>
      </c>
      <c r="H139" s="172">
        <v>367</v>
      </c>
      <c r="I139" s="38">
        <f>SUM(F139:H139)</f>
        <v>1099</v>
      </c>
      <c r="J139" s="172">
        <v>367</v>
      </c>
      <c r="K139" s="172">
        <v>366</v>
      </c>
      <c r="L139" s="172">
        <v>366</v>
      </c>
      <c r="M139" s="38">
        <f>SUM(J139:L139)</f>
        <v>1099</v>
      </c>
      <c r="N139" s="172">
        <v>0</v>
      </c>
      <c r="O139" s="172">
        <v>0</v>
      </c>
      <c r="P139" s="172">
        <v>0</v>
      </c>
      <c r="Q139" s="38">
        <f>SUM(N139:P139)</f>
        <v>0</v>
      </c>
      <c r="R139" s="38">
        <f>+E139+I139+M139+Q139</f>
        <v>2372</v>
      </c>
    </row>
    <row r="140" spans="1:18" ht="15.75" customHeight="1" x14ac:dyDescent="0.3">
      <c r="A140" s="569" t="s">
        <v>2441</v>
      </c>
      <c r="B140" s="172">
        <v>0</v>
      </c>
      <c r="C140" s="172">
        <v>0</v>
      </c>
      <c r="D140" s="172">
        <v>294</v>
      </c>
      <c r="E140" s="38">
        <f>SUM(B140:D140)</f>
        <v>294</v>
      </c>
      <c r="F140" s="172">
        <v>309</v>
      </c>
      <c r="G140" s="172">
        <v>309</v>
      </c>
      <c r="H140" s="172">
        <v>309</v>
      </c>
      <c r="I140" s="38">
        <f>SUM(F140:H140)</f>
        <v>927</v>
      </c>
      <c r="J140" s="172">
        <v>310</v>
      </c>
      <c r="K140" s="172">
        <v>309</v>
      </c>
      <c r="L140" s="172">
        <v>309</v>
      </c>
      <c r="M140" s="38">
        <f>SUM(J140:L140)</f>
        <v>928</v>
      </c>
      <c r="N140" s="172">
        <v>851</v>
      </c>
      <c r="O140" s="172">
        <v>0</v>
      </c>
      <c r="P140" s="172">
        <v>0</v>
      </c>
      <c r="Q140" s="38">
        <f>SUM(N140:P140)</f>
        <v>851</v>
      </c>
      <c r="R140" s="38">
        <f>+E140+I140+M140+Q140</f>
        <v>3000</v>
      </c>
    </row>
    <row r="141" spans="1:18" ht="15.75" customHeight="1" x14ac:dyDescent="0.3">
      <c r="A141" s="539" t="s">
        <v>2238</v>
      </c>
      <c r="B141" s="10">
        <v>0</v>
      </c>
      <c r="C141" s="10">
        <v>0</v>
      </c>
      <c r="D141" s="10">
        <v>0</v>
      </c>
      <c r="E141" s="38">
        <f>SUM(B141:D141)</f>
        <v>0</v>
      </c>
      <c r="F141" s="10">
        <v>0</v>
      </c>
      <c r="G141" s="10">
        <v>0</v>
      </c>
      <c r="H141" s="10">
        <v>0</v>
      </c>
      <c r="I141" s="38">
        <f>SUM(F141:H141)</f>
        <v>0</v>
      </c>
      <c r="J141" s="10">
        <v>0</v>
      </c>
      <c r="K141" s="10">
        <v>0</v>
      </c>
      <c r="L141" s="10">
        <v>0</v>
      </c>
      <c r="M141" s="38">
        <f>SUM(J141:L141)</f>
        <v>0</v>
      </c>
      <c r="N141" s="10">
        <v>0</v>
      </c>
      <c r="O141" s="10">
        <v>0</v>
      </c>
      <c r="P141" s="10">
        <v>0</v>
      </c>
      <c r="Q141" s="38">
        <f>SUM(N141:P141)</f>
        <v>0</v>
      </c>
      <c r="R141" s="38">
        <f>+E141+I141+M141+Q141</f>
        <v>0</v>
      </c>
    </row>
    <row r="142" spans="1:18" ht="15.75" customHeight="1" x14ac:dyDescent="0.3">
      <c r="A142" s="569" t="s">
        <v>1911</v>
      </c>
      <c r="B142" s="172">
        <v>693</v>
      </c>
      <c r="C142" s="172">
        <v>900</v>
      </c>
      <c r="D142" s="172">
        <v>900</v>
      </c>
      <c r="E142" s="38">
        <f t="shared" ref="E142:E157" si="20">SUM(B142:D142)</f>
        <v>2493</v>
      </c>
      <c r="F142" s="172">
        <v>500</v>
      </c>
      <c r="G142" s="172">
        <v>500</v>
      </c>
      <c r="H142" s="172">
        <v>1891</v>
      </c>
      <c r="I142" s="38">
        <f t="shared" ref="I142:I157" si="21">SUM(F142:H142)</f>
        <v>2891</v>
      </c>
      <c r="J142" s="172">
        <v>32</v>
      </c>
      <c r="K142" s="172">
        <v>0</v>
      </c>
      <c r="L142" s="172">
        <v>0</v>
      </c>
      <c r="M142" s="38">
        <f t="shared" ref="M142:M157" si="22">SUM(J142:L142)</f>
        <v>32</v>
      </c>
      <c r="N142" s="172">
        <v>0</v>
      </c>
      <c r="O142" s="172">
        <v>0</v>
      </c>
      <c r="P142" s="172">
        <v>0</v>
      </c>
      <c r="Q142" s="38">
        <f t="shared" ref="Q142:Q157" si="23">SUM(N142:P142)</f>
        <v>0</v>
      </c>
      <c r="R142" s="38">
        <f t="shared" ref="R142:R157" si="24">+E142+I142+M142+Q142</f>
        <v>5416</v>
      </c>
    </row>
    <row r="143" spans="1:18" ht="15.75" customHeight="1" x14ac:dyDescent="0.3">
      <c r="A143" s="569" t="s">
        <v>748</v>
      </c>
      <c r="B143" s="172">
        <v>0</v>
      </c>
      <c r="C143" s="172">
        <v>0</v>
      </c>
      <c r="D143" s="172">
        <v>0</v>
      </c>
      <c r="E143" s="38">
        <f t="shared" si="20"/>
        <v>0</v>
      </c>
      <c r="F143" s="172">
        <v>0</v>
      </c>
      <c r="G143" s="172">
        <v>1000</v>
      </c>
      <c r="H143" s="172">
        <v>930</v>
      </c>
      <c r="I143" s="38">
        <f t="shared" si="21"/>
        <v>1930</v>
      </c>
      <c r="J143" s="172">
        <v>0</v>
      </c>
      <c r="K143" s="172">
        <v>800</v>
      </c>
      <c r="L143" s="172">
        <v>461</v>
      </c>
      <c r="M143" s="38">
        <f t="shared" si="22"/>
        <v>1261</v>
      </c>
      <c r="N143" s="172">
        <v>305</v>
      </c>
      <c r="O143" s="172">
        <v>650</v>
      </c>
      <c r="P143" s="172">
        <f>850+412</f>
        <v>1262</v>
      </c>
      <c r="Q143" s="38">
        <f t="shared" si="23"/>
        <v>2217</v>
      </c>
      <c r="R143" s="38">
        <f t="shared" si="24"/>
        <v>5408</v>
      </c>
    </row>
    <row r="144" spans="1:18" ht="15.75" customHeight="1" x14ac:dyDescent="0.3">
      <c r="A144" s="539" t="s">
        <v>1880</v>
      </c>
      <c r="B144" s="172">
        <v>15</v>
      </c>
      <c r="C144" s="172">
        <v>28</v>
      </c>
      <c r="D144" s="172">
        <v>35</v>
      </c>
      <c r="E144" s="38">
        <f t="shared" si="20"/>
        <v>78</v>
      </c>
      <c r="F144" s="172">
        <v>38</v>
      </c>
      <c r="G144" s="172">
        <v>48</v>
      </c>
      <c r="H144" s="172">
        <v>44</v>
      </c>
      <c r="I144" s="38">
        <f t="shared" si="21"/>
        <v>130</v>
      </c>
      <c r="J144" s="172">
        <v>67</v>
      </c>
      <c r="K144" s="172">
        <v>74</v>
      </c>
      <c r="L144" s="172">
        <v>37</v>
      </c>
      <c r="M144" s="38">
        <f t="shared" si="22"/>
        <v>178</v>
      </c>
      <c r="N144" s="172">
        <v>40</v>
      </c>
      <c r="O144" s="172">
        <v>31</v>
      </c>
      <c r="P144" s="172">
        <v>22</v>
      </c>
      <c r="Q144" s="38">
        <f t="shared" si="23"/>
        <v>93</v>
      </c>
      <c r="R144" s="38">
        <f t="shared" si="24"/>
        <v>479</v>
      </c>
    </row>
    <row r="145" spans="1:19" ht="15.75" customHeight="1" x14ac:dyDescent="0.3">
      <c r="A145" s="539" t="s">
        <v>703</v>
      </c>
      <c r="B145" s="10">
        <v>149</v>
      </c>
      <c r="C145" s="10">
        <v>131</v>
      </c>
      <c r="D145" s="10">
        <v>144</v>
      </c>
      <c r="E145" s="38">
        <f t="shared" si="20"/>
        <v>424</v>
      </c>
      <c r="F145" s="10">
        <v>155</v>
      </c>
      <c r="G145" s="10">
        <v>182</v>
      </c>
      <c r="H145" s="10">
        <v>193</v>
      </c>
      <c r="I145" s="38">
        <f t="shared" si="21"/>
        <v>530</v>
      </c>
      <c r="J145" s="10">
        <v>205</v>
      </c>
      <c r="K145" s="10">
        <v>194</v>
      </c>
      <c r="L145" s="10">
        <v>195</v>
      </c>
      <c r="M145" s="38">
        <f t="shared" si="22"/>
        <v>594</v>
      </c>
      <c r="N145" s="10">
        <v>190</v>
      </c>
      <c r="O145" s="10">
        <v>150</v>
      </c>
      <c r="P145" s="10">
        <v>134</v>
      </c>
      <c r="Q145" s="38">
        <f t="shared" si="23"/>
        <v>474</v>
      </c>
      <c r="R145" s="38">
        <f t="shared" si="24"/>
        <v>2022</v>
      </c>
    </row>
    <row r="146" spans="1:19" ht="15.75" customHeight="1" x14ac:dyDescent="0.3">
      <c r="A146" s="539" t="s">
        <v>2304</v>
      </c>
      <c r="B146" s="172">
        <v>0</v>
      </c>
      <c r="C146" s="172">
        <v>0</v>
      </c>
      <c r="D146" s="172">
        <v>0</v>
      </c>
      <c r="E146" s="38">
        <f t="shared" si="20"/>
        <v>0</v>
      </c>
      <c r="F146" s="172">
        <v>0</v>
      </c>
      <c r="G146" s="172">
        <v>0</v>
      </c>
      <c r="H146" s="172">
        <v>0</v>
      </c>
      <c r="I146" s="38">
        <f t="shared" si="21"/>
        <v>0</v>
      </c>
      <c r="J146" s="172">
        <v>0</v>
      </c>
      <c r="K146" s="172">
        <v>0</v>
      </c>
      <c r="L146" s="172">
        <v>0</v>
      </c>
      <c r="M146" s="38">
        <f t="shared" si="22"/>
        <v>0</v>
      </c>
      <c r="N146" s="172">
        <v>0</v>
      </c>
      <c r="O146" s="172">
        <v>0</v>
      </c>
      <c r="P146" s="172">
        <v>0</v>
      </c>
      <c r="Q146" s="38">
        <f t="shared" si="23"/>
        <v>0</v>
      </c>
      <c r="R146" s="38">
        <f t="shared" si="24"/>
        <v>0</v>
      </c>
    </row>
    <row r="147" spans="1:19" ht="15.75" customHeight="1" x14ac:dyDescent="0.3">
      <c r="A147" s="539" t="s">
        <v>1676</v>
      </c>
      <c r="B147" s="172">
        <v>412</v>
      </c>
      <c r="C147" s="172">
        <v>384</v>
      </c>
      <c r="D147" s="172">
        <v>454</v>
      </c>
      <c r="E147" s="38">
        <f>SUM(B147:D147)</f>
        <v>1250</v>
      </c>
      <c r="F147" s="172">
        <v>481</v>
      </c>
      <c r="G147" s="172">
        <v>549</v>
      </c>
      <c r="H147" s="172">
        <v>593</v>
      </c>
      <c r="I147" s="38">
        <f>SUM(F147:H147)</f>
        <v>1623</v>
      </c>
      <c r="J147" s="172">
        <v>655</v>
      </c>
      <c r="K147" s="172">
        <v>667</v>
      </c>
      <c r="L147" s="172">
        <v>618</v>
      </c>
      <c r="M147" s="38">
        <f>SUM(J147:L147)</f>
        <v>1940</v>
      </c>
      <c r="N147" s="172">
        <v>663</v>
      </c>
      <c r="O147" s="172">
        <v>524</v>
      </c>
      <c r="P147" s="172">
        <v>430</v>
      </c>
      <c r="Q147" s="38">
        <f>SUM(N147:P147)</f>
        <v>1617</v>
      </c>
      <c r="R147" s="38">
        <f>+E147+I147+M147+Q147</f>
        <v>6430</v>
      </c>
    </row>
    <row r="148" spans="1:19" ht="15.75" customHeight="1" x14ac:dyDescent="0.3">
      <c r="A148" s="539" t="s">
        <v>347</v>
      </c>
      <c r="B148" s="172">
        <v>0</v>
      </c>
      <c r="C148" s="172">
        <v>0</v>
      </c>
      <c r="D148" s="172">
        <v>0</v>
      </c>
      <c r="E148" s="38">
        <f t="shared" ref="E148:E154" si="25">SUM(B148:D148)</f>
        <v>0</v>
      </c>
      <c r="F148" s="172">
        <v>0</v>
      </c>
      <c r="G148" s="172">
        <v>0</v>
      </c>
      <c r="H148" s="172">
        <v>0</v>
      </c>
      <c r="I148" s="38">
        <f t="shared" ref="I148:I154" si="26">SUM(F148:H148)</f>
        <v>0</v>
      </c>
      <c r="J148" s="172">
        <v>0</v>
      </c>
      <c r="K148" s="172">
        <v>0</v>
      </c>
      <c r="L148" s="172">
        <v>0</v>
      </c>
      <c r="M148" s="38">
        <f t="shared" ref="M148:M154" si="27">SUM(J148:L148)</f>
        <v>0</v>
      </c>
      <c r="N148" s="172">
        <v>0</v>
      </c>
      <c r="O148" s="172">
        <v>0</v>
      </c>
      <c r="P148" s="172">
        <v>0</v>
      </c>
      <c r="Q148" s="38">
        <f t="shared" ref="Q148:Q154" si="28">SUM(N148:P148)</f>
        <v>0</v>
      </c>
      <c r="R148" s="38">
        <f t="shared" ref="R148:R154" si="29">+E148+I148+M148+Q148</f>
        <v>0</v>
      </c>
    </row>
    <row r="149" spans="1:19" s="353" customFormat="1" ht="15.75" customHeight="1" x14ac:dyDescent="0.3">
      <c r="A149" s="535" t="s">
        <v>1242</v>
      </c>
      <c r="B149" s="352">
        <v>0</v>
      </c>
      <c r="C149" s="352">
        <v>0</v>
      </c>
      <c r="D149" s="352">
        <v>0</v>
      </c>
      <c r="E149" s="331">
        <f t="shared" si="25"/>
        <v>0</v>
      </c>
      <c r="F149" s="352">
        <v>0</v>
      </c>
      <c r="G149" s="352">
        <v>0</v>
      </c>
      <c r="H149" s="352">
        <v>0</v>
      </c>
      <c r="I149" s="331">
        <f t="shared" si="26"/>
        <v>0</v>
      </c>
      <c r="J149" s="352">
        <v>0</v>
      </c>
      <c r="K149" s="352">
        <v>0</v>
      </c>
      <c r="L149" s="352">
        <v>0</v>
      </c>
      <c r="M149" s="331">
        <f t="shared" si="27"/>
        <v>0</v>
      </c>
      <c r="N149" s="352">
        <v>0</v>
      </c>
      <c r="O149" s="352">
        <v>0</v>
      </c>
      <c r="P149" s="352">
        <v>0</v>
      </c>
      <c r="Q149" s="331">
        <f t="shared" si="28"/>
        <v>0</v>
      </c>
      <c r="R149" s="331">
        <f t="shared" si="29"/>
        <v>0</v>
      </c>
    </row>
    <row r="150" spans="1:19" ht="15.75" customHeight="1" x14ac:dyDescent="0.3">
      <c r="A150" s="539" t="s">
        <v>1379</v>
      </c>
      <c r="B150" s="172">
        <v>0</v>
      </c>
      <c r="C150" s="172">
        <v>0</v>
      </c>
      <c r="D150" s="172">
        <v>0</v>
      </c>
      <c r="E150" s="38">
        <f>SUM(B150:D150)</f>
        <v>0</v>
      </c>
      <c r="F150" s="172">
        <v>0</v>
      </c>
      <c r="G150" s="172">
        <v>733</v>
      </c>
      <c r="H150" s="172">
        <v>1457</v>
      </c>
      <c r="I150" s="38">
        <f>SUM(F150:H150)</f>
        <v>2190</v>
      </c>
      <c r="J150" s="172">
        <v>2044</v>
      </c>
      <c r="K150" s="172">
        <v>1886</v>
      </c>
      <c r="L150" s="172">
        <v>578</v>
      </c>
      <c r="M150" s="38">
        <f>SUM(J150:L150)</f>
        <v>4508</v>
      </c>
      <c r="N150" s="172">
        <v>1800</v>
      </c>
      <c r="O150" s="172">
        <v>1299</v>
      </c>
      <c r="P150" s="172">
        <v>938</v>
      </c>
      <c r="Q150" s="38">
        <f>SUM(N150:P150)</f>
        <v>4037</v>
      </c>
      <c r="R150" s="38">
        <f>+E150+I150+M150+Q150</f>
        <v>10735</v>
      </c>
    </row>
    <row r="151" spans="1:19" ht="15.75" customHeight="1" x14ac:dyDescent="0.3">
      <c r="A151" s="539" t="s">
        <v>1879</v>
      </c>
      <c r="B151" s="172">
        <v>20</v>
      </c>
      <c r="C151" s="172">
        <v>17</v>
      </c>
      <c r="D151" s="172">
        <v>38</v>
      </c>
      <c r="E151" s="38">
        <f t="shared" si="25"/>
        <v>75</v>
      </c>
      <c r="F151" s="172">
        <v>49</v>
      </c>
      <c r="G151" s="172">
        <v>85</v>
      </c>
      <c r="H151" s="172">
        <v>84</v>
      </c>
      <c r="I151" s="38">
        <f t="shared" si="26"/>
        <v>218</v>
      </c>
      <c r="J151" s="172">
        <v>85</v>
      </c>
      <c r="K151" s="172">
        <v>76</v>
      </c>
      <c r="L151" s="172">
        <v>64</v>
      </c>
      <c r="M151" s="38">
        <f t="shared" si="27"/>
        <v>225</v>
      </c>
      <c r="N151" s="172">
        <v>71</v>
      </c>
      <c r="O151" s="172">
        <v>29</v>
      </c>
      <c r="P151" s="172">
        <v>26</v>
      </c>
      <c r="Q151" s="38">
        <f t="shared" si="28"/>
        <v>126</v>
      </c>
      <c r="R151" s="38">
        <f t="shared" si="29"/>
        <v>644</v>
      </c>
    </row>
    <row r="152" spans="1:19" ht="15.75" customHeight="1" x14ac:dyDescent="0.3">
      <c r="A152" s="569" t="s">
        <v>1646</v>
      </c>
      <c r="B152" s="172">
        <v>17</v>
      </c>
      <c r="C152" s="172">
        <v>323</v>
      </c>
      <c r="D152" s="172">
        <v>1454</v>
      </c>
      <c r="E152" s="38">
        <f>SUM(B152:D152)</f>
        <v>1794</v>
      </c>
      <c r="F152" s="172">
        <v>500</v>
      </c>
      <c r="G152" s="172">
        <v>800</v>
      </c>
      <c r="H152" s="172">
        <v>1341</v>
      </c>
      <c r="I152" s="38">
        <f>SUM(F152:H152)</f>
        <v>2641</v>
      </c>
      <c r="J152" s="172">
        <v>1300</v>
      </c>
      <c r="K152" s="172">
        <v>530</v>
      </c>
      <c r="L152" s="172">
        <v>1942</v>
      </c>
      <c r="M152" s="38">
        <f>SUM(J152:L152)</f>
        <v>3772</v>
      </c>
      <c r="N152" s="172">
        <v>860</v>
      </c>
      <c r="O152" s="172">
        <v>725</v>
      </c>
      <c r="P152" s="172">
        <v>564</v>
      </c>
      <c r="Q152" s="38">
        <f>SUM(N152:P152)</f>
        <v>2149</v>
      </c>
      <c r="R152" s="38">
        <f>+E152+I152+M152+Q152</f>
        <v>10356</v>
      </c>
    </row>
    <row r="153" spans="1:19" ht="15.75" customHeight="1" x14ac:dyDescent="0.3">
      <c r="A153" s="569" t="s">
        <v>1375</v>
      </c>
      <c r="B153" s="172">
        <v>0</v>
      </c>
      <c r="C153" s="172">
        <v>0</v>
      </c>
      <c r="D153" s="172">
        <v>0</v>
      </c>
      <c r="E153" s="38">
        <f t="shared" si="25"/>
        <v>0</v>
      </c>
      <c r="F153" s="172">
        <v>0</v>
      </c>
      <c r="G153" s="172">
        <v>0</v>
      </c>
      <c r="H153" s="172">
        <v>0</v>
      </c>
      <c r="I153" s="38">
        <f t="shared" si="26"/>
        <v>0</v>
      </c>
      <c r="J153" s="172">
        <v>0</v>
      </c>
      <c r="K153" s="172">
        <v>0</v>
      </c>
      <c r="L153" s="172">
        <v>0</v>
      </c>
      <c r="M153" s="38">
        <f t="shared" si="27"/>
        <v>0</v>
      </c>
      <c r="N153" s="172">
        <v>0</v>
      </c>
      <c r="O153" s="172">
        <v>0</v>
      </c>
      <c r="P153" s="172">
        <v>0</v>
      </c>
      <c r="Q153" s="38">
        <f t="shared" si="28"/>
        <v>0</v>
      </c>
      <c r="R153" s="38">
        <f t="shared" si="29"/>
        <v>0</v>
      </c>
    </row>
    <row r="154" spans="1:19" ht="15.75" customHeight="1" x14ac:dyDescent="0.3">
      <c r="A154" s="539" t="s">
        <v>2426</v>
      </c>
      <c r="B154" s="10">
        <v>8491</v>
      </c>
      <c r="C154" s="10">
        <v>8160</v>
      </c>
      <c r="D154" s="10">
        <v>9232</v>
      </c>
      <c r="E154" s="38">
        <f t="shared" si="25"/>
        <v>25883</v>
      </c>
      <c r="F154" s="10">
        <v>9866</v>
      </c>
      <c r="G154" s="10">
        <v>395</v>
      </c>
      <c r="H154" s="10">
        <v>0</v>
      </c>
      <c r="I154" s="38">
        <f t="shared" si="26"/>
        <v>10261</v>
      </c>
      <c r="J154" s="10">
        <v>10819</v>
      </c>
      <c r="K154" s="10">
        <v>11662</v>
      </c>
      <c r="L154" s="10">
        <v>11658</v>
      </c>
      <c r="M154" s="38">
        <f t="shared" si="27"/>
        <v>34139</v>
      </c>
      <c r="N154" s="10">
        <v>10152</v>
      </c>
      <c r="O154" s="10">
        <v>6659</v>
      </c>
      <c r="P154" s="10">
        <v>6891</v>
      </c>
      <c r="Q154" s="38">
        <f t="shared" si="28"/>
        <v>23702</v>
      </c>
      <c r="R154" s="38">
        <f t="shared" si="29"/>
        <v>93985</v>
      </c>
    </row>
    <row r="155" spans="1:19" ht="15.75" customHeight="1" x14ac:dyDescent="0.3">
      <c r="A155" s="539" t="s">
        <v>2239</v>
      </c>
      <c r="B155" s="172">
        <v>14</v>
      </c>
      <c r="C155" s="172">
        <v>14</v>
      </c>
      <c r="D155" s="172">
        <v>18</v>
      </c>
      <c r="E155" s="38">
        <f t="shared" si="20"/>
        <v>46</v>
      </c>
      <c r="F155" s="172">
        <v>17</v>
      </c>
      <c r="G155" s="172">
        <v>16</v>
      </c>
      <c r="H155" s="172">
        <v>17</v>
      </c>
      <c r="I155" s="38">
        <f t="shared" si="21"/>
        <v>50</v>
      </c>
      <c r="J155" s="172">
        <v>19</v>
      </c>
      <c r="K155" s="172">
        <v>20</v>
      </c>
      <c r="L155" s="172">
        <v>19</v>
      </c>
      <c r="M155" s="38">
        <f t="shared" si="22"/>
        <v>58</v>
      </c>
      <c r="N155" s="172">
        <v>21</v>
      </c>
      <c r="O155" s="172">
        <v>18</v>
      </c>
      <c r="P155" s="172">
        <v>11</v>
      </c>
      <c r="Q155" s="38">
        <f t="shared" si="23"/>
        <v>50</v>
      </c>
      <c r="R155" s="38">
        <f t="shared" si="24"/>
        <v>204</v>
      </c>
    </row>
    <row r="156" spans="1:19" ht="15.75" customHeight="1" x14ac:dyDescent="0.3">
      <c r="A156" s="539" t="s">
        <v>1520</v>
      </c>
      <c r="B156" s="10">
        <v>3283</v>
      </c>
      <c r="C156" s="10">
        <v>0</v>
      </c>
      <c r="D156" s="10">
        <v>0</v>
      </c>
      <c r="E156" s="38">
        <f t="shared" si="20"/>
        <v>3283</v>
      </c>
      <c r="F156" s="10">
        <v>1898</v>
      </c>
      <c r="G156" s="10">
        <v>6789</v>
      </c>
      <c r="H156" s="10">
        <v>6941</v>
      </c>
      <c r="I156" s="38">
        <f t="shared" si="21"/>
        <v>15628</v>
      </c>
      <c r="J156" s="10">
        <v>7286</v>
      </c>
      <c r="K156" s="10">
        <v>7275</v>
      </c>
      <c r="L156" s="10">
        <v>5643</v>
      </c>
      <c r="M156" s="38">
        <f t="shared" si="22"/>
        <v>20204</v>
      </c>
      <c r="N156" s="10">
        <v>4774</v>
      </c>
      <c r="O156" s="10">
        <v>3647</v>
      </c>
      <c r="P156" s="10">
        <v>4267</v>
      </c>
      <c r="Q156" s="38">
        <f t="shared" si="23"/>
        <v>12688</v>
      </c>
      <c r="R156" s="38">
        <f t="shared" si="24"/>
        <v>51803</v>
      </c>
    </row>
    <row r="157" spans="1:19" ht="15.75" customHeight="1" x14ac:dyDescent="0.3">
      <c r="A157" s="569" t="s">
        <v>291</v>
      </c>
      <c r="B157" s="10">
        <v>0</v>
      </c>
      <c r="C157" s="10">
        <v>0</v>
      </c>
      <c r="D157" s="10">
        <v>0</v>
      </c>
      <c r="E157" s="38">
        <f t="shared" si="20"/>
        <v>0</v>
      </c>
      <c r="F157" s="10">
        <v>0</v>
      </c>
      <c r="G157" s="10">
        <v>0</v>
      </c>
      <c r="H157" s="10"/>
      <c r="I157" s="38">
        <f t="shared" si="21"/>
        <v>0</v>
      </c>
      <c r="J157" s="10">
        <v>1000</v>
      </c>
      <c r="K157" s="10">
        <v>300</v>
      </c>
      <c r="L157" s="10">
        <v>1500</v>
      </c>
      <c r="M157" s="38">
        <f t="shared" si="22"/>
        <v>2800</v>
      </c>
      <c r="N157" s="10">
        <v>2430</v>
      </c>
      <c r="O157" s="10">
        <v>0</v>
      </c>
      <c r="P157" s="10">
        <v>0</v>
      </c>
      <c r="Q157" s="38">
        <f t="shared" si="23"/>
        <v>2430</v>
      </c>
      <c r="R157" s="38">
        <f t="shared" si="24"/>
        <v>5230</v>
      </c>
    </row>
    <row r="158" spans="1:19" ht="15.75" customHeight="1" x14ac:dyDescent="0.3">
      <c r="A158" s="539" t="s">
        <v>346</v>
      </c>
      <c r="B158" s="172">
        <v>122</v>
      </c>
      <c r="C158" s="172">
        <v>300</v>
      </c>
      <c r="D158" s="172">
        <v>350</v>
      </c>
      <c r="E158" s="38">
        <f>SUM(B158:D158)</f>
        <v>772</v>
      </c>
      <c r="F158" s="172">
        <v>350</v>
      </c>
      <c r="G158" s="172">
        <v>300</v>
      </c>
      <c r="H158" s="172">
        <v>250</v>
      </c>
      <c r="I158" s="38">
        <f>SUM(F158:H158)</f>
        <v>900</v>
      </c>
      <c r="J158" s="172">
        <v>493</v>
      </c>
      <c r="K158" s="172">
        <v>500</v>
      </c>
      <c r="L158" s="172">
        <v>430</v>
      </c>
      <c r="M158" s="38">
        <f>SUM(J158:L158)</f>
        <v>1423</v>
      </c>
      <c r="N158" s="172">
        <v>400</v>
      </c>
      <c r="O158" s="172">
        <v>100</v>
      </c>
      <c r="P158" s="172">
        <v>250</v>
      </c>
      <c r="Q158" s="38">
        <f>SUM(N158:P158)</f>
        <v>750</v>
      </c>
      <c r="R158" s="38">
        <f>+E158+I158+M158+Q158</f>
        <v>3845</v>
      </c>
    </row>
    <row r="159" spans="1:19" ht="15.75" customHeight="1" x14ac:dyDescent="0.3">
      <c r="A159" s="539" t="s">
        <v>1574</v>
      </c>
      <c r="B159" s="172">
        <v>4</v>
      </c>
      <c r="C159" s="172">
        <v>2</v>
      </c>
      <c r="D159" s="172">
        <v>2</v>
      </c>
      <c r="E159" s="38">
        <f>SUM(B159:D159)</f>
        <v>8</v>
      </c>
      <c r="F159" s="172">
        <v>4</v>
      </c>
      <c r="G159" s="172">
        <v>3</v>
      </c>
      <c r="H159" s="172">
        <v>4</v>
      </c>
      <c r="I159" s="38">
        <f>SUM(F159:H159)</f>
        <v>11</v>
      </c>
      <c r="J159" s="172">
        <v>3</v>
      </c>
      <c r="K159" s="172">
        <v>4</v>
      </c>
      <c r="L159" s="172">
        <v>3</v>
      </c>
      <c r="M159" s="38">
        <f>SUM(J159:L159)</f>
        <v>10</v>
      </c>
      <c r="N159" s="172">
        <v>3</v>
      </c>
      <c r="O159" s="172">
        <v>0</v>
      </c>
      <c r="P159" s="172">
        <v>2</v>
      </c>
      <c r="Q159" s="38">
        <f>SUM(N159:P159)</f>
        <v>5</v>
      </c>
      <c r="R159" s="38">
        <f>+E159+I159+M159+Q159</f>
        <v>34</v>
      </c>
      <c r="S159">
        <f>SUM(R137:R159)</f>
        <v>215087</v>
      </c>
    </row>
    <row r="160" spans="1:19" ht="15.75" customHeight="1" x14ac:dyDescent="0.3">
      <c r="A160" s="234" t="s">
        <v>2161</v>
      </c>
      <c r="B160" s="172"/>
      <c r="C160" s="172"/>
      <c r="D160" s="172"/>
      <c r="E160" s="38" t="s">
        <v>852</v>
      </c>
      <c r="F160" s="172"/>
      <c r="G160" s="172"/>
      <c r="H160" s="172"/>
      <c r="I160" s="38" t="s">
        <v>852</v>
      </c>
      <c r="J160" s="172"/>
      <c r="K160" s="172"/>
      <c r="L160" s="172"/>
      <c r="M160" s="38" t="s">
        <v>852</v>
      </c>
      <c r="N160" s="172"/>
      <c r="O160" s="172"/>
      <c r="P160" s="172"/>
      <c r="Q160" s="38" t="s">
        <v>852</v>
      </c>
      <c r="R160" s="38" t="s">
        <v>852</v>
      </c>
    </row>
    <row r="161" spans="1:18" ht="15.75" customHeight="1" x14ac:dyDescent="0.3">
      <c r="A161" s="539" t="s">
        <v>2515</v>
      </c>
      <c r="B161" s="10">
        <v>0</v>
      </c>
      <c r="C161" s="10">
        <v>0</v>
      </c>
      <c r="D161" s="10">
        <v>0</v>
      </c>
      <c r="E161" s="38">
        <f t="shared" ref="E161:E171" si="30">SUM(B161:D161)</f>
        <v>0</v>
      </c>
      <c r="F161" s="10">
        <v>0</v>
      </c>
      <c r="G161" s="10">
        <v>0</v>
      </c>
      <c r="H161" s="10">
        <v>0</v>
      </c>
      <c r="I161" s="38">
        <f t="shared" ref="I161:I171" si="31">SUM(F161:H161)</f>
        <v>0</v>
      </c>
      <c r="J161" s="10">
        <v>0</v>
      </c>
      <c r="K161" s="10">
        <v>0</v>
      </c>
      <c r="L161" s="10">
        <v>0</v>
      </c>
      <c r="M161" s="38">
        <f t="shared" ref="M161:M171" si="32">SUM(J161:L161)</f>
        <v>0</v>
      </c>
      <c r="N161" s="10">
        <v>0</v>
      </c>
      <c r="O161" s="10">
        <v>0</v>
      </c>
      <c r="P161" s="10">
        <v>0</v>
      </c>
      <c r="Q161" s="38">
        <f t="shared" ref="Q161:Q171" si="33">SUM(N161:P161)</f>
        <v>0</v>
      </c>
      <c r="R161" s="38">
        <f t="shared" ref="R161:R171" si="34">+E161+I161+M161+Q161</f>
        <v>0</v>
      </c>
    </row>
    <row r="162" spans="1:18" ht="15.75" customHeight="1" x14ac:dyDescent="0.3">
      <c r="A162" s="266" t="s">
        <v>2368</v>
      </c>
      <c r="B162" s="10">
        <v>17</v>
      </c>
      <c r="C162" s="10">
        <v>18</v>
      </c>
      <c r="D162" s="10">
        <v>29</v>
      </c>
      <c r="E162" s="38">
        <f>SUM(B162:D162)</f>
        <v>64</v>
      </c>
      <c r="F162" s="10">
        <v>41</v>
      </c>
      <c r="G162" s="10">
        <v>47</v>
      </c>
      <c r="H162" s="10">
        <v>57</v>
      </c>
      <c r="I162" s="38">
        <f>SUM(F162:H162)</f>
        <v>145</v>
      </c>
      <c r="J162" s="10">
        <v>56</v>
      </c>
      <c r="K162" s="10">
        <v>52</v>
      </c>
      <c r="L162" s="10">
        <v>34</v>
      </c>
      <c r="M162" s="38">
        <f>SUM(J162:L162)</f>
        <v>142</v>
      </c>
      <c r="N162" s="10">
        <v>63</v>
      </c>
      <c r="O162" s="10">
        <v>24</v>
      </c>
      <c r="P162" s="10">
        <v>12</v>
      </c>
      <c r="Q162" s="38">
        <f>SUM(N162:P162)</f>
        <v>99</v>
      </c>
      <c r="R162" s="38">
        <f>+E162+I162+M162+Q162</f>
        <v>450</v>
      </c>
    </row>
    <row r="163" spans="1:18" ht="15.75" customHeight="1" x14ac:dyDescent="0.3">
      <c r="A163" s="266" t="s">
        <v>1747</v>
      </c>
      <c r="B163" s="172">
        <v>0</v>
      </c>
      <c r="C163" s="172">
        <v>0</v>
      </c>
      <c r="D163" s="172">
        <v>1</v>
      </c>
      <c r="E163" s="38">
        <f t="shared" si="30"/>
        <v>1</v>
      </c>
      <c r="F163" s="172">
        <v>12</v>
      </c>
      <c r="G163" s="172">
        <v>22</v>
      </c>
      <c r="H163" s="172">
        <v>0</v>
      </c>
      <c r="I163" s="38">
        <f t="shared" si="31"/>
        <v>34</v>
      </c>
      <c r="J163" s="172">
        <v>0</v>
      </c>
      <c r="K163" s="172">
        <v>0</v>
      </c>
      <c r="L163" s="172">
        <v>0</v>
      </c>
      <c r="M163" s="38">
        <f t="shared" si="32"/>
        <v>0</v>
      </c>
      <c r="N163" s="172">
        <v>75</v>
      </c>
      <c r="O163" s="172">
        <v>24</v>
      </c>
      <c r="P163" s="172">
        <v>1</v>
      </c>
      <c r="Q163" s="38">
        <f>SUM(N163:P163)</f>
        <v>100</v>
      </c>
      <c r="R163" s="38">
        <f t="shared" si="34"/>
        <v>135</v>
      </c>
    </row>
    <row r="164" spans="1:18" ht="15.75" customHeight="1" x14ac:dyDescent="0.3">
      <c r="A164" s="266" t="s">
        <v>37</v>
      </c>
      <c r="B164" s="172">
        <v>35</v>
      </c>
      <c r="C164" s="172">
        <v>35</v>
      </c>
      <c r="D164" s="172">
        <v>35</v>
      </c>
      <c r="E164" s="38">
        <f t="shared" si="30"/>
        <v>105</v>
      </c>
      <c r="F164" s="172">
        <v>35</v>
      </c>
      <c r="G164" s="172">
        <v>35</v>
      </c>
      <c r="H164" s="172">
        <v>35</v>
      </c>
      <c r="I164" s="38">
        <f t="shared" si="31"/>
        <v>105</v>
      </c>
      <c r="J164" s="172">
        <v>35</v>
      </c>
      <c r="K164" s="172">
        <v>35</v>
      </c>
      <c r="L164" s="172">
        <v>35</v>
      </c>
      <c r="M164" s="38">
        <f t="shared" si="32"/>
        <v>105</v>
      </c>
      <c r="N164" s="172">
        <v>35</v>
      </c>
      <c r="O164" s="172">
        <v>35</v>
      </c>
      <c r="P164" s="172">
        <v>35</v>
      </c>
      <c r="Q164" s="38">
        <f t="shared" si="33"/>
        <v>105</v>
      </c>
      <c r="R164" s="38">
        <f t="shared" si="34"/>
        <v>420</v>
      </c>
    </row>
    <row r="165" spans="1:18" ht="15.75" customHeight="1" x14ac:dyDescent="0.3">
      <c r="A165" s="266" t="s">
        <v>2503</v>
      </c>
      <c r="B165" s="172">
        <v>346</v>
      </c>
      <c r="C165" s="172">
        <v>360</v>
      </c>
      <c r="D165" s="172">
        <v>410</v>
      </c>
      <c r="E165" s="38">
        <f t="shared" si="30"/>
        <v>1116</v>
      </c>
      <c r="F165" s="172">
        <v>397</v>
      </c>
      <c r="G165" s="172">
        <v>403</v>
      </c>
      <c r="H165" s="172">
        <v>528</v>
      </c>
      <c r="I165" s="38">
        <f t="shared" si="31"/>
        <v>1328</v>
      </c>
      <c r="J165" s="172">
        <v>557</v>
      </c>
      <c r="K165" s="172">
        <v>521</v>
      </c>
      <c r="L165" s="172">
        <v>508</v>
      </c>
      <c r="M165" s="38">
        <f t="shared" si="32"/>
        <v>1586</v>
      </c>
      <c r="N165" s="172">
        <v>508</v>
      </c>
      <c r="O165" s="172">
        <v>463</v>
      </c>
      <c r="P165" s="172">
        <v>0</v>
      </c>
      <c r="Q165" s="38">
        <f t="shared" si="33"/>
        <v>971</v>
      </c>
      <c r="R165" s="38">
        <f t="shared" si="34"/>
        <v>5001</v>
      </c>
    </row>
    <row r="166" spans="1:18" ht="15.75" customHeight="1" x14ac:dyDescent="0.3">
      <c r="A166" s="266" t="s">
        <v>1824</v>
      </c>
      <c r="B166" s="172">
        <v>1</v>
      </c>
      <c r="C166" s="172">
        <v>2</v>
      </c>
      <c r="D166" s="172">
        <v>2</v>
      </c>
      <c r="E166" s="38">
        <f t="shared" si="30"/>
        <v>5</v>
      </c>
      <c r="F166" s="172">
        <v>5</v>
      </c>
      <c r="G166" s="172">
        <v>8</v>
      </c>
      <c r="H166" s="172">
        <v>8</v>
      </c>
      <c r="I166" s="38">
        <f t="shared" si="31"/>
        <v>21</v>
      </c>
      <c r="J166" s="172">
        <v>5</v>
      </c>
      <c r="K166" s="172">
        <v>7</v>
      </c>
      <c r="L166" s="172">
        <v>3</v>
      </c>
      <c r="M166" s="38">
        <f t="shared" si="32"/>
        <v>15</v>
      </c>
      <c r="N166" s="172">
        <v>2</v>
      </c>
      <c r="O166" s="172">
        <v>1</v>
      </c>
      <c r="P166" s="172">
        <v>0</v>
      </c>
      <c r="Q166" s="38">
        <f t="shared" si="33"/>
        <v>3</v>
      </c>
      <c r="R166" s="38">
        <f t="shared" si="34"/>
        <v>44</v>
      </c>
    </row>
    <row r="167" spans="1:18" ht="15.75" customHeight="1" x14ac:dyDescent="0.3">
      <c r="A167" s="266" t="s">
        <v>1879</v>
      </c>
      <c r="B167" s="172">
        <v>0</v>
      </c>
      <c r="C167" s="172">
        <v>0</v>
      </c>
      <c r="D167" s="172">
        <v>0</v>
      </c>
      <c r="E167" s="38">
        <f t="shared" si="30"/>
        <v>0</v>
      </c>
      <c r="F167" s="172">
        <v>0</v>
      </c>
      <c r="G167" s="172">
        <v>0</v>
      </c>
      <c r="H167" s="172">
        <v>0</v>
      </c>
      <c r="I167" s="38">
        <f t="shared" si="31"/>
        <v>0</v>
      </c>
      <c r="J167" s="172">
        <v>0</v>
      </c>
      <c r="K167" s="172">
        <v>0</v>
      </c>
      <c r="L167" s="172">
        <v>0</v>
      </c>
      <c r="M167" s="38">
        <f t="shared" si="32"/>
        <v>0</v>
      </c>
      <c r="N167" s="172">
        <v>0</v>
      </c>
      <c r="O167" s="172">
        <v>0</v>
      </c>
      <c r="P167" s="172">
        <v>0</v>
      </c>
      <c r="Q167" s="38">
        <f t="shared" si="33"/>
        <v>0</v>
      </c>
      <c r="R167" s="38">
        <f t="shared" si="34"/>
        <v>0</v>
      </c>
    </row>
    <row r="168" spans="1:18" ht="15.75" customHeight="1" x14ac:dyDescent="0.3">
      <c r="A168" s="266" t="s">
        <v>1746</v>
      </c>
      <c r="B168" s="172">
        <v>1</v>
      </c>
      <c r="C168" s="172">
        <v>0</v>
      </c>
      <c r="D168" s="172">
        <v>1</v>
      </c>
      <c r="E168" s="38">
        <f t="shared" si="30"/>
        <v>2</v>
      </c>
      <c r="F168" s="172">
        <v>1</v>
      </c>
      <c r="G168" s="172">
        <v>1</v>
      </c>
      <c r="H168" s="172">
        <v>1</v>
      </c>
      <c r="I168" s="38">
        <f t="shared" si="31"/>
        <v>3</v>
      </c>
      <c r="J168" s="172">
        <v>1</v>
      </c>
      <c r="K168" s="172">
        <v>1</v>
      </c>
      <c r="L168" s="172">
        <v>1</v>
      </c>
      <c r="M168" s="38">
        <f t="shared" si="32"/>
        <v>3</v>
      </c>
      <c r="N168" s="172">
        <v>1</v>
      </c>
      <c r="O168" s="172">
        <v>1</v>
      </c>
      <c r="P168" s="172">
        <v>0</v>
      </c>
      <c r="Q168" s="38">
        <f t="shared" si="33"/>
        <v>2</v>
      </c>
      <c r="R168" s="38">
        <f t="shared" si="34"/>
        <v>10</v>
      </c>
    </row>
    <row r="169" spans="1:18" ht="15.75" customHeight="1" x14ac:dyDescent="0.3">
      <c r="A169" s="267" t="s">
        <v>1546</v>
      </c>
      <c r="B169" s="172">
        <v>14</v>
      </c>
      <c r="C169" s="172">
        <v>21</v>
      </c>
      <c r="D169" s="172">
        <v>64</v>
      </c>
      <c r="E169" s="38">
        <f t="shared" si="30"/>
        <v>99</v>
      </c>
      <c r="F169" s="172">
        <v>126</v>
      </c>
      <c r="G169" s="172">
        <v>225</v>
      </c>
      <c r="H169" s="172">
        <v>218</v>
      </c>
      <c r="I169" s="38">
        <f t="shared" si="31"/>
        <v>569</v>
      </c>
      <c r="J169" s="172">
        <v>228</v>
      </c>
      <c r="K169" s="172">
        <v>233</v>
      </c>
      <c r="L169" s="172">
        <v>171</v>
      </c>
      <c r="M169" s="38">
        <f t="shared" si="32"/>
        <v>632</v>
      </c>
      <c r="N169" s="172">
        <v>284</v>
      </c>
      <c r="O169" s="172">
        <v>81</v>
      </c>
      <c r="P169" s="172">
        <v>49</v>
      </c>
      <c r="Q169" s="38">
        <f t="shared" si="33"/>
        <v>414</v>
      </c>
      <c r="R169" s="38">
        <f t="shared" si="34"/>
        <v>1714</v>
      </c>
    </row>
    <row r="170" spans="1:18" ht="15.75" customHeight="1" x14ac:dyDescent="0.3">
      <c r="A170" s="266" t="s">
        <v>1132</v>
      </c>
      <c r="B170" s="172">
        <v>17</v>
      </c>
      <c r="C170" s="172">
        <v>17</v>
      </c>
      <c r="D170" s="172">
        <v>17</v>
      </c>
      <c r="E170" s="38">
        <f t="shared" si="30"/>
        <v>51</v>
      </c>
      <c r="F170" s="172">
        <v>17</v>
      </c>
      <c r="G170" s="172">
        <v>17</v>
      </c>
      <c r="H170" s="172">
        <v>17</v>
      </c>
      <c r="I170" s="38">
        <f t="shared" si="31"/>
        <v>51</v>
      </c>
      <c r="J170" s="172">
        <v>17</v>
      </c>
      <c r="K170" s="172">
        <v>17</v>
      </c>
      <c r="L170" s="172">
        <v>17</v>
      </c>
      <c r="M170" s="38">
        <f t="shared" si="32"/>
        <v>51</v>
      </c>
      <c r="N170" s="172">
        <v>17</v>
      </c>
      <c r="O170" s="172">
        <v>17</v>
      </c>
      <c r="P170" s="172">
        <v>17</v>
      </c>
      <c r="Q170" s="38">
        <f t="shared" si="33"/>
        <v>51</v>
      </c>
      <c r="R170" s="38">
        <f t="shared" si="34"/>
        <v>204</v>
      </c>
    </row>
    <row r="171" spans="1:18" ht="15.75" customHeight="1" x14ac:dyDescent="0.3">
      <c r="A171" s="267" t="s">
        <v>5</v>
      </c>
      <c r="B171" s="172">
        <v>0</v>
      </c>
      <c r="C171" s="172">
        <v>0</v>
      </c>
      <c r="D171" s="172">
        <v>0</v>
      </c>
      <c r="E171" s="38">
        <f t="shared" si="30"/>
        <v>0</v>
      </c>
      <c r="F171" s="172">
        <v>0</v>
      </c>
      <c r="G171" s="172">
        <v>0</v>
      </c>
      <c r="H171" s="172">
        <v>0</v>
      </c>
      <c r="I171" s="38">
        <f t="shared" si="31"/>
        <v>0</v>
      </c>
      <c r="J171" s="172">
        <v>26</v>
      </c>
      <c r="K171" s="172">
        <v>17</v>
      </c>
      <c r="L171" s="172">
        <v>27</v>
      </c>
      <c r="M171" s="38">
        <f t="shared" si="32"/>
        <v>70</v>
      </c>
      <c r="N171" s="172">
        <v>8</v>
      </c>
      <c r="O171" s="172">
        <v>1</v>
      </c>
      <c r="P171" s="172">
        <v>0</v>
      </c>
      <c r="Q171" s="38">
        <f t="shared" si="33"/>
        <v>9</v>
      </c>
      <c r="R171" s="38">
        <f t="shared" si="34"/>
        <v>79</v>
      </c>
    </row>
    <row r="172" spans="1:18" ht="15.75" customHeight="1" x14ac:dyDescent="0.3">
      <c r="A172" s="234" t="s">
        <v>2162</v>
      </c>
      <c r="B172" s="172"/>
      <c r="C172" s="172"/>
      <c r="D172" s="172"/>
      <c r="E172" s="38" t="s">
        <v>852</v>
      </c>
      <c r="F172" s="172"/>
      <c r="G172" s="172"/>
      <c r="H172" s="172"/>
      <c r="I172" s="38" t="s">
        <v>852</v>
      </c>
      <c r="J172" s="172"/>
      <c r="K172" s="172"/>
      <c r="L172" s="172"/>
      <c r="M172" s="38" t="s">
        <v>852</v>
      </c>
      <c r="N172" s="172"/>
      <c r="O172" s="172"/>
      <c r="P172" s="172"/>
      <c r="Q172" s="38" t="s">
        <v>852</v>
      </c>
      <c r="R172" s="38" t="s">
        <v>852</v>
      </c>
    </row>
    <row r="173" spans="1:18" ht="15.75" customHeight="1" x14ac:dyDescent="0.3">
      <c r="A173" s="568" t="s">
        <v>2549</v>
      </c>
      <c r="B173" s="172">
        <v>0</v>
      </c>
      <c r="C173" s="172">
        <v>0</v>
      </c>
      <c r="D173" s="172">
        <v>0</v>
      </c>
      <c r="E173" s="38">
        <f>SUM(B173:D173)</f>
        <v>0</v>
      </c>
      <c r="F173" s="172">
        <v>0</v>
      </c>
      <c r="G173" s="172">
        <v>0</v>
      </c>
      <c r="H173" s="172">
        <v>0</v>
      </c>
      <c r="I173" s="38">
        <f>SUM(F173:H173)</f>
        <v>0</v>
      </c>
      <c r="J173" s="172">
        <v>0</v>
      </c>
      <c r="K173" s="172">
        <v>0</v>
      </c>
      <c r="L173" s="172">
        <v>0</v>
      </c>
      <c r="M173" s="38">
        <f>SUM(J173:L173)</f>
        <v>0</v>
      </c>
      <c r="N173" s="172">
        <v>0</v>
      </c>
      <c r="O173" s="172">
        <v>0</v>
      </c>
      <c r="P173" s="172">
        <v>0</v>
      </c>
      <c r="Q173" s="38">
        <f>SUM(N173:P173)</f>
        <v>0</v>
      </c>
      <c r="R173" s="38">
        <f>+E173+I173+M173+Q173</f>
        <v>0</v>
      </c>
    </row>
    <row r="174" spans="1:18" ht="15.75" customHeight="1" x14ac:dyDescent="0.3">
      <c r="A174" s="568" t="s">
        <v>2550</v>
      </c>
      <c r="B174" s="172">
        <v>0</v>
      </c>
      <c r="C174" s="172">
        <v>0</v>
      </c>
      <c r="D174" s="172">
        <v>0</v>
      </c>
      <c r="E174" s="38">
        <f>SUM(B174:D174)</f>
        <v>0</v>
      </c>
      <c r="F174" s="172">
        <v>0</v>
      </c>
      <c r="G174" s="172">
        <v>0</v>
      </c>
      <c r="H174" s="172">
        <v>0</v>
      </c>
      <c r="I174" s="38">
        <f>SUM(F174:H174)</f>
        <v>0</v>
      </c>
      <c r="J174" s="172">
        <v>0</v>
      </c>
      <c r="K174" s="172">
        <v>0</v>
      </c>
      <c r="L174" s="172">
        <v>0</v>
      </c>
      <c r="M174" s="38">
        <f>SUM(J174:L174)</f>
        <v>0</v>
      </c>
      <c r="N174" s="172">
        <v>0</v>
      </c>
      <c r="O174" s="172">
        <v>0</v>
      </c>
      <c r="P174" s="172">
        <v>0</v>
      </c>
      <c r="Q174" s="38">
        <f>SUM(N174:P174)</f>
        <v>0</v>
      </c>
      <c r="R174" s="38">
        <f>+E174+I174+M174+Q174</f>
        <v>0</v>
      </c>
    </row>
    <row r="175" spans="1:18" ht="15.75" customHeight="1" x14ac:dyDescent="0.3">
      <c r="A175" s="422" t="s">
        <v>2551</v>
      </c>
      <c r="B175" s="172">
        <v>13</v>
      </c>
      <c r="C175" s="172">
        <v>12</v>
      </c>
      <c r="D175" s="172">
        <v>23</v>
      </c>
      <c r="E175" s="38">
        <f>SUM(B175:D175)</f>
        <v>48</v>
      </c>
      <c r="F175" s="172">
        <v>53</v>
      </c>
      <c r="G175" s="172">
        <v>85</v>
      </c>
      <c r="H175" s="172">
        <v>68</v>
      </c>
      <c r="I175" s="38">
        <f>SUM(F175:H175)</f>
        <v>206</v>
      </c>
      <c r="J175" s="172">
        <v>63</v>
      </c>
      <c r="K175" s="172">
        <v>52</v>
      </c>
      <c r="L175" s="172">
        <v>59</v>
      </c>
      <c r="M175" s="38">
        <f>SUM(J175:L175)</f>
        <v>174</v>
      </c>
      <c r="N175" s="172">
        <v>61</v>
      </c>
      <c r="O175" s="172">
        <v>13</v>
      </c>
      <c r="P175" s="172">
        <v>7</v>
      </c>
      <c r="Q175" s="38">
        <f>SUM(N175:P175)</f>
        <v>81</v>
      </c>
      <c r="R175" s="38">
        <f>+E175+I175+M175+Q175</f>
        <v>509</v>
      </c>
    </row>
    <row r="176" spans="1:18" ht="15.75" customHeight="1" thickBot="1" x14ac:dyDescent="0.35">
      <c r="A176" s="234" t="s">
        <v>2164</v>
      </c>
      <c r="B176" s="172"/>
      <c r="C176" s="172"/>
      <c r="D176" s="172"/>
      <c r="E176" s="38" t="s">
        <v>852</v>
      </c>
      <c r="F176" s="172"/>
      <c r="G176" s="172"/>
      <c r="H176" s="172"/>
      <c r="I176" s="38" t="s">
        <v>852</v>
      </c>
      <c r="J176" s="172"/>
      <c r="K176" s="172"/>
      <c r="L176" s="172"/>
      <c r="M176" s="38" t="s">
        <v>852</v>
      </c>
      <c r="N176" s="172"/>
      <c r="O176" s="172"/>
      <c r="P176" s="172"/>
      <c r="Q176" s="38" t="s">
        <v>852</v>
      </c>
      <c r="R176" s="38" t="s">
        <v>852</v>
      </c>
    </row>
    <row r="177" spans="1:18" ht="16.5" customHeight="1" thickBot="1" x14ac:dyDescent="0.35">
      <c r="A177" s="43" t="s">
        <v>1218</v>
      </c>
      <c r="B177" s="45">
        <f>SUM(B135:B176)</f>
        <v>13664</v>
      </c>
      <c r="C177" s="46">
        <f>SUM(C135:C176)</f>
        <v>10724</v>
      </c>
      <c r="D177" s="46">
        <f>SUM(D135:D176)</f>
        <v>14520</v>
      </c>
      <c r="E177" s="37">
        <f>SUM(B177:D177)</f>
        <v>38908</v>
      </c>
      <c r="F177" s="46">
        <f>SUM(F135:F176)</f>
        <v>16866</v>
      </c>
      <c r="G177" s="46">
        <f>SUM(G135:G176)</f>
        <v>14644</v>
      </c>
      <c r="H177" s="46">
        <f>SUM(H135:H176)</f>
        <v>17493</v>
      </c>
      <c r="I177" s="37">
        <f>SUM(F177:H177)</f>
        <v>49003</v>
      </c>
      <c r="J177" s="46">
        <f>SUM(J135:J176)</f>
        <v>27433</v>
      </c>
      <c r="K177" s="46">
        <f>SUM(K135:K176)</f>
        <v>27173</v>
      </c>
      <c r="L177" s="46">
        <f>SUM(L135:L176)</f>
        <v>26015</v>
      </c>
      <c r="M177" s="37">
        <f>SUM(J177:L177)</f>
        <v>80621</v>
      </c>
      <c r="N177" s="46">
        <f>SUM(N135:N176)</f>
        <v>24594</v>
      </c>
      <c r="O177" s="46">
        <f>SUM(O135:O176)</f>
        <v>15327</v>
      </c>
      <c r="P177" s="46">
        <f>SUM(P135:P176)</f>
        <v>15200</v>
      </c>
      <c r="Q177" s="37">
        <f>SUM(N177:P177)</f>
        <v>55121</v>
      </c>
      <c r="R177" s="37">
        <f>+E177+I177+M177+Q177</f>
        <v>223653</v>
      </c>
    </row>
    <row r="178" spans="1:18" ht="15.75" customHeight="1" x14ac:dyDescent="0.3">
      <c r="A178" s="234" t="s">
        <v>1172</v>
      </c>
      <c r="B178" s="172"/>
      <c r="C178" s="172"/>
      <c r="D178" s="172"/>
      <c r="E178" s="38" t="s">
        <v>852</v>
      </c>
      <c r="F178" s="172"/>
      <c r="G178" s="172"/>
      <c r="H178" s="172"/>
      <c r="I178" s="38" t="s">
        <v>852</v>
      </c>
      <c r="J178" s="172"/>
      <c r="K178" s="172"/>
      <c r="L178" s="172"/>
      <c r="M178" s="38" t="s">
        <v>852</v>
      </c>
      <c r="N178" s="172"/>
      <c r="O178" s="172"/>
      <c r="P178" s="172"/>
      <c r="Q178" s="38" t="s">
        <v>852</v>
      </c>
      <c r="R178" s="38" t="s">
        <v>852</v>
      </c>
    </row>
    <row r="179" spans="1:18" ht="15.75" customHeight="1" x14ac:dyDescent="0.3">
      <c r="A179" s="235" t="s">
        <v>2658</v>
      </c>
      <c r="B179" s="172"/>
      <c r="C179" s="172"/>
      <c r="D179" s="172"/>
      <c r="E179" s="38" t="s">
        <v>852</v>
      </c>
      <c r="F179" s="172"/>
      <c r="G179" s="172"/>
      <c r="H179" s="172"/>
      <c r="I179" s="38" t="s">
        <v>852</v>
      </c>
      <c r="J179" s="172"/>
      <c r="K179" s="172"/>
      <c r="L179" s="172"/>
      <c r="M179" s="38" t="s">
        <v>852</v>
      </c>
      <c r="N179" s="172"/>
      <c r="O179" s="172"/>
      <c r="P179" s="172"/>
      <c r="Q179" s="38" t="s">
        <v>852</v>
      </c>
      <c r="R179" s="38" t="s">
        <v>852</v>
      </c>
    </row>
    <row r="180" spans="1:18" ht="15.75" customHeight="1" x14ac:dyDescent="0.3">
      <c r="A180" s="234" t="s">
        <v>2409</v>
      </c>
      <c r="B180" s="172"/>
      <c r="C180" s="172"/>
      <c r="D180" s="172"/>
      <c r="E180" s="38" t="s">
        <v>852</v>
      </c>
      <c r="F180" s="172"/>
      <c r="G180" s="172"/>
      <c r="H180" s="172"/>
      <c r="I180" s="38" t="s">
        <v>852</v>
      </c>
      <c r="J180" s="172"/>
      <c r="K180" s="172"/>
      <c r="L180" s="172"/>
      <c r="M180" s="38" t="s">
        <v>852</v>
      </c>
      <c r="N180" s="172"/>
      <c r="O180" s="172"/>
      <c r="P180" s="172"/>
      <c r="Q180" s="38" t="s">
        <v>852</v>
      </c>
      <c r="R180" s="38" t="s">
        <v>852</v>
      </c>
    </row>
    <row r="181" spans="1:18" ht="15.75" customHeight="1" x14ac:dyDescent="0.3">
      <c r="A181" s="422" t="s">
        <v>1645</v>
      </c>
      <c r="B181" s="172">
        <v>0</v>
      </c>
      <c r="C181" s="172">
        <v>0</v>
      </c>
      <c r="D181" s="172">
        <v>500</v>
      </c>
      <c r="E181" s="38">
        <f>SUM(B181:D181)</f>
        <v>500</v>
      </c>
      <c r="F181" s="172">
        <v>500</v>
      </c>
      <c r="G181" s="172">
        <v>500</v>
      </c>
      <c r="H181" s="172">
        <v>500</v>
      </c>
      <c r="I181" s="38">
        <f>SUM(F181:H181)</f>
        <v>1500</v>
      </c>
      <c r="J181" s="172">
        <v>500</v>
      </c>
      <c r="K181" s="172">
        <v>500</v>
      </c>
      <c r="L181" s="172">
        <v>500</v>
      </c>
      <c r="M181" s="38">
        <f>SUM(J181:L181)</f>
        <v>1500</v>
      </c>
      <c r="N181" s="172">
        <v>500</v>
      </c>
      <c r="O181" s="172">
        <v>0</v>
      </c>
      <c r="P181" s="172">
        <v>0</v>
      </c>
      <c r="Q181" s="38">
        <f>SUM(N181:P181)</f>
        <v>500</v>
      </c>
      <c r="R181" s="38">
        <f>+E181+I181+M181+Q181</f>
        <v>4000</v>
      </c>
    </row>
    <row r="182" spans="1:18" ht="15.75" customHeight="1" thickBot="1" x14ac:dyDescent="0.35">
      <c r="A182" s="234" t="s">
        <v>2165</v>
      </c>
      <c r="B182" s="172"/>
      <c r="C182" s="172"/>
      <c r="D182" s="172"/>
      <c r="E182" s="38" t="s">
        <v>852</v>
      </c>
      <c r="F182" s="172"/>
      <c r="G182" s="172"/>
      <c r="H182" s="172"/>
      <c r="I182" s="38" t="s">
        <v>852</v>
      </c>
      <c r="J182" s="172"/>
      <c r="K182" s="172"/>
      <c r="L182" s="172"/>
      <c r="M182" s="38" t="s">
        <v>852</v>
      </c>
      <c r="N182" s="172"/>
      <c r="O182" s="172"/>
      <c r="P182" s="172"/>
      <c r="Q182" s="38" t="s">
        <v>852</v>
      </c>
      <c r="R182" s="38" t="s">
        <v>852</v>
      </c>
    </row>
    <row r="183" spans="1:18" ht="16.5" customHeight="1" thickBot="1" x14ac:dyDescent="0.35">
      <c r="A183" s="43" t="s">
        <v>1219</v>
      </c>
      <c r="B183" s="45">
        <f>SUM(B178:B182)</f>
        <v>0</v>
      </c>
      <c r="C183" s="46">
        <f>SUM(C178:C182)</f>
        <v>0</v>
      </c>
      <c r="D183" s="46">
        <f>SUM(D178:D182)</f>
        <v>500</v>
      </c>
      <c r="E183" s="37">
        <f>SUM(B183:D183)</f>
        <v>500</v>
      </c>
      <c r="F183" s="46">
        <f>SUM(F178:F182)</f>
        <v>500</v>
      </c>
      <c r="G183" s="46">
        <f>SUM(G178:G182)</f>
        <v>500</v>
      </c>
      <c r="H183" s="46">
        <f>SUM(H178:H182)</f>
        <v>500</v>
      </c>
      <c r="I183" s="37">
        <f>SUM(F183:H183)</f>
        <v>1500</v>
      </c>
      <c r="J183" s="46">
        <f>SUM(J178:J182)</f>
        <v>500</v>
      </c>
      <c r="K183" s="46">
        <f>SUM(K178:K182)</f>
        <v>500</v>
      </c>
      <c r="L183" s="46">
        <f>SUM(L178:L182)</f>
        <v>500</v>
      </c>
      <c r="M183" s="37">
        <f>SUM(J183:L183)</f>
        <v>1500</v>
      </c>
      <c r="N183" s="46">
        <f>SUM(N178:N182)</f>
        <v>500</v>
      </c>
      <c r="O183" s="46">
        <f>SUM(O178:O182)</f>
        <v>0</v>
      </c>
      <c r="P183" s="46">
        <f>SUM(P178:P182)</f>
        <v>0</v>
      </c>
      <c r="Q183" s="37">
        <f>SUM(N183:P183)</f>
        <v>500</v>
      </c>
      <c r="R183" s="37">
        <f>+E183+I183+M183+Q183</f>
        <v>4000</v>
      </c>
    </row>
    <row r="184" spans="1:18" ht="15.75" customHeight="1" x14ac:dyDescent="0.3">
      <c r="A184" s="234" t="s">
        <v>2166</v>
      </c>
      <c r="B184" s="172"/>
      <c r="C184" s="172"/>
      <c r="D184" s="172"/>
      <c r="E184" s="38" t="s">
        <v>852</v>
      </c>
      <c r="F184" s="172"/>
      <c r="G184" s="172"/>
      <c r="H184" s="172"/>
      <c r="I184" s="38" t="s">
        <v>852</v>
      </c>
      <c r="J184" s="172"/>
      <c r="K184" s="172"/>
      <c r="L184" s="172"/>
      <c r="M184" s="38" t="s">
        <v>852</v>
      </c>
      <c r="N184" s="172"/>
      <c r="O184" s="172"/>
      <c r="P184" s="172"/>
      <c r="Q184" s="38" t="s">
        <v>852</v>
      </c>
      <c r="R184" s="38" t="s">
        <v>852</v>
      </c>
    </row>
    <row r="185" spans="1:18" ht="15.75" customHeight="1" x14ac:dyDescent="0.3">
      <c r="A185" s="234" t="s">
        <v>1245</v>
      </c>
      <c r="B185" s="172"/>
      <c r="C185" s="172"/>
      <c r="D185" s="172"/>
      <c r="E185" s="38" t="s">
        <v>852</v>
      </c>
      <c r="F185" s="172"/>
      <c r="G185" s="172"/>
      <c r="H185" s="172"/>
      <c r="I185" s="38" t="s">
        <v>852</v>
      </c>
      <c r="J185" s="172"/>
      <c r="K185" s="172"/>
      <c r="L185" s="172"/>
      <c r="M185" s="38" t="s">
        <v>852</v>
      </c>
      <c r="N185" s="172"/>
      <c r="O185" s="172"/>
      <c r="P185" s="172"/>
      <c r="Q185" s="38" t="s">
        <v>852</v>
      </c>
      <c r="R185" s="38" t="s">
        <v>852</v>
      </c>
    </row>
    <row r="186" spans="1:18" ht="15.75" customHeight="1" x14ac:dyDescent="0.3">
      <c r="A186" s="234" t="s">
        <v>1711</v>
      </c>
      <c r="B186" s="172"/>
      <c r="C186" s="172"/>
      <c r="D186" s="172"/>
      <c r="E186" s="38" t="s">
        <v>852</v>
      </c>
      <c r="F186" s="172"/>
      <c r="G186" s="172"/>
      <c r="H186" s="172"/>
      <c r="I186" s="38" t="s">
        <v>852</v>
      </c>
      <c r="J186" s="172"/>
      <c r="K186" s="172"/>
      <c r="L186" s="172"/>
      <c r="M186" s="38" t="s">
        <v>852</v>
      </c>
      <c r="N186" s="172"/>
      <c r="O186" s="172"/>
      <c r="P186" s="172"/>
      <c r="Q186" s="38" t="s">
        <v>852</v>
      </c>
      <c r="R186" s="38" t="s">
        <v>852</v>
      </c>
    </row>
    <row r="187" spans="1:18" ht="15.75" customHeight="1" x14ac:dyDescent="0.3">
      <c r="A187" s="540" t="s">
        <v>1364</v>
      </c>
      <c r="B187" s="172">
        <v>290</v>
      </c>
      <c r="C187" s="172">
        <v>247</v>
      </c>
      <c r="D187" s="172">
        <v>288</v>
      </c>
      <c r="E187" s="38">
        <f>SUM(B187:D187)</f>
        <v>825</v>
      </c>
      <c r="F187" s="172">
        <v>348</v>
      </c>
      <c r="G187" s="172">
        <v>406</v>
      </c>
      <c r="H187" s="172">
        <v>453</v>
      </c>
      <c r="I187" s="38">
        <f>SUM(F187:H187)</f>
        <v>1207</v>
      </c>
      <c r="J187" s="172">
        <v>432</v>
      </c>
      <c r="K187" s="172">
        <v>418</v>
      </c>
      <c r="L187" s="172">
        <v>413</v>
      </c>
      <c r="M187" s="38">
        <f>SUM(J187:L187)</f>
        <v>1263</v>
      </c>
      <c r="N187" s="172">
        <v>417</v>
      </c>
      <c r="O187" s="172">
        <v>338</v>
      </c>
      <c r="P187" s="172">
        <v>283</v>
      </c>
      <c r="Q187" s="38">
        <f>SUM(N187:P187)</f>
        <v>1038</v>
      </c>
      <c r="R187" s="38">
        <f>+E187+I187+M187+Q187</f>
        <v>4333</v>
      </c>
    </row>
    <row r="188" spans="1:18" ht="15.75" customHeight="1" x14ac:dyDescent="0.3">
      <c r="A188" s="540" t="s">
        <v>1388</v>
      </c>
      <c r="B188" s="172">
        <v>0</v>
      </c>
      <c r="C188" s="172">
        <v>0</v>
      </c>
      <c r="D188" s="172">
        <v>357</v>
      </c>
      <c r="E188" s="38">
        <f>SUM(B188:D188)</f>
        <v>357</v>
      </c>
      <c r="F188" s="172">
        <v>0</v>
      </c>
      <c r="G188" s="172">
        <v>0</v>
      </c>
      <c r="H188" s="172">
        <v>0</v>
      </c>
      <c r="I188" s="38">
        <f>SUM(F188:H188)</f>
        <v>0</v>
      </c>
      <c r="J188" s="172">
        <v>0</v>
      </c>
      <c r="K188" s="172">
        <v>0</v>
      </c>
      <c r="L188" s="172">
        <v>0</v>
      </c>
      <c r="M188" s="38">
        <f>SUM(J188:L188)</f>
        <v>0</v>
      </c>
      <c r="N188" s="172">
        <v>0</v>
      </c>
      <c r="O188" s="172">
        <v>0</v>
      </c>
      <c r="P188" s="172">
        <v>0</v>
      </c>
      <c r="Q188" s="38">
        <f>SUM(N188:P188)</f>
        <v>0</v>
      </c>
      <c r="R188" s="38">
        <f>+E188+I188+M188+Q188</f>
        <v>357</v>
      </c>
    </row>
    <row r="189" spans="1:18" ht="15.75" customHeight="1" x14ac:dyDescent="0.3">
      <c r="A189" s="540" t="s">
        <v>693</v>
      </c>
      <c r="B189" s="172">
        <v>18</v>
      </c>
      <c r="C189" s="172">
        <v>31</v>
      </c>
      <c r="D189" s="172">
        <v>38</v>
      </c>
      <c r="E189" s="38">
        <f>SUM(B189:D189)</f>
        <v>87</v>
      </c>
      <c r="F189" s="172">
        <v>92</v>
      </c>
      <c r="G189" s="172">
        <v>61</v>
      </c>
      <c r="H189" s="172">
        <v>87</v>
      </c>
      <c r="I189" s="38">
        <f>SUM(F189:H189)</f>
        <v>240</v>
      </c>
      <c r="J189" s="172">
        <v>73</v>
      </c>
      <c r="K189" s="172">
        <v>107</v>
      </c>
      <c r="L189" s="172">
        <v>73</v>
      </c>
      <c r="M189" s="38">
        <f>SUM(J189:L189)</f>
        <v>253</v>
      </c>
      <c r="N189" s="172">
        <v>73</v>
      </c>
      <c r="O189" s="172">
        <v>36</v>
      </c>
      <c r="P189" s="172">
        <v>10</v>
      </c>
      <c r="Q189" s="38">
        <f>SUM(N189:P189)</f>
        <v>119</v>
      </c>
      <c r="R189" s="38">
        <f>+E189+I189+M189+Q189</f>
        <v>699</v>
      </c>
    </row>
    <row r="190" spans="1:18" ht="15.75" customHeight="1" x14ac:dyDescent="0.3">
      <c r="A190" s="410" t="s">
        <v>1091</v>
      </c>
      <c r="B190" s="172">
        <v>0</v>
      </c>
      <c r="C190" s="172">
        <v>0</v>
      </c>
      <c r="D190" s="172">
        <v>0</v>
      </c>
      <c r="E190" s="38">
        <f t="shared" ref="E190:E220" si="35">SUM(B190:D190)</f>
        <v>0</v>
      </c>
      <c r="F190" s="172">
        <v>0</v>
      </c>
      <c r="G190" s="172">
        <v>0</v>
      </c>
      <c r="H190" s="172">
        <v>0</v>
      </c>
      <c r="I190" s="38">
        <f t="shared" ref="I190:I220" si="36">SUM(F190:H190)</f>
        <v>0</v>
      </c>
      <c r="J190" s="172">
        <v>0</v>
      </c>
      <c r="K190" s="172">
        <v>0</v>
      </c>
      <c r="L190" s="172">
        <v>0</v>
      </c>
      <c r="M190" s="38">
        <f t="shared" ref="M190:M220" si="37">SUM(J190:L190)</f>
        <v>0</v>
      </c>
      <c r="N190" s="172">
        <v>0</v>
      </c>
      <c r="O190" s="172">
        <v>0</v>
      </c>
      <c r="P190" s="172">
        <v>0</v>
      </c>
      <c r="Q190" s="38">
        <f t="shared" ref="Q190:Q220" si="38">SUM(N190:P190)</f>
        <v>0</v>
      </c>
      <c r="R190" s="38">
        <f t="shared" ref="R190:R220" si="39">+E190+I190+M190+Q190</f>
        <v>0</v>
      </c>
    </row>
    <row r="191" spans="1:18" ht="15.75" customHeight="1" x14ac:dyDescent="0.3">
      <c r="A191" s="410" t="s">
        <v>725</v>
      </c>
      <c r="B191" s="172">
        <v>0</v>
      </c>
      <c r="C191" s="172">
        <v>0</v>
      </c>
      <c r="D191" s="172">
        <v>0</v>
      </c>
      <c r="E191" s="38">
        <f>SUM(B191:D191)</f>
        <v>0</v>
      </c>
      <c r="F191" s="172">
        <v>0</v>
      </c>
      <c r="G191" s="172">
        <v>0</v>
      </c>
      <c r="H191" s="172">
        <v>0</v>
      </c>
      <c r="I191" s="38">
        <f>SUM(F191:H191)</f>
        <v>0</v>
      </c>
      <c r="J191" s="172">
        <v>0</v>
      </c>
      <c r="K191" s="172">
        <v>0</v>
      </c>
      <c r="L191" s="172">
        <v>0</v>
      </c>
      <c r="M191" s="38">
        <f>SUM(J191:L191)</f>
        <v>0</v>
      </c>
      <c r="N191" s="172">
        <v>0</v>
      </c>
      <c r="O191" s="172">
        <v>0</v>
      </c>
      <c r="P191" s="172">
        <v>0</v>
      </c>
      <c r="Q191" s="38">
        <f>SUM(N191:P191)</f>
        <v>0</v>
      </c>
      <c r="R191" s="38">
        <f>+E191+I191+M191+Q191</f>
        <v>0</v>
      </c>
    </row>
    <row r="192" spans="1:18" ht="15.75" customHeight="1" x14ac:dyDescent="0.3">
      <c r="A192" s="410" t="s">
        <v>568</v>
      </c>
      <c r="B192" s="172">
        <v>682</v>
      </c>
      <c r="C192" s="172">
        <v>0</v>
      </c>
      <c r="D192" s="172">
        <v>0</v>
      </c>
      <c r="E192" s="38">
        <f>SUM(B192:D192)</f>
        <v>682</v>
      </c>
      <c r="F192" s="172">
        <v>0</v>
      </c>
      <c r="G192" s="172">
        <v>0</v>
      </c>
      <c r="H192" s="172">
        <v>0</v>
      </c>
      <c r="I192" s="38">
        <f>SUM(F192:H192)</f>
        <v>0</v>
      </c>
      <c r="J192" s="172">
        <v>0</v>
      </c>
      <c r="K192" s="172">
        <v>0</v>
      </c>
      <c r="L192" s="172">
        <v>0</v>
      </c>
      <c r="M192" s="38">
        <f>SUM(J192:L192)</f>
        <v>0</v>
      </c>
      <c r="N192" s="172">
        <v>0</v>
      </c>
      <c r="O192" s="172">
        <v>0</v>
      </c>
      <c r="P192" s="172">
        <v>0</v>
      </c>
      <c r="Q192" s="38">
        <f>SUM(N192:P192)</f>
        <v>0</v>
      </c>
      <c r="R192" s="38">
        <f>+E192+I192+M192+Q192</f>
        <v>682</v>
      </c>
    </row>
    <row r="193" spans="1:21" ht="15.75" customHeight="1" x14ac:dyDescent="0.3">
      <c r="A193" s="410" t="s">
        <v>1150</v>
      </c>
      <c r="B193" s="172">
        <v>0</v>
      </c>
      <c r="C193" s="172">
        <v>0</v>
      </c>
      <c r="D193" s="172">
        <v>0</v>
      </c>
      <c r="E193" s="38">
        <f t="shared" si="35"/>
        <v>0</v>
      </c>
      <c r="F193" s="172">
        <v>0</v>
      </c>
      <c r="G193" s="172">
        <v>0</v>
      </c>
      <c r="H193" s="172">
        <v>0</v>
      </c>
      <c r="I193" s="38">
        <f t="shared" si="36"/>
        <v>0</v>
      </c>
      <c r="J193" s="172">
        <v>0</v>
      </c>
      <c r="K193" s="172">
        <v>0</v>
      </c>
      <c r="L193" s="172">
        <v>0</v>
      </c>
      <c r="M193" s="38">
        <f t="shared" si="37"/>
        <v>0</v>
      </c>
      <c r="N193" s="172">
        <v>0</v>
      </c>
      <c r="O193" s="172">
        <v>0</v>
      </c>
      <c r="P193" s="172">
        <v>0</v>
      </c>
      <c r="Q193" s="38">
        <f t="shared" si="38"/>
        <v>0</v>
      </c>
      <c r="R193" s="38">
        <f t="shared" si="39"/>
        <v>0</v>
      </c>
    </row>
    <row r="194" spans="1:21" ht="15.75" customHeight="1" x14ac:dyDescent="0.3">
      <c r="A194" s="410" t="s">
        <v>1973</v>
      </c>
      <c r="B194" s="172">
        <v>1136</v>
      </c>
      <c r="C194" s="172">
        <v>0</v>
      </c>
      <c r="D194" s="172">
        <v>0</v>
      </c>
      <c r="E194" s="38">
        <f t="shared" si="35"/>
        <v>1136</v>
      </c>
      <c r="F194" s="172">
        <v>0</v>
      </c>
      <c r="G194" s="172">
        <v>0</v>
      </c>
      <c r="H194" s="172">
        <v>0</v>
      </c>
      <c r="I194" s="38">
        <f t="shared" si="36"/>
        <v>0</v>
      </c>
      <c r="J194" s="172">
        <v>0</v>
      </c>
      <c r="K194" s="172">
        <v>0</v>
      </c>
      <c r="L194" s="172">
        <v>0</v>
      </c>
      <c r="M194" s="38">
        <f t="shared" si="37"/>
        <v>0</v>
      </c>
      <c r="N194" s="172">
        <v>0</v>
      </c>
      <c r="O194" s="172">
        <v>0</v>
      </c>
      <c r="P194" s="172">
        <v>0</v>
      </c>
      <c r="Q194" s="38">
        <f t="shared" si="38"/>
        <v>0</v>
      </c>
      <c r="R194" s="38">
        <f t="shared" si="39"/>
        <v>1136</v>
      </c>
    </row>
    <row r="195" spans="1:21" ht="15.75" customHeight="1" x14ac:dyDescent="0.3">
      <c r="A195" s="410" t="s">
        <v>1974</v>
      </c>
      <c r="B195" s="172">
        <v>23</v>
      </c>
      <c r="C195" s="172">
        <v>0</v>
      </c>
      <c r="D195" s="172">
        <v>0</v>
      </c>
      <c r="E195" s="38">
        <f t="shared" si="35"/>
        <v>23</v>
      </c>
      <c r="F195" s="172">
        <v>0</v>
      </c>
      <c r="G195" s="172">
        <v>0</v>
      </c>
      <c r="H195" s="172">
        <v>0</v>
      </c>
      <c r="I195" s="38">
        <f t="shared" si="36"/>
        <v>0</v>
      </c>
      <c r="J195" s="172">
        <v>0</v>
      </c>
      <c r="K195" s="172">
        <v>0</v>
      </c>
      <c r="L195" s="172">
        <v>0</v>
      </c>
      <c r="M195" s="38">
        <f t="shared" si="37"/>
        <v>0</v>
      </c>
      <c r="N195" s="172">
        <v>0</v>
      </c>
      <c r="O195" s="172">
        <v>0</v>
      </c>
      <c r="P195" s="172">
        <v>0</v>
      </c>
      <c r="Q195" s="38">
        <f t="shared" si="38"/>
        <v>0</v>
      </c>
      <c r="R195" s="38">
        <f t="shared" si="39"/>
        <v>23</v>
      </c>
    </row>
    <row r="196" spans="1:21" ht="15.75" customHeight="1" x14ac:dyDescent="0.3">
      <c r="A196" s="410" t="s">
        <v>1975</v>
      </c>
      <c r="B196" s="172">
        <v>23</v>
      </c>
      <c r="C196" s="172">
        <v>0</v>
      </c>
      <c r="D196" s="172">
        <v>0</v>
      </c>
      <c r="E196" s="38">
        <f t="shared" si="35"/>
        <v>23</v>
      </c>
      <c r="F196" s="172">
        <v>0</v>
      </c>
      <c r="G196" s="172">
        <v>0</v>
      </c>
      <c r="H196" s="172">
        <v>0</v>
      </c>
      <c r="I196" s="38">
        <f t="shared" si="36"/>
        <v>0</v>
      </c>
      <c r="J196" s="172">
        <v>0</v>
      </c>
      <c r="K196" s="172">
        <v>0</v>
      </c>
      <c r="L196" s="172">
        <v>0</v>
      </c>
      <c r="M196" s="38">
        <f t="shared" si="37"/>
        <v>0</v>
      </c>
      <c r="N196" s="172">
        <v>0</v>
      </c>
      <c r="O196" s="172">
        <v>0</v>
      </c>
      <c r="P196" s="172">
        <v>0</v>
      </c>
      <c r="Q196" s="38">
        <f t="shared" si="38"/>
        <v>0</v>
      </c>
      <c r="R196" s="38">
        <f t="shared" si="39"/>
        <v>23</v>
      </c>
    </row>
    <row r="197" spans="1:21" ht="15.75" customHeight="1" x14ac:dyDescent="0.3">
      <c r="A197" s="410" t="s">
        <v>1495</v>
      </c>
      <c r="B197" s="172">
        <v>0</v>
      </c>
      <c r="C197" s="172">
        <v>0</v>
      </c>
      <c r="D197" s="172">
        <v>0</v>
      </c>
      <c r="E197" s="38">
        <f t="shared" si="35"/>
        <v>0</v>
      </c>
      <c r="F197" s="172">
        <v>0</v>
      </c>
      <c r="G197" s="172">
        <v>4300</v>
      </c>
      <c r="H197" s="172">
        <v>0</v>
      </c>
      <c r="I197" s="38">
        <f t="shared" si="36"/>
        <v>4300</v>
      </c>
      <c r="J197" s="172">
        <v>0</v>
      </c>
      <c r="K197" s="172">
        <v>0</v>
      </c>
      <c r="L197" s="172">
        <v>0</v>
      </c>
      <c r="M197" s="38">
        <f t="shared" si="37"/>
        <v>0</v>
      </c>
      <c r="N197" s="172">
        <v>0</v>
      </c>
      <c r="O197" s="172">
        <v>0</v>
      </c>
      <c r="P197" s="172">
        <v>0</v>
      </c>
      <c r="Q197" s="38">
        <f t="shared" si="38"/>
        <v>0</v>
      </c>
      <c r="R197" s="38">
        <f t="shared" si="39"/>
        <v>4300</v>
      </c>
    </row>
    <row r="198" spans="1:21" ht="15.75" customHeight="1" x14ac:dyDescent="0.3">
      <c r="A198" s="410" t="s">
        <v>1849</v>
      </c>
      <c r="B198" s="10">
        <v>1520</v>
      </c>
      <c r="C198" s="10">
        <v>1979</v>
      </c>
      <c r="D198" s="10">
        <v>771</v>
      </c>
      <c r="E198" s="38">
        <f t="shared" si="35"/>
        <v>4270</v>
      </c>
      <c r="F198" s="10">
        <v>805</v>
      </c>
      <c r="G198" s="10">
        <v>1023</v>
      </c>
      <c r="H198" s="10">
        <v>602</v>
      </c>
      <c r="I198" s="38">
        <f t="shared" si="36"/>
        <v>2430</v>
      </c>
      <c r="J198" s="10">
        <v>0</v>
      </c>
      <c r="K198" s="10">
        <v>0</v>
      </c>
      <c r="L198" s="10">
        <v>0</v>
      </c>
      <c r="M198" s="38">
        <f t="shared" si="37"/>
        <v>0</v>
      </c>
      <c r="N198" s="10">
        <v>300</v>
      </c>
      <c r="O198" s="10">
        <v>0</v>
      </c>
      <c r="P198" s="10">
        <v>0</v>
      </c>
      <c r="Q198" s="38">
        <f t="shared" si="38"/>
        <v>300</v>
      </c>
      <c r="R198" s="38">
        <f t="shared" si="39"/>
        <v>7000</v>
      </c>
    </row>
    <row r="199" spans="1:21" ht="15.75" customHeight="1" x14ac:dyDescent="0.3">
      <c r="A199" s="410" t="s">
        <v>1851</v>
      </c>
      <c r="B199" s="10">
        <v>0</v>
      </c>
      <c r="C199" s="10">
        <v>0</v>
      </c>
      <c r="D199" s="10">
        <v>0</v>
      </c>
      <c r="E199" s="38">
        <f t="shared" si="35"/>
        <v>0</v>
      </c>
      <c r="F199" s="10">
        <v>0</v>
      </c>
      <c r="G199" s="10">
        <v>212</v>
      </c>
      <c r="H199" s="10">
        <v>14157</v>
      </c>
      <c r="I199" s="38">
        <f t="shared" si="36"/>
        <v>14369</v>
      </c>
      <c r="J199" s="10">
        <v>631</v>
      </c>
      <c r="K199" s="10">
        <v>0</v>
      </c>
      <c r="L199" s="10">
        <v>0</v>
      </c>
      <c r="M199" s="38">
        <f t="shared" si="37"/>
        <v>631</v>
      </c>
      <c r="N199" s="10">
        <v>0</v>
      </c>
      <c r="O199" s="10">
        <v>0</v>
      </c>
      <c r="P199" s="10">
        <v>0</v>
      </c>
      <c r="Q199" s="38">
        <f t="shared" si="38"/>
        <v>0</v>
      </c>
      <c r="R199" s="38">
        <f t="shared" si="39"/>
        <v>15000</v>
      </c>
    </row>
    <row r="200" spans="1:21" ht="15.75" customHeight="1" x14ac:dyDescent="0.3">
      <c r="A200" s="410" t="s">
        <v>1850</v>
      </c>
      <c r="B200" s="10">
        <v>0</v>
      </c>
      <c r="C200" s="10">
        <v>0</v>
      </c>
      <c r="D200" s="10">
        <v>0</v>
      </c>
      <c r="E200" s="38">
        <f t="shared" si="35"/>
        <v>0</v>
      </c>
      <c r="F200" s="10">
        <v>0</v>
      </c>
      <c r="G200" s="10">
        <v>0</v>
      </c>
      <c r="H200" s="10">
        <v>0</v>
      </c>
      <c r="I200" s="38">
        <f t="shared" si="36"/>
        <v>0</v>
      </c>
      <c r="J200" s="10">
        <v>0</v>
      </c>
      <c r="K200" s="10">
        <v>0</v>
      </c>
      <c r="L200" s="10">
        <v>0</v>
      </c>
      <c r="M200" s="38">
        <f t="shared" si="37"/>
        <v>0</v>
      </c>
      <c r="N200" s="10">
        <v>0</v>
      </c>
      <c r="O200" s="10">
        <v>0</v>
      </c>
      <c r="P200" s="10">
        <v>0</v>
      </c>
      <c r="Q200" s="38">
        <f t="shared" si="38"/>
        <v>0</v>
      </c>
      <c r="R200" s="38">
        <f t="shared" si="39"/>
        <v>0</v>
      </c>
    </row>
    <row r="201" spans="1:21" ht="15.75" customHeight="1" x14ac:dyDescent="0.3">
      <c r="A201" s="410" t="s">
        <v>885</v>
      </c>
      <c r="B201" s="172">
        <v>0</v>
      </c>
      <c r="C201" s="172">
        <v>0</v>
      </c>
      <c r="D201" s="172">
        <v>0</v>
      </c>
      <c r="E201" s="38">
        <f t="shared" si="35"/>
        <v>0</v>
      </c>
      <c r="F201" s="172">
        <v>0</v>
      </c>
      <c r="G201" s="172">
        <v>0</v>
      </c>
      <c r="H201" s="172">
        <v>0</v>
      </c>
      <c r="I201" s="38">
        <f t="shared" si="36"/>
        <v>0</v>
      </c>
      <c r="J201" s="172">
        <v>0</v>
      </c>
      <c r="K201" s="172">
        <v>0</v>
      </c>
      <c r="L201" s="172">
        <v>0</v>
      </c>
      <c r="M201" s="38">
        <f t="shared" si="37"/>
        <v>0</v>
      </c>
      <c r="N201" s="172">
        <v>0</v>
      </c>
      <c r="O201" s="172">
        <v>0</v>
      </c>
      <c r="P201" s="172">
        <v>0</v>
      </c>
      <c r="Q201" s="38">
        <f t="shared" si="38"/>
        <v>0</v>
      </c>
      <c r="R201" s="38">
        <f t="shared" si="39"/>
        <v>0</v>
      </c>
    </row>
    <row r="202" spans="1:21" ht="15.75" customHeight="1" x14ac:dyDescent="0.3">
      <c r="A202" s="410" t="s">
        <v>613</v>
      </c>
      <c r="B202" s="172">
        <v>0</v>
      </c>
      <c r="C202" s="172">
        <v>0</v>
      </c>
      <c r="D202" s="172">
        <v>0</v>
      </c>
      <c r="E202" s="38">
        <f t="shared" si="35"/>
        <v>0</v>
      </c>
      <c r="F202" s="172">
        <v>0</v>
      </c>
      <c r="G202" s="172">
        <v>0</v>
      </c>
      <c r="H202" s="172">
        <v>0</v>
      </c>
      <c r="I202" s="38">
        <f t="shared" si="36"/>
        <v>0</v>
      </c>
      <c r="J202" s="172">
        <v>0</v>
      </c>
      <c r="K202" s="172">
        <v>0</v>
      </c>
      <c r="L202" s="172">
        <v>0</v>
      </c>
      <c r="M202" s="38">
        <f t="shared" si="37"/>
        <v>0</v>
      </c>
      <c r="N202" s="172">
        <v>0</v>
      </c>
      <c r="O202" s="172">
        <v>0</v>
      </c>
      <c r="P202" s="172">
        <v>0</v>
      </c>
      <c r="Q202" s="38">
        <f t="shared" si="38"/>
        <v>0</v>
      </c>
      <c r="R202" s="38">
        <f t="shared" si="39"/>
        <v>0</v>
      </c>
      <c r="S202" s="230"/>
      <c r="T202" s="230"/>
      <c r="U202" s="230"/>
    </row>
    <row r="203" spans="1:21" ht="15.75" customHeight="1" x14ac:dyDescent="0.3">
      <c r="A203" s="410" t="s">
        <v>1163</v>
      </c>
      <c r="B203" s="172">
        <v>0</v>
      </c>
      <c r="C203" s="172">
        <v>0</v>
      </c>
      <c r="D203" s="172">
        <v>0</v>
      </c>
      <c r="E203" s="38">
        <f t="shared" si="35"/>
        <v>0</v>
      </c>
      <c r="F203" s="172">
        <v>1169</v>
      </c>
      <c r="G203" s="172">
        <v>645</v>
      </c>
      <c r="H203" s="172">
        <v>0</v>
      </c>
      <c r="I203" s="38">
        <f t="shared" si="36"/>
        <v>1814</v>
      </c>
      <c r="J203" s="172">
        <v>0</v>
      </c>
      <c r="K203" s="172">
        <v>0</v>
      </c>
      <c r="L203" s="172">
        <v>0</v>
      </c>
      <c r="M203" s="38">
        <f t="shared" si="37"/>
        <v>0</v>
      </c>
      <c r="N203" s="172">
        <v>0</v>
      </c>
      <c r="O203" s="172">
        <v>0</v>
      </c>
      <c r="P203" s="172">
        <v>0</v>
      </c>
      <c r="Q203" s="38">
        <f t="shared" si="38"/>
        <v>0</v>
      </c>
      <c r="R203" s="38">
        <f t="shared" si="39"/>
        <v>1814</v>
      </c>
    </row>
    <row r="204" spans="1:21" ht="15.75" customHeight="1" x14ac:dyDescent="0.3">
      <c r="A204" s="410" t="s">
        <v>1097</v>
      </c>
      <c r="B204" s="172">
        <v>0</v>
      </c>
      <c r="C204" s="172">
        <v>0</v>
      </c>
      <c r="D204" s="172">
        <v>0</v>
      </c>
      <c r="E204" s="38">
        <f t="shared" si="35"/>
        <v>0</v>
      </c>
      <c r="F204" s="172">
        <v>0</v>
      </c>
      <c r="G204" s="172">
        <v>0</v>
      </c>
      <c r="H204" s="172">
        <v>0</v>
      </c>
      <c r="I204" s="38">
        <f t="shared" si="36"/>
        <v>0</v>
      </c>
      <c r="J204" s="172">
        <v>0</v>
      </c>
      <c r="K204" s="172">
        <v>0</v>
      </c>
      <c r="L204" s="172">
        <v>0</v>
      </c>
      <c r="M204" s="38">
        <f t="shared" si="37"/>
        <v>0</v>
      </c>
      <c r="N204" s="172">
        <v>0</v>
      </c>
      <c r="O204" s="172">
        <v>0</v>
      </c>
      <c r="P204" s="172">
        <v>0</v>
      </c>
      <c r="Q204" s="38">
        <f t="shared" si="38"/>
        <v>0</v>
      </c>
      <c r="R204" s="38">
        <f t="shared" si="39"/>
        <v>0</v>
      </c>
    </row>
    <row r="205" spans="1:21" ht="15.75" customHeight="1" x14ac:dyDescent="0.3">
      <c r="A205" s="410" t="s">
        <v>14</v>
      </c>
      <c r="B205" s="172">
        <v>0</v>
      </c>
      <c r="C205" s="172">
        <v>0</v>
      </c>
      <c r="D205" s="172">
        <v>0</v>
      </c>
      <c r="E205" s="38">
        <f t="shared" si="35"/>
        <v>0</v>
      </c>
      <c r="F205" s="172">
        <v>0</v>
      </c>
      <c r="G205" s="172">
        <v>3023</v>
      </c>
      <c r="H205" s="172">
        <v>0</v>
      </c>
      <c r="I205" s="38">
        <f t="shared" si="36"/>
        <v>3023</v>
      </c>
      <c r="J205" s="172">
        <v>0</v>
      </c>
      <c r="K205" s="172">
        <v>0</v>
      </c>
      <c r="L205" s="172">
        <v>0</v>
      </c>
      <c r="M205" s="38">
        <f t="shared" si="37"/>
        <v>0</v>
      </c>
      <c r="N205" s="172">
        <v>0</v>
      </c>
      <c r="O205" s="172">
        <v>0</v>
      </c>
      <c r="P205" s="172">
        <v>0</v>
      </c>
      <c r="Q205" s="38">
        <f t="shared" si="38"/>
        <v>0</v>
      </c>
      <c r="R205" s="38">
        <f t="shared" si="39"/>
        <v>3023</v>
      </c>
    </row>
    <row r="206" spans="1:21" ht="15.75" customHeight="1" x14ac:dyDescent="0.3">
      <c r="A206" s="410" t="s">
        <v>2410</v>
      </c>
      <c r="B206" s="172">
        <v>60</v>
      </c>
      <c r="C206" s="172">
        <v>0</v>
      </c>
      <c r="D206" s="172">
        <v>0</v>
      </c>
      <c r="E206" s="38">
        <f t="shared" si="35"/>
        <v>60</v>
      </c>
      <c r="F206" s="172">
        <v>0</v>
      </c>
      <c r="G206" s="172">
        <v>0</v>
      </c>
      <c r="H206" s="172">
        <v>0</v>
      </c>
      <c r="I206" s="38">
        <f t="shared" si="36"/>
        <v>0</v>
      </c>
      <c r="J206" s="172">
        <v>0</v>
      </c>
      <c r="K206" s="172">
        <v>0</v>
      </c>
      <c r="L206" s="172">
        <v>0</v>
      </c>
      <c r="M206" s="38">
        <f t="shared" si="37"/>
        <v>0</v>
      </c>
      <c r="N206" s="172">
        <v>0</v>
      </c>
      <c r="O206" s="172">
        <v>0</v>
      </c>
      <c r="P206" s="172">
        <v>0</v>
      </c>
      <c r="Q206" s="38">
        <f t="shared" si="38"/>
        <v>0</v>
      </c>
      <c r="R206" s="38">
        <f t="shared" si="39"/>
        <v>60</v>
      </c>
    </row>
    <row r="207" spans="1:21" ht="15.75" customHeight="1" x14ac:dyDescent="0.3">
      <c r="A207" s="410" t="s">
        <v>2485</v>
      </c>
      <c r="B207" s="172">
        <v>60</v>
      </c>
      <c r="C207" s="172">
        <v>0</v>
      </c>
      <c r="D207" s="172">
        <v>0</v>
      </c>
      <c r="E207" s="38">
        <f t="shared" si="35"/>
        <v>60</v>
      </c>
      <c r="F207" s="172">
        <v>0</v>
      </c>
      <c r="G207" s="172">
        <v>0</v>
      </c>
      <c r="H207" s="172">
        <v>0</v>
      </c>
      <c r="I207" s="38">
        <f t="shared" si="36"/>
        <v>0</v>
      </c>
      <c r="J207" s="172">
        <v>0</v>
      </c>
      <c r="K207" s="172">
        <v>0</v>
      </c>
      <c r="L207" s="172">
        <v>0</v>
      </c>
      <c r="M207" s="38">
        <f t="shared" si="37"/>
        <v>0</v>
      </c>
      <c r="N207" s="172">
        <v>0</v>
      </c>
      <c r="O207" s="172">
        <v>0</v>
      </c>
      <c r="P207" s="172">
        <v>0</v>
      </c>
      <c r="Q207" s="38">
        <f t="shared" si="38"/>
        <v>0</v>
      </c>
      <c r="R207" s="38">
        <f t="shared" si="39"/>
        <v>60</v>
      </c>
    </row>
    <row r="208" spans="1:21" ht="15.75" customHeight="1" x14ac:dyDescent="0.3">
      <c r="A208" s="410" t="s">
        <v>1066</v>
      </c>
      <c r="B208" s="172">
        <v>0</v>
      </c>
      <c r="C208" s="172">
        <v>0</v>
      </c>
      <c r="D208" s="172">
        <v>0</v>
      </c>
      <c r="E208" s="38">
        <f t="shared" si="35"/>
        <v>0</v>
      </c>
      <c r="F208" s="172">
        <v>0</v>
      </c>
      <c r="G208" s="172">
        <v>0</v>
      </c>
      <c r="H208" s="172">
        <v>0</v>
      </c>
      <c r="I208" s="38">
        <f t="shared" si="36"/>
        <v>0</v>
      </c>
      <c r="J208" s="172">
        <v>0</v>
      </c>
      <c r="K208" s="172">
        <v>0</v>
      </c>
      <c r="L208" s="172">
        <v>250</v>
      </c>
      <c r="M208" s="38">
        <f t="shared" si="37"/>
        <v>250</v>
      </c>
      <c r="N208" s="172">
        <v>0</v>
      </c>
      <c r="O208" s="172">
        <v>0</v>
      </c>
      <c r="P208" s="172">
        <v>0</v>
      </c>
      <c r="Q208" s="38">
        <f t="shared" si="38"/>
        <v>0</v>
      </c>
      <c r="R208" s="38">
        <f t="shared" si="39"/>
        <v>250</v>
      </c>
    </row>
    <row r="209" spans="1:18" ht="15.75" customHeight="1" x14ac:dyDescent="0.3">
      <c r="A209" s="410" t="s">
        <v>2275</v>
      </c>
      <c r="B209" s="172">
        <v>406</v>
      </c>
      <c r="C209" s="172">
        <v>330</v>
      </c>
      <c r="D209" s="172">
        <v>590</v>
      </c>
      <c r="E209" s="38">
        <f>SUM(B209:D209)</f>
        <v>1326</v>
      </c>
      <c r="F209" s="172">
        <v>791</v>
      </c>
      <c r="G209" s="172">
        <v>759</v>
      </c>
      <c r="H209" s="172">
        <v>494</v>
      </c>
      <c r="I209" s="38">
        <f>SUM(F209:H209)</f>
        <v>2044</v>
      </c>
      <c r="J209" s="172">
        <v>515</v>
      </c>
      <c r="K209" s="172">
        <v>761</v>
      </c>
      <c r="L209" s="172">
        <v>744</v>
      </c>
      <c r="M209" s="38">
        <f>SUM(J209:L209)</f>
        <v>2020</v>
      </c>
      <c r="N209" s="172">
        <v>590</v>
      </c>
      <c r="O209" s="172">
        <v>386</v>
      </c>
      <c r="P209" s="172">
        <v>401</v>
      </c>
      <c r="Q209" s="38">
        <f>SUM(N209:P209)</f>
        <v>1377</v>
      </c>
      <c r="R209" s="38">
        <f>+E209+I209+M209+Q209</f>
        <v>6767</v>
      </c>
    </row>
    <row r="210" spans="1:18" ht="15.75" customHeight="1" x14ac:dyDescent="0.3">
      <c r="A210" s="540" t="s">
        <v>1466</v>
      </c>
      <c r="B210" s="172">
        <v>1966</v>
      </c>
      <c r="C210" s="172">
        <v>2409</v>
      </c>
      <c r="D210" s="172">
        <v>2732</v>
      </c>
      <c r="E210" s="38">
        <f>SUM(B210:D210)</f>
        <v>7107</v>
      </c>
      <c r="F210" s="172">
        <v>588</v>
      </c>
      <c r="G210" s="172">
        <f>1812+647</f>
        <v>2459</v>
      </c>
      <c r="H210" s="172">
        <f>3320+0</f>
        <v>3320</v>
      </c>
      <c r="I210" s="38">
        <f>SUM(F210:H210)</f>
        <v>6367</v>
      </c>
      <c r="J210" s="172">
        <f>679+1000</f>
        <v>1679</v>
      </c>
      <c r="K210" s="172">
        <f>1200+406</f>
        <v>1606</v>
      </c>
      <c r="L210" s="172">
        <f>1500+1837</f>
        <v>3337</v>
      </c>
      <c r="M210" s="38">
        <f>SUM(J210:L210)</f>
        <v>6622</v>
      </c>
      <c r="N210" s="172">
        <v>2909</v>
      </c>
      <c r="O210" s="172">
        <v>3464</v>
      </c>
      <c r="P210" s="172">
        <v>661</v>
      </c>
      <c r="Q210" s="38">
        <f>SUM(N210:P210)</f>
        <v>7034</v>
      </c>
      <c r="R210" s="38">
        <f>+E210+I210+M210+Q210</f>
        <v>27130</v>
      </c>
    </row>
    <row r="211" spans="1:18" ht="15.75" customHeight="1" x14ac:dyDescent="0.3">
      <c r="A211" s="410" t="s">
        <v>2089</v>
      </c>
      <c r="B211" s="172">
        <v>0</v>
      </c>
      <c r="C211" s="172">
        <v>0</v>
      </c>
      <c r="D211" s="172">
        <v>0</v>
      </c>
      <c r="E211" s="38">
        <f>SUM(B211:D211)</f>
        <v>0</v>
      </c>
      <c r="F211" s="172">
        <v>0</v>
      </c>
      <c r="G211" s="172">
        <v>0</v>
      </c>
      <c r="H211" s="172">
        <v>0</v>
      </c>
      <c r="I211" s="38">
        <f>SUM(F211:H211)</f>
        <v>0</v>
      </c>
      <c r="J211" s="172">
        <v>0</v>
      </c>
      <c r="K211" s="172">
        <v>0</v>
      </c>
      <c r="L211" s="172">
        <v>0</v>
      </c>
      <c r="M211" s="38">
        <f>SUM(J211:L211)</f>
        <v>0</v>
      </c>
      <c r="N211" s="172">
        <v>0</v>
      </c>
      <c r="O211" s="172">
        <v>0</v>
      </c>
      <c r="P211" s="172">
        <v>0</v>
      </c>
      <c r="Q211" s="38">
        <f>SUM(N211:P211)</f>
        <v>0</v>
      </c>
      <c r="R211" s="38">
        <f>+E211+I211+M211+Q211</f>
        <v>0</v>
      </c>
    </row>
    <row r="212" spans="1:18" ht="15.75" customHeight="1" x14ac:dyDescent="0.3">
      <c r="A212" s="410" t="s">
        <v>1475</v>
      </c>
      <c r="B212" s="172">
        <v>0</v>
      </c>
      <c r="C212" s="172">
        <v>0</v>
      </c>
      <c r="D212" s="172">
        <v>0</v>
      </c>
      <c r="E212" s="38">
        <f>SUM(B212:D212)</f>
        <v>0</v>
      </c>
      <c r="F212" s="172">
        <v>0</v>
      </c>
      <c r="G212" s="172">
        <v>0</v>
      </c>
      <c r="H212" s="172">
        <v>0</v>
      </c>
      <c r="I212" s="38">
        <f>SUM(F212:H212)</f>
        <v>0</v>
      </c>
      <c r="J212" s="172">
        <v>0</v>
      </c>
      <c r="K212" s="172">
        <v>0</v>
      </c>
      <c r="L212" s="172">
        <v>0</v>
      </c>
      <c r="M212" s="38">
        <f>SUM(J212:L212)</f>
        <v>0</v>
      </c>
      <c r="N212" s="172">
        <v>0</v>
      </c>
      <c r="O212" s="172">
        <v>0</v>
      </c>
      <c r="P212" s="172">
        <v>0</v>
      </c>
      <c r="Q212" s="38">
        <f>SUM(N212:P212)</f>
        <v>0</v>
      </c>
      <c r="R212" s="38">
        <f>+E212+I212+M212+Q212</f>
        <v>0</v>
      </c>
    </row>
    <row r="213" spans="1:18" ht="15.75" customHeight="1" x14ac:dyDescent="0.3">
      <c r="A213" s="410" t="s">
        <v>100</v>
      </c>
      <c r="B213" s="172">
        <v>421</v>
      </c>
      <c r="C213" s="172">
        <v>1004</v>
      </c>
      <c r="D213" s="172">
        <v>1320</v>
      </c>
      <c r="E213" s="38">
        <f t="shared" si="35"/>
        <v>2745</v>
      </c>
      <c r="F213" s="172">
        <v>105</v>
      </c>
      <c r="G213" s="172">
        <v>0</v>
      </c>
      <c r="H213" s="172">
        <v>0</v>
      </c>
      <c r="I213" s="38">
        <f t="shared" si="36"/>
        <v>105</v>
      </c>
      <c r="J213" s="172">
        <v>0</v>
      </c>
      <c r="K213" s="172">
        <v>0</v>
      </c>
      <c r="L213" s="172">
        <v>0</v>
      </c>
      <c r="M213" s="38">
        <f t="shared" si="37"/>
        <v>0</v>
      </c>
      <c r="N213" s="172">
        <v>0</v>
      </c>
      <c r="O213" s="172">
        <v>0</v>
      </c>
      <c r="P213" s="172">
        <v>0</v>
      </c>
      <c r="Q213" s="38">
        <f t="shared" si="38"/>
        <v>0</v>
      </c>
      <c r="R213" s="38">
        <f t="shared" si="39"/>
        <v>2850</v>
      </c>
    </row>
    <row r="214" spans="1:18" ht="15.75" customHeight="1" x14ac:dyDescent="0.3">
      <c r="A214" s="410" t="s">
        <v>101</v>
      </c>
      <c r="B214" s="172">
        <v>0</v>
      </c>
      <c r="C214" s="172">
        <v>0</v>
      </c>
      <c r="D214" s="172">
        <v>0</v>
      </c>
      <c r="E214" s="38">
        <f t="shared" si="35"/>
        <v>0</v>
      </c>
      <c r="F214" s="172">
        <v>0</v>
      </c>
      <c r="G214" s="172">
        <v>0</v>
      </c>
      <c r="H214" s="172">
        <v>0</v>
      </c>
      <c r="I214" s="38">
        <f t="shared" si="36"/>
        <v>0</v>
      </c>
      <c r="J214" s="172">
        <v>0</v>
      </c>
      <c r="K214" s="172">
        <v>0</v>
      </c>
      <c r="L214" s="172">
        <v>0</v>
      </c>
      <c r="M214" s="38">
        <f t="shared" si="37"/>
        <v>0</v>
      </c>
      <c r="N214" s="172">
        <v>0</v>
      </c>
      <c r="O214" s="172">
        <v>0</v>
      </c>
      <c r="P214" s="172">
        <v>0</v>
      </c>
      <c r="Q214" s="38">
        <f t="shared" si="38"/>
        <v>0</v>
      </c>
      <c r="R214" s="38">
        <f t="shared" si="39"/>
        <v>0</v>
      </c>
    </row>
    <row r="215" spans="1:18" ht="15.75" customHeight="1" x14ac:dyDescent="0.3">
      <c r="A215" s="410" t="s">
        <v>2446</v>
      </c>
      <c r="B215" s="172">
        <v>0</v>
      </c>
      <c r="C215" s="172">
        <v>0</v>
      </c>
      <c r="D215" s="172">
        <v>0</v>
      </c>
      <c r="E215" s="38">
        <f t="shared" si="35"/>
        <v>0</v>
      </c>
      <c r="F215" s="10">
        <v>0</v>
      </c>
      <c r="G215" s="10">
        <v>4750</v>
      </c>
      <c r="H215" s="172">
        <v>0</v>
      </c>
      <c r="I215" s="38">
        <f t="shared" si="36"/>
        <v>4750</v>
      </c>
      <c r="J215" s="172">
        <v>0</v>
      </c>
      <c r="K215" s="172">
        <v>0</v>
      </c>
      <c r="L215" s="172">
        <v>0</v>
      </c>
      <c r="M215" s="38">
        <f t="shared" si="37"/>
        <v>0</v>
      </c>
      <c r="N215" s="172">
        <v>0</v>
      </c>
      <c r="O215" s="172">
        <v>0</v>
      </c>
      <c r="P215" s="172">
        <v>0</v>
      </c>
      <c r="Q215" s="38">
        <f t="shared" si="38"/>
        <v>0</v>
      </c>
      <c r="R215" s="38">
        <f t="shared" si="39"/>
        <v>4750</v>
      </c>
    </row>
    <row r="216" spans="1:18" ht="15.75" customHeight="1" x14ac:dyDescent="0.3">
      <c r="A216" s="410" t="s">
        <v>829</v>
      </c>
      <c r="B216" s="172">
        <v>95</v>
      </c>
      <c r="C216" s="172">
        <v>0</v>
      </c>
      <c r="D216" s="172">
        <v>0</v>
      </c>
      <c r="E216" s="38">
        <f t="shared" si="35"/>
        <v>95</v>
      </c>
      <c r="F216" s="172">
        <v>0</v>
      </c>
      <c r="G216" s="172">
        <v>0</v>
      </c>
      <c r="H216" s="172">
        <v>0</v>
      </c>
      <c r="I216" s="38">
        <f t="shared" si="36"/>
        <v>0</v>
      </c>
      <c r="J216" s="172">
        <v>0</v>
      </c>
      <c r="K216" s="172">
        <v>0</v>
      </c>
      <c r="L216" s="172">
        <v>0</v>
      </c>
      <c r="M216" s="38">
        <f t="shared" si="37"/>
        <v>0</v>
      </c>
      <c r="N216" s="172">
        <v>0</v>
      </c>
      <c r="O216" s="172">
        <v>0</v>
      </c>
      <c r="P216" s="172">
        <v>0</v>
      </c>
      <c r="Q216" s="38">
        <f t="shared" si="38"/>
        <v>0</v>
      </c>
      <c r="R216" s="38">
        <f t="shared" si="39"/>
        <v>95</v>
      </c>
    </row>
    <row r="217" spans="1:18" ht="15.75" customHeight="1" x14ac:dyDescent="0.3">
      <c r="A217" s="410" t="s">
        <v>343</v>
      </c>
      <c r="B217" s="172">
        <v>95</v>
      </c>
      <c r="C217" s="172">
        <v>0</v>
      </c>
      <c r="D217" s="172">
        <v>0</v>
      </c>
      <c r="E217" s="38">
        <f t="shared" si="35"/>
        <v>95</v>
      </c>
      <c r="F217" s="172">
        <v>0</v>
      </c>
      <c r="G217" s="172">
        <v>0</v>
      </c>
      <c r="H217" s="172">
        <v>0</v>
      </c>
      <c r="I217" s="38">
        <f t="shared" si="36"/>
        <v>0</v>
      </c>
      <c r="J217" s="172">
        <v>0</v>
      </c>
      <c r="K217" s="172">
        <v>0</v>
      </c>
      <c r="L217" s="172">
        <v>0</v>
      </c>
      <c r="M217" s="38">
        <f t="shared" si="37"/>
        <v>0</v>
      </c>
      <c r="N217" s="172">
        <v>0</v>
      </c>
      <c r="O217" s="172">
        <v>0</v>
      </c>
      <c r="P217" s="172">
        <v>0</v>
      </c>
      <c r="Q217" s="38">
        <f t="shared" si="38"/>
        <v>0</v>
      </c>
      <c r="R217" s="38">
        <f t="shared" si="39"/>
        <v>95</v>
      </c>
    </row>
    <row r="218" spans="1:18" ht="15.75" customHeight="1" x14ac:dyDescent="0.3">
      <c r="A218" s="410" t="s">
        <v>1453</v>
      </c>
      <c r="B218" s="172">
        <v>177</v>
      </c>
      <c r="C218" s="172">
        <v>3890</v>
      </c>
      <c r="D218" s="172">
        <v>4536</v>
      </c>
      <c r="E218" s="38">
        <f>SUM(B218:D218)</f>
        <v>8603</v>
      </c>
      <c r="F218" s="172">
        <v>3897</v>
      </c>
      <c r="G218" s="172">
        <v>0</v>
      </c>
      <c r="H218" s="172">
        <v>0</v>
      </c>
      <c r="I218" s="38">
        <f>SUM(F218:H218)</f>
        <v>3897</v>
      </c>
      <c r="J218" s="172">
        <v>0</v>
      </c>
      <c r="K218" s="172">
        <v>0</v>
      </c>
      <c r="L218" s="172">
        <v>0</v>
      </c>
      <c r="M218" s="38">
        <f>SUM(J218:L218)</f>
        <v>0</v>
      </c>
      <c r="N218" s="172">
        <v>0</v>
      </c>
      <c r="O218" s="172">
        <v>0</v>
      </c>
      <c r="P218" s="172">
        <v>0</v>
      </c>
      <c r="Q218" s="38">
        <f>SUM(N218:P218)</f>
        <v>0</v>
      </c>
      <c r="R218" s="38">
        <f>+E218+I218+M218+Q218</f>
        <v>12500</v>
      </c>
    </row>
    <row r="219" spans="1:18" ht="15.75" customHeight="1" thickBot="1" x14ac:dyDescent="0.35">
      <c r="A219" s="410" t="s">
        <v>1410</v>
      </c>
      <c r="B219" s="172">
        <v>500</v>
      </c>
      <c r="C219" s="172">
        <v>0</v>
      </c>
      <c r="D219" s="172">
        <v>0</v>
      </c>
      <c r="E219" s="38">
        <f t="shared" si="35"/>
        <v>500</v>
      </c>
      <c r="F219" s="172">
        <v>0</v>
      </c>
      <c r="G219" s="172">
        <v>0</v>
      </c>
      <c r="H219" s="172">
        <v>0</v>
      </c>
      <c r="I219" s="38">
        <f t="shared" si="36"/>
        <v>0</v>
      </c>
      <c r="J219" s="172">
        <v>0</v>
      </c>
      <c r="K219" s="172">
        <v>0</v>
      </c>
      <c r="L219" s="172">
        <v>0</v>
      </c>
      <c r="M219" s="38">
        <f t="shared" si="37"/>
        <v>0</v>
      </c>
      <c r="N219" s="172">
        <v>0</v>
      </c>
      <c r="O219" s="172">
        <v>0</v>
      </c>
      <c r="P219" s="172">
        <v>0</v>
      </c>
      <c r="Q219" s="38">
        <f t="shared" si="38"/>
        <v>0</v>
      </c>
      <c r="R219" s="38">
        <f t="shared" si="39"/>
        <v>500</v>
      </c>
    </row>
    <row r="220" spans="1:18" ht="16.5" customHeight="1" thickBot="1" x14ac:dyDescent="0.35">
      <c r="A220" s="43" t="s">
        <v>1220</v>
      </c>
      <c r="B220" s="45">
        <f>SUM(B184:B219)</f>
        <v>7472</v>
      </c>
      <c r="C220" s="46">
        <f>SUM(C184:C219)</f>
        <v>9890</v>
      </c>
      <c r="D220" s="46">
        <f>SUM(D184:D219)</f>
        <v>10632</v>
      </c>
      <c r="E220" s="37">
        <f t="shared" si="35"/>
        <v>27994</v>
      </c>
      <c r="F220" s="46">
        <f>SUM(F184:F219)</f>
        <v>7795</v>
      </c>
      <c r="G220" s="46">
        <f>SUM(G184:G219)</f>
        <v>17638</v>
      </c>
      <c r="H220" s="46">
        <f>SUM(H184:H219)</f>
        <v>19113</v>
      </c>
      <c r="I220" s="37">
        <f t="shared" si="36"/>
        <v>44546</v>
      </c>
      <c r="J220" s="46">
        <f>SUM(J184:J219)</f>
        <v>3330</v>
      </c>
      <c r="K220" s="46">
        <f>SUM(K184:K219)</f>
        <v>2892</v>
      </c>
      <c r="L220" s="46">
        <f>SUM(L184:L219)</f>
        <v>4817</v>
      </c>
      <c r="M220" s="37">
        <f t="shared" si="37"/>
        <v>11039</v>
      </c>
      <c r="N220" s="46">
        <f>SUM(N184:N219)</f>
        <v>4289</v>
      </c>
      <c r="O220" s="46">
        <f>SUM(O184:O219)</f>
        <v>4224</v>
      </c>
      <c r="P220" s="46">
        <f>SUM(P184:P219)</f>
        <v>1355</v>
      </c>
      <c r="Q220" s="37">
        <f t="shared" si="38"/>
        <v>9868</v>
      </c>
      <c r="R220" s="37">
        <f t="shared" si="39"/>
        <v>93447</v>
      </c>
    </row>
    <row r="221" spans="1:18" ht="15.75" customHeight="1" x14ac:dyDescent="0.3">
      <c r="A221" s="234" t="s">
        <v>1712</v>
      </c>
      <c r="B221" s="172"/>
      <c r="C221" s="172"/>
      <c r="D221" s="172"/>
      <c r="E221" s="38" t="s">
        <v>852</v>
      </c>
      <c r="F221" s="172"/>
      <c r="G221" s="172"/>
      <c r="H221" s="172"/>
      <c r="I221" s="38" t="s">
        <v>852</v>
      </c>
      <c r="J221" s="172"/>
      <c r="K221" s="172"/>
      <c r="L221" s="172"/>
      <c r="M221" s="38" t="s">
        <v>852</v>
      </c>
      <c r="N221" s="172"/>
      <c r="O221" s="172"/>
      <c r="P221" s="172"/>
      <c r="Q221" s="38" t="s">
        <v>852</v>
      </c>
      <c r="R221" s="38" t="s">
        <v>852</v>
      </c>
    </row>
    <row r="222" spans="1:18" ht="15.75" customHeight="1" x14ac:dyDescent="0.3">
      <c r="A222" s="234" t="s">
        <v>1021</v>
      </c>
      <c r="B222" s="172"/>
      <c r="C222" s="172"/>
      <c r="D222" s="172"/>
      <c r="E222" s="38" t="s">
        <v>852</v>
      </c>
      <c r="F222" s="172"/>
      <c r="G222" s="172"/>
      <c r="H222" s="172"/>
      <c r="I222" s="38" t="s">
        <v>852</v>
      </c>
      <c r="J222" s="172"/>
      <c r="K222" s="172"/>
      <c r="L222" s="172"/>
      <c r="M222" s="38" t="s">
        <v>852</v>
      </c>
      <c r="N222" s="172"/>
      <c r="O222" s="172"/>
      <c r="P222" s="172"/>
      <c r="Q222" s="38" t="s">
        <v>852</v>
      </c>
      <c r="R222" s="38" t="s">
        <v>852</v>
      </c>
    </row>
    <row r="223" spans="1:18" ht="15.75" customHeight="1" x14ac:dyDescent="0.3">
      <c r="A223" s="568" t="s">
        <v>1181</v>
      </c>
      <c r="B223" s="172">
        <v>0</v>
      </c>
      <c r="C223" s="172">
        <v>0</v>
      </c>
      <c r="D223" s="172">
        <v>0</v>
      </c>
      <c r="E223" s="38">
        <f>SUM(B223:D223)</f>
        <v>0</v>
      </c>
      <c r="F223" s="172">
        <v>0</v>
      </c>
      <c r="G223" s="172">
        <v>0</v>
      </c>
      <c r="H223" s="172">
        <v>0</v>
      </c>
      <c r="I223" s="38">
        <f>SUM(F223:H223)</f>
        <v>0</v>
      </c>
      <c r="J223" s="172">
        <v>1576</v>
      </c>
      <c r="K223" s="172">
        <v>483</v>
      </c>
      <c r="L223" s="172">
        <v>400</v>
      </c>
      <c r="M223" s="38">
        <f>SUM(J223:L223)</f>
        <v>2459</v>
      </c>
      <c r="N223" s="172">
        <v>197</v>
      </c>
      <c r="O223" s="172">
        <v>0</v>
      </c>
      <c r="P223" s="172">
        <v>0</v>
      </c>
      <c r="Q223" s="38">
        <f>SUM(N223:P223)</f>
        <v>197</v>
      </c>
      <c r="R223" s="38">
        <f>+E223+I223+M223+Q223</f>
        <v>2656</v>
      </c>
    </row>
    <row r="224" spans="1:18" ht="15.75" customHeight="1" x14ac:dyDescent="0.3">
      <c r="A224" s="568" t="s">
        <v>1323</v>
      </c>
      <c r="B224" s="172">
        <v>0</v>
      </c>
      <c r="C224" s="172">
        <v>0</v>
      </c>
      <c r="D224" s="172">
        <v>0</v>
      </c>
      <c r="E224" s="38">
        <f>SUM(B224:D224)</f>
        <v>0</v>
      </c>
      <c r="F224" s="172">
        <v>0</v>
      </c>
      <c r="G224" s="172">
        <v>0</v>
      </c>
      <c r="H224" s="172">
        <v>0</v>
      </c>
      <c r="I224" s="38">
        <f>SUM(F224:H224)</f>
        <v>0</v>
      </c>
      <c r="J224" s="172">
        <v>0</v>
      </c>
      <c r="K224" s="172">
        <v>0</v>
      </c>
      <c r="L224" s="172">
        <v>0</v>
      </c>
      <c r="M224" s="38">
        <f>SUM(J224:L224)</f>
        <v>0</v>
      </c>
      <c r="N224" s="172">
        <v>0</v>
      </c>
      <c r="O224" s="172">
        <v>0</v>
      </c>
      <c r="P224" s="172">
        <v>547</v>
      </c>
      <c r="Q224" s="38">
        <f>SUM(N224:P224)</f>
        <v>547</v>
      </c>
      <c r="R224" s="38">
        <f>+E224+I224+M224+Q224</f>
        <v>547</v>
      </c>
    </row>
    <row r="225" spans="1:18" ht="15.75" customHeight="1" x14ac:dyDescent="0.3">
      <c r="A225" s="568" t="s">
        <v>2317</v>
      </c>
      <c r="B225" s="172">
        <v>0</v>
      </c>
      <c r="C225" s="172">
        <v>0</v>
      </c>
      <c r="D225" s="172">
        <v>0</v>
      </c>
      <c r="E225" s="38">
        <f>SUM(B225:D225)</f>
        <v>0</v>
      </c>
      <c r="F225" s="172">
        <v>0</v>
      </c>
      <c r="G225" s="172">
        <v>0</v>
      </c>
      <c r="H225" s="172">
        <v>0</v>
      </c>
      <c r="I225" s="38">
        <f>SUM(F225:H225)</f>
        <v>0</v>
      </c>
      <c r="J225" s="172">
        <v>0</v>
      </c>
      <c r="K225" s="172">
        <v>0</v>
      </c>
      <c r="L225" s="172">
        <v>0</v>
      </c>
      <c r="M225" s="38">
        <f>SUM(J225:L225)</f>
        <v>0</v>
      </c>
      <c r="N225" s="172">
        <v>0</v>
      </c>
      <c r="O225" s="172">
        <v>0</v>
      </c>
      <c r="P225" s="172">
        <v>0</v>
      </c>
      <c r="Q225" s="38">
        <f>SUM(N225:P225)</f>
        <v>0</v>
      </c>
      <c r="R225" s="38">
        <f>+E225+I225+M225+Q225</f>
        <v>0</v>
      </c>
    </row>
    <row r="226" spans="1:18" ht="15.75" customHeight="1" x14ac:dyDescent="0.3">
      <c r="A226" s="234" t="s">
        <v>557</v>
      </c>
      <c r="B226" s="172"/>
      <c r="C226" s="172"/>
      <c r="D226" s="172"/>
      <c r="E226" s="38" t="s">
        <v>852</v>
      </c>
      <c r="F226" s="172"/>
      <c r="G226" s="172"/>
      <c r="H226" s="172"/>
      <c r="I226" s="38" t="s">
        <v>852</v>
      </c>
      <c r="J226" s="172"/>
      <c r="K226" s="172"/>
      <c r="L226" s="172"/>
      <c r="M226" s="38" t="s">
        <v>852</v>
      </c>
      <c r="N226" s="172"/>
      <c r="O226" s="172"/>
      <c r="P226" s="172"/>
      <c r="Q226" s="38" t="s">
        <v>852</v>
      </c>
      <c r="R226" s="38" t="s">
        <v>852</v>
      </c>
    </row>
    <row r="227" spans="1:18" ht="15.75" customHeight="1" x14ac:dyDescent="0.3">
      <c r="A227" s="568" t="s">
        <v>2558</v>
      </c>
      <c r="B227" s="172">
        <v>0</v>
      </c>
      <c r="C227" s="172">
        <v>0</v>
      </c>
      <c r="D227" s="172">
        <v>0</v>
      </c>
      <c r="E227" s="38">
        <f>SUM(B227:D227)</f>
        <v>0</v>
      </c>
      <c r="F227" s="172">
        <v>0</v>
      </c>
      <c r="G227" s="172">
        <v>0</v>
      </c>
      <c r="H227" s="172">
        <v>0</v>
      </c>
      <c r="I227" s="38">
        <f>SUM(F227:H227)</f>
        <v>0</v>
      </c>
      <c r="J227" s="172">
        <v>0</v>
      </c>
      <c r="K227" s="172">
        <v>0</v>
      </c>
      <c r="L227" s="172">
        <v>0</v>
      </c>
      <c r="M227" s="38">
        <f>SUM(J227:L227)</f>
        <v>0</v>
      </c>
      <c r="N227" s="172">
        <v>0</v>
      </c>
      <c r="O227" s="172">
        <v>0</v>
      </c>
      <c r="P227" s="172">
        <v>0</v>
      </c>
      <c r="Q227" s="38">
        <f>SUM(N227:P227)</f>
        <v>0</v>
      </c>
      <c r="R227" s="38">
        <f>+E227+I227+M227+Q227</f>
        <v>0</v>
      </c>
    </row>
    <row r="228" spans="1:18" ht="15.75" customHeight="1" x14ac:dyDescent="0.3">
      <c r="A228" s="568" t="s">
        <v>2559</v>
      </c>
      <c r="B228" s="172">
        <v>0</v>
      </c>
      <c r="C228" s="172">
        <v>0</v>
      </c>
      <c r="D228" s="172">
        <v>0</v>
      </c>
      <c r="E228" s="38">
        <f>SUM(B228:D228)</f>
        <v>0</v>
      </c>
      <c r="F228" s="172">
        <v>0</v>
      </c>
      <c r="G228" s="172">
        <v>0</v>
      </c>
      <c r="H228" s="172">
        <v>0</v>
      </c>
      <c r="I228" s="38">
        <f>SUM(F228:H228)</f>
        <v>0</v>
      </c>
      <c r="J228" s="172">
        <v>0</v>
      </c>
      <c r="K228" s="172">
        <v>0</v>
      </c>
      <c r="L228" s="172">
        <v>0</v>
      </c>
      <c r="M228" s="38">
        <f>SUM(J228:L228)</f>
        <v>0</v>
      </c>
      <c r="N228" s="172">
        <v>0</v>
      </c>
      <c r="O228" s="172">
        <v>0</v>
      </c>
      <c r="P228" s="172">
        <v>0</v>
      </c>
      <c r="Q228" s="38">
        <f>SUM(N228:P228)</f>
        <v>0</v>
      </c>
      <c r="R228" s="38">
        <f>+E228+I228+M228+Q228</f>
        <v>0</v>
      </c>
    </row>
    <row r="229" spans="1:18" ht="15.75" customHeight="1" x14ac:dyDescent="0.3">
      <c r="A229" s="539" t="s">
        <v>2560</v>
      </c>
      <c r="B229" s="172">
        <v>0</v>
      </c>
      <c r="C229" s="172">
        <v>0</v>
      </c>
      <c r="D229" s="172">
        <v>0</v>
      </c>
      <c r="E229" s="38">
        <f t="shared" ref="E229:E234" si="40">SUM(B229:D229)</f>
        <v>0</v>
      </c>
      <c r="F229" s="172">
        <v>0</v>
      </c>
      <c r="G229" s="172">
        <v>0</v>
      </c>
      <c r="H229" s="172">
        <v>0</v>
      </c>
      <c r="I229" s="38">
        <f t="shared" ref="I229:I234" si="41">SUM(F229:H229)</f>
        <v>0</v>
      </c>
      <c r="J229" s="172">
        <v>0</v>
      </c>
      <c r="K229" s="172">
        <v>0</v>
      </c>
      <c r="L229" s="172">
        <v>0</v>
      </c>
      <c r="M229" s="38">
        <f t="shared" ref="M229:M234" si="42">SUM(J229:L229)</f>
        <v>0</v>
      </c>
      <c r="N229" s="172">
        <v>0</v>
      </c>
      <c r="O229" s="172">
        <v>0</v>
      </c>
      <c r="P229" s="172">
        <v>0</v>
      </c>
      <c r="Q229" s="38">
        <f t="shared" ref="Q229:Q234" si="43">SUM(N229:P229)</f>
        <v>0</v>
      </c>
      <c r="R229" s="38">
        <f t="shared" ref="R229:R234" si="44">+E229+I229+M229+Q229</f>
        <v>0</v>
      </c>
    </row>
    <row r="230" spans="1:18" ht="15.75" customHeight="1" x14ac:dyDescent="0.3">
      <c r="A230" s="539" t="s">
        <v>2561</v>
      </c>
      <c r="B230" s="172">
        <v>0</v>
      </c>
      <c r="C230" s="172">
        <v>0</v>
      </c>
      <c r="D230" s="172">
        <v>0</v>
      </c>
      <c r="E230" s="38">
        <f t="shared" si="40"/>
        <v>0</v>
      </c>
      <c r="F230" s="172">
        <v>0</v>
      </c>
      <c r="G230" s="172">
        <v>0</v>
      </c>
      <c r="H230" s="172">
        <v>0</v>
      </c>
      <c r="I230" s="38">
        <f t="shared" si="41"/>
        <v>0</v>
      </c>
      <c r="J230" s="172">
        <v>0</v>
      </c>
      <c r="K230" s="172">
        <v>0</v>
      </c>
      <c r="L230" s="172">
        <v>0</v>
      </c>
      <c r="M230" s="38">
        <f t="shared" si="42"/>
        <v>0</v>
      </c>
      <c r="N230" s="172">
        <v>0</v>
      </c>
      <c r="O230" s="172">
        <v>0</v>
      </c>
      <c r="P230" s="172">
        <v>0</v>
      </c>
      <c r="Q230" s="38">
        <f t="shared" si="43"/>
        <v>0</v>
      </c>
      <c r="R230" s="38">
        <f t="shared" si="44"/>
        <v>0</v>
      </c>
    </row>
    <row r="231" spans="1:18" ht="15.75" customHeight="1" x14ac:dyDescent="0.3">
      <c r="A231" s="569" t="s">
        <v>2562</v>
      </c>
      <c r="B231" s="172">
        <v>0</v>
      </c>
      <c r="C231" s="172">
        <v>0</v>
      </c>
      <c r="D231" s="172">
        <v>0</v>
      </c>
      <c r="E231" s="38">
        <f t="shared" si="40"/>
        <v>0</v>
      </c>
      <c r="F231" s="172">
        <v>0</v>
      </c>
      <c r="G231" s="172">
        <v>0</v>
      </c>
      <c r="H231" s="172">
        <v>0</v>
      </c>
      <c r="I231" s="38">
        <f t="shared" si="41"/>
        <v>0</v>
      </c>
      <c r="J231" s="172">
        <v>0</v>
      </c>
      <c r="K231" s="172">
        <v>0</v>
      </c>
      <c r="L231" s="172">
        <v>0</v>
      </c>
      <c r="M231" s="38">
        <f t="shared" si="42"/>
        <v>0</v>
      </c>
      <c r="N231" s="172">
        <v>0</v>
      </c>
      <c r="O231" s="172">
        <v>0</v>
      </c>
      <c r="P231" s="172">
        <v>0</v>
      </c>
      <c r="Q231" s="38">
        <f t="shared" si="43"/>
        <v>0</v>
      </c>
      <c r="R231" s="38">
        <f t="shared" si="44"/>
        <v>0</v>
      </c>
    </row>
    <row r="232" spans="1:18" ht="15.75" customHeight="1" x14ac:dyDescent="0.3">
      <c r="A232" s="569" t="s">
        <v>2563</v>
      </c>
      <c r="B232" s="172">
        <v>0</v>
      </c>
      <c r="C232" s="172">
        <v>0</v>
      </c>
      <c r="D232" s="172">
        <v>0</v>
      </c>
      <c r="E232" s="38">
        <f t="shared" si="40"/>
        <v>0</v>
      </c>
      <c r="F232" s="172">
        <v>0</v>
      </c>
      <c r="G232" s="172">
        <v>0</v>
      </c>
      <c r="H232" s="172">
        <v>0</v>
      </c>
      <c r="I232" s="38">
        <f t="shared" si="41"/>
        <v>0</v>
      </c>
      <c r="J232" s="172">
        <v>0</v>
      </c>
      <c r="K232" s="172">
        <v>0</v>
      </c>
      <c r="L232" s="172">
        <v>0</v>
      </c>
      <c r="M232" s="38">
        <f t="shared" si="42"/>
        <v>0</v>
      </c>
      <c r="N232" s="172">
        <v>0</v>
      </c>
      <c r="O232" s="172">
        <v>0</v>
      </c>
      <c r="P232" s="172">
        <v>0</v>
      </c>
      <c r="Q232" s="38">
        <f t="shared" si="43"/>
        <v>0</v>
      </c>
      <c r="R232" s="38">
        <f t="shared" si="44"/>
        <v>0</v>
      </c>
    </row>
    <row r="233" spans="1:18" ht="15.75" customHeight="1" x14ac:dyDescent="0.3">
      <c r="A233" s="422" t="s">
        <v>2564</v>
      </c>
      <c r="B233" s="172">
        <v>0</v>
      </c>
      <c r="C233" s="172">
        <v>0</v>
      </c>
      <c r="D233" s="172">
        <v>0</v>
      </c>
      <c r="E233" s="38">
        <f t="shared" si="40"/>
        <v>0</v>
      </c>
      <c r="F233" s="172">
        <v>0</v>
      </c>
      <c r="G233" s="172">
        <v>0</v>
      </c>
      <c r="H233" s="172">
        <v>0</v>
      </c>
      <c r="I233" s="38">
        <f t="shared" si="41"/>
        <v>0</v>
      </c>
      <c r="J233" s="172">
        <v>0</v>
      </c>
      <c r="K233" s="172">
        <v>0</v>
      </c>
      <c r="L233" s="172">
        <v>0</v>
      </c>
      <c r="M233" s="38">
        <f t="shared" si="42"/>
        <v>0</v>
      </c>
      <c r="N233" s="172">
        <v>0</v>
      </c>
      <c r="O233" s="172">
        <v>0</v>
      </c>
      <c r="P233" s="172">
        <v>0</v>
      </c>
      <c r="Q233" s="38">
        <f t="shared" si="43"/>
        <v>0</v>
      </c>
      <c r="R233" s="38">
        <f t="shared" si="44"/>
        <v>0</v>
      </c>
    </row>
    <row r="234" spans="1:18" ht="15.75" customHeight="1" x14ac:dyDescent="0.3">
      <c r="A234" s="422" t="s">
        <v>2565</v>
      </c>
      <c r="B234" s="172">
        <v>0</v>
      </c>
      <c r="C234" s="172">
        <v>0</v>
      </c>
      <c r="D234" s="172">
        <v>0</v>
      </c>
      <c r="E234" s="38">
        <f t="shared" si="40"/>
        <v>0</v>
      </c>
      <c r="F234" s="172">
        <v>0</v>
      </c>
      <c r="G234" s="172">
        <v>0</v>
      </c>
      <c r="H234" s="172">
        <v>0</v>
      </c>
      <c r="I234" s="38">
        <f t="shared" si="41"/>
        <v>0</v>
      </c>
      <c r="J234" s="172">
        <v>0</v>
      </c>
      <c r="K234" s="172">
        <v>0</v>
      </c>
      <c r="L234" s="172">
        <v>0</v>
      </c>
      <c r="M234" s="38">
        <f t="shared" si="42"/>
        <v>0</v>
      </c>
      <c r="N234" s="172">
        <v>0</v>
      </c>
      <c r="O234" s="172">
        <v>0</v>
      </c>
      <c r="P234" s="172">
        <v>0</v>
      </c>
      <c r="Q234" s="38">
        <f t="shared" si="43"/>
        <v>0</v>
      </c>
      <c r="R234" s="38">
        <f t="shared" si="44"/>
        <v>0</v>
      </c>
    </row>
    <row r="235" spans="1:18" ht="15.75" customHeight="1" x14ac:dyDescent="0.3">
      <c r="A235" s="234" t="s">
        <v>1022</v>
      </c>
      <c r="B235" s="172"/>
      <c r="C235" s="172"/>
      <c r="D235" s="172"/>
      <c r="E235" s="38" t="s">
        <v>852</v>
      </c>
      <c r="F235" s="172"/>
      <c r="G235" s="172"/>
      <c r="H235" s="172"/>
      <c r="I235" s="38" t="s">
        <v>852</v>
      </c>
      <c r="J235" s="172"/>
      <c r="K235" s="172"/>
      <c r="L235" s="172"/>
      <c r="M235" s="38" t="s">
        <v>852</v>
      </c>
      <c r="N235" s="172"/>
      <c r="O235" s="172"/>
      <c r="P235" s="172"/>
      <c r="Q235" s="38" t="s">
        <v>852</v>
      </c>
      <c r="R235" s="38" t="s">
        <v>852</v>
      </c>
    </row>
    <row r="236" spans="1:18" ht="15.75" customHeight="1" x14ac:dyDescent="0.3">
      <c r="A236" s="539" t="s">
        <v>1785</v>
      </c>
      <c r="B236" s="172">
        <v>0</v>
      </c>
      <c r="C236" s="172">
        <v>0</v>
      </c>
      <c r="D236" s="172">
        <v>0</v>
      </c>
      <c r="E236" s="38">
        <f>SUM(B236:D236)</f>
        <v>0</v>
      </c>
      <c r="F236" s="172">
        <v>0</v>
      </c>
      <c r="G236" s="172">
        <v>0</v>
      </c>
      <c r="H236" s="172">
        <v>0</v>
      </c>
      <c r="I236" s="38">
        <f>SUM(F236:H236)</f>
        <v>0</v>
      </c>
      <c r="J236" s="172">
        <v>0</v>
      </c>
      <c r="K236" s="172">
        <v>0</v>
      </c>
      <c r="L236" s="172">
        <v>0</v>
      </c>
      <c r="M236" s="38">
        <f>SUM(J236:L236)</f>
        <v>0</v>
      </c>
      <c r="N236" s="172">
        <v>0</v>
      </c>
      <c r="O236" s="172">
        <v>0</v>
      </c>
      <c r="P236" s="172">
        <v>0</v>
      </c>
      <c r="Q236" s="38">
        <f>SUM(N236:P236)</f>
        <v>0</v>
      </c>
      <c r="R236" s="38">
        <f>+E236+I236+M236+Q236</f>
        <v>0</v>
      </c>
    </row>
    <row r="237" spans="1:18" ht="15.75" customHeight="1" thickBot="1" x14ac:dyDescent="0.35">
      <c r="A237" s="234" t="s">
        <v>559</v>
      </c>
      <c r="B237" s="172"/>
      <c r="C237" s="172"/>
      <c r="D237" s="172"/>
      <c r="E237" s="38" t="s">
        <v>852</v>
      </c>
      <c r="F237" s="172"/>
      <c r="G237" s="172"/>
      <c r="H237" s="172"/>
      <c r="I237" s="38" t="s">
        <v>852</v>
      </c>
      <c r="J237" s="172"/>
      <c r="K237" s="172"/>
      <c r="L237" s="172"/>
      <c r="M237" s="38" t="s">
        <v>852</v>
      </c>
      <c r="N237" s="172"/>
      <c r="O237" s="172"/>
      <c r="P237" s="172"/>
      <c r="Q237" s="38" t="s">
        <v>852</v>
      </c>
      <c r="R237" s="38" t="s">
        <v>852</v>
      </c>
    </row>
    <row r="238" spans="1:18" ht="16.5" customHeight="1" thickBot="1" x14ac:dyDescent="0.35">
      <c r="A238" s="43" t="s">
        <v>1019</v>
      </c>
      <c r="B238" s="42">
        <f>SUM(B235:B237)</f>
        <v>0</v>
      </c>
      <c r="C238" s="42">
        <f>SUM(C235:C237)</f>
        <v>0</v>
      </c>
      <c r="D238" s="42">
        <f>SUM(D235:D237)</f>
        <v>0</v>
      </c>
      <c r="E238" s="39">
        <f t="shared" ref="E238:E246" si="45">SUM(B238:D238)</f>
        <v>0</v>
      </c>
      <c r="F238" s="42">
        <f>SUM(F235:F237)</f>
        <v>0</v>
      </c>
      <c r="G238" s="42">
        <f>SUM(G235:G237)</f>
        <v>0</v>
      </c>
      <c r="H238" s="42">
        <f>SUM(H235:H237)</f>
        <v>0</v>
      </c>
      <c r="I238" s="39">
        <f t="shared" ref="I238:I246" si="46">SUM(F238:H238)</f>
        <v>0</v>
      </c>
      <c r="J238" s="42">
        <f>SUM(J235:J237)</f>
        <v>0</v>
      </c>
      <c r="K238" s="42">
        <f>SUM(K235:K237)</f>
        <v>0</v>
      </c>
      <c r="L238" s="42">
        <f>SUM(L235:L237)</f>
        <v>0</v>
      </c>
      <c r="M238" s="39">
        <f t="shared" ref="M238:M246" si="47">SUM(J238:L238)</f>
        <v>0</v>
      </c>
      <c r="N238" s="42">
        <f>SUM(N235:N237)</f>
        <v>0</v>
      </c>
      <c r="O238" s="42">
        <f>SUM(O235:O237)</f>
        <v>0</v>
      </c>
      <c r="P238" s="42">
        <f>SUM(P235:P237)</f>
        <v>0</v>
      </c>
      <c r="Q238" s="39">
        <f t="shared" ref="Q238:Q246" si="48">SUM(N238:P238)</f>
        <v>0</v>
      </c>
      <c r="R238" s="37">
        <f t="shared" ref="R238:R246" si="49">+E238+I238+M238+Q238</f>
        <v>0</v>
      </c>
    </row>
    <row r="239" spans="1:18" ht="16.5" customHeight="1" thickBot="1" x14ac:dyDescent="0.35">
      <c r="A239" s="43" t="s">
        <v>1221</v>
      </c>
      <c r="B239" s="45">
        <f>SUM(B221:B237)</f>
        <v>0</v>
      </c>
      <c r="C239" s="46">
        <f>SUM(C221:C237)</f>
        <v>0</v>
      </c>
      <c r="D239" s="46">
        <f>SUM(D221:D237)</f>
        <v>0</v>
      </c>
      <c r="E239" s="37">
        <f t="shared" si="45"/>
        <v>0</v>
      </c>
      <c r="F239" s="46">
        <f>SUM(F221:F237)</f>
        <v>0</v>
      </c>
      <c r="G239" s="46">
        <f>SUM(G221:G237)</f>
        <v>0</v>
      </c>
      <c r="H239" s="46">
        <f>SUM(H221:H237)</f>
        <v>0</v>
      </c>
      <c r="I239" s="37">
        <f t="shared" si="46"/>
        <v>0</v>
      </c>
      <c r="J239" s="46">
        <f>SUM(J221:J237)</f>
        <v>1576</v>
      </c>
      <c r="K239" s="46">
        <f>SUM(K221:K237)</f>
        <v>483</v>
      </c>
      <c r="L239" s="46">
        <f>SUM(L221:L237)</f>
        <v>400</v>
      </c>
      <c r="M239" s="37">
        <f t="shared" si="47"/>
        <v>2459</v>
      </c>
      <c r="N239" s="46">
        <f>SUM(N221:N237)</f>
        <v>197</v>
      </c>
      <c r="O239" s="46">
        <f>SUM(O221:O237)</f>
        <v>0</v>
      </c>
      <c r="P239" s="46">
        <f>SUM(P221:P237)</f>
        <v>547</v>
      </c>
      <c r="Q239" s="37">
        <f t="shared" si="48"/>
        <v>744</v>
      </c>
      <c r="R239" s="37">
        <f t="shared" si="49"/>
        <v>3203</v>
      </c>
    </row>
    <row r="240" spans="1:18" ht="16.5" customHeight="1" thickBot="1" x14ac:dyDescent="0.35">
      <c r="A240" s="43" t="s">
        <v>1222</v>
      </c>
      <c r="B240" s="47">
        <f>+B177+B183+B220+B239</f>
        <v>21136</v>
      </c>
      <c r="C240" s="42">
        <f>+C177+C183+C220+C239</f>
        <v>20614</v>
      </c>
      <c r="D240" s="42">
        <f>+D177+D183+D220+D239</f>
        <v>25652</v>
      </c>
      <c r="E240" s="40">
        <f t="shared" si="45"/>
        <v>67402</v>
      </c>
      <c r="F240" s="42">
        <f>+F177+F183+F220+F239</f>
        <v>25161</v>
      </c>
      <c r="G240" s="42">
        <f>+G177+G183+G220+G239</f>
        <v>32782</v>
      </c>
      <c r="H240" s="42">
        <f>+H177+H183+H220+H239</f>
        <v>37106</v>
      </c>
      <c r="I240" s="40">
        <f t="shared" si="46"/>
        <v>95049</v>
      </c>
      <c r="J240" s="42">
        <f>+J177+J183+J220+J239</f>
        <v>32839</v>
      </c>
      <c r="K240" s="42">
        <f>+K177+K183+K220+K239</f>
        <v>31048</v>
      </c>
      <c r="L240" s="42">
        <f>+L177+L183+L220+L239</f>
        <v>31732</v>
      </c>
      <c r="M240" s="40">
        <f t="shared" si="47"/>
        <v>95619</v>
      </c>
      <c r="N240" s="42">
        <f>+N177+N183+N220+N239</f>
        <v>29580</v>
      </c>
      <c r="O240" s="42">
        <f>+O177+O183+O220+O239</f>
        <v>19551</v>
      </c>
      <c r="P240" s="42">
        <f>+P177+P183+P220+P239</f>
        <v>17102</v>
      </c>
      <c r="Q240" s="40">
        <f t="shared" si="48"/>
        <v>66233</v>
      </c>
      <c r="R240" s="40">
        <f t="shared" si="49"/>
        <v>324303</v>
      </c>
    </row>
    <row r="241" spans="1:18" ht="15.75" customHeight="1" x14ac:dyDescent="0.3">
      <c r="A241" s="269" t="s">
        <v>474</v>
      </c>
      <c r="B241" s="172">
        <v>0</v>
      </c>
      <c r="C241" s="172">
        <v>1539</v>
      </c>
      <c r="D241" s="172">
        <v>3357</v>
      </c>
      <c r="E241" s="38">
        <f t="shared" si="45"/>
        <v>4896</v>
      </c>
      <c r="F241" s="172">
        <v>4557</v>
      </c>
      <c r="G241" s="172">
        <v>5249</v>
      </c>
      <c r="H241" s="172">
        <v>4832</v>
      </c>
      <c r="I241" s="38">
        <f t="shared" si="46"/>
        <v>14638</v>
      </c>
      <c r="J241" s="172">
        <v>5186</v>
      </c>
      <c r="K241" s="172">
        <v>4567</v>
      </c>
      <c r="L241" s="172">
        <f>6195-500-68-2012</f>
        <v>3615</v>
      </c>
      <c r="M241" s="38">
        <f t="shared" si="47"/>
        <v>13368</v>
      </c>
      <c r="N241" s="172">
        <f>6311-500-29-1831</f>
        <v>3951</v>
      </c>
      <c r="O241" s="172">
        <v>3560</v>
      </c>
      <c r="P241" s="172">
        <v>916</v>
      </c>
      <c r="Q241" s="38">
        <f t="shared" si="48"/>
        <v>8427</v>
      </c>
      <c r="R241" s="38">
        <f t="shared" si="49"/>
        <v>41329</v>
      </c>
    </row>
    <row r="242" spans="1:18" ht="15.75" customHeight="1" x14ac:dyDescent="0.3">
      <c r="A242" s="270" t="s">
        <v>899</v>
      </c>
      <c r="B242" s="172">
        <v>0</v>
      </c>
      <c r="C242" s="172">
        <v>0</v>
      </c>
      <c r="D242" s="172">
        <v>0</v>
      </c>
      <c r="E242" s="38">
        <f t="shared" si="45"/>
        <v>0</v>
      </c>
      <c r="F242" s="172">
        <v>0</v>
      </c>
      <c r="G242" s="172">
        <v>0</v>
      </c>
      <c r="H242" s="172">
        <v>0</v>
      </c>
      <c r="I242" s="38">
        <f t="shared" si="46"/>
        <v>0</v>
      </c>
      <c r="J242" s="172">
        <v>0</v>
      </c>
      <c r="K242" s="172">
        <v>0</v>
      </c>
      <c r="L242" s="172">
        <v>0</v>
      </c>
      <c r="M242" s="38">
        <f t="shared" si="47"/>
        <v>0</v>
      </c>
      <c r="N242" s="172">
        <v>0</v>
      </c>
      <c r="O242" s="172">
        <v>0</v>
      </c>
      <c r="P242" s="172">
        <v>70</v>
      </c>
      <c r="Q242" s="38">
        <f t="shared" si="48"/>
        <v>70</v>
      </c>
      <c r="R242" s="38">
        <f t="shared" si="49"/>
        <v>70</v>
      </c>
    </row>
    <row r="243" spans="1:18" ht="15.75" customHeight="1" x14ac:dyDescent="0.3">
      <c r="A243" s="539" t="s">
        <v>2271</v>
      </c>
      <c r="B243" s="10">
        <v>246</v>
      </c>
      <c r="C243" s="10">
        <v>25</v>
      </c>
      <c r="D243" s="10">
        <v>552</v>
      </c>
      <c r="E243" s="38">
        <f t="shared" si="45"/>
        <v>823</v>
      </c>
      <c r="F243" s="10">
        <v>0</v>
      </c>
      <c r="G243" s="10">
        <v>1130</v>
      </c>
      <c r="H243" s="10">
        <v>1049</v>
      </c>
      <c r="I243" s="38">
        <f t="shared" si="46"/>
        <v>2179</v>
      </c>
      <c r="J243" s="10">
        <v>20</v>
      </c>
      <c r="K243" s="10">
        <v>0</v>
      </c>
      <c r="L243" s="10">
        <v>216</v>
      </c>
      <c r="M243" s="38">
        <f t="shared" si="47"/>
        <v>236</v>
      </c>
      <c r="N243" s="10">
        <v>142</v>
      </c>
      <c r="O243" s="10">
        <v>126</v>
      </c>
      <c r="P243" s="10">
        <v>0</v>
      </c>
      <c r="Q243" s="38">
        <f t="shared" si="48"/>
        <v>268</v>
      </c>
      <c r="R243" s="38">
        <f t="shared" si="49"/>
        <v>3506</v>
      </c>
    </row>
    <row r="244" spans="1:18" ht="15.75" customHeight="1" x14ac:dyDescent="0.3">
      <c r="A244" s="270" t="s">
        <v>2475</v>
      </c>
      <c r="B244" s="172">
        <v>36</v>
      </c>
      <c r="C244" s="172">
        <v>34</v>
      </c>
      <c r="D244" s="172">
        <v>93</v>
      </c>
      <c r="E244" s="38">
        <f t="shared" si="45"/>
        <v>163</v>
      </c>
      <c r="F244" s="172">
        <v>55</v>
      </c>
      <c r="G244" s="172">
        <v>99</v>
      </c>
      <c r="H244" s="172">
        <v>102</v>
      </c>
      <c r="I244" s="38">
        <f t="shared" si="46"/>
        <v>256</v>
      </c>
      <c r="J244" s="172">
        <v>100</v>
      </c>
      <c r="K244" s="172">
        <v>84</v>
      </c>
      <c r="L244" s="172">
        <v>53</v>
      </c>
      <c r="M244" s="38">
        <f t="shared" si="47"/>
        <v>237</v>
      </c>
      <c r="N244" s="172">
        <v>29</v>
      </c>
      <c r="O244" s="172">
        <v>10</v>
      </c>
      <c r="P244" s="172">
        <v>22</v>
      </c>
      <c r="Q244" s="38">
        <f t="shared" si="48"/>
        <v>61</v>
      </c>
      <c r="R244" s="38">
        <f t="shared" si="49"/>
        <v>717</v>
      </c>
    </row>
    <row r="245" spans="1:18" ht="15.75" customHeight="1" x14ac:dyDescent="0.3">
      <c r="A245" s="267" t="s">
        <v>2096</v>
      </c>
      <c r="B245" s="172">
        <v>22743</v>
      </c>
      <c r="C245" s="172">
        <v>52608</v>
      </c>
      <c r="D245" s="172">
        <v>44419</v>
      </c>
      <c r="E245" s="38">
        <f t="shared" si="45"/>
        <v>119770</v>
      </c>
      <c r="F245" s="172">
        <v>21347</v>
      </c>
      <c r="G245" s="172">
        <v>7072</v>
      </c>
      <c r="H245" s="172">
        <v>1045</v>
      </c>
      <c r="I245" s="38">
        <f t="shared" si="46"/>
        <v>29464</v>
      </c>
      <c r="J245" s="172">
        <v>316</v>
      </c>
      <c r="K245" s="172">
        <v>0</v>
      </c>
      <c r="L245" s="172">
        <v>4936</v>
      </c>
      <c r="M245" s="38">
        <f t="shared" si="47"/>
        <v>5252</v>
      </c>
      <c r="N245" s="172">
        <v>51830</v>
      </c>
      <c r="O245" s="172">
        <v>121619</v>
      </c>
      <c r="P245" s="172">
        <v>87741</v>
      </c>
      <c r="Q245" s="38">
        <f t="shared" si="48"/>
        <v>261190</v>
      </c>
      <c r="R245" s="38">
        <f t="shared" si="49"/>
        <v>415676</v>
      </c>
    </row>
    <row r="246" spans="1:18" ht="16.5" customHeight="1" thickBot="1" x14ac:dyDescent="0.35">
      <c r="A246" s="244" t="s">
        <v>853</v>
      </c>
      <c r="B246" s="238">
        <v>104</v>
      </c>
      <c r="C246" s="238">
        <v>268</v>
      </c>
      <c r="D246" s="238">
        <v>474</v>
      </c>
      <c r="E246" s="38">
        <f t="shared" si="45"/>
        <v>846</v>
      </c>
      <c r="F246" s="238">
        <v>647</v>
      </c>
      <c r="G246" s="238">
        <v>742</v>
      </c>
      <c r="H246" s="238">
        <v>781</v>
      </c>
      <c r="I246" s="38">
        <f t="shared" si="46"/>
        <v>2170</v>
      </c>
      <c r="J246" s="238">
        <v>774</v>
      </c>
      <c r="K246" s="238">
        <v>596</v>
      </c>
      <c r="L246" s="238">
        <v>546</v>
      </c>
      <c r="M246" s="38">
        <f t="shared" si="47"/>
        <v>1916</v>
      </c>
      <c r="N246" s="238">
        <v>517</v>
      </c>
      <c r="O246" s="238">
        <v>413</v>
      </c>
      <c r="P246" s="238">
        <v>302</v>
      </c>
      <c r="Q246" s="38">
        <f t="shared" si="48"/>
        <v>1232</v>
      </c>
      <c r="R246" s="38">
        <f t="shared" si="49"/>
        <v>6164</v>
      </c>
    </row>
    <row r="247" spans="1:18" ht="16.5" customHeight="1" thickBot="1" x14ac:dyDescent="0.35">
      <c r="A247" s="44"/>
      <c r="B247" s="258"/>
      <c r="C247" s="258"/>
      <c r="D247" s="258"/>
      <c r="E247" s="39"/>
      <c r="F247" s="258"/>
      <c r="G247" s="258"/>
      <c r="H247" s="258"/>
      <c r="I247" s="37"/>
      <c r="J247" s="258"/>
      <c r="K247" s="258"/>
      <c r="L247" s="258"/>
      <c r="M247" s="37"/>
      <c r="N247" s="258"/>
      <c r="O247" s="258"/>
      <c r="P247" s="258"/>
      <c r="Q247" s="37"/>
      <c r="R247" s="37" t="s">
        <v>852</v>
      </c>
    </row>
    <row r="248" spans="1:18" ht="15.75" customHeight="1" x14ac:dyDescent="0.3">
      <c r="A248" s="259" t="s">
        <v>2011</v>
      </c>
      <c r="B248" s="260">
        <f>SUM(B240:B246)</f>
        <v>44265</v>
      </c>
      <c r="C248" s="260">
        <f>SUM(C240:C246)</f>
        <v>75088</v>
      </c>
      <c r="D248" s="260">
        <f>SUM(D240:D246)</f>
        <v>74547</v>
      </c>
      <c r="E248" s="39">
        <f>SUM(B248:D248)</f>
        <v>193900</v>
      </c>
      <c r="F248" s="260">
        <f>SUM(F240:F246)</f>
        <v>51767</v>
      </c>
      <c r="G248" s="260">
        <f>SUM(G240:G246)</f>
        <v>47074</v>
      </c>
      <c r="H248" s="260">
        <f>SUM(H240:H246)</f>
        <v>44915</v>
      </c>
      <c r="I248" s="39">
        <f>SUM(F248:H248)</f>
        <v>143756</v>
      </c>
      <c r="J248" s="260">
        <f>SUM(J240:J246)</f>
        <v>39235</v>
      </c>
      <c r="K248" s="260">
        <f>SUM(K240:K246)</f>
        <v>36295</v>
      </c>
      <c r="L248" s="260">
        <f>SUM(L240:L246)</f>
        <v>41098</v>
      </c>
      <c r="M248" s="39">
        <f>SUM(J248:L248)</f>
        <v>116628</v>
      </c>
      <c r="N248" s="260">
        <f>SUM(N240:N246)</f>
        <v>86049</v>
      </c>
      <c r="O248" s="260">
        <f>SUM(O240:O246)</f>
        <v>145279</v>
      </c>
      <c r="P248" s="260">
        <f>SUM(P240:P246)</f>
        <v>106153</v>
      </c>
      <c r="Q248" s="49">
        <f>SUM(N248:P248)</f>
        <v>337481</v>
      </c>
      <c r="R248" s="39">
        <f>+E248+I248+M248+Q248</f>
        <v>791765</v>
      </c>
    </row>
    <row r="249" spans="1:18" ht="15.75" customHeight="1" x14ac:dyDescent="0.3">
      <c r="A249" s="262" t="s">
        <v>1897</v>
      </c>
      <c r="B249" s="172">
        <f>(B248/31)/1.983</f>
        <v>720.0722268312918</v>
      </c>
      <c r="C249" s="172">
        <f>(C248/28)/1.983</f>
        <v>1352.3521360132554</v>
      </c>
      <c r="D249" s="172">
        <f>(D248/31)/1.983</f>
        <v>1212.6787370064906</v>
      </c>
      <c r="E249" s="38" t="s">
        <v>852</v>
      </c>
      <c r="F249" s="172">
        <f>(F248/30)/1.983</f>
        <v>870.17986216170777</v>
      </c>
      <c r="G249" s="172">
        <f>(G248/31)/1.983</f>
        <v>765.76708473638826</v>
      </c>
      <c r="H249" s="172">
        <f>(H248/30)/1.983</f>
        <v>755.00084047739119</v>
      </c>
      <c r="I249" s="38" t="s">
        <v>852</v>
      </c>
      <c r="J249" s="172">
        <f>(J248/31)/1.983</f>
        <v>638.24768597595698</v>
      </c>
      <c r="K249" s="172">
        <f>(K248/31)/1.983</f>
        <v>590.42181120166572</v>
      </c>
      <c r="L249" s="172">
        <f>(L248/30)/1.983</f>
        <v>690.8387964363759</v>
      </c>
      <c r="M249" s="38" t="s">
        <v>852</v>
      </c>
      <c r="N249" s="172">
        <f>(N248/31)/1.983</f>
        <v>1399.7852715826461</v>
      </c>
      <c r="O249" s="172">
        <f>(O248/30)/1.983</f>
        <v>2442.074298201378</v>
      </c>
      <c r="P249" s="172">
        <f>(P248/31)/1.983</f>
        <v>1726.8231581344655</v>
      </c>
      <c r="Q249" s="50" t="s">
        <v>852</v>
      </c>
      <c r="R249" s="38" t="s">
        <v>852</v>
      </c>
    </row>
    <row r="250" spans="1:18" ht="15.75" customHeight="1" x14ac:dyDescent="0.3">
      <c r="A250" s="262" t="s">
        <v>154</v>
      </c>
      <c r="B250" s="172">
        <f>(+B248+B374)+B257</f>
        <v>86696</v>
      </c>
      <c r="C250" s="172">
        <f>(+C248+C374)+C257</f>
        <v>123525</v>
      </c>
      <c r="D250" s="172">
        <f>(+D248+D374)+D257</f>
        <v>161765</v>
      </c>
      <c r="E250" s="38">
        <f>SUM(B250:D250)</f>
        <v>371986</v>
      </c>
      <c r="F250" s="172">
        <f>(+F248+F374)+F257</f>
        <v>166361</v>
      </c>
      <c r="G250" s="172">
        <f>(+G248+G374)+G257</f>
        <v>153385</v>
      </c>
      <c r="H250" s="172">
        <f>(+H248+H374)+H257</f>
        <v>126946</v>
      </c>
      <c r="I250" s="38">
        <f>SUM(F250:H250)</f>
        <v>446692</v>
      </c>
      <c r="J250" s="172">
        <f>(+J248+J374)+J257</f>
        <v>47909</v>
      </c>
      <c r="K250" s="172">
        <f>(+K248+K374)+K257</f>
        <v>44886</v>
      </c>
      <c r="L250" s="172">
        <f>(+L248+L374)+L257</f>
        <v>93865</v>
      </c>
      <c r="M250" s="38">
        <f>SUM(J250:L250)</f>
        <v>186660</v>
      </c>
      <c r="N250" s="172">
        <f>(+N248+N374)+N257</f>
        <v>141161</v>
      </c>
      <c r="O250" s="172">
        <f>(+O248+O374)+O257</f>
        <v>171806</v>
      </c>
      <c r="P250" s="172">
        <f>(+P248+P374)+P257</f>
        <v>140840</v>
      </c>
      <c r="Q250" s="50">
        <f>SUM(N250:P250)</f>
        <v>453807</v>
      </c>
      <c r="R250" s="38">
        <f>+E250+I250+M250+Q250</f>
        <v>1459145</v>
      </c>
    </row>
    <row r="251" spans="1:18" ht="16.5" customHeight="1" thickBot="1" x14ac:dyDescent="0.35">
      <c r="A251" s="263" t="s">
        <v>2110</v>
      </c>
      <c r="B251" s="264">
        <f>(B250/31)/1.983</f>
        <v>1410.310217493859</v>
      </c>
      <c r="C251" s="264">
        <f>(C250/28)/1.983</f>
        <v>2224.7136373460125</v>
      </c>
      <c r="D251" s="264">
        <f>(D250/31)/1.983</f>
        <v>2631.4804873684379</v>
      </c>
      <c r="E251" s="40" t="s">
        <v>852</v>
      </c>
      <c r="F251" s="264">
        <f>(F250/30)/1.983</f>
        <v>2796.4531854093125</v>
      </c>
      <c r="G251" s="264">
        <f>(G250/31)/1.983</f>
        <v>2495.1604769573632</v>
      </c>
      <c r="H251" s="264">
        <f>(H250/30)/1.983</f>
        <v>2133.9048579593209</v>
      </c>
      <c r="I251" s="40" t="s">
        <v>852</v>
      </c>
      <c r="J251" s="264">
        <f>(J250/31)/1.983</f>
        <v>779.35028386446083</v>
      </c>
      <c r="K251" s="264">
        <f>(K250/31)/1.983</f>
        <v>730.17422282953487</v>
      </c>
      <c r="L251" s="264">
        <f>(L250/30)/1.983</f>
        <v>1577.8282064212472</v>
      </c>
      <c r="M251" s="40" t="s">
        <v>852</v>
      </c>
      <c r="N251" s="264">
        <f>(N250/30)/1.983</f>
        <v>2372.8525802655909</v>
      </c>
      <c r="O251" s="264">
        <f>(O250/30)/1.983</f>
        <v>2887.981173306438</v>
      </c>
      <c r="P251" s="264">
        <f>(P250/31)/1.983</f>
        <v>2291.0871439493758</v>
      </c>
      <c r="Q251" s="51" t="s">
        <v>852</v>
      </c>
      <c r="R251" s="40" t="s">
        <v>852</v>
      </c>
    </row>
    <row r="252" spans="1:18" ht="16.5" customHeight="1" thickBot="1" x14ac:dyDescent="0.35">
      <c r="A252" s="271" t="s">
        <v>1700</v>
      </c>
      <c r="B252" s="229">
        <f>+(B250-(B137+B138+B139+B140+B142+B143+B152+B157+B169+B171+B173+B174+B187+B188+B189+B210+B223+B224+B225+B227+B228+B231+B232+B241+B245+B253)-B257)/(31*1.983)</f>
        <v>938.67226261936128</v>
      </c>
      <c r="C252" s="229">
        <f>+(C250-(C137+C138+C139+C140+C142+C143+C152+C157+C169+C171+C173+C174+C187+C188+C189+C210+C223+C224+C225+C227+C228+C231+C232+C241+C245+C253)-C257)/(31*1.983)</f>
        <v>1009.9881248678281</v>
      </c>
      <c r="D252" s="229">
        <f>+(D250-(D137+D138+D139+D140+D142+D143+D152+D157+D169+D171+D173+D174+D187+D188+D189+D210+D223+D224+D225+D227+D228+D231+D232+D241+D245+D253)-D257)/(31*1.983)</f>
        <v>1677.5657605778144</v>
      </c>
      <c r="E252" s="227"/>
      <c r="F252" s="229">
        <f>+(F250-(F137+F138+F139+F140+F142+F143+F152+F157+F169+F171+F173+F174+F187+F188+F189+F210+F223+F224+F225+F227+F228+F231+F232+F241+F245+F253)-F257)/(31*1.983)</f>
        <v>2153.4982837993912</v>
      </c>
      <c r="G252" s="229">
        <f>+(G250-(G137+G138+G139+G140+G142+G143+G152+G157+G169+G171+G173+G174+G187+G188+G189+G210+G223+G224+G225+G227+G228+G231+G232+G241+G245+G253)-G257)/(31*1.983)</f>
        <v>2528.8663315601971</v>
      </c>
      <c r="H252" s="229">
        <f>+(H250-(H137+H138+H139+H140+H142+H143+H152+H157+H169+H171+H173+H174+H187+H188+H189+H210+H223+H224+H225+H227+H228+H231+H232+H241+H245+H253)-H257)/(31*1.983)</f>
        <v>2998.4058041741901</v>
      </c>
      <c r="I252" s="227"/>
      <c r="J252" s="229">
        <f>+(J250-(J137+J138+J139+J140+J142+J143+J152+J157+J169+J171+J173+J174+J187+J188+J189+J210+J223+J224+J225+J227+J228+J231+J232+J241+J245+J253)-J257)/(31*1.983)</f>
        <v>3078.4246742472301</v>
      </c>
      <c r="K252" s="229">
        <f>+(K250-(K137+K138+K139+K140+K142+K143+K152+K157+K169+K171+K173+K174+K187+K188+K189+K210+K223+K224+K225+K227+K228+K231+K232+K241+K245+K253)-K257)/(31*1.983)</f>
        <v>3107.7871585899497</v>
      </c>
      <c r="L252" s="229">
        <f>+(L250-(L137+L138+L139+L140+L142+L143+L152+L157+L169+L171+L173+L174+L187+L188+L189+L210+L223+L224+L225+L227+L228+L231+L232+L241+L245+L253)-L257)/(31*1.983)</f>
        <v>1910.8226375807262</v>
      </c>
      <c r="M252" s="227"/>
      <c r="N252" s="229">
        <f>+(N250-(N137+N138+N139+N140+N142+N143+N152+N157+N169+N171+N173+N174+N187+N188+N189+N210+N223+N224+N225+N227+N228+N231+N232+N241+N245+N253)-N257)/(31*1.983)</f>
        <v>1175.4916792738275</v>
      </c>
      <c r="O252" s="229">
        <f>+(O250-(O137+O138+O139+O140+O142+O143+O152+O157+O169+O171+O173+O174+O187+O188+O189+O210+O223+O224+O225+O227+O228+O231+O232+O241+O245+O253)-O257)/(31*1.983)</f>
        <v>598.86454215671915</v>
      </c>
      <c r="P252" s="229">
        <f>+(P250-(P137+P138+P139+P140+P142+P143+P152+P157+P169+P171+P173+P174+P187+P188+P189+P210+P223+P224+P225+P227+P228+P231+P232+P241+P245+P253)-P257)/(31*1.983)</f>
        <v>727.47385030826536</v>
      </c>
      <c r="Q252" s="228"/>
      <c r="R252" s="227"/>
    </row>
    <row r="253" spans="1:18" ht="15.75" customHeight="1" x14ac:dyDescent="0.3">
      <c r="A253" s="541" t="s">
        <v>2272</v>
      </c>
      <c r="B253" s="172">
        <v>3252</v>
      </c>
      <c r="C253" s="172">
        <v>3360</v>
      </c>
      <c r="D253" s="172">
        <v>3720</v>
      </c>
      <c r="E253" s="172"/>
      <c r="F253" s="172">
        <v>3600</v>
      </c>
      <c r="G253" s="172">
        <v>3720</v>
      </c>
      <c r="H253" s="172">
        <v>3600</v>
      </c>
      <c r="I253" s="172"/>
      <c r="J253" s="172">
        <v>3720</v>
      </c>
      <c r="K253" s="172">
        <v>3805</v>
      </c>
      <c r="L253" s="172">
        <v>3683</v>
      </c>
      <c r="M253" s="172"/>
      <c r="N253" s="172">
        <v>3805</v>
      </c>
      <c r="O253" s="172">
        <v>3683</v>
      </c>
      <c r="P253" s="172">
        <v>3805</v>
      </c>
      <c r="Q253" s="172"/>
      <c r="R253" s="17"/>
    </row>
    <row r="254" spans="1:18" ht="15.75" customHeight="1" thickBot="1" x14ac:dyDescent="0.35">
      <c r="A254" s="18"/>
      <c r="B254" s="172"/>
      <c r="C254" s="172"/>
      <c r="D254" s="172"/>
      <c r="E254" s="172"/>
      <c r="F254" s="172"/>
      <c r="G254" s="172"/>
      <c r="H254" s="172"/>
      <c r="I254" s="172"/>
      <c r="J254" s="172"/>
      <c r="K254" s="172"/>
      <c r="L254" s="172"/>
      <c r="M254" s="172"/>
      <c r="N254" s="172"/>
      <c r="O254" s="172"/>
      <c r="P254" s="172"/>
      <c r="Q254" s="172"/>
      <c r="R254" s="17"/>
    </row>
    <row r="255" spans="1:18" ht="16.5" customHeight="1" thickBot="1" x14ac:dyDescent="0.35">
      <c r="A255" s="240" t="s">
        <v>1754</v>
      </c>
      <c r="B255" s="4" t="s">
        <v>2090</v>
      </c>
      <c r="C255" s="5" t="s">
        <v>2091</v>
      </c>
      <c r="D255" s="5" t="s">
        <v>2234</v>
      </c>
      <c r="E255" s="33" t="s">
        <v>1594</v>
      </c>
      <c r="F255" s="5" t="s">
        <v>2235</v>
      </c>
      <c r="G255" s="5" t="s">
        <v>2236</v>
      </c>
      <c r="H255" s="5" t="s">
        <v>2237</v>
      </c>
      <c r="I255" s="35" t="s">
        <v>1595</v>
      </c>
      <c r="J255" s="5" t="s">
        <v>1504</v>
      </c>
      <c r="K255" s="5" t="s">
        <v>1505</v>
      </c>
      <c r="L255" s="5" t="s">
        <v>1506</v>
      </c>
      <c r="M255" s="35" t="s">
        <v>1596</v>
      </c>
      <c r="N255" s="5" t="s">
        <v>1507</v>
      </c>
      <c r="O255" s="5" t="s">
        <v>1508</v>
      </c>
      <c r="P255" s="5" t="s">
        <v>1509</v>
      </c>
      <c r="Q255" s="35" t="s">
        <v>1597</v>
      </c>
      <c r="R255" s="36" t="s">
        <v>1510</v>
      </c>
    </row>
    <row r="256" spans="1:18" ht="16.5" customHeight="1" thickBot="1" x14ac:dyDescent="0.35">
      <c r="A256" s="44"/>
      <c r="B256" s="258"/>
      <c r="C256" s="258"/>
      <c r="D256" s="258"/>
      <c r="E256" s="265"/>
      <c r="F256" s="258"/>
      <c r="G256" s="258"/>
      <c r="H256" s="258"/>
      <c r="I256" s="265"/>
      <c r="J256" s="258"/>
      <c r="K256" s="258"/>
      <c r="L256" s="258"/>
      <c r="M256" s="265"/>
      <c r="N256" s="258"/>
      <c r="O256" s="258"/>
      <c r="P256" s="258"/>
      <c r="Q256" s="265"/>
      <c r="R256" s="52"/>
    </row>
    <row r="257" spans="1:20" ht="15.75" customHeight="1" thickBot="1" x14ac:dyDescent="0.35">
      <c r="A257" s="266" t="s">
        <v>1000</v>
      </c>
      <c r="B257" s="172">
        <v>0</v>
      </c>
      <c r="C257" s="172">
        <v>0</v>
      </c>
      <c r="D257" s="172">
        <v>0</v>
      </c>
      <c r="E257" s="38">
        <f>SUM(B257:D257)</f>
        <v>0</v>
      </c>
      <c r="F257" s="172">
        <v>0</v>
      </c>
      <c r="G257" s="172">
        <v>-25965</v>
      </c>
      <c r="H257" s="172">
        <v>-77908</v>
      </c>
      <c r="I257" s="38">
        <f>SUM(F257:H257)</f>
        <v>-103873</v>
      </c>
      <c r="J257" s="172">
        <v>-159336</v>
      </c>
      <c r="K257" s="172">
        <v>-161275</v>
      </c>
      <c r="L257" s="172">
        <v>-46169</v>
      </c>
      <c r="M257" s="38">
        <f>SUM(J257:L257)</f>
        <v>-366780</v>
      </c>
      <c r="N257" s="172">
        <v>0</v>
      </c>
      <c r="O257" s="172">
        <v>0</v>
      </c>
      <c r="P257" s="172">
        <v>0</v>
      </c>
      <c r="Q257" s="38">
        <f>SUM(N257:P257)</f>
        <v>0</v>
      </c>
      <c r="R257" s="38">
        <f>+E257+I257+M257+Q257</f>
        <v>-470653</v>
      </c>
    </row>
    <row r="258" spans="1:20" ht="16.5" customHeight="1" thickBot="1" x14ac:dyDescent="0.35">
      <c r="A258" s="272"/>
      <c r="B258" s="273"/>
      <c r="C258" s="273"/>
      <c r="D258" s="273"/>
      <c r="E258" s="53"/>
      <c r="F258" s="273"/>
      <c r="G258" s="273"/>
      <c r="H258" s="273"/>
      <c r="I258" s="53"/>
      <c r="J258" s="273"/>
      <c r="K258" s="273"/>
      <c r="L258" s="273"/>
      <c r="M258" s="53"/>
      <c r="N258" s="273"/>
      <c r="O258" s="273"/>
      <c r="P258" s="273"/>
      <c r="Q258" s="53"/>
      <c r="R258" s="54"/>
    </row>
    <row r="259" spans="1:20" ht="15.75" customHeight="1" x14ac:dyDescent="0.3">
      <c r="A259" s="234" t="s">
        <v>662</v>
      </c>
      <c r="B259" s="172">
        <f>B257</f>
        <v>0</v>
      </c>
      <c r="C259" s="172">
        <f>C257</f>
        <v>0</v>
      </c>
      <c r="D259" s="172">
        <f>D257</f>
        <v>0</v>
      </c>
      <c r="E259" s="38">
        <f>SUM(B259:D259)</f>
        <v>0</v>
      </c>
      <c r="F259" s="172">
        <f>F257</f>
        <v>0</v>
      </c>
      <c r="G259" s="172">
        <f>G257</f>
        <v>-25965</v>
      </c>
      <c r="H259" s="172">
        <f>H257</f>
        <v>-77908</v>
      </c>
      <c r="I259" s="38">
        <f>SUM(F259:H259)</f>
        <v>-103873</v>
      </c>
      <c r="J259" s="172">
        <f>J257</f>
        <v>-159336</v>
      </c>
      <c r="K259" s="172">
        <f>K257</f>
        <v>-161275</v>
      </c>
      <c r="L259" s="172">
        <f>L257</f>
        <v>-46169</v>
      </c>
      <c r="M259" s="38">
        <f>SUM(J259:L259)</f>
        <v>-366780</v>
      </c>
      <c r="N259" s="172">
        <f>N257</f>
        <v>0</v>
      </c>
      <c r="O259" s="172">
        <f>O257</f>
        <v>0</v>
      </c>
      <c r="P259" s="172">
        <f>P257</f>
        <v>0</v>
      </c>
      <c r="Q259" s="38">
        <f>SUM(N259:P259)</f>
        <v>0</v>
      </c>
      <c r="R259" s="55">
        <f>R257</f>
        <v>-470653</v>
      </c>
    </row>
    <row r="260" spans="1:20" ht="16.5" customHeight="1" thickBot="1" x14ac:dyDescent="0.35">
      <c r="A260" s="237" t="s">
        <v>1897</v>
      </c>
      <c r="B260" s="238">
        <f>(B259/31)/1.983</f>
        <v>0</v>
      </c>
      <c r="C260" s="238">
        <f>(C259/28)/1.983</f>
        <v>0</v>
      </c>
      <c r="D260" s="238">
        <f>(D259/31)/1.983</f>
        <v>0</v>
      </c>
      <c r="E260" s="40"/>
      <c r="F260" s="238">
        <f>(F259/30)/1.983</f>
        <v>0</v>
      </c>
      <c r="G260" s="238">
        <f>(G259/31)/1.983</f>
        <v>-422.38055731784686</v>
      </c>
      <c r="H260" s="238">
        <f>(H259/30)/1.983</f>
        <v>-1309.5982518070264</v>
      </c>
      <c r="I260" s="40"/>
      <c r="J260" s="238">
        <f>(J259/31)/1.983</f>
        <v>-2591.9672051144403</v>
      </c>
      <c r="K260" s="238">
        <f>(K259/31)/1.983</f>
        <v>-2623.5095082393891</v>
      </c>
      <c r="L260" s="238">
        <f>(L259/30)/1.983</f>
        <v>-776.08001344763818</v>
      </c>
      <c r="M260" s="40"/>
      <c r="N260" s="238">
        <f>(N259/31)/1.983</f>
        <v>0</v>
      </c>
      <c r="O260" s="238">
        <f>(O259/30)/1.983</f>
        <v>0</v>
      </c>
      <c r="P260" s="238">
        <f>(P259/31)/1.983</f>
        <v>0</v>
      </c>
      <c r="Q260" s="40"/>
      <c r="R260" s="52" t="s">
        <v>852</v>
      </c>
      <c r="T260" t="s">
        <v>2228</v>
      </c>
    </row>
    <row r="261" spans="1:20" ht="15.75" customHeight="1" x14ac:dyDescent="0.3">
      <c r="A261" s="17"/>
      <c r="B261" s="172"/>
      <c r="C261" s="172"/>
      <c r="D261" s="172"/>
      <c r="E261" s="172"/>
      <c r="F261" s="172"/>
      <c r="G261" s="172"/>
      <c r="H261" s="172"/>
      <c r="I261" s="172"/>
      <c r="J261" s="172"/>
      <c r="K261" s="172"/>
      <c r="L261" s="172"/>
      <c r="M261" s="172"/>
      <c r="N261" s="172"/>
      <c r="O261" s="172"/>
      <c r="P261" s="172"/>
      <c r="Q261" s="172"/>
      <c r="R261" s="17"/>
      <c r="T261" t="s">
        <v>1360</v>
      </c>
    </row>
    <row r="262" spans="1:20" ht="16.5" customHeight="1" thickBot="1" x14ac:dyDescent="0.35">
      <c r="A262" s="24"/>
      <c r="B262" s="238"/>
      <c r="C262" s="238"/>
      <c r="D262" s="238"/>
      <c r="E262" s="238"/>
      <c r="F262" s="238"/>
      <c r="G262" s="238"/>
      <c r="H262" s="238"/>
      <c r="I262" s="238"/>
      <c r="J262" s="238"/>
      <c r="K262" s="238"/>
      <c r="L262" s="238"/>
      <c r="M262" s="238"/>
      <c r="N262" s="238"/>
      <c r="O262" s="238"/>
      <c r="P262" s="238"/>
      <c r="Q262" s="238"/>
      <c r="R262" s="24"/>
      <c r="T262" t="s">
        <v>2228</v>
      </c>
    </row>
    <row r="263" spans="1:20" ht="16.5" customHeight="1" thickBot="1" x14ac:dyDescent="0.35">
      <c r="A263" s="274" t="s">
        <v>89</v>
      </c>
      <c r="B263" s="4" t="s">
        <v>2090</v>
      </c>
      <c r="C263" s="5" t="s">
        <v>2091</v>
      </c>
      <c r="D263" s="5" t="s">
        <v>2234</v>
      </c>
      <c r="E263" s="33" t="s">
        <v>1594</v>
      </c>
      <c r="F263" s="5" t="s">
        <v>2235</v>
      </c>
      <c r="G263" s="5" t="s">
        <v>2236</v>
      </c>
      <c r="H263" s="5" t="s">
        <v>2237</v>
      </c>
      <c r="I263" s="35" t="s">
        <v>1595</v>
      </c>
      <c r="J263" s="5" t="s">
        <v>1504</v>
      </c>
      <c r="K263" s="5" t="s">
        <v>1505</v>
      </c>
      <c r="L263" s="5" t="s">
        <v>1506</v>
      </c>
      <c r="M263" s="35" t="s">
        <v>1596</v>
      </c>
      <c r="N263" s="5" t="s">
        <v>1507</v>
      </c>
      <c r="O263" s="5" t="s">
        <v>1508</v>
      </c>
      <c r="P263" s="5" t="s">
        <v>1509</v>
      </c>
      <c r="Q263" s="35" t="s">
        <v>1597</v>
      </c>
      <c r="R263" s="36" t="s">
        <v>1510</v>
      </c>
      <c r="T263" t="s">
        <v>2174</v>
      </c>
    </row>
    <row r="264" spans="1:20" ht="16.5" customHeight="1" thickBot="1" x14ac:dyDescent="0.35">
      <c r="A264" s="37"/>
      <c r="B264" s="258"/>
      <c r="C264" s="258"/>
      <c r="D264" s="258"/>
      <c r="E264" s="254"/>
      <c r="F264" s="258"/>
      <c r="G264" s="258"/>
      <c r="H264" s="258"/>
      <c r="I264" s="265"/>
      <c r="J264" s="258"/>
      <c r="K264" s="258"/>
      <c r="L264" s="258"/>
      <c r="M264" s="265"/>
      <c r="N264" s="258"/>
      <c r="O264" s="258"/>
      <c r="P264" s="258"/>
      <c r="Q264" s="265"/>
      <c r="R264" s="55"/>
      <c r="T264" t="s">
        <v>2177</v>
      </c>
    </row>
    <row r="265" spans="1:20" ht="15.75" customHeight="1" x14ac:dyDescent="0.3">
      <c r="A265" s="234" t="s">
        <v>2417</v>
      </c>
      <c r="B265" s="172" t="s">
        <v>852</v>
      </c>
      <c r="C265" s="172" t="s">
        <v>852</v>
      </c>
      <c r="D265" s="172" t="s">
        <v>852</v>
      </c>
      <c r="E265" s="38" t="s">
        <v>852</v>
      </c>
      <c r="F265" s="172" t="s">
        <v>852</v>
      </c>
      <c r="G265" s="172" t="s">
        <v>852</v>
      </c>
      <c r="H265" s="172" t="s">
        <v>852</v>
      </c>
      <c r="I265" s="38" t="s">
        <v>852</v>
      </c>
      <c r="J265" s="172" t="s">
        <v>852</v>
      </c>
      <c r="K265" s="172" t="s">
        <v>852</v>
      </c>
      <c r="L265" s="172" t="s">
        <v>852</v>
      </c>
      <c r="M265" s="38" t="s">
        <v>852</v>
      </c>
      <c r="N265" s="172" t="s">
        <v>852</v>
      </c>
      <c r="O265" s="172" t="s">
        <v>852</v>
      </c>
      <c r="P265" s="172" t="s">
        <v>852</v>
      </c>
      <c r="Q265" s="38" t="s">
        <v>852</v>
      </c>
      <c r="R265" s="39" t="s">
        <v>852</v>
      </c>
      <c r="T265" t="s">
        <v>2174</v>
      </c>
    </row>
    <row r="266" spans="1:20" ht="15.75" customHeight="1" x14ac:dyDescent="0.3">
      <c r="A266" s="234" t="s">
        <v>2160</v>
      </c>
      <c r="B266" s="172"/>
      <c r="C266" s="172"/>
      <c r="D266" s="172"/>
      <c r="E266" s="38" t="s">
        <v>852</v>
      </c>
      <c r="F266" s="172"/>
      <c r="G266" s="172"/>
      <c r="H266" s="172"/>
      <c r="I266" s="38" t="s">
        <v>852</v>
      </c>
      <c r="J266" s="172"/>
      <c r="K266" s="172"/>
      <c r="L266" s="172"/>
      <c r="M266" s="38" t="s">
        <v>852</v>
      </c>
      <c r="N266" s="172"/>
      <c r="O266" s="172"/>
      <c r="P266" s="172"/>
      <c r="Q266" s="38" t="s">
        <v>852</v>
      </c>
      <c r="R266" s="38" t="s">
        <v>852</v>
      </c>
      <c r="T266" t="s">
        <v>2174</v>
      </c>
    </row>
    <row r="267" spans="1:20" ht="15.75" customHeight="1" x14ac:dyDescent="0.3">
      <c r="A267" s="256" t="s">
        <v>2200</v>
      </c>
      <c r="B267" s="172">
        <v>93</v>
      </c>
      <c r="C267" s="275">
        <v>97</v>
      </c>
      <c r="D267" s="172">
        <v>113</v>
      </c>
      <c r="E267" s="38">
        <f t="shared" ref="E267:E277" si="50">SUM(B267:D267)</f>
        <v>303</v>
      </c>
      <c r="F267" s="172">
        <v>101</v>
      </c>
      <c r="G267" s="172">
        <v>103</v>
      </c>
      <c r="H267" s="172">
        <v>117</v>
      </c>
      <c r="I267" s="38">
        <f t="shared" ref="I267:I277" si="51">SUM(F267:H267)</f>
        <v>321</v>
      </c>
      <c r="J267" s="172">
        <v>128</v>
      </c>
      <c r="K267" s="172">
        <v>119</v>
      </c>
      <c r="L267" s="172">
        <v>105</v>
      </c>
      <c r="M267" s="38">
        <f t="shared" ref="M267:M277" si="52">SUM(J267:L267)</f>
        <v>352</v>
      </c>
      <c r="N267" s="172">
        <v>79</v>
      </c>
      <c r="O267" s="172">
        <v>70</v>
      </c>
      <c r="P267" s="172">
        <v>112</v>
      </c>
      <c r="Q267" s="38">
        <f t="shared" ref="Q267:Q277" si="53">SUM(N267:P267)</f>
        <v>261</v>
      </c>
      <c r="R267" s="38">
        <f t="shared" ref="R267:R277" si="54">+E267+I267+M267+Q267</f>
        <v>1237</v>
      </c>
      <c r="T267" t="s">
        <v>2177</v>
      </c>
    </row>
    <row r="268" spans="1:20" ht="15.75" customHeight="1" x14ac:dyDescent="0.3">
      <c r="A268" s="256" t="s">
        <v>348</v>
      </c>
      <c r="B268" s="172">
        <v>124</v>
      </c>
      <c r="C268" s="172">
        <v>97</v>
      </c>
      <c r="D268" s="172">
        <v>178</v>
      </c>
      <c r="E268" s="38">
        <f t="shared" si="50"/>
        <v>399</v>
      </c>
      <c r="F268" s="172">
        <v>263</v>
      </c>
      <c r="G268" s="172">
        <v>396</v>
      </c>
      <c r="H268" s="172">
        <v>410</v>
      </c>
      <c r="I268" s="38">
        <f t="shared" si="51"/>
        <v>1069</v>
      </c>
      <c r="J268" s="172">
        <v>432</v>
      </c>
      <c r="K268" s="172">
        <v>364</v>
      </c>
      <c r="L268" s="172">
        <v>332</v>
      </c>
      <c r="M268" s="38">
        <f t="shared" si="52"/>
        <v>1128</v>
      </c>
      <c r="N268" s="172">
        <v>474</v>
      </c>
      <c r="O268" s="172">
        <v>145</v>
      </c>
      <c r="P268" s="172">
        <v>87</v>
      </c>
      <c r="Q268" s="38">
        <f t="shared" si="53"/>
        <v>706</v>
      </c>
      <c r="R268" s="38">
        <f t="shared" si="54"/>
        <v>3302</v>
      </c>
      <c r="T268" t="s">
        <v>2177</v>
      </c>
    </row>
    <row r="269" spans="1:20" ht="15.75" customHeight="1" x14ac:dyDescent="0.3">
      <c r="A269" s="256" t="s">
        <v>349</v>
      </c>
      <c r="B269" s="172">
        <v>39</v>
      </c>
      <c r="C269" s="172">
        <v>41</v>
      </c>
      <c r="D269" s="172">
        <v>94</v>
      </c>
      <c r="E269" s="38">
        <f t="shared" si="50"/>
        <v>174</v>
      </c>
      <c r="F269" s="172">
        <v>81</v>
      </c>
      <c r="G269" s="172">
        <v>144</v>
      </c>
      <c r="H269" s="172">
        <v>161</v>
      </c>
      <c r="I269" s="38">
        <f t="shared" si="51"/>
        <v>386</v>
      </c>
      <c r="J269" s="172">
        <v>272</v>
      </c>
      <c r="K269" s="172">
        <v>284</v>
      </c>
      <c r="L269" s="172">
        <v>137</v>
      </c>
      <c r="M269" s="38">
        <f t="shared" si="52"/>
        <v>693</v>
      </c>
      <c r="N269" s="172">
        <v>155</v>
      </c>
      <c r="O269" s="172">
        <v>54</v>
      </c>
      <c r="P269" s="172">
        <v>41</v>
      </c>
      <c r="Q269" s="38">
        <f t="shared" si="53"/>
        <v>250</v>
      </c>
      <c r="R269" s="38">
        <f t="shared" si="54"/>
        <v>1503</v>
      </c>
      <c r="T269" t="s">
        <v>2175</v>
      </c>
    </row>
    <row r="270" spans="1:20" ht="15.75" customHeight="1" x14ac:dyDescent="0.3">
      <c r="A270" s="256" t="s">
        <v>2304</v>
      </c>
      <c r="B270" s="10">
        <v>207</v>
      </c>
      <c r="C270" s="10">
        <v>2</v>
      </c>
      <c r="D270" s="10">
        <v>0</v>
      </c>
      <c r="E270" s="38">
        <f t="shared" si="50"/>
        <v>209</v>
      </c>
      <c r="F270" s="10">
        <v>0</v>
      </c>
      <c r="G270" s="10">
        <v>0</v>
      </c>
      <c r="H270" s="10">
        <v>486</v>
      </c>
      <c r="I270" s="38">
        <f t="shared" si="51"/>
        <v>486</v>
      </c>
      <c r="J270" s="10">
        <v>709</v>
      </c>
      <c r="K270" s="10">
        <v>691</v>
      </c>
      <c r="L270" s="10">
        <v>857</v>
      </c>
      <c r="M270" s="38">
        <f t="shared" si="52"/>
        <v>2257</v>
      </c>
      <c r="N270" s="10">
        <v>0</v>
      </c>
      <c r="O270" s="10">
        <v>0</v>
      </c>
      <c r="P270" s="10">
        <v>0</v>
      </c>
      <c r="Q270" s="38">
        <f t="shared" si="53"/>
        <v>0</v>
      </c>
      <c r="R270" s="38">
        <f t="shared" si="54"/>
        <v>2952</v>
      </c>
    </row>
    <row r="271" spans="1:20" ht="15.75" customHeight="1" x14ac:dyDescent="0.3">
      <c r="A271" s="256" t="s">
        <v>331</v>
      </c>
      <c r="B271" s="172">
        <v>19</v>
      </c>
      <c r="C271" s="172">
        <v>21</v>
      </c>
      <c r="D271" s="172">
        <v>58</v>
      </c>
      <c r="E271" s="38">
        <f t="shared" si="50"/>
        <v>98</v>
      </c>
      <c r="F271" s="172">
        <v>11</v>
      </c>
      <c r="G271" s="172">
        <v>25</v>
      </c>
      <c r="H271" s="172">
        <v>25</v>
      </c>
      <c r="I271" s="38">
        <f t="shared" si="51"/>
        <v>61</v>
      </c>
      <c r="J271" s="172">
        <v>23</v>
      </c>
      <c r="K271" s="172">
        <v>40</v>
      </c>
      <c r="L271" s="172">
        <v>78</v>
      </c>
      <c r="M271" s="38">
        <f t="shared" si="52"/>
        <v>141</v>
      </c>
      <c r="N271" s="172">
        <v>62</v>
      </c>
      <c r="O271" s="172">
        <v>27</v>
      </c>
      <c r="P271" s="172">
        <v>12</v>
      </c>
      <c r="Q271" s="38">
        <f t="shared" si="53"/>
        <v>101</v>
      </c>
      <c r="R271" s="38">
        <f t="shared" si="54"/>
        <v>401</v>
      </c>
      <c r="T271" t="s">
        <v>2229</v>
      </c>
    </row>
    <row r="272" spans="1:20" ht="15.75" customHeight="1" x14ac:dyDescent="0.3">
      <c r="A272" s="256" t="s">
        <v>1161</v>
      </c>
      <c r="B272" s="172">
        <v>0</v>
      </c>
      <c r="C272" s="172">
        <v>0</v>
      </c>
      <c r="D272" s="172">
        <v>0</v>
      </c>
      <c r="E272" s="38">
        <f t="shared" si="50"/>
        <v>0</v>
      </c>
      <c r="F272" s="172">
        <v>0</v>
      </c>
      <c r="G272" s="172">
        <v>0</v>
      </c>
      <c r="H272" s="172">
        <v>0</v>
      </c>
      <c r="I272" s="38">
        <f t="shared" si="51"/>
        <v>0</v>
      </c>
      <c r="J272" s="172">
        <v>0</v>
      </c>
      <c r="K272" s="172">
        <v>0</v>
      </c>
      <c r="L272" s="172">
        <v>0</v>
      </c>
      <c r="M272" s="38">
        <f t="shared" si="52"/>
        <v>0</v>
      </c>
      <c r="N272" s="172">
        <v>0</v>
      </c>
      <c r="O272" s="172">
        <v>0</v>
      </c>
      <c r="P272" s="172">
        <v>0</v>
      </c>
      <c r="Q272" s="38">
        <f t="shared" si="53"/>
        <v>0</v>
      </c>
      <c r="R272" s="38">
        <f t="shared" si="54"/>
        <v>0</v>
      </c>
      <c r="T272" t="s">
        <v>131</v>
      </c>
    </row>
    <row r="273" spans="1:20" ht="15.75" customHeight="1" x14ac:dyDescent="0.3">
      <c r="A273" s="256" t="s">
        <v>347</v>
      </c>
      <c r="B273" s="172">
        <v>0</v>
      </c>
      <c r="C273" s="172">
        <v>0</v>
      </c>
      <c r="D273" s="172">
        <v>0</v>
      </c>
      <c r="E273" s="38">
        <f t="shared" si="50"/>
        <v>0</v>
      </c>
      <c r="F273" s="172">
        <v>0</v>
      </c>
      <c r="G273" s="172">
        <v>0</v>
      </c>
      <c r="H273" s="172">
        <v>0</v>
      </c>
      <c r="I273" s="38">
        <f t="shared" si="51"/>
        <v>0</v>
      </c>
      <c r="J273" s="172">
        <v>0</v>
      </c>
      <c r="K273" s="172">
        <v>3542</v>
      </c>
      <c r="L273" s="172">
        <v>3693</v>
      </c>
      <c r="M273" s="38">
        <f t="shared" si="52"/>
        <v>7235</v>
      </c>
      <c r="N273" s="172">
        <v>0</v>
      </c>
      <c r="O273" s="172">
        <v>0</v>
      </c>
      <c r="P273" s="172">
        <v>0</v>
      </c>
      <c r="Q273" s="38">
        <f t="shared" si="53"/>
        <v>0</v>
      </c>
      <c r="R273" s="38">
        <f t="shared" si="54"/>
        <v>7235</v>
      </c>
      <c r="T273" t="s">
        <v>2175</v>
      </c>
    </row>
    <row r="274" spans="1:20" ht="15.75" customHeight="1" x14ac:dyDescent="0.3">
      <c r="A274" s="256" t="s">
        <v>848</v>
      </c>
      <c r="B274" s="10">
        <v>26</v>
      </c>
      <c r="C274" s="10">
        <v>26</v>
      </c>
      <c r="D274" s="10">
        <v>44</v>
      </c>
      <c r="E274" s="38">
        <f t="shared" si="50"/>
        <v>96</v>
      </c>
      <c r="F274" s="10">
        <v>33</v>
      </c>
      <c r="G274" s="10">
        <v>18</v>
      </c>
      <c r="H274" s="10">
        <v>0</v>
      </c>
      <c r="I274" s="38">
        <f t="shared" si="51"/>
        <v>51</v>
      </c>
      <c r="J274" s="10">
        <v>0</v>
      </c>
      <c r="K274" s="10">
        <v>0</v>
      </c>
      <c r="L274" s="10">
        <v>0</v>
      </c>
      <c r="M274" s="38">
        <f t="shared" si="52"/>
        <v>0</v>
      </c>
      <c r="N274" s="10">
        <v>0</v>
      </c>
      <c r="O274" s="10">
        <v>0</v>
      </c>
      <c r="P274" s="10">
        <v>0</v>
      </c>
      <c r="Q274" s="38">
        <f t="shared" si="53"/>
        <v>0</v>
      </c>
      <c r="R274" s="38">
        <f t="shared" si="54"/>
        <v>147</v>
      </c>
      <c r="S274" s="538"/>
      <c r="T274" t="s">
        <v>2174</v>
      </c>
    </row>
    <row r="275" spans="1:20" ht="15.75" customHeight="1" x14ac:dyDescent="0.3">
      <c r="A275" s="256" t="s">
        <v>92</v>
      </c>
      <c r="B275" s="172">
        <v>2905</v>
      </c>
      <c r="C275" s="172">
        <v>1288</v>
      </c>
      <c r="D275" s="172">
        <v>516</v>
      </c>
      <c r="E275" s="38">
        <f t="shared" si="50"/>
        <v>4709</v>
      </c>
      <c r="F275" s="172">
        <v>215</v>
      </c>
      <c r="G275" s="172">
        <v>1387</v>
      </c>
      <c r="H275" s="172">
        <v>3726</v>
      </c>
      <c r="I275" s="38">
        <f t="shared" si="51"/>
        <v>5328</v>
      </c>
      <c r="J275" s="172">
        <v>3725</v>
      </c>
      <c r="K275" s="172">
        <v>3824</v>
      </c>
      <c r="L275" s="172">
        <v>3901</v>
      </c>
      <c r="M275" s="38">
        <f t="shared" si="52"/>
        <v>11450</v>
      </c>
      <c r="N275" s="172">
        <v>4771</v>
      </c>
      <c r="O275" s="172">
        <v>4774</v>
      </c>
      <c r="P275" s="172">
        <v>4258</v>
      </c>
      <c r="Q275" s="38">
        <f t="shared" si="53"/>
        <v>13803</v>
      </c>
      <c r="R275" s="38">
        <f t="shared" si="54"/>
        <v>35290</v>
      </c>
      <c r="T275" t="s">
        <v>2178</v>
      </c>
    </row>
    <row r="276" spans="1:20" ht="15.75" customHeight="1" x14ac:dyDescent="0.3">
      <c r="A276" s="410" t="s">
        <v>2543</v>
      </c>
      <c r="B276" s="172">
        <v>0</v>
      </c>
      <c r="C276" s="172">
        <v>0</v>
      </c>
      <c r="D276" s="172">
        <v>0</v>
      </c>
      <c r="E276" s="38">
        <f t="shared" si="50"/>
        <v>0</v>
      </c>
      <c r="F276" s="172">
        <v>0</v>
      </c>
      <c r="G276" s="172">
        <v>0</v>
      </c>
      <c r="H276" s="172">
        <v>0</v>
      </c>
      <c r="I276" s="38">
        <f t="shared" si="51"/>
        <v>0</v>
      </c>
      <c r="J276" s="172">
        <v>0</v>
      </c>
      <c r="K276" s="172">
        <v>0</v>
      </c>
      <c r="L276" s="172">
        <v>0</v>
      </c>
      <c r="M276" s="38">
        <f t="shared" si="52"/>
        <v>0</v>
      </c>
      <c r="N276" s="172">
        <v>314</v>
      </c>
      <c r="O276" s="172">
        <v>2186</v>
      </c>
      <c r="P276" s="172">
        <v>0</v>
      </c>
      <c r="Q276" s="38">
        <f t="shared" si="53"/>
        <v>2500</v>
      </c>
      <c r="R276" s="38">
        <f t="shared" si="54"/>
        <v>2500</v>
      </c>
    </row>
    <row r="277" spans="1:20" ht="15.75" customHeight="1" x14ac:dyDescent="0.3">
      <c r="A277" s="256" t="s">
        <v>1927</v>
      </c>
      <c r="B277" s="172">
        <v>0</v>
      </c>
      <c r="C277" s="172">
        <v>0</v>
      </c>
      <c r="D277" s="172">
        <v>24</v>
      </c>
      <c r="E277" s="38">
        <f t="shared" si="50"/>
        <v>24</v>
      </c>
      <c r="F277" s="172">
        <v>0</v>
      </c>
      <c r="G277" s="172">
        <v>0</v>
      </c>
      <c r="H277" s="172">
        <v>27</v>
      </c>
      <c r="I277" s="38">
        <f t="shared" si="51"/>
        <v>27</v>
      </c>
      <c r="J277" s="172">
        <v>110</v>
      </c>
      <c r="K277" s="172">
        <v>92</v>
      </c>
      <c r="L277" s="172">
        <v>95</v>
      </c>
      <c r="M277" s="38">
        <f t="shared" si="52"/>
        <v>297</v>
      </c>
      <c r="N277" s="172">
        <v>0</v>
      </c>
      <c r="O277" s="172">
        <v>0</v>
      </c>
      <c r="P277" s="172">
        <v>0</v>
      </c>
      <c r="Q277" s="38">
        <f t="shared" si="53"/>
        <v>0</v>
      </c>
      <c r="R277" s="38">
        <f t="shared" si="54"/>
        <v>348</v>
      </c>
      <c r="S277">
        <f>SUM(R267:R277)</f>
        <v>54915</v>
      </c>
      <c r="T277" t="s">
        <v>2230</v>
      </c>
    </row>
    <row r="278" spans="1:20" ht="15.75" customHeight="1" x14ac:dyDescent="0.3">
      <c r="A278" s="234" t="s">
        <v>2161</v>
      </c>
      <c r="B278" s="172"/>
      <c r="C278" s="172"/>
      <c r="D278" s="172"/>
      <c r="E278" s="38" t="s">
        <v>852</v>
      </c>
      <c r="F278" s="172"/>
      <c r="G278" s="172"/>
      <c r="H278" s="172"/>
      <c r="I278" s="38" t="s">
        <v>852</v>
      </c>
      <c r="J278" s="172"/>
      <c r="K278" s="172">
        <v>0</v>
      </c>
      <c r="L278" s="172"/>
      <c r="M278" s="38" t="s">
        <v>852</v>
      </c>
      <c r="N278" s="172"/>
      <c r="O278" s="172"/>
      <c r="P278" s="172"/>
      <c r="Q278" s="38" t="s">
        <v>852</v>
      </c>
      <c r="R278" s="38" t="s">
        <v>852</v>
      </c>
      <c r="T278" t="s">
        <v>2175</v>
      </c>
    </row>
    <row r="279" spans="1:20" ht="15.75" customHeight="1" x14ac:dyDescent="0.3">
      <c r="A279" s="256" t="s">
        <v>754</v>
      </c>
      <c r="B279" s="172">
        <v>0</v>
      </c>
      <c r="C279" s="172">
        <v>0</v>
      </c>
      <c r="D279" s="172">
        <v>0</v>
      </c>
      <c r="E279" s="38">
        <f t="shared" ref="E279:E291" si="55">SUM(B279:D279)</f>
        <v>0</v>
      </c>
      <c r="F279" s="172">
        <v>0</v>
      </c>
      <c r="G279" s="172">
        <v>0</v>
      </c>
      <c r="H279" s="172">
        <v>0</v>
      </c>
      <c r="I279" s="38">
        <f t="shared" ref="I279:I291" si="56">SUM(F279:H279)</f>
        <v>0</v>
      </c>
      <c r="J279" s="172">
        <v>0</v>
      </c>
      <c r="K279" s="172">
        <v>0</v>
      </c>
      <c r="L279" s="172">
        <v>0</v>
      </c>
      <c r="M279" s="38">
        <f t="shared" ref="M279:M291" si="57">SUM(J279:L279)</f>
        <v>0</v>
      </c>
      <c r="N279" s="172">
        <v>0</v>
      </c>
      <c r="O279" s="172">
        <v>0</v>
      </c>
      <c r="P279" s="172">
        <v>0</v>
      </c>
      <c r="Q279" s="38">
        <f t="shared" ref="Q279:Q291" si="58">SUM(N279:P279)</f>
        <v>0</v>
      </c>
      <c r="R279" s="38">
        <f t="shared" ref="R279:R291" si="59">+E279+I279+M279+Q279</f>
        <v>0</v>
      </c>
      <c r="T279" t="s">
        <v>1360</v>
      </c>
    </row>
    <row r="280" spans="1:20" ht="15.75" customHeight="1" x14ac:dyDescent="0.3">
      <c r="A280" s="256" t="s">
        <v>1173</v>
      </c>
      <c r="B280" s="10">
        <v>0</v>
      </c>
      <c r="C280" s="10">
        <v>0</v>
      </c>
      <c r="D280" s="10">
        <v>4</v>
      </c>
      <c r="E280" s="38">
        <f>SUM(B280:D280)</f>
        <v>4</v>
      </c>
      <c r="F280" s="10">
        <v>7</v>
      </c>
      <c r="G280" s="10">
        <v>18</v>
      </c>
      <c r="H280" s="10">
        <v>15</v>
      </c>
      <c r="I280" s="38">
        <f>SUM(F280:H280)</f>
        <v>40</v>
      </c>
      <c r="J280" s="10">
        <v>18</v>
      </c>
      <c r="K280" s="10">
        <v>12</v>
      </c>
      <c r="L280" s="10">
        <v>15</v>
      </c>
      <c r="M280" s="38">
        <f>SUM(J280:L280)</f>
        <v>45</v>
      </c>
      <c r="N280" s="10">
        <v>24</v>
      </c>
      <c r="O280" s="10">
        <v>9</v>
      </c>
      <c r="P280" s="10">
        <v>9</v>
      </c>
      <c r="Q280" s="38">
        <f>SUM(N280:P280)</f>
        <v>42</v>
      </c>
      <c r="R280" s="38">
        <f>+E280+I280+M280+Q280</f>
        <v>131</v>
      </c>
      <c r="T280" t="s">
        <v>1360</v>
      </c>
    </row>
    <row r="281" spans="1:20" ht="15.75" customHeight="1" x14ac:dyDescent="0.3">
      <c r="A281" s="256" t="s">
        <v>2193</v>
      </c>
      <c r="B281" s="10">
        <v>0</v>
      </c>
      <c r="C281" s="10">
        <v>0</v>
      </c>
      <c r="D281" s="10">
        <v>0</v>
      </c>
      <c r="E281" s="38">
        <f t="shared" si="55"/>
        <v>0</v>
      </c>
      <c r="F281" s="10">
        <v>0</v>
      </c>
      <c r="G281" s="10">
        <v>8</v>
      </c>
      <c r="H281" s="10">
        <v>47</v>
      </c>
      <c r="I281" s="38">
        <f t="shared" si="56"/>
        <v>55</v>
      </c>
      <c r="J281" s="10">
        <v>52</v>
      </c>
      <c r="K281" s="10">
        <v>46</v>
      </c>
      <c r="L281" s="10">
        <v>62</v>
      </c>
      <c r="M281" s="38">
        <f t="shared" si="57"/>
        <v>160</v>
      </c>
      <c r="N281" s="10">
        <v>79</v>
      </c>
      <c r="O281" s="10">
        <v>28</v>
      </c>
      <c r="P281" s="10">
        <v>26</v>
      </c>
      <c r="Q281" s="38">
        <f t="shared" si="58"/>
        <v>133</v>
      </c>
      <c r="R281" s="38">
        <f>+E281+I281+M281+Q281</f>
        <v>348</v>
      </c>
      <c r="T281" t="s">
        <v>2174</v>
      </c>
    </row>
    <row r="282" spans="1:20" ht="15.75" customHeight="1" x14ac:dyDescent="0.3">
      <c r="A282" s="410" t="s">
        <v>2517</v>
      </c>
      <c r="B282" s="10">
        <v>0</v>
      </c>
      <c r="C282" s="10">
        <v>0</v>
      </c>
      <c r="D282" s="10">
        <v>0</v>
      </c>
      <c r="E282" s="38">
        <f>SUM(B282:D282)</f>
        <v>0</v>
      </c>
      <c r="F282" s="10">
        <v>0</v>
      </c>
      <c r="G282" s="10">
        <v>0</v>
      </c>
      <c r="H282" s="10">
        <v>0</v>
      </c>
      <c r="I282" s="38">
        <f>SUM(F282:H282)</f>
        <v>0</v>
      </c>
      <c r="J282" s="10">
        <v>0</v>
      </c>
      <c r="K282" s="10">
        <v>0</v>
      </c>
      <c r="L282" s="10">
        <v>3</v>
      </c>
      <c r="M282" s="38">
        <f>SUM(J282:L282)</f>
        <v>3</v>
      </c>
      <c r="N282" s="10">
        <v>3</v>
      </c>
      <c r="O282" s="10">
        <v>2</v>
      </c>
      <c r="P282" s="10">
        <v>2</v>
      </c>
      <c r="Q282" s="38">
        <f>SUM(N282:P282)</f>
        <v>7</v>
      </c>
      <c r="R282" s="38">
        <f>+E282+I282+M282+Q282</f>
        <v>10</v>
      </c>
      <c r="T282" t="s">
        <v>2174</v>
      </c>
    </row>
    <row r="283" spans="1:20" ht="15.75" customHeight="1" x14ac:dyDescent="0.3">
      <c r="A283" s="311" t="s">
        <v>375</v>
      </c>
      <c r="B283" s="172">
        <v>23</v>
      </c>
      <c r="C283" s="172">
        <v>20</v>
      </c>
      <c r="D283" s="172">
        <v>41</v>
      </c>
      <c r="E283" s="38">
        <f t="shared" si="55"/>
        <v>84</v>
      </c>
      <c r="F283" s="172">
        <v>51</v>
      </c>
      <c r="G283" s="172">
        <v>67</v>
      </c>
      <c r="H283" s="172">
        <v>69</v>
      </c>
      <c r="I283" s="38">
        <f t="shared" si="56"/>
        <v>187</v>
      </c>
      <c r="J283" s="172">
        <v>73</v>
      </c>
      <c r="K283" s="172">
        <v>61</v>
      </c>
      <c r="L283" s="172">
        <v>43</v>
      </c>
      <c r="M283" s="38">
        <f t="shared" si="57"/>
        <v>177</v>
      </c>
      <c r="N283" s="172">
        <v>60</v>
      </c>
      <c r="O283" s="172">
        <v>25</v>
      </c>
      <c r="P283" s="172">
        <v>14</v>
      </c>
      <c r="Q283" s="38">
        <f t="shared" si="58"/>
        <v>99</v>
      </c>
      <c r="R283" s="38">
        <f t="shared" si="59"/>
        <v>547</v>
      </c>
    </row>
    <row r="284" spans="1:20" ht="15.75" customHeight="1" x14ac:dyDescent="0.3">
      <c r="A284" s="256" t="s">
        <v>1732</v>
      </c>
      <c r="B284" s="172">
        <v>0</v>
      </c>
      <c r="C284" s="172">
        <v>0</v>
      </c>
      <c r="D284" s="172">
        <v>0</v>
      </c>
      <c r="E284" s="38">
        <f t="shared" si="55"/>
        <v>0</v>
      </c>
      <c r="F284" s="172">
        <v>0</v>
      </c>
      <c r="G284" s="172">
        <v>0</v>
      </c>
      <c r="H284" s="172">
        <v>0</v>
      </c>
      <c r="I284" s="38">
        <f t="shared" si="56"/>
        <v>0</v>
      </c>
      <c r="J284" s="172">
        <v>0</v>
      </c>
      <c r="K284" s="172">
        <v>0</v>
      </c>
      <c r="L284" s="172">
        <v>0</v>
      </c>
      <c r="M284" s="38">
        <f t="shared" si="57"/>
        <v>0</v>
      </c>
      <c r="N284" s="172">
        <v>0</v>
      </c>
      <c r="O284" s="172">
        <v>0</v>
      </c>
      <c r="P284" s="172">
        <v>2</v>
      </c>
      <c r="Q284" s="38">
        <f t="shared" si="58"/>
        <v>2</v>
      </c>
      <c r="R284" s="38">
        <f t="shared" si="59"/>
        <v>2</v>
      </c>
      <c r="T284" t="s">
        <v>2174</v>
      </c>
    </row>
    <row r="285" spans="1:20" ht="15.75" customHeight="1" x14ac:dyDescent="0.3">
      <c r="A285" s="256" t="s">
        <v>1095</v>
      </c>
      <c r="B285" s="172">
        <v>1</v>
      </c>
      <c r="C285" s="172">
        <v>3</v>
      </c>
      <c r="D285" s="172">
        <v>5</v>
      </c>
      <c r="E285" s="38">
        <f t="shared" si="55"/>
        <v>9</v>
      </c>
      <c r="F285" s="172">
        <v>26</v>
      </c>
      <c r="G285" s="172">
        <v>48</v>
      </c>
      <c r="H285" s="172">
        <v>59</v>
      </c>
      <c r="I285" s="38">
        <f t="shared" si="56"/>
        <v>133</v>
      </c>
      <c r="J285" s="172">
        <v>81</v>
      </c>
      <c r="K285" s="172">
        <v>103</v>
      </c>
      <c r="L285" s="172">
        <v>101</v>
      </c>
      <c r="M285" s="38">
        <f t="shared" si="57"/>
        <v>285</v>
      </c>
      <c r="N285" s="172">
        <v>74</v>
      </c>
      <c r="O285" s="172">
        <v>23</v>
      </c>
      <c r="P285" s="172">
        <v>0</v>
      </c>
      <c r="Q285" s="38">
        <f t="shared" si="58"/>
        <v>97</v>
      </c>
      <c r="R285" s="38">
        <f t="shared" si="59"/>
        <v>524</v>
      </c>
      <c r="T285" t="s">
        <v>1361</v>
      </c>
    </row>
    <row r="286" spans="1:20" ht="15.75" customHeight="1" x14ac:dyDescent="0.3">
      <c r="A286" s="256" t="s">
        <v>1138</v>
      </c>
      <c r="B286" s="172">
        <v>1</v>
      </c>
      <c r="C286" s="172">
        <v>1</v>
      </c>
      <c r="D286" s="172">
        <v>1</v>
      </c>
      <c r="E286" s="38">
        <f t="shared" si="55"/>
        <v>3</v>
      </c>
      <c r="F286" s="172">
        <v>1</v>
      </c>
      <c r="G286" s="172">
        <v>1</v>
      </c>
      <c r="H286" s="172">
        <v>1</v>
      </c>
      <c r="I286" s="38">
        <f t="shared" si="56"/>
        <v>3</v>
      </c>
      <c r="J286" s="172">
        <v>2</v>
      </c>
      <c r="K286" s="172">
        <v>2</v>
      </c>
      <c r="L286" s="172">
        <v>2</v>
      </c>
      <c r="M286" s="38">
        <f t="shared" si="57"/>
        <v>6</v>
      </c>
      <c r="N286" s="172">
        <v>2</v>
      </c>
      <c r="O286" s="172">
        <v>1</v>
      </c>
      <c r="P286" s="172">
        <v>0</v>
      </c>
      <c r="Q286" s="38">
        <f t="shared" si="58"/>
        <v>3</v>
      </c>
      <c r="R286" s="38">
        <f t="shared" si="59"/>
        <v>15</v>
      </c>
      <c r="T286" t="s">
        <v>2174</v>
      </c>
    </row>
    <row r="287" spans="1:20" ht="15.75" customHeight="1" x14ac:dyDescent="0.3">
      <c r="A287" s="256" t="s">
        <v>1927</v>
      </c>
      <c r="B287" s="172">
        <v>0</v>
      </c>
      <c r="C287" s="172">
        <v>0</v>
      </c>
      <c r="D287" s="172">
        <v>0</v>
      </c>
      <c r="E287" s="38">
        <f t="shared" si="55"/>
        <v>0</v>
      </c>
      <c r="F287" s="172">
        <v>0</v>
      </c>
      <c r="G287" s="172">
        <v>0</v>
      </c>
      <c r="H287" s="172">
        <v>0</v>
      </c>
      <c r="I287" s="38">
        <f t="shared" si="56"/>
        <v>0</v>
      </c>
      <c r="J287" s="172">
        <v>0</v>
      </c>
      <c r="K287" s="172">
        <v>0</v>
      </c>
      <c r="L287" s="172">
        <v>0</v>
      </c>
      <c r="M287" s="38">
        <f t="shared" si="57"/>
        <v>0</v>
      </c>
      <c r="N287" s="172">
        <v>52</v>
      </c>
      <c r="O287" s="172">
        <v>0</v>
      </c>
      <c r="P287" s="172">
        <v>0</v>
      </c>
      <c r="Q287" s="38">
        <f t="shared" si="58"/>
        <v>52</v>
      </c>
      <c r="R287" s="38">
        <f t="shared" si="59"/>
        <v>52</v>
      </c>
      <c r="T287" t="s">
        <v>2174</v>
      </c>
    </row>
    <row r="288" spans="1:20" ht="15.75" customHeight="1" x14ac:dyDescent="0.3">
      <c r="A288" s="256" t="s">
        <v>875</v>
      </c>
      <c r="B288" s="172">
        <v>33</v>
      </c>
      <c r="C288" s="172">
        <v>53</v>
      </c>
      <c r="D288" s="172">
        <v>10</v>
      </c>
      <c r="E288" s="38">
        <f t="shared" si="55"/>
        <v>96</v>
      </c>
      <c r="F288" s="172">
        <v>26</v>
      </c>
      <c r="G288" s="172">
        <v>0</v>
      </c>
      <c r="H288" s="172">
        <v>0</v>
      </c>
      <c r="I288" s="38">
        <f t="shared" si="56"/>
        <v>26</v>
      </c>
      <c r="J288" s="172">
        <v>9</v>
      </c>
      <c r="K288" s="172">
        <v>10</v>
      </c>
      <c r="L288" s="172">
        <v>261</v>
      </c>
      <c r="M288" s="38">
        <f t="shared" si="57"/>
        <v>280</v>
      </c>
      <c r="N288" s="172">
        <v>70</v>
      </c>
      <c r="O288" s="172">
        <v>25</v>
      </c>
      <c r="P288" s="172">
        <v>16</v>
      </c>
      <c r="Q288" s="38">
        <f t="shared" si="58"/>
        <v>111</v>
      </c>
      <c r="R288" s="38">
        <f t="shared" si="59"/>
        <v>513</v>
      </c>
      <c r="T288" t="s">
        <v>2175</v>
      </c>
    </row>
    <row r="289" spans="1:20" ht="15.75" customHeight="1" x14ac:dyDescent="0.3">
      <c r="A289" s="256" t="s">
        <v>1059</v>
      </c>
      <c r="B289" s="172">
        <v>2</v>
      </c>
      <c r="C289" s="172">
        <v>1</v>
      </c>
      <c r="D289" s="172">
        <v>2</v>
      </c>
      <c r="E289" s="38">
        <f t="shared" si="55"/>
        <v>5</v>
      </c>
      <c r="F289" s="172">
        <v>2</v>
      </c>
      <c r="G289" s="172">
        <v>2</v>
      </c>
      <c r="H289" s="172">
        <v>2</v>
      </c>
      <c r="I289" s="38">
        <f t="shared" si="56"/>
        <v>6</v>
      </c>
      <c r="J289" s="172">
        <v>1</v>
      </c>
      <c r="K289" s="172">
        <v>3</v>
      </c>
      <c r="L289" s="172">
        <v>2</v>
      </c>
      <c r="M289" s="38">
        <f t="shared" si="57"/>
        <v>6</v>
      </c>
      <c r="N289" s="172">
        <v>3</v>
      </c>
      <c r="O289" s="172">
        <v>2</v>
      </c>
      <c r="P289" s="172">
        <v>0</v>
      </c>
      <c r="Q289" s="38">
        <f t="shared" si="58"/>
        <v>5</v>
      </c>
      <c r="R289" s="38">
        <f t="shared" si="59"/>
        <v>22</v>
      </c>
      <c r="T289" t="s">
        <v>1358</v>
      </c>
    </row>
    <row r="290" spans="1:20" ht="15.75" customHeight="1" x14ac:dyDescent="0.3">
      <c r="A290" s="256" t="s">
        <v>231</v>
      </c>
      <c r="B290" s="172">
        <v>0</v>
      </c>
      <c r="C290" s="172">
        <v>0</v>
      </c>
      <c r="D290" s="172">
        <v>0</v>
      </c>
      <c r="E290" s="38">
        <f t="shared" si="55"/>
        <v>0</v>
      </c>
      <c r="F290" s="172">
        <v>0</v>
      </c>
      <c r="G290" s="172">
        <v>0</v>
      </c>
      <c r="H290" s="172">
        <v>28</v>
      </c>
      <c r="I290" s="38">
        <f t="shared" si="56"/>
        <v>28</v>
      </c>
      <c r="J290" s="172">
        <v>52</v>
      </c>
      <c r="K290" s="172">
        <v>22</v>
      </c>
      <c r="L290" s="172">
        <v>4</v>
      </c>
      <c r="M290" s="38">
        <f t="shared" si="57"/>
        <v>78</v>
      </c>
      <c r="N290" s="172">
        <v>20</v>
      </c>
      <c r="O290" s="172">
        <v>0</v>
      </c>
      <c r="P290" s="172">
        <v>0</v>
      </c>
      <c r="Q290" s="38">
        <f t="shared" si="58"/>
        <v>20</v>
      </c>
      <c r="R290" s="38">
        <f t="shared" si="59"/>
        <v>126</v>
      </c>
    </row>
    <row r="291" spans="1:20" ht="15.75" customHeight="1" x14ac:dyDescent="0.3">
      <c r="A291" s="256" t="s">
        <v>2220</v>
      </c>
      <c r="B291" s="172">
        <v>8</v>
      </c>
      <c r="C291" s="172">
        <v>8</v>
      </c>
      <c r="D291" s="172">
        <v>15</v>
      </c>
      <c r="E291" s="38">
        <f t="shared" si="55"/>
        <v>31</v>
      </c>
      <c r="F291" s="172">
        <v>24</v>
      </c>
      <c r="G291" s="172">
        <v>32</v>
      </c>
      <c r="H291" s="172">
        <v>33</v>
      </c>
      <c r="I291" s="38">
        <f t="shared" si="56"/>
        <v>89</v>
      </c>
      <c r="J291" s="172">
        <v>36</v>
      </c>
      <c r="K291" s="172">
        <v>35</v>
      </c>
      <c r="L291" s="172">
        <v>21</v>
      </c>
      <c r="M291" s="38">
        <f t="shared" si="57"/>
        <v>92</v>
      </c>
      <c r="N291" s="172">
        <v>46</v>
      </c>
      <c r="O291" s="172">
        <v>70</v>
      </c>
      <c r="P291" s="172">
        <v>7</v>
      </c>
      <c r="Q291" s="38">
        <f t="shared" si="58"/>
        <v>123</v>
      </c>
      <c r="R291" s="38">
        <f t="shared" si="59"/>
        <v>335</v>
      </c>
    </row>
    <row r="292" spans="1:20" ht="15.75" customHeight="1" x14ac:dyDescent="0.3">
      <c r="A292" s="234" t="s">
        <v>2162</v>
      </c>
      <c r="B292" s="172"/>
      <c r="C292" s="172"/>
      <c r="D292" s="172"/>
      <c r="E292" s="38" t="s">
        <v>852</v>
      </c>
      <c r="F292" s="172"/>
      <c r="G292" s="172"/>
      <c r="H292" s="172"/>
      <c r="I292" s="38" t="s">
        <v>852</v>
      </c>
      <c r="J292" s="172"/>
      <c r="K292" s="172">
        <v>0</v>
      </c>
      <c r="L292" s="172"/>
      <c r="M292" s="38" t="s">
        <v>852</v>
      </c>
      <c r="N292" s="172"/>
      <c r="O292" s="172"/>
      <c r="P292" s="172"/>
      <c r="Q292" s="38" t="s">
        <v>852</v>
      </c>
      <c r="R292" s="38" t="s">
        <v>852</v>
      </c>
      <c r="T292" t="s">
        <v>2175</v>
      </c>
    </row>
    <row r="293" spans="1:20" ht="15.75" customHeight="1" x14ac:dyDescent="0.3">
      <c r="A293" s="410" t="s">
        <v>2552</v>
      </c>
      <c r="B293" s="10">
        <v>0</v>
      </c>
      <c r="C293" s="10">
        <v>0</v>
      </c>
      <c r="D293" s="10">
        <v>290</v>
      </c>
      <c r="E293" s="38">
        <f>SUM(B293:D293)</f>
        <v>290</v>
      </c>
      <c r="F293" s="10">
        <v>0</v>
      </c>
      <c r="G293" s="10">
        <v>0</v>
      </c>
      <c r="H293" s="10">
        <v>0</v>
      </c>
      <c r="I293" s="38">
        <f>SUM(F293:H293)</f>
        <v>0</v>
      </c>
      <c r="J293" s="10">
        <v>0</v>
      </c>
      <c r="K293" s="10">
        <v>0</v>
      </c>
      <c r="L293" s="10">
        <v>0</v>
      </c>
      <c r="M293" s="38">
        <f>SUM(J293:L293)</f>
        <v>0</v>
      </c>
      <c r="N293" s="10">
        <v>0</v>
      </c>
      <c r="O293" s="10">
        <v>0</v>
      </c>
      <c r="P293" s="10">
        <v>0</v>
      </c>
      <c r="Q293" s="38">
        <f>SUM(N293:P293)</f>
        <v>0</v>
      </c>
      <c r="R293" s="38">
        <f>+E293+I293+M293+Q293</f>
        <v>290</v>
      </c>
      <c r="T293" t="s">
        <v>294</v>
      </c>
    </row>
    <row r="294" spans="1:20" ht="15.75" customHeight="1" x14ac:dyDescent="0.3">
      <c r="A294" s="410" t="s">
        <v>2553</v>
      </c>
      <c r="B294" s="10">
        <v>0</v>
      </c>
      <c r="C294" s="10">
        <v>0</v>
      </c>
      <c r="D294" s="10">
        <v>0</v>
      </c>
      <c r="E294" s="38">
        <f>SUM(B294:D294)</f>
        <v>0</v>
      </c>
      <c r="F294" s="10">
        <v>0</v>
      </c>
      <c r="G294" s="10">
        <v>0</v>
      </c>
      <c r="H294" s="10">
        <v>0</v>
      </c>
      <c r="I294" s="38">
        <f>SUM(F294:H294)</f>
        <v>0</v>
      </c>
      <c r="J294" s="10">
        <v>0</v>
      </c>
      <c r="K294" s="10">
        <v>3979</v>
      </c>
      <c r="L294" s="10">
        <v>4561</v>
      </c>
      <c r="M294" s="38">
        <f>SUM(J294:L294)</f>
        <v>8540</v>
      </c>
      <c r="N294" s="10">
        <v>460</v>
      </c>
      <c r="O294" s="10">
        <v>0</v>
      </c>
      <c r="P294" s="10">
        <v>0</v>
      </c>
      <c r="Q294" s="38">
        <f>SUM(N294:P294)</f>
        <v>460</v>
      </c>
      <c r="R294" s="38">
        <f>+E294+I294+M294+Q294</f>
        <v>9000</v>
      </c>
      <c r="T294" t="s">
        <v>2174</v>
      </c>
    </row>
    <row r="295" spans="1:20" ht="15.75" customHeight="1" x14ac:dyDescent="0.3">
      <c r="A295" s="410" t="s">
        <v>2554</v>
      </c>
      <c r="B295" s="10">
        <v>0</v>
      </c>
      <c r="C295" s="10">
        <v>0</v>
      </c>
      <c r="D295" s="10">
        <v>0</v>
      </c>
      <c r="E295" s="38">
        <f>SUM(B295:D295)</f>
        <v>0</v>
      </c>
      <c r="F295" s="10">
        <v>0</v>
      </c>
      <c r="G295" s="10">
        <v>2209</v>
      </c>
      <c r="H295" s="10">
        <v>791</v>
      </c>
      <c r="I295" s="38">
        <f>SUM(F295:H295)</f>
        <v>3000</v>
      </c>
      <c r="J295" s="10">
        <v>0</v>
      </c>
      <c r="K295" s="10">
        <v>0</v>
      </c>
      <c r="L295" s="10">
        <v>0</v>
      </c>
      <c r="M295" s="38">
        <f>SUM(J295:L295)</f>
        <v>0</v>
      </c>
      <c r="N295" s="10">
        <v>0</v>
      </c>
      <c r="O295" s="10">
        <v>0</v>
      </c>
      <c r="P295" s="10">
        <v>0</v>
      </c>
      <c r="Q295" s="38">
        <f>SUM(N295:P295)</f>
        <v>0</v>
      </c>
      <c r="R295" s="38">
        <f>+E295+I295+M295+Q295</f>
        <v>3000</v>
      </c>
      <c r="T295" t="s">
        <v>1427</v>
      </c>
    </row>
    <row r="296" spans="1:20" ht="15.75" customHeight="1" x14ac:dyDescent="0.3">
      <c r="A296" s="410" t="s">
        <v>2555</v>
      </c>
      <c r="B296" s="10">
        <v>0</v>
      </c>
      <c r="C296" s="10">
        <v>0</v>
      </c>
      <c r="D296" s="10">
        <v>0</v>
      </c>
      <c r="E296" s="38">
        <f>SUM(B296:D296)</f>
        <v>0</v>
      </c>
      <c r="F296" s="10">
        <v>0</v>
      </c>
      <c r="G296" s="10">
        <v>0</v>
      </c>
      <c r="H296" s="10">
        <v>0</v>
      </c>
      <c r="I296" s="38">
        <f>SUM(F296:H296)</f>
        <v>0</v>
      </c>
      <c r="J296" s="10">
        <v>0</v>
      </c>
      <c r="K296" s="10">
        <v>0</v>
      </c>
      <c r="L296" s="10">
        <v>0</v>
      </c>
      <c r="M296" s="38">
        <f>SUM(J296:L296)</f>
        <v>0</v>
      </c>
      <c r="N296" s="10">
        <v>0</v>
      </c>
      <c r="O296" s="10">
        <v>0</v>
      </c>
      <c r="P296" s="10">
        <v>0</v>
      </c>
      <c r="Q296" s="38">
        <f>SUM(N296:P296)</f>
        <v>0</v>
      </c>
      <c r="R296" s="38">
        <f>+E296+I296+M296+Q296</f>
        <v>0</v>
      </c>
      <c r="T296" t="s">
        <v>2175</v>
      </c>
    </row>
    <row r="297" spans="1:20" ht="16.5" customHeight="1" thickBot="1" x14ac:dyDescent="0.35">
      <c r="A297" s="234" t="s">
        <v>2164</v>
      </c>
      <c r="B297" s="172"/>
      <c r="C297" s="172"/>
      <c r="D297" s="172"/>
      <c r="E297" s="38" t="s">
        <v>852</v>
      </c>
      <c r="F297" s="172"/>
      <c r="G297" s="172"/>
      <c r="H297" s="172"/>
      <c r="I297" s="38" t="s">
        <v>852</v>
      </c>
      <c r="J297" s="172"/>
      <c r="K297" s="172"/>
      <c r="L297" s="172"/>
      <c r="M297" s="38" t="s">
        <v>852</v>
      </c>
      <c r="N297" s="172"/>
      <c r="O297" s="172"/>
      <c r="P297" s="172"/>
      <c r="Q297" s="38" t="s">
        <v>852</v>
      </c>
      <c r="R297" s="40" t="s">
        <v>852</v>
      </c>
      <c r="T297" t="s">
        <v>2178</v>
      </c>
    </row>
    <row r="298" spans="1:20" ht="16.5" customHeight="1" thickBot="1" x14ac:dyDescent="0.35">
      <c r="A298" s="276" t="s">
        <v>1218</v>
      </c>
      <c r="B298" s="45">
        <f>SUM(B265:B297)</f>
        <v>3481</v>
      </c>
      <c r="C298" s="46">
        <f>SUM(C265:C297)</f>
        <v>1658</v>
      </c>
      <c r="D298" s="46">
        <f>SUM(D265:D297)</f>
        <v>1395</v>
      </c>
      <c r="E298" s="37">
        <f>SUM(B298:D298)</f>
        <v>6534</v>
      </c>
      <c r="F298" s="46">
        <f>SUM(F265:F297)</f>
        <v>841</v>
      </c>
      <c r="G298" s="46">
        <f>SUM(G265:G297)</f>
        <v>4458</v>
      </c>
      <c r="H298" s="46">
        <f>SUM(H265:H297)</f>
        <v>5997</v>
      </c>
      <c r="I298" s="37">
        <f>SUM(F298:H298)</f>
        <v>11296</v>
      </c>
      <c r="J298" s="46">
        <f>SUM(J265:J297)</f>
        <v>5723</v>
      </c>
      <c r="K298" s="46">
        <f>SUM(K265:K297)</f>
        <v>13229</v>
      </c>
      <c r="L298" s="46">
        <f>SUM(L265:L297)</f>
        <v>14273</v>
      </c>
      <c r="M298" s="37">
        <f>SUM(J298:L298)</f>
        <v>33225</v>
      </c>
      <c r="N298" s="46">
        <f>SUM(N265:N297)</f>
        <v>6748</v>
      </c>
      <c r="O298" s="46">
        <f>SUM(O265:O297)</f>
        <v>7441</v>
      </c>
      <c r="P298" s="46">
        <f>SUM(P265:P297)</f>
        <v>4586</v>
      </c>
      <c r="Q298" s="37">
        <f>SUM(N298:P298)</f>
        <v>18775</v>
      </c>
      <c r="R298" s="37">
        <f>+E298+I298+M298+Q298</f>
        <v>69830</v>
      </c>
      <c r="T298" s="230" t="s">
        <v>66</v>
      </c>
    </row>
    <row r="299" spans="1:20" ht="15.75" customHeight="1" x14ac:dyDescent="0.3">
      <c r="A299" s="234" t="s">
        <v>1172</v>
      </c>
      <c r="B299" s="172"/>
      <c r="C299" s="172"/>
      <c r="D299" s="172"/>
      <c r="E299" s="38" t="s">
        <v>852</v>
      </c>
      <c r="F299" s="172"/>
      <c r="G299" s="172"/>
      <c r="H299" s="172"/>
      <c r="I299" s="38" t="s">
        <v>852</v>
      </c>
      <c r="J299" s="172"/>
      <c r="K299" s="172"/>
      <c r="L299" s="172"/>
      <c r="M299" s="38" t="s">
        <v>852</v>
      </c>
      <c r="N299" s="172"/>
      <c r="O299" s="172"/>
      <c r="P299" s="172"/>
      <c r="Q299" s="38" t="s">
        <v>852</v>
      </c>
      <c r="R299" s="38" t="s">
        <v>852</v>
      </c>
    </row>
    <row r="300" spans="1:20" ht="15.75" customHeight="1" x14ac:dyDescent="0.3">
      <c r="A300" s="234" t="s">
        <v>2659</v>
      </c>
      <c r="B300" s="172"/>
      <c r="C300" s="172"/>
      <c r="D300" s="172"/>
      <c r="E300" s="38"/>
      <c r="F300" s="172"/>
      <c r="G300" s="172"/>
      <c r="H300" s="172"/>
      <c r="I300" s="38"/>
      <c r="J300" s="172"/>
      <c r="K300" s="172"/>
      <c r="L300" s="172"/>
      <c r="M300" s="38"/>
      <c r="N300" s="172"/>
      <c r="O300" s="172"/>
      <c r="P300" s="172"/>
      <c r="Q300" s="38"/>
      <c r="R300" s="38"/>
    </row>
    <row r="301" spans="1:20" ht="15.75" customHeight="1" x14ac:dyDescent="0.3">
      <c r="A301" s="410" t="s">
        <v>2539</v>
      </c>
      <c r="B301" s="172"/>
      <c r="C301" s="172"/>
      <c r="D301" s="172"/>
      <c r="E301" s="38">
        <f>SUM(B301:D301)</f>
        <v>0</v>
      </c>
      <c r="F301" s="172"/>
      <c r="G301" s="172"/>
      <c r="H301" s="172"/>
      <c r="I301" s="38">
        <f>SUM(F301:H301)</f>
        <v>0</v>
      </c>
      <c r="J301" s="172"/>
      <c r="K301" s="172"/>
      <c r="L301" s="172"/>
      <c r="M301" s="38">
        <f>SUM(J301:L301)</f>
        <v>0</v>
      </c>
      <c r="N301" s="172"/>
      <c r="O301" s="172"/>
      <c r="P301" s="172"/>
      <c r="Q301" s="38">
        <f>SUM(N301:P301)</f>
        <v>0</v>
      </c>
      <c r="R301" s="38">
        <f>+E301+I301+M301+Q301</f>
        <v>0</v>
      </c>
    </row>
    <row r="302" spans="1:20" ht="15.75" customHeight="1" x14ac:dyDescent="0.3">
      <c r="A302" s="256" t="s">
        <v>2099</v>
      </c>
      <c r="B302" s="172"/>
      <c r="C302" s="172"/>
      <c r="D302" s="172"/>
      <c r="E302" s="38">
        <f>SUM(B302:D302)</f>
        <v>0</v>
      </c>
      <c r="F302" s="172"/>
      <c r="G302" s="172"/>
      <c r="H302" s="172"/>
      <c r="I302" s="38">
        <f>SUM(F302:H302)</f>
        <v>0</v>
      </c>
      <c r="J302" s="172"/>
      <c r="K302" s="172"/>
      <c r="L302" s="172"/>
      <c r="M302" s="38">
        <f>SUM(J302:L302)</f>
        <v>0</v>
      </c>
      <c r="N302" s="172">
        <v>153</v>
      </c>
      <c r="O302" s="172"/>
      <c r="P302" s="172">
        <v>253</v>
      </c>
      <c r="Q302" s="38">
        <f>SUM(N302:P302)</f>
        <v>406</v>
      </c>
      <c r="R302" s="38">
        <f>+E302+I302+M302+Q302</f>
        <v>406</v>
      </c>
    </row>
    <row r="303" spans="1:20" ht="15.75" customHeight="1" x14ac:dyDescent="0.3">
      <c r="A303" s="311" t="s">
        <v>644</v>
      </c>
      <c r="B303" s="172">
        <v>0</v>
      </c>
      <c r="C303" s="172">
        <v>0</v>
      </c>
      <c r="D303" s="172">
        <v>0</v>
      </c>
      <c r="E303" s="38">
        <f>SUM(B303:D303)</f>
        <v>0</v>
      </c>
      <c r="F303" s="172">
        <v>0</v>
      </c>
      <c r="G303" s="172">
        <v>18</v>
      </c>
      <c r="H303" s="172">
        <v>0</v>
      </c>
      <c r="I303" s="38">
        <f>SUM(F303:H303)</f>
        <v>18</v>
      </c>
      <c r="J303" s="172">
        <v>18</v>
      </c>
      <c r="K303" s="172">
        <v>7</v>
      </c>
      <c r="L303" s="172">
        <v>11</v>
      </c>
      <c r="M303" s="38">
        <f>SUM(J303:L303)</f>
        <v>36</v>
      </c>
      <c r="N303" s="172">
        <v>7</v>
      </c>
      <c r="O303" s="172">
        <v>5</v>
      </c>
      <c r="P303" s="172">
        <v>0</v>
      </c>
      <c r="Q303" s="38">
        <f>SUM(N303:P303)</f>
        <v>12</v>
      </c>
      <c r="R303" s="38">
        <f>+E303+I303+M303+Q303</f>
        <v>66</v>
      </c>
    </row>
    <row r="304" spans="1:20" ht="15.75" customHeight="1" x14ac:dyDescent="0.3">
      <c r="A304" s="234" t="s">
        <v>2409</v>
      </c>
      <c r="B304" s="172"/>
      <c r="C304" s="172"/>
      <c r="D304" s="172"/>
      <c r="E304" s="38" t="s">
        <v>852</v>
      </c>
      <c r="F304" s="172"/>
      <c r="G304" s="172"/>
      <c r="H304" s="172"/>
      <c r="I304" s="38" t="s">
        <v>852</v>
      </c>
      <c r="J304" s="172"/>
      <c r="K304" s="172"/>
      <c r="L304" s="172"/>
      <c r="M304" s="38" t="s">
        <v>852</v>
      </c>
      <c r="N304" s="172"/>
      <c r="O304" s="172"/>
      <c r="P304" s="172"/>
      <c r="Q304" s="38" t="s">
        <v>852</v>
      </c>
      <c r="R304" s="38" t="s">
        <v>852</v>
      </c>
      <c r="T304" t="s">
        <v>2174</v>
      </c>
    </row>
    <row r="305" spans="1:30" ht="15.75" customHeight="1" x14ac:dyDescent="0.3">
      <c r="A305" s="256" t="s">
        <v>2099</v>
      </c>
      <c r="B305" s="10">
        <v>5</v>
      </c>
      <c r="C305" s="10">
        <v>43</v>
      </c>
      <c r="D305" s="10">
        <v>1002</v>
      </c>
      <c r="E305" s="38">
        <f>SUM(B305:D305)</f>
        <v>1050</v>
      </c>
      <c r="F305" s="10">
        <v>3331</v>
      </c>
      <c r="G305" s="10">
        <v>2342</v>
      </c>
      <c r="H305" s="10">
        <v>6574</v>
      </c>
      <c r="I305" s="38">
        <f>SUM(F305:H305)</f>
        <v>12247</v>
      </c>
      <c r="J305" s="10">
        <v>7784</v>
      </c>
      <c r="K305" s="10">
        <v>6831</v>
      </c>
      <c r="L305" s="10">
        <v>0</v>
      </c>
      <c r="M305" s="38">
        <f>SUM(J305:L305)</f>
        <v>14615</v>
      </c>
      <c r="N305" s="10">
        <v>0</v>
      </c>
      <c r="O305" s="10">
        <v>0</v>
      </c>
      <c r="P305" s="10">
        <v>0</v>
      </c>
      <c r="Q305" s="38">
        <f>SUM(N305:P305)</f>
        <v>0</v>
      </c>
      <c r="R305" s="38">
        <f>+E305+I305+M305+Q305</f>
        <v>27912</v>
      </c>
    </row>
    <row r="306" spans="1:30" ht="15.75" customHeight="1" x14ac:dyDescent="0.3">
      <c r="A306" s="256" t="s">
        <v>357</v>
      </c>
      <c r="B306" s="172">
        <v>0</v>
      </c>
      <c r="C306" s="172">
        <v>0</v>
      </c>
      <c r="D306" s="172">
        <v>0</v>
      </c>
      <c r="E306" s="38">
        <f>SUM(B306:D306)</f>
        <v>0</v>
      </c>
      <c r="F306" s="172">
        <v>50</v>
      </c>
      <c r="G306" s="172">
        <v>61</v>
      </c>
      <c r="H306" s="172">
        <v>81</v>
      </c>
      <c r="I306" s="38">
        <f>SUM(F306:H306)</f>
        <v>192</v>
      </c>
      <c r="J306" s="172">
        <v>102</v>
      </c>
      <c r="K306" s="172">
        <v>73</v>
      </c>
      <c r="L306" s="172">
        <v>35</v>
      </c>
      <c r="M306" s="38">
        <f>SUM(J306:L306)</f>
        <v>210</v>
      </c>
      <c r="N306" s="172">
        <v>32</v>
      </c>
      <c r="O306" s="172">
        <v>59</v>
      </c>
      <c r="P306" s="172">
        <v>0</v>
      </c>
      <c r="Q306" s="38">
        <f>SUM(N306:P306)</f>
        <v>91</v>
      </c>
      <c r="R306" s="38">
        <f>+E306+I306+M306+Q306</f>
        <v>493</v>
      </c>
    </row>
    <row r="307" spans="1:30" ht="15.75" customHeight="1" x14ac:dyDescent="0.3">
      <c r="A307" s="311" t="s">
        <v>909</v>
      </c>
      <c r="B307" s="172">
        <v>82</v>
      </c>
      <c r="C307" s="172">
        <v>2000</v>
      </c>
      <c r="D307" s="172">
        <f>4602-79</f>
        <v>4523</v>
      </c>
      <c r="E307" s="38">
        <f t="shared" ref="E307:E313" si="60">SUM(B307:D307)</f>
        <v>6605</v>
      </c>
      <c r="F307" s="172">
        <f>5560-29</f>
        <v>5531</v>
      </c>
      <c r="G307" s="172">
        <f>3915-114</f>
        <v>3801</v>
      </c>
      <c r="H307" s="172">
        <f>6351-103</f>
        <v>6248</v>
      </c>
      <c r="I307" s="38">
        <f t="shared" ref="I307:I313" si="61">SUM(F307:H307)</f>
        <v>15580</v>
      </c>
      <c r="J307" s="172">
        <f>6928-328</f>
        <v>6600</v>
      </c>
      <c r="K307" s="172">
        <f>6342-329</f>
        <v>6013</v>
      </c>
      <c r="L307" s="172">
        <v>0</v>
      </c>
      <c r="M307" s="38">
        <f t="shared" ref="M307:M313" si="62">SUM(J307:L307)</f>
        <v>12613</v>
      </c>
      <c r="N307" s="172">
        <v>0</v>
      </c>
      <c r="O307" s="172">
        <v>0</v>
      </c>
      <c r="P307" s="172">
        <f>28-28</f>
        <v>0</v>
      </c>
      <c r="Q307" s="38">
        <f t="shared" ref="Q307:Q313" si="63">SUM(N307:P307)</f>
        <v>0</v>
      </c>
      <c r="R307" s="38">
        <f t="shared" ref="R307:R313" si="64">+E307+I307+M307+Q307</f>
        <v>34798</v>
      </c>
    </row>
    <row r="308" spans="1:30" ht="15.75" customHeight="1" x14ac:dyDescent="0.3">
      <c r="A308" s="535" t="s">
        <v>2521</v>
      </c>
      <c r="B308" s="542">
        <v>0</v>
      </c>
      <c r="C308" s="542">
        <v>0</v>
      </c>
      <c r="D308" s="542">
        <v>0</v>
      </c>
      <c r="E308" s="543">
        <f t="shared" si="60"/>
        <v>0</v>
      </c>
      <c r="F308" s="542">
        <v>0</v>
      </c>
      <c r="G308" s="542">
        <v>0</v>
      </c>
      <c r="H308" s="542">
        <v>0</v>
      </c>
      <c r="I308" s="543">
        <f t="shared" si="61"/>
        <v>0</v>
      </c>
      <c r="J308" s="542">
        <v>0</v>
      </c>
      <c r="K308" s="542">
        <v>0</v>
      </c>
      <c r="L308" s="542">
        <v>0</v>
      </c>
      <c r="M308" s="543">
        <f t="shared" si="62"/>
        <v>0</v>
      </c>
      <c r="N308" s="542">
        <v>0</v>
      </c>
      <c r="O308" s="542">
        <v>0</v>
      </c>
      <c r="P308" s="542">
        <v>0</v>
      </c>
      <c r="Q308" s="543">
        <f t="shared" si="63"/>
        <v>0</v>
      </c>
      <c r="R308" s="543">
        <f t="shared" si="64"/>
        <v>0</v>
      </c>
    </row>
    <row r="309" spans="1:30" ht="15.75" customHeight="1" thickBot="1" x14ac:dyDescent="0.35">
      <c r="A309" s="410" t="s">
        <v>2539</v>
      </c>
      <c r="B309" s="172">
        <v>4011</v>
      </c>
      <c r="C309" s="172">
        <v>3883</v>
      </c>
      <c r="D309" s="172">
        <v>10693</v>
      </c>
      <c r="E309" s="38">
        <f t="shared" si="60"/>
        <v>18587</v>
      </c>
      <c r="F309" s="172">
        <v>13466</v>
      </c>
      <c r="G309" s="172">
        <f>21590-200</f>
        <v>21390</v>
      </c>
      <c r="H309" s="172">
        <f>27938-0</f>
        <v>27938</v>
      </c>
      <c r="I309" s="38">
        <f t="shared" si="61"/>
        <v>62794</v>
      </c>
      <c r="J309" s="172">
        <f>23286-0</f>
        <v>23286</v>
      </c>
      <c r="K309" s="172">
        <v>13598</v>
      </c>
      <c r="L309" s="172">
        <v>2675</v>
      </c>
      <c r="M309" s="38">
        <f t="shared" si="62"/>
        <v>39559</v>
      </c>
      <c r="N309" s="172">
        <v>2977</v>
      </c>
      <c r="O309" s="172">
        <v>983</v>
      </c>
      <c r="P309" s="172">
        <v>0</v>
      </c>
      <c r="Q309" s="38">
        <f t="shared" si="63"/>
        <v>3960</v>
      </c>
      <c r="R309" s="38">
        <f t="shared" si="64"/>
        <v>124900</v>
      </c>
      <c r="T309" t="s">
        <v>2176</v>
      </c>
    </row>
    <row r="310" spans="1:30" ht="15.75" customHeight="1" thickBot="1" x14ac:dyDescent="0.35">
      <c r="A310" s="256" t="s">
        <v>612</v>
      </c>
      <c r="B310" s="172">
        <v>2567</v>
      </c>
      <c r="C310" s="172">
        <v>2154</v>
      </c>
      <c r="D310" s="172">
        <v>3624</v>
      </c>
      <c r="E310" s="38">
        <f t="shared" si="60"/>
        <v>8345</v>
      </c>
      <c r="F310" s="172">
        <v>4150</v>
      </c>
      <c r="G310" s="172">
        <v>3250</v>
      </c>
      <c r="H310" s="172">
        <v>2200</v>
      </c>
      <c r="I310" s="38">
        <f t="shared" si="61"/>
        <v>9600</v>
      </c>
      <c r="J310" s="172">
        <v>3265</v>
      </c>
      <c r="K310" s="172">
        <v>3233</v>
      </c>
      <c r="L310" s="172">
        <v>3382</v>
      </c>
      <c r="M310" s="38">
        <f t="shared" si="62"/>
        <v>9880</v>
      </c>
      <c r="N310" s="172">
        <v>2500</v>
      </c>
      <c r="O310" s="172">
        <v>0</v>
      </c>
      <c r="P310" s="172">
        <v>0</v>
      </c>
      <c r="Q310" s="38">
        <f t="shared" si="63"/>
        <v>2500</v>
      </c>
      <c r="R310" s="38">
        <f t="shared" si="64"/>
        <v>30325</v>
      </c>
      <c r="AA310" s="582"/>
      <c r="AB310" s="583">
        <v>2011</v>
      </c>
      <c r="AC310" s="583">
        <v>2012</v>
      </c>
      <c r="AD310" s="584"/>
    </row>
    <row r="311" spans="1:30" ht="15.75" customHeight="1" thickTop="1" x14ac:dyDescent="0.3">
      <c r="A311" s="256" t="s">
        <v>626</v>
      </c>
      <c r="B311" s="172">
        <v>800</v>
      </c>
      <c r="C311" s="172">
        <v>1870</v>
      </c>
      <c r="D311" s="172">
        <v>3147</v>
      </c>
      <c r="E311" s="38">
        <f t="shared" si="60"/>
        <v>5817</v>
      </c>
      <c r="F311" s="172">
        <v>3768</v>
      </c>
      <c r="G311" s="172">
        <v>2415</v>
      </c>
      <c r="H311" s="172">
        <v>0</v>
      </c>
      <c r="I311" s="38">
        <f t="shared" si="61"/>
        <v>6183</v>
      </c>
      <c r="J311" s="172">
        <v>0</v>
      </c>
      <c r="K311" s="172">
        <v>0</v>
      </c>
      <c r="L311" s="172">
        <v>0</v>
      </c>
      <c r="M311" s="38">
        <f t="shared" si="62"/>
        <v>0</v>
      </c>
      <c r="N311" s="172">
        <v>0</v>
      </c>
      <c r="O311" s="172">
        <v>0</v>
      </c>
      <c r="P311" s="172">
        <v>0</v>
      </c>
      <c r="Q311" s="38">
        <f t="shared" si="63"/>
        <v>0</v>
      </c>
      <c r="R311" s="38">
        <f t="shared" si="64"/>
        <v>12000</v>
      </c>
      <c r="T311" t="s">
        <v>2177</v>
      </c>
      <c r="AA311" s="579" t="s">
        <v>2610</v>
      </c>
      <c r="AB311">
        <v>47000</v>
      </c>
      <c r="AC311">
        <v>62530</v>
      </c>
      <c r="AD311" s="561"/>
    </row>
    <row r="312" spans="1:30" ht="15.75" customHeight="1" x14ac:dyDescent="0.3">
      <c r="A312" s="256" t="s">
        <v>342</v>
      </c>
      <c r="B312" s="172">
        <v>1154</v>
      </c>
      <c r="C312" s="172">
        <v>2373</v>
      </c>
      <c r="D312" s="172">
        <v>1473</v>
      </c>
      <c r="E312" s="38">
        <f t="shared" si="60"/>
        <v>5000</v>
      </c>
      <c r="F312" s="172">
        <v>0</v>
      </c>
      <c r="G312" s="172">
        <v>0</v>
      </c>
      <c r="H312" s="172">
        <v>0</v>
      </c>
      <c r="I312" s="38">
        <f t="shared" si="61"/>
        <v>0</v>
      </c>
      <c r="J312" s="172">
        <v>0</v>
      </c>
      <c r="K312" s="172">
        <v>0</v>
      </c>
      <c r="L312" s="172">
        <v>0</v>
      </c>
      <c r="M312" s="38">
        <f t="shared" si="62"/>
        <v>0</v>
      </c>
      <c r="N312" s="172">
        <v>0</v>
      </c>
      <c r="O312" s="172">
        <v>0</v>
      </c>
      <c r="P312" s="172">
        <v>3</v>
      </c>
      <c r="Q312" s="38">
        <f t="shared" si="63"/>
        <v>3</v>
      </c>
      <c r="R312" s="38">
        <f t="shared" si="64"/>
        <v>5003</v>
      </c>
      <c r="T312" t="s">
        <v>2177</v>
      </c>
      <c r="AA312" s="579" t="s">
        <v>2611</v>
      </c>
      <c r="AB312">
        <v>79573</v>
      </c>
      <c r="AC312">
        <v>80000</v>
      </c>
      <c r="AD312" s="561"/>
    </row>
    <row r="313" spans="1:30" ht="15.75" customHeight="1" x14ac:dyDescent="0.3">
      <c r="A313" s="256" t="s">
        <v>1513</v>
      </c>
      <c r="B313" s="172">
        <v>0</v>
      </c>
      <c r="C313" s="172">
        <v>0</v>
      </c>
      <c r="D313" s="172">
        <v>0</v>
      </c>
      <c r="E313" s="38">
        <f t="shared" si="60"/>
        <v>0</v>
      </c>
      <c r="F313" s="172">
        <v>1679</v>
      </c>
      <c r="G313" s="172">
        <v>2860</v>
      </c>
      <c r="H313" s="172">
        <v>4234</v>
      </c>
      <c r="I313" s="38">
        <f t="shared" si="61"/>
        <v>8773</v>
      </c>
      <c r="J313" s="172">
        <v>5961</v>
      </c>
      <c r="K313" s="172">
        <v>6791</v>
      </c>
      <c r="L313" s="172">
        <v>1978</v>
      </c>
      <c r="M313" s="38">
        <f t="shared" si="62"/>
        <v>14730</v>
      </c>
      <c r="N313" s="172">
        <v>233</v>
      </c>
      <c r="O313" s="172">
        <v>46</v>
      </c>
      <c r="P313" s="172">
        <v>301</v>
      </c>
      <c r="Q313" s="38">
        <f t="shared" si="63"/>
        <v>580</v>
      </c>
      <c r="R313" s="38">
        <f t="shared" si="64"/>
        <v>24083</v>
      </c>
      <c r="T313" t="s">
        <v>2177</v>
      </c>
      <c r="AA313" s="579" t="s">
        <v>2612</v>
      </c>
      <c r="AB313">
        <v>56427</v>
      </c>
      <c r="AC313">
        <v>52435</v>
      </c>
      <c r="AD313" s="561"/>
    </row>
    <row r="314" spans="1:30" ht="15.75" customHeight="1" thickBot="1" x14ac:dyDescent="0.35">
      <c r="A314" s="234" t="s">
        <v>2165</v>
      </c>
      <c r="B314" s="172"/>
      <c r="C314" s="172"/>
      <c r="D314" s="172"/>
      <c r="E314" s="38" t="s">
        <v>852</v>
      </c>
      <c r="F314" s="172"/>
      <c r="G314" s="172"/>
      <c r="H314" s="172"/>
      <c r="I314" s="38" t="s">
        <v>852</v>
      </c>
      <c r="J314" s="172"/>
      <c r="K314" s="172"/>
      <c r="L314" s="172"/>
      <c r="M314" s="38" t="s">
        <v>852</v>
      </c>
      <c r="N314" s="172"/>
      <c r="O314" s="172"/>
      <c r="P314" s="172"/>
      <c r="Q314" s="38" t="s">
        <v>852</v>
      </c>
      <c r="R314" s="38" t="s">
        <v>852</v>
      </c>
      <c r="T314" t="s">
        <v>72</v>
      </c>
      <c r="AA314" s="579" t="s">
        <v>2613</v>
      </c>
      <c r="AB314">
        <v>0</v>
      </c>
      <c r="AC314">
        <v>2000</v>
      </c>
      <c r="AD314" s="561"/>
    </row>
    <row r="315" spans="1:30" ht="16.5" customHeight="1" thickBot="1" x14ac:dyDescent="0.35">
      <c r="A315" s="43" t="s">
        <v>1219</v>
      </c>
      <c r="B315" s="45">
        <f>SUM(B299:B314)</f>
        <v>8619</v>
      </c>
      <c r="C315" s="46">
        <f>SUM(C299:C314)</f>
        <v>12323</v>
      </c>
      <c r="D315" s="46">
        <f>SUM(D299:D314)</f>
        <v>24462</v>
      </c>
      <c r="E315" s="37">
        <f>SUM(B315:D315)</f>
        <v>45404</v>
      </c>
      <c r="F315" s="46">
        <f>SUM(F299:F314)</f>
        <v>31975</v>
      </c>
      <c r="G315" s="46">
        <f>SUM(G299:G314)</f>
        <v>36137</v>
      </c>
      <c r="H315" s="46">
        <f>SUM(H299:H314)</f>
        <v>47275</v>
      </c>
      <c r="I315" s="37">
        <f>SUM(F315:H315)</f>
        <v>115387</v>
      </c>
      <c r="J315" s="46">
        <f>SUM(J299:J314)</f>
        <v>47016</v>
      </c>
      <c r="K315" s="46">
        <f>SUM(K299:K314)</f>
        <v>36546</v>
      </c>
      <c r="L315" s="46">
        <f>SUM(L299:L314)</f>
        <v>8081</v>
      </c>
      <c r="M315" s="37">
        <f>SUM(J315:L315)</f>
        <v>91643</v>
      </c>
      <c r="N315" s="46">
        <f>SUM(N299:N314)</f>
        <v>5902</v>
      </c>
      <c r="O315" s="46">
        <f>SUM(O299:O314)</f>
        <v>1093</v>
      </c>
      <c r="P315" s="46">
        <f>SUM(P299:P314)</f>
        <v>557</v>
      </c>
      <c r="Q315" s="37">
        <f>SUM(N315:P315)</f>
        <v>7552</v>
      </c>
      <c r="R315" s="37">
        <f>+E315+I315+M315+Q315</f>
        <v>259986</v>
      </c>
      <c r="T315" t="s">
        <v>2174</v>
      </c>
      <c r="AA315" s="579" t="s">
        <v>2614</v>
      </c>
      <c r="AB315">
        <v>0</v>
      </c>
      <c r="AC315">
        <v>5000</v>
      </c>
      <c r="AD315" s="561" t="s">
        <v>2616</v>
      </c>
    </row>
    <row r="316" spans="1:30" ht="15.75" customHeight="1" thickBot="1" x14ac:dyDescent="0.35">
      <c r="A316" s="234" t="s">
        <v>2166</v>
      </c>
      <c r="B316" s="172"/>
      <c r="C316" s="172"/>
      <c r="D316" s="172"/>
      <c r="E316" s="38" t="s">
        <v>852</v>
      </c>
      <c r="F316" s="172"/>
      <c r="G316" s="172"/>
      <c r="H316" s="172"/>
      <c r="I316" s="38" t="s">
        <v>852</v>
      </c>
      <c r="J316" s="172"/>
      <c r="K316" s="172"/>
      <c r="L316" s="172"/>
      <c r="M316" s="38" t="s">
        <v>852</v>
      </c>
      <c r="N316" s="172"/>
      <c r="O316" s="172"/>
      <c r="P316" s="172"/>
      <c r="Q316" s="38" t="s">
        <v>852</v>
      </c>
      <c r="R316" s="38" t="s">
        <v>852</v>
      </c>
      <c r="T316" t="s">
        <v>2177</v>
      </c>
      <c r="AA316" s="585"/>
      <c r="AB316" s="155">
        <f>+SUM(AB311:AB315)</f>
        <v>183000</v>
      </c>
      <c r="AC316" s="155">
        <f>+SUM(AC311:AC315)</f>
        <v>201965</v>
      </c>
      <c r="AD316" s="586">
        <f>+AC316-AB316</f>
        <v>18965</v>
      </c>
    </row>
    <row r="317" spans="1:30" ht="15.75" customHeight="1" thickTop="1" x14ac:dyDescent="0.3">
      <c r="A317" s="234" t="s">
        <v>1245</v>
      </c>
      <c r="B317" s="172"/>
      <c r="C317" s="172"/>
      <c r="D317" s="172"/>
      <c r="E317" s="38" t="s">
        <v>852</v>
      </c>
      <c r="F317" s="172"/>
      <c r="G317" s="172"/>
      <c r="H317" s="172"/>
      <c r="I317" s="38" t="s">
        <v>852</v>
      </c>
      <c r="J317" s="172"/>
      <c r="K317" s="172"/>
      <c r="L317" s="172"/>
      <c r="M317" s="38" t="s">
        <v>852</v>
      </c>
      <c r="N317" s="172"/>
      <c r="O317" s="172"/>
      <c r="P317" s="172"/>
      <c r="Q317" s="38" t="s">
        <v>852</v>
      </c>
      <c r="R317" s="38" t="s">
        <v>852</v>
      </c>
      <c r="T317" t="s">
        <v>2177</v>
      </c>
      <c r="AA317" s="579"/>
      <c r="AD317" s="561"/>
    </row>
    <row r="318" spans="1:30" ht="15.75" customHeight="1" x14ac:dyDescent="0.3">
      <c r="A318" s="256" t="s">
        <v>727</v>
      </c>
      <c r="B318" s="172">
        <v>3418</v>
      </c>
      <c r="C318" s="172">
        <v>4159</v>
      </c>
      <c r="D318" s="172">
        <v>9414</v>
      </c>
      <c r="E318" s="38">
        <f>SUM(B318:D318)</f>
        <v>16991</v>
      </c>
      <c r="F318" s="172">
        <v>9031</v>
      </c>
      <c r="G318" s="172">
        <v>11106</v>
      </c>
      <c r="H318" s="172">
        <v>11578</v>
      </c>
      <c r="I318" s="38">
        <f>SUM(F318:H318)</f>
        <v>31715</v>
      </c>
      <c r="J318" s="172">
        <v>8194</v>
      </c>
      <c r="K318" s="172">
        <v>10175</v>
      </c>
      <c r="L318" s="172">
        <v>6280</v>
      </c>
      <c r="M318" s="38">
        <f>SUM(J318:L318)</f>
        <v>24649</v>
      </c>
      <c r="N318" s="172">
        <v>3257</v>
      </c>
      <c r="O318" s="172">
        <v>68</v>
      </c>
      <c r="P318" s="172">
        <v>2143</v>
      </c>
      <c r="Q318" s="38">
        <f>SUM(N318:P318)</f>
        <v>5468</v>
      </c>
      <c r="R318" s="38">
        <f>+E318+I318+M318+Q318</f>
        <v>78823</v>
      </c>
      <c r="T318" t="s">
        <v>2177</v>
      </c>
      <c r="AA318" s="579"/>
      <c r="AD318" s="561"/>
    </row>
    <row r="319" spans="1:30" ht="15.75" customHeight="1" thickBot="1" x14ac:dyDescent="0.35">
      <c r="A319" s="256" t="s">
        <v>208</v>
      </c>
      <c r="B319" s="10">
        <v>0</v>
      </c>
      <c r="C319" s="10">
        <v>0</v>
      </c>
      <c r="D319" s="10">
        <v>0</v>
      </c>
      <c r="E319" s="38">
        <f>SUM(B319:D319)</f>
        <v>0</v>
      </c>
      <c r="F319" s="10">
        <v>0</v>
      </c>
      <c r="G319" s="10">
        <v>2893</v>
      </c>
      <c r="H319" s="10">
        <v>7441</v>
      </c>
      <c r="I319" s="38">
        <f>SUM(F319:H319)</f>
        <v>10334</v>
      </c>
      <c r="J319" s="10">
        <v>7868</v>
      </c>
      <c r="K319" s="10">
        <v>11872</v>
      </c>
      <c r="L319" s="10">
        <v>6007</v>
      </c>
      <c r="M319" s="38">
        <f>SUM(J319:L319)</f>
        <v>25747</v>
      </c>
      <c r="N319" s="10">
        <v>0</v>
      </c>
      <c r="O319" s="10">
        <v>0</v>
      </c>
      <c r="P319" s="10">
        <v>1197</v>
      </c>
      <c r="Q319" s="38">
        <f>SUM(N319:P319)</f>
        <v>1197</v>
      </c>
      <c r="R319" s="38">
        <f>+E319+I319+M319+Q319</f>
        <v>37278</v>
      </c>
      <c r="T319" t="s">
        <v>2177</v>
      </c>
      <c r="AA319" s="585" t="s">
        <v>2615</v>
      </c>
      <c r="AB319" s="155">
        <v>36700</v>
      </c>
      <c r="AC319" s="155">
        <v>75710</v>
      </c>
      <c r="AD319" s="586">
        <f>+AC319-AB319</f>
        <v>39010</v>
      </c>
    </row>
    <row r="320" spans="1:30" ht="15.75" customHeight="1" thickTop="1" thickBot="1" x14ac:dyDescent="0.35">
      <c r="A320" s="234" t="s">
        <v>1711</v>
      </c>
      <c r="B320" s="172"/>
      <c r="C320" s="172"/>
      <c r="D320" s="172"/>
      <c r="E320" s="38" t="s">
        <v>852</v>
      </c>
      <c r="F320" s="172"/>
      <c r="G320" s="172"/>
      <c r="H320" s="172"/>
      <c r="I320" s="38" t="s">
        <v>852</v>
      </c>
      <c r="J320" s="172"/>
      <c r="K320" s="172">
        <v>0</v>
      </c>
      <c r="L320" s="172"/>
      <c r="M320" s="38" t="s">
        <v>852</v>
      </c>
      <c r="N320" s="172"/>
      <c r="O320" s="172"/>
      <c r="P320" s="172"/>
      <c r="Q320" s="38" t="s">
        <v>852</v>
      </c>
      <c r="R320" s="38" t="s">
        <v>852</v>
      </c>
      <c r="T320" t="s">
        <v>2177</v>
      </c>
      <c r="AA320" s="580"/>
      <c r="AB320" s="581"/>
      <c r="AC320" s="581"/>
      <c r="AD320" s="565"/>
    </row>
    <row r="321" spans="1:20" ht="15.75" customHeight="1" x14ac:dyDescent="0.3">
      <c r="A321" s="256" t="s">
        <v>1091</v>
      </c>
      <c r="B321" s="10">
        <v>0</v>
      </c>
      <c r="C321" s="10">
        <v>0</v>
      </c>
      <c r="D321" s="10">
        <v>0</v>
      </c>
      <c r="E321" s="38">
        <f>SUM(B321:D321)</f>
        <v>0</v>
      </c>
      <c r="F321" s="10">
        <v>0</v>
      </c>
      <c r="G321" s="10">
        <v>722</v>
      </c>
      <c r="H321" s="10">
        <v>250</v>
      </c>
      <c r="I321" s="38">
        <f>SUM(F321:H321)</f>
        <v>972</v>
      </c>
      <c r="J321" s="10">
        <v>0</v>
      </c>
      <c r="K321" s="10">
        <v>0</v>
      </c>
      <c r="L321" s="10">
        <v>0</v>
      </c>
      <c r="M321" s="38">
        <f>SUM(J321:L321)</f>
        <v>0</v>
      </c>
      <c r="N321" s="10">
        <v>0</v>
      </c>
      <c r="O321" s="10">
        <v>0</v>
      </c>
      <c r="P321" s="10">
        <v>0</v>
      </c>
      <c r="Q321" s="38">
        <f>SUM(N321:P321)</f>
        <v>0</v>
      </c>
      <c r="R321" s="38">
        <f>+E321+I321+M321+Q321</f>
        <v>972</v>
      </c>
      <c r="T321" t="s">
        <v>2177</v>
      </c>
    </row>
    <row r="322" spans="1:20" ht="15.75" customHeight="1" x14ac:dyDescent="0.3">
      <c r="A322" s="256" t="s">
        <v>725</v>
      </c>
      <c r="B322" s="172">
        <v>1051</v>
      </c>
      <c r="C322" s="172">
        <v>486</v>
      </c>
      <c r="D322" s="172">
        <v>0</v>
      </c>
      <c r="E322" s="38">
        <f t="shared" ref="E322:E341" si="65">SUM(B322:D322)</f>
        <v>1537</v>
      </c>
      <c r="F322" s="172">
        <v>0</v>
      </c>
      <c r="G322" s="172">
        <v>0</v>
      </c>
      <c r="H322" s="172">
        <v>0</v>
      </c>
      <c r="I322" s="38">
        <f t="shared" ref="I322:I341" si="66">SUM(F322:H322)</f>
        <v>0</v>
      </c>
      <c r="J322" s="172">
        <v>0</v>
      </c>
      <c r="K322" s="172">
        <v>0</v>
      </c>
      <c r="L322" s="172">
        <v>0</v>
      </c>
      <c r="M322" s="38">
        <f t="shared" ref="M322:M341" si="67">SUM(J322:L322)</f>
        <v>0</v>
      </c>
      <c r="N322" s="172">
        <v>0</v>
      </c>
      <c r="O322" s="172">
        <v>0</v>
      </c>
      <c r="P322" s="172">
        <v>0</v>
      </c>
      <c r="Q322" s="38">
        <f t="shared" ref="Q322:Q341" si="68">SUM(N322:P322)</f>
        <v>0</v>
      </c>
      <c r="R322" s="38">
        <f t="shared" ref="R322:R341" si="69">+E322+I322+M322+Q322</f>
        <v>1537</v>
      </c>
      <c r="T322" t="s">
        <v>2177</v>
      </c>
    </row>
    <row r="323" spans="1:20" ht="15.75" customHeight="1" x14ac:dyDescent="0.3">
      <c r="A323" s="256" t="s">
        <v>1150</v>
      </c>
      <c r="B323" s="172">
        <v>0</v>
      </c>
      <c r="C323" s="172">
        <v>0</v>
      </c>
      <c r="D323" s="172">
        <v>0</v>
      </c>
      <c r="E323" s="38">
        <f t="shared" si="65"/>
        <v>0</v>
      </c>
      <c r="F323" s="172">
        <v>627</v>
      </c>
      <c r="G323" s="172">
        <v>0</v>
      </c>
      <c r="H323" s="172">
        <v>0</v>
      </c>
      <c r="I323" s="38">
        <f t="shared" si="66"/>
        <v>627</v>
      </c>
      <c r="J323" s="172">
        <v>0</v>
      </c>
      <c r="K323" s="172">
        <v>0</v>
      </c>
      <c r="L323" s="172">
        <v>0</v>
      </c>
      <c r="M323" s="38">
        <f t="shared" si="67"/>
        <v>0</v>
      </c>
      <c r="N323" s="172">
        <v>0</v>
      </c>
      <c r="O323" s="172">
        <v>0</v>
      </c>
      <c r="P323" s="172">
        <v>0</v>
      </c>
      <c r="Q323" s="38">
        <f t="shared" si="68"/>
        <v>0</v>
      </c>
      <c r="R323" s="38">
        <f t="shared" si="69"/>
        <v>627</v>
      </c>
    </row>
    <row r="324" spans="1:20" ht="15.75" customHeight="1" x14ac:dyDescent="0.3">
      <c r="A324" s="311" t="s">
        <v>1380</v>
      </c>
      <c r="B324" s="10">
        <v>0</v>
      </c>
      <c r="C324" s="10">
        <v>0</v>
      </c>
      <c r="D324" s="10">
        <v>3000</v>
      </c>
      <c r="E324" s="38">
        <f t="shared" si="65"/>
        <v>3000</v>
      </c>
      <c r="F324" s="10">
        <v>6000</v>
      </c>
      <c r="G324" s="10">
        <v>7500</v>
      </c>
      <c r="H324" s="10">
        <v>7500</v>
      </c>
      <c r="I324" s="38">
        <f t="shared" si="66"/>
        <v>21000</v>
      </c>
      <c r="J324" s="10">
        <v>10000</v>
      </c>
      <c r="K324" s="10">
        <v>10000</v>
      </c>
      <c r="L324" s="10">
        <v>5750</v>
      </c>
      <c r="M324" s="38">
        <f t="shared" si="67"/>
        <v>25750</v>
      </c>
      <c r="N324" s="10">
        <v>0</v>
      </c>
      <c r="O324" s="10">
        <v>0</v>
      </c>
      <c r="P324" s="10">
        <v>0</v>
      </c>
      <c r="Q324" s="38">
        <f t="shared" si="68"/>
        <v>0</v>
      </c>
      <c r="R324" s="38">
        <f t="shared" si="69"/>
        <v>49750</v>
      </c>
    </row>
    <row r="325" spans="1:20" ht="15.75" customHeight="1" x14ac:dyDescent="0.3">
      <c r="A325" s="311" t="s">
        <v>1381</v>
      </c>
      <c r="B325" s="10">
        <v>959</v>
      </c>
      <c r="C325" s="10">
        <v>927</v>
      </c>
      <c r="D325" s="10">
        <v>2000</v>
      </c>
      <c r="E325" s="38">
        <f t="shared" si="65"/>
        <v>3886</v>
      </c>
      <c r="F325" s="10">
        <v>4719</v>
      </c>
      <c r="G325" s="10">
        <v>6943</v>
      </c>
      <c r="H325" s="10">
        <v>8482</v>
      </c>
      <c r="I325" s="38">
        <f t="shared" si="66"/>
        <v>20144</v>
      </c>
      <c r="J325" s="10">
        <v>10176</v>
      </c>
      <c r="K325" s="10">
        <v>10673</v>
      </c>
      <c r="L325" s="10">
        <v>6221</v>
      </c>
      <c r="M325" s="38">
        <f t="shared" si="67"/>
        <v>27070</v>
      </c>
      <c r="N325" s="10">
        <v>2644</v>
      </c>
      <c r="O325" s="10">
        <v>520</v>
      </c>
      <c r="P325" s="10">
        <v>335</v>
      </c>
      <c r="Q325" s="38">
        <f t="shared" si="68"/>
        <v>3499</v>
      </c>
      <c r="R325" s="38">
        <f t="shared" si="69"/>
        <v>54599</v>
      </c>
    </row>
    <row r="326" spans="1:20" ht="15.75" customHeight="1" x14ac:dyDescent="0.3">
      <c r="A326" s="311" t="s">
        <v>464</v>
      </c>
      <c r="B326" s="10">
        <v>2140</v>
      </c>
      <c r="C326" s="10">
        <v>3260</v>
      </c>
      <c r="D326" s="10">
        <v>7890</v>
      </c>
      <c r="E326" s="38">
        <f t="shared" si="65"/>
        <v>13290</v>
      </c>
      <c r="F326" s="10">
        <v>8830</v>
      </c>
      <c r="G326" s="10">
        <v>8730</v>
      </c>
      <c r="H326" s="10">
        <v>9770</v>
      </c>
      <c r="I326" s="38">
        <f t="shared" si="66"/>
        <v>27330</v>
      </c>
      <c r="J326" s="10">
        <v>7770</v>
      </c>
      <c r="K326" s="10">
        <v>16260</v>
      </c>
      <c r="L326" s="10">
        <v>10381</v>
      </c>
      <c r="M326" s="38">
        <f t="shared" si="67"/>
        <v>34411</v>
      </c>
      <c r="N326" s="10">
        <v>1700</v>
      </c>
      <c r="O326" s="10">
        <v>378</v>
      </c>
      <c r="P326" s="10">
        <v>1891</v>
      </c>
      <c r="Q326" s="38">
        <f t="shared" si="68"/>
        <v>3969</v>
      </c>
      <c r="R326" s="38">
        <f t="shared" si="69"/>
        <v>79000</v>
      </c>
    </row>
    <row r="327" spans="1:20" ht="15.75" customHeight="1" x14ac:dyDescent="0.3">
      <c r="A327" s="410" t="s">
        <v>2266</v>
      </c>
      <c r="B327" s="10">
        <v>0</v>
      </c>
      <c r="C327" s="10">
        <v>0</v>
      </c>
      <c r="D327" s="10">
        <v>0</v>
      </c>
      <c r="E327" s="38">
        <f t="shared" si="65"/>
        <v>0</v>
      </c>
      <c r="F327" s="10">
        <v>0</v>
      </c>
      <c r="G327" s="10">
        <v>0</v>
      </c>
      <c r="H327" s="10">
        <v>0</v>
      </c>
      <c r="I327" s="38">
        <f t="shared" si="66"/>
        <v>0</v>
      </c>
      <c r="J327" s="10">
        <v>0</v>
      </c>
      <c r="K327" s="10">
        <v>0</v>
      </c>
      <c r="L327" s="10">
        <v>0</v>
      </c>
      <c r="M327" s="38">
        <f t="shared" si="67"/>
        <v>0</v>
      </c>
      <c r="N327" s="10">
        <v>0</v>
      </c>
      <c r="O327" s="10">
        <v>2442</v>
      </c>
      <c r="P327" s="10">
        <v>0</v>
      </c>
      <c r="Q327" s="38">
        <f t="shared" si="68"/>
        <v>2442</v>
      </c>
      <c r="R327" s="38">
        <f t="shared" si="69"/>
        <v>2442</v>
      </c>
      <c r="T327" t="s">
        <v>2139</v>
      </c>
    </row>
    <row r="328" spans="1:20" ht="15.75" customHeight="1" x14ac:dyDescent="0.3">
      <c r="A328" s="256" t="s">
        <v>2362</v>
      </c>
      <c r="B328" s="172">
        <v>1314</v>
      </c>
      <c r="C328" s="172">
        <v>1314</v>
      </c>
      <c r="D328" s="172">
        <v>1314</v>
      </c>
      <c r="E328" s="38">
        <f>SUM(B328:D328)</f>
        <v>3942</v>
      </c>
      <c r="F328" s="172">
        <v>1313</v>
      </c>
      <c r="G328" s="172">
        <v>0</v>
      </c>
      <c r="H328" s="172">
        <v>0</v>
      </c>
      <c r="I328" s="38">
        <f>SUM(F328:H328)</f>
        <v>1313</v>
      </c>
      <c r="J328" s="172">
        <v>0</v>
      </c>
      <c r="K328" s="172">
        <v>0</v>
      </c>
      <c r="L328" s="172">
        <v>0</v>
      </c>
      <c r="M328" s="38">
        <f>SUM(J328:L328)</f>
        <v>0</v>
      </c>
      <c r="N328" s="172">
        <v>0</v>
      </c>
      <c r="O328" s="172">
        <v>0</v>
      </c>
      <c r="P328" s="172">
        <v>0</v>
      </c>
      <c r="Q328" s="38">
        <f>SUM(N328:P328)</f>
        <v>0</v>
      </c>
      <c r="R328" s="38">
        <f>+E328+I328+M328+Q328</f>
        <v>5255</v>
      </c>
      <c r="T328" t="s">
        <v>2177</v>
      </c>
    </row>
    <row r="329" spans="1:20" ht="15.75" customHeight="1" x14ac:dyDescent="0.3">
      <c r="A329" s="256" t="s">
        <v>2263</v>
      </c>
      <c r="B329" s="172">
        <v>0</v>
      </c>
      <c r="C329" s="172">
        <v>0</v>
      </c>
      <c r="D329" s="172">
        <v>0</v>
      </c>
      <c r="E329" s="38">
        <f>SUM(B329:D329)</f>
        <v>0</v>
      </c>
      <c r="F329" s="172">
        <v>0</v>
      </c>
      <c r="G329" s="172">
        <v>0</v>
      </c>
      <c r="H329" s="172">
        <v>0</v>
      </c>
      <c r="I329" s="38">
        <f>SUM(F329:H329)</f>
        <v>0</v>
      </c>
      <c r="J329" s="172">
        <v>0</v>
      </c>
      <c r="K329" s="172">
        <v>0</v>
      </c>
      <c r="L329" s="172">
        <v>0</v>
      </c>
      <c r="M329" s="38">
        <f>SUM(J329:L329)</f>
        <v>0</v>
      </c>
      <c r="N329" s="172">
        <v>0</v>
      </c>
      <c r="O329" s="172">
        <v>0</v>
      </c>
      <c r="P329" s="172">
        <v>0</v>
      </c>
      <c r="Q329" s="38">
        <f>SUM(N329:P329)</f>
        <v>0</v>
      </c>
      <c r="R329" s="38">
        <f>+E329+I329+M329+Q329</f>
        <v>0</v>
      </c>
    </row>
    <row r="330" spans="1:20" ht="15.75" customHeight="1" x14ac:dyDescent="0.3">
      <c r="A330" s="311" t="s">
        <v>970</v>
      </c>
      <c r="B330" s="172">
        <v>0</v>
      </c>
      <c r="C330" s="172">
        <v>0</v>
      </c>
      <c r="D330" s="172">
        <v>0</v>
      </c>
      <c r="E330" s="38">
        <f>SUM(B330:D330)</f>
        <v>0</v>
      </c>
      <c r="F330" s="172">
        <v>0</v>
      </c>
      <c r="G330" s="172">
        <v>1000</v>
      </c>
      <c r="H330" s="172">
        <v>0</v>
      </c>
      <c r="I330" s="38">
        <f>SUM(F330:H330)</f>
        <v>1000</v>
      </c>
      <c r="J330" s="172">
        <v>0</v>
      </c>
      <c r="K330" s="172">
        <v>0</v>
      </c>
      <c r="L330" s="172">
        <v>0</v>
      </c>
      <c r="M330" s="38">
        <f>SUM(J330:L330)</f>
        <v>0</v>
      </c>
      <c r="N330" s="172">
        <v>0</v>
      </c>
      <c r="O330" s="172">
        <v>0</v>
      </c>
      <c r="P330" s="172">
        <v>0</v>
      </c>
      <c r="Q330" s="38">
        <f>SUM(N330:P330)</f>
        <v>0</v>
      </c>
      <c r="R330" s="38">
        <f>+E330+I330+M330+Q330</f>
        <v>1000</v>
      </c>
      <c r="T330" t="s">
        <v>1362</v>
      </c>
    </row>
    <row r="331" spans="1:20" ht="15.75" customHeight="1" x14ac:dyDescent="0.3">
      <c r="A331" s="256" t="s">
        <v>885</v>
      </c>
      <c r="B331" s="10">
        <v>0</v>
      </c>
      <c r="C331" s="10">
        <v>0</v>
      </c>
      <c r="D331" s="10">
        <v>0</v>
      </c>
      <c r="E331" s="38">
        <f t="shared" si="65"/>
        <v>0</v>
      </c>
      <c r="F331" s="10">
        <v>0</v>
      </c>
      <c r="G331" s="10">
        <v>0</v>
      </c>
      <c r="H331" s="10">
        <v>0</v>
      </c>
      <c r="I331" s="38">
        <f t="shared" si="66"/>
        <v>0</v>
      </c>
      <c r="J331" s="10">
        <v>0</v>
      </c>
      <c r="K331" s="10">
        <v>0</v>
      </c>
      <c r="L331" s="10">
        <v>237</v>
      </c>
      <c r="M331" s="38">
        <f t="shared" si="67"/>
        <v>237</v>
      </c>
      <c r="N331" s="10">
        <v>1141</v>
      </c>
      <c r="O331" s="10">
        <v>1175</v>
      </c>
      <c r="P331" s="10">
        <v>33</v>
      </c>
      <c r="Q331" s="38">
        <f t="shared" si="68"/>
        <v>2349</v>
      </c>
      <c r="R331" s="38">
        <f t="shared" si="69"/>
        <v>2586</v>
      </c>
      <c r="T331" t="s">
        <v>2175</v>
      </c>
    </row>
    <row r="332" spans="1:20" ht="15.75" customHeight="1" x14ac:dyDescent="0.3">
      <c r="A332" s="410" t="s">
        <v>2542</v>
      </c>
      <c r="B332" s="10">
        <v>0</v>
      </c>
      <c r="C332" s="10">
        <v>0</v>
      </c>
      <c r="D332" s="10">
        <v>0</v>
      </c>
      <c r="E332" s="38">
        <f t="shared" si="65"/>
        <v>0</v>
      </c>
      <c r="F332" s="10">
        <v>0</v>
      </c>
      <c r="G332" s="10">
        <v>0</v>
      </c>
      <c r="H332" s="10">
        <v>0</v>
      </c>
      <c r="I332" s="38">
        <f t="shared" si="66"/>
        <v>0</v>
      </c>
      <c r="J332" s="10">
        <v>0</v>
      </c>
      <c r="K332" s="10">
        <v>0</v>
      </c>
      <c r="L332" s="10">
        <v>4120</v>
      </c>
      <c r="M332" s="38">
        <f t="shared" si="67"/>
        <v>4120</v>
      </c>
      <c r="N332" s="10">
        <v>5000</v>
      </c>
      <c r="O332" s="10">
        <v>630</v>
      </c>
      <c r="P332" s="10">
        <v>0</v>
      </c>
      <c r="Q332" s="38">
        <f t="shared" si="68"/>
        <v>5630</v>
      </c>
      <c r="R332" s="38">
        <f t="shared" si="69"/>
        <v>9750</v>
      </c>
    </row>
    <row r="333" spans="1:20" ht="15.75" customHeight="1" x14ac:dyDescent="0.3">
      <c r="A333" s="256" t="s">
        <v>613</v>
      </c>
      <c r="B333" s="172">
        <v>0</v>
      </c>
      <c r="C333" s="172">
        <v>465</v>
      </c>
      <c r="D333" s="172">
        <v>1124</v>
      </c>
      <c r="E333" s="38">
        <f t="shared" si="65"/>
        <v>1589</v>
      </c>
      <c r="F333" s="172">
        <v>1136</v>
      </c>
      <c r="G333" s="172">
        <v>1197</v>
      </c>
      <c r="H333" s="172">
        <v>166</v>
      </c>
      <c r="I333" s="38">
        <f t="shared" si="66"/>
        <v>2499</v>
      </c>
      <c r="J333" s="172">
        <v>0</v>
      </c>
      <c r="K333" s="172">
        <v>0</v>
      </c>
      <c r="L333" s="172">
        <v>0</v>
      </c>
      <c r="M333" s="38">
        <f t="shared" si="67"/>
        <v>0</v>
      </c>
      <c r="N333" s="172">
        <v>0</v>
      </c>
      <c r="O333" s="172">
        <v>0</v>
      </c>
      <c r="P333" s="172">
        <v>0</v>
      </c>
      <c r="Q333" s="38">
        <f t="shared" si="68"/>
        <v>0</v>
      </c>
      <c r="R333" s="38">
        <f t="shared" si="69"/>
        <v>4088</v>
      </c>
    </row>
    <row r="334" spans="1:20" ht="15.75" customHeight="1" x14ac:dyDescent="0.3">
      <c r="A334" s="256" t="s">
        <v>1097</v>
      </c>
      <c r="B334" s="172">
        <v>0</v>
      </c>
      <c r="C334" s="10">
        <v>0</v>
      </c>
      <c r="D334" s="10">
        <v>0</v>
      </c>
      <c r="E334" s="38">
        <f t="shared" si="65"/>
        <v>0</v>
      </c>
      <c r="F334" s="172">
        <v>1524</v>
      </c>
      <c r="G334" s="172">
        <v>145</v>
      </c>
      <c r="H334" s="172">
        <v>0</v>
      </c>
      <c r="I334" s="38">
        <f t="shared" si="66"/>
        <v>1669</v>
      </c>
      <c r="J334" s="172">
        <v>0</v>
      </c>
      <c r="K334" s="172">
        <v>0</v>
      </c>
      <c r="L334" s="172">
        <v>0</v>
      </c>
      <c r="M334" s="38">
        <f t="shared" si="67"/>
        <v>0</v>
      </c>
      <c r="N334" s="172">
        <v>0</v>
      </c>
      <c r="O334" s="172">
        <v>0</v>
      </c>
      <c r="P334" s="172">
        <v>0</v>
      </c>
      <c r="Q334" s="38">
        <f t="shared" si="68"/>
        <v>0</v>
      </c>
      <c r="R334" s="38">
        <f t="shared" si="69"/>
        <v>1669</v>
      </c>
      <c r="T334" t="s">
        <v>2178</v>
      </c>
    </row>
    <row r="335" spans="1:20" ht="15.75" customHeight="1" x14ac:dyDescent="0.3">
      <c r="A335" s="311" t="s">
        <v>2504</v>
      </c>
      <c r="B335" s="10">
        <v>0</v>
      </c>
      <c r="C335" s="10">
        <v>0</v>
      </c>
      <c r="D335" s="10">
        <v>0</v>
      </c>
      <c r="E335" s="38">
        <f>SUM(B335:D335)</f>
        <v>0</v>
      </c>
      <c r="F335" s="10">
        <v>0</v>
      </c>
      <c r="G335" s="10">
        <v>0</v>
      </c>
      <c r="H335" s="10">
        <v>0</v>
      </c>
      <c r="I335" s="38">
        <f>SUM(F335:H335)</f>
        <v>0</v>
      </c>
      <c r="J335" s="10">
        <v>0</v>
      </c>
      <c r="K335" s="10">
        <v>0</v>
      </c>
      <c r="L335" s="10">
        <v>0</v>
      </c>
      <c r="M335" s="38">
        <f>SUM(J335:L335)</f>
        <v>0</v>
      </c>
      <c r="N335" s="10">
        <v>0</v>
      </c>
      <c r="O335" s="10">
        <v>0</v>
      </c>
      <c r="P335" s="10">
        <v>0</v>
      </c>
      <c r="Q335" s="38">
        <f>SUM(N335:P335)</f>
        <v>0</v>
      </c>
      <c r="R335" s="38">
        <f>+E335+I335+M335+Q335</f>
        <v>0</v>
      </c>
    </row>
    <row r="336" spans="1:20" ht="15.75" customHeight="1" x14ac:dyDescent="0.3">
      <c r="A336" s="311" t="s">
        <v>41</v>
      </c>
      <c r="B336" s="10">
        <v>0</v>
      </c>
      <c r="C336" s="10">
        <v>0</v>
      </c>
      <c r="D336" s="10">
        <v>0</v>
      </c>
      <c r="E336" s="38">
        <f>SUM(B336:D336)</f>
        <v>0</v>
      </c>
      <c r="F336" s="10">
        <v>0</v>
      </c>
      <c r="G336" s="10">
        <v>0</v>
      </c>
      <c r="H336" s="10">
        <v>4300</v>
      </c>
      <c r="I336" s="38">
        <f>SUM(F336:H336)</f>
        <v>4300</v>
      </c>
      <c r="J336" s="10">
        <v>3536</v>
      </c>
      <c r="K336" s="10">
        <v>2644</v>
      </c>
      <c r="L336" s="10">
        <v>4550</v>
      </c>
      <c r="M336" s="38">
        <f>SUM(J336:L336)</f>
        <v>10730</v>
      </c>
      <c r="N336" s="10">
        <v>7444</v>
      </c>
      <c r="O336" s="10">
        <v>1790</v>
      </c>
      <c r="P336" s="10">
        <v>1724</v>
      </c>
      <c r="Q336" s="38">
        <f>SUM(N336:P336)</f>
        <v>10958</v>
      </c>
      <c r="R336" s="38">
        <f>+E336+I336+M336+Q336</f>
        <v>25988</v>
      </c>
    </row>
    <row r="337" spans="1:20" ht="15.75" customHeight="1" x14ac:dyDescent="0.3">
      <c r="A337" s="410" t="s">
        <v>2267</v>
      </c>
      <c r="B337" s="10">
        <v>0</v>
      </c>
      <c r="C337" s="10">
        <v>0</v>
      </c>
      <c r="D337" s="10">
        <v>0</v>
      </c>
      <c r="E337" s="38">
        <f t="shared" si="65"/>
        <v>0</v>
      </c>
      <c r="F337" s="10">
        <v>0</v>
      </c>
      <c r="G337" s="10">
        <v>0</v>
      </c>
      <c r="H337" s="10">
        <v>0</v>
      </c>
      <c r="I337" s="38">
        <f t="shared" si="66"/>
        <v>0</v>
      </c>
      <c r="J337" s="10">
        <v>0</v>
      </c>
      <c r="K337" s="10">
        <v>0</v>
      </c>
      <c r="L337" s="10">
        <v>0</v>
      </c>
      <c r="M337" s="38">
        <f t="shared" si="67"/>
        <v>0</v>
      </c>
      <c r="N337" s="10">
        <v>0</v>
      </c>
      <c r="O337" s="10">
        <v>0</v>
      </c>
      <c r="P337" s="10">
        <v>1124</v>
      </c>
      <c r="Q337" s="38">
        <f t="shared" si="68"/>
        <v>1124</v>
      </c>
      <c r="R337" s="38">
        <f t="shared" si="69"/>
        <v>1124</v>
      </c>
      <c r="T337" t="s">
        <v>2175</v>
      </c>
    </row>
    <row r="338" spans="1:20" ht="15.75" customHeight="1" x14ac:dyDescent="0.3">
      <c r="A338" s="410" t="s">
        <v>2268</v>
      </c>
      <c r="B338" s="10">
        <v>0</v>
      </c>
      <c r="C338" s="10">
        <v>0</v>
      </c>
      <c r="D338" s="10">
        <v>0</v>
      </c>
      <c r="E338" s="38">
        <f>SUM(B338:D338)</f>
        <v>0</v>
      </c>
      <c r="F338" s="10">
        <v>0</v>
      </c>
      <c r="G338" s="10">
        <v>0</v>
      </c>
      <c r="H338" s="10">
        <v>0</v>
      </c>
      <c r="I338" s="38">
        <f>SUM(F338:H338)</f>
        <v>0</v>
      </c>
      <c r="J338" s="10">
        <v>0</v>
      </c>
      <c r="K338" s="10">
        <v>0</v>
      </c>
      <c r="L338" s="10">
        <v>0</v>
      </c>
      <c r="M338" s="38">
        <f>SUM(J338:L338)</f>
        <v>0</v>
      </c>
      <c r="N338" s="10">
        <v>0</v>
      </c>
      <c r="O338" s="10">
        <v>0</v>
      </c>
      <c r="P338" s="10">
        <v>1225</v>
      </c>
      <c r="Q338" s="38">
        <f>SUM(N338:P338)</f>
        <v>1225</v>
      </c>
      <c r="R338" s="38">
        <f>+E338+I338+M338+Q338</f>
        <v>1225</v>
      </c>
    </row>
    <row r="339" spans="1:20" ht="15.75" customHeight="1" x14ac:dyDescent="0.3">
      <c r="A339" s="256" t="s">
        <v>1475</v>
      </c>
      <c r="B339" s="172">
        <v>0</v>
      </c>
      <c r="C339" s="172">
        <v>0</v>
      </c>
      <c r="D339" s="172">
        <v>0</v>
      </c>
      <c r="E339" s="38">
        <f t="shared" si="65"/>
        <v>0</v>
      </c>
      <c r="F339" s="172">
        <v>0</v>
      </c>
      <c r="G339" s="172">
        <v>0</v>
      </c>
      <c r="H339" s="172">
        <v>1069</v>
      </c>
      <c r="I339" s="38">
        <f t="shared" si="66"/>
        <v>1069</v>
      </c>
      <c r="J339" s="172">
        <v>3039</v>
      </c>
      <c r="K339" s="172">
        <v>2316</v>
      </c>
      <c r="L339" s="172">
        <v>0</v>
      </c>
      <c r="M339" s="38">
        <f t="shared" si="67"/>
        <v>5355</v>
      </c>
      <c r="N339" s="172">
        <v>0</v>
      </c>
      <c r="O339" s="172">
        <v>0</v>
      </c>
      <c r="P339" s="172">
        <v>0</v>
      </c>
      <c r="Q339" s="38">
        <f t="shared" si="68"/>
        <v>0</v>
      </c>
      <c r="R339" s="38">
        <f t="shared" si="69"/>
        <v>6424</v>
      </c>
      <c r="T339" t="s">
        <v>2174</v>
      </c>
    </row>
    <row r="340" spans="1:20" ht="15.75" customHeight="1" thickBot="1" x14ac:dyDescent="0.35">
      <c r="A340" s="256" t="s">
        <v>101</v>
      </c>
      <c r="B340" s="172">
        <v>0</v>
      </c>
      <c r="C340" s="172">
        <v>0</v>
      </c>
      <c r="D340" s="172">
        <v>0</v>
      </c>
      <c r="E340" s="38">
        <f t="shared" si="65"/>
        <v>0</v>
      </c>
      <c r="F340" s="172">
        <v>0</v>
      </c>
      <c r="G340" s="172">
        <v>2622</v>
      </c>
      <c r="H340" s="172">
        <v>0</v>
      </c>
      <c r="I340" s="38">
        <f t="shared" si="66"/>
        <v>2622</v>
      </c>
      <c r="J340" s="172">
        <v>0</v>
      </c>
      <c r="K340" s="172">
        <v>0</v>
      </c>
      <c r="L340" s="172">
        <v>0</v>
      </c>
      <c r="M340" s="38">
        <f t="shared" si="67"/>
        <v>0</v>
      </c>
      <c r="N340" s="172">
        <v>0</v>
      </c>
      <c r="O340" s="172">
        <v>0</v>
      </c>
      <c r="P340" s="172">
        <v>0</v>
      </c>
      <c r="Q340" s="38">
        <f t="shared" si="68"/>
        <v>0</v>
      </c>
      <c r="R340" s="38">
        <f t="shared" si="69"/>
        <v>2622</v>
      </c>
      <c r="T340" t="s">
        <v>2175</v>
      </c>
    </row>
    <row r="341" spans="1:20" ht="16.5" customHeight="1" thickBot="1" x14ac:dyDescent="0.35">
      <c r="A341" s="277" t="s">
        <v>1220</v>
      </c>
      <c r="B341" s="45">
        <f>SUM(B316:B340)</f>
        <v>8882</v>
      </c>
      <c r="C341" s="46">
        <f>SUM(C316:C340)</f>
        <v>10611</v>
      </c>
      <c r="D341" s="46">
        <f>SUM(D316:D340)</f>
        <v>24742</v>
      </c>
      <c r="E341" s="37">
        <f t="shared" si="65"/>
        <v>44235</v>
      </c>
      <c r="F341" s="46">
        <f>SUM(F316:F340)</f>
        <v>33180</v>
      </c>
      <c r="G341" s="46">
        <f>SUM(G316:G340)</f>
        <v>42858</v>
      </c>
      <c r="H341" s="46">
        <f>SUM(H316:H340)</f>
        <v>50556</v>
      </c>
      <c r="I341" s="37">
        <f t="shared" si="66"/>
        <v>126594</v>
      </c>
      <c r="J341" s="46">
        <f>SUM(J316:J340)</f>
        <v>50583</v>
      </c>
      <c r="K341" s="46">
        <f>SUM(K316:K340)</f>
        <v>63940</v>
      </c>
      <c r="L341" s="46">
        <f>SUM(L316:L340)</f>
        <v>43546</v>
      </c>
      <c r="M341" s="37">
        <f t="shared" si="67"/>
        <v>158069</v>
      </c>
      <c r="N341" s="46">
        <f>SUM(N316:N340)</f>
        <v>21186</v>
      </c>
      <c r="O341" s="46">
        <f>SUM(O316:O340)</f>
        <v>7003</v>
      </c>
      <c r="P341" s="46">
        <f>SUM(P316:P340)</f>
        <v>9672</v>
      </c>
      <c r="Q341" s="37">
        <f t="shared" si="68"/>
        <v>37861</v>
      </c>
      <c r="R341" s="37">
        <f t="shared" si="69"/>
        <v>366759</v>
      </c>
      <c r="T341" s="230" t="s">
        <v>1737</v>
      </c>
    </row>
    <row r="342" spans="1:20" ht="15.75" customHeight="1" x14ac:dyDescent="0.3">
      <c r="A342" s="234" t="s">
        <v>1712</v>
      </c>
      <c r="B342" s="172"/>
      <c r="C342" s="172"/>
      <c r="D342" s="172"/>
      <c r="E342" s="38" t="s">
        <v>852</v>
      </c>
      <c r="F342" s="172"/>
      <c r="G342" s="172"/>
      <c r="H342" s="172"/>
      <c r="I342" s="38" t="s">
        <v>852</v>
      </c>
      <c r="J342" s="172"/>
      <c r="K342" s="172"/>
      <c r="L342" s="172"/>
      <c r="M342" s="38" t="s">
        <v>852</v>
      </c>
      <c r="N342" s="172"/>
      <c r="O342" s="172"/>
      <c r="P342" s="172"/>
      <c r="Q342" s="38" t="s">
        <v>852</v>
      </c>
      <c r="R342" s="38" t="s">
        <v>852</v>
      </c>
    </row>
    <row r="343" spans="1:20" ht="15.75" customHeight="1" x14ac:dyDescent="0.3">
      <c r="A343" s="234" t="s">
        <v>1021</v>
      </c>
      <c r="B343" s="172"/>
      <c r="C343" s="172"/>
      <c r="D343" s="172"/>
      <c r="E343" s="38" t="s">
        <v>852</v>
      </c>
      <c r="F343" s="172"/>
      <c r="G343" s="172"/>
      <c r="H343" s="172"/>
      <c r="I343" s="38" t="s">
        <v>852</v>
      </c>
      <c r="J343" s="172"/>
      <c r="K343" s="172"/>
      <c r="L343" s="172"/>
      <c r="M343" s="38" t="s">
        <v>852</v>
      </c>
      <c r="N343" s="172"/>
      <c r="O343" s="172"/>
      <c r="P343" s="172"/>
      <c r="Q343" s="38" t="s">
        <v>852</v>
      </c>
      <c r="R343" s="38" t="s">
        <v>852</v>
      </c>
      <c r="T343" t="s">
        <v>2174</v>
      </c>
    </row>
    <row r="344" spans="1:20" ht="15.75" customHeight="1" x14ac:dyDescent="0.3">
      <c r="A344" s="256" t="s">
        <v>747</v>
      </c>
      <c r="B344" s="172">
        <v>0</v>
      </c>
      <c r="C344" s="172">
        <v>0</v>
      </c>
      <c r="D344" s="172">
        <v>0</v>
      </c>
      <c r="E344" s="38">
        <f>SUM(B344:D344)</f>
        <v>0</v>
      </c>
      <c r="F344" s="172">
        <v>0</v>
      </c>
      <c r="G344" s="172">
        <v>0</v>
      </c>
      <c r="H344" s="172">
        <v>0</v>
      </c>
      <c r="I344" s="38">
        <f>SUM(F344:H344)</f>
        <v>0</v>
      </c>
      <c r="J344" s="172">
        <v>14</v>
      </c>
      <c r="K344" s="172">
        <v>234</v>
      </c>
      <c r="L344" s="172">
        <v>1000</v>
      </c>
      <c r="M344" s="38">
        <f>SUM(J344:L344)</f>
        <v>1248</v>
      </c>
      <c r="N344" s="172">
        <v>1427</v>
      </c>
      <c r="O344" s="172">
        <v>1002</v>
      </c>
      <c r="P344" s="172">
        <v>189</v>
      </c>
      <c r="Q344" s="38">
        <f>SUM(N344:P344)</f>
        <v>2618</v>
      </c>
      <c r="R344" s="38">
        <f>+E344+I344+M344+Q344</f>
        <v>3866</v>
      </c>
    </row>
    <row r="345" spans="1:20" ht="15.75" customHeight="1" x14ac:dyDescent="0.3">
      <c r="A345" s="234" t="s">
        <v>557</v>
      </c>
      <c r="B345" s="172"/>
      <c r="C345" s="172"/>
      <c r="D345" s="172"/>
      <c r="E345" s="38" t="s">
        <v>852</v>
      </c>
      <c r="F345" s="172"/>
      <c r="G345" s="172"/>
      <c r="H345" s="172"/>
      <c r="I345" s="38" t="s">
        <v>852</v>
      </c>
      <c r="J345" s="172"/>
      <c r="K345" s="172"/>
      <c r="L345" s="172"/>
      <c r="M345" s="38" t="s">
        <v>852</v>
      </c>
      <c r="N345" s="172"/>
      <c r="O345" s="172"/>
      <c r="P345" s="172"/>
      <c r="Q345" s="38" t="s">
        <v>852</v>
      </c>
      <c r="R345" s="38" t="s">
        <v>852</v>
      </c>
    </row>
    <row r="346" spans="1:20" ht="15.75" customHeight="1" x14ac:dyDescent="0.3">
      <c r="A346" s="410" t="s">
        <v>2566</v>
      </c>
      <c r="B346" s="172">
        <v>0</v>
      </c>
      <c r="C346" s="172">
        <v>0</v>
      </c>
      <c r="D346" s="172">
        <v>0</v>
      </c>
      <c r="E346" s="38">
        <f>SUM(B346:D346)</f>
        <v>0</v>
      </c>
      <c r="F346" s="172">
        <v>0</v>
      </c>
      <c r="G346" s="172">
        <v>0</v>
      </c>
      <c r="H346" s="172">
        <v>0</v>
      </c>
      <c r="I346" s="38">
        <f>SUM(F346:H346)</f>
        <v>0</v>
      </c>
      <c r="J346" s="172">
        <v>0</v>
      </c>
      <c r="K346" s="172">
        <v>0</v>
      </c>
      <c r="L346" s="172">
        <v>0</v>
      </c>
      <c r="M346" s="38">
        <f>SUM(J346:L346)</f>
        <v>0</v>
      </c>
      <c r="N346" s="172">
        <v>0</v>
      </c>
      <c r="O346" s="172">
        <v>0</v>
      </c>
      <c r="P346" s="172">
        <v>0</v>
      </c>
      <c r="Q346" s="38">
        <f>SUM(N346:P346)</f>
        <v>0</v>
      </c>
      <c r="R346" s="38">
        <f>+E346+I346+M346+Q346</f>
        <v>0</v>
      </c>
      <c r="T346" t="s">
        <v>2174</v>
      </c>
    </row>
    <row r="347" spans="1:20" ht="15.75" customHeight="1" x14ac:dyDescent="0.3">
      <c r="A347" s="410" t="s">
        <v>2657</v>
      </c>
      <c r="B347" s="172">
        <v>0</v>
      </c>
      <c r="C347" s="172">
        <v>0</v>
      </c>
      <c r="D347" s="172">
        <v>0</v>
      </c>
      <c r="E347" s="38">
        <f>SUM(B347:D347)</f>
        <v>0</v>
      </c>
      <c r="F347" s="172">
        <v>0</v>
      </c>
      <c r="G347" s="172">
        <v>0</v>
      </c>
      <c r="H347" s="172">
        <v>0</v>
      </c>
      <c r="I347" s="38">
        <f>SUM(F347:H347)</f>
        <v>0</v>
      </c>
      <c r="J347" s="172">
        <v>0</v>
      </c>
      <c r="K347" s="172">
        <v>0</v>
      </c>
      <c r="L347" s="172">
        <v>0</v>
      </c>
      <c r="M347" s="38">
        <f>SUM(J347:L347)</f>
        <v>0</v>
      </c>
      <c r="N347" s="172">
        <v>0</v>
      </c>
      <c r="O347" s="172">
        <v>0</v>
      </c>
      <c r="P347" s="172">
        <v>2444</v>
      </c>
      <c r="Q347" s="38">
        <f>SUM(N347:P347)</f>
        <v>2444</v>
      </c>
      <c r="R347" s="38">
        <f>+E347+I347+M347+Q347</f>
        <v>2444</v>
      </c>
      <c r="T347" t="s">
        <v>2175</v>
      </c>
    </row>
    <row r="348" spans="1:20" ht="15.75" customHeight="1" x14ac:dyDescent="0.3">
      <c r="A348" s="234" t="s">
        <v>1022</v>
      </c>
      <c r="B348" s="172"/>
      <c r="C348" s="172"/>
      <c r="D348" s="172"/>
      <c r="E348" s="38" t="s">
        <v>852</v>
      </c>
      <c r="F348" s="172"/>
      <c r="G348" s="172"/>
      <c r="H348" s="172"/>
      <c r="I348" s="38" t="s">
        <v>852</v>
      </c>
      <c r="J348" s="172"/>
      <c r="K348" s="172"/>
      <c r="L348" s="172"/>
      <c r="M348" s="38" t="s">
        <v>852</v>
      </c>
      <c r="N348" s="172"/>
      <c r="O348" s="172"/>
      <c r="P348" s="172"/>
      <c r="Q348" s="38" t="s">
        <v>852</v>
      </c>
      <c r="R348" s="38" t="s">
        <v>852</v>
      </c>
      <c r="T348" t="s">
        <v>2176</v>
      </c>
    </row>
    <row r="349" spans="1:20" ht="15.75" customHeight="1" x14ac:dyDescent="0.3">
      <c r="A349" s="256" t="s">
        <v>2486</v>
      </c>
      <c r="B349" s="172">
        <v>0</v>
      </c>
      <c r="C349" s="172">
        <v>0</v>
      </c>
      <c r="D349" s="172">
        <v>3440</v>
      </c>
      <c r="E349" s="38">
        <f t="shared" ref="E349:E355" si="70">SUM(B349:D349)</f>
        <v>3440</v>
      </c>
      <c r="F349" s="172">
        <v>2556</v>
      </c>
      <c r="G349" s="172">
        <v>0</v>
      </c>
      <c r="H349" s="172">
        <v>0</v>
      </c>
      <c r="I349" s="38">
        <f t="shared" ref="I349:I355" si="71">SUM(F349:H349)</f>
        <v>2556</v>
      </c>
      <c r="J349" s="172">
        <v>0</v>
      </c>
      <c r="K349" s="172">
        <v>0</v>
      </c>
      <c r="L349" s="172">
        <v>0</v>
      </c>
      <c r="M349" s="38">
        <f t="shared" ref="M349:M355" si="72">SUM(J349:L349)</f>
        <v>0</v>
      </c>
      <c r="N349" s="172">
        <v>0</v>
      </c>
      <c r="O349" s="172">
        <v>0</v>
      </c>
      <c r="P349" s="172">
        <v>0</v>
      </c>
      <c r="Q349" s="38">
        <f t="shared" ref="Q349:Q355" si="73">SUM(N349:P349)</f>
        <v>0</v>
      </c>
      <c r="R349" s="38">
        <f t="shared" ref="R349:R355" si="74">+E349+I349+M349+Q349</f>
        <v>5996</v>
      </c>
      <c r="T349" t="s">
        <v>294</v>
      </c>
    </row>
    <row r="350" spans="1:20" ht="15.75" customHeight="1" x14ac:dyDescent="0.3">
      <c r="A350" s="311" t="s">
        <v>1374</v>
      </c>
      <c r="B350" s="10">
        <v>0</v>
      </c>
      <c r="C350" s="10">
        <v>0</v>
      </c>
      <c r="D350" s="10">
        <v>0</v>
      </c>
      <c r="E350" s="38">
        <f t="shared" si="70"/>
        <v>0</v>
      </c>
      <c r="F350" s="10">
        <v>3609</v>
      </c>
      <c r="G350" s="10">
        <v>7882</v>
      </c>
      <c r="H350" s="10">
        <v>3509</v>
      </c>
      <c r="I350" s="38">
        <f t="shared" si="71"/>
        <v>15000</v>
      </c>
      <c r="J350" s="10">
        <v>0</v>
      </c>
      <c r="K350" s="10">
        <v>0</v>
      </c>
      <c r="L350" s="10">
        <v>0</v>
      </c>
      <c r="M350" s="38">
        <f t="shared" si="72"/>
        <v>0</v>
      </c>
      <c r="N350" s="10">
        <v>0</v>
      </c>
      <c r="O350" s="10">
        <v>0</v>
      </c>
      <c r="P350" s="10">
        <v>0</v>
      </c>
      <c r="Q350" s="38">
        <f t="shared" si="73"/>
        <v>0</v>
      </c>
      <c r="R350" s="38">
        <f t="shared" si="74"/>
        <v>15000</v>
      </c>
      <c r="T350" t="s">
        <v>2174</v>
      </c>
    </row>
    <row r="351" spans="1:20" ht="15.75" customHeight="1" x14ac:dyDescent="0.3">
      <c r="A351" s="256" t="s">
        <v>1866</v>
      </c>
      <c r="B351" s="172">
        <v>0</v>
      </c>
      <c r="C351" s="172">
        <v>0</v>
      </c>
      <c r="D351" s="172">
        <v>0</v>
      </c>
      <c r="E351" s="38">
        <f t="shared" si="70"/>
        <v>0</v>
      </c>
      <c r="F351" s="172">
        <v>0</v>
      </c>
      <c r="G351" s="172">
        <v>0</v>
      </c>
      <c r="H351" s="172">
        <v>1000</v>
      </c>
      <c r="I351" s="38">
        <f t="shared" si="71"/>
        <v>1000</v>
      </c>
      <c r="J351" s="172">
        <v>0</v>
      </c>
      <c r="K351" s="172">
        <v>0</v>
      </c>
      <c r="L351" s="172">
        <v>0</v>
      </c>
      <c r="M351" s="38">
        <f t="shared" si="72"/>
        <v>0</v>
      </c>
      <c r="N351" s="172">
        <v>0</v>
      </c>
      <c r="O351" s="172">
        <v>0</v>
      </c>
      <c r="P351" s="172">
        <v>0</v>
      </c>
      <c r="Q351" s="38">
        <f t="shared" si="73"/>
        <v>0</v>
      </c>
      <c r="R351" s="38">
        <f t="shared" si="74"/>
        <v>1000</v>
      </c>
      <c r="T351" t="s">
        <v>2174</v>
      </c>
    </row>
    <row r="352" spans="1:20" ht="15.75" customHeight="1" x14ac:dyDescent="0.3">
      <c r="A352" s="256" t="s">
        <v>2340</v>
      </c>
      <c r="B352" s="172">
        <v>0</v>
      </c>
      <c r="C352" s="172">
        <v>0</v>
      </c>
      <c r="D352" s="172">
        <v>0</v>
      </c>
      <c r="E352" s="38">
        <f t="shared" si="70"/>
        <v>0</v>
      </c>
      <c r="F352" s="172">
        <v>0</v>
      </c>
      <c r="G352" s="172">
        <v>0</v>
      </c>
      <c r="H352" s="172">
        <v>0</v>
      </c>
      <c r="I352" s="38">
        <f t="shared" si="71"/>
        <v>0</v>
      </c>
      <c r="J352" s="172">
        <v>0</v>
      </c>
      <c r="K352" s="172">
        <v>0</v>
      </c>
      <c r="L352" s="172">
        <v>0</v>
      </c>
      <c r="M352" s="38">
        <f t="shared" si="72"/>
        <v>0</v>
      </c>
      <c r="N352" s="172">
        <v>0</v>
      </c>
      <c r="O352" s="172">
        <v>0</v>
      </c>
      <c r="P352" s="172">
        <v>0</v>
      </c>
      <c r="Q352" s="38">
        <f t="shared" si="73"/>
        <v>0</v>
      </c>
      <c r="R352" s="38">
        <f t="shared" si="74"/>
        <v>0</v>
      </c>
      <c r="T352" t="s">
        <v>2175</v>
      </c>
    </row>
    <row r="353" spans="1:18" ht="15.75" customHeight="1" x14ac:dyDescent="0.3">
      <c r="A353" s="311" t="s">
        <v>1376</v>
      </c>
      <c r="B353" s="10">
        <v>0</v>
      </c>
      <c r="C353" s="10">
        <v>247</v>
      </c>
      <c r="D353" s="10">
        <v>3981</v>
      </c>
      <c r="E353" s="38">
        <f t="shared" si="70"/>
        <v>4228</v>
      </c>
      <c r="F353" s="10">
        <v>5911</v>
      </c>
      <c r="G353" s="10">
        <v>7390</v>
      </c>
      <c r="H353" s="10">
        <v>6186</v>
      </c>
      <c r="I353" s="38">
        <f t="shared" si="71"/>
        <v>19487</v>
      </c>
      <c r="J353" s="10">
        <v>9214</v>
      </c>
      <c r="K353" s="10">
        <v>3071</v>
      </c>
      <c r="L353" s="10">
        <v>0</v>
      </c>
      <c r="M353" s="38">
        <f t="shared" si="72"/>
        <v>12285</v>
      </c>
      <c r="N353" s="10">
        <v>0</v>
      </c>
      <c r="O353" s="10">
        <v>0</v>
      </c>
      <c r="P353" s="10">
        <v>0</v>
      </c>
      <c r="Q353" s="38">
        <f t="shared" si="73"/>
        <v>0</v>
      </c>
      <c r="R353" s="38">
        <f t="shared" si="74"/>
        <v>36000</v>
      </c>
    </row>
    <row r="354" spans="1:18" ht="15.75" customHeight="1" x14ac:dyDescent="0.3">
      <c r="A354" s="311" t="s">
        <v>1227</v>
      </c>
      <c r="B354" s="10">
        <v>0</v>
      </c>
      <c r="C354" s="10">
        <v>0</v>
      </c>
      <c r="D354" s="10">
        <v>0</v>
      </c>
      <c r="E354" s="38">
        <f>SUM(B354:D354)</f>
        <v>0</v>
      </c>
      <c r="F354" s="10">
        <v>0</v>
      </c>
      <c r="G354" s="10">
        <v>0</v>
      </c>
      <c r="H354" s="10">
        <v>4182</v>
      </c>
      <c r="I354" s="38">
        <f>SUM(F354:H354)</f>
        <v>4182</v>
      </c>
      <c r="J354" s="10">
        <v>6921</v>
      </c>
      <c r="K354" s="10">
        <v>2897</v>
      </c>
      <c r="L354" s="10">
        <v>0</v>
      </c>
      <c r="M354" s="38">
        <f>SUM(J354:L354)</f>
        <v>9818</v>
      </c>
      <c r="N354" s="10">
        <v>0</v>
      </c>
      <c r="O354" s="10">
        <v>0</v>
      </c>
      <c r="P354" s="10">
        <v>0</v>
      </c>
      <c r="Q354" s="38">
        <f>SUM(N354:P354)</f>
        <v>0</v>
      </c>
      <c r="R354" s="38">
        <f>+E354+I354+M354+Q354</f>
        <v>14000</v>
      </c>
    </row>
    <row r="355" spans="1:18" ht="15.75" customHeight="1" x14ac:dyDescent="0.3">
      <c r="A355" s="311" t="s">
        <v>679</v>
      </c>
      <c r="B355" s="10">
        <v>0</v>
      </c>
      <c r="C355" s="10">
        <v>0</v>
      </c>
      <c r="D355" s="10">
        <v>0</v>
      </c>
      <c r="E355" s="38">
        <f t="shared" si="70"/>
        <v>0</v>
      </c>
      <c r="F355" s="10">
        <v>0</v>
      </c>
      <c r="G355" s="10">
        <v>0</v>
      </c>
      <c r="H355" s="10">
        <v>0</v>
      </c>
      <c r="I355" s="38">
        <f t="shared" si="71"/>
        <v>0</v>
      </c>
      <c r="J355" s="10">
        <v>0</v>
      </c>
      <c r="K355" s="10">
        <v>0</v>
      </c>
      <c r="L355" s="10">
        <v>0</v>
      </c>
      <c r="M355" s="38">
        <f t="shared" si="72"/>
        <v>0</v>
      </c>
      <c r="N355" s="10">
        <v>0</v>
      </c>
      <c r="O355" s="10">
        <v>0</v>
      </c>
      <c r="P355" s="10">
        <v>0</v>
      </c>
      <c r="Q355" s="38">
        <f t="shared" si="73"/>
        <v>0</v>
      </c>
      <c r="R355" s="38">
        <f t="shared" si="74"/>
        <v>0</v>
      </c>
    </row>
    <row r="356" spans="1:18" ht="15.75" customHeight="1" x14ac:dyDescent="0.3">
      <c r="A356" s="234" t="s">
        <v>559</v>
      </c>
      <c r="B356" s="172"/>
      <c r="C356" s="172"/>
      <c r="D356" s="172"/>
      <c r="E356" s="38" t="s">
        <v>852</v>
      </c>
      <c r="F356" s="172"/>
      <c r="G356" s="172"/>
      <c r="H356" s="172"/>
      <c r="I356" s="38" t="s">
        <v>852</v>
      </c>
      <c r="J356" s="172"/>
      <c r="K356" s="172"/>
      <c r="L356" s="172"/>
      <c r="M356" s="38" t="s">
        <v>852</v>
      </c>
      <c r="N356" s="172"/>
      <c r="O356" s="172"/>
      <c r="P356" s="172"/>
      <c r="Q356" s="38" t="s">
        <v>852</v>
      </c>
      <c r="R356" s="38" t="s">
        <v>852</v>
      </c>
    </row>
    <row r="357" spans="1:18" ht="15.75" customHeight="1" x14ac:dyDescent="0.3">
      <c r="A357" s="410" t="s">
        <v>2567</v>
      </c>
      <c r="B357" s="10">
        <v>0</v>
      </c>
      <c r="C357" s="10">
        <v>0</v>
      </c>
      <c r="D357" s="10">
        <v>0</v>
      </c>
      <c r="E357" s="38">
        <f>SUM(B357:D357)</f>
        <v>0</v>
      </c>
      <c r="F357" s="10">
        <v>0</v>
      </c>
      <c r="G357" s="10">
        <v>0</v>
      </c>
      <c r="H357" s="10">
        <v>0</v>
      </c>
      <c r="I357" s="38">
        <f>SUM(F357:H357)</f>
        <v>0</v>
      </c>
      <c r="J357" s="10">
        <v>0</v>
      </c>
      <c r="K357" s="10"/>
      <c r="L357" s="10">
        <v>0</v>
      </c>
      <c r="M357" s="38">
        <f>SUM(J357:L357)</f>
        <v>0</v>
      </c>
      <c r="N357" s="10">
        <v>0</v>
      </c>
      <c r="O357" s="10">
        <v>0</v>
      </c>
      <c r="P357" s="10">
        <v>0</v>
      </c>
      <c r="Q357" s="38">
        <f>SUM(N357:P357)</f>
        <v>0</v>
      </c>
      <c r="R357" s="38">
        <f>+E357+I357+M357+Q357</f>
        <v>0</v>
      </c>
    </row>
    <row r="358" spans="1:18" ht="15.75" customHeight="1" x14ac:dyDescent="0.3">
      <c r="A358" s="410" t="s">
        <v>2568</v>
      </c>
      <c r="B358" s="172">
        <v>0</v>
      </c>
      <c r="C358" s="172">
        <v>0</v>
      </c>
      <c r="D358" s="172">
        <v>0</v>
      </c>
      <c r="E358" s="38">
        <f>SUM(B358:D358)</f>
        <v>0</v>
      </c>
      <c r="F358" s="172">
        <v>0</v>
      </c>
      <c r="G358" s="172">
        <v>0</v>
      </c>
      <c r="H358" s="172">
        <v>0</v>
      </c>
      <c r="I358" s="38">
        <f>SUM(F358:H358)</f>
        <v>0</v>
      </c>
      <c r="J358" s="172">
        <v>0</v>
      </c>
      <c r="K358" s="172">
        <v>0</v>
      </c>
      <c r="L358" s="172">
        <v>0</v>
      </c>
      <c r="M358" s="38">
        <f>SUM(J358:L358)</f>
        <v>0</v>
      </c>
      <c r="N358" s="172">
        <v>0</v>
      </c>
      <c r="O358" s="172">
        <v>0</v>
      </c>
      <c r="P358" s="172">
        <v>0</v>
      </c>
      <c r="Q358" s="38">
        <f>SUM(N358:P358)</f>
        <v>0</v>
      </c>
      <c r="R358" s="38">
        <f>+E358+I358+M358+Q358</f>
        <v>0</v>
      </c>
    </row>
    <row r="359" spans="1:18" ht="15.75" customHeight="1" x14ac:dyDescent="0.3">
      <c r="A359" s="410" t="s">
        <v>2569</v>
      </c>
      <c r="B359" s="172">
        <v>0</v>
      </c>
      <c r="C359" s="172">
        <v>0</v>
      </c>
      <c r="D359" s="172">
        <v>0</v>
      </c>
      <c r="E359" s="38">
        <f>SUM(B359:D359)</f>
        <v>0</v>
      </c>
      <c r="F359" s="172">
        <v>0</v>
      </c>
      <c r="G359" s="172">
        <v>0</v>
      </c>
      <c r="H359" s="172">
        <v>0</v>
      </c>
      <c r="I359" s="38">
        <f>SUM(F359:H359)</f>
        <v>0</v>
      </c>
      <c r="J359" s="172">
        <v>0</v>
      </c>
      <c r="K359" s="172">
        <v>0</v>
      </c>
      <c r="L359" s="172">
        <v>0</v>
      </c>
      <c r="M359" s="38">
        <f>SUM(J359:L359)</f>
        <v>0</v>
      </c>
      <c r="N359" s="172">
        <v>0</v>
      </c>
      <c r="O359" s="172">
        <v>1047</v>
      </c>
      <c r="P359" s="172">
        <v>1579</v>
      </c>
      <c r="Q359" s="38">
        <f>SUM(N359:P359)</f>
        <v>2626</v>
      </c>
      <c r="R359" s="38">
        <f>+E359+I359+M359+Q359</f>
        <v>2626</v>
      </c>
    </row>
    <row r="360" spans="1:18" ht="15.75" customHeight="1" x14ac:dyDescent="0.3">
      <c r="A360" s="410" t="s">
        <v>2570</v>
      </c>
      <c r="B360" s="172">
        <v>0</v>
      </c>
      <c r="C360" s="172">
        <v>0</v>
      </c>
      <c r="D360" s="172">
        <v>0</v>
      </c>
      <c r="E360" s="38">
        <f t="shared" ref="E360:E370" si="75">SUM(B360:D360)</f>
        <v>0</v>
      </c>
      <c r="F360" s="172">
        <v>0</v>
      </c>
      <c r="G360" s="172">
        <v>0</v>
      </c>
      <c r="H360" s="172">
        <v>0</v>
      </c>
      <c r="I360" s="38">
        <f t="shared" ref="I360:I370" si="76">SUM(F360:H360)</f>
        <v>0</v>
      </c>
      <c r="J360" s="172">
        <v>0</v>
      </c>
      <c r="K360" s="172">
        <v>0</v>
      </c>
      <c r="L360" s="172">
        <v>1751</v>
      </c>
      <c r="M360" s="38">
        <f t="shared" ref="M360:M370" si="77">SUM(J360:L360)</f>
        <v>1751</v>
      </c>
      <c r="N360" s="172"/>
      <c r="O360" s="172">
        <v>300</v>
      </c>
      <c r="P360" s="172">
        <v>1891</v>
      </c>
      <c r="Q360" s="38">
        <f t="shared" ref="Q360:Q370" si="78">SUM(N360:P360)</f>
        <v>2191</v>
      </c>
      <c r="R360" s="38">
        <f t="shared" ref="R360:R370" si="79">+E360+I360+M360+Q360</f>
        <v>3942</v>
      </c>
    </row>
    <row r="361" spans="1:18" ht="15.75" customHeight="1" x14ac:dyDescent="0.3">
      <c r="A361" s="410" t="s">
        <v>2571</v>
      </c>
      <c r="B361" s="172">
        <v>0</v>
      </c>
      <c r="C361" s="172">
        <v>0</v>
      </c>
      <c r="D361" s="172">
        <v>0</v>
      </c>
      <c r="E361" s="38">
        <f>SUM(B361:D361)</f>
        <v>0</v>
      </c>
      <c r="F361" s="172">
        <v>0</v>
      </c>
      <c r="G361" s="172">
        <v>0</v>
      </c>
      <c r="H361" s="172">
        <v>0</v>
      </c>
      <c r="I361" s="38">
        <f>SUM(F361:H361)</f>
        <v>0</v>
      </c>
      <c r="J361" s="172">
        <v>0</v>
      </c>
      <c r="K361" s="172">
        <v>0</v>
      </c>
      <c r="L361" s="172">
        <v>0</v>
      </c>
      <c r="M361" s="38">
        <f>SUM(J361:L361)</f>
        <v>0</v>
      </c>
      <c r="N361" s="172">
        <v>0</v>
      </c>
      <c r="O361" s="172">
        <v>0</v>
      </c>
      <c r="P361" s="172">
        <v>0</v>
      </c>
      <c r="Q361" s="38">
        <f>SUM(N361:P361)</f>
        <v>0</v>
      </c>
      <c r="R361" s="38">
        <f>+E361+I361+M361+Q361</f>
        <v>0</v>
      </c>
    </row>
    <row r="362" spans="1:18" ht="15.75" customHeight="1" x14ac:dyDescent="0.3">
      <c r="A362" s="410" t="s">
        <v>2572</v>
      </c>
      <c r="B362" s="10">
        <v>380</v>
      </c>
      <c r="C362" s="10">
        <v>720</v>
      </c>
      <c r="D362" s="10">
        <v>1550</v>
      </c>
      <c r="E362" s="38">
        <f>SUM(B362:D362)</f>
        <v>2650</v>
      </c>
      <c r="F362" s="10">
        <v>1650</v>
      </c>
      <c r="G362" s="10">
        <v>1450</v>
      </c>
      <c r="H362" s="10">
        <v>930</v>
      </c>
      <c r="I362" s="38">
        <f>SUM(F362:H362)</f>
        <v>4030</v>
      </c>
      <c r="J362" s="10">
        <v>310</v>
      </c>
      <c r="K362" s="10">
        <v>310</v>
      </c>
      <c r="L362" s="10">
        <v>200</v>
      </c>
      <c r="M362" s="38">
        <f>SUM(J362:L362)</f>
        <v>820</v>
      </c>
      <c r="N362" s="172">
        <v>0</v>
      </c>
      <c r="O362" s="172">
        <v>0</v>
      </c>
      <c r="P362" s="172">
        <v>0</v>
      </c>
      <c r="Q362" s="38">
        <f>SUM(N362:P362)</f>
        <v>0</v>
      </c>
      <c r="R362" s="38">
        <f>+E362+I362+M362+Q362</f>
        <v>7500</v>
      </c>
    </row>
    <row r="363" spans="1:18" ht="15.75" customHeight="1" x14ac:dyDescent="0.3">
      <c r="A363" s="410" t="s">
        <v>2573</v>
      </c>
      <c r="B363" s="10">
        <v>0</v>
      </c>
      <c r="C363" s="10">
        <v>0</v>
      </c>
      <c r="D363" s="10">
        <v>0</v>
      </c>
      <c r="E363" s="38">
        <f>SUM(B363:D363)</f>
        <v>0</v>
      </c>
      <c r="F363" s="10">
        <v>0</v>
      </c>
      <c r="G363" s="10">
        <v>0</v>
      </c>
      <c r="H363" s="10">
        <v>0</v>
      </c>
      <c r="I363" s="38">
        <f>SUM(F363:H363)</f>
        <v>0</v>
      </c>
      <c r="J363" s="10">
        <v>0</v>
      </c>
      <c r="K363" s="10">
        <v>0</v>
      </c>
      <c r="L363" s="10">
        <v>0</v>
      </c>
      <c r="M363" s="38">
        <f>SUM(J363:L363)</f>
        <v>0</v>
      </c>
      <c r="N363" s="172">
        <v>0</v>
      </c>
      <c r="O363" s="172">
        <v>0</v>
      </c>
      <c r="P363" s="172">
        <v>0</v>
      </c>
      <c r="Q363" s="38">
        <f>SUM(N363:P363)</f>
        <v>0</v>
      </c>
      <c r="R363" s="38">
        <f>+E363+I363+M363+Q363</f>
        <v>0</v>
      </c>
    </row>
    <row r="364" spans="1:18" ht="15.75" customHeight="1" thickBot="1" x14ac:dyDescent="0.35">
      <c r="A364" s="410" t="s">
        <v>2574</v>
      </c>
      <c r="B364" s="10">
        <v>0</v>
      </c>
      <c r="C364" s="10">
        <v>0</v>
      </c>
      <c r="D364" s="10">
        <v>0</v>
      </c>
      <c r="E364" s="38">
        <f>SUM(B364:D364)</f>
        <v>0</v>
      </c>
      <c r="F364" s="10">
        <v>0</v>
      </c>
      <c r="G364" s="10">
        <v>0</v>
      </c>
      <c r="H364" s="10">
        <v>2945</v>
      </c>
      <c r="I364" s="38">
        <f>SUM(F364:H364)</f>
        <v>2945</v>
      </c>
      <c r="J364" s="10">
        <v>0</v>
      </c>
      <c r="K364" s="10">
        <v>0</v>
      </c>
      <c r="L364" s="10">
        <v>527</v>
      </c>
      <c r="M364" s="38">
        <f>SUM(J364:L364)</f>
        <v>527</v>
      </c>
      <c r="N364" s="10">
        <v>2249</v>
      </c>
      <c r="O364" s="10">
        <v>640</v>
      </c>
      <c r="P364" s="10">
        <v>390</v>
      </c>
      <c r="Q364" s="38">
        <f>SUM(N364:P364)</f>
        <v>3279</v>
      </c>
      <c r="R364" s="38">
        <f>+E364+I364+M364+Q364</f>
        <v>6751</v>
      </c>
    </row>
    <row r="365" spans="1:18" ht="16.5" customHeight="1" thickBot="1" x14ac:dyDescent="0.35">
      <c r="A365" s="43" t="s">
        <v>1019</v>
      </c>
      <c r="B365" s="42">
        <f>SUM(B349:B364)</f>
        <v>380</v>
      </c>
      <c r="C365" s="42">
        <f>SUM(C349:C364)</f>
        <v>967</v>
      </c>
      <c r="D365" s="42">
        <f>SUM(D349:D364)</f>
        <v>8971</v>
      </c>
      <c r="E365" s="39">
        <f t="shared" si="75"/>
        <v>10318</v>
      </c>
      <c r="F365" s="42">
        <f>SUM(F349:F364)</f>
        <v>13726</v>
      </c>
      <c r="G365" s="42">
        <f>SUM(G349:G364)</f>
        <v>16722</v>
      </c>
      <c r="H365" s="42">
        <f>SUM(H349:H364)</f>
        <v>18752</v>
      </c>
      <c r="I365" s="39">
        <f t="shared" si="76"/>
        <v>49200</v>
      </c>
      <c r="J365" s="42">
        <f>SUM(J349:J364)</f>
        <v>16445</v>
      </c>
      <c r="K365" s="42">
        <f>SUM(K349:K364)</f>
        <v>6278</v>
      </c>
      <c r="L365" s="42">
        <f>SUM(L349:L364)</f>
        <v>2478</v>
      </c>
      <c r="M365" s="39">
        <f t="shared" si="77"/>
        <v>25201</v>
      </c>
      <c r="N365" s="42">
        <f>SUM(N349:N364)</f>
        <v>2249</v>
      </c>
      <c r="O365" s="42">
        <f>SUM(O349:O364)</f>
        <v>1987</v>
      </c>
      <c r="P365" s="42">
        <f>SUM(P349:P364)</f>
        <v>3860</v>
      </c>
      <c r="Q365" s="39">
        <f t="shared" si="78"/>
        <v>8096</v>
      </c>
      <c r="R365" s="37">
        <f t="shared" si="79"/>
        <v>92815</v>
      </c>
    </row>
    <row r="366" spans="1:18" ht="16.5" customHeight="1" thickBot="1" x14ac:dyDescent="0.35">
      <c r="A366" s="277" t="s">
        <v>1221</v>
      </c>
      <c r="B366" s="45">
        <f>SUM(B342:B364)</f>
        <v>380</v>
      </c>
      <c r="C366" s="46">
        <f>SUM(C342:C364)</f>
        <v>967</v>
      </c>
      <c r="D366" s="58">
        <f>SUM(D342:D364)</f>
        <v>8971</v>
      </c>
      <c r="E366" s="39">
        <f t="shared" si="75"/>
        <v>10318</v>
      </c>
      <c r="F366" s="46">
        <f>SUM(F342:F364)</f>
        <v>13726</v>
      </c>
      <c r="G366" s="46">
        <f>SUM(G342:G364)</f>
        <v>16722</v>
      </c>
      <c r="H366" s="46">
        <f>SUM(H342:H364)</f>
        <v>18752</v>
      </c>
      <c r="I366" s="39">
        <f t="shared" si="76"/>
        <v>49200</v>
      </c>
      <c r="J366" s="46">
        <f>SUM(J342:J364)</f>
        <v>16459</v>
      </c>
      <c r="K366" s="46">
        <f>SUM(K342:K364)</f>
        <v>6512</v>
      </c>
      <c r="L366" s="46">
        <f>SUM(L342:L364)</f>
        <v>3478</v>
      </c>
      <c r="M366" s="39">
        <f t="shared" si="77"/>
        <v>26449</v>
      </c>
      <c r="N366" s="46">
        <f>SUM(N342:N364)</f>
        <v>3676</v>
      </c>
      <c r="O366" s="46">
        <f>SUM(O342:O364)</f>
        <v>2989</v>
      </c>
      <c r="P366" s="46">
        <f>SUM(P342:P364)</f>
        <v>6493</v>
      </c>
      <c r="Q366" s="39">
        <f t="shared" si="78"/>
        <v>13158</v>
      </c>
      <c r="R366" s="37">
        <f t="shared" si="79"/>
        <v>99125</v>
      </c>
    </row>
    <row r="367" spans="1:18" ht="16.5" customHeight="1" thickBot="1" x14ac:dyDescent="0.35">
      <c r="A367" s="43" t="s">
        <v>1222</v>
      </c>
      <c r="B367" s="47">
        <f>+B298+B315+B341+B366</f>
        <v>21362</v>
      </c>
      <c r="C367" s="42">
        <f>+C298+C315+C341+C366</f>
        <v>25559</v>
      </c>
      <c r="D367" s="42">
        <f>+D298+D315+D341+D366</f>
        <v>59570</v>
      </c>
      <c r="E367" s="37">
        <f t="shared" si="75"/>
        <v>106491</v>
      </c>
      <c r="F367" s="42">
        <f>+F298+F315+F341+F366</f>
        <v>79722</v>
      </c>
      <c r="G367" s="42">
        <f>+G298+G315+G341+G366</f>
        <v>100175</v>
      </c>
      <c r="H367" s="42">
        <f>+H298+H315+H341+H366</f>
        <v>122580</v>
      </c>
      <c r="I367" s="37">
        <f t="shared" si="76"/>
        <v>302477</v>
      </c>
      <c r="J367" s="42">
        <f>+J298+J315+J341+J366</f>
        <v>119781</v>
      </c>
      <c r="K367" s="42">
        <f>+K298+K315+K341+K366</f>
        <v>120227</v>
      </c>
      <c r="L367" s="42">
        <f>+L298+L315+L341+L366</f>
        <v>69378</v>
      </c>
      <c r="M367" s="37">
        <f t="shared" si="77"/>
        <v>309386</v>
      </c>
      <c r="N367" s="42">
        <f>+N298+N315+N341+N366</f>
        <v>37512</v>
      </c>
      <c r="O367" s="42">
        <f>+O298+O315+O341+O366</f>
        <v>18526</v>
      </c>
      <c r="P367" s="42">
        <f>+P298+P315+P341+P366</f>
        <v>21308</v>
      </c>
      <c r="Q367" s="37">
        <f t="shared" si="78"/>
        <v>77346</v>
      </c>
      <c r="R367" s="40">
        <f t="shared" si="79"/>
        <v>795700</v>
      </c>
    </row>
    <row r="368" spans="1:18" ht="15.75" customHeight="1" x14ac:dyDescent="0.3">
      <c r="A368" s="539" t="s">
        <v>2273</v>
      </c>
      <c r="B368" s="172">
        <v>0</v>
      </c>
      <c r="C368" s="172">
        <v>0</v>
      </c>
      <c r="D368" s="172">
        <v>0</v>
      </c>
      <c r="E368" s="38">
        <f t="shared" si="75"/>
        <v>0</v>
      </c>
      <c r="F368" s="172">
        <v>0</v>
      </c>
      <c r="G368" s="172">
        <v>0</v>
      </c>
      <c r="H368" s="172">
        <v>0</v>
      </c>
      <c r="I368" s="38">
        <f t="shared" si="76"/>
        <v>0</v>
      </c>
      <c r="J368" s="172">
        <v>0</v>
      </c>
      <c r="K368" s="172">
        <v>0</v>
      </c>
      <c r="L368" s="172">
        <v>0</v>
      </c>
      <c r="M368" s="38">
        <f t="shared" si="77"/>
        <v>0</v>
      </c>
      <c r="N368" s="172">
        <v>0</v>
      </c>
      <c r="O368" s="172">
        <v>0</v>
      </c>
      <c r="P368" s="172">
        <v>0</v>
      </c>
      <c r="Q368" s="38">
        <f t="shared" si="78"/>
        <v>0</v>
      </c>
      <c r="R368" s="38">
        <f t="shared" si="79"/>
        <v>0</v>
      </c>
    </row>
    <row r="369" spans="1:18" ht="15.75" customHeight="1" x14ac:dyDescent="0.3">
      <c r="A369" s="539" t="s">
        <v>2274</v>
      </c>
      <c r="B369" s="172">
        <v>0</v>
      </c>
      <c r="C369" s="172">
        <v>0</v>
      </c>
      <c r="D369" s="172">
        <v>0</v>
      </c>
      <c r="E369" s="38">
        <f t="shared" si="75"/>
        <v>0</v>
      </c>
      <c r="F369" s="172">
        <v>0</v>
      </c>
      <c r="G369" s="172">
        <v>0</v>
      </c>
      <c r="H369" s="172">
        <v>0</v>
      </c>
      <c r="I369" s="38">
        <f t="shared" si="76"/>
        <v>0</v>
      </c>
      <c r="J369" s="172">
        <v>0</v>
      </c>
      <c r="K369" s="172">
        <v>0</v>
      </c>
      <c r="L369" s="172">
        <v>0</v>
      </c>
      <c r="M369" s="38">
        <f t="shared" si="77"/>
        <v>0</v>
      </c>
      <c r="N369" s="172">
        <v>0</v>
      </c>
      <c r="O369" s="172">
        <v>0</v>
      </c>
      <c r="P369" s="172">
        <v>0</v>
      </c>
      <c r="Q369" s="38">
        <f t="shared" si="78"/>
        <v>0</v>
      </c>
      <c r="R369" s="38">
        <f t="shared" si="79"/>
        <v>0</v>
      </c>
    </row>
    <row r="370" spans="1:18" ht="16.5" customHeight="1" thickBot="1" x14ac:dyDescent="0.35">
      <c r="A370" s="257" t="s">
        <v>853</v>
      </c>
      <c r="B370" s="238">
        <v>155</v>
      </c>
      <c r="C370" s="238">
        <v>283</v>
      </c>
      <c r="D370" s="238">
        <v>435</v>
      </c>
      <c r="E370" s="40">
        <f t="shared" si="75"/>
        <v>873</v>
      </c>
      <c r="F370" s="238">
        <v>602</v>
      </c>
      <c r="G370" s="238">
        <v>711</v>
      </c>
      <c r="H370" s="238">
        <v>722</v>
      </c>
      <c r="I370" s="40">
        <f t="shared" si="76"/>
        <v>2035</v>
      </c>
      <c r="J370" s="238">
        <v>686</v>
      </c>
      <c r="K370" s="238">
        <v>519</v>
      </c>
      <c r="L370" s="238">
        <v>531</v>
      </c>
      <c r="M370" s="40">
        <f t="shared" si="77"/>
        <v>1736</v>
      </c>
      <c r="N370" s="238">
        <v>489</v>
      </c>
      <c r="O370" s="238">
        <v>389</v>
      </c>
      <c r="P370" s="238">
        <v>275</v>
      </c>
      <c r="Q370" s="40">
        <f t="shared" si="78"/>
        <v>1153</v>
      </c>
      <c r="R370" s="38">
        <f t="shared" si="79"/>
        <v>5797</v>
      </c>
    </row>
    <row r="371" spans="1:18" ht="16.5" customHeight="1" thickBot="1" x14ac:dyDescent="0.35">
      <c r="A371" s="44"/>
      <c r="B371" s="258"/>
      <c r="C371" s="258"/>
      <c r="D371" s="258"/>
      <c r="E371" s="37"/>
      <c r="F371" s="258"/>
      <c r="G371" s="258"/>
      <c r="H371" s="258"/>
      <c r="I371" s="37"/>
      <c r="J371" s="258"/>
      <c r="K371" s="258"/>
      <c r="L371" s="258"/>
      <c r="M371" s="37"/>
      <c r="N371" s="258"/>
      <c r="O371" s="258"/>
      <c r="P371" s="258"/>
      <c r="Q371" s="37"/>
      <c r="R371" s="37" t="s">
        <v>852</v>
      </c>
    </row>
    <row r="372" spans="1:18" ht="15.75" customHeight="1" x14ac:dyDescent="0.3">
      <c r="A372" s="259" t="s">
        <v>2011</v>
      </c>
      <c r="B372" s="260">
        <f>SUM(B367:B370)</f>
        <v>21517</v>
      </c>
      <c r="C372" s="260">
        <f>SUM(C367:C370)</f>
        <v>25842</v>
      </c>
      <c r="D372" s="260">
        <f>SUM(D367:D370)</f>
        <v>60005</v>
      </c>
      <c r="E372" s="39">
        <f>SUM(B372:D372)</f>
        <v>107364</v>
      </c>
      <c r="F372" s="260">
        <f>SUM(F367:F370)</f>
        <v>80324</v>
      </c>
      <c r="G372" s="260">
        <f>SUM(G367:G370)</f>
        <v>100886</v>
      </c>
      <c r="H372" s="260">
        <f>SUM(H367:H370)</f>
        <v>123302</v>
      </c>
      <c r="I372" s="39">
        <f>SUM(F372:H372)</f>
        <v>304512</v>
      </c>
      <c r="J372" s="260">
        <f>SUM(J367:J370)</f>
        <v>120467</v>
      </c>
      <c r="K372" s="260">
        <f>SUM(K367:K370)</f>
        <v>120746</v>
      </c>
      <c r="L372" s="260">
        <f>SUM(L367:L370)</f>
        <v>69909</v>
      </c>
      <c r="M372" s="39">
        <f>SUM(J372:L372)</f>
        <v>311122</v>
      </c>
      <c r="N372" s="260">
        <f>SUM(N367:N370)</f>
        <v>38001</v>
      </c>
      <c r="O372" s="260">
        <f>SUM(O367:O370)</f>
        <v>18915</v>
      </c>
      <c r="P372" s="260">
        <f>SUM(P367:P370)</f>
        <v>21583</v>
      </c>
      <c r="Q372" s="39">
        <f>SUM(N372:P372)</f>
        <v>78499</v>
      </c>
      <c r="R372" s="39">
        <f>+E372+I372+M372+Q372</f>
        <v>801497</v>
      </c>
    </row>
    <row r="373" spans="1:18" ht="15.75" customHeight="1" x14ac:dyDescent="0.3">
      <c r="A373" s="262" t="s">
        <v>1897</v>
      </c>
      <c r="B373" s="172">
        <f>(B372/31)/1.983</f>
        <v>350.02358759130021</v>
      </c>
      <c r="C373" s="172">
        <f>(C372/28)/1.983</f>
        <v>465.42035876377781</v>
      </c>
      <c r="D373" s="172">
        <f>(D372/31)/1.983</f>
        <v>976.11959722154438</v>
      </c>
      <c r="E373" s="38" t="s">
        <v>852</v>
      </c>
      <c r="F373" s="172">
        <f>(F372/30)/1.983</f>
        <v>1350.2101193477895</v>
      </c>
      <c r="G373" s="172">
        <f>(G372/31)/1.983</f>
        <v>1641.1432661493664</v>
      </c>
      <c r="H373" s="172">
        <f>(H372/30)/1.983</f>
        <v>2072.6508656917126</v>
      </c>
      <c r="I373" s="38" t="s">
        <v>852</v>
      </c>
      <c r="J373" s="172">
        <f>(J372/31)/1.983</f>
        <v>1959.6733525287523</v>
      </c>
      <c r="K373" s="172">
        <f>(K372/31)/1.983</f>
        <v>1964.2119304410064</v>
      </c>
      <c r="L373" s="172">
        <f>(L372/30)/1.983</f>
        <v>1175.1386787695412</v>
      </c>
      <c r="M373" s="38" t="s">
        <v>852</v>
      </c>
      <c r="N373" s="172">
        <f>(N372/31)/1.983</f>
        <v>618.17383241423056</v>
      </c>
      <c r="O373" s="172">
        <f>(O372/30)/1.983</f>
        <v>317.95259707513867</v>
      </c>
      <c r="P373" s="172">
        <f>(P372/31)/1.983</f>
        <v>351.09722967807005</v>
      </c>
      <c r="Q373" s="38" t="s">
        <v>852</v>
      </c>
      <c r="R373" s="38" t="s">
        <v>852</v>
      </c>
    </row>
    <row r="374" spans="1:18" ht="15.75" customHeight="1" x14ac:dyDescent="0.3">
      <c r="A374" s="262" t="s">
        <v>2432</v>
      </c>
      <c r="B374" s="172">
        <f>B372+B419</f>
        <v>42431</v>
      </c>
      <c r="C374" s="172">
        <f>C372+C419</f>
        <v>48437</v>
      </c>
      <c r="D374" s="172">
        <f>D372+D419</f>
        <v>87218</v>
      </c>
      <c r="E374" s="38">
        <f>SUM(B374:D374)</f>
        <v>178086</v>
      </c>
      <c r="F374" s="172">
        <f>F372+F419</f>
        <v>114594</v>
      </c>
      <c r="G374" s="172">
        <f>G372+G419</f>
        <v>132276</v>
      </c>
      <c r="H374" s="172">
        <f>H372+H419</f>
        <v>159939</v>
      </c>
      <c r="I374" s="38">
        <f>SUM(F374:H374)</f>
        <v>406809</v>
      </c>
      <c r="J374" s="172">
        <f>J372+J419</f>
        <v>168010</v>
      </c>
      <c r="K374" s="172">
        <f>K372+K419</f>
        <v>169866</v>
      </c>
      <c r="L374" s="172">
        <f>L372+L419</f>
        <v>98936</v>
      </c>
      <c r="M374" s="38">
        <f>SUM(J374:L374)</f>
        <v>436812</v>
      </c>
      <c r="N374" s="172">
        <f>N372+N419</f>
        <v>55112</v>
      </c>
      <c r="O374" s="172">
        <f>O372+O419</f>
        <v>26527</v>
      </c>
      <c r="P374" s="172">
        <f>P372+P419</f>
        <v>34687</v>
      </c>
      <c r="Q374" s="38">
        <f>SUM(N374:P374)</f>
        <v>116326</v>
      </c>
      <c r="R374" s="38">
        <f>+E374+I374+M374+Q374</f>
        <v>1138033</v>
      </c>
    </row>
    <row r="375" spans="1:18" ht="16.5" customHeight="1" thickBot="1" x14ac:dyDescent="0.35">
      <c r="A375" s="263" t="s">
        <v>104</v>
      </c>
      <c r="B375" s="264">
        <f>(B374/31)/1.983</f>
        <v>690.23799066256731</v>
      </c>
      <c r="C375" s="264">
        <f>(C374/28)/1.983</f>
        <v>872.36150133275692</v>
      </c>
      <c r="D375" s="264">
        <f>(D374/31)/1.983</f>
        <v>1418.8017503619474</v>
      </c>
      <c r="E375" s="40" t="s">
        <v>852</v>
      </c>
      <c r="F375" s="264">
        <f>(F374/30)/1.983</f>
        <v>1926.2733232476046</v>
      </c>
      <c r="G375" s="264">
        <f>(G374/31)/1.983</f>
        <v>2151.7739495388219</v>
      </c>
      <c r="H375" s="264">
        <f>(H374/30)/1.983</f>
        <v>2688.5022692889561</v>
      </c>
      <c r="I375" s="40" t="s">
        <v>852</v>
      </c>
      <c r="J375" s="264">
        <f>(J374/31)/1.983</f>
        <v>2733.0698030029444</v>
      </c>
      <c r="K375" s="264">
        <f>(K374/31)/1.983</f>
        <v>2763.2619198672587</v>
      </c>
      <c r="L375" s="264">
        <f>(L374/30)/1.983</f>
        <v>1663.0694234325097</v>
      </c>
      <c r="M375" s="40" t="s">
        <v>852</v>
      </c>
      <c r="N375" s="264">
        <f>(N374/31)/1.983</f>
        <v>896.52367706147402</v>
      </c>
      <c r="O375" s="264">
        <f>(O374/30)/1.983</f>
        <v>445.90687510505967</v>
      </c>
      <c r="P375" s="264">
        <f>(P374/31)/1.983</f>
        <v>564.2639858149106</v>
      </c>
      <c r="Q375" s="40" t="s">
        <v>852</v>
      </c>
      <c r="R375" s="40" t="s">
        <v>852</v>
      </c>
    </row>
    <row r="376" spans="1:18" ht="15.75" customHeight="1" x14ac:dyDescent="0.3">
      <c r="A376" s="351" t="s">
        <v>1011</v>
      </c>
      <c r="B376" s="352">
        <f>B$377+(SUMIF($T$258:$T$352,"FLG",B$265:B$369)/31/1.98)+(SUMIF($T$258:$T$352,"FCA",B$265:B$369)/31/1.98)+(SUMIF($T$258:$T$352,"NSC",B$265:B$369)/31/1.98)</f>
        <v>374.9592701205604</v>
      </c>
      <c r="C376" s="352">
        <f>C$377+(SUMIF($T$258:$T$352,"FLG",C$265:C$369)/28/1.98)+(SUMIF($T$258:$T$352,"FCA",C$265:C$369)/28/1.98)+(SUMIF($T$258:$T$352,"NSC",C$265:C$369)/28/1.98)</f>
        <v>455.66378066378064</v>
      </c>
      <c r="D376" s="352">
        <f>D$377+(SUMIF($T$258:$T$352,"FLG",D$265:D$369)/31/1.98)+(SUMIF($T$258:$T$352,"FCA",D$265:D$369)/31/1.98)+(SUMIF($T$258:$T$352,"NSC",D$265:D$369)/31/1.98)</f>
        <v>564.64646464646466</v>
      </c>
      <c r="E376" s="329"/>
      <c r="F376" s="352">
        <f>F$377+(SUMIF($T$258:$T$352,"FLG",F$265:F$369)/30/1.98)+(SUMIF($T$258:$T$352,"FCA",F$265:F$369)/30/1.98)+(SUMIF($T$258:$T$352,"NSC",F$265:F$369)/30/1.98)</f>
        <v>801.5151515151515</v>
      </c>
      <c r="G376" s="352">
        <f>G$377+(SUMIF($T$258:$T$352,"FLG",G$265:G$369)/31/1.98)+(SUMIF($T$258:$T$352,"FCA",G$265:G$369)/31/1.98)+(SUMIF($T$258:$T$352,"NSC",G$265:G$369)/31/1.98)</f>
        <v>800.24437927663735</v>
      </c>
      <c r="H376" s="352">
        <f>H$377+(SUMIF($T$258:$T$352,"FLG",H$265:H$369)/30/1.98)+(SUMIF($T$258:$T$352,"FCA",H$265:H$369)/30/1.98)+(SUMIF($T$258:$T$352,"NSC",H$265:H$369)/30/1.98)</f>
        <v>789.56228956228961</v>
      </c>
      <c r="I376" s="350"/>
      <c r="J376" s="352">
        <f>J$377+(SUMIF($T$258:$T$352,"FLG",J$265:J$369)/31/1.98)+(SUMIF($T$258:$T$352,"FCA",J$265:J$369)/31/1.98)+(SUMIF($T$258:$T$352,"NSC",J$265:J$369)/31/1.98)</f>
        <v>937.82991202346057</v>
      </c>
      <c r="K376" s="352">
        <f>K$377+(SUMIF($T$258:$T$352,"FLG",K$265:K$369)/31/1.98)+(SUMIF($T$258:$T$352,"FCA",K$265:K$369)/31/1.98)+(SUMIF($T$258:$T$352,"NSC",K$265:K$369)/31/1.98)</f>
        <v>985.61420658194845</v>
      </c>
      <c r="L376" s="352">
        <f>L$377+(SUMIF($T$258:$T$352,"FLG",L$265:L$369)/30/1.98)+(SUMIF($T$258:$T$352,"FCA",L$265:L$369)/30/1.98)+(SUMIF($T$258:$T$352,"NSC",L$265:L$369)/30/1.98)</f>
        <v>647.87878787878799</v>
      </c>
      <c r="M376" s="350"/>
      <c r="N376" s="352">
        <f>N$377+(SUMIF($T$258:$T$352,"FLG",N$265:N$369)/31/1.98)+(SUMIF($T$258:$T$352,"FCA",N$265:N$369)/31/1.98)+(SUMIF($T$258:$T$352,"NSC",N$265:N$369)/31/1.98)</f>
        <v>289.49169110459434</v>
      </c>
      <c r="O376" s="352">
        <f>O$377+(SUMIF($T$258:$T$352,"FLG",O$265:O$369)/30/1.98)+(SUMIF($T$258:$T$352,"FCA",O$265:O$369)/30/1.98)+(SUMIF($T$258:$T$352,"NSC",O$265:O$369)/30/1.98)</f>
        <v>130.25252525252526</v>
      </c>
      <c r="P376" s="352">
        <f>P$377+(SUMIF($T$258:$T$352,"FLG",P$265:P$369)/31/1.98)+(SUMIF($T$258:$T$352,"FCA",P$265:P$369)/31/1.98)+(SUMIF($T$258:$T$352,"NSC",P$265:P$369)/31/1.98)</f>
        <v>214.28804170739653</v>
      </c>
      <c r="Q376" s="350"/>
      <c r="R376" s="350"/>
    </row>
    <row r="377" spans="1:18" ht="15.75" customHeight="1" x14ac:dyDescent="0.3">
      <c r="A377" s="351" t="s">
        <v>1012</v>
      </c>
      <c r="B377" s="352">
        <f>B$378+(SUMIF($T$258:$T$352,"FCI",B$265:B$369)/31/1.98)+(SUMIF($T$258:$T$352,"FCC",B$265:B$369)/31/1.98)</f>
        <v>374.9592701205604</v>
      </c>
      <c r="C377" s="352">
        <f>C$378+(SUMIF($T$258:$T$352,"FCI",C$265:C$369)/28/1.98)+(SUMIF($T$258:$T$352,"FCC",C$265:C$369)/28/1.98)</f>
        <v>455.66378066378064</v>
      </c>
      <c r="D377" s="352">
        <f>D$378+(SUMIF($T$258:$T$352,"FCI",D$265:D$369)/31/1.98)+(SUMIF($T$258:$T$352,"FCC",D$265:D$369)/31/1.98)</f>
        <v>564.64646464646466</v>
      </c>
      <c r="E377" s="329"/>
      <c r="F377" s="352">
        <f>F$378+(SUMIF($T$258:$T$352,"FCI",F$265:F$369)/30/1.98)+(SUMIF($T$258:$T$352,"FCC",F$265:F$369)/30/1.98)</f>
        <v>801.5151515151515</v>
      </c>
      <c r="G377" s="352">
        <f>G$378+(SUMIF($T$258:$T$352,"FCI",G$265:G$369)/31/1.98)+(SUMIF($T$258:$T$352,"FCC",G$265:G$369)/31/1.98)</f>
        <v>800.24437927663735</v>
      </c>
      <c r="H377" s="352">
        <f>H$378+(SUMIF($T$258:$T$352,"FCI",H$265:H$369)/30/1.98)+(SUMIF($T$258:$T$352,"FCC",H$265:H$369)/30/1.98)</f>
        <v>789.56228956228961</v>
      </c>
      <c r="I377" s="350"/>
      <c r="J377" s="352">
        <f>J$378+(SUMIF($T$258:$T$352,"FCI",J$265:J$369)/31/1.98)+(SUMIF($T$258:$T$352,"FCC",J$265:J$369)/31/1.98)</f>
        <v>937.82991202346057</v>
      </c>
      <c r="K377" s="352">
        <f>K$378+(SUMIF($T$258:$T$352,"FCI",K$265:K$369)/31/1.98)+(SUMIF($T$258:$T$352,"FCC",K$265:K$369)/31/1.98)</f>
        <v>985.61420658194845</v>
      </c>
      <c r="L377" s="352">
        <f>L$378+(SUMIF($T$258:$T$352,"FCI",L$265:L$369)/30/1.98)+(SUMIF($T$258:$T$352,"FCC",L$265:L$369)/30/1.98)</f>
        <v>647.87878787878799</v>
      </c>
      <c r="M377" s="350"/>
      <c r="N377" s="352">
        <f>N$378+(SUMIF($T$258:$T$352,"FCI",N$265:N$369)/31/1.98)+(SUMIF($T$258:$T$352,"FCC",N$265:N$369)/31/1.98)</f>
        <v>289.49169110459434</v>
      </c>
      <c r="O377" s="352">
        <f>O$378+(SUMIF($T$258:$T$352,"FCI",O$265:O$369)/30/1.98)+(SUMIF($T$258:$T$352,"FCC",O$265:O$369)/30/1.98)</f>
        <v>130.25252525252526</v>
      </c>
      <c r="P377" s="352">
        <f>P$378+(SUMIF($T$258:$T$352,"FCI",P$265:P$369)/31/1.98)+(SUMIF($T$258:$T$352,"FCC",P$265:P$369)/31/1.98)</f>
        <v>214.28804170739653</v>
      </c>
      <c r="Q377" s="350"/>
      <c r="R377" s="350"/>
    </row>
    <row r="378" spans="1:18" ht="15.75" customHeight="1" x14ac:dyDescent="0.3">
      <c r="A378" s="351" t="s">
        <v>1013</v>
      </c>
      <c r="B378" s="352">
        <f>B$379+(SUMIF($T$258:$T$352,"PIL",B$265:B$369)/31/1.98)+(SUMIF($T$258:$T$352,"KLK",B$265:B$369)/31/1.98)</f>
        <v>374.9592701205604</v>
      </c>
      <c r="C378" s="352">
        <f>C$379+(SUMIF($T$258:$T$352,"PIL",C$265:C$369)/28/1.98)+(SUMIF($T$258:$T$352,"KLK",C$265:C$369)/28/1.98)</f>
        <v>455.66378066378064</v>
      </c>
      <c r="D378" s="352">
        <f>D$379+(SUMIF($T$258:$T$352,"PIL",D$265:D$369)/31/1.98)+(SUMIF($T$258:$T$352,"KLK",D$265:D$369)/31/1.98)</f>
        <v>564.64646464646466</v>
      </c>
      <c r="E378" s="329"/>
      <c r="F378" s="352">
        <f>F$379+(SUMIF($T$258:$T$352,"PIL",F$265:F$369)/30/1.98)+(SUMIF($T$258:$T$352,"KLK",F$265:F$369)/30/1.98)</f>
        <v>801.5151515151515</v>
      </c>
      <c r="G378" s="352">
        <f>G$379+(SUMIF($T$258:$T$352,"PIL",G$265:G$369)/31/1.98)+(SUMIF($T$258:$T$352,"KLK",G$265:G$369)/31/1.98)</f>
        <v>800.24437927663735</v>
      </c>
      <c r="H378" s="352">
        <f>H$379+(SUMIF($T$258:$T$352,"PIL",H$265:H$369)/30/1.98)+(SUMIF($T$258:$T$352,"KLK",H$265:H$369)/30/1.98)</f>
        <v>789.56228956228961</v>
      </c>
      <c r="I378" s="350"/>
      <c r="J378" s="352">
        <f>J$379+(SUMIF($T$258:$T$352,"PIL",J$265:J$369)/31/1.98)+(SUMIF($T$258:$T$352,"KLK",J$265:J$369)/31/1.98)</f>
        <v>937.82991202346057</v>
      </c>
      <c r="K378" s="352">
        <f>K$379+(SUMIF($T$258:$T$352,"PIL",K$265:K$369)/31/1.98)+(SUMIF($T$258:$T$352,"KLK",K$265:K$369)/31/1.98)</f>
        <v>985.61420658194845</v>
      </c>
      <c r="L378" s="352">
        <f>L$379+(SUMIF($T$258:$T$352,"PIL",L$265:L$369)/30/1.98)+(SUMIF($T$258:$T$352,"KLK",L$265:L$369)/30/1.98)</f>
        <v>647.87878787878799</v>
      </c>
      <c r="M378" s="350"/>
      <c r="N378" s="352">
        <f>N$379+(SUMIF($T$258:$T$352,"PIL",N$265:N$369)/31/1.98)+(SUMIF($T$258:$T$352,"KLK",N$265:N$369)/31/1.98)</f>
        <v>289.49169110459434</v>
      </c>
      <c r="O378" s="352">
        <f>O$379+(SUMIF($T$258:$T$352,"PIL",O$265:O$369)/30/1.98)+(SUMIF($T$258:$T$352,"KLK",O$265:O$369)/30/1.98)</f>
        <v>130.25252525252526</v>
      </c>
      <c r="P378" s="352">
        <f>P$379+(SUMIF($T$258:$T$352,"PIL",P$265:P$369)/31/1.98)+(SUMIF($T$258:$T$352,"KLK",P$265:P$369)/31/1.98)</f>
        <v>214.28804170739653</v>
      </c>
      <c r="Q378" s="350"/>
      <c r="R378" s="350"/>
    </row>
    <row r="379" spans="1:18" ht="15.75" customHeight="1" x14ac:dyDescent="0.3">
      <c r="A379" s="351" t="s">
        <v>1014</v>
      </c>
      <c r="B379" s="352">
        <f>B$380+(SUMIF($T$258:$T$352,"CGE",B$265:B$369)/31/1.98)</f>
        <v>374.9592701205604</v>
      </c>
      <c r="C379" s="352">
        <f>C$380+(SUMIF($T$258:$T$352,"CGE",C$265:C$369)/28/1.98)</f>
        <v>455.66378066378064</v>
      </c>
      <c r="D379" s="352">
        <f>D$380+(SUMIF($T$258:$T$352,"CGE",D$265:D$369)/31/1.98)</f>
        <v>564.64646464646466</v>
      </c>
      <c r="E379" s="329"/>
      <c r="F379" s="352">
        <f>F$380+(SUMIF($T$258:$T$352,"CGE",F$265:F$369)/30/1.98)</f>
        <v>801.5151515151515</v>
      </c>
      <c r="G379" s="352">
        <f>G$380+(SUMIF($T$258:$T$352,"CGE",G$265:G$369)/31/1.98)</f>
        <v>800.24437927663735</v>
      </c>
      <c r="H379" s="352">
        <f>H$380+(SUMIF($T$258:$T$352,"CGE",H$265:H$369)/30/1.98)</f>
        <v>789.56228956228961</v>
      </c>
      <c r="I379" s="350"/>
      <c r="J379" s="352">
        <f>J$380+(SUMIF($T$258:$T$352,"CGE",J$265:J$369)/31/1.98)</f>
        <v>937.82991202346057</v>
      </c>
      <c r="K379" s="352">
        <f>K$380+(SUMIF($T$258:$T$352,"CGE",K$265:K$369)/31/1.98)</f>
        <v>985.61420658194845</v>
      </c>
      <c r="L379" s="352">
        <f>L$380+(SUMIF($T$258:$T$352,"CGE",L$265:L$369)/30/1.98)</f>
        <v>647.87878787878799</v>
      </c>
      <c r="M379" s="350"/>
      <c r="N379" s="352">
        <f>N$380+(SUMIF($T$258:$T$352,"CGE",N$265:N$369)/31/1.98)</f>
        <v>289.49169110459434</v>
      </c>
      <c r="O379" s="352">
        <f>O$380+(SUMIF($T$258:$T$352,"CGE",O$265:O$369)/30/1.98)</f>
        <v>130.25252525252526</v>
      </c>
      <c r="P379" s="352">
        <f>P$380+(SUMIF($T$258:$T$352,"CGE",P$265:P$369)/31/1.98)</f>
        <v>214.28804170739653</v>
      </c>
      <c r="Q379" s="350"/>
      <c r="R379" s="350"/>
    </row>
    <row r="380" spans="1:18" ht="15.75" customHeight="1" x14ac:dyDescent="0.3">
      <c r="A380" s="351" t="s">
        <v>1015</v>
      </c>
      <c r="B380" s="352">
        <f>B$381+(SUMIF($T$258:$T$352,"SRO",B$265:B$369)/31/1.98)</f>
        <v>374.9592701205604</v>
      </c>
      <c r="C380" s="352">
        <f>C$381+(SUMIF($T$258:$T$352,"SRO",C$265:C$369)/28/1.98)</f>
        <v>455.66378066378064</v>
      </c>
      <c r="D380" s="352">
        <f>D$381+(SUMIF($T$258:$T$352,"SRO",D$265:D$369)/31/1.98)</f>
        <v>564.64646464646466</v>
      </c>
      <c r="E380" s="329"/>
      <c r="F380" s="352">
        <f>F$381+(SUMIF($T$258:$T$352,"SRO",F$265:F$369)/30/1.98)</f>
        <v>801.5151515151515</v>
      </c>
      <c r="G380" s="352">
        <f>G$381+(SUMIF($T$258:$T$352,"SRO",G$265:G$369)/31/1.98)</f>
        <v>800.24437927663735</v>
      </c>
      <c r="H380" s="352">
        <f>H$381+(SUMIF($T$258:$T$352,"SRO",H$265:H$369)/30/1.98)</f>
        <v>789.56228956228961</v>
      </c>
      <c r="I380" s="350"/>
      <c r="J380" s="352">
        <f>J$381+(SUMIF($T$258:$T$352,"SRO",J$265:J$369)/31/1.98)</f>
        <v>937.82991202346057</v>
      </c>
      <c r="K380" s="352">
        <f>K$381+(SUMIF($T$258:$T$352,"SRO",K$265:K$369)/31/1.98)</f>
        <v>985.61420658194845</v>
      </c>
      <c r="L380" s="352">
        <f>L$381+(SUMIF($T$258:$T$352,"SRO",L$265:L$369)/30/1.98)</f>
        <v>647.87878787878799</v>
      </c>
      <c r="M380" s="350"/>
      <c r="N380" s="352">
        <f>N$381+(SUMIF($T$258:$T$352,"SRO",N$265:N$369)/31/1.98)</f>
        <v>289.49169110459434</v>
      </c>
      <c r="O380" s="352">
        <f>O$381+(SUMIF($T$258:$T$352,"SRO",O$265:O$369)/30/1.98)</f>
        <v>130.25252525252526</v>
      </c>
      <c r="P380" s="352">
        <f>P$381+(SUMIF($T$258:$T$352,"SRO",P$265:P$369)/31/1.98)</f>
        <v>214.28804170739653</v>
      </c>
      <c r="Q380" s="350"/>
      <c r="R380" s="350"/>
    </row>
    <row r="381" spans="1:18" ht="15.75" customHeight="1" x14ac:dyDescent="0.3">
      <c r="A381" s="351" t="s">
        <v>130</v>
      </c>
      <c r="B381" s="352">
        <f>B$419/31/1.98</f>
        <v>340.72987943955684</v>
      </c>
      <c r="C381" s="352">
        <f>C$419/28/1.98</f>
        <v>407.55772005772002</v>
      </c>
      <c r="D381" s="352">
        <f>D$419/31/1.98</f>
        <v>443.35288367546434</v>
      </c>
      <c r="E381" s="353"/>
      <c r="F381" s="352">
        <f>F$419/30/1.98</f>
        <v>576.93602693602691</v>
      </c>
      <c r="G381" s="352">
        <f>G$419/31/1.98</f>
        <v>511.40436624307597</v>
      </c>
      <c r="H381" s="352">
        <f>H$419/30/1.98</f>
        <v>616.78451178451178</v>
      </c>
      <c r="I381" s="450"/>
      <c r="J381" s="352">
        <f>J$419/31/1.98</f>
        <v>774.56826327794079</v>
      </c>
      <c r="K381" s="352">
        <f>K$419/31/1.98</f>
        <v>800.26067122841312</v>
      </c>
      <c r="L381" s="352">
        <f>L$419/30/1.98</f>
        <v>488.67003367003372</v>
      </c>
      <c r="M381" s="451"/>
      <c r="N381" s="352">
        <f>N$419/31/1.98</f>
        <v>278.77158683610298</v>
      </c>
      <c r="O381" s="352">
        <f>O$419/30/1.98</f>
        <v>128.14814814814815</v>
      </c>
      <c r="P381" s="352">
        <f>P$419/31/1.98</f>
        <v>213.48973607038121</v>
      </c>
      <c r="Q381" s="451"/>
      <c r="R381" s="350"/>
    </row>
    <row r="382" spans="1:18" ht="15.75" customHeight="1" thickBot="1" x14ac:dyDescent="0.35">
      <c r="A382" s="18"/>
      <c r="B382" s="172"/>
      <c r="C382" s="172"/>
      <c r="D382" s="172"/>
      <c r="E382" s="172"/>
      <c r="F382" s="172"/>
      <c r="G382" s="172"/>
      <c r="H382" s="172"/>
      <c r="I382" s="172"/>
      <c r="J382" s="172"/>
      <c r="K382" s="172"/>
      <c r="L382" s="172"/>
      <c r="M382" s="172"/>
      <c r="N382" s="172"/>
      <c r="O382" s="172"/>
      <c r="P382" s="172"/>
      <c r="Q382" s="172"/>
      <c r="R382" s="17"/>
    </row>
    <row r="383" spans="1:18" ht="16.5" customHeight="1" thickBot="1" x14ac:dyDescent="0.35">
      <c r="A383" s="240" t="s">
        <v>813</v>
      </c>
      <c r="B383" s="4" t="s">
        <v>2090</v>
      </c>
      <c r="C383" s="5" t="s">
        <v>2091</v>
      </c>
      <c r="D383" s="5" t="s">
        <v>2234</v>
      </c>
      <c r="E383" s="33" t="s">
        <v>1594</v>
      </c>
      <c r="F383" s="5" t="s">
        <v>2235</v>
      </c>
      <c r="G383" s="5" t="s">
        <v>2236</v>
      </c>
      <c r="H383" s="5" t="s">
        <v>2237</v>
      </c>
      <c r="I383" s="35" t="s">
        <v>1595</v>
      </c>
      <c r="J383" s="5" t="s">
        <v>1504</v>
      </c>
      <c r="K383" s="5" t="s">
        <v>1505</v>
      </c>
      <c r="L383" s="5" t="s">
        <v>1506</v>
      </c>
      <c r="M383" s="35" t="s">
        <v>1596</v>
      </c>
      <c r="N383" s="5" t="s">
        <v>1507</v>
      </c>
      <c r="O383" s="5" t="s">
        <v>1508</v>
      </c>
      <c r="P383" s="5" t="s">
        <v>1509</v>
      </c>
      <c r="Q383" s="35" t="s">
        <v>1597</v>
      </c>
      <c r="R383" s="36" t="s">
        <v>1510</v>
      </c>
    </row>
    <row r="384" spans="1:18" ht="16.5" customHeight="1" thickBot="1" x14ac:dyDescent="0.35">
      <c r="A384" s="37"/>
      <c r="B384" s="258"/>
      <c r="C384" s="258"/>
      <c r="D384" s="258"/>
      <c r="E384" s="254"/>
      <c r="F384" s="258"/>
      <c r="G384" s="258"/>
      <c r="H384" s="258"/>
      <c r="I384" s="265"/>
      <c r="J384" s="258"/>
      <c r="K384" s="258"/>
      <c r="L384" s="258"/>
      <c r="M384" s="265"/>
      <c r="N384" s="258"/>
      <c r="O384" s="258"/>
      <c r="P384" s="258"/>
      <c r="Q384" s="265"/>
      <c r="R384" s="52"/>
    </row>
    <row r="385" spans="1:18" ht="15.75" customHeight="1" x14ac:dyDescent="0.3">
      <c r="A385" s="234" t="s">
        <v>2417</v>
      </c>
      <c r="B385" s="172" t="s">
        <v>852</v>
      </c>
      <c r="C385" s="172" t="s">
        <v>852</v>
      </c>
      <c r="D385" s="172" t="s">
        <v>852</v>
      </c>
      <c r="E385" s="38" t="s">
        <v>852</v>
      </c>
      <c r="F385" s="172" t="s">
        <v>852</v>
      </c>
      <c r="G385" s="172" t="s">
        <v>852</v>
      </c>
      <c r="H385" s="172" t="s">
        <v>852</v>
      </c>
      <c r="I385" s="38" t="s">
        <v>852</v>
      </c>
      <c r="J385" s="172" t="s">
        <v>852</v>
      </c>
      <c r="K385" s="172" t="s">
        <v>852</v>
      </c>
      <c r="L385" s="172" t="s">
        <v>852</v>
      </c>
      <c r="M385" s="38" t="s">
        <v>852</v>
      </c>
      <c r="N385" s="172" t="s">
        <v>852</v>
      </c>
      <c r="O385" s="172" t="s">
        <v>852</v>
      </c>
      <c r="P385" s="172" t="s">
        <v>852</v>
      </c>
      <c r="Q385" s="38" t="s">
        <v>852</v>
      </c>
      <c r="R385" s="38" t="s">
        <v>852</v>
      </c>
    </row>
    <row r="386" spans="1:18" ht="15.75" customHeight="1" x14ac:dyDescent="0.3">
      <c r="A386" s="234" t="s">
        <v>2160</v>
      </c>
      <c r="B386" s="172"/>
      <c r="C386" s="172"/>
      <c r="D386" s="172"/>
      <c r="E386" s="38" t="s">
        <v>852</v>
      </c>
      <c r="F386" s="172"/>
      <c r="G386" s="172"/>
      <c r="H386" s="172"/>
      <c r="I386" s="38" t="s">
        <v>852</v>
      </c>
      <c r="J386" s="172"/>
      <c r="K386" s="172"/>
      <c r="L386" s="172"/>
      <c r="M386" s="38" t="s">
        <v>852</v>
      </c>
      <c r="N386" s="172"/>
      <c r="O386" s="172"/>
      <c r="P386" s="172"/>
      <c r="Q386" s="38" t="s">
        <v>852</v>
      </c>
      <c r="R386" s="38" t="s">
        <v>852</v>
      </c>
    </row>
    <row r="387" spans="1:18" ht="15.75" customHeight="1" x14ac:dyDescent="0.3">
      <c r="A387" s="266" t="s">
        <v>331</v>
      </c>
      <c r="B387" s="172">
        <v>0</v>
      </c>
      <c r="C387" s="172">
        <v>0</v>
      </c>
      <c r="D387" s="172">
        <v>0</v>
      </c>
      <c r="E387" s="38">
        <f>SUM(B387:D387)</f>
        <v>0</v>
      </c>
      <c r="F387" s="172">
        <v>1583</v>
      </c>
      <c r="G387" s="172">
        <v>5</v>
      </c>
      <c r="H387" s="172">
        <v>11</v>
      </c>
      <c r="I387" s="38">
        <f>SUM(F387:H387)</f>
        <v>1599</v>
      </c>
      <c r="J387" s="172">
        <v>7</v>
      </c>
      <c r="K387" s="172">
        <v>12</v>
      </c>
      <c r="L387" s="172">
        <v>3</v>
      </c>
      <c r="M387" s="38">
        <f>SUM(J387:L387)</f>
        <v>22</v>
      </c>
      <c r="N387" s="172">
        <v>3</v>
      </c>
      <c r="O387" s="172">
        <v>1</v>
      </c>
      <c r="P387" s="172">
        <v>0</v>
      </c>
      <c r="Q387" s="38">
        <f>SUM(N387:P387)</f>
        <v>4</v>
      </c>
      <c r="R387" s="38">
        <f>+E387+I387+M387+Q387</f>
        <v>1625</v>
      </c>
    </row>
    <row r="388" spans="1:18" ht="15.75" customHeight="1" x14ac:dyDescent="0.3">
      <c r="A388" s="256" t="s">
        <v>1161</v>
      </c>
      <c r="B388" s="172">
        <v>0</v>
      </c>
      <c r="C388" s="172">
        <v>0</v>
      </c>
      <c r="D388" s="172">
        <v>0</v>
      </c>
      <c r="E388" s="38">
        <f>SUM(B388:D388)</f>
        <v>0</v>
      </c>
      <c r="F388" s="172">
        <v>2048</v>
      </c>
      <c r="G388" s="172">
        <v>0</v>
      </c>
      <c r="H388" s="172">
        <v>0</v>
      </c>
      <c r="I388" s="38">
        <f>SUM(F388:H388)</f>
        <v>2048</v>
      </c>
      <c r="J388" s="172">
        <v>0</v>
      </c>
      <c r="K388" s="172">
        <v>0</v>
      </c>
      <c r="L388" s="172">
        <v>0</v>
      </c>
      <c r="M388" s="38">
        <f>SUM(J388:L388)</f>
        <v>0</v>
      </c>
      <c r="N388" s="172">
        <v>0</v>
      </c>
      <c r="O388" s="172">
        <v>0</v>
      </c>
      <c r="P388" s="172">
        <v>0</v>
      </c>
      <c r="Q388" s="38">
        <f>SUM(N388:P388)</f>
        <v>0</v>
      </c>
      <c r="R388" s="38">
        <f>+E388+I388+M388+Q388</f>
        <v>2048</v>
      </c>
    </row>
    <row r="389" spans="1:18" ht="15.75" customHeight="1" x14ac:dyDescent="0.3">
      <c r="A389" s="234" t="s">
        <v>2161</v>
      </c>
      <c r="B389" s="172"/>
      <c r="C389" s="172"/>
      <c r="D389" s="172"/>
      <c r="E389" s="38" t="s">
        <v>852</v>
      </c>
      <c r="F389" s="172"/>
      <c r="G389" s="172"/>
      <c r="H389" s="172"/>
      <c r="I389" s="38" t="s">
        <v>852</v>
      </c>
      <c r="J389" s="172"/>
      <c r="K389" s="172"/>
      <c r="L389" s="172"/>
      <c r="M389" s="38" t="s">
        <v>852</v>
      </c>
      <c r="N389" s="172"/>
      <c r="O389" s="172"/>
      <c r="P389" s="172"/>
      <c r="Q389" s="38" t="s">
        <v>852</v>
      </c>
      <c r="R389" s="38" t="s">
        <v>852</v>
      </c>
    </row>
    <row r="390" spans="1:18" ht="15.75" customHeight="1" x14ac:dyDescent="0.3">
      <c r="A390" s="266" t="s">
        <v>331</v>
      </c>
      <c r="B390" s="172">
        <v>0</v>
      </c>
      <c r="C390" s="172">
        <v>0</v>
      </c>
      <c r="D390" s="172">
        <v>0</v>
      </c>
      <c r="E390" s="38">
        <f>SUM(B390:D390)</f>
        <v>0</v>
      </c>
      <c r="F390" s="172">
        <v>0</v>
      </c>
      <c r="G390" s="172">
        <v>0</v>
      </c>
      <c r="H390" s="172">
        <v>0</v>
      </c>
      <c r="I390" s="38">
        <f>SUM(F390:H390)</f>
        <v>0</v>
      </c>
      <c r="J390" s="172">
        <v>0</v>
      </c>
      <c r="K390" s="172">
        <v>0</v>
      </c>
      <c r="L390" s="172">
        <v>0</v>
      </c>
      <c r="M390" s="38">
        <f>SUM(J390:L390)</f>
        <v>0</v>
      </c>
      <c r="N390" s="172">
        <v>0</v>
      </c>
      <c r="O390" s="172">
        <v>0</v>
      </c>
      <c r="P390" s="172">
        <v>0</v>
      </c>
      <c r="Q390" s="38">
        <f>SUM(N390:P390)</f>
        <v>0</v>
      </c>
      <c r="R390" s="38">
        <f>+E390+I390+M390+Q390</f>
        <v>0</v>
      </c>
    </row>
    <row r="391" spans="1:18" ht="15.75" customHeight="1" x14ac:dyDescent="0.3">
      <c r="A391" s="310" t="s">
        <v>1065</v>
      </c>
      <c r="B391" s="10">
        <v>0</v>
      </c>
      <c r="C391" s="10">
        <v>0</v>
      </c>
      <c r="D391" s="10">
        <v>0</v>
      </c>
      <c r="E391" s="38">
        <f>SUM(B391:D391)</f>
        <v>0</v>
      </c>
      <c r="F391" s="10">
        <v>0</v>
      </c>
      <c r="G391" s="10">
        <v>0</v>
      </c>
      <c r="H391" s="10">
        <v>0</v>
      </c>
      <c r="I391" s="38">
        <f>SUM(F391:H391)</f>
        <v>0</v>
      </c>
      <c r="J391" s="10">
        <v>0</v>
      </c>
      <c r="K391" s="10"/>
      <c r="L391" s="10">
        <v>0</v>
      </c>
      <c r="M391" s="38">
        <f>SUM(J391:L391)</f>
        <v>0</v>
      </c>
      <c r="N391" s="10">
        <v>0</v>
      </c>
      <c r="O391" s="10">
        <v>0</v>
      </c>
      <c r="P391" s="10">
        <v>1</v>
      </c>
      <c r="Q391" s="38">
        <f>SUM(N391:P391)</f>
        <v>1</v>
      </c>
      <c r="R391" s="38">
        <f>+E391+I391+M391+Q391</f>
        <v>1</v>
      </c>
    </row>
    <row r="392" spans="1:18" ht="15.75" customHeight="1" x14ac:dyDescent="0.3">
      <c r="A392" s="266" t="s">
        <v>355</v>
      </c>
      <c r="B392" s="172">
        <v>0</v>
      </c>
      <c r="C392" s="172">
        <v>0</v>
      </c>
      <c r="D392" s="172">
        <v>0</v>
      </c>
      <c r="E392" s="38">
        <f>SUM(B392:D392)</f>
        <v>0</v>
      </c>
      <c r="F392" s="172">
        <v>0</v>
      </c>
      <c r="G392" s="172">
        <v>0</v>
      </c>
      <c r="H392" s="172">
        <v>1</v>
      </c>
      <c r="I392" s="38">
        <f>SUM(F392:H392)</f>
        <v>1</v>
      </c>
      <c r="J392" s="172">
        <v>0</v>
      </c>
      <c r="K392" s="172">
        <v>4</v>
      </c>
      <c r="L392" s="172">
        <v>3</v>
      </c>
      <c r="M392" s="38">
        <f>SUM(J392:L392)</f>
        <v>7</v>
      </c>
      <c r="N392" s="172">
        <v>0</v>
      </c>
      <c r="O392" s="172">
        <v>0</v>
      </c>
      <c r="P392" s="172">
        <v>0</v>
      </c>
      <c r="Q392" s="38">
        <f>SUM(N392:P392)</f>
        <v>0</v>
      </c>
      <c r="R392" s="38">
        <f>+E392+I392+M392+Q392</f>
        <v>8</v>
      </c>
    </row>
    <row r="393" spans="1:18" ht="15.75" customHeight="1" x14ac:dyDescent="0.3">
      <c r="A393" s="234" t="s">
        <v>2162</v>
      </c>
      <c r="B393" s="172"/>
      <c r="C393" s="172"/>
      <c r="D393" s="172"/>
      <c r="E393" s="38" t="s">
        <v>852</v>
      </c>
      <c r="F393" s="172"/>
      <c r="G393" s="172"/>
      <c r="H393" s="172"/>
      <c r="I393" s="38" t="s">
        <v>852</v>
      </c>
      <c r="J393" s="172"/>
      <c r="K393" s="172"/>
      <c r="L393" s="172"/>
      <c r="M393" s="38" t="s">
        <v>852</v>
      </c>
      <c r="N393" s="172"/>
      <c r="O393" s="172"/>
      <c r="P393" s="172"/>
      <c r="Q393" s="38" t="s">
        <v>852</v>
      </c>
      <c r="R393" s="38" t="s">
        <v>852</v>
      </c>
    </row>
    <row r="394" spans="1:18" ht="15.75" customHeight="1" thickBot="1" x14ac:dyDescent="0.35">
      <c r="A394" s="234" t="s">
        <v>2164</v>
      </c>
      <c r="B394" s="172"/>
      <c r="C394" s="172"/>
      <c r="D394" s="172"/>
      <c r="E394" s="38" t="s">
        <v>852</v>
      </c>
      <c r="F394" s="172"/>
      <c r="G394" s="172"/>
      <c r="H394" s="172"/>
      <c r="I394" s="38" t="s">
        <v>852</v>
      </c>
      <c r="J394" s="172"/>
      <c r="K394" s="172"/>
      <c r="L394" s="172"/>
      <c r="M394" s="38" t="s">
        <v>852</v>
      </c>
      <c r="N394" s="172"/>
      <c r="O394" s="172"/>
      <c r="P394" s="172"/>
      <c r="Q394" s="38" t="s">
        <v>852</v>
      </c>
      <c r="R394" s="38" t="s">
        <v>852</v>
      </c>
    </row>
    <row r="395" spans="1:18" ht="16.5" customHeight="1" thickBot="1" x14ac:dyDescent="0.35">
      <c r="A395" s="276" t="s">
        <v>1218</v>
      </c>
      <c r="B395" s="45">
        <f>SUM(B385:B394)</f>
        <v>0</v>
      </c>
      <c r="C395" s="46">
        <f>SUM(C385:C394)</f>
        <v>0</v>
      </c>
      <c r="D395" s="46">
        <f>SUM(D385:D394)</f>
        <v>0</v>
      </c>
      <c r="E395" s="37">
        <f>SUM(B395:D395)</f>
        <v>0</v>
      </c>
      <c r="F395" s="46">
        <f>SUM(F385:F394)</f>
        <v>3631</v>
      </c>
      <c r="G395" s="46">
        <f>SUM(G385:G394)</f>
        <v>5</v>
      </c>
      <c r="H395" s="46">
        <f>SUM(H385:H394)</f>
        <v>12</v>
      </c>
      <c r="I395" s="37">
        <f>SUM(F395:H395)</f>
        <v>3648</v>
      </c>
      <c r="J395" s="46">
        <f>SUM(J385:J394)</f>
        <v>7</v>
      </c>
      <c r="K395" s="46">
        <f>SUM(K385:K394)</f>
        <v>16</v>
      </c>
      <c r="L395" s="46">
        <f>SUM(L385:L394)</f>
        <v>6</v>
      </c>
      <c r="M395" s="37">
        <f>SUM(J395:L395)</f>
        <v>29</v>
      </c>
      <c r="N395" s="46">
        <f>SUM(N385:N394)</f>
        <v>3</v>
      </c>
      <c r="O395" s="46">
        <f>SUM(O385:O394)</f>
        <v>1</v>
      </c>
      <c r="P395" s="46">
        <f>SUM(P385:P394)</f>
        <v>1</v>
      </c>
      <c r="Q395" s="37">
        <f>SUM(N395:P395)</f>
        <v>5</v>
      </c>
      <c r="R395" s="37">
        <f>+E395+I395+M395+Q395</f>
        <v>3682</v>
      </c>
    </row>
    <row r="396" spans="1:18" ht="15.75" customHeight="1" x14ac:dyDescent="0.3">
      <c r="A396" s="234" t="s">
        <v>1172</v>
      </c>
      <c r="B396" s="172"/>
      <c r="C396" s="172"/>
      <c r="D396" s="172"/>
      <c r="E396" s="38" t="s">
        <v>852</v>
      </c>
      <c r="F396" s="172"/>
      <c r="G396" s="172"/>
      <c r="H396" s="172"/>
      <c r="I396" s="38" t="s">
        <v>852</v>
      </c>
      <c r="J396" s="172"/>
      <c r="K396" s="172"/>
      <c r="L396" s="172"/>
      <c r="M396" s="38" t="s">
        <v>852</v>
      </c>
      <c r="N396" s="172" t="s">
        <v>852</v>
      </c>
      <c r="O396" s="172"/>
      <c r="P396" s="172"/>
      <c r="Q396" s="38" t="s">
        <v>852</v>
      </c>
      <c r="R396" s="38" t="s">
        <v>852</v>
      </c>
    </row>
    <row r="397" spans="1:18" ht="15.75" customHeight="1" x14ac:dyDescent="0.3">
      <c r="A397" s="234" t="s">
        <v>2409</v>
      </c>
      <c r="B397" s="172"/>
      <c r="C397" s="172"/>
      <c r="D397" s="172"/>
      <c r="E397" s="38" t="s">
        <v>852</v>
      </c>
      <c r="F397" s="172"/>
      <c r="G397" s="172"/>
      <c r="H397" s="172"/>
      <c r="I397" s="38" t="s">
        <v>852</v>
      </c>
      <c r="J397" s="172"/>
      <c r="K397" s="172"/>
      <c r="L397" s="172"/>
      <c r="M397" s="38" t="s">
        <v>852</v>
      </c>
      <c r="N397" s="172"/>
      <c r="O397" s="172"/>
      <c r="P397" s="172"/>
      <c r="Q397" s="38" t="s">
        <v>852</v>
      </c>
      <c r="R397" s="38" t="s">
        <v>852</v>
      </c>
    </row>
    <row r="398" spans="1:18" ht="15.75" customHeight="1" x14ac:dyDescent="0.3">
      <c r="A398" s="266" t="s">
        <v>473</v>
      </c>
      <c r="B398" s="10">
        <v>4</v>
      </c>
      <c r="C398" s="10">
        <v>110</v>
      </c>
      <c r="D398" s="10">
        <v>2668</v>
      </c>
      <c r="E398" s="38">
        <f>SUM(B398:D398)</f>
        <v>2782</v>
      </c>
      <c r="F398" s="10">
        <v>1713</v>
      </c>
      <c r="G398" s="10">
        <v>4237</v>
      </c>
      <c r="H398" s="10">
        <f>14790-535</f>
        <v>14255</v>
      </c>
      <c r="I398" s="38">
        <f>SUM(F398:H398)</f>
        <v>20205</v>
      </c>
      <c r="J398" s="10">
        <f>19590-603</f>
        <v>18987</v>
      </c>
      <c r="K398" s="10">
        <v>8720</v>
      </c>
      <c r="L398" s="10">
        <v>0</v>
      </c>
      <c r="M398" s="38">
        <f>SUM(J398:L398)</f>
        <v>27707</v>
      </c>
      <c r="N398" s="10">
        <v>0</v>
      </c>
      <c r="O398" s="10">
        <v>0</v>
      </c>
      <c r="P398" s="10">
        <v>0</v>
      </c>
      <c r="Q398" s="38">
        <f>SUM(N398:P398)</f>
        <v>0</v>
      </c>
      <c r="R398" s="38">
        <f>+E398+I398+M398+Q398</f>
        <v>50694</v>
      </c>
    </row>
    <row r="399" spans="1:18" ht="15.75" customHeight="1" thickBot="1" x14ac:dyDescent="0.35">
      <c r="A399" s="234" t="s">
        <v>2165</v>
      </c>
      <c r="B399" s="172"/>
      <c r="C399" s="172"/>
      <c r="D399" s="172"/>
      <c r="E399" s="38" t="s">
        <v>852</v>
      </c>
      <c r="F399" s="172"/>
      <c r="G399" s="172"/>
      <c r="H399" s="172"/>
      <c r="I399" s="38" t="s">
        <v>852</v>
      </c>
      <c r="J399" s="172"/>
      <c r="K399" s="172"/>
      <c r="L399" s="172"/>
      <c r="M399" s="38" t="s">
        <v>852</v>
      </c>
      <c r="N399" s="172"/>
      <c r="O399" s="172"/>
      <c r="P399" s="172"/>
      <c r="Q399" s="38" t="s">
        <v>852</v>
      </c>
      <c r="R399" s="38" t="s">
        <v>852</v>
      </c>
    </row>
    <row r="400" spans="1:18" ht="16.5" customHeight="1" thickBot="1" x14ac:dyDescent="0.35">
      <c r="A400" s="43" t="s">
        <v>1219</v>
      </c>
      <c r="B400" s="45">
        <f>SUM(B396:B399)</f>
        <v>4</v>
      </c>
      <c r="C400" s="46">
        <f>SUM(C396:C399)</f>
        <v>110</v>
      </c>
      <c r="D400" s="46">
        <f>SUM(D396:D399)</f>
        <v>2668</v>
      </c>
      <c r="E400" s="37">
        <f>SUM(B400:D400)</f>
        <v>2782</v>
      </c>
      <c r="F400" s="46">
        <f>SUM(F396:F399)</f>
        <v>1713</v>
      </c>
      <c r="G400" s="46">
        <f>SUM(G396:G399)</f>
        <v>4237</v>
      </c>
      <c r="H400" s="46">
        <f>SUM(H396:H399)</f>
        <v>14255</v>
      </c>
      <c r="I400" s="37">
        <f>SUM(F400:H400)</f>
        <v>20205</v>
      </c>
      <c r="J400" s="46">
        <f>SUM(J396:J399)</f>
        <v>18987</v>
      </c>
      <c r="K400" s="46">
        <f>SUM(K396:K399)</f>
        <v>8720</v>
      </c>
      <c r="L400" s="46">
        <f>SUM(L396:L399)</f>
        <v>0</v>
      </c>
      <c r="M400" s="37">
        <f>SUM(J400:L400)</f>
        <v>27707</v>
      </c>
      <c r="N400" s="46">
        <f>SUM(N396:N399)</f>
        <v>0</v>
      </c>
      <c r="O400" s="46">
        <f>SUM(O396:O399)</f>
        <v>0</v>
      </c>
      <c r="P400" s="46">
        <f>SUM(P396:P399)</f>
        <v>0</v>
      </c>
      <c r="Q400" s="37">
        <f>SUM(N400:P400)</f>
        <v>0</v>
      </c>
      <c r="R400" s="37">
        <f>+E400+I400+M400+Q400</f>
        <v>50694</v>
      </c>
    </row>
    <row r="401" spans="1:18" ht="15.75" customHeight="1" x14ac:dyDescent="0.3">
      <c r="A401" s="234" t="s">
        <v>2166</v>
      </c>
      <c r="B401" s="172"/>
      <c r="C401" s="172"/>
      <c r="D401" s="172"/>
      <c r="E401" s="38" t="s">
        <v>852</v>
      </c>
      <c r="F401" s="172"/>
      <c r="G401" s="172"/>
      <c r="H401" s="172"/>
      <c r="I401" s="38" t="s">
        <v>852</v>
      </c>
      <c r="J401" s="172"/>
      <c r="K401" s="172"/>
      <c r="L401" s="172"/>
      <c r="M401" s="38" t="s">
        <v>852</v>
      </c>
      <c r="N401" s="172"/>
      <c r="O401" s="172"/>
      <c r="P401" s="172"/>
      <c r="Q401" s="38" t="s">
        <v>852</v>
      </c>
      <c r="R401" s="38" t="s">
        <v>852</v>
      </c>
    </row>
    <row r="402" spans="1:18" ht="15.75" customHeight="1" x14ac:dyDescent="0.3">
      <c r="A402" s="234" t="s">
        <v>1245</v>
      </c>
      <c r="B402" s="172"/>
      <c r="C402" s="172"/>
      <c r="D402" s="172"/>
      <c r="E402" s="38" t="s">
        <v>852</v>
      </c>
      <c r="F402" s="172"/>
      <c r="G402" s="172"/>
      <c r="H402" s="172"/>
      <c r="I402" s="38" t="s">
        <v>852</v>
      </c>
      <c r="J402" s="172"/>
      <c r="K402" s="172"/>
      <c r="L402" s="172"/>
      <c r="M402" s="38" t="s">
        <v>852</v>
      </c>
      <c r="N402" s="172"/>
      <c r="O402" s="172"/>
      <c r="P402" s="172"/>
      <c r="Q402" s="38" t="s">
        <v>852</v>
      </c>
      <c r="R402" s="38" t="s">
        <v>852</v>
      </c>
    </row>
    <row r="403" spans="1:18" ht="15.75" customHeight="1" thickBot="1" x14ac:dyDescent="0.35">
      <c r="A403" s="234" t="s">
        <v>1711</v>
      </c>
      <c r="B403" s="172"/>
      <c r="C403" s="172"/>
      <c r="D403" s="172"/>
      <c r="E403" s="38" t="s">
        <v>852</v>
      </c>
      <c r="F403" s="172"/>
      <c r="G403" s="172"/>
      <c r="H403" s="172"/>
      <c r="I403" s="38" t="s">
        <v>852</v>
      </c>
      <c r="J403" s="172"/>
      <c r="K403" s="172"/>
      <c r="L403" s="172"/>
      <c r="M403" s="38" t="s">
        <v>852</v>
      </c>
      <c r="N403" s="172"/>
      <c r="O403" s="172"/>
      <c r="P403" s="172"/>
      <c r="Q403" s="38" t="s">
        <v>852</v>
      </c>
      <c r="R403" s="38" t="s">
        <v>852</v>
      </c>
    </row>
    <row r="404" spans="1:18" ht="16.5" customHeight="1" thickBot="1" x14ac:dyDescent="0.35">
      <c r="A404" s="277" t="s">
        <v>1220</v>
      </c>
      <c r="B404" s="45">
        <f>SUM(B401:B403)</f>
        <v>0</v>
      </c>
      <c r="C404" s="46">
        <f>SUM(C401:C403)</f>
        <v>0</v>
      </c>
      <c r="D404" s="46">
        <f>SUM(D401:D403)</f>
        <v>0</v>
      </c>
      <c r="E404" s="37">
        <f>SUM(B404:D404)</f>
        <v>0</v>
      </c>
      <c r="F404" s="46">
        <f>SUM(F401:F403)</f>
        <v>0</v>
      </c>
      <c r="G404" s="46">
        <f>SUM(G401:G403)</f>
        <v>0</v>
      </c>
      <c r="H404" s="46">
        <f>SUM(H401:H403)</f>
        <v>0</v>
      </c>
      <c r="I404" s="37">
        <f>SUM(F404:H404)</f>
        <v>0</v>
      </c>
      <c r="J404" s="46">
        <f>SUM(J401:J403)</f>
        <v>0</v>
      </c>
      <c r="K404" s="46">
        <f>SUM(K401:K403)</f>
        <v>0</v>
      </c>
      <c r="L404" s="46">
        <f>SUM(L401:L403)</f>
        <v>0</v>
      </c>
      <c r="M404" s="37">
        <f>SUM(J404:L404)</f>
        <v>0</v>
      </c>
      <c r="N404" s="46">
        <f>SUM(N401:N403)</f>
        <v>0</v>
      </c>
      <c r="O404" s="46">
        <f>SUM(O401:O403)</f>
        <v>0</v>
      </c>
      <c r="P404" s="46">
        <f>SUM(P401:P403)</f>
        <v>0</v>
      </c>
      <c r="Q404" s="37">
        <f>SUM(N404:P404)</f>
        <v>0</v>
      </c>
      <c r="R404" s="37">
        <f>+E404+I404+M404+Q404</f>
        <v>0</v>
      </c>
    </row>
    <row r="405" spans="1:18" ht="15.75" customHeight="1" x14ac:dyDescent="0.3">
      <c r="A405" s="234" t="s">
        <v>1712</v>
      </c>
      <c r="B405" s="172"/>
      <c r="C405" s="172"/>
      <c r="D405" s="172"/>
      <c r="E405" s="38" t="s">
        <v>852</v>
      </c>
      <c r="F405" s="172"/>
      <c r="G405" s="172"/>
      <c r="H405" s="172"/>
      <c r="I405" s="38" t="s">
        <v>852</v>
      </c>
      <c r="J405" s="172"/>
      <c r="K405" s="172"/>
      <c r="L405" s="172"/>
      <c r="M405" s="38" t="s">
        <v>852</v>
      </c>
      <c r="N405" s="172"/>
      <c r="O405" s="172"/>
      <c r="P405" s="172"/>
      <c r="Q405" s="38" t="s">
        <v>852</v>
      </c>
      <c r="R405" s="38" t="s">
        <v>852</v>
      </c>
    </row>
    <row r="406" spans="1:18" ht="15.75" customHeight="1" x14ac:dyDescent="0.3">
      <c r="A406" s="234" t="s">
        <v>1021</v>
      </c>
      <c r="B406" s="172"/>
      <c r="C406" s="172"/>
      <c r="D406" s="172"/>
      <c r="E406" s="38" t="s">
        <v>852</v>
      </c>
      <c r="F406" s="172"/>
      <c r="G406" s="172"/>
      <c r="H406" s="172"/>
      <c r="I406" s="38" t="s">
        <v>852</v>
      </c>
      <c r="J406" s="172"/>
      <c r="K406" s="172"/>
      <c r="L406" s="172"/>
      <c r="M406" s="38" t="s">
        <v>852</v>
      </c>
      <c r="N406" s="172"/>
      <c r="O406" s="172"/>
      <c r="P406" s="172"/>
      <c r="Q406" s="38" t="s">
        <v>852</v>
      </c>
      <c r="R406" s="38" t="s">
        <v>852</v>
      </c>
    </row>
    <row r="407" spans="1:18" ht="15.75" customHeight="1" x14ac:dyDescent="0.3">
      <c r="A407" s="234" t="s">
        <v>557</v>
      </c>
      <c r="B407" s="172"/>
      <c r="C407" s="172"/>
      <c r="D407" s="172"/>
      <c r="E407" s="38" t="s">
        <v>852</v>
      </c>
      <c r="F407" s="172"/>
      <c r="G407" s="172"/>
      <c r="H407" s="172"/>
      <c r="I407" s="38" t="s">
        <v>852</v>
      </c>
      <c r="J407" s="172"/>
      <c r="K407" s="172"/>
      <c r="L407" s="172"/>
      <c r="M407" s="38" t="s">
        <v>852</v>
      </c>
      <c r="N407" s="172"/>
      <c r="O407" s="172"/>
      <c r="P407" s="172"/>
      <c r="Q407" s="38" t="s">
        <v>852</v>
      </c>
      <c r="R407" s="38" t="s">
        <v>852</v>
      </c>
    </row>
    <row r="408" spans="1:18" ht="15.75" customHeight="1" x14ac:dyDescent="0.3">
      <c r="A408" s="234" t="s">
        <v>1022</v>
      </c>
      <c r="B408" s="172"/>
      <c r="C408" s="172"/>
      <c r="D408" s="172"/>
      <c r="E408" s="38" t="s">
        <v>852</v>
      </c>
      <c r="F408" s="172"/>
      <c r="G408" s="172"/>
      <c r="H408" s="172"/>
      <c r="I408" s="38" t="s">
        <v>852</v>
      </c>
      <c r="J408" s="172"/>
      <c r="K408" s="172"/>
      <c r="L408" s="172"/>
      <c r="M408" s="38" t="s">
        <v>852</v>
      </c>
      <c r="N408" s="172"/>
      <c r="O408" s="172"/>
      <c r="P408" s="172"/>
      <c r="Q408" s="38" t="s">
        <v>852</v>
      </c>
      <c r="R408" s="38" t="s">
        <v>852</v>
      </c>
    </row>
    <row r="409" spans="1:18" ht="15.75" customHeight="1" x14ac:dyDescent="0.3">
      <c r="A409" s="234" t="s">
        <v>559</v>
      </c>
      <c r="B409" s="172"/>
      <c r="C409" s="172"/>
      <c r="D409" s="172"/>
      <c r="E409" s="38" t="s">
        <v>852</v>
      </c>
      <c r="F409" s="172"/>
      <c r="G409" s="172"/>
      <c r="H409" s="172"/>
      <c r="I409" s="38" t="s">
        <v>852</v>
      </c>
      <c r="J409" s="172"/>
      <c r="K409" s="172"/>
      <c r="L409" s="172"/>
      <c r="M409" s="38" t="s">
        <v>852</v>
      </c>
      <c r="N409" s="172"/>
      <c r="O409" s="172"/>
      <c r="P409" s="172"/>
      <c r="Q409" s="38" t="s">
        <v>852</v>
      </c>
      <c r="R409" s="38" t="s">
        <v>852</v>
      </c>
    </row>
    <row r="410" spans="1:18" ht="15.75" customHeight="1" x14ac:dyDescent="0.3">
      <c r="A410" s="539" t="s">
        <v>2575</v>
      </c>
      <c r="B410" s="10">
        <v>0</v>
      </c>
      <c r="C410" s="10">
        <v>0</v>
      </c>
      <c r="D410" s="10">
        <v>0</v>
      </c>
      <c r="E410" s="38">
        <f t="shared" ref="E410:E415" si="80">SUM(B410:D410)</f>
        <v>0</v>
      </c>
      <c r="F410" s="10">
        <v>0</v>
      </c>
      <c r="G410" s="10">
        <v>0</v>
      </c>
      <c r="H410" s="10">
        <v>0</v>
      </c>
      <c r="I410" s="38">
        <f t="shared" ref="I410:I415" si="81">SUM(F410:H410)</f>
        <v>0</v>
      </c>
      <c r="J410" s="10">
        <v>0</v>
      </c>
      <c r="K410" s="10">
        <v>10952</v>
      </c>
      <c r="L410" s="10">
        <v>4564</v>
      </c>
      <c r="M410" s="38">
        <f t="shared" ref="M410:M415" si="82">SUM(J410:L410)</f>
        <v>15516</v>
      </c>
      <c r="N410" s="10">
        <v>220</v>
      </c>
      <c r="O410" s="10">
        <v>47</v>
      </c>
      <c r="P410" s="10">
        <v>0</v>
      </c>
      <c r="Q410" s="38">
        <f t="shared" ref="Q410:Q415" si="83">SUM(N410:P410)</f>
        <v>267</v>
      </c>
      <c r="R410" s="38">
        <f t="shared" ref="R410:R415" si="84">+E410+I410+M410+Q410</f>
        <v>15783</v>
      </c>
    </row>
    <row r="411" spans="1:18" ht="15.75" customHeight="1" thickBot="1" x14ac:dyDescent="0.35">
      <c r="A411" s="539" t="s">
        <v>2576</v>
      </c>
      <c r="B411" s="172">
        <v>0</v>
      </c>
      <c r="C411" s="172">
        <v>0</v>
      </c>
      <c r="D411" s="172">
        <v>0</v>
      </c>
      <c r="E411" s="38">
        <f t="shared" si="80"/>
        <v>0</v>
      </c>
      <c r="F411" s="172">
        <v>0</v>
      </c>
      <c r="G411" s="172">
        <v>0</v>
      </c>
      <c r="H411" s="172">
        <v>0</v>
      </c>
      <c r="I411" s="38">
        <f t="shared" si="81"/>
        <v>0</v>
      </c>
      <c r="J411" s="172">
        <v>0</v>
      </c>
      <c r="K411" s="172">
        <v>0</v>
      </c>
      <c r="L411" s="172">
        <v>0</v>
      </c>
      <c r="M411" s="38">
        <f t="shared" si="82"/>
        <v>0</v>
      </c>
      <c r="N411" s="172">
        <v>0</v>
      </c>
      <c r="O411" s="172">
        <v>0</v>
      </c>
      <c r="P411" s="172">
        <v>0</v>
      </c>
      <c r="Q411" s="38">
        <f t="shared" si="83"/>
        <v>0</v>
      </c>
      <c r="R411" s="38">
        <f t="shared" si="84"/>
        <v>0</v>
      </c>
    </row>
    <row r="412" spans="1:18" ht="16.5" customHeight="1" thickBot="1" x14ac:dyDescent="0.35">
      <c r="A412" s="43" t="s">
        <v>1019</v>
      </c>
      <c r="B412" s="42">
        <f>SUM(B408:B411)</f>
        <v>0</v>
      </c>
      <c r="C412" s="42">
        <f>SUM(C408:C411)</f>
        <v>0</v>
      </c>
      <c r="D412" s="42">
        <f>SUM(D408:D411)</f>
        <v>0</v>
      </c>
      <c r="E412" s="39">
        <f t="shared" si="80"/>
        <v>0</v>
      </c>
      <c r="F412" s="42">
        <f>SUM(F408:F411)</f>
        <v>0</v>
      </c>
      <c r="G412" s="42">
        <f>SUM(G408:G411)</f>
        <v>0</v>
      </c>
      <c r="H412" s="42">
        <f>SUM(H408:H411)</f>
        <v>0</v>
      </c>
      <c r="I412" s="39">
        <f t="shared" si="81"/>
        <v>0</v>
      </c>
      <c r="J412" s="42">
        <f>SUM(J408:J411)</f>
        <v>0</v>
      </c>
      <c r="K412" s="42">
        <f>SUM(K408:K411)</f>
        <v>10952</v>
      </c>
      <c r="L412" s="42">
        <f>SUM(L408:L411)</f>
        <v>4564</v>
      </c>
      <c r="M412" s="39">
        <f t="shared" si="82"/>
        <v>15516</v>
      </c>
      <c r="N412" s="42">
        <f>SUM(N408:N411)</f>
        <v>220</v>
      </c>
      <c r="O412" s="42">
        <f>SUM(O408:O411)</f>
        <v>47</v>
      </c>
      <c r="P412" s="42">
        <f>SUM(P408:P411)</f>
        <v>0</v>
      </c>
      <c r="Q412" s="39">
        <f t="shared" si="83"/>
        <v>267</v>
      </c>
      <c r="R412" s="37">
        <f t="shared" si="84"/>
        <v>15783</v>
      </c>
    </row>
    <row r="413" spans="1:18" ht="16.5" customHeight="1" thickBot="1" x14ac:dyDescent="0.35">
      <c r="A413" s="277" t="s">
        <v>1221</v>
      </c>
      <c r="B413" s="45">
        <f>SUM(B405:B411)</f>
        <v>0</v>
      </c>
      <c r="C413" s="46">
        <f>SUM(C405:C411)</f>
        <v>0</v>
      </c>
      <c r="D413" s="58">
        <f>SUM(D405:D411)</f>
        <v>0</v>
      </c>
      <c r="E413" s="39">
        <f t="shared" si="80"/>
        <v>0</v>
      </c>
      <c r="F413" s="46">
        <f>SUM(F405:F411)</f>
        <v>0</v>
      </c>
      <c r="G413" s="46">
        <f>SUM(G405:G411)</f>
        <v>0</v>
      </c>
      <c r="H413" s="46">
        <f>SUM(H405:H411)</f>
        <v>0</v>
      </c>
      <c r="I413" s="39">
        <f t="shared" si="81"/>
        <v>0</v>
      </c>
      <c r="J413" s="46">
        <f>SUM(J405:J411)</f>
        <v>0</v>
      </c>
      <c r="K413" s="46">
        <f>SUM(K405:K411)</f>
        <v>10952</v>
      </c>
      <c r="L413" s="46">
        <f>SUM(L405:L411)</f>
        <v>4564</v>
      </c>
      <c r="M413" s="39">
        <f t="shared" si="82"/>
        <v>15516</v>
      </c>
      <c r="N413" s="46">
        <f>SUM(N405:N411)</f>
        <v>220</v>
      </c>
      <c r="O413" s="46">
        <f>SUM(O405:O411)</f>
        <v>47</v>
      </c>
      <c r="P413" s="46">
        <f>SUM(P405:P411)</f>
        <v>0</v>
      </c>
      <c r="Q413" s="39">
        <f t="shared" si="83"/>
        <v>267</v>
      </c>
      <c r="R413" s="37">
        <f t="shared" si="84"/>
        <v>15783</v>
      </c>
    </row>
    <row r="414" spans="1:18" ht="16.5" customHeight="1" thickBot="1" x14ac:dyDescent="0.35">
      <c r="A414" s="43" t="s">
        <v>1222</v>
      </c>
      <c r="B414" s="47">
        <f>+B395+B400+B404+B413</f>
        <v>4</v>
      </c>
      <c r="C414" s="42">
        <f>+C395+C400+C404+C413</f>
        <v>110</v>
      </c>
      <c r="D414" s="42">
        <f>+D395+D400+D404+D413</f>
        <v>2668</v>
      </c>
      <c r="E414" s="37">
        <f t="shared" si="80"/>
        <v>2782</v>
      </c>
      <c r="F414" s="42">
        <f>+F395+F400+F404+F413</f>
        <v>5344</v>
      </c>
      <c r="G414" s="42">
        <f>+G395+G400+G404+G413</f>
        <v>4242</v>
      </c>
      <c r="H414" s="42">
        <f>+H395+H400+H404+H413</f>
        <v>14267</v>
      </c>
      <c r="I414" s="37">
        <f t="shared" si="81"/>
        <v>23853</v>
      </c>
      <c r="J414" s="42">
        <f>+J395+J400+J404+J413</f>
        <v>18994</v>
      </c>
      <c r="K414" s="42">
        <f>+K395+K400+K404+K413</f>
        <v>19688</v>
      </c>
      <c r="L414" s="42">
        <f>+L395+L400+L404+L413</f>
        <v>4570</v>
      </c>
      <c r="M414" s="37">
        <f t="shared" si="82"/>
        <v>43252</v>
      </c>
      <c r="N414" s="42">
        <f>+N395+N400+N404+N413</f>
        <v>223</v>
      </c>
      <c r="O414" s="42">
        <f>+O395+O400+O404+O413</f>
        <v>48</v>
      </c>
      <c r="P414" s="42">
        <f>+P395+P400+P404+P413</f>
        <v>1</v>
      </c>
      <c r="Q414" s="37">
        <f t="shared" si="83"/>
        <v>272</v>
      </c>
      <c r="R414" s="40">
        <f t="shared" si="84"/>
        <v>70159</v>
      </c>
    </row>
    <row r="415" spans="1:18" ht="16.5" customHeight="1" thickBot="1" x14ac:dyDescent="0.35">
      <c r="A415" s="244" t="s">
        <v>853</v>
      </c>
      <c r="B415" s="238">
        <v>9</v>
      </c>
      <c r="C415" s="238">
        <v>16</v>
      </c>
      <c r="D415" s="238">
        <v>25</v>
      </c>
      <c r="E415" s="38">
        <f t="shared" si="80"/>
        <v>50</v>
      </c>
      <c r="F415" s="238">
        <v>34</v>
      </c>
      <c r="G415" s="238">
        <v>41</v>
      </c>
      <c r="H415" s="238">
        <v>41</v>
      </c>
      <c r="I415" s="38">
        <f t="shared" si="81"/>
        <v>116</v>
      </c>
      <c r="J415" s="238">
        <v>39</v>
      </c>
      <c r="K415" s="238">
        <v>30</v>
      </c>
      <c r="L415" s="238">
        <v>30</v>
      </c>
      <c r="M415" s="38">
        <f t="shared" si="82"/>
        <v>99</v>
      </c>
      <c r="N415" s="238">
        <v>28</v>
      </c>
      <c r="O415" s="238">
        <v>22</v>
      </c>
      <c r="P415" s="238">
        <v>16</v>
      </c>
      <c r="Q415" s="38">
        <f t="shared" si="83"/>
        <v>66</v>
      </c>
      <c r="R415" s="38">
        <f t="shared" si="84"/>
        <v>331</v>
      </c>
    </row>
    <row r="416" spans="1:18" ht="16.5" customHeight="1" thickBot="1" x14ac:dyDescent="0.35">
      <c r="A416" s="44"/>
      <c r="B416" s="258"/>
      <c r="C416" s="258"/>
      <c r="D416" s="258"/>
      <c r="E416" s="37"/>
      <c r="F416" s="258"/>
      <c r="G416" s="258"/>
      <c r="H416" s="258"/>
      <c r="I416" s="37"/>
      <c r="J416" s="258"/>
      <c r="K416" s="258"/>
      <c r="L416" s="258"/>
      <c r="M416" s="37"/>
      <c r="N416" s="258"/>
      <c r="O416" s="258"/>
      <c r="P416" s="258"/>
      <c r="Q416" s="37"/>
      <c r="R416" s="37" t="s">
        <v>852</v>
      </c>
    </row>
    <row r="417" spans="1:18" ht="15.75" customHeight="1" x14ac:dyDescent="0.3">
      <c r="A417" s="259" t="s">
        <v>2011</v>
      </c>
      <c r="B417" s="260">
        <f>SUM(B414:B415)</f>
        <v>13</v>
      </c>
      <c r="C417" s="260">
        <f>SUM(C414:C415)</f>
        <v>126</v>
      </c>
      <c r="D417" s="260">
        <f>SUM(D414:D415)</f>
        <v>2693</v>
      </c>
      <c r="E417" s="39">
        <f>SUM(B417:D417)</f>
        <v>2832</v>
      </c>
      <c r="F417" s="260">
        <f>SUM(F414:F415)</f>
        <v>5378</v>
      </c>
      <c r="G417" s="260">
        <f>SUM(G414:G415)</f>
        <v>4283</v>
      </c>
      <c r="H417" s="260">
        <f>SUM(H414:H415)</f>
        <v>14308</v>
      </c>
      <c r="I417" s="39">
        <f>SUM(F417:H417)</f>
        <v>23969</v>
      </c>
      <c r="J417" s="260">
        <f>SUM(J414:J415)</f>
        <v>19033</v>
      </c>
      <c r="K417" s="260">
        <f>SUM(K414:K415)</f>
        <v>19718</v>
      </c>
      <c r="L417" s="260">
        <f>SUM(L414:L415)</f>
        <v>4600</v>
      </c>
      <c r="M417" s="39">
        <f>SUM(J417:L417)</f>
        <v>43351</v>
      </c>
      <c r="N417" s="260">
        <f>SUM(N414:N415)</f>
        <v>251</v>
      </c>
      <c r="O417" s="260">
        <f>SUM(O414:O415)</f>
        <v>70</v>
      </c>
      <c r="P417" s="260">
        <f>SUM(P414:P415)</f>
        <v>17</v>
      </c>
      <c r="Q417" s="39">
        <f>SUM(N417:P417)</f>
        <v>338</v>
      </c>
      <c r="R417" s="39">
        <f>+E417+I417+M417+Q417</f>
        <v>70490</v>
      </c>
    </row>
    <row r="418" spans="1:18" ht="15.75" customHeight="1" x14ac:dyDescent="0.3">
      <c r="A418" s="262" t="s">
        <v>1897</v>
      </c>
      <c r="B418" s="172">
        <f>(B417/31)/1.983</f>
        <v>0.21147495648496087</v>
      </c>
      <c r="C418" s="172">
        <f>(C417/28)/1.983</f>
        <v>2.2692889561270801</v>
      </c>
      <c r="D418" s="172">
        <f>(D417/31)/1.983</f>
        <v>43.807850601076893</v>
      </c>
      <c r="E418" s="38" t="s">
        <v>852</v>
      </c>
      <c r="F418" s="172">
        <f>(F417/30)/1.983</f>
        <v>90.401748192973614</v>
      </c>
      <c r="G418" s="172">
        <f>(G417/31)/1.983</f>
        <v>69.672864509622102</v>
      </c>
      <c r="H418" s="172">
        <f>(H417/30)/1.983</f>
        <v>240.51101025382417</v>
      </c>
      <c r="I418" s="38" t="s">
        <v>852</v>
      </c>
      <c r="J418" s="172">
        <f>(J417/31)/1.983</f>
        <v>309.61560359832771</v>
      </c>
      <c r="K418" s="172">
        <f>(K417/31)/1.983</f>
        <v>320.75870707465066</v>
      </c>
      <c r="L418" s="172">
        <f>(L417/30)/1.983</f>
        <v>77.323919986552369</v>
      </c>
      <c r="M418" s="38" t="s">
        <v>852</v>
      </c>
      <c r="N418" s="172">
        <f>(N417/31)/1.983</f>
        <v>4.0830933905942448</v>
      </c>
      <c r="O418" s="172">
        <f>(O417/30)/1.983</f>
        <v>1.176668347621449</v>
      </c>
      <c r="P418" s="172">
        <f>(P417/31)/1.983</f>
        <v>0.27654417386494878</v>
      </c>
      <c r="Q418" s="38" t="s">
        <v>852</v>
      </c>
      <c r="R418" s="38" t="s">
        <v>852</v>
      </c>
    </row>
    <row r="419" spans="1:18" ht="15.75" customHeight="1" x14ac:dyDescent="0.3">
      <c r="A419" s="262" t="s">
        <v>575</v>
      </c>
      <c r="B419" s="172">
        <f>B417+B460</f>
        <v>20914</v>
      </c>
      <c r="C419" s="172">
        <f>C417+C460</f>
        <v>22595</v>
      </c>
      <c r="D419" s="172">
        <f>D417+D460</f>
        <v>27213</v>
      </c>
      <c r="E419" s="38">
        <f>SUM(B419:D419)</f>
        <v>70722</v>
      </c>
      <c r="F419" s="172">
        <f>F417+F460</f>
        <v>34270</v>
      </c>
      <c r="G419" s="172">
        <f>G417+G460</f>
        <v>31390</v>
      </c>
      <c r="H419" s="172">
        <f>H417+H460</f>
        <v>36637</v>
      </c>
      <c r="I419" s="38">
        <f>SUM(F419:H419)</f>
        <v>102297</v>
      </c>
      <c r="J419" s="172">
        <f>J417+J460</f>
        <v>47543</v>
      </c>
      <c r="K419" s="172">
        <f>K417+K460</f>
        <v>49120</v>
      </c>
      <c r="L419" s="172">
        <f>L417+L460</f>
        <v>29027</v>
      </c>
      <c r="M419" s="38">
        <f>SUM(J419:L419)</f>
        <v>125690</v>
      </c>
      <c r="N419" s="172">
        <f>N417+N460</f>
        <v>17111</v>
      </c>
      <c r="O419" s="172">
        <f>O417+O460</f>
        <v>7612</v>
      </c>
      <c r="P419" s="172">
        <f>P417+P460</f>
        <v>13104</v>
      </c>
      <c r="Q419" s="38">
        <f>SUM(N419:P419)</f>
        <v>37827</v>
      </c>
      <c r="R419" s="38">
        <f>+E419+I419+M419+Q419</f>
        <v>336536</v>
      </c>
    </row>
    <row r="420" spans="1:18" ht="16.5" customHeight="1" thickBot="1" x14ac:dyDescent="0.35">
      <c r="A420" s="263" t="s">
        <v>576</v>
      </c>
      <c r="B420" s="264">
        <f>(B419/31)/1.983</f>
        <v>340.21440307126704</v>
      </c>
      <c r="C420" s="264">
        <f>(C419/28)/1.983</f>
        <v>406.94114256897916</v>
      </c>
      <c r="D420" s="264">
        <f>(D419/31)/1.983</f>
        <v>442.6821531404031</v>
      </c>
      <c r="E420" s="40" t="s">
        <v>852</v>
      </c>
      <c r="F420" s="264">
        <f>(F419/30)/1.983</f>
        <v>576.06320389981499</v>
      </c>
      <c r="G420" s="264">
        <f>(G419/31)/1.983</f>
        <v>510.63068338945556</v>
      </c>
      <c r="H420" s="264">
        <f>(H419/30)/1.983</f>
        <v>615.85140359724323</v>
      </c>
      <c r="I420" s="40" t="s">
        <v>852</v>
      </c>
      <c r="J420" s="264">
        <f>(J419/31)/1.983</f>
        <v>773.39645047419197</v>
      </c>
      <c r="K420" s="264">
        <f>(K419/31)/1.983</f>
        <v>799.04998942625218</v>
      </c>
      <c r="L420" s="264">
        <f>(L419/30)/1.983</f>
        <v>487.93074466296855</v>
      </c>
      <c r="M420" s="40" t="s">
        <v>852</v>
      </c>
      <c r="N420" s="264">
        <f>(N419/31)/1.983</f>
        <v>278.34984464724351</v>
      </c>
      <c r="O420" s="264">
        <f>(O419/30)/1.983</f>
        <v>127.95427802992099</v>
      </c>
      <c r="P420" s="264">
        <f>(P419/31)/1.983</f>
        <v>213.16675613684055</v>
      </c>
      <c r="Q420" s="40" t="s">
        <v>852</v>
      </c>
      <c r="R420" s="40" t="s">
        <v>852</v>
      </c>
    </row>
    <row r="421" spans="1:18" ht="15.75" customHeight="1" x14ac:dyDescent="0.3">
      <c r="A421" s="17"/>
      <c r="B421" s="172"/>
      <c r="C421" s="172"/>
      <c r="D421" s="172"/>
      <c r="E421" s="172"/>
      <c r="F421" s="172"/>
      <c r="G421" s="172"/>
      <c r="H421" s="172"/>
      <c r="I421" s="172"/>
      <c r="J421" s="172"/>
      <c r="K421" s="172"/>
      <c r="L421" s="172"/>
      <c r="M421" s="172"/>
      <c r="N421" s="172"/>
      <c r="O421" s="172"/>
      <c r="P421" s="172"/>
      <c r="Q421" s="172"/>
      <c r="R421" s="17"/>
    </row>
    <row r="422" spans="1:18" ht="15.75" customHeight="1" thickBot="1" x14ac:dyDescent="0.35">
      <c r="A422" s="17"/>
      <c r="B422" s="172"/>
      <c r="C422" s="172"/>
      <c r="D422" s="172"/>
      <c r="E422" s="172"/>
      <c r="F422" s="172"/>
      <c r="G422" s="172"/>
      <c r="H422" s="172"/>
      <c r="I422" s="172"/>
      <c r="J422" s="172"/>
      <c r="K422" s="172"/>
      <c r="L422" s="172"/>
      <c r="M422" s="172"/>
      <c r="N422" s="172"/>
      <c r="O422" s="172"/>
      <c r="P422" s="172"/>
      <c r="Q422" s="172"/>
      <c r="R422" s="17"/>
    </row>
    <row r="423" spans="1:18" ht="16.5" customHeight="1" thickBot="1" x14ac:dyDescent="0.35">
      <c r="A423" s="278" t="s">
        <v>689</v>
      </c>
      <c r="B423" s="4" t="s">
        <v>2090</v>
      </c>
      <c r="C423" s="5" t="s">
        <v>2091</v>
      </c>
      <c r="D423" s="5" t="s">
        <v>2234</v>
      </c>
      <c r="E423" s="33" t="s">
        <v>1594</v>
      </c>
      <c r="F423" s="5" t="s">
        <v>2235</v>
      </c>
      <c r="G423" s="5" t="s">
        <v>2236</v>
      </c>
      <c r="H423" s="5" t="s">
        <v>2237</v>
      </c>
      <c r="I423" s="35" t="s">
        <v>1595</v>
      </c>
      <c r="J423" s="5" t="s">
        <v>1504</v>
      </c>
      <c r="K423" s="5" t="s">
        <v>1505</v>
      </c>
      <c r="L423" s="5" t="s">
        <v>1506</v>
      </c>
      <c r="M423" s="35" t="s">
        <v>1596</v>
      </c>
      <c r="N423" s="5" t="s">
        <v>1507</v>
      </c>
      <c r="O423" s="5" t="s">
        <v>1508</v>
      </c>
      <c r="P423" s="5" t="s">
        <v>1509</v>
      </c>
      <c r="Q423" s="35" t="s">
        <v>1597</v>
      </c>
      <c r="R423" s="36" t="s">
        <v>1510</v>
      </c>
    </row>
    <row r="424" spans="1:18" ht="16.5" customHeight="1" thickBot="1" x14ac:dyDescent="0.35">
      <c r="A424" s="37"/>
      <c r="B424" s="258"/>
      <c r="C424" s="258"/>
      <c r="D424" s="258"/>
      <c r="E424" s="254"/>
      <c r="F424" s="258"/>
      <c r="G424" s="258"/>
      <c r="H424" s="258"/>
      <c r="I424" s="265"/>
      <c r="J424" s="258"/>
      <c r="K424" s="258"/>
      <c r="L424" s="258"/>
      <c r="M424" s="265"/>
      <c r="N424" s="258"/>
      <c r="O424" s="258"/>
      <c r="P424" s="258"/>
      <c r="Q424" s="265"/>
      <c r="R424" s="52"/>
    </row>
    <row r="425" spans="1:18" ht="15.75" customHeight="1" x14ac:dyDescent="0.3">
      <c r="A425" s="234" t="s">
        <v>2417</v>
      </c>
      <c r="B425" s="172" t="s">
        <v>852</v>
      </c>
      <c r="C425" s="172" t="s">
        <v>852</v>
      </c>
      <c r="D425" s="172" t="s">
        <v>852</v>
      </c>
      <c r="E425" s="38" t="s">
        <v>852</v>
      </c>
      <c r="F425" s="172" t="s">
        <v>852</v>
      </c>
      <c r="G425" s="172" t="s">
        <v>852</v>
      </c>
      <c r="H425" s="172" t="s">
        <v>852</v>
      </c>
      <c r="I425" s="38" t="s">
        <v>852</v>
      </c>
      <c r="J425" s="172" t="s">
        <v>852</v>
      </c>
      <c r="K425" s="172" t="s">
        <v>852</v>
      </c>
      <c r="L425" s="172" t="s">
        <v>852</v>
      </c>
      <c r="M425" s="38" t="s">
        <v>852</v>
      </c>
      <c r="N425" s="172" t="s">
        <v>852</v>
      </c>
      <c r="O425" s="172" t="s">
        <v>852</v>
      </c>
      <c r="P425" s="172" t="s">
        <v>852</v>
      </c>
      <c r="Q425" s="38" t="s">
        <v>852</v>
      </c>
      <c r="R425" s="38" t="s">
        <v>852</v>
      </c>
    </row>
    <row r="426" spans="1:18" ht="15.75" customHeight="1" x14ac:dyDescent="0.3">
      <c r="A426" s="234" t="s">
        <v>2160</v>
      </c>
      <c r="B426" s="172"/>
      <c r="C426" s="172"/>
      <c r="D426" s="172"/>
      <c r="E426" s="38" t="s">
        <v>852</v>
      </c>
      <c r="F426" s="172"/>
      <c r="G426" s="172"/>
      <c r="H426" s="172"/>
      <c r="I426" s="38" t="s">
        <v>852</v>
      </c>
      <c r="J426" s="172"/>
      <c r="K426" s="172"/>
      <c r="L426" s="172"/>
      <c r="M426" s="38" t="s">
        <v>852</v>
      </c>
      <c r="N426" s="172"/>
      <c r="O426" s="172"/>
      <c r="P426" s="172"/>
      <c r="Q426" s="38" t="s">
        <v>852</v>
      </c>
      <c r="R426" s="38" t="s">
        <v>852</v>
      </c>
    </row>
    <row r="427" spans="1:18" ht="15.75" customHeight="1" x14ac:dyDescent="0.3">
      <c r="A427" s="310" t="s">
        <v>1478</v>
      </c>
      <c r="B427" s="10">
        <v>0</v>
      </c>
      <c r="C427" s="10">
        <v>0</v>
      </c>
      <c r="D427" s="10">
        <v>0</v>
      </c>
      <c r="E427" s="38">
        <f>SUM(B427:D427)</f>
        <v>0</v>
      </c>
      <c r="F427" s="10">
        <v>0</v>
      </c>
      <c r="G427" s="10">
        <v>690</v>
      </c>
      <c r="H427" s="10">
        <v>310</v>
      </c>
      <c r="I427" s="38">
        <f>SUM(F427:H427)</f>
        <v>1000</v>
      </c>
      <c r="J427" s="10">
        <v>0</v>
      </c>
      <c r="K427" s="10">
        <v>0</v>
      </c>
      <c r="L427" s="10">
        <v>0</v>
      </c>
      <c r="M427" s="38">
        <f>SUM(J427:L427)</f>
        <v>0</v>
      </c>
      <c r="N427" s="10">
        <v>0</v>
      </c>
      <c r="O427" s="10">
        <v>0</v>
      </c>
      <c r="P427" s="10">
        <v>0</v>
      </c>
      <c r="Q427" s="38">
        <f>SUM(N427:P427)</f>
        <v>0</v>
      </c>
      <c r="R427" s="38">
        <f>+E427+I427+M427+Q427</f>
        <v>1000</v>
      </c>
    </row>
    <row r="428" spans="1:18" ht="15.75" customHeight="1" x14ac:dyDescent="0.3">
      <c r="A428" s="266" t="s">
        <v>485</v>
      </c>
      <c r="B428" s="172">
        <v>0</v>
      </c>
      <c r="C428" s="172">
        <v>0</v>
      </c>
      <c r="D428" s="172">
        <v>0</v>
      </c>
      <c r="E428" s="38">
        <f>SUM(B428:D428)</f>
        <v>0</v>
      </c>
      <c r="F428" s="172">
        <v>0</v>
      </c>
      <c r="G428" s="172">
        <v>0</v>
      </c>
      <c r="H428" s="172">
        <v>43</v>
      </c>
      <c r="I428" s="38">
        <f>SUM(F428:H428)</f>
        <v>43</v>
      </c>
      <c r="J428" s="172">
        <v>1693</v>
      </c>
      <c r="K428" s="172">
        <v>764</v>
      </c>
      <c r="L428" s="172">
        <v>0</v>
      </c>
      <c r="M428" s="38">
        <f>SUM(J428:L428)</f>
        <v>2457</v>
      </c>
      <c r="N428" s="172">
        <v>0</v>
      </c>
      <c r="O428" s="172">
        <v>0</v>
      </c>
      <c r="P428" s="172">
        <v>0</v>
      </c>
      <c r="Q428" s="38">
        <f>SUM(N428:P428)</f>
        <v>0</v>
      </c>
      <c r="R428" s="38">
        <f>+E428+I428+M428+Q428</f>
        <v>2500</v>
      </c>
    </row>
    <row r="429" spans="1:18" ht="15.75" customHeight="1" x14ac:dyDescent="0.3">
      <c r="A429" s="310" t="s">
        <v>1938</v>
      </c>
      <c r="B429" s="10">
        <v>0</v>
      </c>
      <c r="C429" s="10">
        <v>0</v>
      </c>
      <c r="D429" s="10">
        <v>0</v>
      </c>
      <c r="E429" s="38">
        <f>SUM(B429:D429)</f>
        <v>0</v>
      </c>
      <c r="F429" s="10">
        <v>0</v>
      </c>
      <c r="G429" s="10">
        <v>0</v>
      </c>
      <c r="H429" s="10">
        <v>0</v>
      </c>
      <c r="I429" s="38">
        <f>SUM(F429:H429)</f>
        <v>0</v>
      </c>
      <c r="J429" s="10">
        <v>0</v>
      </c>
      <c r="K429" s="10">
        <v>674</v>
      </c>
      <c r="L429" s="10">
        <v>1183</v>
      </c>
      <c r="M429" s="38">
        <f>SUM(J429:L429)</f>
        <v>1857</v>
      </c>
      <c r="N429" s="10">
        <v>0</v>
      </c>
      <c r="O429" s="10">
        <v>0</v>
      </c>
      <c r="P429" s="10">
        <v>0</v>
      </c>
      <c r="Q429" s="38">
        <f>SUM(N429:P429)</f>
        <v>0</v>
      </c>
      <c r="R429" s="38">
        <f>+E429+I429+M429+Q429</f>
        <v>1857</v>
      </c>
    </row>
    <row r="430" spans="1:18" ht="15.75" customHeight="1" x14ac:dyDescent="0.3">
      <c r="A430" s="234" t="s">
        <v>2161</v>
      </c>
      <c r="B430" s="172"/>
      <c r="C430" s="172"/>
      <c r="D430" s="172"/>
      <c r="E430" s="38" t="s">
        <v>852</v>
      </c>
      <c r="F430" s="172"/>
      <c r="G430" s="172"/>
      <c r="H430" s="172"/>
      <c r="I430" s="38" t="s">
        <v>852</v>
      </c>
      <c r="J430" s="172"/>
      <c r="K430" s="172"/>
      <c r="L430" s="172"/>
      <c r="M430" s="38" t="s">
        <v>852</v>
      </c>
      <c r="N430" s="172"/>
      <c r="O430" s="172"/>
      <c r="P430" s="172"/>
      <c r="Q430" s="38" t="s">
        <v>852</v>
      </c>
      <c r="R430" s="38" t="s">
        <v>852</v>
      </c>
    </row>
    <row r="431" spans="1:18" ht="15.75" customHeight="1" x14ac:dyDescent="0.3">
      <c r="A431" s="234" t="s">
        <v>2162</v>
      </c>
      <c r="B431" s="172"/>
      <c r="C431" s="172"/>
      <c r="D431" s="172"/>
      <c r="E431" s="38" t="s">
        <v>852</v>
      </c>
      <c r="F431" s="172"/>
      <c r="G431" s="172"/>
      <c r="H431" s="172"/>
      <c r="I431" s="38" t="s">
        <v>852</v>
      </c>
      <c r="J431" s="172"/>
      <c r="K431" s="172"/>
      <c r="L431" s="172"/>
      <c r="M431" s="38" t="s">
        <v>852</v>
      </c>
      <c r="N431" s="172"/>
      <c r="O431" s="172"/>
      <c r="P431" s="172"/>
      <c r="Q431" s="38" t="s">
        <v>852</v>
      </c>
      <c r="R431" s="38" t="s">
        <v>852</v>
      </c>
    </row>
    <row r="432" spans="1:18" ht="15.75" customHeight="1" thickBot="1" x14ac:dyDescent="0.35">
      <c r="A432" s="234" t="s">
        <v>2164</v>
      </c>
      <c r="B432" s="172"/>
      <c r="C432" s="172"/>
      <c r="D432" s="172"/>
      <c r="E432" s="38" t="s">
        <v>852</v>
      </c>
      <c r="F432" s="172"/>
      <c r="G432" s="172"/>
      <c r="H432" s="172"/>
      <c r="I432" s="38" t="s">
        <v>852</v>
      </c>
      <c r="J432" s="172"/>
      <c r="K432" s="172"/>
      <c r="L432" s="172"/>
      <c r="M432" s="38" t="s">
        <v>852</v>
      </c>
      <c r="N432" s="172"/>
      <c r="O432" s="172"/>
      <c r="P432" s="172"/>
      <c r="Q432" s="38" t="s">
        <v>852</v>
      </c>
      <c r="R432" s="38" t="s">
        <v>852</v>
      </c>
    </row>
    <row r="433" spans="1:18" ht="16.5" customHeight="1" thickBot="1" x14ac:dyDescent="0.35">
      <c r="A433" s="276" t="s">
        <v>1218</v>
      </c>
      <c r="B433" s="45">
        <f>SUM(B425:B432)</f>
        <v>0</v>
      </c>
      <c r="C433" s="46">
        <f>SUM(C425:C432)</f>
        <v>0</v>
      </c>
      <c r="D433" s="46">
        <f>SUM(D425:D432)</f>
        <v>0</v>
      </c>
      <c r="E433" s="37">
        <f>SUM(B433:D433)</f>
        <v>0</v>
      </c>
      <c r="F433" s="46">
        <f>SUM(F425:F432)</f>
        <v>0</v>
      </c>
      <c r="G433" s="46">
        <f>SUM(G425:G432)</f>
        <v>690</v>
      </c>
      <c r="H433" s="46">
        <f>SUM(H425:H432)</f>
        <v>353</v>
      </c>
      <c r="I433" s="37">
        <f>SUM(F433:H433)</f>
        <v>1043</v>
      </c>
      <c r="J433" s="46">
        <f>SUM(J425:J432)</f>
        <v>1693</v>
      </c>
      <c r="K433" s="46">
        <f>SUM(K425:K432)</f>
        <v>1438</v>
      </c>
      <c r="L433" s="46">
        <f>SUM(L425:L432)</f>
        <v>1183</v>
      </c>
      <c r="M433" s="37">
        <f>SUM(J433:L433)</f>
        <v>4314</v>
      </c>
      <c r="N433" s="46">
        <f>SUM(N425:N432)</f>
        <v>0</v>
      </c>
      <c r="O433" s="46">
        <f>SUM(O425:O432)</f>
        <v>0</v>
      </c>
      <c r="P433" s="46">
        <f>SUM(P425:P432)</f>
        <v>0</v>
      </c>
      <c r="Q433" s="37">
        <f>SUM(N433:P433)</f>
        <v>0</v>
      </c>
      <c r="R433" s="37">
        <f>+E433+I433+M433+Q433</f>
        <v>5357</v>
      </c>
    </row>
    <row r="434" spans="1:18" ht="15.75" customHeight="1" x14ac:dyDescent="0.3">
      <c r="A434" s="234" t="s">
        <v>1172</v>
      </c>
      <c r="B434" s="172"/>
      <c r="C434" s="172"/>
      <c r="D434" s="172"/>
      <c r="E434" s="39" t="s">
        <v>852</v>
      </c>
      <c r="F434" s="172"/>
      <c r="G434" s="172"/>
      <c r="H434" s="172"/>
      <c r="I434" s="39" t="s">
        <v>852</v>
      </c>
      <c r="J434" s="172"/>
      <c r="K434" s="172"/>
      <c r="L434" s="172"/>
      <c r="M434" s="39" t="s">
        <v>852</v>
      </c>
      <c r="N434" s="172"/>
      <c r="O434" s="172"/>
      <c r="P434" s="172"/>
      <c r="Q434" s="39" t="s">
        <v>852</v>
      </c>
      <c r="R434" s="63" t="s">
        <v>852</v>
      </c>
    </row>
    <row r="435" spans="1:18" ht="15.75" customHeight="1" x14ac:dyDescent="0.3">
      <c r="A435" s="234" t="s">
        <v>2409</v>
      </c>
      <c r="B435" s="172"/>
      <c r="C435" s="172"/>
      <c r="D435" s="172"/>
      <c r="E435" s="38" t="s">
        <v>852</v>
      </c>
      <c r="F435" s="172"/>
      <c r="G435" s="172"/>
      <c r="H435" s="172"/>
      <c r="I435" s="38" t="s">
        <v>852</v>
      </c>
      <c r="J435" s="172"/>
      <c r="K435" s="172"/>
      <c r="L435" s="172"/>
      <c r="M435" s="38" t="s">
        <v>852</v>
      </c>
      <c r="N435" s="172"/>
      <c r="O435" s="172"/>
      <c r="P435" s="172"/>
      <c r="Q435" s="38" t="s">
        <v>852</v>
      </c>
      <c r="R435" s="63" t="s">
        <v>852</v>
      </c>
    </row>
    <row r="436" spans="1:18" ht="15.75" customHeight="1" x14ac:dyDescent="0.3">
      <c r="A436" s="266" t="s">
        <v>791</v>
      </c>
      <c r="B436" s="10">
        <v>381</v>
      </c>
      <c r="C436" s="10">
        <v>479</v>
      </c>
      <c r="D436" s="10">
        <v>4037</v>
      </c>
      <c r="E436" s="38">
        <f>SUM(B436:D436)</f>
        <v>4897</v>
      </c>
      <c r="F436" s="10">
        <v>4501</v>
      </c>
      <c r="G436" s="10">
        <v>4905</v>
      </c>
      <c r="H436" s="10">
        <v>7886</v>
      </c>
      <c r="I436" s="38">
        <f>SUM(F436:H436)</f>
        <v>17292</v>
      </c>
      <c r="J436" s="10">
        <v>9137</v>
      </c>
      <c r="K436" s="10">
        <v>0</v>
      </c>
      <c r="L436" s="10">
        <v>0</v>
      </c>
      <c r="M436" s="38">
        <f>SUM(J436:L436)</f>
        <v>9137</v>
      </c>
      <c r="N436" s="10">
        <v>0</v>
      </c>
      <c r="O436" s="10">
        <v>0</v>
      </c>
      <c r="P436" s="10">
        <v>0</v>
      </c>
      <c r="Q436" s="38">
        <f>SUM(N436:P436)</f>
        <v>0</v>
      </c>
      <c r="R436" s="38">
        <f>+E436+I436+M436+Q436</f>
        <v>31326</v>
      </c>
    </row>
    <row r="437" spans="1:18" ht="15.75" customHeight="1" x14ac:dyDescent="0.3">
      <c r="A437" s="266" t="s">
        <v>2300</v>
      </c>
      <c r="B437" s="172">
        <v>0</v>
      </c>
      <c r="C437" s="172">
        <v>191</v>
      </c>
      <c r="D437" s="172">
        <v>238</v>
      </c>
      <c r="E437" s="38">
        <f>SUM(B437:D437)</f>
        <v>429</v>
      </c>
      <c r="F437" s="172">
        <v>416</v>
      </c>
      <c r="G437" s="172">
        <v>155</v>
      </c>
      <c r="H437" s="172">
        <v>0</v>
      </c>
      <c r="I437" s="38">
        <f>SUM(F437:H437)</f>
        <v>571</v>
      </c>
      <c r="J437" s="172">
        <v>0</v>
      </c>
      <c r="K437" s="172">
        <v>0</v>
      </c>
      <c r="L437" s="172">
        <v>0</v>
      </c>
      <c r="M437" s="38">
        <f>SUM(J437:L437)</f>
        <v>0</v>
      </c>
      <c r="N437" s="172">
        <v>0</v>
      </c>
      <c r="O437" s="172">
        <v>0</v>
      </c>
      <c r="P437" s="172">
        <v>0</v>
      </c>
      <c r="Q437" s="38">
        <f>SUM(N437:P437)</f>
        <v>0</v>
      </c>
      <c r="R437" s="38">
        <f>+E437+I437+M437+Q437</f>
        <v>1000</v>
      </c>
    </row>
    <row r="438" spans="1:18" ht="15.75" customHeight="1" thickBot="1" x14ac:dyDescent="0.35">
      <c r="A438" s="234" t="s">
        <v>2165</v>
      </c>
      <c r="B438" s="172"/>
      <c r="C438" s="172"/>
      <c r="D438" s="172"/>
      <c r="E438" s="38" t="s">
        <v>852</v>
      </c>
      <c r="F438" s="172"/>
      <c r="G438" s="172"/>
      <c r="H438" s="172"/>
      <c r="I438" s="38" t="s">
        <v>852</v>
      </c>
      <c r="J438" s="172"/>
      <c r="K438" s="172"/>
      <c r="L438" s="172"/>
      <c r="M438" s="38" t="s">
        <v>852</v>
      </c>
      <c r="N438" s="172"/>
      <c r="O438" s="172"/>
      <c r="P438" s="172"/>
      <c r="Q438" s="38" t="s">
        <v>852</v>
      </c>
      <c r="R438" s="63" t="s">
        <v>852</v>
      </c>
    </row>
    <row r="439" spans="1:18" ht="16.5" customHeight="1" thickBot="1" x14ac:dyDescent="0.35">
      <c r="A439" s="43" t="s">
        <v>1219</v>
      </c>
      <c r="B439" s="45">
        <f>SUM(B434:B438)</f>
        <v>381</v>
      </c>
      <c r="C439" s="46">
        <f>SUM(C434:C438)</f>
        <v>670</v>
      </c>
      <c r="D439" s="46">
        <f>SUM(D434:D438)</f>
        <v>4275</v>
      </c>
      <c r="E439" s="37">
        <f>SUM(B439:D439)</f>
        <v>5326</v>
      </c>
      <c r="F439" s="46">
        <f>SUM(F434:F438)</f>
        <v>4917</v>
      </c>
      <c r="G439" s="46">
        <f>SUM(G434:G438)</f>
        <v>5060</v>
      </c>
      <c r="H439" s="46">
        <f>SUM(H434:H438)</f>
        <v>7886</v>
      </c>
      <c r="I439" s="37">
        <f>SUM(F439:H439)</f>
        <v>17863</v>
      </c>
      <c r="J439" s="46">
        <f>SUM(J434:J438)</f>
        <v>9137</v>
      </c>
      <c r="K439" s="46">
        <f>SUM(K434:K438)</f>
        <v>0</v>
      </c>
      <c r="L439" s="46">
        <f>SUM(L434:L438)</f>
        <v>0</v>
      </c>
      <c r="M439" s="37">
        <f>SUM(J439:L439)</f>
        <v>9137</v>
      </c>
      <c r="N439" s="46">
        <f>SUM(N434:N438)</f>
        <v>0</v>
      </c>
      <c r="O439" s="46">
        <f>SUM(O434:O438)</f>
        <v>0</v>
      </c>
      <c r="P439" s="46">
        <f>SUM(P434:P438)</f>
        <v>0</v>
      </c>
      <c r="Q439" s="37">
        <f>SUM(N439:P439)</f>
        <v>0</v>
      </c>
      <c r="R439" s="37">
        <f>+E439+I439+M439+Q439</f>
        <v>32326</v>
      </c>
    </row>
    <row r="440" spans="1:18" ht="15.75" customHeight="1" x14ac:dyDescent="0.3">
      <c r="A440" s="234" t="s">
        <v>2166</v>
      </c>
      <c r="B440" s="172"/>
      <c r="C440" s="172"/>
      <c r="D440" s="172"/>
      <c r="E440" s="38" t="s">
        <v>852</v>
      </c>
      <c r="F440" s="172"/>
      <c r="G440" s="172"/>
      <c r="H440" s="172"/>
      <c r="I440" s="38" t="s">
        <v>852</v>
      </c>
      <c r="J440" s="172"/>
      <c r="K440" s="172"/>
      <c r="L440" s="172"/>
      <c r="M440" s="38" t="s">
        <v>852</v>
      </c>
      <c r="N440" s="172"/>
      <c r="O440" s="172"/>
      <c r="P440" s="172"/>
      <c r="Q440" s="38" t="s">
        <v>852</v>
      </c>
      <c r="R440" s="38" t="s">
        <v>852</v>
      </c>
    </row>
    <row r="441" spans="1:18" ht="15.75" customHeight="1" x14ac:dyDescent="0.3">
      <c r="A441" s="234" t="s">
        <v>1245</v>
      </c>
      <c r="B441" s="172"/>
      <c r="C441" s="172"/>
      <c r="D441" s="172"/>
      <c r="E441" s="38" t="s">
        <v>852</v>
      </c>
      <c r="F441" s="172"/>
      <c r="G441" s="172"/>
      <c r="H441" s="172"/>
      <c r="I441" s="38" t="s">
        <v>852</v>
      </c>
      <c r="J441" s="172"/>
      <c r="K441" s="172"/>
      <c r="L441" s="172"/>
      <c r="M441" s="38" t="s">
        <v>852</v>
      </c>
      <c r="N441" s="172"/>
      <c r="O441" s="172"/>
      <c r="P441" s="172"/>
      <c r="Q441" s="38" t="s">
        <v>852</v>
      </c>
      <c r="R441" s="38" t="s">
        <v>852</v>
      </c>
    </row>
    <row r="442" spans="1:18" ht="15.75" customHeight="1" thickBot="1" x14ac:dyDescent="0.35">
      <c r="A442" s="234" t="s">
        <v>1711</v>
      </c>
      <c r="B442" s="172"/>
      <c r="C442" s="172"/>
      <c r="D442" s="172"/>
      <c r="E442" s="38" t="s">
        <v>852</v>
      </c>
      <c r="F442" s="172"/>
      <c r="G442" s="172"/>
      <c r="H442" s="172"/>
      <c r="I442" s="38" t="s">
        <v>852</v>
      </c>
      <c r="J442" s="172"/>
      <c r="K442" s="172"/>
      <c r="L442" s="172"/>
      <c r="M442" s="38" t="s">
        <v>852</v>
      </c>
      <c r="N442" s="172"/>
      <c r="O442" s="172"/>
      <c r="P442" s="172"/>
      <c r="Q442" s="38" t="s">
        <v>852</v>
      </c>
      <c r="R442" s="38" t="s">
        <v>852</v>
      </c>
    </row>
    <row r="443" spans="1:18" ht="16.5" customHeight="1" thickBot="1" x14ac:dyDescent="0.35">
      <c r="A443" s="277" t="s">
        <v>1220</v>
      </c>
      <c r="B443" s="45">
        <f>SUM(B440:B442)</f>
        <v>0</v>
      </c>
      <c r="C443" s="46">
        <f>SUM(C440:C442)</f>
        <v>0</v>
      </c>
      <c r="D443" s="46">
        <f>SUM(D440:D442)</f>
        <v>0</v>
      </c>
      <c r="E443" s="37">
        <f>SUM(B443:D443)</f>
        <v>0</v>
      </c>
      <c r="F443" s="46">
        <f>SUM(F440:F442)</f>
        <v>0</v>
      </c>
      <c r="G443" s="46">
        <f>SUM(G440:G442)</f>
        <v>0</v>
      </c>
      <c r="H443" s="46">
        <f>SUM(H440:H442)</f>
        <v>0</v>
      </c>
      <c r="I443" s="37">
        <f>SUM(F443:H443)</f>
        <v>0</v>
      </c>
      <c r="J443" s="46">
        <f>SUM(J440:J442)</f>
        <v>0</v>
      </c>
      <c r="K443" s="46">
        <f>SUM(K440:K442)</f>
        <v>0</v>
      </c>
      <c r="L443" s="46">
        <f>SUM(L440:L442)</f>
        <v>0</v>
      </c>
      <c r="M443" s="37">
        <f>SUM(J443:L443)</f>
        <v>0</v>
      </c>
      <c r="N443" s="46">
        <f>SUM(N440:N442)</f>
        <v>0</v>
      </c>
      <c r="O443" s="46">
        <f>SUM(O440:O442)</f>
        <v>0</v>
      </c>
      <c r="P443" s="46">
        <f>SUM(P440:P442)</f>
        <v>0</v>
      </c>
      <c r="Q443" s="37">
        <f>SUM(N443:P443)</f>
        <v>0</v>
      </c>
      <c r="R443" s="37">
        <f>+E443+I443+M443+Q443</f>
        <v>0</v>
      </c>
    </row>
    <row r="444" spans="1:18" ht="15.75" customHeight="1" x14ac:dyDescent="0.3">
      <c r="A444" s="234" t="s">
        <v>1712</v>
      </c>
      <c r="B444" s="172"/>
      <c r="C444" s="172"/>
      <c r="D444" s="172"/>
      <c r="E444" s="38" t="s">
        <v>852</v>
      </c>
      <c r="F444" s="172"/>
      <c r="G444" s="172"/>
      <c r="H444" s="172"/>
      <c r="I444" s="38" t="s">
        <v>852</v>
      </c>
      <c r="J444" s="172"/>
      <c r="K444" s="172"/>
      <c r="L444" s="172"/>
      <c r="M444" s="38" t="s">
        <v>852</v>
      </c>
      <c r="N444" s="172"/>
      <c r="O444" s="172"/>
      <c r="P444" s="172"/>
      <c r="Q444" s="38" t="s">
        <v>852</v>
      </c>
      <c r="R444" s="38" t="s">
        <v>852</v>
      </c>
    </row>
    <row r="445" spans="1:18" ht="15.75" customHeight="1" x14ac:dyDescent="0.3">
      <c r="A445" s="234" t="s">
        <v>1021</v>
      </c>
      <c r="B445" s="172"/>
      <c r="C445" s="172"/>
      <c r="D445" s="172"/>
      <c r="E445" s="38" t="s">
        <v>852</v>
      </c>
      <c r="F445" s="172"/>
      <c r="G445" s="172"/>
      <c r="H445" s="172"/>
      <c r="I445" s="38" t="s">
        <v>852</v>
      </c>
      <c r="J445" s="172"/>
      <c r="K445" s="172"/>
      <c r="L445" s="172"/>
      <c r="M445" s="38" t="s">
        <v>852</v>
      </c>
      <c r="N445" s="172"/>
      <c r="O445" s="172"/>
      <c r="P445" s="172"/>
      <c r="Q445" s="38" t="s">
        <v>852</v>
      </c>
      <c r="R445" s="38" t="s">
        <v>852</v>
      </c>
    </row>
    <row r="446" spans="1:18" ht="15.75" customHeight="1" x14ac:dyDescent="0.3">
      <c r="A446" s="234" t="s">
        <v>557</v>
      </c>
      <c r="B446" s="172"/>
      <c r="C446" s="172"/>
      <c r="D446" s="172"/>
      <c r="E446" s="38" t="s">
        <v>852</v>
      </c>
      <c r="F446" s="172"/>
      <c r="G446" s="172"/>
      <c r="H446" s="172"/>
      <c r="I446" s="38" t="s">
        <v>852</v>
      </c>
      <c r="J446" s="172"/>
      <c r="K446" s="172"/>
      <c r="L446" s="172"/>
      <c r="M446" s="38" t="s">
        <v>852</v>
      </c>
      <c r="N446" s="172"/>
      <c r="O446" s="172"/>
      <c r="P446" s="172"/>
      <c r="Q446" s="38" t="s">
        <v>852</v>
      </c>
      <c r="R446" s="38" t="s">
        <v>852</v>
      </c>
    </row>
    <row r="447" spans="1:18" ht="15.75" customHeight="1" x14ac:dyDescent="0.3">
      <c r="A447" s="234" t="s">
        <v>1022</v>
      </c>
      <c r="B447" s="172"/>
      <c r="C447" s="172"/>
      <c r="D447" s="172"/>
      <c r="E447" s="38" t="s">
        <v>852</v>
      </c>
      <c r="F447" s="172"/>
      <c r="G447" s="172"/>
      <c r="H447" s="172"/>
      <c r="I447" s="38" t="s">
        <v>852</v>
      </c>
      <c r="J447" s="172"/>
      <c r="K447" s="172"/>
      <c r="L447" s="172"/>
      <c r="M447" s="38" t="s">
        <v>852</v>
      </c>
      <c r="N447" s="172"/>
      <c r="O447" s="172"/>
      <c r="P447" s="172"/>
      <c r="Q447" s="38" t="s">
        <v>852</v>
      </c>
      <c r="R447" s="38" t="s">
        <v>852</v>
      </c>
    </row>
    <row r="448" spans="1:18" ht="15.75" customHeight="1" x14ac:dyDescent="0.3">
      <c r="A448" s="266" t="s">
        <v>2102</v>
      </c>
      <c r="B448" s="172">
        <v>0</v>
      </c>
      <c r="C448" s="172">
        <v>0</v>
      </c>
      <c r="D448" s="172">
        <v>0</v>
      </c>
      <c r="E448" s="38">
        <f>SUM(B448:D448)</f>
        <v>0</v>
      </c>
      <c r="F448" s="172">
        <v>0</v>
      </c>
      <c r="G448" s="172">
        <v>0</v>
      </c>
      <c r="H448" s="172">
        <v>0</v>
      </c>
      <c r="I448" s="38">
        <f>SUM(F448:H448)</f>
        <v>0</v>
      </c>
      <c r="J448" s="172">
        <v>0</v>
      </c>
      <c r="K448" s="172">
        <v>0</v>
      </c>
      <c r="L448" s="172">
        <v>202</v>
      </c>
      <c r="M448" s="38">
        <f>SUM(J448:L448)</f>
        <v>202</v>
      </c>
      <c r="N448" s="172">
        <v>298</v>
      </c>
      <c r="O448" s="172">
        <v>0</v>
      </c>
      <c r="P448" s="172">
        <v>0</v>
      </c>
      <c r="Q448" s="38">
        <f>SUM(N448:P448)</f>
        <v>298</v>
      </c>
      <c r="R448" s="38">
        <f>+E448+I448+M448+Q448</f>
        <v>500</v>
      </c>
    </row>
    <row r="449" spans="1:18" ht="15.75" customHeight="1" x14ac:dyDescent="0.3">
      <c r="A449" s="234" t="s">
        <v>559</v>
      </c>
      <c r="B449" s="172"/>
      <c r="C449" s="172"/>
      <c r="D449" s="172"/>
      <c r="E449" s="38"/>
      <c r="F449" s="172"/>
      <c r="G449" s="172"/>
      <c r="H449" s="172"/>
      <c r="I449" s="38"/>
      <c r="J449" s="172"/>
      <c r="K449" s="172"/>
      <c r="L449" s="172"/>
      <c r="M449" s="38"/>
      <c r="N449" s="172"/>
      <c r="O449" s="172"/>
      <c r="P449" s="172"/>
      <c r="Q449" s="38"/>
      <c r="R449" s="38" t="s">
        <v>852</v>
      </c>
    </row>
    <row r="450" spans="1:18" ht="15.75" customHeight="1" x14ac:dyDescent="0.3">
      <c r="A450" s="539" t="s">
        <v>2567</v>
      </c>
      <c r="B450" s="10">
        <v>0</v>
      </c>
      <c r="C450" s="10">
        <v>0</v>
      </c>
      <c r="D450" s="10">
        <v>0</v>
      </c>
      <c r="E450" s="38">
        <f t="shared" ref="E450:E456" si="85">SUM(B450:D450)</f>
        <v>0</v>
      </c>
      <c r="F450" s="10">
        <v>0</v>
      </c>
      <c r="G450" s="10">
        <v>0</v>
      </c>
      <c r="H450" s="10">
        <v>0</v>
      </c>
      <c r="I450" s="38">
        <f t="shared" ref="I450:I456" si="86">SUM(F450:H450)</f>
        <v>0</v>
      </c>
      <c r="J450" s="10">
        <v>0</v>
      </c>
      <c r="K450" s="10">
        <v>3761</v>
      </c>
      <c r="L450" s="10">
        <v>1956</v>
      </c>
      <c r="M450" s="38">
        <f t="shared" ref="M450:M456" si="87">SUM(J450:L450)</f>
        <v>5717</v>
      </c>
      <c r="N450" s="10">
        <v>90</v>
      </c>
      <c r="O450" s="10">
        <v>20</v>
      </c>
      <c r="P450" s="10">
        <v>0</v>
      </c>
      <c r="Q450" s="38">
        <f t="shared" ref="Q450:Q456" si="88">SUM(N450:P450)</f>
        <v>110</v>
      </c>
      <c r="R450" s="38">
        <f t="shared" ref="R450:R456" si="89">+E450+I450+M450+Q450</f>
        <v>5827</v>
      </c>
    </row>
    <row r="451" spans="1:18" ht="15.75" customHeight="1" x14ac:dyDescent="0.3">
      <c r="A451" s="539" t="s">
        <v>2568</v>
      </c>
      <c r="B451" s="172">
        <v>0</v>
      </c>
      <c r="C451" s="172">
        <v>0</v>
      </c>
      <c r="D451" s="172">
        <v>0</v>
      </c>
      <c r="E451" s="38">
        <f>SUM(B451:D451)</f>
        <v>0</v>
      </c>
      <c r="F451" s="172">
        <v>0</v>
      </c>
      <c r="G451" s="172">
        <v>0</v>
      </c>
      <c r="H451" s="172">
        <v>0</v>
      </c>
      <c r="I451" s="38">
        <f>SUM(F451:H451)</f>
        <v>0</v>
      </c>
      <c r="J451" s="172">
        <v>0</v>
      </c>
      <c r="K451" s="172">
        <v>0</v>
      </c>
      <c r="L451" s="172">
        <v>0</v>
      </c>
      <c r="M451" s="38">
        <f>SUM(J451:L451)</f>
        <v>0</v>
      </c>
      <c r="N451" s="172">
        <v>0</v>
      </c>
      <c r="O451" s="172">
        <v>0</v>
      </c>
      <c r="P451" s="172">
        <v>0</v>
      </c>
      <c r="Q451" s="38">
        <f>SUM(N451:P451)</f>
        <v>0</v>
      </c>
      <c r="R451" s="38">
        <f>+E451+I451+M451+Q451</f>
        <v>0</v>
      </c>
    </row>
    <row r="452" spans="1:18" ht="15.75" customHeight="1" thickBot="1" x14ac:dyDescent="0.35">
      <c r="A452" s="539" t="s">
        <v>2577</v>
      </c>
      <c r="B452" s="172">
        <v>0</v>
      </c>
      <c r="C452" s="172">
        <v>0</v>
      </c>
      <c r="D452" s="172">
        <v>0</v>
      </c>
      <c r="E452" s="38">
        <f t="shared" si="85"/>
        <v>0</v>
      </c>
      <c r="F452" s="172">
        <v>0</v>
      </c>
      <c r="G452" s="172">
        <v>500</v>
      </c>
      <c r="H452" s="172">
        <v>500</v>
      </c>
      <c r="I452" s="38">
        <f t="shared" si="86"/>
        <v>1000</v>
      </c>
      <c r="J452" s="172">
        <v>0</v>
      </c>
      <c r="K452" s="172">
        <v>0</v>
      </c>
      <c r="L452" s="172">
        <v>0</v>
      </c>
      <c r="M452" s="38">
        <f t="shared" si="87"/>
        <v>0</v>
      </c>
      <c r="N452" s="172">
        <v>77</v>
      </c>
      <c r="O452" s="172">
        <v>0</v>
      </c>
      <c r="P452" s="172">
        <v>0</v>
      </c>
      <c r="Q452" s="38">
        <f t="shared" si="88"/>
        <v>77</v>
      </c>
      <c r="R452" s="38">
        <f t="shared" si="89"/>
        <v>1077</v>
      </c>
    </row>
    <row r="453" spans="1:18" ht="16.5" customHeight="1" thickBot="1" x14ac:dyDescent="0.35">
      <c r="A453" s="43" t="s">
        <v>1019</v>
      </c>
      <c r="B453" s="42">
        <f>SUM(B447:B452)</f>
        <v>0</v>
      </c>
      <c r="C453" s="42">
        <f>SUM(C447:C452)</f>
        <v>0</v>
      </c>
      <c r="D453" s="42">
        <f>SUM(D447:D452)</f>
        <v>0</v>
      </c>
      <c r="E453" s="39">
        <f t="shared" si="85"/>
        <v>0</v>
      </c>
      <c r="F453" s="42">
        <f>SUM(F447:F452)</f>
        <v>0</v>
      </c>
      <c r="G453" s="42">
        <f>SUM(G447:G452)</f>
        <v>500</v>
      </c>
      <c r="H453" s="42">
        <f>SUM(H447:H452)</f>
        <v>500</v>
      </c>
      <c r="I453" s="39">
        <f t="shared" si="86"/>
        <v>1000</v>
      </c>
      <c r="J453" s="42">
        <f>SUM(J447:J452)</f>
        <v>0</v>
      </c>
      <c r="K453" s="42">
        <f>SUM(K447:K452)</f>
        <v>3761</v>
      </c>
      <c r="L453" s="42">
        <f>SUM(L447:L452)</f>
        <v>2158</v>
      </c>
      <c r="M453" s="39">
        <f t="shared" si="87"/>
        <v>5919</v>
      </c>
      <c r="N453" s="42">
        <f>SUM(N447:N452)</f>
        <v>465</v>
      </c>
      <c r="O453" s="42">
        <f>SUM(O447:O452)</f>
        <v>20</v>
      </c>
      <c r="P453" s="42">
        <f>SUM(P447:P452)</f>
        <v>0</v>
      </c>
      <c r="Q453" s="39">
        <f t="shared" si="88"/>
        <v>485</v>
      </c>
      <c r="R453" s="37">
        <f t="shared" si="89"/>
        <v>7404</v>
      </c>
    </row>
    <row r="454" spans="1:18" ht="16.5" customHeight="1" thickBot="1" x14ac:dyDescent="0.35">
      <c r="A454" s="277" t="s">
        <v>1221</v>
      </c>
      <c r="B454" s="45">
        <f>SUM(B444:B452)</f>
        <v>0</v>
      </c>
      <c r="C454" s="46">
        <f>SUM(C444:C452)</f>
        <v>0</v>
      </c>
      <c r="D454" s="58">
        <f>SUM(D444:D452)</f>
        <v>0</v>
      </c>
      <c r="E454" s="39">
        <f t="shared" si="85"/>
        <v>0</v>
      </c>
      <c r="F454" s="46">
        <f>SUM(F444:F452)</f>
        <v>0</v>
      </c>
      <c r="G454" s="46">
        <f>SUM(G444:G452)</f>
        <v>500</v>
      </c>
      <c r="H454" s="46">
        <f>SUM(H444:H452)</f>
        <v>500</v>
      </c>
      <c r="I454" s="39">
        <f t="shared" si="86"/>
        <v>1000</v>
      </c>
      <c r="J454" s="46">
        <f>SUM(J444:J452)</f>
        <v>0</v>
      </c>
      <c r="K454" s="46">
        <f>SUM(K444:K452)</f>
        <v>3761</v>
      </c>
      <c r="L454" s="46">
        <f>SUM(L444:L452)</f>
        <v>2158</v>
      </c>
      <c r="M454" s="39">
        <f t="shared" si="87"/>
        <v>5919</v>
      </c>
      <c r="N454" s="46">
        <f>SUM(N444:N452)</f>
        <v>465</v>
      </c>
      <c r="O454" s="46">
        <f>SUM(O444:O452)</f>
        <v>20</v>
      </c>
      <c r="P454" s="46">
        <f>SUM(P444:P452)</f>
        <v>0</v>
      </c>
      <c r="Q454" s="39">
        <f t="shared" si="88"/>
        <v>485</v>
      </c>
      <c r="R454" s="37">
        <f t="shared" si="89"/>
        <v>7404</v>
      </c>
    </row>
    <row r="455" spans="1:18" ht="16.5" customHeight="1" thickBot="1" x14ac:dyDescent="0.35">
      <c r="A455" s="43" t="s">
        <v>1222</v>
      </c>
      <c r="B455" s="47">
        <f>+B433+B439+B443+B454</f>
        <v>381</v>
      </c>
      <c r="C455" s="42">
        <f>+C433+C439+C443+C454</f>
        <v>670</v>
      </c>
      <c r="D455" s="42">
        <f>+D433+D439+D443+D454</f>
        <v>4275</v>
      </c>
      <c r="E455" s="37">
        <f t="shared" si="85"/>
        <v>5326</v>
      </c>
      <c r="F455" s="42">
        <f>+F433+F439+F443+F454</f>
        <v>4917</v>
      </c>
      <c r="G455" s="42">
        <f>+G433+G439+G443+G454</f>
        <v>6250</v>
      </c>
      <c r="H455" s="42">
        <f>+H433+H439+H443+H454</f>
        <v>8739</v>
      </c>
      <c r="I455" s="37">
        <f t="shared" si="86"/>
        <v>19906</v>
      </c>
      <c r="J455" s="42">
        <f>+J433+J439+J443+J454</f>
        <v>10830</v>
      </c>
      <c r="K455" s="42">
        <f>+K433+K439+K443+K454</f>
        <v>5199</v>
      </c>
      <c r="L455" s="42">
        <f>+L433+L439+L443+L454</f>
        <v>3341</v>
      </c>
      <c r="M455" s="37">
        <f t="shared" si="87"/>
        <v>19370</v>
      </c>
      <c r="N455" s="42">
        <f>+N433+N439+N443+N454</f>
        <v>465</v>
      </c>
      <c r="O455" s="42">
        <f>+O433+O439+O443+O454</f>
        <v>20</v>
      </c>
      <c r="P455" s="42">
        <f>+P433+P439+P443+P454</f>
        <v>0</v>
      </c>
      <c r="Q455" s="37">
        <f t="shared" si="88"/>
        <v>485</v>
      </c>
      <c r="R455" s="40">
        <f t="shared" si="89"/>
        <v>45087</v>
      </c>
    </row>
    <row r="456" spans="1:18" ht="16.5" customHeight="1" thickBot="1" x14ac:dyDescent="0.35">
      <c r="A456" s="244" t="s">
        <v>853</v>
      </c>
      <c r="B456" s="238">
        <v>23</v>
      </c>
      <c r="C456" s="238">
        <v>43</v>
      </c>
      <c r="D456" s="238">
        <v>66</v>
      </c>
      <c r="E456" s="40">
        <f t="shared" si="85"/>
        <v>132</v>
      </c>
      <c r="F456" s="238">
        <v>91</v>
      </c>
      <c r="G456" s="238">
        <v>108</v>
      </c>
      <c r="H456" s="238">
        <v>109</v>
      </c>
      <c r="I456" s="40">
        <f t="shared" si="86"/>
        <v>308</v>
      </c>
      <c r="J456" s="238">
        <v>104</v>
      </c>
      <c r="K456" s="238">
        <v>79</v>
      </c>
      <c r="L456" s="238">
        <v>80</v>
      </c>
      <c r="M456" s="40">
        <f t="shared" si="87"/>
        <v>263</v>
      </c>
      <c r="N456" s="238">
        <v>74</v>
      </c>
      <c r="O456" s="238">
        <v>58</v>
      </c>
      <c r="P456" s="238">
        <v>42</v>
      </c>
      <c r="Q456" s="40">
        <f t="shared" si="88"/>
        <v>174</v>
      </c>
      <c r="R456" s="38">
        <f t="shared" si="89"/>
        <v>877</v>
      </c>
    </row>
    <row r="457" spans="1:18" ht="16.5" customHeight="1" thickBot="1" x14ac:dyDescent="0.35">
      <c r="A457" s="22"/>
      <c r="B457" s="242"/>
      <c r="C457" s="242"/>
      <c r="D457" s="242"/>
      <c r="E457" s="21"/>
      <c r="F457" s="242"/>
      <c r="G457" s="242"/>
      <c r="H457" s="242"/>
      <c r="I457" s="31"/>
      <c r="J457" s="242"/>
      <c r="K457" s="242"/>
      <c r="L457" s="242"/>
      <c r="M457" s="31"/>
      <c r="N457" s="242"/>
      <c r="O457" s="242"/>
      <c r="P457" s="242"/>
      <c r="Q457" s="31"/>
      <c r="R457" s="21"/>
    </row>
    <row r="458" spans="1:18" ht="15.75" customHeight="1" x14ac:dyDescent="0.3">
      <c r="A458" s="234" t="s">
        <v>120</v>
      </c>
      <c r="B458" s="260">
        <f>SUM(B455:B456)</f>
        <v>404</v>
      </c>
      <c r="C458" s="260">
        <f>SUM(C455:C456)</f>
        <v>713</v>
      </c>
      <c r="D458" s="260">
        <f>SUM(D455:D456)</f>
        <v>4341</v>
      </c>
      <c r="E458" s="39">
        <f>SUM(B458:D458)</f>
        <v>5458</v>
      </c>
      <c r="F458" s="260">
        <f>SUM(F455:F456)</f>
        <v>5008</v>
      </c>
      <c r="G458" s="260">
        <f>SUM(G455:G456)</f>
        <v>6358</v>
      </c>
      <c r="H458" s="260">
        <f>SUM(H455:H456)</f>
        <v>8848</v>
      </c>
      <c r="I458" s="39">
        <f>SUM(F458:H458)</f>
        <v>20214</v>
      </c>
      <c r="J458" s="260">
        <f>SUM(J455:J456)</f>
        <v>10934</v>
      </c>
      <c r="K458" s="260">
        <f>SUM(K455:K456)</f>
        <v>5278</v>
      </c>
      <c r="L458" s="260">
        <f>SUM(L455:L456)</f>
        <v>3421</v>
      </c>
      <c r="M458" s="39">
        <f>SUM(J458:L458)</f>
        <v>19633</v>
      </c>
      <c r="N458" s="260">
        <f>SUM(N455:N456)</f>
        <v>539</v>
      </c>
      <c r="O458" s="260">
        <f>SUM(O455:O456)</f>
        <v>78</v>
      </c>
      <c r="P458" s="260">
        <f>SUM(P455:P456)</f>
        <v>42</v>
      </c>
      <c r="Q458" s="39">
        <f>SUM(N458:P458)</f>
        <v>659</v>
      </c>
      <c r="R458" s="39">
        <f>+E458+I458+M458+Q458</f>
        <v>45964</v>
      </c>
    </row>
    <row r="459" spans="1:18" ht="15.75" customHeight="1" x14ac:dyDescent="0.3">
      <c r="A459" s="234" t="s">
        <v>1897</v>
      </c>
      <c r="B459" s="172">
        <f>(B458/31)/1.983</f>
        <v>6.5719909553787845</v>
      </c>
      <c r="C459" s="172">
        <f>(C458/28)/1.983</f>
        <v>12.841293854909589</v>
      </c>
      <c r="D459" s="172">
        <f>(D458/31)/1.983</f>
        <v>70.616368161631925</v>
      </c>
      <c r="E459" s="38" t="s">
        <v>852</v>
      </c>
      <c r="F459" s="172">
        <f>(F458/30)/1.983</f>
        <v>84.182215498403096</v>
      </c>
      <c r="G459" s="172">
        <f>(G458/31)/1.983</f>
        <v>103.42752102549086</v>
      </c>
      <c r="H459" s="172">
        <f>(H458/30)/1.983</f>
        <v>148.73087913935115</v>
      </c>
      <c r="I459" s="38" t="s">
        <v>852</v>
      </c>
      <c r="J459" s="172">
        <f>(J458/31)/1.983</f>
        <v>177.86670570819709</v>
      </c>
      <c r="K459" s="172">
        <f>(K458/31)/1.983</f>
        <v>85.85883233289411</v>
      </c>
      <c r="L459" s="172">
        <f>(L458/30)/1.983</f>
        <v>57.505463103042523</v>
      </c>
      <c r="M459" s="38" t="s">
        <v>852</v>
      </c>
      <c r="N459" s="172">
        <f>(N458/31)/1.983</f>
        <v>8.7680770419533776</v>
      </c>
      <c r="O459" s="172">
        <f>(O458/30)/1.983</f>
        <v>1.3111447302067574</v>
      </c>
      <c r="P459" s="172">
        <f>(P458/31)/1.983</f>
        <v>0.68322678248987356</v>
      </c>
      <c r="Q459" s="38" t="s">
        <v>852</v>
      </c>
      <c r="R459" s="38" t="s">
        <v>852</v>
      </c>
    </row>
    <row r="460" spans="1:18" ht="15.75" customHeight="1" x14ac:dyDescent="0.3">
      <c r="A460" s="234" t="s">
        <v>1433</v>
      </c>
      <c r="B460" s="172">
        <f>B458+B512</f>
        <v>20901</v>
      </c>
      <c r="C460" s="172">
        <f>C458+C512</f>
        <v>22469</v>
      </c>
      <c r="D460" s="172">
        <f>D458+D512</f>
        <v>24520</v>
      </c>
      <c r="E460" s="38">
        <f>SUM(B460:D460)</f>
        <v>67890</v>
      </c>
      <c r="F460" s="172">
        <f>F458+F512</f>
        <v>28892</v>
      </c>
      <c r="G460" s="172">
        <f>G458+G512</f>
        <v>27107</v>
      </c>
      <c r="H460" s="172">
        <f>H458+H512</f>
        <v>22329</v>
      </c>
      <c r="I460" s="38">
        <f>SUM(F460:H460)</f>
        <v>78328</v>
      </c>
      <c r="J460" s="172">
        <f>J458+J512</f>
        <v>28510</v>
      </c>
      <c r="K460" s="172">
        <f>K458+K512</f>
        <v>29402</v>
      </c>
      <c r="L460" s="172">
        <f>L458+L512</f>
        <v>24427</v>
      </c>
      <c r="M460" s="38">
        <f>SUM(J460:L460)</f>
        <v>82339</v>
      </c>
      <c r="N460" s="172">
        <f>N458+N512</f>
        <v>16860</v>
      </c>
      <c r="O460" s="172">
        <f>O458+O512</f>
        <v>7542</v>
      </c>
      <c r="P460" s="172">
        <f>P458+P512</f>
        <v>13087</v>
      </c>
      <c r="Q460" s="38">
        <f>SUM(N460:P460)</f>
        <v>37489</v>
      </c>
      <c r="R460" s="38">
        <f>+E460+I460+M460+Q460</f>
        <v>266046</v>
      </c>
    </row>
    <row r="461" spans="1:18" ht="16.5" customHeight="1" thickBot="1" x14ac:dyDescent="0.35">
      <c r="A461" s="237" t="s">
        <v>426</v>
      </c>
      <c r="B461" s="264">
        <f>(B460/31)/1.983</f>
        <v>340.00292811478209</v>
      </c>
      <c r="C461" s="264">
        <f>(C460/28)/1.983</f>
        <v>404.67185361285203</v>
      </c>
      <c r="D461" s="264">
        <f>(D460/31)/1.983</f>
        <v>398.87430253932621</v>
      </c>
      <c r="E461" s="40" t="s">
        <v>852</v>
      </c>
      <c r="F461" s="264">
        <f>(F460/30)/1.983</f>
        <v>485.66145570684148</v>
      </c>
      <c r="G461" s="264">
        <f>(G460/31)/1.983</f>
        <v>440.95781887983338</v>
      </c>
      <c r="H461" s="264">
        <f>(H460/30)/1.983</f>
        <v>375.34039334341901</v>
      </c>
      <c r="I461" s="40" t="s">
        <v>852</v>
      </c>
      <c r="J461" s="264">
        <f>(J460/31)/1.983</f>
        <v>463.78084687586414</v>
      </c>
      <c r="K461" s="264">
        <f>(K460/31)/1.983</f>
        <v>478.29128235160152</v>
      </c>
      <c r="L461" s="264">
        <f>(L460/30)/1.983</f>
        <v>410.60682467641618</v>
      </c>
      <c r="M461" s="40" t="s">
        <v>852</v>
      </c>
      <c r="N461" s="264">
        <f>(N460/31)/1.983</f>
        <v>274.26675125664923</v>
      </c>
      <c r="O461" s="264">
        <f>(O460/30)/1.983</f>
        <v>126.77760968229954</v>
      </c>
      <c r="P461" s="264">
        <f>(P460/31)/1.983</f>
        <v>212.89021196297563</v>
      </c>
      <c r="Q461" s="40" t="s">
        <v>852</v>
      </c>
      <c r="R461" s="40" t="s">
        <v>852</v>
      </c>
    </row>
    <row r="462" spans="1:18" ht="15.75" customHeight="1" x14ac:dyDescent="0.3">
      <c r="A462" s="17"/>
      <c r="B462" s="172"/>
      <c r="C462" s="172"/>
      <c r="D462" s="172"/>
      <c r="E462" s="172"/>
      <c r="F462" s="172"/>
      <c r="G462" s="172"/>
      <c r="H462" s="172"/>
      <c r="I462" s="172"/>
      <c r="J462" s="172"/>
      <c r="K462" s="172"/>
      <c r="L462" s="172"/>
      <c r="M462" s="172"/>
      <c r="N462" s="172"/>
      <c r="O462" s="172"/>
      <c r="P462" s="172"/>
      <c r="Q462" s="172"/>
      <c r="R462" s="17"/>
    </row>
    <row r="463" spans="1:18" ht="15.75" customHeight="1" thickBot="1" x14ac:dyDescent="0.35">
      <c r="A463" s="17"/>
      <c r="B463" s="172"/>
      <c r="C463" s="172"/>
      <c r="D463" s="172"/>
      <c r="E463" s="172"/>
      <c r="F463" s="172"/>
      <c r="G463" s="172"/>
      <c r="H463" s="172"/>
      <c r="I463" s="172"/>
      <c r="J463" s="172"/>
      <c r="K463" s="172"/>
      <c r="L463" s="172"/>
      <c r="M463" s="172"/>
      <c r="N463" s="172"/>
      <c r="O463" s="172"/>
      <c r="P463" s="172"/>
      <c r="Q463" s="172"/>
      <c r="R463" s="17"/>
    </row>
    <row r="464" spans="1:18" ht="16.5" customHeight="1" thickBot="1" x14ac:dyDescent="0.35">
      <c r="A464" s="278" t="s">
        <v>1069</v>
      </c>
      <c r="B464" s="4" t="s">
        <v>2090</v>
      </c>
      <c r="C464" s="5" t="s">
        <v>2091</v>
      </c>
      <c r="D464" s="5" t="s">
        <v>2234</v>
      </c>
      <c r="E464" s="33" t="s">
        <v>1594</v>
      </c>
      <c r="F464" s="5" t="s">
        <v>2235</v>
      </c>
      <c r="G464" s="5" t="s">
        <v>2236</v>
      </c>
      <c r="H464" s="5" t="s">
        <v>2237</v>
      </c>
      <c r="I464" s="35" t="s">
        <v>1595</v>
      </c>
      <c r="J464" s="5" t="s">
        <v>1504</v>
      </c>
      <c r="K464" s="5" t="s">
        <v>1505</v>
      </c>
      <c r="L464" s="5" t="s">
        <v>1506</v>
      </c>
      <c r="M464" s="35" t="s">
        <v>1596</v>
      </c>
      <c r="N464" s="5" t="s">
        <v>1507</v>
      </c>
      <c r="O464" s="5" t="s">
        <v>1508</v>
      </c>
      <c r="P464" s="5" t="s">
        <v>1509</v>
      </c>
      <c r="Q464" s="35" t="s">
        <v>1597</v>
      </c>
      <c r="R464" s="36" t="s">
        <v>1510</v>
      </c>
    </row>
    <row r="465" spans="1:18" ht="16.5" customHeight="1" thickBot="1" x14ac:dyDescent="0.35">
      <c r="A465" s="37"/>
      <c r="B465" s="258"/>
      <c r="C465" s="258"/>
      <c r="D465" s="258"/>
      <c r="E465" s="254"/>
      <c r="F465" s="258"/>
      <c r="G465" s="258"/>
      <c r="H465" s="258"/>
      <c r="I465" s="265"/>
      <c r="J465" s="258"/>
      <c r="K465" s="258"/>
      <c r="L465" s="258"/>
      <c r="M465" s="265"/>
      <c r="N465" s="258"/>
      <c r="O465" s="258"/>
      <c r="P465" s="258"/>
      <c r="Q465" s="265"/>
      <c r="R465" s="52"/>
    </row>
    <row r="466" spans="1:18" ht="15.75" customHeight="1" x14ac:dyDescent="0.3">
      <c r="A466" s="234" t="s">
        <v>2417</v>
      </c>
      <c r="B466" s="172" t="s">
        <v>852</v>
      </c>
      <c r="C466" s="172" t="s">
        <v>852</v>
      </c>
      <c r="D466" s="172" t="s">
        <v>852</v>
      </c>
      <c r="E466" s="38" t="s">
        <v>852</v>
      </c>
      <c r="F466" s="172" t="s">
        <v>852</v>
      </c>
      <c r="G466" s="172" t="s">
        <v>852</v>
      </c>
      <c r="H466" s="172" t="s">
        <v>852</v>
      </c>
      <c r="I466" s="38" t="s">
        <v>852</v>
      </c>
      <c r="J466" s="172" t="s">
        <v>852</v>
      </c>
      <c r="K466" s="172" t="s">
        <v>852</v>
      </c>
      <c r="L466" s="172" t="s">
        <v>852</v>
      </c>
      <c r="M466" s="38" t="s">
        <v>852</v>
      </c>
      <c r="N466" s="172" t="s">
        <v>852</v>
      </c>
      <c r="O466" s="172" t="s">
        <v>852</v>
      </c>
      <c r="P466" s="172" t="s">
        <v>852</v>
      </c>
      <c r="Q466" s="38" t="s">
        <v>852</v>
      </c>
      <c r="R466" s="38" t="s">
        <v>852</v>
      </c>
    </row>
    <row r="467" spans="1:18" ht="15.75" customHeight="1" x14ac:dyDescent="0.3">
      <c r="A467" s="234" t="s">
        <v>2160</v>
      </c>
      <c r="B467" s="172"/>
      <c r="C467" s="172"/>
      <c r="D467" s="172"/>
      <c r="E467" s="38" t="s">
        <v>852</v>
      </c>
      <c r="F467" s="172"/>
      <c r="G467" s="172"/>
      <c r="H467" s="172"/>
      <c r="I467" s="38" t="s">
        <v>852</v>
      </c>
      <c r="J467" s="172"/>
      <c r="K467" s="172"/>
      <c r="L467" s="172"/>
      <c r="M467" s="38" t="s">
        <v>852</v>
      </c>
      <c r="N467" s="172"/>
      <c r="O467" s="172"/>
      <c r="P467" s="172"/>
      <c r="Q467" s="38" t="s">
        <v>852</v>
      </c>
      <c r="R467" s="38" t="s">
        <v>852</v>
      </c>
    </row>
    <row r="468" spans="1:18" ht="15.75" customHeight="1" x14ac:dyDescent="0.3">
      <c r="A468" s="310" t="s">
        <v>746</v>
      </c>
      <c r="B468" s="10">
        <v>694</v>
      </c>
      <c r="C468" s="10">
        <v>724</v>
      </c>
      <c r="D468" s="10">
        <v>837</v>
      </c>
      <c r="E468" s="38">
        <f t="shared" ref="E468:E474" si="90">SUM(B468:D468)</f>
        <v>2255</v>
      </c>
      <c r="F468" s="10">
        <v>679</v>
      </c>
      <c r="G468" s="10">
        <v>341</v>
      </c>
      <c r="H468" s="10">
        <v>656</v>
      </c>
      <c r="I468" s="38">
        <f t="shared" ref="I468:I474" si="91">SUM(F468:H468)</f>
        <v>1676</v>
      </c>
      <c r="J468" s="10">
        <v>639</v>
      </c>
      <c r="K468" s="10">
        <v>593</v>
      </c>
      <c r="L468" s="10">
        <v>699</v>
      </c>
      <c r="M468" s="38">
        <f t="shared" ref="M468:M474" si="92">SUM(J468:L468)</f>
        <v>1931</v>
      </c>
      <c r="N468" s="10">
        <v>203</v>
      </c>
      <c r="O468" s="10">
        <v>0</v>
      </c>
      <c r="P468" s="10">
        <v>0</v>
      </c>
      <c r="Q468" s="38">
        <f t="shared" ref="Q468:Q474" si="93">SUM(N468:P468)</f>
        <v>203</v>
      </c>
      <c r="R468" s="38">
        <f t="shared" ref="R468:R474" si="94">+E468+I468+M468+Q468</f>
        <v>6065</v>
      </c>
    </row>
    <row r="469" spans="1:18" ht="15.75" customHeight="1" x14ac:dyDescent="0.3">
      <c r="A469" s="310" t="s">
        <v>639</v>
      </c>
      <c r="B469" s="10">
        <v>0</v>
      </c>
      <c r="C469" s="10">
        <v>0</v>
      </c>
      <c r="D469" s="10">
        <v>100</v>
      </c>
      <c r="E469" s="38">
        <f>SUM(B469:D469)</f>
        <v>100</v>
      </c>
      <c r="F469" s="10">
        <v>0</v>
      </c>
      <c r="G469" s="10">
        <v>0</v>
      </c>
      <c r="H469" s="10">
        <v>0</v>
      </c>
      <c r="I469" s="38">
        <f>SUM(F469:H469)</f>
        <v>0</v>
      </c>
      <c r="J469" s="10">
        <v>0</v>
      </c>
      <c r="K469" s="10">
        <v>0</v>
      </c>
      <c r="L469" s="10">
        <v>0</v>
      </c>
      <c r="M469" s="38">
        <f>SUM(J469:L469)</f>
        <v>0</v>
      </c>
      <c r="N469" s="10">
        <v>0</v>
      </c>
      <c r="O469" s="10">
        <v>0</v>
      </c>
      <c r="P469" s="10">
        <v>0</v>
      </c>
      <c r="Q469" s="38">
        <f>SUM(N469:P469)</f>
        <v>0</v>
      </c>
      <c r="R469" s="38">
        <f>+E469+I469+M469+Q469</f>
        <v>100</v>
      </c>
    </row>
    <row r="470" spans="1:18" ht="15.75" customHeight="1" x14ac:dyDescent="0.3">
      <c r="A470" s="310" t="s">
        <v>1185</v>
      </c>
      <c r="B470" s="10">
        <v>0</v>
      </c>
      <c r="C470" s="10">
        <v>0</v>
      </c>
      <c r="D470" s="10">
        <v>32</v>
      </c>
      <c r="E470" s="38">
        <f t="shared" si="90"/>
        <v>32</v>
      </c>
      <c r="F470" s="10">
        <v>1619</v>
      </c>
      <c r="G470" s="10">
        <v>401</v>
      </c>
      <c r="H470" s="10">
        <v>370</v>
      </c>
      <c r="I470" s="38">
        <f t="shared" si="91"/>
        <v>2390</v>
      </c>
      <c r="J470" s="10">
        <v>668</v>
      </c>
      <c r="K470" s="10">
        <v>239</v>
      </c>
      <c r="L470" s="10">
        <v>0</v>
      </c>
      <c r="M470" s="38">
        <f t="shared" si="92"/>
        <v>907</v>
      </c>
      <c r="N470" s="10">
        <v>0</v>
      </c>
      <c r="O470" s="10">
        <v>0</v>
      </c>
      <c r="P470" s="10">
        <v>0</v>
      </c>
      <c r="Q470" s="38">
        <f t="shared" si="93"/>
        <v>0</v>
      </c>
      <c r="R470" s="38">
        <f t="shared" si="94"/>
        <v>3329</v>
      </c>
    </row>
    <row r="471" spans="1:18" ht="15.75" customHeight="1" x14ac:dyDescent="0.3">
      <c r="A471" s="310" t="s">
        <v>745</v>
      </c>
      <c r="B471" s="10">
        <v>0</v>
      </c>
      <c r="C471" s="10">
        <v>0</v>
      </c>
      <c r="D471" s="10">
        <v>0</v>
      </c>
      <c r="E471" s="38">
        <f>SUM(B471:D471)</f>
        <v>0</v>
      </c>
      <c r="F471" s="10">
        <v>0</v>
      </c>
      <c r="G471" s="10">
        <v>0</v>
      </c>
      <c r="H471" s="10">
        <v>0</v>
      </c>
      <c r="I471" s="38">
        <f>SUM(F471:H471)</f>
        <v>0</v>
      </c>
      <c r="J471" s="10">
        <v>0</v>
      </c>
      <c r="K471" s="10">
        <v>0</v>
      </c>
      <c r="L471" s="10">
        <v>0</v>
      </c>
      <c r="M471" s="38">
        <f>SUM(J471:L471)</f>
        <v>0</v>
      </c>
      <c r="N471" s="10">
        <v>0</v>
      </c>
      <c r="O471" s="10">
        <v>0</v>
      </c>
      <c r="P471" s="10">
        <v>0</v>
      </c>
      <c r="Q471" s="38">
        <f>SUM(N471:P471)</f>
        <v>0</v>
      </c>
      <c r="R471" s="38">
        <f>+E471+I471+M471+Q471</f>
        <v>0</v>
      </c>
    </row>
    <row r="472" spans="1:18" ht="15.75" customHeight="1" x14ac:dyDescent="0.3">
      <c r="A472" s="310" t="s">
        <v>484</v>
      </c>
      <c r="B472" s="10">
        <v>1000</v>
      </c>
      <c r="C472" s="10">
        <v>500</v>
      </c>
      <c r="D472" s="10">
        <v>1000</v>
      </c>
      <c r="E472" s="38">
        <f t="shared" si="90"/>
        <v>2500</v>
      </c>
      <c r="F472" s="10">
        <v>0</v>
      </c>
      <c r="G472" s="10">
        <v>0</v>
      </c>
      <c r="H472" s="10">
        <v>0</v>
      </c>
      <c r="I472" s="38">
        <f t="shared" si="91"/>
        <v>0</v>
      </c>
      <c r="J472" s="10">
        <v>0</v>
      </c>
      <c r="K472" s="10">
        <v>0</v>
      </c>
      <c r="L472" s="10">
        <v>0</v>
      </c>
      <c r="M472" s="38">
        <f t="shared" si="92"/>
        <v>0</v>
      </c>
      <c r="N472" s="10">
        <v>0</v>
      </c>
      <c r="O472" s="10">
        <v>0</v>
      </c>
      <c r="P472" s="10">
        <v>0</v>
      </c>
      <c r="Q472" s="38">
        <f t="shared" si="93"/>
        <v>0</v>
      </c>
      <c r="R472" s="38">
        <f t="shared" si="94"/>
        <v>2500</v>
      </c>
    </row>
    <row r="473" spans="1:18" x14ac:dyDescent="0.3">
      <c r="A473" s="266" t="s">
        <v>1836</v>
      </c>
      <c r="B473" s="172">
        <v>0</v>
      </c>
      <c r="C473" s="172">
        <v>0</v>
      </c>
      <c r="D473" s="172">
        <v>0</v>
      </c>
      <c r="E473" s="38">
        <f t="shared" si="90"/>
        <v>0</v>
      </c>
      <c r="F473" s="172">
        <v>0</v>
      </c>
      <c r="G473" s="172">
        <v>0</v>
      </c>
      <c r="H473" s="172">
        <v>0</v>
      </c>
      <c r="I473" s="38">
        <f t="shared" si="91"/>
        <v>0</v>
      </c>
      <c r="J473" s="172">
        <v>1214</v>
      </c>
      <c r="K473" s="172">
        <v>586</v>
      </c>
      <c r="L473" s="172">
        <v>0</v>
      </c>
      <c r="M473" s="38">
        <f t="shared" si="92"/>
        <v>1800</v>
      </c>
      <c r="N473" s="172">
        <v>0</v>
      </c>
      <c r="O473" s="172">
        <v>0</v>
      </c>
      <c r="P473" s="172">
        <v>0</v>
      </c>
      <c r="Q473" s="38">
        <f t="shared" si="93"/>
        <v>0</v>
      </c>
      <c r="R473" s="38">
        <f t="shared" si="94"/>
        <v>1800</v>
      </c>
    </row>
    <row r="474" spans="1:18" ht="15.75" customHeight="1" x14ac:dyDescent="0.3">
      <c r="A474" s="266" t="s">
        <v>1295</v>
      </c>
      <c r="B474" s="172">
        <v>1000</v>
      </c>
      <c r="C474" s="172">
        <v>528</v>
      </c>
      <c r="D474" s="172">
        <v>0</v>
      </c>
      <c r="E474" s="38">
        <f t="shared" si="90"/>
        <v>1528</v>
      </c>
      <c r="F474" s="172">
        <v>0</v>
      </c>
      <c r="G474" s="172">
        <v>0</v>
      </c>
      <c r="H474" s="172">
        <v>0</v>
      </c>
      <c r="I474" s="38">
        <f t="shared" si="91"/>
        <v>0</v>
      </c>
      <c r="J474" s="172">
        <v>0</v>
      </c>
      <c r="K474" s="172">
        <v>0</v>
      </c>
      <c r="L474" s="172">
        <v>0</v>
      </c>
      <c r="M474" s="38">
        <f t="shared" si="92"/>
        <v>0</v>
      </c>
      <c r="N474" s="172">
        <v>0</v>
      </c>
      <c r="O474" s="172">
        <v>0</v>
      </c>
      <c r="P474" s="172">
        <v>0</v>
      </c>
      <c r="Q474" s="38">
        <f t="shared" si="93"/>
        <v>0</v>
      </c>
      <c r="R474" s="38">
        <f t="shared" si="94"/>
        <v>1528</v>
      </c>
    </row>
    <row r="475" spans="1:18" ht="15.75" customHeight="1" x14ac:dyDescent="0.3">
      <c r="A475" s="310" t="s">
        <v>2448</v>
      </c>
      <c r="B475" s="10">
        <v>0</v>
      </c>
      <c r="C475" s="10">
        <v>0</v>
      </c>
      <c r="D475" s="10">
        <v>0</v>
      </c>
      <c r="E475" s="38">
        <f>SUM(B475:D475)</f>
        <v>0</v>
      </c>
      <c r="F475" s="10">
        <v>0</v>
      </c>
      <c r="G475" s="10">
        <v>0</v>
      </c>
      <c r="H475" s="10">
        <v>0</v>
      </c>
      <c r="I475" s="38">
        <f>SUM(F475:H475)</f>
        <v>0</v>
      </c>
      <c r="J475" s="10">
        <v>0</v>
      </c>
      <c r="K475" s="10">
        <v>180</v>
      </c>
      <c r="L475" s="10">
        <v>0</v>
      </c>
      <c r="M475" s="38">
        <f>SUM(J475:L475)</f>
        <v>180</v>
      </c>
      <c r="N475" s="10">
        <v>0</v>
      </c>
      <c r="O475" s="10">
        <v>0</v>
      </c>
      <c r="P475" s="10">
        <v>0</v>
      </c>
      <c r="Q475" s="38">
        <f>SUM(N475:P475)</f>
        <v>0</v>
      </c>
      <c r="R475" s="38">
        <f>+E475+I475+M475+Q475</f>
        <v>180</v>
      </c>
    </row>
    <row r="476" spans="1:18" ht="15.75" customHeight="1" x14ac:dyDescent="0.3">
      <c r="A476" s="234" t="s">
        <v>2161</v>
      </c>
      <c r="B476" s="172"/>
      <c r="C476" s="172"/>
      <c r="D476" s="172"/>
      <c r="E476" s="38" t="s">
        <v>852</v>
      </c>
      <c r="F476" s="172"/>
      <c r="G476" s="172"/>
      <c r="H476" s="172"/>
      <c r="I476" s="38" t="s">
        <v>852</v>
      </c>
      <c r="J476" s="172"/>
      <c r="K476" s="172"/>
      <c r="L476" s="172"/>
      <c r="M476" s="38" t="s">
        <v>852</v>
      </c>
      <c r="N476" s="172"/>
      <c r="O476" s="172"/>
      <c r="P476" s="172"/>
      <c r="Q476" s="38" t="s">
        <v>852</v>
      </c>
      <c r="R476" s="38" t="s">
        <v>852</v>
      </c>
    </row>
    <row r="477" spans="1:18" ht="15.75" customHeight="1" x14ac:dyDescent="0.3">
      <c r="A477" s="266" t="s">
        <v>1295</v>
      </c>
      <c r="B477" s="172">
        <v>0</v>
      </c>
      <c r="C477" s="172">
        <v>0</v>
      </c>
      <c r="D477" s="172">
        <v>0</v>
      </c>
      <c r="E477" s="38">
        <f>SUM(B477:D477)</f>
        <v>0</v>
      </c>
      <c r="F477" s="172">
        <v>0</v>
      </c>
      <c r="G477" s="172">
        <v>0</v>
      </c>
      <c r="H477" s="172">
        <v>0</v>
      </c>
      <c r="I477" s="38">
        <f>SUM(F477:H477)</f>
        <v>0</v>
      </c>
      <c r="J477" s="172">
        <v>0</v>
      </c>
      <c r="K477" s="172">
        <v>0</v>
      </c>
      <c r="L477" s="172">
        <v>0</v>
      </c>
      <c r="M477" s="38">
        <f>SUM(J477:L477)</f>
        <v>0</v>
      </c>
      <c r="N477" s="172">
        <v>0</v>
      </c>
      <c r="O477" s="172">
        <v>0</v>
      </c>
      <c r="P477" s="172">
        <v>0</v>
      </c>
      <c r="Q477" s="38">
        <f>SUM(N477:P477)</f>
        <v>0</v>
      </c>
      <c r="R477" s="38">
        <f>+E477+I477+M477+Q477</f>
        <v>0</v>
      </c>
    </row>
    <row r="478" spans="1:18" ht="15.75" customHeight="1" x14ac:dyDescent="0.3">
      <c r="A478" s="234" t="s">
        <v>2162</v>
      </c>
      <c r="B478" s="172"/>
      <c r="C478" s="172"/>
      <c r="D478" s="172"/>
      <c r="E478" s="38" t="s">
        <v>852</v>
      </c>
      <c r="F478" s="172"/>
      <c r="G478" s="172"/>
      <c r="H478" s="172"/>
      <c r="I478" s="38" t="s">
        <v>852</v>
      </c>
      <c r="J478" s="172"/>
      <c r="K478" s="172"/>
      <c r="L478" s="172"/>
      <c r="M478" s="38" t="s">
        <v>852</v>
      </c>
      <c r="N478" s="172"/>
      <c r="O478" s="172"/>
      <c r="P478" s="172"/>
      <c r="Q478" s="38" t="s">
        <v>852</v>
      </c>
      <c r="R478" s="38" t="s">
        <v>852</v>
      </c>
    </row>
    <row r="479" spans="1:18" ht="15.75" customHeight="1" x14ac:dyDescent="0.3">
      <c r="A479" s="234" t="s">
        <v>2578</v>
      </c>
      <c r="B479" s="172">
        <v>0</v>
      </c>
      <c r="C479" s="172">
        <v>0</v>
      </c>
      <c r="D479" s="172">
        <v>0</v>
      </c>
      <c r="E479" s="38">
        <f>SUM(B479:D479)</f>
        <v>0</v>
      </c>
      <c r="F479" s="172">
        <v>0</v>
      </c>
      <c r="G479" s="172">
        <v>0</v>
      </c>
      <c r="H479" s="172">
        <v>0</v>
      </c>
      <c r="I479" s="38">
        <f>SUM(F479:H479)</f>
        <v>0</v>
      </c>
      <c r="J479" s="172">
        <v>0</v>
      </c>
      <c r="K479" s="172">
        <v>0</v>
      </c>
      <c r="L479" s="172">
        <v>0</v>
      </c>
      <c r="M479" s="38">
        <f>SUM(J479:L479)</f>
        <v>0</v>
      </c>
      <c r="N479" s="172">
        <v>0</v>
      </c>
      <c r="O479" s="172">
        <v>0</v>
      </c>
      <c r="P479" s="172">
        <v>0</v>
      </c>
      <c r="Q479" s="38">
        <f>SUM(N479:P479)</f>
        <v>0</v>
      </c>
      <c r="R479" s="38">
        <f>+E479+I479+M479+Q479</f>
        <v>0</v>
      </c>
    </row>
    <row r="480" spans="1:18" ht="15.75" customHeight="1" thickBot="1" x14ac:dyDescent="0.35">
      <c r="A480" s="234" t="s">
        <v>2164</v>
      </c>
      <c r="B480" s="172"/>
      <c r="C480" s="172"/>
      <c r="D480" s="172"/>
      <c r="E480" s="38" t="s">
        <v>852</v>
      </c>
      <c r="F480" s="172"/>
      <c r="G480" s="172"/>
      <c r="H480" s="172"/>
      <c r="I480" s="38" t="s">
        <v>852</v>
      </c>
      <c r="J480" s="172"/>
      <c r="K480" s="172"/>
      <c r="L480" s="172"/>
      <c r="M480" s="38" t="s">
        <v>852</v>
      </c>
      <c r="N480" s="172"/>
      <c r="O480" s="172"/>
      <c r="P480" s="172"/>
      <c r="Q480" s="38" t="s">
        <v>852</v>
      </c>
      <c r="R480" s="38" t="s">
        <v>852</v>
      </c>
    </row>
    <row r="481" spans="1:18" ht="16.5" customHeight="1" thickBot="1" x14ac:dyDescent="0.35">
      <c r="A481" s="276" t="s">
        <v>1218</v>
      </c>
      <c r="B481" s="45">
        <f>SUM(B466:B480)</f>
        <v>2694</v>
      </c>
      <c r="C481" s="46">
        <f>SUM(C466:C480)</f>
        <v>1752</v>
      </c>
      <c r="D481" s="46">
        <f>SUM(D466:D480)</f>
        <v>1969</v>
      </c>
      <c r="E481" s="37">
        <f>SUM(B481:D481)</f>
        <v>6415</v>
      </c>
      <c r="F481" s="46">
        <f>SUM(F466:F480)</f>
        <v>2298</v>
      </c>
      <c r="G481" s="46">
        <f>SUM(G466:G480)</f>
        <v>742</v>
      </c>
      <c r="H481" s="46">
        <f>SUM(H466:H480)</f>
        <v>1026</v>
      </c>
      <c r="I481" s="37">
        <f>SUM(F481:H481)</f>
        <v>4066</v>
      </c>
      <c r="J481" s="46">
        <f>SUM(J466:J480)</f>
        <v>2521</v>
      </c>
      <c r="K481" s="46">
        <f>SUM(K466:K480)</f>
        <v>1598</v>
      </c>
      <c r="L481" s="46">
        <f>SUM(L466:L480)</f>
        <v>699</v>
      </c>
      <c r="M481" s="37">
        <f>SUM(J481:L481)</f>
        <v>4818</v>
      </c>
      <c r="N481" s="46">
        <f>SUM(N466:N480)</f>
        <v>203</v>
      </c>
      <c r="O481" s="46">
        <f>SUM(O466:O480)</f>
        <v>0</v>
      </c>
      <c r="P481" s="46">
        <f>SUM(P466:P480)</f>
        <v>0</v>
      </c>
      <c r="Q481" s="37">
        <f>SUM(N481:P481)</f>
        <v>203</v>
      </c>
      <c r="R481" s="37">
        <f>+E481+I481+M481+Q481</f>
        <v>15502</v>
      </c>
    </row>
    <row r="482" spans="1:18" ht="15.75" customHeight="1" x14ac:dyDescent="0.3">
      <c r="A482" s="234" t="s">
        <v>1172</v>
      </c>
      <c r="B482" s="172"/>
      <c r="C482" s="172"/>
      <c r="D482" s="172"/>
      <c r="E482" s="38" t="s">
        <v>852</v>
      </c>
      <c r="F482" s="172"/>
      <c r="G482" s="172"/>
      <c r="H482" s="172"/>
      <c r="I482" s="38" t="s">
        <v>852</v>
      </c>
      <c r="J482" s="172"/>
      <c r="K482" s="172"/>
      <c r="L482" s="172"/>
      <c r="M482" s="38" t="s">
        <v>852</v>
      </c>
      <c r="N482" s="172"/>
      <c r="O482" s="172"/>
      <c r="P482" s="172"/>
      <c r="Q482" s="38" t="s">
        <v>852</v>
      </c>
      <c r="R482" s="38" t="s">
        <v>852</v>
      </c>
    </row>
    <row r="483" spans="1:18" ht="15.75" customHeight="1" x14ac:dyDescent="0.3">
      <c r="A483" s="234" t="s">
        <v>2409</v>
      </c>
      <c r="B483" s="172"/>
      <c r="C483" s="172"/>
      <c r="D483" s="172"/>
      <c r="E483" s="38" t="s">
        <v>852</v>
      </c>
      <c r="F483" s="172"/>
      <c r="G483" s="172"/>
      <c r="H483" s="172"/>
      <c r="I483" s="38" t="s">
        <v>852</v>
      </c>
      <c r="J483" s="172"/>
      <c r="K483" s="172"/>
      <c r="L483" s="172"/>
      <c r="M483" s="38" t="s">
        <v>852</v>
      </c>
      <c r="N483" s="172"/>
      <c r="O483" s="172"/>
      <c r="P483" s="172"/>
      <c r="Q483" s="38" t="s">
        <v>852</v>
      </c>
      <c r="R483" s="38" t="s">
        <v>852</v>
      </c>
    </row>
    <row r="484" spans="1:18" ht="15.75" customHeight="1" x14ac:dyDescent="0.3">
      <c r="A484" s="266" t="s">
        <v>2478</v>
      </c>
      <c r="B484" s="172">
        <v>391</v>
      </c>
      <c r="C484" s="172">
        <v>484</v>
      </c>
      <c r="D484" s="172">
        <v>525</v>
      </c>
      <c r="E484" s="38">
        <f>SUM(B484:D484)</f>
        <v>1400</v>
      </c>
      <c r="F484" s="172">
        <v>235</v>
      </c>
      <c r="G484" s="172">
        <v>0</v>
      </c>
      <c r="H484" s="172">
        <v>0</v>
      </c>
      <c r="I484" s="38">
        <f>SUM(F484:H484)</f>
        <v>235</v>
      </c>
      <c r="J484" s="172">
        <v>0</v>
      </c>
      <c r="K484" s="172">
        <v>0</v>
      </c>
      <c r="L484" s="172">
        <v>0</v>
      </c>
      <c r="M484" s="38">
        <f>SUM(J484:L484)</f>
        <v>0</v>
      </c>
      <c r="N484" s="172">
        <v>0</v>
      </c>
      <c r="O484" s="172">
        <v>0</v>
      </c>
      <c r="P484" s="172">
        <v>0</v>
      </c>
      <c r="Q484" s="38">
        <f>SUM(N484:P484)</f>
        <v>0</v>
      </c>
      <c r="R484" s="38">
        <f>+E484+I484+M484+Q484</f>
        <v>1635</v>
      </c>
    </row>
    <row r="485" spans="1:18" ht="15.75" customHeight="1" x14ac:dyDescent="0.3">
      <c r="A485" s="266" t="s">
        <v>1958</v>
      </c>
      <c r="B485" s="172">
        <v>0</v>
      </c>
      <c r="C485" s="172">
        <v>0</v>
      </c>
      <c r="D485" s="172">
        <v>0</v>
      </c>
      <c r="E485" s="38">
        <f>SUM(B485:D485)</f>
        <v>0</v>
      </c>
      <c r="F485" s="172">
        <v>0</v>
      </c>
      <c r="G485" s="172">
        <v>0</v>
      </c>
      <c r="H485" s="172">
        <v>0</v>
      </c>
      <c r="I485" s="38">
        <f>SUM(F485:H485)</f>
        <v>0</v>
      </c>
      <c r="J485" s="172">
        <v>0</v>
      </c>
      <c r="K485" s="172">
        <v>0</v>
      </c>
      <c r="L485" s="172">
        <v>0</v>
      </c>
      <c r="M485" s="38">
        <f>SUM(J485:L485)</f>
        <v>0</v>
      </c>
      <c r="N485" s="172">
        <v>0</v>
      </c>
      <c r="O485" s="172">
        <v>0</v>
      </c>
      <c r="P485" s="172">
        <v>0</v>
      </c>
      <c r="Q485" s="38">
        <f>SUM(N485:P485)</f>
        <v>0</v>
      </c>
      <c r="R485" s="38">
        <f>+E485+I485+M485+Q485</f>
        <v>0</v>
      </c>
    </row>
    <row r="486" spans="1:18" ht="15.75" customHeight="1" thickBot="1" x14ac:dyDescent="0.35">
      <c r="A486" s="234" t="s">
        <v>2165</v>
      </c>
      <c r="B486" s="172"/>
      <c r="C486" s="172"/>
      <c r="D486" s="172"/>
      <c r="E486" s="38" t="s">
        <v>852</v>
      </c>
      <c r="F486" s="172"/>
      <c r="G486" s="172"/>
      <c r="H486" s="172"/>
      <c r="I486" s="38" t="s">
        <v>852</v>
      </c>
      <c r="J486" s="172"/>
      <c r="K486" s="172"/>
      <c r="L486" s="172"/>
      <c r="M486" s="38" t="s">
        <v>852</v>
      </c>
      <c r="N486" s="172"/>
      <c r="O486" s="172"/>
      <c r="P486" s="172"/>
      <c r="Q486" s="38" t="s">
        <v>852</v>
      </c>
      <c r="R486" s="38" t="s">
        <v>852</v>
      </c>
    </row>
    <row r="487" spans="1:18" ht="16.5" customHeight="1" thickBot="1" x14ac:dyDescent="0.35">
      <c r="A487" s="43" t="s">
        <v>1219</v>
      </c>
      <c r="B487" s="45">
        <f>SUM(B482:B486)</f>
        <v>391</v>
      </c>
      <c r="C487" s="46">
        <f>SUM(C482:C486)</f>
        <v>484</v>
      </c>
      <c r="D487" s="46">
        <f>SUM(D482:D486)</f>
        <v>525</v>
      </c>
      <c r="E487" s="37">
        <f>SUM(B487:D487)</f>
        <v>1400</v>
      </c>
      <c r="F487" s="46">
        <f>SUM(F482:F486)</f>
        <v>235</v>
      </c>
      <c r="G487" s="46">
        <f>SUM(G482:G486)</f>
        <v>0</v>
      </c>
      <c r="H487" s="46">
        <f>SUM(H482:H486)</f>
        <v>0</v>
      </c>
      <c r="I487" s="37">
        <f>SUM(F487:H487)</f>
        <v>235</v>
      </c>
      <c r="J487" s="46">
        <f>SUM(J482:J486)</f>
        <v>0</v>
      </c>
      <c r="K487" s="46">
        <f>SUM(K482:K486)</f>
        <v>0</v>
      </c>
      <c r="L487" s="46">
        <f>SUM(L482:L486)</f>
        <v>0</v>
      </c>
      <c r="M487" s="37">
        <f>SUM(J487:L487)</f>
        <v>0</v>
      </c>
      <c r="N487" s="46">
        <f>SUM(N482:N486)</f>
        <v>0</v>
      </c>
      <c r="O487" s="46">
        <f>SUM(O482:O486)</f>
        <v>0</v>
      </c>
      <c r="P487" s="46">
        <f>SUM(P482:P486)</f>
        <v>0</v>
      </c>
      <c r="Q487" s="37">
        <f>SUM(N487:P487)</f>
        <v>0</v>
      </c>
      <c r="R487" s="37">
        <f>+E487+I487+M487+Q487</f>
        <v>1635</v>
      </c>
    </row>
    <row r="488" spans="1:18" ht="15.75" customHeight="1" x14ac:dyDescent="0.3">
      <c r="A488" s="234" t="s">
        <v>2166</v>
      </c>
      <c r="B488" s="172"/>
      <c r="C488" s="172"/>
      <c r="D488" s="172"/>
      <c r="E488" s="38" t="s">
        <v>852</v>
      </c>
      <c r="F488" s="172"/>
      <c r="G488" s="172"/>
      <c r="H488" s="172"/>
      <c r="I488" s="38" t="s">
        <v>852</v>
      </c>
      <c r="J488" s="172"/>
      <c r="K488" s="172"/>
      <c r="L488" s="172"/>
      <c r="M488" s="38" t="s">
        <v>852</v>
      </c>
      <c r="N488" s="172"/>
      <c r="O488" s="172"/>
      <c r="P488" s="172"/>
      <c r="Q488" s="38" t="s">
        <v>852</v>
      </c>
      <c r="R488" s="38" t="s">
        <v>852</v>
      </c>
    </row>
    <row r="489" spans="1:18" ht="15.75" customHeight="1" x14ac:dyDescent="0.3">
      <c r="A489" s="234" t="s">
        <v>1245</v>
      </c>
      <c r="B489" s="172"/>
      <c r="C489" s="172"/>
      <c r="D489" s="172"/>
      <c r="E489" s="38" t="s">
        <v>852</v>
      </c>
      <c r="F489" s="172"/>
      <c r="G489" s="172"/>
      <c r="H489" s="172"/>
      <c r="I489" s="38" t="s">
        <v>852</v>
      </c>
      <c r="J489" s="172"/>
      <c r="K489" s="172"/>
      <c r="L489" s="172"/>
      <c r="M489" s="38" t="s">
        <v>852</v>
      </c>
      <c r="N489" s="172"/>
      <c r="O489" s="172"/>
      <c r="P489" s="172"/>
      <c r="Q489" s="38" t="s">
        <v>852</v>
      </c>
      <c r="R489" s="38" t="s">
        <v>852</v>
      </c>
    </row>
    <row r="490" spans="1:18" ht="15.75" customHeight="1" x14ac:dyDescent="0.3">
      <c r="A490" s="234" t="s">
        <v>1711</v>
      </c>
      <c r="B490" s="172"/>
      <c r="C490" s="172"/>
      <c r="D490" s="172"/>
      <c r="E490" s="38" t="s">
        <v>852</v>
      </c>
      <c r="F490" s="172"/>
      <c r="G490" s="172"/>
      <c r="H490" s="172"/>
      <c r="I490" s="38" t="s">
        <v>852</v>
      </c>
      <c r="J490" s="172"/>
      <c r="K490" s="172"/>
      <c r="L490" s="172"/>
      <c r="M490" s="38" t="s">
        <v>852</v>
      </c>
      <c r="N490" s="172"/>
      <c r="O490" s="172"/>
      <c r="P490" s="172"/>
      <c r="Q490" s="38" t="s">
        <v>852</v>
      </c>
      <c r="R490" s="38" t="s">
        <v>852</v>
      </c>
    </row>
    <row r="491" spans="1:18" ht="15.75" customHeight="1" thickBot="1" x14ac:dyDescent="0.35">
      <c r="A491" s="539" t="s">
        <v>2619</v>
      </c>
      <c r="B491" s="172">
        <v>0</v>
      </c>
      <c r="C491" s="172">
        <v>0</v>
      </c>
      <c r="D491" s="172">
        <v>0</v>
      </c>
      <c r="E491" s="38">
        <f>SUM(B491:D491)</f>
        <v>0</v>
      </c>
      <c r="F491" s="172">
        <v>0</v>
      </c>
      <c r="G491" s="172">
        <v>0</v>
      </c>
      <c r="H491" s="172">
        <v>0</v>
      </c>
      <c r="I491" s="38">
        <f>SUM(F491:H491)</f>
        <v>0</v>
      </c>
      <c r="J491" s="172">
        <v>0</v>
      </c>
      <c r="K491" s="172">
        <v>0</v>
      </c>
      <c r="L491" s="172">
        <v>202</v>
      </c>
      <c r="M491" s="38">
        <f>SUM(J491:L491)</f>
        <v>202</v>
      </c>
      <c r="N491" s="172">
        <v>2335</v>
      </c>
      <c r="O491" s="172">
        <v>1421</v>
      </c>
      <c r="P491" s="172">
        <v>1243</v>
      </c>
      <c r="Q491" s="38">
        <f>SUM(N491:P491)</f>
        <v>4999</v>
      </c>
      <c r="R491" s="38">
        <f>+E491+I491+M491+Q491</f>
        <v>5201</v>
      </c>
    </row>
    <row r="492" spans="1:18" ht="16.5" customHeight="1" thickBot="1" x14ac:dyDescent="0.35">
      <c r="A492" s="43" t="s">
        <v>1220</v>
      </c>
      <c r="B492" s="45">
        <f>SUM(B488:B491)</f>
        <v>0</v>
      </c>
      <c r="C492" s="46">
        <f>SUM(C488:C491)</f>
        <v>0</v>
      </c>
      <c r="D492" s="46">
        <f>SUM(D488:D491)</f>
        <v>0</v>
      </c>
      <c r="E492" s="37">
        <f>SUM(B492:D492)</f>
        <v>0</v>
      </c>
      <c r="F492" s="46">
        <f>SUM(F488:F491)</f>
        <v>0</v>
      </c>
      <c r="G492" s="46">
        <f>SUM(G488:G491)</f>
        <v>0</v>
      </c>
      <c r="H492" s="46">
        <f>SUM(H488:H491)</f>
        <v>0</v>
      </c>
      <c r="I492" s="37">
        <f>SUM(F492:H492)</f>
        <v>0</v>
      </c>
      <c r="J492" s="46">
        <f>SUM(J488:J491)</f>
        <v>0</v>
      </c>
      <c r="K492" s="46">
        <f>SUM(K488:K491)</f>
        <v>0</v>
      </c>
      <c r="L492" s="46">
        <f>SUM(L488:L491)</f>
        <v>202</v>
      </c>
      <c r="M492" s="37">
        <f>SUM(J492:L492)</f>
        <v>202</v>
      </c>
      <c r="N492" s="46">
        <f>SUM(N488:N491)</f>
        <v>2335</v>
      </c>
      <c r="O492" s="46">
        <f>SUM(O488:O491)</f>
        <v>1421</v>
      </c>
      <c r="P492" s="46">
        <f>SUM(P488:P491)</f>
        <v>1243</v>
      </c>
      <c r="Q492" s="37">
        <f>SUM(N492:P492)</f>
        <v>4999</v>
      </c>
      <c r="R492" s="37">
        <f>+E492+I492+M492+Q492</f>
        <v>5201</v>
      </c>
    </row>
    <row r="493" spans="1:18" ht="15.75" customHeight="1" x14ac:dyDescent="0.3">
      <c r="A493" s="234" t="s">
        <v>1712</v>
      </c>
      <c r="B493" s="172"/>
      <c r="C493" s="172"/>
      <c r="D493" s="172"/>
      <c r="E493" s="38" t="s">
        <v>852</v>
      </c>
      <c r="F493" s="172"/>
      <c r="G493" s="172"/>
      <c r="H493" s="172"/>
      <c r="I493" s="38" t="s">
        <v>852</v>
      </c>
      <c r="J493" s="172"/>
      <c r="K493" s="172"/>
      <c r="L493" s="172"/>
      <c r="M493" s="38" t="s">
        <v>852</v>
      </c>
      <c r="N493" s="172"/>
      <c r="O493" s="172"/>
      <c r="P493" s="172"/>
      <c r="Q493" s="38" t="s">
        <v>852</v>
      </c>
      <c r="R493" s="38" t="s">
        <v>852</v>
      </c>
    </row>
    <row r="494" spans="1:18" ht="15.75" customHeight="1" x14ac:dyDescent="0.3">
      <c r="A494" s="234" t="s">
        <v>1021</v>
      </c>
      <c r="B494" s="172"/>
      <c r="C494" s="172"/>
      <c r="D494" s="172"/>
      <c r="E494" s="38" t="s">
        <v>852</v>
      </c>
      <c r="F494" s="172"/>
      <c r="G494" s="172"/>
      <c r="H494" s="172"/>
      <c r="I494" s="38" t="s">
        <v>852</v>
      </c>
      <c r="J494" s="172"/>
      <c r="K494" s="172"/>
      <c r="L494" s="172"/>
      <c r="M494" s="38" t="s">
        <v>852</v>
      </c>
      <c r="N494" s="172"/>
      <c r="O494" s="172"/>
      <c r="P494" s="172"/>
      <c r="Q494" s="38" t="s">
        <v>852</v>
      </c>
      <c r="R494" s="38" t="s">
        <v>852</v>
      </c>
    </row>
    <row r="495" spans="1:18" ht="15.75" customHeight="1" x14ac:dyDescent="0.3">
      <c r="A495" s="266" t="s">
        <v>624</v>
      </c>
      <c r="B495" s="172">
        <v>0</v>
      </c>
      <c r="C495" s="172">
        <v>0</v>
      </c>
      <c r="D495" s="172">
        <v>0</v>
      </c>
      <c r="E495" s="38">
        <f>SUM(B495:D495)</f>
        <v>0</v>
      </c>
      <c r="F495" s="172">
        <v>0</v>
      </c>
      <c r="G495" s="172">
        <v>0</v>
      </c>
      <c r="H495" s="172">
        <v>0</v>
      </c>
      <c r="I495" s="38">
        <f>SUM(F495:H495)</f>
        <v>0</v>
      </c>
      <c r="J495" s="172">
        <v>0</v>
      </c>
      <c r="K495" s="172">
        <v>0</v>
      </c>
      <c r="L495" s="172">
        <v>0</v>
      </c>
      <c r="M495" s="38">
        <f>SUM(J495:L495)</f>
        <v>0</v>
      </c>
      <c r="N495" s="172">
        <v>0</v>
      </c>
      <c r="O495" s="172">
        <v>0</v>
      </c>
      <c r="P495" s="172">
        <v>0</v>
      </c>
      <c r="Q495" s="38">
        <f>SUM(N495:P495)</f>
        <v>0</v>
      </c>
      <c r="R495" s="38">
        <f>+E495+I495+M495+Q495</f>
        <v>0</v>
      </c>
    </row>
    <row r="496" spans="1:18" ht="15.75" customHeight="1" x14ac:dyDescent="0.3">
      <c r="A496" s="266" t="s">
        <v>1787</v>
      </c>
      <c r="B496" s="172">
        <v>0</v>
      </c>
      <c r="C496" s="172">
        <v>0</v>
      </c>
      <c r="D496" s="172">
        <v>0</v>
      </c>
      <c r="E496" s="38">
        <f>SUM(B496:D496)</f>
        <v>0</v>
      </c>
      <c r="F496" s="172">
        <v>0</v>
      </c>
      <c r="G496" s="172">
        <v>0</v>
      </c>
      <c r="H496" s="172">
        <v>0</v>
      </c>
      <c r="I496" s="38">
        <f>SUM(F496:H496)</f>
        <v>0</v>
      </c>
      <c r="J496" s="172">
        <v>0</v>
      </c>
      <c r="K496" s="172">
        <v>0</v>
      </c>
      <c r="L496" s="172">
        <v>0</v>
      </c>
      <c r="M496" s="38">
        <f>SUM(J496:L496)</f>
        <v>0</v>
      </c>
      <c r="N496" s="172">
        <v>0</v>
      </c>
      <c r="O496" s="172">
        <v>0</v>
      </c>
      <c r="P496" s="172">
        <v>0</v>
      </c>
      <c r="Q496" s="38">
        <f>SUM(N496:P496)</f>
        <v>0</v>
      </c>
      <c r="R496" s="38">
        <f>+E496+I496+M496+Q496</f>
        <v>0</v>
      </c>
    </row>
    <row r="497" spans="1:18" ht="15.75" customHeight="1" x14ac:dyDescent="0.3">
      <c r="A497" s="234" t="s">
        <v>557</v>
      </c>
      <c r="B497" s="172"/>
      <c r="C497" s="172"/>
      <c r="D497" s="172"/>
      <c r="E497" s="38" t="s">
        <v>852</v>
      </c>
      <c r="F497" s="172"/>
      <c r="G497" s="172"/>
      <c r="H497" s="172"/>
      <c r="I497" s="38" t="s">
        <v>852</v>
      </c>
      <c r="J497" s="172"/>
      <c r="K497" s="172"/>
      <c r="L497" s="172"/>
      <c r="M497" s="38" t="s">
        <v>852</v>
      </c>
      <c r="N497" s="172"/>
      <c r="O497" s="172"/>
      <c r="P497" s="172"/>
      <c r="Q497" s="38" t="s">
        <v>852</v>
      </c>
      <c r="R497" s="38" t="s">
        <v>852</v>
      </c>
    </row>
    <row r="498" spans="1:18" ht="15.75" customHeight="1" x14ac:dyDescent="0.3">
      <c r="A498" s="539" t="s">
        <v>2580</v>
      </c>
      <c r="B498" s="172">
        <v>0</v>
      </c>
      <c r="C498" s="172">
        <v>0</v>
      </c>
      <c r="D498" s="172">
        <v>0</v>
      </c>
      <c r="E498" s="38">
        <f>SUM(B498:D498)</f>
        <v>0</v>
      </c>
      <c r="F498" s="172">
        <v>0</v>
      </c>
      <c r="G498" s="172">
        <v>0</v>
      </c>
      <c r="H498" s="172">
        <v>0</v>
      </c>
      <c r="I498" s="38">
        <f>SUM(F498:H498)</f>
        <v>0</v>
      </c>
      <c r="J498" s="172">
        <v>0</v>
      </c>
      <c r="K498" s="172">
        <v>268</v>
      </c>
      <c r="L498" s="172">
        <v>0</v>
      </c>
      <c r="M498" s="38">
        <f>SUM(J498:L498)</f>
        <v>268</v>
      </c>
      <c r="N498" s="172">
        <v>397</v>
      </c>
      <c r="O498" s="172">
        <v>321</v>
      </c>
      <c r="P498" s="172">
        <v>586</v>
      </c>
      <c r="Q498" s="38">
        <f>SUM(N498:P498)</f>
        <v>1304</v>
      </c>
      <c r="R498" s="38">
        <f>+E498+I498+M498+Q498</f>
        <v>1572</v>
      </c>
    </row>
    <row r="499" spans="1:18" ht="15.75" customHeight="1" x14ac:dyDescent="0.3">
      <c r="A499" s="539" t="s">
        <v>2579</v>
      </c>
      <c r="B499" s="172">
        <v>0</v>
      </c>
      <c r="C499" s="172">
        <v>0</v>
      </c>
      <c r="D499" s="172">
        <v>0</v>
      </c>
      <c r="E499" s="38">
        <f>SUM(B499:D499)</f>
        <v>0</v>
      </c>
      <c r="F499" s="172">
        <v>0</v>
      </c>
      <c r="G499" s="172">
        <v>0</v>
      </c>
      <c r="H499" s="172">
        <v>0</v>
      </c>
      <c r="I499" s="38">
        <f>SUM(F499:H499)</f>
        <v>0</v>
      </c>
      <c r="J499" s="172">
        <v>0</v>
      </c>
      <c r="K499" s="172">
        <v>0</v>
      </c>
      <c r="L499" s="172">
        <v>0</v>
      </c>
      <c r="M499" s="38">
        <f>SUM(J499:L499)</f>
        <v>0</v>
      </c>
      <c r="N499" s="172">
        <v>0</v>
      </c>
      <c r="O499" s="172">
        <v>0</v>
      </c>
      <c r="P499" s="172">
        <v>0</v>
      </c>
      <c r="Q499" s="38">
        <f>SUM(N499:P499)</f>
        <v>0</v>
      </c>
      <c r="R499" s="38">
        <f>+E499+I499+M499+Q499</f>
        <v>0</v>
      </c>
    </row>
    <row r="500" spans="1:18" ht="15.75" customHeight="1" x14ac:dyDescent="0.3">
      <c r="A500" s="539" t="s">
        <v>2581</v>
      </c>
      <c r="B500" s="172">
        <v>1146</v>
      </c>
      <c r="C500" s="172">
        <v>2526</v>
      </c>
      <c r="D500" s="172">
        <v>2893</v>
      </c>
      <c r="E500" s="38">
        <f>SUM(B500:D500)</f>
        <v>6565</v>
      </c>
      <c r="F500" s="172">
        <v>2811</v>
      </c>
      <c r="G500" s="172">
        <v>0</v>
      </c>
      <c r="H500" s="172">
        <v>0</v>
      </c>
      <c r="I500" s="38">
        <f>SUM(F500:H500)</f>
        <v>2811</v>
      </c>
      <c r="J500" s="172">
        <v>0</v>
      </c>
      <c r="K500" s="172">
        <v>2116</v>
      </c>
      <c r="L500" s="172">
        <v>309</v>
      </c>
      <c r="M500" s="38">
        <f>SUM(J500:L500)</f>
        <v>2425</v>
      </c>
      <c r="N500" s="172">
        <v>0</v>
      </c>
      <c r="O500" s="172">
        <v>0</v>
      </c>
      <c r="P500" s="172">
        <v>0</v>
      </c>
      <c r="Q500" s="38">
        <f>SUM(N500:P500)</f>
        <v>0</v>
      </c>
      <c r="R500" s="38">
        <f>+E500+I500+M500+Q500</f>
        <v>11801</v>
      </c>
    </row>
    <row r="501" spans="1:18" ht="15.75" customHeight="1" x14ac:dyDescent="0.3">
      <c r="A501" s="539" t="s">
        <v>2582</v>
      </c>
      <c r="B501" s="172">
        <v>0</v>
      </c>
      <c r="C501" s="172">
        <v>0</v>
      </c>
      <c r="D501" s="172">
        <v>0</v>
      </c>
      <c r="E501" s="38">
        <f>SUM(B501:D501)</f>
        <v>0</v>
      </c>
      <c r="F501" s="172">
        <v>0</v>
      </c>
      <c r="G501" s="172">
        <v>0</v>
      </c>
      <c r="H501" s="172">
        <v>0</v>
      </c>
      <c r="I501" s="38">
        <f>SUM(F501:H501)</f>
        <v>0</v>
      </c>
      <c r="J501" s="172">
        <v>0</v>
      </c>
      <c r="K501" s="172">
        <v>0</v>
      </c>
      <c r="L501" s="172">
        <v>0</v>
      </c>
      <c r="M501" s="38">
        <f>SUM(J501:L501)</f>
        <v>0</v>
      </c>
      <c r="N501" s="172">
        <v>0</v>
      </c>
      <c r="O501" s="172">
        <v>0</v>
      </c>
      <c r="P501" s="172">
        <v>0</v>
      </c>
      <c r="Q501" s="38">
        <f>SUM(N501:P501)</f>
        <v>0</v>
      </c>
      <c r="R501" s="38">
        <f>+E501+I501+M501+Q501</f>
        <v>0</v>
      </c>
    </row>
    <row r="502" spans="1:18" ht="15.75" customHeight="1" x14ac:dyDescent="0.3">
      <c r="A502" s="234" t="s">
        <v>1022</v>
      </c>
      <c r="B502" s="172"/>
      <c r="C502" s="172"/>
      <c r="D502" s="172"/>
      <c r="E502" s="38" t="s">
        <v>852</v>
      </c>
      <c r="F502" s="172"/>
      <c r="G502" s="172"/>
      <c r="H502" s="172"/>
      <c r="I502" s="38" t="s">
        <v>852</v>
      </c>
      <c r="J502" s="172"/>
      <c r="K502" s="172"/>
      <c r="L502" s="172"/>
      <c r="M502" s="38" t="s">
        <v>852</v>
      </c>
      <c r="N502" s="172"/>
      <c r="O502" s="172"/>
      <c r="P502" s="172"/>
      <c r="Q502" s="38" t="s">
        <v>852</v>
      </c>
      <c r="R502" s="38" t="s">
        <v>852</v>
      </c>
    </row>
    <row r="503" spans="1:18" ht="15.75" customHeight="1" x14ac:dyDescent="0.3">
      <c r="A503" s="234" t="s">
        <v>559</v>
      </c>
      <c r="B503" s="172"/>
      <c r="C503" s="172"/>
      <c r="D503" s="172"/>
      <c r="E503" s="38" t="s">
        <v>852</v>
      </c>
      <c r="F503" s="172"/>
      <c r="G503" s="172"/>
      <c r="H503" s="172"/>
      <c r="I503" s="38" t="s">
        <v>852</v>
      </c>
      <c r="J503" s="172"/>
      <c r="K503" s="172"/>
      <c r="L503" s="172"/>
      <c r="M503" s="38" t="s">
        <v>852</v>
      </c>
      <c r="N503" s="172"/>
      <c r="O503" s="172"/>
      <c r="P503" s="172"/>
      <c r="Q503" s="38" t="s">
        <v>852</v>
      </c>
      <c r="R503" s="38" t="s">
        <v>852</v>
      </c>
    </row>
    <row r="504" spans="1:18" ht="15.75" customHeight="1" thickBot="1" x14ac:dyDescent="0.35">
      <c r="A504" s="539" t="s">
        <v>2583</v>
      </c>
      <c r="B504" s="172">
        <v>0</v>
      </c>
      <c r="C504" s="172">
        <v>0</v>
      </c>
      <c r="D504" s="172">
        <v>0</v>
      </c>
      <c r="E504" s="38">
        <f>SUM(B504:D504)</f>
        <v>0</v>
      </c>
      <c r="F504" s="172">
        <v>0</v>
      </c>
      <c r="G504" s="172">
        <v>0</v>
      </c>
      <c r="H504" s="172">
        <v>0</v>
      </c>
      <c r="I504" s="38">
        <f>SUM(F504:H504)</f>
        <v>0</v>
      </c>
      <c r="J504" s="172">
        <v>0</v>
      </c>
      <c r="K504" s="172">
        <v>841</v>
      </c>
      <c r="L504" s="172">
        <v>159</v>
      </c>
      <c r="M504" s="38">
        <f>SUM(J504:L504)</f>
        <v>1000</v>
      </c>
      <c r="N504" s="172">
        <v>0</v>
      </c>
      <c r="O504" s="172">
        <v>0</v>
      </c>
      <c r="P504" s="172">
        <v>0</v>
      </c>
      <c r="Q504" s="38">
        <f>SUM(N504:P504)</f>
        <v>0</v>
      </c>
      <c r="R504" s="38">
        <f>+E504+I504+M504+Q504</f>
        <v>1000</v>
      </c>
    </row>
    <row r="505" spans="1:18" ht="16.5" customHeight="1" thickBot="1" x14ac:dyDescent="0.35">
      <c r="A505" s="43" t="s">
        <v>1019</v>
      </c>
      <c r="B505" s="335">
        <f>SUM(B503:B504)</f>
        <v>0</v>
      </c>
      <c r="C505" s="335">
        <f>SUM(C503:C504)</f>
        <v>0</v>
      </c>
      <c r="D505" s="335">
        <f>SUM(D503:D504)</f>
        <v>0</v>
      </c>
      <c r="E505" s="39">
        <f>SUM(B505:D505)</f>
        <v>0</v>
      </c>
      <c r="F505" s="335">
        <f>SUM(F503:F504)</f>
        <v>0</v>
      </c>
      <c r="G505" s="335">
        <f>SUM(G503:G504)</f>
        <v>0</v>
      </c>
      <c r="H505" s="335">
        <f>SUM(H503:H504)</f>
        <v>0</v>
      </c>
      <c r="I505" s="39">
        <f>SUM(F505:H505)</f>
        <v>0</v>
      </c>
      <c r="J505" s="335">
        <f>SUM(J503:J504)</f>
        <v>0</v>
      </c>
      <c r="K505" s="335">
        <f>SUM(K503:K504)</f>
        <v>841</v>
      </c>
      <c r="L505" s="335">
        <f>SUM(L503:L504)</f>
        <v>159</v>
      </c>
      <c r="M505" s="39">
        <f>SUM(J505:L505)</f>
        <v>1000</v>
      </c>
      <c r="N505" s="335">
        <f>SUM(N503:N504)</f>
        <v>0</v>
      </c>
      <c r="O505" s="335">
        <f>SUM(O503:O504)</f>
        <v>0</v>
      </c>
      <c r="P505" s="335">
        <f>SUM(P503:P504)</f>
        <v>0</v>
      </c>
      <c r="Q505" s="39">
        <f>SUM(N505:P505)</f>
        <v>0</v>
      </c>
      <c r="R505" s="37">
        <f>+E505+I505+M505+Q505</f>
        <v>1000</v>
      </c>
    </row>
    <row r="506" spans="1:18" ht="16.5" customHeight="1" thickBot="1" x14ac:dyDescent="0.35">
      <c r="A506" s="277" t="s">
        <v>1221</v>
      </c>
      <c r="B506" s="45">
        <f>SUM(B493:B504)</f>
        <v>1146</v>
      </c>
      <c r="C506" s="46">
        <f>SUM(C493:C504)</f>
        <v>2526</v>
      </c>
      <c r="D506" s="58">
        <f>SUM(D493:D504)</f>
        <v>2893</v>
      </c>
      <c r="E506" s="39">
        <f>SUM(B506:D506)</f>
        <v>6565</v>
      </c>
      <c r="F506" s="45">
        <f>SUM(F493:F504)</f>
        <v>2811</v>
      </c>
      <c r="G506" s="46">
        <f>SUM(G493:G504)</f>
        <v>0</v>
      </c>
      <c r="H506" s="58">
        <f>SUM(H493:H504)</f>
        <v>0</v>
      </c>
      <c r="I506" s="39">
        <f>SUM(F506:H506)</f>
        <v>2811</v>
      </c>
      <c r="J506" s="45">
        <f>SUM(J493:J504)</f>
        <v>0</v>
      </c>
      <c r="K506" s="46">
        <f>SUM(K493:K504)</f>
        <v>3225</v>
      </c>
      <c r="L506" s="58">
        <f>SUM(L493:L504)</f>
        <v>468</v>
      </c>
      <c r="M506" s="39">
        <f>SUM(J506:L506)</f>
        <v>3693</v>
      </c>
      <c r="N506" s="45">
        <f>SUM(N493:N504)</f>
        <v>397</v>
      </c>
      <c r="O506" s="46">
        <f>SUM(O493:O504)</f>
        <v>321</v>
      </c>
      <c r="P506" s="58">
        <f>SUM(P493:P504)</f>
        <v>586</v>
      </c>
      <c r="Q506" s="39">
        <f>SUM(N506:P506)</f>
        <v>1304</v>
      </c>
      <c r="R506" s="37">
        <f>+E506+I506+M506+Q506</f>
        <v>14373</v>
      </c>
    </row>
    <row r="507" spans="1:18" ht="16.5" customHeight="1" thickBot="1" x14ac:dyDescent="0.35">
      <c r="A507" s="43" t="s">
        <v>1222</v>
      </c>
      <c r="B507" s="337">
        <f>+B481+B487+B492+B506</f>
        <v>4231</v>
      </c>
      <c r="C507" s="338">
        <f>+C481+C487+C492+C506</f>
        <v>4762</v>
      </c>
      <c r="D507" s="338">
        <f>+D481+D487+D492+D506</f>
        <v>5387</v>
      </c>
      <c r="E507" s="37">
        <f>SUM(B507:D507)</f>
        <v>14380</v>
      </c>
      <c r="F507" s="42">
        <f>+F481+F487+F492+F506</f>
        <v>5344</v>
      </c>
      <c r="G507" s="42">
        <f>+G481+G487+G492+G506</f>
        <v>742</v>
      </c>
      <c r="H507" s="42">
        <f>+H481+H487+H492+H506</f>
        <v>1026</v>
      </c>
      <c r="I507" s="37">
        <f>SUM(F507:H507)</f>
        <v>7112</v>
      </c>
      <c r="J507" s="42">
        <f>+J481+J487+J492+J506</f>
        <v>2521</v>
      </c>
      <c r="K507" s="42">
        <f>+K481+K487+K492+K506</f>
        <v>4823</v>
      </c>
      <c r="L507" s="42">
        <f>+L481+L487+L492+L506</f>
        <v>1369</v>
      </c>
      <c r="M507" s="37">
        <f>SUM(J507:L507)</f>
        <v>8713</v>
      </c>
      <c r="N507" s="42">
        <f>+N481+N487+N492+N506</f>
        <v>2935</v>
      </c>
      <c r="O507" s="42">
        <f>+O481+O487+O492+O506</f>
        <v>1742</v>
      </c>
      <c r="P507" s="42">
        <f>+P481+P487+P492+P506</f>
        <v>1829</v>
      </c>
      <c r="Q507" s="37">
        <f>SUM(N507:P507)</f>
        <v>6506</v>
      </c>
      <c r="R507" s="40">
        <f>+E507+I507+M507+Q507</f>
        <v>36711</v>
      </c>
    </row>
    <row r="508" spans="1:18" ht="16.5" customHeight="1" thickBot="1" x14ac:dyDescent="0.35">
      <c r="A508" s="244" t="s">
        <v>853</v>
      </c>
      <c r="B508" s="238">
        <v>17</v>
      </c>
      <c r="C508" s="238">
        <v>47</v>
      </c>
      <c r="D508" s="238">
        <v>84</v>
      </c>
      <c r="E508" s="38">
        <f>SUM(B508:D508)</f>
        <v>148</v>
      </c>
      <c r="F508" s="238">
        <v>116</v>
      </c>
      <c r="G508" s="238">
        <v>132</v>
      </c>
      <c r="H508" s="238">
        <v>138</v>
      </c>
      <c r="I508" s="38">
        <f>SUM(F508:H508)</f>
        <v>386</v>
      </c>
      <c r="J508" s="238">
        <v>126</v>
      </c>
      <c r="K508" s="238">
        <v>95</v>
      </c>
      <c r="L508" s="238">
        <v>99</v>
      </c>
      <c r="M508" s="38">
        <f>SUM(J508:L508)</f>
        <v>320</v>
      </c>
      <c r="N508" s="238">
        <v>91</v>
      </c>
      <c r="O508" s="238">
        <v>67</v>
      </c>
      <c r="P508" s="238">
        <v>38</v>
      </c>
      <c r="Q508" s="38">
        <f>SUM(N508:P508)</f>
        <v>196</v>
      </c>
      <c r="R508" s="38">
        <f>+E508+I508+M508+Q508</f>
        <v>1050</v>
      </c>
    </row>
    <row r="509" spans="1:18" ht="16.5" customHeight="1" thickBot="1" x14ac:dyDescent="0.35">
      <c r="A509" s="22"/>
      <c r="B509" s="242"/>
      <c r="C509" s="242"/>
      <c r="D509" s="242"/>
      <c r="E509" s="21"/>
      <c r="F509" s="242"/>
      <c r="G509" s="242"/>
      <c r="H509" s="242"/>
      <c r="I509" s="21"/>
      <c r="J509" s="242"/>
      <c r="K509" s="242"/>
      <c r="L509" s="242"/>
      <c r="M509" s="21"/>
      <c r="N509" s="242"/>
      <c r="O509" s="242"/>
      <c r="P509" s="242"/>
      <c r="Q509" s="21"/>
      <c r="R509" s="21"/>
    </row>
    <row r="510" spans="1:18" ht="15.75" customHeight="1" x14ac:dyDescent="0.3">
      <c r="A510" s="259" t="s">
        <v>120</v>
      </c>
      <c r="B510" s="260">
        <f>SUM(B507:B508)</f>
        <v>4248</v>
      </c>
      <c r="C510" s="260">
        <f>SUM(C507:C508)</f>
        <v>4809</v>
      </c>
      <c r="D510" s="260">
        <f>SUM(D507:D508)</f>
        <v>5471</v>
      </c>
      <c r="E510" s="39">
        <f>SUM(B510:D510)</f>
        <v>14528</v>
      </c>
      <c r="F510" s="260">
        <f>SUM(F507:F508)</f>
        <v>5460</v>
      </c>
      <c r="G510" s="260">
        <f>SUM(G507:G508)</f>
        <v>874</v>
      </c>
      <c r="H510" s="260">
        <f>SUM(H507:H508)</f>
        <v>1164</v>
      </c>
      <c r="I510" s="39">
        <f>SUM(F510:H510)</f>
        <v>7498</v>
      </c>
      <c r="J510" s="260">
        <f>SUM(J507:J508)</f>
        <v>2647</v>
      </c>
      <c r="K510" s="260">
        <f>SUM(K507:K508)</f>
        <v>4918</v>
      </c>
      <c r="L510" s="260">
        <f>SUM(L507:L508)</f>
        <v>1468</v>
      </c>
      <c r="M510" s="39">
        <f>SUM(J510:L510)</f>
        <v>9033</v>
      </c>
      <c r="N510" s="260">
        <f>SUM(N507:N508)</f>
        <v>3026</v>
      </c>
      <c r="O510" s="260">
        <f>SUM(O507:O508)</f>
        <v>1809</v>
      </c>
      <c r="P510" s="260">
        <f>SUM(P507:P508)</f>
        <v>1867</v>
      </c>
      <c r="Q510" s="39">
        <f>SUM(N510:P510)</f>
        <v>6702</v>
      </c>
      <c r="R510" s="39">
        <f>+E510+I510+M510+Q510</f>
        <v>37761</v>
      </c>
    </row>
    <row r="511" spans="1:18" ht="15.75" customHeight="1" x14ac:dyDescent="0.3">
      <c r="A511" s="262" t="s">
        <v>1897</v>
      </c>
      <c r="B511" s="172">
        <f>(B510/31)/1.983</f>
        <v>69.103508857547212</v>
      </c>
      <c r="C511" s="172">
        <f>(C510/28)/1.983</f>
        <v>86.611195158850222</v>
      </c>
      <c r="D511" s="172">
        <f>(D510/31)/1.983</f>
        <v>88.998422071478529</v>
      </c>
      <c r="E511" s="38" t="s">
        <v>852</v>
      </c>
      <c r="F511" s="172">
        <f>(F510/30)/1.983</f>
        <v>91.780131114473022</v>
      </c>
      <c r="G511" s="172">
        <f>(G510/31)/1.983</f>
        <v>14.217623997527371</v>
      </c>
      <c r="H511" s="172">
        <f>(H510/30)/1.983</f>
        <v>19.56631366616238</v>
      </c>
      <c r="I511" s="38" t="s">
        <v>852</v>
      </c>
      <c r="J511" s="172">
        <f>(J510/31)/1.983</f>
        <v>43.059554601207033</v>
      </c>
      <c r="K511" s="172">
        <f>(K510/31)/1.983</f>
        <v>80.002602768695198</v>
      </c>
      <c r="L511" s="172">
        <f>(L510/30)/1.983</f>
        <v>24.676416204404099</v>
      </c>
      <c r="M511" s="38" t="s">
        <v>852</v>
      </c>
      <c r="N511" s="172">
        <f>(N510/31)/1.983</f>
        <v>49.224862947960887</v>
      </c>
      <c r="O511" s="172">
        <f>(O510/30)/1.983</f>
        <v>30.408472012102873</v>
      </c>
      <c r="P511" s="172">
        <f>(P510/31)/1.983</f>
        <v>30.371057212109381</v>
      </c>
      <c r="Q511" s="38" t="s">
        <v>852</v>
      </c>
      <c r="R511" s="38" t="s">
        <v>852</v>
      </c>
    </row>
    <row r="512" spans="1:18" ht="15.75" customHeight="1" x14ac:dyDescent="0.3">
      <c r="A512" s="262" t="s">
        <v>1535</v>
      </c>
      <c r="B512" s="172">
        <f>B510+B522</f>
        <v>20497</v>
      </c>
      <c r="C512" s="172">
        <f>C510+C522</f>
        <v>21756</v>
      </c>
      <c r="D512" s="172">
        <f>D510+D522</f>
        <v>20179</v>
      </c>
      <c r="E512" s="38">
        <f>SUM(B512:D512)</f>
        <v>62432</v>
      </c>
      <c r="F512" s="172">
        <f>F510+F522</f>
        <v>23884</v>
      </c>
      <c r="G512" s="172">
        <f>G510+G522</f>
        <v>20749</v>
      </c>
      <c r="H512" s="172">
        <f>H510+H522</f>
        <v>13481</v>
      </c>
      <c r="I512" s="38">
        <f>SUM(F512:H512)</f>
        <v>58114</v>
      </c>
      <c r="J512" s="172">
        <f>J510+J522</f>
        <v>17576</v>
      </c>
      <c r="K512" s="172">
        <f>K510+K522</f>
        <v>24124</v>
      </c>
      <c r="L512" s="172">
        <f>L510+L522</f>
        <v>21006</v>
      </c>
      <c r="M512" s="38">
        <f>SUM(J512:L512)</f>
        <v>62706</v>
      </c>
      <c r="N512" s="172">
        <f>N510+N522</f>
        <v>16321</v>
      </c>
      <c r="O512" s="172">
        <f>O510+O522</f>
        <v>7464</v>
      </c>
      <c r="P512" s="172">
        <f>P510+P522</f>
        <v>13045</v>
      </c>
      <c r="Q512" s="38">
        <f>SUM(N512:P512)</f>
        <v>36830</v>
      </c>
      <c r="R512" s="38">
        <f>+E512+I512+M512+Q512</f>
        <v>220082</v>
      </c>
    </row>
    <row r="513" spans="1:18" ht="16.5" customHeight="1" thickBot="1" x14ac:dyDescent="0.35">
      <c r="A513" s="263" t="s">
        <v>1536</v>
      </c>
      <c r="B513" s="264">
        <f>(B512/31)/1.983</f>
        <v>333.4309371594033</v>
      </c>
      <c r="C513" s="264">
        <f>(C512/28)/1.983</f>
        <v>391.83055975794247</v>
      </c>
      <c r="D513" s="264">
        <f>(D512/31)/1.983</f>
        <v>328.25793437769426</v>
      </c>
      <c r="E513" s="40" t="s">
        <v>852</v>
      </c>
      <c r="F513" s="264">
        <f>(F512/30)/1.983</f>
        <v>401.4792402084384</v>
      </c>
      <c r="G513" s="264">
        <f>(G512/31)/1.983</f>
        <v>337.53029785434256</v>
      </c>
      <c r="H513" s="264">
        <f>(H512/30)/1.983</f>
        <v>226.60951420406789</v>
      </c>
      <c r="I513" s="40" t="s">
        <v>852</v>
      </c>
      <c r="J513" s="264">
        <f>(J512/31)/1.983</f>
        <v>285.91414116766708</v>
      </c>
      <c r="K513" s="264">
        <f>(K512/31)/1.983</f>
        <v>392.43245001870741</v>
      </c>
      <c r="L513" s="264">
        <f>(L512/30)/1.983</f>
        <v>353.10136157337371</v>
      </c>
      <c r="M513" s="40" t="s">
        <v>852</v>
      </c>
      <c r="N513" s="264">
        <f>(N512/31)/1.983</f>
        <v>265.49867421469588</v>
      </c>
      <c r="O513" s="264">
        <f>(O512/30)/1.983</f>
        <v>125.46646495209279</v>
      </c>
      <c r="P513" s="264">
        <f>(P512/31)/1.983</f>
        <v>212.20698518048573</v>
      </c>
      <c r="Q513" s="40" t="s">
        <v>852</v>
      </c>
      <c r="R513" s="40" t="s">
        <v>852</v>
      </c>
    </row>
    <row r="514" spans="1:18" ht="15.75" customHeight="1" x14ac:dyDescent="0.3">
      <c r="A514" s="17"/>
      <c r="B514" s="172"/>
      <c r="C514" s="172"/>
      <c r="D514" s="172"/>
      <c r="E514" s="172"/>
      <c r="F514" s="172"/>
      <c r="G514" s="172"/>
      <c r="H514" s="172"/>
      <c r="I514" s="172"/>
      <c r="J514" s="172"/>
      <c r="K514" s="172"/>
      <c r="L514" s="172"/>
      <c r="M514" s="172"/>
      <c r="N514" s="172"/>
      <c r="O514" s="172"/>
      <c r="P514" s="172"/>
      <c r="Q514" s="172"/>
      <c r="R514" s="17"/>
    </row>
    <row r="515" spans="1:18" ht="16.5" customHeight="1" thickBot="1" x14ac:dyDescent="0.35">
      <c r="A515" s="24"/>
      <c r="B515" s="238"/>
      <c r="C515" s="238"/>
      <c r="D515" s="238"/>
      <c r="E515" s="238"/>
      <c r="F515" s="238"/>
      <c r="G515" s="238"/>
      <c r="H515" s="238"/>
      <c r="I515" s="238"/>
      <c r="J515" s="238"/>
      <c r="K515" s="238"/>
      <c r="L515" s="238"/>
      <c r="M515" s="238"/>
      <c r="N515" s="238"/>
      <c r="O515" s="238"/>
      <c r="P515" s="238"/>
      <c r="Q515" s="238"/>
      <c r="R515" s="24"/>
    </row>
    <row r="516" spans="1:18" ht="16.5" customHeight="1" thickBot="1" x14ac:dyDescent="0.35">
      <c r="A516" s="278" t="s">
        <v>1537</v>
      </c>
      <c r="B516" s="4" t="s">
        <v>2090</v>
      </c>
      <c r="C516" s="5" t="s">
        <v>2091</v>
      </c>
      <c r="D516" s="5" t="s">
        <v>2234</v>
      </c>
      <c r="E516" s="33" t="s">
        <v>1594</v>
      </c>
      <c r="F516" s="5" t="s">
        <v>2235</v>
      </c>
      <c r="G516" s="5" t="s">
        <v>2236</v>
      </c>
      <c r="H516" s="5" t="s">
        <v>2237</v>
      </c>
      <c r="I516" s="35" t="s">
        <v>1595</v>
      </c>
      <c r="J516" s="5" t="s">
        <v>1504</v>
      </c>
      <c r="K516" s="5" t="s">
        <v>1505</v>
      </c>
      <c r="L516" s="5" t="s">
        <v>1506</v>
      </c>
      <c r="M516" s="35" t="s">
        <v>1596</v>
      </c>
      <c r="N516" s="5" t="s">
        <v>1507</v>
      </c>
      <c r="O516" s="5" t="s">
        <v>1508</v>
      </c>
      <c r="P516" s="5" t="s">
        <v>1509</v>
      </c>
      <c r="Q516" s="33" t="s">
        <v>1597</v>
      </c>
      <c r="R516" s="34" t="s">
        <v>1510</v>
      </c>
    </row>
    <row r="517" spans="1:18" ht="16.5" customHeight="1" thickBot="1" x14ac:dyDescent="0.35">
      <c r="A517" s="22"/>
      <c r="B517" s="242"/>
      <c r="C517" s="242"/>
      <c r="D517" s="242"/>
      <c r="E517" s="243"/>
      <c r="F517" s="242"/>
      <c r="G517" s="242"/>
      <c r="H517" s="242"/>
      <c r="I517" s="243"/>
      <c r="J517" s="242"/>
      <c r="K517" s="242"/>
      <c r="L517" s="242"/>
      <c r="M517" s="243"/>
      <c r="N517" s="242"/>
      <c r="O517" s="242"/>
      <c r="P517" s="242"/>
      <c r="Q517" s="279"/>
      <c r="R517" s="32"/>
    </row>
    <row r="518" spans="1:18" ht="16.5" customHeight="1" thickBot="1" x14ac:dyDescent="0.35">
      <c r="A518" s="244" t="s">
        <v>853</v>
      </c>
      <c r="B518" s="238">
        <v>20</v>
      </c>
      <c r="C518" s="238">
        <v>22</v>
      </c>
      <c r="D518" s="238">
        <v>28</v>
      </c>
      <c r="E518" s="38">
        <f>SUM(B518:D518)</f>
        <v>70</v>
      </c>
      <c r="F518" s="238">
        <v>37</v>
      </c>
      <c r="G518" s="238">
        <v>42</v>
      </c>
      <c r="H518" s="238">
        <v>44</v>
      </c>
      <c r="I518" s="38">
        <f>SUM(F518:H518)</f>
        <v>123</v>
      </c>
      <c r="J518" s="238">
        <v>39</v>
      </c>
      <c r="K518" s="238">
        <v>36</v>
      </c>
      <c r="L518" s="238">
        <v>34</v>
      </c>
      <c r="M518" s="38">
        <f>SUM(J518:L518)</f>
        <v>109</v>
      </c>
      <c r="N518" s="238">
        <v>29</v>
      </c>
      <c r="O518" s="238">
        <v>23</v>
      </c>
      <c r="P518" s="238">
        <v>19</v>
      </c>
      <c r="Q518" s="38">
        <f>SUM(N518:P518)</f>
        <v>71</v>
      </c>
      <c r="R518" s="38">
        <f>+E518+I518+M518+Q518</f>
        <v>373</v>
      </c>
    </row>
    <row r="519" spans="1:18" ht="16.5" customHeight="1" thickBot="1" x14ac:dyDescent="0.35">
      <c r="A519" s="22"/>
      <c r="B519" s="242"/>
      <c r="C519" s="242"/>
      <c r="D519" s="242"/>
      <c r="E519" s="233"/>
      <c r="F519" s="242"/>
      <c r="G519" s="242"/>
      <c r="H519" s="242"/>
      <c r="I519" s="233"/>
      <c r="J519" s="242"/>
      <c r="K519" s="242"/>
      <c r="L519" s="242"/>
      <c r="M519" s="233"/>
      <c r="N519" s="242"/>
      <c r="O519" s="242"/>
      <c r="P519" s="242"/>
      <c r="Q519" s="233"/>
      <c r="R519" s="21"/>
    </row>
    <row r="520" spans="1:18" ht="15.75" customHeight="1" x14ac:dyDescent="0.3">
      <c r="A520" s="259" t="s">
        <v>120</v>
      </c>
      <c r="B520" s="260">
        <f>B518</f>
        <v>20</v>
      </c>
      <c r="C520" s="260">
        <f>C518</f>
        <v>22</v>
      </c>
      <c r="D520" s="260">
        <f>D518</f>
        <v>28</v>
      </c>
      <c r="E520" s="39">
        <f>SUM(B520:D520)</f>
        <v>70</v>
      </c>
      <c r="F520" s="260">
        <f>F518</f>
        <v>37</v>
      </c>
      <c r="G520" s="260">
        <f>G518</f>
        <v>42</v>
      </c>
      <c r="H520" s="260">
        <f>H518</f>
        <v>44</v>
      </c>
      <c r="I520" s="39">
        <f>SUM(F520:H520)</f>
        <v>123</v>
      </c>
      <c r="J520" s="260">
        <f>J518</f>
        <v>39</v>
      </c>
      <c r="K520" s="260">
        <f>K518</f>
        <v>36</v>
      </c>
      <c r="L520" s="260">
        <f>L518</f>
        <v>34</v>
      </c>
      <c r="M520" s="39">
        <f>SUM(J520:L520)</f>
        <v>109</v>
      </c>
      <c r="N520" s="260">
        <f>N518</f>
        <v>29</v>
      </c>
      <c r="O520" s="260">
        <f>O518</f>
        <v>23</v>
      </c>
      <c r="P520" s="260">
        <f>P518</f>
        <v>19</v>
      </c>
      <c r="Q520" s="39">
        <f>SUM(N520:P520)</f>
        <v>71</v>
      </c>
      <c r="R520" s="39">
        <f>+E520+I520+M520+Q520</f>
        <v>373</v>
      </c>
    </row>
    <row r="521" spans="1:18" ht="15.75" customHeight="1" x14ac:dyDescent="0.3">
      <c r="A521" s="262" t="s">
        <v>1897</v>
      </c>
      <c r="B521" s="172">
        <f>(B520/31)/1.983</f>
        <v>0.32534608689993977</v>
      </c>
      <c r="C521" s="172">
        <f>(C520/28)/1.983</f>
        <v>0.39622505583171236</v>
      </c>
      <c r="D521" s="172">
        <f>(D520/31)/1.983</f>
        <v>0.45548452165991571</v>
      </c>
      <c r="E521" s="38" t="s">
        <v>852</v>
      </c>
      <c r="F521" s="172">
        <f>(F520/30)/1.983</f>
        <v>0.62195326945705165</v>
      </c>
      <c r="G521" s="172">
        <f>(G520/31)/1.983</f>
        <v>0.68322678248987356</v>
      </c>
      <c r="H521" s="172">
        <f>(H520/30)/1.983</f>
        <v>0.73962010421919644</v>
      </c>
      <c r="I521" s="38" t="s">
        <v>852</v>
      </c>
      <c r="J521" s="172">
        <f>(J520/31)/1.983</f>
        <v>0.63442486945488263</v>
      </c>
      <c r="K521" s="172">
        <f>(K520/31)/1.983</f>
        <v>0.5856229564198917</v>
      </c>
      <c r="L521" s="172">
        <f>(L520/30)/1.983</f>
        <v>0.57152462598756093</v>
      </c>
      <c r="M521" s="38" t="s">
        <v>852</v>
      </c>
      <c r="N521" s="172">
        <f>(N520/31)/1.983</f>
        <v>0.47175182600491267</v>
      </c>
      <c r="O521" s="172">
        <f>(O520/30)/1.983</f>
        <v>0.38661959993276179</v>
      </c>
      <c r="P521" s="172">
        <f>(P520/31)/1.983</f>
        <v>0.30907878255494281</v>
      </c>
      <c r="Q521" s="38" t="s">
        <v>852</v>
      </c>
      <c r="R521" s="38" t="s">
        <v>852</v>
      </c>
    </row>
    <row r="522" spans="1:18" ht="15.75" customHeight="1" x14ac:dyDescent="0.3">
      <c r="A522" s="262" t="s">
        <v>2019</v>
      </c>
      <c r="B522" s="172">
        <f>B520+B557</f>
        <v>16249</v>
      </c>
      <c r="C522" s="172">
        <f>C520+C557</f>
        <v>16947</v>
      </c>
      <c r="D522" s="172">
        <f>D520+D557</f>
        <v>14708</v>
      </c>
      <c r="E522" s="38">
        <f>SUM(B522:D522)</f>
        <v>47904</v>
      </c>
      <c r="F522" s="172">
        <f>F520+F557</f>
        <v>18424</v>
      </c>
      <c r="G522" s="172">
        <f>G520+G557</f>
        <v>19875</v>
      </c>
      <c r="H522" s="172">
        <f>H520+H557</f>
        <v>12317</v>
      </c>
      <c r="I522" s="38">
        <f>SUM(F522:H522)</f>
        <v>50616</v>
      </c>
      <c r="J522" s="172">
        <f>J520+J557</f>
        <v>14929</v>
      </c>
      <c r="K522" s="172">
        <f>K520+K557</f>
        <v>19206</v>
      </c>
      <c r="L522" s="172">
        <f>L520+L557</f>
        <v>19538</v>
      </c>
      <c r="M522" s="38">
        <f>SUM(J522:L522)</f>
        <v>53673</v>
      </c>
      <c r="N522" s="172">
        <f>N520+N557</f>
        <v>13295</v>
      </c>
      <c r="O522" s="172">
        <f>O520+O557</f>
        <v>5655</v>
      </c>
      <c r="P522" s="172">
        <f>P520+P557</f>
        <v>11178</v>
      </c>
      <c r="Q522" s="38">
        <f>SUM(N522:P522)</f>
        <v>30128</v>
      </c>
      <c r="R522" s="38">
        <f>+E522+I522+M522+Q522</f>
        <v>182321</v>
      </c>
    </row>
    <row r="523" spans="1:18" ht="16.5" customHeight="1" thickBot="1" x14ac:dyDescent="0.35">
      <c r="A523" s="263" t="s">
        <v>1332</v>
      </c>
      <c r="B523" s="264">
        <f>(B522/31)/1.983</f>
        <v>264.32742830185606</v>
      </c>
      <c r="C523" s="264">
        <f>(C522/28)/1.983</f>
        <v>305.21936459909227</v>
      </c>
      <c r="D523" s="264">
        <f>(D522/31)/1.983</f>
        <v>239.25951230621573</v>
      </c>
      <c r="E523" s="40" t="s">
        <v>852</v>
      </c>
      <c r="F523" s="264">
        <f>(F522/30)/1.983</f>
        <v>309.69910909396538</v>
      </c>
      <c r="G523" s="264">
        <f>(G522/31)/1.983</f>
        <v>323.31267385681519</v>
      </c>
      <c r="H523" s="264">
        <f>(H522/30)/1.983</f>
        <v>207.04320053790551</v>
      </c>
      <c r="I523" s="40" t="s">
        <v>852</v>
      </c>
      <c r="J523" s="264">
        <f>(J522/31)/1.983</f>
        <v>242.85458656646006</v>
      </c>
      <c r="K523" s="264">
        <f>(K522/31)/1.983</f>
        <v>312.42984725001219</v>
      </c>
      <c r="L523" s="264">
        <f>(L522/30)/1.983</f>
        <v>328.42494536896953</v>
      </c>
      <c r="M523" s="40" t="s">
        <v>852</v>
      </c>
      <c r="N523" s="264">
        <f>(N522/31)/1.983</f>
        <v>216.27381126673498</v>
      </c>
      <c r="O523" s="264">
        <f>(O522/30)/1.983</f>
        <v>95.057992939989916</v>
      </c>
      <c r="P523" s="264">
        <f>(P522/31)/1.983</f>
        <v>181.83592796837635</v>
      </c>
      <c r="Q523" s="40" t="s">
        <v>852</v>
      </c>
      <c r="R523" s="40" t="s">
        <v>852</v>
      </c>
    </row>
    <row r="524" spans="1:18" ht="15.75" customHeight="1" x14ac:dyDescent="0.3">
      <c r="A524" s="18"/>
      <c r="B524" s="172"/>
      <c r="C524" s="172"/>
      <c r="D524" s="172"/>
      <c r="E524" s="172"/>
      <c r="F524" s="172"/>
      <c r="G524" s="172"/>
      <c r="H524" s="172"/>
      <c r="I524" s="172"/>
      <c r="J524" s="172"/>
      <c r="K524" s="172"/>
      <c r="L524" s="172"/>
      <c r="M524" s="172"/>
      <c r="N524" s="172"/>
      <c r="O524" s="172"/>
      <c r="P524" s="172"/>
      <c r="Q524" s="172"/>
      <c r="R524" s="17"/>
    </row>
    <row r="525" spans="1:18" ht="15.75" customHeight="1" thickBot="1" x14ac:dyDescent="0.35">
      <c r="A525" s="18"/>
      <c r="B525" s="172"/>
      <c r="C525" s="172"/>
      <c r="D525" s="172"/>
      <c r="E525" s="172"/>
      <c r="F525" s="172"/>
      <c r="G525" s="172"/>
      <c r="H525" s="172"/>
      <c r="I525" s="172"/>
      <c r="J525" s="172"/>
      <c r="K525" s="172"/>
      <c r="L525" s="172"/>
      <c r="M525" s="172"/>
      <c r="N525" s="172"/>
      <c r="O525" s="172"/>
      <c r="P525" s="172"/>
      <c r="Q525" s="172"/>
      <c r="R525" s="17"/>
    </row>
    <row r="526" spans="1:18" ht="16.5" customHeight="1" thickBot="1" x14ac:dyDescent="0.35">
      <c r="A526" s="240" t="s">
        <v>1333</v>
      </c>
      <c r="B526" s="4" t="s">
        <v>2090</v>
      </c>
      <c r="C526" s="5" t="s">
        <v>2091</v>
      </c>
      <c r="D526" s="5" t="s">
        <v>2234</v>
      </c>
      <c r="E526" s="33" t="s">
        <v>1594</v>
      </c>
      <c r="F526" s="5" t="s">
        <v>2235</v>
      </c>
      <c r="G526" s="5" t="s">
        <v>2236</v>
      </c>
      <c r="H526" s="5" t="s">
        <v>2237</v>
      </c>
      <c r="I526" s="35" t="s">
        <v>1595</v>
      </c>
      <c r="J526" s="5" t="s">
        <v>1504</v>
      </c>
      <c r="K526" s="5" t="s">
        <v>1505</v>
      </c>
      <c r="L526" s="5" t="s">
        <v>1506</v>
      </c>
      <c r="M526" s="35" t="s">
        <v>1596</v>
      </c>
      <c r="N526" s="5" t="s">
        <v>1507</v>
      </c>
      <c r="O526" s="5" t="s">
        <v>1508</v>
      </c>
      <c r="P526" s="5" t="s">
        <v>1509</v>
      </c>
      <c r="Q526" s="35" t="s">
        <v>1597</v>
      </c>
      <c r="R526" s="36" t="s">
        <v>1510</v>
      </c>
    </row>
    <row r="527" spans="1:18" ht="16.5" customHeight="1" thickBot="1" x14ac:dyDescent="0.35">
      <c r="A527" s="22"/>
      <c r="B527" s="242"/>
      <c r="C527" s="242"/>
      <c r="D527" s="242"/>
      <c r="E527" s="233"/>
      <c r="F527" s="242"/>
      <c r="G527" s="242"/>
      <c r="H527" s="242"/>
      <c r="I527" s="233"/>
      <c r="J527" s="242"/>
      <c r="K527" s="242"/>
      <c r="L527" s="242"/>
      <c r="M527" s="233"/>
      <c r="N527" s="242"/>
      <c r="O527" s="242"/>
      <c r="P527" s="242"/>
      <c r="Q527" s="233"/>
      <c r="R527" s="19"/>
    </row>
    <row r="528" spans="1:18" ht="15.75" customHeight="1" x14ac:dyDescent="0.3">
      <c r="A528" s="234" t="s">
        <v>2417</v>
      </c>
      <c r="B528" s="172" t="s">
        <v>852</v>
      </c>
      <c r="C528" s="172" t="s">
        <v>852</v>
      </c>
      <c r="D528" s="172" t="s">
        <v>852</v>
      </c>
      <c r="E528" s="38" t="s">
        <v>852</v>
      </c>
      <c r="F528" s="172" t="s">
        <v>852</v>
      </c>
      <c r="G528" s="172" t="s">
        <v>852</v>
      </c>
      <c r="H528" s="172" t="s">
        <v>852</v>
      </c>
      <c r="I528" s="38" t="s">
        <v>852</v>
      </c>
      <c r="J528" s="172" t="s">
        <v>852</v>
      </c>
      <c r="K528" s="172" t="s">
        <v>852</v>
      </c>
      <c r="L528" s="172" t="s">
        <v>852</v>
      </c>
      <c r="M528" s="38" t="s">
        <v>852</v>
      </c>
      <c r="N528" s="172" t="s">
        <v>852</v>
      </c>
      <c r="O528" s="172" t="s">
        <v>852</v>
      </c>
      <c r="P528" s="172" t="s">
        <v>852</v>
      </c>
      <c r="Q528" s="38" t="s">
        <v>852</v>
      </c>
      <c r="R528" s="38" t="s">
        <v>852</v>
      </c>
    </row>
    <row r="529" spans="1:18" ht="15.75" customHeight="1" x14ac:dyDescent="0.3">
      <c r="A529" s="234" t="s">
        <v>2160</v>
      </c>
      <c r="B529" s="172"/>
      <c r="C529" s="172"/>
      <c r="D529" s="172"/>
      <c r="E529" s="38" t="s">
        <v>852</v>
      </c>
      <c r="F529" s="172"/>
      <c r="G529" s="172"/>
      <c r="H529" s="172"/>
      <c r="I529" s="38" t="s">
        <v>852</v>
      </c>
      <c r="J529" s="172"/>
      <c r="K529" s="172"/>
      <c r="L529" s="172"/>
      <c r="M529" s="38" t="s">
        <v>852</v>
      </c>
      <c r="N529" s="172"/>
      <c r="O529" s="172"/>
      <c r="P529" s="172"/>
      <c r="Q529" s="38" t="s">
        <v>852</v>
      </c>
      <c r="R529" s="38" t="s">
        <v>852</v>
      </c>
    </row>
    <row r="530" spans="1:18" ht="15.75" customHeight="1" x14ac:dyDescent="0.3">
      <c r="A530" s="539" t="s">
        <v>2668</v>
      </c>
      <c r="B530" s="172">
        <v>0</v>
      </c>
      <c r="C530" s="172">
        <v>0</v>
      </c>
      <c r="D530" s="172">
        <v>88</v>
      </c>
      <c r="E530" s="38">
        <f>SUM(B530:D530)</f>
        <v>88</v>
      </c>
      <c r="F530" s="172">
        <f>1176+51</f>
        <v>1227</v>
      </c>
      <c r="G530" s="172">
        <f>2092+585</f>
        <v>2677</v>
      </c>
      <c r="H530" s="172">
        <f>1356+679</f>
        <v>2035</v>
      </c>
      <c r="I530" s="38">
        <f>SUM(F530:H530)</f>
        <v>5939</v>
      </c>
      <c r="J530" s="172">
        <f>1908+763</f>
        <v>2671</v>
      </c>
      <c r="K530" s="172">
        <f>2318+684</f>
        <v>3002</v>
      </c>
      <c r="L530" s="172">
        <f>608+14</f>
        <v>622</v>
      </c>
      <c r="M530" s="38">
        <f>SUM(J530:L530)</f>
        <v>6295</v>
      </c>
      <c r="N530" s="172">
        <v>161</v>
      </c>
      <c r="O530" s="172">
        <v>107</v>
      </c>
      <c r="P530" s="172">
        <v>77</v>
      </c>
      <c r="Q530" s="38">
        <f>SUM(N530:P530)</f>
        <v>345</v>
      </c>
      <c r="R530" s="38">
        <f>+E530+I530+M530+Q530</f>
        <v>12667</v>
      </c>
    </row>
    <row r="531" spans="1:18" ht="15.75" customHeight="1" x14ac:dyDescent="0.3">
      <c r="A531" s="266" t="s">
        <v>537</v>
      </c>
      <c r="B531" s="172">
        <v>0</v>
      </c>
      <c r="C531" s="172">
        <v>0</v>
      </c>
      <c r="D531" s="172">
        <v>0</v>
      </c>
      <c r="E531" s="38">
        <f>SUM(B531:D531)</f>
        <v>0</v>
      </c>
      <c r="F531" s="172">
        <v>3</v>
      </c>
      <c r="G531" s="172">
        <v>88</v>
      </c>
      <c r="H531" s="172">
        <v>75</v>
      </c>
      <c r="I531" s="38">
        <f>SUM(F531:H531)</f>
        <v>166</v>
      </c>
      <c r="J531" s="172">
        <v>72</v>
      </c>
      <c r="K531" s="172">
        <v>94</v>
      </c>
      <c r="L531" s="172">
        <v>24</v>
      </c>
      <c r="M531" s="38">
        <f>SUM(J531:L531)</f>
        <v>190</v>
      </c>
      <c r="N531" s="172">
        <v>0</v>
      </c>
      <c r="O531" s="172">
        <v>0</v>
      </c>
      <c r="P531" s="172">
        <v>0</v>
      </c>
      <c r="Q531" s="38">
        <f>SUM(N531:P531)</f>
        <v>0</v>
      </c>
      <c r="R531" s="38">
        <f>+E531+I531+M531+Q531</f>
        <v>356</v>
      </c>
    </row>
    <row r="532" spans="1:18" ht="15.75" customHeight="1" x14ac:dyDescent="0.3">
      <c r="A532" s="234" t="s">
        <v>2161</v>
      </c>
      <c r="B532" s="172"/>
      <c r="C532" s="172"/>
      <c r="D532" s="172"/>
      <c r="E532" s="38" t="s">
        <v>852</v>
      </c>
      <c r="F532" s="172"/>
      <c r="G532" s="172"/>
      <c r="H532" s="172"/>
      <c r="I532" s="38" t="s">
        <v>852</v>
      </c>
      <c r="J532" s="172"/>
      <c r="K532" s="172"/>
      <c r="L532" s="172"/>
      <c r="M532" s="38" t="s">
        <v>852</v>
      </c>
      <c r="N532" s="172"/>
      <c r="O532" s="172"/>
      <c r="P532" s="172"/>
      <c r="Q532" s="38" t="s">
        <v>852</v>
      </c>
      <c r="R532" s="38" t="s">
        <v>852</v>
      </c>
    </row>
    <row r="533" spans="1:18" ht="15.75" customHeight="1" x14ac:dyDescent="0.3">
      <c r="A533" s="234" t="s">
        <v>2162</v>
      </c>
      <c r="B533" s="172"/>
      <c r="C533" s="172"/>
      <c r="D533" s="172"/>
      <c r="E533" s="38" t="s">
        <v>852</v>
      </c>
      <c r="F533" s="172"/>
      <c r="G533" s="172"/>
      <c r="H533" s="172"/>
      <c r="I533" s="38" t="s">
        <v>852</v>
      </c>
      <c r="J533" s="172"/>
      <c r="K533" s="172"/>
      <c r="L533" s="172"/>
      <c r="M533" s="38" t="s">
        <v>852</v>
      </c>
      <c r="N533" s="172"/>
      <c r="O533" s="172"/>
      <c r="P533" s="172"/>
      <c r="Q533" s="38" t="s">
        <v>852</v>
      </c>
      <c r="R533" s="38" t="s">
        <v>852</v>
      </c>
    </row>
    <row r="534" spans="1:18" ht="15.75" customHeight="1" thickBot="1" x14ac:dyDescent="0.35">
      <c r="A534" s="234" t="s">
        <v>2164</v>
      </c>
      <c r="B534" s="172"/>
      <c r="C534" s="172"/>
      <c r="D534" s="172"/>
      <c r="E534" s="38" t="s">
        <v>852</v>
      </c>
      <c r="F534" s="172"/>
      <c r="G534" s="172"/>
      <c r="H534" s="172"/>
      <c r="I534" s="38" t="s">
        <v>852</v>
      </c>
      <c r="J534" s="172"/>
      <c r="K534" s="172"/>
      <c r="L534" s="172"/>
      <c r="M534" s="38" t="s">
        <v>852</v>
      </c>
      <c r="N534" s="172"/>
      <c r="O534" s="172"/>
      <c r="P534" s="172"/>
      <c r="Q534" s="38" t="s">
        <v>852</v>
      </c>
      <c r="R534" s="38" t="s">
        <v>852</v>
      </c>
    </row>
    <row r="535" spans="1:18" ht="16.5" customHeight="1" thickBot="1" x14ac:dyDescent="0.35">
      <c r="A535" s="276" t="s">
        <v>1218</v>
      </c>
      <c r="B535" s="45">
        <f>SUM(B528:B534)</f>
        <v>0</v>
      </c>
      <c r="C535" s="46">
        <f>SUM(C528:C534)</f>
        <v>0</v>
      </c>
      <c r="D535" s="46">
        <f>SUM(D528:D534)</f>
        <v>88</v>
      </c>
      <c r="E535" s="37">
        <f>SUM(B535:D535)</f>
        <v>88</v>
      </c>
      <c r="F535" s="46">
        <f>SUM(F528:F534)</f>
        <v>1230</v>
      </c>
      <c r="G535" s="46">
        <f>SUM(G528:G534)</f>
        <v>2765</v>
      </c>
      <c r="H535" s="46">
        <f>SUM(H528:H534)</f>
        <v>2110</v>
      </c>
      <c r="I535" s="37">
        <f>SUM(F535:H535)</f>
        <v>6105</v>
      </c>
      <c r="J535" s="46">
        <f>SUM(J528:J534)</f>
        <v>2743</v>
      </c>
      <c r="K535" s="46">
        <f>SUM(K528:K534)</f>
        <v>3096</v>
      </c>
      <c r="L535" s="46">
        <f>SUM(L528:L534)</f>
        <v>646</v>
      </c>
      <c r="M535" s="37">
        <f>SUM(J535:L535)</f>
        <v>6485</v>
      </c>
      <c r="N535" s="46">
        <f>SUM(N528:N534)</f>
        <v>161</v>
      </c>
      <c r="O535" s="46">
        <f>SUM(O528:O534)</f>
        <v>107</v>
      </c>
      <c r="P535" s="46">
        <f>SUM(P528:P534)</f>
        <v>77</v>
      </c>
      <c r="Q535" s="37">
        <f>SUM(N535:P535)</f>
        <v>345</v>
      </c>
      <c r="R535" s="37">
        <f>+E535+I535+M535+Q535</f>
        <v>13023</v>
      </c>
    </row>
    <row r="536" spans="1:18" ht="15.75" customHeight="1" x14ac:dyDescent="0.3">
      <c r="A536" s="234" t="s">
        <v>1172</v>
      </c>
      <c r="B536" s="172"/>
      <c r="C536" s="172"/>
      <c r="D536" s="172"/>
      <c r="E536" s="38" t="s">
        <v>852</v>
      </c>
      <c r="F536" s="172"/>
      <c r="G536" s="172"/>
      <c r="H536" s="172"/>
      <c r="I536" s="38" t="s">
        <v>852</v>
      </c>
      <c r="J536" s="172"/>
      <c r="K536" s="172"/>
      <c r="L536" s="172"/>
      <c r="M536" s="38" t="s">
        <v>852</v>
      </c>
      <c r="N536" s="172"/>
      <c r="O536" s="172"/>
      <c r="P536" s="172"/>
      <c r="Q536" s="38" t="s">
        <v>852</v>
      </c>
      <c r="R536" s="38" t="s">
        <v>852</v>
      </c>
    </row>
    <row r="537" spans="1:18" ht="15.75" customHeight="1" x14ac:dyDescent="0.3">
      <c r="A537" s="234" t="s">
        <v>2409</v>
      </c>
      <c r="B537" s="172"/>
      <c r="C537" s="172"/>
      <c r="D537" s="172"/>
      <c r="E537" s="38" t="s">
        <v>852</v>
      </c>
      <c r="F537" s="172"/>
      <c r="G537" s="172"/>
      <c r="H537" s="172"/>
      <c r="I537" s="38" t="s">
        <v>852</v>
      </c>
      <c r="J537" s="172"/>
      <c r="K537" s="172"/>
      <c r="L537" s="172"/>
      <c r="M537" s="38" t="s">
        <v>852</v>
      </c>
      <c r="N537" s="172"/>
      <c r="O537" s="172"/>
      <c r="P537" s="172"/>
      <c r="Q537" s="38" t="s">
        <v>852</v>
      </c>
      <c r="R537" s="38" t="s">
        <v>852</v>
      </c>
    </row>
    <row r="538" spans="1:18" ht="15.75" customHeight="1" thickBot="1" x14ac:dyDescent="0.35">
      <c r="A538" s="234" t="s">
        <v>2165</v>
      </c>
      <c r="B538" s="172"/>
      <c r="C538" s="172"/>
      <c r="D538" s="172"/>
      <c r="E538" s="38" t="s">
        <v>852</v>
      </c>
      <c r="F538" s="172"/>
      <c r="G538" s="172"/>
      <c r="H538" s="172"/>
      <c r="I538" s="38" t="s">
        <v>852</v>
      </c>
      <c r="J538" s="172"/>
      <c r="K538" s="172"/>
      <c r="L538" s="172"/>
      <c r="M538" s="38" t="s">
        <v>852</v>
      </c>
      <c r="N538" s="172"/>
      <c r="O538" s="172"/>
      <c r="P538" s="172"/>
      <c r="Q538" s="38" t="s">
        <v>852</v>
      </c>
      <c r="R538" s="38" t="s">
        <v>852</v>
      </c>
    </row>
    <row r="539" spans="1:18" ht="16.5" customHeight="1" thickBot="1" x14ac:dyDescent="0.35">
      <c r="A539" s="43" t="s">
        <v>1219</v>
      </c>
      <c r="B539" s="45">
        <f>SUM(B536:B538)</f>
        <v>0</v>
      </c>
      <c r="C539" s="46">
        <f>SUM(C536:C538)</f>
        <v>0</v>
      </c>
      <c r="D539" s="46">
        <f>SUM(D536:D538)</f>
        <v>0</v>
      </c>
      <c r="E539" s="37">
        <f>SUM(B539:D539)</f>
        <v>0</v>
      </c>
      <c r="F539" s="46">
        <f>SUM(F536:F538)</f>
        <v>0</v>
      </c>
      <c r="G539" s="46">
        <f>SUM(G536:G538)</f>
        <v>0</v>
      </c>
      <c r="H539" s="46">
        <f>SUM(H536:H538)</f>
        <v>0</v>
      </c>
      <c r="I539" s="37">
        <f>SUM(F539:H539)</f>
        <v>0</v>
      </c>
      <c r="J539" s="46">
        <f>SUM(J536:J538)</f>
        <v>0</v>
      </c>
      <c r="K539" s="46">
        <f>SUM(K536:K538)</f>
        <v>0</v>
      </c>
      <c r="L539" s="46">
        <f>SUM(L536:L538)</f>
        <v>0</v>
      </c>
      <c r="M539" s="37">
        <f>SUM(J539:L539)</f>
        <v>0</v>
      </c>
      <c r="N539" s="46">
        <f>SUM(N536:N538)</f>
        <v>0</v>
      </c>
      <c r="O539" s="46">
        <f>SUM(O536:O538)</f>
        <v>0</v>
      </c>
      <c r="P539" s="46">
        <f>SUM(P536:P538)</f>
        <v>0</v>
      </c>
      <c r="Q539" s="37">
        <f>SUM(N539:P539)</f>
        <v>0</v>
      </c>
      <c r="R539" s="37">
        <f>+E539+I539+M539+Q539</f>
        <v>0</v>
      </c>
    </row>
    <row r="540" spans="1:18" ht="15.75" customHeight="1" x14ac:dyDescent="0.3">
      <c r="A540" s="234" t="s">
        <v>2166</v>
      </c>
      <c r="B540" s="172"/>
      <c r="C540" s="172"/>
      <c r="D540" s="172"/>
      <c r="E540" s="38" t="s">
        <v>852</v>
      </c>
      <c r="F540" s="172"/>
      <c r="G540" s="172"/>
      <c r="H540" s="172"/>
      <c r="I540" s="38" t="s">
        <v>852</v>
      </c>
      <c r="J540" s="172"/>
      <c r="K540" s="172"/>
      <c r="L540" s="172"/>
      <c r="M540" s="38" t="s">
        <v>852</v>
      </c>
      <c r="N540" s="172"/>
      <c r="O540" s="172"/>
      <c r="P540" s="172"/>
      <c r="Q540" s="38" t="s">
        <v>852</v>
      </c>
      <c r="R540" s="38" t="s">
        <v>852</v>
      </c>
    </row>
    <row r="541" spans="1:18" ht="15.75" customHeight="1" x14ac:dyDescent="0.3">
      <c r="A541" s="234" t="s">
        <v>1245</v>
      </c>
      <c r="B541" s="172"/>
      <c r="C541" s="172"/>
      <c r="D541" s="172"/>
      <c r="E541" s="38" t="s">
        <v>852</v>
      </c>
      <c r="F541" s="172"/>
      <c r="G541" s="172"/>
      <c r="H541" s="172"/>
      <c r="I541" s="38" t="s">
        <v>852</v>
      </c>
      <c r="J541" s="172"/>
      <c r="K541" s="172"/>
      <c r="L541" s="172"/>
      <c r="M541" s="38" t="s">
        <v>852</v>
      </c>
      <c r="N541" s="172"/>
      <c r="O541" s="172"/>
      <c r="P541" s="172"/>
      <c r="Q541" s="38" t="s">
        <v>852</v>
      </c>
      <c r="R541" s="38" t="s">
        <v>852</v>
      </c>
    </row>
    <row r="542" spans="1:18" ht="15.75" customHeight="1" thickBot="1" x14ac:dyDescent="0.35">
      <c r="A542" s="234" t="s">
        <v>1711</v>
      </c>
      <c r="B542" s="172"/>
      <c r="C542" s="172"/>
      <c r="D542" s="172"/>
      <c r="E542" s="38" t="s">
        <v>852</v>
      </c>
      <c r="F542" s="172"/>
      <c r="G542" s="172"/>
      <c r="H542" s="172"/>
      <c r="I542" s="38" t="s">
        <v>852</v>
      </c>
      <c r="J542" s="172"/>
      <c r="K542" s="172"/>
      <c r="L542" s="172"/>
      <c r="M542" s="38" t="s">
        <v>852</v>
      </c>
      <c r="N542" s="172"/>
      <c r="O542" s="172"/>
      <c r="P542" s="172"/>
      <c r="Q542" s="38" t="s">
        <v>852</v>
      </c>
      <c r="R542" s="38" t="s">
        <v>852</v>
      </c>
    </row>
    <row r="543" spans="1:18" ht="16.5" customHeight="1" thickBot="1" x14ac:dyDescent="0.35">
      <c r="A543" s="277" t="s">
        <v>1220</v>
      </c>
      <c r="B543" s="45">
        <f>SUM(B540:B542)</f>
        <v>0</v>
      </c>
      <c r="C543" s="46">
        <f>SUM(C540:C542)</f>
        <v>0</v>
      </c>
      <c r="D543" s="46">
        <f>SUM(D540:D542)</f>
        <v>0</v>
      </c>
      <c r="E543" s="37">
        <f>SUM(B543:D543)</f>
        <v>0</v>
      </c>
      <c r="F543" s="46">
        <f>SUM(F540:F542)</f>
        <v>0</v>
      </c>
      <c r="G543" s="46">
        <f>SUM(G540:G542)</f>
        <v>0</v>
      </c>
      <c r="H543" s="46">
        <f>SUM(H540:H542)</f>
        <v>0</v>
      </c>
      <c r="I543" s="37">
        <f>SUM(F543:H543)</f>
        <v>0</v>
      </c>
      <c r="J543" s="46">
        <f>SUM(J540:J542)</f>
        <v>0</v>
      </c>
      <c r="K543" s="46">
        <f>SUM(K540:K542)</f>
        <v>0</v>
      </c>
      <c r="L543" s="46">
        <f>SUM(L540:L542)</f>
        <v>0</v>
      </c>
      <c r="M543" s="37">
        <f>SUM(J543:L543)</f>
        <v>0</v>
      </c>
      <c r="N543" s="46">
        <f>SUM(N540:N542)</f>
        <v>0</v>
      </c>
      <c r="O543" s="46">
        <f>SUM(O540:O542)</f>
        <v>0</v>
      </c>
      <c r="P543" s="46">
        <f>SUM(P540:P542)</f>
        <v>0</v>
      </c>
      <c r="Q543" s="37">
        <f>SUM(N543:P543)</f>
        <v>0</v>
      </c>
      <c r="R543" s="37">
        <f>+E543+I543+M543+Q543</f>
        <v>0</v>
      </c>
    </row>
    <row r="544" spans="1:18" ht="15.75" customHeight="1" x14ac:dyDescent="0.3">
      <c r="A544" s="234" t="s">
        <v>1712</v>
      </c>
      <c r="B544" s="172"/>
      <c r="C544" s="172"/>
      <c r="D544" s="172"/>
      <c r="E544" s="38" t="s">
        <v>852</v>
      </c>
      <c r="F544" s="172"/>
      <c r="G544" s="172"/>
      <c r="H544" s="172"/>
      <c r="I544" s="38" t="s">
        <v>852</v>
      </c>
      <c r="J544" s="172"/>
      <c r="K544" s="172"/>
      <c r="L544" s="172"/>
      <c r="M544" s="38" t="s">
        <v>852</v>
      </c>
      <c r="N544" s="172"/>
      <c r="O544" s="172"/>
      <c r="P544" s="172"/>
      <c r="Q544" s="38" t="s">
        <v>852</v>
      </c>
      <c r="R544" s="38" t="s">
        <v>852</v>
      </c>
    </row>
    <row r="545" spans="1:18" ht="15.75" customHeight="1" x14ac:dyDescent="0.3">
      <c r="A545" s="234" t="s">
        <v>1021</v>
      </c>
      <c r="B545" s="172"/>
      <c r="C545" s="172"/>
      <c r="D545" s="172"/>
      <c r="E545" s="38" t="s">
        <v>852</v>
      </c>
      <c r="F545" s="172"/>
      <c r="G545" s="172"/>
      <c r="H545" s="172"/>
      <c r="I545" s="38" t="s">
        <v>852</v>
      </c>
      <c r="J545" s="172"/>
      <c r="K545" s="172"/>
      <c r="L545" s="172"/>
      <c r="M545" s="38" t="s">
        <v>852</v>
      </c>
      <c r="N545" s="172"/>
      <c r="O545" s="172"/>
      <c r="P545" s="172"/>
      <c r="Q545" s="38" t="s">
        <v>852</v>
      </c>
      <c r="R545" s="38" t="s">
        <v>852</v>
      </c>
    </row>
    <row r="546" spans="1:18" ht="15.75" customHeight="1" x14ac:dyDescent="0.3">
      <c r="A546" s="234" t="s">
        <v>557</v>
      </c>
      <c r="B546" s="172"/>
      <c r="C546" s="172"/>
      <c r="D546" s="172"/>
      <c r="E546" s="38" t="s">
        <v>852</v>
      </c>
      <c r="F546" s="172"/>
      <c r="G546" s="172"/>
      <c r="H546" s="172"/>
      <c r="I546" s="38" t="s">
        <v>852</v>
      </c>
      <c r="J546" s="172"/>
      <c r="K546" s="172"/>
      <c r="L546" s="172"/>
      <c r="M546" s="38" t="s">
        <v>852</v>
      </c>
      <c r="N546" s="172"/>
      <c r="O546" s="172"/>
      <c r="P546" s="172"/>
      <c r="Q546" s="38" t="s">
        <v>852</v>
      </c>
      <c r="R546" s="38" t="s">
        <v>852</v>
      </c>
    </row>
    <row r="547" spans="1:18" ht="15.75" customHeight="1" x14ac:dyDescent="0.3">
      <c r="A547" s="539" t="s">
        <v>2584</v>
      </c>
      <c r="B547" s="172">
        <v>0</v>
      </c>
      <c r="C547" s="172">
        <v>0</v>
      </c>
      <c r="D547" s="172">
        <v>0</v>
      </c>
      <c r="E547" s="38">
        <f>SUM(B547:D547)</f>
        <v>0</v>
      </c>
      <c r="F547" s="172">
        <v>0</v>
      </c>
      <c r="G547" s="172">
        <v>0</v>
      </c>
      <c r="H547" s="172">
        <v>0</v>
      </c>
      <c r="I547" s="38">
        <f>SUM(F547:H547)</f>
        <v>0</v>
      </c>
      <c r="J547" s="172">
        <v>0</v>
      </c>
      <c r="K547" s="172">
        <v>0</v>
      </c>
      <c r="L547" s="172">
        <v>0</v>
      </c>
      <c r="M547" s="38">
        <f>SUM(J547:L547)</f>
        <v>0</v>
      </c>
      <c r="N547" s="172">
        <v>0</v>
      </c>
      <c r="O547" s="172">
        <v>0</v>
      </c>
      <c r="P547" s="172">
        <v>0</v>
      </c>
      <c r="Q547" s="38">
        <f>SUM(N547:P547)</f>
        <v>0</v>
      </c>
      <c r="R547" s="38">
        <f>+E547+I547+M547+Q547</f>
        <v>0</v>
      </c>
    </row>
    <row r="548" spans="1:18" ht="15.75" customHeight="1" x14ac:dyDescent="0.3">
      <c r="A548" s="234" t="s">
        <v>1022</v>
      </c>
      <c r="B548" s="172"/>
      <c r="C548" s="172"/>
      <c r="D548" s="172"/>
      <c r="E548" s="38" t="s">
        <v>852</v>
      </c>
      <c r="F548" s="172"/>
      <c r="G548" s="172"/>
      <c r="H548" s="172"/>
      <c r="I548" s="38" t="s">
        <v>852</v>
      </c>
      <c r="J548" s="172"/>
      <c r="K548" s="172"/>
      <c r="L548" s="172"/>
      <c r="M548" s="38" t="s">
        <v>852</v>
      </c>
      <c r="N548" s="172"/>
      <c r="O548" s="172"/>
      <c r="P548" s="172"/>
      <c r="Q548" s="38" t="s">
        <v>852</v>
      </c>
      <c r="R548" s="38" t="s">
        <v>852</v>
      </c>
    </row>
    <row r="549" spans="1:18" ht="15.75" customHeight="1" thickBot="1" x14ac:dyDescent="0.35">
      <c r="A549" s="234" t="s">
        <v>559</v>
      </c>
      <c r="B549" s="172"/>
      <c r="C549" s="172"/>
      <c r="D549" s="172"/>
      <c r="E549" s="38" t="s">
        <v>852</v>
      </c>
      <c r="F549" s="172"/>
      <c r="G549" s="172"/>
      <c r="H549" s="172"/>
      <c r="I549" s="38" t="s">
        <v>852</v>
      </c>
      <c r="J549" s="172"/>
      <c r="K549" s="172"/>
      <c r="L549" s="172"/>
      <c r="M549" s="38" t="s">
        <v>852</v>
      </c>
      <c r="N549" s="172"/>
      <c r="O549" s="172"/>
      <c r="P549" s="172"/>
      <c r="Q549" s="38" t="s">
        <v>852</v>
      </c>
      <c r="R549" s="38" t="s">
        <v>852</v>
      </c>
    </row>
    <row r="550" spans="1:18" ht="16.5" customHeight="1" thickBot="1" x14ac:dyDescent="0.35">
      <c r="A550" s="43" t="s">
        <v>1019</v>
      </c>
      <c r="B550" s="42">
        <f>SUM(B548:B549)</f>
        <v>0</v>
      </c>
      <c r="C550" s="42">
        <f>SUM(C548:C549)</f>
        <v>0</v>
      </c>
      <c r="D550" s="42">
        <f>SUM(D548:D549)</f>
        <v>0</v>
      </c>
      <c r="E550" s="39">
        <f>SUM(B550:D550)</f>
        <v>0</v>
      </c>
      <c r="F550" s="42">
        <f>SUM(F548:F549)</f>
        <v>0</v>
      </c>
      <c r="G550" s="42">
        <f>SUM(G548:G549)</f>
        <v>0</v>
      </c>
      <c r="H550" s="42">
        <f>SUM(H548:H549)</f>
        <v>0</v>
      </c>
      <c r="I550" s="39">
        <f>SUM(F550:H550)</f>
        <v>0</v>
      </c>
      <c r="J550" s="42">
        <f>SUM(J548:J549)</f>
        <v>0</v>
      </c>
      <c r="K550" s="42">
        <f>SUM(K548:K549)</f>
        <v>0</v>
      </c>
      <c r="L550" s="42">
        <f>SUM(L548:L549)</f>
        <v>0</v>
      </c>
      <c r="M550" s="39">
        <f>SUM(J550:L550)</f>
        <v>0</v>
      </c>
      <c r="N550" s="42">
        <f>SUM(N548:N549)</f>
        <v>0</v>
      </c>
      <c r="O550" s="42">
        <f>SUM(O548:O549)</f>
        <v>0</v>
      </c>
      <c r="P550" s="42">
        <f>SUM(P548:P549)</f>
        <v>0</v>
      </c>
      <c r="Q550" s="39">
        <f>SUM(N550:P550)</f>
        <v>0</v>
      </c>
      <c r="R550" s="37">
        <f>+E550+I550+M550+Q550</f>
        <v>0</v>
      </c>
    </row>
    <row r="551" spans="1:18" ht="16.5" customHeight="1" thickBot="1" x14ac:dyDescent="0.35">
      <c r="A551" s="277" t="s">
        <v>1221</v>
      </c>
      <c r="B551" s="45">
        <f>SUM(B544:B549)</f>
        <v>0</v>
      </c>
      <c r="C551" s="46">
        <f>SUM(C544:C549)</f>
        <v>0</v>
      </c>
      <c r="D551" s="58">
        <f>SUM(D544:D549)</f>
        <v>0</v>
      </c>
      <c r="E551" s="39">
        <f>SUM(B551:D551)</f>
        <v>0</v>
      </c>
      <c r="F551" s="46">
        <f>SUM(F544:F549)</f>
        <v>0</v>
      </c>
      <c r="G551" s="46">
        <f>SUM(G544:G549)</f>
        <v>0</v>
      </c>
      <c r="H551" s="46">
        <f>SUM(H544:H549)</f>
        <v>0</v>
      </c>
      <c r="I551" s="39">
        <f>SUM(F551:H551)</f>
        <v>0</v>
      </c>
      <c r="J551" s="46">
        <f>SUM(J544:J549)</f>
        <v>0</v>
      </c>
      <c r="K551" s="46">
        <f>SUM(K544:K549)</f>
        <v>0</v>
      </c>
      <c r="L551" s="46">
        <f>SUM(L544:L549)</f>
        <v>0</v>
      </c>
      <c r="M551" s="39">
        <f>SUM(J551:L551)</f>
        <v>0</v>
      </c>
      <c r="N551" s="46">
        <f>SUM(N544:N549)</f>
        <v>0</v>
      </c>
      <c r="O551" s="46">
        <f>SUM(O544:O549)</f>
        <v>0</v>
      </c>
      <c r="P551" s="46">
        <f>SUM(P544:P549)</f>
        <v>0</v>
      </c>
      <c r="Q551" s="39">
        <f>SUM(N551:P551)</f>
        <v>0</v>
      </c>
      <c r="R551" s="37">
        <f>+E551+I551+M551+Q551</f>
        <v>0</v>
      </c>
    </row>
    <row r="552" spans="1:18" ht="16.5" customHeight="1" thickBot="1" x14ac:dyDescent="0.35">
      <c r="A552" s="43" t="s">
        <v>1222</v>
      </c>
      <c r="B552" s="47">
        <f>+B535+B539+B543+B551</f>
        <v>0</v>
      </c>
      <c r="C552" s="42">
        <f>+C535+C539+C543+C551</f>
        <v>0</v>
      </c>
      <c r="D552" s="42">
        <f>+D535+D539+D543+D551</f>
        <v>88</v>
      </c>
      <c r="E552" s="37">
        <f>SUM(B552:D552)</f>
        <v>88</v>
      </c>
      <c r="F552" s="42">
        <f>+F535+F539+F543+F551</f>
        <v>1230</v>
      </c>
      <c r="G552" s="42">
        <f>+G535+G539+G543+G551</f>
        <v>2765</v>
      </c>
      <c r="H552" s="42">
        <f>+H535+H539+H543+H551</f>
        <v>2110</v>
      </c>
      <c r="I552" s="37">
        <f>SUM(F552:H552)</f>
        <v>6105</v>
      </c>
      <c r="J552" s="42">
        <f>+J535+J539+J543+J551</f>
        <v>2743</v>
      </c>
      <c r="K552" s="42">
        <f>+K535+K539+K543+K551</f>
        <v>3096</v>
      </c>
      <c r="L552" s="42">
        <f>+L535+L539+L543+L551</f>
        <v>646</v>
      </c>
      <c r="M552" s="37">
        <f>SUM(J552:L552)</f>
        <v>6485</v>
      </c>
      <c r="N552" s="42">
        <f>+N535+N539+N543+N551</f>
        <v>161</v>
      </c>
      <c r="O552" s="42">
        <f>+O535+O539+O543+O551</f>
        <v>107</v>
      </c>
      <c r="P552" s="42">
        <f>+P535+P539+P543+P551</f>
        <v>77</v>
      </c>
      <c r="Q552" s="37">
        <f>SUM(N552:P552)</f>
        <v>345</v>
      </c>
      <c r="R552" s="40">
        <f>+E552+I552+M552+Q552</f>
        <v>13023</v>
      </c>
    </row>
    <row r="553" spans="1:18" ht="16.5" customHeight="1" thickBot="1" x14ac:dyDescent="0.35">
      <c r="A553" s="244" t="s">
        <v>853</v>
      </c>
      <c r="B553" s="238">
        <v>10</v>
      </c>
      <c r="C553" s="238">
        <v>11</v>
      </c>
      <c r="D553" s="238">
        <v>14</v>
      </c>
      <c r="E553" s="38">
        <f>SUM(B553:D553)</f>
        <v>35</v>
      </c>
      <c r="F553" s="238">
        <v>18</v>
      </c>
      <c r="G553" s="238">
        <v>21</v>
      </c>
      <c r="H553" s="238">
        <v>22</v>
      </c>
      <c r="I553" s="38">
        <f>SUM(F553:H553)</f>
        <v>61</v>
      </c>
      <c r="J553" s="238">
        <v>19</v>
      </c>
      <c r="K553" s="238">
        <v>17</v>
      </c>
      <c r="L553" s="238">
        <v>17</v>
      </c>
      <c r="M553" s="38">
        <f>SUM(J553:L553)</f>
        <v>53</v>
      </c>
      <c r="N553" s="238">
        <v>14</v>
      </c>
      <c r="O553" s="238">
        <v>11</v>
      </c>
      <c r="P553" s="238">
        <v>9</v>
      </c>
      <c r="Q553" s="38">
        <f>SUM(N553:P553)</f>
        <v>34</v>
      </c>
      <c r="R553" s="38">
        <f>+E553+I553+M553+Q553</f>
        <v>183</v>
      </c>
    </row>
    <row r="554" spans="1:18" ht="16.5" customHeight="1" thickBot="1" x14ac:dyDescent="0.35">
      <c r="A554" s="22"/>
      <c r="B554" s="242"/>
      <c r="C554" s="242"/>
      <c r="D554" s="242"/>
      <c r="E554" s="233"/>
      <c r="F554" s="242"/>
      <c r="G554" s="242"/>
      <c r="H554" s="242"/>
      <c r="I554" s="233"/>
      <c r="J554" s="242"/>
      <c r="K554" s="242"/>
      <c r="L554" s="242"/>
      <c r="M554" s="280"/>
      <c r="N554" s="242"/>
      <c r="O554" s="242"/>
      <c r="P554" s="242"/>
      <c r="Q554" s="280"/>
      <c r="R554" s="14"/>
    </row>
    <row r="555" spans="1:18" ht="15.75" customHeight="1" x14ac:dyDescent="0.3">
      <c r="A555" s="234" t="s">
        <v>120</v>
      </c>
      <c r="B555" s="172">
        <f>SUM(B552:B553)</f>
        <v>10</v>
      </c>
      <c r="C555" s="172">
        <f>SUM(C552:C553)</f>
        <v>11</v>
      </c>
      <c r="D555" s="172">
        <f>SUM(D552:D553)</f>
        <v>102</v>
      </c>
      <c r="E555" s="38">
        <f>SUM(B555:D555)</f>
        <v>123</v>
      </c>
      <c r="F555" s="172">
        <f>SUM(F552:F553)</f>
        <v>1248</v>
      </c>
      <c r="G555" s="172">
        <f>SUM(G552:G553)</f>
        <v>2786</v>
      </c>
      <c r="H555" s="172">
        <f>SUM(H552:H553)</f>
        <v>2132</v>
      </c>
      <c r="I555" s="39">
        <f>SUM(F555:H555)</f>
        <v>6166</v>
      </c>
      <c r="J555" s="172">
        <f>SUM(J552:J553)</f>
        <v>2762</v>
      </c>
      <c r="K555" s="172">
        <f>SUM(K552:K553)</f>
        <v>3113</v>
      </c>
      <c r="L555" s="172">
        <f>SUM(L552:L553)</f>
        <v>663</v>
      </c>
      <c r="M555" s="39">
        <f>SUM(J555:L555)</f>
        <v>6538</v>
      </c>
      <c r="N555" s="172">
        <f>SUM(N552:N553)</f>
        <v>175</v>
      </c>
      <c r="O555" s="172">
        <f>SUM(O552:O553)</f>
        <v>118</v>
      </c>
      <c r="P555" s="172">
        <f>SUM(P552:P553)</f>
        <v>86</v>
      </c>
      <c r="Q555" s="39">
        <f>SUM(N555:P555)</f>
        <v>379</v>
      </c>
      <c r="R555" s="39">
        <f>+E555+I555+M555+Q555</f>
        <v>13206</v>
      </c>
    </row>
    <row r="556" spans="1:18" ht="15.75" customHeight="1" x14ac:dyDescent="0.3">
      <c r="A556" s="234" t="s">
        <v>1897</v>
      </c>
      <c r="B556" s="172">
        <f>(B555/31)/1.983</f>
        <v>0.16267304344996988</v>
      </c>
      <c r="C556" s="172">
        <f>(C555/28)/1.983</f>
        <v>0.19811252791585618</v>
      </c>
      <c r="D556" s="172">
        <f>(D555/31)/1.983</f>
        <v>1.6592650431896931</v>
      </c>
      <c r="E556" s="38" t="s">
        <v>852</v>
      </c>
      <c r="F556" s="172">
        <f>(F555/30)/1.983</f>
        <v>20.978315683308118</v>
      </c>
      <c r="G556" s="172">
        <f>(G555/31)/1.983</f>
        <v>45.320709905161614</v>
      </c>
      <c r="H556" s="172">
        <f>(H555/30)/1.983</f>
        <v>35.837955958984701</v>
      </c>
      <c r="I556" s="38" t="s">
        <v>852</v>
      </c>
      <c r="J556" s="172">
        <f>(J555/31)/1.983</f>
        <v>44.930294600881687</v>
      </c>
      <c r="K556" s="172">
        <f>(K555/31)/1.983</f>
        <v>50.640118425975629</v>
      </c>
      <c r="L556" s="172">
        <f>(L555/30)/1.983</f>
        <v>11.144730206757439</v>
      </c>
      <c r="M556" s="38" t="s">
        <v>852</v>
      </c>
      <c r="N556" s="172">
        <f>(N555/31)/1.983</f>
        <v>2.8467782603744736</v>
      </c>
      <c r="O556" s="172">
        <f>(O555/30)/1.983</f>
        <v>1.9835266431332994</v>
      </c>
      <c r="P556" s="172">
        <f>(P555/31)/1.983</f>
        <v>1.3989881736697412</v>
      </c>
      <c r="Q556" s="38" t="s">
        <v>852</v>
      </c>
      <c r="R556" s="38" t="s">
        <v>852</v>
      </c>
    </row>
    <row r="557" spans="1:18" ht="15.75" customHeight="1" x14ac:dyDescent="0.3">
      <c r="A557" s="234" t="s">
        <v>1334</v>
      </c>
      <c r="B557" s="172">
        <f>B555+B598</f>
        <v>16229</v>
      </c>
      <c r="C557" s="172">
        <f>C555+C598</f>
        <v>16925</v>
      </c>
      <c r="D557" s="172">
        <f>D555+D598</f>
        <v>14680</v>
      </c>
      <c r="E557" s="38">
        <f>SUM(B557:D557)</f>
        <v>47834</v>
      </c>
      <c r="F557" s="172">
        <f>F555+F598</f>
        <v>18387</v>
      </c>
      <c r="G557" s="172">
        <f>G555+G598</f>
        <v>19833</v>
      </c>
      <c r="H557" s="172">
        <f>H555+H598</f>
        <v>12273</v>
      </c>
      <c r="I557" s="38">
        <f>SUM(F557:H557)</f>
        <v>50493</v>
      </c>
      <c r="J557" s="172">
        <f>J555+J598</f>
        <v>14890</v>
      </c>
      <c r="K557" s="172">
        <f>K555+K598</f>
        <v>19170</v>
      </c>
      <c r="L557" s="172">
        <f>L555+L598</f>
        <v>19504</v>
      </c>
      <c r="M557" s="38">
        <f>SUM(J557:L557)</f>
        <v>53564</v>
      </c>
      <c r="N557" s="172">
        <f>N555+N598</f>
        <v>13266</v>
      </c>
      <c r="O557" s="172">
        <f>O555+O598</f>
        <v>5632</v>
      </c>
      <c r="P557" s="172">
        <f>P555+P598</f>
        <v>11159</v>
      </c>
      <c r="Q557" s="38">
        <f>SUM(N557:P557)</f>
        <v>30057</v>
      </c>
      <c r="R557" s="38">
        <f>+E557+I557+M557+Q557</f>
        <v>181948</v>
      </c>
    </row>
    <row r="558" spans="1:18" ht="16.5" customHeight="1" thickBot="1" x14ac:dyDescent="0.35">
      <c r="A558" s="237" t="s">
        <v>1335</v>
      </c>
      <c r="B558" s="238">
        <f>(B557/31)/1.983</f>
        <v>264.00208221495615</v>
      </c>
      <c r="C558" s="238">
        <f>(C557/28)/1.983</f>
        <v>304.82313954326054</v>
      </c>
      <c r="D558" s="238">
        <f>(D557/31)/1.983</f>
        <v>238.80402778455581</v>
      </c>
      <c r="E558" s="40" t="s">
        <v>852</v>
      </c>
      <c r="F558" s="238">
        <f>(F557/30)/1.983</f>
        <v>309.07715582450828</v>
      </c>
      <c r="G558" s="238">
        <f>(G557/31)/1.983</f>
        <v>322.6294470743253</v>
      </c>
      <c r="H558" s="238">
        <f>(H557/30)/1.983</f>
        <v>206.30358043368634</v>
      </c>
      <c r="I558" s="40" t="s">
        <v>852</v>
      </c>
      <c r="J558" s="238">
        <f>(J557/31)/1.983</f>
        <v>242.22016169700518</v>
      </c>
      <c r="K558" s="238">
        <f>(K557/31)/1.983</f>
        <v>311.84422429359228</v>
      </c>
      <c r="L558" s="238">
        <f>(L557/30)/1.983</f>
        <v>327.853420742982</v>
      </c>
      <c r="M558" s="40" t="s">
        <v>852</v>
      </c>
      <c r="N558" s="238">
        <f>(N557/31)/1.983</f>
        <v>215.80205944073006</v>
      </c>
      <c r="O558" s="238">
        <f>(O557/30)/1.983</f>
        <v>94.671373340057144</v>
      </c>
      <c r="P558" s="238">
        <f>(P557/31)/1.983</f>
        <v>181.52684918582139</v>
      </c>
      <c r="Q558" s="40" t="s">
        <v>852</v>
      </c>
      <c r="R558" s="40" t="s">
        <v>852</v>
      </c>
    </row>
    <row r="559" spans="1:18" ht="15.75" customHeight="1" x14ac:dyDescent="0.3">
      <c r="A559" s="17"/>
      <c r="B559" s="172"/>
      <c r="C559" s="172"/>
      <c r="D559" s="172"/>
      <c r="E559" s="172"/>
      <c r="F559" s="172"/>
      <c r="G559" s="172"/>
      <c r="H559" s="172"/>
      <c r="I559" s="172"/>
      <c r="J559" s="172"/>
      <c r="K559" s="172"/>
      <c r="L559" s="172"/>
      <c r="M559" s="172"/>
      <c r="N559" s="172"/>
      <c r="O559" s="172"/>
      <c r="P559" s="172"/>
      <c r="Q559" s="172"/>
      <c r="R559" s="17"/>
    </row>
    <row r="560" spans="1:18" ht="16.5" customHeight="1" thickBot="1" x14ac:dyDescent="0.35">
      <c r="A560" s="24"/>
      <c r="B560" s="238"/>
      <c r="C560" s="238"/>
      <c r="D560" s="238"/>
      <c r="E560" s="238"/>
      <c r="F560" s="238"/>
      <c r="G560" s="238"/>
      <c r="H560" s="238"/>
      <c r="I560" s="238"/>
      <c r="J560" s="238"/>
      <c r="K560" s="238"/>
      <c r="L560" s="238"/>
      <c r="M560" s="238"/>
      <c r="N560" s="238"/>
      <c r="O560" s="238"/>
      <c r="P560" s="238"/>
      <c r="Q560" s="238"/>
      <c r="R560" s="24"/>
    </row>
    <row r="561" spans="1:18" ht="15.75" customHeight="1" thickBot="1" x14ac:dyDescent="0.35">
      <c r="A561" s="274" t="s">
        <v>1772</v>
      </c>
      <c r="B561" s="25" t="s">
        <v>2090</v>
      </c>
      <c r="C561" s="26" t="s">
        <v>2091</v>
      </c>
      <c r="D561" s="26" t="s">
        <v>2234</v>
      </c>
      <c r="E561" s="33" t="s">
        <v>1594</v>
      </c>
      <c r="F561" s="26" t="s">
        <v>2235</v>
      </c>
      <c r="G561" s="26" t="s">
        <v>2236</v>
      </c>
      <c r="H561" s="26" t="s">
        <v>2237</v>
      </c>
      <c r="I561" s="33" t="s">
        <v>1595</v>
      </c>
      <c r="J561" s="26" t="s">
        <v>1504</v>
      </c>
      <c r="K561" s="26" t="s">
        <v>1505</v>
      </c>
      <c r="L561" s="26" t="s">
        <v>1506</v>
      </c>
      <c r="M561" s="33" t="s">
        <v>1596</v>
      </c>
      <c r="N561" s="26" t="s">
        <v>1507</v>
      </c>
      <c r="O561" s="26" t="s">
        <v>1508</v>
      </c>
      <c r="P561" s="26" t="s">
        <v>1509</v>
      </c>
      <c r="Q561" s="33" t="s">
        <v>1597</v>
      </c>
      <c r="R561" s="34" t="s">
        <v>1510</v>
      </c>
    </row>
    <row r="562" spans="1:18" ht="16.5" customHeight="1" thickBot="1" x14ac:dyDescent="0.35">
      <c r="A562" s="281"/>
      <c r="B562" s="232"/>
      <c r="C562" s="232"/>
      <c r="D562" s="232"/>
      <c r="E562" s="233"/>
      <c r="F562" s="232"/>
      <c r="G562" s="232"/>
      <c r="H562" s="232"/>
      <c r="I562" s="233"/>
      <c r="J562" s="232"/>
      <c r="K562" s="232"/>
      <c r="L562" s="232"/>
      <c r="M562" s="233"/>
      <c r="N562" s="232"/>
      <c r="O562" s="232"/>
      <c r="P562" s="232"/>
      <c r="Q562" s="233"/>
      <c r="R562" s="75"/>
    </row>
    <row r="563" spans="1:18" ht="15.75" customHeight="1" x14ac:dyDescent="0.3">
      <c r="A563" s="234" t="s">
        <v>2417</v>
      </c>
      <c r="B563" s="172" t="s">
        <v>852</v>
      </c>
      <c r="C563" s="172" t="s">
        <v>852</v>
      </c>
      <c r="D563" s="172" t="s">
        <v>852</v>
      </c>
      <c r="E563" s="38" t="s">
        <v>852</v>
      </c>
      <c r="F563" s="172" t="s">
        <v>852</v>
      </c>
      <c r="G563" s="172" t="s">
        <v>852</v>
      </c>
      <c r="H563" s="172" t="s">
        <v>852</v>
      </c>
      <c r="I563" s="38" t="s">
        <v>852</v>
      </c>
      <c r="J563" s="172" t="s">
        <v>852</v>
      </c>
      <c r="K563" s="172" t="s">
        <v>852</v>
      </c>
      <c r="L563" s="172" t="s">
        <v>852</v>
      </c>
      <c r="M563" s="38" t="s">
        <v>852</v>
      </c>
      <c r="N563" s="172" t="s">
        <v>852</v>
      </c>
      <c r="O563" s="172" t="s">
        <v>852</v>
      </c>
      <c r="P563" s="172" t="s">
        <v>852</v>
      </c>
      <c r="Q563" s="38" t="s">
        <v>852</v>
      </c>
      <c r="R563" s="38" t="s">
        <v>852</v>
      </c>
    </row>
    <row r="564" spans="1:18" ht="15.75" customHeight="1" x14ac:dyDescent="0.3">
      <c r="A564" s="234" t="s">
        <v>2160</v>
      </c>
      <c r="B564" s="172"/>
      <c r="C564" s="172"/>
      <c r="D564" s="172"/>
      <c r="E564" s="38" t="s">
        <v>852</v>
      </c>
      <c r="F564" s="172"/>
      <c r="G564" s="172"/>
      <c r="H564" s="172"/>
      <c r="I564" s="38" t="s">
        <v>852</v>
      </c>
      <c r="J564" s="172"/>
      <c r="K564" s="172"/>
      <c r="L564" s="172"/>
      <c r="M564" s="38" t="s">
        <v>852</v>
      </c>
      <c r="N564" s="172"/>
      <c r="O564" s="172"/>
      <c r="P564" s="172"/>
      <c r="Q564" s="38" t="s">
        <v>852</v>
      </c>
      <c r="R564" s="38" t="s">
        <v>852</v>
      </c>
    </row>
    <row r="565" spans="1:18" ht="15.75" customHeight="1" x14ac:dyDescent="0.3">
      <c r="A565" s="266" t="s">
        <v>2171</v>
      </c>
      <c r="B565" s="10">
        <v>7397</v>
      </c>
      <c r="C565" s="10">
        <v>7124</v>
      </c>
      <c r="D565" s="10">
        <v>7112</v>
      </c>
      <c r="E565" s="38">
        <f>SUM(B565:D565)</f>
        <v>21633</v>
      </c>
      <c r="F565" s="10">
        <v>7618</v>
      </c>
      <c r="G565" s="10">
        <v>7790</v>
      </c>
      <c r="H565" s="10">
        <v>996</v>
      </c>
      <c r="I565" s="38">
        <f>SUM(F565:H565)</f>
        <v>16404</v>
      </c>
      <c r="J565" s="10">
        <v>3556</v>
      </c>
      <c r="K565" s="10">
        <v>6524</v>
      </c>
      <c r="L565" s="10">
        <f>7496</f>
        <v>7496</v>
      </c>
      <c r="M565" s="38">
        <f>SUM(J565:L565)</f>
        <v>17576</v>
      </c>
      <c r="N565" s="10">
        <v>4504</v>
      </c>
      <c r="O565" s="10">
        <v>1886</v>
      </c>
      <c r="P565" s="10">
        <v>4779</v>
      </c>
      <c r="Q565" s="38">
        <f>SUM(N565:P565)</f>
        <v>11169</v>
      </c>
      <c r="R565" s="38">
        <f>+E565+I565+M565+Q565</f>
        <v>66782</v>
      </c>
    </row>
    <row r="566" spans="1:18" ht="15.75" customHeight="1" x14ac:dyDescent="0.3">
      <c r="A566" s="266" t="s">
        <v>2146</v>
      </c>
      <c r="B566" s="172">
        <v>5463</v>
      </c>
      <c r="C566" s="172">
        <v>5460</v>
      </c>
      <c r="D566" s="172">
        <v>5507</v>
      </c>
      <c r="E566" s="38">
        <f>SUM(B566:D566)</f>
        <v>16430</v>
      </c>
      <c r="F566" s="172">
        <v>5810</v>
      </c>
      <c r="G566" s="172">
        <v>6032</v>
      </c>
      <c r="H566" s="172">
        <v>4636</v>
      </c>
      <c r="I566" s="38">
        <f>SUM(F566:H566)</f>
        <v>16478</v>
      </c>
      <c r="J566" s="172">
        <v>2353</v>
      </c>
      <c r="K566" s="172">
        <v>2042</v>
      </c>
      <c r="L566" s="172">
        <v>0</v>
      </c>
      <c r="M566" s="38">
        <f>SUM(J566:L566)</f>
        <v>4395</v>
      </c>
      <c r="N566" s="172">
        <v>1197</v>
      </c>
      <c r="O566" s="172">
        <v>0</v>
      </c>
      <c r="P566" s="172">
        <v>503</v>
      </c>
      <c r="Q566" s="38">
        <f>SUM(N566:P566)</f>
        <v>1700</v>
      </c>
      <c r="R566" s="38">
        <f>+E566+I566+M566+Q566</f>
        <v>39003</v>
      </c>
    </row>
    <row r="567" spans="1:18" ht="15.75" customHeight="1" x14ac:dyDescent="0.3">
      <c r="A567" s="234" t="s">
        <v>2161</v>
      </c>
      <c r="B567" s="172"/>
      <c r="C567" s="172"/>
      <c r="D567" s="172"/>
      <c r="E567" s="38" t="s">
        <v>852</v>
      </c>
      <c r="F567" s="172"/>
      <c r="G567" s="172"/>
      <c r="H567" s="172"/>
      <c r="I567" s="38" t="s">
        <v>852</v>
      </c>
      <c r="J567" s="172"/>
      <c r="K567" s="172"/>
      <c r="L567" s="172"/>
      <c r="M567" s="38" t="s">
        <v>852</v>
      </c>
      <c r="N567" s="172"/>
      <c r="O567" s="172"/>
      <c r="P567" s="172"/>
      <c r="Q567" s="38" t="s">
        <v>852</v>
      </c>
      <c r="R567" s="38" t="s">
        <v>852</v>
      </c>
    </row>
    <row r="568" spans="1:18" ht="15.75" customHeight="1" x14ac:dyDescent="0.3">
      <c r="A568" s="234" t="s">
        <v>2162</v>
      </c>
      <c r="B568" s="172"/>
      <c r="C568" s="172"/>
      <c r="D568" s="172"/>
      <c r="E568" s="38" t="s">
        <v>852</v>
      </c>
      <c r="F568" s="172"/>
      <c r="G568" s="172"/>
      <c r="H568" s="172"/>
      <c r="I568" s="38" t="s">
        <v>852</v>
      </c>
      <c r="J568" s="172"/>
      <c r="K568" s="172"/>
      <c r="L568" s="172"/>
      <c r="M568" s="38" t="s">
        <v>852</v>
      </c>
      <c r="N568" s="172"/>
      <c r="O568" s="172"/>
      <c r="P568" s="172"/>
      <c r="Q568" s="38" t="s">
        <v>852</v>
      </c>
      <c r="R568" s="38" t="s">
        <v>852</v>
      </c>
    </row>
    <row r="569" spans="1:18" ht="15.75" customHeight="1" thickBot="1" x14ac:dyDescent="0.35">
      <c r="A569" s="234" t="s">
        <v>2164</v>
      </c>
      <c r="B569" s="172"/>
      <c r="C569" s="172"/>
      <c r="D569" s="172"/>
      <c r="E569" s="38" t="s">
        <v>852</v>
      </c>
      <c r="F569" s="172"/>
      <c r="G569" s="172"/>
      <c r="H569" s="172"/>
      <c r="I569" s="38" t="s">
        <v>852</v>
      </c>
      <c r="J569" s="172"/>
      <c r="K569" s="172"/>
      <c r="L569" s="172"/>
      <c r="M569" s="38" t="s">
        <v>852</v>
      </c>
      <c r="N569" s="172"/>
      <c r="O569" s="172"/>
      <c r="P569" s="172"/>
      <c r="Q569" s="38" t="s">
        <v>852</v>
      </c>
      <c r="R569" s="38" t="s">
        <v>852</v>
      </c>
    </row>
    <row r="570" spans="1:18" ht="16.5" customHeight="1" thickBot="1" x14ac:dyDescent="0.35">
      <c r="A570" s="276" t="s">
        <v>1218</v>
      </c>
      <c r="B570" s="45">
        <f>SUM(B563:B569)</f>
        <v>12860</v>
      </c>
      <c r="C570" s="46">
        <f>SUM(C563:C569)</f>
        <v>12584</v>
      </c>
      <c r="D570" s="46">
        <f>SUM(D563:D569)</f>
        <v>12619</v>
      </c>
      <c r="E570" s="37">
        <f>SUM(B570:D570)</f>
        <v>38063</v>
      </c>
      <c r="F570" s="46">
        <f>SUM(F563:F569)</f>
        <v>13428</v>
      </c>
      <c r="G570" s="46">
        <f>SUM(G563:G569)</f>
        <v>13822</v>
      </c>
      <c r="H570" s="46">
        <f>SUM(H563:H569)</f>
        <v>5632</v>
      </c>
      <c r="I570" s="37">
        <f>SUM(F570:H570)</f>
        <v>32882</v>
      </c>
      <c r="J570" s="46">
        <f>SUM(J563:J569)</f>
        <v>5909</v>
      </c>
      <c r="K570" s="46">
        <f>SUM(K563:K569)</f>
        <v>8566</v>
      </c>
      <c r="L570" s="46">
        <f>SUM(L563:L569)</f>
        <v>7496</v>
      </c>
      <c r="M570" s="37">
        <f>SUM(J570:L570)</f>
        <v>21971</v>
      </c>
      <c r="N570" s="46">
        <f>SUM(N563:N569)</f>
        <v>5701</v>
      </c>
      <c r="O570" s="46">
        <f>SUM(O563:O569)</f>
        <v>1886</v>
      </c>
      <c r="P570" s="46">
        <f>SUM(P563:P569)</f>
        <v>5282</v>
      </c>
      <c r="Q570" s="37">
        <f>SUM(N570:P570)</f>
        <v>12869</v>
      </c>
      <c r="R570" s="37">
        <f>+E570+I570+M570+Q570</f>
        <v>105785</v>
      </c>
    </row>
    <row r="571" spans="1:18" ht="15.75" customHeight="1" x14ac:dyDescent="0.3">
      <c r="A571" s="234" t="s">
        <v>1172</v>
      </c>
      <c r="B571" s="172"/>
      <c r="C571" s="172"/>
      <c r="D571" s="172"/>
      <c r="E571" s="38" t="s">
        <v>852</v>
      </c>
      <c r="F571" s="172"/>
      <c r="G571" s="172"/>
      <c r="H571" s="172"/>
      <c r="I571" s="38" t="s">
        <v>852</v>
      </c>
      <c r="J571" s="172"/>
      <c r="K571" s="172"/>
      <c r="L571" s="172"/>
      <c r="M571" s="38" t="s">
        <v>852</v>
      </c>
      <c r="N571" s="172"/>
      <c r="O571" s="172"/>
      <c r="P571" s="172"/>
      <c r="Q571" s="38" t="s">
        <v>852</v>
      </c>
      <c r="R571" s="38" t="s">
        <v>852</v>
      </c>
    </row>
    <row r="572" spans="1:18" ht="15.75" customHeight="1" x14ac:dyDescent="0.3">
      <c r="A572" s="234" t="s">
        <v>2409</v>
      </c>
      <c r="B572" s="172"/>
      <c r="C572" s="172"/>
      <c r="D572" s="172"/>
      <c r="E572" s="38" t="s">
        <v>852</v>
      </c>
      <c r="F572" s="172"/>
      <c r="G572" s="172"/>
      <c r="H572" s="172"/>
      <c r="I572" s="38" t="s">
        <v>852</v>
      </c>
      <c r="J572" s="172"/>
      <c r="K572" s="172"/>
      <c r="L572" s="172"/>
      <c r="M572" s="38" t="s">
        <v>852</v>
      </c>
      <c r="N572" s="172"/>
      <c r="O572" s="172"/>
      <c r="P572" s="172"/>
      <c r="Q572" s="38" t="s">
        <v>852</v>
      </c>
      <c r="R572" s="38" t="s">
        <v>852</v>
      </c>
    </row>
    <row r="573" spans="1:18" ht="15.75" customHeight="1" thickBot="1" x14ac:dyDescent="0.35">
      <c r="A573" s="234" t="s">
        <v>2165</v>
      </c>
      <c r="B573" s="172"/>
      <c r="C573" s="172"/>
      <c r="D573" s="172"/>
      <c r="E573" s="38" t="s">
        <v>852</v>
      </c>
      <c r="F573" s="172"/>
      <c r="G573" s="172"/>
      <c r="H573" s="172"/>
      <c r="I573" s="38" t="s">
        <v>852</v>
      </c>
      <c r="J573" s="172"/>
      <c r="K573" s="172"/>
      <c r="L573" s="172"/>
      <c r="M573" s="38" t="s">
        <v>852</v>
      </c>
      <c r="N573" s="172"/>
      <c r="O573" s="172"/>
      <c r="P573" s="172"/>
      <c r="Q573" s="38" t="s">
        <v>852</v>
      </c>
      <c r="R573" s="38" t="s">
        <v>852</v>
      </c>
    </row>
    <row r="574" spans="1:18" ht="16.5" customHeight="1" thickBot="1" x14ac:dyDescent="0.35">
      <c r="A574" s="43" t="s">
        <v>1219</v>
      </c>
      <c r="B574" s="45">
        <f>SUM(B571:B573)</f>
        <v>0</v>
      </c>
      <c r="C574" s="46">
        <f>SUM(C571:C573)</f>
        <v>0</v>
      </c>
      <c r="D574" s="46">
        <f>SUM(D571:D573)</f>
        <v>0</v>
      </c>
      <c r="E574" s="37">
        <f>SUM(B574:D574)</f>
        <v>0</v>
      </c>
      <c r="F574" s="46">
        <f>SUM(F571:F573)</f>
        <v>0</v>
      </c>
      <c r="G574" s="46">
        <f>SUM(G571:G573)</f>
        <v>0</v>
      </c>
      <c r="H574" s="46">
        <f>SUM(H571:H573)</f>
        <v>0</v>
      </c>
      <c r="I574" s="37">
        <f>SUM(F574:H574)</f>
        <v>0</v>
      </c>
      <c r="J574" s="46">
        <f>SUM(J571:J573)</f>
        <v>0</v>
      </c>
      <c r="K574" s="46">
        <f>SUM(K571:K573)</f>
        <v>0</v>
      </c>
      <c r="L574" s="46">
        <f>SUM(L571:L573)</f>
        <v>0</v>
      </c>
      <c r="M574" s="37">
        <f>SUM(J574:L574)</f>
        <v>0</v>
      </c>
      <c r="N574" s="46">
        <f>SUM(N571:N573)</f>
        <v>0</v>
      </c>
      <c r="O574" s="46">
        <f>SUM(O571:O573)</f>
        <v>0</v>
      </c>
      <c r="P574" s="46">
        <f>SUM(P571:P573)</f>
        <v>0</v>
      </c>
      <c r="Q574" s="37">
        <f>SUM(N574:P574)</f>
        <v>0</v>
      </c>
      <c r="R574" s="37">
        <f>+E574+I574+M574+Q574</f>
        <v>0</v>
      </c>
    </row>
    <row r="575" spans="1:18" ht="15.75" customHeight="1" x14ac:dyDescent="0.3">
      <c r="A575" s="234" t="s">
        <v>2166</v>
      </c>
      <c r="B575" s="172"/>
      <c r="C575" s="172"/>
      <c r="D575" s="172"/>
      <c r="E575" s="38" t="s">
        <v>852</v>
      </c>
      <c r="F575" s="172"/>
      <c r="G575" s="172"/>
      <c r="H575" s="172"/>
      <c r="I575" s="38" t="s">
        <v>852</v>
      </c>
      <c r="J575" s="172"/>
      <c r="K575" s="172"/>
      <c r="L575" s="172"/>
      <c r="M575" s="38" t="s">
        <v>852</v>
      </c>
      <c r="N575" s="172"/>
      <c r="O575" s="172"/>
      <c r="P575" s="172"/>
      <c r="Q575" s="38" t="s">
        <v>852</v>
      </c>
      <c r="R575" s="38" t="s">
        <v>852</v>
      </c>
    </row>
    <row r="576" spans="1:18" ht="15.75" customHeight="1" x14ac:dyDescent="0.3">
      <c r="A576" s="234" t="s">
        <v>1245</v>
      </c>
      <c r="B576" s="172"/>
      <c r="C576" s="172"/>
      <c r="D576" s="172"/>
      <c r="E576" s="38" t="s">
        <v>852</v>
      </c>
      <c r="F576" s="172"/>
      <c r="G576" s="172"/>
      <c r="H576" s="172"/>
      <c r="I576" s="38" t="s">
        <v>852</v>
      </c>
      <c r="J576" s="172"/>
      <c r="K576" s="172"/>
      <c r="L576" s="172"/>
      <c r="M576" s="38" t="s">
        <v>852</v>
      </c>
      <c r="N576" s="172"/>
      <c r="O576" s="172"/>
      <c r="P576" s="172"/>
      <c r="Q576" s="38" t="s">
        <v>852</v>
      </c>
      <c r="R576" s="38" t="s">
        <v>852</v>
      </c>
    </row>
    <row r="577" spans="1:18" ht="15.75" customHeight="1" x14ac:dyDescent="0.3">
      <c r="A577" s="266" t="s">
        <v>641</v>
      </c>
      <c r="B577" s="172">
        <v>558</v>
      </c>
      <c r="C577" s="172">
        <v>1028</v>
      </c>
      <c r="D577" s="172">
        <v>796</v>
      </c>
      <c r="E577" s="38">
        <f>SUM(B577:D577)</f>
        <v>2382</v>
      </c>
      <c r="F577" s="172">
        <v>2082</v>
      </c>
      <c r="G577" s="172">
        <v>1411</v>
      </c>
      <c r="H577" s="172">
        <v>2275</v>
      </c>
      <c r="I577" s="38">
        <f>SUM(F577:H577)</f>
        <v>5768</v>
      </c>
      <c r="J577" s="172">
        <v>1816</v>
      </c>
      <c r="K577" s="172">
        <v>1761</v>
      </c>
      <c r="L577" s="172">
        <v>600</v>
      </c>
      <c r="M577" s="38">
        <f>SUM(J577:L577)</f>
        <v>4177</v>
      </c>
      <c r="N577" s="172">
        <v>215</v>
      </c>
      <c r="O577" s="172">
        <v>138</v>
      </c>
      <c r="P577" s="172">
        <v>175</v>
      </c>
      <c r="Q577" s="38">
        <f>SUM(N577:P577)</f>
        <v>528</v>
      </c>
      <c r="R577" s="38">
        <f>+E577+I577+M577+Q577</f>
        <v>12855</v>
      </c>
    </row>
    <row r="578" spans="1:18" ht="15.75" customHeight="1" x14ac:dyDescent="0.3">
      <c r="A578" s="234" t="s">
        <v>1711</v>
      </c>
      <c r="B578" s="172"/>
      <c r="C578" s="172"/>
      <c r="D578" s="172"/>
      <c r="E578" s="38" t="s">
        <v>852</v>
      </c>
      <c r="F578" s="172"/>
      <c r="G578" s="172"/>
      <c r="H578" s="172"/>
      <c r="I578" s="38" t="s">
        <v>852</v>
      </c>
      <c r="J578" s="172"/>
      <c r="K578" s="172"/>
      <c r="L578" s="172"/>
      <c r="M578" s="38" t="s">
        <v>852</v>
      </c>
      <c r="N578" s="172"/>
      <c r="O578" s="172"/>
      <c r="P578" s="172"/>
      <c r="Q578" s="38" t="s">
        <v>852</v>
      </c>
      <c r="R578" s="38" t="s">
        <v>852</v>
      </c>
    </row>
    <row r="579" spans="1:18" ht="15.75" customHeight="1" x14ac:dyDescent="0.3">
      <c r="A579" s="266" t="s">
        <v>601</v>
      </c>
      <c r="B579" s="172">
        <v>0</v>
      </c>
      <c r="C579" s="172">
        <v>0</v>
      </c>
      <c r="D579" s="172">
        <v>0</v>
      </c>
      <c r="E579" s="38">
        <f>SUM(B579:D579)</f>
        <v>0</v>
      </c>
      <c r="F579" s="172">
        <v>0</v>
      </c>
      <c r="G579" s="172">
        <v>0</v>
      </c>
      <c r="H579" s="172">
        <v>500</v>
      </c>
      <c r="I579" s="38">
        <f>SUM(F579:H579)</f>
        <v>500</v>
      </c>
      <c r="J579" s="172">
        <v>0</v>
      </c>
      <c r="K579" s="172">
        <v>0</v>
      </c>
      <c r="L579" s="172">
        <v>0</v>
      </c>
      <c r="M579" s="38">
        <f>SUM(J579:L579)</f>
        <v>0</v>
      </c>
      <c r="N579" s="172">
        <v>0</v>
      </c>
      <c r="O579" s="172">
        <v>0</v>
      </c>
      <c r="P579" s="172">
        <v>0</v>
      </c>
      <c r="Q579" s="38">
        <f>SUM(N579:P579)</f>
        <v>0</v>
      </c>
      <c r="R579" s="38">
        <f>+E579+I579+M579+Q579</f>
        <v>500</v>
      </c>
    </row>
    <row r="580" spans="1:18" ht="15.75" customHeight="1" thickBot="1" x14ac:dyDescent="0.35">
      <c r="A580" s="266" t="s">
        <v>40</v>
      </c>
      <c r="B580" s="172">
        <v>0</v>
      </c>
      <c r="C580" s="172">
        <v>0</v>
      </c>
      <c r="D580" s="172">
        <v>0</v>
      </c>
      <c r="E580" s="38">
        <f>SUM(B580:D580)</f>
        <v>0</v>
      </c>
      <c r="F580" s="172">
        <v>0</v>
      </c>
      <c r="G580" s="172">
        <v>0</v>
      </c>
      <c r="H580" s="172">
        <v>0</v>
      </c>
      <c r="I580" s="38">
        <f>SUM(F580:H580)</f>
        <v>0</v>
      </c>
      <c r="J580" s="172">
        <v>0</v>
      </c>
      <c r="K580" s="172">
        <v>0</v>
      </c>
      <c r="L580" s="172">
        <v>0</v>
      </c>
      <c r="M580" s="38">
        <f>SUM(J580:L580)</f>
        <v>0</v>
      </c>
      <c r="N580" s="172">
        <v>0</v>
      </c>
      <c r="O580" s="172">
        <v>0</v>
      </c>
      <c r="P580" s="172">
        <v>0</v>
      </c>
      <c r="Q580" s="38">
        <f>SUM(N580:P580)</f>
        <v>0</v>
      </c>
      <c r="R580" s="38">
        <f>+E580+I580+M580+Q580</f>
        <v>0</v>
      </c>
    </row>
    <row r="581" spans="1:18" ht="16.5" customHeight="1" thickBot="1" x14ac:dyDescent="0.35">
      <c r="A581" s="43" t="s">
        <v>1220</v>
      </c>
      <c r="B581" s="45">
        <f>SUM(B575:B580)</f>
        <v>558</v>
      </c>
      <c r="C581" s="46">
        <f>SUM(C575:C580)</f>
        <v>1028</v>
      </c>
      <c r="D581" s="46">
        <f>SUM(D575:D580)</f>
        <v>796</v>
      </c>
      <c r="E581" s="37">
        <f>SUM(B581:D581)</f>
        <v>2382</v>
      </c>
      <c r="F581" s="46">
        <f>SUM(F575:F580)</f>
        <v>2082</v>
      </c>
      <c r="G581" s="46">
        <f>SUM(G575:G580)</f>
        <v>1411</v>
      </c>
      <c r="H581" s="46">
        <f>SUM(H575:H580)</f>
        <v>2775</v>
      </c>
      <c r="I581" s="37">
        <f>SUM(F581:H581)</f>
        <v>6268</v>
      </c>
      <c r="J581" s="46">
        <f>SUM(J575:J580)</f>
        <v>1816</v>
      </c>
      <c r="K581" s="46">
        <f>SUM(K575:K580)</f>
        <v>1761</v>
      </c>
      <c r="L581" s="46">
        <f>SUM(L575:L580)</f>
        <v>600</v>
      </c>
      <c r="M581" s="37">
        <f>SUM(J581:L581)</f>
        <v>4177</v>
      </c>
      <c r="N581" s="46">
        <f>SUM(N575:N580)</f>
        <v>215</v>
      </c>
      <c r="O581" s="46">
        <f>SUM(O575:O580)</f>
        <v>138</v>
      </c>
      <c r="P581" s="46">
        <f>SUM(P575:P580)</f>
        <v>175</v>
      </c>
      <c r="Q581" s="37">
        <f>SUM(N581:P581)</f>
        <v>528</v>
      </c>
      <c r="R581" s="58">
        <f>+E581+I581+M581+Q581</f>
        <v>13355</v>
      </c>
    </row>
    <row r="582" spans="1:18" ht="15.75" customHeight="1" x14ac:dyDescent="0.3">
      <c r="A582" s="234" t="s">
        <v>1712</v>
      </c>
      <c r="B582" s="172"/>
      <c r="C582" s="172"/>
      <c r="D582" s="172"/>
      <c r="E582" s="38" t="s">
        <v>852</v>
      </c>
      <c r="F582" s="172"/>
      <c r="G582" s="172"/>
      <c r="H582" s="172"/>
      <c r="I582" s="38" t="s">
        <v>852</v>
      </c>
      <c r="J582" s="172"/>
      <c r="K582" s="172"/>
      <c r="L582" s="172"/>
      <c r="M582" s="38" t="s">
        <v>852</v>
      </c>
      <c r="N582" s="172"/>
      <c r="O582" s="172"/>
      <c r="P582" s="172"/>
      <c r="Q582" s="38" t="s">
        <v>852</v>
      </c>
      <c r="R582" s="38" t="s">
        <v>852</v>
      </c>
    </row>
    <row r="583" spans="1:18" ht="15.75" customHeight="1" x14ac:dyDescent="0.3">
      <c r="A583" s="234" t="s">
        <v>1021</v>
      </c>
      <c r="B583" s="172"/>
      <c r="C583" s="172"/>
      <c r="D583" s="172"/>
      <c r="E583" s="38" t="s">
        <v>852</v>
      </c>
      <c r="F583" s="172"/>
      <c r="G583" s="172"/>
      <c r="H583" s="172"/>
      <c r="I583" s="38" t="s">
        <v>852</v>
      </c>
      <c r="J583" s="172"/>
      <c r="K583" s="172"/>
      <c r="L583" s="172"/>
      <c r="M583" s="38" t="s">
        <v>852</v>
      </c>
      <c r="N583" s="172"/>
      <c r="O583" s="172"/>
      <c r="P583" s="172"/>
      <c r="Q583" s="38" t="s">
        <v>852</v>
      </c>
      <c r="R583" s="38" t="s">
        <v>852</v>
      </c>
    </row>
    <row r="584" spans="1:18" ht="15.75" customHeight="1" x14ac:dyDescent="0.3">
      <c r="A584" s="234" t="s">
        <v>557</v>
      </c>
      <c r="B584" s="172"/>
      <c r="C584" s="172"/>
      <c r="D584" s="172"/>
      <c r="E584" s="38" t="s">
        <v>852</v>
      </c>
      <c r="F584" s="172"/>
      <c r="G584" s="172"/>
      <c r="H584" s="172"/>
      <c r="I584" s="38" t="s">
        <v>852</v>
      </c>
      <c r="J584" s="172"/>
      <c r="K584" s="172"/>
      <c r="L584" s="172"/>
      <c r="M584" s="38" t="s">
        <v>852</v>
      </c>
      <c r="N584" s="172"/>
      <c r="O584" s="172"/>
      <c r="P584" s="172"/>
      <c r="Q584" s="38" t="s">
        <v>852</v>
      </c>
      <c r="R584" s="38" t="s">
        <v>852</v>
      </c>
    </row>
    <row r="585" spans="1:18" ht="15.75" customHeight="1" x14ac:dyDescent="0.3">
      <c r="A585" s="539" t="s">
        <v>2585</v>
      </c>
      <c r="B585" s="172">
        <v>0</v>
      </c>
      <c r="C585" s="172">
        <v>0</v>
      </c>
      <c r="D585" s="172">
        <v>0</v>
      </c>
      <c r="E585" s="38">
        <f>SUM(B585:D585)</f>
        <v>0</v>
      </c>
      <c r="F585" s="172">
        <v>0</v>
      </c>
      <c r="G585" s="172">
        <v>0</v>
      </c>
      <c r="H585" s="172">
        <v>0</v>
      </c>
      <c r="I585" s="38">
        <f>SUM(F585:H585)</f>
        <v>0</v>
      </c>
      <c r="J585" s="172">
        <v>0</v>
      </c>
      <c r="K585" s="172">
        <v>0</v>
      </c>
      <c r="L585" s="172">
        <v>0</v>
      </c>
      <c r="M585" s="38">
        <f>SUM(J585:L585)</f>
        <v>0</v>
      </c>
      <c r="N585" s="172">
        <v>0</v>
      </c>
      <c r="O585" s="172">
        <v>0</v>
      </c>
      <c r="P585" s="172">
        <v>500</v>
      </c>
      <c r="Q585" s="38">
        <f>SUM(N585:P585)</f>
        <v>500</v>
      </c>
      <c r="R585" s="38">
        <f>+E585+I585+M585+Q585</f>
        <v>500</v>
      </c>
    </row>
    <row r="586" spans="1:18" ht="15.75" customHeight="1" x14ac:dyDescent="0.3">
      <c r="A586" s="539" t="s">
        <v>2586</v>
      </c>
      <c r="B586" s="172">
        <v>0</v>
      </c>
      <c r="C586" s="172">
        <v>0</v>
      </c>
      <c r="D586" s="172">
        <v>0</v>
      </c>
      <c r="E586" s="38">
        <f>SUM(B586:D586)</f>
        <v>0</v>
      </c>
      <c r="F586" s="172">
        <v>0</v>
      </c>
      <c r="G586" s="172">
        <v>0</v>
      </c>
      <c r="H586" s="172">
        <v>0</v>
      </c>
      <c r="I586" s="38">
        <f>SUM(F586:H586)</f>
        <v>0</v>
      </c>
      <c r="J586" s="172">
        <v>0</v>
      </c>
      <c r="K586" s="172">
        <v>0</v>
      </c>
      <c r="L586" s="172">
        <v>0</v>
      </c>
      <c r="M586" s="38">
        <f>SUM(J586:L586)</f>
        <v>0</v>
      </c>
      <c r="N586" s="172">
        <v>0</v>
      </c>
      <c r="O586" s="172">
        <v>0</v>
      </c>
      <c r="P586" s="172">
        <v>0</v>
      </c>
      <c r="Q586" s="38">
        <f>SUM(N586:P586)</f>
        <v>0</v>
      </c>
      <c r="R586" s="38">
        <f>+E586+I586+M586+Q586</f>
        <v>0</v>
      </c>
    </row>
    <row r="587" spans="1:18" ht="15.75" customHeight="1" x14ac:dyDescent="0.3">
      <c r="A587" s="539" t="s">
        <v>2587</v>
      </c>
      <c r="B587" s="172">
        <v>0</v>
      </c>
      <c r="C587" s="172">
        <v>0</v>
      </c>
      <c r="D587" s="172">
        <v>0</v>
      </c>
      <c r="E587" s="38">
        <f>SUM(B587:D587)</f>
        <v>0</v>
      </c>
      <c r="F587" s="172">
        <v>0</v>
      </c>
      <c r="G587" s="172">
        <v>0</v>
      </c>
      <c r="H587" s="172">
        <v>0</v>
      </c>
      <c r="I587" s="38">
        <f>SUM(F587:H587)</f>
        <v>0</v>
      </c>
      <c r="J587" s="172">
        <v>3000</v>
      </c>
      <c r="K587" s="172">
        <v>4000</v>
      </c>
      <c r="L587" s="172">
        <v>6687</v>
      </c>
      <c r="M587" s="38">
        <f>SUM(J587:L587)</f>
        <v>13687</v>
      </c>
      <c r="N587" s="172">
        <v>3805</v>
      </c>
      <c r="O587" s="172">
        <v>2605</v>
      </c>
      <c r="P587" s="172">
        <v>826</v>
      </c>
      <c r="Q587" s="38">
        <f>SUM(N587:P587)</f>
        <v>7236</v>
      </c>
      <c r="R587" s="38">
        <f>+E587+I587+M587+Q587</f>
        <v>20923</v>
      </c>
    </row>
    <row r="588" spans="1:18" ht="15.75" customHeight="1" x14ac:dyDescent="0.3">
      <c r="A588" s="539" t="s">
        <v>2588</v>
      </c>
      <c r="B588" s="172">
        <v>0</v>
      </c>
      <c r="C588" s="172">
        <v>0</v>
      </c>
      <c r="D588" s="172">
        <v>0</v>
      </c>
      <c r="E588" s="38">
        <f>SUM(B588:D588)</f>
        <v>0</v>
      </c>
      <c r="F588" s="172">
        <v>0</v>
      </c>
      <c r="G588" s="172">
        <v>0</v>
      </c>
      <c r="H588" s="172">
        <v>0</v>
      </c>
      <c r="I588" s="38">
        <f>SUM(F588:H588)</f>
        <v>0</v>
      </c>
      <c r="J588" s="172">
        <v>0</v>
      </c>
      <c r="K588" s="172">
        <v>0</v>
      </c>
      <c r="L588" s="172">
        <v>0</v>
      </c>
      <c r="M588" s="38">
        <f>SUM(J588:L588)</f>
        <v>0</v>
      </c>
      <c r="N588" s="172">
        <v>0</v>
      </c>
      <c r="O588" s="172">
        <v>0</v>
      </c>
      <c r="P588" s="172">
        <v>0</v>
      </c>
      <c r="Q588" s="38">
        <f>SUM(N588:P588)</f>
        <v>0</v>
      </c>
      <c r="R588" s="38">
        <f>+E588+I588+M588+Q588</f>
        <v>0</v>
      </c>
    </row>
    <row r="589" spans="1:18" ht="15.75" customHeight="1" x14ac:dyDescent="0.3">
      <c r="A589" s="234" t="s">
        <v>1022</v>
      </c>
      <c r="B589" s="172"/>
      <c r="C589" s="172"/>
      <c r="D589" s="172"/>
      <c r="E589" s="38" t="s">
        <v>852</v>
      </c>
      <c r="F589" s="172"/>
      <c r="G589" s="172"/>
      <c r="H589" s="172"/>
      <c r="I589" s="38" t="s">
        <v>852</v>
      </c>
      <c r="J589" s="172"/>
      <c r="K589" s="172"/>
      <c r="L589" s="172"/>
      <c r="M589" s="38" t="s">
        <v>852</v>
      </c>
      <c r="N589" s="172"/>
      <c r="O589" s="172"/>
      <c r="P589" s="172"/>
      <c r="Q589" s="38" t="s">
        <v>852</v>
      </c>
      <c r="R589" s="38" t="s">
        <v>852</v>
      </c>
    </row>
    <row r="590" spans="1:18" ht="15.75" customHeight="1" thickBot="1" x14ac:dyDescent="0.35">
      <c r="A590" s="234" t="s">
        <v>559</v>
      </c>
      <c r="B590" s="172"/>
      <c r="C590" s="172"/>
      <c r="D590" s="172"/>
      <c r="E590" s="38" t="s">
        <v>852</v>
      </c>
      <c r="F590" s="172"/>
      <c r="G590" s="172"/>
      <c r="H590" s="172"/>
      <c r="I590" s="38" t="s">
        <v>852</v>
      </c>
      <c r="J590" s="172"/>
      <c r="K590" s="172"/>
      <c r="L590" s="172"/>
      <c r="M590" s="38" t="s">
        <v>852</v>
      </c>
      <c r="N590" s="172"/>
      <c r="O590" s="172"/>
      <c r="P590" s="172"/>
      <c r="Q590" s="38" t="s">
        <v>852</v>
      </c>
      <c r="R590" s="38" t="s">
        <v>852</v>
      </c>
    </row>
    <row r="591" spans="1:18" ht="16.5" customHeight="1" thickBot="1" x14ac:dyDescent="0.35">
      <c r="A591" s="43" t="s">
        <v>1019</v>
      </c>
      <c r="B591" s="42">
        <f>SUM(B589:B590)</f>
        <v>0</v>
      </c>
      <c r="C591" s="42">
        <f>SUM(C589:C590)</f>
        <v>0</v>
      </c>
      <c r="D591" s="42">
        <f>SUM(D589:D590)</f>
        <v>0</v>
      </c>
      <c r="E591" s="39">
        <f>SUM(B591:D591)</f>
        <v>0</v>
      </c>
      <c r="F591" s="42">
        <f>SUM(F589:F590)</f>
        <v>0</v>
      </c>
      <c r="G591" s="42">
        <f>SUM(G589:G590)</f>
        <v>0</v>
      </c>
      <c r="H591" s="42">
        <f>SUM(H589:H590)</f>
        <v>0</v>
      </c>
      <c r="I591" s="39">
        <f>SUM(F591:H591)</f>
        <v>0</v>
      </c>
      <c r="J591" s="42">
        <f>SUM(J589:J590)</f>
        <v>0</v>
      </c>
      <c r="K591" s="42">
        <f>SUM(K589:K590)</f>
        <v>0</v>
      </c>
      <c r="L591" s="42">
        <f>SUM(L589:L590)</f>
        <v>0</v>
      </c>
      <c r="M591" s="39">
        <f>SUM(J591:L591)</f>
        <v>0</v>
      </c>
      <c r="N591" s="42">
        <f>SUM(N589:N590)</f>
        <v>0</v>
      </c>
      <c r="O591" s="42">
        <f>SUM(O589:O590)</f>
        <v>0</v>
      </c>
      <c r="P591" s="42">
        <f>SUM(P589:P590)</f>
        <v>0</v>
      </c>
      <c r="Q591" s="39">
        <f>SUM(N591:P591)</f>
        <v>0</v>
      </c>
      <c r="R591" s="37">
        <f>+E591+I591+M591+Q591</f>
        <v>0</v>
      </c>
    </row>
    <row r="592" spans="1:18" ht="16.5" customHeight="1" thickBot="1" x14ac:dyDescent="0.35">
      <c r="A592" s="277" t="s">
        <v>1221</v>
      </c>
      <c r="B592" s="45">
        <f>SUM(B582:B590)</f>
        <v>0</v>
      </c>
      <c r="C592" s="46">
        <f>SUM(C582:C590)</f>
        <v>0</v>
      </c>
      <c r="D592" s="58">
        <f>SUM(D582:D590)</f>
        <v>0</v>
      </c>
      <c r="E592" s="39">
        <f>SUM(B592:D592)</f>
        <v>0</v>
      </c>
      <c r="F592" s="46">
        <f>SUM(F582:F590)</f>
        <v>0</v>
      </c>
      <c r="G592" s="46">
        <f>SUM(G582:G590)</f>
        <v>0</v>
      </c>
      <c r="H592" s="46">
        <f>SUM(H582:H590)</f>
        <v>0</v>
      </c>
      <c r="I592" s="39">
        <f>SUM(F592:H592)</f>
        <v>0</v>
      </c>
      <c r="J592" s="46">
        <f>SUM(J582:J590)</f>
        <v>3000</v>
      </c>
      <c r="K592" s="46">
        <f>SUM(K582:K590)</f>
        <v>4000</v>
      </c>
      <c r="L592" s="46">
        <f>SUM(L582:L590)</f>
        <v>6687</v>
      </c>
      <c r="M592" s="39">
        <f>SUM(J592:L592)</f>
        <v>13687</v>
      </c>
      <c r="N592" s="46">
        <f>SUM(N582:N590)</f>
        <v>3805</v>
      </c>
      <c r="O592" s="46">
        <f>SUM(O582:O590)</f>
        <v>2605</v>
      </c>
      <c r="P592" s="46">
        <f>SUM(P582:P590)</f>
        <v>1326</v>
      </c>
      <c r="Q592" s="39">
        <f>SUM(N592:P592)</f>
        <v>7736</v>
      </c>
      <c r="R592" s="37">
        <f>+E592+I592+M592+Q592</f>
        <v>21423</v>
      </c>
    </row>
    <row r="593" spans="1:18" ht="16.5" customHeight="1" thickBot="1" x14ac:dyDescent="0.35">
      <c r="A593" s="43" t="s">
        <v>1222</v>
      </c>
      <c r="B593" s="47">
        <f>+B570+B574+B581+B592</f>
        <v>13418</v>
      </c>
      <c r="C593" s="42">
        <f>+C570+C574+C581+C592</f>
        <v>13612</v>
      </c>
      <c r="D593" s="42">
        <f>+D570+D574+D581+D592</f>
        <v>13415</v>
      </c>
      <c r="E593" s="37">
        <f>SUM(B593:D593)</f>
        <v>40445</v>
      </c>
      <c r="F593" s="42">
        <f>+F570+F574+F581+F592</f>
        <v>15510</v>
      </c>
      <c r="G593" s="42">
        <f>+G570+G574+G581+G592</f>
        <v>15233</v>
      </c>
      <c r="H593" s="42">
        <f>+H570+H574+H581+H592</f>
        <v>8407</v>
      </c>
      <c r="I593" s="37">
        <f>SUM(F593:H593)</f>
        <v>39150</v>
      </c>
      <c r="J593" s="42">
        <f>+J570+J574+J581+J592</f>
        <v>10725</v>
      </c>
      <c r="K593" s="42">
        <f>+K570+K574+K581+K592</f>
        <v>14327</v>
      </c>
      <c r="L593" s="42">
        <f>+L570+L574+L581+L592</f>
        <v>14783</v>
      </c>
      <c r="M593" s="37">
        <f>SUM(J593:L593)</f>
        <v>39835</v>
      </c>
      <c r="N593" s="42">
        <f>+N570+N574+N581+N592</f>
        <v>9721</v>
      </c>
      <c r="O593" s="42">
        <f>+O570+O574+O581+O592</f>
        <v>4629</v>
      </c>
      <c r="P593" s="42">
        <f>+P570+P574+P581+P592</f>
        <v>6783</v>
      </c>
      <c r="Q593" s="37">
        <f>SUM(N593:P593)</f>
        <v>21133</v>
      </c>
      <c r="R593" s="40">
        <f>+E593+I593+M593+Q593</f>
        <v>140563</v>
      </c>
    </row>
    <row r="594" spans="1:18" ht="16.5" customHeight="1" thickBot="1" x14ac:dyDescent="0.35">
      <c r="A594" s="250" t="s">
        <v>853</v>
      </c>
      <c r="B594" s="238">
        <v>22</v>
      </c>
      <c r="C594" s="238">
        <v>24</v>
      </c>
      <c r="D594" s="238">
        <v>31</v>
      </c>
      <c r="E594" s="37">
        <f>SUM(B594:D594)</f>
        <v>77</v>
      </c>
      <c r="F594" s="238">
        <v>40</v>
      </c>
      <c r="G594" s="238">
        <v>45</v>
      </c>
      <c r="H594" s="238">
        <v>48</v>
      </c>
      <c r="I594" s="37">
        <f>SUM(F594:H594)</f>
        <v>133</v>
      </c>
      <c r="J594" s="238">
        <v>42</v>
      </c>
      <c r="K594" s="238">
        <v>39</v>
      </c>
      <c r="L594" s="238">
        <v>38</v>
      </c>
      <c r="M594" s="37">
        <f>SUM(J594:L594)</f>
        <v>119</v>
      </c>
      <c r="N594" s="238">
        <v>32</v>
      </c>
      <c r="O594" s="238">
        <v>25</v>
      </c>
      <c r="P594" s="238">
        <v>21</v>
      </c>
      <c r="Q594" s="37">
        <f>SUM(N594:P594)</f>
        <v>78</v>
      </c>
      <c r="R594" s="39">
        <f>+E594+I594+M594+Q594</f>
        <v>407</v>
      </c>
    </row>
    <row r="595" spans="1:18" ht="16.5" customHeight="1" thickBot="1" x14ac:dyDescent="0.35">
      <c r="A595" s="22"/>
      <c r="B595" s="242"/>
      <c r="C595" s="242"/>
      <c r="D595" s="242"/>
      <c r="E595" s="233"/>
      <c r="F595" s="242"/>
      <c r="G595" s="242"/>
      <c r="H595" s="242"/>
      <c r="I595" s="233"/>
      <c r="J595" s="242"/>
      <c r="K595" s="242"/>
      <c r="L595" s="242"/>
      <c r="M595" s="233"/>
      <c r="N595" s="242"/>
      <c r="O595" s="242"/>
      <c r="P595" s="242"/>
      <c r="Q595" s="233"/>
      <c r="R595" s="21"/>
    </row>
    <row r="596" spans="1:18" ht="15.75" customHeight="1" x14ac:dyDescent="0.3">
      <c r="A596" s="234" t="s">
        <v>120</v>
      </c>
      <c r="B596" s="172">
        <f>+SUM(B593:B594)</f>
        <v>13440</v>
      </c>
      <c r="C596" s="172">
        <f>+SUM(C593:C594)</f>
        <v>13636</v>
      </c>
      <c r="D596" s="172">
        <f>+SUM(D593:D594)</f>
        <v>13446</v>
      </c>
      <c r="E596" s="39">
        <f>SUM(B596:D596)</f>
        <v>40522</v>
      </c>
      <c r="F596" s="172">
        <f>+SUM(F593:F594)</f>
        <v>15550</v>
      </c>
      <c r="G596" s="172">
        <f>+SUM(G593:G594)</f>
        <v>15278</v>
      </c>
      <c r="H596" s="172">
        <f>+SUM(H593:H594)</f>
        <v>8455</v>
      </c>
      <c r="I596" s="39">
        <f>SUM(F596:H596)</f>
        <v>39283</v>
      </c>
      <c r="J596" s="172">
        <f>+SUM(J593:J594)</f>
        <v>10767</v>
      </c>
      <c r="K596" s="172">
        <f>+SUM(K593:K594)</f>
        <v>14366</v>
      </c>
      <c r="L596" s="172">
        <f>+SUM(L593:L594)</f>
        <v>14821</v>
      </c>
      <c r="M596" s="39">
        <f>SUM(J596:L596)</f>
        <v>39954</v>
      </c>
      <c r="N596" s="172">
        <f>+SUM(N593:N594)</f>
        <v>9753</v>
      </c>
      <c r="O596" s="172">
        <f>+SUM(O593:O594)</f>
        <v>4654</v>
      </c>
      <c r="P596" s="172">
        <f>+SUM(P593:P594)</f>
        <v>6804</v>
      </c>
      <c r="Q596" s="39">
        <f>SUM(N596:P596)</f>
        <v>21211</v>
      </c>
      <c r="R596" s="39">
        <f>+E596+I596+M596+Q596</f>
        <v>140970</v>
      </c>
    </row>
    <row r="597" spans="1:18" ht="15.75" customHeight="1" x14ac:dyDescent="0.3">
      <c r="A597" s="234" t="s">
        <v>1897</v>
      </c>
      <c r="B597" s="172">
        <f>(B596/31)/1.983</f>
        <v>218.63257039675955</v>
      </c>
      <c r="C597" s="172">
        <f>(C596/28)/1.983</f>
        <v>245.58749369641956</v>
      </c>
      <c r="D597" s="172">
        <f>(D596/31)/1.983</f>
        <v>218.73017422282953</v>
      </c>
      <c r="E597" s="38" t="s">
        <v>852</v>
      </c>
      <c r="F597" s="172">
        <f>(F596/30)/1.983</f>
        <v>261.38846865019332</v>
      </c>
      <c r="G597" s="172">
        <f>(G596/31)/1.983</f>
        <v>248.53187578286401</v>
      </c>
      <c r="H597" s="172">
        <f>(H596/30)/1.983</f>
        <v>142.12472684484786</v>
      </c>
      <c r="I597" s="38" t="s">
        <v>852</v>
      </c>
      <c r="J597" s="172">
        <f>(J596/31)/1.983</f>
        <v>175.1500658825826</v>
      </c>
      <c r="K597" s="172">
        <f>(K596/31)/1.983</f>
        <v>233.69609422022677</v>
      </c>
      <c r="L597" s="172">
        <f>(L596/30)/1.983</f>
        <v>249.13430828710707</v>
      </c>
      <c r="M597" s="38" t="s">
        <v>852</v>
      </c>
      <c r="N597" s="172">
        <f>(N596/31)/1.983</f>
        <v>158.65501927675564</v>
      </c>
      <c r="O597" s="172">
        <f>(O596/30)/1.983</f>
        <v>78.231635569003188</v>
      </c>
      <c r="P597" s="172">
        <f>(P596/31)/1.983</f>
        <v>110.68273876335951</v>
      </c>
      <c r="Q597" s="38" t="s">
        <v>852</v>
      </c>
      <c r="R597" s="38" t="s">
        <v>852</v>
      </c>
    </row>
    <row r="598" spans="1:18" ht="15.75" customHeight="1" x14ac:dyDescent="0.3">
      <c r="A598" s="234" t="s">
        <v>2390</v>
      </c>
      <c r="B598" s="172">
        <f>B596+B608</f>
        <v>16219</v>
      </c>
      <c r="C598" s="172">
        <f>C596+C608</f>
        <v>16914</v>
      </c>
      <c r="D598" s="172">
        <f>D596+D608</f>
        <v>14578</v>
      </c>
      <c r="E598" s="38">
        <f>SUM(B598:D598)</f>
        <v>47711</v>
      </c>
      <c r="F598" s="172">
        <f>F596+F608</f>
        <v>17139</v>
      </c>
      <c r="G598" s="172">
        <f>G596+G608</f>
        <v>17047</v>
      </c>
      <c r="H598" s="172">
        <f>H596+H608</f>
        <v>10141</v>
      </c>
      <c r="I598" s="38">
        <f>SUM(F598:H598)</f>
        <v>44327</v>
      </c>
      <c r="J598" s="172">
        <f>J596+J608</f>
        <v>12128</v>
      </c>
      <c r="K598" s="172">
        <f>K596+K608</f>
        <v>16057</v>
      </c>
      <c r="L598" s="172">
        <f>L596+L608</f>
        <v>18841</v>
      </c>
      <c r="M598" s="38">
        <f>SUM(J598:L598)</f>
        <v>47026</v>
      </c>
      <c r="N598" s="172">
        <f>N596+N608</f>
        <v>13091</v>
      </c>
      <c r="O598" s="172">
        <f>O596+O608</f>
        <v>5514</v>
      </c>
      <c r="P598" s="172">
        <f>P596+P608</f>
        <v>11073</v>
      </c>
      <c r="Q598" s="38">
        <f>SUM(N598:P598)</f>
        <v>29678</v>
      </c>
      <c r="R598" s="38">
        <f>+E598+I598+M598+Q598</f>
        <v>168742</v>
      </c>
    </row>
    <row r="599" spans="1:18" ht="16.5" customHeight="1" thickBot="1" x14ac:dyDescent="0.35">
      <c r="A599" s="237" t="s">
        <v>1716</v>
      </c>
      <c r="B599" s="238">
        <f>(B598/31)/1.983</f>
        <v>263.83940917150619</v>
      </c>
      <c r="C599" s="238">
        <f>(C598/28)/1.983</f>
        <v>304.6250270153447</v>
      </c>
      <c r="D599" s="238">
        <f>(D598/31)/1.983</f>
        <v>237.14476274136612</v>
      </c>
      <c r="E599" s="40" t="s">
        <v>852</v>
      </c>
      <c r="F599" s="238">
        <f>(F598/30)/1.983</f>
        <v>288.09884014120018</v>
      </c>
      <c r="G599" s="238">
        <f>(G598/31)/1.983</f>
        <v>277.30873716916369</v>
      </c>
      <c r="H599" s="238">
        <f>(H598/30)/1.983</f>
        <v>170.46562447470163</v>
      </c>
      <c r="I599" s="40" t="s">
        <v>852</v>
      </c>
      <c r="J599" s="238">
        <f>(J598/31)/1.983</f>
        <v>197.28986709612352</v>
      </c>
      <c r="K599" s="238">
        <f>(K598/31)/1.983</f>
        <v>261.2041058676167</v>
      </c>
      <c r="L599" s="238">
        <f>(L598/30)/1.983</f>
        <v>316.70869053622454</v>
      </c>
      <c r="M599" s="40" t="s">
        <v>852</v>
      </c>
      <c r="N599" s="238">
        <f>(N598/31)/1.983</f>
        <v>212.9552811803556</v>
      </c>
      <c r="O599" s="238">
        <f>(O598/30)/1.983</f>
        <v>92.687846696923856</v>
      </c>
      <c r="P599" s="238">
        <f>(P598/31)/1.983</f>
        <v>180.12786101215167</v>
      </c>
      <c r="Q599" s="40" t="s">
        <v>852</v>
      </c>
      <c r="R599" s="40" t="s">
        <v>852</v>
      </c>
    </row>
    <row r="600" spans="1:18" ht="15.75" customHeight="1" x14ac:dyDescent="0.3">
      <c r="A600" s="17"/>
      <c r="B600" s="172"/>
      <c r="C600" s="172"/>
      <c r="D600" s="172"/>
      <c r="E600" s="172"/>
      <c r="F600" s="172"/>
      <c r="G600" s="172"/>
      <c r="H600" s="172"/>
      <c r="I600" s="172"/>
      <c r="J600" s="172"/>
      <c r="K600" s="172"/>
      <c r="L600" s="172"/>
      <c r="M600" s="172"/>
      <c r="N600" s="172"/>
      <c r="O600" s="172"/>
      <c r="P600" s="172"/>
      <c r="Q600" s="172"/>
      <c r="R600" s="17"/>
    </row>
    <row r="601" spans="1:18" ht="15.75" customHeight="1" thickBot="1" x14ac:dyDescent="0.35">
      <c r="A601" s="17"/>
      <c r="B601" s="172"/>
      <c r="C601" s="172"/>
      <c r="D601" s="172"/>
      <c r="E601" s="172"/>
      <c r="F601" s="172"/>
      <c r="G601" s="172"/>
      <c r="H601" s="172"/>
      <c r="I601" s="172"/>
      <c r="J601" s="172"/>
      <c r="K601" s="172"/>
      <c r="L601" s="172"/>
      <c r="M601" s="172"/>
      <c r="N601" s="172"/>
      <c r="O601" s="172"/>
      <c r="P601" s="172"/>
      <c r="Q601" s="172"/>
      <c r="R601" s="17"/>
    </row>
    <row r="602" spans="1:18" ht="16.5" customHeight="1" thickBot="1" x14ac:dyDescent="0.35">
      <c r="A602" s="278" t="s">
        <v>374</v>
      </c>
      <c r="B602" s="4" t="s">
        <v>2090</v>
      </c>
      <c r="C602" s="5" t="s">
        <v>2091</v>
      </c>
      <c r="D602" s="5" t="s">
        <v>2234</v>
      </c>
      <c r="E602" s="33" t="s">
        <v>1594</v>
      </c>
      <c r="F602" s="5" t="s">
        <v>2235</v>
      </c>
      <c r="G602" s="5" t="s">
        <v>2236</v>
      </c>
      <c r="H602" s="5" t="s">
        <v>2237</v>
      </c>
      <c r="I602" s="35" t="s">
        <v>1595</v>
      </c>
      <c r="J602" s="5" t="s">
        <v>1504</v>
      </c>
      <c r="K602" s="5" t="s">
        <v>1505</v>
      </c>
      <c r="L602" s="5" t="s">
        <v>1506</v>
      </c>
      <c r="M602" s="35" t="s">
        <v>1596</v>
      </c>
      <c r="N602" s="5" t="s">
        <v>1507</v>
      </c>
      <c r="O602" s="5" t="s">
        <v>1508</v>
      </c>
      <c r="P602" s="5" t="s">
        <v>1509</v>
      </c>
      <c r="Q602" s="35" t="s">
        <v>1597</v>
      </c>
      <c r="R602" s="36" t="s">
        <v>1510</v>
      </c>
    </row>
    <row r="603" spans="1:18" ht="16.5" customHeight="1" thickBot="1" x14ac:dyDescent="0.35">
      <c r="A603" s="22"/>
      <c r="B603" s="242"/>
      <c r="C603" s="242"/>
      <c r="D603" s="242"/>
      <c r="E603" s="243"/>
      <c r="F603" s="242"/>
      <c r="G603" s="242"/>
      <c r="H603" s="242"/>
      <c r="I603" s="243"/>
      <c r="J603" s="242"/>
      <c r="K603" s="242"/>
      <c r="L603" s="242"/>
      <c r="M603" s="243"/>
      <c r="N603" s="242"/>
      <c r="O603" s="242"/>
      <c r="P603" s="242"/>
      <c r="Q603" s="243"/>
      <c r="R603" s="22"/>
    </row>
    <row r="604" spans="1:18" ht="16.5" customHeight="1" thickBot="1" x14ac:dyDescent="0.35">
      <c r="A604" s="244" t="s">
        <v>853</v>
      </c>
      <c r="B604" s="238">
        <v>2</v>
      </c>
      <c r="C604" s="238">
        <v>3</v>
      </c>
      <c r="D604" s="238">
        <v>5</v>
      </c>
      <c r="E604" s="38">
        <f>SUM(B604:D604)</f>
        <v>10</v>
      </c>
      <c r="F604" s="238">
        <v>7</v>
      </c>
      <c r="G604" s="238">
        <v>8</v>
      </c>
      <c r="H604" s="238">
        <v>9</v>
      </c>
      <c r="I604" s="38">
        <f>SUM(F604:H604)</f>
        <v>24</v>
      </c>
      <c r="J604" s="238">
        <v>7</v>
      </c>
      <c r="K604" s="238">
        <v>6</v>
      </c>
      <c r="L604" s="238">
        <v>6</v>
      </c>
      <c r="M604" s="38">
        <f>SUM(J604:L604)</f>
        <v>19</v>
      </c>
      <c r="N604" s="238">
        <v>5</v>
      </c>
      <c r="O604" s="238">
        <v>3</v>
      </c>
      <c r="P604" s="238">
        <v>2</v>
      </c>
      <c r="Q604" s="38">
        <f>SUM(N604:P604)</f>
        <v>10</v>
      </c>
      <c r="R604" s="39">
        <f>+E604+I604+M604+Q604</f>
        <v>63</v>
      </c>
    </row>
    <row r="605" spans="1:18" ht="16.5" customHeight="1" thickBot="1" x14ac:dyDescent="0.35">
      <c r="A605" s="22"/>
      <c r="B605" s="242"/>
      <c r="C605" s="242"/>
      <c r="D605" s="242"/>
      <c r="E605" s="233"/>
      <c r="F605" s="242"/>
      <c r="G605" s="242"/>
      <c r="H605" s="242"/>
      <c r="I605" s="233"/>
      <c r="J605" s="242"/>
      <c r="K605" s="242"/>
      <c r="L605" s="242"/>
      <c r="M605" s="233"/>
      <c r="N605" s="242"/>
      <c r="O605" s="242"/>
      <c r="P605" s="242"/>
      <c r="Q605" s="233"/>
      <c r="R605" s="21"/>
    </row>
    <row r="606" spans="1:18" ht="15.75" customHeight="1" x14ac:dyDescent="0.3">
      <c r="A606" s="234" t="s">
        <v>120</v>
      </c>
      <c r="B606" s="172">
        <f>B604</f>
        <v>2</v>
      </c>
      <c r="C606" s="172">
        <f>C604</f>
        <v>3</v>
      </c>
      <c r="D606" s="172">
        <f>D604</f>
        <v>5</v>
      </c>
      <c r="E606" s="39">
        <f>SUM(B606:D606)</f>
        <v>10</v>
      </c>
      <c r="F606" s="172">
        <f>F604</f>
        <v>7</v>
      </c>
      <c r="G606" s="172">
        <f>G604</f>
        <v>8</v>
      </c>
      <c r="H606" s="172">
        <f>H604</f>
        <v>9</v>
      </c>
      <c r="I606" s="39">
        <f>SUM(F606:H606)</f>
        <v>24</v>
      </c>
      <c r="J606" s="172">
        <f>J604</f>
        <v>7</v>
      </c>
      <c r="K606" s="172">
        <f>K604</f>
        <v>6</v>
      </c>
      <c r="L606" s="172">
        <f>L604</f>
        <v>6</v>
      </c>
      <c r="M606" s="39">
        <f>SUM(J606:L606)</f>
        <v>19</v>
      </c>
      <c r="N606" s="172">
        <f>N604</f>
        <v>5</v>
      </c>
      <c r="O606" s="172">
        <f>O604</f>
        <v>3</v>
      </c>
      <c r="P606" s="172">
        <f>P604</f>
        <v>2</v>
      </c>
      <c r="Q606" s="39">
        <f>SUM(N606:P606)</f>
        <v>10</v>
      </c>
      <c r="R606" s="39">
        <f>+E606+I606+M606+Q606</f>
        <v>63</v>
      </c>
    </row>
    <row r="607" spans="1:18" ht="15.75" customHeight="1" x14ac:dyDescent="0.3">
      <c r="A607" s="234" t="s">
        <v>1897</v>
      </c>
      <c r="B607" s="172">
        <f>(B606/31)/1.983</f>
        <v>3.2534608689993978E-2</v>
      </c>
      <c r="C607" s="172">
        <f>(C606/28)/1.983</f>
        <v>5.403068943159714E-2</v>
      </c>
      <c r="D607" s="172">
        <f>(D606/31)/1.983</f>
        <v>8.1336521724984942E-2</v>
      </c>
      <c r="E607" s="38" t="s">
        <v>852</v>
      </c>
      <c r="F607" s="172">
        <f>(F606/30)/1.983</f>
        <v>0.1176668347621449</v>
      </c>
      <c r="G607" s="172">
        <f>(G606/31)/1.983</f>
        <v>0.13013843475997591</v>
      </c>
      <c r="H607" s="172">
        <f>(H606/30)/1.983</f>
        <v>0.15128593040847199</v>
      </c>
      <c r="I607" s="38" t="s">
        <v>852</v>
      </c>
      <c r="J607" s="172">
        <f>(J606/31)/1.983</f>
        <v>0.11387113041497893</v>
      </c>
      <c r="K607" s="172">
        <f>(K606/31)/1.983</f>
        <v>9.7603826069981942E-2</v>
      </c>
      <c r="L607" s="172">
        <f>(L606/30)/1.983</f>
        <v>0.10085728693898134</v>
      </c>
      <c r="M607" s="38" t="s">
        <v>852</v>
      </c>
      <c r="N607" s="172">
        <f>(N606/31)/1.983</f>
        <v>8.1336521724984942E-2</v>
      </c>
      <c r="O607" s="172">
        <f>(O606/30)/1.983</f>
        <v>5.0428643469490671E-2</v>
      </c>
      <c r="P607" s="172">
        <f>(P606/31)/1.983</f>
        <v>3.2534608689993978E-2</v>
      </c>
      <c r="Q607" s="38" t="s">
        <v>852</v>
      </c>
      <c r="R607" s="38" t="s">
        <v>852</v>
      </c>
    </row>
    <row r="608" spans="1:18" ht="15.75" customHeight="1" x14ac:dyDescent="0.3">
      <c r="A608" s="234" t="s">
        <v>585</v>
      </c>
      <c r="B608" s="172">
        <f>B606+B642+B685-B637</f>
        <v>2779</v>
      </c>
      <c r="C608" s="172">
        <f>C606+C642+C685-C637</f>
        <v>3278</v>
      </c>
      <c r="D608" s="172">
        <f>D606+D642+D685-D637</f>
        <v>1132</v>
      </c>
      <c r="E608" s="38">
        <f>SUM(B608:D608)</f>
        <v>7189</v>
      </c>
      <c r="F608" s="172">
        <f>F606+F642+F685-F637</f>
        <v>1589</v>
      </c>
      <c r="G608" s="172">
        <f>G606+G642+G685-G637</f>
        <v>1769</v>
      </c>
      <c r="H608" s="172">
        <f>H606+H642+H685-H637</f>
        <v>1686</v>
      </c>
      <c r="I608" s="38">
        <f>SUM(F608:H608)</f>
        <v>5044</v>
      </c>
      <c r="J608" s="172">
        <f>J606+J642+J685-J637</f>
        <v>1361</v>
      </c>
      <c r="K608" s="172">
        <f>K606+K642+K685-K637</f>
        <v>1691</v>
      </c>
      <c r="L608" s="172">
        <f>L606+L642+L685-L637</f>
        <v>4020</v>
      </c>
      <c r="M608" s="38">
        <f>SUM(J608:L608)</f>
        <v>7072</v>
      </c>
      <c r="N608" s="172">
        <f>N606+N642+N685-N637</f>
        <v>3338</v>
      </c>
      <c r="O608" s="172">
        <f>O606+O642+O685-O637</f>
        <v>860</v>
      </c>
      <c r="P608" s="172">
        <f>P606+P642+P685-P637</f>
        <v>4269</v>
      </c>
      <c r="Q608" s="38">
        <f>SUM(N608:P608)</f>
        <v>8467</v>
      </c>
      <c r="R608" s="38">
        <f>+E608+I608+M608+Q608</f>
        <v>27772</v>
      </c>
    </row>
    <row r="609" spans="1:18" ht="16.5" customHeight="1" thickBot="1" x14ac:dyDescent="0.35">
      <c r="A609" s="237" t="s">
        <v>57</v>
      </c>
      <c r="B609" s="238">
        <f>(B608/31)/1.983</f>
        <v>45.206838774746629</v>
      </c>
      <c r="C609" s="238">
        <f>(C608/28)/1.983</f>
        <v>59.037533318925142</v>
      </c>
      <c r="D609" s="238">
        <f>(D608/31)/1.983</f>
        <v>18.414588518536593</v>
      </c>
      <c r="E609" s="40" t="s">
        <v>852</v>
      </c>
      <c r="F609" s="238">
        <f>(F608/30)/1.983</f>
        <v>26.710371491006892</v>
      </c>
      <c r="G609" s="238">
        <f>(G608/31)/1.983</f>
        <v>28.776861386299675</v>
      </c>
      <c r="H609" s="238">
        <f>(H608/30)/1.983</f>
        <v>28.340897629853757</v>
      </c>
      <c r="I609" s="40" t="s">
        <v>852</v>
      </c>
      <c r="J609" s="238">
        <f>(J608/31)/1.983</f>
        <v>22.139801213540906</v>
      </c>
      <c r="K609" s="238">
        <f>(K608/31)/1.983</f>
        <v>27.50801164738991</v>
      </c>
      <c r="L609" s="238">
        <f>(L608/30)/1.983</f>
        <v>67.574382249117491</v>
      </c>
      <c r="M609" s="40" t="s">
        <v>852</v>
      </c>
      <c r="N609" s="238">
        <f>(N608/31)/1.983</f>
        <v>54.300261903599946</v>
      </c>
      <c r="O609" s="238">
        <f>(O608/30)/1.983</f>
        <v>14.456211127920659</v>
      </c>
      <c r="P609" s="238">
        <f>(P608/31)/1.983</f>
        <v>69.44512224879216</v>
      </c>
      <c r="Q609" s="40" t="s">
        <v>852</v>
      </c>
      <c r="R609" s="40" t="s">
        <v>852</v>
      </c>
    </row>
    <row r="610" spans="1:18" ht="15.75" customHeight="1" x14ac:dyDescent="0.3">
      <c r="A610" s="17"/>
      <c r="B610" s="172"/>
      <c r="C610" s="172"/>
      <c r="D610" s="172"/>
      <c r="E610" s="172"/>
      <c r="F610" s="172"/>
      <c r="G610" s="172"/>
      <c r="H610" s="172"/>
      <c r="I610" s="172"/>
      <c r="J610" s="172"/>
      <c r="K610" s="172"/>
      <c r="L610" s="172"/>
      <c r="M610" s="172"/>
      <c r="N610" s="172"/>
      <c r="O610" s="172"/>
      <c r="P610" s="172"/>
      <c r="Q610" s="172"/>
      <c r="R610" s="17"/>
    </row>
    <row r="611" spans="1:18" ht="15.75" customHeight="1" thickBot="1" x14ac:dyDescent="0.35">
      <c r="A611" s="17"/>
      <c r="B611" s="172"/>
      <c r="C611" s="172"/>
      <c r="D611" s="172"/>
      <c r="E611" s="172"/>
      <c r="F611" s="172"/>
      <c r="G611" s="172"/>
      <c r="H611" s="172"/>
      <c r="I611" s="172"/>
      <c r="J611" s="172"/>
      <c r="K611" s="172"/>
      <c r="L611" s="172"/>
      <c r="M611" s="172"/>
      <c r="N611" s="172"/>
      <c r="O611" s="172"/>
      <c r="P611" s="172"/>
      <c r="Q611" s="172"/>
      <c r="R611" s="17"/>
    </row>
    <row r="612" spans="1:18" ht="16.5" customHeight="1" thickBot="1" x14ac:dyDescent="0.35">
      <c r="A612" s="278" t="s">
        <v>1709</v>
      </c>
      <c r="B612" s="4" t="s">
        <v>2090</v>
      </c>
      <c r="C612" s="5" t="s">
        <v>2091</v>
      </c>
      <c r="D612" s="5" t="s">
        <v>2234</v>
      </c>
      <c r="E612" s="35" t="s">
        <v>1594</v>
      </c>
      <c r="F612" s="5" t="s">
        <v>2235</v>
      </c>
      <c r="G612" s="5" t="s">
        <v>2236</v>
      </c>
      <c r="H612" s="5" t="s">
        <v>2237</v>
      </c>
      <c r="I612" s="35" t="s">
        <v>1595</v>
      </c>
      <c r="J612" s="5" t="s">
        <v>1504</v>
      </c>
      <c r="K612" s="5" t="s">
        <v>1505</v>
      </c>
      <c r="L612" s="5" t="s">
        <v>1506</v>
      </c>
      <c r="M612" s="35" t="s">
        <v>1596</v>
      </c>
      <c r="N612" s="5" t="s">
        <v>1507</v>
      </c>
      <c r="O612" s="5" t="s">
        <v>1508</v>
      </c>
      <c r="P612" s="5" t="s">
        <v>1509</v>
      </c>
      <c r="Q612" s="35" t="s">
        <v>1597</v>
      </c>
      <c r="R612" s="59" t="s">
        <v>1510</v>
      </c>
    </row>
    <row r="613" spans="1:18" ht="16.5" customHeight="1" thickBot="1" x14ac:dyDescent="0.35">
      <c r="A613" s="22"/>
      <c r="B613" s="242"/>
      <c r="C613" s="242"/>
      <c r="D613" s="242"/>
      <c r="E613" s="282"/>
      <c r="F613" s="242"/>
      <c r="G613" s="242"/>
      <c r="H613" s="242"/>
      <c r="I613" s="282"/>
      <c r="J613" s="242"/>
      <c r="K613" s="242"/>
      <c r="L613" s="242"/>
      <c r="M613" s="282"/>
      <c r="N613" s="242"/>
      <c r="O613" s="242"/>
      <c r="P613" s="242"/>
      <c r="Q613" s="282"/>
      <c r="R613" s="19"/>
    </row>
    <row r="614" spans="1:18" ht="15.75" customHeight="1" x14ac:dyDescent="0.3">
      <c r="A614" s="234" t="s">
        <v>2417</v>
      </c>
      <c r="B614" s="172" t="s">
        <v>852</v>
      </c>
      <c r="C614" s="172" t="s">
        <v>852</v>
      </c>
      <c r="D614" s="172" t="s">
        <v>852</v>
      </c>
      <c r="E614" s="38" t="s">
        <v>852</v>
      </c>
      <c r="F614" s="172" t="s">
        <v>852</v>
      </c>
      <c r="G614" s="172" t="s">
        <v>852</v>
      </c>
      <c r="H614" s="172" t="s">
        <v>852</v>
      </c>
      <c r="I614" s="38" t="s">
        <v>852</v>
      </c>
      <c r="J614" s="172" t="s">
        <v>852</v>
      </c>
      <c r="K614" s="172" t="s">
        <v>852</v>
      </c>
      <c r="L614" s="172" t="s">
        <v>852</v>
      </c>
      <c r="M614" s="38" t="s">
        <v>852</v>
      </c>
      <c r="N614" s="172" t="s">
        <v>852</v>
      </c>
      <c r="O614" s="172" t="s">
        <v>852</v>
      </c>
      <c r="P614" s="172" t="s">
        <v>852</v>
      </c>
      <c r="Q614" s="38" t="s">
        <v>852</v>
      </c>
      <c r="R614" s="38" t="s">
        <v>852</v>
      </c>
    </row>
    <row r="615" spans="1:18" ht="15.75" customHeight="1" x14ac:dyDescent="0.3">
      <c r="A615" s="234" t="s">
        <v>2160</v>
      </c>
      <c r="B615" s="172"/>
      <c r="C615" s="172"/>
      <c r="D615" s="172"/>
      <c r="E615" s="38" t="s">
        <v>852</v>
      </c>
      <c r="F615" s="172"/>
      <c r="G615" s="172"/>
      <c r="H615" s="172"/>
      <c r="I615" s="38" t="s">
        <v>852</v>
      </c>
      <c r="J615" s="172"/>
      <c r="K615" s="172"/>
      <c r="L615" s="172"/>
      <c r="M615" s="38" t="s">
        <v>852</v>
      </c>
      <c r="N615" s="172"/>
      <c r="O615" s="172"/>
      <c r="P615" s="172"/>
      <c r="Q615" s="38" t="s">
        <v>852</v>
      </c>
      <c r="R615" s="38" t="s">
        <v>852</v>
      </c>
    </row>
    <row r="616" spans="1:18" ht="15.75" customHeight="1" x14ac:dyDescent="0.3">
      <c r="A616" s="266" t="s">
        <v>573</v>
      </c>
      <c r="B616" s="172">
        <v>67</v>
      </c>
      <c r="C616" s="172">
        <v>106</v>
      </c>
      <c r="D616" s="172">
        <v>9</v>
      </c>
      <c r="E616" s="38">
        <f>SUM(B616:D616)</f>
        <v>182</v>
      </c>
      <c r="F616" s="172">
        <v>53</v>
      </c>
      <c r="G616" s="172">
        <v>16</v>
      </c>
      <c r="H616" s="172">
        <v>69</v>
      </c>
      <c r="I616" s="38">
        <f>SUM(F616:H616)</f>
        <v>138</v>
      </c>
      <c r="J616" s="172">
        <v>14</v>
      </c>
      <c r="K616" s="172">
        <v>11</v>
      </c>
      <c r="L616" s="172">
        <v>54</v>
      </c>
      <c r="M616" s="38">
        <f>SUM(J616:L616)</f>
        <v>79</v>
      </c>
      <c r="N616" s="172">
        <v>0</v>
      </c>
      <c r="O616" s="172">
        <v>31</v>
      </c>
      <c r="P616" s="172">
        <v>0</v>
      </c>
      <c r="Q616" s="38">
        <f>SUM(N616:P616)</f>
        <v>31</v>
      </c>
      <c r="R616" s="38">
        <f>+E616+I616+M616+Q616</f>
        <v>430</v>
      </c>
    </row>
    <row r="617" spans="1:18" ht="15.75" customHeight="1" x14ac:dyDescent="0.3">
      <c r="A617" s="234" t="s">
        <v>2161</v>
      </c>
      <c r="B617" s="172"/>
      <c r="C617" s="172"/>
      <c r="D617" s="172"/>
      <c r="E617" s="38" t="s">
        <v>852</v>
      </c>
      <c r="F617" s="172"/>
      <c r="G617" s="172"/>
      <c r="H617" s="172"/>
      <c r="I617" s="38" t="s">
        <v>852</v>
      </c>
      <c r="J617" s="172"/>
      <c r="K617" s="172"/>
      <c r="L617" s="172"/>
      <c r="M617" s="38" t="s">
        <v>852</v>
      </c>
      <c r="N617" s="172"/>
      <c r="O617" s="172"/>
      <c r="P617" s="172"/>
      <c r="Q617" s="38" t="s">
        <v>852</v>
      </c>
      <c r="R617" s="38" t="s">
        <v>852</v>
      </c>
    </row>
    <row r="618" spans="1:18" ht="15.75" customHeight="1" x14ac:dyDescent="0.3">
      <c r="A618" s="234" t="s">
        <v>2162</v>
      </c>
      <c r="B618" s="172"/>
      <c r="C618" s="172"/>
      <c r="D618" s="172"/>
      <c r="E618" s="38" t="s">
        <v>852</v>
      </c>
      <c r="F618" s="172"/>
      <c r="G618" s="172"/>
      <c r="H618" s="172"/>
      <c r="I618" s="38" t="s">
        <v>852</v>
      </c>
      <c r="J618" s="172"/>
      <c r="K618" s="172"/>
      <c r="L618" s="172"/>
      <c r="M618" s="38" t="s">
        <v>852</v>
      </c>
      <c r="N618" s="172"/>
      <c r="O618" s="172"/>
      <c r="P618" s="172"/>
      <c r="Q618" s="38" t="s">
        <v>852</v>
      </c>
      <c r="R618" s="38" t="s">
        <v>852</v>
      </c>
    </row>
    <row r="619" spans="1:18" ht="15.75" customHeight="1" thickBot="1" x14ac:dyDescent="0.35">
      <c r="A619" s="234" t="s">
        <v>2164</v>
      </c>
      <c r="B619" s="172"/>
      <c r="C619" s="172"/>
      <c r="D619" s="172"/>
      <c r="E619" s="38" t="s">
        <v>852</v>
      </c>
      <c r="F619" s="172"/>
      <c r="G619" s="172"/>
      <c r="H619" s="172"/>
      <c r="I619" s="38" t="s">
        <v>852</v>
      </c>
      <c r="J619" s="172"/>
      <c r="K619" s="172"/>
      <c r="L619" s="172"/>
      <c r="M619" s="38" t="s">
        <v>852</v>
      </c>
      <c r="N619" s="172"/>
      <c r="O619" s="172"/>
      <c r="P619" s="172"/>
      <c r="Q619" s="38" t="s">
        <v>852</v>
      </c>
      <c r="R619" s="38" t="s">
        <v>852</v>
      </c>
    </row>
    <row r="620" spans="1:18" ht="16.5" customHeight="1" thickBot="1" x14ac:dyDescent="0.35">
      <c r="A620" s="43" t="s">
        <v>1218</v>
      </c>
      <c r="B620" s="45">
        <f>SUM(B614:B619)</f>
        <v>67</v>
      </c>
      <c r="C620" s="46">
        <f>SUM(C614:C619)</f>
        <v>106</v>
      </c>
      <c r="D620" s="46">
        <f>SUM(D614:D619)</f>
        <v>9</v>
      </c>
      <c r="E620" s="37">
        <f>SUM(B620:D620)</f>
        <v>182</v>
      </c>
      <c r="F620" s="46">
        <f>SUM(F614:F619)</f>
        <v>53</v>
      </c>
      <c r="G620" s="46">
        <f>SUM(G614:G619)</f>
        <v>16</v>
      </c>
      <c r="H620" s="46">
        <f>SUM(H614:H619)</f>
        <v>69</v>
      </c>
      <c r="I620" s="37">
        <f>SUM(F620:H620)</f>
        <v>138</v>
      </c>
      <c r="J620" s="46">
        <f>SUM(J614:J619)</f>
        <v>14</v>
      </c>
      <c r="K620" s="46">
        <f>SUM(K614:K619)</f>
        <v>11</v>
      </c>
      <c r="L620" s="46">
        <f>SUM(L614:L619)</f>
        <v>54</v>
      </c>
      <c r="M620" s="37">
        <f>SUM(J620:L620)</f>
        <v>79</v>
      </c>
      <c r="N620" s="46">
        <f>SUM(N614:N619)</f>
        <v>0</v>
      </c>
      <c r="O620" s="46">
        <f>SUM(O614:O619)</f>
        <v>31</v>
      </c>
      <c r="P620" s="46">
        <f>SUM(P614:P619)</f>
        <v>0</v>
      </c>
      <c r="Q620" s="37">
        <f>SUM(N620:P620)</f>
        <v>31</v>
      </c>
      <c r="R620" s="37">
        <f>+E620+I620+M620+Q620</f>
        <v>430</v>
      </c>
    </row>
    <row r="621" spans="1:18" ht="15.75" customHeight="1" x14ac:dyDescent="0.3">
      <c r="A621" s="234" t="s">
        <v>1172</v>
      </c>
      <c r="B621" s="172"/>
      <c r="C621" s="172"/>
      <c r="D621" s="172"/>
      <c r="E621" s="38" t="s">
        <v>852</v>
      </c>
      <c r="F621" s="172"/>
      <c r="G621" s="172"/>
      <c r="H621" s="172"/>
      <c r="I621" s="38" t="s">
        <v>852</v>
      </c>
      <c r="J621" s="172"/>
      <c r="K621" s="172"/>
      <c r="L621" s="172"/>
      <c r="M621" s="38" t="s">
        <v>852</v>
      </c>
      <c r="N621" s="172"/>
      <c r="O621" s="172"/>
      <c r="P621" s="172"/>
      <c r="Q621" s="38" t="s">
        <v>852</v>
      </c>
      <c r="R621" s="38" t="s">
        <v>852</v>
      </c>
    </row>
    <row r="622" spans="1:18" ht="15.75" customHeight="1" x14ac:dyDescent="0.3">
      <c r="A622" s="234" t="s">
        <v>2409</v>
      </c>
      <c r="B622" s="172"/>
      <c r="C622" s="172"/>
      <c r="D622" s="172"/>
      <c r="E622" s="38" t="s">
        <v>852</v>
      </c>
      <c r="F622" s="172"/>
      <c r="G622" s="172"/>
      <c r="H622" s="172"/>
      <c r="I622" s="38" t="s">
        <v>852</v>
      </c>
      <c r="J622" s="172"/>
      <c r="K622" s="172"/>
      <c r="L622" s="172"/>
      <c r="M622" s="38" t="s">
        <v>852</v>
      </c>
      <c r="N622" s="172"/>
      <c r="O622" s="172"/>
      <c r="P622" s="172"/>
      <c r="Q622" s="38" t="s">
        <v>852</v>
      </c>
      <c r="R622" s="38" t="s">
        <v>852</v>
      </c>
    </row>
    <row r="623" spans="1:18" ht="15.75" customHeight="1" thickBot="1" x14ac:dyDescent="0.35">
      <c r="A623" s="234" t="s">
        <v>2165</v>
      </c>
      <c r="B623" s="172"/>
      <c r="C623" s="172"/>
      <c r="D623" s="172"/>
      <c r="E623" s="38" t="s">
        <v>852</v>
      </c>
      <c r="F623" s="172"/>
      <c r="G623" s="172"/>
      <c r="H623" s="172"/>
      <c r="I623" s="38" t="s">
        <v>852</v>
      </c>
      <c r="J623" s="172"/>
      <c r="K623" s="172"/>
      <c r="L623" s="172"/>
      <c r="M623" s="38" t="s">
        <v>852</v>
      </c>
      <c r="N623" s="172"/>
      <c r="O623" s="172"/>
      <c r="P623" s="172"/>
      <c r="Q623" s="38" t="s">
        <v>852</v>
      </c>
      <c r="R623" s="38" t="s">
        <v>852</v>
      </c>
    </row>
    <row r="624" spans="1:18" ht="16.5" customHeight="1" thickBot="1" x14ac:dyDescent="0.35">
      <c r="A624" s="43" t="s">
        <v>1219</v>
      </c>
      <c r="B624" s="45">
        <f>SUM(B621:B623)</f>
        <v>0</v>
      </c>
      <c r="C624" s="46">
        <f>SUM(C621:C623)</f>
        <v>0</v>
      </c>
      <c r="D624" s="46">
        <f>SUM(D621:D623)</f>
        <v>0</v>
      </c>
      <c r="E624" s="37">
        <f>SUM(B624:D624)</f>
        <v>0</v>
      </c>
      <c r="F624" s="46">
        <f>SUM(F621:F623)</f>
        <v>0</v>
      </c>
      <c r="G624" s="46">
        <f>SUM(G621:G623)</f>
        <v>0</v>
      </c>
      <c r="H624" s="46">
        <f>SUM(H621:H623)</f>
        <v>0</v>
      </c>
      <c r="I624" s="37">
        <f>SUM(F624:H624)</f>
        <v>0</v>
      </c>
      <c r="J624" s="46">
        <f>SUM(J621:J623)</f>
        <v>0</v>
      </c>
      <c r="K624" s="46">
        <f>SUM(K621:K623)</f>
        <v>0</v>
      </c>
      <c r="L624" s="46">
        <f>SUM(L621:L623)</f>
        <v>0</v>
      </c>
      <c r="M624" s="37">
        <f>SUM(J624:L624)</f>
        <v>0</v>
      </c>
      <c r="N624" s="46">
        <f>SUM(N621:N623)</f>
        <v>0</v>
      </c>
      <c r="O624" s="46">
        <f>SUM(O621:O623)</f>
        <v>0</v>
      </c>
      <c r="P624" s="46">
        <f>SUM(P621:P623)</f>
        <v>0</v>
      </c>
      <c r="Q624" s="37">
        <f>SUM(N624:P624)</f>
        <v>0</v>
      </c>
      <c r="R624" s="37">
        <f>+E624+I624+M624+Q624</f>
        <v>0</v>
      </c>
    </row>
    <row r="625" spans="1:18" ht="15.75" customHeight="1" x14ac:dyDescent="0.3">
      <c r="A625" s="234" t="s">
        <v>2166</v>
      </c>
      <c r="B625" s="172"/>
      <c r="C625" s="172"/>
      <c r="D625" s="172"/>
      <c r="E625" s="38" t="s">
        <v>852</v>
      </c>
      <c r="F625" s="172"/>
      <c r="G625" s="172"/>
      <c r="H625" s="172"/>
      <c r="I625" s="38" t="s">
        <v>852</v>
      </c>
      <c r="J625" s="172"/>
      <c r="K625" s="172"/>
      <c r="L625" s="172"/>
      <c r="M625" s="38" t="s">
        <v>852</v>
      </c>
      <c r="N625" s="172"/>
      <c r="O625" s="172"/>
      <c r="P625" s="172"/>
      <c r="Q625" s="38" t="s">
        <v>852</v>
      </c>
      <c r="R625" s="38" t="s">
        <v>852</v>
      </c>
    </row>
    <row r="626" spans="1:18" ht="15.75" customHeight="1" x14ac:dyDescent="0.3">
      <c r="A626" s="234" t="s">
        <v>1245</v>
      </c>
      <c r="B626" s="172"/>
      <c r="C626" s="172"/>
      <c r="D626" s="172"/>
      <c r="E626" s="38" t="s">
        <v>852</v>
      </c>
      <c r="F626" s="172"/>
      <c r="G626" s="172"/>
      <c r="H626" s="172"/>
      <c r="I626" s="38" t="s">
        <v>852</v>
      </c>
      <c r="J626" s="172"/>
      <c r="K626" s="172"/>
      <c r="L626" s="172"/>
      <c r="M626" s="38" t="s">
        <v>852</v>
      </c>
      <c r="N626" s="172"/>
      <c r="O626" s="172"/>
      <c r="P626" s="172"/>
      <c r="Q626" s="38" t="s">
        <v>852</v>
      </c>
      <c r="R626" s="38" t="s">
        <v>852</v>
      </c>
    </row>
    <row r="627" spans="1:18" ht="15.75" customHeight="1" thickBot="1" x14ac:dyDescent="0.35">
      <c r="A627" s="234" t="s">
        <v>1711</v>
      </c>
      <c r="B627" s="172"/>
      <c r="C627" s="172"/>
      <c r="D627" s="172"/>
      <c r="E627" s="38" t="s">
        <v>852</v>
      </c>
      <c r="F627" s="172"/>
      <c r="G627" s="172"/>
      <c r="H627" s="172"/>
      <c r="I627" s="38" t="s">
        <v>852</v>
      </c>
      <c r="J627" s="172"/>
      <c r="K627" s="172"/>
      <c r="L627" s="172"/>
      <c r="M627" s="38" t="s">
        <v>852</v>
      </c>
      <c r="N627" s="172"/>
      <c r="O627" s="172"/>
      <c r="P627" s="172"/>
      <c r="Q627" s="38" t="s">
        <v>852</v>
      </c>
      <c r="R627" s="38" t="s">
        <v>852</v>
      </c>
    </row>
    <row r="628" spans="1:18" ht="16.5" customHeight="1" thickBot="1" x14ac:dyDescent="0.35">
      <c r="A628" s="43" t="s">
        <v>1220</v>
      </c>
      <c r="B628" s="45">
        <f>SUM(B625:B627)</f>
        <v>0</v>
      </c>
      <c r="C628" s="46">
        <f>SUM(C625:C627)</f>
        <v>0</v>
      </c>
      <c r="D628" s="46">
        <f>SUM(D625:D627)</f>
        <v>0</v>
      </c>
      <c r="E628" s="37">
        <f>SUM(B628:D628)</f>
        <v>0</v>
      </c>
      <c r="F628" s="46">
        <f>SUM(F625:F627)</f>
        <v>0</v>
      </c>
      <c r="G628" s="46">
        <f>SUM(G625:G627)</f>
        <v>0</v>
      </c>
      <c r="H628" s="46">
        <f>SUM(H625:H627)</f>
        <v>0</v>
      </c>
      <c r="I628" s="37">
        <f>SUM(F628:H628)</f>
        <v>0</v>
      </c>
      <c r="J628" s="46">
        <f>SUM(J625:J627)</f>
        <v>0</v>
      </c>
      <c r="K628" s="46">
        <f>SUM(K625:K627)</f>
        <v>0</v>
      </c>
      <c r="L628" s="46">
        <f>SUM(L625:L627)</f>
        <v>0</v>
      </c>
      <c r="M628" s="37">
        <f>SUM(J628:L628)</f>
        <v>0</v>
      </c>
      <c r="N628" s="46">
        <f>SUM(N625:N627)</f>
        <v>0</v>
      </c>
      <c r="O628" s="46">
        <f>SUM(O625:O627)</f>
        <v>0</v>
      </c>
      <c r="P628" s="46">
        <f>SUM(P625:P627)</f>
        <v>0</v>
      </c>
      <c r="Q628" s="37">
        <f>SUM(N628:P628)</f>
        <v>0</v>
      </c>
      <c r="R628" s="37">
        <f>+E628+I628+M628+Q628</f>
        <v>0</v>
      </c>
    </row>
    <row r="629" spans="1:18" ht="15.75" customHeight="1" x14ac:dyDescent="0.3">
      <c r="A629" s="234" t="s">
        <v>1712</v>
      </c>
      <c r="B629" s="172"/>
      <c r="C629" s="172"/>
      <c r="D629" s="172"/>
      <c r="E629" s="38" t="s">
        <v>852</v>
      </c>
      <c r="F629" s="172"/>
      <c r="G629" s="172"/>
      <c r="H629" s="172"/>
      <c r="I629" s="38" t="s">
        <v>852</v>
      </c>
      <c r="J629" s="172"/>
      <c r="K629" s="172"/>
      <c r="L629" s="172"/>
      <c r="M629" s="38" t="s">
        <v>852</v>
      </c>
      <c r="N629" s="172"/>
      <c r="O629" s="172"/>
      <c r="P629" s="172"/>
      <c r="Q629" s="38" t="s">
        <v>852</v>
      </c>
      <c r="R629" s="38" t="s">
        <v>852</v>
      </c>
    </row>
    <row r="630" spans="1:18" ht="15.75" customHeight="1" x14ac:dyDescent="0.3">
      <c r="A630" s="234" t="s">
        <v>1021</v>
      </c>
      <c r="B630" s="172"/>
      <c r="C630" s="172"/>
      <c r="D630" s="172"/>
      <c r="E630" s="38" t="s">
        <v>852</v>
      </c>
      <c r="F630" s="172"/>
      <c r="G630" s="172"/>
      <c r="H630" s="172"/>
      <c r="I630" s="38" t="s">
        <v>852</v>
      </c>
      <c r="J630" s="172"/>
      <c r="K630" s="172"/>
      <c r="L630" s="172"/>
      <c r="M630" s="38" t="s">
        <v>852</v>
      </c>
      <c r="N630" s="172"/>
      <c r="O630" s="172"/>
      <c r="P630" s="172"/>
      <c r="Q630" s="38" t="s">
        <v>852</v>
      </c>
      <c r="R630" s="38" t="s">
        <v>852</v>
      </c>
    </row>
    <row r="631" spans="1:18" ht="15.75" customHeight="1" x14ac:dyDescent="0.3">
      <c r="A631" s="234" t="s">
        <v>557</v>
      </c>
      <c r="B631" s="172"/>
      <c r="C631" s="172"/>
      <c r="D631" s="172"/>
      <c r="E631" s="38" t="s">
        <v>852</v>
      </c>
      <c r="F631" s="172"/>
      <c r="G631" s="172"/>
      <c r="H631" s="172"/>
      <c r="I631" s="38" t="s">
        <v>852</v>
      </c>
      <c r="J631" s="172"/>
      <c r="K631" s="172"/>
      <c r="L631" s="172"/>
      <c r="M631" s="38" t="s">
        <v>852</v>
      </c>
      <c r="N631" s="172"/>
      <c r="O631" s="172"/>
      <c r="P631" s="172"/>
      <c r="Q631" s="38" t="s">
        <v>852</v>
      </c>
      <c r="R631" s="38" t="s">
        <v>852</v>
      </c>
    </row>
    <row r="632" spans="1:18" ht="15.75" customHeight="1" x14ac:dyDescent="0.3">
      <c r="A632" s="234" t="s">
        <v>1022</v>
      </c>
      <c r="B632" s="172"/>
      <c r="C632" s="172"/>
      <c r="D632" s="172"/>
      <c r="E632" s="38" t="s">
        <v>852</v>
      </c>
      <c r="F632" s="172"/>
      <c r="G632" s="172"/>
      <c r="H632" s="172"/>
      <c r="I632" s="38" t="s">
        <v>852</v>
      </c>
      <c r="J632" s="172"/>
      <c r="K632" s="172"/>
      <c r="L632" s="172"/>
      <c r="M632" s="38" t="s">
        <v>852</v>
      </c>
      <c r="N632" s="172"/>
      <c r="O632" s="172"/>
      <c r="P632" s="172"/>
      <c r="Q632" s="38" t="s">
        <v>852</v>
      </c>
      <c r="R632" s="38" t="s">
        <v>852</v>
      </c>
    </row>
    <row r="633" spans="1:18" ht="15.75" customHeight="1" thickBot="1" x14ac:dyDescent="0.35">
      <c r="A633" s="234" t="s">
        <v>559</v>
      </c>
      <c r="B633" s="172"/>
      <c r="C633" s="172"/>
      <c r="D633" s="172"/>
      <c r="E633" s="38" t="s">
        <v>852</v>
      </c>
      <c r="F633" s="172"/>
      <c r="G633" s="172"/>
      <c r="H633" s="172"/>
      <c r="I633" s="38" t="s">
        <v>852</v>
      </c>
      <c r="J633" s="172"/>
      <c r="K633" s="172"/>
      <c r="L633" s="172"/>
      <c r="M633" s="38" t="s">
        <v>852</v>
      </c>
      <c r="N633" s="172"/>
      <c r="O633" s="172"/>
      <c r="P633" s="172"/>
      <c r="Q633" s="38" t="s">
        <v>852</v>
      </c>
      <c r="R633" s="38" t="s">
        <v>852</v>
      </c>
    </row>
    <row r="634" spans="1:18" ht="16.5" customHeight="1" thickBot="1" x14ac:dyDescent="0.35">
      <c r="A634" s="43" t="s">
        <v>1019</v>
      </c>
      <c r="B634" s="42">
        <f>SUM(B633:B633)</f>
        <v>0</v>
      </c>
      <c r="C634" s="42">
        <f>SUM(C633:C633)</f>
        <v>0</v>
      </c>
      <c r="D634" s="42">
        <f>SUM(D633:D633)</f>
        <v>0</v>
      </c>
      <c r="E634" s="39">
        <f>SUM(B634:D634)</f>
        <v>0</v>
      </c>
      <c r="F634" s="42">
        <f>SUM(F633:F633)</f>
        <v>0</v>
      </c>
      <c r="G634" s="42">
        <f>SUM(G633:G633)</f>
        <v>0</v>
      </c>
      <c r="H634" s="42">
        <f>SUM(H633:H633)</f>
        <v>0</v>
      </c>
      <c r="I634" s="39">
        <f>SUM(F634:H634)</f>
        <v>0</v>
      </c>
      <c r="J634" s="42">
        <f>SUM(J633:J633)</f>
        <v>0</v>
      </c>
      <c r="K634" s="42">
        <f>SUM(K633:K633)</f>
        <v>0</v>
      </c>
      <c r="L634" s="42">
        <f>SUM(L633:L633)</f>
        <v>0</v>
      </c>
      <c r="M634" s="39">
        <f>SUM(J634:L634)</f>
        <v>0</v>
      </c>
      <c r="N634" s="42">
        <f>SUM(N633:N633)</f>
        <v>0</v>
      </c>
      <c r="O634" s="42">
        <f>SUM(O633:O633)</f>
        <v>0</v>
      </c>
      <c r="P634" s="42">
        <f>SUM(P633:P633)</f>
        <v>0</v>
      </c>
      <c r="Q634" s="39">
        <f>SUM(N634:P634)</f>
        <v>0</v>
      </c>
      <c r="R634" s="37">
        <f>+E634+I634+M634+Q634</f>
        <v>0</v>
      </c>
    </row>
    <row r="635" spans="1:18" ht="16.5" customHeight="1" thickBot="1" x14ac:dyDescent="0.35">
      <c r="A635" s="43" t="s">
        <v>1221</v>
      </c>
      <c r="B635" s="45">
        <f>SUM(B629:B633)</f>
        <v>0</v>
      </c>
      <c r="C635" s="46">
        <f>SUM(C629:C633)</f>
        <v>0</v>
      </c>
      <c r="D635" s="58">
        <f>SUM(D629:D633)</f>
        <v>0</v>
      </c>
      <c r="E635" s="39">
        <f>SUM(B635:D635)</f>
        <v>0</v>
      </c>
      <c r="F635" s="46">
        <f>SUM(F629:F633)</f>
        <v>0</v>
      </c>
      <c r="G635" s="46">
        <f>SUM(G629:G633)</f>
        <v>0</v>
      </c>
      <c r="H635" s="46">
        <f>SUM(H629:H633)</f>
        <v>0</v>
      </c>
      <c r="I635" s="39">
        <f>SUM(F635:H635)</f>
        <v>0</v>
      </c>
      <c r="J635" s="46">
        <f>SUM(J629:J633)</f>
        <v>0</v>
      </c>
      <c r="K635" s="46">
        <f>SUM(K629:K633)</f>
        <v>0</v>
      </c>
      <c r="L635" s="46">
        <f>SUM(L629:L633)</f>
        <v>0</v>
      </c>
      <c r="M635" s="39">
        <f>SUM(J635:L635)</f>
        <v>0</v>
      </c>
      <c r="N635" s="46">
        <f>SUM(N629:N633)</f>
        <v>0</v>
      </c>
      <c r="O635" s="46">
        <f>SUM(O629:O633)</f>
        <v>0</v>
      </c>
      <c r="P635" s="46">
        <f>SUM(P629:P633)</f>
        <v>0</v>
      </c>
      <c r="Q635" s="39">
        <f>SUM(N635:P635)</f>
        <v>0</v>
      </c>
      <c r="R635" s="37">
        <f>+E635+I635+M635+Q635</f>
        <v>0</v>
      </c>
    </row>
    <row r="636" spans="1:18" ht="16.5" customHeight="1" thickBot="1" x14ac:dyDescent="0.35">
      <c r="A636" s="43" t="s">
        <v>1222</v>
      </c>
      <c r="B636" s="47">
        <f>+B620+B624+B628+B635</f>
        <v>67</v>
      </c>
      <c r="C636" s="42">
        <f>+C620+C624+C628+C635</f>
        <v>106</v>
      </c>
      <c r="D636" s="42">
        <f>+D620+D624+D628+D635</f>
        <v>9</v>
      </c>
      <c r="E636" s="37">
        <f>SUM(B636:D636)</f>
        <v>182</v>
      </c>
      <c r="F636" s="42">
        <f>+F620+F624+F628+F635</f>
        <v>53</v>
      </c>
      <c r="G636" s="42">
        <f>+G620+G624+G628+G635</f>
        <v>16</v>
      </c>
      <c r="H636" s="42">
        <f>+H620+H624+H628+H635</f>
        <v>69</v>
      </c>
      <c r="I636" s="37">
        <f>SUM(F636:H636)</f>
        <v>138</v>
      </c>
      <c r="J636" s="42">
        <f>+J620+J624+J628+J635</f>
        <v>14</v>
      </c>
      <c r="K636" s="42">
        <f>+K620+K624+K628+K635</f>
        <v>11</v>
      </c>
      <c r="L636" s="42">
        <f>+L620+L624+L628+L635</f>
        <v>54</v>
      </c>
      <c r="M636" s="37">
        <f>SUM(J636:L636)</f>
        <v>79</v>
      </c>
      <c r="N636" s="42">
        <f>+N620+N624+N628+N635</f>
        <v>0</v>
      </c>
      <c r="O636" s="42">
        <f>+O620+O624+O628+O635</f>
        <v>31</v>
      </c>
      <c r="P636" s="42">
        <f>+P620+P624+P628+P635</f>
        <v>0</v>
      </c>
      <c r="Q636" s="37">
        <f>SUM(N636:P636)</f>
        <v>31</v>
      </c>
      <c r="R636" s="40">
        <f>+E636+I636+M636+Q636</f>
        <v>430</v>
      </c>
    </row>
    <row r="637" spans="1:18" ht="15.75" customHeight="1" x14ac:dyDescent="0.3">
      <c r="A637" s="266" t="s">
        <v>2117</v>
      </c>
      <c r="B637" s="172">
        <v>5032</v>
      </c>
      <c r="C637" s="172">
        <v>4124</v>
      </c>
      <c r="D637" s="172">
        <v>5418</v>
      </c>
      <c r="E637" s="38">
        <f>SUM(B637:D637)</f>
        <v>14574</v>
      </c>
      <c r="F637" s="172">
        <v>5460</v>
      </c>
      <c r="G637" s="172">
        <v>5843</v>
      </c>
      <c r="H637" s="172">
        <v>6240</v>
      </c>
      <c r="I637" s="38">
        <f>SUM(F637:H637)</f>
        <v>17543</v>
      </c>
      <c r="J637" s="172">
        <v>6159</v>
      </c>
      <c r="K637" s="172">
        <v>6103</v>
      </c>
      <c r="L637" s="172">
        <v>5787</v>
      </c>
      <c r="M637" s="38">
        <f>SUM(J637:L637)</f>
        <v>18049</v>
      </c>
      <c r="N637" s="172">
        <v>5868</v>
      </c>
      <c r="O637" s="172">
        <v>4696</v>
      </c>
      <c r="P637" s="172">
        <v>4942</v>
      </c>
      <c r="Q637" s="38">
        <f>SUM(N637:P637)</f>
        <v>15506</v>
      </c>
      <c r="R637" s="38">
        <f>+E637+I637+M637+Q637</f>
        <v>65672</v>
      </c>
    </row>
    <row r="638" spans="1:18" ht="15.75" customHeight="1" thickBot="1" x14ac:dyDescent="0.35">
      <c r="A638" s="266" t="s">
        <v>853</v>
      </c>
      <c r="B638" s="172">
        <v>0</v>
      </c>
      <c r="C638" s="172">
        <v>0</v>
      </c>
      <c r="D638" s="172">
        <v>0</v>
      </c>
      <c r="E638" s="38">
        <f>SUM(B638:D638)</f>
        <v>0</v>
      </c>
      <c r="F638" s="172">
        <v>0</v>
      </c>
      <c r="G638" s="172">
        <v>0</v>
      </c>
      <c r="H638" s="172">
        <v>0</v>
      </c>
      <c r="I638" s="38">
        <f>SUM(F638:H638)</f>
        <v>0</v>
      </c>
      <c r="J638" s="172">
        <v>0</v>
      </c>
      <c r="K638" s="172">
        <v>0</v>
      </c>
      <c r="L638" s="172">
        <v>0</v>
      </c>
      <c r="M638" s="38">
        <f>SUM(J638:L638)</f>
        <v>0</v>
      </c>
      <c r="N638" s="172">
        <v>0</v>
      </c>
      <c r="O638" s="172">
        <v>0</v>
      </c>
      <c r="P638" s="172">
        <v>0</v>
      </c>
      <c r="Q638" s="38">
        <f>SUM(N638:P638)</f>
        <v>0</v>
      </c>
      <c r="R638" s="38">
        <f>+E638+I638+M638+Q638</f>
        <v>0</v>
      </c>
    </row>
    <row r="639" spans="1:18" ht="16.5" customHeight="1" thickBot="1" x14ac:dyDescent="0.35">
      <c r="A639" s="281"/>
      <c r="B639" s="232"/>
      <c r="C639" s="232"/>
      <c r="D639" s="232"/>
      <c r="E639" s="37" t="s">
        <v>852</v>
      </c>
      <c r="F639" s="232"/>
      <c r="G639" s="232"/>
      <c r="H639" s="232"/>
      <c r="I639" s="37" t="s">
        <v>852</v>
      </c>
      <c r="J639" s="232"/>
      <c r="K639" s="232"/>
      <c r="L639" s="232"/>
      <c r="M639" s="37" t="s">
        <v>852</v>
      </c>
      <c r="N639" s="232"/>
      <c r="O639" s="232"/>
      <c r="P639" s="232"/>
      <c r="Q639" s="37"/>
      <c r="R639" s="37"/>
    </row>
    <row r="640" spans="1:18" ht="15.75" customHeight="1" x14ac:dyDescent="0.3">
      <c r="A640" s="234" t="s">
        <v>2011</v>
      </c>
      <c r="B640" s="172">
        <f>SUM(B636:B638)</f>
        <v>5099</v>
      </c>
      <c r="C640" s="172">
        <f>SUM(C636:C638)</f>
        <v>4230</v>
      </c>
      <c r="D640" s="172">
        <f>SUM(D636:D638)</f>
        <v>5427</v>
      </c>
      <c r="E640" s="39">
        <f>SUM(B640:D640)</f>
        <v>14756</v>
      </c>
      <c r="F640" s="172">
        <f>SUM(F636:F638)</f>
        <v>5513</v>
      </c>
      <c r="G640" s="172">
        <f>SUM(G636:G638)</f>
        <v>5859</v>
      </c>
      <c r="H640" s="172">
        <f>SUM(H636:H638)</f>
        <v>6309</v>
      </c>
      <c r="I640" s="39">
        <f>SUM(F640:H640)</f>
        <v>17681</v>
      </c>
      <c r="J640" s="172">
        <f>SUM(J636:J638)</f>
        <v>6173</v>
      </c>
      <c r="K640" s="172">
        <f>SUM(K636:K638)</f>
        <v>6114</v>
      </c>
      <c r="L640" s="172">
        <f>SUM(L636:L638)</f>
        <v>5841</v>
      </c>
      <c r="M640" s="39">
        <f>SUM(J640:L640)</f>
        <v>18128</v>
      </c>
      <c r="N640" s="172">
        <f>SUM(N636:N638)</f>
        <v>5868</v>
      </c>
      <c r="O640" s="172">
        <f>SUM(O636:O638)</f>
        <v>4727</v>
      </c>
      <c r="P640" s="172">
        <f>SUM(P636:P638)</f>
        <v>4942</v>
      </c>
      <c r="Q640" s="39">
        <f>SUM(N640:P640)</f>
        <v>15537</v>
      </c>
      <c r="R640" s="39">
        <f>+E640+I640+M640+Q640</f>
        <v>66102</v>
      </c>
    </row>
    <row r="641" spans="1:18" ht="15.75" customHeight="1" x14ac:dyDescent="0.3">
      <c r="A641" s="234" t="s">
        <v>1897</v>
      </c>
      <c r="B641" s="172">
        <f>(B640/31)/1.983</f>
        <v>82.946984855139647</v>
      </c>
      <c r="C641" s="172">
        <f>(C640/28)/1.983</f>
        <v>76.183272098551981</v>
      </c>
      <c r="D641" s="172">
        <f>(D640/31)/1.983</f>
        <v>88.282660680298662</v>
      </c>
      <c r="E641" s="38" t="s">
        <v>852</v>
      </c>
      <c r="F641" s="172">
        <f>(F640/30)/1.983</f>
        <v>92.671037149100698</v>
      </c>
      <c r="G641" s="172">
        <f>(G640/31)/1.983</f>
        <v>95.310136157337368</v>
      </c>
      <c r="H641" s="172">
        <f>(H640/30)/1.983</f>
        <v>106.05143721633888</v>
      </c>
      <c r="I641" s="38" t="s">
        <v>852</v>
      </c>
      <c r="J641" s="172">
        <f>(J640/31)/1.983</f>
        <v>100.41806972166641</v>
      </c>
      <c r="K641" s="172">
        <f>(K640/31)/1.983</f>
        <v>99.458298765311596</v>
      </c>
      <c r="L641" s="172">
        <f>(L640/30)/1.983</f>
        <v>98.184568835098332</v>
      </c>
      <c r="M641" s="38" t="s">
        <v>852</v>
      </c>
      <c r="N641" s="172">
        <f>(N640/31)/1.983</f>
        <v>95.456541896442332</v>
      </c>
      <c r="O641" s="172">
        <f>(O640/30)/1.983</f>
        <v>79.458732560094134</v>
      </c>
      <c r="P641" s="172">
        <f>(P640/31)/1.983</f>
        <v>80.393018072975124</v>
      </c>
      <c r="Q641" s="38" t="s">
        <v>852</v>
      </c>
      <c r="R641" s="38" t="s">
        <v>852</v>
      </c>
    </row>
    <row r="642" spans="1:18" ht="15.75" customHeight="1" x14ac:dyDescent="0.3">
      <c r="A642" s="234" t="s">
        <v>647</v>
      </c>
      <c r="B642" s="172">
        <f>B640</f>
        <v>5099</v>
      </c>
      <c r="C642" s="172">
        <f>C640</f>
        <v>4230</v>
      </c>
      <c r="D642" s="172">
        <f>D640</f>
        <v>5427</v>
      </c>
      <c r="E642" s="38">
        <f>SUM(B642:D642)</f>
        <v>14756</v>
      </c>
      <c r="F642" s="172">
        <f>F640</f>
        <v>5513</v>
      </c>
      <c r="G642" s="172">
        <f>G640</f>
        <v>5859</v>
      </c>
      <c r="H642" s="172">
        <f>H640</f>
        <v>6309</v>
      </c>
      <c r="I642" s="38">
        <f>SUM(F642:H642)</f>
        <v>17681</v>
      </c>
      <c r="J642" s="172">
        <f>J640</f>
        <v>6173</v>
      </c>
      <c r="K642" s="172">
        <f>K640</f>
        <v>6114</v>
      </c>
      <c r="L642" s="172">
        <f>L640</f>
        <v>5841</v>
      </c>
      <c r="M642" s="38">
        <f>SUM(J642:L642)</f>
        <v>18128</v>
      </c>
      <c r="N642" s="172">
        <f>N640</f>
        <v>5868</v>
      </c>
      <c r="O642" s="172">
        <f>O640</f>
        <v>4727</v>
      </c>
      <c r="P642" s="172">
        <f>P640</f>
        <v>4942</v>
      </c>
      <c r="Q642" s="38">
        <f>SUM(N642:P642)</f>
        <v>15537</v>
      </c>
      <c r="R642" s="38">
        <f>+E642+I642+M642+Q642</f>
        <v>66102</v>
      </c>
    </row>
    <row r="643" spans="1:18" ht="16.5" customHeight="1" thickBot="1" x14ac:dyDescent="0.35">
      <c r="A643" s="237" t="s">
        <v>2191</v>
      </c>
      <c r="B643" s="238">
        <f>(B642/31)/1.983</f>
        <v>82.946984855139647</v>
      </c>
      <c r="C643" s="238">
        <f>(C642/28)/1.983</f>
        <v>76.183272098551981</v>
      </c>
      <c r="D643" s="238">
        <f>(D642/31)/1.983</f>
        <v>88.282660680298662</v>
      </c>
      <c r="E643" s="40" t="s">
        <v>852</v>
      </c>
      <c r="F643" s="238">
        <f>(F642/30)/1.983</f>
        <v>92.671037149100698</v>
      </c>
      <c r="G643" s="238">
        <f>(G642/31)/1.983</f>
        <v>95.310136157337368</v>
      </c>
      <c r="H643" s="238">
        <f>(H642/30)/1.983</f>
        <v>106.05143721633888</v>
      </c>
      <c r="I643" s="40" t="s">
        <v>852</v>
      </c>
      <c r="J643" s="238">
        <f>(J642/31)/1.983</f>
        <v>100.41806972166641</v>
      </c>
      <c r="K643" s="238">
        <f>(K642/31)/1.983</f>
        <v>99.458298765311596</v>
      </c>
      <c r="L643" s="238">
        <f>(L642/30)/1.983</f>
        <v>98.184568835098332</v>
      </c>
      <c r="M643" s="40" t="s">
        <v>852</v>
      </c>
      <c r="N643" s="238">
        <f>(N642/31)/1.983</f>
        <v>95.456541896442332</v>
      </c>
      <c r="O643" s="238">
        <f>(O642/30)/1.983</f>
        <v>79.458732560094134</v>
      </c>
      <c r="P643" s="238">
        <f>(P642/31)/1.983</f>
        <v>80.393018072975124</v>
      </c>
      <c r="Q643" s="40" t="s">
        <v>852</v>
      </c>
      <c r="R643" s="40" t="s">
        <v>852</v>
      </c>
    </row>
    <row r="644" spans="1:18" ht="15.75" customHeight="1" x14ac:dyDescent="0.3">
      <c r="A644" s="17"/>
      <c r="B644" s="172"/>
      <c r="C644" s="172"/>
      <c r="D644" s="172"/>
      <c r="E644" s="172"/>
      <c r="F644" s="172"/>
      <c r="G644" s="172"/>
      <c r="H644" s="172"/>
      <c r="I644" s="172"/>
      <c r="J644" s="172"/>
      <c r="K644" s="172"/>
      <c r="L644" s="172"/>
      <c r="M644" s="172"/>
      <c r="N644" s="172"/>
      <c r="O644" s="172"/>
      <c r="P644" s="172"/>
      <c r="Q644" s="172"/>
      <c r="R644" s="17"/>
    </row>
    <row r="645" spans="1:18" ht="15.75" customHeight="1" thickBot="1" x14ac:dyDescent="0.35">
      <c r="A645" s="17"/>
      <c r="B645" s="172"/>
      <c r="C645" s="172"/>
      <c r="D645" s="172"/>
      <c r="E645" s="172"/>
      <c r="F645" s="172"/>
      <c r="G645" s="172"/>
      <c r="H645" s="172"/>
      <c r="I645" s="172"/>
      <c r="J645" s="172"/>
      <c r="K645" s="172"/>
      <c r="L645" s="172"/>
      <c r="M645" s="172"/>
      <c r="N645" s="172"/>
      <c r="O645" s="172"/>
      <c r="P645" s="172"/>
      <c r="Q645" s="172"/>
      <c r="R645" s="17"/>
    </row>
    <row r="646" spans="1:18" ht="16.5" customHeight="1" thickBot="1" x14ac:dyDescent="0.35">
      <c r="A646" s="278" t="s">
        <v>2192</v>
      </c>
      <c r="B646" s="4" t="s">
        <v>2090</v>
      </c>
      <c r="C646" s="5" t="s">
        <v>2091</v>
      </c>
      <c r="D646" s="5" t="s">
        <v>2234</v>
      </c>
      <c r="E646" s="33" t="s">
        <v>1594</v>
      </c>
      <c r="F646" s="5" t="s">
        <v>2235</v>
      </c>
      <c r="G646" s="5" t="s">
        <v>2236</v>
      </c>
      <c r="H646" s="5" t="s">
        <v>2237</v>
      </c>
      <c r="I646" s="35" t="s">
        <v>1595</v>
      </c>
      <c r="J646" s="5" t="s">
        <v>1504</v>
      </c>
      <c r="K646" s="5" t="s">
        <v>1505</v>
      </c>
      <c r="L646" s="5" t="s">
        <v>1506</v>
      </c>
      <c r="M646" s="35" t="s">
        <v>1596</v>
      </c>
      <c r="N646" s="5" t="s">
        <v>1507</v>
      </c>
      <c r="O646" s="5" t="s">
        <v>1508</v>
      </c>
      <c r="P646" s="5" t="s">
        <v>1509</v>
      </c>
      <c r="Q646" s="35" t="s">
        <v>1597</v>
      </c>
      <c r="R646" s="60" t="s">
        <v>1510</v>
      </c>
    </row>
    <row r="647" spans="1:18" ht="16.5" customHeight="1" thickBot="1" x14ac:dyDescent="0.35">
      <c r="A647" s="22"/>
      <c r="B647" s="242"/>
      <c r="C647" s="242"/>
      <c r="D647" s="242"/>
      <c r="E647" s="233"/>
      <c r="F647" s="242"/>
      <c r="G647" s="242"/>
      <c r="H647" s="242"/>
      <c r="I647" s="282"/>
      <c r="J647" s="242"/>
      <c r="K647" s="242"/>
      <c r="L647" s="242"/>
      <c r="M647" s="282"/>
      <c r="N647" s="242"/>
      <c r="O647" s="242"/>
      <c r="P647" s="242"/>
      <c r="Q647" s="283"/>
      <c r="R647" s="61"/>
    </row>
    <row r="648" spans="1:18" ht="15.75" customHeight="1" x14ac:dyDescent="0.3">
      <c r="A648" s="234" t="s">
        <v>2417</v>
      </c>
      <c r="B648" s="172" t="s">
        <v>852</v>
      </c>
      <c r="C648" s="172" t="s">
        <v>852</v>
      </c>
      <c r="D648" s="172" t="s">
        <v>852</v>
      </c>
      <c r="E648" s="284"/>
      <c r="F648" s="172" t="s">
        <v>852</v>
      </c>
      <c r="G648" s="172" t="s">
        <v>852</v>
      </c>
      <c r="H648" s="172" t="s">
        <v>852</v>
      </c>
      <c r="I648" s="284"/>
      <c r="J648" s="172" t="s">
        <v>852</v>
      </c>
      <c r="K648" s="172" t="s">
        <v>852</v>
      </c>
      <c r="L648" s="172" t="s">
        <v>852</v>
      </c>
      <c r="M648" s="284"/>
      <c r="N648" s="172" t="s">
        <v>852</v>
      </c>
      <c r="O648" s="172" t="s">
        <v>852</v>
      </c>
      <c r="P648" s="172" t="s">
        <v>852</v>
      </c>
      <c r="Q648" s="285"/>
      <c r="R648" s="62" t="s">
        <v>852</v>
      </c>
    </row>
    <row r="649" spans="1:18" ht="15.75" customHeight="1" x14ac:dyDescent="0.3">
      <c r="A649" s="234" t="s">
        <v>2160</v>
      </c>
      <c r="B649" s="172"/>
      <c r="C649" s="172"/>
      <c r="D649" s="172"/>
      <c r="E649" s="38" t="s">
        <v>852</v>
      </c>
      <c r="F649" s="172"/>
      <c r="G649" s="172"/>
      <c r="H649" s="172"/>
      <c r="I649" s="38" t="s">
        <v>852</v>
      </c>
      <c r="J649" s="172"/>
      <c r="K649" s="172"/>
      <c r="L649" s="172"/>
      <c r="M649" s="38" t="s">
        <v>852</v>
      </c>
      <c r="N649" s="172"/>
      <c r="O649" s="172"/>
      <c r="P649" s="172"/>
      <c r="Q649" s="38" t="s">
        <v>852</v>
      </c>
      <c r="R649" s="38" t="s">
        <v>852</v>
      </c>
    </row>
    <row r="650" spans="1:18" ht="15.75" customHeight="1" x14ac:dyDescent="0.3">
      <c r="A650" s="266" t="s">
        <v>1910</v>
      </c>
      <c r="B650" s="10">
        <v>0</v>
      </c>
      <c r="C650" s="10">
        <v>0</v>
      </c>
      <c r="D650" s="10">
        <v>0</v>
      </c>
      <c r="E650" s="38">
        <f>SUM(B650:D650)</f>
        <v>0</v>
      </c>
      <c r="F650" s="10">
        <v>0</v>
      </c>
      <c r="G650" s="10">
        <v>0</v>
      </c>
      <c r="H650" s="10">
        <v>0</v>
      </c>
      <c r="I650" s="38">
        <f>SUM(F650:H650)</f>
        <v>0</v>
      </c>
      <c r="J650" s="10">
        <v>0</v>
      </c>
      <c r="K650" s="10">
        <v>151</v>
      </c>
      <c r="L650" s="10">
        <v>374</v>
      </c>
      <c r="M650" s="38">
        <f>SUM(J650:L650)</f>
        <v>525</v>
      </c>
      <c r="N650" s="10"/>
      <c r="O650" s="10"/>
      <c r="P650" s="10"/>
      <c r="Q650" s="38">
        <f>SUM(N650:P650)</f>
        <v>0</v>
      </c>
      <c r="R650" s="38">
        <f>+E650+I650+M650+Q650</f>
        <v>525</v>
      </c>
    </row>
    <row r="651" spans="1:18" ht="15.75" customHeight="1" x14ac:dyDescent="0.3">
      <c r="A651" s="310" t="s">
        <v>715</v>
      </c>
      <c r="B651" s="172">
        <v>1392</v>
      </c>
      <c r="C651" s="172">
        <v>804</v>
      </c>
      <c r="D651" s="172">
        <v>0</v>
      </c>
      <c r="E651" s="38">
        <f>SUM(B651:D651)</f>
        <v>2196</v>
      </c>
      <c r="F651" s="172">
        <v>0</v>
      </c>
      <c r="G651" s="172">
        <v>0</v>
      </c>
      <c r="H651" s="172">
        <v>0</v>
      </c>
      <c r="I651" s="38">
        <f>SUM(F651:H651)</f>
        <v>0</v>
      </c>
      <c r="J651" s="172">
        <v>0</v>
      </c>
      <c r="K651" s="172">
        <v>0</v>
      </c>
      <c r="L651" s="172">
        <v>1000</v>
      </c>
      <c r="M651" s="38">
        <f>SUM(J651:L651)</f>
        <v>1000</v>
      </c>
      <c r="N651" s="172">
        <v>0</v>
      </c>
      <c r="O651" s="172">
        <v>543</v>
      </c>
      <c r="P651" s="172">
        <v>1226</v>
      </c>
      <c r="Q651" s="38">
        <f>SUM(N651:P651)</f>
        <v>1769</v>
      </c>
      <c r="R651" s="38">
        <f>+E651+I651+M651+Q651</f>
        <v>4965</v>
      </c>
    </row>
    <row r="652" spans="1:18" ht="15.75" customHeight="1" x14ac:dyDescent="0.3">
      <c r="A652" s="234" t="s">
        <v>2161</v>
      </c>
      <c r="B652" s="172"/>
      <c r="C652" s="172"/>
      <c r="D652" s="172"/>
      <c r="E652" s="38" t="s">
        <v>852</v>
      </c>
      <c r="F652" s="172"/>
      <c r="G652" s="172"/>
      <c r="H652" s="172"/>
      <c r="I652" s="38" t="s">
        <v>852</v>
      </c>
      <c r="J652" s="172"/>
      <c r="K652" s="172"/>
      <c r="L652" s="172"/>
      <c r="M652" s="38" t="s">
        <v>852</v>
      </c>
      <c r="N652" s="172"/>
      <c r="O652" s="172"/>
      <c r="P652" s="172"/>
      <c r="Q652" s="38" t="s">
        <v>852</v>
      </c>
      <c r="R652" s="38" t="s">
        <v>852</v>
      </c>
    </row>
    <row r="653" spans="1:18" ht="15.75" customHeight="1" x14ac:dyDescent="0.3">
      <c r="A653" s="234" t="s">
        <v>2162</v>
      </c>
      <c r="B653" s="172"/>
      <c r="C653" s="172"/>
      <c r="D653" s="172"/>
      <c r="E653" s="38" t="s">
        <v>852</v>
      </c>
      <c r="F653" s="172"/>
      <c r="G653" s="172"/>
      <c r="H653" s="172"/>
      <c r="I653" s="38" t="s">
        <v>852</v>
      </c>
      <c r="J653" s="172"/>
      <c r="K653" s="172"/>
      <c r="L653" s="172"/>
      <c r="M653" s="38" t="s">
        <v>852</v>
      </c>
      <c r="N653" s="172"/>
      <c r="O653" s="172"/>
      <c r="P653" s="172"/>
      <c r="Q653" s="38" t="s">
        <v>852</v>
      </c>
      <c r="R653" s="38" t="s">
        <v>852</v>
      </c>
    </row>
    <row r="654" spans="1:18" ht="15.75" customHeight="1" x14ac:dyDescent="0.3">
      <c r="A654" s="539" t="s">
        <v>2544</v>
      </c>
      <c r="B654" s="172">
        <v>0</v>
      </c>
      <c r="C654" s="172">
        <v>0</v>
      </c>
      <c r="D654" s="172">
        <v>0</v>
      </c>
      <c r="E654" s="38">
        <f>SUM(B654:D654)</f>
        <v>0</v>
      </c>
      <c r="F654" s="172">
        <v>0</v>
      </c>
      <c r="G654" s="172">
        <v>0</v>
      </c>
      <c r="H654" s="172">
        <v>0</v>
      </c>
      <c r="I654" s="38">
        <f>SUM(F654:H654)</f>
        <v>0</v>
      </c>
      <c r="J654" s="172">
        <v>0</v>
      </c>
      <c r="K654" s="172">
        <v>0</v>
      </c>
      <c r="L654" s="172">
        <v>910</v>
      </c>
      <c r="M654" s="38">
        <f>SUM(J654:L654)</f>
        <v>910</v>
      </c>
      <c r="N654" s="172">
        <v>0</v>
      </c>
      <c r="O654" s="172">
        <v>0</v>
      </c>
      <c r="P654" s="172">
        <v>801</v>
      </c>
      <c r="Q654" s="38">
        <f>SUM(N654:P654)</f>
        <v>801</v>
      </c>
      <c r="R654" s="38">
        <f>+E654+I654+M654+Q654</f>
        <v>1711</v>
      </c>
    </row>
    <row r="655" spans="1:18" ht="15.75" customHeight="1" thickBot="1" x14ac:dyDescent="0.35">
      <c r="A655" s="234" t="s">
        <v>2164</v>
      </c>
      <c r="B655" s="172"/>
      <c r="C655" s="172"/>
      <c r="D655" s="172"/>
      <c r="E655" s="38" t="s">
        <v>852</v>
      </c>
      <c r="F655" s="172"/>
      <c r="G655" s="172"/>
      <c r="H655" s="172"/>
      <c r="I655" s="38" t="s">
        <v>852</v>
      </c>
      <c r="J655" s="172"/>
      <c r="K655" s="172"/>
      <c r="L655" s="172"/>
      <c r="M655" s="38" t="s">
        <v>852</v>
      </c>
      <c r="N655" s="172"/>
      <c r="O655" s="172"/>
      <c r="P655" s="172"/>
      <c r="Q655" s="38" t="s">
        <v>852</v>
      </c>
      <c r="R655" s="38" t="s">
        <v>852</v>
      </c>
    </row>
    <row r="656" spans="1:18" ht="16.5" customHeight="1" thickBot="1" x14ac:dyDescent="0.35">
      <c r="A656" s="43" t="s">
        <v>1218</v>
      </c>
      <c r="B656" s="45">
        <f>SUM(B648:B655)</f>
        <v>1392</v>
      </c>
      <c r="C656" s="46">
        <f>SUM(C648:C655)</f>
        <v>804</v>
      </c>
      <c r="D656" s="46">
        <f>SUM(D648:D655)</f>
        <v>0</v>
      </c>
      <c r="E656" s="37">
        <f>SUM(B656:D656)</f>
        <v>2196</v>
      </c>
      <c r="F656" s="46">
        <f>SUM(F648:F655)</f>
        <v>0</v>
      </c>
      <c r="G656" s="46">
        <f>SUM(G648:G655)</f>
        <v>0</v>
      </c>
      <c r="H656" s="46">
        <f>SUM(H648:H655)</f>
        <v>0</v>
      </c>
      <c r="I656" s="37">
        <f>SUM(F656:H656)</f>
        <v>0</v>
      </c>
      <c r="J656" s="46">
        <f>SUM(J648:J655)</f>
        <v>0</v>
      </c>
      <c r="K656" s="46">
        <f>SUM(K648:K655)</f>
        <v>151</v>
      </c>
      <c r="L656" s="46">
        <f>SUM(L648:L655)</f>
        <v>2284</v>
      </c>
      <c r="M656" s="37">
        <f>SUM(J656:L656)</f>
        <v>2435</v>
      </c>
      <c r="N656" s="46">
        <f>SUM(N648:N655)</f>
        <v>0</v>
      </c>
      <c r="O656" s="46">
        <f>SUM(O648:O655)</f>
        <v>543</v>
      </c>
      <c r="P656" s="46">
        <f>SUM(P648:P655)</f>
        <v>2027</v>
      </c>
      <c r="Q656" s="37">
        <f>SUM(N656:P656)</f>
        <v>2570</v>
      </c>
      <c r="R656" s="37">
        <f>+E656+I656+M656+Q656</f>
        <v>7201</v>
      </c>
    </row>
    <row r="657" spans="1:18" ht="15.75" customHeight="1" x14ac:dyDescent="0.3">
      <c r="A657" s="234" t="s">
        <v>1172</v>
      </c>
      <c r="B657" s="172"/>
      <c r="C657" s="172"/>
      <c r="D657" s="172"/>
      <c r="E657" s="38" t="s">
        <v>852</v>
      </c>
      <c r="F657" s="172"/>
      <c r="G657" s="172"/>
      <c r="H657" s="172"/>
      <c r="I657" s="38" t="s">
        <v>852</v>
      </c>
      <c r="J657" s="172"/>
      <c r="K657" s="172"/>
      <c r="L657" s="172"/>
      <c r="M657" s="38" t="s">
        <v>852</v>
      </c>
      <c r="N657" s="172"/>
      <c r="O657" s="172"/>
      <c r="P657" s="172"/>
      <c r="Q657" s="38" t="s">
        <v>852</v>
      </c>
      <c r="R657" s="38" t="s">
        <v>852</v>
      </c>
    </row>
    <row r="658" spans="1:18" ht="15.75" customHeight="1" x14ac:dyDescent="0.3">
      <c r="A658" s="234" t="s">
        <v>2409</v>
      </c>
      <c r="B658" s="172"/>
      <c r="C658" s="172"/>
      <c r="D658" s="172"/>
      <c r="E658" s="38" t="s">
        <v>852</v>
      </c>
      <c r="F658" s="172"/>
      <c r="G658" s="172"/>
      <c r="H658" s="172"/>
      <c r="I658" s="38" t="s">
        <v>852</v>
      </c>
      <c r="J658" s="172"/>
      <c r="K658" s="172"/>
      <c r="L658" s="172"/>
      <c r="M658" s="38" t="s">
        <v>852</v>
      </c>
      <c r="N658" s="172"/>
      <c r="O658" s="172"/>
      <c r="P658" s="172"/>
      <c r="Q658" s="38" t="s">
        <v>852</v>
      </c>
      <c r="R658" s="38" t="s">
        <v>852</v>
      </c>
    </row>
    <row r="659" spans="1:18" ht="15.75" customHeight="1" x14ac:dyDescent="0.3">
      <c r="A659" s="539" t="s">
        <v>1648</v>
      </c>
      <c r="B659" s="172">
        <v>0</v>
      </c>
      <c r="C659" s="172">
        <v>0</v>
      </c>
      <c r="D659" s="172">
        <v>0</v>
      </c>
      <c r="E659" s="38">
        <f>SUM(B659:D659)</f>
        <v>0</v>
      </c>
      <c r="F659" s="172">
        <v>0</v>
      </c>
      <c r="G659" s="172">
        <v>0</v>
      </c>
      <c r="H659" s="172">
        <v>0</v>
      </c>
      <c r="I659" s="38">
        <f>SUM(F659:H659)</f>
        <v>0</v>
      </c>
      <c r="J659" s="172">
        <v>0</v>
      </c>
      <c r="K659" s="172">
        <v>0</v>
      </c>
      <c r="L659" s="172">
        <v>0</v>
      </c>
      <c r="M659" s="38">
        <f>SUM(J659:L659)</f>
        <v>0</v>
      </c>
      <c r="N659" s="172">
        <v>0</v>
      </c>
      <c r="O659" s="172">
        <v>0</v>
      </c>
      <c r="P659" s="172">
        <v>0</v>
      </c>
      <c r="Q659" s="38">
        <f>SUM(N659:P659)</f>
        <v>0</v>
      </c>
      <c r="R659" s="38">
        <f>+E659+I659+M659+Q659</f>
        <v>0</v>
      </c>
    </row>
    <row r="660" spans="1:18" ht="15.75" customHeight="1" thickBot="1" x14ac:dyDescent="0.35">
      <c r="A660" s="234" t="s">
        <v>2165</v>
      </c>
      <c r="B660" s="172"/>
      <c r="C660" s="172"/>
      <c r="D660" s="172"/>
      <c r="E660" s="38" t="s">
        <v>852</v>
      </c>
      <c r="F660" s="172"/>
      <c r="G660" s="172"/>
      <c r="H660" s="172"/>
      <c r="I660" s="38" t="s">
        <v>852</v>
      </c>
      <c r="J660" s="172"/>
      <c r="K660" s="172"/>
      <c r="L660" s="172"/>
      <c r="M660" s="38" t="s">
        <v>852</v>
      </c>
      <c r="N660" s="172"/>
      <c r="O660" s="172"/>
      <c r="P660" s="172"/>
      <c r="Q660" s="38" t="s">
        <v>852</v>
      </c>
      <c r="R660" s="38" t="s">
        <v>852</v>
      </c>
    </row>
    <row r="661" spans="1:18" ht="16.5" customHeight="1" thickBot="1" x14ac:dyDescent="0.35">
      <c r="A661" s="43" t="s">
        <v>1219</v>
      </c>
      <c r="B661" s="45">
        <f>SUM(B657:B660)</f>
        <v>0</v>
      </c>
      <c r="C661" s="46">
        <f>SUM(C657:C660)</f>
        <v>0</v>
      </c>
      <c r="D661" s="46">
        <f>SUM(D657:D660)</f>
        <v>0</v>
      </c>
      <c r="E661" s="37">
        <f>SUM(B661:D661)</f>
        <v>0</v>
      </c>
      <c r="F661" s="46">
        <f>SUM(F657:F660)</f>
        <v>0</v>
      </c>
      <c r="G661" s="46">
        <f>SUM(G657:G660)</f>
        <v>0</v>
      </c>
      <c r="H661" s="46">
        <f>SUM(H657:H660)</f>
        <v>0</v>
      </c>
      <c r="I661" s="37">
        <f>SUM(F661:H661)</f>
        <v>0</v>
      </c>
      <c r="J661" s="46">
        <f>SUM(J657:J660)</f>
        <v>0</v>
      </c>
      <c r="K661" s="46">
        <f>SUM(K657:K660)</f>
        <v>0</v>
      </c>
      <c r="L661" s="46">
        <f>SUM(L657:L660)</f>
        <v>0</v>
      </c>
      <c r="M661" s="37">
        <f>SUM(J661:L661)</f>
        <v>0</v>
      </c>
      <c r="N661" s="46">
        <f>SUM(N657:N660)</f>
        <v>0</v>
      </c>
      <c r="O661" s="46">
        <f>SUM(O657:O660)</f>
        <v>0</v>
      </c>
      <c r="P661" s="46">
        <f>SUM(P657:P660)</f>
        <v>0</v>
      </c>
      <c r="Q661" s="37">
        <f>SUM(N661:P661)</f>
        <v>0</v>
      </c>
      <c r="R661" s="37">
        <f>+E661+I661+M661+Q661</f>
        <v>0</v>
      </c>
    </row>
    <row r="662" spans="1:18" ht="15.75" customHeight="1" x14ac:dyDescent="0.3">
      <c r="A662" s="234" t="s">
        <v>2166</v>
      </c>
      <c r="B662" s="172"/>
      <c r="C662" s="172"/>
      <c r="D662" s="172"/>
      <c r="E662" s="38" t="s">
        <v>852</v>
      </c>
      <c r="F662" s="172"/>
      <c r="G662" s="172"/>
      <c r="H662" s="172"/>
      <c r="I662" s="38" t="s">
        <v>852</v>
      </c>
      <c r="J662" s="172" t="s">
        <v>852</v>
      </c>
      <c r="K662" s="172"/>
      <c r="L662" s="172"/>
      <c r="M662" s="38" t="s">
        <v>852</v>
      </c>
      <c r="N662" s="172"/>
      <c r="O662" s="172"/>
      <c r="P662" s="172"/>
      <c r="Q662" s="38" t="s">
        <v>852</v>
      </c>
      <c r="R662" s="38" t="s">
        <v>852</v>
      </c>
    </row>
    <row r="663" spans="1:18" ht="15.75" customHeight="1" x14ac:dyDescent="0.3">
      <c r="A663" s="234" t="s">
        <v>1245</v>
      </c>
      <c r="B663" s="172"/>
      <c r="C663" s="172"/>
      <c r="D663" s="172"/>
      <c r="E663" s="38" t="s">
        <v>852</v>
      </c>
      <c r="F663" s="172"/>
      <c r="G663" s="172"/>
      <c r="H663" s="172"/>
      <c r="I663" s="38" t="s">
        <v>852</v>
      </c>
      <c r="J663" s="172"/>
      <c r="K663" s="172"/>
      <c r="L663" s="172"/>
      <c r="M663" s="38" t="s">
        <v>852</v>
      </c>
      <c r="N663" s="172"/>
      <c r="O663" s="172"/>
      <c r="P663" s="172"/>
      <c r="Q663" s="38" t="s">
        <v>852</v>
      </c>
      <c r="R663" s="38" t="s">
        <v>852</v>
      </c>
    </row>
    <row r="664" spans="1:18" ht="15.75" customHeight="1" x14ac:dyDescent="0.3">
      <c r="A664" s="266" t="s">
        <v>1918</v>
      </c>
      <c r="B664" s="172">
        <v>443</v>
      </c>
      <c r="C664" s="172">
        <v>332</v>
      </c>
      <c r="D664" s="172">
        <v>251</v>
      </c>
      <c r="E664" s="38">
        <f>SUM(B664:D664)</f>
        <v>1026</v>
      </c>
      <c r="F664" s="172">
        <v>679</v>
      </c>
      <c r="G664" s="172">
        <v>1078</v>
      </c>
      <c r="H664" s="172">
        <v>774</v>
      </c>
      <c r="I664" s="38">
        <f>SUM(F664:H664)</f>
        <v>2531</v>
      </c>
      <c r="J664" s="172">
        <v>421</v>
      </c>
      <c r="K664" s="172">
        <v>871</v>
      </c>
      <c r="L664" s="172">
        <v>321</v>
      </c>
      <c r="M664" s="38">
        <f>SUM(J664:L664)</f>
        <v>1613</v>
      </c>
      <c r="N664" s="172">
        <v>334</v>
      </c>
      <c r="O664" s="172">
        <v>44</v>
      </c>
      <c r="P664" s="172">
        <v>158</v>
      </c>
      <c r="Q664" s="38">
        <f>SUM(N664:P664)</f>
        <v>536</v>
      </c>
      <c r="R664" s="38">
        <f>+E664+I664+M664+Q664</f>
        <v>5706</v>
      </c>
    </row>
    <row r="665" spans="1:18" ht="15.75" customHeight="1" x14ac:dyDescent="0.3">
      <c r="A665" s="234" t="s">
        <v>1711</v>
      </c>
      <c r="B665" s="172"/>
      <c r="C665" s="172"/>
      <c r="D665" s="172"/>
      <c r="E665" s="38" t="s">
        <v>852</v>
      </c>
      <c r="F665" s="172"/>
      <c r="G665" s="172"/>
      <c r="H665" s="172"/>
      <c r="I665" s="38" t="s">
        <v>852</v>
      </c>
      <c r="J665" s="172"/>
      <c r="K665" s="172"/>
      <c r="L665" s="172"/>
      <c r="M665" s="38" t="s">
        <v>852</v>
      </c>
      <c r="N665" s="172"/>
      <c r="O665" s="172"/>
      <c r="P665" s="172"/>
      <c r="Q665" s="38" t="s">
        <v>852</v>
      </c>
      <c r="R665" s="38" t="s">
        <v>852</v>
      </c>
    </row>
    <row r="666" spans="1:18" ht="15.75" customHeight="1" x14ac:dyDescent="0.3">
      <c r="A666" s="310" t="s">
        <v>783</v>
      </c>
      <c r="B666" s="172">
        <v>0</v>
      </c>
      <c r="C666" s="172">
        <v>1000</v>
      </c>
      <c r="D666" s="172">
        <v>0</v>
      </c>
      <c r="E666" s="38">
        <f>SUM(B666:D666)</f>
        <v>1000</v>
      </c>
      <c r="F666" s="172">
        <v>0</v>
      </c>
      <c r="G666" s="172">
        <v>0</v>
      </c>
      <c r="H666" s="172">
        <v>0</v>
      </c>
      <c r="I666" s="38">
        <f>SUM(F666:H666)</f>
        <v>0</v>
      </c>
      <c r="J666" s="172">
        <v>0</v>
      </c>
      <c r="K666" s="172">
        <v>0</v>
      </c>
      <c r="L666" s="172">
        <v>600</v>
      </c>
      <c r="M666" s="38">
        <f>SUM(J666:L666)</f>
        <v>600</v>
      </c>
      <c r="N666" s="172">
        <v>1428</v>
      </c>
      <c r="O666" s="172">
        <v>0</v>
      </c>
      <c r="P666" s="172">
        <v>1472</v>
      </c>
      <c r="Q666" s="38">
        <f>SUM(N666:P666)</f>
        <v>2900</v>
      </c>
      <c r="R666" s="38">
        <f>+E666+I666+M666+Q666</f>
        <v>4500</v>
      </c>
    </row>
    <row r="667" spans="1:18" ht="15.75" customHeight="1" thickBot="1" x14ac:dyDescent="0.35">
      <c r="A667" s="539" t="s">
        <v>2540</v>
      </c>
      <c r="B667" s="172">
        <v>864</v>
      </c>
      <c r="C667" s="172">
        <v>1020</v>
      </c>
      <c r="D667" s="172">
        <v>850</v>
      </c>
      <c r="E667" s="38">
        <f>SUM(B667:D667)</f>
        <v>2734</v>
      </c>
      <c r="F667" s="172">
        <v>829</v>
      </c>
      <c r="G667" s="172">
        <v>644</v>
      </c>
      <c r="H667" s="172">
        <v>809</v>
      </c>
      <c r="I667" s="38">
        <f>SUM(F667:H667)</f>
        <v>2282</v>
      </c>
      <c r="J667" s="172">
        <v>894</v>
      </c>
      <c r="K667" s="172">
        <v>631</v>
      </c>
      <c r="L667" s="172">
        <v>736</v>
      </c>
      <c r="M667" s="38">
        <f>SUM(J667:L667)</f>
        <v>2261</v>
      </c>
      <c r="N667" s="172">
        <v>554</v>
      </c>
      <c r="O667" s="172">
        <v>226</v>
      </c>
      <c r="P667" s="172">
        <v>595</v>
      </c>
      <c r="Q667" s="38">
        <f>SUM(N667:P667)</f>
        <v>1375</v>
      </c>
      <c r="R667" s="38">
        <f>+E667+I667+M667+Q667</f>
        <v>8652</v>
      </c>
    </row>
    <row r="668" spans="1:18" ht="16.5" customHeight="1" thickBot="1" x14ac:dyDescent="0.35">
      <c r="A668" s="43" t="s">
        <v>1220</v>
      </c>
      <c r="B668" s="45">
        <f>SUM(B662:B667)</f>
        <v>1307</v>
      </c>
      <c r="C668" s="46">
        <f>SUM(C662:C667)</f>
        <v>2352</v>
      </c>
      <c r="D668" s="46">
        <f>SUM(D662:D667)</f>
        <v>1101</v>
      </c>
      <c r="E668" s="37">
        <f>SUM(B668:D668)</f>
        <v>4760</v>
      </c>
      <c r="F668" s="46">
        <f>SUM(F662:F667)</f>
        <v>1508</v>
      </c>
      <c r="G668" s="46">
        <f>SUM(G662:G667)</f>
        <v>1722</v>
      </c>
      <c r="H668" s="46">
        <f>SUM(H662:H667)</f>
        <v>1583</v>
      </c>
      <c r="I668" s="37">
        <f>SUM(F668:H668)</f>
        <v>4813</v>
      </c>
      <c r="J668" s="46">
        <f>SUM(J662:J667)</f>
        <v>1315</v>
      </c>
      <c r="K668" s="46">
        <f>SUM(K662:K667)</f>
        <v>1502</v>
      </c>
      <c r="L668" s="46">
        <f>SUM(L662:L667)</f>
        <v>1657</v>
      </c>
      <c r="M668" s="37">
        <f>SUM(J668:L668)</f>
        <v>4474</v>
      </c>
      <c r="N668" s="46">
        <f>SUM(N662:N667)</f>
        <v>2316</v>
      </c>
      <c r="O668" s="46">
        <f>SUM(O662:O667)</f>
        <v>270</v>
      </c>
      <c r="P668" s="46">
        <f>SUM(P662:P667)</f>
        <v>2225</v>
      </c>
      <c r="Q668" s="37">
        <f>SUM(N668:P668)</f>
        <v>4811</v>
      </c>
      <c r="R668" s="37">
        <f>+E668+I668+M668+Q668</f>
        <v>18858</v>
      </c>
    </row>
    <row r="669" spans="1:18" ht="15.75" customHeight="1" x14ac:dyDescent="0.3">
      <c r="A669" s="234" t="s">
        <v>1712</v>
      </c>
      <c r="B669" s="172"/>
      <c r="C669" s="172"/>
      <c r="D669" s="172"/>
      <c r="E669" s="38" t="s">
        <v>852</v>
      </c>
      <c r="F669" s="172"/>
      <c r="G669" s="172"/>
      <c r="H669" s="172"/>
      <c r="I669" s="38" t="s">
        <v>852</v>
      </c>
      <c r="J669" s="172"/>
      <c r="K669" s="172"/>
      <c r="L669" s="172"/>
      <c r="M669" s="38" t="s">
        <v>852</v>
      </c>
      <c r="N669" s="172"/>
      <c r="O669" s="172"/>
      <c r="P669" s="172"/>
      <c r="Q669" s="38" t="s">
        <v>852</v>
      </c>
      <c r="R669" s="38" t="s">
        <v>852</v>
      </c>
    </row>
    <row r="670" spans="1:18" ht="15.75" customHeight="1" x14ac:dyDescent="0.3">
      <c r="A670" s="234" t="s">
        <v>1021</v>
      </c>
      <c r="B670" s="172"/>
      <c r="C670" s="172"/>
      <c r="D670" s="172"/>
      <c r="E670" s="38" t="s">
        <v>852</v>
      </c>
      <c r="F670" s="172"/>
      <c r="G670" s="172"/>
      <c r="H670" s="172"/>
      <c r="I670" s="38" t="s">
        <v>852</v>
      </c>
      <c r="J670" s="172"/>
      <c r="K670" s="172"/>
      <c r="L670" s="172"/>
      <c r="M670" s="38" t="s">
        <v>852</v>
      </c>
      <c r="N670" s="172"/>
      <c r="O670" s="172"/>
      <c r="P670" s="172"/>
      <c r="Q670" s="38" t="s">
        <v>852</v>
      </c>
      <c r="R670" s="38" t="s">
        <v>852</v>
      </c>
    </row>
    <row r="671" spans="1:18" ht="15.75" customHeight="1" x14ac:dyDescent="0.3">
      <c r="A671" s="266" t="s">
        <v>447</v>
      </c>
      <c r="B671" s="172">
        <v>0</v>
      </c>
      <c r="C671" s="172">
        <v>0</v>
      </c>
      <c r="D671" s="172">
        <v>0</v>
      </c>
      <c r="E671" s="38">
        <f>SUM(B671:D671)</f>
        <v>0</v>
      </c>
      <c r="F671" s="172">
        <v>0</v>
      </c>
      <c r="G671" s="172">
        <v>0</v>
      </c>
      <c r="H671" s="172">
        <v>0</v>
      </c>
      <c r="I671" s="38">
        <f>SUM(F671:H671)</f>
        <v>0</v>
      </c>
      <c r="J671" s="172">
        <v>0</v>
      </c>
      <c r="K671" s="172">
        <v>0</v>
      </c>
      <c r="L671" s="172">
        <v>0</v>
      </c>
      <c r="M671" s="38">
        <f>SUM(J671:L671)</f>
        <v>0</v>
      </c>
      <c r="N671" s="172">
        <v>1000</v>
      </c>
      <c r="O671" s="172">
        <v>0</v>
      </c>
      <c r="P671" s="172">
        <v>4</v>
      </c>
      <c r="Q671" s="38">
        <f>SUM(N671:P671)</f>
        <v>1004</v>
      </c>
      <c r="R671" s="38">
        <f>+E671+I671+M671+Q671</f>
        <v>1004</v>
      </c>
    </row>
    <row r="672" spans="1:18" ht="15.75" customHeight="1" x14ac:dyDescent="0.3">
      <c r="A672" s="266" t="s">
        <v>2392</v>
      </c>
      <c r="B672" s="172">
        <v>0</v>
      </c>
      <c r="C672" s="172">
        <v>0</v>
      </c>
      <c r="D672" s="172">
        <v>0</v>
      </c>
      <c r="E672" s="38">
        <f>SUM(B672:D672)</f>
        <v>0</v>
      </c>
      <c r="F672" s="172">
        <v>0</v>
      </c>
      <c r="G672" s="172">
        <v>0</v>
      </c>
      <c r="H672" s="172">
        <v>0</v>
      </c>
      <c r="I672" s="38">
        <f>SUM(F672:H672)</f>
        <v>0</v>
      </c>
      <c r="J672" s="172">
        <v>0</v>
      </c>
      <c r="K672" s="172">
        <v>0</v>
      </c>
      <c r="L672" s="172">
        <v>0</v>
      </c>
      <c r="M672" s="38">
        <f>SUM(J672:L672)</f>
        <v>0</v>
      </c>
      <c r="N672" s="172">
        <v>0</v>
      </c>
      <c r="O672" s="172">
        <v>0</v>
      </c>
      <c r="P672" s="172">
        <v>0</v>
      </c>
      <c r="Q672" s="38">
        <f>SUM(N672:P672)</f>
        <v>0</v>
      </c>
      <c r="R672" s="38">
        <f>+E672+I672+M672+Q672</f>
        <v>0</v>
      </c>
    </row>
    <row r="673" spans="1:18" ht="15.75" customHeight="1" x14ac:dyDescent="0.3">
      <c r="A673" s="234" t="s">
        <v>557</v>
      </c>
      <c r="B673" s="172"/>
      <c r="C673" s="172"/>
      <c r="D673" s="172"/>
      <c r="E673" s="38" t="s">
        <v>852</v>
      </c>
      <c r="F673" s="172"/>
      <c r="G673" s="172"/>
      <c r="H673" s="172"/>
      <c r="I673" s="38" t="s">
        <v>852</v>
      </c>
      <c r="J673" s="172"/>
      <c r="K673" s="172"/>
      <c r="L673" s="172"/>
      <c r="M673" s="38" t="s">
        <v>852</v>
      </c>
      <c r="N673" s="172"/>
      <c r="O673" s="172"/>
      <c r="P673" s="172"/>
      <c r="Q673" s="38" t="s">
        <v>852</v>
      </c>
      <c r="R673" s="38" t="s">
        <v>852</v>
      </c>
    </row>
    <row r="674" spans="1:18" ht="15.75" customHeight="1" x14ac:dyDescent="0.3">
      <c r="A674" s="539" t="s">
        <v>2589</v>
      </c>
      <c r="B674" s="172">
        <v>0</v>
      </c>
      <c r="C674" s="172">
        <v>0</v>
      </c>
      <c r="D674" s="172">
        <v>0</v>
      </c>
      <c r="E674" s="38">
        <f>SUM(B674:D674)</f>
        <v>0</v>
      </c>
      <c r="F674" s="172">
        <v>0</v>
      </c>
      <c r="G674" s="172">
        <v>0</v>
      </c>
      <c r="H674" s="172">
        <v>0</v>
      </c>
      <c r="I674" s="38">
        <f>SUM(F674:H674)</f>
        <v>0</v>
      </c>
      <c r="J674" s="172">
        <v>0</v>
      </c>
      <c r="K674" s="172">
        <v>0</v>
      </c>
      <c r="L674" s="172">
        <v>0</v>
      </c>
      <c r="M674" s="38">
        <f>SUM(J674:L674)</f>
        <v>0</v>
      </c>
      <c r="N674" s="172">
        <v>0</v>
      </c>
      <c r="O674" s="172">
        <v>0</v>
      </c>
      <c r="P674" s="172">
        <v>0</v>
      </c>
      <c r="Q674" s="38">
        <f>SUM(N674:P674)</f>
        <v>0</v>
      </c>
      <c r="R674" s="38">
        <f>+E674+I674+M674+Q674</f>
        <v>0</v>
      </c>
    </row>
    <row r="675" spans="1:18" ht="15.75" customHeight="1" x14ac:dyDescent="0.3">
      <c r="A675" s="539" t="s">
        <v>2590</v>
      </c>
      <c r="B675" s="172">
        <v>0</v>
      </c>
      <c r="C675" s="172">
        <v>0</v>
      </c>
      <c r="D675" s="172">
        <v>0</v>
      </c>
      <c r="E675" s="38">
        <f>SUM(B675:D675)</f>
        <v>0</v>
      </c>
      <c r="F675" s="172">
        <v>0</v>
      </c>
      <c r="G675" s="172">
        <v>0</v>
      </c>
      <c r="H675" s="172">
        <v>0</v>
      </c>
      <c r="I675" s="38">
        <f>SUM(F675:H675)</f>
        <v>0</v>
      </c>
      <c r="J675" s="172">
        <v>0</v>
      </c>
      <c r="K675" s="172">
        <v>0</v>
      </c>
      <c r="L675" s="172">
        <v>0</v>
      </c>
      <c r="M675" s="38">
        <f>SUM(J675:L675)</f>
        <v>0</v>
      </c>
      <c r="N675" s="172">
        <v>0</v>
      </c>
      <c r="O675" s="172">
        <v>0</v>
      </c>
      <c r="P675" s="172">
        <v>0</v>
      </c>
      <c r="Q675" s="38">
        <f>SUM(N675:P675)</f>
        <v>0</v>
      </c>
      <c r="R675" s="38">
        <f>+E675+I675+M675+Q675</f>
        <v>0</v>
      </c>
    </row>
    <row r="676" spans="1:18" ht="15.75" customHeight="1" x14ac:dyDescent="0.3">
      <c r="A676" s="234" t="s">
        <v>1022</v>
      </c>
      <c r="B676" s="172"/>
      <c r="C676" s="172"/>
      <c r="D676" s="172"/>
      <c r="E676" s="38" t="s">
        <v>852</v>
      </c>
      <c r="F676" s="172"/>
      <c r="G676" s="172"/>
      <c r="H676" s="172"/>
      <c r="I676" s="38" t="s">
        <v>852</v>
      </c>
      <c r="J676" s="172"/>
      <c r="K676" s="172"/>
      <c r="L676" s="172"/>
      <c r="M676" s="38" t="s">
        <v>852</v>
      </c>
      <c r="N676" s="172"/>
      <c r="O676" s="172"/>
      <c r="P676" s="172"/>
      <c r="Q676" s="38" t="s">
        <v>852</v>
      </c>
      <c r="R676" s="38" t="s">
        <v>852</v>
      </c>
    </row>
    <row r="677" spans="1:18" ht="15.75" customHeight="1" thickBot="1" x14ac:dyDescent="0.35">
      <c r="A677" s="234" t="s">
        <v>559</v>
      </c>
      <c r="B677" s="172"/>
      <c r="C677" s="172"/>
      <c r="D677" s="172"/>
      <c r="E677" s="38" t="s">
        <v>852</v>
      </c>
      <c r="F677" s="172"/>
      <c r="G677" s="172"/>
      <c r="H677" s="172"/>
      <c r="I677" s="38" t="s">
        <v>852</v>
      </c>
      <c r="J677" s="172"/>
      <c r="K677" s="172"/>
      <c r="L677" s="172"/>
      <c r="M677" s="38" t="s">
        <v>852</v>
      </c>
      <c r="N677" s="172"/>
      <c r="O677" s="172"/>
      <c r="P677" s="172"/>
      <c r="Q677" s="38" t="s">
        <v>852</v>
      </c>
      <c r="R677" s="38" t="s">
        <v>852</v>
      </c>
    </row>
    <row r="678" spans="1:18" ht="16.5" customHeight="1" thickBot="1" x14ac:dyDescent="0.35">
      <c r="A678" s="43" t="s">
        <v>1019</v>
      </c>
      <c r="B678" s="42">
        <f>SUM(B676:B677)</f>
        <v>0</v>
      </c>
      <c r="C678" s="42">
        <f>SUM(C676:C677)</f>
        <v>0</v>
      </c>
      <c r="D678" s="42">
        <f>SUM(D676:D677)</f>
        <v>0</v>
      </c>
      <c r="E678" s="39">
        <f>SUM(B678:D678)</f>
        <v>0</v>
      </c>
      <c r="F678" s="42">
        <f>SUM(F676:F677)</f>
        <v>0</v>
      </c>
      <c r="G678" s="42">
        <f>SUM(G676:G677)</f>
        <v>0</v>
      </c>
      <c r="H678" s="42">
        <f>SUM(H676:H677)</f>
        <v>0</v>
      </c>
      <c r="I678" s="39">
        <f>SUM(F678:H678)</f>
        <v>0</v>
      </c>
      <c r="J678" s="42">
        <f>SUM(J676:J677)</f>
        <v>0</v>
      </c>
      <c r="K678" s="42">
        <f>SUM(K676:K677)</f>
        <v>0</v>
      </c>
      <c r="L678" s="42">
        <f>SUM(L676:L677)</f>
        <v>0</v>
      </c>
      <c r="M678" s="39">
        <f>SUM(J678:L678)</f>
        <v>0</v>
      </c>
      <c r="N678" s="42">
        <f>SUM(N676:N677)</f>
        <v>0</v>
      </c>
      <c r="O678" s="42">
        <f>SUM(O676:O677)</f>
        <v>0</v>
      </c>
      <c r="P678" s="42">
        <f>SUM(P676:P677)</f>
        <v>0</v>
      </c>
      <c r="Q678" s="39">
        <f>SUM(N678:P678)</f>
        <v>0</v>
      </c>
      <c r="R678" s="37">
        <f>+E678+I678+M678+Q678</f>
        <v>0</v>
      </c>
    </row>
    <row r="679" spans="1:18" ht="16.5" customHeight="1" thickBot="1" x14ac:dyDescent="0.35">
      <c r="A679" s="43" t="s">
        <v>1221</v>
      </c>
      <c r="B679" s="45">
        <f>SUM(B669:B677)</f>
        <v>0</v>
      </c>
      <c r="C679" s="46">
        <f>SUM(C669:C677)</f>
        <v>0</v>
      </c>
      <c r="D679" s="58">
        <f>SUM(D669:D677)</f>
        <v>0</v>
      </c>
      <c r="E679" s="39">
        <f>SUM(B679:D679)</f>
        <v>0</v>
      </c>
      <c r="F679" s="46">
        <f>SUM(F669:F677)</f>
        <v>0</v>
      </c>
      <c r="G679" s="46">
        <f>SUM(G669:G677)</f>
        <v>0</v>
      </c>
      <c r="H679" s="46">
        <f>SUM(H669:H677)</f>
        <v>0</v>
      </c>
      <c r="I679" s="39">
        <f>SUM(F679:H679)</f>
        <v>0</v>
      </c>
      <c r="J679" s="46">
        <f>SUM(J669:J677)</f>
        <v>0</v>
      </c>
      <c r="K679" s="46">
        <f>SUM(K669:K677)</f>
        <v>0</v>
      </c>
      <c r="L679" s="46">
        <f>SUM(L669:L677)</f>
        <v>0</v>
      </c>
      <c r="M679" s="39">
        <f>SUM(J679:L679)</f>
        <v>0</v>
      </c>
      <c r="N679" s="46">
        <f>SUM(N669:N677)</f>
        <v>1000</v>
      </c>
      <c r="O679" s="46">
        <f>SUM(O669:O677)</f>
        <v>0</v>
      </c>
      <c r="P679" s="46">
        <f>SUM(P669:P677)</f>
        <v>4</v>
      </c>
      <c r="Q679" s="39">
        <f>SUM(N679:P679)</f>
        <v>1004</v>
      </c>
      <c r="R679" s="37">
        <f>+E679+I679+M679+Q679</f>
        <v>1004</v>
      </c>
    </row>
    <row r="680" spans="1:18" ht="16.5" customHeight="1" thickBot="1" x14ac:dyDescent="0.35">
      <c r="A680" s="43" t="s">
        <v>1222</v>
      </c>
      <c r="B680" s="47">
        <f>+B656+B661+B668+B679</f>
        <v>2699</v>
      </c>
      <c r="C680" s="42">
        <f>+C656+C661+C668+C679</f>
        <v>3156</v>
      </c>
      <c r="D680" s="42">
        <f>+D656+D661+D668+D679</f>
        <v>1101</v>
      </c>
      <c r="E680" s="37">
        <f>SUM(B680:D680)</f>
        <v>6956</v>
      </c>
      <c r="F680" s="42">
        <f>+F656+F661+F668+F679</f>
        <v>1508</v>
      </c>
      <c r="G680" s="42">
        <f>+G656+G661+G668+G679</f>
        <v>1722</v>
      </c>
      <c r="H680" s="42">
        <f>+H656+H661+H668+H679</f>
        <v>1583</v>
      </c>
      <c r="I680" s="37">
        <f>SUM(F680:H680)</f>
        <v>4813</v>
      </c>
      <c r="J680" s="42">
        <f>+J656+J661+J668+J679</f>
        <v>1315</v>
      </c>
      <c r="K680" s="42">
        <f>+K656+K661+K668+K679</f>
        <v>1653</v>
      </c>
      <c r="L680" s="42">
        <f>+L656+L661+L668+L679</f>
        <v>3941</v>
      </c>
      <c r="M680" s="37">
        <f>SUM(J680:L680)</f>
        <v>6909</v>
      </c>
      <c r="N680" s="42">
        <f>+N656+N661+N668+N679</f>
        <v>3316</v>
      </c>
      <c r="O680" s="42">
        <f>+O656+O661+O668+O679</f>
        <v>813</v>
      </c>
      <c r="P680" s="42">
        <f>+P656+P661+P668+P679</f>
        <v>4256</v>
      </c>
      <c r="Q680" s="37">
        <f>SUM(N680:P680)</f>
        <v>8385</v>
      </c>
      <c r="R680" s="40">
        <f>+E680+I680+M680+Q680</f>
        <v>27063</v>
      </c>
    </row>
    <row r="681" spans="1:18" ht="16.5" customHeight="1" thickBot="1" x14ac:dyDescent="0.35">
      <c r="A681" s="244" t="s">
        <v>853</v>
      </c>
      <c r="B681" s="238">
        <v>11</v>
      </c>
      <c r="C681" s="238">
        <v>13</v>
      </c>
      <c r="D681" s="238">
        <v>17</v>
      </c>
      <c r="E681" s="38">
        <f>SUM(B681:D681)</f>
        <v>41</v>
      </c>
      <c r="F681" s="238">
        <v>21</v>
      </c>
      <c r="G681" s="238">
        <v>23</v>
      </c>
      <c r="H681" s="238">
        <v>25</v>
      </c>
      <c r="I681" s="38">
        <f>SUM(F681:H681)</f>
        <v>69</v>
      </c>
      <c r="J681" s="238">
        <v>25</v>
      </c>
      <c r="K681" s="238">
        <v>21</v>
      </c>
      <c r="L681" s="238">
        <v>19</v>
      </c>
      <c r="M681" s="38">
        <f>SUM(J681:L681)</f>
        <v>65</v>
      </c>
      <c r="N681" s="238">
        <v>17</v>
      </c>
      <c r="O681" s="238">
        <v>13</v>
      </c>
      <c r="P681" s="238">
        <v>11</v>
      </c>
      <c r="Q681" s="38">
        <f>SUM(N681:P681)</f>
        <v>41</v>
      </c>
      <c r="R681" s="38">
        <f>+E681+I681+M681+Q681</f>
        <v>216</v>
      </c>
    </row>
    <row r="682" spans="1:18" ht="16.5" customHeight="1" thickBot="1" x14ac:dyDescent="0.35">
      <c r="A682" s="22"/>
      <c r="B682" s="242"/>
      <c r="C682" s="242"/>
      <c r="D682" s="242"/>
      <c r="E682" s="37" t="s">
        <v>852</v>
      </c>
      <c r="F682" s="242"/>
      <c r="G682" s="242"/>
      <c r="H682" s="242"/>
      <c r="I682" s="37" t="s">
        <v>852</v>
      </c>
      <c r="J682" s="242"/>
      <c r="K682" s="242"/>
      <c r="L682" s="242"/>
      <c r="M682" s="37" t="s">
        <v>852</v>
      </c>
      <c r="N682" s="242"/>
      <c r="O682" s="242"/>
      <c r="P682" s="242"/>
      <c r="Q682" s="37" t="s">
        <v>852</v>
      </c>
      <c r="R682" s="37" t="s">
        <v>852</v>
      </c>
    </row>
    <row r="683" spans="1:18" ht="15.75" customHeight="1" x14ac:dyDescent="0.3">
      <c r="A683" s="234" t="s">
        <v>2011</v>
      </c>
      <c r="B683" s="172">
        <f>SUM(B680:B681)</f>
        <v>2710</v>
      </c>
      <c r="C683" s="172">
        <f>SUM(C680:C681)</f>
        <v>3169</v>
      </c>
      <c r="D683" s="172">
        <f>SUM(D680:D681)</f>
        <v>1118</v>
      </c>
      <c r="E683" s="39">
        <f>SUM(B683:D683)</f>
        <v>6997</v>
      </c>
      <c r="F683" s="172">
        <f>SUM(F680:F681)</f>
        <v>1529</v>
      </c>
      <c r="G683" s="172">
        <f>SUM(G680:G681)</f>
        <v>1745</v>
      </c>
      <c r="H683" s="172">
        <f>SUM(H680:H681)</f>
        <v>1608</v>
      </c>
      <c r="I683" s="39">
        <f>SUM(F683:H683)</f>
        <v>4882</v>
      </c>
      <c r="J683" s="172">
        <f>SUM(J680:J681)</f>
        <v>1340</v>
      </c>
      <c r="K683" s="172">
        <f>SUM(K680:K681)</f>
        <v>1674</v>
      </c>
      <c r="L683" s="172">
        <f>SUM(L680:L681)</f>
        <v>3960</v>
      </c>
      <c r="M683" s="39">
        <f>SUM(J683:L683)</f>
        <v>6974</v>
      </c>
      <c r="N683" s="172">
        <f>SUM(N680:N681)</f>
        <v>3333</v>
      </c>
      <c r="O683" s="172">
        <f>SUM(O680:O681)</f>
        <v>826</v>
      </c>
      <c r="P683" s="172">
        <f>SUM(P680:P681)</f>
        <v>4267</v>
      </c>
      <c r="Q683" s="39">
        <f>SUM(N683:P683)</f>
        <v>8426</v>
      </c>
      <c r="R683" s="39">
        <f>+E683+I683+M683+Q683</f>
        <v>27279</v>
      </c>
    </row>
    <row r="684" spans="1:18" ht="15.75" customHeight="1" x14ac:dyDescent="0.3">
      <c r="A684" s="234" t="s">
        <v>1897</v>
      </c>
      <c r="B684" s="172">
        <f>(B683/31)/1.983</f>
        <v>44.084394774941842</v>
      </c>
      <c r="C684" s="172">
        <f>(C683/28)/1.983</f>
        <v>57.074418269577116</v>
      </c>
      <c r="D684" s="172">
        <f>(D683/31)/1.983</f>
        <v>18.186846257706634</v>
      </c>
      <c r="E684" s="38" t="s">
        <v>852</v>
      </c>
      <c r="F684" s="172">
        <f>(F683/30)/1.983</f>
        <v>25.70179862161708</v>
      </c>
      <c r="G684" s="172">
        <f>(G683/31)/1.983</f>
        <v>28.386446082019745</v>
      </c>
      <c r="H684" s="172">
        <f>(H683/30)/1.983</f>
        <v>27.029752899647001</v>
      </c>
      <c r="I684" s="38" t="s">
        <v>852</v>
      </c>
      <c r="J684" s="172">
        <f>(J683/31)/1.983</f>
        <v>21.798187822295965</v>
      </c>
      <c r="K684" s="172">
        <f>(K683/31)/1.983</f>
        <v>27.231467473524962</v>
      </c>
      <c r="L684" s="172">
        <f>(L683/30)/1.983</f>
        <v>66.565809379727682</v>
      </c>
      <c r="M684" s="38" t="s">
        <v>852</v>
      </c>
      <c r="N684" s="172">
        <f>(N683/31)/1.983</f>
        <v>54.218925381874968</v>
      </c>
      <c r="O684" s="172">
        <f>(O683/30)/1.983</f>
        <v>13.884686501933098</v>
      </c>
      <c r="P684" s="172">
        <f>(P683/31)/1.983</f>
        <v>69.41258764010216</v>
      </c>
      <c r="Q684" s="38" t="s">
        <v>852</v>
      </c>
      <c r="R684" s="38" t="s">
        <v>852</v>
      </c>
    </row>
    <row r="685" spans="1:18" ht="15.75" customHeight="1" x14ac:dyDescent="0.3">
      <c r="A685" s="234" t="s">
        <v>2050</v>
      </c>
      <c r="B685" s="172">
        <f>B683</f>
        <v>2710</v>
      </c>
      <c r="C685" s="172">
        <f>C683</f>
        <v>3169</v>
      </c>
      <c r="D685" s="172">
        <f>D683</f>
        <v>1118</v>
      </c>
      <c r="E685" s="38">
        <f>SUM(B685:D685)</f>
        <v>6997</v>
      </c>
      <c r="F685" s="172">
        <f>F683</f>
        <v>1529</v>
      </c>
      <c r="G685" s="172">
        <f>G683</f>
        <v>1745</v>
      </c>
      <c r="H685" s="172">
        <f>H683</f>
        <v>1608</v>
      </c>
      <c r="I685" s="38">
        <f>SUM(F685:H685)</f>
        <v>4882</v>
      </c>
      <c r="J685" s="172">
        <f>J683</f>
        <v>1340</v>
      </c>
      <c r="K685" s="172">
        <f>K683</f>
        <v>1674</v>
      </c>
      <c r="L685" s="172">
        <f>L683</f>
        <v>3960</v>
      </c>
      <c r="M685" s="38">
        <f>SUM(J685:L685)</f>
        <v>6974</v>
      </c>
      <c r="N685" s="172">
        <f>N683</f>
        <v>3333</v>
      </c>
      <c r="O685" s="172">
        <f>O683</f>
        <v>826</v>
      </c>
      <c r="P685" s="172">
        <f>P683</f>
        <v>4267</v>
      </c>
      <c r="Q685" s="38">
        <f>SUM(N685:P685)</f>
        <v>8426</v>
      </c>
      <c r="R685" s="38">
        <f>+E685+I685+M685+Q685</f>
        <v>27279</v>
      </c>
    </row>
    <row r="686" spans="1:18" ht="16.5" customHeight="1" thickBot="1" x14ac:dyDescent="0.35">
      <c r="A686" s="237" t="s">
        <v>2051</v>
      </c>
      <c r="B686" s="238">
        <f>(B685/31)/1.983</f>
        <v>44.084394774941842</v>
      </c>
      <c r="C686" s="238">
        <f>(C685/28)/1.983</f>
        <v>57.074418269577116</v>
      </c>
      <c r="D686" s="238">
        <f>(D685/31)/1.983</f>
        <v>18.186846257706634</v>
      </c>
      <c r="E686" s="40" t="s">
        <v>852</v>
      </c>
      <c r="F686" s="238">
        <f>(F685/30)/1.983</f>
        <v>25.70179862161708</v>
      </c>
      <c r="G686" s="238">
        <f>(G685/31)/1.983</f>
        <v>28.386446082019745</v>
      </c>
      <c r="H686" s="238">
        <f>(H685/30)/1.983</f>
        <v>27.029752899647001</v>
      </c>
      <c r="I686" s="40" t="s">
        <v>852</v>
      </c>
      <c r="J686" s="238">
        <f>(J685/31)/1.983</f>
        <v>21.798187822295965</v>
      </c>
      <c r="K686" s="238">
        <f>(K685/31)/1.983</f>
        <v>27.231467473524962</v>
      </c>
      <c r="L686" s="238">
        <f>(L685/30)/1.983</f>
        <v>66.565809379727682</v>
      </c>
      <c r="M686" s="40" t="s">
        <v>852</v>
      </c>
      <c r="N686" s="238">
        <f>(N685/31)/1.983</f>
        <v>54.218925381874968</v>
      </c>
      <c r="O686" s="238">
        <f>(O685/30)/1.983</f>
        <v>13.884686501933098</v>
      </c>
      <c r="P686" s="238">
        <f>(P685/31)/1.983</f>
        <v>69.41258764010216</v>
      </c>
      <c r="Q686" s="40" t="s">
        <v>852</v>
      </c>
      <c r="R686" s="40" t="s">
        <v>852</v>
      </c>
    </row>
    <row r="687" spans="1:18" ht="15.75" customHeight="1" x14ac:dyDescent="0.3">
      <c r="A687" s="18"/>
      <c r="B687" s="172"/>
      <c r="C687" s="172"/>
      <c r="D687" s="172"/>
      <c r="E687" s="17"/>
      <c r="F687" s="172"/>
      <c r="G687" s="172"/>
      <c r="H687" s="172"/>
      <c r="I687" s="17"/>
      <c r="J687" s="172"/>
      <c r="K687" s="172"/>
      <c r="L687" s="172"/>
      <c r="M687" s="17"/>
      <c r="N687" s="172"/>
      <c r="O687" s="172"/>
      <c r="P687" s="172"/>
      <c r="Q687" s="17"/>
      <c r="R687" s="17"/>
    </row>
    <row r="688" spans="1:18" ht="15.75" customHeight="1" x14ac:dyDescent="0.3">
      <c r="A688" s="18"/>
      <c r="B688" s="172"/>
      <c r="C688" s="172"/>
      <c r="D688" s="172"/>
      <c r="E688" s="172"/>
      <c r="F688" s="172"/>
      <c r="G688" s="172"/>
      <c r="H688" s="172"/>
      <c r="I688" s="172"/>
      <c r="J688" s="172"/>
      <c r="K688" s="172"/>
      <c r="L688" s="172"/>
      <c r="M688" s="172"/>
      <c r="N688" s="172"/>
      <c r="O688" s="172"/>
      <c r="P688" s="172"/>
      <c r="Q688" s="17" t="str">
        <f>+Q1</f>
        <v>PRINTED:</v>
      </c>
      <c r="R688" s="76">
        <f ca="1">+R1</f>
        <v>44881.72963425926</v>
      </c>
    </row>
    <row r="689" spans="1:18" ht="15.75" customHeight="1" x14ac:dyDescent="0.3">
      <c r="A689" s="778" t="s">
        <v>43</v>
      </c>
      <c r="B689" s="778"/>
      <c r="C689" s="778"/>
      <c r="D689" s="778"/>
      <c r="E689" s="778"/>
      <c r="F689" s="778"/>
      <c r="G689" s="778"/>
      <c r="H689" s="778"/>
      <c r="I689" s="778"/>
      <c r="J689" s="778"/>
      <c r="K689" s="778"/>
      <c r="L689" s="778"/>
      <c r="M689" s="778"/>
      <c r="N689" s="778"/>
      <c r="O689" s="778"/>
      <c r="P689" s="778"/>
      <c r="Q689" s="778"/>
      <c r="R689" s="778"/>
    </row>
    <row r="690" spans="1:18" ht="15.75" customHeight="1" x14ac:dyDescent="0.3">
      <c r="A690" s="778" t="s">
        <v>1988</v>
      </c>
      <c r="B690" s="778"/>
      <c r="C690" s="778"/>
      <c r="D690" s="778"/>
      <c r="E690" s="778"/>
      <c r="F690" s="778"/>
      <c r="G690" s="778"/>
      <c r="H690" s="778"/>
      <c r="I690" s="778"/>
      <c r="J690" s="778"/>
      <c r="K690" s="778"/>
      <c r="L690" s="778"/>
      <c r="M690" s="778"/>
      <c r="N690" s="778"/>
      <c r="O690" s="778"/>
      <c r="P690" s="778"/>
      <c r="Q690" s="778"/>
      <c r="R690" s="778"/>
    </row>
    <row r="691" spans="1:18" ht="15.75" customHeight="1" x14ac:dyDescent="0.3">
      <c r="A691" s="778" t="s">
        <v>544</v>
      </c>
      <c r="B691" s="778"/>
      <c r="C691" s="778"/>
      <c r="D691" s="778"/>
      <c r="E691" s="778"/>
      <c r="F691" s="778"/>
      <c r="G691" s="778"/>
      <c r="H691" s="778"/>
      <c r="I691" s="778"/>
      <c r="J691" s="778"/>
      <c r="K691" s="778"/>
      <c r="L691" s="778"/>
      <c r="M691" s="778"/>
      <c r="N691" s="778"/>
      <c r="O691" s="778"/>
      <c r="P691" s="778"/>
      <c r="Q691" s="778"/>
      <c r="R691" s="778"/>
    </row>
    <row r="692" spans="1:18" ht="15.75" customHeight="1" x14ac:dyDescent="0.3">
      <c r="A692" s="778" t="str">
        <f>+A5</f>
        <v>Calendar Year 2011</v>
      </c>
      <c r="B692" s="778"/>
      <c r="C692" s="778"/>
      <c r="D692" s="778"/>
      <c r="E692" s="778"/>
      <c r="F692" s="778"/>
      <c r="G692" s="778"/>
      <c r="H692" s="778"/>
      <c r="I692" s="778"/>
      <c r="J692" s="778"/>
      <c r="K692" s="778"/>
      <c r="L692" s="778"/>
      <c r="M692" s="778"/>
      <c r="N692" s="778"/>
      <c r="O692" s="778"/>
      <c r="P692" s="778"/>
      <c r="Q692" s="778"/>
      <c r="R692" s="778"/>
    </row>
    <row r="693" spans="1:18" ht="15.75" customHeight="1" x14ac:dyDescent="0.3">
      <c r="A693" s="172"/>
      <c r="B693" s="172"/>
      <c r="C693" s="172"/>
      <c r="D693" s="1"/>
      <c r="E693" s="1"/>
      <c r="F693" s="1"/>
      <c r="G693" s="452"/>
      <c r="H693" s="1"/>
      <c r="I693" s="1"/>
      <c r="J693" s="452"/>
      <c r="K693" s="452"/>
      <c r="L693" s="452"/>
      <c r="M693" s="452"/>
      <c r="N693" s="172"/>
      <c r="O693" s="452"/>
      <c r="P693" s="452"/>
      <c r="Q693" s="452"/>
      <c r="R693" s="452"/>
    </row>
    <row r="694" spans="1:18" ht="15.75" customHeight="1" x14ac:dyDescent="0.3">
      <c r="A694" s="778" t="str">
        <f>+A9</f>
        <v>Revised:  1/23/11</v>
      </c>
      <c r="B694" s="778"/>
      <c r="C694" s="778"/>
      <c r="D694" s="778"/>
      <c r="E694" s="778"/>
      <c r="F694" s="778"/>
      <c r="G694" s="778"/>
      <c r="H694" s="778"/>
      <c r="I694" s="778"/>
      <c r="J694" s="778"/>
      <c r="K694" s="778"/>
      <c r="L694" s="778"/>
      <c r="M694" s="778"/>
      <c r="N694" s="778"/>
      <c r="O694" s="778"/>
      <c r="P694" s="778"/>
      <c r="Q694" s="778"/>
      <c r="R694" s="778"/>
    </row>
    <row r="695" spans="1:18" ht="15.75" customHeight="1" x14ac:dyDescent="0.3">
      <c r="A695" s="448"/>
      <c r="B695" s="448"/>
      <c r="C695" s="448"/>
      <c r="D695" s="448"/>
      <c r="E695" s="448"/>
      <c r="F695" s="448"/>
      <c r="G695" s="448"/>
      <c r="H695" s="448"/>
      <c r="I695" s="448"/>
      <c r="J695" s="448"/>
      <c r="K695" s="448"/>
      <c r="L695" s="448"/>
      <c r="M695" s="448"/>
      <c r="N695" s="448"/>
      <c r="O695" s="448"/>
      <c r="P695" s="448"/>
      <c r="Q695" s="448"/>
      <c r="R695" s="448"/>
    </row>
    <row r="696" spans="1:18" ht="15.75" customHeight="1" x14ac:dyDescent="0.3">
      <c r="A696" s="448"/>
      <c r="B696" s="448"/>
      <c r="C696" s="448"/>
      <c r="D696" s="448"/>
      <c r="E696" s="448"/>
      <c r="F696" s="448"/>
      <c r="G696" s="448"/>
      <c r="H696" s="448"/>
      <c r="I696" s="448"/>
      <c r="J696" s="448"/>
      <c r="K696" s="448"/>
      <c r="L696" s="448"/>
      <c r="M696" s="448"/>
      <c r="N696" s="448"/>
      <c r="O696" s="448"/>
      <c r="P696" s="448"/>
      <c r="Q696" s="448"/>
      <c r="R696" s="448"/>
    </row>
    <row r="697" spans="1:18" ht="15.75" customHeight="1" thickBot="1" x14ac:dyDescent="0.35">
      <c r="A697" s="18"/>
      <c r="B697" s="172"/>
      <c r="C697" s="172"/>
      <c r="D697" s="172"/>
      <c r="E697" s="172"/>
      <c r="F697" s="172"/>
      <c r="G697" s="172"/>
      <c r="H697" s="172"/>
      <c r="I697" s="172"/>
      <c r="J697" s="172"/>
      <c r="K697" s="172"/>
      <c r="L697" s="172"/>
      <c r="M697" s="172"/>
      <c r="N697" s="172"/>
      <c r="O697" s="172"/>
      <c r="P697" s="172"/>
      <c r="Q697" s="172"/>
      <c r="R697" s="17"/>
    </row>
    <row r="698" spans="1:18" ht="16.5" customHeight="1" thickBot="1" x14ac:dyDescent="0.35">
      <c r="A698" s="278" t="s">
        <v>1661</v>
      </c>
      <c r="B698" s="4" t="s">
        <v>2090</v>
      </c>
      <c r="C698" s="5" t="s">
        <v>2091</v>
      </c>
      <c r="D698" s="5" t="s">
        <v>2234</v>
      </c>
      <c r="E698" s="33" t="s">
        <v>1594</v>
      </c>
      <c r="F698" s="5" t="s">
        <v>2235</v>
      </c>
      <c r="G698" s="5" t="s">
        <v>2236</v>
      </c>
      <c r="H698" s="5" t="s">
        <v>2237</v>
      </c>
      <c r="I698" s="35" t="s">
        <v>1595</v>
      </c>
      <c r="J698" s="5" t="s">
        <v>1504</v>
      </c>
      <c r="K698" s="5" t="s">
        <v>1505</v>
      </c>
      <c r="L698" s="5" t="s">
        <v>1506</v>
      </c>
      <c r="M698" s="35" t="s">
        <v>1596</v>
      </c>
      <c r="N698" s="5" t="s">
        <v>1507</v>
      </c>
      <c r="O698" s="5" t="s">
        <v>1508</v>
      </c>
      <c r="P698" s="5" t="s">
        <v>1509</v>
      </c>
      <c r="Q698" s="35" t="s">
        <v>1597</v>
      </c>
      <c r="R698" s="60" t="s">
        <v>1510</v>
      </c>
    </row>
    <row r="699" spans="1:18" ht="16.5" customHeight="1" thickBot="1" x14ac:dyDescent="0.35">
      <c r="A699" s="22"/>
      <c r="B699" s="242"/>
      <c r="C699" s="242"/>
      <c r="D699" s="242"/>
      <c r="E699" s="233"/>
      <c r="F699" s="242"/>
      <c r="G699" s="242"/>
      <c r="H699" s="242"/>
      <c r="I699" s="282"/>
      <c r="J699" s="242"/>
      <c r="K699" s="242"/>
      <c r="L699" s="242"/>
      <c r="M699" s="282"/>
      <c r="N699" s="242"/>
      <c r="O699" s="242"/>
      <c r="P699" s="242"/>
      <c r="Q699" s="283"/>
      <c r="R699" s="61"/>
    </row>
    <row r="700" spans="1:18" ht="15.75" customHeight="1" x14ac:dyDescent="0.3">
      <c r="A700" s="234" t="s">
        <v>2417</v>
      </c>
      <c r="B700" s="172" t="s">
        <v>852</v>
      </c>
      <c r="C700" s="172" t="s">
        <v>852</v>
      </c>
      <c r="D700" s="172" t="s">
        <v>852</v>
      </c>
      <c r="E700" s="284"/>
      <c r="F700" s="172" t="s">
        <v>852</v>
      </c>
      <c r="G700" s="172" t="s">
        <v>852</v>
      </c>
      <c r="H700" s="172" t="s">
        <v>852</v>
      </c>
      <c r="I700" s="284"/>
      <c r="J700" s="172" t="s">
        <v>852</v>
      </c>
      <c r="K700" s="172" t="s">
        <v>852</v>
      </c>
      <c r="L700" s="172" t="s">
        <v>852</v>
      </c>
      <c r="M700" s="284"/>
      <c r="N700" s="172" t="s">
        <v>852</v>
      </c>
      <c r="O700" s="172" t="s">
        <v>852</v>
      </c>
      <c r="P700" s="172" t="s">
        <v>852</v>
      </c>
      <c r="Q700" s="285"/>
      <c r="R700" s="62" t="s">
        <v>852</v>
      </c>
    </row>
    <row r="701" spans="1:18" ht="15.75" customHeight="1" x14ac:dyDescent="0.3">
      <c r="A701" s="545" t="s">
        <v>2160</v>
      </c>
      <c r="B701" s="172">
        <f>+SUM(B72:B80)+SUM(B136:B159)+SUM(B266:B277)+SUM(B386:B388)+SUM(B426:B429)+SUM(B467:B475)+SUM(B529:B531)+SUM(B564:B566)+SUM(B615:B616)+SUM(B649:B651)</f>
        <v>33646</v>
      </c>
      <c r="C701" s="172">
        <f>+SUM(C72:C80)+SUM(C136:C159)+SUM(C266:C277)+SUM(C386:C388)+SUM(C426:C429)+SUM(C467:C475)+SUM(C529:C531)+SUM(C564:C566)+SUM(C615:C616)+SUM(C649:C651)</f>
        <v>27547</v>
      </c>
      <c r="D701" s="172">
        <f>+SUM(D72:D80)+SUM(D136:D159)+SUM(D266:D277)+SUM(D386:D388)+SUM(D426:D429)+SUM(D467:D475)+SUM(D529:D531)+SUM(D564:D566)+SUM(D615:D616)+SUM(D649:D651)</f>
        <v>29650</v>
      </c>
      <c r="E701" s="38">
        <f t="shared" ref="E701:E707" si="95">SUM(B701:D701)</f>
        <v>90843</v>
      </c>
      <c r="F701" s="172">
        <f>+SUM(F72:F80)+SUM(F136:F159)+SUM(F266:F277)+SUM(F386:F388)+SUM(F426:F429)+SUM(F467:F475)+SUM(F529:F531)+SUM(F564:F566)+SUM(F615:F616)+SUM(F649:F651)</f>
        <v>37523</v>
      </c>
      <c r="G701" s="172">
        <f>+SUM(G72:G80)+SUM(G136:G159)+SUM(G266:G277)+SUM(G386:G388)+SUM(G426:G429)+SUM(G467:G475)+SUM(G529:G531)+SUM(G564:G566)+SUM(G615:G616)+SUM(G649:G651)</f>
        <v>33914</v>
      </c>
      <c r="H701" s="172">
        <f>+SUM(H72:H80)+SUM(H136:H159)+SUM(H266:H277)+SUM(H386:H388)+SUM(H426:H429)+SUM(H467:H475)+SUM(H529:H531)+SUM(H564:H566)+SUM(H615:H616)+SUM(H649:H651)</f>
        <v>30714</v>
      </c>
      <c r="I701" s="38">
        <f t="shared" ref="I701:I707" si="96">SUM(F701:H701)</f>
        <v>102151</v>
      </c>
      <c r="J701" s="172">
        <f>+SUM(J72:J80)+SUM(J136:J159)+SUM(J266:J277)+SUM(J386:J388)+SUM(J426:J429)+SUM(J467:J475)+SUM(J529:J531)+SUM(J564:J566)+SUM(J615:J616)+SUM(J649:J651)</f>
        <v>45239</v>
      </c>
      <c r="K701" s="172">
        <f>+SUM(K72:K80)+SUM(K136:K159)+SUM(K266:K277)+SUM(K386:K388)+SUM(K426:K429)+SUM(K467:K475)+SUM(K529:K531)+SUM(K564:K566)+SUM(K615:K616)+SUM(K649:K651)</f>
        <v>50066</v>
      </c>
      <c r="L701" s="172">
        <f>+SUM(L72:L80)+SUM(L136:L159)+SUM(L266:L277)+SUM(L386:L388)+SUM(L426:L429)+SUM(L467:L475)+SUM(L529:L531)+SUM(L564:L566)+SUM(L615:L616)+SUM(L649:L651)</f>
        <v>45901</v>
      </c>
      <c r="M701" s="38">
        <f t="shared" ref="M701:M707" si="97">SUM(J701:L701)</f>
        <v>141206</v>
      </c>
      <c r="N701" s="172">
        <f>+SUM(N72:N80)+SUM(N136:N159)+SUM(N266:N277)+SUM(N386:N388)+SUM(N426:N429)+SUM(N467:N475)+SUM(N529:N531)+SUM(N564:N566)+SUM(N615:N616)+SUM(N649:N651)</f>
        <v>35463</v>
      </c>
      <c r="O701" s="172">
        <f>+SUM(O72:O80)+SUM(O136:O159)+SUM(O266:O277)+SUM(O386:O388)+SUM(O426:O429)+SUM(O467:O475)+SUM(O529:O531)+SUM(O564:O566)+SUM(O615:O616)+SUM(O649:O651)</f>
        <v>24491</v>
      </c>
      <c r="P701" s="172">
        <f>+SUM(P72:P80)+SUM(P136:P159)+SUM(P266:P277)+SUM(P386:P388)+SUM(P426:P429)+SUM(P467:P475)+SUM(P529:P531)+SUM(P564:P566)+SUM(P615:P616)+SUM(P649:P651)</f>
        <v>26174</v>
      </c>
      <c r="Q701" s="38">
        <f t="shared" ref="Q701:Q707" si="98">SUM(N701:P701)</f>
        <v>86128</v>
      </c>
      <c r="R701" s="38">
        <f t="shared" ref="R701:R707" si="99">+E701+I701+M701+Q701</f>
        <v>420328</v>
      </c>
    </row>
    <row r="702" spans="1:18" ht="15.75" customHeight="1" x14ac:dyDescent="0.3">
      <c r="A702" s="234" t="s">
        <v>2161</v>
      </c>
      <c r="B702" s="172">
        <f>+SUM(B81:B83)+SUM(B161:B171)+SUM(B279:B291)+SUM(B390:B392)+B430+SUM(B476:B477)+B532+B567+B617+SUM(B652:B652)</f>
        <v>499</v>
      </c>
      <c r="C702" s="172">
        <f>+SUM(C81:C83)+SUM(C161:C171)+SUM(C279:C291)+SUM(C390:C392)+C430+SUM(C476:C477)+C532+C567+C617+SUM(C652:C652)</f>
        <v>539</v>
      </c>
      <c r="D702" s="172">
        <f>+SUM(D81:D83)+SUM(D161:D171)+SUM(D279:D291)+SUM(D390:D392)+D430+SUM(D476:D477)+D532+D567+D617+SUM(D652:D652)</f>
        <v>637</v>
      </c>
      <c r="E702" s="38">
        <f t="shared" si="95"/>
        <v>1675</v>
      </c>
      <c r="F702" s="172">
        <f>+SUM(F81:F83)+SUM(F161:F171)+SUM(F279:F291)+SUM(F390:F392)+F430+SUM(F476:F477)+F532+F567+F617+SUM(F652:F652)</f>
        <v>771</v>
      </c>
      <c r="G702" s="172">
        <f>+SUM(G81:G83)+SUM(G161:G171)+SUM(G279:G291)+SUM(G390:G392)+G430+SUM(G476:G477)+G532+G567+G617+SUM(G652:G652)</f>
        <v>934</v>
      </c>
      <c r="H702" s="172">
        <f>+SUM(H81:H83)+SUM(H161:H171)+SUM(H279:H291)+SUM(H390:H392)+H430+SUM(H476:H477)+H532+H567+H617+SUM(H652:H652)</f>
        <v>1119</v>
      </c>
      <c r="I702" s="38">
        <f t="shared" si="96"/>
        <v>2824</v>
      </c>
      <c r="J702" s="172">
        <f>+SUM(J81:J83)+SUM(J161:J171)+SUM(J279:J291)+SUM(J390:J392)+J430+SUM(J476:J477)+J532+J567+J617+SUM(J652:J652)</f>
        <v>1300</v>
      </c>
      <c r="K702" s="172">
        <f>+SUM(K81:K83)+SUM(K161:K171)+SUM(K279:K291)+SUM(K390:K392)+K430+SUM(K476:K477)+K532+K567+K617+SUM(K652:K652)</f>
        <v>1317</v>
      </c>
      <c r="L702" s="172">
        <f>+SUM(L81:L83)+SUM(L161:L171)+SUM(L279:L291)+SUM(L390:L392)+L430+SUM(L476:L477)+L532+L567+L617+SUM(L652:L652)</f>
        <v>1340</v>
      </c>
      <c r="M702" s="38">
        <f t="shared" si="97"/>
        <v>3957</v>
      </c>
      <c r="N702" s="172">
        <f>+SUM(N81:N83)+SUM(N161:N171)+SUM(N279:N291)+SUM(N390:N392)+N430+SUM(N476:N477)+N532+N567+N617+SUM(N652:N652)</f>
        <v>1426</v>
      </c>
      <c r="O702" s="172">
        <f>+SUM(O81:O83)+SUM(O161:O171)+SUM(O279:O291)+SUM(O390:O392)+O430+SUM(O476:O477)+O532+O567+O617+SUM(O652:O652)</f>
        <v>832</v>
      </c>
      <c r="P702" s="172">
        <f>+SUM(P81:P83)+SUM(P161:P171)+SUM(P279:P291)+SUM(P390:P392)+P430+SUM(P476:P477)+P532+P567+P617+SUM(P652:P652)</f>
        <v>691</v>
      </c>
      <c r="Q702" s="38">
        <f t="shared" si="98"/>
        <v>2949</v>
      </c>
      <c r="R702" s="38">
        <f t="shared" si="99"/>
        <v>11405</v>
      </c>
    </row>
    <row r="703" spans="1:18" ht="15.75" customHeight="1" x14ac:dyDescent="0.3">
      <c r="A703" s="545" t="s">
        <v>2036</v>
      </c>
      <c r="B703" s="172">
        <f>+SUM(B84:B86)+SUM(B172:B175)+SUM(B292:B296)+B393+B431+SUM(B478:B479)+B533+B568+B618+SUM(B653:B654)</f>
        <v>495</v>
      </c>
      <c r="C703" s="172">
        <f>+SUM(C84:C86)+SUM(C172:C175)+SUM(C292:C296)+C393+C431+SUM(C478:C479)+C533+C568+C618+SUM(C653:C654)</f>
        <v>320</v>
      </c>
      <c r="D703" s="172">
        <f>+SUM(D84:D86)+SUM(D172:D175)+SUM(D292:D296)+D393+D431+SUM(D478:D479)+D533+D568+D618+SUM(D653:D654)</f>
        <v>1836</v>
      </c>
      <c r="E703" s="38">
        <f t="shared" si="95"/>
        <v>2651</v>
      </c>
      <c r="F703" s="172">
        <f>+SUM(F84:F86)+SUM(F172:F175)+SUM(F292:F296)+F393+F431+SUM(F478:F479)+F533+F568+F618+SUM(F653:F654)</f>
        <v>723</v>
      </c>
      <c r="G703" s="172">
        <f>+SUM(G84:G86)+SUM(G172:G175)+SUM(G292:G296)+G393+G431+SUM(G478:G479)+G533+G568+G618+SUM(G653:G654)</f>
        <v>3080</v>
      </c>
      <c r="H703" s="172">
        <f>+SUM(H84:H86)+SUM(H172:H175)+SUM(H292:H296)+H393+H431+SUM(H478:H479)+H533+H568+H618+SUM(H653:H654)</f>
        <v>2309</v>
      </c>
      <c r="I703" s="38">
        <f t="shared" si="96"/>
        <v>6112</v>
      </c>
      <c r="J703" s="172">
        <f>+SUM(J84:J86)+SUM(J172:J175)+SUM(J292:J296)+J393+J431+SUM(J478:J479)+J533+J568+J618+SUM(J653:J654)</f>
        <v>444</v>
      </c>
      <c r="K703" s="172">
        <f>+SUM(K84:K86)+SUM(K172:K175)+SUM(K292:K296)+K393+K431+SUM(K478:K479)+K533+K568+K618+SUM(K653:K654)</f>
        <v>4031</v>
      </c>
      <c r="L703" s="172">
        <f>+SUM(L84:L86)+SUM(L172:L175)+SUM(L292:L296)+L393+L431+SUM(L478:L479)+L533+L568+L618+SUM(L653:L654)</f>
        <v>5530</v>
      </c>
      <c r="M703" s="38">
        <f t="shared" si="97"/>
        <v>10005</v>
      </c>
      <c r="N703" s="172">
        <f>+SUM(N84:N86)+SUM(N172:N175)+SUM(N292:N296)+N393+N431+SUM(N478:N479)+N533+N568+N618+SUM(N653:N654)</f>
        <v>521</v>
      </c>
      <c r="O703" s="172">
        <f>+SUM(O84:O86)+SUM(O172:O175)+SUM(O292:O296)+O393+O431+SUM(O478:O479)+O533+O568+O618+SUM(O653:O654)</f>
        <v>13</v>
      </c>
      <c r="P703" s="172">
        <f>+SUM(P84:P86)+SUM(P172:P175)+SUM(P292:P296)+P393+P431+SUM(P478:P479)+P533+P568+P618+SUM(P653:P654)</f>
        <v>808</v>
      </c>
      <c r="Q703" s="38">
        <f t="shared" si="98"/>
        <v>1342</v>
      </c>
      <c r="R703" s="38">
        <f t="shared" si="99"/>
        <v>20110</v>
      </c>
    </row>
    <row r="704" spans="1:18" ht="15.75" customHeight="1" x14ac:dyDescent="0.3">
      <c r="A704" s="234" t="s">
        <v>1067</v>
      </c>
      <c r="B704" s="172">
        <f>+B243+B368+B369</f>
        <v>246</v>
      </c>
      <c r="C704" s="172">
        <f>+C243+C368+C369</f>
        <v>25</v>
      </c>
      <c r="D704" s="172">
        <f>+D243+D368+D369</f>
        <v>552</v>
      </c>
      <c r="E704" s="38">
        <f t="shared" si="95"/>
        <v>823</v>
      </c>
      <c r="F704" s="172">
        <f>+F243+F368+F369</f>
        <v>0</v>
      </c>
      <c r="G704" s="172">
        <f>+G243+G368+G369</f>
        <v>1130</v>
      </c>
      <c r="H704" s="172">
        <f>+H243+H368+H369</f>
        <v>1049</v>
      </c>
      <c r="I704" s="38">
        <f t="shared" si="96"/>
        <v>2179</v>
      </c>
      <c r="J704" s="172">
        <f>+J243+J368+J369</f>
        <v>20</v>
      </c>
      <c r="K704" s="172">
        <f>+K243+K368+K369</f>
        <v>0</v>
      </c>
      <c r="L704" s="172">
        <f>+L243+L368+L369</f>
        <v>216</v>
      </c>
      <c r="M704" s="38">
        <f t="shared" si="97"/>
        <v>236</v>
      </c>
      <c r="N704" s="172">
        <f>+N243+N368+N369</f>
        <v>142</v>
      </c>
      <c r="O704" s="172">
        <f>+O243+O368+O369</f>
        <v>126</v>
      </c>
      <c r="P704" s="172">
        <f>+P243+P368+P369</f>
        <v>0</v>
      </c>
      <c r="Q704" s="38">
        <f t="shared" si="98"/>
        <v>268</v>
      </c>
      <c r="R704" s="38">
        <f t="shared" si="99"/>
        <v>3506</v>
      </c>
    </row>
    <row r="705" spans="1:18" ht="15.75" customHeight="1" x14ac:dyDescent="0.3">
      <c r="A705" s="545" t="s">
        <v>2163</v>
      </c>
      <c r="B705" s="172">
        <f>+B244</f>
        <v>36</v>
      </c>
      <c r="C705" s="172">
        <f>+C244</f>
        <v>34</v>
      </c>
      <c r="D705" s="172">
        <f>+D244</f>
        <v>93</v>
      </c>
      <c r="E705" s="38">
        <f t="shared" si="95"/>
        <v>163</v>
      </c>
      <c r="F705" s="172">
        <f>+F244</f>
        <v>55</v>
      </c>
      <c r="G705" s="172">
        <f>+G244</f>
        <v>99</v>
      </c>
      <c r="H705" s="172">
        <f>+H244</f>
        <v>102</v>
      </c>
      <c r="I705" s="38">
        <f t="shared" si="96"/>
        <v>256</v>
      </c>
      <c r="J705" s="172">
        <f>+J244</f>
        <v>100</v>
      </c>
      <c r="K705" s="172">
        <f>+K244</f>
        <v>84</v>
      </c>
      <c r="L705" s="172">
        <f>+L244</f>
        <v>53</v>
      </c>
      <c r="M705" s="38">
        <f t="shared" si="97"/>
        <v>237</v>
      </c>
      <c r="N705" s="172">
        <f>+N244</f>
        <v>29</v>
      </c>
      <c r="O705" s="172">
        <f>+O244</f>
        <v>10</v>
      </c>
      <c r="P705" s="172">
        <f>+P244</f>
        <v>22</v>
      </c>
      <c r="Q705" s="38">
        <f t="shared" si="98"/>
        <v>61</v>
      </c>
      <c r="R705" s="38">
        <f t="shared" si="99"/>
        <v>717</v>
      </c>
    </row>
    <row r="706" spans="1:18" ht="15.75" customHeight="1" thickBot="1" x14ac:dyDescent="0.35">
      <c r="A706" s="234" t="s">
        <v>2164</v>
      </c>
      <c r="B706" s="172">
        <f>+B87+B394+B432+B480+B534+B569+B619+B655</f>
        <v>0</v>
      </c>
      <c r="C706" s="172">
        <f>+C87+C394+C432+C480+C534+C569+C619+C655</f>
        <v>0</v>
      </c>
      <c r="D706" s="172">
        <f>+D87+D394+D432+D480+D534+D569+D619+D655</f>
        <v>0</v>
      </c>
      <c r="E706" s="38">
        <f t="shared" si="95"/>
        <v>0</v>
      </c>
      <c r="F706" s="172">
        <f>+F87+F394+F432+F480+F534+F569+F619+F655</f>
        <v>0</v>
      </c>
      <c r="G706" s="172">
        <f>+G87+G394+G432+G480+G534+G569+G619+G655</f>
        <v>0</v>
      </c>
      <c r="H706" s="172">
        <f>+H87+H394+H432+H480+H534+H569+H619+H655</f>
        <v>0</v>
      </c>
      <c r="I706" s="38">
        <f t="shared" si="96"/>
        <v>0</v>
      </c>
      <c r="J706" s="172">
        <f>+J87+J394+J432+J480+J534+J569+J619+J655</f>
        <v>0</v>
      </c>
      <c r="K706" s="172">
        <f>+K87+K394+K432+K480+K534+K569+K619+K655</f>
        <v>0</v>
      </c>
      <c r="L706" s="172">
        <f>+L87+L394+L432+L480+L534+L569+L619+L655</f>
        <v>0</v>
      </c>
      <c r="M706" s="38">
        <f t="shared" si="97"/>
        <v>0</v>
      </c>
      <c r="N706" s="172">
        <f>+N87+N394+N432+N480+N534+N569+N619+N655</f>
        <v>0</v>
      </c>
      <c r="O706" s="172">
        <f>+O87+O394+O432+O480+O534+O569+O619+O655</f>
        <v>0</v>
      </c>
      <c r="P706" s="172">
        <f>+P87+P394+P432+P480+P534+P569+P619+P655</f>
        <v>0</v>
      </c>
      <c r="Q706" s="38">
        <f t="shared" si="98"/>
        <v>0</v>
      </c>
      <c r="R706" s="38">
        <f t="shared" si="99"/>
        <v>0</v>
      </c>
    </row>
    <row r="707" spans="1:18" ht="16.5" customHeight="1" thickBot="1" x14ac:dyDescent="0.35">
      <c r="A707" s="43" t="s">
        <v>1218</v>
      </c>
      <c r="B707" s="45">
        <f>SUM(B700:B706)</f>
        <v>34922</v>
      </c>
      <c r="C707" s="46">
        <f>SUM(C700:C706)</f>
        <v>28465</v>
      </c>
      <c r="D707" s="46">
        <f>SUM(D700:D706)</f>
        <v>32768</v>
      </c>
      <c r="E707" s="37">
        <f t="shared" si="95"/>
        <v>96155</v>
      </c>
      <c r="F707" s="46">
        <f>SUM(F700:F706)</f>
        <v>39072</v>
      </c>
      <c r="G707" s="46">
        <f>SUM(G700:G706)</f>
        <v>39157</v>
      </c>
      <c r="H707" s="46">
        <f>SUM(H700:H706)</f>
        <v>35293</v>
      </c>
      <c r="I707" s="37">
        <f t="shared" si="96"/>
        <v>113522</v>
      </c>
      <c r="J707" s="46">
        <f>SUM(J700:J706)</f>
        <v>47103</v>
      </c>
      <c r="K707" s="46">
        <f>SUM(K700:K706)</f>
        <v>55498</v>
      </c>
      <c r="L707" s="46">
        <f>SUM(L700:L706)</f>
        <v>53040</v>
      </c>
      <c r="M707" s="37">
        <f t="shared" si="97"/>
        <v>155641</v>
      </c>
      <c r="N707" s="46">
        <f>SUM(N700:N706)</f>
        <v>37581</v>
      </c>
      <c r="O707" s="46">
        <f>SUM(O700:O706)</f>
        <v>25472</v>
      </c>
      <c r="P707" s="46">
        <f>SUM(P700:P706)</f>
        <v>27695</v>
      </c>
      <c r="Q707" s="37">
        <f t="shared" si="98"/>
        <v>90748</v>
      </c>
      <c r="R707" s="37">
        <f t="shared" si="99"/>
        <v>456066</v>
      </c>
    </row>
    <row r="708" spans="1:18" ht="15.75" customHeight="1" x14ac:dyDescent="0.3">
      <c r="A708" s="234" t="s">
        <v>1172</v>
      </c>
      <c r="B708" s="172"/>
      <c r="C708" s="172"/>
      <c r="D708" s="172"/>
      <c r="E708" s="38" t="s">
        <v>852</v>
      </c>
      <c r="F708" s="172"/>
      <c r="G708" s="172"/>
      <c r="H708" s="172"/>
      <c r="I708" s="38" t="s">
        <v>852</v>
      </c>
      <c r="J708" s="172"/>
      <c r="K708" s="172"/>
      <c r="L708" s="172"/>
      <c r="M708" s="38" t="s">
        <v>852</v>
      </c>
      <c r="N708" s="172"/>
      <c r="O708" s="172"/>
      <c r="P708" s="172"/>
      <c r="Q708" s="38" t="s">
        <v>852</v>
      </c>
      <c r="R708" s="38" t="s">
        <v>852</v>
      </c>
    </row>
    <row r="709" spans="1:18" ht="15.75" customHeight="1" x14ac:dyDescent="0.3">
      <c r="A709" s="235" t="s">
        <v>2658</v>
      </c>
      <c r="B709" s="172">
        <f>SUM(B43:B44)+SUM(B179:B179)+SUM(B90:B90)+SUM(B300:B303)</f>
        <v>0</v>
      </c>
      <c r="C709" s="172">
        <f>SUM(C43:C44)+SUM(C179:C179)+SUM(C90:C90)+SUM(C300:C303)</f>
        <v>0</v>
      </c>
      <c r="D709" s="172">
        <f>SUM(D43:D44)+SUM(D179:D179)+SUM(D90:D90)+SUM(D300:D303)</f>
        <v>0</v>
      </c>
      <c r="E709" s="38">
        <f>SUM(B709:D709)</f>
        <v>0</v>
      </c>
      <c r="F709" s="172">
        <f>SUM(F43:F44)+SUM(F179:F179)+SUM(F90:F90)+SUM(F300:F303)</f>
        <v>33</v>
      </c>
      <c r="G709" s="172">
        <f>SUM(G43:G44)+SUM(G179:G179)+SUM(G90:G90)+SUM(G300:G303)</f>
        <v>120</v>
      </c>
      <c r="H709" s="172">
        <f>SUM(H43:H44)+SUM(H179:H179)+SUM(H90:H90)+SUM(H300:H303)</f>
        <v>69</v>
      </c>
      <c r="I709" s="38">
        <f>SUM(F709:H709)</f>
        <v>222</v>
      </c>
      <c r="J709" s="172">
        <f>SUM(J43:J44)+SUM(J179:J179)+SUM(J90:J90)+SUM(J300:J303)</f>
        <v>102</v>
      </c>
      <c r="K709" s="172">
        <f>SUM(K43:K44)+SUM(K179:K179)+SUM(K90:K90)+SUM(K300:K303)</f>
        <v>205</v>
      </c>
      <c r="L709" s="172">
        <f>SUM(L43:L44)+SUM(L179:L179)+SUM(L90:L90)+SUM(L300:L303)</f>
        <v>263</v>
      </c>
      <c r="M709" s="38">
        <f>SUM(J709:L709)</f>
        <v>570</v>
      </c>
      <c r="N709" s="172">
        <f>SUM(N43:N44)+SUM(N179:N179)+SUM(N90:N90)+SUM(N300:N303)</f>
        <v>160</v>
      </c>
      <c r="O709" s="172">
        <f>SUM(O43:O44)+SUM(O179:O179)+SUM(O90:O90)+SUM(O300:O303)</f>
        <v>5</v>
      </c>
      <c r="P709" s="172">
        <f>SUM(P43:P44)+SUM(P179:P179)+SUM(P90:P90)+SUM(P300:P303)</f>
        <v>253</v>
      </c>
      <c r="Q709" s="38">
        <f>SUM(N709:P709)</f>
        <v>418</v>
      </c>
      <c r="R709" s="38">
        <f>+E709+I709+M709+Q709</f>
        <v>1210</v>
      </c>
    </row>
    <row r="710" spans="1:18" ht="15.75" customHeight="1" x14ac:dyDescent="0.3">
      <c r="A710" s="545" t="s">
        <v>2409</v>
      </c>
      <c r="B710" s="172">
        <f>+SUM(B92:B93)+SUM(B180:B181)+SUM(B304:B313)+B398+SUM(B435:B437)+SUM(B483:B485)+SUM(B537:B537)+B572+B622+SUM(B658:B659)</f>
        <v>9925</v>
      </c>
      <c r="C710" s="172">
        <f>+SUM(C92:C93)+SUM(C180:C181)+SUM(C304:C313)+C398+SUM(C435:C437)+SUM(C483:C485)+SUM(C537:C537)+C572+C622+SUM(C658:C659)</f>
        <v>14468</v>
      </c>
      <c r="D710" s="172">
        <f>+SUM(D92:D93)+SUM(D180:D181)+SUM(D304:D313)+D398+SUM(D435:D437)+SUM(D483:D485)+SUM(D537:D537)+D572+D622+SUM(D658:D659)</f>
        <v>35292</v>
      </c>
      <c r="E710" s="38">
        <f>SUM(B710:D710)</f>
        <v>59685</v>
      </c>
      <c r="F710" s="172">
        <f>+SUM(F92:F93)+SUM(F180:F181)+SUM(F304:F313)+F398+SUM(F435:F437)+SUM(F483:F485)+SUM(F537:F537)+F572+F622+SUM(F658:F659)</f>
        <v>45765</v>
      </c>
      <c r="G710" s="172">
        <f>+SUM(G92:G93)+SUM(G180:G181)+SUM(G304:G313)+G398+SUM(G435:G437)+SUM(G483:G485)+SUM(G537:G537)+G572+G622+SUM(G658:G659)</f>
        <v>53550</v>
      </c>
      <c r="H710" s="172">
        <f>+SUM(H92:H93)+SUM(H180:H181)+SUM(H304:H313)+H398+SUM(H435:H437)+SUM(H483:H485)+SUM(H537:H537)+H572+H622+SUM(H658:H659)</f>
        <v>78278</v>
      </c>
      <c r="I710" s="38">
        <f>SUM(F710:H710)</f>
        <v>177593</v>
      </c>
      <c r="J710" s="172">
        <f>+SUM(J92:J93)+SUM(J180:J181)+SUM(J304:J313)+J398+SUM(J435:J437)+SUM(J483:J485)+SUM(J537:J537)+J572+J622+SUM(J658:J659)</f>
        <v>83174</v>
      </c>
      <c r="K710" s="172">
        <f>+SUM(K92:K93)+SUM(K180:K181)+SUM(K304:K313)+K398+SUM(K435:K437)+SUM(K483:K485)+SUM(K537:K537)+K572+K622+SUM(K658:K659)</f>
        <v>53314</v>
      </c>
      <c r="L710" s="172">
        <f>+SUM(L92:L93)+SUM(L180:L181)+SUM(L304:L313)+L398+SUM(L435:L437)+SUM(L483:L485)+SUM(L537:L537)+L572+L622+SUM(L658:L659)</f>
        <v>12028</v>
      </c>
      <c r="M710" s="38">
        <f>SUM(J710:L710)</f>
        <v>148516</v>
      </c>
      <c r="N710" s="172">
        <f>+SUM(N92:N93)+SUM(N180:N181)+SUM(N304:N313)+N398+SUM(N435:N437)+SUM(N483:N485)+SUM(N537:N537)+N572+N622+SUM(N658:N659)</f>
        <v>6905</v>
      </c>
      <c r="O710" s="172">
        <f>+SUM(O92:O93)+SUM(O180:O181)+SUM(O304:O313)+O398+SUM(O435:O437)+SUM(O483:O485)+SUM(O537:O537)+O572+O622+SUM(O658:O659)</f>
        <v>1390</v>
      </c>
      <c r="P710" s="172">
        <f>+SUM(P92:P93)+SUM(P180:P181)+SUM(P304:P313)+P398+SUM(P435:P437)+SUM(P483:P485)+SUM(P537:P537)+P572+P622+SUM(P658:P659)</f>
        <v>1773</v>
      </c>
      <c r="Q710" s="38">
        <f>SUM(N710:P710)</f>
        <v>10068</v>
      </c>
      <c r="R710" s="38">
        <f>+E710+I710+M710+Q710</f>
        <v>395862</v>
      </c>
    </row>
    <row r="711" spans="1:18" ht="15.75" customHeight="1" thickBot="1" x14ac:dyDescent="0.35">
      <c r="A711" s="234" t="s">
        <v>2165</v>
      </c>
      <c r="B711" s="172">
        <f>+B94+B399+B438+B486+B538+B573+B623+B660</f>
        <v>0</v>
      </c>
      <c r="C711" s="172">
        <f>+C94+C399+C438+C486+C538+C573+C623+C660</f>
        <v>0</v>
      </c>
      <c r="D711" s="172">
        <f>+D94+D399+D438+D486+D538+D573+D623+D660</f>
        <v>0</v>
      </c>
      <c r="E711" s="38">
        <f>SUM(B711:D711)</f>
        <v>0</v>
      </c>
      <c r="F711" s="172">
        <f>+F94+F399+F438+F486+F538+F573+F623+F660</f>
        <v>0</v>
      </c>
      <c r="G711" s="172">
        <f>+G94+G399+G438+G486+G538+G573+G623+G660</f>
        <v>0</v>
      </c>
      <c r="H711" s="172">
        <f>+H94+H399+H438+H486+H538+H573+H623+H660</f>
        <v>0</v>
      </c>
      <c r="I711" s="38">
        <f>SUM(F711:H711)</f>
        <v>0</v>
      </c>
      <c r="J711" s="172">
        <f>+J94+J399+J438+J486+J538+J573+J623+J660</f>
        <v>0</v>
      </c>
      <c r="K711" s="172">
        <f>+K94+K399+K438+K486+K538+K573+K623+K660</f>
        <v>0</v>
      </c>
      <c r="L711" s="172">
        <f>+L94+L399+L438+L486+L538+L573+L623+L660</f>
        <v>0</v>
      </c>
      <c r="M711" s="38">
        <f>SUM(J711:L711)</f>
        <v>0</v>
      </c>
      <c r="N711" s="172">
        <f>+N94+N399+N438+N486+N538+N573+N623+N660</f>
        <v>0</v>
      </c>
      <c r="O711" s="172">
        <f>+O94+O399+O438+O486+O538+O573+O623+O660</f>
        <v>0</v>
      </c>
      <c r="P711" s="172">
        <f>+P94+P399+P438+P486+P538+P573+P623+P660</f>
        <v>0</v>
      </c>
      <c r="Q711" s="38">
        <f>SUM(N711:P711)</f>
        <v>0</v>
      </c>
      <c r="R711" s="38">
        <f>+E711+I711+M711+Q711</f>
        <v>0</v>
      </c>
    </row>
    <row r="712" spans="1:18" ht="16.5" customHeight="1" thickBot="1" x14ac:dyDescent="0.35">
      <c r="A712" s="43" t="s">
        <v>1219</v>
      </c>
      <c r="B712" s="45">
        <f>SUM(B708:B711)</f>
        <v>9925</v>
      </c>
      <c r="C712" s="46">
        <f>SUM(C708:C711)</f>
        <v>14468</v>
      </c>
      <c r="D712" s="46">
        <f>SUM(D708:D711)</f>
        <v>35292</v>
      </c>
      <c r="E712" s="37">
        <f>SUM(B712:D712)</f>
        <v>59685</v>
      </c>
      <c r="F712" s="46">
        <f>SUM(F708:F711)</f>
        <v>45798</v>
      </c>
      <c r="G712" s="46">
        <f>SUM(G708:G711)</f>
        <v>53670</v>
      </c>
      <c r="H712" s="46">
        <f>SUM(H708:H711)</f>
        <v>78347</v>
      </c>
      <c r="I712" s="37">
        <f>SUM(F712:H712)</f>
        <v>177815</v>
      </c>
      <c r="J712" s="46">
        <f>SUM(J708:J711)</f>
        <v>83276</v>
      </c>
      <c r="K712" s="46">
        <f>SUM(K708:K711)</f>
        <v>53519</v>
      </c>
      <c r="L712" s="46">
        <f>SUM(L708:L711)</f>
        <v>12291</v>
      </c>
      <c r="M712" s="37">
        <f>SUM(J712:L712)</f>
        <v>149086</v>
      </c>
      <c r="N712" s="46">
        <f>SUM(N708:N711)</f>
        <v>7065</v>
      </c>
      <c r="O712" s="46">
        <f>SUM(O708:O711)</f>
        <v>1395</v>
      </c>
      <c r="P712" s="46">
        <f>SUM(P708:P711)</f>
        <v>2026</v>
      </c>
      <c r="Q712" s="37">
        <f>SUM(N712:P712)</f>
        <v>10486</v>
      </c>
      <c r="R712" s="37">
        <f>+E712+I712+M712+Q712</f>
        <v>397072</v>
      </c>
    </row>
    <row r="713" spans="1:18" ht="15.75" customHeight="1" x14ac:dyDescent="0.3">
      <c r="A713" s="234" t="s">
        <v>2166</v>
      </c>
      <c r="B713" s="172"/>
      <c r="C713" s="172"/>
      <c r="D713" s="172"/>
      <c r="E713" s="38" t="s">
        <v>852</v>
      </c>
      <c r="F713" s="172"/>
      <c r="G713" s="172"/>
      <c r="H713" s="172"/>
      <c r="I713" s="38" t="s">
        <v>852</v>
      </c>
      <c r="J713" s="172"/>
      <c r="K713" s="172"/>
      <c r="L713" s="172"/>
      <c r="M713" s="38" t="s">
        <v>852</v>
      </c>
      <c r="N713" s="172"/>
      <c r="O713" s="172"/>
      <c r="P713" s="172"/>
      <c r="Q713" s="38" t="s">
        <v>852</v>
      </c>
      <c r="R713" s="38" t="s">
        <v>852</v>
      </c>
    </row>
    <row r="714" spans="1:18" ht="15.75" customHeight="1" x14ac:dyDescent="0.3">
      <c r="A714" s="545" t="s">
        <v>1245</v>
      </c>
      <c r="B714" s="172">
        <f>+B49+B97+B185+SUM(B317:B319)+B402+B441+B489+B541+SUM(B576:B577)+B626+SUM(B663:B664)</f>
        <v>4419</v>
      </c>
      <c r="C714" s="172">
        <f>+C49+C97+C185+SUM(C317:C319)+C402+C441+C489+C541+SUM(C576:C577)+C626+SUM(C663:C664)</f>
        <v>5519</v>
      </c>
      <c r="D714" s="172">
        <f>+D49+D97+D185+SUM(D317:D319)+D402+D441+D489+D541+SUM(D576:D577)+D626+SUM(D663:D664)</f>
        <v>10461</v>
      </c>
      <c r="E714" s="38">
        <f>SUM(B714:D714)</f>
        <v>20399</v>
      </c>
      <c r="F714" s="172">
        <f>+F49+F97+F185+SUM(F317:F319)+F402+F441+F489+F541+SUM(F576:F577)+F626+SUM(F663:F664)</f>
        <v>11792</v>
      </c>
      <c r="G714" s="172">
        <f>+G49+G97+G185+SUM(G317:G319)+G402+G441+G489+G541+SUM(G576:G577)+G626+SUM(G663:G664)</f>
        <v>16488</v>
      </c>
      <c r="H714" s="172">
        <f>+H49+H97+H185+SUM(H317:H319)+H402+H441+H489+H541+SUM(H576:H577)+H626+SUM(H663:H664)</f>
        <v>22068</v>
      </c>
      <c r="I714" s="38">
        <f>SUM(F714:H714)</f>
        <v>50348</v>
      </c>
      <c r="J714" s="172">
        <f>+J49+J97+J185+SUM(J317:J319)+J402+J441+J489+J541+SUM(J576:J577)+J626+SUM(J663:J664)</f>
        <v>18299</v>
      </c>
      <c r="K714" s="172">
        <f>+K49+K97+K185+SUM(K317:K319)+K402+K441+K489+K541+SUM(K576:K577)+K626+SUM(K663:K664)</f>
        <v>24679</v>
      </c>
      <c r="L714" s="172">
        <f>+L49+L97+L185+SUM(L317:L319)+L402+L441+L489+L541+SUM(L576:L577)+L626+SUM(L663:L664)</f>
        <v>13208</v>
      </c>
      <c r="M714" s="38">
        <f>SUM(J714:L714)</f>
        <v>56186</v>
      </c>
      <c r="N714" s="172">
        <f>+N49+N97+N185+SUM(N317:N319)+N402+N441+N489+N541+SUM(N576:N577)+N626+SUM(N663:N664)</f>
        <v>3806</v>
      </c>
      <c r="O714" s="172">
        <f>+O49+O97+O185+SUM(O317:O319)+O402+O441+O489+O541+SUM(O576:O577)+O626+SUM(O663:O664)</f>
        <v>250</v>
      </c>
      <c r="P714" s="172">
        <f>+P49+P97+P185+SUM(P317:P319)+P402+P441+P489+P541+SUM(P576:P577)+P626+SUM(P663:P664)</f>
        <v>3673</v>
      </c>
      <c r="Q714" s="38">
        <f>SUM(N714:P714)</f>
        <v>7729</v>
      </c>
      <c r="R714" s="38">
        <f>+E714+I714+M714+Q714</f>
        <v>134662</v>
      </c>
    </row>
    <row r="715" spans="1:18" ht="15.75" customHeight="1" thickBot="1" x14ac:dyDescent="0.35">
      <c r="A715" s="545" t="s">
        <v>1711</v>
      </c>
      <c r="B715" s="172">
        <f>+B50+SUM(B98:B105)+SUM(B186:B219)+SUM(B320:B340)+B403+B442+SUM(B490:B491)+B542+SUM(B578:B580)+B627+SUM(B665:B667)</f>
        <v>13800</v>
      </c>
      <c r="C715" s="172">
        <f>+C50+SUM(C98:C105)+SUM(C186:C219)+SUM(C320:C340)+C403+C442+SUM(C490:C491)+C542+SUM(C578:C580)+C627+SUM(C665:C667)</f>
        <v>18362</v>
      </c>
      <c r="D715" s="172">
        <f>+D50+SUM(D98:D105)+SUM(D186:D219)+SUM(D320:D340)+D403+D442+SUM(D490:D491)+D542+SUM(D578:D580)+D627+SUM(D665:D667)</f>
        <v>30743</v>
      </c>
      <c r="E715" s="38">
        <f>SUM(B715:D715)</f>
        <v>62905</v>
      </c>
      <c r="F715" s="172">
        <f>+F50+SUM(F98:F105)+SUM(F186:F219)+SUM(F320:F340)+F403+F442+SUM(F490:F491)+F542+SUM(F578:F580)+F627+SUM(F665:F667)</f>
        <v>32773</v>
      </c>
      <c r="G715" s="172">
        <f>+G50+SUM(G98:G105)+SUM(G186:G219)+SUM(G320:G340)+G403+G442+SUM(G490:G491)+G542+SUM(G578:G580)+G627+SUM(G665:G667)</f>
        <v>47141</v>
      </c>
      <c r="H715" s="172">
        <f>+H50+SUM(H98:H105)+SUM(H186:H219)+SUM(H320:H340)+H403+H442+SUM(H490:H491)+H542+SUM(H578:H580)+H627+SUM(H665:H667)</f>
        <v>51959</v>
      </c>
      <c r="I715" s="38">
        <f>SUM(F715:H715)</f>
        <v>131873</v>
      </c>
      <c r="J715" s="172">
        <f>+J50+SUM(J98:J105)+SUM(J186:J219)+SUM(J320:J340)+J403+J442+SUM(J490:J491)+J542+SUM(J578:J580)+J627+SUM(J665:J667)</f>
        <v>38745</v>
      </c>
      <c r="K715" s="172">
        <f>+K50+SUM(K98:K105)+SUM(K186:K219)+SUM(K320:K340)+K403+K442+SUM(K490:K491)+K542+SUM(K578:K580)+K627+SUM(K665:K667)</f>
        <v>45416</v>
      </c>
      <c r="L715" s="172">
        <f>+L50+SUM(L98:L105)+SUM(L186:L219)+SUM(L320:L340)+L403+L442+SUM(L490:L491)+L542+SUM(L578:L580)+L627+SUM(L665:L667)</f>
        <v>37614</v>
      </c>
      <c r="M715" s="38">
        <f>SUM(J715:L715)</f>
        <v>121775</v>
      </c>
      <c r="N715" s="172">
        <f>+N50+SUM(N98:N105)+SUM(N186:N219)+SUM(N320:N340)+N403+N442+SUM(N490:N491)+N542+SUM(N578:N580)+N627+SUM(N665:N667)</f>
        <v>26535</v>
      </c>
      <c r="O715" s="172">
        <f>+O50+SUM(O98:O105)+SUM(O186:O219)+SUM(O320:O340)+O403+O442+SUM(O490:O491)+O542+SUM(O578:O580)+O627+SUM(O665:O667)</f>
        <v>12806</v>
      </c>
      <c r="P715" s="172">
        <f>+P50+SUM(P98:P105)+SUM(P186:P219)+SUM(P320:P340)+P403+P442+SUM(P490:P491)+P542+SUM(P578:P580)+P627+SUM(P665:P667)</f>
        <v>10997</v>
      </c>
      <c r="Q715" s="38">
        <f>SUM(N715:P715)</f>
        <v>50338</v>
      </c>
      <c r="R715" s="38">
        <f>+E715+I715+M715+Q715</f>
        <v>366891</v>
      </c>
    </row>
    <row r="716" spans="1:18" ht="16.5" customHeight="1" thickBot="1" x14ac:dyDescent="0.35">
      <c r="A716" s="43" t="s">
        <v>1220</v>
      </c>
      <c r="B716" s="45">
        <f>SUM(B713:B715)</f>
        <v>18219</v>
      </c>
      <c r="C716" s="46">
        <f>SUM(C713:C715)</f>
        <v>23881</v>
      </c>
      <c r="D716" s="58">
        <f>SUM(D713:D715)</f>
        <v>41204</v>
      </c>
      <c r="E716" s="37">
        <f>SUM(B716:D716)</f>
        <v>83304</v>
      </c>
      <c r="F716" s="46">
        <f>SUM(F713:F715)</f>
        <v>44565</v>
      </c>
      <c r="G716" s="46">
        <f>SUM(G713:G715)</f>
        <v>63629</v>
      </c>
      <c r="H716" s="46">
        <f>SUM(H713:H715)</f>
        <v>74027</v>
      </c>
      <c r="I716" s="37">
        <f>SUM(F716:H716)</f>
        <v>182221</v>
      </c>
      <c r="J716" s="46">
        <f>SUM(J713:J715)</f>
        <v>57044</v>
      </c>
      <c r="K716" s="46">
        <f>SUM(K713:K715)</f>
        <v>70095</v>
      </c>
      <c r="L716" s="46">
        <f>SUM(L713:L715)</f>
        <v>50822</v>
      </c>
      <c r="M716" s="37">
        <f>SUM(J716:L716)</f>
        <v>177961</v>
      </c>
      <c r="N716" s="46">
        <f>SUM(N713:N715)</f>
        <v>30341</v>
      </c>
      <c r="O716" s="46">
        <f>SUM(O713:O715)</f>
        <v>13056</v>
      </c>
      <c r="P716" s="46">
        <f>SUM(P713:P715)</f>
        <v>14670</v>
      </c>
      <c r="Q716" s="37">
        <f>SUM(N716:P716)</f>
        <v>58067</v>
      </c>
      <c r="R716" s="37">
        <f>+E716+I716+M716+Q716</f>
        <v>501553</v>
      </c>
    </row>
    <row r="717" spans="1:18" ht="15.75" customHeight="1" x14ac:dyDescent="0.3">
      <c r="A717" s="234" t="s">
        <v>1712</v>
      </c>
      <c r="B717" s="172"/>
      <c r="C717" s="172"/>
      <c r="D717" s="172"/>
      <c r="E717" s="38" t="s">
        <v>852</v>
      </c>
      <c r="F717" s="172"/>
      <c r="G717" s="172"/>
      <c r="H717" s="172"/>
      <c r="I717" s="38" t="s">
        <v>852</v>
      </c>
      <c r="J717" s="172"/>
      <c r="K717" s="172"/>
      <c r="L717" s="172"/>
      <c r="M717" s="38" t="s">
        <v>852</v>
      </c>
      <c r="N717" s="172"/>
      <c r="O717" s="172"/>
      <c r="P717" s="172"/>
      <c r="Q717" s="38" t="s">
        <v>852</v>
      </c>
      <c r="R717" s="38" t="s">
        <v>852</v>
      </c>
    </row>
    <row r="718" spans="1:18" ht="15.75" customHeight="1" x14ac:dyDescent="0.3">
      <c r="A718" s="234" t="s">
        <v>1021</v>
      </c>
      <c r="B718" s="172">
        <f>SUM(B53:B53)+SUM(B108:B115)+SUM(B222:B225)+SUM(B343:B344)+SUM(B406:B406)+B445+SUM(B494:B496)+B545+B583+B630+SUM(B670:B672)</f>
        <v>1735</v>
      </c>
      <c r="C718" s="172">
        <f>SUM(C53:C53)+SUM(C108:C115)+SUM(C222:C225)+SUM(C343:C344)+SUM(C406:C406)+C445+SUM(C494:C496)+C545+C583+C630+SUM(C670:C672)</f>
        <v>1797</v>
      </c>
      <c r="D718" s="172">
        <f>SUM(D53:D53)+SUM(D108:D115)+SUM(D222:D225)+SUM(D343:D344)+SUM(D406:D406)+D445+SUM(D494:D496)+D545+D583+D630+SUM(D670:D672)</f>
        <v>2046</v>
      </c>
      <c r="E718" s="38">
        <f t="shared" ref="E718:E726" si="100">SUM(B718:D718)</f>
        <v>5578</v>
      </c>
      <c r="F718" s="172">
        <f>SUM(F53:F53)+SUM(F108:F115)+SUM(F222:F225)+SUM(F343:F344)+SUM(F406:F406)+F445+SUM(F494:F496)+F545+F583+F630+SUM(F670:F672)</f>
        <v>1990</v>
      </c>
      <c r="G718" s="172">
        <f>SUM(G53:G53)+SUM(G108:G115)+SUM(G222:G225)+SUM(G343:G344)+SUM(G406:G406)+G445+SUM(G494:G496)+G545+G583+G630+SUM(G670:G672)</f>
        <v>2020</v>
      </c>
      <c r="H718" s="172">
        <f>SUM(H53:H53)+SUM(H108:H115)+SUM(H222:H225)+SUM(H343:H344)+SUM(H406:H406)+H445+SUM(H494:H496)+H545+H583+H630+SUM(H670:H672)</f>
        <v>2640</v>
      </c>
      <c r="I718" s="38">
        <f t="shared" ref="I718:I726" si="101">SUM(F718:H718)</f>
        <v>6650</v>
      </c>
      <c r="J718" s="172">
        <f>SUM(J53:J53)+SUM(J108:J115)+SUM(J222:J225)+SUM(J343:J344)+SUM(J406:J406)+J445+SUM(J494:J496)+J545+J583+J630+SUM(J670:J672)</f>
        <v>9370</v>
      </c>
      <c r="K718" s="172">
        <f>SUM(K53:K53)+SUM(K108:K115)+SUM(K222:K225)+SUM(K343:K344)+SUM(K406:K406)+K445+SUM(K494:K496)+K545+K583+K630+SUM(K670:K672)</f>
        <v>3317</v>
      </c>
      <c r="L718" s="172">
        <f>SUM(L53:L53)+SUM(L108:L115)+SUM(L222:L225)+SUM(L343:L344)+SUM(L406:L406)+L445+SUM(L494:L496)+L545+L583+L630+SUM(L670:L672)</f>
        <v>3936</v>
      </c>
      <c r="M718" s="38">
        <f t="shared" ref="M718:M726" si="102">SUM(J718:L718)</f>
        <v>16623</v>
      </c>
      <c r="N718" s="172">
        <f>SUM(N53:N53)+SUM(N108:N115)+SUM(N222:N225)+SUM(N343:N344)+SUM(N406:N406)+N445+SUM(N494:N496)+N545+N583+N630+SUM(N670:N672)</f>
        <v>7156</v>
      </c>
      <c r="O718" s="172">
        <f>SUM(O53:O53)+SUM(O108:O115)+SUM(O222:O225)+SUM(O343:O344)+SUM(O406:O406)+O445+SUM(O494:O496)+O545+O583+O630+SUM(O670:O672)</f>
        <v>3324</v>
      </c>
      <c r="P718" s="172">
        <f>SUM(P53:P53)+SUM(P108:P115)+SUM(P222:P225)+SUM(P343:P344)+SUM(P406:P406)+P445+SUM(P494:P496)+P545+P583+P630+SUM(P670:P672)</f>
        <v>6900</v>
      </c>
      <c r="Q718" s="38">
        <f t="shared" ref="Q718:Q726" si="103">SUM(N718:P718)</f>
        <v>17380</v>
      </c>
      <c r="R718" s="38">
        <f t="shared" ref="R718:R726" si="104">+E718+I718+M718+Q718</f>
        <v>46231</v>
      </c>
    </row>
    <row r="719" spans="1:18" ht="15.75" customHeight="1" x14ac:dyDescent="0.3">
      <c r="A719" s="234" t="s">
        <v>557</v>
      </c>
      <c r="B719" s="172">
        <f>SUM(B54:B55)+SUM(B116:B117)+SUM(B226:B227)+B229+B231+B233+B234+SUM(B345:B347)+B407+B446+SUM(B497:B498)+B500+SUM(B546:B547)+B585+B587+B631+SUM(B673:B674)</f>
        <v>1317</v>
      </c>
      <c r="C719" s="172">
        <f>SUM(C54:C55)+SUM(C116:C117)+SUM(C226:C227)+C229+C231+C233+C234+SUM(C345:C347)+C407+C446+SUM(C497:C498)+C500+SUM(C546:C547)+C585+C587+C631+SUM(C673:C674)</f>
        <v>8788</v>
      </c>
      <c r="D719" s="172">
        <f>SUM(D54:D55)+SUM(D116:D117)+SUM(D226:D227)+D229+D231+D233+D234+SUM(D345:D347)+D407+D446+SUM(D497:D498)+D500+SUM(D546:D547)+D585+D587+D631+SUM(D673:D674)</f>
        <v>15515</v>
      </c>
      <c r="E719" s="38">
        <f t="shared" si="100"/>
        <v>25620</v>
      </c>
      <c r="F719" s="172">
        <f>SUM(F54:F55)+SUM(F116:F117)+SUM(F226:F227)+F229+F231+F233+F234+SUM(F345:F347)+F407+F446+SUM(F497:F498)+F500+SUM(F546:F547)+F585+F587+F631+SUM(F673:F674)</f>
        <v>6564</v>
      </c>
      <c r="G719" s="172">
        <f>SUM(G54:G55)+SUM(G116:G117)+SUM(G226:G227)+G229+G231+G233+G234+SUM(G345:G347)+G407+G446+SUM(G497:G498)+G500+SUM(G546:G547)+G585+G587+G631+SUM(G673:G674)</f>
        <v>1706</v>
      </c>
      <c r="H719" s="172">
        <f>SUM(H54:H55)+SUM(H116:H117)+SUM(H226:H227)+H229+H231+H233+H234+SUM(H345:H347)+H407+H446+SUM(H497:H498)+H500+SUM(H546:H547)+H585+H587+H631+SUM(H673:H674)</f>
        <v>14354</v>
      </c>
      <c r="I719" s="38">
        <f t="shared" si="101"/>
        <v>22624</v>
      </c>
      <c r="J719" s="172">
        <f>SUM(J54:J55)+SUM(J116:J117)+SUM(J226:J227)+J229+J231+J233+J234+SUM(J345:J347)+J407+J446+SUM(J497:J498)+J500+SUM(J546:J547)+J585+J587+J631+SUM(J673:J674)</f>
        <v>15465</v>
      </c>
      <c r="K719" s="172">
        <f>SUM(K54:K55)+SUM(K116:K117)+SUM(K226:K227)+K229+K231+K233+K234+SUM(K345:K347)+K407+K446+SUM(K497:K498)+K500+SUM(K546:K547)+K585+K587+K631+SUM(K673:K674)</f>
        <v>8881</v>
      </c>
      <c r="L719" s="172">
        <f>SUM(L54:L55)+SUM(L116:L117)+SUM(L226:L227)+L229+L231+L233+L234+SUM(L345:L347)+L407+L446+SUM(L497:L498)+L500+SUM(L546:L547)+L585+L587+L631+SUM(L673:L674)</f>
        <v>6996</v>
      </c>
      <c r="M719" s="38">
        <f t="shared" si="102"/>
        <v>31342</v>
      </c>
      <c r="N719" s="172">
        <f>SUM(N54:N55)+SUM(N116:N117)+SUM(N226:N227)+N229+N231+N233+N234+SUM(N345:N347)+N407+N446+SUM(N497:N498)+N500+SUM(N546:N547)+N585+N587+N631+SUM(N673:N674)</f>
        <v>4202</v>
      </c>
      <c r="O719" s="172">
        <f>SUM(O54:O55)+SUM(O116:O117)+SUM(O226:O227)+O229+O231+O233+O234+SUM(O345:O347)+O407+O446+SUM(O497:O498)+O500+SUM(O546:O547)+O585+O587+O631+SUM(O673:O674)</f>
        <v>2926</v>
      </c>
      <c r="P719" s="172">
        <f>SUM(P54:P55)+SUM(P116:P117)+SUM(P226:P227)+P229+P231+P233+P234+SUM(P345:P347)+P407+P446+SUM(P497:P498)+P500+SUM(P546:P547)+P585+P587+P631+SUM(P673:P674)</f>
        <v>4356</v>
      </c>
      <c r="Q719" s="38">
        <f t="shared" si="103"/>
        <v>11484</v>
      </c>
      <c r="R719" s="38">
        <f t="shared" si="104"/>
        <v>91070</v>
      </c>
    </row>
    <row r="720" spans="1:18" ht="15.75" customHeight="1" x14ac:dyDescent="0.3">
      <c r="A720" s="266" t="s">
        <v>614</v>
      </c>
      <c r="B720" s="172">
        <f>B118+B228+B230+B232+B499+B501+B586+B588+B675</f>
        <v>0</v>
      </c>
      <c r="C720" s="172">
        <f>C118+C228+C230+C232+C499+C501+C586+C588+C675</f>
        <v>0</v>
      </c>
      <c r="D720" s="172">
        <f>D118+D228+D230+D232+D499+D501+D586+D588+D675</f>
        <v>0</v>
      </c>
      <c r="E720" s="38">
        <f t="shared" si="100"/>
        <v>0</v>
      </c>
      <c r="F720" s="172">
        <f>F118+F228+F230+F232+F499+F501+F586+F588+F675</f>
        <v>0</v>
      </c>
      <c r="G720" s="172">
        <f>G118+G228+G230+G232+G499+G501+G586+G588+G675</f>
        <v>0</v>
      </c>
      <c r="H720" s="172">
        <f>H118+H228+H230+H232+H499+H501+H586+H588+H675</f>
        <v>0</v>
      </c>
      <c r="I720" s="38">
        <f t="shared" si="101"/>
        <v>0</v>
      </c>
      <c r="J720" s="172">
        <f>J118+J228+J230+J232+J499+J501+J586+J588+J675</f>
        <v>0</v>
      </c>
      <c r="K720" s="172">
        <f>K118+K228+K230+K232+K499+K501+K586+K588+K675</f>
        <v>0</v>
      </c>
      <c r="L720" s="172">
        <f>L118+L228+L230+L232+L499+L501+L586+L588+L675</f>
        <v>0</v>
      </c>
      <c r="M720" s="38">
        <f t="shared" si="102"/>
        <v>0</v>
      </c>
      <c r="N720" s="172">
        <f>N118+N228+N230+N232+N499+N501+N586+N588+N675</f>
        <v>0</v>
      </c>
      <c r="O720" s="172">
        <f>O118+O228+O230+O232+O499+O501+O586+O588+O675</f>
        <v>0</v>
      </c>
      <c r="P720" s="172">
        <f>P118+P228+P230+P232+P499+P501+P586+P588+P675</f>
        <v>0</v>
      </c>
      <c r="Q720" s="38">
        <f t="shared" si="103"/>
        <v>0</v>
      </c>
      <c r="R720" s="38">
        <f t="shared" si="104"/>
        <v>0</v>
      </c>
    </row>
    <row r="721" spans="1:18" ht="15.75" customHeight="1" x14ac:dyDescent="0.3">
      <c r="A721" s="234" t="s">
        <v>1022</v>
      </c>
      <c r="B721" s="172">
        <f>+B56+SUM(B119:B120)+SUM(B235:B235)+SUM(B348:B355)+SUM(B408:B408)+SUM(B447:B448)+B502+B548+B589+B676+B676</f>
        <v>0</v>
      </c>
      <c r="C721" s="172">
        <f>+C56+SUM(C119:C120)+SUM(C235:C235)+SUM(C348:C355)+SUM(C408:C408)+SUM(C447:C448)+C502+C548+C589+C676+C676</f>
        <v>247</v>
      </c>
      <c r="D721" s="172">
        <f>+D56+SUM(D119:D120)+SUM(D235:D235)+SUM(D348:D355)+SUM(D408:D408)+SUM(D447:D448)+D502+D548+D589+D676+D676</f>
        <v>7421</v>
      </c>
      <c r="E721" s="38">
        <f t="shared" si="100"/>
        <v>7668</v>
      </c>
      <c r="F721" s="172">
        <f>+F56+SUM(F119:F120)+SUM(F235:F235)+SUM(F348:F355)+SUM(F408:F408)+SUM(F447:F448)+F502+F548+F589+F676+F676</f>
        <v>12076</v>
      </c>
      <c r="G721" s="172">
        <f>+G56+SUM(G119:G120)+SUM(G235:G235)+SUM(G348:G355)+SUM(G408:G408)+SUM(G447:G448)+G502+G548+G589+G676+G676</f>
        <v>15272</v>
      </c>
      <c r="H721" s="172">
        <f>+H56+SUM(H119:H120)+SUM(H235:H235)+SUM(H348:H355)+SUM(H408:H408)+SUM(H447:H448)+H502+H548+H589+H676+H676</f>
        <v>14877</v>
      </c>
      <c r="I721" s="38">
        <f t="shared" si="101"/>
        <v>42225</v>
      </c>
      <c r="J721" s="172">
        <f>+J56+SUM(J119:J120)+SUM(J235:J235)+SUM(J348:J355)+SUM(J408:J408)+SUM(J447:J448)+J502+J548+J589+J676+J676</f>
        <v>17289</v>
      </c>
      <c r="K721" s="172">
        <f>+K56+SUM(K119:K120)+SUM(K235:K235)+SUM(K348:K355)+SUM(K408:K408)+SUM(K447:K448)+K502+K548+K589+K676+K676</f>
        <v>8411</v>
      </c>
      <c r="L721" s="172">
        <f>+L56+SUM(L119:L120)+SUM(L235:L235)+SUM(L348:L355)+SUM(L408:L408)+SUM(L447:L448)+L502+L548+L589+L676+L676</f>
        <v>2005</v>
      </c>
      <c r="M721" s="38">
        <f t="shared" si="102"/>
        <v>27705</v>
      </c>
      <c r="N721" s="172">
        <f>+N56+SUM(N119:N120)+SUM(N235:N235)+SUM(N348:N355)+SUM(N408:N408)+SUM(N447:N448)+N502+N548+N589+N676+N676</f>
        <v>1327</v>
      </c>
      <c r="O721" s="172">
        <f>+O56+SUM(O119:O120)+SUM(O235:O235)+SUM(O348:O355)+SUM(O408:O408)+SUM(O447:O448)+O502+O548+O589+O676+O676</f>
        <v>333</v>
      </c>
      <c r="P721" s="172">
        <f>+P56+SUM(P119:P120)+SUM(P235:P235)+SUM(P348:P355)+SUM(P408:P408)+SUM(P447:P448)+P502+P548+P589+P676+P676</f>
        <v>591</v>
      </c>
      <c r="Q721" s="38">
        <f t="shared" si="103"/>
        <v>2251</v>
      </c>
      <c r="R721" s="38">
        <f t="shared" si="104"/>
        <v>79849</v>
      </c>
    </row>
    <row r="722" spans="1:18" ht="15.75" customHeight="1" x14ac:dyDescent="0.3">
      <c r="A722" s="234" t="s">
        <v>559</v>
      </c>
      <c r="B722" s="172">
        <f>SUM(B121:B121)+SUM(B237:B237)+B357+B359+B360+B362+B364+SUM(B409:B410)+B450+B452+B503+B504+B549+B590+B633+B677</f>
        <v>380</v>
      </c>
      <c r="C722" s="172">
        <f>SUM(C121:C121)+SUM(C237:C237)+C357+C359+C360+C362+C364+SUM(C409:C410)+C450+C452+C503+C504+C549+C590+C633+C677</f>
        <v>720</v>
      </c>
      <c r="D722" s="172">
        <f>SUM(D121:D121)+SUM(D237:D237)+D357+D359+D360+D362+D364+SUM(D409:D410)+D450+D452+D503+D504+D549+D590+D633+D677</f>
        <v>1550</v>
      </c>
      <c r="E722" s="38">
        <f t="shared" si="100"/>
        <v>2650</v>
      </c>
      <c r="F722" s="172">
        <f>SUM(F121:F121)+SUM(F237:F237)+F357+F359+F360+F362+F364+SUM(F409:F410)+F450+F452+F503+F504+F549+F590+F633+F677</f>
        <v>1650</v>
      </c>
      <c r="G722" s="172">
        <f>SUM(G121:G121)+SUM(G237:G237)+G357+G359+G360+G362+G364+SUM(G409:G410)+G450+G452+G503+G504+G549+G590+G633+G677</f>
        <v>1950</v>
      </c>
      <c r="H722" s="172">
        <f>SUM(H121:H121)+SUM(H237:H237)+H357+H359+H360+H362+H364+SUM(H409:H410)+H450+H452+H503+H504+H549+H590+H633+H677</f>
        <v>4375</v>
      </c>
      <c r="I722" s="38">
        <f t="shared" si="101"/>
        <v>7975</v>
      </c>
      <c r="J722" s="172">
        <f>SUM(J121:J121)+SUM(J237:J237)+J357+J359+J360+J362+J364+SUM(J409:J410)+J450+J452+J503+J504+J549+J590+J633+J677</f>
        <v>310</v>
      </c>
      <c r="K722" s="172">
        <f>SUM(K121:K121)+SUM(K237:K237)+K357+K359+K360+K362+K364+SUM(K409:K410)+K450+K452+K503+K504+K549+K590+K633+K677</f>
        <v>15864</v>
      </c>
      <c r="L722" s="172">
        <f>SUM(L121:L121)+SUM(L237:L237)+L357+L359+L360+L362+L364+SUM(L409:L410)+L450+L452+L503+L504+L549+L590+L633+L677</f>
        <v>9157</v>
      </c>
      <c r="M722" s="38">
        <f t="shared" si="102"/>
        <v>25331</v>
      </c>
      <c r="N722" s="172">
        <f>SUM(N121:N121)+SUM(N237:N237)+N357+N359+N360+N362+N364+SUM(N409:N410)+N450+N452+N503+N504+N549+N590+N633+N677</f>
        <v>2636</v>
      </c>
      <c r="O722" s="172">
        <f>SUM(O121:O121)+SUM(O237:O237)+O357+O359+O360+O362+O364+SUM(O409:O410)+O450+O452+O503+O504+O549+O590+O633+O677</f>
        <v>2054</v>
      </c>
      <c r="P722" s="172">
        <f>SUM(P121:P121)+SUM(P237:P237)+P357+P359+P360+P362+P364+SUM(P409:P410)+P450+P452+P503+P504+P549+P590+P633+P677</f>
        <v>3860</v>
      </c>
      <c r="Q722" s="38">
        <f t="shared" si="103"/>
        <v>8550</v>
      </c>
      <c r="R722" s="38">
        <f t="shared" si="104"/>
        <v>44506</v>
      </c>
    </row>
    <row r="723" spans="1:18" ht="15.75" customHeight="1" thickBot="1" x14ac:dyDescent="0.35">
      <c r="A723" s="266" t="s">
        <v>1862</v>
      </c>
      <c r="B723" s="172">
        <f>+B358+B361+B363+B411</f>
        <v>0</v>
      </c>
      <c r="C723" s="172">
        <f>+C358+C361+C363+C411</f>
        <v>0</v>
      </c>
      <c r="D723" s="172">
        <f>+D358+D361+D363+D411</f>
        <v>0</v>
      </c>
      <c r="E723" s="38">
        <f>SUM(B723:D723)</f>
        <v>0</v>
      </c>
      <c r="F723" s="172">
        <f>+F358+F361+F363+F411</f>
        <v>0</v>
      </c>
      <c r="G723" s="172">
        <f>+G358+G361+G363+G411</f>
        <v>0</v>
      </c>
      <c r="H723" s="172">
        <f>+H358+H361+H363+H411</f>
        <v>0</v>
      </c>
      <c r="I723" s="38">
        <f>SUM(F723:H723)</f>
        <v>0</v>
      </c>
      <c r="J723" s="172">
        <f>+J358+J361+J363+J411</f>
        <v>0</v>
      </c>
      <c r="K723" s="172">
        <f>+K358+K361+K363+K411</f>
        <v>0</v>
      </c>
      <c r="L723" s="172">
        <f>+L358+L361+L363+L411</f>
        <v>0</v>
      </c>
      <c r="M723" s="38">
        <f>SUM(J723:L723)</f>
        <v>0</v>
      </c>
      <c r="N723" s="172">
        <f>+N358+N361+N363+N411</f>
        <v>0</v>
      </c>
      <c r="O723" s="172">
        <f>+O358+O361+O363+O411</f>
        <v>0</v>
      </c>
      <c r="P723" s="172">
        <f>+P358+P361+P363+P411</f>
        <v>0</v>
      </c>
      <c r="Q723" s="38">
        <f>SUM(N723:P723)</f>
        <v>0</v>
      </c>
      <c r="R723" s="38">
        <f>+E723+I723+M723+Q723</f>
        <v>0</v>
      </c>
    </row>
    <row r="724" spans="1:18" ht="16.5" customHeight="1" thickBot="1" x14ac:dyDescent="0.35">
      <c r="A724" s="43" t="s">
        <v>1019</v>
      </c>
      <c r="B724" s="335">
        <f>SUM(B721:B723)</f>
        <v>380</v>
      </c>
      <c r="C724" s="335">
        <f>SUM(C721:C723)</f>
        <v>967</v>
      </c>
      <c r="D724" s="335">
        <f>SUM(D721:D723)</f>
        <v>8971</v>
      </c>
      <c r="E724" s="39">
        <f t="shared" si="100"/>
        <v>10318</v>
      </c>
      <c r="F724" s="335">
        <f>SUM(F721:F723)</f>
        <v>13726</v>
      </c>
      <c r="G724" s="335">
        <f>SUM(G721:G723)</f>
        <v>17222</v>
      </c>
      <c r="H724" s="335">
        <f>SUM(H721:H723)</f>
        <v>19252</v>
      </c>
      <c r="I724" s="39">
        <f t="shared" si="101"/>
        <v>50200</v>
      </c>
      <c r="J724" s="335">
        <f>SUM(J721:J723)</f>
        <v>17599</v>
      </c>
      <c r="K724" s="335">
        <f>SUM(K721:K723)</f>
        <v>24275</v>
      </c>
      <c r="L724" s="335">
        <f>SUM(L721:L723)</f>
        <v>11162</v>
      </c>
      <c r="M724" s="39">
        <f t="shared" si="102"/>
        <v>53036</v>
      </c>
      <c r="N724" s="335">
        <f>SUM(N721:N723)</f>
        <v>3963</v>
      </c>
      <c r="O724" s="335">
        <f>SUM(O721:O723)</f>
        <v>2387</v>
      </c>
      <c r="P724" s="335">
        <f>SUM(P721:P723)</f>
        <v>4451</v>
      </c>
      <c r="Q724" s="39">
        <f t="shared" si="103"/>
        <v>10801</v>
      </c>
      <c r="R724" s="37">
        <f t="shared" si="104"/>
        <v>124355</v>
      </c>
    </row>
    <row r="725" spans="1:18" ht="16.5" customHeight="1" thickBot="1" x14ac:dyDescent="0.35">
      <c r="A725" s="277" t="s">
        <v>1221</v>
      </c>
      <c r="B725" s="45">
        <f>SUM(B717:B723)</f>
        <v>3432</v>
      </c>
      <c r="C725" s="46">
        <f>SUM(C717:C723)</f>
        <v>11552</v>
      </c>
      <c r="D725" s="58">
        <f>SUM(D717:D723)</f>
        <v>26532</v>
      </c>
      <c r="E725" s="336">
        <f t="shared" si="100"/>
        <v>41516</v>
      </c>
      <c r="F725" s="45">
        <f>SUM(F717:F723)</f>
        <v>22280</v>
      </c>
      <c r="G725" s="46">
        <f>SUM(G717:G723)</f>
        <v>20948</v>
      </c>
      <c r="H725" s="58">
        <f>SUM(H717:H723)</f>
        <v>36246</v>
      </c>
      <c r="I725" s="39">
        <f t="shared" si="101"/>
        <v>79474</v>
      </c>
      <c r="J725" s="45">
        <f>SUM(J717:J723)</f>
        <v>42434</v>
      </c>
      <c r="K725" s="46">
        <f>SUM(K717:K723)</f>
        <v>36473</v>
      </c>
      <c r="L725" s="58">
        <f>SUM(L717:L723)</f>
        <v>22094</v>
      </c>
      <c r="M725" s="39">
        <f t="shared" si="102"/>
        <v>101001</v>
      </c>
      <c r="N725" s="45">
        <f>SUM(N717:N723)</f>
        <v>15321</v>
      </c>
      <c r="O725" s="46">
        <f>SUM(O717:O723)</f>
        <v>8637</v>
      </c>
      <c r="P725" s="58">
        <f>SUM(P717:P723)</f>
        <v>15707</v>
      </c>
      <c r="Q725" s="39">
        <f t="shared" si="103"/>
        <v>39665</v>
      </c>
      <c r="R725" s="37">
        <f t="shared" si="104"/>
        <v>261656</v>
      </c>
    </row>
    <row r="726" spans="1:18" ht="16.5" customHeight="1" thickBot="1" x14ac:dyDescent="0.35">
      <c r="A726" s="43" t="s">
        <v>1222</v>
      </c>
      <c r="B726" s="337">
        <f>+B707+B712+B716+B725</f>
        <v>66498</v>
      </c>
      <c r="C726" s="338">
        <f>+C707+C712+C716+C725</f>
        <v>78366</v>
      </c>
      <c r="D726" s="338">
        <f>+D707+D712+D716+D725</f>
        <v>135796</v>
      </c>
      <c r="E726" s="37">
        <f t="shared" si="100"/>
        <v>280660</v>
      </c>
      <c r="F726" s="42">
        <f>+F707+F712+F716+F725</f>
        <v>151715</v>
      </c>
      <c r="G726" s="42">
        <f>+G707+G712+G716+G725</f>
        <v>177404</v>
      </c>
      <c r="H726" s="42">
        <f>+H707+H712+H716+H725</f>
        <v>223913</v>
      </c>
      <c r="I726" s="37">
        <f t="shared" si="101"/>
        <v>553032</v>
      </c>
      <c r="J726" s="42">
        <f>+J707+J712+J716+J725</f>
        <v>229857</v>
      </c>
      <c r="K726" s="42">
        <f>+K707+K712+K716+K725</f>
        <v>215585</v>
      </c>
      <c r="L726" s="42">
        <f>+L707+L712+L716+L725</f>
        <v>138247</v>
      </c>
      <c r="M726" s="37">
        <f t="shared" si="102"/>
        <v>583689</v>
      </c>
      <c r="N726" s="42">
        <f>+N707+N712+N716+N725</f>
        <v>90308</v>
      </c>
      <c r="O726" s="42">
        <f>+O707+O712+O716+O725</f>
        <v>48560</v>
      </c>
      <c r="P726" s="42">
        <f>+P707+P712+P716+P725</f>
        <v>60098</v>
      </c>
      <c r="Q726" s="37">
        <f t="shared" si="103"/>
        <v>198966</v>
      </c>
      <c r="R726" s="40">
        <f t="shared" si="104"/>
        <v>1616347</v>
      </c>
    </row>
    <row r="727" spans="1:18" ht="15.75" customHeight="1" x14ac:dyDescent="0.3">
      <c r="A727" s="172"/>
      <c r="B727" s="172"/>
      <c r="C727" s="172"/>
      <c r="D727" s="172"/>
      <c r="E727" s="172"/>
      <c r="F727" s="172"/>
      <c r="G727" s="172"/>
      <c r="H727" s="172"/>
      <c r="I727" s="172"/>
      <c r="J727" s="172"/>
      <c r="K727" s="172"/>
      <c r="L727" s="172"/>
      <c r="M727" s="172"/>
      <c r="N727" s="172"/>
      <c r="O727" s="453"/>
      <c r="P727" s="172"/>
      <c r="Q727" s="172"/>
      <c r="R727" s="17"/>
    </row>
    <row r="728" spans="1:18" ht="15.75" customHeight="1" x14ac:dyDescent="0.3">
      <c r="A728" s="172"/>
      <c r="B728" s="172"/>
      <c r="C728" s="172"/>
      <c r="D728" s="172"/>
      <c r="E728" s="172"/>
      <c r="F728" s="172"/>
      <c r="G728" s="172"/>
      <c r="H728" s="172"/>
      <c r="I728" s="172"/>
      <c r="J728" s="172"/>
      <c r="K728" s="172"/>
      <c r="L728" s="172"/>
      <c r="M728" s="172"/>
      <c r="N728" s="172"/>
      <c r="O728" s="453"/>
      <c r="P728" s="172"/>
      <c r="Q728" s="17" t="str">
        <f>+Q1</f>
        <v>PRINTED:</v>
      </c>
      <c r="R728" s="76">
        <f ca="1">+R1</f>
        <v>44881.72963425926</v>
      </c>
    </row>
    <row r="729" spans="1:18" ht="15.75" customHeight="1" x14ac:dyDescent="0.3">
      <c r="A729" s="778" t="s">
        <v>43</v>
      </c>
      <c r="B729" s="778"/>
      <c r="C729" s="778"/>
      <c r="D729" s="778"/>
      <c r="E729" s="778"/>
      <c r="F729" s="778"/>
      <c r="G729" s="778"/>
      <c r="H729" s="778"/>
      <c r="I729" s="778"/>
      <c r="J729" s="778"/>
      <c r="K729" s="778"/>
      <c r="L729" s="778"/>
      <c r="M729" s="778"/>
      <c r="N729" s="778"/>
      <c r="O729" s="778"/>
      <c r="P729" s="778"/>
      <c r="Q729" s="778"/>
      <c r="R729" s="778"/>
    </row>
    <row r="730" spans="1:18" ht="15.75" customHeight="1" x14ac:dyDescent="0.3">
      <c r="A730" s="778" t="s">
        <v>1988</v>
      </c>
      <c r="B730" s="778"/>
      <c r="C730" s="778"/>
      <c r="D730" s="778"/>
      <c r="E730" s="778"/>
      <c r="F730" s="778"/>
      <c r="G730" s="778"/>
      <c r="H730" s="778"/>
      <c r="I730" s="778"/>
      <c r="J730" s="778"/>
      <c r="K730" s="778"/>
      <c r="L730" s="778"/>
      <c r="M730" s="778"/>
      <c r="N730" s="778"/>
      <c r="O730" s="778"/>
      <c r="P730" s="778"/>
      <c r="Q730" s="778"/>
      <c r="R730" s="778"/>
    </row>
    <row r="731" spans="1:18" ht="15.75" customHeight="1" x14ac:dyDescent="0.3">
      <c r="A731" s="778" t="s">
        <v>544</v>
      </c>
      <c r="B731" s="778"/>
      <c r="C731" s="778"/>
      <c r="D731" s="778"/>
      <c r="E731" s="778"/>
      <c r="F731" s="778"/>
      <c r="G731" s="778"/>
      <c r="H731" s="778"/>
      <c r="I731" s="778"/>
      <c r="J731" s="778"/>
      <c r="K731" s="778"/>
      <c r="L731" s="778"/>
      <c r="M731" s="778"/>
      <c r="N731" s="778"/>
      <c r="O731" s="778"/>
      <c r="P731" s="778"/>
      <c r="Q731" s="778"/>
      <c r="R731" s="778"/>
    </row>
    <row r="732" spans="1:18" ht="15.75" customHeight="1" x14ac:dyDescent="0.3">
      <c r="A732" s="778" t="str">
        <f>+A5</f>
        <v>Calendar Year 2011</v>
      </c>
      <c r="B732" s="778"/>
      <c r="C732" s="778"/>
      <c r="D732" s="778"/>
      <c r="E732" s="778"/>
      <c r="F732" s="778"/>
      <c r="G732" s="778"/>
      <c r="H732" s="778"/>
      <c r="I732" s="778"/>
      <c r="J732" s="778"/>
      <c r="K732" s="778"/>
      <c r="L732" s="778"/>
      <c r="M732" s="778"/>
      <c r="N732" s="778"/>
      <c r="O732" s="778"/>
      <c r="P732" s="778"/>
      <c r="Q732" s="778"/>
      <c r="R732" s="778"/>
    </row>
    <row r="733" spans="1:18" ht="15.75" customHeight="1" x14ac:dyDescent="0.3">
      <c r="A733" s="172"/>
      <c r="B733" s="172"/>
      <c r="C733" s="172"/>
      <c r="D733" s="1"/>
      <c r="E733" s="1"/>
      <c r="F733" s="1"/>
      <c r="G733" s="452"/>
      <c r="H733" s="1"/>
      <c r="I733" s="1"/>
      <c r="J733" s="452"/>
      <c r="K733" s="452"/>
      <c r="L733" s="452"/>
      <c r="M733" s="452"/>
      <c r="N733" s="172"/>
      <c r="O733" s="452"/>
      <c r="P733" s="452"/>
      <c r="Q733" s="452"/>
      <c r="R733" s="452"/>
    </row>
    <row r="734" spans="1:18" ht="15.75" customHeight="1" x14ac:dyDescent="0.3">
      <c r="A734" s="778" t="str">
        <f>+A9</f>
        <v>Revised:  1/23/11</v>
      </c>
      <c r="B734" s="778"/>
      <c r="C734" s="778"/>
      <c r="D734" s="778"/>
      <c r="E734" s="778"/>
      <c r="F734" s="778"/>
      <c r="G734" s="778"/>
      <c r="H734" s="778"/>
      <c r="I734" s="778"/>
      <c r="J734" s="778"/>
      <c r="K734" s="778"/>
      <c r="L734" s="778"/>
      <c r="M734" s="778"/>
      <c r="N734" s="778"/>
      <c r="O734" s="778"/>
      <c r="P734" s="778"/>
      <c r="Q734" s="778"/>
      <c r="R734" s="778"/>
    </row>
    <row r="735" spans="1:18" ht="15.75" customHeight="1" x14ac:dyDescent="0.3">
      <c r="A735" s="448"/>
      <c r="B735" s="448"/>
      <c r="C735" s="448"/>
      <c r="D735" s="448"/>
      <c r="E735" s="448"/>
      <c r="F735" s="448"/>
      <c r="G735" s="448"/>
      <c r="H735" s="448"/>
      <c r="I735" s="448"/>
      <c r="J735" s="448"/>
      <c r="K735" s="448"/>
      <c r="L735" s="448"/>
      <c r="M735" s="448"/>
      <c r="N735" s="448"/>
      <c r="O735" s="448"/>
      <c r="P735" s="448"/>
      <c r="Q735" s="448"/>
      <c r="R735" s="448"/>
    </row>
    <row r="736" spans="1:18" ht="15.75" customHeight="1" x14ac:dyDescent="0.3">
      <c r="A736" s="18"/>
      <c r="B736" s="172"/>
      <c r="C736" s="172"/>
      <c r="D736" s="172"/>
      <c r="E736" s="172"/>
      <c r="F736" s="172"/>
      <c r="G736" s="172"/>
      <c r="H736" s="172"/>
      <c r="I736" s="172"/>
      <c r="J736" s="172"/>
      <c r="K736" s="172"/>
      <c r="L736" s="172"/>
      <c r="M736" s="172"/>
      <c r="N736" s="172"/>
      <c r="O736" s="172"/>
      <c r="P736" s="172"/>
      <c r="Q736" s="172"/>
      <c r="R736" s="17"/>
    </row>
    <row r="737" spans="1:18" ht="15.75" customHeight="1" thickBot="1" x14ac:dyDescent="0.35">
      <c r="A737" s="172"/>
      <c r="B737" s="172"/>
      <c r="C737" s="172"/>
      <c r="D737" s="172"/>
      <c r="E737" s="172"/>
      <c r="F737" s="172"/>
      <c r="G737" s="172"/>
      <c r="H737" s="172"/>
      <c r="I737" s="172"/>
      <c r="J737" s="172"/>
      <c r="K737" s="172"/>
      <c r="L737" s="172"/>
      <c r="M737" s="172"/>
      <c r="N737" s="172"/>
      <c r="O737" s="453"/>
      <c r="P737" s="172"/>
      <c r="Q737" s="172"/>
      <c r="R737" s="17"/>
    </row>
    <row r="738" spans="1:18" ht="15.75" customHeight="1" thickBot="1" x14ac:dyDescent="0.35">
      <c r="A738" s="274" t="s">
        <v>1088</v>
      </c>
      <c r="B738" s="25" t="s">
        <v>2090</v>
      </c>
      <c r="C738" s="26" t="s">
        <v>2091</v>
      </c>
      <c r="D738" s="26" t="s">
        <v>2234</v>
      </c>
      <c r="E738" s="33" t="s">
        <v>1594</v>
      </c>
      <c r="F738" s="26" t="s">
        <v>2235</v>
      </c>
      <c r="G738" s="26" t="s">
        <v>2236</v>
      </c>
      <c r="H738" s="26" t="s">
        <v>2237</v>
      </c>
      <c r="I738" s="33" t="s">
        <v>1595</v>
      </c>
      <c r="J738" s="26" t="s">
        <v>1504</v>
      </c>
      <c r="K738" s="26" t="s">
        <v>1505</v>
      </c>
      <c r="L738" s="26" t="s">
        <v>1506</v>
      </c>
      <c r="M738" s="33" t="s">
        <v>1596</v>
      </c>
      <c r="N738" s="26" t="s">
        <v>1507</v>
      </c>
      <c r="O738" s="26" t="s">
        <v>1508</v>
      </c>
      <c r="P738" s="26" t="s">
        <v>1509</v>
      </c>
      <c r="Q738" s="33" t="s">
        <v>1597</v>
      </c>
      <c r="R738" s="339" t="s">
        <v>1510</v>
      </c>
    </row>
    <row r="739" spans="1:18" ht="16.5" customHeight="1" thickBot="1" x14ac:dyDescent="0.35">
      <c r="A739" s="340"/>
      <c r="B739" s="341"/>
      <c r="C739" s="341"/>
      <c r="D739" s="341"/>
      <c r="E739" s="233"/>
      <c r="F739" s="341"/>
      <c r="G739" s="341"/>
      <c r="H739" s="341"/>
      <c r="I739" s="243"/>
      <c r="J739" s="341"/>
      <c r="K739" s="341"/>
      <c r="L739" s="341"/>
      <c r="M739" s="243"/>
      <c r="N739" s="341"/>
      <c r="O739" s="341"/>
      <c r="P739" s="341"/>
      <c r="Q739" s="279"/>
      <c r="R739" s="342"/>
    </row>
    <row r="740" spans="1:18" ht="16.5" customHeight="1" thickBot="1" x14ac:dyDescent="0.35">
      <c r="A740" s="343" t="s">
        <v>673</v>
      </c>
      <c r="B740" s="344">
        <f>+B707</f>
        <v>34922</v>
      </c>
      <c r="C740" s="344">
        <f>+C707</f>
        <v>28465</v>
      </c>
      <c r="D740" s="344">
        <f>+D707</f>
        <v>32768</v>
      </c>
      <c r="E740" s="45">
        <f>+SUM(B740:D740)</f>
        <v>96155</v>
      </c>
      <c r="F740" s="344">
        <f>+F707</f>
        <v>39072</v>
      </c>
      <c r="G740" s="344">
        <f>+G707</f>
        <v>39157</v>
      </c>
      <c r="H740" s="344">
        <f>+H707</f>
        <v>35293</v>
      </c>
      <c r="I740" s="45">
        <f>+SUM(F740:H740)</f>
        <v>113522</v>
      </c>
      <c r="J740" s="344">
        <f>+J707</f>
        <v>47103</v>
      </c>
      <c r="K740" s="344">
        <f>+K707</f>
        <v>55498</v>
      </c>
      <c r="L740" s="344">
        <f>+L707</f>
        <v>53040</v>
      </c>
      <c r="M740" s="45">
        <f>+SUM(J740:L740)</f>
        <v>155641</v>
      </c>
      <c r="N740" s="344">
        <f>+N707</f>
        <v>37581</v>
      </c>
      <c r="O740" s="344">
        <f>+O707</f>
        <v>25472</v>
      </c>
      <c r="P740" s="344">
        <f>+P707</f>
        <v>27695</v>
      </c>
      <c r="Q740" s="45">
        <f>+SUM(N740:P740)</f>
        <v>90748</v>
      </c>
      <c r="R740" s="37">
        <f>+E740+I740+M740+Q740</f>
        <v>456066</v>
      </c>
    </row>
    <row r="741" spans="1:18" ht="16.5" customHeight="1" thickBot="1" x14ac:dyDescent="0.35">
      <c r="A741" s="35"/>
      <c r="B741" s="45"/>
      <c r="C741" s="45"/>
      <c r="D741" s="45"/>
      <c r="E741" s="45"/>
      <c r="F741" s="45"/>
      <c r="G741" s="45"/>
      <c r="H741" s="45"/>
      <c r="I741" s="45"/>
      <c r="J741" s="45"/>
      <c r="K741" s="45"/>
      <c r="L741" s="45"/>
      <c r="M741" s="45"/>
      <c r="N741" s="45"/>
      <c r="O741" s="45"/>
      <c r="P741" s="45"/>
      <c r="Q741" s="45"/>
      <c r="R741" s="37"/>
    </row>
    <row r="742" spans="1:18" ht="16.5" customHeight="1" thickBot="1" x14ac:dyDescent="0.35">
      <c r="A742" s="343" t="s">
        <v>672</v>
      </c>
      <c r="B742" s="344">
        <f>+B712</f>
        <v>9925</v>
      </c>
      <c r="C742" s="344">
        <f>+C712</f>
        <v>14468</v>
      </c>
      <c r="D742" s="344">
        <f>+D712</f>
        <v>35292</v>
      </c>
      <c r="E742" s="45">
        <f>+SUM(B742:D742)</f>
        <v>59685</v>
      </c>
      <c r="F742" s="344">
        <f>+F712</f>
        <v>45798</v>
      </c>
      <c r="G742" s="344">
        <f>+G712</f>
        <v>53670</v>
      </c>
      <c r="H742" s="344">
        <f>+H712</f>
        <v>78347</v>
      </c>
      <c r="I742" s="45">
        <f>+SUM(F742:H742)</f>
        <v>177815</v>
      </c>
      <c r="J742" s="344">
        <f>+J712</f>
        <v>83276</v>
      </c>
      <c r="K742" s="344">
        <f>+K712</f>
        <v>53519</v>
      </c>
      <c r="L742" s="344">
        <f>+L712</f>
        <v>12291</v>
      </c>
      <c r="M742" s="45">
        <f>+SUM(J742:L742)</f>
        <v>149086</v>
      </c>
      <c r="N742" s="344">
        <f>+N712</f>
        <v>7065</v>
      </c>
      <c r="O742" s="344">
        <f>+O712</f>
        <v>1395</v>
      </c>
      <c r="P742" s="344">
        <f>+P712</f>
        <v>2026</v>
      </c>
      <c r="Q742" s="45">
        <f>+SUM(N742:P742)</f>
        <v>10486</v>
      </c>
      <c r="R742" s="37">
        <f>+E742+I742+M742+Q742</f>
        <v>397072</v>
      </c>
    </row>
    <row r="743" spans="1:18" ht="16.5" customHeight="1" thickBot="1" x14ac:dyDescent="0.35">
      <c r="A743" s="35"/>
      <c r="B743" s="45"/>
      <c r="C743" s="45"/>
      <c r="D743" s="45"/>
      <c r="E743" s="45"/>
      <c r="F743" s="45"/>
      <c r="G743" s="45"/>
      <c r="H743" s="45"/>
      <c r="I743" s="45"/>
      <c r="J743" s="45"/>
      <c r="K743" s="45"/>
      <c r="L743" s="45"/>
      <c r="M743" s="45"/>
      <c r="N743" s="45"/>
      <c r="O743" s="45"/>
      <c r="P743" s="45"/>
      <c r="Q743" s="45"/>
      <c r="R743" s="37"/>
    </row>
    <row r="744" spans="1:18" ht="16.5" customHeight="1" thickBot="1" x14ac:dyDescent="0.35">
      <c r="A744" s="343" t="s">
        <v>1089</v>
      </c>
      <c r="B744" s="344">
        <f>+B716</f>
        <v>18219</v>
      </c>
      <c r="C744" s="344">
        <f>+C716</f>
        <v>23881</v>
      </c>
      <c r="D744" s="344">
        <f>+D716</f>
        <v>41204</v>
      </c>
      <c r="E744" s="45">
        <f>+SUM(B744:D744)</f>
        <v>83304</v>
      </c>
      <c r="F744" s="344">
        <f>+F716</f>
        <v>44565</v>
      </c>
      <c r="G744" s="344">
        <f>+G716</f>
        <v>63629</v>
      </c>
      <c r="H744" s="344">
        <f>+H716</f>
        <v>74027</v>
      </c>
      <c r="I744" s="45">
        <f>+SUM(F744:H744)</f>
        <v>182221</v>
      </c>
      <c r="J744" s="344">
        <f>+J716</f>
        <v>57044</v>
      </c>
      <c r="K744" s="344">
        <f>+K716</f>
        <v>70095</v>
      </c>
      <c r="L744" s="344">
        <f>+L716</f>
        <v>50822</v>
      </c>
      <c r="M744" s="45">
        <f>+SUM(J744:L744)</f>
        <v>177961</v>
      </c>
      <c r="N744" s="344">
        <f>+N716</f>
        <v>30341</v>
      </c>
      <c r="O744" s="344">
        <f>+O716</f>
        <v>13056</v>
      </c>
      <c r="P744" s="344">
        <f>+P716</f>
        <v>14670</v>
      </c>
      <c r="Q744" s="45">
        <f>+SUM(N744:P744)</f>
        <v>58067</v>
      </c>
      <c r="R744" s="37">
        <f>+E744+I744+M744+Q744</f>
        <v>501553</v>
      </c>
    </row>
    <row r="745" spans="1:18" ht="16.5" customHeight="1" thickBot="1" x14ac:dyDescent="0.35">
      <c r="A745" s="35"/>
      <c r="B745" s="45"/>
      <c r="C745" s="45"/>
      <c r="D745" s="45"/>
      <c r="E745" s="45"/>
      <c r="F745" s="45"/>
      <c r="G745" s="45"/>
      <c r="H745" s="45"/>
      <c r="I745" s="45"/>
      <c r="J745" s="45"/>
      <c r="K745" s="45"/>
      <c r="L745" s="45"/>
      <c r="M745" s="45"/>
      <c r="N745" s="45"/>
      <c r="O745" s="45"/>
      <c r="P745" s="45"/>
      <c r="Q745" s="45"/>
      <c r="R745" s="37"/>
    </row>
    <row r="746" spans="1:18" ht="16.5" customHeight="1" thickBot="1" x14ac:dyDescent="0.35">
      <c r="A746" s="343" t="s">
        <v>1090</v>
      </c>
      <c r="B746" s="344">
        <f>+B725</f>
        <v>3432</v>
      </c>
      <c r="C746" s="344">
        <f>+C725</f>
        <v>11552</v>
      </c>
      <c r="D746" s="344">
        <f>+D725</f>
        <v>26532</v>
      </c>
      <c r="E746" s="45">
        <f>+SUM(B746:D746)</f>
        <v>41516</v>
      </c>
      <c r="F746" s="344">
        <f>+F725</f>
        <v>22280</v>
      </c>
      <c r="G746" s="344">
        <f>+G725</f>
        <v>20948</v>
      </c>
      <c r="H746" s="344">
        <f>+H725</f>
        <v>36246</v>
      </c>
      <c r="I746" s="45">
        <f>+SUM(F746:H746)</f>
        <v>79474</v>
      </c>
      <c r="J746" s="344">
        <f>+J725</f>
        <v>42434</v>
      </c>
      <c r="K746" s="344">
        <f>+K725</f>
        <v>36473</v>
      </c>
      <c r="L746" s="344">
        <f>+L725</f>
        <v>22094</v>
      </c>
      <c r="M746" s="45">
        <f>+SUM(J746:L746)</f>
        <v>101001</v>
      </c>
      <c r="N746" s="344">
        <f>+N725</f>
        <v>15321</v>
      </c>
      <c r="O746" s="344">
        <f>+O725</f>
        <v>8637</v>
      </c>
      <c r="P746" s="344">
        <f>+P725</f>
        <v>15707</v>
      </c>
      <c r="Q746" s="45">
        <f>+SUM(N746:P746)</f>
        <v>39665</v>
      </c>
      <c r="R746" s="37">
        <f>+E746+I746+M746+Q746</f>
        <v>261656</v>
      </c>
    </row>
    <row r="747" spans="1:18" ht="16.5" customHeight="1" thickBot="1" x14ac:dyDescent="0.35">
      <c r="A747" s="35"/>
      <c r="B747" s="45"/>
      <c r="C747" s="45"/>
      <c r="D747" s="45"/>
      <c r="E747" s="45"/>
      <c r="F747" s="45"/>
      <c r="G747" s="45"/>
      <c r="H747" s="45"/>
      <c r="I747" s="45"/>
      <c r="J747" s="45"/>
      <c r="K747" s="45"/>
      <c r="L747" s="45"/>
      <c r="M747" s="45"/>
      <c r="N747" s="45"/>
      <c r="O747" s="45"/>
      <c r="P747" s="45"/>
      <c r="Q747" s="45"/>
      <c r="R747" s="37"/>
    </row>
    <row r="748" spans="1:18" ht="16.5" customHeight="1" thickBot="1" x14ac:dyDescent="0.35">
      <c r="A748" s="35" t="s">
        <v>574</v>
      </c>
      <c r="B748" s="47">
        <f t="shared" ref="B748:R748" si="105">+SUM(B740:B746)</f>
        <v>66498</v>
      </c>
      <c r="C748" s="47">
        <f t="shared" si="105"/>
        <v>78366</v>
      </c>
      <c r="D748" s="47">
        <f t="shared" si="105"/>
        <v>135796</v>
      </c>
      <c r="E748" s="47">
        <f t="shared" si="105"/>
        <v>280660</v>
      </c>
      <c r="F748" s="47">
        <f t="shared" si="105"/>
        <v>151715</v>
      </c>
      <c r="G748" s="47">
        <f t="shared" si="105"/>
        <v>177404</v>
      </c>
      <c r="H748" s="47">
        <f t="shared" si="105"/>
        <v>223913</v>
      </c>
      <c r="I748" s="47">
        <f t="shared" si="105"/>
        <v>553032</v>
      </c>
      <c r="J748" s="47">
        <f t="shared" si="105"/>
        <v>229857</v>
      </c>
      <c r="K748" s="47">
        <f t="shared" si="105"/>
        <v>215585</v>
      </c>
      <c r="L748" s="47">
        <f t="shared" si="105"/>
        <v>138247</v>
      </c>
      <c r="M748" s="47">
        <f t="shared" si="105"/>
        <v>583689</v>
      </c>
      <c r="N748" s="47">
        <f t="shared" si="105"/>
        <v>90308</v>
      </c>
      <c r="O748" s="47">
        <f t="shared" si="105"/>
        <v>48560</v>
      </c>
      <c r="P748" s="47">
        <f t="shared" si="105"/>
        <v>60098</v>
      </c>
      <c r="Q748" s="47">
        <f t="shared" si="105"/>
        <v>198966</v>
      </c>
      <c r="R748" s="345">
        <f t="shared" si="105"/>
        <v>1616347</v>
      </c>
    </row>
    <row r="749" spans="1:18" ht="16.8" thickBot="1" x14ac:dyDescent="0.4">
      <c r="A749" s="201"/>
      <c r="B749" s="286"/>
      <c r="C749" s="286"/>
      <c r="D749" s="286"/>
      <c r="E749" s="286"/>
      <c r="F749" s="286"/>
      <c r="G749" s="286"/>
      <c r="H749" s="544" t="s">
        <v>2538</v>
      </c>
      <c r="I749" s="286"/>
      <c r="J749" s="286"/>
      <c r="K749" s="286"/>
      <c r="L749" s="286"/>
      <c r="M749" s="286"/>
      <c r="N749" s="286"/>
      <c r="O749" s="286"/>
      <c r="P749" s="286"/>
      <c r="Q749" s="286"/>
      <c r="R749" s="286"/>
    </row>
    <row r="750" spans="1:18" x14ac:dyDescent="0.3">
      <c r="A750" s="546"/>
      <c r="B750" s="547"/>
      <c r="C750" s="548" t="s">
        <v>864</v>
      </c>
      <c r="D750" s="547"/>
      <c r="E750" s="547"/>
      <c r="F750" s="547"/>
      <c r="G750" s="547"/>
      <c r="H750" s="547"/>
      <c r="I750" s="547"/>
      <c r="J750" s="547"/>
      <c r="K750" s="547"/>
      <c r="L750" s="547"/>
      <c r="M750" s="547"/>
      <c r="N750" s="547"/>
      <c r="O750" s="547"/>
      <c r="P750" s="547"/>
      <c r="Q750" s="549" t="str">
        <f>+Q1</f>
        <v>PRINTED:</v>
      </c>
      <c r="R750" s="550">
        <f ca="1">+R1</f>
        <v>44881.72963425926</v>
      </c>
    </row>
    <row r="751" spans="1:18" x14ac:dyDescent="0.3">
      <c r="A751" s="551"/>
      <c r="B751" s="67"/>
      <c r="C751" s="67"/>
      <c r="D751" s="67"/>
      <c r="E751" s="67" t="s">
        <v>852</v>
      </c>
      <c r="F751" s="69" t="str">
        <f>+A9</f>
        <v>Revised:  1/23/11</v>
      </c>
      <c r="G751" s="67"/>
      <c r="H751" s="67"/>
      <c r="I751" s="67"/>
      <c r="J751" s="67"/>
      <c r="K751" s="67"/>
      <c r="L751" s="67"/>
      <c r="M751" s="67"/>
      <c r="N751" s="67"/>
      <c r="O751" s="67"/>
      <c r="P751" s="67"/>
      <c r="Q751" s="67"/>
      <c r="R751" s="552"/>
    </row>
    <row r="752" spans="1:18" x14ac:dyDescent="0.3">
      <c r="A752" s="551"/>
      <c r="B752" s="67"/>
      <c r="C752" s="67"/>
      <c r="D752" s="67" t="s">
        <v>2545</v>
      </c>
      <c r="E752" s="67"/>
      <c r="F752" s="67"/>
      <c r="G752" s="67"/>
      <c r="H752" s="67"/>
      <c r="I752" s="67"/>
      <c r="J752" s="67"/>
      <c r="K752" s="67"/>
      <c r="L752" s="67"/>
      <c r="M752" s="67"/>
      <c r="N752" s="67"/>
      <c r="O752" s="67"/>
      <c r="P752" s="67"/>
      <c r="Q752" s="67"/>
      <c r="R752" s="552"/>
    </row>
    <row r="753" spans="1:18" x14ac:dyDescent="0.3">
      <c r="A753" s="551"/>
      <c r="B753" s="67"/>
      <c r="C753" s="67"/>
      <c r="D753" s="67"/>
      <c r="E753" s="67"/>
      <c r="F753" s="67"/>
      <c r="G753" s="67"/>
      <c r="H753" s="67"/>
      <c r="I753" s="67"/>
      <c r="J753" s="67"/>
      <c r="K753" s="67"/>
      <c r="L753" s="67"/>
      <c r="M753" s="67"/>
      <c r="N753" s="67"/>
      <c r="O753" s="67"/>
      <c r="P753" s="67"/>
      <c r="Q753" s="67"/>
      <c r="R753" s="552"/>
    </row>
    <row r="754" spans="1:18" x14ac:dyDescent="0.3">
      <c r="A754" s="551"/>
      <c r="B754" s="67"/>
      <c r="C754" s="67"/>
      <c r="D754" s="67"/>
      <c r="E754" s="67" t="str">
        <f>+A5</f>
        <v>Calendar Year 2011</v>
      </c>
      <c r="F754" s="67"/>
      <c r="G754" s="67"/>
      <c r="H754" s="67"/>
      <c r="I754" s="67"/>
      <c r="J754" s="67"/>
      <c r="K754" s="67"/>
      <c r="L754" s="67"/>
      <c r="M754" s="67"/>
      <c r="N754" s="67"/>
      <c r="O754" s="67"/>
      <c r="P754" s="67"/>
      <c r="Q754" s="67"/>
      <c r="R754" s="552"/>
    </row>
    <row r="755" spans="1:18" x14ac:dyDescent="0.3">
      <c r="A755" s="551"/>
      <c r="B755" s="67"/>
      <c r="C755" s="67"/>
      <c r="D755" s="67"/>
      <c r="E755" s="67" t="s">
        <v>1306</v>
      </c>
      <c r="F755" s="67"/>
      <c r="G755" s="67"/>
      <c r="H755" s="67"/>
      <c r="I755" s="67"/>
      <c r="J755" s="67"/>
      <c r="K755" s="67"/>
      <c r="L755" s="67"/>
      <c r="M755" s="67"/>
      <c r="N755" s="67"/>
      <c r="O755" s="67"/>
      <c r="P755" s="67"/>
      <c r="Q755" s="67"/>
      <c r="R755" s="552"/>
    </row>
    <row r="756" spans="1:18" x14ac:dyDescent="0.3">
      <c r="A756" s="551"/>
      <c r="B756" s="67"/>
      <c r="C756" s="67"/>
      <c r="D756" s="67"/>
      <c r="E756" s="67"/>
      <c r="F756" s="67"/>
      <c r="G756" s="67"/>
      <c r="H756" s="67"/>
      <c r="I756" s="67"/>
      <c r="J756" s="67"/>
      <c r="K756" s="67"/>
      <c r="L756" s="67"/>
      <c r="M756" s="67"/>
      <c r="N756" s="67"/>
      <c r="O756" s="67"/>
      <c r="P756" s="67"/>
      <c r="Q756" s="67"/>
      <c r="R756" s="552"/>
    </row>
    <row r="757" spans="1:18" x14ac:dyDescent="0.3">
      <c r="A757" s="551" t="s">
        <v>1307</v>
      </c>
      <c r="B757" s="70" t="s">
        <v>1308</v>
      </c>
      <c r="C757" s="70" t="s">
        <v>1309</v>
      </c>
      <c r="D757" s="70" t="s">
        <v>1029</v>
      </c>
      <c r="E757" s="70" t="s">
        <v>1030</v>
      </c>
      <c r="F757" s="70" t="s">
        <v>284</v>
      </c>
      <c r="G757" s="70" t="s">
        <v>284</v>
      </c>
      <c r="H757" s="70" t="s">
        <v>285</v>
      </c>
      <c r="I757" s="70" t="s">
        <v>286</v>
      </c>
      <c r="J757" s="70" t="s">
        <v>287</v>
      </c>
      <c r="K757" s="70" t="s">
        <v>288</v>
      </c>
      <c r="L757" s="70" t="s">
        <v>289</v>
      </c>
      <c r="M757" s="70" t="s">
        <v>633</v>
      </c>
      <c r="N757" s="70" t="s">
        <v>634</v>
      </c>
      <c r="O757" s="70" t="s">
        <v>1192</v>
      </c>
      <c r="P757" s="70" t="s">
        <v>524</v>
      </c>
      <c r="Q757" s="70" t="s">
        <v>525</v>
      </c>
      <c r="R757" s="552"/>
    </row>
    <row r="758" spans="1:18" x14ac:dyDescent="0.3">
      <c r="A758" s="551" t="s">
        <v>526</v>
      </c>
      <c r="B758" s="67"/>
      <c r="C758" s="67"/>
      <c r="D758" s="67"/>
      <c r="E758" s="67"/>
      <c r="F758" s="70" t="s">
        <v>1193</v>
      </c>
      <c r="G758" s="70" t="s">
        <v>1194</v>
      </c>
      <c r="H758" s="67"/>
      <c r="I758" s="67"/>
      <c r="J758" s="67"/>
      <c r="K758" s="67"/>
      <c r="L758" s="67"/>
      <c r="M758" s="67"/>
      <c r="N758" s="67"/>
      <c r="O758" s="67"/>
      <c r="P758" s="67"/>
      <c r="Q758" s="67"/>
      <c r="R758" s="552"/>
    </row>
    <row r="759" spans="1:18" x14ac:dyDescent="0.3">
      <c r="A759" s="551" t="s">
        <v>1195</v>
      </c>
      <c r="B759" s="67">
        <v>953</v>
      </c>
      <c r="C759" s="67">
        <v>128</v>
      </c>
      <c r="D759" s="67">
        <v>128</v>
      </c>
      <c r="E759" s="67">
        <v>219</v>
      </c>
      <c r="F759" s="67">
        <v>179</v>
      </c>
      <c r="G759" s="67">
        <v>121</v>
      </c>
      <c r="H759" s="67">
        <v>92</v>
      </c>
      <c r="I759" s="67">
        <v>150</v>
      </c>
      <c r="J759" s="67">
        <v>237</v>
      </c>
      <c r="K759" s="67">
        <v>226</v>
      </c>
      <c r="L759" s="67">
        <v>99</v>
      </c>
      <c r="M759" s="67">
        <v>102</v>
      </c>
      <c r="N759" s="67">
        <v>249</v>
      </c>
      <c r="O759" s="67">
        <v>189</v>
      </c>
      <c r="P759" s="67">
        <v>333</v>
      </c>
      <c r="Q759" s="67">
        <v>411</v>
      </c>
      <c r="R759" s="552"/>
    </row>
    <row r="760" spans="1:18" x14ac:dyDescent="0.3">
      <c r="A760" s="551"/>
      <c r="B760" s="67" t="s">
        <v>1353</v>
      </c>
      <c r="C760" s="67" t="s">
        <v>1353</v>
      </c>
      <c r="D760" s="67" t="s">
        <v>1353</v>
      </c>
      <c r="E760" s="67" t="s">
        <v>1353</v>
      </c>
      <c r="F760" s="67" t="s">
        <v>1353</v>
      </c>
      <c r="G760" s="67" t="s">
        <v>1353</v>
      </c>
      <c r="H760" s="67" t="s">
        <v>1353</v>
      </c>
      <c r="I760" s="67" t="s">
        <v>1353</v>
      </c>
      <c r="J760" s="67" t="s">
        <v>1353</v>
      </c>
      <c r="K760" s="67" t="s">
        <v>1353</v>
      </c>
      <c r="L760" s="67" t="s">
        <v>1353</v>
      </c>
      <c r="M760" s="67" t="s">
        <v>1353</v>
      </c>
      <c r="N760" s="67" t="s">
        <v>1353</v>
      </c>
      <c r="O760" s="67" t="s">
        <v>1353</v>
      </c>
      <c r="P760" s="67" t="s">
        <v>1353</v>
      </c>
      <c r="Q760" s="67" t="s">
        <v>1353</v>
      </c>
      <c r="R760" s="552"/>
    </row>
    <row r="761" spans="1:18" x14ac:dyDescent="0.3">
      <c r="A761" s="553" t="s">
        <v>1354</v>
      </c>
      <c r="B761" s="67">
        <f>+B30</f>
        <v>89980</v>
      </c>
      <c r="C761" s="67">
        <f>+B65</f>
        <v>89883</v>
      </c>
      <c r="D761" s="67">
        <f>+B129</f>
        <v>89787</v>
      </c>
      <c r="E761" s="67">
        <f>+B250</f>
        <v>86696</v>
      </c>
      <c r="F761" s="67">
        <f>+B245</f>
        <v>22743</v>
      </c>
      <c r="G761" s="67">
        <f>+B257</f>
        <v>0</v>
      </c>
      <c r="H761" s="67">
        <f>+B374</f>
        <v>42431</v>
      </c>
      <c r="I761" s="67">
        <f>+B419</f>
        <v>20914</v>
      </c>
      <c r="J761" s="67">
        <f>+B460</f>
        <v>20901</v>
      </c>
      <c r="K761" s="67">
        <f>+B512</f>
        <v>20497</v>
      </c>
      <c r="L761" s="67">
        <f>+B522</f>
        <v>16249</v>
      </c>
      <c r="M761" s="67">
        <f>+B557</f>
        <v>16229</v>
      </c>
      <c r="N761" s="67">
        <f>+B598</f>
        <v>16219</v>
      </c>
      <c r="O761" s="67">
        <f>+B608</f>
        <v>2779</v>
      </c>
      <c r="P761" s="67">
        <f>+B642</f>
        <v>5099</v>
      </c>
      <c r="Q761" s="67">
        <f>+B685</f>
        <v>2710</v>
      </c>
      <c r="R761" s="552"/>
    </row>
    <row r="762" spans="1:18" x14ac:dyDescent="0.3">
      <c r="A762" s="553" t="s">
        <v>706</v>
      </c>
      <c r="B762" s="67">
        <f>+C30</f>
        <v>133796</v>
      </c>
      <c r="C762" s="67">
        <f>+C65</f>
        <v>133648</v>
      </c>
      <c r="D762" s="67">
        <f>+C129</f>
        <v>133503</v>
      </c>
      <c r="E762" s="67">
        <f>+C250</f>
        <v>123525</v>
      </c>
      <c r="F762" s="67">
        <f>+C245</f>
        <v>52608</v>
      </c>
      <c r="G762" s="67">
        <f>+C257</f>
        <v>0</v>
      </c>
      <c r="H762" s="67">
        <f>+C374</f>
        <v>48437</v>
      </c>
      <c r="I762" s="67">
        <f>+C419</f>
        <v>22595</v>
      </c>
      <c r="J762" s="67">
        <f>+C460</f>
        <v>22469</v>
      </c>
      <c r="K762" s="67">
        <f>+C512</f>
        <v>21756</v>
      </c>
      <c r="L762" s="67">
        <f>+C522</f>
        <v>16947</v>
      </c>
      <c r="M762" s="67">
        <f>+C557</f>
        <v>16925</v>
      </c>
      <c r="N762" s="67">
        <f>+C598</f>
        <v>16914</v>
      </c>
      <c r="O762" s="67">
        <f>+C608</f>
        <v>3278</v>
      </c>
      <c r="P762" s="67">
        <f>+C642</f>
        <v>4230</v>
      </c>
      <c r="Q762" s="67">
        <f>+C685</f>
        <v>3169</v>
      </c>
      <c r="R762" s="552"/>
    </row>
    <row r="763" spans="1:18" x14ac:dyDescent="0.3">
      <c r="A763" s="553" t="s">
        <v>707</v>
      </c>
      <c r="B763" s="67">
        <f>+D30</f>
        <v>185757</v>
      </c>
      <c r="C763" s="67">
        <f>+D65</f>
        <v>185483</v>
      </c>
      <c r="D763" s="67">
        <f>+D129</f>
        <v>185222</v>
      </c>
      <c r="E763" s="67">
        <f>+D250</f>
        <v>161765</v>
      </c>
      <c r="F763" s="67">
        <f>+D245</f>
        <v>44419</v>
      </c>
      <c r="G763" s="67">
        <f>+D257</f>
        <v>0</v>
      </c>
      <c r="H763" s="67">
        <f>+D374</f>
        <v>87218</v>
      </c>
      <c r="I763" s="67">
        <f>+D419</f>
        <v>27213</v>
      </c>
      <c r="J763" s="67">
        <f>+D460</f>
        <v>24520</v>
      </c>
      <c r="K763" s="67">
        <f>+D512</f>
        <v>20179</v>
      </c>
      <c r="L763" s="67">
        <f>+D522</f>
        <v>14708</v>
      </c>
      <c r="M763" s="67">
        <f>+D557</f>
        <v>14680</v>
      </c>
      <c r="N763" s="67">
        <f>+D598</f>
        <v>14578</v>
      </c>
      <c r="O763" s="67">
        <f>+D608</f>
        <v>1132</v>
      </c>
      <c r="P763" s="67">
        <f>+D642</f>
        <v>5427</v>
      </c>
      <c r="Q763" s="67">
        <f>+D685</f>
        <v>1118</v>
      </c>
      <c r="R763" s="552"/>
    </row>
    <row r="764" spans="1:18" x14ac:dyDescent="0.3">
      <c r="A764" s="553" t="s">
        <v>1321</v>
      </c>
      <c r="B764" s="67">
        <f>+F30</f>
        <v>180578</v>
      </c>
      <c r="C764" s="67">
        <f>+F65</f>
        <v>180211</v>
      </c>
      <c r="D764" s="67">
        <f>+F129</f>
        <v>179828</v>
      </c>
      <c r="E764" s="67">
        <f>+F250</f>
        <v>166361</v>
      </c>
      <c r="F764" s="67">
        <f>+F245</f>
        <v>21347</v>
      </c>
      <c r="G764" s="67">
        <f>+F257</f>
        <v>0</v>
      </c>
      <c r="H764" s="67">
        <f>+F374</f>
        <v>114594</v>
      </c>
      <c r="I764" s="67">
        <f>+F419</f>
        <v>34270</v>
      </c>
      <c r="J764" s="67">
        <f>+F460</f>
        <v>28892</v>
      </c>
      <c r="K764" s="67">
        <f>+F512</f>
        <v>23884</v>
      </c>
      <c r="L764" s="67">
        <f>+F522</f>
        <v>18424</v>
      </c>
      <c r="M764" s="67">
        <f>+F557</f>
        <v>18387</v>
      </c>
      <c r="N764" s="67">
        <f>+F598</f>
        <v>17139</v>
      </c>
      <c r="O764" s="67">
        <f>+F608</f>
        <v>1589</v>
      </c>
      <c r="P764" s="67">
        <f>+F642</f>
        <v>5513</v>
      </c>
      <c r="Q764" s="67">
        <f>+F685</f>
        <v>1529</v>
      </c>
      <c r="R764" s="552"/>
    </row>
    <row r="765" spans="1:18" x14ac:dyDescent="0.3">
      <c r="A765" s="553" t="s">
        <v>1905</v>
      </c>
      <c r="B765" s="67">
        <f>+G30</f>
        <v>167185</v>
      </c>
      <c r="C765" s="67">
        <f>+G65</f>
        <v>166760</v>
      </c>
      <c r="D765" s="67">
        <f>+G129</f>
        <v>166256</v>
      </c>
      <c r="E765" s="67">
        <f>+G250</f>
        <v>153385</v>
      </c>
      <c r="F765" s="67">
        <f>+G245</f>
        <v>7072</v>
      </c>
      <c r="G765" s="67">
        <f>+G257</f>
        <v>-25965</v>
      </c>
      <c r="H765" s="67">
        <f>+G374</f>
        <v>132276</v>
      </c>
      <c r="I765" s="67">
        <f>+G419</f>
        <v>31390</v>
      </c>
      <c r="J765" s="67">
        <f>+G460</f>
        <v>27107</v>
      </c>
      <c r="K765" s="67">
        <f>+G512</f>
        <v>20749</v>
      </c>
      <c r="L765" s="67">
        <f>+G522</f>
        <v>19875</v>
      </c>
      <c r="M765" s="67">
        <f>+G557</f>
        <v>19833</v>
      </c>
      <c r="N765" s="67">
        <f>+G598</f>
        <v>17047</v>
      </c>
      <c r="O765" s="67">
        <f>+G608</f>
        <v>1769</v>
      </c>
      <c r="P765" s="67">
        <f>+G642</f>
        <v>5859</v>
      </c>
      <c r="Q765" s="67">
        <f>+G685</f>
        <v>1745</v>
      </c>
      <c r="R765" s="552"/>
    </row>
    <row r="766" spans="1:18" x14ac:dyDescent="0.3">
      <c r="A766" s="553" t="s">
        <v>1906</v>
      </c>
      <c r="B766" s="67">
        <f>+H30</f>
        <v>155346</v>
      </c>
      <c r="C766" s="67">
        <f>+H65</f>
        <v>154929</v>
      </c>
      <c r="D766" s="67">
        <f>+H129</f>
        <v>154464</v>
      </c>
      <c r="E766" s="67">
        <f>+H250</f>
        <v>126946</v>
      </c>
      <c r="F766" s="67">
        <f>+H245</f>
        <v>1045</v>
      </c>
      <c r="G766" s="67">
        <f>+H257</f>
        <v>-77908</v>
      </c>
      <c r="H766" s="67">
        <f>+H374</f>
        <v>159939</v>
      </c>
      <c r="I766" s="67">
        <f>+H419</f>
        <v>36637</v>
      </c>
      <c r="J766" s="67">
        <f>+H460</f>
        <v>22329</v>
      </c>
      <c r="K766" s="67">
        <f>+H512</f>
        <v>13481</v>
      </c>
      <c r="L766" s="67">
        <f>+H522</f>
        <v>12317</v>
      </c>
      <c r="M766" s="67">
        <f>+H557</f>
        <v>12273</v>
      </c>
      <c r="N766" s="67">
        <f>+H598</f>
        <v>10141</v>
      </c>
      <c r="O766" s="67">
        <f>+H608</f>
        <v>1686</v>
      </c>
      <c r="P766" s="67">
        <f>+H642</f>
        <v>6309</v>
      </c>
      <c r="Q766" s="67">
        <f>+H685</f>
        <v>1608</v>
      </c>
      <c r="R766" s="552"/>
    </row>
    <row r="767" spans="1:18" x14ac:dyDescent="0.3">
      <c r="A767" s="553" t="s">
        <v>1907</v>
      </c>
      <c r="B767" s="67">
        <f>+J30</f>
        <v>79405</v>
      </c>
      <c r="C767" s="67">
        <f>+J65</f>
        <v>78989</v>
      </c>
      <c r="D767" s="67">
        <f>+J129</f>
        <v>78511</v>
      </c>
      <c r="E767" s="67">
        <f>+J250</f>
        <v>47909</v>
      </c>
      <c r="F767" s="67">
        <f>+J245</f>
        <v>316</v>
      </c>
      <c r="G767" s="67">
        <f>+J257</f>
        <v>-159336</v>
      </c>
      <c r="H767" s="67">
        <f>+J374</f>
        <v>168010</v>
      </c>
      <c r="I767" s="67">
        <f>+J419</f>
        <v>47543</v>
      </c>
      <c r="J767" s="67">
        <f>+J460</f>
        <v>28510</v>
      </c>
      <c r="K767" s="67">
        <f>+J512</f>
        <v>17576</v>
      </c>
      <c r="L767" s="67">
        <f>+J522</f>
        <v>14929</v>
      </c>
      <c r="M767" s="67">
        <f>+J557</f>
        <v>14890</v>
      </c>
      <c r="N767" s="67">
        <f>+J598</f>
        <v>12128</v>
      </c>
      <c r="O767" s="67">
        <f>+J608</f>
        <v>1361</v>
      </c>
      <c r="P767" s="67">
        <f>+J642</f>
        <v>6173</v>
      </c>
      <c r="Q767" s="67">
        <f>+J685</f>
        <v>1340</v>
      </c>
      <c r="R767" s="552"/>
    </row>
    <row r="768" spans="1:18" x14ac:dyDescent="0.3">
      <c r="A768" s="553" t="s">
        <v>1908</v>
      </c>
      <c r="B768" s="67">
        <f>+K30</f>
        <v>61540</v>
      </c>
      <c r="C768" s="67">
        <f>+K65</f>
        <v>61206</v>
      </c>
      <c r="D768" s="67">
        <f>+K129</f>
        <v>60690</v>
      </c>
      <c r="E768" s="67">
        <f>+K250</f>
        <v>44886</v>
      </c>
      <c r="F768" s="67">
        <f>+K245</f>
        <v>0</v>
      </c>
      <c r="G768" s="67">
        <f>+K257</f>
        <v>-161275</v>
      </c>
      <c r="H768" s="67">
        <f>+K374</f>
        <v>169866</v>
      </c>
      <c r="I768" s="67">
        <f>+K419</f>
        <v>49120</v>
      </c>
      <c r="J768" s="67">
        <f>+K460</f>
        <v>29402</v>
      </c>
      <c r="K768" s="67">
        <f>+K512</f>
        <v>24124</v>
      </c>
      <c r="L768" s="67">
        <f>+K522</f>
        <v>19206</v>
      </c>
      <c r="M768" s="67">
        <f>+K557</f>
        <v>19170</v>
      </c>
      <c r="N768" s="67">
        <f>+K598</f>
        <v>16057</v>
      </c>
      <c r="O768" s="67">
        <f>+K608</f>
        <v>1691</v>
      </c>
      <c r="P768" s="67">
        <f>+K642</f>
        <v>6114</v>
      </c>
      <c r="Q768" s="67">
        <f>+K685</f>
        <v>1674</v>
      </c>
      <c r="R768" s="552"/>
    </row>
    <row r="769" spans="1:18" x14ac:dyDescent="0.3">
      <c r="A769" s="553" t="s">
        <v>2352</v>
      </c>
      <c r="B769" s="67">
        <f>+L30</f>
        <v>103188</v>
      </c>
      <c r="C769" s="67">
        <f>+L65</f>
        <v>102872</v>
      </c>
      <c r="D769" s="67">
        <f>+L129</f>
        <v>102319</v>
      </c>
      <c r="E769" s="67">
        <f>+L250</f>
        <v>93865</v>
      </c>
      <c r="F769" s="67">
        <f>+L245</f>
        <v>4936</v>
      </c>
      <c r="G769" s="67">
        <f>+L257</f>
        <v>-46169</v>
      </c>
      <c r="H769" s="67">
        <f>+L374</f>
        <v>98936</v>
      </c>
      <c r="I769" s="67">
        <f>+L419</f>
        <v>29027</v>
      </c>
      <c r="J769" s="67">
        <f>+L460</f>
        <v>24427</v>
      </c>
      <c r="K769" s="67">
        <f>+L512</f>
        <v>21006</v>
      </c>
      <c r="L769" s="67">
        <f>+L522</f>
        <v>19538</v>
      </c>
      <c r="M769" s="67">
        <f>+L557</f>
        <v>19504</v>
      </c>
      <c r="N769" s="67">
        <f>+L598</f>
        <v>18841</v>
      </c>
      <c r="O769" s="67">
        <f>+L608</f>
        <v>4020</v>
      </c>
      <c r="P769" s="67">
        <f>+L642</f>
        <v>5841</v>
      </c>
      <c r="Q769" s="67">
        <f>+L685</f>
        <v>3960</v>
      </c>
      <c r="R769" s="552"/>
    </row>
    <row r="770" spans="1:18" x14ac:dyDescent="0.3">
      <c r="A770" s="553" t="s">
        <v>2353</v>
      </c>
      <c r="B770" s="67">
        <f>+N30</f>
        <v>148432</v>
      </c>
      <c r="C770" s="67">
        <f>+N65</f>
        <v>148147</v>
      </c>
      <c r="D770" s="67">
        <f>+N129</f>
        <v>147875</v>
      </c>
      <c r="E770" s="67">
        <f>+N250</f>
        <v>141161</v>
      </c>
      <c r="F770" s="67">
        <f>+N245</f>
        <v>51830</v>
      </c>
      <c r="G770" s="67">
        <f>+N257</f>
        <v>0</v>
      </c>
      <c r="H770" s="67">
        <f>+N374</f>
        <v>55112</v>
      </c>
      <c r="I770" s="67">
        <f>+N419</f>
        <v>17111</v>
      </c>
      <c r="J770" s="67">
        <f>+N460</f>
        <v>16860</v>
      </c>
      <c r="K770" s="67">
        <f>+N512</f>
        <v>16321</v>
      </c>
      <c r="L770" s="67">
        <f>+N522</f>
        <v>13295</v>
      </c>
      <c r="M770" s="67">
        <f>+N557</f>
        <v>13266</v>
      </c>
      <c r="N770" s="67">
        <f>+N598</f>
        <v>13091</v>
      </c>
      <c r="O770" s="67">
        <f>+N608</f>
        <v>3338</v>
      </c>
      <c r="P770" s="67">
        <f>+N642</f>
        <v>5868</v>
      </c>
      <c r="Q770" s="67">
        <f>+N685</f>
        <v>3333</v>
      </c>
      <c r="R770" s="552"/>
    </row>
    <row r="771" spans="1:18" x14ac:dyDescent="0.3">
      <c r="A771" s="553" t="s">
        <v>2354</v>
      </c>
      <c r="B771" s="67">
        <f>+O30</f>
        <v>175631</v>
      </c>
      <c r="C771" s="67">
        <f>+O65</f>
        <v>175396</v>
      </c>
      <c r="D771" s="67">
        <f>+O129</f>
        <v>175170</v>
      </c>
      <c r="E771" s="67">
        <f>+O250</f>
        <v>171806</v>
      </c>
      <c r="F771" s="67">
        <f>+O245</f>
        <v>121619</v>
      </c>
      <c r="G771" s="67">
        <f>+O257</f>
        <v>0</v>
      </c>
      <c r="H771" s="67">
        <f>+O374</f>
        <v>26527</v>
      </c>
      <c r="I771" s="67">
        <f>+O419</f>
        <v>7612</v>
      </c>
      <c r="J771" s="67">
        <f>+O460</f>
        <v>7542</v>
      </c>
      <c r="K771" s="67">
        <f>+O512</f>
        <v>7464</v>
      </c>
      <c r="L771" s="67">
        <f>+O522</f>
        <v>5655</v>
      </c>
      <c r="M771" s="67">
        <f>+O557</f>
        <v>5632</v>
      </c>
      <c r="N771" s="67">
        <f>+O598</f>
        <v>5514</v>
      </c>
      <c r="O771" s="67">
        <f>+O608</f>
        <v>860</v>
      </c>
      <c r="P771" s="67">
        <f>+O642</f>
        <v>4727</v>
      </c>
      <c r="Q771" s="67">
        <f>+O685</f>
        <v>826</v>
      </c>
      <c r="R771" s="552"/>
    </row>
    <row r="772" spans="1:18" x14ac:dyDescent="0.3">
      <c r="A772" s="553" t="s">
        <v>2355</v>
      </c>
      <c r="B772" s="67">
        <f>+P30</f>
        <v>150248</v>
      </c>
      <c r="C772" s="67">
        <f>+P65</f>
        <v>150062</v>
      </c>
      <c r="D772" s="67">
        <f>+P129</f>
        <v>149883</v>
      </c>
      <c r="E772" s="67">
        <f>+P250</f>
        <v>140840</v>
      </c>
      <c r="F772" s="67">
        <f>+P245</f>
        <v>87741</v>
      </c>
      <c r="G772" s="67">
        <f>+P257</f>
        <v>0</v>
      </c>
      <c r="H772" s="67">
        <f>+P374</f>
        <v>34687</v>
      </c>
      <c r="I772" s="67">
        <f>+P419</f>
        <v>13104</v>
      </c>
      <c r="J772" s="67">
        <f>+P460</f>
        <v>13087</v>
      </c>
      <c r="K772" s="67">
        <f>+P512</f>
        <v>13045</v>
      </c>
      <c r="L772" s="67">
        <f>+P522</f>
        <v>11178</v>
      </c>
      <c r="M772" s="67">
        <f>+P557</f>
        <v>11159</v>
      </c>
      <c r="N772" s="67">
        <f>+P598</f>
        <v>11073</v>
      </c>
      <c r="O772" s="67">
        <f>+P608</f>
        <v>4269</v>
      </c>
      <c r="P772" s="67">
        <f>+P642</f>
        <v>4942</v>
      </c>
      <c r="Q772" s="67">
        <f>+P685</f>
        <v>4267</v>
      </c>
      <c r="R772" s="552"/>
    </row>
    <row r="773" spans="1:18" x14ac:dyDescent="0.3">
      <c r="A773" s="551"/>
      <c r="B773" s="67"/>
      <c r="C773" s="67"/>
      <c r="D773" s="67"/>
      <c r="E773" s="67"/>
      <c r="F773" s="67"/>
      <c r="G773" s="67"/>
      <c r="H773" s="67"/>
      <c r="I773" s="67"/>
      <c r="J773" s="67"/>
      <c r="K773" s="67"/>
      <c r="L773" s="67"/>
      <c r="M773" s="67"/>
      <c r="N773" s="67"/>
      <c r="O773" s="67"/>
      <c r="P773" s="67"/>
      <c r="Q773" s="67"/>
      <c r="R773" s="552"/>
    </row>
    <row r="774" spans="1:18" x14ac:dyDescent="0.3">
      <c r="A774" s="553" t="s">
        <v>2356</v>
      </c>
      <c r="B774" s="67">
        <f t="shared" ref="B774:Q774" si="106">SUM(B761:B772)</f>
        <v>1631086</v>
      </c>
      <c r="C774" s="67">
        <f t="shared" si="106"/>
        <v>1627586</v>
      </c>
      <c r="D774" s="67">
        <f t="shared" si="106"/>
        <v>1623508</v>
      </c>
      <c r="E774" s="67">
        <f t="shared" si="106"/>
        <v>1459145</v>
      </c>
      <c r="F774" s="67">
        <f t="shared" si="106"/>
        <v>415676</v>
      </c>
      <c r="G774" s="67">
        <f t="shared" si="106"/>
        <v>-470653</v>
      </c>
      <c r="H774" s="67">
        <f t="shared" si="106"/>
        <v>1138033</v>
      </c>
      <c r="I774" s="67">
        <f t="shared" si="106"/>
        <v>336536</v>
      </c>
      <c r="J774" s="67">
        <f t="shared" si="106"/>
        <v>266046</v>
      </c>
      <c r="K774" s="67">
        <f t="shared" si="106"/>
        <v>220082</v>
      </c>
      <c r="L774" s="67">
        <f t="shared" si="106"/>
        <v>182321</v>
      </c>
      <c r="M774" s="67">
        <f t="shared" si="106"/>
        <v>181948</v>
      </c>
      <c r="N774" s="67">
        <f t="shared" si="106"/>
        <v>168742</v>
      </c>
      <c r="O774" s="67">
        <f t="shared" si="106"/>
        <v>27772</v>
      </c>
      <c r="P774" s="67">
        <f t="shared" si="106"/>
        <v>66102</v>
      </c>
      <c r="Q774" s="67">
        <f t="shared" si="106"/>
        <v>27279</v>
      </c>
      <c r="R774" s="552"/>
    </row>
    <row r="775" spans="1:18" ht="16.2" thickBot="1" x14ac:dyDescent="0.35">
      <c r="A775" s="554" t="s">
        <v>852</v>
      </c>
      <c r="B775" s="555"/>
      <c r="C775" s="555"/>
      <c r="D775" s="555"/>
      <c r="E775" s="555"/>
      <c r="F775" s="555"/>
      <c r="G775" s="555"/>
      <c r="H775" s="555"/>
      <c r="I775" s="555"/>
      <c r="J775" s="555"/>
      <c r="K775" s="555"/>
      <c r="L775" s="555"/>
      <c r="M775" s="555"/>
      <c r="N775" s="555"/>
      <c r="O775" s="555"/>
      <c r="P775" s="555"/>
      <c r="Q775" s="555"/>
      <c r="R775" s="556"/>
    </row>
    <row r="776" spans="1:18" ht="16.2" thickBot="1" x14ac:dyDescent="0.35">
      <c r="A776" s="67"/>
      <c r="B776" s="67"/>
      <c r="C776" s="67"/>
      <c r="D776" s="67"/>
      <c r="E776" s="67"/>
      <c r="F776" s="67"/>
      <c r="G776" s="67"/>
      <c r="H776" s="67"/>
      <c r="I776" s="67"/>
      <c r="J776" s="67"/>
      <c r="K776" s="67"/>
      <c r="L776" s="67"/>
      <c r="M776" s="67"/>
      <c r="N776" s="67"/>
      <c r="O776" s="67"/>
      <c r="P776" s="67"/>
      <c r="Q776" s="67"/>
      <c r="R776" s="67"/>
    </row>
    <row r="777" spans="1:18" x14ac:dyDescent="0.3">
      <c r="A777" s="546"/>
      <c r="B777" s="547"/>
      <c r="C777" s="549" t="s">
        <v>2434</v>
      </c>
      <c r="D777" s="547"/>
      <c r="E777" s="547"/>
      <c r="F777" s="547"/>
      <c r="G777" s="547"/>
      <c r="H777" s="547"/>
      <c r="I777" s="547" t="s">
        <v>2435</v>
      </c>
      <c r="J777" s="547"/>
      <c r="K777" s="547" t="s">
        <v>852</v>
      </c>
      <c r="L777" s="557" t="str">
        <f>+A9</f>
        <v>Revised:  1/23/11</v>
      </c>
      <c r="M777" s="547"/>
      <c r="N777" s="547"/>
      <c r="O777" s="547"/>
      <c r="P777" s="547"/>
      <c r="Q777" s="549" t="str">
        <f>+Q1</f>
        <v>PRINTED:</v>
      </c>
      <c r="R777" s="550">
        <f ca="1">+R1</f>
        <v>44881.72963425926</v>
      </c>
    </row>
    <row r="778" spans="1:18" x14ac:dyDescent="0.3">
      <c r="A778" s="551"/>
      <c r="B778" s="67"/>
      <c r="C778" s="67"/>
      <c r="D778" s="67" t="str">
        <f>++A5</f>
        <v>Calendar Year 2011</v>
      </c>
      <c r="E778" s="67"/>
      <c r="F778" s="67"/>
      <c r="G778" s="67"/>
      <c r="H778" s="67"/>
      <c r="I778" s="67"/>
      <c r="J778" s="67"/>
      <c r="K778" s="67"/>
      <c r="L778" s="67"/>
      <c r="M778" s="67"/>
      <c r="N778" s="67"/>
      <c r="O778" s="67"/>
      <c r="P778" s="67"/>
      <c r="Q778" s="67"/>
      <c r="R778" s="552"/>
    </row>
    <row r="779" spans="1:18" x14ac:dyDescent="0.3">
      <c r="A779" s="551"/>
      <c r="B779" s="67"/>
      <c r="C779" s="67"/>
      <c r="D779" s="67"/>
      <c r="E779" s="67"/>
      <c r="F779" s="67"/>
      <c r="G779" s="67"/>
      <c r="H779" s="67"/>
      <c r="I779" s="67"/>
      <c r="J779" s="67"/>
      <c r="K779" s="67"/>
      <c r="L779" s="67"/>
      <c r="M779" s="67"/>
      <c r="N779" s="67"/>
      <c r="O779" s="67"/>
      <c r="P779" s="67"/>
      <c r="Q779" s="67"/>
      <c r="R779" s="552"/>
    </row>
    <row r="780" spans="1:18" x14ac:dyDescent="0.3">
      <c r="A780" s="551"/>
      <c r="B780" s="67"/>
      <c r="C780" s="67"/>
      <c r="D780" s="67"/>
      <c r="E780" s="67"/>
      <c r="F780" s="67"/>
      <c r="G780" s="70" t="s">
        <v>2438</v>
      </c>
      <c r="H780" s="67"/>
      <c r="I780" s="67"/>
      <c r="J780" s="67"/>
      <c r="K780" s="67"/>
      <c r="L780" s="67"/>
      <c r="M780" s="67"/>
      <c r="N780" s="67"/>
      <c r="O780" s="67"/>
      <c r="P780" s="67"/>
      <c r="Q780" s="67"/>
      <c r="R780" s="552"/>
    </row>
    <row r="781" spans="1:18" x14ac:dyDescent="0.3">
      <c r="A781" s="551"/>
      <c r="B781" s="67" t="s">
        <v>2435</v>
      </c>
      <c r="C781" s="67"/>
      <c r="D781" s="70" t="s">
        <v>2436</v>
      </c>
      <c r="E781" s="70" t="s">
        <v>2436</v>
      </c>
      <c r="F781" s="70" t="s">
        <v>2437</v>
      </c>
      <c r="G781" s="70" t="s">
        <v>525</v>
      </c>
      <c r="H781" s="70" t="s">
        <v>2439</v>
      </c>
      <c r="I781" s="70" t="s">
        <v>2463</v>
      </c>
      <c r="J781" s="70" t="s">
        <v>2356</v>
      </c>
      <c r="K781" s="67" t="s">
        <v>2435</v>
      </c>
      <c r="L781" s="70" t="s">
        <v>2464</v>
      </c>
      <c r="M781" s="70" t="s">
        <v>2464</v>
      </c>
      <c r="N781" s="70" t="s">
        <v>2464</v>
      </c>
      <c r="O781" s="67"/>
      <c r="P781" s="67"/>
      <c r="Q781" s="67"/>
      <c r="R781" s="552"/>
    </row>
    <row r="782" spans="1:18" ht="16.2" x14ac:dyDescent="0.35">
      <c r="A782" s="551"/>
      <c r="B782" s="70" t="s">
        <v>284</v>
      </c>
      <c r="C782" s="70" t="s">
        <v>2379</v>
      </c>
      <c r="D782" s="70" t="s">
        <v>844</v>
      </c>
      <c r="E782" s="70" t="s">
        <v>844</v>
      </c>
      <c r="F782" s="70" t="s">
        <v>845</v>
      </c>
      <c r="G782" s="214" t="s">
        <v>955</v>
      </c>
      <c r="H782" s="70" t="s">
        <v>275</v>
      </c>
      <c r="I782" s="70" t="s">
        <v>276</v>
      </c>
      <c r="J782" s="70" t="s">
        <v>1554</v>
      </c>
      <c r="K782" s="67" t="s">
        <v>2435</v>
      </c>
      <c r="L782" s="70" t="s">
        <v>1555</v>
      </c>
      <c r="M782" s="70" t="s">
        <v>955</v>
      </c>
      <c r="N782" s="70" t="s">
        <v>1194</v>
      </c>
      <c r="O782" s="67"/>
      <c r="P782" s="67"/>
      <c r="Q782" s="67"/>
      <c r="R782" s="552"/>
    </row>
    <row r="783" spans="1:18" x14ac:dyDescent="0.3">
      <c r="A783" s="551"/>
      <c r="B783" s="70" t="s">
        <v>1193</v>
      </c>
      <c r="C783" s="70" t="s">
        <v>956</v>
      </c>
      <c r="D783" s="70" t="s">
        <v>333</v>
      </c>
      <c r="E783" s="70" t="s">
        <v>334</v>
      </c>
      <c r="F783" s="70" t="s">
        <v>335</v>
      </c>
      <c r="G783" s="70" t="s">
        <v>335</v>
      </c>
      <c r="H783" s="70" t="s">
        <v>335</v>
      </c>
      <c r="I783" s="70" t="s">
        <v>335</v>
      </c>
      <c r="J783" s="70" t="s">
        <v>1486</v>
      </c>
      <c r="K783" s="67" t="s">
        <v>2435</v>
      </c>
      <c r="L783" s="70" t="s">
        <v>1487</v>
      </c>
      <c r="M783" s="70" t="s">
        <v>929</v>
      </c>
      <c r="N783" s="70" t="s">
        <v>929</v>
      </c>
      <c r="O783" s="67"/>
      <c r="P783" s="67"/>
      <c r="Q783" s="67"/>
      <c r="R783" s="552"/>
    </row>
    <row r="784" spans="1:18" x14ac:dyDescent="0.3">
      <c r="A784" s="551"/>
      <c r="B784" s="70" t="s">
        <v>930</v>
      </c>
      <c r="C784" s="70" t="s">
        <v>931</v>
      </c>
      <c r="D784" s="70" t="s">
        <v>932</v>
      </c>
      <c r="E784" s="70" t="s">
        <v>932</v>
      </c>
      <c r="F784" s="70" t="s">
        <v>932</v>
      </c>
      <c r="G784" s="70" t="s">
        <v>932</v>
      </c>
      <c r="H784" s="70" t="s">
        <v>932</v>
      </c>
      <c r="I784" s="70" t="s">
        <v>932</v>
      </c>
      <c r="J784" s="70" t="s">
        <v>932</v>
      </c>
      <c r="K784" s="67" t="s">
        <v>2435</v>
      </c>
      <c r="L784" s="70" t="s">
        <v>946</v>
      </c>
      <c r="M784" s="70" t="s">
        <v>946</v>
      </c>
      <c r="N784" s="70" t="s">
        <v>946</v>
      </c>
      <c r="O784" s="67"/>
      <c r="P784" s="67"/>
      <c r="Q784" s="67"/>
      <c r="R784" s="552"/>
    </row>
    <row r="785" spans="1:18" x14ac:dyDescent="0.3">
      <c r="A785" s="551"/>
      <c r="B785" s="67" t="s">
        <v>1353</v>
      </c>
      <c r="C785" s="67" t="s">
        <v>1353</v>
      </c>
      <c r="D785" s="67" t="s">
        <v>1353</v>
      </c>
      <c r="E785" s="67" t="s">
        <v>1353</v>
      </c>
      <c r="F785" s="67" t="s">
        <v>1353</v>
      </c>
      <c r="G785" s="67" t="s">
        <v>1353</v>
      </c>
      <c r="H785" s="67" t="s">
        <v>1353</v>
      </c>
      <c r="I785" s="67" t="s">
        <v>1353</v>
      </c>
      <c r="J785" s="67" t="s">
        <v>1353</v>
      </c>
      <c r="K785" s="67" t="s">
        <v>2435</v>
      </c>
      <c r="L785" s="67" t="s">
        <v>1353</v>
      </c>
      <c r="M785" s="67" t="s">
        <v>1353</v>
      </c>
      <c r="N785" s="67" t="s">
        <v>1353</v>
      </c>
      <c r="O785" s="67"/>
      <c r="P785" s="67"/>
      <c r="Q785" s="67"/>
      <c r="R785" s="552"/>
    </row>
    <row r="786" spans="1:18" x14ac:dyDescent="0.3">
      <c r="A786" s="553" t="s">
        <v>1354</v>
      </c>
      <c r="B786" s="67">
        <f t="shared" ref="B786:B797" si="107">(F761)</f>
        <v>22743</v>
      </c>
      <c r="C786" s="67">
        <f t="shared" ref="C786:C797" si="108">(SUM($B$759:$F$759))</f>
        <v>1607</v>
      </c>
      <c r="D786" s="67">
        <f t="shared" ref="D786:D797" si="109">(B786*C786/1000)</f>
        <v>36548.000999999997</v>
      </c>
      <c r="E786" s="67">
        <f t="shared" ref="E786:E797" si="110">(((B761-F761)*B$759)+((C761-F761)*C$759)+((D761-F761)*D$759)+((E761-F761)*E$759))/1000</f>
        <v>95258.12</v>
      </c>
      <c r="F786" s="67">
        <f t="shared" ref="F786:F797" si="111">(D786+E786)</f>
        <v>131806.12099999998</v>
      </c>
      <c r="G786" s="67">
        <f t="shared" ref="G786:G797" si="112">SUM(H843:Q843)</f>
        <v>27266.159000000003</v>
      </c>
      <c r="H786" s="67">
        <f t="shared" ref="H786:H797" si="113">+F786+G786</f>
        <v>159072.28</v>
      </c>
      <c r="I786" s="67">
        <f t="shared" ref="I786:I793" si="114">(E897)</f>
        <v>0</v>
      </c>
      <c r="J786" s="67">
        <f t="shared" ref="J786:J797" si="115">(H786-I786)</f>
        <v>159072.28</v>
      </c>
      <c r="K786" s="67" t="s">
        <v>2435</v>
      </c>
      <c r="L786" s="67">
        <f>+B761/31/1.98</f>
        <v>1465.9498207885304</v>
      </c>
      <c r="M786" s="67">
        <f>(B786*43560/31/24/3600)</f>
        <v>369.87943548387096</v>
      </c>
      <c r="N786" s="67">
        <f>+B260</f>
        <v>0</v>
      </c>
      <c r="O786" s="67"/>
      <c r="P786" s="67"/>
      <c r="Q786" s="67"/>
      <c r="R786" s="552"/>
    </row>
    <row r="787" spans="1:18" x14ac:dyDescent="0.3">
      <c r="A787" s="553" t="s">
        <v>706</v>
      </c>
      <c r="B787" s="67">
        <f t="shared" si="107"/>
        <v>52608</v>
      </c>
      <c r="C787" s="67">
        <f t="shared" si="108"/>
        <v>1607</v>
      </c>
      <c r="D787" s="67">
        <f t="shared" si="109"/>
        <v>84541.055999999997</v>
      </c>
      <c r="E787" s="67">
        <f t="shared" si="110"/>
        <v>113630.667</v>
      </c>
      <c r="F787" s="67">
        <f t="shared" si="111"/>
        <v>198171.723</v>
      </c>
      <c r="G787" s="67">
        <f t="shared" si="112"/>
        <v>29033.742999999999</v>
      </c>
      <c r="H787" s="67">
        <f t="shared" si="113"/>
        <v>227205.46599999999</v>
      </c>
      <c r="I787" s="67">
        <f t="shared" si="114"/>
        <v>0</v>
      </c>
      <c r="J787" s="67">
        <f t="shared" si="115"/>
        <v>227205.46599999999</v>
      </c>
      <c r="K787" s="67" t="s">
        <v>2435</v>
      </c>
      <c r="L787" s="67">
        <f>+B762/28/1.98</f>
        <v>2413.3477633477632</v>
      </c>
      <c r="M787" s="67">
        <f>(B787*43560/29/24/3600)</f>
        <v>914.59310344827577</v>
      </c>
      <c r="N787" s="67">
        <f>+C260</f>
        <v>0</v>
      </c>
      <c r="O787" s="67"/>
      <c r="P787" s="67"/>
      <c r="Q787" s="67"/>
      <c r="R787" s="552"/>
    </row>
    <row r="788" spans="1:18" x14ac:dyDescent="0.3">
      <c r="A788" s="553" t="s">
        <v>707</v>
      </c>
      <c r="B788" s="67">
        <f t="shared" si="107"/>
        <v>44419</v>
      </c>
      <c r="C788" s="67">
        <f t="shared" si="108"/>
        <v>1607</v>
      </c>
      <c r="D788" s="67">
        <f t="shared" si="109"/>
        <v>71381.332999999999</v>
      </c>
      <c r="E788" s="67">
        <f t="shared" si="110"/>
        <v>196472.864</v>
      </c>
      <c r="F788" s="67">
        <f t="shared" si="111"/>
        <v>267854.19699999999</v>
      </c>
      <c r="G788" s="67">
        <f t="shared" si="112"/>
        <v>31541.710999999996</v>
      </c>
      <c r="H788" s="67">
        <f t="shared" si="113"/>
        <v>299395.908</v>
      </c>
      <c r="I788" s="67">
        <f t="shared" si="114"/>
        <v>0</v>
      </c>
      <c r="J788" s="67">
        <f t="shared" si="115"/>
        <v>299395.908</v>
      </c>
      <c r="K788" s="67" t="s">
        <v>2435</v>
      </c>
      <c r="L788" s="67">
        <f>+B763/31/1.98</f>
        <v>3026.3440860215055</v>
      </c>
      <c r="M788" s="67">
        <f>(B788*43560/31/24/3600)</f>
        <v>722.40577956989239</v>
      </c>
      <c r="N788" s="67">
        <f>+D260</f>
        <v>0</v>
      </c>
      <c r="O788" s="67"/>
      <c r="P788" s="67"/>
      <c r="Q788" s="67"/>
      <c r="R788" s="552"/>
    </row>
    <row r="789" spans="1:18" x14ac:dyDescent="0.3">
      <c r="A789" s="553" t="s">
        <v>1321</v>
      </c>
      <c r="B789" s="67">
        <f t="shared" si="107"/>
        <v>21347</v>
      </c>
      <c r="C789" s="67">
        <f t="shared" si="108"/>
        <v>1607</v>
      </c>
      <c r="D789" s="67">
        <f t="shared" si="109"/>
        <v>34304.629000000001</v>
      </c>
      <c r="E789" s="67">
        <f t="shared" si="110"/>
        <v>224125.36900000001</v>
      </c>
      <c r="F789" s="67">
        <f t="shared" si="111"/>
        <v>258429.99800000002</v>
      </c>
      <c r="G789" s="67">
        <f t="shared" si="112"/>
        <v>38659.966</v>
      </c>
      <c r="H789" s="67">
        <f t="shared" si="113"/>
        <v>297089.96400000004</v>
      </c>
      <c r="I789" s="67">
        <f t="shared" si="114"/>
        <v>0</v>
      </c>
      <c r="J789" s="67">
        <f t="shared" si="115"/>
        <v>297089.96400000004</v>
      </c>
      <c r="K789" s="67" t="s">
        <v>2435</v>
      </c>
      <c r="L789" s="67">
        <f>+B764/30/1.98</f>
        <v>3040.0336700336698</v>
      </c>
      <c r="M789" s="67">
        <f>(B789*43560/30/24/3600)</f>
        <v>358.74819444444444</v>
      </c>
      <c r="N789" s="67">
        <f>+F260</f>
        <v>0</v>
      </c>
      <c r="O789" s="67"/>
      <c r="P789" s="67"/>
      <c r="Q789" s="67"/>
      <c r="R789" s="552"/>
    </row>
    <row r="790" spans="1:18" x14ac:dyDescent="0.3">
      <c r="A790" s="553" t="s">
        <v>1905</v>
      </c>
      <c r="B790" s="67">
        <f t="shared" si="107"/>
        <v>7072</v>
      </c>
      <c r="C790" s="67">
        <f t="shared" si="108"/>
        <v>1607</v>
      </c>
      <c r="D790" s="67">
        <f t="shared" si="109"/>
        <v>11364.704</v>
      </c>
      <c r="E790" s="67">
        <f t="shared" si="110"/>
        <v>225445.85200000001</v>
      </c>
      <c r="F790" s="67">
        <f t="shared" si="111"/>
        <v>236810.55600000001</v>
      </c>
      <c r="G790" s="67">
        <f t="shared" si="112"/>
        <v>39229.402000000002</v>
      </c>
      <c r="H790" s="67">
        <f t="shared" si="113"/>
        <v>276039.95799999998</v>
      </c>
      <c r="I790" s="67">
        <f t="shared" si="114"/>
        <v>3141.7649999999999</v>
      </c>
      <c r="J790" s="67">
        <f t="shared" si="115"/>
        <v>272898.19299999997</v>
      </c>
      <c r="K790" s="67" t="s">
        <v>2435</v>
      </c>
      <c r="L790" s="67">
        <f>+B765/31/1.98</f>
        <v>2723.7699576409254</v>
      </c>
      <c r="M790" s="67">
        <f>(B790*43560/31/24/3600)</f>
        <v>115.01505376344086</v>
      </c>
      <c r="N790" s="67">
        <f>+G260</f>
        <v>-422.38055731784686</v>
      </c>
      <c r="O790" s="67"/>
      <c r="P790" s="67"/>
      <c r="Q790" s="67"/>
      <c r="R790" s="552"/>
    </row>
    <row r="791" spans="1:18" x14ac:dyDescent="0.3">
      <c r="A791" s="553" t="s">
        <v>1906</v>
      </c>
      <c r="B791" s="67">
        <f t="shared" si="107"/>
        <v>1045</v>
      </c>
      <c r="C791" s="67">
        <f t="shared" si="108"/>
        <v>1607</v>
      </c>
      <c r="D791" s="67">
        <f t="shared" si="109"/>
        <v>1679.3150000000001</v>
      </c>
      <c r="E791" s="67">
        <f t="shared" si="110"/>
        <v>213955.95600000001</v>
      </c>
      <c r="F791" s="67">
        <f t="shared" si="111"/>
        <v>215635.27100000001</v>
      </c>
      <c r="G791" s="67">
        <f t="shared" si="112"/>
        <v>36625.394</v>
      </c>
      <c r="H791" s="67">
        <f t="shared" si="113"/>
        <v>252260.66500000001</v>
      </c>
      <c r="I791" s="67">
        <f t="shared" si="114"/>
        <v>9426.8680000000004</v>
      </c>
      <c r="J791" s="67">
        <f t="shared" si="115"/>
        <v>242833.79700000002</v>
      </c>
      <c r="K791" s="67" t="s">
        <v>2435</v>
      </c>
      <c r="L791" s="67">
        <f>+B766/30/1.98</f>
        <v>2615.2525252525252</v>
      </c>
      <c r="M791" s="67">
        <f t="shared" ref="M791:M796" si="116">(B791*43560/30/24/3600)</f>
        <v>17.561805555555555</v>
      </c>
      <c r="N791" s="67">
        <f>+H260</f>
        <v>-1309.5982518070264</v>
      </c>
      <c r="O791" s="67"/>
      <c r="P791" s="67"/>
      <c r="Q791" s="67"/>
      <c r="R791" s="552"/>
    </row>
    <row r="792" spans="1:18" x14ac:dyDescent="0.3">
      <c r="A792" s="553" t="s">
        <v>1907</v>
      </c>
      <c r="B792" s="67">
        <f t="shared" si="107"/>
        <v>316</v>
      </c>
      <c r="C792" s="67">
        <f t="shared" si="108"/>
        <v>1607</v>
      </c>
      <c r="D792" s="67">
        <f t="shared" si="109"/>
        <v>507.81200000000001</v>
      </c>
      <c r="E792" s="67">
        <f t="shared" si="110"/>
        <v>105873.788</v>
      </c>
      <c r="F792" s="67">
        <f t="shared" si="111"/>
        <v>106381.6</v>
      </c>
      <c r="G792" s="67">
        <f t="shared" si="112"/>
        <v>42197.616999999991</v>
      </c>
      <c r="H792" s="67">
        <f t="shared" si="113"/>
        <v>148579.217</v>
      </c>
      <c r="I792" s="67">
        <f t="shared" si="114"/>
        <v>19279.655999999999</v>
      </c>
      <c r="J792" s="67">
        <f t="shared" si="115"/>
        <v>129299.561</v>
      </c>
      <c r="K792" s="67" t="s">
        <v>2435</v>
      </c>
      <c r="L792" s="67">
        <f>+B767/31/1.98</f>
        <v>1293.6624307592049</v>
      </c>
      <c r="M792" s="67">
        <f t="shared" si="116"/>
        <v>5.3105555555555553</v>
      </c>
      <c r="N792" s="67">
        <f>+J260</f>
        <v>-2591.9672051144403</v>
      </c>
      <c r="O792" s="67"/>
      <c r="P792" s="67"/>
      <c r="Q792" s="67"/>
      <c r="R792" s="552"/>
    </row>
    <row r="793" spans="1:18" x14ac:dyDescent="0.3">
      <c r="A793" s="553" t="s">
        <v>1908</v>
      </c>
      <c r="B793" s="67">
        <f t="shared" si="107"/>
        <v>0</v>
      </c>
      <c r="C793" s="67">
        <f t="shared" si="108"/>
        <v>1607</v>
      </c>
      <c r="D793" s="67">
        <f t="shared" si="109"/>
        <v>0</v>
      </c>
      <c r="E793" s="67">
        <f t="shared" si="110"/>
        <v>84080.342000000004</v>
      </c>
      <c r="F793" s="67">
        <f t="shared" si="111"/>
        <v>84080.342000000004</v>
      </c>
      <c r="G793" s="67">
        <f t="shared" si="112"/>
        <v>46314.472000000002</v>
      </c>
      <c r="H793" s="67">
        <f t="shared" si="113"/>
        <v>130394.81400000001</v>
      </c>
      <c r="I793" s="67">
        <f t="shared" si="114"/>
        <v>19514.275000000001</v>
      </c>
      <c r="J793" s="67">
        <f t="shared" si="115"/>
        <v>110880.53900000002</v>
      </c>
      <c r="K793" s="67" t="s">
        <v>2435</v>
      </c>
      <c r="L793" s="67">
        <f>+B768/31/1.98</f>
        <v>1002.6067122841317</v>
      </c>
      <c r="M793" s="67">
        <f t="shared" si="116"/>
        <v>0</v>
      </c>
      <c r="N793" s="67">
        <f>+K260</f>
        <v>-2623.5095082393891</v>
      </c>
      <c r="O793" s="67"/>
      <c r="P793" s="67"/>
      <c r="Q793" s="67"/>
      <c r="R793" s="552"/>
    </row>
    <row r="794" spans="1:18" x14ac:dyDescent="0.3">
      <c r="A794" s="553" t="s">
        <v>2352</v>
      </c>
      <c r="B794" s="67">
        <f t="shared" si="107"/>
        <v>4936</v>
      </c>
      <c r="C794" s="67">
        <f t="shared" si="108"/>
        <v>1607</v>
      </c>
      <c r="D794" s="67">
        <f t="shared" si="109"/>
        <v>7932.152</v>
      </c>
      <c r="E794" s="67">
        <f t="shared" si="110"/>
        <v>138110.43900000001</v>
      </c>
      <c r="F794" s="67">
        <f t="shared" si="111"/>
        <v>146042.59100000001</v>
      </c>
      <c r="G794" s="67">
        <f t="shared" si="112"/>
        <v>36940.188999999998</v>
      </c>
      <c r="H794" s="67">
        <f t="shared" si="113"/>
        <v>182982.78000000003</v>
      </c>
      <c r="I794" s="67">
        <v>0</v>
      </c>
      <c r="J794" s="67">
        <f t="shared" si="115"/>
        <v>182982.78000000003</v>
      </c>
      <c r="K794" s="67" t="s">
        <v>2435</v>
      </c>
      <c r="L794" s="67">
        <f>+B769/30/1.98</f>
        <v>1737.1717171717171</v>
      </c>
      <c r="M794" s="67">
        <f t="shared" si="116"/>
        <v>82.952222222222218</v>
      </c>
      <c r="N794" s="67">
        <f>+L260</f>
        <v>-776.08001344763818</v>
      </c>
      <c r="O794" s="67"/>
      <c r="P794" s="67"/>
      <c r="Q794" s="67"/>
      <c r="R794" s="552"/>
    </row>
    <row r="795" spans="1:18" x14ac:dyDescent="0.3">
      <c r="A795" s="553" t="s">
        <v>2353</v>
      </c>
      <c r="B795" s="67">
        <f t="shared" si="107"/>
        <v>51830</v>
      </c>
      <c r="C795" s="67">
        <f t="shared" si="108"/>
        <v>1607</v>
      </c>
      <c r="D795" s="67">
        <f t="shared" si="109"/>
        <v>83290.81</v>
      </c>
      <c r="E795" s="67">
        <f t="shared" si="110"/>
        <v>136247.53099999999</v>
      </c>
      <c r="F795" s="67">
        <f t="shared" si="111"/>
        <v>219538.34099999999</v>
      </c>
      <c r="G795" s="67">
        <f t="shared" si="112"/>
        <v>25205.105000000007</v>
      </c>
      <c r="H795" s="67">
        <f t="shared" si="113"/>
        <v>244743.446</v>
      </c>
      <c r="I795" s="67">
        <v>0</v>
      </c>
      <c r="J795" s="67">
        <f t="shared" si="115"/>
        <v>244743.446</v>
      </c>
      <c r="K795" s="67" t="s">
        <v>2435</v>
      </c>
      <c r="L795" s="67">
        <f>+B770/31/1.98</f>
        <v>2418.2469859889216</v>
      </c>
      <c r="M795" s="67">
        <f t="shared" si="116"/>
        <v>871.03194444444443</v>
      </c>
      <c r="N795" s="67">
        <f>+N260</f>
        <v>0</v>
      </c>
      <c r="O795" s="67"/>
      <c r="P795" s="67"/>
      <c r="Q795" s="67"/>
      <c r="R795" s="552"/>
    </row>
    <row r="796" spans="1:18" x14ac:dyDescent="0.3">
      <c r="A796" s="553" t="s">
        <v>2354</v>
      </c>
      <c r="B796" s="67">
        <f t="shared" si="107"/>
        <v>121619</v>
      </c>
      <c r="C796" s="67">
        <f t="shared" si="108"/>
        <v>1607</v>
      </c>
      <c r="D796" s="67">
        <f t="shared" si="109"/>
        <v>195441.73300000001</v>
      </c>
      <c r="E796" s="67">
        <f t="shared" si="110"/>
        <v>76202.373000000007</v>
      </c>
      <c r="F796" s="67">
        <f t="shared" si="111"/>
        <v>271644.10600000003</v>
      </c>
      <c r="G796" s="67">
        <f t="shared" si="112"/>
        <v>11640.014000000001</v>
      </c>
      <c r="H796" s="67">
        <f t="shared" si="113"/>
        <v>283284.12000000005</v>
      </c>
      <c r="I796" s="67">
        <f>(E907)</f>
        <v>0</v>
      </c>
      <c r="J796" s="67">
        <f t="shared" si="115"/>
        <v>283284.12000000005</v>
      </c>
      <c r="K796" s="67" t="s">
        <v>2435</v>
      </c>
      <c r="L796" s="67">
        <f>+B771/30/1.98</f>
        <v>2956.750841750842</v>
      </c>
      <c r="M796" s="67">
        <f t="shared" si="116"/>
        <v>2043.8748611111112</v>
      </c>
      <c r="N796" s="67">
        <f>+O260</f>
        <v>0</v>
      </c>
      <c r="O796" s="67"/>
      <c r="P796" s="67"/>
      <c r="Q796" s="67"/>
      <c r="R796" s="552"/>
    </row>
    <row r="797" spans="1:18" x14ac:dyDescent="0.3">
      <c r="A797" s="553" t="s">
        <v>2355</v>
      </c>
      <c r="B797" s="67">
        <f t="shared" si="107"/>
        <v>87741</v>
      </c>
      <c r="C797" s="67">
        <f t="shared" si="108"/>
        <v>1607</v>
      </c>
      <c r="D797" s="67">
        <f t="shared" si="109"/>
        <v>140999.78700000001</v>
      </c>
      <c r="E797" s="67">
        <f t="shared" si="110"/>
        <v>87129.115999999995</v>
      </c>
      <c r="F797" s="67">
        <f t="shared" si="111"/>
        <v>228128.90299999999</v>
      </c>
      <c r="G797" s="67">
        <f t="shared" si="112"/>
        <v>20414.874000000003</v>
      </c>
      <c r="H797" s="67">
        <f t="shared" si="113"/>
        <v>248543.777</v>
      </c>
      <c r="I797" s="67">
        <f>(E908)</f>
        <v>0</v>
      </c>
      <c r="J797" s="67">
        <f t="shared" si="115"/>
        <v>248543.777</v>
      </c>
      <c r="K797" s="67" t="s">
        <v>2435</v>
      </c>
      <c r="L797" s="67">
        <f>+B772/31/1.98</f>
        <v>2447.8331704138159</v>
      </c>
      <c r="M797" s="67">
        <f>(B797*43560/31/24/3600)</f>
        <v>1426.9705645161291</v>
      </c>
      <c r="N797" s="67">
        <f>+P260</f>
        <v>0</v>
      </c>
      <c r="O797" s="67"/>
      <c r="P797" s="67"/>
      <c r="Q797" s="67"/>
      <c r="R797" s="552"/>
    </row>
    <row r="798" spans="1:18" x14ac:dyDescent="0.3">
      <c r="A798" s="551"/>
      <c r="B798" s="67"/>
      <c r="C798" s="67"/>
      <c r="D798" s="67"/>
      <c r="E798" s="67"/>
      <c r="F798" s="67"/>
      <c r="G798" s="67"/>
      <c r="H798" s="67"/>
      <c r="I798" s="67"/>
      <c r="J798" s="67"/>
      <c r="K798" s="67" t="s">
        <v>2435</v>
      </c>
      <c r="L798" s="67"/>
      <c r="M798" s="67"/>
      <c r="N798" s="67"/>
      <c r="O798" s="67"/>
      <c r="P798" s="67"/>
      <c r="Q798" s="67"/>
      <c r="R798" s="552"/>
    </row>
    <row r="799" spans="1:18" x14ac:dyDescent="0.3">
      <c r="A799" s="551" t="s">
        <v>2356</v>
      </c>
      <c r="B799" s="67">
        <f>SUM(B786:B797)</f>
        <v>415676</v>
      </c>
      <c r="C799" s="67"/>
      <c r="D799" s="67">
        <f t="shared" ref="D799:J799" si="117">SUM(D786:D797)</f>
        <v>667991.33200000005</v>
      </c>
      <c r="E799" s="67">
        <f t="shared" si="117"/>
        <v>1696532.4169999997</v>
      </c>
      <c r="F799" s="67">
        <f t="shared" si="117"/>
        <v>2364523.7489999998</v>
      </c>
      <c r="G799" s="67">
        <f t="shared" si="117"/>
        <v>385068.64600000001</v>
      </c>
      <c r="H799" s="67">
        <f t="shared" si="117"/>
        <v>2749592.3949999996</v>
      </c>
      <c r="I799" s="67">
        <f t="shared" si="117"/>
        <v>51362.563999999998</v>
      </c>
      <c r="J799" s="67">
        <f t="shared" si="117"/>
        <v>2698229.8310000002</v>
      </c>
      <c r="K799" s="67"/>
      <c r="L799" s="67"/>
      <c r="M799" s="67"/>
      <c r="N799" s="67"/>
      <c r="O799" s="67"/>
      <c r="P799" s="67"/>
      <c r="Q799" s="67"/>
      <c r="R799" s="552"/>
    </row>
    <row r="800" spans="1:18" x14ac:dyDescent="0.3">
      <c r="A800" s="551"/>
      <c r="B800" s="67"/>
      <c r="C800" s="67"/>
      <c r="D800" s="67"/>
      <c r="E800" s="67"/>
      <c r="F800" s="67"/>
      <c r="G800" s="67"/>
      <c r="H800" s="67"/>
      <c r="I800" s="67"/>
      <c r="J800" s="67"/>
      <c r="K800" s="67"/>
      <c r="L800" s="67"/>
      <c r="M800" s="67"/>
      <c r="N800" s="67"/>
      <c r="O800" s="67"/>
      <c r="P800" s="67"/>
      <c r="Q800" s="67"/>
      <c r="R800" s="552"/>
    </row>
    <row r="801" spans="1:18" x14ac:dyDescent="0.3">
      <c r="A801" s="551" t="s">
        <v>1696</v>
      </c>
      <c r="B801" s="67"/>
      <c r="C801" s="67"/>
      <c r="D801" s="67"/>
      <c r="E801" s="67"/>
      <c r="F801" s="67"/>
      <c r="G801" s="67"/>
      <c r="H801" s="67"/>
      <c r="I801" s="67"/>
      <c r="J801" s="67"/>
      <c r="K801" s="67"/>
      <c r="L801" s="67"/>
      <c r="M801" s="67"/>
      <c r="N801" s="67"/>
      <c r="O801" s="67"/>
      <c r="P801" s="67"/>
      <c r="Q801" s="67"/>
      <c r="R801" s="552"/>
    </row>
    <row r="802" spans="1:18" x14ac:dyDescent="0.3">
      <c r="A802" s="551" t="s">
        <v>785</v>
      </c>
      <c r="B802" s="67"/>
      <c r="C802" s="67"/>
      <c r="D802" s="67"/>
      <c r="E802" s="67"/>
      <c r="F802" s="67"/>
      <c r="G802" s="67"/>
      <c r="H802" s="67"/>
      <c r="I802" s="67"/>
      <c r="J802" s="67"/>
      <c r="K802" s="67"/>
      <c r="L802" s="67"/>
      <c r="M802" s="67"/>
      <c r="N802" s="67"/>
      <c r="O802" s="67"/>
      <c r="P802" s="67"/>
      <c r="Q802" s="67"/>
      <c r="R802" s="552"/>
    </row>
    <row r="803" spans="1:18" x14ac:dyDescent="0.3">
      <c r="A803" s="551"/>
      <c r="B803" s="67"/>
      <c r="C803" s="67"/>
      <c r="D803" s="67"/>
      <c r="E803" s="67"/>
      <c r="F803" s="67"/>
      <c r="G803" s="67"/>
      <c r="H803" s="67"/>
      <c r="I803" s="67"/>
      <c r="J803" s="67"/>
      <c r="K803" s="67"/>
      <c r="L803" s="67"/>
      <c r="M803" s="67"/>
      <c r="N803" s="67"/>
      <c r="O803" s="67"/>
      <c r="P803" s="67"/>
      <c r="Q803" s="67"/>
      <c r="R803" s="552"/>
    </row>
    <row r="804" spans="1:18" x14ac:dyDescent="0.3">
      <c r="A804" s="551" t="s">
        <v>440</v>
      </c>
      <c r="B804" s="67"/>
      <c r="C804" s="67"/>
      <c r="D804" s="67"/>
      <c r="E804" s="67"/>
      <c r="F804" s="67"/>
      <c r="G804" s="67"/>
      <c r="H804" s="67"/>
      <c r="I804" s="67"/>
      <c r="J804" s="67"/>
      <c r="K804" s="67"/>
      <c r="L804" s="67"/>
      <c r="M804" s="67"/>
      <c r="N804" s="67"/>
      <c r="O804" s="67"/>
      <c r="P804" s="67"/>
      <c r="Q804" s="67"/>
      <c r="R804" s="552"/>
    </row>
    <row r="805" spans="1:18" x14ac:dyDescent="0.3">
      <c r="A805" s="551"/>
      <c r="B805" s="67"/>
      <c r="C805" s="67"/>
      <c r="D805" s="67"/>
      <c r="E805" s="67"/>
      <c r="F805" s="67"/>
      <c r="G805" s="67"/>
      <c r="H805" s="67"/>
      <c r="I805" s="67"/>
      <c r="J805" s="67"/>
      <c r="K805" s="67"/>
      <c r="L805" s="67"/>
      <c r="M805" s="67"/>
      <c r="N805" s="67"/>
      <c r="O805" s="67"/>
      <c r="P805" s="67"/>
      <c r="Q805" s="67"/>
      <c r="R805" s="552"/>
    </row>
    <row r="806" spans="1:18" ht="16.2" thickBot="1" x14ac:dyDescent="0.35">
      <c r="A806" s="554" t="s">
        <v>1480</v>
      </c>
      <c r="B806" s="555"/>
      <c r="C806" s="555"/>
      <c r="D806" s="555"/>
      <c r="E806" s="555"/>
      <c r="F806" s="555"/>
      <c r="G806" s="555"/>
      <c r="H806" s="555"/>
      <c r="I806" s="555"/>
      <c r="J806" s="555"/>
      <c r="K806" s="555"/>
      <c r="L806" s="555"/>
      <c r="M806" s="555"/>
      <c r="N806" s="555"/>
      <c r="O806" s="555"/>
      <c r="P806" s="555"/>
      <c r="Q806" s="555"/>
      <c r="R806" s="556"/>
    </row>
    <row r="807" spans="1:18" ht="16.2" thickBot="1" x14ac:dyDescent="0.35">
      <c r="A807" s="67"/>
      <c r="B807" s="67"/>
      <c r="C807" s="67"/>
      <c r="D807" s="67"/>
      <c r="E807" s="67"/>
      <c r="F807" s="67"/>
      <c r="G807" s="67"/>
      <c r="H807" s="67"/>
      <c r="I807" s="67"/>
      <c r="J807" s="67"/>
      <c r="K807" s="67"/>
      <c r="L807" s="67"/>
      <c r="M807" s="67"/>
      <c r="N807" s="67"/>
      <c r="O807" s="67"/>
      <c r="P807" s="67"/>
      <c r="Q807" s="67"/>
      <c r="R807" s="67"/>
    </row>
    <row r="808" spans="1:18" x14ac:dyDescent="0.3">
      <c r="A808" s="546"/>
      <c r="B808" s="547"/>
      <c r="C808" s="547"/>
      <c r="D808" s="549" t="s">
        <v>1898</v>
      </c>
      <c r="E808" s="547"/>
      <c r="F808" s="547"/>
      <c r="G808" s="547"/>
      <c r="H808" s="547"/>
      <c r="I808" s="547"/>
      <c r="J808" s="547"/>
      <c r="K808" s="547"/>
      <c r="L808" s="547"/>
      <c r="M808" s="547"/>
      <c r="N808" s="547"/>
      <c r="O808" s="547"/>
      <c r="P808" s="547"/>
      <c r="Q808" s="549" t="str">
        <f>+Q1</f>
        <v>PRINTED:</v>
      </c>
      <c r="R808" s="550">
        <f ca="1">+R1</f>
        <v>44881.72963425926</v>
      </c>
    </row>
    <row r="809" spans="1:18" x14ac:dyDescent="0.3">
      <c r="A809" s="551"/>
      <c r="B809" s="67"/>
      <c r="C809" s="67"/>
      <c r="D809" s="67"/>
      <c r="E809" s="67" t="s">
        <v>852</v>
      </c>
      <c r="F809" s="69" t="str">
        <f>+A9</f>
        <v>Revised:  1/23/11</v>
      </c>
      <c r="G809" s="67"/>
      <c r="H809" s="67"/>
      <c r="I809" s="67"/>
      <c r="J809" s="67"/>
      <c r="K809" s="67"/>
      <c r="L809" s="67"/>
      <c r="M809" s="67"/>
      <c r="N809" s="67"/>
      <c r="O809" s="67"/>
      <c r="P809" s="67"/>
      <c r="Q809" s="67"/>
      <c r="R809" s="552"/>
    </row>
    <row r="810" spans="1:18" x14ac:dyDescent="0.3">
      <c r="A810" s="551"/>
      <c r="B810" s="67"/>
      <c r="C810" s="67"/>
      <c r="D810" s="67" t="s">
        <v>2545</v>
      </c>
      <c r="E810" s="67"/>
      <c r="F810" s="67"/>
      <c r="G810" s="67"/>
      <c r="H810" s="67"/>
      <c r="I810" s="67"/>
      <c r="J810" s="67"/>
      <c r="K810" s="67"/>
      <c r="L810" s="67"/>
      <c r="M810" s="67"/>
      <c r="N810" s="67"/>
      <c r="O810" s="67"/>
      <c r="P810" s="67"/>
      <c r="Q810" s="67"/>
      <c r="R810" s="552"/>
    </row>
    <row r="811" spans="1:18" x14ac:dyDescent="0.3">
      <c r="A811" s="551"/>
      <c r="B811" s="67"/>
      <c r="C811" s="67"/>
      <c r="D811" s="67"/>
      <c r="E811" s="67"/>
      <c r="F811" s="67"/>
      <c r="G811" s="67"/>
      <c r="H811" s="67"/>
      <c r="I811" s="67"/>
      <c r="J811" s="67"/>
      <c r="K811" s="67"/>
      <c r="L811" s="67"/>
      <c r="M811" s="67"/>
      <c r="N811" s="67"/>
      <c r="O811" s="67"/>
      <c r="P811" s="67"/>
      <c r="Q811" s="67"/>
      <c r="R811" s="552"/>
    </row>
    <row r="812" spans="1:18" x14ac:dyDescent="0.3">
      <c r="A812" s="551"/>
      <c r="B812" s="67"/>
      <c r="C812" s="67"/>
      <c r="D812" s="67"/>
      <c r="E812" s="67" t="str">
        <f>+A5</f>
        <v>Calendar Year 2011</v>
      </c>
      <c r="F812" s="67"/>
      <c r="G812" s="67"/>
      <c r="H812" s="67"/>
      <c r="I812" s="67"/>
      <c r="J812" s="67"/>
      <c r="K812" s="67"/>
      <c r="L812" s="67"/>
      <c r="M812" s="67"/>
      <c r="N812" s="67"/>
      <c r="O812" s="67"/>
      <c r="P812" s="67"/>
      <c r="Q812" s="67"/>
      <c r="R812" s="552"/>
    </row>
    <row r="813" spans="1:18" x14ac:dyDescent="0.3">
      <c r="A813" s="551"/>
      <c r="B813" s="67"/>
      <c r="C813" s="67"/>
      <c r="D813" s="67"/>
      <c r="E813" s="67" t="s">
        <v>1271</v>
      </c>
      <c r="F813" s="67"/>
      <c r="G813" s="67"/>
      <c r="H813" s="67"/>
      <c r="I813" s="67"/>
      <c r="J813" s="67"/>
      <c r="K813" s="67"/>
      <c r="L813" s="67"/>
      <c r="M813" s="67"/>
      <c r="N813" s="67"/>
      <c r="O813" s="67"/>
      <c r="P813" s="67"/>
      <c r="Q813" s="67"/>
      <c r="R813" s="552"/>
    </row>
    <row r="814" spans="1:18" x14ac:dyDescent="0.3">
      <c r="A814" s="551"/>
      <c r="B814" s="67"/>
      <c r="C814" s="67"/>
      <c r="D814" s="67"/>
      <c r="E814" s="67"/>
      <c r="F814" s="67"/>
      <c r="G814" s="67"/>
      <c r="H814" s="67"/>
      <c r="I814" s="67"/>
      <c r="J814" s="67"/>
      <c r="K814" s="67"/>
      <c r="L814" s="67"/>
      <c r="M814" s="67"/>
      <c r="N814" s="67"/>
      <c r="O814" s="67"/>
      <c r="P814" s="67"/>
      <c r="Q814" s="67"/>
      <c r="R814" s="552"/>
    </row>
    <row r="815" spans="1:18" x14ac:dyDescent="0.3">
      <c r="A815" s="551" t="s">
        <v>1307</v>
      </c>
      <c r="B815" s="70" t="s">
        <v>1308</v>
      </c>
      <c r="C815" s="70" t="s">
        <v>1309</v>
      </c>
      <c r="D815" s="70" t="s">
        <v>1029</v>
      </c>
      <c r="E815" s="70" t="s">
        <v>1030</v>
      </c>
      <c r="F815" s="70" t="s">
        <v>284</v>
      </c>
      <c r="G815" s="70" t="s">
        <v>284</v>
      </c>
      <c r="H815" s="70" t="s">
        <v>285</v>
      </c>
      <c r="I815" s="70" t="s">
        <v>286</v>
      </c>
      <c r="J815" s="70" t="s">
        <v>287</v>
      </c>
      <c r="K815" s="70" t="s">
        <v>288</v>
      </c>
      <c r="L815" s="70" t="s">
        <v>289</v>
      </c>
      <c r="M815" s="70" t="s">
        <v>633</v>
      </c>
      <c r="N815" s="70" t="s">
        <v>634</v>
      </c>
      <c r="O815" s="70" t="s">
        <v>1192</v>
      </c>
      <c r="P815" s="70" t="s">
        <v>524</v>
      </c>
      <c r="Q815" s="70" t="s">
        <v>525</v>
      </c>
      <c r="R815" s="552"/>
    </row>
    <row r="816" spans="1:18" x14ac:dyDescent="0.3">
      <c r="A816" s="551" t="s">
        <v>526</v>
      </c>
      <c r="B816" s="67"/>
      <c r="C816" s="67"/>
      <c r="D816" s="67"/>
      <c r="E816" s="67"/>
      <c r="F816" s="70" t="s">
        <v>1193</v>
      </c>
      <c r="G816" s="70" t="s">
        <v>1194</v>
      </c>
      <c r="H816" s="67"/>
      <c r="I816" s="67"/>
      <c r="J816" s="67"/>
      <c r="K816" s="67"/>
      <c r="L816" s="67"/>
      <c r="M816" s="67"/>
      <c r="N816" s="67"/>
      <c r="O816" s="67"/>
      <c r="P816" s="67"/>
      <c r="Q816" s="67"/>
      <c r="R816" s="552"/>
    </row>
    <row r="817" spans="1:19" x14ac:dyDescent="0.3">
      <c r="A817" s="551" t="s">
        <v>1195</v>
      </c>
      <c r="B817" s="67">
        <v>953</v>
      </c>
      <c r="C817" s="67">
        <v>128</v>
      </c>
      <c r="D817" s="67">
        <v>128</v>
      </c>
      <c r="E817" s="67">
        <v>219</v>
      </c>
      <c r="F817" s="67">
        <v>179</v>
      </c>
      <c r="G817" s="67">
        <v>121</v>
      </c>
      <c r="H817" s="67">
        <v>92</v>
      </c>
      <c r="I817" s="67">
        <v>150</v>
      </c>
      <c r="J817" s="67">
        <v>237</v>
      </c>
      <c r="K817" s="67">
        <v>226</v>
      </c>
      <c r="L817" s="67">
        <v>99</v>
      </c>
      <c r="M817" s="67">
        <v>102</v>
      </c>
      <c r="N817" s="67">
        <v>249</v>
      </c>
      <c r="O817" s="67">
        <v>189</v>
      </c>
      <c r="P817" s="67">
        <v>333</v>
      </c>
      <c r="Q817" s="67">
        <v>411</v>
      </c>
      <c r="R817" s="552"/>
    </row>
    <row r="818" spans="1:19" x14ac:dyDescent="0.3">
      <c r="A818" s="551"/>
      <c r="B818" s="74" t="s">
        <v>1353</v>
      </c>
      <c r="C818" s="74" t="s">
        <v>1353</v>
      </c>
      <c r="D818" s="74" t="s">
        <v>1353</v>
      </c>
      <c r="E818" s="74" t="s">
        <v>1353</v>
      </c>
      <c r="F818" s="74" t="s">
        <v>1353</v>
      </c>
      <c r="G818" s="74" t="s">
        <v>1353</v>
      </c>
      <c r="H818" s="74" t="s">
        <v>1353</v>
      </c>
      <c r="I818" s="74" t="s">
        <v>1353</v>
      </c>
      <c r="J818" s="74" t="s">
        <v>1353</v>
      </c>
      <c r="K818" s="74" t="s">
        <v>1353</v>
      </c>
      <c r="L818" s="74" t="s">
        <v>1353</v>
      </c>
      <c r="M818" s="74" t="s">
        <v>1353</v>
      </c>
      <c r="N818" s="74" t="s">
        <v>1353</v>
      </c>
      <c r="O818" s="74" t="s">
        <v>1353</v>
      </c>
      <c r="P818" s="74" t="s">
        <v>1353</v>
      </c>
      <c r="Q818" s="74" t="s">
        <v>1353</v>
      </c>
      <c r="R818" s="552"/>
    </row>
    <row r="819" spans="1:19" x14ac:dyDescent="0.3">
      <c r="A819" s="553" t="s">
        <v>1354</v>
      </c>
      <c r="B819" s="67">
        <f t="shared" ref="B819:Q819" si="118">(B761/31/1.98)</f>
        <v>1465.9498207885304</v>
      </c>
      <c r="C819" s="67">
        <f t="shared" si="118"/>
        <v>1464.3695014662758</v>
      </c>
      <c r="D819" s="67">
        <f t="shared" si="118"/>
        <v>1462.8054740957969</v>
      </c>
      <c r="E819" s="67">
        <f t="shared" si="118"/>
        <v>1412.4470511567285</v>
      </c>
      <c r="F819" s="67">
        <f t="shared" si="118"/>
        <v>370.52785923753663</v>
      </c>
      <c r="G819" s="67">
        <f t="shared" si="118"/>
        <v>0</v>
      </c>
      <c r="H819" s="67">
        <f t="shared" si="118"/>
        <v>691.28380579993484</v>
      </c>
      <c r="I819" s="67">
        <f t="shared" si="118"/>
        <v>340.72987943955684</v>
      </c>
      <c r="J819" s="67">
        <f t="shared" si="118"/>
        <v>340.5180840664712</v>
      </c>
      <c r="K819" s="67">
        <f t="shared" si="118"/>
        <v>333.9361355490388</v>
      </c>
      <c r="L819" s="67">
        <f t="shared" si="118"/>
        <v>264.72792440534374</v>
      </c>
      <c r="M819" s="67">
        <f t="shared" si="118"/>
        <v>264.40208536982732</v>
      </c>
      <c r="N819" s="67">
        <f t="shared" si="118"/>
        <v>264.23916585206911</v>
      </c>
      <c r="O819" s="67">
        <f t="shared" si="118"/>
        <v>45.2753339850114</v>
      </c>
      <c r="P819" s="67">
        <f t="shared" si="118"/>
        <v>83.07266210492017</v>
      </c>
      <c r="Q819" s="67">
        <f t="shared" si="118"/>
        <v>44.151189312479637</v>
      </c>
      <c r="R819" s="552"/>
    </row>
    <row r="820" spans="1:19" x14ac:dyDescent="0.3">
      <c r="A820" s="553" t="s">
        <v>706</v>
      </c>
      <c r="B820" s="67">
        <f t="shared" ref="B820:Q820" si="119">(B762/28/1.98)</f>
        <v>2413.3477633477632</v>
      </c>
      <c r="C820" s="67">
        <f t="shared" si="119"/>
        <v>2410.6782106782107</v>
      </c>
      <c r="D820" s="67">
        <f t="shared" si="119"/>
        <v>2408.0627705627703</v>
      </c>
      <c r="E820" s="67">
        <f t="shared" si="119"/>
        <v>2228.0844155844156</v>
      </c>
      <c r="F820" s="67">
        <f t="shared" si="119"/>
        <v>948.9177489177489</v>
      </c>
      <c r="G820" s="67">
        <f t="shared" si="119"/>
        <v>0</v>
      </c>
      <c r="H820" s="67">
        <f t="shared" si="119"/>
        <v>873.68326118326115</v>
      </c>
      <c r="I820" s="67">
        <f t="shared" si="119"/>
        <v>407.55772005772002</v>
      </c>
      <c r="J820" s="67">
        <f t="shared" si="119"/>
        <v>405.28499278499277</v>
      </c>
      <c r="K820" s="67">
        <f t="shared" si="119"/>
        <v>392.42424242424244</v>
      </c>
      <c r="L820" s="67">
        <f t="shared" si="119"/>
        <v>305.68181818181819</v>
      </c>
      <c r="M820" s="67">
        <f t="shared" si="119"/>
        <v>305.28499278499277</v>
      </c>
      <c r="N820" s="67">
        <f t="shared" si="119"/>
        <v>305.08658008658006</v>
      </c>
      <c r="O820" s="67">
        <f t="shared" si="119"/>
        <v>59.126984126984127</v>
      </c>
      <c r="P820" s="67">
        <f t="shared" si="119"/>
        <v>76.298701298701303</v>
      </c>
      <c r="Q820" s="67">
        <f t="shared" si="119"/>
        <v>57.160894660894662</v>
      </c>
      <c r="R820" s="552"/>
    </row>
    <row r="821" spans="1:19" x14ac:dyDescent="0.3">
      <c r="A821" s="553" t="s">
        <v>707</v>
      </c>
      <c r="B821" s="67">
        <f t="shared" ref="B821:Q821" si="120">(B763/31/1.98)</f>
        <v>3026.3440860215055</v>
      </c>
      <c r="C821" s="67">
        <f t="shared" si="120"/>
        <v>3021.8800912349298</v>
      </c>
      <c r="D821" s="67">
        <f t="shared" si="120"/>
        <v>3017.6278918214402</v>
      </c>
      <c r="E821" s="67">
        <f t="shared" si="120"/>
        <v>2635.4675790159658</v>
      </c>
      <c r="F821" s="67">
        <f t="shared" si="120"/>
        <v>723.67220593027037</v>
      </c>
      <c r="G821" s="67">
        <f t="shared" si="120"/>
        <v>0</v>
      </c>
      <c r="H821" s="67">
        <f t="shared" si="120"/>
        <v>1420.951449983708</v>
      </c>
      <c r="I821" s="67">
        <f t="shared" si="120"/>
        <v>443.35288367546434</v>
      </c>
      <c r="J821" s="67">
        <f t="shared" si="120"/>
        <v>399.47865754317371</v>
      </c>
      <c r="K821" s="67">
        <f t="shared" si="120"/>
        <v>328.7552948843271</v>
      </c>
      <c r="L821" s="67">
        <f t="shared" si="120"/>
        <v>239.6220267188009</v>
      </c>
      <c r="M821" s="67">
        <f t="shared" si="120"/>
        <v>239.16585206907789</v>
      </c>
      <c r="N821" s="67">
        <f t="shared" si="120"/>
        <v>237.50407298794394</v>
      </c>
      <c r="O821" s="67">
        <f t="shared" si="120"/>
        <v>18.442489410231346</v>
      </c>
      <c r="P821" s="67">
        <f t="shared" si="120"/>
        <v>88.416422287390034</v>
      </c>
      <c r="Q821" s="67">
        <f t="shared" si="120"/>
        <v>18.214402085369827</v>
      </c>
      <c r="R821" s="552"/>
    </row>
    <row r="822" spans="1:19" x14ac:dyDescent="0.3">
      <c r="A822" s="553" t="s">
        <v>1321</v>
      </c>
      <c r="B822" s="67">
        <f t="shared" ref="B822:Q822" si="121">(B764/30/1.98)</f>
        <v>3040.0336700336698</v>
      </c>
      <c r="C822" s="67">
        <f t="shared" si="121"/>
        <v>3033.8552188552189</v>
      </c>
      <c r="D822" s="67">
        <f t="shared" si="121"/>
        <v>3027.4074074074074</v>
      </c>
      <c r="E822" s="67">
        <f t="shared" si="121"/>
        <v>2800.6902356902356</v>
      </c>
      <c r="F822" s="67">
        <f t="shared" si="121"/>
        <v>359.37710437710439</v>
      </c>
      <c r="G822" s="67">
        <f t="shared" si="121"/>
        <v>0</v>
      </c>
      <c r="H822" s="67">
        <f t="shared" si="121"/>
        <v>1929.1919191919194</v>
      </c>
      <c r="I822" s="67">
        <f t="shared" si="121"/>
        <v>576.93602693602691</v>
      </c>
      <c r="J822" s="67">
        <f t="shared" si="121"/>
        <v>486.39730639730641</v>
      </c>
      <c r="K822" s="67">
        <f t="shared" si="121"/>
        <v>402.08754208754209</v>
      </c>
      <c r="L822" s="67">
        <f t="shared" si="121"/>
        <v>310.16835016835017</v>
      </c>
      <c r="M822" s="67">
        <f t="shared" si="121"/>
        <v>309.54545454545456</v>
      </c>
      <c r="N822" s="67">
        <f t="shared" si="121"/>
        <v>288.53535353535352</v>
      </c>
      <c r="O822" s="67">
        <f t="shared" si="121"/>
        <v>26.750841750841751</v>
      </c>
      <c r="P822" s="67">
        <f t="shared" si="121"/>
        <v>92.81144781144782</v>
      </c>
      <c r="Q822" s="67">
        <f t="shared" si="121"/>
        <v>25.74074074074074</v>
      </c>
      <c r="R822" s="552"/>
    </row>
    <row r="823" spans="1:19" x14ac:dyDescent="0.3">
      <c r="A823" s="553" t="s">
        <v>1905</v>
      </c>
      <c r="B823" s="67">
        <f t="shared" ref="B823:Q823" si="122">(B765/31/1.98)</f>
        <v>2723.7699576409254</v>
      </c>
      <c r="C823" s="67">
        <f t="shared" si="122"/>
        <v>2716.8458781362006</v>
      </c>
      <c r="D823" s="67">
        <f t="shared" si="122"/>
        <v>2708.6347344411861</v>
      </c>
      <c r="E823" s="67">
        <f t="shared" si="122"/>
        <v>2498.9410231345714</v>
      </c>
      <c r="F823" s="67">
        <f t="shared" si="122"/>
        <v>115.21668295861843</v>
      </c>
      <c r="G823" s="67">
        <f t="shared" si="122"/>
        <v>-423.02052785923757</v>
      </c>
      <c r="H823" s="67">
        <f t="shared" si="122"/>
        <v>2155.0342130987292</v>
      </c>
      <c r="I823" s="67">
        <f t="shared" si="122"/>
        <v>511.40436624307597</v>
      </c>
      <c r="J823" s="67">
        <f t="shared" si="122"/>
        <v>441.62593678722709</v>
      </c>
      <c r="K823" s="67">
        <f t="shared" si="122"/>
        <v>338.04170739654614</v>
      </c>
      <c r="L823" s="67">
        <f t="shared" si="122"/>
        <v>323.80254154447704</v>
      </c>
      <c r="M823" s="67">
        <f t="shared" si="122"/>
        <v>323.11827956989248</v>
      </c>
      <c r="N823" s="67">
        <f t="shared" si="122"/>
        <v>277.72890192245029</v>
      </c>
      <c r="O823" s="67">
        <f t="shared" si="122"/>
        <v>28.820462691430432</v>
      </c>
      <c r="P823" s="67">
        <f t="shared" si="122"/>
        <v>95.454545454545453</v>
      </c>
      <c r="Q823" s="67">
        <f t="shared" si="122"/>
        <v>28.429455848810687</v>
      </c>
      <c r="R823" s="552"/>
    </row>
    <row r="824" spans="1:19" x14ac:dyDescent="0.3">
      <c r="A824" s="553" t="s">
        <v>1906</v>
      </c>
      <c r="B824" s="67">
        <f t="shared" ref="B824:Q824" si="123">(B766/30/1.98)</f>
        <v>2615.2525252525252</v>
      </c>
      <c r="C824" s="67">
        <f t="shared" si="123"/>
        <v>2608.2323232323233</v>
      </c>
      <c r="D824" s="67">
        <f t="shared" si="123"/>
        <v>2600.4040404040406</v>
      </c>
      <c r="E824" s="67">
        <f t="shared" si="123"/>
        <v>2137.1380471380476</v>
      </c>
      <c r="F824" s="67">
        <f t="shared" si="123"/>
        <v>17.592592592592595</v>
      </c>
      <c r="G824" s="67">
        <f t="shared" si="123"/>
        <v>-1311.5824915824917</v>
      </c>
      <c r="H824" s="67">
        <f t="shared" si="123"/>
        <v>2692.5757575757575</v>
      </c>
      <c r="I824" s="67">
        <f t="shared" si="123"/>
        <v>616.78451178451178</v>
      </c>
      <c r="J824" s="67">
        <f t="shared" si="123"/>
        <v>375.90909090909088</v>
      </c>
      <c r="K824" s="67">
        <f t="shared" si="123"/>
        <v>226.95286195286195</v>
      </c>
      <c r="L824" s="67">
        <f t="shared" si="123"/>
        <v>207.35690235690237</v>
      </c>
      <c r="M824" s="67">
        <f t="shared" si="123"/>
        <v>206.61616161616163</v>
      </c>
      <c r="N824" s="67">
        <f t="shared" si="123"/>
        <v>170.72390572390574</v>
      </c>
      <c r="O824" s="67">
        <f t="shared" si="123"/>
        <v>28.383838383838384</v>
      </c>
      <c r="P824" s="67">
        <f t="shared" si="123"/>
        <v>106.21212121212122</v>
      </c>
      <c r="Q824" s="67">
        <f t="shared" si="123"/>
        <v>27.070707070707073</v>
      </c>
      <c r="R824" s="552"/>
    </row>
    <row r="825" spans="1:19" x14ac:dyDescent="0.3">
      <c r="A825" s="553" t="s">
        <v>1907</v>
      </c>
      <c r="B825" s="67">
        <f t="shared" ref="B825:Q826" si="124">(B767/31/1.98)</f>
        <v>1293.6624307592049</v>
      </c>
      <c r="C825" s="67">
        <f t="shared" si="124"/>
        <v>1286.8849788204627</v>
      </c>
      <c r="D825" s="67">
        <f t="shared" si="124"/>
        <v>1279.0974258716194</v>
      </c>
      <c r="E825" s="67">
        <f t="shared" si="124"/>
        <v>780.53111762789183</v>
      </c>
      <c r="F825" s="67">
        <f t="shared" si="124"/>
        <v>5.1482567611599865</v>
      </c>
      <c r="G825" s="67">
        <f t="shared" si="124"/>
        <v>-2595.8944281524928</v>
      </c>
      <c r="H825" s="67">
        <f t="shared" si="124"/>
        <v>2737.2108178559793</v>
      </c>
      <c r="I825" s="67">
        <f t="shared" si="124"/>
        <v>774.56826327794079</v>
      </c>
      <c r="J825" s="67">
        <f t="shared" si="124"/>
        <v>464.4835451287064</v>
      </c>
      <c r="K825" s="67">
        <f t="shared" si="124"/>
        <v>286.34734441186055</v>
      </c>
      <c r="L825" s="67">
        <f t="shared" si="124"/>
        <v>243.22254806125773</v>
      </c>
      <c r="M825" s="67">
        <f t="shared" si="124"/>
        <v>242.58716194200065</v>
      </c>
      <c r="N825" s="67">
        <f t="shared" si="124"/>
        <v>197.58879113717825</v>
      </c>
      <c r="O825" s="67">
        <f t="shared" si="124"/>
        <v>22.173346366894755</v>
      </c>
      <c r="P825" s="67">
        <f t="shared" si="124"/>
        <v>100.5702183121538</v>
      </c>
      <c r="Q825" s="67">
        <f t="shared" si="124"/>
        <v>21.831215379602476</v>
      </c>
      <c r="R825" s="552"/>
    </row>
    <row r="826" spans="1:19" x14ac:dyDescent="0.3">
      <c r="A826" s="553" t="s">
        <v>1908</v>
      </c>
      <c r="B826" s="67">
        <f t="shared" si="124"/>
        <v>1002.6067122841317</v>
      </c>
      <c r="C826" s="67">
        <f t="shared" si="124"/>
        <v>997.16520039100692</v>
      </c>
      <c r="D826" s="67">
        <f t="shared" si="124"/>
        <v>988.7585532746823</v>
      </c>
      <c r="E826" s="67">
        <f t="shared" si="124"/>
        <v>731.28054740957975</v>
      </c>
      <c r="F826" s="67">
        <f t="shared" si="124"/>
        <v>0</v>
      </c>
      <c r="G826" s="67">
        <f t="shared" si="124"/>
        <v>-2627.4845226458128</v>
      </c>
      <c r="H826" s="67">
        <f t="shared" si="124"/>
        <v>2767.4486803519062</v>
      </c>
      <c r="I826" s="67">
        <f t="shared" si="124"/>
        <v>800.26067122841312</v>
      </c>
      <c r="J826" s="67">
        <f t="shared" si="124"/>
        <v>479.01596611274033</v>
      </c>
      <c r="K826" s="67">
        <f t="shared" si="124"/>
        <v>393.02704463994792</v>
      </c>
      <c r="L826" s="67">
        <f t="shared" si="124"/>
        <v>312.90322580645159</v>
      </c>
      <c r="M826" s="67">
        <f t="shared" si="124"/>
        <v>312.31671554252199</v>
      </c>
      <c r="N826" s="67">
        <f t="shared" si="124"/>
        <v>261.59986966438584</v>
      </c>
      <c r="O826" s="67">
        <f t="shared" si="124"/>
        <v>27.549690452916259</v>
      </c>
      <c r="P826" s="67">
        <f t="shared" si="124"/>
        <v>99.608993157380255</v>
      </c>
      <c r="Q826" s="67">
        <f t="shared" si="124"/>
        <v>27.272727272727273</v>
      </c>
      <c r="R826" s="552"/>
    </row>
    <row r="827" spans="1:19" x14ac:dyDescent="0.3">
      <c r="A827" s="553" t="s">
        <v>2352</v>
      </c>
      <c r="B827" s="67">
        <f>(B769/30/1.98)</f>
        <v>1737.1717171717171</v>
      </c>
      <c r="C827" s="67">
        <f t="shared" ref="C827:Q827" si="125">(C769/30/1.98)</f>
        <v>1731.8518518518517</v>
      </c>
      <c r="D827" s="67">
        <f t="shared" si="125"/>
        <v>1722.5420875420875</v>
      </c>
      <c r="E827" s="67">
        <f t="shared" si="125"/>
        <v>1580.2188552188552</v>
      </c>
      <c r="F827" s="67">
        <f t="shared" si="125"/>
        <v>83.0976430976431</v>
      </c>
      <c r="G827" s="67">
        <f t="shared" si="125"/>
        <v>-777.25589225589226</v>
      </c>
      <c r="H827" s="67">
        <f t="shared" si="125"/>
        <v>1665.5892255892256</v>
      </c>
      <c r="I827" s="67">
        <f t="shared" si="125"/>
        <v>488.67003367003372</v>
      </c>
      <c r="J827" s="67">
        <f t="shared" si="125"/>
        <v>411.22895622895624</v>
      </c>
      <c r="K827" s="67">
        <f t="shared" si="125"/>
        <v>353.63636363636368</v>
      </c>
      <c r="L827" s="67">
        <f t="shared" si="125"/>
        <v>328.92255892255889</v>
      </c>
      <c r="M827" s="67">
        <f t="shared" si="125"/>
        <v>328.35016835016836</v>
      </c>
      <c r="N827" s="67">
        <f t="shared" si="125"/>
        <v>317.18855218855219</v>
      </c>
      <c r="O827" s="67">
        <f t="shared" si="125"/>
        <v>67.676767676767682</v>
      </c>
      <c r="P827" s="67">
        <f t="shared" si="125"/>
        <v>98.333333333333329</v>
      </c>
      <c r="Q827" s="67">
        <f t="shared" si="125"/>
        <v>66.666666666666671</v>
      </c>
      <c r="R827" s="552"/>
    </row>
    <row r="828" spans="1:19" x14ac:dyDescent="0.3">
      <c r="A828" s="553" t="s">
        <v>2353</v>
      </c>
      <c r="B828" s="67">
        <f t="shared" ref="B828:Q828" si="126">(B770/31/1.98)</f>
        <v>2418.2469859889216</v>
      </c>
      <c r="C828" s="67">
        <f t="shared" si="126"/>
        <v>2413.6037797328122</v>
      </c>
      <c r="D828" s="67">
        <f t="shared" si="126"/>
        <v>2409.1723688497882</v>
      </c>
      <c r="E828" s="67">
        <f t="shared" si="126"/>
        <v>2299.7882046269146</v>
      </c>
      <c r="F828" s="67">
        <f t="shared" si="126"/>
        <v>844.4118605408928</v>
      </c>
      <c r="G828" s="67">
        <f t="shared" si="126"/>
        <v>0</v>
      </c>
      <c r="H828" s="67">
        <f t="shared" si="126"/>
        <v>897.88204626914307</v>
      </c>
      <c r="I828" s="67">
        <f t="shared" si="126"/>
        <v>278.77158683610298</v>
      </c>
      <c r="J828" s="67">
        <f t="shared" si="126"/>
        <v>274.68230694037146</v>
      </c>
      <c r="K828" s="67">
        <f t="shared" si="126"/>
        <v>265.90094493320299</v>
      </c>
      <c r="L828" s="67">
        <f t="shared" si="126"/>
        <v>216.60149885956338</v>
      </c>
      <c r="M828" s="67">
        <f t="shared" si="126"/>
        <v>216.12903225806451</v>
      </c>
      <c r="N828" s="67">
        <f t="shared" si="126"/>
        <v>213.27794069729555</v>
      </c>
      <c r="O828" s="67">
        <f t="shared" si="126"/>
        <v>54.382535027696314</v>
      </c>
      <c r="P828" s="67">
        <f t="shared" si="126"/>
        <v>95.601173020527852</v>
      </c>
      <c r="Q828" s="67">
        <f t="shared" si="126"/>
        <v>54.301075268817208</v>
      </c>
      <c r="R828" s="552"/>
    </row>
    <row r="829" spans="1:19" x14ac:dyDescent="0.3">
      <c r="A829" s="553" t="s">
        <v>2354</v>
      </c>
      <c r="B829" s="67">
        <f t="shared" ref="B829:Q829" si="127">(B771/30/1.98)</f>
        <v>2956.750841750842</v>
      </c>
      <c r="C829" s="67">
        <f t="shared" si="127"/>
        <v>2952.7946127946129</v>
      </c>
      <c r="D829" s="67">
        <f t="shared" si="127"/>
        <v>2948.9898989898988</v>
      </c>
      <c r="E829" s="67">
        <f t="shared" si="127"/>
        <v>2892.3569023569025</v>
      </c>
      <c r="F829" s="67">
        <f t="shared" si="127"/>
        <v>2047.4579124579125</v>
      </c>
      <c r="G829" s="67">
        <f t="shared" si="127"/>
        <v>0</v>
      </c>
      <c r="H829" s="67">
        <f t="shared" si="127"/>
        <v>446.58249158249157</v>
      </c>
      <c r="I829" s="67">
        <f t="shared" si="127"/>
        <v>128.14814814814815</v>
      </c>
      <c r="J829" s="67">
        <f t="shared" si="127"/>
        <v>126.96969696969697</v>
      </c>
      <c r="K829" s="67">
        <f t="shared" si="127"/>
        <v>125.65656565656566</v>
      </c>
      <c r="L829" s="67">
        <f t="shared" si="127"/>
        <v>95.202020202020208</v>
      </c>
      <c r="M829" s="67">
        <f t="shared" si="127"/>
        <v>94.81481481481481</v>
      </c>
      <c r="N829" s="67">
        <f t="shared" si="127"/>
        <v>92.828282828282838</v>
      </c>
      <c r="O829" s="67">
        <f t="shared" si="127"/>
        <v>14.478114478114479</v>
      </c>
      <c r="P829" s="67">
        <f t="shared" si="127"/>
        <v>79.579124579124581</v>
      </c>
      <c r="Q829" s="67">
        <f t="shared" si="127"/>
        <v>13.905723905723907</v>
      </c>
      <c r="R829" s="552"/>
    </row>
    <row r="830" spans="1:19" ht="16.2" thickBot="1" x14ac:dyDescent="0.35">
      <c r="A830" s="558" t="s">
        <v>2355</v>
      </c>
      <c r="B830" s="555">
        <f t="shared" ref="B830:Q830" si="128">(B772/31/1.98)</f>
        <v>2447.8331704138159</v>
      </c>
      <c r="C830" s="555">
        <f t="shared" si="128"/>
        <v>2444.8028673835129</v>
      </c>
      <c r="D830" s="555">
        <f t="shared" si="128"/>
        <v>2441.8866080156404</v>
      </c>
      <c r="E830" s="555">
        <f t="shared" si="128"/>
        <v>2294.5584881068753</v>
      </c>
      <c r="F830" s="555">
        <f t="shared" si="128"/>
        <v>1429.4721407624634</v>
      </c>
      <c r="G830" s="555">
        <f t="shared" si="128"/>
        <v>0</v>
      </c>
      <c r="H830" s="555">
        <f t="shared" si="128"/>
        <v>565.11893124796359</v>
      </c>
      <c r="I830" s="555">
        <f t="shared" si="128"/>
        <v>213.48973607038121</v>
      </c>
      <c r="J830" s="555">
        <f t="shared" si="128"/>
        <v>213.21277289019227</v>
      </c>
      <c r="K830" s="555">
        <f t="shared" si="128"/>
        <v>212.52851091560768</v>
      </c>
      <c r="L830" s="555">
        <f t="shared" si="128"/>
        <v>182.11143695014661</v>
      </c>
      <c r="M830" s="555">
        <f t="shared" si="128"/>
        <v>181.80188986640599</v>
      </c>
      <c r="N830" s="555">
        <f t="shared" si="128"/>
        <v>180.40078201368524</v>
      </c>
      <c r="O830" s="555">
        <f t="shared" si="128"/>
        <v>69.550342130987303</v>
      </c>
      <c r="P830" s="555">
        <f t="shared" si="128"/>
        <v>80.51482567611599</v>
      </c>
      <c r="Q830" s="555">
        <f t="shared" si="128"/>
        <v>69.51775822743565</v>
      </c>
      <c r="R830" s="556"/>
    </row>
    <row r="831" spans="1:19" ht="16.2" thickBot="1" x14ac:dyDescent="0.35">
      <c r="A831" s="67"/>
      <c r="B831" s="67"/>
      <c r="C831" s="67"/>
      <c r="D831" s="67"/>
      <c r="E831" s="67"/>
      <c r="F831" s="67"/>
      <c r="G831" s="67"/>
      <c r="H831" s="67"/>
      <c r="I831" s="67"/>
      <c r="J831" s="67"/>
      <c r="K831" s="67"/>
      <c r="L831" s="67"/>
      <c r="M831" s="67"/>
      <c r="N831" s="67"/>
      <c r="O831" s="67"/>
      <c r="P831" s="67"/>
      <c r="Q831" s="67"/>
      <c r="R831" s="67"/>
    </row>
    <row r="832" spans="1:19" x14ac:dyDescent="0.3">
      <c r="A832" s="546"/>
      <c r="B832" s="547"/>
      <c r="C832" s="547"/>
      <c r="D832" s="549" t="s">
        <v>1198</v>
      </c>
      <c r="E832" s="547"/>
      <c r="F832" s="547"/>
      <c r="G832" s="547"/>
      <c r="H832" s="547"/>
      <c r="I832" s="547"/>
      <c r="J832" s="547"/>
      <c r="K832" s="547"/>
      <c r="L832" s="547"/>
      <c r="M832" s="547"/>
      <c r="N832" s="547"/>
      <c r="O832" s="547"/>
      <c r="P832" s="547"/>
      <c r="Q832" s="549" t="str">
        <f>+Q1</f>
        <v>PRINTED:</v>
      </c>
      <c r="R832" s="559">
        <f ca="1">+R1</f>
        <v>44881.72963425926</v>
      </c>
      <c r="S832" s="560"/>
    </row>
    <row r="833" spans="1:19" x14ac:dyDescent="0.3">
      <c r="A833" s="551"/>
      <c r="B833" s="67"/>
      <c r="C833" s="67"/>
      <c r="D833" s="67"/>
      <c r="E833" s="67" t="s">
        <v>852</v>
      </c>
      <c r="F833" s="69" t="str">
        <f>+A9</f>
        <v>Revised:  1/23/11</v>
      </c>
      <c r="G833" s="67"/>
      <c r="H833" s="67"/>
      <c r="I833" s="67"/>
      <c r="J833" s="67"/>
      <c r="K833" s="67"/>
      <c r="L833" s="67"/>
      <c r="M833" s="67"/>
      <c r="N833" s="67"/>
      <c r="O833" s="67"/>
      <c r="P833" s="67"/>
      <c r="Q833" s="67"/>
      <c r="R833" s="67"/>
      <c r="S833" s="561"/>
    </row>
    <row r="834" spans="1:19" x14ac:dyDescent="0.3">
      <c r="A834" s="551"/>
      <c r="B834" s="67"/>
      <c r="C834" s="67"/>
      <c r="D834" s="67" t="s">
        <v>2545</v>
      </c>
      <c r="E834" s="67"/>
      <c r="F834" s="67"/>
      <c r="G834" s="67"/>
      <c r="H834" s="67"/>
      <c r="I834" s="67"/>
      <c r="J834" s="67"/>
      <c r="K834" s="67"/>
      <c r="L834" s="67"/>
      <c r="M834" s="67"/>
      <c r="N834" s="67"/>
      <c r="O834" s="67"/>
      <c r="P834" s="67"/>
      <c r="Q834" s="67"/>
      <c r="R834" s="67"/>
      <c r="S834" s="561"/>
    </row>
    <row r="835" spans="1:19" x14ac:dyDescent="0.3">
      <c r="A835" s="551"/>
      <c r="B835" s="67"/>
      <c r="C835" s="67"/>
      <c r="D835" s="67"/>
      <c r="E835" s="67"/>
      <c r="F835" s="67"/>
      <c r="G835" s="67"/>
      <c r="H835" s="67"/>
      <c r="I835" s="67"/>
      <c r="J835" s="67"/>
      <c r="K835" s="67"/>
      <c r="L835" s="67"/>
      <c r="M835" s="67"/>
      <c r="N835" s="67"/>
      <c r="O835" s="67"/>
      <c r="P835" s="67"/>
      <c r="Q835" s="67"/>
      <c r="R835" s="67"/>
      <c r="S835" s="561"/>
    </row>
    <row r="836" spans="1:19" x14ac:dyDescent="0.3">
      <c r="A836" s="551"/>
      <c r="B836" s="67"/>
      <c r="C836" s="67"/>
      <c r="D836" s="67"/>
      <c r="E836" s="67" t="str">
        <f>A5</f>
        <v>Calendar Year 2011</v>
      </c>
      <c r="F836" s="67"/>
      <c r="G836" s="67"/>
      <c r="H836" s="67"/>
      <c r="I836" s="67"/>
      <c r="J836" s="67"/>
      <c r="K836" s="67"/>
      <c r="L836" s="67"/>
      <c r="M836" s="67"/>
      <c r="N836" s="67"/>
      <c r="O836" s="67"/>
      <c r="P836" s="67"/>
      <c r="Q836" s="67"/>
      <c r="R836" s="67"/>
      <c r="S836" s="552"/>
    </row>
    <row r="837" spans="1:19" x14ac:dyDescent="0.3">
      <c r="A837" s="551"/>
      <c r="B837" s="67"/>
      <c r="C837" s="67"/>
      <c r="D837" s="67"/>
      <c r="E837" s="67" t="s">
        <v>1199</v>
      </c>
      <c r="F837" s="67"/>
      <c r="G837" s="67"/>
      <c r="H837" s="67"/>
      <c r="I837" s="67"/>
      <c r="J837" s="67"/>
      <c r="K837" s="67"/>
      <c r="L837" s="67"/>
      <c r="M837" s="67"/>
      <c r="N837" s="67"/>
      <c r="O837" s="67"/>
      <c r="P837" s="67"/>
      <c r="Q837" s="67"/>
      <c r="R837" s="67"/>
      <c r="S837" s="552"/>
    </row>
    <row r="838" spans="1:19" x14ac:dyDescent="0.3">
      <c r="A838" s="551"/>
      <c r="B838" s="67"/>
      <c r="C838" s="67"/>
      <c r="D838" s="67"/>
      <c r="E838" s="67"/>
      <c r="F838" s="67"/>
      <c r="G838" s="67"/>
      <c r="H838" s="67"/>
      <c r="I838" s="67"/>
      <c r="J838" s="67"/>
      <c r="K838" s="67"/>
      <c r="L838" s="67"/>
      <c r="M838" s="67"/>
      <c r="N838" s="67"/>
      <c r="O838" s="67"/>
      <c r="P838" s="67"/>
      <c r="Q838" s="67"/>
      <c r="R838" s="67"/>
      <c r="S838" s="552"/>
    </row>
    <row r="839" spans="1:19" x14ac:dyDescent="0.3">
      <c r="A839" s="551" t="s">
        <v>1307</v>
      </c>
      <c r="B839" s="70" t="s">
        <v>1308</v>
      </c>
      <c r="C839" s="70" t="s">
        <v>1309</v>
      </c>
      <c r="D839" s="70" t="s">
        <v>1029</v>
      </c>
      <c r="E839" s="70" t="s">
        <v>1030</v>
      </c>
      <c r="F839" s="70" t="s">
        <v>284</v>
      </c>
      <c r="G839" s="70" t="s">
        <v>284</v>
      </c>
      <c r="H839" s="70" t="s">
        <v>285</v>
      </c>
      <c r="I839" s="70" t="s">
        <v>286</v>
      </c>
      <c r="J839" s="70" t="s">
        <v>287</v>
      </c>
      <c r="K839" s="70" t="s">
        <v>288</v>
      </c>
      <c r="L839" s="70" t="s">
        <v>289</v>
      </c>
      <c r="M839" s="70" t="s">
        <v>633</v>
      </c>
      <c r="N839" s="70" t="s">
        <v>634</v>
      </c>
      <c r="O839" s="70" t="s">
        <v>1192</v>
      </c>
      <c r="P839" s="70" t="s">
        <v>524</v>
      </c>
      <c r="Q839" s="70" t="s">
        <v>525</v>
      </c>
      <c r="R839" s="70" t="s">
        <v>2356</v>
      </c>
      <c r="S839" s="562" t="s">
        <v>2000</v>
      </c>
    </row>
    <row r="840" spans="1:19" x14ac:dyDescent="0.3">
      <c r="A840" s="551" t="s">
        <v>526</v>
      </c>
      <c r="B840" s="67"/>
      <c r="C840" s="67"/>
      <c r="D840" s="67"/>
      <c r="E840" s="67"/>
      <c r="F840" s="70" t="s">
        <v>1193</v>
      </c>
      <c r="G840" s="70" t="s">
        <v>1194</v>
      </c>
      <c r="H840" s="67"/>
      <c r="I840" s="67"/>
      <c r="J840" s="67"/>
      <c r="K840" s="67"/>
      <c r="L840" s="67"/>
      <c r="M840" s="67"/>
      <c r="N840" s="67"/>
      <c r="O840" s="67"/>
      <c r="P840" s="67"/>
      <c r="Q840" s="67"/>
      <c r="R840" s="70" t="s">
        <v>1236</v>
      </c>
      <c r="S840" s="562" t="s">
        <v>242</v>
      </c>
    </row>
    <row r="841" spans="1:19" x14ac:dyDescent="0.3">
      <c r="A841" s="551" t="s">
        <v>1195</v>
      </c>
      <c r="B841" s="67">
        <v>953</v>
      </c>
      <c r="C841" s="67">
        <v>128</v>
      </c>
      <c r="D841" s="67">
        <v>128</v>
      </c>
      <c r="E841" s="67">
        <v>219</v>
      </c>
      <c r="F841" s="67">
        <v>179</v>
      </c>
      <c r="G841" s="67">
        <v>121</v>
      </c>
      <c r="H841" s="67">
        <v>92</v>
      </c>
      <c r="I841" s="67">
        <v>150</v>
      </c>
      <c r="J841" s="67">
        <v>237</v>
      </c>
      <c r="K841" s="67">
        <v>226</v>
      </c>
      <c r="L841" s="67">
        <v>99</v>
      </c>
      <c r="M841" s="67">
        <v>102</v>
      </c>
      <c r="N841" s="67">
        <v>249</v>
      </c>
      <c r="O841" s="67">
        <v>189</v>
      </c>
      <c r="P841" s="67">
        <v>333</v>
      </c>
      <c r="Q841" s="67">
        <v>411</v>
      </c>
      <c r="R841" s="70" t="s">
        <v>335</v>
      </c>
      <c r="S841" s="562" t="s">
        <v>1481</v>
      </c>
    </row>
    <row r="842" spans="1:19" x14ac:dyDescent="0.3">
      <c r="A842" s="551"/>
      <c r="B842" s="67" t="s">
        <v>1353</v>
      </c>
      <c r="C842" s="67" t="s">
        <v>1353</v>
      </c>
      <c r="D842" s="67" t="s">
        <v>1353</v>
      </c>
      <c r="E842" s="67" t="s">
        <v>1353</v>
      </c>
      <c r="F842" s="67" t="s">
        <v>1353</v>
      </c>
      <c r="G842" s="67" t="s">
        <v>1353</v>
      </c>
      <c r="H842" s="67" t="s">
        <v>1353</v>
      </c>
      <c r="I842" s="67" t="s">
        <v>1353</v>
      </c>
      <c r="J842" s="67" t="s">
        <v>1353</v>
      </c>
      <c r="K842" s="67" t="s">
        <v>1353</v>
      </c>
      <c r="L842" s="67" t="s">
        <v>1353</v>
      </c>
      <c r="M842" s="67" t="s">
        <v>1353</v>
      </c>
      <c r="N842" s="67" t="s">
        <v>1353</v>
      </c>
      <c r="O842" s="67" t="s">
        <v>1353</v>
      </c>
      <c r="P842" s="67" t="s">
        <v>1353</v>
      </c>
      <c r="Q842" s="67" t="s">
        <v>1353</v>
      </c>
      <c r="R842" s="67" t="s">
        <v>251</v>
      </c>
      <c r="S842" s="562" t="s">
        <v>1353</v>
      </c>
    </row>
    <row r="843" spans="1:19" x14ac:dyDescent="0.3">
      <c r="A843" s="553" t="s">
        <v>1354</v>
      </c>
      <c r="B843" s="67">
        <f t="shared" ref="B843:Q843" si="129">(B761*B759)/1000</f>
        <v>85750.94</v>
      </c>
      <c r="C843" s="67">
        <f t="shared" si="129"/>
        <v>11505.023999999999</v>
      </c>
      <c r="D843" s="67">
        <f t="shared" si="129"/>
        <v>11492.736000000001</v>
      </c>
      <c r="E843" s="67">
        <f t="shared" si="129"/>
        <v>18986.423999999999</v>
      </c>
      <c r="F843" s="67">
        <f t="shared" si="129"/>
        <v>4070.9969999999998</v>
      </c>
      <c r="G843" s="67">
        <f t="shared" si="129"/>
        <v>0</v>
      </c>
      <c r="H843" s="67">
        <f t="shared" si="129"/>
        <v>3903.652</v>
      </c>
      <c r="I843" s="67">
        <f t="shared" si="129"/>
        <v>3137.1</v>
      </c>
      <c r="J843" s="67">
        <f t="shared" si="129"/>
        <v>4953.5370000000003</v>
      </c>
      <c r="K843" s="67">
        <f t="shared" si="129"/>
        <v>4632.3220000000001</v>
      </c>
      <c r="L843" s="67">
        <f t="shared" si="129"/>
        <v>1608.6510000000001</v>
      </c>
      <c r="M843" s="67">
        <f t="shared" si="129"/>
        <v>1655.3579999999999</v>
      </c>
      <c r="N843" s="67">
        <f t="shared" si="129"/>
        <v>4038.5309999999999</v>
      </c>
      <c r="O843" s="67">
        <f t="shared" si="129"/>
        <v>525.23099999999999</v>
      </c>
      <c r="P843" s="67">
        <f t="shared" si="129"/>
        <v>1697.9670000000001</v>
      </c>
      <c r="Q843" s="67">
        <f t="shared" si="129"/>
        <v>1113.81</v>
      </c>
      <c r="R843" s="67">
        <f t="shared" ref="R843:R854" si="130">(SUM(B843:Q843))</f>
        <v>159072.28000000003</v>
      </c>
      <c r="S843" s="563">
        <f t="shared" ref="S843:S854" si="131">(Q897*R897)/1000</f>
        <v>26.279683559999999</v>
      </c>
    </row>
    <row r="844" spans="1:19" x14ac:dyDescent="0.3">
      <c r="A844" s="553" t="s">
        <v>706</v>
      </c>
      <c r="B844" s="67">
        <f t="shared" ref="B844:Q844" si="132">(B762*B759)/1000</f>
        <v>127507.588</v>
      </c>
      <c r="C844" s="67">
        <f t="shared" si="132"/>
        <v>17106.944</v>
      </c>
      <c r="D844" s="67">
        <f t="shared" si="132"/>
        <v>17088.383999999998</v>
      </c>
      <c r="E844" s="67">
        <f t="shared" si="132"/>
        <v>27051.974999999999</v>
      </c>
      <c r="F844" s="67">
        <f t="shared" si="132"/>
        <v>9416.8320000000003</v>
      </c>
      <c r="G844" s="67">
        <f t="shared" si="132"/>
        <v>0</v>
      </c>
      <c r="H844" s="67">
        <f t="shared" si="132"/>
        <v>4456.2039999999997</v>
      </c>
      <c r="I844" s="67">
        <f t="shared" si="132"/>
        <v>3389.25</v>
      </c>
      <c r="J844" s="67">
        <f t="shared" si="132"/>
        <v>5325.1530000000002</v>
      </c>
      <c r="K844" s="67">
        <f t="shared" si="132"/>
        <v>4916.8559999999998</v>
      </c>
      <c r="L844" s="67">
        <f t="shared" si="132"/>
        <v>1677.7529999999999</v>
      </c>
      <c r="M844" s="67">
        <f t="shared" si="132"/>
        <v>1726.35</v>
      </c>
      <c r="N844" s="67">
        <f t="shared" si="132"/>
        <v>4211.5860000000002</v>
      </c>
      <c r="O844" s="67">
        <f t="shared" si="132"/>
        <v>619.54200000000003</v>
      </c>
      <c r="P844" s="67">
        <f t="shared" si="132"/>
        <v>1408.59</v>
      </c>
      <c r="Q844" s="67">
        <f t="shared" si="132"/>
        <v>1302.4590000000001</v>
      </c>
      <c r="R844" s="67">
        <f t="shared" si="130"/>
        <v>227205.46599999999</v>
      </c>
      <c r="S844" s="563">
        <f t="shared" si="131"/>
        <v>27.037311600000006</v>
      </c>
    </row>
    <row r="845" spans="1:19" x14ac:dyDescent="0.3">
      <c r="A845" s="553" t="s">
        <v>707</v>
      </c>
      <c r="B845" s="67">
        <f t="shared" ref="B845:Q845" si="133">(B763*B759)/1000</f>
        <v>177026.421</v>
      </c>
      <c r="C845" s="67">
        <f t="shared" si="133"/>
        <v>23741.824000000001</v>
      </c>
      <c r="D845" s="67">
        <f t="shared" si="133"/>
        <v>23708.416000000001</v>
      </c>
      <c r="E845" s="67">
        <f t="shared" si="133"/>
        <v>35426.535000000003</v>
      </c>
      <c r="F845" s="67">
        <f t="shared" si="133"/>
        <v>7951.0010000000002</v>
      </c>
      <c r="G845" s="67">
        <f t="shared" si="133"/>
        <v>0</v>
      </c>
      <c r="H845" s="67">
        <f t="shared" si="133"/>
        <v>8024.0559999999996</v>
      </c>
      <c r="I845" s="67">
        <f t="shared" si="133"/>
        <v>4081.95</v>
      </c>
      <c r="J845" s="67">
        <f t="shared" si="133"/>
        <v>5811.24</v>
      </c>
      <c r="K845" s="67">
        <f t="shared" si="133"/>
        <v>4560.4539999999997</v>
      </c>
      <c r="L845" s="67">
        <f t="shared" si="133"/>
        <v>1456.0920000000001</v>
      </c>
      <c r="M845" s="67">
        <f t="shared" si="133"/>
        <v>1497.36</v>
      </c>
      <c r="N845" s="67">
        <f t="shared" si="133"/>
        <v>3629.922</v>
      </c>
      <c r="O845" s="67">
        <f t="shared" si="133"/>
        <v>213.94800000000001</v>
      </c>
      <c r="P845" s="67">
        <f t="shared" si="133"/>
        <v>1807.191</v>
      </c>
      <c r="Q845" s="67">
        <f t="shared" si="133"/>
        <v>459.49799999999999</v>
      </c>
      <c r="R845" s="67">
        <f t="shared" si="130"/>
        <v>299395.908</v>
      </c>
      <c r="S845" s="563">
        <f t="shared" si="131"/>
        <v>22.388107170000001</v>
      </c>
    </row>
    <row r="846" spans="1:19" x14ac:dyDescent="0.3">
      <c r="A846" s="553" t="s">
        <v>1321</v>
      </c>
      <c r="B846" s="67">
        <f t="shared" ref="B846:Q846" si="134">(B764*B759)/1000</f>
        <v>172090.834</v>
      </c>
      <c r="C846" s="67">
        <f t="shared" si="134"/>
        <v>23067.008000000002</v>
      </c>
      <c r="D846" s="67">
        <f t="shared" si="134"/>
        <v>23017.984</v>
      </c>
      <c r="E846" s="67">
        <f t="shared" si="134"/>
        <v>36433.059000000001</v>
      </c>
      <c r="F846" s="67">
        <f t="shared" si="134"/>
        <v>3821.1129999999998</v>
      </c>
      <c r="G846" s="67">
        <f t="shared" si="134"/>
        <v>0</v>
      </c>
      <c r="H846" s="67">
        <f t="shared" si="134"/>
        <v>10542.647999999999</v>
      </c>
      <c r="I846" s="67">
        <f t="shared" si="134"/>
        <v>5140.5</v>
      </c>
      <c r="J846" s="67">
        <f t="shared" si="134"/>
        <v>6847.4040000000005</v>
      </c>
      <c r="K846" s="67">
        <f t="shared" si="134"/>
        <v>5397.7839999999997</v>
      </c>
      <c r="L846" s="67">
        <f t="shared" si="134"/>
        <v>1823.9760000000001</v>
      </c>
      <c r="M846" s="67">
        <f t="shared" si="134"/>
        <v>1875.4739999999999</v>
      </c>
      <c r="N846" s="67">
        <f t="shared" si="134"/>
        <v>4267.6109999999999</v>
      </c>
      <c r="O846" s="67">
        <f t="shared" si="134"/>
        <v>300.32100000000003</v>
      </c>
      <c r="P846" s="67">
        <f t="shared" si="134"/>
        <v>1835.829</v>
      </c>
      <c r="Q846" s="67">
        <f t="shared" si="134"/>
        <v>628.41899999999998</v>
      </c>
      <c r="R846" s="67">
        <f t="shared" si="130"/>
        <v>297089.96399999998</v>
      </c>
      <c r="S846" s="563">
        <f t="shared" si="131"/>
        <v>26.507126100000001</v>
      </c>
    </row>
    <row r="847" spans="1:19" x14ac:dyDescent="0.3">
      <c r="A847" s="553" t="s">
        <v>1905</v>
      </c>
      <c r="B847" s="67">
        <f t="shared" ref="B847:Q847" si="135">(B765*B759)/1000</f>
        <v>159327.30499999999</v>
      </c>
      <c r="C847" s="67">
        <f t="shared" si="135"/>
        <v>21345.279999999999</v>
      </c>
      <c r="D847" s="67">
        <f t="shared" si="135"/>
        <v>21280.768</v>
      </c>
      <c r="E847" s="67">
        <f t="shared" si="135"/>
        <v>33591.315000000002</v>
      </c>
      <c r="F847" s="67">
        <f t="shared" si="135"/>
        <v>1265.8879999999999</v>
      </c>
      <c r="G847" s="67">
        <f t="shared" si="135"/>
        <v>-3141.7649999999999</v>
      </c>
      <c r="H847" s="67">
        <f t="shared" si="135"/>
        <v>12169.392</v>
      </c>
      <c r="I847" s="67">
        <f t="shared" si="135"/>
        <v>4708.5</v>
      </c>
      <c r="J847" s="67">
        <f t="shared" si="135"/>
        <v>6424.3590000000004</v>
      </c>
      <c r="K847" s="67">
        <f t="shared" si="135"/>
        <v>4689.2740000000003</v>
      </c>
      <c r="L847" s="67">
        <f t="shared" si="135"/>
        <v>1967.625</v>
      </c>
      <c r="M847" s="67">
        <f t="shared" si="135"/>
        <v>2022.9659999999999</v>
      </c>
      <c r="N847" s="67">
        <f t="shared" si="135"/>
        <v>4244.7030000000004</v>
      </c>
      <c r="O847" s="67">
        <f t="shared" si="135"/>
        <v>334.34100000000001</v>
      </c>
      <c r="P847" s="67">
        <f t="shared" si="135"/>
        <v>1951.047</v>
      </c>
      <c r="Q847" s="67">
        <f t="shared" si="135"/>
        <v>717.19500000000005</v>
      </c>
      <c r="R847" s="67">
        <f t="shared" si="130"/>
        <v>272898.19300000003</v>
      </c>
      <c r="S847" s="563">
        <f t="shared" si="131"/>
        <v>27.757556190000003</v>
      </c>
    </row>
    <row r="848" spans="1:19" x14ac:dyDescent="0.3">
      <c r="A848" s="553" t="s">
        <v>1906</v>
      </c>
      <c r="B848" s="67">
        <f t="shared" ref="B848:Q848" si="136">(B766*B759)/1000</f>
        <v>148044.73800000001</v>
      </c>
      <c r="C848" s="67">
        <f t="shared" si="136"/>
        <v>19830.912</v>
      </c>
      <c r="D848" s="67">
        <f t="shared" si="136"/>
        <v>19771.392</v>
      </c>
      <c r="E848" s="67">
        <f t="shared" si="136"/>
        <v>27801.173999999999</v>
      </c>
      <c r="F848" s="67">
        <f t="shared" si="136"/>
        <v>187.05500000000001</v>
      </c>
      <c r="G848" s="67">
        <f t="shared" si="136"/>
        <v>-9426.8680000000004</v>
      </c>
      <c r="H848" s="67">
        <f t="shared" si="136"/>
        <v>14714.388000000001</v>
      </c>
      <c r="I848" s="67">
        <f t="shared" si="136"/>
        <v>5495.55</v>
      </c>
      <c r="J848" s="67">
        <f t="shared" si="136"/>
        <v>5291.973</v>
      </c>
      <c r="K848" s="67">
        <f t="shared" si="136"/>
        <v>3046.7060000000001</v>
      </c>
      <c r="L848" s="67">
        <f t="shared" si="136"/>
        <v>1219.383</v>
      </c>
      <c r="M848" s="67">
        <f t="shared" si="136"/>
        <v>1251.846</v>
      </c>
      <c r="N848" s="67">
        <f t="shared" si="136"/>
        <v>2525.1089999999999</v>
      </c>
      <c r="O848" s="67">
        <f t="shared" si="136"/>
        <v>318.654</v>
      </c>
      <c r="P848" s="67">
        <f t="shared" si="136"/>
        <v>2100.8969999999999</v>
      </c>
      <c r="Q848" s="67">
        <f t="shared" si="136"/>
        <v>660.88800000000003</v>
      </c>
      <c r="R848" s="67">
        <f t="shared" si="130"/>
        <v>242833.79700000002</v>
      </c>
      <c r="S848" s="563">
        <f t="shared" si="131"/>
        <v>19.949639190000003</v>
      </c>
    </row>
    <row r="849" spans="1:19" x14ac:dyDescent="0.3">
      <c r="A849" s="553" t="s">
        <v>1907</v>
      </c>
      <c r="B849" s="67">
        <f t="shared" ref="B849:Q849" si="137">(B767*B759)/1000</f>
        <v>75672.964999999997</v>
      </c>
      <c r="C849" s="67">
        <f t="shared" si="137"/>
        <v>10110.592000000001</v>
      </c>
      <c r="D849" s="67">
        <f t="shared" si="137"/>
        <v>10049.407999999999</v>
      </c>
      <c r="E849" s="67">
        <f t="shared" si="137"/>
        <v>10492.071</v>
      </c>
      <c r="F849" s="67">
        <f t="shared" si="137"/>
        <v>56.564</v>
      </c>
      <c r="G849" s="67">
        <f t="shared" si="137"/>
        <v>-19279.655999999999</v>
      </c>
      <c r="H849" s="67">
        <f t="shared" si="137"/>
        <v>15456.92</v>
      </c>
      <c r="I849" s="67">
        <f t="shared" si="137"/>
        <v>7131.45</v>
      </c>
      <c r="J849" s="67">
        <f t="shared" si="137"/>
        <v>6756.87</v>
      </c>
      <c r="K849" s="67">
        <f t="shared" si="137"/>
        <v>3972.1759999999999</v>
      </c>
      <c r="L849" s="67">
        <f t="shared" si="137"/>
        <v>1477.971</v>
      </c>
      <c r="M849" s="67">
        <f t="shared" si="137"/>
        <v>1518.78</v>
      </c>
      <c r="N849" s="67">
        <f t="shared" si="137"/>
        <v>3019.8719999999998</v>
      </c>
      <c r="O849" s="67">
        <f t="shared" si="137"/>
        <v>257.22899999999998</v>
      </c>
      <c r="P849" s="67">
        <f t="shared" si="137"/>
        <v>2055.6089999999999</v>
      </c>
      <c r="Q849" s="67">
        <f t="shared" si="137"/>
        <v>550.74</v>
      </c>
      <c r="R849" s="67">
        <f t="shared" si="130"/>
        <v>129299.561</v>
      </c>
      <c r="S849" s="563">
        <f t="shared" si="131"/>
        <v>21.93409647</v>
      </c>
    </row>
    <row r="850" spans="1:19" x14ac:dyDescent="0.3">
      <c r="A850" s="553" t="s">
        <v>1908</v>
      </c>
      <c r="B850" s="67">
        <f t="shared" ref="B850:Q850" si="138">(B768*B759)/1000</f>
        <v>58647.62</v>
      </c>
      <c r="C850" s="67">
        <f t="shared" si="138"/>
        <v>7834.3680000000004</v>
      </c>
      <c r="D850" s="67">
        <f t="shared" si="138"/>
        <v>7768.32</v>
      </c>
      <c r="E850" s="67">
        <f t="shared" si="138"/>
        <v>9830.0339999999997</v>
      </c>
      <c r="F850" s="67">
        <f t="shared" si="138"/>
        <v>0</v>
      </c>
      <c r="G850" s="67">
        <f t="shared" si="138"/>
        <v>-19514.275000000001</v>
      </c>
      <c r="H850" s="67">
        <f t="shared" si="138"/>
        <v>15627.672</v>
      </c>
      <c r="I850" s="67">
        <f t="shared" si="138"/>
        <v>7368</v>
      </c>
      <c r="J850" s="67">
        <f t="shared" si="138"/>
        <v>6968.2740000000003</v>
      </c>
      <c r="K850" s="67">
        <f t="shared" si="138"/>
        <v>5452.0240000000003</v>
      </c>
      <c r="L850" s="67">
        <f t="shared" si="138"/>
        <v>1901.394</v>
      </c>
      <c r="M850" s="67">
        <f t="shared" si="138"/>
        <v>1955.34</v>
      </c>
      <c r="N850" s="67">
        <f t="shared" si="138"/>
        <v>3998.1930000000002</v>
      </c>
      <c r="O850" s="67">
        <f t="shared" si="138"/>
        <v>319.59899999999999</v>
      </c>
      <c r="P850" s="67">
        <f t="shared" si="138"/>
        <v>2035.962</v>
      </c>
      <c r="Q850" s="67">
        <f t="shared" si="138"/>
        <v>688.01400000000001</v>
      </c>
      <c r="R850" s="67">
        <f t="shared" si="130"/>
        <v>110880.53899999999</v>
      </c>
      <c r="S850" s="563">
        <f t="shared" si="131"/>
        <v>26.919299939999998</v>
      </c>
    </row>
    <row r="851" spans="1:19" x14ac:dyDescent="0.3">
      <c r="A851" s="553" t="s">
        <v>2352</v>
      </c>
      <c r="B851" s="67">
        <f>(B769*B759)/1000</f>
        <v>98338.164000000004</v>
      </c>
      <c r="C851" s="67">
        <f>(C769*C759)/1000</f>
        <v>13167.616</v>
      </c>
      <c r="D851" s="67">
        <f>(D769*D759)/1000</f>
        <v>13096.832</v>
      </c>
      <c r="E851" s="67">
        <f>(E769*E759)/1000</f>
        <v>20556.435000000001</v>
      </c>
      <c r="F851" s="67">
        <f>(F769*F759)/1000</f>
        <v>883.54399999999998</v>
      </c>
      <c r="G851" s="67">
        <v>0</v>
      </c>
      <c r="H851" s="67">
        <f t="shared" ref="H851:Q851" si="139">(H769*H759)/1000</f>
        <v>9102.1119999999992</v>
      </c>
      <c r="I851" s="67">
        <f t="shared" si="139"/>
        <v>4354.05</v>
      </c>
      <c r="J851" s="67">
        <f t="shared" si="139"/>
        <v>5789.1989999999996</v>
      </c>
      <c r="K851" s="67">
        <f t="shared" si="139"/>
        <v>4747.3559999999998</v>
      </c>
      <c r="L851" s="67">
        <f t="shared" si="139"/>
        <v>1934.2619999999999</v>
      </c>
      <c r="M851" s="67">
        <f t="shared" si="139"/>
        <v>1989.4079999999999</v>
      </c>
      <c r="N851" s="67">
        <f t="shared" si="139"/>
        <v>4691.4089999999997</v>
      </c>
      <c r="O851" s="67">
        <f t="shared" si="139"/>
        <v>759.78</v>
      </c>
      <c r="P851" s="67">
        <f t="shared" si="139"/>
        <v>1945.0530000000001</v>
      </c>
      <c r="Q851" s="67">
        <f t="shared" si="139"/>
        <v>1627.56</v>
      </c>
      <c r="R851" s="67">
        <f t="shared" si="130"/>
        <v>182982.77999999994</v>
      </c>
      <c r="S851" s="563">
        <f t="shared" si="131"/>
        <v>31.980255840000002</v>
      </c>
    </row>
    <row r="852" spans="1:19" x14ac:dyDescent="0.3">
      <c r="A852" s="553" t="s">
        <v>2353</v>
      </c>
      <c r="B852" s="67">
        <f>(B770*B759)/1000</f>
        <v>141455.696</v>
      </c>
      <c r="C852" s="67">
        <f>(C770*C759)/1000</f>
        <v>18962.815999999999</v>
      </c>
      <c r="D852" s="67">
        <f>(D770*D759)/1000</f>
        <v>18928</v>
      </c>
      <c r="E852" s="67">
        <f>(E770*E759)/1000</f>
        <v>30914.258999999998</v>
      </c>
      <c r="F852" s="67">
        <f>(F770*F759)/1000</f>
        <v>9277.57</v>
      </c>
      <c r="G852" s="67">
        <v>0</v>
      </c>
      <c r="H852" s="67">
        <f t="shared" ref="H852:Q852" si="140">(H770*H759)/1000</f>
        <v>5070.3040000000001</v>
      </c>
      <c r="I852" s="67">
        <f t="shared" si="140"/>
        <v>2566.65</v>
      </c>
      <c r="J852" s="67">
        <f t="shared" si="140"/>
        <v>3995.82</v>
      </c>
      <c r="K852" s="67">
        <f t="shared" si="140"/>
        <v>3688.5459999999998</v>
      </c>
      <c r="L852" s="67">
        <f t="shared" si="140"/>
        <v>1316.2049999999999</v>
      </c>
      <c r="M852" s="67">
        <f t="shared" si="140"/>
        <v>1353.1320000000001</v>
      </c>
      <c r="N852" s="67">
        <f t="shared" si="140"/>
        <v>3259.6590000000001</v>
      </c>
      <c r="O852" s="67">
        <f t="shared" si="140"/>
        <v>630.88199999999995</v>
      </c>
      <c r="P852" s="67">
        <f t="shared" si="140"/>
        <v>1954.0440000000001</v>
      </c>
      <c r="Q852" s="67">
        <f t="shared" si="140"/>
        <v>1369.8630000000001</v>
      </c>
      <c r="R852" s="67">
        <f t="shared" si="130"/>
        <v>244743.44600000003</v>
      </c>
      <c r="S852" s="563">
        <f t="shared" si="131"/>
        <v>24.412948950000001</v>
      </c>
    </row>
    <row r="853" spans="1:19" x14ac:dyDescent="0.3">
      <c r="A853" s="553" t="s">
        <v>2354</v>
      </c>
      <c r="B853" s="67">
        <f t="shared" ref="B853:Q853" si="141">(B771*B759)/1000</f>
        <v>167376.34299999999</v>
      </c>
      <c r="C853" s="67">
        <f t="shared" si="141"/>
        <v>22450.687999999998</v>
      </c>
      <c r="D853" s="67">
        <f t="shared" si="141"/>
        <v>22421.759999999998</v>
      </c>
      <c r="E853" s="67">
        <f t="shared" si="141"/>
        <v>37625.514000000003</v>
      </c>
      <c r="F853" s="67">
        <f t="shared" si="141"/>
        <v>21769.800999999999</v>
      </c>
      <c r="G853" s="67">
        <f t="shared" si="141"/>
        <v>0</v>
      </c>
      <c r="H853" s="67">
        <f t="shared" si="141"/>
        <v>2440.4839999999999</v>
      </c>
      <c r="I853" s="67">
        <f t="shared" si="141"/>
        <v>1141.8</v>
      </c>
      <c r="J853" s="67">
        <f t="shared" si="141"/>
        <v>1787.454</v>
      </c>
      <c r="K853" s="67">
        <f t="shared" si="141"/>
        <v>1686.864</v>
      </c>
      <c r="L853" s="67">
        <f t="shared" si="141"/>
        <v>559.84500000000003</v>
      </c>
      <c r="M853" s="67">
        <f t="shared" si="141"/>
        <v>574.46400000000006</v>
      </c>
      <c r="N853" s="67">
        <f t="shared" si="141"/>
        <v>1372.9860000000001</v>
      </c>
      <c r="O853" s="67">
        <f t="shared" si="141"/>
        <v>162.54</v>
      </c>
      <c r="P853" s="67">
        <f t="shared" si="141"/>
        <v>1574.0909999999999</v>
      </c>
      <c r="Q853" s="67">
        <f t="shared" si="141"/>
        <v>339.48599999999999</v>
      </c>
      <c r="R853" s="67">
        <f t="shared" si="130"/>
        <v>283284.11999999988</v>
      </c>
      <c r="S853" s="563">
        <f t="shared" si="131"/>
        <v>11.321027639999999</v>
      </c>
    </row>
    <row r="854" spans="1:19" x14ac:dyDescent="0.3">
      <c r="A854" s="553" t="s">
        <v>2355</v>
      </c>
      <c r="B854" s="67">
        <f t="shared" ref="B854:Q854" si="142">(B772*B759)/1000</f>
        <v>143186.34400000001</v>
      </c>
      <c r="C854" s="67">
        <f t="shared" si="142"/>
        <v>19207.936000000002</v>
      </c>
      <c r="D854" s="67">
        <f t="shared" si="142"/>
        <v>19185.024000000001</v>
      </c>
      <c r="E854" s="67">
        <f t="shared" si="142"/>
        <v>30843.96</v>
      </c>
      <c r="F854" s="67">
        <f t="shared" si="142"/>
        <v>15705.638999999999</v>
      </c>
      <c r="G854" s="67">
        <f t="shared" si="142"/>
        <v>0</v>
      </c>
      <c r="H854" s="67">
        <f t="shared" si="142"/>
        <v>3191.2040000000002</v>
      </c>
      <c r="I854" s="67">
        <f t="shared" si="142"/>
        <v>1965.6</v>
      </c>
      <c r="J854" s="67">
        <f t="shared" si="142"/>
        <v>3101.6190000000001</v>
      </c>
      <c r="K854" s="67">
        <f t="shared" si="142"/>
        <v>2948.17</v>
      </c>
      <c r="L854" s="67">
        <f t="shared" si="142"/>
        <v>1106.6220000000001</v>
      </c>
      <c r="M854" s="67">
        <f t="shared" si="142"/>
        <v>1138.2180000000001</v>
      </c>
      <c r="N854" s="67">
        <f t="shared" si="142"/>
        <v>2757.1770000000001</v>
      </c>
      <c r="O854" s="67">
        <f t="shared" si="142"/>
        <v>806.84100000000001</v>
      </c>
      <c r="P854" s="67">
        <f t="shared" si="142"/>
        <v>1645.6859999999999</v>
      </c>
      <c r="Q854" s="67">
        <f t="shared" si="142"/>
        <v>1753.7370000000001</v>
      </c>
      <c r="R854" s="67">
        <f t="shared" si="130"/>
        <v>248543.777</v>
      </c>
      <c r="S854" s="563">
        <f t="shared" si="131"/>
        <v>22.74445407</v>
      </c>
    </row>
    <row r="855" spans="1:19" x14ac:dyDescent="0.3">
      <c r="A855" s="551"/>
      <c r="B855" s="67"/>
      <c r="C855" s="67"/>
      <c r="D855" s="67"/>
      <c r="E855" s="67"/>
      <c r="F855" s="67"/>
      <c r="G855" s="67"/>
      <c r="H855" s="67"/>
      <c r="I855" s="67"/>
      <c r="J855" s="67"/>
      <c r="K855" s="67"/>
      <c r="L855" s="67"/>
      <c r="M855" s="67"/>
      <c r="N855" s="67"/>
      <c r="O855" s="67"/>
      <c r="P855" s="67"/>
      <c r="Q855" s="67"/>
      <c r="R855" s="67"/>
      <c r="S855" s="563"/>
    </row>
    <row r="856" spans="1:19" x14ac:dyDescent="0.3">
      <c r="A856" s="553" t="s">
        <v>2356</v>
      </c>
      <c r="B856" s="67">
        <f t="shared" ref="B856:R856" si="143">SUM(B843:B854)</f>
        <v>1554424.9580000001</v>
      </c>
      <c r="C856" s="67">
        <f t="shared" si="143"/>
        <v>208331.00799999997</v>
      </c>
      <c r="D856" s="67">
        <f t="shared" si="143"/>
        <v>207809.024</v>
      </c>
      <c r="E856" s="67">
        <f t="shared" si="143"/>
        <v>319552.755</v>
      </c>
      <c r="F856" s="67">
        <f t="shared" si="143"/>
        <v>74406.004000000001</v>
      </c>
      <c r="G856" s="67">
        <f t="shared" si="143"/>
        <v>-51362.563999999998</v>
      </c>
      <c r="H856" s="67">
        <f t="shared" si="143"/>
        <v>104699.03599999999</v>
      </c>
      <c r="I856" s="67">
        <f t="shared" si="143"/>
        <v>50480.4</v>
      </c>
      <c r="J856" s="67">
        <f t="shared" si="143"/>
        <v>63052.902000000002</v>
      </c>
      <c r="K856" s="67">
        <f t="shared" si="143"/>
        <v>49738.531999999999</v>
      </c>
      <c r="L856" s="67">
        <f t="shared" si="143"/>
        <v>18049.778999999999</v>
      </c>
      <c r="M856" s="67">
        <f t="shared" si="143"/>
        <v>18558.696</v>
      </c>
      <c r="N856" s="67">
        <f t="shared" si="143"/>
        <v>42016.758000000002</v>
      </c>
      <c r="O856" s="67">
        <f t="shared" si="143"/>
        <v>5248.9080000000004</v>
      </c>
      <c r="P856" s="67">
        <f t="shared" si="143"/>
        <v>22011.966000000004</v>
      </c>
      <c r="Q856" s="67">
        <f t="shared" si="143"/>
        <v>11211.669000000002</v>
      </c>
      <c r="R856" s="67">
        <f t="shared" si="143"/>
        <v>2698229.8310000002</v>
      </c>
      <c r="S856" s="563">
        <f>(SUM(S843:S854))</f>
        <v>289.23150672000003</v>
      </c>
    </row>
    <row r="857" spans="1:19" ht="16.2" thickBot="1" x14ac:dyDescent="0.35">
      <c r="A857" s="554" t="s">
        <v>852</v>
      </c>
      <c r="B857" s="555"/>
      <c r="C857" s="555"/>
      <c r="D857" s="555"/>
      <c r="E857" s="555"/>
      <c r="F857" s="555"/>
      <c r="G857" s="555"/>
      <c r="H857" s="555"/>
      <c r="I857" s="555"/>
      <c r="J857" s="555"/>
      <c r="K857" s="555"/>
      <c r="L857" s="555"/>
      <c r="M857" s="555"/>
      <c r="N857" s="555"/>
      <c r="O857" s="555"/>
      <c r="P857" s="555"/>
      <c r="Q857" s="555"/>
      <c r="R857" s="555"/>
      <c r="S857" s="556"/>
    </row>
    <row r="858" spans="1:19" ht="16.2" thickBot="1" x14ac:dyDescent="0.35">
      <c r="A858" s="67"/>
      <c r="B858" s="67"/>
      <c r="C858" s="67"/>
      <c r="D858" s="67"/>
      <c r="E858" s="67"/>
      <c r="F858" s="67"/>
      <c r="G858" s="67"/>
      <c r="H858" s="67"/>
      <c r="I858" s="67"/>
      <c r="J858" s="67"/>
      <c r="K858" s="67"/>
      <c r="L858" s="67"/>
      <c r="M858" s="67"/>
      <c r="N858" s="67"/>
      <c r="O858" s="67"/>
      <c r="P858" s="67"/>
      <c r="Q858" s="67"/>
      <c r="R858" s="67"/>
    </row>
    <row r="859" spans="1:19" x14ac:dyDescent="0.3">
      <c r="A859" s="546"/>
      <c r="B859" s="547"/>
      <c r="C859" s="547"/>
      <c r="D859" s="547"/>
      <c r="E859" s="547"/>
      <c r="F859" s="547"/>
      <c r="G859" s="547"/>
      <c r="H859" s="547"/>
      <c r="I859" s="547"/>
      <c r="J859" s="547"/>
      <c r="K859" s="547"/>
      <c r="L859" s="547"/>
      <c r="M859" s="547"/>
      <c r="N859" s="547"/>
      <c r="O859" s="547"/>
      <c r="P859" s="547"/>
      <c r="Q859" s="549" t="str">
        <f>+Q1</f>
        <v>PRINTED:</v>
      </c>
      <c r="R859" s="559">
        <f ca="1">+R1</f>
        <v>44881.72963425926</v>
      </c>
      <c r="S859" s="560"/>
    </row>
    <row r="860" spans="1:19" ht="16.2" x14ac:dyDescent="0.35">
      <c r="A860" s="551"/>
      <c r="B860" s="67"/>
      <c r="C860" s="71" t="s">
        <v>2125</v>
      </c>
      <c r="D860" s="67"/>
      <c r="E860" s="67"/>
      <c r="F860" s="67"/>
      <c r="G860" s="67"/>
      <c r="H860" s="67"/>
      <c r="I860" s="67"/>
      <c r="J860" s="67"/>
      <c r="K860" s="67"/>
      <c r="L860" s="215"/>
      <c r="M860" s="71" t="s">
        <v>1456</v>
      </c>
      <c r="N860" s="67"/>
      <c r="O860" s="67"/>
      <c r="P860" s="67"/>
      <c r="Q860" s="67"/>
      <c r="R860" s="67"/>
      <c r="S860" s="561"/>
    </row>
    <row r="861" spans="1:19" x14ac:dyDescent="0.3">
      <c r="A861" s="551"/>
      <c r="B861" s="67"/>
      <c r="C861" s="67"/>
      <c r="D861" s="67"/>
      <c r="E861" s="67" t="s">
        <v>852</v>
      </c>
      <c r="F861" s="69" t="str">
        <f>+A9</f>
        <v>Revised:  1/23/11</v>
      </c>
      <c r="G861" s="67"/>
      <c r="H861" s="67"/>
      <c r="I861" s="67"/>
      <c r="J861" s="67"/>
      <c r="K861" s="67"/>
      <c r="L861" s="67"/>
      <c r="M861" s="67"/>
      <c r="N861" s="67"/>
      <c r="O861" s="67"/>
      <c r="P861" s="67" t="s">
        <v>852</v>
      </c>
      <c r="Q861" s="69" t="str">
        <f>+A9</f>
        <v>Revised:  1/23/11</v>
      </c>
      <c r="R861" s="67"/>
      <c r="S861" s="561"/>
    </row>
    <row r="862" spans="1:19" x14ac:dyDescent="0.3">
      <c r="A862" s="551"/>
      <c r="B862" s="67"/>
      <c r="C862" s="67"/>
      <c r="D862" s="67" t="s">
        <v>2545</v>
      </c>
      <c r="E862" s="67"/>
      <c r="F862" s="67"/>
      <c r="G862" s="67"/>
      <c r="H862" s="67"/>
      <c r="I862" s="67"/>
      <c r="J862" s="67"/>
      <c r="K862" s="67"/>
      <c r="L862" s="67"/>
      <c r="M862" s="67"/>
      <c r="N862" s="67" t="s">
        <v>2545</v>
      </c>
      <c r="O862" s="67"/>
      <c r="P862" s="67"/>
      <c r="Q862" s="67"/>
      <c r="R862" s="67"/>
      <c r="S862" s="561"/>
    </row>
    <row r="863" spans="1:19" x14ac:dyDescent="0.3">
      <c r="A863" s="551"/>
      <c r="B863" s="67"/>
      <c r="C863" s="67"/>
      <c r="D863" s="67"/>
      <c r="E863" s="67"/>
      <c r="F863" s="67"/>
      <c r="G863" s="67"/>
      <c r="H863" s="67"/>
      <c r="I863" s="67"/>
      <c r="J863" s="67"/>
      <c r="K863" s="67"/>
      <c r="L863" s="67"/>
      <c r="M863" s="67"/>
      <c r="N863" s="67"/>
      <c r="O863" s="67"/>
      <c r="P863" s="67"/>
      <c r="Q863" s="67"/>
      <c r="R863" s="67"/>
      <c r="S863" s="561"/>
    </row>
    <row r="864" spans="1:19" x14ac:dyDescent="0.3">
      <c r="A864" s="551"/>
      <c r="B864" s="67"/>
      <c r="C864" s="67"/>
      <c r="D864" s="67"/>
      <c r="E864" s="67" t="str">
        <f>+A5</f>
        <v>Calendar Year 2011</v>
      </c>
      <c r="F864" s="67"/>
      <c r="G864" s="67"/>
      <c r="H864" s="67"/>
      <c r="I864" s="67"/>
      <c r="J864" s="67"/>
      <c r="K864" s="67"/>
      <c r="L864" s="67"/>
      <c r="M864" s="67"/>
      <c r="N864" s="67"/>
      <c r="O864" s="67"/>
      <c r="P864" s="67" t="str">
        <f>+A5</f>
        <v>Calendar Year 2011</v>
      </c>
      <c r="Q864" s="67"/>
      <c r="R864" s="67"/>
      <c r="S864" s="561"/>
    </row>
    <row r="865" spans="1:19" x14ac:dyDescent="0.3">
      <c r="A865" s="551"/>
      <c r="B865" s="67"/>
      <c r="C865" s="67"/>
      <c r="D865" s="67"/>
      <c r="E865" s="67" t="s">
        <v>1199</v>
      </c>
      <c r="F865" s="67"/>
      <c r="G865" s="67"/>
      <c r="H865" s="67"/>
      <c r="I865" s="67"/>
      <c r="J865" s="67"/>
      <c r="K865" s="67"/>
      <c r="L865" s="67"/>
      <c r="M865" s="67"/>
      <c r="N865" s="67"/>
      <c r="O865" s="67"/>
      <c r="P865" s="67" t="s">
        <v>1199</v>
      </c>
      <c r="Q865" s="67"/>
      <c r="R865" s="67"/>
      <c r="S865" s="561"/>
    </row>
    <row r="866" spans="1:19" x14ac:dyDescent="0.3">
      <c r="A866" s="551"/>
      <c r="B866" s="67"/>
      <c r="C866" s="67"/>
      <c r="D866" s="67"/>
      <c r="E866" s="67"/>
      <c r="F866" s="67"/>
      <c r="G866" s="67"/>
      <c r="H866" s="67"/>
      <c r="I866" s="67"/>
      <c r="J866" s="67"/>
      <c r="K866" s="67"/>
      <c r="L866" s="67"/>
      <c r="M866" s="67"/>
      <c r="N866" s="67"/>
      <c r="O866" s="67"/>
      <c r="P866" s="67"/>
      <c r="Q866" s="67"/>
      <c r="R866" s="67"/>
      <c r="S866" s="561"/>
    </row>
    <row r="867" spans="1:19" x14ac:dyDescent="0.3">
      <c r="A867" s="551" t="s">
        <v>1307</v>
      </c>
      <c r="B867" s="70" t="s">
        <v>1308</v>
      </c>
      <c r="C867" s="70" t="s">
        <v>1309</v>
      </c>
      <c r="D867" s="70" t="s">
        <v>1029</v>
      </c>
      <c r="E867" s="70" t="s">
        <v>1030</v>
      </c>
      <c r="F867" s="70" t="s">
        <v>284</v>
      </c>
      <c r="G867" s="67"/>
      <c r="H867" s="70" t="s">
        <v>2356</v>
      </c>
      <c r="I867" s="67"/>
      <c r="J867" s="67"/>
      <c r="K867" s="67"/>
      <c r="L867" s="67" t="s">
        <v>1307</v>
      </c>
      <c r="M867" s="70" t="s">
        <v>1308</v>
      </c>
      <c r="N867" s="70" t="s">
        <v>1309</v>
      </c>
      <c r="O867" s="70" t="s">
        <v>1029</v>
      </c>
      <c r="P867" s="70" t="s">
        <v>1030</v>
      </c>
      <c r="Q867" s="70" t="s">
        <v>284</v>
      </c>
      <c r="R867" s="70" t="s">
        <v>2356</v>
      </c>
      <c r="S867" s="561"/>
    </row>
    <row r="868" spans="1:19" x14ac:dyDescent="0.3">
      <c r="A868" s="551" t="s">
        <v>526</v>
      </c>
      <c r="B868" s="67"/>
      <c r="C868" s="67"/>
      <c r="D868" s="67"/>
      <c r="E868" s="67"/>
      <c r="F868" s="70" t="s">
        <v>1193</v>
      </c>
      <c r="G868" s="67"/>
      <c r="H868" s="70" t="s">
        <v>252</v>
      </c>
      <c r="I868" s="67"/>
      <c r="J868" s="67"/>
      <c r="K868" s="67"/>
      <c r="L868" s="67" t="s">
        <v>526</v>
      </c>
      <c r="M868" s="67"/>
      <c r="N868" s="67"/>
      <c r="O868" s="67"/>
      <c r="P868" s="67"/>
      <c r="Q868" s="70" t="s">
        <v>1193</v>
      </c>
      <c r="R868" s="70" t="s">
        <v>252</v>
      </c>
      <c r="S868" s="561"/>
    </row>
    <row r="869" spans="1:19" x14ac:dyDescent="0.3">
      <c r="A869" s="551" t="s">
        <v>1195</v>
      </c>
      <c r="B869" s="67">
        <v>953</v>
      </c>
      <c r="C869" s="67">
        <v>128</v>
      </c>
      <c r="D869" s="67">
        <v>128</v>
      </c>
      <c r="E869" s="67">
        <v>219</v>
      </c>
      <c r="F869" s="67">
        <v>179</v>
      </c>
      <c r="G869" s="67"/>
      <c r="H869" s="70" t="s">
        <v>335</v>
      </c>
      <c r="I869" s="67"/>
      <c r="J869" s="67"/>
      <c r="K869" s="67"/>
      <c r="L869" s="67" t="s">
        <v>1195</v>
      </c>
      <c r="M869" s="67">
        <v>953</v>
      </c>
      <c r="N869" s="67">
        <v>128</v>
      </c>
      <c r="O869" s="67">
        <v>128</v>
      </c>
      <c r="P869" s="67">
        <v>219</v>
      </c>
      <c r="Q869" s="67">
        <v>179</v>
      </c>
      <c r="R869" s="70" t="s">
        <v>335</v>
      </c>
      <c r="S869" s="561"/>
    </row>
    <row r="870" spans="1:19" x14ac:dyDescent="0.3">
      <c r="A870" s="551"/>
      <c r="B870" s="67" t="s">
        <v>1353</v>
      </c>
      <c r="C870" s="67" t="s">
        <v>1353</v>
      </c>
      <c r="D870" s="67" t="s">
        <v>1353</v>
      </c>
      <c r="E870" s="67" t="s">
        <v>1353</v>
      </c>
      <c r="F870" s="67" t="s">
        <v>1353</v>
      </c>
      <c r="G870" s="67"/>
      <c r="H870" s="67" t="s">
        <v>251</v>
      </c>
      <c r="I870" s="67"/>
      <c r="J870" s="67"/>
      <c r="K870" s="67"/>
      <c r="L870" s="67"/>
      <c r="M870" s="67" t="s">
        <v>1353</v>
      </c>
      <c r="N870" s="67" t="s">
        <v>1353</v>
      </c>
      <c r="O870" s="67" t="s">
        <v>1353</v>
      </c>
      <c r="P870" s="67" t="s">
        <v>1353</v>
      </c>
      <c r="Q870" s="67" t="s">
        <v>1353</v>
      </c>
      <c r="R870" s="67" t="s">
        <v>251</v>
      </c>
      <c r="S870" s="561"/>
    </row>
    <row r="871" spans="1:19" x14ac:dyDescent="0.3">
      <c r="A871" s="553" t="s">
        <v>1354</v>
      </c>
      <c r="B871" s="67">
        <f t="shared" ref="B871:F882" si="144">($F761)*B$759/1000</f>
        <v>21674.079000000002</v>
      </c>
      <c r="C871" s="67">
        <f t="shared" si="144"/>
        <v>2911.1039999999998</v>
      </c>
      <c r="D871" s="67">
        <f t="shared" si="144"/>
        <v>2911.1039999999998</v>
      </c>
      <c r="E871" s="67">
        <f t="shared" si="144"/>
        <v>4980.7169999999996</v>
      </c>
      <c r="F871" s="67">
        <f t="shared" si="144"/>
        <v>4070.9969999999998</v>
      </c>
      <c r="G871" s="67"/>
      <c r="H871" s="67">
        <f t="shared" ref="H871:H882" si="145">SUM(B871:F871)</f>
        <v>36548.001000000004</v>
      </c>
      <c r="I871" s="67"/>
      <c r="J871" s="67"/>
      <c r="K871" s="67"/>
      <c r="L871" s="70" t="s">
        <v>1354</v>
      </c>
      <c r="M871" s="67">
        <f t="shared" ref="M871:Q882" si="146">(B761-$F761)*B$759/1000</f>
        <v>64076.860999999997</v>
      </c>
      <c r="N871" s="67">
        <f t="shared" si="146"/>
        <v>8593.92</v>
      </c>
      <c r="O871" s="67">
        <f t="shared" si="146"/>
        <v>8581.6319999999996</v>
      </c>
      <c r="P871" s="67">
        <f t="shared" si="146"/>
        <v>14005.707</v>
      </c>
      <c r="Q871" s="67">
        <f t="shared" si="146"/>
        <v>0</v>
      </c>
      <c r="R871" s="67">
        <f t="shared" ref="R871:R882" si="147">SUM(L871:P871)</f>
        <v>95258.12</v>
      </c>
      <c r="S871" s="561"/>
    </row>
    <row r="872" spans="1:19" x14ac:dyDescent="0.3">
      <c r="A872" s="553" t="s">
        <v>706</v>
      </c>
      <c r="B872" s="67">
        <f t="shared" si="144"/>
        <v>50135.423999999999</v>
      </c>
      <c r="C872" s="67">
        <f t="shared" si="144"/>
        <v>6733.8239999999996</v>
      </c>
      <c r="D872" s="67">
        <f t="shared" si="144"/>
        <v>6733.8239999999996</v>
      </c>
      <c r="E872" s="67">
        <f t="shared" si="144"/>
        <v>11521.152</v>
      </c>
      <c r="F872" s="67">
        <f t="shared" si="144"/>
        <v>9416.8320000000003</v>
      </c>
      <c r="G872" s="67"/>
      <c r="H872" s="67">
        <f t="shared" si="145"/>
        <v>84541.055999999997</v>
      </c>
      <c r="I872" s="67"/>
      <c r="J872" s="67"/>
      <c r="K872" s="67"/>
      <c r="L872" s="70" t="s">
        <v>706</v>
      </c>
      <c r="M872" s="67">
        <f t="shared" si="146"/>
        <v>77372.164000000004</v>
      </c>
      <c r="N872" s="67">
        <f t="shared" si="146"/>
        <v>10373.120000000001</v>
      </c>
      <c r="O872" s="67">
        <f t="shared" si="146"/>
        <v>10354.56</v>
      </c>
      <c r="P872" s="67">
        <f t="shared" si="146"/>
        <v>15530.823</v>
      </c>
      <c r="Q872" s="67">
        <f t="shared" si="146"/>
        <v>0</v>
      </c>
      <c r="R872" s="67">
        <f t="shared" si="147"/>
        <v>113630.667</v>
      </c>
      <c r="S872" s="561"/>
    </row>
    <row r="873" spans="1:19" x14ac:dyDescent="0.3">
      <c r="A873" s="553" t="s">
        <v>707</v>
      </c>
      <c r="B873" s="67">
        <f t="shared" si="144"/>
        <v>42331.307000000001</v>
      </c>
      <c r="C873" s="67">
        <f t="shared" si="144"/>
        <v>5685.6319999999996</v>
      </c>
      <c r="D873" s="67">
        <f t="shared" si="144"/>
        <v>5685.6319999999996</v>
      </c>
      <c r="E873" s="67">
        <f t="shared" si="144"/>
        <v>9727.7610000000004</v>
      </c>
      <c r="F873" s="67">
        <f t="shared" si="144"/>
        <v>7951.0010000000002</v>
      </c>
      <c r="G873" s="67"/>
      <c r="H873" s="67">
        <f t="shared" si="145"/>
        <v>71381.332999999999</v>
      </c>
      <c r="I873" s="67"/>
      <c r="J873" s="67"/>
      <c r="K873" s="67"/>
      <c r="L873" s="70" t="s">
        <v>707</v>
      </c>
      <c r="M873" s="67">
        <f t="shared" si="146"/>
        <v>134695.114</v>
      </c>
      <c r="N873" s="67">
        <f t="shared" si="146"/>
        <v>18056.191999999999</v>
      </c>
      <c r="O873" s="67">
        <f t="shared" si="146"/>
        <v>18022.784</v>
      </c>
      <c r="P873" s="67">
        <f t="shared" si="146"/>
        <v>25698.774000000001</v>
      </c>
      <c r="Q873" s="67">
        <f t="shared" si="146"/>
        <v>0</v>
      </c>
      <c r="R873" s="67">
        <f t="shared" si="147"/>
        <v>196472.86400000003</v>
      </c>
      <c r="S873" s="561"/>
    </row>
    <row r="874" spans="1:19" x14ac:dyDescent="0.3">
      <c r="A874" s="553" t="s">
        <v>1321</v>
      </c>
      <c r="B874" s="67">
        <f t="shared" si="144"/>
        <v>20343.690999999999</v>
      </c>
      <c r="C874" s="67">
        <f t="shared" si="144"/>
        <v>2732.4160000000002</v>
      </c>
      <c r="D874" s="67">
        <f t="shared" si="144"/>
        <v>2732.4160000000002</v>
      </c>
      <c r="E874" s="67">
        <f t="shared" si="144"/>
        <v>4674.9930000000004</v>
      </c>
      <c r="F874" s="67">
        <f t="shared" si="144"/>
        <v>3821.1129999999998</v>
      </c>
      <c r="G874" s="67"/>
      <c r="H874" s="67">
        <f t="shared" si="145"/>
        <v>34304.629000000001</v>
      </c>
      <c r="I874" s="67"/>
      <c r="J874" s="67"/>
      <c r="K874" s="67"/>
      <c r="L874" s="70" t="s">
        <v>1321</v>
      </c>
      <c r="M874" s="67">
        <f t="shared" si="146"/>
        <v>151747.14300000001</v>
      </c>
      <c r="N874" s="67">
        <f t="shared" si="146"/>
        <v>20334.592000000001</v>
      </c>
      <c r="O874" s="67">
        <f t="shared" si="146"/>
        <v>20285.567999999999</v>
      </c>
      <c r="P874" s="67">
        <f t="shared" si="146"/>
        <v>31758.065999999999</v>
      </c>
      <c r="Q874" s="67">
        <f t="shared" si="146"/>
        <v>0</v>
      </c>
      <c r="R874" s="67">
        <f t="shared" si="147"/>
        <v>224125.36900000001</v>
      </c>
      <c r="S874" s="561"/>
    </row>
    <row r="875" spans="1:19" x14ac:dyDescent="0.3">
      <c r="A875" s="553" t="s">
        <v>1905</v>
      </c>
      <c r="B875" s="67">
        <f t="shared" si="144"/>
        <v>6739.616</v>
      </c>
      <c r="C875" s="67">
        <f t="shared" si="144"/>
        <v>905.21600000000001</v>
      </c>
      <c r="D875" s="67">
        <f t="shared" si="144"/>
        <v>905.21600000000001</v>
      </c>
      <c r="E875" s="67">
        <f t="shared" si="144"/>
        <v>1548.768</v>
      </c>
      <c r="F875" s="67">
        <f t="shared" si="144"/>
        <v>1265.8879999999999</v>
      </c>
      <c r="G875" s="67"/>
      <c r="H875" s="67">
        <f t="shared" si="145"/>
        <v>11364.704000000002</v>
      </c>
      <c r="I875" s="67"/>
      <c r="J875" s="67"/>
      <c r="K875" s="67"/>
      <c r="L875" s="70" t="s">
        <v>1905</v>
      </c>
      <c r="M875" s="67">
        <f t="shared" si="146"/>
        <v>152587.68900000001</v>
      </c>
      <c r="N875" s="67">
        <f t="shared" si="146"/>
        <v>20440.063999999998</v>
      </c>
      <c r="O875" s="67">
        <f t="shared" si="146"/>
        <v>20375.552</v>
      </c>
      <c r="P875" s="67">
        <f t="shared" si="146"/>
        <v>32042.546999999999</v>
      </c>
      <c r="Q875" s="67">
        <f t="shared" si="146"/>
        <v>0</v>
      </c>
      <c r="R875" s="67">
        <f t="shared" si="147"/>
        <v>225445.85200000001</v>
      </c>
      <c r="S875" s="561"/>
    </row>
    <row r="876" spans="1:19" x14ac:dyDescent="0.3">
      <c r="A876" s="553" t="s">
        <v>1906</v>
      </c>
      <c r="B876" s="67">
        <f t="shared" si="144"/>
        <v>995.88499999999999</v>
      </c>
      <c r="C876" s="67">
        <f t="shared" si="144"/>
        <v>133.76</v>
      </c>
      <c r="D876" s="67">
        <f t="shared" si="144"/>
        <v>133.76</v>
      </c>
      <c r="E876" s="67">
        <f t="shared" si="144"/>
        <v>228.85499999999999</v>
      </c>
      <c r="F876" s="67">
        <f t="shared" si="144"/>
        <v>187.05500000000001</v>
      </c>
      <c r="G876" s="67"/>
      <c r="H876" s="67">
        <f t="shared" si="145"/>
        <v>1679.3150000000001</v>
      </c>
      <c r="I876" s="67"/>
      <c r="J876" s="67"/>
      <c r="K876" s="67"/>
      <c r="L876" s="70" t="s">
        <v>1906</v>
      </c>
      <c r="M876" s="67">
        <f t="shared" si="146"/>
        <v>147048.853</v>
      </c>
      <c r="N876" s="67">
        <f t="shared" si="146"/>
        <v>19697.151999999998</v>
      </c>
      <c r="O876" s="67">
        <f t="shared" si="146"/>
        <v>19637.632000000001</v>
      </c>
      <c r="P876" s="67">
        <f t="shared" si="146"/>
        <v>27572.319</v>
      </c>
      <c r="Q876" s="67">
        <f t="shared" si="146"/>
        <v>0</v>
      </c>
      <c r="R876" s="67">
        <f t="shared" si="147"/>
        <v>213955.95600000001</v>
      </c>
      <c r="S876" s="561"/>
    </row>
    <row r="877" spans="1:19" x14ac:dyDescent="0.3">
      <c r="A877" s="553" t="s">
        <v>1907</v>
      </c>
      <c r="B877" s="67">
        <f t="shared" si="144"/>
        <v>301.14800000000002</v>
      </c>
      <c r="C877" s="67">
        <f t="shared" si="144"/>
        <v>40.448</v>
      </c>
      <c r="D877" s="67">
        <f t="shared" si="144"/>
        <v>40.448</v>
      </c>
      <c r="E877" s="67">
        <f t="shared" si="144"/>
        <v>69.203999999999994</v>
      </c>
      <c r="F877" s="67">
        <f t="shared" si="144"/>
        <v>56.564</v>
      </c>
      <c r="G877" s="67"/>
      <c r="H877" s="67">
        <f t="shared" si="145"/>
        <v>507.81200000000001</v>
      </c>
      <c r="I877" s="67"/>
      <c r="J877" s="67"/>
      <c r="K877" s="67"/>
      <c r="L877" s="70" t="s">
        <v>1907</v>
      </c>
      <c r="M877" s="67">
        <f t="shared" si="146"/>
        <v>75371.816999999995</v>
      </c>
      <c r="N877" s="67">
        <f t="shared" si="146"/>
        <v>10070.144</v>
      </c>
      <c r="O877" s="67">
        <f t="shared" si="146"/>
        <v>10008.959999999999</v>
      </c>
      <c r="P877" s="67">
        <f t="shared" si="146"/>
        <v>10422.867</v>
      </c>
      <c r="Q877" s="67">
        <f t="shared" si="146"/>
        <v>0</v>
      </c>
      <c r="R877" s="67">
        <f t="shared" si="147"/>
        <v>105873.788</v>
      </c>
      <c r="S877" s="561"/>
    </row>
    <row r="878" spans="1:19" x14ac:dyDescent="0.3">
      <c r="A878" s="553" t="s">
        <v>1908</v>
      </c>
      <c r="B878" s="67">
        <f t="shared" si="144"/>
        <v>0</v>
      </c>
      <c r="C878" s="67">
        <f t="shared" si="144"/>
        <v>0</v>
      </c>
      <c r="D878" s="67">
        <f t="shared" si="144"/>
        <v>0</v>
      </c>
      <c r="E878" s="67">
        <f t="shared" si="144"/>
        <v>0</v>
      </c>
      <c r="F878" s="67">
        <f t="shared" si="144"/>
        <v>0</v>
      </c>
      <c r="G878" s="67"/>
      <c r="H878" s="67">
        <f t="shared" si="145"/>
        <v>0</v>
      </c>
      <c r="I878" s="67"/>
      <c r="J878" s="67"/>
      <c r="K878" s="67"/>
      <c r="L878" s="70" t="s">
        <v>1908</v>
      </c>
      <c r="M878" s="67">
        <f t="shared" si="146"/>
        <v>58647.62</v>
      </c>
      <c r="N878" s="67">
        <f t="shared" si="146"/>
        <v>7834.3680000000004</v>
      </c>
      <c r="O878" s="67">
        <f t="shared" si="146"/>
        <v>7768.32</v>
      </c>
      <c r="P878" s="67">
        <f t="shared" si="146"/>
        <v>9830.0339999999997</v>
      </c>
      <c r="Q878" s="67">
        <f t="shared" si="146"/>
        <v>0</v>
      </c>
      <c r="R878" s="67">
        <f t="shared" si="147"/>
        <v>84080.34199999999</v>
      </c>
      <c r="S878" s="561"/>
    </row>
    <row r="879" spans="1:19" x14ac:dyDescent="0.3">
      <c r="A879" s="553" t="s">
        <v>2352</v>
      </c>
      <c r="B879" s="67">
        <f t="shared" si="144"/>
        <v>4704.0079999999998</v>
      </c>
      <c r="C879" s="67">
        <f t="shared" si="144"/>
        <v>631.80799999999999</v>
      </c>
      <c r="D879" s="67">
        <f t="shared" si="144"/>
        <v>631.80799999999999</v>
      </c>
      <c r="E879" s="67">
        <f t="shared" si="144"/>
        <v>1080.9839999999999</v>
      </c>
      <c r="F879" s="67">
        <f t="shared" si="144"/>
        <v>883.54399999999998</v>
      </c>
      <c r="G879" s="67"/>
      <c r="H879" s="67">
        <f t="shared" si="145"/>
        <v>7932.152</v>
      </c>
      <c r="I879" s="67"/>
      <c r="J879" s="67"/>
      <c r="K879" s="67"/>
      <c r="L879" s="70" t="s">
        <v>2352</v>
      </c>
      <c r="M879" s="67">
        <f t="shared" si="146"/>
        <v>93634.156000000003</v>
      </c>
      <c r="N879" s="67">
        <f t="shared" si="146"/>
        <v>12535.808000000001</v>
      </c>
      <c r="O879" s="67">
        <f t="shared" si="146"/>
        <v>12465.023999999999</v>
      </c>
      <c r="P879" s="67">
        <f t="shared" si="146"/>
        <v>19475.451000000001</v>
      </c>
      <c r="Q879" s="67">
        <f t="shared" si="146"/>
        <v>0</v>
      </c>
      <c r="R879" s="67">
        <f t="shared" si="147"/>
        <v>138110.43900000001</v>
      </c>
      <c r="S879" s="561"/>
    </row>
    <row r="880" spans="1:19" x14ac:dyDescent="0.3">
      <c r="A880" s="553" t="s">
        <v>2353</v>
      </c>
      <c r="B880" s="67">
        <f t="shared" si="144"/>
        <v>49393.99</v>
      </c>
      <c r="C880" s="67">
        <f t="shared" si="144"/>
        <v>6634.24</v>
      </c>
      <c r="D880" s="67">
        <f t="shared" si="144"/>
        <v>6634.24</v>
      </c>
      <c r="E880" s="67">
        <f t="shared" si="144"/>
        <v>11350.77</v>
      </c>
      <c r="F880" s="67">
        <f t="shared" si="144"/>
        <v>9277.57</v>
      </c>
      <c r="G880" s="67"/>
      <c r="H880" s="67">
        <f t="shared" si="145"/>
        <v>83290.81</v>
      </c>
      <c r="I880" s="67"/>
      <c r="J880" s="67"/>
      <c r="K880" s="67"/>
      <c r="L880" s="70" t="s">
        <v>2353</v>
      </c>
      <c r="M880" s="67">
        <f t="shared" si="146"/>
        <v>92061.706000000006</v>
      </c>
      <c r="N880" s="67">
        <f t="shared" si="146"/>
        <v>12328.575999999999</v>
      </c>
      <c r="O880" s="67">
        <f t="shared" si="146"/>
        <v>12293.76</v>
      </c>
      <c r="P880" s="67">
        <f t="shared" si="146"/>
        <v>19563.489000000001</v>
      </c>
      <c r="Q880" s="67">
        <f t="shared" si="146"/>
        <v>0</v>
      </c>
      <c r="R880" s="67">
        <f t="shared" si="147"/>
        <v>136247.53100000002</v>
      </c>
      <c r="S880" s="561"/>
    </row>
    <row r="881" spans="1:19" x14ac:dyDescent="0.3">
      <c r="A881" s="553" t="s">
        <v>2354</v>
      </c>
      <c r="B881" s="67">
        <f t="shared" si="144"/>
        <v>115902.90700000001</v>
      </c>
      <c r="C881" s="67">
        <f t="shared" si="144"/>
        <v>15567.232</v>
      </c>
      <c r="D881" s="67">
        <f t="shared" si="144"/>
        <v>15567.232</v>
      </c>
      <c r="E881" s="67">
        <f t="shared" si="144"/>
        <v>26634.561000000002</v>
      </c>
      <c r="F881" s="67">
        <f t="shared" si="144"/>
        <v>21769.800999999999</v>
      </c>
      <c r="G881" s="67"/>
      <c r="H881" s="67">
        <f t="shared" si="145"/>
        <v>195441.73299999998</v>
      </c>
      <c r="I881" s="67"/>
      <c r="J881" s="67"/>
      <c r="K881" s="67"/>
      <c r="L881" s="70" t="s">
        <v>2354</v>
      </c>
      <c r="M881" s="67">
        <f t="shared" si="146"/>
        <v>51473.436000000002</v>
      </c>
      <c r="N881" s="67">
        <f t="shared" si="146"/>
        <v>6883.4560000000001</v>
      </c>
      <c r="O881" s="67">
        <f t="shared" si="146"/>
        <v>6854.5280000000002</v>
      </c>
      <c r="P881" s="67">
        <f t="shared" si="146"/>
        <v>10990.953</v>
      </c>
      <c r="Q881" s="67">
        <f t="shared" si="146"/>
        <v>0</v>
      </c>
      <c r="R881" s="67">
        <f t="shared" si="147"/>
        <v>76202.372999999992</v>
      </c>
      <c r="S881" s="561"/>
    </row>
    <row r="882" spans="1:19" x14ac:dyDescent="0.3">
      <c r="A882" s="553" t="s">
        <v>2355</v>
      </c>
      <c r="B882" s="67">
        <f t="shared" si="144"/>
        <v>83617.172999999995</v>
      </c>
      <c r="C882" s="67">
        <f t="shared" si="144"/>
        <v>11230.848</v>
      </c>
      <c r="D882" s="67">
        <f t="shared" si="144"/>
        <v>11230.848</v>
      </c>
      <c r="E882" s="67">
        <f t="shared" si="144"/>
        <v>19215.278999999999</v>
      </c>
      <c r="F882" s="67">
        <f t="shared" si="144"/>
        <v>15705.638999999999</v>
      </c>
      <c r="G882" s="67"/>
      <c r="H882" s="67">
        <f t="shared" si="145"/>
        <v>140999.78699999998</v>
      </c>
      <c r="I882" s="67"/>
      <c r="J882" s="67"/>
      <c r="K882" s="67"/>
      <c r="L882" s="70" t="s">
        <v>2355</v>
      </c>
      <c r="M882" s="67">
        <f t="shared" si="146"/>
        <v>59569.171000000002</v>
      </c>
      <c r="N882" s="67">
        <f t="shared" si="146"/>
        <v>7977.0879999999997</v>
      </c>
      <c r="O882" s="67">
        <f t="shared" si="146"/>
        <v>7954.1760000000004</v>
      </c>
      <c r="P882" s="67">
        <f t="shared" si="146"/>
        <v>11628.681</v>
      </c>
      <c r="Q882" s="67">
        <f t="shared" si="146"/>
        <v>0</v>
      </c>
      <c r="R882" s="67">
        <f t="shared" si="147"/>
        <v>87129.116000000009</v>
      </c>
      <c r="S882" s="561"/>
    </row>
    <row r="883" spans="1:19" x14ac:dyDescent="0.3">
      <c r="A883" s="551"/>
      <c r="B883" s="67"/>
      <c r="C883" s="67"/>
      <c r="D883" s="67"/>
      <c r="E883" s="67"/>
      <c r="F883" s="67"/>
      <c r="G883" s="67"/>
      <c r="H883" s="67"/>
      <c r="I883" s="67"/>
      <c r="J883" s="67"/>
      <c r="K883" s="67"/>
      <c r="L883" s="67"/>
      <c r="M883" s="67"/>
      <c r="N883" s="67"/>
      <c r="O883" s="67"/>
      <c r="P883" s="67"/>
      <c r="Q883" s="67"/>
      <c r="R883" s="67"/>
      <c r="S883" s="561"/>
    </row>
    <row r="884" spans="1:19" ht="16.2" thickBot="1" x14ac:dyDescent="0.35">
      <c r="A884" s="558" t="s">
        <v>2356</v>
      </c>
      <c r="B884" s="555">
        <f>SUM(B871:B882)</f>
        <v>396139.228</v>
      </c>
      <c r="C884" s="555">
        <f>SUM(C871:C882)</f>
        <v>53206.527999999991</v>
      </c>
      <c r="D884" s="555">
        <f>SUM(D871:D882)</f>
        <v>53206.527999999991</v>
      </c>
      <c r="E884" s="555">
        <f>SUM(E871:E882)</f>
        <v>91033.043999999994</v>
      </c>
      <c r="F884" s="555">
        <f>SUM(F871:F882)</f>
        <v>74406.004000000001</v>
      </c>
      <c r="G884" s="555"/>
      <c r="H884" s="555">
        <f>SUM(H871:H882)</f>
        <v>667991.33200000005</v>
      </c>
      <c r="I884" s="555"/>
      <c r="J884" s="555"/>
      <c r="K884" s="555"/>
      <c r="L884" s="564" t="s">
        <v>2356</v>
      </c>
      <c r="M884" s="555">
        <f t="shared" ref="M884:R884" si="148">SUM(M871:M882)</f>
        <v>1158285.7300000002</v>
      </c>
      <c r="N884" s="555">
        <f t="shared" si="148"/>
        <v>155124.48000000001</v>
      </c>
      <c r="O884" s="555">
        <f t="shared" si="148"/>
        <v>154602.49600000001</v>
      </c>
      <c r="P884" s="555">
        <f t="shared" si="148"/>
        <v>228519.71100000001</v>
      </c>
      <c r="Q884" s="555">
        <f t="shared" si="148"/>
        <v>0</v>
      </c>
      <c r="R884" s="555">
        <f t="shared" si="148"/>
        <v>1696532.4169999997</v>
      </c>
      <c r="S884" s="565"/>
    </row>
    <row r="885" spans="1:19" ht="16.2" thickBot="1" x14ac:dyDescent="0.35">
      <c r="A885" s="67"/>
      <c r="B885" s="67"/>
      <c r="C885" s="67"/>
      <c r="D885" s="67"/>
      <c r="E885" s="67"/>
      <c r="F885" s="67"/>
      <c r="G885" s="67"/>
      <c r="H885" s="67"/>
      <c r="I885" s="67"/>
      <c r="J885" s="67"/>
      <c r="K885" s="67"/>
      <c r="L885" s="67"/>
      <c r="M885" s="67"/>
      <c r="N885" s="67"/>
      <c r="O885" s="67"/>
      <c r="P885" s="67"/>
      <c r="Q885" s="67"/>
      <c r="R885" s="67"/>
    </row>
    <row r="886" spans="1:19" ht="16.2" x14ac:dyDescent="0.35">
      <c r="A886" s="546"/>
      <c r="B886" s="547" t="s">
        <v>2435</v>
      </c>
      <c r="C886" s="566"/>
      <c r="D886" s="566"/>
      <c r="E886" s="566"/>
      <c r="F886" s="566"/>
      <c r="G886" s="549" t="s">
        <v>1622</v>
      </c>
      <c r="H886" s="547"/>
      <c r="I886" s="547"/>
      <c r="J886" s="547"/>
      <c r="K886" s="547"/>
      <c r="L886" s="547"/>
      <c r="M886" s="547"/>
      <c r="N886" s="547"/>
      <c r="O886" s="547"/>
      <c r="P886" s="547"/>
      <c r="Q886" s="549" t="str">
        <f>+Q1</f>
        <v>PRINTED:</v>
      </c>
      <c r="R886" s="559">
        <f ca="1">+R1</f>
        <v>44881.72963425926</v>
      </c>
      <c r="S886" s="560"/>
    </row>
    <row r="887" spans="1:19" ht="16.2" x14ac:dyDescent="0.35">
      <c r="A887" s="551"/>
      <c r="B887" s="67"/>
      <c r="C887" s="215"/>
      <c r="D887" s="215"/>
      <c r="E887" s="215"/>
      <c r="F887" s="215"/>
      <c r="G887" s="67" t="s">
        <v>2435</v>
      </c>
      <c r="H887" s="67" t="s">
        <v>852</v>
      </c>
      <c r="I887" s="69" t="str">
        <f>+A9</f>
        <v>Revised:  1/23/11</v>
      </c>
      <c r="J887" s="67"/>
      <c r="K887" s="67"/>
      <c r="L887" s="67"/>
      <c r="M887" s="67"/>
      <c r="N887" s="67"/>
      <c r="O887" s="67"/>
      <c r="P887" s="67"/>
      <c r="Q887" s="67"/>
      <c r="R887" s="67"/>
      <c r="S887" s="561"/>
    </row>
    <row r="888" spans="1:19" ht="16.2" x14ac:dyDescent="0.35">
      <c r="A888" s="551"/>
      <c r="B888" s="67" t="s">
        <v>2435</v>
      </c>
      <c r="C888" s="215"/>
      <c r="D888" s="215"/>
      <c r="E888" s="215"/>
      <c r="F888" s="215"/>
      <c r="G888" s="67" t="s">
        <v>2545</v>
      </c>
      <c r="H888" s="67"/>
      <c r="I888" s="67"/>
      <c r="J888" s="67"/>
      <c r="K888" s="67"/>
      <c r="L888" s="67"/>
      <c r="M888" s="67"/>
      <c r="N888" s="67"/>
      <c r="O888" s="67"/>
      <c r="P888" s="67"/>
      <c r="Q888" s="67"/>
      <c r="R888" s="67"/>
      <c r="S888" s="561"/>
    </row>
    <row r="889" spans="1:19" ht="16.2" x14ac:dyDescent="0.35">
      <c r="A889" s="551"/>
      <c r="B889" s="67"/>
      <c r="C889" s="215"/>
      <c r="D889" s="215"/>
      <c r="E889" s="215"/>
      <c r="F889" s="215"/>
      <c r="G889" s="67"/>
      <c r="H889" s="67"/>
      <c r="I889" s="67"/>
      <c r="J889" s="67"/>
      <c r="K889" s="67"/>
      <c r="L889" s="67" t="s">
        <v>2435</v>
      </c>
      <c r="M889" s="67"/>
      <c r="N889" s="67"/>
      <c r="O889" s="67"/>
      <c r="P889" s="67"/>
      <c r="Q889" s="67"/>
      <c r="R889" s="67"/>
      <c r="S889" s="561"/>
    </row>
    <row r="890" spans="1:19" ht="16.2" x14ac:dyDescent="0.35">
      <c r="A890" s="551"/>
      <c r="B890" s="67"/>
      <c r="C890" s="215"/>
      <c r="D890" s="215"/>
      <c r="E890" s="215"/>
      <c r="F890" s="215"/>
      <c r="G890" s="67" t="s">
        <v>2435</v>
      </c>
      <c r="H890" s="67" t="str">
        <f>+A5</f>
        <v>Calendar Year 2011</v>
      </c>
      <c r="I890" s="67"/>
      <c r="K890" s="67"/>
      <c r="L890" s="67"/>
      <c r="N890" s="67" t="s">
        <v>2435</v>
      </c>
      <c r="O890" s="67"/>
      <c r="P890" s="67"/>
      <c r="Q890" s="71" t="s">
        <v>253</v>
      </c>
      <c r="R890" s="67"/>
      <c r="S890" s="561"/>
    </row>
    <row r="891" spans="1:19" x14ac:dyDescent="0.3">
      <c r="A891" s="551"/>
      <c r="B891" s="67"/>
      <c r="C891" s="67"/>
      <c r="D891" s="67"/>
      <c r="E891" s="67"/>
      <c r="F891" s="67"/>
      <c r="G891" s="67"/>
      <c r="H891" s="67"/>
      <c r="I891" s="67"/>
      <c r="K891" s="67"/>
      <c r="L891" s="67"/>
      <c r="N891" s="67"/>
      <c r="O891" s="67"/>
      <c r="P891" s="67"/>
      <c r="Q891" s="67" t="s">
        <v>254</v>
      </c>
      <c r="R891" s="67"/>
      <c r="S891" s="561"/>
    </row>
    <row r="892" spans="1:19" ht="16.2" x14ac:dyDescent="0.35">
      <c r="A892" s="551" t="s">
        <v>2435</v>
      </c>
      <c r="B892" s="70" t="s">
        <v>2439</v>
      </c>
      <c r="C892" s="70" t="s">
        <v>336</v>
      </c>
      <c r="D892" s="70" t="s">
        <v>596</v>
      </c>
      <c r="E892" s="70" t="s">
        <v>228</v>
      </c>
      <c r="F892" s="67"/>
      <c r="G892" s="67"/>
      <c r="H892" s="70" t="s">
        <v>229</v>
      </c>
      <c r="I892" s="70" t="s">
        <v>1412</v>
      </c>
      <c r="J892" s="70" t="s">
        <v>1499</v>
      </c>
      <c r="K892" s="70" t="s">
        <v>1413</v>
      </c>
      <c r="L892" s="70" t="s">
        <v>1414</v>
      </c>
      <c r="M892" s="70" t="s">
        <v>1499</v>
      </c>
      <c r="N892" s="67" t="s">
        <v>2435</v>
      </c>
      <c r="O892" s="67"/>
      <c r="P892" s="67"/>
      <c r="Q892" s="67"/>
      <c r="R892" s="67"/>
      <c r="S892" s="561"/>
    </row>
    <row r="893" spans="1:19" x14ac:dyDescent="0.3">
      <c r="A893" s="551" t="s">
        <v>2435</v>
      </c>
      <c r="B893" s="70" t="s">
        <v>275</v>
      </c>
      <c r="C893" s="70" t="s">
        <v>1415</v>
      </c>
      <c r="D893" s="70" t="s">
        <v>335</v>
      </c>
      <c r="E893" s="70" t="s">
        <v>2463</v>
      </c>
      <c r="F893" s="70" t="s">
        <v>1416</v>
      </c>
      <c r="G893" s="70" t="s">
        <v>1417</v>
      </c>
      <c r="H893" s="70" t="s">
        <v>1180</v>
      </c>
      <c r="I893" s="70" t="s">
        <v>1318</v>
      </c>
      <c r="J893" s="70" t="s">
        <v>76</v>
      </c>
      <c r="K893" s="70" t="s">
        <v>429</v>
      </c>
      <c r="L893" s="70" t="s">
        <v>2356</v>
      </c>
      <c r="M893" s="70" t="s">
        <v>76</v>
      </c>
      <c r="N893" s="67" t="s">
        <v>1999</v>
      </c>
      <c r="O893" s="67"/>
      <c r="P893" s="67"/>
      <c r="Q893" s="67" t="s">
        <v>2435</v>
      </c>
      <c r="R893" s="70" t="s">
        <v>335</v>
      </c>
      <c r="S893" s="561"/>
    </row>
    <row r="894" spans="1:19" x14ac:dyDescent="0.3">
      <c r="A894" s="551" t="s">
        <v>2435</v>
      </c>
      <c r="B894" s="70" t="s">
        <v>335</v>
      </c>
      <c r="C894" s="217">
        <v>6.8000000000000005E-2</v>
      </c>
      <c r="D894" s="70" t="s">
        <v>133</v>
      </c>
      <c r="E894" s="70" t="s">
        <v>276</v>
      </c>
      <c r="F894" s="70" t="s">
        <v>335</v>
      </c>
      <c r="G894" s="70" t="s">
        <v>335</v>
      </c>
      <c r="H894" s="70" t="s">
        <v>335</v>
      </c>
      <c r="I894" s="70" t="s">
        <v>134</v>
      </c>
      <c r="J894" s="70" t="s">
        <v>1498</v>
      </c>
      <c r="K894" s="70" t="s">
        <v>335</v>
      </c>
      <c r="L894" s="70" t="s">
        <v>135</v>
      </c>
      <c r="M894" s="70" t="s">
        <v>1498</v>
      </c>
      <c r="N894" s="70" t="s">
        <v>136</v>
      </c>
      <c r="O894" s="70" t="s">
        <v>241</v>
      </c>
      <c r="P894" s="67"/>
      <c r="Q894" s="70" t="s">
        <v>335</v>
      </c>
      <c r="R894" s="70" t="s">
        <v>956</v>
      </c>
      <c r="S894" s="561"/>
    </row>
    <row r="895" spans="1:19" x14ac:dyDescent="0.3">
      <c r="A895" s="551" t="s">
        <v>2435</v>
      </c>
      <c r="B895" s="70" t="s">
        <v>932</v>
      </c>
      <c r="C895" s="70" t="s">
        <v>932</v>
      </c>
      <c r="D895" s="70" t="s">
        <v>932</v>
      </c>
      <c r="E895" s="70" t="s">
        <v>932</v>
      </c>
      <c r="F895" s="70" t="s">
        <v>998</v>
      </c>
      <c r="G895" s="70" t="s">
        <v>998</v>
      </c>
      <c r="H895" s="70" t="s">
        <v>932</v>
      </c>
      <c r="I895" s="70" t="s">
        <v>932</v>
      </c>
      <c r="J895" s="70" t="s">
        <v>998</v>
      </c>
      <c r="K895" s="70" t="s">
        <v>932</v>
      </c>
      <c r="L895" s="70" t="s">
        <v>998</v>
      </c>
      <c r="M895" s="70" t="s">
        <v>998</v>
      </c>
      <c r="N895" s="70" t="s">
        <v>998</v>
      </c>
      <c r="O895" s="70" t="s">
        <v>998</v>
      </c>
      <c r="P895" s="67"/>
      <c r="Q895" s="70" t="s">
        <v>998</v>
      </c>
      <c r="R895" s="70" t="s">
        <v>2201</v>
      </c>
      <c r="S895" s="561"/>
    </row>
    <row r="896" spans="1:19" x14ac:dyDescent="0.3">
      <c r="A896" s="551" t="s">
        <v>1353</v>
      </c>
      <c r="B896" s="67" t="s">
        <v>1353</v>
      </c>
      <c r="C896" s="67" t="s">
        <v>1353</v>
      </c>
      <c r="D896" s="67" t="s">
        <v>2202</v>
      </c>
      <c r="E896" s="67" t="s">
        <v>1353</v>
      </c>
      <c r="F896" s="70" t="s">
        <v>2119</v>
      </c>
      <c r="G896" s="70" t="s">
        <v>2119</v>
      </c>
      <c r="H896" s="67" t="s">
        <v>1353</v>
      </c>
      <c r="I896" s="67" t="s">
        <v>1353</v>
      </c>
      <c r="J896" s="67" t="s">
        <v>1353</v>
      </c>
      <c r="K896" s="67" t="s">
        <v>1353</v>
      </c>
      <c r="L896" s="70" t="s">
        <v>1353</v>
      </c>
      <c r="M896" s="67" t="s">
        <v>1353</v>
      </c>
      <c r="N896" s="70" t="s">
        <v>1353</v>
      </c>
      <c r="O896" s="70" t="s">
        <v>1353</v>
      </c>
      <c r="P896" s="67"/>
      <c r="Q896" s="70" t="s">
        <v>1353</v>
      </c>
      <c r="R896" s="70" t="s">
        <v>1353</v>
      </c>
      <c r="S896" s="561"/>
    </row>
    <row r="897" spans="1:19" x14ac:dyDescent="0.3">
      <c r="A897" s="553" t="s">
        <v>1354</v>
      </c>
      <c r="B897" s="67">
        <f t="shared" ref="B897:B908" si="149">+H786</f>
        <v>159072.28</v>
      </c>
      <c r="C897" s="67">
        <f t="shared" ref="C897:C908" si="150">(B897*C$894)</f>
        <v>10816.91504</v>
      </c>
      <c r="D897" s="67">
        <f t="shared" ref="D897:D908" si="151">(B897*1.005)</f>
        <v>159867.64139999999</v>
      </c>
      <c r="E897" s="67">
        <f t="shared" ref="E897:E904" si="152">(G761*G$759)/(-1000)</f>
        <v>0</v>
      </c>
      <c r="F897" s="67">
        <f t="shared" ref="F897:F908" si="153">(K934)</f>
        <v>4000</v>
      </c>
      <c r="G897" s="67">
        <f t="shared" ref="G897:G908" si="154">(O934)</f>
        <v>0</v>
      </c>
      <c r="H897" s="67">
        <f t="shared" ref="H897:H908" si="155">(F897+G897)</f>
        <v>4000</v>
      </c>
      <c r="I897" s="67">
        <f t="shared" ref="I897:I908" si="156">(G934)</f>
        <v>0</v>
      </c>
      <c r="J897">
        <f>(B$243+B$368+B$369)*1.728</f>
        <v>425.08800000000002</v>
      </c>
      <c r="K897" s="67">
        <f t="shared" ref="K897:K908" si="157">(D897+C897-E897-H897-I897-J897)</f>
        <v>166259.46844</v>
      </c>
      <c r="L897" s="67">
        <f t="shared" ref="L897:L908" si="158">(C897+D897)</f>
        <v>170684.55643999999</v>
      </c>
      <c r="M897" s="67">
        <f t="shared" ref="M897:M908" si="159">J897</f>
        <v>425.08800000000002</v>
      </c>
      <c r="N897" s="67">
        <f t="shared" ref="N897:N905" si="160">L897-M897</f>
        <v>170259.46844</v>
      </c>
      <c r="O897" s="67">
        <v>0</v>
      </c>
      <c r="P897" s="218" t="s">
        <v>925</v>
      </c>
      <c r="Q897" s="67">
        <f t="shared" ref="Q897:Q908" si="161">SUM(L843:Q843)</f>
        <v>10639.547999999999</v>
      </c>
      <c r="R897" s="72">
        <v>2.4700000000000002</v>
      </c>
      <c r="S897" s="561"/>
    </row>
    <row r="898" spans="1:19" x14ac:dyDescent="0.3">
      <c r="A898" s="553" t="s">
        <v>706</v>
      </c>
      <c r="B898" s="67">
        <f t="shared" si="149"/>
        <v>227205.46599999999</v>
      </c>
      <c r="C898" s="67">
        <f t="shared" si="150"/>
        <v>15449.971688</v>
      </c>
      <c r="D898" s="67">
        <f t="shared" si="151"/>
        <v>228341.49332999997</v>
      </c>
      <c r="E898" s="67">
        <f t="shared" si="152"/>
        <v>0</v>
      </c>
      <c r="F898" s="67">
        <f t="shared" si="153"/>
        <v>4000</v>
      </c>
      <c r="G898" s="67">
        <f t="shared" si="154"/>
        <v>0</v>
      </c>
      <c r="H898" s="67">
        <f t="shared" si="155"/>
        <v>4000</v>
      </c>
      <c r="I898" s="67">
        <f t="shared" si="156"/>
        <v>0</v>
      </c>
      <c r="J898">
        <f>(C$243+C$368+C$369)*1.728</f>
        <v>43.2</v>
      </c>
      <c r="K898" s="67">
        <f t="shared" si="157"/>
        <v>239748.26501799995</v>
      </c>
      <c r="L898" s="67">
        <f t="shared" si="158"/>
        <v>243791.46501799996</v>
      </c>
      <c r="M898" s="67">
        <f t="shared" si="159"/>
        <v>43.2</v>
      </c>
      <c r="N898" s="67">
        <f t="shared" si="160"/>
        <v>243748.26501799995</v>
      </c>
      <c r="O898" s="67">
        <v>0</v>
      </c>
      <c r="P898" s="67"/>
      <c r="Q898" s="67">
        <f t="shared" si="161"/>
        <v>10946.28</v>
      </c>
      <c r="R898" s="72">
        <v>2.4700000000000002</v>
      </c>
      <c r="S898" s="561"/>
    </row>
    <row r="899" spans="1:19" x14ac:dyDescent="0.3">
      <c r="A899" s="553" t="s">
        <v>707</v>
      </c>
      <c r="B899" s="67">
        <f t="shared" si="149"/>
        <v>299395.908</v>
      </c>
      <c r="C899" s="67">
        <f t="shared" si="150"/>
        <v>20358.921744000003</v>
      </c>
      <c r="D899" s="67">
        <f t="shared" si="151"/>
        <v>300892.88753999997</v>
      </c>
      <c r="E899" s="67">
        <f t="shared" si="152"/>
        <v>0</v>
      </c>
      <c r="F899" s="67">
        <f t="shared" si="153"/>
        <v>4000</v>
      </c>
      <c r="G899" s="67">
        <f t="shared" si="154"/>
        <v>0</v>
      </c>
      <c r="H899" s="67">
        <f t="shared" si="155"/>
        <v>4000</v>
      </c>
      <c r="I899" s="67">
        <f t="shared" si="156"/>
        <v>0</v>
      </c>
      <c r="J899">
        <f>(D$243+D$368+D$369)*1.728</f>
        <v>953.85599999999999</v>
      </c>
      <c r="K899" s="67">
        <f t="shared" si="157"/>
        <v>316297.95328399993</v>
      </c>
      <c r="L899" s="67">
        <f t="shared" si="158"/>
        <v>321251.80928399996</v>
      </c>
      <c r="M899" s="67">
        <f t="shared" si="159"/>
        <v>953.85599999999999</v>
      </c>
      <c r="N899" s="67">
        <f t="shared" si="160"/>
        <v>320297.95328399993</v>
      </c>
      <c r="O899" s="67">
        <v>0</v>
      </c>
      <c r="P899" s="67"/>
      <c r="Q899" s="67">
        <f t="shared" si="161"/>
        <v>9064.0110000000004</v>
      </c>
      <c r="R899" s="72">
        <v>2.4700000000000002</v>
      </c>
      <c r="S899" s="561"/>
    </row>
    <row r="900" spans="1:19" x14ac:dyDescent="0.3">
      <c r="A900" s="553" t="s">
        <v>1321</v>
      </c>
      <c r="B900" s="67">
        <f t="shared" si="149"/>
        <v>297089.96400000004</v>
      </c>
      <c r="C900" s="67">
        <f t="shared" si="150"/>
        <v>20202.117552000003</v>
      </c>
      <c r="D900" s="67">
        <f t="shared" si="151"/>
        <v>298575.41382000002</v>
      </c>
      <c r="E900" s="67">
        <f t="shared" si="152"/>
        <v>0</v>
      </c>
      <c r="F900" s="67">
        <f t="shared" si="153"/>
        <v>4000</v>
      </c>
      <c r="G900" s="67">
        <f t="shared" si="154"/>
        <v>0</v>
      </c>
      <c r="H900" s="67">
        <f t="shared" si="155"/>
        <v>4000</v>
      </c>
      <c r="I900" s="67">
        <f t="shared" si="156"/>
        <v>0</v>
      </c>
      <c r="J900">
        <f>(F$243+F$368+F$369)*1.728</f>
        <v>0</v>
      </c>
      <c r="K900" s="67">
        <f t="shared" si="157"/>
        <v>314777.531372</v>
      </c>
      <c r="L900" s="67">
        <f t="shared" si="158"/>
        <v>318777.531372</v>
      </c>
      <c r="M900" s="67">
        <f t="shared" si="159"/>
        <v>0</v>
      </c>
      <c r="N900" s="67">
        <f t="shared" si="160"/>
        <v>318777.531372</v>
      </c>
      <c r="O900" s="67">
        <v>0</v>
      </c>
      <c r="P900" s="67"/>
      <c r="Q900" s="67">
        <f t="shared" si="161"/>
        <v>10731.63</v>
      </c>
      <c r="R900" s="72">
        <v>2.4700000000000002</v>
      </c>
      <c r="S900" s="561"/>
    </row>
    <row r="901" spans="1:19" x14ac:dyDescent="0.3">
      <c r="A901" s="553" t="s">
        <v>1905</v>
      </c>
      <c r="B901" s="67">
        <f t="shared" si="149"/>
        <v>276039.95799999998</v>
      </c>
      <c r="C901" s="67">
        <f t="shared" si="150"/>
        <v>18770.717144000002</v>
      </c>
      <c r="D901" s="67">
        <f t="shared" si="151"/>
        <v>277420.15778999997</v>
      </c>
      <c r="E901" s="67">
        <f t="shared" si="152"/>
        <v>3141.7649999999999</v>
      </c>
      <c r="F901" s="67">
        <f t="shared" si="153"/>
        <v>9000</v>
      </c>
      <c r="G901" s="67">
        <f t="shared" si="154"/>
        <v>0</v>
      </c>
      <c r="H901" s="67">
        <f t="shared" si="155"/>
        <v>9000</v>
      </c>
      <c r="I901" s="67">
        <f t="shared" si="156"/>
        <v>0</v>
      </c>
      <c r="J901">
        <f>(G$243+G$368+G$369)*1.728</f>
        <v>1952.6399999999999</v>
      </c>
      <c r="K901" s="67">
        <f t="shared" si="157"/>
        <v>282096.46993399994</v>
      </c>
      <c r="L901" s="67">
        <f t="shared" si="158"/>
        <v>296190.87493399996</v>
      </c>
      <c r="M901" s="67">
        <f t="shared" si="159"/>
        <v>1952.6399999999999</v>
      </c>
      <c r="N901" s="67">
        <f t="shared" si="160"/>
        <v>294238.23493399995</v>
      </c>
      <c r="O901" s="67">
        <v>0</v>
      </c>
      <c r="P901" s="67"/>
      <c r="Q901" s="67">
        <f t="shared" si="161"/>
        <v>11237.877</v>
      </c>
      <c r="R901" s="72">
        <v>2.4700000000000002</v>
      </c>
      <c r="S901" s="561"/>
    </row>
    <row r="902" spans="1:19" x14ac:dyDescent="0.3">
      <c r="A902" s="553" t="s">
        <v>1906</v>
      </c>
      <c r="B902" s="67">
        <f t="shared" si="149"/>
        <v>252260.66500000001</v>
      </c>
      <c r="C902" s="67">
        <f t="shared" si="150"/>
        <v>17153.72522</v>
      </c>
      <c r="D902" s="67">
        <f t="shared" si="151"/>
        <v>253521.96832499999</v>
      </c>
      <c r="E902" s="67">
        <f t="shared" si="152"/>
        <v>9426.8680000000004</v>
      </c>
      <c r="F902" s="67">
        <f t="shared" si="153"/>
        <v>18000</v>
      </c>
      <c r="G902" s="67">
        <f t="shared" si="154"/>
        <v>0</v>
      </c>
      <c r="H902" s="67">
        <f t="shared" si="155"/>
        <v>18000</v>
      </c>
      <c r="I902" s="67">
        <f t="shared" si="156"/>
        <v>0</v>
      </c>
      <c r="J902">
        <f>(H$243+H$368+H$369)*1.728</f>
        <v>1812.672</v>
      </c>
      <c r="K902" s="67">
        <f t="shared" si="157"/>
        <v>241436.15354500001</v>
      </c>
      <c r="L902" s="67">
        <f t="shared" si="158"/>
        <v>270675.69354499999</v>
      </c>
      <c r="M902" s="67">
        <f t="shared" si="159"/>
        <v>1812.672</v>
      </c>
      <c r="N902" s="67">
        <f t="shared" si="160"/>
        <v>268863.02154499997</v>
      </c>
      <c r="O902" s="67">
        <f t="shared" ref="O902:O908" si="162">(L902-M902-N902)</f>
        <v>0</v>
      </c>
      <c r="P902" s="67"/>
      <c r="Q902" s="67">
        <f t="shared" si="161"/>
        <v>8076.777</v>
      </c>
      <c r="R902" s="72">
        <v>2.4700000000000002</v>
      </c>
      <c r="S902" s="561"/>
    </row>
    <row r="903" spans="1:19" x14ac:dyDescent="0.3">
      <c r="A903" s="553" t="s">
        <v>1907</v>
      </c>
      <c r="B903" s="67">
        <f t="shared" si="149"/>
        <v>148579.217</v>
      </c>
      <c r="C903" s="67">
        <f t="shared" si="150"/>
        <v>10103.386756000002</v>
      </c>
      <c r="D903" s="67">
        <f t="shared" si="151"/>
        <v>149322.11308499999</v>
      </c>
      <c r="E903" s="67">
        <f t="shared" si="152"/>
        <v>19279.655999999999</v>
      </c>
      <c r="F903" s="67">
        <f t="shared" si="153"/>
        <v>26000</v>
      </c>
      <c r="G903" s="67">
        <f t="shared" si="154"/>
        <v>0</v>
      </c>
      <c r="H903" s="67">
        <f t="shared" si="155"/>
        <v>26000</v>
      </c>
      <c r="I903" s="67">
        <f t="shared" si="156"/>
        <v>0</v>
      </c>
      <c r="J903">
        <f>(J$243+J$368+J$369)*1.728</f>
        <v>34.56</v>
      </c>
      <c r="K903" s="67">
        <f t="shared" si="157"/>
        <v>114111.283841</v>
      </c>
      <c r="L903" s="67">
        <f t="shared" si="158"/>
        <v>159425.49984099998</v>
      </c>
      <c r="M903" s="67">
        <f t="shared" si="159"/>
        <v>34.56</v>
      </c>
      <c r="N903" s="67">
        <f t="shared" si="160"/>
        <v>159390.93984099998</v>
      </c>
      <c r="O903" s="67">
        <f t="shared" si="162"/>
        <v>0</v>
      </c>
      <c r="P903" s="67"/>
      <c r="Q903" s="67">
        <f t="shared" si="161"/>
        <v>8880.2009999999991</v>
      </c>
      <c r="R903" s="72">
        <v>2.4700000000000002</v>
      </c>
      <c r="S903" s="561"/>
    </row>
    <row r="904" spans="1:19" x14ac:dyDescent="0.3">
      <c r="A904" s="553" t="s">
        <v>1908</v>
      </c>
      <c r="B904" s="67">
        <f t="shared" si="149"/>
        <v>130394.81400000001</v>
      </c>
      <c r="C904" s="67">
        <f t="shared" si="150"/>
        <v>8866.8473520000007</v>
      </c>
      <c r="D904" s="67">
        <f t="shared" si="151"/>
        <v>131046.78807</v>
      </c>
      <c r="E904" s="67">
        <f t="shared" si="152"/>
        <v>19514.275000000001</v>
      </c>
      <c r="F904" s="67">
        <f t="shared" si="153"/>
        <v>35000</v>
      </c>
      <c r="G904" s="67">
        <f t="shared" si="154"/>
        <v>0</v>
      </c>
      <c r="H904" s="67">
        <f t="shared" si="155"/>
        <v>35000</v>
      </c>
      <c r="I904" s="67">
        <f t="shared" si="156"/>
        <v>0</v>
      </c>
      <c r="J904">
        <f>(K$243+K$368+K$369)*1.728</f>
        <v>0</v>
      </c>
      <c r="K904" s="67">
        <f t="shared" si="157"/>
        <v>85399.360421999998</v>
      </c>
      <c r="L904" s="67">
        <f t="shared" si="158"/>
        <v>139913.63542199999</v>
      </c>
      <c r="M904" s="67">
        <f t="shared" si="159"/>
        <v>0</v>
      </c>
      <c r="N904" s="67">
        <f t="shared" si="160"/>
        <v>139913.63542199999</v>
      </c>
      <c r="O904" s="67">
        <f t="shared" si="162"/>
        <v>0</v>
      </c>
      <c r="P904" s="67"/>
      <c r="Q904" s="67">
        <f t="shared" si="161"/>
        <v>10898.501999999999</v>
      </c>
      <c r="R904" s="72">
        <v>2.4700000000000002</v>
      </c>
      <c r="S904" s="561"/>
    </row>
    <row r="905" spans="1:19" x14ac:dyDescent="0.3">
      <c r="A905" s="553" t="s">
        <v>2352</v>
      </c>
      <c r="B905" s="67">
        <f t="shared" si="149"/>
        <v>182982.78000000003</v>
      </c>
      <c r="C905" s="67">
        <f t="shared" si="150"/>
        <v>12442.829040000002</v>
      </c>
      <c r="D905" s="67">
        <f t="shared" si="151"/>
        <v>183897.69390000001</v>
      </c>
      <c r="E905" s="67">
        <v>0</v>
      </c>
      <c r="F905" s="67">
        <f t="shared" si="153"/>
        <v>29348</v>
      </c>
      <c r="G905" s="67">
        <f t="shared" si="154"/>
        <v>0</v>
      </c>
      <c r="H905" s="67">
        <f t="shared" si="155"/>
        <v>29348</v>
      </c>
      <c r="I905" s="67">
        <f t="shared" si="156"/>
        <v>0</v>
      </c>
      <c r="J905">
        <f>(L$243+L$368+L$369)*1.728</f>
        <v>373.24799999999999</v>
      </c>
      <c r="K905" s="67">
        <f t="shared" si="157"/>
        <v>166619.27494000003</v>
      </c>
      <c r="L905" s="67">
        <f t="shared" si="158"/>
        <v>196340.52294000002</v>
      </c>
      <c r="M905" s="67">
        <f t="shared" si="159"/>
        <v>373.24799999999999</v>
      </c>
      <c r="N905" s="67">
        <f t="shared" si="160"/>
        <v>195967.27494000003</v>
      </c>
      <c r="O905" s="67">
        <f t="shared" si="162"/>
        <v>0</v>
      </c>
      <c r="P905" s="67"/>
      <c r="Q905" s="67">
        <f t="shared" si="161"/>
        <v>12947.472</v>
      </c>
      <c r="R905" s="72">
        <v>2.4700000000000002</v>
      </c>
      <c r="S905" s="561"/>
    </row>
    <row r="906" spans="1:19" x14ac:dyDescent="0.3">
      <c r="A906" s="553" t="s">
        <v>2353</v>
      </c>
      <c r="B906" s="67">
        <f t="shared" si="149"/>
        <v>244743.446</v>
      </c>
      <c r="C906" s="67">
        <f t="shared" si="150"/>
        <v>16642.554328000002</v>
      </c>
      <c r="D906" s="67">
        <f t="shared" si="151"/>
        <v>245967.16322999998</v>
      </c>
      <c r="E906" s="67">
        <v>0</v>
      </c>
      <c r="F906" s="67">
        <f t="shared" si="153"/>
        <v>7123</v>
      </c>
      <c r="G906" s="67">
        <f t="shared" si="154"/>
        <v>0</v>
      </c>
      <c r="H906" s="67">
        <f t="shared" si="155"/>
        <v>7123</v>
      </c>
      <c r="I906" s="67">
        <f t="shared" si="156"/>
        <v>262364.34155800001</v>
      </c>
      <c r="J906">
        <f>(N$243+N$368+N$369)*1.728</f>
        <v>245.376</v>
      </c>
      <c r="K906" s="67">
        <f t="shared" si="157"/>
        <v>-7123.0000000000109</v>
      </c>
      <c r="L906" s="67">
        <f t="shared" si="158"/>
        <v>262609.717558</v>
      </c>
      <c r="M906" s="67">
        <f t="shared" si="159"/>
        <v>245.376</v>
      </c>
      <c r="N906" s="67">
        <v>0</v>
      </c>
      <c r="O906" s="67">
        <f t="shared" si="162"/>
        <v>262364.34155800001</v>
      </c>
      <c r="P906" s="67"/>
      <c r="Q906" s="67">
        <f t="shared" si="161"/>
        <v>9883.7849999999999</v>
      </c>
      <c r="R906" s="72">
        <v>2.4700000000000002</v>
      </c>
      <c r="S906" s="561"/>
    </row>
    <row r="907" spans="1:19" x14ac:dyDescent="0.3">
      <c r="A907" s="553" t="s">
        <v>2354</v>
      </c>
      <c r="B907" s="67">
        <f t="shared" si="149"/>
        <v>283284.12000000005</v>
      </c>
      <c r="C907" s="67">
        <f t="shared" si="150"/>
        <v>19263.320160000007</v>
      </c>
      <c r="D907" s="67">
        <f t="shared" si="151"/>
        <v>284700.54060000001</v>
      </c>
      <c r="E907" s="67">
        <f>(G771*G$759)/(-1000)</f>
        <v>0</v>
      </c>
      <c r="F907" s="67">
        <f t="shared" si="153"/>
        <v>9726</v>
      </c>
      <c r="G907" s="67">
        <f t="shared" si="154"/>
        <v>0</v>
      </c>
      <c r="H907" s="67">
        <f t="shared" si="155"/>
        <v>9726</v>
      </c>
      <c r="I907" s="67">
        <f t="shared" si="156"/>
        <v>303746.13276000001</v>
      </c>
      <c r="J907">
        <f>(O$243+O$368+O$369)*1.728</f>
        <v>217.72800000000001</v>
      </c>
      <c r="K907" s="67">
        <f t="shared" si="157"/>
        <v>-9725.9999999999964</v>
      </c>
      <c r="L907" s="67">
        <f t="shared" si="158"/>
        <v>303963.86076000001</v>
      </c>
      <c r="M907" s="67">
        <f t="shared" si="159"/>
        <v>217.72800000000001</v>
      </c>
      <c r="N907" s="67">
        <v>0</v>
      </c>
      <c r="O907" s="67">
        <f t="shared" si="162"/>
        <v>303746.13276000001</v>
      </c>
      <c r="P907" s="67"/>
      <c r="Q907" s="67">
        <f t="shared" si="161"/>
        <v>4583.4119999999994</v>
      </c>
      <c r="R907" s="72">
        <v>2.4700000000000002</v>
      </c>
      <c r="S907" s="561"/>
    </row>
    <row r="908" spans="1:19" x14ac:dyDescent="0.3">
      <c r="A908" s="553" t="s">
        <v>2355</v>
      </c>
      <c r="B908" s="67">
        <f t="shared" si="149"/>
        <v>248543.777</v>
      </c>
      <c r="C908" s="67">
        <f t="shared" si="150"/>
        <v>16900.976836000002</v>
      </c>
      <c r="D908" s="67">
        <f t="shared" si="151"/>
        <v>249786.49588499998</v>
      </c>
      <c r="E908" s="67">
        <f>(G772*G$759)/(-1000)</f>
        <v>0</v>
      </c>
      <c r="F908" s="67">
        <f t="shared" si="153"/>
        <v>8170</v>
      </c>
      <c r="G908" s="67">
        <f t="shared" si="154"/>
        <v>0</v>
      </c>
      <c r="H908" s="67">
        <f t="shared" si="155"/>
        <v>8170</v>
      </c>
      <c r="I908" s="67">
        <f t="shared" si="156"/>
        <v>266687.47272099997</v>
      </c>
      <c r="J908">
        <f>(P$243+P$368+P$369)*1.728</f>
        <v>0</v>
      </c>
      <c r="K908" s="67">
        <f t="shared" si="157"/>
        <v>-8170</v>
      </c>
      <c r="L908" s="67">
        <f t="shared" si="158"/>
        <v>266687.47272099997</v>
      </c>
      <c r="M908" s="67">
        <f t="shared" si="159"/>
        <v>0</v>
      </c>
      <c r="N908" s="67">
        <v>0</v>
      </c>
      <c r="O908" s="67">
        <f t="shared" si="162"/>
        <v>266687.47272099997</v>
      </c>
      <c r="P908" s="67"/>
      <c r="Q908" s="67">
        <f t="shared" si="161"/>
        <v>9208.280999999999</v>
      </c>
      <c r="R908" s="72">
        <v>2.4700000000000002</v>
      </c>
      <c r="S908" s="561"/>
    </row>
    <row r="909" spans="1:19" x14ac:dyDescent="0.3">
      <c r="A909" s="551" t="s">
        <v>2435</v>
      </c>
      <c r="B909" s="67" t="s">
        <v>2435</v>
      </c>
      <c r="C909" s="67"/>
      <c r="D909" s="67" t="s">
        <v>852</v>
      </c>
      <c r="E909" s="67"/>
      <c r="F909" s="67"/>
      <c r="G909" s="67" t="s">
        <v>852</v>
      </c>
      <c r="H909" s="67" t="s">
        <v>852</v>
      </c>
      <c r="I909" s="73"/>
      <c r="K909" s="67"/>
      <c r="L909" s="67"/>
      <c r="M909" s="67"/>
      <c r="N909" s="67"/>
      <c r="O909" s="70" t="s">
        <v>2435</v>
      </c>
      <c r="P909" s="67"/>
      <c r="Q909" s="67"/>
      <c r="R909" s="72"/>
      <c r="S909" s="561"/>
    </row>
    <row r="910" spans="1:19" x14ac:dyDescent="0.3">
      <c r="A910" s="551" t="s">
        <v>2356</v>
      </c>
      <c r="B910" s="67">
        <f>SUM(B897:B908)</f>
        <v>2749592.3949999996</v>
      </c>
      <c r="C910" s="67">
        <f>SUM(C897:C908)</f>
        <v>186972.28286000004</v>
      </c>
      <c r="D910" s="67">
        <f>(B910*1.005)</f>
        <v>2763340.3569749994</v>
      </c>
      <c r="E910" s="67">
        <f>SUM(E897:E908)</f>
        <v>51362.563999999998</v>
      </c>
      <c r="F910" s="67">
        <f>(K948)</f>
        <v>158367</v>
      </c>
      <c r="G910" s="67">
        <f>(O948)</f>
        <v>0</v>
      </c>
      <c r="H910" s="67">
        <f>(F910+G910)</f>
        <v>158367</v>
      </c>
      <c r="I910" s="67">
        <f t="shared" ref="I910:O910" si="163">SUM(I897:I908)</f>
        <v>832797.94703899999</v>
      </c>
      <c r="J910" s="67">
        <f t="shared" si="163"/>
        <v>6058.3680000000004</v>
      </c>
      <c r="K910" s="67">
        <f t="shared" si="163"/>
        <v>1901726.7607959998</v>
      </c>
      <c r="L910" s="67">
        <f t="shared" si="163"/>
        <v>2950312.6398349991</v>
      </c>
      <c r="M910" s="67">
        <f t="shared" si="163"/>
        <v>6058.3680000000004</v>
      </c>
      <c r="N910" s="67">
        <f t="shared" si="163"/>
        <v>2111456.3247959996</v>
      </c>
      <c r="O910" s="67">
        <f t="shared" si="163"/>
        <v>832797.94703899999</v>
      </c>
      <c r="P910" s="67"/>
      <c r="Q910" s="67">
        <f>(SUM(Q897:Q908))</f>
        <v>117097.77599999998</v>
      </c>
      <c r="R910" s="72"/>
      <c r="S910" s="561"/>
    </row>
    <row r="911" spans="1:19" x14ac:dyDescent="0.3">
      <c r="A911" s="551"/>
      <c r="B911" s="67"/>
      <c r="C911" s="67"/>
      <c r="D911" s="67"/>
      <c r="E911" s="67"/>
      <c r="F911" s="67" t="s">
        <v>2435</v>
      </c>
      <c r="G911" s="67"/>
      <c r="H911" s="67"/>
      <c r="I911" s="67"/>
      <c r="K911" s="67"/>
      <c r="L911" s="67"/>
      <c r="N911" s="219" t="s">
        <v>1459</v>
      </c>
      <c r="P911" s="67"/>
      <c r="Q911" s="67"/>
      <c r="R911" s="67"/>
      <c r="S911" s="561"/>
    </row>
    <row r="912" spans="1:19" ht="16.2" x14ac:dyDescent="0.35">
      <c r="A912" s="551" t="s">
        <v>2435</v>
      </c>
      <c r="B912" s="67" t="s">
        <v>2452</v>
      </c>
      <c r="C912" s="67"/>
      <c r="D912" s="67"/>
      <c r="E912" s="67"/>
      <c r="F912" s="67"/>
      <c r="G912" s="67"/>
      <c r="H912" s="67"/>
      <c r="I912" s="67"/>
      <c r="J912" s="67"/>
      <c r="K912" s="67"/>
      <c r="L912" s="67"/>
      <c r="M912" s="67"/>
      <c r="N912" s="67"/>
      <c r="O912" s="67"/>
      <c r="P912" s="67"/>
      <c r="Q912" s="67"/>
      <c r="R912" s="67"/>
      <c r="S912" s="561"/>
    </row>
    <row r="913" spans="1:19" x14ac:dyDescent="0.3">
      <c r="A913" s="551"/>
      <c r="B913" s="67" t="s">
        <v>1660</v>
      </c>
      <c r="C913" s="67"/>
      <c r="D913" s="67"/>
      <c r="E913" s="67"/>
      <c r="F913" s="67"/>
      <c r="G913" s="67"/>
      <c r="H913" s="67"/>
      <c r="I913" s="67"/>
      <c r="J913" s="67"/>
      <c r="K913" s="67"/>
      <c r="L913" s="67"/>
      <c r="M913" s="67"/>
      <c r="N913" s="67"/>
      <c r="O913" s="67"/>
      <c r="P913" s="67"/>
      <c r="Q913" s="67"/>
      <c r="R913" s="67"/>
      <c r="S913" s="561"/>
    </row>
    <row r="914" spans="1:19" x14ac:dyDescent="0.3">
      <c r="A914" s="551"/>
      <c r="B914" s="67" t="s">
        <v>279</v>
      </c>
      <c r="C914" s="67"/>
      <c r="D914" s="67"/>
      <c r="E914" s="67"/>
      <c r="F914" s="67"/>
      <c r="G914" s="67"/>
      <c r="H914" s="67"/>
      <c r="I914" s="67"/>
      <c r="J914" s="846" t="s">
        <v>2288</v>
      </c>
      <c r="K914" s="846"/>
      <c r="L914" s="846"/>
      <c r="M914" s="846"/>
      <c r="N914" s="348" t="s">
        <v>2289</v>
      </c>
      <c r="O914" s="67"/>
      <c r="P914" s="67"/>
      <c r="Q914" s="67"/>
      <c r="R914" s="67"/>
      <c r="S914" s="561"/>
    </row>
    <row r="915" spans="1:19" x14ac:dyDescent="0.3">
      <c r="A915" s="551"/>
      <c r="B915" s="67" t="s">
        <v>487</v>
      </c>
      <c r="C915" s="67"/>
      <c r="D915" s="67"/>
      <c r="E915" s="67"/>
      <c r="F915" s="67"/>
      <c r="G915" s="67"/>
      <c r="H915" s="67"/>
      <c r="I915" s="67"/>
      <c r="J915" s="67"/>
      <c r="K915" s="67"/>
      <c r="L915" s="67"/>
      <c r="M915" s="67"/>
      <c r="N915" s="67"/>
      <c r="O915" s="67"/>
      <c r="P915" s="67"/>
      <c r="Q915" s="67"/>
      <c r="R915" s="67"/>
      <c r="S915" s="561"/>
    </row>
    <row r="916" spans="1:19" x14ac:dyDescent="0.3">
      <c r="A916" s="551"/>
      <c r="B916" s="67" t="s">
        <v>488</v>
      </c>
      <c r="C916" s="67"/>
      <c r="D916" s="67"/>
      <c r="E916" s="67"/>
      <c r="F916" s="67"/>
      <c r="G916" s="67"/>
      <c r="H916" s="67"/>
      <c r="I916" s="67"/>
      <c r="J916" s="67"/>
      <c r="K916" s="67"/>
      <c r="L916" s="67"/>
      <c r="M916" s="67"/>
      <c r="N916" s="67"/>
      <c r="O916" s="67"/>
      <c r="P916" s="67"/>
      <c r="Q916" s="67"/>
      <c r="R916" s="67"/>
      <c r="S916" s="561"/>
    </row>
    <row r="917" spans="1:19" ht="16.2" x14ac:dyDescent="0.35">
      <c r="A917" s="551"/>
      <c r="B917" s="67" t="s">
        <v>1213</v>
      </c>
      <c r="C917" s="67"/>
      <c r="D917" s="67"/>
      <c r="E917" s="67"/>
      <c r="F917" s="67"/>
      <c r="G917" s="67"/>
      <c r="H917" s="67"/>
      <c r="I917" s="67"/>
      <c r="J917" s="67"/>
      <c r="K917" s="67"/>
      <c r="L917" s="67"/>
      <c r="M917" s="67"/>
      <c r="N917" s="67"/>
      <c r="O917" s="67"/>
      <c r="P917" s="67"/>
      <c r="Q917" s="67"/>
      <c r="R917" s="67"/>
      <c r="S917" s="561"/>
    </row>
    <row r="918" spans="1:19" ht="16.8" thickBot="1" x14ac:dyDescent="0.4">
      <c r="A918" s="554"/>
      <c r="B918" s="555" t="s">
        <v>1549</v>
      </c>
      <c r="C918" s="555"/>
      <c r="D918" s="555"/>
      <c r="E918" s="555"/>
      <c r="F918" s="555"/>
      <c r="G918" s="555"/>
      <c r="H918" s="555"/>
      <c r="I918" s="555"/>
      <c r="J918" s="555"/>
      <c r="K918" s="555"/>
      <c r="L918" s="555"/>
      <c r="M918" s="555"/>
      <c r="N918" s="555"/>
      <c r="O918" s="555"/>
      <c r="P918" s="555"/>
      <c r="Q918" s="555"/>
      <c r="R918" s="555"/>
      <c r="S918" s="565"/>
    </row>
    <row r="919" spans="1:19" ht="16.2" thickBot="1" x14ac:dyDescent="0.35">
      <c r="A919" s="67"/>
      <c r="B919" s="67"/>
      <c r="C919" s="67"/>
      <c r="D919" s="67"/>
      <c r="E919" s="67"/>
      <c r="F919" s="67"/>
      <c r="G919" s="67"/>
      <c r="H919" s="67"/>
      <c r="I919" s="67"/>
      <c r="J919" s="67"/>
      <c r="K919" s="67"/>
      <c r="L919" s="67"/>
      <c r="M919" s="67"/>
      <c r="N919" s="67"/>
      <c r="O919" s="67"/>
      <c r="P919" s="67"/>
      <c r="Q919" s="67"/>
      <c r="R919" s="67"/>
    </row>
    <row r="920" spans="1:19" ht="16.2" x14ac:dyDescent="0.35">
      <c r="A920" s="546"/>
      <c r="B920" s="547"/>
      <c r="C920" s="566"/>
      <c r="D920" s="566"/>
      <c r="E920" s="566"/>
      <c r="F920" s="566"/>
      <c r="G920" s="566"/>
      <c r="H920" s="549" t="s">
        <v>1623</v>
      </c>
      <c r="I920" s="547"/>
      <c r="J920" s="547"/>
      <c r="K920" s="547"/>
      <c r="L920" s="547"/>
      <c r="M920" s="547"/>
      <c r="N920" s="547"/>
      <c r="O920" s="547"/>
      <c r="P920" s="547"/>
      <c r="Q920" s="549" t="str">
        <f>+Q1</f>
        <v>PRINTED:</v>
      </c>
      <c r="R920" s="559">
        <f ca="1">+R1</f>
        <v>44881.72963425926</v>
      </c>
      <c r="S920" s="560"/>
    </row>
    <row r="921" spans="1:19" ht="16.2" x14ac:dyDescent="0.35">
      <c r="A921" s="551"/>
      <c r="B921" s="67"/>
      <c r="C921" s="215"/>
      <c r="D921" s="215"/>
      <c r="E921" s="215"/>
      <c r="F921" s="215"/>
      <c r="G921" s="215"/>
      <c r="H921" s="67" t="s">
        <v>2435</v>
      </c>
      <c r="I921" s="67" t="s">
        <v>852</v>
      </c>
      <c r="J921" s="69" t="str">
        <f>+A9</f>
        <v>Revised:  1/23/11</v>
      </c>
      <c r="K921" s="67"/>
      <c r="L921" s="67"/>
      <c r="M921" s="67"/>
      <c r="N921" s="67"/>
      <c r="O921" s="67"/>
      <c r="P921" s="67"/>
      <c r="Q921" s="67"/>
      <c r="R921" s="67"/>
      <c r="S921" s="561"/>
    </row>
    <row r="922" spans="1:19" ht="16.2" x14ac:dyDescent="0.35">
      <c r="A922" s="551"/>
      <c r="B922" s="67"/>
      <c r="C922" s="215"/>
      <c r="D922" s="215"/>
      <c r="E922" s="215"/>
      <c r="F922" s="215"/>
      <c r="G922" s="215"/>
      <c r="H922" s="67" t="s">
        <v>2126</v>
      </c>
      <c r="I922" s="67"/>
      <c r="J922" s="67"/>
      <c r="K922" s="67"/>
      <c r="L922" s="67"/>
      <c r="M922" s="67"/>
      <c r="N922" s="67"/>
      <c r="O922" s="67"/>
      <c r="P922" s="67"/>
      <c r="Q922" s="67"/>
      <c r="R922" s="67"/>
      <c r="S922" s="561"/>
    </row>
    <row r="923" spans="1:19" ht="16.2" x14ac:dyDescent="0.35">
      <c r="A923" s="551"/>
      <c r="B923" s="67"/>
      <c r="C923" s="215"/>
      <c r="D923" s="215"/>
      <c r="E923" s="215"/>
      <c r="F923" s="215"/>
      <c r="G923" s="215"/>
      <c r="H923" s="67"/>
      <c r="I923" s="67"/>
      <c r="J923" s="67"/>
      <c r="K923" s="67"/>
      <c r="L923" s="67"/>
      <c r="M923" s="67"/>
      <c r="N923" s="67"/>
      <c r="O923" s="67"/>
      <c r="P923" s="67"/>
      <c r="Q923" s="67"/>
      <c r="R923" s="67"/>
      <c r="S923" s="561"/>
    </row>
    <row r="924" spans="1:19" ht="16.2" x14ac:dyDescent="0.35">
      <c r="A924" s="551"/>
      <c r="B924" s="67"/>
      <c r="C924" s="215"/>
      <c r="D924" s="215"/>
      <c r="E924" s="215"/>
      <c r="F924" s="215"/>
      <c r="G924" s="215"/>
      <c r="H924" s="67" t="s">
        <v>2435</v>
      </c>
      <c r="I924" s="67" t="str">
        <f>+A5</f>
        <v>Calendar Year 2011</v>
      </c>
      <c r="J924" s="67"/>
      <c r="K924" s="67"/>
      <c r="L924" s="67"/>
      <c r="M924" s="67"/>
      <c r="N924" s="67"/>
      <c r="O924" s="67"/>
      <c r="P924" s="67"/>
      <c r="Q924" s="67"/>
      <c r="R924" s="67"/>
      <c r="S924" s="561"/>
    </row>
    <row r="925" spans="1:19" x14ac:dyDescent="0.3">
      <c r="A925" s="551"/>
      <c r="B925" s="67"/>
      <c r="C925" s="67"/>
      <c r="D925" s="67"/>
      <c r="E925" s="67"/>
      <c r="F925" s="67"/>
      <c r="G925" s="67"/>
      <c r="H925" s="67"/>
      <c r="I925" s="67"/>
      <c r="J925" s="67"/>
      <c r="K925" s="67"/>
      <c r="L925" s="67"/>
      <c r="M925" s="67"/>
      <c r="N925" s="67"/>
      <c r="O925" s="67"/>
      <c r="P925" s="67"/>
      <c r="Q925" s="67"/>
      <c r="R925" s="67"/>
      <c r="S925" s="561"/>
    </row>
    <row r="926" spans="1:19" x14ac:dyDescent="0.3">
      <c r="A926" s="551"/>
      <c r="B926" s="67"/>
      <c r="C926" s="71" t="s">
        <v>1442</v>
      </c>
      <c r="D926" s="67"/>
      <c r="E926" s="67"/>
      <c r="F926" s="67"/>
      <c r="G926" s="71" t="s">
        <v>1409</v>
      </c>
      <c r="H926" s="67"/>
      <c r="I926" s="67"/>
      <c r="J926" s="67"/>
      <c r="K926" s="68" t="s">
        <v>234</v>
      </c>
      <c r="L926" s="67"/>
      <c r="M926" s="67"/>
      <c r="N926" s="67"/>
      <c r="O926" s="68" t="s">
        <v>1701</v>
      </c>
      <c r="P926" s="67"/>
      <c r="Q926" s="67"/>
      <c r="R926" s="67"/>
      <c r="S926" s="561"/>
    </row>
    <row r="927" spans="1:19" x14ac:dyDescent="0.3">
      <c r="A927" s="551"/>
      <c r="B927" s="67"/>
      <c r="C927" s="67" t="str">
        <f>+A5</f>
        <v>Calendar Year 2011</v>
      </c>
      <c r="D927" s="67"/>
      <c r="E927" s="67"/>
      <c r="F927" s="67" t="s">
        <v>2415</v>
      </c>
      <c r="G927" s="67"/>
      <c r="H927" s="67"/>
      <c r="I927" s="67"/>
      <c r="J927" s="67"/>
      <c r="K927" s="67" t="str">
        <f>+A5</f>
        <v>Calendar Year 2011</v>
      </c>
      <c r="L927" s="67"/>
      <c r="M927" s="67"/>
      <c r="N927" s="67"/>
      <c r="O927" s="67" t="str">
        <f>+A5</f>
        <v>Calendar Year 2011</v>
      </c>
      <c r="P927" s="67"/>
      <c r="Q927" s="67"/>
      <c r="R927" s="67"/>
      <c r="S927" s="561"/>
    </row>
    <row r="928" spans="1:19" x14ac:dyDescent="0.3">
      <c r="A928" s="551"/>
      <c r="B928" s="67"/>
      <c r="C928" s="67"/>
      <c r="D928" s="67"/>
      <c r="E928" s="67"/>
      <c r="F928" s="67"/>
      <c r="G928" s="67" t="str">
        <f>+A5</f>
        <v>Calendar Year 2011</v>
      </c>
      <c r="H928" s="67"/>
      <c r="I928" s="67"/>
      <c r="J928" s="67"/>
      <c r="K928" s="67"/>
      <c r="L928" s="67"/>
      <c r="M928" s="67"/>
      <c r="N928" s="67"/>
      <c r="O928" s="67"/>
      <c r="P928" s="67"/>
      <c r="Q928" s="67"/>
      <c r="R928" s="67"/>
      <c r="S928" s="561"/>
    </row>
    <row r="929" spans="1:19" x14ac:dyDescent="0.3">
      <c r="A929" s="551"/>
      <c r="B929" s="67"/>
      <c r="C929" s="70" t="s">
        <v>1413</v>
      </c>
      <c r="D929" s="70" t="s">
        <v>31</v>
      </c>
      <c r="E929" s="70" t="s">
        <v>32</v>
      </c>
      <c r="F929" s="67"/>
      <c r="G929" s="70" t="s">
        <v>1412</v>
      </c>
      <c r="H929" s="70" t="s">
        <v>31</v>
      </c>
      <c r="I929" s="70" t="s">
        <v>1077</v>
      </c>
      <c r="J929" s="67"/>
      <c r="K929" s="70" t="s">
        <v>229</v>
      </c>
      <c r="L929" s="70" t="s">
        <v>31</v>
      </c>
      <c r="M929" s="70" t="s">
        <v>1078</v>
      </c>
      <c r="N929" s="67"/>
      <c r="O929" s="70" t="s">
        <v>229</v>
      </c>
      <c r="P929" s="70" t="s">
        <v>31</v>
      </c>
      <c r="Q929" s="70" t="s">
        <v>1078</v>
      </c>
      <c r="R929" s="67"/>
      <c r="S929" s="561"/>
    </row>
    <row r="930" spans="1:19" x14ac:dyDescent="0.3">
      <c r="A930" s="551"/>
      <c r="B930" s="67"/>
      <c r="C930" s="70" t="s">
        <v>429</v>
      </c>
      <c r="D930" s="70" t="s">
        <v>335</v>
      </c>
      <c r="E930" s="70" t="s">
        <v>2000</v>
      </c>
      <c r="F930" s="67"/>
      <c r="G930" s="70" t="s">
        <v>1318</v>
      </c>
      <c r="H930" s="70" t="s">
        <v>335</v>
      </c>
      <c r="I930" s="70" t="s">
        <v>2000</v>
      </c>
      <c r="J930" s="67"/>
      <c r="K930" s="70" t="s">
        <v>1180</v>
      </c>
      <c r="L930" s="70" t="s">
        <v>335</v>
      </c>
      <c r="M930" s="70" t="s">
        <v>2000</v>
      </c>
      <c r="N930" s="67"/>
      <c r="O930" s="70" t="s">
        <v>1180</v>
      </c>
      <c r="P930" s="70" t="s">
        <v>335</v>
      </c>
      <c r="Q930" s="70" t="s">
        <v>2000</v>
      </c>
      <c r="R930" s="67"/>
      <c r="S930" s="561"/>
    </row>
    <row r="931" spans="1:19" x14ac:dyDescent="0.3">
      <c r="A931" s="551"/>
      <c r="B931" s="67"/>
      <c r="C931" s="70" t="s">
        <v>335</v>
      </c>
      <c r="D931" s="70" t="s">
        <v>956</v>
      </c>
      <c r="E931" s="70" t="s">
        <v>242</v>
      </c>
      <c r="F931" s="67"/>
      <c r="G931" s="70" t="s">
        <v>134</v>
      </c>
      <c r="H931" s="70" t="s">
        <v>956</v>
      </c>
      <c r="I931" s="70" t="s">
        <v>242</v>
      </c>
      <c r="J931" s="67"/>
      <c r="K931" s="70" t="s">
        <v>335</v>
      </c>
      <c r="L931" s="70" t="s">
        <v>956</v>
      </c>
      <c r="M931" s="70" t="s">
        <v>242</v>
      </c>
      <c r="N931" s="67"/>
      <c r="O931" s="70" t="s">
        <v>335</v>
      </c>
      <c r="P931" s="70" t="s">
        <v>956</v>
      </c>
      <c r="Q931" s="70" t="s">
        <v>242</v>
      </c>
      <c r="R931" s="67"/>
      <c r="S931" s="561"/>
    </row>
    <row r="932" spans="1:19" x14ac:dyDescent="0.3">
      <c r="A932" s="551"/>
      <c r="B932" s="67"/>
      <c r="C932" s="70" t="s">
        <v>932</v>
      </c>
      <c r="D932" s="70" t="s">
        <v>1917</v>
      </c>
      <c r="E932" s="70" t="s">
        <v>1481</v>
      </c>
      <c r="F932" s="67"/>
      <c r="G932" s="70" t="s">
        <v>932</v>
      </c>
      <c r="H932" s="70" t="s">
        <v>1917</v>
      </c>
      <c r="I932" s="70" t="s">
        <v>1481</v>
      </c>
      <c r="J932" s="67"/>
      <c r="K932" s="70" t="s">
        <v>932</v>
      </c>
      <c r="L932" s="70" t="s">
        <v>1917</v>
      </c>
      <c r="M932" s="70" t="s">
        <v>1481</v>
      </c>
      <c r="N932" s="67"/>
      <c r="O932" s="70" t="s">
        <v>932</v>
      </c>
      <c r="P932" s="70" t="s">
        <v>1917</v>
      </c>
      <c r="Q932" s="70" t="s">
        <v>1481</v>
      </c>
      <c r="R932" s="67"/>
      <c r="S932" s="561"/>
    </row>
    <row r="933" spans="1:19" x14ac:dyDescent="0.3">
      <c r="A933" s="551"/>
      <c r="B933" s="67"/>
      <c r="C933" s="67" t="s">
        <v>1353</v>
      </c>
      <c r="D933" s="67" t="s">
        <v>1353</v>
      </c>
      <c r="E933" s="67" t="s">
        <v>1353</v>
      </c>
      <c r="F933" s="67"/>
      <c r="G933" s="70" t="s">
        <v>1353</v>
      </c>
      <c r="H933" s="70" t="s">
        <v>1353</v>
      </c>
      <c r="I933" s="70" t="s">
        <v>1353</v>
      </c>
      <c r="J933" s="67"/>
      <c r="K933" s="67" t="s">
        <v>1353</v>
      </c>
      <c r="L933" s="67" t="s">
        <v>1353</v>
      </c>
      <c r="M933" s="67" t="s">
        <v>1353</v>
      </c>
      <c r="N933" s="67"/>
      <c r="O933" s="67" t="s">
        <v>1353</v>
      </c>
      <c r="P933" s="67" t="s">
        <v>1353</v>
      </c>
      <c r="Q933" s="67" t="s">
        <v>1353</v>
      </c>
      <c r="R933" s="67"/>
      <c r="S933" s="561"/>
    </row>
    <row r="934" spans="1:19" x14ac:dyDescent="0.3">
      <c r="A934" s="553" t="s">
        <v>1354</v>
      </c>
      <c r="B934" s="67"/>
      <c r="C934" s="67">
        <f t="shared" ref="C934:C945" si="164">(K897)</f>
        <v>166259.46844</v>
      </c>
      <c r="D934" s="72">
        <v>0</v>
      </c>
      <c r="E934" s="73">
        <f t="shared" ref="E934:E945" si="165">(K897*D934/1000)</f>
        <v>0</v>
      </c>
      <c r="F934" s="67"/>
      <c r="G934" s="67">
        <v>0</v>
      </c>
      <c r="H934" s="72">
        <v>0</v>
      </c>
      <c r="I934" s="73">
        <f t="shared" ref="I934:I945" si="166">(G934*H934/1000)</f>
        <v>0</v>
      </c>
      <c r="J934" s="67"/>
      <c r="K934" s="67">
        <v>4000</v>
      </c>
      <c r="L934" s="72">
        <v>0</v>
      </c>
      <c r="M934" s="73">
        <f t="shared" ref="M934:M945" si="167">(K934*L934/1000)</f>
        <v>0</v>
      </c>
      <c r="N934" s="67"/>
      <c r="O934" s="67">
        <v>0</v>
      </c>
      <c r="P934" s="72">
        <v>0</v>
      </c>
      <c r="Q934" s="73">
        <f t="shared" ref="Q934:Q945" si="168">(O934*P934/1000)</f>
        <v>0</v>
      </c>
      <c r="R934" s="67"/>
      <c r="S934" s="561"/>
    </row>
    <row r="935" spans="1:19" x14ac:dyDescent="0.3">
      <c r="A935" s="553" t="s">
        <v>706</v>
      </c>
      <c r="B935" s="67"/>
      <c r="C935" s="67">
        <f t="shared" si="164"/>
        <v>239748.26501799995</v>
      </c>
      <c r="D935" s="72">
        <v>0</v>
      </c>
      <c r="E935" s="73">
        <f t="shared" si="165"/>
        <v>0</v>
      </c>
      <c r="F935" s="67"/>
      <c r="G935" s="67">
        <f t="shared" ref="G935:G945" si="169">O898</f>
        <v>0</v>
      </c>
      <c r="H935" s="72">
        <v>0</v>
      </c>
      <c r="I935" s="73">
        <f t="shared" si="166"/>
        <v>0</v>
      </c>
      <c r="J935" s="67"/>
      <c r="K935" s="67">
        <v>4000</v>
      </c>
      <c r="L935" s="72">
        <v>0</v>
      </c>
      <c r="M935" s="73">
        <f t="shared" si="167"/>
        <v>0</v>
      </c>
      <c r="N935" s="67"/>
      <c r="O935" s="67">
        <v>0</v>
      </c>
      <c r="P935" s="72">
        <v>0</v>
      </c>
      <c r="Q935" s="73">
        <f t="shared" si="168"/>
        <v>0</v>
      </c>
      <c r="R935" s="67"/>
      <c r="S935" s="561"/>
    </row>
    <row r="936" spans="1:19" x14ac:dyDescent="0.3">
      <c r="A936" s="553" t="s">
        <v>707</v>
      </c>
      <c r="B936" s="67"/>
      <c r="C936" s="67">
        <f t="shared" si="164"/>
        <v>316297.95328399993</v>
      </c>
      <c r="D936" s="72">
        <v>0</v>
      </c>
      <c r="E936" s="73">
        <f t="shared" si="165"/>
        <v>0</v>
      </c>
      <c r="F936" s="67">
        <f>SUM(E934:E936)</f>
        <v>0</v>
      </c>
      <c r="G936" s="67">
        <f t="shared" si="169"/>
        <v>0</v>
      </c>
      <c r="H936" s="72">
        <v>0</v>
      </c>
      <c r="I936" s="73">
        <f t="shared" si="166"/>
        <v>0</v>
      </c>
      <c r="J936" s="67">
        <f>SUM(I934:I936)</f>
        <v>0</v>
      </c>
      <c r="K936" s="67">
        <v>4000</v>
      </c>
      <c r="L936" s="72">
        <v>0</v>
      </c>
      <c r="M936" s="73">
        <f t="shared" si="167"/>
        <v>0</v>
      </c>
      <c r="N936" s="67">
        <f>SUM(M934:M936)</f>
        <v>0</v>
      </c>
      <c r="O936" s="67">
        <v>0</v>
      </c>
      <c r="P936" s="72">
        <v>0</v>
      </c>
      <c r="Q936" s="73">
        <f t="shared" si="168"/>
        <v>0</v>
      </c>
      <c r="R936" s="67">
        <f>SUM(Q934:Q936)</f>
        <v>0</v>
      </c>
      <c r="S936" s="561"/>
    </row>
    <row r="937" spans="1:19" x14ac:dyDescent="0.3">
      <c r="A937" s="553" t="s">
        <v>1321</v>
      </c>
      <c r="B937" s="67"/>
      <c r="C937" s="67">
        <f t="shared" si="164"/>
        <v>314777.531372</v>
      </c>
      <c r="D937" s="72">
        <v>0</v>
      </c>
      <c r="E937" s="73">
        <f t="shared" si="165"/>
        <v>0</v>
      </c>
      <c r="F937" s="67"/>
      <c r="G937" s="67">
        <f t="shared" si="169"/>
        <v>0</v>
      </c>
      <c r="H937" s="72">
        <v>0</v>
      </c>
      <c r="I937" s="73">
        <f t="shared" si="166"/>
        <v>0</v>
      </c>
      <c r="J937" s="67"/>
      <c r="K937" s="67">
        <v>4000</v>
      </c>
      <c r="L937" s="72">
        <v>0</v>
      </c>
      <c r="M937" s="73">
        <f t="shared" si="167"/>
        <v>0</v>
      </c>
      <c r="N937" s="67"/>
      <c r="O937" s="67">
        <v>0</v>
      </c>
      <c r="P937" s="72">
        <v>0</v>
      </c>
      <c r="Q937" s="73">
        <f t="shared" si="168"/>
        <v>0</v>
      </c>
      <c r="R937" s="67"/>
      <c r="S937" s="561"/>
    </row>
    <row r="938" spans="1:19" x14ac:dyDescent="0.3">
      <c r="A938" s="553" t="s">
        <v>1905</v>
      </c>
      <c r="B938" s="67"/>
      <c r="C938" s="67">
        <f t="shared" si="164"/>
        <v>282096.46993399994</v>
      </c>
      <c r="D938" s="72">
        <v>0</v>
      </c>
      <c r="E938" s="73">
        <f t="shared" si="165"/>
        <v>0</v>
      </c>
      <c r="F938" s="67"/>
      <c r="G938" s="67">
        <f t="shared" si="169"/>
        <v>0</v>
      </c>
      <c r="H938" s="72">
        <v>0</v>
      </c>
      <c r="I938" s="73">
        <f t="shared" si="166"/>
        <v>0</v>
      </c>
      <c r="J938" s="67"/>
      <c r="K938" s="67">
        <v>9000</v>
      </c>
      <c r="L938" s="72">
        <v>0</v>
      </c>
      <c r="M938" s="73">
        <f t="shared" si="167"/>
        <v>0</v>
      </c>
      <c r="N938" s="67"/>
      <c r="O938" s="67">
        <v>0</v>
      </c>
      <c r="P938" s="72">
        <v>0</v>
      </c>
      <c r="Q938" s="73">
        <f t="shared" si="168"/>
        <v>0</v>
      </c>
      <c r="R938" s="67"/>
      <c r="S938" s="561"/>
    </row>
    <row r="939" spans="1:19" x14ac:dyDescent="0.3">
      <c r="A939" s="553" t="s">
        <v>1906</v>
      </c>
      <c r="B939" s="67"/>
      <c r="C939" s="67">
        <f t="shared" si="164"/>
        <v>241436.15354500001</v>
      </c>
      <c r="D939" s="72">
        <v>0</v>
      </c>
      <c r="E939" s="73">
        <f t="shared" si="165"/>
        <v>0</v>
      </c>
      <c r="F939" s="67">
        <f>SUM(E937:E939)</f>
        <v>0</v>
      </c>
      <c r="G939" s="67">
        <f t="shared" si="169"/>
        <v>0</v>
      </c>
      <c r="H939" s="72">
        <v>0</v>
      </c>
      <c r="I939" s="73">
        <f t="shared" si="166"/>
        <v>0</v>
      </c>
      <c r="J939" s="67">
        <f>SUM(I937:I939)</f>
        <v>0</v>
      </c>
      <c r="K939" s="67">
        <v>18000</v>
      </c>
      <c r="L939" s="72">
        <v>0</v>
      </c>
      <c r="M939" s="73">
        <f t="shared" si="167"/>
        <v>0</v>
      </c>
      <c r="N939" s="67">
        <f>SUM(M937:M939)</f>
        <v>0</v>
      </c>
      <c r="O939" s="67">
        <v>0</v>
      </c>
      <c r="P939" s="72">
        <v>0</v>
      </c>
      <c r="Q939" s="73">
        <f t="shared" si="168"/>
        <v>0</v>
      </c>
      <c r="R939" s="67">
        <f>SUM(Q937:Q939)</f>
        <v>0</v>
      </c>
      <c r="S939" s="561"/>
    </row>
    <row r="940" spans="1:19" x14ac:dyDescent="0.3">
      <c r="A940" s="553" t="s">
        <v>1907</v>
      </c>
      <c r="B940" s="67"/>
      <c r="C940" s="67">
        <f t="shared" si="164"/>
        <v>114111.283841</v>
      </c>
      <c r="D940" s="72">
        <v>0</v>
      </c>
      <c r="E940" s="73">
        <f t="shared" si="165"/>
        <v>0</v>
      </c>
      <c r="F940" s="67"/>
      <c r="G940" s="67">
        <f t="shared" si="169"/>
        <v>0</v>
      </c>
      <c r="H940" s="72">
        <v>0</v>
      </c>
      <c r="I940" s="73">
        <f t="shared" si="166"/>
        <v>0</v>
      </c>
      <c r="J940" s="67"/>
      <c r="K940" s="67">
        <v>26000</v>
      </c>
      <c r="L940" s="72">
        <v>0</v>
      </c>
      <c r="M940" s="73">
        <f t="shared" si="167"/>
        <v>0</v>
      </c>
      <c r="N940" s="67"/>
      <c r="O940" s="67">
        <v>0</v>
      </c>
      <c r="P940" s="72">
        <v>0</v>
      </c>
      <c r="Q940" s="73">
        <f t="shared" si="168"/>
        <v>0</v>
      </c>
      <c r="R940" s="67"/>
      <c r="S940" s="561"/>
    </row>
    <row r="941" spans="1:19" x14ac:dyDescent="0.3">
      <c r="A941" s="553" t="s">
        <v>1908</v>
      </c>
      <c r="B941" s="67"/>
      <c r="C941" s="67">
        <f t="shared" si="164"/>
        <v>85399.360421999998</v>
      </c>
      <c r="D941" s="72">
        <v>0</v>
      </c>
      <c r="E941" s="73">
        <f t="shared" si="165"/>
        <v>0</v>
      </c>
      <c r="F941" s="67"/>
      <c r="G941" s="67">
        <f t="shared" si="169"/>
        <v>0</v>
      </c>
      <c r="H941" s="72">
        <v>0</v>
      </c>
      <c r="I941" s="73">
        <f t="shared" si="166"/>
        <v>0</v>
      </c>
      <c r="J941" s="67"/>
      <c r="K941" s="67">
        <v>35000</v>
      </c>
      <c r="L941" s="72">
        <v>0</v>
      </c>
      <c r="M941" s="73">
        <f t="shared" si="167"/>
        <v>0</v>
      </c>
      <c r="N941" s="67"/>
      <c r="O941" s="67">
        <v>0</v>
      </c>
      <c r="P941" s="72">
        <v>0</v>
      </c>
      <c r="Q941" s="73">
        <f t="shared" si="168"/>
        <v>0</v>
      </c>
      <c r="R941" s="67"/>
      <c r="S941" s="561"/>
    </row>
    <row r="942" spans="1:19" x14ac:dyDescent="0.3">
      <c r="A942" s="553" t="s">
        <v>2352</v>
      </c>
      <c r="B942" s="67"/>
      <c r="C942" s="67">
        <f t="shared" si="164"/>
        <v>166619.27494000003</v>
      </c>
      <c r="D942" s="72">
        <v>0</v>
      </c>
      <c r="E942" s="73">
        <f t="shared" si="165"/>
        <v>0</v>
      </c>
      <c r="F942" s="67">
        <f>SUM(E940:E942)</f>
        <v>0</v>
      </c>
      <c r="G942" s="67">
        <f t="shared" si="169"/>
        <v>0</v>
      </c>
      <c r="H942" s="72">
        <v>0</v>
      </c>
      <c r="I942" s="73">
        <f t="shared" si="166"/>
        <v>0</v>
      </c>
      <c r="J942" s="67">
        <f>SUM(I940:I942)</f>
        <v>0</v>
      </c>
      <c r="K942" s="67">
        <v>29348</v>
      </c>
      <c r="L942" s="72">
        <v>0</v>
      </c>
      <c r="M942" s="73">
        <f t="shared" si="167"/>
        <v>0</v>
      </c>
      <c r="N942" s="67">
        <f>SUM(M940:M942)</f>
        <v>0</v>
      </c>
      <c r="O942" s="67">
        <v>0</v>
      </c>
      <c r="P942" s="72">
        <v>0</v>
      </c>
      <c r="Q942" s="73">
        <f t="shared" si="168"/>
        <v>0</v>
      </c>
      <c r="R942" s="67">
        <f>SUM(Q940:Q942)</f>
        <v>0</v>
      </c>
      <c r="S942" s="561"/>
    </row>
    <row r="943" spans="1:19" x14ac:dyDescent="0.3">
      <c r="A943" s="553" t="s">
        <v>2353</v>
      </c>
      <c r="B943" s="67"/>
      <c r="C943" s="67">
        <f t="shared" si="164"/>
        <v>-7123.0000000000109</v>
      </c>
      <c r="D943" s="72">
        <v>0</v>
      </c>
      <c r="E943" s="73">
        <f t="shared" si="165"/>
        <v>0</v>
      </c>
      <c r="F943" s="67"/>
      <c r="G943" s="67">
        <f t="shared" si="169"/>
        <v>262364.34155800001</v>
      </c>
      <c r="H943" s="72">
        <v>0</v>
      </c>
      <c r="I943" s="73">
        <f t="shared" si="166"/>
        <v>0</v>
      </c>
      <c r="J943" s="67"/>
      <c r="K943" s="67">
        <v>7123</v>
      </c>
      <c r="L943" s="72">
        <v>0</v>
      </c>
      <c r="M943" s="73">
        <f t="shared" si="167"/>
        <v>0</v>
      </c>
      <c r="N943" s="67"/>
      <c r="O943" s="67">
        <v>0</v>
      </c>
      <c r="P943" s="72">
        <v>0</v>
      </c>
      <c r="Q943" s="73">
        <f t="shared" si="168"/>
        <v>0</v>
      </c>
      <c r="R943" s="67"/>
      <c r="S943" s="561"/>
    </row>
    <row r="944" spans="1:19" x14ac:dyDescent="0.3">
      <c r="A944" s="553" t="s">
        <v>2354</v>
      </c>
      <c r="B944" s="67"/>
      <c r="C944" s="67">
        <f t="shared" si="164"/>
        <v>-9725.9999999999964</v>
      </c>
      <c r="D944" s="72">
        <v>0</v>
      </c>
      <c r="E944" s="73">
        <f t="shared" si="165"/>
        <v>0</v>
      </c>
      <c r="F944" s="67"/>
      <c r="G944" s="67">
        <f t="shared" si="169"/>
        <v>303746.13276000001</v>
      </c>
      <c r="H944" s="72">
        <v>0</v>
      </c>
      <c r="I944" s="73">
        <f t="shared" si="166"/>
        <v>0</v>
      </c>
      <c r="J944" s="67"/>
      <c r="K944" s="67">
        <v>9726</v>
      </c>
      <c r="L944" s="72">
        <v>0</v>
      </c>
      <c r="M944" s="73">
        <f t="shared" si="167"/>
        <v>0</v>
      </c>
      <c r="N944" s="67"/>
      <c r="O944" s="67">
        <v>0</v>
      </c>
      <c r="P944" s="72">
        <v>0</v>
      </c>
      <c r="Q944" s="73">
        <f t="shared" si="168"/>
        <v>0</v>
      </c>
      <c r="R944" s="67"/>
      <c r="S944" s="561"/>
    </row>
    <row r="945" spans="1:19" x14ac:dyDescent="0.3">
      <c r="A945" s="553" t="s">
        <v>2355</v>
      </c>
      <c r="B945" s="67"/>
      <c r="C945" s="67">
        <f t="shared" si="164"/>
        <v>-8170</v>
      </c>
      <c r="D945" s="72">
        <v>0</v>
      </c>
      <c r="E945" s="73">
        <f t="shared" si="165"/>
        <v>0</v>
      </c>
      <c r="F945" s="67">
        <f>SUM(E943:E945)</f>
        <v>0</v>
      </c>
      <c r="G945" s="67">
        <f t="shared" si="169"/>
        <v>266687.47272099997</v>
      </c>
      <c r="H945" s="72">
        <v>0</v>
      </c>
      <c r="I945" s="73">
        <f t="shared" si="166"/>
        <v>0</v>
      </c>
      <c r="J945" s="67">
        <f>SUM(I943:I945)</f>
        <v>0</v>
      </c>
      <c r="K945" s="67">
        <v>8170</v>
      </c>
      <c r="L945" s="72">
        <v>0</v>
      </c>
      <c r="M945" s="73">
        <f t="shared" si="167"/>
        <v>0</v>
      </c>
      <c r="N945" s="67">
        <f>SUM(M943:M945)</f>
        <v>0</v>
      </c>
      <c r="O945" s="67">
        <v>0</v>
      </c>
      <c r="P945" s="72">
        <v>0</v>
      </c>
      <c r="Q945" s="73">
        <f t="shared" si="168"/>
        <v>0</v>
      </c>
      <c r="R945" s="67">
        <f>SUM(Q943:Q945)</f>
        <v>0</v>
      </c>
      <c r="S945" s="561"/>
    </row>
    <row r="946" spans="1:19" x14ac:dyDescent="0.3">
      <c r="A946" s="551"/>
      <c r="B946" s="67"/>
      <c r="C946" s="67"/>
      <c r="D946" s="67"/>
      <c r="E946" s="67"/>
      <c r="F946" s="67"/>
      <c r="G946" s="67"/>
      <c r="H946" s="67"/>
      <c r="I946" s="67"/>
      <c r="J946" s="67"/>
      <c r="K946" s="67"/>
      <c r="L946" s="67"/>
      <c r="M946" s="67"/>
      <c r="N946" s="67"/>
      <c r="O946" s="67"/>
      <c r="P946" s="67"/>
      <c r="Q946" s="67"/>
      <c r="R946" s="67"/>
      <c r="S946" s="561"/>
    </row>
    <row r="947" spans="1:19" x14ac:dyDescent="0.3">
      <c r="A947" s="551"/>
      <c r="B947" s="67"/>
      <c r="C947" s="67"/>
      <c r="D947" s="67"/>
      <c r="E947" s="67"/>
      <c r="F947" s="67"/>
      <c r="G947" s="67"/>
      <c r="H947" s="67"/>
      <c r="I947" s="67"/>
      <c r="J947" s="67"/>
      <c r="K947" s="67"/>
      <c r="L947" s="67"/>
      <c r="M947" s="67"/>
      <c r="N947" s="67"/>
      <c r="O947" s="67"/>
      <c r="P947" s="67"/>
      <c r="Q947" s="67"/>
      <c r="R947" s="67"/>
      <c r="S947" s="561"/>
    </row>
    <row r="948" spans="1:19" ht="16.2" thickBot="1" x14ac:dyDescent="0.35">
      <c r="A948" s="554" t="s">
        <v>2356</v>
      </c>
      <c r="B948" s="555"/>
      <c r="C948" s="555">
        <f>SUM(C934:C945)</f>
        <v>1901726.7607959998</v>
      </c>
      <c r="D948" s="555"/>
      <c r="E948" s="567">
        <f>SUM(E934:E945)</f>
        <v>0</v>
      </c>
      <c r="F948" s="555"/>
      <c r="G948" s="555">
        <f>SUM(G934:G945)</f>
        <v>832797.94703899999</v>
      </c>
      <c r="H948" s="555" t="s">
        <v>2435</v>
      </c>
      <c r="I948" s="567">
        <f>SUM(I934:I945)</f>
        <v>0</v>
      </c>
      <c r="J948" s="555"/>
      <c r="K948" s="555">
        <f>SUM(K934:K945)</f>
        <v>158367</v>
      </c>
      <c r="L948" s="555" t="s">
        <v>2435</v>
      </c>
      <c r="M948" s="567">
        <f>SUM(M934:M945)</f>
        <v>0</v>
      </c>
      <c r="N948" s="555"/>
      <c r="O948" s="555">
        <f>(SUM(O934:O945))</f>
        <v>0</v>
      </c>
      <c r="P948" s="555" t="s">
        <v>2435</v>
      </c>
      <c r="Q948" s="567">
        <f>SUM(Q934:Q945)</f>
        <v>0</v>
      </c>
      <c r="R948" s="555"/>
      <c r="S948" s="565"/>
    </row>
  </sheetData>
  <autoFilter ref="A1:A948" xr:uid="{00000000-0009-0000-0000-000010000000}"/>
  <mergeCells count="17">
    <mergeCell ref="J914:M914"/>
    <mergeCell ref="A730:R730"/>
    <mergeCell ref="A731:R731"/>
    <mergeCell ref="A732:R732"/>
    <mergeCell ref="A734:R734"/>
    <mergeCell ref="A691:R691"/>
    <mergeCell ref="A692:R692"/>
    <mergeCell ref="A694:R694"/>
    <mergeCell ref="A729:R729"/>
    <mergeCell ref="A689:R689"/>
    <mergeCell ref="A690:R690"/>
    <mergeCell ref="A9:R9"/>
    <mergeCell ref="A2:R2"/>
    <mergeCell ref="A3:R3"/>
    <mergeCell ref="A4:R4"/>
    <mergeCell ref="A5:R5"/>
    <mergeCell ref="A7:R7"/>
  </mergeCells>
  <phoneticPr fontId="34" type="noConversion"/>
  <printOptions horizontalCentered="1"/>
  <pageMargins left="0.25" right="0.25" top="0.25" bottom="0.25" header="0" footer="0"/>
  <pageSetup paperSize="17" scale="81" fitToHeight="10" orientation="landscape" r:id="rId1"/>
  <headerFooter alignWithMargins="0"/>
  <rowBreaks count="6" manualBreakCount="6">
    <brk id="686" max="17" man="1"/>
    <brk id="726" max="17" man="1"/>
    <brk id="776" max="18" man="1"/>
    <brk id="807" max="18" man="1"/>
    <brk id="831" max="18" man="1"/>
    <brk id="858" max="18"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5"/>
  <dimension ref="A1:T926"/>
  <sheetViews>
    <sheetView workbookViewId="0">
      <selection activeCell="A185" sqref="A185"/>
    </sheetView>
  </sheetViews>
  <sheetFormatPr defaultRowHeight="15.6" x14ac:dyDescent="0.3"/>
  <cols>
    <col min="1" max="1" width="34.54296875" customWidth="1"/>
    <col min="5" max="5" width="10.1796875" customWidth="1"/>
    <col min="9" max="9" width="11.54296875" customWidth="1"/>
    <col min="10" max="11" width="10.1796875" customWidth="1"/>
    <col min="13" max="13" width="11.81640625" customWidth="1"/>
    <col min="17" max="17" width="10.08984375" customWidth="1"/>
    <col min="18" max="18" width="12.453125" customWidth="1"/>
  </cols>
  <sheetData>
    <row r="1" spans="1:18" x14ac:dyDescent="0.3">
      <c r="A1" s="10"/>
      <c r="B1" s="10"/>
      <c r="C1" s="10"/>
      <c r="D1" s="10"/>
      <c r="E1" s="10"/>
      <c r="F1" s="10"/>
      <c r="G1" s="10"/>
      <c r="H1" s="10"/>
      <c r="I1" s="10"/>
      <c r="J1" s="10"/>
      <c r="K1" s="10"/>
      <c r="L1" s="10"/>
      <c r="M1" s="10"/>
      <c r="N1" s="10"/>
      <c r="O1" s="10"/>
      <c r="P1" s="10"/>
      <c r="Q1" s="17" t="s">
        <v>1496</v>
      </c>
      <c r="R1" s="76">
        <f ca="1">NOW()</f>
        <v>44881.72963425926</v>
      </c>
    </row>
    <row r="2" spans="1:18" ht="19.8" x14ac:dyDescent="0.35">
      <c r="A2" s="779" t="s">
        <v>43</v>
      </c>
      <c r="B2" s="779"/>
      <c r="C2" s="779"/>
      <c r="D2" s="779"/>
      <c r="E2" s="779"/>
      <c r="F2" s="779"/>
      <c r="G2" s="779"/>
      <c r="H2" s="779"/>
      <c r="I2" s="779"/>
      <c r="J2" s="779"/>
      <c r="K2" s="779"/>
      <c r="L2" s="779"/>
      <c r="M2" s="779"/>
      <c r="N2" s="779"/>
      <c r="O2" s="779"/>
      <c r="P2" s="779"/>
      <c r="Q2" s="779"/>
      <c r="R2" s="779"/>
    </row>
    <row r="3" spans="1:18" ht="19.8" x14ac:dyDescent="0.35">
      <c r="A3" s="779" t="s">
        <v>1988</v>
      </c>
      <c r="B3" s="779"/>
      <c r="C3" s="779"/>
      <c r="D3" s="779"/>
      <c r="E3" s="779"/>
      <c r="F3" s="779"/>
      <c r="G3" s="779"/>
      <c r="H3" s="779"/>
      <c r="I3" s="779"/>
      <c r="J3" s="779"/>
      <c r="K3" s="779"/>
      <c r="L3" s="779"/>
      <c r="M3" s="779"/>
      <c r="N3" s="779"/>
      <c r="O3" s="779"/>
      <c r="P3" s="779"/>
      <c r="Q3" s="779"/>
      <c r="R3" s="779"/>
    </row>
    <row r="4" spans="1:18" ht="18" x14ac:dyDescent="0.35">
      <c r="A4" s="780" t="s">
        <v>544</v>
      </c>
      <c r="B4" s="780"/>
      <c r="C4" s="780"/>
      <c r="D4" s="780"/>
      <c r="E4" s="780"/>
      <c r="F4" s="780"/>
      <c r="G4" s="780"/>
      <c r="H4" s="780"/>
      <c r="I4" s="780"/>
      <c r="J4" s="780"/>
      <c r="K4" s="780"/>
      <c r="L4" s="780"/>
      <c r="M4" s="780"/>
      <c r="N4" s="780"/>
      <c r="O4" s="780"/>
      <c r="P4" s="780"/>
      <c r="Q4" s="780"/>
      <c r="R4" s="780"/>
    </row>
    <row r="5" spans="1:18" ht="18" x14ac:dyDescent="0.35">
      <c r="A5" s="780" t="s">
        <v>927</v>
      </c>
      <c r="B5" s="780"/>
      <c r="C5" s="780"/>
      <c r="D5" s="780"/>
      <c r="E5" s="780"/>
      <c r="F5" s="780"/>
      <c r="G5" s="780"/>
      <c r="H5" s="780"/>
      <c r="I5" s="780"/>
      <c r="J5" s="780"/>
      <c r="K5" s="780"/>
      <c r="L5" s="780"/>
      <c r="M5" s="780"/>
      <c r="N5" s="780"/>
      <c r="O5" s="780"/>
      <c r="P5" s="780"/>
      <c r="Q5" s="780"/>
      <c r="R5" s="780"/>
    </row>
    <row r="6" spans="1:18" x14ac:dyDescent="0.3">
      <c r="A6" s="10"/>
      <c r="B6" s="10"/>
      <c r="C6" s="10"/>
      <c r="D6" s="1"/>
      <c r="E6" s="1"/>
      <c r="F6" s="1"/>
      <c r="G6" s="220"/>
      <c r="H6" s="1"/>
      <c r="I6" s="1"/>
      <c r="J6" s="220"/>
      <c r="K6" s="220"/>
      <c r="L6" s="220"/>
      <c r="M6" s="220"/>
      <c r="N6" s="10"/>
      <c r="O6" s="220"/>
      <c r="P6" s="220"/>
      <c r="Q6" s="220"/>
      <c r="R6" s="220"/>
    </row>
    <row r="7" spans="1:18" ht="16.2" x14ac:dyDescent="0.35">
      <c r="A7" s="847" t="s">
        <v>1755</v>
      </c>
      <c r="B7" s="847"/>
      <c r="C7" s="847"/>
      <c r="D7" s="847"/>
      <c r="E7" s="847"/>
      <c r="F7" s="847"/>
      <c r="G7" s="847"/>
      <c r="H7" s="847"/>
      <c r="I7" s="847"/>
      <c r="J7" s="847"/>
      <c r="K7" s="847"/>
      <c r="L7" s="847"/>
      <c r="M7" s="847"/>
      <c r="N7" s="847"/>
      <c r="O7" s="847"/>
      <c r="P7" s="847"/>
      <c r="Q7" s="847"/>
      <c r="R7" s="847"/>
    </row>
    <row r="8" spans="1:18" ht="16.2" x14ac:dyDescent="0.35">
      <c r="A8" s="201"/>
      <c r="B8" s="201"/>
      <c r="C8" s="201"/>
      <c r="D8" s="201"/>
      <c r="E8" s="201"/>
      <c r="F8" s="201"/>
      <c r="G8" s="201"/>
      <c r="H8" s="201"/>
      <c r="I8" s="201"/>
      <c r="J8" s="201"/>
      <c r="K8" s="201"/>
      <c r="L8" s="201"/>
      <c r="M8" s="201"/>
      <c r="N8" s="201"/>
      <c r="O8" s="201"/>
      <c r="P8" s="201"/>
      <c r="Q8" s="201"/>
      <c r="R8" s="201"/>
    </row>
    <row r="9" spans="1:18" x14ac:dyDescent="0.3">
      <c r="A9" s="778" t="s">
        <v>640</v>
      </c>
      <c r="B9" s="778"/>
      <c r="C9" s="778"/>
      <c r="D9" s="778"/>
      <c r="E9" s="778"/>
      <c r="F9" s="778"/>
      <c r="G9" s="778"/>
      <c r="H9" s="778"/>
      <c r="I9" s="778"/>
      <c r="J9" s="778"/>
      <c r="K9" s="778"/>
      <c r="L9" s="778"/>
      <c r="M9" s="778"/>
      <c r="N9" s="778"/>
      <c r="O9" s="778"/>
      <c r="P9" s="778"/>
      <c r="Q9" s="778"/>
      <c r="R9" s="778"/>
    </row>
    <row r="10" spans="1:18" x14ac:dyDescent="0.3">
      <c r="A10" s="1"/>
      <c r="B10" s="220"/>
      <c r="C10" s="220"/>
      <c r="D10" s="220"/>
      <c r="E10" s="220"/>
      <c r="F10" s="220"/>
      <c r="G10" s="220"/>
      <c r="H10" s="220"/>
      <c r="I10" s="220"/>
      <c r="J10" s="220"/>
      <c r="K10" s="220"/>
      <c r="L10" s="220"/>
      <c r="M10" s="220"/>
      <c r="N10" s="220"/>
      <c r="O10" s="220"/>
      <c r="P10" s="220"/>
      <c r="Q10" s="220"/>
      <c r="R10" s="220"/>
    </row>
    <row r="11" spans="1:18" ht="16.2" thickBot="1" x14ac:dyDescent="0.35">
      <c r="A11" s="10"/>
      <c r="B11" s="10"/>
      <c r="C11" s="10"/>
      <c r="D11" s="10"/>
      <c r="E11" s="10"/>
      <c r="F11" s="10"/>
      <c r="G11" s="10"/>
      <c r="H11" s="10"/>
      <c r="I11" s="10"/>
      <c r="J11" s="10"/>
      <c r="K11" s="10"/>
      <c r="L11" s="10"/>
      <c r="M11" s="10"/>
      <c r="N11" s="10"/>
      <c r="O11" s="10"/>
      <c r="P11" s="10"/>
      <c r="Q11" s="10"/>
      <c r="R11" s="10"/>
    </row>
    <row r="12" spans="1:18" ht="15.75" customHeight="1" thickBot="1" x14ac:dyDescent="0.4">
      <c r="A12" s="3" t="s">
        <v>852</v>
      </c>
      <c r="B12" s="216" t="s">
        <v>2090</v>
      </c>
      <c r="C12" s="174" t="s">
        <v>2091</v>
      </c>
      <c r="D12" s="174" t="s">
        <v>2234</v>
      </c>
      <c r="E12" s="175" t="s">
        <v>1594</v>
      </c>
      <c r="F12" s="174" t="s">
        <v>2235</v>
      </c>
      <c r="G12" s="174" t="s">
        <v>2236</v>
      </c>
      <c r="H12" s="174" t="s">
        <v>2237</v>
      </c>
      <c r="I12" s="175" t="s">
        <v>1595</v>
      </c>
      <c r="J12" s="174" t="s">
        <v>1504</v>
      </c>
      <c r="K12" s="174" t="s">
        <v>1505</v>
      </c>
      <c r="L12" s="174" t="s">
        <v>1506</v>
      </c>
      <c r="M12" s="175" t="s">
        <v>1596</v>
      </c>
      <c r="N12" s="174" t="s">
        <v>1507</v>
      </c>
      <c r="O12" s="174" t="s">
        <v>1508</v>
      </c>
      <c r="P12" s="174" t="s">
        <v>1509</v>
      </c>
      <c r="Q12" s="175" t="s">
        <v>1597</v>
      </c>
      <c r="R12" s="176" t="s">
        <v>1510</v>
      </c>
    </row>
    <row r="13" spans="1:18" ht="15.75" customHeight="1" thickBot="1" x14ac:dyDescent="0.4">
      <c r="A13" s="27"/>
      <c r="B13" s="177"/>
      <c r="C13" s="177"/>
      <c r="D13" s="177"/>
      <c r="E13" s="178"/>
      <c r="F13" s="177"/>
      <c r="G13" s="177"/>
      <c r="H13" s="177"/>
      <c r="I13" s="178"/>
      <c r="J13" s="177"/>
      <c r="K13" s="177"/>
      <c r="L13" s="177"/>
      <c r="M13" s="178"/>
      <c r="N13" s="177"/>
      <c r="O13" s="177"/>
      <c r="P13" s="177"/>
      <c r="Q13" s="178"/>
      <c r="R13" s="178"/>
    </row>
    <row r="14" spans="1:18" ht="15.75" customHeight="1" x14ac:dyDescent="0.3">
      <c r="A14" s="234" t="s">
        <v>1277</v>
      </c>
      <c r="B14" s="10">
        <f>+B726</f>
        <v>56674</v>
      </c>
      <c r="C14" s="10">
        <f>+C726</f>
        <v>56869</v>
      </c>
      <c r="D14" s="10">
        <f>+D726</f>
        <v>103819</v>
      </c>
      <c r="E14" s="15">
        <f t="shared" ref="E14:E23" si="0">SUM(B14:D14)</f>
        <v>217362</v>
      </c>
      <c r="F14" s="10">
        <f>+F726</f>
        <v>153932</v>
      </c>
      <c r="G14" s="10">
        <f>+G726</f>
        <v>165117</v>
      </c>
      <c r="H14" s="10">
        <f>+H726</f>
        <v>206179</v>
      </c>
      <c r="I14" s="15">
        <f t="shared" ref="I14:I23" si="1">SUM(F14:H14)</f>
        <v>525228</v>
      </c>
      <c r="J14" s="10">
        <f>+J726</f>
        <v>216826</v>
      </c>
      <c r="K14" s="10">
        <f>+K726</f>
        <v>191448</v>
      </c>
      <c r="L14" s="10">
        <f>+L726</f>
        <v>167554</v>
      </c>
      <c r="M14" s="15">
        <f t="shared" ref="M14:M23" si="2">SUM(J14:L14)</f>
        <v>575828</v>
      </c>
      <c r="N14" s="10">
        <f>+N726</f>
        <v>106439</v>
      </c>
      <c r="O14" s="10">
        <f>+O726</f>
        <v>82263</v>
      </c>
      <c r="P14" s="10">
        <f>+P726</f>
        <v>83779</v>
      </c>
      <c r="Q14" s="29">
        <f t="shared" ref="Q14:Q22" si="3">SUM(N14:P14)</f>
        <v>272481</v>
      </c>
      <c r="R14" s="15">
        <f t="shared" ref="R14:R22" si="4">+E14+I14+M14+Q14</f>
        <v>1590899</v>
      </c>
    </row>
    <row r="15" spans="1:18" ht="15.75" hidden="1" customHeight="1" x14ac:dyDescent="0.3">
      <c r="A15" s="234" t="s">
        <v>2052</v>
      </c>
      <c r="B15" s="10">
        <f>+B697+B700</f>
        <v>5364</v>
      </c>
      <c r="C15" s="10">
        <f>+C697+C700</f>
        <v>4720</v>
      </c>
      <c r="D15" s="10">
        <f>+D697+D700</f>
        <v>14032</v>
      </c>
      <c r="E15" s="15">
        <f t="shared" si="0"/>
        <v>24116</v>
      </c>
      <c r="F15" s="10">
        <f>+F697+F700</f>
        <v>15168</v>
      </c>
      <c r="G15" s="10">
        <f>+G697+G700</f>
        <v>22954</v>
      </c>
      <c r="H15" s="10">
        <f>+H697+H700</f>
        <v>24691</v>
      </c>
      <c r="I15" s="15">
        <f t="shared" si="1"/>
        <v>62813</v>
      </c>
      <c r="J15" s="10">
        <f>+J697+J700</f>
        <v>23257</v>
      </c>
      <c r="K15" s="10">
        <f>+K697+K700</f>
        <v>20143</v>
      </c>
      <c r="L15" s="10">
        <f>+L697+L700</f>
        <v>22834</v>
      </c>
      <c r="M15" s="15">
        <f t="shared" si="2"/>
        <v>66234</v>
      </c>
      <c r="N15" s="10">
        <f>+N697+N700</f>
        <v>21776</v>
      </c>
      <c r="O15" s="10">
        <f>+O697+O700</f>
        <v>11430</v>
      </c>
      <c r="P15" s="10">
        <f>+P697+P700</f>
        <v>6343</v>
      </c>
      <c r="Q15" s="29">
        <f t="shared" si="3"/>
        <v>39549</v>
      </c>
      <c r="R15" s="15">
        <f t="shared" si="4"/>
        <v>192712</v>
      </c>
    </row>
    <row r="16" spans="1:18" ht="15.75" customHeight="1" x14ac:dyDescent="0.3">
      <c r="A16" s="234" t="s">
        <v>1278</v>
      </c>
      <c r="B16" s="10">
        <f>B28+B63+B124+B241+B360+B401+B442+B491+B501+B536+B575+B585+B619+B660</f>
        <v>739</v>
      </c>
      <c r="C16" s="10">
        <f>C28+C63+C124+C241+C360+C401+C442+C491+C501+C536+C575+C585+C619+C660</f>
        <v>1283</v>
      </c>
      <c r="D16" s="10">
        <f>D28+D63+D124+D241+D360+D401+D442+D491+D501+D536+D575+D585+D619+D660</f>
        <v>2185</v>
      </c>
      <c r="E16" s="15">
        <f t="shared" si="0"/>
        <v>4207</v>
      </c>
      <c r="F16" s="10">
        <f>F28+F63+F124+F241+F360+F401+F442+F491+F501+F536+F575+F585+F619+F660</f>
        <v>2959</v>
      </c>
      <c r="G16" s="10">
        <f>G28+G63+G124+G241+G360+G401+G442+G491+G501+G536+G575+G585+G619+G660</f>
        <v>3425</v>
      </c>
      <c r="H16" s="10">
        <f>H28+H63+H124+H241+H360+H401+H442+H491+H501+H536+H575+H585+H619+H660</f>
        <v>3464</v>
      </c>
      <c r="I16" s="15">
        <f t="shared" si="1"/>
        <v>9848</v>
      </c>
      <c r="J16" s="10">
        <f>J28+J63+J124+J241+J360+J401+J442+J491+J501+J536+J575+J585+J619+J660</f>
        <v>3382</v>
      </c>
      <c r="K16" s="10">
        <f>K28+K63+K124+K241+K360+K401+K442+K491+K501+K536+K575+K585+K619+K660</f>
        <v>2663</v>
      </c>
      <c r="L16" s="10">
        <f>L28+L63+L124+L241+L360+L401+L442+L491+L501+L536+L575+L585+L619+L660</f>
        <v>2559</v>
      </c>
      <c r="M16" s="15">
        <f t="shared" si="2"/>
        <v>8604</v>
      </c>
      <c r="N16" s="10">
        <f>N28+N63+N124+N241+N360+N401+N442+N491+N501+N536+N575+N585+N619+N660</f>
        <v>2343</v>
      </c>
      <c r="O16" s="10">
        <f>O28+O63+O124+O241+O360+O401+O442+O491+O501+O536+O575+O585+O619+O660</f>
        <v>1892</v>
      </c>
      <c r="P16" s="10">
        <f>P28+P63+P124+P241+P360+P401+P442+P491+P501+P536+P575+P585+P619+P660</f>
        <v>1423</v>
      </c>
      <c r="Q16" s="29">
        <f t="shared" si="3"/>
        <v>5658</v>
      </c>
      <c r="R16" s="15">
        <f t="shared" si="4"/>
        <v>28317</v>
      </c>
    </row>
    <row r="17" spans="1:20" ht="15.75" customHeight="1" x14ac:dyDescent="0.3">
      <c r="A17" s="234" t="s">
        <v>397</v>
      </c>
      <c r="B17" s="10">
        <f>B236</f>
        <v>0</v>
      </c>
      <c r="C17" s="10">
        <f>C236</f>
        <v>1104</v>
      </c>
      <c r="D17" s="10">
        <f>D236</f>
        <v>801</v>
      </c>
      <c r="E17" s="15">
        <f t="shared" si="0"/>
        <v>1905</v>
      </c>
      <c r="F17" s="10">
        <f>F236</f>
        <v>2490</v>
      </c>
      <c r="G17" s="10">
        <f>G236</f>
        <v>3757</v>
      </c>
      <c r="H17" s="10">
        <f>H236</f>
        <v>3774</v>
      </c>
      <c r="I17" s="15">
        <f t="shared" si="1"/>
        <v>10021</v>
      </c>
      <c r="J17" s="10">
        <f>J236</f>
        <v>2924</v>
      </c>
      <c r="K17" s="10">
        <f>K236</f>
        <v>1975</v>
      </c>
      <c r="L17" s="10">
        <f>L236</f>
        <v>2969</v>
      </c>
      <c r="M17" s="15">
        <f t="shared" si="2"/>
        <v>7868</v>
      </c>
      <c r="N17" s="10">
        <f>N236</f>
        <v>3073</v>
      </c>
      <c r="O17" s="10">
        <f>O236</f>
        <v>4050</v>
      </c>
      <c r="P17" s="10">
        <f>P236</f>
        <v>845</v>
      </c>
      <c r="Q17" s="29">
        <f t="shared" si="3"/>
        <v>7968</v>
      </c>
      <c r="R17" s="15">
        <f t="shared" si="4"/>
        <v>27762</v>
      </c>
    </row>
    <row r="18" spans="1:20" ht="15.75" customHeight="1" x14ac:dyDescent="0.3">
      <c r="A18" s="235" t="s">
        <v>967</v>
      </c>
      <c r="B18" s="10">
        <f t="shared" ref="B18:D19" si="5">+B237</f>
        <v>0</v>
      </c>
      <c r="C18" s="10">
        <f t="shared" si="5"/>
        <v>0</v>
      </c>
      <c r="D18" s="10">
        <f t="shared" si="5"/>
        <v>0</v>
      </c>
      <c r="E18" s="15">
        <f t="shared" si="0"/>
        <v>0</v>
      </c>
      <c r="F18" s="10">
        <f t="shared" ref="F18:H19" si="6">+F237</f>
        <v>-302</v>
      </c>
      <c r="G18" s="10">
        <f t="shared" si="6"/>
        <v>-47</v>
      </c>
      <c r="H18" s="10">
        <f t="shared" si="6"/>
        <v>-1169</v>
      </c>
      <c r="I18" s="15">
        <f t="shared" si="1"/>
        <v>-1518</v>
      </c>
      <c r="J18" s="10">
        <f t="shared" ref="J18:L19" si="7">+J237</f>
        <v>-1176</v>
      </c>
      <c r="K18" s="10">
        <f t="shared" si="7"/>
        <v>-1372</v>
      </c>
      <c r="L18" s="10">
        <f t="shared" si="7"/>
        <v>-1426</v>
      </c>
      <c r="M18" s="15">
        <f t="shared" si="2"/>
        <v>-3974</v>
      </c>
      <c r="N18" s="10">
        <f t="shared" ref="N18:P19" si="8">+N237</f>
        <v>-1639</v>
      </c>
      <c r="O18" s="10">
        <f t="shared" si="8"/>
        <v>-962</v>
      </c>
      <c r="P18" s="10">
        <f t="shared" si="8"/>
        <v>-1446</v>
      </c>
      <c r="Q18" s="29">
        <f t="shared" si="3"/>
        <v>-4047</v>
      </c>
      <c r="R18" s="15">
        <f t="shared" si="4"/>
        <v>-9539</v>
      </c>
    </row>
    <row r="19" spans="1:20" ht="15.75" hidden="1" customHeight="1" x14ac:dyDescent="0.3">
      <c r="A19" s="234" t="s">
        <v>2302</v>
      </c>
      <c r="B19" s="10">
        <f t="shared" si="5"/>
        <v>825</v>
      </c>
      <c r="C19" s="10">
        <f t="shared" si="5"/>
        <v>1214</v>
      </c>
      <c r="D19" s="10">
        <f t="shared" si="5"/>
        <v>0</v>
      </c>
      <c r="E19" s="15">
        <f t="shared" si="0"/>
        <v>2039</v>
      </c>
      <c r="F19" s="10">
        <f t="shared" si="6"/>
        <v>0</v>
      </c>
      <c r="G19" s="10">
        <f t="shared" si="6"/>
        <v>0</v>
      </c>
      <c r="H19" s="10">
        <f t="shared" si="6"/>
        <v>0</v>
      </c>
      <c r="I19" s="15">
        <f t="shared" si="1"/>
        <v>0</v>
      </c>
      <c r="J19" s="10">
        <f t="shared" si="7"/>
        <v>0</v>
      </c>
      <c r="K19" s="10">
        <f t="shared" si="7"/>
        <v>0</v>
      </c>
      <c r="L19" s="10">
        <f t="shared" si="7"/>
        <v>830</v>
      </c>
      <c r="M19" s="15">
        <f t="shared" si="2"/>
        <v>830</v>
      </c>
      <c r="N19" s="10">
        <f t="shared" si="8"/>
        <v>1510</v>
      </c>
      <c r="O19" s="10">
        <f t="shared" si="8"/>
        <v>0</v>
      </c>
      <c r="P19" s="10">
        <f t="shared" si="8"/>
        <v>321</v>
      </c>
      <c r="Q19" s="29">
        <f t="shared" si="3"/>
        <v>1831</v>
      </c>
      <c r="R19" s="15">
        <f t="shared" si="4"/>
        <v>4700</v>
      </c>
    </row>
    <row r="20" spans="1:20" ht="15.75" customHeight="1" x14ac:dyDescent="0.3">
      <c r="A20" s="236" t="s">
        <v>1176</v>
      </c>
      <c r="B20" s="10">
        <f>B240</f>
        <v>69254</v>
      </c>
      <c r="C20" s="10">
        <f>C240</f>
        <v>32024</v>
      </c>
      <c r="D20" s="10">
        <f>D240</f>
        <v>23237</v>
      </c>
      <c r="E20" s="15">
        <f t="shared" si="0"/>
        <v>124515</v>
      </c>
      <c r="F20" s="10">
        <f>F240</f>
        <v>0</v>
      </c>
      <c r="G20" s="10">
        <f>G240</f>
        <v>794</v>
      </c>
      <c r="H20" s="10">
        <f>H240</f>
        <v>0</v>
      </c>
      <c r="I20" s="15">
        <f t="shared" si="1"/>
        <v>794</v>
      </c>
      <c r="J20" s="10">
        <f>J240</f>
        <v>0</v>
      </c>
      <c r="K20" s="10">
        <f>K240</f>
        <v>0</v>
      </c>
      <c r="L20" s="10">
        <f>L240</f>
        <v>15215</v>
      </c>
      <c r="M20" s="15">
        <f t="shared" si="2"/>
        <v>15215</v>
      </c>
      <c r="N20" s="10">
        <f>N240</f>
        <v>55015</v>
      </c>
      <c r="O20" s="10">
        <f>O240</f>
        <v>64395</v>
      </c>
      <c r="P20" s="10">
        <f>P240</f>
        <v>104913</v>
      </c>
      <c r="Q20" s="29">
        <f t="shared" si="3"/>
        <v>224323</v>
      </c>
      <c r="R20" s="15">
        <f t="shared" si="4"/>
        <v>364847</v>
      </c>
    </row>
    <row r="21" spans="1:20" ht="15.75" customHeight="1" x14ac:dyDescent="0.3">
      <c r="A21" s="236" t="s">
        <v>662</v>
      </c>
      <c r="B21" s="10">
        <f>B252</f>
        <v>0</v>
      </c>
      <c r="C21" s="10">
        <f>C252</f>
        <v>0</v>
      </c>
      <c r="D21" s="10">
        <f>D252</f>
        <v>0</v>
      </c>
      <c r="E21" s="15">
        <f t="shared" si="0"/>
        <v>0</v>
      </c>
      <c r="F21" s="10">
        <f>F252</f>
        <v>-5265</v>
      </c>
      <c r="G21" s="10">
        <f>G252</f>
        <v>-2361</v>
      </c>
      <c r="H21" s="10">
        <f>H252</f>
        <v>-39965</v>
      </c>
      <c r="I21" s="15">
        <f t="shared" si="1"/>
        <v>-47591</v>
      </c>
      <c r="J21" s="10">
        <f>J252</f>
        <v>-167728</v>
      </c>
      <c r="K21" s="10">
        <f>K252</f>
        <v>-106895</v>
      </c>
      <c r="L21" s="10">
        <f>L252</f>
        <v>-18499</v>
      </c>
      <c r="M21" s="15">
        <f t="shared" si="2"/>
        <v>-293122</v>
      </c>
      <c r="N21" s="10">
        <f>N252</f>
        <v>0</v>
      </c>
      <c r="O21" s="10">
        <f>O252</f>
        <v>0</v>
      </c>
      <c r="P21" s="10">
        <f>P252</f>
        <v>0</v>
      </c>
      <c r="Q21" s="29">
        <f t="shared" si="3"/>
        <v>0</v>
      </c>
      <c r="R21" s="15">
        <f t="shared" si="4"/>
        <v>-340713</v>
      </c>
    </row>
    <row r="22" spans="1:20" ht="15.75" customHeight="1" thickBot="1" x14ac:dyDescent="0.35">
      <c r="A22" s="237" t="s">
        <v>851</v>
      </c>
      <c r="B22" s="294">
        <f>(B32)</f>
        <v>126667</v>
      </c>
      <c r="C22" s="294">
        <f>(C32)</f>
        <v>91280</v>
      </c>
      <c r="D22" s="294">
        <f>(D32)</f>
        <v>130042</v>
      </c>
      <c r="E22" s="16">
        <f t="shared" si="0"/>
        <v>347989</v>
      </c>
      <c r="F22" s="294">
        <f>(F32)</f>
        <v>153814</v>
      </c>
      <c r="G22" s="294">
        <f>(G32)</f>
        <v>170685</v>
      </c>
      <c r="H22" s="294">
        <f>(H32)</f>
        <v>172283</v>
      </c>
      <c r="I22" s="16">
        <f t="shared" si="1"/>
        <v>496782</v>
      </c>
      <c r="J22" s="294">
        <f>(J32)</f>
        <v>54228</v>
      </c>
      <c r="K22" s="294">
        <f>(K32)</f>
        <v>87819</v>
      </c>
      <c r="L22" s="294">
        <f>(L32)</f>
        <v>168372</v>
      </c>
      <c r="M22" s="16">
        <f t="shared" si="2"/>
        <v>310419</v>
      </c>
      <c r="N22" s="294">
        <f>(N32)</f>
        <v>165231</v>
      </c>
      <c r="O22" s="294">
        <f>(O32)</f>
        <v>151638</v>
      </c>
      <c r="P22" s="294">
        <f>(P32)</f>
        <v>189514</v>
      </c>
      <c r="Q22" s="30">
        <f t="shared" si="3"/>
        <v>506383</v>
      </c>
      <c r="R22" s="16">
        <f t="shared" si="4"/>
        <v>1661573</v>
      </c>
      <c r="S22" t="s">
        <v>2396</v>
      </c>
      <c r="T22" t="s">
        <v>1</v>
      </c>
    </row>
    <row r="23" spans="1:20" ht="15.75" customHeight="1" thickBot="1" x14ac:dyDescent="0.35">
      <c r="A23" s="237" t="s">
        <v>496</v>
      </c>
      <c r="B23" s="294">
        <v>126294</v>
      </c>
      <c r="C23" s="294">
        <v>90880</v>
      </c>
      <c r="D23" s="294">
        <v>128306</v>
      </c>
      <c r="E23" s="16">
        <f t="shared" si="0"/>
        <v>345480</v>
      </c>
      <c r="F23" s="294">
        <v>153154</v>
      </c>
      <c r="G23" s="294">
        <v>171813</v>
      </c>
      <c r="H23" s="294">
        <v>170755</v>
      </c>
      <c r="I23" s="16">
        <f t="shared" si="1"/>
        <v>495722</v>
      </c>
      <c r="J23" s="294">
        <v>49808</v>
      </c>
      <c r="K23" s="294">
        <v>84097</v>
      </c>
      <c r="L23" s="294">
        <v>170650</v>
      </c>
      <c r="M23" s="16">
        <f t="shared" si="2"/>
        <v>304555</v>
      </c>
      <c r="N23" s="294">
        <v>165628</v>
      </c>
      <c r="O23" s="294">
        <v>158820</v>
      </c>
      <c r="P23" s="294">
        <v>182563</v>
      </c>
      <c r="Q23" s="30">
        <f>SUM(N23:P23)</f>
        <v>507011</v>
      </c>
      <c r="R23" s="16">
        <f>+E23+I23+M23+Q23</f>
        <v>1652768</v>
      </c>
    </row>
    <row r="24" spans="1:20" ht="15.75" customHeight="1" x14ac:dyDescent="0.3">
      <c r="A24" s="10"/>
      <c r="B24" s="10"/>
      <c r="C24" s="10"/>
      <c r="D24" s="10"/>
      <c r="E24" s="10"/>
      <c r="F24" s="10"/>
      <c r="G24" s="10"/>
      <c r="H24" s="10"/>
      <c r="I24" s="10"/>
      <c r="J24" s="10"/>
      <c r="K24" s="10"/>
      <c r="L24" s="10"/>
      <c r="M24" s="10"/>
      <c r="N24" s="10"/>
      <c r="O24" s="10"/>
      <c r="P24" s="10"/>
      <c r="Q24" s="10"/>
      <c r="R24" s="17"/>
      <c r="T24" t="s">
        <v>2</v>
      </c>
    </row>
    <row r="25" spans="1:20" ht="15.75" customHeight="1" thickBot="1" x14ac:dyDescent="0.35">
      <c r="A25" s="10"/>
      <c r="B25" s="10"/>
      <c r="C25" s="10"/>
      <c r="D25" s="10"/>
      <c r="E25" s="10"/>
      <c r="F25" s="295" t="s">
        <v>852</v>
      </c>
      <c r="G25" s="295" t="s">
        <v>852</v>
      </c>
      <c r="H25" s="10"/>
      <c r="I25" s="10"/>
      <c r="J25" s="10"/>
      <c r="K25" s="10"/>
      <c r="L25" s="10"/>
      <c r="M25" s="10"/>
      <c r="N25" s="295" t="s">
        <v>852</v>
      </c>
      <c r="O25" s="295" t="s">
        <v>852</v>
      </c>
      <c r="P25" s="295" t="s">
        <v>852</v>
      </c>
      <c r="Q25" s="295"/>
      <c r="R25" s="18" t="s">
        <v>852</v>
      </c>
      <c r="T25" t="s">
        <v>1955</v>
      </c>
    </row>
    <row r="26" spans="1:20" ht="15.75" customHeight="1" thickBot="1" x14ac:dyDescent="0.35">
      <c r="A26" s="240" t="s">
        <v>1878</v>
      </c>
      <c r="B26" s="4" t="s">
        <v>2090</v>
      </c>
      <c r="C26" s="5" t="s">
        <v>2091</v>
      </c>
      <c r="D26" s="5" t="s">
        <v>2234</v>
      </c>
      <c r="E26" s="33" t="s">
        <v>1594</v>
      </c>
      <c r="F26" s="5" t="s">
        <v>2235</v>
      </c>
      <c r="G26" s="5" t="s">
        <v>2236</v>
      </c>
      <c r="H26" s="5" t="s">
        <v>2237</v>
      </c>
      <c r="I26" s="35" t="s">
        <v>1595</v>
      </c>
      <c r="J26" s="5" t="s">
        <v>1504</v>
      </c>
      <c r="K26" s="5" t="s">
        <v>1505</v>
      </c>
      <c r="L26" s="5" t="s">
        <v>1506</v>
      </c>
      <c r="M26" s="35" t="s">
        <v>1596</v>
      </c>
      <c r="N26" s="5" t="s">
        <v>1507</v>
      </c>
      <c r="O26" s="5" t="s">
        <v>1508</v>
      </c>
      <c r="P26" s="5" t="s">
        <v>1509</v>
      </c>
      <c r="Q26" s="35" t="s">
        <v>1597</v>
      </c>
      <c r="R26" s="36" t="s">
        <v>1510</v>
      </c>
    </row>
    <row r="27" spans="1:20" ht="15.75" customHeight="1" thickBot="1" x14ac:dyDescent="0.35">
      <c r="A27" s="296"/>
      <c r="B27" s="297"/>
      <c r="C27" s="297"/>
      <c r="D27" s="297"/>
      <c r="E27" s="298"/>
      <c r="F27" s="297"/>
      <c r="G27" s="297"/>
      <c r="H27" s="297"/>
      <c r="I27" s="298"/>
      <c r="J27" s="297"/>
      <c r="K27" s="297"/>
      <c r="L27" s="297"/>
      <c r="M27" s="298"/>
      <c r="N27" s="297"/>
      <c r="O27" s="297"/>
      <c r="P27" s="297"/>
      <c r="Q27" s="298"/>
      <c r="R27" s="19"/>
    </row>
    <row r="28" spans="1:20" ht="15.75" customHeight="1" thickBot="1" x14ac:dyDescent="0.35">
      <c r="A28" s="299" t="s">
        <v>853</v>
      </c>
      <c r="B28" s="294">
        <v>97</v>
      </c>
      <c r="C28" s="294">
        <v>148</v>
      </c>
      <c r="D28" s="294">
        <v>274</v>
      </c>
      <c r="E28" s="14">
        <f>SUM(B28:D28)</f>
        <v>519</v>
      </c>
      <c r="F28" s="294">
        <v>367</v>
      </c>
      <c r="G28" s="294">
        <v>425</v>
      </c>
      <c r="H28" s="294">
        <v>417</v>
      </c>
      <c r="I28" s="14">
        <f>SUM(F28:H28)</f>
        <v>1209</v>
      </c>
      <c r="J28" s="294">
        <v>416</v>
      </c>
      <c r="K28" s="294">
        <v>334</v>
      </c>
      <c r="L28" s="294">
        <v>316</v>
      </c>
      <c r="M28" s="14">
        <f>SUM(J28:L28)</f>
        <v>1066</v>
      </c>
      <c r="N28" s="294">
        <v>285</v>
      </c>
      <c r="O28" s="294">
        <v>235</v>
      </c>
      <c r="P28" s="294">
        <v>186</v>
      </c>
      <c r="Q28" s="14">
        <f>SUM(N28:P28)</f>
        <v>706</v>
      </c>
      <c r="R28" s="16">
        <f>+E28+I28+M28+Q28</f>
        <v>3500</v>
      </c>
    </row>
    <row r="29" spans="1:20" ht="15.75" customHeight="1" thickBot="1" x14ac:dyDescent="0.35">
      <c r="A29" s="22"/>
      <c r="B29" s="297"/>
      <c r="C29" s="297"/>
      <c r="D29" s="297"/>
      <c r="E29" s="21"/>
      <c r="F29" s="297"/>
      <c r="G29" s="297"/>
      <c r="H29" s="297"/>
      <c r="I29" s="21"/>
      <c r="J29" s="297"/>
      <c r="K29" s="297"/>
      <c r="L29" s="297"/>
      <c r="M29" s="21"/>
      <c r="N29" s="297"/>
      <c r="O29" s="297"/>
      <c r="P29" s="297"/>
      <c r="Q29" s="21"/>
      <c r="R29" s="13"/>
    </row>
    <row r="30" spans="1:20" ht="15.75" customHeight="1" x14ac:dyDescent="0.3">
      <c r="A30" s="234" t="s">
        <v>2011</v>
      </c>
      <c r="B30" s="10">
        <f>B28</f>
        <v>97</v>
      </c>
      <c r="C30" s="10">
        <f>C28</f>
        <v>148</v>
      </c>
      <c r="D30" s="10">
        <f>D28</f>
        <v>274</v>
      </c>
      <c r="E30" s="14">
        <f>SUM(B30:D30)</f>
        <v>519</v>
      </c>
      <c r="F30" s="10">
        <f>F28</f>
        <v>367</v>
      </c>
      <c r="G30" s="10">
        <f>G28</f>
        <v>425</v>
      </c>
      <c r="H30" s="10">
        <f>H28</f>
        <v>417</v>
      </c>
      <c r="I30" s="14">
        <f>SUM(F30:H30)</f>
        <v>1209</v>
      </c>
      <c r="J30" s="10">
        <f>J28</f>
        <v>416</v>
      </c>
      <c r="K30" s="10">
        <f>K28</f>
        <v>334</v>
      </c>
      <c r="L30" s="10">
        <f>L28</f>
        <v>316</v>
      </c>
      <c r="M30" s="14">
        <f>SUM(J30:L30)</f>
        <v>1066</v>
      </c>
      <c r="N30" s="10">
        <f>N28</f>
        <v>285</v>
      </c>
      <c r="O30" s="10">
        <f>O28</f>
        <v>235</v>
      </c>
      <c r="P30" s="10">
        <f>P28</f>
        <v>186</v>
      </c>
      <c r="Q30" s="28">
        <f>SUM(N30:P30)</f>
        <v>706</v>
      </c>
      <c r="R30" s="14">
        <f>+E30+I30+M30+Q30</f>
        <v>3500</v>
      </c>
    </row>
    <row r="31" spans="1:20" ht="15.75" customHeight="1" x14ac:dyDescent="0.3">
      <c r="A31" s="234" t="s">
        <v>1897</v>
      </c>
      <c r="B31" s="10">
        <f>(B30/31)/1.983</f>
        <v>1.5779285214647079</v>
      </c>
      <c r="C31" s="10">
        <f>(C30/28)/1.983</f>
        <v>2.6655140119587926</v>
      </c>
      <c r="D31" s="10">
        <f>(D30/31)/1.983</f>
        <v>4.457241390529175</v>
      </c>
      <c r="E31" s="15"/>
      <c r="F31" s="10">
        <f>(F30/30)/1.983</f>
        <v>6.1691040511010247</v>
      </c>
      <c r="G31" s="10">
        <f>(G30/31)/1.983</f>
        <v>6.9136043466237203</v>
      </c>
      <c r="H31" s="10">
        <f>(H30/30)/1.983</f>
        <v>7.0095814422592033</v>
      </c>
      <c r="I31" s="15"/>
      <c r="J31" s="10">
        <f>(J30/31)/1.983</f>
        <v>6.7671986075187478</v>
      </c>
      <c r="K31" s="10">
        <f>(K30/31)/1.983</f>
        <v>5.433279651228994</v>
      </c>
      <c r="L31" s="10">
        <f>(L30/30)/1.983</f>
        <v>5.3118171121196838</v>
      </c>
      <c r="M31" s="15"/>
      <c r="N31" s="10">
        <f>(N30/31)/1.983</f>
        <v>4.6361817383241419</v>
      </c>
      <c r="O31" s="10">
        <f>(O30/30)/1.983</f>
        <v>3.9502437384434357</v>
      </c>
      <c r="P31" s="10">
        <f>(P30/31)/1.983</f>
        <v>3.02571860816944</v>
      </c>
      <c r="Q31" s="29"/>
      <c r="R31" s="15"/>
    </row>
    <row r="32" spans="1:20" ht="15.75" customHeight="1" x14ac:dyDescent="0.3">
      <c r="A32" s="234" t="s">
        <v>1119</v>
      </c>
      <c r="B32" s="10">
        <f>B30+B67</f>
        <v>126667</v>
      </c>
      <c r="C32" s="10">
        <f>C30+C67</f>
        <v>91280</v>
      </c>
      <c r="D32" s="10">
        <f>D30+D67</f>
        <v>130042</v>
      </c>
      <c r="E32" s="15">
        <f>SUM(B32:D32)</f>
        <v>347989</v>
      </c>
      <c r="F32" s="10">
        <f>F30+F67</f>
        <v>153814</v>
      </c>
      <c r="G32" s="10">
        <f>G30+G67</f>
        <v>170685</v>
      </c>
      <c r="H32" s="10">
        <f>H30+H67</f>
        <v>172283</v>
      </c>
      <c r="I32" s="15">
        <f>SUM(F32:H32)</f>
        <v>496782</v>
      </c>
      <c r="J32" s="10">
        <f>J30+J67</f>
        <v>54228</v>
      </c>
      <c r="K32" s="10">
        <f>K30+K67</f>
        <v>87819</v>
      </c>
      <c r="L32" s="10">
        <f>L30+L67</f>
        <v>168372</v>
      </c>
      <c r="M32" s="15">
        <f>SUM(J32:L32)</f>
        <v>310419</v>
      </c>
      <c r="N32" s="10">
        <f>N30+N67</f>
        <v>165231</v>
      </c>
      <c r="O32" s="10">
        <f>O30+O67</f>
        <v>151638</v>
      </c>
      <c r="P32" s="10">
        <f>P30+P67</f>
        <v>189514</v>
      </c>
      <c r="Q32" s="29">
        <f>SUM(N32:P32)</f>
        <v>506383</v>
      </c>
      <c r="R32" s="15">
        <f>+E32+I32+M32+Q32</f>
        <v>1661573</v>
      </c>
    </row>
    <row r="33" spans="1:18" ht="15.75" customHeight="1" thickBot="1" x14ac:dyDescent="0.35">
      <c r="A33" s="237" t="s">
        <v>1968</v>
      </c>
      <c r="B33" s="294">
        <f>(B32/31)/1.983</f>
        <v>2060.5306394677336</v>
      </c>
      <c r="C33" s="294">
        <f>(C32/28)/1.983</f>
        <v>1643.9737771053958</v>
      </c>
      <c r="D33" s="294">
        <f>(D32/31)/1.983</f>
        <v>2115.4327916320985</v>
      </c>
      <c r="E33" s="16"/>
      <c r="F33" s="294">
        <f>(F32/30)/1.983</f>
        <v>2585.5437888720789</v>
      </c>
      <c r="G33" s="294">
        <f>(G32/31)/1.983</f>
        <v>2776.5848421258111</v>
      </c>
      <c r="H33" s="294">
        <f>(H32/30)/1.983</f>
        <v>2895.9993276180867</v>
      </c>
      <c r="I33" s="16"/>
      <c r="J33" s="294">
        <f>(J32/31)/1.983</f>
        <v>882.14338002049669</v>
      </c>
      <c r="K33" s="294">
        <f>(K32/31)/1.983</f>
        <v>1428.5784002732908</v>
      </c>
      <c r="L33" s="294">
        <f>(L32/30)/1.983</f>
        <v>2830.2571860816943</v>
      </c>
      <c r="M33" s="16"/>
      <c r="N33" s="294">
        <f>(N32/31)/1.983</f>
        <v>2687.8629642281976</v>
      </c>
      <c r="O33" s="294">
        <f>(O32/30)/1.983</f>
        <v>2548.9662128088753</v>
      </c>
      <c r="P33" s="294">
        <f>(P32/31)/1.983</f>
        <v>3082.8819156377594</v>
      </c>
      <c r="Q33" s="30"/>
      <c r="R33" s="16"/>
    </row>
    <row r="34" spans="1:18" ht="15.75" customHeight="1" x14ac:dyDescent="0.3">
      <c r="A34" s="17"/>
      <c r="B34" s="10"/>
      <c r="C34" s="10"/>
      <c r="D34" s="10"/>
      <c r="E34" s="10"/>
      <c r="F34" s="10"/>
      <c r="G34" s="10"/>
      <c r="H34" s="10"/>
      <c r="I34" s="10"/>
      <c r="J34" s="10"/>
      <c r="K34" s="10"/>
      <c r="L34" s="10"/>
      <c r="M34" s="10"/>
      <c r="N34" s="10"/>
      <c r="O34" s="10"/>
      <c r="P34" s="10"/>
      <c r="Q34" s="10"/>
      <c r="R34" s="17"/>
    </row>
    <row r="35" spans="1:18" ht="15.75" customHeight="1" thickBot="1" x14ac:dyDescent="0.35">
      <c r="A35" s="17"/>
      <c r="B35" s="10"/>
      <c r="C35" s="10"/>
      <c r="D35" s="10"/>
      <c r="E35" s="10"/>
      <c r="F35" s="10"/>
      <c r="G35" s="10"/>
      <c r="H35" s="10"/>
      <c r="I35" s="10"/>
      <c r="J35" s="10"/>
      <c r="K35" s="10"/>
      <c r="L35" s="10"/>
      <c r="M35" s="10"/>
      <c r="N35" s="10"/>
      <c r="O35" s="10"/>
      <c r="P35" s="10"/>
      <c r="Q35" s="10"/>
      <c r="R35" s="17"/>
    </row>
    <row r="36" spans="1:18" ht="15.75" customHeight="1" thickBot="1" x14ac:dyDescent="0.35">
      <c r="A36" s="245" t="s">
        <v>681</v>
      </c>
      <c r="B36" s="25" t="s">
        <v>2090</v>
      </c>
      <c r="C36" s="26" t="s">
        <v>2091</v>
      </c>
      <c r="D36" s="26" t="s">
        <v>2234</v>
      </c>
      <c r="E36" s="33" t="s">
        <v>1594</v>
      </c>
      <c r="F36" s="26" t="s">
        <v>2235</v>
      </c>
      <c r="G36" s="26" t="s">
        <v>2236</v>
      </c>
      <c r="H36" s="26" t="s">
        <v>2237</v>
      </c>
      <c r="I36" s="33" t="s">
        <v>1595</v>
      </c>
      <c r="J36" s="26" t="s">
        <v>1504</v>
      </c>
      <c r="K36" s="26" t="s">
        <v>1505</v>
      </c>
      <c r="L36" s="26" t="s">
        <v>1506</v>
      </c>
      <c r="M36" s="33" t="s">
        <v>1596</v>
      </c>
      <c r="N36" s="26" t="s">
        <v>1507</v>
      </c>
      <c r="O36" s="26" t="s">
        <v>1508</v>
      </c>
      <c r="P36" s="26" t="s">
        <v>1509</v>
      </c>
      <c r="Q36" s="33" t="s">
        <v>1597</v>
      </c>
      <c r="R36" s="34" t="s">
        <v>1510</v>
      </c>
    </row>
    <row r="37" spans="1:18" ht="15.75" customHeight="1" thickBot="1" x14ac:dyDescent="0.35">
      <c r="A37" s="21"/>
      <c r="B37" s="300"/>
      <c r="C37" s="301"/>
      <c r="D37" s="301"/>
      <c r="E37" s="302"/>
      <c r="F37" s="301"/>
      <c r="G37" s="301"/>
      <c r="H37" s="301"/>
      <c r="I37" s="302"/>
      <c r="J37" s="301"/>
      <c r="K37" s="301"/>
      <c r="L37" s="301"/>
      <c r="M37" s="302"/>
      <c r="N37" s="301"/>
      <c r="O37" s="301"/>
      <c r="P37" s="301"/>
      <c r="Q37" s="302"/>
      <c r="R37" s="75"/>
    </row>
    <row r="38" spans="1:18" ht="15.75" customHeight="1" x14ac:dyDescent="0.3">
      <c r="A38" s="247" t="s">
        <v>2417</v>
      </c>
      <c r="B38" s="18"/>
      <c r="C38" s="18"/>
      <c r="D38" s="18"/>
      <c r="E38" s="38" t="s">
        <v>852</v>
      </c>
      <c r="F38" s="18"/>
      <c r="G38" s="18"/>
      <c r="H38" s="18"/>
      <c r="I38" s="38" t="s">
        <v>852</v>
      </c>
      <c r="J38" s="18"/>
      <c r="K38" s="18"/>
      <c r="L38" s="18"/>
      <c r="M38" s="38" t="s">
        <v>852</v>
      </c>
      <c r="N38" s="18"/>
      <c r="O38" s="18"/>
      <c r="P38" s="18"/>
      <c r="Q38" s="38" t="s">
        <v>852</v>
      </c>
      <c r="R38" s="38" t="s">
        <v>852</v>
      </c>
    </row>
    <row r="39" spans="1:18" ht="15.75" customHeight="1" x14ac:dyDescent="0.3">
      <c r="A39" s="235" t="s">
        <v>2160</v>
      </c>
      <c r="B39" s="18" t="s">
        <v>852</v>
      </c>
      <c r="C39" s="248"/>
      <c r="D39" s="248"/>
      <c r="E39" s="38" t="s">
        <v>852</v>
      </c>
      <c r="F39" s="248"/>
      <c r="G39" s="248"/>
      <c r="H39" s="248"/>
      <c r="I39" s="38" t="s">
        <v>852</v>
      </c>
      <c r="J39" s="248"/>
      <c r="K39" s="248"/>
      <c r="L39" s="248"/>
      <c r="M39" s="38" t="s">
        <v>852</v>
      </c>
      <c r="N39" s="248"/>
      <c r="O39" s="248"/>
      <c r="P39" s="248"/>
      <c r="Q39" s="38" t="s">
        <v>852</v>
      </c>
      <c r="R39" s="38" t="s">
        <v>852</v>
      </c>
    </row>
    <row r="40" spans="1:18" ht="15.75" customHeight="1" x14ac:dyDescent="0.3">
      <c r="A40" s="235" t="s">
        <v>2161</v>
      </c>
      <c r="B40" s="18"/>
      <c r="C40" s="18"/>
      <c r="D40" s="18"/>
      <c r="E40" s="38" t="s">
        <v>852</v>
      </c>
      <c r="F40" s="18"/>
      <c r="G40" s="18"/>
      <c r="H40" s="18"/>
      <c r="I40" s="38" t="s">
        <v>852</v>
      </c>
      <c r="J40" s="18"/>
      <c r="K40" s="18"/>
      <c r="L40" s="18"/>
      <c r="M40" s="38" t="s">
        <v>852</v>
      </c>
      <c r="N40" s="18"/>
      <c r="O40" s="18"/>
      <c r="P40" s="18"/>
      <c r="Q40" s="38" t="s">
        <v>852</v>
      </c>
      <c r="R40" s="38" t="s">
        <v>852</v>
      </c>
    </row>
    <row r="41" spans="1:18" ht="15.75" customHeight="1" x14ac:dyDescent="0.3">
      <c r="A41" s="235" t="s">
        <v>2162</v>
      </c>
      <c r="B41" s="18"/>
      <c r="C41" s="18"/>
      <c r="D41" s="18"/>
      <c r="E41" s="38" t="s">
        <v>1598</v>
      </c>
      <c r="F41" s="18"/>
      <c r="G41" s="18"/>
      <c r="H41" s="18"/>
      <c r="I41" s="38" t="s">
        <v>1598</v>
      </c>
      <c r="J41" s="18"/>
      <c r="K41" s="18"/>
      <c r="L41" s="18"/>
      <c r="M41" s="38" t="s">
        <v>1598</v>
      </c>
      <c r="N41" s="18"/>
      <c r="O41" s="18"/>
      <c r="P41" s="18"/>
      <c r="Q41" s="38" t="s">
        <v>1598</v>
      </c>
      <c r="R41" s="38" t="s">
        <v>1598</v>
      </c>
    </row>
    <row r="42" spans="1:18" ht="15.75" customHeight="1" thickBot="1" x14ac:dyDescent="0.35">
      <c r="A42" s="235" t="s">
        <v>2164</v>
      </c>
      <c r="B42" s="248"/>
      <c r="C42" s="248"/>
      <c r="D42" s="248"/>
      <c r="E42" s="38" t="s">
        <v>852</v>
      </c>
      <c r="F42" s="248"/>
      <c r="G42" s="248"/>
      <c r="H42" s="248"/>
      <c r="I42" s="38" t="s">
        <v>852</v>
      </c>
      <c r="J42" s="248"/>
      <c r="K42" s="248"/>
      <c r="L42" s="248"/>
      <c r="M42" s="38" t="s">
        <v>852</v>
      </c>
      <c r="N42" s="248"/>
      <c r="O42" s="248"/>
      <c r="P42" s="248"/>
      <c r="Q42" s="38" t="s">
        <v>852</v>
      </c>
      <c r="R42" s="38" t="s">
        <v>852</v>
      </c>
    </row>
    <row r="43" spans="1:18" ht="15.75" customHeight="1" thickBot="1" x14ac:dyDescent="0.35">
      <c r="A43" s="43" t="s">
        <v>1218</v>
      </c>
      <c r="B43" s="42">
        <f>SUM(B38:B42)</f>
        <v>0</v>
      </c>
      <c r="C43" s="42">
        <f>SUM(C38:C42)</f>
        <v>0</v>
      </c>
      <c r="D43" s="42">
        <f>SUM(D38:D42)</f>
        <v>0</v>
      </c>
      <c r="E43" s="37">
        <f>SUM(B43:D43)</f>
        <v>0</v>
      </c>
      <c r="F43" s="42">
        <f>SUM(F38:F42)</f>
        <v>0</v>
      </c>
      <c r="G43" s="42">
        <f>SUM(G38:G42)</f>
        <v>0</v>
      </c>
      <c r="H43" s="42">
        <f>SUM(H38:H42)</f>
        <v>0</v>
      </c>
      <c r="I43" s="37">
        <f>SUM(F43:H43)</f>
        <v>0</v>
      </c>
      <c r="J43" s="42">
        <f>SUM(J38:J42)</f>
        <v>0</v>
      </c>
      <c r="K43" s="42">
        <f>SUM(K38:K42)</f>
        <v>0</v>
      </c>
      <c r="L43" s="42">
        <f>SUM(L38:L42)</f>
        <v>0</v>
      </c>
      <c r="M43" s="37">
        <f>SUM(J43:L43)</f>
        <v>0</v>
      </c>
      <c r="N43" s="42">
        <f>SUM(N38:N42)</f>
        <v>0</v>
      </c>
      <c r="O43" s="42">
        <f>SUM(O38:O42)</f>
        <v>0</v>
      </c>
      <c r="P43" s="42">
        <f>SUM(P38:P42)</f>
        <v>0</v>
      </c>
      <c r="Q43" s="37">
        <f>SUM(N43:P43)</f>
        <v>0</v>
      </c>
      <c r="R43" s="37">
        <f>+E43+I43+M43+Q43</f>
        <v>0</v>
      </c>
    </row>
    <row r="44" spans="1:18" ht="15.75" customHeight="1" x14ac:dyDescent="0.3">
      <c r="A44" s="235" t="s">
        <v>1172</v>
      </c>
      <c r="B44" s="248"/>
      <c r="C44" s="248"/>
      <c r="D44" s="248"/>
      <c r="E44" s="38" t="s">
        <v>852</v>
      </c>
      <c r="F44" s="248"/>
      <c r="G44" s="248"/>
      <c r="H44" s="248"/>
      <c r="I44" s="38" t="s">
        <v>852</v>
      </c>
      <c r="J44" s="248"/>
      <c r="K44" s="248"/>
      <c r="L44" s="248"/>
      <c r="M44" s="38" t="s">
        <v>852</v>
      </c>
      <c r="N44" s="248"/>
      <c r="O44" s="248"/>
      <c r="P44" s="248"/>
      <c r="Q44" s="38" t="s">
        <v>852</v>
      </c>
      <c r="R44" s="39" t="s">
        <v>852</v>
      </c>
    </row>
    <row r="45" spans="1:18" ht="15.75" customHeight="1" x14ac:dyDescent="0.3">
      <c r="A45" s="235" t="s">
        <v>1658</v>
      </c>
      <c r="B45" s="248"/>
      <c r="C45" s="248"/>
      <c r="D45" s="248"/>
      <c r="E45" s="38"/>
      <c r="F45" s="248"/>
      <c r="G45" s="248"/>
      <c r="H45" s="248"/>
      <c r="I45" s="38"/>
      <c r="J45" s="248"/>
      <c r="K45" s="248"/>
      <c r="L45" s="248"/>
      <c r="M45" s="38"/>
      <c r="N45" s="248"/>
      <c r="O45" s="248"/>
      <c r="P45" s="248"/>
      <c r="Q45" s="38"/>
      <c r="R45" s="38"/>
    </row>
    <row r="46" spans="1:18" ht="15.75" customHeight="1" x14ac:dyDescent="0.3">
      <c r="A46" s="235" t="s">
        <v>2409</v>
      </c>
      <c r="B46" s="248"/>
      <c r="C46" s="248"/>
      <c r="D46" s="248"/>
      <c r="E46" s="38" t="s">
        <v>852</v>
      </c>
      <c r="F46" s="248"/>
      <c r="G46" s="248"/>
      <c r="H46" s="248"/>
      <c r="I46" s="38" t="s">
        <v>852</v>
      </c>
      <c r="J46" s="248"/>
      <c r="K46" s="248"/>
      <c r="L46" s="248"/>
      <c r="M46" s="38" t="s">
        <v>852</v>
      </c>
      <c r="N46" s="248"/>
      <c r="O46" s="248"/>
      <c r="P46" s="248"/>
      <c r="Q46" s="38" t="s">
        <v>852</v>
      </c>
      <c r="R46" s="38" t="s">
        <v>852</v>
      </c>
    </row>
    <row r="47" spans="1:18" ht="15.75" customHeight="1" thickBot="1" x14ac:dyDescent="0.35">
      <c r="A47" s="235" t="s">
        <v>2165</v>
      </c>
      <c r="B47" s="248"/>
      <c r="C47" s="248"/>
      <c r="D47" s="248"/>
      <c r="E47" s="38" t="s">
        <v>852</v>
      </c>
      <c r="F47" s="248"/>
      <c r="G47" s="248"/>
      <c r="H47" s="248"/>
      <c r="I47" s="38" t="s">
        <v>852</v>
      </c>
      <c r="J47" s="248"/>
      <c r="K47" s="248"/>
      <c r="L47" s="248"/>
      <c r="M47" s="38" t="s">
        <v>852</v>
      </c>
      <c r="N47" s="248"/>
      <c r="O47" s="248"/>
      <c r="P47" s="248"/>
      <c r="Q47" s="38" t="s">
        <v>852</v>
      </c>
      <c r="R47" s="38" t="s">
        <v>852</v>
      </c>
    </row>
    <row r="48" spans="1:18" ht="15.75" customHeight="1" thickBot="1" x14ac:dyDescent="0.35">
      <c r="A48" s="43" t="s">
        <v>1219</v>
      </c>
      <c r="B48" s="42">
        <f>SUM(B44:B47)</f>
        <v>0</v>
      </c>
      <c r="C48" s="42">
        <f>SUM(C44:C47)</f>
        <v>0</v>
      </c>
      <c r="D48" s="42">
        <f>SUM(D44:D47)</f>
        <v>0</v>
      </c>
      <c r="E48" s="37">
        <f>SUM(B48:D48)</f>
        <v>0</v>
      </c>
      <c r="F48" s="42">
        <f>SUM(F44:F47)</f>
        <v>0</v>
      </c>
      <c r="G48" s="42">
        <f>SUM(G44:G47)</f>
        <v>0</v>
      </c>
      <c r="H48" s="42">
        <f>SUM(H44:H47)</f>
        <v>0</v>
      </c>
      <c r="I48" s="37">
        <f>SUM(F48:H48)</f>
        <v>0</v>
      </c>
      <c r="J48" s="42">
        <f>SUM(J44:J47)</f>
        <v>0</v>
      </c>
      <c r="K48" s="42">
        <f>SUM(K44:K47)</f>
        <v>0</v>
      </c>
      <c r="L48" s="42">
        <f>SUM(L44:L47)</f>
        <v>0</v>
      </c>
      <c r="M48" s="37">
        <f>SUM(J48:L48)</f>
        <v>0</v>
      </c>
      <c r="N48" s="42">
        <f>SUM(N44:N47)</f>
        <v>0</v>
      </c>
      <c r="O48" s="42">
        <f>SUM(O44:O47)</f>
        <v>0</v>
      </c>
      <c r="P48" s="42">
        <f>SUM(P44:P47)</f>
        <v>0</v>
      </c>
      <c r="Q48" s="37">
        <f>SUM(N48:P48)</f>
        <v>0</v>
      </c>
      <c r="R48" s="37">
        <f>+E48+I48+M48+Q48</f>
        <v>0</v>
      </c>
    </row>
    <row r="49" spans="1:18" ht="15.75" customHeight="1" x14ac:dyDescent="0.3">
      <c r="A49" s="235" t="s">
        <v>2166</v>
      </c>
      <c r="B49" s="248"/>
      <c r="C49" s="248"/>
      <c r="D49" s="248"/>
      <c r="E49" s="38" t="s">
        <v>852</v>
      </c>
      <c r="F49" s="248"/>
      <c r="G49" s="248"/>
      <c r="H49" s="248"/>
      <c r="I49" s="38" t="s">
        <v>852</v>
      </c>
      <c r="J49" s="248"/>
      <c r="K49" s="248"/>
      <c r="L49" s="248"/>
      <c r="M49" s="38" t="s">
        <v>852</v>
      </c>
      <c r="N49" s="248"/>
      <c r="O49" s="248"/>
      <c r="P49" s="248"/>
      <c r="Q49" s="38" t="s">
        <v>852</v>
      </c>
      <c r="R49" s="38" t="s">
        <v>852</v>
      </c>
    </row>
    <row r="50" spans="1:18" ht="15.75" customHeight="1" x14ac:dyDescent="0.3">
      <c r="A50" s="235" t="s">
        <v>1245</v>
      </c>
      <c r="B50" s="248"/>
      <c r="C50" s="248"/>
      <c r="D50" s="248"/>
      <c r="E50" s="38" t="s">
        <v>852</v>
      </c>
      <c r="F50" s="248"/>
      <c r="G50" s="248"/>
      <c r="H50" s="248"/>
      <c r="I50" s="38" t="s">
        <v>852</v>
      </c>
      <c r="J50" s="248"/>
      <c r="K50" s="248"/>
      <c r="L50" s="248"/>
      <c r="M50" s="38" t="s">
        <v>852</v>
      </c>
      <c r="N50" s="248"/>
      <c r="O50" s="248"/>
      <c r="P50" s="248"/>
      <c r="Q50" s="38" t="s">
        <v>852</v>
      </c>
      <c r="R50" s="38" t="s">
        <v>852</v>
      </c>
    </row>
    <row r="51" spans="1:18" ht="15.75" customHeight="1" thickBot="1" x14ac:dyDescent="0.35">
      <c r="A51" s="235" t="s">
        <v>1711</v>
      </c>
      <c r="B51" s="248"/>
      <c r="C51" s="248"/>
      <c r="D51" s="248"/>
      <c r="E51" s="38"/>
      <c r="F51" s="248"/>
      <c r="G51" s="248"/>
      <c r="H51" s="248"/>
      <c r="I51" s="38"/>
      <c r="J51" s="248"/>
      <c r="K51" s="248"/>
      <c r="L51" s="248"/>
      <c r="M51" s="38"/>
      <c r="N51" s="248"/>
      <c r="O51" s="248"/>
      <c r="P51" s="248"/>
      <c r="Q51" s="38"/>
      <c r="R51" s="38"/>
    </row>
    <row r="52" spans="1:18" ht="15.75" customHeight="1" thickBot="1" x14ac:dyDescent="0.35">
      <c r="A52" s="43" t="s">
        <v>1220</v>
      </c>
      <c r="B52" s="42">
        <f>SUM(B49:B51)</f>
        <v>0</v>
      </c>
      <c r="C52" s="42">
        <f>SUM(C49:C51)</f>
        <v>0</v>
      </c>
      <c r="D52" s="42">
        <f>SUM(D49:D51)</f>
        <v>0</v>
      </c>
      <c r="E52" s="37">
        <f>SUM(B52:D52)</f>
        <v>0</v>
      </c>
      <c r="F52" s="42">
        <f>SUM(F49:F51)</f>
        <v>0</v>
      </c>
      <c r="G52" s="42">
        <f>SUM(G49:G51)</f>
        <v>0</v>
      </c>
      <c r="H52" s="42">
        <f>SUM(H49:H51)</f>
        <v>0</v>
      </c>
      <c r="I52" s="37">
        <f>SUM(F52:H52)</f>
        <v>0</v>
      </c>
      <c r="J52" s="42">
        <f>SUM(J49:J51)</f>
        <v>0</v>
      </c>
      <c r="K52" s="42">
        <f>SUM(K49:K51)</f>
        <v>0</v>
      </c>
      <c r="L52" s="42">
        <f>SUM(L49:L51)</f>
        <v>0</v>
      </c>
      <c r="M52" s="37">
        <f>SUM(J52:L52)</f>
        <v>0</v>
      </c>
      <c r="N52" s="42">
        <f>SUM(N49:N51)</f>
        <v>0</v>
      </c>
      <c r="O52" s="42">
        <f>SUM(O49:O51)</f>
        <v>0</v>
      </c>
      <c r="P52" s="42">
        <f>SUM(P49:P51)</f>
        <v>0</v>
      </c>
      <c r="Q52" s="37">
        <f>SUM(N52:P52)</f>
        <v>0</v>
      </c>
      <c r="R52" s="37">
        <f>+E52+I52+M52+Q52</f>
        <v>0</v>
      </c>
    </row>
    <row r="53" spans="1:18" ht="15.75" customHeight="1" x14ac:dyDescent="0.3">
      <c r="A53" s="235" t="s">
        <v>1712</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235" t="s">
        <v>1692</v>
      </c>
      <c r="B54" s="248"/>
      <c r="C54" s="248"/>
      <c r="D54" s="248"/>
      <c r="E54" s="38" t="s">
        <v>852</v>
      </c>
      <c r="F54" s="248"/>
      <c r="G54" s="248"/>
      <c r="H54" s="248"/>
      <c r="I54" s="38" t="s">
        <v>852</v>
      </c>
      <c r="J54" s="248"/>
      <c r="K54" s="248"/>
      <c r="L54" s="248"/>
      <c r="M54" s="38" t="s">
        <v>852</v>
      </c>
      <c r="N54" s="248"/>
      <c r="O54" s="248"/>
      <c r="P54" s="248"/>
      <c r="Q54" s="38" t="s">
        <v>852</v>
      </c>
      <c r="R54" s="38" t="s">
        <v>852</v>
      </c>
    </row>
    <row r="55" spans="1:18" ht="15.75" customHeight="1" x14ac:dyDescent="0.3">
      <c r="A55" s="303" t="s">
        <v>416</v>
      </c>
      <c r="B55" s="10">
        <v>0</v>
      </c>
      <c r="C55" s="10">
        <v>0</v>
      </c>
      <c r="D55" s="10">
        <v>0</v>
      </c>
      <c r="E55" s="38">
        <f>SUM(B55:D55)</f>
        <v>0</v>
      </c>
      <c r="F55" s="10">
        <v>0</v>
      </c>
      <c r="G55" s="10">
        <v>0</v>
      </c>
      <c r="H55" s="10">
        <v>0</v>
      </c>
      <c r="I55" s="38">
        <f>SUM(F55:H55)</f>
        <v>0</v>
      </c>
      <c r="J55" s="10">
        <v>0</v>
      </c>
      <c r="K55" s="10">
        <v>0</v>
      </c>
      <c r="L55" s="10">
        <v>0</v>
      </c>
      <c r="M55" s="38">
        <f>SUM(J55:L55)</f>
        <v>0</v>
      </c>
      <c r="N55" s="10">
        <v>0</v>
      </c>
      <c r="O55" s="10">
        <v>0</v>
      </c>
      <c r="P55" s="10">
        <v>0</v>
      </c>
      <c r="Q55" s="38">
        <f>SUM(N55:P55)</f>
        <v>0</v>
      </c>
      <c r="R55" s="38">
        <f>+E55+I55+M55+Q55</f>
        <v>0</v>
      </c>
    </row>
    <row r="56" spans="1:18" ht="15.75" customHeight="1" x14ac:dyDescent="0.3">
      <c r="A56" s="235" t="s">
        <v>557</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5.75" customHeight="1" x14ac:dyDescent="0.3">
      <c r="A57" s="303" t="s">
        <v>1840</v>
      </c>
      <c r="B57" s="10">
        <v>0</v>
      </c>
      <c r="C57" s="10">
        <v>0</v>
      </c>
      <c r="D57" s="10">
        <v>0</v>
      </c>
      <c r="E57" s="38">
        <f>SUM(B57:D57)</f>
        <v>0</v>
      </c>
      <c r="F57" s="10">
        <v>0</v>
      </c>
      <c r="G57" s="10">
        <v>0</v>
      </c>
      <c r="H57" s="10">
        <v>0</v>
      </c>
      <c r="I57" s="38">
        <f>SUM(F57:H57)</f>
        <v>0</v>
      </c>
      <c r="J57" s="10">
        <v>0</v>
      </c>
      <c r="K57" s="10">
        <v>0</v>
      </c>
      <c r="L57" s="10">
        <v>0</v>
      </c>
      <c r="M57" s="38">
        <f>SUM(J57:L57)</f>
        <v>0</v>
      </c>
      <c r="N57" s="10">
        <v>0</v>
      </c>
      <c r="O57" s="10">
        <v>0</v>
      </c>
      <c r="P57" s="10">
        <v>0</v>
      </c>
      <c r="Q57" s="38">
        <f>SUM(N57:P57)</f>
        <v>0</v>
      </c>
      <c r="R57" s="38">
        <f>+E57+I57+M57+Q57</f>
        <v>0</v>
      </c>
    </row>
    <row r="58" spans="1:18" ht="15.75" customHeight="1" x14ac:dyDescent="0.3">
      <c r="A58" s="235" t="s">
        <v>1693</v>
      </c>
      <c r="B58" s="248"/>
      <c r="C58" s="248"/>
      <c r="D58" s="248"/>
      <c r="E58" s="38" t="s">
        <v>852</v>
      </c>
      <c r="F58" s="248"/>
      <c r="G58" s="248"/>
      <c r="H58" s="248"/>
      <c r="I58" s="38" t="s">
        <v>852</v>
      </c>
      <c r="J58" s="248"/>
      <c r="K58" s="248"/>
      <c r="L58" s="248"/>
      <c r="M58" s="38" t="s">
        <v>852</v>
      </c>
      <c r="N58" s="248"/>
      <c r="O58" s="248"/>
      <c r="P58" s="248"/>
      <c r="Q58" s="38" t="s">
        <v>852</v>
      </c>
      <c r="R58" s="38" t="s">
        <v>852</v>
      </c>
    </row>
    <row r="59" spans="1:18" ht="15.75" customHeight="1" thickBot="1" x14ac:dyDescent="0.35">
      <c r="A59" s="235" t="s">
        <v>559</v>
      </c>
      <c r="B59" s="248"/>
      <c r="C59" s="248"/>
      <c r="D59" s="248"/>
      <c r="E59" s="38" t="s">
        <v>852</v>
      </c>
      <c r="F59" s="248"/>
      <c r="G59" s="248"/>
      <c r="H59" s="248"/>
      <c r="I59" s="38" t="s">
        <v>852</v>
      </c>
      <c r="J59" s="248"/>
      <c r="K59" s="248"/>
      <c r="L59" s="248"/>
      <c r="M59" s="38" t="s">
        <v>852</v>
      </c>
      <c r="N59" s="248"/>
      <c r="O59" s="248"/>
      <c r="P59" s="248"/>
      <c r="Q59" s="38" t="s">
        <v>852</v>
      </c>
      <c r="R59" s="38" t="s">
        <v>852</v>
      </c>
    </row>
    <row r="60" spans="1:18" ht="15.75" customHeight="1" thickBot="1" x14ac:dyDescent="0.35">
      <c r="A60" s="43" t="s">
        <v>1019</v>
      </c>
      <c r="B60" s="42">
        <f>SUM(B58:B59)</f>
        <v>0</v>
      </c>
      <c r="C60" s="42">
        <f>SUM(C58:C59)</f>
        <v>0</v>
      </c>
      <c r="D60" s="42">
        <f>SUM(D58:D59)</f>
        <v>0</v>
      </c>
      <c r="E60" s="39">
        <f>SUM(B60:D60)</f>
        <v>0</v>
      </c>
      <c r="F60" s="42">
        <f>SUM(F58:F59)</f>
        <v>0</v>
      </c>
      <c r="G60" s="42">
        <f>SUM(G58:G59)</f>
        <v>0</v>
      </c>
      <c r="H60" s="42">
        <f>SUM(H58:H59)</f>
        <v>0</v>
      </c>
      <c r="I60" s="39">
        <f>SUM(F60:H60)</f>
        <v>0</v>
      </c>
      <c r="J60" s="42">
        <f>SUM(J58:J59)</f>
        <v>0</v>
      </c>
      <c r="K60" s="42">
        <f>SUM(K58:K59)</f>
        <v>0</v>
      </c>
      <c r="L60" s="42">
        <f>SUM(L58:L59)</f>
        <v>0</v>
      </c>
      <c r="M60" s="39">
        <f>SUM(J60:L60)</f>
        <v>0</v>
      </c>
      <c r="N60" s="42">
        <f>SUM(N58:N59)</f>
        <v>0</v>
      </c>
      <c r="O60" s="42">
        <f>SUM(O58:O59)</f>
        <v>0</v>
      </c>
      <c r="P60" s="42">
        <f>SUM(P58:P59)</f>
        <v>0</v>
      </c>
      <c r="Q60" s="39">
        <f>SUM(N60:P60)</f>
        <v>0</v>
      </c>
      <c r="R60" s="37">
        <f>+E60+I60+M60+Q60</f>
        <v>0</v>
      </c>
    </row>
    <row r="61" spans="1:18" ht="15.75" customHeight="1" thickBot="1" x14ac:dyDescent="0.35">
      <c r="A61" s="43" t="s">
        <v>1221</v>
      </c>
      <c r="B61" s="42">
        <f>SUM(B53:B59)</f>
        <v>0</v>
      </c>
      <c r="C61" s="42">
        <f>SUM(C53:C59)</f>
        <v>0</v>
      </c>
      <c r="D61" s="42">
        <f>SUM(D53:D59)</f>
        <v>0</v>
      </c>
      <c r="E61" s="39">
        <f>SUM(B61:D61)</f>
        <v>0</v>
      </c>
      <c r="F61" s="42">
        <f>SUM(F53:F59)</f>
        <v>0</v>
      </c>
      <c r="G61" s="42">
        <f>SUM(G53:G59)</f>
        <v>0</v>
      </c>
      <c r="H61" s="42">
        <f>SUM(H53:H59)</f>
        <v>0</v>
      </c>
      <c r="I61" s="39">
        <f>SUM(F61:H61)</f>
        <v>0</v>
      </c>
      <c r="J61" s="42">
        <f>SUM(J53:J59)</f>
        <v>0</v>
      </c>
      <c r="K61" s="42">
        <f>SUM(K53:K59)</f>
        <v>0</v>
      </c>
      <c r="L61" s="42">
        <f>SUM(L53:L59)</f>
        <v>0</v>
      </c>
      <c r="M61" s="39">
        <f>SUM(J61:L61)</f>
        <v>0</v>
      </c>
      <c r="N61" s="42">
        <f>SUM(N53:N59)</f>
        <v>0</v>
      </c>
      <c r="O61" s="42">
        <f>SUM(O53:O59)</f>
        <v>0</v>
      </c>
      <c r="P61" s="42">
        <f>SUM(P53:P59)</f>
        <v>0</v>
      </c>
      <c r="Q61" s="39">
        <f>SUM(N61:P61)</f>
        <v>0</v>
      </c>
      <c r="R61" s="37">
        <f>+E61+I61+M61+Q61</f>
        <v>0</v>
      </c>
    </row>
    <row r="62" spans="1:18" ht="15.75" customHeight="1" thickBot="1" x14ac:dyDescent="0.35">
      <c r="A62" s="43" t="s">
        <v>1222</v>
      </c>
      <c r="B62" s="42">
        <f>+B43+B48+B52+B61</f>
        <v>0</v>
      </c>
      <c r="C62" s="42">
        <f>+C43+C48+C52+C61</f>
        <v>0</v>
      </c>
      <c r="D62" s="42">
        <f>+D43+D48+D52+D61</f>
        <v>0</v>
      </c>
      <c r="E62" s="37">
        <f>SUM(B62:D62)</f>
        <v>0</v>
      </c>
      <c r="F62" s="42">
        <f>+F43+F48+F52+F61</f>
        <v>0</v>
      </c>
      <c r="G62" s="42">
        <f>+G43+G48+G52+G61</f>
        <v>0</v>
      </c>
      <c r="H62" s="42">
        <f>+H43+H48+H52+H61</f>
        <v>0</v>
      </c>
      <c r="I62" s="37">
        <f>SUM(F62:H62)</f>
        <v>0</v>
      </c>
      <c r="J62" s="42">
        <f>+J43+J48+J52+J61</f>
        <v>0</v>
      </c>
      <c r="K62" s="42">
        <f>+K43+K48+K52+K61</f>
        <v>0</v>
      </c>
      <c r="L62" s="42">
        <f>+L43+L48+L52+L61</f>
        <v>0</v>
      </c>
      <c r="M62" s="37">
        <f>SUM(J62:L62)</f>
        <v>0</v>
      </c>
      <c r="N62" s="42">
        <f>+N43+N48+N52+N61</f>
        <v>0</v>
      </c>
      <c r="O62" s="42">
        <f>+O43+O48+O52+O61</f>
        <v>0</v>
      </c>
      <c r="P62" s="42">
        <f>+P43+P48+P52+P61</f>
        <v>0</v>
      </c>
      <c r="Q62" s="37">
        <f>SUM(N62:P62)</f>
        <v>0</v>
      </c>
      <c r="R62" s="37">
        <f>+E62+I62+M62+Q62</f>
        <v>0</v>
      </c>
    </row>
    <row r="63" spans="1:18" ht="15.75" customHeight="1" thickBot="1" x14ac:dyDescent="0.35">
      <c r="A63" s="304" t="s">
        <v>853</v>
      </c>
      <c r="B63" s="305">
        <v>96</v>
      </c>
      <c r="C63" s="305">
        <v>145</v>
      </c>
      <c r="D63" s="305">
        <v>261</v>
      </c>
      <c r="E63" s="21">
        <f>SUM(B63:D63)</f>
        <v>502</v>
      </c>
      <c r="F63" s="305">
        <v>350</v>
      </c>
      <c r="G63" s="305">
        <v>402</v>
      </c>
      <c r="H63" s="305">
        <v>396</v>
      </c>
      <c r="I63" s="21">
        <f>SUM(F63:H63)</f>
        <v>1148</v>
      </c>
      <c r="J63" s="305">
        <v>394</v>
      </c>
      <c r="K63" s="305">
        <v>318</v>
      </c>
      <c r="L63" s="305">
        <v>301</v>
      </c>
      <c r="M63" s="21">
        <f>SUM(J63:L63)</f>
        <v>1013</v>
      </c>
      <c r="N63" s="305">
        <v>272</v>
      </c>
      <c r="O63" s="305">
        <v>226</v>
      </c>
      <c r="P63" s="305">
        <v>179</v>
      </c>
      <c r="Q63" s="21">
        <f>SUM(N63:P63)</f>
        <v>677</v>
      </c>
      <c r="R63" s="21">
        <f>+E63+I63+M63+Q63</f>
        <v>3340</v>
      </c>
    </row>
    <row r="64" spans="1:18" ht="15.75" customHeight="1" thickBot="1" x14ac:dyDescent="0.35">
      <c r="A64" s="22"/>
      <c r="B64" s="297"/>
      <c r="C64" s="297"/>
      <c r="D64" s="297"/>
      <c r="E64" s="16"/>
      <c r="F64" s="297"/>
      <c r="G64" s="297"/>
      <c r="H64" s="297"/>
      <c r="I64" s="16"/>
      <c r="J64" s="297"/>
      <c r="K64" s="297"/>
      <c r="L64" s="297"/>
      <c r="M64" s="16"/>
      <c r="N64" s="297"/>
      <c r="O64" s="297"/>
      <c r="P64" s="297"/>
      <c r="Q64" s="16"/>
      <c r="R64" s="22"/>
    </row>
    <row r="65" spans="1:18" ht="15.75" customHeight="1" x14ac:dyDescent="0.3">
      <c r="A65" s="234" t="s">
        <v>2011</v>
      </c>
      <c r="B65" s="10">
        <f>+B62+B63</f>
        <v>96</v>
      </c>
      <c r="C65" s="10">
        <f>+C62+C63</f>
        <v>145</v>
      </c>
      <c r="D65" s="10">
        <f>+D62+D63</f>
        <v>261</v>
      </c>
      <c r="E65" s="14">
        <f>SUM(B65:D65)</f>
        <v>502</v>
      </c>
      <c r="F65" s="10">
        <f>+F62+F63</f>
        <v>350</v>
      </c>
      <c r="G65" s="10">
        <f>+G62+G63</f>
        <v>402</v>
      </c>
      <c r="H65" s="10">
        <f>+H62+H63</f>
        <v>396</v>
      </c>
      <c r="I65" s="14">
        <f>SUM(F65:H65)</f>
        <v>1148</v>
      </c>
      <c r="J65" s="10">
        <f>+J62+J63</f>
        <v>394</v>
      </c>
      <c r="K65" s="10">
        <f>+K62+K63</f>
        <v>318</v>
      </c>
      <c r="L65" s="10">
        <f>+L62+L63</f>
        <v>301</v>
      </c>
      <c r="M65" s="14">
        <f>SUM(J65:L65)</f>
        <v>1013</v>
      </c>
      <c r="N65" s="10">
        <f>+N62+N63</f>
        <v>272</v>
      </c>
      <c r="O65" s="10">
        <f>+O62+O63</f>
        <v>226</v>
      </c>
      <c r="P65" s="10">
        <f>+P62+P63</f>
        <v>179</v>
      </c>
      <c r="Q65" s="28">
        <f>SUM(N65:P65)</f>
        <v>677</v>
      </c>
      <c r="R65" s="15">
        <f>+E65+I65+M65+Q65</f>
        <v>3340</v>
      </c>
    </row>
    <row r="66" spans="1:18" ht="15.75" customHeight="1" x14ac:dyDescent="0.3">
      <c r="A66" s="234" t="s">
        <v>1897</v>
      </c>
      <c r="B66" s="10">
        <f>(B65/31)/1.983</f>
        <v>1.5616612171197111</v>
      </c>
      <c r="C66" s="10">
        <f>(C65/28)/1.983</f>
        <v>2.6114833225271954</v>
      </c>
      <c r="D66" s="10">
        <f>(D65/31)/1.983</f>
        <v>4.2457664340442145</v>
      </c>
      <c r="E66" s="15"/>
      <c r="F66" s="10">
        <f>(F65/30)/1.983</f>
        <v>5.8833417381072444</v>
      </c>
      <c r="G66" s="10">
        <f>(G65/31)/1.983</f>
        <v>6.5394563466887892</v>
      </c>
      <c r="H66" s="10">
        <f>(H65/30)/1.983</f>
        <v>6.6565809379727678</v>
      </c>
      <c r="I66" s="15"/>
      <c r="J66" s="10">
        <f>(J65/31)/1.983</f>
        <v>6.4093179119288139</v>
      </c>
      <c r="K66" s="10">
        <f>(K65/31)/1.983</f>
        <v>5.1730027817090427</v>
      </c>
      <c r="L66" s="10">
        <f>(L65/30)/1.983</f>
        <v>5.0596738947722306</v>
      </c>
      <c r="M66" s="15"/>
      <c r="N66" s="10">
        <f>(N65/31)/1.983</f>
        <v>4.4247067818391805</v>
      </c>
      <c r="O66" s="10">
        <f>(O65/30)/1.983</f>
        <v>3.7989578080349635</v>
      </c>
      <c r="P66" s="10">
        <f>(P65/31)/1.983</f>
        <v>2.9118474777544612</v>
      </c>
      <c r="Q66" s="29"/>
      <c r="R66" s="20"/>
    </row>
    <row r="67" spans="1:18" ht="15.75" customHeight="1" x14ac:dyDescent="0.3">
      <c r="A67" s="234" t="s">
        <v>1969</v>
      </c>
      <c r="B67" s="10">
        <f>B65+B128</f>
        <v>126570</v>
      </c>
      <c r="C67" s="10">
        <f>C65+C128</f>
        <v>91132</v>
      </c>
      <c r="D67" s="10">
        <f>D65+D128</f>
        <v>129768</v>
      </c>
      <c r="E67" s="15">
        <f>SUM(B67:D67)</f>
        <v>347470</v>
      </c>
      <c r="F67" s="10">
        <f>F65+F128</f>
        <v>153447</v>
      </c>
      <c r="G67" s="10">
        <f>G65+G128</f>
        <v>170260</v>
      </c>
      <c r="H67" s="10">
        <f>H65+H128</f>
        <v>171866</v>
      </c>
      <c r="I67" s="15">
        <f>SUM(F67:H67)</f>
        <v>495573</v>
      </c>
      <c r="J67" s="10">
        <f>J65+J128</f>
        <v>53812</v>
      </c>
      <c r="K67" s="10">
        <f>K65+K128</f>
        <v>87485</v>
      </c>
      <c r="L67" s="10">
        <f>L65+L128</f>
        <v>168056</v>
      </c>
      <c r="M67" s="15">
        <f>SUM(J67:L67)</f>
        <v>309353</v>
      </c>
      <c r="N67" s="10">
        <f>N65+N128</f>
        <v>164946</v>
      </c>
      <c r="O67" s="10">
        <f>O65+O128</f>
        <v>151403</v>
      </c>
      <c r="P67" s="10">
        <f>P65+P128</f>
        <v>189328</v>
      </c>
      <c r="Q67" s="29">
        <f>SUM(N67:P67)</f>
        <v>505677</v>
      </c>
      <c r="R67" s="15">
        <f>+E67+I67+M67+Q67</f>
        <v>1658073</v>
      </c>
    </row>
    <row r="68" spans="1:18" ht="15.75" customHeight="1" thickBot="1" x14ac:dyDescent="0.35">
      <c r="A68" s="237" t="s">
        <v>1970</v>
      </c>
      <c r="B68" s="294">
        <f>(B67/31)/1.983</f>
        <v>2058.9527109462692</v>
      </c>
      <c r="C68" s="294">
        <f>(C67/28)/1.983</f>
        <v>1641.3082630934371</v>
      </c>
      <c r="D68" s="294">
        <f>(D67/31)/1.983</f>
        <v>2110.9755502415692</v>
      </c>
      <c r="E68" s="16"/>
      <c r="F68" s="294">
        <f>(F67/30)/1.983</f>
        <v>2579.374684820978</v>
      </c>
      <c r="G68" s="294">
        <f>(G67/31)/1.983</f>
        <v>2769.6712377791873</v>
      </c>
      <c r="H68" s="294">
        <f>(H67/30)/1.983</f>
        <v>2888.9897461758278</v>
      </c>
      <c r="I68" s="16"/>
      <c r="J68" s="294">
        <f>(J67/31)/1.983</f>
        <v>875.37618141297799</v>
      </c>
      <c r="K68" s="294">
        <f>(K67/31)/1.983</f>
        <v>1423.1451206220615</v>
      </c>
      <c r="L68" s="294">
        <f>(L67/30)/1.983</f>
        <v>2824.9453689695747</v>
      </c>
      <c r="M68" s="16"/>
      <c r="N68" s="294">
        <f>(N67/31)/1.983</f>
        <v>2683.2267824898736</v>
      </c>
      <c r="O68" s="294">
        <f>(O67/30)/1.983</f>
        <v>2545.0159690704318</v>
      </c>
      <c r="P68" s="294">
        <f>(P67/31)/1.983</f>
        <v>3079.85619702959</v>
      </c>
      <c r="Q68" s="30"/>
      <c r="R68" s="23" t="s">
        <v>852</v>
      </c>
    </row>
    <row r="69" spans="1:18" ht="15.75" customHeight="1" x14ac:dyDescent="0.3">
      <c r="A69" s="17"/>
      <c r="B69" s="10"/>
      <c r="C69" s="10"/>
      <c r="D69" s="10"/>
      <c r="E69" s="10"/>
      <c r="F69" s="10"/>
      <c r="G69" s="10"/>
      <c r="H69" s="10"/>
      <c r="I69" s="10"/>
      <c r="J69" s="10"/>
      <c r="K69" s="10"/>
      <c r="L69" s="10"/>
      <c r="M69" s="10"/>
      <c r="N69" s="10"/>
      <c r="O69" s="10"/>
      <c r="P69" s="10"/>
      <c r="Q69" s="10"/>
      <c r="R69" s="17"/>
    </row>
    <row r="70" spans="1:18" ht="15.75" customHeight="1" thickBot="1" x14ac:dyDescent="0.35">
      <c r="A70" s="17"/>
      <c r="B70" s="10"/>
      <c r="C70" s="10"/>
      <c r="D70" s="10"/>
      <c r="E70" s="10"/>
      <c r="F70" s="10"/>
      <c r="G70" s="10"/>
      <c r="H70" s="10"/>
      <c r="I70" s="10"/>
      <c r="J70" s="10"/>
      <c r="K70" s="10"/>
      <c r="L70" s="10"/>
      <c r="M70" s="10"/>
      <c r="N70" s="10"/>
      <c r="O70" s="10"/>
      <c r="P70" s="10"/>
      <c r="Q70" s="10"/>
      <c r="R70" s="17"/>
    </row>
    <row r="71" spans="1:18" ht="15.75" customHeight="1" thickBot="1" x14ac:dyDescent="0.35">
      <c r="A71" s="240" t="s">
        <v>603</v>
      </c>
      <c r="B71" s="4" t="s">
        <v>2090</v>
      </c>
      <c r="C71" s="5" t="s">
        <v>2091</v>
      </c>
      <c r="D71" s="5" t="s">
        <v>2234</v>
      </c>
      <c r="E71" s="33" t="s">
        <v>1594</v>
      </c>
      <c r="F71" s="5" t="s">
        <v>2235</v>
      </c>
      <c r="G71" s="5" t="s">
        <v>2236</v>
      </c>
      <c r="H71" s="5" t="s">
        <v>2237</v>
      </c>
      <c r="I71" s="35" t="s">
        <v>1595</v>
      </c>
      <c r="J71" s="5" t="s">
        <v>1504</v>
      </c>
      <c r="K71" s="5" t="s">
        <v>1505</v>
      </c>
      <c r="L71" s="5" t="s">
        <v>1506</v>
      </c>
      <c r="M71" s="35" t="s">
        <v>1596</v>
      </c>
      <c r="N71" s="5" t="s">
        <v>1507</v>
      </c>
      <c r="O71" s="5" t="s">
        <v>1508</v>
      </c>
      <c r="P71" s="5" t="s">
        <v>1509</v>
      </c>
      <c r="Q71" s="35" t="s">
        <v>1597</v>
      </c>
      <c r="R71" s="36" t="s">
        <v>1510</v>
      </c>
    </row>
    <row r="72" spans="1:18" ht="15.75" customHeight="1" thickBot="1" x14ac:dyDescent="0.35">
      <c r="A72" s="252"/>
      <c r="B72" s="306"/>
      <c r="C72" s="307"/>
      <c r="D72" s="307"/>
      <c r="E72" s="308"/>
      <c r="F72" s="307"/>
      <c r="G72" s="307"/>
      <c r="H72" s="307"/>
      <c r="I72" s="308"/>
      <c r="J72" s="307"/>
      <c r="K72" s="307"/>
      <c r="L72" s="307"/>
      <c r="M72" s="308"/>
      <c r="N72" s="307"/>
      <c r="O72" s="307"/>
      <c r="P72" s="309"/>
      <c r="Q72" s="308"/>
      <c r="R72" s="37"/>
    </row>
    <row r="73" spans="1:18" ht="15.75" customHeight="1" x14ac:dyDescent="0.3">
      <c r="A73" s="247" t="s">
        <v>2417</v>
      </c>
      <c r="B73" s="18"/>
      <c r="C73" s="18"/>
      <c r="D73" s="18"/>
      <c r="E73" s="38" t="s">
        <v>852</v>
      </c>
      <c r="F73" s="18"/>
      <c r="G73" s="18"/>
      <c r="H73" s="18"/>
      <c r="I73" s="38" t="s">
        <v>852</v>
      </c>
      <c r="J73" s="18"/>
      <c r="K73" s="18"/>
      <c r="L73" s="18"/>
      <c r="M73" s="38" t="s">
        <v>852</v>
      </c>
      <c r="N73" s="18"/>
      <c r="O73" s="18"/>
      <c r="P73" s="18"/>
      <c r="Q73" s="38" t="s">
        <v>852</v>
      </c>
      <c r="R73" s="38" t="s">
        <v>852</v>
      </c>
    </row>
    <row r="74" spans="1:18" ht="15.75" customHeight="1" x14ac:dyDescent="0.3">
      <c r="A74" s="235" t="s">
        <v>2160</v>
      </c>
      <c r="B74" s="18"/>
      <c r="C74" s="248"/>
      <c r="D74" s="248"/>
      <c r="E74" s="38" t="s">
        <v>852</v>
      </c>
      <c r="F74" s="248"/>
      <c r="G74" s="248"/>
      <c r="H74" s="248"/>
      <c r="I74" s="38" t="s">
        <v>852</v>
      </c>
      <c r="J74" s="248"/>
      <c r="K74" s="248"/>
      <c r="L74" s="248"/>
      <c r="M74" s="38" t="s">
        <v>852</v>
      </c>
      <c r="N74" s="248"/>
      <c r="O74" s="248"/>
      <c r="P74" s="248"/>
      <c r="Q74" s="38" t="s">
        <v>852</v>
      </c>
      <c r="R74" s="38" t="s">
        <v>852</v>
      </c>
    </row>
    <row r="75" spans="1:18" ht="15.75" customHeight="1" x14ac:dyDescent="0.3">
      <c r="A75" s="310" t="s">
        <v>2060</v>
      </c>
      <c r="B75" s="172">
        <v>0</v>
      </c>
      <c r="C75" s="172">
        <v>0</v>
      </c>
      <c r="D75" s="172">
        <v>0</v>
      </c>
      <c r="E75" s="38">
        <f>SUM(B75:D75)</f>
        <v>0</v>
      </c>
      <c r="F75" s="172">
        <v>0</v>
      </c>
      <c r="G75" s="172">
        <v>0</v>
      </c>
      <c r="H75" s="172">
        <v>0</v>
      </c>
      <c r="I75" s="38">
        <f>SUM(F75:H75)</f>
        <v>0</v>
      </c>
      <c r="J75" s="172">
        <v>0</v>
      </c>
      <c r="K75" s="172">
        <v>0</v>
      </c>
      <c r="L75" s="172">
        <v>0</v>
      </c>
      <c r="M75" s="38">
        <f>SUM(J75:L75)</f>
        <v>0</v>
      </c>
      <c r="N75" s="172">
        <v>0</v>
      </c>
      <c r="O75" s="172">
        <v>0</v>
      </c>
      <c r="P75" s="172">
        <v>0</v>
      </c>
      <c r="Q75" s="38">
        <f>SUM(N75:P75)</f>
        <v>0</v>
      </c>
      <c r="R75" s="38">
        <f>+E75+I75+M75+Q75</f>
        <v>0</v>
      </c>
    </row>
    <row r="76" spans="1:18" ht="15.75" customHeight="1" x14ac:dyDescent="0.3">
      <c r="A76" s="310" t="s">
        <v>2262</v>
      </c>
      <c r="B76" s="10">
        <v>0</v>
      </c>
      <c r="C76" s="10">
        <v>0</v>
      </c>
      <c r="D76" s="10">
        <v>0</v>
      </c>
      <c r="E76" s="38">
        <f>SUM(B76:D76)</f>
        <v>0</v>
      </c>
      <c r="F76" s="10">
        <v>0</v>
      </c>
      <c r="G76" s="10">
        <v>0</v>
      </c>
      <c r="H76" s="10">
        <v>0</v>
      </c>
      <c r="I76" s="38">
        <f>SUM(F76:H76)</f>
        <v>0</v>
      </c>
      <c r="J76" s="10">
        <v>0</v>
      </c>
      <c r="K76" s="10">
        <v>0</v>
      </c>
      <c r="L76" s="10">
        <v>0</v>
      </c>
      <c r="M76" s="38">
        <f>SUM(J76:L76)</f>
        <v>0</v>
      </c>
      <c r="N76" s="10">
        <v>0</v>
      </c>
      <c r="O76" s="10">
        <v>0</v>
      </c>
      <c r="P76" s="10">
        <v>0</v>
      </c>
      <c r="Q76" s="38">
        <f>SUM(N76:P76)</f>
        <v>0</v>
      </c>
      <c r="R76" s="38">
        <f>+E76+I76+M76+Q76</f>
        <v>0</v>
      </c>
    </row>
    <row r="77" spans="1:18" ht="15.75" customHeight="1" x14ac:dyDescent="0.3">
      <c r="A77" s="310" t="s">
        <v>789</v>
      </c>
      <c r="B77" s="10">
        <v>0</v>
      </c>
      <c r="C77" s="10">
        <v>0</v>
      </c>
      <c r="D77" s="10">
        <v>0</v>
      </c>
      <c r="E77" s="38">
        <f>SUM(B77:D77)</f>
        <v>0</v>
      </c>
      <c r="F77" s="10">
        <v>0</v>
      </c>
      <c r="G77" s="10">
        <v>0</v>
      </c>
      <c r="H77" s="10">
        <v>0</v>
      </c>
      <c r="I77" s="38">
        <f>SUM(F77:H77)</f>
        <v>0</v>
      </c>
      <c r="J77" s="10">
        <v>0</v>
      </c>
      <c r="K77" s="10">
        <v>0</v>
      </c>
      <c r="L77" s="10">
        <v>508</v>
      </c>
      <c r="M77" s="38">
        <f>SUM(J77:L77)</f>
        <v>508</v>
      </c>
      <c r="N77" s="10">
        <v>0</v>
      </c>
      <c r="O77" s="10">
        <v>0</v>
      </c>
      <c r="P77" s="10">
        <v>0</v>
      </c>
      <c r="Q77" s="38">
        <f>SUM(N77:P77)</f>
        <v>0</v>
      </c>
      <c r="R77" s="38">
        <f>+E77+I77+M77+Q77</f>
        <v>508</v>
      </c>
    </row>
    <row r="78" spans="1:18" ht="15.75" customHeight="1" x14ac:dyDescent="0.3">
      <c r="A78" s="539" t="s">
        <v>2183</v>
      </c>
      <c r="B78" s="172">
        <v>0</v>
      </c>
      <c r="C78" s="172">
        <v>0</v>
      </c>
      <c r="D78" s="172">
        <v>0</v>
      </c>
      <c r="E78" s="38">
        <f>SUM(B78:D78)</f>
        <v>0</v>
      </c>
      <c r="F78" s="172">
        <v>0</v>
      </c>
      <c r="G78" s="172">
        <v>0</v>
      </c>
      <c r="H78" s="172">
        <v>0</v>
      </c>
      <c r="I78" s="38">
        <f>SUM(F78:H78)</f>
        <v>0</v>
      </c>
      <c r="J78" s="172">
        <v>0</v>
      </c>
      <c r="K78" s="172">
        <v>0</v>
      </c>
      <c r="L78" s="172">
        <v>0</v>
      </c>
      <c r="M78" s="38">
        <f>SUM(J78:L78)</f>
        <v>0</v>
      </c>
      <c r="N78" s="172">
        <v>0</v>
      </c>
      <c r="O78" s="172">
        <v>130</v>
      </c>
      <c r="P78" s="172">
        <v>0</v>
      </c>
      <c r="Q78" s="38">
        <f>SUM(N78:P78)</f>
        <v>130</v>
      </c>
      <c r="R78" s="38">
        <f>+E78+I78+M78+Q78</f>
        <v>130</v>
      </c>
    </row>
    <row r="79" spans="1:18" ht="15.75" customHeight="1" x14ac:dyDescent="0.3">
      <c r="A79" s="311" t="s">
        <v>86</v>
      </c>
      <c r="B79" s="10">
        <v>0</v>
      </c>
      <c r="C79" s="10">
        <v>0</v>
      </c>
      <c r="D79" s="10">
        <v>0</v>
      </c>
      <c r="E79" s="38">
        <f>SUM(B79:D79)</f>
        <v>0</v>
      </c>
      <c r="F79" s="10">
        <v>0</v>
      </c>
      <c r="G79" s="10">
        <v>0</v>
      </c>
      <c r="H79" s="10">
        <v>0</v>
      </c>
      <c r="I79" s="38">
        <f>SUM(F79:H79)</f>
        <v>0</v>
      </c>
      <c r="J79" s="10">
        <v>0</v>
      </c>
      <c r="K79" s="10">
        <v>0</v>
      </c>
      <c r="L79" s="10">
        <v>0</v>
      </c>
      <c r="M79" s="38">
        <f>SUM(J79:L79)</f>
        <v>0</v>
      </c>
      <c r="N79" s="10">
        <v>0</v>
      </c>
      <c r="O79" s="10">
        <v>0</v>
      </c>
      <c r="P79" s="10">
        <v>0</v>
      </c>
      <c r="Q79" s="38">
        <f>SUM(N79:P79)</f>
        <v>0</v>
      </c>
      <c r="R79" s="38">
        <f>+E79+I79+M79+Q79</f>
        <v>0</v>
      </c>
    </row>
    <row r="80" spans="1:18" ht="15.75" customHeight="1" x14ac:dyDescent="0.3">
      <c r="A80" s="235" t="s">
        <v>2161</v>
      </c>
      <c r="B80" s="18"/>
      <c r="C80" s="18"/>
      <c r="D80" s="18"/>
      <c r="E80" s="38" t="s">
        <v>852</v>
      </c>
      <c r="F80" s="18"/>
      <c r="G80" s="18"/>
      <c r="H80" s="18"/>
      <c r="I80" s="38" t="s">
        <v>852</v>
      </c>
      <c r="J80" s="18"/>
      <c r="K80" s="18"/>
      <c r="L80" s="18"/>
      <c r="M80" s="38" t="s">
        <v>852</v>
      </c>
      <c r="N80" s="18"/>
      <c r="O80" s="18"/>
      <c r="P80" s="18"/>
      <c r="Q80" s="38" t="s">
        <v>852</v>
      </c>
      <c r="R80" s="38" t="s">
        <v>852</v>
      </c>
    </row>
    <row r="81" spans="1:18" ht="15.75" customHeight="1" x14ac:dyDescent="0.3">
      <c r="A81" s="256" t="s">
        <v>701</v>
      </c>
      <c r="B81" s="172">
        <v>0</v>
      </c>
      <c r="C81" s="172">
        <v>0</v>
      </c>
      <c r="D81" s="172">
        <v>0</v>
      </c>
      <c r="E81" s="38">
        <f>SUM(B81:D81)</f>
        <v>0</v>
      </c>
      <c r="F81" s="172">
        <v>0</v>
      </c>
      <c r="G81" s="172">
        <v>0</v>
      </c>
      <c r="H81" s="172">
        <v>0</v>
      </c>
      <c r="I81" s="38">
        <f>SUM(F81:H81)</f>
        <v>0</v>
      </c>
      <c r="J81" s="172">
        <v>0</v>
      </c>
      <c r="K81" s="172">
        <v>0</v>
      </c>
      <c r="L81" s="172">
        <v>0</v>
      </c>
      <c r="M81" s="38">
        <f>SUM(J81:L81)</f>
        <v>0</v>
      </c>
      <c r="N81" s="172">
        <v>0</v>
      </c>
      <c r="O81" s="172">
        <v>0</v>
      </c>
      <c r="P81" s="172">
        <v>500</v>
      </c>
      <c r="Q81" s="38">
        <f>SUM(N81:P81)</f>
        <v>500</v>
      </c>
      <c r="R81" s="38">
        <f>+E81+I81+M81+Q81</f>
        <v>500</v>
      </c>
    </row>
    <row r="82" spans="1:18" ht="15.75" customHeight="1" x14ac:dyDescent="0.3">
      <c r="A82" s="256" t="s">
        <v>2419</v>
      </c>
      <c r="B82" s="172">
        <v>0</v>
      </c>
      <c r="C82" s="172">
        <v>0</v>
      </c>
      <c r="D82" s="172">
        <v>0</v>
      </c>
      <c r="E82" s="38">
        <f>SUM(B82:D82)</f>
        <v>0</v>
      </c>
      <c r="F82" s="172">
        <v>0</v>
      </c>
      <c r="G82" s="172">
        <v>0</v>
      </c>
      <c r="H82" s="172">
        <v>0</v>
      </c>
      <c r="I82" s="38">
        <f>SUM(F82:H82)</f>
        <v>0</v>
      </c>
      <c r="J82" s="172">
        <v>143</v>
      </c>
      <c r="K82" s="172">
        <v>248</v>
      </c>
      <c r="L82" s="172">
        <v>53</v>
      </c>
      <c r="M82" s="38">
        <f>SUM(J82:L82)</f>
        <v>444</v>
      </c>
      <c r="N82" s="172">
        <v>67</v>
      </c>
      <c r="O82" s="172">
        <v>0</v>
      </c>
      <c r="P82" s="172">
        <v>0</v>
      </c>
      <c r="Q82" s="38">
        <f>SUM(N82:P82)</f>
        <v>67</v>
      </c>
      <c r="R82" s="38">
        <f>+E82+I82+M82+Q82</f>
        <v>511</v>
      </c>
    </row>
    <row r="83" spans="1:18" ht="15.75" customHeight="1" x14ac:dyDescent="0.3">
      <c r="A83" s="311" t="s">
        <v>230</v>
      </c>
      <c r="B83" s="172">
        <v>0</v>
      </c>
      <c r="C83" s="172">
        <v>0</v>
      </c>
      <c r="D83" s="172">
        <v>0</v>
      </c>
      <c r="E83" s="38">
        <f>SUM(B83:D83)</f>
        <v>0</v>
      </c>
      <c r="F83" s="172">
        <v>0</v>
      </c>
      <c r="G83" s="172">
        <v>0</v>
      </c>
      <c r="H83" s="172">
        <v>0</v>
      </c>
      <c r="I83" s="38">
        <f>SUM(F83:H83)</f>
        <v>0</v>
      </c>
      <c r="J83" s="172">
        <v>4</v>
      </c>
      <c r="K83" s="172">
        <v>85</v>
      </c>
      <c r="L83" s="172">
        <v>48</v>
      </c>
      <c r="M83" s="38">
        <f>SUM(J83:L83)</f>
        <v>137</v>
      </c>
      <c r="N83" s="172">
        <v>0</v>
      </c>
      <c r="O83" s="172">
        <v>0</v>
      </c>
      <c r="P83" s="172">
        <v>45</v>
      </c>
      <c r="Q83" s="38">
        <f>SUM(N83:P83)</f>
        <v>45</v>
      </c>
      <c r="R83" s="38">
        <f>+E83+I83+M83+Q83</f>
        <v>182</v>
      </c>
    </row>
    <row r="84" spans="1:18" ht="15.75" customHeight="1" x14ac:dyDescent="0.3">
      <c r="A84" s="235" t="s">
        <v>2162</v>
      </c>
      <c r="B84" s="18"/>
      <c r="C84" s="18"/>
      <c r="D84" s="18"/>
      <c r="E84" s="38" t="s">
        <v>1598</v>
      </c>
      <c r="F84" s="18"/>
      <c r="G84" s="18"/>
      <c r="H84" s="18"/>
      <c r="I84" s="38" t="s">
        <v>1598</v>
      </c>
      <c r="J84" s="18"/>
      <c r="K84" s="18"/>
      <c r="L84" s="18"/>
      <c r="M84" s="38" t="s">
        <v>1598</v>
      </c>
      <c r="N84" s="18"/>
      <c r="O84" s="18"/>
      <c r="P84" s="18"/>
      <c r="Q84" s="38" t="s">
        <v>1598</v>
      </c>
      <c r="R84" s="38" t="s">
        <v>1598</v>
      </c>
    </row>
    <row r="85" spans="1:18" ht="15.75" customHeight="1" x14ac:dyDescent="0.3">
      <c r="A85" s="311" t="s">
        <v>430</v>
      </c>
      <c r="B85" s="10">
        <v>0</v>
      </c>
      <c r="C85" s="10">
        <v>0</v>
      </c>
      <c r="D85" s="10">
        <v>0</v>
      </c>
      <c r="E85" s="38">
        <f>SUM(B85:D85)</f>
        <v>0</v>
      </c>
      <c r="F85" s="10">
        <v>0</v>
      </c>
      <c r="G85" s="10">
        <v>0</v>
      </c>
      <c r="H85" s="10">
        <v>0</v>
      </c>
      <c r="I85" s="38">
        <f>SUM(F85:H85)</f>
        <v>0</v>
      </c>
      <c r="J85" s="10">
        <v>1307</v>
      </c>
      <c r="K85" s="10">
        <v>0</v>
      </c>
      <c r="L85" s="10">
        <v>0</v>
      </c>
      <c r="M85" s="38">
        <f>SUM(J85:L85)</f>
        <v>1307</v>
      </c>
      <c r="N85" s="10">
        <v>0</v>
      </c>
      <c r="O85" s="10">
        <v>0</v>
      </c>
      <c r="P85" s="10">
        <v>0</v>
      </c>
      <c r="Q85" s="38">
        <f>SUM(N85:P85)</f>
        <v>0</v>
      </c>
      <c r="R85" s="38">
        <f>+E85+I85+M85+Q85</f>
        <v>1307</v>
      </c>
    </row>
    <row r="86" spans="1:18" ht="15.75" customHeight="1" x14ac:dyDescent="0.3">
      <c r="A86" s="303" t="s">
        <v>702</v>
      </c>
      <c r="B86" s="10">
        <v>209</v>
      </c>
      <c r="C86" s="10">
        <v>94</v>
      </c>
      <c r="D86" s="10">
        <v>0</v>
      </c>
      <c r="E86" s="38">
        <f>SUM(B86:D86)</f>
        <v>303</v>
      </c>
      <c r="F86" s="10">
        <v>608</v>
      </c>
      <c r="G86" s="10">
        <v>1887</v>
      </c>
      <c r="H86" s="10">
        <v>858</v>
      </c>
      <c r="I86" s="38">
        <f>SUM(F86:H86)</f>
        <v>3353</v>
      </c>
      <c r="J86" s="10">
        <v>144</v>
      </c>
      <c r="K86" s="10">
        <v>0</v>
      </c>
      <c r="L86" s="10">
        <v>0</v>
      </c>
      <c r="M86" s="38">
        <f>SUM(J86:L86)</f>
        <v>144</v>
      </c>
      <c r="N86" s="10">
        <v>0</v>
      </c>
      <c r="O86" s="10">
        <v>0</v>
      </c>
      <c r="P86" s="10">
        <v>0</v>
      </c>
      <c r="Q86" s="38">
        <f>SUM(N86:P86)</f>
        <v>0</v>
      </c>
      <c r="R86" s="38">
        <f>+E86+I86+M86+Q86</f>
        <v>3800</v>
      </c>
    </row>
    <row r="87" spans="1:18" ht="15.75" customHeight="1" thickBot="1" x14ac:dyDescent="0.35">
      <c r="A87" s="235" t="s">
        <v>2164</v>
      </c>
      <c r="B87" s="248"/>
      <c r="C87" s="248"/>
      <c r="D87" s="248"/>
      <c r="E87" s="38" t="s">
        <v>852</v>
      </c>
      <c r="F87" s="248"/>
      <c r="G87" s="248"/>
      <c r="H87" s="248"/>
      <c r="I87" s="38" t="s">
        <v>852</v>
      </c>
      <c r="J87" s="248"/>
      <c r="K87" s="248"/>
      <c r="L87" s="248"/>
      <c r="M87" s="38" t="s">
        <v>852</v>
      </c>
      <c r="N87" s="248"/>
      <c r="O87" s="248"/>
      <c r="P87" s="248"/>
      <c r="Q87" s="38" t="s">
        <v>852</v>
      </c>
      <c r="R87" s="38" t="s">
        <v>852</v>
      </c>
    </row>
    <row r="88" spans="1:18" ht="15.75" customHeight="1" thickBot="1" x14ac:dyDescent="0.35">
      <c r="A88" s="43" t="s">
        <v>1218</v>
      </c>
      <c r="B88" s="42">
        <f>SUM(B73:B87)</f>
        <v>209</v>
      </c>
      <c r="C88" s="42">
        <f>SUM(C73:C87)</f>
        <v>94</v>
      </c>
      <c r="D88" s="42">
        <f>SUM(D73:D87)</f>
        <v>0</v>
      </c>
      <c r="E88" s="37">
        <f>SUM(B88:D88)</f>
        <v>303</v>
      </c>
      <c r="F88" s="42">
        <f>SUM(F73:F87)</f>
        <v>608</v>
      </c>
      <c r="G88" s="42">
        <f>SUM(G73:G87)</f>
        <v>1887</v>
      </c>
      <c r="H88" s="42">
        <f>SUM(H73:H87)</f>
        <v>858</v>
      </c>
      <c r="I88" s="37">
        <f>SUM(F88:H88)</f>
        <v>3353</v>
      </c>
      <c r="J88" s="42">
        <f>SUM(J73:J87)</f>
        <v>1598</v>
      </c>
      <c r="K88" s="42">
        <f>SUM(K73:K87)</f>
        <v>333</v>
      </c>
      <c r="L88" s="42">
        <f>SUM(L73:L87)</f>
        <v>609</v>
      </c>
      <c r="M88" s="37">
        <f>SUM(J88:L88)</f>
        <v>2540</v>
      </c>
      <c r="N88" s="42">
        <f>SUM(N73:N87)</f>
        <v>67</v>
      </c>
      <c r="O88" s="42">
        <f>SUM(O73:O87)</f>
        <v>130</v>
      </c>
      <c r="P88" s="42">
        <f>SUM(P73:P87)</f>
        <v>545</v>
      </c>
      <c r="Q88" s="37">
        <f>SUM(N88:P88)</f>
        <v>742</v>
      </c>
      <c r="R88" s="37">
        <f>+E88+I88+M88+Q88</f>
        <v>6938</v>
      </c>
    </row>
    <row r="89" spans="1:18" ht="15.75" customHeight="1" x14ac:dyDescent="0.3">
      <c r="A89" s="235" t="s">
        <v>1172</v>
      </c>
      <c r="B89" s="248"/>
      <c r="C89" s="248"/>
      <c r="D89" s="248"/>
      <c r="E89" s="38" t="s">
        <v>852</v>
      </c>
      <c r="F89" s="248"/>
      <c r="G89" s="248"/>
      <c r="H89" s="248"/>
      <c r="I89" s="38" t="s">
        <v>852</v>
      </c>
      <c r="J89" s="248"/>
      <c r="K89" s="248"/>
      <c r="L89" s="248"/>
      <c r="M89" s="38" t="s">
        <v>852</v>
      </c>
      <c r="N89" s="248"/>
      <c r="O89" s="248"/>
      <c r="P89" s="248"/>
      <c r="Q89" s="38" t="s">
        <v>852</v>
      </c>
      <c r="R89" s="39" t="s">
        <v>852</v>
      </c>
    </row>
    <row r="90" spans="1:18" ht="15.75" customHeight="1" x14ac:dyDescent="0.3">
      <c r="A90" s="235" t="s">
        <v>1658</v>
      </c>
      <c r="B90" s="248"/>
      <c r="C90" s="248"/>
      <c r="D90" s="248"/>
      <c r="E90" s="38" t="s">
        <v>852</v>
      </c>
      <c r="F90" s="248"/>
      <c r="G90" s="248"/>
      <c r="H90" s="248"/>
      <c r="I90" s="38" t="s">
        <v>852</v>
      </c>
      <c r="J90" s="248"/>
      <c r="K90" s="248"/>
      <c r="L90" s="248"/>
      <c r="M90" s="38" t="s">
        <v>852</v>
      </c>
      <c r="N90" s="248"/>
      <c r="O90" s="248"/>
      <c r="P90" s="248"/>
      <c r="Q90" s="38" t="s">
        <v>852</v>
      </c>
      <c r="R90" s="38" t="s">
        <v>852</v>
      </c>
    </row>
    <row r="91" spans="1:18" ht="15.75" customHeight="1" x14ac:dyDescent="0.3">
      <c r="A91" s="235" t="s">
        <v>2409</v>
      </c>
      <c r="B91" s="248"/>
      <c r="C91" s="248"/>
      <c r="D91" s="248"/>
      <c r="E91" s="38" t="s">
        <v>852</v>
      </c>
      <c r="F91" s="248"/>
      <c r="G91" s="248"/>
      <c r="H91" s="248"/>
      <c r="I91" s="38" t="s">
        <v>852</v>
      </c>
      <c r="J91" s="248"/>
      <c r="K91" s="248"/>
      <c r="L91" s="248"/>
      <c r="M91" s="38" t="s">
        <v>852</v>
      </c>
      <c r="N91" s="248"/>
      <c r="O91" s="248"/>
      <c r="P91" s="248"/>
      <c r="Q91" s="38" t="s">
        <v>852</v>
      </c>
      <c r="R91" s="38" t="s">
        <v>852</v>
      </c>
    </row>
    <row r="92" spans="1:18" ht="15.75" customHeight="1" x14ac:dyDescent="0.3">
      <c r="A92" s="311" t="s">
        <v>701</v>
      </c>
      <c r="B92" s="10">
        <v>186</v>
      </c>
      <c r="C92" s="10">
        <v>276</v>
      </c>
      <c r="D92" s="10">
        <v>1981</v>
      </c>
      <c r="E92" s="38">
        <f>SUM(B92:D92)</f>
        <v>2443</v>
      </c>
      <c r="F92" s="10">
        <v>3592</v>
      </c>
      <c r="G92" s="10">
        <v>5116</v>
      </c>
      <c r="H92" s="10">
        <v>5527</v>
      </c>
      <c r="I92" s="38">
        <f>SUM(F92:H92)</f>
        <v>14235</v>
      </c>
      <c r="J92" s="10">
        <v>8649</v>
      </c>
      <c r="K92" s="10">
        <v>7339</v>
      </c>
      <c r="L92" s="10">
        <v>7941</v>
      </c>
      <c r="M92" s="38">
        <f>SUM(J92:L92)</f>
        <v>23929</v>
      </c>
      <c r="N92" s="10">
        <v>4051</v>
      </c>
      <c r="O92" s="10">
        <v>2909</v>
      </c>
      <c r="P92" s="10">
        <v>5252</v>
      </c>
      <c r="Q92" s="38">
        <f>SUM(N92:P92)</f>
        <v>12212</v>
      </c>
      <c r="R92" s="38">
        <f>+E92+I92+M92+Q92</f>
        <v>52819</v>
      </c>
    </row>
    <row r="93" spans="1:18" ht="15.75" customHeight="1" x14ac:dyDescent="0.3">
      <c r="A93" s="311" t="s">
        <v>702</v>
      </c>
      <c r="B93" s="10">
        <v>0</v>
      </c>
      <c r="C93" s="10">
        <v>0</v>
      </c>
      <c r="D93" s="10">
        <v>834</v>
      </c>
      <c r="E93" s="38">
        <f>SUM(B93:D93)</f>
        <v>834</v>
      </c>
      <c r="F93" s="10">
        <v>1166</v>
      </c>
      <c r="G93" s="10">
        <v>0</v>
      </c>
      <c r="H93" s="10">
        <v>1000</v>
      </c>
      <c r="I93" s="38">
        <f>SUM(F93:H93)</f>
        <v>2166</v>
      </c>
      <c r="J93" s="10">
        <v>460</v>
      </c>
      <c r="K93" s="10">
        <v>0</v>
      </c>
      <c r="L93" s="10">
        <v>0</v>
      </c>
      <c r="M93" s="38">
        <f>SUM(J93:L93)</f>
        <v>460</v>
      </c>
      <c r="N93" s="10">
        <v>0</v>
      </c>
      <c r="O93" s="10">
        <v>0</v>
      </c>
      <c r="P93" s="10">
        <v>0</v>
      </c>
      <c r="Q93" s="38">
        <f>SUM(N93:P93)</f>
        <v>0</v>
      </c>
      <c r="R93" s="38">
        <f>+E93+I93+M93+Q93</f>
        <v>3460</v>
      </c>
    </row>
    <row r="94" spans="1:18" ht="15.75" customHeight="1" thickBot="1" x14ac:dyDescent="0.35">
      <c r="A94" s="235" t="s">
        <v>2165</v>
      </c>
      <c r="B94" s="248"/>
      <c r="C94" s="248"/>
      <c r="D94" s="248"/>
      <c r="E94" s="38" t="s">
        <v>852</v>
      </c>
      <c r="F94" s="248"/>
      <c r="G94" s="248"/>
      <c r="H94" s="248"/>
      <c r="I94" s="38" t="s">
        <v>852</v>
      </c>
      <c r="J94" s="248"/>
      <c r="K94" s="248"/>
      <c r="L94" s="248"/>
      <c r="M94" s="38" t="s">
        <v>852</v>
      </c>
      <c r="N94" s="248"/>
      <c r="O94" s="248"/>
      <c r="P94" s="248"/>
      <c r="Q94" s="38" t="s">
        <v>852</v>
      </c>
      <c r="R94" s="38" t="s">
        <v>852</v>
      </c>
    </row>
    <row r="95" spans="1:18" ht="15.75" customHeight="1" thickBot="1" x14ac:dyDescent="0.35">
      <c r="A95" s="43" t="s">
        <v>1219</v>
      </c>
      <c r="B95" s="42">
        <f>SUM(B89:B94)</f>
        <v>186</v>
      </c>
      <c r="C95" s="42">
        <f>SUM(C89:C94)</f>
        <v>276</v>
      </c>
      <c r="D95" s="42">
        <f>SUM(D89:D94)</f>
        <v>2815</v>
      </c>
      <c r="E95" s="37">
        <f>SUM(B95:D95)</f>
        <v>3277</v>
      </c>
      <c r="F95" s="42">
        <f>SUM(F89:F94)</f>
        <v>4758</v>
      </c>
      <c r="G95" s="42">
        <f>SUM(G89:G94)</f>
        <v>5116</v>
      </c>
      <c r="H95" s="42">
        <f>SUM(H89:H94)</f>
        <v>6527</v>
      </c>
      <c r="I95" s="37">
        <f>SUM(F95:H95)</f>
        <v>16401</v>
      </c>
      <c r="J95" s="42">
        <f>SUM(J89:J94)</f>
        <v>9109</v>
      </c>
      <c r="K95" s="42">
        <f>SUM(K89:K94)</f>
        <v>7339</v>
      </c>
      <c r="L95" s="42">
        <f>SUM(L89:L94)</f>
        <v>7941</v>
      </c>
      <c r="M95" s="37">
        <f>SUM(J95:L95)</f>
        <v>24389</v>
      </c>
      <c r="N95" s="42">
        <f>SUM(N89:N94)</f>
        <v>4051</v>
      </c>
      <c r="O95" s="42">
        <f>SUM(O89:O94)</f>
        <v>2909</v>
      </c>
      <c r="P95" s="42">
        <f>SUM(P89:P94)</f>
        <v>5252</v>
      </c>
      <c r="Q95" s="37">
        <f>SUM(N95:P95)</f>
        <v>12212</v>
      </c>
      <c r="R95" s="37">
        <f>+E95+I95+M95+Q95</f>
        <v>56279</v>
      </c>
    </row>
    <row r="96" spans="1:18" ht="15.75" customHeight="1" x14ac:dyDescent="0.3">
      <c r="A96" s="235" t="s">
        <v>2166</v>
      </c>
      <c r="B96" s="248"/>
      <c r="C96" s="248"/>
      <c r="D96" s="248"/>
      <c r="E96" s="38" t="s">
        <v>852</v>
      </c>
      <c r="F96" s="248"/>
      <c r="G96" s="248"/>
      <c r="H96" s="248"/>
      <c r="I96" s="38" t="s">
        <v>852</v>
      </c>
      <c r="J96" s="248"/>
      <c r="K96" s="248"/>
      <c r="L96" s="248"/>
      <c r="M96" s="38" t="s">
        <v>852</v>
      </c>
      <c r="N96" s="248"/>
      <c r="O96" s="248"/>
      <c r="P96" s="248"/>
      <c r="Q96" s="38" t="s">
        <v>852</v>
      </c>
      <c r="R96" s="38" t="s">
        <v>852</v>
      </c>
    </row>
    <row r="97" spans="1:18" ht="15.75" customHeight="1" x14ac:dyDescent="0.3">
      <c r="A97" s="235" t="s">
        <v>1245</v>
      </c>
      <c r="B97" s="248"/>
      <c r="C97" s="248"/>
      <c r="D97" s="248"/>
      <c r="E97" s="38" t="s">
        <v>852</v>
      </c>
      <c r="F97" s="248"/>
      <c r="G97" s="248"/>
      <c r="H97" s="248"/>
      <c r="I97" s="38" t="s">
        <v>852</v>
      </c>
      <c r="J97" s="248"/>
      <c r="K97" s="248"/>
      <c r="L97" s="248"/>
      <c r="M97" s="38" t="s">
        <v>852</v>
      </c>
      <c r="N97" s="248"/>
      <c r="O97" s="248"/>
      <c r="P97" s="248"/>
      <c r="Q97" s="38" t="s">
        <v>852</v>
      </c>
      <c r="R97" s="38" t="s">
        <v>852</v>
      </c>
    </row>
    <row r="98" spans="1:18" ht="15.75" customHeight="1" x14ac:dyDescent="0.3">
      <c r="A98" s="235" t="s">
        <v>1711</v>
      </c>
      <c r="B98" s="248"/>
      <c r="C98" s="248"/>
      <c r="D98" s="248"/>
      <c r="E98" s="38"/>
      <c r="F98" s="248"/>
      <c r="G98" s="248"/>
      <c r="H98" s="248"/>
      <c r="I98" s="38"/>
      <c r="J98" s="248"/>
      <c r="K98" s="248"/>
      <c r="L98" s="248"/>
      <c r="M98" s="38"/>
      <c r="N98" s="248"/>
      <c r="O98" s="248"/>
      <c r="P98" s="248"/>
      <c r="Q98" s="38"/>
      <c r="R98" s="38"/>
    </row>
    <row r="99" spans="1:18" ht="15.75" customHeight="1" x14ac:dyDescent="0.3">
      <c r="A99" s="311" t="s">
        <v>1584</v>
      </c>
      <c r="B99" s="10">
        <v>0</v>
      </c>
      <c r="C99" s="10">
        <v>0</v>
      </c>
      <c r="D99" s="10">
        <v>0</v>
      </c>
      <c r="E99" s="38">
        <f>SUM(B99:D99)</f>
        <v>0</v>
      </c>
      <c r="F99" s="10">
        <v>0</v>
      </c>
      <c r="G99" s="10">
        <v>0</v>
      </c>
      <c r="H99" s="10">
        <v>0</v>
      </c>
      <c r="I99" s="38">
        <f>SUM(F99:H99)</f>
        <v>0</v>
      </c>
      <c r="J99" s="10">
        <v>0</v>
      </c>
      <c r="K99" s="10">
        <v>0</v>
      </c>
      <c r="L99" s="10">
        <v>0</v>
      </c>
      <c r="M99" s="38">
        <f>SUM(J99:L99)</f>
        <v>0</v>
      </c>
      <c r="N99" s="10">
        <v>0</v>
      </c>
      <c r="O99" s="10">
        <v>0</v>
      </c>
      <c r="P99" s="10">
        <v>0</v>
      </c>
      <c r="Q99" s="38">
        <f>SUM(N99:P99)</f>
        <v>0</v>
      </c>
      <c r="R99" s="38">
        <f>+E99+I99+M99+Q99</f>
        <v>0</v>
      </c>
    </row>
    <row r="100" spans="1:18" ht="15.75" customHeight="1" x14ac:dyDescent="0.3">
      <c r="A100" s="311" t="s">
        <v>1977</v>
      </c>
      <c r="B100" s="10">
        <v>0</v>
      </c>
      <c r="C100" s="10">
        <v>0</v>
      </c>
      <c r="D100" s="10">
        <v>0</v>
      </c>
      <c r="E100" s="38">
        <f>SUM(B100:D100)</f>
        <v>0</v>
      </c>
      <c r="F100" s="10">
        <v>0</v>
      </c>
      <c r="G100" s="10">
        <v>0</v>
      </c>
      <c r="H100" s="10">
        <v>0</v>
      </c>
      <c r="I100" s="38">
        <f>SUM(F100:H100)</f>
        <v>0</v>
      </c>
      <c r="J100" s="10">
        <v>0</v>
      </c>
      <c r="K100" s="10">
        <v>0</v>
      </c>
      <c r="L100" s="10">
        <v>0</v>
      </c>
      <c r="M100" s="38">
        <f>SUM(J100:L100)</f>
        <v>0</v>
      </c>
      <c r="N100" s="10">
        <v>0</v>
      </c>
      <c r="O100" s="10">
        <v>79</v>
      </c>
      <c r="P100" s="10">
        <v>0</v>
      </c>
      <c r="Q100" s="38">
        <f>SUM(N100:P100)</f>
        <v>79</v>
      </c>
      <c r="R100" s="38">
        <f>+E100+I100+M100+Q100</f>
        <v>79</v>
      </c>
    </row>
    <row r="101" spans="1:18" ht="15.75" customHeight="1" x14ac:dyDescent="0.3">
      <c r="A101" s="311" t="s">
        <v>782</v>
      </c>
      <c r="B101" s="10">
        <v>0</v>
      </c>
      <c r="C101" s="10">
        <v>0</v>
      </c>
      <c r="D101" s="10">
        <v>0</v>
      </c>
      <c r="E101" s="38">
        <f>SUM(B101:D101)</f>
        <v>0</v>
      </c>
      <c r="F101" s="10">
        <v>0</v>
      </c>
      <c r="G101" s="10">
        <v>0</v>
      </c>
      <c r="H101" s="10">
        <v>0</v>
      </c>
      <c r="I101" s="38">
        <f>SUM(F101:H101)</f>
        <v>0</v>
      </c>
      <c r="J101" s="10">
        <v>0</v>
      </c>
      <c r="K101" s="10">
        <v>0</v>
      </c>
      <c r="L101" s="10">
        <v>0</v>
      </c>
      <c r="M101" s="38">
        <f>SUM(J101:L101)</f>
        <v>0</v>
      </c>
      <c r="N101" s="10">
        <v>0</v>
      </c>
      <c r="O101" s="10">
        <v>0</v>
      </c>
      <c r="P101" s="10">
        <v>0</v>
      </c>
      <c r="Q101" s="38">
        <f>SUM(N101:P101)</f>
        <v>0</v>
      </c>
      <c r="R101" s="38">
        <f>+E101+I101+M101+Q101</f>
        <v>0</v>
      </c>
    </row>
    <row r="102" spans="1:18" ht="15.75" customHeight="1" thickBot="1" x14ac:dyDescent="0.35">
      <c r="A102" s="311" t="s">
        <v>301</v>
      </c>
      <c r="B102" s="10">
        <v>0</v>
      </c>
      <c r="C102" s="10">
        <v>0</v>
      </c>
      <c r="D102" s="10">
        <v>0</v>
      </c>
      <c r="E102" s="38">
        <f>SUM(B102:D102)</f>
        <v>0</v>
      </c>
      <c r="F102" s="10">
        <v>0</v>
      </c>
      <c r="G102" s="10">
        <v>0</v>
      </c>
      <c r="H102" s="10">
        <v>0</v>
      </c>
      <c r="I102" s="38">
        <f>SUM(F102:H102)</f>
        <v>0</v>
      </c>
      <c r="J102" s="10">
        <v>0</v>
      </c>
      <c r="K102" s="10">
        <v>0</v>
      </c>
      <c r="L102" s="10">
        <v>0</v>
      </c>
      <c r="M102" s="38">
        <f>SUM(J102:L102)</f>
        <v>0</v>
      </c>
      <c r="N102" s="10">
        <v>0</v>
      </c>
      <c r="O102" s="10">
        <v>0</v>
      </c>
      <c r="P102" s="10">
        <v>0</v>
      </c>
      <c r="Q102" s="38">
        <f>SUM(N102:P102)</f>
        <v>0</v>
      </c>
      <c r="R102" s="38">
        <f>+E102+I102+M102+Q102</f>
        <v>0</v>
      </c>
    </row>
    <row r="103" spans="1:18" ht="15.75" customHeight="1" thickBot="1" x14ac:dyDescent="0.35">
      <c r="A103" s="43" t="s">
        <v>1220</v>
      </c>
      <c r="B103" s="42">
        <f>SUM(B96:B102)</f>
        <v>0</v>
      </c>
      <c r="C103" s="42">
        <f>SUM(C96:C102)</f>
        <v>0</v>
      </c>
      <c r="D103" s="42">
        <f>SUM(D96:D102)</f>
        <v>0</v>
      </c>
      <c r="E103" s="37">
        <f>SUM(B103:D103)</f>
        <v>0</v>
      </c>
      <c r="F103" s="42">
        <f>SUM(F96:F102)</f>
        <v>0</v>
      </c>
      <c r="G103" s="42">
        <f>SUM(G96:G102)</f>
        <v>0</v>
      </c>
      <c r="H103" s="42">
        <f>SUM(H96:H102)</f>
        <v>0</v>
      </c>
      <c r="I103" s="37">
        <f>SUM(F103:H103)</f>
        <v>0</v>
      </c>
      <c r="J103" s="42">
        <f>SUM(J96:J102)</f>
        <v>0</v>
      </c>
      <c r="K103" s="42">
        <f>SUM(K96:K102)</f>
        <v>0</v>
      </c>
      <c r="L103" s="42">
        <f>SUM(L96:L102)</f>
        <v>0</v>
      </c>
      <c r="M103" s="37">
        <f>SUM(J103:L103)</f>
        <v>0</v>
      </c>
      <c r="N103" s="42">
        <f>SUM(N96:N102)</f>
        <v>0</v>
      </c>
      <c r="O103" s="42">
        <f>SUM(O96:O102)</f>
        <v>79</v>
      </c>
      <c r="P103" s="42">
        <f>SUM(P96:P102)</f>
        <v>0</v>
      </c>
      <c r="Q103" s="37">
        <f>SUM(N103:P103)</f>
        <v>79</v>
      </c>
      <c r="R103" s="37">
        <f>+E103+I103+M103+Q103</f>
        <v>79</v>
      </c>
    </row>
    <row r="104" spans="1:18" ht="15.75" customHeight="1" x14ac:dyDescent="0.3">
      <c r="A104" s="235" t="s">
        <v>1712</v>
      </c>
      <c r="B104" s="248"/>
      <c r="C104" s="248"/>
      <c r="D104" s="248"/>
      <c r="E104" s="38" t="s">
        <v>852</v>
      </c>
      <c r="F104" s="248"/>
      <c r="G104" s="248"/>
      <c r="H104" s="248"/>
      <c r="I104" s="38" t="s">
        <v>852</v>
      </c>
      <c r="J104" s="248"/>
      <c r="K104" s="248"/>
      <c r="L104" s="248"/>
      <c r="M104" s="38" t="s">
        <v>852</v>
      </c>
      <c r="N104" s="248"/>
      <c r="O104" s="248"/>
      <c r="P104" s="248"/>
      <c r="Q104" s="38" t="s">
        <v>852</v>
      </c>
      <c r="R104" s="38" t="s">
        <v>852</v>
      </c>
    </row>
    <row r="105" spans="1:18" ht="15.75" customHeight="1" x14ac:dyDescent="0.3">
      <c r="A105" s="235" t="s">
        <v>1021</v>
      </c>
      <c r="B105" s="248"/>
      <c r="C105" s="248"/>
      <c r="D105" s="248"/>
      <c r="E105" s="38" t="s">
        <v>852</v>
      </c>
      <c r="F105" s="248"/>
      <c r="G105" s="248"/>
      <c r="H105" s="248"/>
      <c r="I105" s="38" t="s">
        <v>852</v>
      </c>
      <c r="J105" s="248"/>
      <c r="K105" s="248"/>
      <c r="L105" s="248"/>
      <c r="M105" s="38" t="s">
        <v>852</v>
      </c>
      <c r="N105" s="248"/>
      <c r="O105" s="248"/>
      <c r="P105" s="248"/>
      <c r="Q105" s="38" t="s">
        <v>852</v>
      </c>
      <c r="R105" s="38" t="s">
        <v>852</v>
      </c>
    </row>
    <row r="106" spans="1:18" ht="15.75" customHeight="1" x14ac:dyDescent="0.3">
      <c r="A106" s="249" t="s">
        <v>656</v>
      </c>
      <c r="B106" s="172">
        <v>0</v>
      </c>
      <c r="C106" s="172">
        <v>0</v>
      </c>
      <c r="D106" s="172">
        <v>0</v>
      </c>
      <c r="E106" s="38">
        <f t="shared" ref="E106:E113" si="9">SUM(B106:D106)</f>
        <v>0</v>
      </c>
      <c r="F106" s="172">
        <v>0</v>
      </c>
      <c r="G106" s="172">
        <v>0</v>
      </c>
      <c r="H106" s="172">
        <v>0</v>
      </c>
      <c r="I106" s="38">
        <f t="shared" ref="I106:I113" si="10">SUM(F106:H106)</f>
        <v>0</v>
      </c>
      <c r="J106" s="172">
        <v>0</v>
      </c>
      <c r="K106" s="172">
        <v>0</v>
      </c>
      <c r="L106" s="172">
        <v>0</v>
      </c>
      <c r="M106" s="38">
        <f t="shared" ref="M106:M113" si="11">SUM(J106:L106)</f>
        <v>0</v>
      </c>
      <c r="N106" s="172">
        <v>0</v>
      </c>
      <c r="O106" s="172">
        <v>0</v>
      </c>
      <c r="P106" s="172">
        <v>0</v>
      </c>
      <c r="Q106" s="38">
        <f t="shared" ref="Q106:Q113" si="12">SUM(N106:P106)</f>
        <v>0</v>
      </c>
      <c r="R106" s="38">
        <f t="shared" ref="R106:R113" si="13">+E106+I106+M106+Q106</f>
        <v>0</v>
      </c>
    </row>
    <row r="107" spans="1:18" ht="15.75" customHeight="1" x14ac:dyDescent="0.3">
      <c r="A107" s="539" t="s">
        <v>310</v>
      </c>
      <c r="B107" s="172">
        <v>0</v>
      </c>
      <c r="C107" s="172">
        <v>0</v>
      </c>
      <c r="D107" s="172">
        <v>0</v>
      </c>
      <c r="E107" s="38">
        <f>SUM(B107:D107)</f>
        <v>0</v>
      </c>
      <c r="F107" s="172">
        <v>0</v>
      </c>
      <c r="G107" s="172">
        <v>0</v>
      </c>
      <c r="H107" s="172">
        <v>0</v>
      </c>
      <c r="I107" s="38">
        <f>SUM(F107:H107)</f>
        <v>0</v>
      </c>
      <c r="J107" s="172">
        <v>0</v>
      </c>
      <c r="K107" s="172">
        <v>0</v>
      </c>
      <c r="L107" s="172">
        <v>3000</v>
      </c>
      <c r="M107" s="38">
        <f>SUM(J107:L107)</f>
        <v>3000</v>
      </c>
      <c r="N107" s="172">
        <v>2000</v>
      </c>
      <c r="O107" s="172">
        <v>0</v>
      </c>
      <c r="P107" s="172">
        <v>0</v>
      </c>
      <c r="Q107" s="38">
        <f>SUM(N107:P107)</f>
        <v>2000</v>
      </c>
      <c r="R107" s="38">
        <f>+E107+I107+M107+Q107</f>
        <v>5000</v>
      </c>
    </row>
    <row r="108" spans="1:18" ht="15.75" customHeight="1" x14ac:dyDescent="0.3">
      <c r="A108" s="410" t="s">
        <v>311</v>
      </c>
      <c r="B108" s="172">
        <v>878</v>
      </c>
      <c r="C108" s="172">
        <v>3000</v>
      </c>
      <c r="D108" s="172">
        <v>3000</v>
      </c>
      <c r="E108" s="38">
        <f>SUM(B108:D108)</f>
        <v>6878</v>
      </c>
      <c r="F108" s="172">
        <v>0</v>
      </c>
      <c r="G108" s="172">
        <v>6000</v>
      </c>
      <c r="H108" s="172">
        <v>2122</v>
      </c>
      <c r="I108" s="38">
        <f>SUM(F108:H108)</f>
        <v>8122</v>
      </c>
      <c r="J108" s="172">
        <v>0</v>
      </c>
      <c r="K108" s="172">
        <v>18374</v>
      </c>
      <c r="L108" s="172">
        <v>2341</v>
      </c>
      <c r="M108" s="38">
        <f>SUM(J108:L108)</f>
        <v>20715</v>
      </c>
      <c r="N108" s="172">
        <v>0</v>
      </c>
      <c r="O108" s="172">
        <v>0</v>
      </c>
      <c r="P108" s="172">
        <v>0</v>
      </c>
      <c r="Q108" s="38">
        <f>SUM(N108:P108)</f>
        <v>0</v>
      </c>
      <c r="R108" s="38">
        <f>+E108+I108+M108+Q108</f>
        <v>35715</v>
      </c>
    </row>
    <row r="109" spans="1:18" ht="15.75" customHeight="1" x14ac:dyDescent="0.3">
      <c r="A109" s="249" t="s">
        <v>563</v>
      </c>
      <c r="B109" s="172">
        <v>0</v>
      </c>
      <c r="C109" s="172">
        <v>0</v>
      </c>
      <c r="D109" s="172">
        <v>0</v>
      </c>
      <c r="E109" s="38">
        <f t="shared" si="9"/>
        <v>0</v>
      </c>
      <c r="F109" s="172">
        <v>0</v>
      </c>
      <c r="G109" s="172">
        <v>0</v>
      </c>
      <c r="H109" s="172">
        <v>0</v>
      </c>
      <c r="I109" s="38">
        <f t="shared" si="10"/>
        <v>0</v>
      </c>
      <c r="J109" s="172">
        <v>2000</v>
      </c>
      <c r="K109" s="172">
        <v>0</v>
      </c>
      <c r="L109" s="172">
        <v>0</v>
      </c>
      <c r="M109" s="38">
        <f t="shared" si="11"/>
        <v>2000</v>
      </c>
      <c r="N109" s="172">
        <v>0</v>
      </c>
      <c r="O109" s="172">
        <v>0</v>
      </c>
      <c r="P109" s="172">
        <v>0</v>
      </c>
      <c r="Q109" s="38">
        <f t="shared" si="12"/>
        <v>0</v>
      </c>
      <c r="R109" s="38">
        <f t="shared" si="13"/>
        <v>2000</v>
      </c>
    </row>
    <row r="110" spans="1:18" ht="15.75" customHeight="1" x14ac:dyDescent="0.3">
      <c r="A110" s="249" t="s">
        <v>2123</v>
      </c>
      <c r="B110" s="172">
        <v>0</v>
      </c>
      <c r="C110" s="172">
        <v>0</v>
      </c>
      <c r="D110" s="172">
        <v>0</v>
      </c>
      <c r="E110" s="38">
        <f>SUM(B110:D110)</f>
        <v>0</v>
      </c>
      <c r="F110" s="172">
        <v>0</v>
      </c>
      <c r="G110" s="172">
        <v>0</v>
      </c>
      <c r="H110" s="172">
        <v>0</v>
      </c>
      <c r="I110" s="38">
        <f>SUM(F110:H110)</f>
        <v>0</v>
      </c>
      <c r="J110" s="172">
        <v>0</v>
      </c>
      <c r="K110" s="172">
        <v>0</v>
      </c>
      <c r="L110" s="172">
        <v>0</v>
      </c>
      <c r="M110" s="38">
        <f>SUM(J110:L110)</f>
        <v>0</v>
      </c>
      <c r="N110" s="172">
        <v>0</v>
      </c>
      <c r="O110" s="172">
        <v>0</v>
      </c>
      <c r="P110" s="172">
        <v>19637</v>
      </c>
      <c r="Q110" s="38">
        <f>SUM(N110:P110)</f>
        <v>19637</v>
      </c>
      <c r="R110" s="38">
        <f>+E110+I110+M110+Q110</f>
        <v>19637</v>
      </c>
    </row>
    <row r="111" spans="1:18" ht="15.75" customHeight="1" x14ac:dyDescent="0.3">
      <c r="A111" s="249" t="s">
        <v>521</v>
      </c>
      <c r="B111" s="172">
        <v>4015</v>
      </c>
      <c r="C111" s="172">
        <v>3933</v>
      </c>
      <c r="D111" s="172">
        <v>4248</v>
      </c>
      <c r="E111" s="38">
        <f t="shared" si="9"/>
        <v>12196</v>
      </c>
      <c r="F111" s="172">
        <v>3949</v>
      </c>
      <c r="G111" s="172">
        <v>3877</v>
      </c>
      <c r="H111" s="172">
        <v>48</v>
      </c>
      <c r="I111" s="38">
        <f t="shared" si="10"/>
        <v>7874</v>
      </c>
      <c r="J111" s="172">
        <v>35</v>
      </c>
      <c r="K111" s="172">
        <v>4138</v>
      </c>
      <c r="L111" s="172">
        <v>3791</v>
      </c>
      <c r="M111" s="38">
        <f t="shared" si="11"/>
        <v>7964</v>
      </c>
      <c r="N111" s="172">
        <v>4223</v>
      </c>
      <c r="O111" s="172">
        <v>4008</v>
      </c>
      <c r="P111" s="172">
        <v>3650</v>
      </c>
      <c r="Q111" s="38">
        <f t="shared" si="12"/>
        <v>11881</v>
      </c>
      <c r="R111" s="38">
        <f t="shared" si="13"/>
        <v>39915</v>
      </c>
    </row>
    <row r="112" spans="1:18" ht="15.75" customHeight="1" x14ac:dyDescent="0.3">
      <c r="A112" s="536" t="s">
        <v>809</v>
      </c>
      <c r="B112" s="333">
        <v>0</v>
      </c>
      <c r="C112" s="333">
        <v>1868</v>
      </c>
      <c r="D112" s="333">
        <v>0</v>
      </c>
      <c r="E112" s="331">
        <f>SUM(B112:D112)</f>
        <v>1868</v>
      </c>
      <c r="F112" s="333">
        <v>0</v>
      </c>
      <c r="G112" s="333">
        <v>0</v>
      </c>
      <c r="H112" s="333">
        <v>0</v>
      </c>
      <c r="I112" s="331">
        <f>SUM(F112:H112)</f>
        <v>0</v>
      </c>
      <c r="J112" s="333">
        <v>0</v>
      </c>
      <c r="K112" s="333">
        <v>0</v>
      </c>
      <c r="L112" s="333">
        <v>0</v>
      </c>
      <c r="M112" s="331">
        <f>SUM(J112:L112)</f>
        <v>0</v>
      </c>
      <c r="N112" s="333">
        <v>0</v>
      </c>
      <c r="O112" s="333">
        <v>0</v>
      </c>
      <c r="P112" s="333">
        <v>0</v>
      </c>
      <c r="Q112" s="331">
        <f>SUM(N112:P112)</f>
        <v>0</v>
      </c>
      <c r="R112" s="331">
        <f>+E112+I112+M112+Q112</f>
        <v>1868</v>
      </c>
    </row>
    <row r="113" spans="1:20" ht="15.75" customHeight="1" x14ac:dyDescent="0.3">
      <c r="A113" s="249" t="s">
        <v>1298</v>
      </c>
      <c r="B113" s="172">
        <v>1250</v>
      </c>
      <c r="C113" s="172">
        <v>818</v>
      </c>
      <c r="D113" s="172">
        <v>626</v>
      </c>
      <c r="E113" s="38">
        <f t="shared" si="9"/>
        <v>2694</v>
      </c>
      <c r="F113" s="172">
        <v>1283</v>
      </c>
      <c r="G113" s="172">
        <v>2558</v>
      </c>
      <c r="H113" s="172">
        <v>3162</v>
      </c>
      <c r="I113" s="38">
        <f t="shared" si="10"/>
        <v>7003</v>
      </c>
      <c r="J113" s="172">
        <v>3121</v>
      </c>
      <c r="K113" s="172">
        <v>3094</v>
      </c>
      <c r="L113" s="172">
        <v>2447</v>
      </c>
      <c r="M113" s="38">
        <f t="shared" si="11"/>
        <v>8662</v>
      </c>
      <c r="N113" s="172">
        <v>2571</v>
      </c>
      <c r="O113" s="172">
        <v>2243</v>
      </c>
      <c r="P113" s="172">
        <v>1829</v>
      </c>
      <c r="Q113" s="38">
        <f t="shared" si="12"/>
        <v>6643</v>
      </c>
      <c r="R113" s="38">
        <f t="shared" si="13"/>
        <v>25002</v>
      </c>
    </row>
    <row r="114" spans="1:20" ht="15.75" customHeight="1" x14ac:dyDescent="0.3">
      <c r="A114" s="235" t="s">
        <v>557</v>
      </c>
      <c r="B114" s="248"/>
      <c r="C114" s="248"/>
      <c r="D114" s="248"/>
      <c r="E114" s="38" t="s">
        <v>852</v>
      </c>
      <c r="F114" s="248"/>
      <c r="G114" s="248"/>
      <c r="H114" s="248"/>
      <c r="I114" s="38" t="s">
        <v>852</v>
      </c>
      <c r="J114" s="248"/>
      <c r="K114" s="248"/>
      <c r="L114" s="248"/>
      <c r="M114" s="38" t="s">
        <v>852</v>
      </c>
      <c r="N114" s="248"/>
      <c r="O114" s="248"/>
      <c r="P114" s="248"/>
      <c r="Q114" s="38" t="s">
        <v>852</v>
      </c>
      <c r="R114" s="38" t="s">
        <v>852</v>
      </c>
    </row>
    <row r="115" spans="1:20" ht="15.75" customHeight="1" x14ac:dyDescent="0.3">
      <c r="A115" s="303" t="s">
        <v>2035</v>
      </c>
      <c r="B115" s="172">
        <v>0</v>
      </c>
      <c r="C115" s="172">
        <v>2583</v>
      </c>
      <c r="D115" s="172">
        <v>7113</v>
      </c>
      <c r="E115" s="38">
        <f>SUM(B115:D115)</f>
        <v>9696</v>
      </c>
      <c r="F115" s="172">
        <v>1137</v>
      </c>
      <c r="G115" s="172">
        <v>8131</v>
      </c>
      <c r="H115" s="172">
        <v>15338</v>
      </c>
      <c r="I115" s="38">
        <f>SUM(F115:H115)</f>
        <v>24606</v>
      </c>
      <c r="J115" s="172">
        <v>14895</v>
      </c>
      <c r="K115" s="172">
        <v>0</v>
      </c>
      <c r="L115" s="172">
        <v>12248</v>
      </c>
      <c r="M115" s="38">
        <f>SUM(J115:L115)</f>
        <v>27143</v>
      </c>
      <c r="N115" s="172">
        <v>15460</v>
      </c>
      <c r="O115" s="172">
        <v>2440</v>
      </c>
      <c r="P115" s="172">
        <v>200</v>
      </c>
      <c r="Q115" s="38">
        <f>SUM(N115:P115)</f>
        <v>18100</v>
      </c>
      <c r="R115" s="38">
        <f>+E115+I115+M115+Q115</f>
        <v>79545</v>
      </c>
    </row>
    <row r="116" spans="1:20" ht="15.75" customHeight="1" x14ac:dyDescent="0.3">
      <c r="A116" s="303" t="s">
        <v>106</v>
      </c>
      <c r="B116" s="172">
        <v>0</v>
      </c>
      <c r="C116" s="172">
        <v>0</v>
      </c>
      <c r="D116" s="172">
        <v>0</v>
      </c>
      <c r="E116" s="38">
        <f>SUM(B116:D116)</f>
        <v>0</v>
      </c>
      <c r="F116" s="172">
        <v>0</v>
      </c>
      <c r="G116" s="172">
        <v>0</v>
      </c>
      <c r="H116" s="172">
        <v>0</v>
      </c>
      <c r="I116" s="38">
        <f>SUM(F116:H116)</f>
        <v>0</v>
      </c>
      <c r="J116" s="172">
        <v>0</v>
      </c>
      <c r="K116" s="172">
        <v>0</v>
      </c>
      <c r="L116" s="172">
        <v>0</v>
      </c>
      <c r="M116" s="38">
        <f>SUM(J116:L116)</f>
        <v>0</v>
      </c>
      <c r="N116" s="172">
        <v>0</v>
      </c>
      <c r="O116" s="172">
        <v>5000</v>
      </c>
      <c r="P116" s="172">
        <v>0</v>
      </c>
      <c r="Q116" s="38">
        <f>SUM(N116:P116)</f>
        <v>5000</v>
      </c>
      <c r="R116" s="38">
        <f>+E116+I116+M116+Q116</f>
        <v>5000</v>
      </c>
      <c r="S116" t="s">
        <v>2396</v>
      </c>
      <c r="T116" t="s">
        <v>776</v>
      </c>
    </row>
    <row r="117" spans="1:20" ht="15.75" customHeight="1" x14ac:dyDescent="0.3">
      <c r="A117" s="235" t="s">
        <v>1022</v>
      </c>
      <c r="B117" s="248"/>
      <c r="C117" s="248"/>
      <c r="D117" s="248"/>
      <c r="E117" s="38" t="s">
        <v>852</v>
      </c>
      <c r="F117" s="248"/>
      <c r="G117" s="248"/>
      <c r="H117" s="248"/>
      <c r="I117" s="38" t="s">
        <v>852</v>
      </c>
      <c r="J117" s="248"/>
      <c r="K117" s="248"/>
      <c r="L117" s="248"/>
      <c r="M117" s="38" t="s">
        <v>852</v>
      </c>
      <c r="N117" s="248"/>
      <c r="O117" s="248"/>
      <c r="P117" s="248"/>
      <c r="Q117" s="38" t="s">
        <v>852</v>
      </c>
      <c r="R117" s="38" t="s">
        <v>852</v>
      </c>
    </row>
    <row r="118" spans="1:20" ht="15.75" customHeight="1" x14ac:dyDescent="0.3">
      <c r="A118" s="303" t="s">
        <v>239</v>
      </c>
      <c r="B118" s="10">
        <v>0</v>
      </c>
      <c r="C118" s="10">
        <v>0</v>
      </c>
      <c r="D118" s="10">
        <v>0</v>
      </c>
      <c r="E118" s="38">
        <f>SUM(B118:D118)</f>
        <v>0</v>
      </c>
      <c r="F118" s="10">
        <v>0</v>
      </c>
      <c r="G118" s="10">
        <v>0</v>
      </c>
      <c r="H118" s="10">
        <v>0</v>
      </c>
      <c r="I118" s="38">
        <f>SUM(F118:H118)</f>
        <v>0</v>
      </c>
      <c r="J118" s="10">
        <v>1503</v>
      </c>
      <c r="K118" s="10">
        <v>1738</v>
      </c>
      <c r="L118" s="10">
        <v>1546</v>
      </c>
      <c r="M118" s="38">
        <f>SUM(J118:L118)</f>
        <v>4787</v>
      </c>
      <c r="N118" s="10">
        <v>1152</v>
      </c>
      <c r="O118" s="10">
        <v>400</v>
      </c>
      <c r="P118" s="10">
        <v>284</v>
      </c>
      <c r="Q118" s="38">
        <f>SUM(N118:P118)</f>
        <v>1836</v>
      </c>
      <c r="R118" s="38">
        <f>+E118+I118+M118+Q118</f>
        <v>6623</v>
      </c>
    </row>
    <row r="119" spans="1:20" ht="15.75" customHeight="1" x14ac:dyDescent="0.3">
      <c r="A119" s="235" t="s">
        <v>559</v>
      </c>
      <c r="B119" s="248"/>
      <c r="C119" s="248"/>
      <c r="D119" s="248"/>
      <c r="E119" s="38" t="s">
        <v>852</v>
      </c>
      <c r="F119" s="248"/>
      <c r="G119" s="248"/>
      <c r="H119" s="248"/>
      <c r="I119" s="38" t="s">
        <v>852</v>
      </c>
      <c r="J119" s="248"/>
      <c r="K119" s="248"/>
      <c r="L119" s="248"/>
      <c r="M119" s="38" t="s">
        <v>852</v>
      </c>
      <c r="N119" s="248"/>
      <c r="O119" s="248"/>
      <c r="P119" s="248"/>
      <c r="Q119" s="38" t="s">
        <v>852</v>
      </c>
      <c r="R119" s="38" t="s">
        <v>852</v>
      </c>
    </row>
    <row r="120" spans="1:20" ht="15.75" customHeight="1" thickBot="1" x14ac:dyDescent="0.35">
      <c r="A120" s="303" t="s">
        <v>702</v>
      </c>
      <c r="B120" s="10">
        <v>0</v>
      </c>
      <c r="C120" s="10">
        <v>0</v>
      </c>
      <c r="D120" s="10">
        <v>0</v>
      </c>
      <c r="E120" s="38">
        <f>SUM(B120:D120)</f>
        <v>0</v>
      </c>
      <c r="F120" s="10">
        <v>0</v>
      </c>
      <c r="G120" s="10">
        <v>0</v>
      </c>
      <c r="H120" s="10">
        <v>0</v>
      </c>
      <c r="I120" s="38">
        <f>SUM(F120:H120)</f>
        <v>0</v>
      </c>
      <c r="J120" s="10">
        <v>0</v>
      </c>
      <c r="K120" s="10">
        <v>0</v>
      </c>
      <c r="L120" s="10">
        <v>0</v>
      </c>
      <c r="M120" s="38">
        <f>SUM(J120:L120)</f>
        <v>0</v>
      </c>
      <c r="N120" s="10">
        <v>0</v>
      </c>
      <c r="O120" s="10">
        <v>0</v>
      </c>
      <c r="P120" s="10">
        <v>0</v>
      </c>
      <c r="Q120" s="38">
        <f>SUM(N120:P120)</f>
        <v>0</v>
      </c>
      <c r="R120" s="38">
        <f>+E120+I120+M120+Q120</f>
        <v>0</v>
      </c>
    </row>
    <row r="121" spans="1:20" ht="15.75" customHeight="1" thickBot="1" x14ac:dyDescent="0.35">
      <c r="A121" s="43" t="s">
        <v>1019</v>
      </c>
      <c r="B121" s="42">
        <f>SUM(B119:B120)</f>
        <v>0</v>
      </c>
      <c r="C121" s="42">
        <f>SUM(C119:C120)</f>
        <v>0</v>
      </c>
      <c r="D121" s="42">
        <f>SUM(D119:D120)</f>
        <v>0</v>
      </c>
      <c r="E121" s="39">
        <f>SUM(B121:D121)</f>
        <v>0</v>
      </c>
      <c r="F121" s="42">
        <f>SUM(F119:F120)</f>
        <v>0</v>
      </c>
      <c r="G121" s="42">
        <f>SUM(G119:G120)</f>
        <v>0</v>
      </c>
      <c r="H121" s="42">
        <f>SUM(H119:H120)</f>
        <v>0</v>
      </c>
      <c r="I121" s="39">
        <f>SUM(F121:H121)</f>
        <v>0</v>
      </c>
      <c r="J121" s="42">
        <f>SUM(J119:J120)</f>
        <v>0</v>
      </c>
      <c r="K121" s="42">
        <f>SUM(K119:K120)</f>
        <v>0</v>
      </c>
      <c r="L121" s="42">
        <f>SUM(L119:L120)</f>
        <v>0</v>
      </c>
      <c r="M121" s="39">
        <f>SUM(J121:L121)</f>
        <v>0</v>
      </c>
      <c r="N121" s="42">
        <f>SUM(N119:N120)</f>
        <v>0</v>
      </c>
      <c r="O121" s="42">
        <f>SUM(O119:O120)</f>
        <v>0</v>
      </c>
      <c r="P121" s="42">
        <f>SUM(P119:P120)</f>
        <v>0</v>
      </c>
      <c r="Q121" s="39">
        <f>SUM(N121:P121)</f>
        <v>0</v>
      </c>
      <c r="R121" s="37">
        <f>+E121+I121+M121+Q121</f>
        <v>0</v>
      </c>
    </row>
    <row r="122" spans="1:20" ht="15.75" customHeight="1" thickBot="1" x14ac:dyDescent="0.35">
      <c r="A122" s="43" t="s">
        <v>1221</v>
      </c>
      <c r="B122" s="42">
        <f>SUM(B104:B120)</f>
        <v>6143</v>
      </c>
      <c r="C122" s="42">
        <f>SUM(C104:C120)</f>
        <v>12202</v>
      </c>
      <c r="D122" s="42">
        <f>SUM(D104:D120)</f>
        <v>14987</v>
      </c>
      <c r="E122" s="39">
        <f>SUM(B122:D122)</f>
        <v>33332</v>
      </c>
      <c r="F122" s="42">
        <f>SUM(F104:F120)</f>
        <v>6369</v>
      </c>
      <c r="G122" s="42">
        <f>SUM(G104:G120)</f>
        <v>20566</v>
      </c>
      <c r="H122" s="42">
        <f>SUM(H104:H120)</f>
        <v>20670</v>
      </c>
      <c r="I122" s="39">
        <f>SUM(F122:H122)</f>
        <v>47605</v>
      </c>
      <c r="J122" s="42">
        <f>SUM(J104:J120)</f>
        <v>21554</v>
      </c>
      <c r="K122" s="42">
        <f>SUM(K104:K120)</f>
        <v>27344</v>
      </c>
      <c r="L122" s="42">
        <f>SUM(L104:L120)</f>
        <v>25373</v>
      </c>
      <c r="M122" s="39">
        <f>SUM(J122:L122)</f>
        <v>74271</v>
      </c>
      <c r="N122" s="42">
        <f>SUM(N104:N120)</f>
        <v>25406</v>
      </c>
      <c r="O122" s="42">
        <f>SUM(O104:O120)</f>
        <v>14091</v>
      </c>
      <c r="P122" s="42">
        <f>SUM(P104:P120)</f>
        <v>25600</v>
      </c>
      <c r="Q122" s="39">
        <f>SUM(N122:P122)</f>
        <v>65097</v>
      </c>
      <c r="R122" s="37">
        <f>+E122+I122+M122+Q122</f>
        <v>220305</v>
      </c>
    </row>
    <row r="123" spans="1:20" ht="15.75" customHeight="1" thickBot="1" x14ac:dyDescent="0.35">
      <c r="A123" s="43" t="s">
        <v>1222</v>
      </c>
      <c r="B123" s="42">
        <f>+B88+B95+B103+B122</f>
        <v>6538</v>
      </c>
      <c r="C123" s="42">
        <f>+C88+C95+C103+C122</f>
        <v>12572</v>
      </c>
      <c r="D123" s="42">
        <f>+D88+D95+D103+D122</f>
        <v>17802</v>
      </c>
      <c r="E123" s="37">
        <f>SUM(B123:D123)</f>
        <v>36912</v>
      </c>
      <c r="F123" s="42">
        <f>+F88+F95+F103+F122</f>
        <v>11735</v>
      </c>
      <c r="G123" s="42">
        <f>+G88+G95+G103+G122</f>
        <v>27569</v>
      </c>
      <c r="H123" s="42">
        <f>+H88+H95+H103+H122</f>
        <v>28055</v>
      </c>
      <c r="I123" s="37">
        <f>SUM(F123:H123)</f>
        <v>67359</v>
      </c>
      <c r="J123" s="42">
        <f>+J88+J95+J103+J122</f>
        <v>32261</v>
      </c>
      <c r="K123" s="42">
        <f>+K88+K95+K103+K122</f>
        <v>35016</v>
      </c>
      <c r="L123" s="42">
        <f>+L88+L95+L103+L122</f>
        <v>33923</v>
      </c>
      <c r="M123" s="37">
        <f>SUM(J123:L123)</f>
        <v>101200</v>
      </c>
      <c r="N123" s="42">
        <f>+N88+N95+N103+N122</f>
        <v>29524</v>
      </c>
      <c r="O123" s="42">
        <f>+O88+O95+O103+O122</f>
        <v>17209</v>
      </c>
      <c r="P123" s="42">
        <f>+P88+P95+P103+P122</f>
        <v>31397</v>
      </c>
      <c r="Q123" s="37">
        <f>SUM(N123:P123)</f>
        <v>78130</v>
      </c>
      <c r="R123" s="37">
        <f>+E123+I123+M123+Q123</f>
        <v>283601</v>
      </c>
    </row>
    <row r="124" spans="1:20" ht="15.75" customHeight="1" thickBot="1" x14ac:dyDescent="0.35">
      <c r="A124" s="312" t="s">
        <v>853</v>
      </c>
      <c r="B124" s="294">
        <v>173</v>
      </c>
      <c r="C124" s="294">
        <v>260</v>
      </c>
      <c r="D124" s="294">
        <v>471</v>
      </c>
      <c r="E124" s="38">
        <f>SUM(B124:D124)</f>
        <v>904</v>
      </c>
      <c r="F124" s="294">
        <v>629</v>
      </c>
      <c r="G124" s="294">
        <v>725</v>
      </c>
      <c r="H124" s="294">
        <v>712</v>
      </c>
      <c r="I124" s="38">
        <f>SUM(F124:H124)</f>
        <v>2066</v>
      </c>
      <c r="J124" s="294">
        <v>711</v>
      </c>
      <c r="K124" s="294">
        <v>573</v>
      </c>
      <c r="L124" s="294">
        <v>542</v>
      </c>
      <c r="M124" s="38">
        <f>SUM(J124:L124)</f>
        <v>1826</v>
      </c>
      <c r="N124" s="294">
        <v>490</v>
      </c>
      <c r="O124" s="294">
        <v>407</v>
      </c>
      <c r="P124" s="294">
        <v>323</v>
      </c>
      <c r="Q124" s="38">
        <f>SUM(N124:P124)</f>
        <v>1220</v>
      </c>
      <c r="R124" s="38">
        <f>+E124+I124+M124+Q124</f>
        <v>6016</v>
      </c>
    </row>
    <row r="125" spans="1:20" ht="15.75" customHeight="1" thickBot="1" x14ac:dyDescent="0.35">
      <c r="A125" s="44"/>
      <c r="B125" s="313"/>
      <c r="C125" s="313"/>
      <c r="D125" s="313"/>
      <c r="E125" s="37" t="s">
        <v>852</v>
      </c>
      <c r="F125" s="313"/>
      <c r="G125" s="313"/>
      <c r="H125" s="313"/>
      <c r="I125" s="37" t="s">
        <v>852</v>
      </c>
      <c r="J125" s="313"/>
      <c r="K125" s="313"/>
      <c r="L125" s="313"/>
      <c r="M125" s="37" t="s">
        <v>852</v>
      </c>
      <c r="N125" s="313"/>
      <c r="O125" s="313"/>
      <c r="P125" s="313"/>
      <c r="Q125" s="37" t="s">
        <v>852</v>
      </c>
      <c r="R125" s="37" t="s">
        <v>852</v>
      </c>
    </row>
    <row r="126" spans="1:20" ht="15.75" customHeight="1" x14ac:dyDescent="0.3">
      <c r="A126" s="259" t="s">
        <v>2011</v>
      </c>
      <c r="B126" s="314">
        <f>+B123+B124</f>
        <v>6711</v>
      </c>
      <c r="C126" s="314">
        <f>+C123+C124</f>
        <v>12832</v>
      </c>
      <c r="D126" s="314">
        <f>+D123+D124</f>
        <v>18273</v>
      </c>
      <c r="E126" s="38">
        <f>SUM(B126:D126)</f>
        <v>37816</v>
      </c>
      <c r="F126" s="314">
        <f>+F123+F124</f>
        <v>12364</v>
      </c>
      <c r="G126" s="314">
        <f>+G123+G124</f>
        <v>28294</v>
      </c>
      <c r="H126" s="314">
        <f>+H123+H124</f>
        <v>28767</v>
      </c>
      <c r="I126" s="38">
        <f>SUM(F126:H126)</f>
        <v>69425</v>
      </c>
      <c r="J126" s="314">
        <f>+J123+J124</f>
        <v>32972</v>
      </c>
      <c r="K126" s="314">
        <f>+K123+K124</f>
        <v>35589</v>
      </c>
      <c r="L126" s="314">
        <f>+L123+L124</f>
        <v>34465</v>
      </c>
      <c r="M126" s="38">
        <f>SUM(J126:L126)</f>
        <v>103026</v>
      </c>
      <c r="N126" s="314">
        <f>+N123+N124</f>
        <v>30014</v>
      </c>
      <c r="O126" s="314">
        <f>+O123+O124</f>
        <v>17616</v>
      </c>
      <c r="P126" s="314">
        <f>+P123+P124</f>
        <v>31720</v>
      </c>
      <c r="Q126" s="38">
        <f>SUM(N126:P126)</f>
        <v>79350</v>
      </c>
      <c r="R126" s="38">
        <f>+E126+I126+M126+Q126</f>
        <v>289617</v>
      </c>
    </row>
    <row r="127" spans="1:20" ht="15.75" customHeight="1" x14ac:dyDescent="0.3">
      <c r="A127" s="261" t="s">
        <v>1897</v>
      </c>
      <c r="B127" s="10">
        <f>(B126/31)/1.983</f>
        <v>109.1698794592748</v>
      </c>
      <c r="C127" s="10">
        <f>(C126/28)/1.983</f>
        <v>231.10726892875152</v>
      </c>
      <c r="D127" s="10">
        <f>(D126/31)/1.983</f>
        <v>297.25245229613</v>
      </c>
      <c r="E127" s="38" t="s">
        <v>852</v>
      </c>
      <c r="F127" s="10">
        <f>(F126/30)/1.983</f>
        <v>207.83324928559421</v>
      </c>
      <c r="G127" s="10">
        <f>(G126/31)/1.983</f>
        <v>460.26710913734485</v>
      </c>
      <c r="H127" s="10">
        <f>(H126/30)/1.983</f>
        <v>483.56026222894599</v>
      </c>
      <c r="I127" s="38" t="s">
        <v>852</v>
      </c>
      <c r="J127" s="10">
        <f>(J126/31)/1.983</f>
        <v>536.36555886324072</v>
      </c>
      <c r="K127" s="10">
        <f>(K126/31)/1.983</f>
        <v>578.93709433409788</v>
      </c>
      <c r="L127" s="10">
        <f>(L126/30)/1.983</f>
        <v>579.34106572533187</v>
      </c>
      <c r="M127" s="38" t="s">
        <v>852</v>
      </c>
      <c r="N127" s="10">
        <f>(N126/31)/1.983</f>
        <v>488.24687261073967</v>
      </c>
      <c r="O127" s="10">
        <f>(O126/30)/1.983</f>
        <v>296.11699445284921</v>
      </c>
      <c r="P127" s="10">
        <f>(P126/31)/1.983</f>
        <v>515.99889382330457</v>
      </c>
      <c r="Q127" s="38" t="s">
        <v>852</v>
      </c>
      <c r="R127" s="38" t="s">
        <v>852</v>
      </c>
    </row>
    <row r="128" spans="1:20" ht="15.75" customHeight="1" x14ac:dyDescent="0.3">
      <c r="A128" s="262" t="s">
        <v>1679</v>
      </c>
      <c r="B128" s="10">
        <f>B126+B245</f>
        <v>126474</v>
      </c>
      <c r="C128" s="10">
        <f>C126+C245</f>
        <v>90987</v>
      </c>
      <c r="D128" s="10">
        <f>D126+D245</f>
        <v>129507</v>
      </c>
      <c r="E128" s="38">
        <f>SUM(B128:D128)</f>
        <v>346968</v>
      </c>
      <c r="F128" s="10">
        <f>F126+F245</f>
        <v>153097</v>
      </c>
      <c r="G128" s="10">
        <f>G126+G245</f>
        <v>169858</v>
      </c>
      <c r="H128" s="10">
        <f>H126+H245</f>
        <v>171470</v>
      </c>
      <c r="I128" s="38">
        <f>SUM(F128:H128)</f>
        <v>494425</v>
      </c>
      <c r="J128" s="10">
        <f>J126+J245</f>
        <v>53418</v>
      </c>
      <c r="K128" s="10">
        <f>K126+K245</f>
        <v>87167</v>
      </c>
      <c r="L128" s="10">
        <f>L126+L245</f>
        <v>167755</v>
      </c>
      <c r="M128" s="38">
        <f>SUM(J128:L128)</f>
        <v>308340</v>
      </c>
      <c r="N128" s="10">
        <f>N126+N245</f>
        <v>164674</v>
      </c>
      <c r="O128" s="10">
        <f>O126+O245</f>
        <v>151177</v>
      </c>
      <c r="P128" s="10">
        <f>P126+P245</f>
        <v>189149</v>
      </c>
      <c r="Q128" s="38">
        <f>SUM(N128:P128)</f>
        <v>505000</v>
      </c>
      <c r="R128" s="38">
        <f>+E128+I128+M128+Q128</f>
        <v>1654733</v>
      </c>
    </row>
    <row r="129" spans="1:18" ht="15.75" customHeight="1" thickBot="1" x14ac:dyDescent="0.35">
      <c r="A129" s="263" t="s">
        <v>6</v>
      </c>
      <c r="B129" s="315">
        <f>(B128/31)/1.983</f>
        <v>2057.3910497291495</v>
      </c>
      <c r="C129" s="315">
        <f>(C128/28)/1.983</f>
        <v>1638.6967797709099</v>
      </c>
      <c r="D129" s="315">
        <f>(D128/31)/1.983</f>
        <v>2106.7297838075251</v>
      </c>
      <c r="E129" s="40" t="s">
        <v>852</v>
      </c>
      <c r="F129" s="315">
        <f>(F128/30)/1.983</f>
        <v>2573.491343082871</v>
      </c>
      <c r="G129" s="315">
        <f>(G128/31)/1.983</f>
        <v>2763.1317814324984</v>
      </c>
      <c r="H129" s="315">
        <f>(H128/30)/1.983</f>
        <v>2882.3331652378552</v>
      </c>
      <c r="I129" s="40" t="s">
        <v>852</v>
      </c>
      <c r="J129" s="315">
        <f>(J128/31)/1.983</f>
        <v>868.96686350104926</v>
      </c>
      <c r="K129" s="315">
        <f>(K128/31)/1.983</f>
        <v>1417.9721178403527</v>
      </c>
      <c r="L129" s="315">
        <f>(L128/30)/1.983</f>
        <v>2819.8856950748022</v>
      </c>
      <c r="M129" s="40" t="s">
        <v>852</v>
      </c>
      <c r="N129" s="315">
        <f>(N128/31)/1.983</f>
        <v>2678.8020757080344</v>
      </c>
      <c r="O129" s="315">
        <f>(O128/30)/1.983</f>
        <v>2541.2170112623971</v>
      </c>
      <c r="P129" s="315">
        <f>(P128/31)/1.983</f>
        <v>3076.9443495518358</v>
      </c>
      <c r="Q129" s="40" t="s">
        <v>852</v>
      </c>
      <c r="R129" s="40" t="s">
        <v>852</v>
      </c>
    </row>
    <row r="130" spans="1:18" ht="15.75" customHeight="1" x14ac:dyDescent="0.3">
      <c r="A130" s="351" t="s">
        <v>1760</v>
      </c>
      <c r="B130" s="352"/>
      <c r="C130" s="352"/>
      <c r="D130" s="352"/>
      <c r="E130" s="352"/>
      <c r="F130" s="352"/>
      <c r="G130" s="352"/>
      <c r="H130" s="352"/>
      <c r="I130" s="10"/>
      <c r="J130" s="10"/>
      <c r="K130" s="10"/>
      <c r="L130" s="10"/>
      <c r="M130" s="10"/>
      <c r="N130" s="10"/>
      <c r="O130" s="10"/>
      <c r="P130" s="10"/>
      <c r="Q130" s="10"/>
      <c r="R130" s="17"/>
    </row>
    <row r="131" spans="1:18" ht="15.75" customHeight="1" thickBot="1" x14ac:dyDescent="0.35">
      <c r="A131" s="18" t="s">
        <v>852</v>
      </c>
      <c r="B131" s="10"/>
      <c r="C131" s="10"/>
      <c r="D131" s="10"/>
      <c r="E131" s="10"/>
      <c r="F131" s="10"/>
      <c r="G131" s="10"/>
      <c r="H131" s="10"/>
      <c r="I131" s="10"/>
      <c r="J131" s="10"/>
      <c r="K131" s="10"/>
      <c r="L131" s="10"/>
      <c r="M131" s="10"/>
      <c r="N131" s="10"/>
      <c r="O131" s="10"/>
      <c r="P131" s="10"/>
      <c r="Q131" s="10"/>
      <c r="R131" s="17"/>
    </row>
    <row r="132" spans="1:18" ht="15.75" customHeight="1" thickBot="1" x14ac:dyDescent="0.35">
      <c r="A132" s="240" t="s">
        <v>1446</v>
      </c>
      <c r="B132" s="4" t="s">
        <v>2090</v>
      </c>
      <c r="C132" s="5" t="s">
        <v>2091</v>
      </c>
      <c r="D132" s="5" t="s">
        <v>2234</v>
      </c>
      <c r="E132" s="33" t="s">
        <v>1594</v>
      </c>
      <c r="F132" s="5" t="s">
        <v>2235</v>
      </c>
      <c r="G132" s="5" t="s">
        <v>2236</v>
      </c>
      <c r="H132" s="5" t="s">
        <v>2237</v>
      </c>
      <c r="I132" s="35" t="s">
        <v>1595</v>
      </c>
      <c r="J132" s="5" t="s">
        <v>1504</v>
      </c>
      <c r="K132" s="5" t="s">
        <v>1505</v>
      </c>
      <c r="L132" s="5" t="s">
        <v>1506</v>
      </c>
      <c r="M132" s="35" t="s">
        <v>1596</v>
      </c>
      <c r="N132" s="5" t="s">
        <v>1507</v>
      </c>
      <c r="O132" s="5" t="s">
        <v>1508</v>
      </c>
      <c r="P132" s="5" t="s">
        <v>1509</v>
      </c>
      <c r="Q132" s="35" t="s">
        <v>1597</v>
      </c>
      <c r="R132" s="36" t="s">
        <v>1510</v>
      </c>
    </row>
    <row r="133" spans="1:18" ht="15.75" customHeight="1" thickBot="1" x14ac:dyDescent="0.35">
      <c r="A133" s="44"/>
      <c r="B133" s="313"/>
      <c r="C133" s="313"/>
      <c r="D133" s="313"/>
      <c r="E133" s="316"/>
      <c r="F133" s="313"/>
      <c r="G133" s="313"/>
      <c r="H133" s="313"/>
      <c r="I133" s="316"/>
      <c r="J133" s="313"/>
      <c r="K133" s="313"/>
      <c r="L133" s="313"/>
      <c r="M133" s="316"/>
      <c r="N133" s="313"/>
      <c r="O133" s="313"/>
      <c r="P133" s="313"/>
      <c r="Q133" s="316"/>
      <c r="R133" s="44"/>
    </row>
    <row r="134" spans="1:18" ht="15.75" customHeight="1" x14ac:dyDescent="0.3">
      <c r="A134" s="234" t="s">
        <v>2417</v>
      </c>
      <c r="B134" s="10" t="s">
        <v>852</v>
      </c>
      <c r="C134" s="10" t="s">
        <v>852</v>
      </c>
      <c r="D134" s="10" t="s">
        <v>852</v>
      </c>
      <c r="E134" s="38" t="s">
        <v>852</v>
      </c>
      <c r="F134" s="10" t="s">
        <v>852</v>
      </c>
      <c r="G134" s="10" t="s">
        <v>852</v>
      </c>
      <c r="H134" s="10" t="s">
        <v>852</v>
      </c>
      <c r="I134" s="38" t="s">
        <v>852</v>
      </c>
      <c r="J134" s="10" t="s">
        <v>852</v>
      </c>
      <c r="K134" s="10" t="s">
        <v>852</v>
      </c>
      <c r="L134" s="10" t="s">
        <v>852</v>
      </c>
      <c r="M134" s="38" t="s">
        <v>852</v>
      </c>
      <c r="N134" s="10" t="s">
        <v>852</v>
      </c>
      <c r="O134" s="10" t="s">
        <v>852</v>
      </c>
      <c r="P134" s="10" t="s">
        <v>852</v>
      </c>
      <c r="Q134" s="38" t="s">
        <v>852</v>
      </c>
      <c r="R134" s="48" t="s">
        <v>852</v>
      </c>
    </row>
    <row r="135" spans="1:18" ht="15.75" customHeight="1" x14ac:dyDescent="0.3">
      <c r="A135" s="234" t="s">
        <v>2160</v>
      </c>
      <c r="B135" s="10"/>
      <c r="C135" s="10"/>
      <c r="D135" s="10"/>
      <c r="E135" s="38" t="s">
        <v>852</v>
      </c>
      <c r="F135" s="10"/>
      <c r="G135" s="10"/>
      <c r="H135" s="10"/>
      <c r="I135" s="38" t="s">
        <v>852</v>
      </c>
      <c r="J135" s="10"/>
      <c r="K135" s="10"/>
      <c r="L135" s="10"/>
      <c r="M135" s="38" t="s">
        <v>852</v>
      </c>
      <c r="N135" s="10"/>
      <c r="O135" s="10"/>
      <c r="P135" s="10"/>
      <c r="Q135" s="38" t="s">
        <v>852</v>
      </c>
      <c r="R135" s="48"/>
    </row>
    <row r="136" spans="1:18" ht="15.75" customHeight="1" x14ac:dyDescent="0.3">
      <c r="A136" s="317" t="s">
        <v>328</v>
      </c>
      <c r="B136" s="172">
        <v>0</v>
      </c>
      <c r="C136" s="172">
        <v>0</v>
      </c>
      <c r="D136" s="172">
        <v>252</v>
      </c>
      <c r="E136" s="38">
        <f>SUM(B136:D136)</f>
        <v>252</v>
      </c>
      <c r="F136" s="172">
        <v>278</v>
      </c>
      <c r="G136" s="172">
        <v>330</v>
      </c>
      <c r="H136" s="172">
        <v>341</v>
      </c>
      <c r="I136" s="38">
        <f>SUM(F136:H136)</f>
        <v>949</v>
      </c>
      <c r="J136" s="172">
        <v>341</v>
      </c>
      <c r="K136" s="172">
        <v>309</v>
      </c>
      <c r="L136" s="172">
        <v>274</v>
      </c>
      <c r="M136" s="38">
        <f>SUM(J136:L136)</f>
        <v>924</v>
      </c>
      <c r="N136" s="172">
        <v>0</v>
      </c>
      <c r="O136" s="172">
        <v>0</v>
      </c>
      <c r="P136" s="172">
        <v>0</v>
      </c>
      <c r="Q136" s="38">
        <f>SUM(N136:P136)</f>
        <v>0</v>
      </c>
      <c r="R136" s="38">
        <f>+E136+I136+M136+Q136</f>
        <v>2125</v>
      </c>
    </row>
    <row r="137" spans="1:18" ht="15.75" customHeight="1" x14ac:dyDescent="0.3">
      <c r="A137" s="317" t="s">
        <v>2440</v>
      </c>
      <c r="B137" s="172">
        <v>0</v>
      </c>
      <c r="C137" s="172">
        <v>34</v>
      </c>
      <c r="D137" s="172">
        <v>839</v>
      </c>
      <c r="E137" s="38">
        <f>SUM(B137:D137)</f>
        <v>873</v>
      </c>
      <c r="F137" s="172">
        <v>1165</v>
      </c>
      <c r="G137" s="172">
        <v>1168</v>
      </c>
      <c r="H137" s="172">
        <v>1483</v>
      </c>
      <c r="I137" s="38">
        <f>SUM(F137:H137)</f>
        <v>3816</v>
      </c>
      <c r="J137" s="172">
        <v>1167</v>
      </c>
      <c r="K137" s="172">
        <v>1212</v>
      </c>
      <c r="L137" s="172">
        <v>1704</v>
      </c>
      <c r="M137" s="38">
        <f>SUM(J137:L137)</f>
        <v>4083</v>
      </c>
      <c r="N137" s="172">
        <v>999</v>
      </c>
      <c r="O137" s="172">
        <v>859</v>
      </c>
      <c r="P137" s="172">
        <v>463</v>
      </c>
      <c r="Q137" s="38">
        <f>SUM(N137:P137)</f>
        <v>2321</v>
      </c>
      <c r="R137" s="38">
        <f>+E137+I137+M137+Q137</f>
        <v>11093</v>
      </c>
    </row>
    <row r="138" spans="1:18" ht="15.75" customHeight="1" x14ac:dyDescent="0.3">
      <c r="A138" s="317" t="s">
        <v>2414</v>
      </c>
      <c r="B138" s="172">
        <v>0</v>
      </c>
      <c r="C138" s="172">
        <v>0</v>
      </c>
      <c r="D138" s="172">
        <v>142</v>
      </c>
      <c r="E138" s="38">
        <f>SUM(B138:D138)</f>
        <v>142</v>
      </c>
      <c r="F138" s="172">
        <v>125</v>
      </c>
      <c r="G138" s="172">
        <v>186</v>
      </c>
      <c r="H138" s="172">
        <v>194</v>
      </c>
      <c r="I138" s="38">
        <f>SUM(F138:H138)</f>
        <v>505</v>
      </c>
      <c r="J138" s="172">
        <v>194</v>
      </c>
      <c r="K138" s="172">
        <v>175</v>
      </c>
      <c r="L138" s="172">
        <v>184</v>
      </c>
      <c r="M138" s="38">
        <f>SUM(J138:L138)</f>
        <v>553</v>
      </c>
      <c r="N138" s="172">
        <v>0</v>
      </c>
      <c r="O138" s="172">
        <v>0</v>
      </c>
      <c r="P138" s="172">
        <v>0</v>
      </c>
      <c r="Q138" s="38">
        <f>SUM(N138:P138)</f>
        <v>0</v>
      </c>
      <c r="R138" s="38">
        <f>+E138+I138+M138+Q138</f>
        <v>1200</v>
      </c>
    </row>
    <row r="139" spans="1:18" ht="15.75" customHeight="1" x14ac:dyDescent="0.3">
      <c r="A139" s="317" t="s">
        <v>2441</v>
      </c>
      <c r="B139" s="172">
        <v>0</v>
      </c>
      <c r="C139" s="172">
        <v>0</v>
      </c>
      <c r="D139" s="172">
        <v>323</v>
      </c>
      <c r="E139" s="38">
        <f>SUM(B139:D139)</f>
        <v>323</v>
      </c>
      <c r="F139" s="172">
        <v>323</v>
      </c>
      <c r="G139" s="172">
        <v>323</v>
      </c>
      <c r="H139" s="172">
        <v>323</v>
      </c>
      <c r="I139" s="38">
        <f>SUM(F139:H139)</f>
        <v>969</v>
      </c>
      <c r="J139" s="172">
        <v>324</v>
      </c>
      <c r="K139" s="172">
        <v>323</v>
      </c>
      <c r="L139" s="172">
        <v>381</v>
      </c>
      <c r="M139" s="38">
        <f>SUM(J139:L139)</f>
        <v>1028</v>
      </c>
      <c r="N139" s="172">
        <v>911</v>
      </c>
      <c r="O139" s="172">
        <v>0</v>
      </c>
      <c r="P139" s="172">
        <v>0</v>
      </c>
      <c r="Q139" s="38">
        <f>SUM(N139:P139)</f>
        <v>911</v>
      </c>
      <c r="R139" s="38">
        <f>+E139+I139+M139+Q139</f>
        <v>3231</v>
      </c>
    </row>
    <row r="140" spans="1:18" ht="15.75" customHeight="1" x14ac:dyDescent="0.3">
      <c r="A140" s="310" t="s">
        <v>2238</v>
      </c>
      <c r="B140" s="10">
        <v>1</v>
      </c>
      <c r="C140" s="10">
        <v>0</v>
      </c>
      <c r="D140" s="10">
        <v>0</v>
      </c>
      <c r="E140" s="38">
        <f>SUM(B140:D140)</f>
        <v>1</v>
      </c>
      <c r="F140" s="10">
        <v>0</v>
      </c>
      <c r="G140" s="10">
        <v>0</v>
      </c>
      <c r="H140" s="10">
        <v>0</v>
      </c>
      <c r="I140" s="38">
        <f>SUM(F140:H140)</f>
        <v>0</v>
      </c>
      <c r="J140" s="10">
        <v>0</v>
      </c>
      <c r="K140" s="10">
        <v>0</v>
      </c>
      <c r="L140" s="10">
        <v>0</v>
      </c>
      <c r="M140" s="38">
        <f>SUM(J140:L140)</f>
        <v>0</v>
      </c>
      <c r="N140" s="10">
        <v>0</v>
      </c>
      <c r="O140" s="10">
        <v>0</v>
      </c>
      <c r="P140" s="10">
        <v>0</v>
      </c>
      <c r="Q140" s="38">
        <f>SUM(N140:P140)</f>
        <v>0</v>
      </c>
      <c r="R140" s="38">
        <f>+E140+I140+M140+Q140</f>
        <v>1</v>
      </c>
    </row>
    <row r="141" spans="1:18" ht="15.75" customHeight="1" x14ac:dyDescent="0.3">
      <c r="A141" s="317" t="s">
        <v>1911</v>
      </c>
      <c r="B141" s="172">
        <v>0</v>
      </c>
      <c r="C141" s="172">
        <v>750</v>
      </c>
      <c r="D141" s="172">
        <v>1037</v>
      </c>
      <c r="E141" s="38">
        <f t="shared" ref="E141:E155" si="14">SUM(B141:D141)</f>
        <v>1787</v>
      </c>
      <c r="F141" s="172">
        <v>1132</v>
      </c>
      <c r="G141" s="172">
        <v>2497</v>
      </c>
      <c r="H141" s="172">
        <v>0</v>
      </c>
      <c r="I141" s="38">
        <f t="shared" ref="I141:I155" si="15">SUM(F141:H141)</f>
        <v>3629</v>
      </c>
      <c r="J141" s="172">
        <v>0</v>
      </c>
      <c r="K141" s="172">
        <v>0</v>
      </c>
      <c r="L141" s="172">
        <v>0</v>
      </c>
      <c r="M141" s="38">
        <f t="shared" ref="M141:M155" si="16">SUM(J141:L141)</f>
        <v>0</v>
      </c>
      <c r="N141" s="172">
        <v>0</v>
      </c>
      <c r="O141" s="172">
        <v>0</v>
      </c>
      <c r="P141" s="172">
        <v>0</v>
      </c>
      <c r="Q141" s="38">
        <f t="shared" ref="Q141:Q155" si="17">SUM(N141:P141)</f>
        <v>0</v>
      </c>
      <c r="R141" s="38">
        <f t="shared" ref="R141:R155" si="18">+E141+I141+M141+Q141</f>
        <v>5416</v>
      </c>
    </row>
    <row r="142" spans="1:18" ht="15.75" customHeight="1" x14ac:dyDescent="0.3">
      <c r="A142" s="317" t="s">
        <v>395</v>
      </c>
      <c r="B142" s="172">
        <v>0</v>
      </c>
      <c r="C142" s="172">
        <v>0</v>
      </c>
      <c r="D142" s="172">
        <v>0</v>
      </c>
      <c r="E142" s="38">
        <f t="shared" si="14"/>
        <v>0</v>
      </c>
      <c r="F142" s="172">
        <v>1148</v>
      </c>
      <c r="G142" s="172">
        <v>0</v>
      </c>
      <c r="H142" s="172">
        <v>343</v>
      </c>
      <c r="I142" s="38">
        <f t="shared" si="15"/>
        <v>1491</v>
      </c>
      <c r="J142" s="172">
        <v>839</v>
      </c>
      <c r="K142" s="172">
        <v>0</v>
      </c>
      <c r="L142" s="172">
        <v>1723</v>
      </c>
      <c r="M142" s="38">
        <f t="shared" si="16"/>
        <v>2562</v>
      </c>
      <c r="N142" s="172">
        <v>2190</v>
      </c>
      <c r="O142" s="172">
        <v>1503</v>
      </c>
      <c r="P142" s="172">
        <v>0</v>
      </c>
      <c r="Q142" s="38">
        <f t="shared" si="17"/>
        <v>3693</v>
      </c>
      <c r="R142" s="38">
        <f t="shared" si="18"/>
        <v>7746</v>
      </c>
    </row>
    <row r="143" spans="1:18" ht="15.75" customHeight="1" x14ac:dyDescent="0.3">
      <c r="A143" s="310" t="s">
        <v>1880</v>
      </c>
      <c r="B143" s="10">
        <v>23</v>
      </c>
      <c r="C143" s="10">
        <v>40</v>
      </c>
      <c r="D143" s="10">
        <v>36</v>
      </c>
      <c r="E143" s="38">
        <f t="shared" si="14"/>
        <v>99</v>
      </c>
      <c r="F143" s="10">
        <v>46</v>
      </c>
      <c r="G143" s="10">
        <v>59</v>
      </c>
      <c r="H143" s="10">
        <v>69</v>
      </c>
      <c r="I143" s="38">
        <f t="shared" si="15"/>
        <v>174</v>
      </c>
      <c r="J143" s="10">
        <v>60</v>
      </c>
      <c r="K143" s="10">
        <v>57</v>
      </c>
      <c r="L143" s="10">
        <v>53</v>
      </c>
      <c r="M143" s="38">
        <f t="shared" si="16"/>
        <v>170</v>
      </c>
      <c r="N143" s="10">
        <v>37</v>
      </c>
      <c r="O143" s="10">
        <v>38</v>
      </c>
      <c r="P143" s="10">
        <v>15</v>
      </c>
      <c r="Q143" s="38">
        <f t="shared" si="17"/>
        <v>90</v>
      </c>
      <c r="R143" s="38">
        <f t="shared" si="18"/>
        <v>533</v>
      </c>
    </row>
    <row r="144" spans="1:18" ht="15.75" customHeight="1" x14ac:dyDescent="0.3">
      <c r="A144" s="310" t="s">
        <v>703</v>
      </c>
      <c r="B144" s="10">
        <v>126</v>
      </c>
      <c r="C144" s="10">
        <v>101</v>
      </c>
      <c r="D144" s="10">
        <v>121</v>
      </c>
      <c r="E144" s="38">
        <f t="shared" si="14"/>
        <v>348</v>
      </c>
      <c r="F144" s="10">
        <v>142</v>
      </c>
      <c r="G144" s="10">
        <v>157</v>
      </c>
      <c r="H144" s="10">
        <v>178</v>
      </c>
      <c r="I144" s="38">
        <f t="shared" si="15"/>
        <v>477</v>
      </c>
      <c r="J144" s="10">
        <v>203</v>
      </c>
      <c r="K144" s="10">
        <v>190</v>
      </c>
      <c r="L144" s="10">
        <v>188</v>
      </c>
      <c r="M144" s="38">
        <f t="shared" si="16"/>
        <v>581</v>
      </c>
      <c r="N144" s="10">
        <v>174</v>
      </c>
      <c r="O144" s="10">
        <v>152</v>
      </c>
      <c r="P144" s="10">
        <v>146</v>
      </c>
      <c r="Q144" s="38">
        <f t="shared" si="17"/>
        <v>472</v>
      </c>
      <c r="R144" s="38">
        <f t="shared" si="18"/>
        <v>1878</v>
      </c>
    </row>
    <row r="145" spans="1:18" ht="15.75" customHeight="1" x14ac:dyDescent="0.3">
      <c r="A145" s="310" t="s">
        <v>1676</v>
      </c>
      <c r="B145" s="10">
        <v>397</v>
      </c>
      <c r="C145" s="10">
        <v>349</v>
      </c>
      <c r="D145" s="10">
        <v>411</v>
      </c>
      <c r="E145" s="38">
        <f t="shared" si="14"/>
        <v>1157</v>
      </c>
      <c r="F145" s="10">
        <v>482</v>
      </c>
      <c r="G145" s="10">
        <v>553</v>
      </c>
      <c r="H145" s="10">
        <v>600</v>
      </c>
      <c r="I145" s="38">
        <f t="shared" si="15"/>
        <v>1635</v>
      </c>
      <c r="J145" s="10">
        <v>664</v>
      </c>
      <c r="K145" s="10">
        <v>626</v>
      </c>
      <c r="L145" s="10">
        <v>613</v>
      </c>
      <c r="M145" s="38">
        <f t="shared" si="16"/>
        <v>1903</v>
      </c>
      <c r="N145" s="10">
        <v>583</v>
      </c>
      <c r="O145" s="10">
        <v>523</v>
      </c>
      <c r="P145" s="10">
        <v>438</v>
      </c>
      <c r="Q145" s="38">
        <f t="shared" si="17"/>
        <v>1544</v>
      </c>
      <c r="R145" s="38">
        <f t="shared" si="18"/>
        <v>6239</v>
      </c>
    </row>
    <row r="146" spans="1:18" ht="15.75" customHeight="1" x14ac:dyDescent="0.3">
      <c r="A146" s="310" t="s">
        <v>347</v>
      </c>
      <c r="B146" s="172">
        <v>0</v>
      </c>
      <c r="C146" s="172">
        <v>0</v>
      </c>
      <c r="D146" s="172">
        <v>0</v>
      </c>
      <c r="E146" s="38">
        <f t="shared" ref="E146:E151" si="19">SUM(B146:D146)</f>
        <v>0</v>
      </c>
      <c r="F146" s="172">
        <v>0</v>
      </c>
      <c r="G146" s="172">
        <v>0</v>
      </c>
      <c r="H146" s="172">
        <v>0</v>
      </c>
      <c r="I146" s="38">
        <f t="shared" ref="I146:I151" si="20">SUM(F146:H146)</f>
        <v>0</v>
      </c>
      <c r="J146" s="172">
        <v>0</v>
      </c>
      <c r="K146" s="172">
        <v>0</v>
      </c>
      <c r="L146" s="172">
        <v>0</v>
      </c>
      <c r="M146" s="38">
        <f t="shared" ref="M146:M151" si="21">SUM(J146:L146)</f>
        <v>0</v>
      </c>
      <c r="N146" s="172">
        <v>310</v>
      </c>
      <c r="O146" s="172">
        <v>0</v>
      </c>
      <c r="P146" s="172">
        <v>0</v>
      </c>
      <c r="Q146" s="38">
        <f t="shared" ref="Q146:Q151" si="22">SUM(N146:P146)</f>
        <v>310</v>
      </c>
      <c r="R146" s="38">
        <f t="shared" ref="R146:R151" si="23">+E146+I146+M146+Q146</f>
        <v>310</v>
      </c>
    </row>
    <row r="147" spans="1:18" ht="15.75" customHeight="1" x14ac:dyDescent="0.3">
      <c r="A147" s="535" t="s">
        <v>318</v>
      </c>
      <c r="B147" s="172">
        <v>0</v>
      </c>
      <c r="C147" s="172">
        <v>0</v>
      </c>
      <c r="D147" s="172">
        <v>0</v>
      </c>
      <c r="E147" s="38">
        <f t="shared" si="19"/>
        <v>0</v>
      </c>
      <c r="F147" s="172">
        <v>0</v>
      </c>
      <c r="G147" s="172">
        <v>0</v>
      </c>
      <c r="H147" s="172">
        <v>0</v>
      </c>
      <c r="I147" s="38">
        <f t="shared" si="20"/>
        <v>0</v>
      </c>
      <c r="J147" s="172">
        <v>0</v>
      </c>
      <c r="K147" s="172">
        <v>0</v>
      </c>
      <c r="L147" s="172">
        <v>0</v>
      </c>
      <c r="M147" s="38">
        <f t="shared" si="21"/>
        <v>0</v>
      </c>
      <c r="N147" s="172">
        <v>0</v>
      </c>
      <c r="O147" s="172">
        <v>0</v>
      </c>
      <c r="P147" s="172">
        <v>0</v>
      </c>
      <c r="Q147" s="38">
        <f t="shared" si="22"/>
        <v>0</v>
      </c>
      <c r="R147" s="38">
        <f t="shared" si="23"/>
        <v>0</v>
      </c>
    </row>
    <row r="148" spans="1:18" ht="15.75" customHeight="1" x14ac:dyDescent="0.3">
      <c r="A148" s="310" t="s">
        <v>779</v>
      </c>
      <c r="B148" s="172">
        <v>0</v>
      </c>
      <c r="C148" s="172">
        <v>0</v>
      </c>
      <c r="D148" s="172">
        <v>0</v>
      </c>
      <c r="E148" s="38">
        <f t="shared" si="19"/>
        <v>0</v>
      </c>
      <c r="F148" s="172">
        <v>0</v>
      </c>
      <c r="G148" s="172">
        <v>0</v>
      </c>
      <c r="H148" s="172">
        <v>2051</v>
      </c>
      <c r="I148" s="38">
        <f t="shared" si="20"/>
        <v>2051</v>
      </c>
      <c r="J148" s="172">
        <v>2331</v>
      </c>
      <c r="K148" s="172">
        <v>1589</v>
      </c>
      <c r="L148" s="172">
        <v>1743</v>
      </c>
      <c r="M148" s="38">
        <f t="shared" si="21"/>
        <v>5663</v>
      </c>
      <c r="N148" s="172">
        <v>494</v>
      </c>
      <c r="O148" s="172">
        <v>1273</v>
      </c>
      <c r="P148" s="172">
        <v>1337</v>
      </c>
      <c r="Q148" s="38">
        <f t="shared" si="22"/>
        <v>3104</v>
      </c>
      <c r="R148" s="38">
        <f t="shared" si="23"/>
        <v>10818</v>
      </c>
    </row>
    <row r="149" spans="1:18" ht="15.75" customHeight="1" x14ac:dyDescent="0.3">
      <c r="A149" s="266" t="s">
        <v>1879</v>
      </c>
      <c r="B149" s="172">
        <v>15</v>
      </c>
      <c r="C149" s="172">
        <v>18</v>
      </c>
      <c r="D149" s="172">
        <v>26</v>
      </c>
      <c r="E149" s="38">
        <f t="shared" si="19"/>
        <v>59</v>
      </c>
      <c r="F149" s="172">
        <v>50</v>
      </c>
      <c r="G149" s="172">
        <v>88</v>
      </c>
      <c r="H149" s="172">
        <v>82</v>
      </c>
      <c r="I149" s="38">
        <f t="shared" si="20"/>
        <v>220</v>
      </c>
      <c r="J149" s="172">
        <v>86</v>
      </c>
      <c r="K149" s="172">
        <v>73</v>
      </c>
      <c r="L149" s="172">
        <v>76</v>
      </c>
      <c r="M149" s="38">
        <f t="shared" si="21"/>
        <v>235</v>
      </c>
      <c r="N149" s="172">
        <v>59</v>
      </c>
      <c r="O149" s="172">
        <v>44</v>
      </c>
      <c r="P149" s="172">
        <v>16</v>
      </c>
      <c r="Q149" s="38">
        <f t="shared" si="22"/>
        <v>119</v>
      </c>
      <c r="R149" s="38">
        <f t="shared" si="23"/>
        <v>633</v>
      </c>
    </row>
    <row r="150" spans="1:18" ht="15.75" customHeight="1" x14ac:dyDescent="0.3">
      <c r="A150" s="317" t="s">
        <v>1646</v>
      </c>
      <c r="B150" s="172">
        <v>21</v>
      </c>
      <c r="C150" s="172">
        <v>11</v>
      </c>
      <c r="D150" s="172">
        <v>305</v>
      </c>
      <c r="E150" s="38">
        <f t="shared" si="19"/>
        <v>337</v>
      </c>
      <c r="F150" s="172">
        <v>26</v>
      </c>
      <c r="G150" s="172">
        <v>0</v>
      </c>
      <c r="H150" s="172">
        <v>0</v>
      </c>
      <c r="I150" s="38">
        <f t="shared" si="20"/>
        <v>26</v>
      </c>
      <c r="J150" s="172">
        <v>1018</v>
      </c>
      <c r="K150" s="172">
        <v>2690</v>
      </c>
      <c r="L150" s="172">
        <v>1273</v>
      </c>
      <c r="M150" s="38">
        <f t="shared" si="21"/>
        <v>4981</v>
      </c>
      <c r="N150" s="172">
        <v>927</v>
      </c>
      <c r="O150" s="172">
        <v>755</v>
      </c>
      <c r="P150" s="172">
        <v>697</v>
      </c>
      <c r="Q150" s="38">
        <f t="shared" si="22"/>
        <v>2379</v>
      </c>
      <c r="R150" s="38">
        <f t="shared" si="23"/>
        <v>7723</v>
      </c>
    </row>
    <row r="151" spans="1:18" ht="15.75" customHeight="1" x14ac:dyDescent="0.3">
      <c r="A151" s="317" t="s">
        <v>1375</v>
      </c>
      <c r="B151" s="172">
        <v>0</v>
      </c>
      <c r="C151" s="172">
        <v>0</v>
      </c>
      <c r="D151" s="172">
        <v>0</v>
      </c>
      <c r="E151" s="38">
        <f t="shared" si="19"/>
        <v>0</v>
      </c>
      <c r="F151" s="172">
        <v>0</v>
      </c>
      <c r="G151" s="172">
        <v>0</v>
      </c>
      <c r="H151" s="172">
        <v>50</v>
      </c>
      <c r="I151" s="38">
        <f t="shared" si="20"/>
        <v>50</v>
      </c>
      <c r="J151" s="172">
        <v>0</v>
      </c>
      <c r="K151" s="172">
        <v>0</v>
      </c>
      <c r="L151" s="172">
        <v>0</v>
      </c>
      <c r="M151" s="38">
        <f t="shared" si="21"/>
        <v>0</v>
      </c>
      <c r="N151" s="172">
        <v>0</v>
      </c>
      <c r="O151" s="172">
        <v>0</v>
      </c>
      <c r="P151" s="172">
        <v>0</v>
      </c>
      <c r="Q151" s="38">
        <f t="shared" si="22"/>
        <v>0</v>
      </c>
      <c r="R151" s="38">
        <f t="shared" si="23"/>
        <v>50</v>
      </c>
    </row>
    <row r="152" spans="1:18" ht="15.75" customHeight="1" x14ac:dyDescent="0.3">
      <c r="A152" s="310" t="s">
        <v>2426</v>
      </c>
      <c r="B152" s="10">
        <v>8776</v>
      </c>
      <c r="C152" s="10">
        <v>7223</v>
      </c>
      <c r="D152" s="10">
        <v>7540</v>
      </c>
      <c r="E152" s="38">
        <f t="shared" si="14"/>
        <v>23539</v>
      </c>
      <c r="F152" s="10">
        <v>10435</v>
      </c>
      <c r="G152" s="10">
        <v>2170</v>
      </c>
      <c r="H152" s="10">
        <v>0</v>
      </c>
      <c r="I152" s="38">
        <f t="shared" si="15"/>
        <v>12605</v>
      </c>
      <c r="J152" s="10">
        <v>10988</v>
      </c>
      <c r="K152" s="10">
        <v>14220</v>
      </c>
      <c r="L152" s="10">
        <v>15123</v>
      </c>
      <c r="M152" s="38">
        <f t="shared" si="16"/>
        <v>40331</v>
      </c>
      <c r="N152" s="10">
        <v>14221</v>
      </c>
      <c r="O152" s="10">
        <v>12447</v>
      </c>
      <c r="P152" s="10">
        <v>10419</v>
      </c>
      <c r="Q152" s="38">
        <f t="shared" si="17"/>
        <v>37087</v>
      </c>
      <c r="R152" s="38">
        <f t="shared" si="18"/>
        <v>113562</v>
      </c>
    </row>
    <row r="153" spans="1:18" ht="15.75" customHeight="1" x14ac:dyDescent="0.3">
      <c r="A153" s="310" t="s">
        <v>2239</v>
      </c>
      <c r="B153" s="10">
        <v>15</v>
      </c>
      <c r="C153" s="10">
        <v>15</v>
      </c>
      <c r="D153" s="10">
        <v>24</v>
      </c>
      <c r="E153" s="38">
        <f t="shared" si="14"/>
        <v>54</v>
      </c>
      <c r="F153" s="10">
        <v>24</v>
      </c>
      <c r="G153" s="10">
        <v>25</v>
      </c>
      <c r="H153" s="10">
        <v>25</v>
      </c>
      <c r="I153" s="38">
        <f t="shared" si="15"/>
        <v>74</v>
      </c>
      <c r="J153" s="10">
        <v>25</v>
      </c>
      <c r="K153" s="10">
        <v>25</v>
      </c>
      <c r="L153" s="10">
        <v>25</v>
      </c>
      <c r="M153" s="38">
        <f t="shared" si="16"/>
        <v>75</v>
      </c>
      <c r="N153" s="10">
        <v>18</v>
      </c>
      <c r="O153" s="10">
        <v>18</v>
      </c>
      <c r="P153" s="10">
        <v>18</v>
      </c>
      <c r="Q153" s="38">
        <f t="shared" si="17"/>
        <v>54</v>
      </c>
      <c r="R153" s="38">
        <f t="shared" si="18"/>
        <v>257</v>
      </c>
    </row>
    <row r="154" spans="1:18" ht="15.75" customHeight="1" x14ac:dyDescent="0.3">
      <c r="A154" s="310" t="s">
        <v>1520</v>
      </c>
      <c r="B154" s="10">
        <v>3283</v>
      </c>
      <c r="C154" s="10">
        <v>0</v>
      </c>
      <c r="D154" s="10">
        <v>0</v>
      </c>
      <c r="E154" s="38">
        <f t="shared" si="14"/>
        <v>3283</v>
      </c>
      <c r="F154" s="10">
        <v>0</v>
      </c>
      <c r="G154" s="10">
        <v>4425</v>
      </c>
      <c r="H154" s="10">
        <v>5621</v>
      </c>
      <c r="I154" s="38">
        <f t="shared" si="15"/>
        <v>10046</v>
      </c>
      <c r="J154" s="10">
        <v>5865</v>
      </c>
      <c r="K154" s="10">
        <v>5971</v>
      </c>
      <c r="L154" s="10">
        <v>5718</v>
      </c>
      <c r="M154" s="38">
        <f t="shared" si="16"/>
        <v>17554</v>
      </c>
      <c r="N154" s="10">
        <v>5799</v>
      </c>
      <c r="O154" s="10">
        <v>5008</v>
      </c>
      <c r="P154" s="10">
        <v>4253</v>
      </c>
      <c r="Q154" s="38">
        <f t="shared" si="17"/>
        <v>15060</v>
      </c>
      <c r="R154" s="38">
        <f t="shared" si="18"/>
        <v>45943</v>
      </c>
    </row>
    <row r="155" spans="1:18" ht="15.75" customHeight="1" x14ac:dyDescent="0.3">
      <c r="A155" s="310" t="s">
        <v>1135</v>
      </c>
      <c r="B155" s="10">
        <v>0</v>
      </c>
      <c r="C155" s="10">
        <v>0</v>
      </c>
      <c r="D155" s="10">
        <v>0</v>
      </c>
      <c r="E155" s="38">
        <f t="shared" si="14"/>
        <v>0</v>
      </c>
      <c r="F155" s="10">
        <v>0</v>
      </c>
      <c r="G155" s="10">
        <v>0</v>
      </c>
      <c r="H155" s="10">
        <v>3798</v>
      </c>
      <c r="I155" s="38">
        <f t="shared" si="15"/>
        <v>3798</v>
      </c>
      <c r="J155" s="10">
        <v>1700</v>
      </c>
      <c r="K155" s="10">
        <v>1597</v>
      </c>
      <c r="L155" s="10">
        <v>2064</v>
      </c>
      <c r="M155" s="38">
        <f t="shared" si="16"/>
        <v>5361</v>
      </c>
      <c r="N155" s="10">
        <v>1090</v>
      </c>
      <c r="O155" s="10">
        <v>0</v>
      </c>
      <c r="P155" s="10">
        <v>0</v>
      </c>
      <c r="Q155" s="38">
        <f t="shared" si="17"/>
        <v>1090</v>
      </c>
      <c r="R155" s="38">
        <f t="shared" si="18"/>
        <v>10249</v>
      </c>
    </row>
    <row r="156" spans="1:18" ht="15.75" customHeight="1" x14ac:dyDescent="0.3">
      <c r="A156" s="310" t="s">
        <v>346</v>
      </c>
      <c r="B156" s="172">
        <v>122</v>
      </c>
      <c r="C156" s="172">
        <v>0</v>
      </c>
      <c r="D156" s="172">
        <v>0</v>
      </c>
      <c r="E156" s="38">
        <f>SUM(B156:D156)</f>
        <v>122</v>
      </c>
      <c r="F156" s="172">
        <v>0</v>
      </c>
      <c r="G156" s="172">
        <v>0</v>
      </c>
      <c r="H156" s="172">
        <v>450</v>
      </c>
      <c r="I156" s="38">
        <f>SUM(F156:H156)</f>
        <v>450</v>
      </c>
      <c r="J156" s="172">
        <v>493</v>
      </c>
      <c r="K156" s="172">
        <v>500</v>
      </c>
      <c r="L156" s="172">
        <v>400</v>
      </c>
      <c r="M156" s="38">
        <f>SUM(J156:L156)</f>
        <v>1393</v>
      </c>
      <c r="N156" s="172">
        <v>0</v>
      </c>
      <c r="O156" s="172">
        <v>300</v>
      </c>
      <c r="P156" s="172">
        <v>250</v>
      </c>
      <c r="Q156" s="38">
        <f>SUM(N156:P156)</f>
        <v>550</v>
      </c>
      <c r="R156" s="38">
        <f>+E156+I156+M156+Q156</f>
        <v>2515</v>
      </c>
    </row>
    <row r="157" spans="1:18" ht="15.75" customHeight="1" x14ac:dyDescent="0.3">
      <c r="A157" s="310" t="s">
        <v>1912</v>
      </c>
      <c r="B157" s="172">
        <v>2</v>
      </c>
      <c r="C157" s="172">
        <v>2</v>
      </c>
      <c r="D157" s="172">
        <v>2</v>
      </c>
      <c r="E157" s="38">
        <f>SUM(B157:D157)</f>
        <v>6</v>
      </c>
      <c r="F157" s="172">
        <v>2</v>
      </c>
      <c r="G157" s="172">
        <v>3</v>
      </c>
      <c r="H157" s="172">
        <v>3</v>
      </c>
      <c r="I157" s="38">
        <f>SUM(F157:H157)</f>
        <v>8</v>
      </c>
      <c r="J157" s="172">
        <v>3</v>
      </c>
      <c r="K157" s="172">
        <v>3</v>
      </c>
      <c r="L157" s="172">
        <v>3</v>
      </c>
      <c r="M157" s="38">
        <f>SUM(J157:L157)</f>
        <v>9</v>
      </c>
      <c r="N157" s="172">
        <v>3</v>
      </c>
      <c r="O157" s="172">
        <v>2</v>
      </c>
      <c r="P157" s="172">
        <v>1</v>
      </c>
      <c r="Q157" s="38">
        <f>SUM(N157:P157)</f>
        <v>6</v>
      </c>
      <c r="R157" s="38">
        <f>+E157+I157+M157+Q157</f>
        <v>29</v>
      </c>
    </row>
    <row r="158" spans="1:18" ht="15.75" customHeight="1" x14ac:dyDescent="0.3">
      <c r="A158" s="234" t="s">
        <v>2161</v>
      </c>
      <c r="B158" s="10"/>
      <c r="C158" s="10"/>
      <c r="D158" s="10"/>
      <c r="E158" s="38" t="s">
        <v>852</v>
      </c>
      <c r="F158" s="10"/>
      <c r="G158" s="10"/>
      <c r="H158" s="10"/>
      <c r="I158" s="38" t="s">
        <v>852</v>
      </c>
      <c r="J158" s="10"/>
      <c r="K158" s="10"/>
      <c r="L158" s="10"/>
      <c r="M158" s="38" t="s">
        <v>852</v>
      </c>
      <c r="N158" s="10"/>
      <c r="O158" s="10"/>
      <c r="P158" s="10"/>
      <c r="Q158" s="38" t="s">
        <v>852</v>
      </c>
      <c r="R158" s="38" t="s">
        <v>852</v>
      </c>
    </row>
    <row r="159" spans="1:18" ht="15.75" customHeight="1" x14ac:dyDescent="0.3">
      <c r="A159" s="310" t="s">
        <v>2368</v>
      </c>
      <c r="B159" s="10">
        <v>15</v>
      </c>
      <c r="C159" s="10">
        <v>15</v>
      </c>
      <c r="D159" s="10">
        <v>23</v>
      </c>
      <c r="E159" s="38">
        <f t="shared" ref="E159:E168" si="24">SUM(B159:D159)</f>
        <v>53</v>
      </c>
      <c r="F159" s="10">
        <v>37</v>
      </c>
      <c r="G159" s="10">
        <v>48</v>
      </c>
      <c r="H159" s="10">
        <v>54</v>
      </c>
      <c r="I159" s="38">
        <f t="shared" ref="I159:I168" si="25">SUM(F159:H159)</f>
        <v>139</v>
      </c>
      <c r="J159" s="10">
        <v>58</v>
      </c>
      <c r="K159" s="10">
        <v>50</v>
      </c>
      <c r="L159" s="10">
        <v>42</v>
      </c>
      <c r="M159" s="38">
        <f t="shared" ref="M159:M168" si="26">SUM(J159:L159)</f>
        <v>150</v>
      </c>
      <c r="N159" s="10">
        <v>55</v>
      </c>
      <c r="O159" s="10">
        <v>34</v>
      </c>
      <c r="P159" s="10">
        <v>18</v>
      </c>
      <c r="Q159" s="38">
        <f t="shared" ref="Q159:Q168" si="27">SUM(N159:P159)</f>
        <v>107</v>
      </c>
      <c r="R159" s="38">
        <f t="shared" ref="R159:R168" si="28">+E159+I159+M159+Q159</f>
        <v>449</v>
      </c>
    </row>
    <row r="160" spans="1:18" ht="15.75" customHeight="1" x14ac:dyDescent="0.3">
      <c r="A160" s="310" t="s">
        <v>1747</v>
      </c>
      <c r="B160" s="172">
        <v>1</v>
      </c>
      <c r="C160" s="172">
        <v>1</v>
      </c>
      <c r="D160" s="172">
        <v>6</v>
      </c>
      <c r="E160" s="38">
        <f t="shared" si="24"/>
        <v>8</v>
      </c>
      <c r="F160" s="172">
        <v>12</v>
      </c>
      <c r="G160" s="172">
        <v>17</v>
      </c>
      <c r="H160" s="172">
        <v>19</v>
      </c>
      <c r="I160" s="38">
        <f t="shared" si="25"/>
        <v>48</v>
      </c>
      <c r="J160" s="172">
        <v>17</v>
      </c>
      <c r="K160" s="172">
        <v>23</v>
      </c>
      <c r="L160" s="172">
        <v>21</v>
      </c>
      <c r="M160" s="38">
        <f t="shared" si="26"/>
        <v>61</v>
      </c>
      <c r="N160" s="172">
        <v>14</v>
      </c>
      <c r="O160" s="172">
        <v>0</v>
      </c>
      <c r="P160" s="172">
        <v>0</v>
      </c>
      <c r="Q160" s="38">
        <f t="shared" si="27"/>
        <v>14</v>
      </c>
      <c r="R160" s="38">
        <f t="shared" si="28"/>
        <v>131</v>
      </c>
    </row>
    <row r="161" spans="1:18" ht="15.75" customHeight="1" x14ac:dyDescent="0.3">
      <c r="A161" s="310" t="s">
        <v>37</v>
      </c>
      <c r="B161" s="10">
        <v>10</v>
      </c>
      <c r="C161" s="10">
        <v>10</v>
      </c>
      <c r="D161" s="10">
        <v>10</v>
      </c>
      <c r="E161" s="38">
        <f t="shared" si="24"/>
        <v>30</v>
      </c>
      <c r="F161" s="10">
        <v>10</v>
      </c>
      <c r="G161" s="10">
        <v>10</v>
      </c>
      <c r="H161" s="10">
        <v>10</v>
      </c>
      <c r="I161" s="38">
        <f t="shared" si="25"/>
        <v>30</v>
      </c>
      <c r="J161" s="10">
        <v>10</v>
      </c>
      <c r="K161" s="10">
        <v>10</v>
      </c>
      <c r="L161" s="10">
        <v>10</v>
      </c>
      <c r="M161" s="38">
        <f t="shared" si="26"/>
        <v>30</v>
      </c>
      <c r="N161" s="10">
        <v>10</v>
      </c>
      <c r="O161" s="10">
        <v>10</v>
      </c>
      <c r="P161" s="10">
        <v>10</v>
      </c>
      <c r="Q161" s="38">
        <f t="shared" si="27"/>
        <v>30</v>
      </c>
      <c r="R161" s="38">
        <f t="shared" si="28"/>
        <v>120</v>
      </c>
    </row>
    <row r="162" spans="1:18" ht="15.75" customHeight="1" x14ac:dyDescent="0.3">
      <c r="A162" s="310" t="s">
        <v>1207</v>
      </c>
      <c r="B162" s="10">
        <v>1</v>
      </c>
      <c r="C162" s="10">
        <v>1</v>
      </c>
      <c r="D162" s="10">
        <v>2</v>
      </c>
      <c r="E162" s="38">
        <f t="shared" si="24"/>
        <v>4</v>
      </c>
      <c r="F162" s="10">
        <v>3</v>
      </c>
      <c r="G162" s="10">
        <v>3</v>
      </c>
      <c r="H162" s="10">
        <v>5</v>
      </c>
      <c r="I162" s="38">
        <f t="shared" si="25"/>
        <v>11</v>
      </c>
      <c r="J162" s="10">
        <v>3</v>
      </c>
      <c r="K162" s="10">
        <v>2</v>
      </c>
      <c r="L162" s="10">
        <v>2</v>
      </c>
      <c r="M162" s="38">
        <f t="shared" si="26"/>
        <v>7</v>
      </c>
      <c r="N162" s="10">
        <v>2</v>
      </c>
      <c r="O162" s="10">
        <v>2</v>
      </c>
      <c r="P162" s="10">
        <v>1</v>
      </c>
      <c r="Q162" s="38">
        <f t="shared" si="27"/>
        <v>5</v>
      </c>
      <c r="R162" s="38">
        <f t="shared" si="28"/>
        <v>27</v>
      </c>
    </row>
    <row r="163" spans="1:18" ht="15.75" customHeight="1" x14ac:dyDescent="0.3">
      <c r="A163" s="266" t="s">
        <v>1879</v>
      </c>
      <c r="B163" s="172">
        <v>0</v>
      </c>
      <c r="C163" s="172">
        <v>0</v>
      </c>
      <c r="D163" s="172">
        <v>0</v>
      </c>
      <c r="E163" s="38">
        <f t="shared" si="24"/>
        <v>0</v>
      </c>
      <c r="F163" s="172">
        <v>0</v>
      </c>
      <c r="G163" s="172">
        <v>0</v>
      </c>
      <c r="H163" s="172">
        <v>0</v>
      </c>
      <c r="I163" s="38">
        <f t="shared" si="25"/>
        <v>0</v>
      </c>
      <c r="J163" s="172">
        <v>0</v>
      </c>
      <c r="K163" s="172">
        <v>0</v>
      </c>
      <c r="L163" s="172">
        <v>0</v>
      </c>
      <c r="M163" s="38">
        <f t="shared" si="26"/>
        <v>0</v>
      </c>
      <c r="N163" s="172">
        <v>0</v>
      </c>
      <c r="O163" s="172">
        <v>0</v>
      </c>
      <c r="P163" s="172">
        <v>0</v>
      </c>
      <c r="Q163" s="38">
        <f t="shared" si="27"/>
        <v>0</v>
      </c>
      <c r="R163" s="38">
        <f t="shared" si="28"/>
        <v>0</v>
      </c>
    </row>
    <row r="164" spans="1:18" ht="15.75" customHeight="1" x14ac:dyDescent="0.3">
      <c r="A164" s="310" t="s">
        <v>1746</v>
      </c>
      <c r="B164" s="172">
        <v>0</v>
      </c>
      <c r="C164" s="172">
        <v>1</v>
      </c>
      <c r="D164" s="172">
        <v>1</v>
      </c>
      <c r="E164" s="38">
        <f t="shared" si="24"/>
        <v>2</v>
      </c>
      <c r="F164" s="172">
        <v>0</v>
      </c>
      <c r="G164" s="172">
        <v>1</v>
      </c>
      <c r="H164" s="172">
        <v>1</v>
      </c>
      <c r="I164" s="38">
        <f t="shared" si="25"/>
        <v>2</v>
      </c>
      <c r="J164" s="172">
        <v>1</v>
      </c>
      <c r="K164" s="172">
        <v>1</v>
      </c>
      <c r="L164" s="172">
        <v>1</v>
      </c>
      <c r="M164" s="38">
        <f t="shared" si="26"/>
        <v>3</v>
      </c>
      <c r="N164" s="172">
        <v>1</v>
      </c>
      <c r="O164" s="172">
        <v>1</v>
      </c>
      <c r="P164" s="172">
        <v>0</v>
      </c>
      <c r="Q164" s="38">
        <f t="shared" si="27"/>
        <v>2</v>
      </c>
      <c r="R164" s="38">
        <f t="shared" si="28"/>
        <v>9</v>
      </c>
    </row>
    <row r="165" spans="1:18" ht="15.75" customHeight="1" x14ac:dyDescent="0.3">
      <c r="A165" s="266" t="s">
        <v>1546</v>
      </c>
      <c r="B165" s="172">
        <v>14</v>
      </c>
      <c r="C165" s="172">
        <v>8</v>
      </c>
      <c r="D165" s="172">
        <v>15</v>
      </c>
      <c r="E165" s="38">
        <f t="shared" si="24"/>
        <v>37</v>
      </c>
      <c r="F165" s="172">
        <v>96</v>
      </c>
      <c r="G165" s="172">
        <v>208</v>
      </c>
      <c r="H165" s="172">
        <v>235</v>
      </c>
      <c r="I165" s="38">
        <f t="shared" si="25"/>
        <v>539</v>
      </c>
      <c r="J165" s="172">
        <v>225</v>
      </c>
      <c r="K165" s="172">
        <v>126</v>
      </c>
      <c r="L165" s="172">
        <v>179</v>
      </c>
      <c r="M165" s="38">
        <f t="shared" si="26"/>
        <v>530</v>
      </c>
      <c r="N165" s="172">
        <v>247</v>
      </c>
      <c r="O165" s="172">
        <v>114</v>
      </c>
      <c r="P165" s="172">
        <v>249</v>
      </c>
      <c r="Q165" s="38">
        <f t="shared" si="27"/>
        <v>610</v>
      </c>
      <c r="R165" s="38">
        <f t="shared" si="28"/>
        <v>1716</v>
      </c>
    </row>
    <row r="166" spans="1:18" ht="15.75" customHeight="1" x14ac:dyDescent="0.3">
      <c r="A166" s="310" t="s">
        <v>2479</v>
      </c>
      <c r="B166" s="172">
        <v>0</v>
      </c>
      <c r="C166" s="172">
        <v>0</v>
      </c>
      <c r="D166" s="172">
        <v>0</v>
      </c>
      <c r="E166" s="38">
        <f t="shared" si="24"/>
        <v>0</v>
      </c>
      <c r="F166" s="172">
        <v>0</v>
      </c>
      <c r="G166" s="172">
        <v>12</v>
      </c>
      <c r="H166" s="172">
        <v>12</v>
      </c>
      <c r="I166" s="38">
        <f t="shared" si="25"/>
        <v>24</v>
      </c>
      <c r="J166" s="172">
        <v>13</v>
      </c>
      <c r="K166" s="172">
        <v>12</v>
      </c>
      <c r="L166" s="172">
        <v>12</v>
      </c>
      <c r="M166" s="38">
        <f t="shared" si="26"/>
        <v>37</v>
      </c>
      <c r="N166" s="172">
        <v>12</v>
      </c>
      <c r="O166" s="172">
        <v>12</v>
      </c>
      <c r="P166" s="172">
        <v>12</v>
      </c>
      <c r="Q166" s="38">
        <f t="shared" si="27"/>
        <v>36</v>
      </c>
      <c r="R166" s="38">
        <f t="shared" si="28"/>
        <v>97</v>
      </c>
    </row>
    <row r="167" spans="1:18" ht="15.75" customHeight="1" x14ac:dyDescent="0.3">
      <c r="A167" s="310" t="s">
        <v>5</v>
      </c>
      <c r="B167" s="172">
        <v>0</v>
      </c>
      <c r="C167" s="172">
        <v>0</v>
      </c>
      <c r="D167" s="172">
        <v>0</v>
      </c>
      <c r="E167" s="38">
        <f t="shared" si="24"/>
        <v>0</v>
      </c>
      <c r="F167" s="172">
        <v>0</v>
      </c>
      <c r="G167" s="172">
        <v>0</v>
      </c>
      <c r="H167" s="172">
        <v>0</v>
      </c>
      <c r="I167" s="38">
        <f t="shared" si="25"/>
        <v>0</v>
      </c>
      <c r="J167" s="172">
        <v>0</v>
      </c>
      <c r="K167" s="172">
        <v>0</v>
      </c>
      <c r="L167" s="172">
        <v>15</v>
      </c>
      <c r="M167" s="38">
        <f t="shared" si="26"/>
        <v>15</v>
      </c>
      <c r="N167" s="172">
        <v>2</v>
      </c>
      <c r="O167" s="172">
        <v>0</v>
      </c>
      <c r="P167" s="172">
        <v>0</v>
      </c>
      <c r="Q167" s="38">
        <f t="shared" si="27"/>
        <v>2</v>
      </c>
      <c r="R167" s="38">
        <f t="shared" si="28"/>
        <v>17</v>
      </c>
    </row>
    <row r="168" spans="1:18" ht="15.75" customHeight="1" x14ac:dyDescent="0.3">
      <c r="A168" s="310" t="s">
        <v>2491</v>
      </c>
      <c r="B168" s="172">
        <v>0</v>
      </c>
      <c r="C168" s="172">
        <v>0</v>
      </c>
      <c r="D168" s="172">
        <v>0</v>
      </c>
      <c r="E168" s="38">
        <f t="shared" si="24"/>
        <v>0</v>
      </c>
      <c r="F168" s="172">
        <v>0</v>
      </c>
      <c r="G168" s="172">
        <v>0</v>
      </c>
      <c r="H168" s="172">
        <v>0</v>
      </c>
      <c r="I168" s="38">
        <f t="shared" si="25"/>
        <v>0</v>
      </c>
      <c r="J168" s="172">
        <v>0</v>
      </c>
      <c r="K168" s="172">
        <v>0</v>
      </c>
      <c r="L168" s="172">
        <v>0</v>
      </c>
      <c r="M168" s="38">
        <f t="shared" si="26"/>
        <v>0</v>
      </c>
      <c r="N168" s="172">
        <v>0</v>
      </c>
      <c r="O168" s="172">
        <v>0</v>
      </c>
      <c r="P168" s="172">
        <v>0</v>
      </c>
      <c r="Q168" s="38">
        <f t="shared" si="27"/>
        <v>0</v>
      </c>
      <c r="R168" s="38">
        <f t="shared" si="28"/>
        <v>0</v>
      </c>
    </row>
    <row r="169" spans="1:18" ht="15.75" customHeight="1" x14ac:dyDescent="0.3">
      <c r="A169" s="234" t="s">
        <v>2162</v>
      </c>
      <c r="B169" s="10"/>
      <c r="C169" s="10"/>
      <c r="D169" s="10"/>
      <c r="E169" s="38" t="s">
        <v>852</v>
      </c>
      <c r="F169" s="10"/>
      <c r="G169" s="10"/>
      <c r="H169" s="10"/>
      <c r="I169" s="38" t="s">
        <v>852</v>
      </c>
      <c r="J169" s="10"/>
      <c r="K169" s="10"/>
      <c r="L169" s="10"/>
      <c r="M169" s="38" t="s">
        <v>852</v>
      </c>
      <c r="N169" s="10"/>
      <c r="O169" s="10"/>
      <c r="P169" s="10"/>
      <c r="Q169" s="38" t="s">
        <v>852</v>
      </c>
      <c r="R169" s="38" t="s">
        <v>852</v>
      </c>
    </row>
    <row r="170" spans="1:18" ht="15.75" customHeight="1" x14ac:dyDescent="0.3">
      <c r="A170" s="268" t="s">
        <v>118</v>
      </c>
      <c r="B170" s="172">
        <v>0</v>
      </c>
      <c r="C170" s="172">
        <v>0</v>
      </c>
      <c r="D170" s="172">
        <v>0</v>
      </c>
      <c r="E170" s="38">
        <f>SUM(B170:D170)</f>
        <v>0</v>
      </c>
      <c r="F170" s="172">
        <v>0</v>
      </c>
      <c r="G170" s="172">
        <v>0</v>
      </c>
      <c r="H170" s="172">
        <v>0</v>
      </c>
      <c r="I170" s="38">
        <f>SUM(F170:H170)</f>
        <v>0</v>
      </c>
      <c r="J170" s="172">
        <v>0</v>
      </c>
      <c r="K170" s="172">
        <v>0</v>
      </c>
      <c r="L170" s="172">
        <v>0</v>
      </c>
      <c r="M170" s="38">
        <f>SUM(J170:L170)</f>
        <v>0</v>
      </c>
      <c r="N170" s="172">
        <v>0</v>
      </c>
      <c r="O170" s="172">
        <v>0</v>
      </c>
      <c r="P170" s="172">
        <v>0</v>
      </c>
      <c r="Q170" s="38">
        <f>SUM(N170:P170)</f>
        <v>0</v>
      </c>
      <c r="R170" s="38">
        <f>+E170+I170+M170+Q170</f>
        <v>0</v>
      </c>
    </row>
    <row r="171" spans="1:18" ht="15.75" customHeight="1" x14ac:dyDescent="0.3">
      <c r="A171" s="268" t="s">
        <v>1697</v>
      </c>
      <c r="B171" s="172">
        <v>0</v>
      </c>
      <c r="C171" s="172">
        <v>0</v>
      </c>
      <c r="D171" s="172">
        <v>0</v>
      </c>
      <c r="E171" s="38">
        <f>SUM(B171:D171)</f>
        <v>0</v>
      </c>
      <c r="F171" s="172">
        <v>0</v>
      </c>
      <c r="G171" s="172">
        <v>0</v>
      </c>
      <c r="H171" s="172">
        <v>0</v>
      </c>
      <c r="I171" s="38">
        <f>SUM(F171:H171)</f>
        <v>0</v>
      </c>
      <c r="J171" s="172">
        <v>0</v>
      </c>
      <c r="K171" s="172">
        <v>0</v>
      </c>
      <c r="L171" s="172">
        <v>1165</v>
      </c>
      <c r="M171" s="38">
        <f>SUM(J171:L171)</f>
        <v>1165</v>
      </c>
      <c r="N171" s="172">
        <v>0</v>
      </c>
      <c r="O171" s="172">
        <v>0</v>
      </c>
      <c r="P171" s="172">
        <v>0</v>
      </c>
      <c r="Q171" s="38">
        <f>SUM(N171:P171)</f>
        <v>0</v>
      </c>
      <c r="R171" s="38">
        <f>+E171+I171+M171+Q171</f>
        <v>1165</v>
      </c>
    </row>
    <row r="172" spans="1:18" ht="15.75" customHeight="1" x14ac:dyDescent="0.3">
      <c r="A172" s="249" t="s">
        <v>1387</v>
      </c>
      <c r="B172" s="172">
        <v>6</v>
      </c>
      <c r="C172" s="172">
        <v>12</v>
      </c>
      <c r="D172" s="172">
        <v>0</v>
      </c>
      <c r="E172" s="38">
        <f>SUM(B172:D172)</f>
        <v>18</v>
      </c>
      <c r="F172" s="172">
        <v>0</v>
      </c>
      <c r="G172" s="172">
        <v>38</v>
      </c>
      <c r="H172" s="172">
        <v>69</v>
      </c>
      <c r="I172" s="38">
        <f>SUM(F172:H172)</f>
        <v>107</v>
      </c>
      <c r="J172" s="172">
        <v>116</v>
      </c>
      <c r="K172" s="172">
        <v>112</v>
      </c>
      <c r="L172" s="172">
        <v>129</v>
      </c>
      <c r="M172" s="38">
        <f>SUM(J172:L172)</f>
        <v>357</v>
      </c>
      <c r="N172" s="172">
        <v>86</v>
      </c>
      <c r="O172" s="172">
        <v>39</v>
      </c>
      <c r="P172" s="172">
        <v>3</v>
      </c>
      <c r="Q172" s="38">
        <f>SUM(N172:P172)</f>
        <v>128</v>
      </c>
      <c r="R172" s="38">
        <f>+E172+I172+M172+Q172</f>
        <v>610</v>
      </c>
    </row>
    <row r="173" spans="1:18" ht="15.75" customHeight="1" thickBot="1" x14ac:dyDescent="0.35">
      <c r="A173" s="234" t="s">
        <v>2164</v>
      </c>
      <c r="B173" s="10"/>
      <c r="C173" s="10"/>
      <c r="D173" s="10"/>
      <c r="E173" s="38" t="s">
        <v>852</v>
      </c>
      <c r="F173" s="10"/>
      <c r="G173" s="10"/>
      <c r="H173" s="10"/>
      <c r="I173" s="38" t="s">
        <v>852</v>
      </c>
      <c r="J173" s="10"/>
      <c r="K173" s="10"/>
      <c r="L173" s="10"/>
      <c r="M173" s="38" t="s">
        <v>852</v>
      </c>
      <c r="N173" s="10"/>
      <c r="O173" s="10"/>
      <c r="P173" s="10"/>
      <c r="Q173" s="38" t="s">
        <v>852</v>
      </c>
      <c r="R173" s="38" t="s">
        <v>852</v>
      </c>
    </row>
    <row r="174" spans="1:18" ht="15.75" customHeight="1" thickBot="1" x14ac:dyDescent="0.35">
      <c r="A174" s="43" t="s">
        <v>1218</v>
      </c>
      <c r="B174" s="45">
        <f>SUM(B134:B173)</f>
        <v>12828</v>
      </c>
      <c r="C174" s="46">
        <f>SUM(C134:C173)</f>
        <v>8591</v>
      </c>
      <c r="D174" s="46">
        <f>SUM(D134:D173)</f>
        <v>11115</v>
      </c>
      <c r="E174" s="37">
        <f>SUM(B174:D174)</f>
        <v>32534</v>
      </c>
      <c r="F174" s="46">
        <f>SUM(F134:F173)</f>
        <v>15536</v>
      </c>
      <c r="G174" s="46">
        <f>SUM(G134:G173)</f>
        <v>12321</v>
      </c>
      <c r="H174" s="46">
        <f>SUM(H134:H173)</f>
        <v>16016</v>
      </c>
      <c r="I174" s="37">
        <f>SUM(F174:H174)</f>
        <v>43873</v>
      </c>
      <c r="J174" s="46">
        <f>SUM(J134:J173)</f>
        <v>26744</v>
      </c>
      <c r="K174" s="46">
        <f>SUM(K134:K173)</f>
        <v>29896</v>
      </c>
      <c r="L174" s="46">
        <f>SUM(L134:L173)</f>
        <v>33121</v>
      </c>
      <c r="M174" s="37">
        <f>SUM(J174:L174)</f>
        <v>89761</v>
      </c>
      <c r="N174" s="46">
        <f>SUM(N134:N173)</f>
        <v>28244</v>
      </c>
      <c r="O174" s="46">
        <f>SUM(O134:O173)</f>
        <v>23134</v>
      </c>
      <c r="P174" s="46">
        <f>SUM(P134:P173)</f>
        <v>18346</v>
      </c>
      <c r="Q174" s="37">
        <f>SUM(N174:P174)</f>
        <v>69724</v>
      </c>
      <c r="R174" s="37">
        <f>+E174+I174+M174+Q174</f>
        <v>235892</v>
      </c>
    </row>
    <row r="175" spans="1:18" ht="15.75" customHeight="1" x14ac:dyDescent="0.3">
      <c r="A175" s="234" t="s">
        <v>1172</v>
      </c>
      <c r="B175" s="10"/>
      <c r="C175" s="10"/>
      <c r="D175" s="10"/>
      <c r="E175" s="38" t="s">
        <v>852</v>
      </c>
      <c r="F175" s="10"/>
      <c r="G175" s="10"/>
      <c r="H175" s="10"/>
      <c r="I175" s="38" t="s">
        <v>852</v>
      </c>
      <c r="J175" s="10"/>
      <c r="K175" s="10"/>
      <c r="L175" s="10"/>
      <c r="M175" s="38" t="s">
        <v>852</v>
      </c>
      <c r="N175" s="10"/>
      <c r="O175" s="10"/>
      <c r="P175" s="10"/>
      <c r="Q175" s="38" t="s">
        <v>852</v>
      </c>
      <c r="R175" s="38" t="s">
        <v>852</v>
      </c>
    </row>
    <row r="176" spans="1:18" ht="15.75" customHeight="1" x14ac:dyDescent="0.3">
      <c r="A176" s="234" t="s">
        <v>1658</v>
      </c>
      <c r="B176" s="10"/>
      <c r="C176" s="10"/>
      <c r="D176" s="10"/>
      <c r="E176" s="38" t="s">
        <v>852</v>
      </c>
      <c r="F176" s="10"/>
      <c r="G176" s="10"/>
      <c r="H176" s="10"/>
      <c r="I176" s="38" t="s">
        <v>852</v>
      </c>
      <c r="J176" s="10"/>
      <c r="K176" s="10"/>
      <c r="L176" s="10"/>
      <c r="M176" s="38" t="s">
        <v>852</v>
      </c>
      <c r="N176" s="10"/>
      <c r="O176" s="10"/>
      <c r="P176" s="10"/>
      <c r="Q176" s="38" t="s">
        <v>852</v>
      </c>
      <c r="R176" s="38" t="s">
        <v>852</v>
      </c>
    </row>
    <row r="177" spans="1:18" ht="15.75" customHeight="1" x14ac:dyDescent="0.3">
      <c r="A177" s="234" t="s">
        <v>2409</v>
      </c>
      <c r="B177" s="10"/>
      <c r="C177" s="10"/>
      <c r="D177" s="10"/>
      <c r="E177" s="38" t="s">
        <v>852</v>
      </c>
      <c r="F177" s="10"/>
      <c r="G177" s="10"/>
      <c r="H177" s="10"/>
      <c r="I177" s="38" t="s">
        <v>852</v>
      </c>
      <c r="J177" s="10"/>
      <c r="K177" s="10"/>
      <c r="L177" s="10"/>
      <c r="M177" s="38" t="s">
        <v>852</v>
      </c>
      <c r="N177" s="10"/>
      <c r="O177" s="10"/>
      <c r="P177" s="10"/>
      <c r="Q177" s="38" t="s">
        <v>852</v>
      </c>
      <c r="R177" s="38" t="s">
        <v>852</v>
      </c>
    </row>
    <row r="178" spans="1:18" ht="15.75" customHeight="1" x14ac:dyDescent="0.3">
      <c r="A178" s="303" t="s">
        <v>1645</v>
      </c>
      <c r="B178" s="172">
        <v>0</v>
      </c>
      <c r="C178" s="172">
        <v>0</v>
      </c>
      <c r="D178" s="172">
        <v>500</v>
      </c>
      <c r="E178" s="38">
        <f>SUM(B178:D178)</f>
        <v>500</v>
      </c>
      <c r="F178" s="172">
        <v>500</v>
      </c>
      <c r="G178" s="172">
        <v>500</v>
      </c>
      <c r="H178" s="172">
        <v>500</v>
      </c>
      <c r="I178" s="38">
        <f>SUM(F178:H178)</f>
        <v>1500</v>
      </c>
      <c r="J178" s="172">
        <v>500</v>
      </c>
      <c r="K178" s="172">
        <v>500</v>
      </c>
      <c r="L178" s="172">
        <v>500</v>
      </c>
      <c r="M178" s="38">
        <f>SUM(J178:L178)</f>
        <v>1500</v>
      </c>
      <c r="N178" s="172">
        <v>500</v>
      </c>
      <c r="O178" s="172">
        <v>0</v>
      </c>
      <c r="P178" s="172">
        <v>0</v>
      </c>
      <c r="Q178" s="38">
        <f>SUM(N178:P178)</f>
        <v>500</v>
      </c>
      <c r="R178" s="38">
        <f>+E178+I178+M178+Q178</f>
        <v>4000</v>
      </c>
    </row>
    <row r="179" spans="1:18" ht="15.75" customHeight="1" thickBot="1" x14ac:dyDescent="0.35">
      <c r="A179" s="234" t="s">
        <v>2165</v>
      </c>
      <c r="B179" s="10"/>
      <c r="C179" s="10"/>
      <c r="D179" s="10"/>
      <c r="E179" s="38" t="s">
        <v>852</v>
      </c>
      <c r="F179" s="10"/>
      <c r="G179" s="10"/>
      <c r="H179" s="10"/>
      <c r="I179" s="38" t="s">
        <v>852</v>
      </c>
      <c r="J179" s="10"/>
      <c r="K179" s="10"/>
      <c r="L179" s="10"/>
      <c r="M179" s="38" t="s">
        <v>852</v>
      </c>
      <c r="N179" s="10"/>
      <c r="O179" s="10"/>
      <c r="P179" s="10"/>
      <c r="Q179" s="38" t="s">
        <v>852</v>
      </c>
      <c r="R179" s="38" t="s">
        <v>852</v>
      </c>
    </row>
    <row r="180" spans="1:18" ht="15.75" customHeight="1" thickBot="1" x14ac:dyDescent="0.35">
      <c r="A180" s="43" t="s">
        <v>1219</v>
      </c>
      <c r="B180" s="45">
        <f>SUM(B175:B179)</f>
        <v>0</v>
      </c>
      <c r="C180" s="46">
        <f>SUM(C175:C179)</f>
        <v>0</v>
      </c>
      <c r="D180" s="46">
        <f>SUM(D175:D179)</f>
        <v>500</v>
      </c>
      <c r="E180" s="37">
        <f>SUM(B180:D180)</f>
        <v>500</v>
      </c>
      <c r="F180" s="46">
        <f>SUM(F175:F179)</f>
        <v>500</v>
      </c>
      <c r="G180" s="46">
        <f>SUM(G175:G179)</f>
        <v>500</v>
      </c>
      <c r="H180" s="46">
        <f>SUM(H175:H179)</f>
        <v>500</v>
      </c>
      <c r="I180" s="37">
        <f>SUM(F180:H180)</f>
        <v>1500</v>
      </c>
      <c r="J180" s="46">
        <f>SUM(J175:J179)</f>
        <v>500</v>
      </c>
      <c r="K180" s="46">
        <f>SUM(K175:K179)</f>
        <v>500</v>
      </c>
      <c r="L180" s="46">
        <f>SUM(L175:L179)</f>
        <v>500</v>
      </c>
      <c r="M180" s="37">
        <f>SUM(J180:L180)</f>
        <v>1500</v>
      </c>
      <c r="N180" s="46">
        <f>SUM(N175:N179)</f>
        <v>500</v>
      </c>
      <c r="O180" s="46">
        <f>SUM(O175:O179)</f>
        <v>0</v>
      </c>
      <c r="P180" s="46">
        <f>SUM(P175:P179)</f>
        <v>0</v>
      </c>
      <c r="Q180" s="37">
        <f>SUM(N180:P180)</f>
        <v>500</v>
      </c>
      <c r="R180" s="37">
        <f>+E180+I180+M180+Q180</f>
        <v>4000</v>
      </c>
    </row>
    <row r="181" spans="1:18" ht="15.75" customHeight="1" x14ac:dyDescent="0.3">
      <c r="A181" s="234" t="s">
        <v>2166</v>
      </c>
      <c r="B181" s="10"/>
      <c r="C181" s="10"/>
      <c r="D181" s="10"/>
      <c r="E181" s="38" t="s">
        <v>852</v>
      </c>
      <c r="F181" s="10"/>
      <c r="G181" s="10"/>
      <c r="H181" s="10"/>
      <c r="I181" s="38" t="s">
        <v>852</v>
      </c>
      <c r="J181" s="10"/>
      <c r="K181" s="10"/>
      <c r="L181" s="10"/>
      <c r="M181" s="38" t="s">
        <v>852</v>
      </c>
      <c r="N181" s="10"/>
      <c r="O181" s="10"/>
      <c r="P181" s="10"/>
      <c r="Q181" s="38" t="s">
        <v>852</v>
      </c>
      <c r="R181" s="38" t="s">
        <v>852</v>
      </c>
    </row>
    <row r="182" spans="1:18" ht="15.75" customHeight="1" x14ac:dyDescent="0.3">
      <c r="A182" s="234" t="s">
        <v>1245</v>
      </c>
      <c r="B182" s="10"/>
      <c r="C182" s="10"/>
      <c r="D182" s="10"/>
      <c r="E182" s="38" t="s">
        <v>852</v>
      </c>
      <c r="F182" s="10"/>
      <c r="G182" s="10"/>
      <c r="H182" s="10"/>
      <c r="I182" s="38" t="s">
        <v>852</v>
      </c>
      <c r="J182" s="10"/>
      <c r="K182" s="10"/>
      <c r="L182" s="10"/>
      <c r="M182" s="38" t="s">
        <v>852</v>
      </c>
      <c r="N182" s="10"/>
      <c r="O182" s="10"/>
      <c r="P182" s="10"/>
      <c r="Q182" s="38" t="s">
        <v>852</v>
      </c>
      <c r="R182" s="38" t="s">
        <v>852</v>
      </c>
    </row>
    <row r="183" spans="1:18" ht="15.75" customHeight="1" x14ac:dyDescent="0.3">
      <c r="A183" s="234" t="s">
        <v>1711</v>
      </c>
      <c r="B183" s="10"/>
      <c r="C183" s="10"/>
      <c r="D183" s="10"/>
      <c r="E183" s="38" t="s">
        <v>852</v>
      </c>
      <c r="F183" s="10"/>
      <c r="G183" s="10"/>
      <c r="H183" s="10"/>
      <c r="I183" s="38" t="s">
        <v>852</v>
      </c>
      <c r="J183" s="10"/>
      <c r="K183" s="10"/>
      <c r="L183" s="10"/>
      <c r="M183" s="38" t="s">
        <v>852</v>
      </c>
      <c r="N183" s="10"/>
      <c r="O183" s="10"/>
      <c r="P183" s="10"/>
      <c r="Q183" s="38" t="s">
        <v>852</v>
      </c>
      <c r="R183" s="38" t="s">
        <v>852</v>
      </c>
    </row>
    <row r="184" spans="1:18" ht="15.75" customHeight="1" x14ac:dyDescent="0.3">
      <c r="A184" s="319" t="s">
        <v>1364</v>
      </c>
      <c r="B184" s="172">
        <v>325</v>
      </c>
      <c r="C184" s="172">
        <v>278</v>
      </c>
      <c r="D184" s="172">
        <v>333</v>
      </c>
      <c r="E184" s="38">
        <f>SUM(B184:D184)</f>
        <v>936</v>
      </c>
      <c r="F184" s="172">
        <v>420</v>
      </c>
      <c r="G184" s="172">
        <v>478</v>
      </c>
      <c r="H184" s="172">
        <v>533</v>
      </c>
      <c r="I184" s="38">
        <f>SUM(F184:H184)</f>
        <v>1431</v>
      </c>
      <c r="J184" s="172">
        <v>583</v>
      </c>
      <c r="K184" s="172">
        <v>536</v>
      </c>
      <c r="L184" s="172">
        <v>544</v>
      </c>
      <c r="M184" s="38">
        <f>SUM(J184:L184)</f>
        <v>1663</v>
      </c>
      <c r="N184" s="172">
        <v>373</v>
      </c>
      <c r="O184" s="172">
        <v>375</v>
      </c>
      <c r="P184" s="172">
        <v>299</v>
      </c>
      <c r="Q184" s="38">
        <f>SUM(N184:P184)</f>
        <v>1047</v>
      </c>
      <c r="R184" s="38">
        <f>+E184+I184+M184+Q184</f>
        <v>5077</v>
      </c>
    </row>
    <row r="185" spans="1:18" ht="15.75" customHeight="1" x14ac:dyDescent="0.3">
      <c r="A185" s="319" t="s">
        <v>1476</v>
      </c>
      <c r="B185" s="172">
        <v>0</v>
      </c>
      <c r="C185" s="172">
        <v>0</v>
      </c>
      <c r="D185" s="172">
        <v>357</v>
      </c>
      <c r="E185" s="38">
        <f>SUM(B185:D185)</f>
        <v>357</v>
      </c>
      <c r="F185" s="172">
        <v>288</v>
      </c>
      <c r="G185" s="172">
        <v>288</v>
      </c>
      <c r="H185" s="172">
        <v>288</v>
      </c>
      <c r="I185" s="38">
        <f>SUM(F185:H185)</f>
        <v>864</v>
      </c>
      <c r="J185" s="172">
        <v>286</v>
      </c>
      <c r="K185" s="172">
        <v>0</v>
      </c>
      <c r="L185" s="172">
        <v>0</v>
      </c>
      <c r="M185" s="38">
        <f>SUM(J185:L185)</f>
        <v>286</v>
      </c>
      <c r="N185" s="172">
        <v>0</v>
      </c>
      <c r="O185" s="172">
        <v>0</v>
      </c>
      <c r="P185" s="172">
        <v>0</v>
      </c>
      <c r="Q185" s="38">
        <f>SUM(N185:P185)</f>
        <v>0</v>
      </c>
      <c r="R185" s="38">
        <f>+E185+I185+M185+Q185</f>
        <v>1507</v>
      </c>
    </row>
    <row r="186" spans="1:18" ht="15.75" customHeight="1" x14ac:dyDescent="0.3">
      <c r="A186" s="540" t="s">
        <v>305</v>
      </c>
      <c r="B186" s="172">
        <v>0</v>
      </c>
      <c r="C186" s="172">
        <v>0</v>
      </c>
      <c r="D186" s="172">
        <v>0</v>
      </c>
      <c r="E186" s="38">
        <f>SUM(B186:D186)</f>
        <v>0</v>
      </c>
      <c r="F186" s="172">
        <v>0</v>
      </c>
      <c r="G186" s="172">
        <v>0</v>
      </c>
      <c r="H186" s="172">
        <v>0</v>
      </c>
      <c r="I186" s="38">
        <f>SUM(F186:H186)</f>
        <v>0</v>
      </c>
      <c r="J186" s="172">
        <v>0</v>
      </c>
      <c r="K186" s="172">
        <v>0</v>
      </c>
      <c r="L186" s="172">
        <v>0</v>
      </c>
      <c r="M186" s="38">
        <f>SUM(J186:L186)</f>
        <v>0</v>
      </c>
      <c r="N186" s="172">
        <v>0</v>
      </c>
      <c r="O186" s="172">
        <v>0</v>
      </c>
      <c r="P186" s="172">
        <v>440</v>
      </c>
      <c r="Q186" s="38">
        <f>SUM(N186:P186)</f>
        <v>440</v>
      </c>
      <c r="R186" s="38">
        <f>+E186+I186+M186+Q186</f>
        <v>440</v>
      </c>
    </row>
    <row r="187" spans="1:18" ht="15.75" customHeight="1" x14ac:dyDescent="0.3">
      <c r="A187" s="319" t="s">
        <v>1565</v>
      </c>
      <c r="B187" s="172">
        <v>8</v>
      </c>
      <c r="C187" s="172">
        <v>11</v>
      </c>
      <c r="D187" s="172">
        <v>21</v>
      </c>
      <c r="E187" s="38">
        <f>SUM(B187:D187)</f>
        <v>40</v>
      </c>
      <c r="F187" s="172">
        <v>52</v>
      </c>
      <c r="G187" s="172">
        <v>45</v>
      </c>
      <c r="H187" s="172">
        <v>84</v>
      </c>
      <c r="I187" s="38">
        <f>SUM(F187:H187)</f>
        <v>181</v>
      </c>
      <c r="J187" s="172">
        <v>95</v>
      </c>
      <c r="K187" s="172">
        <v>67</v>
      </c>
      <c r="L187" s="172">
        <v>75</v>
      </c>
      <c r="M187" s="38">
        <f>SUM(J187:L187)</f>
        <v>237</v>
      </c>
      <c r="N187" s="172">
        <v>51</v>
      </c>
      <c r="O187" s="172">
        <v>45</v>
      </c>
      <c r="P187" s="172">
        <v>18</v>
      </c>
      <c r="Q187" s="38">
        <f>SUM(N187:P187)</f>
        <v>114</v>
      </c>
      <c r="R187" s="38">
        <f>+E187+I187+M187+Q187</f>
        <v>572</v>
      </c>
    </row>
    <row r="188" spans="1:18" ht="15.75" customHeight="1" x14ac:dyDescent="0.3">
      <c r="A188" s="311" t="s">
        <v>1091</v>
      </c>
      <c r="B188" s="10">
        <v>0</v>
      </c>
      <c r="C188" s="10">
        <v>0</v>
      </c>
      <c r="D188" s="10">
        <v>0</v>
      </c>
      <c r="E188" s="38">
        <f t="shared" ref="E188:E216" si="29">SUM(B188:D188)</f>
        <v>0</v>
      </c>
      <c r="F188" s="10">
        <v>0</v>
      </c>
      <c r="G188" s="10">
        <v>0</v>
      </c>
      <c r="H188" s="10">
        <v>0</v>
      </c>
      <c r="I188" s="38">
        <f t="shared" ref="I188:I216" si="30">SUM(F188:H188)</f>
        <v>0</v>
      </c>
      <c r="J188" s="10">
        <v>0</v>
      </c>
      <c r="K188" s="10">
        <v>0</v>
      </c>
      <c r="L188" s="10">
        <v>0</v>
      </c>
      <c r="M188" s="38">
        <f t="shared" ref="M188:M216" si="31">SUM(J188:L188)</f>
        <v>0</v>
      </c>
      <c r="N188" s="10">
        <v>0</v>
      </c>
      <c r="O188" s="10">
        <v>0</v>
      </c>
      <c r="P188" s="10">
        <v>0</v>
      </c>
      <c r="Q188" s="38">
        <f t="shared" ref="Q188:Q216" si="32">SUM(N188:P188)</f>
        <v>0</v>
      </c>
      <c r="R188" s="38">
        <f t="shared" ref="R188:R216" si="33">+E188+I188+M188+Q188</f>
        <v>0</v>
      </c>
    </row>
    <row r="189" spans="1:18" ht="15.75" customHeight="1" x14ac:dyDescent="0.3">
      <c r="A189" s="311" t="s">
        <v>725</v>
      </c>
      <c r="B189" s="172">
        <v>0</v>
      </c>
      <c r="C189" s="172">
        <v>0</v>
      </c>
      <c r="D189" s="172">
        <v>0</v>
      </c>
      <c r="E189" s="38">
        <f>SUM(B189:D189)</f>
        <v>0</v>
      </c>
      <c r="F189" s="172">
        <v>0</v>
      </c>
      <c r="G189" s="172">
        <v>0</v>
      </c>
      <c r="H189" s="172">
        <v>0</v>
      </c>
      <c r="I189" s="38">
        <f>SUM(F189:H189)</f>
        <v>0</v>
      </c>
      <c r="J189" s="172">
        <v>0</v>
      </c>
      <c r="K189" s="172">
        <v>0</v>
      </c>
      <c r="L189" s="172">
        <v>0</v>
      </c>
      <c r="M189" s="38">
        <f>SUM(J189:L189)</f>
        <v>0</v>
      </c>
      <c r="N189" s="172">
        <v>0</v>
      </c>
      <c r="O189" s="172">
        <v>0</v>
      </c>
      <c r="P189" s="172">
        <v>0</v>
      </c>
      <c r="Q189" s="38">
        <f>SUM(N189:P189)</f>
        <v>0</v>
      </c>
      <c r="R189" s="38">
        <f>+E189+I189+M189+Q189</f>
        <v>0</v>
      </c>
    </row>
    <row r="190" spans="1:18" ht="15.75" customHeight="1" x14ac:dyDescent="0.3">
      <c r="A190" s="311" t="s">
        <v>568</v>
      </c>
      <c r="B190" s="10">
        <v>391</v>
      </c>
      <c r="C190" s="10">
        <v>291</v>
      </c>
      <c r="D190" s="10">
        <v>0</v>
      </c>
      <c r="E190" s="38">
        <f t="shared" si="29"/>
        <v>682</v>
      </c>
      <c r="F190" s="10">
        <v>0</v>
      </c>
      <c r="G190" s="10">
        <v>0</v>
      </c>
      <c r="H190" s="10">
        <v>0</v>
      </c>
      <c r="I190" s="38">
        <f t="shared" si="30"/>
        <v>0</v>
      </c>
      <c r="J190" s="10">
        <v>0</v>
      </c>
      <c r="K190" s="10">
        <v>0</v>
      </c>
      <c r="L190" s="10">
        <v>0</v>
      </c>
      <c r="M190" s="38">
        <f t="shared" si="31"/>
        <v>0</v>
      </c>
      <c r="N190" s="10">
        <v>0</v>
      </c>
      <c r="O190" s="10">
        <v>0</v>
      </c>
      <c r="P190" s="10">
        <v>0</v>
      </c>
      <c r="Q190" s="38">
        <f t="shared" si="32"/>
        <v>0</v>
      </c>
      <c r="R190" s="38">
        <f t="shared" si="33"/>
        <v>682</v>
      </c>
    </row>
    <row r="191" spans="1:18" ht="15.75" customHeight="1" x14ac:dyDescent="0.3">
      <c r="A191" s="311" t="s">
        <v>1150</v>
      </c>
      <c r="B191" s="10">
        <v>0</v>
      </c>
      <c r="C191" s="10">
        <v>0</v>
      </c>
      <c r="D191" s="10">
        <v>0</v>
      </c>
      <c r="E191" s="38">
        <f t="shared" si="29"/>
        <v>0</v>
      </c>
      <c r="F191" s="10">
        <v>0</v>
      </c>
      <c r="G191" s="10">
        <v>0</v>
      </c>
      <c r="H191" s="10">
        <v>0</v>
      </c>
      <c r="I191" s="38">
        <f t="shared" si="30"/>
        <v>0</v>
      </c>
      <c r="J191" s="10">
        <v>0</v>
      </c>
      <c r="K191" s="10">
        <v>0</v>
      </c>
      <c r="L191" s="10">
        <v>0</v>
      </c>
      <c r="M191" s="38">
        <f t="shared" si="31"/>
        <v>0</v>
      </c>
      <c r="N191" s="10">
        <v>0</v>
      </c>
      <c r="O191" s="10">
        <v>0</v>
      </c>
      <c r="P191" s="10">
        <v>0</v>
      </c>
      <c r="Q191" s="38">
        <f t="shared" si="32"/>
        <v>0</v>
      </c>
      <c r="R191" s="38">
        <f t="shared" si="33"/>
        <v>0</v>
      </c>
    </row>
    <row r="192" spans="1:18" ht="15.75" customHeight="1" x14ac:dyDescent="0.3">
      <c r="A192" s="311" t="s">
        <v>1973</v>
      </c>
      <c r="B192" s="10">
        <v>1136</v>
      </c>
      <c r="C192" s="10">
        <v>0</v>
      </c>
      <c r="D192" s="10">
        <v>0</v>
      </c>
      <c r="E192" s="38">
        <f t="shared" si="29"/>
        <v>1136</v>
      </c>
      <c r="F192" s="10">
        <v>0</v>
      </c>
      <c r="G192" s="10">
        <v>0</v>
      </c>
      <c r="H192" s="10">
        <v>0</v>
      </c>
      <c r="I192" s="38">
        <f t="shared" si="30"/>
        <v>0</v>
      </c>
      <c r="J192" s="10">
        <v>0</v>
      </c>
      <c r="K192" s="10">
        <v>0</v>
      </c>
      <c r="L192" s="10">
        <v>0</v>
      </c>
      <c r="M192" s="38">
        <f t="shared" si="31"/>
        <v>0</v>
      </c>
      <c r="N192" s="10">
        <v>0</v>
      </c>
      <c r="O192" s="10">
        <v>0</v>
      </c>
      <c r="P192" s="10">
        <v>0</v>
      </c>
      <c r="Q192" s="38">
        <f t="shared" si="32"/>
        <v>0</v>
      </c>
      <c r="R192" s="38">
        <f t="shared" si="33"/>
        <v>1136</v>
      </c>
    </row>
    <row r="193" spans="1:18" ht="15.75" customHeight="1" x14ac:dyDescent="0.3">
      <c r="A193" s="311" t="s">
        <v>1974</v>
      </c>
      <c r="B193" s="10">
        <v>23</v>
      </c>
      <c r="C193" s="10">
        <v>0</v>
      </c>
      <c r="D193" s="10">
        <v>0</v>
      </c>
      <c r="E193" s="38">
        <f t="shared" si="29"/>
        <v>23</v>
      </c>
      <c r="F193" s="10">
        <v>0</v>
      </c>
      <c r="G193" s="10">
        <v>0</v>
      </c>
      <c r="H193" s="10">
        <v>0</v>
      </c>
      <c r="I193" s="38">
        <f t="shared" si="30"/>
        <v>0</v>
      </c>
      <c r="J193" s="10">
        <v>0</v>
      </c>
      <c r="K193" s="10">
        <v>0</v>
      </c>
      <c r="L193" s="10">
        <v>0</v>
      </c>
      <c r="M193" s="38">
        <f t="shared" si="31"/>
        <v>0</v>
      </c>
      <c r="N193" s="10">
        <v>0</v>
      </c>
      <c r="O193" s="10">
        <v>0</v>
      </c>
      <c r="P193" s="10">
        <v>0</v>
      </c>
      <c r="Q193" s="38">
        <f t="shared" si="32"/>
        <v>0</v>
      </c>
      <c r="R193" s="38">
        <f t="shared" si="33"/>
        <v>23</v>
      </c>
    </row>
    <row r="194" spans="1:18" ht="15.75" customHeight="1" x14ac:dyDescent="0.3">
      <c r="A194" s="311" t="s">
        <v>1975</v>
      </c>
      <c r="B194" s="10">
        <v>23</v>
      </c>
      <c r="C194" s="10">
        <v>0</v>
      </c>
      <c r="D194" s="10">
        <v>0</v>
      </c>
      <c r="E194" s="38">
        <f t="shared" si="29"/>
        <v>23</v>
      </c>
      <c r="F194" s="10">
        <v>0</v>
      </c>
      <c r="G194" s="10">
        <v>0</v>
      </c>
      <c r="H194" s="10">
        <v>0</v>
      </c>
      <c r="I194" s="38">
        <f t="shared" si="30"/>
        <v>0</v>
      </c>
      <c r="J194" s="10">
        <v>0</v>
      </c>
      <c r="K194" s="10">
        <v>0</v>
      </c>
      <c r="L194" s="10">
        <v>0</v>
      </c>
      <c r="M194" s="38">
        <f t="shared" si="31"/>
        <v>0</v>
      </c>
      <c r="N194" s="10">
        <v>0</v>
      </c>
      <c r="O194" s="10">
        <v>0</v>
      </c>
      <c r="P194" s="10">
        <v>0</v>
      </c>
      <c r="Q194" s="38">
        <f t="shared" si="32"/>
        <v>0</v>
      </c>
      <c r="R194" s="38">
        <f t="shared" si="33"/>
        <v>23</v>
      </c>
    </row>
    <row r="195" spans="1:18" ht="15.75" customHeight="1" x14ac:dyDescent="0.3">
      <c r="A195" s="311" t="s">
        <v>1849</v>
      </c>
      <c r="B195" s="10">
        <v>821</v>
      </c>
      <c r="C195" s="10">
        <v>1355</v>
      </c>
      <c r="D195" s="10">
        <v>687</v>
      </c>
      <c r="E195" s="38">
        <f t="shared" si="29"/>
        <v>2863</v>
      </c>
      <c r="F195" s="10">
        <v>819</v>
      </c>
      <c r="G195" s="10">
        <v>999</v>
      </c>
      <c r="H195" s="10">
        <v>1018</v>
      </c>
      <c r="I195" s="38">
        <f t="shared" si="30"/>
        <v>2836</v>
      </c>
      <c r="J195" s="10">
        <v>23</v>
      </c>
      <c r="K195" s="10">
        <v>732</v>
      </c>
      <c r="L195" s="10">
        <v>0</v>
      </c>
      <c r="M195" s="38">
        <f t="shared" si="31"/>
        <v>755</v>
      </c>
      <c r="N195" s="10">
        <v>0</v>
      </c>
      <c r="O195" s="10">
        <v>0</v>
      </c>
      <c r="P195" s="10">
        <v>0</v>
      </c>
      <c r="Q195" s="38">
        <f t="shared" si="32"/>
        <v>0</v>
      </c>
      <c r="R195" s="38">
        <f t="shared" si="33"/>
        <v>6454</v>
      </c>
    </row>
    <row r="196" spans="1:18" ht="15.75" customHeight="1" x14ac:dyDescent="0.3">
      <c r="A196" s="311" t="s">
        <v>1851</v>
      </c>
      <c r="B196" s="10">
        <v>0</v>
      </c>
      <c r="C196" s="10">
        <v>0</v>
      </c>
      <c r="D196" s="10">
        <v>0</v>
      </c>
      <c r="E196" s="38">
        <f t="shared" si="29"/>
        <v>0</v>
      </c>
      <c r="F196" s="10">
        <v>0</v>
      </c>
      <c r="G196" s="10">
        <v>0</v>
      </c>
      <c r="H196" s="10">
        <v>11418</v>
      </c>
      <c r="I196" s="38">
        <f t="shared" si="30"/>
        <v>11418</v>
      </c>
      <c r="J196" s="10">
        <v>3582</v>
      </c>
      <c r="K196" s="10">
        <v>0</v>
      </c>
      <c r="L196" s="10">
        <v>0</v>
      </c>
      <c r="M196" s="38">
        <f t="shared" si="31"/>
        <v>3582</v>
      </c>
      <c r="N196" s="10">
        <v>0</v>
      </c>
      <c r="O196" s="10">
        <v>0</v>
      </c>
      <c r="P196" s="10">
        <v>0</v>
      </c>
      <c r="Q196" s="38">
        <f t="shared" si="32"/>
        <v>0</v>
      </c>
      <c r="R196" s="38">
        <f t="shared" si="33"/>
        <v>15000</v>
      </c>
    </row>
    <row r="197" spans="1:18" ht="15.75" customHeight="1" x14ac:dyDescent="0.3">
      <c r="A197" s="311" t="s">
        <v>1850</v>
      </c>
      <c r="B197" s="10">
        <v>0</v>
      </c>
      <c r="C197" s="10">
        <v>2957</v>
      </c>
      <c r="D197" s="10">
        <v>3337</v>
      </c>
      <c r="E197" s="38">
        <f>SUM(B197:D197)</f>
        <v>6294</v>
      </c>
      <c r="F197" s="10">
        <v>4628</v>
      </c>
      <c r="G197" s="10">
        <v>1078</v>
      </c>
      <c r="H197" s="10">
        <v>0</v>
      </c>
      <c r="I197" s="38">
        <f>SUM(F197:H197)</f>
        <v>5706</v>
      </c>
      <c r="J197" s="10">
        <v>0</v>
      </c>
      <c r="K197" s="10">
        <v>0</v>
      </c>
      <c r="L197" s="10">
        <v>0</v>
      </c>
      <c r="M197" s="38">
        <f>SUM(J197:L197)</f>
        <v>0</v>
      </c>
      <c r="N197" s="10">
        <v>0</v>
      </c>
      <c r="O197" s="10">
        <v>0</v>
      </c>
      <c r="P197" s="10">
        <v>0</v>
      </c>
      <c r="Q197" s="38">
        <f>SUM(N197:P197)</f>
        <v>0</v>
      </c>
      <c r="R197" s="38">
        <f>+E197+I197+M197+Q197</f>
        <v>12000</v>
      </c>
    </row>
    <row r="198" spans="1:18" ht="15.75" customHeight="1" x14ac:dyDescent="0.3">
      <c r="A198" s="311" t="s">
        <v>1495</v>
      </c>
      <c r="B198" s="10">
        <v>0</v>
      </c>
      <c r="C198" s="10">
        <v>0</v>
      </c>
      <c r="D198" s="10">
        <v>0</v>
      </c>
      <c r="E198" s="38">
        <f t="shared" si="29"/>
        <v>0</v>
      </c>
      <c r="F198" s="10">
        <v>0</v>
      </c>
      <c r="G198" s="10">
        <v>2638</v>
      </c>
      <c r="H198" s="10">
        <v>1662</v>
      </c>
      <c r="I198" s="38">
        <f t="shared" si="30"/>
        <v>4300</v>
      </c>
      <c r="J198" s="10">
        <v>0</v>
      </c>
      <c r="K198" s="10">
        <v>0</v>
      </c>
      <c r="L198" s="10">
        <v>0</v>
      </c>
      <c r="M198" s="38">
        <f t="shared" si="31"/>
        <v>0</v>
      </c>
      <c r="N198" s="10">
        <v>0</v>
      </c>
      <c r="O198" s="10">
        <v>0</v>
      </c>
      <c r="P198" s="10">
        <v>0</v>
      </c>
      <c r="Q198" s="38">
        <f t="shared" si="32"/>
        <v>0</v>
      </c>
      <c r="R198" s="38">
        <f t="shared" si="33"/>
        <v>4300</v>
      </c>
    </row>
    <row r="199" spans="1:18" ht="15.75" customHeight="1" x14ac:dyDescent="0.3">
      <c r="A199" s="311" t="s">
        <v>885</v>
      </c>
      <c r="B199" s="10">
        <v>0</v>
      </c>
      <c r="C199" s="10">
        <v>0</v>
      </c>
      <c r="D199" s="10">
        <v>0</v>
      </c>
      <c r="E199" s="38">
        <f t="shared" si="29"/>
        <v>0</v>
      </c>
      <c r="F199" s="10">
        <v>0</v>
      </c>
      <c r="G199" s="10">
        <v>0</v>
      </c>
      <c r="H199" s="10">
        <v>0</v>
      </c>
      <c r="I199" s="38">
        <f t="shared" si="30"/>
        <v>0</v>
      </c>
      <c r="J199" s="10">
        <v>0</v>
      </c>
      <c r="K199" s="10">
        <v>0</v>
      </c>
      <c r="L199" s="10">
        <v>0</v>
      </c>
      <c r="M199" s="38">
        <f t="shared" si="31"/>
        <v>0</v>
      </c>
      <c r="N199" s="10">
        <v>0</v>
      </c>
      <c r="O199" s="10">
        <v>0</v>
      </c>
      <c r="P199" s="10">
        <v>0</v>
      </c>
      <c r="Q199" s="38">
        <f t="shared" si="32"/>
        <v>0</v>
      </c>
      <c r="R199" s="38">
        <f t="shared" si="33"/>
        <v>0</v>
      </c>
    </row>
    <row r="200" spans="1:18" ht="15.75" customHeight="1" x14ac:dyDescent="0.3">
      <c r="A200" s="311" t="s">
        <v>613</v>
      </c>
      <c r="B200" s="172">
        <v>0</v>
      </c>
      <c r="C200" s="172">
        <v>0</v>
      </c>
      <c r="D200" s="172">
        <v>0</v>
      </c>
      <c r="E200" s="38">
        <f t="shared" si="29"/>
        <v>0</v>
      </c>
      <c r="F200" s="172">
        <v>0</v>
      </c>
      <c r="G200" s="172">
        <v>0</v>
      </c>
      <c r="H200" s="172">
        <v>0</v>
      </c>
      <c r="I200" s="38">
        <f t="shared" si="30"/>
        <v>0</v>
      </c>
      <c r="J200" s="172">
        <v>0</v>
      </c>
      <c r="K200" s="172">
        <v>0</v>
      </c>
      <c r="L200" s="172">
        <v>0</v>
      </c>
      <c r="M200" s="38">
        <f t="shared" si="31"/>
        <v>0</v>
      </c>
      <c r="N200" s="172">
        <v>0</v>
      </c>
      <c r="O200" s="172">
        <v>0</v>
      </c>
      <c r="P200" s="172">
        <v>0</v>
      </c>
      <c r="Q200" s="38">
        <f t="shared" si="32"/>
        <v>0</v>
      </c>
      <c r="R200" s="38">
        <f t="shared" si="33"/>
        <v>0</v>
      </c>
    </row>
    <row r="201" spans="1:18" ht="15.75" customHeight="1" x14ac:dyDescent="0.3">
      <c r="A201" s="311" t="s">
        <v>1163</v>
      </c>
      <c r="B201" s="10">
        <v>0</v>
      </c>
      <c r="C201" s="10">
        <v>0</v>
      </c>
      <c r="D201" s="10">
        <v>0</v>
      </c>
      <c r="E201" s="38">
        <f t="shared" si="29"/>
        <v>0</v>
      </c>
      <c r="F201" s="10">
        <v>716</v>
      </c>
      <c r="G201" s="10">
        <v>1046</v>
      </c>
      <c r="H201" s="10">
        <v>52</v>
      </c>
      <c r="I201" s="38">
        <f t="shared" si="30"/>
        <v>1814</v>
      </c>
      <c r="J201" s="10">
        <v>0</v>
      </c>
      <c r="K201" s="10">
        <v>0</v>
      </c>
      <c r="L201" s="10">
        <v>0</v>
      </c>
      <c r="M201" s="38">
        <f t="shared" si="31"/>
        <v>0</v>
      </c>
      <c r="N201" s="10">
        <v>0</v>
      </c>
      <c r="O201" s="10">
        <v>0</v>
      </c>
      <c r="P201" s="10">
        <v>0</v>
      </c>
      <c r="Q201" s="38">
        <f t="shared" si="32"/>
        <v>0</v>
      </c>
      <c r="R201" s="38">
        <f t="shared" si="33"/>
        <v>1814</v>
      </c>
    </row>
    <row r="202" spans="1:18" ht="15.75" customHeight="1" x14ac:dyDescent="0.3">
      <c r="A202" s="311" t="s">
        <v>1097</v>
      </c>
      <c r="B202" s="10">
        <v>0</v>
      </c>
      <c r="C202" s="10">
        <v>0</v>
      </c>
      <c r="D202" s="10">
        <v>0</v>
      </c>
      <c r="E202" s="38">
        <f t="shared" si="29"/>
        <v>0</v>
      </c>
      <c r="F202" s="10">
        <v>0</v>
      </c>
      <c r="G202" s="10">
        <v>0</v>
      </c>
      <c r="H202" s="10">
        <v>0</v>
      </c>
      <c r="I202" s="38">
        <f t="shared" si="30"/>
        <v>0</v>
      </c>
      <c r="J202" s="10">
        <v>0</v>
      </c>
      <c r="K202" s="10">
        <v>0</v>
      </c>
      <c r="L202" s="10">
        <v>0</v>
      </c>
      <c r="M202" s="38">
        <f t="shared" si="31"/>
        <v>0</v>
      </c>
      <c r="N202" s="10">
        <v>0</v>
      </c>
      <c r="O202" s="10">
        <v>0</v>
      </c>
      <c r="P202" s="10">
        <v>0</v>
      </c>
      <c r="Q202" s="38">
        <f t="shared" si="32"/>
        <v>0</v>
      </c>
      <c r="R202" s="38">
        <f t="shared" si="33"/>
        <v>0</v>
      </c>
    </row>
    <row r="203" spans="1:18" ht="15.75" customHeight="1" x14ac:dyDescent="0.3">
      <c r="A203" s="311" t="s">
        <v>14</v>
      </c>
      <c r="B203" s="10">
        <v>0</v>
      </c>
      <c r="C203" s="10">
        <v>0</v>
      </c>
      <c r="D203" s="10">
        <v>0</v>
      </c>
      <c r="E203" s="38">
        <f t="shared" si="29"/>
        <v>0</v>
      </c>
      <c r="F203" s="10">
        <v>0</v>
      </c>
      <c r="G203" s="10">
        <v>3023</v>
      </c>
      <c r="H203" s="10">
        <v>0</v>
      </c>
      <c r="I203" s="38">
        <f t="shared" si="30"/>
        <v>3023</v>
      </c>
      <c r="J203" s="10">
        <v>0</v>
      </c>
      <c r="K203" s="10">
        <v>0</v>
      </c>
      <c r="L203" s="10">
        <v>0</v>
      </c>
      <c r="M203" s="38">
        <f t="shared" si="31"/>
        <v>0</v>
      </c>
      <c r="N203" s="10">
        <v>0</v>
      </c>
      <c r="O203" s="10">
        <v>0</v>
      </c>
      <c r="P203" s="10">
        <v>0</v>
      </c>
      <c r="Q203" s="38">
        <f t="shared" si="32"/>
        <v>0</v>
      </c>
      <c r="R203" s="38">
        <f t="shared" si="33"/>
        <v>3023</v>
      </c>
    </row>
    <row r="204" spans="1:18" ht="15.75" customHeight="1" x14ac:dyDescent="0.3">
      <c r="A204" s="311" t="s">
        <v>2410</v>
      </c>
      <c r="B204" s="10">
        <v>60</v>
      </c>
      <c r="C204" s="10">
        <v>0</v>
      </c>
      <c r="D204" s="10">
        <v>0</v>
      </c>
      <c r="E204" s="38">
        <f t="shared" si="29"/>
        <v>60</v>
      </c>
      <c r="F204" s="10">
        <v>0</v>
      </c>
      <c r="G204" s="10">
        <v>0</v>
      </c>
      <c r="H204" s="10">
        <v>0</v>
      </c>
      <c r="I204" s="38">
        <f t="shared" si="30"/>
        <v>0</v>
      </c>
      <c r="J204" s="10">
        <v>0</v>
      </c>
      <c r="K204" s="10">
        <v>0</v>
      </c>
      <c r="L204" s="10">
        <v>0</v>
      </c>
      <c r="M204" s="38">
        <f t="shared" si="31"/>
        <v>0</v>
      </c>
      <c r="N204" s="10">
        <v>0</v>
      </c>
      <c r="O204" s="10">
        <v>0</v>
      </c>
      <c r="P204" s="10">
        <v>0</v>
      </c>
      <c r="Q204" s="38">
        <f t="shared" si="32"/>
        <v>0</v>
      </c>
      <c r="R204" s="38">
        <f t="shared" si="33"/>
        <v>60</v>
      </c>
    </row>
    <row r="205" spans="1:18" ht="15.75" customHeight="1" x14ac:dyDescent="0.3">
      <c r="A205" s="311" t="s">
        <v>2485</v>
      </c>
      <c r="B205" s="10">
        <v>60</v>
      </c>
      <c r="C205" s="10">
        <v>0</v>
      </c>
      <c r="D205" s="10">
        <v>0</v>
      </c>
      <c r="E205" s="38">
        <f t="shared" si="29"/>
        <v>60</v>
      </c>
      <c r="F205" s="10">
        <v>0</v>
      </c>
      <c r="G205" s="10">
        <v>0</v>
      </c>
      <c r="H205" s="10">
        <v>0</v>
      </c>
      <c r="I205" s="38">
        <f t="shared" si="30"/>
        <v>0</v>
      </c>
      <c r="J205" s="10">
        <v>0</v>
      </c>
      <c r="K205" s="10">
        <v>0</v>
      </c>
      <c r="L205" s="10">
        <v>0</v>
      </c>
      <c r="M205" s="38">
        <f t="shared" si="31"/>
        <v>0</v>
      </c>
      <c r="N205" s="10">
        <v>0</v>
      </c>
      <c r="O205" s="10">
        <v>0</v>
      </c>
      <c r="P205" s="10">
        <v>0</v>
      </c>
      <c r="Q205" s="38">
        <f t="shared" si="32"/>
        <v>0</v>
      </c>
      <c r="R205" s="38">
        <f t="shared" si="33"/>
        <v>60</v>
      </c>
    </row>
    <row r="206" spans="1:18" ht="15.75" customHeight="1" x14ac:dyDescent="0.3">
      <c r="A206" s="318" t="s">
        <v>2159</v>
      </c>
      <c r="B206" s="10">
        <v>4146</v>
      </c>
      <c r="C206" s="10">
        <v>3012</v>
      </c>
      <c r="D206" s="10">
        <v>3933</v>
      </c>
      <c r="E206" s="38">
        <f t="shared" si="29"/>
        <v>11091</v>
      </c>
      <c r="F206" s="10">
        <v>0</v>
      </c>
      <c r="G206" s="10">
        <v>2509</v>
      </c>
      <c r="H206" s="10">
        <v>1400</v>
      </c>
      <c r="I206" s="38">
        <f t="shared" si="30"/>
        <v>3909</v>
      </c>
      <c r="J206" s="10">
        <v>0</v>
      </c>
      <c r="K206" s="10">
        <v>0</v>
      </c>
      <c r="L206" s="10">
        <v>0</v>
      </c>
      <c r="M206" s="38">
        <f t="shared" si="31"/>
        <v>0</v>
      </c>
      <c r="N206" s="10">
        <v>0</v>
      </c>
      <c r="O206" s="10">
        <v>0</v>
      </c>
      <c r="P206" s="10">
        <v>0</v>
      </c>
      <c r="Q206" s="38">
        <f t="shared" si="32"/>
        <v>0</v>
      </c>
      <c r="R206" s="38">
        <f t="shared" si="33"/>
        <v>15000</v>
      </c>
    </row>
    <row r="207" spans="1:18" ht="15.75" customHeight="1" x14ac:dyDescent="0.3">
      <c r="A207" s="311" t="s">
        <v>519</v>
      </c>
      <c r="B207" s="172">
        <v>400</v>
      </c>
      <c r="C207" s="172">
        <v>361</v>
      </c>
      <c r="D207" s="172">
        <v>0</v>
      </c>
      <c r="E207" s="38">
        <f t="shared" si="29"/>
        <v>761</v>
      </c>
      <c r="F207" s="172">
        <v>268</v>
      </c>
      <c r="G207" s="172">
        <v>0</v>
      </c>
      <c r="H207" s="172">
        <v>622</v>
      </c>
      <c r="I207" s="38">
        <f t="shared" si="30"/>
        <v>890</v>
      </c>
      <c r="J207" s="172">
        <v>635</v>
      </c>
      <c r="K207" s="172">
        <v>825</v>
      </c>
      <c r="L207" s="172">
        <v>979</v>
      </c>
      <c r="M207" s="38">
        <f t="shared" si="31"/>
        <v>2439</v>
      </c>
      <c r="N207" s="172">
        <v>713</v>
      </c>
      <c r="O207" s="172">
        <v>622</v>
      </c>
      <c r="P207" s="172">
        <v>635</v>
      </c>
      <c r="Q207" s="38">
        <f t="shared" si="32"/>
        <v>1970</v>
      </c>
      <c r="R207" s="38">
        <f t="shared" si="33"/>
        <v>6060</v>
      </c>
    </row>
    <row r="208" spans="1:18" ht="15.75" customHeight="1" x14ac:dyDescent="0.3">
      <c r="A208" s="311" t="s">
        <v>781</v>
      </c>
      <c r="B208" s="10">
        <v>0</v>
      </c>
      <c r="C208" s="10">
        <v>0</v>
      </c>
      <c r="D208" s="10">
        <v>0</v>
      </c>
      <c r="E208" s="38">
        <f t="shared" si="29"/>
        <v>0</v>
      </c>
      <c r="F208" s="10">
        <v>0</v>
      </c>
      <c r="G208" s="10">
        <v>0</v>
      </c>
      <c r="H208" s="10">
        <v>0</v>
      </c>
      <c r="I208" s="38">
        <f t="shared" si="30"/>
        <v>0</v>
      </c>
      <c r="J208" s="10">
        <v>0</v>
      </c>
      <c r="K208" s="10">
        <v>0</v>
      </c>
      <c r="L208" s="10">
        <v>0</v>
      </c>
      <c r="M208" s="38">
        <f t="shared" si="31"/>
        <v>0</v>
      </c>
      <c r="N208" s="10">
        <v>0</v>
      </c>
      <c r="O208" s="10">
        <v>0</v>
      </c>
      <c r="P208" s="10">
        <v>0</v>
      </c>
      <c r="Q208" s="38">
        <f t="shared" si="32"/>
        <v>0</v>
      </c>
      <c r="R208" s="38">
        <f t="shared" si="33"/>
        <v>0</v>
      </c>
    </row>
    <row r="209" spans="1:18" ht="15.75" customHeight="1" x14ac:dyDescent="0.3">
      <c r="A209" s="311" t="s">
        <v>1475</v>
      </c>
      <c r="B209" s="172">
        <v>0</v>
      </c>
      <c r="C209" s="172">
        <v>0</v>
      </c>
      <c r="D209" s="172">
        <v>0</v>
      </c>
      <c r="E209" s="38">
        <f>SUM(B209:D209)</f>
        <v>0</v>
      </c>
      <c r="F209" s="172">
        <v>0</v>
      </c>
      <c r="G209" s="172">
        <v>0</v>
      </c>
      <c r="H209" s="172">
        <v>0</v>
      </c>
      <c r="I209" s="38">
        <f>SUM(F209:H209)</f>
        <v>0</v>
      </c>
      <c r="J209" s="172">
        <v>0</v>
      </c>
      <c r="K209" s="172">
        <v>0</v>
      </c>
      <c r="L209" s="172">
        <v>0</v>
      </c>
      <c r="M209" s="38">
        <f>SUM(J209:L209)</f>
        <v>0</v>
      </c>
      <c r="N209" s="172">
        <v>0</v>
      </c>
      <c r="O209" s="172">
        <v>0</v>
      </c>
      <c r="P209" s="172">
        <v>0</v>
      </c>
      <c r="Q209" s="38">
        <f>SUM(N209:P209)</f>
        <v>0</v>
      </c>
      <c r="R209" s="38">
        <f>+E209+I209+M209+Q209</f>
        <v>0</v>
      </c>
    </row>
    <row r="210" spans="1:18" ht="15.75" customHeight="1" x14ac:dyDescent="0.3">
      <c r="A210" s="311" t="s">
        <v>100</v>
      </c>
      <c r="B210" s="172">
        <v>0</v>
      </c>
      <c r="C210" s="172">
        <v>14</v>
      </c>
      <c r="D210" s="172">
        <v>1773</v>
      </c>
      <c r="E210" s="38">
        <f t="shared" si="29"/>
        <v>1787</v>
      </c>
      <c r="F210" s="172">
        <v>1063</v>
      </c>
      <c r="G210" s="172">
        <v>0</v>
      </c>
      <c r="H210" s="172">
        <v>0</v>
      </c>
      <c r="I210" s="38">
        <f t="shared" si="30"/>
        <v>1063</v>
      </c>
      <c r="J210" s="172">
        <v>0</v>
      </c>
      <c r="K210" s="172">
        <v>0</v>
      </c>
      <c r="L210" s="172">
        <v>0</v>
      </c>
      <c r="M210" s="38">
        <f t="shared" si="31"/>
        <v>0</v>
      </c>
      <c r="N210" s="172">
        <v>0</v>
      </c>
      <c r="O210" s="172">
        <v>0</v>
      </c>
      <c r="P210" s="172">
        <v>0</v>
      </c>
      <c r="Q210" s="38">
        <f t="shared" si="32"/>
        <v>0</v>
      </c>
      <c r="R210" s="38">
        <f t="shared" si="33"/>
        <v>2850</v>
      </c>
    </row>
    <row r="211" spans="1:18" ht="15.75" customHeight="1" x14ac:dyDescent="0.3">
      <c r="A211" s="311" t="s">
        <v>101</v>
      </c>
      <c r="B211" s="10">
        <v>0</v>
      </c>
      <c r="C211" s="10">
        <v>0</v>
      </c>
      <c r="D211" s="10">
        <v>0</v>
      </c>
      <c r="E211" s="38">
        <f t="shared" si="29"/>
        <v>0</v>
      </c>
      <c r="F211" s="10">
        <v>0</v>
      </c>
      <c r="G211" s="10">
        <v>0</v>
      </c>
      <c r="H211" s="10">
        <v>0</v>
      </c>
      <c r="I211" s="38">
        <f t="shared" si="30"/>
        <v>0</v>
      </c>
      <c r="J211" s="10">
        <v>0</v>
      </c>
      <c r="K211" s="10">
        <v>0</v>
      </c>
      <c r="L211" s="10">
        <v>0</v>
      </c>
      <c r="M211" s="38">
        <f t="shared" si="31"/>
        <v>0</v>
      </c>
      <c r="N211" s="10">
        <v>0</v>
      </c>
      <c r="O211" s="10">
        <v>0</v>
      </c>
      <c r="P211" s="10">
        <v>0</v>
      </c>
      <c r="Q211" s="38">
        <f t="shared" si="32"/>
        <v>0</v>
      </c>
      <c r="R211" s="38">
        <f t="shared" si="33"/>
        <v>0</v>
      </c>
    </row>
    <row r="212" spans="1:18" ht="15.75" customHeight="1" x14ac:dyDescent="0.3">
      <c r="A212" s="311" t="s">
        <v>2446</v>
      </c>
      <c r="B212" s="10">
        <v>0</v>
      </c>
      <c r="C212" s="10">
        <v>0</v>
      </c>
      <c r="D212" s="10">
        <v>0</v>
      </c>
      <c r="E212" s="38">
        <f t="shared" si="29"/>
        <v>0</v>
      </c>
      <c r="F212" s="10">
        <v>0</v>
      </c>
      <c r="G212" s="10">
        <v>4750</v>
      </c>
      <c r="H212" s="10">
        <v>0</v>
      </c>
      <c r="I212" s="38">
        <f t="shared" si="30"/>
        <v>4750</v>
      </c>
      <c r="J212" s="10">
        <v>0</v>
      </c>
      <c r="K212" s="10">
        <v>0</v>
      </c>
      <c r="L212" s="10">
        <v>0</v>
      </c>
      <c r="M212" s="38">
        <f t="shared" si="31"/>
        <v>0</v>
      </c>
      <c r="N212" s="10">
        <v>0</v>
      </c>
      <c r="O212" s="10">
        <v>0</v>
      </c>
      <c r="P212" s="10">
        <v>0</v>
      </c>
      <c r="Q212" s="38">
        <f t="shared" si="32"/>
        <v>0</v>
      </c>
      <c r="R212" s="38">
        <f t="shared" si="33"/>
        <v>4750</v>
      </c>
    </row>
    <row r="213" spans="1:18" ht="15.75" customHeight="1" x14ac:dyDescent="0.3">
      <c r="A213" s="311" t="s">
        <v>829</v>
      </c>
      <c r="B213" s="10">
        <v>95</v>
      </c>
      <c r="C213" s="10">
        <v>0</v>
      </c>
      <c r="D213" s="10">
        <v>0</v>
      </c>
      <c r="E213" s="38">
        <f t="shared" si="29"/>
        <v>95</v>
      </c>
      <c r="F213" s="10">
        <v>0</v>
      </c>
      <c r="G213" s="10">
        <v>0</v>
      </c>
      <c r="H213" s="10">
        <v>0</v>
      </c>
      <c r="I213" s="38">
        <f t="shared" si="30"/>
        <v>0</v>
      </c>
      <c r="J213" s="10">
        <v>0</v>
      </c>
      <c r="K213" s="10">
        <v>0</v>
      </c>
      <c r="L213" s="10">
        <v>0</v>
      </c>
      <c r="M213" s="38">
        <f t="shared" si="31"/>
        <v>0</v>
      </c>
      <c r="N213" s="10">
        <v>0</v>
      </c>
      <c r="O213" s="10">
        <v>0</v>
      </c>
      <c r="P213" s="10">
        <v>0</v>
      </c>
      <c r="Q213" s="38">
        <f t="shared" si="32"/>
        <v>0</v>
      </c>
      <c r="R213" s="38">
        <f t="shared" si="33"/>
        <v>95</v>
      </c>
    </row>
    <row r="214" spans="1:18" ht="15.75" customHeight="1" x14ac:dyDescent="0.3">
      <c r="A214" s="311" t="s">
        <v>343</v>
      </c>
      <c r="B214" s="10">
        <v>95</v>
      </c>
      <c r="C214" s="10">
        <v>0</v>
      </c>
      <c r="D214" s="10">
        <v>0</v>
      </c>
      <c r="E214" s="38">
        <f t="shared" si="29"/>
        <v>95</v>
      </c>
      <c r="F214" s="10">
        <v>0</v>
      </c>
      <c r="G214" s="10">
        <v>0</v>
      </c>
      <c r="H214" s="10">
        <v>0</v>
      </c>
      <c r="I214" s="38">
        <f t="shared" si="30"/>
        <v>0</v>
      </c>
      <c r="J214" s="10">
        <v>0</v>
      </c>
      <c r="K214" s="10">
        <v>0</v>
      </c>
      <c r="L214" s="10">
        <v>0</v>
      </c>
      <c r="M214" s="38">
        <f t="shared" si="31"/>
        <v>0</v>
      </c>
      <c r="N214" s="10">
        <v>0</v>
      </c>
      <c r="O214" s="10">
        <v>0</v>
      </c>
      <c r="P214" s="10">
        <v>0</v>
      </c>
      <c r="Q214" s="38">
        <f t="shared" si="32"/>
        <v>0</v>
      </c>
      <c r="R214" s="38">
        <f t="shared" si="33"/>
        <v>95</v>
      </c>
    </row>
    <row r="215" spans="1:18" ht="15.75" customHeight="1" thickBot="1" x14ac:dyDescent="0.35">
      <c r="A215" s="311" t="s">
        <v>1410</v>
      </c>
      <c r="B215" s="10">
        <v>285</v>
      </c>
      <c r="C215" s="10">
        <v>215</v>
      </c>
      <c r="D215" s="10">
        <v>0</v>
      </c>
      <c r="E215" s="38">
        <f t="shared" si="29"/>
        <v>500</v>
      </c>
      <c r="F215" s="10">
        <v>0</v>
      </c>
      <c r="G215" s="10">
        <v>0</v>
      </c>
      <c r="H215" s="10">
        <v>0</v>
      </c>
      <c r="I215" s="38">
        <f t="shared" si="30"/>
        <v>0</v>
      </c>
      <c r="J215" s="10">
        <v>0</v>
      </c>
      <c r="K215" s="10">
        <v>0</v>
      </c>
      <c r="L215" s="10">
        <v>0</v>
      </c>
      <c r="M215" s="38">
        <f t="shared" si="31"/>
        <v>0</v>
      </c>
      <c r="N215" s="10">
        <v>0</v>
      </c>
      <c r="O215" s="10">
        <v>0</v>
      </c>
      <c r="P215" s="10">
        <v>0</v>
      </c>
      <c r="Q215" s="38">
        <f t="shared" si="32"/>
        <v>0</v>
      </c>
      <c r="R215" s="38">
        <f t="shared" si="33"/>
        <v>500</v>
      </c>
    </row>
    <row r="216" spans="1:18" ht="15.75" customHeight="1" thickBot="1" x14ac:dyDescent="0.35">
      <c r="A216" s="43" t="s">
        <v>1220</v>
      </c>
      <c r="B216" s="45">
        <f>SUM(B181:B215)</f>
        <v>7868</v>
      </c>
      <c r="C216" s="46">
        <f>SUM(C181:C215)</f>
        <v>8494</v>
      </c>
      <c r="D216" s="46">
        <f>SUM(D181:D215)</f>
        <v>10441</v>
      </c>
      <c r="E216" s="37">
        <f t="shared" si="29"/>
        <v>26803</v>
      </c>
      <c r="F216" s="46">
        <f>SUM(F181:F215)</f>
        <v>8254</v>
      </c>
      <c r="G216" s="46">
        <f>SUM(G181:G215)</f>
        <v>16854</v>
      </c>
      <c r="H216" s="46">
        <f>SUM(H181:H215)</f>
        <v>17077</v>
      </c>
      <c r="I216" s="37">
        <f t="shared" si="30"/>
        <v>42185</v>
      </c>
      <c r="J216" s="46">
        <f>SUM(J181:J215)</f>
        <v>5204</v>
      </c>
      <c r="K216" s="46">
        <f>SUM(K181:K215)</f>
        <v>2160</v>
      </c>
      <c r="L216" s="46">
        <f>SUM(L181:L215)</f>
        <v>1598</v>
      </c>
      <c r="M216" s="37">
        <f t="shared" si="31"/>
        <v>8962</v>
      </c>
      <c r="N216" s="46">
        <f>SUM(N181:N215)</f>
        <v>1137</v>
      </c>
      <c r="O216" s="46">
        <f>SUM(O181:O215)</f>
        <v>1042</v>
      </c>
      <c r="P216" s="46">
        <f>SUM(P181:P215)</f>
        <v>1392</v>
      </c>
      <c r="Q216" s="37">
        <f t="shared" si="32"/>
        <v>3571</v>
      </c>
      <c r="R216" s="37">
        <f t="shared" si="33"/>
        <v>81521</v>
      </c>
    </row>
    <row r="217" spans="1:18" ht="15.75" customHeight="1" x14ac:dyDescent="0.3">
      <c r="A217" s="234" t="s">
        <v>1712</v>
      </c>
      <c r="B217" s="10"/>
      <c r="C217" s="10"/>
      <c r="D217" s="10"/>
      <c r="E217" s="38" t="s">
        <v>852</v>
      </c>
      <c r="F217" s="10"/>
      <c r="G217" s="10"/>
      <c r="H217" s="10"/>
      <c r="I217" s="38" t="s">
        <v>852</v>
      </c>
      <c r="J217" s="10"/>
      <c r="K217" s="10"/>
      <c r="L217" s="10"/>
      <c r="M217" s="38" t="s">
        <v>852</v>
      </c>
      <c r="N217" s="10"/>
      <c r="O217" s="10"/>
      <c r="P217" s="10"/>
      <c r="Q217" s="38" t="s">
        <v>852</v>
      </c>
      <c r="R217" s="38" t="s">
        <v>852</v>
      </c>
    </row>
    <row r="218" spans="1:18" ht="15.75" customHeight="1" x14ac:dyDescent="0.3">
      <c r="A218" s="234" t="s">
        <v>1021</v>
      </c>
      <c r="B218" s="10"/>
      <c r="C218" s="10"/>
      <c r="D218" s="10"/>
      <c r="E218" s="38" t="s">
        <v>852</v>
      </c>
      <c r="F218" s="10"/>
      <c r="G218" s="10"/>
      <c r="H218" s="10"/>
      <c r="I218" s="38" t="s">
        <v>852</v>
      </c>
      <c r="J218" s="10"/>
      <c r="K218" s="10"/>
      <c r="L218" s="10"/>
      <c r="M218" s="38" t="s">
        <v>852</v>
      </c>
      <c r="N218" s="10"/>
      <c r="O218" s="10"/>
      <c r="P218" s="10"/>
      <c r="Q218" s="38" t="s">
        <v>852</v>
      </c>
      <c r="R218" s="38" t="s">
        <v>852</v>
      </c>
    </row>
    <row r="219" spans="1:18" ht="15.75" customHeight="1" x14ac:dyDescent="0.3">
      <c r="A219" s="318" t="s">
        <v>1181</v>
      </c>
      <c r="B219" s="172">
        <v>0</v>
      </c>
      <c r="C219" s="172">
        <v>0</v>
      </c>
      <c r="D219" s="172">
        <v>0</v>
      </c>
      <c r="E219" s="38">
        <f>SUM(B219:D219)</f>
        <v>0</v>
      </c>
      <c r="F219" s="172">
        <v>0</v>
      </c>
      <c r="G219" s="172">
        <v>732</v>
      </c>
      <c r="H219" s="172">
        <v>268</v>
      </c>
      <c r="I219" s="38">
        <f>SUM(F219:H219)</f>
        <v>1000</v>
      </c>
      <c r="J219" s="172">
        <v>2299</v>
      </c>
      <c r="K219" s="172">
        <v>0</v>
      </c>
      <c r="L219" s="172">
        <v>1701</v>
      </c>
      <c r="M219" s="38">
        <f>SUM(J219:L219)</f>
        <v>4000</v>
      </c>
      <c r="N219" s="172">
        <v>0</v>
      </c>
      <c r="O219" s="172">
        <v>0</v>
      </c>
      <c r="P219" s="172">
        <v>0</v>
      </c>
      <c r="Q219" s="38">
        <f>SUM(N219:P219)</f>
        <v>0</v>
      </c>
      <c r="R219" s="38">
        <f>+E219+I219+M219+Q219</f>
        <v>5000</v>
      </c>
    </row>
    <row r="220" spans="1:18" ht="15.75" customHeight="1" x14ac:dyDescent="0.3">
      <c r="A220" s="318" t="s">
        <v>20</v>
      </c>
      <c r="B220" s="172">
        <v>0</v>
      </c>
      <c r="C220" s="172">
        <v>0</v>
      </c>
      <c r="D220" s="172">
        <v>0</v>
      </c>
      <c r="E220" s="38">
        <f>SUM(B220:D220)</f>
        <v>0</v>
      </c>
      <c r="F220" s="172">
        <v>0</v>
      </c>
      <c r="G220" s="172">
        <v>0</v>
      </c>
      <c r="H220" s="172">
        <v>0</v>
      </c>
      <c r="I220" s="38">
        <f>SUM(F220:H220)</f>
        <v>0</v>
      </c>
      <c r="J220" s="172">
        <v>0</v>
      </c>
      <c r="K220" s="172">
        <v>0</v>
      </c>
      <c r="L220" s="172">
        <v>0</v>
      </c>
      <c r="M220" s="38">
        <f>SUM(J220:L220)</f>
        <v>0</v>
      </c>
      <c r="N220" s="172">
        <v>0</v>
      </c>
      <c r="O220" s="172">
        <v>0</v>
      </c>
      <c r="P220" s="172">
        <v>0</v>
      </c>
      <c r="Q220" s="38">
        <f>SUM(N220:P220)</f>
        <v>0</v>
      </c>
      <c r="R220" s="38">
        <f>+E220+I220+M220+Q220</f>
        <v>0</v>
      </c>
    </row>
    <row r="221" spans="1:18" ht="15.75" customHeight="1" x14ac:dyDescent="0.3">
      <c r="A221" s="318" t="s">
        <v>2131</v>
      </c>
      <c r="B221" s="172">
        <v>0</v>
      </c>
      <c r="C221" s="172">
        <v>0</v>
      </c>
      <c r="D221" s="172">
        <v>0</v>
      </c>
      <c r="E221" s="38">
        <f>SUM(B221:D221)</f>
        <v>0</v>
      </c>
      <c r="F221" s="172">
        <v>0</v>
      </c>
      <c r="G221" s="172">
        <v>0</v>
      </c>
      <c r="H221" s="172">
        <v>0</v>
      </c>
      <c r="I221" s="38">
        <f>SUM(F221:H221)</f>
        <v>0</v>
      </c>
      <c r="J221" s="172">
        <v>0</v>
      </c>
      <c r="K221" s="172">
        <v>0</v>
      </c>
      <c r="L221" s="172">
        <v>1036</v>
      </c>
      <c r="M221" s="38">
        <f>SUM(J221:L221)</f>
        <v>1036</v>
      </c>
      <c r="N221" s="172">
        <v>1964</v>
      </c>
      <c r="O221" s="172">
        <v>0</v>
      </c>
      <c r="P221" s="172">
        <v>0</v>
      </c>
      <c r="Q221" s="38">
        <f>SUM(N221:P221)</f>
        <v>1964</v>
      </c>
      <c r="R221" s="38">
        <f>+E221+I221+M221+Q221</f>
        <v>3000</v>
      </c>
    </row>
    <row r="222" spans="1:18" ht="15.75" customHeight="1" x14ac:dyDescent="0.3">
      <c r="A222" s="318" t="s">
        <v>273</v>
      </c>
      <c r="B222" s="172">
        <v>0</v>
      </c>
      <c r="C222" s="172">
        <v>0</v>
      </c>
      <c r="D222" s="172">
        <v>0</v>
      </c>
      <c r="E222" s="38">
        <f>SUM(B222:D222)</f>
        <v>0</v>
      </c>
      <c r="F222" s="172">
        <v>0</v>
      </c>
      <c r="G222" s="172">
        <v>0</v>
      </c>
      <c r="H222" s="172">
        <v>0</v>
      </c>
      <c r="I222" s="38">
        <f>SUM(F222:H222)</f>
        <v>0</v>
      </c>
      <c r="J222" s="172">
        <v>0</v>
      </c>
      <c r="K222" s="172">
        <v>0</v>
      </c>
      <c r="L222" s="172">
        <v>0</v>
      </c>
      <c r="M222" s="38">
        <f>SUM(J222:L222)</f>
        <v>0</v>
      </c>
      <c r="N222" s="172">
        <v>0</v>
      </c>
      <c r="O222" s="172">
        <v>0</v>
      </c>
      <c r="P222" s="172">
        <v>0</v>
      </c>
      <c r="Q222" s="38">
        <f>SUM(N222:P222)</f>
        <v>0</v>
      </c>
      <c r="R222" s="38">
        <f>+E222+I222+M222+Q222</f>
        <v>0</v>
      </c>
    </row>
    <row r="223" spans="1:18" ht="15.75" customHeight="1" x14ac:dyDescent="0.3">
      <c r="A223" s="310" t="s">
        <v>1852</v>
      </c>
      <c r="B223" s="172">
        <v>0</v>
      </c>
      <c r="C223" s="172">
        <v>0</v>
      </c>
      <c r="D223" s="172">
        <v>0</v>
      </c>
      <c r="E223" s="38">
        <f>SUM(B223:D223)</f>
        <v>0</v>
      </c>
      <c r="F223" s="172">
        <v>0</v>
      </c>
      <c r="G223" s="172">
        <v>0</v>
      </c>
      <c r="H223" s="172">
        <v>0</v>
      </c>
      <c r="I223" s="38">
        <f>SUM(F223:H223)</f>
        <v>0</v>
      </c>
      <c r="J223" s="172">
        <v>0</v>
      </c>
      <c r="K223" s="172">
        <v>0</v>
      </c>
      <c r="L223" s="172">
        <v>0</v>
      </c>
      <c r="M223" s="38">
        <f>SUM(J223:L223)</f>
        <v>0</v>
      </c>
      <c r="N223" s="172">
        <v>0</v>
      </c>
      <c r="O223" s="172">
        <v>0</v>
      </c>
      <c r="P223" s="172">
        <v>0</v>
      </c>
      <c r="Q223" s="38">
        <f>SUM(N223:P223)</f>
        <v>0</v>
      </c>
      <c r="R223" s="38">
        <f>+E223+I223+M223+Q223</f>
        <v>0</v>
      </c>
    </row>
    <row r="224" spans="1:18" ht="15.75" customHeight="1" x14ac:dyDescent="0.3">
      <c r="A224" s="234" t="s">
        <v>557</v>
      </c>
      <c r="B224" s="10"/>
      <c r="C224" s="10"/>
      <c r="D224" s="10"/>
      <c r="E224" s="38" t="s">
        <v>852</v>
      </c>
      <c r="F224" s="10"/>
      <c r="G224" s="10"/>
      <c r="H224" s="10"/>
      <c r="I224" s="38" t="s">
        <v>852</v>
      </c>
      <c r="J224" s="10"/>
      <c r="K224" s="10"/>
      <c r="L224" s="10"/>
      <c r="M224" s="38" t="s">
        <v>852</v>
      </c>
      <c r="N224" s="10"/>
      <c r="O224" s="10"/>
      <c r="P224" s="10"/>
      <c r="Q224" s="38" t="s">
        <v>852</v>
      </c>
      <c r="R224" s="38" t="s">
        <v>852</v>
      </c>
    </row>
    <row r="225" spans="1:18" ht="15.75" customHeight="1" x14ac:dyDescent="0.3">
      <c r="A225" s="318" t="s">
        <v>2502</v>
      </c>
      <c r="B225" s="10">
        <v>0</v>
      </c>
      <c r="C225" s="10">
        <v>0</v>
      </c>
      <c r="D225" s="10">
        <v>0</v>
      </c>
      <c r="E225" s="38">
        <f t="shared" ref="E225:E230" si="34">SUM(B225:D225)</f>
        <v>0</v>
      </c>
      <c r="F225" s="10">
        <v>0</v>
      </c>
      <c r="G225" s="10">
        <v>0</v>
      </c>
      <c r="H225" s="10">
        <v>0</v>
      </c>
      <c r="I225" s="38">
        <f t="shared" ref="I225:I230" si="35">SUM(F225:H225)</f>
        <v>0</v>
      </c>
      <c r="J225" s="10">
        <v>0</v>
      </c>
      <c r="K225" s="10">
        <v>0</v>
      </c>
      <c r="L225" s="10">
        <v>0</v>
      </c>
      <c r="M225" s="38">
        <f t="shared" ref="M225:M230" si="36">SUM(J225:L225)</f>
        <v>0</v>
      </c>
      <c r="N225" s="10">
        <v>0</v>
      </c>
      <c r="O225" s="10">
        <v>377</v>
      </c>
      <c r="P225" s="10">
        <v>2227</v>
      </c>
      <c r="Q225" s="38">
        <f t="shared" ref="Q225:Q230" si="37">SUM(N225:P225)</f>
        <v>2604</v>
      </c>
      <c r="R225" s="38">
        <f t="shared" ref="R225:R230" si="38">+E225+I225+M225+Q225</f>
        <v>2604</v>
      </c>
    </row>
    <row r="226" spans="1:18" ht="15.75" customHeight="1" x14ac:dyDescent="0.3">
      <c r="A226" s="318" t="s">
        <v>1074</v>
      </c>
      <c r="B226" s="10">
        <v>0</v>
      </c>
      <c r="C226" s="10">
        <v>0</v>
      </c>
      <c r="D226" s="10">
        <v>0</v>
      </c>
      <c r="E226" s="38">
        <f t="shared" si="34"/>
        <v>0</v>
      </c>
      <c r="F226" s="10">
        <v>0</v>
      </c>
      <c r="G226" s="10">
        <v>0</v>
      </c>
      <c r="H226" s="10">
        <v>0</v>
      </c>
      <c r="I226" s="38">
        <f t="shared" si="35"/>
        <v>0</v>
      </c>
      <c r="J226" s="10">
        <v>0</v>
      </c>
      <c r="K226" s="10">
        <v>0</v>
      </c>
      <c r="L226" s="10">
        <v>0</v>
      </c>
      <c r="M226" s="38">
        <f t="shared" si="36"/>
        <v>0</v>
      </c>
      <c r="N226" s="10">
        <v>0</v>
      </c>
      <c r="O226" s="10">
        <v>0</v>
      </c>
      <c r="P226" s="10">
        <v>0</v>
      </c>
      <c r="Q226" s="38">
        <f t="shared" si="37"/>
        <v>0</v>
      </c>
      <c r="R226" s="38">
        <f t="shared" si="38"/>
        <v>0</v>
      </c>
    </row>
    <row r="227" spans="1:18" ht="15.75" customHeight="1" x14ac:dyDescent="0.3">
      <c r="A227" s="317" t="s">
        <v>1255</v>
      </c>
      <c r="B227" s="172">
        <v>0</v>
      </c>
      <c r="C227" s="172">
        <v>0</v>
      </c>
      <c r="D227" s="172">
        <v>0</v>
      </c>
      <c r="E227" s="38">
        <f t="shared" si="34"/>
        <v>0</v>
      </c>
      <c r="F227" s="172">
        <v>0</v>
      </c>
      <c r="G227" s="172">
        <v>0</v>
      </c>
      <c r="H227" s="172">
        <v>0</v>
      </c>
      <c r="I227" s="38">
        <f t="shared" si="35"/>
        <v>0</v>
      </c>
      <c r="J227" s="172">
        <v>0</v>
      </c>
      <c r="K227" s="172">
        <v>0</v>
      </c>
      <c r="L227" s="172">
        <v>0</v>
      </c>
      <c r="M227" s="38">
        <f t="shared" si="36"/>
        <v>0</v>
      </c>
      <c r="N227" s="172">
        <v>1860</v>
      </c>
      <c r="O227" s="172">
        <v>3142</v>
      </c>
      <c r="P227" s="172">
        <v>0</v>
      </c>
      <c r="Q227" s="38">
        <f t="shared" si="37"/>
        <v>5002</v>
      </c>
      <c r="R227" s="38">
        <f t="shared" si="38"/>
        <v>5002</v>
      </c>
    </row>
    <row r="228" spans="1:18" s="230" customFormat="1" ht="15.75" customHeight="1" x14ac:dyDescent="0.3">
      <c r="A228" s="317" t="s">
        <v>2367</v>
      </c>
      <c r="B228" s="172">
        <v>0</v>
      </c>
      <c r="C228" s="172">
        <v>0</v>
      </c>
      <c r="D228" s="172">
        <v>0</v>
      </c>
      <c r="E228" s="38">
        <f t="shared" si="34"/>
        <v>0</v>
      </c>
      <c r="F228" s="172">
        <v>0</v>
      </c>
      <c r="G228" s="172">
        <v>0</v>
      </c>
      <c r="H228" s="172">
        <v>0</v>
      </c>
      <c r="I228" s="38">
        <f t="shared" si="35"/>
        <v>0</v>
      </c>
      <c r="J228" s="172">
        <v>0</v>
      </c>
      <c r="K228" s="172">
        <v>0</v>
      </c>
      <c r="L228" s="172">
        <v>0</v>
      </c>
      <c r="M228" s="38">
        <f t="shared" si="36"/>
        <v>0</v>
      </c>
      <c r="N228" s="172">
        <v>0</v>
      </c>
      <c r="O228" s="172">
        <v>0</v>
      </c>
      <c r="P228" s="172">
        <v>0</v>
      </c>
      <c r="Q228" s="38">
        <f t="shared" si="37"/>
        <v>0</v>
      </c>
      <c r="R228" s="38">
        <f t="shared" si="38"/>
        <v>0</v>
      </c>
    </row>
    <row r="229" spans="1:18" ht="15.75" customHeight="1" x14ac:dyDescent="0.3">
      <c r="A229" s="303" t="s">
        <v>2395</v>
      </c>
      <c r="B229" s="10">
        <v>0</v>
      </c>
      <c r="C229" s="10">
        <v>0</v>
      </c>
      <c r="D229" s="10">
        <v>0</v>
      </c>
      <c r="E229" s="38">
        <f t="shared" si="34"/>
        <v>0</v>
      </c>
      <c r="F229" s="10">
        <v>0</v>
      </c>
      <c r="G229" s="10">
        <v>0</v>
      </c>
      <c r="H229" s="10">
        <v>0</v>
      </c>
      <c r="I229" s="38">
        <f t="shared" si="35"/>
        <v>0</v>
      </c>
      <c r="J229" s="10">
        <v>0</v>
      </c>
      <c r="K229" s="10">
        <v>0</v>
      </c>
      <c r="L229" s="10">
        <v>0</v>
      </c>
      <c r="M229" s="38">
        <f t="shared" si="36"/>
        <v>0</v>
      </c>
      <c r="N229" s="10">
        <v>0</v>
      </c>
      <c r="O229" s="10">
        <v>0</v>
      </c>
      <c r="P229" s="10">
        <v>0</v>
      </c>
      <c r="Q229" s="38">
        <f t="shared" si="37"/>
        <v>0</v>
      </c>
      <c r="R229" s="38">
        <f t="shared" si="38"/>
        <v>0</v>
      </c>
    </row>
    <row r="230" spans="1:18" ht="15.75" customHeight="1" x14ac:dyDescent="0.3">
      <c r="A230" s="303" t="s">
        <v>1685</v>
      </c>
      <c r="B230" s="10">
        <v>0</v>
      </c>
      <c r="C230" s="10">
        <v>0</v>
      </c>
      <c r="D230" s="10">
        <v>0</v>
      </c>
      <c r="E230" s="38">
        <f t="shared" si="34"/>
        <v>0</v>
      </c>
      <c r="F230" s="10">
        <v>0</v>
      </c>
      <c r="G230" s="10">
        <v>0</v>
      </c>
      <c r="H230" s="10">
        <v>0</v>
      </c>
      <c r="I230" s="38">
        <f t="shared" si="35"/>
        <v>0</v>
      </c>
      <c r="J230" s="10">
        <v>0</v>
      </c>
      <c r="K230" s="10">
        <v>0</v>
      </c>
      <c r="L230" s="10">
        <v>0</v>
      </c>
      <c r="M230" s="38">
        <f t="shared" si="36"/>
        <v>0</v>
      </c>
      <c r="N230" s="10">
        <v>0</v>
      </c>
      <c r="O230" s="10">
        <v>0</v>
      </c>
      <c r="P230" s="10">
        <v>0</v>
      </c>
      <c r="Q230" s="38">
        <f t="shared" si="37"/>
        <v>0</v>
      </c>
      <c r="R230" s="38">
        <f t="shared" si="38"/>
        <v>0</v>
      </c>
    </row>
    <row r="231" spans="1:18" ht="15.75" customHeight="1" x14ac:dyDescent="0.3">
      <c r="A231" s="234" t="s">
        <v>1022</v>
      </c>
      <c r="B231" s="10"/>
      <c r="C231" s="10"/>
      <c r="D231" s="10"/>
      <c r="E231" s="38" t="s">
        <v>852</v>
      </c>
      <c r="F231" s="10"/>
      <c r="G231" s="10"/>
      <c r="H231" s="10"/>
      <c r="I231" s="38" t="s">
        <v>852</v>
      </c>
      <c r="J231" s="10"/>
      <c r="K231" s="10"/>
      <c r="L231" s="10"/>
      <c r="M231" s="38" t="s">
        <v>852</v>
      </c>
      <c r="N231" s="10"/>
      <c r="O231" s="10"/>
      <c r="P231" s="10"/>
      <c r="Q231" s="38" t="s">
        <v>852</v>
      </c>
      <c r="R231" s="38" t="s">
        <v>852</v>
      </c>
    </row>
    <row r="232" spans="1:18" s="215" customFormat="1" ht="15.75" customHeight="1" thickBot="1" x14ac:dyDescent="0.4">
      <c r="A232" s="234" t="s">
        <v>559</v>
      </c>
      <c r="B232" s="10"/>
      <c r="C232" s="10"/>
      <c r="D232" s="10"/>
      <c r="E232" s="38" t="s">
        <v>852</v>
      </c>
      <c r="F232" s="10"/>
      <c r="G232" s="10"/>
      <c r="H232" s="10"/>
      <c r="I232" s="38" t="s">
        <v>852</v>
      </c>
      <c r="J232" s="10"/>
      <c r="K232" s="10"/>
      <c r="L232" s="10"/>
      <c r="M232" s="38" t="s">
        <v>852</v>
      </c>
      <c r="N232" s="10"/>
      <c r="O232" s="10"/>
      <c r="P232" s="10"/>
      <c r="Q232" s="38" t="s">
        <v>852</v>
      </c>
      <c r="R232" s="38" t="s">
        <v>852</v>
      </c>
    </row>
    <row r="233" spans="1:18" ht="15.75" customHeight="1" thickBot="1" x14ac:dyDescent="0.35">
      <c r="A233" s="43" t="s">
        <v>1019</v>
      </c>
      <c r="B233" s="42">
        <f>SUM(B231:B232)</f>
        <v>0</v>
      </c>
      <c r="C233" s="42">
        <f>SUM(C231:C232)</f>
        <v>0</v>
      </c>
      <c r="D233" s="42">
        <f>SUM(D231:D232)</f>
        <v>0</v>
      </c>
      <c r="E233" s="39">
        <f t="shared" ref="E233:E241" si="39">SUM(B233:D233)</f>
        <v>0</v>
      </c>
      <c r="F233" s="42">
        <f>SUM(F231:F232)</f>
        <v>0</v>
      </c>
      <c r="G233" s="42">
        <f>SUM(G231:G232)</f>
        <v>0</v>
      </c>
      <c r="H233" s="42">
        <f>SUM(H231:H232)</f>
        <v>0</v>
      </c>
      <c r="I233" s="39">
        <f t="shared" ref="I233:I241" si="40">SUM(F233:H233)</f>
        <v>0</v>
      </c>
      <c r="J233" s="42">
        <f>SUM(J231:J232)</f>
        <v>0</v>
      </c>
      <c r="K233" s="42">
        <f>SUM(K231:K232)</f>
        <v>0</v>
      </c>
      <c r="L233" s="42">
        <f>SUM(L231:L232)</f>
        <v>0</v>
      </c>
      <c r="M233" s="39">
        <f t="shared" ref="M233:M241" si="41">SUM(J233:L233)</f>
        <v>0</v>
      </c>
      <c r="N233" s="42">
        <f>SUM(N231:N232)</f>
        <v>0</v>
      </c>
      <c r="O233" s="42">
        <f>SUM(O231:O232)</f>
        <v>0</v>
      </c>
      <c r="P233" s="42">
        <f>SUM(P231:P232)</f>
        <v>0</v>
      </c>
      <c r="Q233" s="39">
        <f t="shared" ref="Q233:Q241" si="42">SUM(N233:P233)</f>
        <v>0</v>
      </c>
      <c r="R233" s="37">
        <f t="shared" ref="R233:R241" si="43">+E233+I233+M233+Q233</f>
        <v>0</v>
      </c>
    </row>
    <row r="234" spans="1:18" ht="15.75" customHeight="1" thickBot="1" x14ac:dyDescent="0.35">
      <c r="A234" s="43" t="s">
        <v>1221</v>
      </c>
      <c r="B234" s="45">
        <f>SUM(B217:B232)</f>
        <v>0</v>
      </c>
      <c r="C234" s="46">
        <f>SUM(C217:C232)</f>
        <v>0</v>
      </c>
      <c r="D234" s="46">
        <f>SUM(D217:D232)</f>
        <v>0</v>
      </c>
      <c r="E234" s="37">
        <f t="shared" si="39"/>
        <v>0</v>
      </c>
      <c r="F234" s="46">
        <f>SUM(F217:F232)</f>
        <v>0</v>
      </c>
      <c r="G234" s="46">
        <f>SUM(G217:G232)</f>
        <v>732</v>
      </c>
      <c r="H234" s="46">
        <f>SUM(H217:H232)</f>
        <v>268</v>
      </c>
      <c r="I234" s="37">
        <f t="shared" si="40"/>
        <v>1000</v>
      </c>
      <c r="J234" s="46">
        <f>SUM(J217:J232)</f>
        <v>2299</v>
      </c>
      <c r="K234" s="46">
        <f>SUM(K217:K232)</f>
        <v>0</v>
      </c>
      <c r="L234" s="46">
        <f>SUM(L217:L232)</f>
        <v>2737</v>
      </c>
      <c r="M234" s="37">
        <f t="shared" si="41"/>
        <v>5036</v>
      </c>
      <c r="N234" s="46">
        <f>SUM(N217:N232)</f>
        <v>3824</v>
      </c>
      <c r="O234" s="46">
        <f>SUM(O217:O232)</f>
        <v>3519</v>
      </c>
      <c r="P234" s="46">
        <f>SUM(P217:P232)</f>
        <v>2227</v>
      </c>
      <c r="Q234" s="37">
        <f t="shared" si="42"/>
        <v>9570</v>
      </c>
      <c r="R234" s="37">
        <f t="shared" si="43"/>
        <v>15606</v>
      </c>
    </row>
    <row r="235" spans="1:18" ht="15.75" customHeight="1" thickBot="1" x14ac:dyDescent="0.35">
      <c r="A235" s="43" t="s">
        <v>1222</v>
      </c>
      <c r="B235" s="47">
        <f>+B174+B180+B216+B234</f>
        <v>20696</v>
      </c>
      <c r="C235" s="42">
        <f>+C174+C180+C216+C234</f>
        <v>17085</v>
      </c>
      <c r="D235" s="42">
        <f>+D174+D180+D216+D234</f>
        <v>22056</v>
      </c>
      <c r="E235" s="40">
        <f t="shared" si="39"/>
        <v>59837</v>
      </c>
      <c r="F235" s="42">
        <f>+F174+F180+F216+F234</f>
        <v>24290</v>
      </c>
      <c r="G235" s="42">
        <f>+G174+G180+G216+G234</f>
        <v>30407</v>
      </c>
      <c r="H235" s="42">
        <f>+H174+H180+H216+H234</f>
        <v>33861</v>
      </c>
      <c r="I235" s="40">
        <f t="shared" si="40"/>
        <v>88558</v>
      </c>
      <c r="J235" s="42">
        <f>+J174+J180+J216+J234</f>
        <v>34747</v>
      </c>
      <c r="K235" s="42">
        <f>+K174+K180+K216+K234</f>
        <v>32556</v>
      </c>
      <c r="L235" s="42">
        <f>+L174+L180+L216+L234</f>
        <v>37956</v>
      </c>
      <c r="M235" s="40">
        <f t="shared" si="41"/>
        <v>105259</v>
      </c>
      <c r="N235" s="42">
        <f>+N174+N180+N216+N234</f>
        <v>33705</v>
      </c>
      <c r="O235" s="42">
        <f>+O174+O180+O216+O234</f>
        <v>27695</v>
      </c>
      <c r="P235" s="42">
        <f>+P174+P180+P216+P234</f>
        <v>21965</v>
      </c>
      <c r="Q235" s="40">
        <f t="shared" si="42"/>
        <v>83365</v>
      </c>
      <c r="R235" s="40">
        <f t="shared" si="43"/>
        <v>337019</v>
      </c>
    </row>
    <row r="236" spans="1:18" ht="15.75" customHeight="1" x14ac:dyDescent="0.3">
      <c r="A236" s="319" t="s">
        <v>296</v>
      </c>
      <c r="B236" s="172">
        <v>0</v>
      </c>
      <c r="C236" s="172">
        <v>1104</v>
      </c>
      <c r="D236" s="172">
        <v>801</v>
      </c>
      <c r="E236" s="38">
        <f t="shared" si="39"/>
        <v>1905</v>
      </c>
      <c r="F236" s="172">
        <v>2490</v>
      </c>
      <c r="G236" s="172">
        <v>3757</v>
      </c>
      <c r="H236" s="172">
        <v>3774</v>
      </c>
      <c r="I236" s="38">
        <f t="shared" si="40"/>
        <v>10021</v>
      </c>
      <c r="J236" s="172">
        <v>2924</v>
      </c>
      <c r="K236" s="172">
        <v>1975</v>
      </c>
      <c r="L236" s="172">
        <v>2969</v>
      </c>
      <c r="M236" s="38">
        <f t="shared" si="41"/>
        <v>7868</v>
      </c>
      <c r="N236" s="172">
        <v>3073</v>
      </c>
      <c r="O236" s="172">
        <v>4050</v>
      </c>
      <c r="P236" s="172">
        <v>845</v>
      </c>
      <c r="Q236" s="38">
        <f t="shared" si="42"/>
        <v>7968</v>
      </c>
      <c r="R236" s="38">
        <f t="shared" si="43"/>
        <v>27762</v>
      </c>
    </row>
    <row r="237" spans="1:18" ht="15.75" customHeight="1" x14ac:dyDescent="0.3">
      <c r="A237" s="320" t="s">
        <v>899</v>
      </c>
      <c r="B237" s="10">
        <v>0</v>
      </c>
      <c r="C237" s="10">
        <v>0</v>
      </c>
      <c r="D237" s="10">
        <v>0</v>
      </c>
      <c r="E237" s="38">
        <f t="shared" si="39"/>
        <v>0</v>
      </c>
      <c r="F237" s="10">
        <v>-302</v>
      </c>
      <c r="G237" s="10">
        <v>-47</v>
      </c>
      <c r="H237" s="10">
        <v>-1169</v>
      </c>
      <c r="I237" s="38">
        <f t="shared" si="40"/>
        <v>-1518</v>
      </c>
      <c r="J237" s="10">
        <v>-1176</v>
      </c>
      <c r="K237" s="10">
        <v>-1372</v>
      </c>
      <c r="L237" s="10">
        <v>-1426</v>
      </c>
      <c r="M237" s="38">
        <f t="shared" si="41"/>
        <v>-3974</v>
      </c>
      <c r="N237" s="10">
        <v>-1639</v>
      </c>
      <c r="O237" s="10">
        <v>-962</v>
      </c>
      <c r="P237" s="10">
        <v>-1446</v>
      </c>
      <c r="Q237" s="38">
        <f t="shared" si="42"/>
        <v>-4047</v>
      </c>
      <c r="R237" s="38">
        <f t="shared" si="43"/>
        <v>-9539</v>
      </c>
    </row>
    <row r="238" spans="1:18" ht="15.75" customHeight="1" x14ac:dyDescent="0.3">
      <c r="A238" s="310" t="s">
        <v>77</v>
      </c>
      <c r="B238" s="10">
        <v>825</v>
      </c>
      <c r="C238" s="10">
        <v>1214</v>
      </c>
      <c r="D238" s="10">
        <v>0</v>
      </c>
      <c r="E238" s="38">
        <f t="shared" si="39"/>
        <v>2039</v>
      </c>
      <c r="F238" s="10">
        <v>0</v>
      </c>
      <c r="G238" s="10">
        <v>0</v>
      </c>
      <c r="H238" s="10">
        <v>0</v>
      </c>
      <c r="I238" s="38">
        <f t="shared" si="40"/>
        <v>0</v>
      </c>
      <c r="J238" s="10">
        <v>0</v>
      </c>
      <c r="K238" s="10">
        <v>0</v>
      </c>
      <c r="L238" s="10">
        <v>830</v>
      </c>
      <c r="M238" s="38">
        <f t="shared" si="41"/>
        <v>830</v>
      </c>
      <c r="N238" s="10">
        <v>1510</v>
      </c>
      <c r="O238" s="10">
        <v>0</v>
      </c>
      <c r="P238" s="10">
        <v>321</v>
      </c>
      <c r="Q238" s="38">
        <f t="shared" si="42"/>
        <v>1831</v>
      </c>
      <c r="R238" s="38">
        <f t="shared" si="43"/>
        <v>4700</v>
      </c>
    </row>
    <row r="239" spans="1:18" ht="15.75" customHeight="1" x14ac:dyDescent="0.3">
      <c r="A239" s="320" t="s">
        <v>2348</v>
      </c>
      <c r="B239" s="10">
        <v>58</v>
      </c>
      <c r="C239" s="10">
        <v>25</v>
      </c>
      <c r="D239" s="10">
        <v>34</v>
      </c>
      <c r="E239" s="38">
        <f t="shared" si="39"/>
        <v>117</v>
      </c>
      <c r="F239" s="10">
        <v>101</v>
      </c>
      <c r="G239" s="10">
        <v>146</v>
      </c>
      <c r="H239" s="10">
        <v>166</v>
      </c>
      <c r="I239" s="38">
        <f t="shared" si="40"/>
        <v>413</v>
      </c>
      <c r="J239" s="10">
        <v>262</v>
      </c>
      <c r="K239" s="10">
        <v>109</v>
      </c>
      <c r="L239" s="10">
        <v>126</v>
      </c>
      <c r="M239" s="38">
        <f t="shared" si="41"/>
        <v>497</v>
      </c>
      <c r="N239" s="10">
        <v>80</v>
      </c>
      <c r="O239" s="10">
        <v>115</v>
      </c>
      <c r="P239" s="10">
        <v>119</v>
      </c>
      <c r="Q239" s="38">
        <f t="shared" si="42"/>
        <v>314</v>
      </c>
      <c r="R239" s="38">
        <f t="shared" si="43"/>
        <v>1341</v>
      </c>
    </row>
    <row r="240" spans="1:18" ht="15.75" customHeight="1" x14ac:dyDescent="0.3">
      <c r="A240" s="317" t="s">
        <v>2096</v>
      </c>
      <c r="B240" s="10">
        <v>69254</v>
      </c>
      <c r="C240" s="10">
        <v>32024</v>
      </c>
      <c r="D240" s="10">
        <v>23237</v>
      </c>
      <c r="E240" s="38">
        <f t="shared" si="39"/>
        <v>124515</v>
      </c>
      <c r="F240" s="10">
        <v>0</v>
      </c>
      <c r="G240" s="10">
        <v>794</v>
      </c>
      <c r="H240" s="10">
        <v>0</v>
      </c>
      <c r="I240" s="38">
        <f t="shared" si="40"/>
        <v>794</v>
      </c>
      <c r="J240" s="10">
        <v>0</v>
      </c>
      <c r="K240" s="10">
        <v>0</v>
      </c>
      <c r="L240" s="10">
        <v>15215</v>
      </c>
      <c r="M240" s="38">
        <f t="shared" si="41"/>
        <v>15215</v>
      </c>
      <c r="N240" s="10">
        <v>55015</v>
      </c>
      <c r="O240" s="10">
        <v>64395</v>
      </c>
      <c r="P240" s="10">
        <v>104913</v>
      </c>
      <c r="Q240" s="38">
        <f t="shared" si="42"/>
        <v>224323</v>
      </c>
      <c r="R240" s="38">
        <f t="shared" si="43"/>
        <v>364847</v>
      </c>
    </row>
    <row r="241" spans="1:18" ht="15.75" customHeight="1" thickBot="1" x14ac:dyDescent="0.35">
      <c r="A241" s="299" t="s">
        <v>853</v>
      </c>
      <c r="B241" s="294">
        <v>104</v>
      </c>
      <c r="C241" s="294">
        <v>268</v>
      </c>
      <c r="D241" s="294">
        <v>474</v>
      </c>
      <c r="E241" s="38">
        <f t="shared" si="39"/>
        <v>846</v>
      </c>
      <c r="F241" s="294">
        <v>647</v>
      </c>
      <c r="G241" s="294">
        <v>742</v>
      </c>
      <c r="H241" s="294">
        <v>781</v>
      </c>
      <c r="I241" s="38">
        <f t="shared" si="40"/>
        <v>2170</v>
      </c>
      <c r="J241" s="294">
        <v>774</v>
      </c>
      <c r="K241" s="294">
        <v>596</v>
      </c>
      <c r="L241" s="294">
        <v>546</v>
      </c>
      <c r="M241" s="38">
        <f t="shared" si="41"/>
        <v>1916</v>
      </c>
      <c r="N241" s="294">
        <v>517</v>
      </c>
      <c r="O241" s="294">
        <v>413</v>
      </c>
      <c r="P241" s="294">
        <v>302</v>
      </c>
      <c r="Q241" s="38">
        <f t="shared" si="42"/>
        <v>1232</v>
      </c>
      <c r="R241" s="38">
        <f t="shared" si="43"/>
        <v>6164</v>
      </c>
    </row>
    <row r="242" spans="1:18" ht="15.75" customHeight="1" thickBot="1" x14ac:dyDescent="0.35">
      <c r="A242" s="44"/>
      <c r="B242" s="313"/>
      <c r="C242" s="313"/>
      <c r="D242" s="313"/>
      <c r="E242" s="39"/>
      <c r="F242" s="313"/>
      <c r="G242" s="313"/>
      <c r="H242" s="313"/>
      <c r="I242" s="37"/>
      <c r="J242" s="313"/>
      <c r="K242" s="313"/>
      <c r="L242" s="313"/>
      <c r="M242" s="37"/>
      <c r="N242" s="313"/>
      <c r="O242" s="313"/>
      <c r="P242" s="313"/>
      <c r="Q242" s="37"/>
      <c r="R242" s="37" t="s">
        <v>852</v>
      </c>
    </row>
    <row r="243" spans="1:18" ht="15.75" customHeight="1" x14ac:dyDescent="0.3">
      <c r="A243" s="259" t="s">
        <v>2011</v>
      </c>
      <c r="B243" s="314">
        <f>SUM(B235:B241)</f>
        <v>90937</v>
      </c>
      <c r="C243" s="314">
        <f>SUM(C235:C241)</f>
        <v>51720</v>
      </c>
      <c r="D243" s="314">
        <f>SUM(D235:D241)</f>
        <v>46602</v>
      </c>
      <c r="E243" s="39">
        <f>SUM(B243:D243)</f>
        <v>189259</v>
      </c>
      <c r="F243" s="314">
        <f>SUM(F235:F241)</f>
        <v>27226</v>
      </c>
      <c r="G243" s="314">
        <f>SUM(G235:G241)</f>
        <v>35799</v>
      </c>
      <c r="H243" s="314">
        <f>SUM(H235:H241)</f>
        <v>37413</v>
      </c>
      <c r="I243" s="39">
        <f>SUM(F243:H243)</f>
        <v>100438</v>
      </c>
      <c r="J243" s="314">
        <f>SUM(J235:J241)</f>
        <v>37531</v>
      </c>
      <c r="K243" s="314">
        <f>SUM(K235:K241)</f>
        <v>33864</v>
      </c>
      <c r="L243" s="314">
        <f>SUM(L235:L241)</f>
        <v>56216</v>
      </c>
      <c r="M243" s="39">
        <f>SUM(J243:L243)</f>
        <v>127611</v>
      </c>
      <c r="N243" s="314">
        <f>SUM(N235:N241)</f>
        <v>92261</v>
      </c>
      <c r="O243" s="314">
        <f>SUM(O235:O241)</f>
        <v>95706</v>
      </c>
      <c r="P243" s="314">
        <f>SUM(P235:P241)</f>
        <v>127019</v>
      </c>
      <c r="Q243" s="49">
        <f>SUM(N243:P243)</f>
        <v>314986</v>
      </c>
      <c r="R243" s="39">
        <f>+E243+I243+M243+Q243</f>
        <v>732294</v>
      </c>
    </row>
    <row r="244" spans="1:18" ht="15.75" customHeight="1" x14ac:dyDescent="0.3">
      <c r="A244" s="262" t="s">
        <v>1897</v>
      </c>
      <c r="B244" s="10">
        <f>(B243/31)/1.983</f>
        <v>1479.2998552209913</v>
      </c>
      <c r="C244" s="10">
        <f>(C243/28)/1.983</f>
        <v>931.48908580073476</v>
      </c>
      <c r="D244" s="10">
        <f>(D243/31)/1.983</f>
        <v>758.08891708554972</v>
      </c>
      <c r="E244" s="38" t="s">
        <v>852</v>
      </c>
      <c r="F244" s="10">
        <f>(F243/30)/1.983</f>
        <v>457.65674903345098</v>
      </c>
      <c r="G244" s="10">
        <f>(G243/31)/1.983</f>
        <v>582.35322824654725</v>
      </c>
      <c r="H244" s="10">
        <f>(H243/30)/1.983</f>
        <v>628.89561270801812</v>
      </c>
      <c r="I244" s="38" t="s">
        <v>852</v>
      </c>
      <c r="J244" s="10">
        <f>(J243/31)/1.983</f>
        <v>610.5281993720821</v>
      </c>
      <c r="K244" s="10">
        <f>(K243/31)/1.983</f>
        <v>550.8759943389781</v>
      </c>
      <c r="L244" s="10">
        <f>(L243/30)/1.983</f>
        <v>944.96554042696243</v>
      </c>
      <c r="M244" s="38" t="s">
        <v>852</v>
      </c>
      <c r="N244" s="10">
        <f>(N243/31)/1.983</f>
        <v>1500.8377661737672</v>
      </c>
      <c r="O244" s="10">
        <f>(O243/30)/1.983</f>
        <v>1608.7745839636912</v>
      </c>
      <c r="P244" s="10">
        <f>(P243/31)/1.983</f>
        <v>2066.2567305971725</v>
      </c>
      <c r="Q244" s="50" t="s">
        <v>852</v>
      </c>
      <c r="R244" s="38" t="s">
        <v>852</v>
      </c>
    </row>
    <row r="245" spans="1:18" ht="15.75" customHeight="1" x14ac:dyDescent="0.3">
      <c r="A245" s="262" t="s">
        <v>154</v>
      </c>
      <c r="B245" s="10">
        <f>(+B243+B364)+B252</f>
        <v>119763</v>
      </c>
      <c r="C245" s="10">
        <f>(+C243+C364)+C252</f>
        <v>78155</v>
      </c>
      <c r="D245" s="10">
        <f>(+D243+D364)+D252</f>
        <v>111234</v>
      </c>
      <c r="E245" s="38">
        <f>SUM(B245:D245)</f>
        <v>309152</v>
      </c>
      <c r="F245" s="10">
        <f>(+F243+F364)+F252</f>
        <v>140733</v>
      </c>
      <c r="G245" s="10">
        <f>(+G243+G364)+G252</f>
        <v>141564</v>
      </c>
      <c r="H245" s="10">
        <f>(+H243+H364)+H252</f>
        <v>142703</v>
      </c>
      <c r="I245" s="38">
        <f>SUM(F245:H245)</f>
        <v>425000</v>
      </c>
      <c r="J245" s="10">
        <f>(+J243+J364)+J252</f>
        <v>20446</v>
      </c>
      <c r="K245" s="10">
        <f>(+K243+K364)+K252</f>
        <v>51578</v>
      </c>
      <c r="L245" s="10">
        <f>(+L243+L364)+L252</f>
        <v>133290</v>
      </c>
      <c r="M245" s="38">
        <f>SUM(J245:L245)</f>
        <v>205314</v>
      </c>
      <c r="N245" s="10">
        <f>(+N243+N364)+N252</f>
        <v>134660</v>
      </c>
      <c r="O245" s="10">
        <f>(+O243+O364)+O252</f>
        <v>133561</v>
      </c>
      <c r="P245" s="10">
        <f>(+P243+P364)+P252</f>
        <v>157429</v>
      </c>
      <c r="Q245" s="50">
        <f>SUM(N245:P245)</f>
        <v>425650</v>
      </c>
      <c r="R245" s="38">
        <f>+E245+I245+M245+Q245</f>
        <v>1365116</v>
      </c>
    </row>
    <row r="246" spans="1:18" ht="15.75" customHeight="1" thickBot="1" x14ac:dyDescent="0.35">
      <c r="A246" s="263" t="s">
        <v>2110</v>
      </c>
      <c r="B246" s="315">
        <f>(B245/31)/1.983</f>
        <v>1948.2211702698746</v>
      </c>
      <c r="C246" s="315">
        <f>(C245/28)/1.983</f>
        <v>1407.5895108421582</v>
      </c>
      <c r="D246" s="315">
        <f>(D245/31)/1.983</f>
        <v>1809.4773315113951</v>
      </c>
      <c r="E246" s="40" t="s">
        <v>852</v>
      </c>
      <c r="F246" s="315">
        <f>(F245/30)/1.983</f>
        <v>2365.6580937972767</v>
      </c>
      <c r="G246" s="315">
        <f>(G245/31)/1.983</f>
        <v>2302.8646722951539</v>
      </c>
      <c r="H246" s="315">
        <f>(H245/30)/1.983</f>
        <v>2398.772903008909</v>
      </c>
      <c r="I246" s="40" t="s">
        <v>852</v>
      </c>
      <c r="J246" s="315">
        <f>(J245/31)/1.983</f>
        <v>332.60130463780843</v>
      </c>
      <c r="K246" s="315">
        <f>(K245/31)/1.983</f>
        <v>839.03502350625467</v>
      </c>
      <c r="L246" s="315">
        <f>(L245/30)/1.983</f>
        <v>2240.5446293494706</v>
      </c>
      <c r="M246" s="40" t="s">
        <v>852</v>
      </c>
      <c r="N246" s="315">
        <f>(N245/30)/1.983</f>
        <v>2263.5737098672048</v>
      </c>
      <c r="O246" s="315">
        <f>(O245/30)/1.983</f>
        <v>2245.1000168095479</v>
      </c>
      <c r="P246" s="315">
        <f>(P245/31)/1.983</f>
        <v>2560.9454557285308</v>
      </c>
      <c r="Q246" s="51" t="s">
        <v>852</v>
      </c>
      <c r="R246" s="40" t="s">
        <v>852</v>
      </c>
    </row>
    <row r="247" spans="1:18" ht="15.75" customHeight="1" thickBot="1" x14ac:dyDescent="0.35">
      <c r="A247" s="271" t="s">
        <v>1700</v>
      </c>
      <c r="B247" s="229">
        <f>+(B245-(B136+B137+B138+B139+B141+B142+B150+B151+B170+B171+B184+B185+B186+B187+B206+B219+B220+B221+B225+B226+B227+B228+B236+B240)-B252-B248)/(31*1.983)</f>
        <v>686.54531257625297</v>
      </c>
      <c r="C247" s="229">
        <f>+(C245-(C136+C137+C138+C139+C141+C142+C150+C151+C170+C171+C184+C185+C186+C187+C206+C219+C220+C221+C225+C226+C227+C228+C236+C240)-C252-C248)/(31*1.983)</f>
        <v>611.17889154588192</v>
      </c>
      <c r="D247" s="229">
        <f>+(D245-(D136+D137+D138+D139+D141+D142+D150+D151+D170+D171+D184+D185+D186+D187+D206+D219+D220+D221+D225+D226+D227+D228+D236+D240)-D252-D248)/(31*1.983)</f>
        <v>1235.2414881330014</v>
      </c>
      <c r="E247" s="227"/>
      <c r="F247" s="229">
        <f>+(F245-(F136+F137+F138+F139+F141+F142+F150+F151+F170+F171+F184+F185+F186+F187+F206+F219+F220+F221+F225+F226+F227+F228+F236+F240)-F252-F248)/(31*1.983)</f>
        <v>2195.2889886616886</v>
      </c>
      <c r="G247" s="229">
        <f>+(G245-(G136+G137+G138+G139+G141+G142+G150+G151+G170+G171+G184+G185+G186+G187+G206+G219+G220+G221+G225+G226+G227+G228+G236+G240)-G252-G248)/(31*1.983)</f>
        <v>2067.5418476404275</v>
      </c>
      <c r="H247" s="229">
        <f>+(H245-(H136+H137+H138+H139+H141+H142+H150+H151+H170+H171+H184+H185+H186+H187+H206+H219+H220+H221+H225+H226+H227+H228+H236+H240)-H252-H248)/(31*1.983)</f>
        <v>2765.2302636930031</v>
      </c>
      <c r="I247" s="227"/>
      <c r="J247" s="229">
        <f>+(J245-(J136+J137+J138+J139+J141+J142+J150+J151+J170+J171+J184+J185+J186+J187+J206+J219+J220+J221+J225+J226+J227+J228+J236+J240)-J252-J248)/(31*1.983)</f>
        <v>2836.7576008979549</v>
      </c>
      <c r="K247" s="229">
        <f>+(K245-(K136+K137+K138+K139+K141+K142+K150+K151+K170+K171+K184+K185+K186+K187+K206+K219+K220+K221+K225+K226+K227+K228+K236+K240)-K252-K248)/(31*1.983)</f>
        <v>2397.4915816700013</v>
      </c>
      <c r="L247" s="229">
        <f>+(L245-(L136+L137+L138+L139+L141+L142+L150+L151+L170+L171+L184+L185+L186+L187+L206+L219+L220+L221+L225+L226+L227+L228+L236+L240)-L252-L248)/(31*1.983)</f>
        <v>1949.831633400029</v>
      </c>
      <c r="M247" s="227"/>
      <c r="N247" s="229">
        <f>+(N245-(N136+N137+N138+N139+N141+N142+N150+N151+N170+N171+N184+N185+N186+N187+N206+N219+N220+N221+N225+N226+N227+N228+N236+N240)-N252-N248)/(31*1.983)</f>
        <v>1032.8436874725487</v>
      </c>
      <c r="O247" s="229">
        <f>+(O245-(O136+O137+O138+O139+O141+O142+O150+O151+O170+O171+O184+O185+O186+O187+O206+O219+O220+O221+O225+O226+O227+O228+O236+O240)-O252-O248)/(31*1.983)</f>
        <v>884.56720836790123</v>
      </c>
      <c r="P247" s="229">
        <f>+(P245-(P136+P137+P138+P139+P141+P142+P150+P151+P170+P171+P184+P185+P186+P187+P206+P219+P220+P221+P225+P226+P227+P228+P236+P240)-P252-P248)/(31*1.983)</f>
        <v>717.12784474484727</v>
      </c>
      <c r="Q247" s="228"/>
      <c r="R247" s="227"/>
    </row>
    <row r="248" spans="1:18" ht="15.75" customHeight="1" x14ac:dyDescent="0.35">
      <c r="A248" s="334" t="s">
        <v>2400</v>
      </c>
      <c r="B248" s="10">
        <v>3805</v>
      </c>
      <c r="C248" s="10">
        <v>3360</v>
      </c>
      <c r="D248" s="10">
        <v>3720</v>
      </c>
      <c r="E248" s="10"/>
      <c r="F248" s="10">
        <v>3600</v>
      </c>
      <c r="G248" s="10">
        <v>3720</v>
      </c>
      <c r="H248" s="10">
        <v>3600</v>
      </c>
      <c r="I248" s="10"/>
      <c r="J248" s="10">
        <v>3720</v>
      </c>
      <c r="K248" s="10">
        <v>3805</v>
      </c>
      <c r="L248" s="10">
        <v>3683</v>
      </c>
      <c r="M248" s="10"/>
      <c r="N248" s="10">
        <v>3805</v>
      </c>
      <c r="O248" s="10">
        <v>3683</v>
      </c>
      <c r="P248" s="10">
        <v>3443</v>
      </c>
      <c r="Q248" s="10"/>
      <c r="R248" s="17"/>
    </row>
    <row r="249" spans="1:18" ht="15.75" customHeight="1" thickBot="1" x14ac:dyDescent="0.35">
      <c r="A249" s="351" t="s">
        <v>1071</v>
      </c>
      <c r="B249" s="352"/>
      <c r="C249" s="352"/>
      <c r="D249" s="352"/>
      <c r="E249" s="352"/>
      <c r="F249" s="352"/>
      <c r="G249" s="352"/>
      <c r="H249" s="352"/>
      <c r="I249" s="352"/>
      <c r="J249" s="352"/>
      <c r="K249" s="352"/>
      <c r="L249" s="10"/>
      <c r="M249" s="10"/>
      <c r="N249" s="10"/>
      <c r="O249" s="10"/>
      <c r="P249" s="10"/>
      <c r="Q249" s="10"/>
      <c r="R249" s="17"/>
    </row>
    <row r="250" spans="1:18" ht="15.75" customHeight="1" thickBot="1" x14ac:dyDescent="0.35">
      <c r="A250" s="240" t="s">
        <v>1754</v>
      </c>
      <c r="B250" s="4" t="s">
        <v>2090</v>
      </c>
      <c r="C250" s="5" t="s">
        <v>2091</v>
      </c>
      <c r="D250" s="5" t="s">
        <v>2234</v>
      </c>
      <c r="E250" s="33" t="s">
        <v>1594</v>
      </c>
      <c r="F250" s="5" t="s">
        <v>2235</v>
      </c>
      <c r="G250" s="5" t="s">
        <v>2236</v>
      </c>
      <c r="H250" s="5" t="s">
        <v>2237</v>
      </c>
      <c r="I250" s="35" t="s">
        <v>1595</v>
      </c>
      <c r="J250" s="5" t="s">
        <v>1504</v>
      </c>
      <c r="K250" s="5" t="s">
        <v>1505</v>
      </c>
      <c r="L250" s="5" t="s">
        <v>1506</v>
      </c>
      <c r="M250" s="35" t="s">
        <v>1596</v>
      </c>
      <c r="N250" s="5" t="s">
        <v>1507</v>
      </c>
      <c r="O250" s="5" t="s">
        <v>1508</v>
      </c>
      <c r="P250" s="5" t="s">
        <v>1509</v>
      </c>
      <c r="Q250" s="35" t="s">
        <v>1597</v>
      </c>
      <c r="R250" s="36" t="s">
        <v>1510</v>
      </c>
    </row>
    <row r="251" spans="1:18" ht="15.75" customHeight="1" thickBot="1" x14ac:dyDescent="0.35">
      <c r="A251" s="44"/>
      <c r="B251" s="313"/>
      <c r="C251" s="313"/>
      <c r="D251" s="313"/>
      <c r="E251" s="316"/>
      <c r="F251" s="313"/>
      <c r="G251" s="313"/>
      <c r="H251" s="313"/>
      <c r="I251" s="316"/>
      <c r="J251" s="313"/>
      <c r="K251" s="313"/>
      <c r="L251" s="313"/>
      <c r="M251" s="316"/>
      <c r="N251" s="313"/>
      <c r="O251" s="313"/>
      <c r="P251" s="313"/>
      <c r="Q251" s="316"/>
      <c r="R251" s="52"/>
    </row>
    <row r="252" spans="1:18" ht="15.75" customHeight="1" thickBot="1" x14ac:dyDescent="0.35">
      <c r="A252" s="310" t="s">
        <v>1000</v>
      </c>
      <c r="B252" s="10">
        <v>0</v>
      </c>
      <c r="C252" s="10">
        <v>0</v>
      </c>
      <c r="D252" s="10">
        <v>0</v>
      </c>
      <c r="E252" s="38">
        <f>SUM(B252:D252)</f>
        <v>0</v>
      </c>
      <c r="F252" s="10">
        <v>-5265</v>
      </c>
      <c r="G252" s="10">
        <v>-2361</v>
      </c>
      <c r="H252" s="10">
        <v>-39965</v>
      </c>
      <c r="I252" s="38">
        <f>SUM(F252:H252)</f>
        <v>-47591</v>
      </c>
      <c r="J252" s="10">
        <v>-167728</v>
      </c>
      <c r="K252" s="10">
        <v>-106895</v>
      </c>
      <c r="L252" s="10">
        <v>-18499</v>
      </c>
      <c r="M252" s="38">
        <f>SUM(J252:L252)</f>
        <v>-293122</v>
      </c>
      <c r="N252" s="10">
        <v>0</v>
      </c>
      <c r="O252" s="10">
        <v>0</v>
      </c>
      <c r="P252" s="10">
        <v>0</v>
      </c>
      <c r="Q252" s="38">
        <f>SUM(N252:P252)</f>
        <v>0</v>
      </c>
      <c r="R252" s="38">
        <f>+E252+I252+M252+Q252</f>
        <v>-340713</v>
      </c>
    </row>
    <row r="253" spans="1:18" ht="15.75" customHeight="1" thickBot="1" x14ac:dyDescent="0.35">
      <c r="A253" s="272"/>
      <c r="B253" s="321"/>
      <c r="C253" s="321"/>
      <c r="D253" s="321"/>
      <c r="E253" s="53"/>
      <c r="F253" s="321"/>
      <c r="G253" s="321"/>
      <c r="H253" s="321"/>
      <c r="I253" s="53"/>
      <c r="J253" s="321"/>
      <c r="K253" s="321"/>
      <c r="L253" s="321"/>
      <c r="M253" s="53"/>
      <c r="N253" s="321"/>
      <c r="O253" s="321"/>
      <c r="P253" s="321"/>
      <c r="Q253" s="53"/>
      <c r="R253" s="54"/>
    </row>
    <row r="254" spans="1:18" ht="15.75" customHeight="1" x14ac:dyDescent="0.3">
      <c r="A254" s="234" t="s">
        <v>662</v>
      </c>
      <c r="B254" s="10">
        <f>B252</f>
        <v>0</v>
      </c>
      <c r="C254" s="10">
        <f>C252</f>
        <v>0</v>
      </c>
      <c r="D254" s="10">
        <f>D252</f>
        <v>0</v>
      </c>
      <c r="E254" s="38">
        <f>SUM(B254:D254)</f>
        <v>0</v>
      </c>
      <c r="F254" s="10">
        <f>F252</f>
        <v>-5265</v>
      </c>
      <c r="G254" s="10">
        <f>G252</f>
        <v>-2361</v>
      </c>
      <c r="H254" s="10">
        <f>H252</f>
        <v>-39965</v>
      </c>
      <c r="I254" s="38">
        <f>SUM(F254:H254)</f>
        <v>-47591</v>
      </c>
      <c r="J254" s="10">
        <f>J252</f>
        <v>-167728</v>
      </c>
      <c r="K254" s="10">
        <f>K252</f>
        <v>-106895</v>
      </c>
      <c r="L254" s="10">
        <f>L252</f>
        <v>-18499</v>
      </c>
      <c r="M254" s="38">
        <f>SUM(J254:L254)</f>
        <v>-293122</v>
      </c>
      <c r="N254" s="10">
        <f>N252</f>
        <v>0</v>
      </c>
      <c r="O254" s="10">
        <f>O252</f>
        <v>0</v>
      </c>
      <c r="P254" s="10">
        <f>P252</f>
        <v>0</v>
      </c>
      <c r="Q254" s="38">
        <f>SUM(N254:P254)</f>
        <v>0</v>
      </c>
      <c r="R254" s="55">
        <f>R252</f>
        <v>-340713</v>
      </c>
    </row>
    <row r="255" spans="1:18" ht="15.75" customHeight="1" thickBot="1" x14ac:dyDescent="0.35">
      <c r="A255" s="237" t="s">
        <v>1897</v>
      </c>
      <c r="B255" s="294">
        <f>(B254/31)/1.983</f>
        <v>0</v>
      </c>
      <c r="C255" s="294">
        <f>(C254/28)/1.983</f>
        <v>0</v>
      </c>
      <c r="D255" s="294">
        <f>(D254/31)/1.983</f>
        <v>0</v>
      </c>
      <c r="E255" s="40"/>
      <c r="F255" s="294">
        <f>(F254/30)/1.983</f>
        <v>-88.502269288956128</v>
      </c>
      <c r="G255" s="294">
        <f>(G254/31)/1.983</f>
        <v>-38.407105558537893</v>
      </c>
      <c r="H255" s="294">
        <f>(H254/30)/1.983</f>
        <v>-671.79357875273161</v>
      </c>
      <c r="I255" s="40"/>
      <c r="J255" s="294">
        <f>(J254/31)/1.983</f>
        <v>-2728.4824231776552</v>
      </c>
      <c r="K255" s="294">
        <f>(K254/31)/1.983</f>
        <v>-1738.8934979584531</v>
      </c>
      <c r="L255" s="294">
        <f>(L254/30)/1.983</f>
        <v>-310.95982518070264</v>
      </c>
      <c r="M255" s="40"/>
      <c r="N255" s="294">
        <f>(N254/31)/1.983</f>
        <v>0</v>
      </c>
      <c r="O255" s="294">
        <f>(O254/30)/1.983</f>
        <v>0</v>
      </c>
      <c r="P255" s="294">
        <f>(P254/31)/1.983</f>
        <v>0</v>
      </c>
      <c r="Q255" s="40"/>
      <c r="R255" s="52" t="s">
        <v>852</v>
      </c>
    </row>
    <row r="256" spans="1:18" ht="15.75" customHeight="1" x14ac:dyDescent="0.3">
      <c r="A256" s="17"/>
      <c r="B256" s="10"/>
      <c r="C256" s="10"/>
      <c r="D256" s="10"/>
      <c r="E256" s="10"/>
      <c r="F256" s="10"/>
      <c r="G256" s="10"/>
      <c r="H256" s="10"/>
      <c r="I256" s="10"/>
      <c r="J256" s="10"/>
      <c r="K256" s="10"/>
      <c r="L256" s="10"/>
      <c r="M256" s="10"/>
      <c r="N256" s="10"/>
      <c r="O256" s="10"/>
      <c r="P256" s="10"/>
      <c r="Q256" s="10"/>
      <c r="R256" s="17"/>
    </row>
    <row r="257" spans="1:18" ht="15.75" customHeight="1" thickBot="1" x14ac:dyDescent="0.35">
      <c r="A257" s="24"/>
      <c r="B257" s="294"/>
      <c r="C257" s="294"/>
      <c r="D257" s="294"/>
      <c r="E257" s="294"/>
      <c r="F257" s="294"/>
      <c r="G257" s="294"/>
      <c r="H257" s="294"/>
      <c r="I257" s="294"/>
      <c r="J257" s="294"/>
      <c r="K257" s="294"/>
      <c r="L257" s="294"/>
      <c r="M257" s="294"/>
      <c r="N257" s="294"/>
      <c r="O257" s="294"/>
      <c r="P257" s="294"/>
      <c r="Q257" s="294"/>
      <c r="R257" s="24"/>
    </row>
    <row r="258" spans="1:18" ht="15.75" customHeight="1" thickBot="1" x14ac:dyDescent="0.35">
      <c r="A258" s="274" t="s">
        <v>89</v>
      </c>
      <c r="B258" s="4" t="s">
        <v>2090</v>
      </c>
      <c r="C258" s="5" t="s">
        <v>2091</v>
      </c>
      <c r="D258" s="5" t="s">
        <v>2234</v>
      </c>
      <c r="E258" s="33" t="s">
        <v>1594</v>
      </c>
      <c r="F258" s="5" t="s">
        <v>2235</v>
      </c>
      <c r="G258" s="5" t="s">
        <v>2236</v>
      </c>
      <c r="H258" s="5" t="s">
        <v>2237</v>
      </c>
      <c r="I258" s="35" t="s">
        <v>1595</v>
      </c>
      <c r="J258" s="5" t="s">
        <v>1504</v>
      </c>
      <c r="K258" s="5" t="s">
        <v>1505</v>
      </c>
      <c r="L258" s="5" t="s">
        <v>1506</v>
      </c>
      <c r="M258" s="35" t="s">
        <v>1596</v>
      </c>
      <c r="N258" s="5" t="s">
        <v>1507</v>
      </c>
      <c r="O258" s="5" t="s">
        <v>1508</v>
      </c>
      <c r="P258" s="5" t="s">
        <v>1509</v>
      </c>
      <c r="Q258" s="35" t="s">
        <v>1597</v>
      </c>
      <c r="R258" s="36" t="s">
        <v>1510</v>
      </c>
    </row>
    <row r="259" spans="1:18" ht="15.75" customHeight="1" thickBot="1" x14ac:dyDescent="0.35">
      <c r="A259" s="37"/>
      <c r="B259" s="313"/>
      <c r="C259" s="313"/>
      <c r="D259" s="313"/>
      <c r="E259" s="308"/>
      <c r="F259" s="313"/>
      <c r="G259" s="313"/>
      <c r="H259" s="313"/>
      <c r="I259" s="316"/>
      <c r="J259" s="313"/>
      <c r="K259" s="313"/>
      <c r="L259" s="313"/>
      <c r="M259" s="316"/>
      <c r="N259" s="313"/>
      <c r="O259" s="313"/>
      <c r="P259" s="313"/>
      <c r="Q259" s="316"/>
      <c r="R259" s="52"/>
    </row>
    <row r="260" spans="1:18" ht="15.75" customHeight="1" x14ac:dyDescent="0.3">
      <c r="A260" s="234" t="s">
        <v>2417</v>
      </c>
      <c r="B260" s="10" t="s">
        <v>852</v>
      </c>
      <c r="C260" s="10" t="s">
        <v>852</v>
      </c>
      <c r="D260" s="10" t="s">
        <v>852</v>
      </c>
      <c r="E260" s="38" t="s">
        <v>852</v>
      </c>
      <c r="F260" s="10" t="s">
        <v>852</v>
      </c>
      <c r="G260" s="10" t="s">
        <v>852</v>
      </c>
      <c r="H260" s="10" t="s">
        <v>852</v>
      </c>
      <c r="I260" s="38" t="s">
        <v>852</v>
      </c>
      <c r="J260" s="10" t="s">
        <v>852</v>
      </c>
      <c r="K260" s="10" t="s">
        <v>852</v>
      </c>
      <c r="L260" s="10" t="s">
        <v>852</v>
      </c>
      <c r="M260" s="38" t="s">
        <v>852</v>
      </c>
      <c r="N260" s="10" t="s">
        <v>852</v>
      </c>
      <c r="O260" s="10" t="s">
        <v>852</v>
      </c>
      <c r="P260" s="10" t="s">
        <v>852</v>
      </c>
      <c r="Q260" s="38" t="s">
        <v>852</v>
      </c>
      <c r="R260" s="38" t="s">
        <v>852</v>
      </c>
    </row>
    <row r="261" spans="1:18" ht="15.75" customHeight="1" x14ac:dyDescent="0.3">
      <c r="A261" s="234" t="s">
        <v>2160</v>
      </c>
      <c r="B261" s="10"/>
      <c r="C261" s="10"/>
      <c r="D261" s="10"/>
      <c r="E261" s="38" t="s">
        <v>852</v>
      </c>
      <c r="F261" s="10"/>
      <c r="G261" s="10"/>
      <c r="H261" s="10"/>
      <c r="I261" s="38" t="s">
        <v>852</v>
      </c>
      <c r="J261" s="10"/>
      <c r="K261" s="10"/>
      <c r="L261" s="10"/>
      <c r="M261" s="38" t="s">
        <v>852</v>
      </c>
      <c r="N261" s="10"/>
      <c r="O261" s="10"/>
      <c r="P261" s="10"/>
      <c r="Q261" s="38" t="s">
        <v>852</v>
      </c>
      <c r="R261" s="38" t="s">
        <v>852</v>
      </c>
    </row>
    <row r="262" spans="1:18" ht="15.75" customHeight="1" x14ac:dyDescent="0.3">
      <c r="A262" s="311" t="s">
        <v>2200</v>
      </c>
      <c r="B262" s="172">
        <v>8</v>
      </c>
      <c r="C262" s="275">
        <v>30</v>
      </c>
      <c r="D262" s="172">
        <v>58</v>
      </c>
      <c r="E262" s="38">
        <f>SUM(B262:D262)</f>
        <v>96</v>
      </c>
      <c r="F262" s="172">
        <v>60</v>
      </c>
      <c r="G262" s="172">
        <v>73</v>
      </c>
      <c r="H262" s="172">
        <v>105</v>
      </c>
      <c r="I262" s="38">
        <f>SUM(F262:H262)</f>
        <v>238</v>
      </c>
      <c r="J262" s="172">
        <v>78</v>
      </c>
      <c r="K262" s="172">
        <v>54</v>
      </c>
      <c r="L262" s="172">
        <v>77</v>
      </c>
      <c r="M262" s="38">
        <f>SUM(J262:L262)</f>
        <v>209</v>
      </c>
      <c r="N262" s="172">
        <v>62</v>
      </c>
      <c r="O262" s="172">
        <v>107</v>
      </c>
      <c r="P262" s="172">
        <v>96</v>
      </c>
      <c r="Q262" s="38">
        <f>SUM(N262:P262)</f>
        <v>265</v>
      </c>
      <c r="R262" s="38">
        <f>+E262+I262+M262+Q262</f>
        <v>808</v>
      </c>
    </row>
    <row r="263" spans="1:18" ht="15.75" customHeight="1" x14ac:dyDescent="0.3">
      <c r="A263" s="311" t="s">
        <v>348</v>
      </c>
      <c r="B263" s="172">
        <v>83</v>
      </c>
      <c r="C263" s="172">
        <v>84</v>
      </c>
      <c r="D263" s="172">
        <v>100</v>
      </c>
      <c r="E263" s="38">
        <f>SUM(B263:D263)</f>
        <v>267</v>
      </c>
      <c r="F263" s="172">
        <v>229</v>
      </c>
      <c r="G263" s="172">
        <v>377</v>
      </c>
      <c r="H263" s="172">
        <v>362</v>
      </c>
      <c r="I263" s="38">
        <f>SUM(F263:H263)</f>
        <v>968</v>
      </c>
      <c r="J263" s="172">
        <v>374</v>
      </c>
      <c r="K263" s="172">
        <v>347</v>
      </c>
      <c r="L263" s="172">
        <v>322</v>
      </c>
      <c r="M263" s="38">
        <f>SUM(J263:L263)</f>
        <v>1043</v>
      </c>
      <c r="N263" s="172">
        <v>395</v>
      </c>
      <c r="O263" s="172">
        <v>219</v>
      </c>
      <c r="P263" s="172">
        <v>99</v>
      </c>
      <c r="Q263" s="38">
        <f>SUM(N263:P263)</f>
        <v>713</v>
      </c>
      <c r="R263" s="38">
        <f>+E263+I263+M263+Q263</f>
        <v>2991</v>
      </c>
    </row>
    <row r="264" spans="1:18" ht="15.75" customHeight="1" x14ac:dyDescent="0.3">
      <c r="A264" s="311" t="s">
        <v>349</v>
      </c>
      <c r="B264" s="172">
        <v>54</v>
      </c>
      <c r="C264" s="172">
        <v>73</v>
      </c>
      <c r="D264" s="172">
        <v>69</v>
      </c>
      <c r="E264" s="38">
        <f>SUM(B264:D264)</f>
        <v>196</v>
      </c>
      <c r="F264" s="172">
        <v>100</v>
      </c>
      <c r="G264" s="172">
        <v>265</v>
      </c>
      <c r="H264" s="172">
        <v>174</v>
      </c>
      <c r="I264" s="38">
        <f>SUM(F264:H264)</f>
        <v>539</v>
      </c>
      <c r="J264" s="172">
        <v>272</v>
      </c>
      <c r="K264" s="172">
        <v>244</v>
      </c>
      <c r="L264" s="172">
        <v>243</v>
      </c>
      <c r="M264" s="38">
        <f>SUM(J264:L264)</f>
        <v>759</v>
      </c>
      <c r="N264" s="172">
        <v>214</v>
      </c>
      <c r="O264" s="172">
        <v>87</v>
      </c>
      <c r="P264" s="172">
        <v>53</v>
      </c>
      <c r="Q264" s="38">
        <f>SUM(N264:P264)</f>
        <v>354</v>
      </c>
      <c r="R264" s="38">
        <f>+E264+I264+M264+Q264</f>
        <v>1848</v>
      </c>
    </row>
    <row r="265" spans="1:18" ht="15.75" customHeight="1" x14ac:dyDescent="0.3">
      <c r="A265" s="311" t="s">
        <v>2304</v>
      </c>
      <c r="B265" s="10">
        <v>0</v>
      </c>
      <c r="C265" s="10">
        <v>0</v>
      </c>
      <c r="D265" s="10">
        <v>0</v>
      </c>
      <c r="E265" s="38">
        <f t="shared" ref="E265:E271" si="44">SUM(B265:D265)</f>
        <v>0</v>
      </c>
      <c r="F265" s="10">
        <v>0</v>
      </c>
      <c r="G265" s="10">
        <v>31</v>
      </c>
      <c r="H265" s="10">
        <v>906</v>
      </c>
      <c r="I265" s="38">
        <f t="shared" ref="I265:I271" si="45">SUM(F265:H265)</f>
        <v>937</v>
      </c>
      <c r="J265" s="10">
        <v>950</v>
      </c>
      <c r="K265" s="10">
        <v>967</v>
      </c>
      <c r="L265" s="10">
        <v>98</v>
      </c>
      <c r="M265" s="38">
        <f t="shared" ref="M265:M271" si="46">SUM(J265:L265)</f>
        <v>2015</v>
      </c>
      <c r="N265" s="10">
        <v>0</v>
      </c>
      <c r="O265" s="10">
        <v>0</v>
      </c>
      <c r="P265" s="10">
        <v>42</v>
      </c>
      <c r="Q265" s="38">
        <f t="shared" ref="Q265:Q271" si="47">SUM(N265:P265)</f>
        <v>42</v>
      </c>
      <c r="R265" s="38">
        <f t="shared" ref="R265:R271" si="48">+E265+I265+M265+Q265</f>
        <v>2994</v>
      </c>
    </row>
    <row r="266" spans="1:18" ht="15.75" customHeight="1" x14ac:dyDescent="0.3">
      <c r="A266" s="311" t="s">
        <v>331</v>
      </c>
      <c r="B266" s="172">
        <v>8</v>
      </c>
      <c r="C266" s="172">
        <v>7</v>
      </c>
      <c r="D266" s="172">
        <v>1601</v>
      </c>
      <c r="E266" s="38">
        <f t="shared" si="44"/>
        <v>1616</v>
      </c>
      <c r="F266" s="172">
        <v>40</v>
      </c>
      <c r="G266" s="172">
        <v>67</v>
      </c>
      <c r="H266" s="172">
        <v>55</v>
      </c>
      <c r="I266" s="38">
        <f t="shared" si="45"/>
        <v>162</v>
      </c>
      <c r="J266" s="172">
        <v>38</v>
      </c>
      <c r="K266" s="172">
        <v>16</v>
      </c>
      <c r="L266" s="172">
        <v>54</v>
      </c>
      <c r="M266" s="38">
        <f t="shared" si="46"/>
        <v>108</v>
      </c>
      <c r="N266" s="172">
        <v>60</v>
      </c>
      <c r="O266" s="172">
        <v>35</v>
      </c>
      <c r="P266" s="172">
        <v>20</v>
      </c>
      <c r="Q266" s="38">
        <f t="shared" si="47"/>
        <v>115</v>
      </c>
      <c r="R266" s="38">
        <f t="shared" si="48"/>
        <v>2001</v>
      </c>
    </row>
    <row r="267" spans="1:18" ht="15.75" customHeight="1" x14ac:dyDescent="0.3">
      <c r="A267" s="311" t="s">
        <v>1161</v>
      </c>
      <c r="B267" s="10">
        <v>0</v>
      </c>
      <c r="C267" s="10">
        <v>0</v>
      </c>
      <c r="D267" s="10">
        <v>0</v>
      </c>
      <c r="E267" s="38">
        <f t="shared" si="44"/>
        <v>0</v>
      </c>
      <c r="F267" s="10">
        <v>2048</v>
      </c>
      <c r="G267" s="10">
        <v>0</v>
      </c>
      <c r="H267" s="10">
        <v>0</v>
      </c>
      <c r="I267" s="38">
        <f t="shared" si="45"/>
        <v>2048</v>
      </c>
      <c r="J267" s="10">
        <v>0</v>
      </c>
      <c r="K267" s="10">
        <v>0</v>
      </c>
      <c r="L267" s="10">
        <v>0</v>
      </c>
      <c r="M267" s="38">
        <f t="shared" si="46"/>
        <v>0</v>
      </c>
      <c r="N267" s="10">
        <v>0</v>
      </c>
      <c r="O267" s="10">
        <v>0</v>
      </c>
      <c r="P267" s="10">
        <v>0</v>
      </c>
      <c r="Q267" s="38">
        <f t="shared" si="47"/>
        <v>0</v>
      </c>
      <c r="R267" s="38">
        <f t="shared" si="48"/>
        <v>2048</v>
      </c>
    </row>
    <row r="268" spans="1:18" ht="15.75" customHeight="1" x14ac:dyDescent="0.3">
      <c r="A268" s="311" t="s">
        <v>347</v>
      </c>
      <c r="B268" s="10">
        <v>0</v>
      </c>
      <c r="C268" s="10">
        <v>0</v>
      </c>
      <c r="D268" s="10">
        <v>0</v>
      </c>
      <c r="E268" s="38">
        <f t="shared" si="44"/>
        <v>0</v>
      </c>
      <c r="F268" s="10">
        <v>0</v>
      </c>
      <c r="G268" s="10">
        <v>0</v>
      </c>
      <c r="H268" s="10">
        <v>0</v>
      </c>
      <c r="I268" s="38">
        <f t="shared" si="45"/>
        <v>0</v>
      </c>
      <c r="J268" s="10">
        <v>0</v>
      </c>
      <c r="K268" s="10">
        <v>0</v>
      </c>
      <c r="L268" s="10">
        <v>2303</v>
      </c>
      <c r="M268" s="38">
        <f t="shared" si="46"/>
        <v>2303</v>
      </c>
      <c r="N268" s="10">
        <v>2246</v>
      </c>
      <c r="O268" s="10">
        <v>1054</v>
      </c>
      <c r="P268" s="10">
        <v>1008</v>
      </c>
      <c r="Q268" s="38">
        <f t="shared" si="47"/>
        <v>4308</v>
      </c>
      <c r="R268" s="38">
        <f t="shared" si="48"/>
        <v>6611</v>
      </c>
    </row>
    <row r="269" spans="1:18" ht="15.75" customHeight="1" x14ac:dyDescent="0.3">
      <c r="A269" s="256" t="s">
        <v>848</v>
      </c>
      <c r="B269" s="10">
        <v>12</v>
      </c>
      <c r="C269" s="10">
        <v>12</v>
      </c>
      <c r="D269" s="10">
        <v>23</v>
      </c>
      <c r="E269" s="38">
        <f t="shared" si="44"/>
        <v>47</v>
      </c>
      <c r="F269" s="10">
        <v>25</v>
      </c>
      <c r="G269" s="10">
        <v>12</v>
      </c>
      <c r="H269" s="10">
        <v>12</v>
      </c>
      <c r="I269" s="38">
        <f>SUM(F269:H269)</f>
        <v>49</v>
      </c>
      <c r="J269" s="10">
        <v>22</v>
      </c>
      <c r="K269" s="10">
        <v>8</v>
      </c>
      <c r="L269" s="10">
        <v>21</v>
      </c>
      <c r="M269" s="38">
        <f t="shared" si="46"/>
        <v>51</v>
      </c>
      <c r="N269" s="10">
        <v>0</v>
      </c>
      <c r="O269" s="10">
        <v>0</v>
      </c>
      <c r="P269" s="10">
        <v>0</v>
      </c>
      <c r="Q269" s="38">
        <f t="shared" si="47"/>
        <v>0</v>
      </c>
      <c r="R269" s="38">
        <f t="shared" si="48"/>
        <v>147</v>
      </c>
    </row>
    <row r="270" spans="1:18" ht="15.75" customHeight="1" x14ac:dyDescent="0.3">
      <c r="A270" s="311" t="s">
        <v>92</v>
      </c>
      <c r="B270" s="172">
        <v>446</v>
      </c>
      <c r="C270" s="172">
        <v>1277</v>
      </c>
      <c r="D270" s="172">
        <v>2145</v>
      </c>
      <c r="E270" s="38">
        <f t="shared" si="44"/>
        <v>3868</v>
      </c>
      <c r="F270" s="172">
        <v>1056</v>
      </c>
      <c r="G270" s="172">
        <v>732</v>
      </c>
      <c r="H270" s="172">
        <v>4933</v>
      </c>
      <c r="I270" s="38">
        <f t="shared" si="45"/>
        <v>6721</v>
      </c>
      <c r="J270" s="172">
        <v>4821</v>
      </c>
      <c r="K270" s="172">
        <v>5208</v>
      </c>
      <c r="L270" s="172">
        <v>5208</v>
      </c>
      <c r="M270" s="38">
        <f t="shared" si="46"/>
        <v>15237</v>
      </c>
      <c r="N270" s="172">
        <v>5056</v>
      </c>
      <c r="O270" s="172">
        <v>4770</v>
      </c>
      <c r="P270" s="172">
        <v>4538</v>
      </c>
      <c r="Q270" s="38">
        <f t="shared" si="47"/>
        <v>14364</v>
      </c>
      <c r="R270" s="38">
        <f t="shared" si="48"/>
        <v>40190</v>
      </c>
    </row>
    <row r="271" spans="1:18" ht="15.75" customHeight="1" x14ac:dyDescent="0.3">
      <c r="A271" s="311" t="s">
        <v>1927</v>
      </c>
      <c r="B271" s="172">
        <v>0</v>
      </c>
      <c r="C271" s="172">
        <v>0</v>
      </c>
      <c r="D271" s="172">
        <v>0</v>
      </c>
      <c r="E271" s="38">
        <f t="shared" si="44"/>
        <v>0</v>
      </c>
      <c r="F271" s="172">
        <v>0</v>
      </c>
      <c r="G271" s="172">
        <v>0</v>
      </c>
      <c r="H271" s="172">
        <v>97</v>
      </c>
      <c r="I271" s="38">
        <f t="shared" si="45"/>
        <v>97</v>
      </c>
      <c r="J271" s="172">
        <v>125</v>
      </c>
      <c r="K271" s="172">
        <v>106</v>
      </c>
      <c r="L271" s="172">
        <v>20</v>
      </c>
      <c r="M271" s="38">
        <f t="shared" si="46"/>
        <v>251</v>
      </c>
      <c r="N271" s="172">
        <v>0</v>
      </c>
      <c r="O271" s="172">
        <v>0</v>
      </c>
      <c r="P271" s="172">
        <v>0</v>
      </c>
      <c r="Q271" s="38">
        <f t="shared" si="47"/>
        <v>0</v>
      </c>
      <c r="R271" s="38">
        <f t="shared" si="48"/>
        <v>348</v>
      </c>
    </row>
    <row r="272" spans="1:18" ht="15.75" customHeight="1" x14ac:dyDescent="0.3">
      <c r="A272" s="234" t="s">
        <v>2161</v>
      </c>
      <c r="B272" s="10"/>
      <c r="C272" s="10"/>
      <c r="D272" s="10"/>
      <c r="E272" s="38" t="s">
        <v>852</v>
      </c>
      <c r="F272" s="10"/>
      <c r="G272" s="10"/>
      <c r="H272" s="10"/>
      <c r="I272" s="38" t="s">
        <v>852</v>
      </c>
      <c r="J272" s="10"/>
      <c r="K272" s="10"/>
      <c r="L272" s="10"/>
      <c r="M272" s="38" t="s">
        <v>852</v>
      </c>
      <c r="N272" s="10"/>
      <c r="O272" s="10"/>
      <c r="P272" s="10"/>
      <c r="Q272" s="38" t="s">
        <v>852</v>
      </c>
      <c r="R272" s="38" t="s">
        <v>852</v>
      </c>
    </row>
    <row r="273" spans="1:18" ht="15.75" customHeight="1" x14ac:dyDescent="0.3">
      <c r="A273" s="311" t="s">
        <v>754</v>
      </c>
      <c r="B273" s="10">
        <v>3</v>
      </c>
      <c r="C273" s="10">
        <v>3</v>
      </c>
      <c r="D273" s="10">
        <v>3</v>
      </c>
      <c r="E273" s="38">
        <f>SUM(B273:D273)</f>
        <v>9</v>
      </c>
      <c r="F273" s="10">
        <v>3</v>
      </c>
      <c r="G273" s="10">
        <v>5</v>
      </c>
      <c r="H273" s="10">
        <v>0</v>
      </c>
      <c r="I273" s="38">
        <f>SUM(F273:H273)</f>
        <v>8</v>
      </c>
      <c r="J273" s="10">
        <v>2</v>
      </c>
      <c r="K273" s="10">
        <v>0</v>
      </c>
      <c r="L273" s="10">
        <v>0</v>
      </c>
      <c r="M273" s="38">
        <f>SUM(J273:L273)</f>
        <v>2</v>
      </c>
      <c r="N273" s="10">
        <v>0</v>
      </c>
      <c r="O273" s="10">
        <v>0</v>
      </c>
      <c r="P273" s="10">
        <v>0</v>
      </c>
      <c r="Q273" s="38">
        <f>SUM(N273:P273)</f>
        <v>0</v>
      </c>
      <c r="R273" s="38">
        <f>+E273+I273+M273+Q273</f>
        <v>19</v>
      </c>
    </row>
    <row r="274" spans="1:18" ht="15.75" customHeight="1" x14ac:dyDescent="0.3">
      <c r="A274" s="311" t="s">
        <v>1173</v>
      </c>
      <c r="B274" s="10">
        <v>6</v>
      </c>
      <c r="C274" s="10">
        <v>16</v>
      </c>
      <c r="D274" s="10">
        <v>0</v>
      </c>
      <c r="E274" s="38">
        <f>SUM(B274:D274)</f>
        <v>22</v>
      </c>
      <c r="F274" s="10">
        <v>18</v>
      </c>
      <c r="G274" s="10">
        <v>0</v>
      </c>
      <c r="H274" s="10">
        <v>20</v>
      </c>
      <c r="I274" s="38">
        <f>SUM(F274:H274)</f>
        <v>38</v>
      </c>
      <c r="J274" s="10">
        <v>18</v>
      </c>
      <c r="K274" s="10">
        <v>17</v>
      </c>
      <c r="L274" s="10">
        <v>6</v>
      </c>
      <c r="M274" s="38">
        <f>SUM(J274:L274)</f>
        <v>41</v>
      </c>
      <c r="N274" s="10">
        <v>17</v>
      </c>
      <c r="O274" s="10">
        <v>0</v>
      </c>
      <c r="P274" s="10">
        <v>0</v>
      </c>
      <c r="Q274" s="38">
        <f>SUM(N274:P274)</f>
        <v>17</v>
      </c>
      <c r="R274" s="38">
        <f>+E274+I274+M274+Q274</f>
        <v>118</v>
      </c>
    </row>
    <row r="275" spans="1:18" ht="15.75" customHeight="1" x14ac:dyDescent="0.3">
      <c r="A275" s="311" t="s">
        <v>2193</v>
      </c>
      <c r="B275" s="172">
        <v>0</v>
      </c>
      <c r="C275" s="172">
        <v>0</v>
      </c>
      <c r="D275" s="172">
        <v>0</v>
      </c>
      <c r="E275" s="38">
        <f>SUM(B275:D275)</f>
        <v>0</v>
      </c>
      <c r="F275" s="172">
        <v>0</v>
      </c>
      <c r="G275" s="172">
        <v>0</v>
      </c>
      <c r="H275" s="172">
        <v>0</v>
      </c>
      <c r="I275" s="38">
        <f>SUM(F275:H275)</f>
        <v>0</v>
      </c>
      <c r="J275" s="172">
        <v>0</v>
      </c>
      <c r="K275" s="172">
        <v>0</v>
      </c>
      <c r="L275" s="172">
        <v>6</v>
      </c>
      <c r="M275" s="38">
        <f>SUM(J275:L275)</f>
        <v>6</v>
      </c>
      <c r="N275" s="172">
        <v>58</v>
      </c>
      <c r="O275" s="172">
        <v>28</v>
      </c>
      <c r="P275" s="172">
        <v>48</v>
      </c>
      <c r="Q275" s="38">
        <f>SUM(N275:P275)</f>
        <v>134</v>
      </c>
      <c r="R275" s="38">
        <f>+E275+I275+M275+Q275</f>
        <v>140</v>
      </c>
    </row>
    <row r="276" spans="1:18" ht="15.75" customHeight="1" x14ac:dyDescent="0.3">
      <c r="A276" s="311" t="s">
        <v>375</v>
      </c>
      <c r="B276" s="172">
        <v>12</v>
      </c>
      <c r="C276" s="172">
        <v>12</v>
      </c>
      <c r="D276" s="172">
        <v>17</v>
      </c>
      <c r="E276" s="38">
        <f>SUM(B276:D276)</f>
        <v>41</v>
      </c>
      <c r="F276" s="172">
        <v>47</v>
      </c>
      <c r="G276" s="172">
        <v>67</v>
      </c>
      <c r="H276" s="172">
        <v>67</v>
      </c>
      <c r="I276" s="38">
        <f>SUM(F276:H276)</f>
        <v>181</v>
      </c>
      <c r="J276" s="172">
        <v>65</v>
      </c>
      <c r="K276" s="172">
        <v>52</v>
      </c>
      <c r="L276" s="172">
        <v>43</v>
      </c>
      <c r="M276" s="38">
        <f>SUM(J276:L276)</f>
        <v>160</v>
      </c>
      <c r="N276" s="172">
        <v>41</v>
      </c>
      <c r="O276" s="172">
        <v>31</v>
      </c>
      <c r="P276" s="172">
        <v>18</v>
      </c>
      <c r="Q276" s="38">
        <f>SUM(N276:P276)</f>
        <v>90</v>
      </c>
      <c r="R276" s="38">
        <f>+E276+I276+M276+Q276</f>
        <v>472</v>
      </c>
    </row>
    <row r="277" spans="1:18" ht="15.75" customHeight="1" x14ac:dyDescent="0.3">
      <c r="A277" s="311" t="s">
        <v>1732</v>
      </c>
      <c r="B277" s="172">
        <v>0</v>
      </c>
      <c r="C277" s="172">
        <v>0</v>
      </c>
      <c r="D277" s="172">
        <v>0</v>
      </c>
      <c r="E277" s="38">
        <f t="shared" ref="E277:E283" si="49">SUM(B277:D277)</f>
        <v>0</v>
      </c>
      <c r="F277" s="172">
        <v>0</v>
      </c>
      <c r="G277" s="172">
        <v>0</v>
      </c>
      <c r="H277" s="172">
        <v>0</v>
      </c>
      <c r="I277" s="38">
        <f t="shared" ref="I277:I283" si="50">SUM(F277:H277)</f>
        <v>0</v>
      </c>
      <c r="J277" s="172">
        <v>0</v>
      </c>
      <c r="K277" s="172">
        <v>0</v>
      </c>
      <c r="L277" s="172">
        <v>0</v>
      </c>
      <c r="M277" s="38">
        <f t="shared" ref="M277:M283" si="51">SUM(J277:L277)</f>
        <v>0</v>
      </c>
      <c r="N277" s="172">
        <v>0</v>
      </c>
      <c r="O277" s="172">
        <v>0</v>
      </c>
      <c r="P277" s="172">
        <v>0</v>
      </c>
      <c r="Q277" s="38">
        <f t="shared" ref="Q277:Q283" si="52">SUM(N277:P277)</f>
        <v>0</v>
      </c>
      <c r="R277" s="38">
        <f t="shared" ref="R277:R283" si="53">+E277+I277+M277+Q277</f>
        <v>0</v>
      </c>
    </row>
    <row r="278" spans="1:18" ht="15.75" customHeight="1" x14ac:dyDescent="0.3">
      <c r="A278" s="311" t="s">
        <v>2074</v>
      </c>
      <c r="B278" s="172">
        <v>4</v>
      </c>
      <c r="C278" s="172">
        <v>0</v>
      </c>
      <c r="D278" s="172">
        <v>0</v>
      </c>
      <c r="E278" s="38">
        <f t="shared" si="49"/>
        <v>4</v>
      </c>
      <c r="F278" s="172">
        <v>0</v>
      </c>
      <c r="G278" s="172">
        <v>0</v>
      </c>
      <c r="H278" s="172">
        <v>13</v>
      </c>
      <c r="I278" s="38">
        <f t="shared" si="50"/>
        <v>13</v>
      </c>
      <c r="J278" s="172">
        <v>3</v>
      </c>
      <c r="K278" s="172">
        <v>0</v>
      </c>
      <c r="L278" s="172">
        <v>0</v>
      </c>
      <c r="M278" s="38">
        <f t="shared" si="51"/>
        <v>3</v>
      </c>
      <c r="N278" s="172">
        <v>0</v>
      </c>
      <c r="O278" s="172">
        <v>0</v>
      </c>
      <c r="P278" s="172">
        <v>0</v>
      </c>
      <c r="Q278" s="38">
        <f t="shared" si="52"/>
        <v>0</v>
      </c>
      <c r="R278" s="38">
        <f t="shared" si="53"/>
        <v>20</v>
      </c>
    </row>
    <row r="279" spans="1:18" ht="15.75" customHeight="1" x14ac:dyDescent="0.3">
      <c r="A279" s="311" t="s">
        <v>1095</v>
      </c>
      <c r="B279" s="172">
        <v>2</v>
      </c>
      <c r="C279" s="172">
        <v>0</v>
      </c>
      <c r="D279" s="172">
        <v>1</v>
      </c>
      <c r="E279" s="38">
        <f t="shared" si="49"/>
        <v>3</v>
      </c>
      <c r="F279" s="172">
        <v>30</v>
      </c>
      <c r="G279" s="172">
        <v>64</v>
      </c>
      <c r="H279" s="172">
        <v>94</v>
      </c>
      <c r="I279" s="38">
        <f t="shared" si="50"/>
        <v>188</v>
      </c>
      <c r="J279" s="172">
        <v>113</v>
      </c>
      <c r="K279" s="172">
        <v>63</v>
      </c>
      <c r="L279" s="172">
        <v>81</v>
      </c>
      <c r="M279" s="38">
        <f t="shared" si="51"/>
        <v>257</v>
      </c>
      <c r="N279" s="172">
        <v>49</v>
      </c>
      <c r="O279" s="172">
        <v>53</v>
      </c>
      <c r="P279" s="172">
        <v>15</v>
      </c>
      <c r="Q279" s="38">
        <f t="shared" si="52"/>
        <v>117</v>
      </c>
      <c r="R279" s="38">
        <f t="shared" si="53"/>
        <v>565</v>
      </c>
    </row>
    <row r="280" spans="1:18" ht="15.75" customHeight="1" x14ac:dyDescent="0.3">
      <c r="A280" s="311" t="s">
        <v>1138</v>
      </c>
      <c r="B280" s="172">
        <v>2</v>
      </c>
      <c r="C280" s="172">
        <v>2</v>
      </c>
      <c r="D280" s="172">
        <v>3</v>
      </c>
      <c r="E280" s="38">
        <f t="shared" si="49"/>
        <v>7</v>
      </c>
      <c r="F280" s="172">
        <v>5</v>
      </c>
      <c r="G280" s="172">
        <v>4</v>
      </c>
      <c r="H280" s="172">
        <v>3</v>
      </c>
      <c r="I280" s="38">
        <f t="shared" si="50"/>
        <v>12</v>
      </c>
      <c r="J280" s="172">
        <v>2</v>
      </c>
      <c r="K280" s="172">
        <v>1</v>
      </c>
      <c r="L280" s="172">
        <v>1</v>
      </c>
      <c r="M280" s="38">
        <f t="shared" si="51"/>
        <v>4</v>
      </c>
      <c r="N280" s="172">
        <v>1</v>
      </c>
      <c r="O280" s="172">
        <v>1</v>
      </c>
      <c r="P280" s="172">
        <v>1</v>
      </c>
      <c r="Q280" s="38">
        <f t="shared" si="52"/>
        <v>3</v>
      </c>
      <c r="R280" s="38">
        <f t="shared" si="53"/>
        <v>26</v>
      </c>
    </row>
    <row r="281" spans="1:18" ht="15.75" customHeight="1" x14ac:dyDescent="0.3">
      <c r="A281" s="311" t="s">
        <v>1927</v>
      </c>
      <c r="B281" s="172">
        <v>0</v>
      </c>
      <c r="C281" s="172">
        <v>0</v>
      </c>
      <c r="D281" s="172">
        <v>0</v>
      </c>
      <c r="E281" s="38">
        <f t="shared" si="49"/>
        <v>0</v>
      </c>
      <c r="F281" s="172">
        <v>0</v>
      </c>
      <c r="G281" s="172">
        <v>0</v>
      </c>
      <c r="H281" s="172">
        <v>0</v>
      </c>
      <c r="I281" s="38">
        <f t="shared" si="50"/>
        <v>0</v>
      </c>
      <c r="J281" s="172">
        <v>0</v>
      </c>
      <c r="K281" s="172">
        <v>0</v>
      </c>
      <c r="L281" s="172">
        <v>29</v>
      </c>
      <c r="M281" s="38">
        <f t="shared" si="51"/>
        <v>29</v>
      </c>
      <c r="N281" s="172">
        <v>11</v>
      </c>
      <c r="O281" s="172">
        <v>4</v>
      </c>
      <c r="P281" s="172">
        <v>9</v>
      </c>
      <c r="Q281" s="38">
        <f t="shared" si="52"/>
        <v>24</v>
      </c>
      <c r="R281" s="38">
        <f t="shared" si="53"/>
        <v>53</v>
      </c>
    </row>
    <row r="282" spans="1:18" ht="15.75" customHeight="1" x14ac:dyDescent="0.3">
      <c r="A282" s="311" t="s">
        <v>875</v>
      </c>
      <c r="B282" s="172">
        <v>16</v>
      </c>
      <c r="C282" s="172">
        <v>19</v>
      </c>
      <c r="D282" s="172">
        <v>34</v>
      </c>
      <c r="E282" s="38">
        <f t="shared" si="49"/>
        <v>69</v>
      </c>
      <c r="F282" s="172">
        <v>60</v>
      </c>
      <c r="G282" s="172">
        <v>84</v>
      </c>
      <c r="H282" s="172">
        <v>71</v>
      </c>
      <c r="I282" s="38">
        <f t="shared" si="50"/>
        <v>215</v>
      </c>
      <c r="J282" s="172">
        <v>65</v>
      </c>
      <c r="K282" s="172">
        <v>59</v>
      </c>
      <c r="L282" s="172">
        <v>38</v>
      </c>
      <c r="M282" s="38">
        <f t="shared" si="51"/>
        <v>162</v>
      </c>
      <c r="N282" s="172">
        <v>67</v>
      </c>
      <c r="O282" s="172">
        <v>49</v>
      </c>
      <c r="P282" s="172">
        <v>5</v>
      </c>
      <c r="Q282" s="38">
        <f t="shared" si="52"/>
        <v>121</v>
      </c>
      <c r="R282" s="38">
        <f t="shared" si="53"/>
        <v>567</v>
      </c>
    </row>
    <row r="283" spans="1:18" ht="15.75" customHeight="1" x14ac:dyDescent="0.3">
      <c r="A283" s="311" t="s">
        <v>1059</v>
      </c>
      <c r="B283" s="172">
        <v>1</v>
      </c>
      <c r="C283" s="172">
        <v>1</v>
      </c>
      <c r="D283" s="172">
        <v>1</v>
      </c>
      <c r="E283" s="38">
        <f t="shared" si="49"/>
        <v>3</v>
      </c>
      <c r="F283" s="172">
        <v>2</v>
      </c>
      <c r="G283" s="172">
        <v>2</v>
      </c>
      <c r="H283" s="172">
        <v>2</v>
      </c>
      <c r="I283" s="38">
        <f t="shared" si="50"/>
        <v>6</v>
      </c>
      <c r="J283" s="172">
        <v>2</v>
      </c>
      <c r="K283" s="172">
        <v>2</v>
      </c>
      <c r="L283" s="172">
        <v>2</v>
      </c>
      <c r="M283" s="38">
        <f t="shared" si="51"/>
        <v>6</v>
      </c>
      <c r="N283" s="172">
        <v>2</v>
      </c>
      <c r="O283" s="172">
        <v>1</v>
      </c>
      <c r="P283" s="172">
        <v>1</v>
      </c>
      <c r="Q283" s="38">
        <f t="shared" si="52"/>
        <v>4</v>
      </c>
      <c r="R283" s="38">
        <f t="shared" si="53"/>
        <v>19</v>
      </c>
    </row>
    <row r="284" spans="1:18" ht="15.75" customHeight="1" x14ac:dyDescent="0.3">
      <c r="A284" s="311" t="s">
        <v>644</v>
      </c>
      <c r="B284" s="172">
        <v>0</v>
      </c>
      <c r="C284" s="172">
        <v>0</v>
      </c>
      <c r="D284" s="172">
        <v>5</v>
      </c>
      <c r="E284" s="38">
        <f>SUM(B284:D284)</f>
        <v>5</v>
      </c>
      <c r="F284" s="172">
        <v>13</v>
      </c>
      <c r="G284" s="172">
        <v>11</v>
      </c>
      <c r="H284" s="172">
        <v>10</v>
      </c>
      <c r="I284" s="38">
        <f>SUM(F284:H284)</f>
        <v>34</v>
      </c>
      <c r="J284" s="172">
        <v>0</v>
      </c>
      <c r="K284" s="172">
        <v>10</v>
      </c>
      <c r="L284" s="172">
        <v>6</v>
      </c>
      <c r="M284" s="38">
        <f>SUM(J284:L284)</f>
        <v>16</v>
      </c>
      <c r="N284" s="172">
        <v>0</v>
      </c>
      <c r="O284" s="172">
        <v>0</v>
      </c>
      <c r="P284" s="172">
        <v>0</v>
      </c>
      <c r="Q284" s="38">
        <f>SUM(N284:P284)</f>
        <v>0</v>
      </c>
      <c r="R284" s="38">
        <f>+E284+I284+M284+Q284</f>
        <v>55</v>
      </c>
    </row>
    <row r="285" spans="1:18" ht="15.75" customHeight="1" x14ac:dyDescent="0.3">
      <c r="A285" s="256" t="s">
        <v>231</v>
      </c>
      <c r="B285" s="172">
        <v>0</v>
      </c>
      <c r="C285" s="172">
        <v>0</v>
      </c>
      <c r="D285" s="172">
        <v>0</v>
      </c>
      <c r="E285" s="38">
        <f>SUM(B285:D285)</f>
        <v>0</v>
      </c>
      <c r="F285" s="172">
        <v>0</v>
      </c>
      <c r="G285" s="172">
        <v>6</v>
      </c>
      <c r="H285" s="172">
        <v>30</v>
      </c>
      <c r="I285" s="38">
        <f>SUM(F285:H285)</f>
        <v>36</v>
      </c>
      <c r="J285" s="172">
        <v>6</v>
      </c>
      <c r="K285" s="172">
        <v>0</v>
      </c>
      <c r="L285" s="172">
        <v>0</v>
      </c>
      <c r="M285" s="38">
        <f>SUM(J285:L285)</f>
        <v>6</v>
      </c>
      <c r="N285" s="172">
        <v>0</v>
      </c>
      <c r="O285" s="172">
        <v>0</v>
      </c>
      <c r="P285" s="172">
        <v>0</v>
      </c>
      <c r="Q285" s="38">
        <f>SUM(N285:P285)</f>
        <v>0</v>
      </c>
      <c r="R285" s="38">
        <f>+E285+I285+M285+Q285</f>
        <v>42</v>
      </c>
    </row>
    <row r="286" spans="1:18" ht="15.75" customHeight="1" x14ac:dyDescent="0.3">
      <c r="A286" s="311" t="s">
        <v>807</v>
      </c>
      <c r="B286" s="172">
        <v>7</v>
      </c>
      <c r="C286" s="172">
        <v>11</v>
      </c>
      <c r="D286" s="172">
        <v>27</v>
      </c>
      <c r="E286" s="38">
        <f>SUM(B286:D286)</f>
        <v>45</v>
      </c>
      <c r="F286" s="172">
        <v>57</v>
      </c>
      <c r="G286" s="172">
        <v>85</v>
      </c>
      <c r="H286" s="172">
        <v>104</v>
      </c>
      <c r="I286" s="38">
        <f>SUM(F286:H286)</f>
        <v>246</v>
      </c>
      <c r="J286" s="172">
        <v>89</v>
      </c>
      <c r="K286" s="172">
        <v>88</v>
      </c>
      <c r="L286" s="172">
        <v>70</v>
      </c>
      <c r="M286" s="38">
        <f>SUM(J286:L286)</f>
        <v>247</v>
      </c>
      <c r="N286" s="172">
        <v>92</v>
      </c>
      <c r="O286" s="172">
        <v>43</v>
      </c>
      <c r="P286" s="172">
        <v>38</v>
      </c>
      <c r="Q286" s="38">
        <f>SUM(N286:P286)</f>
        <v>173</v>
      </c>
      <c r="R286" s="38">
        <f>+E286+I286+M286+Q286</f>
        <v>711</v>
      </c>
    </row>
    <row r="287" spans="1:18" ht="15.75" customHeight="1" x14ac:dyDescent="0.3">
      <c r="A287" s="311" t="s">
        <v>2220</v>
      </c>
      <c r="B287" s="172">
        <v>7</v>
      </c>
      <c r="C287" s="172">
        <v>5</v>
      </c>
      <c r="D287" s="172">
        <v>7</v>
      </c>
      <c r="E287" s="38">
        <f>SUM(B287:D287)</f>
        <v>19</v>
      </c>
      <c r="F287" s="172">
        <v>28</v>
      </c>
      <c r="G287" s="172">
        <v>33</v>
      </c>
      <c r="H287" s="172">
        <v>40</v>
      </c>
      <c r="I287" s="38">
        <f>SUM(F287:H287)</f>
        <v>101</v>
      </c>
      <c r="J287" s="172">
        <v>32</v>
      </c>
      <c r="K287" s="172">
        <v>33</v>
      </c>
      <c r="L287" s="172">
        <v>17</v>
      </c>
      <c r="M287" s="38">
        <f>SUM(J287:L287)</f>
        <v>82</v>
      </c>
      <c r="N287" s="172">
        <v>19</v>
      </c>
      <c r="O287" s="172">
        <v>16</v>
      </c>
      <c r="P287" s="172">
        <v>7</v>
      </c>
      <c r="Q287" s="38">
        <f>SUM(N287:P287)</f>
        <v>42</v>
      </c>
      <c r="R287" s="38">
        <f>+E287+I287+M287+Q287</f>
        <v>244</v>
      </c>
    </row>
    <row r="288" spans="1:18" ht="15.75" customHeight="1" x14ac:dyDescent="0.3">
      <c r="A288" s="234" t="s">
        <v>2162</v>
      </c>
      <c r="B288" s="10"/>
      <c r="C288" s="10"/>
      <c r="D288" s="10"/>
      <c r="E288" s="38" t="s">
        <v>852</v>
      </c>
      <c r="F288" s="10"/>
      <c r="G288" s="10"/>
      <c r="H288" s="10"/>
      <c r="I288" s="38" t="s">
        <v>852</v>
      </c>
      <c r="J288" s="10"/>
      <c r="K288" s="10"/>
      <c r="L288" s="10"/>
      <c r="M288" s="38" t="s">
        <v>852</v>
      </c>
      <c r="N288" s="10"/>
      <c r="O288" s="10"/>
      <c r="P288" s="10"/>
      <c r="Q288" s="38" t="s">
        <v>852</v>
      </c>
      <c r="R288" s="38" t="s">
        <v>852</v>
      </c>
    </row>
    <row r="289" spans="1:18" ht="15.75" customHeight="1" x14ac:dyDescent="0.3">
      <c r="A289" s="311" t="s">
        <v>803</v>
      </c>
      <c r="B289" s="10">
        <v>0</v>
      </c>
      <c r="C289" s="10">
        <v>0</v>
      </c>
      <c r="D289" s="10">
        <v>145</v>
      </c>
      <c r="E289" s="38">
        <f>SUM(B289:D289)</f>
        <v>145</v>
      </c>
      <c r="F289" s="10">
        <v>0</v>
      </c>
      <c r="G289" s="10">
        <v>0</v>
      </c>
      <c r="H289" s="10">
        <v>0</v>
      </c>
      <c r="I289" s="38">
        <f>SUM(F289:H289)</f>
        <v>0</v>
      </c>
      <c r="J289" s="10">
        <v>0</v>
      </c>
      <c r="K289" s="10">
        <v>0</v>
      </c>
      <c r="L289" s="10">
        <v>0</v>
      </c>
      <c r="M289" s="38">
        <f>SUM(J289:L289)</f>
        <v>0</v>
      </c>
      <c r="N289" s="10">
        <v>0</v>
      </c>
      <c r="O289" s="10">
        <v>0</v>
      </c>
      <c r="P289" s="10">
        <v>0</v>
      </c>
      <c r="Q289" s="38">
        <f>SUM(N289:P289)</f>
        <v>0</v>
      </c>
      <c r="R289" s="38">
        <f>+E289+I289+M289+Q289</f>
        <v>145</v>
      </c>
    </row>
    <row r="290" spans="1:18" ht="15.75" customHeight="1" x14ac:dyDescent="0.3">
      <c r="A290" s="311" t="s">
        <v>2339</v>
      </c>
      <c r="B290" s="10">
        <v>0</v>
      </c>
      <c r="C290" s="10">
        <v>0</v>
      </c>
      <c r="D290" s="10">
        <v>0</v>
      </c>
      <c r="E290" s="38">
        <f>SUM(B290:D290)</f>
        <v>0</v>
      </c>
      <c r="F290" s="10">
        <v>1629</v>
      </c>
      <c r="G290" s="10">
        <v>6509</v>
      </c>
      <c r="H290" s="10">
        <v>0</v>
      </c>
      <c r="I290" s="38">
        <f>SUM(F290:H290)</f>
        <v>8138</v>
      </c>
      <c r="J290" s="10">
        <v>0</v>
      </c>
      <c r="K290" s="10">
        <v>0</v>
      </c>
      <c r="L290" s="10">
        <v>0</v>
      </c>
      <c r="M290" s="38">
        <f>SUM(J290:L290)</f>
        <v>0</v>
      </c>
      <c r="N290" s="10">
        <v>0</v>
      </c>
      <c r="O290" s="10">
        <v>0</v>
      </c>
      <c r="P290" s="10">
        <v>0</v>
      </c>
      <c r="Q290" s="38">
        <f>SUM(N290:P290)</f>
        <v>0</v>
      </c>
      <c r="R290" s="38">
        <f>+E290+I290+M290+Q290</f>
        <v>8138</v>
      </c>
    </row>
    <row r="291" spans="1:18" ht="15.75" customHeight="1" x14ac:dyDescent="0.3">
      <c r="A291" s="311" t="s">
        <v>2029</v>
      </c>
      <c r="B291" s="10">
        <v>0</v>
      </c>
      <c r="C291" s="10">
        <v>0</v>
      </c>
      <c r="D291" s="10">
        <v>0</v>
      </c>
      <c r="E291" s="38">
        <f>SUM(B291:D291)</f>
        <v>0</v>
      </c>
      <c r="F291" s="10">
        <v>0</v>
      </c>
      <c r="G291" s="10">
        <v>0</v>
      </c>
      <c r="H291" s="10">
        <v>2044</v>
      </c>
      <c r="I291" s="38">
        <f>SUM(F291:H291)</f>
        <v>2044</v>
      </c>
      <c r="J291" s="10">
        <v>956</v>
      </c>
      <c r="K291" s="10">
        <v>0</v>
      </c>
      <c r="L291" s="10">
        <v>0</v>
      </c>
      <c r="M291" s="38">
        <f>SUM(J291:L291)</f>
        <v>956</v>
      </c>
      <c r="N291" s="10">
        <v>0</v>
      </c>
      <c r="O291" s="10">
        <v>0</v>
      </c>
      <c r="P291" s="10">
        <v>0</v>
      </c>
      <c r="Q291" s="38">
        <f>SUM(N291:P291)</f>
        <v>0</v>
      </c>
      <c r="R291" s="38">
        <f>+E291+I291+M291+Q291</f>
        <v>3000</v>
      </c>
    </row>
    <row r="292" spans="1:18" ht="15.75" customHeight="1" x14ac:dyDescent="0.3">
      <c r="A292" s="311" t="s">
        <v>1214</v>
      </c>
      <c r="B292" s="10">
        <v>0</v>
      </c>
      <c r="C292" s="10">
        <v>0</v>
      </c>
      <c r="D292" s="10">
        <v>0</v>
      </c>
      <c r="E292" s="38">
        <f>SUM(B292:D292)</f>
        <v>0</v>
      </c>
      <c r="F292" s="10">
        <v>0</v>
      </c>
      <c r="G292" s="10">
        <v>0</v>
      </c>
      <c r="H292" s="10">
        <v>0</v>
      </c>
      <c r="I292" s="38">
        <f>SUM(F292:H292)</f>
        <v>0</v>
      </c>
      <c r="J292" s="10">
        <v>0</v>
      </c>
      <c r="K292" s="10">
        <v>0</v>
      </c>
      <c r="L292" s="10">
        <v>0</v>
      </c>
      <c r="M292" s="38">
        <f>SUM(J292:L292)</f>
        <v>0</v>
      </c>
      <c r="N292" s="10">
        <v>0</v>
      </c>
      <c r="O292" s="10">
        <v>0</v>
      </c>
      <c r="P292" s="10">
        <v>0</v>
      </c>
      <c r="Q292" s="38">
        <f>SUM(N292:P292)</f>
        <v>0</v>
      </c>
      <c r="R292" s="38">
        <f>+E292+I292+M292+Q292</f>
        <v>0</v>
      </c>
    </row>
    <row r="293" spans="1:18" ht="15.75" customHeight="1" thickBot="1" x14ac:dyDescent="0.35">
      <c r="A293" s="234" t="s">
        <v>2164</v>
      </c>
      <c r="B293" s="10"/>
      <c r="C293" s="10"/>
      <c r="D293" s="10"/>
      <c r="E293" s="38" t="s">
        <v>852</v>
      </c>
      <c r="F293" s="10"/>
      <c r="G293" s="10"/>
      <c r="H293" s="10"/>
      <c r="I293" s="38" t="s">
        <v>852</v>
      </c>
      <c r="J293" s="10"/>
      <c r="K293" s="10"/>
      <c r="L293" s="10"/>
      <c r="M293" s="38" t="s">
        <v>852</v>
      </c>
      <c r="N293" s="10"/>
      <c r="O293" s="10"/>
      <c r="P293" s="10"/>
      <c r="Q293" s="38" t="s">
        <v>852</v>
      </c>
      <c r="R293" s="38" t="s">
        <v>852</v>
      </c>
    </row>
    <row r="294" spans="1:18" ht="15.75" customHeight="1" thickBot="1" x14ac:dyDescent="0.35">
      <c r="A294" s="322" t="s">
        <v>1218</v>
      </c>
      <c r="B294" s="45">
        <f>SUM(B260:B293)</f>
        <v>671</v>
      </c>
      <c r="C294" s="46">
        <f>SUM(C260:C293)</f>
        <v>1552</v>
      </c>
      <c r="D294" s="46">
        <f>SUM(D260:D293)</f>
        <v>4239</v>
      </c>
      <c r="E294" s="37">
        <f>SUM(B294:D294)</f>
        <v>6462</v>
      </c>
      <c r="F294" s="46">
        <f>SUM(F260:F293)</f>
        <v>5450</v>
      </c>
      <c r="G294" s="46">
        <f>SUM(G260:G293)</f>
        <v>8427</v>
      </c>
      <c r="H294" s="46">
        <f>SUM(H260:H293)</f>
        <v>9142</v>
      </c>
      <c r="I294" s="37">
        <f>SUM(F294:H294)</f>
        <v>23019</v>
      </c>
      <c r="J294" s="46">
        <f>SUM(J260:J293)</f>
        <v>8033</v>
      </c>
      <c r="K294" s="46">
        <f>SUM(K260:K293)</f>
        <v>7275</v>
      </c>
      <c r="L294" s="46">
        <f>SUM(L260:L293)</f>
        <v>8645</v>
      </c>
      <c r="M294" s="37">
        <f>SUM(J294:L294)</f>
        <v>23953</v>
      </c>
      <c r="N294" s="46">
        <f>SUM(N260:N293)</f>
        <v>8390</v>
      </c>
      <c r="O294" s="46">
        <f>SUM(O260:O293)</f>
        <v>6498</v>
      </c>
      <c r="P294" s="46">
        <f>SUM(P260:P293)</f>
        <v>5998</v>
      </c>
      <c r="Q294" s="37">
        <f>SUM(N294:P294)</f>
        <v>20886</v>
      </c>
      <c r="R294" s="37">
        <f>+E294+I294+M294+Q294</f>
        <v>74320</v>
      </c>
    </row>
    <row r="295" spans="1:18" ht="15.75" customHeight="1" x14ac:dyDescent="0.3">
      <c r="A295" s="234" t="s">
        <v>1172</v>
      </c>
      <c r="B295" s="10"/>
      <c r="C295" s="10"/>
      <c r="D295" s="10"/>
      <c r="E295" s="38" t="s">
        <v>852</v>
      </c>
      <c r="F295" s="10"/>
      <c r="G295" s="10"/>
      <c r="H295" s="10"/>
      <c r="I295" s="38" t="s">
        <v>852</v>
      </c>
      <c r="J295" s="10"/>
      <c r="K295" s="10"/>
      <c r="L295" s="10"/>
      <c r="M295" s="38" t="s">
        <v>852</v>
      </c>
      <c r="N295" s="10"/>
      <c r="O295" s="10"/>
      <c r="P295" s="10"/>
      <c r="Q295" s="38" t="s">
        <v>852</v>
      </c>
      <c r="R295" s="38" t="s">
        <v>852</v>
      </c>
    </row>
    <row r="296" spans="1:18" ht="15.75" customHeight="1" x14ac:dyDescent="0.3">
      <c r="A296" s="234" t="s">
        <v>1025</v>
      </c>
      <c r="B296" s="10"/>
      <c r="C296" s="10"/>
      <c r="D296" s="10"/>
      <c r="E296" s="38"/>
      <c r="F296" s="10"/>
      <c r="G296" s="10"/>
      <c r="H296" s="10"/>
      <c r="I296" s="38"/>
      <c r="J296" s="10"/>
      <c r="K296" s="10"/>
      <c r="L296" s="10"/>
      <c r="M296" s="38"/>
      <c r="N296" s="10"/>
      <c r="O296" s="10"/>
      <c r="P296" s="10"/>
      <c r="Q296" s="38"/>
      <c r="R296" s="38"/>
    </row>
    <row r="297" spans="1:18" ht="15.75" customHeight="1" x14ac:dyDescent="0.3">
      <c r="A297" s="234" t="s">
        <v>2409</v>
      </c>
      <c r="B297" s="10"/>
      <c r="C297" s="10"/>
      <c r="D297" s="10"/>
      <c r="E297" s="38" t="s">
        <v>852</v>
      </c>
      <c r="F297" s="10"/>
      <c r="G297" s="10"/>
      <c r="H297" s="10"/>
      <c r="I297" s="38" t="s">
        <v>852</v>
      </c>
      <c r="J297" s="10"/>
      <c r="K297" s="10"/>
      <c r="L297" s="10"/>
      <c r="M297" s="38" t="s">
        <v>852</v>
      </c>
      <c r="N297" s="10"/>
      <c r="O297" s="10"/>
      <c r="P297" s="10"/>
      <c r="Q297" s="38" t="s">
        <v>852</v>
      </c>
      <c r="R297" s="38" t="s">
        <v>852</v>
      </c>
    </row>
    <row r="298" spans="1:18" ht="15.75" customHeight="1" x14ac:dyDescent="0.3">
      <c r="A298" s="311" t="s">
        <v>2099</v>
      </c>
      <c r="B298" s="10">
        <v>0</v>
      </c>
      <c r="C298" s="10">
        <v>0</v>
      </c>
      <c r="D298" s="10">
        <v>943</v>
      </c>
      <c r="E298" s="38">
        <f t="shared" ref="E298:E305" si="54">SUM(B298:D298)</f>
        <v>943</v>
      </c>
      <c r="F298" s="10">
        <v>2763</v>
      </c>
      <c r="G298" s="10">
        <v>1972</v>
      </c>
      <c r="H298" s="10">
        <v>3471</v>
      </c>
      <c r="I298" s="38">
        <f t="shared" ref="I298:I305" si="55">SUM(F298:H298)</f>
        <v>8206</v>
      </c>
      <c r="J298" s="10">
        <v>4528</v>
      </c>
      <c r="K298" s="10">
        <v>3765</v>
      </c>
      <c r="L298" s="10">
        <v>2088</v>
      </c>
      <c r="M298" s="38">
        <f t="shared" ref="M298:M305" si="56">SUM(J298:L298)</f>
        <v>10381</v>
      </c>
      <c r="N298" s="10">
        <v>52</v>
      </c>
      <c r="O298" s="10">
        <v>0</v>
      </c>
      <c r="P298" s="10">
        <v>0</v>
      </c>
      <c r="Q298" s="38">
        <f t="shared" ref="Q298:Q305" si="57">SUM(N298:P298)</f>
        <v>52</v>
      </c>
      <c r="R298" s="38">
        <f t="shared" ref="R298:R305" si="58">+E298+I298+M298+Q298</f>
        <v>19582</v>
      </c>
    </row>
    <row r="299" spans="1:18" ht="15.75" customHeight="1" x14ac:dyDescent="0.3">
      <c r="A299" s="311" t="s">
        <v>357</v>
      </c>
      <c r="B299" s="172">
        <v>0</v>
      </c>
      <c r="C299" s="172">
        <v>0</v>
      </c>
      <c r="D299" s="172">
        <v>0</v>
      </c>
      <c r="E299" s="38">
        <f t="shared" si="54"/>
        <v>0</v>
      </c>
      <c r="F299" s="172">
        <v>97</v>
      </c>
      <c r="G299" s="172">
        <v>72</v>
      </c>
      <c r="H299" s="172">
        <v>120</v>
      </c>
      <c r="I299" s="38">
        <f t="shared" si="55"/>
        <v>289</v>
      </c>
      <c r="J299" s="172">
        <v>116</v>
      </c>
      <c r="K299" s="172">
        <v>10</v>
      </c>
      <c r="L299" s="172">
        <v>27</v>
      </c>
      <c r="M299" s="38">
        <f t="shared" si="56"/>
        <v>153</v>
      </c>
      <c r="N299" s="172">
        <v>53</v>
      </c>
      <c r="O299" s="172">
        <v>0</v>
      </c>
      <c r="P299" s="172">
        <v>0</v>
      </c>
      <c r="Q299" s="38">
        <f t="shared" si="57"/>
        <v>53</v>
      </c>
      <c r="R299" s="38">
        <f t="shared" si="58"/>
        <v>495</v>
      </c>
    </row>
    <row r="300" spans="1:18" ht="15.75" customHeight="1" x14ac:dyDescent="0.3">
      <c r="A300" s="311" t="s">
        <v>909</v>
      </c>
      <c r="B300" s="172">
        <v>0</v>
      </c>
      <c r="C300" s="172">
        <v>1349</v>
      </c>
      <c r="D300" s="172">
        <v>4061</v>
      </c>
      <c r="E300" s="38">
        <f t="shared" si="54"/>
        <v>5410</v>
      </c>
      <c r="F300" s="172">
        <v>6777</v>
      </c>
      <c r="G300" s="172">
        <v>2098</v>
      </c>
      <c r="H300" s="172">
        <v>5734</v>
      </c>
      <c r="I300" s="38">
        <f t="shared" si="55"/>
        <v>14609</v>
      </c>
      <c r="J300" s="172">
        <v>6603</v>
      </c>
      <c r="K300" s="172">
        <v>5329</v>
      </c>
      <c r="L300" s="172">
        <v>1788</v>
      </c>
      <c r="M300" s="38">
        <f t="shared" si="56"/>
        <v>13720</v>
      </c>
      <c r="N300" s="172">
        <v>0</v>
      </c>
      <c r="O300" s="172">
        <v>3</v>
      </c>
      <c r="P300" s="172">
        <v>0</v>
      </c>
      <c r="Q300" s="38">
        <f t="shared" si="57"/>
        <v>3</v>
      </c>
      <c r="R300" s="38">
        <f t="shared" si="58"/>
        <v>33742</v>
      </c>
    </row>
    <row r="301" spans="1:18" ht="15.75" customHeight="1" x14ac:dyDescent="0.3">
      <c r="A301" s="311" t="s">
        <v>1739</v>
      </c>
      <c r="B301" s="172">
        <v>2827</v>
      </c>
      <c r="C301" s="172">
        <v>844</v>
      </c>
      <c r="D301" s="172">
        <v>2273</v>
      </c>
      <c r="E301" s="38">
        <f t="shared" si="54"/>
        <v>5944</v>
      </c>
      <c r="F301" s="172">
        <v>9949</v>
      </c>
      <c r="G301" s="172">
        <v>15980</v>
      </c>
      <c r="H301" s="172">
        <v>24948</v>
      </c>
      <c r="I301" s="38">
        <f t="shared" si="55"/>
        <v>50877</v>
      </c>
      <c r="J301" s="172">
        <v>21814</v>
      </c>
      <c r="K301" s="172">
        <v>15560</v>
      </c>
      <c r="L301" s="172">
        <v>16744</v>
      </c>
      <c r="M301" s="38">
        <f t="shared" si="56"/>
        <v>54118</v>
      </c>
      <c r="N301" s="172">
        <v>6860</v>
      </c>
      <c r="O301" s="172">
        <v>5392</v>
      </c>
      <c r="P301" s="172">
        <v>3621</v>
      </c>
      <c r="Q301" s="38">
        <f t="shared" si="57"/>
        <v>15873</v>
      </c>
      <c r="R301" s="38">
        <f t="shared" si="58"/>
        <v>126812</v>
      </c>
    </row>
    <row r="302" spans="1:18" ht="15.75" customHeight="1" x14ac:dyDescent="0.3">
      <c r="A302" s="311" t="s">
        <v>612</v>
      </c>
      <c r="B302" s="172">
        <v>602</v>
      </c>
      <c r="C302" s="172">
        <v>239</v>
      </c>
      <c r="D302" s="172">
        <v>1873</v>
      </c>
      <c r="E302" s="38">
        <f t="shared" si="54"/>
        <v>2714</v>
      </c>
      <c r="F302" s="172">
        <v>8781</v>
      </c>
      <c r="G302" s="172">
        <v>3250</v>
      </c>
      <c r="H302" s="172">
        <v>2200</v>
      </c>
      <c r="I302" s="38">
        <f t="shared" si="55"/>
        <v>14231</v>
      </c>
      <c r="J302" s="172">
        <v>3265</v>
      </c>
      <c r="K302" s="172">
        <v>3733</v>
      </c>
      <c r="L302" s="172">
        <v>3382</v>
      </c>
      <c r="M302" s="38">
        <f t="shared" si="56"/>
        <v>10380</v>
      </c>
      <c r="N302" s="172">
        <v>1500</v>
      </c>
      <c r="O302" s="172">
        <v>2000</v>
      </c>
      <c r="P302" s="172">
        <v>0</v>
      </c>
      <c r="Q302" s="38">
        <f t="shared" si="57"/>
        <v>3500</v>
      </c>
      <c r="R302" s="38">
        <f t="shared" si="58"/>
        <v>30825</v>
      </c>
    </row>
    <row r="303" spans="1:18" ht="15.75" customHeight="1" x14ac:dyDescent="0.3">
      <c r="A303" s="256" t="s">
        <v>626</v>
      </c>
      <c r="B303" s="172">
        <v>272</v>
      </c>
      <c r="C303" s="172">
        <v>519</v>
      </c>
      <c r="D303" s="172">
        <v>1342</v>
      </c>
      <c r="E303" s="38">
        <f t="shared" si="54"/>
        <v>2133</v>
      </c>
      <c r="F303" s="172">
        <v>3748</v>
      </c>
      <c r="G303" s="172">
        <v>3726</v>
      </c>
      <c r="H303" s="172">
        <v>2393</v>
      </c>
      <c r="I303" s="38">
        <f t="shared" si="55"/>
        <v>9867</v>
      </c>
      <c r="J303" s="172">
        <v>0</v>
      </c>
      <c r="K303" s="172">
        <v>0</v>
      </c>
      <c r="L303" s="172">
        <v>0</v>
      </c>
      <c r="M303" s="38">
        <f t="shared" si="56"/>
        <v>0</v>
      </c>
      <c r="N303" s="172">
        <v>0</v>
      </c>
      <c r="O303" s="172">
        <v>0</v>
      </c>
      <c r="P303" s="172">
        <v>0</v>
      </c>
      <c r="Q303" s="38">
        <f t="shared" si="57"/>
        <v>0</v>
      </c>
      <c r="R303" s="38">
        <f t="shared" si="58"/>
        <v>12000</v>
      </c>
    </row>
    <row r="304" spans="1:18" ht="15.75" customHeight="1" x14ac:dyDescent="0.3">
      <c r="A304" s="311" t="s">
        <v>342</v>
      </c>
      <c r="B304" s="10">
        <v>146</v>
      </c>
      <c r="C304" s="10">
        <v>803</v>
      </c>
      <c r="D304" s="10">
        <v>1773</v>
      </c>
      <c r="E304" s="38">
        <f t="shared" si="54"/>
        <v>2722</v>
      </c>
      <c r="F304" s="10">
        <v>2278</v>
      </c>
      <c r="G304" s="10">
        <v>0</v>
      </c>
      <c r="H304" s="10">
        <v>0</v>
      </c>
      <c r="I304" s="38">
        <f t="shared" si="55"/>
        <v>2278</v>
      </c>
      <c r="J304" s="10">
        <v>0</v>
      </c>
      <c r="K304" s="10">
        <v>0</v>
      </c>
      <c r="L304" s="10">
        <v>0</v>
      </c>
      <c r="M304" s="38">
        <f t="shared" si="56"/>
        <v>0</v>
      </c>
      <c r="N304" s="10">
        <v>0</v>
      </c>
      <c r="O304" s="10">
        <v>0</v>
      </c>
      <c r="P304" s="10">
        <v>0</v>
      </c>
      <c r="Q304" s="38">
        <f t="shared" si="57"/>
        <v>0</v>
      </c>
      <c r="R304" s="38">
        <f t="shared" si="58"/>
        <v>5000</v>
      </c>
    </row>
    <row r="305" spans="1:18" ht="15.75" customHeight="1" x14ac:dyDescent="0.3">
      <c r="A305" s="311" t="s">
        <v>1513</v>
      </c>
      <c r="B305" s="172">
        <v>0</v>
      </c>
      <c r="C305" s="172">
        <v>0</v>
      </c>
      <c r="D305" s="172">
        <v>0</v>
      </c>
      <c r="E305" s="38">
        <f t="shared" si="54"/>
        <v>0</v>
      </c>
      <c r="F305" s="172">
        <v>0</v>
      </c>
      <c r="G305" s="172">
        <v>0</v>
      </c>
      <c r="H305" s="172">
        <v>0</v>
      </c>
      <c r="I305" s="38">
        <f t="shared" si="55"/>
        <v>0</v>
      </c>
      <c r="J305" s="172">
        <v>0</v>
      </c>
      <c r="K305" s="172">
        <v>329</v>
      </c>
      <c r="L305" s="172">
        <v>1506</v>
      </c>
      <c r="M305" s="38">
        <f t="shared" si="56"/>
        <v>1835</v>
      </c>
      <c r="N305" s="172">
        <v>0</v>
      </c>
      <c r="O305" s="172">
        <v>10</v>
      </c>
      <c r="P305" s="172">
        <v>838</v>
      </c>
      <c r="Q305" s="38">
        <f t="shared" si="57"/>
        <v>848</v>
      </c>
      <c r="R305" s="38">
        <f t="shared" si="58"/>
        <v>2683</v>
      </c>
    </row>
    <row r="306" spans="1:18" ht="15.75" customHeight="1" thickBot="1" x14ac:dyDescent="0.35">
      <c r="A306" s="234" t="s">
        <v>2165</v>
      </c>
      <c r="B306" s="10"/>
      <c r="C306" s="10"/>
      <c r="D306" s="10"/>
      <c r="E306" s="38" t="s">
        <v>852</v>
      </c>
      <c r="F306" s="10"/>
      <c r="G306" s="10"/>
      <c r="H306" s="10"/>
      <c r="I306" s="38" t="s">
        <v>852</v>
      </c>
      <c r="J306" s="10"/>
      <c r="K306" s="10"/>
      <c r="L306" s="10"/>
      <c r="M306" s="38" t="s">
        <v>852</v>
      </c>
      <c r="N306" s="10"/>
      <c r="O306" s="10"/>
      <c r="P306" s="10"/>
      <c r="Q306" s="38" t="s">
        <v>852</v>
      </c>
      <c r="R306" s="38" t="s">
        <v>852</v>
      </c>
    </row>
    <row r="307" spans="1:18" ht="15.75" customHeight="1" thickBot="1" x14ac:dyDescent="0.35">
      <c r="A307" s="43" t="s">
        <v>1219</v>
      </c>
      <c r="B307" s="45">
        <f>SUM(B295:B306)</f>
        <v>3847</v>
      </c>
      <c r="C307" s="46">
        <f>SUM(C295:C306)</f>
        <v>3754</v>
      </c>
      <c r="D307" s="46">
        <f>SUM(D295:D306)</f>
        <v>12265</v>
      </c>
      <c r="E307" s="37">
        <f>SUM(B307:D307)</f>
        <v>19866</v>
      </c>
      <c r="F307" s="46">
        <f>SUM(F295:F306)</f>
        <v>34393</v>
      </c>
      <c r="G307" s="46">
        <f>SUM(G295:G306)</f>
        <v>27098</v>
      </c>
      <c r="H307" s="46">
        <f>SUM(H295:H306)</f>
        <v>38866</v>
      </c>
      <c r="I307" s="37">
        <f>SUM(F307:H307)</f>
        <v>100357</v>
      </c>
      <c r="J307" s="46">
        <f>SUM(J295:J306)</f>
        <v>36326</v>
      </c>
      <c r="K307" s="46">
        <f>SUM(K295:K306)</f>
        <v>28726</v>
      </c>
      <c r="L307" s="46">
        <f>SUM(L295:L306)</f>
        <v>25535</v>
      </c>
      <c r="M307" s="37">
        <f>SUM(J307:L307)</f>
        <v>90587</v>
      </c>
      <c r="N307" s="46">
        <f>SUM(N295:N306)</f>
        <v>8465</v>
      </c>
      <c r="O307" s="46">
        <f>SUM(O295:O306)</f>
        <v>7405</v>
      </c>
      <c r="P307" s="46">
        <f>SUM(P295:P306)</f>
        <v>4459</v>
      </c>
      <c r="Q307" s="37">
        <f>SUM(N307:P307)</f>
        <v>20329</v>
      </c>
      <c r="R307" s="37">
        <f>+E307+I307+M307+Q307</f>
        <v>231139</v>
      </c>
    </row>
    <row r="308" spans="1:18" ht="15.75" customHeight="1" x14ac:dyDescent="0.3">
      <c r="A308" s="234" t="s">
        <v>2166</v>
      </c>
      <c r="B308" s="10"/>
      <c r="C308" s="10"/>
      <c r="D308" s="10"/>
      <c r="E308" s="38" t="s">
        <v>852</v>
      </c>
      <c r="F308" s="10"/>
      <c r="G308" s="10"/>
      <c r="H308" s="10"/>
      <c r="I308" s="38" t="s">
        <v>852</v>
      </c>
      <c r="J308" s="10"/>
      <c r="K308" s="10"/>
      <c r="L308" s="10"/>
      <c r="M308" s="38" t="s">
        <v>852</v>
      </c>
      <c r="N308" s="10"/>
      <c r="O308" s="10"/>
      <c r="P308" s="10"/>
      <c r="Q308" s="38" t="s">
        <v>852</v>
      </c>
      <c r="R308" s="38" t="s">
        <v>852</v>
      </c>
    </row>
    <row r="309" spans="1:18" ht="15.75" customHeight="1" x14ac:dyDescent="0.3">
      <c r="A309" s="234" t="s">
        <v>1245</v>
      </c>
      <c r="B309" s="10"/>
      <c r="C309" s="10"/>
      <c r="D309" s="10"/>
      <c r="E309" s="38" t="s">
        <v>852</v>
      </c>
      <c r="F309" s="10"/>
      <c r="G309" s="10"/>
      <c r="H309" s="10"/>
      <c r="I309" s="38" t="s">
        <v>852</v>
      </c>
      <c r="J309" s="10"/>
      <c r="K309" s="10"/>
      <c r="L309" s="10"/>
      <c r="M309" s="38" t="s">
        <v>852</v>
      </c>
      <c r="N309" s="10"/>
      <c r="O309" s="10"/>
      <c r="P309" s="10"/>
      <c r="Q309" s="38" t="s">
        <v>852</v>
      </c>
      <c r="R309" s="38" t="s">
        <v>852</v>
      </c>
    </row>
    <row r="310" spans="1:18" ht="15.75" customHeight="1" x14ac:dyDescent="0.3">
      <c r="A310" s="311" t="s">
        <v>727</v>
      </c>
      <c r="B310" s="172">
        <v>1968</v>
      </c>
      <c r="C310" s="172">
        <v>1769</v>
      </c>
      <c r="D310" s="172">
        <v>9258</v>
      </c>
      <c r="E310" s="38">
        <f>SUM(B310:D310)</f>
        <v>12995</v>
      </c>
      <c r="F310" s="172">
        <v>9366</v>
      </c>
      <c r="G310" s="172">
        <v>10472</v>
      </c>
      <c r="H310" s="172">
        <v>10925</v>
      </c>
      <c r="I310" s="38">
        <f>SUM(F310:H310)</f>
        <v>30763</v>
      </c>
      <c r="J310" s="172">
        <v>10397</v>
      </c>
      <c r="K310" s="172">
        <v>8188</v>
      </c>
      <c r="L310" s="172">
        <v>7023</v>
      </c>
      <c r="M310" s="38">
        <f>SUM(J310:L310)</f>
        <v>25608</v>
      </c>
      <c r="N310" s="172">
        <v>3531</v>
      </c>
      <c r="O310" s="172">
        <v>1724</v>
      </c>
      <c r="P310" s="172">
        <v>2614</v>
      </c>
      <c r="Q310" s="38">
        <f>SUM(N310:P310)</f>
        <v>7869</v>
      </c>
      <c r="R310" s="38">
        <f>+E310+I310+M310+Q310</f>
        <v>77235</v>
      </c>
    </row>
    <row r="311" spans="1:18" ht="15.75" customHeight="1" x14ac:dyDescent="0.3">
      <c r="A311" s="256" t="s">
        <v>1814</v>
      </c>
      <c r="B311" s="10">
        <v>0</v>
      </c>
      <c r="C311" s="10">
        <v>0</v>
      </c>
      <c r="D311" s="10">
        <v>0</v>
      </c>
      <c r="E311" s="38">
        <f>SUM(B311:D311)</f>
        <v>0</v>
      </c>
      <c r="F311" s="10">
        <v>0</v>
      </c>
      <c r="G311" s="10">
        <v>0</v>
      </c>
      <c r="H311" s="10">
        <v>0</v>
      </c>
      <c r="I311" s="38">
        <f>SUM(F311:H311)</f>
        <v>0</v>
      </c>
      <c r="J311" s="10">
        <v>2076</v>
      </c>
      <c r="K311" s="10">
        <v>0</v>
      </c>
      <c r="L311" s="10">
        <v>0</v>
      </c>
      <c r="M311" s="38">
        <f>SUM(J311:L311)</f>
        <v>2076</v>
      </c>
      <c r="N311" s="10">
        <v>0</v>
      </c>
      <c r="O311" s="10">
        <v>0</v>
      </c>
      <c r="P311" s="10">
        <v>0</v>
      </c>
      <c r="Q311" s="38">
        <f>SUM(N311:P311)</f>
        <v>0</v>
      </c>
      <c r="R311" s="38">
        <f>+E311+I311+M311+Q311</f>
        <v>2076</v>
      </c>
    </row>
    <row r="312" spans="1:18" ht="15.75" customHeight="1" x14ac:dyDescent="0.3">
      <c r="A312" s="234" t="s">
        <v>1711</v>
      </c>
      <c r="B312" s="10"/>
      <c r="C312" s="10"/>
      <c r="D312" s="10"/>
      <c r="E312" s="38" t="s">
        <v>852</v>
      </c>
      <c r="F312" s="10"/>
      <c r="G312" s="10"/>
      <c r="H312" s="10"/>
      <c r="I312" s="38" t="s">
        <v>852</v>
      </c>
      <c r="J312" s="10"/>
      <c r="K312" s="10"/>
      <c r="L312" s="10"/>
      <c r="M312" s="38" t="s">
        <v>852</v>
      </c>
      <c r="N312" s="10"/>
      <c r="O312" s="10"/>
      <c r="P312" s="10"/>
      <c r="Q312" s="38" t="s">
        <v>852</v>
      </c>
      <c r="R312" s="38" t="s">
        <v>852</v>
      </c>
    </row>
    <row r="313" spans="1:18" ht="15.75" customHeight="1" x14ac:dyDescent="0.3">
      <c r="A313" s="311" t="s">
        <v>1091</v>
      </c>
      <c r="B313" s="10">
        <v>0</v>
      </c>
      <c r="C313" s="10">
        <v>0</v>
      </c>
      <c r="D313" s="10">
        <v>0</v>
      </c>
      <c r="E313" s="38">
        <f t="shared" ref="E313:E329" si="59">SUM(B313:D313)</f>
        <v>0</v>
      </c>
      <c r="F313" s="10">
        <v>97</v>
      </c>
      <c r="G313" s="10">
        <v>875</v>
      </c>
      <c r="H313" s="10">
        <v>0</v>
      </c>
      <c r="I313" s="38">
        <f t="shared" ref="I313:I329" si="60">SUM(F313:H313)</f>
        <v>972</v>
      </c>
      <c r="J313" s="10">
        <v>0</v>
      </c>
      <c r="K313" s="10">
        <v>0</v>
      </c>
      <c r="L313" s="10">
        <v>0</v>
      </c>
      <c r="M313" s="38">
        <f t="shared" ref="M313:M329" si="61">SUM(J313:L313)</f>
        <v>0</v>
      </c>
      <c r="N313" s="10">
        <v>0</v>
      </c>
      <c r="O313" s="10">
        <v>0</v>
      </c>
      <c r="P313" s="10">
        <v>0</v>
      </c>
      <c r="Q313" s="38">
        <f t="shared" ref="Q313:Q329" si="62">SUM(N313:P313)</f>
        <v>0</v>
      </c>
      <c r="R313" s="38">
        <f t="shared" ref="R313:R329" si="63">+E313+I313+M313+Q313</f>
        <v>972</v>
      </c>
    </row>
    <row r="314" spans="1:18" ht="15.75" customHeight="1" x14ac:dyDescent="0.3">
      <c r="A314" s="311" t="s">
        <v>725</v>
      </c>
      <c r="B314" s="10">
        <v>1019</v>
      </c>
      <c r="C314" s="10">
        <v>518</v>
      </c>
      <c r="D314" s="10">
        <v>0</v>
      </c>
      <c r="E314" s="38">
        <f t="shared" si="59"/>
        <v>1537</v>
      </c>
      <c r="F314" s="10">
        <v>0</v>
      </c>
      <c r="G314" s="10">
        <v>0</v>
      </c>
      <c r="H314" s="10">
        <v>0</v>
      </c>
      <c r="I314" s="38">
        <f t="shared" si="60"/>
        <v>0</v>
      </c>
      <c r="J314" s="10">
        <v>0</v>
      </c>
      <c r="K314" s="10">
        <v>0</v>
      </c>
      <c r="L314" s="10">
        <v>0</v>
      </c>
      <c r="M314" s="38">
        <f t="shared" si="61"/>
        <v>0</v>
      </c>
      <c r="N314" s="10">
        <v>0</v>
      </c>
      <c r="O314" s="10">
        <v>0</v>
      </c>
      <c r="P314" s="10">
        <v>0</v>
      </c>
      <c r="Q314" s="38">
        <f t="shared" si="62"/>
        <v>0</v>
      </c>
      <c r="R314" s="38">
        <f t="shared" si="63"/>
        <v>1537</v>
      </c>
    </row>
    <row r="315" spans="1:18" ht="15.75" customHeight="1" x14ac:dyDescent="0.3">
      <c r="A315" s="311" t="s">
        <v>1150</v>
      </c>
      <c r="B315" s="10">
        <v>0</v>
      </c>
      <c r="C315" s="10">
        <v>0</v>
      </c>
      <c r="D315" s="10">
        <v>0</v>
      </c>
      <c r="E315" s="38">
        <f t="shared" si="59"/>
        <v>0</v>
      </c>
      <c r="F315" s="10">
        <v>627</v>
      </c>
      <c r="G315" s="10">
        <v>0</v>
      </c>
      <c r="H315" s="10">
        <v>0</v>
      </c>
      <c r="I315" s="38">
        <f t="shared" si="60"/>
        <v>627</v>
      </c>
      <c r="J315" s="10">
        <v>0</v>
      </c>
      <c r="K315" s="10">
        <v>0</v>
      </c>
      <c r="L315" s="10">
        <v>0</v>
      </c>
      <c r="M315" s="38">
        <f t="shared" si="61"/>
        <v>0</v>
      </c>
      <c r="N315" s="10">
        <v>0</v>
      </c>
      <c r="O315" s="10">
        <v>0</v>
      </c>
      <c r="P315" s="10">
        <v>0</v>
      </c>
      <c r="Q315" s="38">
        <f t="shared" si="62"/>
        <v>0</v>
      </c>
      <c r="R315" s="38">
        <f t="shared" si="63"/>
        <v>627</v>
      </c>
    </row>
    <row r="316" spans="1:18" ht="15.75" customHeight="1" x14ac:dyDescent="0.3">
      <c r="A316" s="311" t="s">
        <v>885</v>
      </c>
      <c r="B316" s="10">
        <v>0</v>
      </c>
      <c r="C316" s="10">
        <v>0</v>
      </c>
      <c r="D316" s="10">
        <v>0</v>
      </c>
      <c r="E316" s="38">
        <f t="shared" si="59"/>
        <v>0</v>
      </c>
      <c r="F316" s="10">
        <v>0</v>
      </c>
      <c r="G316" s="10">
        <v>0</v>
      </c>
      <c r="H316" s="10">
        <v>0</v>
      </c>
      <c r="I316" s="38">
        <f t="shared" si="60"/>
        <v>0</v>
      </c>
      <c r="J316" s="10">
        <v>0</v>
      </c>
      <c r="K316" s="10">
        <v>0</v>
      </c>
      <c r="L316" s="10">
        <v>822</v>
      </c>
      <c r="M316" s="38">
        <f t="shared" si="61"/>
        <v>822</v>
      </c>
      <c r="N316" s="10">
        <v>736</v>
      </c>
      <c r="O316" s="10">
        <v>843</v>
      </c>
      <c r="P316" s="10">
        <v>106</v>
      </c>
      <c r="Q316" s="38">
        <f t="shared" si="62"/>
        <v>1685</v>
      </c>
      <c r="R316" s="38">
        <f t="shared" si="63"/>
        <v>2507</v>
      </c>
    </row>
    <row r="317" spans="1:18" ht="15.75" customHeight="1" x14ac:dyDescent="0.3">
      <c r="A317" s="311" t="s">
        <v>613</v>
      </c>
      <c r="B317" s="10">
        <v>0</v>
      </c>
      <c r="C317" s="10">
        <v>218</v>
      </c>
      <c r="D317" s="10">
        <v>1042</v>
      </c>
      <c r="E317" s="38">
        <f t="shared" si="59"/>
        <v>1260</v>
      </c>
      <c r="F317" s="10">
        <v>1044</v>
      </c>
      <c r="G317" s="10">
        <v>1214</v>
      </c>
      <c r="H317" s="10">
        <v>570</v>
      </c>
      <c r="I317" s="38">
        <f t="shared" si="60"/>
        <v>2828</v>
      </c>
      <c r="J317" s="10">
        <v>0</v>
      </c>
      <c r="K317" s="10">
        <v>0</v>
      </c>
      <c r="L317" s="10">
        <v>0</v>
      </c>
      <c r="M317" s="38">
        <f t="shared" si="61"/>
        <v>0</v>
      </c>
      <c r="N317" s="10">
        <v>0</v>
      </c>
      <c r="O317" s="10">
        <v>0</v>
      </c>
      <c r="P317" s="10">
        <v>0</v>
      </c>
      <c r="Q317" s="38">
        <f t="shared" si="62"/>
        <v>0</v>
      </c>
      <c r="R317" s="38">
        <f t="shared" si="63"/>
        <v>4088</v>
      </c>
    </row>
    <row r="318" spans="1:18" ht="15.75" customHeight="1" x14ac:dyDescent="0.3">
      <c r="A318" s="311" t="s">
        <v>1097</v>
      </c>
      <c r="B318" s="10">
        <v>0</v>
      </c>
      <c r="C318" s="10">
        <v>0</v>
      </c>
      <c r="D318" s="10">
        <v>0</v>
      </c>
      <c r="E318" s="38">
        <f t="shared" si="59"/>
        <v>0</v>
      </c>
      <c r="F318" s="10">
        <v>837</v>
      </c>
      <c r="G318" s="10">
        <v>832</v>
      </c>
      <c r="H318" s="10">
        <v>0</v>
      </c>
      <c r="I318" s="38">
        <f t="shared" si="60"/>
        <v>1669</v>
      </c>
      <c r="J318" s="10">
        <v>0</v>
      </c>
      <c r="K318" s="10">
        <v>0</v>
      </c>
      <c r="L318" s="10">
        <v>0</v>
      </c>
      <c r="M318" s="38">
        <f t="shared" si="61"/>
        <v>0</v>
      </c>
      <c r="N318" s="10">
        <v>0</v>
      </c>
      <c r="O318" s="10">
        <v>0</v>
      </c>
      <c r="P318" s="10">
        <v>0</v>
      </c>
      <c r="Q318" s="38">
        <f t="shared" si="62"/>
        <v>0</v>
      </c>
      <c r="R318" s="38">
        <f t="shared" si="63"/>
        <v>1669</v>
      </c>
    </row>
    <row r="319" spans="1:18" ht="15.75" customHeight="1" x14ac:dyDescent="0.3">
      <c r="A319" s="311" t="s">
        <v>780</v>
      </c>
      <c r="B319" s="10">
        <v>406</v>
      </c>
      <c r="C319" s="10">
        <v>331</v>
      </c>
      <c r="D319" s="10">
        <v>381</v>
      </c>
      <c r="E319" s="38">
        <f t="shared" si="59"/>
        <v>1118</v>
      </c>
      <c r="F319" s="10">
        <v>804</v>
      </c>
      <c r="G319" s="10">
        <v>0</v>
      </c>
      <c r="H319" s="10">
        <v>0</v>
      </c>
      <c r="I319" s="38">
        <f t="shared" si="60"/>
        <v>804</v>
      </c>
      <c r="J319" s="10">
        <v>0</v>
      </c>
      <c r="K319" s="10">
        <v>0</v>
      </c>
      <c r="L319" s="10">
        <v>0</v>
      </c>
      <c r="M319" s="38">
        <f t="shared" si="61"/>
        <v>0</v>
      </c>
      <c r="N319" s="10">
        <v>0</v>
      </c>
      <c r="O319" s="10">
        <v>0</v>
      </c>
      <c r="P319" s="10">
        <v>0</v>
      </c>
      <c r="Q319" s="38">
        <f t="shared" si="62"/>
        <v>0</v>
      </c>
      <c r="R319" s="38">
        <f t="shared" si="63"/>
        <v>1922</v>
      </c>
    </row>
    <row r="320" spans="1:18" ht="15.75" customHeight="1" x14ac:dyDescent="0.3">
      <c r="A320" s="311" t="s">
        <v>1380</v>
      </c>
      <c r="B320" s="10">
        <v>0</v>
      </c>
      <c r="C320" s="10">
        <v>0</v>
      </c>
      <c r="D320" s="10">
        <v>0</v>
      </c>
      <c r="E320" s="38">
        <f>SUM(B320:D320)</f>
        <v>0</v>
      </c>
      <c r="F320" s="10">
        <v>1000</v>
      </c>
      <c r="G320" s="10">
        <v>0</v>
      </c>
      <c r="H320" s="10">
        <v>1000</v>
      </c>
      <c r="I320" s="38">
        <f>SUM(F320:H320)</f>
        <v>2000</v>
      </c>
      <c r="J320" s="10">
        <v>1500</v>
      </c>
      <c r="K320" s="10">
        <v>5500</v>
      </c>
      <c r="L320" s="10">
        <v>6500</v>
      </c>
      <c r="M320" s="38">
        <f>SUM(J320:L320)</f>
        <v>13500</v>
      </c>
      <c r="N320" s="10">
        <v>0</v>
      </c>
      <c r="O320" s="10">
        <v>0</v>
      </c>
      <c r="P320" s="10">
        <v>0</v>
      </c>
      <c r="Q320" s="38">
        <f>SUM(N320:P320)</f>
        <v>0</v>
      </c>
      <c r="R320" s="38">
        <f>+E320+I320+M320+Q320</f>
        <v>15500</v>
      </c>
    </row>
    <row r="321" spans="1:18" ht="15.75" customHeight="1" x14ac:dyDescent="0.3">
      <c r="A321" s="311" t="s">
        <v>1381</v>
      </c>
      <c r="B321" s="10">
        <v>1139</v>
      </c>
      <c r="C321" s="10">
        <v>0</v>
      </c>
      <c r="D321" s="10">
        <v>0</v>
      </c>
      <c r="E321" s="38">
        <f>SUM(B321:D321)</f>
        <v>1139</v>
      </c>
      <c r="F321" s="10">
        <v>1756</v>
      </c>
      <c r="G321" s="10">
        <v>6400</v>
      </c>
      <c r="H321" s="10">
        <v>8200</v>
      </c>
      <c r="I321" s="38">
        <f>SUM(F321:H321)</f>
        <v>16356</v>
      </c>
      <c r="J321" s="10">
        <v>8000</v>
      </c>
      <c r="K321" s="10">
        <v>7160</v>
      </c>
      <c r="L321" s="10">
        <v>4625</v>
      </c>
      <c r="M321" s="38">
        <f>SUM(J321:L321)</f>
        <v>19785</v>
      </c>
      <c r="N321" s="10">
        <v>2825</v>
      </c>
      <c r="O321" s="10">
        <v>1395</v>
      </c>
      <c r="P321" s="10">
        <v>0</v>
      </c>
      <c r="Q321" s="38">
        <f>SUM(N321:P321)</f>
        <v>4220</v>
      </c>
      <c r="R321" s="38">
        <f>+E321+I321+M321+Q321</f>
        <v>41500</v>
      </c>
    </row>
    <row r="322" spans="1:18" ht="15.75" customHeight="1" x14ac:dyDescent="0.3">
      <c r="A322" s="311" t="s">
        <v>464</v>
      </c>
      <c r="B322" s="10">
        <v>0</v>
      </c>
      <c r="C322" s="10">
        <v>600</v>
      </c>
      <c r="D322" s="10">
        <v>4700</v>
      </c>
      <c r="E322" s="38">
        <f>SUM(B322:D322)</f>
        <v>5300</v>
      </c>
      <c r="F322" s="10">
        <v>5300</v>
      </c>
      <c r="G322" s="10">
        <v>6300</v>
      </c>
      <c r="H322" s="10">
        <v>6300</v>
      </c>
      <c r="I322" s="38">
        <f>SUM(F322:H322)</f>
        <v>17900</v>
      </c>
      <c r="J322" s="10">
        <v>6630</v>
      </c>
      <c r="K322" s="10">
        <v>4810</v>
      </c>
      <c r="L322" s="10">
        <v>2650</v>
      </c>
      <c r="M322" s="38">
        <f>SUM(J322:L322)</f>
        <v>14090</v>
      </c>
      <c r="N322" s="10">
        <v>1290</v>
      </c>
      <c r="O322" s="10">
        <v>980</v>
      </c>
      <c r="P322" s="10">
        <v>940</v>
      </c>
      <c r="Q322" s="38">
        <f>SUM(N322:P322)</f>
        <v>3210</v>
      </c>
      <c r="R322" s="38">
        <f>+E322+I322+M322+Q322</f>
        <v>40500</v>
      </c>
    </row>
    <row r="323" spans="1:18" ht="15.75" customHeight="1" x14ac:dyDescent="0.3">
      <c r="A323" s="311" t="s">
        <v>2362</v>
      </c>
      <c r="B323" s="10">
        <v>815</v>
      </c>
      <c r="C323" s="10">
        <v>815</v>
      </c>
      <c r="D323" s="10">
        <v>815</v>
      </c>
      <c r="E323" s="38">
        <f t="shared" si="59"/>
        <v>2445</v>
      </c>
      <c r="F323" s="10">
        <v>815</v>
      </c>
      <c r="G323" s="10">
        <v>815</v>
      </c>
      <c r="H323" s="10">
        <v>815</v>
      </c>
      <c r="I323" s="38">
        <f t="shared" si="60"/>
        <v>2445</v>
      </c>
      <c r="J323" s="10">
        <v>817</v>
      </c>
      <c r="K323" s="10">
        <v>0</v>
      </c>
      <c r="L323" s="10">
        <v>0</v>
      </c>
      <c r="M323" s="38">
        <f t="shared" si="61"/>
        <v>817</v>
      </c>
      <c r="N323" s="10">
        <v>0</v>
      </c>
      <c r="O323" s="10">
        <v>0</v>
      </c>
      <c r="P323" s="10">
        <v>0</v>
      </c>
      <c r="Q323" s="38">
        <f t="shared" si="62"/>
        <v>0</v>
      </c>
      <c r="R323" s="38">
        <f t="shared" si="63"/>
        <v>5707</v>
      </c>
    </row>
    <row r="324" spans="1:18" ht="15.75" customHeight="1" x14ac:dyDescent="0.3">
      <c r="A324" s="311" t="s">
        <v>970</v>
      </c>
      <c r="B324" s="172">
        <v>0</v>
      </c>
      <c r="C324" s="172">
        <v>0</v>
      </c>
      <c r="D324" s="172">
        <v>0</v>
      </c>
      <c r="E324" s="38">
        <f>SUM(B324:D324)</f>
        <v>0</v>
      </c>
      <c r="F324" s="172">
        <v>0</v>
      </c>
      <c r="G324" s="172">
        <v>0</v>
      </c>
      <c r="H324" s="172">
        <v>0</v>
      </c>
      <c r="I324" s="38">
        <f>SUM(F324:H324)</f>
        <v>0</v>
      </c>
      <c r="J324" s="172">
        <v>0</v>
      </c>
      <c r="K324" s="172">
        <v>0</v>
      </c>
      <c r="L324" s="172">
        <v>1000</v>
      </c>
      <c r="M324" s="38">
        <f>SUM(J324:L324)</f>
        <v>1000</v>
      </c>
      <c r="N324" s="172">
        <v>0</v>
      </c>
      <c r="O324" s="172">
        <v>0</v>
      </c>
      <c r="P324" s="172">
        <v>0</v>
      </c>
      <c r="Q324" s="38">
        <f>SUM(N324:P324)</f>
        <v>0</v>
      </c>
      <c r="R324" s="38">
        <f>+E324+I324+M324+Q324</f>
        <v>1000</v>
      </c>
    </row>
    <row r="325" spans="1:18" ht="15.75" customHeight="1" x14ac:dyDescent="0.3">
      <c r="A325" s="311" t="s">
        <v>2089</v>
      </c>
      <c r="B325" s="10">
        <v>0</v>
      </c>
      <c r="C325" s="10">
        <v>0</v>
      </c>
      <c r="D325" s="10">
        <v>0</v>
      </c>
      <c r="E325" s="38">
        <f t="shared" si="59"/>
        <v>0</v>
      </c>
      <c r="F325" s="10">
        <v>0</v>
      </c>
      <c r="G325" s="10">
        <v>0</v>
      </c>
      <c r="H325" s="10">
        <v>0</v>
      </c>
      <c r="I325" s="38">
        <f t="shared" si="60"/>
        <v>0</v>
      </c>
      <c r="J325" s="10">
        <v>0</v>
      </c>
      <c r="K325" s="10">
        <v>0</v>
      </c>
      <c r="L325" s="10">
        <v>0</v>
      </c>
      <c r="M325" s="38">
        <f t="shared" si="61"/>
        <v>0</v>
      </c>
      <c r="N325" s="10">
        <v>0</v>
      </c>
      <c r="O325" s="10">
        <v>0</v>
      </c>
      <c r="P325" s="10">
        <v>955</v>
      </c>
      <c r="Q325" s="38">
        <f t="shared" si="62"/>
        <v>955</v>
      </c>
      <c r="R325" s="38">
        <f t="shared" si="63"/>
        <v>955</v>
      </c>
    </row>
    <row r="326" spans="1:18" ht="15.75" customHeight="1" x14ac:dyDescent="0.3">
      <c r="A326" s="311" t="s">
        <v>2384</v>
      </c>
      <c r="B326" s="10">
        <v>0</v>
      </c>
      <c r="C326" s="10">
        <v>0</v>
      </c>
      <c r="D326" s="10">
        <v>0</v>
      </c>
      <c r="E326" s="38">
        <f>SUM(B326:D326)</f>
        <v>0</v>
      </c>
      <c r="F326" s="10">
        <v>0</v>
      </c>
      <c r="G326" s="10">
        <v>0</v>
      </c>
      <c r="H326" s="10">
        <v>0</v>
      </c>
      <c r="I326" s="38">
        <f>SUM(F326:H326)</f>
        <v>0</v>
      </c>
      <c r="J326" s="10">
        <v>0</v>
      </c>
      <c r="K326" s="10">
        <v>2434</v>
      </c>
      <c r="L326" s="10">
        <v>2037</v>
      </c>
      <c r="M326" s="38">
        <f>SUM(J326:L326)</f>
        <v>4471</v>
      </c>
      <c r="N326" s="10">
        <v>0</v>
      </c>
      <c r="O326" s="10">
        <v>0</v>
      </c>
      <c r="P326" s="10">
        <v>0</v>
      </c>
      <c r="Q326" s="38">
        <f>SUM(N326:P326)</f>
        <v>0</v>
      </c>
      <c r="R326" s="38">
        <f>+E326+I326+M326+Q326</f>
        <v>4471</v>
      </c>
    </row>
    <row r="327" spans="1:18" ht="15.75" customHeight="1" x14ac:dyDescent="0.3">
      <c r="A327" s="311" t="s">
        <v>1475</v>
      </c>
      <c r="B327" s="10">
        <v>0</v>
      </c>
      <c r="C327" s="10">
        <v>0</v>
      </c>
      <c r="D327" s="10">
        <v>0</v>
      </c>
      <c r="E327" s="38">
        <f t="shared" si="59"/>
        <v>0</v>
      </c>
      <c r="F327" s="10">
        <v>0</v>
      </c>
      <c r="G327" s="10">
        <v>0</v>
      </c>
      <c r="H327" s="10">
        <v>651</v>
      </c>
      <c r="I327" s="38">
        <f t="shared" si="60"/>
        <v>651</v>
      </c>
      <c r="J327" s="10">
        <v>1302</v>
      </c>
      <c r="K327" s="10">
        <v>0</v>
      </c>
      <c r="L327" s="10">
        <v>0</v>
      </c>
      <c r="M327" s="38">
        <f t="shared" si="61"/>
        <v>1302</v>
      </c>
      <c r="N327" s="10">
        <v>0</v>
      </c>
      <c r="O327" s="10">
        <v>0</v>
      </c>
      <c r="P327" s="10">
        <v>0</v>
      </c>
      <c r="Q327" s="38">
        <f t="shared" si="62"/>
        <v>0</v>
      </c>
      <c r="R327" s="38">
        <f t="shared" si="63"/>
        <v>1953</v>
      </c>
    </row>
    <row r="328" spans="1:18" ht="15.75" customHeight="1" thickBot="1" x14ac:dyDescent="0.35">
      <c r="A328" s="311" t="s">
        <v>101</v>
      </c>
      <c r="B328" s="10">
        <v>0</v>
      </c>
      <c r="C328" s="10">
        <v>0</v>
      </c>
      <c r="D328" s="10">
        <v>0</v>
      </c>
      <c r="E328" s="38">
        <f t="shared" si="59"/>
        <v>0</v>
      </c>
      <c r="F328" s="10">
        <v>0</v>
      </c>
      <c r="G328" s="10">
        <v>2622</v>
      </c>
      <c r="H328" s="10">
        <v>0</v>
      </c>
      <c r="I328" s="38">
        <f t="shared" si="60"/>
        <v>2622</v>
      </c>
      <c r="J328" s="10">
        <v>0</v>
      </c>
      <c r="K328" s="10">
        <v>0</v>
      </c>
      <c r="L328" s="10">
        <v>0</v>
      </c>
      <c r="M328" s="38">
        <f t="shared" si="61"/>
        <v>0</v>
      </c>
      <c r="N328" s="10">
        <v>0</v>
      </c>
      <c r="O328" s="10">
        <v>0</v>
      </c>
      <c r="P328" s="10">
        <v>0</v>
      </c>
      <c r="Q328" s="38">
        <f t="shared" si="62"/>
        <v>0</v>
      </c>
      <c r="R328" s="38">
        <f t="shared" si="63"/>
        <v>2622</v>
      </c>
    </row>
    <row r="329" spans="1:18" ht="15.75" customHeight="1" thickBot="1" x14ac:dyDescent="0.35">
      <c r="A329" s="277" t="s">
        <v>1220</v>
      </c>
      <c r="B329" s="45">
        <f>SUM(B308:B328)</f>
        <v>5347</v>
      </c>
      <c r="C329" s="46">
        <f>SUM(C308:C328)</f>
        <v>4251</v>
      </c>
      <c r="D329" s="46">
        <f>SUM(D308:D328)</f>
        <v>16196</v>
      </c>
      <c r="E329" s="37">
        <f t="shared" si="59"/>
        <v>25794</v>
      </c>
      <c r="F329" s="46">
        <f>SUM(F308:F328)</f>
        <v>21646</v>
      </c>
      <c r="G329" s="46">
        <f>SUM(G308:G328)</f>
        <v>29530</v>
      </c>
      <c r="H329" s="46">
        <f>SUM(H308:H328)</f>
        <v>28461</v>
      </c>
      <c r="I329" s="37">
        <f t="shared" si="60"/>
        <v>79637</v>
      </c>
      <c r="J329" s="46">
        <f>SUM(J308:J328)</f>
        <v>30722</v>
      </c>
      <c r="K329" s="46">
        <f>SUM(K308:K328)</f>
        <v>28092</v>
      </c>
      <c r="L329" s="46">
        <f>SUM(L308:L328)</f>
        <v>24657</v>
      </c>
      <c r="M329" s="37">
        <f t="shared" si="61"/>
        <v>83471</v>
      </c>
      <c r="N329" s="46">
        <f>SUM(N308:N328)</f>
        <v>8382</v>
      </c>
      <c r="O329" s="46">
        <f>SUM(O308:O328)</f>
        <v>4942</v>
      </c>
      <c r="P329" s="46">
        <f>SUM(P308:P328)</f>
        <v>4615</v>
      </c>
      <c r="Q329" s="37">
        <f t="shared" si="62"/>
        <v>17939</v>
      </c>
      <c r="R329" s="37">
        <f t="shared" si="63"/>
        <v>206841</v>
      </c>
    </row>
    <row r="330" spans="1:18" ht="15.75" customHeight="1" x14ac:dyDescent="0.3">
      <c r="A330" s="234" t="s">
        <v>1712</v>
      </c>
      <c r="B330" s="10"/>
      <c r="C330" s="10"/>
      <c r="D330" s="10"/>
      <c r="E330" s="38" t="s">
        <v>852</v>
      </c>
      <c r="F330" s="10"/>
      <c r="G330" s="10"/>
      <c r="H330" s="10"/>
      <c r="I330" s="38" t="s">
        <v>852</v>
      </c>
      <c r="J330" s="10"/>
      <c r="K330" s="10"/>
      <c r="L330" s="10"/>
      <c r="M330" s="38" t="s">
        <v>852</v>
      </c>
      <c r="N330" s="10"/>
      <c r="O330" s="10"/>
      <c r="P330" s="10"/>
      <c r="Q330" s="38" t="s">
        <v>852</v>
      </c>
      <c r="R330" s="38" t="s">
        <v>852</v>
      </c>
    </row>
    <row r="331" spans="1:18" ht="15.75" customHeight="1" x14ac:dyDescent="0.3">
      <c r="A331" s="234" t="s">
        <v>1021</v>
      </c>
      <c r="B331" s="10"/>
      <c r="C331" s="10"/>
      <c r="D331" s="10"/>
      <c r="E331" s="38" t="s">
        <v>852</v>
      </c>
      <c r="F331" s="10"/>
      <c r="G331" s="10"/>
      <c r="H331" s="10"/>
      <c r="I331" s="38" t="s">
        <v>852</v>
      </c>
      <c r="J331" s="10"/>
      <c r="K331" s="10"/>
      <c r="L331" s="10"/>
      <c r="M331" s="38" t="s">
        <v>852</v>
      </c>
      <c r="N331" s="10"/>
      <c r="O331" s="10"/>
      <c r="P331" s="10"/>
      <c r="Q331" s="38" t="s">
        <v>852</v>
      </c>
      <c r="R331" s="38" t="s">
        <v>852</v>
      </c>
    </row>
    <row r="332" spans="1:18" ht="15.75" customHeight="1" x14ac:dyDescent="0.3">
      <c r="A332" s="311" t="s">
        <v>2017</v>
      </c>
      <c r="B332" s="10">
        <v>0</v>
      </c>
      <c r="C332" s="10">
        <v>0</v>
      </c>
      <c r="D332" s="10">
        <v>0</v>
      </c>
      <c r="E332" s="38">
        <f>SUM(B332:D332)</f>
        <v>0</v>
      </c>
      <c r="F332" s="10">
        <v>0</v>
      </c>
      <c r="G332" s="10">
        <v>0</v>
      </c>
      <c r="H332" s="10">
        <v>0</v>
      </c>
      <c r="I332" s="38">
        <f>SUM(F332:H332)</f>
        <v>0</v>
      </c>
      <c r="J332" s="10">
        <v>0</v>
      </c>
      <c r="K332" s="10">
        <v>0</v>
      </c>
      <c r="L332" s="10">
        <v>0</v>
      </c>
      <c r="M332" s="38">
        <f>SUM(J332:L332)</f>
        <v>0</v>
      </c>
      <c r="N332" s="10">
        <v>0</v>
      </c>
      <c r="O332" s="10">
        <v>0</v>
      </c>
      <c r="P332" s="10">
        <v>0</v>
      </c>
      <c r="Q332" s="38">
        <f>SUM(N332:P332)</f>
        <v>0</v>
      </c>
      <c r="R332" s="38">
        <f>+E332+I332+M332+Q332</f>
        <v>0</v>
      </c>
    </row>
    <row r="333" spans="1:18" ht="15.75" customHeight="1" x14ac:dyDescent="0.3">
      <c r="A333" s="234" t="s">
        <v>557</v>
      </c>
      <c r="B333" s="10"/>
      <c r="C333" s="10"/>
      <c r="D333" s="10"/>
      <c r="E333" s="38" t="s">
        <v>852</v>
      </c>
      <c r="F333" s="10"/>
      <c r="G333" s="10"/>
      <c r="H333" s="10"/>
      <c r="I333" s="38" t="s">
        <v>852</v>
      </c>
      <c r="J333" s="10"/>
      <c r="K333" s="10"/>
      <c r="L333" s="10"/>
      <c r="M333" s="38" t="s">
        <v>852</v>
      </c>
      <c r="N333" s="10"/>
      <c r="O333" s="10"/>
      <c r="P333" s="10"/>
      <c r="Q333" s="38" t="s">
        <v>852</v>
      </c>
      <c r="R333" s="38" t="s">
        <v>852</v>
      </c>
    </row>
    <row r="334" spans="1:18" ht="15.75" customHeight="1" x14ac:dyDescent="0.3">
      <c r="A334" s="311" t="s">
        <v>1100</v>
      </c>
      <c r="B334" s="10">
        <v>0</v>
      </c>
      <c r="C334" s="10">
        <v>0</v>
      </c>
      <c r="D334" s="10">
        <v>0</v>
      </c>
      <c r="E334" s="38">
        <f>SUM(B334:D334)</f>
        <v>0</v>
      </c>
      <c r="F334" s="10">
        <v>0</v>
      </c>
      <c r="G334" s="10">
        <v>0</v>
      </c>
      <c r="H334" s="10">
        <v>0</v>
      </c>
      <c r="I334" s="38">
        <f>SUM(F334:H334)</f>
        <v>0</v>
      </c>
      <c r="J334" s="10">
        <v>0</v>
      </c>
      <c r="K334" s="10">
        <v>0</v>
      </c>
      <c r="L334" s="10">
        <v>0</v>
      </c>
      <c r="M334" s="38">
        <f>SUM(J334:L334)</f>
        <v>0</v>
      </c>
      <c r="N334" s="10">
        <v>0</v>
      </c>
      <c r="O334" s="10">
        <v>0</v>
      </c>
      <c r="P334" s="10">
        <v>0</v>
      </c>
      <c r="Q334" s="38">
        <f>SUM(N334:P334)</f>
        <v>0</v>
      </c>
      <c r="R334" s="38">
        <f>+E334+I334+M334+Q334</f>
        <v>0</v>
      </c>
    </row>
    <row r="335" spans="1:18" ht="15.75" customHeight="1" x14ac:dyDescent="0.3">
      <c r="A335" s="311" t="s">
        <v>2070</v>
      </c>
      <c r="B335" s="10">
        <v>0</v>
      </c>
      <c r="C335" s="10">
        <v>0</v>
      </c>
      <c r="D335" s="10">
        <v>0</v>
      </c>
      <c r="E335" s="38">
        <f>SUM(B335:D335)</f>
        <v>0</v>
      </c>
      <c r="F335" s="10">
        <v>0</v>
      </c>
      <c r="G335" s="10">
        <v>0</v>
      </c>
      <c r="H335" s="10">
        <v>0</v>
      </c>
      <c r="I335" s="38">
        <f>SUM(F335:H335)</f>
        <v>0</v>
      </c>
      <c r="J335" s="10">
        <v>0</v>
      </c>
      <c r="K335" s="10">
        <v>0</v>
      </c>
      <c r="L335" s="10">
        <v>0</v>
      </c>
      <c r="M335" s="38">
        <f>SUM(J335:L335)</f>
        <v>0</v>
      </c>
      <c r="N335" s="10">
        <v>0</v>
      </c>
      <c r="O335" s="10">
        <v>0</v>
      </c>
      <c r="P335" s="10">
        <v>0</v>
      </c>
      <c r="Q335" s="38">
        <f>SUM(N335:P335)</f>
        <v>0</v>
      </c>
      <c r="R335" s="38">
        <f>+E335+I335+M335+Q335</f>
        <v>0</v>
      </c>
    </row>
    <row r="336" spans="1:18" ht="15.75" customHeight="1" x14ac:dyDescent="0.3">
      <c r="A336" s="234" t="s">
        <v>1022</v>
      </c>
      <c r="B336" s="10"/>
      <c r="C336" s="10"/>
      <c r="D336" s="10"/>
      <c r="E336" s="38" t="s">
        <v>852</v>
      </c>
      <c r="F336" s="10"/>
      <c r="G336" s="10"/>
      <c r="H336" s="10"/>
      <c r="I336" s="38" t="s">
        <v>852</v>
      </c>
      <c r="J336" s="10"/>
      <c r="K336" s="10"/>
      <c r="L336" s="10"/>
      <c r="M336" s="38" t="s">
        <v>852</v>
      </c>
      <c r="N336" s="10"/>
      <c r="O336" s="10"/>
      <c r="P336" s="10"/>
      <c r="Q336" s="38" t="s">
        <v>852</v>
      </c>
      <c r="R336" s="38" t="s">
        <v>852</v>
      </c>
    </row>
    <row r="337" spans="1:18" ht="15.75" customHeight="1" x14ac:dyDescent="0.3">
      <c r="A337" s="311" t="s">
        <v>2486</v>
      </c>
      <c r="B337" s="10">
        <v>0</v>
      </c>
      <c r="C337" s="10">
        <v>0</v>
      </c>
      <c r="D337" s="10">
        <v>0</v>
      </c>
      <c r="E337" s="38">
        <f t="shared" ref="E337:E347" si="64">SUM(B337:D337)</f>
        <v>0</v>
      </c>
      <c r="F337" s="10">
        <v>0</v>
      </c>
      <c r="G337" s="10">
        <v>0</v>
      </c>
      <c r="H337" s="10">
        <v>0</v>
      </c>
      <c r="I337" s="38">
        <f t="shared" ref="I337:I347" si="65">SUM(F337:H337)</f>
        <v>0</v>
      </c>
      <c r="J337" s="10">
        <v>1000</v>
      </c>
      <c r="K337" s="10">
        <v>0</v>
      </c>
      <c r="L337" s="10">
        <v>0</v>
      </c>
      <c r="M337" s="38">
        <f t="shared" ref="M337:M347" si="66">SUM(J337:L337)</f>
        <v>1000</v>
      </c>
      <c r="N337" s="10">
        <v>0</v>
      </c>
      <c r="O337" s="10">
        <v>0</v>
      </c>
      <c r="P337" s="10">
        <v>0</v>
      </c>
      <c r="Q337" s="38">
        <f t="shared" ref="Q337:Q347" si="67">SUM(N337:P337)</f>
        <v>0</v>
      </c>
      <c r="R337" s="38">
        <f t="shared" ref="R337:R347" si="68">+E337+I337+M337+Q337</f>
        <v>1000</v>
      </c>
    </row>
    <row r="338" spans="1:18" ht="15.75" customHeight="1" x14ac:dyDescent="0.3">
      <c r="A338" s="311" t="s">
        <v>1374</v>
      </c>
      <c r="B338" s="10">
        <v>0</v>
      </c>
      <c r="C338" s="10">
        <v>0</v>
      </c>
      <c r="D338" s="10">
        <v>0</v>
      </c>
      <c r="E338" s="38">
        <f>SUM(B338:D338)</f>
        <v>0</v>
      </c>
      <c r="F338" s="10">
        <v>0</v>
      </c>
      <c r="G338" s="10">
        <v>0</v>
      </c>
      <c r="H338" s="10">
        <v>0</v>
      </c>
      <c r="I338" s="38">
        <f>SUM(F338:H338)</f>
        <v>0</v>
      </c>
      <c r="J338" s="10">
        <v>3000</v>
      </c>
      <c r="K338" s="10">
        <v>0</v>
      </c>
      <c r="L338" s="10">
        <v>0</v>
      </c>
      <c r="M338" s="38">
        <f>SUM(J338:L338)</f>
        <v>3000</v>
      </c>
      <c r="N338" s="10">
        <v>0</v>
      </c>
      <c r="O338" s="10">
        <v>0</v>
      </c>
      <c r="P338" s="10">
        <v>0</v>
      </c>
      <c r="Q338" s="38">
        <f>SUM(N338:P338)</f>
        <v>0</v>
      </c>
      <c r="R338" s="38">
        <f>+E338+I338+M338+Q338</f>
        <v>3000</v>
      </c>
    </row>
    <row r="339" spans="1:18" ht="15.75" customHeight="1" x14ac:dyDescent="0.3">
      <c r="A339" s="311" t="s">
        <v>1866</v>
      </c>
      <c r="B339" s="10">
        <v>0</v>
      </c>
      <c r="C339" s="10">
        <v>0</v>
      </c>
      <c r="D339" s="10">
        <v>0</v>
      </c>
      <c r="E339" s="38">
        <f t="shared" si="64"/>
        <v>0</v>
      </c>
      <c r="F339" s="10">
        <v>0</v>
      </c>
      <c r="G339" s="10">
        <v>0</v>
      </c>
      <c r="H339" s="10">
        <v>0</v>
      </c>
      <c r="I339" s="38">
        <f t="shared" si="65"/>
        <v>0</v>
      </c>
      <c r="J339" s="10">
        <v>1000</v>
      </c>
      <c r="K339" s="10">
        <v>0</v>
      </c>
      <c r="L339" s="10">
        <v>0</v>
      </c>
      <c r="M339" s="38">
        <f t="shared" si="66"/>
        <v>1000</v>
      </c>
      <c r="N339" s="10">
        <v>0</v>
      </c>
      <c r="O339" s="10">
        <v>0</v>
      </c>
      <c r="P339" s="10">
        <v>0</v>
      </c>
      <c r="Q339" s="38">
        <f t="shared" si="67"/>
        <v>0</v>
      </c>
      <c r="R339" s="38">
        <f t="shared" si="68"/>
        <v>1000</v>
      </c>
    </row>
    <row r="340" spans="1:18" ht="15.75" customHeight="1" x14ac:dyDescent="0.3">
      <c r="A340" s="311" t="s">
        <v>2340</v>
      </c>
      <c r="B340" s="10">
        <v>0</v>
      </c>
      <c r="C340" s="10">
        <v>0</v>
      </c>
      <c r="D340" s="10">
        <v>0</v>
      </c>
      <c r="E340" s="38">
        <f t="shared" si="64"/>
        <v>0</v>
      </c>
      <c r="F340" s="10">
        <v>0</v>
      </c>
      <c r="G340" s="10">
        <v>0</v>
      </c>
      <c r="H340" s="10">
        <v>0</v>
      </c>
      <c r="I340" s="38">
        <f t="shared" si="65"/>
        <v>0</v>
      </c>
      <c r="J340" s="10">
        <v>862</v>
      </c>
      <c r="K340" s="10">
        <v>0</v>
      </c>
      <c r="L340" s="10">
        <v>0</v>
      </c>
      <c r="M340" s="38">
        <f t="shared" si="66"/>
        <v>862</v>
      </c>
      <c r="N340" s="10">
        <v>0</v>
      </c>
      <c r="O340" s="10">
        <v>0</v>
      </c>
      <c r="P340" s="10">
        <v>0</v>
      </c>
      <c r="Q340" s="38">
        <f t="shared" si="67"/>
        <v>0</v>
      </c>
      <c r="R340" s="38">
        <f t="shared" si="68"/>
        <v>862</v>
      </c>
    </row>
    <row r="341" spans="1:18" ht="15.75" customHeight="1" x14ac:dyDescent="0.3">
      <c r="A341" s="534" t="s">
        <v>319</v>
      </c>
      <c r="B341" s="10">
        <v>0</v>
      </c>
      <c r="C341" s="10">
        <v>0</v>
      </c>
      <c r="D341" s="10">
        <v>0</v>
      </c>
      <c r="E341" s="38">
        <f t="shared" si="64"/>
        <v>0</v>
      </c>
      <c r="F341" s="10">
        <v>0</v>
      </c>
      <c r="G341" s="10">
        <v>0</v>
      </c>
      <c r="H341" s="10">
        <v>0</v>
      </c>
      <c r="I341" s="38">
        <f t="shared" si="65"/>
        <v>0</v>
      </c>
      <c r="J341" s="10">
        <v>0</v>
      </c>
      <c r="K341" s="10">
        <v>0</v>
      </c>
      <c r="L341" s="10">
        <v>0</v>
      </c>
      <c r="M341" s="38">
        <f t="shared" si="66"/>
        <v>0</v>
      </c>
      <c r="N341" s="10">
        <v>0</v>
      </c>
      <c r="O341" s="10">
        <v>0</v>
      </c>
      <c r="P341" s="10">
        <v>0</v>
      </c>
      <c r="Q341" s="38">
        <f t="shared" si="67"/>
        <v>0</v>
      </c>
      <c r="R341" s="38">
        <f t="shared" si="68"/>
        <v>0</v>
      </c>
    </row>
    <row r="342" spans="1:18" ht="15.75" customHeight="1" x14ac:dyDescent="0.3">
      <c r="A342" s="311" t="s">
        <v>1547</v>
      </c>
      <c r="B342" s="172">
        <v>0</v>
      </c>
      <c r="C342" s="172">
        <v>0</v>
      </c>
      <c r="D342" s="172">
        <v>0</v>
      </c>
      <c r="E342" s="38">
        <f>SUM(B342:D342)</f>
        <v>0</v>
      </c>
      <c r="F342" s="172">
        <v>0</v>
      </c>
      <c r="G342" s="172">
        <v>218</v>
      </c>
      <c r="H342" s="172">
        <v>11830</v>
      </c>
      <c r="I342" s="38">
        <f>SUM(F342:H342)</f>
        <v>12048</v>
      </c>
      <c r="J342" s="172">
        <v>7952</v>
      </c>
      <c r="K342" s="172">
        <v>0</v>
      </c>
      <c r="L342" s="172">
        <v>0</v>
      </c>
      <c r="M342" s="38">
        <f>SUM(J342:L342)</f>
        <v>7952</v>
      </c>
      <c r="N342" s="172">
        <v>0</v>
      </c>
      <c r="O342" s="172">
        <v>0</v>
      </c>
      <c r="P342" s="172">
        <v>0</v>
      </c>
      <c r="Q342" s="38">
        <f>SUM(N342:P342)</f>
        <v>0</v>
      </c>
      <c r="R342" s="38">
        <f>+E342+I342+M342+Q342</f>
        <v>20000</v>
      </c>
    </row>
    <row r="343" spans="1:18" ht="15.75" customHeight="1" x14ac:dyDescent="0.3">
      <c r="A343" s="311" t="s">
        <v>615</v>
      </c>
      <c r="B343" s="172">
        <v>0</v>
      </c>
      <c r="C343" s="172">
        <v>0</v>
      </c>
      <c r="D343" s="172">
        <v>0</v>
      </c>
      <c r="E343" s="38">
        <f>SUM(B343:D343)</f>
        <v>0</v>
      </c>
      <c r="F343" s="172">
        <v>0</v>
      </c>
      <c r="G343" s="172">
        <v>0</v>
      </c>
      <c r="H343" s="172">
        <v>0</v>
      </c>
      <c r="I343" s="38">
        <f>SUM(F343:H343)</f>
        <v>0</v>
      </c>
      <c r="J343" s="172">
        <v>2409</v>
      </c>
      <c r="K343" s="172">
        <v>3657</v>
      </c>
      <c r="L343" s="172">
        <v>2309</v>
      </c>
      <c r="M343" s="38">
        <f>SUM(J343:L343)</f>
        <v>8375</v>
      </c>
      <c r="N343" s="172">
        <v>1340</v>
      </c>
      <c r="O343" s="172">
        <v>668</v>
      </c>
      <c r="P343" s="172">
        <v>617</v>
      </c>
      <c r="Q343" s="38">
        <f>SUM(N343:P343)</f>
        <v>2625</v>
      </c>
      <c r="R343" s="38">
        <f>+E343+I343+M343+Q343</f>
        <v>11000</v>
      </c>
    </row>
    <row r="344" spans="1:18" ht="15.75" customHeight="1" x14ac:dyDescent="0.3">
      <c r="A344" s="311" t="s">
        <v>1548</v>
      </c>
      <c r="B344" s="172">
        <v>0</v>
      </c>
      <c r="C344" s="172">
        <v>0</v>
      </c>
      <c r="D344" s="172">
        <v>0</v>
      </c>
      <c r="E344" s="38">
        <f>SUM(B344:D344)</f>
        <v>0</v>
      </c>
      <c r="F344" s="172">
        <v>0</v>
      </c>
      <c r="G344" s="172">
        <v>0</v>
      </c>
      <c r="H344" s="172">
        <v>3528</v>
      </c>
      <c r="I344" s="38">
        <f>SUM(F344:H344)</f>
        <v>3528</v>
      </c>
      <c r="J344" s="172">
        <v>3387</v>
      </c>
      <c r="K344" s="172">
        <v>1640</v>
      </c>
      <c r="L344" s="172">
        <v>0</v>
      </c>
      <c r="M344" s="38">
        <f>SUM(J344:L344)</f>
        <v>5027</v>
      </c>
      <c r="N344" s="172">
        <v>0</v>
      </c>
      <c r="O344" s="172">
        <v>0</v>
      </c>
      <c r="P344" s="172">
        <v>0</v>
      </c>
      <c r="Q344" s="38">
        <f>SUM(N344:P344)</f>
        <v>0</v>
      </c>
      <c r="R344" s="38">
        <f>+E344+I344+M344+Q344</f>
        <v>8555</v>
      </c>
    </row>
    <row r="345" spans="1:18" ht="15.75" customHeight="1" x14ac:dyDescent="0.3">
      <c r="A345" s="311" t="s">
        <v>1740</v>
      </c>
      <c r="B345" s="172">
        <v>0</v>
      </c>
      <c r="C345" s="172">
        <v>0</v>
      </c>
      <c r="D345" s="172">
        <v>0</v>
      </c>
      <c r="E345" s="38">
        <f t="shared" si="64"/>
        <v>0</v>
      </c>
      <c r="F345" s="172">
        <v>0</v>
      </c>
      <c r="G345" s="172">
        <v>0</v>
      </c>
      <c r="H345" s="172">
        <v>0</v>
      </c>
      <c r="I345" s="38">
        <f t="shared" si="65"/>
        <v>0</v>
      </c>
      <c r="J345" s="172">
        <v>0</v>
      </c>
      <c r="K345" s="172">
        <v>0</v>
      </c>
      <c r="L345" s="172">
        <v>0</v>
      </c>
      <c r="M345" s="38">
        <f t="shared" si="66"/>
        <v>0</v>
      </c>
      <c r="N345" s="172">
        <v>0</v>
      </c>
      <c r="O345" s="172">
        <v>0</v>
      </c>
      <c r="P345" s="172">
        <v>0</v>
      </c>
      <c r="Q345" s="38">
        <f t="shared" si="67"/>
        <v>0</v>
      </c>
      <c r="R345" s="38">
        <f t="shared" si="68"/>
        <v>0</v>
      </c>
    </row>
    <row r="346" spans="1:18" ht="15.75" customHeight="1" x14ac:dyDescent="0.3">
      <c r="A346" s="311" t="s">
        <v>1376</v>
      </c>
      <c r="B346" s="10">
        <v>0</v>
      </c>
      <c r="C346" s="10">
        <v>0</v>
      </c>
      <c r="D346" s="10">
        <v>0</v>
      </c>
      <c r="E346" s="38">
        <f>SUM(B346:D346)</f>
        <v>0</v>
      </c>
      <c r="F346" s="10">
        <v>0</v>
      </c>
      <c r="G346" s="10">
        <v>0</v>
      </c>
      <c r="H346" s="10">
        <v>0</v>
      </c>
      <c r="I346" s="38">
        <f>SUM(F346:H346)</f>
        <v>0</v>
      </c>
      <c r="J346" s="10">
        <v>1117</v>
      </c>
      <c r="K346" s="10">
        <v>7976</v>
      </c>
      <c r="L346" s="10">
        <v>4451</v>
      </c>
      <c r="M346" s="38">
        <f>SUM(J346:L346)</f>
        <v>13544</v>
      </c>
      <c r="N346" s="10">
        <v>3131</v>
      </c>
      <c r="O346" s="10">
        <v>692</v>
      </c>
      <c r="P346" s="10">
        <v>3385</v>
      </c>
      <c r="Q346" s="38">
        <f>SUM(N346:P346)</f>
        <v>7208</v>
      </c>
      <c r="R346" s="38">
        <f>+E346+I346+M346+Q346</f>
        <v>20752</v>
      </c>
    </row>
    <row r="347" spans="1:18" ht="15.75" customHeight="1" x14ac:dyDescent="0.3">
      <c r="A347" s="311" t="s">
        <v>1166</v>
      </c>
      <c r="B347" s="10">
        <v>0</v>
      </c>
      <c r="C347" s="10">
        <v>0</v>
      </c>
      <c r="D347" s="10">
        <v>0</v>
      </c>
      <c r="E347" s="38">
        <f t="shared" si="64"/>
        <v>0</v>
      </c>
      <c r="F347" s="10">
        <v>2002</v>
      </c>
      <c r="G347" s="10">
        <v>0</v>
      </c>
      <c r="H347" s="10">
        <v>3782</v>
      </c>
      <c r="I347" s="38">
        <f t="shared" si="65"/>
        <v>5784</v>
      </c>
      <c r="J347" s="10">
        <v>0</v>
      </c>
      <c r="K347" s="10">
        <v>0</v>
      </c>
      <c r="L347" s="10">
        <v>0</v>
      </c>
      <c r="M347" s="38">
        <f t="shared" si="66"/>
        <v>0</v>
      </c>
      <c r="N347" s="10">
        <v>2935</v>
      </c>
      <c r="O347" s="10">
        <v>1008</v>
      </c>
      <c r="P347" s="10">
        <v>63</v>
      </c>
      <c r="Q347" s="38">
        <f t="shared" si="67"/>
        <v>4006</v>
      </c>
      <c r="R347" s="38">
        <f t="shared" si="68"/>
        <v>9790</v>
      </c>
    </row>
    <row r="348" spans="1:18" ht="15.75" customHeight="1" x14ac:dyDescent="0.3">
      <c r="A348" s="234" t="s">
        <v>559</v>
      </c>
      <c r="B348" s="10"/>
      <c r="C348" s="10"/>
      <c r="D348" s="10"/>
      <c r="E348" s="38" t="s">
        <v>852</v>
      </c>
      <c r="F348" s="10"/>
      <c r="G348" s="10"/>
      <c r="H348" s="10"/>
      <c r="I348" s="38" t="s">
        <v>852</v>
      </c>
      <c r="J348" s="10"/>
      <c r="K348" s="10"/>
      <c r="L348" s="10"/>
      <c r="M348" s="38" t="s">
        <v>852</v>
      </c>
      <c r="N348" s="10"/>
      <c r="O348" s="10"/>
      <c r="P348" s="10"/>
      <c r="Q348" s="38" t="s">
        <v>852</v>
      </c>
      <c r="R348" s="38" t="s">
        <v>852</v>
      </c>
    </row>
    <row r="349" spans="1:18" ht="15.75" customHeight="1" x14ac:dyDescent="0.3">
      <c r="A349" s="311" t="s">
        <v>2194</v>
      </c>
      <c r="B349" s="10">
        <v>0</v>
      </c>
      <c r="C349" s="10">
        <v>0</v>
      </c>
      <c r="D349" s="10">
        <v>0</v>
      </c>
      <c r="E349" s="38">
        <f>SUM(B349:D349)</f>
        <v>0</v>
      </c>
      <c r="F349" s="10">
        <v>0</v>
      </c>
      <c r="G349" s="10">
        <v>0</v>
      </c>
      <c r="H349" s="10">
        <v>0</v>
      </c>
      <c r="I349" s="38">
        <f>SUM(F349:H349)</f>
        <v>0</v>
      </c>
      <c r="J349" s="10">
        <v>0</v>
      </c>
      <c r="K349" s="10">
        <v>0</v>
      </c>
      <c r="L349" s="10">
        <v>0</v>
      </c>
      <c r="M349" s="38">
        <f>SUM(J349:L349)</f>
        <v>0</v>
      </c>
      <c r="N349" s="10">
        <v>0</v>
      </c>
      <c r="O349" s="10">
        <v>120</v>
      </c>
      <c r="P349" s="10">
        <v>970</v>
      </c>
      <c r="Q349" s="38">
        <f>SUM(N349:P349)</f>
        <v>1090</v>
      </c>
      <c r="R349" s="38">
        <f>+E349+I349+M349+Q349</f>
        <v>1090</v>
      </c>
    </row>
    <row r="350" spans="1:18" ht="15.75" customHeight="1" x14ac:dyDescent="0.3">
      <c r="A350" s="311" t="s">
        <v>2233</v>
      </c>
      <c r="B350" s="10">
        <v>0</v>
      </c>
      <c r="C350" s="10">
        <v>0</v>
      </c>
      <c r="D350" s="10">
        <v>0</v>
      </c>
      <c r="E350" s="38">
        <f t="shared" ref="E350:E360" si="69">SUM(B350:D350)</f>
        <v>0</v>
      </c>
      <c r="F350" s="10">
        <v>0</v>
      </c>
      <c r="G350" s="10">
        <v>0</v>
      </c>
      <c r="H350" s="10">
        <v>0</v>
      </c>
      <c r="I350" s="38">
        <f t="shared" ref="I350:I360" si="70">SUM(F350:H350)</f>
        <v>0</v>
      </c>
      <c r="J350" s="10">
        <v>0</v>
      </c>
      <c r="K350" s="10">
        <v>0</v>
      </c>
      <c r="L350" s="10">
        <v>0</v>
      </c>
      <c r="M350" s="38">
        <f t="shared" ref="M350:M360" si="71">SUM(J350:L350)</f>
        <v>0</v>
      </c>
      <c r="N350" s="10">
        <v>0</v>
      </c>
      <c r="O350" s="10">
        <v>0</v>
      </c>
      <c r="P350" s="10">
        <v>0</v>
      </c>
      <c r="Q350" s="38">
        <f t="shared" ref="Q350:Q360" si="72">SUM(N350:P350)</f>
        <v>0</v>
      </c>
      <c r="R350" s="38">
        <f t="shared" ref="R350:R360" si="73">+E350+I350+M350+Q350</f>
        <v>0</v>
      </c>
    </row>
    <row r="351" spans="1:18" ht="15.75" customHeight="1" x14ac:dyDescent="0.3">
      <c r="A351" s="311" t="s">
        <v>1140</v>
      </c>
      <c r="B351" s="10">
        <v>0</v>
      </c>
      <c r="C351" s="10">
        <v>0</v>
      </c>
      <c r="D351" s="10">
        <v>0</v>
      </c>
      <c r="E351" s="38">
        <f t="shared" si="69"/>
        <v>0</v>
      </c>
      <c r="F351" s="10">
        <v>500</v>
      </c>
      <c r="G351" s="10">
        <v>364</v>
      </c>
      <c r="H351" s="10">
        <v>0</v>
      </c>
      <c r="I351" s="38">
        <f t="shared" si="70"/>
        <v>864</v>
      </c>
      <c r="J351" s="10">
        <v>0</v>
      </c>
      <c r="K351" s="10">
        <v>0</v>
      </c>
      <c r="L351" s="10">
        <v>2460</v>
      </c>
      <c r="M351" s="38">
        <f t="shared" si="71"/>
        <v>2460</v>
      </c>
      <c r="N351" s="10">
        <v>0</v>
      </c>
      <c r="O351" s="10">
        <v>1749</v>
      </c>
      <c r="P351" s="10">
        <v>1927</v>
      </c>
      <c r="Q351" s="38">
        <f t="shared" si="72"/>
        <v>3676</v>
      </c>
      <c r="R351" s="38">
        <f t="shared" si="73"/>
        <v>7000</v>
      </c>
    </row>
    <row r="352" spans="1:18" ht="15.75" customHeight="1" x14ac:dyDescent="0.3">
      <c r="A352" s="311" t="s">
        <v>1629</v>
      </c>
      <c r="B352" s="10">
        <v>0</v>
      </c>
      <c r="C352" s="10">
        <v>0</v>
      </c>
      <c r="D352" s="10">
        <v>0</v>
      </c>
      <c r="E352" s="38">
        <f>SUM(B352:D352)</f>
        <v>0</v>
      </c>
      <c r="F352" s="10">
        <v>0</v>
      </c>
      <c r="G352" s="10">
        <v>0</v>
      </c>
      <c r="H352" s="10">
        <v>0</v>
      </c>
      <c r="I352" s="38">
        <f>SUM(F352:H352)</f>
        <v>0</v>
      </c>
      <c r="J352" s="10">
        <v>0</v>
      </c>
      <c r="K352" s="10">
        <v>0</v>
      </c>
      <c r="L352" s="10">
        <v>0</v>
      </c>
      <c r="M352" s="38">
        <f>SUM(J352:L352)</f>
        <v>0</v>
      </c>
      <c r="N352" s="10">
        <v>0</v>
      </c>
      <c r="O352" s="10">
        <v>0</v>
      </c>
      <c r="P352" s="10">
        <v>0</v>
      </c>
      <c r="Q352" s="38">
        <f>SUM(N352:P352)</f>
        <v>0</v>
      </c>
      <c r="R352" s="38">
        <f>+E352+I352+M352+Q352</f>
        <v>0</v>
      </c>
    </row>
    <row r="353" spans="1:18" ht="15.75" customHeight="1" x14ac:dyDescent="0.3">
      <c r="A353" s="311" t="s">
        <v>1141</v>
      </c>
      <c r="B353" s="10">
        <v>800</v>
      </c>
      <c r="C353" s="10">
        <v>0</v>
      </c>
      <c r="D353" s="10">
        <v>2500</v>
      </c>
      <c r="E353" s="38">
        <f>SUM(B353:D353)</f>
        <v>3300</v>
      </c>
      <c r="F353" s="10">
        <v>2100</v>
      </c>
      <c r="G353" s="10">
        <v>3100</v>
      </c>
      <c r="H353" s="10">
        <v>1000</v>
      </c>
      <c r="I353" s="38">
        <f>SUM(F353:H353)</f>
        <v>6200</v>
      </c>
      <c r="J353" s="10">
        <v>500</v>
      </c>
      <c r="K353" s="10">
        <v>2000</v>
      </c>
      <c r="L353" s="10">
        <v>2300</v>
      </c>
      <c r="M353" s="38">
        <f>SUM(J353:L353)</f>
        <v>4800</v>
      </c>
      <c r="N353" s="172">
        <v>1300</v>
      </c>
      <c r="O353" s="172">
        <v>0</v>
      </c>
      <c r="P353" s="172">
        <v>34</v>
      </c>
      <c r="Q353" s="38">
        <f>SUM(N353:P353)</f>
        <v>1334</v>
      </c>
      <c r="R353" s="38">
        <f>+E353+I353+M353+Q353</f>
        <v>15634</v>
      </c>
    </row>
    <row r="354" spans="1:18" ht="15.75" customHeight="1" x14ac:dyDescent="0.3">
      <c r="A354" s="311" t="s">
        <v>1797</v>
      </c>
      <c r="B354" s="10">
        <v>0</v>
      </c>
      <c r="C354" s="10">
        <v>0</v>
      </c>
      <c r="D354" s="10">
        <v>0</v>
      </c>
      <c r="E354" s="38">
        <f>SUM(B354:D354)</f>
        <v>0</v>
      </c>
      <c r="F354" s="10">
        <v>0</v>
      </c>
      <c r="G354" s="10">
        <v>0</v>
      </c>
      <c r="H354" s="10">
        <v>0</v>
      </c>
      <c r="I354" s="38">
        <f>SUM(F354:H354)</f>
        <v>0</v>
      </c>
      <c r="J354" s="10">
        <v>0</v>
      </c>
      <c r="K354" s="10">
        <v>0</v>
      </c>
      <c r="L354" s="10">
        <v>0</v>
      </c>
      <c r="M354" s="38">
        <f>SUM(J354:L354)</f>
        <v>0</v>
      </c>
      <c r="N354" s="172">
        <v>0</v>
      </c>
      <c r="O354" s="172">
        <v>0</v>
      </c>
      <c r="P354" s="172">
        <v>0</v>
      </c>
      <c r="Q354" s="38">
        <f>SUM(N354:P354)</f>
        <v>0</v>
      </c>
      <c r="R354" s="38">
        <f>+E354+I354+M354+Q354</f>
        <v>0</v>
      </c>
    </row>
    <row r="355" spans="1:18" ht="15.75" customHeight="1" thickBot="1" x14ac:dyDescent="0.35">
      <c r="A355" s="256" t="s">
        <v>96</v>
      </c>
      <c r="B355" s="10">
        <v>0</v>
      </c>
      <c r="C355" s="10">
        <v>0</v>
      </c>
      <c r="D355" s="10">
        <v>0</v>
      </c>
      <c r="E355" s="38">
        <f>SUM(B355:D355)</f>
        <v>0</v>
      </c>
      <c r="F355" s="10">
        <v>0</v>
      </c>
      <c r="G355" s="10">
        <v>0</v>
      </c>
      <c r="H355" s="10">
        <v>0</v>
      </c>
      <c r="I355" s="38">
        <f>SUM(F355:H355)</f>
        <v>0</v>
      </c>
      <c r="J355" s="10">
        <v>0</v>
      </c>
      <c r="K355" s="10">
        <v>0</v>
      </c>
      <c r="L355" s="10">
        <v>0</v>
      </c>
      <c r="M355" s="38">
        <f>SUM(J355:L355)</f>
        <v>0</v>
      </c>
      <c r="N355" s="10">
        <v>0</v>
      </c>
      <c r="O355" s="10">
        <v>0</v>
      </c>
      <c r="P355" s="10">
        <v>309</v>
      </c>
      <c r="Q355" s="38">
        <f>SUM(N355:P355)</f>
        <v>309</v>
      </c>
      <c r="R355" s="38">
        <f>+E355+I355+M355+Q355</f>
        <v>309</v>
      </c>
    </row>
    <row r="356" spans="1:18" ht="15.75" customHeight="1" thickBot="1" x14ac:dyDescent="0.35">
      <c r="A356" s="43" t="s">
        <v>1019</v>
      </c>
      <c r="B356" s="42">
        <f>SUM(B337:B355)</f>
        <v>800</v>
      </c>
      <c r="C356" s="42">
        <f>SUM(C337:C355)</f>
        <v>0</v>
      </c>
      <c r="D356" s="42">
        <f>SUM(D337:D355)</f>
        <v>2500</v>
      </c>
      <c r="E356" s="39">
        <f t="shared" si="69"/>
        <v>3300</v>
      </c>
      <c r="F356" s="42">
        <f>SUM(F337:F355)</f>
        <v>4602</v>
      </c>
      <c r="G356" s="42">
        <f>SUM(G337:G355)</f>
        <v>3682</v>
      </c>
      <c r="H356" s="42">
        <f>SUM(H337:H355)</f>
        <v>20140</v>
      </c>
      <c r="I356" s="39">
        <f t="shared" si="70"/>
        <v>28424</v>
      </c>
      <c r="J356" s="42">
        <f>SUM(J337:J355)</f>
        <v>21227</v>
      </c>
      <c r="K356" s="42">
        <f>SUM(K337:K355)</f>
        <v>15273</v>
      </c>
      <c r="L356" s="42">
        <f>SUM(L337:L355)</f>
        <v>11520</v>
      </c>
      <c r="M356" s="39">
        <f t="shared" si="71"/>
        <v>48020</v>
      </c>
      <c r="N356" s="42">
        <f>SUM(N337:N355)</f>
        <v>8706</v>
      </c>
      <c r="O356" s="42">
        <f>SUM(O337:O355)</f>
        <v>4237</v>
      </c>
      <c r="P356" s="42">
        <f>SUM(P337:P355)</f>
        <v>7305</v>
      </c>
      <c r="Q356" s="39">
        <f t="shared" si="72"/>
        <v>20248</v>
      </c>
      <c r="R356" s="37">
        <f t="shared" si="73"/>
        <v>99992</v>
      </c>
    </row>
    <row r="357" spans="1:18" ht="15.75" customHeight="1" thickBot="1" x14ac:dyDescent="0.35">
      <c r="A357" s="277" t="s">
        <v>1221</v>
      </c>
      <c r="B357" s="45">
        <f>SUM(B330:B355)</f>
        <v>800</v>
      </c>
      <c r="C357" s="46">
        <f>SUM(C330:C355)</f>
        <v>0</v>
      </c>
      <c r="D357" s="58">
        <f>SUM(D330:D355)</f>
        <v>2500</v>
      </c>
      <c r="E357" s="39">
        <f t="shared" si="69"/>
        <v>3300</v>
      </c>
      <c r="F357" s="46">
        <f>SUM(F330:F355)</f>
        <v>4602</v>
      </c>
      <c r="G357" s="46">
        <f>SUM(G330:G355)</f>
        <v>3682</v>
      </c>
      <c r="H357" s="46">
        <f>SUM(H330:H355)</f>
        <v>20140</v>
      </c>
      <c r="I357" s="39">
        <f t="shared" si="70"/>
        <v>28424</v>
      </c>
      <c r="J357" s="46">
        <f>SUM(J330:J355)</f>
        <v>21227</v>
      </c>
      <c r="K357" s="46">
        <f>SUM(K330:K355)</f>
        <v>15273</v>
      </c>
      <c r="L357" s="46">
        <f>SUM(L330:L355)</f>
        <v>11520</v>
      </c>
      <c r="M357" s="39">
        <f t="shared" si="71"/>
        <v>48020</v>
      </c>
      <c r="N357" s="46">
        <f>SUM(N330:N355)</f>
        <v>8706</v>
      </c>
      <c r="O357" s="46">
        <f>SUM(O330:O355)</f>
        <v>4237</v>
      </c>
      <c r="P357" s="46">
        <f>SUM(P330:P355)</f>
        <v>7305</v>
      </c>
      <c r="Q357" s="39">
        <f t="shared" si="72"/>
        <v>20248</v>
      </c>
      <c r="R357" s="37">
        <f t="shared" si="73"/>
        <v>99992</v>
      </c>
    </row>
    <row r="358" spans="1:18" ht="15.75" customHeight="1" thickBot="1" x14ac:dyDescent="0.35">
      <c r="A358" s="537" t="s">
        <v>1222</v>
      </c>
      <c r="B358" s="47">
        <f>+B294+B307+B329+B357</f>
        <v>10665</v>
      </c>
      <c r="C358" s="42">
        <f>+C294+C307+C329+C357</f>
        <v>9557</v>
      </c>
      <c r="D358" s="42">
        <f>+D294+D307+D329+D357</f>
        <v>35200</v>
      </c>
      <c r="E358" s="39">
        <f t="shared" si="69"/>
        <v>55422</v>
      </c>
      <c r="F358" s="42">
        <f>+F294+F307+F329+F357</f>
        <v>66091</v>
      </c>
      <c r="G358" s="42">
        <f>+G294+G307+G329+G357</f>
        <v>68737</v>
      </c>
      <c r="H358" s="42">
        <f>+H294+H307+H329+H357</f>
        <v>96609</v>
      </c>
      <c r="I358" s="37">
        <f t="shared" si="70"/>
        <v>231437</v>
      </c>
      <c r="J358" s="42">
        <f>+J294+J307+J329+J357</f>
        <v>96308</v>
      </c>
      <c r="K358" s="42">
        <f>+K294+K307+K329+K357</f>
        <v>79366</v>
      </c>
      <c r="L358" s="42">
        <f>+L294+L307+L329+L357</f>
        <v>70357</v>
      </c>
      <c r="M358" s="37">
        <f t="shared" si="71"/>
        <v>246031</v>
      </c>
      <c r="N358" s="42">
        <f>+N294+N307+N329+N357</f>
        <v>33943</v>
      </c>
      <c r="O358" s="42">
        <f>+O294+O307+O329+O357</f>
        <v>23082</v>
      </c>
      <c r="P358" s="42">
        <f>+P294+P307+P329+P357</f>
        <v>22377</v>
      </c>
      <c r="Q358" s="37">
        <f t="shared" si="72"/>
        <v>79402</v>
      </c>
      <c r="R358" s="40">
        <f t="shared" si="73"/>
        <v>612292</v>
      </c>
    </row>
    <row r="359" spans="1:18" ht="15.75" customHeight="1" x14ac:dyDescent="0.3">
      <c r="A359" s="266" t="s">
        <v>78</v>
      </c>
      <c r="B359" s="172">
        <v>0</v>
      </c>
      <c r="C359" s="172">
        <v>0</v>
      </c>
      <c r="D359" s="172">
        <v>0</v>
      </c>
      <c r="E359" s="38">
        <f t="shared" si="69"/>
        <v>0</v>
      </c>
      <c r="F359" s="172">
        <v>0</v>
      </c>
      <c r="G359" s="172">
        <v>0</v>
      </c>
      <c r="H359" s="172">
        <v>0</v>
      </c>
      <c r="I359" s="38">
        <f t="shared" si="70"/>
        <v>0</v>
      </c>
      <c r="J359" s="172">
        <v>0</v>
      </c>
      <c r="K359" s="172">
        <v>0</v>
      </c>
      <c r="L359" s="172">
        <v>830</v>
      </c>
      <c r="M359" s="38">
        <f t="shared" si="71"/>
        <v>830</v>
      </c>
      <c r="N359" s="172">
        <v>934</v>
      </c>
      <c r="O359" s="172">
        <v>0</v>
      </c>
      <c r="P359" s="172">
        <v>0</v>
      </c>
      <c r="Q359" s="38">
        <f t="shared" si="72"/>
        <v>934</v>
      </c>
      <c r="R359" s="38">
        <f t="shared" si="73"/>
        <v>1764</v>
      </c>
    </row>
    <row r="360" spans="1:18" ht="15.75" customHeight="1" thickBot="1" x14ac:dyDescent="0.35">
      <c r="A360" s="312" t="s">
        <v>853</v>
      </c>
      <c r="B360" s="294">
        <v>155</v>
      </c>
      <c r="C360" s="294">
        <v>283</v>
      </c>
      <c r="D360" s="294">
        <v>435</v>
      </c>
      <c r="E360" s="40">
        <f t="shared" si="69"/>
        <v>873</v>
      </c>
      <c r="F360" s="294">
        <v>602</v>
      </c>
      <c r="G360" s="294">
        <v>711</v>
      </c>
      <c r="H360" s="294">
        <v>722</v>
      </c>
      <c r="I360" s="40">
        <f t="shared" si="70"/>
        <v>2035</v>
      </c>
      <c r="J360" s="294">
        <v>686</v>
      </c>
      <c r="K360" s="294">
        <v>519</v>
      </c>
      <c r="L360" s="294">
        <v>531</v>
      </c>
      <c r="M360" s="40">
        <f t="shared" si="71"/>
        <v>1736</v>
      </c>
      <c r="N360" s="294">
        <v>489</v>
      </c>
      <c r="O360" s="294">
        <v>389</v>
      </c>
      <c r="P360" s="294">
        <v>275</v>
      </c>
      <c r="Q360" s="40">
        <f t="shared" si="72"/>
        <v>1153</v>
      </c>
      <c r="R360" s="38">
        <f t="shared" si="73"/>
        <v>5797</v>
      </c>
    </row>
    <row r="361" spans="1:18" ht="15.75" customHeight="1" thickBot="1" x14ac:dyDescent="0.35">
      <c r="A361" s="44"/>
      <c r="B361" s="313"/>
      <c r="C361" s="313"/>
      <c r="D361" s="313"/>
      <c r="E361" s="37"/>
      <c r="F361" s="313"/>
      <c r="G361" s="313"/>
      <c r="H361" s="313"/>
      <c r="I361" s="37"/>
      <c r="J361" s="313"/>
      <c r="K361" s="313"/>
      <c r="L361" s="313"/>
      <c r="M361" s="37"/>
      <c r="N361" s="313"/>
      <c r="O361" s="313"/>
      <c r="P361" s="313"/>
      <c r="Q361" s="37"/>
      <c r="R361" s="37" t="s">
        <v>852</v>
      </c>
    </row>
    <row r="362" spans="1:18" ht="15.75" customHeight="1" x14ac:dyDescent="0.3">
      <c r="A362" s="259" t="s">
        <v>2011</v>
      </c>
      <c r="B362" s="314">
        <f>+B358+B360</f>
        <v>10820</v>
      </c>
      <c r="C362" s="314">
        <f>+C358+C360</f>
        <v>9840</v>
      </c>
      <c r="D362" s="314">
        <f>+D358+D360</f>
        <v>35635</v>
      </c>
      <c r="E362" s="39">
        <f>SUM(B362:D362)</f>
        <v>56295</v>
      </c>
      <c r="F362" s="314">
        <f>+F358+F360</f>
        <v>66693</v>
      </c>
      <c r="G362" s="314">
        <f>+G358+G360</f>
        <v>69448</v>
      </c>
      <c r="H362" s="314">
        <f>+H358+H360</f>
        <v>97331</v>
      </c>
      <c r="I362" s="39">
        <f>SUM(F362:H362)</f>
        <v>233472</v>
      </c>
      <c r="J362" s="314">
        <f>+J358+J360</f>
        <v>96994</v>
      </c>
      <c r="K362" s="314">
        <f>+K358+K360</f>
        <v>79885</v>
      </c>
      <c r="L362" s="314">
        <f>+L358+L360</f>
        <v>70888</v>
      </c>
      <c r="M362" s="39">
        <f>SUM(J362:L362)</f>
        <v>247767</v>
      </c>
      <c r="N362" s="314">
        <f>+N358+N360</f>
        <v>34432</v>
      </c>
      <c r="O362" s="314">
        <f>+O358+O360</f>
        <v>23471</v>
      </c>
      <c r="P362" s="314">
        <f>+P358+P360</f>
        <v>22652</v>
      </c>
      <c r="Q362" s="39">
        <f>SUM(N362:P362)</f>
        <v>80555</v>
      </c>
      <c r="R362" s="39">
        <f>+E362+I362+M362+Q362</f>
        <v>618089</v>
      </c>
    </row>
    <row r="363" spans="1:18" ht="15.75" customHeight="1" x14ac:dyDescent="0.3">
      <c r="A363" s="262" t="s">
        <v>1897</v>
      </c>
      <c r="B363" s="10">
        <f>(B362/31)/1.983</f>
        <v>176.01223301286745</v>
      </c>
      <c r="C363" s="10">
        <f>(C362/28)/1.983</f>
        <v>177.22066133563865</v>
      </c>
      <c r="D363" s="10">
        <f>(D362/31)/1.983</f>
        <v>579.68539033396769</v>
      </c>
      <c r="E363" s="38" t="s">
        <v>852</v>
      </c>
      <c r="F363" s="10">
        <f>(F362/30)/1.983</f>
        <v>1121.0791729702471</v>
      </c>
      <c r="G363" s="10">
        <f>(G362/31)/1.983</f>
        <v>1129.731752151351</v>
      </c>
      <c r="H363" s="10">
        <f>(H362/30)/1.983</f>
        <v>1636.0900991763322</v>
      </c>
      <c r="I363" s="38" t="s">
        <v>852</v>
      </c>
      <c r="J363" s="10">
        <f>(J362/31)/1.983</f>
        <v>1577.8309176386381</v>
      </c>
      <c r="K363" s="10">
        <f>(K362/31)/1.983</f>
        <v>1299.5136076000845</v>
      </c>
      <c r="L363" s="10">
        <f>(L362/30)/1.983</f>
        <v>1191.5952260884183</v>
      </c>
      <c r="M363" s="38" t="s">
        <v>852</v>
      </c>
      <c r="N363" s="10">
        <f>(N362/31)/1.983</f>
        <v>560.1158232069364</v>
      </c>
      <c r="O363" s="10">
        <f>(O362/30)/1.983</f>
        <v>394.53689695747181</v>
      </c>
      <c r="P363" s="10">
        <f>(P362/31)/1.983</f>
        <v>368.48697802287182</v>
      </c>
      <c r="Q363" s="38" t="s">
        <v>852</v>
      </c>
      <c r="R363" s="38" t="s">
        <v>852</v>
      </c>
    </row>
    <row r="364" spans="1:18" ht="15.75" customHeight="1" x14ac:dyDescent="0.3">
      <c r="A364" s="262" t="s">
        <v>2432</v>
      </c>
      <c r="B364" s="10">
        <f>B362+B405</f>
        <v>28826</v>
      </c>
      <c r="C364" s="10">
        <f>C362+C405</f>
        <v>26435</v>
      </c>
      <c r="D364" s="10">
        <f>D362+D405</f>
        <v>64632</v>
      </c>
      <c r="E364" s="38">
        <f>SUM(B364:D364)</f>
        <v>119893</v>
      </c>
      <c r="F364" s="10">
        <f>F362+F405</f>
        <v>118772</v>
      </c>
      <c r="G364" s="10">
        <f>G362+G405</f>
        <v>108126</v>
      </c>
      <c r="H364" s="10">
        <f>H362+H405</f>
        <v>145255</v>
      </c>
      <c r="I364" s="38">
        <f>SUM(F364:H364)</f>
        <v>372153</v>
      </c>
      <c r="J364" s="10">
        <f>J362+J405</f>
        <v>150643</v>
      </c>
      <c r="K364" s="10">
        <f>K362+K405</f>
        <v>124609</v>
      </c>
      <c r="L364" s="10">
        <f>L362+L405</f>
        <v>95573</v>
      </c>
      <c r="M364" s="38">
        <f>SUM(J364:L364)</f>
        <v>370825</v>
      </c>
      <c r="N364" s="10">
        <f>N362+N405</f>
        <v>42399</v>
      </c>
      <c r="O364" s="10">
        <f>O362+O405</f>
        <v>37855</v>
      </c>
      <c r="P364" s="10">
        <f>P362+P405</f>
        <v>30410</v>
      </c>
      <c r="Q364" s="38">
        <f>SUM(N364:P364)</f>
        <v>110664</v>
      </c>
      <c r="R364" s="38">
        <f>+E364+I364+M364+Q364</f>
        <v>973535</v>
      </c>
    </row>
    <row r="365" spans="1:18" ht="15.75" customHeight="1" thickBot="1" x14ac:dyDescent="0.35">
      <c r="A365" s="263" t="s">
        <v>104</v>
      </c>
      <c r="B365" s="315">
        <f>(B364/31)/1.983</f>
        <v>468.92131504888323</v>
      </c>
      <c r="C365" s="315">
        <f>(C364/28)/1.983</f>
        <v>476.10042504142353</v>
      </c>
      <c r="D365" s="315">
        <f>(D364/31)/1.983</f>
        <v>1051.3884144258454</v>
      </c>
      <c r="E365" s="40" t="s">
        <v>852</v>
      </c>
      <c r="F365" s="315">
        <f>(F364/30)/1.983</f>
        <v>1996.5036140527818</v>
      </c>
      <c r="G365" s="315">
        <f>(G364/31)/1.983</f>
        <v>1758.9185496071445</v>
      </c>
      <c r="H365" s="315">
        <f>(H364/30)/1.983</f>
        <v>2441.670869053622</v>
      </c>
      <c r="I365" s="40" t="s">
        <v>852</v>
      </c>
      <c r="J365" s="315">
        <f>(J364/31)/1.983</f>
        <v>2450.5555284433813</v>
      </c>
      <c r="K365" s="315">
        <f>(K364/31)/1.983</f>
        <v>2027.0525271257297</v>
      </c>
      <c r="L365" s="315">
        <f>(L364/30)/1.983</f>
        <v>1606.5389141032106</v>
      </c>
      <c r="M365" s="40" t="s">
        <v>852</v>
      </c>
      <c r="N365" s="315">
        <f>(N364/31)/1.983</f>
        <v>689.71743692352743</v>
      </c>
      <c r="O365" s="315">
        <f>(O364/30)/1.983</f>
        <v>636.32543284585643</v>
      </c>
      <c r="P365" s="315">
        <f>(P364/31)/1.983</f>
        <v>494.68872513135847</v>
      </c>
      <c r="Q365" s="40" t="s">
        <v>852</v>
      </c>
      <c r="R365" s="40" t="s">
        <v>852</v>
      </c>
    </row>
    <row r="366" spans="1:18" ht="15.75" customHeight="1" x14ac:dyDescent="0.3">
      <c r="A366" s="18"/>
      <c r="B366" s="10"/>
      <c r="C366" s="10"/>
      <c r="D366" s="10"/>
      <c r="E366" s="10"/>
      <c r="F366" s="10"/>
      <c r="G366" s="10"/>
      <c r="H366" s="10"/>
      <c r="I366" s="10"/>
      <c r="J366" s="10"/>
      <c r="K366" s="10"/>
      <c r="L366" s="10"/>
      <c r="M366" s="10"/>
      <c r="N366" s="10"/>
      <c r="O366" s="10"/>
      <c r="P366" s="10"/>
      <c r="Q366" s="10"/>
      <c r="R366" s="17"/>
    </row>
    <row r="367" spans="1:18" ht="15.75" customHeight="1" thickBot="1" x14ac:dyDescent="0.35">
      <c r="A367" s="18"/>
      <c r="B367" s="10"/>
      <c r="C367" s="10"/>
      <c r="D367" s="10"/>
      <c r="E367" s="10"/>
      <c r="F367" s="10"/>
      <c r="G367" s="10"/>
      <c r="H367" s="10"/>
      <c r="I367" s="10"/>
      <c r="J367" s="10"/>
      <c r="K367" s="10"/>
      <c r="L367" s="10"/>
      <c r="M367" s="10"/>
      <c r="N367" s="10"/>
      <c r="O367" s="10"/>
      <c r="P367" s="10"/>
      <c r="Q367" s="10"/>
      <c r="R367" s="17"/>
    </row>
    <row r="368" spans="1:18" ht="15.75" customHeight="1" thickBot="1" x14ac:dyDescent="0.35">
      <c r="A368" s="240" t="s">
        <v>813</v>
      </c>
      <c r="B368" s="4" t="s">
        <v>2090</v>
      </c>
      <c r="C368" s="5" t="s">
        <v>2091</v>
      </c>
      <c r="D368" s="5" t="s">
        <v>2234</v>
      </c>
      <c r="E368" s="33" t="s">
        <v>1594</v>
      </c>
      <c r="F368" s="5" t="s">
        <v>2235</v>
      </c>
      <c r="G368" s="5" t="s">
        <v>2236</v>
      </c>
      <c r="H368" s="5" t="s">
        <v>2237</v>
      </c>
      <c r="I368" s="35" t="s">
        <v>1595</v>
      </c>
      <c r="J368" s="5" t="s">
        <v>1504</v>
      </c>
      <c r="K368" s="5" t="s">
        <v>1505</v>
      </c>
      <c r="L368" s="5" t="s">
        <v>1506</v>
      </c>
      <c r="M368" s="35" t="s">
        <v>1596</v>
      </c>
      <c r="N368" s="5" t="s">
        <v>1507</v>
      </c>
      <c r="O368" s="5" t="s">
        <v>1508</v>
      </c>
      <c r="P368" s="5" t="s">
        <v>1509</v>
      </c>
      <c r="Q368" s="35" t="s">
        <v>1597</v>
      </c>
      <c r="R368" s="36" t="s">
        <v>1510</v>
      </c>
    </row>
    <row r="369" spans="1:18" ht="15.75" customHeight="1" thickBot="1" x14ac:dyDescent="0.35">
      <c r="A369" s="37"/>
      <c r="B369" s="313"/>
      <c r="C369" s="313"/>
      <c r="D369" s="313"/>
      <c r="E369" s="308"/>
      <c r="F369" s="313"/>
      <c r="G369" s="313"/>
      <c r="H369" s="313"/>
      <c r="I369" s="316"/>
      <c r="J369" s="313"/>
      <c r="K369" s="313"/>
      <c r="L369" s="313"/>
      <c r="M369" s="316"/>
      <c r="N369" s="313"/>
      <c r="O369" s="313"/>
      <c r="P369" s="313"/>
      <c r="Q369" s="316"/>
      <c r="R369" s="52"/>
    </row>
    <row r="370" spans="1:18" ht="15.75" customHeight="1" x14ac:dyDescent="0.3">
      <c r="A370" s="234" t="s">
        <v>2417</v>
      </c>
      <c r="B370" s="10" t="s">
        <v>852</v>
      </c>
      <c r="C370" s="10" t="s">
        <v>852</v>
      </c>
      <c r="D370" s="10" t="s">
        <v>852</v>
      </c>
      <c r="E370" s="38" t="s">
        <v>852</v>
      </c>
      <c r="F370" s="10" t="s">
        <v>852</v>
      </c>
      <c r="G370" s="10" t="s">
        <v>852</v>
      </c>
      <c r="H370" s="10" t="s">
        <v>852</v>
      </c>
      <c r="I370" s="38" t="s">
        <v>852</v>
      </c>
      <c r="J370" s="10" t="s">
        <v>852</v>
      </c>
      <c r="K370" s="10" t="s">
        <v>852</v>
      </c>
      <c r="L370" s="10" t="s">
        <v>852</v>
      </c>
      <c r="M370" s="38" t="s">
        <v>852</v>
      </c>
      <c r="N370" s="10" t="s">
        <v>852</v>
      </c>
      <c r="O370" s="10" t="s">
        <v>852</v>
      </c>
      <c r="P370" s="10" t="s">
        <v>852</v>
      </c>
      <c r="Q370" s="38" t="s">
        <v>852</v>
      </c>
      <c r="R370" s="38" t="s">
        <v>852</v>
      </c>
    </row>
    <row r="371" spans="1:18" ht="15.75" customHeight="1" x14ac:dyDescent="0.3">
      <c r="A371" s="234" t="s">
        <v>2160</v>
      </c>
      <c r="B371" s="10"/>
      <c r="C371" s="10"/>
      <c r="D371" s="10"/>
      <c r="E371" s="38" t="s">
        <v>852</v>
      </c>
      <c r="F371" s="10"/>
      <c r="G371" s="10"/>
      <c r="H371" s="10"/>
      <c r="I371" s="38" t="s">
        <v>852</v>
      </c>
      <c r="J371" s="10"/>
      <c r="K371" s="10"/>
      <c r="L371" s="10"/>
      <c r="M371" s="38" t="s">
        <v>852</v>
      </c>
      <c r="N371" s="10"/>
      <c r="O371" s="10"/>
      <c r="P371" s="10"/>
      <c r="Q371" s="38" t="s">
        <v>852</v>
      </c>
      <c r="R371" s="38" t="s">
        <v>852</v>
      </c>
    </row>
    <row r="372" spans="1:18" ht="15.75" customHeight="1" x14ac:dyDescent="0.3">
      <c r="A372" s="310" t="s">
        <v>331</v>
      </c>
      <c r="B372" s="10">
        <v>1</v>
      </c>
      <c r="C372" s="10">
        <v>0</v>
      </c>
      <c r="D372" s="10">
        <v>0</v>
      </c>
      <c r="E372" s="38">
        <f>SUM(B372:D372)</f>
        <v>1</v>
      </c>
      <c r="F372" s="10">
        <v>3</v>
      </c>
      <c r="G372" s="10">
        <v>7</v>
      </c>
      <c r="H372" s="10">
        <v>5</v>
      </c>
      <c r="I372" s="38">
        <f>SUM(F372:H372)</f>
        <v>15</v>
      </c>
      <c r="J372" s="10">
        <v>9</v>
      </c>
      <c r="K372" s="10">
        <v>14</v>
      </c>
      <c r="L372" s="10">
        <v>8</v>
      </c>
      <c r="M372" s="38">
        <f>SUM(J372:L372)</f>
        <v>31</v>
      </c>
      <c r="N372" s="10">
        <v>7</v>
      </c>
      <c r="O372" s="10">
        <v>1</v>
      </c>
      <c r="P372" s="10">
        <v>0</v>
      </c>
      <c r="Q372" s="38">
        <f>SUM(N372:P372)</f>
        <v>8</v>
      </c>
      <c r="R372" s="38">
        <f>+E372+I372+M372+Q372</f>
        <v>55</v>
      </c>
    </row>
    <row r="373" spans="1:18" ht="15.75" customHeight="1" x14ac:dyDescent="0.3">
      <c r="A373" s="234" t="s">
        <v>2161</v>
      </c>
      <c r="B373" s="10"/>
      <c r="C373" s="10"/>
      <c r="D373" s="10"/>
      <c r="E373" s="38" t="s">
        <v>852</v>
      </c>
      <c r="F373" s="10"/>
      <c r="G373" s="10"/>
      <c r="H373" s="10"/>
      <c r="I373" s="38" t="s">
        <v>852</v>
      </c>
      <c r="J373" s="10"/>
      <c r="K373" s="10"/>
      <c r="L373" s="10"/>
      <c r="M373" s="38" t="s">
        <v>852</v>
      </c>
      <c r="N373" s="10"/>
      <c r="O373" s="10"/>
      <c r="P373" s="10"/>
      <c r="Q373" s="38" t="s">
        <v>852</v>
      </c>
      <c r="R373" s="38" t="s">
        <v>852</v>
      </c>
    </row>
    <row r="374" spans="1:18" ht="15.75" customHeight="1" x14ac:dyDescent="0.3">
      <c r="A374" s="310" t="s">
        <v>331</v>
      </c>
      <c r="B374" s="10">
        <v>0</v>
      </c>
      <c r="C374" s="10">
        <v>0</v>
      </c>
      <c r="D374" s="10">
        <v>0</v>
      </c>
      <c r="E374" s="38">
        <f>SUM(B374:D374)</f>
        <v>0</v>
      </c>
      <c r="F374" s="10">
        <v>0</v>
      </c>
      <c r="G374" s="10">
        <v>0</v>
      </c>
      <c r="H374" s="10">
        <v>0</v>
      </c>
      <c r="I374" s="38">
        <f>SUM(F374:H374)</f>
        <v>0</v>
      </c>
      <c r="J374" s="10">
        <v>0</v>
      </c>
      <c r="K374" s="10">
        <v>0</v>
      </c>
      <c r="L374" s="10">
        <v>0</v>
      </c>
      <c r="M374" s="38">
        <f>SUM(J374:L374)</f>
        <v>0</v>
      </c>
      <c r="N374" s="10">
        <v>0</v>
      </c>
      <c r="O374" s="10">
        <v>0</v>
      </c>
      <c r="P374" s="10">
        <v>0</v>
      </c>
      <c r="Q374" s="38">
        <f>SUM(N374:P374)</f>
        <v>0</v>
      </c>
      <c r="R374" s="38">
        <f>+E374+I374+M374+Q374</f>
        <v>0</v>
      </c>
    </row>
    <row r="375" spans="1:18" ht="15.75" customHeight="1" x14ac:dyDescent="0.3">
      <c r="A375" s="310" t="s">
        <v>355</v>
      </c>
      <c r="B375" s="10">
        <v>0</v>
      </c>
      <c r="C375" s="10">
        <v>0</v>
      </c>
      <c r="D375" s="10">
        <v>0</v>
      </c>
      <c r="E375" s="38">
        <f>SUM(B375:D375)</f>
        <v>0</v>
      </c>
      <c r="F375" s="10">
        <v>0</v>
      </c>
      <c r="G375" s="10">
        <v>1</v>
      </c>
      <c r="H375" s="10">
        <v>0</v>
      </c>
      <c r="I375" s="38">
        <f>SUM(F375:H375)</f>
        <v>1</v>
      </c>
      <c r="J375" s="10">
        <v>0</v>
      </c>
      <c r="K375" s="10">
        <v>0</v>
      </c>
      <c r="L375" s="10">
        <v>0</v>
      </c>
      <c r="M375" s="38">
        <f>SUM(J375:L375)</f>
        <v>0</v>
      </c>
      <c r="N375" s="10">
        <v>0</v>
      </c>
      <c r="O375" s="10">
        <v>0</v>
      </c>
      <c r="P375" s="10">
        <v>0</v>
      </c>
      <c r="Q375" s="38">
        <f>SUM(N375:P375)</f>
        <v>0</v>
      </c>
      <c r="R375" s="38">
        <f>+E375+I375+M375+Q375</f>
        <v>1</v>
      </c>
    </row>
    <row r="376" spans="1:18" ht="15.75" customHeight="1" x14ac:dyDescent="0.3">
      <c r="A376" s="234" t="s">
        <v>2162</v>
      </c>
      <c r="B376" s="10"/>
      <c r="C376" s="10"/>
      <c r="D376" s="10"/>
      <c r="E376" s="38" t="s">
        <v>852</v>
      </c>
      <c r="F376" s="10"/>
      <c r="G376" s="10"/>
      <c r="H376" s="10"/>
      <c r="I376" s="38" t="s">
        <v>852</v>
      </c>
      <c r="J376" s="10"/>
      <c r="K376" s="10"/>
      <c r="L376" s="10"/>
      <c r="M376" s="38" t="s">
        <v>852</v>
      </c>
      <c r="N376" s="10"/>
      <c r="O376" s="10"/>
      <c r="P376" s="10"/>
      <c r="Q376" s="38" t="s">
        <v>852</v>
      </c>
      <c r="R376" s="38" t="s">
        <v>852</v>
      </c>
    </row>
    <row r="377" spans="1:18" ht="15.75" customHeight="1" thickBot="1" x14ac:dyDescent="0.35">
      <c r="A377" s="234" t="s">
        <v>2164</v>
      </c>
      <c r="B377" s="10"/>
      <c r="C377" s="10"/>
      <c r="D377" s="10"/>
      <c r="E377" s="38" t="s">
        <v>852</v>
      </c>
      <c r="F377" s="10"/>
      <c r="G377" s="10"/>
      <c r="H377" s="10"/>
      <c r="I377" s="38" t="s">
        <v>852</v>
      </c>
      <c r="J377" s="10"/>
      <c r="K377" s="10"/>
      <c r="L377" s="10"/>
      <c r="M377" s="38" t="s">
        <v>852</v>
      </c>
      <c r="N377" s="10"/>
      <c r="O377" s="10"/>
      <c r="P377" s="10"/>
      <c r="Q377" s="38" t="s">
        <v>852</v>
      </c>
      <c r="R377" s="38" t="s">
        <v>852</v>
      </c>
    </row>
    <row r="378" spans="1:18" ht="15.75" customHeight="1" thickBot="1" x14ac:dyDescent="0.35">
      <c r="A378" s="322" t="s">
        <v>1218</v>
      </c>
      <c r="B378" s="45">
        <f>SUM(B370:B377)</f>
        <v>1</v>
      </c>
      <c r="C378" s="46">
        <f>SUM(C370:C377)</f>
        <v>0</v>
      </c>
      <c r="D378" s="46">
        <f>SUM(D370:D377)</f>
        <v>0</v>
      </c>
      <c r="E378" s="37">
        <f>SUM(B378:D378)</f>
        <v>1</v>
      </c>
      <c r="F378" s="46">
        <f>SUM(F370:F377)</f>
        <v>3</v>
      </c>
      <c r="G378" s="46">
        <f>SUM(G370:G377)</f>
        <v>8</v>
      </c>
      <c r="H378" s="46">
        <f>SUM(H370:H377)</f>
        <v>5</v>
      </c>
      <c r="I378" s="37">
        <f>SUM(F378:H378)</f>
        <v>16</v>
      </c>
      <c r="J378" s="46">
        <f>SUM(J370:J377)</f>
        <v>9</v>
      </c>
      <c r="K378" s="46">
        <f>SUM(K370:K377)</f>
        <v>14</v>
      </c>
      <c r="L378" s="46">
        <f>SUM(L370:L377)</f>
        <v>8</v>
      </c>
      <c r="M378" s="37">
        <f>SUM(J378:L378)</f>
        <v>31</v>
      </c>
      <c r="N378" s="46">
        <f>SUM(N370:N377)</f>
        <v>7</v>
      </c>
      <c r="O378" s="46">
        <f>SUM(O370:O377)</f>
        <v>1</v>
      </c>
      <c r="P378" s="46">
        <f>SUM(P370:P377)</f>
        <v>0</v>
      </c>
      <c r="Q378" s="37">
        <f>SUM(N378:P378)</f>
        <v>8</v>
      </c>
      <c r="R378" s="37">
        <f>+E378+I378+M378+Q378</f>
        <v>56</v>
      </c>
    </row>
    <row r="379" spans="1:18" ht="15.75" customHeight="1" x14ac:dyDescent="0.3">
      <c r="A379" s="234" t="s">
        <v>1172</v>
      </c>
      <c r="B379" s="10"/>
      <c r="C379" s="10"/>
      <c r="D379" s="10"/>
      <c r="E379" s="38" t="s">
        <v>852</v>
      </c>
      <c r="F379" s="10"/>
      <c r="G379" s="10"/>
      <c r="H379" s="10"/>
      <c r="I379" s="38" t="s">
        <v>852</v>
      </c>
      <c r="J379" s="10"/>
      <c r="K379" s="10"/>
      <c r="L379" s="10"/>
      <c r="M379" s="38" t="s">
        <v>852</v>
      </c>
      <c r="N379" s="10" t="s">
        <v>852</v>
      </c>
      <c r="O379" s="10"/>
      <c r="P379" s="10"/>
      <c r="Q379" s="38" t="s">
        <v>852</v>
      </c>
      <c r="R379" s="38" t="s">
        <v>852</v>
      </c>
    </row>
    <row r="380" spans="1:18" ht="15.75" customHeight="1" x14ac:dyDescent="0.3">
      <c r="A380" s="234" t="s">
        <v>2409</v>
      </c>
      <c r="B380" s="10"/>
      <c r="C380" s="10"/>
      <c r="D380" s="10"/>
      <c r="E380" s="38" t="s">
        <v>852</v>
      </c>
      <c r="F380" s="10"/>
      <c r="G380" s="10"/>
      <c r="H380" s="10"/>
      <c r="I380" s="38" t="s">
        <v>852</v>
      </c>
      <c r="J380" s="10"/>
      <c r="K380" s="10"/>
      <c r="L380" s="10"/>
      <c r="M380" s="38" t="s">
        <v>852</v>
      </c>
      <c r="N380" s="10"/>
      <c r="O380" s="10"/>
      <c r="P380" s="10"/>
      <c r="Q380" s="38" t="s">
        <v>852</v>
      </c>
      <c r="R380" s="38" t="s">
        <v>852</v>
      </c>
    </row>
    <row r="381" spans="1:18" ht="15.75" customHeight="1" x14ac:dyDescent="0.3">
      <c r="A381" s="310" t="s">
        <v>473</v>
      </c>
      <c r="B381" s="10">
        <v>0</v>
      </c>
      <c r="C381" s="10">
        <v>0</v>
      </c>
      <c r="D381" s="10">
        <v>2286</v>
      </c>
      <c r="E381" s="38">
        <f>SUM(B381:D381)</f>
        <v>2286</v>
      </c>
      <c r="F381" s="10">
        <v>14561</v>
      </c>
      <c r="G381" s="10">
        <v>7002</v>
      </c>
      <c r="H381" s="10">
        <v>15609</v>
      </c>
      <c r="I381" s="38">
        <f>SUM(F381:H381)</f>
        <v>37172</v>
      </c>
      <c r="J381" s="10">
        <v>20889</v>
      </c>
      <c r="K381" s="10">
        <v>361</v>
      </c>
      <c r="L381" s="10">
        <v>0</v>
      </c>
      <c r="M381" s="38">
        <f>SUM(J381:L381)</f>
        <v>21250</v>
      </c>
      <c r="N381" s="10">
        <v>38</v>
      </c>
      <c r="O381" s="10">
        <v>182</v>
      </c>
      <c r="P381" s="10">
        <v>0</v>
      </c>
      <c r="Q381" s="38">
        <f>SUM(N381:P381)</f>
        <v>220</v>
      </c>
      <c r="R381" s="38">
        <f>+E381+I381+M381+Q381</f>
        <v>60928</v>
      </c>
    </row>
    <row r="382" spans="1:18" ht="15.75" customHeight="1" x14ac:dyDescent="0.3">
      <c r="A382" s="234" t="s">
        <v>2160</v>
      </c>
      <c r="B382" s="10"/>
      <c r="C382" s="10"/>
      <c r="D382" s="10"/>
      <c r="E382" s="38" t="s">
        <v>852</v>
      </c>
      <c r="F382" s="10"/>
      <c r="G382" s="10"/>
      <c r="H382" s="10"/>
      <c r="I382" s="38" t="s">
        <v>852</v>
      </c>
      <c r="J382" s="10"/>
      <c r="K382" s="10"/>
      <c r="L382" s="10"/>
      <c r="M382" s="38" t="s">
        <v>852</v>
      </c>
      <c r="N382" s="10"/>
      <c r="O382" s="10"/>
      <c r="P382" s="10"/>
      <c r="Q382" s="38" t="s">
        <v>852</v>
      </c>
      <c r="R382" s="38" t="s">
        <v>852</v>
      </c>
    </row>
    <row r="383" spans="1:18" ht="15.75" customHeight="1" thickBot="1" x14ac:dyDescent="0.35">
      <c r="A383" s="234" t="s">
        <v>2165</v>
      </c>
      <c r="B383" s="10"/>
      <c r="C383" s="10"/>
      <c r="D383" s="10"/>
      <c r="E383" s="38" t="s">
        <v>852</v>
      </c>
      <c r="F383" s="10"/>
      <c r="G383" s="10"/>
      <c r="H383" s="10"/>
      <c r="I383" s="38" t="s">
        <v>852</v>
      </c>
      <c r="J383" s="10"/>
      <c r="K383" s="10"/>
      <c r="L383" s="10"/>
      <c r="M383" s="38" t="s">
        <v>852</v>
      </c>
      <c r="N383" s="10"/>
      <c r="O383" s="10"/>
      <c r="P383" s="10"/>
      <c r="Q383" s="38" t="s">
        <v>852</v>
      </c>
      <c r="R383" s="38" t="s">
        <v>852</v>
      </c>
    </row>
    <row r="384" spans="1:18" ht="15.75" customHeight="1" thickBot="1" x14ac:dyDescent="0.35">
      <c r="A384" s="43" t="s">
        <v>1219</v>
      </c>
      <c r="B384" s="45">
        <f>SUM(B379:B383)</f>
        <v>0</v>
      </c>
      <c r="C384" s="46">
        <f>SUM(C379:C383)</f>
        <v>0</v>
      </c>
      <c r="D384" s="46">
        <f>SUM(D379:D383)</f>
        <v>2286</v>
      </c>
      <c r="E384" s="37">
        <f>SUM(B384:D384)</f>
        <v>2286</v>
      </c>
      <c r="F384" s="46">
        <f>SUM(F379:F383)</f>
        <v>14561</v>
      </c>
      <c r="G384" s="46">
        <f>SUM(G379:G383)</f>
        <v>7002</v>
      </c>
      <c r="H384" s="46">
        <f>SUM(H379:H383)</f>
        <v>15609</v>
      </c>
      <c r="I384" s="37">
        <f>SUM(F384:H384)</f>
        <v>37172</v>
      </c>
      <c r="J384" s="46">
        <f>SUM(J379:J383)</f>
        <v>20889</v>
      </c>
      <c r="K384" s="46">
        <f>SUM(K379:K383)</f>
        <v>361</v>
      </c>
      <c r="L384" s="46">
        <f>SUM(L379:L383)</f>
        <v>0</v>
      </c>
      <c r="M384" s="37">
        <f>SUM(J384:L384)</f>
        <v>21250</v>
      </c>
      <c r="N384" s="46">
        <f>SUM(N379:N383)</f>
        <v>38</v>
      </c>
      <c r="O384" s="46">
        <f>SUM(O379:O383)</f>
        <v>182</v>
      </c>
      <c r="P384" s="46">
        <f>SUM(P379:P383)</f>
        <v>0</v>
      </c>
      <c r="Q384" s="37">
        <f>SUM(N384:P384)</f>
        <v>220</v>
      </c>
      <c r="R384" s="37">
        <f>+E384+I384+M384+Q384</f>
        <v>60928</v>
      </c>
    </row>
    <row r="385" spans="1:18" ht="15.75" customHeight="1" x14ac:dyDescent="0.3">
      <c r="A385" s="234" t="s">
        <v>2166</v>
      </c>
      <c r="B385" s="10"/>
      <c r="C385" s="10"/>
      <c r="D385" s="10"/>
      <c r="E385" s="38" t="s">
        <v>852</v>
      </c>
      <c r="F385" s="10"/>
      <c r="G385" s="10"/>
      <c r="H385" s="10"/>
      <c r="I385" s="38" t="s">
        <v>852</v>
      </c>
      <c r="J385" s="10"/>
      <c r="K385" s="10"/>
      <c r="L385" s="10"/>
      <c r="M385" s="38" t="s">
        <v>852</v>
      </c>
      <c r="N385" s="10"/>
      <c r="O385" s="10"/>
      <c r="P385" s="10"/>
      <c r="Q385" s="38" t="s">
        <v>852</v>
      </c>
      <c r="R385" s="38" t="s">
        <v>852</v>
      </c>
    </row>
    <row r="386" spans="1:18" ht="15.75" customHeight="1" x14ac:dyDescent="0.3">
      <c r="A386" s="234" t="s">
        <v>1245</v>
      </c>
      <c r="B386" s="10"/>
      <c r="C386" s="10"/>
      <c r="D386" s="10"/>
      <c r="E386" s="38" t="s">
        <v>852</v>
      </c>
      <c r="F386" s="10"/>
      <c r="G386" s="10"/>
      <c r="H386" s="10"/>
      <c r="I386" s="38" t="s">
        <v>852</v>
      </c>
      <c r="J386" s="10"/>
      <c r="K386" s="10"/>
      <c r="L386" s="10"/>
      <c r="M386" s="38" t="s">
        <v>852</v>
      </c>
      <c r="N386" s="10"/>
      <c r="O386" s="10"/>
      <c r="P386" s="10"/>
      <c r="Q386" s="38" t="s">
        <v>852</v>
      </c>
      <c r="R386" s="38" t="s">
        <v>852</v>
      </c>
    </row>
    <row r="387" spans="1:18" ht="15.75" customHeight="1" thickBot="1" x14ac:dyDescent="0.35">
      <c r="A387" s="234" t="s">
        <v>1711</v>
      </c>
      <c r="B387" s="10"/>
      <c r="C387" s="10"/>
      <c r="D387" s="10"/>
      <c r="E387" s="38" t="s">
        <v>852</v>
      </c>
      <c r="F387" s="10"/>
      <c r="G387" s="10"/>
      <c r="H387" s="10"/>
      <c r="I387" s="38" t="s">
        <v>852</v>
      </c>
      <c r="J387" s="10"/>
      <c r="K387" s="10"/>
      <c r="L387" s="10"/>
      <c r="M387" s="38" t="s">
        <v>852</v>
      </c>
      <c r="N387" s="10"/>
      <c r="O387" s="10"/>
      <c r="P387" s="10"/>
      <c r="Q387" s="38" t="s">
        <v>852</v>
      </c>
      <c r="R387" s="38" t="s">
        <v>852</v>
      </c>
    </row>
    <row r="388" spans="1:18" ht="15.75" customHeight="1" thickBot="1" x14ac:dyDescent="0.35">
      <c r="A388" s="277" t="s">
        <v>1220</v>
      </c>
      <c r="B388" s="45">
        <f>SUM(B385:B387)</f>
        <v>0</v>
      </c>
      <c r="C388" s="46">
        <f>SUM(C385:C387)</f>
        <v>0</v>
      </c>
      <c r="D388" s="46">
        <f>SUM(D385:D387)</f>
        <v>0</v>
      </c>
      <c r="E388" s="37">
        <f>SUM(B388:D388)</f>
        <v>0</v>
      </c>
      <c r="F388" s="46">
        <f>SUM(F385:F387)</f>
        <v>0</v>
      </c>
      <c r="G388" s="46">
        <f>SUM(G385:G387)</f>
        <v>0</v>
      </c>
      <c r="H388" s="46">
        <f>SUM(H385:H387)</f>
        <v>0</v>
      </c>
      <c r="I388" s="37">
        <f>SUM(F388:H388)</f>
        <v>0</v>
      </c>
      <c r="J388" s="46">
        <f>SUM(J385:J387)</f>
        <v>0</v>
      </c>
      <c r="K388" s="46">
        <f>SUM(K385:K387)</f>
        <v>0</v>
      </c>
      <c r="L388" s="46">
        <f>SUM(L385:L387)</f>
        <v>0</v>
      </c>
      <c r="M388" s="37">
        <f>SUM(J388:L388)</f>
        <v>0</v>
      </c>
      <c r="N388" s="46">
        <f>SUM(N385:N387)</f>
        <v>0</v>
      </c>
      <c r="O388" s="46">
        <f>SUM(O385:O387)</f>
        <v>0</v>
      </c>
      <c r="P388" s="46">
        <f>SUM(P385:P387)</f>
        <v>0</v>
      </c>
      <c r="Q388" s="37">
        <f>SUM(N388:P388)</f>
        <v>0</v>
      </c>
      <c r="R388" s="37">
        <f>+E388+I388+M388+Q388</f>
        <v>0</v>
      </c>
    </row>
    <row r="389" spans="1:18" ht="15.75" customHeight="1" x14ac:dyDescent="0.3">
      <c r="A389" s="234" t="s">
        <v>1712</v>
      </c>
      <c r="B389" s="10"/>
      <c r="C389" s="10"/>
      <c r="D389" s="10"/>
      <c r="E389" s="38" t="s">
        <v>852</v>
      </c>
      <c r="F389" s="10"/>
      <c r="G389" s="10"/>
      <c r="H389" s="10"/>
      <c r="I389" s="38" t="s">
        <v>852</v>
      </c>
      <c r="J389" s="10"/>
      <c r="K389" s="10"/>
      <c r="L389" s="10"/>
      <c r="M389" s="38" t="s">
        <v>852</v>
      </c>
      <c r="N389" s="10"/>
      <c r="O389" s="10"/>
      <c r="P389" s="10"/>
      <c r="Q389" s="38" t="s">
        <v>852</v>
      </c>
      <c r="R389" s="38" t="s">
        <v>852</v>
      </c>
    </row>
    <row r="390" spans="1:18" ht="15.75" customHeight="1" x14ac:dyDescent="0.3">
      <c r="A390" s="234" t="s">
        <v>556</v>
      </c>
      <c r="B390" s="10"/>
      <c r="C390" s="10"/>
      <c r="D390" s="10"/>
      <c r="E390" s="38" t="s">
        <v>852</v>
      </c>
      <c r="F390" s="10"/>
      <c r="G390" s="10"/>
      <c r="H390" s="10"/>
      <c r="I390" s="38" t="s">
        <v>852</v>
      </c>
      <c r="J390" s="10"/>
      <c r="K390" s="10"/>
      <c r="L390" s="10"/>
      <c r="M390" s="38" t="s">
        <v>852</v>
      </c>
      <c r="N390" s="10"/>
      <c r="O390" s="10"/>
      <c r="P390" s="10"/>
      <c r="Q390" s="38" t="s">
        <v>852</v>
      </c>
      <c r="R390" s="38" t="s">
        <v>852</v>
      </c>
    </row>
    <row r="391" spans="1:18" ht="15.75" customHeight="1" x14ac:dyDescent="0.3">
      <c r="A391" s="234" t="s">
        <v>557</v>
      </c>
      <c r="B391" s="10"/>
      <c r="C391" s="10"/>
      <c r="D391" s="10"/>
      <c r="E391" s="38" t="s">
        <v>852</v>
      </c>
      <c r="F391" s="10"/>
      <c r="G391" s="10"/>
      <c r="H391" s="10"/>
      <c r="I391" s="38" t="s">
        <v>852</v>
      </c>
      <c r="J391" s="10"/>
      <c r="K391" s="10"/>
      <c r="L391" s="10"/>
      <c r="M391" s="38" t="s">
        <v>852</v>
      </c>
      <c r="N391" s="10"/>
      <c r="O391" s="10"/>
      <c r="P391" s="10"/>
      <c r="Q391" s="38" t="s">
        <v>852</v>
      </c>
      <c r="R391" s="38" t="s">
        <v>852</v>
      </c>
    </row>
    <row r="392" spans="1:18" ht="15.75" customHeight="1" x14ac:dyDescent="0.3">
      <c r="A392" s="234" t="s">
        <v>558</v>
      </c>
      <c r="B392" s="10"/>
      <c r="C392" s="10"/>
      <c r="D392" s="10"/>
      <c r="E392" s="38" t="s">
        <v>852</v>
      </c>
      <c r="F392" s="10"/>
      <c r="G392" s="10"/>
      <c r="H392" s="10"/>
      <c r="I392" s="38" t="s">
        <v>852</v>
      </c>
      <c r="J392" s="10"/>
      <c r="K392" s="10"/>
      <c r="L392" s="10"/>
      <c r="M392" s="38" t="s">
        <v>852</v>
      </c>
      <c r="N392" s="10"/>
      <c r="O392" s="10"/>
      <c r="P392" s="10"/>
      <c r="Q392" s="38" t="s">
        <v>852</v>
      </c>
      <c r="R392" s="38" t="s">
        <v>852</v>
      </c>
    </row>
    <row r="393" spans="1:18" ht="15.75" customHeight="1" x14ac:dyDescent="0.3">
      <c r="A393" s="310" t="s">
        <v>1404</v>
      </c>
      <c r="B393" s="10">
        <v>0</v>
      </c>
      <c r="C393" s="10">
        <v>0</v>
      </c>
      <c r="D393" s="10">
        <v>0</v>
      </c>
      <c r="E393" s="38">
        <f>SUM(B393:D393)</f>
        <v>0</v>
      </c>
      <c r="F393" s="10">
        <v>0</v>
      </c>
      <c r="G393" s="10">
        <v>0</v>
      </c>
      <c r="H393" s="10">
        <v>0</v>
      </c>
      <c r="I393" s="38">
        <f>SUM(F393:H393)</f>
        <v>0</v>
      </c>
      <c r="J393" s="10">
        <v>0</v>
      </c>
      <c r="K393" s="10">
        <v>0</v>
      </c>
      <c r="L393" s="10">
        <v>0</v>
      </c>
      <c r="M393" s="38">
        <f>SUM(J393:L393)</f>
        <v>0</v>
      </c>
      <c r="N393" s="10">
        <v>0</v>
      </c>
      <c r="O393" s="10">
        <v>0</v>
      </c>
      <c r="P393" s="10">
        <v>0</v>
      </c>
      <c r="Q393" s="38">
        <f>SUM(N393:P393)</f>
        <v>0</v>
      </c>
      <c r="R393" s="38">
        <f>+E393+I393+M393+Q393</f>
        <v>0</v>
      </c>
    </row>
    <row r="394" spans="1:18" ht="15.75" customHeight="1" x14ac:dyDescent="0.3">
      <c r="A394" s="310" t="s">
        <v>1740</v>
      </c>
      <c r="B394" s="10">
        <v>0</v>
      </c>
      <c r="C394" s="10">
        <v>0</v>
      </c>
      <c r="D394" s="10">
        <v>0</v>
      </c>
      <c r="E394" s="38">
        <f>SUM(B394:D394)</f>
        <v>0</v>
      </c>
      <c r="F394" s="10">
        <v>0</v>
      </c>
      <c r="G394" s="10">
        <v>0</v>
      </c>
      <c r="H394" s="10">
        <v>0</v>
      </c>
      <c r="I394" s="38">
        <f>SUM(F394:H394)</f>
        <v>0</v>
      </c>
      <c r="J394" s="10">
        <v>0</v>
      </c>
      <c r="K394" s="10">
        <v>0</v>
      </c>
      <c r="L394" s="10">
        <v>0</v>
      </c>
      <c r="M394" s="38">
        <f>SUM(J394:L394)</f>
        <v>0</v>
      </c>
      <c r="N394" s="10">
        <v>0</v>
      </c>
      <c r="O394" s="10">
        <v>0</v>
      </c>
      <c r="P394" s="10">
        <v>0</v>
      </c>
      <c r="Q394" s="38">
        <f>SUM(N394:P394)</f>
        <v>0</v>
      </c>
      <c r="R394" s="38">
        <f>+E394+I394+M394+Q394</f>
        <v>0</v>
      </c>
    </row>
    <row r="395" spans="1:18" ht="15.75" customHeight="1" x14ac:dyDescent="0.3">
      <c r="A395" s="234" t="s">
        <v>559</v>
      </c>
      <c r="B395" s="10"/>
      <c r="C395" s="10"/>
      <c r="D395" s="10"/>
      <c r="E395" s="38" t="s">
        <v>852</v>
      </c>
      <c r="F395" s="10"/>
      <c r="G395" s="10"/>
      <c r="H395" s="10"/>
      <c r="I395" s="38" t="s">
        <v>852</v>
      </c>
      <c r="J395" s="10"/>
      <c r="K395" s="10"/>
      <c r="L395" s="10"/>
      <c r="M395" s="38" t="s">
        <v>852</v>
      </c>
      <c r="N395" s="10"/>
      <c r="O395" s="10"/>
      <c r="P395" s="10"/>
      <c r="Q395" s="38" t="s">
        <v>852</v>
      </c>
      <c r="R395" s="38" t="s">
        <v>852</v>
      </c>
    </row>
    <row r="396" spans="1:18" ht="15.75" customHeight="1" x14ac:dyDescent="0.3">
      <c r="A396" s="310" t="s">
        <v>696</v>
      </c>
      <c r="B396" s="10">
        <v>0</v>
      </c>
      <c r="C396" s="10">
        <v>0</v>
      </c>
      <c r="D396" s="10">
        <v>0</v>
      </c>
      <c r="E396" s="38">
        <f t="shared" ref="E396:E401" si="74">SUM(B396:D396)</f>
        <v>0</v>
      </c>
      <c r="F396" s="10">
        <v>0</v>
      </c>
      <c r="G396" s="10">
        <v>0</v>
      </c>
      <c r="H396" s="10">
        <v>0</v>
      </c>
      <c r="I396" s="38">
        <f t="shared" ref="I396:I401" si="75">SUM(F396:H396)</f>
        <v>0</v>
      </c>
      <c r="J396" s="10">
        <v>0</v>
      </c>
      <c r="K396" s="10">
        <v>11400</v>
      </c>
      <c r="L396" s="10">
        <v>0</v>
      </c>
      <c r="M396" s="38">
        <f t="shared" ref="M396:M401" si="76">SUM(J396:L396)</f>
        <v>11400</v>
      </c>
      <c r="N396" s="10">
        <v>0</v>
      </c>
      <c r="O396" s="10">
        <v>0</v>
      </c>
      <c r="P396" s="10">
        <v>414</v>
      </c>
      <c r="Q396" s="38">
        <f t="shared" ref="Q396:Q401" si="77">SUM(N396:P396)</f>
        <v>414</v>
      </c>
      <c r="R396" s="38">
        <f t="shared" ref="R396:R401" si="78">+E396+I396+M396+Q396</f>
        <v>11814</v>
      </c>
    </row>
    <row r="397" spans="1:18" ht="15.75" customHeight="1" thickBot="1" x14ac:dyDescent="0.35">
      <c r="A397" s="310" t="s">
        <v>1950</v>
      </c>
      <c r="B397" s="10">
        <v>0</v>
      </c>
      <c r="C397" s="10">
        <v>0</v>
      </c>
      <c r="D397" s="10">
        <v>0</v>
      </c>
      <c r="E397" s="38">
        <f t="shared" si="74"/>
        <v>0</v>
      </c>
      <c r="F397" s="10">
        <v>0</v>
      </c>
      <c r="G397" s="10">
        <v>0</v>
      </c>
      <c r="H397" s="10">
        <v>0</v>
      </c>
      <c r="I397" s="38">
        <f t="shared" si="75"/>
        <v>0</v>
      </c>
      <c r="J397" s="10">
        <v>0</v>
      </c>
      <c r="K397" s="10">
        <v>0</v>
      </c>
      <c r="L397" s="10">
        <v>0</v>
      </c>
      <c r="M397" s="38">
        <f t="shared" si="76"/>
        <v>0</v>
      </c>
      <c r="N397" s="10">
        <v>0</v>
      </c>
      <c r="O397" s="10">
        <v>0</v>
      </c>
      <c r="P397" s="10">
        <v>0</v>
      </c>
      <c r="Q397" s="38">
        <f t="shared" si="77"/>
        <v>0</v>
      </c>
      <c r="R397" s="38">
        <f t="shared" si="78"/>
        <v>0</v>
      </c>
    </row>
    <row r="398" spans="1:18" ht="15.75" customHeight="1" thickBot="1" x14ac:dyDescent="0.35">
      <c r="A398" s="43" t="s">
        <v>1019</v>
      </c>
      <c r="B398" s="42">
        <f>SUM(B392:B397)</f>
        <v>0</v>
      </c>
      <c r="C398" s="42">
        <f>SUM(C392:C397)</f>
        <v>0</v>
      </c>
      <c r="D398" s="42">
        <f>SUM(D392:D397)</f>
        <v>0</v>
      </c>
      <c r="E398" s="39">
        <f t="shared" si="74"/>
        <v>0</v>
      </c>
      <c r="F398" s="42">
        <f>SUM(F392:F397)</f>
        <v>0</v>
      </c>
      <c r="G398" s="42">
        <f>SUM(G392:G397)</f>
        <v>0</v>
      </c>
      <c r="H398" s="42">
        <f>SUM(H392:H397)</f>
        <v>0</v>
      </c>
      <c r="I398" s="39">
        <f t="shared" si="75"/>
        <v>0</v>
      </c>
      <c r="J398" s="42">
        <f>SUM(J392:J397)</f>
        <v>0</v>
      </c>
      <c r="K398" s="42">
        <f>SUM(K392:K397)</f>
        <v>11400</v>
      </c>
      <c r="L398" s="42">
        <f>SUM(L392:L397)</f>
        <v>0</v>
      </c>
      <c r="M398" s="39">
        <f t="shared" si="76"/>
        <v>11400</v>
      </c>
      <c r="N398" s="42">
        <f>SUM(N392:N397)</f>
        <v>0</v>
      </c>
      <c r="O398" s="42">
        <f>SUM(O392:O397)</f>
        <v>0</v>
      </c>
      <c r="P398" s="42">
        <f>SUM(P392:P397)</f>
        <v>414</v>
      </c>
      <c r="Q398" s="39">
        <f t="shared" si="77"/>
        <v>414</v>
      </c>
      <c r="R398" s="37">
        <f t="shared" si="78"/>
        <v>11814</v>
      </c>
    </row>
    <row r="399" spans="1:18" ht="15.75" customHeight="1" thickBot="1" x14ac:dyDescent="0.35">
      <c r="A399" s="277" t="s">
        <v>1221</v>
      </c>
      <c r="B399" s="45">
        <f>SUM(B389:B397)</f>
        <v>0</v>
      </c>
      <c r="C399" s="46">
        <f>SUM(C389:C397)</f>
        <v>0</v>
      </c>
      <c r="D399" s="58">
        <f>SUM(D389:D397)</f>
        <v>0</v>
      </c>
      <c r="E399" s="39">
        <f t="shared" si="74"/>
        <v>0</v>
      </c>
      <c r="F399" s="46">
        <f>SUM(F389:F397)</f>
        <v>0</v>
      </c>
      <c r="G399" s="46">
        <f>SUM(G389:G397)</f>
        <v>0</v>
      </c>
      <c r="H399" s="46">
        <f>SUM(H389:H397)</f>
        <v>0</v>
      </c>
      <c r="I399" s="39">
        <f t="shared" si="75"/>
        <v>0</v>
      </c>
      <c r="J399" s="46">
        <f>SUM(J389:J397)</f>
        <v>0</v>
      </c>
      <c r="K399" s="46">
        <f>SUM(K389:K397)</f>
        <v>11400</v>
      </c>
      <c r="L399" s="46">
        <f>SUM(L389:L397)</f>
        <v>0</v>
      </c>
      <c r="M399" s="39">
        <f t="shared" si="76"/>
        <v>11400</v>
      </c>
      <c r="N399" s="46">
        <f>SUM(N389:N397)</f>
        <v>0</v>
      </c>
      <c r="O399" s="46">
        <f>SUM(O389:O397)</f>
        <v>0</v>
      </c>
      <c r="P399" s="46">
        <f>SUM(P389:P397)</f>
        <v>414</v>
      </c>
      <c r="Q399" s="39">
        <f t="shared" si="77"/>
        <v>414</v>
      </c>
      <c r="R399" s="37">
        <f t="shared" si="78"/>
        <v>11814</v>
      </c>
    </row>
    <row r="400" spans="1:18" ht="15.75" customHeight="1" thickBot="1" x14ac:dyDescent="0.35">
      <c r="A400" s="43" t="s">
        <v>1222</v>
      </c>
      <c r="B400" s="47">
        <f>+B378+B384+B388+B399</f>
        <v>1</v>
      </c>
      <c r="C400" s="42">
        <f>+C378+C384+C388+C399</f>
        <v>0</v>
      </c>
      <c r="D400" s="42">
        <f>+D378+D384+D388+D399</f>
        <v>2286</v>
      </c>
      <c r="E400" s="37">
        <f t="shared" si="74"/>
        <v>2287</v>
      </c>
      <c r="F400" s="42">
        <f>+F378+F384+F388+F399</f>
        <v>14564</v>
      </c>
      <c r="G400" s="42">
        <f>+G378+G384+G388+G399</f>
        <v>7010</v>
      </c>
      <c r="H400" s="42">
        <f>+H378+H384+H388+H399</f>
        <v>15614</v>
      </c>
      <c r="I400" s="37">
        <f t="shared" si="75"/>
        <v>37188</v>
      </c>
      <c r="J400" s="42">
        <f>+J378+J384+J388+J399</f>
        <v>20898</v>
      </c>
      <c r="K400" s="42">
        <f>+K378+K384+K388+K399</f>
        <v>11775</v>
      </c>
      <c r="L400" s="42">
        <f>+L378+L384+L388+L399</f>
        <v>8</v>
      </c>
      <c r="M400" s="37">
        <f t="shared" si="76"/>
        <v>32681</v>
      </c>
      <c r="N400" s="42">
        <f>+N378+N384+N388+N399</f>
        <v>45</v>
      </c>
      <c r="O400" s="42">
        <f>+O378+O384+O388+O399</f>
        <v>183</v>
      </c>
      <c r="P400" s="42">
        <f>+P378+P384+P388+P399</f>
        <v>414</v>
      </c>
      <c r="Q400" s="37">
        <f t="shared" si="77"/>
        <v>642</v>
      </c>
      <c r="R400" s="40">
        <f t="shared" si="78"/>
        <v>72798</v>
      </c>
    </row>
    <row r="401" spans="1:18" ht="15.75" customHeight="1" thickBot="1" x14ac:dyDescent="0.35">
      <c r="A401" s="299" t="s">
        <v>853</v>
      </c>
      <c r="B401" s="294">
        <v>9</v>
      </c>
      <c r="C401" s="294">
        <v>16</v>
      </c>
      <c r="D401" s="294">
        <v>25</v>
      </c>
      <c r="E401" s="38">
        <f t="shared" si="74"/>
        <v>50</v>
      </c>
      <c r="F401" s="294">
        <v>34</v>
      </c>
      <c r="G401" s="294">
        <v>41</v>
      </c>
      <c r="H401" s="294">
        <v>41</v>
      </c>
      <c r="I401" s="38">
        <f t="shared" si="75"/>
        <v>116</v>
      </c>
      <c r="J401" s="294">
        <v>39</v>
      </c>
      <c r="K401" s="294">
        <v>30</v>
      </c>
      <c r="L401" s="294">
        <v>30</v>
      </c>
      <c r="M401" s="38">
        <f t="shared" si="76"/>
        <v>99</v>
      </c>
      <c r="N401" s="294">
        <v>28</v>
      </c>
      <c r="O401" s="294">
        <v>22</v>
      </c>
      <c r="P401" s="294">
        <v>16</v>
      </c>
      <c r="Q401" s="38">
        <f t="shared" si="77"/>
        <v>66</v>
      </c>
      <c r="R401" s="38">
        <f t="shared" si="78"/>
        <v>331</v>
      </c>
    </row>
    <row r="402" spans="1:18" ht="15.75" customHeight="1" thickBot="1" x14ac:dyDescent="0.35">
      <c r="A402" s="44"/>
      <c r="B402" s="313"/>
      <c r="C402" s="313"/>
      <c r="D402" s="313"/>
      <c r="E402" s="37"/>
      <c r="F402" s="313"/>
      <c r="G402" s="313"/>
      <c r="H402" s="313"/>
      <c r="I402" s="37"/>
      <c r="J402" s="313"/>
      <c r="K402" s="313"/>
      <c r="L402" s="313"/>
      <c r="M402" s="37"/>
      <c r="N402" s="313"/>
      <c r="O402" s="313"/>
      <c r="P402" s="313"/>
      <c r="Q402" s="37"/>
      <c r="R402" s="37" t="s">
        <v>852</v>
      </c>
    </row>
    <row r="403" spans="1:18" ht="15.75" customHeight="1" x14ac:dyDescent="0.3">
      <c r="A403" s="259" t="s">
        <v>2011</v>
      </c>
      <c r="B403" s="314">
        <f>SUM(B400:B401)</f>
        <v>10</v>
      </c>
      <c r="C403" s="314">
        <f>SUM(C400:C401)</f>
        <v>16</v>
      </c>
      <c r="D403" s="314">
        <f>SUM(D400:D401)</f>
        <v>2311</v>
      </c>
      <c r="E403" s="39">
        <f>SUM(B403:D403)</f>
        <v>2337</v>
      </c>
      <c r="F403" s="314">
        <f>SUM(F400:F401)</f>
        <v>14598</v>
      </c>
      <c r="G403" s="314">
        <f>SUM(G400:G401)</f>
        <v>7051</v>
      </c>
      <c r="H403" s="314">
        <f>SUM(H400:H401)</f>
        <v>15655</v>
      </c>
      <c r="I403" s="39">
        <f>SUM(F403:H403)</f>
        <v>37304</v>
      </c>
      <c r="J403" s="314">
        <f>SUM(J400:J401)</f>
        <v>20937</v>
      </c>
      <c r="K403" s="314">
        <f>SUM(K400:K401)</f>
        <v>11805</v>
      </c>
      <c r="L403" s="314">
        <f>SUM(L400:L401)</f>
        <v>38</v>
      </c>
      <c r="M403" s="39">
        <f>SUM(J403:L403)</f>
        <v>32780</v>
      </c>
      <c r="N403" s="314">
        <f>SUM(N400:N401)</f>
        <v>73</v>
      </c>
      <c r="O403" s="314">
        <f>SUM(O400:O401)</f>
        <v>205</v>
      </c>
      <c r="P403" s="314">
        <f>SUM(P400:P401)</f>
        <v>430</v>
      </c>
      <c r="Q403" s="39">
        <f>SUM(N403:P403)</f>
        <v>708</v>
      </c>
      <c r="R403" s="39">
        <f>+E403+I403+M403+Q403</f>
        <v>73129</v>
      </c>
    </row>
    <row r="404" spans="1:18" ht="15.75" customHeight="1" x14ac:dyDescent="0.3">
      <c r="A404" s="262" t="s">
        <v>1897</v>
      </c>
      <c r="B404" s="10">
        <f>(B403/31)/1.983</f>
        <v>0.16267304344996988</v>
      </c>
      <c r="C404" s="10">
        <f>(C403/28)/1.983</f>
        <v>0.28816367696851808</v>
      </c>
      <c r="D404" s="10">
        <f>(D403/31)/1.983</f>
        <v>37.59374034128804</v>
      </c>
      <c r="E404" s="38" t="s">
        <v>852</v>
      </c>
      <c r="F404" s="10">
        <f>(F403/30)/1.983</f>
        <v>245.38577912254161</v>
      </c>
      <c r="G404" s="10">
        <f>(G403/31)/1.983</f>
        <v>114.70076293657377</v>
      </c>
      <c r="H404" s="10">
        <f>(H403/30)/1.983</f>
        <v>263.15347117162548</v>
      </c>
      <c r="I404" s="38" t="s">
        <v>852</v>
      </c>
      <c r="J404" s="10">
        <f>(J403/31)/1.983</f>
        <v>340.58855107120195</v>
      </c>
      <c r="K404" s="10">
        <f>(K403/31)/1.983</f>
        <v>192.03552779268946</v>
      </c>
      <c r="L404" s="10">
        <f>(L403/30)/1.983</f>
        <v>0.63876281728021511</v>
      </c>
      <c r="M404" s="38" t="s">
        <v>852</v>
      </c>
      <c r="N404" s="10">
        <f>(N403/31)/1.983</f>
        <v>1.1875132171847804</v>
      </c>
      <c r="O404" s="10">
        <f>(O403/30)/1.983</f>
        <v>3.4459573037485289</v>
      </c>
      <c r="P404" s="10">
        <f>(P403/31)/1.983</f>
        <v>6.9949408683487055</v>
      </c>
      <c r="Q404" s="38" t="s">
        <v>852</v>
      </c>
      <c r="R404" s="38" t="s">
        <v>852</v>
      </c>
    </row>
    <row r="405" spans="1:18" ht="15.75" customHeight="1" x14ac:dyDescent="0.3">
      <c r="A405" s="262" t="s">
        <v>575</v>
      </c>
      <c r="B405" s="10">
        <f>B403+B446</f>
        <v>18006</v>
      </c>
      <c r="C405" s="10">
        <f>C403+C446</f>
        <v>16595</v>
      </c>
      <c r="D405" s="10">
        <f>D403+D446</f>
        <v>28997</v>
      </c>
      <c r="E405" s="38">
        <f>SUM(B405:D405)</f>
        <v>63598</v>
      </c>
      <c r="F405" s="10">
        <f>F403+F446</f>
        <v>52079</v>
      </c>
      <c r="G405" s="10">
        <f>G403+G446</f>
        <v>38678</v>
      </c>
      <c r="H405" s="10">
        <f>H403+H446</f>
        <v>47924</v>
      </c>
      <c r="I405" s="38">
        <f>SUM(F405:H405)</f>
        <v>138681</v>
      </c>
      <c r="J405" s="10">
        <f>J403+J446</f>
        <v>53649</v>
      </c>
      <c r="K405" s="10">
        <f>K403+K446</f>
        <v>44724</v>
      </c>
      <c r="L405" s="10">
        <f>L403+L446</f>
        <v>24685</v>
      </c>
      <c r="M405" s="38">
        <f>SUM(J405:L405)</f>
        <v>123058</v>
      </c>
      <c r="N405" s="10">
        <f>N403+N446</f>
        <v>7967</v>
      </c>
      <c r="O405" s="10">
        <f>O403+O446</f>
        <v>14384</v>
      </c>
      <c r="P405" s="10">
        <f>P403+P446</f>
        <v>7758</v>
      </c>
      <c r="Q405" s="38">
        <f>SUM(N405:P405)</f>
        <v>30109</v>
      </c>
      <c r="R405" s="38">
        <f>+E405+I405+M405+Q405</f>
        <v>355446</v>
      </c>
    </row>
    <row r="406" spans="1:18" ht="15.75" customHeight="1" thickBot="1" x14ac:dyDescent="0.35">
      <c r="A406" s="263" t="s">
        <v>576</v>
      </c>
      <c r="B406" s="315">
        <f>(B405/31)/1.983</f>
        <v>292.90908203601583</v>
      </c>
      <c r="C406" s="315">
        <f>(C405/28)/1.983</f>
        <v>298.87976370578485</v>
      </c>
      <c r="D406" s="315">
        <f>(D405/31)/1.983</f>
        <v>471.70302409187769</v>
      </c>
      <c r="E406" s="40" t="s">
        <v>852</v>
      </c>
      <c r="F406" s="315">
        <f>(F405/30)/1.983</f>
        <v>875.42444108253483</v>
      </c>
      <c r="G406" s="315">
        <f>(G405/31)/1.983</f>
        <v>629.18679745579357</v>
      </c>
      <c r="H406" s="315">
        <f>(H405/30)/1.983</f>
        <v>805.58076987729032</v>
      </c>
      <c r="I406" s="40" t="s">
        <v>852</v>
      </c>
      <c r="J406" s="315">
        <f>(J405/31)/1.983</f>
        <v>872.72461080474341</v>
      </c>
      <c r="K406" s="315">
        <f>(K405/31)/1.983</f>
        <v>727.53891952564538</v>
      </c>
      <c r="L406" s="315">
        <f>(L405/30)/1.983</f>
        <v>414.94368801479243</v>
      </c>
      <c r="M406" s="40" t="s">
        <v>852</v>
      </c>
      <c r="N406" s="315">
        <f>(N405/31)/1.983</f>
        <v>129.601613716591</v>
      </c>
      <c r="O406" s="315">
        <f>(O405/30)/1.983</f>
        <v>241.78853588838459</v>
      </c>
      <c r="P406" s="315">
        <f>(P405/31)/1.983</f>
        <v>126.20174710848664</v>
      </c>
      <c r="Q406" s="40" t="s">
        <v>852</v>
      </c>
      <c r="R406" s="40" t="s">
        <v>852</v>
      </c>
    </row>
    <row r="407" spans="1:18" ht="15.75" customHeight="1" x14ac:dyDescent="0.3">
      <c r="A407" s="17"/>
      <c r="B407" s="10"/>
      <c r="C407" s="10"/>
      <c r="D407" s="10"/>
      <c r="E407" s="10"/>
      <c r="F407" s="10"/>
      <c r="G407" s="10"/>
      <c r="H407" s="10"/>
      <c r="I407" s="10"/>
      <c r="J407" s="10"/>
      <c r="K407" s="10"/>
      <c r="L407" s="10"/>
      <c r="M407" s="10"/>
      <c r="N407" s="10"/>
      <c r="O407" s="10"/>
      <c r="P407" s="10"/>
      <c r="Q407" s="10"/>
      <c r="R407" s="17"/>
    </row>
    <row r="408" spans="1:18" ht="15.75" customHeight="1" thickBot="1" x14ac:dyDescent="0.35">
      <c r="A408" s="17"/>
      <c r="B408" s="10"/>
      <c r="C408" s="10"/>
      <c r="D408" s="10"/>
      <c r="E408" s="10"/>
      <c r="F408" s="10"/>
      <c r="G408" s="10"/>
      <c r="H408" s="10"/>
      <c r="I408" s="10"/>
      <c r="J408" s="10"/>
      <c r="K408" s="10"/>
      <c r="L408" s="10"/>
      <c r="M408" s="10"/>
      <c r="N408" s="10"/>
      <c r="O408" s="10"/>
      <c r="P408" s="10"/>
      <c r="Q408" s="10"/>
      <c r="R408" s="17"/>
    </row>
    <row r="409" spans="1:18" ht="15.75" customHeight="1" thickBot="1" x14ac:dyDescent="0.35">
      <c r="A409" s="278" t="s">
        <v>689</v>
      </c>
      <c r="B409" s="4" t="s">
        <v>2090</v>
      </c>
      <c r="C409" s="5" t="s">
        <v>2091</v>
      </c>
      <c r="D409" s="5" t="s">
        <v>2234</v>
      </c>
      <c r="E409" s="33" t="s">
        <v>1594</v>
      </c>
      <c r="F409" s="5" t="s">
        <v>2235</v>
      </c>
      <c r="G409" s="5" t="s">
        <v>2236</v>
      </c>
      <c r="H409" s="5" t="s">
        <v>2237</v>
      </c>
      <c r="I409" s="35" t="s">
        <v>1595</v>
      </c>
      <c r="J409" s="5" t="s">
        <v>1504</v>
      </c>
      <c r="K409" s="5" t="s">
        <v>1505</v>
      </c>
      <c r="L409" s="5" t="s">
        <v>1506</v>
      </c>
      <c r="M409" s="35" t="s">
        <v>1596</v>
      </c>
      <c r="N409" s="5" t="s">
        <v>1507</v>
      </c>
      <c r="O409" s="5" t="s">
        <v>1508</v>
      </c>
      <c r="P409" s="5" t="s">
        <v>1509</v>
      </c>
      <c r="Q409" s="35" t="s">
        <v>1597</v>
      </c>
      <c r="R409" s="36" t="s">
        <v>1510</v>
      </c>
    </row>
    <row r="410" spans="1:18" ht="15.75" customHeight="1" thickBot="1" x14ac:dyDescent="0.35">
      <c r="A410" s="37"/>
      <c r="B410" s="313"/>
      <c r="C410" s="313"/>
      <c r="D410" s="313"/>
      <c r="E410" s="308"/>
      <c r="F410" s="313"/>
      <c r="G410" s="313"/>
      <c r="H410" s="313"/>
      <c r="I410" s="316"/>
      <c r="J410" s="313"/>
      <c r="K410" s="313"/>
      <c r="L410" s="313"/>
      <c r="M410" s="316"/>
      <c r="N410" s="313"/>
      <c r="O410" s="313"/>
      <c r="P410" s="313"/>
      <c r="Q410" s="316"/>
      <c r="R410" s="52"/>
    </row>
    <row r="411" spans="1:18" ht="15.75" customHeight="1" x14ac:dyDescent="0.3">
      <c r="A411" s="234" t="s">
        <v>2417</v>
      </c>
      <c r="B411" s="10" t="s">
        <v>852</v>
      </c>
      <c r="C411" s="10" t="s">
        <v>852</v>
      </c>
      <c r="D411" s="10" t="s">
        <v>852</v>
      </c>
      <c r="E411" s="38" t="s">
        <v>852</v>
      </c>
      <c r="F411" s="10" t="s">
        <v>852</v>
      </c>
      <c r="G411" s="10" t="s">
        <v>852</v>
      </c>
      <c r="H411" s="10" t="s">
        <v>852</v>
      </c>
      <c r="I411" s="38" t="s">
        <v>852</v>
      </c>
      <c r="J411" s="10" t="s">
        <v>852</v>
      </c>
      <c r="K411" s="10" t="s">
        <v>852</v>
      </c>
      <c r="L411" s="10" t="s">
        <v>852</v>
      </c>
      <c r="M411" s="38" t="s">
        <v>852</v>
      </c>
      <c r="N411" s="10" t="s">
        <v>852</v>
      </c>
      <c r="O411" s="10" t="s">
        <v>852</v>
      </c>
      <c r="P411" s="10" t="s">
        <v>852</v>
      </c>
      <c r="Q411" s="38" t="s">
        <v>852</v>
      </c>
      <c r="R411" s="38" t="s">
        <v>852</v>
      </c>
    </row>
    <row r="412" spans="1:18" ht="15.75" customHeight="1" x14ac:dyDescent="0.3">
      <c r="A412" s="234" t="s">
        <v>2160</v>
      </c>
      <c r="B412" s="10"/>
      <c r="C412" s="10"/>
      <c r="D412" s="10"/>
      <c r="E412" s="38" t="s">
        <v>852</v>
      </c>
      <c r="F412" s="10"/>
      <c r="G412" s="10"/>
      <c r="H412" s="10"/>
      <c r="I412" s="38" t="s">
        <v>852</v>
      </c>
      <c r="J412" s="10"/>
      <c r="K412" s="10"/>
      <c r="L412" s="10"/>
      <c r="M412" s="38" t="s">
        <v>852</v>
      </c>
      <c r="N412" s="10"/>
      <c r="O412" s="10"/>
      <c r="P412" s="10"/>
      <c r="Q412" s="38" t="s">
        <v>852</v>
      </c>
      <c r="R412" s="38" t="s">
        <v>852</v>
      </c>
    </row>
    <row r="413" spans="1:18" ht="15.75" customHeight="1" x14ac:dyDescent="0.3">
      <c r="A413" s="310" t="s">
        <v>1478</v>
      </c>
      <c r="B413" s="10">
        <v>0</v>
      </c>
      <c r="C413" s="10">
        <v>0</v>
      </c>
      <c r="D413" s="10">
        <v>0</v>
      </c>
      <c r="E413" s="38">
        <f>SUM(B413:D413)</f>
        <v>0</v>
      </c>
      <c r="F413" s="10">
        <v>0</v>
      </c>
      <c r="G413" s="10">
        <v>412</v>
      </c>
      <c r="H413" s="10">
        <v>588</v>
      </c>
      <c r="I413" s="38">
        <f>SUM(F413:H413)</f>
        <v>1000</v>
      </c>
      <c r="J413" s="10">
        <v>0</v>
      </c>
      <c r="K413" s="10">
        <v>0</v>
      </c>
      <c r="L413" s="10">
        <v>0</v>
      </c>
      <c r="M413" s="38">
        <f>SUM(J413:L413)</f>
        <v>0</v>
      </c>
      <c r="N413" s="10">
        <v>0</v>
      </c>
      <c r="O413" s="10">
        <v>0</v>
      </c>
      <c r="P413" s="10">
        <v>0</v>
      </c>
      <c r="Q413" s="38">
        <f>SUM(N413:P413)</f>
        <v>0</v>
      </c>
      <c r="R413" s="38">
        <f>+E413+I413+M413+Q413</f>
        <v>1000</v>
      </c>
    </row>
    <row r="414" spans="1:18" ht="15.75" customHeight="1" x14ac:dyDescent="0.3">
      <c r="A414" s="266" t="s">
        <v>485</v>
      </c>
      <c r="B414" s="172">
        <v>0</v>
      </c>
      <c r="C414" s="172">
        <v>0</v>
      </c>
      <c r="D414" s="172">
        <v>0</v>
      </c>
      <c r="E414" s="38">
        <f>SUM(B414:D414)</f>
        <v>0</v>
      </c>
      <c r="F414" s="172">
        <v>0</v>
      </c>
      <c r="G414" s="172">
        <v>0</v>
      </c>
      <c r="H414" s="172">
        <v>496</v>
      </c>
      <c r="I414" s="38">
        <f>SUM(F414:H414)</f>
        <v>496</v>
      </c>
      <c r="J414" s="172">
        <v>580</v>
      </c>
      <c r="K414" s="172">
        <v>924</v>
      </c>
      <c r="L414" s="172">
        <v>0</v>
      </c>
      <c r="M414" s="38">
        <f>SUM(J414:L414)</f>
        <v>1504</v>
      </c>
      <c r="N414" s="172">
        <v>0</v>
      </c>
      <c r="O414" s="172">
        <v>0</v>
      </c>
      <c r="P414" s="172">
        <v>0</v>
      </c>
      <c r="Q414" s="38">
        <f>SUM(N414:P414)</f>
        <v>0</v>
      </c>
      <c r="R414" s="38">
        <f>+E414+I414+M414+Q414</f>
        <v>2000</v>
      </c>
    </row>
    <row r="415" spans="1:18" ht="15.75" customHeight="1" x14ac:dyDescent="0.3">
      <c r="A415" s="310" t="s">
        <v>1938</v>
      </c>
      <c r="B415" s="10">
        <v>0</v>
      </c>
      <c r="C415" s="10">
        <v>0</v>
      </c>
      <c r="D415" s="10">
        <v>0</v>
      </c>
      <c r="E415" s="38">
        <f>SUM(B415:D415)</f>
        <v>0</v>
      </c>
      <c r="F415" s="10">
        <v>0</v>
      </c>
      <c r="G415" s="10">
        <v>0</v>
      </c>
      <c r="H415" s="10">
        <v>0</v>
      </c>
      <c r="I415" s="38">
        <f>SUM(F415:H415)</f>
        <v>0</v>
      </c>
      <c r="J415" s="10">
        <v>357</v>
      </c>
      <c r="K415" s="10">
        <v>34</v>
      </c>
      <c r="L415" s="10">
        <v>718</v>
      </c>
      <c r="M415" s="38">
        <f>SUM(J415:L415)</f>
        <v>1109</v>
      </c>
      <c r="N415" s="10">
        <v>387</v>
      </c>
      <c r="O415" s="10">
        <v>211</v>
      </c>
      <c r="P415" s="10">
        <v>65</v>
      </c>
      <c r="Q415" s="38">
        <f>SUM(N415:P415)</f>
        <v>663</v>
      </c>
      <c r="R415" s="38">
        <f>+E415+I415+M415+Q415</f>
        <v>1772</v>
      </c>
    </row>
    <row r="416" spans="1:18" ht="15.75" customHeight="1" x14ac:dyDescent="0.3">
      <c r="A416" s="234" t="s">
        <v>2161</v>
      </c>
      <c r="B416" s="10"/>
      <c r="C416" s="10"/>
      <c r="D416" s="10"/>
      <c r="E416" s="38" t="s">
        <v>852</v>
      </c>
      <c r="F416" s="10"/>
      <c r="G416" s="10"/>
      <c r="H416" s="10"/>
      <c r="I416" s="38" t="s">
        <v>852</v>
      </c>
      <c r="J416" s="10"/>
      <c r="K416" s="10"/>
      <c r="L416" s="10"/>
      <c r="M416" s="38" t="s">
        <v>852</v>
      </c>
      <c r="N416" s="10"/>
      <c r="O416" s="10"/>
      <c r="P416" s="10"/>
      <c r="Q416" s="38" t="s">
        <v>852</v>
      </c>
      <c r="R416" s="38" t="s">
        <v>852</v>
      </c>
    </row>
    <row r="417" spans="1:18" ht="15.75" customHeight="1" x14ac:dyDescent="0.3">
      <c r="A417" s="234" t="s">
        <v>2162</v>
      </c>
      <c r="B417" s="10"/>
      <c r="C417" s="10"/>
      <c r="D417" s="10"/>
      <c r="E417" s="38" t="s">
        <v>852</v>
      </c>
      <c r="F417" s="10"/>
      <c r="G417" s="10"/>
      <c r="H417" s="10"/>
      <c r="I417" s="38" t="s">
        <v>852</v>
      </c>
      <c r="J417" s="10"/>
      <c r="K417" s="10"/>
      <c r="L417" s="10"/>
      <c r="M417" s="38" t="s">
        <v>852</v>
      </c>
      <c r="N417" s="10"/>
      <c r="O417" s="10"/>
      <c r="P417" s="10"/>
      <c r="Q417" s="38" t="s">
        <v>852</v>
      </c>
      <c r="R417" s="38" t="s">
        <v>852</v>
      </c>
    </row>
    <row r="418" spans="1:18" ht="15.75" customHeight="1" thickBot="1" x14ac:dyDescent="0.35">
      <c r="A418" s="234" t="s">
        <v>2164</v>
      </c>
      <c r="B418" s="10"/>
      <c r="C418" s="10"/>
      <c r="D418" s="10"/>
      <c r="E418" s="38" t="s">
        <v>852</v>
      </c>
      <c r="F418" s="10"/>
      <c r="G418" s="10"/>
      <c r="H418" s="10"/>
      <c r="I418" s="38" t="s">
        <v>852</v>
      </c>
      <c r="J418" s="10"/>
      <c r="K418" s="10"/>
      <c r="L418" s="10"/>
      <c r="M418" s="38" t="s">
        <v>852</v>
      </c>
      <c r="N418" s="10"/>
      <c r="O418" s="10"/>
      <c r="P418" s="10"/>
      <c r="Q418" s="38" t="s">
        <v>852</v>
      </c>
      <c r="R418" s="38" t="s">
        <v>852</v>
      </c>
    </row>
    <row r="419" spans="1:18" ht="15.75" customHeight="1" thickBot="1" x14ac:dyDescent="0.35">
      <c r="A419" s="322" t="s">
        <v>1218</v>
      </c>
      <c r="B419" s="45">
        <f>SUM(B411:B418)</f>
        <v>0</v>
      </c>
      <c r="C419" s="46">
        <f>SUM(C411:C418)</f>
        <v>0</v>
      </c>
      <c r="D419" s="46">
        <f>SUM(D411:D418)</f>
        <v>0</v>
      </c>
      <c r="E419" s="37">
        <f>SUM(B419:D419)</f>
        <v>0</v>
      </c>
      <c r="F419" s="46">
        <f>SUM(F411:F418)</f>
        <v>0</v>
      </c>
      <c r="G419" s="46">
        <f>SUM(G411:G418)</f>
        <v>412</v>
      </c>
      <c r="H419" s="46">
        <f>SUM(H411:H418)</f>
        <v>1084</v>
      </c>
      <c r="I419" s="37">
        <f>SUM(F419:H419)</f>
        <v>1496</v>
      </c>
      <c r="J419" s="46">
        <f>SUM(J411:J418)</f>
        <v>937</v>
      </c>
      <c r="K419" s="46">
        <f>SUM(K411:K418)</f>
        <v>958</v>
      </c>
      <c r="L419" s="46">
        <f>SUM(L411:L418)</f>
        <v>718</v>
      </c>
      <c r="M419" s="37">
        <f>SUM(J419:L419)</f>
        <v>2613</v>
      </c>
      <c r="N419" s="46">
        <f>SUM(N411:N418)</f>
        <v>387</v>
      </c>
      <c r="O419" s="46">
        <f>SUM(O411:O418)</f>
        <v>211</v>
      </c>
      <c r="P419" s="46">
        <f>SUM(P411:P418)</f>
        <v>65</v>
      </c>
      <c r="Q419" s="37">
        <f>SUM(N419:P419)</f>
        <v>663</v>
      </c>
      <c r="R419" s="37">
        <f>+E419+I419+M419+Q419</f>
        <v>4772</v>
      </c>
    </row>
    <row r="420" spans="1:18" ht="15.75" customHeight="1" x14ac:dyDescent="0.3">
      <c r="A420" s="234" t="s">
        <v>1172</v>
      </c>
      <c r="B420" s="10"/>
      <c r="C420" s="10"/>
      <c r="D420" s="10"/>
      <c r="E420" s="39" t="s">
        <v>852</v>
      </c>
      <c r="F420" s="10"/>
      <c r="G420" s="10"/>
      <c r="H420" s="10"/>
      <c r="I420" s="39" t="s">
        <v>852</v>
      </c>
      <c r="J420" s="10"/>
      <c r="K420" s="10"/>
      <c r="L420" s="10"/>
      <c r="M420" s="39" t="s">
        <v>852</v>
      </c>
      <c r="N420" s="10"/>
      <c r="O420" s="10"/>
      <c r="P420" s="10"/>
      <c r="Q420" s="39" t="s">
        <v>852</v>
      </c>
      <c r="R420" s="63" t="s">
        <v>852</v>
      </c>
    </row>
    <row r="421" spans="1:18" ht="15.75" customHeight="1" x14ac:dyDescent="0.3">
      <c r="A421" s="234" t="s">
        <v>2409</v>
      </c>
      <c r="B421" s="10"/>
      <c r="C421" s="10"/>
      <c r="D421" s="10"/>
      <c r="E421" s="38" t="s">
        <v>852</v>
      </c>
      <c r="F421" s="10"/>
      <c r="G421" s="10"/>
      <c r="H421" s="10"/>
      <c r="I421" s="38" t="s">
        <v>852</v>
      </c>
      <c r="J421" s="10"/>
      <c r="K421" s="10"/>
      <c r="L421" s="10"/>
      <c r="M421" s="38" t="s">
        <v>852</v>
      </c>
      <c r="N421" s="10"/>
      <c r="O421" s="10"/>
      <c r="P421" s="10"/>
      <c r="Q421" s="38" t="s">
        <v>852</v>
      </c>
      <c r="R421" s="63" t="s">
        <v>852</v>
      </c>
    </row>
    <row r="422" spans="1:18" ht="15.75" customHeight="1" x14ac:dyDescent="0.3">
      <c r="A422" s="310" t="s">
        <v>791</v>
      </c>
      <c r="B422" s="10">
        <v>159</v>
      </c>
      <c r="C422" s="10">
        <v>0</v>
      </c>
      <c r="D422" s="10">
        <v>743</v>
      </c>
      <c r="E422" s="38">
        <f>SUM(B422:D422)</f>
        <v>902</v>
      </c>
      <c r="F422" s="10">
        <v>7047</v>
      </c>
      <c r="G422" s="10">
        <v>2941</v>
      </c>
      <c r="H422" s="10">
        <v>7087</v>
      </c>
      <c r="I422" s="38">
        <f>SUM(F422:H422)</f>
        <v>17075</v>
      </c>
      <c r="J422" s="10">
        <v>7793</v>
      </c>
      <c r="K422" s="10">
        <v>7506</v>
      </c>
      <c r="L422" s="10">
        <v>2696</v>
      </c>
      <c r="M422" s="38">
        <f>SUM(J422:L422)</f>
        <v>17995</v>
      </c>
      <c r="N422" s="10">
        <v>263</v>
      </c>
      <c r="O422" s="10">
        <v>322</v>
      </c>
      <c r="P422" s="10">
        <v>0</v>
      </c>
      <c r="Q422" s="38">
        <f>SUM(N422:P422)</f>
        <v>585</v>
      </c>
      <c r="R422" s="38">
        <f>+E422+I422+M422+Q422</f>
        <v>36557</v>
      </c>
    </row>
    <row r="423" spans="1:18" ht="15.75" customHeight="1" x14ac:dyDescent="0.3">
      <c r="A423" s="310" t="s">
        <v>2300</v>
      </c>
      <c r="B423" s="10">
        <v>0</v>
      </c>
      <c r="C423" s="10">
        <v>0</v>
      </c>
      <c r="D423" s="10">
        <v>0</v>
      </c>
      <c r="E423" s="38">
        <f>SUM(B423:D423)</f>
        <v>0</v>
      </c>
      <c r="F423" s="10">
        <v>702</v>
      </c>
      <c r="G423" s="10">
        <v>298</v>
      </c>
      <c r="H423" s="10">
        <v>0</v>
      </c>
      <c r="I423" s="38">
        <f>SUM(F423:H423)</f>
        <v>1000</v>
      </c>
      <c r="J423" s="10">
        <v>0</v>
      </c>
      <c r="K423" s="10">
        <v>0</v>
      </c>
      <c r="L423" s="10">
        <v>250</v>
      </c>
      <c r="M423" s="38">
        <f>SUM(J423:L423)</f>
        <v>250</v>
      </c>
      <c r="N423" s="10">
        <v>0</v>
      </c>
      <c r="O423" s="10">
        <v>0</v>
      </c>
      <c r="P423" s="10">
        <v>0</v>
      </c>
      <c r="Q423" s="38">
        <f>SUM(N423:P423)</f>
        <v>0</v>
      </c>
      <c r="R423" s="38">
        <f>+E423+I423+M423+Q423</f>
        <v>1250</v>
      </c>
    </row>
    <row r="424" spans="1:18" ht="15.75" customHeight="1" x14ac:dyDescent="0.3">
      <c r="A424" s="234" t="s">
        <v>2160</v>
      </c>
      <c r="B424" s="10"/>
      <c r="C424" s="10"/>
      <c r="D424" s="10"/>
      <c r="E424" s="38" t="s">
        <v>852</v>
      </c>
      <c r="F424" s="10"/>
      <c r="G424" s="10"/>
      <c r="H424" s="10"/>
      <c r="I424" s="38" t="s">
        <v>852</v>
      </c>
      <c r="J424" s="10"/>
      <c r="K424" s="10"/>
      <c r="L424" s="10"/>
      <c r="M424" s="38" t="s">
        <v>852</v>
      </c>
      <c r="N424" s="10"/>
      <c r="O424" s="10"/>
      <c r="P424" s="10"/>
      <c r="Q424" s="38" t="s">
        <v>852</v>
      </c>
      <c r="R424" s="63" t="s">
        <v>852</v>
      </c>
    </row>
    <row r="425" spans="1:18" ht="15.75" customHeight="1" thickBot="1" x14ac:dyDescent="0.35">
      <c r="A425" s="234" t="s">
        <v>2165</v>
      </c>
      <c r="B425" s="10"/>
      <c r="C425" s="10"/>
      <c r="D425" s="10"/>
      <c r="E425" s="38" t="s">
        <v>852</v>
      </c>
      <c r="F425" s="10"/>
      <c r="G425" s="10"/>
      <c r="H425" s="10"/>
      <c r="I425" s="38" t="s">
        <v>852</v>
      </c>
      <c r="J425" s="10"/>
      <c r="K425" s="10"/>
      <c r="L425" s="10"/>
      <c r="M425" s="38" t="s">
        <v>852</v>
      </c>
      <c r="N425" s="10"/>
      <c r="O425" s="10"/>
      <c r="P425" s="10"/>
      <c r="Q425" s="38" t="s">
        <v>852</v>
      </c>
      <c r="R425" s="63" t="s">
        <v>852</v>
      </c>
    </row>
    <row r="426" spans="1:18" ht="15.75" customHeight="1" thickBot="1" x14ac:dyDescent="0.35">
      <c r="A426" s="43" t="s">
        <v>1219</v>
      </c>
      <c r="B426" s="45">
        <f>SUM(B420:B425)</f>
        <v>159</v>
      </c>
      <c r="C426" s="46">
        <f>SUM(C420:C425)</f>
        <v>0</v>
      </c>
      <c r="D426" s="46">
        <f>SUM(D420:D425)</f>
        <v>743</v>
      </c>
      <c r="E426" s="37">
        <f>SUM(B426:D426)</f>
        <v>902</v>
      </c>
      <c r="F426" s="46">
        <f>SUM(F420:F425)</f>
        <v>7749</v>
      </c>
      <c r="G426" s="46">
        <f>SUM(G420:G425)</f>
        <v>3239</v>
      </c>
      <c r="H426" s="46">
        <f>SUM(H420:H425)</f>
        <v>7087</v>
      </c>
      <c r="I426" s="37">
        <f>SUM(F426:H426)</f>
        <v>18075</v>
      </c>
      <c r="J426" s="46">
        <f>SUM(J420:J425)</f>
        <v>7793</v>
      </c>
      <c r="K426" s="46">
        <f>SUM(K420:K425)</f>
        <v>7506</v>
      </c>
      <c r="L426" s="46">
        <f>SUM(L420:L425)</f>
        <v>2946</v>
      </c>
      <c r="M426" s="37">
        <f>SUM(J426:L426)</f>
        <v>18245</v>
      </c>
      <c r="N426" s="46">
        <f>SUM(N420:N425)</f>
        <v>263</v>
      </c>
      <c r="O426" s="46">
        <f>SUM(O420:O425)</f>
        <v>322</v>
      </c>
      <c r="P426" s="46">
        <f>SUM(P420:P425)</f>
        <v>0</v>
      </c>
      <c r="Q426" s="37">
        <f>SUM(N426:P426)</f>
        <v>585</v>
      </c>
      <c r="R426" s="37">
        <f>+E426+I426+M426+Q426</f>
        <v>37807</v>
      </c>
    </row>
    <row r="427" spans="1:18" ht="15.75" customHeight="1" x14ac:dyDescent="0.3">
      <c r="A427" s="234" t="s">
        <v>2166</v>
      </c>
      <c r="B427" s="10"/>
      <c r="C427" s="10"/>
      <c r="D427" s="10"/>
      <c r="E427" s="38" t="s">
        <v>852</v>
      </c>
      <c r="F427" s="10"/>
      <c r="G427" s="10"/>
      <c r="H427" s="10"/>
      <c r="I427" s="38" t="s">
        <v>852</v>
      </c>
      <c r="J427" s="10"/>
      <c r="K427" s="10"/>
      <c r="L427" s="10"/>
      <c r="M427" s="38" t="s">
        <v>852</v>
      </c>
      <c r="N427" s="10"/>
      <c r="O427" s="10"/>
      <c r="P427" s="10"/>
      <c r="Q427" s="38" t="s">
        <v>852</v>
      </c>
      <c r="R427" s="38" t="s">
        <v>852</v>
      </c>
    </row>
    <row r="428" spans="1:18" ht="15.75" customHeight="1" x14ac:dyDescent="0.3">
      <c r="A428" s="234" t="s">
        <v>1245</v>
      </c>
      <c r="B428" s="10"/>
      <c r="C428" s="10"/>
      <c r="D428" s="10"/>
      <c r="E428" s="38" t="s">
        <v>852</v>
      </c>
      <c r="F428" s="10"/>
      <c r="G428" s="10"/>
      <c r="H428" s="10"/>
      <c r="I428" s="38" t="s">
        <v>852</v>
      </c>
      <c r="J428" s="10"/>
      <c r="K428" s="10"/>
      <c r="L428" s="10"/>
      <c r="M428" s="38" t="s">
        <v>852</v>
      </c>
      <c r="N428" s="10"/>
      <c r="O428" s="10"/>
      <c r="P428" s="10"/>
      <c r="Q428" s="38" t="s">
        <v>852</v>
      </c>
      <c r="R428" s="38" t="s">
        <v>852</v>
      </c>
    </row>
    <row r="429" spans="1:18" ht="15.75" customHeight="1" thickBot="1" x14ac:dyDescent="0.35">
      <c r="A429" s="234" t="s">
        <v>1711</v>
      </c>
      <c r="B429" s="10"/>
      <c r="C429" s="10"/>
      <c r="D429" s="10"/>
      <c r="E429" s="38" t="s">
        <v>852</v>
      </c>
      <c r="F429" s="10"/>
      <c r="G429" s="10"/>
      <c r="H429" s="10"/>
      <c r="I429" s="38" t="s">
        <v>852</v>
      </c>
      <c r="J429" s="10"/>
      <c r="K429" s="10"/>
      <c r="L429" s="10"/>
      <c r="M429" s="38" t="s">
        <v>852</v>
      </c>
      <c r="N429" s="10"/>
      <c r="O429" s="10"/>
      <c r="P429" s="10"/>
      <c r="Q429" s="38" t="s">
        <v>852</v>
      </c>
      <c r="R429" s="38" t="s">
        <v>852</v>
      </c>
    </row>
    <row r="430" spans="1:18" ht="15.75" customHeight="1" thickBot="1" x14ac:dyDescent="0.35">
      <c r="A430" s="277" t="s">
        <v>1220</v>
      </c>
      <c r="B430" s="45">
        <f>SUM(B427:B429)</f>
        <v>0</v>
      </c>
      <c r="C430" s="46">
        <f>SUM(C427:C429)</f>
        <v>0</v>
      </c>
      <c r="D430" s="46">
        <f>SUM(D427:D429)</f>
        <v>0</v>
      </c>
      <c r="E430" s="37">
        <f>SUM(B430:D430)</f>
        <v>0</v>
      </c>
      <c r="F430" s="46">
        <f>SUM(F427:F429)</f>
        <v>0</v>
      </c>
      <c r="G430" s="46">
        <f>SUM(G427:G429)</f>
        <v>0</v>
      </c>
      <c r="H430" s="46">
        <f>SUM(H427:H429)</f>
        <v>0</v>
      </c>
      <c r="I430" s="37">
        <f>SUM(F430:H430)</f>
        <v>0</v>
      </c>
      <c r="J430" s="46">
        <f>SUM(J427:J429)</f>
        <v>0</v>
      </c>
      <c r="K430" s="46">
        <f>SUM(K427:K429)</f>
        <v>0</v>
      </c>
      <c r="L430" s="46">
        <f>SUM(L427:L429)</f>
        <v>0</v>
      </c>
      <c r="M430" s="37">
        <f>SUM(J430:L430)</f>
        <v>0</v>
      </c>
      <c r="N430" s="46">
        <f>SUM(N427:N429)</f>
        <v>0</v>
      </c>
      <c r="O430" s="46">
        <f>SUM(O427:O429)</f>
        <v>0</v>
      </c>
      <c r="P430" s="46">
        <f>SUM(P427:P429)</f>
        <v>0</v>
      </c>
      <c r="Q430" s="37">
        <f>SUM(N430:P430)</f>
        <v>0</v>
      </c>
      <c r="R430" s="37">
        <f>+E430+I430+M430+Q430</f>
        <v>0</v>
      </c>
    </row>
    <row r="431" spans="1:18" ht="15.75" customHeight="1" x14ac:dyDescent="0.3">
      <c r="A431" s="234" t="s">
        <v>1712</v>
      </c>
      <c r="B431" s="10"/>
      <c r="C431" s="10"/>
      <c r="D431" s="10"/>
      <c r="E431" s="38" t="s">
        <v>852</v>
      </c>
      <c r="F431" s="10"/>
      <c r="G431" s="10"/>
      <c r="H431" s="10"/>
      <c r="I431" s="38" t="s">
        <v>852</v>
      </c>
      <c r="J431" s="10"/>
      <c r="K431" s="10"/>
      <c r="L431" s="10"/>
      <c r="M431" s="38" t="s">
        <v>852</v>
      </c>
      <c r="N431" s="10"/>
      <c r="O431" s="10"/>
      <c r="P431" s="10"/>
      <c r="Q431" s="38" t="s">
        <v>852</v>
      </c>
      <c r="R431" s="38" t="s">
        <v>852</v>
      </c>
    </row>
    <row r="432" spans="1:18" ht="15.75" customHeight="1" x14ac:dyDescent="0.3">
      <c r="A432" s="234" t="s">
        <v>1021</v>
      </c>
      <c r="B432" s="10"/>
      <c r="C432" s="10"/>
      <c r="D432" s="10"/>
      <c r="E432" s="38" t="s">
        <v>852</v>
      </c>
      <c r="F432" s="10"/>
      <c r="G432" s="10"/>
      <c r="H432" s="10"/>
      <c r="I432" s="38" t="s">
        <v>852</v>
      </c>
      <c r="J432" s="10"/>
      <c r="K432" s="10"/>
      <c r="L432" s="10"/>
      <c r="M432" s="38" t="s">
        <v>852</v>
      </c>
      <c r="N432" s="10"/>
      <c r="O432" s="10"/>
      <c r="P432" s="10"/>
      <c r="Q432" s="38" t="s">
        <v>852</v>
      </c>
      <c r="R432" s="38" t="s">
        <v>852</v>
      </c>
    </row>
    <row r="433" spans="1:18" ht="15.75" customHeight="1" x14ac:dyDescent="0.3">
      <c r="A433" s="234" t="s">
        <v>557</v>
      </c>
      <c r="B433" s="10"/>
      <c r="C433" s="10"/>
      <c r="D433" s="10"/>
      <c r="E433" s="38" t="s">
        <v>852</v>
      </c>
      <c r="F433" s="10"/>
      <c r="G433" s="10"/>
      <c r="H433" s="10"/>
      <c r="I433" s="38" t="s">
        <v>852</v>
      </c>
      <c r="J433" s="10"/>
      <c r="K433" s="10"/>
      <c r="L433" s="10"/>
      <c r="M433" s="38" t="s">
        <v>852</v>
      </c>
      <c r="N433" s="10"/>
      <c r="O433" s="10"/>
      <c r="P433" s="10"/>
      <c r="Q433" s="38" t="s">
        <v>852</v>
      </c>
      <c r="R433" s="38" t="s">
        <v>852</v>
      </c>
    </row>
    <row r="434" spans="1:18" ht="15.75" customHeight="1" x14ac:dyDescent="0.3">
      <c r="A434" s="234" t="s">
        <v>1022</v>
      </c>
      <c r="B434" s="10"/>
      <c r="C434" s="10"/>
      <c r="D434" s="10"/>
      <c r="E434" s="38" t="s">
        <v>852</v>
      </c>
      <c r="F434" s="10"/>
      <c r="G434" s="10"/>
      <c r="H434" s="10"/>
      <c r="I434" s="38" t="s">
        <v>852</v>
      </c>
      <c r="J434" s="10"/>
      <c r="K434" s="10"/>
      <c r="L434" s="10"/>
      <c r="M434" s="38" t="s">
        <v>852</v>
      </c>
      <c r="N434" s="10"/>
      <c r="O434" s="10"/>
      <c r="P434" s="10"/>
      <c r="Q434" s="38" t="s">
        <v>852</v>
      </c>
      <c r="R434" s="38" t="s">
        <v>852</v>
      </c>
    </row>
    <row r="435" spans="1:18" ht="15.75" customHeight="1" x14ac:dyDescent="0.3">
      <c r="A435" s="310" t="s">
        <v>2102</v>
      </c>
      <c r="B435" s="10">
        <v>0</v>
      </c>
      <c r="C435" s="10">
        <v>0</v>
      </c>
      <c r="D435" s="10">
        <v>0</v>
      </c>
      <c r="E435" s="38">
        <f>SUM(B435:D435)</f>
        <v>0</v>
      </c>
      <c r="F435" s="10">
        <v>0</v>
      </c>
      <c r="G435" s="10">
        <v>0</v>
      </c>
      <c r="H435" s="10">
        <v>0</v>
      </c>
      <c r="I435" s="38">
        <f>SUM(F435:H435)</f>
        <v>0</v>
      </c>
      <c r="J435" s="10">
        <v>0</v>
      </c>
      <c r="K435" s="10">
        <v>0</v>
      </c>
      <c r="L435" s="10">
        <v>0</v>
      </c>
      <c r="M435" s="38">
        <f>SUM(J435:L435)</f>
        <v>0</v>
      </c>
      <c r="N435" s="10">
        <v>0</v>
      </c>
      <c r="O435" s="10">
        <v>0</v>
      </c>
      <c r="P435" s="10">
        <v>0</v>
      </c>
      <c r="Q435" s="38">
        <f>SUM(N435:P435)</f>
        <v>0</v>
      </c>
      <c r="R435" s="38">
        <f>+E435+I435+M435+Q435</f>
        <v>0</v>
      </c>
    </row>
    <row r="436" spans="1:18" ht="15.75" customHeight="1" x14ac:dyDescent="0.3">
      <c r="A436" s="234" t="s">
        <v>559</v>
      </c>
      <c r="B436" s="10"/>
      <c r="C436" s="10"/>
      <c r="D436" s="10"/>
      <c r="E436" s="38"/>
      <c r="F436" s="10"/>
      <c r="G436" s="10"/>
      <c r="H436" s="10"/>
      <c r="I436" s="38"/>
      <c r="J436" s="10"/>
      <c r="K436" s="10"/>
      <c r="L436" s="10"/>
      <c r="M436" s="38"/>
      <c r="N436" s="10"/>
      <c r="O436" s="10"/>
      <c r="P436" s="10"/>
      <c r="Q436" s="38"/>
      <c r="R436" s="38" t="s">
        <v>852</v>
      </c>
    </row>
    <row r="437" spans="1:18" ht="15.75" customHeight="1" x14ac:dyDescent="0.3">
      <c r="A437" s="310" t="s">
        <v>2194</v>
      </c>
      <c r="B437" s="10">
        <v>0</v>
      </c>
      <c r="C437" s="10">
        <v>0</v>
      </c>
      <c r="D437" s="10">
        <v>0</v>
      </c>
      <c r="E437" s="38">
        <f t="shared" ref="E437:E442" si="79">SUM(B437:D437)</f>
        <v>0</v>
      </c>
      <c r="F437" s="10">
        <v>0</v>
      </c>
      <c r="G437" s="10">
        <v>0</v>
      </c>
      <c r="H437" s="10">
        <v>0</v>
      </c>
      <c r="I437" s="38">
        <f t="shared" ref="I437:I442" si="80">SUM(F437:H437)</f>
        <v>0</v>
      </c>
      <c r="J437" s="10">
        <v>0</v>
      </c>
      <c r="K437" s="10">
        <v>0</v>
      </c>
      <c r="L437" s="10">
        <v>0</v>
      </c>
      <c r="M437" s="38">
        <f t="shared" ref="M437:M442" si="81">SUM(J437:L437)</f>
        <v>0</v>
      </c>
      <c r="N437" s="10">
        <v>0</v>
      </c>
      <c r="O437" s="10">
        <v>33</v>
      </c>
      <c r="P437" s="10">
        <v>259</v>
      </c>
      <c r="Q437" s="38">
        <f t="shared" ref="Q437:Q442" si="82">SUM(N437:P437)</f>
        <v>292</v>
      </c>
      <c r="R437" s="38">
        <f t="shared" ref="R437:R442" si="83">+E437+I437+M437+Q437</f>
        <v>292</v>
      </c>
    </row>
    <row r="438" spans="1:18" ht="15.75" customHeight="1" thickBot="1" x14ac:dyDescent="0.35">
      <c r="A438" s="310" t="s">
        <v>2233</v>
      </c>
      <c r="B438" s="10">
        <v>0</v>
      </c>
      <c r="C438" s="10">
        <v>0</v>
      </c>
      <c r="D438" s="10">
        <v>0</v>
      </c>
      <c r="E438" s="38">
        <f t="shared" si="79"/>
        <v>0</v>
      </c>
      <c r="F438" s="10">
        <v>0</v>
      </c>
      <c r="G438" s="10">
        <v>0</v>
      </c>
      <c r="H438" s="10">
        <v>0</v>
      </c>
      <c r="I438" s="38">
        <f t="shared" si="80"/>
        <v>0</v>
      </c>
      <c r="J438" s="10">
        <v>0</v>
      </c>
      <c r="K438" s="10">
        <v>0</v>
      </c>
      <c r="L438" s="10">
        <v>0</v>
      </c>
      <c r="M438" s="38">
        <f t="shared" si="81"/>
        <v>0</v>
      </c>
      <c r="N438" s="10">
        <v>0</v>
      </c>
      <c r="O438" s="10">
        <v>0</v>
      </c>
      <c r="P438" s="10">
        <v>0</v>
      </c>
      <c r="Q438" s="38">
        <f t="shared" si="82"/>
        <v>0</v>
      </c>
      <c r="R438" s="38">
        <f t="shared" si="83"/>
        <v>0</v>
      </c>
    </row>
    <row r="439" spans="1:18" ht="15.75" customHeight="1" thickBot="1" x14ac:dyDescent="0.35">
      <c r="A439" s="43" t="s">
        <v>1019</v>
      </c>
      <c r="B439" s="42">
        <f>SUM(B434:B438)</f>
        <v>0</v>
      </c>
      <c r="C439" s="42">
        <f>SUM(C434:C438)</f>
        <v>0</v>
      </c>
      <c r="D439" s="42">
        <f>SUM(D434:D438)</f>
        <v>0</v>
      </c>
      <c r="E439" s="39">
        <f t="shared" si="79"/>
        <v>0</v>
      </c>
      <c r="F439" s="42">
        <f>SUM(F434:F438)</f>
        <v>0</v>
      </c>
      <c r="G439" s="42">
        <f>SUM(G434:G438)</f>
        <v>0</v>
      </c>
      <c r="H439" s="42">
        <f>SUM(H434:H438)</f>
        <v>0</v>
      </c>
      <c r="I439" s="39">
        <f t="shared" si="80"/>
        <v>0</v>
      </c>
      <c r="J439" s="42">
        <f>SUM(J434:J438)</f>
        <v>0</v>
      </c>
      <c r="K439" s="42">
        <f>SUM(K434:K438)</f>
        <v>0</v>
      </c>
      <c r="L439" s="42">
        <f>SUM(L434:L438)</f>
        <v>0</v>
      </c>
      <c r="M439" s="39">
        <f t="shared" si="81"/>
        <v>0</v>
      </c>
      <c r="N439" s="42">
        <f>SUM(N434:N438)</f>
        <v>0</v>
      </c>
      <c r="O439" s="42">
        <f>SUM(O434:O438)</f>
        <v>33</v>
      </c>
      <c r="P439" s="42">
        <f>SUM(P434:P438)</f>
        <v>259</v>
      </c>
      <c r="Q439" s="39">
        <f t="shared" si="82"/>
        <v>292</v>
      </c>
      <c r="R439" s="37">
        <f t="shared" si="83"/>
        <v>292</v>
      </c>
    </row>
    <row r="440" spans="1:18" ht="15.75" customHeight="1" thickBot="1" x14ac:dyDescent="0.35">
      <c r="A440" s="277" t="s">
        <v>1221</v>
      </c>
      <c r="B440" s="45">
        <f>SUM(B431:B438)</f>
        <v>0</v>
      </c>
      <c r="C440" s="46">
        <f>SUM(C431:C438)</f>
        <v>0</v>
      </c>
      <c r="D440" s="58">
        <f>SUM(D431:D438)</f>
        <v>0</v>
      </c>
      <c r="E440" s="39">
        <f t="shared" si="79"/>
        <v>0</v>
      </c>
      <c r="F440" s="46">
        <f>SUM(F431:F438)</f>
        <v>0</v>
      </c>
      <c r="G440" s="46">
        <f>SUM(G431:G438)</f>
        <v>0</v>
      </c>
      <c r="H440" s="46">
        <f>SUM(H431:H438)</f>
        <v>0</v>
      </c>
      <c r="I440" s="39">
        <f t="shared" si="80"/>
        <v>0</v>
      </c>
      <c r="J440" s="46">
        <f>SUM(J431:J438)</f>
        <v>0</v>
      </c>
      <c r="K440" s="46">
        <f>SUM(K431:K438)</f>
        <v>0</v>
      </c>
      <c r="L440" s="46">
        <f>SUM(L431:L438)</f>
        <v>0</v>
      </c>
      <c r="M440" s="39">
        <f t="shared" si="81"/>
        <v>0</v>
      </c>
      <c r="N440" s="46">
        <f>SUM(N431:N438)</f>
        <v>0</v>
      </c>
      <c r="O440" s="46">
        <f>SUM(O431:O438)</f>
        <v>33</v>
      </c>
      <c r="P440" s="46">
        <f>SUM(P431:P438)</f>
        <v>259</v>
      </c>
      <c r="Q440" s="39">
        <f t="shared" si="82"/>
        <v>292</v>
      </c>
      <c r="R440" s="37">
        <f t="shared" si="83"/>
        <v>292</v>
      </c>
    </row>
    <row r="441" spans="1:18" ht="15.75" customHeight="1" thickBot="1" x14ac:dyDescent="0.35">
      <c r="A441" s="43" t="s">
        <v>1222</v>
      </c>
      <c r="B441" s="47">
        <f>+B419+B426+B430+B440</f>
        <v>159</v>
      </c>
      <c r="C441" s="42">
        <f>+C419+C426+C430+C440</f>
        <v>0</v>
      </c>
      <c r="D441" s="42">
        <f>+D419+D426+D430+D440</f>
        <v>743</v>
      </c>
      <c r="E441" s="37">
        <f t="shared" si="79"/>
        <v>902</v>
      </c>
      <c r="F441" s="42">
        <f>+F419+F426+F430+F440</f>
        <v>7749</v>
      </c>
      <c r="G441" s="42">
        <f>+G419+G426+G430+G440</f>
        <v>3651</v>
      </c>
      <c r="H441" s="42">
        <f>+H419+H426+H430+H440</f>
        <v>8171</v>
      </c>
      <c r="I441" s="37">
        <f t="shared" si="80"/>
        <v>19571</v>
      </c>
      <c r="J441" s="42">
        <f>+J419+J426+J430+J440</f>
        <v>8730</v>
      </c>
      <c r="K441" s="42">
        <f>+K419+K426+K430+K440</f>
        <v>8464</v>
      </c>
      <c r="L441" s="42">
        <f>+L419+L426+L430+L440</f>
        <v>3664</v>
      </c>
      <c r="M441" s="37">
        <f t="shared" si="81"/>
        <v>20858</v>
      </c>
      <c r="N441" s="42">
        <f>+N419+N426+N430+N440</f>
        <v>650</v>
      </c>
      <c r="O441" s="42">
        <f>+O419+O426+O430+O440</f>
        <v>566</v>
      </c>
      <c r="P441" s="42">
        <f>+P419+P426+P430+P440</f>
        <v>324</v>
      </c>
      <c r="Q441" s="37">
        <f t="shared" si="82"/>
        <v>1540</v>
      </c>
      <c r="R441" s="40">
        <f t="shared" si="83"/>
        <v>42871</v>
      </c>
    </row>
    <row r="442" spans="1:18" ht="15.75" customHeight="1" thickBot="1" x14ac:dyDescent="0.35">
      <c r="A442" s="299" t="s">
        <v>853</v>
      </c>
      <c r="B442" s="294">
        <v>23</v>
      </c>
      <c r="C442" s="294">
        <v>43</v>
      </c>
      <c r="D442" s="294">
        <v>66</v>
      </c>
      <c r="E442" s="40">
        <f t="shared" si="79"/>
        <v>132</v>
      </c>
      <c r="F442" s="294">
        <v>91</v>
      </c>
      <c r="G442" s="294">
        <v>108</v>
      </c>
      <c r="H442" s="294">
        <v>109</v>
      </c>
      <c r="I442" s="40">
        <f t="shared" si="80"/>
        <v>308</v>
      </c>
      <c r="J442" s="294">
        <v>104</v>
      </c>
      <c r="K442" s="294">
        <v>79</v>
      </c>
      <c r="L442" s="294">
        <v>80</v>
      </c>
      <c r="M442" s="40">
        <f t="shared" si="81"/>
        <v>263</v>
      </c>
      <c r="N442" s="294">
        <v>74</v>
      </c>
      <c r="O442" s="294">
        <v>58</v>
      </c>
      <c r="P442" s="294">
        <v>42</v>
      </c>
      <c r="Q442" s="40">
        <f t="shared" si="82"/>
        <v>174</v>
      </c>
      <c r="R442" s="38">
        <f t="shared" si="83"/>
        <v>877</v>
      </c>
    </row>
    <row r="443" spans="1:18" ht="15.75" customHeight="1" thickBot="1" x14ac:dyDescent="0.35">
      <c r="A443" s="22"/>
      <c r="B443" s="297"/>
      <c r="C443" s="297"/>
      <c r="D443" s="297"/>
      <c r="E443" s="21"/>
      <c r="F443" s="297"/>
      <c r="G443" s="297"/>
      <c r="H443" s="297"/>
      <c r="I443" s="31"/>
      <c r="J443" s="297"/>
      <c r="K443" s="297"/>
      <c r="L443" s="297"/>
      <c r="M443" s="31"/>
      <c r="N443" s="297"/>
      <c r="O443" s="297"/>
      <c r="P443" s="297"/>
      <c r="Q443" s="31"/>
      <c r="R443" s="21"/>
    </row>
    <row r="444" spans="1:18" ht="15.75" customHeight="1" x14ac:dyDescent="0.3">
      <c r="A444" s="234" t="s">
        <v>120</v>
      </c>
      <c r="B444" s="314">
        <f>SUM(B441:B442)</f>
        <v>182</v>
      </c>
      <c r="C444" s="314">
        <f>SUM(C441:C442)</f>
        <v>43</v>
      </c>
      <c r="D444" s="314">
        <f>SUM(D441:D442)</f>
        <v>809</v>
      </c>
      <c r="E444" s="39">
        <f>SUM(B444:D444)</f>
        <v>1034</v>
      </c>
      <c r="F444" s="314">
        <f>SUM(F441:F442)</f>
        <v>7840</v>
      </c>
      <c r="G444" s="314">
        <f>SUM(G441:G442)</f>
        <v>3759</v>
      </c>
      <c r="H444" s="314">
        <f>SUM(H441:H442)</f>
        <v>8280</v>
      </c>
      <c r="I444" s="39">
        <f>SUM(F444:H444)</f>
        <v>19879</v>
      </c>
      <c r="J444" s="314">
        <f>SUM(J441:J442)</f>
        <v>8834</v>
      </c>
      <c r="K444" s="314">
        <f>SUM(K441:K442)</f>
        <v>8543</v>
      </c>
      <c r="L444" s="314">
        <f>SUM(L441:L442)</f>
        <v>3744</v>
      </c>
      <c r="M444" s="39">
        <f>SUM(J444:L444)</f>
        <v>21121</v>
      </c>
      <c r="N444" s="314">
        <f>SUM(N441:N442)</f>
        <v>724</v>
      </c>
      <c r="O444" s="314">
        <f>SUM(O441:O442)</f>
        <v>624</v>
      </c>
      <c r="P444" s="314">
        <f>SUM(P441:P442)</f>
        <v>366</v>
      </c>
      <c r="Q444" s="39">
        <f>SUM(N444:P444)</f>
        <v>1714</v>
      </c>
      <c r="R444" s="39">
        <f>+E444+I444+M444+Q444</f>
        <v>43748</v>
      </c>
    </row>
    <row r="445" spans="1:18" ht="15.75" customHeight="1" x14ac:dyDescent="0.3">
      <c r="A445" s="234" t="s">
        <v>1897</v>
      </c>
      <c r="B445" s="10">
        <f>(B444/31)/1.983</f>
        <v>2.960649390789452</v>
      </c>
      <c r="C445" s="10">
        <f>(C444/28)/1.983</f>
        <v>0.77443988185289248</v>
      </c>
      <c r="D445" s="10">
        <f>(D444/31)/1.983</f>
        <v>13.160249215102565</v>
      </c>
      <c r="E445" s="38" t="s">
        <v>852</v>
      </c>
      <c r="F445" s="10">
        <f>(F444/30)/1.983</f>
        <v>131.78685493360226</v>
      </c>
      <c r="G445" s="10">
        <f>(G444/31)/1.983</f>
        <v>61.148797032843689</v>
      </c>
      <c r="H445" s="10">
        <f>(H444/30)/1.983</f>
        <v>139.18305597579425</v>
      </c>
      <c r="I445" s="38" t="s">
        <v>852</v>
      </c>
      <c r="J445" s="10">
        <f>(J444/31)/1.983</f>
        <v>143.70536658370338</v>
      </c>
      <c r="K445" s="10">
        <f>(K444/31)/1.983</f>
        <v>138.97158101930927</v>
      </c>
      <c r="L445" s="10">
        <f>(L444/30)/1.983</f>
        <v>62.934947049924354</v>
      </c>
      <c r="M445" s="38" t="s">
        <v>852</v>
      </c>
      <c r="N445" s="10">
        <f>(N444/31)/1.983</f>
        <v>11.777528345777821</v>
      </c>
      <c r="O445" s="10">
        <f>(O444/30)/1.983</f>
        <v>10.489157841654059</v>
      </c>
      <c r="P445" s="10">
        <f>(P444/31)/1.983</f>
        <v>5.9538333902688985</v>
      </c>
      <c r="Q445" s="38" t="s">
        <v>852</v>
      </c>
      <c r="R445" s="38" t="s">
        <v>852</v>
      </c>
    </row>
    <row r="446" spans="1:18" ht="15.75" customHeight="1" x14ac:dyDescent="0.3">
      <c r="A446" s="234" t="s">
        <v>1433</v>
      </c>
      <c r="B446" s="10">
        <f>B444+B495</f>
        <v>17996</v>
      </c>
      <c r="C446" s="10">
        <f>C444+C495</f>
        <v>16579</v>
      </c>
      <c r="D446" s="10">
        <f>D444+D495</f>
        <v>26686</v>
      </c>
      <c r="E446" s="38">
        <f>SUM(B446:D446)</f>
        <v>61261</v>
      </c>
      <c r="F446" s="10">
        <f>F444+F495</f>
        <v>37481</v>
      </c>
      <c r="G446" s="10">
        <f>G444+G495</f>
        <v>31627</v>
      </c>
      <c r="H446" s="10">
        <f>H444+H495</f>
        <v>32269</v>
      </c>
      <c r="I446" s="38">
        <f>SUM(F446:H446)</f>
        <v>101377</v>
      </c>
      <c r="J446" s="10">
        <f>J444+J495</f>
        <v>32712</v>
      </c>
      <c r="K446" s="10">
        <f>K444+K495</f>
        <v>32919</v>
      </c>
      <c r="L446" s="10">
        <f>L444+L495</f>
        <v>24647</v>
      </c>
      <c r="M446" s="38">
        <f>SUM(J446:L446)</f>
        <v>90278</v>
      </c>
      <c r="N446" s="10">
        <f>N444+N495</f>
        <v>7894</v>
      </c>
      <c r="O446" s="10">
        <f>O444+O495</f>
        <v>14179</v>
      </c>
      <c r="P446" s="10">
        <f>P444+P495</f>
        <v>7328</v>
      </c>
      <c r="Q446" s="38">
        <f>SUM(N446:P446)</f>
        <v>29401</v>
      </c>
      <c r="R446" s="38">
        <f>+E446+I446+M446+Q446</f>
        <v>282317</v>
      </c>
    </row>
    <row r="447" spans="1:18" ht="15.75" customHeight="1" thickBot="1" x14ac:dyDescent="0.35">
      <c r="A447" s="237" t="s">
        <v>426</v>
      </c>
      <c r="B447" s="315">
        <f>(B446/31)/1.983</f>
        <v>292.74640899256582</v>
      </c>
      <c r="C447" s="315">
        <f>(C446/28)/1.983</f>
        <v>298.59160002881634</v>
      </c>
      <c r="D447" s="315">
        <f>(D446/31)/1.983</f>
        <v>434.10928375058967</v>
      </c>
      <c r="E447" s="40" t="s">
        <v>852</v>
      </c>
      <c r="F447" s="315">
        <f>(F446/30)/1.983</f>
        <v>630.03866195999319</v>
      </c>
      <c r="G447" s="315">
        <f>(G446/31)/1.983</f>
        <v>514.48603451921986</v>
      </c>
      <c r="H447" s="315">
        <f>(H446/30)/1.983</f>
        <v>542.42729870566484</v>
      </c>
      <c r="I447" s="40" t="s">
        <v>852</v>
      </c>
      <c r="J447" s="315">
        <f>(J446/31)/1.983</f>
        <v>532.13605973354152</v>
      </c>
      <c r="K447" s="315">
        <f>(K446/31)/1.983</f>
        <v>535.50339173295595</v>
      </c>
      <c r="L447" s="315">
        <f>(L446/30)/1.983</f>
        <v>414.3049251975122</v>
      </c>
      <c r="M447" s="40" t="s">
        <v>852</v>
      </c>
      <c r="N447" s="315">
        <f>(N446/31)/1.983</f>
        <v>128.41410049940623</v>
      </c>
      <c r="O447" s="315">
        <f>(O446/30)/1.983</f>
        <v>238.34257858463604</v>
      </c>
      <c r="P447" s="315">
        <f>(P446/31)/1.983</f>
        <v>119.20680624013794</v>
      </c>
      <c r="Q447" s="40" t="s">
        <v>852</v>
      </c>
      <c r="R447" s="40" t="s">
        <v>852</v>
      </c>
    </row>
    <row r="448" spans="1:18" ht="15.75" customHeight="1" x14ac:dyDescent="0.3">
      <c r="A448" s="17"/>
      <c r="B448" s="10"/>
      <c r="C448" s="10"/>
      <c r="D448" s="10"/>
      <c r="E448" s="10"/>
      <c r="F448" s="10"/>
      <c r="G448" s="10"/>
      <c r="H448" s="10"/>
      <c r="I448" s="10"/>
      <c r="J448" s="10"/>
      <c r="K448" s="10"/>
      <c r="L448" s="10"/>
      <c r="M448" s="10"/>
      <c r="N448" s="10"/>
      <c r="O448" s="10"/>
      <c r="P448" s="10"/>
      <c r="Q448" s="10"/>
      <c r="R448" s="17"/>
    </row>
    <row r="449" spans="1:18" ht="15.75" customHeight="1" thickBot="1" x14ac:dyDescent="0.35">
      <c r="A449" s="17"/>
      <c r="B449" s="10"/>
      <c r="C449" s="10"/>
      <c r="D449" s="10"/>
      <c r="E449" s="10"/>
      <c r="F449" s="10"/>
      <c r="G449" s="10"/>
      <c r="H449" s="10"/>
      <c r="I449" s="10"/>
      <c r="J449" s="10"/>
      <c r="K449" s="10"/>
      <c r="L449" s="10"/>
      <c r="M449" s="10"/>
      <c r="N449" s="10"/>
      <c r="O449" s="10"/>
      <c r="P449" s="10"/>
      <c r="Q449" s="10"/>
      <c r="R449" s="17"/>
    </row>
    <row r="450" spans="1:18" ht="15.75" customHeight="1" thickBot="1" x14ac:dyDescent="0.35">
      <c r="A450" s="278" t="s">
        <v>1069</v>
      </c>
      <c r="B450" s="4" t="s">
        <v>2090</v>
      </c>
      <c r="C450" s="5" t="s">
        <v>2091</v>
      </c>
      <c r="D450" s="5" t="s">
        <v>2234</v>
      </c>
      <c r="E450" s="33" t="s">
        <v>1594</v>
      </c>
      <c r="F450" s="5" t="s">
        <v>2235</v>
      </c>
      <c r="G450" s="5" t="s">
        <v>2236</v>
      </c>
      <c r="H450" s="5" t="s">
        <v>2237</v>
      </c>
      <c r="I450" s="35" t="s">
        <v>1595</v>
      </c>
      <c r="J450" s="5" t="s">
        <v>1504</v>
      </c>
      <c r="K450" s="5" t="s">
        <v>1505</v>
      </c>
      <c r="L450" s="5" t="s">
        <v>1506</v>
      </c>
      <c r="M450" s="35" t="s">
        <v>1596</v>
      </c>
      <c r="N450" s="5" t="s">
        <v>1507</v>
      </c>
      <c r="O450" s="5" t="s">
        <v>1508</v>
      </c>
      <c r="P450" s="5" t="s">
        <v>1509</v>
      </c>
      <c r="Q450" s="35" t="s">
        <v>1597</v>
      </c>
      <c r="R450" s="36" t="s">
        <v>1510</v>
      </c>
    </row>
    <row r="451" spans="1:18" ht="15.75" customHeight="1" thickBot="1" x14ac:dyDescent="0.35">
      <c r="A451" s="37"/>
      <c r="B451" s="313"/>
      <c r="C451" s="313"/>
      <c r="D451" s="313"/>
      <c r="E451" s="308"/>
      <c r="F451" s="313"/>
      <c r="G451" s="313"/>
      <c r="H451" s="313"/>
      <c r="I451" s="316"/>
      <c r="J451" s="313"/>
      <c r="K451" s="313"/>
      <c r="L451" s="313"/>
      <c r="M451" s="316"/>
      <c r="N451" s="313"/>
      <c r="O451" s="313"/>
      <c r="P451" s="313"/>
      <c r="Q451" s="316"/>
      <c r="R451" s="52"/>
    </row>
    <row r="452" spans="1:18" ht="15.75" customHeight="1" x14ac:dyDescent="0.3">
      <c r="A452" s="234" t="s">
        <v>2417</v>
      </c>
      <c r="B452" s="10" t="s">
        <v>852</v>
      </c>
      <c r="C452" s="10" t="s">
        <v>852</v>
      </c>
      <c r="D452" s="10" t="s">
        <v>852</v>
      </c>
      <c r="E452" s="38" t="s">
        <v>852</v>
      </c>
      <c r="F452" s="10" t="s">
        <v>852</v>
      </c>
      <c r="G452" s="10" t="s">
        <v>852</v>
      </c>
      <c r="H452" s="10" t="s">
        <v>852</v>
      </c>
      <c r="I452" s="38" t="s">
        <v>852</v>
      </c>
      <c r="J452" s="10" t="s">
        <v>852</v>
      </c>
      <c r="K452" s="10" t="s">
        <v>852</v>
      </c>
      <c r="L452" s="10" t="s">
        <v>852</v>
      </c>
      <c r="M452" s="38" t="s">
        <v>852</v>
      </c>
      <c r="N452" s="10" t="s">
        <v>852</v>
      </c>
      <c r="O452" s="10" t="s">
        <v>852</v>
      </c>
      <c r="P452" s="10" t="s">
        <v>852</v>
      </c>
      <c r="Q452" s="38" t="s">
        <v>852</v>
      </c>
      <c r="R452" s="38" t="s">
        <v>852</v>
      </c>
    </row>
    <row r="453" spans="1:18" ht="15.75" customHeight="1" x14ac:dyDescent="0.3">
      <c r="A453" s="234" t="s">
        <v>2160</v>
      </c>
      <c r="B453" s="10"/>
      <c r="C453" s="10"/>
      <c r="D453" s="10"/>
      <c r="E453" s="38" t="s">
        <v>852</v>
      </c>
      <c r="F453" s="10"/>
      <c r="G453" s="10"/>
      <c r="H453" s="10"/>
      <c r="I453" s="38" t="s">
        <v>852</v>
      </c>
      <c r="J453" s="10"/>
      <c r="K453" s="10"/>
      <c r="L453" s="10"/>
      <c r="M453" s="38" t="s">
        <v>852</v>
      </c>
      <c r="N453" s="10"/>
      <c r="O453" s="10"/>
      <c r="P453" s="10"/>
      <c r="Q453" s="38" t="s">
        <v>852</v>
      </c>
      <c r="R453" s="38" t="s">
        <v>852</v>
      </c>
    </row>
    <row r="454" spans="1:18" ht="15.75" customHeight="1" x14ac:dyDescent="0.3">
      <c r="A454" s="310" t="s">
        <v>1295</v>
      </c>
      <c r="B454" s="10">
        <v>0</v>
      </c>
      <c r="C454" s="10">
        <v>0</v>
      </c>
      <c r="D454" s="10">
        <v>0</v>
      </c>
      <c r="E454" s="38">
        <f t="shared" ref="E454:E459" si="84">SUM(B454:D454)</f>
        <v>0</v>
      </c>
      <c r="F454" s="10">
        <v>0</v>
      </c>
      <c r="G454" s="10">
        <v>0</v>
      </c>
      <c r="H454" s="10">
        <v>0</v>
      </c>
      <c r="I454" s="38">
        <f t="shared" ref="I454:I459" si="85">SUM(F454:H454)</f>
        <v>0</v>
      </c>
      <c r="J454" s="10">
        <v>600</v>
      </c>
      <c r="K454" s="10">
        <v>928</v>
      </c>
      <c r="L454" s="10">
        <v>0</v>
      </c>
      <c r="M454" s="38">
        <f t="shared" ref="M454:M459" si="86">SUM(J454:L454)</f>
        <v>1528</v>
      </c>
      <c r="N454" s="10">
        <v>0</v>
      </c>
      <c r="O454" s="10">
        <v>0</v>
      </c>
      <c r="P454" s="10">
        <v>0</v>
      </c>
      <c r="Q454" s="38">
        <f t="shared" ref="Q454:Q459" si="87">SUM(N454:P454)</f>
        <v>0</v>
      </c>
      <c r="R454" s="38">
        <f t="shared" ref="R454:R459" si="88">+E454+I454+M454+Q454</f>
        <v>1528</v>
      </c>
    </row>
    <row r="455" spans="1:18" ht="15.75" customHeight="1" x14ac:dyDescent="0.3">
      <c r="A455" s="310" t="s">
        <v>1836</v>
      </c>
      <c r="B455" s="10">
        <v>0</v>
      </c>
      <c r="C455" s="10">
        <v>0</v>
      </c>
      <c r="D455" s="10">
        <v>0</v>
      </c>
      <c r="E455" s="38">
        <f t="shared" si="84"/>
        <v>0</v>
      </c>
      <c r="F455" s="10">
        <v>0</v>
      </c>
      <c r="G455" s="10">
        <v>0</v>
      </c>
      <c r="H455" s="10">
        <v>0</v>
      </c>
      <c r="I455" s="38">
        <f t="shared" si="85"/>
        <v>0</v>
      </c>
      <c r="J455" s="10">
        <v>650</v>
      </c>
      <c r="K455" s="10">
        <v>750</v>
      </c>
      <c r="L455" s="10">
        <v>0</v>
      </c>
      <c r="M455" s="38">
        <f t="shared" si="86"/>
        <v>1400</v>
      </c>
      <c r="N455" s="10">
        <v>0</v>
      </c>
      <c r="O455" s="10">
        <v>0</v>
      </c>
      <c r="P455" s="10">
        <v>0</v>
      </c>
      <c r="Q455" s="38">
        <f t="shared" si="87"/>
        <v>0</v>
      </c>
      <c r="R455" s="38">
        <f t="shared" si="88"/>
        <v>1400</v>
      </c>
    </row>
    <row r="456" spans="1:18" ht="15.75" customHeight="1" x14ac:dyDescent="0.3">
      <c r="A456" s="310" t="s">
        <v>639</v>
      </c>
      <c r="B456" s="10">
        <v>100</v>
      </c>
      <c r="C456" s="10">
        <v>0</v>
      </c>
      <c r="D456" s="10">
        <v>0</v>
      </c>
      <c r="E456" s="38">
        <f t="shared" si="84"/>
        <v>100</v>
      </c>
      <c r="F456" s="10">
        <v>0</v>
      </c>
      <c r="G456" s="10">
        <v>0</v>
      </c>
      <c r="H456" s="10">
        <v>0</v>
      </c>
      <c r="I456" s="38">
        <f t="shared" si="85"/>
        <v>0</v>
      </c>
      <c r="J456" s="10">
        <v>0</v>
      </c>
      <c r="K456" s="10">
        <v>0</v>
      </c>
      <c r="L456" s="10">
        <v>0</v>
      </c>
      <c r="M456" s="38">
        <f t="shared" si="86"/>
        <v>0</v>
      </c>
      <c r="N456" s="10">
        <v>0</v>
      </c>
      <c r="O456" s="10">
        <v>0</v>
      </c>
      <c r="P456" s="10">
        <v>0</v>
      </c>
      <c r="Q456" s="38">
        <f t="shared" si="87"/>
        <v>0</v>
      </c>
      <c r="R456" s="38">
        <f t="shared" si="88"/>
        <v>100</v>
      </c>
    </row>
    <row r="457" spans="1:18" ht="15.75" customHeight="1" x14ac:dyDescent="0.3">
      <c r="A457" s="310" t="s">
        <v>1185</v>
      </c>
      <c r="B457" s="10">
        <v>153</v>
      </c>
      <c r="C457" s="10">
        <v>133</v>
      </c>
      <c r="D457" s="10">
        <v>1143</v>
      </c>
      <c r="E457" s="38">
        <f t="shared" si="84"/>
        <v>1429</v>
      </c>
      <c r="F457" s="10">
        <v>1900</v>
      </c>
      <c r="G457" s="10">
        <v>0</v>
      </c>
      <c r="H457" s="10">
        <v>0</v>
      </c>
      <c r="I457" s="38">
        <f t="shared" si="85"/>
        <v>1900</v>
      </c>
      <c r="J457" s="10">
        <v>0</v>
      </c>
      <c r="K457" s="10">
        <v>0</v>
      </c>
      <c r="L457" s="10">
        <v>0</v>
      </c>
      <c r="M457" s="38">
        <f t="shared" si="86"/>
        <v>0</v>
      </c>
      <c r="N457" s="10">
        <v>0</v>
      </c>
      <c r="O457" s="10">
        <v>0</v>
      </c>
      <c r="P457" s="10">
        <v>0</v>
      </c>
      <c r="Q457" s="38">
        <f t="shared" si="87"/>
        <v>0</v>
      </c>
      <c r="R457" s="38">
        <f t="shared" si="88"/>
        <v>3329</v>
      </c>
    </row>
    <row r="458" spans="1:18" ht="15.75" customHeight="1" x14ac:dyDescent="0.3">
      <c r="A458" s="310" t="s">
        <v>484</v>
      </c>
      <c r="B458" s="10">
        <v>0</v>
      </c>
      <c r="C458" s="10">
        <v>0</v>
      </c>
      <c r="D458" s="10">
        <v>0</v>
      </c>
      <c r="E458" s="38">
        <f>SUM(B458:D458)</f>
        <v>0</v>
      </c>
      <c r="F458" s="10">
        <v>0</v>
      </c>
      <c r="G458" s="10">
        <v>0</v>
      </c>
      <c r="H458" s="10">
        <v>0</v>
      </c>
      <c r="I458" s="38">
        <f>SUM(F458:H458)</f>
        <v>0</v>
      </c>
      <c r="J458" s="10">
        <v>1237</v>
      </c>
      <c r="K458" s="10">
        <v>763</v>
      </c>
      <c r="L458" s="10">
        <v>0</v>
      </c>
      <c r="M458" s="38">
        <f>SUM(J458:L458)</f>
        <v>2000</v>
      </c>
      <c r="N458" s="10">
        <v>0</v>
      </c>
      <c r="O458" s="10">
        <v>0</v>
      </c>
      <c r="P458" s="10">
        <v>0</v>
      </c>
      <c r="Q458" s="38">
        <f>SUM(N458:P458)</f>
        <v>0</v>
      </c>
      <c r="R458" s="38">
        <f>+E458+I458+M458+Q458</f>
        <v>2000</v>
      </c>
    </row>
    <row r="459" spans="1:18" ht="15.75" customHeight="1" x14ac:dyDescent="0.3">
      <c r="A459" s="310" t="s">
        <v>1418</v>
      </c>
      <c r="B459" s="10">
        <v>0</v>
      </c>
      <c r="C459" s="10">
        <v>0</v>
      </c>
      <c r="D459" s="10">
        <v>0</v>
      </c>
      <c r="E459" s="38">
        <f t="shared" si="84"/>
        <v>0</v>
      </c>
      <c r="F459" s="10">
        <v>447</v>
      </c>
      <c r="G459" s="10">
        <v>1029</v>
      </c>
      <c r="H459" s="10">
        <v>1672</v>
      </c>
      <c r="I459" s="38">
        <f t="shared" si="85"/>
        <v>3148</v>
      </c>
      <c r="J459" s="10">
        <v>1594</v>
      </c>
      <c r="K459" s="10">
        <v>1614</v>
      </c>
      <c r="L459" s="10">
        <v>514</v>
      </c>
      <c r="M459" s="38">
        <f t="shared" si="86"/>
        <v>3722</v>
      </c>
      <c r="N459" s="10">
        <v>72</v>
      </c>
      <c r="O459" s="10">
        <v>0</v>
      </c>
      <c r="P459" s="10">
        <v>0</v>
      </c>
      <c r="Q459" s="38">
        <f t="shared" si="87"/>
        <v>72</v>
      </c>
      <c r="R459" s="38">
        <f t="shared" si="88"/>
        <v>6942</v>
      </c>
    </row>
    <row r="460" spans="1:18" ht="15.75" customHeight="1" x14ac:dyDescent="0.3">
      <c r="A460" s="234" t="s">
        <v>2161</v>
      </c>
      <c r="B460" s="10"/>
      <c r="C460" s="10"/>
      <c r="D460" s="10"/>
      <c r="E460" s="38" t="s">
        <v>852</v>
      </c>
      <c r="F460" s="10"/>
      <c r="G460" s="10"/>
      <c r="H460" s="10"/>
      <c r="I460" s="38" t="s">
        <v>852</v>
      </c>
      <c r="J460" s="10"/>
      <c r="K460" s="10"/>
      <c r="L460" s="10"/>
      <c r="M460" s="38" t="s">
        <v>852</v>
      </c>
      <c r="N460" s="10"/>
      <c r="O460" s="10"/>
      <c r="P460" s="10"/>
      <c r="Q460" s="38" t="s">
        <v>852</v>
      </c>
      <c r="R460" s="38" t="s">
        <v>852</v>
      </c>
    </row>
    <row r="461" spans="1:18" ht="15.75" customHeight="1" x14ac:dyDescent="0.3">
      <c r="A461" s="234" t="s">
        <v>2162</v>
      </c>
      <c r="B461" s="10"/>
      <c r="C461" s="10"/>
      <c r="D461" s="10"/>
      <c r="E461" s="38" t="s">
        <v>852</v>
      </c>
      <c r="F461" s="10"/>
      <c r="G461" s="10"/>
      <c r="H461" s="10"/>
      <c r="I461" s="38" t="s">
        <v>852</v>
      </c>
      <c r="J461" s="10"/>
      <c r="K461" s="10"/>
      <c r="L461" s="10"/>
      <c r="M461" s="38" t="s">
        <v>852</v>
      </c>
      <c r="N461" s="10"/>
      <c r="O461" s="10"/>
      <c r="P461" s="10"/>
      <c r="Q461" s="38" t="s">
        <v>852</v>
      </c>
      <c r="R461" s="38" t="s">
        <v>852</v>
      </c>
    </row>
    <row r="462" spans="1:18" ht="15.75" customHeight="1" x14ac:dyDescent="0.3">
      <c r="A462" s="234" t="s">
        <v>1964</v>
      </c>
      <c r="B462" s="172">
        <v>0</v>
      </c>
      <c r="C462" s="172">
        <v>0</v>
      </c>
      <c r="D462" s="172">
        <v>0</v>
      </c>
      <c r="E462" s="38">
        <f>SUM(B462:D462)</f>
        <v>0</v>
      </c>
      <c r="F462" s="172">
        <v>0</v>
      </c>
      <c r="G462" s="172">
        <v>0</v>
      </c>
      <c r="H462" s="172">
        <v>0</v>
      </c>
      <c r="I462" s="38">
        <f>SUM(F462:H462)</f>
        <v>0</v>
      </c>
      <c r="J462" s="172">
        <v>0</v>
      </c>
      <c r="K462" s="172">
        <v>0</v>
      </c>
      <c r="L462" s="172">
        <v>0</v>
      </c>
      <c r="M462" s="38">
        <f>SUM(J462:L462)</f>
        <v>0</v>
      </c>
      <c r="N462" s="172">
        <v>0</v>
      </c>
      <c r="O462" s="172">
        <v>0</v>
      </c>
      <c r="P462" s="172">
        <v>0</v>
      </c>
      <c r="Q462" s="38">
        <f>SUM(N462:P462)</f>
        <v>0</v>
      </c>
      <c r="R462" s="38">
        <f>+E462+I462+M462+Q462</f>
        <v>0</v>
      </c>
    </row>
    <row r="463" spans="1:18" ht="15.75" customHeight="1" thickBot="1" x14ac:dyDescent="0.35">
      <c r="A463" s="234" t="s">
        <v>2164</v>
      </c>
      <c r="B463" s="10"/>
      <c r="C463" s="10"/>
      <c r="D463" s="10"/>
      <c r="E463" s="38" t="s">
        <v>852</v>
      </c>
      <c r="F463" s="10"/>
      <c r="G463" s="10"/>
      <c r="H463" s="10"/>
      <c r="I463" s="38" t="s">
        <v>852</v>
      </c>
      <c r="J463" s="10"/>
      <c r="K463" s="10"/>
      <c r="L463" s="10"/>
      <c r="M463" s="38" t="s">
        <v>852</v>
      </c>
      <c r="N463" s="10"/>
      <c r="O463" s="10"/>
      <c r="P463" s="10"/>
      <c r="Q463" s="38" t="s">
        <v>852</v>
      </c>
      <c r="R463" s="38" t="s">
        <v>852</v>
      </c>
    </row>
    <row r="464" spans="1:18" ht="15.75" customHeight="1" thickBot="1" x14ac:dyDescent="0.35">
      <c r="A464" s="322" t="s">
        <v>1218</v>
      </c>
      <c r="B464" s="45">
        <f>SUM(B452:B463)</f>
        <v>253</v>
      </c>
      <c r="C464" s="46">
        <f>SUM(C452:C463)</f>
        <v>133</v>
      </c>
      <c r="D464" s="46">
        <f>SUM(D452:D463)</f>
        <v>1143</v>
      </c>
      <c r="E464" s="37">
        <f>SUM(B464:D464)</f>
        <v>1529</v>
      </c>
      <c r="F464" s="46">
        <f>SUM(F452:F463)</f>
        <v>2347</v>
      </c>
      <c r="G464" s="46">
        <f>SUM(G452:G463)</f>
        <v>1029</v>
      </c>
      <c r="H464" s="46">
        <f>SUM(H452:H463)</f>
        <v>1672</v>
      </c>
      <c r="I464" s="37">
        <f>SUM(F464:H464)</f>
        <v>5048</v>
      </c>
      <c r="J464" s="46">
        <f>SUM(J452:J463)</f>
        <v>4081</v>
      </c>
      <c r="K464" s="46">
        <f>SUM(K452:K463)</f>
        <v>4055</v>
      </c>
      <c r="L464" s="46">
        <f>SUM(L452:L463)</f>
        <v>514</v>
      </c>
      <c r="M464" s="37">
        <f>SUM(J464:L464)</f>
        <v>8650</v>
      </c>
      <c r="N464" s="46">
        <f>SUM(N452:N463)</f>
        <v>72</v>
      </c>
      <c r="O464" s="46">
        <f>SUM(O452:O463)</f>
        <v>0</v>
      </c>
      <c r="P464" s="46">
        <f>SUM(P452:P463)</f>
        <v>0</v>
      </c>
      <c r="Q464" s="37">
        <f>SUM(N464:P464)</f>
        <v>72</v>
      </c>
      <c r="R464" s="37">
        <f>+E464+I464+M464+Q464</f>
        <v>15299</v>
      </c>
    </row>
    <row r="465" spans="1:18" ht="15.75" customHeight="1" x14ac:dyDescent="0.3">
      <c r="A465" s="234" t="s">
        <v>1172</v>
      </c>
      <c r="B465" s="10"/>
      <c r="C465" s="10"/>
      <c r="D465" s="10"/>
      <c r="E465" s="38" t="s">
        <v>852</v>
      </c>
      <c r="F465" s="10"/>
      <c r="G465" s="10"/>
      <c r="H465" s="10"/>
      <c r="I465" s="38" t="s">
        <v>852</v>
      </c>
      <c r="J465" s="10"/>
      <c r="K465" s="10"/>
      <c r="L465" s="10"/>
      <c r="M465" s="38" t="s">
        <v>852</v>
      </c>
      <c r="N465" s="10"/>
      <c r="O465" s="10"/>
      <c r="P465" s="10"/>
      <c r="Q465" s="38" t="s">
        <v>852</v>
      </c>
      <c r="R465" s="38" t="s">
        <v>852</v>
      </c>
    </row>
    <row r="466" spans="1:18" ht="15.75" customHeight="1" x14ac:dyDescent="0.3">
      <c r="A466" s="234" t="s">
        <v>2409</v>
      </c>
      <c r="B466" s="10"/>
      <c r="C466" s="10"/>
      <c r="D466" s="10"/>
      <c r="E466" s="38" t="s">
        <v>852</v>
      </c>
      <c r="F466" s="10"/>
      <c r="G466" s="10"/>
      <c r="H466" s="10"/>
      <c r="I466" s="38" t="s">
        <v>852</v>
      </c>
      <c r="J466" s="10"/>
      <c r="K466" s="10"/>
      <c r="L466" s="10"/>
      <c r="M466" s="38" t="s">
        <v>852</v>
      </c>
      <c r="N466" s="10"/>
      <c r="O466" s="10"/>
      <c r="P466" s="10"/>
      <c r="Q466" s="38" t="s">
        <v>852</v>
      </c>
      <c r="R466" s="38" t="s">
        <v>852</v>
      </c>
    </row>
    <row r="467" spans="1:18" ht="15.75" customHeight="1" x14ac:dyDescent="0.3">
      <c r="A467" s="310" t="s">
        <v>2478</v>
      </c>
      <c r="B467" s="10">
        <v>137</v>
      </c>
      <c r="C467" s="10">
        <v>362</v>
      </c>
      <c r="D467" s="10">
        <v>239</v>
      </c>
      <c r="E467" s="38">
        <f>SUM(B467:D467)</f>
        <v>738</v>
      </c>
      <c r="F467" s="10">
        <v>897</v>
      </c>
      <c r="G467" s="10">
        <v>0</v>
      </c>
      <c r="H467" s="10">
        <v>0</v>
      </c>
      <c r="I467" s="38">
        <f>SUM(F467:H467)</f>
        <v>897</v>
      </c>
      <c r="J467" s="10">
        <v>0</v>
      </c>
      <c r="K467" s="10">
        <v>0</v>
      </c>
      <c r="L467" s="10">
        <v>0</v>
      </c>
      <c r="M467" s="38">
        <f>SUM(J467:L467)</f>
        <v>0</v>
      </c>
      <c r="N467" s="10">
        <v>0</v>
      </c>
      <c r="O467" s="10">
        <v>0</v>
      </c>
      <c r="P467" s="10">
        <v>0</v>
      </c>
      <c r="Q467" s="38">
        <f>SUM(N467:P467)</f>
        <v>0</v>
      </c>
      <c r="R467" s="38">
        <f>+E467+I467+M467+Q467</f>
        <v>1635</v>
      </c>
    </row>
    <row r="468" spans="1:18" ht="15.75" customHeight="1" x14ac:dyDescent="0.3">
      <c r="A468" s="310" t="s">
        <v>1958</v>
      </c>
      <c r="B468" s="10">
        <v>0</v>
      </c>
      <c r="C468" s="10">
        <v>0</v>
      </c>
      <c r="D468" s="10">
        <v>0</v>
      </c>
      <c r="E468" s="38">
        <f>SUM(B468:D468)</f>
        <v>0</v>
      </c>
      <c r="F468" s="10">
        <v>0</v>
      </c>
      <c r="G468" s="10">
        <v>0</v>
      </c>
      <c r="H468" s="10">
        <v>0</v>
      </c>
      <c r="I468" s="38">
        <f>SUM(F468:H468)</f>
        <v>0</v>
      </c>
      <c r="J468" s="10">
        <v>0</v>
      </c>
      <c r="K468" s="10">
        <v>0</v>
      </c>
      <c r="L468" s="10">
        <v>0</v>
      </c>
      <c r="M468" s="38">
        <f>SUM(J468:L468)</f>
        <v>0</v>
      </c>
      <c r="N468" s="10">
        <v>0</v>
      </c>
      <c r="O468" s="10">
        <v>0</v>
      </c>
      <c r="P468" s="10">
        <v>0</v>
      </c>
      <c r="Q468" s="38">
        <f>SUM(N468:P468)</f>
        <v>0</v>
      </c>
      <c r="R468" s="38">
        <f>+E468+I468+M468+Q468</f>
        <v>0</v>
      </c>
    </row>
    <row r="469" spans="1:18" ht="15.75" customHeight="1" thickBot="1" x14ac:dyDescent="0.35">
      <c r="A469" s="234" t="s">
        <v>2165</v>
      </c>
      <c r="B469" s="10"/>
      <c r="C469" s="10"/>
      <c r="D469" s="10"/>
      <c r="E469" s="38" t="s">
        <v>852</v>
      </c>
      <c r="F469" s="10"/>
      <c r="G469" s="10"/>
      <c r="H469" s="10"/>
      <c r="I469" s="38" t="s">
        <v>852</v>
      </c>
      <c r="J469" s="10"/>
      <c r="K469" s="10"/>
      <c r="L469" s="10"/>
      <c r="M469" s="38" t="s">
        <v>852</v>
      </c>
      <c r="N469" s="10"/>
      <c r="O469" s="10"/>
      <c r="P469" s="10"/>
      <c r="Q469" s="38" t="s">
        <v>852</v>
      </c>
      <c r="R469" s="38" t="s">
        <v>852</v>
      </c>
    </row>
    <row r="470" spans="1:18" ht="15.75" customHeight="1" thickBot="1" x14ac:dyDescent="0.35">
      <c r="A470" s="43" t="s">
        <v>1219</v>
      </c>
      <c r="B470" s="45">
        <f>SUM(B465:B469)</f>
        <v>137</v>
      </c>
      <c r="C470" s="46">
        <f>SUM(C465:C469)</f>
        <v>362</v>
      </c>
      <c r="D470" s="46">
        <f>SUM(D465:D469)</f>
        <v>239</v>
      </c>
      <c r="E470" s="37">
        <f>SUM(B470:D470)</f>
        <v>738</v>
      </c>
      <c r="F470" s="46">
        <f>SUM(F465:F469)</f>
        <v>897</v>
      </c>
      <c r="G470" s="46">
        <f>SUM(G465:G469)</f>
        <v>0</v>
      </c>
      <c r="H470" s="46">
        <f>SUM(H465:H469)</f>
        <v>0</v>
      </c>
      <c r="I470" s="37">
        <f>SUM(F470:H470)</f>
        <v>897</v>
      </c>
      <c r="J470" s="46">
        <f>SUM(J465:J469)</f>
        <v>0</v>
      </c>
      <c r="K470" s="46">
        <f>SUM(K465:K469)</f>
        <v>0</v>
      </c>
      <c r="L470" s="46">
        <f>SUM(L465:L469)</f>
        <v>0</v>
      </c>
      <c r="M470" s="37">
        <f>SUM(J470:L470)</f>
        <v>0</v>
      </c>
      <c r="N470" s="46">
        <f>SUM(N465:N469)</f>
        <v>0</v>
      </c>
      <c r="O470" s="46">
        <f>SUM(O465:O469)</f>
        <v>0</v>
      </c>
      <c r="P470" s="46">
        <f>SUM(P465:P469)</f>
        <v>0</v>
      </c>
      <c r="Q470" s="37">
        <f>SUM(N470:P470)</f>
        <v>0</v>
      </c>
      <c r="R470" s="37">
        <f>+E470+I470+M470+Q470</f>
        <v>1635</v>
      </c>
    </row>
    <row r="471" spans="1:18" ht="15.75" customHeight="1" x14ac:dyDescent="0.3">
      <c r="A471" s="234" t="s">
        <v>2166</v>
      </c>
      <c r="B471" s="10"/>
      <c r="C471" s="10"/>
      <c r="D471" s="10"/>
      <c r="E471" s="38" t="s">
        <v>852</v>
      </c>
      <c r="F471" s="10"/>
      <c r="G471" s="10"/>
      <c r="H471" s="10"/>
      <c r="I471" s="38" t="s">
        <v>852</v>
      </c>
      <c r="J471" s="10"/>
      <c r="K471" s="10"/>
      <c r="L471" s="10"/>
      <c r="M471" s="38" t="s">
        <v>852</v>
      </c>
      <c r="N471" s="10"/>
      <c r="O471" s="10"/>
      <c r="P471" s="10"/>
      <c r="Q471" s="38" t="s">
        <v>852</v>
      </c>
      <c r="R471" s="38" t="s">
        <v>852</v>
      </c>
    </row>
    <row r="472" spans="1:18" ht="15.75" customHeight="1" x14ac:dyDescent="0.3">
      <c r="A472" s="234" t="s">
        <v>1245</v>
      </c>
      <c r="B472" s="10"/>
      <c r="C472" s="10"/>
      <c r="D472" s="10"/>
      <c r="E472" s="38" t="s">
        <v>852</v>
      </c>
      <c r="F472" s="10"/>
      <c r="G472" s="10"/>
      <c r="H472" s="10"/>
      <c r="I472" s="38" t="s">
        <v>852</v>
      </c>
      <c r="J472" s="10"/>
      <c r="K472" s="10"/>
      <c r="L472" s="10"/>
      <c r="M472" s="38" t="s">
        <v>852</v>
      </c>
      <c r="N472" s="10"/>
      <c r="O472" s="10"/>
      <c r="P472" s="10"/>
      <c r="Q472" s="38" t="s">
        <v>852</v>
      </c>
      <c r="R472" s="38" t="s">
        <v>852</v>
      </c>
    </row>
    <row r="473" spans="1:18" ht="15.75" customHeight="1" x14ac:dyDescent="0.3">
      <c r="A473" s="234" t="s">
        <v>1711</v>
      </c>
      <c r="B473" s="10"/>
      <c r="C473" s="10"/>
      <c r="D473" s="10"/>
      <c r="E473" s="38"/>
      <c r="F473" s="10"/>
      <c r="G473" s="10"/>
      <c r="H473" s="10"/>
      <c r="I473" s="38"/>
      <c r="J473" s="10"/>
      <c r="K473" s="10"/>
      <c r="L473" s="10"/>
      <c r="M473" s="38"/>
      <c r="N473" s="10"/>
      <c r="O473" s="10"/>
      <c r="P473" s="10"/>
      <c r="Q473" s="38"/>
      <c r="R473" s="38"/>
    </row>
    <row r="474" spans="1:18" ht="15.75" customHeight="1" thickBot="1" x14ac:dyDescent="0.35">
      <c r="A474" s="310" t="s">
        <v>2079</v>
      </c>
      <c r="B474" s="10">
        <v>0</v>
      </c>
      <c r="C474" s="10">
        <v>1000</v>
      </c>
      <c r="D474" s="10">
        <v>0</v>
      </c>
      <c r="E474" s="38">
        <f>SUM(B474:D474)</f>
        <v>1000</v>
      </c>
      <c r="F474" s="10">
        <v>1000</v>
      </c>
      <c r="G474" s="10">
        <v>1261</v>
      </c>
      <c r="H474" s="10">
        <v>0</v>
      </c>
      <c r="I474" s="38">
        <f>SUM(F474:H474)</f>
        <v>2261</v>
      </c>
      <c r="J474" s="10">
        <v>0</v>
      </c>
      <c r="K474" s="10">
        <v>0</v>
      </c>
      <c r="L474" s="10">
        <v>0</v>
      </c>
      <c r="M474" s="38">
        <f>SUM(J474:L474)</f>
        <v>0</v>
      </c>
      <c r="N474" s="10">
        <v>0</v>
      </c>
      <c r="O474" s="10">
        <v>0</v>
      </c>
      <c r="P474" s="10">
        <v>0</v>
      </c>
      <c r="Q474" s="38">
        <f>SUM(N474:P474)</f>
        <v>0</v>
      </c>
      <c r="R474" s="38">
        <f>+E474+I474+M474+Q474</f>
        <v>3261</v>
      </c>
    </row>
    <row r="475" spans="1:18" ht="15.75" customHeight="1" thickBot="1" x14ac:dyDescent="0.35">
      <c r="A475" s="277" t="s">
        <v>1220</v>
      </c>
      <c r="B475" s="45">
        <f>SUM(B471:B474)</f>
        <v>0</v>
      </c>
      <c r="C475" s="46">
        <f>SUM(C471:C474)</f>
        <v>1000</v>
      </c>
      <c r="D475" s="46">
        <f>SUM(D471:D474)</f>
        <v>0</v>
      </c>
      <c r="E475" s="37">
        <f>SUM(B475:D475)</f>
        <v>1000</v>
      </c>
      <c r="F475" s="46">
        <f>SUM(F471:F474)</f>
        <v>1000</v>
      </c>
      <c r="G475" s="46">
        <f>SUM(G471:G474)</f>
        <v>1261</v>
      </c>
      <c r="H475" s="46">
        <f>SUM(H471:H474)</f>
        <v>0</v>
      </c>
      <c r="I475" s="37">
        <f>SUM(F475:H475)</f>
        <v>2261</v>
      </c>
      <c r="J475" s="46">
        <f>SUM(J471:J474)</f>
        <v>0</v>
      </c>
      <c r="K475" s="46">
        <f>SUM(K471:K474)</f>
        <v>0</v>
      </c>
      <c r="L475" s="46">
        <f>SUM(L471:L474)</f>
        <v>0</v>
      </c>
      <c r="M475" s="37">
        <f>SUM(J475:L475)</f>
        <v>0</v>
      </c>
      <c r="N475" s="46">
        <f>SUM(N471:N474)</f>
        <v>0</v>
      </c>
      <c r="O475" s="46">
        <f>SUM(O471:O474)</f>
        <v>0</v>
      </c>
      <c r="P475" s="46">
        <f>SUM(P471:P474)</f>
        <v>0</v>
      </c>
      <c r="Q475" s="37">
        <f>SUM(N475:P475)</f>
        <v>0</v>
      </c>
      <c r="R475" s="37">
        <f>+E475+I475+M475+Q475</f>
        <v>3261</v>
      </c>
    </row>
    <row r="476" spans="1:18" ht="15.75" customHeight="1" x14ac:dyDescent="0.3">
      <c r="A476" s="234" t="s">
        <v>1712</v>
      </c>
      <c r="B476" s="10"/>
      <c r="C476" s="10"/>
      <c r="D476" s="10"/>
      <c r="E476" s="38" t="s">
        <v>852</v>
      </c>
      <c r="F476" s="10"/>
      <c r="G476" s="10"/>
      <c r="H476" s="10"/>
      <c r="I476" s="38" t="s">
        <v>852</v>
      </c>
      <c r="J476" s="10"/>
      <c r="K476" s="10"/>
      <c r="L476" s="10"/>
      <c r="M476" s="38" t="s">
        <v>852</v>
      </c>
      <c r="N476" s="10"/>
      <c r="O476" s="10"/>
      <c r="P476" s="10"/>
      <c r="Q476" s="38" t="s">
        <v>852</v>
      </c>
      <c r="R476" s="38" t="s">
        <v>852</v>
      </c>
    </row>
    <row r="477" spans="1:18" ht="15.75" customHeight="1" x14ac:dyDescent="0.3">
      <c r="A477" s="234" t="s">
        <v>1021</v>
      </c>
      <c r="B477" s="10"/>
      <c r="C477" s="10"/>
      <c r="D477" s="10"/>
      <c r="E477" s="38" t="s">
        <v>852</v>
      </c>
      <c r="F477" s="10"/>
      <c r="G477" s="10"/>
      <c r="H477" s="10"/>
      <c r="I477" s="38" t="s">
        <v>852</v>
      </c>
      <c r="J477" s="10"/>
      <c r="K477" s="10"/>
      <c r="L477" s="10"/>
      <c r="M477" s="38" t="s">
        <v>852</v>
      </c>
      <c r="N477" s="10"/>
      <c r="O477" s="10"/>
      <c r="P477" s="10"/>
      <c r="Q477" s="38" t="s">
        <v>852</v>
      </c>
      <c r="R477" s="38" t="s">
        <v>852</v>
      </c>
    </row>
    <row r="478" spans="1:18" ht="15.75" customHeight="1" x14ac:dyDescent="0.3">
      <c r="A478" s="310" t="s">
        <v>624</v>
      </c>
      <c r="B478" s="172">
        <v>0</v>
      </c>
      <c r="C478" s="172">
        <v>0</v>
      </c>
      <c r="D478" s="172">
        <v>0</v>
      </c>
      <c r="E478" s="38">
        <f>SUM(B478:D478)</f>
        <v>0</v>
      </c>
      <c r="F478" s="172">
        <v>0</v>
      </c>
      <c r="G478" s="172">
        <v>0</v>
      </c>
      <c r="H478" s="172">
        <v>0</v>
      </c>
      <c r="I478" s="38">
        <f>SUM(F478:H478)</f>
        <v>0</v>
      </c>
      <c r="J478" s="172">
        <v>0</v>
      </c>
      <c r="K478" s="172">
        <v>0</v>
      </c>
      <c r="L478" s="172">
        <v>0</v>
      </c>
      <c r="M478" s="38">
        <f>SUM(J478:L478)</f>
        <v>0</v>
      </c>
      <c r="N478" s="172">
        <v>0</v>
      </c>
      <c r="O478" s="172">
        <v>0</v>
      </c>
      <c r="P478" s="172">
        <v>500</v>
      </c>
      <c r="Q478" s="38">
        <f>SUM(N478:P478)</f>
        <v>500</v>
      </c>
      <c r="R478" s="38">
        <f>+E478+I478+M478+Q478</f>
        <v>500</v>
      </c>
    </row>
    <row r="479" spans="1:18" ht="15.75" customHeight="1" x14ac:dyDescent="0.3">
      <c r="A479" s="266" t="s">
        <v>1175</v>
      </c>
      <c r="B479" s="172">
        <v>0</v>
      </c>
      <c r="C479" s="172">
        <v>0</v>
      </c>
      <c r="D479" s="172">
        <v>0</v>
      </c>
      <c r="E479" s="38">
        <f>SUM(B479:D479)</f>
        <v>0</v>
      </c>
      <c r="F479" s="172">
        <v>0</v>
      </c>
      <c r="G479" s="172">
        <v>0</v>
      </c>
      <c r="H479" s="172">
        <v>0</v>
      </c>
      <c r="I479" s="38">
        <f>SUM(F479:H479)</f>
        <v>0</v>
      </c>
      <c r="J479" s="172">
        <v>0</v>
      </c>
      <c r="K479" s="172">
        <v>0</v>
      </c>
      <c r="L479" s="172">
        <v>0</v>
      </c>
      <c r="M479" s="38">
        <f>SUM(J479:L479)</f>
        <v>0</v>
      </c>
      <c r="N479" s="172">
        <v>0</v>
      </c>
      <c r="O479" s="172">
        <v>0</v>
      </c>
      <c r="P479" s="172">
        <v>0</v>
      </c>
      <c r="Q479" s="38">
        <f>SUM(N479:P479)</f>
        <v>0</v>
      </c>
      <c r="R479" s="38">
        <f>+E479+I479+M479+Q479</f>
        <v>0</v>
      </c>
    </row>
    <row r="480" spans="1:18" ht="15.75" customHeight="1" x14ac:dyDescent="0.3">
      <c r="A480" s="234" t="s">
        <v>557</v>
      </c>
      <c r="B480" s="10"/>
      <c r="C480" s="10"/>
      <c r="D480" s="10"/>
      <c r="E480" s="38" t="s">
        <v>852</v>
      </c>
      <c r="F480" s="10"/>
      <c r="G480" s="10"/>
      <c r="H480" s="10"/>
      <c r="I480" s="38" t="s">
        <v>852</v>
      </c>
      <c r="J480" s="10"/>
      <c r="K480" s="10"/>
      <c r="L480" s="10"/>
      <c r="M480" s="38" t="s">
        <v>852</v>
      </c>
      <c r="N480" s="10"/>
      <c r="O480" s="10"/>
      <c r="P480" s="10"/>
      <c r="Q480" s="38" t="s">
        <v>852</v>
      </c>
      <c r="R480" s="38" t="s">
        <v>852</v>
      </c>
    </row>
    <row r="481" spans="1:18" ht="15.75" customHeight="1" x14ac:dyDescent="0.3">
      <c r="A481" s="310" t="s">
        <v>792</v>
      </c>
      <c r="B481" s="172">
        <v>607</v>
      </c>
      <c r="C481" s="172">
        <v>428</v>
      </c>
      <c r="D481" s="172">
        <v>565</v>
      </c>
      <c r="E481" s="38">
        <f>SUM(B481:D481)</f>
        <v>1600</v>
      </c>
      <c r="F481" s="172">
        <v>438</v>
      </c>
      <c r="G481" s="172">
        <v>500</v>
      </c>
      <c r="H481" s="172">
        <v>471</v>
      </c>
      <c r="I481" s="38">
        <f>SUM(F481:H481)</f>
        <v>1409</v>
      </c>
      <c r="J481" s="172">
        <v>419</v>
      </c>
      <c r="K481" s="172">
        <v>349</v>
      </c>
      <c r="L481" s="172">
        <v>0</v>
      </c>
      <c r="M481" s="38">
        <f>SUM(J481:L481)</f>
        <v>768</v>
      </c>
      <c r="N481" s="172">
        <v>0</v>
      </c>
      <c r="O481" s="172">
        <v>0</v>
      </c>
      <c r="P481" s="172">
        <v>0</v>
      </c>
      <c r="Q481" s="38">
        <f>SUM(N481:P481)</f>
        <v>0</v>
      </c>
      <c r="R481" s="38">
        <f>+E481+I481+M481+Q481</f>
        <v>3777</v>
      </c>
    </row>
    <row r="482" spans="1:18" ht="15.75" customHeight="1" x14ac:dyDescent="0.3">
      <c r="A482" s="310" t="s">
        <v>2359</v>
      </c>
      <c r="B482" s="172">
        <v>0</v>
      </c>
      <c r="C482" s="172">
        <v>0</v>
      </c>
      <c r="D482" s="172">
        <v>0</v>
      </c>
      <c r="E482" s="38">
        <f>SUM(B482:D482)</f>
        <v>0</v>
      </c>
      <c r="F482" s="172">
        <v>0</v>
      </c>
      <c r="G482" s="172">
        <v>0</v>
      </c>
      <c r="H482" s="172">
        <v>0</v>
      </c>
      <c r="I482" s="38">
        <f>SUM(F482:H482)</f>
        <v>0</v>
      </c>
      <c r="J482" s="172">
        <v>0</v>
      </c>
      <c r="K482" s="172">
        <v>0</v>
      </c>
      <c r="L482" s="172">
        <v>226</v>
      </c>
      <c r="M482" s="38">
        <f>SUM(J482:L482)</f>
        <v>226</v>
      </c>
      <c r="N482" s="172">
        <v>116</v>
      </c>
      <c r="O482" s="172">
        <v>0</v>
      </c>
      <c r="P482" s="172">
        <v>204</v>
      </c>
      <c r="Q482" s="38">
        <f>SUM(N482:P482)</f>
        <v>320</v>
      </c>
      <c r="R482" s="38">
        <f>+E482+I482+M482+Q482</f>
        <v>546</v>
      </c>
    </row>
    <row r="483" spans="1:18" ht="15.75" customHeight="1" x14ac:dyDescent="0.3">
      <c r="A483" s="310" t="s">
        <v>1224</v>
      </c>
      <c r="B483" s="172">
        <v>3957</v>
      </c>
      <c r="C483" s="172">
        <v>1709</v>
      </c>
      <c r="D483" s="172">
        <v>3854</v>
      </c>
      <c r="E483" s="38">
        <f>SUM(B483:D483)</f>
        <v>9520</v>
      </c>
      <c r="F483" s="172">
        <v>2920</v>
      </c>
      <c r="G483" s="172">
        <v>2733</v>
      </c>
      <c r="H483" s="172">
        <v>3777</v>
      </c>
      <c r="I483" s="38">
        <f>SUM(F483:H483)</f>
        <v>9430</v>
      </c>
      <c r="J483" s="172">
        <v>1484</v>
      </c>
      <c r="K483" s="172">
        <v>211</v>
      </c>
      <c r="L483" s="172">
        <v>0</v>
      </c>
      <c r="M483" s="38">
        <f>SUM(J483:L483)</f>
        <v>1695</v>
      </c>
      <c r="N483" s="172">
        <v>0</v>
      </c>
      <c r="O483" s="172">
        <v>0</v>
      </c>
      <c r="P483" s="172">
        <v>0</v>
      </c>
      <c r="Q483" s="38">
        <f>SUM(N483:P483)</f>
        <v>0</v>
      </c>
      <c r="R483" s="38">
        <f>+E483+I483+M483+Q483</f>
        <v>20645</v>
      </c>
    </row>
    <row r="484" spans="1:18" ht="15.75" customHeight="1" x14ac:dyDescent="0.3">
      <c r="A484" s="310" t="s">
        <v>2180</v>
      </c>
      <c r="B484" s="172">
        <v>0</v>
      </c>
      <c r="C484" s="172">
        <v>0</v>
      </c>
      <c r="D484" s="172">
        <v>0</v>
      </c>
      <c r="E484" s="38">
        <f>SUM(B484:D484)</f>
        <v>0</v>
      </c>
      <c r="F484" s="172">
        <v>0</v>
      </c>
      <c r="G484" s="172">
        <v>0</v>
      </c>
      <c r="H484" s="172">
        <v>0</v>
      </c>
      <c r="I484" s="38">
        <f>SUM(F484:H484)</f>
        <v>0</v>
      </c>
      <c r="J484" s="172">
        <v>0</v>
      </c>
      <c r="K484" s="172">
        <v>0</v>
      </c>
      <c r="L484" s="172">
        <v>3557</v>
      </c>
      <c r="M484" s="38">
        <f>SUM(J484:L484)</f>
        <v>3557</v>
      </c>
      <c r="N484" s="172">
        <v>1657</v>
      </c>
      <c r="O484" s="172">
        <v>2066</v>
      </c>
      <c r="P484" s="172">
        <v>1174</v>
      </c>
      <c r="Q484" s="38">
        <f>SUM(N484:P484)</f>
        <v>4897</v>
      </c>
      <c r="R484" s="38">
        <f>+E484+I484+M484+Q484</f>
        <v>8454</v>
      </c>
    </row>
    <row r="485" spans="1:18" ht="15.75" customHeight="1" x14ac:dyDescent="0.3">
      <c r="A485" s="234" t="s">
        <v>1022</v>
      </c>
      <c r="B485" s="10"/>
      <c r="C485" s="10"/>
      <c r="D485" s="10"/>
      <c r="E485" s="38" t="s">
        <v>852</v>
      </c>
      <c r="F485" s="10"/>
      <c r="G485" s="10"/>
      <c r="H485" s="10"/>
      <c r="I485" s="38" t="s">
        <v>852</v>
      </c>
      <c r="J485" s="10"/>
      <c r="K485" s="10"/>
      <c r="L485" s="10"/>
      <c r="M485" s="38" t="s">
        <v>852</v>
      </c>
      <c r="N485" s="10"/>
      <c r="O485" s="10"/>
      <c r="P485" s="10"/>
      <c r="Q485" s="38" t="s">
        <v>852</v>
      </c>
      <c r="R485" s="38" t="s">
        <v>852</v>
      </c>
    </row>
    <row r="486" spans="1:18" ht="15.75" customHeight="1" x14ac:dyDescent="0.3">
      <c r="A486" s="234" t="s">
        <v>559</v>
      </c>
      <c r="B486" s="10"/>
      <c r="C486" s="10"/>
      <c r="D486" s="10"/>
      <c r="E486" s="38" t="s">
        <v>852</v>
      </c>
      <c r="F486" s="10"/>
      <c r="G486" s="10"/>
      <c r="H486" s="10"/>
      <c r="I486" s="38" t="s">
        <v>852</v>
      </c>
      <c r="J486" s="10"/>
      <c r="K486" s="10"/>
      <c r="L486" s="10"/>
      <c r="M486" s="38" t="s">
        <v>852</v>
      </c>
      <c r="N486" s="10"/>
      <c r="O486" s="10"/>
      <c r="P486" s="10"/>
      <c r="Q486" s="38" t="s">
        <v>852</v>
      </c>
      <c r="R486" s="38" t="s">
        <v>852</v>
      </c>
    </row>
    <row r="487" spans="1:18" ht="15.75" customHeight="1" thickBot="1" x14ac:dyDescent="0.35">
      <c r="A487" s="310" t="s">
        <v>1958</v>
      </c>
      <c r="B487" s="172">
        <v>0</v>
      </c>
      <c r="C487" s="172">
        <v>0</v>
      </c>
      <c r="D487" s="172">
        <v>0</v>
      </c>
      <c r="E487" s="38">
        <f>SUM(B487:D487)</f>
        <v>0</v>
      </c>
      <c r="F487" s="172">
        <v>1030</v>
      </c>
      <c r="G487" s="172">
        <v>1602</v>
      </c>
      <c r="H487" s="172">
        <v>492</v>
      </c>
      <c r="I487" s="38">
        <f>SUM(F487:H487)</f>
        <v>3124</v>
      </c>
      <c r="J487" s="172">
        <v>715</v>
      </c>
      <c r="K487" s="172">
        <v>158</v>
      </c>
      <c r="L487" s="172">
        <v>0</v>
      </c>
      <c r="M487" s="38">
        <f>SUM(J487:L487)</f>
        <v>873</v>
      </c>
      <c r="N487" s="172">
        <v>0</v>
      </c>
      <c r="O487" s="172">
        <v>0</v>
      </c>
      <c r="P487" s="172">
        <v>3</v>
      </c>
      <c r="Q487" s="38">
        <f>SUM(N487:P487)</f>
        <v>3</v>
      </c>
      <c r="R487" s="38">
        <f>+E487+I487+M487+Q487</f>
        <v>4000</v>
      </c>
    </row>
    <row r="488" spans="1:18" ht="15.75" customHeight="1" thickBot="1" x14ac:dyDescent="0.35">
      <c r="A488" s="43" t="s">
        <v>1019</v>
      </c>
      <c r="B488" s="335">
        <f>SUM(B486:B487)</f>
        <v>0</v>
      </c>
      <c r="C488" s="335">
        <f>SUM(C486:C487)</f>
        <v>0</v>
      </c>
      <c r="D488" s="335">
        <f>SUM(D486:D487)</f>
        <v>0</v>
      </c>
      <c r="E488" s="39">
        <f>SUM(B488:D488)</f>
        <v>0</v>
      </c>
      <c r="F488" s="335">
        <f>SUM(F486:F487)</f>
        <v>1030</v>
      </c>
      <c r="G488" s="335">
        <f>SUM(G486:G487)</f>
        <v>1602</v>
      </c>
      <c r="H488" s="335">
        <f>SUM(H486:H487)</f>
        <v>492</v>
      </c>
      <c r="I488" s="39">
        <f>SUM(F488:H488)</f>
        <v>3124</v>
      </c>
      <c r="J488" s="335">
        <f>SUM(J486:J487)</f>
        <v>715</v>
      </c>
      <c r="K488" s="335">
        <f>SUM(K486:K487)</f>
        <v>158</v>
      </c>
      <c r="L488" s="335">
        <f>SUM(L486:L487)</f>
        <v>0</v>
      </c>
      <c r="M488" s="39">
        <f>SUM(J488:L488)</f>
        <v>873</v>
      </c>
      <c r="N488" s="335">
        <f>SUM(N486:N487)</f>
        <v>0</v>
      </c>
      <c r="O488" s="335">
        <f>SUM(O486:O487)</f>
        <v>0</v>
      </c>
      <c r="P488" s="335">
        <f>SUM(P486:P487)</f>
        <v>3</v>
      </c>
      <c r="Q488" s="39">
        <f>SUM(N488:P488)</f>
        <v>3</v>
      </c>
      <c r="R488" s="37">
        <f>+E488+I488+M488+Q488</f>
        <v>4000</v>
      </c>
    </row>
    <row r="489" spans="1:18" ht="15.75" customHeight="1" thickBot="1" x14ac:dyDescent="0.35">
      <c r="A489" s="277" t="s">
        <v>1221</v>
      </c>
      <c r="B489" s="45">
        <f>SUM(B476:B487)</f>
        <v>4564</v>
      </c>
      <c r="C489" s="46">
        <f>SUM(C476:C487)</f>
        <v>2137</v>
      </c>
      <c r="D489" s="58">
        <f>SUM(D476:D487)</f>
        <v>4419</v>
      </c>
      <c r="E489" s="39">
        <f>SUM(B489:D489)</f>
        <v>11120</v>
      </c>
      <c r="F489" s="45">
        <f>SUM(F476:F487)</f>
        <v>4388</v>
      </c>
      <c r="G489" s="46">
        <f>SUM(G476:G487)</f>
        <v>4835</v>
      </c>
      <c r="H489" s="58">
        <f>SUM(H476:H487)</f>
        <v>4740</v>
      </c>
      <c r="I489" s="39">
        <f>SUM(F489:H489)</f>
        <v>13963</v>
      </c>
      <c r="J489" s="45">
        <f>SUM(J476:J487)</f>
        <v>2618</v>
      </c>
      <c r="K489" s="46">
        <f>SUM(K476:K487)</f>
        <v>718</v>
      </c>
      <c r="L489" s="58">
        <f>SUM(L476:L487)</f>
        <v>3783</v>
      </c>
      <c r="M489" s="39">
        <f>SUM(J489:L489)</f>
        <v>7119</v>
      </c>
      <c r="N489" s="45">
        <f>SUM(N476:N487)</f>
        <v>1773</v>
      </c>
      <c r="O489" s="46">
        <f>SUM(O476:O487)</f>
        <v>2066</v>
      </c>
      <c r="P489" s="58">
        <f>SUM(P476:P487)</f>
        <v>1881</v>
      </c>
      <c r="Q489" s="39">
        <f>SUM(N489:P489)</f>
        <v>5720</v>
      </c>
      <c r="R489" s="37">
        <f>+E489+I489+M489+Q489</f>
        <v>37922</v>
      </c>
    </row>
    <row r="490" spans="1:18" ht="15.75" customHeight="1" thickBot="1" x14ac:dyDescent="0.35">
      <c r="A490" s="43" t="s">
        <v>1222</v>
      </c>
      <c r="B490" s="337">
        <f>+B464+B470+B475+B489</f>
        <v>4954</v>
      </c>
      <c r="C490" s="338">
        <f>+C464+C470+C475+C489</f>
        <v>3632</v>
      </c>
      <c r="D490" s="338">
        <f>+D464+D470+D475+D489</f>
        <v>5801</v>
      </c>
      <c r="E490" s="37">
        <f>SUM(B490:D490)</f>
        <v>14387</v>
      </c>
      <c r="F490" s="42">
        <f>+F464+F470+F475+F489</f>
        <v>8632</v>
      </c>
      <c r="G490" s="42">
        <f>+G464+G470+G475+G489</f>
        <v>7125</v>
      </c>
      <c r="H490" s="42">
        <f>+H464+H470+H475+H489</f>
        <v>6412</v>
      </c>
      <c r="I490" s="37">
        <f>SUM(F490:H490)</f>
        <v>22169</v>
      </c>
      <c r="J490" s="42">
        <f>+J464+J470+J475+J489</f>
        <v>6699</v>
      </c>
      <c r="K490" s="42">
        <f>+K464+K470+K475+K489</f>
        <v>4773</v>
      </c>
      <c r="L490" s="42">
        <f>+L464+L470+L475+L489</f>
        <v>4297</v>
      </c>
      <c r="M490" s="37">
        <f>SUM(J490:L490)</f>
        <v>15769</v>
      </c>
      <c r="N490" s="42">
        <f>+N464+N470+N475+N489</f>
        <v>1845</v>
      </c>
      <c r="O490" s="42">
        <f>+O464+O470+O475+O489</f>
        <v>2066</v>
      </c>
      <c r="P490" s="42">
        <f>+P464+P470+P475+P489</f>
        <v>1881</v>
      </c>
      <c r="Q490" s="37">
        <f>SUM(N490:P490)</f>
        <v>5792</v>
      </c>
      <c r="R490" s="40">
        <f>+E490+I490+M490+Q490</f>
        <v>58117</v>
      </c>
    </row>
    <row r="491" spans="1:18" ht="15.75" customHeight="1" thickBot="1" x14ac:dyDescent="0.35">
      <c r="A491" s="299" t="s">
        <v>853</v>
      </c>
      <c r="B491" s="294">
        <v>17</v>
      </c>
      <c r="C491" s="294">
        <v>47</v>
      </c>
      <c r="D491" s="294">
        <v>84</v>
      </c>
      <c r="E491" s="38">
        <f>SUM(B491:D491)</f>
        <v>148</v>
      </c>
      <c r="F491" s="294">
        <v>116</v>
      </c>
      <c r="G491" s="294">
        <v>132</v>
      </c>
      <c r="H491" s="294">
        <v>138</v>
      </c>
      <c r="I491" s="38">
        <f>SUM(F491:H491)</f>
        <v>386</v>
      </c>
      <c r="J491" s="294">
        <v>126</v>
      </c>
      <c r="K491" s="294">
        <v>95</v>
      </c>
      <c r="L491" s="294">
        <v>99</v>
      </c>
      <c r="M491" s="38">
        <f>SUM(J491:L491)</f>
        <v>320</v>
      </c>
      <c r="N491" s="294">
        <v>91</v>
      </c>
      <c r="O491" s="294">
        <v>67</v>
      </c>
      <c r="P491" s="294">
        <v>38</v>
      </c>
      <c r="Q491" s="38">
        <f>SUM(N491:P491)</f>
        <v>196</v>
      </c>
      <c r="R491" s="38">
        <f>+E491+I491+M491+Q491</f>
        <v>1050</v>
      </c>
    </row>
    <row r="492" spans="1:18" ht="15.75" customHeight="1" thickBot="1" x14ac:dyDescent="0.35">
      <c r="A492" s="22"/>
      <c r="B492" s="297"/>
      <c r="C492" s="297"/>
      <c r="D492" s="297"/>
      <c r="E492" s="21"/>
      <c r="F492" s="297"/>
      <c r="G492" s="297"/>
      <c r="H492" s="297"/>
      <c r="I492" s="21"/>
      <c r="J492" s="297"/>
      <c r="K492" s="297"/>
      <c r="L492" s="297"/>
      <c r="M492" s="21"/>
      <c r="N492" s="297"/>
      <c r="O492" s="297"/>
      <c r="P492" s="297"/>
      <c r="Q492" s="21"/>
      <c r="R492" s="21"/>
    </row>
    <row r="493" spans="1:18" ht="15.75" customHeight="1" x14ac:dyDescent="0.3">
      <c r="A493" s="259" t="s">
        <v>120</v>
      </c>
      <c r="B493" s="314">
        <f>SUM(B490:B491)</f>
        <v>4971</v>
      </c>
      <c r="C493" s="314">
        <f>SUM(C490:C491)</f>
        <v>3679</v>
      </c>
      <c r="D493" s="314">
        <f>SUM(D490:D491)</f>
        <v>5885</v>
      </c>
      <c r="E493" s="39">
        <f>SUM(B493:D493)</f>
        <v>14535</v>
      </c>
      <c r="F493" s="314">
        <f>SUM(F490:F491)</f>
        <v>8748</v>
      </c>
      <c r="G493" s="314">
        <f>SUM(G490:G491)</f>
        <v>7257</v>
      </c>
      <c r="H493" s="314">
        <f>SUM(H490:H491)</f>
        <v>6550</v>
      </c>
      <c r="I493" s="39">
        <f>SUM(F493:H493)</f>
        <v>22555</v>
      </c>
      <c r="J493" s="314">
        <f>SUM(J490:J491)</f>
        <v>6825</v>
      </c>
      <c r="K493" s="314">
        <f>SUM(K490:K491)</f>
        <v>4868</v>
      </c>
      <c r="L493" s="314">
        <f>SUM(L490:L491)</f>
        <v>4396</v>
      </c>
      <c r="M493" s="39">
        <f>SUM(J493:L493)</f>
        <v>16089</v>
      </c>
      <c r="N493" s="314">
        <f>SUM(N490:N491)</f>
        <v>1936</v>
      </c>
      <c r="O493" s="314">
        <f>SUM(O490:O491)</f>
        <v>2133</v>
      </c>
      <c r="P493" s="314">
        <f>SUM(P490:P491)</f>
        <v>1919</v>
      </c>
      <c r="Q493" s="39">
        <f>SUM(N493:P493)</f>
        <v>5988</v>
      </c>
      <c r="R493" s="39">
        <f>+E493+I493+M493+Q493</f>
        <v>59167</v>
      </c>
    </row>
    <row r="494" spans="1:18" ht="15.75" customHeight="1" x14ac:dyDescent="0.3">
      <c r="A494" s="262" t="s">
        <v>1897</v>
      </c>
      <c r="B494" s="10">
        <f>(B493/31)/1.983</f>
        <v>80.864769898980029</v>
      </c>
      <c r="C494" s="10">
        <f>(C493/28)/1.983</f>
        <v>66.259635472948631</v>
      </c>
      <c r="D494" s="10">
        <f>(D493/31)/1.983</f>
        <v>95.73308607030728</v>
      </c>
      <c r="E494" s="38" t="s">
        <v>852</v>
      </c>
      <c r="F494" s="10">
        <f>(F493/30)/1.983</f>
        <v>147.0499243570348</v>
      </c>
      <c r="G494" s="10">
        <f>(G493/31)/1.983</f>
        <v>118.05182763164315</v>
      </c>
      <c r="H494" s="10">
        <f>(H493/30)/1.983</f>
        <v>110.10253824172129</v>
      </c>
      <c r="I494" s="38" t="s">
        <v>852</v>
      </c>
      <c r="J494" s="10">
        <f>(J493/31)/1.983</f>
        <v>111.02435215460446</v>
      </c>
      <c r="K494" s="10">
        <f>(K493/31)/1.983</f>
        <v>79.189237551445345</v>
      </c>
      <c r="L494" s="10">
        <f>(L493/30)/1.983</f>
        <v>73.894772230626998</v>
      </c>
      <c r="M494" s="38" t="s">
        <v>852</v>
      </c>
      <c r="N494" s="10">
        <f>(N493/31)/1.983</f>
        <v>31.493501211914172</v>
      </c>
      <c r="O494" s="10">
        <f>(O493/30)/1.983</f>
        <v>35.854765506807865</v>
      </c>
      <c r="P494" s="10">
        <f>(P493/31)/1.983</f>
        <v>31.216957038049223</v>
      </c>
      <c r="Q494" s="38" t="s">
        <v>852</v>
      </c>
      <c r="R494" s="38" t="s">
        <v>852</v>
      </c>
    </row>
    <row r="495" spans="1:18" ht="15.75" customHeight="1" x14ac:dyDescent="0.3">
      <c r="A495" s="262" t="s">
        <v>1535</v>
      </c>
      <c r="B495" s="10">
        <f>B493+B505</f>
        <v>17814</v>
      </c>
      <c r="C495" s="10">
        <f>C493+C505</f>
        <v>16536</v>
      </c>
      <c r="D495" s="10">
        <f>D493+D505</f>
        <v>25877</v>
      </c>
      <c r="E495" s="38">
        <f>SUM(B495:D495)</f>
        <v>60227</v>
      </c>
      <c r="F495" s="10">
        <f>F493+F505</f>
        <v>29641</v>
      </c>
      <c r="G495" s="10">
        <f>G493+G505</f>
        <v>27868</v>
      </c>
      <c r="H495" s="10">
        <f>H493+H505</f>
        <v>23989</v>
      </c>
      <c r="I495" s="38">
        <f>SUM(F495:H495)</f>
        <v>81498</v>
      </c>
      <c r="J495" s="10">
        <f>J493+J505</f>
        <v>23878</v>
      </c>
      <c r="K495" s="10">
        <f>K493+K505</f>
        <v>24376</v>
      </c>
      <c r="L495" s="10">
        <f>L493+L505</f>
        <v>20903</v>
      </c>
      <c r="M495" s="38">
        <f>SUM(J495:L495)</f>
        <v>69157</v>
      </c>
      <c r="N495" s="10">
        <f>N493+N505</f>
        <v>7170</v>
      </c>
      <c r="O495" s="10">
        <f>O493+O505</f>
        <v>13555</v>
      </c>
      <c r="P495" s="10">
        <f>P493+P505</f>
        <v>6962</v>
      </c>
      <c r="Q495" s="38">
        <f>SUM(N495:P495)</f>
        <v>27687</v>
      </c>
      <c r="R495" s="38">
        <f>+E495+I495+M495+Q495</f>
        <v>238569</v>
      </c>
    </row>
    <row r="496" spans="1:18" ht="15.75" customHeight="1" thickBot="1" x14ac:dyDescent="0.35">
      <c r="A496" s="263" t="s">
        <v>1536</v>
      </c>
      <c r="B496" s="315">
        <f>(B495/31)/1.983</f>
        <v>289.78575960177636</v>
      </c>
      <c r="C496" s="315">
        <f>(C495/28)/1.983</f>
        <v>297.81716014696343</v>
      </c>
      <c r="D496" s="315">
        <f>(D495/31)/1.983</f>
        <v>420.9490345354871</v>
      </c>
      <c r="E496" s="40" t="s">
        <v>852</v>
      </c>
      <c r="F496" s="315">
        <f>(F495/30)/1.983</f>
        <v>498.25180702639096</v>
      </c>
      <c r="G496" s="315">
        <f>(G495/31)/1.983</f>
        <v>453.33723748637613</v>
      </c>
      <c r="H496" s="315">
        <f>(H495/30)/1.983</f>
        <v>403.24424272987056</v>
      </c>
      <c r="I496" s="40" t="s">
        <v>852</v>
      </c>
      <c r="J496" s="315">
        <f>(J495/31)/1.983</f>
        <v>388.43069314983813</v>
      </c>
      <c r="K496" s="315">
        <f>(K495/31)/1.983</f>
        <v>396.53181071364662</v>
      </c>
      <c r="L496" s="315">
        <f>(L495/30)/1.983</f>
        <v>351.3699781475878</v>
      </c>
      <c r="M496" s="40" t="s">
        <v>852</v>
      </c>
      <c r="N496" s="315">
        <f>(N495/31)/1.983</f>
        <v>116.63657215362841</v>
      </c>
      <c r="O496" s="315">
        <f>(O495/30)/1.983</f>
        <v>227.853420742982</v>
      </c>
      <c r="P496" s="315">
        <f>(P495/31)/1.983</f>
        <v>113.25297284986905</v>
      </c>
      <c r="Q496" s="40" t="s">
        <v>852</v>
      </c>
      <c r="R496" s="40" t="s">
        <v>852</v>
      </c>
    </row>
    <row r="497" spans="1:18" ht="15.75" customHeight="1" x14ac:dyDescent="0.3">
      <c r="A497" s="17"/>
      <c r="B497" s="10"/>
      <c r="C497" s="10"/>
      <c r="D497" s="10"/>
      <c r="E497" s="10"/>
      <c r="F497" s="10"/>
      <c r="G497" s="10"/>
      <c r="H497" s="10"/>
      <c r="I497" s="10"/>
      <c r="J497" s="10"/>
      <c r="K497" s="10"/>
      <c r="L497" s="10"/>
      <c r="M497" s="10"/>
      <c r="N497" s="10"/>
      <c r="O497" s="10"/>
      <c r="P497" s="10"/>
      <c r="Q497" s="10"/>
      <c r="R497" s="17"/>
    </row>
    <row r="498" spans="1:18" ht="15.75" customHeight="1" thickBot="1" x14ac:dyDescent="0.35">
      <c r="A498" s="24"/>
      <c r="B498" s="294"/>
      <c r="C498" s="294"/>
      <c r="D498" s="294"/>
      <c r="E498" s="294"/>
      <c r="F498" s="294"/>
      <c r="G498" s="294"/>
      <c r="H498" s="294"/>
      <c r="I498" s="294"/>
      <c r="J498" s="294"/>
      <c r="K498" s="294"/>
      <c r="L498" s="294"/>
      <c r="M498" s="294"/>
      <c r="N498" s="294"/>
      <c r="O498" s="294"/>
      <c r="P498" s="294"/>
      <c r="Q498" s="294"/>
      <c r="R498" s="24"/>
    </row>
    <row r="499" spans="1:18" ht="15.75" customHeight="1" thickBot="1" x14ac:dyDescent="0.35">
      <c r="A499" s="278" t="s">
        <v>1537</v>
      </c>
      <c r="B499" s="4" t="s">
        <v>2090</v>
      </c>
      <c r="C499" s="5" t="s">
        <v>2091</v>
      </c>
      <c r="D499" s="5" t="s">
        <v>2234</v>
      </c>
      <c r="E499" s="33" t="s">
        <v>1594</v>
      </c>
      <c r="F499" s="5" t="s">
        <v>2235</v>
      </c>
      <c r="G499" s="5" t="s">
        <v>2236</v>
      </c>
      <c r="H499" s="5" t="s">
        <v>2237</v>
      </c>
      <c r="I499" s="35" t="s">
        <v>1595</v>
      </c>
      <c r="J499" s="5" t="s">
        <v>1504</v>
      </c>
      <c r="K499" s="5" t="s">
        <v>1505</v>
      </c>
      <c r="L499" s="5" t="s">
        <v>1506</v>
      </c>
      <c r="M499" s="35" t="s">
        <v>1596</v>
      </c>
      <c r="N499" s="5" t="s">
        <v>1507</v>
      </c>
      <c r="O499" s="5" t="s">
        <v>1508</v>
      </c>
      <c r="P499" s="5" t="s">
        <v>1509</v>
      </c>
      <c r="Q499" s="33" t="s">
        <v>1597</v>
      </c>
      <c r="R499" s="34" t="s">
        <v>1510</v>
      </c>
    </row>
    <row r="500" spans="1:18" ht="15.75" customHeight="1" thickBot="1" x14ac:dyDescent="0.35">
      <c r="A500" s="22"/>
      <c r="B500" s="297"/>
      <c r="C500" s="297"/>
      <c r="D500" s="297"/>
      <c r="E500" s="298"/>
      <c r="F500" s="297"/>
      <c r="G500" s="297"/>
      <c r="H500" s="297"/>
      <c r="I500" s="298"/>
      <c r="J500" s="297"/>
      <c r="K500" s="297"/>
      <c r="L500" s="297"/>
      <c r="M500" s="298"/>
      <c r="N500" s="297"/>
      <c r="O500" s="297"/>
      <c r="P500" s="297"/>
      <c r="Q500" s="323"/>
      <c r="R500" s="32"/>
    </row>
    <row r="501" spans="1:18" ht="15.75" customHeight="1" thickBot="1" x14ac:dyDescent="0.35">
      <c r="A501" s="299" t="s">
        <v>853</v>
      </c>
      <c r="B501" s="294">
        <v>20</v>
      </c>
      <c r="C501" s="294">
        <v>22</v>
      </c>
      <c r="D501" s="294">
        <v>28</v>
      </c>
      <c r="E501" s="38">
        <f>SUM(B501:D501)</f>
        <v>70</v>
      </c>
      <c r="F501" s="294">
        <v>37</v>
      </c>
      <c r="G501" s="294">
        <v>42</v>
      </c>
      <c r="H501" s="294">
        <v>44</v>
      </c>
      <c r="I501" s="38">
        <f>SUM(F501:H501)</f>
        <v>123</v>
      </c>
      <c r="J501" s="294">
        <v>39</v>
      </c>
      <c r="K501" s="294">
        <v>36</v>
      </c>
      <c r="L501" s="294">
        <v>34</v>
      </c>
      <c r="M501" s="38">
        <f>SUM(J501:L501)</f>
        <v>109</v>
      </c>
      <c r="N501" s="294">
        <v>29</v>
      </c>
      <c r="O501" s="294">
        <v>23</v>
      </c>
      <c r="P501" s="294">
        <v>19</v>
      </c>
      <c r="Q501" s="38">
        <f>SUM(N501:P501)</f>
        <v>71</v>
      </c>
      <c r="R501" s="38">
        <f>+E501+I501+M501+Q501</f>
        <v>373</v>
      </c>
    </row>
    <row r="502" spans="1:18" ht="15.75" customHeight="1" thickBot="1" x14ac:dyDescent="0.35">
      <c r="A502" s="22"/>
      <c r="B502" s="297"/>
      <c r="C502" s="297"/>
      <c r="D502" s="297"/>
      <c r="E502" s="302"/>
      <c r="F502" s="297"/>
      <c r="G502" s="297"/>
      <c r="H502" s="297"/>
      <c r="I502" s="302"/>
      <c r="J502" s="297"/>
      <c r="K502" s="297"/>
      <c r="L502" s="297"/>
      <c r="M502" s="302"/>
      <c r="N502" s="297"/>
      <c r="O502" s="297"/>
      <c r="P502" s="297"/>
      <c r="Q502" s="302"/>
      <c r="R502" s="21"/>
    </row>
    <row r="503" spans="1:18" ht="15.75" customHeight="1" x14ac:dyDescent="0.3">
      <c r="A503" s="259" t="s">
        <v>120</v>
      </c>
      <c r="B503" s="314">
        <f>B501</f>
        <v>20</v>
      </c>
      <c r="C503" s="314">
        <f>C501</f>
        <v>22</v>
      </c>
      <c r="D503" s="314">
        <f>D501</f>
        <v>28</v>
      </c>
      <c r="E503" s="39">
        <f>SUM(B503:D503)</f>
        <v>70</v>
      </c>
      <c r="F503" s="314">
        <f>F501</f>
        <v>37</v>
      </c>
      <c r="G503" s="314">
        <f>G501</f>
        <v>42</v>
      </c>
      <c r="H503" s="314">
        <f>H501</f>
        <v>44</v>
      </c>
      <c r="I503" s="39">
        <f>SUM(F503:H503)</f>
        <v>123</v>
      </c>
      <c r="J503" s="314">
        <f>J501</f>
        <v>39</v>
      </c>
      <c r="K503" s="314">
        <f>K501</f>
        <v>36</v>
      </c>
      <c r="L503" s="314">
        <f>L501</f>
        <v>34</v>
      </c>
      <c r="M503" s="39">
        <f>SUM(J503:L503)</f>
        <v>109</v>
      </c>
      <c r="N503" s="314">
        <f>N501</f>
        <v>29</v>
      </c>
      <c r="O503" s="314">
        <f>O501</f>
        <v>23</v>
      </c>
      <c r="P503" s="314">
        <f>P501</f>
        <v>19</v>
      </c>
      <c r="Q503" s="39">
        <f>SUM(N503:P503)</f>
        <v>71</v>
      </c>
      <c r="R503" s="39">
        <f>+E503+I503+M503+Q503</f>
        <v>373</v>
      </c>
    </row>
    <row r="504" spans="1:18" ht="15.75" customHeight="1" x14ac:dyDescent="0.3">
      <c r="A504" s="262" t="s">
        <v>1897</v>
      </c>
      <c r="B504" s="10">
        <f>(B503/31)/1.983</f>
        <v>0.32534608689993977</v>
      </c>
      <c r="C504" s="10">
        <f>(C503/28)/1.983</f>
        <v>0.39622505583171236</v>
      </c>
      <c r="D504" s="10">
        <f>(D503/31)/1.983</f>
        <v>0.45548452165991571</v>
      </c>
      <c r="E504" s="38" t="s">
        <v>852</v>
      </c>
      <c r="F504" s="10">
        <f>(F503/30)/1.983</f>
        <v>0.62195326945705165</v>
      </c>
      <c r="G504" s="10">
        <f>(G503/31)/1.983</f>
        <v>0.68322678248987356</v>
      </c>
      <c r="H504" s="10">
        <f>(H503/30)/1.983</f>
        <v>0.73962010421919644</v>
      </c>
      <c r="I504" s="38" t="s">
        <v>852</v>
      </c>
      <c r="J504" s="10">
        <f>(J503/31)/1.983</f>
        <v>0.63442486945488263</v>
      </c>
      <c r="K504" s="10">
        <f>(K503/31)/1.983</f>
        <v>0.5856229564198917</v>
      </c>
      <c r="L504" s="10">
        <f>(L503/30)/1.983</f>
        <v>0.57152462598756093</v>
      </c>
      <c r="M504" s="38" t="s">
        <v>852</v>
      </c>
      <c r="N504" s="10">
        <f>(N503/31)/1.983</f>
        <v>0.47175182600491267</v>
      </c>
      <c r="O504" s="10">
        <f>(O503/30)/1.983</f>
        <v>0.38661959993276179</v>
      </c>
      <c r="P504" s="10">
        <f>(P503/31)/1.983</f>
        <v>0.30907878255494281</v>
      </c>
      <c r="Q504" s="38" t="s">
        <v>852</v>
      </c>
      <c r="R504" s="38" t="s">
        <v>852</v>
      </c>
    </row>
    <row r="505" spans="1:18" ht="15.75" customHeight="1" x14ac:dyDescent="0.3">
      <c r="A505" s="262" t="s">
        <v>2019</v>
      </c>
      <c r="B505" s="10">
        <f>B503+B540</f>
        <v>12843</v>
      </c>
      <c r="C505" s="10">
        <f>C503+C540</f>
        <v>12857</v>
      </c>
      <c r="D505" s="10">
        <f>D503+D540</f>
        <v>19992</v>
      </c>
      <c r="E505" s="38">
        <f>SUM(B505:D505)</f>
        <v>45692</v>
      </c>
      <c r="F505" s="10">
        <f>F503+F540</f>
        <v>20893</v>
      </c>
      <c r="G505" s="10">
        <f>G503+G540</f>
        <v>20611</v>
      </c>
      <c r="H505" s="10">
        <f>H503+H540</f>
        <v>17439</v>
      </c>
      <c r="I505" s="38">
        <f>SUM(F505:H505)</f>
        <v>58943</v>
      </c>
      <c r="J505" s="10">
        <f>J503+J540</f>
        <v>17053</v>
      </c>
      <c r="K505" s="10">
        <f>K503+K540</f>
        <v>19508</v>
      </c>
      <c r="L505" s="10">
        <f>L503+L540</f>
        <v>16507</v>
      </c>
      <c r="M505" s="38">
        <f>SUM(J505:L505)</f>
        <v>53068</v>
      </c>
      <c r="N505" s="10">
        <f>N503+N540</f>
        <v>5234</v>
      </c>
      <c r="O505" s="10">
        <f>O503+O540</f>
        <v>11422</v>
      </c>
      <c r="P505" s="10">
        <f>P503+P540</f>
        <v>5043</v>
      </c>
      <c r="Q505" s="38">
        <f>SUM(N505:P505)</f>
        <v>21699</v>
      </c>
      <c r="R505" s="38">
        <f>+E505+I505+M505+Q505</f>
        <v>179402</v>
      </c>
    </row>
    <row r="506" spans="1:18" ht="15.75" customHeight="1" thickBot="1" x14ac:dyDescent="0.35">
      <c r="A506" s="263" t="s">
        <v>1332</v>
      </c>
      <c r="B506" s="315">
        <f>(B505/31)/1.983</f>
        <v>208.92098970279636</v>
      </c>
      <c r="C506" s="315">
        <f>(C505/28)/1.983</f>
        <v>231.55752467401484</v>
      </c>
      <c r="D506" s="315">
        <f>(D505/31)/1.983</f>
        <v>325.21594846517979</v>
      </c>
      <c r="E506" s="40" t="s">
        <v>852</v>
      </c>
      <c r="F506" s="315">
        <f>(F505/30)/1.983</f>
        <v>351.20188266935617</v>
      </c>
      <c r="G506" s="315">
        <f>(G505/31)/1.983</f>
        <v>335.28540985473296</v>
      </c>
      <c r="H506" s="315">
        <f>(H505/30)/1.983</f>
        <v>293.14170448814923</v>
      </c>
      <c r="I506" s="40" t="s">
        <v>852</v>
      </c>
      <c r="J506" s="315">
        <f>(J505/31)/1.983</f>
        <v>277.40634099523368</v>
      </c>
      <c r="K506" s="315">
        <f>(K505/31)/1.983</f>
        <v>317.34257316220123</v>
      </c>
      <c r="L506" s="315">
        <f>(L505/30)/1.983</f>
        <v>277.47520591696082</v>
      </c>
      <c r="M506" s="40" t="s">
        <v>852</v>
      </c>
      <c r="N506" s="315">
        <f>(N505/31)/1.983</f>
        <v>85.143070941714242</v>
      </c>
      <c r="O506" s="315">
        <f>(O505/30)/1.983</f>
        <v>191.99865523617416</v>
      </c>
      <c r="P506" s="315">
        <f>(P505/31)/1.983</f>
        <v>82.036015811819823</v>
      </c>
      <c r="Q506" s="40" t="s">
        <v>852</v>
      </c>
      <c r="R506" s="40" t="s">
        <v>852</v>
      </c>
    </row>
    <row r="507" spans="1:18" ht="15.75" customHeight="1" x14ac:dyDescent="0.3">
      <c r="A507" s="18"/>
      <c r="B507" s="10"/>
      <c r="C507" s="10"/>
      <c r="D507" s="10"/>
      <c r="E507" s="10"/>
      <c r="F507" s="10"/>
      <c r="G507" s="10"/>
      <c r="H507" s="10"/>
      <c r="I507" s="10"/>
      <c r="J507" s="10"/>
      <c r="K507" s="10"/>
      <c r="L507" s="10"/>
      <c r="M507" s="10"/>
      <c r="N507" s="10"/>
      <c r="O507" s="10"/>
      <c r="P507" s="10"/>
      <c r="Q507" s="10"/>
      <c r="R507" s="17"/>
    </row>
    <row r="508" spans="1:18" ht="15.75" customHeight="1" thickBot="1" x14ac:dyDescent="0.35">
      <c r="A508" s="18"/>
      <c r="B508" s="10"/>
      <c r="C508" s="10"/>
      <c r="D508" s="10"/>
      <c r="E508" s="10"/>
      <c r="F508" s="10"/>
      <c r="G508" s="10"/>
      <c r="H508" s="10"/>
      <c r="I508" s="10"/>
      <c r="J508" s="10"/>
      <c r="K508" s="10"/>
      <c r="L508" s="10"/>
      <c r="M508" s="10"/>
      <c r="N508" s="10"/>
      <c r="O508" s="10"/>
      <c r="P508" s="10"/>
      <c r="Q508" s="10"/>
      <c r="R508" s="17"/>
    </row>
    <row r="509" spans="1:18" ht="15.75" customHeight="1" thickBot="1" x14ac:dyDescent="0.35">
      <c r="A509" s="240" t="s">
        <v>1333</v>
      </c>
      <c r="B509" s="4" t="s">
        <v>2090</v>
      </c>
      <c r="C509" s="5" t="s">
        <v>2091</v>
      </c>
      <c r="D509" s="5" t="s">
        <v>2234</v>
      </c>
      <c r="E509" s="33" t="s">
        <v>1594</v>
      </c>
      <c r="F509" s="5" t="s">
        <v>2235</v>
      </c>
      <c r="G509" s="5" t="s">
        <v>2236</v>
      </c>
      <c r="H509" s="5" t="s">
        <v>2237</v>
      </c>
      <c r="I509" s="35" t="s">
        <v>1595</v>
      </c>
      <c r="J509" s="5" t="s">
        <v>1504</v>
      </c>
      <c r="K509" s="5" t="s">
        <v>1505</v>
      </c>
      <c r="L509" s="5" t="s">
        <v>1506</v>
      </c>
      <c r="M509" s="35" t="s">
        <v>1596</v>
      </c>
      <c r="N509" s="5" t="s">
        <v>1507</v>
      </c>
      <c r="O509" s="5" t="s">
        <v>1508</v>
      </c>
      <c r="P509" s="5" t="s">
        <v>1509</v>
      </c>
      <c r="Q509" s="35" t="s">
        <v>1597</v>
      </c>
      <c r="R509" s="36" t="s">
        <v>1510</v>
      </c>
    </row>
    <row r="510" spans="1:18" ht="15.75" customHeight="1" thickBot="1" x14ac:dyDescent="0.35">
      <c r="A510" s="22"/>
      <c r="B510" s="297"/>
      <c r="C510" s="297"/>
      <c r="D510" s="297"/>
      <c r="E510" s="302"/>
      <c r="F510" s="297"/>
      <c r="G510" s="297"/>
      <c r="H510" s="297"/>
      <c r="I510" s="302"/>
      <c r="J510" s="297"/>
      <c r="K510" s="297"/>
      <c r="L510" s="297"/>
      <c r="M510" s="302"/>
      <c r="N510" s="297"/>
      <c r="O510" s="297"/>
      <c r="P510" s="297"/>
      <c r="Q510" s="302"/>
      <c r="R510" s="19"/>
    </row>
    <row r="511" spans="1:18" ht="15.75" customHeight="1" x14ac:dyDescent="0.3">
      <c r="A511" s="234" t="s">
        <v>2417</v>
      </c>
      <c r="B511" s="10" t="s">
        <v>852</v>
      </c>
      <c r="C511" s="10" t="s">
        <v>852</v>
      </c>
      <c r="D511" s="10" t="s">
        <v>852</v>
      </c>
      <c r="E511" s="38" t="s">
        <v>852</v>
      </c>
      <c r="F511" s="10" t="s">
        <v>852</v>
      </c>
      <c r="G511" s="10" t="s">
        <v>852</v>
      </c>
      <c r="H511" s="10" t="s">
        <v>852</v>
      </c>
      <c r="I511" s="38" t="s">
        <v>852</v>
      </c>
      <c r="J511" s="10" t="s">
        <v>852</v>
      </c>
      <c r="K511" s="10" t="s">
        <v>852</v>
      </c>
      <c r="L511" s="10" t="s">
        <v>852</v>
      </c>
      <c r="M511" s="38" t="s">
        <v>852</v>
      </c>
      <c r="N511" s="10" t="s">
        <v>852</v>
      </c>
      <c r="O511" s="10" t="s">
        <v>852</v>
      </c>
      <c r="P511" s="10" t="s">
        <v>852</v>
      </c>
      <c r="Q511" s="38" t="s">
        <v>852</v>
      </c>
      <c r="R511" s="38" t="s">
        <v>852</v>
      </c>
    </row>
    <row r="512" spans="1:18" ht="15.75" customHeight="1" x14ac:dyDescent="0.3">
      <c r="A512" s="234" t="s">
        <v>2160</v>
      </c>
      <c r="B512" s="10"/>
      <c r="C512" s="10"/>
      <c r="D512" s="10"/>
      <c r="E512" s="38" t="s">
        <v>852</v>
      </c>
      <c r="F512" s="10"/>
      <c r="G512" s="10"/>
      <c r="H512" s="10"/>
      <c r="I512" s="38" t="s">
        <v>852</v>
      </c>
      <c r="J512" s="10"/>
      <c r="K512" s="10"/>
      <c r="L512" s="10"/>
      <c r="M512" s="38" t="s">
        <v>852</v>
      </c>
      <c r="N512" s="10"/>
      <c r="O512" s="10"/>
      <c r="P512" s="10"/>
      <c r="Q512" s="38" t="s">
        <v>852</v>
      </c>
      <c r="R512" s="38" t="s">
        <v>852</v>
      </c>
    </row>
    <row r="513" spans="1:18" ht="15.75" customHeight="1" x14ac:dyDescent="0.3">
      <c r="A513" s="310" t="s">
        <v>933</v>
      </c>
      <c r="B513" s="10">
        <v>0</v>
      </c>
      <c r="C513" s="10">
        <v>0</v>
      </c>
      <c r="D513" s="10">
        <v>0</v>
      </c>
      <c r="E513" s="38">
        <f>SUM(B513:D513)</f>
        <v>0</v>
      </c>
      <c r="F513" s="10">
        <v>381</v>
      </c>
      <c r="G513" s="10">
        <v>507</v>
      </c>
      <c r="H513" s="10">
        <v>683</v>
      </c>
      <c r="I513" s="38">
        <f>SUM(F513:H513)</f>
        <v>1571</v>
      </c>
      <c r="J513" s="10">
        <v>99</v>
      </c>
      <c r="K513" s="10">
        <v>86</v>
      </c>
      <c r="L513" s="10">
        <v>0</v>
      </c>
      <c r="M513" s="38">
        <f>SUM(J513:L513)</f>
        <v>185</v>
      </c>
      <c r="N513" s="10">
        <v>0</v>
      </c>
      <c r="O513" s="10">
        <v>0</v>
      </c>
      <c r="P513" s="10">
        <v>0</v>
      </c>
      <c r="Q513" s="38">
        <f>SUM(N513:P513)</f>
        <v>0</v>
      </c>
      <c r="R513" s="38">
        <f>+E513+I513+M513+Q513</f>
        <v>1756</v>
      </c>
    </row>
    <row r="514" spans="1:18" ht="15.75" customHeight="1" x14ac:dyDescent="0.3">
      <c r="A514" s="310" t="s">
        <v>537</v>
      </c>
      <c r="B514" s="10">
        <v>0</v>
      </c>
      <c r="C514" s="10">
        <v>0</v>
      </c>
      <c r="D514" s="10">
        <v>0</v>
      </c>
      <c r="E514" s="38">
        <f>SUM(B514:D514)</f>
        <v>0</v>
      </c>
      <c r="F514" s="10">
        <v>104</v>
      </c>
      <c r="G514" s="10">
        <v>42</v>
      </c>
      <c r="H514" s="10">
        <v>40</v>
      </c>
      <c r="I514" s="38">
        <f>SUM(F514:H514)</f>
        <v>186</v>
      </c>
      <c r="J514" s="10">
        <v>116</v>
      </c>
      <c r="K514" s="10">
        <v>57</v>
      </c>
      <c r="L514" s="10">
        <v>0</v>
      </c>
      <c r="M514" s="38">
        <f>SUM(J514:L514)</f>
        <v>173</v>
      </c>
      <c r="N514" s="10">
        <v>0</v>
      </c>
      <c r="O514" s="10">
        <v>0</v>
      </c>
      <c r="P514" s="10">
        <v>0</v>
      </c>
      <c r="Q514" s="38">
        <f>SUM(N514:P514)</f>
        <v>0</v>
      </c>
      <c r="R514" s="38">
        <f>+E514+I514+M514+Q514</f>
        <v>359</v>
      </c>
    </row>
    <row r="515" spans="1:18" ht="15.75" customHeight="1" x14ac:dyDescent="0.3">
      <c r="A515" s="234" t="s">
        <v>2161</v>
      </c>
      <c r="B515" s="10"/>
      <c r="C515" s="10"/>
      <c r="D515" s="10"/>
      <c r="E515" s="38" t="s">
        <v>852</v>
      </c>
      <c r="F515" s="10"/>
      <c r="G515" s="10"/>
      <c r="H515" s="10"/>
      <c r="I515" s="38" t="s">
        <v>852</v>
      </c>
      <c r="J515" s="10"/>
      <c r="K515" s="10"/>
      <c r="L515" s="10"/>
      <c r="M515" s="38" t="s">
        <v>852</v>
      </c>
      <c r="N515" s="10"/>
      <c r="O515" s="10"/>
      <c r="P515" s="10"/>
      <c r="Q515" s="38" t="s">
        <v>852</v>
      </c>
      <c r="R515" s="38" t="s">
        <v>852</v>
      </c>
    </row>
    <row r="516" spans="1:18" ht="15.75" customHeight="1" x14ac:dyDescent="0.3">
      <c r="A516" s="234" t="s">
        <v>2162</v>
      </c>
      <c r="B516" s="10"/>
      <c r="C516" s="10"/>
      <c r="D516" s="10"/>
      <c r="E516" s="38" t="s">
        <v>852</v>
      </c>
      <c r="F516" s="10"/>
      <c r="G516" s="10"/>
      <c r="H516" s="10"/>
      <c r="I516" s="38" t="s">
        <v>852</v>
      </c>
      <c r="J516" s="10"/>
      <c r="K516" s="10"/>
      <c r="L516" s="10"/>
      <c r="M516" s="38" t="s">
        <v>852</v>
      </c>
      <c r="N516" s="10"/>
      <c r="O516" s="10"/>
      <c r="P516" s="10"/>
      <c r="Q516" s="38" t="s">
        <v>852</v>
      </c>
      <c r="R516" s="38" t="s">
        <v>852</v>
      </c>
    </row>
    <row r="517" spans="1:18" ht="15.75" customHeight="1" thickBot="1" x14ac:dyDescent="0.35">
      <c r="A517" s="234" t="s">
        <v>2164</v>
      </c>
      <c r="B517" s="10"/>
      <c r="C517" s="10"/>
      <c r="D517" s="10"/>
      <c r="E517" s="38" t="s">
        <v>852</v>
      </c>
      <c r="F517" s="10"/>
      <c r="G517" s="10"/>
      <c r="H517" s="10"/>
      <c r="I517" s="38" t="s">
        <v>852</v>
      </c>
      <c r="J517" s="10"/>
      <c r="K517" s="10"/>
      <c r="L517" s="10"/>
      <c r="M517" s="38" t="s">
        <v>852</v>
      </c>
      <c r="N517" s="10"/>
      <c r="O517" s="10"/>
      <c r="P517" s="10"/>
      <c r="Q517" s="38" t="s">
        <v>852</v>
      </c>
      <c r="R517" s="38" t="s">
        <v>852</v>
      </c>
    </row>
    <row r="518" spans="1:18" ht="15.75" customHeight="1" thickBot="1" x14ac:dyDescent="0.35">
      <c r="A518" s="322" t="s">
        <v>1218</v>
      </c>
      <c r="B518" s="45">
        <f>SUM(B511:B517)</f>
        <v>0</v>
      </c>
      <c r="C518" s="46">
        <f>SUM(C511:C517)</f>
        <v>0</v>
      </c>
      <c r="D518" s="46">
        <f>SUM(D511:D517)</f>
        <v>0</v>
      </c>
      <c r="E518" s="37">
        <f>SUM(B518:D518)</f>
        <v>0</v>
      </c>
      <c r="F518" s="46">
        <f>SUM(F511:F517)</f>
        <v>485</v>
      </c>
      <c r="G518" s="46">
        <f>SUM(G511:G517)</f>
        <v>549</v>
      </c>
      <c r="H518" s="46">
        <f>SUM(H511:H517)</f>
        <v>723</v>
      </c>
      <c r="I518" s="37">
        <f>SUM(F518:H518)</f>
        <v>1757</v>
      </c>
      <c r="J518" s="46">
        <f>SUM(J511:J517)</f>
        <v>215</v>
      </c>
      <c r="K518" s="46">
        <f>SUM(K511:K517)</f>
        <v>143</v>
      </c>
      <c r="L518" s="46">
        <f>SUM(L511:L517)</f>
        <v>0</v>
      </c>
      <c r="M518" s="37">
        <f>SUM(J518:L518)</f>
        <v>358</v>
      </c>
      <c r="N518" s="46">
        <f>SUM(N511:N517)</f>
        <v>0</v>
      </c>
      <c r="O518" s="46">
        <f>SUM(O511:O517)</f>
        <v>0</v>
      </c>
      <c r="P518" s="46">
        <f>SUM(P511:P517)</f>
        <v>0</v>
      </c>
      <c r="Q518" s="37">
        <f>SUM(N518:P518)</f>
        <v>0</v>
      </c>
      <c r="R518" s="37">
        <f>+E518+I518+M518+Q518</f>
        <v>2115</v>
      </c>
    </row>
    <row r="519" spans="1:18" ht="15.75" customHeight="1" x14ac:dyDescent="0.3">
      <c r="A519" s="234" t="s">
        <v>1172</v>
      </c>
      <c r="B519" s="10"/>
      <c r="C519" s="10"/>
      <c r="D519" s="10"/>
      <c r="E519" s="38" t="s">
        <v>852</v>
      </c>
      <c r="F519" s="10"/>
      <c r="G519" s="10"/>
      <c r="H519" s="10"/>
      <c r="I519" s="38" t="s">
        <v>852</v>
      </c>
      <c r="J519" s="10"/>
      <c r="K519" s="10"/>
      <c r="L519" s="10"/>
      <c r="M519" s="38" t="s">
        <v>852</v>
      </c>
      <c r="N519" s="10"/>
      <c r="O519" s="10"/>
      <c r="P519" s="10"/>
      <c r="Q519" s="38" t="s">
        <v>852</v>
      </c>
      <c r="R519" s="38" t="s">
        <v>852</v>
      </c>
    </row>
    <row r="520" spans="1:18" ht="15.75" customHeight="1" x14ac:dyDescent="0.3">
      <c r="A520" s="234" t="s">
        <v>2409</v>
      </c>
      <c r="B520" s="10"/>
      <c r="C520" s="10"/>
      <c r="D520" s="10"/>
      <c r="E520" s="38" t="s">
        <v>852</v>
      </c>
      <c r="F520" s="10"/>
      <c r="G520" s="10"/>
      <c r="H520" s="10"/>
      <c r="I520" s="38" t="s">
        <v>852</v>
      </c>
      <c r="J520" s="10"/>
      <c r="K520" s="10"/>
      <c r="L520" s="10"/>
      <c r="M520" s="38" t="s">
        <v>852</v>
      </c>
      <c r="N520" s="10"/>
      <c r="O520" s="10"/>
      <c r="P520" s="10"/>
      <c r="Q520" s="38" t="s">
        <v>852</v>
      </c>
      <c r="R520" s="38" t="s">
        <v>852</v>
      </c>
    </row>
    <row r="521" spans="1:18" ht="15.75" customHeight="1" thickBot="1" x14ac:dyDescent="0.35">
      <c r="A521" s="234" t="s">
        <v>2165</v>
      </c>
      <c r="B521" s="10"/>
      <c r="C521" s="10"/>
      <c r="D521" s="10"/>
      <c r="E521" s="38" t="s">
        <v>852</v>
      </c>
      <c r="F521" s="10"/>
      <c r="G521" s="10"/>
      <c r="H521" s="10"/>
      <c r="I521" s="38" t="s">
        <v>852</v>
      </c>
      <c r="J521" s="10"/>
      <c r="K521" s="10"/>
      <c r="L521" s="10"/>
      <c r="M521" s="38" t="s">
        <v>852</v>
      </c>
      <c r="N521" s="10"/>
      <c r="O521" s="10"/>
      <c r="P521" s="10"/>
      <c r="Q521" s="38" t="s">
        <v>852</v>
      </c>
      <c r="R521" s="38" t="s">
        <v>852</v>
      </c>
    </row>
    <row r="522" spans="1:18" ht="15.75" customHeight="1" thickBot="1" x14ac:dyDescent="0.35">
      <c r="A522" s="43" t="s">
        <v>1219</v>
      </c>
      <c r="B522" s="45">
        <f>SUM(B519:B521)</f>
        <v>0</v>
      </c>
      <c r="C522" s="46">
        <f>SUM(C519:C521)</f>
        <v>0</v>
      </c>
      <c r="D522" s="46">
        <f>SUM(D519:D521)</f>
        <v>0</v>
      </c>
      <c r="E522" s="37">
        <f>SUM(B522:D522)</f>
        <v>0</v>
      </c>
      <c r="F522" s="46">
        <f>SUM(F519:F521)</f>
        <v>0</v>
      </c>
      <c r="G522" s="46">
        <f>SUM(G519:G521)</f>
        <v>0</v>
      </c>
      <c r="H522" s="46">
        <f>SUM(H519:H521)</f>
        <v>0</v>
      </c>
      <c r="I522" s="37">
        <f>SUM(F522:H522)</f>
        <v>0</v>
      </c>
      <c r="J522" s="46">
        <f>SUM(J519:J521)</f>
        <v>0</v>
      </c>
      <c r="K522" s="46">
        <f>SUM(K519:K521)</f>
        <v>0</v>
      </c>
      <c r="L522" s="46">
        <f>SUM(L519:L521)</f>
        <v>0</v>
      </c>
      <c r="M522" s="37">
        <f>SUM(J522:L522)</f>
        <v>0</v>
      </c>
      <c r="N522" s="46">
        <f>SUM(N519:N521)</f>
        <v>0</v>
      </c>
      <c r="O522" s="46">
        <f>SUM(O519:O521)</f>
        <v>0</v>
      </c>
      <c r="P522" s="46">
        <f>SUM(P519:P521)</f>
        <v>0</v>
      </c>
      <c r="Q522" s="37">
        <f>SUM(N522:P522)</f>
        <v>0</v>
      </c>
      <c r="R522" s="37">
        <f>+E522+I522+M522+Q522</f>
        <v>0</v>
      </c>
    </row>
    <row r="523" spans="1:18" ht="15.75" customHeight="1" x14ac:dyDescent="0.3">
      <c r="A523" s="234" t="s">
        <v>2166</v>
      </c>
      <c r="B523" s="10"/>
      <c r="C523" s="10"/>
      <c r="D523" s="10"/>
      <c r="E523" s="38" t="s">
        <v>852</v>
      </c>
      <c r="F523" s="10"/>
      <c r="G523" s="10"/>
      <c r="H523" s="10"/>
      <c r="I523" s="38" t="s">
        <v>852</v>
      </c>
      <c r="J523" s="10"/>
      <c r="K523" s="10"/>
      <c r="L523" s="10"/>
      <c r="M523" s="38" t="s">
        <v>852</v>
      </c>
      <c r="N523" s="10"/>
      <c r="O523" s="10"/>
      <c r="P523" s="10"/>
      <c r="Q523" s="38" t="s">
        <v>852</v>
      </c>
      <c r="R523" s="38" t="s">
        <v>852</v>
      </c>
    </row>
    <row r="524" spans="1:18" ht="15.75" customHeight="1" x14ac:dyDescent="0.3">
      <c r="A524" s="234" t="s">
        <v>1245</v>
      </c>
      <c r="B524" s="10"/>
      <c r="C524" s="10"/>
      <c r="D524" s="10"/>
      <c r="E524" s="38" t="s">
        <v>852</v>
      </c>
      <c r="F524" s="10"/>
      <c r="G524" s="10"/>
      <c r="H524" s="10"/>
      <c r="I524" s="38" t="s">
        <v>852</v>
      </c>
      <c r="J524" s="10"/>
      <c r="K524" s="10"/>
      <c r="L524" s="10"/>
      <c r="M524" s="38" t="s">
        <v>852</v>
      </c>
      <c r="N524" s="10"/>
      <c r="O524" s="10"/>
      <c r="P524" s="10"/>
      <c r="Q524" s="38" t="s">
        <v>852</v>
      </c>
      <c r="R524" s="38" t="s">
        <v>852</v>
      </c>
    </row>
    <row r="525" spans="1:18" ht="15.75" customHeight="1" thickBot="1" x14ac:dyDescent="0.35">
      <c r="A525" s="234" t="s">
        <v>1711</v>
      </c>
      <c r="B525" s="10"/>
      <c r="C525" s="10"/>
      <c r="D525" s="10"/>
      <c r="E525" s="38" t="s">
        <v>852</v>
      </c>
      <c r="F525" s="10"/>
      <c r="G525" s="10"/>
      <c r="H525" s="10"/>
      <c r="I525" s="38" t="s">
        <v>852</v>
      </c>
      <c r="J525" s="10"/>
      <c r="K525" s="10"/>
      <c r="L525" s="10"/>
      <c r="M525" s="38" t="s">
        <v>852</v>
      </c>
      <c r="N525" s="10"/>
      <c r="O525" s="10"/>
      <c r="P525" s="10"/>
      <c r="Q525" s="38" t="s">
        <v>852</v>
      </c>
      <c r="R525" s="38" t="s">
        <v>852</v>
      </c>
    </row>
    <row r="526" spans="1:18" ht="15.75" customHeight="1" thickBot="1" x14ac:dyDescent="0.35">
      <c r="A526" s="277" t="s">
        <v>1220</v>
      </c>
      <c r="B526" s="45">
        <f>SUM(B523:B525)</f>
        <v>0</v>
      </c>
      <c r="C526" s="46">
        <f>SUM(C523:C525)</f>
        <v>0</v>
      </c>
      <c r="D526" s="46">
        <f>SUM(D523:D525)</f>
        <v>0</v>
      </c>
      <c r="E526" s="37">
        <f>SUM(B526:D526)</f>
        <v>0</v>
      </c>
      <c r="F526" s="46">
        <f>SUM(F523:F525)</f>
        <v>0</v>
      </c>
      <c r="G526" s="46">
        <f>SUM(G523:G525)</f>
        <v>0</v>
      </c>
      <c r="H526" s="46">
        <f>SUM(H523:H525)</f>
        <v>0</v>
      </c>
      <c r="I526" s="37">
        <f>SUM(F526:H526)</f>
        <v>0</v>
      </c>
      <c r="J526" s="46">
        <f>SUM(J523:J525)</f>
        <v>0</v>
      </c>
      <c r="K526" s="46">
        <f>SUM(K523:K525)</f>
        <v>0</v>
      </c>
      <c r="L526" s="46">
        <f>SUM(L523:L525)</f>
        <v>0</v>
      </c>
      <c r="M526" s="37">
        <f>SUM(J526:L526)</f>
        <v>0</v>
      </c>
      <c r="N526" s="46">
        <f>SUM(N523:N525)</f>
        <v>0</v>
      </c>
      <c r="O526" s="46">
        <f>SUM(O523:O525)</f>
        <v>0</v>
      </c>
      <c r="P526" s="46">
        <f>SUM(P523:P525)</f>
        <v>0</v>
      </c>
      <c r="Q526" s="37">
        <f>SUM(N526:P526)</f>
        <v>0</v>
      </c>
      <c r="R526" s="37">
        <f>+E526+I526+M526+Q526</f>
        <v>0</v>
      </c>
    </row>
    <row r="527" spans="1:18" ht="15.75" customHeight="1" x14ac:dyDescent="0.3">
      <c r="A527" s="234" t="s">
        <v>1712</v>
      </c>
      <c r="B527" s="10"/>
      <c r="C527" s="10"/>
      <c r="D527" s="10"/>
      <c r="E527" s="38" t="s">
        <v>852</v>
      </c>
      <c r="F527" s="10"/>
      <c r="G527" s="10"/>
      <c r="H527" s="10"/>
      <c r="I527" s="38" t="s">
        <v>852</v>
      </c>
      <c r="J527" s="10"/>
      <c r="K527" s="10"/>
      <c r="L527" s="10"/>
      <c r="M527" s="38" t="s">
        <v>852</v>
      </c>
      <c r="N527" s="10"/>
      <c r="O527" s="10"/>
      <c r="P527" s="10"/>
      <c r="Q527" s="38" t="s">
        <v>852</v>
      </c>
      <c r="R527" s="38" t="s">
        <v>852</v>
      </c>
    </row>
    <row r="528" spans="1:18" ht="15.75" customHeight="1" x14ac:dyDescent="0.3">
      <c r="A528" s="234" t="s">
        <v>556</v>
      </c>
      <c r="B528" s="10"/>
      <c r="C528" s="10"/>
      <c r="D528" s="10"/>
      <c r="E528" s="38" t="s">
        <v>852</v>
      </c>
      <c r="F528" s="10"/>
      <c r="G528" s="10"/>
      <c r="H528" s="10"/>
      <c r="I528" s="38" t="s">
        <v>852</v>
      </c>
      <c r="J528" s="10"/>
      <c r="K528" s="10"/>
      <c r="L528" s="10"/>
      <c r="M528" s="38" t="s">
        <v>852</v>
      </c>
      <c r="N528" s="10"/>
      <c r="O528" s="10"/>
      <c r="P528" s="10"/>
      <c r="Q528" s="38" t="s">
        <v>852</v>
      </c>
      <c r="R528" s="38" t="s">
        <v>852</v>
      </c>
    </row>
    <row r="529" spans="1:18" ht="15.75" customHeight="1" x14ac:dyDescent="0.3">
      <c r="A529" s="234" t="s">
        <v>557</v>
      </c>
      <c r="B529" s="10"/>
      <c r="C529" s="10"/>
      <c r="D529" s="10"/>
      <c r="E529" s="38" t="s">
        <v>852</v>
      </c>
      <c r="F529" s="10"/>
      <c r="G529" s="10"/>
      <c r="H529" s="10"/>
      <c r="I529" s="38" t="s">
        <v>852</v>
      </c>
      <c r="J529" s="10"/>
      <c r="K529" s="10"/>
      <c r="L529" s="10"/>
      <c r="M529" s="38" t="s">
        <v>852</v>
      </c>
      <c r="N529" s="10"/>
      <c r="O529" s="10"/>
      <c r="P529" s="10"/>
      <c r="Q529" s="38" t="s">
        <v>852</v>
      </c>
      <c r="R529" s="38" t="s">
        <v>852</v>
      </c>
    </row>
    <row r="530" spans="1:18" ht="15.75" customHeight="1" x14ac:dyDescent="0.3">
      <c r="A530" s="310" t="s">
        <v>714</v>
      </c>
      <c r="B530" s="10">
        <v>0</v>
      </c>
      <c r="C530" s="10">
        <v>0</v>
      </c>
      <c r="D530" s="10">
        <v>0</v>
      </c>
      <c r="E530" s="38">
        <f>SUM(B530:D530)</f>
        <v>0</v>
      </c>
      <c r="F530" s="10">
        <v>0</v>
      </c>
      <c r="G530" s="10">
        <v>0</v>
      </c>
      <c r="H530" s="10">
        <v>0</v>
      </c>
      <c r="I530" s="38">
        <f>SUM(F530:H530)</f>
        <v>0</v>
      </c>
      <c r="J530" s="10">
        <v>0</v>
      </c>
      <c r="K530" s="10">
        <v>0</v>
      </c>
      <c r="L530" s="10">
        <v>0</v>
      </c>
      <c r="M530" s="38">
        <f>SUM(J530:L530)</f>
        <v>0</v>
      </c>
      <c r="N530" s="10">
        <v>0</v>
      </c>
      <c r="O530" s="10">
        <v>0</v>
      </c>
      <c r="P530" s="10">
        <v>0</v>
      </c>
      <c r="Q530" s="38">
        <f>SUM(N530:P530)</f>
        <v>0</v>
      </c>
      <c r="R530" s="38">
        <f>+E530+I530+M530+Q530</f>
        <v>0</v>
      </c>
    </row>
    <row r="531" spans="1:18" ht="15.75" customHeight="1" x14ac:dyDescent="0.3">
      <c r="A531" s="234" t="s">
        <v>558</v>
      </c>
      <c r="B531" s="10"/>
      <c r="C531" s="10"/>
      <c r="D531" s="10"/>
      <c r="E531" s="38" t="s">
        <v>852</v>
      </c>
      <c r="F531" s="10"/>
      <c r="G531" s="10"/>
      <c r="H531" s="10"/>
      <c r="I531" s="38" t="s">
        <v>852</v>
      </c>
      <c r="J531" s="10"/>
      <c r="K531" s="10"/>
      <c r="L531" s="10"/>
      <c r="M531" s="38" t="s">
        <v>852</v>
      </c>
      <c r="N531" s="10"/>
      <c r="O531" s="10"/>
      <c r="P531" s="10"/>
      <c r="Q531" s="38" t="s">
        <v>852</v>
      </c>
      <c r="R531" s="38" t="s">
        <v>852</v>
      </c>
    </row>
    <row r="532" spans="1:18" ht="15.75" customHeight="1" thickBot="1" x14ac:dyDescent="0.35">
      <c r="A532" s="234" t="s">
        <v>559</v>
      </c>
      <c r="B532" s="10"/>
      <c r="C532" s="10"/>
      <c r="D532" s="10"/>
      <c r="E532" s="38" t="s">
        <v>852</v>
      </c>
      <c r="F532" s="10"/>
      <c r="G532" s="10"/>
      <c r="H532" s="10"/>
      <c r="I532" s="38" t="s">
        <v>852</v>
      </c>
      <c r="J532" s="10"/>
      <c r="K532" s="10"/>
      <c r="L532" s="10"/>
      <c r="M532" s="38" t="s">
        <v>852</v>
      </c>
      <c r="N532" s="10"/>
      <c r="O532" s="10"/>
      <c r="P532" s="10"/>
      <c r="Q532" s="38" t="s">
        <v>852</v>
      </c>
      <c r="R532" s="38" t="s">
        <v>852</v>
      </c>
    </row>
    <row r="533" spans="1:18" ht="15.75" customHeight="1" thickBot="1" x14ac:dyDescent="0.35">
      <c r="A533" s="43" t="s">
        <v>1019</v>
      </c>
      <c r="B533" s="42">
        <f>SUM(B531:B532)</f>
        <v>0</v>
      </c>
      <c r="C533" s="42">
        <f>SUM(C531:C532)</f>
        <v>0</v>
      </c>
      <c r="D533" s="42">
        <f>SUM(D531:D532)</f>
        <v>0</v>
      </c>
      <c r="E533" s="39">
        <f>SUM(B533:D533)</f>
        <v>0</v>
      </c>
      <c r="F533" s="42">
        <f>SUM(F531:F532)</f>
        <v>0</v>
      </c>
      <c r="G533" s="42">
        <f>SUM(G531:G532)</f>
        <v>0</v>
      </c>
      <c r="H533" s="42">
        <f>SUM(H531:H532)</f>
        <v>0</v>
      </c>
      <c r="I533" s="39">
        <f>SUM(F533:H533)</f>
        <v>0</v>
      </c>
      <c r="J533" s="42">
        <f>SUM(J531:J532)</f>
        <v>0</v>
      </c>
      <c r="K533" s="42">
        <f>SUM(K531:K532)</f>
        <v>0</v>
      </c>
      <c r="L533" s="42">
        <f>SUM(L531:L532)</f>
        <v>0</v>
      </c>
      <c r="M533" s="39">
        <f>SUM(J533:L533)</f>
        <v>0</v>
      </c>
      <c r="N533" s="42">
        <f>SUM(N531:N532)</f>
        <v>0</v>
      </c>
      <c r="O533" s="42">
        <f>SUM(O531:O532)</f>
        <v>0</v>
      </c>
      <c r="P533" s="42">
        <f>SUM(P531:P532)</f>
        <v>0</v>
      </c>
      <c r="Q533" s="39">
        <f>SUM(N533:P533)</f>
        <v>0</v>
      </c>
      <c r="R533" s="37">
        <f>+E533+I533+M533+Q533</f>
        <v>0</v>
      </c>
    </row>
    <row r="534" spans="1:18" ht="15.75" customHeight="1" thickBot="1" x14ac:dyDescent="0.35">
      <c r="A534" s="277" t="s">
        <v>1221</v>
      </c>
      <c r="B534" s="45">
        <f>SUM(B527:B532)</f>
        <v>0</v>
      </c>
      <c r="C534" s="46">
        <f>SUM(C527:C532)</f>
        <v>0</v>
      </c>
      <c r="D534" s="58">
        <f>SUM(D527:D532)</f>
        <v>0</v>
      </c>
      <c r="E534" s="39">
        <f>SUM(B534:D534)</f>
        <v>0</v>
      </c>
      <c r="F534" s="46">
        <f>SUM(F527:F532)</f>
        <v>0</v>
      </c>
      <c r="G534" s="46">
        <f>SUM(G527:G532)</f>
        <v>0</v>
      </c>
      <c r="H534" s="46">
        <f>SUM(H527:H532)</f>
        <v>0</v>
      </c>
      <c r="I534" s="39">
        <f>SUM(F534:H534)</f>
        <v>0</v>
      </c>
      <c r="J534" s="46">
        <f>SUM(J527:J532)</f>
        <v>0</v>
      </c>
      <c r="K534" s="46">
        <f>SUM(K527:K532)</f>
        <v>0</v>
      </c>
      <c r="L534" s="46">
        <f>SUM(L527:L532)</f>
        <v>0</v>
      </c>
      <c r="M534" s="39">
        <f>SUM(J534:L534)</f>
        <v>0</v>
      </c>
      <c r="N534" s="46">
        <f>SUM(N527:N532)</f>
        <v>0</v>
      </c>
      <c r="O534" s="46">
        <f>SUM(O527:O532)</f>
        <v>0</v>
      </c>
      <c r="P534" s="46">
        <f>SUM(P527:P532)</f>
        <v>0</v>
      </c>
      <c r="Q534" s="39">
        <f>SUM(N534:P534)</f>
        <v>0</v>
      </c>
      <c r="R534" s="37">
        <f>+E534+I534+M534+Q534</f>
        <v>0</v>
      </c>
    </row>
    <row r="535" spans="1:18" ht="15.75" customHeight="1" thickBot="1" x14ac:dyDescent="0.35">
      <c r="A535" s="43" t="s">
        <v>1222</v>
      </c>
      <c r="B535" s="47">
        <f>+B518+B522+B526+B534</f>
        <v>0</v>
      </c>
      <c r="C535" s="42">
        <f>+C518+C522+C526+C534</f>
        <v>0</v>
      </c>
      <c r="D535" s="42">
        <f>+D518+D522+D526+D534</f>
        <v>0</v>
      </c>
      <c r="E535" s="37">
        <f>SUM(B535:D535)</f>
        <v>0</v>
      </c>
      <c r="F535" s="42">
        <f>+F518+F522+F526+F534</f>
        <v>485</v>
      </c>
      <c r="G535" s="42">
        <f>+G518+G522+G526+G534</f>
        <v>549</v>
      </c>
      <c r="H535" s="42">
        <f>+H518+H522+H526+H534</f>
        <v>723</v>
      </c>
      <c r="I535" s="37">
        <f>SUM(F535:H535)</f>
        <v>1757</v>
      </c>
      <c r="J535" s="42">
        <f>+J518+J522+J526+J534</f>
        <v>215</v>
      </c>
      <c r="K535" s="42">
        <f>+K518+K522+K526+K534</f>
        <v>143</v>
      </c>
      <c r="L535" s="42">
        <f>+L518+L522+L526+L534</f>
        <v>0</v>
      </c>
      <c r="M535" s="37">
        <f>SUM(J535:L535)</f>
        <v>358</v>
      </c>
      <c r="N535" s="42">
        <f>+N518+N522+N526+N534</f>
        <v>0</v>
      </c>
      <c r="O535" s="42">
        <f>+O518+O522+O526+O534</f>
        <v>0</v>
      </c>
      <c r="P535" s="42">
        <f>+P518+P522+P526+P534</f>
        <v>0</v>
      </c>
      <c r="Q535" s="37">
        <f>SUM(N535:P535)</f>
        <v>0</v>
      </c>
      <c r="R535" s="40">
        <f>+E535+I535+M535+Q535</f>
        <v>2115</v>
      </c>
    </row>
    <row r="536" spans="1:18" ht="15.75" customHeight="1" thickBot="1" x14ac:dyDescent="0.35">
      <c r="A536" s="299" t="s">
        <v>853</v>
      </c>
      <c r="B536" s="294">
        <v>10</v>
      </c>
      <c r="C536" s="294">
        <v>11</v>
      </c>
      <c r="D536" s="294">
        <v>14</v>
      </c>
      <c r="E536" s="38">
        <f>SUM(B536:D536)</f>
        <v>35</v>
      </c>
      <c r="F536" s="294">
        <v>18</v>
      </c>
      <c r="G536" s="294">
        <v>21</v>
      </c>
      <c r="H536" s="294">
        <v>22</v>
      </c>
      <c r="I536" s="38">
        <f>SUM(F536:H536)</f>
        <v>61</v>
      </c>
      <c r="J536" s="294">
        <v>19</v>
      </c>
      <c r="K536" s="294">
        <v>17</v>
      </c>
      <c r="L536" s="294">
        <v>17</v>
      </c>
      <c r="M536" s="38">
        <f>SUM(J536:L536)</f>
        <v>53</v>
      </c>
      <c r="N536" s="294">
        <v>14</v>
      </c>
      <c r="O536" s="294">
        <v>11</v>
      </c>
      <c r="P536" s="294">
        <v>9</v>
      </c>
      <c r="Q536" s="38">
        <f>SUM(N536:P536)</f>
        <v>34</v>
      </c>
      <c r="R536" s="38">
        <f>+E536+I536+M536+Q536</f>
        <v>183</v>
      </c>
    </row>
    <row r="537" spans="1:18" ht="15.75" customHeight="1" thickBot="1" x14ac:dyDescent="0.35">
      <c r="A537" s="22"/>
      <c r="B537" s="297"/>
      <c r="C537" s="297"/>
      <c r="D537" s="297"/>
      <c r="E537" s="302"/>
      <c r="F537" s="297"/>
      <c r="G537" s="297"/>
      <c r="H537" s="297"/>
      <c r="I537" s="302"/>
      <c r="J537" s="297"/>
      <c r="K537" s="297"/>
      <c r="L537" s="297"/>
      <c r="M537" s="324"/>
      <c r="N537" s="297"/>
      <c r="O537" s="297"/>
      <c r="P537" s="297"/>
      <c r="Q537" s="324"/>
      <c r="R537" s="14"/>
    </row>
    <row r="538" spans="1:18" ht="15.75" customHeight="1" x14ac:dyDescent="0.3">
      <c r="A538" s="234" t="s">
        <v>120</v>
      </c>
      <c r="B538" s="10">
        <f>SUM(B535:B536)</f>
        <v>10</v>
      </c>
      <c r="C538" s="10">
        <f>SUM(C535:C536)</f>
        <v>11</v>
      </c>
      <c r="D538" s="10">
        <f>SUM(D535:D536)</f>
        <v>14</v>
      </c>
      <c r="E538" s="38">
        <f>SUM(B538:D538)</f>
        <v>35</v>
      </c>
      <c r="F538" s="10">
        <f>SUM(F535:F536)</f>
        <v>503</v>
      </c>
      <c r="G538" s="10">
        <f>SUM(G535:G536)</f>
        <v>570</v>
      </c>
      <c r="H538" s="10">
        <f>SUM(H535:H536)</f>
        <v>745</v>
      </c>
      <c r="I538" s="39">
        <f>SUM(F538:H538)</f>
        <v>1818</v>
      </c>
      <c r="J538" s="10">
        <f>SUM(J535:J536)</f>
        <v>234</v>
      </c>
      <c r="K538" s="10">
        <f>SUM(K535:K536)</f>
        <v>160</v>
      </c>
      <c r="L538" s="10">
        <f>SUM(L535:L536)</f>
        <v>17</v>
      </c>
      <c r="M538" s="39">
        <f>SUM(J538:L538)</f>
        <v>411</v>
      </c>
      <c r="N538" s="10">
        <f>SUM(N535:N536)</f>
        <v>14</v>
      </c>
      <c r="O538" s="10">
        <f>SUM(O535:O536)</f>
        <v>11</v>
      </c>
      <c r="P538" s="10">
        <f>SUM(P535:P536)</f>
        <v>9</v>
      </c>
      <c r="Q538" s="39">
        <f>SUM(N538:P538)</f>
        <v>34</v>
      </c>
      <c r="R538" s="39">
        <f>+E538+I538+M538+Q538</f>
        <v>2298</v>
      </c>
    </row>
    <row r="539" spans="1:18" ht="15.75" customHeight="1" x14ac:dyDescent="0.3">
      <c r="A539" s="234" t="s">
        <v>1897</v>
      </c>
      <c r="B539" s="10">
        <f>(B538/31)/1.983</f>
        <v>0.16267304344996988</v>
      </c>
      <c r="C539" s="10">
        <f>(C538/28)/1.983</f>
        <v>0.19811252791585618</v>
      </c>
      <c r="D539" s="10">
        <f>(D538/31)/1.983</f>
        <v>0.22774226082995785</v>
      </c>
      <c r="E539" s="38" t="s">
        <v>852</v>
      </c>
      <c r="F539" s="10">
        <f>(F538/30)/1.983</f>
        <v>8.4552025550512688</v>
      </c>
      <c r="G539" s="10">
        <f>(G538/31)/1.983</f>
        <v>9.2723634766482839</v>
      </c>
      <c r="H539" s="10">
        <f>(H538/30)/1.983</f>
        <v>12.523113128256849</v>
      </c>
      <c r="I539" s="38" t="s">
        <v>852</v>
      </c>
      <c r="J539" s="10">
        <f>(J538/31)/1.983</f>
        <v>3.8065492167292958</v>
      </c>
      <c r="K539" s="10">
        <f>(K538/31)/1.983</f>
        <v>2.6027686951995181</v>
      </c>
      <c r="L539" s="10">
        <f>(L538/30)/1.983</f>
        <v>0.28576231299378047</v>
      </c>
      <c r="M539" s="38" t="s">
        <v>852</v>
      </c>
      <c r="N539" s="10">
        <f>(N538/31)/1.983</f>
        <v>0.22774226082995785</v>
      </c>
      <c r="O539" s="10">
        <f>(O538/30)/1.983</f>
        <v>0.18490502605479911</v>
      </c>
      <c r="P539" s="10">
        <f>(P538/31)/1.983</f>
        <v>0.14640573910497293</v>
      </c>
      <c r="Q539" s="38" t="s">
        <v>852</v>
      </c>
      <c r="R539" s="38" t="s">
        <v>852</v>
      </c>
    </row>
    <row r="540" spans="1:18" ht="15.75" customHeight="1" x14ac:dyDescent="0.3">
      <c r="A540" s="234" t="s">
        <v>1334</v>
      </c>
      <c r="B540" s="10">
        <f>B538+B579</f>
        <v>12823</v>
      </c>
      <c r="C540" s="10">
        <f>C538+C579</f>
        <v>12835</v>
      </c>
      <c r="D540" s="10">
        <f>D538+D579</f>
        <v>19964</v>
      </c>
      <c r="E540" s="38">
        <f>SUM(B540:D540)</f>
        <v>45622</v>
      </c>
      <c r="F540" s="10">
        <f>F538+F579</f>
        <v>20856</v>
      </c>
      <c r="G540" s="10">
        <f>G538+G579</f>
        <v>20569</v>
      </c>
      <c r="H540" s="10">
        <f>H538+H579</f>
        <v>17395</v>
      </c>
      <c r="I540" s="38">
        <f>SUM(F540:H540)</f>
        <v>58820</v>
      </c>
      <c r="J540" s="10">
        <f>J538+J579</f>
        <v>17014</v>
      </c>
      <c r="K540" s="10">
        <f>K538+K579</f>
        <v>19472</v>
      </c>
      <c r="L540" s="10">
        <f>L538+L579</f>
        <v>16473</v>
      </c>
      <c r="M540" s="38">
        <f>SUM(J540:L540)</f>
        <v>52959</v>
      </c>
      <c r="N540" s="10">
        <f>N538+N579</f>
        <v>5205</v>
      </c>
      <c r="O540" s="10">
        <f>O538+O579</f>
        <v>11399</v>
      </c>
      <c r="P540" s="10">
        <f>P538+P579</f>
        <v>5024</v>
      </c>
      <c r="Q540" s="38">
        <f>SUM(N540:P540)</f>
        <v>21628</v>
      </c>
      <c r="R540" s="38">
        <f>+E540+I540+M540+Q540</f>
        <v>179029</v>
      </c>
    </row>
    <row r="541" spans="1:18" ht="15.75" customHeight="1" thickBot="1" x14ac:dyDescent="0.35">
      <c r="A541" s="237" t="s">
        <v>1335</v>
      </c>
      <c r="B541" s="294">
        <f>(B540/31)/1.983</f>
        <v>208.59564361589639</v>
      </c>
      <c r="C541" s="294">
        <f>(C540/28)/1.983</f>
        <v>231.16129961818314</v>
      </c>
      <c r="D541" s="294">
        <f>(D540/31)/1.983</f>
        <v>324.76046394351988</v>
      </c>
      <c r="E541" s="40" t="s">
        <v>852</v>
      </c>
      <c r="F541" s="294">
        <f>(F540/30)/1.983</f>
        <v>350.57992939989913</v>
      </c>
      <c r="G541" s="294">
        <f>(G540/31)/1.983</f>
        <v>334.60218307224306</v>
      </c>
      <c r="H541" s="294">
        <f>(H540/30)/1.983</f>
        <v>292.40208438393006</v>
      </c>
      <c r="I541" s="40" t="s">
        <v>852</v>
      </c>
      <c r="J541" s="294">
        <f>(J540/31)/1.983</f>
        <v>276.77191612577877</v>
      </c>
      <c r="K541" s="294">
        <f>(K540/31)/1.983</f>
        <v>316.75695020578138</v>
      </c>
      <c r="L541" s="294">
        <f>(L540/30)/1.983</f>
        <v>276.90368129097328</v>
      </c>
      <c r="M541" s="40" t="s">
        <v>852</v>
      </c>
      <c r="N541" s="294">
        <f>(N540/31)/1.983</f>
        <v>84.671319115709338</v>
      </c>
      <c r="O541" s="294">
        <f>(O540/30)/1.983</f>
        <v>191.61203563624136</v>
      </c>
      <c r="P541" s="294">
        <f>(P540/31)/1.983</f>
        <v>81.726937029264874</v>
      </c>
      <c r="Q541" s="40" t="s">
        <v>852</v>
      </c>
      <c r="R541" s="40" t="s">
        <v>852</v>
      </c>
    </row>
    <row r="542" spans="1:18" ht="15.75" customHeight="1" x14ac:dyDescent="0.3">
      <c r="A542" s="17"/>
      <c r="B542" s="10"/>
      <c r="C542" s="10"/>
      <c r="D542" s="10"/>
      <c r="E542" s="10"/>
      <c r="F542" s="10"/>
      <c r="G542" s="10"/>
      <c r="H542" s="10"/>
      <c r="I542" s="10"/>
      <c r="J542" s="10"/>
      <c r="K542" s="10"/>
      <c r="L542" s="10"/>
      <c r="M542" s="10"/>
      <c r="N542" s="10"/>
      <c r="O542" s="10"/>
      <c r="P542" s="10"/>
      <c r="Q542" s="10"/>
      <c r="R542" s="17"/>
    </row>
    <row r="543" spans="1:18" ht="15.75" customHeight="1" thickBot="1" x14ac:dyDescent="0.35">
      <c r="A543" s="24"/>
      <c r="B543" s="294"/>
      <c r="C543" s="294"/>
      <c r="D543" s="294"/>
      <c r="E543" s="294"/>
      <c r="F543" s="294"/>
      <c r="G543" s="294"/>
      <c r="H543" s="294"/>
      <c r="I543" s="294"/>
      <c r="J543" s="294"/>
      <c r="K543" s="294"/>
      <c r="L543" s="294"/>
      <c r="M543" s="294"/>
      <c r="N543" s="294"/>
      <c r="O543" s="294"/>
      <c r="P543" s="294"/>
      <c r="Q543" s="294"/>
      <c r="R543" s="24"/>
    </row>
    <row r="544" spans="1:18" ht="15.75" customHeight="1" thickBot="1" x14ac:dyDescent="0.35">
      <c r="A544" s="274" t="s">
        <v>1772</v>
      </c>
      <c r="B544" s="25" t="s">
        <v>2090</v>
      </c>
      <c r="C544" s="26" t="s">
        <v>2091</v>
      </c>
      <c r="D544" s="26" t="s">
        <v>2234</v>
      </c>
      <c r="E544" s="33" t="s">
        <v>1594</v>
      </c>
      <c r="F544" s="26" t="s">
        <v>2235</v>
      </c>
      <c r="G544" s="26" t="s">
        <v>2236</v>
      </c>
      <c r="H544" s="26" t="s">
        <v>2237</v>
      </c>
      <c r="I544" s="33" t="s">
        <v>1595</v>
      </c>
      <c r="J544" s="26" t="s">
        <v>1504</v>
      </c>
      <c r="K544" s="26" t="s">
        <v>1505</v>
      </c>
      <c r="L544" s="26" t="s">
        <v>1506</v>
      </c>
      <c r="M544" s="33" t="s">
        <v>1596</v>
      </c>
      <c r="N544" s="26" t="s">
        <v>1507</v>
      </c>
      <c r="O544" s="26" t="s">
        <v>1508</v>
      </c>
      <c r="P544" s="26" t="s">
        <v>1509</v>
      </c>
      <c r="Q544" s="33" t="s">
        <v>1597</v>
      </c>
      <c r="R544" s="34" t="s">
        <v>1510</v>
      </c>
    </row>
    <row r="545" spans="1:18" ht="15.75" customHeight="1" thickBot="1" x14ac:dyDescent="0.35">
      <c r="A545" s="281"/>
      <c r="B545" s="301"/>
      <c r="C545" s="301"/>
      <c r="D545" s="301"/>
      <c r="E545" s="302"/>
      <c r="F545" s="301"/>
      <c r="G545" s="301"/>
      <c r="H545" s="301"/>
      <c r="I545" s="302"/>
      <c r="J545" s="301"/>
      <c r="K545" s="301"/>
      <c r="L545" s="301"/>
      <c r="M545" s="302"/>
      <c r="N545" s="301"/>
      <c r="O545" s="301"/>
      <c r="P545" s="301"/>
      <c r="Q545" s="302"/>
      <c r="R545" s="75"/>
    </row>
    <row r="546" spans="1:18" ht="15.75" customHeight="1" x14ac:dyDescent="0.3">
      <c r="A546" s="234" t="s">
        <v>2417</v>
      </c>
      <c r="B546" s="10" t="s">
        <v>852</v>
      </c>
      <c r="C546" s="10" t="s">
        <v>852</v>
      </c>
      <c r="D546" s="10" t="s">
        <v>852</v>
      </c>
      <c r="E546" s="38" t="s">
        <v>852</v>
      </c>
      <c r="F546" s="10" t="s">
        <v>852</v>
      </c>
      <c r="G546" s="10" t="s">
        <v>852</v>
      </c>
      <c r="H546" s="10" t="s">
        <v>852</v>
      </c>
      <c r="I546" s="38" t="s">
        <v>852</v>
      </c>
      <c r="J546" s="10" t="s">
        <v>852</v>
      </c>
      <c r="K546" s="10" t="s">
        <v>852</v>
      </c>
      <c r="L546" s="10" t="s">
        <v>852</v>
      </c>
      <c r="M546" s="38" t="s">
        <v>852</v>
      </c>
      <c r="N546" s="10" t="s">
        <v>852</v>
      </c>
      <c r="O546" s="10" t="s">
        <v>852</v>
      </c>
      <c r="P546" s="10" t="s">
        <v>852</v>
      </c>
      <c r="Q546" s="38" t="s">
        <v>852</v>
      </c>
      <c r="R546" s="38" t="s">
        <v>852</v>
      </c>
    </row>
    <row r="547" spans="1:18" ht="15.75" customHeight="1" x14ac:dyDescent="0.3">
      <c r="A547" s="234" t="s">
        <v>2160</v>
      </c>
      <c r="B547" s="10"/>
      <c r="C547" s="10"/>
      <c r="D547" s="10"/>
      <c r="E547" s="38" t="s">
        <v>852</v>
      </c>
      <c r="F547" s="10"/>
      <c r="G547" s="10"/>
      <c r="H547" s="10"/>
      <c r="I547" s="38" t="s">
        <v>852</v>
      </c>
      <c r="J547" s="10"/>
      <c r="K547" s="10"/>
      <c r="L547" s="10"/>
      <c r="M547" s="38" t="s">
        <v>852</v>
      </c>
      <c r="N547" s="10"/>
      <c r="O547" s="10"/>
      <c r="P547" s="10"/>
      <c r="Q547" s="38" t="s">
        <v>852</v>
      </c>
      <c r="R547" s="38" t="s">
        <v>852</v>
      </c>
    </row>
    <row r="548" spans="1:18" ht="15.75" customHeight="1" x14ac:dyDescent="0.3">
      <c r="A548" s="266" t="s">
        <v>2171</v>
      </c>
      <c r="B548" s="10">
        <v>6753</v>
      </c>
      <c r="C548" s="10">
        <v>5662</v>
      </c>
      <c r="D548" s="10">
        <v>7916</v>
      </c>
      <c r="E548" s="38">
        <f>SUM(B548:D548)</f>
        <v>20331</v>
      </c>
      <c r="F548" s="10">
        <v>7646</v>
      </c>
      <c r="G548" s="10">
        <v>7943</v>
      </c>
      <c r="H548" s="10">
        <v>7547</v>
      </c>
      <c r="I548" s="38">
        <f>SUM(F548:H548)</f>
        <v>23136</v>
      </c>
      <c r="J548" s="10">
        <v>7970</v>
      </c>
      <c r="K548" s="10">
        <v>7930</v>
      </c>
      <c r="L548" s="10">
        <v>5554</v>
      </c>
      <c r="M548" s="38">
        <f>SUM(J548:L548)</f>
        <v>21454</v>
      </c>
      <c r="N548" s="10">
        <v>0</v>
      </c>
      <c r="O548" s="10">
        <v>0</v>
      </c>
      <c r="P548" s="10">
        <v>2064</v>
      </c>
      <c r="Q548" s="38">
        <f>SUM(N548:P548)</f>
        <v>2064</v>
      </c>
      <c r="R548" s="38">
        <f>+E548+I548+M548+Q548</f>
        <v>66985</v>
      </c>
    </row>
    <row r="549" spans="1:18" ht="15.75" customHeight="1" x14ac:dyDescent="0.3">
      <c r="A549" s="266" t="s">
        <v>2146</v>
      </c>
      <c r="B549" s="172">
        <v>4486</v>
      </c>
      <c r="C549" s="172">
        <v>4912</v>
      </c>
      <c r="D549" s="172">
        <v>7305</v>
      </c>
      <c r="E549" s="38">
        <f>SUM(B549:D549)</f>
        <v>16703</v>
      </c>
      <c r="F549" s="172">
        <v>0</v>
      </c>
      <c r="G549" s="172">
        <v>0</v>
      </c>
      <c r="H549" s="172">
        <v>0</v>
      </c>
      <c r="I549" s="38">
        <f>SUM(F549:H549)</f>
        <v>0</v>
      </c>
      <c r="J549" s="172">
        <v>0</v>
      </c>
      <c r="K549" s="172">
        <v>0</v>
      </c>
      <c r="L549" s="172">
        <v>0</v>
      </c>
      <c r="M549" s="38">
        <f>SUM(J549:L549)</f>
        <v>0</v>
      </c>
      <c r="N549" s="172">
        <v>0</v>
      </c>
      <c r="O549" s="172">
        <v>129</v>
      </c>
      <c r="P549" s="172">
        <v>60</v>
      </c>
      <c r="Q549" s="38">
        <f>SUM(N549:P549)</f>
        <v>189</v>
      </c>
      <c r="R549" s="38">
        <f>+E549+I549+M549+Q549</f>
        <v>16892</v>
      </c>
    </row>
    <row r="550" spans="1:18" ht="15.75" customHeight="1" x14ac:dyDescent="0.3">
      <c r="A550" s="234" t="s">
        <v>2161</v>
      </c>
      <c r="B550" s="10"/>
      <c r="C550" s="10"/>
      <c r="D550" s="10"/>
      <c r="E550" s="38" t="s">
        <v>852</v>
      </c>
      <c r="F550" s="10"/>
      <c r="G550" s="10"/>
      <c r="H550" s="10"/>
      <c r="I550" s="38" t="s">
        <v>852</v>
      </c>
      <c r="J550" s="10"/>
      <c r="K550" s="10"/>
      <c r="L550" s="10"/>
      <c r="M550" s="38" t="s">
        <v>852</v>
      </c>
      <c r="N550" s="10"/>
      <c r="O550" s="10"/>
      <c r="P550" s="10"/>
      <c r="Q550" s="38" t="s">
        <v>852</v>
      </c>
      <c r="R550" s="38" t="s">
        <v>852</v>
      </c>
    </row>
    <row r="551" spans="1:18" ht="15.75" customHeight="1" x14ac:dyDescent="0.3">
      <c r="A551" s="234" t="s">
        <v>2162</v>
      </c>
      <c r="B551" s="10"/>
      <c r="C551" s="10"/>
      <c r="D551" s="10"/>
      <c r="E551" s="38" t="s">
        <v>852</v>
      </c>
      <c r="F551" s="10"/>
      <c r="G551" s="10"/>
      <c r="H551" s="10"/>
      <c r="I551" s="38" t="s">
        <v>852</v>
      </c>
      <c r="J551" s="10"/>
      <c r="K551" s="10"/>
      <c r="L551" s="10"/>
      <c r="M551" s="38" t="s">
        <v>852</v>
      </c>
      <c r="N551" s="10"/>
      <c r="O551" s="10"/>
      <c r="P551" s="10"/>
      <c r="Q551" s="38" t="s">
        <v>852</v>
      </c>
      <c r="R551" s="38" t="s">
        <v>852</v>
      </c>
    </row>
    <row r="552" spans="1:18" ht="15.75" customHeight="1" thickBot="1" x14ac:dyDescent="0.35">
      <c r="A552" s="234" t="s">
        <v>2164</v>
      </c>
      <c r="B552" s="10"/>
      <c r="C552" s="10"/>
      <c r="D552" s="10"/>
      <c r="E552" s="38" t="s">
        <v>852</v>
      </c>
      <c r="F552" s="10"/>
      <c r="G552" s="10"/>
      <c r="H552" s="10"/>
      <c r="I552" s="38" t="s">
        <v>852</v>
      </c>
      <c r="J552" s="10"/>
      <c r="K552" s="10"/>
      <c r="L552" s="10"/>
      <c r="M552" s="38" t="s">
        <v>852</v>
      </c>
      <c r="N552" s="10"/>
      <c r="O552" s="10"/>
      <c r="P552" s="10"/>
      <c r="Q552" s="38" t="s">
        <v>852</v>
      </c>
      <c r="R552" s="38" t="s">
        <v>852</v>
      </c>
    </row>
    <row r="553" spans="1:18" ht="15.75" customHeight="1" thickBot="1" x14ac:dyDescent="0.35">
      <c r="A553" s="322" t="s">
        <v>1218</v>
      </c>
      <c r="B553" s="45">
        <f>SUM(B546:B552)</f>
        <v>11239</v>
      </c>
      <c r="C553" s="46">
        <f>SUM(C546:C552)</f>
        <v>10574</v>
      </c>
      <c r="D553" s="46">
        <f>SUM(D546:D552)</f>
        <v>15221</v>
      </c>
      <c r="E553" s="37">
        <f>SUM(B553:D553)</f>
        <v>37034</v>
      </c>
      <c r="F553" s="46">
        <f>SUM(F546:F552)</f>
        <v>7646</v>
      </c>
      <c r="G553" s="46">
        <f>SUM(G546:G552)</f>
        <v>7943</v>
      </c>
      <c r="H553" s="46">
        <f>SUM(H546:H552)</f>
        <v>7547</v>
      </c>
      <c r="I553" s="37">
        <f>SUM(F553:H553)</f>
        <v>23136</v>
      </c>
      <c r="J553" s="46">
        <f>SUM(J546:J552)</f>
        <v>7970</v>
      </c>
      <c r="K553" s="46">
        <f>SUM(K546:K552)</f>
        <v>7930</v>
      </c>
      <c r="L553" s="46">
        <f>SUM(L546:L552)</f>
        <v>5554</v>
      </c>
      <c r="M553" s="37">
        <f>SUM(J553:L553)</f>
        <v>21454</v>
      </c>
      <c r="N553" s="46">
        <f>SUM(N546:N552)</f>
        <v>0</v>
      </c>
      <c r="O553" s="46">
        <f>SUM(O546:O552)</f>
        <v>129</v>
      </c>
      <c r="P553" s="46">
        <f>SUM(P546:P552)</f>
        <v>2124</v>
      </c>
      <c r="Q553" s="37">
        <f>SUM(N553:P553)</f>
        <v>2253</v>
      </c>
      <c r="R553" s="37">
        <f>+E553+I553+M553+Q553</f>
        <v>83877</v>
      </c>
    </row>
    <row r="554" spans="1:18" ht="15.75" customHeight="1" x14ac:dyDescent="0.3">
      <c r="A554" s="234" t="s">
        <v>1172</v>
      </c>
      <c r="B554" s="10"/>
      <c r="C554" s="10"/>
      <c r="D554" s="10"/>
      <c r="E554" s="38" t="s">
        <v>852</v>
      </c>
      <c r="F554" s="10"/>
      <c r="G554" s="10"/>
      <c r="H554" s="10"/>
      <c r="I554" s="38" t="s">
        <v>852</v>
      </c>
      <c r="J554" s="10"/>
      <c r="K554" s="10"/>
      <c r="L554" s="10"/>
      <c r="M554" s="38" t="s">
        <v>852</v>
      </c>
      <c r="N554" s="10"/>
      <c r="O554" s="10"/>
      <c r="P554" s="10"/>
      <c r="Q554" s="38" t="s">
        <v>852</v>
      </c>
      <c r="R554" s="38" t="s">
        <v>852</v>
      </c>
    </row>
    <row r="555" spans="1:18" ht="15.75" customHeight="1" x14ac:dyDescent="0.3">
      <c r="A555" s="234" t="s">
        <v>2409</v>
      </c>
      <c r="B555" s="10"/>
      <c r="C555" s="10"/>
      <c r="D555" s="10"/>
      <c r="E555" s="38" t="s">
        <v>852</v>
      </c>
      <c r="F555" s="10"/>
      <c r="G555" s="10"/>
      <c r="H555" s="10"/>
      <c r="I555" s="38" t="s">
        <v>852</v>
      </c>
      <c r="J555" s="10"/>
      <c r="K555" s="10"/>
      <c r="L555" s="10"/>
      <c r="M555" s="38" t="s">
        <v>852</v>
      </c>
      <c r="N555" s="10"/>
      <c r="O555" s="10"/>
      <c r="P555" s="10"/>
      <c r="Q555" s="38" t="s">
        <v>852</v>
      </c>
      <c r="R555" s="38" t="s">
        <v>852</v>
      </c>
    </row>
    <row r="556" spans="1:18" ht="15.75" customHeight="1" thickBot="1" x14ac:dyDescent="0.35">
      <c r="A556" s="234" t="s">
        <v>2165</v>
      </c>
      <c r="B556" s="10"/>
      <c r="C556" s="10"/>
      <c r="D556" s="10"/>
      <c r="E556" s="38" t="s">
        <v>852</v>
      </c>
      <c r="F556" s="10"/>
      <c r="G556" s="10"/>
      <c r="H556" s="10"/>
      <c r="I556" s="38" t="s">
        <v>852</v>
      </c>
      <c r="J556" s="10"/>
      <c r="K556" s="10"/>
      <c r="L556" s="10"/>
      <c r="M556" s="38" t="s">
        <v>852</v>
      </c>
      <c r="N556" s="10"/>
      <c r="O556" s="10"/>
      <c r="P556" s="10"/>
      <c r="Q556" s="38" t="s">
        <v>852</v>
      </c>
      <c r="R556" s="38" t="s">
        <v>852</v>
      </c>
    </row>
    <row r="557" spans="1:18" ht="15.75" customHeight="1" thickBot="1" x14ac:dyDescent="0.35">
      <c r="A557" s="43" t="s">
        <v>1219</v>
      </c>
      <c r="B557" s="45">
        <f>SUM(B554:B556)</f>
        <v>0</v>
      </c>
      <c r="C557" s="46">
        <f>SUM(C554:C556)</f>
        <v>0</v>
      </c>
      <c r="D557" s="46">
        <f>SUM(D554:D556)</f>
        <v>0</v>
      </c>
      <c r="E557" s="37">
        <f>SUM(B557:D557)</f>
        <v>0</v>
      </c>
      <c r="F557" s="46">
        <f>SUM(F554:F556)</f>
        <v>0</v>
      </c>
      <c r="G557" s="46">
        <f>SUM(G554:G556)</f>
        <v>0</v>
      </c>
      <c r="H557" s="46">
        <f>SUM(H554:H556)</f>
        <v>0</v>
      </c>
      <c r="I557" s="37">
        <f>SUM(F557:H557)</f>
        <v>0</v>
      </c>
      <c r="J557" s="46">
        <f>SUM(J554:J556)</f>
        <v>0</v>
      </c>
      <c r="K557" s="46">
        <f>SUM(K554:K556)</f>
        <v>0</v>
      </c>
      <c r="L557" s="46">
        <f>SUM(L554:L556)</f>
        <v>0</v>
      </c>
      <c r="M557" s="37">
        <f>SUM(J557:L557)</f>
        <v>0</v>
      </c>
      <c r="N557" s="46">
        <f>SUM(N554:N556)</f>
        <v>0</v>
      </c>
      <c r="O557" s="46">
        <f>SUM(O554:O556)</f>
        <v>0</v>
      </c>
      <c r="P557" s="46">
        <f>SUM(P554:P556)</f>
        <v>0</v>
      </c>
      <c r="Q557" s="37">
        <f>SUM(N557:P557)</f>
        <v>0</v>
      </c>
      <c r="R557" s="37">
        <f>+E557+I557+M557+Q557</f>
        <v>0</v>
      </c>
    </row>
    <row r="558" spans="1:18" ht="15.75" customHeight="1" x14ac:dyDescent="0.3">
      <c r="A558" s="234" t="s">
        <v>2166</v>
      </c>
      <c r="B558" s="10"/>
      <c r="C558" s="10"/>
      <c r="D558" s="10"/>
      <c r="E558" s="38" t="s">
        <v>852</v>
      </c>
      <c r="F558" s="10"/>
      <c r="G558" s="10"/>
      <c r="H558" s="10"/>
      <c r="I558" s="38" t="s">
        <v>852</v>
      </c>
      <c r="J558" s="10"/>
      <c r="K558" s="10"/>
      <c r="L558" s="10"/>
      <c r="M558" s="38" t="s">
        <v>852</v>
      </c>
      <c r="N558" s="10"/>
      <c r="O558" s="10"/>
      <c r="P558" s="10"/>
      <c r="Q558" s="38" t="s">
        <v>852</v>
      </c>
      <c r="R558" s="38" t="s">
        <v>852</v>
      </c>
    </row>
    <row r="559" spans="1:18" ht="15.75" customHeight="1" x14ac:dyDescent="0.3">
      <c r="A559" s="234" t="s">
        <v>1245</v>
      </c>
      <c r="B559" s="10"/>
      <c r="C559" s="10"/>
      <c r="D559" s="10"/>
      <c r="E559" s="38" t="s">
        <v>852</v>
      </c>
      <c r="F559" s="10"/>
      <c r="G559" s="10"/>
      <c r="H559" s="10"/>
      <c r="I559" s="38" t="s">
        <v>852</v>
      </c>
      <c r="J559" s="10"/>
      <c r="K559" s="10"/>
      <c r="L559" s="10"/>
      <c r="M559" s="38" t="s">
        <v>852</v>
      </c>
      <c r="N559" s="10"/>
      <c r="O559" s="10"/>
      <c r="P559" s="10"/>
      <c r="Q559" s="38" t="s">
        <v>852</v>
      </c>
      <c r="R559" s="38" t="s">
        <v>852</v>
      </c>
    </row>
    <row r="560" spans="1:18" ht="15.75" customHeight="1" x14ac:dyDescent="0.3">
      <c r="A560" s="310" t="s">
        <v>641</v>
      </c>
      <c r="B560" s="172">
        <v>250</v>
      </c>
      <c r="C560" s="172">
        <v>373</v>
      </c>
      <c r="D560" s="172">
        <v>906</v>
      </c>
      <c r="E560" s="38">
        <f>SUM(B560:D560)</f>
        <v>1529</v>
      </c>
      <c r="F560" s="172">
        <v>2125</v>
      </c>
      <c r="G560" s="172">
        <v>1200</v>
      </c>
      <c r="H560" s="172">
        <v>1517</v>
      </c>
      <c r="I560" s="38">
        <f>SUM(F560:H560)</f>
        <v>4842</v>
      </c>
      <c r="J560" s="172">
        <v>1392</v>
      </c>
      <c r="K560" s="172">
        <v>1122</v>
      </c>
      <c r="L560" s="172">
        <v>1076</v>
      </c>
      <c r="M560" s="38">
        <f>SUM(J560:L560)</f>
        <v>3590</v>
      </c>
      <c r="N560" s="172">
        <v>40</v>
      </c>
      <c r="O560" s="172">
        <v>390</v>
      </c>
      <c r="P560" s="172">
        <v>180</v>
      </c>
      <c r="Q560" s="38">
        <f>SUM(N560:P560)</f>
        <v>610</v>
      </c>
      <c r="R560" s="38">
        <f>+E560+I560+M560+Q560</f>
        <v>10571</v>
      </c>
    </row>
    <row r="561" spans="1:18" ht="15.75" customHeight="1" thickBot="1" x14ac:dyDescent="0.35">
      <c r="A561" s="234" t="s">
        <v>1711</v>
      </c>
      <c r="B561" s="10"/>
      <c r="C561" s="10"/>
      <c r="D561" s="10"/>
      <c r="E561" s="38" t="s">
        <v>852</v>
      </c>
      <c r="F561" s="10"/>
      <c r="G561" s="10"/>
      <c r="H561" s="10"/>
      <c r="I561" s="38" t="s">
        <v>852</v>
      </c>
      <c r="J561" s="10"/>
      <c r="K561" s="10"/>
      <c r="L561" s="10"/>
      <c r="M561" s="38" t="s">
        <v>852</v>
      </c>
      <c r="N561" s="10"/>
      <c r="O561" s="10"/>
      <c r="P561" s="10"/>
      <c r="Q561" s="38" t="s">
        <v>852</v>
      </c>
      <c r="R561" s="38" t="s">
        <v>852</v>
      </c>
    </row>
    <row r="562" spans="1:18" ht="15.75" customHeight="1" thickBot="1" x14ac:dyDescent="0.35">
      <c r="A562" s="43" t="s">
        <v>1220</v>
      </c>
      <c r="B562" s="45">
        <f>SUM(B558:B561)</f>
        <v>250</v>
      </c>
      <c r="C562" s="46">
        <f>SUM(C558:C561)</f>
        <v>373</v>
      </c>
      <c r="D562" s="46">
        <f>SUM(D558:D561)</f>
        <v>906</v>
      </c>
      <c r="E562" s="37">
        <f>SUM(B562:D562)</f>
        <v>1529</v>
      </c>
      <c r="F562" s="46">
        <f>SUM(F558:F561)</f>
        <v>2125</v>
      </c>
      <c r="G562" s="46">
        <f>SUM(G558:G561)</f>
        <v>1200</v>
      </c>
      <c r="H562" s="46">
        <f>SUM(H558:H561)</f>
        <v>1517</v>
      </c>
      <c r="I562" s="37">
        <f>SUM(F562:H562)</f>
        <v>4842</v>
      </c>
      <c r="J562" s="46">
        <f>SUM(J558:J561)</f>
        <v>1392</v>
      </c>
      <c r="K562" s="46">
        <f>SUM(K558:K561)</f>
        <v>1122</v>
      </c>
      <c r="L562" s="46">
        <f>SUM(L558:L561)</f>
        <v>1076</v>
      </c>
      <c r="M562" s="37">
        <f>SUM(J562:L562)</f>
        <v>3590</v>
      </c>
      <c r="N562" s="46">
        <f>SUM(N558:N561)</f>
        <v>40</v>
      </c>
      <c r="O562" s="46">
        <f>SUM(O558:O561)</f>
        <v>390</v>
      </c>
      <c r="P562" s="46">
        <f>SUM(P558:P561)</f>
        <v>180</v>
      </c>
      <c r="Q562" s="37">
        <f>SUM(N562:P562)</f>
        <v>610</v>
      </c>
      <c r="R562" s="37">
        <f>+E562+I562+M562+Q562</f>
        <v>10571</v>
      </c>
    </row>
    <row r="563" spans="1:18" ht="15.75" customHeight="1" x14ac:dyDescent="0.3">
      <c r="A563" s="234" t="s">
        <v>1712</v>
      </c>
      <c r="B563" s="10"/>
      <c r="C563" s="10"/>
      <c r="D563" s="10"/>
      <c r="E563" s="38" t="s">
        <v>852</v>
      </c>
      <c r="F563" s="10"/>
      <c r="G563" s="10"/>
      <c r="H563" s="10"/>
      <c r="I563" s="38" t="s">
        <v>852</v>
      </c>
      <c r="J563" s="10"/>
      <c r="K563" s="10"/>
      <c r="L563" s="10"/>
      <c r="M563" s="38" t="s">
        <v>852</v>
      </c>
      <c r="N563" s="10"/>
      <c r="O563" s="10"/>
      <c r="P563" s="10"/>
      <c r="Q563" s="38" t="s">
        <v>852</v>
      </c>
      <c r="R563" s="38" t="s">
        <v>852</v>
      </c>
    </row>
    <row r="564" spans="1:18" ht="15.75" customHeight="1" x14ac:dyDescent="0.3">
      <c r="A564" s="234" t="s">
        <v>556</v>
      </c>
      <c r="B564" s="10"/>
      <c r="C564" s="10"/>
      <c r="D564" s="10"/>
      <c r="E564" s="38" t="s">
        <v>852</v>
      </c>
      <c r="F564" s="10"/>
      <c r="G564" s="10"/>
      <c r="H564" s="10"/>
      <c r="I564" s="38" t="s">
        <v>852</v>
      </c>
      <c r="J564" s="10"/>
      <c r="K564" s="10"/>
      <c r="L564" s="10"/>
      <c r="M564" s="38" t="s">
        <v>852</v>
      </c>
      <c r="N564" s="10"/>
      <c r="O564" s="10"/>
      <c r="P564" s="10"/>
      <c r="Q564" s="38" t="s">
        <v>852</v>
      </c>
      <c r="R564" s="38" t="s">
        <v>852</v>
      </c>
    </row>
    <row r="565" spans="1:18" ht="15.75" customHeight="1" x14ac:dyDescent="0.3">
      <c r="A565" s="234" t="s">
        <v>557</v>
      </c>
      <c r="B565" s="10"/>
      <c r="C565" s="10"/>
      <c r="D565" s="10"/>
      <c r="E565" s="38" t="s">
        <v>852</v>
      </c>
      <c r="F565" s="10"/>
      <c r="G565" s="10"/>
      <c r="H565" s="10"/>
      <c r="I565" s="38" t="s">
        <v>852</v>
      </c>
      <c r="J565" s="10"/>
      <c r="K565" s="10"/>
      <c r="L565" s="10"/>
      <c r="M565" s="38" t="s">
        <v>852</v>
      </c>
      <c r="N565" s="10"/>
      <c r="O565" s="10"/>
      <c r="P565" s="10"/>
      <c r="Q565" s="38" t="s">
        <v>852</v>
      </c>
      <c r="R565" s="38" t="s">
        <v>852</v>
      </c>
    </row>
    <row r="566" spans="1:18" ht="15.75" customHeight="1" x14ac:dyDescent="0.3">
      <c r="A566" s="266" t="s">
        <v>1419</v>
      </c>
      <c r="B566" s="172">
        <v>0</v>
      </c>
      <c r="C566" s="172">
        <v>0</v>
      </c>
      <c r="D566" s="172">
        <v>0</v>
      </c>
      <c r="E566" s="38">
        <f>SUM(B566:D566)</f>
        <v>0</v>
      </c>
      <c r="F566" s="172">
        <v>0</v>
      </c>
      <c r="G566" s="172">
        <v>0</v>
      </c>
      <c r="H566" s="172">
        <v>0</v>
      </c>
      <c r="I566" s="38">
        <f>SUM(F566:H566)</f>
        <v>0</v>
      </c>
      <c r="J566" s="172">
        <v>0</v>
      </c>
      <c r="K566" s="172">
        <v>0</v>
      </c>
      <c r="L566" s="172">
        <v>0</v>
      </c>
      <c r="M566" s="38">
        <f>SUM(J566:L566)</f>
        <v>0</v>
      </c>
      <c r="N566" s="172">
        <v>0</v>
      </c>
      <c r="O566" s="172">
        <v>0</v>
      </c>
      <c r="P566" s="172">
        <v>0</v>
      </c>
      <c r="Q566" s="38">
        <f>SUM(N566:P566)</f>
        <v>0</v>
      </c>
      <c r="R566" s="38">
        <f>+E566+I566+M566+Q566</f>
        <v>0</v>
      </c>
    </row>
    <row r="567" spans="1:18" ht="15.75" customHeight="1" x14ac:dyDescent="0.3">
      <c r="A567" s="266" t="s">
        <v>2149</v>
      </c>
      <c r="B567" s="172">
        <v>0</v>
      </c>
      <c r="C567" s="172">
        <v>0</v>
      </c>
      <c r="D567" s="172">
        <v>0</v>
      </c>
      <c r="E567" s="38">
        <f>SUM(B567:D567)</f>
        <v>0</v>
      </c>
      <c r="F567" s="172">
        <v>0</v>
      </c>
      <c r="G567" s="172">
        <v>0</v>
      </c>
      <c r="H567" s="172">
        <v>0</v>
      </c>
      <c r="I567" s="38">
        <f>SUM(F567:H567)</f>
        <v>0</v>
      </c>
      <c r="J567" s="172">
        <v>0</v>
      </c>
      <c r="K567" s="172">
        <v>0</v>
      </c>
      <c r="L567" s="172">
        <v>0</v>
      </c>
      <c r="M567" s="38">
        <f>SUM(J567:L567)</f>
        <v>0</v>
      </c>
      <c r="N567" s="172">
        <v>0</v>
      </c>
      <c r="O567" s="172">
        <v>4627</v>
      </c>
      <c r="P567" s="172">
        <v>373</v>
      </c>
      <c r="Q567" s="38">
        <f>SUM(N567:P567)</f>
        <v>5000</v>
      </c>
      <c r="R567" s="38">
        <f>+E567+I567+M567+Q567</f>
        <v>5000</v>
      </c>
    </row>
    <row r="568" spans="1:18" ht="15.75" customHeight="1" x14ac:dyDescent="0.3">
      <c r="A568" s="266" t="s">
        <v>2147</v>
      </c>
      <c r="B568" s="172">
        <v>0</v>
      </c>
      <c r="C568" s="172">
        <v>0</v>
      </c>
      <c r="D568" s="172">
        <v>0</v>
      </c>
      <c r="E568" s="38">
        <f>SUM(B568:D568)</f>
        <v>0</v>
      </c>
      <c r="F568" s="172">
        <v>7043</v>
      </c>
      <c r="G568" s="172">
        <v>6524</v>
      </c>
      <c r="H568" s="172">
        <v>3613</v>
      </c>
      <c r="I568" s="38">
        <f>SUM(F568:H568)</f>
        <v>17180</v>
      </c>
      <c r="J568" s="172">
        <v>5244</v>
      </c>
      <c r="K568" s="172">
        <v>6025</v>
      </c>
      <c r="L568" s="172">
        <v>5826</v>
      </c>
      <c r="M568" s="38">
        <f>SUM(J568:L568)</f>
        <v>17095</v>
      </c>
      <c r="N568" s="172">
        <v>3156</v>
      </c>
      <c r="O568" s="172">
        <v>3569</v>
      </c>
      <c r="P568" s="172">
        <v>0</v>
      </c>
      <c r="Q568" s="38">
        <f>SUM(N568:P568)</f>
        <v>6725</v>
      </c>
      <c r="R568" s="38">
        <f>+E568+I568+M568+Q568</f>
        <v>41000</v>
      </c>
    </row>
    <row r="569" spans="1:18" ht="15.75" customHeight="1" x14ac:dyDescent="0.3">
      <c r="A569" s="266" t="s">
        <v>2148</v>
      </c>
      <c r="B569" s="172">
        <v>0</v>
      </c>
      <c r="C569" s="172">
        <v>0</v>
      </c>
      <c r="D569" s="172">
        <v>0</v>
      </c>
      <c r="E569" s="38">
        <f>SUM(B569:D569)</f>
        <v>0</v>
      </c>
      <c r="F569" s="172">
        <v>0</v>
      </c>
      <c r="G569" s="172">
        <v>0</v>
      </c>
      <c r="H569" s="172">
        <v>0</v>
      </c>
      <c r="I569" s="38">
        <f>SUM(F569:H569)</f>
        <v>0</v>
      </c>
      <c r="J569" s="172">
        <v>0</v>
      </c>
      <c r="K569" s="172">
        <v>0</v>
      </c>
      <c r="L569" s="172">
        <v>0</v>
      </c>
      <c r="M569" s="38">
        <f>SUM(J569:L569)</f>
        <v>0</v>
      </c>
      <c r="N569" s="172">
        <v>0</v>
      </c>
      <c r="O569" s="172">
        <v>0</v>
      </c>
      <c r="P569" s="172">
        <v>0</v>
      </c>
      <c r="Q569" s="38">
        <f>SUM(N569:P569)</f>
        <v>0</v>
      </c>
      <c r="R569" s="38">
        <f>+E569+I569+M569+Q569</f>
        <v>0</v>
      </c>
    </row>
    <row r="570" spans="1:18" ht="15.75" customHeight="1" x14ac:dyDescent="0.3">
      <c r="A570" s="234" t="s">
        <v>558</v>
      </c>
      <c r="B570" s="10"/>
      <c r="C570" s="10"/>
      <c r="D570" s="10"/>
      <c r="E570" s="38" t="s">
        <v>852</v>
      </c>
      <c r="F570" s="10"/>
      <c r="G570" s="10"/>
      <c r="H570" s="10"/>
      <c r="I570" s="38" t="s">
        <v>852</v>
      </c>
      <c r="J570" s="10"/>
      <c r="K570" s="10"/>
      <c r="L570" s="10"/>
      <c r="M570" s="38" t="s">
        <v>852</v>
      </c>
      <c r="N570" s="10"/>
      <c r="O570" s="10"/>
      <c r="P570" s="10"/>
      <c r="Q570" s="38" t="s">
        <v>852</v>
      </c>
      <c r="R570" s="38" t="s">
        <v>852</v>
      </c>
    </row>
    <row r="571" spans="1:18" ht="15.75" customHeight="1" thickBot="1" x14ac:dyDescent="0.35">
      <c r="A571" s="234" t="s">
        <v>559</v>
      </c>
      <c r="B571" s="10"/>
      <c r="C571" s="10"/>
      <c r="D571" s="10"/>
      <c r="E571" s="38" t="s">
        <v>852</v>
      </c>
      <c r="F571" s="10"/>
      <c r="G571" s="10"/>
      <c r="H571" s="10"/>
      <c r="I571" s="38" t="s">
        <v>852</v>
      </c>
      <c r="J571" s="10"/>
      <c r="K571" s="10"/>
      <c r="L571" s="10"/>
      <c r="M571" s="38" t="s">
        <v>852</v>
      </c>
      <c r="N571" s="10"/>
      <c r="O571" s="10"/>
      <c r="P571" s="10"/>
      <c r="Q571" s="38" t="s">
        <v>852</v>
      </c>
      <c r="R571" s="38" t="s">
        <v>852</v>
      </c>
    </row>
    <row r="572" spans="1:18" ht="15.75" customHeight="1" thickBot="1" x14ac:dyDescent="0.35">
      <c r="A572" s="43" t="s">
        <v>1019</v>
      </c>
      <c r="B572" s="42">
        <f>SUM(B570:B571)</f>
        <v>0</v>
      </c>
      <c r="C572" s="42">
        <f>SUM(C570:C571)</f>
        <v>0</v>
      </c>
      <c r="D572" s="42">
        <f>SUM(D570:D571)</f>
        <v>0</v>
      </c>
      <c r="E572" s="39">
        <f>SUM(B572:D572)</f>
        <v>0</v>
      </c>
      <c r="F572" s="42">
        <f>SUM(F570:F571)</f>
        <v>0</v>
      </c>
      <c r="G572" s="42">
        <f>SUM(G570:G571)</f>
        <v>0</v>
      </c>
      <c r="H572" s="42">
        <f>SUM(H570:H571)</f>
        <v>0</v>
      </c>
      <c r="I572" s="39">
        <f>SUM(F572:H572)</f>
        <v>0</v>
      </c>
      <c r="J572" s="42">
        <f>SUM(J570:J571)</f>
        <v>0</v>
      </c>
      <c r="K572" s="42">
        <f>SUM(K570:K571)</f>
        <v>0</v>
      </c>
      <c r="L572" s="42">
        <f>SUM(L570:L571)</f>
        <v>0</v>
      </c>
      <c r="M572" s="39">
        <f>SUM(J572:L572)</f>
        <v>0</v>
      </c>
      <c r="N572" s="42">
        <f>SUM(N570:N571)</f>
        <v>0</v>
      </c>
      <c r="O572" s="42">
        <f>SUM(O570:O571)</f>
        <v>0</v>
      </c>
      <c r="P572" s="42">
        <f>SUM(P570:P571)</f>
        <v>0</v>
      </c>
      <c r="Q572" s="39">
        <f>SUM(N572:P572)</f>
        <v>0</v>
      </c>
      <c r="R572" s="37">
        <f>+E572+I572+M572+Q572</f>
        <v>0</v>
      </c>
    </row>
    <row r="573" spans="1:18" ht="15.75" customHeight="1" thickBot="1" x14ac:dyDescent="0.35">
      <c r="A573" s="277" t="s">
        <v>1221</v>
      </c>
      <c r="B573" s="45">
        <f>SUM(B563:B571)</f>
        <v>0</v>
      </c>
      <c r="C573" s="46">
        <f>SUM(C563:C571)</f>
        <v>0</v>
      </c>
      <c r="D573" s="58">
        <f>SUM(D563:D571)</f>
        <v>0</v>
      </c>
      <c r="E573" s="39">
        <f>SUM(B573:D573)</f>
        <v>0</v>
      </c>
      <c r="F573" s="46">
        <f>SUM(F563:F571)</f>
        <v>7043</v>
      </c>
      <c r="G573" s="46">
        <f>SUM(G563:G571)</f>
        <v>6524</v>
      </c>
      <c r="H573" s="46">
        <f>SUM(H563:H571)</f>
        <v>3613</v>
      </c>
      <c r="I573" s="39">
        <f>SUM(F573:H573)</f>
        <v>17180</v>
      </c>
      <c r="J573" s="46">
        <f>SUM(J563:J571)</f>
        <v>5244</v>
      </c>
      <c r="K573" s="46">
        <f>SUM(K563:K571)</f>
        <v>6025</v>
      </c>
      <c r="L573" s="46">
        <f>SUM(L563:L571)</f>
        <v>5826</v>
      </c>
      <c r="M573" s="39">
        <f>SUM(J573:L573)</f>
        <v>17095</v>
      </c>
      <c r="N573" s="46">
        <f>SUM(N563:N571)</f>
        <v>3156</v>
      </c>
      <c r="O573" s="46">
        <f>SUM(O563:O571)</f>
        <v>8196</v>
      </c>
      <c r="P573" s="46">
        <f>SUM(P563:P571)</f>
        <v>373</v>
      </c>
      <c r="Q573" s="39">
        <f>SUM(N573:P573)</f>
        <v>11725</v>
      </c>
      <c r="R573" s="37">
        <f>+E573+I573+M573+Q573</f>
        <v>46000</v>
      </c>
    </row>
    <row r="574" spans="1:18" ht="15.75" customHeight="1" thickBot="1" x14ac:dyDescent="0.35">
      <c r="A574" s="43" t="s">
        <v>1222</v>
      </c>
      <c r="B574" s="47">
        <f>+B553+B557+B562+B573</f>
        <v>11489</v>
      </c>
      <c r="C574" s="42">
        <f>+C553+C557+C562+C573</f>
        <v>10947</v>
      </c>
      <c r="D574" s="42">
        <f>+D553+D557+D562+D573</f>
        <v>16127</v>
      </c>
      <c r="E574" s="37">
        <f>SUM(B574:D574)</f>
        <v>38563</v>
      </c>
      <c r="F574" s="42">
        <f>+F553+F557+F562+F573</f>
        <v>16814</v>
      </c>
      <c r="G574" s="42">
        <f>+G553+G557+G562+G573</f>
        <v>15667</v>
      </c>
      <c r="H574" s="42">
        <f>+H553+H557+H562+H573</f>
        <v>12677</v>
      </c>
      <c r="I574" s="37">
        <f>SUM(F574:H574)</f>
        <v>45158</v>
      </c>
      <c r="J574" s="42">
        <f>+J553+J557+J562+J573</f>
        <v>14606</v>
      </c>
      <c r="K574" s="42">
        <f>+K553+K557+K562+K573</f>
        <v>15077</v>
      </c>
      <c r="L574" s="42">
        <f>+L553+L557+L562+L573</f>
        <v>12456</v>
      </c>
      <c r="M574" s="37">
        <f>SUM(J574:L574)</f>
        <v>42139</v>
      </c>
      <c r="N574" s="42">
        <f>+N553+N557+N562+N573</f>
        <v>3196</v>
      </c>
      <c r="O574" s="42">
        <f>+O553+O557+O562+O573</f>
        <v>8715</v>
      </c>
      <c r="P574" s="42">
        <f>+P553+P557+P562+P573</f>
        <v>2677</v>
      </c>
      <c r="Q574" s="37">
        <f>SUM(N574:P574)</f>
        <v>14588</v>
      </c>
      <c r="R574" s="40">
        <f>+E574+I574+M574+Q574</f>
        <v>140448</v>
      </c>
    </row>
    <row r="575" spans="1:18" ht="15.75" customHeight="1" thickBot="1" x14ac:dyDescent="0.35">
      <c r="A575" s="304" t="s">
        <v>853</v>
      </c>
      <c r="B575" s="294">
        <v>22</v>
      </c>
      <c r="C575" s="294">
        <v>24</v>
      </c>
      <c r="D575" s="294">
        <v>31</v>
      </c>
      <c r="E575" s="37">
        <f>SUM(B575:D575)</f>
        <v>77</v>
      </c>
      <c r="F575" s="294">
        <v>40</v>
      </c>
      <c r="G575" s="294">
        <v>45</v>
      </c>
      <c r="H575" s="294">
        <v>48</v>
      </c>
      <c r="I575" s="37">
        <f>SUM(F575:H575)</f>
        <v>133</v>
      </c>
      <c r="J575" s="294">
        <v>42</v>
      </c>
      <c r="K575" s="294">
        <v>39</v>
      </c>
      <c r="L575" s="294">
        <v>38</v>
      </c>
      <c r="M575" s="37">
        <f>SUM(J575:L575)</f>
        <v>119</v>
      </c>
      <c r="N575" s="294">
        <v>32</v>
      </c>
      <c r="O575" s="294">
        <v>25</v>
      </c>
      <c r="P575" s="294">
        <v>21</v>
      </c>
      <c r="Q575" s="37">
        <f>SUM(N575:P575)</f>
        <v>78</v>
      </c>
      <c r="R575" s="39">
        <f>+E575+I575+M575+Q575</f>
        <v>407</v>
      </c>
    </row>
    <row r="576" spans="1:18" ht="15.75" customHeight="1" thickBot="1" x14ac:dyDescent="0.35">
      <c r="A576" s="22"/>
      <c r="B576" s="297"/>
      <c r="C576" s="297"/>
      <c r="D576" s="297"/>
      <c r="E576" s="302"/>
      <c r="F576" s="297"/>
      <c r="G576" s="297"/>
      <c r="H576" s="297"/>
      <c r="I576" s="302"/>
      <c r="J576" s="297"/>
      <c r="K576" s="297"/>
      <c r="L576" s="297"/>
      <c r="M576" s="302"/>
      <c r="N576" s="297"/>
      <c r="O576" s="297"/>
      <c r="P576" s="297"/>
      <c r="Q576" s="302"/>
      <c r="R576" s="21"/>
    </row>
    <row r="577" spans="1:18" ht="15.75" customHeight="1" x14ac:dyDescent="0.3">
      <c r="A577" s="234" t="s">
        <v>120</v>
      </c>
      <c r="B577" s="10">
        <f>+SUM(B574:B575)</f>
        <v>11511</v>
      </c>
      <c r="C577" s="10">
        <f>+SUM(C574:C575)</f>
        <v>10971</v>
      </c>
      <c r="D577" s="10">
        <f>+SUM(D574:D575)</f>
        <v>16158</v>
      </c>
      <c r="E577" s="39">
        <f>SUM(B577:D577)</f>
        <v>38640</v>
      </c>
      <c r="F577" s="10">
        <f>+SUM(F574:F575)</f>
        <v>16854</v>
      </c>
      <c r="G577" s="10">
        <f>+SUM(G574:G575)</f>
        <v>15712</v>
      </c>
      <c r="H577" s="10">
        <f>+SUM(H574:H575)</f>
        <v>12725</v>
      </c>
      <c r="I577" s="39">
        <f>SUM(F577:H577)</f>
        <v>45291</v>
      </c>
      <c r="J577" s="10">
        <f>+SUM(J574:J575)</f>
        <v>14648</v>
      </c>
      <c r="K577" s="10">
        <f>+SUM(K574:K575)</f>
        <v>15116</v>
      </c>
      <c r="L577" s="10">
        <f>+SUM(L574:L575)</f>
        <v>12494</v>
      </c>
      <c r="M577" s="39">
        <f>SUM(J577:L577)</f>
        <v>42258</v>
      </c>
      <c r="N577" s="10">
        <f>+SUM(N574:N575)</f>
        <v>3228</v>
      </c>
      <c r="O577" s="10">
        <f>+SUM(O574:O575)</f>
        <v>8740</v>
      </c>
      <c r="P577" s="10">
        <f>+SUM(P574:P575)</f>
        <v>2698</v>
      </c>
      <c r="Q577" s="39">
        <f>SUM(N577:P577)</f>
        <v>14666</v>
      </c>
      <c r="R577" s="39">
        <f>+E577+I577+M577+Q577</f>
        <v>140855</v>
      </c>
    </row>
    <row r="578" spans="1:18" ht="15.75" customHeight="1" x14ac:dyDescent="0.3">
      <c r="A578" s="234" t="s">
        <v>1897</v>
      </c>
      <c r="B578" s="10">
        <f>(B577/31)/1.983</f>
        <v>187.25294031526033</v>
      </c>
      <c r="C578" s="10">
        <f>(C577/28)/1.983</f>
        <v>197.59023125135076</v>
      </c>
      <c r="D578" s="10">
        <f>(D577/31)/1.983</f>
        <v>262.84710360646136</v>
      </c>
      <c r="E578" s="38" t="s">
        <v>852</v>
      </c>
      <c r="F578" s="10">
        <f>(F577/30)/1.983</f>
        <v>283.30811901159854</v>
      </c>
      <c r="G578" s="10">
        <f>(G577/31)/1.983</f>
        <v>255.5918858685927</v>
      </c>
      <c r="H578" s="10">
        <f>(H577/30)/1.983</f>
        <v>213.90149604975625</v>
      </c>
      <c r="I578" s="38" t="s">
        <v>852</v>
      </c>
      <c r="J578" s="10">
        <f>(J577/31)/1.983</f>
        <v>238.2834740455159</v>
      </c>
      <c r="K578" s="10">
        <f>(K577/31)/1.983</f>
        <v>245.89657247897449</v>
      </c>
      <c r="L578" s="10">
        <f>(L577/30)/1.983</f>
        <v>210.01849050260546</v>
      </c>
      <c r="M578" s="38" t="s">
        <v>852</v>
      </c>
      <c r="N578" s="10">
        <f>(N577/31)/1.983</f>
        <v>52.510858425650284</v>
      </c>
      <c r="O578" s="10">
        <f>(O577/30)/1.983</f>
        <v>146.91544797444948</v>
      </c>
      <c r="P578" s="10">
        <f>(P577/31)/1.983</f>
        <v>43.889187122801879</v>
      </c>
      <c r="Q578" s="38" t="s">
        <v>852</v>
      </c>
      <c r="R578" s="38" t="s">
        <v>852</v>
      </c>
    </row>
    <row r="579" spans="1:18" ht="15.75" customHeight="1" x14ac:dyDescent="0.3">
      <c r="A579" s="234" t="s">
        <v>2390</v>
      </c>
      <c r="B579" s="10">
        <f>B577+B589</f>
        <v>12813</v>
      </c>
      <c r="C579" s="10">
        <f>C577+C589</f>
        <v>12824</v>
      </c>
      <c r="D579" s="10">
        <f>D577+D589</f>
        <v>19950</v>
      </c>
      <c r="E579" s="38">
        <f>SUM(B579:D579)</f>
        <v>45587</v>
      </c>
      <c r="F579" s="10">
        <f>F577+F589</f>
        <v>20353</v>
      </c>
      <c r="G579" s="10">
        <f>G577+G589</f>
        <v>19999</v>
      </c>
      <c r="H579" s="10">
        <f>H577+H589</f>
        <v>16650</v>
      </c>
      <c r="I579" s="38">
        <f>SUM(F579:H579)</f>
        <v>57002</v>
      </c>
      <c r="J579" s="10">
        <f>J577+J589</f>
        <v>16780</v>
      </c>
      <c r="K579" s="10">
        <f>K577+K589</f>
        <v>19312</v>
      </c>
      <c r="L579" s="10">
        <f>L577+L589</f>
        <v>16456</v>
      </c>
      <c r="M579" s="38">
        <f>SUM(J579:L579)</f>
        <v>52548</v>
      </c>
      <c r="N579" s="10">
        <f>N577+N589</f>
        <v>5191</v>
      </c>
      <c r="O579" s="10">
        <f>O577+O589</f>
        <v>11388</v>
      </c>
      <c r="P579" s="10">
        <f>P577+P589</f>
        <v>5015</v>
      </c>
      <c r="Q579" s="38">
        <f>SUM(N579:P579)</f>
        <v>21594</v>
      </c>
      <c r="R579" s="38">
        <f>+E579+I579+M579+Q579</f>
        <v>176731</v>
      </c>
    </row>
    <row r="580" spans="1:18" ht="15.75" customHeight="1" thickBot="1" x14ac:dyDescent="0.35">
      <c r="A580" s="237" t="s">
        <v>1716</v>
      </c>
      <c r="B580" s="294">
        <f>(B579/31)/1.983</f>
        <v>208.43297057244644</v>
      </c>
      <c r="C580" s="294">
        <f>(C579/28)/1.983</f>
        <v>230.96318709026727</v>
      </c>
      <c r="D580" s="294">
        <f>(D579/31)/1.983</f>
        <v>324.5327216826899</v>
      </c>
      <c r="E580" s="40" t="s">
        <v>852</v>
      </c>
      <c r="F580" s="294">
        <f>(F579/30)/1.983</f>
        <v>342.12472684484783</v>
      </c>
      <c r="G580" s="294">
        <f>(G579/31)/1.983</f>
        <v>325.32981959559481</v>
      </c>
      <c r="H580" s="294">
        <f>(H579/30)/1.983</f>
        <v>279.87897125567321</v>
      </c>
      <c r="I580" s="40" t="s">
        <v>852</v>
      </c>
      <c r="J580" s="294">
        <f>(J579/31)/1.983</f>
        <v>272.96536690904946</v>
      </c>
      <c r="K580" s="294">
        <f>(K579/31)/1.983</f>
        <v>314.15418151058191</v>
      </c>
      <c r="L580" s="294">
        <f>(L579/30)/1.983</f>
        <v>276.61791897797946</v>
      </c>
      <c r="M580" s="40" t="s">
        <v>852</v>
      </c>
      <c r="N580" s="294">
        <f>(N579/31)/1.983</f>
        <v>84.443576854879367</v>
      </c>
      <c r="O580" s="294">
        <f>(O579/30)/1.983</f>
        <v>191.42713061018659</v>
      </c>
      <c r="P580" s="294">
        <f>(P579/31)/1.983</f>
        <v>81.580531290159911</v>
      </c>
      <c r="Q580" s="40" t="s">
        <v>852</v>
      </c>
      <c r="R580" s="40" t="s">
        <v>852</v>
      </c>
    </row>
    <row r="581" spans="1:18" ht="15.75" customHeight="1" x14ac:dyDescent="0.3">
      <c r="A581" s="17"/>
      <c r="B581" s="10"/>
      <c r="C581" s="10"/>
      <c r="D581" s="10"/>
      <c r="E581" s="10"/>
      <c r="F581" s="10"/>
      <c r="G581" s="10"/>
      <c r="H581" s="10"/>
      <c r="I581" s="10"/>
      <c r="J581" s="10"/>
      <c r="K581" s="10"/>
      <c r="L581" s="10"/>
      <c r="M581" s="10"/>
      <c r="N581" s="10"/>
      <c r="O581" s="10"/>
      <c r="P581" s="10"/>
      <c r="Q581" s="10"/>
      <c r="R581" s="17"/>
    </row>
    <row r="582" spans="1:18" ht="15.75" customHeight="1" thickBot="1" x14ac:dyDescent="0.35">
      <c r="A582" s="17"/>
      <c r="B582" s="10"/>
      <c r="C582" s="10"/>
      <c r="D582" s="10"/>
      <c r="E582" s="10"/>
      <c r="F582" s="10"/>
      <c r="G582" s="10"/>
      <c r="H582" s="10"/>
      <c r="I582" s="10"/>
      <c r="J582" s="10"/>
      <c r="K582" s="10"/>
      <c r="L582" s="10"/>
      <c r="M582" s="10"/>
      <c r="N582" s="10"/>
      <c r="O582" s="10"/>
      <c r="P582" s="10"/>
      <c r="Q582" s="10"/>
      <c r="R582" s="17"/>
    </row>
    <row r="583" spans="1:18" ht="15.75" customHeight="1" thickBot="1" x14ac:dyDescent="0.35">
      <c r="A583" s="278" t="s">
        <v>374</v>
      </c>
      <c r="B583" s="4" t="s">
        <v>2090</v>
      </c>
      <c r="C583" s="5" t="s">
        <v>2091</v>
      </c>
      <c r="D583" s="5" t="s">
        <v>2234</v>
      </c>
      <c r="E583" s="33" t="s">
        <v>1594</v>
      </c>
      <c r="F583" s="5" t="s">
        <v>2235</v>
      </c>
      <c r="G583" s="5" t="s">
        <v>2236</v>
      </c>
      <c r="H583" s="5" t="s">
        <v>2237</v>
      </c>
      <c r="I583" s="35" t="s">
        <v>1595</v>
      </c>
      <c r="J583" s="5" t="s">
        <v>1504</v>
      </c>
      <c r="K583" s="5" t="s">
        <v>1505</v>
      </c>
      <c r="L583" s="5" t="s">
        <v>1506</v>
      </c>
      <c r="M583" s="35" t="s">
        <v>1596</v>
      </c>
      <c r="N583" s="5" t="s">
        <v>1507</v>
      </c>
      <c r="O583" s="5" t="s">
        <v>1508</v>
      </c>
      <c r="P583" s="5" t="s">
        <v>1509</v>
      </c>
      <c r="Q583" s="35" t="s">
        <v>1597</v>
      </c>
      <c r="R583" s="36" t="s">
        <v>1510</v>
      </c>
    </row>
    <row r="584" spans="1:18" ht="15.75" customHeight="1" thickBot="1" x14ac:dyDescent="0.35">
      <c r="A584" s="22"/>
      <c r="B584" s="297"/>
      <c r="C584" s="297"/>
      <c r="D584" s="297"/>
      <c r="E584" s="298"/>
      <c r="F584" s="297"/>
      <c r="G584" s="297"/>
      <c r="H584" s="297"/>
      <c r="I584" s="298"/>
      <c r="J584" s="297"/>
      <c r="K584" s="297"/>
      <c r="L584" s="297"/>
      <c r="M584" s="298"/>
      <c r="N584" s="297"/>
      <c r="O584" s="297"/>
      <c r="P584" s="297"/>
      <c r="Q584" s="298"/>
      <c r="R584" s="22"/>
    </row>
    <row r="585" spans="1:18" ht="15.75" customHeight="1" thickBot="1" x14ac:dyDescent="0.35">
      <c r="A585" s="299" t="s">
        <v>853</v>
      </c>
      <c r="B585" s="294">
        <v>2</v>
      </c>
      <c r="C585" s="294">
        <v>3</v>
      </c>
      <c r="D585" s="294">
        <v>5</v>
      </c>
      <c r="E585" s="38">
        <f>SUM(B585:D585)</f>
        <v>10</v>
      </c>
      <c r="F585" s="294">
        <v>7</v>
      </c>
      <c r="G585" s="294">
        <v>8</v>
      </c>
      <c r="H585" s="294">
        <v>9</v>
      </c>
      <c r="I585" s="38">
        <f>SUM(F585:H585)</f>
        <v>24</v>
      </c>
      <c r="J585" s="294">
        <v>7</v>
      </c>
      <c r="K585" s="294">
        <v>6</v>
      </c>
      <c r="L585" s="294">
        <v>6</v>
      </c>
      <c r="M585" s="38">
        <f>SUM(J585:L585)</f>
        <v>19</v>
      </c>
      <c r="N585" s="294">
        <v>5</v>
      </c>
      <c r="O585" s="294">
        <v>3</v>
      </c>
      <c r="P585" s="294">
        <v>2</v>
      </c>
      <c r="Q585" s="38">
        <f>SUM(N585:P585)</f>
        <v>10</v>
      </c>
      <c r="R585" s="39">
        <f>+E585+I585+M585+Q585</f>
        <v>63</v>
      </c>
    </row>
    <row r="586" spans="1:18" ht="15.75" customHeight="1" thickBot="1" x14ac:dyDescent="0.35">
      <c r="A586" s="22"/>
      <c r="B586" s="297"/>
      <c r="C586" s="297"/>
      <c r="D586" s="297"/>
      <c r="E586" s="302"/>
      <c r="F586" s="297"/>
      <c r="G586" s="297"/>
      <c r="H586" s="297"/>
      <c r="I586" s="302"/>
      <c r="J586" s="297"/>
      <c r="K586" s="297"/>
      <c r="L586" s="297"/>
      <c r="M586" s="302"/>
      <c r="N586" s="297"/>
      <c r="O586" s="297"/>
      <c r="P586" s="297"/>
      <c r="Q586" s="302"/>
      <c r="R586" s="21"/>
    </row>
    <row r="587" spans="1:18" ht="15.75" customHeight="1" x14ac:dyDescent="0.3">
      <c r="A587" s="234" t="s">
        <v>120</v>
      </c>
      <c r="B587" s="10">
        <f>B585</f>
        <v>2</v>
      </c>
      <c r="C587" s="10">
        <f>C585</f>
        <v>3</v>
      </c>
      <c r="D587" s="10">
        <f>D585</f>
        <v>5</v>
      </c>
      <c r="E587" s="39">
        <f>SUM(B587:D587)</f>
        <v>10</v>
      </c>
      <c r="F587" s="10">
        <f>F585</f>
        <v>7</v>
      </c>
      <c r="G587" s="10">
        <f>G585</f>
        <v>8</v>
      </c>
      <c r="H587" s="10">
        <f>H585</f>
        <v>9</v>
      </c>
      <c r="I587" s="39">
        <f>SUM(F587:H587)</f>
        <v>24</v>
      </c>
      <c r="J587" s="10">
        <f>J585</f>
        <v>7</v>
      </c>
      <c r="K587" s="10">
        <f>K585</f>
        <v>6</v>
      </c>
      <c r="L587" s="10">
        <f>L585</f>
        <v>6</v>
      </c>
      <c r="M587" s="39">
        <f>SUM(J587:L587)</f>
        <v>19</v>
      </c>
      <c r="N587" s="10">
        <f>N585</f>
        <v>5</v>
      </c>
      <c r="O587" s="10">
        <f>O585</f>
        <v>3</v>
      </c>
      <c r="P587" s="10">
        <f>P585</f>
        <v>2</v>
      </c>
      <c r="Q587" s="39">
        <f>SUM(N587:P587)</f>
        <v>10</v>
      </c>
      <c r="R587" s="39">
        <f>+E587+I587+M587+Q587</f>
        <v>63</v>
      </c>
    </row>
    <row r="588" spans="1:18" ht="15.75" customHeight="1" x14ac:dyDescent="0.3">
      <c r="A588" s="234" t="s">
        <v>1897</v>
      </c>
      <c r="B588" s="10">
        <f>(B587/31)/1.983</f>
        <v>3.2534608689993978E-2</v>
      </c>
      <c r="C588" s="10">
        <f>(C587/28)/1.983</f>
        <v>5.403068943159714E-2</v>
      </c>
      <c r="D588" s="10">
        <f>(D587/31)/1.983</f>
        <v>8.1336521724984942E-2</v>
      </c>
      <c r="E588" s="38" t="s">
        <v>852</v>
      </c>
      <c r="F588" s="10">
        <f>(F587/30)/1.983</f>
        <v>0.1176668347621449</v>
      </c>
      <c r="G588" s="10">
        <f>(G587/31)/1.983</f>
        <v>0.13013843475997591</v>
      </c>
      <c r="H588" s="10">
        <f>(H587/30)/1.983</f>
        <v>0.15128593040847199</v>
      </c>
      <c r="I588" s="38" t="s">
        <v>852</v>
      </c>
      <c r="J588" s="10">
        <f>(J587/31)/1.983</f>
        <v>0.11387113041497893</v>
      </c>
      <c r="K588" s="10">
        <f>(K587/31)/1.983</f>
        <v>9.7603826069981942E-2</v>
      </c>
      <c r="L588" s="10">
        <f>(L587/30)/1.983</f>
        <v>0.10085728693898134</v>
      </c>
      <c r="M588" s="38" t="s">
        <v>852</v>
      </c>
      <c r="N588" s="10">
        <f>(N587/31)/1.983</f>
        <v>8.1336521724984942E-2</v>
      </c>
      <c r="O588" s="10">
        <f>(O587/30)/1.983</f>
        <v>5.0428643469490671E-2</v>
      </c>
      <c r="P588" s="10">
        <f>(P587/31)/1.983</f>
        <v>3.2534608689993978E-2</v>
      </c>
      <c r="Q588" s="38" t="s">
        <v>852</v>
      </c>
      <c r="R588" s="38" t="s">
        <v>852</v>
      </c>
    </row>
    <row r="589" spans="1:18" ht="15.75" customHeight="1" x14ac:dyDescent="0.3">
      <c r="A589" s="234" t="s">
        <v>585</v>
      </c>
      <c r="B589" s="10">
        <f>B587+B623+B664-B618</f>
        <v>1302</v>
      </c>
      <c r="C589" s="10">
        <f>C587+C623+C664-C618</f>
        <v>1853</v>
      </c>
      <c r="D589" s="10">
        <f>D587+D623+D664-D618</f>
        <v>3792</v>
      </c>
      <c r="E589" s="38">
        <f>SUM(B589:D589)</f>
        <v>6947</v>
      </c>
      <c r="F589" s="10">
        <f>F587+F623+F664-F618</f>
        <v>3499</v>
      </c>
      <c r="G589" s="10">
        <f>G587+G623+G664-G618</f>
        <v>4287</v>
      </c>
      <c r="H589" s="10">
        <f>H587+H623+H664-H618</f>
        <v>3925</v>
      </c>
      <c r="I589" s="38">
        <f>SUM(F589:H589)</f>
        <v>11711</v>
      </c>
      <c r="J589" s="10">
        <f>J587+J623+J664-J618</f>
        <v>2132</v>
      </c>
      <c r="K589" s="10">
        <f>K587+K623+K664-K618</f>
        <v>4196</v>
      </c>
      <c r="L589" s="10">
        <f>L587+L623+L664-L618</f>
        <v>3962</v>
      </c>
      <c r="M589" s="38">
        <f>SUM(J589:L589)</f>
        <v>10290</v>
      </c>
      <c r="N589" s="10">
        <f>N587+N623+N664-N618</f>
        <v>1963</v>
      </c>
      <c r="O589" s="10">
        <f>O587+O623+O664-O618</f>
        <v>2648</v>
      </c>
      <c r="P589" s="10">
        <f>P587+P623+P664-P618</f>
        <v>2317</v>
      </c>
      <c r="Q589" s="38">
        <f>SUM(N589:P589)</f>
        <v>6928</v>
      </c>
      <c r="R589" s="38">
        <f>+E589+I589+M589+Q589</f>
        <v>35876</v>
      </c>
    </row>
    <row r="590" spans="1:18" ht="15.75" customHeight="1" thickBot="1" x14ac:dyDescent="0.35">
      <c r="A590" s="237" t="s">
        <v>57</v>
      </c>
      <c r="B590" s="294">
        <f>(B589/31)/1.983</f>
        <v>21.180030257186079</v>
      </c>
      <c r="C590" s="294">
        <f>(C589/28)/1.983</f>
        <v>33.372955838916504</v>
      </c>
      <c r="D590" s="294">
        <f>(D589/31)/1.983</f>
        <v>61.685618076228586</v>
      </c>
      <c r="E590" s="40" t="s">
        <v>852</v>
      </c>
      <c r="F590" s="294">
        <f>(F589/30)/1.983</f>
        <v>58.816607833249286</v>
      </c>
      <c r="G590" s="294">
        <f>(G589/31)/1.983</f>
        <v>69.737933727002087</v>
      </c>
      <c r="H590" s="294">
        <f>(H589/30)/1.983</f>
        <v>65.97747520591696</v>
      </c>
      <c r="I590" s="40" t="s">
        <v>852</v>
      </c>
      <c r="J590" s="294">
        <f>(J589/31)/1.983</f>
        <v>34.681892863533584</v>
      </c>
      <c r="K590" s="294">
        <f>(K589/31)/1.983</f>
        <v>68.257609031607359</v>
      </c>
      <c r="L590" s="294">
        <f>(L589/30)/1.983</f>
        <v>66.599428475374012</v>
      </c>
      <c r="M590" s="40" t="s">
        <v>852</v>
      </c>
      <c r="N590" s="294">
        <f>(N589/31)/1.983</f>
        <v>31.932718429229091</v>
      </c>
      <c r="O590" s="294">
        <f>(O589/30)/1.983</f>
        <v>44.511682635737095</v>
      </c>
      <c r="P590" s="294">
        <f>(P589/31)/1.983</f>
        <v>37.691344167358025</v>
      </c>
      <c r="Q590" s="40" t="s">
        <v>852</v>
      </c>
      <c r="R590" s="40" t="s">
        <v>852</v>
      </c>
    </row>
    <row r="591" spans="1:18" ht="15.75" customHeight="1" x14ac:dyDescent="0.3">
      <c r="A591" s="17"/>
      <c r="B591" s="10"/>
      <c r="C591" s="10"/>
      <c r="D591" s="10"/>
      <c r="E591" s="10"/>
      <c r="F591" s="10"/>
      <c r="G591" s="10"/>
      <c r="H591" s="10"/>
      <c r="I591" s="10"/>
      <c r="J591" s="10"/>
      <c r="K591" s="10"/>
      <c r="L591" s="10"/>
      <c r="M591" s="10"/>
      <c r="N591" s="10"/>
      <c r="O591" s="10"/>
      <c r="P591" s="10"/>
      <c r="Q591" s="10"/>
      <c r="R591" s="17"/>
    </row>
    <row r="592" spans="1:18" ht="15.75" customHeight="1" thickBot="1" x14ac:dyDescent="0.35">
      <c r="A592" s="17"/>
      <c r="B592" s="10"/>
      <c r="C592" s="10"/>
      <c r="D592" s="10"/>
      <c r="E592" s="10"/>
      <c r="F592" s="10"/>
      <c r="G592" s="10"/>
      <c r="H592" s="10"/>
      <c r="I592" s="10"/>
      <c r="J592" s="10"/>
      <c r="K592" s="10"/>
      <c r="L592" s="10"/>
      <c r="M592" s="10"/>
      <c r="N592" s="10"/>
      <c r="O592" s="10"/>
      <c r="P592" s="10"/>
      <c r="Q592" s="10"/>
      <c r="R592" s="17"/>
    </row>
    <row r="593" spans="1:18" ht="15.75" customHeight="1" thickBot="1" x14ac:dyDescent="0.35">
      <c r="A593" s="278" t="s">
        <v>1709</v>
      </c>
      <c r="B593" s="4" t="s">
        <v>2090</v>
      </c>
      <c r="C593" s="5" t="s">
        <v>2091</v>
      </c>
      <c r="D593" s="5" t="s">
        <v>2234</v>
      </c>
      <c r="E593" s="35" t="s">
        <v>1594</v>
      </c>
      <c r="F593" s="5" t="s">
        <v>2235</v>
      </c>
      <c r="G593" s="5" t="s">
        <v>2236</v>
      </c>
      <c r="H593" s="5" t="s">
        <v>2237</v>
      </c>
      <c r="I593" s="35" t="s">
        <v>1595</v>
      </c>
      <c r="J593" s="5" t="s">
        <v>1504</v>
      </c>
      <c r="K593" s="5" t="s">
        <v>1505</v>
      </c>
      <c r="L593" s="5" t="s">
        <v>1506</v>
      </c>
      <c r="M593" s="35" t="s">
        <v>1596</v>
      </c>
      <c r="N593" s="5" t="s">
        <v>1507</v>
      </c>
      <c r="O593" s="5" t="s">
        <v>1508</v>
      </c>
      <c r="P593" s="5" t="s">
        <v>1509</v>
      </c>
      <c r="Q593" s="35" t="s">
        <v>1597</v>
      </c>
      <c r="R593" s="59" t="s">
        <v>1510</v>
      </c>
    </row>
    <row r="594" spans="1:18" ht="15.75" customHeight="1" thickBot="1" x14ac:dyDescent="0.35">
      <c r="A594" s="22"/>
      <c r="B594" s="297"/>
      <c r="C594" s="297"/>
      <c r="D594" s="297"/>
      <c r="E594" s="325"/>
      <c r="F594" s="297"/>
      <c r="G594" s="297"/>
      <c r="H594" s="297"/>
      <c r="I594" s="325"/>
      <c r="J594" s="297"/>
      <c r="K594" s="297"/>
      <c r="L594" s="297"/>
      <c r="M594" s="325"/>
      <c r="N594" s="297"/>
      <c r="O594" s="297"/>
      <c r="P594" s="297"/>
      <c r="Q594" s="325"/>
      <c r="R594" s="19"/>
    </row>
    <row r="595" spans="1:18" ht="15.75" customHeight="1" x14ac:dyDescent="0.3">
      <c r="A595" s="234" t="s">
        <v>2417</v>
      </c>
      <c r="B595" s="10" t="s">
        <v>852</v>
      </c>
      <c r="C595" s="10" t="s">
        <v>852</v>
      </c>
      <c r="D595" s="10" t="s">
        <v>852</v>
      </c>
      <c r="E595" s="38" t="s">
        <v>852</v>
      </c>
      <c r="F595" s="10" t="s">
        <v>852</v>
      </c>
      <c r="G595" s="10" t="s">
        <v>852</v>
      </c>
      <c r="H595" s="10" t="s">
        <v>852</v>
      </c>
      <c r="I595" s="38" t="s">
        <v>852</v>
      </c>
      <c r="J595" s="10" t="s">
        <v>852</v>
      </c>
      <c r="K595" s="10" t="s">
        <v>852</v>
      </c>
      <c r="L595" s="10" t="s">
        <v>852</v>
      </c>
      <c r="M595" s="38" t="s">
        <v>852</v>
      </c>
      <c r="N595" s="10" t="s">
        <v>852</v>
      </c>
      <c r="O595" s="10" t="s">
        <v>852</v>
      </c>
      <c r="P595" s="10" t="s">
        <v>852</v>
      </c>
      <c r="Q595" s="38" t="s">
        <v>852</v>
      </c>
      <c r="R595" s="38" t="s">
        <v>852</v>
      </c>
    </row>
    <row r="596" spans="1:18" ht="15.75" customHeight="1" x14ac:dyDescent="0.3">
      <c r="A596" s="234" t="s">
        <v>2160</v>
      </c>
      <c r="B596" s="10"/>
      <c r="C596" s="10"/>
      <c r="D596" s="10"/>
      <c r="E596" s="38" t="s">
        <v>852</v>
      </c>
      <c r="F596" s="10"/>
      <c r="G596" s="10"/>
      <c r="H596" s="10"/>
      <c r="I596" s="38" t="s">
        <v>852</v>
      </c>
      <c r="J596" s="10"/>
      <c r="K596" s="10"/>
      <c r="L596" s="10"/>
      <c r="M596" s="38" t="s">
        <v>852</v>
      </c>
      <c r="N596" s="10"/>
      <c r="O596" s="10"/>
      <c r="P596" s="10"/>
      <c r="Q596" s="38" t="s">
        <v>852</v>
      </c>
      <c r="R596" s="38" t="s">
        <v>852</v>
      </c>
    </row>
    <row r="597" spans="1:18" ht="15.75" customHeight="1" x14ac:dyDescent="0.3">
      <c r="A597" s="310" t="s">
        <v>573</v>
      </c>
      <c r="B597" s="10">
        <v>91</v>
      </c>
      <c r="C597" s="10">
        <v>85</v>
      </c>
      <c r="D597" s="10">
        <v>11</v>
      </c>
      <c r="E597" s="38">
        <f>SUM(B597:D597)</f>
        <v>187</v>
      </c>
      <c r="F597" s="10">
        <v>166</v>
      </c>
      <c r="G597" s="10">
        <v>132</v>
      </c>
      <c r="H597" s="10">
        <v>49</v>
      </c>
      <c r="I597" s="38">
        <f>SUM(F597:H597)</f>
        <v>347</v>
      </c>
      <c r="J597" s="10">
        <v>101</v>
      </c>
      <c r="K597" s="10">
        <v>47</v>
      </c>
      <c r="L597" s="10">
        <v>91</v>
      </c>
      <c r="M597" s="38">
        <f>SUM(J597:L597)</f>
        <v>239</v>
      </c>
      <c r="N597" s="10">
        <v>54</v>
      </c>
      <c r="O597" s="10">
        <v>68</v>
      </c>
      <c r="P597" s="10">
        <v>60</v>
      </c>
      <c r="Q597" s="38">
        <f>SUM(N597:P597)</f>
        <v>182</v>
      </c>
      <c r="R597" s="38">
        <f>+E597+I597+M597+Q597</f>
        <v>955</v>
      </c>
    </row>
    <row r="598" spans="1:18" ht="15.75" customHeight="1" x14ac:dyDescent="0.3">
      <c r="A598" s="234" t="s">
        <v>2161</v>
      </c>
      <c r="B598" s="10"/>
      <c r="C598" s="10"/>
      <c r="D598" s="10"/>
      <c r="E598" s="38" t="s">
        <v>852</v>
      </c>
      <c r="F598" s="10"/>
      <c r="G598" s="10"/>
      <c r="H598" s="10"/>
      <c r="I598" s="38" t="s">
        <v>852</v>
      </c>
      <c r="J598" s="10"/>
      <c r="K598" s="10"/>
      <c r="L598" s="10"/>
      <c r="M598" s="38" t="s">
        <v>852</v>
      </c>
      <c r="N598" s="10"/>
      <c r="O598" s="10"/>
      <c r="P598" s="10"/>
      <c r="Q598" s="38" t="s">
        <v>852</v>
      </c>
      <c r="R598" s="38" t="s">
        <v>852</v>
      </c>
    </row>
    <row r="599" spans="1:18" ht="15.75" customHeight="1" x14ac:dyDescent="0.3">
      <c r="A599" s="234" t="s">
        <v>2162</v>
      </c>
      <c r="B599" s="10"/>
      <c r="C599" s="10"/>
      <c r="D599" s="10"/>
      <c r="E599" s="38" t="s">
        <v>852</v>
      </c>
      <c r="F599" s="10"/>
      <c r="G599" s="10"/>
      <c r="H599" s="10"/>
      <c r="I599" s="38" t="s">
        <v>852</v>
      </c>
      <c r="J599" s="10"/>
      <c r="K599" s="10"/>
      <c r="L599" s="10"/>
      <c r="M599" s="38" t="s">
        <v>852</v>
      </c>
      <c r="N599" s="10"/>
      <c r="O599" s="10"/>
      <c r="P599" s="10"/>
      <c r="Q599" s="38" t="s">
        <v>852</v>
      </c>
      <c r="R599" s="38" t="s">
        <v>852</v>
      </c>
    </row>
    <row r="600" spans="1:18" ht="15.75" customHeight="1" thickBot="1" x14ac:dyDescent="0.35">
      <c r="A600" s="234" t="s">
        <v>2164</v>
      </c>
      <c r="B600" s="10"/>
      <c r="C600" s="10"/>
      <c r="D600" s="10"/>
      <c r="E600" s="38" t="s">
        <v>852</v>
      </c>
      <c r="F600" s="10"/>
      <c r="G600" s="10"/>
      <c r="H600" s="10"/>
      <c r="I600" s="38" t="s">
        <v>852</v>
      </c>
      <c r="J600" s="10"/>
      <c r="K600" s="10"/>
      <c r="L600" s="10"/>
      <c r="M600" s="38" t="s">
        <v>852</v>
      </c>
      <c r="N600" s="10"/>
      <c r="O600" s="10"/>
      <c r="P600" s="10"/>
      <c r="Q600" s="38" t="s">
        <v>852</v>
      </c>
      <c r="R600" s="38" t="s">
        <v>852</v>
      </c>
    </row>
    <row r="601" spans="1:18" ht="15.75" customHeight="1" thickBot="1" x14ac:dyDescent="0.35">
      <c r="A601" s="43" t="s">
        <v>1218</v>
      </c>
      <c r="B601" s="45">
        <f>SUM(B595:B600)</f>
        <v>91</v>
      </c>
      <c r="C601" s="46">
        <f>SUM(C595:C600)</f>
        <v>85</v>
      </c>
      <c r="D601" s="46">
        <f>SUM(D595:D600)</f>
        <v>11</v>
      </c>
      <c r="E601" s="37">
        <f>SUM(B601:D601)</f>
        <v>187</v>
      </c>
      <c r="F601" s="46">
        <f>SUM(F595:F600)</f>
        <v>166</v>
      </c>
      <c r="G601" s="46">
        <f>SUM(G595:G600)</f>
        <v>132</v>
      </c>
      <c r="H601" s="46">
        <f>SUM(H595:H600)</f>
        <v>49</v>
      </c>
      <c r="I601" s="37">
        <f>SUM(F601:H601)</f>
        <v>347</v>
      </c>
      <c r="J601" s="46">
        <f>SUM(J595:J600)</f>
        <v>101</v>
      </c>
      <c r="K601" s="46">
        <f>SUM(K595:K600)</f>
        <v>47</v>
      </c>
      <c r="L601" s="46">
        <f>SUM(L595:L600)</f>
        <v>91</v>
      </c>
      <c r="M601" s="37">
        <f>SUM(J601:L601)</f>
        <v>239</v>
      </c>
      <c r="N601" s="46">
        <f>SUM(N595:N600)</f>
        <v>54</v>
      </c>
      <c r="O601" s="46">
        <f>SUM(O595:O600)</f>
        <v>68</v>
      </c>
      <c r="P601" s="46">
        <f>SUM(P595:P600)</f>
        <v>60</v>
      </c>
      <c r="Q601" s="37">
        <f>SUM(N601:P601)</f>
        <v>182</v>
      </c>
      <c r="R601" s="37">
        <f>+E601+I601+M601+Q601</f>
        <v>955</v>
      </c>
    </row>
    <row r="602" spans="1:18" ht="15.75" customHeight="1" x14ac:dyDescent="0.3">
      <c r="A602" s="234" t="s">
        <v>1172</v>
      </c>
      <c r="B602" s="10"/>
      <c r="C602" s="10"/>
      <c r="D602" s="10"/>
      <c r="E602" s="38" t="s">
        <v>852</v>
      </c>
      <c r="F602" s="10"/>
      <c r="G602" s="10"/>
      <c r="H602" s="10"/>
      <c r="I602" s="38" t="s">
        <v>852</v>
      </c>
      <c r="J602" s="10"/>
      <c r="K602" s="10"/>
      <c r="L602" s="10"/>
      <c r="M602" s="38" t="s">
        <v>852</v>
      </c>
      <c r="N602" s="10"/>
      <c r="O602" s="10"/>
      <c r="P602" s="10"/>
      <c r="Q602" s="38" t="s">
        <v>852</v>
      </c>
      <c r="R602" s="38" t="s">
        <v>852</v>
      </c>
    </row>
    <row r="603" spans="1:18" ht="15.75" customHeight="1" x14ac:dyDescent="0.3">
      <c r="A603" s="234" t="s">
        <v>2409</v>
      </c>
      <c r="B603" s="10"/>
      <c r="C603" s="10"/>
      <c r="D603" s="10"/>
      <c r="E603" s="38" t="s">
        <v>852</v>
      </c>
      <c r="F603" s="10"/>
      <c r="G603" s="10"/>
      <c r="H603" s="10"/>
      <c r="I603" s="38" t="s">
        <v>852</v>
      </c>
      <c r="J603" s="10"/>
      <c r="K603" s="10"/>
      <c r="L603" s="10"/>
      <c r="M603" s="38" t="s">
        <v>852</v>
      </c>
      <c r="N603" s="10"/>
      <c r="O603" s="10"/>
      <c r="P603" s="10"/>
      <c r="Q603" s="38" t="s">
        <v>852</v>
      </c>
      <c r="R603" s="38" t="s">
        <v>852</v>
      </c>
    </row>
    <row r="604" spans="1:18" ht="15.75" customHeight="1" thickBot="1" x14ac:dyDescent="0.35">
      <c r="A604" s="234" t="s">
        <v>2165</v>
      </c>
      <c r="B604" s="10"/>
      <c r="C604" s="10"/>
      <c r="D604" s="10"/>
      <c r="E604" s="38" t="s">
        <v>852</v>
      </c>
      <c r="F604" s="10"/>
      <c r="G604" s="10"/>
      <c r="H604" s="10"/>
      <c r="I604" s="38" t="s">
        <v>852</v>
      </c>
      <c r="J604" s="10"/>
      <c r="K604" s="10"/>
      <c r="L604" s="10"/>
      <c r="M604" s="38" t="s">
        <v>852</v>
      </c>
      <c r="N604" s="10"/>
      <c r="O604" s="10"/>
      <c r="P604" s="10"/>
      <c r="Q604" s="38" t="s">
        <v>852</v>
      </c>
      <c r="R604" s="38" t="s">
        <v>852</v>
      </c>
    </row>
    <row r="605" spans="1:18" ht="15.75" customHeight="1" thickBot="1" x14ac:dyDescent="0.35">
      <c r="A605" s="43" t="s">
        <v>1219</v>
      </c>
      <c r="B605" s="45">
        <f>SUM(B602:B604)</f>
        <v>0</v>
      </c>
      <c r="C605" s="46">
        <f>SUM(C602:C604)</f>
        <v>0</v>
      </c>
      <c r="D605" s="46">
        <f>SUM(D602:D604)</f>
        <v>0</v>
      </c>
      <c r="E605" s="37">
        <f>SUM(B605:D605)</f>
        <v>0</v>
      </c>
      <c r="F605" s="46">
        <f>SUM(F602:F604)</f>
        <v>0</v>
      </c>
      <c r="G605" s="46">
        <f>SUM(G602:G604)</f>
        <v>0</v>
      </c>
      <c r="H605" s="46">
        <f>SUM(H602:H604)</f>
        <v>0</v>
      </c>
      <c r="I605" s="37">
        <f>SUM(F605:H605)</f>
        <v>0</v>
      </c>
      <c r="J605" s="46">
        <f>SUM(J602:J604)</f>
        <v>0</v>
      </c>
      <c r="K605" s="46">
        <f>SUM(K602:K604)</f>
        <v>0</v>
      </c>
      <c r="L605" s="46">
        <f>SUM(L602:L604)</f>
        <v>0</v>
      </c>
      <c r="M605" s="37">
        <f>SUM(J605:L605)</f>
        <v>0</v>
      </c>
      <c r="N605" s="46">
        <f>SUM(N602:N604)</f>
        <v>0</v>
      </c>
      <c r="O605" s="46">
        <f>SUM(O602:O604)</f>
        <v>0</v>
      </c>
      <c r="P605" s="46">
        <f>SUM(P602:P604)</f>
        <v>0</v>
      </c>
      <c r="Q605" s="37">
        <f>SUM(N605:P605)</f>
        <v>0</v>
      </c>
      <c r="R605" s="37">
        <f>+E605+I605+M605+Q605</f>
        <v>0</v>
      </c>
    </row>
    <row r="606" spans="1:18" ht="15.75" customHeight="1" x14ac:dyDescent="0.3">
      <c r="A606" s="234" t="s">
        <v>2166</v>
      </c>
      <c r="B606" s="10"/>
      <c r="C606" s="10"/>
      <c r="D606" s="10"/>
      <c r="E606" s="38" t="s">
        <v>852</v>
      </c>
      <c r="F606" s="10"/>
      <c r="G606" s="10"/>
      <c r="H606" s="10"/>
      <c r="I606" s="38" t="s">
        <v>852</v>
      </c>
      <c r="J606" s="10"/>
      <c r="K606" s="10"/>
      <c r="L606" s="10"/>
      <c r="M606" s="38" t="s">
        <v>852</v>
      </c>
      <c r="N606" s="10"/>
      <c r="O606" s="10"/>
      <c r="P606" s="10"/>
      <c r="Q606" s="38" t="s">
        <v>852</v>
      </c>
      <c r="R606" s="38" t="s">
        <v>852</v>
      </c>
    </row>
    <row r="607" spans="1:18" ht="15.75" customHeight="1" x14ac:dyDescent="0.3">
      <c r="A607" s="234" t="s">
        <v>1245</v>
      </c>
      <c r="B607" s="10"/>
      <c r="C607" s="10"/>
      <c r="D607" s="10"/>
      <c r="E607" s="38" t="s">
        <v>852</v>
      </c>
      <c r="F607" s="10"/>
      <c r="G607" s="10"/>
      <c r="H607" s="10"/>
      <c r="I607" s="38" t="s">
        <v>852</v>
      </c>
      <c r="J607" s="10"/>
      <c r="K607" s="10"/>
      <c r="L607" s="10"/>
      <c r="M607" s="38" t="s">
        <v>852</v>
      </c>
      <c r="N607" s="10"/>
      <c r="O607" s="10"/>
      <c r="P607" s="10"/>
      <c r="Q607" s="38" t="s">
        <v>852</v>
      </c>
      <c r="R607" s="38" t="s">
        <v>852</v>
      </c>
    </row>
    <row r="608" spans="1:18" ht="15.75" customHeight="1" thickBot="1" x14ac:dyDescent="0.35">
      <c r="A608" s="234" t="s">
        <v>1711</v>
      </c>
      <c r="B608" s="10"/>
      <c r="C608" s="10"/>
      <c r="D608" s="10"/>
      <c r="E608" s="38" t="s">
        <v>852</v>
      </c>
      <c r="F608" s="10"/>
      <c r="G608" s="10"/>
      <c r="H608" s="10"/>
      <c r="I608" s="38" t="s">
        <v>852</v>
      </c>
      <c r="J608" s="10"/>
      <c r="K608" s="10"/>
      <c r="L608" s="10"/>
      <c r="M608" s="38" t="s">
        <v>852</v>
      </c>
      <c r="N608" s="10"/>
      <c r="O608" s="10"/>
      <c r="P608" s="10"/>
      <c r="Q608" s="38" t="s">
        <v>852</v>
      </c>
      <c r="R608" s="38" t="s">
        <v>852</v>
      </c>
    </row>
    <row r="609" spans="1:18" ht="15.75" customHeight="1" thickBot="1" x14ac:dyDescent="0.35">
      <c r="A609" s="43" t="s">
        <v>1220</v>
      </c>
      <c r="B609" s="45">
        <f>SUM(B606:B608)</f>
        <v>0</v>
      </c>
      <c r="C609" s="46">
        <f>SUM(C606:C608)</f>
        <v>0</v>
      </c>
      <c r="D609" s="46">
        <f>SUM(D606:D608)</f>
        <v>0</v>
      </c>
      <c r="E609" s="37">
        <f>SUM(B609:D609)</f>
        <v>0</v>
      </c>
      <c r="F609" s="46">
        <f>SUM(F606:F608)</f>
        <v>0</v>
      </c>
      <c r="G609" s="46">
        <f>SUM(G606:G608)</f>
        <v>0</v>
      </c>
      <c r="H609" s="46">
        <f>SUM(H606:H608)</f>
        <v>0</v>
      </c>
      <c r="I609" s="37">
        <f>SUM(F609:H609)</f>
        <v>0</v>
      </c>
      <c r="J609" s="46">
        <f>SUM(J606:J608)</f>
        <v>0</v>
      </c>
      <c r="K609" s="46">
        <f>SUM(K606:K608)</f>
        <v>0</v>
      </c>
      <c r="L609" s="46">
        <f>SUM(L606:L608)</f>
        <v>0</v>
      </c>
      <c r="M609" s="37">
        <f>SUM(J609:L609)</f>
        <v>0</v>
      </c>
      <c r="N609" s="46">
        <f>SUM(N606:N608)</f>
        <v>0</v>
      </c>
      <c r="O609" s="46">
        <f>SUM(O606:O608)</f>
        <v>0</v>
      </c>
      <c r="P609" s="46">
        <f>SUM(P606:P608)</f>
        <v>0</v>
      </c>
      <c r="Q609" s="37">
        <f>SUM(N609:P609)</f>
        <v>0</v>
      </c>
      <c r="R609" s="37">
        <f>+E609+I609+M609+Q609</f>
        <v>0</v>
      </c>
    </row>
    <row r="610" spans="1:18" ht="15.75" customHeight="1" x14ac:dyDescent="0.3">
      <c r="A610" s="234" t="s">
        <v>1712</v>
      </c>
      <c r="B610" s="10"/>
      <c r="C610" s="10"/>
      <c r="D610" s="10"/>
      <c r="E610" s="38" t="s">
        <v>852</v>
      </c>
      <c r="F610" s="10"/>
      <c r="G610" s="10"/>
      <c r="H610" s="10"/>
      <c r="I610" s="38" t="s">
        <v>852</v>
      </c>
      <c r="J610" s="10"/>
      <c r="K610" s="10"/>
      <c r="L610" s="10"/>
      <c r="M610" s="38" t="s">
        <v>852</v>
      </c>
      <c r="N610" s="10"/>
      <c r="O610" s="10"/>
      <c r="P610" s="10"/>
      <c r="Q610" s="38" t="s">
        <v>852</v>
      </c>
      <c r="R610" s="38" t="s">
        <v>852</v>
      </c>
    </row>
    <row r="611" spans="1:18" ht="15.75" customHeight="1" x14ac:dyDescent="0.3">
      <c r="A611" s="234" t="s">
        <v>556</v>
      </c>
      <c r="B611" s="10"/>
      <c r="C611" s="10"/>
      <c r="D611" s="10"/>
      <c r="E611" s="38" t="s">
        <v>852</v>
      </c>
      <c r="F611" s="10"/>
      <c r="G611" s="10"/>
      <c r="H611" s="10"/>
      <c r="I611" s="38" t="s">
        <v>852</v>
      </c>
      <c r="J611" s="10"/>
      <c r="K611" s="10"/>
      <c r="L611" s="10"/>
      <c r="M611" s="38" t="s">
        <v>852</v>
      </c>
      <c r="N611" s="10"/>
      <c r="O611" s="10"/>
      <c r="P611" s="10"/>
      <c r="Q611" s="38" t="s">
        <v>852</v>
      </c>
      <c r="R611" s="38" t="s">
        <v>852</v>
      </c>
    </row>
    <row r="612" spans="1:18" ht="15.75" customHeight="1" x14ac:dyDescent="0.3">
      <c r="A612" s="234" t="s">
        <v>557</v>
      </c>
      <c r="B612" s="10"/>
      <c r="C612" s="10"/>
      <c r="D612" s="10"/>
      <c r="E612" s="38" t="s">
        <v>852</v>
      </c>
      <c r="F612" s="10"/>
      <c r="G612" s="10"/>
      <c r="H612" s="10"/>
      <c r="I612" s="38" t="s">
        <v>852</v>
      </c>
      <c r="J612" s="10"/>
      <c r="K612" s="10"/>
      <c r="L612" s="10"/>
      <c r="M612" s="38" t="s">
        <v>852</v>
      </c>
      <c r="N612" s="10"/>
      <c r="O612" s="10"/>
      <c r="P612" s="10"/>
      <c r="Q612" s="38" t="s">
        <v>852</v>
      </c>
      <c r="R612" s="38" t="s">
        <v>852</v>
      </c>
    </row>
    <row r="613" spans="1:18" ht="15.75" customHeight="1" x14ac:dyDescent="0.3">
      <c r="A613" s="234" t="s">
        <v>558</v>
      </c>
      <c r="B613" s="10"/>
      <c r="C613" s="10"/>
      <c r="D613" s="10"/>
      <c r="E613" s="38" t="s">
        <v>852</v>
      </c>
      <c r="F613" s="10"/>
      <c r="G613" s="10"/>
      <c r="H613" s="10"/>
      <c r="I613" s="38" t="s">
        <v>852</v>
      </c>
      <c r="J613" s="10"/>
      <c r="K613" s="10"/>
      <c r="L613" s="10"/>
      <c r="M613" s="38" t="s">
        <v>852</v>
      </c>
      <c r="N613" s="10"/>
      <c r="O613" s="10"/>
      <c r="P613" s="10"/>
      <c r="Q613" s="38" t="s">
        <v>852</v>
      </c>
      <c r="R613" s="38" t="s">
        <v>852</v>
      </c>
    </row>
    <row r="614" spans="1:18" ht="15.75" customHeight="1" thickBot="1" x14ac:dyDescent="0.35">
      <c r="A614" s="234" t="s">
        <v>559</v>
      </c>
      <c r="B614" s="10"/>
      <c r="C614" s="10"/>
      <c r="D614" s="10"/>
      <c r="E614" s="38" t="s">
        <v>852</v>
      </c>
      <c r="F614" s="10"/>
      <c r="G614" s="10"/>
      <c r="H614" s="10"/>
      <c r="I614" s="38" t="s">
        <v>852</v>
      </c>
      <c r="J614" s="10"/>
      <c r="K614" s="10"/>
      <c r="L614" s="10"/>
      <c r="M614" s="38" t="s">
        <v>852</v>
      </c>
      <c r="N614" s="10"/>
      <c r="O614" s="10"/>
      <c r="P614" s="10"/>
      <c r="Q614" s="38" t="s">
        <v>852</v>
      </c>
      <c r="R614" s="38" t="s">
        <v>852</v>
      </c>
    </row>
    <row r="615" spans="1:18" ht="15.75" customHeight="1" thickBot="1" x14ac:dyDescent="0.35">
      <c r="A615" s="43" t="s">
        <v>1019</v>
      </c>
      <c r="B615" s="42">
        <f>SUM(B614:B614)</f>
        <v>0</v>
      </c>
      <c r="C615" s="42">
        <f>SUM(C614:C614)</f>
        <v>0</v>
      </c>
      <c r="D615" s="42">
        <f>SUM(D614:D614)</f>
        <v>0</v>
      </c>
      <c r="E615" s="39">
        <f>SUM(B615:D615)</f>
        <v>0</v>
      </c>
      <c r="F615" s="42">
        <f>SUM(F614:F614)</f>
        <v>0</v>
      </c>
      <c r="G615" s="42">
        <f>SUM(G614:G614)</f>
        <v>0</v>
      </c>
      <c r="H615" s="42">
        <f>SUM(H614:H614)</f>
        <v>0</v>
      </c>
      <c r="I615" s="39">
        <f>SUM(F615:H615)</f>
        <v>0</v>
      </c>
      <c r="J615" s="42">
        <f>SUM(J614:J614)</f>
        <v>0</v>
      </c>
      <c r="K615" s="42">
        <f>SUM(K614:K614)</f>
        <v>0</v>
      </c>
      <c r="L615" s="42">
        <f>SUM(L614:L614)</f>
        <v>0</v>
      </c>
      <c r="M615" s="39">
        <f>SUM(J615:L615)</f>
        <v>0</v>
      </c>
      <c r="N615" s="42">
        <f>SUM(N614:N614)</f>
        <v>0</v>
      </c>
      <c r="O615" s="42">
        <f>SUM(O614:O614)</f>
        <v>0</v>
      </c>
      <c r="P615" s="42">
        <f>SUM(P614:P614)</f>
        <v>0</v>
      </c>
      <c r="Q615" s="39">
        <f>SUM(N615:P615)</f>
        <v>0</v>
      </c>
      <c r="R615" s="37">
        <f>+E615+I615+M615+Q615</f>
        <v>0</v>
      </c>
    </row>
    <row r="616" spans="1:18" ht="15.75" customHeight="1" thickBot="1" x14ac:dyDescent="0.35">
      <c r="A616" s="43" t="s">
        <v>1221</v>
      </c>
      <c r="B616" s="45">
        <f>SUM(B610:B614)</f>
        <v>0</v>
      </c>
      <c r="C616" s="46">
        <f>SUM(C610:C614)</f>
        <v>0</v>
      </c>
      <c r="D616" s="58">
        <f>SUM(D610:D614)</f>
        <v>0</v>
      </c>
      <c r="E616" s="39">
        <f>SUM(B616:D616)</f>
        <v>0</v>
      </c>
      <c r="F616" s="46">
        <f>SUM(F610:F614)</f>
        <v>0</v>
      </c>
      <c r="G616" s="46">
        <f>SUM(G610:G614)</f>
        <v>0</v>
      </c>
      <c r="H616" s="46">
        <f>SUM(H610:H614)</f>
        <v>0</v>
      </c>
      <c r="I616" s="39">
        <f>SUM(F616:H616)</f>
        <v>0</v>
      </c>
      <c r="J616" s="46">
        <f>SUM(J610:J614)</f>
        <v>0</v>
      </c>
      <c r="K616" s="46">
        <f>SUM(K610:K614)</f>
        <v>0</v>
      </c>
      <c r="L616" s="46">
        <f>SUM(L610:L614)</f>
        <v>0</v>
      </c>
      <c r="M616" s="39">
        <f>SUM(J616:L616)</f>
        <v>0</v>
      </c>
      <c r="N616" s="46">
        <f>SUM(N610:N614)</f>
        <v>0</v>
      </c>
      <c r="O616" s="46">
        <f>SUM(O610:O614)</f>
        <v>0</v>
      </c>
      <c r="P616" s="46">
        <f>SUM(P610:P614)</f>
        <v>0</v>
      </c>
      <c r="Q616" s="39">
        <f>SUM(N616:P616)</f>
        <v>0</v>
      </c>
      <c r="R616" s="37">
        <f>+E616+I616+M616+Q616</f>
        <v>0</v>
      </c>
    </row>
    <row r="617" spans="1:18" ht="15.75" customHeight="1" thickBot="1" x14ac:dyDescent="0.35">
      <c r="A617" s="43" t="s">
        <v>1222</v>
      </c>
      <c r="B617" s="47">
        <f>+B601+B605+B609+B616</f>
        <v>91</v>
      </c>
      <c r="C617" s="42">
        <f>+C601+C605+C609+C616</f>
        <v>85</v>
      </c>
      <c r="D617" s="42">
        <f>+D601+D605+D609+D616</f>
        <v>11</v>
      </c>
      <c r="E617" s="37">
        <f>SUM(B617:D617)</f>
        <v>187</v>
      </c>
      <c r="F617" s="42">
        <f>+F601+F605+F609+F616</f>
        <v>166</v>
      </c>
      <c r="G617" s="42">
        <f>+G601+G605+G609+G616</f>
        <v>132</v>
      </c>
      <c r="H617" s="42">
        <f>+H601+H605+H609+H616</f>
        <v>49</v>
      </c>
      <c r="I617" s="37">
        <f>SUM(F617:H617)</f>
        <v>347</v>
      </c>
      <c r="J617" s="42">
        <f>+J601+J605+J609+J616</f>
        <v>101</v>
      </c>
      <c r="K617" s="42">
        <f>+K601+K605+K609+K616</f>
        <v>47</v>
      </c>
      <c r="L617" s="42">
        <f>+L601+L605+L609+L616</f>
        <v>91</v>
      </c>
      <c r="M617" s="37">
        <f>SUM(J617:L617)</f>
        <v>239</v>
      </c>
      <c r="N617" s="42">
        <f>+N601+N605+N609+N616</f>
        <v>54</v>
      </c>
      <c r="O617" s="42">
        <f>+O601+O605+O609+O616</f>
        <v>68</v>
      </c>
      <c r="P617" s="42">
        <f>+P601+P605+P609+P616</f>
        <v>60</v>
      </c>
      <c r="Q617" s="37">
        <f>SUM(N617:P617)</f>
        <v>182</v>
      </c>
      <c r="R617" s="40">
        <f>+E617+I617+M617+Q617</f>
        <v>955</v>
      </c>
    </row>
    <row r="618" spans="1:18" ht="15.75" customHeight="1" x14ac:dyDescent="0.3">
      <c r="A618" s="310" t="s">
        <v>2117</v>
      </c>
      <c r="B618" s="10">
        <v>3916</v>
      </c>
      <c r="C618" s="10">
        <v>4706</v>
      </c>
      <c r="D618" s="10">
        <v>5279</v>
      </c>
      <c r="E618" s="38">
        <f>SUM(B618:D618)</f>
        <v>13901</v>
      </c>
      <c r="F618" s="10">
        <v>4224</v>
      </c>
      <c r="G618" s="10">
        <v>4605</v>
      </c>
      <c r="H618" s="10">
        <v>4993</v>
      </c>
      <c r="I618" s="38">
        <f>SUM(F618:H618)</f>
        <v>13822</v>
      </c>
      <c r="J618" s="10">
        <v>5094</v>
      </c>
      <c r="K618" s="10">
        <v>5529</v>
      </c>
      <c r="L618" s="10">
        <v>5372</v>
      </c>
      <c r="M618" s="38">
        <f>SUM(J618:L618)</f>
        <v>15995</v>
      </c>
      <c r="N618" s="10">
        <v>5032</v>
      </c>
      <c r="O618" s="10">
        <v>4707</v>
      </c>
      <c r="P618" s="10">
        <v>5021</v>
      </c>
      <c r="Q618" s="38">
        <f>SUM(N618:P618)</f>
        <v>14760</v>
      </c>
      <c r="R618" s="38">
        <f>+E618+I618+M618+Q618</f>
        <v>58478</v>
      </c>
    </row>
    <row r="619" spans="1:18" ht="15.75" customHeight="1" thickBot="1" x14ac:dyDescent="0.35">
      <c r="A619" s="310" t="s">
        <v>853</v>
      </c>
      <c r="B619" s="10">
        <v>0</v>
      </c>
      <c r="C619" s="10">
        <v>0</v>
      </c>
      <c r="D619" s="10">
        <v>0</v>
      </c>
      <c r="E619" s="38">
        <f>SUM(B619:D619)</f>
        <v>0</v>
      </c>
      <c r="F619" s="10">
        <v>0</v>
      </c>
      <c r="G619" s="10">
        <v>0</v>
      </c>
      <c r="H619" s="10">
        <v>0</v>
      </c>
      <c r="I619" s="38">
        <f>SUM(F619:H619)</f>
        <v>0</v>
      </c>
      <c r="J619" s="10">
        <v>0</v>
      </c>
      <c r="K619" s="10">
        <v>0</v>
      </c>
      <c r="L619" s="10">
        <v>0</v>
      </c>
      <c r="M619" s="38">
        <f>SUM(J619:L619)</f>
        <v>0</v>
      </c>
      <c r="N619" s="10">
        <v>0</v>
      </c>
      <c r="O619" s="10">
        <v>0</v>
      </c>
      <c r="P619" s="10">
        <v>0</v>
      </c>
      <c r="Q619" s="38">
        <f>SUM(N619:P619)</f>
        <v>0</v>
      </c>
      <c r="R619" s="38">
        <f>+E619+I619+M619+Q619</f>
        <v>0</v>
      </c>
    </row>
    <row r="620" spans="1:18" ht="15.75" customHeight="1" thickBot="1" x14ac:dyDescent="0.35">
      <c r="A620" s="281"/>
      <c r="B620" s="301"/>
      <c r="C620" s="301"/>
      <c r="D620" s="301"/>
      <c r="E620" s="37" t="s">
        <v>852</v>
      </c>
      <c r="F620" s="301"/>
      <c r="G620" s="301"/>
      <c r="H620" s="301"/>
      <c r="I620" s="37" t="s">
        <v>852</v>
      </c>
      <c r="J620" s="301"/>
      <c r="K620" s="301"/>
      <c r="L620" s="301"/>
      <c r="M620" s="37" t="s">
        <v>852</v>
      </c>
      <c r="N620" s="301"/>
      <c r="O620" s="301"/>
      <c r="P620" s="301"/>
      <c r="Q620" s="37"/>
      <c r="R620" s="37"/>
    </row>
    <row r="621" spans="1:18" ht="15.75" customHeight="1" x14ac:dyDescent="0.3">
      <c r="A621" s="234" t="s">
        <v>2011</v>
      </c>
      <c r="B621" s="10">
        <f>SUM(B617:B619)</f>
        <v>4007</v>
      </c>
      <c r="C621" s="10">
        <f>SUM(C617:C619)</f>
        <v>4791</v>
      </c>
      <c r="D621" s="10">
        <f>SUM(D617:D619)</f>
        <v>5290</v>
      </c>
      <c r="E621" s="39">
        <f>SUM(B621:D621)</f>
        <v>14088</v>
      </c>
      <c r="F621" s="10">
        <f>SUM(F617:F619)</f>
        <v>4390</v>
      </c>
      <c r="G621" s="10">
        <f>SUM(G617:G619)</f>
        <v>4737</v>
      </c>
      <c r="H621" s="10">
        <f>SUM(H617:H619)</f>
        <v>5042</v>
      </c>
      <c r="I621" s="39">
        <f>SUM(F621:H621)</f>
        <v>14169</v>
      </c>
      <c r="J621" s="10">
        <f>SUM(J617:J619)</f>
        <v>5195</v>
      </c>
      <c r="K621" s="10">
        <f>SUM(K617:K619)</f>
        <v>5576</v>
      </c>
      <c r="L621" s="10">
        <f>SUM(L617:L619)</f>
        <v>5463</v>
      </c>
      <c r="M621" s="39">
        <f>SUM(J621:L621)</f>
        <v>16234</v>
      </c>
      <c r="N621" s="10">
        <f>SUM(N617:N619)</f>
        <v>5086</v>
      </c>
      <c r="O621" s="10">
        <f>SUM(O617:O619)</f>
        <v>4775</v>
      </c>
      <c r="P621" s="10">
        <f>SUM(P617:P619)</f>
        <v>5081</v>
      </c>
      <c r="Q621" s="39">
        <f>SUM(N621:P621)</f>
        <v>14942</v>
      </c>
      <c r="R621" s="39">
        <f>+E621+I621+M621+Q621</f>
        <v>59433</v>
      </c>
    </row>
    <row r="622" spans="1:18" ht="15.75" customHeight="1" x14ac:dyDescent="0.3">
      <c r="A622" s="234" t="s">
        <v>1897</v>
      </c>
      <c r="B622" s="10">
        <f>(B621/31)/1.983</f>
        <v>65.183088510402939</v>
      </c>
      <c r="C622" s="10">
        <f>(C621/28)/1.983</f>
        <v>86.287011022260643</v>
      </c>
      <c r="D622" s="10">
        <f>(D621/31)/1.983</f>
        <v>86.05403998503408</v>
      </c>
      <c r="E622" s="38" t="s">
        <v>852</v>
      </c>
      <c r="F622" s="10">
        <f>(F621/30)/1.983</f>
        <v>73.793914943688023</v>
      </c>
      <c r="G622" s="10">
        <f>(G621/31)/1.983</f>
        <v>77.058220682250749</v>
      </c>
      <c r="H622" s="10">
        <f>(H621/30)/1.983</f>
        <v>84.753740124390646</v>
      </c>
      <c r="I622" s="38" t="s">
        <v>852</v>
      </c>
      <c r="J622" s="10">
        <f>(J621/31)/1.983</f>
        <v>84.508646072259367</v>
      </c>
      <c r="K622" s="10">
        <f>(K621/31)/1.983</f>
        <v>90.706489027703213</v>
      </c>
      <c r="L622" s="10">
        <f>(L621/30)/1.983</f>
        <v>91.83055975794251</v>
      </c>
      <c r="M622" s="38" t="s">
        <v>852</v>
      </c>
      <c r="N622" s="10">
        <f>(N621/31)/1.983</f>
        <v>82.735509898654684</v>
      </c>
      <c r="O622" s="10">
        <f>(O621/30)/1.983</f>
        <v>80.265590855605979</v>
      </c>
      <c r="P622" s="10">
        <f>(P621/31)/1.983</f>
        <v>82.654173376929705</v>
      </c>
      <c r="Q622" s="38" t="s">
        <v>852</v>
      </c>
      <c r="R622" s="38" t="s">
        <v>852</v>
      </c>
    </row>
    <row r="623" spans="1:18" ht="15.75" customHeight="1" x14ac:dyDescent="0.3">
      <c r="A623" s="234" t="s">
        <v>647</v>
      </c>
      <c r="B623" s="10">
        <f>B621</f>
        <v>4007</v>
      </c>
      <c r="C623" s="10">
        <f>C621</f>
        <v>4791</v>
      </c>
      <c r="D623" s="10">
        <f>D621</f>
        <v>5290</v>
      </c>
      <c r="E623" s="38">
        <f>SUM(B623:D623)</f>
        <v>14088</v>
      </c>
      <c r="F623" s="10">
        <f>F621</f>
        <v>4390</v>
      </c>
      <c r="G623" s="10">
        <f>G621</f>
        <v>4737</v>
      </c>
      <c r="H623" s="10">
        <f>H621</f>
        <v>5042</v>
      </c>
      <c r="I623" s="38">
        <f>SUM(F623:H623)</f>
        <v>14169</v>
      </c>
      <c r="J623" s="10">
        <f>J621</f>
        <v>5195</v>
      </c>
      <c r="K623" s="10">
        <f>K621</f>
        <v>5576</v>
      </c>
      <c r="L623" s="10">
        <f>L621</f>
        <v>5463</v>
      </c>
      <c r="M623" s="38">
        <f>SUM(J623:L623)</f>
        <v>16234</v>
      </c>
      <c r="N623" s="10">
        <f>N621</f>
        <v>5086</v>
      </c>
      <c r="O623" s="10">
        <f>O621</f>
        <v>4775</v>
      </c>
      <c r="P623" s="10">
        <f>P621</f>
        <v>5081</v>
      </c>
      <c r="Q623" s="38">
        <f>SUM(N623:P623)</f>
        <v>14942</v>
      </c>
      <c r="R623" s="38">
        <f>+E623+I623+M623+Q623</f>
        <v>59433</v>
      </c>
    </row>
    <row r="624" spans="1:18" ht="15.75" customHeight="1" thickBot="1" x14ac:dyDescent="0.35">
      <c r="A624" s="237" t="s">
        <v>2191</v>
      </c>
      <c r="B624" s="294">
        <f>(B623/31)/1.983</f>
        <v>65.183088510402939</v>
      </c>
      <c r="C624" s="294">
        <f>(C623/28)/1.983</f>
        <v>86.287011022260643</v>
      </c>
      <c r="D624" s="294">
        <f>(D623/31)/1.983</f>
        <v>86.05403998503408</v>
      </c>
      <c r="E624" s="40" t="s">
        <v>852</v>
      </c>
      <c r="F624" s="294">
        <f>(F623/30)/1.983</f>
        <v>73.793914943688023</v>
      </c>
      <c r="G624" s="294">
        <f>(G623/31)/1.983</f>
        <v>77.058220682250749</v>
      </c>
      <c r="H624" s="294">
        <f>(H623/30)/1.983</f>
        <v>84.753740124390646</v>
      </c>
      <c r="I624" s="40" t="s">
        <v>852</v>
      </c>
      <c r="J624" s="294">
        <f>(J623/31)/1.983</f>
        <v>84.508646072259367</v>
      </c>
      <c r="K624" s="294">
        <f>(K623/31)/1.983</f>
        <v>90.706489027703213</v>
      </c>
      <c r="L624" s="294">
        <f>(L623/30)/1.983</f>
        <v>91.83055975794251</v>
      </c>
      <c r="M624" s="40" t="s">
        <v>852</v>
      </c>
      <c r="N624" s="294">
        <f>(N623/31)/1.983</f>
        <v>82.735509898654684</v>
      </c>
      <c r="O624" s="294">
        <f>(O623/30)/1.983</f>
        <v>80.265590855605979</v>
      </c>
      <c r="P624" s="294">
        <f>(P623/31)/1.983</f>
        <v>82.654173376929705</v>
      </c>
      <c r="Q624" s="40" t="s">
        <v>852</v>
      </c>
      <c r="R624" s="40" t="s">
        <v>852</v>
      </c>
    </row>
    <row r="625" spans="1:18" ht="15.75" customHeight="1" x14ac:dyDescent="0.3">
      <c r="A625" s="17"/>
      <c r="B625" s="10"/>
      <c r="C625" s="10"/>
      <c r="D625" s="10"/>
      <c r="E625" s="10"/>
      <c r="F625" s="10"/>
      <c r="G625" s="10"/>
      <c r="H625" s="10"/>
      <c r="I625" s="10"/>
      <c r="J625" s="10"/>
      <c r="K625" s="10"/>
      <c r="L625" s="10"/>
      <c r="M625" s="10"/>
      <c r="N625" s="10"/>
      <c r="O625" s="10"/>
      <c r="P625" s="10"/>
      <c r="Q625" s="10"/>
      <c r="R625" s="17"/>
    </row>
    <row r="626" spans="1:18" ht="15.75" customHeight="1" thickBot="1" x14ac:dyDescent="0.35">
      <c r="A626" s="17"/>
      <c r="B626" s="10"/>
      <c r="C626" s="10"/>
      <c r="D626" s="10"/>
      <c r="E626" s="10"/>
      <c r="F626" s="10"/>
      <c r="G626" s="10"/>
      <c r="H626" s="10"/>
      <c r="I626" s="10"/>
      <c r="J626" s="10"/>
      <c r="K626" s="10"/>
      <c r="L626" s="10"/>
      <c r="M626" s="10"/>
      <c r="N626" s="10"/>
      <c r="O626" s="10"/>
      <c r="P626" s="10"/>
      <c r="Q626" s="10"/>
      <c r="R626" s="17"/>
    </row>
    <row r="627" spans="1:18" ht="15.75" customHeight="1" thickBot="1" x14ac:dyDescent="0.35">
      <c r="A627" s="278" t="s">
        <v>2192</v>
      </c>
      <c r="B627" s="4" t="s">
        <v>2090</v>
      </c>
      <c r="C627" s="5" t="s">
        <v>2091</v>
      </c>
      <c r="D627" s="5" t="s">
        <v>2234</v>
      </c>
      <c r="E627" s="33" t="s">
        <v>1594</v>
      </c>
      <c r="F627" s="5" t="s">
        <v>2235</v>
      </c>
      <c r="G627" s="5" t="s">
        <v>2236</v>
      </c>
      <c r="H627" s="5" t="s">
        <v>2237</v>
      </c>
      <c r="I627" s="35" t="s">
        <v>1595</v>
      </c>
      <c r="J627" s="5" t="s">
        <v>1504</v>
      </c>
      <c r="K627" s="5" t="s">
        <v>1505</v>
      </c>
      <c r="L627" s="5" t="s">
        <v>1506</v>
      </c>
      <c r="M627" s="35" t="s">
        <v>1596</v>
      </c>
      <c r="N627" s="5" t="s">
        <v>1507</v>
      </c>
      <c r="O627" s="5" t="s">
        <v>1508</v>
      </c>
      <c r="P627" s="5" t="s">
        <v>1509</v>
      </c>
      <c r="Q627" s="35" t="s">
        <v>1597</v>
      </c>
      <c r="R627" s="60" t="s">
        <v>1510</v>
      </c>
    </row>
    <row r="628" spans="1:18" ht="15.75" customHeight="1" thickBot="1" x14ac:dyDescent="0.35">
      <c r="A628" s="22"/>
      <c r="B628" s="297"/>
      <c r="C628" s="297"/>
      <c r="D628" s="297"/>
      <c r="E628" s="302"/>
      <c r="F628" s="297"/>
      <c r="G628" s="297"/>
      <c r="H628" s="297"/>
      <c r="I628" s="325"/>
      <c r="J628" s="297"/>
      <c r="K628" s="297"/>
      <c r="L628" s="297"/>
      <c r="M628" s="325"/>
      <c r="N628" s="297"/>
      <c r="O628" s="297"/>
      <c r="P628" s="297"/>
      <c r="Q628" s="326"/>
      <c r="R628" s="61"/>
    </row>
    <row r="629" spans="1:18" ht="15.75" customHeight="1" x14ac:dyDescent="0.3">
      <c r="A629" s="234" t="s">
        <v>2417</v>
      </c>
      <c r="B629" s="10" t="s">
        <v>852</v>
      </c>
      <c r="C629" s="10" t="s">
        <v>852</v>
      </c>
      <c r="D629" s="10" t="s">
        <v>852</v>
      </c>
      <c r="E629" s="327"/>
      <c r="F629" s="10" t="s">
        <v>852</v>
      </c>
      <c r="G629" s="10" t="s">
        <v>852</v>
      </c>
      <c r="H629" s="10" t="s">
        <v>852</v>
      </c>
      <c r="I629" s="327"/>
      <c r="J629" s="10" t="s">
        <v>852</v>
      </c>
      <c r="K629" s="10" t="s">
        <v>852</v>
      </c>
      <c r="L629" s="10" t="s">
        <v>852</v>
      </c>
      <c r="M629" s="327"/>
      <c r="N629" s="10" t="s">
        <v>852</v>
      </c>
      <c r="O629" s="10" t="s">
        <v>852</v>
      </c>
      <c r="P629" s="10" t="s">
        <v>852</v>
      </c>
      <c r="Q629" s="328"/>
      <c r="R629" s="62" t="s">
        <v>852</v>
      </c>
    </row>
    <row r="630" spans="1:18" ht="15.75" customHeight="1" x14ac:dyDescent="0.3">
      <c r="A630" s="234" t="s">
        <v>2160</v>
      </c>
      <c r="B630" s="10"/>
      <c r="C630" s="10"/>
      <c r="D630" s="10"/>
      <c r="E630" s="38" t="s">
        <v>852</v>
      </c>
      <c r="F630" s="10"/>
      <c r="G630" s="10"/>
      <c r="H630" s="10"/>
      <c r="I630" s="38" t="s">
        <v>852</v>
      </c>
      <c r="J630" s="10"/>
      <c r="K630" s="10"/>
      <c r="L630" s="10"/>
      <c r="M630" s="38" t="s">
        <v>852</v>
      </c>
      <c r="N630" s="10"/>
      <c r="O630" s="10"/>
      <c r="P630" s="10"/>
      <c r="Q630" s="38" t="s">
        <v>852</v>
      </c>
      <c r="R630" s="38" t="s">
        <v>852</v>
      </c>
    </row>
    <row r="631" spans="1:18" ht="15.75" customHeight="1" x14ac:dyDescent="0.3">
      <c r="A631" s="310" t="s">
        <v>1910</v>
      </c>
      <c r="B631" s="10">
        <v>0</v>
      </c>
      <c r="C631" s="10">
        <v>0</v>
      </c>
      <c r="D631" s="10">
        <v>0</v>
      </c>
      <c r="E631" s="38">
        <f>SUM(B631:D631)</f>
        <v>0</v>
      </c>
      <c r="F631" s="10">
        <v>0</v>
      </c>
      <c r="G631" s="10">
        <v>0</v>
      </c>
      <c r="H631" s="10">
        <v>0</v>
      </c>
      <c r="I631" s="38">
        <f>SUM(F631:H631)</f>
        <v>0</v>
      </c>
      <c r="J631" s="10">
        <v>0</v>
      </c>
      <c r="K631" s="10">
        <v>0</v>
      </c>
      <c r="L631" s="10">
        <v>250</v>
      </c>
      <c r="M631" s="38">
        <f>SUM(J631:L631)</f>
        <v>250</v>
      </c>
      <c r="N631" s="10">
        <v>0</v>
      </c>
      <c r="O631" s="10">
        <v>0</v>
      </c>
      <c r="P631" s="10">
        <v>275</v>
      </c>
      <c r="Q631" s="38">
        <f>SUM(N631:P631)</f>
        <v>275</v>
      </c>
      <c r="R631" s="38">
        <f>+E631+I631+M631+Q631</f>
        <v>525</v>
      </c>
    </row>
    <row r="632" spans="1:18" ht="15.75" customHeight="1" x14ac:dyDescent="0.3">
      <c r="A632" s="310" t="s">
        <v>715</v>
      </c>
      <c r="B632" s="172">
        <v>0</v>
      </c>
      <c r="C632" s="172">
        <v>0</v>
      </c>
      <c r="D632" s="172">
        <v>0</v>
      </c>
      <c r="E632" s="38">
        <f>SUM(B632:D632)</f>
        <v>0</v>
      </c>
      <c r="F632" s="172">
        <v>0</v>
      </c>
      <c r="G632" s="172">
        <v>0</v>
      </c>
      <c r="H632" s="172">
        <v>0</v>
      </c>
      <c r="I632" s="38">
        <f>SUM(F632:H632)</f>
        <v>0</v>
      </c>
      <c r="J632" s="172">
        <v>0</v>
      </c>
      <c r="K632" s="172">
        <v>0</v>
      </c>
      <c r="L632" s="172">
        <v>0</v>
      </c>
      <c r="M632" s="38">
        <f>SUM(J632:L632)</f>
        <v>0</v>
      </c>
      <c r="N632" s="172">
        <v>0</v>
      </c>
      <c r="O632" s="172">
        <v>0</v>
      </c>
      <c r="P632" s="172">
        <v>0</v>
      </c>
      <c r="Q632" s="38">
        <f>SUM(N632:P632)</f>
        <v>0</v>
      </c>
      <c r="R632" s="38">
        <f>+E632+I632+M632+Q632</f>
        <v>0</v>
      </c>
    </row>
    <row r="633" spans="1:18" ht="15.75" customHeight="1" x14ac:dyDescent="0.3">
      <c r="A633" s="234" t="s">
        <v>2161</v>
      </c>
      <c r="B633" s="10"/>
      <c r="C633" s="10"/>
      <c r="D633" s="10"/>
      <c r="E633" s="38" t="s">
        <v>852</v>
      </c>
      <c r="F633" s="10"/>
      <c r="G633" s="10"/>
      <c r="H633" s="10"/>
      <c r="I633" s="38" t="s">
        <v>852</v>
      </c>
      <c r="J633" s="10"/>
      <c r="K633" s="10"/>
      <c r="L633" s="10"/>
      <c r="M633" s="38" t="s">
        <v>852</v>
      </c>
      <c r="N633" s="10"/>
      <c r="O633" s="10"/>
      <c r="P633" s="10"/>
      <c r="Q633" s="38" t="s">
        <v>852</v>
      </c>
      <c r="R633" s="38" t="s">
        <v>852</v>
      </c>
    </row>
    <row r="634" spans="1:18" ht="15.75" customHeight="1" x14ac:dyDescent="0.3">
      <c r="A634" s="234" t="s">
        <v>2162</v>
      </c>
      <c r="B634" s="10"/>
      <c r="C634" s="10"/>
      <c r="D634" s="10"/>
      <c r="E634" s="38" t="s">
        <v>852</v>
      </c>
      <c r="F634" s="10"/>
      <c r="G634" s="10"/>
      <c r="H634" s="10"/>
      <c r="I634" s="38" t="s">
        <v>852</v>
      </c>
      <c r="J634" s="10"/>
      <c r="K634" s="10"/>
      <c r="L634" s="10"/>
      <c r="M634" s="38" t="s">
        <v>852</v>
      </c>
      <c r="N634" s="10"/>
      <c r="O634" s="10"/>
      <c r="P634" s="10"/>
      <c r="Q634" s="38" t="s">
        <v>852</v>
      </c>
      <c r="R634" s="38" t="s">
        <v>852</v>
      </c>
    </row>
    <row r="635" spans="1:18" ht="15.75" customHeight="1" x14ac:dyDescent="0.3">
      <c r="A635" s="310" t="s">
        <v>58</v>
      </c>
      <c r="B635" s="172">
        <v>0</v>
      </c>
      <c r="C635" s="172">
        <v>0</v>
      </c>
      <c r="D635" s="172">
        <v>0</v>
      </c>
      <c r="E635" s="38">
        <f>SUM(B635:D635)</f>
        <v>0</v>
      </c>
      <c r="F635" s="172">
        <v>0</v>
      </c>
      <c r="G635" s="172">
        <v>0</v>
      </c>
      <c r="H635" s="172">
        <v>0</v>
      </c>
      <c r="I635" s="38">
        <f>SUM(F635:H635)</f>
        <v>0</v>
      </c>
      <c r="J635" s="172">
        <v>0</v>
      </c>
      <c r="K635" s="172">
        <v>0</v>
      </c>
      <c r="L635" s="172">
        <v>325</v>
      </c>
      <c r="M635" s="38">
        <f>SUM(J635:L635)</f>
        <v>325</v>
      </c>
      <c r="N635" s="172">
        <v>837</v>
      </c>
      <c r="O635" s="172">
        <v>209</v>
      </c>
      <c r="P635" s="172">
        <v>0</v>
      </c>
      <c r="Q635" s="38">
        <f>SUM(N635:P635)</f>
        <v>1046</v>
      </c>
      <c r="R635" s="38">
        <f>+E635+I635+M635+Q635</f>
        <v>1371</v>
      </c>
    </row>
    <row r="636" spans="1:18" ht="15.75" customHeight="1" thickBot="1" x14ac:dyDescent="0.35">
      <c r="A636" s="234" t="s">
        <v>2164</v>
      </c>
      <c r="B636" s="10"/>
      <c r="C636" s="10"/>
      <c r="D636" s="10"/>
      <c r="E636" s="38" t="s">
        <v>852</v>
      </c>
      <c r="F636" s="10"/>
      <c r="G636" s="10"/>
      <c r="H636" s="10"/>
      <c r="I636" s="38" t="s">
        <v>852</v>
      </c>
      <c r="J636" s="10"/>
      <c r="K636" s="10"/>
      <c r="L636" s="10"/>
      <c r="M636" s="38" t="s">
        <v>852</v>
      </c>
      <c r="N636" s="10"/>
      <c r="O636" s="10"/>
      <c r="P636" s="10"/>
      <c r="Q636" s="38" t="s">
        <v>852</v>
      </c>
      <c r="R636" s="38" t="s">
        <v>852</v>
      </c>
    </row>
    <row r="637" spans="1:18" ht="15.75" customHeight="1" thickBot="1" x14ac:dyDescent="0.35">
      <c r="A637" s="43" t="s">
        <v>1218</v>
      </c>
      <c r="B637" s="45">
        <f>SUM(B629:B636)</f>
        <v>0</v>
      </c>
      <c r="C637" s="46">
        <f>SUM(C629:C636)</f>
        <v>0</v>
      </c>
      <c r="D637" s="46">
        <f>SUM(D629:D636)</f>
        <v>0</v>
      </c>
      <c r="E637" s="37">
        <f>SUM(B637:D637)</f>
        <v>0</v>
      </c>
      <c r="F637" s="46">
        <f>SUM(F629:F636)</f>
        <v>0</v>
      </c>
      <c r="G637" s="46">
        <f>SUM(G629:G636)</f>
        <v>0</v>
      </c>
      <c r="H637" s="46">
        <f>SUM(H629:H636)</f>
        <v>0</v>
      </c>
      <c r="I637" s="37">
        <f>SUM(F637:H637)</f>
        <v>0</v>
      </c>
      <c r="J637" s="46">
        <f>SUM(J629:J636)</f>
        <v>0</v>
      </c>
      <c r="K637" s="46">
        <f>SUM(K629:K636)</f>
        <v>0</v>
      </c>
      <c r="L637" s="46">
        <f>SUM(L629:L636)</f>
        <v>575</v>
      </c>
      <c r="M637" s="37">
        <f>SUM(J637:L637)</f>
        <v>575</v>
      </c>
      <c r="N637" s="46">
        <f>SUM(N629:N636)</f>
        <v>837</v>
      </c>
      <c r="O637" s="46">
        <f>SUM(O629:O636)</f>
        <v>209</v>
      </c>
      <c r="P637" s="46">
        <f>SUM(P629:P636)</f>
        <v>275</v>
      </c>
      <c r="Q637" s="37">
        <f>SUM(N637:P637)</f>
        <v>1321</v>
      </c>
      <c r="R637" s="37">
        <f>+E637+I637+M637+Q637</f>
        <v>1896</v>
      </c>
    </row>
    <row r="638" spans="1:18" ht="15.75" customHeight="1" x14ac:dyDescent="0.3">
      <c r="A638" s="234" t="s">
        <v>1172</v>
      </c>
      <c r="B638" s="10"/>
      <c r="C638" s="10"/>
      <c r="D638" s="10"/>
      <c r="E638" s="38" t="s">
        <v>852</v>
      </c>
      <c r="F638" s="10"/>
      <c r="G638" s="10"/>
      <c r="H638" s="10"/>
      <c r="I638" s="38" t="s">
        <v>852</v>
      </c>
      <c r="J638" s="10"/>
      <c r="K638" s="10"/>
      <c r="L638" s="10"/>
      <c r="M638" s="38" t="s">
        <v>852</v>
      </c>
      <c r="N638" s="10"/>
      <c r="O638" s="10"/>
      <c r="P638" s="10"/>
      <c r="Q638" s="38" t="s">
        <v>852</v>
      </c>
      <c r="R638" s="38" t="s">
        <v>852</v>
      </c>
    </row>
    <row r="639" spans="1:18" ht="15.75" customHeight="1" x14ac:dyDescent="0.3">
      <c r="A639" s="234" t="s">
        <v>2409</v>
      </c>
      <c r="B639" s="10"/>
      <c r="C639" s="10"/>
      <c r="D639" s="10"/>
      <c r="E639" s="38" t="s">
        <v>852</v>
      </c>
      <c r="F639" s="10"/>
      <c r="G639" s="10"/>
      <c r="H639" s="10"/>
      <c r="I639" s="38" t="s">
        <v>852</v>
      </c>
      <c r="J639" s="10"/>
      <c r="K639" s="10"/>
      <c r="L639" s="10"/>
      <c r="M639" s="38" t="s">
        <v>852</v>
      </c>
      <c r="N639" s="10"/>
      <c r="O639" s="10"/>
      <c r="P639" s="10"/>
      <c r="Q639" s="38" t="s">
        <v>852</v>
      </c>
      <c r="R639" s="38" t="s">
        <v>852</v>
      </c>
    </row>
    <row r="640" spans="1:18" ht="15.75" customHeight="1" thickBot="1" x14ac:dyDescent="0.35">
      <c r="A640" s="234" t="s">
        <v>2165</v>
      </c>
      <c r="B640" s="10"/>
      <c r="C640" s="10"/>
      <c r="D640" s="10"/>
      <c r="E640" s="38" t="s">
        <v>852</v>
      </c>
      <c r="F640" s="10"/>
      <c r="G640" s="10"/>
      <c r="H640" s="10"/>
      <c r="I640" s="38" t="s">
        <v>852</v>
      </c>
      <c r="J640" s="10"/>
      <c r="K640" s="10"/>
      <c r="L640" s="10"/>
      <c r="M640" s="38" t="s">
        <v>852</v>
      </c>
      <c r="N640" s="10"/>
      <c r="O640" s="10"/>
      <c r="P640" s="10"/>
      <c r="Q640" s="38" t="s">
        <v>852</v>
      </c>
      <c r="R640" s="38" t="s">
        <v>852</v>
      </c>
    </row>
    <row r="641" spans="1:18" ht="15.75" customHeight="1" thickBot="1" x14ac:dyDescent="0.35">
      <c r="A641" s="43" t="s">
        <v>1219</v>
      </c>
      <c r="B641" s="45">
        <f>SUM(B638:B640)</f>
        <v>0</v>
      </c>
      <c r="C641" s="46">
        <f>SUM(C638:C640)</f>
        <v>0</v>
      </c>
      <c r="D641" s="46">
        <f>SUM(D638:D640)</f>
        <v>0</v>
      </c>
      <c r="E641" s="37">
        <f>SUM(B641:D641)</f>
        <v>0</v>
      </c>
      <c r="F641" s="46">
        <f>SUM(F638:F640)</f>
        <v>0</v>
      </c>
      <c r="G641" s="46">
        <f>SUM(G638:G640)</f>
        <v>0</v>
      </c>
      <c r="H641" s="46">
        <f>SUM(H638:H640)</f>
        <v>0</v>
      </c>
      <c r="I641" s="37">
        <f>SUM(F641:H641)</f>
        <v>0</v>
      </c>
      <c r="J641" s="46">
        <f>SUM(J638:J640)</f>
        <v>0</v>
      </c>
      <c r="K641" s="46">
        <f>SUM(K638:K640)</f>
        <v>0</v>
      </c>
      <c r="L641" s="46">
        <f>SUM(L638:L640)</f>
        <v>0</v>
      </c>
      <c r="M641" s="37">
        <f>SUM(J641:L641)</f>
        <v>0</v>
      </c>
      <c r="N641" s="46">
        <f>SUM(N638:N640)</f>
        <v>0</v>
      </c>
      <c r="O641" s="46">
        <f>SUM(O638:O640)</f>
        <v>0</v>
      </c>
      <c r="P641" s="46">
        <f>SUM(P638:P640)</f>
        <v>0</v>
      </c>
      <c r="Q641" s="37">
        <f>SUM(N641:P641)</f>
        <v>0</v>
      </c>
      <c r="R641" s="37">
        <f>+E641+I641+M641+Q641</f>
        <v>0</v>
      </c>
    </row>
    <row r="642" spans="1:18" ht="15.75" customHeight="1" x14ac:dyDescent="0.3">
      <c r="A642" s="234" t="s">
        <v>2166</v>
      </c>
      <c r="B642" s="10"/>
      <c r="C642" s="10"/>
      <c r="D642" s="10"/>
      <c r="E642" s="38" t="s">
        <v>852</v>
      </c>
      <c r="F642" s="10"/>
      <c r="G642" s="10"/>
      <c r="H642" s="10"/>
      <c r="I642" s="38" t="s">
        <v>852</v>
      </c>
      <c r="J642" s="10" t="s">
        <v>852</v>
      </c>
      <c r="K642" s="10"/>
      <c r="L642" s="10"/>
      <c r="M642" s="38" t="s">
        <v>852</v>
      </c>
      <c r="N642" s="10"/>
      <c r="O642" s="10"/>
      <c r="P642" s="10"/>
      <c r="Q642" s="38" t="s">
        <v>852</v>
      </c>
      <c r="R642" s="38" t="s">
        <v>852</v>
      </c>
    </row>
    <row r="643" spans="1:18" ht="15.75" customHeight="1" x14ac:dyDescent="0.3">
      <c r="A643" s="234" t="s">
        <v>1245</v>
      </c>
      <c r="B643" s="10"/>
      <c r="C643" s="10"/>
      <c r="D643" s="10"/>
      <c r="E643" s="38" t="s">
        <v>852</v>
      </c>
      <c r="F643" s="10"/>
      <c r="G643" s="10"/>
      <c r="H643" s="10"/>
      <c r="I643" s="38" t="s">
        <v>852</v>
      </c>
      <c r="J643" s="10"/>
      <c r="K643" s="10"/>
      <c r="L643" s="10"/>
      <c r="M643" s="38" t="s">
        <v>852</v>
      </c>
      <c r="N643" s="10"/>
      <c r="O643" s="10"/>
      <c r="P643" s="10"/>
      <c r="Q643" s="38" t="s">
        <v>852</v>
      </c>
      <c r="R643" s="38" t="s">
        <v>852</v>
      </c>
    </row>
    <row r="644" spans="1:18" ht="15.75" customHeight="1" x14ac:dyDescent="0.3">
      <c r="A644" s="310" t="s">
        <v>1918</v>
      </c>
      <c r="B644" s="172">
        <v>278</v>
      </c>
      <c r="C644" s="172">
        <v>51</v>
      </c>
      <c r="D644" s="172">
        <v>374</v>
      </c>
      <c r="E644" s="38">
        <f>SUM(B644:D644)</f>
        <v>703</v>
      </c>
      <c r="F644" s="172">
        <v>433</v>
      </c>
      <c r="G644" s="172">
        <v>627</v>
      </c>
      <c r="H644" s="172">
        <v>902</v>
      </c>
      <c r="I644" s="38">
        <f>SUM(F644:H644)</f>
        <v>1962</v>
      </c>
      <c r="J644" s="172">
        <v>633</v>
      </c>
      <c r="K644" s="172">
        <v>400</v>
      </c>
      <c r="L644" s="172">
        <v>834</v>
      </c>
      <c r="M644" s="38">
        <f>SUM(J644:L644)</f>
        <v>1867</v>
      </c>
      <c r="N644" s="172">
        <v>602</v>
      </c>
      <c r="O644" s="172">
        <v>532</v>
      </c>
      <c r="P644" s="172">
        <v>380</v>
      </c>
      <c r="Q644" s="38">
        <f>SUM(N644:P644)</f>
        <v>1514</v>
      </c>
      <c r="R644" s="38">
        <f>+E644+I644+M644+Q644</f>
        <v>6046</v>
      </c>
    </row>
    <row r="645" spans="1:18" ht="15.75" customHeight="1" x14ac:dyDescent="0.3">
      <c r="A645" s="234" t="s">
        <v>1711</v>
      </c>
      <c r="B645" s="10"/>
      <c r="C645" s="10"/>
      <c r="D645" s="10"/>
      <c r="E645" s="38" t="s">
        <v>852</v>
      </c>
      <c r="F645" s="10"/>
      <c r="G645" s="10"/>
      <c r="H645" s="10"/>
      <c r="I645" s="38" t="s">
        <v>852</v>
      </c>
      <c r="J645" s="10"/>
      <c r="K645" s="10"/>
      <c r="L645" s="10"/>
      <c r="M645" s="38" t="s">
        <v>852</v>
      </c>
      <c r="N645" s="10"/>
      <c r="O645" s="10"/>
      <c r="P645" s="10"/>
      <c r="Q645" s="38" t="s">
        <v>852</v>
      </c>
      <c r="R645" s="38" t="s">
        <v>852</v>
      </c>
    </row>
    <row r="646" spans="1:18" ht="15.75" customHeight="1" x14ac:dyDescent="0.3">
      <c r="A646" s="310" t="s">
        <v>783</v>
      </c>
      <c r="B646" s="172">
        <v>255</v>
      </c>
      <c r="C646" s="172">
        <v>1111</v>
      </c>
      <c r="D646" s="172">
        <v>2704</v>
      </c>
      <c r="E646" s="38">
        <f>SUM(B646:D646)</f>
        <v>4070</v>
      </c>
      <c r="F646" s="172">
        <v>2204</v>
      </c>
      <c r="G646" s="172">
        <v>2689</v>
      </c>
      <c r="H646" s="172">
        <v>2195</v>
      </c>
      <c r="I646" s="38">
        <f>SUM(F646:H646)</f>
        <v>7088</v>
      </c>
      <c r="J646" s="172">
        <v>696</v>
      </c>
      <c r="K646" s="172">
        <v>3214</v>
      </c>
      <c r="L646" s="172">
        <v>1836</v>
      </c>
      <c r="M646" s="38">
        <f>SUM(J646:L646)</f>
        <v>5746</v>
      </c>
      <c r="N646" s="172">
        <v>0</v>
      </c>
      <c r="O646" s="172">
        <v>0</v>
      </c>
      <c r="P646" s="172">
        <v>0</v>
      </c>
      <c r="Q646" s="38">
        <f>SUM(N646:P646)</f>
        <v>0</v>
      </c>
      <c r="R646" s="38">
        <f>+E646+I646+M646+Q646</f>
        <v>16904</v>
      </c>
    </row>
    <row r="647" spans="1:18" ht="15.75" customHeight="1" thickBot="1" x14ac:dyDescent="0.35">
      <c r="A647" s="266" t="s">
        <v>1328</v>
      </c>
      <c r="B647" s="172">
        <v>665</v>
      </c>
      <c r="C647" s="172">
        <v>590</v>
      </c>
      <c r="D647" s="172">
        <v>681</v>
      </c>
      <c r="E647" s="38">
        <f>SUM(B647:D647)</f>
        <v>1936</v>
      </c>
      <c r="F647" s="172">
        <v>668</v>
      </c>
      <c r="G647" s="172">
        <v>808</v>
      </c>
      <c r="H647" s="172">
        <v>745</v>
      </c>
      <c r="I647" s="38">
        <f>SUM(F647:H647)</f>
        <v>2221</v>
      </c>
      <c r="J647" s="172">
        <v>670</v>
      </c>
      <c r="K647" s="172">
        <v>508</v>
      </c>
      <c r="L647" s="172">
        <v>601</v>
      </c>
      <c r="M647" s="38">
        <f>SUM(J647:L647)</f>
        <v>1779</v>
      </c>
      <c r="N647" s="172">
        <v>448</v>
      </c>
      <c r="O647" s="172">
        <v>555</v>
      </c>
      <c r="P647" s="172">
        <v>657</v>
      </c>
      <c r="Q647" s="38">
        <f>SUM(N647:P647)</f>
        <v>1660</v>
      </c>
      <c r="R647" s="38">
        <f>+E647+I647+M647+Q647</f>
        <v>7596</v>
      </c>
    </row>
    <row r="648" spans="1:18" ht="15.75" customHeight="1" thickBot="1" x14ac:dyDescent="0.35">
      <c r="A648" s="43" t="s">
        <v>1220</v>
      </c>
      <c r="B648" s="45">
        <f>SUM(B642:B647)</f>
        <v>1198</v>
      </c>
      <c r="C648" s="45">
        <f>SUM(C642:C647)</f>
        <v>1752</v>
      </c>
      <c r="D648" s="45">
        <f>SUM(D642:D647)</f>
        <v>3759</v>
      </c>
      <c r="E648" s="37">
        <f>SUM(B648:D648)</f>
        <v>6709</v>
      </c>
      <c r="F648" s="45">
        <f>SUM(F642:F647)</f>
        <v>3305</v>
      </c>
      <c r="G648" s="45">
        <f>SUM(G642:G647)</f>
        <v>4124</v>
      </c>
      <c r="H648" s="45">
        <f>SUM(H642:H647)</f>
        <v>3842</v>
      </c>
      <c r="I648" s="37">
        <f>SUM(F648:H648)</f>
        <v>11271</v>
      </c>
      <c r="J648" s="45">
        <f>SUM(J642:J647)</f>
        <v>1999</v>
      </c>
      <c r="K648" s="45">
        <f>SUM(K642:K647)</f>
        <v>4122</v>
      </c>
      <c r="L648" s="45">
        <f>SUM(L642:L647)</f>
        <v>3271</v>
      </c>
      <c r="M648" s="37">
        <f>SUM(J648:L648)</f>
        <v>9392</v>
      </c>
      <c r="N648" s="45">
        <f>SUM(N642:N647)</f>
        <v>1050</v>
      </c>
      <c r="O648" s="45">
        <f>SUM(O642:O647)</f>
        <v>1087</v>
      </c>
      <c r="P648" s="45">
        <f>SUM(P642:P647)</f>
        <v>1037</v>
      </c>
      <c r="Q648" s="37">
        <f>SUM(N648:P648)</f>
        <v>3174</v>
      </c>
      <c r="R648" s="37">
        <f>+E648+I648+M648+Q648</f>
        <v>30546</v>
      </c>
    </row>
    <row r="649" spans="1:18" ht="15.75" customHeight="1" x14ac:dyDescent="0.3">
      <c r="A649" s="234" t="s">
        <v>1712</v>
      </c>
      <c r="B649" s="10"/>
      <c r="C649" s="10"/>
      <c r="D649" s="10"/>
      <c r="E649" s="38" t="s">
        <v>852</v>
      </c>
      <c r="F649" s="10"/>
      <c r="G649" s="10"/>
      <c r="H649" s="10"/>
      <c r="I649" s="38" t="s">
        <v>852</v>
      </c>
      <c r="J649" s="10"/>
      <c r="K649" s="10"/>
      <c r="L649" s="10"/>
      <c r="M649" s="38" t="s">
        <v>852</v>
      </c>
      <c r="N649" s="10"/>
      <c r="O649" s="10"/>
      <c r="P649" s="10"/>
      <c r="Q649" s="38" t="s">
        <v>852</v>
      </c>
      <c r="R649" s="38" t="s">
        <v>852</v>
      </c>
    </row>
    <row r="650" spans="1:18" ht="15.75" customHeight="1" x14ac:dyDescent="0.3">
      <c r="A650" s="234" t="s">
        <v>556</v>
      </c>
      <c r="B650" s="10"/>
      <c r="C650" s="10"/>
      <c r="D650" s="10"/>
      <c r="E650" s="38" t="s">
        <v>852</v>
      </c>
      <c r="F650" s="10"/>
      <c r="G650" s="10"/>
      <c r="H650" s="10"/>
      <c r="I650" s="38" t="s">
        <v>852</v>
      </c>
      <c r="J650" s="10"/>
      <c r="K650" s="10"/>
      <c r="L650" s="10"/>
      <c r="M650" s="38" t="s">
        <v>852</v>
      </c>
      <c r="N650" s="10"/>
      <c r="O650" s="10"/>
      <c r="P650" s="10"/>
      <c r="Q650" s="38" t="s">
        <v>852</v>
      </c>
      <c r="R650" s="38" t="s">
        <v>852</v>
      </c>
    </row>
    <row r="651" spans="1:18" ht="15.75" customHeight="1" x14ac:dyDescent="0.3">
      <c r="A651" s="310" t="s">
        <v>447</v>
      </c>
      <c r="B651" s="172">
        <v>0</v>
      </c>
      <c r="C651" s="172">
        <v>0</v>
      </c>
      <c r="D651" s="172">
        <v>0</v>
      </c>
      <c r="E651" s="38">
        <f>SUM(B651:D651)</f>
        <v>0</v>
      </c>
      <c r="F651" s="172">
        <v>0</v>
      </c>
      <c r="G651" s="172">
        <v>0</v>
      </c>
      <c r="H651" s="172">
        <v>0</v>
      </c>
      <c r="I651" s="38">
        <f>SUM(F651:H651)</f>
        <v>0</v>
      </c>
      <c r="J651" s="172">
        <v>0</v>
      </c>
      <c r="K651" s="172">
        <v>0</v>
      </c>
      <c r="L651" s="172">
        <v>0</v>
      </c>
      <c r="M651" s="38">
        <f>SUM(J651:L651)</f>
        <v>0</v>
      </c>
      <c r="N651" s="172">
        <v>0</v>
      </c>
      <c r="O651" s="172">
        <v>1268</v>
      </c>
      <c r="P651" s="172">
        <v>932</v>
      </c>
      <c r="Q651" s="38">
        <f>SUM(N651:P651)</f>
        <v>2200</v>
      </c>
      <c r="R651" s="38">
        <f>+E651+I651+M651+Q651</f>
        <v>2200</v>
      </c>
    </row>
    <row r="652" spans="1:18" ht="15.75" customHeight="1" x14ac:dyDescent="0.3">
      <c r="A652" s="234" t="s">
        <v>557</v>
      </c>
      <c r="B652" s="10"/>
      <c r="C652" s="10"/>
      <c r="D652" s="10"/>
      <c r="E652" s="38" t="s">
        <v>852</v>
      </c>
      <c r="F652" s="10"/>
      <c r="G652" s="10"/>
      <c r="H652" s="10"/>
      <c r="I652" s="38" t="s">
        <v>852</v>
      </c>
      <c r="J652" s="10"/>
      <c r="K652" s="10"/>
      <c r="L652" s="10"/>
      <c r="M652" s="38" t="s">
        <v>852</v>
      </c>
      <c r="N652" s="10"/>
      <c r="O652" s="10"/>
      <c r="P652" s="10"/>
      <c r="Q652" s="38" t="s">
        <v>852</v>
      </c>
      <c r="R652" s="38" t="s">
        <v>852</v>
      </c>
    </row>
    <row r="653" spans="1:18" ht="15.75" customHeight="1" x14ac:dyDescent="0.3">
      <c r="A653" s="310" t="s">
        <v>2444</v>
      </c>
      <c r="B653" s="10">
        <v>0</v>
      </c>
      <c r="C653" s="10">
        <v>0</v>
      </c>
      <c r="D653" s="10">
        <v>0</v>
      </c>
      <c r="E653" s="38">
        <f>SUM(B653:D653)</f>
        <v>0</v>
      </c>
      <c r="F653" s="10">
        <v>0</v>
      </c>
      <c r="G653" s="10">
        <v>0</v>
      </c>
      <c r="H653" s="10">
        <v>0</v>
      </c>
      <c r="I653" s="38">
        <f>SUM(F653:H653)</f>
        <v>0</v>
      </c>
      <c r="J653" s="10">
        <v>0</v>
      </c>
      <c r="K653" s="10">
        <v>0</v>
      </c>
      <c r="L653" s="10">
        <v>0</v>
      </c>
      <c r="M653" s="38">
        <f>SUM(J653:L653)</f>
        <v>0</v>
      </c>
      <c r="N653" s="10">
        <v>0</v>
      </c>
      <c r="O653" s="10">
        <v>0</v>
      </c>
      <c r="P653" s="10">
        <v>0</v>
      </c>
      <c r="Q653" s="38">
        <f>SUM(N653:P653)</f>
        <v>0</v>
      </c>
      <c r="R653" s="38">
        <f>+E653+I653+M653+Q653</f>
        <v>0</v>
      </c>
    </row>
    <row r="654" spans="1:18" ht="15.75" customHeight="1" x14ac:dyDescent="0.3">
      <c r="A654" s="310" t="s">
        <v>1792</v>
      </c>
      <c r="B654" s="10">
        <v>0</v>
      </c>
      <c r="C654" s="10">
        <v>0</v>
      </c>
      <c r="D654" s="10">
        <v>0</v>
      </c>
      <c r="E654" s="38">
        <f>SUM(B654:D654)</f>
        <v>0</v>
      </c>
      <c r="F654" s="10">
        <v>0</v>
      </c>
      <c r="G654" s="10">
        <v>0</v>
      </c>
      <c r="H654" s="10">
        <v>0</v>
      </c>
      <c r="I654" s="38">
        <f>SUM(F654:H654)</f>
        <v>0</v>
      </c>
      <c r="J654" s="10">
        <v>0</v>
      </c>
      <c r="K654" s="10">
        <v>0</v>
      </c>
      <c r="L654" s="10">
        <v>0</v>
      </c>
      <c r="M654" s="38">
        <f>SUM(J654:L654)</f>
        <v>0</v>
      </c>
      <c r="N654" s="10">
        <v>0</v>
      </c>
      <c r="O654" s="10">
        <v>0</v>
      </c>
      <c r="P654" s="10">
        <v>0</v>
      </c>
      <c r="Q654" s="38">
        <f>SUM(N654:P654)</f>
        <v>0</v>
      </c>
      <c r="R654" s="38">
        <f>+E654+I654+M654+Q654</f>
        <v>0</v>
      </c>
    </row>
    <row r="655" spans="1:18" ht="15.75" customHeight="1" x14ac:dyDescent="0.3">
      <c r="A655" s="234" t="s">
        <v>558</v>
      </c>
      <c r="B655" s="10"/>
      <c r="C655" s="10"/>
      <c r="D655" s="10"/>
      <c r="E655" s="38" t="s">
        <v>852</v>
      </c>
      <c r="F655" s="10"/>
      <c r="G655" s="10"/>
      <c r="H655" s="10"/>
      <c r="I655" s="38" t="s">
        <v>852</v>
      </c>
      <c r="J655" s="10"/>
      <c r="K655" s="10"/>
      <c r="L655" s="10"/>
      <c r="M655" s="38" t="s">
        <v>852</v>
      </c>
      <c r="N655" s="10"/>
      <c r="O655" s="10"/>
      <c r="P655" s="10"/>
      <c r="Q655" s="38" t="s">
        <v>852</v>
      </c>
      <c r="R655" s="38" t="s">
        <v>852</v>
      </c>
    </row>
    <row r="656" spans="1:18" ht="15.75" customHeight="1" thickBot="1" x14ac:dyDescent="0.35">
      <c r="A656" s="234" t="s">
        <v>559</v>
      </c>
      <c r="B656" s="10"/>
      <c r="C656" s="10"/>
      <c r="D656" s="10"/>
      <c r="E656" s="38" t="s">
        <v>852</v>
      </c>
      <c r="F656" s="10"/>
      <c r="G656" s="10"/>
      <c r="H656" s="10"/>
      <c r="I656" s="38" t="s">
        <v>852</v>
      </c>
      <c r="J656" s="10"/>
      <c r="K656" s="10"/>
      <c r="L656" s="10"/>
      <c r="M656" s="38" t="s">
        <v>852</v>
      </c>
      <c r="N656" s="10"/>
      <c r="O656" s="10"/>
      <c r="P656" s="10"/>
      <c r="Q656" s="38" t="s">
        <v>852</v>
      </c>
      <c r="R656" s="38" t="s">
        <v>852</v>
      </c>
    </row>
    <row r="657" spans="1:18" ht="15.75" customHeight="1" thickBot="1" x14ac:dyDescent="0.35">
      <c r="A657" s="43" t="s">
        <v>1019</v>
      </c>
      <c r="B657" s="42">
        <f>SUM(B655:B656)</f>
        <v>0</v>
      </c>
      <c r="C657" s="42">
        <f>SUM(C655:C656)</f>
        <v>0</v>
      </c>
      <c r="D657" s="42">
        <f>SUM(D655:D656)</f>
        <v>0</v>
      </c>
      <c r="E657" s="39">
        <f>SUM(B657:D657)</f>
        <v>0</v>
      </c>
      <c r="F657" s="42">
        <f>SUM(F655:F656)</f>
        <v>0</v>
      </c>
      <c r="G657" s="42">
        <f>SUM(G655:G656)</f>
        <v>0</v>
      </c>
      <c r="H657" s="42">
        <f>SUM(H655:H656)</f>
        <v>0</v>
      </c>
      <c r="I657" s="39">
        <f>SUM(F657:H657)</f>
        <v>0</v>
      </c>
      <c r="J657" s="42">
        <f>SUM(J655:J656)</f>
        <v>0</v>
      </c>
      <c r="K657" s="42">
        <f>SUM(K655:K656)</f>
        <v>0</v>
      </c>
      <c r="L657" s="42">
        <f>SUM(L655:L656)</f>
        <v>0</v>
      </c>
      <c r="M657" s="39">
        <f>SUM(J657:L657)</f>
        <v>0</v>
      </c>
      <c r="N657" s="42">
        <f>SUM(N655:N656)</f>
        <v>0</v>
      </c>
      <c r="O657" s="42">
        <f>SUM(O655:O656)</f>
        <v>0</v>
      </c>
      <c r="P657" s="42">
        <f>SUM(P655:P656)</f>
        <v>0</v>
      </c>
      <c r="Q657" s="39">
        <f>SUM(N657:P657)</f>
        <v>0</v>
      </c>
      <c r="R657" s="37">
        <f>+E657+I657+M657+Q657</f>
        <v>0</v>
      </c>
    </row>
    <row r="658" spans="1:18" ht="15.75" customHeight="1" thickBot="1" x14ac:dyDescent="0.35">
      <c r="A658" s="43" t="s">
        <v>1221</v>
      </c>
      <c r="B658" s="45">
        <f>SUM(B649:B656)</f>
        <v>0</v>
      </c>
      <c r="C658" s="46">
        <f>SUM(C649:C656)</f>
        <v>0</v>
      </c>
      <c r="D658" s="58">
        <f>SUM(D649:D656)</f>
        <v>0</v>
      </c>
      <c r="E658" s="39">
        <f>SUM(B658:D658)</f>
        <v>0</v>
      </c>
      <c r="F658" s="46">
        <f>SUM(F649:F656)</f>
        <v>0</v>
      </c>
      <c r="G658" s="46">
        <f>SUM(G649:G656)</f>
        <v>0</v>
      </c>
      <c r="H658" s="46">
        <f>SUM(H649:H656)</f>
        <v>0</v>
      </c>
      <c r="I658" s="39">
        <f>SUM(F658:H658)</f>
        <v>0</v>
      </c>
      <c r="J658" s="46">
        <f>SUM(J649:J656)</f>
        <v>0</v>
      </c>
      <c r="K658" s="46">
        <f>SUM(K649:K656)</f>
        <v>0</v>
      </c>
      <c r="L658" s="46">
        <f>SUM(L649:L656)</f>
        <v>0</v>
      </c>
      <c r="M658" s="39">
        <f>SUM(J658:L658)</f>
        <v>0</v>
      </c>
      <c r="N658" s="46">
        <f>SUM(N649:N656)</f>
        <v>0</v>
      </c>
      <c r="O658" s="46">
        <f>SUM(O649:O656)</f>
        <v>1268</v>
      </c>
      <c r="P658" s="46">
        <f>SUM(P649:P656)</f>
        <v>932</v>
      </c>
      <c r="Q658" s="39">
        <f>SUM(N658:P658)</f>
        <v>2200</v>
      </c>
      <c r="R658" s="37">
        <f>+E658+I658+M658+Q658</f>
        <v>2200</v>
      </c>
    </row>
    <row r="659" spans="1:18" ht="15.75" customHeight="1" thickBot="1" x14ac:dyDescent="0.35">
      <c r="A659" s="43" t="s">
        <v>1222</v>
      </c>
      <c r="B659" s="47">
        <f>+B637+B641+B648+B658</f>
        <v>1198</v>
      </c>
      <c r="C659" s="42">
        <f>+C637+C641+C648+C658</f>
        <v>1752</v>
      </c>
      <c r="D659" s="42">
        <f>+D637+D641+D648+D658</f>
        <v>3759</v>
      </c>
      <c r="E659" s="37">
        <f>SUM(B659:D659)</f>
        <v>6709</v>
      </c>
      <c r="F659" s="42">
        <f>+F637+F641+F648+F658</f>
        <v>3305</v>
      </c>
      <c r="G659" s="42">
        <f>+G637+G641+G648+G658</f>
        <v>4124</v>
      </c>
      <c r="H659" s="42">
        <f>+H637+H641+H648+H658</f>
        <v>3842</v>
      </c>
      <c r="I659" s="37">
        <f>SUM(F659:H659)</f>
        <v>11271</v>
      </c>
      <c r="J659" s="42">
        <f>+J637+J641+J648+J658</f>
        <v>1999</v>
      </c>
      <c r="K659" s="42">
        <f>+K637+K641+K648+K658</f>
        <v>4122</v>
      </c>
      <c r="L659" s="42">
        <f>+L637+L641+L648+L658</f>
        <v>3846</v>
      </c>
      <c r="M659" s="37">
        <f>SUM(J659:L659)</f>
        <v>9967</v>
      </c>
      <c r="N659" s="42">
        <f>+N637+N641+N648+N658</f>
        <v>1887</v>
      </c>
      <c r="O659" s="42">
        <f>+O637+O641+O648+O658</f>
        <v>2564</v>
      </c>
      <c r="P659" s="42">
        <f>+P637+P641+P648+P658</f>
        <v>2244</v>
      </c>
      <c r="Q659" s="37">
        <f>SUM(N659:P659)</f>
        <v>6695</v>
      </c>
      <c r="R659" s="40">
        <f>+E659+I659+M659+Q659</f>
        <v>34642</v>
      </c>
    </row>
    <row r="660" spans="1:18" ht="15.75" customHeight="1" thickBot="1" x14ac:dyDescent="0.35">
      <c r="A660" s="299" t="s">
        <v>853</v>
      </c>
      <c r="B660" s="294">
        <v>11</v>
      </c>
      <c r="C660" s="294">
        <v>13</v>
      </c>
      <c r="D660" s="294">
        <v>17</v>
      </c>
      <c r="E660" s="38">
        <f>SUM(B660:D660)</f>
        <v>41</v>
      </c>
      <c r="F660" s="294">
        <v>21</v>
      </c>
      <c r="G660" s="294">
        <v>23</v>
      </c>
      <c r="H660" s="294">
        <v>25</v>
      </c>
      <c r="I660" s="38">
        <f>SUM(F660:H660)</f>
        <v>69</v>
      </c>
      <c r="J660" s="294">
        <v>25</v>
      </c>
      <c r="K660" s="294">
        <v>21</v>
      </c>
      <c r="L660" s="294">
        <v>19</v>
      </c>
      <c r="M660" s="38">
        <f>SUM(J660:L660)</f>
        <v>65</v>
      </c>
      <c r="N660" s="294">
        <v>17</v>
      </c>
      <c r="O660" s="294">
        <v>13</v>
      </c>
      <c r="P660" s="294">
        <v>11</v>
      </c>
      <c r="Q660" s="38">
        <f>SUM(N660:P660)</f>
        <v>41</v>
      </c>
      <c r="R660" s="38">
        <f>+E660+I660+M660+Q660</f>
        <v>216</v>
      </c>
    </row>
    <row r="661" spans="1:18" ht="15.75" customHeight="1" thickBot="1" x14ac:dyDescent="0.35">
      <c r="A661" s="20"/>
      <c r="B661" s="533"/>
      <c r="C661" s="533"/>
      <c r="D661" s="533"/>
      <c r="E661" s="39" t="s">
        <v>852</v>
      </c>
      <c r="F661" s="533"/>
      <c r="G661" s="533"/>
      <c r="H661" s="533"/>
      <c r="I661" s="39" t="s">
        <v>852</v>
      </c>
      <c r="J661" s="533"/>
      <c r="K661" s="533"/>
      <c r="L661" s="533"/>
      <c r="M661" s="39" t="s">
        <v>852</v>
      </c>
      <c r="N661" s="533"/>
      <c r="O661" s="533"/>
      <c r="P661" s="533"/>
      <c r="Q661" s="39" t="s">
        <v>852</v>
      </c>
      <c r="R661" s="39" t="s">
        <v>852</v>
      </c>
    </row>
    <row r="662" spans="1:18" ht="15.75" customHeight="1" x14ac:dyDescent="0.3">
      <c r="A662" s="259" t="s">
        <v>2011</v>
      </c>
      <c r="B662" s="314">
        <f>SUM(B659:B660)</f>
        <v>1209</v>
      </c>
      <c r="C662" s="314">
        <f>SUM(C659:C660)</f>
        <v>1765</v>
      </c>
      <c r="D662" s="314">
        <f>SUM(D659:D660)</f>
        <v>3776</v>
      </c>
      <c r="E662" s="39">
        <f>SUM(B662:D662)</f>
        <v>6750</v>
      </c>
      <c r="F662" s="314">
        <f>SUM(F659:F660)</f>
        <v>3326</v>
      </c>
      <c r="G662" s="314">
        <f>SUM(G659:G660)</f>
        <v>4147</v>
      </c>
      <c r="H662" s="314">
        <f>SUM(H659:H660)</f>
        <v>3867</v>
      </c>
      <c r="I662" s="39">
        <f>SUM(F662:H662)</f>
        <v>11340</v>
      </c>
      <c r="J662" s="314">
        <f>SUM(J659:J660)</f>
        <v>2024</v>
      </c>
      <c r="K662" s="314">
        <f>SUM(K659:K660)</f>
        <v>4143</v>
      </c>
      <c r="L662" s="314">
        <f>SUM(L659:L660)</f>
        <v>3865</v>
      </c>
      <c r="M662" s="39">
        <f>SUM(J662:L662)</f>
        <v>10032</v>
      </c>
      <c r="N662" s="314">
        <f>SUM(N659:N660)</f>
        <v>1904</v>
      </c>
      <c r="O662" s="314">
        <f>SUM(O659:O660)</f>
        <v>2577</v>
      </c>
      <c r="P662" s="314">
        <f>SUM(P659:P660)</f>
        <v>2255</v>
      </c>
      <c r="Q662" s="39">
        <f>SUM(N662:P662)</f>
        <v>6736</v>
      </c>
      <c r="R662" s="39">
        <f>+E662+I662+M662+Q662</f>
        <v>34858</v>
      </c>
    </row>
    <row r="663" spans="1:18" ht="15.75" customHeight="1" x14ac:dyDescent="0.3">
      <c r="A663" s="262" t="s">
        <v>1897</v>
      </c>
      <c r="B663" s="10">
        <f>(B662/31)/1.983</f>
        <v>19.667170953101362</v>
      </c>
      <c r="C663" s="10">
        <f>(C662/28)/1.983</f>
        <v>31.788055615589652</v>
      </c>
      <c r="D663" s="10">
        <f>(D662/31)/1.983</f>
        <v>61.425341206708637</v>
      </c>
      <c r="E663" s="38" t="s">
        <v>852</v>
      </c>
      <c r="F663" s="10">
        <f>(F662/30)/1.983</f>
        <v>55.908556059841985</v>
      </c>
      <c r="G663" s="10">
        <f>(G662/31)/1.983</f>
        <v>67.460511118702513</v>
      </c>
      <c r="H663" s="10">
        <f>(H662/30)/1.983</f>
        <v>65.002521432173481</v>
      </c>
      <c r="I663" s="38" t="s">
        <v>852</v>
      </c>
      <c r="J663" s="10">
        <f>(J662/31)/1.983</f>
        <v>32.925023994273907</v>
      </c>
      <c r="K663" s="10">
        <f>(K662/31)/1.983</f>
        <v>67.395441901322528</v>
      </c>
      <c r="L663" s="10">
        <f>(L662/30)/1.983</f>
        <v>64.968902336527151</v>
      </c>
      <c r="M663" s="38" t="s">
        <v>852</v>
      </c>
      <c r="N663" s="10">
        <f>(N662/31)/1.983</f>
        <v>30.972947472874271</v>
      </c>
      <c r="O663" s="10">
        <f>(O662/30)/1.983</f>
        <v>43.318204740292487</v>
      </c>
      <c r="P663" s="10">
        <f>(P662/31)/1.983</f>
        <v>36.682771297968209</v>
      </c>
      <c r="Q663" s="38" t="s">
        <v>852</v>
      </c>
      <c r="R663" s="38" t="s">
        <v>852</v>
      </c>
    </row>
    <row r="664" spans="1:18" ht="15.75" customHeight="1" x14ac:dyDescent="0.3">
      <c r="A664" s="262" t="s">
        <v>2050</v>
      </c>
      <c r="B664" s="10">
        <f>B662</f>
        <v>1209</v>
      </c>
      <c r="C664" s="10">
        <f>C662</f>
        <v>1765</v>
      </c>
      <c r="D664" s="10">
        <f>D662</f>
        <v>3776</v>
      </c>
      <c r="E664" s="38">
        <f>SUM(B664:D664)</f>
        <v>6750</v>
      </c>
      <c r="F664" s="10">
        <f>F662</f>
        <v>3326</v>
      </c>
      <c r="G664" s="10">
        <f>G662</f>
        <v>4147</v>
      </c>
      <c r="H664" s="10">
        <f>H662</f>
        <v>3867</v>
      </c>
      <c r="I664" s="38">
        <f>SUM(F664:H664)</f>
        <v>11340</v>
      </c>
      <c r="J664" s="10">
        <f>J662</f>
        <v>2024</v>
      </c>
      <c r="K664" s="10">
        <f>K662</f>
        <v>4143</v>
      </c>
      <c r="L664" s="10">
        <f>L662</f>
        <v>3865</v>
      </c>
      <c r="M664" s="38">
        <f>SUM(J664:L664)</f>
        <v>10032</v>
      </c>
      <c r="N664" s="10">
        <f>N662</f>
        <v>1904</v>
      </c>
      <c r="O664" s="10">
        <f>O662</f>
        <v>2577</v>
      </c>
      <c r="P664" s="10">
        <f>P662</f>
        <v>2255</v>
      </c>
      <c r="Q664" s="38">
        <f>SUM(N664:P664)</f>
        <v>6736</v>
      </c>
      <c r="R664" s="38">
        <f>+E664+I664+M664+Q664</f>
        <v>34858</v>
      </c>
    </row>
    <row r="665" spans="1:18" ht="15.75" customHeight="1" thickBot="1" x14ac:dyDescent="0.35">
      <c r="A665" s="263" t="s">
        <v>2051</v>
      </c>
      <c r="B665" s="315">
        <f>(B664/31)/1.983</f>
        <v>19.667170953101362</v>
      </c>
      <c r="C665" s="315">
        <f>(C664/28)/1.983</f>
        <v>31.788055615589652</v>
      </c>
      <c r="D665" s="315">
        <f>(D664/31)/1.983</f>
        <v>61.425341206708637</v>
      </c>
      <c r="E665" s="40" t="s">
        <v>852</v>
      </c>
      <c r="F665" s="315">
        <f>(F664/30)/1.983</f>
        <v>55.908556059841985</v>
      </c>
      <c r="G665" s="315">
        <f>(G664/31)/1.983</f>
        <v>67.460511118702513</v>
      </c>
      <c r="H665" s="315">
        <f>(H664/30)/1.983</f>
        <v>65.002521432173481</v>
      </c>
      <c r="I665" s="40" t="s">
        <v>852</v>
      </c>
      <c r="J665" s="315">
        <f>(J664/31)/1.983</f>
        <v>32.925023994273907</v>
      </c>
      <c r="K665" s="315">
        <f>(K664/31)/1.983</f>
        <v>67.395441901322528</v>
      </c>
      <c r="L665" s="315">
        <f>(L664/30)/1.983</f>
        <v>64.968902336527151</v>
      </c>
      <c r="M665" s="40" t="s">
        <v>852</v>
      </c>
      <c r="N665" s="315">
        <f>(N664/31)/1.983</f>
        <v>30.972947472874271</v>
      </c>
      <c r="O665" s="315">
        <f>(O664/30)/1.983</f>
        <v>43.318204740292487</v>
      </c>
      <c r="P665" s="315">
        <f>(P664/31)/1.983</f>
        <v>36.682771297968209</v>
      </c>
      <c r="Q665" s="40" t="s">
        <v>852</v>
      </c>
      <c r="R665" s="40" t="s">
        <v>852</v>
      </c>
    </row>
    <row r="666" spans="1:18" ht="15.75" customHeight="1" x14ac:dyDescent="0.35">
      <c r="A666" s="847"/>
      <c r="B666" s="847"/>
      <c r="C666" s="847"/>
      <c r="D666" s="847"/>
      <c r="E666" s="847"/>
      <c r="F666" s="847"/>
      <c r="G666" s="847"/>
      <c r="H666" s="847"/>
      <c r="I666" s="847"/>
      <c r="J666" s="847"/>
      <c r="K666" s="847"/>
      <c r="L666" s="847"/>
      <c r="M666" s="847"/>
      <c r="N666" s="847"/>
      <c r="O666" s="847"/>
      <c r="P666" s="847"/>
      <c r="Q666" s="847"/>
      <c r="R666" s="847"/>
    </row>
    <row r="667" spans="1:18" ht="15.75" customHeight="1" x14ac:dyDescent="0.35">
      <c r="A667" s="847" t="s">
        <v>43</v>
      </c>
      <c r="B667" s="847"/>
      <c r="C667" s="847"/>
      <c r="D667" s="847"/>
      <c r="E667" s="847"/>
      <c r="F667" s="847"/>
      <c r="G667" s="847"/>
      <c r="H667" s="847"/>
      <c r="I667" s="847"/>
      <c r="J667" s="847"/>
      <c r="K667" s="847"/>
      <c r="L667" s="847"/>
      <c r="M667" s="847"/>
      <c r="N667" s="847"/>
      <c r="O667" s="847"/>
      <c r="P667" s="847"/>
      <c r="Q667" s="847"/>
      <c r="R667" s="847"/>
    </row>
    <row r="668" spans="1:18" ht="15.75" customHeight="1" x14ac:dyDescent="0.35">
      <c r="A668" s="847" t="s">
        <v>1988</v>
      </c>
      <c r="B668" s="847"/>
      <c r="C668" s="847"/>
      <c r="D668" s="847"/>
      <c r="E668" s="847"/>
      <c r="F668" s="847"/>
      <c r="G668" s="847"/>
      <c r="H668" s="847"/>
      <c r="I668" s="847"/>
      <c r="J668" s="847"/>
      <c r="K668" s="847"/>
      <c r="L668" s="847"/>
      <c r="M668" s="847"/>
      <c r="N668" s="847"/>
      <c r="O668" s="847"/>
      <c r="P668" s="847"/>
      <c r="Q668" s="847"/>
      <c r="R668" s="847"/>
    </row>
    <row r="669" spans="1:18" ht="15.75" customHeight="1" x14ac:dyDescent="0.35">
      <c r="A669" s="847" t="s">
        <v>544</v>
      </c>
      <c r="B669" s="847"/>
      <c r="C669" s="847"/>
      <c r="D669" s="847"/>
      <c r="E669" s="847"/>
      <c r="F669" s="847"/>
      <c r="G669" s="847"/>
      <c r="H669" s="847"/>
      <c r="I669" s="847"/>
      <c r="J669" s="847"/>
      <c r="K669" s="847"/>
      <c r="L669" s="847"/>
      <c r="M669" s="847"/>
      <c r="N669" s="847"/>
      <c r="O669" s="847"/>
      <c r="P669" s="847"/>
      <c r="Q669" s="847"/>
      <c r="R669" s="847"/>
    </row>
    <row r="670" spans="1:18" ht="15.75" customHeight="1" x14ac:dyDescent="0.35">
      <c r="A670" s="847" t="str">
        <f>+A5</f>
        <v>Calendar Year 2010</v>
      </c>
      <c r="B670" s="847"/>
      <c r="C670" s="847"/>
      <c r="D670" s="847"/>
      <c r="E670" s="847"/>
      <c r="F670" s="847"/>
      <c r="G670" s="847"/>
      <c r="H670" s="847"/>
      <c r="I670" s="847"/>
      <c r="J670" s="847"/>
      <c r="K670" s="847"/>
      <c r="L670" s="847"/>
      <c r="M670" s="847"/>
      <c r="N670" s="847"/>
      <c r="O670" s="847"/>
      <c r="P670" s="847"/>
      <c r="Q670" s="847"/>
      <c r="R670" s="847"/>
    </row>
    <row r="671" spans="1:18" ht="15.75" customHeight="1" x14ac:dyDescent="0.35">
      <c r="A671" s="2"/>
      <c r="B671" s="2"/>
      <c r="C671" s="2"/>
      <c r="D671" s="202"/>
      <c r="E671" s="202"/>
      <c r="F671" s="202"/>
      <c r="G671" s="203"/>
      <c r="H671" s="202"/>
      <c r="I671" s="202"/>
      <c r="J671" s="203"/>
      <c r="K671" s="203"/>
      <c r="L671" s="203"/>
      <c r="M671" s="203"/>
      <c r="N671" s="2"/>
      <c r="O671" s="203"/>
      <c r="P671" s="203"/>
      <c r="Q671" s="203"/>
      <c r="R671" s="203"/>
    </row>
    <row r="672" spans="1:18" ht="15.75" customHeight="1" x14ac:dyDescent="0.35">
      <c r="A672" s="847" t="str">
        <f>+A9</f>
        <v>Revised:  1/24/11</v>
      </c>
      <c r="B672" s="847"/>
      <c r="C672" s="847"/>
      <c r="D672" s="847"/>
      <c r="E672" s="847"/>
      <c r="F672" s="847"/>
      <c r="G672" s="847"/>
      <c r="H672" s="847"/>
      <c r="I672" s="847"/>
      <c r="J672" s="847"/>
      <c r="K672" s="847"/>
      <c r="L672" s="847"/>
      <c r="M672" s="847"/>
      <c r="N672" s="847"/>
      <c r="O672" s="847"/>
      <c r="P672" s="847"/>
      <c r="Q672" s="847"/>
      <c r="R672" s="847"/>
    </row>
    <row r="673" spans="1:19" ht="15.75" customHeight="1" x14ac:dyDescent="0.35">
      <c r="A673" s="201"/>
      <c r="B673" s="201"/>
      <c r="C673" s="201"/>
      <c r="D673" s="201"/>
      <c r="E673" s="201"/>
      <c r="F673" s="201"/>
      <c r="G673" s="201"/>
      <c r="H673" s="201"/>
      <c r="I673" s="201"/>
      <c r="J673" s="201"/>
      <c r="K673" s="201"/>
      <c r="L673" s="201"/>
      <c r="M673" s="201"/>
      <c r="N673" s="201"/>
      <c r="O673" s="201"/>
      <c r="P673" s="201"/>
      <c r="Q673" s="201"/>
      <c r="R673" s="201"/>
    </row>
    <row r="674" spans="1:19" ht="15.75" customHeight="1" x14ac:dyDescent="0.35">
      <c r="A674" s="201"/>
      <c r="B674" s="201"/>
      <c r="C674" s="201"/>
      <c r="D674" s="201"/>
      <c r="E674" s="201"/>
      <c r="F674" s="201"/>
      <c r="G674" s="201"/>
      <c r="H674" s="201"/>
      <c r="I674" s="201"/>
      <c r="J674" s="201"/>
      <c r="K674" s="201"/>
      <c r="L674" s="201"/>
      <c r="M674" s="201"/>
      <c r="N674" s="201"/>
      <c r="O674" s="201"/>
      <c r="P674" s="201"/>
      <c r="Q674" s="201"/>
      <c r="R674" s="201"/>
    </row>
    <row r="675" spans="1:19" ht="15.75" customHeight="1" thickBot="1" x14ac:dyDescent="0.4">
      <c r="A675" s="8"/>
      <c r="B675" s="2"/>
      <c r="C675" s="2"/>
      <c r="D675" s="2"/>
      <c r="E675" s="2"/>
      <c r="F675" s="2"/>
      <c r="G675" s="2"/>
      <c r="H675" s="2"/>
      <c r="I675" s="2"/>
      <c r="J675" s="2"/>
      <c r="K675" s="2"/>
      <c r="L675" s="2"/>
      <c r="M675" s="2"/>
      <c r="N675" s="2"/>
      <c r="O675" s="2"/>
      <c r="P675" s="2"/>
      <c r="Q675" s="2"/>
      <c r="R675" s="187"/>
    </row>
    <row r="676" spans="1:19" ht="15.75" customHeight="1" thickBot="1" x14ac:dyDescent="0.4">
      <c r="A676" s="7" t="s">
        <v>1661</v>
      </c>
      <c r="B676" s="179" t="s">
        <v>2090</v>
      </c>
      <c r="C676" s="180" t="s">
        <v>2091</v>
      </c>
      <c r="D676" s="180" t="s">
        <v>2234</v>
      </c>
      <c r="E676" s="175" t="s">
        <v>1594</v>
      </c>
      <c r="F676" s="180" t="s">
        <v>2235</v>
      </c>
      <c r="G676" s="180" t="s">
        <v>2236</v>
      </c>
      <c r="H676" s="180" t="s">
        <v>2237</v>
      </c>
      <c r="I676" s="64" t="s">
        <v>1595</v>
      </c>
      <c r="J676" s="180" t="s">
        <v>1504</v>
      </c>
      <c r="K676" s="180" t="s">
        <v>1505</v>
      </c>
      <c r="L676" s="180" t="s">
        <v>1506</v>
      </c>
      <c r="M676" s="64" t="s">
        <v>1596</v>
      </c>
      <c r="N676" s="180" t="s">
        <v>1507</v>
      </c>
      <c r="O676" s="180" t="s">
        <v>1508</v>
      </c>
      <c r="P676" s="180" t="s">
        <v>1509</v>
      </c>
      <c r="Q676" s="64" t="s">
        <v>1597</v>
      </c>
      <c r="R676" s="194" t="s">
        <v>1510</v>
      </c>
    </row>
    <row r="677" spans="1:19" ht="15.75" customHeight="1" thickBot="1" x14ac:dyDescent="0.4">
      <c r="A677" s="12"/>
      <c r="B677" s="181"/>
      <c r="C677" s="181"/>
      <c r="D677" s="181"/>
      <c r="E677" s="178"/>
      <c r="F677" s="181"/>
      <c r="G677" s="181"/>
      <c r="H677" s="181"/>
      <c r="I677" s="193"/>
      <c r="J677" s="181"/>
      <c r="K677" s="181"/>
      <c r="L677" s="181"/>
      <c r="M677" s="193"/>
      <c r="N677" s="181"/>
      <c r="O677" s="181"/>
      <c r="P677" s="181"/>
      <c r="Q677" s="195"/>
      <c r="R677" s="196"/>
    </row>
    <row r="678" spans="1:19" ht="15.75" customHeight="1" x14ac:dyDescent="0.35">
      <c r="A678" s="6" t="s">
        <v>2417</v>
      </c>
      <c r="B678" s="2" t="s">
        <v>852</v>
      </c>
      <c r="C678" s="2" t="s">
        <v>852</v>
      </c>
      <c r="D678" s="2" t="s">
        <v>852</v>
      </c>
      <c r="E678" s="197"/>
      <c r="F678" s="2" t="s">
        <v>852</v>
      </c>
      <c r="G678" s="2" t="s">
        <v>852</v>
      </c>
      <c r="H678" s="2" t="s">
        <v>852</v>
      </c>
      <c r="I678" s="197"/>
      <c r="J678" s="2" t="s">
        <v>852</v>
      </c>
      <c r="K678" s="2" t="s">
        <v>852</v>
      </c>
      <c r="L678" s="2" t="s">
        <v>852</v>
      </c>
      <c r="M678" s="197"/>
      <c r="N678" s="2" t="s">
        <v>852</v>
      </c>
      <c r="O678" s="2" t="s">
        <v>852</v>
      </c>
      <c r="P678" s="2" t="s">
        <v>852</v>
      </c>
      <c r="Q678" s="198"/>
      <c r="R678" s="199" t="s">
        <v>852</v>
      </c>
    </row>
    <row r="679" spans="1:19" ht="15.75" customHeight="1" x14ac:dyDescent="0.35">
      <c r="A679" s="6" t="s">
        <v>2160</v>
      </c>
      <c r="B679" s="2">
        <f>+SUM(B74:B79)+SUM(B135:B157)+SUM(B261:B271)+SUM(B371:B372)+SUM(B412:B415)+SUM(B453:B459)+SUM(B512:B514)+SUM(B547:B549)+SUM(B596:B597)+SUM(B630:B632)</f>
        <v>24976</v>
      </c>
      <c r="C679" s="2">
        <f>+SUM(C74:C79)+SUM(C135:C157)+SUM(C261:C271)+SUM(C371:C372)+SUM(C412:C415)+SUM(C453:C459)+SUM(C512:C514)+SUM(C547:C549)+SUM(C596:C597)+SUM(C630:C632)</f>
        <v>20818</v>
      </c>
      <c r="D679" s="2">
        <f>+SUM(D74:D79)+SUM(D135:D157)+SUM(D261:D271)+SUM(D371:D372)+SUM(D412:D415)+SUM(D453:D459)+SUM(D512:D514)+SUM(D547:D549)+SUM(D596:D597)+SUM(D630:D632)</f>
        <v>31429</v>
      </c>
      <c r="E679" s="183">
        <f t="shared" ref="E679:E685" si="89">SUM(B679:D679)</f>
        <v>77223</v>
      </c>
      <c r="F679" s="2">
        <f>+SUM(F74:F79)+SUM(F135:F157)+SUM(F261:F271)+SUM(F371:F372)+SUM(F412:F415)+SUM(F453:F459)+SUM(F512:F514)+SUM(F547:F549)+SUM(F596:F597)+SUM(F630:F632)</f>
        <v>29583</v>
      </c>
      <c r="G679" s="2">
        <f>+SUM(G74:G79)+SUM(G135:G157)+SUM(G261:G271)+SUM(G371:G372)+SUM(G412:G415)+SUM(G453:G459)+SUM(G512:G514)+SUM(G547:G549)+SUM(G596:G597)+SUM(G630:G632)</f>
        <v>23613</v>
      </c>
      <c r="H679" s="2">
        <f>+SUM(H74:H79)+SUM(H135:H157)+SUM(H261:H271)+SUM(H371:H372)+SUM(H412:H415)+SUM(H453:H459)+SUM(H512:H514)+SUM(H547:H549)+SUM(H596:H597)+SUM(H630:H632)</f>
        <v>33335</v>
      </c>
      <c r="I679" s="183">
        <f t="shared" ref="I679:I685" si="90">SUM(F679:H679)</f>
        <v>86531</v>
      </c>
      <c r="J679" s="2">
        <f>+SUM(J74:J79)+SUM(J135:J157)+SUM(J261:J271)+SUM(J371:J372)+SUM(J412:J415)+SUM(J453:J459)+SUM(J512:J514)+SUM(J547:J549)+SUM(J596:J597)+SUM(J630:J632)</f>
        <v>46294</v>
      </c>
      <c r="K679" s="2">
        <f>+SUM(K74:K79)+SUM(K135:K157)+SUM(K261:K271)+SUM(K371:K372)+SUM(K412:K415)+SUM(K453:K459)+SUM(K512:K514)+SUM(K547:K549)+SUM(K596:K597)+SUM(K630:K632)</f>
        <v>49657</v>
      </c>
      <c r="L679" s="2">
        <f>+SUM(L74:L79)+SUM(L135:L157)+SUM(L261:L271)+SUM(L371:L372)+SUM(L412:L415)+SUM(L453:L459)+SUM(L512:L514)+SUM(L547:L549)+SUM(L596:L597)+SUM(L630:L632)</f>
        <v>47534</v>
      </c>
      <c r="M679" s="183">
        <f t="shared" ref="M679:M685" si="91">SUM(J679:L679)</f>
        <v>143485</v>
      </c>
      <c r="N679" s="2">
        <f>+SUM(N74:N79)+SUM(N135:N157)+SUM(N261:N271)+SUM(N371:N372)+SUM(N412:N415)+SUM(N453:N459)+SUM(N512:N514)+SUM(N547:N549)+SUM(N596:N597)+SUM(N630:N632)</f>
        <v>36368</v>
      </c>
      <c r="O679" s="2">
        <f>+SUM(O74:O79)+SUM(O135:O157)+SUM(O261:O271)+SUM(O371:O372)+SUM(O412:O415)+SUM(O453:O459)+SUM(O512:O514)+SUM(O547:O549)+SUM(O596:O597)+SUM(O630:O632)</f>
        <v>29733</v>
      </c>
      <c r="P679" s="2">
        <f>+SUM(P74:P79)+SUM(P135:P157)+SUM(P261:P271)+SUM(P371:P372)+SUM(P412:P415)+SUM(P453:P459)+SUM(P512:P514)+SUM(P547:P549)+SUM(P596:P597)+SUM(P630:P632)</f>
        <v>26433</v>
      </c>
      <c r="Q679" s="183">
        <f t="shared" ref="Q679:Q685" si="92">SUM(N679:P679)</f>
        <v>92534</v>
      </c>
      <c r="R679" s="183">
        <f t="shared" ref="R679:R685" si="93">+E679+I679+M679+Q679</f>
        <v>399773</v>
      </c>
      <c r="S679" s="157"/>
    </row>
    <row r="680" spans="1:19" ht="15.75" customHeight="1" x14ac:dyDescent="0.35">
      <c r="A680" s="6" t="s">
        <v>2161</v>
      </c>
      <c r="B680" s="2">
        <f>+SUM(B80:B83)+SUM(B159:B168)+SUM(B273:B287)+SUM(B374:B375)+B416+SUM(B460:B460)+B515+B550+B598+SUM(B633:B633)</f>
        <v>101</v>
      </c>
      <c r="C680" s="2">
        <f>+SUM(C80:C83)+SUM(C159:C168)+SUM(C273:C287)+SUM(C374:C375)+C416+SUM(C460:C460)+C515+C550+C598+SUM(C633:C633)</f>
        <v>105</v>
      </c>
      <c r="D680" s="2">
        <f>+SUM(D80:D83)+SUM(D159:D168)+SUM(D273:D287)+SUM(D374:D375)+D416+SUM(D460:D460)+D515+D550+D598+SUM(D633:D633)</f>
        <v>155</v>
      </c>
      <c r="E680" s="183">
        <f t="shared" si="89"/>
        <v>361</v>
      </c>
      <c r="F680" s="2">
        <f>+SUM(F80:F83)+SUM(F159:F168)+SUM(F273:F287)+SUM(F374:F375)+F416+SUM(F460:F460)+F515+F550+F598+SUM(F633:F633)</f>
        <v>421</v>
      </c>
      <c r="G680" s="2">
        <f>+SUM(G80:G83)+SUM(G159:G168)+SUM(G273:G287)+SUM(G374:G375)+G416+SUM(G460:G460)+G515+G550+G598+SUM(G633:G633)</f>
        <v>661</v>
      </c>
      <c r="H680" s="2">
        <f>+SUM(H80:H83)+SUM(H159:H168)+SUM(H273:H287)+SUM(H374:H375)+H416+SUM(H460:H460)+H515+H550+H598+SUM(H633:H633)</f>
        <v>790</v>
      </c>
      <c r="I680" s="183">
        <f t="shared" si="90"/>
        <v>1872</v>
      </c>
      <c r="J680" s="2">
        <f>+SUM(J80:J83)+SUM(J159:J168)+SUM(J273:J287)+SUM(J374:J375)+J416+SUM(J460:J460)+J515+J550+J598+SUM(J633:J633)</f>
        <v>871</v>
      </c>
      <c r="K680" s="2">
        <f>+SUM(K80:K83)+SUM(K159:K168)+SUM(K273:K287)+SUM(K374:K375)+K416+SUM(K460:K460)+K515+K550+K598+SUM(K633:K633)</f>
        <v>882</v>
      </c>
      <c r="L680" s="2">
        <f>+SUM(L80:L83)+SUM(L159:L168)+SUM(L273:L287)+SUM(L374:L375)+L416+SUM(L460:L460)+L515+L550+L598+SUM(L633:L633)</f>
        <v>682</v>
      </c>
      <c r="M680" s="183">
        <f t="shared" si="91"/>
        <v>2435</v>
      </c>
      <c r="N680" s="2">
        <f>+SUM(N80:N83)+SUM(N159:N168)+SUM(N273:N287)+SUM(N374:N375)+N416+SUM(N460:N460)+N515+N550+N598+SUM(N633:N633)</f>
        <v>767</v>
      </c>
      <c r="O680" s="2">
        <f>+SUM(O80:O83)+SUM(O159:O168)+SUM(O273:O287)+SUM(O374:O375)+O416+SUM(O460:O460)+O515+O550+O598+SUM(O633:O633)</f>
        <v>399</v>
      </c>
      <c r="P680" s="2">
        <f>+SUM(P80:P83)+SUM(P159:P168)+SUM(P273:P287)+SUM(P374:P375)+P416+SUM(P460:P460)+P515+P550+P598+SUM(P633:P633)</f>
        <v>977</v>
      </c>
      <c r="Q680" s="183">
        <f t="shared" si="92"/>
        <v>2143</v>
      </c>
      <c r="R680" s="183">
        <f t="shared" si="93"/>
        <v>6811</v>
      </c>
    </row>
    <row r="681" spans="1:19" ht="15.75" customHeight="1" x14ac:dyDescent="0.35">
      <c r="A681" s="6" t="s">
        <v>2036</v>
      </c>
      <c r="B681" s="2">
        <f>SUM(B85:B86)+SUM(B169:B172)+SUM(B288:B292)+B376+B417+SUM(B461:B462)+B516+B551+B599+SUM(B634:B635)</f>
        <v>215</v>
      </c>
      <c r="C681" s="2">
        <f>SUM(C85:C86)+SUM(C169:C172)+SUM(C288:C292)+C376+C417+SUM(C461:C462)+C516+C551+C599+SUM(C634:C635)</f>
        <v>106</v>
      </c>
      <c r="D681" s="2">
        <f>SUM(D85:D86)+SUM(D169:D172)+SUM(D288:D292)+D376+D417+SUM(D461:D462)+D516+D551+D599+SUM(D634:D635)</f>
        <v>145</v>
      </c>
      <c r="E681" s="183">
        <f t="shared" si="89"/>
        <v>466</v>
      </c>
      <c r="F681" s="2">
        <f>SUM(F85:F86)+SUM(F169:F172)+SUM(F288:F292)+F376+F417+SUM(F461:F462)+F516+F551+F599+SUM(F634:F635)</f>
        <v>2237</v>
      </c>
      <c r="G681" s="2">
        <f>SUM(G85:G86)+SUM(G169:G172)+SUM(G288:G292)+G376+G417+SUM(G461:G462)+G516+G551+G599+SUM(G634:G635)</f>
        <v>8434</v>
      </c>
      <c r="H681" s="2">
        <f>SUM(H85:H86)+SUM(H169:H172)+SUM(H288:H292)+H376+H417+SUM(H461:H462)+H516+H551+H599+SUM(H634:H635)</f>
        <v>2971</v>
      </c>
      <c r="I681" s="183">
        <f t="shared" si="90"/>
        <v>13642</v>
      </c>
      <c r="J681" s="2">
        <f>SUM(J85:J86)+SUM(J169:J172)+SUM(J288:J292)+J376+J417+SUM(J461:J462)+J516+J551+J599+SUM(J634:J635)</f>
        <v>2523</v>
      </c>
      <c r="K681" s="2">
        <f>SUM(K85:K86)+SUM(K169:K172)+SUM(K288:K292)+K376+K417+SUM(K461:K462)+K516+K551+K599+SUM(K634:K635)</f>
        <v>112</v>
      </c>
      <c r="L681" s="2">
        <f>SUM(L85:L86)+SUM(L169:L172)+SUM(L288:L292)+L376+L417+SUM(L461:L462)+L516+L551+L599+SUM(L634:L635)</f>
        <v>1619</v>
      </c>
      <c r="M681" s="183">
        <f t="shared" si="91"/>
        <v>4254</v>
      </c>
      <c r="N681" s="2">
        <f>SUM(N85:N86)+SUM(N169:N172)+SUM(N288:N292)+N376+N417+SUM(N461:N462)+N516+N551+N599+SUM(N634:N635)</f>
        <v>923</v>
      </c>
      <c r="O681" s="2">
        <f>SUM(O85:O86)+SUM(O169:O172)+SUM(O288:O292)+O376+O417+SUM(O461:O462)+O516+O551+O599+SUM(O634:O635)</f>
        <v>248</v>
      </c>
      <c r="P681" s="2">
        <f>SUM(P85:P86)+SUM(P169:P172)+SUM(P288:P292)+P376+P417+SUM(P461:P462)+P516+P551+P599+SUM(P634:P635)</f>
        <v>3</v>
      </c>
      <c r="Q681" s="183">
        <f t="shared" si="92"/>
        <v>1174</v>
      </c>
      <c r="R681" s="183">
        <f t="shared" si="93"/>
        <v>19536</v>
      </c>
    </row>
    <row r="682" spans="1:19" ht="15.75" customHeight="1" x14ac:dyDescent="0.35">
      <c r="A682" s="6" t="s">
        <v>79</v>
      </c>
      <c r="B682" s="2">
        <f t="shared" ref="B682:D683" si="94">+B238</f>
        <v>825</v>
      </c>
      <c r="C682" s="2">
        <f t="shared" si="94"/>
        <v>1214</v>
      </c>
      <c r="D682" s="2">
        <f t="shared" si="94"/>
        <v>0</v>
      </c>
      <c r="E682" s="183">
        <f t="shared" si="89"/>
        <v>2039</v>
      </c>
      <c r="F682" s="2">
        <f t="shared" ref="F682:H683" si="95">+F238</f>
        <v>0</v>
      </c>
      <c r="G682" s="2">
        <f t="shared" si="95"/>
        <v>0</v>
      </c>
      <c r="H682" s="2">
        <f t="shared" si="95"/>
        <v>0</v>
      </c>
      <c r="I682" s="183">
        <f t="shared" si="90"/>
        <v>0</v>
      </c>
      <c r="J682" s="2">
        <f t="shared" ref="J682:L683" si="96">+J238</f>
        <v>0</v>
      </c>
      <c r="K682" s="2">
        <f t="shared" si="96"/>
        <v>0</v>
      </c>
      <c r="L682" s="2">
        <f t="shared" si="96"/>
        <v>830</v>
      </c>
      <c r="M682" s="183">
        <f t="shared" si="91"/>
        <v>830</v>
      </c>
      <c r="N682" s="2">
        <f t="shared" ref="N682:P683" si="97">+N238</f>
        <v>1510</v>
      </c>
      <c r="O682" s="2">
        <f t="shared" si="97"/>
        <v>0</v>
      </c>
      <c r="P682" s="2">
        <f t="shared" si="97"/>
        <v>321</v>
      </c>
      <c r="Q682" s="183">
        <f t="shared" si="92"/>
        <v>1831</v>
      </c>
      <c r="R682" s="183">
        <f t="shared" si="93"/>
        <v>4700</v>
      </c>
    </row>
    <row r="683" spans="1:19" ht="15.75" customHeight="1" x14ac:dyDescent="0.35">
      <c r="A683" s="6" t="s">
        <v>2163</v>
      </c>
      <c r="B683" s="2">
        <f t="shared" si="94"/>
        <v>58</v>
      </c>
      <c r="C683" s="2">
        <f t="shared" si="94"/>
        <v>25</v>
      </c>
      <c r="D683" s="2">
        <f t="shared" si="94"/>
        <v>34</v>
      </c>
      <c r="E683" s="183">
        <f t="shared" si="89"/>
        <v>117</v>
      </c>
      <c r="F683" s="2">
        <f t="shared" si="95"/>
        <v>101</v>
      </c>
      <c r="G683" s="2">
        <f t="shared" si="95"/>
        <v>146</v>
      </c>
      <c r="H683" s="2">
        <f t="shared" si="95"/>
        <v>166</v>
      </c>
      <c r="I683" s="183">
        <f t="shared" si="90"/>
        <v>413</v>
      </c>
      <c r="J683" s="2">
        <f t="shared" si="96"/>
        <v>262</v>
      </c>
      <c r="K683" s="2">
        <f t="shared" si="96"/>
        <v>109</v>
      </c>
      <c r="L683" s="2">
        <f t="shared" si="96"/>
        <v>126</v>
      </c>
      <c r="M683" s="183">
        <f t="shared" si="91"/>
        <v>497</v>
      </c>
      <c r="N683" s="2">
        <f t="shared" si="97"/>
        <v>80</v>
      </c>
      <c r="O683" s="2">
        <f t="shared" si="97"/>
        <v>115</v>
      </c>
      <c r="P683" s="2">
        <f t="shared" si="97"/>
        <v>119</v>
      </c>
      <c r="Q683" s="183">
        <f t="shared" si="92"/>
        <v>314</v>
      </c>
      <c r="R683" s="183">
        <f t="shared" si="93"/>
        <v>1341</v>
      </c>
    </row>
    <row r="684" spans="1:19" ht="15.75" customHeight="1" thickBot="1" x14ac:dyDescent="0.4">
      <c r="A684" s="6" t="s">
        <v>2164</v>
      </c>
      <c r="B684" s="2">
        <f>+B87+B377+B418+B463+B517+B552+B600+B636</f>
        <v>0</v>
      </c>
      <c r="C684" s="2">
        <f>+C87+C377+C418+C463+C517+C552+C600+C636</f>
        <v>0</v>
      </c>
      <c r="D684" s="2">
        <f>+D87+D377+D418+D463+D517+D552+D600+D636</f>
        <v>0</v>
      </c>
      <c r="E684" s="183">
        <f t="shared" si="89"/>
        <v>0</v>
      </c>
      <c r="F684" s="2">
        <f>+F87+F377+F418+F463+F517+F552+F600+F636</f>
        <v>0</v>
      </c>
      <c r="G684" s="2">
        <f>+G87+G377+G418+G463+G517+G552+G600+G636</f>
        <v>0</v>
      </c>
      <c r="H684" s="2">
        <f>+H87+H377+H418+H463+H517+H552+H600+H636</f>
        <v>0</v>
      </c>
      <c r="I684" s="183">
        <f t="shared" si="90"/>
        <v>0</v>
      </c>
      <c r="J684" s="2">
        <f>+J87+J377+J418+J463+J517+J552+J600+J636</f>
        <v>0</v>
      </c>
      <c r="K684" s="2">
        <f>+K87+K377+K418+K463+K517+K552+K600+K636</f>
        <v>0</v>
      </c>
      <c r="L684" s="2">
        <f>+L87+L377+L418+L463+L517+L552+L600+L636</f>
        <v>0</v>
      </c>
      <c r="M684" s="183">
        <f t="shared" si="91"/>
        <v>0</v>
      </c>
      <c r="N684" s="2">
        <f>+N87+N377+N418+N463+N517+N552+N600+N636</f>
        <v>0</v>
      </c>
      <c r="O684" s="2">
        <f>+O87+O377+O418+O463+O517+O552+O600+O636</f>
        <v>0</v>
      </c>
      <c r="P684" s="2">
        <f>+P87+P377+P418+P463+P517+P552+P600+P636</f>
        <v>0</v>
      </c>
      <c r="Q684" s="183">
        <f t="shared" si="92"/>
        <v>0</v>
      </c>
      <c r="R684" s="183">
        <f t="shared" si="93"/>
        <v>0</v>
      </c>
    </row>
    <row r="685" spans="1:19" ht="15.75" customHeight="1" thickBot="1" x14ac:dyDescent="0.4">
      <c r="A685" s="41" t="s">
        <v>1218</v>
      </c>
      <c r="B685" s="188">
        <f>SUM(B678:B684)</f>
        <v>26175</v>
      </c>
      <c r="C685" s="189">
        <f>SUM(C678:C684)</f>
        <v>22268</v>
      </c>
      <c r="D685" s="189">
        <f>SUM(D678:D684)</f>
        <v>31763</v>
      </c>
      <c r="E685" s="56">
        <f t="shared" si="89"/>
        <v>80206</v>
      </c>
      <c r="F685" s="189">
        <f>SUM(F678:F684)</f>
        <v>32342</v>
      </c>
      <c r="G685" s="189">
        <f>SUM(G678:G684)</f>
        <v>32854</v>
      </c>
      <c r="H685" s="189">
        <f>SUM(H678:H684)</f>
        <v>37262</v>
      </c>
      <c r="I685" s="56">
        <f t="shared" si="90"/>
        <v>102458</v>
      </c>
      <c r="J685" s="189">
        <f>SUM(J678:J684)</f>
        <v>49950</v>
      </c>
      <c r="K685" s="189">
        <f>SUM(K678:K684)</f>
        <v>50760</v>
      </c>
      <c r="L685" s="189">
        <f>SUM(L678:L684)</f>
        <v>50791</v>
      </c>
      <c r="M685" s="56">
        <f t="shared" si="91"/>
        <v>151501</v>
      </c>
      <c r="N685" s="189">
        <f>SUM(N678:N684)</f>
        <v>39648</v>
      </c>
      <c r="O685" s="189">
        <f>SUM(O678:O684)</f>
        <v>30495</v>
      </c>
      <c r="P685" s="189">
        <f>SUM(P678:P684)</f>
        <v>27853</v>
      </c>
      <c r="Q685" s="56">
        <f t="shared" si="92"/>
        <v>97996</v>
      </c>
      <c r="R685" s="56">
        <f t="shared" si="93"/>
        <v>432161</v>
      </c>
    </row>
    <row r="686" spans="1:19" ht="15.75" customHeight="1" x14ac:dyDescent="0.35">
      <c r="A686" s="6" t="s">
        <v>1172</v>
      </c>
      <c r="B686" s="2"/>
      <c r="C686" s="2"/>
      <c r="D686" s="2"/>
      <c r="E686" s="183" t="s">
        <v>852</v>
      </c>
      <c r="F686" s="2"/>
      <c r="G686" s="2"/>
      <c r="H686" s="2"/>
      <c r="I686" s="183" t="s">
        <v>852</v>
      </c>
      <c r="J686" s="2"/>
      <c r="K686" s="2"/>
      <c r="L686" s="2"/>
      <c r="M686" s="183" t="s">
        <v>852</v>
      </c>
      <c r="N686" s="2"/>
      <c r="O686" s="2"/>
      <c r="P686" s="2"/>
      <c r="Q686" s="183" t="s">
        <v>852</v>
      </c>
      <c r="R686" s="183" t="s">
        <v>852</v>
      </c>
    </row>
    <row r="687" spans="1:19" ht="15.75" customHeight="1" x14ac:dyDescent="0.35">
      <c r="A687" s="6" t="s">
        <v>1658</v>
      </c>
      <c r="B687" s="2">
        <f>SUM(B45:B45)+SUM(B176:B176)+SUM(B90:B90)+SUM(B296:B296)</f>
        <v>0</v>
      </c>
      <c r="C687" s="2">
        <f>SUM(C45:C45)+SUM(C176:C176)+SUM(C90:C90)+SUM(C296:C296)</f>
        <v>0</v>
      </c>
      <c r="D687" s="2">
        <f>SUM(D45:D45)+SUM(D176:D176)+SUM(D90:D90)+SUM(D296:D296)</f>
        <v>0</v>
      </c>
      <c r="E687" s="183">
        <f>SUM(B687:D687)</f>
        <v>0</v>
      </c>
      <c r="F687" s="2">
        <f>SUM(F45:F45)+SUM(F176:F176)+SUM(F90:F90)+SUM(F296:F296)</f>
        <v>0</v>
      </c>
      <c r="G687" s="2">
        <f>SUM(G45:G45)+SUM(G176:G176)+SUM(G90:G90)+SUM(G296:G296)</f>
        <v>0</v>
      </c>
      <c r="H687" s="2">
        <f>SUM(H45:H45)+SUM(H176:H176)+SUM(H90:H90)+SUM(H296:H296)</f>
        <v>0</v>
      </c>
      <c r="I687" s="183">
        <f>SUM(F687:H687)</f>
        <v>0</v>
      </c>
      <c r="J687" s="2">
        <f>SUM(J45:J45)+SUM(J176:J176)+SUM(J90:J90)+SUM(J296:J296)</f>
        <v>0</v>
      </c>
      <c r="K687" s="2">
        <f>SUM(K45:K45)+SUM(K176:K176)+SUM(K90:K90)+SUM(K296:K296)</f>
        <v>0</v>
      </c>
      <c r="L687" s="2">
        <f>SUM(L45:L45)+SUM(L176:L176)+SUM(L90:L90)+SUM(L296:L296)</f>
        <v>0</v>
      </c>
      <c r="M687" s="183">
        <f>SUM(J687:L687)</f>
        <v>0</v>
      </c>
      <c r="N687" s="2">
        <f>SUM(N45:N45)+SUM(N176:N176)+SUM(N90:N90)+SUM(N296:N296)</f>
        <v>0</v>
      </c>
      <c r="O687" s="2">
        <f>SUM(O45:O45)+SUM(O176:O176)+SUM(O90:O90)+SUM(O296:O296)</f>
        <v>0</v>
      </c>
      <c r="P687" s="2">
        <f>SUM(P45:P45)+SUM(P176:P176)+SUM(P90:P90)+SUM(P296:P296)</f>
        <v>0</v>
      </c>
      <c r="Q687" s="183">
        <f>SUM(N687:P687)</f>
        <v>0</v>
      </c>
      <c r="R687" s="183">
        <f>+E687+I687+M687+Q687</f>
        <v>0</v>
      </c>
    </row>
    <row r="688" spans="1:19" ht="15.75" customHeight="1" x14ac:dyDescent="0.35">
      <c r="A688" s="6" t="s">
        <v>2409</v>
      </c>
      <c r="B688" s="2">
        <f>+SUM(B92:B93)+SUM(B177:B178)+SUM(B297:B305)+B381+SUM(B421:B423)+SUM(B466:B468)+SUM(B520:B520)+B555+B603+B639</f>
        <v>4329</v>
      </c>
      <c r="C688" s="2">
        <f>+SUM(C92:C93)+SUM(C177:C178)+SUM(C297:C305)+C381+SUM(C421:C423)+SUM(C466:C468)+SUM(C520:C520)+C555+C603+C639</f>
        <v>4392</v>
      </c>
      <c r="D688" s="2">
        <f>+SUM(D92:D93)+SUM(D177:D178)+SUM(D297:D305)+D381+SUM(D421:D423)+SUM(D466:D468)+SUM(D520:D520)+D555+D603+D639</f>
        <v>18848</v>
      </c>
      <c r="E688" s="183">
        <f>SUM(B688:D688)</f>
        <v>27569</v>
      </c>
      <c r="F688" s="2">
        <f>+SUM(F92:F93)+SUM(F177:F178)+SUM(F297:F305)+F381+SUM(F421:F423)+SUM(F466:F468)+SUM(F520:F520)+F555+F603+F639</f>
        <v>62858</v>
      </c>
      <c r="G688" s="2">
        <f>+SUM(G92:G93)+SUM(G177:G178)+SUM(G297:G305)+G381+SUM(G421:G423)+SUM(G466:G468)+SUM(G520:G520)+G555+G603+G639</f>
        <v>42955</v>
      </c>
      <c r="H688" s="2">
        <f>+SUM(H92:H93)+SUM(H177:H178)+SUM(H297:H305)+H381+SUM(H421:H423)+SUM(H466:H468)+SUM(H520:H520)+H555+H603+H639</f>
        <v>68589</v>
      </c>
      <c r="I688" s="183">
        <f>SUM(F688:H688)</f>
        <v>174402</v>
      </c>
      <c r="J688" s="2">
        <f>+SUM(J92:J93)+SUM(J177:J178)+SUM(J297:J305)+J381+SUM(J421:J423)+SUM(J466:J468)+SUM(J520:J520)+J555+J603+J639</f>
        <v>74617</v>
      </c>
      <c r="K688" s="2">
        <f>+SUM(K92:K93)+SUM(K177:K178)+SUM(K297:K305)+K381+SUM(K421:K423)+SUM(K466:K468)+SUM(K520:K520)+K555+K603+K639</f>
        <v>44432</v>
      </c>
      <c r="L688" s="2">
        <f>+SUM(L92:L93)+SUM(L177:L178)+SUM(L297:L305)+L381+SUM(L421:L423)+SUM(L466:L468)+SUM(L520:L520)+L555+L603+L639</f>
        <v>36922</v>
      </c>
      <c r="M688" s="183">
        <f>SUM(J688:L688)</f>
        <v>155971</v>
      </c>
      <c r="N688" s="2">
        <f>+SUM(N92:N93)+SUM(N177:N178)+SUM(N297:N305)+N381+SUM(N421:N423)+SUM(N466:N468)+SUM(N520:N520)+N555+N603+N639</f>
        <v>13317</v>
      </c>
      <c r="O688" s="2">
        <f>+SUM(O92:O93)+SUM(O177:O178)+SUM(O297:O305)+O381+SUM(O421:O423)+SUM(O466:O468)+SUM(O520:O520)+O555+O603+O639</f>
        <v>10818</v>
      </c>
      <c r="P688" s="2">
        <f>+SUM(P92:P93)+SUM(P177:P178)+SUM(P297:P305)+P381+SUM(P421:P423)+SUM(P466:P468)+SUM(P520:P520)+P555+P603+P639</f>
        <v>9711</v>
      </c>
      <c r="Q688" s="183">
        <f>SUM(N688:P688)</f>
        <v>33846</v>
      </c>
      <c r="R688" s="183">
        <f>+E688+I688+M688+Q688</f>
        <v>391788</v>
      </c>
    </row>
    <row r="689" spans="1:18" ht="15.75" customHeight="1" thickBot="1" x14ac:dyDescent="0.4">
      <c r="A689" s="6" t="s">
        <v>2165</v>
      </c>
      <c r="B689" s="2">
        <f>+B94+B383+B425+B469+B521+B556+B604+B640</f>
        <v>0</v>
      </c>
      <c r="C689" s="2">
        <f>+C94+C383+C425+C469+C521+C556+C604+C640</f>
        <v>0</v>
      </c>
      <c r="D689" s="2">
        <f>+D94+D383+D425+D469+D521+D556+D604+D640</f>
        <v>0</v>
      </c>
      <c r="E689" s="183">
        <f>SUM(B689:D689)</f>
        <v>0</v>
      </c>
      <c r="F689" s="2">
        <f>+F94+F383+F425+F469+F521+F556+F604+F640</f>
        <v>0</v>
      </c>
      <c r="G689" s="2">
        <f>+G94+G383+G425+G469+G521+G556+G604+G640</f>
        <v>0</v>
      </c>
      <c r="H689" s="2">
        <f>+H94+H383+H425+H469+H521+H556+H604+H640</f>
        <v>0</v>
      </c>
      <c r="I689" s="183">
        <f>SUM(F689:H689)</f>
        <v>0</v>
      </c>
      <c r="J689" s="2">
        <f>+J94+J383+J425+J469+J521+J556+J604+J640</f>
        <v>0</v>
      </c>
      <c r="K689" s="2">
        <f>+K94+K383+K425+K469+K521+K556+K604+K640</f>
        <v>0</v>
      </c>
      <c r="L689" s="2">
        <f>+L94+L383+L425+L469+L521+L556+L604+L640</f>
        <v>0</v>
      </c>
      <c r="M689" s="183">
        <f>SUM(J689:L689)</f>
        <v>0</v>
      </c>
      <c r="N689" s="2">
        <f>+N94+N383+N425+N469+N521+N556+N604+N640</f>
        <v>0</v>
      </c>
      <c r="O689" s="2">
        <f>+O94+O383+O425+O469+O521+O556+O604+O640</f>
        <v>0</v>
      </c>
      <c r="P689" s="2">
        <f>+P94+P383+P425+P469+P521+P556+P604+P640</f>
        <v>0</v>
      </c>
      <c r="Q689" s="183">
        <f>SUM(N689:P689)</f>
        <v>0</v>
      </c>
      <c r="R689" s="183">
        <f>+E689+I689+M689+Q689</f>
        <v>0</v>
      </c>
    </row>
    <row r="690" spans="1:18" ht="15.75" customHeight="1" thickBot="1" x14ac:dyDescent="0.4">
      <c r="A690" s="41" t="s">
        <v>1219</v>
      </c>
      <c r="B690" s="188">
        <f>SUM(B686:B689)</f>
        <v>4329</v>
      </c>
      <c r="C690" s="189">
        <f>SUM(C686:C689)</f>
        <v>4392</v>
      </c>
      <c r="D690" s="189">
        <f>SUM(D686:D689)</f>
        <v>18848</v>
      </c>
      <c r="E690" s="56">
        <f>SUM(B690:D690)</f>
        <v>27569</v>
      </c>
      <c r="F690" s="189">
        <f>SUM(F686:F689)</f>
        <v>62858</v>
      </c>
      <c r="G690" s="189">
        <f>SUM(G686:G689)</f>
        <v>42955</v>
      </c>
      <c r="H690" s="189">
        <f>SUM(H686:H689)</f>
        <v>68589</v>
      </c>
      <c r="I690" s="56">
        <f>SUM(F690:H690)</f>
        <v>174402</v>
      </c>
      <c r="J690" s="189">
        <f>SUM(J686:J689)</f>
        <v>74617</v>
      </c>
      <c r="K690" s="189">
        <f>SUM(K686:K689)</f>
        <v>44432</v>
      </c>
      <c r="L690" s="189">
        <f>SUM(L686:L689)</f>
        <v>36922</v>
      </c>
      <c r="M690" s="56">
        <f>SUM(J690:L690)</f>
        <v>155971</v>
      </c>
      <c r="N690" s="189">
        <f>SUM(N686:N689)</f>
        <v>13317</v>
      </c>
      <c r="O690" s="189">
        <f>SUM(O686:O689)</f>
        <v>10818</v>
      </c>
      <c r="P690" s="189">
        <f>SUM(P686:P689)</f>
        <v>9711</v>
      </c>
      <c r="Q690" s="56">
        <f>SUM(N690:P690)</f>
        <v>33846</v>
      </c>
      <c r="R690" s="56">
        <f>+E690+I690+M690+Q690</f>
        <v>391788</v>
      </c>
    </row>
    <row r="691" spans="1:18" ht="15.75" customHeight="1" x14ac:dyDescent="0.35">
      <c r="A691" s="6" t="s">
        <v>2166</v>
      </c>
      <c r="B691" s="2"/>
      <c r="C691" s="2"/>
      <c r="D691" s="2"/>
      <c r="E691" s="183" t="s">
        <v>852</v>
      </c>
      <c r="F691" s="2"/>
      <c r="G691" s="2"/>
      <c r="H691" s="2"/>
      <c r="I691" s="183" t="s">
        <v>852</v>
      </c>
      <c r="J691" s="2"/>
      <c r="K691" s="2"/>
      <c r="L691" s="2"/>
      <c r="M691" s="183" t="s">
        <v>852</v>
      </c>
      <c r="N691" s="2"/>
      <c r="O691" s="2"/>
      <c r="P691" s="2"/>
      <c r="Q691" s="183" t="s">
        <v>852</v>
      </c>
      <c r="R691" s="183" t="s">
        <v>852</v>
      </c>
    </row>
    <row r="692" spans="1:18" ht="15.75" customHeight="1" x14ac:dyDescent="0.35">
      <c r="A692" s="6" t="s">
        <v>1245</v>
      </c>
      <c r="B692" s="2">
        <f>+B97+B182+SUM(B309:B311)+B386+B428+B472+B524+SUM(B559:B560)+B607+SUM(B643:B644)</f>
        <v>2496</v>
      </c>
      <c r="C692" s="2">
        <f>+C97+C182+SUM(C309:C311)+C386+C428+C472+C524+SUM(C559:C560)+C607+SUM(C643:C644)</f>
        <v>2193</v>
      </c>
      <c r="D692" s="2">
        <f>+D97+D182+SUM(D309:D311)+D386+D428+D472+D524+SUM(D559:D560)+D607+SUM(D643:D644)</f>
        <v>10538</v>
      </c>
      <c r="E692" s="183">
        <f>SUM(B692:D692)</f>
        <v>15227</v>
      </c>
      <c r="F692" s="2">
        <f>+F97+F182+SUM(F309:F311)+F386+F428+F472+F524+SUM(F559:F560)+F607+SUM(F643:F644)</f>
        <v>11924</v>
      </c>
      <c r="G692" s="2">
        <f>+G97+G182+SUM(G309:G311)+G386+G428+G472+G524+SUM(G559:G560)+G607+SUM(G643:G644)</f>
        <v>12299</v>
      </c>
      <c r="H692" s="2">
        <f>+H97+H182+SUM(H309:H311)+H386+H428+H472+H524+SUM(H559:H560)+H607+SUM(H643:H644)</f>
        <v>13344</v>
      </c>
      <c r="I692" s="183">
        <f>SUM(F692:H692)</f>
        <v>37567</v>
      </c>
      <c r="J692" s="2">
        <f>+J97+J182+SUM(J309:J311)+J386+J428+J472+J524+SUM(J559:J560)+J607+SUM(J643:J644)</f>
        <v>14498</v>
      </c>
      <c r="K692" s="2">
        <f>+K97+K182+SUM(K309:K311)+K386+K428+K472+K524+SUM(K559:K560)+K607+SUM(K643:K644)</f>
        <v>9710</v>
      </c>
      <c r="L692" s="2">
        <f>+L97+L182+SUM(L309:L311)+L386+L428+L472+L524+SUM(L559:L560)+L607+SUM(L643:L644)</f>
        <v>8933</v>
      </c>
      <c r="M692" s="183">
        <f>SUM(J692:L692)</f>
        <v>33141</v>
      </c>
      <c r="N692" s="2">
        <f>+N97+N182+SUM(N309:N311)+N386+N428+N472+N524+SUM(N559:N560)+N607+SUM(N643:N644)</f>
        <v>4173</v>
      </c>
      <c r="O692" s="2">
        <f>+O97+O182+SUM(O309:O311)+O386+O428+O472+O524+SUM(O559:O560)+O607+SUM(O643:O644)</f>
        <v>2646</v>
      </c>
      <c r="P692" s="2">
        <f>+P97+P182+SUM(P309:P311)+P386+P428+P472+P524+SUM(P559:P560)+P607+SUM(P643:P644)</f>
        <v>3174</v>
      </c>
      <c r="Q692" s="183">
        <f>SUM(N692:P692)</f>
        <v>9993</v>
      </c>
      <c r="R692" s="183">
        <f>+E692+I692+M692+Q692</f>
        <v>95928</v>
      </c>
    </row>
    <row r="693" spans="1:18" ht="15.75" customHeight="1" thickBot="1" x14ac:dyDescent="0.4">
      <c r="A693" s="6" t="s">
        <v>1711</v>
      </c>
      <c r="B693" s="2">
        <f>+SUM(B99:B102)+SUM(B183:B215)+SUM(B312:B328)+B474+SUM(B645:B647)</f>
        <v>12167</v>
      </c>
      <c r="C693" s="2">
        <f>+SUM(C99:C102)+SUM(C183:C215)+SUM(C312:C328)+C474+SUM(C645:C647)</f>
        <v>13677</v>
      </c>
      <c r="D693" s="2">
        <f>+SUM(D99:D102)+SUM(D183:D215)+SUM(D312:D328)+D474+SUM(D645:D647)</f>
        <v>20764</v>
      </c>
      <c r="E693" s="183">
        <f>SUM(B693:D693)</f>
        <v>46608</v>
      </c>
      <c r="F693" s="2">
        <f>+SUM(F99:F102)+SUM(F183:F215)+SUM(F312:F328)+F474+SUM(F645:F647)</f>
        <v>24406</v>
      </c>
      <c r="G693" s="2">
        <f>+SUM(G99:G102)+SUM(G183:G215)+SUM(G312:G328)+G474+SUM(G645:G647)</f>
        <v>40670</v>
      </c>
      <c r="H693" s="2">
        <f>+SUM(H99:H102)+SUM(H183:H215)+SUM(H312:H328)+H474+SUM(H645:H647)</f>
        <v>37553</v>
      </c>
      <c r="I693" s="183">
        <f>SUM(F693:H693)</f>
        <v>102629</v>
      </c>
      <c r="J693" s="2">
        <f>+SUM(J99:J102)+SUM(J183:J215)+SUM(J312:J328)+J474+SUM(J645:J647)</f>
        <v>24819</v>
      </c>
      <c r="K693" s="2">
        <f>+SUM(K99:K102)+SUM(K183:K215)+SUM(K312:K328)+K474+SUM(K645:K647)</f>
        <v>25786</v>
      </c>
      <c r="L693" s="2">
        <f>+SUM(L99:L102)+SUM(L183:L215)+SUM(L312:L328)+L474+SUM(L645:L647)</f>
        <v>21669</v>
      </c>
      <c r="M693" s="183">
        <f>SUM(J693:L693)</f>
        <v>72274</v>
      </c>
      <c r="N693" s="2">
        <f>+SUM(N99:N102)+SUM(N183:N215)+SUM(N312:N328)+N474+SUM(N645:N647)</f>
        <v>6436</v>
      </c>
      <c r="O693" s="2">
        <f>+SUM(O99:O102)+SUM(O183:O215)+SUM(O312:O328)+O474+SUM(O645:O647)</f>
        <v>4894</v>
      </c>
      <c r="P693" s="2">
        <f>+SUM(P99:P102)+SUM(P183:P215)+SUM(P312:P328)+P474+SUM(P645:P647)</f>
        <v>4050</v>
      </c>
      <c r="Q693" s="183">
        <f>SUM(N693:P693)</f>
        <v>15380</v>
      </c>
      <c r="R693" s="183">
        <f>+E693+I693+M693+Q693</f>
        <v>236891</v>
      </c>
    </row>
    <row r="694" spans="1:18" ht="15.75" customHeight="1" thickBot="1" x14ac:dyDescent="0.4">
      <c r="A694" s="41" t="s">
        <v>1220</v>
      </c>
      <c r="B694" s="188">
        <f>SUM(B691:B693)</f>
        <v>14663</v>
      </c>
      <c r="C694" s="189">
        <f>SUM(C691:C693)</f>
        <v>15870</v>
      </c>
      <c r="D694" s="189">
        <f>SUM(D691:D693)</f>
        <v>31302</v>
      </c>
      <c r="E694" s="56">
        <f>SUM(B694:D694)</f>
        <v>61835</v>
      </c>
      <c r="F694" s="189">
        <f>SUM(F691:F693)</f>
        <v>36330</v>
      </c>
      <c r="G694" s="189">
        <f>SUM(G691:G693)</f>
        <v>52969</v>
      </c>
      <c r="H694" s="189">
        <f>SUM(H691:H693)</f>
        <v>50897</v>
      </c>
      <c r="I694" s="56">
        <f>SUM(F694:H694)</f>
        <v>140196</v>
      </c>
      <c r="J694" s="189">
        <f>SUM(J691:J693)</f>
        <v>39317</v>
      </c>
      <c r="K694" s="189">
        <f>SUM(K691:K693)</f>
        <v>35496</v>
      </c>
      <c r="L694" s="189">
        <f>SUM(L691:L693)</f>
        <v>30602</v>
      </c>
      <c r="M694" s="56">
        <f>SUM(J694:L694)</f>
        <v>105415</v>
      </c>
      <c r="N694" s="189">
        <f>SUM(N691:N693)</f>
        <v>10609</v>
      </c>
      <c r="O694" s="189">
        <f>SUM(O691:O693)</f>
        <v>7540</v>
      </c>
      <c r="P694" s="189">
        <f>SUM(P691:P693)</f>
        <v>7224</v>
      </c>
      <c r="Q694" s="56">
        <f>SUM(N694:P694)</f>
        <v>25373</v>
      </c>
      <c r="R694" s="56">
        <f>+E694+I694+M694+Q694</f>
        <v>332819</v>
      </c>
    </row>
    <row r="695" spans="1:18" ht="15.75" customHeight="1" x14ac:dyDescent="0.35">
      <c r="A695" s="6" t="s">
        <v>1712</v>
      </c>
      <c r="B695" s="2"/>
      <c r="C695" s="2"/>
      <c r="D695" s="2"/>
      <c r="E695" s="183" t="s">
        <v>852</v>
      </c>
      <c r="F695" s="2"/>
      <c r="G695" s="2"/>
      <c r="H695" s="2"/>
      <c r="I695" s="183" t="s">
        <v>852</v>
      </c>
      <c r="J695" s="2"/>
      <c r="K695" s="2"/>
      <c r="L695" s="2"/>
      <c r="M695" s="183" t="s">
        <v>852</v>
      </c>
      <c r="N695" s="2"/>
      <c r="O695" s="2"/>
      <c r="P695" s="2"/>
      <c r="Q695" s="183" t="s">
        <v>852</v>
      </c>
      <c r="R695" s="183" t="s">
        <v>852</v>
      </c>
    </row>
    <row r="696" spans="1:18" ht="15.75" customHeight="1" x14ac:dyDescent="0.35">
      <c r="A696" s="6" t="s">
        <v>556</v>
      </c>
      <c r="B696" s="2">
        <f>+B55+SUM(B105:B113)+SUM(B218:B223)+SUM(B331:B332)+SUM(B390:B390)+B432+SUM(B477:B479)+SUM(B564:B564)+B611+SUM(B650:B651)</f>
        <v>6143</v>
      </c>
      <c r="C696" s="2">
        <f>+C55+SUM(C105:C113)+SUM(C218:C223)+SUM(C331:C332)+SUM(C390:C390)+C432+SUM(C477:C479)+SUM(C564:C564)+C611+SUM(C650:C651)</f>
        <v>9619</v>
      </c>
      <c r="D696" s="2">
        <f>+D55+SUM(D105:D113)+SUM(D218:D223)+SUM(D331:D332)+SUM(D390:D390)+D432+SUM(D477:D479)+SUM(D564:D564)+D611+SUM(D650:D651)</f>
        <v>7874</v>
      </c>
      <c r="E696" s="183">
        <f t="shared" ref="E696:E704" si="98">SUM(B696:D696)</f>
        <v>23636</v>
      </c>
      <c r="F696" s="2">
        <f>+F55+SUM(F105:F113)+SUM(F218:F223)+SUM(F331:F332)+SUM(F390:F390)+F432+SUM(F477:F479)+SUM(F564:F564)+F611+SUM(F650:F651)</f>
        <v>5232</v>
      </c>
      <c r="G696" s="2">
        <f>+G55+SUM(G105:G113)+SUM(G218:G223)+SUM(G331:G332)+SUM(G390:G390)+G432+SUM(G477:G479)+SUM(G564:G564)+G611+SUM(G650:G651)</f>
        <v>13167</v>
      </c>
      <c r="H696" s="2">
        <f>+H55+SUM(H105:H113)+SUM(H218:H223)+SUM(H331:H332)+SUM(H390:H390)+H432+SUM(H477:H479)+SUM(H564:H564)+H611+SUM(H650:H651)</f>
        <v>5600</v>
      </c>
      <c r="I696" s="183">
        <f t="shared" ref="I696:I704" si="99">SUM(F696:H696)</f>
        <v>23999</v>
      </c>
      <c r="J696" s="2">
        <f>+J55+SUM(J105:J113)+SUM(J218:J223)+SUM(J331:J332)+SUM(J390:J390)+J432+SUM(J477:J479)+SUM(J564:J564)+J611+SUM(J650:J651)</f>
        <v>7455</v>
      </c>
      <c r="K696" s="2">
        <f>+K55+SUM(K105:K113)+SUM(K218:K223)+SUM(K331:K332)+SUM(K390:K390)+K432+SUM(K477:K479)+SUM(K564:K564)+K611+SUM(K650:K651)</f>
        <v>25606</v>
      </c>
      <c r="L696" s="2">
        <f>+L55+SUM(L105:L113)+SUM(L218:L223)+SUM(L331:L332)+SUM(L390:L390)+L432+SUM(L477:L479)+SUM(L564:L564)+L611+SUM(L650:L651)</f>
        <v>14316</v>
      </c>
      <c r="M696" s="183">
        <f t="shared" ref="M696:M704" si="100">SUM(J696:L696)</f>
        <v>47377</v>
      </c>
      <c r="N696" s="2">
        <f>+N55+SUM(N105:N113)+SUM(N218:N223)+SUM(N331:N332)+SUM(N390:N390)+N432+SUM(N477:N479)+SUM(N564:N564)+N611+SUM(N650:N651)</f>
        <v>10758</v>
      </c>
      <c r="O696" s="2">
        <f>+O55+SUM(O105:O113)+SUM(O218:O223)+SUM(O331:O332)+SUM(O390:O390)+O432+SUM(O477:O479)+SUM(O564:O564)+O611+SUM(O650:O651)</f>
        <v>7519</v>
      </c>
      <c r="P696" s="2">
        <f>+P55+SUM(P105:P113)+SUM(P218:P223)+SUM(P331:P332)+SUM(P390:P390)+P432+SUM(P477:P479)+SUM(P564:P564)+P611+SUM(P650:P651)</f>
        <v>26548</v>
      </c>
      <c r="Q696" s="183">
        <f t="shared" ref="Q696:Q704" si="101">SUM(N696:P696)</f>
        <v>44825</v>
      </c>
      <c r="R696" s="183">
        <f t="shared" ref="R696:R704" si="102">+E696+I696+M696+Q696</f>
        <v>139837</v>
      </c>
    </row>
    <row r="697" spans="1:18" ht="15.75" customHeight="1" x14ac:dyDescent="0.35">
      <c r="A697" s="6" t="s">
        <v>557</v>
      </c>
      <c r="B697" s="2">
        <f>SUM(B56:B57)+SUM(B114:B115)+SUM(B224:B225)+B227+B229+B230+SUM(B333:B335)+B391+B433+SUM(B480:B481)+B483+SUM(B529:B530)+B566+B568+B612+SUM(B652:B653)</f>
        <v>4564</v>
      </c>
      <c r="C697" s="2">
        <f>SUM(C56:C57)+SUM(C114:C115)+SUM(C224:C225)+C227+C229+C230+SUM(C333:C335)+C391+C433+SUM(C480:C481)+C483+SUM(C529:C530)+C566+C568+C612+SUM(C652:C653)</f>
        <v>4720</v>
      </c>
      <c r="D697" s="2">
        <f>SUM(D56:D57)+SUM(D114:D115)+SUM(D224:D225)+D227+D229+D230+SUM(D333:D335)+D391+D433+SUM(D480:D481)+D483+SUM(D529:D530)+D566+D568+D612+SUM(D652:D653)</f>
        <v>11532</v>
      </c>
      <c r="E697" s="183">
        <f t="shared" si="98"/>
        <v>20816</v>
      </c>
      <c r="F697" s="2">
        <f>SUM(F56:F57)+SUM(F114:F115)+SUM(F224:F225)+F227+F229+F230+SUM(F333:F335)+F391+F433+SUM(F480:F481)+F483+SUM(F529:F530)+F566+F568+F612+SUM(F652:F653)</f>
        <v>11538</v>
      </c>
      <c r="G697" s="2">
        <f>SUM(G56:G57)+SUM(G114:G115)+SUM(G224:G225)+G227+G229+G230+SUM(G333:G335)+G391+G433+SUM(G480:G481)+G483+SUM(G529:G530)+G566+G568+G612+SUM(G652:G653)</f>
        <v>17888</v>
      </c>
      <c r="H697" s="2">
        <f>SUM(H56:H57)+SUM(H114:H115)+SUM(H224:H225)+H227+H229+H230+SUM(H333:H335)+H391+H433+SUM(H480:H481)+H483+SUM(H529:H530)+H566+H568+H612+SUM(H652:H653)</f>
        <v>23199</v>
      </c>
      <c r="I697" s="183">
        <f t="shared" si="99"/>
        <v>52625</v>
      </c>
      <c r="J697" s="2">
        <f>SUM(J56:J57)+SUM(J114:J115)+SUM(J224:J225)+J227+J229+J230+SUM(J333:J335)+J391+J433+SUM(J480:J481)+J483+SUM(J529:J530)+J566+J568+J612+SUM(J652:J653)</f>
        <v>22042</v>
      </c>
      <c r="K697" s="2">
        <f>SUM(K56:K57)+SUM(K114:K115)+SUM(K224:K225)+K227+K229+K230+SUM(K333:K335)+K391+K433+SUM(K480:K481)+K483+SUM(K529:K530)+K566+K568+K612+SUM(K652:K653)</f>
        <v>6585</v>
      </c>
      <c r="L697" s="2">
        <f>SUM(L56:L57)+SUM(L114:L115)+SUM(L224:L225)+L227+L229+L230+SUM(L333:L335)+L391+L433+SUM(L480:L481)+L483+SUM(L529:L530)+L566+L568+L612+SUM(L652:L653)</f>
        <v>18074</v>
      </c>
      <c r="M697" s="183">
        <f t="shared" si="100"/>
        <v>46701</v>
      </c>
      <c r="N697" s="2">
        <f>SUM(N56:N57)+SUM(N114:N115)+SUM(N224:N225)+N227+N229+N230+SUM(N333:N335)+N391+N433+SUM(N480:N481)+N483+SUM(N529:N530)+N566+N568+N612+SUM(N652:N653)</f>
        <v>20476</v>
      </c>
      <c r="O697" s="2">
        <f>SUM(O56:O57)+SUM(O114:O115)+SUM(O224:O225)+O227+O229+O230+SUM(O333:O335)+O391+O433+SUM(O480:O481)+O483+SUM(O529:O530)+O566+O568+O612+SUM(O652:O653)</f>
        <v>9528</v>
      </c>
      <c r="P697" s="2">
        <f>SUM(P56:P57)+SUM(P114:P115)+SUM(P224:P225)+P227+P229+P230+SUM(P333:P335)+P391+P433+SUM(P480:P481)+P483+SUM(P529:P530)+P566+P568+P612+SUM(P652:P653)</f>
        <v>2427</v>
      </c>
      <c r="Q697" s="183">
        <f t="shared" si="101"/>
        <v>32431</v>
      </c>
      <c r="R697" s="183">
        <f t="shared" si="102"/>
        <v>152573</v>
      </c>
    </row>
    <row r="698" spans="1:18" ht="15.75" customHeight="1" x14ac:dyDescent="0.35">
      <c r="A698" s="9" t="s">
        <v>2311</v>
      </c>
      <c r="B698" s="2">
        <f>B116+B226+B228+B482+B484+B567+B569+B654</f>
        <v>0</v>
      </c>
      <c r="C698" s="2">
        <f>C116+C226+C228+C482+C484+C567+C569+C654</f>
        <v>0</v>
      </c>
      <c r="D698" s="2">
        <f>D116+D226+D228+D482+D484+D567+D569+D654</f>
        <v>0</v>
      </c>
      <c r="E698" s="183">
        <f t="shared" si="98"/>
        <v>0</v>
      </c>
      <c r="F698" s="2">
        <f>F116+F226+F228+F482+F484+F567+F569+F654</f>
        <v>0</v>
      </c>
      <c r="G698" s="2">
        <f>G116+G226+G228+G482+G484+G567+G569+G654</f>
        <v>0</v>
      </c>
      <c r="H698" s="2">
        <f>H116+H226+H228+H482+H484+H567+H569+H654</f>
        <v>0</v>
      </c>
      <c r="I698" s="183">
        <f t="shared" si="99"/>
        <v>0</v>
      </c>
      <c r="J698" s="2">
        <f>J116+J226+J228+J482+J484+J567+J569+J654</f>
        <v>0</v>
      </c>
      <c r="K698" s="2">
        <f>K116+K226+K228+K482+K484+K567+K569+K654</f>
        <v>0</v>
      </c>
      <c r="L698" s="2">
        <f>L116+L226+L228+L482+L484+L567+L569+L654</f>
        <v>3783</v>
      </c>
      <c r="M698" s="183">
        <f t="shared" si="100"/>
        <v>3783</v>
      </c>
      <c r="N698" s="2">
        <f>N116+N226+N228+N482+N484+N567+N569+N654</f>
        <v>1773</v>
      </c>
      <c r="O698" s="2">
        <f>O116+O226+O228+O482+O484+O567+O569+O654</f>
        <v>11693</v>
      </c>
      <c r="P698" s="2">
        <f>P116+P226+P228+P482+P484+P567+P569+P654</f>
        <v>1751</v>
      </c>
      <c r="Q698" s="183">
        <f t="shared" si="101"/>
        <v>15217</v>
      </c>
      <c r="R698" s="183">
        <f t="shared" si="102"/>
        <v>19000</v>
      </c>
    </row>
    <row r="699" spans="1:18" ht="15.75" customHeight="1" x14ac:dyDescent="0.35">
      <c r="A699" s="6" t="s">
        <v>558</v>
      </c>
      <c r="B699" s="2">
        <f>+SUM(B117:B118)+SUM(B231:B231)+SUM(B336:B347)+B393+SUM(B434:B435)+SUM(B485:B485)+SUM(B531:B531)+B570+B655</f>
        <v>0</v>
      </c>
      <c r="C699" s="2">
        <f>+SUM(C117:C118)+SUM(C231:C231)+SUM(C336:C347)+C393+SUM(C434:C435)+SUM(C485:C485)+SUM(C531:C531)+C570+C655</f>
        <v>0</v>
      </c>
      <c r="D699" s="2">
        <f>+SUM(D117:D118)+SUM(D231:D231)+SUM(D336:D347)+D393+SUM(D434:D435)+SUM(D485:D485)+SUM(D531:D531)+D570+D655</f>
        <v>0</v>
      </c>
      <c r="E699" s="183">
        <f t="shared" si="98"/>
        <v>0</v>
      </c>
      <c r="F699" s="2">
        <f>+SUM(F117:F118)+SUM(F231:F231)+SUM(F336:F347)+F393+SUM(F434:F435)+SUM(F485:F485)+SUM(F531:F531)+F570+F655</f>
        <v>2002</v>
      </c>
      <c r="G699" s="2">
        <f>+SUM(G117:G118)+SUM(G231:G231)+SUM(G336:G347)+G393+SUM(G434:G435)+SUM(G485:G485)+SUM(G531:G531)+G570+G655</f>
        <v>218</v>
      </c>
      <c r="H699" s="2">
        <f>+SUM(H117:H118)+SUM(H231:H231)+SUM(H336:H347)+H393+SUM(H434:H435)+SUM(H485:H485)+SUM(H531:H531)+H570+H655</f>
        <v>19140</v>
      </c>
      <c r="I699" s="183">
        <f t="shared" si="99"/>
        <v>21360</v>
      </c>
      <c r="J699" s="2">
        <f>+SUM(J117:J118)+SUM(J231:J231)+SUM(J336:J347)+J393+SUM(J434:J435)+SUM(J485:J485)+SUM(J531:J531)+J570+J655</f>
        <v>22230</v>
      </c>
      <c r="K699" s="2">
        <f>+SUM(K117:K118)+SUM(K231:K231)+SUM(K336:K347)+K393+SUM(K434:K435)+SUM(K485:K485)+SUM(K531:K531)+K570+K655</f>
        <v>15011</v>
      </c>
      <c r="L699" s="2">
        <f>+SUM(L117:L118)+SUM(L231:L231)+SUM(L336:L347)+L393+SUM(L434:L435)+SUM(L485:L485)+SUM(L531:L531)+L570+L655</f>
        <v>8306</v>
      </c>
      <c r="M699" s="183">
        <f t="shared" si="100"/>
        <v>45547</v>
      </c>
      <c r="N699" s="2">
        <f>+SUM(N117:N118)+SUM(N231:N231)+SUM(N336:N347)+N393+SUM(N434:N435)+SUM(N485:N485)+SUM(N531:N531)+N570+N655</f>
        <v>8558</v>
      </c>
      <c r="O699" s="2">
        <f>+SUM(O117:O118)+SUM(O231:O231)+SUM(O336:O347)+O393+SUM(O434:O435)+SUM(O485:O485)+SUM(O531:O531)+O570+O655</f>
        <v>2768</v>
      </c>
      <c r="P699" s="2">
        <f>+SUM(P117:P118)+SUM(P231:P231)+SUM(P336:P347)+P393+SUM(P434:P435)+SUM(P485:P485)+SUM(P531:P531)+P570+P655</f>
        <v>4349</v>
      </c>
      <c r="Q699" s="183">
        <f t="shared" si="101"/>
        <v>15675</v>
      </c>
      <c r="R699" s="183">
        <f t="shared" si="102"/>
        <v>82582</v>
      </c>
    </row>
    <row r="700" spans="1:18" ht="15.75" customHeight="1" x14ac:dyDescent="0.35">
      <c r="A700" s="6" t="s">
        <v>559</v>
      </c>
      <c r="B700" s="2">
        <f>SUM(B119:B120)+SUM(B232:B232)+B349+B351+B353+B355+SUM(B395:B396)+B437+B438+B486+B487+B532+B571+B614+B656</f>
        <v>800</v>
      </c>
      <c r="C700" s="2">
        <f>SUM(C119:C120)+SUM(C232:C232)+C349+C351+C353+C355+SUM(C395:C396)+C437+C438+C486+C487+C532+C571+C614+C656</f>
        <v>0</v>
      </c>
      <c r="D700" s="2">
        <f>SUM(D119:D120)+SUM(D232:D232)+D349+D351+D353+D355+SUM(D395:D396)+D437+D438+D486+D487+D532+D571+D614+D656</f>
        <v>2500</v>
      </c>
      <c r="E700" s="183">
        <f t="shared" si="98"/>
        <v>3300</v>
      </c>
      <c r="F700" s="2">
        <f>SUM(F119:F120)+SUM(F232:F232)+F349+F351+F353+F355+SUM(F395:F396)+F437+F438+F486+F487+F532+F571+F614+F656</f>
        <v>3630</v>
      </c>
      <c r="G700" s="2">
        <f>SUM(G119:G120)+SUM(G232:G232)+G349+G351+G353+G355+SUM(G395:G396)+G437+G438+G486+G487+G532+G571+G614+G656</f>
        <v>5066</v>
      </c>
      <c r="H700" s="2">
        <f>SUM(H119:H120)+SUM(H232:H232)+H349+H351+H353+H355+SUM(H395:H396)+H437+H438+H486+H487+H532+H571+H614+H656</f>
        <v>1492</v>
      </c>
      <c r="I700" s="183">
        <f t="shared" si="99"/>
        <v>10188</v>
      </c>
      <c r="J700" s="2">
        <f>SUM(J119:J120)+SUM(J232:J232)+J349+J351+J353+J355+SUM(J395:J396)+J437+J438+J486+J487+J532+J571+J614+J656</f>
        <v>1215</v>
      </c>
      <c r="K700" s="2">
        <f>SUM(K119:K120)+SUM(K232:K232)+K349+K351+K353+K355+SUM(K395:K396)+K437+K438+K486+K487+K532+K571+K614+K656</f>
        <v>13558</v>
      </c>
      <c r="L700" s="2">
        <f>SUM(L119:L120)+SUM(L232:L232)+L349+L351+L353+L355+SUM(L395:L396)+L437+L438+L486+L487+L532+L571+L614+L656</f>
        <v>4760</v>
      </c>
      <c r="M700" s="183">
        <f t="shared" si="100"/>
        <v>19533</v>
      </c>
      <c r="N700" s="2">
        <f>SUM(N119:N120)+SUM(N232:N232)+N349+N351+N353+N355+SUM(N395:N396)+N437+N438+N486+N487+N532+N571+N614+N656</f>
        <v>1300</v>
      </c>
      <c r="O700" s="2">
        <f>SUM(O119:O120)+SUM(O232:O232)+O349+O351+O353+O355+SUM(O395:O396)+O437+O438+O486+O487+O532+O571+O614+O656</f>
        <v>1902</v>
      </c>
      <c r="P700" s="2">
        <f>SUM(P119:P120)+SUM(P232:P232)+P349+P351+P353+P355+SUM(P395:P396)+P437+P438+P486+P487+P532+P571+P614+P656</f>
        <v>3916</v>
      </c>
      <c r="Q700" s="183">
        <f t="shared" si="101"/>
        <v>7118</v>
      </c>
      <c r="R700" s="183">
        <f t="shared" si="102"/>
        <v>40139</v>
      </c>
    </row>
    <row r="701" spans="1:18" ht="15.75" customHeight="1" thickBot="1" x14ac:dyDescent="0.4">
      <c r="A701" s="9" t="s">
        <v>2312</v>
      </c>
      <c r="B701" s="2">
        <f>+B350+B352+B354+B397</f>
        <v>0</v>
      </c>
      <c r="C701" s="2">
        <f>+C350+C352+C354+C397</f>
        <v>0</v>
      </c>
      <c r="D701" s="2">
        <f>+D350+D352+D354+D397</f>
        <v>0</v>
      </c>
      <c r="E701" s="183">
        <f t="shared" si="98"/>
        <v>0</v>
      </c>
      <c r="F701" s="2">
        <f>+F350+F352+F354+F397</f>
        <v>0</v>
      </c>
      <c r="G701" s="2">
        <f>+G350+G352+G354+G397</f>
        <v>0</v>
      </c>
      <c r="H701" s="2">
        <f>+H350+H352+H354+H397</f>
        <v>0</v>
      </c>
      <c r="I701" s="183">
        <f t="shared" si="99"/>
        <v>0</v>
      </c>
      <c r="J701" s="2">
        <f>+J350+J352+J354+J397</f>
        <v>0</v>
      </c>
      <c r="K701" s="2">
        <f>+K350+K352+K354+K397</f>
        <v>0</v>
      </c>
      <c r="L701" s="2">
        <f>+L350+L352+L354+L397</f>
        <v>0</v>
      </c>
      <c r="M701" s="183">
        <f t="shared" si="100"/>
        <v>0</v>
      </c>
      <c r="N701" s="2">
        <f>+N350+N352+N354+N397</f>
        <v>0</v>
      </c>
      <c r="O701" s="2">
        <f>+O350+O352+O354+O397</f>
        <v>0</v>
      </c>
      <c r="P701" s="2">
        <f>+P350+P352+P354+P397</f>
        <v>0</v>
      </c>
      <c r="Q701" s="183">
        <f t="shared" si="101"/>
        <v>0</v>
      </c>
      <c r="R701" s="183">
        <f t="shared" si="102"/>
        <v>0</v>
      </c>
    </row>
    <row r="702" spans="1:18" ht="15.75" customHeight="1" thickBot="1" x14ac:dyDescent="0.4">
      <c r="A702" s="41" t="s">
        <v>1019</v>
      </c>
      <c r="B702" s="204">
        <f>SUM(B699:B701)</f>
        <v>800</v>
      </c>
      <c r="C702" s="204">
        <f>SUM(C699:C701)</f>
        <v>0</v>
      </c>
      <c r="D702" s="204">
        <f>SUM(D699:D701)</f>
        <v>2500</v>
      </c>
      <c r="E702" s="185">
        <f t="shared" si="98"/>
        <v>3300</v>
      </c>
      <c r="F702" s="204">
        <f>SUM(F699:F701)</f>
        <v>5632</v>
      </c>
      <c r="G702" s="204">
        <f>SUM(G699:G701)</f>
        <v>5284</v>
      </c>
      <c r="H702" s="204">
        <f>SUM(H699:H701)</f>
        <v>20632</v>
      </c>
      <c r="I702" s="185">
        <f t="shared" si="99"/>
        <v>31548</v>
      </c>
      <c r="J702" s="204">
        <f>SUM(J699:J701)</f>
        <v>23445</v>
      </c>
      <c r="K702" s="204">
        <f>SUM(K699:K701)</f>
        <v>28569</v>
      </c>
      <c r="L702" s="204">
        <f>SUM(L699:L701)</f>
        <v>13066</v>
      </c>
      <c r="M702" s="185">
        <f t="shared" si="100"/>
        <v>65080</v>
      </c>
      <c r="N702" s="204">
        <f>SUM(N699:N701)</f>
        <v>9858</v>
      </c>
      <c r="O702" s="204">
        <f>SUM(O699:O701)</f>
        <v>4670</v>
      </c>
      <c r="P702" s="204">
        <f>SUM(P699:P701)</f>
        <v>8265</v>
      </c>
      <c r="Q702" s="185">
        <f t="shared" si="101"/>
        <v>22793</v>
      </c>
      <c r="R702" s="56">
        <f t="shared" si="102"/>
        <v>122721</v>
      </c>
    </row>
    <row r="703" spans="1:18" ht="15.75" customHeight="1" thickBot="1" x14ac:dyDescent="0.4">
      <c r="A703" s="57" t="s">
        <v>1221</v>
      </c>
      <c r="B703" s="188">
        <f>SUM(B695:B701)</f>
        <v>11507</v>
      </c>
      <c r="C703" s="189">
        <f>SUM(C695:C701)</f>
        <v>14339</v>
      </c>
      <c r="D703" s="191">
        <f>SUM(D695:D701)</f>
        <v>21906</v>
      </c>
      <c r="E703" s="205">
        <f t="shared" si="98"/>
        <v>47752</v>
      </c>
      <c r="F703" s="188">
        <f>SUM(F695:F701)</f>
        <v>22402</v>
      </c>
      <c r="G703" s="189">
        <f>SUM(G695:G701)</f>
        <v>36339</v>
      </c>
      <c r="H703" s="191">
        <f>SUM(H695:H701)</f>
        <v>49431</v>
      </c>
      <c r="I703" s="185">
        <f t="shared" si="99"/>
        <v>108172</v>
      </c>
      <c r="J703" s="188">
        <f>SUM(J695:J701)</f>
        <v>52942</v>
      </c>
      <c r="K703" s="189">
        <f>SUM(K695:K701)</f>
        <v>60760</v>
      </c>
      <c r="L703" s="191">
        <f>SUM(L695:L701)</f>
        <v>49239</v>
      </c>
      <c r="M703" s="185">
        <f t="shared" si="100"/>
        <v>162941</v>
      </c>
      <c r="N703" s="188">
        <f>SUM(N695:N701)</f>
        <v>42865</v>
      </c>
      <c r="O703" s="189">
        <f>SUM(O695:O701)</f>
        <v>33410</v>
      </c>
      <c r="P703" s="191">
        <f>SUM(P695:P701)</f>
        <v>38991</v>
      </c>
      <c r="Q703" s="185">
        <f t="shared" si="101"/>
        <v>115266</v>
      </c>
      <c r="R703" s="56">
        <f t="shared" si="102"/>
        <v>434131</v>
      </c>
    </row>
    <row r="704" spans="1:18" ht="15.75" customHeight="1" thickBot="1" x14ac:dyDescent="0.4">
      <c r="A704" s="41" t="s">
        <v>1222</v>
      </c>
      <c r="B704" s="206">
        <f>+B685+B690+B694+B703</f>
        <v>56674</v>
      </c>
      <c r="C704" s="207">
        <f>+C685+C690+C694+C703</f>
        <v>56869</v>
      </c>
      <c r="D704" s="207">
        <f>+D685+D690+D694+D703</f>
        <v>103819</v>
      </c>
      <c r="E704" s="56">
        <f t="shared" si="98"/>
        <v>217362</v>
      </c>
      <c r="F704" s="184">
        <f>+F685+F690+F694+F703</f>
        <v>153932</v>
      </c>
      <c r="G704" s="184">
        <f>+G685+G690+G694+G703</f>
        <v>165117</v>
      </c>
      <c r="H704" s="184">
        <f>+H685+H690+H694+H703</f>
        <v>206179</v>
      </c>
      <c r="I704" s="56">
        <f t="shared" si="99"/>
        <v>525228</v>
      </c>
      <c r="J704" s="184">
        <f>+J685+J690+J694+J703</f>
        <v>216826</v>
      </c>
      <c r="K704" s="184">
        <f>+K685+K690+K694+K703</f>
        <v>191448</v>
      </c>
      <c r="L704" s="184">
        <f>+L685+L690+L694+L703</f>
        <v>167554</v>
      </c>
      <c r="M704" s="56">
        <f t="shared" si="100"/>
        <v>575828</v>
      </c>
      <c r="N704" s="184">
        <f>+N685+N690+N694+N703</f>
        <v>106439</v>
      </c>
      <c r="O704" s="184">
        <f>+O685+O690+O694+O703</f>
        <v>82263</v>
      </c>
      <c r="P704" s="184">
        <f>+P685+P690+P694+P703</f>
        <v>83779</v>
      </c>
      <c r="Q704" s="56">
        <f t="shared" si="101"/>
        <v>272481</v>
      </c>
      <c r="R704" s="186">
        <f t="shared" si="102"/>
        <v>1590899</v>
      </c>
    </row>
    <row r="705" spans="1:18" ht="15.75" customHeight="1" x14ac:dyDescent="0.35">
      <c r="A705" s="2"/>
      <c r="B705" s="2"/>
      <c r="C705" s="2"/>
      <c r="D705" s="2"/>
      <c r="E705" s="2"/>
      <c r="F705" s="2"/>
      <c r="G705" s="2"/>
      <c r="H705" s="2"/>
      <c r="I705" s="2"/>
      <c r="J705" s="2"/>
      <c r="K705" s="2"/>
      <c r="L705" s="2"/>
      <c r="M705" s="2"/>
      <c r="N705" s="2"/>
      <c r="O705" s="208"/>
      <c r="P705" s="2"/>
      <c r="Q705" s="2"/>
      <c r="R705" s="187"/>
    </row>
    <row r="706" spans="1:18" ht="15.75" customHeight="1" x14ac:dyDescent="0.35">
      <c r="A706" s="2"/>
      <c r="B706" s="2"/>
      <c r="C706" s="2"/>
      <c r="D706" s="2"/>
      <c r="E706" s="2"/>
      <c r="F706" s="2"/>
      <c r="G706" s="2"/>
      <c r="H706" s="2"/>
      <c r="I706" s="2"/>
      <c r="J706" s="2"/>
      <c r="K706" s="2"/>
      <c r="L706" s="2"/>
      <c r="M706" s="2"/>
      <c r="N706" s="2"/>
      <c r="O706" s="208"/>
      <c r="P706" s="2"/>
      <c r="Q706" s="187" t="str">
        <f>+Q1</f>
        <v>PRINTED:</v>
      </c>
      <c r="R706" s="200">
        <f ca="1">+R1</f>
        <v>44881.72963425926</v>
      </c>
    </row>
    <row r="707" spans="1:18" ht="15.75" customHeight="1" x14ac:dyDescent="0.35">
      <c r="A707" s="847" t="s">
        <v>43</v>
      </c>
      <c r="B707" s="847"/>
      <c r="C707" s="847"/>
      <c r="D707" s="847"/>
      <c r="E707" s="847"/>
      <c r="F707" s="847"/>
      <c r="G707" s="847"/>
      <c r="H707" s="847"/>
      <c r="I707" s="847"/>
      <c r="J707" s="847"/>
      <c r="K707" s="847"/>
      <c r="L707" s="847"/>
      <c r="M707" s="847"/>
      <c r="N707" s="847"/>
      <c r="O707" s="847"/>
      <c r="P707" s="847"/>
      <c r="Q707" s="847"/>
      <c r="R707" s="847"/>
    </row>
    <row r="708" spans="1:18" ht="15.75" customHeight="1" x14ac:dyDescent="0.35">
      <c r="A708" s="847" t="s">
        <v>1988</v>
      </c>
      <c r="B708" s="847"/>
      <c r="C708" s="847"/>
      <c r="D708" s="847"/>
      <c r="E708" s="847"/>
      <c r="F708" s="847"/>
      <c r="G708" s="847"/>
      <c r="H708" s="847"/>
      <c r="I708" s="847"/>
      <c r="J708" s="847"/>
      <c r="K708" s="847"/>
      <c r="L708" s="847"/>
      <c r="M708" s="847"/>
      <c r="N708" s="847"/>
      <c r="O708" s="847"/>
      <c r="P708" s="847"/>
      <c r="Q708" s="847"/>
      <c r="R708" s="847"/>
    </row>
    <row r="709" spans="1:18" ht="15.75" customHeight="1" x14ac:dyDescent="0.35">
      <c r="A709" s="847" t="s">
        <v>544</v>
      </c>
      <c r="B709" s="847"/>
      <c r="C709" s="847"/>
      <c r="D709" s="847"/>
      <c r="E709" s="847"/>
      <c r="F709" s="847"/>
      <c r="G709" s="847"/>
      <c r="H709" s="847"/>
      <c r="I709" s="847"/>
      <c r="J709" s="847"/>
      <c r="K709" s="847"/>
      <c r="L709" s="847"/>
      <c r="M709" s="847"/>
      <c r="N709" s="847"/>
      <c r="O709" s="847"/>
      <c r="P709" s="847"/>
      <c r="Q709" s="847"/>
      <c r="R709" s="847"/>
    </row>
    <row r="710" spans="1:18" ht="15.75" customHeight="1" x14ac:dyDescent="0.35">
      <c r="A710" s="847" t="str">
        <f>+A5</f>
        <v>Calendar Year 2010</v>
      </c>
      <c r="B710" s="847"/>
      <c r="C710" s="847"/>
      <c r="D710" s="847"/>
      <c r="E710" s="847"/>
      <c r="F710" s="847"/>
      <c r="G710" s="847"/>
      <c r="H710" s="847"/>
      <c r="I710" s="847"/>
      <c r="J710" s="847"/>
      <c r="K710" s="847"/>
      <c r="L710" s="847"/>
      <c r="M710" s="847"/>
      <c r="N710" s="847"/>
      <c r="O710" s="847"/>
      <c r="P710" s="847"/>
      <c r="Q710" s="847"/>
      <c r="R710" s="847"/>
    </row>
    <row r="711" spans="1:18" ht="15.75" customHeight="1" x14ac:dyDescent="0.35">
      <c r="A711" s="2"/>
      <c r="B711" s="2"/>
      <c r="C711" s="2"/>
      <c r="D711" s="202"/>
      <c r="E711" s="202"/>
      <c r="F711" s="202"/>
      <c r="G711" s="203"/>
      <c r="H711" s="202"/>
      <c r="I711" s="202"/>
      <c r="J711" s="203"/>
      <c r="K711" s="203"/>
      <c r="L711" s="203"/>
      <c r="M711" s="203"/>
      <c r="N711" s="2"/>
      <c r="O711" s="203"/>
      <c r="P711" s="203"/>
      <c r="Q711" s="203"/>
      <c r="R711" s="203"/>
    </row>
    <row r="712" spans="1:18" ht="15.75" customHeight="1" x14ac:dyDescent="0.35">
      <c r="A712" s="847" t="str">
        <f>+A9</f>
        <v>Revised:  1/24/11</v>
      </c>
      <c r="B712" s="847"/>
      <c r="C712" s="847"/>
      <c r="D712" s="847"/>
      <c r="E712" s="847"/>
      <c r="F712" s="847"/>
      <c r="G712" s="847"/>
      <c r="H712" s="847"/>
      <c r="I712" s="847"/>
      <c r="J712" s="847"/>
      <c r="K712" s="847"/>
      <c r="L712" s="847"/>
      <c r="M712" s="847"/>
      <c r="N712" s="847"/>
      <c r="O712" s="847"/>
      <c r="P712" s="847"/>
      <c r="Q712" s="847"/>
      <c r="R712" s="847"/>
    </row>
    <row r="713" spans="1:18" ht="15.75" customHeight="1" x14ac:dyDescent="0.35">
      <c r="A713" s="201"/>
      <c r="B713" s="201"/>
      <c r="C713" s="201"/>
      <c r="D713" s="201"/>
      <c r="E713" s="201"/>
      <c r="F713" s="201"/>
      <c r="G713" s="201"/>
      <c r="H713" s="201"/>
      <c r="I713" s="201"/>
      <c r="J713" s="201"/>
      <c r="K713" s="201"/>
      <c r="L713" s="201"/>
      <c r="M713" s="201"/>
      <c r="N713" s="201"/>
      <c r="O713" s="201"/>
      <c r="P713" s="201"/>
      <c r="Q713" s="201"/>
      <c r="R713" s="201"/>
    </row>
    <row r="714" spans="1:18" ht="15.75" customHeight="1" x14ac:dyDescent="0.35">
      <c r="A714" s="8"/>
      <c r="B714" s="2"/>
      <c r="C714" s="2"/>
      <c r="D714" s="2"/>
      <c r="E714" s="2"/>
      <c r="F714" s="2"/>
      <c r="G714" s="2"/>
      <c r="H714" s="2"/>
      <c r="I714" s="2"/>
      <c r="J714" s="2"/>
      <c r="K714" s="2"/>
      <c r="L714" s="2"/>
      <c r="M714" s="2"/>
      <c r="N714" s="2"/>
      <c r="O714" s="2"/>
      <c r="P714" s="2"/>
      <c r="Q714" s="2"/>
      <c r="R714" s="187"/>
    </row>
    <row r="715" spans="1:18" ht="15.75" customHeight="1" thickBot="1" x14ac:dyDescent="0.4">
      <c r="A715" s="2"/>
      <c r="B715" s="2"/>
      <c r="C715" s="2"/>
      <c r="D715" s="2"/>
      <c r="E715" s="2"/>
      <c r="F715" s="2"/>
      <c r="G715" s="2"/>
      <c r="H715" s="2"/>
      <c r="I715" s="2"/>
      <c r="J715" s="2"/>
      <c r="K715" s="2"/>
      <c r="L715" s="2"/>
      <c r="M715" s="2"/>
      <c r="N715" s="2"/>
      <c r="O715" s="208"/>
      <c r="P715" s="2"/>
      <c r="Q715" s="2"/>
      <c r="R715" s="187"/>
    </row>
    <row r="716" spans="1:18" ht="15.75" customHeight="1" thickBot="1" x14ac:dyDescent="0.4">
      <c r="A716" s="11" t="s">
        <v>1088</v>
      </c>
      <c r="B716" s="173" t="s">
        <v>2090</v>
      </c>
      <c r="C716" s="174" t="s">
        <v>2091</v>
      </c>
      <c r="D716" s="174" t="s">
        <v>2234</v>
      </c>
      <c r="E716" s="175" t="s">
        <v>1594</v>
      </c>
      <c r="F716" s="174" t="s">
        <v>2235</v>
      </c>
      <c r="G716" s="174" t="s">
        <v>2236</v>
      </c>
      <c r="H716" s="174" t="s">
        <v>2237</v>
      </c>
      <c r="I716" s="175" t="s">
        <v>1595</v>
      </c>
      <c r="J716" s="174" t="s">
        <v>1504</v>
      </c>
      <c r="K716" s="174" t="s">
        <v>1505</v>
      </c>
      <c r="L716" s="174" t="s">
        <v>1506</v>
      </c>
      <c r="M716" s="175" t="s">
        <v>1596</v>
      </c>
      <c r="N716" s="174" t="s">
        <v>1507</v>
      </c>
      <c r="O716" s="174" t="s">
        <v>1508</v>
      </c>
      <c r="P716" s="174" t="s">
        <v>1509</v>
      </c>
      <c r="Q716" s="175" t="s">
        <v>1597</v>
      </c>
      <c r="R716" s="209" t="s">
        <v>1510</v>
      </c>
    </row>
    <row r="717" spans="1:18" ht="15.75" customHeight="1" thickBot="1" x14ac:dyDescent="0.4">
      <c r="A717" s="65"/>
      <c r="B717" s="210"/>
      <c r="C717" s="210"/>
      <c r="D717" s="210"/>
      <c r="E717" s="178"/>
      <c r="F717" s="210"/>
      <c r="G717" s="210"/>
      <c r="H717" s="210"/>
      <c r="I717" s="182"/>
      <c r="J717" s="210"/>
      <c r="K717" s="210"/>
      <c r="L717" s="210"/>
      <c r="M717" s="182"/>
      <c r="N717" s="210"/>
      <c r="O717" s="210"/>
      <c r="P717" s="210"/>
      <c r="Q717" s="192"/>
      <c r="R717" s="211"/>
    </row>
    <row r="718" spans="1:18" ht="15.75" customHeight="1" thickBot="1" x14ac:dyDescent="0.4">
      <c r="A718" s="66" t="s">
        <v>673</v>
      </c>
      <c r="B718" s="212">
        <f>+B685</f>
        <v>26175</v>
      </c>
      <c r="C718" s="212">
        <f>+C685</f>
        <v>22268</v>
      </c>
      <c r="D718" s="212">
        <f>+D685</f>
        <v>31763</v>
      </c>
      <c r="E718" s="188">
        <f>+SUM(B718:D718)</f>
        <v>80206</v>
      </c>
      <c r="F718" s="212">
        <f>+F685</f>
        <v>32342</v>
      </c>
      <c r="G718" s="212">
        <f>+G685</f>
        <v>32854</v>
      </c>
      <c r="H718" s="212">
        <f>+H685</f>
        <v>37262</v>
      </c>
      <c r="I718" s="188">
        <f>+SUM(F718:H718)</f>
        <v>102458</v>
      </c>
      <c r="J718" s="212">
        <f>+J685</f>
        <v>49950</v>
      </c>
      <c r="K718" s="212">
        <f>+K685</f>
        <v>50760</v>
      </c>
      <c r="L718" s="212">
        <f>+L685</f>
        <v>50791</v>
      </c>
      <c r="M718" s="188">
        <f>+SUM(J718:L718)</f>
        <v>151501</v>
      </c>
      <c r="N718" s="212">
        <f>+N685</f>
        <v>39648</v>
      </c>
      <c r="O718" s="212">
        <f>+O685</f>
        <v>30495</v>
      </c>
      <c r="P718" s="212">
        <f>+P685</f>
        <v>27853</v>
      </c>
      <c r="Q718" s="188">
        <f>+SUM(N718:P718)</f>
        <v>97996</v>
      </c>
      <c r="R718" s="56">
        <f>+E718+I718+M718+Q718</f>
        <v>432161</v>
      </c>
    </row>
    <row r="719" spans="1:18" ht="15.75" customHeight="1" thickBot="1" x14ac:dyDescent="0.4">
      <c r="A719" s="64"/>
      <c r="B719" s="188"/>
      <c r="C719" s="188"/>
      <c r="D719" s="188"/>
      <c r="E719" s="188"/>
      <c r="F719" s="188"/>
      <c r="G719" s="188"/>
      <c r="H719" s="188"/>
      <c r="I719" s="188"/>
      <c r="J719" s="188"/>
      <c r="K719" s="188"/>
      <c r="L719" s="188"/>
      <c r="M719" s="188"/>
      <c r="N719" s="188"/>
      <c r="O719" s="188"/>
      <c r="P719" s="188"/>
      <c r="Q719" s="188"/>
      <c r="R719" s="56"/>
    </row>
    <row r="720" spans="1:18" ht="15.75" customHeight="1" thickBot="1" x14ac:dyDescent="0.4">
      <c r="A720" s="66" t="s">
        <v>672</v>
      </c>
      <c r="B720" s="212">
        <f>+B690</f>
        <v>4329</v>
      </c>
      <c r="C720" s="212">
        <f>+C690</f>
        <v>4392</v>
      </c>
      <c r="D720" s="212">
        <f>+D690</f>
        <v>18848</v>
      </c>
      <c r="E720" s="188">
        <f>+SUM(B720:D720)</f>
        <v>27569</v>
      </c>
      <c r="F720" s="212">
        <f>+F690</f>
        <v>62858</v>
      </c>
      <c r="G720" s="212">
        <f>+G690</f>
        <v>42955</v>
      </c>
      <c r="H720" s="212">
        <f>+H690</f>
        <v>68589</v>
      </c>
      <c r="I720" s="188">
        <f>+SUM(F720:H720)</f>
        <v>174402</v>
      </c>
      <c r="J720" s="212">
        <f>+J690</f>
        <v>74617</v>
      </c>
      <c r="K720" s="212">
        <f>+K690</f>
        <v>44432</v>
      </c>
      <c r="L720" s="212">
        <f>+L690</f>
        <v>36922</v>
      </c>
      <c r="M720" s="188">
        <f>+SUM(J720:L720)</f>
        <v>155971</v>
      </c>
      <c r="N720" s="212">
        <f>+N690</f>
        <v>13317</v>
      </c>
      <c r="O720" s="212">
        <f>+O690</f>
        <v>10818</v>
      </c>
      <c r="P720" s="212">
        <f>+P690</f>
        <v>9711</v>
      </c>
      <c r="Q720" s="188">
        <f>+SUM(N720:P720)</f>
        <v>33846</v>
      </c>
      <c r="R720" s="56">
        <f>+E720+I720+M720+Q720</f>
        <v>391788</v>
      </c>
    </row>
    <row r="721" spans="1:18" ht="15.75" customHeight="1" thickBot="1" x14ac:dyDescent="0.4">
      <c r="A721" s="64"/>
      <c r="B721" s="188"/>
      <c r="C721" s="188"/>
      <c r="D721" s="188"/>
      <c r="E721" s="188"/>
      <c r="F721" s="188"/>
      <c r="G721" s="188"/>
      <c r="H721" s="188"/>
      <c r="I721" s="188"/>
      <c r="J721" s="188"/>
      <c r="K721" s="188"/>
      <c r="L721" s="188"/>
      <c r="M721" s="188"/>
      <c r="N721" s="188"/>
      <c r="O721" s="188"/>
      <c r="P721" s="188"/>
      <c r="Q721" s="188"/>
      <c r="R721" s="56"/>
    </row>
    <row r="722" spans="1:18" ht="15.75" customHeight="1" thickBot="1" x14ac:dyDescent="0.4">
      <c r="A722" s="66" t="s">
        <v>1089</v>
      </c>
      <c r="B722" s="212">
        <f>+B694</f>
        <v>14663</v>
      </c>
      <c r="C722" s="212">
        <f>+C694</f>
        <v>15870</v>
      </c>
      <c r="D722" s="212">
        <f>+D694</f>
        <v>31302</v>
      </c>
      <c r="E722" s="188">
        <f>+SUM(B722:D722)</f>
        <v>61835</v>
      </c>
      <c r="F722" s="212">
        <f>+F694</f>
        <v>36330</v>
      </c>
      <c r="G722" s="212">
        <f>+G694</f>
        <v>52969</v>
      </c>
      <c r="H722" s="212">
        <f>+H694</f>
        <v>50897</v>
      </c>
      <c r="I722" s="188">
        <f>+SUM(F722:H722)</f>
        <v>140196</v>
      </c>
      <c r="J722" s="212">
        <f>+J694</f>
        <v>39317</v>
      </c>
      <c r="K722" s="212">
        <f>+K694</f>
        <v>35496</v>
      </c>
      <c r="L722" s="212">
        <f>+L694</f>
        <v>30602</v>
      </c>
      <c r="M722" s="188">
        <f>+SUM(J722:L722)</f>
        <v>105415</v>
      </c>
      <c r="N722" s="212">
        <f>+N694</f>
        <v>10609</v>
      </c>
      <c r="O722" s="212">
        <f>+O694</f>
        <v>7540</v>
      </c>
      <c r="P722" s="212">
        <f>+P694</f>
        <v>7224</v>
      </c>
      <c r="Q722" s="188">
        <f>+SUM(N722:P722)</f>
        <v>25373</v>
      </c>
      <c r="R722" s="56">
        <f>+E722+I722+M722+Q722</f>
        <v>332819</v>
      </c>
    </row>
    <row r="723" spans="1:18" ht="15.75" customHeight="1" thickBot="1" x14ac:dyDescent="0.4">
      <c r="A723" s="64"/>
      <c r="B723" s="188"/>
      <c r="C723" s="188"/>
      <c r="D723" s="188"/>
      <c r="E723" s="188"/>
      <c r="F723" s="188"/>
      <c r="G723" s="188"/>
      <c r="H723" s="188"/>
      <c r="I723" s="188"/>
      <c r="J723" s="188"/>
      <c r="K723" s="188"/>
      <c r="L723" s="188"/>
      <c r="M723" s="188"/>
      <c r="N723" s="188"/>
      <c r="O723" s="188"/>
      <c r="P723" s="188"/>
      <c r="Q723" s="188"/>
      <c r="R723" s="56"/>
    </row>
    <row r="724" spans="1:18" ht="15.75" customHeight="1" thickBot="1" x14ac:dyDescent="0.4">
      <c r="A724" s="66" t="s">
        <v>1090</v>
      </c>
      <c r="B724" s="212">
        <f>+B703</f>
        <v>11507</v>
      </c>
      <c r="C724" s="212">
        <f>+C703</f>
        <v>14339</v>
      </c>
      <c r="D724" s="212">
        <f>+D703</f>
        <v>21906</v>
      </c>
      <c r="E724" s="188">
        <f>+SUM(B724:D724)</f>
        <v>47752</v>
      </c>
      <c r="F724" s="212">
        <f>+F703</f>
        <v>22402</v>
      </c>
      <c r="G724" s="212">
        <f>+G703</f>
        <v>36339</v>
      </c>
      <c r="H724" s="212">
        <f>+H703</f>
        <v>49431</v>
      </c>
      <c r="I724" s="188">
        <f>+SUM(F724:H724)</f>
        <v>108172</v>
      </c>
      <c r="J724" s="212">
        <f>+J703</f>
        <v>52942</v>
      </c>
      <c r="K724" s="212">
        <f>+K703</f>
        <v>60760</v>
      </c>
      <c r="L724" s="212">
        <f>+L703</f>
        <v>49239</v>
      </c>
      <c r="M724" s="188">
        <f>+SUM(J724:L724)</f>
        <v>162941</v>
      </c>
      <c r="N724" s="212">
        <f>+N703</f>
        <v>42865</v>
      </c>
      <c r="O724" s="212">
        <f>+O703</f>
        <v>33410</v>
      </c>
      <c r="P724" s="212">
        <f>+P703</f>
        <v>38991</v>
      </c>
      <c r="Q724" s="188">
        <f>+SUM(N724:P724)</f>
        <v>115266</v>
      </c>
      <c r="R724" s="56">
        <f>+E724+I724+M724+Q724</f>
        <v>434131</v>
      </c>
    </row>
    <row r="725" spans="1:18" ht="15.75" customHeight="1" thickBot="1" x14ac:dyDescent="0.4">
      <c r="A725" s="64"/>
      <c r="B725" s="188"/>
      <c r="C725" s="188"/>
      <c r="D725" s="188"/>
      <c r="E725" s="188"/>
      <c r="F725" s="188"/>
      <c r="G725" s="188"/>
      <c r="H725" s="188"/>
      <c r="I725" s="188"/>
      <c r="J725" s="188"/>
      <c r="K725" s="188"/>
      <c r="L725" s="188"/>
      <c r="M725" s="188"/>
      <c r="N725" s="188"/>
      <c r="O725" s="188"/>
      <c r="P725" s="188"/>
      <c r="Q725" s="188"/>
      <c r="R725" s="56"/>
    </row>
    <row r="726" spans="1:18" ht="15.75" customHeight="1" thickBot="1" x14ac:dyDescent="0.4">
      <c r="A726" s="64" t="s">
        <v>574</v>
      </c>
      <c r="B726" s="190">
        <f t="shared" ref="B726:R726" si="103">+SUM(B718:B724)</f>
        <v>56674</v>
      </c>
      <c r="C726" s="190">
        <f t="shared" si="103"/>
        <v>56869</v>
      </c>
      <c r="D726" s="190">
        <f t="shared" si="103"/>
        <v>103819</v>
      </c>
      <c r="E726" s="190">
        <f t="shared" si="103"/>
        <v>217362</v>
      </c>
      <c r="F726" s="190">
        <f t="shared" si="103"/>
        <v>153932</v>
      </c>
      <c r="G726" s="190">
        <f t="shared" si="103"/>
        <v>165117</v>
      </c>
      <c r="H726" s="190">
        <f t="shared" si="103"/>
        <v>206179</v>
      </c>
      <c r="I726" s="190">
        <f t="shared" si="103"/>
        <v>525228</v>
      </c>
      <c r="J726" s="190">
        <f t="shared" si="103"/>
        <v>216826</v>
      </c>
      <c r="K726" s="190">
        <f t="shared" si="103"/>
        <v>191448</v>
      </c>
      <c r="L726" s="190">
        <f t="shared" si="103"/>
        <v>167554</v>
      </c>
      <c r="M726" s="190">
        <f t="shared" si="103"/>
        <v>575828</v>
      </c>
      <c r="N726" s="190">
        <f t="shared" si="103"/>
        <v>106439</v>
      </c>
      <c r="O726" s="190">
        <f t="shared" si="103"/>
        <v>82263</v>
      </c>
      <c r="P726" s="190">
        <f t="shared" si="103"/>
        <v>83779</v>
      </c>
      <c r="Q726" s="190">
        <f t="shared" si="103"/>
        <v>272481</v>
      </c>
      <c r="R726" s="213">
        <f t="shared" si="103"/>
        <v>1590899</v>
      </c>
    </row>
    <row r="727" spans="1:18" ht="15.75" customHeight="1" x14ac:dyDescent="0.35">
      <c r="A727" s="201"/>
      <c r="B727" s="286"/>
      <c r="C727" s="286"/>
      <c r="D727" s="286"/>
      <c r="E727" s="286"/>
      <c r="F727" s="286"/>
      <c r="G727" s="286"/>
      <c r="H727" s="286"/>
      <c r="I727" s="286"/>
      <c r="J727" s="286"/>
      <c r="K727" s="286"/>
      <c r="L727" s="286"/>
      <c r="M727" s="286"/>
      <c r="N727" s="286"/>
      <c r="O727" s="286"/>
      <c r="P727" s="286"/>
      <c r="Q727" s="286"/>
      <c r="R727" s="286"/>
    </row>
    <row r="728" spans="1:18" ht="15.75" customHeight="1" x14ac:dyDescent="0.3">
      <c r="A728" s="67"/>
      <c r="B728" s="67"/>
      <c r="C728" s="68" t="s">
        <v>864</v>
      </c>
      <c r="D728" s="67"/>
      <c r="E728" s="67"/>
      <c r="F728" s="67"/>
      <c r="G728" s="67"/>
      <c r="H728" s="67"/>
      <c r="I728" s="67"/>
      <c r="J728" s="67"/>
      <c r="K728" s="67"/>
      <c r="L728" s="67"/>
      <c r="M728" s="67"/>
      <c r="N728" s="67"/>
      <c r="O728" s="67"/>
      <c r="P728" s="67"/>
      <c r="Q728" s="71" t="str">
        <f>+Q1</f>
        <v>PRINTED:</v>
      </c>
      <c r="R728" s="77">
        <f ca="1">+R1</f>
        <v>44881.72963425926</v>
      </c>
    </row>
    <row r="729" spans="1:18" ht="15.75" customHeight="1" x14ac:dyDescent="0.3">
      <c r="A729" s="67"/>
      <c r="B729" s="67"/>
      <c r="C729" s="67"/>
      <c r="D729" s="67"/>
      <c r="E729" s="67" t="s">
        <v>852</v>
      </c>
      <c r="F729" s="69" t="str">
        <f>+A9</f>
        <v>Revised:  1/24/11</v>
      </c>
      <c r="G729" s="67"/>
      <c r="H729" s="67"/>
      <c r="I729" s="67"/>
      <c r="J729" s="67"/>
      <c r="K729" s="67"/>
      <c r="L729" s="67"/>
      <c r="M729" s="67"/>
      <c r="N729" s="67"/>
      <c r="O729" s="67"/>
      <c r="P729" s="67"/>
      <c r="Q729" s="67"/>
      <c r="R729" s="67"/>
    </row>
    <row r="730" spans="1:18" ht="15.75" customHeight="1" x14ac:dyDescent="0.3">
      <c r="A730" s="67"/>
      <c r="B730" s="67"/>
      <c r="C730" s="67"/>
      <c r="D730" s="67" t="s">
        <v>2126</v>
      </c>
      <c r="E730" s="67"/>
      <c r="F730" s="67"/>
      <c r="G730" s="67"/>
      <c r="H730" s="67"/>
      <c r="I730" s="67"/>
      <c r="J730" s="67"/>
      <c r="K730" s="67"/>
      <c r="L730" s="67"/>
      <c r="M730" s="67"/>
      <c r="N730" s="67"/>
      <c r="O730" s="67"/>
      <c r="P730" s="67"/>
      <c r="Q730" s="67"/>
      <c r="R730" s="67"/>
    </row>
    <row r="731" spans="1:18" ht="15.75" customHeight="1" x14ac:dyDescent="0.3">
      <c r="A731" s="67"/>
      <c r="B731" s="67"/>
      <c r="C731" s="67"/>
      <c r="D731" s="67"/>
      <c r="E731" s="67"/>
      <c r="F731" s="67"/>
      <c r="G731" s="67"/>
      <c r="H731" s="67"/>
      <c r="I731" s="67"/>
      <c r="J731" s="67"/>
      <c r="K731" s="67"/>
      <c r="L731" s="67"/>
      <c r="M731" s="67"/>
      <c r="N731" s="67"/>
      <c r="O731" s="67"/>
      <c r="P731" s="67"/>
      <c r="Q731" s="67"/>
      <c r="R731" s="67"/>
    </row>
    <row r="732" spans="1:18" ht="15.75" customHeight="1" x14ac:dyDescent="0.3">
      <c r="A732" s="67"/>
      <c r="B732" s="67"/>
      <c r="C732" s="67"/>
      <c r="D732" s="67"/>
      <c r="E732" s="67" t="str">
        <f>+A5</f>
        <v>Calendar Year 2010</v>
      </c>
      <c r="F732" s="67"/>
      <c r="G732" s="67"/>
      <c r="H732" s="67"/>
      <c r="I732" s="67"/>
      <c r="J732" s="67"/>
      <c r="K732" s="67"/>
      <c r="L732" s="67"/>
      <c r="M732" s="67"/>
      <c r="N732" s="67"/>
      <c r="O732" s="67"/>
      <c r="P732" s="67"/>
      <c r="Q732" s="67"/>
      <c r="R732" s="67"/>
    </row>
    <row r="733" spans="1:18" ht="15.75" customHeight="1" x14ac:dyDescent="0.3">
      <c r="A733" s="67"/>
      <c r="B733" s="67"/>
      <c r="C733" s="67"/>
      <c r="D733" s="67"/>
      <c r="E733" s="67" t="s">
        <v>1306</v>
      </c>
      <c r="F733" s="67"/>
      <c r="G733" s="67"/>
      <c r="H733" s="67"/>
      <c r="I733" s="67"/>
      <c r="J733" s="67"/>
      <c r="K733" s="67"/>
      <c r="L733" s="67"/>
      <c r="M733" s="67"/>
      <c r="N733" s="67"/>
      <c r="O733" s="67"/>
      <c r="P733" s="67"/>
      <c r="Q733" s="67"/>
      <c r="R733" s="67"/>
    </row>
    <row r="734" spans="1:18" ht="15.75" customHeight="1" x14ac:dyDescent="0.3">
      <c r="A734" s="67"/>
      <c r="B734" s="67"/>
      <c r="C734" s="67"/>
      <c r="D734" s="67"/>
      <c r="E734" s="67"/>
      <c r="F734" s="67"/>
      <c r="G734" s="67"/>
      <c r="H734" s="67"/>
      <c r="I734" s="67"/>
      <c r="J734" s="67"/>
      <c r="K734" s="67"/>
      <c r="L734" s="67"/>
      <c r="M734" s="67"/>
      <c r="N734" s="67"/>
      <c r="O734" s="67"/>
      <c r="P734" s="67"/>
      <c r="Q734" s="67"/>
      <c r="R734" s="67"/>
    </row>
    <row r="735" spans="1:18" ht="15.75" customHeight="1" x14ac:dyDescent="0.3">
      <c r="A735" s="67" t="s">
        <v>1307</v>
      </c>
      <c r="B735" s="70" t="s">
        <v>1308</v>
      </c>
      <c r="C735" s="70" t="s">
        <v>1309</v>
      </c>
      <c r="D735" s="70" t="s">
        <v>1029</v>
      </c>
      <c r="E735" s="70" t="s">
        <v>1030</v>
      </c>
      <c r="F735" s="70" t="s">
        <v>284</v>
      </c>
      <c r="G735" s="70" t="s">
        <v>284</v>
      </c>
      <c r="H735" s="70" t="s">
        <v>285</v>
      </c>
      <c r="I735" s="70" t="s">
        <v>286</v>
      </c>
      <c r="J735" s="70" t="s">
        <v>287</v>
      </c>
      <c r="K735" s="70" t="s">
        <v>288</v>
      </c>
      <c r="L735" s="70" t="s">
        <v>289</v>
      </c>
      <c r="M735" s="70" t="s">
        <v>633</v>
      </c>
      <c r="N735" s="70" t="s">
        <v>634</v>
      </c>
      <c r="O735" s="70" t="s">
        <v>1192</v>
      </c>
      <c r="P735" s="70" t="s">
        <v>524</v>
      </c>
      <c r="Q735" s="70" t="s">
        <v>525</v>
      </c>
      <c r="R735" s="67"/>
    </row>
    <row r="736" spans="1:18" ht="15.75" customHeight="1" x14ac:dyDescent="0.3">
      <c r="A736" s="67" t="s">
        <v>526</v>
      </c>
      <c r="B736" s="67"/>
      <c r="C736" s="67"/>
      <c r="D736" s="67"/>
      <c r="E736" s="67"/>
      <c r="F736" s="70" t="s">
        <v>1193</v>
      </c>
      <c r="G736" s="70" t="s">
        <v>1194</v>
      </c>
      <c r="H736" s="67"/>
      <c r="I736" s="67"/>
      <c r="J736" s="67"/>
      <c r="K736" s="67"/>
      <c r="L736" s="67"/>
      <c r="M736" s="67"/>
      <c r="N736" s="67"/>
      <c r="O736" s="67"/>
      <c r="P736" s="67"/>
      <c r="Q736" s="67"/>
      <c r="R736" s="67"/>
    </row>
    <row r="737" spans="1:18" ht="15.75" customHeight="1" x14ac:dyDescent="0.3">
      <c r="A737" s="67" t="s">
        <v>1195</v>
      </c>
      <c r="B737" s="67">
        <v>953</v>
      </c>
      <c r="C737" s="67">
        <v>128</v>
      </c>
      <c r="D737" s="67">
        <v>128</v>
      </c>
      <c r="E737" s="67">
        <v>219</v>
      </c>
      <c r="F737" s="67">
        <v>179</v>
      </c>
      <c r="G737" s="67">
        <v>121</v>
      </c>
      <c r="H737" s="67">
        <v>92</v>
      </c>
      <c r="I737" s="67">
        <v>150</v>
      </c>
      <c r="J737" s="67">
        <v>237</v>
      </c>
      <c r="K737" s="67">
        <v>226</v>
      </c>
      <c r="L737" s="67">
        <v>99</v>
      </c>
      <c r="M737" s="67">
        <v>102</v>
      </c>
      <c r="N737" s="67">
        <v>249</v>
      </c>
      <c r="O737" s="67">
        <v>189</v>
      </c>
      <c r="P737" s="67">
        <v>333</v>
      </c>
      <c r="Q737" s="67">
        <v>411</v>
      </c>
      <c r="R737" s="67"/>
    </row>
    <row r="738" spans="1:18" ht="15.75" customHeight="1" x14ac:dyDescent="0.3">
      <c r="A738" s="67"/>
      <c r="B738" s="67" t="s">
        <v>1353</v>
      </c>
      <c r="C738" s="67" t="s">
        <v>1353</v>
      </c>
      <c r="D738" s="67" t="s">
        <v>1353</v>
      </c>
      <c r="E738" s="67" t="s">
        <v>1353</v>
      </c>
      <c r="F738" s="67" t="s">
        <v>1353</v>
      </c>
      <c r="G738" s="67" t="s">
        <v>1353</v>
      </c>
      <c r="H738" s="67" t="s">
        <v>1353</v>
      </c>
      <c r="I738" s="67" t="s">
        <v>1353</v>
      </c>
      <c r="J738" s="67" t="s">
        <v>1353</v>
      </c>
      <c r="K738" s="67" t="s">
        <v>1353</v>
      </c>
      <c r="L738" s="67" t="s">
        <v>1353</v>
      </c>
      <c r="M738" s="67" t="s">
        <v>1353</v>
      </c>
      <c r="N738" s="67" t="s">
        <v>1353</v>
      </c>
      <c r="O738" s="67" t="s">
        <v>1353</v>
      </c>
      <c r="P738" s="67" t="s">
        <v>1353</v>
      </c>
      <c r="Q738" s="67" t="s">
        <v>1353</v>
      </c>
      <c r="R738" s="67"/>
    </row>
    <row r="739" spans="1:18" ht="15.75" customHeight="1" x14ac:dyDescent="0.3">
      <c r="A739" s="70" t="s">
        <v>1354</v>
      </c>
      <c r="B739" s="67">
        <f>+B32</f>
        <v>126667</v>
      </c>
      <c r="C739" s="67">
        <f>+B67</f>
        <v>126570</v>
      </c>
      <c r="D739" s="67">
        <f>+B128</f>
        <v>126474</v>
      </c>
      <c r="E739" s="67">
        <f>+B245</f>
        <v>119763</v>
      </c>
      <c r="F739" s="67">
        <f>+B240</f>
        <v>69254</v>
      </c>
      <c r="G739" s="67">
        <f>+B252</f>
        <v>0</v>
      </c>
      <c r="H739" s="67">
        <f>+B364</f>
        <v>28826</v>
      </c>
      <c r="I739" s="67">
        <f>+B405</f>
        <v>18006</v>
      </c>
      <c r="J739" s="67">
        <f>+B446</f>
        <v>17996</v>
      </c>
      <c r="K739" s="67">
        <f>+B495</f>
        <v>17814</v>
      </c>
      <c r="L739" s="67">
        <f>+B505</f>
        <v>12843</v>
      </c>
      <c r="M739" s="67">
        <f>+B540</f>
        <v>12823</v>
      </c>
      <c r="N739" s="67">
        <f>+B579</f>
        <v>12813</v>
      </c>
      <c r="O739" s="67">
        <f>+B589</f>
        <v>1302</v>
      </c>
      <c r="P739" s="67">
        <f>+B623</f>
        <v>4007</v>
      </c>
      <c r="Q739" s="67">
        <f>+B664</f>
        <v>1209</v>
      </c>
      <c r="R739" s="67"/>
    </row>
    <row r="740" spans="1:18" ht="15.75" customHeight="1" x14ac:dyDescent="0.3">
      <c r="A740" s="70" t="s">
        <v>706</v>
      </c>
      <c r="B740" s="67">
        <f>+C32</f>
        <v>91280</v>
      </c>
      <c r="C740" s="67">
        <f>+C67</f>
        <v>91132</v>
      </c>
      <c r="D740" s="67">
        <f>+C128</f>
        <v>90987</v>
      </c>
      <c r="E740" s="67">
        <f>+C245</f>
        <v>78155</v>
      </c>
      <c r="F740" s="67">
        <f>+C240</f>
        <v>32024</v>
      </c>
      <c r="G740" s="67">
        <f>+C252</f>
        <v>0</v>
      </c>
      <c r="H740" s="67">
        <f>+C364</f>
        <v>26435</v>
      </c>
      <c r="I740" s="67">
        <f>+C405</f>
        <v>16595</v>
      </c>
      <c r="J740" s="67">
        <f>+C446</f>
        <v>16579</v>
      </c>
      <c r="K740" s="67">
        <f>+C495</f>
        <v>16536</v>
      </c>
      <c r="L740" s="67">
        <f>+C505</f>
        <v>12857</v>
      </c>
      <c r="M740" s="67">
        <f>+C540</f>
        <v>12835</v>
      </c>
      <c r="N740" s="67">
        <f>+C579</f>
        <v>12824</v>
      </c>
      <c r="O740" s="67">
        <f>+C589</f>
        <v>1853</v>
      </c>
      <c r="P740" s="67">
        <f>+C623</f>
        <v>4791</v>
      </c>
      <c r="Q740" s="67">
        <f>+C664</f>
        <v>1765</v>
      </c>
      <c r="R740" s="67"/>
    </row>
    <row r="741" spans="1:18" ht="15.75" customHeight="1" x14ac:dyDescent="0.3">
      <c r="A741" s="70" t="s">
        <v>707</v>
      </c>
      <c r="B741" s="67">
        <f>+D32</f>
        <v>130042</v>
      </c>
      <c r="C741" s="67">
        <f>+D67</f>
        <v>129768</v>
      </c>
      <c r="D741" s="67">
        <f>+D128</f>
        <v>129507</v>
      </c>
      <c r="E741" s="67">
        <f>+D245</f>
        <v>111234</v>
      </c>
      <c r="F741" s="67">
        <f>+D240</f>
        <v>23237</v>
      </c>
      <c r="G741" s="67">
        <f>+D252</f>
        <v>0</v>
      </c>
      <c r="H741" s="67">
        <f>+D364</f>
        <v>64632</v>
      </c>
      <c r="I741" s="67">
        <f>+D405</f>
        <v>28997</v>
      </c>
      <c r="J741" s="67">
        <f>+D446</f>
        <v>26686</v>
      </c>
      <c r="K741" s="67">
        <f>+D495</f>
        <v>25877</v>
      </c>
      <c r="L741" s="67">
        <f>+D505</f>
        <v>19992</v>
      </c>
      <c r="M741" s="67">
        <f>+D540</f>
        <v>19964</v>
      </c>
      <c r="N741" s="67">
        <f>+D579</f>
        <v>19950</v>
      </c>
      <c r="O741" s="67">
        <f>+D589</f>
        <v>3792</v>
      </c>
      <c r="P741" s="67">
        <f>+D623</f>
        <v>5290</v>
      </c>
      <c r="Q741" s="67">
        <f>+D664</f>
        <v>3776</v>
      </c>
      <c r="R741" s="67"/>
    </row>
    <row r="742" spans="1:18" ht="15.75" customHeight="1" x14ac:dyDescent="0.3">
      <c r="A742" s="70" t="s">
        <v>1321</v>
      </c>
      <c r="B742" s="67">
        <f>+F32</f>
        <v>153814</v>
      </c>
      <c r="C742" s="67">
        <f>+F67</f>
        <v>153447</v>
      </c>
      <c r="D742" s="67">
        <f>+F128</f>
        <v>153097</v>
      </c>
      <c r="E742" s="67">
        <f>+F245</f>
        <v>140733</v>
      </c>
      <c r="F742" s="67">
        <f>+F240</f>
        <v>0</v>
      </c>
      <c r="G742" s="67">
        <f>+F252</f>
        <v>-5265</v>
      </c>
      <c r="H742" s="67">
        <f>+F364</f>
        <v>118772</v>
      </c>
      <c r="I742" s="67">
        <f>+F405</f>
        <v>52079</v>
      </c>
      <c r="J742" s="67">
        <f>+F446</f>
        <v>37481</v>
      </c>
      <c r="K742" s="67">
        <f>+F495</f>
        <v>29641</v>
      </c>
      <c r="L742" s="67">
        <f>+F505</f>
        <v>20893</v>
      </c>
      <c r="M742" s="67">
        <f>+F540</f>
        <v>20856</v>
      </c>
      <c r="N742" s="67">
        <f>+F579</f>
        <v>20353</v>
      </c>
      <c r="O742" s="67">
        <f>+F589</f>
        <v>3499</v>
      </c>
      <c r="P742" s="67">
        <f>+F623</f>
        <v>4390</v>
      </c>
      <c r="Q742" s="67">
        <f>+F664</f>
        <v>3326</v>
      </c>
      <c r="R742" s="67"/>
    </row>
    <row r="743" spans="1:18" ht="15.75" customHeight="1" x14ac:dyDescent="0.3">
      <c r="A743" s="70" t="s">
        <v>1905</v>
      </c>
      <c r="B743" s="67">
        <f>+G32</f>
        <v>170685</v>
      </c>
      <c r="C743" s="67">
        <f>+G67</f>
        <v>170260</v>
      </c>
      <c r="D743" s="67">
        <f>+G128</f>
        <v>169858</v>
      </c>
      <c r="E743" s="67">
        <f>+G245</f>
        <v>141564</v>
      </c>
      <c r="F743" s="67">
        <f>+G240</f>
        <v>794</v>
      </c>
      <c r="G743" s="67">
        <f>+G252</f>
        <v>-2361</v>
      </c>
      <c r="H743" s="67">
        <f>+G364</f>
        <v>108126</v>
      </c>
      <c r="I743" s="67">
        <f>+G405</f>
        <v>38678</v>
      </c>
      <c r="J743" s="67">
        <f>+G446</f>
        <v>31627</v>
      </c>
      <c r="K743" s="67">
        <f>+G495</f>
        <v>27868</v>
      </c>
      <c r="L743" s="67">
        <f>+G505</f>
        <v>20611</v>
      </c>
      <c r="M743" s="67">
        <f>+G540</f>
        <v>20569</v>
      </c>
      <c r="N743" s="67">
        <f>+G579</f>
        <v>19999</v>
      </c>
      <c r="O743" s="67">
        <f>+G589</f>
        <v>4287</v>
      </c>
      <c r="P743" s="67">
        <f>+G623</f>
        <v>4737</v>
      </c>
      <c r="Q743" s="67">
        <f>+G664</f>
        <v>4147</v>
      </c>
      <c r="R743" s="67"/>
    </row>
    <row r="744" spans="1:18" ht="15.75" customHeight="1" x14ac:dyDescent="0.3">
      <c r="A744" s="70" t="s">
        <v>1906</v>
      </c>
      <c r="B744" s="67">
        <f>+H32</f>
        <v>172283</v>
      </c>
      <c r="C744" s="67">
        <f>+H67</f>
        <v>171866</v>
      </c>
      <c r="D744" s="67">
        <f>+H128</f>
        <v>171470</v>
      </c>
      <c r="E744" s="67">
        <f>+H245</f>
        <v>142703</v>
      </c>
      <c r="F744" s="67">
        <f>+H240</f>
        <v>0</v>
      </c>
      <c r="G744" s="67">
        <f>+H252</f>
        <v>-39965</v>
      </c>
      <c r="H744" s="67">
        <f>+H364</f>
        <v>145255</v>
      </c>
      <c r="I744" s="67">
        <f>+H405</f>
        <v>47924</v>
      </c>
      <c r="J744" s="67">
        <f>+H446</f>
        <v>32269</v>
      </c>
      <c r="K744" s="67">
        <f>+H495</f>
        <v>23989</v>
      </c>
      <c r="L744" s="67">
        <f>+H505</f>
        <v>17439</v>
      </c>
      <c r="M744" s="67">
        <f>+H540</f>
        <v>17395</v>
      </c>
      <c r="N744" s="67">
        <f>+H579</f>
        <v>16650</v>
      </c>
      <c r="O744" s="67">
        <f>+H589</f>
        <v>3925</v>
      </c>
      <c r="P744" s="67">
        <f>+H623</f>
        <v>5042</v>
      </c>
      <c r="Q744" s="67">
        <f>+H664</f>
        <v>3867</v>
      </c>
      <c r="R744" s="67"/>
    </row>
    <row r="745" spans="1:18" ht="15.75" customHeight="1" x14ac:dyDescent="0.3">
      <c r="A745" s="70" t="s">
        <v>1907</v>
      </c>
      <c r="B745" s="67">
        <f>+J32</f>
        <v>54228</v>
      </c>
      <c r="C745" s="67">
        <f>+J67</f>
        <v>53812</v>
      </c>
      <c r="D745" s="67">
        <f>+J128</f>
        <v>53418</v>
      </c>
      <c r="E745" s="67">
        <f>+J245</f>
        <v>20446</v>
      </c>
      <c r="F745" s="67">
        <f>+J240</f>
        <v>0</v>
      </c>
      <c r="G745" s="67">
        <f>+J252</f>
        <v>-167728</v>
      </c>
      <c r="H745" s="67">
        <f>+J364</f>
        <v>150643</v>
      </c>
      <c r="I745" s="67">
        <f>+J405</f>
        <v>53649</v>
      </c>
      <c r="J745" s="67">
        <f>+J446</f>
        <v>32712</v>
      </c>
      <c r="K745" s="67">
        <f>+J495</f>
        <v>23878</v>
      </c>
      <c r="L745" s="67">
        <f>+J505</f>
        <v>17053</v>
      </c>
      <c r="M745" s="67">
        <f>+J540</f>
        <v>17014</v>
      </c>
      <c r="N745" s="67">
        <f>+J579</f>
        <v>16780</v>
      </c>
      <c r="O745" s="67">
        <f>+J589</f>
        <v>2132</v>
      </c>
      <c r="P745" s="67">
        <f>+J623</f>
        <v>5195</v>
      </c>
      <c r="Q745" s="67">
        <f>+J664</f>
        <v>2024</v>
      </c>
      <c r="R745" s="67"/>
    </row>
    <row r="746" spans="1:18" ht="15.75" customHeight="1" x14ac:dyDescent="0.3">
      <c r="A746" s="70" t="s">
        <v>1908</v>
      </c>
      <c r="B746" s="67">
        <f>+K32</f>
        <v>87819</v>
      </c>
      <c r="C746" s="67">
        <f>+K67</f>
        <v>87485</v>
      </c>
      <c r="D746" s="67">
        <f>+K128</f>
        <v>87167</v>
      </c>
      <c r="E746" s="67">
        <f>+K245</f>
        <v>51578</v>
      </c>
      <c r="F746" s="67">
        <f>+K240</f>
        <v>0</v>
      </c>
      <c r="G746" s="67">
        <f>+K252</f>
        <v>-106895</v>
      </c>
      <c r="H746" s="67">
        <f>+K364</f>
        <v>124609</v>
      </c>
      <c r="I746" s="67">
        <f>+K405</f>
        <v>44724</v>
      </c>
      <c r="J746" s="67">
        <f>+K446</f>
        <v>32919</v>
      </c>
      <c r="K746" s="67">
        <f>+K495</f>
        <v>24376</v>
      </c>
      <c r="L746" s="67">
        <f>+K505</f>
        <v>19508</v>
      </c>
      <c r="M746" s="67">
        <f>+K540</f>
        <v>19472</v>
      </c>
      <c r="N746" s="67">
        <f>+K579</f>
        <v>19312</v>
      </c>
      <c r="O746" s="67">
        <f>+K589</f>
        <v>4196</v>
      </c>
      <c r="P746" s="67">
        <f>+K623</f>
        <v>5576</v>
      </c>
      <c r="Q746" s="67">
        <f>+K664</f>
        <v>4143</v>
      </c>
      <c r="R746" s="67"/>
    </row>
    <row r="747" spans="1:18" ht="15.75" customHeight="1" x14ac:dyDescent="0.3">
      <c r="A747" s="70" t="s">
        <v>2352</v>
      </c>
      <c r="B747" s="67">
        <f>+L32</f>
        <v>168372</v>
      </c>
      <c r="C747" s="67">
        <f>+L67</f>
        <v>168056</v>
      </c>
      <c r="D747" s="67">
        <f>+L128</f>
        <v>167755</v>
      </c>
      <c r="E747" s="67">
        <f>+L245</f>
        <v>133290</v>
      </c>
      <c r="F747" s="67">
        <f>+L240</f>
        <v>15215</v>
      </c>
      <c r="G747" s="67">
        <f>+L252</f>
        <v>-18499</v>
      </c>
      <c r="H747" s="67">
        <f>+L364</f>
        <v>95573</v>
      </c>
      <c r="I747" s="67">
        <f>+L405</f>
        <v>24685</v>
      </c>
      <c r="J747" s="67">
        <f>+L446</f>
        <v>24647</v>
      </c>
      <c r="K747" s="67">
        <f>+L495</f>
        <v>20903</v>
      </c>
      <c r="L747" s="67">
        <f>+L505</f>
        <v>16507</v>
      </c>
      <c r="M747" s="67">
        <f>+L540</f>
        <v>16473</v>
      </c>
      <c r="N747" s="67">
        <f>+L579</f>
        <v>16456</v>
      </c>
      <c r="O747" s="67">
        <f>+L589</f>
        <v>3962</v>
      </c>
      <c r="P747" s="67">
        <f>+L623</f>
        <v>5463</v>
      </c>
      <c r="Q747" s="67">
        <f>+L664</f>
        <v>3865</v>
      </c>
      <c r="R747" s="67"/>
    </row>
    <row r="748" spans="1:18" ht="15.75" customHeight="1" x14ac:dyDescent="0.3">
      <c r="A748" s="70" t="s">
        <v>2353</v>
      </c>
      <c r="B748" s="67">
        <f>+N32</f>
        <v>165231</v>
      </c>
      <c r="C748" s="67">
        <f>+N67</f>
        <v>164946</v>
      </c>
      <c r="D748" s="67">
        <f>+N128</f>
        <v>164674</v>
      </c>
      <c r="E748" s="67">
        <f>+N245</f>
        <v>134660</v>
      </c>
      <c r="F748" s="67">
        <f>+N240</f>
        <v>55015</v>
      </c>
      <c r="G748" s="67">
        <f>+N252</f>
        <v>0</v>
      </c>
      <c r="H748" s="67">
        <f>+N364</f>
        <v>42399</v>
      </c>
      <c r="I748" s="67">
        <f>+N405</f>
        <v>7967</v>
      </c>
      <c r="J748" s="67">
        <f>+N446</f>
        <v>7894</v>
      </c>
      <c r="K748" s="67">
        <f>+N495</f>
        <v>7170</v>
      </c>
      <c r="L748" s="67">
        <f>+N505</f>
        <v>5234</v>
      </c>
      <c r="M748" s="67">
        <f>+N540</f>
        <v>5205</v>
      </c>
      <c r="N748" s="67">
        <f>+N579</f>
        <v>5191</v>
      </c>
      <c r="O748" s="67">
        <f>+N589</f>
        <v>1963</v>
      </c>
      <c r="P748" s="67">
        <f>+N623</f>
        <v>5086</v>
      </c>
      <c r="Q748" s="67">
        <f>+N664</f>
        <v>1904</v>
      </c>
      <c r="R748" s="67"/>
    </row>
    <row r="749" spans="1:18" ht="15.75" customHeight="1" x14ac:dyDescent="0.3">
      <c r="A749" s="70" t="s">
        <v>2354</v>
      </c>
      <c r="B749" s="67">
        <f>+O32</f>
        <v>151638</v>
      </c>
      <c r="C749" s="67">
        <f>+O67</f>
        <v>151403</v>
      </c>
      <c r="D749" s="67">
        <f>+O128</f>
        <v>151177</v>
      </c>
      <c r="E749" s="67">
        <f>+O245</f>
        <v>133561</v>
      </c>
      <c r="F749" s="67">
        <f>+O240</f>
        <v>64395</v>
      </c>
      <c r="G749" s="67">
        <f>+O252</f>
        <v>0</v>
      </c>
      <c r="H749" s="67">
        <f>+O364</f>
        <v>37855</v>
      </c>
      <c r="I749" s="67">
        <f>+O405</f>
        <v>14384</v>
      </c>
      <c r="J749" s="67">
        <f>+O446</f>
        <v>14179</v>
      </c>
      <c r="K749" s="67">
        <f>+O495</f>
        <v>13555</v>
      </c>
      <c r="L749" s="67">
        <f>+O505</f>
        <v>11422</v>
      </c>
      <c r="M749" s="67">
        <f>+O540</f>
        <v>11399</v>
      </c>
      <c r="N749" s="67">
        <f>+O579</f>
        <v>11388</v>
      </c>
      <c r="O749" s="67">
        <f>+O589</f>
        <v>2648</v>
      </c>
      <c r="P749" s="67">
        <f>+O623</f>
        <v>4775</v>
      </c>
      <c r="Q749" s="67">
        <f>+O664</f>
        <v>2577</v>
      </c>
      <c r="R749" s="67"/>
    </row>
    <row r="750" spans="1:18" ht="15.75" customHeight="1" x14ac:dyDescent="0.3">
      <c r="A750" s="70" t="s">
        <v>2355</v>
      </c>
      <c r="B750" s="67">
        <f>+P32</f>
        <v>189514</v>
      </c>
      <c r="C750" s="67">
        <f>+P67</f>
        <v>189328</v>
      </c>
      <c r="D750" s="67">
        <f>+P128</f>
        <v>189149</v>
      </c>
      <c r="E750" s="67">
        <f>+P245</f>
        <v>157429</v>
      </c>
      <c r="F750" s="67">
        <f>+P240</f>
        <v>104913</v>
      </c>
      <c r="G750" s="67">
        <f>+P252</f>
        <v>0</v>
      </c>
      <c r="H750" s="67">
        <f>+P364</f>
        <v>30410</v>
      </c>
      <c r="I750" s="67">
        <f>+P405</f>
        <v>7758</v>
      </c>
      <c r="J750" s="67">
        <f>+P446</f>
        <v>7328</v>
      </c>
      <c r="K750" s="67">
        <f>+P495</f>
        <v>6962</v>
      </c>
      <c r="L750" s="67">
        <f>+P505</f>
        <v>5043</v>
      </c>
      <c r="M750" s="67">
        <f>+P540</f>
        <v>5024</v>
      </c>
      <c r="N750" s="67">
        <f>+P579</f>
        <v>5015</v>
      </c>
      <c r="O750" s="67">
        <f>+P589</f>
        <v>2317</v>
      </c>
      <c r="P750" s="67">
        <f>+P623</f>
        <v>5081</v>
      </c>
      <c r="Q750" s="67">
        <f>+P664</f>
        <v>2255</v>
      </c>
      <c r="R750" s="67"/>
    </row>
    <row r="751" spans="1:18" ht="15.75" customHeight="1" x14ac:dyDescent="0.3">
      <c r="A751" s="67"/>
      <c r="B751" s="67"/>
      <c r="C751" s="67"/>
      <c r="D751" s="67"/>
      <c r="E751" s="67"/>
      <c r="F751" s="67"/>
      <c r="G751" s="67"/>
      <c r="H751" s="67"/>
      <c r="I751" s="67"/>
      <c r="J751" s="67"/>
      <c r="K751" s="67"/>
      <c r="L751" s="67"/>
      <c r="M751" s="67"/>
      <c r="N751" s="67"/>
      <c r="O751" s="67"/>
      <c r="P751" s="67"/>
      <c r="Q751" s="67"/>
      <c r="R751" s="67"/>
    </row>
    <row r="752" spans="1:18" ht="15.75" customHeight="1" x14ac:dyDescent="0.3">
      <c r="A752" s="70" t="s">
        <v>2356</v>
      </c>
      <c r="B752" s="67">
        <f t="shared" ref="B752:Q752" si="104">SUM(B739:B750)</f>
        <v>1661573</v>
      </c>
      <c r="C752" s="67">
        <f t="shared" si="104"/>
        <v>1658073</v>
      </c>
      <c r="D752" s="67">
        <f t="shared" si="104"/>
        <v>1654733</v>
      </c>
      <c r="E752" s="67">
        <f t="shared" si="104"/>
        <v>1365116</v>
      </c>
      <c r="F752" s="67">
        <f t="shared" si="104"/>
        <v>364847</v>
      </c>
      <c r="G752" s="67">
        <f t="shared" si="104"/>
        <v>-340713</v>
      </c>
      <c r="H752" s="67">
        <f t="shared" si="104"/>
        <v>973535</v>
      </c>
      <c r="I752" s="67">
        <f t="shared" si="104"/>
        <v>355446</v>
      </c>
      <c r="J752" s="67">
        <f t="shared" si="104"/>
        <v>282317</v>
      </c>
      <c r="K752" s="67">
        <f t="shared" si="104"/>
        <v>238569</v>
      </c>
      <c r="L752" s="67">
        <f t="shared" si="104"/>
        <v>179402</v>
      </c>
      <c r="M752" s="67">
        <f t="shared" si="104"/>
        <v>179029</v>
      </c>
      <c r="N752" s="67">
        <f t="shared" si="104"/>
        <v>176731</v>
      </c>
      <c r="O752" s="67">
        <f t="shared" si="104"/>
        <v>35876</v>
      </c>
      <c r="P752" s="67">
        <f t="shared" si="104"/>
        <v>59433</v>
      </c>
      <c r="Q752" s="67">
        <f t="shared" si="104"/>
        <v>34858</v>
      </c>
      <c r="R752" s="67"/>
    </row>
    <row r="753" spans="1:18" ht="15.75" customHeight="1" x14ac:dyDescent="0.3">
      <c r="A753" s="67" t="s">
        <v>852</v>
      </c>
      <c r="B753" s="67"/>
      <c r="C753" s="67"/>
      <c r="D753" s="67"/>
      <c r="E753" s="67"/>
      <c r="F753" s="67"/>
      <c r="G753" s="67"/>
      <c r="H753" s="67"/>
      <c r="I753" s="67"/>
      <c r="J753" s="67"/>
      <c r="K753" s="67"/>
      <c r="L753" s="67"/>
      <c r="M753" s="67"/>
      <c r="N753" s="67"/>
      <c r="O753" s="67"/>
      <c r="P753" s="67"/>
      <c r="Q753" s="67"/>
      <c r="R753" s="67"/>
    </row>
    <row r="754" spans="1:18" ht="15.75" customHeight="1" x14ac:dyDescent="0.3">
      <c r="A754" s="67"/>
      <c r="B754" s="67"/>
      <c r="C754" s="67"/>
      <c r="D754" s="67"/>
      <c r="E754" s="67"/>
      <c r="F754" s="67"/>
      <c r="G754" s="67"/>
      <c r="H754" s="67"/>
      <c r="I754" s="67"/>
      <c r="J754" s="67"/>
      <c r="K754" s="67"/>
      <c r="L754" s="67"/>
      <c r="M754" s="67"/>
      <c r="N754" s="67"/>
      <c r="O754" s="67"/>
      <c r="P754" s="67"/>
      <c r="Q754" s="67"/>
      <c r="R754" s="67"/>
    </row>
    <row r="755" spans="1:18" ht="15.75" customHeight="1" x14ac:dyDescent="0.3">
      <c r="A755" s="67"/>
      <c r="B755" s="67"/>
      <c r="C755" s="71" t="s">
        <v>2434</v>
      </c>
      <c r="D755" s="67"/>
      <c r="E755" s="67"/>
      <c r="F755" s="67"/>
      <c r="G755" s="67"/>
      <c r="H755" s="67"/>
      <c r="I755" s="67" t="s">
        <v>2435</v>
      </c>
      <c r="J755" s="67"/>
      <c r="K755" s="67" t="s">
        <v>852</v>
      </c>
      <c r="L755" s="69" t="str">
        <f>+A9</f>
        <v>Revised:  1/24/11</v>
      </c>
      <c r="M755" s="67"/>
      <c r="N755" s="67"/>
      <c r="O755" s="67"/>
      <c r="P755" s="67"/>
      <c r="Q755" s="71" t="str">
        <f>+Q1</f>
        <v>PRINTED:</v>
      </c>
      <c r="R755" s="77">
        <f ca="1">+R1</f>
        <v>44881.72963425926</v>
      </c>
    </row>
    <row r="756" spans="1:18" ht="15.75" customHeight="1" x14ac:dyDescent="0.3">
      <c r="A756" s="67"/>
      <c r="B756" s="67"/>
      <c r="C756" s="67"/>
      <c r="D756" s="67" t="str">
        <f>++A5</f>
        <v>Calendar Year 2010</v>
      </c>
      <c r="E756" s="67"/>
      <c r="F756" s="67"/>
      <c r="G756" s="67"/>
      <c r="H756" s="67"/>
      <c r="I756" s="67"/>
      <c r="J756" s="67"/>
      <c r="K756" s="67"/>
      <c r="L756" s="67"/>
      <c r="M756" s="67"/>
      <c r="N756" s="67"/>
      <c r="O756" s="67"/>
      <c r="P756" s="67"/>
      <c r="Q756" s="67"/>
      <c r="R756" s="67"/>
    </row>
    <row r="757" spans="1:18" ht="15.75" customHeight="1" x14ac:dyDescent="0.3">
      <c r="A757" s="67"/>
      <c r="B757" s="67"/>
      <c r="C757" s="67"/>
      <c r="D757" s="67"/>
      <c r="E757" s="67"/>
      <c r="F757" s="67"/>
      <c r="G757" s="67"/>
      <c r="H757" s="67"/>
      <c r="I757" s="67"/>
      <c r="J757" s="67"/>
      <c r="K757" s="67"/>
      <c r="L757" s="67"/>
      <c r="M757" s="67"/>
      <c r="N757" s="67"/>
      <c r="O757" s="67"/>
      <c r="P757" s="67"/>
      <c r="Q757" s="67"/>
      <c r="R757" s="67"/>
    </row>
    <row r="758" spans="1:18" ht="15.75" customHeight="1" x14ac:dyDescent="0.3">
      <c r="A758" s="67"/>
      <c r="B758" s="67"/>
      <c r="C758" s="67"/>
      <c r="D758" s="67"/>
      <c r="E758" s="67"/>
      <c r="F758" s="67"/>
      <c r="G758" s="70" t="s">
        <v>2438</v>
      </c>
      <c r="H758" s="67"/>
      <c r="I758" s="67"/>
      <c r="J758" s="67"/>
      <c r="K758" s="67"/>
      <c r="L758" s="67"/>
      <c r="M758" s="67"/>
      <c r="N758" s="67"/>
      <c r="O758" s="67"/>
      <c r="P758" s="67"/>
      <c r="Q758" s="67"/>
      <c r="R758" s="67"/>
    </row>
    <row r="759" spans="1:18" ht="15.75" customHeight="1" x14ac:dyDescent="0.3">
      <c r="A759" s="67"/>
      <c r="B759" s="67" t="s">
        <v>2435</v>
      </c>
      <c r="C759" s="67"/>
      <c r="D759" s="70" t="s">
        <v>2436</v>
      </c>
      <c r="E759" s="70" t="s">
        <v>2436</v>
      </c>
      <c r="F759" s="70" t="s">
        <v>2437</v>
      </c>
      <c r="G759" s="70" t="s">
        <v>525</v>
      </c>
      <c r="H759" s="70" t="s">
        <v>2439</v>
      </c>
      <c r="I759" s="70" t="s">
        <v>2463</v>
      </c>
      <c r="J759" s="70" t="s">
        <v>2356</v>
      </c>
      <c r="K759" s="67" t="s">
        <v>2435</v>
      </c>
      <c r="L759" s="70" t="s">
        <v>2464</v>
      </c>
      <c r="M759" s="70" t="s">
        <v>2464</v>
      </c>
      <c r="N759" s="70" t="s">
        <v>2464</v>
      </c>
      <c r="O759" s="67"/>
      <c r="P759" s="67"/>
      <c r="Q759" s="67"/>
      <c r="R759" s="67"/>
    </row>
    <row r="760" spans="1:18" ht="15.75" customHeight="1" x14ac:dyDescent="0.35">
      <c r="A760" s="67"/>
      <c r="B760" s="70" t="s">
        <v>284</v>
      </c>
      <c r="C760" s="70" t="s">
        <v>2379</v>
      </c>
      <c r="D760" s="70" t="s">
        <v>844</v>
      </c>
      <c r="E760" s="70" t="s">
        <v>844</v>
      </c>
      <c r="F760" s="70" t="s">
        <v>845</v>
      </c>
      <c r="G760" s="214" t="s">
        <v>955</v>
      </c>
      <c r="H760" s="70" t="s">
        <v>275</v>
      </c>
      <c r="I760" s="70" t="s">
        <v>276</v>
      </c>
      <c r="J760" s="70" t="s">
        <v>1554</v>
      </c>
      <c r="K760" s="67" t="s">
        <v>2435</v>
      </c>
      <c r="L760" s="70" t="s">
        <v>1555</v>
      </c>
      <c r="M760" s="70" t="s">
        <v>955</v>
      </c>
      <c r="N760" s="70" t="s">
        <v>1194</v>
      </c>
      <c r="O760" s="67"/>
      <c r="P760" s="67"/>
      <c r="Q760" s="67"/>
      <c r="R760" s="67"/>
    </row>
    <row r="761" spans="1:18" ht="15.75" customHeight="1" x14ac:dyDescent="0.3">
      <c r="A761" s="67"/>
      <c r="B761" s="70" t="s">
        <v>1193</v>
      </c>
      <c r="C761" s="70" t="s">
        <v>956</v>
      </c>
      <c r="D761" s="70" t="s">
        <v>333</v>
      </c>
      <c r="E761" s="70" t="s">
        <v>334</v>
      </c>
      <c r="F761" s="70" t="s">
        <v>335</v>
      </c>
      <c r="G761" s="70" t="s">
        <v>335</v>
      </c>
      <c r="H761" s="70" t="s">
        <v>335</v>
      </c>
      <c r="I761" s="70" t="s">
        <v>335</v>
      </c>
      <c r="J761" s="70" t="s">
        <v>1486</v>
      </c>
      <c r="K761" s="67" t="s">
        <v>2435</v>
      </c>
      <c r="L761" s="70" t="s">
        <v>1487</v>
      </c>
      <c r="M761" s="70" t="s">
        <v>929</v>
      </c>
      <c r="N761" s="70" t="s">
        <v>929</v>
      </c>
      <c r="O761" s="67"/>
      <c r="P761" s="67"/>
      <c r="Q761" s="67"/>
      <c r="R761" s="67"/>
    </row>
    <row r="762" spans="1:18" ht="15.75" customHeight="1" x14ac:dyDescent="0.3">
      <c r="A762" s="67"/>
      <c r="B762" s="70" t="s">
        <v>930</v>
      </c>
      <c r="C762" s="70" t="s">
        <v>931</v>
      </c>
      <c r="D762" s="70" t="s">
        <v>932</v>
      </c>
      <c r="E762" s="70" t="s">
        <v>932</v>
      </c>
      <c r="F762" s="70" t="s">
        <v>932</v>
      </c>
      <c r="G762" s="70" t="s">
        <v>932</v>
      </c>
      <c r="H762" s="70" t="s">
        <v>932</v>
      </c>
      <c r="I762" s="70" t="s">
        <v>932</v>
      </c>
      <c r="J762" s="70" t="s">
        <v>932</v>
      </c>
      <c r="K762" s="67" t="s">
        <v>2435</v>
      </c>
      <c r="L762" s="70" t="s">
        <v>946</v>
      </c>
      <c r="M762" s="70" t="s">
        <v>946</v>
      </c>
      <c r="N762" s="70" t="s">
        <v>946</v>
      </c>
      <c r="O762" s="67"/>
      <c r="P762" s="67"/>
      <c r="Q762" s="67"/>
      <c r="R762" s="67"/>
    </row>
    <row r="763" spans="1:18" ht="15.75" customHeight="1" x14ac:dyDescent="0.3">
      <c r="A763" s="67"/>
      <c r="B763" s="67" t="s">
        <v>1353</v>
      </c>
      <c r="C763" s="67" t="s">
        <v>1353</v>
      </c>
      <c r="D763" s="67" t="s">
        <v>1353</v>
      </c>
      <c r="E763" s="67" t="s">
        <v>1353</v>
      </c>
      <c r="F763" s="67" t="s">
        <v>1353</v>
      </c>
      <c r="G763" s="67" t="s">
        <v>1353</v>
      </c>
      <c r="H763" s="67" t="s">
        <v>1353</v>
      </c>
      <c r="I763" s="67" t="s">
        <v>1353</v>
      </c>
      <c r="J763" s="67" t="s">
        <v>1353</v>
      </c>
      <c r="K763" s="67" t="s">
        <v>2435</v>
      </c>
      <c r="L763" s="67" t="s">
        <v>1353</v>
      </c>
      <c r="M763" s="67" t="s">
        <v>1353</v>
      </c>
      <c r="N763" s="67" t="s">
        <v>1353</v>
      </c>
      <c r="O763" s="67"/>
      <c r="P763" s="67"/>
      <c r="Q763" s="67"/>
      <c r="R763" s="67"/>
    </row>
    <row r="764" spans="1:18" ht="15.75" customHeight="1" x14ac:dyDescent="0.3">
      <c r="A764" s="70" t="s">
        <v>1354</v>
      </c>
      <c r="B764" s="67">
        <f t="shared" ref="B764:B775" si="105">(F739)</f>
        <v>69254</v>
      </c>
      <c r="C764" s="67">
        <f t="shared" ref="C764:C775" si="106">(SUM($B$737:$F$737))</f>
        <v>1607</v>
      </c>
      <c r="D764" s="67">
        <f t="shared" ref="D764:D775" si="107">(B764*C764/1000)</f>
        <v>111291.178</v>
      </c>
      <c r="E764" s="67">
        <f t="shared" ref="E764:E775" si="108">(((B739-F739)*B$737)+((C739-F739)*C$737)+((D739-F739)*D$737)+((E739-F739)*E$737))/1000</f>
        <v>80436.668000000005</v>
      </c>
      <c r="F764" s="67">
        <f t="shared" ref="F764:F775" si="109">(D764+E764)</f>
        <v>191727.84600000002</v>
      </c>
      <c r="G764" s="67">
        <f t="shared" ref="G764:G775" si="110">SUM(H821:Q821)</f>
        <v>21491.056</v>
      </c>
      <c r="H764" s="67">
        <f t="shared" ref="H764:H775" si="111">+F764+G764</f>
        <v>213218.90200000003</v>
      </c>
      <c r="I764" s="67">
        <f t="shared" ref="I764:I771" si="112">(E875)</f>
        <v>0</v>
      </c>
      <c r="J764" s="67">
        <f t="shared" ref="J764:J775" si="113">(H764-I764)</f>
        <v>213218.90200000003</v>
      </c>
      <c r="K764" s="67" t="s">
        <v>2435</v>
      </c>
      <c r="L764" s="67">
        <f>+B739/31/1.98</f>
        <v>2063.6526555881396</v>
      </c>
      <c r="M764" s="67">
        <f>(B764*43560/31/24/3600)</f>
        <v>1126.3083333333334</v>
      </c>
      <c r="N764" s="67">
        <f>+B255</f>
        <v>0</v>
      </c>
      <c r="O764" s="67"/>
      <c r="P764" s="67"/>
      <c r="Q764" s="67"/>
      <c r="R764" s="67"/>
    </row>
    <row r="765" spans="1:18" ht="15.75" customHeight="1" x14ac:dyDescent="0.3">
      <c r="A765" s="70" t="s">
        <v>706</v>
      </c>
      <c r="B765" s="67">
        <f t="shared" si="105"/>
        <v>32024</v>
      </c>
      <c r="C765" s="67">
        <f t="shared" si="106"/>
        <v>1607</v>
      </c>
      <c r="D765" s="67">
        <f t="shared" si="107"/>
        <v>51462.567999999999</v>
      </c>
      <c r="E765" s="67">
        <f t="shared" si="108"/>
        <v>81686.744999999995</v>
      </c>
      <c r="F765" s="67">
        <f t="shared" si="109"/>
        <v>133149.31299999999</v>
      </c>
      <c r="G765" s="67">
        <f t="shared" si="110"/>
        <v>21033.853000000003</v>
      </c>
      <c r="H765" s="67">
        <f t="shared" si="111"/>
        <v>154183.166</v>
      </c>
      <c r="I765" s="67">
        <f t="shared" si="112"/>
        <v>0</v>
      </c>
      <c r="J765" s="67">
        <f t="shared" si="113"/>
        <v>154183.166</v>
      </c>
      <c r="K765" s="67" t="s">
        <v>2435</v>
      </c>
      <c r="L765" s="67">
        <f>+B740/28/1.98</f>
        <v>1646.4646464646464</v>
      </c>
      <c r="M765" s="67">
        <f>(B765*43560/29/24/3600)</f>
        <v>556.73908045977009</v>
      </c>
      <c r="N765" s="67">
        <f>+C255</f>
        <v>0</v>
      </c>
      <c r="O765" s="67"/>
      <c r="P765" s="67"/>
      <c r="Q765" s="67"/>
      <c r="R765" s="67"/>
    </row>
    <row r="766" spans="1:18" ht="15.75" customHeight="1" x14ac:dyDescent="0.3">
      <c r="A766" s="70" t="s">
        <v>707</v>
      </c>
      <c r="B766" s="67">
        <f t="shared" si="105"/>
        <v>23237</v>
      </c>
      <c r="C766" s="67">
        <f t="shared" si="106"/>
        <v>1607</v>
      </c>
      <c r="D766" s="67">
        <f t="shared" si="107"/>
        <v>37341.858999999997</v>
      </c>
      <c r="E766" s="67">
        <f t="shared" si="108"/>
        <v>148295.03599999999</v>
      </c>
      <c r="F766" s="67">
        <f t="shared" si="109"/>
        <v>185636.89499999999</v>
      </c>
      <c r="G766" s="67">
        <f t="shared" si="110"/>
        <v>35481.758000000002</v>
      </c>
      <c r="H766" s="67">
        <f t="shared" si="111"/>
        <v>221118.65299999999</v>
      </c>
      <c r="I766" s="67">
        <f t="shared" si="112"/>
        <v>0</v>
      </c>
      <c r="J766" s="67">
        <f t="shared" si="113"/>
        <v>221118.65299999999</v>
      </c>
      <c r="K766" s="67" t="s">
        <v>2435</v>
      </c>
      <c r="L766" s="67">
        <f>+B741/31/1.98</f>
        <v>2118.6379928315414</v>
      </c>
      <c r="M766" s="67">
        <f>(B766*43560/31/24/3600)</f>
        <v>377.91357526881717</v>
      </c>
      <c r="N766" s="67">
        <f>+D255</f>
        <v>0</v>
      </c>
      <c r="O766" s="67"/>
      <c r="P766" s="67"/>
      <c r="Q766" s="67"/>
      <c r="R766" s="67"/>
    </row>
    <row r="767" spans="1:18" ht="15.75" customHeight="1" x14ac:dyDescent="0.3">
      <c r="A767" s="70" t="s">
        <v>1321</v>
      </c>
      <c r="B767" s="67">
        <f t="shared" si="105"/>
        <v>0</v>
      </c>
      <c r="C767" s="67">
        <f t="shared" si="106"/>
        <v>1607</v>
      </c>
      <c r="D767" s="67">
        <f t="shared" si="107"/>
        <v>0</v>
      </c>
      <c r="E767" s="67">
        <f t="shared" si="108"/>
        <v>216642.90100000001</v>
      </c>
      <c r="F767" s="67">
        <f t="shared" si="109"/>
        <v>216642.90100000001</v>
      </c>
      <c r="G767" s="67">
        <f t="shared" si="110"/>
        <v>47074.52</v>
      </c>
      <c r="H767" s="67">
        <f t="shared" si="111"/>
        <v>263717.42100000003</v>
      </c>
      <c r="I767" s="67">
        <f t="shared" si="112"/>
        <v>637.06500000000005</v>
      </c>
      <c r="J767" s="67">
        <f t="shared" si="113"/>
        <v>263080.35600000003</v>
      </c>
      <c r="K767" s="67" t="s">
        <v>2435</v>
      </c>
      <c r="L767" s="67">
        <f>+B742/30/1.98</f>
        <v>2589.4612794612794</v>
      </c>
      <c r="M767" s="67">
        <f>(B767*43560/30/24/3600)</f>
        <v>0</v>
      </c>
      <c r="N767" s="67">
        <f>+F255</f>
        <v>-88.502269288956128</v>
      </c>
      <c r="O767" s="67"/>
      <c r="P767" s="67"/>
      <c r="Q767" s="67"/>
      <c r="R767" s="67"/>
    </row>
    <row r="768" spans="1:18" ht="15.75" customHeight="1" x14ac:dyDescent="0.3">
      <c r="A768" s="70" t="s">
        <v>1905</v>
      </c>
      <c r="B768" s="67">
        <f t="shared" si="105"/>
        <v>794</v>
      </c>
      <c r="C768" s="67">
        <f t="shared" si="106"/>
        <v>1607</v>
      </c>
      <c r="D768" s="67">
        <f t="shared" si="107"/>
        <v>1275.9580000000001</v>
      </c>
      <c r="E768" s="67">
        <f t="shared" si="108"/>
        <v>236066.59299999999</v>
      </c>
      <c r="F768" s="67">
        <f t="shared" si="109"/>
        <v>237342.55100000001</v>
      </c>
      <c r="G768" s="67">
        <f t="shared" si="110"/>
        <v>42753.418000000005</v>
      </c>
      <c r="H768" s="67">
        <f t="shared" si="111"/>
        <v>280095.96900000004</v>
      </c>
      <c r="I768" s="67">
        <f t="shared" si="112"/>
        <v>285.68099999999998</v>
      </c>
      <c r="J768" s="67">
        <f t="shared" si="113"/>
        <v>279810.28800000006</v>
      </c>
      <c r="K768" s="67" t="s">
        <v>2435</v>
      </c>
      <c r="L768" s="67">
        <f>+B743/31/1.98</f>
        <v>2780.7917888563052</v>
      </c>
      <c r="M768" s="67">
        <f>(B768*43560/31/24/3600)</f>
        <v>12.913172043010752</v>
      </c>
      <c r="N768" s="67">
        <f>+G255</f>
        <v>-38.407105558537893</v>
      </c>
      <c r="O768" s="67"/>
      <c r="P768" s="67"/>
      <c r="Q768" s="67"/>
      <c r="R768" s="67"/>
    </row>
    <row r="769" spans="1:18" ht="15.75" customHeight="1" x14ac:dyDescent="0.3">
      <c r="A769" s="70" t="s">
        <v>1906</v>
      </c>
      <c r="B769" s="67">
        <f t="shared" si="105"/>
        <v>0</v>
      </c>
      <c r="C769" s="67">
        <f t="shared" si="106"/>
        <v>1607</v>
      </c>
      <c r="D769" s="67">
        <f t="shared" si="107"/>
        <v>0</v>
      </c>
      <c r="E769" s="67">
        <f t="shared" si="108"/>
        <v>239384.66399999999</v>
      </c>
      <c r="F769" s="67">
        <f t="shared" si="109"/>
        <v>239384.66399999999</v>
      </c>
      <c r="G769" s="67">
        <f t="shared" si="110"/>
        <v>45278.075999999994</v>
      </c>
      <c r="H769" s="67">
        <f t="shared" si="111"/>
        <v>284662.74</v>
      </c>
      <c r="I769" s="67">
        <f t="shared" si="112"/>
        <v>4835.7650000000003</v>
      </c>
      <c r="J769" s="67">
        <f t="shared" si="113"/>
        <v>279826.97499999998</v>
      </c>
      <c r="K769" s="67" t="s">
        <v>2435</v>
      </c>
      <c r="L769" s="67">
        <f>+B744/30/1.98</f>
        <v>2900.3872053872051</v>
      </c>
      <c r="M769" s="67">
        <f t="shared" ref="M769:M774" si="114">(B769*43560/30/24/3600)</f>
        <v>0</v>
      </c>
      <c r="N769" s="67">
        <f>+H255</f>
        <v>-671.79357875273161</v>
      </c>
      <c r="O769" s="67"/>
      <c r="P769" s="67"/>
      <c r="Q769" s="67"/>
      <c r="R769" s="67"/>
    </row>
    <row r="770" spans="1:18" ht="15.75" customHeight="1" x14ac:dyDescent="0.3">
      <c r="A770" s="70" t="s">
        <v>1907</v>
      </c>
      <c r="B770" s="67">
        <f t="shared" si="105"/>
        <v>0</v>
      </c>
      <c r="C770" s="67">
        <f t="shared" si="106"/>
        <v>1607</v>
      </c>
      <c r="D770" s="67">
        <f t="shared" si="107"/>
        <v>0</v>
      </c>
      <c r="E770" s="67">
        <f t="shared" si="108"/>
        <v>69882.398000000001</v>
      </c>
      <c r="F770" s="67">
        <f t="shared" si="109"/>
        <v>69882.398000000001</v>
      </c>
      <c r="G770" s="67">
        <f t="shared" si="110"/>
        <v>45622.32</v>
      </c>
      <c r="H770" s="67">
        <f t="shared" si="111"/>
        <v>115504.71799999999</v>
      </c>
      <c r="I770" s="67">
        <f t="shared" si="112"/>
        <v>20295.088</v>
      </c>
      <c r="J770" s="67">
        <f t="shared" si="113"/>
        <v>95209.62999999999</v>
      </c>
      <c r="K770" s="67" t="s">
        <v>2435</v>
      </c>
      <c r="L770" s="67">
        <f>+B745/31/1.98</f>
        <v>883.47996089931576</v>
      </c>
      <c r="M770" s="67">
        <f t="shared" si="114"/>
        <v>0</v>
      </c>
      <c r="N770" s="67">
        <f>+J255</f>
        <v>-2728.4824231776552</v>
      </c>
      <c r="O770" s="67"/>
      <c r="P770" s="67"/>
      <c r="Q770" s="67"/>
      <c r="R770" s="67"/>
    </row>
    <row r="771" spans="1:18" ht="15.75" customHeight="1" x14ac:dyDescent="0.3">
      <c r="A771" s="70" t="s">
        <v>1908</v>
      </c>
      <c r="B771" s="67">
        <f t="shared" si="105"/>
        <v>0</v>
      </c>
      <c r="C771" s="67">
        <f t="shared" si="106"/>
        <v>1607</v>
      </c>
      <c r="D771" s="67">
        <f t="shared" si="107"/>
        <v>0</v>
      </c>
      <c r="E771" s="67">
        <f t="shared" si="108"/>
        <v>117342.545</v>
      </c>
      <c r="F771" s="67">
        <f t="shared" si="109"/>
        <v>117342.545</v>
      </c>
      <c r="G771" s="67">
        <f t="shared" si="110"/>
        <v>44562.156000000003</v>
      </c>
      <c r="H771" s="67">
        <f t="shared" si="111"/>
        <v>161904.701</v>
      </c>
      <c r="I771" s="67">
        <f t="shared" si="112"/>
        <v>12934.295</v>
      </c>
      <c r="J771" s="67">
        <f t="shared" si="113"/>
        <v>148970.40599999999</v>
      </c>
      <c r="K771" s="67" t="s">
        <v>2435</v>
      </c>
      <c r="L771" s="67">
        <f>+B746/31/1.98</f>
        <v>1430.7429130009775</v>
      </c>
      <c r="M771" s="67">
        <f t="shared" si="114"/>
        <v>0</v>
      </c>
      <c r="N771" s="67">
        <f>+K255</f>
        <v>-1738.8934979584531</v>
      </c>
      <c r="O771" s="67"/>
      <c r="P771" s="67"/>
      <c r="Q771" s="67"/>
      <c r="R771" s="67"/>
    </row>
    <row r="772" spans="1:18" ht="15.75" customHeight="1" x14ac:dyDescent="0.3">
      <c r="A772" s="70" t="s">
        <v>2352</v>
      </c>
      <c r="B772" s="67">
        <f t="shared" si="105"/>
        <v>15215</v>
      </c>
      <c r="C772" s="67">
        <f t="shared" si="106"/>
        <v>1607</v>
      </c>
      <c r="D772" s="67">
        <f t="shared" si="107"/>
        <v>24450.505000000001</v>
      </c>
      <c r="E772" s="67">
        <f t="shared" si="108"/>
        <v>210905.81400000001</v>
      </c>
      <c r="F772" s="67">
        <f t="shared" si="109"/>
        <v>235356.31900000002</v>
      </c>
      <c r="G772" s="67">
        <f t="shared" si="110"/>
        <v>34629.377999999997</v>
      </c>
      <c r="H772" s="67">
        <f t="shared" si="111"/>
        <v>269985.69700000004</v>
      </c>
      <c r="I772" s="67">
        <v>0</v>
      </c>
      <c r="J772" s="67">
        <f t="shared" si="113"/>
        <v>269985.69700000004</v>
      </c>
      <c r="K772" s="67" t="s">
        <v>2435</v>
      </c>
      <c r="L772" s="67">
        <f>+B747/30/1.98</f>
        <v>2834.5454545454545</v>
      </c>
      <c r="M772" s="67">
        <f t="shared" si="114"/>
        <v>255.69652777777779</v>
      </c>
      <c r="N772" s="67">
        <f>+L255</f>
        <v>-310.95982518070264</v>
      </c>
      <c r="O772" s="67"/>
      <c r="P772" s="67"/>
      <c r="Q772" s="67"/>
      <c r="R772" s="67"/>
    </row>
    <row r="773" spans="1:18" ht="15.75" customHeight="1" x14ac:dyDescent="0.3">
      <c r="A773" s="70" t="s">
        <v>2353</v>
      </c>
      <c r="B773" s="67">
        <f t="shared" si="105"/>
        <v>55015</v>
      </c>
      <c r="C773" s="67">
        <f t="shared" si="106"/>
        <v>1607</v>
      </c>
      <c r="D773" s="67">
        <f t="shared" si="107"/>
        <v>88409.104999999996</v>
      </c>
      <c r="E773" s="67">
        <f t="shared" si="108"/>
        <v>150585.62299999999</v>
      </c>
      <c r="F773" s="67">
        <f t="shared" si="109"/>
        <v>238994.728</v>
      </c>
      <c r="G773" s="67">
        <f t="shared" si="110"/>
        <v>13775.88</v>
      </c>
      <c r="H773" s="67">
        <f t="shared" si="111"/>
        <v>252770.60800000001</v>
      </c>
      <c r="I773" s="67">
        <v>0</v>
      </c>
      <c r="J773" s="67">
        <f t="shared" si="113"/>
        <v>252770.60800000001</v>
      </c>
      <c r="K773" s="67" t="s">
        <v>2435</v>
      </c>
      <c r="L773" s="67">
        <f>+B748/31/1.98</f>
        <v>2691.9354838709678</v>
      </c>
      <c r="M773" s="67">
        <f t="shared" si="114"/>
        <v>924.55763888888885</v>
      </c>
      <c r="N773" s="67">
        <f>+N255</f>
        <v>0</v>
      </c>
      <c r="O773" s="67"/>
      <c r="P773" s="67"/>
      <c r="Q773" s="67"/>
      <c r="R773" s="67"/>
    </row>
    <row r="774" spans="1:18" ht="15.75" customHeight="1" x14ac:dyDescent="0.3">
      <c r="A774" s="70" t="s">
        <v>2354</v>
      </c>
      <c r="B774" s="67">
        <f t="shared" si="105"/>
        <v>64395</v>
      </c>
      <c r="C774" s="67">
        <f t="shared" si="106"/>
        <v>1607</v>
      </c>
      <c r="D774" s="67">
        <f t="shared" si="107"/>
        <v>103482.765</v>
      </c>
      <c r="E774" s="67">
        <f t="shared" si="108"/>
        <v>120535.053</v>
      </c>
      <c r="F774" s="67">
        <f t="shared" si="109"/>
        <v>224017.818</v>
      </c>
      <c r="G774" s="67">
        <f t="shared" si="110"/>
        <v>20342.895000000004</v>
      </c>
      <c r="H774" s="67">
        <f t="shared" si="111"/>
        <v>244360.71299999999</v>
      </c>
      <c r="I774" s="67">
        <f>(E885)</f>
        <v>0</v>
      </c>
      <c r="J774" s="67">
        <f t="shared" si="113"/>
        <v>244360.71299999999</v>
      </c>
      <c r="K774" s="67" t="s">
        <v>2435</v>
      </c>
      <c r="L774" s="67">
        <f>+B749/30/1.98</f>
        <v>2552.8282828282831</v>
      </c>
      <c r="M774" s="67">
        <f t="shared" si="114"/>
        <v>1082.1937499999999</v>
      </c>
      <c r="N774" s="67">
        <f>+O255</f>
        <v>0</v>
      </c>
      <c r="O774" s="67"/>
      <c r="P774" s="67"/>
      <c r="Q774" s="67"/>
      <c r="R774" s="67"/>
    </row>
    <row r="775" spans="1:18" ht="15.75" customHeight="1" x14ac:dyDescent="0.3">
      <c r="A775" s="70" t="s">
        <v>2355</v>
      </c>
      <c r="B775" s="67">
        <f t="shared" si="105"/>
        <v>104913</v>
      </c>
      <c r="C775" s="67">
        <f t="shared" si="106"/>
        <v>1607</v>
      </c>
      <c r="D775" s="67">
        <f t="shared" si="107"/>
        <v>168595.19099999999</v>
      </c>
      <c r="E775" s="67">
        <f t="shared" si="108"/>
        <v>113713.08500000001</v>
      </c>
      <c r="F775" s="67">
        <f t="shared" si="109"/>
        <v>282308.27600000001</v>
      </c>
      <c r="G775" s="67">
        <f t="shared" si="110"/>
        <v>12588.699000000001</v>
      </c>
      <c r="H775" s="67">
        <f t="shared" si="111"/>
        <v>294896.97500000003</v>
      </c>
      <c r="I775" s="67">
        <f>(E886)</f>
        <v>0</v>
      </c>
      <c r="J775" s="67">
        <f t="shared" si="113"/>
        <v>294896.97500000003</v>
      </c>
      <c r="K775" s="67" t="s">
        <v>2435</v>
      </c>
      <c r="L775" s="67">
        <f>+B750/31/1.98</f>
        <v>3087.5529488432712</v>
      </c>
      <c r="M775" s="67">
        <f>(B775*43560/31/24/3600)</f>
        <v>1706.2463709677418</v>
      </c>
      <c r="N775" s="67">
        <f>+P255</f>
        <v>0</v>
      </c>
      <c r="O775" s="67"/>
      <c r="P775" s="67"/>
      <c r="Q775" s="67"/>
      <c r="R775" s="67"/>
    </row>
    <row r="776" spans="1:18" ht="15.75" customHeight="1" x14ac:dyDescent="0.3">
      <c r="A776" s="67"/>
      <c r="B776" s="67"/>
      <c r="C776" s="67"/>
      <c r="D776" s="67"/>
      <c r="E776" s="67"/>
      <c r="F776" s="67"/>
      <c r="G776" s="67"/>
      <c r="H776" s="67"/>
      <c r="I776" s="67"/>
      <c r="J776" s="67"/>
      <c r="K776" s="67" t="s">
        <v>2435</v>
      </c>
      <c r="L776" s="67"/>
      <c r="M776" s="67"/>
      <c r="N776" s="67"/>
      <c r="O776" s="67"/>
      <c r="P776" s="67"/>
      <c r="Q776" s="67"/>
      <c r="R776" s="67"/>
    </row>
    <row r="777" spans="1:18" ht="15.75" customHeight="1" x14ac:dyDescent="0.3">
      <c r="A777" s="67" t="s">
        <v>2356</v>
      </c>
      <c r="B777" s="67">
        <f>SUM(B764:B775)</f>
        <v>364847</v>
      </c>
      <c r="C777" s="67"/>
      <c r="D777" s="67">
        <f t="shared" ref="D777:J777" si="115">SUM(D764:D775)</f>
        <v>586309.12899999996</v>
      </c>
      <c r="E777" s="67">
        <f t="shared" si="115"/>
        <v>1785477.125</v>
      </c>
      <c r="F777" s="67">
        <f t="shared" si="115"/>
        <v>2371786.2540000002</v>
      </c>
      <c r="G777" s="67">
        <f t="shared" si="115"/>
        <v>384634.00900000008</v>
      </c>
      <c r="H777" s="67">
        <f t="shared" si="115"/>
        <v>2756420.2630000003</v>
      </c>
      <c r="I777" s="67">
        <f t="shared" si="115"/>
        <v>38987.894</v>
      </c>
      <c r="J777" s="67">
        <f t="shared" si="115"/>
        <v>2717432.3690000004</v>
      </c>
      <c r="K777" s="67"/>
      <c r="L777" s="67"/>
      <c r="M777" s="67"/>
      <c r="N777" s="67"/>
      <c r="O777" s="67"/>
      <c r="P777" s="67"/>
      <c r="Q777" s="67"/>
      <c r="R777" s="67"/>
    </row>
    <row r="778" spans="1:18" ht="15.75" customHeight="1" x14ac:dyDescent="0.3">
      <c r="A778" s="67"/>
      <c r="B778" s="67"/>
      <c r="C778" s="67"/>
      <c r="D778" s="67"/>
      <c r="E778" s="67"/>
      <c r="F778" s="67"/>
      <c r="G778" s="67"/>
      <c r="H778" s="67"/>
      <c r="I778" s="67"/>
      <c r="J778" s="67"/>
      <c r="K778" s="67"/>
      <c r="L778" s="67"/>
      <c r="M778" s="67"/>
      <c r="N778" s="67"/>
      <c r="O778" s="67"/>
      <c r="P778" s="67"/>
      <c r="Q778" s="67"/>
      <c r="R778" s="67"/>
    </row>
    <row r="779" spans="1:18" ht="15.75" customHeight="1" x14ac:dyDescent="0.3">
      <c r="A779" s="67" t="s">
        <v>1696</v>
      </c>
      <c r="B779" s="67"/>
      <c r="C779" s="67"/>
      <c r="D779" s="67"/>
      <c r="E779" s="67"/>
      <c r="F779" s="67"/>
      <c r="G779" s="67"/>
      <c r="H779" s="67"/>
      <c r="I779" s="67"/>
      <c r="J779" s="67"/>
      <c r="K779" s="67"/>
      <c r="L779" s="67"/>
      <c r="M779" s="67"/>
      <c r="N779" s="67"/>
      <c r="O779" s="67"/>
      <c r="P779" s="67"/>
      <c r="Q779" s="67"/>
      <c r="R779" s="67"/>
    </row>
    <row r="780" spans="1:18" ht="15.75" customHeight="1" x14ac:dyDescent="0.3">
      <c r="A780" s="67" t="s">
        <v>785</v>
      </c>
      <c r="B780" s="67"/>
      <c r="C780" s="67"/>
      <c r="D780" s="67"/>
      <c r="E780" s="67"/>
      <c r="F780" s="67"/>
      <c r="G780" s="67"/>
      <c r="H780" s="67"/>
      <c r="I780" s="67"/>
      <c r="J780" s="67"/>
      <c r="K780" s="67"/>
      <c r="L780" s="67"/>
      <c r="M780" s="67"/>
      <c r="N780" s="67"/>
      <c r="O780" s="67"/>
      <c r="P780" s="67"/>
      <c r="Q780" s="67"/>
      <c r="R780" s="67"/>
    </row>
    <row r="781" spans="1:18" ht="15.75" customHeight="1" x14ac:dyDescent="0.3">
      <c r="A781" s="67"/>
      <c r="B781" s="67"/>
      <c r="C781" s="67"/>
      <c r="D781" s="67"/>
      <c r="E781" s="67"/>
      <c r="F781" s="67"/>
      <c r="G781" s="67"/>
      <c r="H781" s="67"/>
      <c r="I781" s="67"/>
      <c r="J781" s="67"/>
      <c r="K781" s="67"/>
      <c r="L781" s="67"/>
      <c r="M781" s="67"/>
      <c r="N781" s="67"/>
      <c r="O781" s="67"/>
      <c r="P781" s="67"/>
      <c r="Q781" s="67"/>
      <c r="R781" s="67"/>
    </row>
    <row r="782" spans="1:18" ht="15.75" customHeight="1" x14ac:dyDescent="0.3">
      <c r="A782" s="67" t="s">
        <v>440</v>
      </c>
      <c r="B782" s="67"/>
      <c r="C782" s="67"/>
      <c r="D782" s="67"/>
      <c r="E782" s="67"/>
      <c r="F782" s="67"/>
      <c r="G782" s="67"/>
      <c r="H782" s="67"/>
      <c r="I782" s="67"/>
      <c r="J782" s="67"/>
      <c r="K782" s="67"/>
      <c r="L782" s="67"/>
      <c r="M782" s="67"/>
      <c r="N782" s="67"/>
      <c r="O782" s="67"/>
      <c r="P782" s="67"/>
      <c r="Q782" s="67"/>
      <c r="R782" s="67"/>
    </row>
    <row r="783" spans="1:18" ht="15.75" customHeight="1" x14ac:dyDescent="0.3">
      <c r="A783" s="67"/>
      <c r="B783" s="67"/>
      <c r="C783" s="67"/>
      <c r="D783" s="67"/>
      <c r="E783" s="67"/>
      <c r="F783" s="67"/>
      <c r="G783" s="67"/>
      <c r="H783" s="67"/>
      <c r="I783" s="67"/>
      <c r="J783" s="67"/>
      <c r="K783" s="67"/>
      <c r="L783" s="67"/>
      <c r="M783" s="67"/>
      <c r="N783" s="67"/>
      <c r="O783" s="67"/>
      <c r="P783" s="67"/>
      <c r="Q783" s="67"/>
      <c r="R783" s="67"/>
    </row>
    <row r="784" spans="1:18" ht="15.75" customHeight="1" x14ac:dyDescent="0.3">
      <c r="A784" s="67" t="s">
        <v>1480</v>
      </c>
      <c r="B784" s="67"/>
      <c r="C784" s="67"/>
      <c r="D784" s="67"/>
      <c r="E784" s="67"/>
      <c r="F784" s="67"/>
      <c r="G784" s="67"/>
      <c r="H784" s="67"/>
      <c r="I784" s="67"/>
      <c r="J784" s="67"/>
      <c r="K784" s="67"/>
      <c r="L784" s="67"/>
      <c r="M784" s="67"/>
      <c r="N784" s="67"/>
      <c r="O784" s="67"/>
      <c r="P784" s="67"/>
      <c r="Q784" s="67"/>
      <c r="R784" s="67"/>
    </row>
    <row r="785" spans="1:18" ht="15.75" customHeight="1" x14ac:dyDescent="0.3">
      <c r="A785" s="67"/>
      <c r="B785" s="67"/>
      <c r="C785" s="67"/>
      <c r="D785" s="67"/>
      <c r="E785" s="67"/>
      <c r="F785" s="67"/>
      <c r="G785" s="67"/>
      <c r="H785" s="67"/>
      <c r="I785" s="67"/>
      <c r="J785" s="67"/>
      <c r="K785" s="67"/>
      <c r="L785" s="67"/>
      <c r="M785" s="67"/>
      <c r="N785" s="67"/>
      <c r="O785" s="67"/>
      <c r="P785" s="67"/>
      <c r="Q785" s="67"/>
      <c r="R785" s="67"/>
    </row>
    <row r="786" spans="1:18" ht="15.75" customHeight="1" x14ac:dyDescent="0.3">
      <c r="A786" s="67"/>
      <c r="B786" s="67"/>
      <c r="C786" s="67"/>
      <c r="D786" s="71" t="s">
        <v>1898</v>
      </c>
      <c r="E786" s="67"/>
      <c r="F786" s="67"/>
      <c r="G786" s="67"/>
      <c r="H786" s="67"/>
      <c r="I786" s="67"/>
      <c r="J786" s="67"/>
      <c r="K786" s="67"/>
      <c r="L786" s="67"/>
      <c r="M786" s="67"/>
      <c r="N786" s="67"/>
      <c r="O786" s="67"/>
      <c r="P786" s="67"/>
      <c r="Q786" s="71" t="str">
        <f>+Q1</f>
        <v>PRINTED:</v>
      </c>
      <c r="R786" s="77">
        <f ca="1">+R1</f>
        <v>44881.72963425926</v>
      </c>
    </row>
    <row r="787" spans="1:18" ht="15.75" customHeight="1" x14ac:dyDescent="0.3">
      <c r="A787" s="67"/>
      <c r="B787" s="67"/>
      <c r="C787" s="67"/>
      <c r="D787" s="67"/>
      <c r="E787" s="67" t="s">
        <v>852</v>
      </c>
      <c r="F787" s="69" t="str">
        <f>+A9</f>
        <v>Revised:  1/24/11</v>
      </c>
      <c r="G787" s="67"/>
      <c r="H787" s="67"/>
      <c r="I787" s="67"/>
      <c r="J787" s="67"/>
      <c r="K787" s="67"/>
      <c r="L787" s="67"/>
      <c r="M787" s="67"/>
      <c r="N787" s="67"/>
      <c r="O787" s="67"/>
      <c r="P787" s="67"/>
      <c r="Q787" s="67"/>
      <c r="R787" s="67"/>
    </row>
    <row r="788" spans="1:18" ht="15.75" customHeight="1" x14ac:dyDescent="0.3">
      <c r="A788" s="67"/>
      <c r="C788" s="67"/>
      <c r="D788" s="67" t="s">
        <v>2126</v>
      </c>
      <c r="E788" s="67"/>
      <c r="F788" s="67"/>
      <c r="G788" s="67"/>
      <c r="H788" s="67"/>
      <c r="I788" s="67"/>
      <c r="J788" s="67"/>
      <c r="K788" s="67"/>
      <c r="L788" s="67"/>
      <c r="M788" s="67"/>
      <c r="N788" s="67"/>
      <c r="O788" s="67"/>
      <c r="P788" s="67"/>
      <c r="Q788" s="67"/>
      <c r="R788" s="67"/>
    </row>
    <row r="789" spans="1:18" ht="15.75" customHeight="1" x14ac:dyDescent="0.3">
      <c r="A789" s="67"/>
      <c r="B789" s="67"/>
      <c r="C789" s="67"/>
      <c r="D789" s="67"/>
      <c r="E789" s="67"/>
      <c r="F789" s="67"/>
      <c r="G789" s="67"/>
      <c r="H789" s="67"/>
      <c r="I789" s="67"/>
      <c r="J789" s="67"/>
      <c r="K789" s="67"/>
      <c r="L789" s="67"/>
      <c r="M789" s="67"/>
      <c r="N789" s="67"/>
      <c r="O789" s="67"/>
      <c r="P789" s="67"/>
      <c r="Q789" s="67"/>
      <c r="R789" s="67"/>
    </row>
    <row r="790" spans="1:18" ht="15.75" customHeight="1" x14ac:dyDescent="0.3">
      <c r="A790" s="67"/>
      <c r="B790" s="67"/>
      <c r="C790" s="67"/>
      <c r="D790" s="67"/>
      <c r="E790" s="67" t="str">
        <f>+A5</f>
        <v>Calendar Year 2010</v>
      </c>
      <c r="F790" s="67"/>
      <c r="G790" s="67"/>
      <c r="H790" s="67"/>
      <c r="I790" s="67"/>
      <c r="J790" s="67"/>
      <c r="K790" s="67"/>
      <c r="L790" s="67"/>
      <c r="M790" s="67"/>
      <c r="N790" s="67"/>
      <c r="O790" s="67"/>
      <c r="P790" s="67"/>
      <c r="Q790" s="67"/>
      <c r="R790" s="67"/>
    </row>
    <row r="791" spans="1:18" ht="15.75" customHeight="1" x14ac:dyDescent="0.3">
      <c r="A791" s="67"/>
      <c r="B791" s="67"/>
      <c r="C791" s="67"/>
      <c r="D791" s="67"/>
      <c r="E791" s="67" t="s">
        <v>1271</v>
      </c>
      <c r="F791" s="67"/>
      <c r="G791" s="67"/>
      <c r="H791" s="67"/>
      <c r="I791" s="67"/>
      <c r="J791" s="67"/>
      <c r="K791" s="67"/>
      <c r="L791" s="67"/>
      <c r="M791" s="67"/>
      <c r="N791" s="67"/>
      <c r="O791" s="67"/>
      <c r="P791" s="67"/>
      <c r="Q791" s="67"/>
      <c r="R791" s="67"/>
    </row>
    <row r="792" spans="1:18" ht="15.75" customHeight="1" x14ac:dyDescent="0.3">
      <c r="A792" s="67"/>
      <c r="B792" s="67"/>
      <c r="C792" s="67"/>
      <c r="D792" s="67"/>
      <c r="E792" s="67"/>
      <c r="F792" s="67"/>
      <c r="G792" s="67"/>
      <c r="H792" s="67"/>
      <c r="I792" s="67"/>
      <c r="J792" s="67"/>
      <c r="K792" s="67"/>
      <c r="L792" s="67"/>
      <c r="M792" s="67"/>
      <c r="N792" s="67"/>
      <c r="O792" s="67"/>
      <c r="P792" s="67"/>
      <c r="Q792" s="67"/>
      <c r="R792" s="67"/>
    </row>
    <row r="793" spans="1:18" ht="15.75" customHeight="1" x14ac:dyDescent="0.3">
      <c r="A793" s="67" t="s">
        <v>1307</v>
      </c>
      <c r="B793" s="70" t="s">
        <v>1308</v>
      </c>
      <c r="C793" s="70" t="s">
        <v>1309</v>
      </c>
      <c r="D793" s="70" t="s">
        <v>1029</v>
      </c>
      <c r="E793" s="70" t="s">
        <v>1030</v>
      </c>
      <c r="F793" s="70" t="s">
        <v>284</v>
      </c>
      <c r="G793" s="70" t="s">
        <v>284</v>
      </c>
      <c r="H793" s="70" t="s">
        <v>285</v>
      </c>
      <c r="I793" s="70" t="s">
        <v>286</v>
      </c>
      <c r="J793" s="70" t="s">
        <v>287</v>
      </c>
      <c r="K793" s="70" t="s">
        <v>288</v>
      </c>
      <c r="L793" s="70" t="s">
        <v>289</v>
      </c>
      <c r="M793" s="70" t="s">
        <v>633</v>
      </c>
      <c r="N793" s="70" t="s">
        <v>634</v>
      </c>
      <c r="O793" s="70" t="s">
        <v>1192</v>
      </c>
      <c r="P793" s="70" t="s">
        <v>524</v>
      </c>
      <c r="Q793" s="70" t="s">
        <v>525</v>
      </c>
      <c r="R793" s="67"/>
    </row>
    <row r="794" spans="1:18" ht="15.75" customHeight="1" x14ac:dyDescent="0.3">
      <c r="A794" s="67" t="s">
        <v>526</v>
      </c>
      <c r="B794" s="67"/>
      <c r="C794" s="67"/>
      <c r="D794" s="67"/>
      <c r="E794" s="67"/>
      <c r="F794" s="70" t="s">
        <v>1193</v>
      </c>
      <c r="G794" s="70" t="s">
        <v>1194</v>
      </c>
      <c r="H794" s="67"/>
      <c r="I794" s="67"/>
      <c r="J794" s="67"/>
      <c r="K794" s="67"/>
      <c r="L794" s="67"/>
      <c r="M794" s="67"/>
      <c r="N794" s="67"/>
      <c r="O794" s="67"/>
      <c r="P794" s="67"/>
      <c r="Q794" s="67"/>
      <c r="R794" s="67"/>
    </row>
    <row r="795" spans="1:18" ht="15.75" customHeight="1" x14ac:dyDescent="0.3">
      <c r="A795" s="67" t="s">
        <v>1195</v>
      </c>
      <c r="B795" s="67">
        <v>953</v>
      </c>
      <c r="C795" s="67">
        <v>128</v>
      </c>
      <c r="D795" s="67">
        <v>128</v>
      </c>
      <c r="E795" s="67">
        <v>219</v>
      </c>
      <c r="F795" s="67">
        <v>179</v>
      </c>
      <c r="G795" s="67">
        <v>121</v>
      </c>
      <c r="H795" s="67">
        <v>92</v>
      </c>
      <c r="I795" s="67">
        <v>150</v>
      </c>
      <c r="J795" s="67">
        <v>237</v>
      </c>
      <c r="K795" s="67">
        <v>226</v>
      </c>
      <c r="L795" s="67">
        <v>99</v>
      </c>
      <c r="M795" s="67">
        <v>102</v>
      </c>
      <c r="N795" s="67">
        <v>249</v>
      </c>
      <c r="O795" s="67">
        <v>189</v>
      </c>
      <c r="P795" s="67">
        <v>333</v>
      </c>
      <c r="Q795" s="67">
        <v>411</v>
      </c>
      <c r="R795" s="67"/>
    </row>
    <row r="796" spans="1:18" ht="15.75" customHeight="1" x14ac:dyDescent="0.3">
      <c r="A796" s="67"/>
      <c r="B796" s="74" t="s">
        <v>1353</v>
      </c>
      <c r="C796" s="74" t="s">
        <v>1353</v>
      </c>
      <c r="D796" s="74" t="s">
        <v>1353</v>
      </c>
      <c r="E796" s="74" t="s">
        <v>1353</v>
      </c>
      <c r="F796" s="74" t="s">
        <v>1353</v>
      </c>
      <c r="G796" s="74" t="s">
        <v>1353</v>
      </c>
      <c r="H796" s="74" t="s">
        <v>1353</v>
      </c>
      <c r="I796" s="74" t="s">
        <v>1353</v>
      </c>
      <c r="J796" s="74" t="s">
        <v>1353</v>
      </c>
      <c r="K796" s="74" t="s">
        <v>1353</v>
      </c>
      <c r="L796" s="74" t="s">
        <v>1353</v>
      </c>
      <c r="M796" s="74" t="s">
        <v>1353</v>
      </c>
      <c r="N796" s="74" t="s">
        <v>1353</v>
      </c>
      <c r="O796" s="74" t="s">
        <v>1353</v>
      </c>
      <c r="P796" s="74" t="s">
        <v>1353</v>
      </c>
      <c r="Q796" s="74" t="s">
        <v>1353</v>
      </c>
      <c r="R796" s="67"/>
    </row>
    <row r="797" spans="1:18" ht="15.75" customHeight="1" x14ac:dyDescent="0.3">
      <c r="A797" s="70" t="s">
        <v>1354</v>
      </c>
      <c r="B797" s="67">
        <f t="shared" ref="B797:Q797" si="116">(B739/31/1.98)</f>
        <v>2063.6526555881396</v>
      </c>
      <c r="C797" s="67">
        <f t="shared" si="116"/>
        <v>2062.0723362658846</v>
      </c>
      <c r="D797" s="67">
        <f t="shared" si="116"/>
        <v>2060.5083088954057</v>
      </c>
      <c r="E797" s="67">
        <f t="shared" si="116"/>
        <v>1951.1730205278593</v>
      </c>
      <c r="F797" s="67">
        <f t="shared" si="116"/>
        <v>1128.2828282828284</v>
      </c>
      <c r="G797" s="67">
        <f t="shared" si="116"/>
        <v>0</v>
      </c>
      <c r="H797" s="67">
        <f t="shared" si="116"/>
        <v>469.63180188986644</v>
      </c>
      <c r="I797" s="67">
        <f t="shared" si="116"/>
        <v>293.35288367546434</v>
      </c>
      <c r="J797" s="67">
        <f t="shared" si="116"/>
        <v>293.18996415770607</v>
      </c>
      <c r="K797" s="67">
        <f t="shared" si="116"/>
        <v>290.22482893450632</v>
      </c>
      <c r="L797" s="67">
        <f t="shared" si="116"/>
        <v>209.23753665689151</v>
      </c>
      <c r="M797" s="67">
        <f t="shared" si="116"/>
        <v>208.91169762137503</v>
      </c>
      <c r="N797" s="67">
        <f t="shared" si="116"/>
        <v>208.74877810361681</v>
      </c>
      <c r="O797" s="67">
        <f t="shared" si="116"/>
        <v>21.212121212121211</v>
      </c>
      <c r="P797" s="67">
        <f t="shared" si="116"/>
        <v>65.281850765721728</v>
      </c>
      <c r="Q797" s="67">
        <f t="shared" si="116"/>
        <v>19.696969696969695</v>
      </c>
      <c r="R797" s="67"/>
    </row>
    <row r="798" spans="1:18" ht="15.75" customHeight="1" x14ac:dyDescent="0.3">
      <c r="A798" s="70" t="s">
        <v>706</v>
      </c>
      <c r="B798" s="67">
        <f t="shared" ref="B798:Q798" si="117">(B740/28/1.98)</f>
        <v>1646.4646464646464</v>
      </c>
      <c r="C798" s="67">
        <f t="shared" si="117"/>
        <v>1643.7950937950939</v>
      </c>
      <c r="D798" s="67">
        <f t="shared" si="117"/>
        <v>1641.1796536796537</v>
      </c>
      <c r="E798" s="67">
        <f t="shared" si="117"/>
        <v>1409.7222222222222</v>
      </c>
      <c r="F798" s="67">
        <f t="shared" si="117"/>
        <v>577.6334776334777</v>
      </c>
      <c r="G798" s="67">
        <f t="shared" si="117"/>
        <v>0</v>
      </c>
      <c r="H798" s="67">
        <f t="shared" si="117"/>
        <v>476.82178932178937</v>
      </c>
      <c r="I798" s="67">
        <f t="shared" si="117"/>
        <v>299.33261183261186</v>
      </c>
      <c r="J798" s="67">
        <f t="shared" si="117"/>
        <v>299.04401154401154</v>
      </c>
      <c r="K798" s="67">
        <f t="shared" si="117"/>
        <v>298.26839826839824</v>
      </c>
      <c r="L798" s="67">
        <f t="shared" si="117"/>
        <v>231.90836940836942</v>
      </c>
      <c r="M798" s="67">
        <f t="shared" si="117"/>
        <v>231.51154401154403</v>
      </c>
      <c r="N798" s="67">
        <f t="shared" si="117"/>
        <v>231.31313131313132</v>
      </c>
      <c r="O798" s="67">
        <f t="shared" si="117"/>
        <v>33.423520923520925</v>
      </c>
      <c r="P798" s="67">
        <f t="shared" si="117"/>
        <v>86.417748917748924</v>
      </c>
      <c r="Q798" s="67">
        <f t="shared" si="117"/>
        <v>31.836219336219337</v>
      </c>
      <c r="R798" s="67"/>
    </row>
    <row r="799" spans="1:18" ht="15.75" customHeight="1" x14ac:dyDescent="0.3">
      <c r="A799" s="70" t="s">
        <v>707</v>
      </c>
      <c r="B799" s="67">
        <f t="shared" ref="B799:Q799" si="118">(B741/31/1.98)</f>
        <v>2118.6379928315414</v>
      </c>
      <c r="C799" s="67">
        <f t="shared" si="118"/>
        <v>2114.1739980449656</v>
      </c>
      <c r="D799" s="67">
        <f t="shared" si="118"/>
        <v>2109.9217986314761</v>
      </c>
      <c r="E799" s="67">
        <f t="shared" si="118"/>
        <v>1812.2189638318671</v>
      </c>
      <c r="F799" s="67">
        <f t="shared" si="118"/>
        <v>378.57608341479312</v>
      </c>
      <c r="G799" s="67">
        <f t="shared" si="118"/>
        <v>0</v>
      </c>
      <c r="H799" s="67">
        <f t="shared" si="118"/>
        <v>1052.9814271749756</v>
      </c>
      <c r="I799" s="67">
        <f t="shared" si="118"/>
        <v>472.41772564353209</v>
      </c>
      <c r="J799" s="67">
        <f t="shared" si="118"/>
        <v>434.76702508960574</v>
      </c>
      <c r="K799" s="67">
        <f t="shared" si="118"/>
        <v>421.58683610296515</v>
      </c>
      <c r="L799" s="67">
        <f t="shared" si="118"/>
        <v>325.70869990224827</v>
      </c>
      <c r="M799" s="67">
        <f t="shared" si="118"/>
        <v>325.25252525252523</v>
      </c>
      <c r="N799" s="67">
        <f t="shared" si="118"/>
        <v>325.02443792766371</v>
      </c>
      <c r="O799" s="67">
        <f t="shared" si="118"/>
        <v>61.779081133919846</v>
      </c>
      <c r="P799" s="67">
        <f t="shared" si="118"/>
        <v>86.184424894102321</v>
      </c>
      <c r="Q799" s="67">
        <f t="shared" si="118"/>
        <v>61.51840990550668</v>
      </c>
      <c r="R799" s="67"/>
    </row>
    <row r="800" spans="1:18" ht="15.75" customHeight="1" x14ac:dyDescent="0.3">
      <c r="A800" s="70" t="s">
        <v>1321</v>
      </c>
      <c r="B800" s="67">
        <f t="shared" ref="B800:Q800" si="119">(B742/30/1.98)</f>
        <v>2589.4612794612794</v>
      </c>
      <c r="C800" s="67">
        <f t="shared" si="119"/>
        <v>2583.2828282828282</v>
      </c>
      <c r="D800" s="67">
        <f t="shared" si="119"/>
        <v>2577.3905723905727</v>
      </c>
      <c r="E800" s="67">
        <f t="shared" si="119"/>
        <v>2369.2424242424245</v>
      </c>
      <c r="F800" s="67">
        <f t="shared" si="119"/>
        <v>0</v>
      </c>
      <c r="G800" s="67">
        <f t="shared" si="119"/>
        <v>-88.63636363636364</v>
      </c>
      <c r="H800" s="67">
        <f t="shared" si="119"/>
        <v>1999.5286195286196</v>
      </c>
      <c r="I800" s="67">
        <f t="shared" si="119"/>
        <v>876.7508417508418</v>
      </c>
      <c r="J800" s="67">
        <f t="shared" si="119"/>
        <v>630.99326599326594</v>
      </c>
      <c r="K800" s="67">
        <f t="shared" si="119"/>
        <v>499.00673400673401</v>
      </c>
      <c r="L800" s="67">
        <f t="shared" si="119"/>
        <v>351.7340067340067</v>
      </c>
      <c r="M800" s="67">
        <f t="shared" si="119"/>
        <v>351.11111111111114</v>
      </c>
      <c r="N800" s="67">
        <f t="shared" si="119"/>
        <v>342.64309764309763</v>
      </c>
      <c r="O800" s="67">
        <f t="shared" si="119"/>
        <v>58.90572390572391</v>
      </c>
      <c r="P800" s="67">
        <f t="shared" si="119"/>
        <v>73.905723905723917</v>
      </c>
      <c r="Q800" s="67">
        <f t="shared" si="119"/>
        <v>55.993265993265993</v>
      </c>
      <c r="R800" s="67"/>
    </row>
    <row r="801" spans="1:18" ht="15.75" customHeight="1" x14ac:dyDescent="0.3">
      <c r="A801" s="70" t="s">
        <v>1905</v>
      </c>
      <c r="B801" s="67">
        <f t="shared" ref="B801:Q801" si="120">(B743/31/1.98)</f>
        <v>2780.7917888563052</v>
      </c>
      <c r="C801" s="67">
        <f t="shared" si="120"/>
        <v>2773.8677093515803</v>
      </c>
      <c r="D801" s="67">
        <f t="shared" si="120"/>
        <v>2767.3183447376996</v>
      </c>
      <c r="E801" s="67">
        <f t="shared" si="120"/>
        <v>2306.353861192571</v>
      </c>
      <c r="F801" s="67">
        <f t="shared" si="120"/>
        <v>12.935809710003259</v>
      </c>
      <c r="G801" s="67">
        <f t="shared" si="120"/>
        <v>-38.465298142717494</v>
      </c>
      <c r="H801" s="67">
        <f t="shared" si="120"/>
        <v>1761.5835777126101</v>
      </c>
      <c r="I801" s="67">
        <f t="shared" si="120"/>
        <v>630.1401107852721</v>
      </c>
      <c r="J801" s="67">
        <f t="shared" si="120"/>
        <v>515.26555881394597</v>
      </c>
      <c r="K801" s="67">
        <f t="shared" si="120"/>
        <v>454.02411208862821</v>
      </c>
      <c r="L801" s="67">
        <f t="shared" si="120"/>
        <v>335.79341805148255</v>
      </c>
      <c r="M801" s="67">
        <f t="shared" si="120"/>
        <v>335.10915607689799</v>
      </c>
      <c r="N801" s="67">
        <f t="shared" si="120"/>
        <v>325.82274356467906</v>
      </c>
      <c r="O801" s="67">
        <f t="shared" si="120"/>
        <v>69.843597262952102</v>
      </c>
      <c r="P801" s="67">
        <f t="shared" si="120"/>
        <v>77.174975562072333</v>
      </c>
      <c r="Q801" s="67">
        <f t="shared" si="120"/>
        <v>67.562724014336922</v>
      </c>
      <c r="R801" s="67"/>
    </row>
    <row r="802" spans="1:18" ht="15.75" customHeight="1" x14ac:dyDescent="0.3">
      <c r="A802" s="70" t="s">
        <v>1906</v>
      </c>
      <c r="B802" s="67">
        <f t="shared" ref="B802:Q802" si="121">(B744/30/1.98)</f>
        <v>2900.3872053872051</v>
      </c>
      <c r="C802" s="67">
        <f t="shared" si="121"/>
        <v>2893.3670033670032</v>
      </c>
      <c r="D802" s="67">
        <f t="shared" si="121"/>
        <v>2886.7003367003367</v>
      </c>
      <c r="E802" s="67">
        <f t="shared" si="121"/>
        <v>2402.4074074074074</v>
      </c>
      <c r="F802" s="67">
        <f t="shared" si="121"/>
        <v>0</v>
      </c>
      <c r="G802" s="67">
        <f t="shared" si="121"/>
        <v>-672.81144781144781</v>
      </c>
      <c r="H802" s="67">
        <f t="shared" si="121"/>
        <v>2445.3703703703704</v>
      </c>
      <c r="I802" s="67">
        <f t="shared" si="121"/>
        <v>806.80134680134677</v>
      </c>
      <c r="J802" s="67">
        <f t="shared" si="121"/>
        <v>543.24915824915831</v>
      </c>
      <c r="K802" s="67">
        <f t="shared" si="121"/>
        <v>403.85521885521888</v>
      </c>
      <c r="L802" s="67">
        <f t="shared" si="121"/>
        <v>293.58585858585855</v>
      </c>
      <c r="M802" s="67">
        <f t="shared" si="121"/>
        <v>292.84511784511784</v>
      </c>
      <c r="N802" s="67">
        <f t="shared" si="121"/>
        <v>280.30303030303031</v>
      </c>
      <c r="O802" s="67">
        <f t="shared" si="121"/>
        <v>66.07744107744108</v>
      </c>
      <c r="P802" s="67">
        <f t="shared" si="121"/>
        <v>84.882154882154879</v>
      </c>
      <c r="Q802" s="67">
        <f t="shared" si="121"/>
        <v>65.101010101010104</v>
      </c>
      <c r="R802" s="67"/>
    </row>
    <row r="803" spans="1:18" ht="15.75" customHeight="1" x14ac:dyDescent="0.3">
      <c r="A803" s="70" t="s">
        <v>1907</v>
      </c>
      <c r="B803" s="67">
        <f t="shared" ref="B803:Q803" si="122">(B745/31/1.98)</f>
        <v>883.47996089931576</v>
      </c>
      <c r="C803" s="67">
        <f t="shared" si="122"/>
        <v>876.70250896057348</v>
      </c>
      <c r="D803" s="67">
        <f t="shared" si="122"/>
        <v>870.2834799608994</v>
      </c>
      <c r="E803" s="67">
        <f t="shared" si="122"/>
        <v>333.10524600847179</v>
      </c>
      <c r="F803" s="67">
        <f t="shared" si="122"/>
        <v>0</v>
      </c>
      <c r="G803" s="67">
        <f t="shared" si="122"/>
        <v>-2732.6164874551973</v>
      </c>
      <c r="H803" s="67">
        <f t="shared" si="122"/>
        <v>2454.2684913652652</v>
      </c>
      <c r="I803" s="67">
        <f t="shared" si="122"/>
        <v>874.04692082111433</v>
      </c>
      <c r="J803" s="67">
        <f t="shared" si="122"/>
        <v>532.94232649071364</v>
      </c>
      <c r="K803" s="67">
        <f t="shared" si="122"/>
        <v>389.01922450309547</v>
      </c>
      <c r="L803" s="67">
        <f t="shared" si="122"/>
        <v>277.82665363310525</v>
      </c>
      <c r="M803" s="67">
        <f t="shared" si="122"/>
        <v>277.19126751384817</v>
      </c>
      <c r="N803" s="67">
        <f t="shared" si="122"/>
        <v>273.3789507983056</v>
      </c>
      <c r="O803" s="67">
        <f t="shared" si="122"/>
        <v>34.734441186054092</v>
      </c>
      <c r="P803" s="67">
        <f t="shared" si="122"/>
        <v>84.636689475399166</v>
      </c>
      <c r="Q803" s="67">
        <f t="shared" si="122"/>
        <v>32.974910394265237</v>
      </c>
      <c r="R803" s="67"/>
    </row>
    <row r="804" spans="1:18" ht="15.75" customHeight="1" x14ac:dyDescent="0.3">
      <c r="A804" s="70" t="s">
        <v>1908</v>
      </c>
      <c r="B804" s="67">
        <f t="shared" ref="B804:Q804" si="123">(B746/31/1.98)</f>
        <v>1430.7429130009775</v>
      </c>
      <c r="C804" s="67">
        <f t="shared" si="123"/>
        <v>1425.3014011078526</v>
      </c>
      <c r="D804" s="67">
        <f t="shared" si="123"/>
        <v>1420.1205604431411</v>
      </c>
      <c r="E804" s="67">
        <f t="shared" si="123"/>
        <v>840.30628869338545</v>
      </c>
      <c r="F804" s="67">
        <f t="shared" si="123"/>
        <v>0</v>
      </c>
      <c r="G804" s="67">
        <f t="shared" si="123"/>
        <v>-1741.5281850765721</v>
      </c>
      <c r="H804" s="67">
        <f t="shared" si="123"/>
        <v>2030.1238188334962</v>
      </c>
      <c r="I804" s="67">
        <f t="shared" si="123"/>
        <v>728.64125122189637</v>
      </c>
      <c r="J804" s="67">
        <f t="shared" si="123"/>
        <v>536.31476050830895</v>
      </c>
      <c r="K804" s="67">
        <f t="shared" si="123"/>
        <v>397.13261648745521</v>
      </c>
      <c r="L804" s="67">
        <f t="shared" si="123"/>
        <v>317.82339524275005</v>
      </c>
      <c r="M804" s="67">
        <f t="shared" si="123"/>
        <v>317.23688497882046</v>
      </c>
      <c r="N804" s="67">
        <f t="shared" si="123"/>
        <v>314.63017269468884</v>
      </c>
      <c r="O804" s="67">
        <f t="shared" si="123"/>
        <v>68.361029651352226</v>
      </c>
      <c r="P804" s="67">
        <f t="shared" si="123"/>
        <v>90.843923101987627</v>
      </c>
      <c r="Q804" s="67">
        <f t="shared" si="123"/>
        <v>67.497556207233629</v>
      </c>
      <c r="R804" s="67"/>
    </row>
    <row r="805" spans="1:18" ht="15.75" customHeight="1" x14ac:dyDescent="0.3">
      <c r="A805" s="70" t="s">
        <v>2352</v>
      </c>
      <c r="B805" s="67">
        <f>(B747/30/1.98)</f>
        <v>2834.5454545454545</v>
      </c>
      <c r="C805" s="67">
        <f t="shared" ref="C805:Q805" si="124">(C747/30/1.98)</f>
        <v>2829.2255892255894</v>
      </c>
      <c r="D805" s="67">
        <f t="shared" si="124"/>
        <v>2824.158249158249</v>
      </c>
      <c r="E805" s="67">
        <f t="shared" si="124"/>
        <v>2243.939393939394</v>
      </c>
      <c r="F805" s="67">
        <f t="shared" si="124"/>
        <v>256.14478114478118</v>
      </c>
      <c r="G805" s="67">
        <f t="shared" si="124"/>
        <v>-311.43097643097644</v>
      </c>
      <c r="H805" s="67">
        <f t="shared" si="124"/>
        <v>1608.9730639730642</v>
      </c>
      <c r="I805" s="67">
        <f t="shared" si="124"/>
        <v>415.57239057239059</v>
      </c>
      <c r="J805" s="67">
        <f t="shared" si="124"/>
        <v>414.93265993265999</v>
      </c>
      <c r="K805" s="67">
        <f t="shared" si="124"/>
        <v>351.90235690235687</v>
      </c>
      <c r="L805" s="67">
        <f t="shared" si="124"/>
        <v>277.89562289562292</v>
      </c>
      <c r="M805" s="67">
        <f t="shared" si="124"/>
        <v>277.32323232323233</v>
      </c>
      <c r="N805" s="67">
        <f t="shared" si="124"/>
        <v>277.03703703703701</v>
      </c>
      <c r="O805" s="67">
        <f t="shared" si="124"/>
        <v>66.700336700336706</v>
      </c>
      <c r="P805" s="67">
        <f t="shared" si="124"/>
        <v>91.969696969696969</v>
      </c>
      <c r="Q805" s="67">
        <f t="shared" si="124"/>
        <v>65.067340067340069</v>
      </c>
      <c r="R805" s="67"/>
    </row>
    <row r="806" spans="1:18" ht="15.75" customHeight="1" x14ac:dyDescent="0.3">
      <c r="A806" s="70" t="s">
        <v>2353</v>
      </c>
      <c r="B806" s="67">
        <f t="shared" ref="B806:Q806" si="125">(B748/31/1.98)</f>
        <v>2691.9354838709678</v>
      </c>
      <c r="C806" s="67">
        <f>(C748/30/1.98)</f>
        <v>2776.8686868686868</v>
      </c>
      <c r="D806" s="67">
        <f t="shared" si="125"/>
        <v>2682.8608667318344</v>
      </c>
      <c r="E806" s="67">
        <f t="shared" si="125"/>
        <v>2193.8742261322909</v>
      </c>
      <c r="F806" s="67">
        <f t="shared" si="125"/>
        <v>896.30172694688827</v>
      </c>
      <c r="G806" s="67">
        <f t="shared" si="125"/>
        <v>0</v>
      </c>
      <c r="H806" s="67">
        <f t="shared" si="125"/>
        <v>690.76246334310849</v>
      </c>
      <c r="I806" s="67">
        <f t="shared" si="125"/>
        <v>129.79797979797979</v>
      </c>
      <c r="J806" s="67">
        <f t="shared" si="125"/>
        <v>128.60866731834474</v>
      </c>
      <c r="K806" s="67">
        <f t="shared" si="125"/>
        <v>116.81329423264907</v>
      </c>
      <c r="L806" s="67">
        <f t="shared" si="125"/>
        <v>85.272075594656243</v>
      </c>
      <c r="M806" s="67">
        <f t="shared" si="125"/>
        <v>84.799608993157378</v>
      </c>
      <c r="N806" s="67">
        <f t="shared" si="125"/>
        <v>84.571521668295858</v>
      </c>
      <c r="O806" s="67">
        <f t="shared" si="125"/>
        <v>31.981101335940046</v>
      </c>
      <c r="P806" s="67">
        <f t="shared" si="125"/>
        <v>82.860866731834477</v>
      </c>
      <c r="Q806" s="67">
        <f t="shared" si="125"/>
        <v>31.019876181166506</v>
      </c>
      <c r="R806" s="67"/>
    </row>
    <row r="807" spans="1:18" ht="15.75" customHeight="1" x14ac:dyDescent="0.3">
      <c r="A807" s="70" t="s">
        <v>2354</v>
      </c>
      <c r="B807" s="67">
        <f t="shared" ref="B807:Q807" si="126">(B749/30/1.98)</f>
        <v>2552.8282828282831</v>
      </c>
      <c r="C807" s="67">
        <f t="shared" si="126"/>
        <v>2548.8720538720536</v>
      </c>
      <c r="D807" s="67">
        <f t="shared" si="126"/>
        <v>2545.0673400673404</v>
      </c>
      <c r="E807" s="67">
        <f t="shared" si="126"/>
        <v>2248.5016835016836</v>
      </c>
      <c r="F807" s="67">
        <f t="shared" si="126"/>
        <v>1084.090909090909</v>
      </c>
      <c r="G807" s="67">
        <f t="shared" si="126"/>
        <v>0</v>
      </c>
      <c r="H807" s="67">
        <f t="shared" si="126"/>
        <v>637.28956228956224</v>
      </c>
      <c r="I807" s="67">
        <f t="shared" si="126"/>
        <v>242.15488215488213</v>
      </c>
      <c r="J807" s="67">
        <f t="shared" si="126"/>
        <v>238.7037037037037</v>
      </c>
      <c r="K807" s="67">
        <f t="shared" si="126"/>
        <v>228.1986531986532</v>
      </c>
      <c r="L807" s="67">
        <f t="shared" si="126"/>
        <v>192.2895622895623</v>
      </c>
      <c r="M807" s="67">
        <f t="shared" si="126"/>
        <v>191.9023569023569</v>
      </c>
      <c r="N807" s="67">
        <f t="shared" si="126"/>
        <v>191.71717171717174</v>
      </c>
      <c r="O807" s="67">
        <f t="shared" si="126"/>
        <v>44.579124579124581</v>
      </c>
      <c r="P807" s="67">
        <f t="shared" si="126"/>
        <v>80.387205387205384</v>
      </c>
      <c r="Q807" s="67">
        <f t="shared" si="126"/>
        <v>43.383838383838388</v>
      </c>
      <c r="R807" s="67"/>
    </row>
    <row r="808" spans="1:18" ht="15.75" customHeight="1" x14ac:dyDescent="0.3">
      <c r="A808" s="70" t="s">
        <v>2355</v>
      </c>
      <c r="B808" s="67">
        <f t="shared" ref="B808:Q808" si="127">(B750/31/1.98)</f>
        <v>3087.5529488432712</v>
      </c>
      <c r="C808" s="67">
        <f t="shared" si="127"/>
        <v>3084.5226458129682</v>
      </c>
      <c r="D808" s="67">
        <f t="shared" si="127"/>
        <v>3081.6063864450962</v>
      </c>
      <c r="E808" s="67">
        <f t="shared" si="127"/>
        <v>2564.8256761159987</v>
      </c>
      <c r="F808" s="67">
        <f t="shared" si="127"/>
        <v>1709.2375366568915</v>
      </c>
      <c r="G808" s="67">
        <f t="shared" si="127"/>
        <v>0</v>
      </c>
      <c r="H808" s="67">
        <f t="shared" si="127"/>
        <v>495.43825350276967</v>
      </c>
      <c r="I808" s="67">
        <f t="shared" si="127"/>
        <v>126.39296187683284</v>
      </c>
      <c r="J808" s="67">
        <f t="shared" si="127"/>
        <v>119.38742261322906</v>
      </c>
      <c r="K808" s="67">
        <f t="shared" si="127"/>
        <v>113.42456826327795</v>
      </c>
      <c r="L808" s="67">
        <f t="shared" si="127"/>
        <v>82.160312805474106</v>
      </c>
      <c r="M808" s="67">
        <f t="shared" si="127"/>
        <v>81.850765721733467</v>
      </c>
      <c r="N808" s="67">
        <f t="shared" si="127"/>
        <v>81.704138155751068</v>
      </c>
      <c r="O808" s="67">
        <f t="shared" si="127"/>
        <v>37.748452264581296</v>
      </c>
      <c r="P808" s="67">
        <f t="shared" si="127"/>
        <v>82.779406972955357</v>
      </c>
      <c r="Q808" s="67">
        <f t="shared" si="127"/>
        <v>36.738351254480285</v>
      </c>
      <c r="R808" s="67"/>
    </row>
    <row r="809" spans="1:18" ht="15.75" customHeight="1" x14ac:dyDescent="0.3">
      <c r="A809" s="67"/>
      <c r="B809" s="67"/>
      <c r="C809" s="67"/>
      <c r="D809" s="67"/>
      <c r="E809" s="67"/>
      <c r="F809" s="67"/>
      <c r="G809" s="67"/>
      <c r="H809" s="67"/>
      <c r="I809" s="67"/>
      <c r="J809" s="67"/>
      <c r="K809" s="67"/>
      <c r="L809" s="67"/>
      <c r="M809" s="67"/>
      <c r="N809" s="67"/>
      <c r="O809" s="67"/>
      <c r="P809" s="67"/>
      <c r="Q809" s="67"/>
      <c r="R809" s="67"/>
    </row>
    <row r="810" spans="1:18" ht="15.75" customHeight="1" x14ac:dyDescent="0.3">
      <c r="A810" s="67"/>
      <c r="B810" s="67"/>
      <c r="C810" s="67"/>
      <c r="D810" s="71" t="s">
        <v>1198</v>
      </c>
      <c r="E810" s="67"/>
      <c r="F810" s="67"/>
      <c r="G810" s="67"/>
      <c r="H810" s="67"/>
      <c r="I810" s="67"/>
      <c r="J810" s="67"/>
      <c r="K810" s="67"/>
      <c r="L810" s="67"/>
      <c r="M810" s="67"/>
      <c r="N810" s="67"/>
      <c r="O810" s="67"/>
      <c r="P810" s="67"/>
      <c r="Q810" s="71" t="str">
        <f>+Q1</f>
        <v>PRINTED:</v>
      </c>
      <c r="R810" s="77">
        <f ca="1">+R1</f>
        <v>44881.72963425926</v>
      </c>
    </row>
    <row r="811" spans="1:18" ht="15.75" customHeight="1" x14ac:dyDescent="0.3">
      <c r="A811" s="67"/>
      <c r="B811" s="67"/>
      <c r="C811" s="67"/>
      <c r="D811" s="67"/>
      <c r="E811" s="67" t="s">
        <v>852</v>
      </c>
      <c r="F811" s="69" t="str">
        <f>+A9</f>
        <v>Revised:  1/24/11</v>
      </c>
      <c r="G811" s="67"/>
      <c r="H811" s="67"/>
      <c r="I811" s="67"/>
      <c r="J811" s="67"/>
      <c r="K811" s="67"/>
      <c r="L811" s="67"/>
      <c r="M811" s="67"/>
      <c r="N811" s="67"/>
      <c r="O811" s="67"/>
      <c r="P811" s="67"/>
      <c r="Q811" s="67"/>
      <c r="R811" s="67"/>
    </row>
    <row r="812" spans="1:18" ht="15.75" customHeight="1" x14ac:dyDescent="0.3">
      <c r="A812" s="67"/>
      <c r="B812" s="67"/>
      <c r="C812" s="67"/>
      <c r="D812" s="67" t="s">
        <v>2126</v>
      </c>
      <c r="E812" s="67"/>
      <c r="F812" s="67"/>
      <c r="G812" s="67"/>
      <c r="H812" s="67"/>
      <c r="I812" s="67"/>
      <c r="J812" s="67"/>
      <c r="K812" s="67"/>
      <c r="L812" s="67"/>
      <c r="M812" s="67"/>
      <c r="N812" s="67"/>
      <c r="O812" s="67"/>
      <c r="P812" s="67"/>
      <c r="Q812" s="67"/>
      <c r="R812" s="67"/>
    </row>
    <row r="813" spans="1:18" ht="15.75" customHeight="1" x14ac:dyDescent="0.3">
      <c r="A813" s="67"/>
      <c r="B813" s="67"/>
      <c r="C813" s="67"/>
      <c r="D813" s="67"/>
      <c r="E813" s="67"/>
      <c r="F813" s="67"/>
      <c r="G813" s="67"/>
      <c r="H813" s="67"/>
      <c r="I813" s="67"/>
      <c r="J813" s="67"/>
      <c r="K813" s="67"/>
      <c r="L813" s="67"/>
      <c r="M813" s="67"/>
      <c r="N813" s="67"/>
      <c r="O813" s="67"/>
      <c r="P813" s="67"/>
      <c r="Q813" s="67"/>
      <c r="R813" s="67"/>
    </row>
    <row r="814" spans="1:18" ht="15.75" customHeight="1" x14ac:dyDescent="0.3">
      <c r="A814" s="67"/>
      <c r="B814" s="67"/>
      <c r="C814" s="67"/>
      <c r="D814" s="67"/>
      <c r="E814" s="67" t="str">
        <f>A5</f>
        <v>Calendar Year 2010</v>
      </c>
      <c r="F814" s="67"/>
      <c r="G814" s="67"/>
      <c r="H814" s="67"/>
      <c r="I814" s="67"/>
      <c r="J814" s="67"/>
      <c r="K814" s="67"/>
      <c r="L814" s="67"/>
      <c r="M814" s="67"/>
      <c r="N814" s="67"/>
      <c r="O814" s="67"/>
      <c r="P814" s="67"/>
      <c r="Q814" s="67"/>
      <c r="R814" s="67"/>
    </row>
    <row r="815" spans="1:18" ht="15.75" customHeight="1" x14ac:dyDescent="0.3">
      <c r="A815" s="67"/>
      <c r="B815" s="67"/>
      <c r="C815" s="67"/>
      <c r="D815" s="67"/>
      <c r="E815" s="67" t="s">
        <v>1199</v>
      </c>
      <c r="F815" s="67"/>
      <c r="G815" s="67"/>
      <c r="H815" s="67"/>
      <c r="I815" s="67"/>
      <c r="J815" s="67"/>
      <c r="K815" s="67"/>
      <c r="L815" s="67"/>
      <c r="M815" s="67"/>
      <c r="N815" s="67"/>
      <c r="O815" s="67"/>
      <c r="P815" s="67"/>
      <c r="Q815" s="67"/>
      <c r="R815" s="67"/>
    </row>
    <row r="816" spans="1:18" ht="15.75" customHeight="1" x14ac:dyDescent="0.3">
      <c r="A816" s="67"/>
      <c r="B816" s="67"/>
      <c r="C816" s="67"/>
      <c r="D816" s="67"/>
      <c r="E816" s="67"/>
      <c r="F816" s="67"/>
      <c r="G816" s="67"/>
      <c r="H816" s="67"/>
      <c r="I816" s="67"/>
      <c r="J816" s="67"/>
      <c r="K816" s="67"/>
      <c r="L816" s="67"/>
      <c r="M816" s="67"/>
      <c r="N816" s="67"/>
      <c r="O816" s="67"/>
      <c r="P816" s="67"/>
      <c r="Q816" s="67"/>
      <c r="R816" s="67"/>
    </row>
    <row r="817" spans="1:18" ht="15.75" customHeight="1" x14ac:dyDescent="0.3">
      <c r="A817" s="67" t="s">
        <v>1307</v>
      </c>
      <c r="B817" s="70" t="s">
        <v>1308</v>
      </c>
      <c r="C817" s="70" t="s">
        <v>1309</v>
      </c>
      <c r="D817" s="70" t="s">
        <v>1029</v>
      </c>
      <c r="E817" s="70" t="s">
        <v>1030</v>
      </c>
      <c r="F817" s="70" t="s">
        <v>284</v>
      </c>
      <c r="G817" s="70" t="s">
        <v>284</v>
      </c>
      <c r="H817" s="70" t="s">
        <v>285</v>
      </c>
      <c r="I817" s="70" t="s">
        <v>286</v>
      </c>
      <c r="J817" s="70" t="s">
        <v>287</v>
      </c>
      <c r="K817" s="70" t="s">
        <v>288</v>
      </c>
      <c r="L817" s="70" t="s">
        <v>289</v>
      </c>
      <c r="M817" s="70" t="s">
        <v>633</v>
      </c>
      <c r="N817" s="70" t="s">
        <v>634</v>
      </c>
      <c r="O817" s="70" t="s">
        <v>1192</v>
      </c>
      <c r="P817" s="70" t="s">
        <v>524</v>
      </c>
      <c r="Q817" s="70" t="s">
        <v>525</v>
      </c>
      <c r="R817" s="70" t="s">
        <v>2356</v>
      </c>
    </row>
    <row r="818" spans="1:18" ht="15.75" customHeight="1" x14ac:dyDescent="0.3">
      <c r="A818" s="67" t="s">
        <v>526</v>
      </c>
      <c r="B818" s="67"/>
      <c r="C818" s="67"/>
      <c r="D818" s="67"/>
      <c r="E818" s="67"/>
      <c r="F818" s="70" t="s">
        <v>1193</v>
      </c>
      <c r="G818" s="70" t="s">
        <v>1194</v>
      </c>
      <c r="H818" s="67"/>
      <c r="I818" s="67"/>
      <c r="J818" s="67"/>
      <c r="K818" s="67"/>
      <c r="L818" s="67"/>
      <c r="M818" s="67"/>
      <c r="N818" s="67"/>
      <c r="O818" s="67"/>
      <c r="P818" s="67"/>
      <c r="Q818" s="67"/>
      <c r="R818" s="70" t="s">
        <v>1236</v>
      </c>
    </row>
    <row r="819" spans="1:18" ht="15.75" customHeight="1" x14ac:dyDescent="0.3">
      <c r="A819" s="67" t="s">
        <v>1195</v>
      </c>
      <c r="B819" s="67">
        <v>953</v>
      </c>
      <c r="C819" s="67">
        <v>128</v>
      </c>
      <c r="D819" s="67">
        <v>128</v>
      </c>
      <c r="E819" s="67">
        <v>219</v>
      </c>
      <c r="F819" s="67">
        <v>179</v>
      </c>
      <c r="G819" s="67">
        <v>121</v>
      </c>
      <c r="H819" s="67">
        <v>92</v>
      </c>
      <c r="I819" s="67">
        <v>150</v>
      </c>
      <c r="J819" s="67">
        <v>237</v>
      </c>
      <c r="K819" s="67">
        <v>226</v>
      </c>
      <c r="L819" s="67">
        <v>99</v>
      </c>
      <c r="M819" s="67">
        <v>102</v>
      </c>
      <c r="N819" s="67">
        <v>249</v>
      </c>
      <c r="O819" s="67">
        <v>189</v>
      </c>
      <c r="P819" s="67">
        <v>333</v>
      </c>
      <c r="Q819" s="67">
        <v>411</v>
      </c>
      <c r="R819" s="70" t="s">
        <v>335</v>
      </c>
    </row>
    <row r="820" spans="1:18" ht="15.75" customHeight="1" x14ac:dyDescent="0.3">
      <c r="A820" s="67"/>
      <c r="B820" s="67" t="s">
        <v>1353</v>
      </c>
      <c r="C820" s="67" t="s">
        <v>1353</v>
      </c>
      <c r="D820" s="67" t="s">
        <v>1353</v>
      </c>
      <c r="E820" s="67" t="s">
        <v>1353</v>
      </c>
      <c r="F820" s="67" t="s">
        <v>1353</v>
      </c>
      <c r="G820" s="67" t="s">
        <v>1353</v>
      </c>
      <c r="H820" s="67" t="s">
        <v>1353</v>
      </c>
      <c r="I820" s="67" t="s">
        <v>1353</v>
      </c>
      <c r="J820" s="67" t="s">
        <v>1353</v>
      </c>
      <c r="K820" s="67" t="s">
        <v>1353</v>
      </c>
      <c r="L820" s="67" t="s">
        <v>1353</v>
      </c>
      <c r="M820" s="67" t="s">
        <v>1353</v>
      </c>
      <c r="N820" s="67" t="s">
        <v>1353</v>
      </c>
      <c r="O820" s="67" t="s">
        <v>1353</v>
      </c>
      <c r="P820" s="67" t="s">
        <v>1353</v>
      </c>
      <c r="Q820" s="67" t="s">
        <v>1353</v>
      </c>
      <c r="R820" s="67" t="s">
        <v>251</v>
      </c>
    </row>
    <row r="821" spans="1:18" ht="15.75" customHeight="1" x14ac:dyDescent="0.3">
      <c r="A821" s="70" t="s">
        <v>1354</v>
      </c>
      <c r="B821" s="67">
        <f t="shared" ref="B821:Q821" si="128">(B739*B737)/1000</f>
        <v>120713.651</v>
      </c>
      <c r="C821" s="67">
        <f t="shared" si="128"/>
        <v>16200.96</v>
      </c>
      <c r="D821" s="67">
        <f t="shared" si="128"/>
        <v>16188.672</v>
      </c>
      <c r="E821" s="67">
        <f t="shared" si="128"/>
        <v>26228.097000000002</v>
      </c>
      <c r="F821" s="67">
        <f t="shared" si="128"/>
        <v>12396.466</v>
      </c>
      <c r="G821" s="67">
        <f t="shared" si="128"/>
        <v>0</v>
      </c>
      <c r="H821" s="67">
        <f t="shared" si="128"/>
        <v>2651.9920000000002</v>
      </c>
      <c r="I821" s="67">
        <f t="shared" si="128"/>
        <v>2700.9</v>
      </c>
      <c r="J821" s="67">
        <f t="shared" si="128"/>
        <v>4265.0519999999997</v>
      </c>
      <c r="K821" s="67">
        <f t="shared" si="128"/>
        <v>4025.9639999999999</v>
      </c>
      <c r="L821" s="67">
        <f t="shared" si="128"/>
        <v>1271.4570000000001</v>
      </c>
      <c r="M821" s="67">
        <f t="shared" si="128"/>
        <v>1307.9459999999999</v>
      </c>
      <c r="N821" s="67">
        <f t="shared" si="128"/>
        <v>3190.4369999999999</v>
      </c>
      <c r="O821" s="67">
        <f t="shared" si="128"/>
        <v>246.078</v>
      </c>
      <c r="P821" s="67">
        <f t="shared" si="128"/>
        <v>1334.3309999999999</v>
      </c>
      <c r="Q821" s="67">
        <f t="shared" si="128"/>
        <v>496.899</v>
      </c>
      <c r="R821" s="67">
        <f t="shared" ref="R821:R832" si="129">(SUM(B821:Q821))</f>
        <v>213218.90200000003</v>
      </c>
    </row>
    <row r="822" spans="1:18" ht="15.75" customHeight="1" x14ac:dyDescent="0.3">
      <c r="A822" s="70" t="s">
        <v>706</v>
      </c>
      <c r="B822" s="67">
        <f t="shared" ref="B822:Q822" si="130">(B740*B737)/1000</f>
        <v>86989.84</v>
      </c>
      <c r="C822" s="67">
        <f t="shared" si="130"/>
        <v>11664.896000000001</v>
      </c>
      <c r="D822" s="67">
        <f t="shared" si="130"/>
        <v>11646.335999999999</v>
      </c>
      <c r="E822" s="67">
        <f t="shared" si="130"/>
        <v>17115.945</v>
      </c>
      <c r="F822" s="67">
        <f t="shared" si="130"/>
        <v>5732.2960000000003</v>
      </c>
      <c r="G822" s="67">
        <f t="shared" si="130"/>
        <v>0</v>
      </c>
      <c r="H822" s="67">
        <f t="shared" si="130"/>
        <v>2432.02</v>
      </c>
      <c r="I822" s="67">
        <f t="shared" si="130"/>
        <v>2489.25</v>
      </c>
      <c r="J822" s="67">
        <f t="shared" si="130"/>
        <v>3929.223</v>
      </c>
      <c r="K822" s="67">
        <f t="shared" si="130"/>
        <v>3737.136</v>
      </c>
      <c r="L822" s="67">
        <f t="shared" si="130"/>
        <v>1272.8430000000001</v>
      </c>
      <c r="M822" s="67">
        <f t="shared" si="130"/>
        <v>1309.17</v>
      </c>
      <c r="N822" s="67">
        <f t="shared" si="130"/>
        <v>3193.1759999999999</v>
      </c>
      <c r="O822" s="67">
        <f t="shared" si="130"/>
        <v>350.21699999999998</v>
      </c>
      <c r="P822" s="67">
        <f t="shared" si="130"/>
        <v>1595.403</v>
      </c>
      <c r="Q822" s="67">
        <f t="shared" si="130"/>
        <v>725.41499999999996</v>
      </c>
      <c r="R822" s="67">
        <f t="shared" si="129"/>
        <v>154183.166</v>
      </c>
    </row>
    <row r="823" spans="1:18" ht="15.75" customHeight="1" x14ac:dyDescent="0.3">
      <c r="A823" s="70" t="s">
        <v>707</v>
      </c>
      <c r="B823" s="67">
        <f t="shared" ref="B823:Q823" si="131">(B741*B737)/1000</f>
        <v>123930.026</v>
      </c>
      <c r="C823" s="67">
        <f t="shared" si="131"/>
        <v>16610.304</v>
      </c>
      <c r="D823" s="67">
        <f t="shared" si="131"/>
        <v>16576.896000000001</v>
      </c>
      <c r="E823" s="67">
        <f t="shared" si="131"/>
        <v>24360.245999999999</v>
      </c>
      <c r="F823" s="67">
        <f t="shared" si="131"/>
        <v>4159.4229999999998</v>
      </c>
      <c r="G823" s="67">
        <f t="shared" si="131"/>
        <v>0</v>
      </c>
      <c r="H823" s="67">
        <f t="shared" si="131"/>
        <v>5946.1440000000002</v>
      </c>
      <c r="I823" s="67">
        <f t="shared" si="131"/>
        <v>4349.55</v>
      </c>
      <c r="J823" s="67">
        <f t="shared" si="131"/>
        <v>6324.5820000000003</v>
      </c>
      <c r="K823" s="67">
        <f t="shared" si="131"/>
        <v>5848.2020000000002</v>
      </c>
      <c r="L823" s="67">
        <f t="shared" si="131"/>
        <v>1979.2080000000001</v>
      </c>
      <c r="M823" s="67">
        <f t="shared" si="131"/>
        <v>2036.328</v>
      </c>
      <c r="N823" s="67">
        <f t="shared" si="131"/>
        <v>4967.55</v>
      </c>
      <c r="O823" s="67">
        <f t="shared" si="131"/>
        <v>716.68799999999999</v>
      </c>
      <c r="P823" s="67">
        <f t="shared" si="131"/>
        <v>1761.57</v>
      </c>
      <c r="Q823" s="67">
        <f t="shared" si="131"/>
        <v>1551.9359999999999</v>
      </c>
      <c r="R823" s="67">
        <f t="shared" si="129"/>
        <v>221118.65299999999</v>
      </c>
    </row>
    <row r="824" spans="1:18" ht="15.75" customHeight="1" x14ac:dyDescent="0.3">
      <c r="A824" s="70" t="s">
        <v>1321</v>
      </c>
      <c r="B824" s="67">
        <f t="shared" ref="B824:Q824" si="132">(B742*B737)/1000</f>
        <v>146584.742</v>
      </c>
      <c r="C824" s="67">
        <f t="shared" si="132"/>
        <v>19641.216</v>
      </c>
      <c r="D824" s="67">
        <f t="shared" si="132"/>
        <v>19596.416000000001</v>
      </c>
      <c r="E824" s="67">
        <f t="shared" si="132"/>
        <v>30820.526999999998</v>
      </c>
      <c r="F824" s="67">
        <f t="shared" si="132"/>
        <v>0</v>
      </c>
      <c r="G824" s="67">
        <f t="shared" si="132"/>
        <v>-637.06500000000005</v>
      </c>
      <c r="H824" s="67">
        <f t="shared" si="132"/>
        <v>10927.023999999999</v>
      </c>
      <c r="I824" s="67">
        <f t="shared" si="132"/>
        <v>7811.85</v>
      </c>
      <c r="J824" s="67">
        <f t="shared" si="132"/>
        <v>8882.9969999999994</v>
      </c>
      <c r="K824" s="67">
        <f t="shared" si="132"/>
        <v>6698.866</v>
      </c>
      <c r="L824" s="67">
        <f t="shared" si="132"/>
        <v>2068.4070000000002</v>
      </c>
      <c r="M824" s="67">
        <f t="shared" si="132"/>
        <v>2127.3119999999999</v>
      </c>
      <c r="N824" s="67">
        <f t="shared" si="132"/>
        <v>5067.8969999999999</v>
      </c>
      <c r="O824" s="67">
        <f t="shared" si="132"/>
        <v>661.31100000000004</v>
      </c>
      <c r="P824" s="67">
        <f t="shared" si="132"/>
        <v>1461.87</v>
      </c>
      <c r="Q824" s="67">
        <f t="shared" si="132"/>
        <v>1366.9860000000001</v>
      </c>
      <c r="R824" s="67">
        <f t="shared" si="129"/>
        <v>263080.35599999997</v>
      </c>
    </row>
    <row r="825" spans="1:18" ht="15.75" customHeight="1" x14ac:dyDescent="0.3">
      <c r="A825" s="70" t="s">
        <v>1905</v>
      </c>
      <c r="B825" s="67">
        <f t="shared" ref="B825:Q825" si="133">(B743*B737)/1000</f>
        <v>162662.80499999999</v>
      </c>
      <c r="C825" s="67">
        <f t="shared" si="133"/>
        <v>21793.279999999999</v>
      </c>
      <c r="D825" s="67">
        <f t="shared" si="133"/>
        <v>21741.824000000001</v>
      </c>
      <c r="E825" s="67">
        <f t="shared" si="133"/>
        <v>31002.516</v>
      </c>
      <c r="F825" s="67">
        <f t="shared" si="133"/>
        <v>142.126</v>
      </c>
      <c r="G825" s="67">
        <f t="shared" si="133"/>
        <v>-285.68099999999998</v>
      </c>
      <c r="H825" s="67">
        <f t="shared" si="133"/>
        <v>9947.5920000000006</v>
      </c>
      <c r="I825" s="67">
        <f t="shared" si="133"/>
        <v>5801.7</v>
      </c>
      <c r="J825" s="67">
        <f t="shared" si="133"/>
        <v>7495.5990000000002</v>
      </c>
      <c r="K825" s="67">
        <f t="shared" si="133"/>
        <v>6298.1679999999997</v>
      </c>
      <c r="L825" s="67">
        <f t="shared" si="133"/>
        <v>2040.489</v>
      </c>
      <c r="M825" s="67">
        <f t="shared" si="133"/>
        <v>2098.038</v>
      </c>
      <c r="N825" s="67">
        <f t="shared" si="133"/>
        <v>4979.7510000000002</v>
      </c>
      <c r="O825" s="67">
        <f t="shared" si="133"/>
        <v>810.24300000000005</v>
      </c>
      <c r="P825" s="67">
        <f t="shared" si="133"/>
        <v>1577.421</v>
      </c>
      <c r="Q825" s="67">
        <f t="shared" si="133"/>
        <v>1704.4169999999999</v>
      </c>
      <c r="R825" s="67">
        <f t="shared" si="129"/>
        <v>279810.28799999994</v>
      </c>
    </row>
    <row r="826" spans="1:18" ht="15.75" customHeight="1" x14ac:dyDescent="0.3">
      <c r="A826" s="70" t="s">
        <v>1906</v>
      </c>
      <c r="B826" s="67">
        <f t="shared" ref="B826:Q826" si="134">(B744*B737)/1000</f>
        <v>164185.69899999999</v>
      </c>
      <c r="C826" s="67">
        <f t="shared" si="134"/>
        <v>21998.848000000002</v>
      </c>
      <c r="D826" s="67">
        <f t="shared" si="134"/>
        <v>21948.16</v>
      </c>
      <c r="E826" s="67">
        <f t="shared" si="134"/>
        <v>31251.956999999999</v>
      </c>
      <c r="F826" s="67">
        <f t="shared" si="134"/>
        <v>0</v>
      </c>
      <c r="G826" s="67">
        <f t="shared" si="134"/>
        <v>-4835.7650000000003</v>
      </c>
      <c r="H826" s="67">
        <f t="shared" si="134"/>
        <v>13363.46</v>
      </c>
      <c r="I826" s="67">
        <f t="shared" si="134"/>
        <v>7188.6</v>
      </c>
      <c r="J826" s="67">
        <f t="shared" si="134"/>
        <v>7647.7529999999997</v>
      </c>
      <c r="K826" s="67">
        <f t="shared" si="134"/>
        <v>5421.5140000000001</v>
      </c>
      <c r="L826" s="67">
        <f t="shared" si="134"/>
        <v>1726.461</v>
      </c>
      <c r="M826" s="67">
        <f t="shared" si="134"/>
        <v>1774.29</v>
      </c>
      <c r="N826" s="67">
        <f t="shared" si="134"/>
        <v>4145.8500000000004</v>
      </c>
      <c r="O826" s="67">
        <f t="shared" si="134"/>
        <v>741.82500000000005</v>
      </c>
      <c r="P826" s="67">
        <f t="shared" si="134"/>
        <v>1678.9860000000001</v>
      </c>
      <c r="Q826" s="67">
        <f t="shared" si="134"/>
        <v>1589.337</v>
      </c>
      <c r="R826" s="67">
        <f t="shared" si="129"/>
        <v>279826.97499999998</v>
      </c>
    </row>
    <row r="827" spans="1:18" ht="15.75" customHeight="1" x14ac:dyDescent="0.3">
      <c r="A827" s="70" t="s">
        <v>1907</v>
      </c>
      <c r="B827" s="67">
        <f t="shared" ref="B827:Q827" si="135">(B745*B737)/1000</f>
        <v>51679.284</v>
      </c>
      <c r="C827" s="67">
        <f t="shared" si="135"/>
        <v>6887.9359999999997</v>
      </c>
      <c r="D827" s="67">
        <f t="shared" si="135"/>
        <v>6837.5039999999999</v>
      </c>
      <c r="E827" s="67">
        <f t="shared" si="135"/>
        <v>4477.674</v>
      </c>
      <c r="F827" s="67">
        <f t="shared" si="135"/>
        <v>0</v>
      </c>
      <c r="G827" s="67">
        <f t="shared" si="135"/>
        <v>-20295.088</v>
      </c>
      <c r="H827" s="67">
        <f t="shared" si="135"/>
        <v>13859.156000000001</v>
      </c>
      <c r="I827" s="67">
        <f t="shared" si="135"/>
        <v>8047.35</v>
      </c>
      <c r="J827" s="67">
        <f t="shared" si="135"/>
        <v>7752.7439999999997</v>
      </c>
      <c r="K827" s="67">
        <f t="shared" si="135"/>
        <v>5396.4279999999999</v>
      </c>
      <c r="L827" s="67">
        <f t="shared" si="135"/>
        <v>1688.2470000000001</v>
      </c>
      <c r="M827" s="67">
        <f t="shared" si="135"/>
        <v>1735.4280000000001</v>
      </c>
      <c r="N827" s="67">
        <f t="shared" si="135"/>
        <v>4178.22</v>
      </c>
      <c r="O827" s="67">
        <f t="shared" si="135"/>
        <v>402.94799999999998</v>
      </c>
      <c r="P827" s="67">
        <f t="shared" si="135"/>
        <v>1729.9349999999999</v>
      </c>
      <c r="Q827" s="67">
        <f t="shared" si="135"/>
        <v>831.86400000000003</v>
      </c>
      <c r="R827" s="67">
        <f t="shared" si="129"/>
        <v>95209.630000000019</v>
      </c>
    </row>
    <row r="828" spans="1:18" ht="15.75" customHeight="1" x14ac:dyDescent="0.3">
      <c r="A828" s="70" t="s">
        <v>1908</v>
      </c>
      <c r="B828" s="67">
        <f t="shared" ref="B828:Q828" si="136">(B746*B737)/1000</f>
        <v>83691.506999999998</v>
      </c>
      <c r="C828" s="67">
        <f t="shared" si="136"/>
        <v>11198.08</v>
      </c>
      <c r="D828" s="67">
        <f t="shared" si="136"/>
        <v>11157.376</v>
      </c>
      <c r="E828" s="67">
        <f t="shared" si="136"/>
        <v>11295.582</v>
      </c>
      <c r="F828" s="67">
        <f t="shared" si="136"/>
        <v>0</v>
      </c>
      <c r="G828" s="67">
        <f t="shared" si="136"/>
        <v>-12934.295</v>
      </c>
      <c r="H828" s="67">
        <f t="shared" si="136"/>
        <v>11464.028</v>
      </c>
      <c r="I828" s="67">
        <f t="shared" si="136"/>
        <v>6708.6</v>
      </c>
      <c r="J828" s="67">
        <f t="shared" si="136"/>
        <v>7801.8029999999999</v>
      </c>
      <c r="K828" s="67">
        <f t="shared" si="136"/>
        <v>5508.9759999999997</v>
      </c>
      <c r="L828" s="67">
        <f t="shared" si="136"/>
        <v>1931.2919999999999</v>
      </c>
      <c r="M828" s="67">
        <f t="shared" si="136"/>
        <v>1986.144</v>
      </c>
      <c r="N828" s="67">
        <f t="shared" si="136"/>
        <v>4808.6880000000001</v>
      </c>
      <c r="O828" s="67">
        <f t="shared" si="136"/>
        <v>793.04399999999998</v>
      </c>
      <c r="P828" s="67">
        <f t="shared" si="136"/>
        <v>1856.808</v>
      </c>
      <c r="Q828" s="67">
        <f t="shared" si="136"/>
        <v>1702.7729999999999</v>
      </c>
      <c r="R828" s="67">
        <f t="shared" si="129"/>
        <v>148970.40599999996</v>
      </c>
    </row>
    <row r="829" spans="1:18" ht="15.75" customHeight="1" x14ac:dyDescent="0.3">
      <c r="A829" s="70" t="s">
        <v>2352</v>
      </c>
      <c r="B829" s="67">
        <f>(B747*B737)/1000</f>
        <v>160458.516</v>
      </c>
      <c r="C829" s="67">
        <f>(C747*C737)/1000</f>
        <v>21511.168000000001</v>
      </c>
      <c r="D829" s="67">
        <f>(D747*D737)/1000</f>
        <v>21472.639999999999</v>
      </c>
      <c r="E829" s="67">
        <f>(E747*E737)/1000</f>
        <v>29190.51</v>
      </c>
      <c r="F829" s="67">
        <f>(F747*F737)/1000</f>
        <v>2723.4850000000001</v>
      </c>
      <c r="G829" s="67">
        <v>0</v>
      </c>
      <c r="H829" s="67">
        <f t="shared" ref="H829:Q829" si="137">(H747*H737)/1000</f>
        <v>8792.7160000000003</v>
      </c>
      <c r="I829" s="67">
        <f t="shared" si="137"/>
        <v>3702.75</v>
      </c>
      <c r="J829" s="67">
        <f t="shared" si="137"/>
        <v>5841.3389999999999</v>
      </c>
      <c r="K829" s="67">
        <f t="shared" si="137"/>
        <v>4724.0780000000004</v>
      </c>
      <c r="L829" s="67">
        <f t="shared" si="137"/>
        <v>1634.193</v>
      </c>
      <c r="M829" s="67">
        <f t="shared" si="137"/>
        <v>1680.2460000000001</v>
      </c>
      <c r="N829" s="67">
        <f t="shared" si="137"/>
        <v>4097.5439999999999</v>
      </c>
      <c r="O829" s="67">
        <f t="shared" si="137"/>
        <v>748.81799999999998</v>
      </c>
      <c r="P829" s="67">
        <f t="shared" si="137"/>
        <v>1819.1790000000001</v>
      </c>
      <c r="Q829" s="67">
        <f t="shared" si="137"/>
        <v>1588.5150000000001</v>
      </c>
      <c r="R829" s="67">
        <f t="shared" si="129"/>
        <v>269985.6970000001</v>
      </c>
    </row>
    <row r="830" spans="1:18" ht="15.75" customHeight="1" x14ac:dyDescent="0.3">
      <c r="A830" s="70" t="s">
        <v>2353</v>
      </c>
      <c r="B830" s="67">
        <f>(B748*B737)/1000</f>
        <v>157465.14300000001</v>
      </c>
      <c r="C830" s="67">
        <f>(C748*C737)/1000</f>
        <v>21113.088</v>
      </c>
      <c r="D830" s="67">
        <f>(D748*D737)/1000</f>
        <v>21078.272000000001</v>
      </c>
      <c r="E830" s="67">
        <f>(E748*E737)/1000</f>
        <v>29490.54</v>
      </c>
      <c r="F830" s="67">
        <f>(F748*F737)/1000</f>
        <v>9847.6849999999995</v>
      </c>
      <c r="G830" s="67">
        <v>0</v>
      </c>
      <c r="H830" s="67">
        <f t="shared" ref="H830:Q830" si="138">(H748*H737)/1000</f>
        <v>3900.7080000000001</v>
      </c>
      <c r="I830" s="67">
        <f t="shared" si="138"/>
        <v>1195.05</v>
      </c>
      <c r="J830" s="67">
        <f t="shared" si="138"/>
        <v>1870.8779999999999</v>
      </c>
      <c r="K830" s="67">
        <f t="shared" si="138"/>
        <v>1620.42</v>
      </c>
      <c r="L830" s="67">
        <f t="shared" si="138"/>
        <v>518.16600000000005</v>
      </c>
      <c r="M830" s="67">
        <f t="shared" si="138"/>
        <v>530.91</v>
      </c>
      <c r="N830" s="67">
        <f t="shared" si="138"/>
        <v>1292.559</v>
      </c>
      <c r="O830" s="67">
        <f t="shared" si="138"/>
        <v>371.00700000000001</v>
      </c>
      <c r="P830" s="67">
        <f t="shared" si="138"/>
        <v>1693.6379999999999</v>
      </c>
      <c r="Q830" s="67">
        <f t="shared" si="138"/>
        <v>782.54399999999998</v>
      </c>
      <c r="R830" s="67">
        <f t="shared" si="129"/>
        <v>252770.60800000004</v>
      </c>
    </row>
    <row r="831" spans="1:18" ht="15.75" customHeight="1" x14ac:dyDescent="0.3">
      <c r="A831" s="70" t="s">
        <v>2354</v>
      </c>
      <c r="B831" s="67">
        <f t="shared" ref="B831:Q831" si="139">(B749*B737)/1000</f>
        <v>144511.014</v>
      </c>
      <c r="C831" s="67">
        <f t="shared" si="139"/>
        <v>19379.583999999999</v>
      </c>
      <c r="D831" s="67">
        <f t="shared" si="139"/>
        <v>19350.655999999999</v>
      </c>
      <c r="E831" s="67">
        <f t="shared" si="139"/>
        <v>29249.859</v>
      </c>
      <c r="F831" s="67">
        <f t="shared" si="139"/>
        <v>11526.705</v>
      </c>
      <c r="G831" s="67">
        <f t="shared" si="139"/>
        <v>0</v>
      </c>
      <c r="H831" s="67">
        <f t="shared" si="139"/>
        <v>3482.66</v>
      </c>
      <c r="I831" s="67">
        <f t="shared" si="139"/>
        <v>2157.6</v>
      </c>
      <c r="J831" s="67">
        <f t="shared" si="139"/>
        <v>3360.4229999999998</v>
      </c>
      <c r="K831" s="67">
        <f t="shared" si="139"/>
        <v>3063.43</v>
      </c>
      <c r="L831" s="67">
        <f t="shared" si="139"/>
        <v>1130.778</v>
      </c>
      <c r="M831" s="67">
        <f t="shared" si="139"/>
        <v>1162.6980000000001</v>
      </c>
      <c r="N831" s="67">
        <f t="shared" si="139"/>
        <v>2835.6120000000001</v>
      </c>
      <c r="O831" s="67">
        <f t="shared" si="139"/>
        <v>500.47199999999998</v>
      </c>
      <c r="P831" s="67">
        <f t="shared" si="139"/>
        <v>1590.075</v>
      </c>
      <c r="Q831" s="67">
        <f t="shared" si="139"/>
        <v>1059.1469999999999</v>
      </c>
      <c r="R831" s="67">
        <f t="shared" si="129"/>
        <v>244360.71299999999</v>
      </c>
    </row>
    <row r="832" spans="1:18" ht="15.75" customHeight="1" x14ac:dyDescent="0.3">
      <c r="A832" s="70" t="s">
        <v>2355</v>
      </c>
      <c r="B832" s="67">
        <f t="shared" ref="B832:Q832" si="140">(B750*B737)/1000</f>
        <v>180606.842</v>
      </c>
      <c r="C832" s="67">
        <f t="shared" si="140"/>
        <v>24233.984</v>
      </c>
      <c r="D832" s="67">
        <f t="shared" si="140"/>
        <v>24211.072</v>
      </c>
      <c r="E832" s="67">
        <f t="shared" si="140"/>
        <v>34476.951000000001</v>
      </c>
      <c r="F832" s="67">
        <f t="shared" si="140"/>
        <v>18779.427</v>
      </c>
      <c r="G832" s="67">
        <f t="shared" si="140"/>
        <v>0</v>
      </c>
      <c r="H832" s="67">
        <f t="shared" si="140"/>
        <v>2797.72</v>
      </c>
      <c r="I832" s="67">
        <f t="shared" si="140"/>
        <v>1163.7</v>
      </c>
      <c r="J832" s="67">
        <f t="shared" si="140"/>
        <v>1736.7360000000001</v>
      </c>
      <c r="K832" s="67">
        <f t="shared" si="140"/>
        <v>1573.412</v>
      </c>
      <c r="L832" s="67">
        <f t="shared" si="140"/>
        <v>499.25700000000001</v>
      </c>
      <c r="M832" s="67">
        <f t="shared" si="140"/>
        <v>512.44799999999998</v>
      </c>
      <c r="N832" s="67">
        <f t="shared" si="140"/>
        <v>1248.7349999999999</v>
      </c>
      <c r="O832" s="67">
        <f t="shared" si="140"/>
        <v>437.91300000000001</v>
      </c>
      <c r="P832" s="67">
        <f t="shared" si="140"/>
        <v>1691.973</v>
      </c>
      <c r="Q832" s="67">
        <f t="shared" si="140"/>
        <v>926.80499999999995</v>
      </c>
      <c r="R832" s="67">
        <f t="shared" si="129"/>
        <v>294896.97499999992</v>
      </c>
    </row>
    <row r="833" spans="1:19" ht="15.75" customHeight="1" x14ac:dyDescent="0.3">
      <c r="A833" s="67"/>
      <c r="B833" s="67"/>
      <c r="C833" s="67"/>
      <c r="D833" s="67"/>
      <c r="E833" s="67"/>
      <c r="F833" s="67"/>
      <c r="G833" s="67"/>
      <c r="H833" s="67"/>
      <c r="I833" s="67"/>
      <c r="J833" s="67"/>
      <c r="K833" s="67"/>
      <c r="L833" s="67"/>
      <c r="M833" s="67"/>
      <c r="N833" s="67"/>
      <c r="O833" s="67"/>
      <c r="P833" s="67"/>
      <c r="Q833" s="67"/>
      <c r="R833" s="67"/>
    </row>
    <row r="834" spans="1:19" ht="15.75" customHeight="1" x14ac:dyDescent="0.3">
      <c r="A834" s="70" t="s">
        <v>2356</v>
      </c>
      <c r="B834" s="67">
        <f t="shared" ref="B834:R834" si="141">SUM(B821:B832)</f>
        <v>1583479.0689999999</v>
      </c>
      <c r="C834" s="67">
        <f t="shared" si="141"/>
        <v>212233.34399999998</v>
      </c>
      <c r="D834" s="67">
        <f t="shared" si="141"/>
        <v>211805.82400000002</v>
      </c>
      <c r="E834" s="67">
        <f t="shared" si="141"/>
        <v>298960.40400000004</v>
      </c>
      <c r="F834" s="67">
        <f t="shared" si="141"/>
        <v>65307.612999999998</v>
      </c>
      <c r="G834" s="67">
        <f t="shared" si="141"/>
        <v>-38987.894</v>
      </c>
      <c r="H834" s="67">
        <f t="shared" si="141"/>
        <v>89565.220000000016</v>
      </c>
      <c r="I834" s="67">
        <f t="shared" si="141"/>
        <v>53316.9</v>
      </c>
      <c r="J834" s="67">
        <f t="shared" si="141"/>
        <v>66909.129000000001</v>
      </c>
      <c r="K834" s="67">
        <f t="shared" si="141"/>
        <v>53916.59399999999</v>
      </c>
      <c r="L834" s="67">
        <f t="shared" si="141"/>
        <v>17760.797999999999</v>
      </c>
      <c r="M834" s="67">
        <f t="shared" si="141"/>
        <v>18260.957999999999</v>
      </c>
      <c r="N834" s="67">
        <f t="shared" si="141"/>
        <v>44006.019000000008</v>
      </c>
      <c r="O834" s="67">
        <f t="shared" si="141"/>
        <v>6780.5640000000003</v>
      </c>
      <c r="P834" s="67">
        <f t="shared" si="141"/>
        <v>19791.188999999998</v>
      </c>
      <c r="Q834" s="67">
        <f t="shared" si="141"/>
        <v>14326.637999999999</v>
      </c>
      <c r="R834" s="67">
        <f t="shared" si="141"/>
        <v>2717432.3690000004</v>
      </c>
    </row>
    <row r="835" spans="1:19" ht="15.75" customHeight="1" x14ac:dyDescent="0.3">
      <c r="A835" s="67" t="s">
        <v>852</v>
      </c>
      <c r="B835" s="67"/>
      <c r="C835" s="67"/>
      <c r="D835" s="67"/>
      <c r="E835" s="67"/>
      <c r="F835" s="67"/>
      <c r="G835" s="67"/>
      <c r="H835" s="67"/>
      <c r="I835" s="67"/>
      <c r="J835" s="67"/>
      <c r="K835" s="67"/>
      <c r="L835" s="67"/>
      <c r="M835" s="67"/>
      <c r="N835" s="67"/>
      <c r="O835" s="67"/>
      <c r="P835" s="67"/>
      <c r="Q835" s="67"/>
      <c r="R835" s="67"/>
    </row>
    <row r="836" spans="1:19" ht="15.75" customHeight="1" x14ac:dyDescent="0.3">
      <c r="A836" s="67"/>
      <c r="B836" s="67"/>
      <c r="C836" s="67"/>
      <c r="D836" s="67"/>
      <c r="E836" s="67"/>
      <c r="F836" s="67"/>
      <c r="G836" s="67"/>
      <c r="H836" s="67"/>
      <c r="I836" s="67"/>
      <c r="J836" s="67"/>
      <c r="K836" s="67"/>
      <c r="L836" s="67"/>
      <c r="M836" s="67"/>
      <c r="N836" s="67"/>
      <c r="O836" s="67"/>
      <c r="P836" s="67"/>
      <c r="Q836" s="67"/>
      <c r="R836" s="67"/>
      <c r="S836" s="67"/>
    </row>
    <row r="837" spans="1:19" ht="15.75" customHeight="1" x14ac:dyDescent="0.3">
      <c r="A837" s="67"/>
      <c r="B837" s="67"/>
      <c r="C837" s="67"/>
      <c r="D837" s="67"/>
      <c r="E837" s="67"/>
      <c r="F837" s="67"/>
      <c r="G837" s="67"/>
      <c r="H837" s="67"/>
      <c r="I837" s="67"/>
      <c r="J837" s="67"/>
      <c r="K837" s="67"/>
      <c r="L837" s="67"/>
      <c r="M837" s="67"/>
      <c r="N837" s="67"/>
      <c r="O837" s="67"/>
      <c r="P837" s="67"/>
      <c r="Q837" s="71" t="str">
        <f>+Q1</f>
        <v>PRINTED:</v>
      </c>
      <c r="R837" s="77">
        <f ca="1">+R1</f>
        <v>44881.72963425926</v>
      </c>
      <c r="S837" s="67"/>
    </row>
    <row r="838" spans="1:19" ht="15.75" customHeight="1" x14ac:dyDescent="0.35">
      <c r="A838" s="67"/>
      <c r="B838" s="67"/>
      <c r="C838" s="71" t="s">
        <v>2125</v>
      </c>
      <c r="D838" s="67"/>
      <c r="E838" s="67"/>
      <c r="F838" s="67"/>
      <c r="G838" s="67"/>
      <c r="H838" s="67"/>
      <c r="I838" s="67"/>
      <c r="J838" s="67"/>
      <c r="K838" s="67"/>
      <c r="L838" s="215"/>
      <c r="M838" s="71" t="s">
        <v>1456</v>
      </c>
      <c r="N838" s="67"/>
      <c r="O838" s="67"/>
      <c r="P838" s="67"/>
      <c r="Q838" s="67"/>
      <c r="R838" s="67"/>
      <c r="S838" s="67"/>
    </row>
    <row r="839" spans="1:19" ht="15.75" customHeight="1" x14ac:dyDescent="0.3">
      <c r="A839" s="67"/>
      <c r="B839" s="67"/>
      <c r="C839" s="67"/>
      <c r="D839" s="67"/>
      <c r="E839" s="67" t="s">
        <v>852</v>
      </c>
      <c r="F839" s="69" t="str">
        <f>+A9</f>
        <v>Revised:  1/24/11</v>
      </c>
      <c r="G839" s="67"/>
      <c r="H839" s="67"/>
      <c r="I839" s="67"/>
      <c r="J839" s="67"/>
      <c r="K839" s="67"/>
      <c r="L839" s="67"/>
      <c r="M839" s="67"/>
      <c r="N839" s="67"/>
      <c r="O839" s="67"/>
      <c r="P839" s="67" t="s">
        <v>852</v>
      </c>
      <c r="Q839" s="69" t="str">
        <f>+A9</f>
        <v>Revised:  1/24/11</v>
      </c>
      <c r="R839" s="67"/>
      <c r="S839" s="70" t="s">
        <v>2000</v>
      </c>
    </row>
    <row r="840" spans="1:19" ht="15.75" customHeight="1" x14ac:dyDescent="0.3">
      <c r="A840" s="67"/>
      <c r="B840" s="67"/>
      <c r="C840" s="67"/>
      <c r="D840" s="67" t="s">
        <v>2126</v>
      </c>
      <c r="E840" s="67"/>
      <c r="F840" s="67"/>
      <c r="G840" s="67"/>
      <c r="H840" s="67"/>
      <c r="I840" s="67"/>
      <c r="J840" s="67"/>
      <c r="K840" s="67"/>
      <c r="L840" s="67"/>
      <c r="M840" s="67"/>
      <c r="N840" s="67" t="s">
        <v>2126</v>
      </c>
      <c r="O840" s="67"/>
      <c r="P840" s="67"/>
      <c r="Q840" s="67"/>
      <c r="R840" s="67"/>
      <c r="S840" s="70" t="s">
        <v>242</v>
      </c>
    </row>
    <row r="841" spans="1:19" ht="15.75" customHeight="1" x14ac:dyDescent="0.3">
      <c r="A841" s="67"/>
      <c r="B841" s="67"/>
      <c r="C841" s="67"/>
      <c r="D841" s="67"/>
      <c r="E841" s="67"/>
      <c r="F841" s="67"/>
      <c r="G841" s="67"/>
      <c r="H841" s="67"/>
      <c r="I841" s="67"/>
      <c r="J841" s="67"/>
      <c r="K841" s="67"/>
      <c r="L841" s="67"/>
      <c r="M841" s="67"/>
      <c r="N841" s="67"/>
      <c r="O841" s="67"/>
      <c r="P841" s="67"/>
      <c r="Q841" s="67"/>
      <c r="R841" s="67"/>
      <c r="S841" s="70" t="s">
        <v>1481</v>
      </c>
    </row>
    <row r="842" spans="1:19" ht="15.75" customHeight="1" x14ac:dyDescent="0.3">
      <c r="A842" s="67"/>
      <c r="B842" s="67"/>
      <c r="C842" s="67"/>
      <c r="D842" s="67"/>
      <c r="E842" s="67" t="str">
        <f>+A5</f>
        <v>Calendar Year 2010</v>
      </c>
      <c r="F842" s="67"/>
      <c r="G842" s="67"/>
      <c r="H842" s="67"/>
      <c r="I842" s="67"/>
      <c r="J842" s="67"/>
      <c r="K842" s="67"/>
      <c r="L842" s="67"/>
      <c r="M842" s="67"/>
      <c r="N842" s="67"/>
      <c r="O842" s="67"/>
      <c r="P842" s="67" t="str">
        <f>+A5</f>
        <v>Calendar Year 2010</v>
      </c>
      <c r="Q842" s="67"/>
      <c r="R842" s="67"/>
      <c r="S842" s="70" t="s">
        <v>1353</v>
      </c>
    </row>
    <row r="843" spans="1:19" ht="15.75" customHeight="1" x14ac:dyDescent="0.3">
      <c r="A843" s="67"/>
      <c r="B843" s="67"/>
      <c r="C843" s="67"/>
      <c r="D843" s="67"/>
      <c r="E843" s="67" t="s">
        <v>1199</v>
      </c>
      <c r="F843" s="67"/>
      <c r="G843" s="67"/>
      <c r="H843" s="67"/>
      <c r="I843" s="67"/>
      <c r="J843" s="67"/>
      <c r="K843" s="67"/>
      <c r="L843" s="67"/>
      <c r="M843" s="67"/>
      <c r="N843" s="67"/>
      <c r="O843" s="67"/>
      <c r="P843" s="67" t="s">
        <v>1199</v>
      </c>
      <c r="Q843" s="67"/>
      <c r="R843" s="67"/>
      <c r="S843" s="73">
        <f t="shared" ref="S843:S854" si="142">(Q875*R875)/1000</f>
        <v>19.382455560000007</v>
      </c>
    </row>
    <row r="844" spans="1:19" ht="15.75" customHeight="1" x14ac:dyDescent="0.3">
      <c r="A844" s="67"/>
      <c r="B844" s="67"/>
      <c r="C844" s="67"/>
      <c r="D844" s="67"/>
      <c r="E844" s="67"/>
      <c r="F844" s="67"/>
      <c r="G844" s="67"/>
      <c r="H844" s="67"/>
      <c r="I844" s="67"/>
      <c r="J844" s="67"/>
      <c r="K844" s="67"/>
      <c r="L844" s="67"/>
      <c r="M844" s="67"/>
      <c r="N844" s="67"/>
      <c r="O844" s="67"/>
      <c r="P844" s="67"/>
      <c r="Q844" s="67"/>
      <c r="R844" s="67"/>
      <c r="S844" s="73">
        <f t="shared" si="142"/>
        <v>20.862173280000004</v>
      </c>
    </row>
    <row r="845" spans="1:19" ht="15.75" customHeight="1" x14ac:dyDescent="0.3">
      <c r="A845" s="67" t="s">
        <v>1307</v>
      </c>
      <c r="B845" s="70" t="s">
        <v>1308</v>
      </c>
      <c r="C845" s="70" t="s">
        <v>1309</v>
      </c>
      <c r="D845" s="70" t="s">
        <v>1029</v>
      </c>
      <c r="E845" s="70" t="s">
        <v>1030</v>
      </c>
      <c r="F845" s="70" t="s">
        <v>284</v>
      </c>
      <c r="G845" s="67"/>
      <c r="H845" s="70" t="s">
        <v>2356</v>
      </c>
      <c r="I845" s="67"/>
      <c r="J845" s="67"/>
      <c r="K845" s="67"/>
      <c r="L845" s="67" t="s">
        <v>1307</v>
      </c>
      <c r="M845" s="70" t="s">
        <v>1308</v>
      </c>
      <c r="N845" s="70" t="s">
        <v>1309</v>
      </c>
      <c r="O845" s="70" t="s">
        <v>1029</v>
      </c>
      <c r="P845" s="70" t="s">
        <v>1030</v>
      </c>
      <c r="Q845" s="70" t="s">
        <v>284</v>
      </c>
      <c r="R845" s="70" t="s">
        <v>2356</v>
      </c>
      <c r="S845" s="73">
        <f t="shared" si="142"/>
        <v>32.142801599999999</v>
      </c>
    </row>
    <row r="846" spans="1:19" ht="15.75" customHeight="1" x14ac:dyDescent="0.3">
      <c r="A846" s="67" t="s">
        <v>526</v>
      </c>
      <c r="B846" s="67"/>
      <c r="C846" s="67"/>
      <c r="D846" s="67"/>
      <c r="E846" s="67"/>
      <c r="F846" s="70" t="s">
        <v>1193</v>
      </c>
      <c r="G846" s="67"/>
      <c r="H846" s="70" t="s">
        <v>252</v>
      </c>
      <c r="I846" s="67"/>
      <c r="J846" s="67"/>
      <c r="K846" s="67"/>
      <c r="L846" s="67" t="s">
        <v>526</v>
      </c>
      <c r="M846" s="67"/>
      <c r="N846" s="67"/>
      <c r="O846" s="67"/>
      <c r="P846" s="67"/>
      <c r="Q846" s="70" t="s">
        <v>1193</v>
      </c>
      <c r="R846" s="70" t="s">
        <v>252</v>
      </c>
      <c r="S846" s="73">
        <f t="shared" si="142"/>
        <v>31.501844009999999</v>
      </c>
    </row>
    <row r="847" spans="1:19" ht="15.75" customHeight="1" x14ac:dyDescent="0.3">
      <c r="A847" s="67" t="s">
        <v>1195</v>
      </c>
      <c r="B847" s="67">
        <v>953</v>
      </c>
      <c r="C847" s="67">
        <v>128</v>
      </c>
      <c r="D847" s="67">
        <v>128</v>
      </c>
      <c r="E847" s="67">
        <v>219</v>
      </c>
      <c r="F847" s="67">
        <v>179</v>
      </c>
      <c r="G847" s="67"/>
      <c r="H847" s="70" t="s">
        <v>335</v>
      </c>
      <c r="I847" s="67"/>
      <c r="J847" s="67"/>
      <c r="K847" s="67"/>
      <c r="L847" s="67" t="s">
        <v>1195</v>
      </c>
      <c r="M847" s="67">
        <v>953</v>
      </c>
      <c r="N847" s="67">
        <v>128</v>
      </c>
      <c r="O847" s="67">
        <v>128</v>
      </c>
      <c r="P847" s="67">
        <v>219</v>
      </c>
      <c r="Q847" s="67">
        <v>179</v>
      </c>
      <c r="R847" s="70" t="s">
        <v>335</v>
      </c>
      <c r="S847" s="73">
        <f t="shared" si="142"/>
        <v>32.62958673</v>
      </c>
    </row>
    <row r="848" spans="1:19" ht="15.75" customHeight="1" x14ac:dyDescent="0.3">
      <c r="A848" s="67"/>
      <c r="B848" s="67" t="s">
        <v>1353</v>
      </c>
      <c r="C848" s="67" t="s">
        <v>1353</v>
      </c>
      <c r="D848" s="67" t="s">
        <v>1353</v>
      </c>
      <c r="E848" s="67" t="s">
        <v>1353</v>
      </c>
      <c r="F848" s="67" t="s">
        <v>1353</v>
      </c>
      <c r="G848" s="67"/>
      <c r="H848" s="67" t="s">
        <v>251</v>
      </c>
      <c r="I848" s="67"/>
      <c r="J848" s="67"/>
      <c r="K848" s="67"/>
      <c r="L848" s="67"/>
      <c r="M848" s="67" t="s">
        <v>1353</v>
      </c>
      <c r="N848" s="67" t="s">
        <v>1353</v>
      </c>
      <c r="O848" s="67" t="s">
        <v>1353</v>
      </c>
      <c r="P848" s="67" t="s">
        <v>1353</v>
      </c>
      <c r="Q848" s="67" t="s">
        <v>1353</v>
      </c>
      <c r="R848" s="67" t="s">
        <v>251</v>
      </c>
      <c r="S848" s="73">
        <f t="shared" si="142"/>
        <v>28.792170030000005</v>
      </c>
    </row>
    <row r="849" spans="1:19" ht="15.75" customHeight="1" x14ac:dyDescent="0.3">
      <c r="A849" s="70" t="s">
        <v>1354</v>
      </c>
      <c r="B849" s="67">
        <f t="shared" ref="B849:F860" si="143">($F739)*B$737/1000</f>
        <v>65999.062000000005</v>
      </c>
      <c r="C849" s="67">
        <f t="shared" si="143"/>
        <v>8864.5120000000006</v>
      </c>
      <c r="D849" s="67">
        <f t="shared" si="143"/>
        <v>8864.5120000000006</v>
      </c>
      <c r="E849" s="67">
        <f t="shared" si="143"/>
        <v>15166.626</v>
      </c>
      <c r="F849" s="67">
        <f t="shared" si="143"/>
        <v>12396.466</v>
      </c>
      <c r="G849" s="67"/>
      <c r="H849" s="67">
        <f t="shared" ref="H849:H860" si="144">SUM(B849:F849)</f>
        <v>111291.17800000001</v>
      </c>
      <c r="I849" s="67"/>
      <c r="J849" s="67"/>
      <c r="K849" s="67"/>
      <c r="L849" s="70" t="s">
        <v>1354</v>
      </c>
      <c r="M849" s="67">
        <f t="shared" ref="M849:M860" si="145">(B739-$F739)*B$737/1000</f>
        <v>54714.589</v>
      </c>
      <c r="N849" s="67">
        <f t="shared" ref="N849:N860" si="146">(C739-$F739)*C$737/1000</f>
        <v>7336.4480000000003</v>
      </c>
      <c r="O849" s="67">
        <f t="shared" ref="O849:O860" si="147">(D739-$F739)*D$737/1000</f>
        <v>7324.16</v>
      </c>
      <c r="P849" s="67">
        <f t="shared" ref="P849:P860" si="148">(E739-$F739)*E$737/1000</f>
        <v>11061.471</v>
      </c>
      <c r="Q849" s="67">
        <f t="shared" ref="Q849:Q860" si="149">(F739-$F739)*F$737/1000</f>
        <v>0</v>
      </c>
      <c r="R849" s="67">
        <f t="shared" ref="R849:R860" si="150">SUM(L849:P849)</f>
        <v>80436.668000000005</v>
      </c>
      <c r="S849" s="73">
        <f t="shared" si="142"/>
        <v>26.099605740000001</v>
      </c>
    </row>
    <row r="850" spans="1:19" ht="15.75" customHeight="1" x14ac:dyDescent="0.3">
      <c r="A850" s="70" t="s">
        <v>706</v>
      </c>
      <c r="B850" s="67">
        <f t="shared" si="143"/>
        <v>30518.871999999999</v>
      </c>
      <c r="C850" s="67">
        <f t="shared" si="143"/>
        <v>4099.0720000000001</v>
      </c>
      <c r="D850" s="67">
        <f t="shared" si="143"/>
        <v>4099.0720000000001</v>
      </c>
      <c r="E850" s="67">
        <f t="shared" si="143"/>
        <v>7013.2560000000003</v>
      </c>
      <c r="F850" s="67">
        <f t="shared" si="143"/>
        <v>5732.2960000000003</v>
      </c>
      <c r="G850" s="67"/>
      <c r="H850" s="67">
        <f t="shared" si="144"/>
        <v>51462.568000000007</v>
      </c>
      <c r="I850" s="67"/>
      <c r="J850" s="67"/>
      <c r="K850" s="67"/>
      <c r="L850" s="70" t="s">
        <v>706</v>
      </c>
      <c r="M850" s="67">
        <f t="shared" si="145"/>
        <v>56470.968000000001</v>
      </c>
      <c r="N850" s="67">
        <f t="shared" si="146"/>
        <v>7565.8239999999996</v>
      </c>
      <c r="O850" s="67">
        <f t="shared" si="147"/>
        <v>7547.2640000000001</v>
      </c>
      <c r="P850" s="67">
        <f t="shared" si="148"/>
        <v>10102.689</v>
      </c>
      <c r="Q850" s="67">
        <f t="shared" si="149"/>
        <v>0</v>
      </c>
      <c r="R850" s="67">
        <f t="shared" si="150"/>
        <v>81686.744999999995</v>
      </c>
      <c r="S850" s="73">
        <f t="shared" si="142"/>
        <v>32.304510029999996</v>
      </c>
    </row>
    <row r="851" spans="1:19" ht="15.75" customHeight="1" x14ac:dyDescent="0.3">
      <c r="A851" s="70" t="s">
        <v>707</v>
      </c>
      <c r="B851" s="67">
        <f t="shared" si="143"/>
        <v>22144.861000000001</v>
      </c>
      <c r="C851" s="67">
        <f t="shared" si="143"/>
        <v>2974.3359999999998</v>
      </c>
      <c r="D851" s="67">
        <f t="shared" si="143"/>
        <v>2974.3359999999998</v>
      </c>
      <c r="E851" s="67">
        <f t="shared" si="143"/>
        <v>5088.9030000000002</v>
      </c>
      <c r="F851" s="67">
        <f t="shared" si="143"/>
        <v>4159.4229999999998</v>
      </c>
      <c r="G851" s="67"/>
      <c r="H851" s="67">
        <f t="shared" si="144"/>
        <v>37341.859000000004</v>
      </c>
      <c r="I851" s="67"/>
      <c r="J851" s="67"/>
      <c r="K851" s="67"/>
      <c r="L851" s="70" t="s">
        <v>707</v>
      </c>
      <c r="M851" s="67">
        <f t="shared" si="145"/>
        <v>101785.16499999999</v>
      </c>
      <c r="N851" s="67">
        <f t="shared" si="146"/>
        <v>13635.968000000001</v>
      </c>
      <c r="O851" s="67">
        <f t="shared" si="147"/>
        <v>13602.56</v>
      </c>
      <c r="P851" s="67">
        <f t="shared" si="148"/>
        <v>19271.343000000001</v>
      </c>
      <c r="Q851" s="67">
        <f t="shared" si="149"/>
        <v>0</v>
      </c>
      <c r="R851" s="67">
        <f t="shared" si="150"/>
        <v>148295.03599999999</v>
      </c>
      <c r="S851" s="73">
        <f t="shared" si="142"/>
        <v>28.574182649999997</v>
      </c>
    </row>
    <row r="852" spans="1:19" ht="15.75" customHeight="1" x14ac:dyDescent="0.3">
      <c r="A852" s="70" t="s">
        <v>1321</v>
      </c>
      <c r="B852" s="67">
        <f t="shared" si="143"/>
        <v>0</v>
      </c>
      <c r="C852" s="67">
        <f t="shared" si="143"/>
        <v>0</v>
      </c>
      <c r="D852" s="67">
        <f t="shared" si="143"/>
        <v>0</v>
      </c>
      <c r="E852" s="67">
        <f t="shared" si="143"/>
        <v>0</v>
      </c>
      <c r="F852" s="67">
        <f t="shared" si="143"/>
        <v>0</v>
      </c>
      <c r="G852" s="67"/>
      <c r="H852" s="67">
        <f t="shared" si="144"/>
        <v>0</v>
      </c>
      <c r="I852" s="67"/>
      <c r="J852" s="67"/>
      <c r="K852" s="67"/>
      <c r="L852" s="70" t="s">
        <v>1321</v>
      </c>
      <c r="M852" s="67">
        <f t="shared" si="145"/>
        <v>146584.742</v>
      </c>
      <c r="N852" s="67">
        <f t="shared" si="146"/>
        <v>19641.216</v>
      </c>
      <c r="O852" s="67">
        <f t="shared" si="147"/>
        <v>19596.416000000001</v>
      </c>
      <c r="P852" s="67">
        <f t="shared" si="148"/>
        <v>30820.526999999998</v>
      </c>
      <c r="Q852" s="67">
        <f t="shared" si="149"/>
        <v>0</v>
      </c>
      <c r="R852" s="67">
        <f t="shared" si="150"/>
        <v>216642.90099999998</v>
      </c>
      <c r="S852" s="73">
        <f t="shared" si="142"/>
        <v>12.816395280000002</v>
      </c>
    </row>
    <row r="853" spans="1:19" ht="15.75" customHeight="1" x14ac:dyDescent="0.3">
      <c r="A853" s="70" t="s">
        <v>1905</v>
      </c>
      <c r="B853" s="67">
        <f t="shared" si="143"/>
        <v>756.68200000000002</v>
      </c>
      <c r="C853" s="67">
        <f t="shared" si="143"/>
        <v>101.63200000000001</v>
      </c>
      <c r="D853" s="67">
        <f t="shared" si="143"/>
        <v>101.63200000000001</v>
      </c>
      <c r="E853" s="67">
        <f t="shared" si="143"/>
        <v>173.886</v>
      </c>
      <c r="F853" s="67">
        <f t="shared" si="143"/>
        <v>142.126</v>
      </c>
      <c r="G853" s="67"/>
      <c r="H853" s="67">
        <f t="shared" si="144"/>
        <v>1275.9580000000001</v>
      </c>
      <c r="I853" s="67"/>
      <c r="J853" s="67"/>
      <c r="K853" s="67"/>
      <c r="L853" s="70" t="s">
        <v>1905</v>
      </c>
      <c r="M853" s="67">
        <f t="shared" si="145"/>
        <v>161906.12299999999</v>
      </c>
      <c r="N853" s="67">
        <f t="shared" si="146"/>
        <v>21691.648000000001</v>
      </c>
      <c r="O853" s="67">
        <f t="shared" si="147"/>
        <v>21640.191999999999</v>
      </c>
      <c r="P853" s="67">
        <f t="shared" si="148"/>
        <v>30828.63</v>
      </c>
      <c r="Q853" s="67">
        <f t="shared" si="149"/>
        <v>0</v>
      </c>
      <c r="R853" s="67">
        <f t="shared" si="150"/>
        <v>236066.59300000002</v>
      </c>
      <c r="S853" s="73">
        <f t="shared" si="142"/>
        <v>20.448591540000002</v>
      </c>
    </row>
    <row r="854" spans="1:19" ht="15.75" customHeight="1" x14ac:dyDescent="0.3">
      <c r="A854" s="70" t="s">
        <v>1906</v>
      </c>
      <c r="B854" s="67">
        <f t="shared" si="143"/>
        <v>0</v>
      </c>
      <c r="C854" s="67">
        <f t="shared" si="143"/>
        <v>0</v>
      </c>
      <c r="D854" s="67">
        <f t="shared" si="143"/>
        <v>0</v>
      </c>
      <c r="E854" s="67">
        <f t="shared" si="143"/>
        <v>0</v>
      </c>
      <c r="F854" s="67">
        <f t="shared" si="143"/>
        <v>0</v>
      </c>
      <c r="G854" s="67"/>
      <c r="H854" s="67">
        <f t="shared" si="144"/>
        <v>0</v>
      </c>
      <c r="I854" s="67"/>
      <c r="J854" s="67"/>
      <c r="K854" s="67"/>
      <c r="L854" s="70" t="s">
        <v>1906</v>
      </c>
      <c r="M854" s="67">
        <f t="shared" si="145"/>
        <v>164185.69899999999</v>
      </c>
      <c r="N854" s="67">
        <f t="shared" si="146"/>
        <v>21998.848000000002</v>
      </c>
      <c r="O854" s="67">
        <f t="shared" si="147"/>
        <v>21948.16</v>
      </c>
      <c r="P854" s="67">
        <f t="shared" si="148"/>
        <v>31251.956999999999</v>
      </c>
      <c r="Q854" s="67">
        <f t="shared" si="149"/>
        <v>0</v>
      </c>
      <c r="R854" s="67">
        <f t="shared" si="150"/>
        <v>239384.66399999999</v>
      </c>
      <c r="S854" s="73">
        <f t="shared" si="142"/>
        <v>13.13331357</v>
      </c>
    </row>
    <row r="855" spans="1:19" ht="15.75" customHeight="1" x14ac:dyDescent="0.3">
      <c r="A855" s="70" t="s">
        <v>1907</v>
      </c>
      <c r="B855" s="67">
        <f t="shared" si="143"/>
        <v>0</v>
      </c>
      <c r="C855" s="67">
        <f t="shared" si="143"/>
        <v>0</v>
      </c>
      <c r="D855" s="67">
        <f t="shared" si="143"/>
        <v>0</v>
      </c>
      <c r="E855" s="67">
        <f t="shared" si="143"/>
        <v>0</v>
      </c>
      <c r="F855" s="67">
        <f t="shared" si="143"/>
        <v>0</v>
      </c>
      <c r="G855" s="67"/>
      <c r="H855" s="67">
        <f t="shared" si="144"/>
        <v>0</v>
      </c>
      <c r="I855" s="67"/>
      <c r="J855" s="67"/>
      <c r="K855" s="67"/>
      <c r="L855" s="70" t="s">
        <v>1907</v>
      </c>
      <c r="M855" s="67">
        <f t="shared" si="145"/>
        <v>51679.284</v>
      </c>
      <c r="N855" s="67">
        <f t="shared" si="146"/>
        <v>6887.9359999999997</v>
      </c>
      <c r="O855" s="67">
        <f t="shared" si="147"/>
        <v>6837.5039999999999</v>
      </c>
      <c r="P855" s="67">
        <f t="shared" si="148"/>
        <v>4477.674</v>
      </c>
      <c r="Q855" s="67">
        <f t="shared" si="149"/>
        <v>0</v>
      </c>
      <c r="R855" s="67">
        <f t="shared" si="150"/>
        <v>69882.398000000001</v>
      </c>
      <c r="S855" s="73"/>
    </row>
    <row r="856" spans="1:19" ht="15.75" customHeight="1" x14ac:dyDescent="0.3">
      <c r="A856" s="70" t="s">
        <v>1908</v>
      </c>
      <c r="B856" s="67">
        <f t="shared" si="143"/>
        <v>0</v>
      </c>
      <c r="C856" s="67">
        <f t="shared" si="143"/>
        <v>0</v>
      </c>
      <c r="D856" s="67">
        <f t="shared" si="143"/>
        <v>0</v>
      </c>
      <c r="E856" s="67">
        <f t="shared" si="143"/>
        <v>0</v>
      </c>
      <c r="F856" s="67">
        <f t="shared" si="143"/>
        <v>0</v>
      </c>
      <c r="G856" s="67"/>
      <c r="H856" s="67">
        <f t="shared" si="144"/>
        <v>0</v>
      </c>
      <c r="I856" s="67"/>
      <c r="J856" s="67"/>
      <c r="K856" s="67"/>
      <c r="L856" s="70" t="s">
        <v>1908</v>
      </c>
      <c r="M856" s="67">
        <f t="shared" si="145"/>
        <v>83691.506999999998</v>
      </c>
      <c r="N856" s="67">
        <f t="shared" si="146"/>
        <v>11198.08</v>
      </c>
      <c r="O856" s="67">
        <f t="shared" si="147"/>
        <v>11157.376</v>
      </c>
      <c r="P856" s="67">
        <f t="shared" si="148"/>
        <v>11295.582</v>
      </c>
      <c r="Q856" s="67">
        <f t="shared" si="149"/>
        <v>0</v>
      </c>
      <c r="R856" s="67">
        <f t="shared" si="150"/>
        <v>117342.545</v>
      </c>
      <c r="S856" s="73">
        <f>(SUM(S843:S854))</f>
        <v>298.68763001999992</v>
      </c>
    </row>
    <row r="857" spans="1:19" ht="15.75" customHeight="1" x14ac:dyDescent="0.3">
      <c r="A857" s="70" t="s">
        <v>2352</v>
      </c>
      <c r="B857" s="67">
        <f t="shared" si="143"/>
        <v>14499.895</v>
      </c>
      <c r="C857" s="67">
        <f t="shared" si="143"/>
        <v>1947.52</v>
      </c>
      <c r="D857" s="67">
        <f t="shared" si="143"/>
        <v>1947.52</v>
      </c>
      <c r="E857" s="67">
        <f t="shared" si="143"/>
        <v>3332.085</v>
      </c>
      <c r="F857" s="67">
        <f t="shared" si="143"/>
        <v>2723.4850000000001</v>
      </c>
      <c r="G857" s="67"/>
      <c r="H857" s="67">
        <f t="shared" si="144"/>
        <v>24450.505000000001</v>
      </c>
      <c r="I857" s="67"/>
      <c r="J857" s="67"/>
      <c r="K857" s="67"/>
      <c r="L857" s="70" t="s">
        <v>2352</v>
      </c>
      <c r="M857" s="67">
        <f t="shared" si="145"/>
        <v>145958.62100000001</v>
      </c>
      <c r="N857" s="67">
        <f t="shared" si="146"/>
        <v>19563.648000000001</v>
      </c>
      <c r="O857" s="67">
        <f t="shared" si="147"/>
        <v>19525.12</v>
      </c>
      <c r="P857" s="67">
        <f t="shared" si="148"/>
        <v>25858.424999999999</v>
      </c>
      <c r="Q857" s="67">
        <f t="shared" si="149"/>
        <v>0</v>
      </c>
      <c r="R857" s="67">
        <f t="shared" si="150"/>
        <v>210905.81400000001</v>
      </c>
      <c r="S857" s="67"/>
    </row>
    <row r="858" spans="1:19" ht="15.75" customHeight="1" x14ac:dyDescent="0.3">
      <c r="A858" s="70" t="s">
        <v>2353</v>
      </c>
      <c r="B858" s="67">
        <f t="shared" si="143"/>
        <v>52429.294999999998</v>
      </c>
      <c r="C858" s="67">
        <f t="shared" si="143"/>
        <v>7041.92</v>
      </c>
      <c r="D858" s="67">
        <f t="shared" si="143"/>
        <v>7041.92</v>
      </c>
      <c r="E858" s="67">
        <f t="shared" si="143"/>
        <v>12048.285</v>
      </c>
      <c r="F858" s="67">
        <f t="shared" si="143"/>
        <v>9847.6849999999995</v>
      </c>
      <c r="G858" s="67"/>
      <c r="H858" s="67">
        <f t="shared" si="144"/>
        <v>88409.104999999996</v>
      </c>
      <c r="I858" s="67"/>
      <c r="J858" s="67"/>
      <c r="K858" s="67"/>
      <c r="L858" s="70" t="s">
        <v>2353</v>
      </c>
      <c r="M858" s="67">
        <f t="shared" si="145"/>
        <v>105035.848</v>
      </c>
      <c r="N858" s="67">
        <f t="shared" si="146"/>
        <v>14071.168</v>
      </c>
      <c r="O858" s="67">
        <f t="shared" si="147"/>
        <v>14036.352000000001</v>
      </c>
      <c r="P858" s="67">
        <f t="shared" si="148"/>
        <v>17442.255000000001</v>
      </c>
      <c r="Q858" s="67">
        <f t="shared" si="149"/>
        <v>0</v>
      </c>
      <c r="R858" s="67">
        <f t="shared" si="150"/>
        <v>150585.62300000002</v>
      </c>
    </row>
    <row r="859" spans="1:19" ht="15.75" customHeight="1" x14ac:dyDescent="0.3">
      <c r="A859" s="70" t="s">
        <v>2354</v>
      </c>
      <c r="B859" s="67">
        <f t="shared" si="143"/>
        <v>61368.434999999998</v>
      </c>
      <c r="C859" s="67">
        <f t="shared" si="143"/>
        <v>8242.56</v>
      </c>
      <c r="D859" s="67">
        <f t="shared" si="143"/>
        <v>8242.56</v>
      </c>
      <c r="E859" s="67">
        <f t="shared" si="143"/>
        <v>14102.504999999999</v>
      </c>
      <c r="F859" s="67">
        <f t="shared" si="143"/>
        <v>11526.705</v>
      </c>
      <c r="G859" s="67"/>
      <c r="H859" s="67">
        <f t="shared" si="144"/>
        <v>103482.765</v>
      </c>
      <c r="I859" s="67"/>
      <c r="J859" s="67"/>
      <c r="K859" s="67"/>
      <c r="L859" s="70" t="s">
        <v>2354</v>
      </c>
      <c r="M859" s="67">
        <f t="shared" si="145"/>
        <v>83142.578999999998</v>
      </c>
      <c r="N859" s="67">
        <f t="shared" si="146"/>
        <v>11137.023999999999</v>
      </c>
      <c r="O859" s="67">
        <f t="shared" si="147"/>
        <v>11108.096</v>
      </c>
      <c r="P859" s="67">
        <f t="shared" si="148"/>
        <v>15147.353999999999</v>
      </c>
      <c r="Q859" s="67">
        <f t="shared" si="149"/>
        <v>0</v>
      </c>
      <c r="R859" s="67">
        <f t="shared" si="150"/>
        <v>120535.05300000001</v>
      </c>
    </row>
    <row r="860" spans="1:19" ht="15.75" customHeight="1" x14ac:dyDescent="0.3">
      <c r="A860" s="70" t="s">
        <v>2355</v>
      </c>
      <c r="B860" s="67">
        <f t="shared" si="143"/>
        <v>99982.089000000007</v>
      </c>
      <c r="C860" s="67">
        <f t="shared" si="143"/>
        <v>13428.864</v>
      </c>
      <c r="D860" s="67">
        <f t="shared" si="143"/>
        <v>13428.864</v>
      </c>
      <c r="E860" s="67">
        <f t="shared" si="143"/>
        <v>22975.947</v>
      </c>
      <c r="F860" s="67">
        <f t="shared" si="143"/>
        <v>18779.427</v>
      </c>
      <c r="G860" s="67"/>
      <c r="H860" s="67">
        <f t="shared" si="144"/>
        <v>168595.19100000002</v>
      </c>
      <c r="I860" s="67"/>
      <c r="J860" s="67"/>
      <c r="K860" s="67"/>
      <c r="L860" s="70" t="s">
        <v>2355</v>
      </c>
      <c r="M860" s="67">
        <f t="shared" si="145"/>
        <v>80624.752999999997</v>
      </c>
      <c r="N860" s="67">
        <f t="shared" si="146"/>
        <v>10805.12</v>
      </c>
      <c r="O860" s="67">
        <f t="shared" si="147"/>
        <v>10782.208000000001</v>
      </c>
      <c r="P860" s="67">
        <f t="shared" si="148"/>
        <v>11501.004000000001</v>
      </c>
      <c r="Q860" s="67">
        <f t="shared" si="149"/>
        <v>0</v>
      </c>
      <c r="R860" s="67">
        <f t="shared" si="150"/>
        <v>113713.08499999999</v>
      </c>
    </row>
    <row r="861" spans="1:19" ht="15.75" customHeight="1" x14ac:dyDescent="0.3">
      <c r="A861" s="67"/>
      <c r="B861" s="67"/>
      <c r="C861" s="67"/>
      <c r="D861" s="67"/>
      <c r="E861" s="67"/>
      <c r="F861" s="67"/>
      <c r="G861" s="67"/>
      <c r="H861" s="67"/>
      <c r="I861" s="67"/>
      <c r="J861" s="67"/>
      <c r="K861" s="67"/>
      <c r="L861" s="67"/>
      <c r="M861" s="67"/>
      <c r="N861" s="67"/>
      <c r="O861" s="67"/>
      <c r="P861" s="67"/>
      <c r="Q861" s="67"/>
      <c r="R861" s="67"/>
    </row>
    <row r="862" spans="1:19" ht="15.75" customHeight="1" x14ac:dyDescent="0.3">
      <c r="A862" s="70" t="s">
        <v>2356</v>
      </c>
      <c r="B862" s="67">
        <f>SUM(B849:B860)</f>
        <v>347699.19099999999</v>
      </c>
      <c r="C862" s="67">
        <f>SUM(C849:C860)</f>
        <v>46700.415999999997</v>
      </c>
      <c r="D862" s="67">
        <f>SUM(D849:D860)</f>
        <v>46700.415999999997</v>
      </c>
      <c r="E862" s="67">
        <f>SUM(E849:E860)</f>
        <v>79901.492999999988</v>
      </c>
      <c r="F862" s="67">
        <f>SUM(F849:F860)</f>
        <v>65307.612999999998</v>
      </c>
      <c r="G862" s="67"/>
      <c r="H862" s="67">
        <f>SUM(H849:H860)</f>
        <v>586309.12900000007</v>
      </c>
      <c r="I862" s="67"/>
      <c r="J862" s="67"/>
      <c r="K862" s="67"/>
      <c r="L862" s="70" t="s">
        <v>2356</v>
      </c>
      <c r="M862" s="67">
        <f t="shared" ref="M862:R862" si="151">SUM(M849:M860)</f>
        <v>1235779.878</v>
      </c>
      <c r="N862" s="67">
        <f t="shared" si="151"/>
        <v>165532.92800000001</v>
      </c>
      <c r="O862" s="67">
        <f t="shared" si="151"/>
        <v>165105.408</v>
      </c>
      <c r="P862" s="67">
        <f t="shared" si="151"/>
        <v>219058.91099999996</v>
      </c>
      <c r="Q862" s="67">
        <f t="shared" si="151"/>
        <v>0</v>
      </c>
      <c r="R862" s="67">
        <f t="shared" si="151"/>
        <v>1785477.1249999998</v>
      </c>
    </row>
    <row r="863" spans="1:19" ht="15.75" customHeight="1" x14ac:dyDescent="0.3">
      <c r="A863" s="67"/>
      <c r="B863" s="67"/>
      <c r="C863" s="67"/>
      <c r="D863" s="67"/>
      <c r="E863" s="67"/>
      <c r="F863" s="67"/>
      <c r="G863" s="67"/>
      <c r="H863" s="67"/>
      <c r="I863" s="67"/>
      <c r="J863" s="67"/>
      <c r="K863" s="67"/>
      <c r="L863" s="67"/>
      <c r="M863" s="67"/>
      <c r="N863" s="67"/>
      <c r="O863" s="67"/>
      <c r="P863" s="67"/>
      <c r="Q863" s="67"/>
      <c r="R863" s="67"/>
    </row>
    <row r="864" spans="1:19" ht="15.75" customHeight="1" x14ac:dyDescent="0.35">
      <c r="A864" s="67"/>
      <c r="B864" s="67" t="s">
        <v>2435</v>
      </c>
      <c r="C864" s="215"/>
      <c r="D864" s="215"/>
      <c r="E864" s="215"/>
      <c r="F864" s="215"/>
      <c r="G864" s="71" t="s">
        <v>1622</v>
      </c>
      <c r="H864" s="67"/>
      <c r="I864" s="67"/>
      <c r="J864" s="67"/>
      <c r="K864" s="67"/>
      <c r="L864" s="67"/>
      <c r="M864" s="67"/>
      <c r="N864" s="67"/>
      <c r="O864" s="67"/>
      <c r="P864" s="67"/>
      <c r="Q864" s="71" t="str">
        <f>+Q1</f>
        <v>PRINTED:</v>
      </c>
      <c r="R864" s="77">
        <f ca="1">+R1</f>
        <v>44881.72963425926</v>
      </c>
    </row>
    <row r="865" spans="1:18" ht="15.75" customHeight="1" x14ac:dyDescent="0.35">
      <c r="A865" s="67"/>
      <c r="B865" s="67"/>
      <c r="C865" s="215"/>
      <c r="D865" s="215"/>
      <c r="E865" s="215"/>
      <c r="F865" s="215"/>
      <c r="G865" s="67" t="s">
        <v>2435</v>
      </c>
      <c r="H865" s="67" t="s">
        <v>852</v>
      </c>
      <c r="I865" s="69" t="str">
        <f>+A9</f>
        <v>Revised:  1/24/11</v>
      </c>
      <c r="J865" s="67"/>
      <c r="K865" s="67"/>
      <c r="L865" s="67"/>
      <c r="M865" s="67"/>
      <c r="N865" s="67"/>
      <c r="O865" s="67"/>
      <c r="P865" s="67"/>
      <c r="Q865" s="67"/>
      <c r="R865" s="67"/>
    </row>
    <row r="866" spans="1:18" ht="15.75" customHeight="1" x14ac:dyDescent="0.35">
      <c r="A866" s="67"/>
      <c r="B866" s="67" t="s">
        <v>2435</v>
      </c>
      <c r="C866" s="215"/>
      <c r="D866" s="215"/>
      <c r="E866" s="215"/>
      <c r="F866" s="215"/>
      <c r="G866" s="67" t="s">
        <v>2126</v>
      </c>
      <c r="H866" s="67"/>
      <c r="I866" s="67"/>
      <c r="J866" s="67"/>
      <c r="K866" s="67"/>
      <c r="L866" s="67"/>
      <c r="M866" s="67"/>
      <c r="N866" s="67"/>
      <c r="O866" s="67"/>
      <c r="P866" s="67"/>
      <c r="Q866" s="67"/>
      <c r="R866" s="67"/>
    </row>
    <row r="867" spans="1:18" ht="15.75" customHeight="1" x14ac:dyDescent="0.35">
      <c r="A867" s="67"/>
      <c r="B867" s="67"/>
      <c r="C867" s="215"/>
      <c r="D867" s="215"/>
      <c r="E867" s="215"/>
      <c r="F867" s="215"/>
      <c r="G867" s="67"/>
      <c r="H867" s="67"/>
      <c r="I867" s="67"/>
      <c r="J867" s="67"/>
      <c r="K867" s="67"/>
      <c r="L867" s="67" t="s">
        <v>2435</v>
      </c>
      <c r="M867" s="67"/>
      <c r="N867" s="67"/>
      <c r="O867" s="67"/>
      <c r="P867" s="67"/>
      <c r="Q867" s="67"/>
      <c r="R867" s="67"/>
    </row>
    <row r="868" spans="1:18" ht="15.75" customHeight="1" x14ac:dyDescent="0.35">
      <c r="A868" s="67"/>
      <c r="B868" s="67"/>
      <c r="C868" s="215"/>
      <c r="D868" s="215"/>
      <c r="E868" s="215"/>
      <c r="F868" s="215"/>
      <c r="G868" s="67" t="s">
        <v>2435</v>
      </c>
      <c r="H868" s="67" t="str">
        <f>+A5</f>
        <v>Calendar Year 2010</v>
      </c>
      <c r="I868" s="67"/>
      <c r="K868" s="67"/>
      <c r="L868" s="67"/>
      <c r="N868" s="67" t="s">
        <v>2435</v>
      </c>
      <c r="O868" s="67"/>
      <c r="P868" s="67"/>
      <c r="Q868" s="71" t="s">
        <v>253</v>
      </c>
      <c r="R868" s="67"/>
    </row>
    <row r="869" spans="1:18" ht="15.75" customHeight="1" x14ac:dyDescent="0.3">
      <c r="A869" s="67"/>
      <c r="B869" s="67"/>
      <c r="C869" s="67"/>
      <c r="D869" s="67"/>
      <c r="E869" s="67"/>
      <c r="F869" s="67"/>
      <c r="G869" s="67"/>
      <c r="H869" s="67"/>
      <c r="I869" s="67"/>
      <c r="K869" s="67"/>
      <c r="L869" s="67"/>
      <c r="N869" s="67"/>
      <c r="O869" s="67"/>
      <c r="P869" s="67"/>
      <c r="Q869" s="67" t="s">
        <v>254</v>
      </c>
      <c r="R869" s="67"/>
    </row>
    <row r="870" spans="1:18" ht="15.75" customHeight="1" x14ac:dyDescent="0.35">
      <c r="A870" s="67" t="s">
        <v>2435</v>
      </c>
      <c r="B870" s="70" t="s">
        <v>2439</v>
      </c>
      <c r="C870" s="70" t="s">
        <v>336</v>
      </c>
      <c r="D870" s="70" t="s">
        <v>596</v>
      </c>
      <c r="E870" s="70" t="s">
        <v>228</v>
      </c>
      <c r="F870" s="67"/>
      <c r="G870" s="67"/>
      <c r="H870" s="70" t="s">
        <v>229</v>
      </c>
      <c r="I870" s="70" t="s">
        <v>1412</v>
      </c>
      <c r="J870" s="70" t="s">
        <v>1499</v>
      </c>
      <c r="K870" s="70" t="s">
        <v>1413</v>
      </c>
      <c r="L870" s="70" t="s">
        <v>1414</v>
      </c>
      <c r="M870" s="70" t="s">
        <v>1499</v>
      </c>
      <c r="N870" s="67" t="s">
        <v>2435</v>
      </c>
      <c r="O870" s="67"/>
      <c r="P870" s="67"/>
      <c r="Q870" s="67"/>
      <c r="R870" s="67"/>
    </row>
    <row r="871" spans="1:18" ht="15.75" customHeight="1" x14ac:dyDescent="0.3">
      <c r="A871" s="67" t="s">
        <v>2435</v>
      </c>
      <c r="B871" s="70" t="s">
        <v>275</v>
      </c>
      <c r="C871" s="70" t="s">
        <v>1415</v>
      </c>
      <c r="D871" s="70" t="s">
        <v>335</v>
      </c>
      <c r="E871" s="70" t="s">
        <v>2463</v>
      </c>
      <c r="F871" s="70" t="s">
        <v>1416</v>
      </c>
      <c r="G871" s="70" t="s">
        <v>1417</v>
      </c>
      <c r="H871" s="70" t="s">
        <v>1180</v>
      </c>
      <c r="I871" s="70" t="s">
        <v>1318</v>
      </c>
      <c r="J871" s="70" t="s">
        <v>76</v>
      </c>
      <c r="K871" s="70" t="s">
        <v>429</v>
      </c>
      <c r="L871" s="70" t="s">
        <v>2356</v>
      </c>
      <c r="M871" s="70" t="s">
        <v>76</v>
      </c>
      <c r="N871" s="67" t="s">
        <v>1999</v>
      </c>
      <c r="O871" s="67"/>
      <c r="P871" s="67"/>
      <c r="Q871" s="67" t="s">
        <v>2435</v>
      </c>
      <c r="R871" s="70" t="s">
        <v>335</v>
      </c>
    </row>
    <row r="872" spans="1:18" ht="15.75" customHeight="1" x14ac:dyDescent="0.3">
      <c r="A872" s="67" t="s">
        <v>2435</v>
      </c>
      <c r="B872" s="70" t="s">
        <v>335</v>
      </c>
      <c r="C872" s="217">
        <v>7.4999999999999997E-2</v>
      </c>
      <c r="D872" s="70" t="s">
        <v>133</v>
      </c>
      <c r="E872" s="70" t="s">
        <v>276</v>
      </c>
      <c r="F872" s="70" t="s">
        <v>335</v>
      </c>
      <c r="G872" s="70" t="s">
        <v>335</v>
      </c>
      <c r="H872" s="70" t="s">
        <v>335</v>
      </c>
      <c r="I872" s="70" t="s">
        <v>134</v>
      </c>
      <c r="J872" s="70" t="s">
        <v>1498</v>
      </c>
      <c r="K872" s="70" t="s">
        <v>335</v>
      </c>
      <c r="L872" s="70" t="s">
        <v>135</v>
      </c>
      <c r="M872" s="70" t="s">
        <v>1498</v>
      </c>
      <c r="N872" s="70" t="s">
        <v>136</v>
      </c>
      <c r="O872" s="70" t="s">
        <v>241</v>
      </c>
      <c r="P872" s="67"/>
      <c r="Q872" s="70" t="s">
        <v>335</v>
      </c>
      <c r="R872" s="70" t="s">
        <v>956</v>
      </c>
    </row>
    <row r="873" spans="1:18" ht="15.75" customHeight="1" x14ac:dyDescent="0.3">
      <c r="A873" s="67" t="s">
        <v>2435</v>
      </c>
      <c r="B873" s="70" t="s">
        <v>932</v>
      </c>
      <c r="C873" s="70" t="s">
        <v>932</v>
      </c>
      <c r="D873" s="70" t="s">
        <v>932</v>
      </c>
      <c r="E873" s="70" t="s">
        <v>932</v>
      </c>
      <c r="F873" s="70" t="s">
        <v>998</v>
      </c>
      <c r="G873" s="70" t="s">
        <v>998</v>
      </c>
      <c r="H873" s="70" t="s">
        <v>932</v>
      </c>
      <c r="I873" s="70" t="s">
        <v>932</v>
      </c>
      <c r="J873" s="70" t="s">
        <v>998</v>
      </c>
      <c r="K873" s="70" t="s">
        <v>932</v>
      </c>
      <c r="L873" s="70" t="s">
        <v>998</v>
      </c>
      <c r="M873" s="70" t="s">
        <v>998</v>
      </c>
      <c r="N873" s="70" t="s">
        <v>998</v>
      </c>
      <c r="O873" s="70" t="s">
        <v>998</v>
      </c>
      <c r="P873" s="67"/>
      <c r="Q873" s="70" t="s">
        <v>998</v>
      </c>
      <c r="R873" s="70" t="s">
        <v>2201</v>
      </c>
    </row>
    <row r="874" spans="1:18" ht="15.75" customHeight="1" x14ac:dyDescent="0.3">
      <c r="A874" s="67" t="s">
        <v>1353</v>
      </c>
      <c r="B874" s="67" t="s">
        <v>1353</v>
      </c>
      <c r="C874" s="67" t="s">
        <v>1353</v>
      </c>
      <c r="D874" s="67" t="s">
        <v>2202</v>
      </c>
      <c r="E874" s="67" t="s">
        <v>1353</v>
      </c>
      <c r="F874" s="70" t="s">
        <v>2119</v>
      </c>
      <c r="G874" s="70" t="s">
        <v>2119</v>
      </c>
      <c r="H874" s="67" t="s">
        <v>1353</v>
      </c>
      <c r="I874" s="67" t="s">
        <v>1353</v>
      </c>
      <c r="J874" s="67" t="s">
        <v>1353</v>
      </c>
      <c r="K874" s="67" t="s">
        <v>1353</v>
      </c>
      <c r="L874" s="70" t="s">
        <v>1353</v>
      </c>
      <c r="M874" s="67" t="s">
        <v>1353</v>
      </c>
      <c r="N874" s="70" t="s">
        <v>1353</v>
      </c>
      <c r="O874" s="70" t="s">
        <v>1353</v>
      </c>
      <c r="P874" s="67"/>
      <c r="Q874" s="70" t="s">
        <v>1353</v>
      </c>
      <c r="R874" s="70" t="s">
        <v>1353</v>
      </c>
    </row>
    <row r="875" spans="1:18" ht="15.75" customHeight="1" x14ac:dyDescent="0.3">
      <c r="A875" s="70" t="s">
        <v>1354</v>
      </c>
      <c r="B875" s="67">
        <f t="shared" ref="B875:B886" si="152">+H764</f>
        <v>213218.90200000003</v>
      </c>
      <c r="C875" s="67">
        <f t="shared" ref="C875:C886" si="153">(B875*C$872)</f>
        <v>15991.417650000001</v>
      </c>
      <c r="D875" s="67">
        <f t="shared" ref="D875:D886" si="154">(B875*1.005)</f>
        <v>214284.99651</v>
      </c>
      <c r="E875" s="67">
        <f t="shared" ref="E875:E882" si="155">(G739*G$737)/(-1000)</f>
        <v>0</v>
      </c>
      <c r="F875" s="67">
        <f t="shared" ref="F875:F886" si="156">(K912)</f>
        <v>12800</v>
      </c>
      <c r="G875" s="67">
        <f t="shared" ref="G875:G886" si="157">(O912)</f>
        <v>0</v>
      </c>
      <c r="H875" s="67">
        <f t="shared" ref="H875:H886" si="158">(F875+G875)</f>
        <v>12800</v>
      </c>
      <c r="I875" s="67">
        <f t="shared" ref="I875:I886" si="159">(G912)</f>
        <v>0</v>
      </c>
      <c r="J875">
        <f>B$238*1.561</f>
        <v>1287.825</v>
      </c>
      <c r="K875" s="67">
        <f t="shared" ref="K875:K886" si="160">(D875+C875-E875-H875-I875-J875)</f>
        <v>216188.58915999997</v>
      </c>
      <c r="L875" s="67">
        <f t="shared" ref="L875:L886" si="161">(C875+D875)</f>
        <v>230276.41415999999</v>
      </c>
      <c r="M875" s="67">
        <f t="shared" ref="M875:M886" si="162">J875</f>
        <v>1287.825</v>
      </c>
      <c r="N875" s="348">
        <v>230221</v>
      </c>
      <c r="O875" s="67">
        <v>0</v>
      </c>
      <c r="P875" s="218" t="s">
        <v>925</v>
      </c>
      <c r="Q875" s="67">
        <f t="shared" ref="Q875:Q886" si="163">SUM(L821:Q821)</f>
        <v>7847.148000000001</v>
      </c>
      <c r="R875" s="72">
        <v>2.4700000000000002</v>
      </c>
    </row>
    <row r="876" spans="1:18" ht="15.75" customHeight="1" x14ac:dyDescent="0.3">
      <c r="A876" s="70" t="s">
        <v>706</v>
      </c>
      <c r="B876" s="67">
        <f t="shared" si="152"/>
        <v>154183.166</v>
      </c>
      <c r="C876" s="67">
        <f t="shared" si="153"/>
        <v>11563.737449999999</v>
      </c>
      <c r="D876" s="67">
        <f t="shared" si="154"/>
        <v>154954.08182999998</v>
      </c>
      <c r="E876" s="67">
        <f t="shared" si="155"/>
        <v>0</v>
      </c>
      <c r="F876" s="67">
        <f t="shared" si="156"/>
        <v>12800</v>
      </c>
      <c r="G876" s="67">
        <f t="shared" si="157"/>
        <v>0</v>
      </c>
      <c r="H876" s="67">
        <f t="shared" si="158"/>
        <v>12800</v>
      </c>
      <c r="I876" s="67">
        <f t="shared" si="159"/>
        <v>0</v>
      </c>
      <c r="J876">
        <f>C$238*1.561</f>
        <v>1895.0539999999999</v>
      </c>
      <c r="K876" s="67">
        <f t="shared" si="160"/>
        <v>151822.76527999996</v>
      </c>
      <c r="L876" s="67">
        <f t="shared" si="161"/>
        <v>166517.81927999997</v>
      </c>
      <c r="M876" s="67">
        <f t="shared" si="162"/>
        <v>1895.0539999999999</v>
      </c>
      <c r="N876" s="348">
        <v>163742</v>
      </c>
      <c r="O876" s="67">
        <v>0</v>
      </c>
      <c r="P876" s="67"/>
      <c r="Q876" s="67">
        <f t="shared" si="163"/>
        <v>8446.2240000000002</v>
      </c>
      <c r="R876" s="72">
        <v>2.4700000000000002</v>
      </c>
    </row>
    <row r="877" spans="1:18" ht="15.75" customHeight="1" x14ac:dyDescent="0.3">
      <c r="A877" s="70" t="s">
        <v>707</v>
      </c>
      <c r="B877" s="67">
        <f t="shared" si="152"/>
        <v>221118.65299999999</v>
      </c>
      <c r="C877" s="67">
        <f t="shared" si="153"/>
        <v>16583.898975</v>
      </c>
      <c r="D877" s="67">
        <f t="shared" si="154"/>
        <v>222224.24626499997</v>
      </c>
      <c r="E877" s="67">
        <f t="shared" si="155"/>
        <v>0</v>
      </c>
      <c r="F877" s="67">
        <f t="shared" si="156"/>
        <v>12800</v>
      </c>
      <c r="G877" s="67">
        <f t="shared" si="157"/>
        <v>0</v>
      </c>
      <c r="H877" s="67">
        <f t="shared" si="158"/>
        <v>12800</v>
      </c>
      <c r="I877" s="67">
        <f t="shared" si="159"/>
        <v>0</v>
      </c>
      <c r="J877">
        <f>D$238*1.561</f>
        <v>0</v>
      </c>
      <c r="K877" s="67">
        <f t="shared" si="160"/>
        <v>226008.14523999995</v>
      </c>
      <c r="L877" s="67">
        <f t="shared" si="161"/>
        <v>238808.14523999995</v>
      </c>
      <c r="M877" s="67">
        <f t="shared" si="162"/>
        <v>0</v>
      </c>
      <c r="N877" s="348">
        <v>235599</v>
      </c>
      <c r="O877" s="67">
        <v>0</v>
      </c>
      <c r="P877" s="67"/>
      <c r="Q877" s="67">
        <f t="shared" si="163"/>
        <v>13013.279999999999</v>
      </c>
      <c r="R877" s="72">
        <v>2.4700000000000002</v>
      </c>
    </row>
    <row r="878" spans="1:18" ht="15.75" customHeight="1" x14ac:dyDescent="0.3">
      <c r="A878" s="70" t="s">
        <v>1321</v>
      </c>
      <c r="B878" s="67">
        <f t="shared" si="152"/>
        <v>263717.42100000003</v>
      </c>
      <c r="C878" s="67">
        <f t="shared" si="153"/>
        <v>19778.806575000002</v>
      </c>
      <c r="D878" s="67">
        <f t="shared" si="154"/>
        <v>265036.00810500002</v>
      </c>
      <c r="E878" s="67">
        <f t="shared" si="155"/>
        <v>637.06500000000005</v>
      </c>
      <c r="F878" s="67">
        <f t="shared" si="156"/>
        <v>12800</v>
      </c>
      <c r="G878" s="67">
        <f t="shared" si="157"/>
        <v>0</v>
      </c>
      <c r="H878" s="67">
        <f t="shared" si="158"/>
        <v>12800</v>
      </c>
      <c r="I878" s="67">
        <f t="shared" si="159"/>
        <v>0</v>
      </c>
      <c r="J878">
        <f>F$238*1.561</f>
        <v>0</v>
      </c>
      <c r="K878" s="67">
        <f t="shared" si="160"/>
        <v>271377.74968000001</v>
      </c>
      <c r="L878" s="67">
        <f t="shared" si="161"/>
        <v>284814.81468000001</v>
      </c>
      <c r="M878" s="67">
        <f t="shared" si="162"/>
        <v>0</v>
      </c>
      <c r="N878" s="348">
        <v>282569</v>
      </c>
      <c r="O878" s="67">
        <v>0</v>
      </c>
      <c r="P878" s="67"/>
      <c r="Q878" s="67">
        <f t="shared" si="163"/>
        <v>12753.782999999999</v>
      </c>
      <c r="R878" s="72">
        <v>2.4700000000000002</v>
      </c>
    </row>
    <row r="879" spans="1:18" ht="15.75" customHeight="1" x14ac:dyDescent="0.3">
      <c r="A879" s="70" t="s">
        <v>1905</v>
      </c>
      <c r="B879" s="67">
        <f t="shared" si="152"/>
        <v>280095.96900000004</v>
      </c>
      <c r="C879" s="67">
        <f t="shared" si="153"/>
        <v>21007.197675000003</v>
      </c>
      <c r="D879" s="67">
        <f t="shared" si="154"/>
        <v>281496.44884500001</v>
      </c>
      <c r="E879" s="67">
        <f t="shared" si="155"/>
        <v>285.68099999999998</v>
      </c>
      <c r="F879" s="67">
        <f t="shared" si="156"/>
        <v>12800</v>
      </c>
      <c r="G879" s="67">
        <f t="shared" si="157"/>
        <v>0</v>
      </c>
      <c r="H879" s="67">
        <f t="shared" si="158"/>
        <v>12800</v>
      </c>
      <c r="I879" s="67">
        <f t="shared" si="159"/>
        <v>0</v>
      </c>
      <c r="J879">
        <f>G$238*1.561</f>
        <v>0</v>
      </c>
      <c r="K879" s="67">
        <f t="shared" si="160"/>
        <v>289417.96552000003</v>
      </c>
      <c r="L879" s="67">
        <f t="shared" si="161"/>
        <v>302503.64652000001</v>
      </c>
      <c r="M879" s="67">
        <f t="shared" si="162"/>
        <v>0</v>
      </c>
      <c r="N879" s="348">
        <v>302484</v>
      </c>
      <c r="O879" s="67">
        <v>0</v>
      </c>
      <c r="P879" s="67"/>
      <c r="Q879" s="67">
        <f t="shared" si="163"/>
        <v>13210.359</v>
      </c>
      <c r="R879" s="72">
        <v>2.4700000000000002</v>
      </c>
    </row>
    <row r="880" spans="1:18" ht="15.75" customHeight="1" x14ac:dyDescent="0.3">
      <c r="A880" s="70" t="s">
        <v>1906</v>
      </c>
      <c r="B880" s="67">
        <f t="shared" si="152"/>
        <v>284662.74</v>
      </c>
      <c r="C880" s="67">
        <f t="shared" si="153"/>
        <v>21349.7055</v>
      </c>
      <c r="D880" s="67">
        <f t="shared" si="154"/>
        <v>286086.05369999993</v>
      </c>
      <c r="E880" s="67">
        <f t="shared" si="155"/>
        <v>4835.7650000000003</v>
      </c>
      <c r="F880" s="67">
        <f t="shared" si="156"/>
        <v>12800</v>
      </c>
      <c r="G880" s="67">
        <f t="shared" si="157"/>
        <v>0</v>
      </c>
      <c r="H880" s="67">
        <f t="shared" si="158"/>
        <v>12800</v>
      </c>
      <c r="I880" s="67">
        <f t="shared" si="159"/>
        <v>0</v>
      </c>
      <c r="J880">
        <f>H$238*1.561</f>
        <v>0</v>
      </c>
      <c r="K880" s="67">
        <f t="shared" si="160"/>
        <v>289799.9941999999</v>
      </c>
      <c r="L880" s="67">
        <f t="shared" si="161"/>
        <v>307435.75919999991</v>
      </c>
      <c r="M880" s="67">
        <f t="shared" si="162"/>
        <v>0</v>
      </c>
      <c r="N880" s="348">
        <v>305288</v>
      </c>
      <c r="O880" s="67">
        <v>0</v>
      </c>
      <c r="P880" s="67"/>
      <c r="Q880" s="67">
        <f t="shared" si="163"/>
        <v>11656.749000000002</v>
      </c>
      <c r="R880" s="72">
        <v>2.4700000000000002</v>
      </c>
    </row>
    <row r="881" spans="1:18" ht="15.75" customHeight="1" x14ac:dyDescent="0.3">
      <c r="A881" s="70" t="s">
        <v>1907</v>
      </c>
      <c r="B881" s="67">
        <f t="shared" si="152"/>
        <v>115504.71799999999</v>
      </c>
      <c r="C881" s="67">
        <f t="shared" si="153"/>
        <v>8662.8538499999995</v>
      </c>
      <c r="D881" s="67">
        <f t="shared" si="154"/>
        <v>116082.24158999998</v>
      </c>
      <c r="E881" s="67">
        <f t="shared" si="155"/>
        <v>20295.088</v>
      </c>
      <c r="F881" s="67">
        <f t="shared" si="156"/>
        <v>12800</v>
      </c>
      <c r="G881" s="67">
        <f t="shared" si="157"/>
        <v>0</v>
      </c>
      <c r="H881" s="67">
        <f t="shared" si="158"/>
        <v>12800</v>
      </c>
      <c r="I881" s="67">
        <f t="shared" si="159"/>
        <v>0</v>
      </c>
      <c r="J881">
        <f>J$238*1.561</f>
        <v>0</v>
      </c>
      <c r="K881" s="67">
        <f t="shared" si="160"/>
        <v>91650.007439999972</v>
      </c>
      <c r="L881" s="67">
        <f t="shared" si="161"/>
        <v>124745.09543999998</v>
      </c>
      <c r="M881" s="67">
        <f t="shared" si="162"/>
        <v>0</v>
      </c>
      <c r="N881" s="348">
        <v>120881</v>
      </c>
      <c r="O881" s="67">
        <v>0</v>
      </c>
      <c r="P881" s="67"/>
      <c r="Q881" s="67">
        <f t="shared" si="163"/>
        <v>10566.642</v>
      </c>
      <c r="R881" s="72">
        <v>2.4700000000000002</v>
      </c>
    </row>
    <row r="882" spans="1:18" ht="15.75" customHeight="1" x14ac:dyDescent="0.3">
      <c r="A882" s="70" t="s">
        <v>1908</v>
      </c>
      <c r="B882" s="67">
        <f t="shared" si="152"/>
        <v>161904.701</v>
      </c>
      <c r="C882" s="67">
        <f t="shared" si="153"/>
        <v>12142.852574999999</v>
      </c>
      <c r="D882" s="67">
        <f t="shared" si="154"/>
        <v>162714.22450499999</v>
      </c>
      <c r="E882" s="67">
        <f t="shared" si="155"/>
        <v>12934.295</v>
      </c>
      <c r="F882" s="67">
        <f t="shared" si="156"/>
        <v>12800</v>
      </c>
      <c r="G882" s="67">
        <f t="shared" si="157"/>
        <v>0</v>
      </c>
      <c r="H882" s="67">
        <f t="shared" si="158"/>
        <v>12800</v>
      </c>
      <c r="I882" s="67">
        <f t="shared" si="159"/>
        <v>0</v>
      </c>
      <c r="J882">
        <f>K$238*1.561</f>
        <v>0</v>
      </c>
      <c r="K882" s="67">
        <f t="shared" si="160"/>
        <v>149122.78207999998</v>
      </c>
      <c r="L882" s="67">
        <f t="shared" si="161"/>
        <v>174857.07707999999</v>
      </c>
      <c r="M882" s="67">
        <f t="shared" si="162"/>
        <v>0</v>
      </c>
      <c r="N882" s="348">
        <v>168736</v>
      </c>
      <c r="O882" s="67">
        <v>0</v>
      </c>
      <c r="P882" s="67"/>
      <c r="Q882" s="67">
        <f t="shared" si="163"/>
        <v>13078.748999999998</v>
      </c>
      <c r="R882" s="72">
        <v>2.4700000000000002</v>
      </c>
    </row>
    <row r="883" spans="1:18" ht="15.75" customHeight="1" x14ac:dyDescent="0.3">
      <c r="A883" s="70" t="s">
        <v>2352</v>
      </c>
      <c r="B883" s="67">
        <f t="shared" si="152"/>
        <v>269985.69700000004</v>
      </c>
      <c r="C883" s="67">
        <f t="shared" si="153"/>
        <v>20248.927275000002</v>
      </c>
      <c r="D883" s="67">
        <f t="shared" si="154"/>
        <v>271335.62548500003</v>
      </c>
      <c r="E883" s="67">
        <v>0</v>
      </c>
      <c r="F883" s="67">
        <f t="shared" si="156"/>
        <v>13095</v>
      </c>
      <c r="G883" s="67">
        <f t="shared" si="157"/>
        <v>0</v>
      </c>
      <c r="H883" s="67">
        <f t="shared" si="158"/>
        <v>13095</v>
      </c>
      <c r="I883" s="67">
        <f t="shared" si="159"/>
        <v>0</v>
      </c>
      <c r="J883">
        <f>L$238*1.561</f>
        <v>1295.6299999999999</v>
      </c>
      <c r="K883" s="67">
        <f t="shared" si="160"/>
        <v>277193.92276000004</v>
      </c>
      <c r="L883" s="67">
        <f t="shared" si="161"/>
        <v>291584.55276000005</v>
      </c>
      <c r="M883" s="67">
        <f t="shared" si="162"/>
        <v>1295.6299999999999</v>
      </c>
      <c r="N883" s="348">
        <v>291164</v>
      </c>
      <c r="O883" s="67">
        <v>0</v>
      </c>
      <c r="P883" s="67"/>
      <c r="Q883" s="67">
        <f t="shared" si="163"/>
        <v>11568.494999999999</v>
      </c>
      <c r="R883" s="72">
        <v>2.4700000000000002</v>
      </c>
    </row>
    <row r="884" spans="1:18" ht="15.75" customHeight="1" x14ac:dyDescent="0.3">
      <c r="A884" s="70" t="s">
        <v>2353</v>
      </c>
      <c r="B884" s="67">
        <f t="shared" si="152"/>
        <v>252770.60800000001</v>
      </c>
      <c r="C884" s="67">
        <f t="shared" si="153"/>
        <v>18957.795600000001</v>
      </c>
      <c r="D884" s="67">
        <f t="shared" si="154"/>
        <v>254034.46103999999</v>
      </c>
      <c r="E884" s="67">
        <v>0</v>
      </c>
      <c r="F884" s="67">
        <f t="shared" si="156"/>
        <v>4000</v>
      </c>
      <c r="G884" s="67">
        <f t="shared" si="157"/>
        <v>0</v>
      </c>
      <c r="H884" s="67">
        <f t="shared" si="158"/>
        <v>4000</v>
      </c>
      <c r="I884" s="67">
        <f t="shared" si="159"/>
        <v>0</v>
      </c>
      <c r="J884">
        <f>N$238*1.561</f>
        <v>2357.11</v>
      </c>
      <c r="K884" s="67">
        <f t="shared" si="160"/>
        <v>266635.14663999999</v>
      </c>
      <c r="L884" s="67">
        <f t="shared" si="161"/>
        <v>272992.25663999998</v>
      </c>
      <c r="M884" s="67">
        <f t="shared" si="162"/>
        <v>2357.11</v>
      </c>
      <c r="N884" s="67">
        <f>L884-M884</f>
        <v>270635.14663999999</v>
      </c>
      <c r="O884" s="67">
        <f>(L884-M884-N884)</f>
        <v>0</v>
      </c>
      <c r="Q884" s="67">
        <f t="shared" si="163"/>
        <v>5188.8240000000005</v>
      </c>
      <c r="R884" s="72">
        <v>2.4700000000000002</v>
      </c>
    </row>
    <row r="885" spans="1:18" ht="15.75" customHeight="1" x14ac:dyDescent="0.3">
      <c r="A885" s="70" t="s">
        <v>2354</v>
      </c>
      <c r="B885" s="67">
        <f t="shared" si="152"/>
        <v>244360.71299999999</v>
      </c>
      <c r="C885" s="67">
        <f t="shared" si="153"/>
        <v>18327.053474999997</v>
      </c>
      <c r="D885" s="67">
        <f t="shared" si="154"/>
        <v>245582.51656499997</v>
      </c>
      <c r="E885" s="67">
        <f>(G749*G$737)/(-1000)</f>
        <v>0</v>
      </c>
      <c r="F885" s="67">
        <f t="shared" si="156"/>
        <v>4000</v>
      </c>
      <c r="G885" s="67">
        <f t="shared" si="157"/>
        <v>0</v>
      </c>
      <c r="H885" s="67">
        <f t="shared" si="158"/>
        <v>4000</v>
      </c>
      <c r="I885" s="67">
        <f t="shared" si="159"/>
        <v>248928.57003999996</v>
      </c>
      <c r="J885">
        <f>O$238*1.561</f>
        <v>0</v>
      </c>
      <c r="K885" s="67">
        <f t="shared" si="160"/>
        <v>10981</v>
      </c>
      <c r="L885" s="67">
        <f t="shared" si="161"/>
        <v>263909.57003999996</v>
      </c>
      <c r="M885" s="67">
        <f t="shared" si="162"/>
        <v>0</v>
      </c>
      <c r="N885" s="67">
        <v>14981</v>
      </c>
      <c r="O885" s="67">
        <f>(L885-M885-N885)</f>
        <v>248928.57003999996</v>
      </c>
      <c r="P885" s="219" t="s">
        <v>12</v>
      </c>
      <c r="Q885" s="67">
        <f t="shared" si="163"/>
        <v>8278.7819999999992</v>
      </c>
      <c r="R885" s="72">
        <v>2.4700000000000002</v>
      </c>
    </row>
    <row r="886" spans="1:18" ht="15.75" customHeight="1" x14ac:dyDescent="0.3">
      <c r="A886" s="70" t="s">
        <v>2355</v>
      </c>
      <c r="B886" s="67">
        <f t="shared" si="152"/>
        <v>294896.97500000003</v>
      </c>
      <c r="C886" s="67">
        <f t="shared" si="153"/>
        <v>22117.273125000003</v>
      </c>
      <c r="D886" s="67">
        <f t="shared" si="154"/>
        <v>296371.459875</v>
      </c>
      <c r="E886" s="67">
        <f>(G750*G$737)/(-1000)</f>
        <v>0</v>
      </c>
      <c r="F886" s="67">
        <f t="shared" si="156"/>
        <v>4000</v>
      </c>
      <c r="G886" s="67">
        <f t="shared" si="157"/>
        <v>0</v>
      </c>
      <c r="H886" s="67">
        <f t="shared" si="158"/>
        <v>4000</v>
      </c>
      <c r="I886" s="67">
        <f t="shared" si="159"/>
        <v>317987.652</v>
      </c>
      <c r="J886">
        <f>P$238*1.561</f>
        <v>501.08099999999996</v>
      </c>
      <c r="K886" s="67">
        <f t="shared" si="160"/>
        <v>-3999.9999999999945</v>
      </c>
      <c r="L886" s="67">
        <f t="shared" si="161"/>
        <v>318488.73300000001</v>
      </c>
      <c r="M886" s="67">
        <f t="shared" si="162"/>
        <v>501.08099999999996</v>
      </c>
      <c r="N886" s="67">
        <v>0</v>
      </c>
      <c r="O886" s="67">
        <f>(L886-M886-N886)</f>
        <v>317987.652</v>
      </c>
      <c r="P886" s="67"/>
      <c r="Q886" s="67">
        <f t="shared" si="163"/>
        <v>5317.1309999999994</v>
      </c>
      <c r="R886" s="72">
        <v>2.4700000000000002</v>
      </c>
    </row>
    <row r="887" spans="1:18" ht="15.75" customHeight="1" x14ac:dyDescent="0.3">
      <c r="A887" s="67" t="s">
        <v>2435</v>
      </c>
      <c r="B887" s="67" t="s">
        <v>2435</v>
      </c>
      <c r="C887" s="67"/>
      <c r="D887" s="67" t="s">
        <v>852</v>
      </c>
      <c r="E887" s="67"/>
      <c r="F887" s="67"/>
      <c r="G887" s="67" t="s">
        <v>852</v>
      </c>
      <c r="H887" s="67" t="s">
        <v>852</v>
      </c>
      <c r="I887" s="73"/>
      <c r="K887" s="67"/>
      <c r="L887" s="67"/>
      <c r="M887" s="67"/>
      <c r="N887" s="67"/>
      <c r="O887" s="70" t="s">
        <v>2435</v>
      </c>
      <c r="P887" s="67"/>
      <c r="Q887" s="67"/>
      <c r="R887" s="72"/>
    </row>
    <row r="888" spans="1:18" ht="15.75" customHeight="1" x14ac:dyDescent="0.3">
      <c r="A888" s="67" t="s">
        <v>2356</v>
      </c>
      <c r="B888" s="67">
        <f>SUM(B875:B886)</f>
        <v>2756420.2630000003</v>
      </c>
      <c r="C888" s="67">
        <f>SUM(C875:C886)</f>
        <v>206731.51972500002</v>
      </c>
      <c r="D888" s="67">
        <f>(B888*1.005)</f>
        <v>2770202.3643149999</v>
      </c>
      <c r="E888" s="67">
        <f>SUM(E875:E886)</f>
        <v>38987.894</v>
      </c>
      <c r="F888" s="67">
        <f>(K926)</f>
        <v>127495</v>
      </c>
      <c r="G888" s="67">
        <f>(O926)</f>
        <v>0</v>
      </c>
      <c r="H888" s="67">
        <f>(F888+G888)</f>
        <v>127495</v>
      </c>
      <c r="I888" s="67">
        <f t="shared" ref="I888:O888" si="164">SUM(I875:I886)</f>
        <v>566916.22203999991</v>
      </c>
      <c r="J888" s="67">
        <f t="shared" si="164"/>
        <v>7336.7000000000007</v>
      </c>
      <c r="K888" s="67">
        <f t="shared" si="164"/>
        <v>2236198.068</v>
      </c>
      <c r="L888" s="67">
        <f t="shared" si="164"/>
        <v>2976933.8840399999</v>
      </c>
      <c r="M888" s="67">
        <f t="shared" si="164"/>
        <v>7336.7000000000007</v>
      </c>
      <c r="N888" s="67">
        <f t="shared" si="164"/>
        <v>2386300.1466399999</v>
      </c>
      <c r="O888" s="67">
        <f t="shared" si="164"/>
        <v>566916.22203999991</v>
      </c>
      <c r="P888" s="67"/>
      <c r="Q888" s="67">
        <f>(SUM(Q875:Q886))</f>
        <v>120926.166</v>
      </c>
      <c r="R888" s="72"/>
    </row>
    <row r="889" spans="1:18" ht="15.75" customHeight="1" x14ac:dyDescent="0.3">
      <c r="A889" s="67"/>
      <c r="B889" s="67"/>
      <c r="C889" s="67"/>
      <c r="D889" s="67"/>
      <c r="E889" s="67"/>
      <c r="F889" s="67" t="s">
        <v>2435</v>
      </c>
      <c r="G889" s="67"/>
      <c r="H889" s="67"/>
      <c r="I889" s="67"/>
      <c r="K889" s="67"/>
      <c r="L889" s="67"/>
      <c r="P889" s="67"/>
      <c r="Q889" s="67"/>
      <c r="R889" s="67"/>
    </row>
    <row r="890" spans="1:18" ht="15.75" customHeight="1" x14ac:dyDescent="0.35">
      <c r="A890" s="67" t="s">
        <v>2435</v>
      </c>
      <c r="B890" s="67" t="s">
        <v>2452</v>
      </c>
      <c r="C890" s="67"/>
      <c r="D890" s="67"/>
      <c r="E890" s="67"/>
      <c r="F890" s="67"/>
      <c r="G890" s="67"/>
      <c r="H890" s="67"/>
      <c r="I890" s="67"/>
      <c r="J890" s="67"/>
      <c r="K890" s="67"/>
      <c r="L890" s="67"/>
      <c r="M890" s="67"/>
      <c r="N890" s="67"/>
      <c r="O890" s="67"/>
      <c r="P890" s="67"/>
      <c r="Q890" s="67"/>
      <c r="R890" s="67"/>
    </row>
    <row r="891" spans="1:18" ht="15.75" customHeight="1" x14ac:dyDescent="0.3">
      <c r="A891" s="67"/>
      <c r="B891" s="67" t="s">
        <v>1660</v>
      </c>
      <c r="C891" s="67"/>
      <c r="D891" s="67"/>
      <c r="E891" s="67"/>
      <c r="F891" s="67"/>
      <c r="G891" s="67"/>
      <c r="H891" s="67"/>
      <c r="I891" s="67"/>
      <c r="J891" s="67"/>
      <c r="K891" s="67"/>
      <c r="L891" s="67"/>
      <c r="M891" s="67"/>
      <c r="N891" s="67"/>
      <c r="O891" s="67"/>
      <c r="P891" s="67"/>
      <c r="Q891" s="67"/>
      <c r="R891" s="67"/>
    </row>
    <row r="892" spans="1:18" ht="15.75" customHeight="1" x14ac:dyDescent="0.3">
      <c r="A892" s="67"/>
      <c r="B892" s="67" t="s">
        <v>279</v>
      </c>
      <c r="C892" s="67"/>
      <c r="D892" s="67"/>
      <c r="E892" s="67"/>
      <c r="F892" s="67"/>
      <c r="G892" s="67"/>
      <c r="H892" s="67"/>
      <c r="I892" s="67"/>
      <c r="J892" s="67"/>
      <c r="K892" s="67"/>
      <c r="L892" s="67"/>
      <c r="M892" s="531" t="s">
        <v>832</v>
      </c>
      <c r="N892" s="532"/>
      <c r="O892" s="67"/>
      <c r="P892" s="67"/>
      <c r="Q892" s="67"/>
      <c r="R892" s="67"/>
    </row>
    <row r="893" spans="1:18" x14ac:dyDescent="0.3">
      <c r="A893" s="67"/>
      <c r="B893" s="67" t="s">
        <v>2259</v>
      </c>
      <c r="C893" s="67"/>
      <c r="D893" s="67"/>
      <c r="E893" s="67"/>
      <c r="F893" s="67"/>
      <c r="G893" s="67"/>
      <c r="H893" s="67"/>
      <c r="I893" s="67"/>
      <c r="J893" s="67"/>
      <c r="K893" s="67"/>
      <c r="L893" s="67"/>
      <c r="N893" s="67"/>
      <c r="O893" s="67"/>
      <c r="P893" s="67"/>
      <c r="Q893" s="67"/>
      <c r="R893" s="67"/>
    </row>
    <row r="894" spans="1:18" x14ac:dyDescent="0.3">
      <c r="A894" s="67"/>
      <c r="B894" s="67" t="s">
        <v>831</v>
      </c>
      <c r="C894" s="67"/>
      <c r="D894" s="67"/>
      <c r="E894" s="67"/>
      <c r="F894" s="67"/>
      <c r="G894" s="67"/>
      <c r="H894" s="67"/>
      <c r="I894" s="67"/>
      <c r="J894" s="67"/>
      <c r="K894" s="67"/>
      <c r="L894" s="67"/>
      <c r="M894" s="348" t="s">
        <v>194</v>
      </c>
      <c r="N894" s="348"/>
      <c r="O894" s="67"/>
      <c r="P894" s="67"/>
      <c r="Q894" s="67"/>
      <c r="R894" s="67"/>
    </row>
    <row r="895" spans="1:18" ht="16.2" x14ac:dyDescent="0.35">
      <c r="A895" s="67"/>
      <c r="B895" s="67" t="s">
        <v>1213</v>
      </c>
      <c r="C895" s="67"/>
      <c r="D895" s="67"/>
      <c r="E895" s="67"/>
      <c r="F895" s="67"/>
      <c r="G895" s="67"/>
      <c r="H895" s="67"/>
      <c r="I895" s="67"/>
      <c r="J895" s="67"/>
      <c r="K895" s="67"/>
      <c r="L895" s="67"/>
      <c r="M895" s="67"/>
      <c r="N895" s="67"/>
      <c r="O895" s="67"/>
      <c r="P895" s="67"/>
      <c r="Q895" s="67"/>
      <c r="R895" s="67"/>
    </row>
    <row r="896" spans="1:18" ht="16.2" x14ac:dyDescent="0.35">
      <c r="A896" s="67"/>
      <c r="B896" s="67" t="s">
        <v>1549</v>
      </c>
      <c r="C896" s="67"/>
      <c r="D896" s="67"/>
      <c r="E896" s="67"/>
      <c r="F896" s="67"/>
      <c r="G896" s="67"/>
      <c r="H896" s="67"/>
      <c r="I896" s="67"/>
      <c r="J896" s="67"/>
      <c r="K896" s="67"/>
      <c r="L896" s="67"/>
      <c r="M896" s="67"/>
      <c r="N896" s="67"/>
      <c r="O896" s="67"/>
      <c r="P896" s="67"/>
      <c r="Q896" s="67"/>
      <c r="R896" s="67"/>
    </row>
    <row r="897" spans="1:18" x14ac:dyDescent="0.3">
      <c r="A897" s="67"/>
      <c r="B897" s="67"/>
      <c r="C897" s="67"/>
      <c r="D897" s="67"/>
      <c r="E897" s="67"/>
      <c r="F897" s="67"/>
      <c r="G897" s="67"/>
      <c r="H897" s="67"/>
      <c r="I897" s="67"/>
      <c r="J897" s="67"/>
      <c r="K897" s="67"/>
      <c r="L897" s="67"/>
      <c r="M897" s="67"/>
      <c r="N897" s="67"/>
      <c r="O897" s="67"/>
      <c r="P897" s="67"/>
      <c r="Q897" s="67"/>
      <c r="R897" s="67"/>
    </row>
    <row r="898" spans="1:18" ht="16.2" x14ac:dyDescent="0.35">
      <c r="A898" s="67"/>
      <c r="B898" s="67"/>
      <c r="C898" s="215"/>
      <c r="D898" s="215"/>
      <c r="E898" s="215"/>
      <c r="F898" s="215"/>
      <c r="G898" s="215"/>
      <c r="H898" s="71" t="s">
        <v>1623</v>
      </c>
      <c r="I898" s="67"/>
      <c r="J898" s="67"/>
      <c r="K898" s="67"/>
      <c r="L898" s="67"/>
      <c r="M898" s="67"/>
      <c r="N898" s="67"/>
      <c r="O898" s="67"/>
      <c r="P898" s="67"/>
      <c r="Q898" s="71" t="str">
        <f>+Q1</f>
        <v>PRINTED:</v>
      </c>
      <c r="R898" s="77">
        <f ca="1">+R1</f>
        <v>44881.72963425926</v>
      </c>
    </row>
    <row r="899" spans="1:18" ht="16.2" x14ac:dyDescent="0.35">
      <c r="A899" s="67"/>
      <c r="B899" s="67"/>
      <c r="C899" s="215"/>
      <c r="D899" s="215"/>
      <c r="E899" s="215"/>
      <c r="F899" s="215"/>
      <c r="G899" s="215"/>
      <c r="H899" s="67" t="s">
        <v>2435</v>
      </c>
      <c r="I899" s="67" t="s">
        <v>852</v>
      </c>
      <c r="J899" s="69" t="str">
        <f>+A9</f>
        <v>Revised:  1/24/11</v>
      </c>
      <c r="K899" s="67"/>
      <c r="L899" s="67"/>
      <c r="M899" s="67"/>
      <c r="N899" s="67"/>
      <c r="O899" s="67"/>
      <c r="P899" s="67"/>
      <c r="Q899" s="67"/>
      <c r="R899" s="67"/>
    </row>
    <row r="900" spans="1:18" ht="16.2" x14ac:dyDescent="0.35">
      <c r="A900" s="67"/>
      <c r="B900" s="67"/>
      <c r="C900" s="215"/>
      <c r="D900" s="215"/>
      <c r="E900" s="215"/>
      <c r="F900" s="215"/>
      <c r="G900" s="215"/>
      <c r="H900" s="67" t="s">
        <v>2126</v>
      </c>
      <c r="I900" s="67"/>
      <c r="J900" s="67"/>
      <c r="K900" s="67"/>
      <c r="L900" s="67"/>
      <c r="M900" s="67"/>
      <c r="N900" s="67"/>
      <c r="O900" s="67"/>
      <c r="P900" s="67"/>
      <c r="Q900" s="67"/>
      <c r="R900" s="67"/>
    </row>
    <row r="901" spans="1:18" ht="16.2" x14ac:dyDescent="0.35">
      <c r="A901" s="67"/>
      <c r="B901" s="67"/>
      <c r="C901" s="215"/>
      <c r="D901" s="215"/>
      <c r="E901" s="215"/>
      <c r="F901" s="215"/>
      <c r="G901" s="215"/>
      <c r="H901" s="67"/>
      <c r="I901" s="67"/>
      <c r="J901" s="67"/>
      <c r="K901" s="67"/>
      <c r="L901" s="67"/>
      <c r="M901" s="67"/>
      <c r="N901" s="67"/>
      <c r="O901" s="67"/>
      <c r="P901" s="67"/>
      <c r="Q901" s="67"/>
      <c r="R901" s="67"/>
    </row>
    <row r="902" spans="1:18" ht="16.2" x14ac:dyDescent="0.35">
      <c r="A902" s="67"/>
      <c r="B902" s="67"/>
      <c r="C902" s="215"/>
      <c r="D902" s="215"/>
      <c r="E902" s="215"/>
      <c r="F902" s="215"/>
      <c r="G902" s="215"/>
      <c r="H902" s="67" t="s">
        <v>2435</v>
      </c>
      <c r="I902" s="67" t="str">
        <f>+A5</f>
        <v>Calendar Year 2010</v>
      </c>
      <c r="J902" s="67"/>
      <c r="K902" s="67"/>
      <c r="L902" s="67"/>
      <c r="M902" s="67"/>
      <c r="N902" s="67"/>
      <c r="O902" s="67"/>
      <c r="P902" s="67"/>
      <c r="Q902" s="67"/>
      <c r="R902" s="67"/>
    </row>
    <row r="903" spans="1:18" x14ac:dyDescent="0.3">
      <c r="A903" s="67"/>
      <c r="B903" s="67"/>
      <c r="C903" s="67"/>
      <c r="D903" s="67"/>
      <c r="E903" s="67"/>
      <c r="F903" s="67"/>
      <c r="G903" s="67"/>
      <c r="H903" s="67"/>
      <c r="I903" s="67"/>
      <c r="J903" s="67"/>
      <c r="K903" s="67"/>
      <c r="L903" s="67"/>
      <c r="M903" s="67"/>
      <c r="N903" s="67"/>
      <c r="O903" s="67"/>
      <c r="P903" s="67"/>
      <c r="Q903" s="67"/>
      <c r="R903" s="67"/>
    </row>
    <row r="904" spans="1:18" x14ac:dyDescent="0.3">
      <c r="A904" s="67"/>
      <c r="B904" s="67"/>
      <c r="C904" s="71" t="s">
        <v>1442</v>
      </c>
      <c r="D904" s="67"/>
      <c r="E904" s="67"/>
      <c r="F904" s="67"/>
      <c r="G904" s="71" t="s">
        <v>1409</v>
      </c>
      <c r="H904" s="67"/>
      <c r="I904" s="67"/>
      <c r="J904" s="67"/>
      <c r="K904" s="68" t="s">
        <v>234</v>
      </c>
      <c r="L904" s="67"/>
      <c r="M904" s="67"/>
      <c r="N904" s="67"/>
      <c r="O904" s="68" t="s">
        <v>1701</v>
      </c>
      <c r="P904" s="67"/>
      <c r="Q904" s="67"/>
      <c r="R904" s="67"/>
    </row>
    <row r="905" spans="1:18" x14ac:dyDescent="0.3">
      <c r="A905" s="67"/>
      <c r="B905" s="67"/>
      <c r="C905" s="67" t="str">
        <f>+A5</f>
        <v>Calendar Year 2010</v>
      </c>
      <c r="D905" s="67"/>
      <c r="E905" s="67"/>
      <c r="F905" s="67" t="s">
        <v>2415</v>
      </c>
      <c r="G905" s="67"/>
      <c r="H905" s="67"/>
      <c r="I905" s="67"/>
      <c r="J905" s="67"/>
      <c r="K905" s="67" t="str">
        <f>+A5</f>
        <v>Calendar Year 2010</v>
      </c>
      <c r="L905" s="67"/>
      <c r="M905" s="67"/>
      <c r="N905" s="67"/>
      <c r="O905" s="67" t="str">
        <f>+A5</f>
        <v>Calendar Year 2010</v>
      </c>
      <c r="P905" s="67"/>
      <c r="Q905" s="67"/>
      <c r="R905" s="67"/>
    </row>
    <row r="906" spans="1:18" x14ac:dyDescent="0.3">
      <c r="A906" s="67"/>
      <c r="B906" s="67"/>
      <c r="C906" s="67"/>
      <c r="D906" s="67"/>
      <c r="E906" s="67"/>
      <c r="F906" s="67"/>
      <c r="G906" s="67" t="str">
        <f>+A5</f>
        <v>Calendar Year 2010</v>
      </c>
      <c r="H906" s="67"/>
      <c r="I906" s="67"/>
      <c r="J906" s="67"/>
      <c r="K906" s="67"/>
      <c r="L906" s="67"/>
      <c r="M906" s="67"/>
      <c r="N906" s="67"/>
      <c r="O906" s="67"/>
      <c r="P906" s="67"/>
      <c r="Q906" s="67"/>
      <c r="R906" s="67"/>
    </row>
    <row r="907" spans="1:18" x14ac:dyDescent="0.3">
      <c r="A907" s="67"/>
      <c r="B907" s="67"/>
      <c r="C907" s="70" t="s">
        <v>1413</v>
      </c>
      <c r="D907" s="70" t="s">
        <v>31</v>
      </c>
      <c r="E907" s="70" t="s">
        <v>32</v>
      </c>
      <c r="F907" s="67"/>
      <c r="G907" s="70" t="s">
        <v>1412</v>
      </c>
      <c r="H907" s="70" t="s">
        <v>31</v>
      </c>
      <c r="I907" s="70" t="s">
        <v>1077</v>
      </c>
      <c r="J907" s="67"/>
      <c r="K907" s="70" t="s">
        <v>229</v>
      </c>
      <c r="L907" s="70" t="s">
        <v>31</v>
      </c>
      <c r="M907" s="70" t="s">
        <v>1078</v>
      </c>
      <c r="N907" s="67"/>
      <c r="O907" s="70" t="s">
        <v>229</v>
      </c>
      <c r="P907" s="70" t="s">
        <v>31</v>
      </c>
      <c r="Q907" s="70" t="s">
        <v>1078</v>
      </c>
      <c r="R907" s="67"/>
    </row>
    <row r="908" spans="1:18" x14ac:dyDescent="0.3">
      <c r="A908" s="67"/>
      <c r="B908" s="67"/>
      <c r="C908" s="70" t="s">
        <v>429</v>
      </c>
      <c r="D908" s="70" t="s">
        <v>335</v>
      </c>
      <c r="E908" s="70" t="s">
        <v>2000</v>
      </c>
      <c r="F908" s="67"/>
      <c r="G908" s="70" t="s">
        <v>1318</v>
      </c>
      <c r="H908" s="70" t="s">
        <v>335</v>
      </c>
      <c r="I908" s="70" t="s">
        <v>2000</v>
      </c>
      <c r="J908" s="67"/>
      <c r="K908" s="70" t="s">
        <v>1180</v>
      </c>
      <c r="L908" s="70" t="s">
        <v>335</v>
      </c>
      <c r="M908" s="70" t="s">
        <v>2000</v>
      </c>
      <c r="N908" s="67"/>
      <c r="O908" s="70" t="s">
        <v>1180</v>
      </c>
      <c r="P908" s="70" t="s">
        <v>335</v>
      </c>
      <c r="Q908" s="70" t="s">
        <v>2000</v>
      </c>
      <c r="R908" s="67"/>
    </row>
    <row r="909" spans="1:18" x14ac:dyDescent="0.3">
      <c r="A909" s="67"/>
      <c r="B909" s="67"/>
      <c r="C909" s="70" t="s">
        <v>335</v>
      </c>
      <c r="D909" s="70" t="s">
        <v>956</v>
      </c>
      <c r="E909" s="70" t="s">
        <v>242</v>
      </c>
      <c r="F909" s="67"/>
      <c r="G909" s="70" t="s">
        <v>134</v>
      </c>
      <c r="H909" s="70" t="s">
        <v>956</v>
      </c>
      <c r="I909" s="70" t="s">
        <v>242</v>
      </c>
      <c r="J909" s="67"/>
      <c r="K909" s="70" t="s">
        <v>335</v>
      </c>
      <c r="L909" s="70" t="s">
        <v>956</v>
      </c>
      <c r="M909" s="70" t="s">
        <v>242</v>
      </c>
      <c r="N909" s="67"/>
      <c r="O909" s="70" t="s">
        <v>335</v>
      </c>
      <c r="P909" s="70" t="s">
        <v>956</v>
      </c>
      <c r="Q909" s="70" t="s">
        <v>242</v>
      </c>
      <c r="R909" s="67"/>
    </row>
    <row r="910" spans="1:18" x14ac:dyDescent="0.3">
      <c r="A910" s="67"/>
      <c r="B910" s="67"/>
      <c r="C910" s="70" t="s">
        <v>932</v>
      </c>
      <c r="D910" s="70" t="s">
        <v>1917</v>
      </c>
      <c r="E910" s="70" t="s">
        <v>1481</v>
      </c>
      <c r="F910" s="67"/>
      <c r="G910" s="70" t="s">
        <v>932</v>
      </c>
      <c r="H910" s="70" t="s">
        <v>1917</v>
      </c>
      <c r="I910" s="70" t="s">
        <v>1481</v>
      </c>
      <c r="J910" s="67"/>
      <c r="K910" s="70" t="s">
        <v>932</v>
      </c>
      <c r="L910" s="70" t="s">
        <v>1917</v>
      </c>
      <c r="M910" s="70" t="s">
        <v>1481</v>
      </c>
      <c r="N910" s="67"/>
      <c r="O910" s="70" t="s">
        <v>932</v>
      </c>
      <c r="P910" s="70" t="s">
        <v>1917</v>
      </c>
      <c r="Q910" s="70" t="s">
        <v>1481</v>
      </c>
      <c r="R910" s="67"/>
    </row>
    <row r="911" spans="1:18" x14ac:dyDescent="0.3">
      <c r="A911" s="67"/>
      <c r="B911" s="67"/>
      <c r="C911" s="67" t="s">
        <v>1353</v>
      </c>
      <c r="D911" s="67" t="s">
        <v>1353</v>
      </c>
      <c r="E911" s="67" t="s">
        <v>1353</v>
      </c>
      <c r="F911" s="67"/>
      <c r="G911" s="70" t="s">
        <v>1353</v>
      </c>
      <c r="H911" s="70" t="s">
        <v>1353</v>
      </c>
      <c r="I911" s="70" t="s">
        <v>1353</v>
      </c>
      <c r="J911" s="67"/>
      <c r="K911" s="67" t="s">
        <v>1353</v>
      </c>
      <c r="L911" s="67" t="s">
        <v>1353</v>
      </c>
      <c r="M911" s="67" t="s">
        <v>1353</v>
      </c>
      <c r="N911" s="67"/>
      <c r="O911" s="67" t="s">
        <v>1353</v>
      </c>
      <c r="P911" s="67" t="s">
        <v>1353</v>
      </c>
      <c r="Q911" s="67" t="s">
        <v>1353</v>
      </c>
      <c r="R911" s="67"/>
    </row>
    <row r="912" spans="1:18" x14ac:dyDescent="0.3">
      <c r="A912" s="70" t="s">
        <v>1354</v>
      </c>
      <c r="B912" s="67"/>
      <c r="C912" s="67">
        <f t="shared" ref="C912:C923" si="165">(K875)</f>
        <v>216188.58915999997</v>
      </c>
      <c r="D912" s="72">
        <v>18.03</v>
      </c>
      <c r="E912" s="73">
        <f t="shared" ref="E912:E923" si="166">(K875*D912/1000)</f>
        <v>3897.8802625547996</v>
      </c>
      <c r="F912" s="67"/>
      <c r="G912" s="67">
        <v>0</v>
      </c>
      <c r="H912" s="72">
        <v>29</v>
      </c>
      <c r="I912" s="73">
        <f t="shared" ref="I912:I923" si="167">(G912*H912/1000)</f>
        <v>0</v>
      </c>
      <c r="J912" s="67"/>
      <c r="K912" s="67">
        <v>12800</v>
      </c>
      <c r="L912" s="72">
        <v>11.11</v>
      </c>
      <c r="M912" s="73">
        <f t="shared" ref="M912:M923" si="168">(K912*L912/1000)</f>
        <v>142.208</v>
      </c>
      <c r="N912" s="67"/>
      <c r="O912" s="67">
        <v>0</v>
      </c>
      <c r="P912" s="72">
        <v>7.32</v>
      </c>
      <c r="Q912" s="73">
        <f t="shared" ref="Q912:Q923" si="169">(O912*P912/1000)</f>
        <v>0</v>
      </c>
      <c r="R912" s="67"/>
    </row>
    <row r="913" spans="1:18" x14ac:dyDescent="0.3">
      <c r="A913" s="70" t="s">
        <v>706</v>
      </c>
      <c r="B913" s="67"/>
      <c r="C913" s="67">
        <f t="shared" si="165"/>
        <v>151822.76527999996</v>
      </c>
      <c r="D913" s="72">
        <v>18.03</v>
      </c>
      <c r="E913" s="73">
        <f t="shared" si="166"/>
        <v>2737.3644579983998</v>
      </c>
      <c r="F913" s="67"/>
      <c r="G913" s="67">
        <f t="shared" ref="G913:G923" si="170">O876</f>
        <v>0</v>
      </c>
      <c r="H913" s="72">
        <v>29</v>
      </c>
      <c r="I913" s="73">
        <f t="shared" si="167"/>
        <v>0</v>
      </c>
      <c r="J913" s="67"/>
      <c r="K913" s="67">
        <v>12800</v>
      </c>
      <c r="L913" s="72">
        <v>11.11</v>
      </c>
      <c r="M913" s="73">
        <f t="shared" si="168"/>
        <v>142.208</v>
      </c>
      <c r="N913" s="67"/>
      <c r="O913" s="67">
        <v>0</v>
      </c>
      <c r="P913" s="72">
        <v>7.32</v>
      </c>
      <c r="Q913" s="73">
        <f t="shared" si="169"/>
        <v>0</v>
      </c>
      <c r="R913" s="67"/>
    </row>
    <row r="914" spans="1:18" x14ac:dyDescent="0.3">
      <c r="A914" s="70" t="s">
        <v>707</v>
      </c>
      <c r="B914" s="67"/>
      <c r="C914" s="67">
        <f t="shared" si="165"/>
        <v>226008.14523999995</v>
      </c>
      <c r="D914" s="72">
        <v>18.03</v>
      </c>
      <c r="E914" s="73">
        <f t="shared" si="166"/>
        <v>4074.9268586771996</v>
      </c>
      <c r="F914" s="67">
        <f>SUM(E912:E914)</f>
        <v>10710.171579230398</v>
      </c>
      <c r="G914" s="67">
        <f t="shared" si="170"/>
        <v>0</v>
      </c>
      <c r="H914" s="72">
        <v>29</v>
      </c>
      <c r="I914" s="73">
        <f t="shared" si="167"/>
        <v>0</v>
      </c>
      <c r="J914" s="67">
        <f>SUM(I912:I914)</f>
        <v>0</v>
      </c>
      <c r="K914" s="67">
        <v>12800</v>
      </c>
      <c r="L914" s="72">
        <v>11.11</v>
      </c>
      <c r="M914" s="73">
        <f t="shared" si="168"/>
        <v>142.208</v>
      </c>
      <c r="N914" s="67">
        <f>SUM(M912:M914)</f>
        <v>426.62400000000002</v>
      </c>
      <c r="O914" s="67">
        <v>0</v>
      </c>
      <c r="P914" s="72">
        <v>7.32</v>
      </c>
      <c r="Q914" s="73">
        <f t="shared" si="169"/>
        <v>0</v>
      </c>
      <c r="R914" s="67">
        <f>SUM(Q912:Q914)</f>
        <v>0</v>
      </c>
    </row>
    <row r="915" spans="1:18" x14ac:dyDescent="0.3">
      <c r="A915" s="70" t="s">
        <v>1321</v>
      </c>
      <c r="B915" s="67"/>
      <c r="C915" s="67">
        <f t="shared" si="165"/>
        <v>271377.74968000001</v>
      </c>
      <c r="D915" s="72">
        <v>18.03</v>
      </c>
      <c r="E915" s="73">
        <f t="shared" si="166"/>
        <v>4892.9408267304007</v>
      </c>
      <c r="F915" s="67"/>
      <c r="G915" s="67">
        <f t="shared" si="170"/>
        <v>0</v>
      </c>
      <c r="H915" s="72">
        <v>29</v>
      </c>
      <c r="I915" s="73">
        <f t="shared" si="167"/>
        <v>0</v>
      </c>
      <c r="J915" s="67"/>
      <c r="K915" s="67">
        <v>12800</v>
      </c>
      <c r="L915" s="72">
        <v>11.11</v>
      </c>
      <c r="M915" s="73">
        <f t="shared" si="168"/>
        <v>142.208</v>
      </c>
      <c r="N915" s="67"/>
      <c r="O915" s="67">
        <v>0</v>
      </c>
      <c r="P915" s="72">
        <v>7.32</v>
      </c>
      <c r="Q915" s="73">
        <f t="shared" si="169"/>
        <v>0</v>
      </c>
      <c r="R915" s="67"/>
    </row>
    <row r="916" spans="1:18" x14ac:dyDescent="0.3">
      <c r="A916" s="70" t="s">
        <v>1905</v>
      </c>
      <c r="B916" s="67"/>
      <c r="C916" s="67">
        <f t="shared" si="165"/>
        <v>289417.96552000003</v>
      </c>
      <c r="D916" s="72">
        <v>18.03</v>
      </c>
      <c r="E916" s="73">
        <f t="shared" si="166"/>
        <v>5218.2059183256015</v>
      </c>
      <c r="F916" s="67"/>
      <c r="G916" s="67">
        <f t="shared" si="170"/>
        <v>0</v>
      </c>
      <c r="H916" s="72">
        <v>29</v>
      </c>
      <c r="I916" s="73">
        <f t="shared" si="167"/>
        <v>0</v>
      </c>
      <c r="J916" s="67"/>
      <c r="K916" s="67">
        <v>12800</v>
      </c>
      <c r="L916" s="72">
        <v>11.11</v>
      </c>
      <c r="M916" s="73">
        <f t="shared" si="168"/>
        <v>142.208</v>
      </c>
      <c r="N916" s="67"/>
      <c r="O916" s="67">
        <v>0</v>
      </c>
      <c r="P916" s="72">
        <v>7.32</v>
      </c>
      <c r="Q916" s="73">
        <f t="shared" si="169"/>
        <v>0</v>
      </c>
      <c r="R916" s="67"/>
    </row>
    <row r="917" spans="1:18" x14ac:dyDescent="0.3">
      <c r="A917" s="70" t="s">
        <v>1906</v>
      </c>
      <c r="B917" s="67"/>
      <c r="C917" s="67">
        <f t="shared" si="165"/>
        <v>289799.9941999999</v>
      </c>
      <c r="D917" s="72">
        <v>18.03</v>
      </c>
      <c r="E917" s="73">
        <f t="shared" si="166"/>
        <v>5225.0938954259982</v>
      </c>
      <c r="F917" s="67">
        <f>SUM(E915:E917)</f>
        <v>15336.240640481999</v>
      </c>
      <c r="G917" s="67">
        <f t="shared" si="170"/>
        <v>0</v>
      </c>
      <c r="H917" s="72">
        <v>29</v>
      </c>
      <c r="I917" s="73">
        <f t="shared" si="167"/>
        <v>0</v>
      </c>
      <c r="J917" s="67">
        <f>SUM(I915:I917)</f>
        <v>0</v>
      </c>
      <c r="K917" s="67">
        <v>12800</v>
      </c>
      <c r="L917" s="72">
        <v>11.11</v>
      </c>
      <c r="M917" s="73">
        <f t="shared" si="168"/>
        <v>142.208</v>
      </c>
      <c r="N917" s="67">
        <f>SUM(M915:M917)</f>
        <v>426.62400000000002</v>
      </c>
      <c r="O917" s="67">
        <v>0</v>
      </c>
      <c r="P917" s="72">
        <v>7.32</v>
      </c>
      <c r="Q917" s="73">
        <f t="shared" si="169"/>
        <v>0</v>
      </c>
      <c r="R917" s="67">
        <f>SUM(Q915:Q917)</f>
        <v>0</v>
      </c>
    </row>
    <row r="918" spans="1:18" x14ac:dyDescent="0.3">
      <c r="A918" s="70" t="s">
        <v>1907</v>
      </c>
      <c r="B918" s="67"/>
      <c r="C918" s="67">
        <f t="shared" si="165"/>
        <v>91650.007439999972</v>
      </c>
      <c r="D918" s="72">
        <v>18.03</v>
      </c>
      <c r="E918" s="73">
        <f t="shared" si="166"/>
        <v>1652.4496341431995</v>
      </c>
      <c r="F918" s="67"/>
      <c r="G918" s="67">
        <f t="shared" si="170"/>
        <v>0</v>
      </c>
      <c r="H918" s="72">
        <v>29</v>
      </c>
      <c r="I918" s="73">
        <f t="shared" si="167"/>
        <v>0</v>
      </c>
      <c r="J918" s="67"/>
      <c r="K918" s="67">
        <v>12800</v>
      </c>
      <c r="L918" s="72">
        <v>11.11</v>
      </c>
      <c r="M918" s="73">
        <f t="shared" si="168"/>
        <v>142.208</v>
      </c>
      <c r="N918" s="67"/>
      <c r="O918" s="67">
        <v>0</v>
      </c>
      <c r="P918" s="72">
        <v>7.32</v>
      </c>
      <c r="Q918" s="73">
        <f t="shared" si="169"/>
        <v>0</v>
      </c>
      <c r="R918" s="67"/>
    </row>
    <row r="919" spans="1:18" x14ac:dyDescent="0.3">
      <c r="A919" s="70" t="s">
        <v>1908</v>
      </c>
      <c r="B919" s="67"/>
      <c r="C919" s="67">
        <f t="shared" si="165"/>
        <v>149122.78207999998</v>
      </c>
      <c r="D919" s="72">
        <v>18.03</v>
      </c>
      <c r="E919" s="73">
        <f t="shared" si="166"/>
        <v>2688.6837609023996</v>
      </c>
      <c r="F919" s="67"/>
      <c r="G919" s="67">
        <f t="shared" si="170"/>
        <v>0</v>
      </c>
      <c r="H919" s="72">
        <v>29</v>
      </c>
      <c r="I919" s="73">
        <f t="shared" si="167"/>
        <v>0</v>
      </c>
      <c r="J919" s="67"/>
      <c r="K919" s="67">
        <v>12800</v>
      </c>
      <c r="L919" s="72">
        <v>11.11</v>
      </c>
      <c r="M919" s="73">
        <f t="shared" si="168"/>
        <v>142.208</v>
      </c>
      <c r="N919" s="67"/>
      <c r="O919" s="67">
        <v>0</v>
      </c>
      <c r="P919" s="72">
        <v>7.32</v>
      </c>
      <c r="Q919" s="73">
        <f t="shared" si="169"/>
        <v>0</v>
      </c>
      <c r="R919" s="67"/>
    </row>
    <row r="920" spans="1:18" x14ac:dyDescent="0.3">
      <c r="A920" s="70" t="s">
        <v>2352</v>
      </c>
      <c r="B920" s="67"/>
      <c r="C920" s="67">
        <f t="shared" si="165"/>
        <v>277193.92276000004</v>
      </c>
      <c r="D920" s="72">
        <v>18.03</v>
      </c>
      <c r="E920" s="73">
        <f t="shared" si="166"/>
        <v>4997.8064273628015</v>
      </c>
      <c r="F920" s="67">
        <f>SUM(E918:E920)</f>
        <v>9338.9398224083998</v>
      </c>
      <c r="G920" s="67">
        <f t="shared" si="170"/>
        <v>0</v>
      </c>
      <c r="H920" s="72">
        <v>29</v>
      </c>
      <c r="I920" s="73">
        <f t="shared" si="167"/>
        <v>0</v>
      </c>
      <c r="J920" s="67">
        <f>SUM(I918:I920)</f>
        <v>0</v>
      </c>
      <c r="K920" s="67">
        <v>13095</v>
      </c>
      <c r="L920" s="72">
        <v>11.11</v>
      </c>
      <c r="M920" s="73">
        <f t="shared" si="168"/>
        <v>145.48544999999999</v>
      </c>
      <c r="N920" s="67">
        <f>SUM(M918:M920)</f>
        <v>429.90144999999995</v>
      </c>
      <c r="O920" s="67">
        <v>0</v>
      </c>
      <c r="P920" s="72">
        <v>7.32</v>
      </c>
      <c r="Q920" s="73">
        <f t="shared" si="169"/>
        <v>0</v>
      </c>
      <c r="R920" s="67">
        <f>SUM(Q918:Q920)</f>
        <v>0</v>
      </c>
    </row>
    <row r="921" spans="1:18" x14ac:dyDescent="0.3">
      <c r="A921" s="70" t="s">
        <v>2353</v>
      </c>
      <c r="B921" s="67"/>
      <c r="C921" s="67">
        <f t="shared" si="165"/>
        <v>266635.14663999999</v>
      </c>
      <c r="D921" s="72">
        <v>18.03</v>
      </c>
      <c r="E921" s="73">
        <f t="shared" si="166"/>
        <v>4807.4316939192004</v>
      </c>
      <c r="F921" s="67"/>
      <c r="G921" s="67">
        <f t="shared" si="170"/>
        <v>0</v>
      </c>
      <c r="H921" s="72">
        <v>29</v>
      </c>
      <c r="I921" s="73">
        <f t="shared" si="167"/>
        <v>0</v>
      </c>
      <c r="J921" s="67"/>
      <c r="K921" s="67">
        <v>4000</v>
      </c>
      <c r="L921" s="72">
        <v>11.11</v>
      </c>
      <c r="M921" s="73">
        <f t="shared" si="168"/>
        <v>44.44</v>
      </c>
      <c r="N921" s="67"/>
      <c r="O921" s="67">
        <v>0</v>
      </c>
      <c r="P921" s="72">
        <v>7.32</v>
      </c>
      <c r="Q921" s="73">
        <f t="shared" si="169"/>
        <v>0</v>
      </c>
      <c r="R921" s="67"/>
    </row>
    <row r="922" spans="1:18" x14ac:dyDescent="0.3">
      <c r="A922" s="70" t="s">
        <v>2354</v>
      </c>
      <c r="B922" s="67"/>
      <c r="C922" s="67">
        <f t="shared" si="165"/>
        <v>10981</v>
      </c>
      <c r="D922" s="72">
        <v>18.03</v>
      </c>
      <c r="E922" s="73">
        <f t="shared" si="166"/>
        <v>197.98743000000002</v>
      </c>
      <c r="F922" s="67"/>
      <c r="G922" s="67">
        <f t="shared" si="170"/>
        <v>248928.57003999996</v>
      </c>
      <c r="H922" s="72">
        <v>29</v>
      </c>
      <c r="I922" s="73">
        <f t="shared" si="167"/>
        <v>7218.9285311599988</v>
      </c>
      <c r="J922" s="67"/>
      <c r="K922" s="67">
        <v>4000</v>
      </c>
      <c r="L922" s="72">
        <v>11.11</v>
      </c>
      <c r="M922" s="73">
        <f t="shared" si="168"/>
        <v>44.44</v>
      </c>
      <c r="N922" s="67"/>
      <c r="O922" s="67">
        <v>0</v>
      </c>
      <c r="P922" s="72">
        <v>7.32</v>
      </c>
      <c r="Q922" s="73">
        <f t="shared" si="169"/>
        <v>0</v>
      </c>
      <c r="R922" s="67"/>
    </row>
    <row r="923" spans="1:18" x14ac:dyDescent="0.3">
      <c r="A923" s="70" t="s">
        <v>2355</v>
      </c>
      <c r="B923" s="67"/>
      <c r="C923" s="67">
        <f t="shared" si="165"/>
        <v>-3999.9999999999945</v>
      </c>
      <c r="D923" s="72">
        <v>18.03</v>
      </c>
      <c r="E923" s="73">
        <f t="shared" si="166"/>
        <v>-72.119999999999919</v>
      </c>
      <c r="F923" s="67">
        <f>SUM(E921:E923)</f>
        <v>4933.2991239192006</v>
      </c>
      <c r="G923" s="67">
        <f t="shared" si="170"/>
        <v>317987.652</v>
      </c>
      <c r="H923" s="72">
        <v>29</v>
      </c>
      <c r="I923" s="73">
        <f t="shared" si="167"/>
        <v>9221.6419079999996</v>
      </c>
      <c r="J923" s="67">
        <f>SUM(I921:I923)</f>
        <v>16440.570439159997</v>
      </c>
      <c r="K923" s="67">
        <v>4000</v>
      </c>
      <c r="L923" s="72">
        <v>11.11</v>
      </c>
      <c r="M923" s="73">
        <f t="shared" si="168"/>
        <v>44.44</v>
      </c>
      <c r="N923" s="67">
        <f>SUM(M921:M923)</f>
        <v>133.32</v>
      </c>
      <c r="O923" s="67">
        <v>0</v>
      </c>
      <c r="P923" s="72">
        <v>7.32</v>
      </c>
      <c r="Q923" s="73">
        <f t="shared" si="169"/>
        <v>0</v>
      </c>
      <c r="R923" s="67">
        <f>SUM(Q921:Q923)</f>
        <v>0</v>
      </c>
    </row>
    <row r="924" spans="1:18" x14ac:dyDescent="0.3">
      <c r="A924" s="67"/>
      <c r="B924" s="67"/>
      <c r="C924" s="67"/>
      <c r="D924" s="67"/>
      <c r="E924" s="67"/>
      <c r="F924" s="67"/>
      <c r="G924" s="67"/>
      <c r="H924" s="67"/>
      <c r="I924" s="67"/>
      <c r="J924" s="67"/>
      <c r="K924" s="67"/>
      <c r="L924" s="67"/>
      <c r="M924" s="67"/>
      <c r="N924" s="67"/>
      <c r="O924" s="67"/>
      <c r="P924" s="67"/>
      <c r="Q924" s="67"/>
      <c r="R924" s="67"/>
    </row>
    <row r="925" spans="1:18" x14ac:dyDescent="0.3">
      <c r="A925" s="67"/>
      <c r="B925" s="67"/>
      <c r="C925" s="67"/>
      <c r="D925" s="67"/>
      <c r="E925" s="67"/>
      <c r="F925" s="67"/>
      <c r="G925" s="67"/>
      <c r="H925" s="67"/>
      <c r="I925" s="67"/>
      <c r="J925" s="67"/>
      <c r="K925" s="67"/>
      <c r="L925" s="67"/>
      <c r="M925" s="67"/>
      <c r="N925" s="67"/>
      <c r="O925" s="67"/>
      <c r="P925" s="67"/>
      <c r="Q925" s="67"/>
      <c r="R925" s="67"/>
    </row>
    <row r="926" spans="1:18" x14ac:dyDescent="0.3">
      <c r="A926" s="67" t="s">
        <v>2356</v>
      </c>
      <c r="B926" s="67"/>
      <c r="C926" s="67">
        <f>SUM(C912:C923)</f>
        <v>2236198.068</v>
      </c>
      <c r="D926" s="67"/>
      <c r="E926" s="73">
        <f>SUM(E912:E923)</f>
        <v>40318.651166039999</v>
      </c>
      <c r="F926" s="67"/>
      <c r="G926" s="67">
        <f>SUM(G912:G923)</f>
        <v>566916.22203999991</v>
      </c>
      <c r="H926" s="67" t="s">
        <v>2435</v>
      </c>
      <c r="I926" s="73">
        <f>SUM(I912:I923)</f>
        <v>16440.570439159997</v>
      </c>
      <c r="J926" s="67"/>
      <c r="K926" s="67">
        <f>SUM(K912:K923)</f>
        <v>127495</v>
      </c>
      <c r="L926" s="67" t="s">
        <v>2435</v>
      </c>
      <c r="M926" s="73">
        <f>SUM(M912:M923)</f>
        <v>1416.4694500000001</v>
      </c>
      <c r="N926" s="67"/>
      <c r="O926" s="67">
        <f>(SUM(O912:O923))</f>
        <v>0</v>
      </c>
      <c r="P926" s="67" t="s">
        <v>2435</v>
      </c>
      <c r="Q926" s="73">
        <f>SUM(Q912:Q923)</f>
        <v>0</v>
      </c>
      <c r="R926" s="67"/>
    </row>
  </sheetData>
  <mergeCells count="17">
    <mergeCell ref="A666:R666"/>
    <mergeCell ref="A710:R710"/>
    <mergeCell ref="A9:R9"/>
    <mergeCell ref="A669:R669"/>
    <mergeCell ref="A2:R2"/>
    <mergeCell ref="A3:R3"/>
    <mergeCell ref="A4:R4"/>
    <mergeCell ref="A5:R5"/>
    <mergeCell ref="A7:R7"/>
    <mergeCell ref="A670:R670"/>
    <mergeCell ref="A672:R672"/>
    <mergeCell ref="A712:R712"/>
    <mergeCell ref="A667:R667"/>
    <mergeCell ref="A668:R668"/>
    <mergeCell ref="A709:R709"/>
    <mergeCell ref="A707:R707"/>
    <mergeCell ref="A708:R708"/>
  </mergeCells>
  <phoneticPr fontId="0" type="noConversion"/>
  <printOptions horizontalCentered="1" verticalCentered="1"/>
  <pageMargins left="0" right="0" top="0.25" bottom="0.25" header="0" footer="0"/>
  <pageSetup paperSize="17" scale="88" fitToHeight="10" orientation="landscape" r:id="rId1"/>
  <headerFooter alignWithMargins="0"/>
  <rowBreaks count="8" manualBreakCount="8">
    <brk id="665" max="17" man="1"/>
    <brk id="704" max="17" man="1"/>
    <brk id="754" max="17" man="1"/>
    <brk id="785" max="17" man="1"/>
    <brk id="809" max="17" man="1"/>
    <brk id="836" max="17" man="1"/>
    <brk id="863" max="17" man="1"/>
    <brk id="897" max="17"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4"/>
  <dimension ref="A1:T928"/>
  <sheetViews>
    <sheetView zoomScale="70" zoomScaleNormal="70" workbookViewId="0">
      <selection activeCell="A142" sqref="A142"/>
    </sheetView>
  </sheetViews>
  <sheetFormatPr defaultRowHeight="15.6" x14ac:dyDescent="0.3"/>
  <cols>
    <col min="1" max="1" width="34.54296875" customWidth="1"/>
    <col min="2" max="6" width="9.81640625" customWidth="1"/>
    <col min="9" max="9" width="11.54296875" customWidth="1"/>
    <col min="13" max="13" width="10.1796875" customWidth="1"/>
    <col min="17" max="17" width="10.08984375" customWidth="1"/>
    <col min="18" max="18" width="10.453125" customWidth="1"/>
  </cols>
  <sheetData>
    <row r="1" spans="1:18" ht="16.2" x14ac:dyDescent="0.35">
      <c r="A1" s="2"/>
      <c r="B1" s="2"/>
      <c r="C1" s="2"/>
      <c r="D1" s="2"/>
      <c r="E1" s="2"/>
      <c r="F1" s="2"/>
      <c r="G1" s="2"/>
      <c r="H1" s="2"/>
      <c r="I1" s="2"/>
      <c r="J1" s="2"/>
      <c r="K1" s="2"/>
      <c r="L1" s="2"/>
      <c r="M1" s="2"/>
      <c r="N1" s="2"/>
      <c r="O1" s="2"/>
      <c r="P1" s="2"/>
      <c r="Q1" s="187" t="s">
        <v>1496</v>
      </c>
      <c r="R1" s="200">
        <f ca="1">NOW()</f>
        <v>44881.72963425926</v>
      </c>
    </row>
    <row r="2" spans="1:18" ht="16.2" x14ac:dyDescent="0.35">
      <c r="A2" s="847" t="s">
        <v>43</v>
      </c>
      <c r="B2" s="847"/>
      <c r="C2" s="847"/>
      <c r="D2" s="847"/>
      <c r="E2" s="847"/>
      <c r="F2" s="847"/>
      <c r="G2" s="847"/>
      <c r="H2" s="847"/>
      <c r="I2" s="847"/>
      <c r="J2" s="847"/>
      <c r="K2" s="847"/>
      <c r="L2" s="847"/>
      <c r="M2" s="847"/>
      <c r="N2" s="847"/>
      <c r="O2" s="847"/>
      <c r="P2" s="847"/>
      <c r="Q2" s="847"/>
      <c r="R2" s="847"/>
    </row>
    <row r="3" spans="1:18" ht="16.2" x14ac:dyDescent="0.35">
      <c r="A3" s="847" t="s">
        <v>1988</v>
      </c>
      <c r="B3" s="847"/>
      <c r="C3" s="847"/>
      <c r="D3" s="847"/>
      <c r="E3" s="847"/>
      <c r="F3" s="847"/>
      <c r="G3" s="847"/>
      <c r="H3" s="847"/>
      <c r="I3" s="847"/>
      <c r="J3" s="847"/>
      <c r="K3" s="847"/>
      <c r="L3" s="847"/>
      <c r="M3" s="847"/>
      <c r="N3" s="847"/>
      <c r="O3" s="847"/>
      <c r="P3" s="847"/>
      <c r="Q3" s="847"/>
      <c r="R3" s="847"/>
    </row>
    <row r="4" spans="1:18" ht="16.2" x14ac:dyDescent="0.35">
      <c r="A4" s="847" t="s">
        <v>544</v>
      </c>
      <c r="B4" s="847"/>
      <c r="C4" s="847"/>
      <c r="D4" s="847"/>
      <c r="E4" s="847"/>
      <c r="F4" s="847"/>
      <c r="G4" s="847"/>
      <c r="H4" s="847"/>
      <c r="I4" s="847"/>
      <c r="J4" s="847"/>
      <c r="K4" s="847"/>
      <c r="L4" s="847"/>
      <c r="M4" s="847"/>
      <c r="N4" s="847"/>
      <c r="O4" s="847"/>
      <c r="P4" s="847"/>
      <c r="Q4" s="847"/>
      <c r="R4" s="847"/>
    </row>
    <row r="5" spans="1:18" ht="16.2" x14ac:dyDescent="0.35">
      <c r="A5" s="847" t="s">
        <v>752</v>
      </c>
      <c r="B5" s="847"/>
      <c r="C5" s="847"/>
      <c r="D5" s="847"/>
      <c r="E5" s="847"/>
      <c r="F5" s="847"/>
      <c r="G5" s="847"/>
      <c r="H5" s="847"/>
      <c r="I5" s="847"/>
      <c r="J5" s="847"/>
      <c r="K5" s="847"/>
      <c r="L5" s="847"/>
      <c r="M5" s="847"/>
      <c r="N5" s="847"/>
      <c r="O5" s="847"/>
      <c r="P5" s="847"/>
      <c r="Q5" s="847"/>
      <c r="R5" s="847"/>
    </row>
    <row r="6" spans="1:18" ht="16.2" x14ac:dyDescent="0.35">
      <c r="A6" s="2"/>
      <c r="B6" s="2"/>
      <c r="C6" s="2"/>
      <c r="D6" s="202"/>
      <c r="E6" s="202"/>
      <c r="F6" s="202"/>
      <c r="G6" s="203"/>
      <c r="H6" s="202"/>
      <c r="I6" s="202"/>
      <c r="J6" s="203"/>
      <c r="K6" s="203"/>
      <c r="L6" s="203"/>
      <c r="M6" s="203"/>
      <c r="N6" s="2"/>
      <c r="O6" s="203"/>
      <c r="P6" s="203"/>
      <c r="Q6" s="203"/>
      <c r="R6" s="203"/>
    </row>
    <row r="7" spans="1:18" ht="16.2" x14ac:dyDescent="0.35">
      <c r="A7" s="847" t="s">
        <v>1755</v>
      </c>
      <c r="B7" s="847"/>
      <c r="C7" s="847"/>
      <c r="D7" s="847"/>
      <c r="E7" s="847"/>
      <c r="F7" s="847"/>
      <c r="G7" s="847"/>
      <c r="H7" s="847"/>
      <c r="I7" s="847"/>
      <c r="J7" s="847"/>
      <c r="K7" s="847"/>
      <c r="L7" s="847"/>
      <c r="M7" s="847"/>
      <c r="N7" s="847"/>
      <c r="O7" s="847"/>
      <c r="P7" s="847"/>
      <c r="Q7" s="847"/>
      <c r="R7" s="847"/>
    </row>
    <row r="8" spans="1:18" ht="16.2" x14ac:dyDescent="0.35">
      <c r="A8" s="847" t="s">
        <v>1937</v>
      </c>
      <c r="B8" s="847"/>
      <c r="C8" s="847"/>
      <c r="D8" s="847"/>
      <c r="E8" s="847"/>
      <c r="F8" s="847"/>
      <c r="G8" s="847"/>
      <c r="H8" s="847"/>
      <c r="I8" s="847"/>
      <c r="J8" s="847"/>
      <c r="K8" s="847"/>
      <c r="L8" s="847"/>
      <c r="M8" s="847"/>
      <c r="N8" s="847"/>
      <c r="O8" s="847"/>
      <c r="P8" s="847"/>
      <c r="Q8" s="847"/>
      <c r="R8" s="847"/>
    </row>
    <row r="9" spans="1:18" ht="16.2" x14ac:dyDescent="0.35">
      <c r="A9" s="847"/>
      <c r="B9" s="847"/>
      <c r="C9" s="847"/>
      <c r="D9" s="847"/>
      <c r="E9" s="847"/>
      <c r="F9" s="847"/>
      <c r="G9" s="847"/>
      <c r="H9" s="847"/>
      <c r="I9" s="847"/>
      <c r="J9" s="847"/>
      <c r="K9" s="847"/>
      <c r="L9" s="847"/>
      <c r="M9" s="847"/>
      <c r="N9" s="847"/>
      <c r="O9" s="847"/>
      <c r="P9" s="847"/>
      <c r="Q9" s="847"/>
      <c r="R9" s="847"/>
    </row>
    <row r="10" spans="1:18" ht="16.2" x14ac:dyDescent="0.35">
      <c r="A10" s="2"/>
      <c r="B10" s="2"/>
      <c r="C10" s="2"/>
      <c r="D10" s="2"/>
      <c r="E10" s="2"/>
      <c r="F10" s="2"/>
      <c r="G10" s="2"/>
      <c r="H10" s="2"/>
      <c r="I10" s="2"/>
      <c r="J10" s="2"/>
      <c r="K10" s="2"/>
      <c r="L10" s="2"/>
      <c r="M10" s="2"/>
      <c r="N10" s="2"/>
      <c r="O10" s="2"/>
      <c r="P10" s="2"/>
      <c r="Q10" s="2"/>
      <c r="R10" s="2"/>
    </row>
    <row r="11" spans="1:18" ht="16.8" thickBot="1" x14ac:dyDescent="0.4">
      <c r="A11" s="2"/>
      <c r="B11" s="2"/>
      <c r="C11" s="2"/>
      <c r="D11" s="2"/>
      <c r="E11" s="2"/>
      <c r="F11" s="2"/>
      <c r="G11" s="2"/>
      <c r="H11" s="2"/>
      <c r="I11" s="2"/>
      <c r="J11" s="2"/>
      <c r="K11" s="2"/>
      <c r="L11" s="2"/>
      <c r="M11" s="2"/>
      <c r="N11" s="2"/>
      <c r="O11" s="2"/>
      <c r="P11" s="2"/>
      <c r="Q11" s="2"/>
      <c r="R11" s="2"/>
    </row>
    <row r="12" spans="1:18" ht="15.75" customHeight="1" thickBot="1" x14ac:dyDescent="0.4">
      <c r="A12" s="3" t="s">
        <v>852</v>
      </c>
      <c r="B12" s="216" t="s">
        <v>2090</v>
      </c>
      <c r="C12" s="174" t="s">
        <v>2091</v>
      </c>
      <c r="D12" s="174" t="s">
        <v>2234</v>
      </c>
      <c r="E12" s="175" t="s">
        <v>1594</v>
      </c>
      <c r="F12" s="174" t="s">
        <v>2235</v>
      </c>
      <c r="G12" s="174" t="s">
        <v>2236</v>
      </c>
      <c r="H12" s="174" t="s">
        <v>2237</v>
      </c>
      <c r="I12" s="175" t="s">
        <v>1595</v>
      </c>
      <c r="J12" s="174" t="s">
        <v>1504</v>
      </c>
      <c r="K12" s="174" t="s">
        <v>1505</v>
      </c>
      <c r="L12" s="174" t="s">
        <v>1506</v>
      </c>
      <c r="M12" s="175" t="s">
        <v>1596</v>
      </c>
      <c r="N12" s="174" t="s">
        <v>1507</v>
      </c>
      <c r="O12" s="174" t="s">
        <v>1508</v>
      </c>
      <c r="P12" s="174" t="s">
        <v>1509</v>
      </c>
      <c r="Q12" s="175" t="s">
        <v>1597</v>
      </c>
      <c r="R12" s="176" t="s">
        <v>1510</v>
      </c>
    </row>
    <row r="13" spans="1:18" ht="15.75" customHeight="1" thickBot="1" x14ac:dyDescent="0.4">
      <c r="A13" s="27"/>
      <c r="B13" s="177"/>
      <c r="C13" s="177"/>
      <c r="D13" s="177"/>
      <c r="E13" s="178"/>
      <c r="F13" s="177"/>
      <c r="G13" s="177"/>
      <c r="H13" s="177"/>
      <c r="I13" s="178"/>
      <c r="J13" s="177"/>
      <c r="K13" s="177"/>
      <c r="L13" s="177"/>
      <c r="M13" s="178"/>
      <c r="N13" s="177"/>
      <c r="O13" s="177"/>
      <c r="P13" s="177"/>
      <c r="Q13" s="178"/>
      <c r="R13" s="178"/>
    </row>
    <row r="14" spans="1:18" ht="15.75" customHeight="1" x14ac:dyDescent="0.35">
      <c r="A14" s="6" t="s">
        <v>1277</v>
      </c>
      <c r="B14" s="2">
        <f>+B728</f>
        <v>75118</v>
      </c>
      <c r="C14" s="2">
        <f>+C728</f>
        <v>74798</v>
      </c>
      <c r="D14" s="2">
        <f>+D728</f>
        <v>130852</v>
      </c>
      <c r="E14" s="460">
        <f t="shared" ref="E14:E23" si="0">SUM(B14:D14)</f>
        <v>280768</v>
      </c>
      <c r="F14" s="2">
        <f>+F728</f>
        <v>152838</v>
      </c>
      <c r="G14" s="2">
        <f>+G728</f>
        <v>168705</v>
      </c>
      <c r="H14" s="2">
        <f>+H728</f>
        <v>181604</v>
      </c>
      <c r="I14" s="460">
        <f t="shared" ref="I14:I23" si="1">SUM(F14:H14)</f>
        <v>503147</v>
      </c>
      <c r="J14" s="2">
        <f>+J728</f>
        <v>193066</v>
      </c>
      <c r="K14" s="2">
        <f>+K728</f>
        <v>201282</v>
      </c>
      <c r="L14" s="2">
        <f>+L728</f>
        <v>134258</v>
      </c>
      <c r="M14" s="460">
        <f t="shared" ref="M14:M23" si="2">SUM(J14:L14)</f>
        <v>528606</v>
      </c>
      <c r="N14" s="2">
        <f>+N728</f>
        <v>117993</v>
      </c>
      <c r="O14" s="2">
        <f>+O728</f>
        <v>57939</v>
      </c>
      <c r="P14" s="2">
        <f>+P728</f>
        <v>94280</v>
      </c>
      <c r="Q14" s="461">
        <f t="shared" ref="Q14:Q23" si="3">SUM(N14:P14)</f>
        <v>270212</v>
      </c>
      <c r="R14" s="460">
        <f t="shared" ref="R14:R23" si="4">+E14+I14+M14+Q14</f>
        <v>1582733</v>
      </c>
    </row>
    <row r="15" spans="1:18" ht="15.75" hidden="1" customHeight="1" x14ac:dyDescent="0.35">
      <c r="A15" s="6" t="s">
        <v>2052</v>
      </c>
      <c r="B15" s="2">
        <f>+B699+B702</f>
        <v>5720</v>
      </c>
      <c r="C15" s="2">
        <f>+C699+C702</f>
        <v>2000</v>
      </c>
      <c r="D15" s="2">
        <f>+D699+D702</f>
        <v>2500</v>
      </c>
      <c r="E15" s="460">
        <f t="shared" si="0"/>
        <v>10220</v>
      </c>
      <c r="F15" s="2">
        <f>+F699+F702</f>
        <v>10408</v>
      </c>
      <c r="G15" s="2">
        <f>+G699+G702</f>
        <v>14871</v>
      </c>
      <c r="H15" s="2">
        <f>+H699+H702</f>
        <v>21188</v>
      </c>
      <c r="I15" s="460">
        <f t="shared" si="1"/>
        <v>46467</v>
      </c>
      <c r="J15" s="2">
        <f>+J699+J702</f>
        <v>18064</v>
      </c>
      <c r="K15" s="2">
        <f>+K699+K702</f>
        <v>21284</v>
      </c>
      <c r="L15" s="2">
        <f>+L699+L702</f>
        <v>6303</v>
      </c>
      <c r="M15" s="460">
        <f t="shared" si="2"/>
        <v>45651</v>
      </c>
      <c r="N15" s="2">
        <f>+N699+N702</f>
        <v>2378</v>
      </c>
      <c r="O15" s="2">
        <f>+O699+O702</f>
        <v>378</v>
      </c>
      <c r="P15" s="2">
        <f>+P699+P702</f>
        <v>924</v>
      </c>
      <c r="Q15" s="461">
        <f t="shared" si="3"/>
        <v>3680</v>
      </c>
      <c r="R15" s="460">
        <f t="shared" si="4"/>
        <v>106018</v>
      </c>
    </row>
    <row r="16" spans="1:18" ht="15.75" customHeight="1" x14ac:dyDescent="0.35">
      <c r="A16" s="6" t="s">
        <v>1278</v>
      </c>
      <c r="B16" s="2">
        <f>B27+B62+B128+B242+B355+B395+B439+B490+B500+B535+B574+B584+B618+B660</f>
        <v>739</v>
      </c>
      <c r="C16" s="2">
        <f>C27+C62+C128+C242+C355+C395+C439+C490+C500+C535+C574+C584+C618+C660</f>
        <v>1283</v>
      </c>
      <c r="D16" s="2">
        <f>D27+D62+D128+D242+D355+D395+D439+D490+D500+D535+D574+D584+D618+D660</f>
        <v>2185</v>
      </c>
      <c r="E16" s="460">
        <f t="shared" si="0"/>
        <v>4207</v>
      </c>
      <c r="F16" s="2">
        <f>F27+F62+F128+F242+F355+F395+F439+F490+F500+F535+F574+F584+F618+F660</f>
        <v>2959</v>
      </c>
      <c r="G16" s="2">
        <f>G27+G62+G128+G242+G355+G395+G439+G490+G500+G535+G574+G584+G618+G660</f>
        <v>3425</v>
      </c>
      <c r="H16" s="2">
        <f>H27+H62+H128+H242+H355+H395+H439+H490+H500+H535+H574+H584+H618+H660</f>
        <v>3464</v>
      </c>
      <c r="I16" s="460">
        <f t="shared" si="1"/>
        <v>9848</v>
      </c>
      <c r="J16" s="2">
        <f>J27+J62+J128+J242+J355+J395+J439+J490+J500+J535+J574+J584+J618+J660</f>
        <v>3382</v>
      </c>
      <c r="K16" s="2">
        <f>K27+K62+K128+K242+K355+K395+K439+K490+K500+K535+K574+K584+K618+K660</f>
        <v>2663</v>
      </c>
      <c r="L16" s="2">
        <f>L27+L62+L128+L242+L355+L395+L439+L490+L500+L535+L574+L584+L618+L660</f>
        <v>2559</v>
      </c>
      <c r="M16" s="460">
        <f t="shared" si="2"/>
        <v>8604</v>
      </c>
      <c r="N16" s="2">
        <f>N27+N62+N128+N242+N355+N395+N439+N490+N500+N535+N574+N584+N618+N660</f>
        <v>2343</v>
      </c>
      <c r="O16" s="2">
        <f>O27+O62+O128+O242+O355+O395+O439+O490+O500+O535+O574+O584+O618+O660</f>
        <v>1892</v>
      </c>
      <c r="P16" s="2">
        <f>P27+P62+P128+P242+P355+P395+P439+P490+P500+P535+P574+P584+P618+P660</f>
        <v>1423</v>
      </c>
      <c r="Q16" s="461">
        <f t="shared" si="3"/>
        <v>5658</v>
      </c>
      <c r="R16" s="460">
        <f t="shared" si="4"/>
        <v>28317</v>
      </c>
    </row>
    <row r="17" spans="1:20" ht="15.75" customHeight="1" x14ac:dyDescent="0.35">
      <c r="A17" s="6" t="s">
        <v>397</v>
      </c>
      <c r="B17" s="2">
        <f>B237</f>
        <v>0</v>
      </c>
      <c r="C17" s="2">
        <f>C237</f>
        <v>637</v>
      </c>
      <c r="D17" s="2">
        <f>D237</f>
        <v>3343</v>
      </c>
      <c r="E17" s="460">
        <f t="shared" si="0"/>
        <v>3980</v>
      </c>
      <c r="F17" s="2">
        <f>F237</f>
        <v>2738</v>
      </c>
      <c r="G17" s="2">
        <f>G237</f>
        <v>3244</v>
      </c>
      <c r="H17" s="2">
        <f>H237</f>
        <v>2609</v>
      </c>
      <c r="I17" s="460">
        <f t="shared" si="1"/>
        <v>8591</v>
      </c>
      <c r="J17" s="2">
        <f>J237</f>
        <v>3010</v>
      </c>
      <c r="K17" s="2">
        <f>K237</f>
        <v>2870</v>
      </c>
      <c r="L17" s="2">
        <f>L237</f>
        <v>2972</v>
      </c>
      <c r="M17" s="460">
        <f t="shared" si="2"/>
        <v>8852</v>
      </c>
      <c r="N17" s="2">
        <f>N237</f>
        <v>4607</v>
      </c>
      <c r="O17" s="2">
        <f>O237</f>
        <v>4045</v>
      </c>
      <c r="P17" s="2">
        <f>P237</f>
        <v>599</v>
      </c>
      <c r="Q17" s="461">
        <f t="shared" si="3"/>
        <v>9251</v>
      </c>
      <c r="R17" s="460">
        <f t="shared" si="4"/>
        <v>30674</v>
      </c>
    </row>
    <row r="18" spans="1:20" ht="15.75" customHeight="1" x14ac:dyDescent="0.35">
      <c r="A18" s="462" t="s">
        <v>967</v>
      </c>
      <c r="B18" s="2">
        <f t="shared" ref="B18:D19" si="5">+B238</f>
        <v>-837</v>
      </c>
      <c r="C18" s="2">
        <f t="shared" si="5"/>
        <v>-1677</v>
      </c>
      <c r="D18" s="2">
        <f t="shared" si="5"/>
        <v>-1246</v>
      </c>
      <c r="E18" s="460">
        <f t="shared" si="0"/>
        <v>-3760</v>
      </c>
      <c r="F18" s="2">
        <f t="shared" ref="F18:H19" si="6">+F238</f>
        <v>-5393</v>
      </c>
      <c r="G18" s="2">
        <f t="shared" si="6"/>
        <v>-2494</v>
      </c>
      <c r="H18" s="2">
        <f t="shared" si="6"/>
        <v>-6596</v>
      </c>
      <c r="I18" s="460">
        <f t="shared" si="1"/>
        <v>-14483</v>
      </c>
      <c r="J18" s="2">
        <f t="shared" ref="J18:L19" si="7">+J238</f>
        <v>-5100</v>
      </c>
      <c r="K18" s="2">
        <f t="shared" si="7"/>
        <v>-9040</v>
      </c>
      <c r="L18" s="2">
        <f t="shared" si="7"/>
        <v>-7990</v>
      </c>
      <c r="M18" s="460">
        <f t="shared" si="2"/>
        <v>-22130</v>
      </c>
      <c r="N18" s="2">
        <f t="shared" ref="N18:P19" si="8">+N238</f>
        <v>-6356</v>
      </c>
      <c r="O18" s="2">
        <f t="shared" si="8"/>
        <v>-2699</v>
      </c>
      <c r="P18" s="2">
        <f t="shared" si="8"/>
        <v>-4384</v>
      </c>
      <c r="Q18" s="461">
        <f t="shared" si="3"/>
        <v>-13439</v>
      </c>
      <c r="R18" s="460">
        <f t="shared" si="4"/>
        <v>-53812</v>
      </c>
    </row>
    <row r="19" spans="1:20" ht="15.75" hidden="1" customHeight="1" x14ac:dyDescent="0.35">
      <c r="A19" s="6" t="s">
        <v>2302</v>
      </c>
      <c r="B19" s="2">
        <f t="shared" si="5"/>
        <v>0</v>
      </c>
      <c r="C19" s="2">
        <f t="shared" si="5"/>
        <v>0</v>
      </c>
      <c r="D19" s="2">
        <f t="shared" si="5"/>
        <v>0</v>
      </c>
      <c r="E19" s="460">
        <f t="shared" si="0"/>
        <v>0</v>
      </c>
      <c r="F19" s="2">
        <f t="shared" si="6"/>
        <v>0</v>
      </c>
      <c r="G19" s="2">
        <f t="shared" si="6"/>
        <v>0</v>
      </c>
      <c r="H19" s="2">
        <f t="shared" si="6"/>
        <v>0</v>
      </c>
      <c r="I19" s="460">
        <f t="shared" si="1"/>
        <v>0</v>
      </c>
      <c r="J19" s="2">
        <f t="shared" si="7"/>
        <v>0</v>
      </c>
      <c r="K19" s="2">
        <f t="shared" si="7"/>
        <v>0</v>
      </c>
      <c r="L19" s="2">
        <f t="shared" si="7"/>
        <v>0</v>
      </c>
      <c r="M19" s="460">
        <f t="shared" si="2"/>
        <v>0</v>
      </c>
      <c r="N19" s="2">
        <f t="shared" si="8"/>
        <v>0</v>
      </c>
      <c r="O19" s="2">
        <f t="shared" si="8"/>
        <v>0</v>
      </c>
      <c r="P19" s="2">
        <f t="shared" si="8"/>
        <v>0</v>
      </c>
      <c r="Q19" s="461">
        <f t="shared" si="3"/>
        <v>0</v>
      </c>
      <c r="R19" s="460">
        <f t="shared" si="4"/>
        <v>0</v>
      </c>
    </row>
    <row r="20" spans="1:20" ht="15.75" customHeight="1" x14ac:dyDescent="0.35">
      <c r="A20" s="463" t="s">
        <v>1176</v>
      </c>
      <c r="B20" s="2">
        <f>B241</f>
        <v>97686</v>
      </c>
      <c r="C20" s="2">
        <f>C241</f>
        <v>85428</v>
      </c>
      <c r="D20" s="2">
        <f>D241</f>
        <v>45817</v>
      </c>
      <c r="E20" s="460">
        <f t="shared" si="0"/>
        <v>228931</v>
      </c>
      <c r="F20" s="2">
        <f>F241</f>
        <v>20571</v>
      </c>
      <c r="G20" s="2">
        <f>G241</f>
        <v>4193</v>
      </c>
      <c r="H20" s="2">
        <f>H241</f>
        <v>0</v>
      </c>
      <c r="I20" s="460">
        <f t="shared" si="1"/>
        <v>24764</v>
      </c>
      <c r="J20" s="2">
        <f>J241</f>
        <v>0</v>
      </c>
      <c r="K20" s="2">
        <f>K241</f>
        <v>0</v>
      </c>
      <c r="L20" s="2">
        <f>L241</f>
        <v>20940</v>
      </c>
      <c r="M20" s="460">
        <f t="shared" si="2"/>
        <v>20940</v>
      </c>
      <c r="N20" s="2">
        <f>N241</f>
        <v>17280</v>
      </c>
      <c r="O20" s="2">
        <f>O241</f>
        <v>77414</v>
      </c>
      <c r="P20" s="2">
        <f>P241</f>
        <v>58224</v>
      </c>
      <c r="Q20" s="461">
        <f t="shared" si="3"/>
        <v>152918</v>
      </c>
      <c r="R20" s="460">
        <f t="shared" si="4"/>
        <v>427553</v>
      </c>
    </row>
    <row r="21" spans="1:20" ht="15.75" customHeight="1" x14ac:dyDescent="0.35">
      <c r="A21" s="463" t="s">
        <v>662</v>
      </c>
      <c r="B21" s="2">
        <f>B253</f>
        <v>0</v>
      </c>
      <c r="C21" s="2">
        <f>C253</f>
        <v>0</v>
      </c>
      <c r="D21" s="2">
        <f>D253</f>
        <v>0</v>
      </c>
      <c r="E21" s="460">
        <f t="shared" si="0"/>
        <v>0</v>
      </c>
      <c r="F21" s="2">
        <f>F253</f>
        <v>0</v>
      </c>
      <c r="G21" s="2">
        <f>G253</f>
        <v>-12106</v>
      </c>
      <c r="H21" s="2">
        <f>H253</f>
        <v>-84124</v>
      </c>
      <c r="I21" s="460">
        <f t="shared" si="1"/>
        <v>-96230</v>
      </c>
      <c r="J21" s="2">
        <f>J253</f>
        <v>-118289</v>
      </c>
      <c r="K21" s="2">
        <f>K253</f>
        <v>-126218</v>
      </c>
      <c r="L21" s="2">
        <f>L253</f>
        <v>-9314</v>
      </c>
      <c r="M21" s="460">
        <f t="shared" si="2"/>
        <v>-253821</v>
      </c>
      <c r="N21" s="2">
        <f>N253</f>
        <v>0</v>
      </c>
      <c r="O21" s="2">
        <f>O253</f>
        <v>0</v>
      </c>
      <c r="P21" s="2">
        <f>P253</f>
        <v>0</v>
      </c>
      <c r="Q21" s="461">
        <f t="shared" si="3"/>
        <v>0</v>
      </c>
      <c r="R21" s="460">
        <f t="shared" si="4"/>
        <v>-350051</v>
      </c>
    </row>
    <row r="22" spans="1:20" ht="15.75" customHeight="1" thickBot="1" x14ac:dyDescent="0.4">
      <c r="A22" s="458" t="s">
        <v>851</v>
      </c>
      <c r="B22" s="459">
        <f>(B31)</f>
        <v>172706</v>
      </c>
      <c r="C22" s="459">
        <f>(C31)</f>
        <v>160469</v>
      </c>
      <c r="D22" s="459">
        <f>(D31)</f>
        <v>180951</v>
      </c>
      <c r="E22" s="464">
        <f t="shared" si="0"/>
        <v>514126</v>
      </c>
      <c r="F22" s="459">
        <f>(F31)</f>
        <v>173713</v>
      </c>
      <c r="G22" s="459">
        <f>(G31)</f>
        <v>164967</v>
      </c>
      <c r="H22" s="459">
        <f>(H31)</f>
        <v>96957</v>
      </c>
      <c r="I22" s="464">
        <f t="shared" si="1"/>
        <v>435637</v>
      </c>
      <c r="J22" s="459">
        <f>(J31)</f>
        <v>76069</v>
      </c>
      <c r="K22" s="459">
        <f>(K31)</f>
        <v>71557</v>
      </c>
      <c r="L22" s="459">
        <f>(L31)</f>
        <v>143425</v>
      </c>
      <c r="M22" s="464">
        <f t="shared" si="2"/>
        <v>291051</v>
      </c>
      <c r="N22" s="459">
        <f>(N31)</f>
        <v>135867</v>
      </c>
      <c r="O22" s="459">
        <f>(O31)</f>
        <v>138591</v>
      </c>
      <c r="P22" s="459">
        <f>(P31)</f>
        <v>150142</v>
      </c>
      <c r="Q22" s="465">
        <f t="shared" si="3"/>
        <v>424600</v>
      </c>
      <c r="R22" s="464">
        <f t="shared" si="4"/>
        <v>1665414</v>
      </c>
      <c r="S22" t="s">
        <v>2396</v>
      </c>
      <c r="T22" t="s">
        <v>26</v>
      </c>
    </row>
    <row r="23" spans="1:20" ht="15.75" customHeight="1" thickBot="1" x14ac:dyDescent="0.4">
      <c r="A23" s="466" t="s">
        <v>496</v>
      </c>
      <c r="B23" s="467">
        <v>171343</v>
      </c>
      <c r="C23" s="467">
        <v>162340</v>
      </c>
      <c r="D23" s="467">
        <v>180297</v>
      </c>
      <c r="E23" s="464">
        <f t="shared" si="0"/>
        <v>513980</v>
      </c>
      <c r="F23" s="467">
        <v>172325</v>
      </c>
      <c r="G23" s="467">
        <v>164730</v>
      </c>
      <c r="H23" s="467">
        <v>93568</v>
      </c>
      <c r="I23" s="464">
        <f t="shared" si="1"/>
        <v>430623</v>
      </c>
      <c r="J23" s="467">
        <v>74956</v>
      </c>
      <c r="K23" s="467">
        <v>70375</v>
      </c>
      <c r="L23" s="467">
        <v>143343</v>
      </c>
      <c r="M23" s="464">
        <f t="shared" si="2"/>
        <v>288674</v>
      </c>
      <c r="N23" s="467">
        <v>133109</v>
      </c>
      <c r="O23" s="467">
        <v>143938</v>
      </c>
      <c r="P23" s="468">
        <v>149484</v>
      </c>
      <c r="Q23" s="465">
        <f t="shared" si="3"/>
        <v>426531</v>
      </c>
      <c r="R23" s="464">
        <f t="shared" si="4"/>
        <v>1659808</v>
      </c>
      <c r="T23" t="s">
        <v>1151</v>
      </c>
    </row>
    <row r="24" spans="1:20" ht="15.75" customHeight="1" thickBot="1" x14ac:dyDescent="0.4">
      <c r="A24" s="2"/>
      <c r="B24" s="2"/>
      <c r="C24" s="2"/>
      <c r="D24" s="2"/>
      <c r="E24" s="2"/>
      <c r="F24" s="469" t="s">
        <v>852</v>
      </c>
      <c r="G24" s="469" t="s">
        <v>852</v>
      </c>
      <c r="H24" s="2"/>
      <c r="I24" s="2"/>
      <c r="J24" s="2"/>
      <c r="K24" s="2"/>
      <c r="L24" s="2"/>
      <c r="M24" s="2"/>
      <c r="N24" s="469" t="s">
        <v>852</v>
      </c>
      <c r="O24" s="469" t="s">
        <v>852</v>
      </c>
      <c r="P24" s="469" t="s">
        <v>852</v>
      </c>
      <c r="Q24" s="469"/>
      <c r="R24" s="8" t="s">
        <v>852</v>
      </c>
    </row>
    <row r="25" spans="1:20" ht="15.75" customHeight="1" thickBot="1" x14ac:dyDescent="0.4">
      <c r="A25" s="470" t="s">
        <v>1878</v>
      </c>
      <c r="B25" s="179" t="s">
        <v>2090</v>
      </c>
      <c r="C25" s="180" t="s">
        <v>2091</v>
      </c>
      <c r="D25" s="180" t="s">
        <v>2234</v>
      </c>
      <c r="E25" s="175" t="s">
        <v>1594</v>
      </c>
      <c r="F25" s="180" t="s">
        <v>2235</v>
      </c>
      <c r="G25" s="180" t="s">
        <v>2236</v>
      </c>
      <c r="H25" s="180" t="s">
        <v>2237</v>
      </c>
      <c r="I25" s="64" t="s">
        <v>1595</v>
      </c>
      <c r="J25" s="180" t="s">
        <v>1504</v>
      </c>
      <c r="K25" s="180" t="s">
        <v>1505</v>
      </c>
      <c r="L25" s="180" t="s">
        <v>1506</v>
      </c>
      <c r="M25" s="64" t="s">
        <v>1596</v>
      </c>
      <c r="N25" s="180" t="s">
        <v>1507</v>
      </c>
      <c r="O25" s="180" t="s">
        <v>1508</v>
      </c>
      <c r="P25" s="180" t="s">
        <v>1509</v>
      </c>
      <c r="Q25" s="64" t="s">
        <v>1597</v>
      </c>
      <c r="R25" s="471" t="s">
        <v>1510</v>
      </c>
    </row>
    <row r="26" spans="1:20" ht="15.75" customHeight="1" thickBot="1" x14ac:dyDescent="0.4">
      <c r="A26" s="472"/>
      <c r="B26" s="181"/>
      <c r="C26" s="181"/>
      <c r="D26" s="181"/>
      <c r="E26" s="182"/>
      <c r="F26" s="181"/>
      <c r="G26" s="181"/>
      <c r="H26" s="181"/>
      <c r="I26" s="182"/>
      <c r="J26" s="181"/>
      <c r="K26" s="181"/>
      <c r="L26" s="181"/>
      <c r="M26" s="182"/>
      <c r="N26" s="181"/>
      <c r="O26" s="181"/>
      <c r="P26" s="181"/>
      <c r="Q26" s="182"/>
      <c r="R26" s="473"/>
    </row>
    <row r="27" spans="1:20" ht="15.75" customHeight="1" thickBot="1" x14ac:dyDescent="0.4">
      <c r="A27" s="474" t="s">
        <v>853</v>
      </c>
      <c r="B27" s="459">
        <v>97</v>
      </c>
      <c r="C27" s="459">
        <v>148</v>
      </c>
      <c r="D27" s="459">
        <v>274</v>
      </c>
      <c r="E27" s="475">
        <f>SUM(B27:D27)</f>
        <v>519</v>
      </c>
      <c r="F27" s="459">
        <v>367</v>
      </c>
      <c r="G27" s="459">
        <v>425</v>
      </c>
      <c r="H27" s="459">
        <v>417</v>
      </c>
      <c r="I27" s="475">
        <f>SUM(F27:H27)</f>
        <v>1209</v>
      </c>
      <c r="J27" s="459">
        <v>416</v>
      </c>
      <c r="K27" s="459">
        <v>334</v>
      </c>
      <c r="L27" s="459">
        <v>316</v>
      </c>
      <c r="M27" s="475">
        <f>SUM(J27:L27)</f>
        <v>1066</v>
      </c>
      <c r="N27" s="459">
        <v>285</v>
      </c>
      <c r="O27" s="459">
        <v>235</v>
      </c>
      <c r="P27" s="459">
        <v>186</v>
      </c>
      <c r="Q27" s="475">
        <f>SUM(N27:P27)</f>
        <v>706</v>
      </c>
      <c r="R27" s="464">
        <f>+E27+I27+M27+Q27</f>
        <v>3500</v>
      </c>
    </row>
    <row r="28" spans="1:20" ht="15.75" customHeight="1" thickBot="1" x14ac:dyDescent="0.4">
      <c r="A28" s="12"/>
      <c r="B28" s="181"/>
      <c r="C28" s="181"/>
      <c r="D28" s="181"/>
      <c r="E28" s="476"/>
      <c r="F28" s="181"/>
      <c r="G28" s="181"/>
      <c r="H28" s="181"/>
      <c r="I28" s="476"/>
      <c r="J28" s="181"/>
      <c r="K28" s="181"/>
      <c r="L28" s="181"/>
      <c r="M28" s="476"/>
      <c r="N28" s="181"/>
      <c r="O28" s="181"/>
      <c r="P28" s="181"/>
      <c r="Q28" s="476"/>
      <c r="R28" s="477"/>
    </row>
    <row r="29" spans="1:20" ht="15.75" customHeight="1" x14ac:dyDescent="0.35">
      <c r="A29" s="6" t="s">
        <v>2011</v>
      </c>
      <c r="B29" s="2">
        <f>B27</f>
        <v>97</v>
      </c>
      <c r="C29" s="2">
        <f>C27</f>
        <v>148</v>
      </c>
      <c r="D29" s="2">
        <f>D27</f>
        <v>274</v>
      </c>
      <c r="E29" s="475">
        <f>SUM(B29:D29)</f>
        <v>519</v>
      </c>
      <c r="F29" s="2">
        <f>F27</f>
        <v>367</v>
      </c>
      <c r="G29" s="2">
        <f>G27</f>
        <v>425</v>
      </c>
      <c r="H29" s="2">
        <f>H27</f>
        <v>417</v>
      </c>
      <c r="I29" s="475">
        <f>SUM(F29:H29)</f>
        <v>1209</v>
      </c>
      <c r="J29" s="2">
        <f>J27</f>
        <v>416</v>
      </c>
      <c r="K29" s="2">
        <f>K27</f>
        <v>334</v>
      </c>
      <c r="L29" s="2">
        <f>L27</f>
        <v>316</v>
      </c>
      <c r="M29" s="475">
        <f>SUM(J29:L29)</f>
        <v>1066</v>
      </c>
      <c r="N29" s="2">
        <f>N27</f>
        <v>285</v>
      </c>
      <c r="O29" s="2">
        <f>O27</f>
        <v>235</v>
      </c>
      <c r="P29" s="2">
        <f>P27</f>
        <v>186</v>
      </c>
      <c r="Q29" s="478">
        <f>SUM(N29:P29)</f>
        <v>706</v>
      </c>
      <c r="R29" s="475">
        <f>+E29+I29+M29+Q29</f>
        <v>3500</v>
      </c>
    </row>
    <row r="30" spans="1:20" ht="15.75" customHeight="1" x14ac:dyDescent="0.35">
      <c r="A30" s="6" t="s">
        <v>1897</v>
      </c>
      <c r="B30" s="2">
        <f>(B29/31)/1.983</f>
        <v>1.5779285214647079</v>
      </c>
      <c r="C30" s="2">
        <f>(C29/28)/1.983</f>
        <v>2.6655140119587926</v>
      </c>
      <c r="D30" s="2">
        <f>(D29/31)/1.983</f>
        <v>4.457241390529175</v>
      </c>
      <c r="E30" s="460"/>
      <c r="F30" s="2">
        <f>(F29/30)/1.983</f>
        <v>6.1691040511010247</v>
      </c>
      <c r="G30" s="2">
        <f>(G29/31)/1.983</f>
        <v>6.9136043466237203</v>
      </c>
      <c r="H30" s="2">
        <f>(H29/30)/1.983</f>
        <v>7.0095814422592033</v>
      </c>
      <c r="I30" s="460"/>
      <c r="J30" s="2">
        <f>(J29/31)/1.983</f>
        <v>6.7671986075187478</v>
      </c>
      <c r="K30" s="2">
        <f>(K29/31)/1.983</f>
        <v>5.433279651228994</v>
      </c>
      <c r="L30" s="2">
        <f>(L29/30)/1.983</f>
        <v>5.3118171121196838</v>
      </c>
      <c r="M30" s="460"/>
      <c r="N30" s="2">
        <f>(N29/31)/1.983</f>
        <v>4.6361817383241419</v>
      </c>
      <c r="O30" s="2">
        <f>(O29/30)/1.983</f>
        <v>3.9502437384434357</v>
      </c>
      <c r="P30" s="2">
        <f>(P29/31)/1.983</f>
        <v>3.02571860816944</v>
      </c>
      <c r="Q30" s="461"/>
      <c r="R30" s="460"/>
    </row>
    <row r="31" spans="1:20" ht="15.75" customHeight="1" x14ac:dyDescent="0.35">
      <c r="A31" s="6" t="s">
        <v>1119</v>
      </c>
      <c r="B31" s="2">
        <f>B29+B66</f>
        <v>172706</v>
      </c>
      <c r="C31" s="2">
        <f>C29+C66</f>
        <v>160469</v>
      </c>
      <c r="D31" s="2">
        <f>D29+D66</f>
        <v>180951</v>
      </c>
      <c r="E31" s="460">
        <f>SUM(B31:D31)</f>
        <v>514126</v>
      </c>
      <c r="F31" s="2">
        <f>F29+F66</f>
        <v>173713</v>
      </c>
      <c r="G31" s="2">
        <f>G29+G66</f>
        <v>164967</v>
      </c>
      <c r="H31" s="2">
        <f>H29+H66</f>
        <v>96957</v>
      </c>
      <c r="I31" s="460">
        <f>SUM(F31:H31)</f>
        <v>435637</v>
      </c>
      <c r="J31" s="2">
        <f>J29+J66</f>
        <v>76069</v>
      </c>
      <c r="K31" s="2">
        <f>K29+K66</f>
        <v>71557</v>
      </c>
      <c r="L31" s="2">
        <f>L29+L66</f>
        <v>143425</v>
      </c>
      <c r="M31" s="460">
        <f>SUM(J31:L31)</f>
        <v>291051</v>
      </c>
      <c r="N31" s="2">
        <f>N29+N66</f>
        <v>135867</v>
      </c>
      <c r="O31" s="2">
        <f>O29+O66</f>
        <v>138591</v>
      </c>
      <c r="P31" s="2">
        <f>P29+P66</f>
        <v>150142</v>
      </c>
      <c r="Q31" s="461">
        <f>SUM(N31:P31)</f>
        <v>424600</v>
      </c>
      <c r="R31" s="460">
        <f>+E31+I31+M31+Q31</f>
        <v>1665414</v>
      </c>
    </row>
    <row r="32" spans="1:20" ht="15.75" customHeight="1" thickBot="1" x14ac:dyDescent="0.4">
      <c r="A32" s="458" t="s">
        <v>1968</v>
      </c>
      <c r="B32" s="459">
        <f>(B31/31)/1.983</f>
        <v>2809.4610642070502</v>
      </c>
      <c r="C32" s="459">
        <f>(C31/28)/1.983</f>
        <v>2890.0835674663208</v>
      </c>
      <c r="D32" s="459">
        <f>(D31/31)/1.983</f>
        <v>2943.5849885315502</v>
      </c>
      <c r="E32" s="464"/>
      <c r="F32" s="459">
        <f>(F31/30)/1.983</f>
        <v>2920.0369810052107</v>
      </c>
      <c r="G32" s="459">
        <f>(G31/31)/1.983</f>
        <v>2683.5683958811187</v>
      </c>
      <c r="H32" s="459">
        <f>(H31/30)/1.983</f>
        <v>1629.8033282904689</v>
      </c>
      <c r="I32" s="464"/>
      <c r="J32" s="459">
        <f>(J31/31)/1.983</f>
        <v>1237.4375742195762</v>
      </c>
      <c r="K32" s="459">
        <f>(K31/31)/1.983</f>
        <v>1164.0394970149498</v>
      </c>
      <c r="L32" s="459">
        <f>(L31/30)/1.983</f>
        <v>2410.9093965372331</v>
      </c>
      <c r="M32" s="464"/>
      <c r="N32" s="459">
        <f>(N31/31)/1.983</f>
        <v>2210.1898394417062</v>
      </c>
      <c r="O32" s="459">
        <f>(O31/30)/1.983</f>
        <v>2329.6520423600605</v>
      </c>
      <c r="P32" s="459">
        <f>(P31/31)/1.983</f>
        <v>2442.4056089665378</v>
      </c>
      <c r="Q32" s="465"/>
      <c r="R32" s="464"/>
    </row>
    <row r="33" spans="1:18" ht="15.75" customHeight="1" x14ac:dyDescent="0.35">
      <c r="A33" s="187"/>
      <c r="B33" s="2"/>
      <c r="C33" s="2"/>
      <c r="D33" s="2"/>
      <c r="E33" s="2"/>
      <c r="F33" s="2"/>
      <c r="G33" s="2"/>
      <c r="H33" s="2"/>
      <c r="I33" s="2"/>
      <c r="J33" s="2"/>
      <c r="K33" s="2"/>
      <c r="L33" s="2"/>
      <c r="M33" s="2"/>
      <c r="N33" s="2"/>
      <c r="O33" s="2"/>
      <c r="P33" s="2"/>
      <c r="Q33" s="2"/>
      <c r="R33" s="187"/>
    </row>
    <row r="34" spans="1:18" ht="15.75" customHeight="1" thickBot="1" x14ac:dyDescent="0.4">
      <c r="A34" s="187"/>
      <c r="B34" s="2"/>
      <c r="C34" s="2"/>
      <c r="D34" s="2"/>
      <c r="E34" s="2"/>
      <c r="F34" s="2"/>
      <c r="G34" s="2"/>
      <c r="H34" s="2"/>
      <c r="I34" s="2"/>
      <c r="J34" s="2"/>
      <c r="K34" s="2"/>
      <c r="L34" s="2"/>
      <c r="M34" s="2"/>
      <c r="N34" s="2"/>
      <c r="O34" s="2"/>
      <c r="P34" s="2"/>
      <c r="Q34" s="2"/>
      <c r="R34" s="187"/>
    </row>
    <row r="35" spans="1:18" ht="15.75" customHeight="1" thickBot="1" x14ac:dyDescent="0.4">
      <c r="A35" s="479" t="s">
        <v>681</v>
      </c>
      <c r="B35" s="173" t="s">
        <v>2090</v>
      </c>
      <c r="C35" s="174" t="s">
        <v>2091</v>
      </c>
      <c r="D35" s="174" t="s">
        <v>2234</v>
      </c>
      <c r="E35" s="175" t="s">
        <v>1594</v>
      </c>
      <c r="F35" s="174" t="s">
        <v>2235</v>
      </c>
      <c r="G35" s="174" t="s">
        <v>2236</v>
      </c>
      <c r="H35" s="174" t="s">
        <v>2237</v>
      </c>
      <c r="I35" s="175" t="s">
        <v>1595</v>
      </c>
      <c r="J35" s="174" t="s">
        <v>1504</v>
      </c>
      <c r="K35" s="174" t="s">
        <v>1505</v>
      </c>
      <c r="L35" s="174" t="s">
        <v>1506</v>
      </c>
      <c r="M35" s="175" t="s">
        <v>1596</v>
      </c>
      <c r="N35" s="174" t="s">
        <v>1507</v>
      </c>
      <c r="O35" s="174" t="s">
        <v>1508</v>
      </c>
      <c r="P35" s="174" t="s">
        <v>1509</v>
      </c>
      <c r="Q35" s="175" t="s">
        <v>1597</v>
      </c>
      <c r="R35" s="176" t="s">
        <v>1510</v>
      </c>
    </row>
    <row r="36" spans="1:18" ht="15.75" customHeight="1" thickBot="1" x14ac:dyDescent="0.4">
      <c r="A36" s="476"/>
      <c r="B36" s="480"/>
      <c r="C36" s="177"/>
      <c r="D36" s="177"/>
      <c r="E36" s="178"/>
      <c r="F36" s="177"/>
      <c r="G36" s="177"/>
      <c r="H36" s="177"/>
      <c r="I36" s="178"/>
      <c r="J36" s="177"/>
      <c r="K36" s="177"/>
      <c r="L36" s="177"/>
      <c r="M36" s="178"/>
      <c r="N36" s="177"/>
      <c r="O36" s="177"/>
      <c r="P36" s="177"/>
      <c r="Q36" s="178"/>
      <c r="R36" s="481"/>
    </row>
    <row r="37" spans="1:18" ht="15.75" customHeight="1" x14ac:dyDescent="0.35">
      <c r="A37" s="482" t="s">
        <v>2417</v>
      </c>
      <c r="B37" s="8"/>
      <c r="C37" s="8"/>
      <c r="D37" s="8"/>
      <c r="E37" s="183" t="s">
        <v>852</v>
      </c>
      <c r="F37" s="8"/>
      <c r="G37" s="8"/>
      <c r="H37" s="8"/>
      <c r="I37" s="183" t="s">
        <v>852</v>
      </c>
      <c r="J37" s="8"/>
      <c r="K37" s="8"/>
      <c r="L37" s="8"/>
      <c r="M37" s="183" t="s">
        <v>852</v>
      </c>
      <c r="N37" s="8"/>
      <c r="O37" s="8"/>
      <c r="P37" s="8"/>
      <c r="Q37" s="183" t="s">
        <v>852</v>
      </c>
      <c r="R37" s="183" t="s">
        <v>852</v>
      </c>
    </row>
    <row r="38" spans="1:18" ht="15.75" customHeight="1" x14ac:dyDescent="0.35">
      <c r="A38" s="462" t="s">
        <v>2160</v>
      </c>
      <c r="B38" s="8" t="s">
        <v>852</v>
      </c>
      <c r="C38" s="483"/>
      <c r="D38" s="483"/>
      <c r="E38" s="183" t="s">
        <v>852</v>
      </c>
      <c r="F38" s="483"/>
      <c r="G38" s="483"/>
      <c r="H38" s="483"/>
      <c r="I38" s="183" t="s">
        <v>852</v>
      </c>
      <c r="J38" s="483"/>
      <c r="K38" s="483"/>
      <c r="L38" s="483"/>
      <c r="M38" s="183" t="s">
        <v>852</v>
      </c>
      <c r="N38" s="483"/>
      <c r="O38" s="483"/>
      <c r="P38" s="483"/>
      <c r="Q38" s="183" t="s">
        <v>852</v>
      </c>
      <c r="R38" s="183" t="s">
        <v>852</v>
      </c>
    </row>
    <row r="39" spans="1:18" ht="15.75" customHeight="1" x14ac:dyDescent="0.35">
      <c r="A39" s="462" t="s">
        <v>2161</v>
      </c>
      <c r="B39" s="8"/>
      <c r="C39" s="8"/>
      <c r="D39" s="8"/>
      <c r="E39" s="183" t="s">
        <v>852</v>
      </c>
      <c r="F39" s="8"/>
      <c r="G39" s="8"/>
      <c r="H39" s="8"/>
      <c r="I39" s="183" t="s">
        <v>852</v>
      </c>
      <c r="J39" s="8"/>
      <c r="K39" s="8"/>
      <c r="L39" s="8"/>
      <c r="M39" s="183" t="s">
        <v>852</v>
      </c>
      <c r="N39" s="8"/>
      <c r="O39" s="8"/>
      <c r="P39" s="8"/>
      <c r="Q39" s="183" t="s">
        <v>852</v>
      </c>
      <c r="R39" s="183" t="s">
        <v>852</v>
      </c>
    </row>
    <row r="40" spans="1:18" ht="15.75" customHeight="1" x14ac:dyDescent="0.35">
      <c r="A40" s="462" t="s">
        <v>2162</v>
      </c>
      <c r="B40" s="8"/>
      <c r="C40" s="8"/>
      <c r="D40" s="8"/>
      <c r="E40" s="183" t="s">
        <v>1598</v>
      </c>
      <c r="F40" s="8"/>
      <c r="G40" s="8"/>
      <c r="H40" s="8"/>
      <c r="I40" s="183" t="s">
        <v>1598</v>
      </c>
      <c r="J40" s="8"/>
      <c r="K40" s="8"/>
      <c r="L40" s="8"/>
      <c r="M40" s="183" t="s">
        <v>1598</v>
      </c>
      <c r="N40" s="8"/>
      <c r="O40" s="8"/>
      <c r="P40" s="8"/>
      <c r="Q40" s="183" t="s">
        <v>1598</v>
      </c>
      <c r="R40" s="183" t="s">
        <v>1598</v>
      </c>
    </row>
    <row r="41" spans="1:18" ht="15.75" customHeight="1" thickBot="1" x14ac:dyDescent="0.4">
      <c r="A41" s="462" t="s">
        <v>2164</v>
      </c>
      <c r="B41" s="483"/>
      <c r="C41" s="483"/>
      <c r="D41" s="483"/>
      <c r="E41" s="183" t="s">
        <v>852</v>
      </c>
      <c r="F41" s="483"/>
      <c r="G41" s="483"/>
      <c r="H41" s="483"/>
      <c r="I41" s="183" t="s">
        <v>852</v>
      </c>
      <c r="J41" s="483"/>
      <c r="K41" s="483"/>
      <c r="L41" s="483"/>
      <c r="M41" s="183" t="s">
        <v>852</v>
      </c>
      <c r="N41" s="483"/>
      <c r="O41" s="483"/>
      <c r="P41" s="483"/>
      <c r="Q41" s="183" t="s">
        <v>852</v>
      </c>
      <c r="R41" s="183" t="s">
        <v>852</v>
      </c>
    </row>
    <row r="42" spans="1:18" ht="15.75" customHeight="1" thickBot="1" x14ac:dyDescent="0.4">
      <c r="A42" s="41" t="s">
        <v>1218</v>
      </c>
      <c r="B42" s="184">
        <f>SUM(B37:B41)</f>
        <v>0</v>
      </c>
      <c r="C42" s="184">
        <f>SUM(C37:C41)</f>
        <v>0</v>
      </c>
      <c r="D42" s="184">
        <f>SUM(D37:D41)</f>
        <v>0</v>
      </c>
      <c r="E42" s="56">
        <f>SUM(B42:D42)</f>
        <v>0</v>
      </c>
      <c r="F42" s="184">
        <f>SUM(F37:F41)</f>
        <v>0</v>
      </c>
      <c r="G42" s="184">
        <f>SUM(G37:G41)</f>
        <v>0</v>
      </c>
      <c r="H42" s="184">
        <f>SUM(H37:H41)</f>
        <v>0</v>
      </c>
      <c r="I42" s="56">
        <f>SUM(F42:H42)</f>
        <v>0</v>
      </c>
      <c r="J42" s="184">
        <f>SUM(J37:J41)</f>
        <v>0</v>
      </c>
      <c r="K42" s="184">
        <f>SUM(K37:K41)</f>
        <v>0</v>
      </c>
      <c r="L42" s="184">
        <f>SUM(L37:L41)</f>
        <v>0</v>
      </c>
      <c r="M42" s="56">
        <f>SUM(J42:L42)</f>
        <v>0</v>
      </c>
      <c r="N42" s="184">
        <f>SUM(N37:N41)</f>
        <v>0</v>
      </c>
      <c r="O42" s="184">
        <f>SUM(O37:O41)</f>
        <v>0</v>
      </c>
      <c r="P42" s="184">
        <f>SUM(P37:P41)</f>
        <v>0</v>
      </c>
      <c r="Q42" s="56">
        <f>SUM(N42:P42)</f>
        <v>0</v>
      </c>
      <c r="R42" s="56">
        <f>+E42+I42+M42+Q42</f>
        <v>0</v>
      </c>
    </row>
    <row r="43" spans="1:18" ht="15.75" customHeight="1" x14ac:dyDescent="0.35">
      <c r="A43" s="462" t="s">
        <v>1172</v>
      </c>
      <c r="B43" s="483"/>
      <c r="C43" s="483"/>
      <c r="D43" s="483"/>
      <c r="E43" s="183" t="s">
        <v>852</v>
      </c>
      <c r="F43" s="483"/>
      <c r="G43" s="483"/>
      <c r="H43" s="483"/>
      <c r="I43" s="183" t="s">
        <v>852</v>
      </c>
      <c r="J43" s="483"/>
      <c r="K43" s="483"/>
      <c r="L43" s="483"/>
      <c r="M43" s="183" t="s">
        <v>852</v>
      </c>
      <c r="N43" s="483"/>
      <c r="O43" s="483"/>
      <c r="P43" s="483"/>
      <c r="Q43" s="183" t="s">
        <v>852</v>
      </c>
      <c r="R43" s="185" t="s">
        <v>852</v>
      </c>
    </row>
    <row r="44" spans="1:18" ht="15.75" customHeight="1" x14ac:dyDescent="0.35">
      <c r="A44" s="462" t="s">
        <v>1658</v>
      </c>
      <c r="B44" s="483"/>
      <c r="C44" s="483"/>
      <c r="D44" s="483"/>
      <c r="E44" s="183"/>
      <c r="F44" s="483"/>
      <c r="G44" s="483"/>
      <c r="H44" s="483"/>
      <c r="I44" s="183"/>
      <c r="J44" s="483"/>
      <c r="K44" s="483"/>
      <c r="L44" s="483"/>
      <c r="M44" s="183"/>
      <c r="N44" s="483"/>
      <c r="O44" s="483"/>
      <c r="P44" s="483"/>
      <c r="Q44" s="183"/>
      <c r="R44" s="183"/>
    </row>
    <row r="45" spans="1:18" ht="15.75" customHeight="1" x14ac:dyDescent="0.35">
      <c r="A45" s="462" t="s">
        <v>2409</v>
      </c>
      <c r="B45" s="483"/>
      <c r="C45" s="483"/>
      <c r="D45" s="483"/>
      <c r="E45" s="183" t="s">
        <v>852</v>
      </c>
      <c r="F45" s="483"/>
      <c r="G45" s="483"/>
      <c r="H45" s="483"/>
      <c r="I45" s="183" t="s">
        <v>852</v>
      </c>
      <c r="J45" s="483"/>
      <c r="K45" s="483"/>
      <c r="L45" s="483"/>
      <c r="M45" s="183" t="s">
        <v>852</v>
      </c>
      <c r="N45" s="483"/>
      <c r="O45" s="483"/>
      <c r="P45" s="483"/>
      <c r="Q45" s="183" t="s">
        <v>852</v>
      </c>
      <c r="R45" s="183" t="s">
        <v>852</v>
      </c>
    </row>
    <row r="46" spans="1:18" ht="15.75" customHeight="1" thickBot="1" x14ac:dyDescent="0.4">
      <c r="A46" s="462" t="s">
        <v>2165</v>
      </c>
      <c r="B46" s="483"/>
      <c r="C46" s="483"/>
      <c r="D46" s="483"/>
      <c r="E46" s="183" t="s">
        <v>852</v>
      </c>
      <c r="F46" s="483"/>
      <c r="G46" s="483"/>
      <c r="H46" s="483"/>
      <c r="I46" s="183" t="s">
        <v>852</v>
      </c>
      <c r="J46" s="483"/>
      <c r="K46" s="483"/>
      <c r="L46" s="483"/>
      <c r="M46" s="183" t="s">
        <v>852</v>
      </c>
      <c r="N46" s="483"/>
      <c r="O46" s="483"/>
      <c r="P46" s="483"/>
      <c r="Q46" s="183" t="s">
        <v>852</v>
      </c>
      <c r="R46" s="183" t="s">
        <v>852</v>
      </c>
    </row>
    <row r="47" spans="1:18" ht="15.75" customHeight="1" thickBot="1" x14ac:dyDescent="0.4">
      <c r="A47" s="41" t="s">
        <v>1219</v>
      </c>
      <c r="B47" s="184">
        <f>SUM(B43:B46)</f>
        <v>0</v>
      </c>
      <c r="C47" s="184">
        <f>SUM(C43:C46)</f>
        <v>0</v>
      </c>
      <c r="D47" s="184">
        <f>SUM(D43:D46)</f>
        <v>0</v>
      </c>
      <c r="E47" s="56">
        <f>SUM(B47:D47)</f>
        <v>0</v>
      </c>
      <c r="F47" s="184">
        <f>SUM(F43:F46)</f>
        <v>0</v>
      </c>
      <c r="G47" s="184">
        <f>SUM(G43:G46)</f>
        <v>0</v>
      </c>
      <c r="H47" s="184">
        <f>SUM(H43:H46)</f>
        <v>0</v>
      </c>
      <c r="I47" s="56">
        <f>SUM(F47:H47)</f>
        <v>0</v>
      </c>
      <c r="J47" s="184">
        <f>SUM(J43:J46)</f>
        <v>0</v>
      </c>
      <c r="K47" s="184">
        <f>SUM(K43:K46)</f>
        <v>0</v>
      </c>
      <c r="L47" s="184">
        <f>SUM(L43:L46)</f>
        <v>0</v>
      </c>
      <c r="M47" s="56">
        <f>SUM(J47:L47)</f>
        <v>0</v>
      </c>
      <c r="N47" s="184">
        <f>SUM(N43:N46)</f>
        <v>0</v>
      </c>
      <c r="O47" s="184">
        <f>SUM(O43:O46)</f>
        <v>0</v>
      </c>
      <c r="P47" s="184">
        <f>SUM(P43:P46)</f>
        <v>0</v>
      </c>
      <c r="Q47" s="56">
        <f>SUM(N47:P47)</f>
        <v>0</v>
      </c>
      <c r="R47" s="56">
        <f>+E47+I47+M47+Q47</f>
        <v>0</v>
      </c>
    </row>
    <row r="48" spans="1:18" ht="15.75" customHeight="1" x14ac:dyDescent="0.35">
      <c r="A48" s="462" t="s">
        <v>2166</v>
      </c>
      <c r="B48" s="483"/>
      <c r="C48" s="483"/>
      <c r="D48" s="483"/>
      <c r="E48" s="183" t="s">
        <v>852</v>
      </c>
      <c r="F48" s="483"/>
      <c r="G48" s="483"/>
      <c r="H48" s="483"/>
      <c r="I48" s="183" t="s">
        <v>852</v>
      </c>
      <c r="J48" s="483"/>
      <c r="K48" s="483"/>
      <c r="L48" s="483"/>
      <c r="M48" s="183" t="s">
        <v>852</v>
      </c>
      <c r="N48" s="483"/>
      <c r="O48" s="483"/>
      <c r="P48" s="483"/>
      <c r="Q48" s="183" t="s">
        <v>852</v>
      </c>
      <c r="R48" s="183" t="s">
        <v>852</v>
      </c>
    </row>
    <row r="49" spans="1:18" ht="15.75" customHeight="1" x14ac:dyDescent="0.35">
      <c r="A49" s="462" t="s">
        <v>1245</v>
      </c>
      <c r="B49" s="483"/>
      <c r="C49" s="483"/>
      <c r="D49" s="483"/>
      <c r="E49" s="183" t="s">
        <v>852</v>
      </c>
      <c r="F49" s="483"/>
      <c r="G49" s="483"/>
      <c r="H49" s="483"/>
      <c r="I49" s="183" t="s">
        <v>852</v>
      </c>
      <c r="J49" s="483"/>
      <c r="K49" s="483"/>
      <c r="L49" s="483"/>
      <c r="M49" s="183" t="s">
        <v>852</v>
      </c>
      <c r="N49" s="483"/>
      <c r="O49" s="483"/>
      <c r="P49" s="483"/>
      <c r="Q49" s="183" t="s">
        <v>852</v>
      </c>
      <c r="R49" s="183" t="s">
        <v>852</v>
      </c>
    </row>
    <row r="50" spans="1:18" ht="15.75" customHeight="1" thickBot="1" x14ac:dyDescent="0.4">
      <c r="A50" s="462" t="s">
        <v>1711</v>
      </c>
      <c r="B50" s="483"/>
      <c r="C50" s="483"/>
      <c r="D50" s="483"/>
      <c r="E50" s="183"/>
      <c r="F50" s="483"/>
      <c r="G50" s="483"/>
      <c r="H50" s="483"/>
      <c r="I50" s="183"/>
      <c r="J50" s="483"/>
      <c r="K50" s="483"/>
      <c r="L50" s="483"/>
      <c r="M50" s="183"/>
      <c r="N50" s="483"/>
      <c r="O50" s="483"/>
      <c r="P50" s="483"/>
      <c r="Q50" s="183"/>
      <c r="R50" s="183"/>
    </row>
    <row r="51" spans="1:18" ht="15.75" customHeight="1" thickBot="1" x14ac:dyDescent="0.4">
      <c r="A51" s="41" t="s">
        <v>1220</v>
      </c>
      <c r="B51" s="184">
        <f>SUM(B48:B50)</f>
        <v>0</v>
      </c>
      <c r="C51" s="184">
        <f>SUM(C48:C50)</f>
        <v>0</v>
      </c>
      <c r="D51" s="184">
        <f>SUM(D48:D50)</f>
        <v>0</v>
      </c>
      <c r="E51" s="56">
        <f>SUM(B51:D51)</f>
        <v>0</v>
      </c>
      <c r="F51" s="184">
        <f>SUM(F48:F50)</f>
        <v>0</v>
      </c>
      <c r="G51" s="184">
        <f>SUM(G48:G50)</f>
        <v>0</v>
      </c>
      <c r="H51" s="184">
        <f>SUM(H48:H50)</f>
        <v>0</v>
      </c>
      <c r="I51" s="56">
        <f>SUM(F51:H51)</f>
        <v>0</v>
      </c>
      <c r="J51" s="184">
        <f>SUM(J48:J50)</f>
        <v>0</v>
      </c>
      <c r="K51" s="184">
        <f>SUM(K48:K50)</f>
        <v>0</v>
      </c>
      <c r="L51" s="184">
        <f>SUM(L48:L50)</f>
        <v>0</v>
      </c>
      <c r="M51" s="56">
        <f>SUM(J51:L51)</f>
        <v>0</v>
      </c>
      <c r="N51" s="184">
        <f>SUM(N48:N50)</f>
        <v>0</v>
      </c>
      <c r="O51" s="184">
        <f>SUM(O48:O50)</f>
        <v>0</v>
      </c>
      <c r="P51" s="184">
        <f>SUM(P48:P50)</f>
        <v>0</v>
      </c>
      <c r="Q51" s="56">
        <f>SUM(N51:P51)</f>
        <v>0</v>
      </c>
      <c r="R51" s="56">
        <f>+E51+I51+M51+Q51</f>
        <v>0</v>
      </c>
    </row>
    <row r="52" spans="1:18" ht="15.75" customHeight="1" x14ac:dyDescent="0.35">
      <c r="A52" s="462" t="s">
        <v>1712</v>
      </c>
      <c r="B52" s="483"/>
      <c r="C52" s="483"/>
      <c r="D52" s="483"/>
      <c r="E52" s="183" t="s">
        <v>852</v>
      </c>
      <c r="F52" s="483"/>
      <c r="G52" s="483"/>
      <c r="H52" s="483"/>
      <c r="I52" s="183" t="s">
        <v>852</v>
      </c>
      <c r="J52" s="483"/>
      <c r="K52" s="483"/>
      <c r="L52" s="483"/>
      <c r="M52" s="183" t="s">
        <v>852</v>
      </c>
      <c r="N52" s="483"/>
      <c r="O52" s="483"/>
      <c r="P52" s="483"/>
      <c r="Q52" s="183" t="s">
        <v>852</v>
      </c>
      <c r="R52" s="183" t="s">
        <v>852</v>
      </c>
    </row>
    <row r="53" spans="1:18" ht="15.75" customHeight="1" x14ac:dyDescent="0.35">
      <c r="A53" s="462" t="s">
        <v>556</v>
      </c>
      <c r="B53" s="483"/>
      <c r="C53" s="483"/>
      <c r="D53" s="483"/>
      <c r="E53" s="183" t="s">
        <v>852</v>
      </c>
      <c r="F53" s="483"/>
      <c r="G53" s="483"/>
      <c r="H53" s="483"/>
      <c r="I53" s="183" t="s">
        <v>852</v>
      </c>
      <c r="J53" s="483"/>
      <c r="K53" s="483"/>
      <c r="L53" s="483"/>
      <c r="M53" s="183" t="s">
        <v>852</v>
      </c>
      <c r="N53" s="483"/>
      <c r="O53" s="483"/>
      <c r="P53" s="483"/>
      <c r="Q53" s="183" t="s">
        <v>852</v>
      </c>
      <c r="R53" s="183" t="s">
        <v>852</v>
      </c>
    </row>
    <row r="54" spans="1:18" ht="15.75" customHeight="1" x14ac:dyDescent="0.35">
      <c r="A54" s="484" t="s">
        <v>416</v>
      </c>
      <c r="B54" s="2">
        <v>0</v>
      </c>
      <c r="C54" s="2">
        <v>0</v>
      </c>
      <c r="D54" s="2">
        <v>0</v>
      </c>
      <c r="E54" s="183">
        <f>SUM(B54:D54)</f>
        <v>0</v>
      </c>
      <c r="F54" s="2">
        <v>0</v>
      </c>
      <c r="G54" s="2">
        <v>0</v>
      </c>
      <c r="H54" s="2">
        <v>0</v>
      </c>
      <c r="I54" s="183">
        <f>SUM(F54:H54)</f>
        <v>0</v>
      </c>
      <c r="J54" s="2">
        <v>0</v>
      </c>
      <c r="K54" s="2">
        <v>0</v>
      </c>
      <c r="L54" s="2">
        <v>0</v>
      </c>
      <c r="M54" s="183">
        <f>SUM(J54:L54)</f>
        <v>0</v>
      </c>
      <c r="N54" s="2">
        <v>0</v>
      </c>
      <c r="O54" s="2">
        <v>0</v>
      </c>
      <c r="P54" s="2">
        <v>0</v>
      </c>
      <c r="Q54" s="183">
        <f>SUM(N54:P54)</f>
        <v>0</v>
      </c>
      <c r="R54" s="183">
        <f>+E54+I54+M54+Q54</f>
        <v>0</v>
      </c>
    </row>
    <row r="55" spans="1:18" ht="15.75" customHeight="1" x14ac:dyDescent="0.35">
      <c r="A55" s="462" t="s">
        <v>557</v>
      </c>
      <c r="B55" s="483"/>
      <c r="C55" s="483"/>
      <c r="D55" s="483"/>
      <c r="E55" s="183" t="s">
        <v>852</v>
      </c>
      <c r="F55" s="483"/>
      <c r="G55" s="483"/>
      <c r="H55" s="483"/>
      <c r="I55" s="183" t="s">
        <v>852</v>
      </c>
      <c r="J55" s="483"/>
      <c r="K55" s="483"/>
      <c r="L55" s="483"/>
      <c r="M55" s="183" t="s">
        <v>852</v>
      </c>
      <c r="N55" s="483"/>
      <c r="O55" s="483"/>
      <c r="P55" s="483"/>
      <c r="Q55" s="183" t="s">
        <v>852</v>
      </c>
      <c r="R55" s="183" t="s">
        <v>852</v>
      </c>
    </row>
    <row r="56" spans="1:18" ht="15.75" customHeight="1" x14ac:dyDescent="0.35">
      <c r="A56" s="484" t="s">
        <v>1840</v>
      </c>
      <c r="B56" s="2">
        <v>0</v>
      </c>
      <c r="C56" s="2">
        <v>0</v>
      </c>
      <c r="D56" s="2">
        <v>0</v>
      </c>
      <c r="E56" s="183">
        <f>SUM(B56:D56)</f>
        <v>0</v>
      </c>
      <c r="F56" s="2">
        <v>0</v>
      </c>
      <c r="G56" s="2">
        <v>0</v>
      </c>
      <c r="H56" s="2">
        <v>0</v>
      </c>
      <c r="I56" s="183">
        <f>SUM(F56:H56)</f>
        <v>0</v>
      </c>
      <c r="J56" s="2">
        <v>0</v>
      </c>
      <c r="K56" s="2">
        <v>0</v>
      </c>
      <c r="L56" s="2">
        <v>0</v>
      </c>
      <c r="M56" s="183">
        <f>SUM(J56:L56)</f>
        <v>0</v>
      </c>
      <c r="N56" s="2">
        <v>0</v>
      </c>
      <c r="O56" s="2">
        <v>0</v>
      </c>
      <c r="P56" s="2">
        <v>0</v>
      </c>
      <c r="Q56" s="183">
        <f>SUM(N56:P56)</f>
        <v>0</v>
      </c>
      <c r="R56" s="183">
        <f>+E56+I56+M56+Q56</f>
        <v>0</v>
      </c>
    </row>
    <row r="57" spans="1:18" ht="15.75" customHeight="1" x14ac:dyDescent="0.35">
      <c r="A57" s="462" t="s">
        <v>558</v>
      </c>
      <c r="B57" s="483"/>
      <c r="C57" s="483"/>
      <c r="D57" s="483"/>
      <c r="E57" s="183" t="s">
        <v>852</v>
      </c>
      <c r="F57" s="483"/>
      <c r="G57" s="483"/>
      <c r="H57" s="483"/>
      <c r="I57" s="183" t="s">
        <v>852</v>
      </c>
      <c r="J57" s="483"/>
      <c r="K57" s="483"/>
      <c r="L57" s="483"/>
      <c r="M57" s="183" t="s">
        <v>852</v>
      </c>
      <c r="N57" s="483"/>
      <c r="O57" s="483"/>
      <c r="P57" s="483"/>
      <c r="Q57" s="183" t="s">
        <v>852</v>
      </c>
      <c r="R57" s="183" t="s">
        <v>852</v>
      </c>
    </row>
    <row r="58" spans="1:18" ht="15.75" customHeight="1" thickBot="1" x14ac:dyDescent="0.4">
      <c r="A58" s="462" t="s">
        <v>559</v>
      </c>
      <c r="B58" s="483"/>
      <c r="C58" s="483"/>
      <c r="D58" s="483"/>
      <c r="E58" s="183" t="s">
        <v>852</v>
      </c>
      <c r="F58" s="483"/>
      <c r="G58" s="483"/>
      <c r="H58" s="483"/>
      <c r="I58" s="183" t="s">
        <v>852</v>
      </c>
      <c r="J58" s="483"/>
      <c r="K58" s="483"/>
      <c r="L58" s="483"/>
      <c r="M58" s="183" t="s">
        <v>852</v>
      </c>
      <c r="N58" s="483"/>
      <c r="O58" s="483"/>
      <c r="P58" s="483"/>
      <c r="Q58" s="183" t="s">
        <v>852</v>
      </c>
      <c r="R58" s="183" t="s">
        <v>852</v>
      </c>
    </row>
    <row r="59" spans="1:18" ht="15.75" customHeight="1" thickBot="1" x14ac:dyDescent="0.4">
      <c r="A59" s="41" t="s">
        <v>1019</v>
      </c>
      <c r="B59" s="184">
        <f>SUM(B57:B58)</f>
        <v>0</v>
      </c>
      <c r="C59" s="184">
        <f>SUM(C57:C58)</f>
        <v>0</v>
      </c>
      <c r="D59" s="184">
        <f>SUM(D57:D58)</f>
        <v>0</v>
      </c>
      <c r="E59" s="185">
        <f>SUM(B59:D59)</f>
        <v>0</v>
      </c>
      <c r="F59" s="184">
        <f>SUM(F57:F58)</f>
        <v>0</v>
      </c>
      <c r="G59" s="184">
        <f>SUM(G57:G58)</f>
        <v>0</v>
      </c>
      <c r="H59" s="184">
        <f>SUM(H57:H58)</f>
        <v>0</v>
      </c>
      <c r="I59" s="185">
        <f>SUM(F59:H59)</f>
        <v>0</v>
      </c>
      <c r="J59" s="184">
        <f>SUM(J57:J58)</f>
        <v>0</v>
      </c>
      <c r="K59" s="184">
        <f>SUM(K57:K58)</f>
        <v>0</v>
      </c>
      <c r="L59" s="184">
        <f>SUM(L57:L58)</f>
        <v>0</v>
      </c>
      <c r="M59" s="185">
        <f>SUM(J59:L59)</f>
        <v>0</v>
      </c>
      <c r="N59" s="184">
        <f>SUM(N57:N58)</f>
        <v>0</v>
      </c>
      <c r="O59" s="184">
        <f>SUM(O57:O58)</f>
        <v>0</v>
      </c>
      <c r="P59" s="184">
        <f>SUM(P57:P58)</f>
        <v>0</v>
      </c>
      <c r="Q59" s="185">
        <f>SUM(N59:P59)</f>
        <v>0</v>
      </c>
      <c r="R59" s="56">
        <f>+E59+I59+M59+Q59</f>
        <v>0</v>
      </c>
    </row>
    <row r="60" spans="1:18" ht="15.75" customHeight="1" thickBot="1" x14ac:dyDescent="0.4">
      <c r="A60" s="41" t="s">
        <v>1221</v>
      </c>
      <c r="B60" s="184">
        <f>SUM(B52:B58)</f>
        <v>0</v>
      </c>
      <c r="C60" s="184">
        <f>SUM(C52:C58)</f>
        <v>0</v>
      </c>
      <c r="D60" s="184">
        <f>SUM(D52:D58)</f>
        <v>0</v>
      </c>
      <c r="E60" s="185">
        <f>SUM(B60:D60)</f>
        <v>0</v>
      </c>
      <c r="F60" s="184">
        <f>SUM(F52:F58)</f>
        <v>0</v>
      </c>
      <c r="G60" s="184">
        <f>SUM(G52:G58)</f>
        <v>0</v>
      </c>
      <c r="H60" s="184">
        <f>SUM(H52:H58)</f>
        <v>0</v>
      </c>
      <c r="I60" s="185">
        <f>SUM(F60:H60)</f>
        <v>0</v>
      </c>
      <c r="J60" s="184">
        <f>SUM(J52:J58)</f>
        <v>0</v>
      </c>
      <c r="K60" s="184">
        <f>SUM(K52:K58)</f>
        <v>0</v>
      </c>
      <c r="L60" s="184">
        <f>SUM(L52:L58)</f>
        <v>0</v>
      </c>
      <c r="M60" s="185">
        <f>SUM(J60:L60)</f>
        <v>0</v>
      </c>
      <c r="N60" s="184">
        <f>SUM(N52:N58)</f>
        <v>0</v>
      </c>
      <c r="O60" s="184">
        <f>SUM(O52:O58)</f>
        <v>0</v>
      </c>
      <c r="P60" s="184">
        <f>SUM(P52:P58)</f>
        <v>0</v>
      </c>
      <c r="Q60" s="185">
        <f>SUM(N60:P60)</f>
        <v>0</v>
      </c>
      <c r="R60" s="56">
        <f>+E60+I60+M60+Q60</f>
        <v>0</v>
      </c>
    </row>
    <row r="61" spans="1:18" ht="15.75" customHeight="1" thickBot="1" x14ac:dyDescent="0.4">
      <c r="A61" s="41" t="s">
        <v>1222</v>
      </c>
      <c r="B61" s="184">
        <f>+B42+B47+B51+B60</f>
        <v>0</v>
      </c>
      <c r="C61" s="184">
        <f>+C42+C47+C51+C60</f>
        <v>0</v>
      </c>
      <c r="D61" s="184">
        <f>+D42+D47+D51+D60</f>
        <v>0</v>
      </c>
      <c r="E61" s="56">
        <f>SUM(B61:D61)</f>
        <v>0</v>
      </c>
      <c r="F61" s="184">
        <f>+F42+F47+F51+F60</f>
        <v>0</v>
      </c>
      <c r="G61" s="184">
        <f>+G42+G47+G51+G60</f>
        <v>0</v>
      </c>
      <c r="H61" s="184">
        <f>+H42+H47+H51+H60</f>
        <v>0</v>
      </c>
      <c r="I61" s="56">
        <f>SUM(F61:H61)</f>
        <v>0</v>
      </c>
      <c r="J61" s="184">
        <f>+J42+J47+J51+J60</f>
        <v>0</v>
      </c>
      <c r="K61" s="184">
        <f>+K42+K47+K51+K60</f>
        <v>0</v>
      </c>
      <c r="L61" s="184">
        <f>+L42+L47+L51+L60</f>
        <v>0</v>
      </c>
      <c r="M61" s="56">
        <f>SUM(J61:L61)</f>
        <v>0</v>
      </c>
      <c r="N61" s="184">
        <f>+N42+N47+N51+N60</f>
        <v>0</v>
      </c>
      <c r="O61" s="184">
        <f>+O42+O47+O51+O60</f>
        <v>0</v>
      </c>
      <c r="P61" s="184">
        <f>+P42+P47+P51+P60</f>
        <v>0</v>
      </c>
      <c r="Q61" s="56">
        <f>SUM(N61:P61)</f>
        <v>0</v>
      </c>
      <c r="R61" s="56">
        <f>+E61+I61+M61+Q61</f>
        <v>0</v>
      </c>
    </row>
    <row r="62" spans="1:18" ht="15.75" customHeight="1" thickBot="1" x14ac:dyDescent="0.4">
      <c r="A62" s="485" t="s">
        <v>853</v>
      </c>
      <c r="B62" s="486">
        <v>96</v>
      </c>
      <c r="C62" s="486">
        <v>145</v>
      </c>
      <c r="D62" s="486">
        <v>261</v>
      </c>
      <c r="E62" s="476">
        <f>SUM(B62:D62)</f>
        <v>502</v>
      </c>
      <c r="F62" s="486">
        <v>350</v>
      </c>
      <c r="G62" s="486">
        <v>402</v>
      </c>
      <c r="H62" s="486">
        <v>396</v>
      </c>
      <c r="I62" s="476">
        <f>SUM(F62:H62)</f>
        <v>1148</v>
      </c>
      <c r="J62" s="486">
        <v>394</v>
      </c>
      <c r="K62" s="486">
        <v>318</v>
      </c>
      <c r="L62" s="486">
        <v>301</v>
      </c>
      <c r="M62" s="476">
        <f>SUM(J62:L62)</f>
        <v>1013</v>
      </c>
      <c r="N62" s="486">
        <v>272</v>
      </c>
      <c r="O62" s="486">
        <v>226</v>
      </c>
      <c r="P62" s="486">
        <v>179</v>
      </c>
      <c r="Q62" s="476">
        <f>SUM(N62:P62)</f>
        <v>677</v>
      </c>
      <c r="R62" s="476">
        <f>+E62+I62+M62+Q62</f>
        <v>3340</v>
      </c>
    </row>
    <row r="63" spans="1:18" ht="15.75" customHeight="1" thickBot="1" x14ac:dyDescent="0.4">
      <c r="A63" s="12"/>
      <c r="B63" s="181"/>
      <c r="C63" s="181"/>
      <c r="D63" s="181"/>
      <c r="E63" s="464"/>
      <c r="F63" s="181"/>
      <c r="G63" s="181"/>
      <c r="H63" s="181"/>
      <c r="I63" s="464"/>
      <c r="J63" s="181"/>
      <c r="K63" s="181"/>
      <c r="L63" s="181"/>
      <c r="M63" s="464"/>
      <c r="N63" s="181"/>
      <c r="O63" s="181"/>
      <c r="P63" s="181"/>
      <c r="Q63" s="464"/>
      <c r="R63" s="12"/>
    </row>
    <row r="64" spans="1:18" ht="15.75" customHeight="1" x14ac:dyDescent="0.35">
      <c r="A64" s="6" t="s">
        <v>2011</v>
      </c>
      <c r="B64" s="2">
        <f>+B61+B62</f>
        <v>96</v>
      </c>
      <c r="C64" s="2">
        <f>+C61+C62</f>
        <v>145</v>
      </c>
      <c r="D64" s="2">
        <f>+D61+D62</f>
        <v>261</v>
      </c>
      <c r="E64" s="475">
        <f>SUM(B64:D64)</f>
        <v>502</v>
      </c>
      <c r="F64" s="2">
        <f>+F61+F62</f>
        <v>350</v>
      </c>
      <c r="G64" s="2">
        <f>+G61+G62</f>
        <v>402</v>
      </c>
      <c r="H64" s="2">
        <f>+H61+H62</f>
        <v>396</v>
      </c>
      <c r="I64" s="475">
        <f>SUM(F64:H64)</f>
        <v>1148</v>
      </c>
      <c r="J64" s="2">
        <f>+J61+J62</f>
        <v>394</v>
      </c>
      <c r="K64" s="2">
        <f>+K61+K62</f>
        <v>318</v>
      </c>
      <c r="L64" s="2">
        <f>+L61+L62</f>
        <v>301</v>
      </c>
      <c r="M64" s="475">
        <f>SUM(J64:L64)</f>
        <v>1013</v>
      </c>
      <c r="N64" s="2">
        <f>+N61+N62</f>
        <v>272</v>
      </c>
      <c r="O64" s="2">
        <f>+O61+O62</f>
        <v>226</v>
      </c>
      <c r="P64" s="2">
        <f>+P61+P62</f>
        <v>179</v>
      </c>
      <c r="Q64" s="478">
        <f>SUM(N64:P64)</f>
        <v>677</v>
      </c>
      <c r="R64" s="460">
        <f>+E64+I64+M64+Q64</f>
        <v>3340</v>
      </c>
    </row>
    <row r="65" spans="1:18" ht="15.75" customHeight="1" x14ac:dyDescent="0.35">
      <c r="A65" s="6" t="s">
        <v>1897</v>
      </c>
      <c r="B65" s="2">
        <f>(B64/31)/1.983</f>
        <v>1.5616612171197111</v>
      </c>
      <c r="C65" s="2">
        <f>(C64/28)/1.983</f>
        <v>2.6114833225271954</v>
      </c>
      <c r="D65" s="2">
        <f>(D64/31)/1.983</f>
        <v>4.2457664340442145</v>
      </c>
      <c r="E65" s="460"/>
      <c r="F65" s="2">
        <f>(F64/30)/1.983</f>
        <v>5.8833417381072444</v>
      </c>
      <c r="G65" s="2">
        <f>(G64/31)/1.983</f>
        <v>6.5394563466887892</v>
      </c>
      <c r="H65" s="2">
        <f>(H64/30)/1.983</f>
        <v>6.6565809379727678</v>
      </c>
      <c r="I65" s="460"/>
      <c r="J65" s="2">
        <f>(J64/31)/1.983</f>
        <v>6.4093179119288139</v>
      </c>
      <c r="K65" s="2">
        <f>(K64/31)/1.983</f>
        <v>5.1730027817090427</v>
      </c>
      <c r="L65" s="2">
        <f>(L64/30)/1.983</f>
        <v>5.0596738947722306</v>
      </c>
      <c r="M65" s="460"/>
      <c r="N65" s="2">
        <f>(N64/31)/1.983</f>
        <v>4.4247067818391805</v>
      </c>
      <c r="O65" s="2">
        <f>(O64/30)/1.983</f>
        <v>3.7989578080349635</v>
      </c>
      <c r="P65" s="2">
        <f>(P64/31)/1.983</f>
        <v>2.9118474777544612</v>
      </c>
      <c r="Q65" s="461"/>
      <c r="R65" s="487"/>
    </row>
    <row r="66" spans="1:18" ht="15.75" customHeight="1" x14ac:dyDescent="0.35">
      <c r="A66" s="6" t="s">
        <v>1969</v>
      </c>
      <c r="B66" s="2">
        <f>B64+B132</f>
        <v>172609</v>
      </c>
      <c r="C66" s="2">
        <f>C64+C132</f>
        <v>160321</v>
      </c>
      <c r="D66" s="2">
        <f>D64+D132</f>
        <v>180677</v>
      </c>
      <c r="E66" s="460">
        <f>SUM(B66:D66)</f>
        <v>513607</v>
      </c>
      <c r="F66" s="2">
        <f>F64+F132</f>
        <v>173346</v>
      </c>
      <c r="G66" s="2">
        <f>G64+G132</f>
        <v>164542</v>
      </c>
      <c r="H66" s="2">
        <f>H64+H132</f>
        <v>96540</v>
      </c>
      <c r="I66" s="460">
        <f>SUM(F66:H66)</f>
        <v>434428</v>
      </c>
      <c r="J66" s="2">
        <f>J64+J132</f>
        <v>75653</v>
      </c>
      <c r="K66" s="2">
        <f>K64+K132</f>
        <v>71223</v>
      </c>
      <c r="L66" s="2">
        <f>L64+L132</f>
        <v>143109</v>
      </c>
      <c r="M66" s="460">
        <f>SUM(J66:L66)</f>
        <v>289985</v>
      </c>
      <c r="N66" s="2">
        <f>N64+N132</f>
        <v>135582</v>
      </c>
      <c r="O66" s="2">
        <f>O64+O132</f>
        <v>138356</v>
      </c>
      <c r="P66" s="2">
        <f>P64+P132</f>
        <v>149956</v>
      </c>
      <c r="Q66" s="461">
        <f>SUM(N66:P66)</f>
        <v>423894</v>
      </c>
      <c r="R66" s="460">
        <f>+E66+I66+M66+Q66</f>
        <v>1661914</v>
      </c>
    </row>
    <row r="67" spans="1:18" ht="15.75" customHeight="1" thickBot="1" x14ac:dyDescent="0.4">
      <c r="A67" s="458" t="s">
        <v>1970</v>
      </c>
      <c r="B67" s="459">
        <f>(B66/31)/1.983</f>
        <v>2807.8831356855853</v>
      </c>
      <c r="C67" s="459">
        <f>(C66/28)/1.983</f>
        <v>2887.4180534543621</v>
      </c>
      <c r="D67" s="459">
        <f>(D66/31)/1.983</f>
        <v>2939.1277471410208</v>
      </c>
      <c r="E67" s="464"/>
      <c r="F67" s="459">
        <f>(F66/30)/1.983</f>
        <v>2913.8678769541098</v>
      </c>
      <c r="G67" s="459">
        <f>(G66/31)/1.983</f>
        <v>2676.654791534495</v>
      </c>
      <c r="H67" s="459">
        <f>(H66/30)/1.983</f>
        <v>1622.7937468482096</v>
      </c>
      <c r="I67" s="464"/>
      <c r="J67" s="459">
        <f>(J66/31)/1.983</f>
        <v>1230.6703756120573</v>
      </c>
      <c r="K67" s="459">
        <f>(K66/31)/1.983</f>
        <v>1158.6062173637206</v>
      </c>
      <c r="L67" s="459">
        <f>(L66/30)/1.983</f>
        <v>2405.5975794251135</v>
      </c>
      <c r="M67" s="464"/>
      <c r="N67" s="459">
        <f>(N66/31)/1.983</f>
        <v>2205.5536577033822</v>
      </c>
      <c r="O67" s="459">
        <f>(O66/30)/1.983</f>
        <v>2325.7017986216169</v>
      </c>
      <c r="P67" s="459">
        <f>(P66/31)/1.983</f>
        <v>2439.3798903583684</v>
      </c>
      <c r="Q67" s="465"/>
      <c r="R67" s="488" t="s">
        <v>852</v>
      </c>
    </row>
    <row r="68" spans="1:18" ht="15.75" customHeight="1" x14ac:dyDescent="0.35">
      <c r="A68" s="187"/>
      <c r="B68" s="2"/>
      <c r="C68" s="2"/>
      <c r="D68" s="2"/>
      <c r="E68" s="2"/>
      <c r="F68" s="2"/>
      <c r="G68" s="2"/>
      <c r="H68" s="2"/>
      <c r="I68" s="2"/>
      <c r="J68" s="2"/>
      <c r="K68" s="2"/>
      <c r="L68" s="2"/>
      <c r="M68" s="2"/>
      <c r="N68" s="2"/>
      <c r="O68" s="2"/>
      <c r="P68" s="2"/>
      <c r="Q68" s="2"/>
      <c r="R68" s="187"/>
    </row>
    <row r="69" spans="1:18" ht="15.75" customHeight="1" thickBot="1" x14ac:dyDescent="0.4">
      <c r="A69" s="187"/>
      <c r="B69" s="2"/>
      <c r="C69" s="2"/>
      <c r="D69" s="2"/>
      <c r="E69" s="2"/>
      <c r="F69" s="2"/>
      <c r="G69" s="2"/>
      <c r="H69" s="2"/>
      <c r="I69" s="2"/>
      <c r="J69" s="2"/>
      <c r="K69" s="2"/>
      <c r="L69" s="2"/>
      <c r="M69" s="2"/>
      <c r="N69" s="2"/>
      <c r="O69" s="2"/>
      <c r="P69" s="2"/>
      <c r="Q69" s="2"/>
      <c r="R69" s="187"/>
    </row>
    <row r="70" spans="1:18" ht="15.75" customHeight="1" thickBot="1" x14ac:dyDescent="0.4">
      <c r="A70" s="470" t="s">
        <v>603</v>
      </c>
      <c r="B70" s="179" t="s">
        <v>2090</v>
      </c>
      <c r="C70" s="180" t="s">
        <v>2091</v>
      </c>
      <c r="D70" s="180" t="s">
        <v>2234</v>
      </c>
      <c r="E70" s="175" t="s">
        <v>1594</v>
      </c>
      <c r="F70" s="180" t="s">
        <v>2235</v>
      </c>
      <c r="G70" s="180" t="s">
        <v>2236</v>
      </c>
      <c r="H70" s="180" t="s">
        <v>2237</v>
      </c>
      <c r="I70" s="64" t="s">
        <v>1595</v>
      </c>
      <c r="J70" s="180" t="s">
        <v>1504</v>
      </c>
      <c r="K70" s="180" t="s">
        <v>1505</v>
      </c>
      <c r="L70" s="180" t="s">
        <v>1506</v>
      </c>
      <c r="M70" s="64" t="s">
        <v>1596</v>
      </c>
      <c r="N70" s="180" t="s">
        <v>1507</v>
      </c>
      <c r="O70" s="180" t="s">
        <v>1508</v>
      </c>
      <c r="P70" s="180" t="s">
        <v>1509</v>
      </c>
      <c r="Q70" s="64" t="s">
        <v>1597</v>
      </c>
      <c r="R70" s="471" t="s">
        <v>1510</v>
      </c>
    </row>
    <row r="71" spans="1:18" ht="15.75" customHeight="1" thickBot="1" x14ac:dyDescent="0.4">
      <c r="A71" s="489"/>
      <c r="B71" s="27"/>
      <c r="C71" s="490"/>
      <c r="D71" s="490"/>
      <c r="E71" s="491"/>
      <c r="F71" s="490"/>
      <c r="G71" s="490"/>
      <c r="H71" s="490"/>
      <c r="I71" s="491"/>
      <c r="J71" s="490"/>
      <c r="K71" s="490"/>
      <c r="L71" s="490"/>
      <c r="M71" s="491"/>
      <c r="N71" s="490"/>
      <c r="O71" s="490"/>
      <c r="P71" s="492"/>
      <c r="Q71" s="491"/>
      <c r="R71" s="56"/>
    </row>
    <row r="72" spans="1:18" ht="15.75" customHeight="1" x14ac:dyDescent="0.35">
      <c r="A72" s="482" t="s">
        <v>2417</v>
      </c>
      <c r="B72" s="8"/>
      <c r="C72" s="8"/>
      <c r="D72" s="8"/>
      <c r="E72" s="183" t="s">
        <v>852</v>
      </c>
      <c r="F72" s="8"/>
      <c r="G72" s="8"/>
      <c r="H72" s="8"/>
      <c r="I72" s="183" t="s">
        <v>852</v>
      </c>
      <c r="J72" s="8"/>
      <c r="K72" s="8"/>
      <c r="L72" s="8"/>
      <c r="M72" s="183" t="s">
        <v>852</v>
      </c>
      <c r="N72" s="8"/>
      <c r="O72" s="8"/>
      <c r="P72" s="8"/>
      <c r="Q72" s="183" t="s">
        <v>852</v>
      </c>
      <c r="R72" s="183" t="s">
        <v>852</v>
      </c>
    </row>
    <row r="73" spans="1:18" ht="15.75" customHeight="1" x14ac:dyDescent="0.35">
      <c r="A73" s="462" t="s">
        <v>2160</v>
      </c>
      <c r="B73" s="8"/>
      <c r="C73" s="483"/>
      <c r="D73" s="483"/>
      <c r="E73" s="183" t="s">
        <v>852</v>
      </c>
      <c r="F73" s="483"/>
      <c r="G73" s="483"/>
      <c r="H73" s="483"/>
      <c r="I73" s="183" t="s">
        <v>852</v>
      </c>
      <c r="J73" s="483"/>
      <c r="K73" s="483"/>
      <c r="L73" s="483"/>
      <c r="M73" s="183" t="s">
        <v>852</v>
      </c>
      <c r="N73" s="483"/>
      <c r="O73" s="483"/>
      <c r="P73" s="483"/>
      <c r="Q73" s="183" t="s">
        <v>852</v>
      </c>
      <c r="R73" s="183" t="s">
        <v>852</v>
      </c>
    </row>
    <row r="74" spans="1:18" ht="15.75" customHeight="1" x14ac:dyDescent="0.35">
      <c r="A74" s="9" t="s">
        <v>1589</v>
      </c>
      <c r="B74" s="2">
        <v>0</v>
      </c>
      <c r="C74" s="2">
        <v>0</v>
      </c>
      <c r="D74" s="2">
        <v>1800</v>
      </c>
      <c r="E74" s="183">
        <f t="shared" ref="E74:E79" si="9">SUM(B74:D74)</f>
        <v>1800</v>
      </c>
      <c r="F74" s="2">
        <v>1431</v>
      </c>
      <c r="G74" s="2">
        <v>0</v>
      </c>
      <c r="H74" s="2">
        <v>0</v>
      </c>
      <c r="I74" s="183">
        <f t="shared" ref="I74:I79" si="10">SUM(F74:H74)</f>
        <v>1431</v>
      </c>
      <c r="J74" s="2">
        <v>0</v>
      </c>
      <c r="K74" s="2">
        <v>0</v>
      </c>
      <c r="L74" s="2">
        <v>0</v>
      </c>
      <c r="M74" s="183">
        <f t="shared" ref="M74:M79" si="11">SUM(J74:L74)</f>
        <v>0</v>
      </c>
      <c r="N74" s="2">
        <v>0</v>
      </c>
      <c r="O74" s="2">
        <v>0</v>
      </c>
      <c r="P74" s="2">
        <v>0</v>
      </c>
      <c r="Q74" s="183">
        <f t="shared" ref="Q74:Q79" si="12">SUM(N74:P74)</f>
        <v>0</v>
      </c>
      <c r="R74" s="183">
        <f t="shared" ref="R74:R79" si="13">+E74+I74+M74+Q74</f>
        <v>3231</v>
      </c>
    </row>
    <row r="75" spans="1:18" ht="15.75" customHeight="1" x14ac:dyDescent="0.35">
      <c r="A75" s="9" t="s">
        <v>1590</v>
      </c>
      <c r="B75" s="2">
        <v>0</v>
      </c>
      <c r="C75" s="2">
        <v>0</v>
      </c>
      <c r="D75" s="2">
        <v>0</v>
      </c>
      <c r="E75" s="183">
        <f t="shared" si="9"/>
        <v>0</v>
      </c>
      <c r="F75" s="2">
        <v>441</v>
      </c>
      <c r="G75" s="2">
        <v>0</v>
      </c>
      <c r="H75" s="2">
        <v>0</v>
      </c>
      <c r="I75" s="183">
        <f t="shared" si="10"/>
        <v>441</v>
      </c>
      <c r="J75" s="2">
        <v>0</v>
      </c>
      <c r="K75" s="2">
        <v>0</v>
      </c>
      <c r="L75" s="2">
        <v>0</v>
      </c>
      <c r="M75" s="183">
        <f t="shared" si="11"/>
        <v>0</v>
      </c>
      <c r="N75" s="2">
        <v>0</v>
      </c>
      <c r="O75" s="2">
        <v>0</v>
      </c>
      <c r="P75" s="2">
        <v>0</v>
      </c>
      <c r="Q75" s="183">
        <f t="shared" si="12"/>
        <v>0</v>
      </c>
      <c r="R75" s="183">
        <f t="shared" si="13"/>
        <v>441</v>
      </c>
    </row>
    <row r="76" spans="1:18" ht="15.75" customHeight="1" x14ac:dyDescent="0.35">
      <c r="A76" s="9" t="s">
        <v>2060</v>
      </c>
      <c r="B76" s="2">
        <v>0</v>
      </c>
      <c r="C76" s="2">
        <v>0</v>
      </c>
      <c r="D76" s="2">
        <v>0</v>
      </c>
      <c r="E76" s="183">
        <f t="shared" si="9"/>
        <v>0</v>
      </c>
      <c r="F76" s="2">
        <v>0</v>
      </c>
      <c r="G76" s="2">
        <v>0</v>
      </c>
      <c r="H76" s="2">
        <v>0</v>
      </c>
      <c r="I76" s="183">
        <f t="shared" si="10"/>
        <v>0</v>
      </c>
      <c r="J76" s="2">
        <v>0</v>
      </c>
      <c r="K76" s="2">
        <v>0</v>
      </c>
      <c r="L76" s="2">
        <v>0</v>
      </c>
      <c r="M76" s="183">
        <f t="shared" si="11"/>
        <v>0</v>
      </c>
      <c r="N76" s="2">
        <v>0</v>
      </c>
      <c r="O76" s="2">
        <v>0</v>
      </c>
      <c r="P76" s="2">
        <v>0</v>
      </c>
      <c r="Q76" s="183">
        <f t="shared" si="12"/>
        <v>0</v>
      </c>
      <c r="R76" s="183">
        <f t="shared" si="13"/>
        <v>0</v>
      </c>
    </row>
    <row r="77" spans="1:18" ht="15.75" customHeight="1" x14ac:dyDescent="0.35">
      <c r="A77" s="9" t="s">
        <v>789</v>
      </c>
      <c r="B77" s="2">
        <v>0</v>
      </c>
      <c r="C77" s="2">
        <v>0</v>
      </c>
      <c r="D77" s="2">
        <v>0</v>
      </c>
      <c r="E77" s="183">
        <f t="shared" si="9"/>
        <v>0</v>
      </c>
      <c r="F77" s="2">
        <v>0</v>
      </c>
      <c r="G77" s="2">
        <v>0</v>
      </c>
      <c r="H77" s="2">
        <v>0</v>
      </c>
      <c r="I77" s="183">
        <f t="shared" si="10"/>
        <v>0</v>
      </c>
      <c r="J77" s="2">
        <v>0</v>
      </c>
      <c r="K77" s="2">
        <v>0</v>
      </c>
      <c r="L77" s="2">
        <v>0</v>
      </c>
      <c r="M77" s="183">
        <f t="shared" si="11"/>
        <v>0</v>
      </c>
      <c r="N77" s="2">
        <v>0</v>
      </c>
      <c r="O77" s="2">
        <v>0</v>
      </c>
      <c r="P77" s="2">
        <v>0</v>
      </c>
      <c r="Q77" s="183">
        <f t="shared" si="12"/>
        <v>0</v>
      </c>
      <c r="R77" s="183">
        <f t="shared" si="13"/>
        <v>0</v>
      </c>
    </row>
    <row r="78" spans="1:18" ht="15.75" customHeight="1" x14ac:dyDescent="0.35">
      <c r="A78" s="9" t="s">
        <v>2183</v>
      </c>
      <c r="B78" s="2">
        <v>0</v>
      </c>
      <c r="C78" s="2">
        <v>0</v>
      </c>
      <c r="D78" s="2">
        <v>0</v>
      </c>
      <c r="E78" s="183">
        <f t="shared" si="9"/>
        <v>0</v>
      </c>
      <c r="F78" s="2">
        <v>0</v>
      </c>
      <c r="G78" s="2">
        <v>0</v>
      </c>
      <c r="H78" s="2">
        <v>0</v>
      </c>
      <c r="I78" s="183">
        <f t="shared" si="10"/>
        <v>0</v>
      </c>
      <c r="J78" s="2">
        <v>0</v>
      </c>
      <c r="K78" s="2">
        <v>0</v>
      </c>
      <c r="L78" s="2">
        <v>0</v>
      </c>
      <c r="M78" s="183">
        <f t="shared" si="11"/>
        <v>0</v>
      </c>
      <c r="N78" s="2">
        <v>0</v>
      </c>
      <c r="O78" s="2">
        <v>0</v>
      </c>
      <c r="P78" s="2">
        <v>0</v>
      </c>
      <c r="Q78" s="183">
        <f t="shared" si="12"/>
        <v>0</v>
      </c>
      <c r="R78" s="183">
        <f t="shared" si="13"/>
        <v>0</v>
      </c>
    </row>
    <row r="79" spans="1:18" ht="15.75" customHeight="1" x14ac:dyDescent="0.35">
      <c r="A79" s="9" t="s">
        <v>2262</v>
      </c>
      <c r="B79" s="2">
        <v>28</v>
      </c>
      <c r="C79" s="2">
        <v>2924</v>
      </c>
      <c r="D79" s="2">
        <v>0</v>
      </c>
      <c r="E79" s="183">
        <f t="shared" si="9"/>
        <v>2952</v>
      </c>
      <c r="F79" s="2">
        <v>0</v>
      </c>
      <c r="G79" s="2">
        <v>0</v>
      </c>
      <c r="H79" s="2">
        <v>0</v>
      </c>
      <c r="I79" s="183">
        <f t="shared" si="10"/>
        <v>0</v>
      </c>
      <c r="J79" s="2">
        <v>0</v>
      </c>
      <c r="K79" s="2">
        <v>0</v>
      </c>
      <c r="L79" s="2">
        <v>0</v>
      </c>
      <c r="M79" s="183">
        <f t="shared" si="11"/>
        <v>0</v>
      </c>
      <c r="N79" s="2">
        <v>0</v>
      </c>
      <c r="O79" s="2">
        <v>0</v>
      </c>
      <c r="P79" s="2">
        <v>0</v>
      </c>
      <c r="Q79" s="183">
        <f t="shared" si="12"/>
        <v>0</v>
      </c>
      <c r="R79" s="183">
        <f t="shared" si="13"/>
        <v>2952</v>
      </c>
    </row>
    <row r="80" spans="1:18" ht="15.75" customHeight="1" x14ac:dyDescent="0.35">
      <c r="A80" s="462" t="s">
        <v>2161</v>
      </c>
      <c r="B80" s="8"/>
      <c r="C80" s="8"/>
      <c r="D80" s="8"/>
      <c r="E80" s="183" t="s">
        <v>852</v>
      </c>
      <c r="F80" s="8"/>
      <c r="G80" s="8"/>
      <c r="H80" s="8"/>
      <c r="I80" s="183" t="s">
        <v>852</v>
      </c>
      <c r="J80" s="8"/>
      <c r="K80" s="8"/>
      <c r="L80" s="8"/>
      <c r="M80" s="183" t="s">
        <v>852</v>
      </c>
      <c r="N80" s="8"/>
      <c r="O80" s="8"/>
      <c r="P80" s="8"/>
      <c r="Q80" s="183" t="s">
        <v>852</v>
      </c>
      <c r="R80" s="183" t="s">
        <v>852</v>
      </c>
    </row>
    <row r="81" spans="1:18" ht="15.75" customHeight="1" x14ac:dyDescent="0.35">
      <c r="A81" s="349" t="s">
        <v>195</v>
      </c>
      <c r="B81" s="2">
        <v>0</v>
      </c>
      <c r="C81" s="2">
        <v>0</v>
      </c>
      <c r="D81" s="2">
        <v>12056</v>
      </c>
      <c r="E81" s="183">
        <f>SUM(B81:D81)</f>
        <v>12056</v>
      </c>
      <c r="F81" s="2">
        <v>10580</v>
      </c>
      <c r="G81" s="2">
        <v>2364</v>
      </c>
      <c r="H81" s="2">
        <v>160</v>
      </c>
      <c r="I81" s="183">
        <f>SUM(F81:H81)</f>
        <v>13104</v>
      </c>
      <c r="J81" s="2">
        <v>0</v>
      </c>
      <c r="K81" s="2">
        <v>0</v>
      </c>
      <c r="L81" s="2">
        <v>0</v>
      </c>
      <c r="M81" s="183">
        <f>SUM(J81:L81)</f>
        <v>0</v>
      </c>
      <c r="N81" s="2">
        <v>846</v>
      </c>
      <c r="O81" s="2">
        <v>0</v>
      </c>
      <c r="P81" s="2">
        <v>0</v>
      </c>
      <c r="Q81" s="183">
        <f>SUM(N81:P81)</f>
        <v>846</v>
      </c>
      <c r="R81" s="183">
        <f>+E81+I81+M81+Q81</f>
        <v>26006</v>
      </c>
    </row>
    <row r="82" spans="1:18" ht="15.75" customHeight="1" x14ac:dyDescent="0.35">
      <c r="A82" s="349" t="s">
        <v>701</v>
      </c>
      <c r="B82" s="2">
        <v>0</v>
      </c>
      <c r="C82" s="2">
        <v>0</v>
      </c>
      <c r="D82" s="2">
        <v>0</v>
      </c>
      <c r="E82" s="183">
        <f>SUM(B82:D82)</f>
        <v>0</v>
      </c>
      <c r="F82" s="2">
        <v>0</v>
      </c>
      <c r="G82" s="2">
        <v>0</v>
      </c>
      <c r="H82" s="2">
        <v>0</v>
      </c>
      <c r="I82" s="183">
        <f>SUM(F82:H82)</f>
        <v>0</v>
      </c>
      <c r="J82" s="2">
        <v>0</v>
      </c>
      <c r="K82" s="2">
        <v>0</v>
      </c>
      <c r="L82" s="2">
        <v>0</v>
      </c>
      <c r="M82" s="183">
        <f>SUM(J82:L82)</f>
        <v>0</v>
      </c>
      <c r="N82" s="2">
        <v>0</v>
      </c>
      <c r="O82" s="2">
        <v>0</v>
      </c>
      <c r="P82" s="2">
        <v>501</v>
      </c>
      <c r="Q82" s="183">
        <f>SUM(N82:P82)</f>
        <v>501</v>
      </c>
      <c r="R82" s="183">
        <f>+E82+I82+M82+Q82</f>
        <v>501</v>
      </c>
    </row>
    <row r="83" spans="1:18" ht="15.75" customHeight="1" x14ac:dyDescent="0.35">
      <c r="A83" s="349" t="s">
        <v>2419</v>
      </c>
      <c r="B83" s="2">
        <v>0</v>
      </c>
      <c r="C83" s="2">
        <v>0</v>
      </c>
      <c r="D83" s="2">
        <v>0</v>
      </c>
      <c r="E83" s="183">
        <f>SUM(B83:D83)</f>
        <v>0</v>
      </c>
      <c r="F83" s="2">
        <v>0</v>
      </c>
      <c r="G83" s="2">
        <v>83</v>
      </c>
      <c r="H83" s="2">
        <v>0</v>
      </c>
      <c r="I83" s="183">
        <f>SUM(F83:H83)</f>
        <v>83</v>
      </c>
      <c r="J83" s="2">
        <v>307</v>
      </c>
      <c r="K83" s="2">
        <v>307</v>
      </c>
      <c r="L83" s="2">
        <v>227</v>
      </c>
      <c r="M83" s="183">
        <f>SUM(J83:L83)</f>
        <v>841</v>
      </c>
      <c r="N83" s="2">
        <v>123</v>
      </c>
      <c r="O83" s="2">
        <v>83</v>
      </c>
      <c r="P83" s="2">
        <v>0</v>
      </c>
      <c r="Q83" s="183">
        <f>SUM(N83:P83)</f>
        <v>206</v>
      </c>
      <c r="R83" s="183">
        <f>+E83+I83+M83+Q83</f>
        <v>1130</v>
      </c>
    </row>
    <row r="84" spans="1:18" ht="15.75" customHeight="1" x14ac:dyDescent="0.35">
      <c r="A84" s="349" t="s">
        <v>230</v>
      </c>
      <c r="B84" s="2">
        <v>0</v>
      </c>
      <c r="C84" s="2">
        <v>0</v>
      </c>
      <c r="D84" s="2">
        <v>0</v>
      </c>
      <c r="E84" s="183">
        <f>SUM(B84:D84)</f>
        <v>0</v>
      </c>
      <c r="F84" s="2">
        <v>0</v>
      </c>
      <c r="G84" s="2">
        <v>0</v>
      </c>
      <c r="H84" s="2">
        <v>0</v>
      </c>
      <c r="I84" s="183">
        <f>SUM(F84:H84)</f>
        <v>0</v>
      </c>
      <c r="J84" s="2">
        <v>0</v>
      </c>
      <c r="K84" s="2">
        <v>0</v>
      </c>
      <c r="L84" s="2">
        <v>0</v>
      </c>
      <c r="M84" s="183">
        <f>SUM(J84:L84)</f>
        <v>0</v>
      </c>
      <c r="N84" s="2">
        <v>115</v>
      </c>
      <c r="O84" s="2">
        <v>0</v>
      </c>
      <c r="P84" s="2">
        <v>0</v>
      </c>
      <c r="Q84" s="183">
        <f>SUM(N84:P84)</f>
        <v>115</v>
      </c>
      <c r="R84" s="183">
        <f>+E84+I84+M84+Q84</f>
        <v>115</v>
      </c>
    </row>
    <row r="85" spans="1:18" ht="15.75" customHeight="1" x14ac:dyDescent="0.35">
      <c r="A85" s="462" t="s">
        <v>2162</v>
      </c>
      <c r="B85" s="8"/>
      <c r="C85" s="8"/>
      <c r="D85" s="8"/>
      <c r="E85" s="183" t="s">
        <v>1598</v>
      </c>
      <c r="F85" s="8"/>
      <c r="G85" s="8"/>
      <c r="H85" s="8"/>
      <c r="I85" s="183" t="s">
        <v>1598</v>
      </c>
      <c r="J85" s="8"/>
      <c r="K85" s="8"/>
      <c r="L85" s="8"/>
      <c r="M85" s="183" t="s">
        <v>1598</v>
      </c>
      <c r="N85" s="8"/>
      <c r="O85" s="8"/>
      <c r="P85" s="8"/>
      <c r="Q85" s="183" t="s">
        <v>1598</v>
      </c>
      <c r="R85" s="183" t="s">
        <v>1598</v>
      </c>
    </row>
    <row r="86" spans="1:18" ht="15.75" customHeight="1" x14ac:dyDescent="0.35">
      <c r="A86" s="484" t="s">
        <v>430</v>
      </c>
      <c r="B86" s="2">
        <v>0</v>
      </c>
      <c r="C86" s="2">
        <v>0</v>
      </c>
      <c r="D86" s="2">
        <v>0</v>
      </c>
      <c r="E86" s="183">
        <f>SUM(B86:D86)</f>
        <v>0</v>
      </c>
      <c r="F86" s="2">
        <v>0</v>
      </c>
      <c r="G86" s="2">
        <v>0</v>
      </c>
      <c r="H86" s="2">
        <v>0</v>
      </c>
      <c r="I86" s="183">
        <f>SUM(F86:H86)</f>
        <v>0</v>
      </c>
      <c r="J86" s="2">
        <v>0</v>
      </c>
      <c r="K86" s="2">
        <v>2725</v>
      </c>
      <c r="L86" s="2">
        <v>824</v>
      </c>
      <c r="M86" s="183">
        <f>SUM(J86:L86)</f>
        <v>3549</v>
      </c>
      <c r="N86" s="2">
        <v>0</v>
      </c>
      <c r="O86" s="2">
        <v>3000</v>
      </c>
      <c r="P86" s="2">
        <v>1341</v>
      </c>
      <c r="Q86" s="183">
        <f>SUM(N86:P86)</f>
        <v>4341</v>
      </c>
      <c r="R86" s="183">
        <f>+E86+I86+M86+Q86</f>
        <v>7890</v>
      </c>
    </row>
    <row r="87" spans="1:18" ht="15.75" customHeight="1" x14ac:dyDescent="0.35">
      <c r="A87" s="484" t="s">
        <v>702</v>
      </c>
      <c r="B87" s="2">
        <v>518</v>
      </c>
      <c r="C87" s="2">
        <v>429</v>
      </c>
      <c r="D87" s="2">
        <v>1625</v>
      </c>
      <c r="E87" s="183">
        <f>SUM(B87:D87)</f>
        <v>2572</v>
      </c>
      <c r="F87" s="2">
        <v>935</v>
      </c>
      <c r="G87" s="2">
        <v>293</v>
      </c>
      <c r="H87" s="2">
        <v>0</v>
      </c>
      <c r="I87" s="183">
        <f>SUM(F87:H87)</f>
        <v>1228</v>
      </c>
      <c r="J87" s="2">
        <v>0</v>
      </c>
      <c r="K87" s="2">
        <v>0</v>
      </c>
      <c r="L87" s="2">
        <v>500</v>
      </c>
      <c r="M87" s="183">
        <f>SUM(J87:L87)</f>
        <v>500</v>
      </c>
      <c r="N87" s="2">
        <v>250</v>
      </c>
      <c r="O87" s="2">
        <v>149</v>
      </c>
      <c r="P87" s="2">
        <v>51</v>
      </c>
      <c r="Q87" s="183">
        <f>SUM(N87:P87)</f>
        <v>450</v>
      </c>
      <c r="R87" s="183">
        <f>+E87+I87+M87+Q87</f>
        <v>4750</v>
      </c>
    </row>
    <row r="88" spans="1:18" ht="15.75" customHeight="1" thickBot="1" x14ac:dyDescent="0.4">
      <c r="A88" s="462" t="s">
        <v>2164</v>
      </c>
      <c r="B88" s="483"/>
      <c r="C88" s="483"/>
      <c r="D88" s="483"/>
      <c r="E88" s="183" t="s">
        <v>852</v>
      </c>
      <c r="F88" s="483"/>
      <c r="G88" s="483"/>
      <c r="H88" s="483"/>
      <c r="I88" s="183" t="s">
        <v>852</v>
      </c>
      <c r="J88" s="483"/>
      <c r="K88" s="483"/>
      <c r="L88" s="483"/>
      <c r="M88" s="183" t="s">
        <v>852</v>
      </c>
      <c r="N88" s="483"/>
      <c r="O88" s="483"/>
      <c r="P88" s="483"/>
      <c r="Q88" s="183" t="s">
        <v>852</v>
      </c>
      <c r="R88" s="183" t="s">
        <v>852</v>
      </c>
    </row>
    <row r="89" spans="1:18" ht="15.75" customHeight="1" thickBot="1" x14ac:dyDescent="0.4">
      <c r="A89" s="41" t="s">
        <v>1218</v>
      </c>
      <c r="B89" s="184">
        <f>SUM(B72:B88)</f>
        <v>546</v>
      </c>
      <c r="C89" s="184">
        <f>SUM(C72:C88)</f>
        <v>3353</v>
      </c>
      <c r="D89" s="184">
        <f>SUM(D72:D88)</f>
        <v>15481</v>
      </c>
      <c r="E89" s="56">
        <f>SUM(B89:D89)</f>
        <v>19380</v>
      </c>
      <c r="F89" s="184">
        <f>SUM(F72:F88)</f>
        <v>13387</v>
      </c>
      <c r="G89" s="184">
        <f>SUM(G72:G88)</f>
        <v>2740</v>
      </c>
      <c r="H89" s="184">
        <f>SUM(H72:H88)</f>
        <v>160</v>
      </c>
      <c r="I89" s="56">
        <f>SUM(F89:H89)</f>
        <v>16287</v>
      </c>
      <c r="J89" s="184">
        <f>SUM(J72:J88)</f>
        <v>307</v>
      </c>
      <c r="K89" s="184">
        <f>SUM(K72:K88)</f>
        <v>3032</v>
      </c>
      <c r="L89" s="184">
        <f>SUM(L72:L88)</f>
        <v>1551</v>
      </c>
      <c r="M89" s="56">
        <f>SUM(J89:L89)</f>
        <v>4890</v>
      </c>
      <c r="N89" s="184">
        <f>SUM(N72:N88)</f>
        <v>1334</v>
      </c>
      <c r="O89" s="184">
        <f>SUM(O72:O88)</f>
        <v>3232</v>
      </c>
      <c r="P89" s="184">
        <f>SUM(P72:P88)</f>
        <v>1893</v>
      </c>
      <c r="Q89" s="56">
        <f>SUM(N89:P89)</f>
        <v>6459</v>
      </c>
      <c r="R89" s="56">
        <f>+E89+I89+M89+Q89</f>
        <v>47016</v>
      </c>
    </row>
    <row r="90" spans="1:18" ht="15.75" customHeight="1" x14ac:dyDescent="0.35">
      <c r="A90" s="462" t="s">
        <v>1172</v>
      </c>
      <c r="B90" s="483"/>
      <c r="C90" s="483"/>
      <c r="D90" s="483"/>
      <c r="E90" s="183" t="s">
        <v>852</v>
      </c>
      <c r="F90" s="483"/>
      <c r="G90" s="483"/>
      <c r="H90" s="483"/>
      <c r="I90" s="183" t="s">
        <v>852</v>
      </c>
      <c r="J90" s="483"/>
      <c r="K90" s="483"/>
      <c r="L90" s="483"/>
      <c r="M90" s="183" t="s">
        <v>852</v>
      </c>
      <c r="N90" s="483"/>
      <c r="O90" s="483"/>
      <c r="P90" s="483"/>
      <c r="Q90" s="183" t="s">
        <v>852</v>
      </c>
      <c r="R90" s="185" t="s">
        <v>852</v>
      </c>
    </row>
    <row r="91" spans="1:18" ht="15.75" customHeight="1" x14ac:dyDescent="0.35">
      <c r="A91" s="462" t="s">
        <v>1658</v>
      </c>
      <c r="B91" s="483"/>
      <c r="C91" s="483"/>
      <c r="D91" s="483"/>
      <c r="E91" s="183" t="s">
        <v>852</v>
      </c>
      <c r="F91" s="483"/>
      <c r="G91" s="483"/>
      <c r="H91" s="483"/>
      <c r="I91" s="183" t="s">
        <v>852</v>
      </c>
      <c r="J91" s="483"/>
      <c r="K91" s="483"/>
      <c r="L91" s="483"/>
      <c r="M91" s="183" t="s">
        <v>852</v>
      </c>
      <c r="N91" s="483"/>
      <c r="O91" s="483"/>
      <c r="P91" s="483"/>
      <c r="Q91" s="183" t="s">
        <v>852</v>
      </c>
      <c r="R91" s="183" t="s">
        <v>852</v>
      </c>
    </row>
    <row r="92" spans="1:18" ht="15.75" customHeight="1" x14ac:dyDescent="0.35">
      <c r="A92" s="462" t="s">
        <v>2409</v>
      </c>
      <c r="B92" s="483"/>
      <c r="C92" s="483"/>
      <c r="D92" s="483"/>
      <c r="E92" s="183" t="s">
        <v>852</v>
      </c>
      <c r="F92" s="483"/>
      <c r="G92" s="483"/>
      <c r="H92" s="483"/>
      <c r="I92" s="183" t="s">
        <v>852</v>
      </c>
      <c r="J92" s="483"/>
      <c r="K92" s="483"/>
      <c r="L92" s="483"/>
      <c r="M92" s="183" t="s">
        <v>852</v>
      </c>
      <c r="N92" s="483"/>
      <c r="O92" s="483"/>
      <c r="P92" s="483"/>
      <c r="Q92" s="183" t="s">
        <v>852</v>
      </c>
      <c r="R92" s="183" t="s">
        <v>852</v>
      </c>
    </row>
    <row r="93" spans="1:18" ht="15.75" customHeight="1" x14ac:dyDescent="0.35">
      <c r="A93" s="349" t="s">
        <v>701</v>
      </c>
      <c r="B93" s="2">
        <v>791</v>
      </c>
      <c r="C93" s="2">
        <v>902</v>
      </c>
      <c r="D93" s="2">
        <v>2364</v>
      </c>
      <c r="E93" s="183">
        <f>SUM(B93:D93)</f>
        <v>4057</v>
      </c>
      <c r="F93" s="2">
        <v>5330</v>
      </c>
      <c r="G93" s="2">
        <v>5698</v>
      </c>
      <c r="H93" s="2">
        <v>3226</v>
      </c>
      <c r="I93" s="183">
        <f>SUM(F93:H93)</f>
        <v>14254</v>
      </c>
      <c r="J93" s="2">
        <v>6205</v>
      </c>
      <c r="K93" s="2">
        <v>5682</v>
      </c>
      <c r="L93" s="2">
        <v>3302</v>
      </c>
      <c r="M93" s="183">
        <f>SUM(J93:L93)</f>
        <v>15189</v>
      </c>
      <c r="N93" s="2">
        <v>1448</v>
      </c>
      <c r="O93" s="2">
        <v>604</v>
      </c>
      <c r="P93" s="2">
        <v>1074</v>
      </c>
      <c r="Q93" s="183">
        <f>SUM(N93:P93)</f>
        <v>3126</v>
      </c>
      <c r="R93" s="183">
        <f>+E93+I93+M93+Q93</f>
        <v>36626</v>
      </c>
    </row>
    <row r="94" spans="1:18" ht="15.75" customHeight="1" x14ac:dyDescent="0.35">
      <c r="A94" s="349" t="s">
        <v>702</v>
      </c>
      <c r="B94" s="2">
        <v>0</v>
      </c>
      <c r="C94" s="2">
        <v>0</v>
      </c>
      <c r="D94" s="2">
        <v>0</v>
      </c>
      <c r="E94" s="183">
        <f>SUM(B94:D94)</f>
        <v>0</v>
      </c>
      <c r="F94" s="2">
        <v>1000</v>
      </c>
      <c r="G94" s="2">
        <v>1000</v>
      </c>
      <c r="H94" s="2">
        <v>1460</v>
      </c>
      <c r="I94" s="183">
        <f>SUM(F94:H94)</f>
        <v>3460</v>
      </c>
      <c r="J94" s="2">
        <v>0</v>
      </c>
      <c r="K94" s="2">
        <v>0</v>
      </c>
      <c r="L94" s="2">
        <v>0</v>
      </c>
      <c r="M94" s="183">
        <f>SUM(J94:L94)</f>
        <v>0</v>
      </c>
      <c r="N94" s="2">
        <v>0</v>
      </c>
      <c r="O94" s="2">
        <v>0</v>
      </c>
      <c r="P94" s="2">
        <v>0</v>
      </c>
      <c r="Q94" s="183">
        <f>SUM(N94:P94)</f>
        <v>0</v>
      </c>
      <c r="R94" s="183">
        <f>+E94+I94+M94+Q94</f>
        <v>3460</v>
      </c>
    </row>
    <row r="95" spans="1:18" ht="15.75" customHeight="1" thickBot="1" x14ac:dyDescent="0.4">
      <c r="A95" s="462" t="s">
        <v>2165</v>
      </c>
      <c r="B95" s="483"/>
      <c r="C95" s="483"/>
      <c r="D95" s="483"/>
      <c r="E95" s="183" t="s">
        <v>852</v>
      </c>
      <c r="F95" s="483"/>
      <c r="G95" s="483"/>
      <c r="H95" s="483"/>
      <c r="I95" s="183" t="s">
        <v>852</v>
      </c>
      <c r="J95" s="483"/>
      <c r="K95" s="483"/>
      <c r="L95" s="483"/>
      <c r="M95" s="183" t="s">
        <v>852</v>
      </c>
      <c r="N95" s="483"/>
      <c r="O95" s="483"/>
      <c r="P95" s="483"/>
      <c r="Q95" s="183" t="s">
        <v>852</v>
      </c>
      <c r="R95" s="183" t="s">
        <v>852</v>
      </c>
    </row>
    <row r="96" spans="1:18" ht="15.75" customHeight="1" thickBot="1" x14ac:dyDescent="0.4">
      <c r="A96" s="41" t="s">
        <v>1219</v>
      </c>
      <c r="B96" s="184">
        <f>SUM(B90:B95)</f>
        <v>791</v>
      </c>
      <c r="C96" s="184">
        <f>SUM(C90:C95)</f>
        <v>902</v>
      </c>
      <c r="D96" s="184">
        <f>SUM(D90:D95)</f>
        <v>2364</v>
      </c>
      <c r="E96" s="56">
        <f>SUM(B96:D96)</f>
        <v>4057</v>
      </c>
      <c r="F96" s="184">
        <f>SUM(F90:F95)</f>
        <v>6330</v>
      </c>
      <c r="G96" s="184">
        <f>SUM(G90:G95)</f>
        <v>6698</v>
      </c>
      <c r="H96" s="184">
        <f>SUM(H90:H95)</f>
        <v>4686</v>
      </c>
      <c r="I96" s="56">
        <f>SUM(F96:H96)</f>
        <v>17714</v>
      </c>
      <c r="J96" s="184">
        <f>SUM(J90:J95)</f>
        <v>6205</v>
      </c>
      <c r="K96" s="184">
        <f>SUM(K90:K95)</f>
        <v>5682</v>
      </c>
      <c r="L96" s="184">
        <f>SUM(L90:L95)</f>
        <v>3302</v>
      </c>
      <c r="M96" s="56">
        <f>SUM(J96:L96)</f>
        <v>15189</v>
      </c>
      <c r="N96" s="184">
        <f>SUM(N90:N95)</f>
        <v>1448</v>
      </c>
      <c r="O96" s="184">
        <f>SUM(O90:O95)</f>
        <v>604</v>
      </c>
      <c r="P96" s="184">
        <f>SUM(P90:P95)</f>
        <v>1074</v>
      </c>
      <c r="Q96" s="56">
        <f>SUM(N96:P96)</f>
        <v>3126</v>
      </c>
      <c r="R96" s="56">
        <f>+E96+I96+M96+Q96</f>
        <v>40086</v>
      </c>
    </row>
    <row r="97" spans="1:18" ht="15.75" customHeight="1" x14ac:dyDescent="0.35">
      <c r="A97" s="462" t="s">
        <v>2166</v>
      </c>
      <c r="B97" s="483"/>
      <c r="C97" s="483"/>
      <c r="D97" s="483"/>
      <c r="E97" s="183" t="s">
        <v>852</v>
      </c>
      <c r="F97" s="483"/>
      <c r="G97" s="483"/>
      <c r="H97" s="483"/>
      <c r="I97" s="183" t="s">
        <v>852</v>
      </c>
      <c r="J97" s="483"/>
      <c r="K97" s="483"/>
      <c r="L97" s="483"/>
      <c r="M97" s="183" t="s">
        <v>852</v>
      </c>
      <c r="N97" s="483"/>
      <c r="O97" s="483"/>
      <c r="P97" s="483"/>
      <c r="Q97" s="183" t="s">
        <v>852</v>
      </c>
      <c r="R97" s="183" t="s">
        <v>852</v>
      </c>
    </row>
    <row r="98" spans="1:18" ht="15.75" customHeight="1" x14ac:dyDescent="0.35">
      <c r="A98" s="462" t="s">
        <v>1245</v>
      </c>
      <c r="B98" s="483"/>
      <c r="C98" s="483"/>
      <c r="D98" s="483"/>
      <c r="E98" s="183" t="s">
        <v>852</v>
      </c>
      <c r="F98" s="483"/>
      <c r="G98" s="483"/>
      <c r="H98" s="483"/>
      <c r="I98" s="183" t="s">
        <v>852</v>
      </c>
      <c r="J98" s="483"/>
      <c r="K98" s="483"/>
      <c r="L98" s="483"/>
      <c r="M98" s="183" t="s">
        <v>852</v>
      </c>
      <c r="N98" s="483"/>
      <c r="O98" s="483"/>
      <c r="P98" s="483"/>
      <c r="Q98" s="183" t="s">
        <v>852</v>
      </c>
      <c r="R98" s="183" t="s">
        <v>852</v>
      </c>
    </row>
    <row r="99" spans="1:18" ht="15.75" customHeight="1" x14ac:dyDescent="0.35">
      <c r="A99" s="462" t="s">
        <v>1711</v>
      </c>
      <c r="B99" s="483"/>
      <c r="C99" s="483"/>
      <c r="D99" s="483"/>
      <c r="E99" s="183"/>
      <c r="F99" s="483"/>
      <c r="G99" s="483"/>
      <c r="H99" s="483"/>
      <c r="I99" s="183"/>
      <c r="J99" s="483"/>
      <c r="K99" s="483"/>
      <c r="L99" s="483"/>
      <c r="M99" s="183"/>
      <c r="N99" s="483"/>
      <c r="O99" s="483"/>
      <c r="P99" s="483"/>
      <c r="Q99" s="183"/>
      <c r="R99" s="183"/>
    </row>
    <row r="100" spans="1:18" ht="15.75" customHeight="1" x14ac:dyDescent="0.35">
      <c r="A100" s="349" t="s">
        <v>1584</v>
      </c>
      <c r="B100" s="2">
        <v>972</v>
      </c>
      <c r="C100" s="2">
        <v>0</v>
      </c>
      <c r="D100" s="2">
        <v>0</v>
      </c>
      <c r="E100" s="183">
        <f t="shared" ref="E100:E107" si="14">SUM(B100:D100)</f>
        <v>972</v>
      </c>
      <c r="F100" s="2">
        <v>0</v>
      </c>
      <c r="G100" s="2">
        <v>0</v>
      </c>
      <c r="H100" s="2">
        <v>0</v>
      </c>
      <c r="I100" s="183">
        <f t="shared" ref="I100:I107" si="15">SUM(F100:H100)</f>
        <v>0</v>
      </c>
      <c r="J100" s="2">
        <v>0</v>
      </c>
      <c r="K100" s="2">
        <v>0</v>
      </c>
      <c r="L100" s="2">
        <v>0</v>
      </c>
      <c r="M100" s="183">
        <f t="shared" ref="M100:M107" si="16">SUM(J100:L100)</f>
        <v>0</v>
      </c>
      <c r="N100" s="2">
        <v>0</v>
      </c>
      <c r="O100" s="2">
        <v>0</v>
      </c>
      <c r="P100" s="2">
        <v>0</v>
      </c>
      <c r="Q100" s="183">
        <f t="shared" ref="Q100:Q107" si="17">SUM(N100:P100)</f>
        <v>0</v>
      </c>
      <c r="R100" s="183">
        <f t="shared" ref="R100:R107" si="18">+E100+I100+M100+Q100</f>
        <v>972</v>
      </c>
    </row>
    <row r="101" spans="1:18" ht="15.75" customHeight="1" x14ac:dyDescent="0.35">
      <c r="A101" s="349" t="s">
        <v>1904</v>
      </c>
      <c r="B101" s="2">
        <v>1513</v>
      </c>
      <c r="C101" s="2">
        <v>9</v>
      </c>
      <c r="D101" s="2">
        <v>0</v>
      </c>
      <c r="E101" s="183">
        <f>SUM(B101:D101)</f>
        <v>1522</v>
      </c>
      <c r="F101" s="2">
        <v>0</v>
      </c>
      <c r="G101" s="2">
        <v>0</v>
      </c>
      <c r="H101" s="2">
        <v>0</v>
      </c>
      <c r="I101" s="183">
        <f>SUM(F101:H101)</f>
        <v>0</v>
      </c>
      <c r="J101" s="2">
        <v>0</v>
      </c>
      <c r="K101" s="2">
        <v>0</v>
      </c>
      <c r="L101" s="2">
        <v>0</v>
      </c>
      <c r="M101" s="183">
        <f>SUM(J101:L101)</f>
        <v>0</v>
      </c>
      <c r="N101" s="2">
        <v>0</v>
      </c>
      <c r="O101" s="2">
        <v>0</v>
      </c>
      <c r="P101" s="2">
        <v>0</v>
      </c>
      <c r="Q101" s="183">
        <f>SUM(N101:P101)</f>
        <v>0</v>
      </c>
      <c r="R101" s="183">
        <f>+E101+I101+M101+Q101</f>
        <v>1522</v>
      </c>
    </row>
    <row r="102" spans="1:18" ht="15.75" customHeight="1" x14ac:dyDescent="0.35">
      <c r="A102" s="349" t="s">
        <v>1977</v>
      </c>
      <c r="B102" s="2">
        <v>0</v>
      </c>
      <c r="C102" s="2">
        <v>2076</v>
      </c>
      <c r="D102" s="2">
        <v>510</v>
      </c>
      <c r="E102" s="183">
        <f t="shared" si="14"/>
        <v>2586</v>
      </c>
      <c r="F102" s="2">
        <v>0</v>
      </c>
      <c r="G102" s="2">
        <v>0</v>
      </c>
      <c r="H102" s="2">
        <v>0</v>
      </c>
      <c r="I102" s="183">
        <f t="shared" si="15"/>
        <v>0</v>
      </c>
      <c r="J102" s="2">
        <v>0</v>
      </c>
      <c r="K102" s="2">
        <v>0</v>
      </c>
      <c r="L102" s="2">
        <v>0</v>
      </c>
      <c r="M102" s="183">
        <f t="shared" si="16"/>
        <v>0</v>
      </c>
      <c r="N102" s="2">
        <v>0</v>
      </c>
      <c r="O102" s="2">
        <v>0</v>
      </c>
      <c r="P102" s="2">
        <v>0</v>
      </c>
      <c r="Q102" s="183">
        <f t="shared" si="17"/>
        <v>0</v>
      </c>
      <c r="R102" s="183">
        <f t="shared" si="18"/>
        <v>2586</v>
      </c>
    </row>
    <row r="103" spans="1:18" ht="15.75" customHeight="1" x14ac:dyDescent="0.35">
      <c r="A103" s="349" t="s">
        <v>436</v>
      </c>
      <c r="B103" s="2">
        <v>0</v>
      </c>
      <c r="C103" s="2">
        <v>4088</v>
      </c>
      <c r="D103" s="2">
        <v>0</v>
      </c>
      <c r="E103" s="183">
        <f>SUM(B103:D103)</f>
        <v>4088</v>
      </c>
      <c r="F103" s="2">
        <v>0</v>
      </c>
      <c r="G103" s="2">
        <v>0</v>
      </c>
      <c r="H103" s="2">
        <v>0</v>
      </c>
      <c r="I103" s="183">
        <f>SUM(F103:H103)</f>
        <v>0</v>
      </c>
      <c r="J103" s="2">
        <v>0</v>
      </c>
      <c r="K103" s="2">
        <v>0</v>
      </c>
      <c r="L103" s="2">
        <v>0</v>
      </c>
      <c r="M103" s="183">
        <f>SUM(J103:L103)</f>
        <v>0</v>
      </c>
      <c r="N103" s="2">
        <v>0</v>
      </c>
      <c r="O103" s="2">
        <v>0</v>
      </c>
      <c r="P103" s="2">
        <v>0</v>
      </c>
      <c r="Q103" s="183">
        <f>SUM(N103:P103)</f>
        <v>0</v>
      </c>
      <c r="R103" s="183">
        <f>+E103+I103+M103+Q103</f>
        <v>4088</v>
      </c>
    </row>
    <row r="104" spans="1:18" ht="15.75" customHeight="1" x14ac:dyDescent="0.35">
      <c r="A104" s="349" t="s">
        <v>1571</v>
      </c>
      <c r="B104" s="2">
        <v>0</v>
      </c>
      <c r="C104" s="2">
        <v>0</v>
      </c>
      <c r="D104" s="2">
        <v>771</v>
      </c>
      <c r="E104" s="183">
        <f t="shared" si="14"/>
        <v>771</v>
      </c>
      <c r="F104" s="2">
        <v>82</v>
      </c>
      <c r="G104" s="2">
        <v>0</v>
      </c>
      <c r="H104" s="2">
        <v>0</v>
      </c>
      <c r="I104" s="183">
        <f t="shared" si="15"/>
        <v>82</v>
      </c>
      <c r="J104" s="2">
        <v>0</v>
      </c>
      <c r="K104" s="2">
        <v>0</v>
      </c>
      <c r="L104" s="2">
        <v>0</v>
      </c>
      <c r="M104" s="183">
        <f t="shared" si="16"/>
        <v>0</v>
      </c>
      <c r="N104" s="2">
        <v>0</v>
      </c>
      <c r="O104" s="2">
        <v>0</v>
      </c>
      <c r="P104" s="2">
        <v>0</v>
      </c>
      <c r="Q104" s="183">
        <f t="shared" si="17"/>
        <v>0</v>
      </c>
      <c r="R104" s="183">
        <f t="shared" si="18"/>
        <v>853</v>
      </c>
    </row>
    <row r="105" spans="1:18" ht="15.75" customHeight="1" x14ac:dyDescent="0.35">
      <c r="A105" s="349" t="s">
        <v>2182</v>
      </c>
      <c r="B105" s="2">
        <v>0</v>
      </c>
      <c r="C105" s="2">
        <v>2427</v>
      </c>
      <c r="D105" s="2">
        <v>1347</v>
      </c>
      <c r="E105" s="183">
        <f t="shared" si="14"/>
        <v>3774</v>
      </c>
      <c r="F105" s="2">
        <v>0</v>
      </c>
      <c r="G105" s="2">
        <v>0</v>
      </c>
      <c r="H105" s="2">
        <v>0</v>
      </c>
      <c r="I105" s="183">
        <f t="shared" si="15"/>
        <v>0</v>
      </c>
      <c r="J105" s="2">
        <v>0</v>
      </c>
      <c r="K105" s="2">
        <v>0</v>
      </c>
      <c r="L105" s="2">
        <v>0</v>
      </c>
      <c r="M105" s="183">
        <f t="shared" si="16"/>
        <v>0</v>
      </c>
      <c r="N105" s="2">
        <v>0</v>
      </c>
      <c r="O105" s="2">
        <v>0</v>
      </c>
      <c r="P105" s="2">
        <v>0</v>
      </c>
      <c r="Q105" s="183">
        <f t="shared" si="17"/>
        <v>0</v>
      </c>
      <c r="R105" s="183">
        <f t="shared" si="18"/>
        <v>3774</v>
      </c>
    </row>
    <row r="106" spans="1:18" ht="15.75" customHeight="1" thickBot="1" x14ac:dyDescent="0.4">
      <c r="A106" s="349" t="s">
        <v>2261</v>
      </c>
      <c r="B106" s="2">
        <v>0</v>
      </c>
      <c r="C106" s="2">
        <v>0</v>
      </c>
      <c r="D106" s="2">
        <v>0</v>
      </c>
      <c r="E106" s="183">
        <f t="shared" si="14"/>
        <v>0</v>
      </c>
      <c r="F106" s="2">
        <v>0</v>
      </c>
      <c r="G106" s="2">
        <v>0</v>
      </c>
      <c r="H106" s="2">
        <v>0</v>
      </c>
      <c r="I106" s="183">
        <f t="shared" si="15"/>
        <v>0</v>
      </c>
      <c r="J106" s="2">
        <v>0</v>
      </c>
      <c r="K106" s="2">
        <v>0</v>
      </c>
      <c r="L106" s="2">
        <v>0</v>
      </c>
      <c r="M106" s="183">
        <f t="shared" si="16"/>
        <v>0</v>
      </c>
      <c r="N106" s="2">
        <v>0</v>
      </c>
      <c r="O106" s="2">
        <v>0</v>
      </c>
      <c r="P106" s="2">
        <v>0</v>
      </c>
      <c r="Q106" s="183">
        <f t="shared" si="17"/>
        <v>0</v>
      </c>
      <c r="R106" s="183">
        <f t="shared" si="18"/>
        <v>0</v>
      </c>
    </row>
    <row r="107" spans="1:18" ht="15.75" customHeight="1" thickBot="1" x14ac:dyDescent="0.4">
      <c r="A107" s="41" t="s">
        <v>1220</v>
      </c>
      <c r="B107" s="184">
        <f>SUM(B97:B106)</f>
        <v>2485</v>
      </c>
      <c r="C107" s="184">
        <f>SUM(C97:C106)</f>
        <v>8600</v>
      </c>
      <c r="D107" s="184">
        <f>SUM(D97:D106)</f>
        <v>2628</v>
      </c>
      <c r="E107" s="56">
        <f t="shared" si="14"/>
        <v>13713</v>
      </c>
      <c r="F107" s="184">
        <f>SUM(F97:F106)</f>
        <v>82</v>
      </c>
      <c r="G107" s="184">
        <f>SUM(G97:G106)</f>
        <v>0</v>
      </c>
      <c r="H107" s="184">
        <f>SUM(H97:H106)</f>
        <v>0</v>
      </c>
      <c r="I107" s="56">
        <f t="shared" si="15"/>
        <v>82</v>
      </c>
      <c r="J107" s="184">
        <f>SUM(J97:J106)</f>
        <v>0</v>
      </c>
      <c r="K107" s="184">
        <f>SUM(K97:K106)</f>
        <v>0</v>
      </c>
      <c r="L107" s="184">
        <f>SUM(L97:L106)</f>
        <v>0</v>
      </c>
      <c r="M107" s="56">
        <f t="shared" si="16"/>
        <v>0</v>
      </c>
      <c r="N107" s="184">
        <f>SUM(N97:N106)</f>
        <v>0</v>
      </c>
      <c r="O107" s="184">
        <f>SUM(O97:O106)</f>
        <v>0</v>
      </c>
      <c r="P107" s="184">
        <f>SUM(P97:P106)</f>
        <v>0</v>
      </c>
      <c r="Q107" s="56">
        <f t="shared" si="17"/>
        <v>0</v>
      </c>
      <c r="R107" s="56">
        <f t="shared" si="18"/>
        <v>13795</v>
      </c>
    </row>
    <row r="108" spans="1:18" ht="15.75" customHeight="1" x14ac:dyDescent="0.35">
      <c r="A108" s="462" t="s">
        <v>1712</v>
      </c>
      <c r="B108" s="483"/>
      <c r="C108" s="483"/>
      <c r="D108" s="483"/>
      <c r="E108" s="183" t="s">
        <v>852</v>
      </c>
      <c r="F108" s="483"/>
      <c r="G108" s="483"/>
      <c r="H108" s="483"/>
      <c r="I108" s="183" t="s">
        <v>852</v>
      </c>
      <c r="J108" s="483"/>
      <c r="K108" s="483"/>
      <c r="L108" s="483"/>
      <c r="M108" s="183" t="s">
        <v>852</v>
      </c>
      <c r="N108" s="483"/>
      <c r="O108" s="483"/>
      <c r="P108" s="483"/>
      <c r="Q108" s="183" t="s">
        <v>852</v>
      </c>
      <c r="R108" s="183" t="s">
        <v>852</v>
      </c>
    </row>
    <row r="109" spans="1:18" ht="15.75" customHeight="1" x14ac:dyDescent="0.35">
      <c r="A109" s="462" t="s">
        <v>556</v>
      </c>
      <c r="B109" s="483"/>
      <c r="C109" s="483"/>
      <c r="D109" s="483"/>
      <c r="E109" s="183" t="s">
        <v>852</v>
      </c>
      <c r="F109" s="483"/>
      <c r="G109" s="483"/>
      <c r="H109" s="483"/>
      <c r="I109" s="183" t="s">
        <v>852</v>
      </c>
      <c r="J109" s="483"/>
      <c r="K109" s="483"/>
      <c r="L109" s="483"/>
      <c r="M109" s="183" t="s">
        <v>852</v>
      </c>
      <c r="N109" s="483"/>
      <c r="O109" s="483"/>
      <c r="P109" s="483"/>
      <c r="Q109" s="183" t="s">
        <v>852</v>
      </c>
      <c r="R109" s="183" t="s">
        <v>852</v>
      </c>
    </row>
    <row r="110" spans="1:18" ht="15.75" customHeight="1" x14ac:dyDescent="0.35">
      <c r="A110" s="484" t="s">
        <v>482</v>
      </c>
      <c r="B110" s="2">
        <v>0</v>
      </c>
      <c r="C110" s="2">
        <v>0</v>
      </c>
      <c r="D110" s="2">
        <v>0</v>
      </c>
      <c r="E110" s="183">
        <f t="shared" ref="E110:E117" si="19">SUM(B110:D110)</f>
        <v>0</v>
      </c>
      <c r="F110" s="2">
        <v>0</v>
      </c>
      <c r="G110" s="2">
        <v>0</v>
      </c>
      <c r="H110" s="2">
        <v>93</v>
      </c>
      <c r="I110" s="183">
        <f t="shared" ref="I110:I117" si="20">SUM(F110:H110)</f>
        <v>93</v>
      </c>
      <c r="J110" s="2">
        <v>0</v>
      </c>
      <c r="K110" s="2">
        <v>0</v>
      </c>
      <c r="L110" s="2">
        <v>0</v>
      </c>
      <c r="M110" s="183">
        <f t="shared" ref="M110:M117" si="21">SUM(J110:L110)</f>
        <v>0</v>
      </c>
      <c r="N110" s="2">
        <v>0</v>
      </c>
      <c r="O110" s="2">
        <v>0</v>
      </c>
      <c r="P110" s="2">
        <v>0</v>
      </c>
      <c r="Q110" s="183">
        <f t="shared" ref="Q110:Q117" si="22">SUM(N110:P110)</f>
        <v>0</v>
      </c>
      <c r="R110" s="183">
        <f t="shared" ref="R110:R117" si="23">+E110+I110+M110+Q110</f>
        <v>93</v>
      </c>
    </row>
    <row r="111" spans="1:18" ht="15.75" customHeight="1" x14ac:dyDescent="0.35">
      <c r="A111" s="484" t="s">
        <v>656</v>
      </c>
      <c r="B111" s="2">
        <v>0</v>
      </c>
      <c r="C111" s="2">
        <v>0</v>
      </c>
      <c r="D111" s="2">
        <v>0</v>
      </c>
      <c r="E111" s="183">
        <f t="shared" si="19"/>
        <v>0</v>
      </c>
      <c r="F111" s="2">
        <v>0</v>
      </c>
      <c r="G111" s="2">
        <v>0</v>
      </c>
      <c r="H111" s="2">
        <v>0</v>
      </c>
      <c r="I111" s="183">
        <f t="shared" si="20"/>
        <v>0</v>
      </c>
      <c r="J111" s="2">
        <v>0</v>
      </c>
      <c r="K111" s="2">
        <v>0</v>
      </c>
      <c r="L111" s="2">
        <v>0</v>
      </c>
      <c r="M111" s="183">
        <f t="shared" si="21"/>
        <v>0</v>
      </c>
      <c r="N111" s="2">
        <v>0</v>
      </c>
      <c r="O111" s="2">
        <v>0</v>
      </c>
      <c r="P111" s="2">
        <v>244</v>
      </c>
      <c r="Q111" s="183">
        <f t="shared" si="22"/>
        <v>244</v>
      </c>
      <c r="R111" s="183">
        <f t="shared" si="23"/>
        <v>244</v>
      </c>
    </row>
    <row r="112" spans="1:18" ht="15.75" customHeight="1" x14ac:dyDescent="0.35">
      <c r="A112" s="484" t="s">
        <v>2087</v>
      </c>
      <c r="B112" s="2">
        <v>0</v>
      </c>
      <c r="C112" s="2">
        <v>0</v>
      </c>
      <c r="D112" s="2">
        <v>751</v>
      </c>
      <c r="E112" s="183">
        <f t="shared" si="19"/>
        <v>751</v>
      </c>
      <c r="F112" s="2">
        <v>0</v>
      </c>
      <c r="G112" s="2">
        <v>10562</v>
      </c>
      <c r="H112" s="2">
        <v>9316</v>
      </c>
      <c r="I112" s="183">
        <f t="shared" si="20"/>
        <v>19878</v>
      </c>
      <c r="J112" s="2">
        <v>16109</v>
      </c>
      <c r="K112" s="2">
        <v>11390</v>
      </c>
      <c r="L112" s="2">
        <v>387</v>
      </c>
      <c r="M112" s="183">
        <f t="shared" si="21"/>
        <v>27886</v>
      </c>
      <c r="N112" s="2">
        <v>13660</v>
      </c>
      <c r="O112" s="2">
        <v>988</v>
      </c>
      <c r="P112" s="2">
        <v>0</v>
      </c>
      <c r="Q112" s="183">
        <f t="shared" si="22"/>
        <v>14648</v>
      </c>
      <c r="R112" s="183">
        <f t="shared" si="23"/>
        <v>63163</v>
      </c>
    </row>
    <row r="113" spans="1:18" ht="15.75" customHeight="1" x14ac:dyDescent="0.35">
      <c r="A113" s="484" t="s">
        <v>563</v>
      </c>
      <c r="B113" s="2">
        <v>0</v>
      </c>
      <c r="C113" s="2">
        <v>0</v>
      </c>
      <c r="D113" s="2">
        <v>0</v>
      </c>
      <c r="E113" s="183">
        <f t="shared" si="19"/>
        <v>0</v>
      </c>
      <c r="F113" s="2">
        <v>0</v>
      </c>
      <c r="G113" s="2">
        <v>0</v>
      </c>
      <c r="H113" s="2">
        <v>0</v>
      </c>
      <c r="I113" s="183">
        <f t="shared" si="20"/>
        <v>0</v>
      </c>
      <c r="J113" s="2">
        <v>0</v>
      </c>
      <c r="K113" s="2">
        <v>2000</v>
      </c>
      <c r="L113" s="2">
        <v>0</v>
      </c>
      <c r="M113" s="183">
        <f t="shared" si="21"/>
        <v>2000</v>
      </c>
      <c r="N113" s="2">
        <v>0</v>
      </c>
      <c r="O113" s="2">
        <v>0</v>
      </c>
      <c r="P113" s="2">
        <v>0</v>
      </c>
      <c r="Q113" s="183">
        <f t="shared" si="22"/>
        <v>0</v>
      </c>
      <c r="R113" s="183">
        <f t="shared" si="23"/>
        <v>2000</v>
      </c>
    </row>
    <row r="114" spans="1:18" ht="15.75" customHeight="1" x14ac:dyDescent="0.35">
      <c r="A114" s="484" t="s">
        <v>795</v>
      </c>
      <c r="B114" s="2">
        <v>0</v>
      </c>
      <c r="C114" s="2">
        <v>0</v>
      </c>
      <c r="D114" s="2">
        <v>0</v>
      </c>
      <c r="E114" s="183">
        <f t="shared" si="19"/>
        <v>0</v>
      </c>
      <c r="F114" s="2">
        <v>0</v>
      </c>
      <c r="G114" s="2">
        <v>0</v>
      </c>
      <c r="H114" s="2">
        <v>0</v>
      </c>
      <c r="I114" s="183">
        <f t="shared" si="20"/>
        <v>0</v>
      </c>
      <c r="J114" s="2">
        <v>0</v>
      </c>
      <c r="K114" s="2">
        <v>0</v>
      </c>
      <c r="L114" s="2">
        <v>0</v>
      </c>
      <c r="M114" s="183">
        <f t="shared" si="21"/>
        <v>0</v>
      </c>
      <c r="N114" s="2">
        <v>0</v>
      </c>
      <c r="O114" s="2">
        <v>0</v>
      </c>
      <c r="P114" s="2">
        <v>0</v>
      </c>
      <c r="Q114" s="183">
        <f t="shared" si="22"/>
        <v>0</v>
      </c>
      <c r="R114" s="183">
        <f t="shared" si="23"/>
        <v>0</v>
      </c>
    </row>
    <row r="115" spans="1:18" ht="15.75" customHeight="1" x14ac:dyDescent="0.35">
      <c r="A115" s="484" t="s">
        <v>2336</v>
      </c>
      <c r="B115" s="2">
        <v>4824</v>
      </c>
      <c r="C115" s="2">
        <v>3902</v>
      </c>
      <c r="D115" s="2">
        <v>4412</v>
      </c>
      <c r="E115" s="183">
        <f t="shared" si="19"/>
        <v>13138</v>
      </c>
      <c r="F115" s="2">
        <v>3974</v>
      </c>
      <c r="G115" s="2">
        <v>4497</v>
      </c>
      <c r="H115" s="2">
        <v>72</v>
      </c>
      <c r="I115" s="183">
        <f t="shared" si="20"/>
        <v>8543</v>
      </c>
      <c r="J115" s="2">
        <v>25</v>
      </c>
      <c r="K115" s="2">
        <v>5115</v>
      </c>
      <c r="L115" s="2">
        <v>5207</v>
      </c>
      <c r="M115" s="183">
        <f t="shared" si="21"/>
        <v>10347</v>
      </c>
      <c r="N115" s="2">
        <v>5778</v>
      </c>
      <c r="O115" s="2">
        <v>244</v>
      </c>
      <c r="P115" s="2">
        <v>4216</v>
      </c>
      <c r="Q115" s="183">
        <f t="shared" si="22"/>
        <v>10238</v>
      </c>
      <c r="R115" s="183">
        <f t="shared" si="23"/>
        <v>42266</v>
      </c>
    </row>
    <row r="116" spans="1:18" ht="15.75" customHeight="1" x14ac:dyDescent="0.35">
      <c r="A116" s="484" t="s">
        <v>2335</v>
      </c>
      <c r="B116" s="2">
        <v>0</v>
      </c>
      <c r="C116" s="2">
        <v>0</v>
      </c>
      <c r="D116" s="2">
        <v>0</v>
      </c>
      <c r="E116" s="183">
        <f t="shared" si="19"/>
        <v>0</v>
      </c>
      <c r="F116" s="2">
        <v>0</v>
      </c>
      <c r="G116" s="2">
        <v>0</v>
      </c>
      <c r="H116" s="2">
        <v>0</v>
      </c>
      <c r="I116" s="183">
        <f t="shared" si="20"/>
        <v>0</v>
      </c>
      <c r="J116" s="2">
        <v>0</v>
      </c>
      <c r="K116" s="2">
        <v>0</v>
      </c>
      <c r="L116" s="2">
        <v>0</v>
      </c>
      <c r="M116" s="183">
        <f t="shared" si="21"/>
        <v>0</v>
      </c>
      <c r="N116" s="2">
        <v>0</v>
      </c>
      <c r="O116" s="2">
        <v>0</v>
      </c>
      <c r="P116" s="2">
        <v>6434</v>
      </c>
      <c r="Q116" s="183">
        <f t="shared" si="22"/>
        <v>6434</v>
      </c>
      <c r="R116" s="183">
        <f t="shared" si="23"/>
        <v>6434</v>
      </c>
    </row>
    <row r="117" spans="1:18" ht="15.75" customHeight="1" x14ac:dyDescent="0.35">
      <c r="A117" s="484" t="s">
        <v>1298</v>
      </c>
      <c r="B117" s="2">
        <v>1386</v>
      </c>
      <c r="C117" s="2">
        <v>2672</v>
      </c>
      <c r="D117" s="2">
        <v>2644</v>
      </c>
      <c r="E117" s="183">
        <f t="shared" si="19"/>
        <v>6702</v>
      </c>
      <c r="F117" s="2">
        <v>1913</v>
      </c>
      <c r="G117" s="2">
        <v>2059</v>
      </c>
      <c r="H117" s="2">
        <v>2689</v>
      </c>
      <c r="I117" s="183">
        <f t="shared" si="20"/>
        <v>6661</v>
      </c>
      <c r="J117" s="2">
        <v>3</v>
      </c>
      <c r="K117" s="2">
        <v>0</v>
      </c>
      <c r="L117" s="2">
        <v>674</v>
      </c>
      <c r="M117" s="183">
        <f t="shared" si="21"/>
        <v>677</v>
      </c>
      <c r="N117" s="2">
        <v>3544</v>
      </c>
      <c r="O117" s="2">
        <v>3299</v>
      </c>
      <c r="P117" s="2">
        <v>2034</v>
      </c>
      <c r="Q117" s="183">
        <f t="shared" si="22"/>
        <v>8877</v>
      </c>
      <c r="R117" s="183">
        <f t="shared" si="23"/>
        <v>22917</v>
      </c>
    </row>
    <row r="118" spans="1:18" ht="15.75" customHeight="1" x14ac:dyDescent="0.35">
      <c r="A118" s="462" t="s">
        <v>557</v>
      </c>
      <c r="B118" s="483"/>
      <c r="C118" s="483"/>
      <c r="D118" s="483"/>
      <c r="E118" s="183" t="s">
        <v>852</v>
      </c>
      <c r="F118" s="483"/>
      <c r="G118" s="483"/>
      <c r="H118" s="483"/>
      <c r="I118" s="183" t="s">
        <v>852</v>
      </c>
      <c r="J118" s="483"/>
      <c r="K118" s="483"/>
      <c r="L118" s="483"/>
      <c r="M118" s="183" t="s">
        <v>852</v>
      </c>
      <c r="N118" s="483"/>
      <c r="O118" s="483"/>
      <c r="P118" s="483"/>
      <c r="Q118" s="183" t="s">
        <v>852</v>
      </c>
      <c r="R118" s="183" t="s">
        <v>852</v>
      </c>
    </row>
    <row r="119" spans="1:18" ht="15.75" customHeight="1" x14ac:dyDescent="0.35">
      <c r="A119" s="484" t="s">
        <v>2035</v>
      </c>
      <c r="B119" s="2">
        <v>0</v>
      </c>
      <c r="C119" s="2">
        <v>0</v>
      </c>
      <c r="D119" s="2">
        <v>0</v>
      </c>
      <c r="E119" s="183">
        <f>SUM(B119:D119)</f>
        <v>0</v>
      </c>
      <c r="F119" s="2">
        <v>0</v>
      </c>
      <c r="G119" s="2">
        <v>0</v>
      </c>
      <c r="H119" s="2">
        <v>0</v>
      </c>
      <c r="I119" s="183">
        <f>SUM(F119:H119)</f>
        <v>0</v>
      </c>
      <c r="J119" s="2">
        <v>0</v>
      </c>
      <c r="K119" s="2">
        <v>0</v>
      </c>
      <c r="L119" s="2">
        <v>0</v>
      </c>
      <c r="M119" s="183">
        <f>SUM(J119:L119)</f>
        <v>0</v>
      </c>
      <c r="N119" s="2">
        <v>0</v>
      </c>
      <c r="O119" s="2">
        <v>0</v>
      </c>
      <c r="P119" s="2">
        <v>0</v>
      </c>
      <c r="Q119" s="183">
        <f>SUM(N119:P119)</f>
        <v>0</v>
      </c>
      <c r="R119" s="183">
        <f>+E119+I119+M119+Q119</f>
        <v>0</v>
      </c>
    </row>
    <row r="120" spans="1:18" ht="15.75" customHeight="1" x14ac:dyDescent="0.35">
      <c r="A120" s="484" t="s">
        <v>106</v>
      </c>
      <c r="B120" s="2">
        <v>0</v>
      </c>
      <c r="C120" s="2">
        <v>0</v>
      </c>
      <c r="D120" s="2">
        <v>0</v>
      </c>
      <c r="E120" s="183">
        <f>SUM(B120:D120)</f>
        <v>0</v>
      </c>
      <c r="F120" s="2">
        <v>0</v>
      </c>
      <c r="G120" s="2">
        <v>0</v>
      </c>
      <c r="H120" s="2">
        <v>0</v>
      </c>
      <c r="I120" s="183">
        <f>SUM(F120:H120)</f>
        <v>0</v>
      </c>
      <c r="J120" s="2">
        <v>0</v>
      </c>
      <c r="K120" s="2">
        <v>0</v>
      </c>
      <c r="L120" s="2">
        <v>0</v>
      </c>
      <c r="M120" s="183">
        <f>SUM(J120:L120)</f>
        <v>0</v>
      </c>
      <c r="N120" s="2">
        <v>0</v>
      </c>
      <c r="O120" s="2">
        <v>13446</v>
      </c>
      <c r="P120" s="2">
        <v>10335</v>
      </c>
      <c r="Q120" s="183">
        <f>SUM(N120:P120)</f>
        <v>23781</v>
      </c>
      <c r="R120" s="183">
        <f>+E120+I120+M120+Q120</f>
        <v>23781</v>
      </c>
    </row>
    <row r="121" spans="1:18" ht="15.75" customHeight="1" x14ac:dyDescent="0.35">
      <c r="A121" s="462" t="s">
        <v>558</v>
      </c>
      <c r="B121" s="483"/>
      <c r="C121" s="483"/>
      <c r="D121" s="483"/>
      <c r="E121" s="183" t="s">
        <v>852</v>
      </c>
      <c r="F121" s="483"/>
      <c r="G121" s="483"/>
      <c r="H121" s="483"/>
      <c r="I121" s="183" t="s">
        <v>852</v>
      </c>
      <c r="J121" s="483"/>
      <c r="K121" s="483"/>
      <c r="L121" s="483"/>
      <c r="M121" s="183" t="s">
        <v>852</v>
      </c>
      <c r="N121" s="483"/>
      <c r="O121" s="483"/>
      <c r="P121" s="483"/>
      <c r="Q121" s="183" t="s">
        <v>852</v>
      </c>
      <c r="R121" s="183" t="s">
        <v>852</v>
      </c>
    </row>
    <row r="122" spans="1:18" ht="15.75" customHeight="1" x14ac:dyDescent="0.35">
      <c r="A122" s="484" t="s">
        <v>239</v>
      </c>
      <c r="B122" s="2">
        <v>0</v>
      </c>
      <c r="C122" s="2">
        <v>0</v>
      </c>
      <c r="D122" s="2">
        <v>0</v>
      </c>
      <c r="E122" s="183">
        <f>SUM(B122:D122)</f>
        <v>0</v>
      </c>
      <c r="F122" s="2">
        <v>0</v>
      </c>
      <c r="G122" s="2">
        <v>764</v>
      </c>
      <c r="H122" s="2">
        <v>825</v>
      </c>
      <c r="I122" s="183">
        <f>SUM(F122:H122)</f>
        <v>1589</v>
      </c>
      <c r="J122" s="2">
        <v>2193</v>
      </c>
      <c r="K122" s="2">
        <v>2078</v>
      </c>
      <c r="L122" s="2">
        <v>914</v>
      </c>
      <c r="M122" s="183">
        <f>SUM(J122:L122)</f>
        <v>5185</v>
      </c>
      <c r="N122" s="2">
        <v>152</v>
      </c>
      <c r="O122" s="2">
        <v>0</v>
      </c>
      <c r="P122" s="2">
        <v>31</v>
      </c>
      <c r="Q122" s="183">
        <f>SUM(N122:P122)</f>
        <v>183</v>
      </c>
      <c r="R122" s="183">
        <f>+E122+I122+M122+Q122</f>
        <v>6957</v>
      </c>
    </row>
    <row r="123" spans="1:18" ht="15.75" customHeight="1" x14ac:dyDescent="0.35">
      <c r="A123" s="462" t="s">
        <v>559</v>
      </c>
      <c r="B123" s="483"/>
      <c r="C123" s="483"/>
      <c r="D123" s="483"/>
      <c r="E123" s="183" t="s">
        <v>852</v>
      </c>
      <c r="F123" s="483"/>
      <c r="G123" s="483"/>
      <c r="H123" s="483"/>
      <c r="I123" s="183" t="s">
        <v>852</v>
      </c>
      <c r="J123" s="483"/>
      <c r="K123" s="483"/>
      <c r="L123" s="483"/>
      <c r="M123" s="183" t="s">
        <v>852</v>
      </c>
      <c r="N123" s="483"/>
      <c r="O123" s="483"/>
      <c r="P123" s="483"/>
      <c r="Q123" s="183" t="s">
        <v>852</v>
      </c>
      <c r="R123" s="183" t="s">
        <v>852</v>
      </c>
    </row>
    <row r="124" spans="1:18" ht="15.75" customHeight="1" thickBot="1" x14ac:dyDescent="0.4">
      <c r="A124" s="484" t="s">
        <v>2032</v>
      </c>
      <c r="B124" s="2">
        <v>0</v>
      </c>
      <c r="C124" s="2">
        <v>0</v>
      </c>
      <c r="D124" s="2">
        <v>0</v>
      </c>
      <c r="E124" s="183">
        <f>SUM(B124:D124)</f>
        <v>0</v>
      </c>
      <c r="F124" s="2">
        <v>0</v>
      </c>
      <c r="G124" s="2">
        <v>0</v>
      </c>
      <c r="H124" s="2">
        <v>0</v>
      </c>
      <c r="I124" s="183">
        <f>SUM(F124:H124)</f>
        <v>0</v>
      </c>
      <c r="J124" s="2">
        <v>0</v>
      </c>
      <c r="K124" s="2">
        <v>0</v>
      </c>
      <c r="L124" s="2">
        <v>0</v>
      </c>
      <c r="M124" s="183">
        <f>SUM(J124:L124)</f>
        <v>0</v>
      </c>
      <c r="N124" s="2">
        <v>0</v>
      </c>
      <c r="O124" s="2">
        <v>0</v>
      </c>
      <c r="P124" s="2">
        <v>0</v>
      </c>
      <c r="Q124" s="183">
        <f>SUM(N124:P124)</f>
        <v>0</v>
      </c>
      <c r="R124" s="183">
        <f>+E124+I124+M124+Q124</f>
        <v>0</v>
      </c>
    </row>
    <row r="125" spans="1:18" ht="15.75" customHeight="1" thickBot="1" x14ac:dyDescent="0.4">
      <c r="A125" s="41" t="s">
        <v>1019</v>
      </c>
      <c r="B125" s="184">
        <f>SUM(B122:B124)</f>
        <v>0</v>
      </c>
      <c r="C125" s="184">
        <f>SUM(C122:C124)</f>
        <v>0</v>
      </c>
      <c r="D125" s="184">
        <f>SUM(D122:D124)</f>
        <v>0</v>
      </c>
      <c r="E125" s="185">
        <f>SUM(B125:D125)</f>
        <v>0</v>
      </c>
      <c r="F125" s="184">
        <f>SUM(F122:F124)</f>
        <v>0</v>
      </c>
      <c r="G125" s="184">
        <f>SUM(G122:G124)</f>
        <v>764</v>
      </c>
      <c r="H125" s="184">
        <f>SUM(H122:H124)</f>
        <v>825</v>
      </c>
      <c r="I125" s="185">
        <f>SUM(F125:H125)</f>
        <v>1589</v>
      </c>
      <c r="J125" s="184">
        <f>SUM(J122:J124)</f>
        <v>2193</v>
      </c>
      <c r="K125" s="184">
        <f>SUM(K122:K124)</f>
        <v>2078</v>
      </c>
      <c r="L125" s="184">
        <f>SUM(L122:L124)</f>
        <v>914</v>
      </c>
      <c r="M125" s="185">
        <f>SUM(J125:L125)</f>
        <v>5185</v>
      </c>
      <c r="N125" s="184">
        <f>SUM(N122:N124)</f>
        <v>152</v>
      </c>
      <c r="O125" s="184">
        <f>SUM(O122:O124)</f>
        <v>0</v>
      </c>
      <c r="P125" s="184">
        <f>SUM(P122:P124)</f>
        <v>31</v>
      </c>
      <c r="Q125" s="185">
        <f>SUM(N125:P125)</f>
        <v>183</v>
      </c>
      <c r="R125" s="56">
        <f>+E125+I125+M125+Q125</f>
        <v>6957</v>
      </c>
    </row>
    <row r="126" spans="1:18" ht="15.75" customHeight="1" thickBot="1" x14ac:dyDescent="0.4">
      <c r="A126" s="41" t="s">
        <v>1221</v>
      </c>
      <c r="B126" s="184">
        <f>SUM(B108:B124)</f>
        <v>6210</v>
      </c>
      <c r="C126" s="184">
        <f>SUM(C108:C124)</f>
        <v>6574</v>
      </c>
      <c r="D126" s="184">
        <f>SUM(D108:D124)</f>
        <v>7807</v>
      </c>
      <c r="E126" s="185">
        <f>SUM(B126:D126)</f>
        <v>20591</v>
      </c>
      <c r="F126" s="184">
        <f>SUM(F108:F124)</f>
        <v>5887</v>
      </c>
      <c r="G126" s="184">
        <f>SUM(G108:G124)</f>
        <v>17882</v>
      </c>
      <c r="H126" s="184">
        <f>SUM(H108:H124)</f>
        <v>12995</v>
      </c>
      <c r="I126" s="185">
        <f>SUM(F126:H126)</f>
        <v>36764</v>
      </c>
      <c r="J126" s="184">
        <f>SUM(J108:J124)</f>
        <v>18330</v>
      </c>
      <c r="K126" s="184">
        <f>SUM(K108:K124)</f>
        <v>20583</v>
      </c>
      <c r="L126" s="184">
        <f>SUM(L108:L124)</f>
        <v>7182</v>
      </c>
      <c r="M126" s="185">
        <f>SUM(J126:L126)</f>
        <v>46095</v>
      </c>
      <c r="N126" s="184">
        <f>SUM(N108:N124)</f>
        <v>23134</v>
      </c>
      <c r="O126" s="184">
        <f>SUM(O108:O124)</f>
        <v>17977</v>
      </c>
      <c r="P126" s="184">
        <f>SUM(P108:P124)</f>
        <v>23294</v>
      </c>
      <c r="Q126" s="185">
        <f>SUM(N126:P126)</f>
        <v>64405</v>
      </c>
      <c r="R126" s="56">
        <f>+E126+I126+M126+Q126</f>
        <v>167855</v>
      </c>
    </row>
    <row r="127" spans="1:18" ht="15.75" customHeight="1" thickBot="1" x14ac:dyDescent="0.4">
      <c r="A127" s="41" t="s">
        <v>1222</v>
      </c>
      <c r="B127" s="184">
        <f>+B89+B96+B107+B126</f>
        <v>10032</v>
      </c>
      <c r="C127" s="184">
        <f>+C89+C96+C107+C126</f>
        <v>19429</v>
      </c>
      <c r="D127" s="184">
        <f>+D89+D96+D107+D126</f>
        <v>28280</v>
      </c>
      <c r="E127" s="56">
        <f>SUM(B127:D127)</f>
        <v>57741</v>
      </c>
      <c r="F127" s="184">
        <f>+F89+F96+F107+F126</f>
        <v>25686</v>
      </c>
      <c r="G127" s="184">
        <f>+G89+G96+G107+G126</f>
        <v>27320</v>
      </c>
      <c r="H127" s="184">
        <f>+H89+H96+H107+H126</f>
        <v>17841</v>
      </c>
      <c r="I127" s="56">
        <f>SUM(F127:H127)</f>
        <v>70847</v>
      </c>
      <c r="J127" s="184">
        <f>+J89+J96+J107+J126</f>
        <v>24842</v>
      </c>
      <c r="K127" s="184">
        <f>+K89+K96+K107+K126</f>
        <v>29297</v>
      </c>
      <c r="L127" s="184">
        <f>+L89+L96+L107+L126</f>
        <v>12035</v>
      </c>
      <c r="M127" s="56">
        <f>SUM(J127:L127)</f>
        <v>66174</v>
      </c>
      <c r="N127" s="184">
        <f>+N89+N96+N107+N126</f>
        <v>25916</v>
      </c>
      <c r="O127" s="184">
        <f>+O89+O96+O107+O126</f>
        <v>21813</v>
      </c>
      <c r="P127" s="184">
        <f>+P89+P96+P107+P126</f>
        <v>26261</v>
      </c>
      <c r="Q127" s="56">
        <f>SUM(N127:P127)</f>
        <v>73990</v>
      </c>
      <c r="R127" s="56">
        <f>+E127+I127+M127+Q127</f>
        <v>268752</v>
      </c>
    </row>
    <row r="128" spans="1:18" ht="15.75" customHeight="1" thickBot="1" x14ac:dyDescent="0.4">
      <c r="A128" s="493" t="s">
        <v>853</v>
      </c>
      <c r="B128" s="459">
        <v>173</v>
      </c>
      <c r="C128" s="459">
        <v>260</v>
      </c>
      <c r="D128" s="459">
        <v>471</v>
      </c>
      <c r="E128" s="183">
        <f>SUM(B128:D128)</f>
        <v>904</v>
      </c>
      <c r="F128" s="459">
        <v>629</v>
      </c>
      <c r="G128" s="459">
        <v>725</v>
      </c>
      <c r="H128" s="459">
        <v>712</v>
      </c>
      <c r="I128" s="183">
        <f>SUM(F128:H128)</f>
        <v>2066</v>
      </c>
      <c r="J128" s="459">
        <v>711</v>
      </c>
      <c r="K128" s="459">
        <v>573</v>
      </c>
      <c r="L128" s="459">
        <v>542</v>
      </c>
      <c r="M128" s="183">
        <f>SUM(J128:L128)</f>
        <v>1826</v>
      </c>
      <c r="N128" s="459">
        <v>490</v>
      </c>
      <c r="O128" s="459">
        <v>407</v>
      </c>
      <c r="P128" s="459">
        <v>323</v>
      </c>
      <c r="Q128" s="183">
        <f>SUM(N128:P128)</f>
        <v>1220</v>
      </c>
      <c r="R128" s="183">
        <f>+E128+I128+M128+Q128</f>
        <v>6016</v>
      </c>
    </row>
    <row r="129" spans="1:18" ht="15.75" customHeight="1" thickBot="1" x14ac:dyDescent="0.4">
      <c r="A129" s="494"/>
      <c r="B129" s="495"/>
      <c r="C129" s="495"/>
      <c r="D129" s="495"/>
      <c r="E129" s="56" t="s">
        <v>852</v>
      </c>
      <c r="F129" s="495"/>
      <c r="G129" s="495"/>
      <c r="H129" s="495"/>
      <c r="I129" s="56" t="s">
        <v>852</v>
      </c>
      <c r="J129" s="495"/>
      <c r="K129" s="495"/>
      <c r="L129" s="495"/>
      <c r="M129" s="56" t="s">
        <v>852</v>
      </c>
      <c r="N129" s="495"/>
      <c r="O129" s="495"/>
      <c r="P129" s="495"/>
      <c r="Q129" s="56" t="s">
        <v>852</v>
      </c>
      <c r="R129" s="56" t="s">
        <v>852</v>
      </c>
    </row>
    <row r="130" spans="1:18" ht="15.75" customHeight="1" x14ac:dyDescent="0.35">
      <c r="A130" s="496" t="s">
        <v>2011</v>
      </c>
      <c r="B130" s="497">
        <f>+B127+B128</f>
        <v>10205</v>
      </c>
      <c r="C130" s="497">
        <f>+C127+C128</f>
        <v>19689</v>
      </c>
      <c r="D130" s="497">
        <f>+D127+D128</f>
        <v>28751</v>
      </c>
      <c r="E130" s="183">
        <f>SUM(B130:D130)</f>
        <v>58645</v>
      </c>
      <c r="F130" s="497">
        <f>+F127+F128</f>
        <v>26315</v>
      </c>
      <c r="G130" s="497">
        <f>+G127+G128</f>
        <v>28045</v>
      </c>
      <c r="H130" s="497">
        <f>+H127+H128</f>
        <v>18553</v>
      </c>
      <c r="I130" s="183">
        <f>SUM(F130:H130)</f>
        <v>72913</v>
      </c>
      <c r="J130" s="497">
        <f>+J127+J128</f>
        <v>25553</v>
      </c>
      <c r="K130" s="497">
        <f>+K127+K128</f>
        <v>29870</v>
      </c>
      <c r="L130" s="497">
        <f>+L127+L128</f>
        <v>12577</v>
      </c>
      <c r="M130" s="183">
        <f>SUM(J130:L130)</f>
        <v>68000</v>
      </c>
      <c r="N130" s="497">
        <f>+N127+N128</f>
        <v>26406</v>
      </c>
      <c r="O130" s="497">
        <f>+O127+O128</f>
        <v>22220</v>
      </c>
      <c r="P130" s="497">
        <f>+P127+P128</f>
        <v>26584</v>
      </c>
      <c r="Q130" s="183">
        <f>SUM(N130:P130)</f>
        <v>75210</v>
      </c>
      <c r="R130" s="183">
        <f>+E130+I130+M130+Q130</f>
        <v>274768</v>
      </c>
    </row>
    <row r="131" spans="1:18" ht="15.75" customHeight="1" x14ac:dyDescent="0.35">
      <c r="A131" s="498" t="s">
        <v>1897</v>
      </c>
      <c r="B131" s="2">
        <f>(B130/31)/1.983</f>
        <v>166.00784084069429</v>
      </c>
      <c r="C131" s="2">
        <f>(C130/28)/1.983</f>
        <v>354.60341473957209</v>
      </c>
      <c r="D131" s="2">
        <f>(D130/31)/1.983</f>
        <v>467.70126722300847</v>
      </c>
      <c r="E131" s="183" t="s">
        <v>852</v>
      </c>
      <c r="F131" s="2">
        <f>(F130/30)/1.983</f>
        <v>442.34325096654896</v>
      </c>
      <c r="G131" s="2">
        <f>(G130/31)/1.983</f>
        <v>456.21655035544057</v>
      </c>
      <c r="H131" s="2">
        <f>(H130/30)/1.983</f>
        <v>311.86754076315344</v>
      </c>
      <c r="I131" s="183" t="s">
        <v>852</v>
      </c>
      <c r="J131" s="2">
        <f>(J130/31)/1.983</f>
        <v>415.67842792770807</v>
      </c>
      <c r="K131" s="2">
        <f>(K130/31)/1.983</f>
        <v>485.90438078506008</v>
      </c>
      <c r="L131" s="2">
        <f>(L130/30)/1.983</f>
        <v>211.41368297192804</v>
      </c>
      <c r="M131" s="183" t="s">
        <v>852</v>
      </c>
      <c r="N131" s="2">
        <f>(N130/31)/1.983</f>
        <v>429.55443853399049</v>
      </c>
      <c r="O131" s="2">
        <f>(O130/30)/1.983</f>
        <v>373.50815263069421</v>
      </c>
      <c r="P131" s="2">
        <f>(P130/31)/1.983</f>
        <v>432.45001870739998</v>
      </c>
      <c r="Q131" s="183" t="s">
        <v>852</v>
      </c>
      <c r="R131" s="183" t="s">
        <v>852</v>
      </c>
    </row>
    <row r="132" spans="1:18" ht="15.75" customHeight="1" x14ac:dyDescent="0.35">
      <c r="A132" s="499" t="s">
        <v>1679</v>
      </c>
      <c r="B132" s="2">
        <f>B130+B246</f>
        <v>172513</v>
      </c>
      <c r="C132" s="2">
        <f>C130+C246</f>
        <v>160176</v>
      </c>
      <c r="D132" s="2">
        <f>D130+D246</f>
        <v>180416</v>
      </c>
      <c r="E132" s="183">
        <f>SUM(B132:D132)</f>
        <v>513105</v>
      </c>
      <c r="F132" s="2">
        <f>F130+F246</f>
        <v>172996</v>
      </c>
      <c r="G132" s="2">
        <f>G130+G246</f>
        <v>164140</v>
      </c>
      <c r="H132" s="2">
        <f>H130+H246</f>
        <v>96144</v>
      </c>
      <c r="I132" s="183">
        <f>SUM(F132:H132)</f>
        <v>433280</v>
      </c>
      <c r="J132" s="2">
        <f>J130+J246</f>
        <v>75259</v>
      </c>
      <c r="K132" s="2">
        <f>K130+K246</f>
        <v>70905</v>
      </c>
      <c r="L132" s="2">
        <f>L130+L246</f>
        <v>142808</v>
      </c>
      <c r="M132" s="183">
        <f>SUM(J132:L132)</f>
        <v>288972</v>
      </c>
      <c r="N132" s="2">
        <f>N130+N246</f>
        <v>135310</v>
      </c>
      <c r="O132" s="2">
        <f>O130+O246</f>
        <v>138130</v>
      </c>
      <c r="P132" s="2">
        <f>P130+P246</f>
        <v>149777</v>
      </c>
      <c r="Q132" s="183">
        <f>SUM(N132:P132)</f>
        <v>423217</v>
      </c>
      <c r="R132" s="183">
        <f>+E132+I132+M132+Q132</f>
        <v>1658574</v>
      </c>
    </row>
    <row r="133" spans="1:18" ht="15.75" customHeight="1" thickBot="1" x14ac:dyDescent="0.4">
      <c r="A133" s="500" t="s">
        <v>6</v>
      </c>
      <c r="B133" s="467">
        <f>(B132/31)/1.983</f>
        <v>2806.3214744684656</v>
      </c>
      <c r="C133" s="467">
        <f>(C132/28)/1.983</f>
        <v>2884.8065701318346</v>
      </c>
      <c r="D133" s="467">
        <f>(D132/31)/1.983</f>
        <v>2934.8819807069772</v>
      </c>
      <c r="E133" s="186" t="s">
        <v>852</v>
      </c>
      <c r="F133" s="467">
        <f>(F132/30)/1.983</f>
        <v>2907.9845352160028</v>
      </c>
      <c r="G133" s="467">
        <f>(G132/31)/1.983</f>
        <v>2670.1153351878061</v>
      </c>
      <c r="H133" s="467">
        <f>(H132/30)/1.983</f>
        <v>1616.1371659102369</v>
      </c>
      <c r="I133" s="186" t="s">
        <v>852</v>
      </c>
      <c r="J133" s="467">
        <f>(J132/31)/1.983</f>
        <v>1224.2610577001283</v>
      </c>
      <c r="K133" s="467">
        <f>(K132/31)/1.983</f>
        <v>1153.4332145820117</v>
      </c>
      <c r="L133" s="467">
        <f>(L132/30)/1.983</f>
        <v>2400.537905530341</v>
      </c>
      <c r="M133" s="186" t="s">
        <v>852</v>
      </c>
      <c r="N133" s="467">
        <f>(N132/31)/1.983</f>
        <v>2201.1289509215426</v>
      </c>
      <c r="O133" s="467">
        <f>(O132/30)/1.983</f>
        <v>2321.9028408135819</v>
      </c>
      <c r="P133" s="467">
        <f>(P132/31)/1.983</f>
        <v>2436.4680428806146</v>
      </c>
      <c r="Q133" s="186" t="s">
        <v>852</v>
      </c>
      <c r="R133" s="186" t="s">
        <v>852</v>
      </c>
    </row>
    <row r="134" spans="1:18" ht="15.75" customHeight="1" x14ac:dyDescent="0.35">
      <c r="A134" s="8"/>
      <c r="B134" s="2"/>
      <c r="C134" s="2"/>
      <c r="D134" s="2"/>
      <c r="E134" s="2"/>
      <c r="F134" s="2"/>
      <c r="G134" s="2"/>
      <c r="H134" s="2"/>
      <c r="I134" s="2"/>
      <c r="J134" s="2"/>
      <c r="K134" s="2"/>
      <c r="L134" s="2"/>
      <c r="M134" s="2"/>
      <c r="N134" s="2"/>
      <c r="O134" s="2"/>
      <c r="P134" s="2"/>
      <c r="Q134" s="2"/>
      <c r="R134" s="187"/>
    </row>
    <row r="135" spans="1:18" ht="15.75" customHeight="1" thickBot="1" x14ac:dyDescent="0.4">
      <c r="A135" s="8" t="s">
        <v>852</v>
      </c>
      <c r="B135" s="2"/>
      <c r="C135" s="2"/>
      <c r="D135" s="2"/>
      <c r="E135" s="2"/>
      <c r="F135" s="2"/>
      <c r="G135" s="2"/>
      <c r="H135" s="2"/>
      <c r="I135" s="2"/>
      <c r="J135" s="2"/>
      <c r="K135" s="2"/>
      <c r="L135" s="2"/>
      <c r="M135" s="2"/>
      <c r="N135" s="2"/>
      <c r="O135" s="2"/>
      <c r="P135" s="2"/>
      <c r="Q135" s="2"/>
      <c r="R135" s="187"/>
    </row>
    <row r="136" spans="1:18" ht="15.75" customHeight="1" thickBot="1" x14ac:dyDescent="0.4">
      <c r="A136" s="470" t="s">
        <v>1446</v>
      </c>
      <c r="B136" s="179" t="s">
        <v>2090</v>
      </c>
      <c r="C136" s="180" t="s">
        <v>2091</v>
      </c>
      <c r="D136" s="180" t="s">
        <v>2234</v>
      </c>
      <c r="E136" s="175" t="s">
        <v>1594</v>
      </c>
      <c r="F136" s="180" t="s">
        <v>2235</v>
      </c>
      <c r="G136" s="180" t="s">
        <v>2236</v>
      </c>
      <c r="H136" s="180" t="s">
        <v>2237</v>
      </c>
      <c r="I136" s="64" t="s">
        <v>1595</v>
      </c>
      <c r="J136" s="180" t="s">
        <v>1504</v>
      </c>
      <c r="K136" s="180" t="s">
        <v>1505</v>
      </c>
      <c r="L136" s="180" t="s">
        <v>1506</v>
      </c>
      <c r="M136" s="64" t="s">
        <v>1596</v>
      </c>
      <c r="N136" s="180" t="s">
        <v>1507</v>
      </c>
      <c r="O136" s="180" t="s">
        <v>1508</v>
      </c>
      <c r="P136" s="180" t="s">
        <v>1509</v>
      </c>
      <c r="Q136" s="64" t="s">
        <v>1597</v>
      </c>
      <c r="R136" s="471" t="s">
        <v>1510</v>
      </c>
    </row>
    <row r="137" spans="1:18" ht="15.75" customHeight="1" thickBot="1" x14ac:dyDescent="0.4">
      <c r="A137" s="494"/>
      <c r="B137" s="495"/>
      <c r="C137" s="495"/>
      <c r="D137" s="495"/>
      <c r="E137" s="501"/>
      <c r="F137" s="495"/>
      <c r="G137" s="495"/>
      <c r="H137" s="495"/>
      <c r="I137" s="501"/>
      <c r="J137" s="495"/>
      <c r="K137" s="495"/>
      <c r="L137" s="495"/>
      <c r="M137" s="501"/>
      <c r="N137" s="495"/>
      <c r="O137" s="495"/>
      <c r="P137" s="495"/>
      <c r="Q137" s="501"/>
      <c r="R137" s="494"/>
    </row>
    <row r="138" spans="1:18" ht="15.75" customHeight="1" x14ac:dyDescent="0.35">
      <c r="A138" s="6" t="s">
        <v>2417</v>
      </c>
      <c r="B138" s="2" t="s">
        <v>852</v>
      </c>
      <c r="C138" s="2" t="s">
        <v>852</v>
      </c>
      <c r="D138" s="2" t="s">
        <v>852</v>
      </c>
      <c r="E138" s="183" t="s">
        <v>852</v>
      </c>
      <c r="F138" s="2" t="s">
        <v>852</v>
      </c>
      <c r="G138" s="2" t="s">
        <v>852</v>
      </c>
      <c r="H138" s="2" t="s">
        <v>852</v>
      </c>
      <c r="I138" s="183" t="s">
        <v>852</v>
      </c>
      <c r="J138" s="2" t="s">
        <v>852</v>
      </c>
      <c r="K138" s="2" t="s">
        <v>852</v>
      </c>
      <c r="L138" s="2" t="s">
        <v>852</v>
      </c>
      <c r="M138" s="183" t="s">
        <v>852</v>
      </c>
      <c r="N138" s="2" t="s">
        <v>852</v>
      </c>
      <c r="O138" s="2" t="s">
        <v>852</v>
      </c>
      <c r="P138" s="2" t="s">
        <v>852</v>
      </c>
      <c r="Q138" s="183" t="s">
        <v>852</v>
      </c>
      <c r="R138" s="502" t="s">
        <v>852</v>
      </c>
    </row>
    <row r="139" spans="1:18" ht="15.75" customHeight="1" x14ac:dyDescent="0.35">
      <c r="A139" s="6" t="s">
        <v>2160</v>
      </c>
      <c r="B139" s="2"/>
      <c r="C139" s="2"/>
      <c r="D139" s="2"/>
      <c r="E139" s="183" t="s">
        <v>852</v>
      </c>
      <c r="F139" s="2"/>
      <c r="G139" s="2"/>
      <c r="H139" s="2"/>
      <c r="I139" s="183" t="s">
        <v>852</v>
      </c>
      <c r="J139" s="2"/>
      <c r="K139" s="2"/>
      <c r="L139" s="2"/>
      <c r="M139" s="183" t="s">
        <v>852</v>
      </c>
      <c r="N139" s="2"/>
      <c r="O139" s="2"/>
      <c r="P139" s="2"/>
      <c r="Q139" s="183" t="s">
        <v>852</v>
      </c>
      <c r="R139" s="502"/>
    </row>
    <row r="140" spans="1:18" ht="15.75" customHeight="1" x14ac:dyDescent="0.35">
      <c r="A140" s="9" t="s">
        <v>1588</v>
      </c>
      <c r="B140" s="2">
        <v>0</v>
      </c>
      <c r="C140" s="2">
        <v>0</v>
      </c>
      <c r="D140" s="2">
        <v>0</v>
      </c>
      <c r="E140" s="183">
        <f>SUM(B140:D140)</f>
        <v>0</v>
      </c>
      <c r="F140" s="2">
        <v>0</v>
      </c>
      <c r="G140" s="2">
        <v>0</v>
      </c>
      <c r="H140" s="2">
        <v>0</v>
      </c>
      <c r="I140" s="183">
        <f>SUM(F140:H140)</f>
        <v>0</v>
      </c>
      <c r="J140" s="2">
        <v>0</v>
      </c>
      <c r="K140" s="2">
        <v>0</v>
      </c>
      <c r="L140" s="2">
        <v>0</v>
      </c>
      <c r="M140" s="183">
        <f>SUM(J140:L140)</f>
        <v>0</v>
      </c>
      <c r="N140" s="2">
        <v>0</v>
      </c>
      <c r="O140" s="2">
        <v>0</v>
      </c>
      <c r="P140" s="2">
        <v>0</v>
      </c>
      <c r="Q140" s="183">
        <f>SUM(N140:P140)</f>
        <v>0</v>
      </c>
      <c r="R140" s="183">
        <f>+E140+I140+M140+Q140</f>
        <v>0</v>
      </c>
    </row>
    <row r="141" spans="1:18" ht="15.75" customHeight="1" x14ac:dyDescent="0.35">
      <c r="A141" s="503" t="s">
        <v>2365</v>
      </c>
      <c r="B141" s="2">
        <v>0</v>
      </c>
      <c r="C141" s="2">
        <v>0</v>
      </c>
      <c r="D141" s="2">
        <v>1725</v>
      </c>
      <c r="E141" s="183">
        <f>SUM(B141:D141)</f>
        <v>1725</v>
      </c>
      <c r="F141" s="2">
        <v>2658</v>
      </c>
      <c r="G141" s="2">
        <v>2801</v>
      </c>
      <c r="H141" s="2">
        <v>2905</v>
      </c>
      <c r="I141" s="183">
        <f>SUM(F141:H141)</f>
        <v>8364</v>
      </c>
      <c r="J141" s="2">
        <v>2325</v>
      </c>
      <c r="K141" s="2">
        <v>2215</v>
      </c>
      <c r="L141" s="2">
        <v>1534</v>
      </c>
      <c r="M141" s="183">
        <f>SUM(J141:L141)</f>
        <v>6074</v>
      </c>
      <c r="N141" s="2">
        <v>17</v>
      </c>
      <c r="O141" s="2">
        <v>0</v>
      </c>
      <c r="P141" s="2">
        <v>241</v>
      </c>
      <c r="Q141" s="183">
        <f>SUM(N141:P141)</f>
        <v>258</v>
      </c>
      <c r="R141" s="183">
        <f>+E141+I141+M141+Q141</f>
        <v>16421</v>
      </c>
    </row>
    <row r="142" spans="1:18" ht="15.75" customHeight="1" x14ac:dyDescent="0.35">
      <c r="A142" s="9" t="s">
        <v>2238</v>
      </c>
      <c r="B142" s="2">
        <v>8</v>
      </c>
      <c r="C142" s="2">
        <v>8</v>
      </c>
      <c r="D142" s="2">
        <v>12</v>
      </c>
      <c r="E142" s="183">
        <f t="shared" ref="E142:E156" si="24">SUM(B142:D142)</f>
        <v>28</v>
      </c>
      <c r="F142" s="2">
        <v>10</v>
      </c>
      <c r="G142" s="2">
        <v>14</v>
      </c>
      <c r="H142" s="2">
        <v>12</v>
      </c>
      <c r="I142" s="183">
        <f t="shared" ref="I142:I156" si="25">SUM(F142:H142)</f>
        <v>36</v>
      </c>
      <c r="J142" s="2">
        <v>19</v>
      </c>
      <c r="K142" s="2">
        <v>20</v>
      </c>
      <c r="L142" s="2">
        <v>19</v>
      </c>
      <c r="M142" s="183">
        <f t="shared" ref="M142:M156" si="26">SUM(J142:L142)</f>
        <v>58</v>
      </c>
      <c r="N142" s="2">
        <v>26</v>
      </c>
      <c r="O142" s="2">
        <v>18</v>
      </c>
      <c r="P142" s="2">
        <v>6</v>
      </c>
      <c r="Q142" s="183">
        <f t="shared" ref="Q142:Q156" si="27">SUM(N142:P142)</f>
        <v>50</v>
      </c>
      <c r="R142" s="183">
        <f t="shared" ref="R142:R156" si="28">+E142+I142+M142+Q142</f>
        <v>172</v>
      </c>
    </row>
    <row r="143" spans="1:18" ht="15.75" customHeight="1" x14ac:dyDescent="0.35">
      <c r="A143" s="503" t="s">
        <v>710</v>
      </c>
      <c r="B143" s="2">
        <v>1000</v>
      </c>
      <c r="C143" s="2">
        <v>2194</v>
      </c>
      <c r="D143" s="2">
        <v>1762</v>
      </c>
      <c r="E143" s="183">
        <f t="shared" si="24"/>
        <v>4956</v>
      </c>
      <c r="F143" s="2">
        <v>460</v>
      </c>
      <c r="G143" s="2">
        <v>0</v>
      </c>
      <c r="H143" s="2">
        <v>0</v>
      </c>
      <c r="I143" s="183">
        <f t="shared" si="25"/>
        <v>460</v>
      </c>
      <c r="J143" s="2">
        <v>0</v>
      </c>
      <c r="K143" s="2">
        <v>0</v>
      </c>
      <c r="L143" s="2">
        <v>0</v>
      </c>
      <c r="M143" s="183">
        <f t="shared" si="26"/>
        <v>0</v>
      </c>
      <c r="N143" s="2">
        <v>0</v>
      </c>
      <c r="O143" s="2">
        <v>0</v>
      </c>
      <c r="P143" s="2">
        <v>0</v>
      </c>
      <c r="Q143" s="183">
        <f t="shared" si="27"/>
        <v>0</v>
      </c>
      <c r="R143" s="183">
        <f t="shared" si="28"/>
        <v>5416</v>
      </c>
    </row>
    <row r="144" spans="1:18" ht="15.75" customHeight="1" x14ac:dyDescent="0.35">
      <c r="A144" s="503" t="s">
        <v>957</v>
      </c>
      <c r="B144" s="2">
        <v>2266</v>
      </c>
      <c r="C144" s="2">
        <v>1418</v>
      </c>
      <c r="D144" s="2">
        <v>1859</v>
      </c>
      <c r="E144" s="183">
        <f t="shared" si="24"/>
        <v>5543</v>
      </c>
      <c r="F144" s="2">
        <v>1161</v>
      </c>
      <c r="G144" s="2">
        <v>406</v>
      </c>
      <c r="H144" s="2">
        <v>636</v>
      </c>
      <c r="I144" s="183">
        <f t="shared" si="25"/>
        <v>2203</v>
      </c>
      <c r="J144" s="2">
        <v>0</v>
      </c>
      <c r="K144" s="2">
        <v>0</v>
      </c>
      <c r="L144" s="2">
        <v>0</v>
      </c>
      <c r="M144" s="183">
        <f t="shared" si="26"/>
        <v>0</v>
      </c>
      <c r="N144" s="2">
        <v>0</v>
      </c>
      <c r="O144" s="2">
        <v>0</v>
      </c>
      <c r="P144" s="2">
        <v>0</v>
      </c>
      <c r="Q144" s="183">
        <f t="shared" si="27"/>
        <v>0</v>
      </c>
      <c r="R144" s="183">
        <f t="shared" si="28"/>
        <v>7746</v>
      </c>
    </row>
    <row r="145" spans="1:18" ht="15.75" customHeight="1" x14ac:dyDescent="0.35">
      <c r="A145" s="9" t="s">
        <v>1880</v>
      </c>
      <c r="B145" s="2">
        <v>20</v>
      </c>
      <c r="C145" s="2">
        <v>20</v>
      </c>
      <c r="D145" s="2">
        <v>30</v>
      </c>
      <c r="E145" s="183">
        <f t="shared" si="24"/>
        <v>70</v>
      </c>
      <c r="F145" s="2">
        <v>40</v>
      </c>
      <c r="G145" s="2">
        <v>45</v>
      </c>
      <c r="H145" s="2">
        <v>55</v>
      </c>
      <c r="I145" s="183">
        <f t="shared" si="25"/>
        <v>140</v>
      </c>
      <c r="J145" s="2">
        <v>56</v>
      </c>
      <c r="K145" s="2">
        <v>54</v>
      </c>
      <c r="L145" s="2">
        <v>52</v>
      </c>
      <c r="M145" s="183">
        <f t="shared" si="26"/>
        <v>162</v>
      </c>
      <c r="N145" s="2">
        <v>53</v>
      </c>
      <c r="O145" s="2">
        <v>72</v>
      </c>
      <c r="P145" s="2">
        <v>44</v>
      </c>
      <c r="Q145" s="183">
        <f t="shared" si="27"/>
        <v>169</v>
      </c>
      <c r="R145" s="183">
        <f t="shared" si="28"/>
        <v>541</v>
      </c>
    </row>
    <row r="146" spans="1:18" ht="15.75" customHeight="1" x14ac:dyDescent="0.35">
      <c r="A146" s="9" t="s">
        <v>703</v>
      </c>
      <c r="B146" s="2">
        <v>126</v>
      </c>
      <c r="C146" s="2">
        <v>112</v>
      </c>
      <c r="D146" s="2">
        <v>146</v>
      </c>
      <c r="E146" s="183">
        <f t="shared" si="24"/>
        <v>384</v>
      </c>
      <c r="F146" s="2">
        <v>143</v>
      </c>
      <c r="G146" s="2">
        <v>182</v>
      </c>
      <c r="H146" s="2">
        <v>179</v>
      </c>
      <c r="I146" s="183">
        <f t="shared" si="25"/>
        <v>504</v>
      </c>
      <c r="J146" s="2">
        <v>210</v>
      </c>
      <c r="K146" s="2">
        <v>202</v>
      </c>
      <c r="L146" s="2">
        <v>187</v>
      </c>
      <c r="M146" s="183">
        <f t="shared" si="26"/>
        <v>599</v>
      </c>
      <c r="N146" s="2">
        <v>170</v>
      </c>
      <c r="O146" s="2">
        <v>148</v>
      </c>
      <c r="P146" s="2">
        <v>132</v>
      </c>
      <c r="Q146" s="183">
        <f t="shared" si="27"/>
        <v>450</v>
      </c>
      <c r="R146" s="183">
        <f t="shared" si="28"/>
        <v>1937</v>
      </c>
    </row>
    <row r="147" spans="1:18" ht="15.75" customHeight="1" x14ac:dyDescent="0.35">
      <c r="A147" s="9" t="s">
        <v>2304</v>
      </c>
      <c r="B147" s="2">
        <v>0</v>
      </c>
      <c r="C147" s="2">
        <v>0</v>
      </c>
      <c r="D147" s="2">
        <v>0</v>
      </c>
      <c r="E147" s="183">
        <f t="shared" si="24"/>
        <v>0</v>
      </c>
      <c r="F147" s="2">
        <v>0</v>
      </c>
      <c r="G147" s="2">
        <v>0</v>
      </c>
      <c r="H147" s="2">
        <v>0</v>
      </c>
      <c r="I147" s="183">
        <f t="shared" si="25"/>
        <v>0</v>
      </c>
      <c r="J147" s="2">
        <v>0</v>
      </c>
      <c r="K147" s="2">
        <v>0</v>
      </c>
      <c r="L147" s="2">
        <v>0</v>
      </c>
      <c r="M147" s="183">
        <f t="shared" si="26"/>
        <v>0</v>
      </c>
      <c r="N147" s="2">
        <v>0</v>
      </c>
      <c r="O147" s="2">
        <v>0</v>
      </c>
      <c r="P147" s="2">
        <v>0</v>
      </c>
      <c r="Q147" s="183">
        <f t="shared" si="27"/>
        <v>0</v>
      </c>
      <c r="R147" s="183">
        <f t="shared" si="28"/>
        <v>0</v>
      </c>
    </row>
    <row r="148" spans="1:18" ht="15.75" customHeight="1" x14ac:dyDescent="0.35">
      <c r="A148" s="9" t="s">
        <v>1676</v>
      </c>
      <c r="B148" s="2">
        <v>407</v>
      </c>
      <c r="C148" s="2">
        <v>375</v>
      </c>
      <c r="D148" s="2">
        <v>479</v>
      </c>
      <c r="E148" s="183">
        <f t="shared" si="24"/>
        <v>1261</v>
      </c>
      <c r="F148" s="2">
        <v>504</v>
      </c>
      <c r="G148" s="2">
        <v>582</v>
      </c>
      <c r="H148" s="2">
        <v>594</v>
      </c>
      <c r="I148" s="183">
        <f t="shared" si="25"/>
        <v>1680</v>
      </c>
      <c r="J148" s="2">
        <v>678</v>
      </c>
      <c r="K148" s="2">
        <v>715</v>
      </c>
      <c r="L148" s="2">
        <v>621</v>
      </c>
      <c r="M148" s="183">
        <f t="shared" si="26"/>
        <v>2014</v>
      </c>
      <c r="N148" s="2">
        <v>665</v>
      </c>
      <c r="O148" s="2">
        <v>524</v>
      </c>
      <c r="P148" s="2">
        <v>442</v>
      </c>
      <c r="Q148" s="183">
        <f t="shared" si="27"/>
        <v>1631</v>
      </c>
      <c r="R148" s="183">
        <f t="shared" si="28"/>
        <v>6586</v>
      </c>
    </row>
    <row r="149" spans="1:18" ht="15.75" customHeight="1" x14ac:dyDescent="0.35">
      <c r="A149" s="9" t="s">
        <v>290</v>
      </c>
      <c r="B149" s="2">
        <v>0</v>
      </c>
      <c r="C149" s="2">
        <v>0</v>
      </c>
      <c r="D149" s="2">
        <v>0</v>
      </c>
      <c r="E149" s="183">
        <f>SUM(B149:D149)</f>
        <v>0</v>
      </c>
      <c r="F149" s="2">
        <v>0</v>
      </c>
      <c r="G149" s="2">
        <v>508</v>
      </c>
      <c r="H149" s="2">
        <v>0</v>
      </c>
      <c r="I149" s="183">
        <f>SUM(F149:H149)</f>
        <v>508</v>
      </c>
      <c r="J149" s="2">
        <v>0</v>
      </c>
      <c r="K149" s="2">
        <v>0</v>
      </c>
      <c r="L149" s="2">
        <v>0</v>
      </c>
      <c r="M149" s="183">
        <f>SUM(J149:L149)</f>
        <v>0</v>
      </c>
      <c r="N149" s="2">
        <v>0</v>
      </c>
      <c r="O149" s="2">
        <v>0</v>
      </c>
      <c r="P149" s="2">
        <v>0</v>
      </c>
      <c r="Q149" s="183">
        <f>SUM(N149:P149)</f>
        <v>0</v>
      </c>
      <c r="R149" s="183">
        <f>+E149+I149+M149+Q149</f>
        <v>508</v>
      </c>
    </row>
    <row r="150" spans="1:18" ht="15.75" customHeight="1" x14ac:dyDescent="0.35">
      <c r="A150" s="9" t="s">
        <v>347</v>
      </c>
      <c r="B150" s="2">
        <v>0</v>
      </c>
      <c r="C150" s="2">
        <v>0</v>
      </c>
      <c r="D150" s="2">
        <v>0</v>
      </c>
      <c r="E150" s="183">
        <f>SUM(B150:D150)</f>
        <v>0</v>
      </c>
      <c r="F150" s="2">
        <v>0</v>
      </c>
      <c r="G150" s="2">
        <v>0</v>
      </c>
      <c r="H150" s="2">
        <v>0</v>
      </c>
      <c r="I150" s="183">
        <f>SUM(F150:H150)</f>
        <v>0</v>
      </c>
      <c r="J150" s="2">
        <v>35</v>
      </c>
      <c r="K150" s="2">
        <v>77</v>
      </c>
      <c r="L150" s="2">
        <v>0</v>
      </c>
      <c r="M150" s="183">
        <f>SUM(J150:L150)</f>
        <v>112</v>
      </c>
      <c r="N150" s="2">
        <v>0</v>
      </c>
      <c r="O150" s="2">
        <v>0</v>
      </c>
      <c r="P150" s="2">
        <v>0</v>
      </c>
      <c r="Q150" s="183">
        <f>SUM(N150:P150)</f>
        <v>0</v>
      </c>
      <c r="R150" s="183">
        <f>+E150+I150+M150+Q150</f>
        <v>112</v>
      </c>
    </row>
    <row r="151" spans="1:18" ht="15.75" customHeight="1" x14ac:dyDescent="0.35">
      <c r="A151" s="9" t="s">
        <v>1779</v>
      </c>
      <c r="B151" s="2">
        <v>0</v>
      </c>
      <c r="C151" s="2">
        <v>0</v>
      </c>
      <c r="D151" s="2">
        <v>0</v>
      </c>
      <c r="E151" s="183">
        <f>SUM(B151:D151)</f>
        <v>0</v>
      </c>
      <c r="F151" s="2">
        <v>2289</v>
      </c>
      <c r="G151" s="2">
        <v>2425</v>
      </c>
      <c r="H151" s="2">
        <v>2330</v>
      </c>
      <c r="I151" s="183">
        <f>SUM(F151:H151)</f>
        <v>7044</v>
      </c>
      <c r="J151" s="2">
        <v>2103</v>
      </c>
      <c r="K151" s="2">
        <v>1928</v>
      </c>
      <c r="L151" s="2">
        <v>1511</v>
      </c>
      <c r="M151" s="183">
        <f>SUM(J151:L151)</f>
        <v>5542</v>
      </c>
      <c r="N151" s="2">
        <v>1406</v>
      </c>
      <c r="O151" s="2">
        <v>1301</v>
      </c>
      <c r="P151" s="2">
        <v>1507</v>
      </c>
      <c r="Q151" s="183">
        <f>SUM(N151:P151)</f>
        <v>4214</v>
      </c>
      <c r="R151" s="183">
        <f>+E151+I151+M151+Q151</f>
        <v>16800</v>
      </c>
    </row>
    <row r="152" spans="1:18" ht="15.75" customHeight="1" x14ac:dyDescent="0.35">
      <c r="A152" s="9" t="s">
        <v>1879</v>
      </c>
      <c r="B152" s="2">
        <v>21</v>
      </c>
      <c r="C152" s="2">
        <v>32</v>
      </c>
      <c r="D152" s="2">
        <v>60</v>
      </c>
      <c r="E152" s="183">
        <f>SUM(B152:D152)</f>
        <v>113</v>
      </c>
      <c r="F152" s="2">
        <v>64</v>
      </c>
      <c r="G152" s="2">
        <v>86</v>
      </c>
      <c r="H152" s="2">
        <v>85</v>
      </c>
      <c r="I152" s="183">
        <f>SUM(F152:H152)</f>
        <v>235</v>
      </c>
      <c r="J152" s="2">
        <v>112</v>
      </c>
      <c r="K152" s="2">
        <v>108</v>
      </c>
      <c r="L152" s="2">
        <v>82</v>
      </c>
      <c r="M152" s="183">
        <f>SUM(J152:L152)</f>
        <v>302</v>
      </c>
      <c r="N152" s="2">
        <v>15</v>
      </c>
      <c r="O152" s="2">
        <v>0</v>
      </c>
      <c r="P152" s="2">
        <v>0</v>
      </c>
      <c r="Q152" s="183">
        <f>SUM(N152:P152)</f>
        <v>15</v>
      </c>
      <c r="R152" s="183">
        <f>+E152+I152+M152+Q152</f>
        <v>665</v>
      </c>
    </row>
    <row r="153" spans="1:18" ht="15.75" customHeight="1" x14ac:dyDescent="0.35">
      <c r="A153" s="503" t="s">
        <v>1647</v>
      </c>
      <c r="B153" s="2">
        <v>1970</v>
      </c>
      <c r="C153" s="2">
        <v>2034</v>
      </c>
      <c r="D153" s="2">
        <v>1948</v>
      </c>
      <c r="E153" s="183">
        <f>SUM(B153:D153)</f>
        <v>5952</v>
      </c>
      <c r="F153" s="2">
        <v>634</v>
      </c>
      <c r="G153" s="2">
        <v>2707</v>
      </c>
      <c r="H153" s="2">
        <v>854</v>
      </c>
      <c r="I153" s="183">
        <f>SUM(F153:H153)</f>
        <v>4195</v>
      </c>
      <c r="J153" s="2">
        <v>1033</v>
      </c>
      <c r="K153" s="2">
        <v>1040</v>
      </c>
      <c r="L153" s="2">
        <v>998</v>
      </c>
      <c r="M153" s="183">
        <f>SUM(J153:L153)</f>
        <v>3071</v>
      </c>
      <c r="N153" s="2">
        <v>1022</v>
      </c>
      <c r="O153" s="2">
        <v>788</v>
      </c>
      <c r="P153" s="2">
        <v>616</v>
      </c>
      <c r="Q153" s="183">
        <f>SUM(N153:P153)</f>
        <v>2426</v>
      </c>
      <c r="R153" s="183">
        <f>+E153+I153+M153+Q153</f>
        <v>15644</v>
      </c>
    </row>
    <row r="154" spans="1:18" ht="15.75" customHeight="1" x14ac:dyDescent="0.35">
      <c r="A154" s="9" t="s">
        <v>2426</v>
      </c>
      <c r="B154" s="2">
        <v>7939</v>
      </c>
      <c r="C154" s="2">
        <v>7264</v>
      </c>
      <c r="D154" s="2">
        <v>9634</v>
      </c>
      <c r="E154" s="183">
        <f t="shared" si="24"/>
        <v>24837</v>
      </c>
      <c r="F154" s="2">
        <v>10357</v>
      </c>
      <c r="G154" s="2">
        <v>950</v>
      </c>
      <c r="H154" s="2">
        <v>0</v>
      </c>
      <c r="I154" s="183">
        <f t="shared" si="25"/>
        <v>11307</v>
      </c>
      <c r="J154" s="2">
        <v>16125</v>
      </c>
      <c r="K154" s="2">
        <v>15854</v>
      </c>
      <c r="L154" s="2">
        <v>12925</v>
      </c>
      <c r="M154" s="183">
        <f t="shared" si="26"/>
        <v>44904</v>
      </c>
      <c r="N154" s="2">
        <v>15494</v>
      </c>
      <c r="O154" s="2">
        <v>8401</v>
      </c>
      <c r="P154" s="2">
        <v>8429</v>
      </c>
      <c r="Q154" s="183">
        <f t="shared" si="27"/>
        <v>32324</v>
      </c>
      <c r="R154" s="183">
        <f t="shared" si="28"/>
        <v>113372</v>
      </c>
    </row>
    <row r="155" spans="1:18" ht="15.75" customHeight="1" x14ac:dyDescent="0.35">
      <c r="A155" s="9" t="s">
        <v>2239</v>
      </c>
      <c r="B155" s="2">
        <v>15</v>
      </c>
      <c r="C155" s="2">
        <v>15</v>
      </c>
      <c r="D155" s="2">
        <v>24</v>
      </c>
      <c r="E155" s="183">
        <f t="shared" si="24"/>
        <v>54</v>
      </c>
      <c r="F155" s="2">
        <v>24</v>
      </c>
      <c r="G155" s="2">
        <v>25</v>
      </c>
      <c r="H155" s="2">
        <v>25</v>
      </c>
      <c r="I155" s="183">
        <f t="shared" si="25"/>
        <v>74</v>
      </c>
      <c r="J155" s="2">
        <v>25</v>
      </c>
      <c r="K155" s="2">
        <v>25</v>
      </c>
      <c r="L155" s="2">
        <v>25</v>
      </c>
      <c r="M155" s="183">
        <f t="shared" si="26"/>
        <v>75</v>
      </c>
      <c r="N155" s="2">
        <v>18</v>
      </c>
      <c r="O155" s="2">
        <v>18</v>
      </c>
      <c r="P155" s="2">
        <v>18</v>
      </c>
      <c r="Q155" s="183">
        <f t="shared" si="27"/>
        <v>54</v>
      </c>
      <c r="R155" s="183">
        <f t="shared" si="28"/>
        <v>257</v>
      </c>
    </row>
    <row r="156" spans="1:18" ht="15.75" customHeight="1" x14ac:dyDescent="0.35">
      <c r="A156" s="9" t="s">
        <v>1520</v>
      </c>
      <c r="B156" s="2">
        <v>3283</v>
      </c>
      <c r="C156" s="2">
        <v>2005</v>
      </c>
      <c r="D156" s="2">
        <v>4085</v>
      </c>
      <c r="E156" s="183">
        <f t="shared" si="24"/>
        <v>9373</v>
      </c>
      <c r="F156" s="2">
        <v>4356</v>
      </c>
      <c r="G156" s="2">
        <v>5129</v>
      </c>
      <c r="H156" s="2">
        <v>5243</v>
      </c>
      <c r="I156" s="183">
        <f t="shared" si="25"/>
        <v>14728</v>
      </c>
      <c r="J156" s="2">
        <v>5635</v>
      </c>
      <c r="K156" s="2">
        <v>5349</v>
      </c>
      <c r="L156" s="2">
        <v>4556</v>
      </c>
      <c r="M156" s="183">
        <f t="shared" si="26"/>
        <v>15540</v>
      </c>
      <c r="N156" s="2">
        <v>5208</v>
      </c>
      <c r="O156" s="2">
        <v>4379</v>
      </c>
      <c r="P156" s="2">
        <v>3866</v>
      </c>
      <c r="Q156" s="183">
        <f t="shared" si="27"/>
        <v>13453</v>
      </c>
      <c r="R156" s="183">
        <f t="shared" si="28"/>
        <v>53094</v>
      </c>
    </row>
    <row r="157" spans="1:18" ht="15.75" customHeight="1" x14ac:dyDescent="0.35">
      <c r="A157" s="503" t="s">
        <v>1462</v>
      </c>
      <c r="B157" s="2">
        <v>0</v>
      </c>
      <c r="C157" s="2">
        <v>0</v>
      </c>
      <c r="D157" s="2">
        <v>0</v>
      </c>
      <c r="E157" s="183">
        <f>SUM(B157:D157)</f>
        <v>0</v>
      </c>
      <c r="F157" s="2">
        <v>0</v>
      </c>
      <c r="G157" s="2">
        <v>0</v>
      </c>
      <c r="H157" s="2">
        <v>1626</v>
      </c>
      <c r="I157" s="183">
        <f>SUM(F157:H157)</f>
        <v>1626</v>
      </c>
      <c r="J157" s="2">
        <v>2189</v>
      </c>
      <c r="K157" s="2">
        <v>1966</v>
      </c>
      <c r="L157" s="2">
        <v>0</v>
      </c>
      <c r="M157" s="183">
        <f>SUM(J157:L157)</f>
        <v>4155</v>
      </c>
      <c r="N157" s="2">
        <v>990</v>
      </c>
      <c r="O157" s="2">
        <v>1689</v>
      </c>
      <c r="P157" s="2">
        <v>1789</v>
      </c>
      <c r="Q157" s="183">
        <f>SUM(N157:P157)</f>
        <v>4468</v>
      </c>
      <c r="R157" s="183">
        <f>+E157+I157+M157+Q157</f>
        <v>10249</v>
      </c>
    </row>
    <row r="158" spans="1:18" ht="15.75" customHeight="1" x14ac:dyDescent="0.35">
      <c r="A158" s="9" t="s">
        <v>346</v>
      </c>
      <c r="B158" s="2">
        <v>0</v>
      </c>
      <c r="C158" s="2">
        <v>0</v>
      </c>
      <c r="D158" s="2">
        <v>0</v>
      </c>
      <c r="E158" s="183">
        <f>SUM(B158:D158)</f>
        <v>0</v>
      </c>
      <c r="F158" s="2">
        <v>22</v>
      </c>
      <c r="G158" s="2">
        <v>350</v>
      </c>
      <c r="H158" s="2">
        <v>400</v>
      </c>
      <c r="I158" s="183">
        <f>SUM(F158:H158)</f>
        <v>772</v>
      </c>
      <c r="J158" s="2">
        <v>503</v>
      </c>
      <c r="K158" s="2">
        <v>471</v>
      </c>
      <c r="L158" s="2">
        <v>456</v>
      </c>
      <c r="M158" s="183">
        <f>SUM(J158:L158)</f>
        <v>1430</v>
      </c>
      <c r="N158" s="2">
        <v>613</v>
      </c>
      <c r="O158" s="2">
        <v>366</v>
      </c>
      <c r="P158" s="2">
        <v>250</v>
      </c>
      <c r="Q158" s="183">
        <f>SUM(N158:P158)</f>
        <v>1229</v>
      </c>
      <c r="R158" s="183">
        <f>+E158+I158+M158+Q158</f>
        <v>3431</v>
      </c>
    </row>
    <row r="159" spans="1:18" ht="15.75" customHeight="1" x14ac:dyDescent="0.35">
      <c r="A159" s="9" t="s">
        <v>1912</v>
      </c>
      <c r="B159" s="2">
        <v>2</v>
      </c>
      <c r="C159" s="2">
        <v>2</v>
      </c>
      <c r="D159" s="2">
        <v>2</v>
      </c>
      <c r="E159" s="183">
        <f>SUM(B159:D159)</f>
        <v>6</v>
      </c>
      <c r="F159" s="2">
        <v>3</v>
      </c>
      <c r="G159" s="2">
        <v>3</v>
      </c>
      <c r="H159" s="2">
        <v>3</v>
      </c>
      <c r="I159" s="183">
        <f>SUM(F159:H159)</f>
        <v>9</v>
      </c>
      <c r="J159" s="2">
        <v>3</v>
      </c>
      <c r="K159" s="2">
        <v>3</v>
      </c>
      <c r="L159" s="2">
        <v>3</v>
      </c>
      <c r="M159" s="183">
        <f>SUM(J159:L159)</f>
        <v>9</v>
      </c>
      <c r="N159" s="2">
        <v>3</v>
      </c>
      <c r="O159" s="2">
        <v>3</v>
      </c>
      <c r="P159" s="2">
        <v>2</v>
      </c>
      <c r="Q159" s="183">
        <f>SUM(N159:P159)</f>
        <v>8</v>
      </c>
      <c r="R159" s="183">
        <f>+E159+I159+M159+Q159</f>
        <v>32</v>
      </c>
    </row>
    <row r="160" spans="1:18" ht="15.75" customHeight="1" x14ac:dyDescent="0.35">
      <c r="A160" s="6" t="s">
        <v>2161</v>
      </c>
      <c r="B160" s="2"/>
      <c r="C160" s="2"/>
      <c r="D160" s="2"/>
      <c r="E160" s="183" t="s">
        <v>852</v>
      </c>
      <c r="F160" s="2"/>
      <c r="G160" s="2"/>
      <c r="H160" s="2"/>
      <c r="I160" s="183" t="s">
        <v>852</v>
      </c>
      <c r="J160" s="2"/>
      <c r="K160" s="2"/>
      <c r="L160" s="2"/>
      <c r="M160" s="183" t="s">
        <v>852</v>
      </c>
      <c r="N160" s="2"/>
      <c r="O160" s="2"/>
      <c r="P160" s="2"/>
      <c r="Q160" s="183" t="s">
        <v>852</v>
      </c>
      <c r="R160" s="183" t="s">
        <v>852</v>
      </c>
    </row>
    <row r="161" spans="1:18" ht="15.75" customHeight="1" x14ac:dyDescent="0.35">
      <c r="A161" s="9" t="s">
        <v>2368</v>
      </c>
      <c r="B161" s="2">
        <v>20</v>
      </c>
      <c r="C161" s="2">
        <v>22</v>
      </c>
      <c r="D161" s="2">
        <v>36</v>
      </c>
      <c r="E161" s="183">
        <f t="shared" ref="E161:E169" si="29">SUM(B161:D161)</f>
        <v>78</v>
      </c>
      <c r="F161" s="2">
        <v>44</v>
      </c>
      <c r="G161" s="2">
        <v>49</v>
      </c>
      <c r="H161" s="2">
        <v>52</v>
      </c>
      <c r="I161" s="183">
        <f t="shared" ref="I161:I169" si="30">SUM(F161:H161)</f>
        <v>145</v>
      </c>
      <c r="J161" s="2">
        <v>79</v>
      </c>
      <c r="K161" s="2">
        <v>33</v>
      </c>
      <c r="L161" s="2">
        <v>37</v>
      </c>
      <c r="M161" s="183">
        <f t="shared" ref="M161:M169" si="31">SUM(J161:L161)</f>
        <v>149</v>
      </c>
      <c r="N161" s="2">
        <v>63</v>
      </c>
      <c r="O161" s="2">
        <v>35</v>
      </c>
      <c r="P161" s="2">
        <v>18</v>
      </c>
      <c r="Q161" s="183">
        <f t="shared" ref="Q161:Q169" si="32">SUM(N161:P161)</f>
        <v>116</v>
      </c>
      <c r="R161" s="183">
        <f t="shared" ref="R161:R169" si="33">+E161+I161+M161+Q161</f>
        <v>488</v>
      </c>
    </row>
    <row r="162" spans="1:18" ht="15.75" customHeight="1" x14ac:dyDescent="0.35">
      <c r="A162" s="9" t="s">
        <v>1747</v>
      </c>
      <c r="B162" s="2">
        <v>3</v>
      </c>
      <c r="C162" s="2">
        <v>4</v>
      </c>
      <c r="D162" s="2">
        <v>19</v>
      </c>
      <c r="E162" s="183">
        <f t="shared" si="29"/>
        <v>26</v>
      </c>
      <c r="F162" s="2">
        <v>9</v>
      </c>
      <c r="G162" s="2">
        <v>22</v>
      </c>
      <c r="H162" s="2">
        <v>21</v>
      </c>
      <c r="I162" s="183">
        <f t="shared" si="30"/>
        <v>52</v>
      </c>
      <c r="J162" s="2">
        <v>24</v>
      </c>
      <c r="K162" s="2">
        <v>19</v>
      </c>
      <c r="L162" s="2">
        <v>21</v>
      </c>
      <c r="M162" s="183">
        <f t="shared" si="31"/>
        <v>64</v>
      </c>
      <c r="N162" s="2">
        <v>15</v>
      </c>
      <c r="O162" s="2">
        <v>9</v>
      </c>
      <c r="P162" s="2">
        <v>1</v>
      </c>
      <c r="Q162" s="183">
        <f t="shared" si="32"/>
        <v>25</v>
      </c>
      <c r="R162" s="183">
        <f t="shared" si="33"/>
        <v>167</v>
      </c>
    </row>
    <row r="163" spans="1:18" ht="15.75" customHeight="1" x14ac:dyDescent="0.35">
      <c r="A163" s="9" t="s">
        <v>37</v>
      </c>
      <c r="B163" s="2">
        <v>30</v>
      </c>
      <c r="C163" s="2">
        <v>30</v>
      </c>
      <c r="D163" s="2">
        <v>30</v>
      </c>
      <c r="E163" s="183">
        <f>SUM(B163:D163)</f>
        <v>90</v>
      </c>
      <c r="F163" s="2">
        <v>30</v>
      </c>
      <c r="G163" s="2">
        <v>30</v>
      </c>
      <c r="H163" s="2">
        <v>30</v>
      </c>
      <c r="I163" s="183">
        <f>SUM(F163:H163)</f>
        <v>90</v>
      </c>
      <c r="J163" s="2">
        <v>30</v>
      </c>
      <c r="K163" s="2">
        <v>30</v>
      </c>
      <c r="L163" s="2">
        <v>30</v>
      </c>
      <c r="M163" s="183">
        <f>SUM(J163:L163)</f>
        <v>90</v>
      </c>
      <c r="N163" s="2">
        <v>30</v>
      </c>
      <c r="O163" s="2">
        <v>30</v>
      </c>
      <c r="P163" s="2">
        <v>30</v>
      </c>
      <c r="Q163" s="183">
        <f>SUM(N163:P163)</f>
        <v>90</v>
      </c>
      <c r="R163" s="183">
        <f>+E163+I163+M163+Q163</f>
        <v>360</v>
      </c>
    </row>
    <row r="164" spans="1:18" ht="15.75" customHeight="1" x14ac:dyDescent="0.35">
      <c r="A164" s="504" t="s">
        <v>290</v>
      </c>
      <c r="B164" s="2">
        <v>0</v>
      </c>
      <c r="C164" s="2">
        <v>0</v>
      </c>
      <c r="D164" s="2">
        <v>0</v>
      </c>
      <c r="E164" s="183">
        <f>SUM(B164:D164)</f>
        <v>0</v>
      </c>
      <c r="F164" s="2">
        <v>0</v>
      </c>
      <c r="G164" s="2">
        <v>1792</v>
      </c>
      <c r="H164" s="2">
        <v>208</v>
      </c>
      <c r="I164" s="183">
        <f>SUM(F164:H164)</f>
        <v>2000</v>
      </c>
      <c r="J164" s="2">
        <v>0</v>
      </c>
      <c r="K164" s="2">
        <v>0</v>
      </c>
      <c r="L164" s="2">
        <v>0</v>
      </c>
      <c r="M164" s="183">
        <f>SUM(J164:L164)</f>
        <v>0</v>
      </c>
      <c r="N164" s="2">
        <v>0</v>
      </c>
      <c r="O164" s="2">
        <v>0</v>
      </c>
      <c r="P164" s="2">
        <v>0</v>
      </c>
      <c r="Q164" s="183">
        <f>SUM(N164:P164)</f>
        <v>0</v>
      </c>
      <c r="R164" s="183">
        <f>+E164+I164+M164+Q164</f>
        <v>2000</v>
      </c>
    </row>
    <row r="165" spans="1:18" ht="15.75" customHeight="1" x14ac:dyDescent="0.35">
      <c r="A165" s="9" t="s">
        <v>1824</v>
      </c>
      <c r="B165" s="2">
        <v>1</v>
      </c>
      <c r="C165" s="2">
        <v>3</v>
      </c>
      <c r="D165" s="2">
        <v>4</v>
      </c>
      <c r="E165" s="183">
        <f t="shared" si="29"/>
        <v>8</v>
      </c>
      <c r="F165" s="2">
        <v>4</v>
      </c>
      <c r="G165" s="2">
        <v>3</v>
      </c>
      <c r="H165" s="2">
        <v>4</v>
      </c>
      <c r="I165" s="183">
        <f t="shared" si="30"/>
        <v>11</v>
      </c>
      <c r="J165" s="2">
        <v>4</v>
      </c>
      <c r="K165" s="2">
        <v>2</v>
      </c>
      <c r="L165" s="2">
        <v>3</v>
      </c>
      <c r="M165" s="183">
        <f t="shared" si="31"/>
        <v>9</v>
      </c>
      <c r="N165" s="2">
        <v>2</v>
      </c>
      <c r="O165" s="2">
        <v>2</v>
      </c>
      <c r="P165" s="2">
        <v>1</v>
      </c>
      <c r="Q165" s="183">
        <f t="shared" si="32"/>
        <v>5</v>
      </c>
      <c r="R165" s="183">
        <f t="shared" si="33"/>
        <v>33</v>
      </c>
    </row>
    <row r="166" spans="1:18" ht="15.75" customHeight="1" x14ac:dyDescent="0.35">
      <c r="A166" s="9" t="s">
        <v>1879</v>
      </c>
      <c r="B166" s="2">
        <v>0</v>
      </c>
      <c r="C166" s="2">
        <v>0</v>
      </c>
      <c r="D166" s="2">
        <v>0</v>
      </c>
      <c r="E166" s="183">
        <f>SUM(B166:D166)</f>
        <v>0</v>
      </c>
      <c r="F166" s="2">
        <v>0</v>
      </c>
      <c r="G166" s="2">
        <v>0</v>
      </c>
      <c r="H166" s="2">
        <v>0</v>
      </c>
      <c r="I166" s="183">
        <f>SUM(F166:H166)</f>
        <v>0</v>
      </c>
      <c r="J166" s="2">
        <v>0</v>
      </c>
      <c r="K166" s="2">
        <v>0</v>
      </c>
      <c r="L166" s="2">
        <v>0</v>
      </c>
      <c r="M166" s="183">
        <f>SUM(J166:L166)</f>
        <v>0</v>
      </c>
      <c r="N166" s="2">
        <v>42</v>
      </c>
      <c r="O166" s="2">
        <v>48</v>
      </c>
      <c r="P166" s="2">
        <v>22</v>
      </c>
      <c r="Q166" s="183">
        <f>SUM(N166:P166)</f>
        <v>112</v>
      </c>
      <c r="R166" s="183">
        <f>+E166+I166+M166+Q166</f>
        <v>112</v>
      </c>
    </row>
    <row r="167" spans="1:18" ht="15.75" customHeight="1" x14ac:dyDescent="0.35">
      <c r="A167" s="9" t="s">
        <v>1746</v>
      </c>
      <c r="B167" s="2">
        <v>1</v>
      </c>
      <c r="C167" s="2">
        <v>0</v>
      </c>
      <c r="D167" s="2">
        <v>1</v>
      </c>
      <c r="E167" s="183">
        <f t="shared" si="29"/>
        <v>2</v>
      </c>
      <c r="F167" s="2">
        <v>1</v>
      </c>
      <c r="G167" s="2">
        <v>1</v>
      </c>
      <c r="H167" s="2">
        <v>2</v>
      </c>
      <c r="I167" s="183">
        <f t="shared" si="30"/>
        <v>4</v>
      </c>
      <c r="J167" s="2">
        <v>2</v>
      </c>
      <c r="K167" s="2">
        <v>2</v>
      </c>
      <c r="L167" s="2">
        <v>1</v>
      </c>
      <c r="M167" s="183">
        <f t="shared" si="31"/>
        <v>5</v>
      </c>
      <c r="N167" s="2">
        <v>4</v>
      </c>
      <c r="O167" s="2">
        <v>1</v>
      </c>
      <c r="P167" s="2">
        <v>1</v>
      </c>
      <c r="Q167" s="183">
        <f t="shared" si="32"/>
        <v>6</v>
      </c>
      <c r="R167" s="183">
        <f t="shared" si="33"/>
        <v>17</v>
      </c>
    </row>
    <row r="168" spans="1:18" ht="15.75" customHeight="1" x14ac:dyDescent="0.35">
      <c r="A168" s="9" t="s">
        <v>533</v>
      </c>
      <c r="B168" s="2">
        <v>33</v>
      </c>
      <c r="C168" s="2">
        <v>53</v>
      </c>
      <c r="D168" s="2">
        <v>82</v>
      </c>
      <c r="E168" s="183">
        <f t="shared" si="29"/>
        <v>168</v>
      </c>
      <c r="F168" s="2">
        <v>116</v>
      </c>
      <c r="G168" s="2">
        <v>221</v>
      </c>
      <c r="H168" s="2">
        <v>234</v>
      </c>
      <c r="I168" s="183">
        <f t="shared" si="30"/>
        <v>571</v>
      </c>
      <c r="J168" s="2">
        <v>284</v>
      </c>
      <c r="K168" s="2">
        <v>231</v>
      </c>
      <c r="L168" s="2">
        <v>220</v>
      </c>
      <c r="M168" s="183">
        <f t="shared" si="31"/>
        <v>735</v>
      </c>
      <c r="N168" s="2">
        <v>230</v>
      </c>
      <c r="O168" s="2">
        <v>165</v>
      </c>
      <c r="P168" s="2">
        <v>35</v>
      </c>
      <c r="Q168" s="183">
        <f t="shared" si="32"/>
        <v>430</v>
      </c>
      <c r="R168" s="183">
        <f t="shared" si="33"/>
        <v>1904</v>
      </c>
    </row>
    <row r="169" spans="1:18" ht="15.75" customHeight="1" x14ac:dyDescent="0.35">
      <c r="A169" s="9" t="s">
        <v>1132</v>
      </c>
      <c r="B169" s="2">
        <v>0</v>
      </c>
      <c r="C169" s="2">
        <v>0</v>
      </c>
      <c r="D169" s="2">
        <v>0</v>
      </c>
      <c r="E169" s="183">
        <f t="shared" si="29"/>
        <v>0</v>
      </c>
      <c r="F169" s="2">
        <v>0</v>
      </c>
      <c r="G169" s="2">
        <v>0</v>
      </c>
      <c r="H169" s="2">
        <v>0</v>
      </c>
      <c r="I169" s="183">
        <f t="shared" si="30"/>
        <v>0</v>
      </c>
      <c r="J169" s="2">
        <v>0</v>
      </c>
      <c r="K169" s="2">
        <v>0</v>
      </c>
      <c r="L169" s="2">
        <v>0</v>
      </c>
      <c r="M169" s="183">
        <f t="shared" si="31"/>
        <v>0</v>
      </c>
      <c r="N169" s="2">
        <v>0</v>
      </c>
      <c r="O169" s="2">
        <v>0</v>
      </c>
      <c r="P169" s="2">
        <v>0</v>
      </c>
      <c r="Q169" s="183">
        <f t="shared" si="32"/>
        <v>0</v>
      </c>
      <c r="R169" s="183">
        <f t="shared" si="33"/>
        <v>0</v>
      </c>
    </row>
    <row r="170" spans="1:18" ht="15.75" customHeight="1" x14ac:dyDescent="0.35">
      <c r="A170" s="9" t="s">
        <v>5</v>
      </c>
      <c r="B170" s="2">
        <v>0</v>
      </c>
      <c r="C170" s="2">
        <v>0</v>
      </c>
      <c r="D170" s="2">
        <v>0</v>
      </c>
      <c r="E170" s="183">
        <f>SUM(B170:D170)</f>
        <v>0</v>
      </c>
      <c r="F170" s="2">
        <v>0</v>
      </c>
      <c r="G170" s="2">
        <v>0</v>
      </c>
      <c r="H170" s="2">
        <v>0</v>
      </c>
      <c r="I170" s="183">
        <f>SUM(F170:H170)</f>
        <v>0</v>
      </c>
      <c r="J170" s="2">
        <v>0</v>
      </c>
      <c r="K170" s="2">
        <v>0</v>
      </c>
      <c r="L170" s="2">
        <v>0</v>
      </c>
      <c r="M170" s="183">
        <f>SUM(J170:L170)</f>
        <v>0</v>
      </c>
      <c r="N170" s="2">
        <v>0</v>
      </c>
      <c r="O170" s="2">
        <v>0</v>
      </c>
      <c r="P170" s="2">
        <v>0</v>
      </c>
      <c r="Q170" s="183">
        <f>SUM(N170:P170)</f>
        <v>0</v>
      </c>
      <c r="R170" s="183">
        <f>+E170+I170+M170+Q170</f>
        <v>0</v>
      </c>
    </row>
    <row r="171" spans="1:18" ht="15.75" customHeight="1" x14ac:dyDescent="0.35">
      <c r="A171" s="9" t="s">
        <v>2491</v>
      </c>
      <c r="B171" s="2">
        <v>0</v>
      </c>
      <c r="C171" s="2">
        <v>0</v>
      </c>
      <c r="D171" s="2">
        <v>0</v>
      </c>
      <c r="E171" s="183">
        <f>SUM(B171:D171)</f>
        <v>0</v>
      </c>
      <c r="F171" s="2">
        <v>0</v>
      </c>
      <c r="G171" s="2">
        <v>0</v>
      </c>
      <c r="H171" s="2">
        <v>50</v>
      </c>
      <c r="I171" s="183">
        <f>SUM(F171:H171)</f>
        <v>50</v>
      </c>
      <c r="J171" s="2">
        <v>0</v>
      </c>
      <c r="K171" s="2">
        <v>0</v>
      </c>
      <c r="L171" s="2">
        <v>0</v>
      </c>
      <c r="M171" s="183">
        <f>SUM(J171:L171)</f>
        <v>0</v>
      </c>
      <c r="N171" s="2">
        <v>0</v>
      </c>
      <c r="O171" s="2">
        <v>0</v>
      </c>
      <c r="P171" s="2">
        <v>0</v>
      </c>
      <c r="Q171" s="183">
        <f>SUM(N171:P171)</f>
        <v>0</v>
      </c>
      <c r="R171" s="183">
        <f>+E171+I171+M171+Q171</f>
        <v>50</v>
      </c>
    </row>
    <row r="172" spans="1:18" ht="15.75" customHeight="1" x14ac:dyDescent="0.35">
      <c r="A172" s="6" t="s">
        <v>2162</v>
      </c>
      <c r="B172" s="2"/>
      <c r="C172" s="2"/>
      <c r="D172" s="2"/>
      <c r="E172" s="183" t="s">
        <v>852</v>
      </c>
      <c r="F172" s="2"/>
      <c r="G172" s="2"/>
      <c r="H172" s="2"/>
      <c r="I172" s="183" t="s">
        <v>852</v>
      </c>
      <c r="J172" s="2"/>
      <c r="K172" s="2"/>
      <c r="L172" s="2"/>
      <c r="M172" s="183" t="s">
        <v>852</v>
      </c>
      <c r="N172" s="2"/>
      <c r="O172" s="2"/>
      <c r="P172" s="2"/>
      <c r="Q172" s="183" t="s">
        <v>852</v>
      </c>
      <c r="R172" s="183" t="s">
        <v>852</v>
      </c>
    </row>
    <row r="173" spans="1:18" ht="15.75" customHeight="1" x14ac:dyDescent="0.35">
      <c r="A173" s="505" t="s">
        <v>118</v>
      </c>
      <c r="B173" s="2">
        <v>0</v>
      </c>
      <c r="C173" s="2">
        <v>0</v>
      </c>
      <c r="D173" s="2">
        <v>0</v>
      </c>
      <c r="E173" s="183">
        <f>SUM(B173:D173)</f>
        <v>0</v>
      </c>
      <c r="F173" s="2">
        <v>0</v>
      </c>
      <c r="G173" s="2">
        <v>0</v>
      </c>
      <c r="H173" s="2">
        <v>106</v>
      </c>
      <c r="I173" s="183">
        <f>SUM(F173:H173)</f>
        <v>106</v>
      </c>
      <c r="J173" s="2">
        <v>0</v>
      </c>
      <c r="K173" s="2">
        <v>1057</v>
      </c>
      <c r="L173" s="2">
        <v>1717</v>
      </c>
      <c r="M173" s="183">
        <f>SUM(J173:L173)</f>
        <v>2774</v>
      </c>
      <c r="N173" s="2">
        <v>1600</v>
      </c>
      <c r="O173" s="2">
        <v>70</v>
      </c>
      <c r="P173" s="2">
        <v>2747</v>
      </c>
      <c r="Q173" s="183">
        <f>SUM(N173:P173)</f>
        <v>4417</v>
      </c>
      <c r="R173" s="183">
        <f>+E173+I173+M173+Q173</f>
        <v>7297</v>
      </c>
    </row>
    <row r="174" spans="1:18" ht="15.75" customHeight="1" x14ac:dyDescent="0.35">
      <c r="A174" s="505" t="s">
        <v>1697</v>
      </c>
      <c r="B174" s="2">
        <v>0</v>
      </c>
      <c r="C174" s="2">
        <v>0</v>
      </c>
      <c r="D174" s="2">
        <v>0</v>
      </c>
      <c r="E174" s="183">
        <f>SUM(B174:D174)</f>
        <v>0</v>
      </c>
      <c r="F174" s="2">
        <v>0</v>
      </c>
      <c r="G174" s="2">
        <v>1000</v>
      </c>
      <c r="H174" s="2">
        <v>1227</v>
      </c>
      <c r="I174" s="183">
        <f>SUM(F174:H174)</f>
        <v>2227</v>
      </c>
      <c r="J174" s="2">
        <v>0</v>
      </c>
      <c r="K174" s="2">
        <v>1000</v>
      </c>
      <c r="L174" s="2">
        <v>0</v>
      </c>
      <c r="M174" s="183">
        <f>SUM(J174:L174)</f>
        <v>1000</v>
      </c>
      <c r="N174" s="2">
        <v>0</v>
      </c>
      <c r="O174" s="2">
        <v>0</v>
      </c>
      <c r="P174" s="2">
        <v>1968</v>
      </c>
      <c r="Q174" s="183">
        <f>SUM(N174:P174)</f>
        <v>1968</v>
      </c>
      <c r="R174" s="183">
        <f>+E174+I174+M174+Q174</f>
        <v>5195</v>
      </c>
    </row>
    <row r="175" spans="1:18" ht="15.75" customHeight="1" x14ac:dyDescent="0.35">
      <c r="A175" s="484" t="s">
        <v>1387</v>
      </c>
      <c r="B175" s="2">
        <v>7</v>
      </c>
      <c r="C175" s="2">
        <v>8</v>
      </c>
      <c r="D175" s="2">
        <v>25</v>
      </c>
      <c r="E175" s="183">
        <f>SUM(B175:D175)</f>
        <v>40</v>
      </c>
      <c r="F175" s="2">
        <v>25</v>
      </c>
      <c r="G175" s="2">
        <v>74</v>
      </c>
      <c r="H175" s="2">
        <v>73</v>
      </c>
      <c r="I175" s="183">
        <f>SUM(F175:H175)</f>
        <v>172</v>
      </c>
      <c r="J175" s="2">
        <v>121</v>
      </c>
      <c r="K175" s="2">
        <v>75</v>
      </c>
      <c r="L175" s="2">
        <v>27</v>
      </c>
      <c r="M175" s="183">
        <f>SUM(J175:L175)</f>
        <v>223</v>
      </c>
      <c r="N175" s="2">
        <v>71</v>
      </c>
      <c r="O175" s="2">
        <v>27</v>
      </c>
      <c r="P175" s="2">
        <v>9</v>
      </c>
      <c r="Q175" s="183">
        <f>SUM(N175:P175)</f>
        <v>107</v>
      </c>
      <c r="R175" s="183">
        <f>+E175+I175+M175+Q175</f>
        <v>542</v>
      </c>
    </row>
    <row r="176" spans="1:18" ht="15.75" customHeight="1" thickBot="1" x14ac:dyDescent="0.4">
      <c r="A176" s="6" t="s">
        <v>2164</v>
      </c>
      <c r="B176" s="2"/>
      <c r="C176" s="2"/>
      <c r="D176" s="2"/>
      <c r="E176" s="183" t="s">
        <v>852</v>
      </c>
      <c r="F176" s="2"/>
      <c r="G176" s="2"/>
      <c r="H176" s="2"/>
      <c r="I176" s="183" t="s">
        <v>852</v>
      </c>
      <c r="J176" s="2"/>
      <c r="K176" s="2"/>
      <c r="L176" s="2"/>
      <c r="M176" s="183" t="s">
        <v>852</v>
      </c>
      <c r="N176" s="2"/>
      <c r="O176" s="2"/>
      <c r="P176" s="2"/>
      <c r="Q176" s="183" t="s">
        <v>852</v>
      </c>
      <c r="R176" s="183" t="s">
        <v>852</v>
      </c>
    </row>
    <row r="177" spans="1:18" ht="15.75" customHeight="1" thickBot="1" x14ac:dyDescent="0.4">
      <c r="A177" s="41" t="s">
        <v>1218</v>
      </c>
      <c r="B177" s="188">
        <f>SUM(B138:B176)</f>
        <v>17152</v>
      </c>
      <c r="C177" s="189">
        <f>SUM(C138:C176)</f>
        <v>15599</v>
      </c>
      <c r="D177" s="189">
        <f>SUM(D138:D176)</f>
        <v>21963</v>
      </c>
      <c r="E177" s="56">
        <f>SUM(B177:D177)</f>
        <v>54714</v>
      </c>
      <c r="F177" s="189">
        <f>SUM(F138:F176)</f>
        <v>22954</v>
      </c>
      <c r="G177" s="189">
        <f>SUM(G138:G176)</f>
        <v>19405</v>
      </c>
      <c r="H177" s="189">
        <f>SUM(H138:H176)</f>
        <v>16954</v>
      </c>
      <c r="I177" s="56">
        <f>SUM(F177:H177)</f>
        <v>59313</v>
      </c>
      <c r="J177" s="189">
        <f>SUM(J138:J176)</f>
        <v>31595</v>
      </c>
      <c r="K177" s="189">
        <f>SUM(K138:K176)</f>
        <v>32476</v>
      </c>
      <c r="L177" s="189">
        <f>SUM(L138:L176)</f>
        <v>25025</v>
      </c>
      <c r="M177" s="56">
        <f>SUM(J177:L177)</f>
        <v>89096</v>
      </c>
      <c r="N177" s="189">
        <f>SUM(N138:N176)</f>
        <v>27757</v>
      </c>
      <c r="O177" s="189">
        <f>SUM(O138:O176)</f>
        <v>18094</v>
      </c>
      <c r="P177" s="189">
        <f>SUM(P138:P176)</f>
        <v>22174</v>
      </c>
      <c r="Q177" s="56">
        <f>SUM(N177:P177)</f>
        <v>68025</v>
      </c>
      <c r="R177" s="56">
        <f>+E177+I177+M177+Q177</f>
        <v>271148</v>
      </c>
    </row>
    <row r="178" spans="1:18" ht="15.75" customHeight="1" x14ac:dyDescent="0.35">
      <c r="A178" s="6" t="s">
        <v>1172</v>
      </c>
      <c r="B178" s="2"/>
      <c r="C178" s="2"/>
      <c r="D178" s="2"/>
      <c r="E178" s="183" t="s">
        <v>852</v>
      </c>
      <c r="F178" s="2"/>
      <c r="G178" s="2"/>
      <c r="H178" s="2"/>
      <c r="I178" s="183" t="s">
        <v>852</v>
      </c>
      <c r="J178" s="2"/>
      <c r="K178" s="2"/>
      <c r="L178" s="2"/>
      <c r="M178" s="183" t="s">
        <v>852</v>
      </c>
      <c r="N178" s="2"/>
      <c r="O178" s="2"/>
      <c r="P178" s="2"/>
      <c r="Q178" s="183" t="s">
        <v>852</v>
      </c>
      <c r="R178" s="183" t="s">
        <v>852</v>
      </c>
    </row>
    <row r="179" spans="1:18" ht="15.75" customHeight="1" x14ac:dyDescent="0.35">
      <c r="A179" s="6" t="s">
        <v>1658</v>
      </c>
      <c r="B179" s="2"/>
      <c r="C179" s="2"/>
      <c r="D179" s="2"/>
      <c r="E179" s="183" t="s">
        <v>852</v>
      </c>
      <c r="F179" s="2"/>
      <c r="G179" s="2"/>
      <c r="H179" s="2"/>
      <c r="I179" s="183" t="s">
        <v>852</v>
      </c>
      <c r="J179" s="2"/>
      <c r="K179" s="2"/>
      <c r="L179" s="2"/>
      <c r="M179" s="183" t="s">
        <v>852</v>
      </c>
      <c r="N179" s="2"/>
      <c r="O179" s="2"/>
      <c r="P179" s="2"/>
      <c r="Q179" s="183" t="s">
        <v>852</v>
      </c>
      <c r="R179" s="183" t="s">
        <v>852</v>
      </c>
    </row>
    <row r="180" spans="1:18" ht="15.75" customHeight="1" x14ac:dyDescent="0.35">
      <c r="A180" s="6" t="s">
        <v>2409</v>
      </c>
      <c r="B180" s="2"/>
      <c r="C180" s="2"/>
      <c r="D180" s="2"/>
      <c r="E180" s="183" t="s">
        <v>852</v>
      </c>
      <c r="F180" s="2"/>
      <c r="G180" s="2"/>
      <c r="H180" s="2"/>
      <c r="I180" s="183" t="s">
        <v>852</v>
      </c>
      <c r="J180" s="2"/>
      <c r="K180" s="2"/>
      <c r="L180" s="2"/>
      <c r="M180" s="183" t="s">
        <v>852</v>
      </c>
      <c r="N180" s="2"/>
      <c r="O180" s="2"/>
      <c r="P180" s="2"/>
      <c r="Q180" s="183" t="s">
        <v>852</v>
      </c>
      <c r="R180" s="183" t="s">
        <v>852</v>
      </c>
    </row>
    <row r="181" spans="1:18" ht="15.75" customHeight="1" thickBot="1" x14ac:dyDescent="0.4">
      <c r="A181" s="6" t="s">
        <v>2165</v>
      </c>
      <c r="B181" s="2"/>
      <c r="C181" s="2"/>
      <c r="D181" s="2"/>
      <c r="E181" s="183" t="s">
        <v>852</v>
      </c>
      <c r="F181" s="2"/>
      <c r="G181" s="2"/>
      <c r="H181" s="2"/>
      <c r="I181" s="183" t="s">
        <v>852</v>
      </c>
      <c r="J181" s="2"/>
      <c r="K181" s="2"/>
      <c r="L181" s="2"/>
      <c r="M181" s="183" t="s">
        <v>852</v>
      </c>
      <c r="N181" s="2"/>
      <c r="O181" s="2"/>
      <c r="P181" s="2"/>
      <c r="Q181" s="183" t="s">
        <v>852</v>
      </c>
      <c r="R181" s="183" t="s">
        <v>852</v>
      </c>
    </row>
    <row r="182" spans="1:18" ht="15.75" customHeight="1" thickBot="1" x14ac:dyDescent="0.4">
      <c r="A182" s="41" t="s">
        <v>1219</v>
      </c>
      <c r="B182" s="188">
        <f>SUM(B178:B181)</f>
        <v>0</v>
      </c>
      <c r="C182" s="189">
        <f>SUM(C178:C181)</f>
        <v>0</v>
      </c>
      <c r="D182" s="189">
        <f>SUM(D178:D181)</f>
        <v>0</v>
      </c>
      <c r="E182" s="56">
        <f>SUM(B182:D182)</f>
        <v>0</v>
      </c>
      <c r="F182" s="189">
        <f>SUM(F178:F181)</f>
        <v>0</v>
      </c>
      <c r="G182" s="189">
        <f>SUM(G178:G181)</f>
        <v>0</v>
      </c>
      <c r="H182" s="189">
        <f>SUM(H178:H181)</f>
        <v>0</v>
      </c>
      <c r="I182" s="56">
        <f>SUM(F182:H182)</f>
        <v>0</v>
      </c>
      <c r="J182" s="189">
        <f>SUM(J178:J181)</f>
        <v>0</v>
      </c>
      <c r="K182" s="189">
        <f>SUM(K178:K181)</f>
        <v>0</v>
      </c>
      <c r="L182" s="189">
        <f>SUM(L178:L181)</f>
        <v>0</v>
      </c>
      <c r="M182" s="56">
        <f>SUM(J182:L182)</f>
        <v>0</v>
      </c>
      <c r="N182" s="189">
        <f>SUM(N178:N181)</f>
        <v>0</v>
      </c>
      <c r="O182" s="189">
        <f>SUM(O178:O181)</f>
        <v>0</v>
      </c>
      <c r="P182" s="189">
        <f>SUM(P178:P181)</f>
        <v>0</v>
      </c>
      <c r="Q182" s="56">
        <f>SUM(N182:P182)</f>
        <v>0</v>
      </c>
      <c r="R182" s="56">
        <f>+E182+I182+M182+Q182</f>
        <v>0</v>
      </c>
    </row>
    <row r="183" spans="1:18" ht="15.75" customHeight="1" x14ac:dyDescent="0.35">
      <c r="A183" s="6" t="s">
        <v>2166</v>
      </c>
      <c r="B183" s="2"/>
      <c r="C183" s="2"/>
      <c r="D183" s="2"/>
      <c r="E183" s="183" t="s">
        <v>852</v>
      </c>
      <c r="F183" s="2"/>
      <c r="G183" s="2"/>
      <c r="H183" s="2"/>
      <c r="I183" s="183" t="s">
        <v>852</v>
      </c>
      <c r="J183" s="2"/>
      <c r="K183" s="2"/>
      <c r="L183" s="2"/>
      <c r="M183" s="183" t="s">
        <v>852</v>
      </c>
      <c r="N183" s="2"/>
      <c r="O183" s="2"/>
      <c r="P183" s="2"/>
      <c r="Q183" s="183" t="s">
        <v>852</v>
      </c>
      <c r="R183" s="183" t="s">
        <v>852</v>
      </c>
    </row>
    <row r="184" spans="1:18" ht="15.75" customHeight="1" x14ac:dyDescent="0.35">
      <c r="A184" s="6" t="s">
        <v>1245</v>
      </c>
      <c r="B184" s="2"/>
      <c r="C184" s="2"/>
      <c r="D184" s="2"/>
      <c r="E184" s="183" t="s">
        <v>852</v>
      </c>
      <c r="F184" s="2"/>
      <c r="G184" s="2"/>
      <c r="H184" s="2"/>
      <c r="I184" s="183" t="s">
        <v>852</v>
      </c>
      <c r="J184" s="2"/>
      <c r="K184" s="2"/>
      <c r="L184" s="2"/>
      <c r="M184" s="183" t="s">
        <v>852</v>
      </c>
      <c r="N184" s="2"/>
      <c r="O184" s="2"/>
      <c r="P184" s="2"/>
      <c r="Q184" s="183" t="s">
        <v>852</v>
      </c>
      <c r="R184" s="183" t="s">
        <v>852</v>
      </c>
    </row>
    <row r="185" spans="1:18" ht="15.75" customHeight="1" x14ac:dyDescent="0.35">
      <c r="A185" s="6" t="s">
        <v>1711</v>
      </c>
      <c r="B185" s="2"/>
      <c r="C185" s="2"/>
      <c r="D185" s="2"/>
      <c r="E185" s="183" t="s">
        <v>852</v>
      </c>
      <c r="F185" s="2"/>
      <c r="G185" s="2"/>
      <c r="H185" s="2"/>
      <c r="I185" s="183" t="s">
        <v>852</v>
      </c>
      <c r="J185" s="2"/>
      <c r="K185" s="2"/>
      <c r="L185" s="2"/>
      <c r="M185" s="183" t="s">
        <v>852</v>
      </c>
      <c r="N185" s="2"/>
      <c r="O185" s="2"/>
      <c r="P185" s="2"/>
      <c r="Q185" s="183" t="s">
        <v>852</v>
      </c>
      <c r="R185" s="183" t="s">
        <v>852</v>
      </c>
    </row>
    <row r="186" spans="1:18" ht="15.75" customHeight="1" x14ac:dyDescent="0.35">
      <c r="A186" s="506" t="s">
        <v>1364</v>
      </c>
      <c r="B186" s="2">
        <v>310</v>
      </c>
      <c r="C186" s="2">
        <v>280</v>
      </c>
      <c r="D186" s="2">
        <v>368</v>
      </c>
      <c r="E186" s="183">
        <f>SUM(B186:D186)</f>
        <v>958</v>
      </c>
      <c r="F186" s="2">
        <v>393</v>
      </c>
      <c r="G186" s="2">
        <v>490</v>
      </c>
      <c r="H186" s="2">
        <v>497</v>
      </c>
      <c r="I186" s="183">
        <f>SUM(F186:H186)</f>
        <v>1380</v>
      </c>
      <c r="J186" s="2">
        <v>587</v>
      </c>
      <c r="K186" s="2">
        <v>580</v>
      </c>
      <c r="L186" s="2">
        <v>508</v>
      </c>
      <c r="M186" s="183">
        <f>SUM(J186:L186)</f>
        <v>1675</v>
      </c>
      <c r="N186" s="2">
        <v>487</v>
      </c>
      <c r="O186" s="2">
        <v>432</v>
      </c>
      <c r="P186" s="2">
        <v>350</v>
      </c>
      <c r="Q186" s="183">
        <f>SUM(N186:P186)</f>
        <v>1269</v>
      </c>
      <c r="R186" s="183">
        <f>+E186+I186+M186+Q186</f>
        <v>5282</v>
      </c>
    </row>
    <row r="187" spans="1:18" ht="15.75" customHeight="1" x14ac:dyDescent="0.35">
      <c r="A187" s="506" t="s">
        <v>1388</v>
      </c>
      <c r="B187" s="2">
        <v>0</v>
      </c>
      <c r="C187" s="2">
        <v>0</v>
      </c>
      <c r="D187" s="2">
        <v>357</v>
      </c>
      <c r="E187" s="183">
        <f>SUM(B187:D187)</f>
        <v>357</v>
      </c>
      <c r="F187" s="2">
        <v>0</v>
      </c>
      <c r="G187" s="2">
        <v>0</v>
      </c>
      <c r="H187" s="2">
        <v>0</v>
      </c>
      <c r="I187" s="183">
        <f>SUM(F187:H187)</f>
        <v>0</v>
      </c>
      <c r="J187" s="2">
        <v>0</v>
      </c>
      <c r="K187" s="2">
        <v>0</v>
      </c>
      <c r="L187" s="2">
        <v>0</v>
      </c>
      <c r="M187" s="183">
        <f>SUM(J187:L187)</f>
        <v>0</v>
      </c>
      <c r="N187" s="2">
        <v>0</v>
      </c>
      <c r="O187" s="2">
        <v>0</v>
      </c>
      <c r="P187" s="2">
        <v>0</v>
      </c>
      <c r="Q187" s="183">
        <f>SUM(N187:P187)</f>
        <v>0</v>
      </c>
      <c r="R187" s="183">
        <f>+E187+I187+M187+Q187</f>
        <v>357</v>
      </c>
    </row>
    <row r="188" spans="1:18" ht="15.75" customHeight="1" x14ac:dyDescent="0.35">
      <c r="A188" s="506" t="s">
        <v>693</v>
      </c>
      <c r="B188" s="2">
        <v>18</v>
      </c>
      <c r="C188" s="2">
        <v>20</v>
      </c>
      <c r="D188" s="2">
        <v>53</v>
      </c>
      <c r="E188" s="183">
        <f>SUM(B188:D188)</f>
        <v>91</v>
      </c>
      <c r="F188" s="2">
        <v>65</v>
      </c>
      <c r="G188" s="2">
        <v>99</v>
      </c>
      <c r="H188" s="2">
        <v>77</v>
      </c>
      <c r="I188" s="183">
        <f>SUM(F188:H188)</f>
        <v>241</v>
      </c>
      <c r="J188" s="2">
        <v>114</v>
      </c>
      <c r="K188" s="2">
        <v>79</v>
      </c>
      <c r="L188" s="2">
        <v>19</v>
      </c>
      <c r="M188" s="183">
        <f>SUM(J188:L188)</f>
        <v>212</v>
      </c>
      <c r="N188" s="2">
        <v>70</v>
      </c>
      <c r="O188" s="2">
        <v>51</v>
      </c>
      <c r="P188" s="2">
        <v>16</v>
      </c>
      <c r="Q188" s="183">
        <f>SUM(N188:P188)</f>
        <v>137</v>
      </c>
      <c r="R188" s="183">
        <f>+E188+I188+M188+Q188</f>
        <v>681</v>
      </c>
    </row>
    <row r="189" spans="1:18" ht="15.75" customHeight="1" x14ac:dyDescent="0.35">
      <c r="A189" s="349" t="s">
        <v>1091</v>
      </c>
      <c r="B189" s="2">
        <v>0</v>
      </c>
      <c r="C189" s="2">
        <v>0</v>
      </c>
      <c r="D189" s="2">
        <v>0</v>
      </c>
      <c r="E189" s="183">
        <f t="shared" ref="E189:E215" si="34">SUM(B189:D189)</f>
        <v>0</v>
      </c>
      <c r="F189" s="2">
        <v>0</v>
      </c>
      <c r="G189" s="2">
        <v>0</v>
      </c>
      <c r="H189" s="2">
        <v>0</v>
      </c>
      <c r="I189" s="183">
        <f t="shared" ref="I189:I215" si="35">SUM(F189:H189)</f>
        <v>0</v>
      </c>
      <c r="J189" s="2">
        <v>0</v>
      </c>
      <c r="K189" s="2">
        <v>0</v>
      </c>
      <c r="L189" s="2">
        <v>0</v>
      </c>
      <c r="M189" s="183">
        <f t="shared" ref="M189:M215" si="36">SUM(J189:L189)</f>
        <v>0</v>
      </c>
      <c r="N189" s="2">
        <v>0</v>
      </c>
      <c r="O189" s="2">
        <v>0</v>
      </c>
      <c r="P189" s="2">
        <v>0</v>
      </c>
      <c r="Q189" s="183">
        <f t="shared" ref="Q189:Q215" si="37">SUM(N189:P189)</f>
        <v>0</v>
      </c>
      <c r="R189" s="183">
        <f t="shared" ref="R189:R215" si="38">+E189+I189+M189+Q189</f>
        <v>0</v>
      </c>
    </row>
    <row r="190" spans="1:18" ht="15.75" customHeight="1" x14ac:dyDescent="0.35">
      <c r="A190" s="349" t="s">
        <v>725</v>
      </c>
      <c r="B190" s="2">
        <v>0</v>
      </c>
      <c r="C190" s="2">
        <v>0</v>
      </c>
      <c r="D190" s="2">
        <v>0</v>
      </c>
      <c r="E190" s="183">
        <f>SUM(B190:D190)</f>
        <v>0</v>
      </c>
      <c r="F190" s="2">
        <v>0</v>
      </c>
      <c r="G190" s="2">
        <v>0</v>
      </c>
      <c r="H190" s="2">
        <v>0</v>
      </c>
      <c r="I190" s="183">
        <f>SUM(F190:H190)</f>
        <v>0</v>
      </c>
      <c r="J190" s="2">
        <v>0</v>
      </c>
      <c r="K190" s="2">
        <v>0</v>
      </c>
      <c r="L190" s="2">
        <v>0</v>
      </c>
      <c r="M190" s="183">
        <f>SUM(J190:L190)</f>
        <v>0</v>
      </c>
      <c r="N190" s="2">
        <v>0</v>
      </c>
      <c r="O190" s="2">
        <v>0</v>
      </c>
      <c r="P190" s="2">
        <v>0</v>
      </c>
      <c r="Q190" s="183">
        <f>SUM(N190:P190)</f>
        <v>0</v>
      </c>
      <c r="R190" s="183">
        <f>+E190+I190+M190+Q190</f>
        <v>0</v>
      </c>
    </row>
    <row r="191" spans="1:18" ht="15.75" customHeight="1" x14ac:dyDescent="0.35">
      <c r="A191" s="349" t="s">
        <v>568</v>
      </c>
      <c r="B191" s="2">
        <v>682</v>
      </c>
      <c r="C191" s="2">
        <v>0</v>
      </c>
      <c r="D191" s="2">
        <v>0</v>
      </c>
      <c r="E191" s="183">
        <f t="shared" si="34"/>
        <v>682</v>
      </c>
      <c r="F191" s="2">
        <v>0</v>
      </c>
      <c r="G191" s="2">
        <v>0</v>
      </c>
      <c r="H191" s="2">
        <v>0</v>
      </c>
      <c r="I191" s="183">
        <f t="shared" si="35"/>
        <v>0</v>
      </c>
      <c r="J191" s="2">
        <v>0</v>
      </c>
      <c r="K191" s="2">
        <v>0</v>
      </c>
      <c r="L191" s="2">
        <v>0</v>
      </c>
      <c r="M191" s="183">
        <f t="shared" si="36"/>
        <v>0</v>
      </c>
      <c r="N191" s="2">
        <v>0</v>
      </c>
      <c r="O191" s="2">
        <v>0</v>
      </c>
      <c r="P191" s="2">
        <v>0</v>
      </c>
      <c r="Q191" s="183">
        <f t="shared" si="37"/>
        <v>0</v>
      </c>
      <c r="R191" s="183">
        <f t="shared" si="38"/>
        <v>682</v>
      </c>
    </row>
    <row r="192" spans="1:18" ht="15.75" customHeight="1" x14ac:dyDescent="0.35">
      <c r="A192" s="349" t="s">
        <v>1150</v>
      </c>
      <c r="B192" s="2">
        <v>0</v>
      </c>
      <c r="C192" s="2">
        <v>0</v>
      </c>
      <c r="D192" s="2">
        <v>0</v>
      </c>
      <c r="E192" s="183">
        <f t="shared" si="34"/>
        <v>0</v>
      </c>
      <c r="F192" s="2">
        <v>0</v>
      </c>
      <c r="G192" s="2">
        <v>0</v>
      </c>
      <c r="H192" s="2">
        <v>0</v>
      </c>
      <c r="I192" s="183">
        <f t="shared" si="35"/>
        <v>0</v>
      </c>
      <c r="J192" s="2">
        <v>0</v>
      </c>
      <c r="K192" s="2">
        <v>0</v>
      </c>
      <c r="L192" s="2">
        <v>0</v>
      </c>
      <c r="M192" s="183">
        <f t="shared" si="36"/>
        <v>0</v>
      </c>
      <c r="N192" s="2">
        <v>0</v>
      </c>
      <c r="O192" s="2">
        <v>0</v>
      </c>
      <c r="P192" s="2">
        <v>0</v>
      </c>
      <c r="Q192" s="183">
        <f t="shared" si="37"/>
        <v>0</v>
      </c>
      <c r="R192" s="183">
        <f t="shared" si="38"/>
        <v>0</v>
      </c>
    </row>
    <row r="193" spans="1:18" ht="15.75" customHeight="1" x14ac:dyDescent="0.35">
      <c r="A193" s="349" t="s">
        <v>1973</v>
      </c>
      <c r="B193" s="2">
        <v>1136</v>
      </c>
      <c r="C193" s="2">
        <v>0</v>
      </c>
      <c r="D193" s="2">
        <v>0</v>
      </c>
      <c r="E193" s="183">
        <f t="shared" si="34"/>
        <v>1136</v>
      </c>
      <c r="F193" s="2">
        <v>0</v>
      </c>
      <c r="G193" s="2">
        <v>0</v>
      </c>
      <c r="H193" s="2">
        <v>0</v>
      </c>
      <c r="I193" s="183">
        <f t="shared" si="35"/>
        <v>0</v>
      </c>
      <c r="J193" s="2">
        <v>0</v>
      </c>
      <c r="K193" s="2">
        <v>0</v>
      </c>
      <c r="L193" s="2">
        <v>0</v>
      </c>
      <c r="M193" s="183">
        <f t="shared" si="36"/>
        <v>0</v>
      </c>
      <c r="N193" s="2">
        <v>0</v>
      </c>
      <c r="O193" s="2">
        <v>0</v>
      </c>
      <c r="P193" s="2">
        <v>0</v>
      </c>
      <c r="Q193" s="183">
        <f t="shared" si="37"/>
        <v>0</v>
      </c>
      <c r="R193" s="183">
        <f t="shared" si="38"/>
        <v>1136</v>
      </c>
    </row>
    <row r="194" spans="1:18" ht="15.75" customHeight="1" x14ac:dyDescent="0.35">
      <c r="A194" s="349" t="s">
        <v>1974</v>
      </c>
      <c r="B194" s="2">
        <v>23</v>
      </c>
      <c r="C194" s="2">
        <v>0</v>
      </c>
      <c r="D194" s="2">
        <v>0</v>
      </c>
      <c r="E194" s="183">
        <f t="shared" si="34"/>
        <v>23</v>
      </c>
      <c r="F194" s="2">
        <v>0</v>
      </c>
      <c r="G194" s="2">
        <v>0</v>
      </c>
      <c r="H194" s="2">
        <v>0</v>
      </c>
      <c r="I194" s="183">
        <f t="shared" si="35"/>
        <v>0</v>
      </c>
      <c r="J194" s="2">
        <v>0</v>
      </c>
      <c r="K194" s="2">
        <v>0</v>
      </c>
      <c r="L194" s="2">
        <v>0</v>
      </c>
      <c r="M194" s="183">
        <f t="shared" si="36"/>
        <v>0</v>
      </c>
      <c r="N194" s="2">
        <v>0</v>
      </c>
      <c r="O194" s="2">
        <v>0</v>
      </c>
      <c r="P194" s="2">
        <v>0</v>
      </c>
      <c r="Q194" s="183">
        <f t="shared" si="37"/>
        <v>0</v>
      </c>
      <c r="R194" s="183">
        <f t="shared" si="38"/>
        <v>23</v>
      </c>
    </row>
    <row r="195" spans="1:18" ht="15.75" customHeight="1" x14ac:dyDescent="0.35">
      <c r="A195" s="349" t="s">
        <v>1975</v>
      </c>
      <c r="B195" s="2">
        <v>0</v>
      </c>
      <c r="C195" s="2">
        <v>0</v>
      </c>
      <c r="D195" s="2">
        <v>0</v>
      </c>
      <c r="E195" s="183">
        <f t="shared" si="34"/>
        <v>0</v>
      </c>
      <c r="F195" s="2">
        <v>23</v>
      </c>
      <c r="G195" s="2">
        <v>0</v>
      </c>
      <c r="H195" s="2">
        <v>0</v>
      </c>
      <c r="I195" s="183">
        <f t="shared" si="35"/>
        <v>23</v>
      </c>
      <c r="J195" s="2">
        <v>0</v>
      </c>
      <c r="K195" s="2">
        <v>0</v>
      </c>
      <c r="L195" s="2">
        <v>0</v>
      </c>
      <c r="M195" s="183">
        <f t="shared" si="36"/>
        <v>0</v>
      </c>
      <c r="N195" s="2">
        <v>0</v>
      </c>
      <c r="O195" s="2">
        <v>0</v>
      </c>
      <c r="P195" s="2">
        <v>0</v>
      </c>
      <c r="Q195" s="183">
        <f t="shared" si="37"/>
        <v>0</v>
      </c>
      <c r="R195" s="183">
        <f t="shared" si="38"/>
        <v>23</v>
      </c>
    </row>
    <row r="196" spans="1:18" ht="15.75" customHeight="1" x14ac:dyDescent="0.35">
      <c r="A196" s="349" t="s">
        <v>1827</v>
      </c>
      <c r="B196" s="2">
        <v>0</v>
      </c>
      <c r="C196" s="2">
        <v>0</v>
      </c>
      <c r="D196" s="2">
        <v>0</v>
      </c>
      <c r="E196" s="183">
        <f t="shared" si="34"/>
        <v>0</v>
      </c>
      <c r="F196" s="2">
        <v>0</v>
      </c>
      <c r="G196" s="2">
        <v>523</v>
      </c>
      <c r="H196" s="2">
        <v>14396</v>
      </c>
      <c r="I196" s="183">
        <f t="shared" si="35"/>
        <v>14919</v>
      </c>
      <c r="J196" s="2">
        <v>81</v>
      </c>
      <c r="K196" s="2">
        <v>0</v>
      </c>
      <c r="L196" s="2">
        <v>0</v>
      </c>
      <c r="M196" s="183">
        <f t="shared" si="36"/>
        <v>81</v>
      </c>
      <c r="N196" s="2">
        <v>0</v>
      </c>
      <c r="O196" s="2">
        <v>0</v>
      </c>
      <c r="P196" s="2">
        <v>0</v>
      </c>
      <c r="Q196" s="183">
        <f t="shared" si="37"/>
        <v>0</v>
      </c>
      <c r="R196" s="183">
        <f t="shared" si="38"/>
        <v>15000</v>
      </c>
    </row>
    <row r="197" spans="1:18" ht="15.75" customHeight="1" x14ac:dyDescent="0.35">
      <c r="A197" s="349" t="s">
        <v>1495</v>
      </c>
      <c r="B197" s="2">
        <v>0</v>
      </c>
      <c r="C197" s="2">
        <v>0</v>
      </c>
      <c r="D197" s="2">
        <v>0</v>
      </c>
      <c r="E197" s="183">
        <f t="shared" si="34"/>
        <v>0</v>
      </c>
      <c r="F197" s="2">
        <v>0</v>
      </c>
      <c r="G197" s="2">
        <v>4300</v>
      </c>
      <c r="H197" s="2">
        <v>0</v>
      </c>
      <c r="I197" s="183">
        <f t="shared" si="35"/>
        <v>4300</v>
      </c>
      <c r="J197" s="2">
        <v>0</v>
      </c>
      <c r="K197" s="2">
        <v>0</v>
      </c>
      <c r="L197" s="2">
        <v>0</v>
      </c>
      <c r="M197" s="183">
        <f t="shared" si="36"/>
        <v>0</v>
      </c>
      <c r="N197" s="2">
        <v>0</v>
      </c>
      <c r="O197" s="2">
        <v>0</v>
      </c>
      <c r="P197" s="2">
        <v>0</v>
      </c>
      <c r="Q197" s="183">
        <f t="shared" si="37"/>
        <v>0</v>
      </c>
      <c r="R197" s="183">
        <f t="shared" si="38"/>
        <v>4300</v>
      </c>
    </row>
    <row r="198" spans="1:18" ht="15.75" customHeight="1" x14ac:dyDescent="0.35">
      <c r="A198" s="349" t="s">
        <v>1793</v>
      </c>
      <c r="B198" s="2">
        <v>1119</v>
      </c>
      <c r="C198" s="2">
        <v>269</v>
      </c>
      <c r="D198" s="2">
        <v>423</v>
      </c>
      <c r="E198" s="183">
        <f t="shared" si="34"/>
        <v>1811</v>
      </c>
      <c r="F198" s="2">
        <v>431</v>
      </c>
      <c r="G198" s="2">
        <v>876</v>
      </c>
      <c r="H198" s="2">
        <v>1379</v>
      </c>
      <c r="I198" s="183">
        <f t="shared" si="35"/>
        <v>2686</v>
      </c>
      <c r="J198" s="2">
        <v>1241</v>
      </c>
      <c r="K198" s="2">
        <v>2212</v>
      </c>
      <c r="L198" s="2">
        <v>3998</v>
      </c>
      <c r="M198" s="183">
        <f t="shared" si="36"/>
        <v>7451</v>
      </c>
      <c r="N198" s="2">
        <v>3282</v>
      </c>
      <c r="O198" s="2">
        <v>1541</v>
      </c>
      <c r="P198" s="2">
        <v>3555</v>
      </c>
      <c r="Q198" s="183">
        <f t="shared" si="37"/>
        <v>8378</v>
      </c>
      <c r="R198" s="183">
        <f t="shared" si="38"/>
        <v>20326</v>
      </c>
    </row>
    <row r="199" spans="1:18" ht="15.75" customHeight="1" x14ac:dyDescent="0.35">
      <c r="A199" s="349" t="s">
        <v>885</v>
      </c>
      <c r="B199" s="2">
        <v>0</v>
      </c>
      <c r="C199" s="2">
        <v>0</v>
      </c>
      <c r="D199" s="2">
        <v>0</v>
      </c>
      <c r="E199" s="183">
        <f t="shared" si="34"/>
        <v>0</v>
      </c>
      <c r="F199" s="2">
        <v>0</v>
      </c>
      <c r="G199" s="2">
        <v>0</v>
      </c>
      <c r="H199" s="2">
        <v>0</v>
      </c>
      <c r="I199" s="183">
        <f t="shared" si="35"/>
        <v>0</v>
      </c>
      <c r="J199" s="2">
        <v>0</v>
      </c>
      <c r="K199" s="2">
        <v>0</v>
      </c>
      <c r="L199" s="2">
        <v>0</v>
      </c>
      <c r="M199" s="183">
        <f t="shared" si="36"/>
        <v>0</v>
      </c>
      <c r="N199" s="2">
        <v>0</v>
      </c>
      <c r="O199" s="2">
        <v>0</v>
      </c>
      <c r="P199" s="2">
        <v>0</v>
      </c>
      <c r="Q199" s="183">
        <f t="shared" si="37"/>
        <v>0</v>
      </c>
      <c r="R199" s="183">
        <f t="shared" si="38"/>
        <v>0</v>
      </c>
    </row>
    <row r="200" spans="1:18" ht="15.75" customHeight="1" x14ac:dyDescent="0.35">
      <c r="A200" s="349" t="s">
        <v>613</v>
      </c>
      <c r="B200" s="2">
        <v>0</v>
      </c>
      <c r="C200" s="2">
        <v>0</v>
      </c>
      <c r="D200" s="2">
        <v>0</v>
      </c>
      <c r="E200" s="183">
        <f t="shared" si="34"/>
        <v>0</v>
      </c>
      <c r="F200" s="2">
        <v>0</v>
      </c>
      <c r="G200" s="2">
        <v>0</v>
      </c>
      <c r="H200" s="2">
        <v>0</v>
      </c>
      <c r="I200" s="183">
        <f t="shared" si="35"/>
        <v>0</v>
      </c>
      <c r="J200" s="2">
        <v>0</v>
      </c>
      <c r="K200" s="2">
        <v>0</v>
      </c>
      <c r="L200" s="2">
        <v>0</v>
      </c>
      <c r="M200" s="183">
        <f t="shared" si="36"/>
        <v>0</v>
      </c>
      <c r="N200" s="2">
        <v>0</v>
      </c>
      <c r="O200" s="2">
        <v>0</v>
      </c>
      <c r="P200" s="2">
        <v>0</v>
      </c>
      <c r="Q200" s="183">
        <f t="shared" si="37"/>
        <v>0</v>
      </c>
      <c r="R200" s="183">
        <f t="shared" si="38"/>
        <v>0</v>
      </c>
    </row>
    <row r="201" spans="1:18" ht="15.75" customHeight="1" x14ac:dyDescent="0.35">
      <c r="A201" s="349" t="s">
        <v>1163</v>
      </c>
      <c r="B201" s="2">
        <v>0</v>
      </c>
      <c r="C201" s="2">
        <v>0</v>
      </c>
      <c r="D201" s="2">
        <v>1713</v>
      </c>
      <c r="E201" s="183">
        <f>SUM(B201:D201)</f>
        <v>1713</v>
      </c>
      <c r="F201" s="2">
        <v>101</v>
      </c>
      <c r="G201" s="2">
        <v>0</v>
      </c>
      <c r="H201" s="2">
        <v>0</v>
      </c>
      <c r="I201" s="183">
        <f>SUM(F201:H201)</f>
        <v>101</v>
      </c>
      <c r="J201" s="2">
        <v>0</v>
      </c>
      <c r="K201" s="2">
        <v>0</v>
      </c>
      <c r="L201" s="2">
        <v>0</v>
      </c>
      <c r="M201" s="183">
        <f>SUM(J201:L201)</f>
        <v>0</v>
      </c>
      <c r="N201" s="2">
        <v>0</v>
      </c>
      <c r="O201" s="2">
        <v>0</v>
      </c>
      <c r="P201" s="2">
        <v>0</v>
      </c>
      <c r="Q201" s="183">
        <f>SUM(N201:P201)</f>
        <v>0</v>
      </c>
      <c r="R201" s="183">
        <f>+E201+I201+M201+Q201</f>
        <v>1814</v>
      </c>
    </row>
    <row r="202" spans="1:18" ht="15.75" customHeight="1" x14ac:dyDescent="0.35">
      <c r="A202" s="349" t="s">
        <v>1097</v>
      </c>
      <c r="B202" s="2">
        <v>0</v>
      </c>
      <c r="C202" s="2">
        <v>0</v>
      </c>
      <c r="D202" s="2">
        <v>0</v>
      </c>
      <c r="E202" s="183">
        <f t="shared" si="34"/>
        <v>0</v>
      </c>
      <c r="F202" s="2">
        <v>0</v>
      </c>
      <c r="G202" s="2">
        <v>0</v>
      </c>
      <c r="H202" s="2">
        <v>0</v>
      </c>
      <c r="I202" s="183">
        <f t="shared" si="35"/>
        <v>0</v>
      </c>
      <c r="J202" s="2">
        <v>0</v>
      </c>
      <c r="K202" s="2">
        <v>0</v>
      </c>
      <c r="L202" s="2">
        <v>0</v>
      </c>
      <c r="M202" s="183">
        <f t="shared" si="36"/>
        <v>0</v>
      </c>
      <c r="N202" s="2">
        <v>0</v>
      </c>
      <c r="O202" s="2">
        <v>0</v>
      </c>
      <c r="P202" s="2">
        <v>0</v>
      </c>
      <c r="Q202" s="183">
        <f t="shared" si="37"/>
        <v>0</v>
      </c>
      <c r="R202" s="183">
        <f t="shared" si="38"/>
        <v>0</v>
      </c>
    </row>
    <row r="203" spans="1:18" ht="15.75" customHeight="1" x14ac:dyDescent="0.35">
      <c r="A203" s="349" t="s">
        <v>14</v>
      </c>
      <c r="B203" s="2">
        <v>0</v>
      </c>
      <c r="C203" s="2">
        <v>0</v>
      </c>
      <c r="D203" s="2">
        <v>0</v>
      </c>
      <c r="E203" s="183">
        <f t="shared" si="34"/>
        <v>0</v>
      </c>
      <c r="F203" s="2">
        <v>0</v>
      </c>
      <c r="G203" s="2">
        <v>3023</v>
      </c>
      <c r="H203" s="2">
        <v>0</v>
      </c>
      <c r="I203" s="183">
        <f t="shared" si="35"/>
        <v>3023</v>
      </c>
      <c r="J203" s="2">
        <v>0</v>
      </c>
      <c r="K203" s="2">
        <v>0</v>
      </c>
      <c r="L203" s="2">
        <v>0</v>
      </c>
      <c r="M203" s="183">
        <f t="shared" si="36"/>
        <v>0</v>
      </c>
      <c r="N203" s="2">
        <v>0</v>
      </c>
      <c r="O203" s="2">
        <v>0</v>
      </c>
      <c r="P203" s="2">
        <v>0</v>
      </c>
      <c r="Q203" s="183">
        <f t="shared" si="37"/>
        <v>0</v>
      </c>
      <c r="R203" s="183">
        <f t="shared" si="38"/>
        <v>3023</v>
      </c>
    </row>
    <row r="204" spans="1:18" ht="15.75" customHeight="1" x14ac:dyDescent="0.35">
      <c r="A204" s="349" t="s">
        <v>2410</v>
      </c>
      <c r="B204" s="2">
        <v>0</v>
      </c>
      <c r="C204" s="2">
        <v>60</v>
      </c>
      <c r="D204" s="2">
        <v>0</v>
      </c>
      <c r="E204" s="183">
        <f t="shared" si="34"/>
        <v>60</v>
      </c>
      <c r="F204" s="2">
        <v>0</v>
      </c>
      <c r="G204" s="2">
        <v>0</v>
      </c>
      <c r="H204" s="2">
        <v>0</v>
      </c>
      <c r="I204" s="183">
        <f t="shared" si="35"/>
        <v>0</v>
      </c>
      <c r="J204" s="2">
        <v>0</v>
      </c>
      <c r="K204" s="2">
        <v>0</v>
      </c>
      <c r="L204" s="2">
        <v>0</v>
      </c>
      <c r="M204" s="183">
        <f t="shared" si="36"/>
        <v>0</v>
      </c>
      <c r="N204" s="2">
        <v>0</v>
      </c>
      <c r="O204" s="2">
        <v>0</v>
      </c>
      <c r="P204" s="2">
        <v>0</v>
      </c>
      <c r="Q204" s="183">
        <f t="shared" si="37"/>
        <v>0</v>
      </c>
      <c r="R204" s="183">
        <f t="shared" si="38"/>
        <v>60</v>
      </c>
    </row>
    <row r="205" spans="1:18" ht="15.75" customHeight="1" x14ac:dyDescent="0.35">
      <c r="A205" s="349" t="s">
        <v>2485</v>
      </c>
      <c r="B205" s="2">
        <v>0</v>
      </c>
      <c r="C205" s="2">
        <v>0</v>
      </c>
      <c r="D205" s="2">
        <v>0</v>
      </c>
      <c r="E205" s="183">
        <f t="shared" si="34"/>
        <v>0</v>
      </c>
      <c r="F205" s="2">
        <v>60</v>
      </c>
      <c r="G205" s="2">
        <v>0</v>
      </c>
      <c r="H205" s="2">
        <v>0</v>
      </c>
      <c r="I205" s="183">
        <f t="shared" si="35"/>
        <v>60</v>
      </c>
      <c r="J205" s="2">
        <v>0</v>
      </c>
      <c r="K205" s="2">
        <v>0</v>
      </c>
      <c r="L205" s="2">
        <v>0</v>
      </c>
      <c r="M205" s="183">
        <f t="shared" si="36"/>
        <v>0</v>
      </c>
      <c r="N205" s="2">
        <v>0</v>
      </c>
      <c r="O205" s="2">
        <v>0</v>
      </c>
      <c r="P205" s="2">
        <v>0</v>
      </c>
      <c r="Q205" s="183">
        <f t="shared" si="37"/>
        <v>0</v>
      </c>
      <c r="R205" s="183">
        <f t="shared" si="38"/>
        <v>60</v>
      </c>
    </row>
    <row r="206" spans="1:18" s="230" customFormat="1" ht="15.75" customHeight="1" x14ac:dyDescent="0.35">
      <c r="A206" s="349" t="s">
        <v>1643</v>
      </c>
      <c r="B206" s="2">
        <v>399</v>
      </c>
      <c r="C206" s="2">
        <v>528</v>
      </c>
      <c r="D206" s="2">
        <v>769</v>
      </c>
      <c r="E206" s="183">
        <f t="shared" si="34"/>
        <v>1696</v>
      </c>
      <c r="F206" s="2">
        <v>1071</v>
      </c>
      <c r="G206" s="2">
        <v>943</v>
      </c>
      <c r="H206" s="2">
        <v>565</v>
      </c>
      <c r="I206" s="183">
        <f t="shared" si="35"/>
        <v>2579</v>
      </c>
      <c r="J206" s="2">
        <v>590</v>
      </c>
      <c r="K206" s="2">
        <v>1107</v>
      </c>
      <c r="L206" s="2">
        <v>744</v>
      </c>
      <c r="M206" s="183">
        <f t="shared" si="36"/>
        <v>2441</v>
      </c>
      <c r="N206" s="2">
        <v>769</v>
      </c>
      <c r="O206" s="2">
        <v>744</v>
      </c>
      <c r="P206" s="2">
        <v>399</v>
      </c>
      <c r="Q206" s="183">
        <f t="shared" si="37"/>
        <v>1912</v>
      </c>
      <c r="R206" s="183">
        <f t="shared" si="38"/>
        <v>8628</v>
      </c>
    </row>
    <row r="207" spans="1:18" ht="15.75" customHeight="1" x14ac:dyDescent="0.35">
      <c r="A207" s="349" t="s">
        <v>2089</v>
      </c>
      <c r="B207" s="2">
        <v>0</v>
      </c>
      <c r="C207" s="2">
        <v>0</v>
      </c>
      <c r="D207" s="2">
        <v>0</v>
      </c>
      <c r="E207" s="183">
        <f t="shared" si="34"/>
        <v>0</v>
      </c>
      <c r="F207" s="2">
        <v>0</v>
      </c>
      <c r="G207" s="2">
        <v>0</v>
      </c>
      <c r="H207" s="2">
        <v>0</v>
      </c>
      <c r="I207" s="183">
        <f t="shared" si="35"/>
        <v>0</v>
      </c>
      <c r="J207" s="2">
        <v>0</v>
      </c>
      <c r="K207" s="2">
        <v>0</v>
      </c>
      <c r="L207" s="2">
        <v>0</v>
      </c>
      <c r="M207" s="183">
        <f t="shared" si="36"/>
        <v>0</v>
      </c>
      <c r="N207" s="2">
        <v>0</v>
      </c>
      <c r="O207" s="2">
        <v>0</v>
      </c>
      <c r="P207" s="2">
        <v>0</v>
      </c>
      <c r="Q207" s="183">
        <f t="shared" si="37"/>
        <v>0</v>
      </c>
      <c r="R207" s="183">
        <f t="shared" si="38"/>
        <v>0</v>
      </c>
    </row>
    <row r="208" spans="1:18" ht="15.75" customHeight="1" x14ac:dyDescent="0.35">
      <c r="A208" s="349" t="s">
        <v>1475</v>
      </c>
      <c r="B208" s="2">
        <v>0</v>
      </c>
      <c r="C208" s="2">
        <v>0</v>
      </c>
      <c r="D208" s="2">
        <v>0</v>
      </c>
      <c r="E208" s="183">
        <f>SUM(B208:D208)</f>
        <v>0</v>
      </c>
      <c r="F208" s="2">
        <v>0</v>
      </c>
      <c r="G208" s="2">
        <v>32</v>
      </c>
      <c r="H208" s="2">
        <v>32</v>
      </c>
      <c r="I208" s="183">
        <f>SUM(F208:H208)</f>
        <v>64</v>
      </c>
      <c r="J208" s="2">
        <v>0</v>
      </c>
      <c r="K208" s="2">
        <v>0</v>
      </c>
      <c r="L208" s="2">
        <v>0</v>
      </c>
      <c r="M208" s="183">
        <f>SUM(J208:L208)</f>
        <v>0</v>
      </c>
      <c r="N208" s="2">
        <v>0</v>
      </c>
      <c r="O208" s="2">
        <v>0</v>
      </c>
      <c r="P208" s="2">
        <v>0</v>
      </c>
      <c r="Q208" s="183">
        <f t="shared" si="37"/>
        <v>0</v>
      </c>
      <c r="R208" s="183">
        <f>+E208+I208+M208+Q208</f>
        <v>64</v>
      </c>
    </row>
    <row r="209" spans="1:18" ht="15.75" customHeight="1" x14ac:dyDescent="0.35">
      <c r="A209" s="349" t="s">
        <v>100</v>
      </c>
      <c r="B209" s="2">
        <v>648</v>
      </c>
      <c r="C209" s="2">
        <v>1470</v>
      </c>
      <c r="D209" s="2">
        <v>732</v>
      </c>
      <c r="E209" s="183">
        <f t="shared" si="34"/>
        <v>2850</v>
      </c>
      <c r="F209" s="2">
        <v>0</v>
      </c>
      <c r="G209" s="2">
        <v>0</v>
      </c>
      <c r="H209" s="2">
        <v>0</v>
      </c>
      <c r="I209" s="183">
        <f t="shared" si="35"/>
        <v>0</v>
      </c>
      <c r="J209" s="2">
        <v>0</v>
      </c>
      <c r="K209" s="2">
        <v>0</v>
      </c>
      <c r="L209" s="2">
        <v>0</v>
      </c>
      <c r="M209" s="183">
        <f t="shared" si="36"/>
        <v>0</v>
      </c>
      <c r="N209" s="2">
        <v>0</v>
      </c>
      <c r="O209" s="2">
        <v>0</v>
      </c>
      <c r="P209" s="2">
        <v>0</v>
      </c>
      <c r="Q209" s="183">
        <f t="shared" si="37"/>
        <v>0</v>
      </c>
      <c r="R209" s="183">
        <f t="shared" si="38"/>
        <v>2850</v>
      </c>
    </row>
    <row r="210" spans="1:18" ht="15.75" customHeight="1" x14ac:dyDescent="0.35">
      <c r="A210" s="349" t="s">
        <v>101</v>
      </c>
      <c r="B210" s="2">
        <v>0</v>
      </c>
      <c r="C210" s="2">
        <v>0</v>
      </c>
      <c r="D210" s="2">
        <v>0</v>
      </c>
      <c r="E210" s="183">
        <f t="shared" si="34"/>
        <v>0</v>
      </c>
      <c r="F210" s="2">
        <v>0</v>
      </c>
      <c r="G210" s="2">
        <v>0</v>
      </c>
      <c r="H210" s="2">
        <v>0</v>
      </c>
      <c r="I210" s="183">
        <f t="shared" si="35"/>
        <v>0</v>
      </c>
      <c r="J210" s="2">
        <v>0</v>
      </c>
      <c r="K210" s="2">
        <v>0</v>
      </c>
      <c r="L210" s="2">
        <v>0</v>
      </c>
      <c r="M210" s="183">
        <f t="shared" si="36"/>
        <v>0</v>
      </c>
      <c r="N210" s="2">
        <v>0</v>
      </c>
      <c r="O210" s="2">
        <v>0</v>
      </c>
      <c r="P210" s="2">
        <v>0</v>
      </c>
      <c r="Q210" s="183">
        <f t="shared" si="37"/>
        <v>0</v>
      </c>
      <c r="R210" s="183">
        <f t="shared" si="38"/>
        <v>0</v>
      </c>
    </row>
    <row r="211" spans="1:18" ht="15.75" customHeight="1" x14ac:dyDescent="0.35">
      <c r="A211" s="349" t="s">
        <v>2446</v>
      </c>
      <c r="B211" s="2">
        <v>0</v>
      </c>
      <c r="C211" s="2">
        <v>0</v>
      </c>
      <c r="D211" s="2">
        <v>0</v>
      </c>
      <c r="E211" s="183">
        <f t="shared" si="34"/>
        <v>0</v>
      </c>
      <c r="F211" s="2">
        <v>0</v>
      </c>
      <c r="G211" s="2">
        <v>4750</v>
      </c>
      <c r="H211" s="2">
        <v>0</v>
      </c>
      <c r="I211" s="183">
        <f t="shared" si="35"/>
        <v>4750</v>
      </c>
      <c r="J211" s="2">
        <v>0</v>
      </c>
      <c r="K211" s="2">
        <v>0</v>
      </c>
      <c r="L211" s="2">
        <v>0</v>
      </c>
      <c r="M211" s="183">
        <f t="shared" si="36"/>
        <v>0</v>
      </c>
      <c r="N211" s="2">
        <v>0</v>
      </c>
      <c r="O211" s="2">
        <v>0</v>
      </c>
      <c r="P211" s="2">
        <v>0</v>
      </c>
      <c r="Q211" s="183">
        <f t="shared" si="37"/>
        <v>0</v>
      </c>
      <c r="R211" s="183">
        <f t="shared" si="38"/>
        <v>4750</v>
      </c>
    </row>
    <row r="212" spans="1:18" ht="15.75" customHeight="1" x14ac:dyDescent="0.35">
      <c r="A212" s="349" t="s">
        <v>829</v>
      </c>
      <c r="B212" s="2">
        <v>95</v>
      </c>
      <c r="C212" s="2">
        <v>0</v>
      </c>
      <c r="D212" s="2">
        <v>0</v>
      </c>
      <c r="E212" s="183">
        <f t="shared" si="34"/>
        <v>95</v>
      </c>
      <c r="F212" s="2">
        <v>0</v>
      </c>
      <c r="G212" s="2">
        <v>0</v>
      </c>
      <c r="H212" s="2">
        <v>0</v>
      </c>
      <c r="I212" s="183">
        <f t="shared" si="35"/>
        <v>0</v>
      </c>
      <c r="J212" s="2">
        <v>0</v>
      </c>
      <c r="K212" s="2">
        <v>0</v>
      </c>
      <c r="L212" s="2">
        <v>0</v>
      </c>
      <c r="M212" s="183">
        <f t="shared" si="36"/>
        <v>0</v>
      </c>
      <c r="N212" s="2">
        <v>0</v>
      </c>
      <c r="O212" s="2">
        <v>0</v>
      </c>
      <c r="P212" s="2">
        <v>0</v>
      </c>
      <c r="Q212" s="183">
        <f t="shared" si="37"/>
        <v>0</v>
      </c>
      <c r="R212" s="183">
        <f t="shared" si="38"/>
        <v>95</v>
      </c>
    </row>
    <row r="213" spans="1:18" ht="15.75" customHeight="1" x14ac:dyDescent="0.35">
      <c r="A213" s="349" t="s">
        <v>343</v>
      </c>
      <c r="B213" s="2">
        <v>0</v>
      </c>
      <c r="C213" s="2">
        <v>0</v>
      </c>
      <c r="D213" s="2">
        <v>0</v>
      </c>
      <c r="E213" s="183">
        <f t="shared" si="34"/>
        <v>0</v>
      </c>
      <c r="F213" s="2">
        <v>95</v>
      </c>
      <c r="G213" s="2">
        <v>0</v>
      </c>
      <c r="H213" s="2">
        <v>0</v>
      </c>
      <c r="I213" s="183">
        <f t="shared" si="35"/>
        <v>95</v>
      </c>
      <c r="J213" s="2">
        <v>0</v>
      </c>
      <c r="K213" s="2">
        <v>0</v>
      </c>
      <c r="L213" s="2">
        <v>0</v>
      </c>
      <c r="M213" s="183">
        <f t="shared" si="36"/>
        <v>0</v>
      </c>
      <c r="N213" s="2">
        <v>0</v>
      </c>
      <c r="O213" s="2">
        <v>0</v>
      </c>
      <c r="P213" s="2">
        <v>0</v>
      </c>
      <c r="Q213" s="183">
        <f t="shared" si="37"/>
        <v>0</v>
      </c>
      <c r="R213" s="183">
        <f t="shared" si="38"/>
        <v>95</v>
      </c>
    </row>
    <row r="214" spans="1:18" ht="15.75" customHeight="1" thickBot="1" x14ac:dyDescent="0.4">
      <c r="A214" s="349" t="s">
        <v>1410</v>
      </c>
      <c r="B214" s="2">
        <v>115</v>
      </c>
      <c r="C214" s="2">
        <v>385</v>
      </c>
      <c r="D214" s="2">
        <v>0</v>
      </c>
      <c r="E214" s="183">
        <f t="shared" si="34"/>
        <v>500</v>
      </c>
      <c r="F214" s="2">
        <v>0</v>
      </c>
      <c r="G214" s="2">
        <v>0</v>
      </c>
      <c r="H214" s="2">
        <v>0</v>
      </c>
      <c r="I214" s="183">
        <f t="shared" si="35"/>
        <v>0</v>
      </c>
      <c r="J214" s="2">
        <v>0</v>
      </c>
      <c r="K214" s="2">
        <v>0</v>
      </c>
      <c r="L214" s="2">
        <v>0</v>
      </c>
      <c r="M214" s="183">
        <f t="shared" si="36"/>
        <v>0</v>
      </c>
      <c r="N214" s="2">
        <v>0</v>
      </c>
      <c r="O214" s="2">
        <v>0</v>
      </c>
      <c r="P214" s="2">
        <v>0</v>
      </c>
      <c r="Q214" s="183">
        <f t="shared" si="37"/>
        <v>0</v>
      </c>
      <c r="R214" s="183">
        <f t="shared" si="38"/>
        <v>500</v>
      </c>
    </row>
    <row r="215" spans="1:18" ht="15.75" customHeight="1" thickBot="1" x14ac:dyDescent="0.4">
      <c r="A215" s="41" t="s">
        <v>1220</v>
      </c>
      <c r="B215" s="188">
        <f>SUM(B183:B214)</f>
        <v>4545</v>
      </c>
      <c r="C215" s="189">
        <f>SUM(C183:C214)</f>
        <v>3012</v>
      </c>
      <c r="D215" s="189">
        <f>SUM(D183:D214)</f>
        <v>4415</v>
      </c>
      <c r="E215" s="56">
        <f t="shared" si="34"/>
        <v>11972</v>
      </c>
      <c r="F215" s="189">
        <f>SUM(F183:F214)</f>
        <v>2239</v>
      </c>
      <c r="G215" s="189">
        <f>SUM(G183:G214)</f>
        <v>15036</v>
      </c>
      <c r="H215" s="189">
        <f>SUM(H183:H214)</f>
        <v>16946</v>
      </c>
      <c r="I215" s="56">
        <f t="shared" si="35"/>
        <v>34221</v>
      </c>
      <c r="J215" s="189">
        <f>SUM(J183:J214)</f>
        <v>2613</v>
      </c>
      <c r="K215" s="189">
        <f>SUM(K183:K214)</f>
        <v>3978</v>
      </c>
      <c r="L215" s="189">
        <f>SUM(L183:L214)</f>
        <v>5269</v>
      </c>
      <c r="M215" s="56">
        <f t="shared" si="36"/>
        <v>11860</v>
      </c>
      <c r="N215" s="189">
        <f>SUM(N183:N214)</f>
        <v>4608</v>
      </c>
      <c r="O215" s="189">
        <f>SUM(O183:O214)</f>
        <v>2768</v>
      </c>
      <c r="P215" s="189">
        <f>SUM(P183:P214)</f>
        <v>4320</v>
      </c>
      <c r="Q215" s="56">
        <f t="shared" si="37"/>
        <v>11696</v>
      </c>
      <c r="R215" s="56">
        <f t="shared" si="38"/>
        <v>69749</v>
      </c>
    </row>
    <row r="216" spans="1:18" ht="15.75" customHeight="1" x14ac:dyDescent="0.35">
      <c r="A216" s="6" t="s">
        <v>1712</v>
      </c>
      <c r="B216" s="2"/>
      <c r="C216" s="2"/>
      <c r="D216" s="2"/>
      <c r="E216" s="183" t="s">
        <v>852</v>
      </c>
      <c r="F216" s="2"/>
      <c r="G216" s="2"/>
      <c r="H216" s="2"/>
      <c r="I216" s="183" t="s">
        <v>852</v>
      </c>
      <c r="J216" s="2"/>
      <c r="K216" s="2"/>
      <c r="L216" s="2"/>
      <c r="M216" s="183" t="s">
        <v>852</v>
      </c>
      <c r="N216" s="2"/>
      <c r="O216" s="2"/>
      <c r="P216" s="2"/>
      <c r="Q216" s="183" t="s">
        <v>852</v>
      </c>
      <c r="R216" s="183" t="s">
        <v>852</v>
      </c>
    </row>
    <row r="217" spans="1:18" ht="15.75" customHeight="1" x14ac:dyDescent="0.35">
      <c r="A217" s="6" t="s">
        <v>556</v>
      </c>
      <c r="B217" s="2"/>
      <c r="C217" s="2"/>
      <c r="D217" s="2"/>
      <c r="E217" s="183" t="s">
        <v>852</v>
      </c>
      <c r="F217" s="2"/>
      <c r="G217" s="2"/>
      <c r="H217" s="2"/>
      <c r="I217" s="183" t="s">
        <v>852</v>
      </c>
      <c r="J217" s="2"/>
      <c r="K217" s="2"/>
      <c r="L217" s="2"/>
      <c r="M217" s="183" t="s">
        <v>852</v>
      </c>
      <c r="N217" s="2"/>
      <c r="O217" s="2"/>
      <c r="P217" s="2"/>
      <c r="Q217" s="183" t="s">
        <v>852</v>
      </c>
      <c r="R217" s="183" t="s">
        <v>852</v>
      </c>
    </row>
    <row r="218" spans="1:18" ht="15.75" customHeight="1" x14ac:dyDescent="0.35">
      <c r="A218" s="505" t="s">
        <v>2512</v>
      </c>
      <c r="B218" s="2">
        <v>0</v>
      </c>
      <c r="C218" s="2">
        <v>0</v>
      </c>
      <c r="D218" s="2">
        <v>0</v>
      </c>
      <c r="E218" s="183">
        <f>SUM(B218:D218)</f>
        <v>0</v>
      </c>
      <c r="F218" s="2">
        <v>194</v>
      </c>
      <c r="G218" s="2">
        <v>789</v>
      </c>
      <c r="H218" s="2">
        <v>0</v>
      </c>
      <c r="I218" s="183">
        <f>SUM(F218:H218)</f>
        <v>983</v>
      </c>
      <c r="J218" s="2">
        <v>1146</v>
      </c>
      <c r="K218" s="2">
        <v>0</v>
      </c>
      <c r="L218" s="2">
        <v>1114</v>
      </c>
      <c r="M218" s="183">
        <f>SUM(J218:L218)</f>
        <v>2260</v>
      </c>
      <c r="N218" s="2">
        <v>354</v>
      </c>
      <c r="O218" s="2">
        <v>1403</v>
      </c>
      <c r="P218" s="2">
        <v>132</v>
      </c>
      <c r="Q218" s="183">
        <f>SUM(N218:P218)</f>
        <v>1889</v>
      </c>
      <c r="R218" s="183">
        <f>+E218+I218+M218+Q218</f>
        <v>5132</v>
      </c>
    </row>
    <row r="219" spans="1:18" ht="15.75" customHeight="1" x14ac:dyDescent="0.35">
      <c r="A219" s="505" t="s">
        <v>20</v>
      </c>
      <c r="B219" s="2">
        <v>0</v>
      </c>
      <c r="C219" s="2">
        <v>0</v>
      </c>
      <c r="D219" s="2">
        <v>0</v>
      </c>
      <c r="E219" s="183">
        <f>SUM(B219:D219)</f>
        <v>0</v>
      </c>
      <c r="F219" s="2">
        <v>0</v>
      </c>
      <c r="G219" s="2">
        <v>0</v>
      </c>
      <c r="H219" s="2">
        <v>0</v>
      </c>
      <c r="I219" s="183">
        <f>SUM(F219:H219)</f>
        <v>0</v>
      </c>
      <c r="J219" s="2">
        <v>0</v>
      </c>
      <c r="K219" s="2">
        <v>0</v>
      </c>
      <c r="L219" s="2">
        <v>0</v>
      </c>
      <c r="M219" s="183">
        <f>SUM(J219:L219)</f>
        <v>0</v>
      </c>
      <c r="N219" s="2">
        <v>0</v>
      </c>
      <c r="O219" s="2">
        <v>0</v>
      </c>
      <c r="P219" s="2">
        <v>0</v>
      </c>
      <c r="Q219" s="183">
        <f>SUM(N219:P219)</f>
        <v>0</v>
      </c>
      <c r="R219" s="183">
        <f>+E219+I219+M219+Q219</f>
        <v>0</v>
      </c>
    </row>
    <row r="220" spans="1:18" ht="15.75" customHeight="1" x14ac:dyDescent="0.35">
      <c r="A220" s="505" t="s">
        <v>2131</v>
      </c>
      <c r="B220" s="2">
        <v>0</v>
      </c>
      <c r="C220" s="2">
        <v>0</v>
      </c>
      <c r="D220" s="2">
        <v>0</v>
      </c>
      <c r="E220" s="183">
        <f>SUM(B220:D220)</f>
        <v>0</v>
      </c>
      <c r="F220" s="2">
        <v>0</v>
      </c>
      <c r="G220" s="2">
        <v>0</v>
      </c>
      <c r="H220" s="2">
        <v>0</v>
      </c>
      <c r="I220" s="183">
        <f>SUM(F220:H220)</f>
        <v>0</v>
      </c>
      <c r="J220" s="2">
        <v>0</v>
      </c>
      <c r="K220" s="2">
        <v>0</v>
      </c>
      <c r="L220" s="2">
        <v>0</v>
      </c>
      <c r="M220" s="183">
        <f>SUM(J220:L220)</f>
        <v>0</v>
      </c>
      <c r="N220" s="2">
        <v>0</v>
      </c>
      <c r="O220" s="2">
        <v>0</v>
      </c>
      <c r="P220" s="2">
        <v>0</v>
      </c>
      <c r="Q220" s="183">
        <f>SUM(N220:P220)</f>
        <v>0</v>
      </c>
      <c r="R220" s="183">
        <f>+E220+I220+M220+Q220</f>
        <v>0</v>
      </c>
    </row>
    <row r="221" spans="1:18" ht="15.75" customHeight="1" x14ac:dyDescent="0.35">
      <c r="A221" s="504" t="s">
        <v>290</v>
      </c>
      <c r="B221" s="2">
        <v>0</v>
      </c>
      <c r="C221" s="2">
        <v>0</v>
      </c>
      <c r="D221" s="2">
        <v>0</v>
      </c>
      <c r="E221" s="183">
        <f>SUM(B221:D221)</f>
        <v>0</v>
      </c>
      <c r="F221" s="2">
        <v>0</v>
      </c>
      <c r="G221" s="2">
        <v>0</v>
      </c>
      <c r="H221" s="2">
        <v>792</v>
      </c>
      <c r="I221" s="183">
        <f>SUM(F221:H221)</f>
        <v>792</v>
      </c>
      <c r="J221" s="2">
        <v>0</v>
      </c>
      <c r="K221" s="2">
        <v>508</v>
      </c>
      <c r="L221" s="2">
        <v>700</v>
      </c>
      <c r="M221" s="183">
        <f>SUM(J221:L221)</f>
        <v>1208</v>
      </c>
      <c r="N221" s="2">
        <v>0</v>
      </c>
      <c r="O221" s="2">
        <v>0</v>
      </c>
      <c r="P221" s="2">
        <v>0</v>
      </c>
      <c r="Q221" s="183">
        <f>SUM(N221:P221)</f>
        <v>0</v>
      </c>
      <c r="R221" s="183">
        <f>+E221+I221+M221+Q221</f>
        <v>2000</v>
      </c>
    </row>
    <row r="222" spans="1:18" ht="15.75" customHeight="1" x14ac:dyDescent="0.35">
      <c r="A222" s="9" t="s">
        <v>1749</v>
      </c>
      <c r="B222" s="2">
        <v>296</v>
      </c>
      <c r="C222" s="2">
        <v>200</v>
      </c>
      <c r="D222" s="2">
        <v>197</v>
      </c>
      <c r="E222" s="183">
        <f>SUM(B222:D222)</f>
        <v>693</v>
      </c>
      <c r="F222" s="2">
        <v>447</v>
      </c>
      <c r="G222" s="2">
        <v>370</v>
      </c>
      <c r="H222" s="2">
        <v>187</v>
      </c>
      <c r="I222" s="183">
        <f>SUM(F222:H222)</f>
        <v>1004</v>
      </c>
      <c r="J222" s="2">
        <v>175</v>
      </c>
      <c r="K222" s="2">
        <v>427</v>
      </c>
      <c r="L222" s="2">
        <v>188</v>
      </c>
      <c r="M222" s="183">
        <f>SUM(J222:L222)</f>
        <v>790</v>
      </c>
      <c r="N222" s="2">
        <v>172</v>
      </c>
      <c r="O222" s="2">
        <v>190</v>
      </c>
      <c r="P222" s="2">
        <v>296</v>
      </c>
      <c r="Q222" s="183">
        <f>SUM(N222:P222)</f>
        <v>658</v>
      </c>
      <c r="R222" s="183">
        <f>+E222+I222+M222+Q222</f>
        <v>3145</v>
      </c>
    </row>
    <row r="223" spans="1:18" ht="15.75" customHeight="1" x14ac:dyDescent="0.35">
      <c r="A223" s="6" t="s">
        <v>557</v>
      </c>
      <c r="B223" s="2"/>
      <c r="C223" s="2"/>
      <c r="D223" s="2"/>
      <c r="E223" s="183" t="s">
        <v>852</v>
      </c>
      <c r="F223" s="2"/>
      <c r="G223" s="2"/>
      <c r="H223" s="2"/>
      <c r="I223" s="183" t="s">
        <v>852</v>
      </c>
      <c r="J223" s="2"/>
      <c r="K223" s="2"/>
      <c r="L223" s="2"/>
      <c r="M223" s="183" t="s">
        <v>852</v>
      </c>
      <c r="N223" s="2"/>
      <c r="O223" s="2"/>
      <c r="P223" s="2"/>
      <c r="Q223" s="183" t="s">
        <v>852</v>
      </c>
      <c r="R223" s="183" t="s">
        <v>852</v>
      </c>
    </row>
    <row r="224" spans="1:18" ht="15.75" customHeight="1" x14ac:dyDescent="0.35">
      <c r="A224" s="505" t="s">
        <v>2502</v>
      </c>
      <c r="B224" s="2">
        <v>0</v>
      </c>
      <c r="C224" s="2">
        <v>0</v>
      </c>
      <c r="D224" s="2">
        <v>0</v>
      </c>
      <c r="E224" s="183">
        <f t="shared" ref="E224:E229" si="39">SUM(B224:D224)</f>
        <v>0</v>
      </c>
      <c r="F224" s="2">
        <v>0</v>
      </c>
      <c r="G224" s="2">
        <v>0</v>
      </c>
      <c r="H224" s="2">
        <v>0</v>
      </c>
      <c r="I224" s="183">
        <f t="shared" ref="I224:I229" si="40">SUM(F224:H224)</f>
        <v>0</v>
      </c>
      <c r="J224" s="2">
        <v>0</v>
      </c>
      <c r="K224" s="2">
        <v>0</v>
      </c>
      <c r="L224" s="2">
        <v>0</v>
      </c>
      <c r="M224" s="183">
        <f t="shared" ref="M224:M229" si="41">SUM(J224:L224)</f>
        <v>0</v>
      </c>
      <c r="N224" s="2">
        <v>0</v>
      </c>
      <c r="O224" s="2">
        <v>0</v>
      </c>
      <c r="P224" s="2">
        <v>0</v>
      </c>
      <c r="Q224" s="183">
        <f t="shared" ref="Q224:Q229" si="42">SUM(N224:P224)</f>
        <v>0</v>
      </c>
      <c r="R224" s="183">
        <f t="shared" ref="R224:R229" si="43">+E224+I224+M224+Q224</f>
        <v>0</v>
      </c>
    </row>
    <row r="225" spans="1:18" s="230" customFormat="1" ht="15.75" customHeight="1" x14ac:dyDescent="0.35">
      <c r="A225" s="505" t="s">
        <v>1074</v>
      </c>
      <c r="B225" s="2">
        <v>0</v>
      </c>
      <c r="C225" s="2">
        <v>0</v>
      </c>
      <c r="D225" s="2">
        <v>0</v>
      </c>
      <c r="E225" s="183">
        <f t="shared" si="39"/>
        <v>0</v>
      </c>
      <c r="F225" s="2">
        <v>0</v>
      </c>
      <c r="G225" s="2">
        <v>0</v>
      </c>
      <c r="H225" s="2">
        <v>0</v>
      </c>
      <c r="I225" s="183">
        <f t="shared" si="40"/>
        <v>0</v>
      </c>
      <c r="J225" s="2">
        <v>0</v>
      </c>
      <c r="K225" s="2">
        <v>0</v>
      </c>
      <c r="L225" s="2">
        <v>0</v>
      </c>
      <c r="M225" s="183">
        <f t="shared" si="41"/>
        <v>0</v>
      </c>
      <c r="N225" s="2">
        <v>0</v>
      </c>
      <c r="O225" s="2">
        <v>0</v>
      </c>
      <c r="P225" s="2">
        <v>0</v>
      </c>
      <c r="Q225" s="183">
        <f t="shared" si="42"/>
        <v>0</v>
      </c>
      <c r="R225" s="183">
        <f t="shared" si="43"/>
        <v>0</v>
      </c>
    </row>
    <row r="226" spans="1:18" ht="15.75" customHeight="1" x14ac:dyDescent="0.35">
      <c r="A226" s="503" t="s">
        <v>1255</v>
      </c>
      <c r="B226" s="2">
        <v>0</v>
      </c>
      <c r="C226" s="2">
        <v>0</v>
      </c>
      <c r="D226" s="2">
        <v>0</v>
      </c>
      <c r="E226" s="183">
        <f t="shared" si="39"/>
        <v>0</v>
      </c>
      <c r="F226" s="2">
        <v>0</v>
      </c>
      <c r="G226" s="2">
        <v>0</v>
      </c>
      <c r="H226" s="2">
        <v>0</v>
      </c>
      <c r="I226" s="183">
        <f t="shared" si="40"/>
        <v>0</v>
      </c>
      <c r="J226" s="2">
        <v>0</v>
      </c>
      <c r="K226" s="2">
        <v>0</v>
      </c>
      <c r="L226" s="2">
        <v>0</v>
      </c>
      <c r="M226" s="183">
        <f t="shared" si="41"/>
        <v>0</v>
      </c>
      <c r="N226" s="2">
        <v>0</v>
      </c>
      <c r="O226" s="2">
        <v>0</v>
      </c>
      <c r="P226" s="2">
        <v>0</v>
      </c>
      <c r="Q226" s="183">
        <f t="shared" si="42"/>
        <v>0</v>
      </c>
      <c r="R226" s="183">
        <f t="shared" si="43"/>
        <v>0</v>
      </c>
    </row>
    <row r="227" spans="1:18" ht="15.75" customHeight="1" x14ac:dyDescent="0.35">
      <c r="A227" s="503" t="s">
        <v>2367</v>
      </c>
      <c r="B227" s="2">
        <v>0</v>
      </c>
      <c r="C227" s="2">
        <v>0</v>
      </c>
      <c r="D227" s="2">
        <v>0</v>
      </c>
      <c r="E227" s="183">
        <f t="shared" si="39"/>
        <v>0</v>
      </c>
      <c r="F227" s="2">
        <v>0</v>
      </c>
      <c r="G227" s="2">
        <v>0</v>
      </c>
      <c r="H227" s="2">
        <v>0</v>
      </c>
      <c r="I227" s="183">
        <f t="shared" si="40"/>
        <v>0</v>
      </c>
      <c r="J227" s="2">
        <v>0</v>
      </c>
      <c r="K227" s="2">
        <v>0</v>
      </c>
      <c r="L227" s="2">
        <v>0</v>
      </c>
      <c r="M227" s="183">
        <f t="shared" si="41"/>
        <v>0</v>
      </c>
      <c r="N227" s="2">
        <v>0</v>
      </c>
      <c r="O227" s="2">
        <v>0</v>
      </c>
      <c r="P227" s="2">
        <v>0</v>
      </c>
      <c r="Q227" s="183">
        <f t="shared" si="42"/>
        <v>0</v>
      </c>
      <c r="R227" s="183">
        <f t="shared" si="43"/>
        <v>0</v>
      </c>
    </row>
    <row r="228" spans="1:18" ht="15.75" customHeight="1" x14ac:dyDescent="0.35">
      <c r="A228" s="484" t="s">
        <v>2395</v>
      </c>
      <c r="B228" s="2">
        <v>0</v>
      </c>
      <c r="C228" s="2">
        <v>0</v>
      </c>
      <c r="D228" s="2">
        <v>0</v>
      </c>
      <c r="E228" s="183">
        <f t="shared" si="39"/>
        <v>0</v>
      </c>
      <c r="F228" s="2">
        <v>0</v>
      </c>
      <c r="G228" s="2">
        <v>0</v>
      </c>
      <c r="H228" s="2">
        <v>0</v>
      </c>
      <c r="I228" s="183">
        <f t="shared" si="40"/>
        <v>0</v>
      </c>
      <c r="J228" s="2">
        <v>0</v>
      </c>
      <c r="K228" s="2">
        <v>0</v>
      </c>
      <c r="L228" s="2">
        <v>0</v>
      </c>
      <c r="M228" s="183">
        <f t="shared" si="41"/>
        <v>0</v>
      </c>
      <c r="N228" s="2">
        <v>0</v>
      </c>
      <c r="O228" s="2">
        <v>0</v>
      </c>
      <c r="P228" s="2">
        <v>0</v>
      </c>
      <c r="Q228" s="183">
        <f t="shared" si="42"/>
        <v>0</v>
      </c>
      <c r="R228" s="183">
        <f t="shared" si="43"/>
        <v>0</v>
      </c>
    </row>
    <row r="229" spans="1:18" ht="15.75" customHeight="1" x14ac:dyDescent="0.35">
      <c r="A229" s="484" t="s">
        <v>1685</v>
      </c>
      <c r="B229" s="2">
        <v>0</v>
      </c>
      <c r="C229" s="2">
        <v>0</v>
      </c>
      <c r="D229" s="2">
        <v>0</v>
      </c>
      <c r="E229" s="183">
        <f t="shared" si="39"/>
        <v>0</v>
      </c>
      <c r="F229" s="2">
        <v>0</v>
      </c>
      <c r="G229" s="2">
        <v>0</v>
      </c>
      <c r="H229" s="2">
        <v>0</v>
      </c>
      <c r="I229" s="183">
        <f t="shared" si="40"/>
        <v>0</v>
      </c>
      <c r="J229" s="2">
        <v>0</v>
      </c>
      <c r="K229" s="2">
        <v>0</v>
      </c>
      <c r="L229" s="2">
        <v>0</v>
      </c>
      <c r="M229" s="183">
        <f t="shared" si="41"/>
        <v>0</v>
      </c>
      <c r="N229" s="2">
        <v>0</v>
      </c>
      <c r="O229" s="2">
        <v>0</v>
      </c>
      <c r="P229" s="2">
        <v>0</v>
      </c>
      <c r="Q229" s="183">
        <f t="shared" si="42"/>
        <v>0</v>
      </c>
      <c r="R229" s="183">
        <f t="shared" si="43"/>
        <v>0</v>
      </c>
    </row>
    <row r="230" spans="1:18" ht="15.75" customHeight="1" x14ac:dyDescent="0.35">
      <c r="A230" s="6" t="s">
        <v>558</v>
      </c>
      <c r="B230" s="2"/>
      <c r="C230" s="2"/>
      <c r="D230" s="2"/>
      <c r="E230" s="183" t="s">
        <v>852</v>
      </c>
      <c r="F230" s="2"/>
      <c r="G230" s="2"/>
      <c r="H230" s="2"/>
      <c r="I230" s="183" t="s">
        <v>852</v>
      </c>
      <c r="J230" s="2"/>
      <c r="K230" s="2"/>
      <c r="L230" s="2"/>
      <c r="M230" s="183" t="s">
        <v>852</v>
      </c>
      <c r="N230" s="2"/>
      <c r="O230" s="2"/>
      <c r="P230" s="2"/>
      <c r="Q230" s="183" t="s">
        <v>852</v>
      </c>
      <c r="R230" s="183" t="s">
        <v>852</v>
      </c>
    </row>
    <row r="231" spans="1:18" ht="15.75" customHeight="1" x14ac:dyDescent="0.35">
      <c r="A231" s="9" t="s">
        <v>1611</v>
      </c>
      <c r="B231" s="2">
        <v>0</v>
      </c>
      <c r="C231" s="2">
        <v>0</v>
      </c>
      <c r="D231" s="2">
        <v>0</v>
      </c>
      <c r="E231" s="183">
        <f>SUM(B231:D231)</f>
        <v>0</v>
      </c>
      <c r="F231" s="2">
        <v>0</v>
      </c>
      <c r="G231" s="2">
        <v>0</v>
      </c>
      <c r="H231" s="2">
        <v>0</v>
      </c>
      <c r="I231" s="183">
        <f>SUM(F231:H231)</f>
        <v>0</v>
      </c>
      <c r="J231" s="2">
        <v>0</v>
      </c>
      <c r="K231" s="2">
        <v>0</v>
      </c>
      <c r="L231" s="2">
        <v>0</v>
      </c>
      <c r="M231" s="183">
        <f>SUM(J231:L231)</f>
        <v>0</v>
      </c>
      <c r="N231" s="2">
        <v>0</v>
      </c>
      <c r="O231" s="2">
        <v>0</v>
      </c>
      <c r="P231" s="2">
        <v>0</v>
      </c>
      <c r="Q231" s="183">
        <f>SUM(N231:P231)</f>
        <v>0</v>
      </c>
      <c r="R231" s="183">
        <f>+E231+I231+M231+Q231</f>
        <v>0</v>
      </c>
    </row>
    <row r="232" spans="1:18" ht="15.75" customHeight="1" x14ac:dyDescent="0.35">
      <c r="A232" s="9" t="s">
        <v>1006</v>
      </c>
      <c r="B232" s="2">
        <v>0</v>
      </c>
      <c r="C232" s="2">
        <v>0</v>
      </c>
      <c r="D232" s="2">
        <v>0</v>
      </c>
      <c r="E232" s="183">
        <f>SUM(B232:D232)</f>
        <v>0</v>
      </c>
      <c r="F232" s="2">
        <v>0</v>
      </c>
      <c r="G232" s="2">
        <v>0</v>
      </c>
      <c r="H232" s="2">
        <v>0</v>
      </c>
      <c r="I232" s="183">
        <f>SUM(F232:H232)</f>
        <v>0</v>
      </c>
      <c r="J232" s="2">
        <v>0</v>
      </c>
      <c r="K232" s="2">
        <v>0</v>
      </c>
      <c r="L232" s="2">
        <v>0</v>
      </c>
      <c r="M232" s="183">
        <f>SUM(J232:L232)</f>
        <v>0</v>
      </c>
      <c r="N232" s="2">
        <v>0</v>
      </c>
      <c r="O232" s="2">
        <v>0</v>
      </c>
      <c r="P232" s="2">
        <v>0</v>
      </c>
      <c r="Q232" s="183">
        <f>SUM(N232:P232)</f>
        <v>0</v>
      </c>
      <c r="R232" s="183">
        <f>+E232+I232+M232+Q232</f>
        <v>0</v>
      </c>
    </row>
    <row r="233" spans="1:18" ht="15.75" customHeight="1" thickBot="1" x14ac:dyDescent="0.4">
      <c r="A233" s="6" t="s">
        <v>559</v>
      </c>
      <c r="B233" s="2"/>
      <c r="C233" s="2"/>
      <c r="D233" s="2"/>
      <c r="E233" s="183" t="s">
        <v>852</v>
      </c>
      <c r="F233" s="2"/>
      <c r="G233" s="2"/>
      <c r="H233" s="2"/>
      <c r="I233" s="183" t="s">
        <v>852</v>
      </c>
      <c r="J233" s="2"/>
      <c r="K233" s="2"/>
      <c r="L233" s="2"/>
      <c r="M233" s="183" t="s">
        <v>852</v>
      </c>
      <c r="N233" s="2"/>
      <c r="O233" s="2"/>
      <c r="P233" s="2"/>
      <c r="Q233" s="183" t="s">
        <v>852</v>
      </c>
      <c r="R233" s="183" t="s">
        <v>852</v>
      </c>
    </row>
    <row r="234" spans="1:18" ht="15.75" customHeight="1" thickBot="1" x14ac:dyDescent="0.4">
      <c r="A234" s="41" t="s">
        <v>1019</v>
      </c>
      <c r="B234" s="184">
        <f>SUM(B230:B233)</f>
        <v>0</v>
      </c>
      <c r="C234" s="184">
        <f>SUM(C230:C233)</f>
        <v>0</v>
      </c>
      <c r="D234" s="184">
        <f>SUM(D230:D233)</f>
        <v>0</v>
      </c>
      <c r="E234" s="185">
        <f t="shared" ref="E234:E242" si="44">SUM(B234:D234)</f>
        <v>0</v>
      </c>
      <c r="F234" s="184">
        <f>SUM(F230:F233)</f>
        <v>0</v>
      </c>
      <c r="G234" s="184">
        <f>SUM(G230:G233)</f>
        <v>0</v>
      </c>
      <c r="H234" s="184">
        <f>SUM(H230:H233)</f>
        <v>0</v>
      </c>
      <c r="I234" s="185">
        <f t="shared" ref="I234:I242" si="45">SUM(F234:H234)</f>
        <v>0</v>
      </c>
      <c r="J234" s="184">
        <f>SUM(J230:J233)</f>
        <v>0</v>
      </c>
      <c r="K234" s="184">
        <f>SUM(K230:K233)</f>
        <v>0</v>
      </c>
      <c r="L234" s="184">
        <f>SUM(L230:L233)</f>
        <v>0</v>
      </c>
      <c r="M234" s="185">
        <f t="shared" ref="M234:M242" si="46">SUM(J234:L234)</f>
        <v>0</v>
      </c>
      <c r="N234" s="184">
        <f>SUM(N230:N233)</f>
        <v>0</v>
      </c>
      <c r="O234" s="184">
        <f>SUM(O230:O233)</f>
        <v>0</v>
      </c>
      <c r="P234" s="184">
        <f>SUM(P230:P233)</f>
        <v>0</v>
      </c>
      <c r="Q234" s="185">
        <f t="shared" ref="Q234:Q242" si="47">SUM(N234:P234)</f>
        <v>0</v>
      </c>
      <c r="R234" s="56">
        <f t="shared" ref="R234:R242" si="48">+E234+I234+M234+Q234</f>
        <v>0</v>
      </c>
    </row>
    <row r="235" spans="1:18" ht="15.75" customHeight="1" thickBot="1" x14ac:dyDescent="0.4">
      <c r="A235" s="41" t="s">
        <v>1221</v>
      </c>
      <c r="B235" s="188">
        <f>SUM(B216:B233)</f>
        <v>296</v>
      </c>
      <c r="C235" s="189">
        <f>SUM(C216:C233)</f>
        <v>200</v>
      </c>
      <c r="D235" s="189">
        <f>SUM(D216:D233)</f>
        <v>197</v>
      </c>
      <c r="E235" s="56">
        <f t="shared" si="44"/>
        <v>693</v>
      </c>
      <c r="F235" s="189">
        <f>SUM(F216:F233)</f>
        <v>641</v>
      </c>
      <c r="G235" s="189">
        <f>SUM(G216:G233)</f>
        <v>1159</v>
      </c>
      <c r="H235" s="189">
        <f>SUM(H216:H233)</f>
        <v>979</v>
      </c>
      <c r="I235" s="56">
        <f t="shared" si="45"/>
        <v>2779</v>
      </c>
      <c r="J235" s="189">
        <f>SUM(J216:J233)</f>
        <v>1321</v>
      </c>
      <c r="K235" s="189">
        <f>SUM(K216:K233)</f>
        <v>935</v>
      </c>
      <c r="L235" s="189">
        <f>SUM(L216:L233)</f>
        <v>2002</v>
      </c>
      <c r="M235" s="56">
        <f t="shared" si="46"/>
        <v>4258</v>
      </c>
      <c r="N235" s="189">
        <f>SUM(N216:N233)</f>
        <v>526</v>
      </c>
      <c r="O235" s="189">
        <f>SUM(O216:O233)</f>
        <v>1593</v>
      </c>
      <c r="P235" s="189">
        <f>SUM(P216:P233)</f>
        <v>428</v>
      </c>
      <c r="Q235" s="56">
        <f t="shared" si="47"/>
        <v>2547</v>
      </c>
      <c r="R235" s="56">
        <f t="shared" si="48"/>
        <v>10277</v>
      </c>
    </row>
    <row r="236" spans="1:18" ht="15.75" customHeight="1" thickBot="1" x14ac:dyDescent="0.4">
      <c r="A236" s="41" t="s">
        <v>1222</v>
      </c>
      <c r="B236" s="190">
        <f>+B177+B182+B215+B235</f>
        <v>21993</v>
      </c>
      <c r="C236" s="184">
        <f>+C177+C182+C215+C235</f>
        <v>18811</v>
      </c>
      <c r="D236" s="184">
        <f>+D177+D182+D215+D235</f>
        <v>26575</v>
      </c>
      <c r="E236" s="186">
        <f t="shared" si="44"/>
        <v>67379</v>
      </c>
      <c r="F236" s="184">
        <f>+F177+F182+F215+F235</f>
        <v>25834</v>
      </c>
      <c r="G236" s="184">
        <f>+G177+G182+G215+G235</f>
        <v>35600</v>
      </c>
      <c r="H236" s="184">
        <f>+H177+H182+H215+H235</f>
        <v>34879</v>
      </c>
      <c r="I236" s="186">
        <f t="shared" si="45"/>
        <v>96313</v>
      </c>
      <c r="J236" s="184">
        <f>+J177+J182+J215+J235</f>
        <v>35529</v>
      </c>
      <c r="K236" s="184">
        <f>+K177+K182+K215+K235</f>
        <v>37389</v>
      </c>
      <c r="L236" s="184">
        <f>+L177+L182+L215+L235</f>
        <v>32296</v>
      </c>
      <c r="M236" s="186">
        <f t="shared" si="46"/>
        <v>105214</v>
      </c>
      <c r="N236" s="184">
        <f>+N177+N182+N215+N235</f>
        <v>32891</v>
      </c>
      <c r="O236" s="184">
        <f>+O177+O182+O215+O235</f>
        <v>22455</v>
      </c>
      <c r="P236" s="184">
        <f>+P177+P182+P215+P235</f>
        <v>26922</v>
      </c>
      <c r="Q236" s="186">
        <f t="shared" si="47"/>
        <v>82268</v>
      </c>
      <c r="R236" s="186">
        <f t="shared" si="48"/>
        <v>351174</v>
      </c>
    </row>
    <row r="237" spans="1:18" ht="15.75" customHeight="1" x14ac:dyDescent="0.35">
      <c r="A237" s="506" t="s">
        <v>474</v>
      </c>
      <c r="B237" s="2">
        <v>0</v>
      </c>
      <c r="C237" s="2">
        <v>637</v>
      </c>
      <c r="D237" s="2">
        <v>3343</v>
      </c>
      <c r="E237" s="183">
        <f t="shared" si="44"/>
        <v>3980</v>
      </c>
      <c r="F237" s="2">
        <v>2738</v>
      </c>
      <c r="G237" s="2">
        <v>3244</v>
      </c>
      <c r="H237" s="2">
        <v>2609</v>
      </c>
      <c r="I237" s="183">
        <f t="shared" si="45"/>
        <v>8591</v>
      </c>
      <c r="J237" s="2">
        <v>3010</v>
      </c>
      <c r="K237" s="2">
        <v>2870</v>
      </c>
      <c r="L237" s="2">
        <v>2972</v>
      </c>
      <c r="M237" s="183">
        <f t="shared" si="46"/>
        <v>8852</v>
      </c>
      <c r="N237" s="2">
        <v>4607</v>
      </c>
      <c r="O237" s="2">
        <v>4045</v>
      </c>
      <c r="P237" s="2">
        <v>599</v>
      </c>
      <c r="Q237" s="183">
        <f t="shared" si="47"/>
        <v>9251</v>
      </c>
      <c r="R237" s="183">
        <f t="shared" si="48"/>
        <v>30674</v>
      </c>
    </row>
    <row r="238" spans="1:18" ht="15.75" customHeight="1" x14ac:dyDescent="0.35">
      <c r="A238" s="507" t="s">
        <v>899</v>
      </c>
      <c r="B238" s="2">
        <v>-837</v>
      </c>
      <c r="C238" s="2">
        <v>-1677</v>
      </c>
      <c r="D238" s="2">
        <v>-1246</v>
      </c>
      <c r="E238" s="183">
        <f t="shared" si="44"/>
        <v>-3760</v>
      </c>
      <c r="F238" s="2">
        <v>-5393</v>
      </c>
      <c r="G238" s="2">
        <v>-2494</v>
      </c>
      <c r="H238" s="2">
        <v>-6596</v>
      </c>
      <c r="I238" s="183">
        <f t="shared" si="45"/>
        <v>-14483</v>
      </c>
      <c r="J238" s="2">
        <v>-5100</v>
      </c>
      <c r="K238" s="2">
        <v>-9040</v>
      </c>
      <c r="L238" s="2">
        <v>-7990</v>
      </c>
      <c r="M238" s="183">
        <f t="shared" si="46"/>
        <v>-22130</v>
      </c>
      <c r="N238" s="2">
        <v>-6356</v>
      </c>
      <c r="O238" s="2">
        <v>-2699</v>
      </c>
      <c r="P238" s="2">
        <v>-4384</v>
      </c>
      <c r="Q238" s="183">
        <f t="shared" si="47"/>
        <v>-13439</v>
      </c>
      <c r="R238" s="183">
        <f t="shared" si="48"/>
        <v>-53812</v>
      </c>
    </row>
    <row r="239" spans="1:18" ht="15.75" customHeight="1" x14ac:dyDescent="0.35">
      <c r="A239" s="9" t="s">
        <v>794</v>
      </c>
      <c r="B239" s="2">
        <v>0</v>
      </c>
      <c r="C239" s="2">
        <v>0</v>
      </c>
      <c r="D239" s="2">
        <v>0</v>
      </c>
      <c r="E239" s="183">
        <f t="shared" si="44"/>
        <v>0</v>
      </c>
      <c r="F239" s="2">
        <v>0</v>
      </c>
      <c r="G239" s="2">
        <v>0</v>
      </c>
      <c r="H239" s="2">
        <v>0</v>
      </c>
      <c r="I239" s="183">
        <f t="shared" si="45"/>
        <v>0</v>
      </c>
      <c r="J239" s="2">
        <v>0</v>
      </c>
      <c r="K239" s="2">
        <v>0</v>
      </c>
      <c r="L239" s="2">
        <v>0</v>
      </c>
      <c r="M239" s="183">
        <f t="shared" si="46"/>
        <v>0</v>
      </c>
      <c r="N239" s="2">
        <v>0</v>
      </c>
      <c r="O239" s="2">
        <v>0</v>
      </c>
      <c r="P239" s="2">
        <v>0</v>
      </c>
      <c r="Q239" s="183">
        <f>SUM(N239:P239)</f>
        <v>0</v>
      </c>
      <c r="R239" s="183">
        <f>+E239+I239+M239+Q239</f>
        <v>0</v>
      </c>
    </row>
    <row r="240" spans="1:18" ht="15.75" customHeight="1" x14ac:dyDescent="0.35">
      <c r="A240" s="507" t="s">
        <v>2348</v>
      </c>
      <c r="B240" s="2">
        <v>56</v>
      </c>
      <c r="C240" s="2">
        <v>54</v>
      </c>
      <c r="D240" s="2">
        <v>90</v>
      </c>
      <c r="E240" s="183">
        <f t="shared" si="44"/>
        <v>200</v>
      </c>
      <c r="F240" s="2">
        <v>99</v>
      </c>
      <c r="G240" s="2">
        <v>179</v>
      </c>
      <c r="H240" s="2">
        <v>150</v>
      </c>
      <c r="I240" s="183">
        <f t="shared" si="45"/>
        <v>428</v>
      </c>
      <c r="J240" s="2">
        <v>137</v>
      </c>
      <c r="K240" s="2">
        <v>192</v>
      </c>
      <c r="L240" s="2">
        <v>186</v>
      </c>
      <c r="M240" s="183">
        <f t="shared" si="46"/>
        <v>515</v>
      </c>
      <c r="N240" s="2">
        <v>143</v>
      </c>
      <c r="O240" s="2">
        <v>106</v>
      </c>
      <c r="P240" s="2">
        <v>40</v>
      </c>
      <c r="Q240" s="183">
        <f t="shared" si="47"/>
        <v>289</v>
      </c>
      <c r="R240" s="183">
        <f t="shared" si="48"/>
        <v>1432</v>
      </c>
    </row>
    <row r="241" spans="1:18" ht="15.75" customHeight="1" x14ac:dyDescent="0.35">
      <c r="A241" s="503" t="s">
        <v>2096</v>
      </c>
      <c r="B241" s="2">
        <v>97686</v>
      </c>
      <c r="C241" s="2">
        <v>85428</v>
      </c>
      <c r="D241" s="2">
        <v>45817</v>
      </c>
      <c r="E241" s="183">
        <f t="shared" si="44"/>
        <v>228931</v>
      </c>
      <c r="F241" s="2">
        <v>20571</v>
      </c>
      <c r="G241" s="2">
        <v>4193</v>
      </c>
      <c r="H241" s="2">
        <v>0</v>
      </c>
      <c r="I241" s="183">
        <f t="shared" si="45"/>
        <v>24764</v>
      </c>
      <c r="J241" s="2">
        <v>0</v>
      </c>
      <c r="K241" s="2">
        <v>0</v>
      </c>
      <c r="L241" s="2">
        <v>20940</v>
      </c>
      <c r="M241" s="183">
        <f t="shared" si="46"/>
        <v>20940</v>
      </c>
      <c r="N241" s="2">
        <v>17280</v>
      </c>
      <c r="O241" s="2">
        <v>77414</v>
      </c>
      <c r="P241" s="2">
        <v>58224</v>
      </c>
      <c r="Q241" s="183">
        <f t="shared" si="47"/>
        <v>152918</v>
      </c>
      <c r="R241" s="183">
        <f t="shared" si="48"/>
        <v>427553</v>
      </c>
    </row>
    <row r="242" spans="1:18" ht="15.75" customHeight="1" thickBot="1" x14ac:dyDescent="0.4">
      <c r="A242" s="474" t="s">
        <v>853</v>
      </c>
      <c r="B242" s="459">
        <v>104</v>
      </c>
      <c r="C242" s="459">
        <v>268</v>
      </c>
      <c r="D242" s="459">
        <v>474</v>
      </c>
      <c r="E242" s="183">
        <f t="shared" si="44"/>
        <v>846</v>
      </c>
      <c r="F242" s="459">
        <v>647</v>
      </c>
      <c r="G242" s="459">
        <v>742</v>
      </c>
      <c r="H242" s="459">
        <v>781</v>
      </c>
      <c r="I242" s="183">
        <f t="shared" si="45"/>
        <v>2170</v>
      </c>
      <c r="J242" s="459">
        <v>774</v>
      </c>
      <c r="K242" s="459">
        <v>596</v>
      </c>
      <c r="L242" s="459">
        <v>546</v>
      </c>
      <c r="M242" s="183">
        <f t="shared" si="46"/>
        <v>1916</v>
      </c>
      <c r="N242" s="459">
        <v>517</v>
      </c>
      <c r="O242" s="459">
        <v>413</v>
      </c>
      <c r="P242" s="459">
        <v>302</v>
      </c>
      <c r="Q242" s="183">
        <f t="shared" si="47"/>
        <v>1232</v>
      </c>
      <c r="R242" s="183">
        <f t="shared" si="48"/>
        <v>6164</v>
      </c>
    </row>
    <row r="243" spans="1:18" ht="15.75" customHeight="1" thickBot="1" x14ac:dyDescent="0.4">
      <c r="A243" s="494"/>
      <c r="B243" s="495"/>
      <c r="C243" s="495"/>
      <c r="D243" s="495"/>
      <c r="E243" s="185"/>
      <c r="F243" s="495"/>
      <c r="G243" s="495"/>
      <c r="H243" s="495"/>
      <c r="I243" s="56"/>
      <c r="J243" s="495"/>
      <c r="K243" s="495"/>
      <c r="L243" s="495"/>
      <c r="M243" s="56"/>
      <c r="N243" s="495"/>
      <c r="O243" s="495"/>
      <c r="P243" s="495"/>
      <c r="Q243" s="56"/>
      <c r="R243" s="56" t="s">
        <v>852</v>
      </c>
    </row>
    <row r="244" spans="1:18" ht="15.75" customHeight="1" x14ac:dyDescent="0.35">
      <c r="A244" s="496" t="s">
        <v>2011</v>
      </c>
      <c r="B244" s="497">
        <f>SUM(B236:B242)</f>
        <v>119002</v>
      </c>
      <c r="C244" s="497">
        <f>SUM(C236:C242)</f>
        <v>103521</v>
      </c>
      <c r="D244" s="497">
        <f>SUM(D236:D242)</f>
        <v>75053</v>
      </c>
      <c r="E244" s="185">
        <f>SUM(B244:D244)</f>
        <v>297576</v>
      </c>
      <c r="F244" s="497">
        <f>SUM(F236:F242)</f>
        <v>44496</v>
      </c>
      <c r="G244" s="497">
        <f>SUM(G236:G242)</f>
        <v>41464</v>
      </c>
      <c r="H244" s="497">
        <f>SUM(H236:H242)</f>
        <v>31823</v>
      </c>
      <c r="I244" s="185">
        <f>SUM(F244:H244)</f>
        <v>117783</v>
      </c>
      <c r="J244" s="497">
        <f>SUM(J236:J242)</f>
        <v>34350</v>
      </c>
      <c r="K244" s="497">
        <f>SUM(K236:K242)</f>
        <v>32007</v>
      </c>
      <c r="L244" s="497">
        <f>SUM(L236:L242)</f>
        <v>48950</v>
      </c>
      <c r="M244" s="185">
        <f>SUM(J244:L244)</f>
        <v>115307</v>
      </c>
      <c r="N244" s="497">
        <f>SUM(N236:N242)</f>
        <v>49082</v>
      </c>
      <c r="O244" s="497">
        <f>SUM(O236:O242)</f>
        <v>101734</v>
      </c>
      <c r="P244" s="497">
        <f>SUM(P236:P242)</f>
        <v>81703</v>
      </c>
      <c r="Q244" s="508">
        <f>SUM(N244:P244)</f>
        <v>232519</v>
      </c>
      <c r="R244" s="185">
        <f>+E244+I244+M244+Q244</f>
        <v>763185</v>
      </c>
    </row>
    <row r="245" spans="1:18" ht="15.75" customHeight="1" x14ac:dyDescent="0.35">
      <c r="A245" s="499" t="s">
        <v>1897</v>
      </c>
      <c r="B245" s="2">
        <f>(B244/31)/1.983</f>
        <v>1935.8417516633319</v>
      </c>
      <c r="C245" s="2">
        <f>(C244/28)/1.983</f>
        <v>1864.4370002161227</v>
      </c>
      <c r="D245" s="2">
        <f>(D244/31)/1.983</f>
        <v>1220.9099930050591</v>
      </c>
      <c r="E245" s="183" t="s">
        <v>852</v>
      </c>
      <c r="F245" s="2">
        <f>(F244/30)/1.983</f>
        <v>747.9576399394856</v>
      </c>
      <c r="G245" s="2">
        <f>(G244/31)/1.983</f>
        <v>674.50750736095517</v>
      </c>
      <c r="H245" s="2">
        <f>(H244/30)/1.983</f>
        <v>534.93024037653379</v>
      </c>
      <c r="I245" s="183" t="s">
        <v>852</v>
      </c>
      <c r="J245" s="2">
        <f>(J244/31)/1.983</f>
        <v>558.78190425064656</v>
      </c>
      <c r="K245" s="2">
        <f>(K244/31)/1.983</f>
        <v>520.66761017031865</v>
      </c>
      <c r="L245" s="2">
        <f>(L244/30)/1.983</f>
        <v>822.82736594385608</v>
      </c>
      <c r="M245" s="183" t="s">
        <v>852</v>
      </c>
      <c r="N245" s="2">
        <f>(N244/31)/1.983</f>
        <v>798.4318318611422</v>
      </c>
      <c r="O245" s="2">
        <f>(O244/30)/1.983</f>
        <v>1710.102538241721</v>
      </c>
      <c r="P245" s="2">
        <f>(P244/31)/1.983</f>
        <v>1329.087566899289</v>
      </c>
      <c r="Q245" s="509" t="s">
        <v>852</v>
      </c>
      <c r="R245" s="183" t="s">
        <v>852</v>
      </c>
    </row>
    <row r="246" spans="1:18" ht="15.75" customHeight="1" x14ac:dyDescent="0.35">
      <c r="A246" s="499" t="s">
        <v>154</v>
      </c>
      <c r="B246" s="2">
        <f>(+B244+B359)+B253</f>
        <v>162308</v>
      </c>
      <c r="C246" s="2">
        <f>(+C244+C359)+C253</f>
        <v>140487</v>
      </c>
      <c r="D246" s="2">
        <f>(+D244+D359)+D253</f>
        <v>151665</v>
      </c>
      <c r="E246" s="183">
        <f>SUM(B246:D246)</f>
        <v>454460</v>
      </c>
      <c r="F246" s="2">
        <f>(+F244+F359)+F253</f>
        <v>146681</v>
      </c>
      <c r="G246" s="2">
        <f>(+G244+G359)+G253</f>
        <v>136095</v>
      </c>
      <c r="H246" s="2">
        <f>(+H244+H359)+H253</f>
        <v>77591</v>
      </c>
      <c r="I246" s="183">
        <f>SUM(F246:H246)</f>
        <v>360367</v>
      </c>
      <c r="J246" s="2">
        <f>(+J244+J359)+J253</f>
        <v>49706</v>
      </c>
      <c r="K246" s="2">
        <f>(+K244+K359)+K253</f>
        <v>41035</v>
      </c>
      <c r="L246" s="2">
        <f>(+L244+L359)+L253</f>
        <v>130231</v>
      </c>
      <c r="M246" s="183">
        <f>SUM(J246:L246)</f>
        <v>220972</v>
      </c>
      <c r="N246" s="2">
        <f>(+N244+N359)+N253</f>
        <v>108904</v>
      </c>
      <c r="O246" s="2">
        <f>(+O244+O359)+O253</f>
        <v>115910</v>
      </c>
      <c r="P246" s="2">
        <f>(+P244+P359)+P253</f>
        <v>123193</v>
      </c>
      <c r="Q246" s="509">
        <f>SUM(N246:P246)</f>
        <v>348007</v>
      </c>
      <c r="R246" s="183">
        <f>+E246+I246+M246+Q246</f>
        <v>1383806</v>
      </c>
    </row>
    <row r="247" spans="1:18" ht="15.75" customHeight="1" thickBot="1" x14ac:dyDescent="0.4">
      <c r="A247" s="500" t="s">
        <v>2110</v>
      </c>
      <c r="B247" s="467">
        <f>(B246/31)/1.983</f>
        <v>2640.3136336277717</v>
      </c>
      <c r="C247" s="467">
        <f>(C246/28)/1.983</f>
        <v>2530.2031553922625</v>
      </c>
      <c r="D247" s="467">
        <f>(D246/31)/1.983</f>
        <v>2467.1807134839682</v>
      </c>
      <c r="E247" s="186" t="s">
        <v>852</v>
      </c>
      <c r="F247" s="467">
        <f>(F246/30)/1.983</f>
        <v>2465.6412842494537</v>
      </c>
      <c r="G247" s="467">
        <f>(G246/31)/1.983</f>
        <v>2213.8987848323654</v>
      </c>
      <c r="H247" s="467">
        <f>(H246/30)/1.983</f>
        <v>1304.2696251470836</v>
      </c>
      <c r="I247" s="186" t="s">
        <v>852</v>
      </c>
      <c r="J247" s="467">
        <f>(J246/31)/1.983</f>
        <v>808.58262977242043</v>
      </c>
      <c r="K247" s="467">
        <f>(K246/31)/1.983</f>
        <v>667.52883379695152</v>
      </c>
      <c r="L247" s="467">
        <f>(L246/30)/1.983</f>
        <v>2189.1242225584133</v>
      </c>
      <c r="M247" s="186" t="s">
        <v>852</v>
      </c>
      <c r="N247" s="467">
        <f>(N246/30)/1.983</f>
        <v>1830.6269961338039</v>
      </c>
      <c r="O247" s="467">
        <f>(O246/30)/1.983</f>
        <v>1948.3946881828876</v>
      </c>
      <c r="P247" s="467">
        <f>(P246/31)/1.983</f>
        <v>2004.0180241732141</v>
      </c>
      <c r="Q247" s="510" t="s">
        <v>852</v>
      </c>
      <c r="R247" s="186" t="s">
        <v>852</v>
      </c>
    </row>
    <row r="248" spans="1:18" ht="15.75" customHeight="1" thickBot="1" x14ac:dyDescent="0.4">
      <c r="A248" s="511" t="s">
        <v>1700</v>
      </c>
      <c r="B248" s="512">
        <f>+(B246-(B141+B143+B144+B153+B157+B164+B173+B174+B186+B187+B188+B218+B219+B220+B221+B224+B225+B226+B227+B237+B241)-B253-B249)/(31*1.983)</f>
        <v>898.81736697411861</v>
      </c>
      <c r="C248" s="512">
        <f>+(C246-(C141+C143+C144+C153+C157+C164+C173+C174+C186+C187+C188+C218+C219+C220+C221+C224+C225+C226+C227+C237+C241)-C253-C249)/(31*1.983)</f>
        <v>733.91570282888415</v>
      </c>
      <c r="D248" s="512">
        <f>+(D246-(D141+D143+D144+D153+D157+D164+D173+D174+D186+D187+D188+D218+D219+D220+D221+D224+D225+D226+D227+D237+D241)-D253-D249)/(31*1.983)</f>
        <v>1475.6559790477118</v>
      </c>
      <c r="E248" s="513"/>
      <c r="F248" s="512">
        <f>+(F246-(F141+F143+F144+F153+F157+F164+F173+F174+F186+F187+F188+F218+F219+F220+F221+F224+F225+F226+F227+F237+F241)-F253-F249)/(31*1.983)</f>
        <v>1857.8400273290711</v>
      </c>
      <c r="G248" s="512">
        <f>+(G246-(G141+G143+G144+G153+G157+G164+G173+G174+G186+G187+G188+G218+G219+G220+G221+G224+G225+G226+G227+G237+G241)-G253-G249)/(31*1.983)</f>
        <v>2065.2969596408179</v>
      </c>
      <c r="H248" s="512">
        <f>+(H246-(H141+H143+H144+H153+H157+H164+H173+H174+H186+H187+H188+H218+H219+H220+H221+H224+H225+H226+H227+H237+H241)-H253-H249)/(31*1.983)</f>
        <v>2384.4289362809686</v>
      </c>
      <c r="I248" s="513"/>
      <c r="J248" s="512">
        <f>+(J246-(J141+J143+J144+J153+J157+J164+J173+J174+J186+J187+J188+J218+J219+J220+J221+J224+J225+J226+J227+J237+J241)-J253-J249)/(31*1.983)</f>
        <v>2503.0663868690317</v>
      </c>
      <c r="K248" s="512">
        <f>+(K246-(K141+K143+K144+K153+K157+K164+K173+K174+K186+K187+K188+K218+K219+K220+K221+K224+K225+K226+K227+K237+K241)-K253-K249)/(31*1.983)</f>
        <v>2474.7938119174269</v>
      </c>
      <c r="L248" s="512">
        <f>+(L246-(L141+L143+L144+L153+L157+L164+L173+L174+L186+L187+L188+L218+L219+L220+L221+L224+L225+L226+L227+L237+L241)-L253-L249)/(31*1.983)</f>
        <v>1713.9231857888828</v>
      </c>
      <c r="M248" s="513"/>
      <c r="N248" s="512">
        <f>+(N246-(N141+N143+N144+N153+N157+N164+N173+N174+N186+N187+N188+N218+N219+N220+N221+N224+N225+N226+N227+N237+N241)-N253-N249)/(31*1.983)</f>
        <v>1279.7813674296031</v>
      </c>
      <c r="O248" s="512">
        <f>+(O246-(O141+O143+O144+O153+O157+O164+O173+O174+O186+O187+O188+O218+O219+O220+O221+O224+O225+O226+O227+O237+O241)-O253-O249)/(31*1.983)</f>
        <v>428.39945992549571</v>
      </c>
      <c r="P248" s="512">
        <f>+(P246-(P141+P143+P144+P153+P157+P164+P173+P174+P186+P187+P188+P218+P219+P220+P221+P224+P225+P226+P227+P237+P241)-P253-P249)/(31*1.983)</f>
        <v>857.38454280741132</v>
      </c>
      <c r="Q248" s="514"/>
      <c r="R248" s="513"/>
    </row>
    <row r="249" spans="1:18" ht="15.75" customHeight="1" x14ac:dyDescent="0.35">
      <c r="A249" s="334" t="s">
        <v>2400</v>
      </c>
      <c r="B249" s="2">
        <v>3805</v>
      </c>
      <c r="C249" s="2">
        <v>3360</v>
      </c>
      <c r="D249" s="2">
        <v>3720</v>
      </c>
      <c r="E249" s="2"/>
      <c r="F249" s="2">
        <v>3600</v>
      </c>
      <c r="G249" s="2">
        <v>3720</v>
      </c>
      <c r="H249" s="2">
        <v>3600</v>
      </c>
      <c r="I249" s="2"/>
      <c r="J249" s="2">
        <v>3720</v>
      </c>
      <c r="K249" s="2">
        <v>3805</v>
      </c>
      <c r="L249" s="2">
        <v>3683</v>
      </c>
      <c r="M249" s="2"/>
      <c r="N249" s="2">
        <v>3805</v>
      </c>
      <c r="O249" s="2">
        <v>3683</v>
      </c>
      <c r="P249" s="2">
        <v>3805</v>
      </c>
      <c r="Q249" s="2"/>
      <c r="R249" s="187"/>
    </row>
    <row r="250" spans="1:18" ht="15.75" customHeight="1" thickBot="1" x14ac:dyDescent="0.4">
      <c r="A250" s="8"/>
      <c r="B250" s="2"/>
      <c r="C250" s="2"/>
      <c r="D250" s="2"/>
      <c r="E250" s="2"/>
      <c r="F250" s="2"/>
      <c r="G250" s="2"/>
      <c r="H250" s="2"/>
      <c r="I250" s="2"/>
      <c r="J250" s="2"/>
      <c r="K250" s="2"/>
      <c r="L250" s="2"/>
      <c r="M250" s="2"/>
      <c r="N250" s="2"/>
      <c r="O250" s="2"/>
      <c r="P250" s="2"/>
      <c r="Q250" s="2"/>
      <c r="R250" s="187"/>
    </row>
    <row r="251" spans="1:18" ht="15.75" customHeight="1" thickBot="1" x14ac:dyDescent="0.4">
      <c r="A251" s="470" t="s">
        <v>1754</v>
      </c>
      <c r="B251" s="179" t="s">
        <v>2090</v>
      </c>
      <c r="C251" s="180" t="s">
        <v>2091</v>
      </c>
      <c r="D251" s="180" t="s">
        <v>2234</v>
      </c>
      <c r="E251" s="175" t="s">
        <v>1594</v>
      </c>
      <c r="F251" s="180" t="s">
        <v>2235</v>
      </c>
      <c r="G251" s="180" t="s">
        <v>2236</v>
      </c>
      <c r="H251" s="180" t="s">
        <v>2237</v>
      </c>
      <c r="I251" s="64" t="s">
        <v>1595</v>
      </c>
      <c r="J251" s="180" t="s">
        <v>1504</v>
      </c>
      <c r="K251" s="180" t="s">
        <v>1505</v>
      </c>
      <c r="L251" s="180" t="s">
        <v>1506</v>
      </c>
      <c r="M251" s="64" t="s">
        <v>1596</v>
      </c>
      <c r="N251" s="180" t="s">
        <v>1507</v>
      </c>
      <c r="O251" s="180" t="s">
        <v>1508</v>
      </c>
      <c r="P251" s="180" t="s">
        <v>1509</v>
      </c>
      <c r="Q251" s="64" t="s">
        <v>1597</v>
      </c>
      <c r="R251" s="471" t="s">
        <v>1510</v>
      </c>
    </row>
    <row r="252" spans="1:18" ht="15.75" customHeight="1" thickBot="1" x14ac:dyDescent="0.4">
      <c r="A252" s="494"/>
      <c r="B252" s="495"/>
      <c r="C252" s="495"/>
      <c r="D252" s="495"/>
      <c r="E252" s="501"/>
      <c r="F252" s="495"/>
      <c r="G252" s="495"/>
      <c r="H252" s="495"/>
      <c r="I252" s="501"/>
      <c r="J252" s="495"/>
      <c r="K252" s="495"/>
      <c r="L252" s="495"/>
      <c r="M252" s="501"/>
      <c r="N252" s="495"/>
      <c r="O252" s="495"/>
      <c r="P252" s="495"/>
      <c r="Q252" s="501"/>
      <c r="R252" s="515"/>
    </row>
    <row r="253" spans="1:18" ht="15.75" customHeight="1" thickBot="1" x14ac:dyDescent="0.4">
      <c r="A253" s="9" t="s">
        <v>1000</v>
      </c>
      <c r="B253" s="2">
        <v>0</v>
      </c>
      <c r="C253" s="2">
        <v>0</v>
      </c>
      <c r="D253" s="2">
        <v>0</v>
      </c>
      <c r="E253" s="183">
        <f>SUM(B253:D253)</f>
        <v>0</v>
      </c>
      <c r="F253" s="2">
        <v>0</v>
      </c>
      <c r="G253" s="2">
        <v>-12106</v>
      </c>
      <c r="H253" s="2">
        <v>-84124</v>
      </c>
      <c r="I253" s="183">
        <f>SUM(F253:H253)</f>
        <v>-96230</v>
      </c>
      <c r="J253" s="2">
        <v>-118289</v>
      </c>
      <c r="K253" s="2">
        <v>-126218</v>
      </c>
      <c r="L253" s="2">
        <v>-9314</v>
      </c>
      <c r="M253" s="183">
        <f>SUM(J253:L253)</f>
        <v>-253821</v>
      </c>
      <c r="N253" s="2">
        <v>0</v>
      </c>
      <c r="O253" s="2">
        <v>0</v>
      </c>
      <c r="P253" s="2">
        <v>0</v>
      </c>
      <c r="Q253" s="183">
        <f>SUM(N253:P253)</f>
        <v>0</v>
      </c>
      <c r="R253" s="183">
        <f>+E253+I253+M253+Q253</f>
        <v>-350051</v>
      </c>
    </row>
    <row r="254" spans="1:18" ht="15.75" customHeight="1" thickBot="1" x14ac:dyDescent="0.4">
      <c r="A254" s="516"/>
      <c r="B254" s="517"/>
      <c r="C254" s="517"/>
      <c r="D254" s="517"/>
      <c r="E254" s="518"/>
      <c r="F254" s="517"/>
      <c r="G254" s="517"/>
      <c r="H254" s="517"/>
      <c r="I254" s="518"/>
      <c r="J254" s="517"/>
      <c r="K254" s="517"/>
      <c r="L254" s="517"/>
      <c r="M254" s="518"/>
      <c r="N254" s="517"/>
      <c r="O254" s="517"/>
      <c r="P254" s="517"/>
      <c r="Q254" s="518"/>
      <c r="R254" s="519"/>
    </row>
    <row r="255" spans="1:18" ht="15.75" customHeight="1" x14ac:dyDescent="0.35">
      <c r="A255" s="6" t="s">
        <v>662</v>
      </c>
      <c r="B255" s="2">
        <f>B253</f>
        <v>0</v>
      </c>
      <c r="C255" s="2">
        <f>C253</f>
        <v>0</v>
      </c>
      <c r="D255" s="2">
        <f>D253</f>
        <v>0</v>
      </c>
      <c r="E255" s="183">
        <f>SUM(B255:D255)</f>
        <v>0</v>
      </c>
      <c r="F255" s="2">
        <f>F253</f>
        <v>0</v>
      </c>
      <c r="G255" s="2">
        <f>G253</f>
        <v>-12106</v>
      </c>
      <c r="H255" s="2">
        <f>H253</f>
        <v>-84124</v>
      </c>
      <c r="I255" s="183">
        <f>SUM(F255:H255)</f>
        <v>-96230</v>
      </c>
      <c r="J255" s="2">
        <f>J253</f>
        <v>-118289</v>
      </c>
      <c r="K255" s="2">
        <f>K253</f>
        <v>-126218</v>
      </c>
      <c r="L255" s="2">
        <f>L253</f>
        <v>-9314</v>
      </c>
      <c r="M255" s="183">
        <f>SUM(J255:L255)</f>
        <v>-253821</v>
      </c>
      <c r="N255" s="2">
        <f>N253</f>
        <v>0</v>
      </c>
      <c r="O255" s="2">
        <f>O253</f>
        <v>0</v>
      </c>
      <c r="P255" s="2">
        <f>P253</f>
        <v>0</v>
      </c>
      <c r="Q255" s="183">
        <f>SUM(N255:P255)</f>
        <v>0</v>
      </c>
      <c r="R255" s="520">
        <f>R253</f>
        <v>-350051</v>
      </c>
    </row>
    <row r="256" spans="1:18" ht="15.75" customHeight="1" thickBot="1" x14ac:dyDescent="0.4">
      <c r="A256" s="458" t="s">
        <v>1897</v>
      </c>
      <c r="B256" s="459">
        <f>(B255/31)/1.983</f>
        <v>0</v>
      </c>
      <c r="C256" s="459">
        <f>(C255/28)/1.983</f>
        <v>0</v>
      </c>
      <c r="D256" s="459">
        <f>(D255/31)/1.983</f>
        <v>0</v>
      </c>
      <c r="E256" s="186"/>
      <c r="F256" s="459">
        <f>(F255/30)/1.983</f>
        <v>0</v>
      </c>
      <c r="G256" s="459">
        <f>(G255/31)/1.983</f>
        <v>-196.93198640053356</v>
      </c>
      <c r="H256" s="459">
        <f>(H255/30)/1.983</f>
        <v>-1414.086401075811</v>
      </c>
      <c r="I256" s="186"/>
      <c r="J256" s="459">
        <f>(J255/31)/1.983</f>
        <v>-1924.2431636653491</v>
      </c>
      <c r="K256" s="459">
        <f>(K255/31)/1.983</f>
        <v>-2053.22661981683</v>
      </c>
      <c r="L256" s="459">
        <f>(L255/30)/1.983</f>
        <v>-156.56412842494535</v>
      </c>
      <c r="M256" s="186"/>
      <c r="N256" s="459">
        <f>(N255/31)/1.983</f>
        <v>0</v>
      </c>
      <c r="O256" s="459">
        <f>(O255/30)/1.983</f>
        <v>0</v>
      </c>
      <c r="P256" s="459">
        <f>(P255/31)/1.983</f>
        <v>0</v>
      </c>
      <c r="Q256" s="186"/>
      <c r="R256" s="515" t="s">
        <v>852</v>
      </c>
    </row>
    <row r="257" spans="1:18" ht="15.75" customHeight="1" x14ac:dyDescent="0.35">
      <c r="A257" s="187"/>
      <c r="B257" s="2"/>
      <c r="C257" s="2"/>
      <c r="D257" s="2"/>
      <c r="E257" s="2"/>
      <c r="F257" s="2"/>
      <c r="G257" s="2"/>
      <c r="H257" s="2"/>
      <c r="I257" s="2"/>
      <c r="J257" s="2"/>
      <c r="K257" s="2"/>
      <c r="L257" s="2"/>
      <c r="M257" s="2"/>
      <c r="N257" s="2"/>
      <c r="O257" s="2"/>
      <c r="P257" s="2"/>
      <c r="Q257" s="2"/>
      <c r="R257" s="187"/>
    </row>
    <row r="258" spans="1:18" ht="15.75" customHeight="1" thickBot="1" x14ac:dyDescent="0.4">
      <c r="A258" s="521"/>
      <c r="B258" s="459"/>
      <c r="C258" s="459"/>
      <c r="D258" s="459"/>
      <c r="E258" s="459"/>
      <c r="F258" s="459"/>
      <c r="G258" s="459"/>
      <c r="H258" s="459"/>
      <c r="I258" s="459"/>
      <c r="J258" s="459"/>
      <c r="K258" s="459"/>
      <c r="L258" s="459"/>
      <c r="M258" s="459"/>
      <c r="N258" s="459"/>
      <c r="O258" s="459"/>
      <c r="P258" s="459"/>
      <c r="Q258" s="459"/>
      <c r="R258" s="521"/>
    </row>
    <row r="259" spans="1:18" ht="15.75" customHeight="1" thickBot="1" x14ac:dyDescent="0.4">
      <c r="A259" s="11" t="s">
        <v>89</v>
      </c>
      <c r="B259" s="179" t="s">
        <v>2090</v>
      </c>
      <c r="C259" s="180" t="s">
        <v>2091</v>
      </c>
      <c r="D259" s="180" t="s">
        <v>2234</v>
      </c>
      <c r="E259" s="175" t="s">
        <v>1594</v>
      </c>
      <c r="F259" s="180" t="s">
        <v>2235</v>
      </c>
      <c r="G259" s="180" t="s">
        <v>2236</v>
      </c>
      <c r="H259" s="180" t="s">
        <v>2237</v>
      </c>
      <c r="I259" s="64" t="s">
        <v>1595</v>
      </c>
      <c r="J259" s="180" t="s">
        <v>1504</v>
      </c>
      <c r="K259" s="180" t="s">
        <v>1505</v>
      </c>
      <c r="L259" s="180" t="s">
        <v>1506</v>
      </c>
      <c r="M259" s="64" t="s">
        <v>1596</v>
      </c>
      <c r="N259" s="180" t="s">
        <v>1507</v>
      </c>
      <c r="O259" s="180" t="s">
        <v>1508</v>
      </c>
      <c r="P259" s="180" t="s">
        <v>1509</v>
      </c>
      <c r="Q259" s="64" t="s">
        <v>1597</v>
      </c>
      <c r="R259" s="471" t="s">
        <v>1510</v>
      </c>
    </row>
    <row r="260" spans="1:18" ht="15.75" customHeight="1" thickBot="1" x14ac:dyDescent="0.4">
      <c r="A260" s="56"/>
      <c r="B260" s="495"/>
      <c r="C260" s="495"/>
      <c r="D260" s="495"/>
      <c r="E260" s="491"/>
      <c r="F260" s="495"/>
      <c r="G260" s="495"/>
      <c r="H260" s="495"/>
      <c r="I260" s="501"/>
      <c r="J260" s="495"/>
      <c r="K260" s="495"/>
      <c r="L260" s="495"/>
      <c r="M260" s="501"/>
      <c r="N260" s="495"/>
      <c r="O260" s="495"/>
      <c r="P260" s="495"/>
      <c r="Q260" s="501"/>
      <c r="R260" s="515"/>
    </row>
    <row r="261" spans="1:18" ht="15.75" customHeight="1" x14ac:dyDescent="0.35">
      <c r="A261" s="6" t="s">
        <v>2417</v>
      </c>
      <c r="B261" s="2" t="s">
        <v>852</v>
      </c>
      <c r="C261" s="2" t="s">
        <v>852</v>
      </c>
      <c r="D261" s="2" t="s">
        <v>852</v>
      </c>
      <c r="E261" s="183" t="s">
        <v>852</v>
      </c>
      <c r="F261" s="2" t="s">
        <v>852</v>
      </c>
      <c r="G261" s="2" t="s">
        <v>852</v>
      </c>
      <c r="H261" s="2" t="s">
        <v>852</v>
      </c>
      <c r="I261" s="183" t="s">
        <v>852</v>
      </c>
      <c r="J261" s="2" t="s">
        <v>852</v>
      </c>
      <c r="K261" s="2" t="s">
        <v>852</v>
      </c>
      <c r="L261" s="2" t="s">
        <v>852</v>
      </c>
      <c r="M261" s="183" t="s">
        <v>852</v>
      </c>
      <c r="N261" s="2" t="s">
        <v>852</v>
      </c>
      <c r="O261" s="2" t="s">
        <v>852</v>
      </c>
      <c r="P261" s="2" t="s">
        <v>852</v>
      </c>
      <c r="Q261" s="183" t="s">
        <v>852</v>
      </c>
      <c r="R261" s="183" t="s">
        <v>852</v>
      </c>
    </row>
    <row r="262" spans="1:18" ht="15.75" customHeight="1" x14ac:dyDescent="0.35">
      <c r="A262" s="6" t="s">
        <v>2160</v>
      </c>
      <c r="B262" s="2"/>
      <c r="C262" s="2"/>
      <c r="D262" s="2"/>
      <c r="E262" s="183" t="s">
        <v>852</v>
      </c>
      <c r="F262" s="2"/>
      <c r="G262" s="2"/>
      <c r="H262" s="2"/>
      <c r="I262" s="183" t="s">
        <v>852</v>
      </c>
      <c r="J262" s="2"/>
      <c r="K262" s="2"/>
      <c r="L262" s="2"/>
      <c r="M262" s="183" t="s">
        <v>852</v>
      </c>
      <c r="N262" s="2"/>
      <c r="O262" s="2"/>
      <c r="P262" s="2"/>
      <c r="Q262" s="183" t="s">
        <v>852</v>
      </c>
      <c r="R262" s="183" t="s">
        <v>852</v>
      </c>
    </row>
    <row r="263" spans="1:18" ht="15.75" customHeight="1" x14ac:dyDescent="0.35">
      <c r="A263" s="349" t="s">
        <v>2200</v>
      </c>
      <c r="B263" s="2">
        <v>49</v>
      </c>
      <c r="C263" s="522">
        <v>42</v>
      </c>
      <c r="D263" s="2">
        <v>40</v>
      </c>
      <c r="E263" s="183">
        <f>SUM(B263:D263)</f>
        <v>131</v>
      </c>
      <c r="F263" s="2">
        <v>36</v>
      </c>
      <c r="G263" s="2">
        <v>35</v>
      </c>
      <c r="H263" s="2">
        <v>42</v>
      </c>
      <c r="I263" s="183">
        <f>SUM(F263:H263)</f>
        <v>113</v>
      </c>
      <c r="J263" s="2">
        <v>43</v>
      </c>
      <c r="K263" s="2">
        <v>35</v>
      </c>
      <c r="L263" s="2">
        <v>37</v>
      </c>
      <c r="M263" s="183">
        <f>SUM(J263:L263)</f>
        <v>115</v>
      </c>
      <c r="N263" s="2">
        <v>36</v>
      </c>
      <c r="O263" s="2">
        <v>1</v>
      </c>
      <c r="P263" s="2">
        <v>29</v>
      </c>
      <c r="Q263" s="183">
        <f>SUM(N263:P263)</f>
        <v>66</v>
      </c>
      <c r="R263" s="183">
        <f>+E263+I263+M263+Q263</f>
        <v>425</v>
      </c>
    </row>
    <row r="264" spans="1:18" ht="15.75" customHeight="1" x14ac:dyDescent="0.35">
      <c r="A264" s="9" t="s">
        <v>2238</v>
      </c>
      <c r="B264" s="2">
        <v>0</v>
      </c>
      <c r="C264" s="2">
        <v>0</v>
      </c>
      <c r="D264" s="2">
        <v>0</v>
      </c>
      <c r="E264" s="183">
        <f>SUM(B264:D264)</f>
        <v>0</v>
      </c>
      <c r="F264" s="2">
        <v>0</v>
      </c>
      <c r="G264" s="2">
        <v>0</v>
      </c>
      <c r="H264" s="2">
        <v>0</v>
      </c>
      <c r="I264" s="183">
        <f>SUM(F264:H264)</f>
        <v>0</v>
      </c>
      <c r="J264" s="2">
        <v>0</v>
      </c>
      <c r="K264" s="2">
        <v>0</v>
      </c>
      <c r="L264" s="2">
        <v>0</v>
      </c>
      <c r="M264" s="183">
        <f>SUM(J264:L264)</f>
        <v>0</v>
      </c>
      <c r="N264" s="2">
        <v>0</v>
      </c>
      <c r="O264" s="2">
        <v>0</v>
      </c>
      <c r="P264" s="2">
        <v>0</v>
      </c>
      <c r="Q264" s="183">
        <f>SUM(N264:P264)</f>
        <v>0</v>
      </c>
      <c r="R264" s="183">
        <f>+E264+I264+M264+Q264</f>
        <v>0</v>
      </c>
    </row>
    <row r="265" spans="1:18" ht="15.75" customHeight="1" x14ac:dyDescent="0.35">
      <c r="A265" s="349" t="s">
        <v>730</v>
      </c>
      <c r="B265" s="2">
        <v>271</v>
      </c>
      <c r="C265" s="2">
        <v>360</v>
      </c>
      <c r="D265" s="2">
        <v>542</v>
      </c>
      <c r="E265" s="183">
        <f>SUM(B265:D265)</f>
        <v>1173</v>
      </c>
      <c r="F265" s="2">
        <v>578</v>
      </c>
      <c r="G265" s="2">
        <v>470</v>
      </c>
      <c r="H265" s="2">
        <v>408</v>
      </c>
      <c r="I265" s="183">
        <f>SUM(F265:H265)</f>
        <v>1456</v>
      </c>
      <c r="J265" s="2">
        <v>450</v>
      </c>
      <c r="K265" s="2">
        <v>519</v>
      </c>
      <c r="L265" s="2">
        <v>477</v>
      </c>
      <c r="M265" s="183">
        <f>SUM(J265:L265)</f>
        <v>1446</v>
      </c>
      <c r="N265" s="2">
        <v>762</v>
      </c>
      <c r="O265" s="2">
        <v>255</v>
      </c>
      <c r="P265" s="2">
        <v>443</v>
      </c>
      <c r="Q265" s="183">
        <f>SUM(N265:P265)</f>
        <v>1460</v>
      </c>
      <c r="R265" s="183">
        <f>+E265+I265+M265+Q265</f>
        <v>5535</v>
      </c>
    </row>
    <row r="266" spans="1:18" ht="15.75" customHeight="1" x14ac:dyDescent="0.35">
      <c r="A266" s="349" t="s">
        <v>349</v>
      </c>
      <c r="B266" s="2">
        <v>54</v>
      </c>
      <c r="C266" s="2">
        <v>49</v>
      </c>
      <c r="D266" s="2">
        <v>147</v>
      </c>
      <c r="E266" s="183">
        <f>SUM(B266:D266)</f>
        <v>250</v>
      </c>
      <c r="F266" s="2">
        <v>123</v>
      </c>
      <c r="G266" s="2">
        <v>221</v>
      </c>
      <c r="H266" s="2">
        <v>168</v>
      </c>
      <c r="I266" s="183">
        <f>SUM(F266:H266)</f>
        <v>512</v>
      </c>
      <c r="J266" s="2">
        <v>256</v>
      </c>
      <c r="K266" s="2">
        <v>210</v>
      </c>
      <c r="L266" s="2">
        <v>183</v>
      </c>
      <c r="M266" s="183">
        <f>SUM(J266:L266)</f>
        <v>649</v>
      </c>
      <c r="N266" s="2">
        <v>211</v>
      </c>
      <c r="O266" s="2">
        <v>106</v>
      </c>
      <c r="P266" s="2">
        <v>62</v>
      </c>
      <c r="Q266" s="183">
        <f>SUM(N266:P266)</f>
        <v>379</v>
      </c>
      <c r="R266" s="183">
        <f>+E266+I266+M266+Q266</f>
        <v>1790</v>
      </c>
    </row>
    <row r="267" spans="1:18" ht="15.75" customHeight="1" x14ac:dyDescent="0.35">
      <c r="A267" s="349" t="s">
        <v>1592</v>
      </c>
      <c r="B267" s="2">
        <v>0</v>
      </c>
      <c r="C267" s="2">
        <v>0</v>
      </c>
      <c r="D267" s="2">
        <v>0</v>
      </c>
      <c r="E267" s="183">
        <f t="shared" ref="E267:E273" si="49">SUM(B267:D267)</f>
        <v>0</v>
      </c>
      <c r="F267" s="2">
        <v>0</v>
      </c>
      <c r="G267" s="2">
        <v>0</v>
      </c>
      <c r="H267" s="2">
        <v>0</v>
      </c>
      <c r="I267" s="183">
        <f t="shared" ref="I267:I273" si="50">SUM(F267:H267)</f>
        <v>0</v>
      </c>
      <c r="J267" s="2">
        <v>0</v>
      </c>
      <c r="K267" s="2">
        <v>0</v>
      </c>
      <c r="L267" s="2">
        <v>0</v>
      </c>
      <c r="M267" s="183">
        <f t="shared" ref="M267:M273" si="51">SUM(J267:L267)</f>
        <v>0</v>
      </c>
      <c r="N267" s="2">
        <v>0</v>
      </c>
      <c r="O267" s="2">
        <v>0</v>
      </c>
      <c r="P267" s="2">
        <v>712</v>
      </c>
      <c r="Q267" s="183">
        <f t="shared" ref="Q267:Q273" si="52">SUM(N267:P267)</f>
        <v>712</v>
      </c>
      <c r="R267" s="183">
        <f t="shared" ref="R267:R273" si="53">+E267+I267+M267+Q267</f>
        <v>712</v>
      </c>
    </row>
    <row r="268" spans="1:18" ht="15.75" customHeight="1" x14ac:dyDescent="0.35">
      <c r="A268" s="349" t="s">
        <v>331</v>
      </c>
      <c r="B268" s="2">
        <v>17</v>
      </c>
      <c r="C268" s="2">
        <v>16</v>
      </c>
      <c r="D268" s="2">
        <v>34</v>
      </c>
      <c r="E268" s="183">
        <f t="shared" si="49"/>
        <v>67</v>
      </c>
      <c r="F268" s="2">
        <v>43</v>
      </c>
      <c r="G268" s="2">
        <v>60</v>
      </c>
      <c r="H268" s="2">
        <v>54</v>
      </c>
      <c r="I268" s="183">
        <f t="shared" si="50"/>
        <v>157</v>
      </c>
      <c r="J268" s="2">
        <v>41</v>
      </c>
      <c r="K268" s="2">
        <v>58</v>
      </c>
      <c r="L268" s="2">
        <v>29</v>
      </c>
      <c r="M268" s="183">
        <f t="shared" si="51"/>
        <v>128</v>
      </c>
      <c r="N268" s="2">
        <v>87</v>
      </c>
      <c r="O268" s="2">
        <v>31</v>
      </c>
      <c r="P268" s="2">
        <v>22</v>
      </c>
      <c r="Q268" s="183">
        <f t="shared" si="52"/>
        <v>140</v>
      </c>
      <c r="R268" s="183">
        <f t="shared" si="53"/>
        <v>492</v>
      </c>
    </row>
    <row r="269" spans="1:18" ht="15.75" customHeight="1" x14ac:dyDescent="0.35">
      <c r="A269" s="349" t="s">
        <v>1161</v>
      </c>
      <c r="B269" s="2">
        <v>0</v>
      </c>
      <c r="C269" s="2">
        <v>0</v>
      </c>
      <c r="D269" s="2">
        <v>0</v>
      </c>
      <c r="E269" s="183">
        <f t="shared" si="49"/>
        <v>0</v>
      </c>
      <c r="F269" s="2">
        <v>0</v>
      </c>
      <c r="G269" s="2">
        <v>0</v>
      </c>
      <c r="H269" s="2">
        <v>0</v>
      </c>
      <c r="I269" s="183">
        <f t="shared" si="50"/>
        <v>0</v>
      </c>
      <c r="J269" s="2">
        <v>0</v>
      </c>
      <c r="K269" s="2">
        <v>0</v>
      </c>
      <c r="L269" s="2">
        <v>0</v>
      </c>
      <c r="M269" s="183">
        <f t="shared" si="51"/>
        <v>0</v>
      </c>
      <c r="N269" s="2">
        <v>0</v>
      </c>
      <c r="O269" s="2">
        <v>0</v>
      </c>
      <c r="P269" s="2">
        <v>0</v>
      </c>
      <c r="Q269" s="183">
        <f t="shared" si="52"/>
        <v>0</v>
      </c>
      <c r="R269" s="183">
        <f t="shared" si="53"/>
        <v>0</v>
      </c>
    </row>
    <row r="270" spans="1:18" ht="15.75" customHeight="1" x14ac:dyDescent="0.35">
      <c r="A270" s="349" t="s">
        <v>347</v>
      </c>
      <c r="B270" s="2">
        <v>0</v>
      </c>
      <c r="C270" s="2">
        <v>0</v>
      </c>
      <c r="D270" s="2">
        <v>0</v>
      </c>
      <c r="E270" s="183">
        <f t="shared" si="49"/>
        <v>0</v>
      </c>
      <c r="F270" s="2">
        <v>0</v>
      </c>
      <c r="G270" s="2">
        <v>0</v>
      </c>
      <c r="H270" s="2">
        <v>0</v>
      </c>
      <c r="I270" s="183">
        <f t="shared" si="50"/>
        <v>0</v>
      </c>
      <c r="J270" s="2">
        <v>344</v>
      </c>
      <c r="K270" s="2">
        <v>1134</v>
      </c>
      <c r="L270" s="2">
        <v>1031</v>
      </c>
      <c r="M270" s="183">
        <f t="shared" si="51"/>
        <v>2509</v>
      </c>
      <c r="N270" s="2">
        <v>1209</v>
      </c>
      <c r="O270" s="2">
        <v>447</v>
      </c>
      <c r="P270" s="2">
        <v>1112</v>
      </c>
      <c r="Q270" s="183">
        <f t="shared" si="52"/>
        <v>2768</v>
      </c>
      <c r="R270" s="183">
        <f t="shared" si="53"/>
        <v>5277</v>
      </c>
    </row>
    <row r="271" spans="1:18" ht="15.75" customHeight="1" x14ac:dyDescent="0.35">
      <c r="A271" s="349" t="s">
        <v>848</v>
      </c>
      <c r="B271" s="2">
        <v>15</v>
      </c>
      <c r="C271" s="2">
        <v>22</v>
      </c>
      <c r="D271" s="2">
        <v>32</v>
      </c>
      <c r="E271" s="183">
        <f t="shared" si="49"/>
        <v>69</v>
      </c>
      <c r="F271" s="2">
        <v>49</v>
      </c>
      <c r="G271" s="2">
        <v>19</v>
      </c>
      <c r="H271" s="2">
        <v>10</v>
      </c>
      <c r="I271" s="183">
        <f t="shared" si="50"/>
        <v>78</v>
      </c>
      <c r="J271" s="2">
        <v>0</v>
      </c>
      <c r="K271" s="2">
        <v>0</v>
      </c>
      <c r="L271" s="2">
        <v>0</v>
      </c>
      <c r="M271" s="183">
        <f t="shared" si="51"/>
        <v>0</v>
      </c>
      <c r="N271" s="2">
        <v>0</v>
      </c>
      <c r="O271" s="2">
        <v>0</v>
      </c>
      <c r="P271" s="2">
        <v>0</v>
      </c>
      <c r="Q271" s="183">
        <f t="shared" si="52"/>
        <v>0</v>
      </c>
      <c r="R271" s="183">
        <f t="shared" si="53"/>
        <v>147</v>
      </c>
    </row>
    <row r="272" spans="1:18" ht="15.75" customHeight="1" x14ac:dyDescent="0.35">
      <c r="A272" s="349" t="s">
        <v>92</v>
      </c>
      <c r="B272" s="2">
        <v>3368</v>
      </c>
      <c r="C272" s="2">
        <v>1556</v>
      </c>
      <c r="D272" s="2">
        <v>510</v>
      </c>
      <c r="E272" s="183">
        <f t="shared" si="49"/>
        <v>5434</v>
      </c>
      <c r="F272" s="2">
        <v>4905</v>
      </c>
      <c r="G272" s="2">
        <v>4178</v>
      </c>
      <c r="H272" s="2">
        <v>4015</v>
      </c>
      <c r="I272" s="183">
        <f t="shared" si="50"/>
        <v>13098</v>
      </c>
      <c r="J272" s="2">
        <v>4316</v>
      </c>
      <c r="K272" s="2">
        <v>3684</v>
      </c>
      <c r="L272" s="2">
        <v>2919</v>
      </c>
      <c r="M272" s="183">
        <f t="shared" si="51"/>
        <v>10919</v>
      </c>
      <c r="N272" s="2">
        <v>2697</v>
      </c>
      <c r="O272" s="2">
        <v>821</v>
      </c>
      <c r="P272" s="2">
        <v>3567</v>
      </c>
      <c r="Q272" s="183">
        <f t="shared" si="52"/>
        <v>7085</v>
      </c>
      <c r="R272" s="183">
        <f t="shared" si="53"/>
        <v>36536</v>
      </c>
    </row>
    <row r="273" spans="1:18" ht="15.75" customHeight="1" x14ac:dyDescent="0.35">
      <c r="A273" s="349" t="s">
        <v>1927</v>
      </c>
      <c r="B273" s="2">
        <v>0</v>
      </c>
      <c r="C273" s="2">
        <v>7</v>
      </c>
      <c r="D273" s="2">
        <v>0</v>
      </c>
      <c r="E273" s="183">
        <f t="shared" si="49"/>
        <v>7</v>
      </c>
      <c r="F273" s="2">
        <v>0</v>
      </c>
      <c r="G273" s="2">
        <v>66</v>
      </c>
      <c r="H273" s="2">
        <v>57</v>
      </c>
      <c r="I273" s="183">
        <f t="shared" si="50"/>
        <v>123</v>
      </c>
      <c r="J273" s="2">
        <v>29</v>
      </c>
      <c r="K273" s="2">
        <v>98</v>
      </c>
      <c r="L273" s="2">
        <v>67</v>
      </c>
      <c r="M273" s="183">
        <f t="shared" si="51"/>
        <v>194</v>
      </c>
      <c r="N273" s="2">
        <v>24</v>
      </c>
      <c r="O273" s="2">
        <v>0</v>
      </c>
      <c r="P273" s="2">
        <v>0</v>
      </c>
      <c r="Q273" s="183">
        <f t="shared" si="52"/>
        <v>24</v>
      </c>
      <c r="R273" s="183">
        <f t="shared" si="53"/>
        <v>348</v>
      </c>
    </row>
    <row r="274" spans="1:18" ht="15.75" customHeight="1" x14ac:dyDescent="0.35">
      <c r="A274" s="6" t="s">
        <v>2161</v>
      </c>
      <c r="B274" s="2"/>
      <c r="C274" s="2"/>
      <c r="D274" s="2"/>
      <c r="E274" s="183" t="s">
        <v>852</v>
      </c>
      <c r="F274" s="2"/>
      <c r="G274" s="2"/>
      <c r="H274" s="2"/>
      <c r="I274" s="183" t="s">
        <v>852</v>
      </c>
      <c r="J274" s="2"/>
      <c r="K274" s="2"/>
      <c r="L274" s="2"/>
      <c r="M274" s="183" t="s">
        <v>852</v>
      </c>
      <c r="N274" s="2"/>
      <c r="O274" s="2"/>
      <c r="P274" s="2"/>
      <c r="Q274" s="183" t="s">
        <v>852</v>
      </c>
      <c r="R274" s="183" t="s">
        <v>852</v>
      </c>
    </row>
    <row r="275" spans="1:18" ht="15.75" customHeight="1" x14ac:dyDescent="0.35">
      <c r="A275" s="349" t="s">
        <v>754</v>
      </c>
      <c r="B275" s="2">
        <v>5</v>
      </c>
      <c r="C275" s="2">
        <v>5</v>
      </c>
      <c r="D275" s="2">
        <v>8</v>
      </c>
      <c r="E275" s="183">
        <f t="shared" ref="E275:E291" si="54">SUM(B275:D275)</f>
        <v>18</v>
      </c>
      <c r="F275" s="2">
        <v>3</v>
      </c>
      <c r="G275" s="2">
        <v>5</v>
      </c>
      <c r="H275" s="2">
        <v>10</v>
      </c>
      <c r="I275" s="183">
        <f t="shared" ref="I275:I291" si="55">SUM(F275:H275)</f>
        <v>18</v>
      </c>
      <c r="J275" s="2">
        <v>14</v>
      </c>
      <c r="K275" s="2">
        <v>13</v>
      </c>
      <c r="L275" s="2">
        <v>12</v>
      </c>
      <c r="M275" s="183">
        <f t="shared" ref="M275:M291" si="56">SUM(J275:L275)</f>
        <v>39</v>
      </c>
      <c r="N275" s="2">
        <v>15</v>
      </c>
      <c r="O275" s="2">
        <v>8</v>
      </c>
      <c r="P275" s="2">
        <v>3</v>
      </c>
      <c r="Q275" s="183">
        <f t="shared" ref="Q275:Q291" si="57">SUM(N275:P275)</f>
        <v>26</v>
      </c>
      <c r="R275" s="183">
        <f t="shared" ref="R275:R291" si="58">+E275+I275+M275+Q275</f>
        <v>101</v>
      </c>
    </row>
    <row r="276" spans="1:18" ht="15.75" customHeight="1" x14ac:dyDescent="0.35">
      <c r="A276" s="349" t="s">
        <v>1173</v>
      </c>
      <c r="B276" s="2">
        <v>0</v>
      </c>
      <c r="C276" s="2">
        <v>0</v>
      </c>
      <c r="D276" s="2">
        <v>11</v>
      </c>
      <c r="E276" s="183">
        <f>SUM(B276:D276)</f>
        <v>11</v>
      </c>
      <c r="F276" s="2">
        <v>12</v>
      </c>
      <c r="G276" s="2">
        <v>21</v>
      </c>
      <c r="H276" s="2">
        <v>6</v>
      </c>
      <c r="I276" s="183">
        <f>SUM(F276:H276)</f>
        <v>39</v>
      </c>
      <c r="J276" s="2">
        <v>22</v>
      </c>
      <c r="K276" s="2">
        <v>16</v>
      </c>
      <c r="L276" s="2">
        <v>18</v>
      </c>
      <c r="M276" s="183">
        <f>SUM(J276:L276)</f>
        <v>56</v>
      </c>
      <c r="N276" s="2">
        <v>20</v>
      </c>
      <c r="O276" s="2">
        <v>0</v>
      </c>
      <c r="P276" s="2">
        <v>0</v>
      </c>
      <c r="Q276" s="183">
        <f>SUM(N276:P276)</f>
        <v>20</v>
      </c>
      <c r="R276" s="183">
        <f>+E276+I276+M276+Q276</f>
        <v>126</v>
      </c>
    </row>
    <row r="277" spans="1:18" ht="15.75" customHeight="1" x14ac:dyDescent="0.35">
      <c r="A277" s="349" t="s">
        <v>615</v>
      </c>
      <c r="B277" s="2">
        <v>0</v>
      </c>
      <c r="C277" s="2">
        <v>0</v>
      </c>
      <c r="D277" s="2">
        <v>0</v>
      </c>
      <c r="E277" s="183">
        <f>SUM(B277:D277)</f>
        <v>0</v>
      </c>
      <c r="F277" s="2">
        <v>0</v>
      </c>
      <c r="G277" s="2">
        <v>0</v>
      </c>
      <c r="H277" s="2">
        <v>3861</v>
      </c>
      <c r="I277" s="183">
        <f>SUM(F277:H277)</f>
        <v>3861</v>
      </c>
      <c r="J277" s="2">
        <v>3739</v>
      </c>
      <c r="K277" s="2">
        <v>3242</v>
      </c>
      <c r="L277" s="2">
        <v>158</v>
      </c>
      <c r="M277" s="183">
        <f>SUM(J277:L277)</f>
        <v>7139</v>
      </c>
      <c r="N277" s="2">
        <v>0</v>
      </c>
      <c r="O277" s="2">
        <v>0</v>
      </c>
      <c r="P277" s="2">
        <v>0</v>
      </c>
      <c r="Q277" s="183">
        <f>SUM(N277:P277)</f>
        <v>0</v>
      </c>
      <c r="R277" s="183">
        <f>+E277+I277+M277+Q277</f>
        <v>11000</v>
      </c>
    </row>
    <row r="278" spans="1:18" ht="15.75" customHeight="1" x14ac:dyDescent="0.35">
      <c r="A278" s="349" t="s">
        <v>2193</v>
      </c>
      <c r="B278" s="2">
        <v>0</v>
      </c>
      <c r="C278" s="2">
        <v>0</v>
      </c>
      <c r="D278" s="2">
        <v>0</v>
      </c>
      <c r="E278" s="183">
        <f>SUM(B278:D278)</f>
        <v>0</v>
      </c>
      <c r="F278" s="2">
        <v>0</v>
      </c>
      <c r="G278" s="2">
        <v>0</v>
      </c>
      <c r="H278" s="2">
        <v>3</v>
      </c>
      <c r="I278" s="183">
        <f>SUM(F278:H278)</f>
        <v>3</v>
      </c>
      <c r="J278" s="2">
        <v>16</v>
      </c>
      <c r="K278" s="2">
        <v>11</v>
      </c>
      <c r="L278" s="2">
        <v>3</v>
      </c>
      <c r="M278" s="183">
        <f>SUM(J278:L278)</f>
        <v>30</v>
      </c>
      <c r="N278" s="2">
        <v>57</v>
      </c>
      <c r="O278" s="2">
        <v>10</v>
      </c>
      <c r="P278" s="2">
        <v>14</v>
      </c>
      <c r="Q278" s="183">
        <f>SUM(N278:P278)</f>
        <v>81</v>
      </c>
      <c r="R278" s="183">
        <f>+E278+I278+M278+Q278</f>
        <v>114</v>
      </c>
    </row>
    <row r="279" spans="1:18" ht="15.75" customHeight="1" x14ac:dyDescent="0.35">
      <c r="A279" s="349" t="s">
        <v>1732</v>
      </c>
      <c r="B279" s="2">
        <v>0</v>
      </c>
      <c r="C279" s="2">
        <v>0</v>
      </c>
      <c r="D279" s="2">
        <v>1</v>
      </c>
      <c r="E279" s="183">
        <f t="shared" si="54"/>
        <v>1</v>
      </c>
      <c r="F279" s="2">
        <v>1</v>
      </c>
      <c r="G279" s="2">
        <v>0</v>
      </c>
      <c r="H279" s="2">
        <v>1</v>
      </c>
      <c r="I279" s="183">
        <f t="shared" si="55"/>
        <v>2</v>
      </c>
      <c r="J279" s="2">
        <v>0</v>
      </c>
      <c r="K279" s="2">
        <v>1</v>
      </c>
      <c r="L279" s="2">
        <v>0</v>
      </c>
      <c r="M279" s="183">
        <f t="shared" si="56"/>
        <v>1</v>
      </c>
      <c r="N279" s="2">
        <v>0</v>
      </c>
      <c r="O279" s="2">
        <v>0</v>
      </c>
      <c r="P279" s="2">
        <v>0</v>
      </c>
      <c r="Q279" s="183">
        <f t="shared" si="57"/>
        <v>0</v>
      </c>
      <c r="R279" s="183">
        <f t="shared" si="58"/>
        <v>4</v>
      </c>
    </row>
    <row r="280" spans="1:18" ht="15.75" customHeight="1" x14ac:dyDescent="0.35">
      <c r="A280" s="349" t="s">
        <v>2074</v>
      </c>
      <c r="B280" s="2">
        <v>4</v>
      </c>
      <c r="C280" s="2">
        <v>0</v>
      </c>
      <c r="D280" s="2">
        <v>0</v>
      </c>
      <c r="E280" s="183">
        <f t="shared" si="54"/>
        <v>4</v>
      </c>
      <c r="F280" s="2">
        <v>0</v>
      </c>
      <c r="G280" s="2">
        <v>2</v>
      </c>
      <c r="H280" s="2">
        <v>2</v>
      </c>
      <c r="I280" s="183">
        <f t="shared" si="55"/>
        <v>4</v>
      </c>
      <c r="J280" s="2">
        <v>4</v>
      </c>
      <c r="K280" s="2">
        <v>4</v>
      </c>
      <c r="L280" s="2">
        <v>4</v>
      </c>
      <c r="M280" s="183">
        <f t="shared" si="56"/>
        <v>12</v>
      </c>
      <c r="N280" s="2">
        <v>9</v>
      </c>
      <c r="O280" s="2">
        <v>8</v>
      </c>
      <c r="P280" s="2">
        <v>3</v>
      </c>
      <c r="Q280" s="183">
        <f t="shared" si="57"/>
        <v>20</v>
      </c>
      <c r="R280" s="183">
        <f t="shared" si="58"/>
        <v>40</v>
      </c>
    </row>
    <row r="281" spans="1:18" ht="15.75" customHeight="1" x14ac:dyDescent="0.35">
      <c r="A281" s="349" t="s">
        <v>1095</v>
      </c>
      <c r="B281" s="2">
        <v>1</v>
      </c>
      <c r="C281" s="2">
        <v>7</v>
      </c>
      <c r="D281" s="2">
        <v>13</v>
      </c>
      <c r="E281" s="183">
        <f t="shared" si="54"/>
        <v>21</v>
      </c>
      <c r="F281" s="2">
        <v>79</v>
      </c>
      <c r="G281" s="2">
        <v>64</v>
      </c>
      <c r="H281" s="2">
        <v>67</v>
      </c>
      <c r="I281" s="183">
        <f t="shared" si="55"/>
        <v>210</v>
      </c>
      <c r="J281" s="2">
        <v>74</v>
      </c>
      <c r="K281" s="2">
        <v>135</v>
      </c>
      <c r="L281" s="2">
        <v>106</v>
      </c>
      <c r="M281" s="183">
        <f t="shared" si="56"/>
        <v>315</v>
      </c>
      <c r="N281" s="2">
        <v>24</v>
      </c>
      <c r="O281" s="2">
        <v>33</v>
      </c>
      <c r="P281" s="2">
        <v>5</v>
      </c>
      <c r="Q281" s="183">
        <f t="shared" si="57"/>
        <v>62</v>
      </c>
      <c r="R281" s="183">
        <f t="shared" si="58"/>
        <v>608</v>
      </c>
    </row>
    <row r="282" spans="1:18" ht="15.75" customHeight="1" x14ac:dyDescent="0.35">
      <c r="A282" s="349" t="s">
        <v>1138</v>
      </c>
      <c r="B282" s="2">
        <v>0</v>
      </c>
      <c r="C282" s="2">
        <v>1</v>
      </c>
      <c r="D282" s="2">
        <v>2</v>
      </c>
      <c r="E282" s="183">
        <f t="shared" si="54"/>
        <v>3</v>
      </c>
      <c r="F282" s="2">
        <v>3</v>
      </c>
      <c r="G282" s="2">
        <v>2</v>
      </c>
      <c r="H282" s="2">
        <v>1</v>
      </c>
      <c r="I282" s="183">
        <f t="shared" si="55"/>
        <v>6</v>
      </c>
      <c r="J282" s="2">
        <v>2</v>
      </c>
      <c r="K282" s="2">
        <v>1</v>
      </c>
      <c r="L282" s="2">
        <v>2</v>
      </c>
      <c r="M282" s="183">
        <f t="shared" si="56"/>
        <v>5</v>
      </c>
      <c r="N282" s="2">
        <v>1</v>
      </c>
      <c r="O282" s="2">
        <v>2</v>
      </c>
      <c r="P282" s="2">
        <v>2</v>
      </c>
      <c r="Q282" s="183">
        <f t="shared" si="57"/>
        <v>5</v>
      </c>
      <c r="R282" s="183">
        <f t="shared" si="58"/>
        <v>19</v>
      </c>
    </row>
    <row r="283" spans="1:18" ht="15.75" customHeight="1" x14ac:dyDescent="0.35">
      <c r="A283" s="349" t="s">
        <v>1927</v>
      </c>
      <c r="B283" s="2">
        <v>0</v>
      </c>
      <c r="C283" s="2">
        <v>0</v>
      </c>
      <c r="D283" s="2">
        <v>0</v>
      </c>
      <c r="E283" s="183">
        <f t="shared" si="54"/>
        <v>0</v>
      </c>
      <c r="F283" s="2">
        <v>0</v>
      </c>
      <c r="G283" s="2">
        <v>0</v>
      </c>
      <c r="H283" s="2">
        <v>0</v>
      </c>
      <c r="I283" s="183">
        <f t="shared" si="55"/>
        <v>0</v>
      </c>
      <c r="J283" s="2">
        <v>0</v>
      </c>
      <c r="K283" s="2">
        <v>0</v>
      </c>
      <c r="L283" s="2">
        <v>0</v>
      </c>
      <c r="M283" s="183">
        <f t="shared" si="56"/>
        <v>0</v>
      </c>
      <c r="N283" s="2">
        <v>0</v>
      </c>
      <c r="O283" s="2">
        <v>0</v>
      </c>
      <c r="P283" s="2">
        <v>0</v>
      </c>
      <c r="Q283" s="183">
        <f t="shared" si="57"/>
        <v>0</v>
      </c>
      <c r="R283" s="183">
        <f t="shared" si="58"/>
        <v>0</v>
      </c>
    </row>
    <row r="284" spans="1:18" ht="15.75" customHeight="1" x14ac:dyDescent="0.35">
      <c r="A284" s="349" t="s">
        <v>875</v>
      </c>
      <c r="B284" s="2">
        <v>27</v>
      </c>
      <c r="C284" s="2">
        <v>31</v>
      </c>
      <c r="D284" s="2">
        <v>56</v>
      </c>
      <c r="E284" s="183">
        <f t="shared" si="54"/>
        <v>114</v>
      </c>
      <c r="F284" s="2">
        <v>53</v>
      </c>
      <c r="G284" s="2">
        <v>72</v>
      </c>
      <c r="H284" s="2">
        <v>67</v>
      </c>
      <c r="I284" s="183">
        <f t="shared" si="55"/>
        <v>192</v>
      </c>
      <c r="J284" s="2">
        <v>82</v>
      </c>
      <c r="K284" s="2">
        <v>77</v>
      </c>
      <c r="L284" s="2">
        <v>46</v>
      </c>
      <c r="M284" s="183">
        <f t="shared" si="56"/>
        <v>205</v>
      </c>
      <c r="N284" s="2">
        <v>77</v>
      </c>
      <c r="O284" s="2">
        <v>59</v>
      </c>
      <c r="P284" s="2">
        <v>43</v>
      </c>
      <c r="Q284" s="183">
        <f t="shared" si="57"/>
        <v>179</v>
      </c>
      <c r="R284" s="183">
        <f t="shared" si="58"/>
        <v>690</v>
      </c>
    </row>
    <row r="285" spans="1:18" ht="15.75" customHeight="1" x14ac:dyDescent="0.35">
      <c r="A285" s="349" t="s">
        <v>1059</v>
      </c>
      <c r="B285" s="2">
        <v>1</v>
      </c>
      <c r="C285" s="2">
        <v>1</v>
      </c>
      <c r="D285" s="2">
        <v>1</v>
      </c>
      <c r="E285" s="183">
        <f t="shared" si="54"/>
        <v>3</v>
      </c>
      <c r="F285" s="2">
        <v>2</v>
      </c>
      <c r="G285" s="2">
        <v>2</v>
      </c>
      <c r="H285" s="2">
        <v>2</v>
      </c>
      <c r="I285" s="183">
        <f t="shared" si="55"/>
        <v>6</v>
      </c>
      <c r="J285" s="2">
        <v>2</v>
      </c>
      <c r="K285" s="2">
        <v>2</v>
      </c>
      <c r="L285" s="2">
        <v>2</v>
      </c>
      <c r="M285" s="183">
        <f t="shared" si="56"/>
        <v>6</v>
      </c>
      <c r="N285" s="2">
        <v>1</v>
      </c>
      <c r="O285" s="2">
        <v>1</v>
      </c>
      <c r="P285" s="2">
        <v>1</v>
      </c>
      <c r="Q285" s="183">
        <f t="shared" si="57"/>
        <v>3</v>
      </c>
      <c r="R285" s="183">
        <f t="shared" si="58"/>
        <v>18</v>
      </c>
    </row>
    <row r="286" spans="1:18" ht="15.75" customHeight="1" x14ac:dyDescent="0.35">
      <c r="A286" s="349" t="s">
        <v>711</v>
      </c>
      <c r="B286" s="2">
        <v>0</v>
      </c>
      <c r="C286" s="2">
        <v>0</v>
      </c>
      <c r="D286" s="2">
        <v>0</v>
      </c>
      <c r="E286" s="183">
        <f>SUM(B286:D286)</f>
        <v>0</v>
      </c>
      <c r="F286" s="2">
        <v>0</v>
      </c>
      <c r="G286" s="2">
        <v>0</v>
      </c>
      <c r="H286" s="2">
        <v>0</v>
      </c>
      <c r="I286" s="183">
        <f>SUM(F286:H286)</f>
        <v>0</v>
      </c>
      <c r="J286" s="2">
        <v>0</v>
      </c>
      <c r="K286" s="2">
        <v>0</v>
      </c>
      <c r="L286" s="2">
        <v>0</v>
      </c>
      <c r="M286" s="183">
        <f>SUM(J286:L286)</f>
        <v>0</v>
      </c>
      <c r="N286" s="2">
        <v>0</v>
      </c>
      <c r="O286" s="2">
        <v>0</v>
      </c>
      <c r="P286" s="2">
        <v>4</v>
      </c>
      <c r="Q286" s="183">
        <f>SUM(N286:P286)</f>
        <v>4</v>
      </c>
      <c r="R286" s="183">
        <f>+E286+I286+M286+Q286</f>
        <v>4</v>
      </c>
    </row>
    <row r="287" spans="1:18" ht="15.75" customHeight="1" x14ac:dyDescent="0.35">
      <c r="A287" s="349" t="s">
        <v>236</v>
      </c>
      <c r="B287" s="2">
        <v>0</v>
      </c>
      <c r="C287" s="2">
        <v>0</v>
      </c>
      <c r="D287" s="2">
        <v>0</v>
      </c>
      <c r="E287" s="183">
        <f>SUM(B287:D287)</f>
        <v>0</v>
      </c>
      <c r="F287" s="2">
        <v>2</v>
      </c>
      <c r="G287" s="2">
        <v>10</v>
      </c>
      <c r="H287" s="2">
        <v>0</v>
      </c>
      <c r="I287" s="183">
        <f>SUM(F287:H287)</f>
        <v>12</v>
      </c>
      <c r="J287" s="2">
        <v>27</v>
      </c>
      <c r="K287" s="2">
        <v>6</v>
      </c>
      <c r="L287" s="2">
        <v>0</v>
      </c>
      <c r="M287" s="183">
        <f>SUM(J287:L287)</f>
        <v>33</v>
      </c>
      <c r="N287" s="2">
        <v>34</v>
      </c>
      <c r="O287" s="2">
        <v>3</v>
      </c>
      <c r="P287" s="2">
        <v>0</v>
      </c>
      <c r="Q287" s="183">
        <f>SUM(N287:P287)</f>
        <v>37</v>
      </c>
      <c r="R287" s="183">
        <f>+E287+I287+M287+Q287</f>
        <v>82</v>
      </c>
    </row>
    <row r="288" spans="1:18" ht="15.75" customHeight="1" x14ac:dyDescent="0.35">
      <c r="A288" s="349" t="s">
        <v>1875</v>
      </c>
      <c r="B288" s="2">
        <v>18</v>
      </c>
      <c r="C288" s="2">
        <v>21</v>
      </c>
      <c r="D288" s="2">
        <v>46</v>
      </c>
      <c r="E288" s="183">
        <f>SUM(B288:D288)</f>
        <v>85</v>
      </c>
      <c r="F288" s="2">
        <v>45</v>
      </c>
      <c r="G288" s="2">
        <v>61</v>
      </c>
      <c r="H288" s="2">
        <v>58</v>
      </c>
      <c r="I288" s="183">
        <f>SUM(F288:H288)</f>
        <v>164</v>
      </c>
      <c r="J288" s="2">
        <v>72</v>
      </c>
      <c r="K288" s="2">
        <v>67</v>
      </c>
      <c r="L288" s="2">
        <v>32</v>
      </c>
      <c r="M288" s="183">
        <f>SUM(J288:L288)</f>
        <v>171</v>
      </c>
      <c r="N288" s="2">
        <v>71</v>
      </c>
      <c r="O288" s="2">
        <v>39</v>
      </c>
      <c r="P288" s="2">
        <v>12</v>
      </c>
      <c r="Q288" s="183">
        <f>SUM(N288:P288)</f>
        <v>122</v>
      </c>
      <c r="R288" s="183">
        <f>+E288+I288+M288+Q288</f>
        <v>542</v>
      </c>
    </row>
    <row r="289" spans="1:18" ht="15.75" customHeight="1" x14ac:dyDescent="0.35">
      <c r="A289" s="349" t="s">
        <v>807</v>
      </c>
      <c r="B289" s="2">
        <v>25</v>
      </c>
      <c r="C289" s="2">
        <v>8</v>
      </c>
      <c r="D289" s="2">
        <v>38</v>
      </c>
      <c r="E289" s="183">
        <f>SUM(B289:D289)</f>
        <v>71</v>
      </c>
      <c r="F289" s="2">
        <v>54</v>
      </c>
      <c r="G289" s="2">
        <v>72</v>
      </c>
      <c r="H289" s="2">
        <v>74</v>
      </c>
      <c r="I289" s="183">
        <f>SUM(F289:H289)</f>
        <v>200</v>
      </c>
      <c r="J289" s="2">
        <v>110</v>
      </c>
      <c r="K289" s="2">
        <v>105</v>
      </c>
      <c r="L289" s="2">
        <v>64</v>
      </c>
      <c r="M289" s="183">
        <f>SUM(J289:L289)</f>
        <v>279</v>
      </c>
      <c r="N289" s="2">
        <v>53</v>
      </c>
      <c r="O289" s="2">
        <v>23</v>
      </c>
      <c r="P289" s="2">
        <v>21</v>
      </c>
      <c r="Q289" s="183">
        <f>SUM(N289:P289)</f>
        <v>97</v>
      </c>
      <c r="R289" s="183">
        <f>+E289+I289+M289+Q289</f>
        <v>647</v>
      </c>
    </row>
    <row r="290" spans="1:18" ht="15.75" customHeight="1" x14ac:dyDescent="0.35">
      <c r="A290" s="349" t="s">
        <v>299</v>
      </c>
      <c r="B290" s="2">
        <v>0</v>
      </c>
      <c r="C290" s="2">
        <v>0</v>
      </c>
      <c r="D290" s="2">
        <v>0</v>
      </c>
      <c r="E290" s="183">
        <f>SUM(B290:D290)</f>
        <v>0</v>
      </c>
      <c r="F290" s="2">
        <v>0</v>
      </c>
      <c r="G290" s="2">
        <v>0</v>
      </c>
      <c r="H290" s="2">
        <v>0</v>
      </c>
      <c r="I290" s="183">
        <f>SUM(F290:H290)</f>
        <v>0</v>
      </c>
      <c r="J290" s="2">
        <v>0</v>
      </c>
      <c r="K290" s="2">
        <v>0</v>
      </c>
      <c r="L290" s="2">
        <v>0</v>
      </c>
      <c r="M290" s="183">
        <f>SUM(J290:L290)</f>
        <v>0</v>
      </c>
      <c r="N290" s="2">
        <v>0</v>
      </c>
      <c r="O290" s="2">
        <v>0</v>
      </c>
      <c r="P290" s="2">
        <v>0</v>
      </c>
      <c r="Q290" s="183">
        <f>SUM(N290:P290)</f>
        <v>0</v>
      </c>
      <c r="R290" s="183">
        <f>+E290+I290+M290+Q290</f>
        <v>0</v>
      </c>
    </row>
    <row r="291" spans="1:18" ht="15.75" customHeight="1" x14ac:dyDescent="0.35">
      <c r="A291" s="349" t="s">
        <v>2220</v>
      </c>
      <c r="B291" s="2">
        <v>9</v>
      </c>
      <c r="C291" s="2">
        <v>9</v>
      </c>
      <c r="D291" s="2">
        <v>23</v>
      </c>
      <c r="E291" s="183">
        <f t="shared" si="54"/>
        <v>41</v>
      </c>
      <c r="F291" s="2">
        <v>27</v>
      </c>
      <c r="G291" s="2">
        <v>28</v>
      </c>
      <c r="H291" s="2">
        <v>36</v>
      </c>
      <c r="I291" s="183">
        <f t="shared" si="55"/>
        <v>91</v>
      </c>
      <c r="J291" s="2">
        <v>43</v>
      </c>
      <c r="K291" s="2">
        <v>44</v>
      </c>
      <c r="L291" s="2">
        <v>8</v>
      </c>
      <c r="M291" s="183">
        <f t="shared" si="56"/>
        <v>95</v>
      </c>
      <c r="N291" s="2">
        <v>62</v>
      </c>
      <c r="O291" s="2">
        <v>30</v>
      </c>
      <c r="P291" s="2">
        <v>14</v>
      </c>
      <c r="Q291" s="183">
        <f t="shared" si="57"/>
        <v>106</v>
      </c>
      <c r="R291" s="183">
        <f t="shared" si="58"/>
        <v>333</v>
      </c>
    </row>
    <row r="292" spans="1:18" ht="15.75" customHeight="1" x14ac:dyDescent="0.35">
      <c r="A292" s="6" t="s">
        <v>2162</v>
      </c>
      <c r="B292" s="2"/>
      <c r="C292" s="2"/>
      <c r="D292" s="2"/>
      <c r="E292" s="183" t="s">
        <v>852</v>
      </c>
      <c r="F292" s="2"/>
      <c r="G292" s="2"/>
      <c r="H292" s="2"/>
      <c r="I292" s="183" t="s">
        <v>852</v>
      </c>
      <c r="J292" s="2"/>
      <c r="K292" s="2"/>
      <c r="L292" s="2"/>
      <c r="M292" s="183" t="s">
        <v>852</v>
      </c>
      <c r="N292" s="2"/>
      <c r="O292" s="2"/>
      <c r="P292" s="2"/>
      <c r="Q292" s="183" t="s">
        <v>852</v>
      </c>
      <c r="R292" s="183" t="s">
        <v>852</v>
      </c>
    </row>
    <row r="293" spans="1:18" ht="15.75" customHeight="1" x14ac:dyDescent="0.35">
      <c r="A293" s="349" t="s">
        <v>803</v>
      </c>
      <c r="B293" s="2">
        <v>0</v>
      </c>
      <c r="C293" s="2">
        <v>0</v>
      </c>
      <c r="D293" s="2">
        <v>0</v>
      </c>
      <c r="E293" s="183">
        <f>SUM(B293:D293)</f>
        <v>0</v>
      </c>
      <c r="F293" s="2">
        <v>0</v>
      </c>
      <c r="G293" s="2">
        <v>0</v>
      </c>
      <c r="H293" s="2">
        <v>391</v>
      </c>
      <c r="I293" s="183">
        <f>SUM(F293:H293)</f>
        <v>391</v>
      </c>
      <c r="J293" s="2">
        <v>0</v>
      </c>
      <c r="K293" s="2">
        <v>0</v>
      </c>
      <c r="L293" s="2">
        <v>0</v>
      </c>
      <c r="M293" s="183">
        <f>SUM(J293:L293)</f>
        <v>0</v>
      </c>
      <c r="N293" s="2">
        <v>0</v>
      </c>
      <c r="O293" s="2">
        <v>0</v>
      </c>
      <c r="P293" s="2">
        <v>0</v>
      </c>
      <c r="Q293" s="183">
        <f>SUM(N293:P293)</f>
        <v>0</v>
      </c>
      <c r="R293" s="183">
        <f>+E293+I293+M293+Q293</f>
        <v>391</v>
      </c>
    </row>
    <row r="294" spans="1:18" ht="15.75" customHeight="1" x14ac:dyDescent="0.35">
      <c r="A294" s="349" t="s">
        <v>2029</v>
      </c>
      <c r="B294" s="2">
        <v>0</v>
      </c>
      <c r="C294" s="2">
        <v>0</v>
      </c>
      <c r="D294" s="2">
        <v>0</v>
      </c>
      <c r="E294" s="183">
        <f>SUM(B294:D294)</f>
        <v>0</v>
      </c>
      <c r="F294" s="2">
        <v>0</v>
      </c>
      <c r="G294" s="2">
        <v>2258</v>
      </c>
      <c r="H294" s="2">
        <v>742</v>
      </c>
      <c r="I294" s="183">
        <f>SUM(F294:H294)</f>
        <v>3000</v>
      </c>
      <c r="J294" s="2">
        <v>0</v>
      </c>
      <c r="K294" s="2">
        <v>0</v>
      </c>
      <c r="L294" s="2">
        <v>0</v>
      </c>
      <c r="M294" s="183">
        <f>SUM(J294:L294)</f>
        <v>0</v>
      </c>
      <c r="N294" s="2">
        <v>0</v>
      </c>
      <c r="O294" s="2">
        <v>0</v>
      </c>
      <c r="P294" s="2">
        <v>0</v>
      </c>
      <c r="Q294" s="183">
        <f>SUM(N294:P294)</f>
        <v>0</v>
      </c>
      <c r="R294" s="183">
        <f>+E294+I294+M294+Q294</f>
        <v>3000</v>
      </c>
    </row>
    <row r="295" spans="1:18" ht="15.75" customHeight="1" x14ac:dyDescent="0.35">
      <c r="A295" s="349" t="s">
        <v>1214</v>
      </c>
      <c r="B295" s="2">
        <v>0</v>
      </c>
      <c r="C295" s="2">
        <v>0</v>
      </c>
      <c r="D295" s="2">
        <v>0</v>
      </c>
      <c r="E295" s="183">
        <f>SUM(B295:D295)</f>
        <v>0</v>
      </c>
      <c r="F295" s="2">
        <v>0</v>
      </c>
      <c r="G295" s="2">
        <v>0</v>
      </c>
      <c r="H295" s="2">
        <v>0</v>
      </c>
      <c r="I295" s="183">
        <f>SUM(F295:H295)</f>
        <v>0</v>
      </c>
      <c r="J295" s="2">
        <v>0</v>
      </c>
      <c r="K295" s="2">
        <v>0</v>
      </c>
      <c r="L295" s="2">
        <v>0</v>
      </c>
      <c r="M295" s="183">
        <f>SUM(J295:L295)</f>
        <v>0</v>
      </c>
      <c r="N295" s="2">
        <v>0</v>
      </c>
      <c r="O295" s="2">
        <v>0</v>
      </c>
      <c r="P295" s="2">
        <v>0</v>
      </c>
      <c r="Q295" s="183">
        <f>SUM(N295:P295)</f>
        <v>0</v>
      </c>
      <c r="R295" s="183">
        <f>+E295+I295+M295+Q295</f>
        <v>0</v>
      </c>
    </row>
    <row r="296" spans="1:18" ht="15.75" customHeight="1" thickBot="1" x14ac:dyDescent="0.4">
      <c r="A296" s="6" t="s">
        <v>2164</v>
      </c>
      <c r="B296" s="2"/>
      <c r="C296" s="2"/>
      <c r="D296" s="2"/>
      <c r="E296" s="183" t="s">
        <v>852</v>
      </c>
      <c r="F296" s="2"/>
      <c r="G296" s="2"/>
      <c r="H296" s="2"/>
      <c r="I296" s="183" t="s">
        <v>852</v>
      </c>
      <c r="J296" s="2"/>
      <c r="K296" s="2"/>
      <c r="L296" s="2"/>
      <c r="M296" s="183" t="s">
        <v>852</v>
      </c>
      <c r="N296" s="2"/>
      <c r="O296" s="2"/>
      <c r="P296" s="2"/>
      <c r="Q296" s="183" t="s">
        <v>852</v>
      </c>
      <c r="R296" s="183" t="s">
        <v>852</v>
      </c>
    </row>
    <row r="297" spans="1:18" ht="15.75" customHeight="1" thickBot="1" x14ac:dyDescent="0.4">
      <c r="A297" s="523" t="s">
        <v>1218</v>
      </c>
      <c r="B297" s="188">
        <f>SUM(B261:B296)</f>
        <v>3864</v>
      </c>
      <c r="C297" s="189">
        <f>SUM(C261:C296)</f>
        <v>2135</v>
      </c>
      <c r="D297" s="189">
        <f>SUM(D261:D296)</f>
        <v>1504</v>
      </c>
      <c r="E297" s="56">
        <f>SUM(B297:D297)</f>
        <v>7503</v>
      </c>
      <c r="F297" s="189">
        <f>SUM(F261:F296)</f>
        <v>6015</v>
      </c>
      <c r="G297" s="189">
        <f>SUM(G261:G296)</f>
        <v>7646</v>
      </c>
      <c r="H297" s="189">
        <f>SUM(H261:H296)</f>
        <v>10075</v>
      </c>
      <c r="I297" s="56">
        <f>SUM(F297:H297)</f>
        <v>23736</v>
      </c>
      <c r="J297" s="189">
        <f>SUM(J261:J296)</f>
        <v>9686</v>
      </c>
      <c r="K297" s="189">
        <f>SUM(K261:K296)</f>
        <v>9462</v>
      </c>
      <c r="L297" s="189">
        <f>SUM(L261:L296)</f>
        <v>5198</v>
      </c>
      <c r="M297" s="56">
        <f>SUM(J297:L297)</f>
        <v>24346</v>
      </c>
      <c r="N297" s="189">
        <f>SUM(N261:N296)</f>
        <v>5450</v>
      </c>
      <c r="O297" s="189">
        <f>SUM(O261:O296)</f>
        <v>1877</v>
      </c>
      <c r="P297" s="189">
        <f>SUM(P261:P296)</f>
        <v>6069</v>
      </c>
      <c r="Q297" s="56">
        <f>SUM(N297:P297)</f>
        <v>13396</v>
      </c>
      <c r="R297" s="56">
        <f>+E297+I297+M297+Q297</f>
        <v>68981</v>
      </c>
    </row>
    <row r="298" spans="1:18" ht="15.75" customHeight="1" x14ac:dyDescent="0.35">
      <c r="A298" s="6" t="s">
        <v>1172</v>
      </c>
      <c r="B298" s="2"/>
      <c r="C298" s="2"/>
      <c r="D298" s="2"/>
      <c r="E298" s="183" t="s">
        <v>852</v>
      </c>
      <c r="F298" s="2"/>
      <c r="G298" s="2"/>
      <c r="H298" s="2"/>
      <c r="I298" s="183" t="s">
        <v>852</v>
      </c>
      <c r="J298" s="2"/>
      <c r="K298" s="2"/>
      <c r="L298" s="2"/>
      <c r="M298" s="183" t="s">
        <v>852</v>
      </c>
      <c r="N298" s="2"/>
      <c r="O298" s="2"/>
      <c r="P298" s="2"/>
      <c r="Q298" s="183" t="s">
        <v>852</v>
      </c>
      <c r="R298" s="183" t="s">
        <v>852</v>
      </c>
    </row>
    <row r="299" spans="1:18" ht="15.75" customHeight="1" x14ac:dyDescent="0.35">
      <c r="A299" s="6" t="s">
        <v>1025</v>
      </c>
      <c r="B299" s="2"/>
      <c r="C299" s="2"/>
      <c r="D299" s="2"/>
      <c r="E299" s="183"/>
      <c r="F299" s="2"/>
      <c r="G299" s="2"/>
      <c r="H299" s="2"/>
      <c r="I299" s="183"/>
      <c r="J299" s="2"/>
      <c r="K299" s="2"/>
      <c r="L299" s="2"/>
      <c r="M299" s="183"/>
      <c r="N299" s="2"/>
      <c r="O299" s="2"/>
      <c r="P299" s="2"/>
      <c r="Q299" s="183"/>
      <c r="R299" s="183"/>
    </row>
    <row r="300" spans="1:18" ht="15.75" customHeight="1" x14ac:dyDescent="0.35">
      <c r="A300" s="6" t="s">
        <v>2409</v>
      </c>
      <c r="B300" s="2"/>
      <c r="C300" s="2"/>
      <c r="D300" s="2"/>
      <c r="E300" s="183" t="s">
        <v>852</v>
      </c>
      <c r="F300" s="2"/>
      <c r="G300" s="2"/>
      <c r="H300" s="2"/>
      <c r="I300" s="183" t="s">
        <v>852</v>
      </c>
      <c r="J300" s="2"/>
      <c r="K300" s="2"/>
      <c r="L300" s="2"/>
      <c r="M300" s="183" t="s">
        <v>852</v>
      </c>
      <c r="N300" s="2"/>
      <c r="O300" s="2"/>
      <c r="P300" s="2"/>
      <c r="Q300" s="183" t="s">
        <v>852</v>
      </c>
      <c r="R300" s="183" t="s">
        <v>852</v>
      </c>
    </row>
    <row r="301" spans="1:18" ht="15.75" customHeight="1" x14ac:dyDescent="0.35">
      <c r="A301" s="349" t="s">
        <v>2099</v>
      </c>
      <c r="B301" s="2">
        <v>147</v>
      </c>
      <c r="C301" s="2">
        <v>205</v>
      </c>
      <c r="D301" s="2">
        <v>1072</v>
      </c>
      <c r="E301" s="183">
        <f t="shared" ref="E301:E308" si="59">SUM(B301:D301)</f>
        <v>1424</v>
      </c>
      <c r="F301" s="2">
        <v>2552</v>
      </c>
      <c r="G301" s="2">
        <v>1710</v>
      </c>
      <c r="H301" s="2">
        <v>1911</v>
      </c>
      <c r="I301" s="183">
        <f t="shared" ref="I301:I308" si="60">SUM(F301:H301)</f>
        <v>6173</v>
      </c>
      <c r="J301" s="2">
        <v>3479</v>
      </c>
      <c r="K301" s="2">
        <v>0</v>
      </c>
      <c r="L301" s="2">
        <v>0</v>
      </c>
      <c r="M301" s="183">
        <f t="shared" ref="M301:M308" si="61">SUM(J301:L301)</f>
        <v>3479</v>
      </c>
      <c r="N301" s="2">
        <v>418</v>
      </c>
      <c r="O301" s="2">
        <v>136</v>
      </c>
      <c r="P301" s="2">
        <v>1203</v>
      </c>
      <c r="Q301" s="183">
        <f t="shared" ref="Q301:Q308" si="62">SUM(N301:P301)</f>
        <v>1757</v>
      </c>
      <c r="R301" s="183">
        <f t="shared" ref="R301:R308" si="63">+E301+I301+M301+Q301</f>
        <v>12833</v>
      </c>
    </row>
    <row r="302" spans="1:18" ht="15.75" customHeight="1" x14ac:dyDescent="0.35">
      <c r="A302" s="349" t="s">
        <v>357</v>
      </c>
      <c r="B302" s="2">
        <v>0</v>
      </c>
      <c r="C302" s="2">
        <v>28</v>
      </c>
      <c r="D302" s="2">
        <v>31</v>
      </c>
      <c r="E302" s="183">
        <f t="shared" si="59"/>
        <v>59</v>
      </c>
      <c r="F302" s="2">
        <v>72</v>
      </c>
      <c r="G302" s="2">
        <v>80</v>
      </c>
      <c r="H302" s="2">
        <v>85</v>
      </c>
      <c r="I302" s="183">
        <f t="shared" si="60"/>
        <v>237</v>
      </c>
      <c r="J302" s="2">
        <v>129</v>
      </c>
      <c r="K302" s="2">
        <v>64</v>
      </c>
      <c r="L302" s="2">
        <v>27</v>
      </c>
      <c r="M302" s="183">
        <f t="shared" si="61"/>
        <v>220</v>
      </c>
      <c r="N302" s="2">
        <v>0</v>
      </c>
      <c r="O302" s="2">
        <v>0</v>
      </c>
      <c r="P302" s="2">
        <v>0</v>
      </c>
      <c r="Q302" s="183">
        <f t="shared" si="62"/>
        <v>0</v>
      </c>
      <c r="R302" s="183">
        <f t="shared" si="63"/>
        <v>516</v>
      </c>
    </row>
    <row r="303" spans="1:18" ht="15.75" customHeight="1" x14ac:dyDescent="0.35">
      <c r="A303" s="349" t="s">
        <v>909</v>
      </c>
      <c r="B303" s="2">
        <v>200</v>
      </c>
      <c r="C303" s="2">
        <v>0</v>
      </c>
      <c r="D303" s="2">
        <v>5919</v>
      </c>
      <c r="E303" s="183">
        <f t="shared" si="59"/>
        <v>6119</v>
      </c>
      <c r="F303" s="2">
        <v>8848</v>
      </c>
      <c r="G303" s="2">
        <v>9370</v>
      </c>
      <c r="H303" s="2">
        <v>2130</v>
      </c>
      <c r="I303" s="183">
        <f t="shared" si="60"/>
        <v>20348</v>
      </c>
      <c r="J303" s="2">
        <v>10000</v>
      </c>
      <c r="K303" s="2">
        <v>0</v>
      </c>
      <c r="L303" s="2">
        <v>500</v>
      </c>
      <c r="M303" s="183">
        <f t="shared" si="61"/>
        <v>10500</v>
      </c>
      <c r="N303" s="2">
        <v>500</v>
      </c>
      <c r="O303" s="2">
        <v>526</v>
      </c>
      <c r="P303" s="2">
        <v>474</v>
      </c>
      <c r="Q303" s="183">
        <f t="shared" si="62"/>
        <v>1500</v>
      </c>
      <c r="R303" s="183">
        <f t="shared" si="63"/>
        <v>38467</v>
      </c>
    </row>
    <row r="304" spans="1:18" ht="15.75" customHeight="1" x14ac:dyDescent="0.35">
      <c r="A304" s="349" t="s">
        <v>1739</v>
      </c>
      <c r="B304" s="2">
        <v>2882</v>
      </c>
      <c r="C304" s="2">
        <v>5608</v>
      </c>
      <c r="D304" s="2">
        <v>10595</v>
      </c>
      <c r="E304" s="183">
        <f t="shared" si="59"/>
        <v>19085</v>
      </c>
      <c r="F304" s="2">
        <v>10699</v>
      </c>
      <c r="G304" s="2">
        <v>19235</v>
      </c>
      <c r="H304" s="2">
        <v>19000</v>
      </c>
      <c r="I304" s="183">
        <f t="shared" si="60"/>
        <v>48934</v>
      </c>
      <c r="J304" s="2">
        <v>10649</v>
      </c>
      <c r="K304" s="2">
        <v>15346</v>
      </c>
      <c r="L304" s="2">
        <v>11844</v>
      </c>
      <c r="M304" s="183">
        <f t="shared" si="61"/>
        <v>37839</v>
      </c>
      <c r="N304" s="2">
        <v>8362</v>
      </c>
      <c r="O304" s="2">
        <v>549</v>
      </c>
      <c r="P304" s="2">
        <v>3386</v>
      </c>
      <c r="Q304" s="183">
        <f t="shared" si="62"/>
        <v>12297</v>
      </c>
      <c r="R304" s="183">
        <f t="shared" si="63"/>
        <v>118155</v>
      </c>
    </row>
    <row r="305" spans="1:18" ht="15.75" customHeight="1" x14ac:dyDescent="0.35">
      <c r="A305" s="349" t="s">
        <v>612</v>
      </c>
      <c r="B305" s="2">
        <v>1802</v>
      </c>
      <c r="C305" s="2">
        <v>3017</v>
      </c>
      <c r="D305" s="2">
        <v>1124</v>
      </c>
      <c r="E305" s="183">
        <f t="shared" si="59"/>
        <v>5943</v>
      </c>
      <c r="F305" s="2">
        <v>6421</v>
      </c>
      <c r="G305" s="2">
        <v>3292</v>
      </c>
      <c r="H305" s="2">
        <v>3265</v>
      </c>
      <c r="I305" s="183">
        <f t="shared" si="60"/>
        <v>12978</v>
      </c>
      <c r="J305" s="2">
        <v>3733</v>
      </c>
      <c r="K305" s="2">
        <v>7671</v>
      </c>
      <c r="L305" s="2">
        <v>0</v>
      </c>
      <c r="M305" s="183">
        <f t="shared" si="61"/>
        <v>11404</v>
      </c>
      <c r="N305" s="2">
        <v>0</v>
      </c>
      <c r="O305" s="2">
        <v>0</v>
      </c>
      <c r="P305" s="2">
        <v>0</v>
      </c>
      <c r="Q305" s="183">
        <f t="shared" si="62"/>
        <v>0</v>
      </c>
      <c r="R305" s="183">
        <f t="shared" si="63"/>
        <v>30325</v>
      </c>
    </row>
    <row r="306" spans="1:18" ht="15.75" customHeight="1" x14ac:dyDescent="0.35">
      <c r="A306" s="349" t="s">
        <v>626</v>
      </c>
      <c r="B306" s="2">
        <v>928</v>
      </c>
      <c r="C306" s="2">
        <v>1552</v>
      </c>
      <c r="D306" s="2">
        <v>2927</v>
      </c>
      <c r="E306" s="183">
        <f t="shared" si="59"/>
        <v>5407</v>
      </c>
      <c r="F306" s="2">
        <v>4174</v>
      </c>
      <c r="G306" s="2">
        <v>2419</v>
      </c>
      <c r="H306" s="2">
        <v>0</v>
      </c>
      <c r="I306" s="183">
        <f t="shared" si="60"/>
        <v>6593</v>
      </c>
      <c r="J306" s="2">
        <v>0</v>
      </c>
      <c r="K306" s="2">
        <v>0</v>
      </c>
      <c r="L306" s="2">
        <v>0</v>
      </c>
      <c r="M306" s="183">
        <f t="shared" si="61"/>
        <v>0</v>
      </c>
      <c r="N306" s="2">
        <v>0</v>
      </c>
      <c r="O306" s="2">
        <v>0</v>
      </c>
      <c r="P306" s="2">
        <v>0</v>
      </c>
      <c r="Q306" s="183">
        <f t="shared" si="62"/>
        <v>0</v>
      </c>
      <c r="R306" s="183">
        <f t="shared" si="63"/>
        <v>12000</v>
      </c>
    </row>
    <row r="307" spans="1:18" ht="15.75" customHeight="1" x14ac:dyDescent="0.35">
      <c r="A307" s="349" t="s">
        <v>342</v>
      </c>
      <c r="B307" s="2">
        <v>1020</v>
      </c>
      <c r="C307" s="2">
        <v>1585</v>
      </c>
      <c r="D307" s="2">
        <v>8</v>
      </c>
      <c r="E307" s="183">
        <f t="shared" si="59"/>
        <v>2613</v>
      </c>
      <c r="F307" s="2">
        <v>2387</v>
      </c>
      <c r="G307" s="2">
        <v>0</v>
      </c>
      <c r="H307" s="2">
        <v>0</v>
      </c>
      <c r="I307" s="183">
        <f t="shared" si="60"/>
        <v>2387</v>
      </c>
      <c r="J307" s="2">
        <v>0</v>
      </c>
      <c r="K307" s="2">
        <v>0</v>
      </c>
      <c r="L307" s="2">
        <v>0</v>
      </c>
      <c r="M307" s="183">
        <f t="shared" si="61"/>
        <v>0</v>
      </c>
      <c r="N307" s="2">
        <v>0</v>
      </c>
      <c r="O307" s="2">
        <v>0</v>
      </c>
      <c r="P307" s="2">
        <v>0</v>
      </c>
      <c r="Q307" s="183">
        <f t="shared" si="62"/>
        <v>0</v>
      </c>
      <c r="R307" s="183">
        <f t="shared" si="63"/>
        <v>5000</v>
      </c>
    </row>
    <row r="308" spans="1:18" ht="15.75" customHeight="1" x14ac:dyDescent="0.35">
      <c r="A308" s="349" t="s">
        <v>1513</v>
      </c>
      <c r="B308" s="2">
        <v>0</v>
      </c>
      <c r="C308" s="2">
        <v>0</v>
      </c>
      <c r="D308" s="2">
        <v>0</v>
      </c>
      <c r="E308" s="183">
        <f t="shared" si="59"/>
        <v>0</v>
      </c>
      <c r="F308" s="2">
        <v>0</v>
      </c>
      <c r="G308" s="2">
        <v>0</v>
      </c>
      <c r="H308" s="2">
        <v>0</v>
      </c>
      <c r="I308" s="183">
        <f t="shared" si="60"/>
        <v>0</v>
      </c>
      <c r="J308" s="2">
        <v>0</v>
      </c>
      <c r="K308" s="2">
        <v>2337</v>
      </c>
      <c r="L308" s="2">
        <v>1891</v>
      </c>
      <c r="M308" s="183">
        <f t="shared" si="61"/>
        <v>4228</v>
      </c>
      <c r="N308" s="2">
        <v>0</v>
      </c>
      <c r="O308" s="2">
        <v>0</v>
      </c>
      <c r="P308" s="2">
        <v>0</v>
      </c>
      <c r="Q308" s="183">
        <f t="shared" si="62"/>
        <v>0</v>
      </c>
      <c r="R308" s="183">
        <f t="shared" si="63"/>
        <v>4228</v>
      </c>
    </row>
    <row r="309" spans="1:18" ht="15.75" customHeight="1" x14ac:dyDescent="0.35">
      <c r="A309" s="6" t="s">
        <v>2165</v>
      </c>
      <c r="B309" s="2"/>
      <c r="C309" s="2"/>
      <c r="D309" s="2"/>
      <c r="E309" s="183" t="s">
        <v>852</v>
      </c>
      <c r="F309" s="2"/>
      <c r="G309" s="2"/>
      <c r="H309" s="2"/>
      <c r="I309" s="183" t="s">
        <v>852</v>
      </c>
      <c r="J309" s="2"/>
      <c r="K309" s="2"/>
      <c r="L309" s="2"/>
      <c r="M309" s="183" t="s">
        <v>852</v>
      </c>
      <c r="N309" s="2"/>
      <c r="O309" s="2"/>
      <c r="P309" s="2"/>
      <c r="Q309" s="183" t="s">
        <v>852</v>
      </c>
      <c r="R309" s="183" t="s">
        <v>852</v>
      </c>
    </row>
    <row r="310" spans="1:18" ht="15.75" customHeight="1" x14ac:dyDescent="0.35">
      <c r="A310" s="6" t="s">
        <v>2160</v>
      </c>
      <c r="B310" s="2"/>
      <c r="C310" s="2"/>
      <c r="D310" s="2"/>
      <c r="E310" s="183" t="s">
        <v>852</v>
      </c>
      <c r="F310" s="2"/>
      <c r="G310" s="2"/>
      <c r="H310" s="2"/>
      <c r="I310" s="183" t="s">
        <v>852</v>
      </c>
      <c r="J310" s="2"/>
      <c r="K310" s="2"/>
      <c r="L310" s="2"/>
      <c r="M310" s="183" t="s">
        <v>852</v>
      </c>
      <c r="N310" s="2"/>
      <c r="O310" s="2"/>
      <c r="P310" s="2"/>
      <c r="Q310" s="183" t="s">
        <v>852</v>
      </c>
      <c r="R310" s="183" t="s">
        <v>852</v>
      </c>
    </row>
    <row r="311" spans="1:18" ht="15.75" customHeight="1" thickBot="1" x14ac:dyDescent="0.4">
      <c r="A311" s="349" t="s">
        <v>1739</v>
      </c>
      <c r="B311" s="2">
        <v>0</v>
      </c>
      <c r="C311" s="2">
        <v>0</v>
      </c>
      <c r="D311" s="2">
        <v>0</v>
      </c>
      <c r="E311" s="183">
        <f>SUM(B311:D311)</f>
        <v>0</v>
      </c>
      <c r="F311" s="2">
        <v>0</v>
      </c>
      <c r="G311" s="2">
        <v>0</v>
      </c>
      <c r="H311" s="2">
        <v>0</v>
      </c>
      <c r="I311" s="183">
        <f>SUM(F311:H311)</f>
        <v>0</v>
      </c>
      <c r="J311" s="2">
        <v>0</v>
      </c>
      <c r="K311" s="2">
        <v>0</v>
      </c>
      <c r="L311" s="2">
        <v>0</v>
      </c>
      <c r="M311" s="183">
        <f>SUM(J311:L311)</f>
        <v>0</v>
      </c>
      <c r="N311" s="2">
        <v>0</v>
      </c>
      <c r="O311" s="2">
        <v>0</v>
      </c>
      <c r="P311" s="2">
        <v>0</v>
      </c>
      <c r="Q311" s="183">
        <f>SUM(N311:P311)</f>
        <v>0</v>
      </c>
      <c r="R311" s="183">
        <f>+E311+I311+M311+Q311</f>
        <v>0</v>
      </c>
    </row>
    <row r="312" spans="1:18" ht="15.75" customHeight="1" thickBot="1" x14ac:dyDescent="0.4">
      <c r="A312" s="41" t="s">
        <v>1219</v>
      </c>
      <c r="B312" s="188">
        <f>SUM(B298:B311)</f>
        <v>6979</v>
      </c>
      <c r="C312" s="189">
        <f>SUM(C298:C311)</f>
        <v>11995</v>
      </c>
      <c r="D312" s="189">
        <f>SUM(D298:D311)</f>
        <v>21676</v>
      </c>
      <c r="E312" s="56">
        <f>SUM(B312:D312)</f>
        <v>40650</v>
      </c>
      <c r="F312" s="189">
        <f>SUM(F298:F311)</f>
        <v>35153</v>
      </c>
      <c r="G312" s="189">
        <f>SUM(G298:G311)</f>
        <v>36106</v>
      </c>
      <c r="H312" s="189">
        <f>SUM(H298:H311)</f>
        <v>26391</v>
      </c>
      <c r="I312" s="56">
        <f>SUM(F312:H312)</f>
        <v>97650</v>
      </c>
      <c r="J312" s="189">
        <f>SUM(J298:J311)</f>
        <v>27990</v>
      </c>
      <c r="K312" s="189">
        <f>SUM(K298:K311)</f>
        <v>25418</v>
      </c>
      <c r="L312" s="189">
        <f>SUM(L298:L311)</f>
        <v>14262</v>
      </c>
      <c r="M312" s="56">
        <f>SUM(J312:L312)</f>
        <v>67670</v>
      </c>
      <c r="N312" s="189">
        <f>SUM(N298:N311)</f>
        <v>9280</v>
      </c>
      <c r="O312" s="189">
        <f>SUM(O298:O311)</f>
        <v>1211</v>
      </c>
      <c r="P312" s="189">
        <f>SUM(P298:P311)</f>
        <v>5063</v>
      </c>
      <c r="Q312" s="56">
        <f>SUM(N312:P312)</f>
        <v>15554</v>
      </c>
      <c r="R312" s="56">
        <f>+E312+I312+M312+Q312</f>
        <v>221524</v>
      </c>
    </row>
    <row r="313" spans="1:18" ht="15.75" customHeight="1" x14ac:dyDescent="0.35">
      <c r="A313" s="6" t="s">
        <v>2166</v>
      </c>
      <c r="B313" s="2"/>
      <c r="C313" s="2"/>
      <c r="D313" s="2"/>
      <c r="E313" s="183" t="s">
        <v>852</v>
      </c>
      <c r="F313" s="2"/>
      <c r="G313" s="2"/>
      <c r="H313" s="2"/>
      <c r="I313" s="183" t="s">
        <v>852</v>
      </c>
      <c r="J313" s="2"/>
      <c r="K313" s="2"/>
      <c r="L313" s="2"/>
      <c r="M313" s="183" t="s">
        <v>852</v>
      </c>
      <c r="N313" s="2"/>
      <c r="O313" s="2"/>
      <c r="P313" s="2"/>
      <c r="Q313" s="183" t="s">
        <v>852</v>
      </c>
      <c r="R313" s="183" t="s">
        <v>852</v>
      </c>
    </row>
    <row r="314" spans="1:18" ht="15.75" customHeight="1" x14ac:dyDescent="0.35">
      <c r="A314" s="6" t="s">
        <v>1245</v>
      </c>
      <c r="B314" s="2"/>
      <c r="C314" s="2"/>
      <c r="D314" s="2"/>
      <c r="E314" s="183" t="s">
        <v>852</v>
      </c>
      <c r="F314" s="2"/>
      <c r="G314" s="2"/>
      <c r="H314" s="2"/>
      <c r="I314" s="183" t="s">
        <v>852</v>
      </c>
      <c r="J314" s="2"/>
      <c r="K314" s="2"/>
      <c r="L314" s="2"/>
      <c r="M314" s="183" t="s">
        <v>852</v>
      </c>
      <c r="N314" s="2"/>
      <c r="O314" s="2"/>
      <c r="P314" s="2"/>
      <c r="Q314" s="183" t="s">
        <v>852</v>
      </c>
      <c r="R314" s="183" t="s">
        <v>852</v>
      </c>
    </row>
    <row r="315" spans="1:18" ht="15.75" customHeight="1" x14ac:dyDescent="0.35">
      <c r="A315" s="349" t="s">
        <v>727</v>
      </c>
      <c r="B315" s="2">
        <v>3408</v>
      </c>
      <c r="C315" s="2">
        <v>5687</v>
      </c>
      <c r="D315" s="2">
        <v>11178</v>
      </c>
      <c r="E315" s="183">
        <f>SUM(B315:D315)</f>
        <v>20273</v>
      </c>
      <c r="F315" s="2">
        <v>10108</v>
      </c>
      <c r="G315" s="2">
        <v>12091</v>
      </c>
      <c r="H315" s="2">
        <v>11507</v>
      </c>
      <c r="I315" s="183">
        <f>SUM(F315:H315)</f>
        <v>33706</v>
      </c>
      <c r="J315" s="2">
        <v>9047</v>
      </c>
      <c r="K315" s="2">
        <v>9108</v>
      </c>
      <c r="L315" s="2">
        <v>5825</v>
      </c>
      <c r="M315" s="183">
        <f>SUM(J315:L315)</f>
        <v>23980</v>
      </c>
      <c r="N315" s="2">
        <v>2476</v>
      </c>
      <c r="O315" s="2">
        <v>845</v>
      </c>
      <c r="P315" s="2">
        <v>2399</v>
      </c>
      <c r="Q315" s="183">
        <f>SUM(N315:P315)</f>
        <v>5720</v>
      </c>
      <c r="R315" s="183">
        <f>+E315+I315+M315+Q315</f>
        <v>83679</v>
      </c>
    </row>
    <row r="316" spans="1:18" ht="15.75" customHeight="1" x14ac:dyDescent="0.35">
      <c r="A316" s="349" t="s">
        <v>208</v>
      </c>
      <c r="B316" s="2">
        <v>0</v>
      </c>
      <c r="C316" s="2">
        <v>0</v>
      </c>
      <c r="D316" s="2">
        <v>0</v>
      </c>
      <c r="E316" s="183">
        <f>SUM(B316:D316)</f>
        <v>0</v>
      </c>
      <c r="F316" s="2">
        <v>0</v>
      </c>
      <c r="G316" s="2">
        <v>0</v>
      </c>
      <c r="H316" s="2">
        <v>0</v>
      </c>
      <c r="I316" s="183">
        <f>SUM(F316:H316)</f>
        <v>0</v>
      </c>
      <c r="J316" s="2">
        <v>0</v>
      </c>
      <c r="K316" s="2">
        <v>0</v>
      </c>
      <c r="L316" s="2">
        <v>0</v>
      </c>
      <c r="M316" s="183">
        <f>SUM(J316:L316)</f>
        <v>0</v>
      </c>
      <c r="N316" s="2">
        <v>0</v>
      </c>
      <c r="O316" s="2">
        <v>0</v>
      </c>
      <c r="P316" s="2">
        <v>0</v>
      </c>
      <c r="Q316" s="183">
        <f>SUM(N316:P316)</f>
        <v>0</v>
      </c>
      <c r="R316" s="183">
        <f>+E316+I316+M316+Q316</f>
        <v>0</v>
      </c>
    </row>
    <row r="317" spans="1:18" ht="15.75" customHeight="1" x14ac:dyDescent="0.35">
      <c r="A317" s="6" t="s">
        <v>1711</v>
      </c>
      <c r="B317" s="2"/>
      <c r="C317" s="2"/>
      <c r="D317" s="2"/>
      <c r="E317" s="183" t="s">
        <v>852</v>
      </c>
      <c r="F317" s="2"/>
      <c r="G317" s="2"/>
      <c r="H317" s="2"/>
      <c r="I317" s="183" t="s">
        <v>852</v>
      </c>
      <c r="J317" s="2"/>
      <c r="K317" s="2"/>
      <c r="L317" s="2"/>
      <c r="M317" s="183" t="s">
        <v>852</v>
      </c>
      <c r="N317" s="2"/>
      <c r="O317" s="2"/>
      <c r="P317" s="2"/>
      <c r="Q317" s="183" t="s">
        <v>852</v>
      </c>
      <c r="R317" s="183" t="s">
        <v>852</v>
      </c>
    </row>
    <row r="318" spans="1:18" ht="15.75" customHeight="1" x14ac:dyDescent="0.35">
      <c r="A318" s="349" t="s">
        <v>1091</v>
      </c>
      <c r="B318" s="2">
        <v>0</v>
      </c>
      <c r="C318" s="2">
        <v>0</v>
      </c>
      <c r="D318" s="2">
        <v>0</v>
      </c>
      <c r="E318" s="183">
        <f t="shared" ref="E318:E330" si="64">SUM(B318:D318)</f>
        <v>0</v>
      </c>
      <c r="F318" s="2">
        <v>0</v>
      </c>
      <c r="G318" s="2">
        <v>0</v>
      </c>
      <c r="H318" s="2">
        <v>0</v>
      </c>
      <c r="I318" s="183">
        <f t="shared" ref="I318:I330" si="65">SUM(F318:H318)</f>
        <v>0</v>
      </c>
      <c r="J318" s="2">
        <v>0</v>
      </c>
      <c r="K318" s="2">
        <v>0</v>
      </c>
      <c r="L318" s="2">
        <v>0</v>
      </c>
      <c r="M318" s="183">
        <f t="shared" ref="M318:M330" si="66">SUM(J318:L318)</f>
        <v>0</v>
      </c>
      <c r="N318" s="2">
        <v>0</v>
      </c>
      <c r="O318" s="2">
        <v>0</v>
      </c>
      <c r="P318" s="2">
        <v>0</v>
      </c>
      <c r="Q318" s="183">
        <f t="shared" ref="Q318:Q330" si="67">SUM(N318:P318)</f>
        <v>0</v>
      </c>
      <c r="R318" s="183">
        <f t="shared" ref="R318:R330" si="68">+E318+I318+M318+Q318</f>
        <v>0</v>
      </c>
    </row>
    <row r="319" spans="1:18" ht="15.75" customHeight="1" x14ac:dyDescent="0.35">
      <c r="A319" s="349" t="s">
        <v>725</v>
      </c>
      <c r="B319" s="2">
        <v>0</v>
      </c>
      <c r="C319" s="2">
        <v>0</v>
      </c>
      <c r="D319" s="2">
        <v>0</v>
      </c>
      <c r="E319" s="183">
        <f t="shared" si="64"/>
        <v>0</v>
      </c>
      <c r="F319" s="2">
        <v>0</v>
      </c>
      <c r="G319" s="2">
        <v>0</v>
      </c>
      <c r="H319" s="2">
        <v>0</v>
      </c>
      <c r="I319" s="183">
        <f t="shared" si="65"/>
        <v>0</v>
      </c>
      <c r="J319" s="2">
        <v>0</v>
      </c>
      <c r="K319" s="2">
        <v>0</v>
      </c>
      <c r="L319" s="2">
        <v>0</v>
      </c>
      <c r="M319" s="183">
        <f t="shared" si="66"/>
        <v>0</v>
      </c>
      <c r="N319" s="2">
        <v>0</v>
      </c>
      <c r="O319" s="2">
        <v>0</v>
      </c>
      <c r="P319" s="2">
        <v>0</v>
      </c>
      <c r="Q319" s="183">
        <f t="shared" si="67"/>
        <v>0</v>
      </c>
      <c r="R319" s="183">
        <f t="shared" si="68"/>
        <v>0</v>
      </c>
    </row>
    <row r="320" spans="1:18" ht="15.75" customHeight="1" x14ac:dyDescent="0.35">
      <c r="A320" s="349" t="s">
        <v>1150</v>
      </c>
      <c r="B320" s="2">
        <v>0</v>
      </c>
      <c r="C320" s="2">
        <v>627</v>
      </c>
      <c r="D320" s="2">
        <v>0</v>
      </c>
      <c r="E320" s="183">
        <f t="shared" si="64"/>
        <v>627</v>
      </c>
      <c r="F320" s="2">
        <v>0</v>
      </c>
      <c r="G320" s="2">
        <v>0</v>
      </c>
      <c r="H320" s="2">
        <v>0</v>
      </c>
      <c r="I320" s="183">
        <f t="shared" si="65"/>
        <v>0</v>
      </c>
      <c r="J320" s="2">
        <v>0</v>
      </c>
      <c r="K320" s="2">
        <v>0</v>
      </c>
      <c r="L320" s="2">
        <v>0</v>
      </c>
      <c r="M320" s="183">
        <f t="shared" si="66"/>
        <v>0</v>
      </c>
      <c r="N320" s="2">
        <v>0</v>
      </c>
      <c r="O320" s="2">
        <v>0</v>
      </c>
      <c r="P320" s="2">
        <v>0</v>
      </c>
      <c r="Q320" s="183">
        <f t="shared" si="67"/>
        <v>0</v>
      </c>
      <c r="R320" s="183">
        <f t="shared" si="68"/>
        <v>627</v>
      </c>
    </row>
    <row r="321" spans="1:18" ht="15.75" customHeight="1" x14ac:dyDescent="0.35">
      <c r="A321" s="349" t="s">
        <v>885</v>
      </c>
      <c r="B321" s="2">
        <v>0</v>
      </c>
      <c r="C321" s="2">
        <v>0</v>
      </c>
      <c r="D321" s="2">
        <v>0</v>
      </c>
      <c r="E321" s="183">
        <f t="shared" si="64"/>
        <v>0</v>
      </c>
      <c r="F321" s="2">
        <v>0</v>
      </c>
      <c r="G321" s="2">
        <v>0</v>
      </c>
      <c r="H321" s="2">
        <v>0</v>
      </c>
      <c r="I321" s="183">
        <f t="shared" si="65"/>
        <v>0</v>
      </c>
      <c r="J321" s="2">
        <v>0</v>
      </c>
      <c r="K321" s="2">
        <v>0</v>
      </c>
      <c r="L321" s="2">
        <v>0</v>
      </c>
      <c r="M321" s="183">
        <f t="shared" si="66"/>
        <v>0</v>
      </c>
      <c r="N321" s="2">
        <v>0</v>
      </c>
      <c r="O321" s="2">
        <v>0</v>
      </c>
      <c r="P321" s="2">
        <v>0</v>
      </c>
      <c r="Q321" s="183">
        <f t="shared" si="67"/>
        <v>0</v>
      </c>
      <c r="R321" s="183">
        <f t="shared" si="68"/>
        <v>0</v>
      </c>
    </row>
    <row r="322" spans="1:18" ht="15.75" customHeight="1" x14ac:dyDescent="0.35">
      <c r="A322" s="349" t="s">
        <v>613</v>
      </c>
      <c r="B322" s="2">
        <v>0</v>
      </c>
      <c r="C322" s="2">
        <v>0</v>
      </c>
      <c r="D322" s="2">
        <v>0</v>
      </c>
      <c r="E322" s="183">
        <f t="shared" si="64"/>
        <v>0</v>
      </c>
      <c r="F322" s="2">
        <v>0</v>
      </c>
      <c r="G322" s="2">
        <v>0</v>
      </c>
      <c r="H322" s="2">
        <v>0</v>
      </c>
      <c r="I322" s="183">
        <f t="shared" si="65"/>
        <v>0</v>
      </c>
      <c r="J322" s="2">
        <v>0</v>
      </c>
      <c r="K322" s="2">
        <v>0</v>
      </c>
      <c r="L322" s="2">
        <v>0</v>
      </c>
      <c r="M322" s="183">
        <f t="shared" si="66"/>
        <v>0</v>
      </c>
      <c r="N322" s="2">
        <v>0</v>
      </c>
      <c r="O322" s="2">
        <v>0</v>
      </c>
      <c r="P322" s="2">
        <v>0</v>
      </c>
      <c r="Q322" s="183">
        <f t="shared" si="67"/>
        <v>0</v>
      </c>
      <c r="R322" s="183">
        <f t="shared" si="68"/>
        <v>0</v>
      </c>
    </row>
    <row r="323" spans="1:18" ht="15.75" customHeight="1" x14ac:dyDescent="0.35">
      <c r="A323" s="349" t="s">
        <v>1097</v>
      </c>
      <c r="B323" s="2">
        <v>0</v>
      </c>
      <c r="C323" s="2">
        <v>826</v>
      </c>
      <c r="D323" s="2">
        <v>843</v>
      </c>
      <c r="E323" s="183">
        <f t="shared" si="64"/>
        <v>1669</v>
      </c>
      <c r="F323" s="2">
        <v>0</v>
      </c>
      <c r="G323" s="2">
        <v>0</v>
      </c>
      <c r="H323" s="2">
        <v>0</v>
      </c>
      <c r="I323" s="183">
        <f t="shared" si="65"/>
        <v>0</v>
      </c>
      <c r="J323" s="2">
        <v>0</v>
      </c>
      <c r="K323" s="2">
        <v>0</v>
      </c>
      <c r="L323" s="2">
        <v>0</v>
      </c>
      <c r="M323" s="183">
        <f t="shared" si="66"/>
        <v>0</v>
      </c>
      <c r="N323" s="2">
        <v>0</v>
      </c>
      <c r="O323" s="2">
        <v>0</v>
      </c>
      <c r="P323" s="2">
        <v>0</v>
      </c>
      <c r="Q323" s="183">
        <f t="shared" si="67"/>
        <v>0</v>
      </c>
      <c r="R323" s="183">
        <f t="shared" si="68"/>
        <v>1669</v>
      </c>
    </row>
    <row r="324" spans="1:18" ht="15.75" customHeight="1" x14ac:dyDescent="0.35">
      <c r="A324" s="349" t="s">
        <v>115</v>
      </c>
      <c r="B324" s="2">
        <v>15</v>
      </c>
      <c r="C324" s="2">
        <v>2</v>
      </c>
      <c r="D324" s="2">
        <v>0</v>
      </c>
      <c r="E324" s="183">
        <f t="shared" si="64"/>
        <v>17</v>
      </c>
      <c r="F324" s="2">
        <v>25</v>
      </c>
      <c r="G324" s="2">
        <v>25</v>
      </c>
      <c r="H324" s="2">
        <v>212</v>
      </c>
      <c r="I324" s="183">
        <f t="shared" si="65"/>
        <v>262</v>
      </c>
      <c r="J324" s="2">
        <v>412</v>
      </c>
      <c r="K324" s="2">
        <v>335</v>
      </c>
      <c r="L324" s="2">
        <v>0</v>
      </c>
      <c r="M324" s="183">
        <f t="shared" si="66"/>
        <v>747</v>
      </c>
      <c r="N324" s="2">
        <v>0</v>
      </c>
      <c r="O324" s="2">
        <v>0</v>
      </c>
      <c r="P324" s="2">
        <v>0</v>
      </c>
      <c r="Q324" s="183">
        <f t="shared" si="67"/>
        <v>0</v>
      </c>
      <c r="R324" s="183">
        <f t="shared" si="68"/>
        <v>1026</v>
      </c>
    </row>
    <row r="325" spans="1:18" ht="15.75" customHeight="1" x14ac:dyDescent="0.35">
      <c r="A325" s="349" t="s">
        <v>1780</v>
      </c>
      <c r="B325" s="2">
        <v>1000</v>
      </c>
      <c r="C325" s="2">
        <v>1000</v>
      </c>
      <c r="D325" s="2">
        <v>920</v>
      </c>
      <c r="E325" s="183">
        <f>SUM(B325:D325)</f>
        <v>2920</v>
      </c>
      <c r="F325" s="2">
        <v>0</v>
      </c>
      <c r="G325" s="2">
        <v>0</v>
      </c>
      <c r="H325" s="2">
        <v>0</v>
      </c>
      <c r="I325" s="183">
        <f>SUM(F325:H325)</f>
        <v>0</v>
      </c>
      <c r="J325" s="2">
        <v>0</v>
      </c>
      <c r="K325" s="2">
        <v>0</v>
      </c>
      <c r="L325" s="2">
        <v>0</v>
      </c>
      <c r="M325" s="183">
        <f>SUM(J325:L325)</f>
        <v>0</v>
      </c>
      <c r="N325" s="2">
        <v>0</v>
      </c>
      <c r="O325" s="2">
        <v>0</v>
      </c>
      <c r="P325" s="2">
        <v>0</v>
      </c>
      <c r="Q325" s="183">
        <f>SUM(N325:P325)</f>
        <v>0</v>
      </c>
      <c r="R325" s="183">
        <f>+E325+I325+M325+Q325</f>
        <v>2920</v>
      </c>
    </row>
    <row r="326" spans="1:18" ht="15.75" customHeight="1" x14ac:dyDescent="0.3">
      <c r="A326" s="311" t="s">
        <v>1134</v>
      </c>
      <c r="B326" s="172">
        <v>0</v>
      </c>
      <c r="C326" s="172">
        <v>0</v>
      </c>
      <c r="D326" s="172">
        <v>0</v>
      </c>
      <c r="E326" s="38">
        <f>SUM(B326:D326)</f>
        <v>0</v>
      </c>
      <c r="F326" s="172">
        <v>0</v>
      </c>
      <c r="G326" s="172">
        <v>0</v>
      </c>
      <c r="H326" s="172">
        <v>0</v>
      </c>
      <c r="I326" s="38">
        <f>SUM(F326:H326)</f>
        <v>0</v>
      </c>
      <c r="J326" s="172">
        <v>0</v>
      </c>
      <c r="K326" s="172">
        <v>0</v>
      </c>
      <c r="L326" s="172">
        <v>1000</v>
      </c>
      <c r="M326" s="38">
        <f>SUM(J326:L326)</f>
        <v>1000</v>
      </c>
      <c r="N326" s="172">
        <v>0</v>
      </c>
      <c r="O326" s="172">
        <v>0</v>
      </c>
      <c r="P326" s="172">
        <v>0</v>
      </c>
      <c r="Q326" s="38">
        <f>SUM(N326:P326)</f>
        <v>0</v>
      </c>
      <c r="R326" s="38">
        <f>+E326+I326+M326+Q326</f>
        <v>1000</v>
      </c>
    </row>
    <row r="327" spans="1:18" ht="15.75" customHeight="1" x14ac:dyDescent="0.35">
      <c r="A327" s="349" t="s">
        <v>2089</v>
      </c>
      <c r="B327" s="2">
        <v>0</v>
      </c>
      <c r="C327" s="2">
        <v>0</v>
      </c>
      <c r="D327" s="2">
        <v>0</v>
      </c>
      <c r="E327" s="183">
        <f t="shared" si="64"/>
        <v>0</v>
      </c>
      <c r="F327" s="2">
        <v>0</v>
      </c>
      <c r="G327" s="2">
        <v>0</v>
      </c>
      <c r="H327" s="2">
        <v>0</v>
      </c>
      <c r="I327" s="183">
        <f t="shared" si="65"/>
        <v>0</v>
      </c>
      <c r="J327" s="2">
        <v>0</v>
      </c>
      <c r="K327" s="2">
        <v>629</v>
      </c>
      <c r="L327" s="2">
        <v>1074</v>
      </c>
      <c r="M327" s="183">
        <f t="shared" si="66"/>
        <v>1703</v>
      </c>
      <c r="N327" s="2">
        <v>1162</v>
      </c>
      <c r="O327" s="2">
        <v>252</v>
      </c>
      <c r="P327" s="2">
        <v>94</v>
      </c>
      <c r="Q327" s="183">
        <f t="shared" si="67"/>
        <v>1508</v>
      </c>
      <c r="R327" s="183">
        <f t="shared" si="68"/>
        <v>3211</v>
      </c>
    </row>
    <row r="328" spans="1:18" ht="15.75" customHeight="1" x14ac:dyDescent="0.35">
      <c r="A328" s="349" t="s">
        <v>1475</v>
      </c>
      <c r="B328" s="2">
        <v>15</v>
      </c>
      <c r="C328" s="2">
        <v>0</v>
      </c>
      <c r="D328" s="2">
        <v>0</v>
      </c>
      <c r="E328" s="183">
        <f t="shared" si="64"/>
        <v>15</v>
      </c>
      <c r="F328" s="2">
        <v>25</v>
      </c>
      <c r="G328" s="2">
        <v>700</v>
      </c>
      <c r="H328" s="2">
        <v>1031</v>
      </c>
      <c r="I328" s="183">
        <f t="shared" si="65"/>
        <v>1756</v>
      </c>
      <c r="J328" s="2">
        <v>830</v>
      </c>
      <c r="K328" s="2">
        <v>0</v>
      </c>
      <c r="L328" s="2">
        <v>0</v>
      </c>
      <c r="M328" s="183">
        <f t="shared" si="66"/>
        <v>830</v>
      </c>
      <c r="N328" s="2">
        <v>0</v>
      </c>
      <c r="O328" s="2">
        <v>0</v>
      </c>
      <c r="P328" s="2">
        <v>0</v>
      </c>
      <c r="Q328" s="183">
        <f t="shared" si="67"/>
        <v>0</v>
      </c>
      <c r="R328" s="183">
        <f t="shared" si="68"/>
        <v>2601</v>
      </c>
    </row>
    <row r="329" spans="1:18" ht="15.75" customHeight="1" thickBot="1" x14ac:dyDescent="0.4">
      <c r="A329" s="349" t="s">
        <v>101</v>
      </c>
      <c r="B329" s="2">
        <v>0</v>
      </c>
      <c r="C329" s="2">
        <v>0</v>
      </c>
      <c r="D329" s="2">
        <v>2622</v>
      </c>
      <c r="E329" s="183">
        <f t="shared" si="64"/>
        <v>2622</v>
      </c>
      <c r="F329" s="2">
        <v>0</v>
      </c>
      <c r="G329" s="2">
        <v>0</v>
      </c>
      <c r="H329" s="2">
        <v>0</v>
      </c>
      <c r="I329" s="183">
        <f t="shared" si="65"/>
        <v>0</v>
      </c>
      <c r="J329" s="2">
        <v>0</v>
      </c>
      <c r="K329" s="2">
        <v>0</v>
      </c>
      <c r="L329" s="2">
        <v>0</v>
      </c>
      <c r="M329" s="183">
        <f t="shared" si="66"/>
        <v>0</v>
      </c>
      <c r="N329" s="2">
        <v>0</v>
      </c>
      <c r="O329" s="2">
        <v>0</v>
      </c>
      <c r="P329" s="2">
        <v>0</v>
      </c>
      <c r="Q329" s="183">
        <f t="shared" si="67"/>
        <v>0</v>
      </c>
      <c r="R329" s="183">
        <f t="shared" si="68"/>
        <v>2622</v>
      </c>
    </row>
    <row r="330" spans="1:18" ht="15.75" customHeight="1" thickBot="1" x14ac:dyDescent="0.4">
      <c r="A330" s="57" t="s">
        <v>1220</v>
      </c>
      <c r="B330" s="188">
        <f>SUM(B313:B329)</f>
        <v>4438</v>
      </c>
      <c r="C330" s="189">
        <f>SUM(C313:C329)</f>
        <v>8142</v>
      </c>
      <c r="D330" s="189">
        <f>SUM(D313:D329)</f>
        <v>15563</v>
      </c>
      <c r="E330" s="56">
        <f t="shared" si="64"/>
        <v>28143</v>
      </c>
      <c r="F330" s="189">
        <f>SUM(F313:F329)</f>
        <v>10158</v>
      </c>
      <c r="G330" s="189">
        <f>SUM(G313:G329)</f>
        <v>12816</v>
      </c>
      <c r="H330" s="189">
        <f>SUM(H313:H329)</f>
        <v>12750</v>
      </c>
      <c r="I330" s="56">
        <f t="shared" si="65"/>
        <v>35724</v>
      </c>
      <c r="J330" s="189">
        <f>SUM(J313:J329)</f>
        <v>10289</v>
      </c>
      <c r="K330" s="189">
        <f>SUM(K313:K329)</f>
        <v>10072</v>
      </c>
      <c r="L330" s="189">
        <f>SUM(L313:L329)</f>
        <v>7899</v>
      </c>
      <c r="M330" s="56">
        <f t="shared" si="66"/>
        <v>28260</v>
      </c>
      <c r="N330" s="189">
        <f>SUM(N313:N329)</f>
        <v>3638</v>
      </c>
      <c r="O330" s="189">
        <f>SUM(O313:O329)</f>
        <v>1097</v>
      </c>
      <c r="P330" s="189">
        <f>SUM(P313:P329)</f>
        <v>2493</v>
      </c>
      <c r="Q330" s="56">
        <f t="shared" si="67"/>
        <v>7228</v>
      </c>
      <c r="R330" s="56">
        <f t="shared" si="68"/>
        <v>99355</v>
      </c>
    </row>
    <row r="331" spans="1:18" ht="15.75" customHeight="1" x14ac:dyDescent="0.35">
      <c r="A331" s="6" t="s">
        <v>1712</v>
      </c>
      <c r="B331" s="2"/>
      <c r="C331" s="2"/>
      <c r="D331" s="2"/>
      <c r="E331" s="183" t="s">
        <v>852</v>
      </c>
      <c r="F331" s="2"/>
      <c r="G331" s="2"/>
      <c r="H331" s="2"/>
      <c r="I331" s="183" t="s">
        <v>852</v>
      </c>
      <c r="J331" s="2"/>
      <c r="K331" s="2"/>
      <c r="L331" s="2"/>
      <c r="M331" s="183" t="s">
        <v>852</v>
      </c>
      <c r="N331" s="2"/>
      <c r="O331" s="2"/>
      <c r="P331" s="2"/>
      <c r="Q331" s="183" t="s">
        <v>852</v>
      </c>
      <c r="R331" s="183" t="s">
        <v>852</v>
      </c>
    </row>
    <row r="332" spans="1:18" ht="15.75" customHeight="1" x14ac:dyDescent="0.35">
      <c r="A332" s="6" t="s">
        <v>556</v>
      </c>
      <c r="B332" s="2"/>
      <c r="C332" s="2"/>
      <c r="D332" s="2"/>
      <c r="E332" s="183" t="s">
        <v>852</v>
      </c>
      <c r="F332" s="2"/>
      <c r="G332" s="2"/>
      <c r="H332" s="2"/>
      <c r="I332" s="183" t="s">
        <v>852</v>
      </c>
      <c r="J332" s="2"/>
      <c r="K332" s="2"/>
      <c r="L332" s="2"/>
      <c r="M332" s="183" t="s">
        <v>852</v>
      </c>
      <c r="N332" s="2"/>
      <c r="O332" s="2"/>
      <c r="P332" s="2"/>
      <c r="Q332" s="183" t="s">
        <v>852</v>
      </c>
      <c r="R332" s="183" t="s">
        <v>852</v>
      </c>
    </row>
    <row r="333" spans="1:18" ht="15.75" customHeight="1" x14ac:dyDescent="0.35">
      <c r="A333" s="349" t="s">
        <v>2017</v>
      </c>
      <c r="B333" s="2">
        <v>0</v>
      </c>
      <c r="C333" s="2">
        <v>0</v>
      </c>
      <c r="D333" s="2">
        <v>0</v>
      </c>
      <c r="E333" s="183">
        <f>SUM(B333:D333)</f>
        <v>0</v>
      </c>
      <c r="F333" s="2">
        <v>0</v>
      </c>
      <c r="G333" s="2">
        <v>0</v>
      </c>
      <c r="H333" s="2">
        <v>0</v>
      </c>
      <c r="I333" s="183">
        <f>SUM(F333:H333)</f>
        <v>0</v>
      </c>
      <c r="J333" s="2">
        <v>0</v>
      </c>
      <c r="K333" s="2">
        <v>0</v>
      </c>
      <c r="L333" s="2">
        <v>0</v>
      </c>
      <c r="M333" s="183">
        <f>SUM(J333:L333)</f>
        <v>0</v>
      </c>
      <c r="N333" s="2">
        <v>0</v>
      </c>
      <c r="O333" s="2">
        <v>0</v>
      </c>
      <c r="P333" s="2">
        <v>0</v>
      </c>
      <c r="Q333" s="183">
        <f>SUM(N333:P333)</f>
        <v>0</v>
      </c>
      <c r="R333" s="183">
        <f>+E333+I333+M333+Q333</f>
        <v>0</v>
      </c>
    </row>
    <row r="334" spans="1:18" ht="15.75" customHeight="1" x14ac:dyDescent="0.35">
      <c r="A334" s="6" t="s">
        <v>557</v>
      </c>
      <c r="B334" s="2"/>
      <c r="C334" s="2"/>
      <c r="D334" s="2"/>
      <c r="E334" s="183" t="s">
        <v>852</v>
      </c>
      <c r="F334" s="2"/>
      <c r="G334" s="2"/>
      <c r="H334" s="2"/>
      <c r="I334" s="183" t="s">
        <v>852</v>
      </c>
      <c r="J334" s="2"/>
      <c r="K334" s="2"/>
      <c r="L334" s="2"/>
      <c r="M334" s="183" t="s">
        <v>852</v>
      </c>
      <c r="N334" s="2"/>
      <c r="O334" s="2"/>
      <c r="P334" s="2"/>
      <c r="Q334" s="183" t="s">
        <v>852</v>
      </c>
      <c r="R334" s="183" t="s">
        <v>852</v>
      </c>
    </row>
    <row r="335" spans="1:18" ht="15.75" customHeight="1" x14ac:dyDescent="0.35">
      <c r="A335" s="349" t="s">
        <v>1100</v>
      </c>
      <c r="B335" s="2">
        <v>0</v>
      </c>
      <c r="C335" s="2">
        <v>0</v>
      </c>
      <c r="D335" s="2">
        <v>0</v>
      </c>
      <c r="E335" s="183">
        <f>SUM(B335:D335)</f>
        <v>0</v>
      </c>
      <c r="F335" s="2">
        <v>0</v>
      </c>
      <c r="G335" s="2">
        <v>0</v>
      </c>
      <c r="H335" s="2">
        <v>0</v>
      </c>
      <c r="I335" s="183">
        <f>SUM(F335:H335)</f>
        <v>0</v>
      </c>
      <c r="J335" s="2">
        <v>0</v>
      </c>
      <c r="K335" s="2">
        <v>0</v>
      </c>
      <c r="L335" s="2">
        <v>0</v>
      </c>
      <c r="M335" s="183">
        <f>SUM(J335:L335)</f>
        <v>0</v>
      </c>
      <c r="N335" s="2">
        <v>0</v>
      </c>
      <c r="O335" s="2">
        <v>0</v>
      </c>
      <c r="P335" s="2">
        <v>0</v>
      </c>
      <c r="Q335" s="183">
        <f>SUM(N335:P335)</f>
        <v>0</v>
      </c>
      <c r="R335" s="183">
        <f>+E335+I335+M335+Q335</f>
        <v>0</v>
      </c>
    </row>
    <row r="336" spans="1:18" ht="15.75" customHeight="1" x14ac:dyDescent="0.35">
      <c r="A336" s="349" t="s">
        <v>2221</v>
      </c>
      <c r="B336" s="2">
        <v>0</v>
      </c>
      <c r="C336" s="2">
        <v>0</v>
      </c>
      <c r="D336" s="2">
        <v>0</v>
      </c>
      <c r="E336" s="183">
        <f>SUM(B336:D336)</f>
        <v>0</v>
      </c>
      <c r="F336" s="2">
        <v>0</v>
      </c>
      <c r="G336" s="2">
        <v>0</v>
      </c>
      <c r="H336" s="2">
        <v>0</v>
      </c>
      <c r="I336" s="183">
        <f>SUM(F336:H336)</f>
        <v>0</v>
      </c>
      <c r="J336" s="2">
        <v>0</v>
      </c>
      <c r="K336" s="2">
        <v>0</v>
      </c>
      <c r="L336" s="2">
        <v>0</v>
      </c>
      <c r="M336" s="183">
        <f>SUM(J336:L336)</f>
        <v>0</v>
      </c>
      <c r="N336" s="2">
        <v>0</v>
      </c>
      <c r="O336" s="2">
        <v>0</v>
      </c>
      <c r="P336" s="2">
        <v>0</v>
      </c>
      <c r="Q336" s="183">
        <f>SUM(N336:P336)</f>
        <v>0</v>
      </c>
      <c r="R336" s="183">
        <f>+E336+I336+M336+Q336</f>
        <v>0</v>
      </c>
    </row>
    <row r="337" spans="1:18" ht="15.75" customHeight="1" x14ac:dyDescent="0.35">
      <c r="A337" s="6" t="s">
        <v>558</v>
      </c>
      <c r="B337" s="2"/>
      <c r="C337" s="2"/>
      <c r="D337" s="2"/>
      <c r="E337" s="183" t="s">
        <v>852</v>
      </c>
      <c r="F337" s="2"/>
      <c r="G337" s="2"/>
      <c r="H337" s="2"/>
      <c r="I337" s="183" t="s">
        <v>852</v>
      </c>
      <c r="J337" s="2"/>
      <c r="K337" s="2"/>
      <c r="L337" s="2"/>
      <c r="M337" s="183" t="s">
        <v>852</v>
      </c>
      <c r="N337" s="2"/>
      <c r="O337" s="2"/>
      <c r="P337" s="2"/>
      <c r="Q337" s="183" t="s">
        <v>852</v>
      </c>
      <c r="R337" s="183" t="s">
        <v>852</v>
      </c>
    </row>
    <row r="338" spans="1:18" ht="15.75" customHeight="1" x14ac:dyDescent="0.35">
      <c r="A338" s="349" t="s">
        <v>2486</v>
      </c>
      <c r="B338" s="2">
        <v>0</v>
      </c>
      <c r="C338" s="2">
        <v>0</v>
      </c>
      <c r="D338" s="2">
        <v>0</v>
      </c>
      <c r="E338" s="183">
        <f>SUM(B338:D338)</f>
        <v>0</v>
      </c>
      <c r="F338" s="2">
        <v>878</v>
      </c>
      <c r="G338" s="2">
        <v>1799</v>
      </c>
      <c r="H338" s="2">
        <v>4199</v>
      </c>
      <c r="I338" s="183">
        <f>SUM(F338:H338)</f>
        <v>6876</v>
      </c>
      <c r="J338" s="2">
        <v>3754</v>
      </c>
      <c r="K338" s="2">
        <v>2288</v>
      </c>
      <c r="L338" s="2">
        <v>3349</v>
      </c>
      <c r="M338" s="183">
        <f>SUM(J338:L338)</f>
        <v>9391</v>
      </c>
      <c r="N338" s="2">
        <v>2978</v>
      </c>
      <c r="O338" s="2">
        <v>383</v>
      </c>
      <c r="P338" s="2">
        <v>372</v>
      </c>
      <c r="Q338" s="183">
        <f>SUM(N338:P338)</f>
        <v>3733</v>
      </c>
      <c r="R338" s="183">
        <f>+E338+I338+M338+Q338</f>
        <v>20000</v>
      </c>
    </row>
    <row r="339" spans="1:18" ht="15.75" customHeight="1" x14ac:dyDescent="0.35">
      <c r="A339" s="349" t="s">
        <v>1866</v>
      </c>
      <c r="B339" s="2">
        <v>0</v>
      </c>
      <c r="C339" s="2">
        <v>0</v>
      </c>
      <c r="D339" s="2">
        <v>0</v>
      </c>
      <c r="E339" s="183">
        <f>SUM(B339:D339)</f>
        <v>0</v>
      </c>
      <c r="F339" s="2">
        <v>0</v>
      </c>
      <c r="G339" s="2">
        <v>0</v>
      </c>
      <c r="H339" s="2">
        <v>0</v>
      </c>
      <c r="I339" s="183">
        <f>SUM(F339:H339)</f>
        <v>0</v>
      </c>
      <c r="J339" s="2">
        <v>0</v>
      </c>
      <c r="K339" s="2">
        <v>0</v>
      </c>
      <c r="L339" s="2">
        <v>1000</v>
      </c>
      <c r="M339" s="183">
        <f>SUM(J339:L339)</f>
        <v>1000</v>
      </c>
      <c r="N339" s="2">
        <v>0</v>
      </c>
      <c r="O339" s="2">
        <v>0</v>
      </c>
      <c r="P339" s="2">
        <v>0</v>
      </c>
      <c r="Q339" s="183">
        <f>SUM(N339:P339)</f>
        <v>0</v>
      </c>
      <c r="R339" s="183">
        <f>+E339+I339+M339+Q339</f>
        <v>1000</v>
      </c>
    </row>
    <row r="340" spans="1:18" ht="15.75" customHeight="1" x14ac:dyDescent="0.35">
      <c r="A340" s="9" t="s">
        <v>1146</v>
      </c>
      <c r="B340" s="2">
        <v>0</v>
      </c>
      <c r="C340" s="2">
        <v>215</v>
      </c>
      <c r="D340" s="2">
        <v>3359</v>
      </c>
      <c r="E340" s="183">
        <f>SUM(B340:D340)</f>
        <v>3574</v>
      </c>
      <c r="F340" s="2">
        <v>1412</v>
      </c>
      <c r="G340" s="2">
        <v>3612</v>
      </c>
      <c r="H340" s="2">
        <v>5547</v>
      </c>
      <c r="I340" s="183">
        <f>SUM(F340:H340)</f>
        <v>10571</v>
      </c>
      <c r="J340" s="2">
        <v>0</v>
      </c>
      <c r="K340" s="2">
        <v>0</v>
      </c>
      <c r="L340" s="2">
        <v>0</v>
      </c>
      <c r="M340" s="183">
        <f>SUM(J340:L340)</f>
        <v>0</v>
      </c>
      <c r="N340" s="2">
        <v>0</v>
      </c>
      <c r="O340" s="2">
        <v>0</v>
      </c>
      <c r="P340" s="2">
        <v>0</v>
      </c>
      <c r="Q340" s="183">
        <f>SUM(N340:P340)</f>
        <v>0</v>
      </c>
      <c r="R340" s="183">
        <f>+E340+I340+M340+Q340</f>
        <v>14145</v>
      </c>
    </row>
    <row r="341" spans="1:18" ht="15.75" customHeight="1" x14ac:dyDescent="0.35">
      <c r="A341" s="349" t="s">
        <v>2393</v>
      </c>
      <c r="B341" s="2">
        <v>0</v>
      </c>
      <c r="C341" s="2">
        <v>0</v>
      </c>
      <c r="D341" s="2">
        <v>0</v>
      </c>
      <c r="E341" s="183">
        <f>SUM(B341:D341)</f>
        <v>0</v>
      </c>
      <c r="F341" s="2">
        <v>1250</v>
      </c>
      <c r="G341" s="2">
        <v>238</v>
      </c>
      <c r="H341" s="2">
        <v>4115</v>
      </c>
      <c r="I341" s="183">
        <f>SUM(F341:H341)</f>
        <v>5603</v>
      </c>
      <c r="J341" s="2">
        <v>2676</v>
      </c>
      <c r="K341" s="2">
        <v>5118</v>
      </c>
      <c r="L341" s="2">
        <v>2603</v>
      </c>
      <c r="M341" s="183">
        <f>SUM(J341:L341)</f>
        <v>10397</v>
      </c>
      <c r="N341" s="2">
        <v>0</v>
      </c>
      <c r="O341" s="2">
        <v>0</v>
      </c>
      <c r="P341" s="2">
        <v>0</v>
      </c>
      <c r="Q341" s="183">
        <f>SUM(N341:P341)</f>
        <v>0</v>
      </c>
      <c r="R341" s="183">
        <f>+E341+I341+M341+Q341</f>
        <v>16000</v>
      </c>
    </row>
    <row r="342" spans="1:18" ht="15.75" customHeight="1" x14ac:dyDescent="0.35">
      <c r="A342" s="349" t="s">
        <v>793</v>
      </c>
      <c r="B342" s="2">
        <v>1755</v>
      </c>
      <c r="C342" s="2">
        <v>2957</v>
      </c>
      <c r="D342" s="2">
        <v>5253</v>
      </c>
      <c r="E342" s="183">
        <f>SUM(B342:D342)</f>
        <v>9965</v>
      </c>
      <c r="F342" s="2">
        <v>2549</v>
      </c>
      <c r="G342" s="2">
        <v>3612</v>
      </c>
      <c r="H342" s="2">
        <v>9822</v>
      </c>
      <c r="I342" s="183">
        <f>SUM(F342:H342)</f>
        <v>15983</v>
      </c>
      <c r="J342" s="2">
        <v>8780</v>
      </c>
      <c r="K342" s="2">
        <v>14813</v>
      </c>
      <c r="L342" s="2">
        <v>12658</v>
      </c>
      <c r="M342" s="183">
        <f>SUM(J342:L342)</f>
        <v>36251</v>
      </c>
      <c r="N342" s="2">
        <v>9090</v>
      </c>
      <c r="O342" s="2">
        <v>1792</v>
      </c>
      <c r="P342" s="2">
        <v>2953</v>
      </c>
      <c r="Q342" s="183">
        <f>SUM(N342:P342)</f>
        <v>13835</v>
      </c>
      <c r="R342" s="183">
        <f>+E342+I342+M342+Q342</f>
        <v>76034</v>
      </c>
    </row>
    <row r="343" spans="1:18" ht="15.75" customHeight="1" x14ac:dyDescent="0.35">
      <c r="A343" s="6" t="s">
        <v>559</v>
      </c>
      <c r="B343" s="2"/>
      <c r="C343" s="2"/>
      <c r="D343" s="2"/>
      <c r="E343" s="183" t="s">
        <v>852</v>
      </c>
      <c r="F343" s="2"/>
      <c r="G343" s="2"/>
      <c r="H343" s="2"/>
      <c r="I343" s="183" t="s">
        <v>852</v>
      </c>
      <c r="J343" s="2"/>
      <c r="K343" s="2"/>
      <c r="L343" s="2"/>
      <c r="M343" s="183" t="s">
        <v>852</v>
      </c>
      <c r="N343" s="2"/>
      <c r="O343" s="2"/>
      <c r="P343" s="2"/>
      <c r="Q343" s="183" t="s">
        <v>852</v>
      </c>
      <c r="R343" s="183" t="s">
        <v>852</v>
      </c>
    </row>
    <row r="344" spans="1:18" ht="15.75" customHeight="1" x14ac:dyDescent="0.35">
      <c r="A344" s="349" t="s">
        <v>2194</v>
      </c>
      <c r="B344" s="2">
        <v>0</v>
      </c>
      <c r="C344" s="2">
        <v>0</v>
      </c>
      <c r="D344" s="2">
        <v>0</v>
      </c>
      <c r="E344" s="183">
        <f t="shared" ref="E344:E355" si="69">SUM(B344:D344)</f>
        <v>0</v>
      </c>
      <c r="F344" s="2">
        <v>0</v>
      </c>
      <c r="G344" s="2">
        <v>0</v>
      </c>
      <c r="H344" s="2">
        <v>0</v>
      </c>
      <c r="I344" s="183">
        <f t="shared" ref="I344:I355" si="70">SUM(F344:H344)</f>
        <v>0</v>
      </c>
      <c r="J344" s="2">
        <v>0</v>
      </c>
      <c r="K344" s="2">
        <v>1215</v>
      </c>
      <c r="L344" s="2">
        <v>0</v>
      </c>
      <c r="M344" s="183">
        <f t="shared" ref="M344:M355" si="71">SUM(J344:L344)</f>
        <v>1215</v>
      </c>
      <c r="N344" s="2">
        <v>0</v>
      </c>
      <c r="O344" s="2">
        <v>0</v>
      </c>
      <c r="P344" s="2">
        <v>0</v>
      </c>
      <c r="Q344" s="183">
        <f t="shared" ref="Q344:Q349" si="72">SUM(N344:P344)</f>
        <v>0</v>
      </c>
      <c r="R344" s="183">
        <f t="shared" ref="R344:R349" si="73">+E344+I344+M344+Q344</f>
        <v>1215</v>
      </c>
    </row>
    <row r="345" spans="1:18" ht="15.75" customHeight="1" x14ac:dyDescent="0.35">
      <c r="A345" s="349" t="s">
        <v>2233</v>
      </c>
      <c r="B345" s="2">
        <v>0</v>
      </c>
      <c r="C345" s="2">
        <v>0</v>
      </c>
      <c r="D345" s="2">
        <v>0</v>
      </c>
      <c r="E345" s="183">
        <f t="shared" si="69"/>
        <v>0</v>
      </c>
      <c r="F345" s="2">
        <v>0</v>
      </c>
      <c r="G345" s="2">
        <v>0</v>
      </c>
      <c r="H345" s="2">
        <v>0</v>
      </c>
      <c r="I345" s="183">
        <f t="shared" si="70"/>
        <v>0</v>
      </c>
      <c r="J345" s="2">
        <v>0</v>
      </c>
      <c r="K345" s="2">
        <v>2117</v>
      </c>
      <c r="L345" s="2">
        <v>901</v>
      </c>
      <c r="M345" s="183">
        <f t="shared" si="71"/>
        <v>3018</v>
      </c>
      <c r="N345" s="2">
        <v>0</v>
      </c>
      <c r="O345" s="2">
        <v>0</v>
      </c>
      <c r="P345" s="2">
        <v>0</v>
      </c>
      <c r="Q345" s="183">
        <f t="shared" si="72"/>
        <v>0</v>
      </c>
      <c r="R345" s="183">
        <f t="shared" si="73"/>
        <v>3018</v>
      </c>
    </row>
    <row r="346" spans="1:18" ht="15.75" customHeight="1" x14ac:dyDescent="0.35">
      <c r="A346" s="349" t="s">
        <v>1591</v>
      </c>
      <c r="B346" s="2">
        <v>0</v>
      </c>
      <c r="C346" s="2">
        <v>0</v>
      </c>
      <c r="D346" s="2">
        <v>0</v>
      </c>
      <c r="E346" s="183">
        <f>SUM(B346:D346)</f>
        <v>0</v>
      </c>
      <c r="F346" s="2">
        <v>0</v>
      </c>
      <c r="G346" s="2">
        <v>403</v>
      </c>
      <c r="H346" s="2">
        <v>11702</v>
      </c>
      <c r="I346" s="183">
        <f>SUM(F346:H346)</f>
        <v>12105</v>
      </c>
      <c r="J346" s="2">
        <v>13458</v>
      </c>
      <c r="K346" s="2">
        <v>5369</v>
      </c>
      <c r="L346" s="2">
        <v>4356</v>
      </c>
      <c r="M346" s="183">
        <f>SUM(J346:L346)</f>
        <v>23183</v>
      </c>
      <c r="N346" s="2">
        <v>0</v>
      </c>
      <c r="O346" s="2">
        <v>0</v>
      </c>
      <c r="P346" s="2">
        <v>0</v>
      </c>
      <c r="Q346" s="183">
        <f t="shared" si="72"/>
        <v>0</v>
      </c>
      <c r="R346" s="183">
        <f t="shared" si="73"/>
        <v>35288</v>
      </c>
    </row>
    <row r="347" spans="1:18" ht="15.75" customHeight="1" x14ac:dyDescent="0.35">
      <c r="A347" s="349" t="s">
        <v>1141</v>
      </c>
      <c r="B347" s="2">
        <v>3240</v>
      </c>
      <c r="C347" s="2">
        <v>2000</v>
      </c>
      <c r="D347" s="2">
        <v>2500</v>
      </c>
      <c r="E347" s="183">
        <f>SUM(B347:D347)</f>
        <v>7740</v>
      </c>
      <c r="F347" s="2">
        <v>3600</v>
      </c>
      <c r="G347" s="2">
        <v>6650</v>
      </c>
      <c r="H347" s="2">
        <v>2010</v>
      </c>
      <c r="I347" s="183">
        <f>SUM(F347:H347)</f>
        <v>12260</v>
      </c>
      <c r="J347" s="2">
        <v>0</v>
      </c>
      <c r="K347" s="2">
        <v>0</v>
      </c>
      <c r="L347" s="2">
        <v>0</v>
      </c>
      <c r="M347" s="183">
        <f>SUM(J347:L347)</f>
        <v>0</v>
      </c>
      <c r="N347" s="2">
        <v>0</v>
      </c>
      <c r="O347" s="2">
        <v>0</v>
      </c>
      <c r="P347" s="2">
        <v>0</v>
      </c>
      <c r="Q347" s="183">
        <f t="shared" si="72"/>
        <v>0</v>
      </c>
      <c r="R347" s="183">
        <f t="shared" si="73"/>
        <v>20000</v>
      </c>
    </row>
    <row r="348" spans="1:18" ht="15.75" customHeight="1" x14ac:dyDescent="0.35">
      <c r="A348" s="349" t="s">
        <v>1797</v>
      </c>
      <c r="B348" s="2">
        <v>0</v>
      </c>
      <c r="C348" s="2">
        <v>0</v>
      </c>
      <c r="D348" s="2">
        <v>5000</v>
      </c>
      <c r="E348" s="183">
        <f>SUM(B348:D348)</f>
        <v>5000</v>
      </c>
      <c r="F348" s="2">
        <v>4026</v>
      </c>
      <c r="G348" s="2">
        <v>0</v>
      </c>
      <c r="H348" s="2">
        <v>1290</v>
      </c>
      <c r="I348" s="183">
        <f>SUM(F348:H348)</f>
        <v>5316</v>
      </c>
      <c r="J348" s="2">
        <v>2990</v>
      </c>
      <c r="K348" s="2">
        <v>2800</v>
      </c>
      <c r="L348" s="2">
        <v>2560</v>
      </c>
      <c r="M348" s="183">
        <f>SUM(J348:L348)</f>
        <v>8350</v>
      </c>
      <c r="N348" s="2">
        <v>1890</v>
      </c>
      <c r="O348" s="2">
        <v>0</v>
      </c>
      <c r="P348" s="2">
        <v>375</v>
      </c>
      <c r="Q348" s="183">
        <f t="shared" si="72"/>
        <v>2265</v>
      </c>
      <c r="R348" s="183">
        <f t="shared" si="73"/>
        <v>20931</v>
      </c>
    </row>
    <row r="349" spans="1:18" ht="15.75" customHeight="1" thickBot="1" x14ac:dyDescent="0.4">
      <c r="A349" s="349" t="s">
        <v>96</v>
      </c>
      <c r="B349" s="2">
        <v>0</v>
      </c>
      <c r="C349" s="2">
        <v>0</v>
      </c>
      <c r="D349" s="2">
        <v>0</v>
      </c>
      <c r="E349" s="183">
        <f>SUM(B349:D349)</f>
        <v>0</v>
      </c>
      <c r="F349" s="2">
        <v>0</v>
      </c>
      <c r="G349" s="2">
        <v>0</v>
      </c>
      <c r="H349" s="2">
        <v>0</v>
      </c>
      <c r="I349" s="183">
        <f>SUM(F349:H349)</f>
        <v>0</v>
      </c>
      <c r="J349" s="2">
        <v>0</v>
      </c>
      <c r="K349" s="2">
        <v>0</v>
      </c>
      <c r="L349" s="2">
        <v>599</v>
      </c>
      <c r="M349" s="183">
        <f>SUM(J349:L349)</f>
        <v>599</v>
      </c>
      <c r="N349" s="2">
        <v>1767</v>
      </c>
      <c r="O349" s="2">
        <v>332</v>
      </c>
      <c r="P349" s="2">
        <v>924</v>
      </c>
      <c r="Q349" s="183">
        <f t="shared" si="72"/>
        <v>3023</v>
      </c>
      <c r="R349" s="183">
        <f t="shared" si="73"/>
        <v>3622</v>
      </c>
    </row>
    <row r="350" spans="1:18" ht="15.75" customHeight="1" thickBot="1" x14ac:dyDescent="0.4">
      <c r="A350" s="41" t="s">
        <v>1019</v>
      </c>
      <c r="B350" s="184">
        <f>SUM(B338:B349)</f>
        <v>4995</v>
      </c>
      <c r="C350" s="184">
        <f>SUM(C338:C349)</f>
        <v>5172</v>
      </c>
      <c r="D350" s="184">
        <f>SUM(D338:D349)</f>
        <v>16112</v>
      </c>
      <c r="E350" s="185">
        <f t="shared" si="69"/>
        <v>26279</v>
      </c>
      <c r="F350" s="184">
        <f>SUM(F338:F349)</f>
        <v>13715</v>
      </c>
      <c r="G350" s="184">
        <f>SUM(G338:G349)</f>
        <v>16314</v>
      </c>
      <c r="H350" s="184">
        <f>SUM(H338:H349)</f>
        <v>38685</v>
      </c>
      <c r="I350" s="185">
        <f t="shared" si="70"/>
        <v>68714</v>
      </c>
      <c r="J350" s="184">
        <f>SUM(J338:J349)</f>
        <v>31658</v>
      </c>
      <c r="K350" s="184">
        <f>SUM(K338:K349)</f>
        <v>33720</v>
      </c>
      <c r="L350" s="184">
        <f>SUM(L338:L349)</f>
        <v>28026</v>
      </c>
      <c r="M350" s="185">
        <f t="shared" si="71"/>
        <v>93404</v>
      </c>
      <c r="N350" s="184">
        <f>SUM(N338:N349)</f>
        <v>15725</v>
      </c>
      <c r="O350" s="184">
        <f>SUM(O338:O349)</f>
        <v>2507</v>
      </c>
      <c r="P350" s="184">
        <f>SUM(P338:P349)</f>
        <v>4624</v>
      </c>
      <c r="Q350" s="185">
        <f t="shared" ref="Q350:Q355" si="74">SUM(N350:P350)</f>
        <v>22856</v>
      </c>
      <c r="R350" s="56">
        <f t="shared" ref="R350:R355" si="75">+E350+I350+M350+Q350</f>
        <v>211253</v>
      </c>
    </row>
    <row r="351" spans="1:18" ht="15.75" customHeight="1" thickBot="1" x14ac:dyDescent="0.4">
      <c r="A351" s="57" t="s">
        <v>1221</v>
      </c>
      <c r="B351" s="188">
        <f>SUM(B331:B349)</f>
        <v>4995</v>
      </c>
      <c r="C351" s="189">
        <f>SUM(C331:C349)</f>
        <v>5172</v>
      </c>
      <c r="D351" s="191">
        <f>SUM(D331:D349)</f>
        <v>16112</v>
      </c>
      <c r="E351" s="185">
        <f t="shared" si="69"/>
        <v>26279</v>
      </c>
      <c r="F351" s="189">
        <f>SUM(F331:F349)</f>
        <v>13715</v>
      </c>
      <c r="G351" s="189">
        <f>SUM(G331:G349)</f>
        <v>16314</v>
      </c>
      <c r="H351" s="189">
        <f>SUM(H331:H349)</f>
        <v>38685</v>
      </c>
      <c r="I351" s="185">
        <f t="shared" si="70"/>
        <v>68714</v>
      </c>
      <c r="J351" s="189">
        <f>SUM(J331:J349)</f>
        <v>31658</v>
      </c>
      <c r="K351" s="189">
        <f>SUM(K331:K349)</f>
        <v>33720</v>
      </c>
      <c r="L351" s="189">
        <f>SUM(L331:L349)</f>
        <v>28026</v>
      </c>
      <c r="M351" s="185">
        <f t="shared" si="71"/>
        <v>93404</v>
      </c>
      <c r="N351" s="189">
        <f>SUM(N331:N349)</f>
        <v>15725</v>
      </c>
      <c r="O351" s="189">
        <f>SUM(O331:O349)</f>
        <v>2507</v>
      </c>
      <c r="P351" s="189">
        <f>SUM(P331:P349)</f>
        <v>4624</v>
      </c>
      <c r="Q351" s="185">
        <f t="shared" si="74"/>
        <v>22856</v>
      </c>
      <c r="R351" s="56">
        <f t="shared" si="75"/>
        <v>211253</v>
      </c>
    </row>
    <row r="352" spans="1:18" ht="15.75" customHeight="1" thickBot="1" x14ac:dyDescent="0.4">
      <c r="A352" s="41" t="s">
        <v>1222</v>
      </c>
      <c r="B352" s="190">
        <f>+B297+B312+B330+B351</f>
        <v>20276</v>
      </c>
      <c r="C352" s="184">
        <f>+C297+C312+C330+C351</f>
        <v>27444</v>
      </c>
      <c r="D352" s="184">
        <f>+D297+D312+D330+D351</f>
        <v>54855</v>
      </c>
      <c r="E352" s="56">
        <f t="shared" si="69"/>
        <v>102575</v>
      </c>
      <c r="F352" s="184">
        <f>+F297+F312+F330+F351</f>
        <v>65041</v>
      </c>
      <c r="G352" s="184">
        <f>+G297+G312+G330+G351</f>
        <v>72882</v>
      </c>
      <c r="H352" s="184">
        <f>+H297+H312+H330+H351</f>
        <v>87901</v>
      </c>
      <c r="I352" s="56">
        <f t="shared" si="70"/>
        <v>225824</v>
      </c>
      <c r="J352" s="184">
        <f>+J297+J312+J330+J351</f>
        <v>79623</v>
      </c>
      <c r="K352" s="184">
        <f>+K297+K312+K330+K351</f>
        <v>78672</v>
      </c>
      <c r="L352" s="184">
        <f>+L297+L312+L330+L351</f>
        <v>55385</v>
      </c>
      <c r="M352" s="56">
        <f t="shared" si="71"/>
        <v>213680</v>
      </c>
      <c r="N352" s="184">
        <f>+N297+N312+N330+N351</f>
        <v>34093</v>
      </c>
      <c r="O352" s="184">
        <f>+O297+O312+O330+O351</f>
        <v>6692</v>
      </c>
      <c r="P352" s="184">
        <f>+P297+P312+P330+P351</f>
        <v>18249</v>
      </c>
      <c r="Q352" s="56">
        <f t="shared" si="74"/>
        <v>59034</v>
      </c>
      <c r="R352" s="186">
        <f t="shared" si="75"/>
        <v>601113</v>
      </c>
    </row>
    <row r="353" spans="1:18" ht="15.75" customHeight="1" x14ac:dyDescent="0.35">
      <c r="A353" s="349" t="s">
        <v>2472</v>
      </c>
      <c r="B353" s="2">
        <v>0</v>
      </c>
      <c r="C353" s="2">
        <v>0</v>
      </c>
      <c r="D353" s="2">
        <v>0</v>
      </c>
      <c r="E353" s="183">
        <f t="shared" si="69"/>
        <v>0</v>
      </c>
      <c r="F353" s="2">
        <v>0</v>
      </c>
      <c r="G353" s="2">
        <v>0</v>
      </c>
      <c r="H353" s="2">
        <v>0</v>
      </c>
      <c r="I353" s="183">
        <f t="shared" si="70"/>
        <v>0</v>
      </c>
      <c r="J353" s="2">
        <v>0</v>
      </c>
      <c r="K353" s="2">
        <v>0</v>
      </c>
      <c r="L353" s="2">
        <v>0</v>
      </c>
      <c r="M353" s="183">
        <f t="shared" si="71"/>
        <v>0</v>
      </c>
      <c r="N353" s="2">
        <v>0</v>
      </c>
      <c r="O353" s="2">
        <v>0</v>
      </c>
      <c r="P353" s="2">
        <v>0</v>
      </c>
      <c r="Q353" s="183">
        <f t="shared" si="74"/>
        <v>0</v>
      </c>
      <c r="R353" s="183">
        <f t="shared" si="75"/>
        <v>0</v>
      </c>
    </row>
    <row r="354" spans="1:18" ht="15.75" customHeight="1" x14ac:dyDescent="0.35">
      <c r="A354" s="349" t="s">
        <v>2473</v>
      </c>
      <c r="B354" s="2">
        <v>0</v>
      </c>
      <c r="C354" s="2">
        <v>0</v>
      </c>
      <c r="D354" s="2">
        <v>0</v>
      </c>
      <c r="E354" s="183">
        <f t="shared" si="69"/>
        <v>0</v>
      </c>
      <c r="F354" s="2">
        <v>500</v>
      </c>
      <c r="G354" s="2">
        <v>1000</v>
      </c>
      <c r="H354" s="2">
        <v>0</v>
      </c>
      <c r="I354" s="183">
        <f t="shared" si="70"/>
        <v>1500</v>
      </c>
      <c r="J354" s="2">
        <v>0</v>
      </c>
      <c r="K354" s="2">
        <v>1000</v>
      </c>
      <c r="L354" s="2">
        <v>2000</v>
      </c>
      <c r="M354" s="183">
        <f t="shared" si="71"/>
        <v>3000</v>
      </c>
      <c r="N354" s="2">
        <v>1000</v>
      </c>
      <c r="O354" s="2">
        <v>810</v>
      </c>
      <c r="P354" s="2">
        <v>0</v>
      </c>
      <c r="Q354" s="183">
        <f t="shared" si="74"/>
        <v>1810</v>
      </c>
      <c r="R354" s="183">
        <f t="shared" si="75"/>
        <v>6310</v>
      </c>
    </row>
    <row r="355" spans="1:18" ht="15.75" customHeight="1" thickBot="1" x14ac:dyDescent="0.4">
      <c r="A355" s="493" t="s">
        <v>853</v>
      </c>
      <c r="B355" s="459">
        <v>155</v>
      </c>
      <c r="C355" s="459">
        <v>283</v>
      </c>
      <c r="D355" s="459">
        <v>435</v>
      </c>
      <c r="E355" s="186">
        <f t="shared" si="69"/>
        <v>873</v>
      </c>
      <c r="F355" s="459">
        <v>602</v>
      </c>
      <c r="G355" s="459">
        <v>711</v>
      </c>
      <c r="H355" s="459">
        <v>722</v>
      </c>
      <c r="I355" s="186">
        <f t="shared" si="70"/>
        <v>2035</v>
      </c>
      <c r="J355" s="459">
        <v>686</v>
      </c>
      <c r="K355" s="459">
        <v>519</v>
      </c>
      <c r="L355" s="459">
        <v>531</v>
      </c>
      <c r="M355" s="186">
        <f t="shared" si="71"/>
        <v>1736</v>
      </c>
      <c r="N355" s="459">
        <v>489</v>
      </c>
      <c r="O355" s="459">
        <v>389</v>
      </c>
      <c r="P355" s="459">
        <v>275</v>
      </c>
      <c r="Q355" s="186">
        <f t="shared" si="74"/>
        <v>1153</v>
      </c>
      <c r="R355" s="183">
        <f t="shared" si="75"/>
        <v>5797</v>
      </c>
    </row>
    <row r="356" spans="1:18" ht="15.75" customHeight="1" thickBot="1" x14ac:dyDescent="0.4">
      <c r="A356" s="494"/>
      <c r="B356" s="495"/>
      <c r="C356" s="495"/>
      <c r="D356" s="495"/>
      <c r="E356" s="56"/>
      <c r="F356" s="495"/>
      <c r="G356" s="495"/>
      <c r="H356" s="495"/>
      <c r="I356" s="56"/>
      <c r="J356" s="495"/>
      <c r="K356" s="495"/>
      <c r="L356" s="495"/>
      <c r="M356" s="56"/>
      <c r="N356" s="495"/>
      <c r="O356" s="495"/>
      <c r="P356" s="495"/>
      <c r="Q356" s="56"/>
      <c r="R356" s="56" t="s">
        <v>852</v>
      </c>
    </row>
    <row r="357" spans="1:18" ht="15.75" customHeight="1" x14ac:dyDescent="0.35">
      <c r="A357" s="496" t="s">
        <v>2011</v>
      </c>
      <c r="B357" s="497">
        <f>SUM(B352:B355)</f>
        <v>20431</v>
      </c>
      <c r="C357" s="497">
        <f>SUM(C352:C355)</f>
        <v>27727</v>
      </c>
      <c r="D357" s="497">
        <f>SUM(D352:D355)</f>
        <v>55290</v>
      </c>
      <c r="E357" s="185">
        <f>SUM(B357:D357)</f>
        <v>103448</v>
      </c>
      <c r="F357" s="497">
        <f>SUM(F352:F355)</f>
        <v>66143</v>
      </c>
      <c r="G357" s="497">
        <f>SUM(G352:G355)</f>
        <v>74593</v>
      </c>
      <c r="H357" s="497">
        <f>SUM(H352:H355)</f>
        <v>88623</v>
      </c>
      <c r="I357" s="185">
        <f>SUM(F357:H357)</f>
        <v>229359</v>
      </c>
      <c r="J357" s="497">
        <f>SUM(J352:J355)</f>
        <v>80309</v>
      </c>
      <c r="K357" s="497">
        <f>SUM(K352:K355)</f>
        <v>80191</v>
      </c>
      <c r="L357" s="497">
        <f>SUM(L352:L355)</f>
        <v>57916</v>
      </c>
      <c r="M357" s="185">
        <f>SUM(J357:L357)</f>
        <v>218416</v>
      </c>
      <c r="N357" s="497">
        <f>SUM(N352:N355)</f>
        <v>35582</v>
      </c>
      <c r="O357" s="497">
        <f>SUM(O352:O355)</f>
        <v>7891</v>
      </c>
      <c r="P357" s="497">
        <f>SUM(P352:P355)</f>
        <v>18524</v>
      </c>
      <c r="Q357" s="185">
        <f>SUM(N357:P357)</f>
        <v>61997</v>
      </c>
      <c r="R357" s="185">
        <f>+E357+I357+M357+Q357</f>
        <v>613220</v>
      </c>
    </row>
    <row r="358" spans="1:18" ht="15.75" customHeight="1" x14ac:dyDescent="0.35">
      <c r="A358" s="499" t="s">
        <v>1897</v>
      </c>
      <c r="B358" s="2">
        <f>(B357/31)/1.983</f>
        <v>332.35729507263352</v>
      </c>
      <c r="C358" s="2">
        <f>(C357/28)/1.983</f>
        <v>499.36964195663137</v>
      </c>
      <c r="D358" s="2">
        <f>(D357/31)/1.983</f>
        <v>899.4192572348835</v>
      </c>
      <c r="E358" s="183" t="s">
        <v>852</v>
      </c>
      <c r="F358" s="2">
        <f>(F357/30)/1.983</f>
        <v>1111.8339216675072</v>
      </c>
      <c r="G358" s="2">
        <f>(G357/31)/1.983</f>
        <v>1213.4270330063603</v>
      </c>
      <c r="H358" s="2">
        <f>(H357/30)/1.983</f>
        <v>1489.7125567322237</v>
      </c>
      <c r="I358" s="183" t="s">
        <v>852</v>
      </c>
      <c r="J358" s="2">
        <f>(J357/31)/1.983</f>
        <v>1306.4109446423631</v>
      </c>
      <c r="K358" s="2">
        <f>(K357/31)/1.983</f>
        <v>1304.4914027296536</v>
      </c>
      <c r="L358" s="2">
        <f>(L357/30)/1.983</f>
        <v>973.54177172634047</v>
      </c>
      <c r="M358" s="183" t="s">
        <v>852</v>
      </c>
      <c r="N358" s="2">
        <f>(N357/31)/1.983</f>
        <v>578.82322320368291</v>
      </c>
      <c r="O358" s="2">
        <f>(O357/30)/1.983</f>
        <v>132.64414187258365</v>
      </c>
      <c r="P358" s="2">
        <f>(P357/31)/1.983</f>
        <v>301.33554568672423</v>
      </c>
      <c r="Q358" s="183" t="s">
        <v>852</v>
      </c>
      <c r="R358" s="183" t="s">
        <v>852</v>
      </c>
    </row>
    <row r="359" spans="1:18" ht="15.75" customHeight="1" x14ac:dyDescent="0.35">
      <c r="A359" s="499" t="s">
        <v>2432</v>
      </c>
      <c r="B359" s="2">
        <f>B357+B399</f>
        <v>43306</v>
      </c>
      <c r="C359" s="2">
        <f>C357+C399</f>
        <v>36966</v>
      </c>
      <c r="D359" s="2">
        <f>D357+D399</f>
        <v>76612</v>
      </c>
      <c r="E359" s="183">
        <f>SUM(B359:D359)</f>
        <v>156884</v>
      </c>
      <c r="F359" s="2">
        <f>F357+F399</f>
        <v>102185</v>
      </c>
      <c r="G359" s="2">
        <f>G357+G399</f>
        <v>106737</v>
      </c>
      <c r="H359" s="2">
        <f>H357+H399</f>
        <v>129892</v>
      </c>
      <c r="I359" s="183">
        <f>SUM(F359:H359)</f>
        <v>338814</v>
      </c>
      <c r="J359" s="2">
        <f>J357+J399</f>
        <v>133645</v>
      </c>
      <c r="K359" s="2">
        <f>K357+K399</f>
        <v>135246</v>
      </c>
      <c r="L359" s="2">
        <f>L357+L399</f>
        <v>90595</v>
      </c>
      <c r="M359" s="183">
        <f>SUM(J359:L359)</f>
        <v>359486</v>
      </c>
      <c r="N359" s="2">
        <f>N357+N399</f>
        <v>59822</v>
      </c>
      <c r="O359" s="2">
        <f>O357+O399</f>
        <v>14176</v>
      </c>
      <c r="P359" s="2">
        <f>P357+P399</f>
        <v>41490</v>
      </c>
      <c r="Q359" s="183">
        <f>SUM(N359:P359)</f>
        <v>115488</v>
      </c>
      <c r="R359" s="183">
        <f>+E359+I359+M359+Q359</f>
        <v>970672</v>
      </c>
    </row>
    <row r="360" spans="1:18" ht="15.75" customHeight="1" thickBot="1" x14ac:dyDescent="0.4">
      <c r="A360" s="500" t="s">
        <v>104</v>
      </c>
      <c r="B360" s="467">
        <f>(B359/31)/1.983</f>
        <v>704.4718819644396</v>
      </c>
      <c r="C360" s="467">
        <f>(C359/28)/1.983</f>
        <v>665.76615517614005</v>
      </c>
      <c r="D360" s="467">
        <f>(D359/31)/1.983</f>
        <v>1246.2707204789094</v>
      </c>
      <c r="E360" s="186" t="s">
        <v>852</v>
      </c>
      <c r="F360" s="467">
        <f>(F359/30)/1.983</f>
        <v>1717.6836443099678</v>
      </c>
      <c r="G360" s="467">
        <f>(G359/31)/1.983</f>
        <v>1736.3232638719437</v>
      </c>
      <c r="H360" s="467">
        <f>(H359/30)/1.983</f>
        <v>2183.4257858463607</v>
      </c>
      <c r="I360" s="186" t="s">
        <v>852</v>
      </c>
      <c r="J360" s="467">
        <f>(J359/31)/1.983</f>
        <v>2174.0438891871227</v>
      </c>
      <c r="K360" s="467">
        <f>(K359/31)/1.983</f>
        <v>2200.087843443463</v>
      </c>
      <c r="L360" s="467">
        <f>(L359/30)/1.983</f>
        <v>1522.8609850395023</v>
      </c>
      <c r="M360" s="186" t="s">
        <v>852</v>
      </c>
      <c r="N360" s="467">
        <f>(N359/31)/1.983</f>
        <v>973.14268052640989</v>
      </c>
      <c r="O360" s="467">
        <f>(O359/30)/1.983</f>
        <v>238.29214994116657</v>
      </c>
      <c r="P360" s="467">
        <f>(P359/31)/1.983</f>
        <v>674.93045727392519</v>
      </c>
      <c r="Q360" s="186" t="s">
        <v>852</v>
      </c>
      <c r="R360" s="186" t="s">
        <v>852</v>
      </c>
    </row>
    <row r="361" spans="1:18" ht="15.75" customHeight="1" x14ac:dyDescent="0.35">
      <c r="A361" s="8"/>
      <c r="B361" s="2"/>
      <c r="C361" s="2"/>
      <c r="D361" s="2"/>
      <c r="E361" s="2"/>
      <c r="F361" s="2"/>
      <c r="G361" s="2"/>
      <c r="H361" s="2"/>
      <c r="I361" s="2"/>
      <c r="J361" s="2"/>
      <c r="K361" s="2"/>
      <c r="L361" s="2"/>
      <c r="M361" s="2"/>
      <c r="N361" s="2"/>
      <c r="O361" s="2"/>
      <c r="P361" s="2"/>
      <c r="Q361" s="2"/>
      <c r="R361" s="187"/>
    </row>
    <row r="362" spans="1:18" ht="15.75" customHeight="1" thickBot="1" x14ac:dyDescent="0.4">
      <c r="A362" s="8"/>
      <c r="B362" s="2"/>
      <c r="C362" s="2"/>
      <c r="D362" s="2"/>
      <c r="E362" s="2"/>
      <c r="F362" s="2"/>
      <c r="G362" s="2"/>
      <c r="H362" s="2"/>
      <c r="I362" s="2"/>
      <c r="J362" s="2"/>
      <c r="K362" s="2"/>
      <c r="L362" s="2"/>
      <c r="M362" s="2"/>
      <c r="N362" s="2"/>
      <c r="O362" s="2"/>
      <c r="P362" s="2"/>
      <c r="Q362" s="2"/>
      <c r="R362" s="187"/>
    </row>
    <row r="363" spans="1:18" ht="15.75" customHeight="1" thickBot="1" x14ac:dyDescent="0.4">
      <c r="A363" s="470" t="s">
        <v>813</v>
      </c>
      <c r="B363" s="179" t="s">
        <v>2090</v>
      </c>
      <c r="C363" s="180" t="s">
        <v>2091</v>
      </c>
      <c r="D363" s="180" t="s">
        <v>2234</v>
      </c>
      <c r="E363" s="175" t="s">
        <v>1594</v>
      </c>
      <c r="F363" s="180" t="s">
        <v>2235</v>
      </c>
      <c r="G363" s="180" t="s">
        <v>2236</v>
      </c>
      <c r="H363" s="180" t="s">
        <v>2237</v>
      </c>
      <c r="I363" s="64" t="s">
        <v>1595</v>
      </c>
      <c r="J363" s="180" t="s">
        <v>1504</v>
      </c>
      <c r="K363" s="180" t="s">
        <v>1505</v>
      </c>
      <c r="L363" s="180" t="s">
        <v>1506</v>
      </c>
      <c r="M363" s="64" t="s">
        <v>1596</v>
      </c>
      <c r="N363" s="180" t="s">
        <v>1507</v>
      </c>
      <c r="O363" s="180" t="s">
        <v>1508</v>
      </c>
      <c r="P363" s="180" t="s">
        <v>1509</v>
      </c>
      <c r="Q363" s="64" t="s">
        <v>1597</v>
      </c>
      <c r="R363" s="471" t="s">
        <v>1510</v>
      </c>
    </row>
    <row r="364" spans="1:18" ht="15.75" customHeight="1" thickBot="1" x14ac:dyDescent="0.4">
      <c r="A364" s="56"/>
      <c r="B364" s="495"/>
      <c r="C364" s="495"/>
      <c r="D364" s="495"/>
      <c r="E364" s="491"/>
      <c r="F364" s="495"/>
      <c r="G364" s="495"/>
      <c r="H364" s="495"/>
      <c r="I364" s="501"/>
      <c r="J364" s="495"/>
      <c r="K364" s="495"/>
      <c r="L364" s="495"/>
      <c r="M364" s="501"/>
      <c r="N364" s="495"/>
      <c r="O364" s="495"/>
      <c r="P364" s="495"/>
      <c r="Q364" s="501"/>
      <c r="R364" s="515"/>
    </row>
    <row r="365" spans="1:18" ht="15.75" customHeight="1" x14ac:dyDescent="0.35">
      <c r="A365" s="6" t="s">
        <v>2417</v>
      </c>
      <c r="B365" s="2" t="s">
        <v>852</v>
      </c>
      <c r="C365" s="2" t="s">
        <v>852</v>
      </c>
      <c r="D365" s="2" t="s">
        <v>852</v>
      </c>
      <c r="E365" s="183" t="s">
        <v>852</v>
      </c>
      <c r="F365" s="2" t="s">
        <v>852</v>
      </c>
      <c r="G365" s="2" t="s">
        <v>852</v>
      </c>
      <c r="H365" s="2" t="s">
        <v>852</v>
      </c>
      <c r="I365" s="183" t="s">
        <v>852</v>
      </c>
      <c r="J365" s="2" t="s">
        <v>852</v>
      </c>
      <c r="K365" s="2" t="s">
        <v>852</v>
      </c>
      <c r="L365" s="2" t="s">
        <v>852</v>
      </c>
      <c r="M365" s="183" t="s">
        <v>852</v>
      </c>
      <c r="N365" s="2" t="s">
        <v>852</v>
      </c>
      <c r="O365" s="2" t="s">
        <v>852</v>
      </c>
      <c r="P365" s="2" t="s">
        <v>852</v>
      </c>
      <c r="Q365" s="183" t="s">
        <v>852</v>
      </c>
      <c r="R365" s="183" t="s">
        <v>852</v>
      </c>
    </row>
    <row r="366" spans="1:18" ht="15.75" customHeight="1" x14ac:dyDescent="0.35">
      <c r="A366" s="6" t="s">
        <v>2160</v>
      </c>
      <c r="B366" s="2"/>
      <c r="C366" s="2"/>
      <c r="D366" s="2"/>
      <c r="E366" s="183" t="s">
        <v>852</v>
      </c>
      <c r="F366" s="2"/>
      <c r="G366" s="2"/>
      <c r="H366" s="2"/>
      <c r="I366" s="183" t="s">
        <v>852</v>
      </c>
      <c r="J366" s="2"/>
      <c r="K366" s="2"/>
      <c r="L366" s="2"/>
      <c r="M366" s="183" t="s">
        <v>852</v>
      </c>
      <c r="N366" s="2"/>
      <c r="O366" s="2"/>
      <c r="P366" s="2"/>
      <c r="Q366" s="183" t="s">
        <v>852</v>
      </c>
      <c r="R366" s="183" t="s">
        <v>852</v>
      </c>
    </row>
    <row r="367" spans="1:18" ht="15.75" customHeight="1" x14ac:dyDescent="0.35">
      <c r="A367" s="9" t="s">
        <v>331</v>
      </c>
      <c r="B367" s="2">
        <v>0</v>
      </c>
      <c r="C367" s="2">
        <v>0</v>
      </c>
      <c r="D367" s="2">
        <v>1</v>
      </c>
      <c r="E367" s="183">
        <f>SUM(B367:D367)</f>
        <v>1</v>
      </c>
      <c r="F367" s="2">
        <v>6</v>
      </c>
      <c r="G367" s="2">
        <v>1581</v>
      </c>
      <c r="H367" s="2">
        <v>3</v>
      </c>
      <c r="I367" s="183">
        <f>SUM(F367:H367)</f>
        <v>1590</v>
      </c>
      <c r="J367" s="2">
        <v>9</v>
      </c>
      <c r="K367" s="2">
        <v>4</v>
      </c>
      <c r="L367" s="2">
        <v>2</v>
      </c>
      <c r="M367" s="183">
        <f>SUM(J367:L367)</f>
        <v>15</v>
      </c>
      <c r="N367" s="2">
        <v>3</v>
      </c>
      <c r="O367" s="2">
        <v>0</v>
      </c>
      <c r="P367" s="2">
        <v>0</v>
      </c>
      <c r="Q367" s="183">
        <f>SUM(N367:P367)</f>
        <v>3</v>
      </c>
      <c r="R367" s="183">
        <f>+E367+I367+M367+Q367</f>
        <v>1609</v>
      </c>
    </row>
    <row r="368" spans="1:18" ht="15.75" customHeight="1" x14ac:dyDescent="0.35">
      <c r="A368" s="349" t="s">
        <v>1161</v>
      </c>
      <c r="B368" s="2">
        <v>0</v>
      </c>
      <c r="C368" s="2">
        <v>0</v>
      </c>
      <c r="D368" s="2">
        <v>0</v>
      </c>
      <c r="E368" s="183">
        <f>SUM(B368:D368)</f>
        <v>0</v>
      </c>
      <c r="F368" s="2">
        <v>0</v>
      </c>
      <c r="G368" s="2">
        <v>2048</v>
      </c>
      <c r="H368" s="2">
        <v>0</v>
      </c>
      <c r="I368" s="183">
        <f>SUM(F368:H368)</f>
        <v>2048</v>
      </c>
      <c r="J368" s="2">
        <v>0</v>
      </c>
      <c r="K368" s="2">
        <v>0</v>
      </c>
      <c r="L368" s="2">
        <v>0</v>
      </c>
      <c r="M368" s="183">
        <f>SUM(J368:L368)</f>
        <v>0</v>
      </c>
      <c r="N368" s="2">
        <v>0</v>
      </c>
      <c r="O368" s="2">
        <v>0</v>
      </c>
      <c r="P368" s="2">
        <v>0</v>
      </c>
      <c r="Q368" s="183">
        <f>SUM(N368:P368)</f>
        <v>0</v>
      </c>
      <c r="R368" s="183">
        <f>+E368+I368+M368+Q368</f>
        <v>2048</v>
      </c>
    </row>
    <row r="369" spans="1:18" ht="15.75" customHeight="1" x14ac:dyDescent="0.35">
      <c r="A369" s="6" t="s">
        <v>2161</v>
      </c>
      <c r="B369" s="2"/>
      <c r="C369" s="2"/>
      <c r="D369" s="2"/>
      <c r="E369" s="183" t="s">
        <v>852</v>
      </c>
      <c r="F369" s="2"/>
      <c r="G369" s="2"/>
      <c r="H369" s="2"/>
      <c r="I369" s="183" t="s">
        <v>852</v>
      </c>
      <c r="J369" s="2"/>
      <c r="K369" s="2"/>
      <c r="L369" s="2"/>
      <c r="M369" s="183" t="s">
        <v>852</v>
      </c>
      <c r="N369" s="2"/>
      <c r="O369" s="2"/>
      <c r="P369" s="2"/>
      <c r="Q369" s="183" t="s">
        <v>852</v>
      </c>
      <c r="R369" s="183" t="s">
        <v>852</v>
      </c>
    </row>
    <row r="370" spans="1:18" ht="15.75" customHeight="1" x14ac:dyDescent="0.35">
      <c r="A370" s="9" t="s">
        <v>331</v>
      </c>
      <c r="B370" s="2">
        <v>0</v>
      </c>
      <c r="C370" s="2">
        <v>0</v>
      </c>
      <c r="D370" s="2">
        <v>0</v>
      </c>
      <c r="E370" s="183">
        <f>SUM(B370:D370)</f>
        <v>0</v>
      </c>
      <c r="F370" s="2">
        <v>0</v>
      </c>
      <c r="G370" s="2">
        <v>0</v>
      </c>
      <c r="H370" s="2">
        <v>0</v>
      </c>
      <c r="I370" s="183">
        <f>SUM(F370:H370)</f>
        <v>0</v>
      </c>
      <c r="J370" s="2">
        <v>0</v>
      </c>
      <c r="K370" s="2">
        <v>0</v>
      </c>
      <c r="L370" s="2">
        <v>0</v>
      </c>
      <c r="M370" s="183">
        <f>SUM(J370:L370)</f>
        <v>0</v>
      </c>
      <c r="N370" s="2">
        <v>0</v>
      </c>
      <c r="O370" s="2">
        <v>0</v>
      </c>
      <c r="P370" s="2">
        <v>0</v>
      </c>
      <c r="Q370" s="183">
        <f>SUM(N370:P370)</f>
        <v>0</v>
      </c>
      <c r="R370" s="183">
        <f>+E370+I370+M370+Q370</f>
        <v>0</v>
      </c>
    </row>
    <row r="371" spans="1:18" ht="15.75" customHeight="1" x14ac:dyDescent="0.35">
      <c r="A371" s="9" t="s">
        <v>355</v>
      </c>
      <c r="B371" s="2">
        <v>0</v>
      </c>
      <c r="C371" s="2">
        <v>0</v>
      </c>
      <c r="D371" s="2">
        <v>0</v>
      </c>
      <c r="E371" s="183">
        <f>SUM(B371:D371)</f>
        <v>0</v>
      </c>
      <c r="F371" s="2">
        <v>0</v>
      </c>
      <c r="G371" s="2">
        <v>1</v>
      </c>
      <c r="H371" s="2">
        <v>3</v>
      </c>
      <c r="I371" s="183">
        <f>SUM(F371:H371)</f>
        <v>4</v>
      </c>
      <c r="J371" s="2">
        <v>6</v>
      </c>
      <c r="K371" s="2">
        <v>2</v>
      </c>
      <c r="L371" s="2">
        <v>0</v>
      </c>
      <c r="M371" s="183">
        <f>SUM(J371:L371)</f>
        <v>8</v>
      </c>
      <c r="N371" s="2">
        <v>0</v>
      </c>
      <c r="O371" s="2">
        <v>0</v>
      </c>
      <c r="P371" s="2">
        <v>0</v>
      </c>
      <c r="Q371" s="183">
        <f>SUM(N371:P371)</f>
        <v>0</v>
      </c>
      <c r="R371" s="183">
        <f>+E371+I371+M371+Q371</f>
        <v>12</v>
      </c>
    </row>
    <row r="372" spans="1:18" ht="15.75" customHeight="1" x14ac:dyDescent="0.35">
      <c r="A372" s="6" t="s">
        <v>2162</v>
      </c>
      <c r="B372" s="2"/>
      <c r="C372" s="2"/>
      <c r="D372" s="2"/>
      <c r="E372" s="183" t="s">
        <v>852</v>
      </c>
      <c r="F372" s="2"/>
      <c r="G372" s="2"/>
      <c r="H372" s="2"/>
      <c r="I372" s="183" t="s">
        <v>852</v>
      </c>
      <c r="J372" s="2"/>
      <c r="K372" s="2"/>
      <c r="L372" s="2"/>
      <c r="M372" s="183" t="s">
        <v>852</v>
      </c>
      <c r="N372" s="2"/>
      <c r="O372" s="2"/>
      <c r="P372" s="2"/>
      <c r="Q372" s="183" t="s">
        <v>852</v>
      </c>
      <c r="R372" s="183" t="s">
        <v>852</v>
      </c>
    </row>
    <row r="373" spans="1:18" ht="15.75" customHeight="1" thickBot="1" x14ac:dyDescent="0.4">
      <c r="A373" s="6" t="s">
        <v>2164</v>
      </c>
      <c r="B373" s="2"/>
      <c r="C373" s="2"/>
      <c r="D373" s="2"/>
      <c r="E373" s="183" t="s">
        <v>852</v>
      </c>
      <c r="F373" s="2"/>
      <c r="G373" s="2"/>
      <c r="H373" s="2"/>
      <c r="I373" s="183" t="s">
        <v>852</v>
      </c>
      <c r="J373" s="2"/>
      <c r="K373" s="2"/>
      <c r="L373" s="2"/>
      <c r="M373" s="183" t="s">
        <v>852</v>
      </c>
      <c r="N373" s="2"/>
      <c r="O373" s="2"/>
      <c r="P373" s="2"/>
      <c r="Q373" s="183" t="s">
        <v>852</v>
      </c>
      <c r="R373" s="183" t="s">
        <v>852</v>
      </c>
    </row>
    <row r="374" spans="1:18" ht="15.75" customHeight="1" thickBot="1" x14ac:dyDescent="0.4">
      <c r="A374" s="523" t="s">
        <v>1218</v>
      </c>
      <c r="B374" s="188">
        <f>SUM(B365:B373)</f>
        <v>0</v>
      </c>
      <c r="C374" s="189">
        <f>SUM(C365:C373)</f>
        <v>0</v>
      </c>
      <c r="D374" s="189">
        <f>SUM(D365:D373)</f>
        <v>1</v>
      </c>
      <c r="E374" s="56">
        <f>SUM(B374:D374)</f>
        <v>1</v>
      </c>
      <c r="F374" s="189">
        <f>SUM(F365:F373)</f>
        <v>6</v>
      </c>
      <c r="G374" s="189">
        <f>SUM(G365:G373)</f>
        <v>3630</v>
      </c>
      <c r="H374" s="189">
        <f>SUM(H365:H373)</f>
        <v>6</v>
      </c>
      <c r="I374" s="56">
        <f>SUM(F374:H374)</f>
        <v>3642</v>
      </c>
      <c r="J374" s="189">
        <f>SUM(J365:J373)</f>
        <v>15</v>
      </c>
      <c r="K374" s="189">
        <f>SUM(K365:K373)</f>
        <v>6</v>
      </c>
      <c r="L374" s="189">
        <f>SUM(L365:L373)</f>
        <v>2</v>
      </c>
      <c r="M374" s="56">
        <f>SUM(J374:L374)</f>
        <v>23</v>
      </c>
      <c r="N374" s="189">
        <f>SUM(N365:N373)</f>
        <v>3</v>
      </c>
      <c r="O374" s="189">
        <f>SUM(O365:O373)</f>
        <v>0</v>
      </c>
      <c r="P374" s="189">
        <f>SUM(P365:P373)</f>
        <v>0</v>
      </c>
      <c r="Q374" s="56">
        <f>SUM(N374:P374)</f>
        <v>3</v>
      </c>
      <c r="R374" s="56">
        <f>+E374+I374+M374+Q374</f>
        <v>3669</v>
      </c>
    </row>
    <row r="375" spans="1:18" ht="15.75" customHeight="1" x14ac:dyDescent="0.35">
      <c r="A375" s="6" t="s">
        <v>1172</v>
      </c>
      <c r="B375" s="2"/>
      <c r="C375" s="2"/>
      <c r="D375" s="2"/>
      <c r="E375" s="183" t="s">
        <v>852</v>
      </c>
      <c r="F375" s="2"/>
      <c r="G375" s="2"/>
      <c r="H375" s="2"/>
      <c r="I375" s="183" t="s">
        <v>852</v>
      </c>
      <c r="J375" s="2"/>
      <c r="K375" s="2"/>
      <c r="L375" s="2"/>
      <c r="M375" s="183" t="s">
        <v>852</v>
      </c>
      <c r="N375" s="2" t="s">
        <v>852</v>
      </c>
      <c r="O375" s="2"/>
      <c r="P375" s="2"/>
      <c r="Q375" s="183" t="s">
        <v>852</v>
      </c>
      <c r="R375" s="183" t="s">
        <v>852</v>
      </c>
    </row>
    <row r="376" spans="1:18" ht="15.75" customHeight="1" x14ac:dyDescent="0.35">
      <c r="A376" s="6" t="s">
        <v>2409</v>
      </c>
      <c r="B376" s="2"/>
      <c r="C376" s="2"/>
      <c r="D376" s="2"/>
      <c r="E376" s="183" t="s">
        <v>852</v>
      </c>
      <c r="F376" s="2"/>
      <c r="G376" s="2"/>
      <c r="H376" s="2"/>
      <c r="I376" s="183" t="s">
        <v>852</v>
      </c>
      <c r="J376" s="2"/>
      <c r="K376" s="2"/>
      <c r="L376" s="2"/>
      <c r="M376" s="183" t="s">
        <v>852</v>
      </c>
      <c r="N376" s="2"/>
      <c r="O376" s="2"/>
      <c r="P376" s="2"/>
      <c r="Q376" s="183" t="s">
        <v>852</v>
      </c>
      <c r="R376" s="183" t="s">
        <v>852</v>
      </c>
    </row>
    <row r="377" spans="1:18" ht="15.75" customHeight="1" x14ac:dyDescent="0.35">
      <c r="A377" s="9" t="s">
        <v>473</v>
      </c>
      <c r="B377" s="2">
        <v>795</v>
      </c>
      <c r="C377" s="2">
        <v>1114</v>
      </c>
      <c r="D377" s="2">
        <v>8674</v>
      </c>
      <c r="E377" s="183">
        <f>SUM(B377:D377)</f>
        <v>10583</v>
      </c>
      <c r="F377" s="2">
        <v>12488</v>
      </c>
      <c r="G377" s="2">
        <v>6612</v>
      </c>
      <c r="H377" s="2">
        <v>15621</v>
      </c>
      <c r="I377" s="183">
        <f>SUM(F377:H377)</f>
        <v>34721</v>
      </c>
      <c r="J377" s="2">
        <v>17891</v>
      </c>
      <c r="K377" s="2">
        <v>3764</v>
      </c>
      <c r="L377" s="2">
        <v>4366</v>
      </c>
      <c r="M377" s="183">
        <f>SUM(J377:L377)</f>
        <v>26021</v>
      </c>
      <c r="N377" s="2">
        <v>2074</v>
      </c>
      <c r="O377" s="2">
        <v>0</v>
      </c>
      <c r="P377" s="2">
        <v>746</v>
      </c>
      <c r="Q377" s="183">
        <f>SUM(N377:P377)</f>
        <v>2820</v>
      </c>
      <c r="R377" s="183">
        <f>+E377+I377+M377+Q377</f>
        <v>74145</v>
      </c>
    </row>
    <row r="378" spans="1:18" ht="15.75" customHeight="1" thickBot="1" x14ac:dyDescent="0.4">
      <c r="A378" s="6" t="s">
        <v>2165</v>
      </c>
      <c r="B378" s="2"/>
      <c r="C378" s="2"/>
      <c r="D378" s="2"/>
      <c r="E378" s="183" t="s">
        <v>852</v>
      </c>
      <c r="F378" s="2"/>
      <c r="G378" s="2"/>
      <c r="H378" s="2"/>
      <c r="I378" s="183" t="s">
        <v>852</v>
      </c>
      <c r="J378" s="2"/>
      <c r="K378" s="2"/>
      <c r="L378" s="2"/>
      <c r="M378" s="183" t="s">
        <v>852</v>
      </c>
      <c r="N378" s="2"/>
      <c r="O378" s="2"/>
      <c r="P378" s="2"/>
      <c r="Q378" s="183" t="s">
        <v>852</v>
      </c>
      <c r="R378" s="183" t="s">
        <v>852</v>
      </c>
    </row>
    <row r="379" spans="1:18" ht="15.75" customHeight="1" thickBot="1" x14ac:dyDescent="0.4">
      <c r="A379" s="41" t="s">
        <v>1219</v>
      </c>
      <c r="B379" s="188">
        <f>SUM(B375:B378)</f>
        <v>795</v>
      </c>
      <c r="C379" s="189">
        <f>SUM(C375:C378)</f>
        <v>1114</v>
      </c>
      <c r="D379" s="189">
        <f>SUM(D375:D378)</f>
        <v>8674</v>
      </c>
      <c r="E379" s="56">
        <f>SUM(B379:D379)</f>
        <v>10583</v>
      </c>
      <c r="F379" s="189">
        <f>SUM(F375:F378)</f>
        <v>12488</v>
      </c>
      <c r="G379" s="189">
        <f>SUM(G375:G378)</f>
        <v>6612</v>
      </c>
      <c r="H379" s="189">
        <f>SUM(H375:H378)</f>
        <v>15621</v>
      </c>
      <c r="I379" s="56">
        <f>SUM(F379:H379)</f>
        <v>34721</v>
      </c>
      <c r="J379" s="189">
        <f>SUM(J375:J378)</f>
        <v>17891</v>
      </c>
      <c r="K379" s="189">
        <f>SUM(K375:K378)</f>
        <v>3764</v>
      </c>
      <c r="L379" s="189">
        <f>SUM(L375:L378)</f>
        <v>4366</v>
      </c>
      <c r="M379" s="56">
        <f>SUM(J379:L379)</f>
        <v>26021</v>
      </c>
      <c r="N379" s="189">
        <f>SUM(N375:N378)</f>
        <v>2074</v>
      </c>
      <c r="O379" s="189">
        <f>SUM(O375:O378)</f>
        <v>0</v>
      </c>
      <c r="P379" s="189">
        <f>SUM(P375:P378)</f>
        <v>746</v>
      </c>
      <c r="Q379" s="56">
        <f>SUM(N379:P379)</f>
        <v>2820</v>
      </c>
      <c r="R379" s="56">
        <f>+E379+I379+M379+Q379</f>
        <v>74145</v>
      </c>
    </row>
    <row r="380" spans="1:18" ht="15.75" customHeight="1" x14ac:dyDescent="0.35">
      <c r="A380" s="6" t="s">
        <v>2166</v>
      </c>
      <c r="B380" s="2"/>
      <c r="C380" s="2"/>
      <c r="D380" s="2"/>
      <c r="E380" s="183" t="s">
        <v>852</v>
      </c>
      <c r="F380" s="2"/>
      <c r="G380" s="2"/>
      <c r="H380" s="2"/>
      <c r="I380" s="183" t="s">
        <v>852</v>
      </c>
      <c r="J380" s="2"/>
      <c r="K380" s="2"/>
      <c r="L380" s="2"/>
      <c r="M380" s="183" t="s">
        <v>852</v>
      </c>
      <c r="N380" s="2"/>
      <c r="O380" s="2"/>
      <c r="P380" s="2"/>
      <c r="Q380" s="183" t="s">
        <v>852</v>
      </c>
      <c r="R380" s="183" t="s">
        <v>852</v>
      </c>
    </row>
    <row r="381" spans="1:18" ht="15.75" customHeight="1" x14ac:dyDescent="0.35">
      <c r="A381" s="6" t="s">
        <v>1245</v>
      </c>
      <c r="B381" s="2"/>
      <c r="C381" s="2"/>
      <c r="D381" s="2"/>
      <c r="E381" s="183" t="s">
        <v>852</v>
      </c>
      <c r="F381" s="2"/>
      <c r="G381" s="2"/>
      <c r="H381" s="2"/>
      <c r="I381" s="183" t="s">
        <v>852</v>
      </c>
      <c r="J381" s="2"/>
      <c r="K381" s="2"/>
      <c r="L381" s="2"/>
      <c r="M381" s="183" t="s">
        <v>852</v>
      </c>
      <c r="N381" s="2"/>
      <c r="O381" s="2"/>
      <c r="P381" s="2"/>
      <c r="Q381" s="183" t="s">
        <v>852</v>
      </c>
      <c r="R381" s="183" t="s">
        <v>852</v>
      </c>
    </row>
    <row r="382" spans="1:18" ht="15.75" customHeight="1" thickBot="1" x14ac:dyDescent="0.4">
      <c r="A382" s="6" t="s">
        <v>1711</v>
      </c>
      <c r="B382" s="2"/>
      <c r="C382" s="2"/>
      <c r="D382" s="2"/>
      <c r="E382" s="183" t="s">
        <v>852</v>
      </c>
      <c r="F382" s="2"/>
      <c r="G382" s="2"/>
      <c r="H382" s="2"/>
      <c r="I382" s="183" t="s">
        <v>852</v>
      </c>
      <c r="J382" s="2"/>
      <c r="K382" s="2"/>
      <c r="L382" s="2"/>
      <c r="M382" s="183" t="s">
        <v>852</v>
      </c>
      <c r="N382" s="2"/>
      <c r="O382" s="2"/>
      <c r="P382" s="2"/>
      <c r="Q382" s="183" t="s">
        <v>852</v>
      </c>
      <c r="R382" s="183" t="s">
        <v>852</v>
      </c>
    </row>
    <row r="383" spans="1:18" ht="15.75" customHeight="1" thickBot="1" x14ac:dyDescent="0.4">
      <c r="A383" s="57" t="s">
        <v>1220</v>
      </c>
      <c r="B383" s="188">
        <f>SUM(B380:B382)</f>
        <v>0</v>
      </c>
      <c r="C383" s="189">
        <f>SUM(C380:C382)</f>
        <v>0</v>
      </c>
      <c r="D383" s="189">
        <f>SUM(D380:D382)</f>
        <v>0</v>
      </c>
      <c r="E383" s="56">
        <f>SUM(B383:D383)</f>
        <v>0</v>
      </c>
      <c r="F383" s="189">
        <f>SUM(F380:F382)</f>
        <v>0</v>
      </c>
      <c r="G383" s="189">
        <f>SUM(G380:G382)</f>
        <v>0</v>
      </c>
      <c r="H383" s="189">
        <f>SUM(H380:H382)</f>
        <v>0</v>
      </c>
      <c r="I383" s="56">
        <f>SUM(F383:H383)</f>
        <v>0</v>
      </c>
      <c r="J383" s="189">
        <f>SUM(J380:J382)</f>
        <v>0</v>
      </c>
      <c r="K383" s="189">
        <f>SUM(K380:K382)</f>
        <v>0</v>
      </c>
      <c r="L383" s="189">
        <f>SUM(L380:L382)</f>
        <v>0</v>
      </c>
      <c r="M383" s="56">
        <f>SUM(J383:L383)</f>
        <v>0</v>
      </c>
      <c r="N383" s="189">
        <f>SUM(N380:N382)</f>
        <v>0</v>
      </c>
      <c r="O383" s="189">
        <f>SUM(O380:O382)</f>
        <v>0</v>
      </c>
      <c r="P383" s="189">
        <f>SUM(P380:P382)</f>
        <v>0</v>
      </c>
      <c r="Q383" s="56">
        <f>SUM(N383:P383)</f>
        <v>0</v>
      </c>
      <c r="R383" s="56">
        <f>+E383+I383+M383+Q383</f>
        <v>0</v>
      </c>
    </row>
    <row r="384" spans="1:18" ht="15.75" customHeight="1" x14ac:dyDescent="0.35">
      <c r="A384" s="6" t="s">
        <v>1712</v>
      </c>
      <c r="B384" s="2"/>
      <c r="C384" s="2"/>
      <c r="D384" s="2"/>
      <c r="E384" s="183" t="s">
        <v>852</v>
      </c>
      <c r="F384" s="2"/>
      <c r="G384" s="2"/>
      <c r="H384" s="2"/>
      <c r="I384" s="183" t="s">
        <v>852</v>
      </c>
      <c r="J384" s="2"/>
      <c r="K384" s="2"/>
      <c r="L384" s="2"/>
      <c r="M384" s="183" t="s">
        <v>852</v>
      </c>
      <c r="N384" s="2"/>
      <c r="O384" s="2"/>
      <c r="P384" s="2"/>
      <c r="Q384" s="183" t="s">
        <v>852</v>
      </c>
      <c r="R384" s="183" t="s">
        <v>852</v>
      </c>
    </row>
    <row r="385" spans="1:18" ht="15.75" customHeight="1" x14ac:dyDescent="0.35">
      <c r="A385" s="6" t="s">
        <v>556</v>
      </c>
      <c r="B385" s="2"/>
      <c r="C385" s="2"/>
      <c r="D385" s="2"/>
      <c r="E385" s="183" t="s">
        <v>852</v>
      </c>
      <c r="F385" s="2"/>
      <c r="G385" s="2"/>
      <c r="H385" s="2"/>
      <c r="I385" s="183" t="s">
        <v>852</v>
      </c>
      <c r="J385" s="2"/>
      <c r="K385" s="2"/>
      <c r="L385" s="2"/>
      <c r="M385" s="183" t="s">
        <v>852</v>
      </c>
      <c r="N385" s="2"/>
      <c r="O385" s="2"/>
      <c r="P385" s="2"/>
      <c r="Q385" s="183" t="s">
        <v>852</v>
      </c>
      <c r="R385" s="183" t="s">
        <v>852</v>
      </c>
    </row>
    <row r="386" spans="1:18" ht="15.75" customHeight="1" x14ac:dyDescent="0.35">
      <c r="A386" s="9" t="s">
        <v>1870</v>
      </c>
      <c r="B386" s="2">
        <v>0</v>
      </c>
      <c r="C386" s="2">
        <v>0</v>
      </c>
      <c r="D386" s="2">
        <v>0</v>
      </c>
      <c r="E386" s="183">
        <f>SUM(B386:D386)</f>
        <v>0</v>
      </c>
      <c r="F386" s="2">
        <v>0</v>
      </c>
      <c r="G386" s="2">
        <v>0</v>
      </c>
      <c r="H386" s="2">
        <v>0</v>
      </c>
      <c r="I386" s="183">
        <f>SUM(F386:H386)</f>
        <v>0</v>
      </c>
      <c r="J386" s="2">
        <v>0</v>
      </c>
      <c r="K386" s="2">
        <v>0</v>
      </c>
      <c r="L386" s="2">
        <v>0</v>
      </c>
      <c r="M386" s="183">
        <f>SUM(J386:L386)</f>
        <v>0</v>
      </c>
      <c r="N386" s="2">
        <v>0</v>
      </c>
      <c r="O386" s="2">
        <v>0</v>
      </c>
      <c r="P386" s="2">
        <v>0</v>
      </c>
      <c r="Q386" s="183">
        <f>SUM(N386:P386)</f>
        <v>0</v>
      </c>
      <c r="R386" s="183">
        <f>+E386+I386+M386+Q386</f>
        <v>0</v>
      </c>
    </row>
    <row r="387" spans="1:18" ht="15.75" customHeight="1" x14ac:dyDescent="0.35">
      <c r="A387" s="6" t="s">
        <v>557</v>
      </c>
      <c r="B387" s="2"/>
      <c r="C387" s="2"/>
      <c r="D387" s="2"/>
      <c r="E387" s="183" t="s">
        <v>852</v>
      </c>
      <c r="F387" s="2"/>
      <c r="G387" s="2"/>
      <c r="H387" s="2"/>
      <c r="I387" s="183" t="s">
        <v>852</v>
      </c>
      <c r="J387" s="2"/>
      <c r="K387" s="2"/>
      <c r="L387" s="2"/>
      <c r="M387" s="183" t="s">
        <v>852</v>
      </c>
      <c r="N387" s="2"/>
      <c r="O387" s="2"/>
      <c r="P387" s="2"/>
      <c r="Q387" s="183" t="s">
        <v>852</v>
      </c>
      <c r="R387" s="183" t="s">
        <v>852</v>
      </c>
    </row>
    <row r="388" spans="1:18" ht="15.75" customHeight="1" x14ac:dyDescent="0.35">
      <c r="A388" s="6" t="s">
        <v>558</v>
      </c>
      <c r="B388" s="2"/>
      <c r="C388" s="2"/>
      <c r="D388" s="2"/>
      <c r="E388" s="183" t="s">
        <v>852</v>
      </c>
      <c r="F388" s="2"/>
      <c r="G388" s="2"/>
      <c r="H388" s="2"/>
      <c r="I388" s="183" t="s">
        <v>852</v>
      </c>
      <c r="J388" s="2"/>
      <c r="K388" s="2"/>
      <c r="L388" s="2"/>
      <c r="M388" s="183" t="s">
        <v>852</v>
      </c>
      <c r="N388" s="2"/>
      <c r="O388" s="2"/>
      <c r="P388" s="2"/>
      <c r="Q388" s="183" t="s">
        <v>852</v>
      </c>
      <c r="R388" s="183" t="s">
        <v>852</v>
      </c>
    </row>
    <row r="389" spans="1:18" ht="15.75" customHeight="1" x14ac:dyDescent="0.35">
      <c r="A389" s="6" t="s">
        <v>559</v>
      </c>
      <c r="B389" s="2"/>
      <c r="C389" s="2"/>
      <c r="D389" s="2"/>
      <c r="E389" s="183" t="s">
        <v>852</v>
      </c>
      <c r="F389" s="2"/>
      <c r="G389" s="2"/>
      <c r="H389" s="2"/>
      <c r="I389" s="183" t="s">
        <v>852</v>
      </c>
      <c r="J389" s="2"/>
      <c r="K389" s="2"/>
      <c r="L389" s="2"/>
      <c r="M389" s="183" t="s">
        <v>852</v>
      </c>
      <c r="N389" s="2"/>
      <c r="O389" s="2"/>
      <c r="P389" s="2"/>
      <c r="Q389" s="183" t="s">
        <v>852</v>
      </c>
      <c r="R389" s="183" t="s">
        <v>852</v>
      </c>
    </row>
    <row r="390" spans="1:18" ht="15.75" customHeight="1" x14ac:dyDescent="0.35">
      <c r="A390" s="9" t="s">
        <v>696</v>
      </c>
      <c r="B390" s="2">
        <v>0</v>
      </c>
      <c r="C390" s="2">
        <v>0</v>
      </c>
      <c r="D390" s="2">
        <v>0</v>
      </c>
      <c r="E390" s="183">
        <f t="shared" ref="E390:E395" si="76">SUM(B390:D390)</f>
        <v>0</v>
      </c>
      <c r="F390" s="2">
        <v>0</v>
      </c>
      <c r="G390" s="2">
        <v>0</v>
      </c>
      <c r="H390" s="2">
        <v>0</v>
      </c>
      <c r="I390" s="183">
        <f t="shared" ref="I390:I395" si="77">SUM(F390:H390)</f>
        <v>0</v>
      </c>
      <c r="J390" s="2">
        <v>0</v>
      </c>
      <c r="K390" s="2">
        <v>14568</v>
      </c>
      <c r="L390" s="2">
        <v>0</v>
      </c>
      <c r="M390" s="183">
        <f t="shared" ref="M390:M395" si="78">SUM(J390:L390)</f>
        <v>14568</v>
      </c>
      <c r="N390" s="2">
        <v>0</v>
      </c>
      <c r="O390" s="2">
        <v>0</v>
      </c>
      <c r="P390" s="2">
        <v>0</v>
      </c>
      <c r="Q390" s="183">
        <f t="shared" ref="Q390:Q395" si="79">SUM(N390:P390)</f>
        <v>0</v>
      </c>
      <c r="R390" s="183">
        <f t="shared" ref="R390:R395" si="80">+E390+I390+M390+Q390</f>
        <v>14568</v>
      </c>
    </row>
    <row r="391" spans="1:18" ht="15.75" customHeight="1" thickBot="1" x14ac:dyDescent="0.4">
      <c r="A391" s="9" t="s">
        <v>1950</v>
      </c>
      <c r="B391" s="2">
        <v>0</v>
      </c>
      <c r="C391" s="2">
        <v>0</v>
      </c>
      <c r="D391" s="2">
        <v>0</v>
      </c>
      <c r="E391" s="183">
        <f t="shared" si="76"/>
        <v>0</v>
      </c>
      <c r="F391" s="2">
        <v>0</v>
      </c>
      <c r="G391" s="2">
        <v>0</v>
      </c>
      <c r="H391" s="2">
        <v>0</v>
      </c>
      <c r="I391" s="183">
        <f t="shared" si="77"/>
        <v>0</v>
      </c>
      <c r="J391" s="2">
        <v>0</v>
      </c>
      <c r="K391" s="2">
        <v>0</v>
      </c>
      <c r="L391" s="2">
        <v>0</v>
      </c>
      <c r="M391" s="183">
        <f t="shared" si="78"/>
        <v>0</v>
      </c>
      <c r="N391" s="2">
        <v>0</v>
      </c>
      <c r="O391" s="2">
        <v>0</v>
      </c>
      <c r="P391" s="2">
        <v>0</v>
      </c>
      <c r="Q391" s="183">
        <f t="shared" si="79"/>
        <v>0</v>
      </c>
      <c r="R391" s="183">
        <f t="shared" si="80"/>
        <v>0</v>
      </c>
    </row>
    <row r="392" spans="1:18" ht="15.75" customHeight="1" thickBot="1" x14ac:dyDescent="0.4">
      <c r="A392" s="41" t="s">
        <v>1019</v>
      </c>
      <c r="B392" s="184">
        <f>SUM(B388:B391)</f>
        <v>0</v>
      </c>
      <c r="C392" s="184">
        <f>SUM(C388:C391)</f>
        <v>0</v>
      </c>
      <c r="D392" s="184">
        <f>SUM(D388:D391)</f>
        <v>0</v>
      </c>
      <c r="E392" s="185">
        <f t="shared" si="76"/>
        <v>0</v>
      </c>
      <c r="F392" s="184">
        <f>SUM(F388:F391)</f>
        <v>0</v>
      </c>
      <c r="G392" s="184">
        <f>SUM(G388:G391)</f>
        <v>0</v>
      </c>
      <c r="H392" s="184">
        <f>SUM(H388:H391)</f>
        <v>0</v>
      </c>
      <c r="I392" s="185">
        <f t="shared" si="77"/>
        <v>0</v>
      </c>
      <c r="J392" s="184">
        <f>SUM(J388:J391)</f>
        <v>0</v>
      </c>
      <c r="K392" s="184">
        <f>SUM(K388:K391)</f>
        <v>14568</v>
      </c>
      <c r="L392" s="184">
        <f>SUM(L388:L391)</f>
        <v>0</v>
      </c>
      <c r="M392" s="185">
        <f t="shared" si="78"/>
        <v>14568</v>
      </c>
      <c r="N392" s="184">
        <f>SUM(N388:N391)</f>
        <v>0</v>
      </c>
      <c r="O392" s="184">
        <f>SUM(O388:O391)</f>
        <v>0</v>
      </c>
      <c r="P392" s="184">
        <f>SUM(P388:P391)</f>
        <v>0</v>
      </c>
      <c r="Q392" s="185">
        <f t="shared" si="79"/>
        <v>0</v>
      </c>
      <c r="R392" s="56">
        <f t="shared" si="80"/>
        <v>14568</v>
      </c>
    </row>
    <row r="393" spans="1:18" ht="15.75" customHeight="1" thickBot="1" x14ac:dyDescent="0.4">
      <c r="A393" s="57" t="s">
        <v>1221</v>
      </c>
      <c r="B393" s="188">
        <f>SUM(B384:B391)</f>
        <v>0</v>
      </c>
      <c r="C393" s="189">
        <f>SUM(C384:C391)</f>
        <v>0</v>
      </c>
      <c r="D393" s="191">
        <f>SUM(D384:D391)</f>
        <v>0</v>
      </c>
      <c r="E393" s="185">
        <f t="shared" si="76"/>
        <v>0</v>
      </c>
      <c r="F393" s="189">
        <f>SUM(F384:F391)</f>
        <v>0</v>
      </c>
      <c r="G393" s="189">
        <f>SUM(G384:G391)</f>
        <v>0</v>
      </c>
      <c r="H393" s="189">
        <f>SUM(H384:H391)</f>
        <v>0</v>
      </c>
      <c r="I393" s="185">
        <f t="shared" si="77"/>
        <v>0</v>
      </c>
      <c r="J393" s="189">
        <f>SUM(J384:J391)</f>
        <v>0</v>
      </c>
      <c r="K393" s="189">
        <f>SUM(K384:K391)</f>
        <v>14568</v>
      </c>
      <c r="L393" s="189">
        <f>SUM(L384:L391)</f>
        <v>0</v>
      </c>
      <c r="M393" s="185">
        <f t="shared" si="78"/>
        <v>14568</v>
      </c>
      <c r="N393" s="189">
        <f>SUM(N384:N391)</f>
        <v>0</v>
      </c>
      <c r="O393" s="189">
        <f>SUM(O384:O391)</f>
        <v>0</v>
      </c>
      <c r="P393" s="189">
        <f>SUM(P384:P391)</f>
        <v>0</v>
      </c>
      <c r="Q393" s="185">
        <f t="shared" si="79"/>
        <v>0</v>
      </c>
      <c r="R393" s="56">
        <f t="shared" si="80"/>
        <v>14568</v>
      </c>
    </row>
    <row r="394" spans="1:18" ht="15.75" customHeight="1" thickBot="1" x14ac:dyDescent="0.4">
      <c r="A394" s="41" t="s">
        <v>1222</v>
      </c>
      <c r="B394" s="190">
        <f>+B374+B379+B383+B393</f>
        <v>795</v>
      </c>
      <c r="C394" s="184">
        <f>+C374+C379+C383+C393</f>
        <v>1114</v>
      </c>
      <c r="D394" s="184">
        <f>+D374+D379+D383+D393</f>
        <v>8675</v>
      </c>
      <c r="E394" s="56">
        <f t="shared" si="76"/>
        <v>10584</v>
      </c>
      <c r="F394" s="184">
        <f>+F374+F379+F383+F393</f>
        <v>12494</v>
      </c>
      <c r="G394" s="184">
        <f>+G374+G379+G383+G393</f>
        <v>10242</v>
      </c>
      <c r="H394" s="184">
        <f>+H374+H379+H383+H393</f>
        <v>15627</v>
      </c>
      <c r="I394" s="56">
        <f t="shared" si="77"/>
        <v>38363</v>
      </c>
      <c r="J394" s="184">
        <f>+J374+J379+J383+J393</f>
        <v>17906</v>
      </c>
      <c r="K394" s="184">
        <f>+K374+K379+K383+K393</f>
        <v>18338</v>
      </c>
      <c r="L394" s="184">
        <f>+L374+L379+L383+L393</f>
        <v>4368</v>
      </c>
      <c r="M394" s="56">
        <f t="shared" si="78"/>
        <v>40612</v>
      </c>
      <c r="N394" s="184">
        <f>+N374+N379+N383+N393</f>
        <v>2077</v>
      </c>
      <c r="O394" s="184">
        <f>+O374+O379+O383+O393</f>
        <v>0</v>
      </c>
      <c r="P394" s="184">
        <f>+P374+P379+P383+P393</f>
        <v>746</v>
      </c>
      <c r="Q394" s="56">
        <f t="shared" si="79"/>
        <v>2823</v>
      </c>
      <c r="R394" s="186">
        <f t="shared" si="80"/>
        <v>92382</v>
      </c>
    </row>
    <row r="395" spans="1:18" ht="15.75" customHeight="1" thickBot="1" x14ac:dyDescent="0.4">
      <c r="A395" s="474" t="s">
        <v>853</v>
      </c>
      <c r="B395" s="459">
        <v>9</v>
      </c>
      <c r="C395" s="459">
        <v>16</v>
      </c>
      <c r="D395" s="459">
        <v>25</v>
      </c>
      <c r="E395" s="183">
        <f t="shared" si="76"/>
        <v>50</v>
      </c>
      <c r="F395" s="459">
        <v>34</v>
      </c>
      <c r="G395" s="459">
        <v>41</v>
      </c>
      <c r="H395" s="459">
        <v>41</v>
      </c>
      <c r="I395" s="183">
        <f t="shared" si="77"/>
        <v>116</v>
      </c>
      <c r="J395" s="459">
        <v>39</v>
      </c>
      <c r="K395" s="459">
        <v>30</v>
      </c>
      <c r="L395" s="459">
        <v>30</v>
      </c>
      <c r="M395" s="183">
        <f t="shared" si="78"/>
        <v>99</v>
      </c>
      <c r="N395" s="459">
        <v>28</v>
      </c>
      <c r="O395" s="459">
        <v>22</v>
      </c>
      <c r="P395" s="459">
        <v>16</v>
      </c>
      <c r="Q395" s="183">
        <f t="shared" si="79"/>
        <v>66</v>
      </c>
      <c r="R395" s="183">
        <f t="shared" si="80"/>
        <v>331</v>
      </c>
    </row>
    <row r="396" spans="1:18" ht="15.75" customHeight="1" thickBot="1" x14ac:dyDescent="0.4">
      <c r="A396" s="494"/>
      <c r="B396" s="495"/>
      <c r="C396" s="495"/>
      <c r="D396" s="495"/>
      <c r="E396" s="56"/>
      <c r="F396" s="495"/>
      <c r="G396" s="495"/>
      <c r="H396" s="495"/>
      <c r="I396" s="56"/>
      <c r="J396" s="495"/>
      <c r="K396" s="495"/>
      <c r="L396" s="495"/>
      <c r="M396" s="56"/>
      <c r="N396" s="495"/>
      <c r="O396" s="495"/>
      <c r="P396" s="495"/>
      <c r="Q396" s="56"/>
      <c r="R396" s="56" t="s">
        <v>852</v>
      </c>
    </row>
    <row r="397" spans="1:18" ht="15.75" customHeight="1" x14ac:dyDescent="0.35">
      <c r="A397" s="496" t="s">
        <v>2011</v>
      </c>
      <c r="B397" s="497">
        <f>SUM(B394:B395)</f>
        <v>804</v>
      </c>
      <c r="C397" s="497">
        <f>SUM(C394:C395)</f>
        <v>1130</v>
      </c>
      <c r="D397" s="497">
        <f>SUM(D394:D395)</f>
        <v>8700</v>
      </c>
      <c r="E397" s="185">
        <f>SUM(B397:D397)</f>
        <v>10634</v>
      </c>
      <c r="F397" s="497">
        <f>SUM(F394:F395)</f>
        <v>12528</v>
      </c>
      <c r="G397" s="497">
        <f>SUM(G394:G395)</f>
        <v>10283</v>
      </c>
      <c r="H397" s="497">
        <f>SUM(H394:H395)</f>
        <v>15668</v>
      </c>
      <c r="I397" s="185">
        <f>SUM(F397:H397)</f>
        <v>38479</v>
      </c>
      <c r="J397" s="497">
        <f>SUM(J394:J395)</f>
        <v>17945</v>
      </c>
      <c r="K397" s="497">
        <f>SUM(K394:K395)</f>
        <v>18368</v>
      </c>
      <c r="L397" s="497">
        <f>SUM(L394:L395)</f>
        <v>4398</v>
      </c>
      <c r="M397" s="185">
        <f>SUM(J397:L397)</f>
        <v>40711</v>
      </c>
      <c r="N397" s="497">
        <f>SUM(N394:N395)</f>
        <v>2105</v>
      </c>
      <c r="O397" s="497">
        <f>SUM(O394:O395)</f>
        <v>22</v>
      </c>
      <c r="P397" s="497">
        <f>SUM(P394:P395)</f>
        <v>762</v>
      </c>
      <c r="Q397" s="185">
        <f>SUM(N397:P397)</f>
        <v>2889</v>
      </c>
      <c r="R397" s="185">
        <f>+E397+I397+M397+Q397</f>
        <v>92713</v>
      </c>
    </row>
    <row r="398" spans="1:18" ht="15.75" customHeight="1" x14ac:dyDescent="0.35">
      <c r="A398" s="499" t="s">
        <v>1897</v>
      </c>
      <c r="B398" s="2">
        <f>(B397/31)/1.983</f>
        <v>13.078912693377578</v>
      </c>
      <c r="C398" s="2">
        <f>(C397/28)/1.983</f>
        <v>20.351559685901588</v>
      </c>
      <c r="D398" s="2">
        <f>(D397/31)/1.983</f>
        <v>141.52554780147381</v>
      </c>
      <c r="E398" s="183" t="s">
        <v>852</v>
      </c>
      <c r="F398" s="2">
        <f>(F397/30)/1.983</f>
        <v>210.59001512859305</v>
      </c>
      <c r="G398" s="2">
        <f>(G397/31)/1.983</f>
        <v>167.27669057960404</v>
      </c>
      <c r="H398" s="2">
        <f>(H397/30)/1.983</f>
        <v>263.37199529332656</v>
      </c>
      <c r="I398" s="183" t="s">
        <v>852</v>
      </c>
      <c r="J398" s="2">
        <f>(J397/31)/1.983</f>
        <v>291.916776470971</v>
      </c>
      <c r="K398" s="2">
        <f>(K397/31)/1.983</f>
        <v>298.79784620890467</v>
      </c>
      <c r="L398" s="2">
        <f>(L397/30)/1.983</f>
        <v>73.928391326273314</v>
      </c>
      <c r="M398" s="183" t="s">
        <v>852</v>
      </c>
      <c r="N398" s="2">
        <f>(N397/31)/1.983</f>
        <v>34.242675646218665</v>
      </c>
      <c r="O398" s="2">
        <f>(O397/30)/1.983</f>
        <v>0.36981005210959822</v>
      </c>
      <c r="P398" s="2">
        <f>(P397/31)/1.983</f>
        <v>12.395685910887707</v>
      </c>
      <c r="Q398" s="183" t="s">
        <v>852</v>
      </c>
      <c r="R398" s="183" t="s">
        <v>852</v>
      </c>
    </row>
    <row r="399" spans="1:18" ht="15.75" customHeight="1" x14ac:dyDescent="0.35">
      <c r="A399" s="499" t="s">
        <v>575</v>
      </c>
      <c r="B399" s="2">
        <f>B397+B443</f>
        <v>22875</v>
      </c>
      <c r="C399" s="2">
        <f>C397+C443</f>
        <v>9239</v>
      </c>
      <c r="D399" s="2">
        <f>D397+D443</f>
        <v>21322</v>
      </c>
      <c r="E399" s="183">
        <f>SUM(B399:D399)</f>
        <v>53436</v>
      </c>
      <c r="F399" s="2">
        <f>F397+F443</f>
        <v>36042</v>
      </c>
      <c r="G399" s="2">
        <f>G397+G443</f>
        <v>32144</v>
      </c>
      <c r="H399" s="2">
        <f>H397+H443</f>
        <v>41269</v>
      </c>
      <c r="I399" s="183">
        <f>SUM(F399:H399)</f>
        <v>109455</v>
      </c>
      <c r="J399" s="2">
        <f>J397+J443</f>
        <v>53336</v>
      </c>
      <c r="K399" s="2">
        <f>K397+K443</f>
        <v>55055</v>
      </c>
      <c r="L399" s="2">
        <f>L397+L443</f>
        <v>32679</v>
      </c>
      <c r="M399" s="183">
        <f>SUM(J399:L399)</f>
        <v>141070</v>
      </c>
      <c r="N399" s="2">
        <f>N397+N443</f>
        <v>24240</v>
      </c>
      <c r="O399" s="2">
        <f>O397+O443</f>
        <v>6285</v>
      </c>
      <c r="P399" s="2">
        <f>P397+P443</f>
        <v>22966</v>
      </c>
      <c r="Q399" s="183">
        <f>SUM(N399:P399)</f>
        <v>53491</v>
      </c>
      <c r="R399" s="183">
        <f>+E399+I399+M399+Q399</f>
        <v>357452</v>
      </c>
    </row>
    <row r="400" spans="1:18" ht="15.75" customHeight="1" thickBot="1" x14ac:dyDescent="0.4">
      <c r="A400" s="500" t="s">
        <v>576</v>
      </c>
      <c r="B400" s="467">
        <f>(B399/31)/1.983</f>
        <v>372.11458689180614</v>
      </c>
      <c r="C400" s="467">
        <f>(C399/28)/1.983</f>
        <v>166.39651321950868</v>
      </c>
      <c r="D400" s="467">
        <f>(D399/31)/1.983</f>
        <v>346.85146324402581</v>
      </c>
      <c r="E400" s="186" t="s">
        <v>852</v>
      </c>
      <c r="F400" s="467">
        <f>(F399/30)/1.983</f>
        <v>605.84972264246096</v>
      </c>
      <c r="G400" s="467">
        <f>(G399/31)/1.983</f>
        <v>522.89623086558333</v>
      </c>
      <c r="H400" s="467">
        <f>(H399/30)/1.983</f>
        <v>693.71322911413688</v>
      </c>
      <c r="I400" s="186" t="s">
        <v>852</v>
      </c>
      <c r="J400" s="467">
        <f>(J399/31)/1.983</f>
        <v>867.63294454475943</v>
      </c>
      <c r="K400" s="467">
        <f>(K399/31)/1.983</f>
        <v>895.59644071380933</v>
      </c>
      <c r="L400" s="467">
        <f>(L399/30)/1.983</f>
        <v>549.31921331316187</v>
      </c>
      <c r="M400" s="186" t="s">
        <v>852</v>
      </c>
      <c r="N400" s="467">
        <f>(N399/31)/1.983</f>
        <v>394.31945732272698</v>
      </c>
      <c r="O400" s="467">
        <f>(O399/30)/1.983</f>
        <v>105.64800806858295</v>
      </c>
      <c r="P400" s="467">
        <f>(P399/31)/1.983</f>
        <v>373.5949115872009</v>
      </c>
      <c r="Q400" s="186" t="s">
        <v>852</v>
      </c>
      <c r="R400" s="186" t="s">
        <v>852</v>
      </c>
    </row>
    <row r="401" spans="1:18" ht="15.75" customHeight="1" x14ac:dyDescent="0.35">
      <c r="A401" s="187"/>
      <c r="B401" s="2"/>
      <c r="C401" s="2"/>
      <c r="D401" s="2"/>
      <c r="E401" s="2"/>
      <c r="F401" s="2"/>
      <c r="G401" s="2"/>
      <c r="H401" s="2"/>
      <c r="I401" s="2"/>
      <c r="J401" s="2"/>
      <c r="K401" s="2"/>
      <c r="L401" s="2"/>
      <c r="M401" s="2"/>
      <c r="N401" s="2"/>
      <c r="O401" s="2"/>
      <c r="P401" s="2"/>
      <c r="Q401" s="2"/>
      <c r="R401" s="187"/>
    </row>
    <row r="402" spans="1:18" ht="15.75" customHeight="1" thickBot="1" x14ac:dyDescent="0.4">
      <c r="A402" s="187"/>
      <c r="B402" s="2"/>
      <c r="C402" s="2"/>
      <c r="D402" s="2"/>
      <c r="E402" s="2"/>
      <c r="F402" s="2"/>
      <c r="G402" s="2"/>
      <c r="H402" s="2"/>
      <c r="I402" s="2"/>
      <c r="J402" s="2"/>
      <c r="K402" s="2"/>
      <c r="L402" s="2"/>
      <c r="M402" s="2"/>
      <c r="N402" s="2"/>
      <c r="O402" s="2"/>
      <c r="P402" s="2"/>
      <c r="Q402" s="2"/>
      <c r="R402" s="187"/>
    </row>
    <row r="403" spans="1:18" ht="15.75" customHeight="1" thickBot="1" x14ac:dyDescent="0.4">
      <c r="A403" s="7" t="s">
        <v>689</v>
      </c>
      <c r="B403" s="179" t="s">
        <v>2090</v>
      </c>
      <c r="C403" s="180" t="s">
        <v>2091</v>
      </c>
      <c r="D403" s="180" t="s">
        <v>2234</v>
      </c>
      <c r="E403" s="175" t="s">
        <v>1594</v>
      </c>
      <c r="F403" s="180" t="s">
        <v>2235</v>
      </c>
      <c r="G403" s="180" t="s">
        <v>2236</v>
      </c>
      <c r="H403" s="180" t="s">
        <v>2237</v>
      </c>
      <c r="I403" s="64" t="s">
        <v>1595</v>
      </c>
      <c r="J403" s="180" t="s">
        <v>1504</v>
      </c>
      <c r="K403" s="180" t="s">
        <v>1505</v>
      </c>
      <c r="L403" s="180" t="s">
        <v>1506</v>
      </c>
      <c r="M403" s="64" t="s">
        <v>1596</v>
      </c>
      <c r="N403" s="180" t="s">
        <v>1507</v>
      </c>
      <c r="O403" s="180" t="s">
        <v>1508</v>
      </c>
      <c r="P403" s="180" t="s">
        <v>1509</v>
      </c>
      <c r="Q403" s="64" t="s">
        <v>1597</v>
      </c>
      <c r="R403" s="471" t="s">
        <v>1510</v>
      </c>
    </row>
    <row r="404" spans="1:18" ht="15.75" customHeight="1" thickBot="1" x14ac:dyDescent="0.4">
      <c r="A404" s="56"/>
      <c r="B404" s="495"/>
      <c r="C404" s="495"/>
      <c r="D404" s="495"/>
      <c r="E404" s="491"/>
      <c r="F404" s="495"/>
      <c r="G404" s="495"/>
      <c r="H404" s="495"/>
      <c r="I404" s="501"/>
      <c r="J404" s="495"/>
      <c r="K404" s="495"/>
      <c r="L404" s="495"/>
      <c r="M404" s="501"/>
      <c r="N404" s="495"/>
      <c r="O404" s="495"/>
      <c r="P404" s="495"/>
      <c r="Q404" s="501"/>
      <c r="R404" s="515"/>
    </row>
    <row r="405" spans="1:18" ht="15.75" customHeight="1" x14ac:dyDescent="0.35">
      <c r="A405" s="6" t="s">
        <v>2417</v>
      </c>
      <c r="B405" s="2" t="s">
        <v>852</v>
      </c>
      <c r="C405" s="2" t="s">
        <v>852</v>
      </c>
      <c r="D405" s="2" t="s">
        <v>852</v>
      </c>
      <c r="E405" s="183" t="s">
        <v>852</v>
      </c>
      <c r="F405" s="2" t="s">
        <v>852</v>
      </c>
      <c r="G405" s="2" t="s">
        <v>852</v>
      </c>
      <c r="H405" s="2" t="s">
        <v>852</v>
      </c>
      <c r="I405" s="183" t="s">
        <v>852</v>
      </c>
      <c r="J405" s="2" t="s">
        <v>852</v>
      </c>
      <c r="K405" s="2" t="s">
        <v>852</v>
      </c>
      <c r="L405" s="2" t="s">
        <v>852</v>
      </c>
      <c r="M405" s="183" t="s">
        <v>852</v>
      </c>
      <c r="N405" s="2" t="s">
        <v>852</v>
      </c>
      <c r="O405" s="2" t="s">
        <v>852</v>
      </c>
      <c r="P405" s="2" t="s">
        <v>852</v>
      </c>
      <c r="Q405" s="183" t="s">
        <v>852</v>
      </c>
      <c r="R405" s="183" t="s">
        <v>852</v>
      </c>
    </row>
    <row r="406" spans="1:18" ht="15.75" customHeight="1" x14ac:dyDescent="0.35">
      <c r="A406" s="6" t="s">
        <v>2160</v>
      </c>
      <c r="B406" s="2"/>
      <c r="C406" s="2"/>
      <c r="D406" s="2"/>
      <c r="E406" s="183" t="s">
        <v>852</v>
      </c>
      <c r="F406" s="2"/>
      <c r="G406" s="2"/>
      <c r="H406" s="2"/>
      <c r="I406" s="183" t="s">
        <v>852</v>
      </c>
      <c r="J406" s="2"/>
      <c r="K406" s="2"/>
      <c r="L406" s="2"/>
      <c r="M406" s="183" t="s">
        <v>852</v>
      </c>
      <c r="N406" s="2"/>
      <c r="O406" s="2"/>
      <c r="P406" s="2"/>
      <c r="Q406" s="183" t="s">
        <v>852</v>
      </c>
      <c r="R406" s="183" t="s">
        <v>852</v>
      </c>
    </row>
    <row r="407" spans="1:18" ht="15.75" customHeight="1" x14ac:dyDescent="0.35">
      <c r="A407" s="9" t="s">
        <v>1478</v>
      </c>
      <c r="B407" s="2">
        <v>0</v>
      </c>
      <c r="C407" s="2">
        <v>0</v>
      </c>
      <c r="D407" s="2">
        <v>428</v>
      </c>
      <c r="E407" s="183">
        <f>SUM(B407:D407)</f>
        <v>428</v>
      </c>
      <c r="F407" s="2">
        <v>0</v>
      </c>
      <c r="G407" s="2">
        <v>0</v>
      </c>
      <c r="H407" s="2">
        <v>0</v>
      </c>
      <c r="I407" s="183">
        <f>SUM(F407:H407)</f>
        <v>0</v>
      </c>
      <c r="J407" s="2">
        <v>0</v>
      </c>
      <c r="K407" s="2">
        <v>0</v>
      </c>
      <c r="L407" s="2">
        <v>0</v>
      </c>
      <c r="M407" s="183">
        <f>SUM(J407:L407)</f>
        <v>0</v>
      </c>
      <c r="N407" s="2">
        <v>0</v>
      </c>
      <c r="O407" s="2">
        <v>0</v>
      </c>
      <c r="P407" s="2">
        <v>0</v>
      </c>
      <c r="Q407" s="183">
        <f>SUM(N407:P407)</f>
        <v>0</v>
      </c>
      <c r="R407" s="183">
        <f>+E407+I407+M407+Q407</f>
        <v>428</v>
      </c>
    </row>
    <row r="408" spans="1:18" ht="15.75" customHeight="1" x14ac:dyDescent="0.35">
      <c r="A408" s="9" t="s">
        <v>1883</v>
      </c>
      <c r="B408" s="2">
        <v>0</v>
      </c>
      <c r="C408" s="2">
        <v>0</v>
      </c>
      <c r="D408" s="2">
        <v>53</v>
      </c>
      <c r="E408" s="183">
        <f>SUM(B408:D408)</f>
        <v>53</v>
      </c>
      <c r="F408" s="2">
        <v>1122</v>
      </c>
      <c r="G408" s="2">
        <v>825</v>
      </c>
      <c r="H408" s="2">
        <v>0</v>
      </c>
      <c r="I408" s="183">
        <f>SUM(F408:H408)</f>
        <v>1947</v>
      </c>
      <c r="J408" s="2">
        <v>0</v>
      </c>
      <c r="K408" s="2">
        <v>0</v>
      </c>
      <c r="L408" s="2">
        <v>0</v>
      </c>
      <c r="M408" s="183">
        <f>SUM(J408:L408)</f>
        <v>0</v>
      </c>
      <c r="N408" s="2">
        <v>0</v>
      </c>
      <c r="O408" s="2">
        <v>0</v>
      </c>
      <c r="P408" s="2">
        <v>0</v>
      </c>
      <c r="Q408" s="183">
        <f>SUM(N408:P408)</f>
        <v>0</v>
      </c>
      <c r="R408" s="183">
        <f>+E408+I408+M408+Q408</f>
        <v>2000</v>
      </c>
    </row>
    <row r="409" spans="1:18" ht="15.75" customHeight="1" x14ac:dyDescent="0.35">
      <c r="A409" s="6" t="s">
        <v>2161</v>
      </c>
      <c r="B409" s="2"/>
      <c r="C409" s="2"/>
      <c r="D409" s="2"/>
      <c r="E409" s="183" t="s">
        <v>852</v>
      </c>
      <c r="F409" s="2"/>
      <c r="G409" s="2"/>
      <c r="H409" s="2"/>
      <c r="I409" s="183" t="s">
        <v>852</v>
      </c>
      <c r="J409" s="2"/>
      <c r="K409" s="2"/>
      <c r="L409" s="2"/>
      <c r="M409" s="183" t="s">
        <v>852</v>
      </c>
      <c r="N409" s="2"/>
      <c r="O409" s="2"/>
      <c r="P409" s="2"/>
      <c r="Q409" s="183" t="s">
        <v>852</v>
      </c>
      <c r="R409" s="183" t="s">
        <v>852</v>
      </c>
    </row>
    <row r="410" spans="1:18" ht="15.75" customHeight="1" x14ac:dyDescent="0.35">
      <c r="A410" s="6" t="s">
        <v>2162</v>
      </c>
      <c r="B410" s="2"/>
      <c r="C410" s="2"/>
      <c r="D410" s="2"/>
      <c r="E410" s="183" t="s">
        <v>852</v>
      </c>
      <c r="F410" s="2"/>
      <c r="G410" s="2"/>
      <c r="H410" s="2"/>
      <c r="I410" s="183" t="s">
        <v>852</v>
      </c>
      <c r="J410" s="2"/>
      <c r="K410" s="2"/>
      <c r="L410" s="2"/>
      <c r="M410" s="183" t="s">
        <v>852</v>
      </c>
      <c r="N410" s="2"/>
      <c r="O410" s="2"/>
      <c r="P410" s="2"/>
      <c r="Q410" s="183" t="s">
        <v>852</v>
      </c>
      <c r="R410" s="183" t="s">
        <v>852</v>
      </c>
    </row>
    <row r="411" spans="1:18" ht="15.75" customHeight="1" thickBot="1" x14ac:dyDescent="0.4">
      <c r="A411" s="6" t="s">
        <v>2164</v>
      </c>
      <c r="B411" s="2"/>
      <c r="C411" s="2"/>
      <c r="D411" s="2"/>
      <c r="E411" s="183" t="s">
        <v>852</v>
      </c>
      <c r="F411" s="2"/>
      <c r="G411" s="2"/>
      <c r="H411" s="2"/>
      <c r="I411" s="183" t="s">
        <v>852</v>
      </c>
      <c r="J411" s="2"/>
      <c r="K411" s="2"/>
      <c r="L411" s="2"/>
      <c r="M411" s="183" t="s">
        <v>852</v>
      </c>
      <c r="N411" s="2"/>
      <c r="O411" s="2"/>
      <c r="P411" s="2"/>
      <c r="Q411" s="183" t="s">
        <v>852</v>
      </c>
      <c r="R411" s="183" t="s">
        <v>852</v>
      </c>
    </row>
    <row r="412" spans="1:18" ht="15.75" customHeight="1" thickBot="1" x14ac:dyDescent="0.4">
      <c r="A412" s="523" t="s">
        <v>1218</v>
      </c>
      <c r="B412" s="188">
        <f>SUM(B405:B411)</f>
        <v>0</v>
      </c>
      <c r="C412" s="189">
        <f>SUM(C405:C411)</f>
        <v>0</v>
      </c>
      <c r="D412" s="189">
        <f>SUM(D405:D411)</f>
        <v>481</v>
      </c>
      <c r="E412" s="56">
        <f>SUM(B412:D412)</f>
        <v>481</v>
      </c>
      <c r="F412" s="189">
        <f>SUM(F405:F411)</f>
        <v>1122</v>
      </c>
      <c r="G412" s="189">
        <f>SUM(G405:G411)</f>
        <v>825</v>
      </c>
      <c r="H412" s="189">
        <f>SUM(H405:H411)</f>
        <v>0</v>
      </c>
      <c r="I412" s="56">
        <f>SUM(F412:H412)</f>
        <v>1947</v>
      </c>
      <c r="J412" s="189">
        <f>SUM(J405:J411)</f>
        <v>0</v>
      </c>
      <c r="K412" s="189">
        <f>SUM(K405:K411)</f>
        <v>0</v>
      </c>
      <c r="L412" s="189">
        <f>SUM(L405:L411)</f>
        <v>0</v>
      </c>
      <c r="M412" s="56">
        <f>SUM(J412:L412)</f>
        <v>0</v>
      </c>
      <c r="N412" s="189">
        <f>SUM(N405:N411)</f>
        <v>0</v>
      </c>
      <c r="O412" s="189">
        <f>SUM(O405:O411)</f>
        <v>0</v>
      </c>
      <c r="P412" s="189">
        <f>SUM(P405:P411)</f>
        <v>0</v>
      </c>
      <c r="Q412" s="56">
        <f>SUM(N412:P412)</f>
        <v>0</v>
      </c>
      <c r="R412" s="56">
        <f>+E412+I412+M412+Q412</f>
        <v>2428</v>
      </c>
    </row>
    <row r="413" spans="1:18" ht="15.75" customHeight="1" x14ac:dyDescent="0.35">
      <c r="A413" s="6" t="s">
        <v>1172</v>
      </c>
      <c r="B413" s="2"/>
      <c r="C413" s="2"/>
      <c r="D413" s="2"/>
      <c r="E413" s="185" t="s">
        <v>852</v>
      </c>
      <c r="F413" s="2"/>
      <c r="G413" s="2"/>
      <c r="H413" s="2"/>
      <c r="I413" s="185" t="s">
        <v>852</v>
      </c>
      <c r="J413" s="2"/>
      <c r="K413" s="2"/>
      <c r="L413" s="2"/>
      <c r="M413" s="185" t="s">
        <v>852</v>
      </c>
      <c r="N413" s="2"/>
      <c r="O413" s="2"/>
      <c r="P413" s="2"/>
      <c r="Q413" s="185" t="s">
        <v>852</v>
      </c>
      <c r="R413" s="524" t="s">
        <v>852</v>
      </c>
    </row>
    <row r="414" spans="1:18" ht="15.75" customHeight="1" x14ac:dyDescent="0.35">
      <c r="A414" s="6" t="s">
        <v>2409</v>
      </c>
      <c r="B414" s="2"/>
      <c r="C414" s="2"/>
      <c r="D414" s="2"/>
      <c r="E414" s="183" t="s">
        <v>852</v>
      </c>
      <c r="F414" s="2"/>
      <c r="G414" s="2"/>
      <c r="H414" s="2"/>
      <c r="I414" s="183" t="s">
        <v>852</v>
      </c>
      <c r="J414" s="2"/>
      <c r="K414" s="2"/>
      <c r="L414" s="2"/>
      <c r="M414" s="183" t="s">
        <v>852</v>
      </c>
      <c r="N414" s="2"/>
      <c r="O414" s="2"/>
      <c r="P414" s="2"/>
      <c r="Q414" s="183" t="s">
        <v>852</v>
      </c>
      <c r="R414" s="524" t="s">
        <v>852</v>
      </c>
    </row>
    <row r="415" spans="1:18" ht="15.75" customHeight="1" x14ac:dyDescent="0.35">
      <c r="A415" s="9" t="s">
        <v>791</v>
      </c>
      <c r="B415" s="2">
        <v>1344</v>
      </c>
      <c r="C415" s="2">
        <v>1155</v>
      </c>
      <c r="D415" s="2">
        <v>4204</v>
      </c>
      <c r="E415" s="183">
        <f>SUM(B415:D415)</f>
        <v>6703</v>
      </c>
      <c r="F415" s="2">
        <v>5365</v>
      </c>
      <c r="G415" s="2">
        <v>3240</v>
      </c>
      <c r="H415" s="2">
        <v>5397</v>
      </c>
      <c r="I415" s="183">
        <f>SUM(F415:H415)</f>
        <v>14002</v>
      </c>
      <c r="J415" s="2">
        <v>2125</v>
      </c>
      <c r="K415" s="2">
        <v>6646</v>
      </c>
      <c r="L415" s="2">
        <v>298</v>
      </c>
      <c r="M415" s="183">
        <f>SUM(J415:L415)</f>
        <v>9069</v>
      </c>
      <c r="N415" s="2">
        <v>1084</v>
      </c>
      <c r="O415" s="2">
        <v>166</v>
      </c>
      <c r="P415" s="2">
        <v>156</v>
      </c>
      <c r="Q415" s="183">
        <f>SUM(N415:P415)</f>
        <v>1406</v>
      </c>
      <c r="R415" s="183">
        <f>+E415+I415+M415+Q415</f>
        <v>31180</v>
      </c>
    </row>
    <row r="416" spans="1:18" ht="15.75" customHeight="1" x14ac:dyDescent="0.35">
      <c r="A416" s="9" t="s">
        <v>2300</v>
      </c>
      <c r="B416" s="2">
        <v>181</v>
      </c>
      <c r="C416" s="2">
        <v>666</v>
      </c>
      <c r="D416" s="2">
        <v>153</v>
      </c>
      <c r="E416" s="183">
        <f>SUM(B416:D416)</f>
        <v>1000</v>
      </c>
      <c r="F416" s="2">
        <v>0</v>
      </c>
      <c r="G416" s="2">
        <v>0</v>
      </c>
      <c r="H416" s="2">
        <v>0</v>
      </c>
      <c r="I416" s="183">
        <f>SUM(F416:H416)</f>
        <v>0</v>
      </c>
      <c r="J416" s="2">
        <v>0</v>
      </c>
      <c r="K416" s="2">
        <v>0</v>
      </c>
      <c r="L416" s="2">
        <v>0</v>
      </c>
      <c r="M416" s="183">
        <f>SUM(J416:L416)</f>
        <v>0</v>
      </c>
      <c r="N416" s="2">
        <v>0</v>
      </c>
      <c r="O416" s="2">
        <v>0</v>
      </c>
      <c r="P416" s="2">
        <v>0</v>
      </c>
      <c r="Q416" s="183">
        <f>SUM(N416:P416)</f>
        <v>0</v>
      </c>
      <c r="R416" s="183">
        <f>+E416+I416+M416+Q416</f>
        <v>1000</v>
      </c>
    </row>
    <row r="417" spans="1:18" ht="15.75" customHeight="1" x14ac:dyDescent="0.35">
      <c r="A417" s="6" t="s">
        <v>2160</v>
      </c>
      <c r="B417" s="2"/>
      <c r="C417" s="2"/>
      <c r="D417" s="2"/>
      <c r="E417" s="183" t="s">
        <v>852</v>
      </c>
      <c r="F417" s="2"/>
      <c r="G417" s="2"/>
      <c r="H417" s="2"/>
      <c r="I417" s="183" t="s">
        <v>852</v>
      </c>
      <c r="J417" s="2"/>
      <c r="K417" s="2"/>
      <c r="L417" s="2"/>
      <c r="M417" s="183" t="s">
        <v>852</v>
      </c>
      <c r="N417" s="2"/>
      <c r="O417" s="2"/>
      <c r="P417" s="2"/>
      <c r="Q417" s="183" t="s">
        <v>852</v>
      </c>
      <c r="R417" s="524" t="s">
        <v>852</v>
      </c>
    </row>
    <row r="418" spans="1:18" ht="15.75" customHeight="1" thickBot="1" x14ac:dyDescent="0.4">
      <c r="A418" s="6" t="s">
        <v>2165</v>
      </c>
      <c r="B418" s="2"/>
      <c r="C418" s="2"/>
      <c r="D418" s="2"/>
      <c r="E418" s="183" t="s">
        <v>852</v>
      </c>
      <c r="F418" s="2"/>
      <c r="G418" s="2"/>
      <c r="H418" s="2"/>
      <c r="I418" s="183" t="s">
        <v>852</v>
      </c>
      <c r="J418" s="2"/>
      <c r="K418" s="2"/>
      <c r="L418" s="2"/>
      <c r="M418" s="183" t="s">
        <v>852</v>
      </c>
      <c r="N418" s="2"/>
      <c r="O418" s="2"/>
      <c r="P418" s="2"/>
      <c r="Q418" s="183" t="s">
        <v>852</v>
      </c>
      <c r="R418" s="524" t="s">
        <v>852</v>
      </c>
    </row>
    <row r="419" spans="1:18" ht="15.75" customHeight="1" thickBot="1" x14ac:dyDescent="0.4">
      <c r="A419" s="41" t="s">
        <v>1219</v>
      </c>
      <c r="B419" s="188">
        <f>SUM(B413:B418)</f>
        <v>1525</v>
      </c>
      <c r="C419" s="189">
        <f>SUM(C413:C418)</f>
        <v>1821</v>
      </c>
      <c r="D419" s="189">
        <f>SUM(D413:D418)</f>
        <v>4357</v>
      </c>
      <c r="E419" s="56">
        <f>SUM(B419:D419)</f>
        <v>7703</v>
      </c>
      <c r="F419" s="189">
        <f>SUM(F413:F418)</f>
        <v>5365</v>
      </c>
      <c r="G419" s="189">
        <f>SUM(G413:G418)</f>
        <v>3240</v>
      </c>
      <c r="H419" s="189">
        <f>SUM(H413:H418)</f>
        <v>5397</v>
      </c>
      <c r="I419" s="56">
        <f>SUM(F419:H419)</f>
        <v>14002</v>
      </c>
      <c r="J419" s="189">
        <f>SUM(J413:J418)</f>
        <v>2125</v>
      </c>
      <c r="K419" s="189">
        <f>SUM(K413:K418)</f>
        <v>6646</v>
      </c>
      <c r="L419" s="189">
        <f>SUM(L413:L418)</f>
        <v>298</v>
      </c>
      <c r="M419" s="56">
        <f>SUM(J419:L419)</f>
        <v>9069</v>
      </c>
      <c r="N419" s="189">
        <f>SUM(N413:N418)</f>
        <v>1084</v>
      </c>
      <c r="O419" s="189">
        <f>SUM(O413:O418)</f>
        <v>166</v>
      </c>
      <c r="P419" s="189">
        <f>SUM(P413:P418)</f>
        <v>156</v>
      </c>
      <c r="Q419" s="56">
        <f>SUM(N419:P419)</f>
        <v>1406</v>
      </c>
      <c r="R419" s="56">
        <f>+E419+I419+M419+Q419</f>
        <v>32180</v>
      </c>
    </row>
    <row r="420" spans="1:18" ht="15.75" customHeight="1" x14ac:dyDescent="0.35">
      <c r="A420" s="6" t="s">
        <v>2166</v>
      </c>
      <c r="B420" s="2"/>
      <c r="C420" s="2"/>
      <c r="D420" s="2"/>
      <c r="E420" s="183" t="s">
        <v>852</v>
      </c>
      <c r="F420" s="2"/>
      <c r="G420" s="2"/>
      <c r="H420" s="2"/>
      <c r="I420" s="183" t="s">
        <v>852</v>
      </c>
      <c r="J420" s="2"/>
      <c r="K420" s="2"/>
      <c r="L420" s="2"/>
      <c r="M420" s="183" t="s">
        <v>852</v>
      </c>
      <c r="N420" s="2"/>
      <c r="O420" s="2"/>
      <c r="P420" s="2"/>
      <c r="Q420" s="183" t="s">
        <v>852</v>
      </c>
      <c r="R420" s="183" t="s">
        <v>852</v>
      </c>
    </row>
    <row r="421" spans="1:18" ht="15.75" customHeight="1" x14ac:dyDescent="0.35">
      <c r="A421" s="6" t="s">
        <v>1245</v>
      </c>
      <c r="B421" s="2"/>
      <c r="C421" s="2"/>
      <c r="D421" s="2"/>
      <c r="E421" s="183" t="s">
        <v>852</v>
      </c>
      <c r="F421" s="2"/>
      <c r="G421" s="2"/>
      <c r="H421" s="2"/>
      <c r="I421" s="183" t="s">
        <v>852</v>
      </c>
      <c r="J421" s="2"/>
      <c r="K421" s="2"/>
      <c r="L421" s="2"/>
      <c r="M421" s="183" t="s">
        <v>852</v>
      </c>
      <c r="N421" s="2"/>
      <c r="O421" s="2"/>
      <c r="P421" s="2"/>
      <c r="Q421" s="183" t="s">
        <v>852</v>
      </c>
      <c r="R421" s="183" t="s">
        <v>852</v>
      </c>
    </row>
    <row r="422" spans="1:18" ht="15.75" customHeight="1" thickBot="1" x14ac:dyDescent="0.4">
      <c r="A422" s="6" t="s">
        <v>1711</v>
      </c>
      <c r="B422" s="2"/>
      <c r="C422" s="2"/>
      <c r="D422" s="2"/>
      <c r="E422" s="183" t="s">
        <v>852</v>
      </c>
      <c r="F422" s="2"/>
      <c r="G422" s="2"/>
      <c r="H422" s="2"/>
      <c r="I422" s="183" t="s">
        <v>852</v>
      </c>
      <c r="J422" s="2"/>
      <c r="K422" s="2"/>
      <c r="L422" s="2"/>
      <c r="M422" s="183" t="s">
        <v>852</v>
      </c>
      <c r="N422" s="2"/>
      <c r="O422" s="2"/>
      <c r="P422" s="2"/>
      <c r="Q422" s="183" t="s">
        <v>852</v>
      </c>
      <c r="R422" s="183" t="s">
        <v>852</v>
      </c>
    </row>
    <row r="423" spans="1:18" ht="15.75" customHeight="1" thickBot="1" x14ac:dyDescent="0.4">
      <c r="A423" s="57" t="s">
        <v>1220</v>
      </c>
      <c r="B423" s="188">
        <f>SUM(B420:B422)</f>
        <v>0</v>
      </c>
      <c r="C423" s="189">
        <f>SUM(C420:C422)</f>
        <v>0</v>
      </c>
      <c r="D423" s="189">
        <f>SUM(D420:D422)</f>
        <v>0</v>
      </c>
      <c r="E423" s="56">
        <f>SUM(B423:D423)</f>
        <v>0</v>
      </c>
      <c r="F423" s="189">
        <f>SUM(F420:F422)</f>
        <v>0</v>
      </c>
      <c r="G423" s="189">
        <f>SUM(G420:G422)</f>
        <v>0</v>
      </c>
      <c r="H423" s="189">
        <f>SUM(H420:H422)</f>
        <v>0</v>
      </c>
      <c r="I423" s="56">
        <f>SUM(F423:H423)</f>
        <v>0</v>
      </c>
      <c r="J423" s="189">
        <f>SUM(J420:J422)</f>
        <v>0</v>
      </c>
      <c r="K423" s="189">
        <f>SUM(K420:K422)</f>
        <v>0</v>
      </c>
      <c r="L423" s="189">
        <f>SUM(L420:L422)</f>
        <v>0</v>
      </c>
      <c r="M423" s="56">
        <f>SUM(J423:L423)</f>
        <v>0</v>
      </c>
      <c r="N423" s="189">
        <f>SUM(N420:N422)</f>
        <v>0</v>
      </c>
      <c r="O423" s="189">
        <f>SUM(O420:O422)</f>
        <v>0</v>
      </c>
      <c r="P423" s="189">
        <f>SUM(P420:P422)</f>
        <v>0</v>
      </c>
      <c r="Q423" s="56">
        <f>SUM(N423:P423)</f>
        <v>0</v>
      </c>
      <c r="R423" s="56">
        <f>+E423+I423+M423+Q423</f>
        <v>0</v>
      </c>
    </row>
    <row r="424" spans="1:18" ht="15.75" customHeight="1" x14ac:dyDescent="0.35">
      <c r="A424" s="6" t="s">
        <v>1712</v>
      </c>
      <c r="B424" s="2"/>
      <c r="C424" s="2"/>
      <c r="D424" s="2"/>
      <c r="E424" s="183" t="s">
        <v>852</v>
      </c>
      <c r="F424" s="2"/>
      <c r="G424" s="2"/>
      <c r="H424" s="2"/>
      <c r="I424" s="183" t="s">
        <v>852</v>
      </c>
      <c r="J424" s="2"/>
      <c r="K424" s="2"/>
      <c r="L424" s="2"/>
      <c r="M424" s="183" t="s">
        <v>852</v>
      </c>
      <c r="N424" s="2"/>
      <c r="O424" s="2"/>
      <c r="P424" s="2"/>
      <c r="Q424" s="183" t="s">
        <v>852</v>
      </c>
      <c r="R424" s="183" t="s">
        <v>852</v>
      </c>
    </row>
    <row r="425" spans="1:18" ht="15.75" customHeight="1" x14ac:dyDescent="0.35">
      <c r="A425" s="6" t="s">
        <v>556</v>
      </c>
      <c r="B425" s="2"/>
      <c r="C425" s="2"/>
      <c r="D425" s="2"/>
      <c r="E425" s="183" t="s">
        <v>852</v>
      </c>
      <c r="F425" s="2"/>
      <c r="G425" s="2"/>
      <c r="H425" s="2"/>
      <c r="I425" s="183" t="s">
        <v>852</v>
      </c>
      <c r="J425" s="2"/>
      <c r="K425" s="2"/>
      <c r="L425" s="2"/>
      <c r="M425" s="183" t="s">
        <v>852</v>
      </c>
      <c r="N425" s="2"/>
      <c r="O425" s="2"/>
      <c r="P425" s="2"/>
      <c r="Q425" s="183" t="s">
        <v>852</v>
      </c>
      <c r="R425" s="183" t="s">
        <v>852</v>
      </c>
    </row>
    <row r="426" spans="1:18" ht="15.75" customHeight="1" x14ac:dyDescent="0.35">
      <c r="A426" s="6" t="s">
        <v>557</v>
      </c>
      <c r="B426" s="2"/>
      <c r="C426" s="2"/>
      <c r="D426" s="2"/>
      <c r="E426" s="183" t="s">
        <v>852</v>
      </c>
      <c r="F426" s="2"/>
      <c r="G426" s="2"/>
      <c r="H426" s="2"/>
      <c r="I426" s="183" t="s">
        <v>852</v>
      </c>
      <c r="J426" s="2"/>
      <c r="K426" s="2"/>
      <c r="L426" s="2"/>
      <c r="M426" s="183" t="s">
        <v>852</v>
      </c>
      <c r="N426" s="2"/>
      <c r="O426" s="2"/>
      <c r="P426" s="2"/>
      <c r="Q426" s="183" t="s">
        <v>852</v>
      </c>
      <c r="R426" s="183" t="s">
        <v>852</v>
      </c>
    </row>
    <row r="427" spans="1:18" ht="15.75" customHeight="1" x14ac:dyDescent="0.35">
      <c r="A427" s="6" t="s">
        <v>558</v>
      </c>
      <c r="B427" s="2"/>
      <c r="C427" s="2"/>
      <c r="D427" s="2"/>
      <c r="E427" s="183" t="s">
        <v>852</v>
      </c>
      <c r="F427" s="2"/>
      <c r="G427" s="2"/>
      <c r="H427" s="2"/>
      <c r="I427" s="183" t="s">
        <v>852</v>
      </c>
      <c r="J427" s="2"/>
      <c r="K427" s="2"/>
      <c r="L427" s="2"/>
      <c r="M427" s="183" t="s">
        <v>852</v>
      </c>
      <c r="N427" s="2"/>
      <c r="O427" s="2"/>
      <c r="P427" s="2"/>
      <c r="Q427" s="183" t="s">
        <v>852</v>
      </c>
      <c r="R427" s="183" t="s">
        <v>852</v>
      </c>
    </row>
    <row r="428" spans="1:18" ht="15.75" customHeight="1" x14ac:dyDescent="0.35">
      <c r="A428" s="9" t="s">
        <v>2102</v>
      </c>
      <c r="B428" s="2">
        <v>0</v>
      </c>
      <c r="C428" s="2">
        <v>0</v>
      </c>
      <c r="D428" s="2">
        <v>500</v>
      </c>
      <c r="E428" s="183">
        <f>SUM(B428:D428)</f>
        <v>500</v>
      </c>
      <c r="F428" s="2">
        <v>0</v>
      </c>
      <c r="G428" s="2">
        <v>0</v>
      </c>
      <c r="H428" s="2">
        <v>0</v>
      </c>
      <c r="I428" s="183">
        <f>SUM(F428:H428)</f>
        <v>0</v>
      </c>
      <c r="J428" s="2">
        <v>0</v>
      </c>
      <c r="K428" s="2">
        <v>0</v>
      </c>
      <c r="L428" s="2">
        <v>0</v>
      </c>
      <c r="M428" s="183">
        <f>SUM(J428:L428)</f>
        <v>0</v>
      </c>
      <c r="N428" s="2">
        <v>0</v>
      </c>
      <c r="O428" s="2">
        <v>0</v>
      </c>
      <c r="P428" s="2">
        <v>0</v>
      </c>
      <c r="Q428" s="183">
        <f>SUM(N428:P428)</f>
        <v>0</v>
      </c>
      <c r="R428" s="183">
        <f>+E428+I428+M428+Q428</f>
        <v>500</v>
      </c>
    </row>
    <row r="429" spans="1:18" ht="15.75" customHeight="1" x14ac:dyDescent="0.35">
      <c r="A429" s="9" t="s">
        <v>486</v>
      </c>
      <c r="B429" s="2">
        <v>0</v>
      </c>
      <c r="C429" s="2">
        <v>0</v>
      </c>
      <c r="D429" s="2">
        <v>0</v>
      </c>
      <c r="E429" s="183">
        <f>SUM(B429:D429)</f>
        <v>0</v>
      </c>
      <c r="F429" s="2">
        <v>0</v>
      </c>
      <c r="G429" s="2">
        <v>0</v>
      </c>
      <c r="H429" s="2">
        <v>38</v>
      </c>
      <c r="I429" s="183">
        <f>SUM(F429:H429)</f>
        <v>38</v>
      </c>
      <c r="J429" s="2">
        <v>1343</v>
      </c>
      <c r="K429" s="2">
        <v>1406</v>
      </c>
      <c r="L429" s="2">
        <v>213</v>
      </c>
      <c r="M429" s="183">
        <f>SUM(J429:L429)</f>
        <v>2962</v>
      </c>
      <c r="N429" s="2">
        <v>0</v>
      </c>
      <c r="O429" s="2">
        <v>0</v>
      </c>
      <c r="P429" s="2">
        <v>0</v>
      </c>
      <c r="Q429" s="183">
        <f>SUM(N429:P429)</f>
        <v>0</v>
      </c>
      <c r="R429" s="183">
        <f>+E429+I429+M429+Q429</f>
        <v>3000</v>
      </c>
    </row>
    <row r="430" spans="1:18" ht="15.75" customHeight="1" x14ac:dyDescent="0.35">
      <c r="A430" s="9" t="s">
        <v>1478</v>
      </c>
      <c r="B430" s="2">
        <v>0</v>
      </c>
      <c r="C430" s="2">
        <v>0</v>
      </c>
      <c r="D430" s="2">
        <v>72</v>
      </c>
      <c r="E430" s="183">
        <f>SUM(B430:D430)</f>
        <v>72</v>
      </c>
      <c r="F430" s="2">
        <v>0</v>
      </c>
      <c r="G430" s="2">
        <v>0</v>
      </c>
      <c r="H430" s="2">
        <v>0</v>
      </c>
      <c r="I430" s="183">
        <f>SUM(F430:H430)</f>
        <v>0</v>
      </c>
      <c r="J430" s="2">
        <v>0</v>
      </c>
      <c r="K430" s="2">
        <v>0</v>
      </c>
      <c r="L430" s="2">
        <v>0</v>
      </c>
      <c r="M430" s="183">
        <f>SUM(J430:L430)</f>
        <v>0</v>
      </c>
      <c r="N430" s="2">
        <v>0</v>
      </c>
      <c r="O430" s="2">
        <v>0</v>
      </c>
      <c r="P430" s="2">
        <v>0</v>
      </c>
      <c r="Q430" s="183">
        <f>SUM(N430:P430)</f>
        <v>0</v>
      </c>
      <c r="R430" s="183">
        <f>+E430+I430+M430+Q430</f>
        <v>72</v>
      </c>
    </row>
    <row r="431" spans="1:18" ht="15.75" customHeight="1" x14ac:dyDescent="0.35">
      <c r="A431" s="9" t="s">
        <v>1497</v>
      </c>
      <c r="B431" s="2">
        <v>0</v>
      </c>
      <c r="C431" s="2">
        <v>0</v>
      </c>
      <c r="D431" s="2">
        <v>0</v>
      </c>
      <c r="E431" s="183">
        <f>SUM(B431:D431)</f>
        <v>0</v>
      </c>
      <c r="F431" s="2">
        <v>0</v>
      </c>
      <c r="G431" s="2">
        <v>624</v>
      </c>
      <c r="H431" s="2">
        <v>1233</v>
      </c>
      <c r="I431" s="183">
        <f>SUM(F431:H431)</f>
        <v>1857</v>
      </c>
      <c r="J431" s="2">
        <v>0</v>
      </c>
      <c r="K431" s="2">
        <v>0</v>
      </c>
      <c r="L431" s="2">
        <v>0</v>
      </c>
      <c r="M431" s="183">
        <f>SUM(J431:L431)</f>
        <v>0</v>
      </c>
      <c r="N431" s="2">
        <v>0</v>
      </c>
      <c r="O431" s="2">
        <v>0</v>
      </c>
      <c r="P431" s="2">
        <v>0</v>
      </c>
      <c r="Q431" s="183">
        <f>SUM(N431:P431)</f>
        <v>0</v>
      </c>
      <c r="R431" s="183">
        <f>+E431+I431+M431+Q431</f>
        <v>1857</v>
      </c>
    </row>
    <row r="432" spans="1:18" ht="15.75" customHeight="1" x14ac:dyDescent="0.35">
      <c r="A432" s="6" t="s">
        <v>559</v>
      </c>
      <c r="B432" s="2"/>
      <c r="C432" s="2"/>
      <c r="D432" s="2"/>
      <c r="E432" s="183"/>
      <c r="F432" s="2"/>
      <c r="G432" s="2"/>
      <c r="H432" s="2"/>
      <c r="I432" s="183"/>
      <c r="J432" s="2"/>
      <c r="K432" s="2"/>
      <c r="L432" s="2"/>
      <c r="M432" s="183"/>
      <c r="N432" s="2"/>
      <c r="O432" s="2"/>
      <c r="P432" s="2"/>
      <c r="Q432" s="183"/>
      <c r="R432" s="183" t="s">
        <v>852</v>
      </c>
    </row>
    <row r="433" spans="1:18" ht="15.75" customHeight="1" x14ac:dyDescent="0.35">
      <c r="A433" s="9" t="s">
        <v>2194</v>
      </c>
      <c r="B433" s="2">
        <v>0</v>
      </c>
      <c r="C433" s="2">
        <v>0</v>
      </c>
      <c r="D433" s="2">
        <v>0</v>
      </c>
      <c r="E433" s="183">
        <f t="shared" ref="E433:E439" si="81">SUM(B433:D433)</f>
        <v>0</v>
      </c>
      <c r="F433" s="2">
        <v>0</v>
      </c>
      <c r="G433" s="2">
        <v>0</v>
      </c>
      <c r="H433" s="2">
        <v>0</v>
      </c>
      <c r="I433" s="183">
        <f t="shared" ref="I433:I439" si="82">SUM(F433:H433)</f>
        <v>0</v>
      </c>
      <c r="J433" s="2">
        <v>4217</v>
      </c>
      <c r="K433" s="2">
        <v>0</v>
      </c>
      <c r="L433" s="2">
        <v>0</v>
      </c>
      <c r="M433" s="183">
        <f t="shared" ref="M433:M439" si="83">SUM(J433:L433)</f>
        <v>4217</v>
      </c>
      <c r="N433" s="2">
        <v>0</v>
      </c>
      <c r="O433" s="2">
        <v>0</v>
      </c>
      <c r="P433" s="2">
        <v>0</v>
      </c>
      <c r="Q433" s="183">
        <f t="shared" ref="Q433:Q439" si="84">SUM(N433:P433)</f>
        <v>0</v>
      </c>
      <c r="R433" s="183">
        <f t="shared" ref="R433:R439" si="85">+E433+I433+M433+Q433</f>
        <v>4217</v>
      </c>
    </row>
    <row r="434" spans="1:18" ht="15.75" customHeight="1" x14ac:dyDescent="0.35">
      <c r="A434" s="9" t="s">
        <v>2233</v>
      </c>
      <c r="B434" s="2">
        <v>0</v>
      </c>
      <c r="C434" s="2">
        <v>0</v>
      </c>
      <c r="D434" s="2">
        <v>0</v>
      </c>
      <c r="E434" s="183">
        <f t="shared" si="81"/>
        <v>0</v>
      </c>
      <c r="F434" s="2">
        <v>0</v>
      </c>
      <c r="G434" s="2">
        <v>0</v>
      </c>
      <c r="H434" s="2">
        <v>0</v>
      </c>
      <c r="I434" s="183">
        <f t="shared" si="82"/>
        <v>0</v>
      </c>
      <c r="J434" s="2">
        <v>0</v>
      </c>
      <c r="K434" s="2">
        <v>0</v>
      </c>
      <c r="L434" s="2">
        <v>2645</v>
      </c>
      <c r="M434" s="183">
        <f t="shared" si="83"/>
        <v>2645</v>
      </c>
      <c r="N434" s="2">
        <v>0</v>
      </c>
      <c r="O434" s="2">
        <v>0</v>
      </c>
      <c r="P434" s="2">
        <v>0</v>
      </c>
      <c r="Q434" s="183">
        <f t="shared" si="84"/>
        <v>0</v>
      </c>
      <c r="R434" s="183">
        <f t="shared" si="85"/>
        <v>2645</v>
      </c>
    </row>
    <row r="435" spans="1:18" ht="15.75" customHeight="1" thickBot="1" x14ac:dyDescent="0.4">
      <c r="A435" s="9" t="s">
        <v>2300</v>
      </c>
      <c r="B435" s="2">
        <v>0</v>
      </c>
      <c r="C435" s="2">
        <v>0</v>
      </c>
      <c r="D435" s="2">
        <v>0</v>
      </c>
      <c r="E435" s="183">
        <f t="shared" si="81"/>
        <v>0</v>
      </c>
      <c r="F435" s="2">
        <v>0</v>
      </c>
      <c r="G435" s="2">
        <v>0</v>
      </c>
      <c r="H435" s="2">
        <v>0</v>
      </c>
      <c r="I435" s="183">
        <f t="shared" si="82"/>
        <v>0</v>
      </c>
      <c r="J435" s="2">
        <v>0</v>
      </c>
      <c r="K435" s="2">
        <v>0</v>
      </c>
      <c r="L435" s="2">
        <v>1326</v>
      </c>
      <c r="M435" s="183">
        <f t="shared" si="83"/>
        <v>1326</v>
      </c>
      <c r="N435" s="2">
        <v>521</v>
      </c>
      <c r="O435" s="2">
        <v>46</v>
      </c>
      <c r="P435" s="2">
        <v>0</v>
      </c>
      <c r="Q435" s="183">
        <f t="shared" si="84"/>
        <v>567</v>
      </c>
      <c r="R435" s="183">
        <f t="shared" si="85"/>
        <v>1893</v>
      </c>
    </row>
    <row r="436" spans="1:18" ht="15.75" customHeight="1" thickBot="1" x14ac:dyDescent="0.4">
      <c r="A436" s="41" t="s">
        <v>1019</v>
      </c>
      <c r="B436" s="184">
        <f>SUM(B427:B435)</f>
        <v>0</v>
      </c>
      <c r="C436" s="184">
        <f>SUM(C427:C435)</f>
        <v>0</v>
      </c>
      <c r="D436" s="184">
        <f>SUM(D427:D435)</f>
        <v>572</v>
      </c>
      <c r="E436" s="185">
        <f t="shared" si="81"/>
        <v>572</v>
      </c>
      <c r="F436" s="184">
        <f>SUM(F427:F435)</f>
        <v>0</v>
      </c>
      <c r="G436" s="184">
        <f>SUM(G427:G435)</f>
        <v>624</v>
      </c>
      <c r="H436" s="184">
        <f>SUM(H427:H435)</f>
        <v>1271</v>
      </c>
      <c r="I436" s="185">
        <f t="shared" si="82"/>
        <v>1895</v>
      </c>
      <c r="J436" s="184">
        <f>SUM(J427:J435)</f>
        <v>5560</v>
      </c>
      <c r="K436" s="184">
        <f>SUM(K427:K435)</f>
        <v>1406</v>
      </c>
      <c r="L436" s="184">
        <f>SUM(L427:L435)</f>
        <v>4184</v>
      </c>
      <c r="M436" s="185">
        <f t="shared" si="83"/>
        <v>11150</v>
      </c>
      <c r="N436" s="184">
        <f>SUM(N427:N435)</f>
        <v>521</v>
      </c>
      <c r="O436" s="184">
        <f>SUM(O427:O435)</f>
        <v>46</v>
      </c>
      <c r="P436" s="184">
        <f>SUM(P427:P435)</f>
        <v>0</v>
      </c>
      <c r="Q436" s="185">
        <f t="shared" si="84"/>
        <v>567</v>
      </c>
      <c r="R436" s="56">
        <f t="shared" si="85"/>
        <v>14184</v>
      </c>
    </row>
    <row r="437" spans="1:18" ht="15.75" customHeight="1" thickBot="1" x14ac:dyDescent="0.4">
      <c r="A437" s="57" t="s">
        <v>1221</v>
      </c>
      <c r="B437" s="188">
        <f>SUM(B424:B435)</f>
        <v>0</v>
      </c>
      <c r="C437" s="189">
        <f>SUM(C424:C435)</f>
        <v>0</v>
      </c>
      <c r="D437" s="191">
        <f>SUM(D424:D435)</f>
        <v>572</v>
      </c>
      <c r="E437" s="185">
        <f t="shared" si="81"/>
        <v>572</v>
      </c>
      <c r="F437" s="189">
        <f>SUM(F424:F435)</f>
        <v>0</v>
      </c>
      <c r="G437" s="189">
        <f>SUM(G424:G435)</f>
        <v>624</v>
      </c>
      <c r="H437" s="189">
        <f>SUM(H424:H435)</f>
        <v>1271</v>
      </c>
      <c r="I437" s="185">
        <f t="shared" si="82"/>
        <v>1895</v>
      </c>
      <c r="J437" s="189">
        <f>SUM(J424:J435)</f>
        <v>5560</v>
      </c>
      <c r="K437" s="189">
        <f>SUM(K424:K435)</f>
        <v>1406</v>
      </c>
      <c r="L437" s="189">
        <f>SUM(L424:L435)</f>
        <v>4184</v>
      </c>
      <c r="M437" s="185">
        <f t="shared" si="83"/>
        <v>11150</v>
      </c>
      <c r="N437" s="189">
        <f>SUM(N424:N435)</f>
        <v>521</v>
      </c>
      <c r="O437" s="189">
        <f>SUM(O424:O435)</f>
        <v>46</v>
      </c>
      <c r="P437" s="189">
        <f>SUM(P424:P435)</f>
        <v>0</v>
      </c>
      <c r="Q437" s="185">
        <f t="shared" si="84"/>
        <v>567</v>
      </c>
      <c r="R437" s="56">
        <f t="shared" si="85"/>
        <v>14184</v>
      </c>
    </row>
    <row r="438" spans="1:18" ht="15.75" customHeight="1" thickBot="1" x14ac:dyDescent="0.4">
      <c r="A438" s="41" t="s">
        <v>1222</v>
      </c>
      <c r="B438" s="190">
        <f>+B412+B419+B423+B437</f>
        <v>1525</v>
      </c>
      <c r="C438" s="184">
        <f>+C412+C419+C423+C437</f>
        <v>1821</v>
      </c>
      <c r="D438" s="184">
        <f>+D412+D419+D423+D437</f>
        <v>5410</v>
      </c>
      <c r="E438" s="56">
        <f t="shared" si="81"/>
        <v>8756</v>
      </c>
      <c r="F438" s="184">
        <f>+F412+F419+F423+F437</f>
        <v>6487</v>
      </c>
      <c r="G438" s="184">
        <f>+G412+G419+G423+G437</f>
        <v>4689</v>
      </c>
      <c r="H438" s="184">
        <f>+H412+H419+H423+H437</f>
        <v>6668</v>
      </c>
      <c r="I438" s="56">
        <f t="shared" si="82"/>
        <v>17844</v>
      </c>
      <c r="J438" s="184">
        <f>+J412+J419+J423+J437</f>
        <v>7685</v>
      </c>
      <c r="K438" s="184">
        <f>+K412+K419+K423+K437</f>
        <v>8052</v>
      </c>
      <c r="L438" s="184">
        <f>+L412+L419+L423+L437</f>
        <v>4482</v>
      </c>
      <c r="M438" s="56">
        <f t="shared" si="83"/>
        <v>20219</v>
      </c>
      <c r="N438" s="184">
        <f>+N412+N419+N423+N437</f>
        <v>1605</v>
      </c>
      <c r="O438" s="184">
        <f>+O412+O419+O423+O437</f>
        <v>212</v>
      </c>
      <c r="P438" s="184">
        <f>+P412+P419+P423+P437</f>
        <v>156</v>
      </c>
      <c r="Q438" s="56">
        <f t="shared" si="84"/>
        <v>1973</v>
      </c>
      <c r="R438" s="186">
        <f t="shared" si="85"/>
        <v>48792</v>
      </c>
    </row>
    <row r="439" spans="1:18" ht="15.75" customHeight="1" thickBot="1" x14ac:dyDescent="0.4">
      <c r="A439" s="474" t="s">
        <v>853</v>
      </c>
      <c r="B439" s="459">
        <v>23</v>
      </c>
      <c r="C439" s="459">
        <v>43</v>
      </c>
      <c r="D439" s="459">
        <v>66</v>
      </c>
      <c r="E439" s="186">
        <f t="shared" si="81"/>
        <v>132</v>
      </c>
      <c r="F439" s="459">
        <v>91</v>
      </c>
      <c r="G439" s="459">
        <v>108</v>
      </c>
      <c r="H439" s="459">
        <v>109</v>
      </c>
      <c r="I439" s="186">
        <f t="shared" si="82"/>
        <v>308</v>
      </c>
      <c r="J439" s="459">
        <v>104</v>
      </c>
      <c r="K439" s="459">
        <v>79</v>
      </c>
      <c r="L439" s="459">
        <v>80</v>
      </c>
      <c r="M439" s="186">
        <f t="shared" si="83"/>
        <v>263</v>
      </c>
      <c r="N439" s="459">
        <v>74</v>
      </c>
      <c r="O439" s="459">
        <v>58</v>
      </c>
      <c r="P439" s="459">
        <v>42</v>
      </c>
      <c r="Q439" s="186">
        <f t="shared" si="84"/>
        <v>174</v>
      </c>
      <c r="R439" s="183">
        <f t="shared" si="85"/>
        <v>877</v>
      </c>
    </row>
    <row r="440" spans="1:18" ht="15.75" customHeight="1" thickBot="1" x14ac:dyDescent="0.4">
      <c r="A440" s="12"/>
      <c r="B440" s="181"/>
      <c r="C440" s="181"/>
      <c r="D440" s="181"/>
      <c r="E440" s="476"/>
      <c r="F440" s="181"/>
      <c r="G440" s="181"/>
      <c r="H440" s="181"/>
      <c r="I440" s="525"/>
      <c r="J440" s="181"/>
      <c r="K440" s="181"/>
      <c r="L440" s="181"/>
      <c r="M440" s="525"/>
      <c r="N440" s="181"/>
      <c r="O440" s="181"/>
      <c r="P440" s="181"/>
      <c r="Q440" s="525"/>
      <c r="R440" s="476"/>
    </row>
    <row r="441" spans="1:18" ht="15.75" customHeight="1" x14ac:dyDescent="0.35">
      <c r="A441" s="6" t="s">
        <v>120</v>
      </c>
      <c r="B441" s="497">
        <f>SUM(B438:B439)</f>
        <v>1548</v>
      </c>
      <c r="C441" s="497">
        <f>SUM(C438:C439)</f>
        <v>1864</v>
      </c>
      <c r="D441" s="497">
        <f>SUM(D438:D439)</f>
        <v>5476</v>
      </c>
      <c r="E441" s="185">
        <f>SUM(B441:D441)</f>
        <v>8888</v>
      </c>
      <c r="F441" s="497">
        <f>SUM(F438:F439)</f>
        <v>6578</v>
      </c>
      <c r="G441" s="497">
        <f>SUM(G438:G439)</f>
        <v>4797</v>
      </c>
      <c r="H441" s="497">
        <f>SUM(H438:H439)</f>
        <v>6777</v>
      </c>
      <c r="I441" s="185">
        <f>SUM(F441:H441)</f>
        <v>18152</v>
      </c>
      <c r="J441" s="497">
        <f>SUM(J438:J439)</f>
        <v>7789</v>
      </c>
      <c r="K441" s="497">
        <f>SUM(K438:K439)</f>
        <v>8131</v>
      </c>
      <c r="L441" s="497">
        <f>SUM(L438:L439)</f>
        <v>4562</v>
      </c>
      <c r="M441" s="185">
        <f>SUM(J441:L441)</f>
        <v>20482</v>
      </c>
      <c r="N441" s="497">
        <f>SUM(N438:N439)</f>
        <v>1679</v>
      </c>
      <c r="O441" s="497">
        <f>SUM(O438:O439)</f>
        <v>270</v>
      </c>
      <c r="P441" s="497">
        <f>SUM(P438:P439)</f>
        <v>198</v>
      </c>
      <c r="Q441" s="185">
        <f>SUM(N441:P441)</f>
        <v>2147</v>
      </c>
      <c r="R441" s="185">
        <f>+E441+I441+M441+Q441</f>
        <v>49669</v>
      </c>
    </row>
    <row r="442" spans="1:18" ht="15.75" customHeight="1" x14ac:dyDescent="0.35">
      <c r="A442" s="6" t="s">
        <v>1897</v>
      </c>
      <c r="B442" s="2">
        <f>(B441/31)/1.983</f>
        <v>25.18178712605534</v>
      </c>
      <c r="C442" s="2">
        <f>(C441/28)/1.983</f>
        <v>33.571068366832357</v>
      </c>
      <c r="D442" s="2">
        <f>(D441/31)/1.983</f>
        <v>89.079758593203522</v>
      </c>
      <c r="E442" s="183" t="s">
        <v>852</v>
      </c>
      <c r="F442" s="2">
        <f>(F441/30)/1.983</f>
        <v>110.57320558076988</v>
      </c>
      <c r="G442" s="2">
        <f>(G441/31)/1.983</f>
        <v>78.034258942950558</v>
      </c>
      <c r="H442" s="2">
        <f>(H441/30)/1.983</f>
        <v>113.91830559757942</v>
      </c>
      <c r="I442" s="183" t="s">
        <v>852</v>
      </c>
      <c r="J442" s="2">
        <f>(J441/31)/1.983</f>
        <v>126.70603354318155</v>
      </c>
      <c r="K442" s="2">
        <f>(K441/31)/1.983</f>
        <v>132.26945162917053</v>
      </c>
      <c r="L442" s="2">
        <f>(L441/30)/1.983</f>
        <v>76.685157169272145</v>
      </c>
      <c r="M442" s="183" t="s">
        <v>852</v>
      </c>
      <c r="N442" s="2">
        <f>(N441/31)/1.983</f>
        <v>27.312803995249947</v>
      </c>
      <c r="O442" s="2">
        <f>(O441/30)/1.983</f>
        <v>4.5385779122541603</v>
      </c>
      <c r="P442" s="2">
        <f>(P441/31)/1.983</f>
        <v>3.2209262603094038</v>
      </c>
      <c r="Q442" s="183" t="s">
        <v>852</v>
      </c>
      <c r="R442" s="183" t="s">
        <v>852</v>
      </c>
    </row>
    <row r="443" spans="1:18" ht="15.75" customHeight="1" x14ac:dyDescent="0.35">
      <c r="A443" s="6" t="s">
        <v>1433</v>
      </c>
      <c r="B443" s="2">
        <f>B441+B494</f>
        <v>22071</v>
      </c>
      <c r="C443" s="2">
        <f>C441+C494</f>
        <v>8109</v>
      </c>
      <c r="D443" s="2">
        <f>D441+D494</f>
        <v>12622</v>
      </c>
      <c r="E443" s="183">
        <f>SUM(B443:D443)</f>
        <v>42802</v>
      </c>
      <c r="F443" s="2">
        <f>F441+F494</f>
        <v>23514</v>
      </c>
      <c r="G443" s="2">
        <f>G441+G494</f>
        <v>21861</v>
      </c>
      <c r="H443" s="2">
        <f>H441+H494</f>
        <v>25601</v>
      </c>
      <c r="I443" s="183">
        <f>SUM(F443:H443)</f>
        <v>70976</v>
      </c>
      <c r="J443" s="2">
        <f>J441+J494</f>
        <v>35391</v>
      </c>
      <c r="K443" s="2">
        <f>K441+K494</f>
        <v>36687</v>
      </c>
      <c r="L443" s="2">
        <f>L441+L494</f>
        <v>28281</v>
      </c>
      <c r="M443" s="183">
        <f>SUM(J443:L443)</f>
        <v>100359</v>
      </c>
      <c r="N443" s="2">
        <f>N441+N494</f>
        <v>22135</v>
      </c>
      <c r="O443" s="2">
        <f>O441+O494</f>
        <v>6263</v>
      </c>
      <c r="P443" s="2">
        <f>P441+P494</f>
        <v>22204</v>
      </c>
      <c r="Q443" s="183">
        <f>SUM(N443:P443)</f>
        <v>50602</v>
      </c>
      <c r="R443" s="183">
        <f>+E443+I443+M443+Q443</f>
        <v>264739</v>
      </c>
    </row>
    <row r="444" spans="1:18" ht="15.75" customHeight="1" thickBot="1" x14ac:dyDescent="0.4">
      <c r="A444" s="458" t="s">
        <v>426</v>
      </c>
      <c r="B444" s="467">
        <f>(B443/31)/1.983</f>
        <v>359.03567419842858</v>
      </c>
      <c r="C444" s="467">
        <f>(C443/28)/1.983</f>
        <v>146.04495353360707</v>
      </c>
      <c r="D444" s="467">
        <f>(D443/31)/1.983</f>
        <v>205.32591544255203</v>
      </c>
      <c r="E444" s="186" t="s">
        <v>852</v>
      </c>
      <c r="F444" s="467">
        <f>(F443/30)/1.983</f>
        <v>395.25970751386785</v>
      </c>
      <c r="G444" s="467">
        <f>(G443/31)/1.983</f>
        <v>355.61954028597921</v>
      </c>
      <c r="H444" s="467">
        <f>(H443/30)/1.983</f>
        <v>430.3412338208102</v>
      </c>
      <c r="I444" s="186" t="s">
        <v>852</v>
      </c>
      <c r="J444" s="467">
        <f>(J443/31)/1.983</f>
        <v>575.71616807378848</v>
      </c>
      <c r="K444" s="467">
        <f>(K443/31)/1.983</f>
        <v>596.7985945049046</v>
      </c>
      <c r="L444" s="467">
        <f>(L443/30)/1.983</f>
        <v>475.39082198688857</v>
      </c>
      <c r="M444" s="186" t="s">
        <v>852</v>
      </c>
      <c r="N444" s="467">
        <f>(N443/31)/1.983</f>
        <v>360.07678167650835</v>
      </c>
      <c r="O444" s="467">
        <f>(O443/30)/1.983</f>
        <v>105.27819801647335</v>
      </c>
      <c r="P444" s="467">
        <f>(P443/31)/1.983</f>
        <v>361.19922567631318</v>
      </c>
      <c r="Q444" s="186" t="s">
        <v>852</v>
      </c>
      <c r="R444" s="186" t="s">
        <v>852</v>
      </c>
    </row>
    <row r="445" spans="1:18" ht="15.75" customHeight="1" x14ac:dyDescent="0.35">
      <c r="A445" s="187"/>
      <c r="B445" s="2"/>
      <c r="C445" s="2"/>
      <c r="D445" s="2"/>
      <c r="E445" s="2"/>
      <c r="F445" s="2"/>
      <c r="G445" s="2"/>
      <c r="H445" s="2"/>
      <c r="I445" s="2"/>
      <c r="J445" s="2"/>
      <c r="K445" s="2"/>
      <c r="L445" s="2"/>
      <c r="M445" s="2"/>
      <c r="N445" s="2"/>
      <c r="O445" s="2"/>
      <c r="P445" s="2"/>
      <c r="Q445" s="2"/>
      <c r="R445" s="187"/>
    </row>
    <row r="446" spans="1:18" ht="15.75" customHeight="1" thickBot="1" x14ac:dyDescent="0.4">
      <c r="A446" s="187"/>
      <c r="B446" s="2"/>
      <c r="C446" s="2"/>
      <c r="D446" s="2"/>
      <c r="E446" s="2"/>
      <c r="F446" s="2"/>
      <c r="G446" s="2"/>
      <c r="H446" s="2"/>
      <c r="I446" s="2"/>
      <c r="J446" s="2"/>
      <c r="K446" s="2"/>
      <c r="L446" s="2"/>
      <c r="M446" s="2"/>
      <c r="N446" s="2"/>
      <c r="O446" s="2"/>
      <c r="P446" s="2"/>
      <c r="Q446" s="2"/>
      <c r="R446" s="187"/>
    </row>
    <row r="447" spans="1:18" ht="15.75" customHeight="1" thickBot="1" x14ac:dyDescent="0.4">
      <c r="A447" s="7" t="s">
        <v>1069</v>
      </c>
      <c r="B447" s="179" t="s">
        <v>2090</v>
      </c>
      <c r="C447" s="180" t="s">
        <v>2091</v>
      </c>
      <c r="D447" s="180" t="s">
        <v>2234</v>
      </c>
      <c r="E447" s="175" t="s">
        <v>1594</v>
      </c>
      <c r="F447" s="180" t="s">
        <v>2235</v>
      </c>
      <c r="G447" s="180" t="s">
        <v>2236</v>
      </c>
      <c r="H447" s="180" t="s">
        <v>2237</v>
      </c>
      <c r="I447" s="64" t="s">
        <v>1595</v>
      </c>
      <c r="J447" s="180" t="s">
        <v>1504</v>
      </c>
      <c r="K447" s="180" t="s">
        <v>1505</v>
      </c>
      <c r="L447" s="180" t="s">
        <v>1506</v>
      </c>
      <c r="M447" s="64" t="s">
        <v>1596</v>
      </c>
      <c r="N447" s="180" t="s">
        <v>1507</v>
      </c>
      <c r="O447" s="180" t="s">
        <v>1508</v>
      </c>
      <c r="P447" s="180" t="s">
        <v>1509</v>
      </c>
      <c r="Q447" s="64" t="s">
        <v>1597</v>
      </c>
      <c r="R447" s="471" t="s">
        <v>1510</v>
      </c>
    </row>
    <row r="448" spans="1:18" ht="15.75" customHeight="1" thickBot="1" x14ac:dyDescent="0.4">
      <c r="A448" s="56"/>
      <c r="B448" s="495"/>
      <c r="C448" s="495"/>
      <c r="D448" s="495"/>
      <c r="E448" s="491"/>
      <c r="F448" s="495"/>
      <c r="G448" s="495"/>
      <c r="H448" s="495"/>
      <c r="I448" s="501"/>
      <c r="J448" s="495"/>
      <c r="K448" s="495"/>
      <c r="L448" s="495"/>
      <c r="M448" s="501"/>
      <c r="N448" s="495"/>
      <c r="O448" s="495"/>
      <c r="P448" s="495"/>
      <c r="Q448" s="501"/>
      <c r="R448" s="515"/>
    </row>
    <row r="449" spans="1:18" ht="15.75" customHeight="1" x14ac:dyDescent="0.35">
      <c r="A449" s="6" t="s">
        <v>2417</v>
      </c>
      <c r="B449" s="2" t="s">
        <v>852</v>
      </c>
      <c r="C449" s="2" t="s">
        <v>852</v>
      </c>
      <c r="D449" s="2" t="s">
        <v>852</v>
      </c>
      <c r="E449" s="183" t="s">
        <v>852</v>
      </c>
      <c r="F449" s="2" t="s">
        <v>852</v>
      </c>
      <c r="G449" s="2" t="s">
        <v>852</v>
      </c>
      <c r="H449" s="2" t="s">
        <v>852</v>
      </c>
      <c r="I449" s="183" t="s">
        <v>852</v>
      </c>
      <c r="J449" s="2" t="s">
        <v>852</v>
      </c>
      <c r="K449" s="2" t="s">
        <v>852</v>
      </c>
      <c r="L449" s="2" t="s">
        <v>852</v>
      </c>
      <c r="M449" s="183" t="s">
        <v>852</v>
      </c>
      <c r="N449" s="2" t="s">
        <v>852</v>
      </c>
      <c r="O449" s="2" t="s">
        <v>852</v>
      </c>
      <c r="P449" s="2" t="s">
        <v>852</v>
      </c>
      <c r="Q449" s="183" t="s">
        <v>852</v>
      </c>
      <c r="R449" s="183" t="s">
        <v>852</v>
      </c>
    </row>
    <row r="450" spans="1:18" ht="15.75" customHeight="1" x14ac:dyDescent="0.35">
      <c r="A450" s="6" t="s">
        <v>2160</v>
      </c>
      <c r="B450" s="2"/>
      <c r="C450" s="2"/>
      <c r="D450" s="2"/>
      <c r="E450" s="183" t="s">
        <v>852</v>
      </c>
      <c r="F450" s="2"/>
      <c r="G450" s="2"/>
      <c r="H450" s="2"/>
      <c r="I450" s="183" t="s">
        <v>852</v>
      </c>
      <c r="J450" s="2"/>
      <c r="K450" s="2"/>
      <c r="L450" s="2"/>
      <c r="M450" s="183" t="s">
        <v>852</v>
      </c>
      <c r="N450" s="2"/>
      <c r="O450" s="2"/>
      <c r="P450" s="2"/>
      <c r="Q450" s="183" t="s">
        <v>852</v>
      </c>
      <c r="R450" s="183" t="s">
        <v>852</v>
      </c>
    </row>
    <row r="451" spans="1:18" ht="15.75" customHeight="1" x14ac:dyDescent="0.35">
      <c r="A451" s="9" t="s">
        <v>1836</v>
      </c>
      <c r="B451" s="2">
        <v>0</v>
      </c>
      <c r="C451" s="2">
        <v>0</v>
      </c>
      <c r="D451" s="2">
        <v>0</v>
      </c>
      <c r="E451" s="183">
        <f t="shared" ref="E451:E456" si="86">SUM(B451:D451)</f>
        <v>0</v>
      </c>
      <c r="F451" s="2">
        <v>0</v>
      </c>
      <c r="G451" s="2">
        <v>700</v>
      </c>
      <c r="H451" s="2">
        <v>700</v>
      </c>
      <c r="I451" s="183">
        <f t="shared" ref="I451:I456" si="87">SUM(F451:H451)</f>
        <v>1400</v>
      </c>
      <c r="J451" s="2">
        <v>0</v>
      </c>
      <c r="K451" s="2">
        <v>0</v>
      </c>
      <c r="L451" s="2">
        <v>0</v>
      </c>
      <c r="M451" s="183">
        <f t="shared" ref="M451:M456" si="88">SUM(J451:L451)</f>
        <v>0</v>
      </c>
      <c r="N451" s="2">
        <v>0</v>
      </c>
      <c r="O451" s="2">
        <v>0</v>
      </c>
      <c r="P451" s="2">
        <v>0</v>
      </c>
      <c r="Q451" s="183">
        <f t="shared" ref="Q451:Q456" si="89">SUM(N451:P451)</f>
        <v>0</v>
      </c>
      <c r="R451" s="183">
        <f t="shared" ref="R451:R456" si="90">+E451+I451+M451+Q451</f>
        <v>1400</v>
      </c>
    </row>
    <row r="452" spans="1:18" ht="15.75" customHeight="1" x14ac:dyDescent="0.35">
      <c r="A452" s="9" t="s">
        <v>1295</v>
      </c>
      <c r="B452" s="2">
        <v>0</v>
      </c>
      <c r="C452" s="2">
        <v>0</v>
      </c>
      <c r="D452" s="2">
        <v>0</v>
      </c>
      <c r="E452" s="183">
        <f>SUM(B452:D452)</f>
        <v>0</v>
      </c>
      <c r="F452" s="2">
        <v>0</v>
      </c>
      <c r="G452" s="2">
        <v>799</v>
      </c>
      <c r="H452" s="2">
        <v>729</v>
      </c>
      <c r="I452" s="183">
        <f>SUM(F452:H452)</f>
        <v>1528</v>
      </c>
      <c r="J452" s="2">
        <v>0</v>
      </c>
      <c r="K452" s="2">
        <v>0</v>
      </c>
      <c r="L452" s="2">
        <v>0</v>
      </c>
      <c r="M452" s="183">
        <f>SUM(J452:L452)</f>
        <v>0</v>
      </c>
      <c r="N452" s="2">
        <v>0</v>
      </c>
      <c r="O452" s="2">
        <v>0</v>
      </c>
      <c r="P452" s="2">
        <v>0</v>
      </c>
      <c r="Q452" s="183">
        <f>SUM(N452:P452)</f>
        <v>0</v>
      </c>
      <c r="R452" s="183">
        <f>+E452+I452+M452+Q452</f>
        <v>1528</v>
      </c>
    </row>
    <row r="453" spans="1:18" ht="15.75" customHeight="1" x14ac:dyDescent="0.35">
      <c r="A453" s="9" t="s">
        <v>639</v>
      </c>
      <c r="B453" s="2">
        <v>0</v>
      </c>
      <c r="C453" s="2">
        <v>0</v>
      </c>
      <c r="D453" s="2">
        <v>363</v>
      </c>
      <c r="E453" s="183">
        <f t="shared" si="86"/>
        <v>363</v>
      </c>
      <c r="F453" s="2">
        <v>137</v>
      </c>
      <c r="G453" s="2">
        <v>0</v>
      </c>
      <c r="H453" s="2">
        <v>0</v>
      </c>
      <c r="I453" s="183">
        <f t="shared" si="87"/>
        <v>137</v>
      </c>
      <c r="J453" s="2">
        <v>0</v>
      </c>
      <c r="K453" s="2">
        <v>0</v>
      </c>
      <c r="L453" s="2">
        <v>0</v>
      </c>
      <c r="M453" s="183">
        <f t="shared" si="88"/>
        <v>0</v>
      </c>
      <c r="N453" s="2">
        <v>0</v>
      </c>
      <c r="O453" s="2">
        <v>0</v>
      </c>
      <c r="P453" s="2">
        <v>0</v>
      </c>
      <c r="Q453" s="183">
        <f t="shared" si="89"/>
        <v>0</v>
      </c>
      <c r="R453" s="183">
        <f t="shared" si="90"/>
        <v>500</v>
      </c>
    </row>
    <row r="454" spans="1:18" ht="15.75" customHeight="1" x14ac:dyDescent="0.35">
      <c r="A454" s="9" t="s">
        <v>1185</v>
      </c>
      <c r="B454" s="2">
        <v>251</v>
      </c>
      <c r="C454" s="2">
        <v>239</v>
      </c>
      <c r="D454" s="2">
        <v>827</v>
      </c>
      <c r="E454" s="183">
        <f>SUM(B454:D454)</f>
        <v>1317</v>
      </c>
      <c r="F454" s="2">
        <v>2330</v>
      </c>
      <c r="G454" s="2">
        <v>553</v>
      </c>
      <c r="H454" s="2">
        <v>816</v>
      </c>
      <c r="I454" s="183">
        <f>SUM(F454:H454)</f>
        <v>3699</v>
      </c>
      <c r="J454" s="2">
        <v>2109</v>
      </c>
      <c r="K454" s="2">
        <v>805</v>
      </c>
      <c r="L454" s="2">
        <v>0</v>
      </c>
      <c r="M454" s="183">
        <f>SUM(J454:L454)</f>
        <v>2914</v>
      </c>
      <c r="N454" s="2">
        <v>0</v>
      </c>
      <c r="O454" s="2">
        <v>0</v>
      </c>
      <c r="P454" s="2">
        <v>0</v>
      </c>
      <c r="Q454" s="183">
        <f>SUM(N454:P454)</f>
        <v>0</v>
      </c>
      <c r="R454" s="183">
        <f>+E454+I454+M454+Q454</f>
        <v>7930</v>
      </c>
    </row>
    <row r="455" spans="1:18" ht="15.75" customHeight="1" x14ac:dyDescent="0.35">
      <c r="A455" s="9" t="s">
        <v>484</v>
      </c>
      <c r="B455" s="2">
        <v>500</v>
      </c>
      <c r="C455" s="2">
        <v>0</v>
      </c>
      <c r="D455" s="2">
        <v>0</v>
      </c>
      <c r="E455" s="183">
        <f t="shared" si="86"/>
        <v>500</v>
      </c>
      <c r="F455" s="2">
        <v>0</v>
      </c>
      <c r="G455" s="2">
        <v>0</v>
      </c>
      <c r="H455" s="2">
        <v>0</v>
      </c>
      <c r="I455" s="183">
        <f t="shared" si="87"/>
        <v>0</v>
      </c>
      <c r="J455" s="2">
        <v>0</v>
      </c>
      <c r="K455" s="2">
        <v>0</v>
      </c>
      <c r="L455" s="2">
        <v>0</v>
      </c>
      <c r="M455" s="183">
        <f t="shared" si="88"/>
        <v>0</v>
      </c>
      <c r="N455" s="2">
        <v>0</v>
      </c>
      <c r="O455" s="2">
        <v>0</v>
      </c>
      <c r="P455" s="2">
        <v>0</v>
      </c>
      <c r="Q455" s="183">
        <f t="shared" si="89"/>
        <v>0</v>
      </c>
      <c r="R455" s="183">
        <f t="shared" si="90"/>
        <v>500</v>
      </c>
    </row>
    <row r="456" spans="1:18" ht="15.75" customHeight="1" x14ac:dyDescent="0.35">
      <c r="A456" s="9" t="s">
        <v>1418</v>
      </c>
      <c r="B456" s="2">
        <v>0</v>
      </c>
      <c r="C456" s="2">
        <v>0</v>
      </c>
      <c r="D456" s="2">
        <v>0</v>
      </c>
      <c r="E456" s="183">
        <f t="shared" si="86"/>
        <v>0</v>
      </c>
      <c r="F456" s="2">
        <v>1396</v>
      </c>
      <c r="G456" s="2">
        <v>957</v>
      </c>
      <c r="H456" s="2">
        <v>1163</v>
      </c>
      <c r="I456" s="183">
        <f t="shared" si="87"/>
        <v>3516</v>
      </c>
      <c r="J456" s="2">
        <v>1787</v>
      </c>
      <c r="K456" s="2">
        <v>1590</v>
      </c>
      <c r="L456" s="2">
        <v>378</v>
      </c>
      <c r="M456" s="183">
        <f t="shared" si="88"/>
        <v>3755</v>
      </c>
      <c r="N456" s="2">
        <v>169</v>
      </c>
      <c r="O456" s="2">
        <v>226</v>
      </c>
      <c r="P456" s="2">
        <v>0</v>
      </c>
      <c r="Q456" s="183">
        <f t="shared" si="89"/>
        <v>395</v>
      </c>
      <c r="R456" s="183">
        <f t="shared" si="90"/>
        <v>7666</v>
      </c>
    </row>
    <row r="457" spans="1:18" ht="15.75" customHeight="1" x14ac:dyDescent="0.35">
      <c r="A457" s="6" t="s">
        <v>2161</v>
      </c>
      <c r="B457" s="2"/>
      <c r="C457" s="2"/>
      <c r="D457" s="2"/>
      <c r="E457" s="183" t="s">
        <v>852</v>
      </c>
      <c r="F457" s="2"/>
      <c r="G457" s="2"/>
      <c r="H457" s="2"/>
      <c r="I457" s="183" t="s">
        <v>852</v>
      </c>
      <c r="J457" s="2"/>
      <c r="K457" s="2"/>
      <c r="L457" s="2"/>
      <c r="M457" s="183" t="s">
        <v>852</v>
      </c>
      <c r="N457" s="2"/>
      <c r="O457" s="2"/>
      <c r="P457" s="2"/>
      <c r="Q457" s="183" t="s">
        <v>852</v>
      </c>
      <c r="R457" s="183" t="s">
        <v>852</v>
      </c>
    </row>
    <row r="458" spans="1:18" ht="15.75" customHeight="1" x14ac:dyDescent="0.35">
      <c r="A458" s="9" t="s">
        <v>1295</v>
      </c>
      <c r="B458" s="2">
        <v>0</v>
      </c>
      <c r="C458" s="2">
        <v>0</v>
      </c>
      <c r="D458" s="2">
        <v>0</v>
      </c>
      <c r="E458" s="183">
        <f>SUM(B458:D458)</f>
        <v>0</v>
      </c>
      <c r="F458" s="2">
        <v>0</v>
      </c>
      <c r="G458" s="2">
        <v>0</v>
      </c>
      <c r="H458" s="2">
        <v>0</v>
      </c>
      <c r="I458" s="183">
        <f>SUM(F458:H458)</f>
        <v>0</v>
      </c>
      <c r="J458" s="2">
        <v>0</v>
      </c>
      <c r="K458" s="2">
        <v>0</v>
      </c>
      <c r="L458" s="2">
        <v>0</v>
      </c>
      <c r="M458" s="183">
        <f>SUM(J458:L458)</f>
        <v>0</v>
      </c>
      <c r="N458" s="2">
        <v>0</v>
      </c>
      <c r="O458" s="2">
        <v>0</v>
      </c>
      <c r="P458" s="2">
        <v>0</v>
      </c>
      <c r="Q458" s="183">
        <f>SUM(N458:P458)</f>
        <v>0</v>
      </c>
      <c r="R458" s="183">
        <f>+E458+I458+M458+Q458</f>
        <v>0</v>
      </c>
    </row>
    <row r="459" spans="1:18" ht="15.75" customHeight="1" x14ac:dyDescent="0.35">
      <c r="A459" s="6" t="s">
        <v>2162</v>
      </c>
      <c r="B459" s="2"/>
      <c r="C459" s="2"/>
      <c r="D459" s="2"/>
      <c r="E459" s="183" t="s">
        <v>852</v>
      </c>
      <c r="F459" s="2"/>
      <c r="G459" s="2"/>
      <c r="H459" s="2"/>
      <c r="I459" s="183" t="s">
        <v>852</v>
      </c>
      <c r="J459" s="2"/>
      <c r="K459" s="2"/>
      <c r="L459" s="2"/>
      <c r="M459" s="183" t="s">
        <v>852</v>
      </c>
      <c r="N459" s="2"/>
      <c r="O459" s="2"/>
      <c r="P459" s="2"/>
      <c r="Q459" s="183" t="s">
        <v>852</v>
      </c>
      <c r="R459" s="183" t="s">
        <v>852</v>
      </c>
    </row>
    <row r="460" spans="1:18" ht="15.75" customHeight="1" x14ac:dyDescent="0.35">
      <c r="A460" s="6" t="s">
        <v>2350</v>
      </c>
      <c r="B460" s="2">
        <v>0</v>
      </c>
      <c r="C460" s="2">
        <v>0</v>
      </c>
      <c r="D460" s="2">
        <v>0</v>
      </c>
      <c r="E460" s="183">
        <f>SUM(B460:D460)</f>
        <v>0</v>
      </c>
      <c r="F460" s="2">
        <v>0</v>
      </c>
      <c r="G460" s="2">
        <v>0</v>
      </c>
      <c r="H460" s="2">
        <v>0</v>
      </c>
      <c r="I460" s="183">
        <f>SUM(F460:H460)</f>
        <v>0</v>
      </c>
      <c r="J460" s="2">
        <v>0</v>
      </c>
      <c r="K460" s="2">
        <v>0</v>
      </c>
      <c r="L460" s="2">
        <v>0</v>
      </c>
      <c r="M460" s="183">
        <f>SUM(J460:L460)</f>
        <v>0</v>
      </c>
      <c r="N460" s="2">
        <v>0</v>
      </c>
      <c r="O460" s="2">
        <v>0</v>
      </c>
      <c r="P460" s="2">
        <v>0</v>
      </c>
      <c r="Q460" s="183">
        <f>SUM(N460:P460)</f>
        <v>0</v>
      </c>
      <c r="R460" s="183">
        <f>+E460+I460+M460+Q460</f>
        <v>0</v>
      </c>
    </row>
    <row r="461" spans="1:18" ht="15.75" customHeight="1" thickBot="1" x14ac:dyDescent="0.4">
      <c r="A461" s="6" t="s">
        <v>2164</v>
      </c>
      <c r="B461" s="2"/>
      <c r="C461" s="2"/>
      <c r="D461" s="2"/>
      <c r="E461" s="183" t="s">
        <v>852</v>
      </c>
      <c r="F461" s="2"/>
      <c r="G461" s="2"/>
      <c r="H461" s="2"/>
      <c r="I461" s="183" t="s">
        <v>852</v>
      </c>
      <c r="J461" s="2"/>
      <c r="K461" s="2"/>
      <c r="L461" s="2"/>
      <c r="M461" s="183" t="s">
        <v>852</v>
      </c>
      <c r="N461" s="2"/>
      <c r="O461" s="2"/>
      <c r="P461" s="2"/>
      <c r="Q461" s="183" t="s">
        <v>852</v>
      </c>
      <c r="R461" s="183" t="s">
        <v>852</v>
      </c>
    </row>
    <row r="462" spans="1:18" ht="15.75" customHeight="1" thickBot="1" x14ac:dyDescent="0.4">
      <c r="A462" s="523" t="s">
        <v>1218</v>
      </c>
      <c r="B462" s="188">
        <f>SUM(B449:B461)</f>
        <v>751</v>
      </c>
      <c r="C462" s="189">
        <f>SUM(C449:C461)</f>
        <v>239</v>
      </c>
      <c r="D462" s="189">
        <f>SUM(D449:D461)</f>
        <v>1190</v>
      </c>
      <c r="E462" s="56">
        <f>SUM(B462:D462)</f>
        <v>2180</v>
      </c>
      <c r="F462" s="189">
        <f>SUM(F449:F461)</f>
        <v>3863</v>
      </c>
      <c r="G462" s="189">
        <f>SUM(G449:G461)</f>
        <v>3009</v>
      </c>
      <c r="H462" s="189">
        <f>SUM(H449:H461)</f>
        <v>3408</v>
      </c>
      <c r="I462" s="56">
        <f>SUM(F462:H462)</f>
        <v>10280</v>
      </c>
      <c r="J462" s="189">
        <f>SUM(J449:J461)</f>
        <v>3896</v>
      </c>
      <c r="K462" s="189">
        <f>SUM(K449:K461)</f>
        <v>2395</v>
      </c>
      <c r="L462" s="189">
        <f>SUM(L449:L461)</f>
        <v>378</v>
      </c>
      <c r="M462" s="56">
        <f>SUM(J462:L462)</f>
        <v>6669</v>
      </c>
      <c r="N462" s="189">
        <f>SUM(N449:N461)</f>
        <v>169</v>
      </c>
      <c r="O462" s="189">
        <f>SUM(O449:O461)</f>
        <v>226</v>
      </c>
      <c r="P462" s="189">
        <f>SUM(P449:P461)</f>
        <v>0</v>
      </c>
      <c r="Q462" s="56">
        <f>SUM(N462:P462)</f>
        <v>395</v>
      </c>
      <c r="R462" s="56">
        <f>+E462+I462+M462+Q462</f>
        <v>19524</v>
      </c>
    </row>
    <row r="463" spans="1:18" ht="15.75" customHeight="1" x14ac:dyDescent="0.35">
      <c r="A463" s="6" t="s">
        <v>1172</v>
      </c>
      <c r="B463" s="2"/>
      <c r="C463" s="2"/>
      <c r="D463" s="2"/>
      <c r="E463" s="183" t="s">
        <v>852</v>
      </c>
      <c r="F463" s="2"/>
      <c r="G463" s="2"/>
      <c r="H463" s="2"/>
      <c r="I463" s="183" t="s">
        <v>852</v>
      </c>
      <c r="J463" s="2"/>
      <c r="K463" s="2"/>
      <c r="L463" s="2"/>
      <c r="M463" s="183" t="s">
        <v>852</v>
      </c>
      <c r="N463" s="2"/>
      <c r="O463" s="2"/>
      <c r="P463" s="2"/>
      <c r="Q463" s="183" t="s">
        <v>852</v>
      </c>
      <c r="R463" s="183" t="s">
        <v>852</v>
      </c>
    </row>
    <row r="464" spans="1:18" ht="15.75" customHeight="1" x14ac:dyDescent="0.35">
      <c r="A464" s="6" t="s">
        <v>2409</v>
      </c>
      <c r="B464" s="2"/>
      <c r="C464" s="2"/>
      <c r="D464" s="2"/>
      <c r="E464" s="183" t="s">
        <v>852</v>
      </c>
      <c r="F464" s="2"/>
      <c r="G464" s="2"/>
      <c r="H464" s="2"/>
      <c r="I464" s="183" t="s">
        <v>852</v>
      </c>
      <c r="J464" s="2"/>
      <c r="K464" s="2"/>
      <c r="L464" s="2"/>
      <c r="M464" s="183" t="s">
        <v>852</v>
      </c>
      <c r="N464" s="2"/>
      <c r="O464" s="2"/>
      <c r="P464" s="2"/>
      <c r="Q464" s="183" t="s">
        <v>852</v>
      </c>
      <c r="R464" s="183" t="s">
        <v>852</v>
      </c>
    </row>
    <row r="465" spans="1:18" ht="15.75" customHeight="1" x14ac:dyDescent="0.35">
      <c r="A465" s="9" t="s">
        <v>2478</v>
      </c>
      <c r="B465" s="2">
        <v>472</v>
      </c>
      <c r="C465" s="2">
        <v>367</v>
      </c>
      <c r="D465" s="2">
        <v>796</v>
      </c>
      <c r="E465" s="183">
        <f>SUM(B465:D465)</f>
        <v>1635</v>
      </c>
      <c r="F465" s="2">
        <v>0</v>
      </c>
      <c r="G465" s="2">
        <v>0</v>
      </c>
      <c r="H465" s="2">
        <v>0</v>
      </c>
      <c r="I465" s="183">
        <f>SUM(F465:H465)</f>
        <v>0</v>
      </c>
      <c r="J465" s="2">
        <v>0</v>
      </c>
      <c r="K465" s="2">
        <v>0</v>
      </c>
      <c r="L465" s="2">
        <v>0</v>
      </c>
      <c r="M465" s="183">
        <f>SUM(J465:L465)</f>
        <v>0</v>
      </c>
      <c r="N465" s="2">
        <v>0</v>
      </c>
      <c r="O465" s="2">
        <v>0</v>
      </c>
      <c r="P465" s="2">
        <v>0</v>
      </c>
      <c r="Q465" s="183">
        <f>SUM(N465:P465)</f>
        <v>0</v>
      </c>
      <c r="R465" s="183">
        <f>+E465+I465+M465+Q465</f>
        <v>1635</v>
      </c>
    </row>
    <row r="466" spans="1:18" ht="15.75" customHeight="1" thickBot="1" x14ac:dyDescent="0.4">
      <c r="A466" s="6" t="s">
        <v>2165</v>
      </c>
      <c r="B466" s="2"/>
      <c r="C466" s="2"/>
      <c r="D466" s="2"/>
      <c r="E466" s="183" t="s">
        <v>852</v>
      </c>
      <c r="F466" s="2"/>
      <c r="G466" s="2"/>
      <c r="H466" s="2"/>
      <c r="I466" s="183" t="s">
        <v>852</v>
      </c>
      <c r="J466" s="2"/>
      <c r="K466" s="2"/>
      <c r="L466" s="2"/>
      <c r="M466" s="183" t="s">
        <v>852</v>
      </c>
      <c r="N466" s="2"/>
      <c r="O466" s="2"/>
      <c r="P466" s="2"/>
      <c r="Q466" s="183" t="s">
        <v>852</v>
      </c>
      <c r="R466" s="183" t="s">
        <v>852</v>
      </c>
    </row>
    <row r="467" spans="1:18" ht="15.75" customHeight="1" thickBot="1" x14ac:dyDescent="0.4">
      <c r="A467" s="41" t="s">
        <v>1219</v>
      </c>
      <c r="B467" s="188">
        <f>SUM(B463:B466)</f>
        <v>472</v>
      </c>
      <c r="C467" s="189">
        <f>SUM(C463:C466)</f>
        <v>367</v>
      </c>
      <c r="D467" s="189">
        <f>SUM(D463:D466)</f>
        <v>796</v>
      </c>
      <c r="E467" s="56">
        <f>SUM(B467:D467)</f>
        <v>1635</v>
      </c>
      <c r="F467" s="189">
        <f>SUM(F463:F466)</f>
        <v>0</v>
      </c>
      <c r="G467" s="189">
        <f>SUM(G463:G466)</f>
        <v>0</v>
      </c>
      <c r="H467" s="189">
        <f>SUM(H463:H466)</f>
        <v>0</v>
      </c>
      <c r="I467" s="56">
        <f>SUM(F467:H467)</f>
        <v>0</v>
      </c>
      <c r="J467" s="189">
        <f>SUM(J463:J466)</f>
        <v>0</v>
      </c>
      <c r="K467" s="189">
        <f>SUM(K463:K466)</f>
        <v>0</v>
      </c>
      <c r="L467" s="189">
        <f>SUM(L463:L466)</f>
        <v>0</v>
      </c>
      <c r="M467" s="56">
        <f>SUM(J467:L467)</f>
        <v>0</v>
      </c>
      <c r="N467" s="189">
        <f>SUM(N463:N466)</f>
        <v>0</v>
      </c>
      <c r="O467" s="189">
        <f>SUM(O463:O466)</f>
        <v>0</v>
      </c>
      <c r="P467" s="189">
        <f>SUM(P463:P466)</f>
        <v>0</v>
      </c>
      <c r="Q467" s="56">
        <f>SUM(N467:P467)</f>
        <v>0</v>
      </c>
      <c r="R467" s="56">
        <f>+E467+I467+M467+Q467</f>
        <v>1635</v>
      </c>
    </row>
    <row r="468" spans="1:18" ht="15.75" customHeight="1" x14ac:dyDescent="0.35">
      <c r="A468" s="6" t="s">
        <v>2166</v>
      </c>
      <c r="B468" s="2"/>
      <c r="C468" s="2"/>
      <c r="D468" s="2"/>
      <c r="E468" s="183" t="s">
        <v>852</v>
      </c>
      <c r="F468" s="2"/>
      <c r="G468" s="2"/>
      <c r="H468" s="2"/>
      <c r="I468" s="183" t="s">
        <v>852</v>
      </c>
      <c r="J468" s="2"/>
      <c r="K468" s="2"/>
      <c r="L468" s="2"/>
      <c r="M468" s="183" t="s">
        <v>852</v>
      </c>
      <c r="N468" s="2"/>
      <c r="O468" s="2"/>
      <c r="P468" s="2"/>
      <c r="Q468" s="183" t="s">
        <v>852</v>
      </c>
      <c r="R468" s="183" t="s">
        <v>852</v>
      </c>
    </row>
    <row r="469" spans="1:18" ht="15.75" customHeight="1" x14ac:dyDescent="0.35">
      <c r="A469" s="6" t="s">
        <v>1245</v>
      </c>
      <c r="B469" s="2"/>
      <c r="C469" s="2"/>
      <c r="D469" s="2"/>
      <c r="E469" s="183" t="s">
        <v>852</v>
      </c>
      <c r="F469" s="2"/>
      <c r="G469" s="2"/>
      <c r="H469" s="2"/>
      <c r="I469" s="183" t="s">
        <v>852</v>
      </c>
      <c r="J469" s="2"/>
      <c r="K469" s="2"/>
      <c r="L469" s="2"/>
      <c r="M469" s="183" t="s">
        <v>852</v>
      </c>
      <c r="N469" s="2"/>
      <c r="O469" s="2"/>
      <c r="P469" s="2"/>
      <c r="Q469" s="183" t="s">
        <v>852</v>
      </c>
      <c r="R469" s="183" t="s">
        <v>852</v>
      </c>
    </row>
    <row r="470" spans="1:18" ht="15.75" customHeight="1" thickBot="1" x14ac:dyDescent="0.4">
      <c r="A470" s="6" t="s">
        <v>1711</v>
      </c>
      <c r="B470" s="2"/>
      <c r="C470" s="2"/>
      <c r="D470" s="2"/>
      <c r="E470" s="183" t="s">
        <v>852</v>
      </c>
      <c r="F470" s="2"/>
      <c r="G470" s="2"/>
      <c r="H470" s="2"/>
      <c r="I470" s="183" t="s">
        <v>852</v>
      </c>
      <c r="J470" s="2"/>
      <c r="K470" s="2"/>
      <c r="L470" s="2"/>
      <c r="M470" s="183" t="s">
        <v>852</v>
      </c>
      <c r="N470" s="2"/>
      <c r="O470" s="2"/>
      <c r="P470" s="2"/>
      <c r="Q470" s="183" t="s">
        <v>852</v>
      </c>
      <c r="R470" s="183" t="s">
        <v>852</v>
      </c>
    </row>
    <row r="471" spans="1:18" ht="15.75" customHeight="1" thickBot="1" x14ac:dyDescent="0.4">
      <c r="A471" s="57" t="s">
        <v>1220</v>
      </c>
      <c r="B471" s="188">
        <f>SUM(B468:B470)</f>
        <v>0</v>
      </c>
      <c r="C471" s="189">
        <f>SUM(C468:C470)</f>
        <v>0</v>
      </c>
      <c r="D471" s="189">
        <f>SUM(D468:D470)</f>
        <v>0</v>
      </c>
      <c r="E471" s="56">
        <f>SUM(B471:D471)</f>
        <v>0</v>
      </c>
      <c r="F471" s="189">
        <f>SUM(F468:F470)</f>
        <v>0</v>
      </c>
      <c r="G471" s="189">
        <f>SUM(G468:G470)</f>
        <v>0</v>
      </c>
      <c r="H471" s="189">
        <f>SUM(H468:H470)</f>
        <v>0</v>
      </c>
      <c r="I471" s="56">
        <f>SUM(F471:H471)</f>
        <v>0</v>
      </c>
      <c r="J471" s="189">
        <f>SUM(J468:J470)</f>
        <v>0</v>
      </c>
      <c r="K471" s="189">
        <f>SUM(K468:K470)</f>
        <v>0</v>
      </c>
      <c r="L471" s="189">
        <f>SUM(L468:L470)</f>
        <v>0</v>
      </c>
      <c r="M471" s="56">
        <f>SUM(J471:L471)</f>
        <v>0</v>
      </c>
      <c r="N471" s="189">
        <f>SUM(N468:N470)</f>
        <v>0</v>
      </c>
      <c r="O471" s="189">
        <f>SUM(O468:O470)</f>
        <v>0</v>
      </c>
      <c r="P471" s="189">
        <f>SUM(P468:P470)</f>
        <v>0</v>
      </c>
      <c r="Q471" s="56">
        <f>SUM(N471:P471)</f>
        <v>0</v>
      </c>
      <c r="R471" s="56">
        <f>+E471+I471+M471+Q471</f>
        <v>0</v>
      </c>
    </row>
    <row r="472" spans="1:18" ht="15.75" customHeight="1" x14ac:dyDescent="0.35">
      <c r="A472" s="6" t="s">
        <v>1712</v>
      </c>
      <c r="B472" s="2"/>
      <c r="C472" s="2"/>
      <c r="D472" s="2"/>
      <c r="E472" s="183" t="s">
        <v>852</v>
      </c>
      <c r="F472" s="2"/>
      <c r="G472" s="2"/>
      <c r="H472" s="2"/>
      <c r="I472" s="183" t="s">
        <v>852</v>
      </c>
      <c r="J472" s="2"/>
      <c r="K472" s="2"/>
      <c r="L472" s="2"/>
      <c r="M472" s="183" t="s">
        <v>852</v>
      </c>
      <c r="N472" s="2"/>
      <c r="O472" s="2"/>
      <c r="P472" s="2"/>
      <c r="Q472" s="183" t="s">
        <v>852</v>
      </c>
      <c r="R472" s="183" t="s">
        <v>852</v>
      </c>
    </row>
    <row r="473" spans="1:18" ht="15.75" customHeight="1" x14ac:dyDescent="0.35">
      <c r="A473" s="6" t="s">
        <v>556</v>
      </c>
      <c r="B473" s="2"/>
      <c r="C473" s="2"/>
      <c r="D473" s="2"/>
      <c r="E473" s="183" t="s">
        <v>852</v>
      </c>
      <c r="F473" s="2"/>
      <c r="G473" s="2"/>
      <c r="H473" s="2"/>
      <c r="I473" s="183" t="s">
        <v>852</v>
      </c>
      <c r="J473" s="2"/>
      <c r="K473" s="2"/>
      <c r="L473" s="2"/>
      <c r="M473" s="183" t="s">
        <v>852</v>
      </c>
      <c r="N473" s="2"/>
      <c r="O473" s="2"/>
      <c r="P473" s="2"/>
      <c r="Q473" s="183" t="s">
        <v>852</v>
      </c>
      <c r="R473" s="183" t="s">
        <v>852</v>
      </c>
    </row>
    <row r="474" spans="1:18" ht="15.75" customHeight="1" x14ac:dyDescent="0.35">
      <c r="A474" s="9" t="s">
        <v>483</v>
      </c>
      <c r="B474" s="2">
        <v>0</v>
      </c>
      <c r="C474" s="2">
        <v>0</v>
      </c>
      <c r="D474" s="2">
        <v>0</v>
      </c>
      <c r="E474" s="183">
        <f>SUM(B474:D474)</f>
        <v>0</v>
      </c>
      <c r="F474" s="2">
        <v>0</v>
      </c>
      <c r="G474" s="2">
        <v>0</v>
      </c>
      <c r="H474" s="2">
        <v>0</v>
      </c>
      <c r="I474" s="183">
        <f>SUM(F474:H474)</f>
        <v>0</v>
      </c>
      <c r="J474" s="2">
        <v>0</v>
      </c>
      <c r="K474" s="2">
        <v>0</v>
      </c>
      <c r="L474" s="2">
        <v>0</v>
      </c>
      <c r="M474" s="183">
        <f>SUM(J474:L474)</f>
        <v>0</v>
      </c>
      <c r="N474" s="2">
        <v>0</v>
      </c>
      <c r="O474" s="2">
        <v>0</v>
      </c>
      <c r="P474" s="2">
        <v>0</v>
      </c>
      <c r="Q474" s="183">
        <f>SUM(N474:P474)</f>
        <v>0</v>
      </c>
      <c r="R474" s="183">
        <f>+E474+I474+M474+Q474</f>
        <v>0</v>
      </c>
    </row>
    <row r="475" spans="1:18" ht="15.75" customHeight="1" x14ac:dyDescent="0.35">
      <c r="A475" s="9" t="s">
        <v>624</v>
      </c>
      <c r="B475" s="2">
        <v>0</v>
      </c>
      <c r="C475" s="2">
        <v>0</v>
      </c>
      <c r="D475" s="2">
        <v>0</v>
      </c>
      <c r="E475" s="183">
        <f>SUM(B475:D475)</f>
        <v>0</v>
      </c>
      <c r="F475" s="2">
        <v>0</v>
      </c>
      <c r="G475" s="2">
        <v>0</v>
      </c>
      <c r="H475" s="2">
        <v>0</v>
      </c>
      <c r="I475" s="183">
        <f>SUM(F475:H475)</f>
        <v>0</v>
      </c>
      <c r="J475" s="2">
        <v>0</v>
      </c>
      <c r="K475" s="2">
        <v>0</v>
      </c>
      <c r="L475" s="2">
        <v>0</v>
      </c>
      <c r="M475" s="183">
        <f>SUM(J475:L475)</f>
        <v>0</v>
      </c>
      <c r="N475" s="2">
        <v>0</v>
      </c>
      <c r="O475" s="2">
        <v>0</v>
      </c>
      <c r="P475" s="2">
        <v>0</v>
      </c>
      <c r="Q475" s="183">
        <f>SUM(N475:P475)</f>
        <v>0</v>
      </c>
      <c r="R475" s="183">
        <f>+E475+I475+M475+Q475</f>
        <v>0</v>
      </c>
    </row>
    <row r="476" spans="1:18" ht="15.75" customHeight="1" x14ac:dyDescent="0.35">
      <c r="A476" s="9" t="s">
        <v>1787</v>
      </c>
      <c r="B476" s="2">
        <v>0</v>
      </c>
      <c r="C476" s="2">
        <v>0</v>
      </c>
      <c r="D476" s="2">
        <v>0</v>
      </c>
      <c r="E476" s="183">
        <f>SUM(B476:D476)</f>
        <v>0</v>
      </c>
      <c r="F476" s="2">
        <v>0</v>
      </c>
      <c r="G476" s="2">
        <v>0</v>
      </c>
      <c r="H476" s="2">
        <v>2086</v>
      </c>
      <c r="I476" s="183">
        <f>SUM(F476:H476)</f>
        <v>2086</v>
      </c>
      <c r="J476" s="2">
        <v>3702</v>
      </c>
      <c r="K476" s="2">
        <v>3301</v>
      </c>
      <c r="L476" s="2">
        <v>3778</v>
      </c>
      <c r="M476" s="183">
        <f>SUM(J476:L476)</f>
        <v>10781</v>
      </c>
      <c r="N476" s="2">
        <v>2133</v>
      </c>
      <c r="O476" s="2">
        <v>0</v>
      </c>
      <c r="P476" s="2">
        <v>0</v>
      </c>
      <c r="Q476" s="183">
        <f>SUM(N476:P476)</f>
        <v>2133</v>
      </c>
      <c r="R476" s="183">
        <f>+E476+I476+M476+Q476</f>
        <v>15000</v>
      </c>
    </row>
    <row r="477" spans="1:18" ht="15.75" customHeight="1" x14ac:dyDescent="0.35">
      <c r="A477" s="9" t="s">
        <v>484</v>
      </c>
      <c r="B477" s="2">
        <v>778</v>
      </c>
      <c r="C477" s="2">
        <v>0</v>
      </c>
      <c r="D477" s="2">
        <v>0</v>
      </c>
      <c r="E477" s="183">
        <f>SUM(B477:D477)</f>
        <v>778</v>
      </c>
      <c r="F477" s="2">
        <v>722</v>
      </c>
      <c r="G477" s="2">
        <v>0</v>
      </c>
      <c r="H477" s="2">
        <v>0</v>
      </c>
      <c r="I477" s="183">
        <f>SUM(F477:H477)</f>
        <v>722</v>
      </c>
      <c r="J477" s="2">
        <v>0</v>
      </c>
      <c r="K477" s="2">
        <v>0</v>
      </c>
      <c r="L477" s="2">
        <v>0</v>
      </c>
      <c r="M477" s="183">
        <f>SUM(J477:L477)</f>
        <v>0</v>
      </c>
      <c r="N477" s="2">
        <v>0</v>
      </c>
      <c r="O477" s="2">
        <v>0</v>
      </c>
      <c r="P477" s="2">
        <v>0</v>
      </c>
      <c r="Q477" s="183">
        <f>SUM(N477:P477)</f>
        <v>0</v>
      </c>
      <c r="R477" s="183">
        <f>+E477+I477+M477+Q477</f>
        <v>1500</v>
      </c>
    </row>
    <row r="478" spans="1:18" ht="15.75" customHeight="1" x14ac:dyDescent="0.35">
      <c r="A478" s="6" t="s">
        <v>557</v>
      </c>
      <c r="B478" s="2"/>
      <c r="C478" s="2"/>
      <c r="D478" s="2"/>
      <c r="E478" s="183" t="s">
        <v>852</v>
      </c>
      <c r="F478" s="2"/>
      <c r="G478" s="2"/>
      <c r="H478" s="2"/>
      <c r="I478" s="183" t="s">
        <v>852</v>
      </c>
      <c r="J478" s="2"/>
      <c r="K478" s="2"/>
      <c r="L478" s="2"/>
      <c r="M478" s="183" t="s">
        <v>852</v>
      </c>
      <c r="N478" s="2"/>
      <c r="O478" s="2"/>
      <c r="P478" s="2"/>
      <c r="Q478" s="183" t="s">
        <v>852</v>
      </c>
      <c r="R478" s="183" t="s">
        <v>852</v>
      </c>
    </row>
    <row r="479" spans="1:18" ht="15.75" customHeight="1" x14ac:dyDescent="0.35">
      <c r="A479" s="9" t="s">
        <v>792</v>
      </c>
      <c r="B479" s="2">
        <v>480</v>
      </c>
      <c r="C479" s="2">
        <v>0</v>
      </c>
      <c r="D479" s="2">
        <v>0</v>
      </c>
      <c r="E479" s="183">
        <f>SUM(B479:D479)</f>
        <v>480</v>
      </c>
      <c r="F479" s="2">
        <v>605</v>
      </c>
      <c r="G479" s="2">
        <v>763</v>
      </c>
      <c r="H479" s="2">
        <v>610</v>
      </c>
      <c r="I479" s="183">
        <f>SUM(F479:H479)</f>
        <v>1978</v>
      </c>
      <c r="J479" s="2">
        <v>389</v>
      </c>
      <c r="K479" s="2">
        <v>132</v>
      </c>
      <c r="L479" s="2">
        <v>22</v>
      </c>
      <c r="M479" s="183">
        <f>SUM(J479:L479)</f>
        <v>543</v>
      </c>
      <c r="N479" s="2">
        <v>0</v>
      </c>
      <c r="O479" s="2">
        <v>0</v>
      </c>
      <c r="P479" s="2">
        <v>0</v>
      </c>
      <c r="Q479" s="183">
        <f>SUM(N479:P479)</f>
        <v>0</v>
      </c>
      <c r="R479" s="183">
        <f>+E479+I479+M479+Q479</f>
        <v>3001</v>
      </c>
    </row>
    <row r="480" spans="1:18" ht="15.75" customHeight="1" x14ac:dyDescent="0.35">
      <c r="A480" s="9" t="s">
        <v>2359</v>
      </c>
      <c r="B480" s="2">
        <v>0</v>
      </c>
      <c r="C480" s="2">
        <v>0</v>
      </c>
      <c r="D480" s="2">
        <v>0</v>
      </c>
      <c r="E480" s="183">
        <f>SUM(B480:D480)</f>
        <v>0</v>
      </c>
      <c r="F480" s="2">
        <v>0</v>
      </c>
      <c r="G480" s="2">
        <v>0</v>
      </c>
      <c r="H480" s="2">
        <v>0</v>
      </c>
      <c r="I480" s="183">
        <f>SUM(F480:H480)</f>
        <v>0</v>
      </c>
      <c r="J480" s="2">
        <v>0</v>
      </c>
      <c r="K480" s="2">
        <v>0</v>
      </c>
      <c r="L480" s="2">
        <v>0</v>
      </c>
      <c r="M480" s="183">
        <f>SUM(J480:L480)</f>
        <v>0</v>
      </c>
      <c r="N480" s="2">
        <v>0</v>
      </c>
      <c r="O480" s="2">
        <v>3</v>
      </c>
      <c r="P480" s="2">
        <v>567</v>
      </c>
      <c r="Q480" s="183">
        <f>SUM(N480:P480)</f>
        <v>570</v>
      </c>
      <c r="R480" s="183">
        <f>+E480+I480+M480+Q480</f>
        <v>570</v>
      </c>
    </row>
    <row r="481" spans="1:18" ht="15.75" customHeight="1" x14ac:dyDescent="0.35">
      <c r="A481" s="9" t="s">
        <v>1224</v>
      </c>
      <c r="B481" s="2">
        <v>2000</v>
      </c>
      <c r="C481" s="2">
        <v>0</v>
      </c>
      <c r="D481" s="2">
        <v>0</v>
      </c>
      <c r="E481" s="183">
        <f>SUM(B481:D481)</f>
        <v>2000</v>
      </c>
      <c r="F481" s="2">
        <v>1855</v>
      </c>
      <c r="G481" s="2">
        <v>2145</v>
      </c>
      <c r="H481" s="2">
        <v>0</v>
      </c>
      <c r="I481" s="183">
        <f>SUM(F481:H481)</f>
        <v>4000</v>
      </c>
      <c r="J481" s="2">
        <v>0</v>
      </c>
      <c r="K481" s="2">
        <v>0</v>
      </c>
      <c r="L481" s="2">
        <v>0</v>
      </c>
      <c r="M481" s="183">
        <f>SUM(J481:L481)</f>
        <v>0</v>
      </c>
      <c r="N481" s="2">
        <v>74</v>
      </c>
      <c r="O481" s="2">
        <v>0</v>
      </c>
      <c r="P481" s="2">
        <v>0</v>
      </c>
      <c r="Q481" s="183">
        <f>SUM(N481:P481)</f>
        <v>74</v>
      </c>
      <c r="R481" s="183">
        <f>+E481+I481+M481+Q481</f>
        <v>6074</v>
      </c>
    </row>
    <row r="482" spans="1:18" ht="15.75" customHeight="1" x14ac:dyDescent="0.35">
      <c r="A482" s="9" t="s">
        <v>2180</v>
      </c>
      <c r="B482" s="2">
        <v>0</v>
      </c>
      <c r="C482" s="2">
        <v>0</v>
      </c>
      <c r="D482" s="2">
        <v>0</v>
      </c>
      <c r="E482" s="183">
        <f>SUM(B482:D482)</f>
        <v>0</v>
      </c>
      <c r="F482" s="2">
        <v>0</v>
      </c>
      <c r="G482" s="2">
        <v>0</v>
      </c>
      <c r="H482" s="2">
        <v>0</v>
      </c>
      <c r="I482" s="183">
        <f>SUM(F482:H482)</f>
        <v>0</v>
      </c>
      <c r="J482" s="2">
        <v>0</v>
      </c>
      <c r="K482" s="2">
        <v>0</v>
      </c>
      <c r="L482" s="2">
        <v>0</v>
      </c>
      <c r="M482" s="183">
        <f>SUM(J482:L482)</f>
        <v>0</v>
      </c>
      <c r="N482" s="2">
        <v>0</v>
      </c>
      <c r="O482" s="2">
        <v>178</v>
      </c>
      <c r="P482" s="2">
        <v>3832</v>
      </c>
      <c r="Q482" s="183">
        <f>SUM(N482:P482)</f>
        <v>4010</v>
      </c>
      <c r="R482" s="183">
        <f>+E482+I482+M482+Q482</f>
        <v>4010</v>
      </c>
    </row>
    <row r="483" spans="1:18" ht="15.75" customHeight="1" x14ac:dyDescent="0.35">
      <c r="A483" s="6" t="s">
        <v>558</v>
      </c>
      <c r="B483" s="2"/>
      <c r="C483" s="2"/>
      <c r="D483" s="2"/>
      <c r="E483" s="183" t="s">
        <v>852</v>
      </c>
      <c r="F483" s="2"/>
      <c r="G483" s="2"/>
      <c r="H483" s="2"/>
      <c r="I483" s="183" t="s">
        <v>852</v>
      </c>
      <c r="J483" s="2"/>
      <c r="K483" s="2"/>
      <c r="L483" s="2"/>
      <c r="M483" s="183" t="s">
        <v>852</v>
      </c>
      <c r="N483" s="2"/>
      <c r="O483" s="2"/>
      <c r="P483" s="2"/>
      <c r="Q483" s="183" t="s">
        <v>852</v>
      </c>
      <c r="R483" s="183" t="s">
        <v>852</v>
      </c>
    </row>
    <row r="484" spans="1:18" ht="15.75" customHeight="1" x14ac:dyDescent="0.35">
      <c r="A484" s="9" t="s">
        <v>639</v>
      </c>
      <c r="B484" s="2">
        <v>0</v>
      </c>
      <c r="C484" s="2">
        <v>0</v>
      </c>
      <c r="D484" s="2">
        <v>0</v>
      </c>
      <c r="E484" s="183">
        <f>SUM(B484:D484)</f>
        <v>0</v>
      </c>
      <c r="F484" s="2">
        <v>85</v>
      </c>
      <c r="G484" s="2">
        <v>0</v>
      </c>
      <c r="H484" s="2">
        <v>0</v>
      </c>
      <c r="I484" s="183">
        <f>SUM(F484:H484)</f>
        <v>85</v>
      </c>
      <c r="J484" s="2">
        <v>0</v>
      </c>
      <c r="K484" s="2">
        <v>0</v>
      </c>
      <c r="L484" s="2">
        <v>0</v>
      </c>
      <c r="M484" s="183">
        <f>SUM(J484:L484)</f>
        <v>0</v>
      </c>
      <c r="N484" s="2">
        <v>0</v>
      </c>
      <c r="O484" s="2">
        <v>0</v>
      </c>
      <c r="P484" s="2">
        <v>0</v>
      </c>
      <c r="Q484" s="183">
        <f>SUM(N484:P484)</f>
        <v>0</v>
      </c>
      <c r="R484" s="183">
        <f>+E484+I484+M484+Q484</f>
        <v>85</v>
      </c>
    </row>
    <row r="485" spans="1:18" ht="15.75" customHeight="1" x14ac:dyDescent="0.35">
      <c r="A485" s="9" t="s">
        <v>1185</v>
      </c>
      <c r="B485" s="2">
        <v>0</v>
      </c>
      <c r="C485" s="2">
        <v>0</v>
      </c>
      <c r="D485" s="2">
        <v>0</v>
      </c>
      <c r="E485" s="183">
        <f>SUM(B485:D485)</f>
        <v>0</v>
      </c>
      <c r="F485" s="2">
        <v>0</v>
      </c>
      <c r="G485" s="2">
        <v>0</v>
      </c>
      <c r="H485" s="2">
        <v>0</v>
      </c>
      <c r="I485" s="183">
        <f>SUM(F485:H485)</f>
        <v>0</v>
      </c>
      <c r="J485" s="2">
        <v>0</v>
      </c>
      <c r="K485" s="2">
        <v>1331</v>
      </c>
      <c r="L485" s="2">
        <v>12</v>
      </c>
      <c r="M485" s="183">
        <f>SUM(J485:L485)</f>
        <v>1343</v>
      </c>
      <c r="N485" s="2">
        <v>0</v>
      </c>
      <c r="O485" s="2">
        <v>0</v>
      </c>
      <c r="P485" s="2">
        <v>0</v>
      </c>
      <c r="Q485" s="183">
        <f>SUM(N485:P485)</f>
        <v>0</v>
      </c>
      <c r="R485" s="183">
        <f>+E485+I485+M485+Q485</f>
        <v>1343</v>
      </c>
    </row>
    <row r="486" spans="1:18" ht="15.75" customHeight="1" thickBot="1" x14ac:dyDescent="0.4">
      <c r="A486" s="6" t="s">
        <v>559</v>
      </c>
      <c r="B486" s="2"/>
      <c r="C486" s="2"/>
      <c r="D486" s="2"/>
      <c r="E486" s="183" t="s">
        <v>852</v>
      </c>
      <c r="F486" s="2"/>
      <c r="G486" s="2"/>
      <c r="H486" s="2"/>
      <c r="I486" s="183" t="s">
        <v>852</v>
      </c>
      <c r="J486" s="2"/>
      <c r="K486" s="2"/>
      <c r="L486" s="2"/>
      <c r="M486" s="183" t="s">
        <v>852</v>
      </c>
      <c r="N486" s="2"/>
      <c r="O486" s="2"/>
      <c r="P486" s="2"/>
      <c r="Q486" s="183" t="s">
        <v>852</v>
      </c>
      <c r="R486" s="183" t="s">
        <v>852</v>
      </c>
    </row>
    <row r="487" spans="1:18" ht="15.75" customHeight="1" thickBot="1" x14ac:dyDescent="0.4">
      <c r="A487" s="41" t="s">
        <v>1019</v>
      </c>
      <c r="B487" s="184">
        <f>SUM(B485:B486)</f>
        <v>0</v>
      </c>
      <c r="C487" s="184">
        <f>SUM(C485:C486)</f>
        <v>0</v>
      </c>
      <c r="D487" s="184">
        <f>SUM(D485:D486)</f>
        <v>0</v>
      </c>
      <c r="E487" s="185">
        <f>SUM(B487:D487)</f>
        <v>0</v>
      </c>
      <c r="F487" s="184">
        <f>SUM(F485:F486)</f>
        <v>0</v>
      </c>
      <c r="G487" s="184">
        <f>SUM(G485:G486)</f>
        <v>0</v>
      </c>
      <c r="H487" s="184">
        <f>SUM(H485:H486)</f>
        <v>0</v>
      </c>
      <c r="I487" s="185">
        <f>SUM(F487:H487)</f>
        <v>0</v>
      </c>
      <c r="J487" s="184">
        <f>SUM(J485:J486)</f>
        <v>0</v>
      </c>
      <c r="K487" s="184">
        <f>SUM(K485:K486)</f>
        <v>1331</v>
      </c>
      <c r="L487" s="184">
        <f>SUM(L485:L486)</f>
        <v>12</v>
      </c>
      <c r="M487" s="185">
        <f>SUM(J487:L487)</f>
        <v>1343</v>
      </c>
      <c r="N487" s="184">
        <f>SUM(N485:N486)</f>
        <v>0</v>
      </c>
      <c r="O487" s="184">
        <f>SUM(O485:O486)</f>
        <v>0</v>
      </c>
      <c r="P487" s="184">
        <f>SUM(P485:P486)</f>
        <v>0</v>
      </c>
      <c r="Q487" s="185">
        <f>SUM(N487:P487)</f>
        <v>0</v>
      </c>
      <c r="R487" s="56">
        <f>+E487+I487+M487+Q487</f>
        <v>1343</v>
      </c>
    </row>
    <row r="488" spans="1:18" ht="15.75" customHeight="1" thickBot="1" x14ac:dyDescent="0.4">
      <c r="A488" s="57" t="s">
        <v>1221</v>
      </c>
      <c r="B488" s="188">
        <f>SUM(B472:B486)</f>
        <v>3258</v>
      </c>
      <c r="C488" s="189">
        <f>SUM(C472:C486)</f>
        <v>0</v>
      </c>
      <c r="D488" s="191">
        <f>SUM(D472:D486)</f>
        <v>0</v>
      </c>
      <c r="E488" s="185">
        <f>SUM(B488:D488)</f>
        <v>3258</v>
      </c>
      <c r="F488" s="189">
        <f>SUM(F472:F486)</f>
        <v>3267</v>
      </c>
      <c r="G488" s="189">
        <f>SUM(G472:G486)</f>
        <v>2908</v>
      </c>
      <c r="H488" s="189">
        <f>SUM(H472:H486)</f>
        <v>2696</v>
      </c>
      <c r="I488" s="185">
        <f>SUM(F488:H488)</f>
        <v>8871</v>
      </c>
      <c r="J488" s="189">
        <f>SUM(J472:J486)</f>
        <v>4091</v>
      </c>
      <c r="K488" s="189">
        <f>SUM(K472:K486)</f>
        <v>4764</v>
      </c>
      <c r="L488" s="189">
        <f>SUM(L472:L486)</f>
        <v>3812</v>
      </c>
      <c r="M488" s="185">
        <f>SUM(J488:L488)</f>
        <v>12667</v>
      </c>
      <c r="N488" s="189">
        <f>SUM(N472:N486)</f>
        <v>2207</v>
      </c>
      <c r="O488" s="189">
        <f>SUM(O472:O486)</f>
        <v>181</v>
      </c>
      <c r="P488" s="189">
        <f>SUM(P472:P486)</f>
        <v>4399</v>
      </c>
      <c r="Q488" s="185">
        <f>SUM(N488:P488)</f>
        <v>6787</v>
      </c>
      <c r="R488" s="56">
        <f>+E488+I488+M488+Q488</f>
        <v>31583</v>
      </c>
    </row>
    <row r="489" spans="1:18" ht="15.75" customHeight="1" thickBot="1" x14ac:dyDescent="0.4">
      <c r="A489" s="41" t="s">
        <v>1222</v>
      </c>
      <c r="B489" s="190">
        <f>+B462+B467+B471+B488</f>
        <v>4481</v>
      </c>
      <c r="C489" s="184">
        <f>+C462+C467+C471+C488</f>
        <v>606</v>
      </c>
      <c r="D489" s="184">
        <f>+D462+D467+D471+D488</f>
        <v>1986</v>
      </c>
      <c r="E489" s="56">
        <f>SUM(B489:D489)</f>
        <v>7073</v>
      </c>
      <c r="F489" s="184">
        <f>+F462+F467+F471+F488</f>
        <v>7130</v>
      </c>
      <c r="G489" s="184">
        <f>+G462+G467+G471+G488</f>
        <v>5917</v>
      </c>
      <c r="H489" s="184">
        <f>+H462+H467+H471+H488</f>
        <v>6104</v>
      </c>
      <c r="I489" s="56">
        <f>SUM(F489:H489)</f>
        <v>19151</v>
      </c>
      <c r="J489" s="184">
        <f>+J462+J467+J471+J488</f>
        <v>7987</v>
      </c>
      <c r="K489" s="184">
        <f>+K462+K467+K471+K488</f>
        <v>7159</v>
      </c>
      <c r="L489" s="184">
        <f>+L462+L467+L471+L488</f>
        <v>4190</v>
      </c>
      <c r="M489" s="56">
        <f>SUM(J489:L489)</f>
        <v>19336</v>
      </c>
      <c r="N489" s="184">
        <f>+N462+N467+N471+N488</f>
        <v>2376</v>
      </c>
      <c r="O489" s="184">
        <f>+O462+O467+O471+O488</f>
        <v>407</v>
      </c>
      <c r="P489" s="184">
        <f>+P462+P467+P471+P488</f>
        <v>4399</v>
      </c>
      <c r="Q489" s="56">
        <f>SUM(N489:P489)</f>
        <v>7182</v>
      </c>
      <c r="R489" s="186">
        <f>+E489+I489+M489+Q489</f>
        <v>52742</v>
      </c>
    </row>
    <row r="490" spans="1:18" ht="15.75" customHeight="1" thickBot="1" x14ac:dyDescent="0.4">
      <c r="A490" s="474" t="s">
        <v>853</v>
      </c>
      <c r="B490" s="459">
        <v>17</v>
      </c>
      <c r="C490" s="459">
        <v>47</v>
      </c>
      <c r="D490" s="459">
        <v>84</v>
      </c>
      <c r="E490" s="183">
        <f>SUM(B490:D490)</f>
        <v>148</v>
      </c>
      <c r="F490" s="459">
        <v>116</v>
      </c>
      <c r="G490" s="459">
        <v>132</v>
      </c>
      <c r="H490" s="459">
        <v>138</v>
      </c>
      <c r="I490" s="183">
        <f>SUM(F490:H490)</f>
        <v>386</v>
      </c>
      <c r="J490" s="459">
        <v>126</v>
      </c>
      <c r="K490" s="459">
        <v>95</v>
      </c>
      <c r="L490" s="459">
        <v>99</v>
      </c>
      <c r="M490" s="183">
        <f>SUM(J490:L490)</f>
        <v>320</v>
      </c>
      <c r="N490" s="459">
        <v>91</v>
      </c>
      <c r="O490" s="459">
        <v>67</v>
      </c>
      <c r="P490" s="459">
        <v>38</v>
      </c>
      <c r="Q490" s="183">
        <f>SUM(N490:P490)</f>
        <v>196</v>
      </c>
      <c r="R490" s="183">
        <f>+E490+I490+M490+Q490</f>
        <v>1050</v>
      </c>
    </row>
    <row r="491" spans="1:18" ht="15.75" customHeight="1" thickBot="1" x14ac:dyDescent="0.4">
      <c r="A491" s="12"/>
      <c r="B491" s="181"/>
      <c r="C491" s="181"/>
      <c r="D491" s="181"/>
      <c r="E491" s="476"/>
      <c r="F491" s="181"/>
      <c r="G491" s="181"/>
      <c r="H491" s="181"/>
      <c r="I491" s="476"/>
      <c r="J491" s="181"/>
      <c r="K491" s="181"/>
      <c r="L491" s="181"/>
      <c r="M491" s="476"/>
      <c r="N491" s="181"/>
      <c r="O491" s="181"/>
      <c r="P491" s="181"/>
      <c r="Q491" s="476"/>
      <c r="R491" s="476"/>
    </row>
    <row r="492" spans="1:18" ht="15.75" customHeight="1" x14ac:dyDescent="0.35">
      <c r="A492" s="496" t="s">
        <v>120</v>
      </c>
      <c r="B492" s="497">
        <f>SUM(B489:B490)</f>
        <v>4498</v>
      </c>
      <c r="C492" s="497">
        <f>SUM(C489:C490)</f>
        <v>653</v>
      </c>
      <c r="D492" s="497">
        <f>SUM(D489:D490)</f>
        <v>2070</v>
      </c>
      <c r="E492" s="185">
        <f>SUM(B492:D492)</f>
        <v>7221</v>
      </c>
      <c r="F492" s="497">
        <f>SUM(F489:F490)</f>
        <v>7246</v>
      </c>
      <c r="G492" s="497">
        <f>SUM(G489:G490)</f>
        <v>6049</v>
      </c>
      <c r="H492" s="497">
        <f>SUM(H489:H490)</f>
        <v>6242</v>
      </c>
      <c r="I492" s="185">
        <f>SUM(F492:H492)</f>
        <v>19537</v>
      </c>
      <c r="J492" s="497">
        <f>SUM(J489:J490)</f>
        <v>8113</v>
      </c>
      <c r="K492" s="497">
        <f>SUM(K489:K490)</f>
        <v>7254</v>
      </c>
      <c r="L492" s="497">
        <f>SUM(L489:L490)</f>
        <v>4289</v>
      </c>
      <c r="M492" s="185">
        <f>SUM(J492:L492)</f>
        <v>19656</v>
      </c>
      <c r="N492" s="497">
        <f>SUM(N489:N490)</f>
        <v>2467</v>
      </c>
      <c r="O492" s="497">
        <f>SUM(O489:O490)</f>
        <v>474</v>
      </c>
      <c r="P492" s="497">
        <f>SUM(P489:P490)</f>
        <v>4437</v>
      </c>
      <c r="Q492" s="185">
        <f>SUM(N492:P492)</f>
        <v>7378</v>
      </c>
      <c r="R492" s="185">
        <f>+E492+I492+M492+Q492</f>
        <v>53792</v>
      </c>
    </row>
    <row r="493" spans="1:18" ht="15.75" customHeight="1" x14ac:dyDescent="0.35">
      <c r="A493" s="499" t="s">
        <v>1897</v>
      </c>
      <c r="B493" s="2">
        <f>(B492/31)/1.983</f>
        <v>73.170334943796462</v>
      </c>
      <c r="C493" s="2">
        <f>(C492/28)/1.983</f>
        <v>11.760680066277645</v>
      </c>
      <c r="D493" s="2">
        <f>(D492/31)/1.983</f>
        <v>33.673319994143775</v>
      </c>
      <c r="E493" s="183" t="s">
        <v>852</v>
      </c>
      <c r="F493" s="2">
        <f>(F492/30)/1.983</f>
        <v>121.80198352664313</v>
      </c>
      <c r="G493" s="2">
        <f>(G492/31)/1.983</f>
        <v>98.400923982886795</v>
      </c>
      <c r="H493" s="2">
        <f>(H492/30)/1.983</f>
        <v>104.92519751218691</v>
      </c>
      <c r="I493" s="183" t="s">
        <v>852</v>
      </c>
      <c r="J493" s="2">
        <f>(J492/31)/1.983</f>
        <v>131.97664015096058</v>
      </c>
      <c r="K493" s="2">
        <f>(K492/31)/1.983</f>
        <v>118.00302571860816</v>
      </c>
      <c r="L493" s="2">
        <f>(L492/30)/1.983</f>
        <v>72.096150613548488</v>
      </c>
      <c r="M493" s="183" t="s">
        <v>852</v>
      </c>
      <c r="N493" s="2">
        <f>(N492/31)/1.983</f>
        <v>40.13143981910757</v>
      </c>
      <c r="O493" s="2">
        <f>(O492/30)/1.983</f>
        <v>7.9677256681795257</v>
      </c>
      <c r="P493" s="2">
        <f>(P492/31)/1.983</f>
        <v>72.178029378751646</v>
      </c>
      <c r="Q493" s="183" t="s">
        <v>852</v>
      </c>
      <c r="R493" s="183" t="s">
        <v>852</v>
      </c>
    </row>
    <row r="494" spans="1:18" ht="15.75" customHeight="1" x14ac:dyDescent="0.35">
      <c r="A494" s="499" t="s">
        <v>1535</v>
      </c>
      <c r="B494" s="2">
        <f>B492+B504</f>
        <v>20523</v>
      </c>
      <c r="C494" s="2">
        <f>C492+C504</f>
        <v>6245</v>
      </c>
      <c r="D494" s="2">
        <f>D492+D504</f>
        <v>7146</v>
      </c>
      <c r="E494" s="183">
        <f>SUM(B494:D494)</f>
        <v>33914</v>
      </c>
      <c r="F494" s="2">
        <f>F492+F504</f>
        <v>16936</v>
      </c>
      <c r="G494" s="2">
        <f>G492+G504</f>
        <v>17064</v>
      </c>
      <c r="H494" s="2">
        <f>H492+H504</f>
        <v>18824</v>
      </c>
      <c r="I494" s="183">
        <f>SUM(F494:H494)</f>
        <v>52824</v>
      </c>
      <c r="J494" s="2">
        <f>J492+J504</f>
        <v>27602</v>
      </c>
      <c r="K494" s="2">
        <f>K492+K504</f>
        <v>28556</v>
      </c>
      <c r="L494" s="2">
        <f>L492+L504</f>
        <v>23719</v>
      </c>
      <c r="M494" s="183">
        <f>SUM(J494:L494)</f>
        <v>79877</v>
      </c>
      <c r="N494" s="2">
        <f>N492+N504</f>
        <v>20456</v>
      </c>
      <c r="O494" s="2">
        <f>O492+O504</f>
        <v>5993</v>
      </c>
      <c r="P494" s="2">
        <f>P492+P504</f>
        <v>22006</v>
      </c>
      <c r="Q494" s="183">
        <f>SUM(N494:P494)</f>
        <v>48455</v>
      </c>
      <c r="R494" s="183">
        <f>+E494+I494+M494+Q494</f>
        <v>215070</v>
      </c>
    </row>
    <row r="495" spans="1:18" ht="15.75" customHeight="1" thickBot="1" x14ac:dyDescent="0.4">
      <c r="A495" s="500" t="s">
        <v>1536</v>
      </c>
      <c r="B495" s="467">
        <f>(B494/31)/1.983</f>
        <v>333.8538870723732</v>
      </c>
      <c r="C495" s="467">
        <f>(C494/28)/1.983</f>
        <v>112.47388516677472</v>
      </c>
      <c r="D495" s="467">
        <f>(D494/31)/1.983</f>
        <v>116.24615684934849</v>
      </c>
      <c r="E495" s="186" t="s">
        <v>852</v>
      </c>
      <c r="F495" s="467">
        <f>(F494/30)/1.983</f>
        <v>284.68650193309799</v>
      </c>
      <c r="G495" s="467">
        <f>(G494/31)/1.983</f>
        <v>277.58528134302867</v>
      </c>
      <c r="H495" s="467">
        <f>(H494/30)/1.983</f>
        <v>316.42292822323077</v>
      </c>
      <c r="I495" s="186" t="s">
        <v>852</v>
      </c>
      <c r="J495" s="467">
        <f>(J494/31)/1.983</f>
        <v>449.01013453060693</v>
      </c>
      <c r="K495" s="467">
        <f>(K494/31)/1.983</f>
        <v>464.52914287573401</v>
      </c>
      <c r="L495" s="467">
        <f>(L494/30)/1.983</f>
        <v>398.70566481761637</v>
      </c>
      <c r="M495" s="186" t="s">
        <v>852</v>
      </c>
      <c r="N495" s="467">
        <f>(N494/31)/1.983</f>
        <v>332.76397768125844</v>
      </c>
      <c r="O495" s="467">
        <f>(O494/30)/1.983</f>
        <v>100.7396201042192</v>
      </c>
      <c r="P495" s="467">
        <f>(P494/31)/1.983</f>
        <v>357.97829941600378</v>
      </c>
      <c r="Q495" s="186" t="s">
        <v>852</v>
      </c>
      <c r="R495" s="186" t="s">
        <v>852</v>
      </c>
    </row>
    <row r="496" spans="1:18" ht="15.75" customHeight="1" x14ac:dyDescent="0.35">
      <c r="A496" s="187"/>
      <c r="B496" s="2"/>
      <c r="C496" s="2"/>
      <c r="D496" s="2"/>
      <c r="E496" s="2"/>
      <c r="F496" s="2"/>
      <c r="G496" s="2"/>
      <c r="H496" s="2"/>
      <c r="I496" s="2"/>
      <c r="J496" s="2"/>
      <c r="K496" s="2"/>
      <c r="L496" s="2"/>
      <c r="M496" s="2"/>
      <c r="N496" s="2"/>
      <c r="O496" s="2"/>
      <c r="P496" s="2"/>
      <c r="Q496" s="2"/>
      <c r="R496" s="187"/>
    </row>
    <row r="497" spans="1:18" ht="15.75" customHeight="1" thickBot="1" x14ac:dyDescent="0.4">
      <c r="A497" s="521"/>
      <c r="B497" s="459"/>
      <c r="C497" s="459"/>
      <c r="D497" s="459"/>
      <c r="E497" s="459"/>
      <c r="F497" s="459"/>
      <c r="G497" s="459"/>
      <c r="H497" s="459"/>
      <c r="I497" s="459"/>
      <c r="J497" s="459"/>
      <c r="K497" s="459"/>
      <c r="L497" s="459"/>
      <c r="M497" s="459"/>
      <c r="N497" s="459"/>
      <c r="O497" s="459"/>
      <c r="P497" s="459"/>
      <c r="Q497" s="459"/>
      <c r="R497" s="521"/>
    </row>
    <row r="498" spans="1:18" ht="15.75" customHeight="1" thickBot="1" x14ac:dyDescent="0.4">
      <c r="A498" s="7" t="s">
        <v>1537</v>
      </c>
      <c r="B498" s="179" t="s">
        <v>2090</v>
      </c>
      <c r="C498" s="180" t="s">
        <v>2091</v>
      </c>
      <c r="D498" s="180" t="s">
        <v>2234</v>
      </c>
      <c r="E498" s="175" t="s">
        <v>1594</v>
      </c>
      <c r="F498" s="180" t="s">
        <v>2235</v>
      </c>
      <c r="G498" s="180" t="s">
        <v>2236</v>
      </c>
      <c r="H498" s="180" t="s">
        <v>2237</v>
      </c>
      <c r="I498" s="64" t="s">
        <v>1595</v>
      </c>
      <c r="J498" s="180" t="s">
        <v>1504</v>
      </c>
      <c r="K498" s="180" t="s">
        <v>1505</v>
      </c>
      <c r="L498" s="180" t="s">
        <v>1506</v>
      </c>
      <c r="M498" s="64" t="s">
        <v>1596</v>
      </c>
      <c r="N498" s="180" t="s">
        <v>1507</v>
      </c>
      <c r="O498" s="180" t="s">
        <v>1508</v>
      </c>
      <c r="P498" s="180" t="s">
        <v>1509</v>
      </c>
      <c r="Q498" s="175" t="s">
        <v>1597</v>
      </c>
      <c r="R498" s="176" t="s">
        <v>1510</v>
      </c>
    </row>
    <row r="499" spans="1:18" ht="15.75" customHeight="1" thickBot="1" x14ac:dyDescent="0.4">
      <c r="A499" s="12"/>
      <c r="B499" s="181"/>
      <c r="C499" s="181"/>
      <c r="D499" s="181"/>
      <c r="E499" s="182"/>
      <c r="F499" s="181"/>
      <c r="G499" s="181"/>
      <c r="H499" s="181"/>
      <c r="I499" s="182"/>
      <c r="J499" s="181"/>
      <c r="K499" s="181"/>
      <c r="L499" s="181"/>
      <c r="M499" s="182"/>
      <c r="N499" s="181"/>
      <c r="O499" s="181"/>
      <c r="P499" s="181"/>
      <c r="Q499" s="192"/>
      <c r="R499" s="526"/>
    </row>
    <row r="500" spans="1:18" ht="15.75" customHeight="1" thickBot="1" x14ac:dyDescent="0.4">
      <c r="A500" s="474" t="s">
        <v>853</v>
      </c>
      <c r="B500" s="459">
        <v>20</v>
      </c>
      <c r="C500" s="459">
        <v>22</v>
      </c>
      <c r="D500" s="459">
        <v>28</v>
      </c>
      <c r="E500" s="183">
        <f>SUM(B500:D500)</f>
        <v>70</v>
      </c>
      <c r="F500" s="459">
        <v>37</v>
      </c>
      <c r="G500" s="459">
        <v>42</v>
      </c>
      <c r="H500" s="459">
        <v>44</v>
      </c>
      <c r="I500" s="183">
        <f>SUM(F500:H500)</f>
        <v>123</v>
      </c>
      <c r="J500" s="459">
        <v>39</v>
      </c>
      <c r="K500" s="459">
        <v>36</v>
      </c>
      <c r="L500" s="459">
        <v>34</v>
      </c>
      <c r="M500" s="183">
        <f>SUM(J500:L500)</f>
        <v>109</v>
      </c>
      <c r="N500" s="459">
        <v>29</v>
      </c>
      <c r="O500" s="459">
        <v>23</v>
      </c>
      <c r="P500" s="459">
        <v>19</v>
      </c>
      <c r="Q500" s="183">
        <f>SUM(N500:P500)</f>
        <v>71</v>
      </c>
      <c r="R500" s="183">
        <f>+E500+I500+M500+Q500</f>
        <v>373</v>
      </c>
    </row>
    <row r="501" spans="1:18" ht="15.75" customHeight="1" thickBot="1" x14ac:dyDescent="0.4">
      <c r="A501" s="12"/>
      <c r="B501" s="181"/>
      <c r="C501" s="181"/>
      <c r="D501" s="181"/>
      <c r="E501" s="178"/>
      <c r="F501" s="181"/>
      <c r="G501" s="181"/>
      <c r="H501" s="181"/>
      <c r="I501" s="178"/>
      <c r="J501" s="181"/>
      <c r="K501" s="181"/>
      <c r="L501" s="181"/>
      <c r="M501" s="178"/>
      <c r="N501" s="181"/>
      <c r="O501" s="181"/>
      <c r="P501" s="181"/>
      <c r="Q501" s="178"/>
      <c r="R501" s="476"/>
    </row>
    <row r="502" spans="1:18" ht="15.75" customHeight="1" x14ac:dyDescent="0.35">
      <c r="A502" s="496" t="s">
        <v>120</v>
      </c>
      <c r="B502" s="497">
        <f>B500</f>
        <v>20</v>
      </c>
      <c r="C502" s="497">
        <f>C500</f>
        <v>22</v>
      </c>
      <c r="D502" s="497">
        <f>D500</f>
        <v>28</v>
      </c>
      <c r="E502" s="185">
        <f>SUM(B502:D502)</f>
        <v>70</v>
      </c>
      <c r="F502" s="497">
        <f>F500</f>
        <v>37</v>
      </c>
      <c r="G502" s="497">
        <f>G500</f>
        <v>42</v>
      </c>
      <c r="H502" s="497">
        <f>H500</f>
        <v>44</v>
      </c>
      <c r="I502" s="185">
        <f>SUM(F502:H502)</f>
        <v>123</v>
      </c>
      <c r="J502" s="497">
        <f>J500</f>
        <v>39</v>
      </c>
      <c r="K502" s="497">
        <f>K500</f>
        <v>36</v>
      </c>
      <c r="L502" s="497">
        <f>L500</f>
        <v>34</v>
      </c>
      <c r="M502" s="185">
        <f>SUM(J502:L502)</f>
        <v>109</v>
      </c>
      <c r="N502" s="497">
        <f>N500</f>
        <v>29</v>
      </c>
      <c r="O502" s="497">
        <f>O500</f>
        <v>23</v>
      </c>
      <c r="P502" s="497">
        <f>P500</f>
        <v>19</v>
      </c>
      <c r="Q502" s="185">
        <f>SUM(N502:P502)</f>
        <v>71</v>
      </c>
      <c r="R502" s="185">
        <f>+E502+I502+M502+Q502</f>
        <v>373</v>
      </c>
    </row>
    <row r="503" spans="1:18" ht="15.75" customHeight="1" x14ac:dyDescent="0.35">
      <c r="A503" s="499" t="s">
        <v>1897</v>
      </c>
      <c r="B503" s="2">
        <f>(B502/31)/1.983</f>
        <v>0.32534608689993977</v>
      </c>
      <c r="C503" s="2">
        <f>(C502/28)/1.983</f>
        <v>0.39622505583171236</v>
      </c>
      <c r="D503" s="2">
        <f>(D502/31)/1.983</f>
        <v>0.45548452165991571</v>
      </c>
      <c r="E503" s="183" t="s">
        <v>852</v>
      </c>
      <c r="F503" s="2">
        <f>(F502/30)/1.983</f>
        <v>0.62195326945705165</v>
      </c>
      <c r="G503" s="2">
        <f>(G502/31)/1.983</f>
        <v>0.68322678248987356</v>
      </c>
      <c r="H503" s="2">
        <f>(H502/30)/1.983</f>
        <v>0.73962010421919644</v>
      </c>
      <c r="I503" s="183" t="s">
        <v>852</v>
      </c>
      <c r="J503" s="2">
        <f>(J502/31)/1.983</f>
        <v>0.63442486945488263</v>
      </c>
      <c r="K503" s="2">
        <f>(K502/31)/1.983</f>
        <v>0.5856229564198917</v>
      </c>
      <c r="L503" s="2">
        <f>(L502/30)/1.983</f>
        <v>0.57152462598756093</v>
      </c>
      <c r="M503" s="183" t="s">
        <v>852</v>
      </c>
      <c r="N503" s="2">
        <f>(N502/31)/1.983</f>
        <v>0.47175182600491267</v>
      </c>
      <c r="O503" s="2">
        <f>(O502/30)/1.983</f>
        <v>0.38661959993276179</v>
      </c>
      <c r="P503" s="2">
        <f>(P502/31)/1.983</f>
        <v>0.30907878255494281</v>
      </c>
      <c r="Q503" s="183" t="s">
        <v>852</v>
      </c>
      <c r="R503" s="183" t="s">
        <v>852</v>
      </c>
    </row>
    <row r="504" spans="1:18" ht="15.75" customHeight="1" x14ac:dyDescent="0.35">
      <c r="A504" s="499" t="s">
        <v>2019</v>
      </c>
      <c r="B504" s="2">
        <f>B502+B539</f>
        <v>16025</v>
      </c>
      <c r="C504" s="2">
        <f>C502+C539</f>
        <v>5592</v>
      </c>
      <c r="D504" s="2">
        <f>D502+D539</f>
        <v>5076</v>
      </c>
      <c r="E504" s="183">
        <f>SUM(B504:D504)</f>
        <v>26693</v>
      </c>
      <c r="F504" s="2">
        <f>F502+F539</f>
        <v>9690</v>
      </c>
      <c r="G504" s="2">
        <f>G502+G539</f>
        <v>11015</v>
      </c>
      <c r="H504" s="2">
        <f>H502+H539</f>
        <v>12582</v>
      </c>
      <c r="I504" s="183">
        <f>SUM(F504:H504)</f>
        <v>33287</v>
      </c>
      <c r="J504" s="2">
        <f>J502+J539</f>
        <v>19489</v>
      </c>
      <c r="K504" s="2">
        <f>K502+K539</f>
        <v>21302</v>
      </c>
      <c r="L504" s="2">
        <f>L502+L539</f>
        <v>19430</v>
      </c>
      <c r="M504" s="183">
        <f>SUM(J504:L504)</f>
        <v>60221</v>
      </c>
      <c r="N504" s="2">
        <f>N502+N539</f>
        <v>17989</v>
      </c>
      <c r="O504" s="2">
        <f>O502+O539</f>
        <v>5519</v>
      </c>
      <c r="P504" s="2">
        <f>P502+P539</f>
        <v>17569</v>
      </c>
      <c r="Q504" s="183">
        <f>SUM(N504:P504)</f>
        <v>41077</v>
      </c>
      <c r="R504" s="183">
        <f>+E504+I504+M504+Q504</f>
        <v>161278</v>
      </c>
    </row>
    <row r="505" spans="1:18" ht="15.75" customHeight="1" thickBot="1" x14ac:dyDescent="0.4">
      <c r="A505" s="500" t="s">
        <v>1332</v>
      </c>
      <c r="B505" s="467">
        <f>(B504/31)/1.983</f>
        <v>260.68355212857671</v>
      </c>
      <c r="C505" s="467">
        <f>(C504/28)/1.983</f>
        <v>100.71320510049708</v>
      </c>
      <c r="D505" s="467">
        <f>(D504/31)/1.983</f>
        <v>82.572836855204727</v>
      </c>
      <c r="E505" s="186" t="s">
        <v>852</v>
      </c>
      <c r="F505" s="467">
        <f>(F504/30)/1.983</f>
        <v>162.88451840645484</v>
      </c>
      <c r="G505" s="467">
        <f>(G504/31)/1.983</f>
        <v>179.18435736014183</v>
      </c>
      <c r="H505" s="467">
        <f>(H504/30)/1.983</f>
        <v>211.49773071104386</v>
      </c>
      <c r="I505" s="186" t="s">
        <v>852</v>
      </c>
      <c r="J505" s="467">
        <f>(J504/31)/1.983</f>
        <v>317.0334943796463</v>
      </c>
      <c r="K505" s="467">
        <f>(K504/31)/1.983</f>
        <v>346.52611715712584</v>
      </c>
      <c r="L505" s="467">
        <f>(L504/30)/1.983</f>
        <v>326.60951420406786</v>
      </c>
      <c r="M505" s="186" t="s">
        <v>852</v>
      </c>
      <c r="N505" s="467">
        <f>(N504/31)/1.983</f>
        <v>292.63253786215085</v>
      </c>
      <c r="O505" s="467">
        <f>(O504/30)/1.983</f>
        <v>92.771894436039673</v>
      </c>
      <c r="P505" s="467">
        <f>(P504/31)/1.983</f>
        <v>285.80027003725212</v>
      </c>
      <c r="Q505" s="186" t="s">
        <v>852</v>
      </c>
      <c r="R505" s="186" t="s">
        <v>852</v>
      </c>
    </row>
    <row r="506" spans="1:18" ht="15.75" customHeight="1" x14ac:dyDescent="0.35">
      <c r="A506" s="8"/>
      <c r="B506" s="2"/>
      <c r="C506" s="2"/>
      <c r="D506" s="2"/>
      <c r="E506" s="2"/>
      <c r="F506" s="2"/>
      <c r="G506" s="2"/>
      <c r="H506" s="2"/>
      <c r="I506" s="2"/>
      <c r="J506" s="2"/>
      <c r="K506" s="2"/>
      <c r="L506" s="2"/>
      <c r="M506" s="2"/>
      <c r="N506" s="2"/>
      <c r="O506" s="2"/>
      <c r="P506" s="2"/>
      <c r="Q506" s="2"/>
      <c r="R506" s="187"/>
    </row>
    <row r="507" spans="1:18" ht="15.75" customHeight="1" thickBot="1" x14ac:dyDescent="0.4">
      <c r="A507" s="8"/>
      <c r="B507" s="2"/>
      <c r="C507" s="2"/>
      <c r="D507" s="2"/>
      <c r="E507" s="2"/>
      <c r="F507" s="2"/>
      <c r="G507" s="2"/>
      <c r="H507" s="2"/>
      <c r="I507" s="2"/>
      <c r="J507" s="2"/>
      <c r="K507" s="2"/>
      <c r="L507" s="2"/>
      <c r="M507" s="2"/>
      <c r="N507" s="2"/>
      <c r="O507" s="2"/>
      <c r="P507" s="2"/>
      <c r="Q507" s="2"/>
      <c r="R507" s="187"/>
    </row>
    <row r="508" spans="1:18" ht="15.75" customHeight="1" thickBot="1" x14ac:dyDescent="0.4">
      <c r="A508" s="470" t="s">
        <v>1333</v>
      </c>
      <c r="B508" s="179" t="s">
        <v>2090</v>
      </c>
      <c r="C508" s="180" t="s">
        <v>2091</v>
      </c>
      <c r="D508" s="180" t="s">
        <v>2234</v>
      </c>
      <c r="E508" s="175" t="s">
        <v>1594</v>
      </c>
      <c r="F508" s="180" t="s">
        <v>2235</v>
      </c>
      <c r="G508" s="180" t="s">
        <v>2236</v>
      </c>
      <c r="H508" s="180" t="s">
        <v>2237</v>
      </c>
      <c r="I508" s="64" t="s">
        <v>1595</v>
      </c>
      <c r="J508" s="180" t="s">
        <v>1504</v>
      </c>
      <c r="K508" s="180" t="s">
        <v>1505</v>
      </c>
      <c r="L508" s="180" t="s">
        <v>1506</v>
      </c>
      <c r="M508" s="64" t="s">
        <v>1596</v>
      </c>
      <c r="N508" s="180" t="s">
        <v>1507</v>
      </c>
      <c r="O508" s="180" t="s">
        <v>1508</v>
      </c>
      <c r="P508" s="180" t="s">
        <v>1509</v>
      </c>
      <c r="Q508" s="64" t="s">
        <v>1597</v>
      </c>
      <c r="R508" s="471" t="s">
        <v>1510</v>
      </c>
    </row>
    <row r="509" spans="1:18" ht="15.75" customHeight="1" thickBot="1" x14ac:dyDescent="0.4">
      <c r="A509" s="12"/>
      <c r="B509" s="181"/>
      <c r="C509" s="181"/>
      <c r="D509" s="181"/>
      <c r="E509" s="178"/>
      <c r="F509" s="181"/>
      <c r="G509" s="181"/>
      <c r="H509" s="181"/>
      <c r="I509" s="178"/>
      <c r="J509" s="181"/>
      <c r="K509" s="181"/>
      <c r="L509" s="181"/>
      <c r="M509" s="178"/>
      <c r="N509" s="181"/>
      <c r="O509" s="181"/>
      <c r="P509" s="181"/>
      <c r="Q509" s="178"/>
      <c r="R509" s="473"/>
    </row>
    <row r="510" spans="1:18" ht="15.75" customHeight="1" x14ac:dyDescent="0.35">
      <c r="A510" s="6" t="s">
        <v>2417</v>
      </c>
      <c r="B510" s="2" t="s">
        <v>852</v>
      </c>
      <c r="C510" s="2" t="s">
        <v>852</v>
      </c>
      <c r="D510" s="2" t="s">
        <v>852</v>
      </c>
      <c r="E510" s="183" t="s">
        <v>852</v>
      </c>
      <c r="F510" s="2" t="s">
        <v>852</v>
      </c>
      <c r="G510" s="2" t="s">
        <v>852</v>
      </c>
      <c r="H510" s="2" t="s">
        <v>852</v>
      </c>
      <c r="I510" s="183" t="s">
        <v>852</v>
      </c>
      <c r="J510" s="2" t="s">
        <v>852</v>
      </c>
      <c r="K510" s="2" t="s">
        <v>852</v>
      </c>
      <c r="L510" s="2" t="s">
        <v>852</v>
      </c>
      <c r="M510" s="183" t="s">
        <v>852</v>
      </c>
      <c r="N510" s="2" t="s">
        <v>852</v>
      </c>
      <c r="O510" s="2" t="s">
        <v>852</v>
      </c>
      <c r="P510" s="2" t="s">
        <v>852</v>
      </c>
      <c r="Q510" s="183" t="s">
        <v>852</v>
      </c>
      <c r="R510" s="183" t="s">
        <v>852</v>
      </c>
    </row>
    <row r="511" spans="1:18" ht="15.75" customHeight="1" x14ac:dyDescent="0.35">
      <c r="A511" s="6" t="s">
        <v>2160</v>
      </c>
      <c r="B511" s="2"/>
      <c r="C511" s="2"/>
      <c r="D511" s="2"/>
      <c r="E511" s="183" t="s">
        <v>852</v>
      </c>
      <c r="F511" s="2"/>
      <c r="G511" s="2"/>
      <c r="H511" s="2"/>
      <c r="I511" s="183" t="s">
        <v>852</v>
      </c>
      <c r="J511" s="2"/>
      <c r="K511" s="2"/>
      <c r="L511" s="2"/>
      <c r="M511" s="183" t="s">
        <v>852</v>
      </c>
      <c r="N511" s="2"/>
      <c r="O511" s="2"/>
      <c r="P511" s="2"/>
      <c r="Q511" s="183" t="s">
        <v>852</v>
      </c>
      <c r="R511" s="183" t="s">
        <v>852</v>
      </c>
    </row>
    <row r="512" spans="1:18" ht="15.75" customHeight="1" x14ac:dyDescent="0.35">
      <c r="A512" s="9" t="s">
        <v>2130</v>
      </c>
      <c r="B512" s="2">
        <v>0</v>
      </c>
      <c r="C512" s="2">
        <v>0</v>
      </c>
      <c r="D512" s="2">
        <v>0</v>
      </c>
      <c r="E512" s="183">
        <f>SUM(B512:D512)</f>
        <v>0</v>
      </c>
      <c r="F512" s="2">
        <v>0</v>
      </c>
      <c r="G512" s="2">
        <v>0</v>
      </c>
      <c r="H512" s="2">
        <v>1</v>
      </c>
      <c r="I512" s="183">
        <f>SUM(F512:H512)</f>
        <v>1</v>
      </c>
      <c r="J512" s="2">
        <v>787</v>
      </c>
      <c r="K512" s="2">
        <v>629</v>
      </c>
      <c r="L512" s="2">
        <v>662</v>
      </c>
      <c r="M512" s="183">
        <f>SUM(J512:L512)</f>
        <v>2078</v>
      </c>
      <c r="N512" s="2">
        <v>493</v>
      </c>
      <c r="O512" s="2">
        <v>32</v>
      </c>
      <c r="P512" s="2">
        <v>0</v>
      </c>
      <c r="Q512" s="183">
        <f>SUM(N512:P512)</f>
        <v>525</v>
      </c>
      <c r="R512" s="183">
        <f>+E512+I512+M512+Q512</f>
        <v>2604</v>
      </c>
    </row>
    <row r="513" spans="1:18" ht="15.75" customHeight="1" x14ac:dyDescent="0.35">
      <c r="A513" s="9" t="s">
        <v>537</v>
      </c>
      <c r="B513" s="2">
        <v>0</v>
      </c>
      <c r="C513" s="2">
        <v>0</v>
      </c>
      <c r="D513" s="2">
        <v>68</v>
      </c>
      <c r="E513" s="183">
        <f>SUM(B513:D513)</f>
        <v>68</v>
      </c>
      <c r="F513" s="2">
        <v>0</v>
      </c>
      <c r="G513" s="2">
        <v>0</v>
      </c>
      <c r="H513" s="2">
        <v>72</v>
      </c>
      <c r="I513" s="183">
        <f>SUM(F513:H513)</f>
        <v>72</v>
      </c>
      <c r="J513" s="2">
        <v>95</v>
      </c>
      <c r="K513" s="2">
        <v>35</v>
      </c>
      <c r="L513" s="2">
        <v>0</v>
      </c>
      <c r="M513" s="183">
        <f>SUM(J513:L513)</f>
        <v>130</v>
      </c>
      <c r="N513" s="2">
        <v>0</v>
      </c>
      <c r="O513" s="2">
        <v>0</v>
      </c>
      <c r="P513" s="2">
        <v>0</v>
      </c>
      <c r="Q513" s="183">
        <f>SUM(N513:P513)</f>
        <v>0</v>
      </c>
      <c r="R513" s="183">
        <f>+E513+I513+M513+Q513</f>
        <v>270</v>
      </c>
    </row>
    <row r="514" spans="1:18" ht="15.75" customHeight="1" x14ac:dyDescent="0.35">
      <c r="A514" s="6" t="s">
        <v>2161</v>
      </c>
      <c r="B514" s="2"/>
      <c r="C514" s="2"/>
      <c r="D514" s="2"/>
      <c r="E514" s="183" t="s">
        <v>852</v>
      </c>
      <c r="F514" s="2"/>
      <c r="G514" s="2"/>
      <c r="H514" s="2"/>
      <c r="I514" s="183" t="s">
        <v>852</v>
      </c>
      <c r="J514" s="2"/>
      <c r="K514" s="2"/>
      <c r="L514" s="2"/>
      <c r="M514" s="183" t="s">
        <v>852</v>
      </c>
      <c r="N514" s="2"/>
      <c r="O514" s="2"/>
      <c r="P514" s="2"/>
      <c r="Q514" s="183" t="s">
        <v>852</v>
      </c>
      <c r="R514" s="183" t="s">
        <v>852</v>
      </c>
    </row>
    <row r="515" spans="1:18" ht="15.75" customHeight="1" x14ac:dyDescent="0.35">
      <c r="A515" s="6" t="s">
        <v>2162</v>
      </c>
      <c r="B515" s="2"/>
      <c r="C515" s="2"/>
      <c r="D515" s="2"/>
      <c r="E515" s="183" t="s">
        <v>852</v>
      </c>
      <c r="F515" s="2"/>
      <c r="G515" s="2"/>
      <c r="H515" s="2"/>
      <c r="I515" s="183" t="s">
        <v>852</v>
      </c>
      <c r="J515" s="2"/>
      <c r="K515" s="2"/>
      <c r="L515" s="2"/>
      <c r="M515" s="183" t="s">
        <v>852</v>
      </c>
      <c r="N515" s="2"/>
      <c r="O515" s="2"/>
      <c r="P515" s="2"/>
      <c r="Q515" s="183" t="s">
        <v>852</v>
      </c>
      <c r="R515" s="183" t="s">
        <v>852</v>
      </c>
    </row>
    <row r="516" spans="1:18" ht="15.75" customHeight="1" thickBot="1" x14ac:dyDescent="0.4">
      <c r="A516" s="6" t="s">
        <v>2164</v>
      </c>
      <c r="B516" s="2"/>
      <c r="C516" s="2"/>
      <c r="D516" s="2"/>
      <c r="E516" s="183" t="s">
        <v>852</v>
      </c>
      <c r="F516" s="2"/>
      <c r="G516" s="2"/>
      <c r="H516" s="2"/>
      <c r="I516" s="183" t="s">
        <v>852</v>
      </c>
      <c r="J516" s="2"/>
      <c r="K516" s="2"/>
      <c r="L516" s="2"/>
      <c r="M516" s="183" t="s">
        <v>852</v>
      </c>
      <c r="N516" s="2"/>
      <c r="O516" s="2"/>
      <c r="P516" s="2"/>
      <c r="Q516" s="183" t="s">
        <v>852</v>
      </c>
      <c r="R516" s="183" t="s">
        <v>852</v>
      </c>
    </row>
    <row r="517" spans="1:18" ht="15.75" customHeight="1" thickBot="1" x14ac:dyDescent="0.4">
      <c r="A517" s="523" t="s">
        <v>1218</v>
      </c>
      <c r="B517" s="188">
        <f>SUM(B510:B516)</f>
        <v>0</v>
      </c>
      <c r="C517" s="189">
        <f>SUM(C510:C516)</f>
        <v>0</v>
      </c>
      <c r="D517" s="189">
        <f>SUM(D510:D516)</f>
        <v>68</v>
      </c>
      <c r="E517" s="56">
        <f>SUM(B517:D517)</f>
        <v>68</v>
      </c>
      <c r="F517" s="189">
        <f>SUM(F510:F516)</f>
        <v>0</v>
      </c>
      <c r="G517" s="189">
        <f>SUM(G510:G516)</f>
        <v>0</v>
      </c>
      <c r="H517" s="189">
        <f>SUM(H510:H516)</f>
        <v>73</v>
      </c>
      <c r="I517" s="56">
        <f>SUM(F517:H517)</f>
        <v>73</v>
      </c>
      <c r="J517" s="189">
        <f>SUM(J510:J516)</f>
        <v>882</v>
      </c>
      <c r="K517" s="189">
        <f>SUM(K510:K516)</f>
        <v>664</v>
      </c>
      <c r="L517" s="189">
        <f>SUM(L510:L516)</f>
        <v>662</v>
      </c>
      <c r="M517" s="56">
        <f>SUM(J517:L517)</f>
        <v>2208</v>
      </c>
      <c r="N517" s="189">
        <f>SUM(N510:N516)</f>
        <v>493</v>
      </c>
      <c r="O517" s="189">
        <f>SUM(O510:O516)</f>
        <v>32</v>
      </c>
      <c r="P517" s="189">
        <f>SUM(P510:P516)</f>
        <v>0</v>
      </c>
      <c r="Q517" s="56">
        <f>SUM(N517:P517)</f>
        <v>525</v>
      </c>
      <c r="R517" s="56">
        <f>+E517+I517+M517+Q517</f>
        <v>2874</v>
      </c>
    </row>
    <row r="518" spans="1:18" ht="15.75" customHeight="1" x14ac:dyDescent="0.35">
      <c r="A518" s="6" t="s">
        <v>1172</v>
      </c>
      <c r="B518" s="2"/>
      <c r="C518" s="2"/>
      <c r="D518" s="2"/>
      <c r="E518" s="183" t="s">
        <v>852</v>
      </c>
      <c r="F518" s="2"/>
      <c r="G518" s="2"/>
      <c r="H518" s="2"/>
      <c r="I518" s="183" t="s">
        <v>852</v>
      </c>
      <c r="J518" s="2"/>
      <c r="K518" s="2"/>
      <c r="L518" s="2"/>
      <c r="M518" s="183" t="s">
        <v>852</v>
      </c>
      <c r="N518" s="2"/>
      <c r="O518" s="2"/>
      <c r="P518" s="2"/>
      <c r="Q518" s="183" t="s">
        <v>852</v>
      </c>
      <c r="R518" s="183" t="s">
        <v>852</v>
      </c>
    </row>
    <row r="519" spans="1:18" ht="15.75" customHeight="1" x14ac:dyDescent="0.35">
      <c r="A519" s="6" t="s">
        <v>2409</v>
      </c>
      <c r="B519" s="2"/>
      <c r="C519" s="2"/>
      <c r="D519" s="2"/>
      <c r="E519" s="183" t="s">
        <v>852</v>
      </c>
      <c r="F519" s="2"/>
      <c r="G519" s="2"/>
      <c r="H519" s="2"/>
      <c r="I519" s="183" t="s">
        <v>852</v>
      </c>
      <c r="J519" s="2"/>
      <c r="K519" s="2"/>
      <c r="L519" s="2"/>
      <c r="M519" s="183" t="s">
        <v>852</v>
      </c>
      <c r="N519" s="2"/>
      <c r="O519" s="2"/>
      <c r="P519" s="2"/>
      <c r="Q519" s="183" t="s">
        <v>852</v>
      </c>
      <c r="R519" s="183" t="s">
        <v>852</v>
      </c>
    </row>
    <row r="520" spans="1:18" ht="15.75" customHeight="1" thickBot="1" x14ac:dyDescent="0.4">
      <c r="A520" s="6" t="s">
        <v>2165</v>
      </c>
      <c r="B520" s="2"/>
      <c r="C520" s="2"/>
      <c r="D520" s="2"/>
      <c r="E520" s="183" t="s">
        <v>852</v>
      </c>
      <c r="F520" s="2"/>
      <c r="G520" s="2"/>
      <c r="H520" s="2"/>
      <c r="I520" s="183" t="s">
        <v>852</v>
      </c>
      <c r="J520" s="2"/>
      <c r="K520" s="2"/>
      <c r="L520" s="2"/>
      <c r="M520" s="183" t="s">
        <v>852</v>
      </c>
      <c r="N520" s="2"/>
      <c r="O520" s="2"/>
      <c r="P520" s="2"/>
      <c r="Q520" s="183" t="s">
        <v>852</v>
      </c>
      <c r="R520" s="183" t="s">
        <v>852</v>
      </c>
    </row>
    <row r="521" spans="1:18" ht="15.75" customHeight="1" thickBot="1" x14ac:dyDescent="0.4">
      <c r="A521" s="41" t="s">
        <v>1219</v>
      </c>
      <c r="B521" s="188">
        <f>SUM(B518:B520)</f>
        <v>0</v>
      </c>
      <c r="C521" s="189">
        <f>SUM(C518:C520)</f>
        <v>0</v>
      </c>
      <c r="D521" s="189">
        <f>SUM(D518:D520)</f>
        <v>0</v>
      </c>
      <c r="E521" s="56">
        <f>SUM(B521:D521)</f>
        <v>0</v>
      </c>
      <c r="F521" s="189">
        <f>SUM(F518:F520)</f>
        <v>0</v>
      </c>
      <c r="G521" s="189">
        <f>SUM(G518:G520)</f>
        <v>0</v>
      </c>
      <c r="H521" s="189">
        <f>SUM(H518:H520)</f>
        <v>0</v>
      </c>
      <c r="I521" s="56">
        <f>SUM(F521:H521)</f>
        <v>0</v>
      </c>
      <c r="J521" s="189">
        <f>SUM(J518:J520)</f>
        <v>0</v>
      </c>
      <c r="K521" s="189">
        <f>SUM(K518:K520)</f>
        <v>0</v>
      </c>
      <c r="L521" s="189">
        <f>SUM(L518:L520)</f>
        <v>0</v>
      </c>
      <c r="M521" s="56">
        <f>SUM(J521:L521)</f>
        <v>0</v>
      </c>
      <c r="N521" s="189">
        <f>SUM(N518:N520)</f>
        <v>0</v>
      </c>
      <c r="O521" s="189">
        <f>SUM(O518:O520)</f>
        <v>0</v>
      </c>
      <c r="P521" s="189">
        <f>SUM(P518:P520)</f>
        <v>0</v>
      </c>
      <c r="Q521" s="56">
        <f>SUM(N521:P521)</f>
        <v>0</v>
      </c>
      <c r="R521" s="56">
        <f>+E521+I521+M521+Q521</f>
        <v>0</v>
      </c>
    </row>
    <row r="522" spans="1:18" ht="15.75" customHeight="1" x14ac:dyDescent="0.35">
      <c r="A522" s="6" t="s">
        <v>2166</v>
      </c>
      <c r="B522" s="2"/>
      <c r="C522" s="2"/>
      <c r="D522" s="2"/>
      <c r="E522" s="183" t="s">
        <v>852</v>
      </c>
      <c r="F522" s="2"/>
      <c r="G522" s="2"/>
      <c r="H522" s="2"/>
      <c r="I522" s="183" t="s">
        <v>852</v>
      </c>
      <c r="J522" s="2"/>
      <c r="K522" s="2"/>
      <c r="L522" s="2"/>
      <c r="M522" s="183" t="s">
        <v>852</v>
      </c>
      <c r="N522" s="2"/>
      <c r="O522" s="2"/>
      <c r="P522" s="2"/>
      <c r="Q522" s="183" t="s">
        <v>852</v>
      </c>
      <c r="R522" s="183" t="s">
        <v>852</v>
      </c>
    </row>
    <row r="523" spans="1:18" ht="15.75" customHeight="1" x14ac:dyDescent="0.35">
      <c r="A523" s="6" t="s">
        <v>1245</v>
      </c>
      <c r="B523" s="2"/>
      <c r="C523" s="2"/>
      <c r="D523" s="2"/>
      <c r="E523" s="183" t="s">
        <v>852</v>
      </c>
      <c r="F523" s="2"/>
      <c r="G523" s="2"/>
      <c r="H523" s="2"/>
      <c r="I523" s="183" t="s">
        <v>852</v>
      </c>
      <c r="J523" s="2"/>
      <c r="K523" s="2"/>
      <c r="L523" s="2"/>
      <c r="M523" s="183" t="s">
        <v>852</v>
      </c>
      <c r="N523" s="2"/>
      <c r="O523" s="2"/>
      <c r="P523" s="2"/>
      <c r="Q523" s="183" t="s">
        <v>852</v>
      </c>
      <c r="R523" s="183" t="s">
        <v>852</v>
      </c>
    </row>
    <row r="524" spans="1:18" ht="15.75" customHeight="1" thickBot="1" x14ac:dyDescent="0.4">
      <c r="A524" s="6" t="s">
        <v>1711</v>
      </c>
      <c r="B524" s="2"/>
      <c r="C524" s="2"/>
      <c r="D524" s="2"/>
      <c r="E524" s="183" t="s">
        <v>852</v>
      </c>
      <c r="F524" s="2"/>
      <c r="G524" s="2"/>
      <c r="H524" s="2"/>
      <c r="I524" s="183" t="s">
        <v>852</v>
      </c>
      <c r="J524" s="2"/>
      <c r="K524" s="2"/>
      <c r="L524" s="2"/>
      <c r="M524" s="183" t="s">
        <v>852</v>
      </c>
      <c r="N524" s="2"/>
      <c r="O524" s="2"/>
      <c r="P524" s="2"/>
      <c r="Q524" s="183" t="s">
        <v>852</v>
      </c>
      <c r="R524" s="183" t="s">
        <v>852</v>
      </c>
    </row>
    <row r="525" spans="1:18" ht="15.75" customHeight="1" thickBot="1" x14ac:dyDescent="0.4">
      <c r="A525" s="57" t="s">
        <v>1220</v>
      </c>
      <c r="B525" s="188">
        <f>SUM(B522:B524)</f>
        <v>0</v>
      </c>
      <c r="C525" s="189">
        <f>SUM(C522:C524)</f>
        <v>0</v>
      </c>
      <c r="D525" s="189">
        <f>SUM(D522:D524)</f>
        <v>0</v>
      </c>
      <c r="E525" s="56">
        <f>SUM(B525:D525)</f>
        <v>0</v>
      </c>
      <c r="F525" s="189">
        <f>SUM(F522:F524)</f>
        <v>0</v>
      </c>
      <c r="G525" s="189">
        <f>SUM(G522:G524)</f>
        <v>0</v>
      </c>
      <c r="H525" s="189">
        <f>SUM(H522:H524)</f>
        <v>0</v>
      </c>
      <c r="I525" s="56">
        <f>SUM(F525:H525)</f>
        <v>0</v>
      </c>
      <c r="J525" s="189">
        <f>SUM(J522:J524)</f>
        <v>0</v>
      </c>
      <c r="K525" s="189">
        <f>SUM(K522:K524)</f>
        <v>0</v>
      </c>
      <c r="L525" s="189">
        <f>SUM(L522:L524)</f>
        <v>0</v>
      </c>
      <c r="M525" s="56">
        <f>SUM(J525:L525)</f>
        <v>0</v>
      </c>
      <c r="N525" s="189">
        <f>SUM(N522:N524)</f>
        <v>0</v>
      </c>
      <c r="O525" s="189">
        <f>SUM(O522:O524)</f>
        <v>0</v>
      </c>
      <c r="P525" s="189">
        <f>SUM(P522:P524)</f>
        <v>0</v>
      </c>
      <c r="Q525" s="56">
        <f>SUM(N525:P525)</f>
        <v>0</v>
      </c>
      <c r="R525" s="56">
        <f>+E525+I525+M525+Q525</f>
        <v>0</v>
      </c>
    </row>
    <row r="526" spans="1:18" ht="15.75" customHeight="1" x14ac:dyDescent="0.35">
      <c r="A526" s="6" t="s">
        <v>1712</v>
      </c>
      <c r="B526" s="2"/>
      <c r="C526" s="2"/>
      <c r="D526" s="2"/>
      <c r="E526" s="183" t="s">
        <v>852</v>
      </c>
      <c r="F526" s="2"/>
      <c r="G526" s="2"/>
      <c r="H526" s="2"/>
      <c r="I526" s="183" t="s">
        <v>852</v>
      </c>
      <c r="J526" s="2"/>
      <c r="K526" s="2"/>
      <c r="L526" s="2"/>
      <c r="M526" s="183" t="s">
        <v>852</v>
      </c>
      <c r="N526" s="2"/>
      <c r="O526" s="2"/>
      <c r="P526" s="2"/>
      <c r="Q526" s="183" t="s">
        <v>852</v>
      </c>
      <c r="R526" s="183" t="s">
        <v>852</v>
      </c>
    </row>
    <row r="527" spans="1:18" ht="15.75" customHeight="1" x14ac:dyDescent="0.35">
      <c r="A527" s="6" t="s">
        <v>556</v>
      </c>
      <c r="B527" s="2"/>
      <c r="C527" s="2"/>
      <c r="D527" s="2"/>
      <c r="E527" s="183" t="s">
        <v>852</v>
      </c>
      <c r="F527" s="2"/>
      <c r="G527" s="2"/>
      <c r="H527" s="2"/>
      <c r="I527" s="183" t="s">
        <v>852</v>
      </c>
      <c r="J527" s="2"/>
      <c r="K527" s="2"/>
      <c r="L527" s="2"/>
      <c r="M527" s="183" t="s">
        <v>852</v>
      </c>
      <c r="N527" s="2"/>
      <c r="O527" s="2"/>
      <c r="P527" s="2"/>
      <c r="Q527" s="183" t="s">
        <v>852</v>
      </c>
      <c r="R527" s="183" t="s">
        <v>852</v>
      </c>
    </row>
    <row r="528" spans="1:18" ht="15.75" customHeight="1" x14ac:dyDescent="0.35">
      <c r="A528" s="6" t="s">
        <v>557</v>
      </c>
      <c r="B528" s="2"/>
      <c r="C528" s="2"/>
      <c r="D528" s="2"/>
      <c r="E528" s="183" t="s">
        <v>852</v>
      </c>
      <c r="F528" s="2"/>
      <c r="G528" s="2"/>
      <c r="H528" s="2"/>
      <c r="I528" s="183" t="s">
        <v>852</v>
      </c>
      <c r="J528" s="2"/>
      <c r="K528" s="2"/>
      <c r="L528" s="2"/>
      <c r="M528" s="183" t="s">
        <v>852</v>
      </c>
      <c r="N528" s="2"/>
      <c r="O528" s="2"/>
      <c r="P528" s="2"/>
      <c r="Q528" s="183" t="s">
        <v>852</v>
      </c>
      <c r="R528" s="183" t="s">
        <v>852</v>
      </c>
    </row>
    <row r="529" spans="1:18" ht="15.75" customHeight="1" x14ac:dyDescent="0.35">
      <c r="A529" s="9" t="s">
        <v>582</v>
      </c>
      <c r="B529" s="2">
        <v>0</v>
      </c>
      <c r="C529" s="2">
        <v>0</v>
      </c>
      <c r="D529" s="2">
        <v>0</v>
      </c>
      <c r="E529" s="183">
        <f>SUM(B529:D529)</f>
        <v>0</v>
      </c>
      <c r="F529" s="2">
        <v>0</v>
      </c>
      <c r="G529" s="2">
        <v>0</v>
      </c>
      <c r="H529" s="2">
        <v>0</v>
      </c>
      <c r="I529" s="183">
        <f>SUM(F529:H529)</f>
        <v>0</v>
      </c>
      <c r="J529" s="2">
        <v>0</v>
      </c>
      <c r="K529" s="2">
        <v>0</v>
      </c>
      <c r="L529" s="2">
        <v>0</v>
      </c>
      <c r="M529" s="183">
        <f>SUM(J529:L529)</f>
        <v>0</v>
      </c>
      <c r="N529" s="2">
        <v>0</v>
      </c>
      <c r="O529" s="2">
        <v>0</v>
      </c>
      <c r="P529" s="2">
        <v>0</v>
      </c>
      <c r="Q529" s="183">
        <f>SUM(N529:P529)</f>
        <v>0</v>
      </c>
      <c r="R529" s="183">
        <f>+E529+I529+M529+Q529</f>
        <v>0</v>
      </c>
    </row>
    <row r="530" spans="1:18" ht="15.75" customHeight="1" x14ac:dyDescent="0.35">
      <c r="A530" s="6" t="s">
        <v>558</v>
      </c>
      <c r="B530" s="2"/>
      <c r="C530" s="2"/>
      <c r="D530" s="2"/>
      <c r="E530" s="183" t="s">
        <v>852</v>
      </c>
      <c r="F530" s="2"/>
      <c r="G530" s="2"/>
      <c r="H530" s="2"/>
      <c r="I530" s="183" t="s">
        <v>852</v>
      </c>
      <c r="J530" s="2"/>
      <c r="K530" s="2"/>
      <c r="L530" s="2"/>
      <c r="M530" s="183" t="s">
        <v>852</v>
      </c>
      <c r="N530" s="2"/>
      <c r="O530" s="2"/>
      <c r="P530" s="2"/>
      <c r="Q530" s="183" t="s">
        <v>852</v>
      </c>
      <c r="R530" s="183" t="s">
        <v>852</v>
      </c>
    </row>
    <row r="531" spans="1:18" ht="15.75" customHeight="1" thickBot="1" x14ac:dyDescent="0.4">
      <c r="A531" s="6" t="s">
        <v>559</v>
      </c>
      <c r="B531" s="2"/>
      <c r="C531" s="2"/>
      <c r="D531" s="2"/>
      <c r="E531" s="183" t="s">
        <v>852</v>
      </c>
      <c r="F531" s="2"/>
      <c r="G531" s="2"/>
      <c r="H531" s="2"/>
      <c r="I531" s="183" t="s">
        <v>852</v>
      </c>
      <c r="J531" s="2"/>
      <c r="K531" s="2"/>
      <c r="L531" s="2"/>
      <c r="M531" s="183" t="s">
        <v>852</v>
      </c>
      <c r="N531" s="2"/>
      <c r="O531" s="2"/>
      <c r="P531" s="2"/>
      <c r="Q531" s="183" t="s">
        <v>852</v>
      </c>
      <c r="R531" s="183" t="s">
        <v>852</v>
      </c>
    </row>
    <row r="532" spans="1:18" ht="15.75" customHeight="1" thickBot="1" x14ac:dyDescent="0.4">
      <c r="A532" s="41" t="s">
        <v>1019</v>
      </c>
      <c r="B532" s="184">
        <f>SUM(B530:B531)</f>
        <v>0</v>
      </c>
      <c r="C532" s="184">
        <f>SUM(C530:C531)</f>
        <v>0</v>
      </c>
      <c r="D532" s="184">
        <f>SUM(D530:D531)</f>
        <v>0</v>
      </c>
      <c r="E532" s="185">
        <f>SUM(B532:D532)</f>
        <v>0</v>
      </c>
      <c r="F532" s="184">
        <f>SUM(F530:F531)</f>
        <v>0</v>
      </c>
      <c r="G532" s="184">
        <f>SUM(G530:G531)</f>
        <v>0</v>
      </c>
      <c r="H532" s="184">
        <f>SUM(H530:H531)</f>
        <v>0</v>
      </c>
      <c r="I532" s="185">
        <f>SUM(F532:H532)</f>
        <v>0</v>
      </c>
      <c r="J532" s="184">
        <f>SUM(J530:J531)</f>
        <v>0</v>
      </c>
      <c r="K532" s="184">
        <f>SUM(K530:K531)</f>
        <v>0</v>
      </c>
      <c r="L532" s="184">
        <f>SUM(L530:L531)</f>
        <v>0</v>
      </c>
      <c r="M532" s="185">
        <f>SUM(J532:L532)</f>
        <v>0</v>
      </c>
      <c r="N532" s="184">
        <f>SUM(N530:N531)</f>
        <v>0</v>
      </c>
      <c r="O532" s="184">
        <f>SUM(O530:O531)</f>
        <v>0</v>
      </c>
      <c r="P532" s="184">
        <f>SUM(P530:P531)</f>
        <v>0</v>
      </c>
      <c r="Q532" s="185">
        <f>SUM(N532:P532)</f>
        <v>0</v>
      </c>
      <c r="R532" s="56">
        <f>+E532+I532+M532+Q532</f>
        <v>0</v>
      </c>
    </row>
    <row r="533" spans="1:18" ht="15.75" customHeight="1" thickBot="1" x14ac:dyDescent="0.4">
      <c r="A533" s="57" t="s">
        <v>1221</v>
      </c>
      <c r="B533" s="188">
        <f>SUM(B526:B531)</f>
        <v>0</v>
      </c>
      <c r="C533" s="189">
        <f>SUM(C526:C531)</f>
        <v>0</v>
      </c>
      <c r="D533" s="191">
        <f>SUM(D526:D531)</f>
        <v>0</v>
      </c>
      <c r="E533" s="185">
        <f>SUM(B533:D533)</f>
        <v>0</v>
      </c>
      <c r="F533" s="189">
        <f>SUM(F526:F531)</f>
        <v>0</v>
      </c>
      <c r="G533" s="189">
        <f>SUM(G526:G531)</f>
        <v>0</v>
      </c>
      <c r="H533" s="189">
        <f>SUM(H526:H531)</f>
        <v>0</v>
      </c>
      <c r="I533" s="185">
        <f>SUM(F533:H533)</f>
        <v>0</v>
      </c>
      <c r="J533" s="189">
        <f>SUM(J526:J531)</f>
        <v>0</v>
      </c>
      <c r="K533" s="189">
        <f>SUM(K526:K531)</f>
        <v>0</v>
      </c>
      <c r="L533" s="189">
        <f>SUM(L526:L531)</f>
        <v>0</v>
      </c>
      <c r="M533" s="185">
        <f>SUM(J533:L533)</f>
        <v>0</v>
      </c>
      <c r="N533" s="189">
        <f>SUM(N526:N531)</f>
        <v>0</v>
      </c>
      <c r="O533" s="189">
        <f>SUM(O526:O531)</f>
        <v>0</v>
      </c>
      <c r="P533" s="189">
        <f>SUM(P526:P531)</f>
        <v>0</v>
      </c>
      <c r="Q533" s="185">
        <f>SUM(N533:P533)</f>
        <v>0</v>
      </c>
      <c r="R533" s="56">
        <f>+E533+I533+M533+Q533</f>
        <v>0</v>
      </c>
    </row>
    <row r="534" spans="1:18" ht="15.75" customHeight="1" thickBot="1" x14ac:dyDescent="0.4">
      <c r="A534" s="41" t="s">
        <v>1222</v>
      </c>
      <c r="B534" s="190">
        <f>+B517+B521+B525+B533</f>
        <v>0</v>
      </c>
      <c r="C534" s="184">
        <f>+C517+C521+C525+C533</f>
        <v>0</v>
      </c>
      <c r="D534" s="184">
        <f>+D517+D521+D525+D533</f>
        <v>68</v>
      </c>
      <c r="E534" s="56">
        <f>SUM(B534:D534)</f>
        <v>68</v>
      </c>
      <c r="F534" s="184">
        <f>+F517+F521+F525+F533</f>
        <v>0</v>
      </c>
      <c r="G534" s="184">
        <f>+G517+G521+G525+G533</f>
        <v>0</v>
      </c>
      <c r="H534" s="184">
        <f>+H517+H521+H525+H533</f>
        <v>73</v>
      </c>
      <c r="I534" s="56">
        <f>SUM(F534:H534)</f>
        <v>73</v>
      </c>
      <c r="J534" s="184">
        <f>+J517+J521+J525+J533</f>
        <v>882</v>
      </c>
      <c r="K534" s="184">
        <f>+K517+K521+K525+K533</f>
        <v>664</v>
      </c>
      <c r="L534" s="184">
        <f>+L517+L521+L525+L533</f>
        <v>662</v>
      </c>
      <c r="M534" s="56">
        <f>SUM(J534:L534)</f>
        <v>2208</v>
      </c>
      <c r="N534" s="184">
        <f>+N517+N521+N525+N533</f>
        <v>493</v>
      </c>
      <c r="O534" s="184">
        <f>+O517+O521+O525+O533</f>
        <v>32</v>
      </c>
      <c r="P534" s="184">
        <f>+P517+P521+P525+P533</f>
        <v>0</v>
      </c>
      <c r="Q534" s="56">
        <f>SUM(N534:P534)</f>
        <v>525</v>
      </c>
      <c r="R534" s="186">
        <f>+E534+I534+M534+Q534</f>
        <v>2874</v>
      </c>
    </row>
    <row r="535" spans="1:18" ht="15.75" customHeight="1" thickBot="1" x14ac:dyDescent="0.4">
      <c r="A535" s="474" t="s">
        <v>853</v>
      </c>
      <c r="B535" s="459">
        <v>10</v>
      </c>
      <c r="C535" s="459">
        <v>11</v>
      </c>
      <c r="D535" s="459">
        <v>14</v>
      </c>
      <c r="E535" s="183">
        <f>SUM(B535:D535)</f>
        <v>35</v>
      </c>
      <c r="F535" s="459">
        <v>18</v>
      </c>
      <c r="G535" s="459">
        <v>21</v>
      </c>
      <c r="H535" s="459">
        <v>22</v>
      </c>
      <c r="I535" s="183">
        <f>SUM(F535:H535)</f>
        <v>61</v>
      </c>
      <c r="J535" s="459">
        <v>19</v>
      </c>
      <c r="K535" s="459">
        <v>17</v>
      </c>
      <c r="L535" s="459">
        <v>17</v>
      </c>
      <c r="M535" s="183">
        <f>SUM(J535:L535)</f>
        <v>53</v>
      </c>
      <c r="N535" s="459">
        <v>14</v>
      </c>
      <c r="O535" s="459">
        <v>11</v>
      </c>
      <c r="P535" s="459">
        <v>9</v>
      </c>
      <c r="Q535" s="183">
        <f>SUM(N535:P535)</f>
        <v>34</v>
      </c>
      <c r="R535" s="183">
        <f>+E535+I535+M535+Q535</f>
        <v>183</v>
      </c>
    </row>
    <row r="536" spans="1:18" ht="15.75" customHeight="1" thickBot="1" x14ac:dyDescent="0.4">
      <c r="A536" s="12"/>
      <c r="B536" s="181"/>
      <c r="C536" s="181"/>
      <c r="D536" s="181"/>
      <c r="E536" s="178"/>
      <c r="F536" s="181"/>
      <c r="G536" s="181"/>
      <c r="H536" s="181"/>
      <c r="I536" s="178"/>
      <c r="J536" s="181"/>
      <c r="K536" s="181"/>
      <c r="L536" s="181"/>
      <c r="M536" s="527"/>
      <c r="N536" s="181"/>
      <c r="O536" s="181"/>
      <c r="P536" s="181"/>
      <c r="Q536" s="527"/>
      <c r="R536" s="475"/>
    </row>
    <row r="537" spans="1:18" ht="15.75" customHeight="1" x14ac:dyDescent="0.35">
      <c r="A537" s="6" t="s">
        <v>120</v>
      </c>
      <c r="B537" s="2">
        <f>SUM(B534:B535)</f>
        <v>10</v>
      </c>
      <c r="C537" s="2">
        <f>SUM(C534:C535)</f>
        <v>11</v>
      </c>
      <c r="D537" s="2">
        <f>SUM(D534:D535)</f>
        <v>82</v>
      </c>
      <c r="E537" s="183">
        <f>SUM(B537:D537)</f>
        <v>103</v>
      </c>
      <c r="F537" s="2">
        <f>SUM(F534:F535)</f>
        <v>18</v>
      </c>
      <c r="G537" s="2">
        <f>SUM(G534:G535)</f>
        <v>21</v>
      </c>
      <c r="H537" s="2">
        <f>SUM(H534:H535)</f>
        <v>95</v>
      </c>
      <c r="I537" s="185">
        <f>SUM(F537:H537)</f>
        <v>134</v>
      </c>
      <c r="J537" s="2">
        <f>SUM(J534:J535)</f>
        <v>901</v>
      </c>
      <c r="K537" s="2">
        <f>SUM(K534:K535)</f>
        <v>681</v>
      </c>
      <c r="L537" s="2">
        <f>SUM(L534:L535)</f>
        <v>679</v>
      </c>
      <c r="M537" s="185">
        <f>SUM(J537:L537)</f>
        <v>2261</v>
      </c>
      <c r="N537" s="2">
        <f>SUM(N534:N535)</f>
        <v>507</v>
      </c>
      <c r="O537" s="2">
        <f>SUM(O534:O535)</f>
        <v>43</v>
      </c>
      <c r="P537" s="2">
        <f>SUM(P534:P535)</f>
        <v>9</v>
      </c>
      <c r="Q537" s="185">
        <f>SUM(N537:P537)</f>
        <v>559</v>
      </c>
      <c r="R537" s="185">
        <f>+E537+I537+M537+Q537</f>
        <v>3057</v>
      </c>
    </row>
    <row r="538" spans="1:18" ht="15.75" customHeight="1" x14ac:dyDescent="0.35">
      <c r="A538" s="6" t="s">
        <v>1897</v>
      </c>
      <c r="B538" s="2">
        <f>(B537/31)/1.983</f>
        <v>0.16267304344996988</v>
      </c>
      <c r="C538" s="2">
        <f>(C537/28)/1.983</f>
        <v>0.19811252791585618</v>
      </c>
      <c r="D538" s="2">
        <f>(D537/31)/1.983</f>
        <v>1.3339189562897531</v>
      </c>
      <c r="E538" s="183" t="s">
        <v>852</v>
      </c>
      <c r="F538" s="2">
        <f>(F537/30)/1.983</f>
        <v>0.30257186081694398</v>
      </c>
      <c r="G538" s="2">
        <f>(G537/31)/1.983</f>
        <v>0.34161339124493678</v>
      </c>
      <c r="H538" s="2">
        <f>(H537/30)/1.983</f>
        <v>1.5969070432005377</v>
      </c>
      <c r="I538" s="183" t="s">
        <v>852</v>
      </c>
      <c r="J538" s="2">
        <f>(J537/31)/1.983</f>
        <v>14.656841214842288</v>
      </c>
      <c r="K538" s="2">
        <f>(K537/31)/1.983</f>
        <v>11.078034258942951</v>
      </c>
      <c r="L538" s="2">
        <f>(L537/30)/1.983</f>
        <v>11.413682971928054</v>
      </c>
      <c r="M538" s="183" t="s">
        <v>852</v>
      </c>
      <c r="N538" s="2">
        <f>(N537/31)/1.983</f>
        <v>8.2475233029134749</v>
      </c>
      <c r="O538" s="2">
        <f>(O537/30)/1.983</f>
        <v>0.72281055639603287</v>
      </c>
      <c r="P538" s="2">
        <f>(P537/31)/1.983</f>
        <v>0.14640573910497293</v>
      </c>
      <c r="Q538" s="183" t="s">
        <v>852</v>
      </c>
      <c r="R538" s="183" t="s">
        <v>852</v>
      </c>
    </row>
    <row r="539" spans="1:18" ht="15.75" customHeight="1" x14ac:dyDescent="0.35">
      <c r="A539" s="6" t="s">
        <v>1334</v>
      </c>
      <c r="B539" s="2">
        <f>B537+B578</f>
        <v>16005</v>
      </c>
      <c r="C539" s="2">
        <f>C537+C578</f>
        <v>5570</v>
      </c>
      <c r="D539" s="2">
        <f>D537+D578</f>
        <v>5048</v>
      </c>
      <c r="E539" s="183">
        <f>SUM(B539:D539)</f>
        <v>26623</v>
      </c>
      <c r="F539" s="2">
        <f>F537+F578</f>
        <v>9653</v>
      </c>
      <c r="G539" s="2">
        <f>G537+G578</f>
        <v>10973</v>
      </c>
      <c r="H539" s="2">
        <f>H537+H578</f>
        <v>12538</v>
      </c>
      <c r="I539" s="183">
        <f>SUM(F539:H539)</f>
        <v>33164</v>
      </c>
      <c r="J539" s="2">
        <f>J537+J578</f>
        <v>19450</v>
      </c>
      <c r="K539" s="2">
        <f>K537+K578</f>
        <v>21266</v>
      </c>
      <c r="L539" s="2">
        <f>L537+L578</f>
        <v>19396</v>
      </c>
      <c r="M539" s="183">
        <f>SUM(J539:L539)</f>
        <v>60112</v>
      </c>
      <c r="N539" s="2">
        <f>N537+N578</f>
        <v>17960</v>
      </c>
      <c r="O539" s="2">
        <f>O537+O578</f>
        <v>5496</v>
      </c>
      <c r="P539" s="2">
        <f>P537+P578</f>
        <v>17550</v>
      </c>
      <c r="Q539" s="183">
        <f>SUM(N539:P539)</f>
        <v>41006</v>
      </c>
      <c r="R539" s="183">
        <f>+E539+I539+M539+Q539</f>
        <v>160905</v>
      </c>
    </row>
    <row r="540" spans="1:18" ht="15.75" customHeight="1" thickBot="1" x14ac:dyDescent="0.4">
      <c r="A540" s="458" t="s">
        <v>1335</v>
      </c>
      <c r="B540" s="459">
        <f>(B539/31)/1.983</f>
        <v>260.35820604167679</v>
      </c>
      <c r="C540" s="459">
        <f>(C539/28)/1.983</f>
        <v>100.31698004466536</v>
      </c>
      <c r="D540" s="459">
        <f>(D539/31)/1.983</f>
        <v>82.117352333544801</v>
      </c>
      <c r="E540" s="186" t="s">
        <v>852</v>
      </c>
      <c r="F540" s="459">
        <f>(F539/30)/1.983</f>
        <v>162.26256513699781</v>
      </c>
      <c r="G540" s="459">
        <f>(G539/31)/1.983</f>
        <v>178.50113057765196</v>
      </c>
      <c r="H540" s="459">
        <f>(H539/30)/1.983</f>
        <v>210.75811060682466</v>
      </c>
      <c r="I540" s="186" t="s">
        <v>852</v>
      </c>
      <c r="J540" s="459">
        <f>(J539/31)/1.983</f>
        <v>316.39906951019145</v>
      </c>
      <c r="K540" s="459">
        <f>(K539/31)/1.983</f>
        <v>345.94049420070598</v>
      </c>
      <c r="L540" s="459">
        <f>(L539/30)/1.983</f>
        <v>326.03798957808033</v>
      </c>
      <c r="M540" s="186" t="s">
        <v>852</v>
      </c>
      <c r="N540" s="459">
        <f>(N539/31)/1.983</f>
        <v>292.16078603614596</v>
      </c>
      <c r="O540" s="459">
        <f>(O539/30)/1.983</f>
        <v>92.385274836106902</v>
      </c>
      <c r="P540" s="459">
        <f>(P539/31)/1.983</f>
        <v>285.49119125469718</v>
      </c>
      <c r="Q540" s="186" t="s">
        <v>852</v>
      </c>
      <c r="R540" s="186" t="s">
        <v>852</v>
      </c>
    </row>
    <row r="541" spans="1:18" ht="15.75" customHeight="1" x14ac:dyDescent="0.35">
      <c r="A541" s="187"/>
      <c r="B541" s="2"/>
      <c r="C541" s="2"/>
      <c r="D541" s="2"/>
      <c r="E541" s="2"/>
      <c r="F541" s="2"/>
      <c r="G541" s="2"/>
      <c r="H541" s="2"/>
      <c r="I541" s="2"/>
      <c r="J541" s="2"/>
      <c r="K541" s="2"/>
      <c r="L541" s="2"/>
      <c r="M541" s="2"/>
      <c r="N541" s="2"/>
      <c r="O541" s="2"/>
      <c r="P541" s="2"/>
      <c r="Q541" s="2"/>
      <c r="R541" s="187"/>
    </row>
    <row r="542" spans="1:18" ht="15.75" customHeight="1" thickBot="1" x14ac:dyDescent="0.4">
      <c r="A542" s="521"/>
      <c r="B542" s="459"/>
      <c r="C542" s="459"/>
      <c r="D542" s="459"/>
      <c r="E542" s="459"/>
      <c r="F542" s="459"/>
      <c r="G542" s="459"/>
      <c r="H542" s="459"/>
      <c r="I542" s="459"/>
      <c r="J542" s="459"/>
      <c r="K542" s="459"/>
      <c r="L542" s="459"/>
      <c r="M542" s="459"/>
      <c r="N542" s="459"/>
      <c r="O542" s="459"/>
      <c r="P542" s="459"/>
      <c r="Q542" s="459"/>
      <c r="R542" s="521"/>
    </row>
    <row r="543" spans="1:18" ht="15.75" customHeight="1" thickBot="1" x14ac:dyDescent="0.4">
      <c r="A543" s="11" t="s">
        <v>1772</v>
      </c>
      <c r="B543" s="173" t="s">
        <v>2090</v>
      </c>
      <c r="C543" s="174" t="s">
        <v>2091</v>
      </c>
      <c r="D543" s="174" t="s">
        <v>2234</v>
      </c>
      <c r="E543" s="175" t="s">
        <v>1594</v>
      </c>
      <c r="F543" s="174" t="s">
        <v>2235</v>
      </c>
      <c r="G543" s="174" t="s">
        <v>2236</v>
      </c>
      <c r="H543" s="174" t="s">
        <v>2237</v>
      </c>
      <c r="I543" s="175" t="s">
        <v>1595</v>
      </c>
      <c r="J543" s="174" t="s">
        <v>1504</v>
      </c>
      <c r="K543" s="174" t="s">
        <v>1505</v>
      </c>
      <c r="L543" s="174" t="s">
        <v>1506</v>
      </c>
      <c r="M543" s="175" t="s">
        <v>1596</v>
      </c>
      <c r="N543" s="174" t="s">
        <v>1507</v>
      </c>
      <c r="O543" s="174" t="s">
        <v>1508</v>
      </c>
      <c r="P543" s="174" t="s">
        <v>1509</v>
      </c>
      <c r="Q543" s="175" t="s">
        <v>1597</v>
      </c>
      <c r="R543" s="176" t="s">
        <v>1510</v>
      </c>
    </row>
    <row r="544" spans="1:18" ht="15.75" customHeight="1" thickBot="1" x14ac:dyDescent="0.4">
      <c r="A544" s="528"/>
      <c r="B544" s="177"/>
      <c r="C544" s="177"/>
      <c r="D544" s="177"/>
      <c r="E544" s="178"/>
      <c r="F544" s="177"/>
      <c r="G544" s="177"/>
      <c r="H544" s="177"/>
      <c r="I544" s="178"/>
      <c r="J544" s="177"/>
      <c r="K544" s="177"/>
      <c r="L544" s="177"/>
      <c r="M544" s="178"/>
      <c r="N544" s="177"/>
      <c r="O544" s="177"/>
      <c r="P544" s="177"/>
      <c r="Q544" s="178"/>
      <c r="R544" s="481"/>
    </row>
    <row r="545" spans="1:18" ht="15.75" customHeight="1" x14ac:dyDescent="0.35">
      <c r="A545" s="6" t="s">
        <v>2417</v>
      </c>
      <c r="B545" s="2" t="s">
        <v>852</v>
      </c>
      <c r="C545" s="2" t="s">
        <v>852</v>
      </c>
      <c r="D545" s="2" t="s">
        <v>852</v>
      </c>
      <c r="E545" s="183" t="s">
        <v>852</v>
      </c>
      <c r="F545" s="2" t="s">
        <v>852</v>
      </c>
      <c r="G545" s="2" t="s">
        <v>852</v>
      </c>
      <c r="H545" s="2" t="s">
        <v>852</v>
      </c>
      <c r="I545" s="183" t="s">
        <v>852</v>
      </c>
      <c r="J545" s="2" t="s">
        <v>852</v>
      </c>
      <c r="K545" s="2" t="s">
        <v>852</v>
      </c>
      <c r="L545" s="2" t="s">
        <v>852</v>
      </c>
      <c r="M545" s="183" t="s">
        <v>852</v>
      </c>
      <c r="N545" s="2" t="s">
        <v>852</v>
      </c>
      <c r="O545" s="2" t="s">
        <v>852</v>
      </c>
      <c r="P545" s="2" t="s">
        <v>852</v>
      </c>
      <c r="Q545" s="183" t="s">
        <v>852</v>
      </c>
      <c r="R545" s="183" t="s">
        <v>852</v>
      </c>
    </row>
    <row r="546" spans="1:18" ht="15.75" customHeight="1" x14ac:dyDescent="0.35">
      <c r="A546" s="6" t="s">
        <v>2160</v>
      </c>
      <c r="B546" s="2"/>
      <c r="C546" s="2"/>
      <c r="D546" s="2"/>
      <c r="E546" s="183" t="s">
        <v>852</v>
      </c>
      <c r="F546" s="2"/>
      <c r="G546" s="2"/>
      <c r="H546" s="2"/>
      <c r="I546" s="183" t="s">
        <v>852</v>
      </c>
      <c r="J546" s="2"/>
      <c r="K546" s="2"/>
      <c r="L546" s="2"/>
      <c r="M546" s="183" t="s">
        <v>852</v>
      </c>
      <c r="N546" s="2"/>
      <c r="O546" s="2"/>
      <c r="P546" s="2"/>
      <c r="Q546" s="183" t="s">
        <v>852</v>
      </c>
      <c r="R546" s="183" t="s">
        <v>852</v>
      </c>
    </row>
    <row r="547" spans="1:18" ht="15.75" customHeight="1" x14ac:dyDescent="0.35">
      <c r="A547" s="9" t="s">
        <v>2171</v>
      </c>
      <c r="B547" s="2">
        <v>6883</v>
      </c>
      <c r="C547" s="2">
        <v>1550</v>
      </c>
      <c r="D547" s="2">
        <v>0</v>
      </c>
      <c r="E547" s="183">
        <f>SUM(B547:D547)</f>
        <v>8433</v>
      </c>
      <c r="F547" s="2">
        <v>0</v>
      </c>
      <c r="G547" s="2">
        <v>0</v>
      </c>
      <c r="H547" s="2">
        <v>195</v>
      </c>
      <c r="I547" s="183">
        <f>SUM(F547:H547)</f>
        <v>195</v>
      </c>
      <c r="J547" s="2">
        <v>7925</v>
      </c>
      <c r="K547" s="2">
        <v>7959</v>
      </c>
      <c r="L547" s="2">
        <v>7720</v>
      </c>
      <c r="M547" s="183">
        <f>SUM(J547:L547)</f>
        <v>23604</v>
      </c>
      <c r="N547" s="2">
        <v>8299</v>
      </c>
      <c r="O547" s="2">
        <v>2319</v>
      </c>
      <c r="P547" s="2">
        <v>7493</v>
      </c>
      <c r="Q547" s="183">
        <f>SUM(N547:P547)</f>
        <v>18111</v>
      </c>
      <c r="R547" s="183">
        <f>+E547+I547+M547+Q547</f>
        <v>50343</v>
      </c>
    </row>
    <row r="548" spans="1:18" ht="15.75" customHeight="1" x14ac:dyDescent="0.35">
      <c r="A548" s="9" t="s">
        <v>2146</v>
      </c>
      <c r="B548" s="2">
        <v>6010</v>
      </c>
      <c r="C548" s="2">
        <v>1042</v>
      </c>
      <c r="D548" s="2">
        <v>0</v>
      </c>
      <c r="E548" s="183">
        <f>SUM(B548:D548)</f>
        <v>7052</v>
      </c>
      <c r="F548" s="2">
        <v>0</v>
      </c>
      <c r="G548" s="2">
        <v>0</v>
      </c>
      <c r="H548" s="2">
        <v>0</v>
      </c>
      <c r="I548" s="183">
        <f>SUM(F548:H548)</f>
        <v>0</v>
      </c>
      <c r="J548" s="2">
        <v>6058</v>
      </c>
      <c r="K548" s="2">
        <v>6050</v>
      </c>
      <c r="L548" s="2">
        <v>5851</v>
      </c>
      <c r="M548" s="183">
        <f>SUM(J548:L548)</f>
        <v>17959</v>
      </c>
      <c r="N548" s="2">
        <v>6064</v>
      </c>
      <c r="O548" s="2">
        <v>1762</v>
      </c>
      <c r="P548" s="2">
        <v>5690</v>
      </c>
      <c r="Q548" s="183">
        <f>SUM(N548:P548)</f>
        <v>13516</v>
      </c>
      <c r="R548" s="183">
        <f>+E548+I548+M548+Q548</f>
        <v>38527</v>
      </c>
    </row>
    <row r="549" spans="1:18" ht="15.75" customHeight="1" x14ac:dyDescent="0.35">
      <c r="A549" s="6" t="s">
        <v>2161</v>
      </c>
      <c r="B549" s="2"/>
      <c r="C549" s="2"/>
      <c r="D549" s="2"/>
      <c r="E549" s="183" t="s">
        <v>852</v>
      </c>
      <c r="F549" s="2"/>
      <c r="G549" s="2"/>
      <c r="H549" s="2"/>
      <c r="I549" s="183" t="s">
        <v>852</v>
      </c>
      <c r="J549" s="2"/>
      <c r="K549" s="2"/>
      <c r="L549" s="2"/>
      <c r="M549" s="183" t="s">
        <v>852</v>
      </c>
      <c r="N549" s="2"/>
      <c r="O549" s="2"/>
      <c r="P549" s="2"/>
      <c r="Q549" s="183" t="s">
        <v>852</v>
      </c>
      <c r="R549" s="183" t="s">
        <v>852</v>
      </c>
    </row>
    <row r="550" spans="1:18" ht="15.75" customHeight="1" x14ac:dyDescent="0.35">
      <c r="A550" s="6" t="s">
        <v>2162</v>
      </c>
      <c r="B550" s="2"/>
      <c r="C550" s="2"/>
      <c r="D550" s="2"/>
      <c r="E550" s="183" t="s">
        <v>852</v>
      </c>
      <c r="F550" s="2"/>
      <c r="G550" s="2"/>
      <c r="H550" s="2"/>
      <c r="I550" s="183" t="s">
        <v>852</v>
      </c>
      <c r="J550" s="2"/>
      <c r="K550" s="2"/>
      <c r="L550" s="2"/>
      <c r="M550" s="183" t="s">
        <v>852</v>
      </c>
      <c r="N550" s="2"/>
      <c r="O550" s="2"/>
      <c r="P550" s="2"/>
      <c r="Q550" s="183" t="s">
        <v>852</v>
      </c>
      <c r="R550" s="183" t="s">
        <v>852</v>
      </c>
    </row>
    <row r="551" spans="1:18" ht="15.75" customHeight="1" thickBot="1" x14ac:dyDescent="0.4">
      <c r="A551" s="6" t="s">
        <v>2164</v>
      </c>
      <c r="B551" s="2"/>
      <c r="C551" s="2"/>
      <c r="D551" s="2"/>
      <c r="E551" s="183" t="s">
        <v>852</v>
      </c>
      <c r="F551" s="2"/>
      <c r="G551" s="2"/>
      <c r="H551" s="2"/>
      <c r="I551" s="183" t="s">
        <v>852</v>
      </c>
      <c r="J551" s="2"/>
      <c r="K551" s="2"/>
      <c r="L551" s="2"/>
      <c r="M551" s="183" t="s">
        <v>852</v>
      </c>
      <c r="N551" s="2"/>
      <c r="O551" s="2"/>
      <c r="P551" s="2"/>
      <c r="Q551" s="183" t="s">
        <v>852</v>
      </c>
      <c r="R551" s="183" t="s">
        <v>852</v>
      </c>
    </row>
    <row r="552" spans="1:18" ht="15.75" customHeight="1" thickBot="1" x14ac:dyDescent="0.4">
      <c r="A552" s="523" t="s">
        <v>1218</v>
      </c>
      <c r="B552" s="188">
        <f>SUM(B545:B551)</f>
        <v>12893</v>
      </c>
      <c r="C552" s="189">
        <f>SUM(C545:C551)</f>
        <v>2592</v>
      </c>
      <c r="D552" s="189">
        <f>SUM(D545:D551)</f>
        <v>0</v>
      </c>
      <c r="E552" s="56">
        <f>SUM(B552:D552)</f>
        <v>15485</v>
      </c>
      <c r="F552" s="189">
        <f>SUM(F545:F551)</f>
        <v>0</v>
      </c>
      <c r="G552" s="189">
        <f>SUM(G545:G551)</f>
        <v>0</v>
      </c>
      <c r="H552" s="189">
        <f>SUM(H545:H551)</f>
        <v>195</v>
      </c>
      <c r="I552" s="56">
        <f>SUM(F552:H552)</f>
        <v>195</v>
      </c>
      <c r="J552" s="189">
        <f>SUM(J545:J551)</f>
        <v>13983</v>
      </c>
      <c r="K552" s="189">
        <f>SUM(K545:K551)</f>
        <v>14009</v>
      </c>
      <c r="L552" s="189">
        <f>SUM(L545:L551)</f>
        <v>13571</v>
      </c>
      <c r="M552" s="56">
        <f>SUM(J552:L552)</f>
        <v>41563</v>
      </c>
      <c r="N552" s="189">
        <f>SUM(N545:N551)</f>
        <v>14363</v>
      </c>
      <c r="O552" s="189">
        <f>SUM(O545:O551)</f>
        <v>4081</v>
      </c>
      <c r="P552" s="189">
        <f>SUM(P545:P551)</f>
        <v>13183</v>
      </c>
      <c r="Q552" s="56">
        <f>SUM(N552:P552)</f>
        <v>31627</v>
      </c>
      <c r="R552" s="56">
        <f>+E552+I552+M552+Q552</f>
        <v>88870</v>
      </c>
    </row>
    <row r="553" spans="1:18" ht="15.75" customHeight="1" x14ac:dyDescent="0.35">
      <c r="A553" s="6" t="s">
        <v>1172</v>
      </c>
      <c r="B553" s="2"/>
      <c r="C553" s="2"/>
      <c r="D553" s="2"/>
      <c r="E553" s="183" t="s">
        <v>852</v>
      </c>
      <c r="F553" s="2"/>
      <c r="G553" s="2"/>
      <c r="H553" s="2"/>
      <c r="I553" s="183" t="s">
        <v>852</v>
      </c>
      <c r="J553" s="2"/>
      <c r="K553" s="2"/>
      <c r="L553" s="2"/>
      <c r="M553" s="183" t="s">
        <v>852</v>
      </c>
      <c r="N553" s="2"/>
      <c r="O553" s="2"/>
      <c r="P553" s="2"/>
      <c r="Q553" s="183" t="s">
        <v>852</v>
      </c>
      <c r="R553" s="183" t="s">
        <v>852</v>
      </c>
    </row>
    <row r="554" spans="1:18" ht="15.75" customHeight="1" x14ac:dyDescent="0.35">
      <c r="A554" s="6" t="s">
        <v>2409</v>
      </c>
      <c r="B554" s="2"/>
      <c r="C554" s="2"/>
      <c r="D554" s="2"/>
      <c r="E554" s="183" t="s">
        <v>852</v>
      </c>
      <c r="F554" s="2"/>
      <c r="G554" s="2"/>
      <c r="H554" s="2"/>
      <c r="I554" s="183" t="s">
        <v>852</v>
      </c>
      <c r="J554" s="2"/>
      <c r="K554" s="2"/>
      <c r="L554" s="2"/>
      <c r="M554" s="183" t="s">
        <v>852</v>
      </c>
      <c r="N554" s="2"/>
      <c r="O554" s="2"/>
      <c r="P554" s="2"/>
      <c r="Q554" s="183" t="s">
        <v>852</v>
      </c>
      <c r="R554" s="183" t="s">
        <v>852</v>
      </c>
    </row>
    <row r="555" spans="1:18" ht="15.75" customHeight="1" thickBot="1" x14ac:dyDescent="0.4">
      <c r="A555" s="6" t="s">
        <v>2165</v>
      </c>
      <c r="B555" s="2"/>
      <c r="C555" s="2"/>
      <c r="D555" s="2"/>
      <c r="E555" s="183" t="s">
        <v>852</v>
      </c>
      <c r="F555" s="2"/>
      <c r="G555" s="2"/>
      <c r="H555" s="2"/>
      <c r="I555" s="183" t="s">
        <v>852</v>
      </c>
      <c r="J555" s="2"/>
      <c r="K555" s="2"/>
      <c r="L555" s="2"/>
      <c r="M555" s="183" t="s">
        <v>852</v>
      </c>
      <c r="N555" s="2"/>
      <c r="O555" s="2"/>
      <c r="P555" s="2"/>
      <c r="Q555" s="183" t="s">
        <v>852</v>
      </c>
      <c r="R555" s="183" t="s">
        <v>852</v>
      </c>
    </row>
    <row r="556" spans="1:18" ht="15.75" customHeight="1" thickBot="1" x14ac:dyDescent="0.4">
      <c r="A556" s="41" t="s">
        <v>1219</v>
      </c>
      <c r="B556" s="188">
        <f>SUM(B553:B555)</f>
        <v>0</v>
      </c>
      <c r="C556" s="189">
        <f>SUM(C553:C555)</f>
        <v>0</v>
      </c>
      <c r="D556" s="189">
        <f>SUM(D553:D555)</f>
        <v>0</v>
      </c>
      <c r="E556" s="56">
        <f>SUM(B556:D556)</f>
        <v>0</v>
      </c>
      <c r="F556" s="189">
        <f>SUM(F553:F555)</f>
        <v>0</v>
      </c>
      <c r="G556" s="189">
        <f>SUM(G553:G555)</f>
        <v>0</v>
      </c>
      <c r="H556" s="189">
        <f>SUM(H553:H555)</f>
        <v>0</v>
      </c>
      <c r="I556" s="56">
        <f>SUM(F556:H556)</f>
        <v>0</v>
      </c>
      <c r="J556" s="189">
        <f>SUM(J553:J555)</f>
        <v>0</v>
      </c>
      <c r="K556" s="189">
        <f>SUM(K553:K555)</f>
        <v>0</v>
      </c>
      <c r="L556" s="189">
        <f>SUM(L553:L555)</f>
        <v>0</v>
      </c>
      <c r="M556" s="56">
        <f>SUM(J556:L556)</f>
        <v>0</v>
      </c>
      <c r="N556" s="189">
        <f>SUM(N553:N555)</f>
        <v>0</v>
      </c>
      <c r="O556" s="189">
        <f>SUM(O553:O555)</f>
        <v>0</v>
      </c>
      <c r="P556" s="189">
        <f>SUM(P553:P555)</f>
        <v>0</v>
      </c>
      <c r="Q556" s="56">
        <f>SUM(N556:P556)</f>
        <v>0</v>
      </c>
      <c r="R556" s="56">
        <f>+E556+I556+M556+Q556</f>
        <v>0</v>
      </c>
    </row>
    <row r="557" spans="1:18" ht="15.75" customHeight="1" x14ac:dyDescent="0.35">
      <c r="A557" s="6" t="s">
        <v>2166</v>
      </c>
      <c r="B557" s="2"/>
      <c r="C557" s="2"/>
      <c r="D557" s="2"/>
      <c r="E557" s="183" t="s">
        <v>852</v>
      </c>
      <c r="F557" s="2"/>
      <c r="G557" s="2"/>
      <c r="H557" s="2"/>
      <c r="I557" s="183" t="s">
        <v>852</v>
      </c>
      <c r="J557" s="2"/>
      <c r="K557" s="2"/>
      <c r="L557" s="2"/>
      <c r="M557" s="183" t="s">
        <v>852</v>
      </c>
      <c r="N557" s="2"/>
      <c r="O557" s="2"/>
      <c r="P557" s="2"/>
      <c r="Q557" s="183" t="s">
        <v>852</v>
      </c>
      <c r="R557" s="183" t="s">
        <v>852</v>
      </c>
    </row>
    <row r="558" spans="1:18" ht="15.75" customHeight="1" x14ac:dyDescent="0.35">
      <c r="A558" s="6" t="s">
        <v>1245</v>
      </c>
      <c r="B558" s="2"/>
      <c r="C558" s="2"/>
      <c r="D558" s="2"/>
      <c r="E558" s="183" t="s">
        <v>852</v>
      </c>
      <c r="F558" s="2"/>
      <c r="G558" s="2"/>
      <c r="H558" s="2"/>
      <c r="I558" s="183" t="s">
        <v>852</v>
      </c>
      <c r="J558" s="2"/>
      <c r="K558" s="2"/>
      <c r="L558" s="2"/>
      <c r="M558" s="183" t="s">
        <v>852</v>
      </c>
      <c r="N558" s="2"/>
      <c r="O558" s="2"/>
      <c r="P558" s="2"/>
      <c r="Q558" s="183" t="s">
        <v>852</v>
      </c>
      <c r="R558" s="183" t="s">
        <v>852</v>
      </c>
    </row>
    <row r="559" spans="1:18" ht="15.75" customHeight="1" x14ac:dyDescent="0.35">
      <c r="A559" s="9" t="s">
        <v>641</v>
      </c>
      <c r="B559" s="2">
        <v>632</v>
      </c>
      <c r="C559" s="2">
        <v>1105</v>
      </c>
      <c r="D559" s="2">
        <v>1785</v>
      </c>
      <c r="E559" s="183">
        <f>SUM(B559:D559)</f>
        <v>3522</v>
      </c>
      <c r="F559" s="2">
        <v>2471</v>
      </c>
      <c r="G559" s="2">
        <v>2290</v>
      </c>
      <c r="H559" s="2">
        <v>1619</v>
      </c>
      <c r="I559" s="183">
        <f>SUM(F559:H559)</f>
        <v>6380</v>
      </c>
      <c r="J559" s="2">
        <v>1248</v>
      </c>
      <c r="K559" s="2">
        <v>1979</v>
      </c>
      <c r="L559" s="2">
        <v>1015</v>
      </c>
      <c r="M559" s="183">
        <f>SUM(J559:L559)</f>
        <v>4242</v>
      </c>
      <c r="N559" s="2">
        <v>433</v>
      </c>
      <c r="O559" s="2">
        <v>41</v>
      </c>
      <c r="P559" s="2">
        <v>4</v>
      </c>
      <c r="Q559" s="183">
        <f>SUM(N559:P559)</f>
        <v>478</v>
      </c>
      <c r="R559" s="183">
        <f>+E559+I559+M559+Q559</f>
        <v>14622</v>
      </c>
    </row>
    <row r="560" spans="1:18" ht="15.75" customHeight="1" thickBot="1" x14ac:dyDescent="0.4">
      <c r="A560" s="6" t="s">
        <v>1711</v>
      </c>
      <c r="B560" s="2"/>
      <c r="C560" s="2"/>
      <c r="D560" s="2"/>
      <c r="E560" s="183" t="s">
        <v>852</v>
      </c>
      <c r="F560" s="2"/>
      <c r="G560" s="2"/>
      <c r="H560" s="2"/>
      <c r="I560" s="183" t="s">
        <v>852</v>
      </c>
      <c r="J560" s="2"/>
      <c r="K560" s="2"/>
      <c r="L560" s="2"/>
      <c r="M560" s="183" t="s">
        <v>852</v>
      </c>
      <c r="N560" s="2"/>
      <c r="O560" s="2"/>
      <c r="P560" s="2"/>
      <c r="Q560" s="183" t="s">
        <v>852</v>
      </c>
      <c r="R560" s="183" t="s">
        <v>852</v>
      </c>
    </row>
    <row r="561" spans="1:18" ht="15.75" customHeight="1" thickBot="1" x14ac:dyDescent="0.4">
      <c r="A561" s="41" t="s">
        <v>1220</v>
      </c>
      <c r="B561" s="188">
        <f>SUM(B557:B560)</f>
        <v>632</v>
      </c>
      <c r="C561" s="189">
        <f>SUM(C557:C560)</f>
        <v>1105</v>
      </c>
      <c r="D561" s="189">
        <f>SUM(D557:D560)</f>
        <v>1785</v>
      </c>
      <c r="E561" s="56">
        <f>SUM(B561:D561)</f>
        <v>3522</v>
      </c>
      <c r="F561" s="189">
        <f>SUM(F557:F560)</f>
        <v>2471</v>
      </c>
      <c r="G561" s="189">
        <f>SUM(G557:G560)</f>
        <v>2290</v>
      </c>
      <c r="H561" s="189">
        <f>SUM(H557:H560)</f>
        <v>1619</v>
      </c>
      <c r="I561" s="56">
        <f>SUM(F561:H561)</f>
        <v>6380</v>
      </c>
      <c r="J561" s="189">
        <f>SUM(J557:J560)</f>
        <v>1248</v>
      </c>
      <c r="K561" s="189">
        <f>SUM(K557:K560)</f>
        <v>1979</v>
      </c>
      <c r="L561" s="189">
        <f>SUM(L557:L560)</f>
        <v>1015</v>
      </c>
      <c r="M561" s="56">
        <f>SUM(J561:L561)</f>
        <v>4242</v>
      </c>
      <c r="N561" s="189">
        <f>SUM(N557:N560)</f>
        <v>433</v>
      </c>
      <c r="O561" s="189">
        <f>SUM(O557:O560)</f>
        <v>41</v>
      </c>
      <c r="P561" s="189">
        <f>SUM(P557:P560)</f>
        <v>4</v>
      </c>
      <c r="Q561" s="56">
        <f>SUM(N561:P561)</f>
        <v>478</v>
      </c>
      <c r="R561" s="56">
        <f>+E561+I561+M561+Q561</f>
        <v>14622</v>
      </c>
    </row>
    <row r="562" spans="1:18" ht="15.75" customHeight="1" x14ac:dyDescent="0.35">
      <c r="A562" s="6" t="s">
        <v>1712</v>
      </c>
      <c r="B562" s="2"/>
      <c r="C562" s="2"/>
      <c r="D562" s="2"/>
      <c r="E562" s="183" t="s">
        <v>852</v>
      </c>
      <c r="F562" s="2"/>
      <c r="G562" s="2"/>
      <c r="H562" s="2"/>
      <c r="I562" s="183" t="s">
        <v>852</v>
      </c>
      <c r="J562" s="2"/>
      <c r="K562" s="2"/>
      <c r="L562" s="2"/>
      <c r="M562" s="183" t="s">
        <v>852</v>
      </c>
      <c r="N562" s="2"/>
      <c r="O562" s="2"/>
      <c r="P562" s="2"/>
      <c r="Q562" s="183" t="s">
        <v>852</v>
      </c>
      <c r="R562" s="183" t="s">
        <v>852</v>
      </c>
    </row>
    <row r="563" spans="1:18" ht="15.75" customHeight="1" x14ac:dyDescent="0.35">
      <c r="A563" s="6" t="s">
        <v>556</v>
      </c>
      <c r="B563" s="2"/>
      <c r="C563" s="2"/>
      <c r="D563" s="2"/>
      <c r="E563" s="183" t="s">
        <v>852</v>
      </c>
      <c r="F563" s="2"/>
      <c r="G563" s="2"/>
      <c r="H563" s="2"/>
      <c r="I563" s="183" t="s">
        <v>852</v>
      </c>
      <c r="J563" s="2"/>
      <c r="K563" s="2"/>
      <c r="L563" s="2"/>
      <c r="M563" s="183" t="s">
        <v>852</v>
      </c>
      <c r="N563" s="2"/>
      <c r="O563" s="2"/>
      <c r="P563" s="2"/>
      <c r="Q563" s="183" t="s">
        <v>852</v>
      </c>
      <c r="R563" s="183" t="s">
        <v>852</v>
      </c>
    </row>
    <row r="564" spans="1:18" ht="15.75" customHeight="1" x14ac:dyDescent="0.35">
      <c r="A564" s="6" t="s">
        <v>557</v>
      </c>
      <c r="B564" s="2"/>
      <c r="C564" s="2"/>
      <c r="D564" s="2"/>
      <c r="E564" s="183" t="s">
        <v>852</v>
      </c>
      <c r="F564" s="2"/>
      <c r="G564" s="2"/>
      <c r="H564" s="2"/>
      <c r="I564" s="183" t="s">
        <v>852</v>
      </c>
      <c r="J564" s="2"/>
      <c r="K564" s="2"/>
      <c r="L564" s="2"/>
      <c r="M564" s="183" t="s">
        <v>852</v>
      </c>
      <c r="N564" s="2"/>
      <c r="O564" s="2"/>
      <c r="P564" s="2"/>
      <c r="Q564" s="183" t="s">
        <v>852</v>
      </c>
      <c r="R564" s="183" t="s">
        <v>852</v>
      </c>
    </row>
    <row r="565" spans="1:18" ht="15.75" customHeight="1" x14ac:dyDescent="0.35">
      <c r="A565" s="9" t="s">
        <v>1419</v>
      </c>
      <c r="B565" s="2">
        <v>0</v>
      </c>
      <c r="C565" s="2">
        <v>0</v>
      </c>
      <c r="D565" s="2">
        <v>0</v>
      </c>
      <c r="E565" s="183">
        <f>SUM(B565:D565)</f>
        <v>0</v>
      </c>
      <c r="F565" s="2">
        <v>4348</v>
      </c>
      <c r="G565" s="2">
        <v>4910</v>
      </c>
      <c r="H565" s="2">
        <v>2341</v>
      </c>
      <c r="I565" s="183">
        <f>SUM(F565:H565)</f>
        <v>11599</v>
      </c>
      <c r="J565" s="2">
        <v>0</v>
      </c>
      <c r="K565" s="2">
        <v>0</v>
      </c>
      <c r="L565" s="2">
        <v>0</v>
      </c>
      <c r="M565" s="183">
        <f>SUM(J565:L565)</f>
        <v>0</v>
      </c>
      <c r="N565" s="2">
        <v>0</v>
      </c>
      <c r="O565" s="2">
        <v>0</v>
      </c>
      <c r="P565" s="2">
        <v>0</v>
      </c>
      <c r="Q565" s="183">
        <f>SUM(N565:P565)</f>
        <v>0</v>
      </c>
      <c r="R565" s="183">
        <f>+E565+I565+M565+Q565</f>
        <v>11599</v>
      </c>
    </row>
    <row r="566" spans="1:18" ht="15.75" customHeight="1" x14ac:dyDescent="0.35">
      <c r="A566" s="9" t="s">
        <v>2149</v>
      </c>
      <c r="B566" s="2">
        <v>0</v>
      </c>
      <c r="C566" s="2">
        <v>0</v>
      </c>
      <c r="D566" s="2">
        <v>0</v>
      </c>
      <c r="E566" s="183">
        <f>SUM(B566:D566)</f>
        <v>0</v>
      </c>
      <c r="F566" s="2">
        <v>0</v>
      </c>
      <c r="G566" s="2">
        <v>0</v>
      </c>
      <c r="H566" s="2">
        <v>0</v>
      </c>
      <c r="I566" s="183">
        <f>SUM(F566:H566)</f>
        <v>0</v>
      </c>
      <c r="J566" s="2">
        <v>0</v>
      </c>
      <c r="K566" s="2">
        <v>0</v>
      </c>
      <c r="L566" s="2">
        <v>0</v>
      </c>
      <c r="M566" s="183">
        <f>SUM(J566:L566)</f>
        <v>0</v>
      </c>
      <c r="N566" s="2">
        <v>0</v>
      </c>
      <c r="O566" s="2">
        <v>0</v>
      </c>
      <c r="P566" s="2">
        <v>0</v>
      </c>
      <c r="Q566" s="183">
        <f>SUM(N566:P566)</f>
        <v>0</v>
      </c>
      <c r="R566" s="183">
        <f>+E566+I566+M566+Q566</f>
        <v>0</v>
      </c>
    </row>
    <row r="567" spans="1:18" ht="15.75" customHeight="1" x14ac:dyDescent="0.35">
      <c r="A567" s="9" t="s">
        <v>2147</v>
      </c>
      <c r="B567" s="2">
        <v>0</v>
      </c>
      <c r="C567" s="2">
        <v>0</v>
      </c>
      <c r="D567" s="2">
        <v>0</v>
      </c>
      <c r="E567" s="183">
        <f>SUM(B567:D567)</f>
        <v>0</v>
      </c>
      <c r="F567" s="2">
        <v>0</v>
      </c>
      <c r="G567" s="2">
        <v>0</v>
      </c>
      <c r="H567" s="2">
        <v>4525</v>
      </c>
      <c r="I567" s="183">
        <f>SUM(F567:H567)</f>
        <v>4525</v>
      </c>
      <c r="J567" s="2">
        <v>0</v>
      </c>
      <c r="K567" s="2">
        <v>0</v>
      </c>
      <c r="L567" s="2">
        <v>0</v>
      </c>
      <c r="M567" s="183">
        <f>SUM(J567:L567)</f>
        <v>0</v>
      </c>
      <c r="N567" s="2">
        <v>0</v>
      </c>
      <c r="O567" s="2">
        <v>0</v>
      </c>
      <c r="P567" s="2">
        <v>0</v>
      </c>
      <c r="Q567" s="183">
        <f>SUM(N567:P567)</f>
        <v>0</v>
      </c>
      <c r="R567" s="183">
        <f>+E567+I567+M567+Q567</f>
        <v>4525</v>
      </c>
    </row>
    <row r="568" spans="1:18" ht="15.75" customHeight="1" x14ac:dyDescent="0.35">
      <c r="A568" s="9" t="s">
        <v>2148</v>
      </c>
      <c r="B568" s="2">
        <v>0</v>
      </c>
      <c r="C568" s="2">
        <v>0</v>
      </c>
      <c r="D568" s="2">
        <v>0</v>
      </c>
      <c r="E568" s="183">
        <f>SUM(B568:D568)</f>
        <v>0</v>
      </c>
      <c r="F568" s="2">
        <v>0</v>
      </c>
      <c r="G568" s="2">
        <v>0</v>
      </c>
      <c r="H568" s="2">
        <v>0</v>
      </c>
      <c r="I568" s="183">
        <f>SUM(F568:H568)</f>
        <v>0</v>
      </c>
      <c r="J568" s="2">
        <v>0</v>
      </c>
      <c r="K568" s="2">
        <v>0</v>
      </c>
      <c r="L568" s="2">
        <v>0</v>
      </c>
      <c r="M568" s="183">
        <f>SUM(J568:L568)</f>
        <v>0</v>
      </c>
      <c r="N568" s="2">
        <v>0</v>
      </c>
      <c r="O568" s="2">
        <v>0</v>
      </c>
      <c r="P568" s="2">
        <v>0</v>
      </c>
      <c r="Q568" s="183">
        <f>SUM(N568:P568)</f>
        <v>0</v>
      </c>
      <c r="R568" s="183">
        <f>+E568+I568+M568+Q568</f>
        <v>0</v>
      </c>
    </row>
    <row r="569" spans="1:18" ht="15.75" customHeight="1" x14ac:dyDescent="0.35">
      <c r="A569" s="6" t="s">
        <v>558</v>
      </c>
      <c r="B569" s="2"/>
      <c r="C569" s="2"/>
      <c r="D569" s="2"/>
      <c r="E569" s="183" t="s">
        <v>852</v>
      </c>
      <c r="F569" s="2"/>
      <c r="G569" s="2"/>
      <c r="H569" s="2"/>
      <c r="I569" s="183" t="s">
        <v>852</v>
      </c>
      <c r="J569" s="2"/>
      <c r="K569" s="2"/>
      <c r="L569" s="2"/>
      <c r="M569" s="183" t="s">
        <v>852</v>
      </c>
      <c r="N569" s="2"/>
      <c r="O569" s="2"/>
      <c r="P569" s="2"/>
      <c r="Q569" s="183" t="s">
        <v>852</v>
      </c>
      <c r="R569" s="183" t="s">
        <v>852</v>
      </c>
    </row>
    <row r="570" spans="1:18" ht="15.75" customHeight="1" thickBot="1" x14ac:dyDescent="0.4">
      <c r="A570" s="6" t="s">
        <v>559</v>
      </c>
      <c r="B570" s="2"/>
      <c r="C570" s="2"/>
      <c r="D570" s="2"/>
      <c r="E570" s="183" t="s">
        <v>852</v>
      </c>
      <c r="F570" s="2"/>
      <c r="G570" s="2"/>
      <c r="H570" s="2"/>
      <c r="I570" s="183" t="s">
        <v>852</v>
      </c>
      <c r="J570" s="2"/>
      <c r="K570" s="2"/>
      <c r="L570" s="2"/>
      <c r="M570" s="183" t="s">
        <v>852</v>
      </c>
      <c r="N570" s="2"/>
      <c r="O570" s="2"/>
      <c r="P570" s="2"/>
      <c r="Q570" s="183" t="s">
        <v>852</v>
      </c>
      <c r="R570" s="183" t="s">
        <v>852</v>
      </c>
    </row>
    <row r="571" spans="1:18" ht="15.75" customHeight="1" thickBot="1" x14ac:dyDescent="0.4">
      <c r="A571" s="41" t="s">
        <v>1019</v>
      </c>
      <c r="B571" s="184">
        <f>SUM(B569:B570)</f>
        <v>0</v>
      </c>
      <c r="C571" s="184">
        <f>SUM(C569:C570)</f>
        <v>0</v>
      </c>
      <c r="D571" s="184">
        <f>SUM(D569:D570)</f>
        <v>0</v>
      </c>
      <c r="E571" s="185">
        <f>SUM(B571:D571)</f>
        <v>0</v>
      </c>
      <c r="F571" s="184">
        <f>SUM(F569:F570)</f>
        <v>0</v>
      </c>
      <c r="G571" s="184">
        <f>SUM(G569:G570)</f>
        <v>0</v>
      </c>
      <c r="H571" s="184">
        <f>SUM(H569:H570)</f>
        <v>0</v>
      </c>
      <c r="I571" s="185">
        <f>SUM(F571:H571)</f>
        <v>0</v>
      </c>
      <c r="J571" s="184">
        <f>SUM(J569:J570)</f>
        <v>0</v>
      </c>
      <c r="K571" s="184">
        <f>SUM(K569:K570)</f>
        <v>0</v>
      </c>
      <c r="L571" s="184">
        <f>SUM(L569:L570)</f>
        <v>0</v>
      </c>
      <c r="M571" s="185">
        <f>SUM(J571:L571)</f>
        <v>0</v>
      </c>
      <c r="N571" s="184">
        <f>SUM(N569:N570)</f>
        <v>0</v>
      </c>
      <c r="O571" s="184">
        <f>SUM(O569:O570)</f>
        <v>0</v>
      </c>
      <c r="P571" s="184">
        <f>SUM(P569:P570)</f>
        <v>0</v>
      </c>
      <c r="Q571" s="185">
        <f>SUM(N571:P571)</f>
        <v>0</v>
      </c>
      <c r="R571" s="56">
        <f>+E571+I571+M571+Q571</f>
        <v>0</v>
      </c>
    </row>
    <row r="572" spans="1:18" ht="15.75" customHeight="1" thickBot="1" x14ac:dyDescent="0.4">
      <c r="A572" s="57" t="s">
        <v>1221</v>
      </c>
      <c r="B572" s="188">
        <f>SUM(B562:B570)</f>
        <v>0</v>
      </c>
      <c r="C572" s="189">
        <f>SUM(C562:C570)</f>
        <v>0</v>
      </c>
      <c r="D572" s="191">
        <f>SUM(D562:D570)</f>
        <v>0</v>
      </c>
      <c r="E572" s="185">
        <f>SUM(B572:D572)</f>
        <v>0</v>
      </c>
      <c r="F572" s="189">
        <f>SUM(F562:F570)</f>
        <v>4348</v>
      </c>
      <c r="G572" s="189">
        <f>SUM(G562:G570)</f>
        <v>4910</v>
      </c>
      <c r="H572" s="189">
        <f>SUM(H562:H570)</f>
        <v>6866</v>
      </c>
      <c r="I572" s="185">
        <f>SUM(F572:H572)</f>
        <v>16124</v>
      </c>
      <c r="J572" s="189">
        <f>SUM(J562:J570)</f>
        <v>0</v>
      </c>
      <c r="K572" s="189">
        <f>SUM(K562:K570)</f>
        <v>0</v>
      </c>
      <c r="L572" s="189">
        <f>SUM(L562:L570)</f>
        <v>0</v>
      </c>
      <c r="M572" s="185">
        <f>SUM(J572:L572)</f>
        <v>0</v>
      </c>
      <c r="N572" s="189">
        <f>SUM(N562:N570)</f>
        <v>0</v>
      </c>
      <c r="O572" s="189">
        <f>SUM(O562:O570)</f>
        <v>0</v>
      </c>
      <c r="P572" s="189">
        <f>SUM(P562:P570)</f>
        <v>0</v>
      </c>
      <c r="Q572" s="185">
        <f>SUM(N572:P572)</f>
        <v>0</v>
      </c>
      <c r="R572" s="56">
        <f>+E572+I572+M572+Q572</f>
        <v>16124</v>
      </c>
    </row>
    <row r="573" spans="1:18" ht="15.75" customHeight="1" thickBot="1" x14ac:dyDescent="0.4">
      <c r="A573" s="41" t="s">
        <v>1222</v>
      </c>
      <c r="B573" s="190">
        <f>+B552+B556+B561+B572</f>
        <v>13525</v>
      </c>
      <c r="C573" s="184">
        <f>+C552+C556+C561+C572</f>
        <v>3697</v>
      </c>
      <c r="D573" s="184">
        <f>+D552+D556+D561+D572</f>
        <v>1785</v>
      </c>
      <c r="E573" s="56">
        <f>SUM(B573:D573)</f>
        <v>19007</v>
      </c>
      <c r="F573" s="184">
        <f>+F552+F556+F561+F572</f>
        <v>6819</v>
      </c>
      <c r="G573" s="184">
        <f>+G552+G556+G561+G572</f>
        <v>7200</v>
      </c>
      <c r="H573" s="184">
        <f>+H552+H556+H561+H572</f>
        <v>8680</v>
      </c>
      <c r="I573" s="56">
        <f>SUM(F573:H573)</f>
        <v>22699</v>
      </c>
      <c r="J573" s="184">
        <f>+J552+J556+J561+J572</f>
        <v>15231</v>
      </c>
      <c r="K573" s="184">
        <f>+K552+K556+K561+K572</f>
        <v>15988</v>
      </c>
      <c r="L573" s="184">
        <f>+L552+L556+L561+L572</f>
        <v>14586</v>
      </c>
      <c r="M573" s="56">
        <f>SUM(J573:L573)</f>
        <v>45805</v>
      </c>
      <c r="N573" s="184">
        <f>+N552+N556+N561+N572</f>
        <v>14796</v>
      </c>
      <c r="O573" s="184">
        <f>+O552+O556+O561+O572</f>
        <v>4122</v>
      </c>
      <c r="P573" s="184">
        <f>+P552+P556+P561+P572</f>
        <v>13187</v>
      </c>
      <c r="Q573" s="56">
        <f>SUM(N573:P573)</f>
        <v>32105</v>
      </c>
      <c r="R573" s="186">
        <f>+E573+I573+M573+Q573</f>
        <v>119616</v>
      </c>
    </row>
    <row r="574" spans="1:18" ht="15.75" customHeight="1" thickBot="1" x14ac:dyDescent="0.4">
      <c r="A574" s="485" t="s">
        <v>853</v>
      </c>
      <c r="B574" s="459">
        <v>22</v>
      </c>
      <c r="C574" s="459">
        <v>24</v>
      </c>
      <c r="D574" s="459">
        <v>31</v>
      </c>
      <c r="E574" s="56">
        <f>SUM(B574:D574)</f>
        <v>77</v>
      </c>
      <c r="F574" s="459">
        <v>40</v>
      </c>
      <c r="G574" s="459">
        <v>45</v>
      </c>
      <c r="H574" s="459">
        <v>48</v>
      </c>
      <c r="I574" s="56">
        <f>SUM(F574:H574)</f>
        <v>133</v>
      </c>
      <c r="J574" s="459">
        <v>42</v>
      </c>
      <c r="K574" s="459">
        <v>39</v>
      </c>
      <c r="L574" s="459">
        <v>38</v>
      </c>
      <c r="M574" s="56">
        <f>SUM(J574:L574)</f>
        <v>119</v>
      </c>
      <c r="N574" s="459">
        <v>32</v>
      </c>
      <c r="O574" s="459">
        <v>25</v>
      </c>
      <c r="P574" s="459">
        <v>21</v>
      </c>
      <c r="Q574" s="56">
        <f>SUM(N574:P574)</f>
        <v>78</v>
      </c>
      <c r="R574" s="185">
        <f>+E574+I574+M574+Q574</f>
        <v>407</v>
      </c>
    </row>
    <row r="575" spans="1:18" ht="15.75" customHeight="1" thickBot="1" x14ac:dyDescent="0.4">
      <c r="A575" s="12"/>
      <c r="B575" s="181"/>
      <c r="C575" s="181"/>
      <c r="D575" s="181"/>
      <c r="E575" s="178"/>
      <c r="F575" s="181"/>
      <c r="G575" s="181"/>
      <c r="H575" s="181"/>
      <c r="I575" s="178"/>
      <c r="J575" s="181"/>
      <c r="K575" s="181"/>
      <c r="L575" s="181"/>
      <c r="M575" s="178"/>
      <c r="N575" s="181"/>
      <c r="O575" s="181"/>
      <c r="P575" s="181"/>
      <c r="Q575" s="178"/>
      <c r="R575" s="476"/>
    </row>
    <row r="576" spans="1:18" ht="15.75" customHeight="1" x14ac:dyDescent="0.35">
      <c r="A576" s="6" t="s">
        <v>120</v>
      </c>
      <c r="B576" s="2">
        <f>+SUM(B573:B574)</f>
        <v>13547</v>
      </c>
      <c r="C576" s="2">
        <f>+SUM(C573:C574)</f>
        <v>3721</v>
      </c>
      <c r="D576" s="2">
        <f>+SUM(D573:D574)</f>
        <v>1816</v>
      </c>
      <c r="E576" s="185">
        <f>SUM(B576:D576)</f>
        <v>19084</v>
      </c>
      <c r="F576" s="2">
        <f>+SUM(F573:F574)</f>
        <v>6859</v>
      </c>
      <c r="G576" s="2">
        <f>+SUM(G573:G574)</f>
        <v>7245</v>
      </c>
      <c r="H576" s="2">
        <f>+SUM(H573:H574)</f>
        <v>8728</v>
      </c>
      <c r="I576" s="185">
        <f>SUM(F576:H576)</f>
        <v>22832</v>
      </c>
      <c r="J576" s="2">
        <f>+SUM(J573:J574)</f>
        <v>15273</v>
      </c>
      <c r="K576" s="2">
        <f>+SUM(K573:K574)</f>
        <v>16027</v>
      </c>
      <c r="L576" s="2">
        <f>+SUM(L573:L574)</f>
        <v>14624</v>
      </c>
      <c r="M576" s="185">
        <f>SUM(J576:L576)</f>
        <v>45924</v>
      </c>
      <c r="N576" s="2">
        <f>+SUM(N573:N574)</f>
        <v>14828</v>
      </c>
      <c r="O576" s="2">
        <f>+SUM(O573:O574)</f>
        <v>4147</v>
      </c>
      <c r="P576" s="2">
        <f>+SUM(P573:P574)</f>
        <v>13208</v>
      </c>
      <c r="Q576" s="185">
        <f>SUM(N576:P576)</f>
        <v>32183</v>
      </c>
      <c r="R576" s="185">
        <f>+E576+I576+M576+Q576</f>
        <v>120023</v>
      </c>
    </row>
    <row r="577" spans="1:18" ht="15.75" customHeight="1" x14ac:dyDescent="0.35">
      <c r="A577" s="6" t="s">
        <v>1897</v>
      </c>
      <c r="B577" s="2">
        <f>(B576/31)/1.983</f>
        <v>220.37317196167422</v>
      </c>
      <c r="C577" s="2">
        <f>(C576/28)/1.983</f>
        <v>67.016065124990988</v>
      </c>
      <c r="D577" s="2">
        <f>(D576/31)/1.983</f>
        <v>29.541424690514532</v>
      </c>
      <c r="E577" s="183" t="s">
        <v>852</v>
      </c>
      <c r="F577" s="2">
        <f>(F576/30)/1.983</f>
        <v>115.29668851907883</v>
      </c>
      <c r="G577" s="2">
        <f>(G576/31)/1.983</f>
        <v>117.85661997950319</v>
      </c>
      <c r="H577" s="2">
        <f>(H576/30)/1.983</f>
        <v>146.71373340057153</v>
      </c>
      <c r="I577" s="183" t="s">
        <v>852</v>
      </c>
      <c r="J577" s="2">
        <f>(J576/31)/1.983</f>
        <v>248.45053926113903</v>
      </c>
      <c r="K577" s="2">
        <f>(K576/31)/1.983</f>
        <v>260.71608673726678</v>
      </c>
      <c r="L577" s="2">
        <f>(L576/30)/1.983</f>
        <v>245.82282736594382</v>
      </c>
      <c r="M577" s="183" t="s">
        <v>852</v>
      </c>
      <c r="N577" s="2">
        <f>(N576/31)/1.983</f>
        <v>241.21158882761537</v>
      </c>
      <c r="O577" s="2">
        <f>(O576/30)/1.983</f>
        <v>69.709194822659256</v>
      </c>
      <c r="P577" s="2">
        <f>(P576/31)/1.983</f>
        <v>214.85855578872025</v>
      </c>
      <c r="Q577" s="183" t="s">
        <v>852</v>
      </c>
      <c r="R577" s="183" t="s">
        <v>852</v>
      </c>
    </row>
    <row r="578" spans="1:18" ht="15.75" customHeight="1" x14ac:dyDescent="0.35">
      <c r="A578" s="6" t="s">
        <v>2390</v>
      </c>
      <c r="B578" s="2">
        <f>B576+B588</f>
        <v>15995</v>
      </c>
      <c r="C578" s="2">
        <f>C576+C588</f>
        <v>5559</v>
      </c>
      <c r="D578" s="2">
        <f>D576+D588</f>
        <v>4966</v>
      </c>
      <c r="E578" s="183">
        <f>SUM(B578:D578)</f>
        <v>26520</v>
      </c>
      <c r="F578" s="2">
        <f>F576+F588</f>
        <v>9635</v>
      </c>
      <c r="G578" s="2">
        <f>G576+G588</f>
        <v>10952</v>
      </c>
      <c r="H578" s="2">
        <f>H576+H588</f>
        <v>12443</v>
      </c>
      <c r="I578" s="183">
        <f>SUM(F578:H578)</f>
        <v>33030</v>
      </c>
      <c r="J578" s="2">
        <f>J576+J588</f>
        <v>18549</v>
      </c>
      <c r="K578" s="2">
        <f>K576+K588</f>
        <v>20585</v>
      </c>
      <c r="L578" s="2">
        <f>L576+L588</f>
        <v>18717</v>
      </c>
      <c r="M578" s="183">
        <f>SUM(J578:L578)</f>
        <v>57851</v>
      </c>
      <c r="N578" s="2">
        <f>N576+N588</f>
        <v>17453</v>
      </c>
      <c r="O578" s="2">
        <f>O576+O588</f>
        <v>5453</v>
      </c>
      <c r="P578" s="2">
        <f>P576+P588</f>
        <v>17541</v>
      </c>
      <c r="Q578" s="183">
        <f>SUM(N578:P578)</f>
        <v>40447</v>
      </c>
      <c r="R578" s="183">
        <f>+E578+I578+M578+Q578</f>
        <v>157848</v>
      </c>
    </row>
    <row r="579" spans="1:18" ht="15.75" customHeight="1" thickBot="1" x14ac:dyDescent="0.4">
      <c r="A579" s="458" t="s">
        <v>1716</v>
      </c>
      <c r="B579" s="459">
        <f>(B578/31)/1.983</f>
        <v>260.19553299822684</v>
      </c>
      <c r="C579" s="459">
        <f>(C578/28)/1.983</f>
        <v>100.1188675167495</v>
      </c>
      <c r="D579" s="459">
        <f>(D578/31)/1.983</f>
        <v>80.783433377255051</v>
      </c>
      <c r="E579" s="186" t="s">
        <v>852</v>
      </c>
      <c r="F579" s="459">
        <f>(F578/30)/1.983</f>
        <v>161.95999327618088</v>
      </c>
      <c r="G579" s="459">
        <f>(G578/31)/1.983</f>
        <v>178.15951718640704</v>
      </c>
      <c r="H579" s="459">
        <f>(H578/30)/1.983</f>
        <v>209.16120356362413</v>
      </c>
      <c r="I579" s="186" t="s">
        <v>852</v>
      </c>
      <c r="J579" s="459">
        <f>(J578/31)/1.983</f>
        <v>301.74222829534915</v>
      </c>
      <c r="K579" s="459">
        <f>(K578/31)/1.983</f>
        <v>334.86245994176301</v>
      </c>
      <c r="L579" s="459">
        <f>(L578/30)/1.983</f>
        <v>314.62430660615229</v>
      </c>
      <c r="M579" s="186" t="s">
        <v>852</v>
      </c>
      <c r="N579" s="459">
        <f>(N578/31)/1.983</f>
        <v>283.91326273323244</v>
      </c>
      <c r="O579" s="459">
        <f>(O578/30)/1.983</f>
        <v>91.662464279710875</v>
      </c>
      <c r="P579" s="459">
        <f>(P578/31)/1.983</f>
        <v>285.34478551559221</v>
      </c>
      <c r="Q579" s="186" t="s">
        <v>852</v>
      </c>
      <c r="R579" s="186" t="s">
        <v>852</v>
      </c>
    </row>
    <row r="580" spans="1:18" ht="15.75" customHeight="1" x14ac:dyDescent="0.35">
      <c r="A580" s="187"/>
      <c r="B580" s="2"/>
      <c r="C580" s="2"/>
      <c r="D580" s="2"/>
      <c r="E580" s="2"/>
      <c r="F580" s="2"/>
      <c r="G580" s="2"/>
      <c r="H580" s="2"/>
      <c r="I580" s="2"/>
      <c r="J580" s="2"/>
      <c r="K580" s="2"/>
      <c r="L580" s="2"/>
      <c r="M580" s="2"/>
      <c r="N580" s="2"/>
      <c r="O580" s="2"/>
      <c r="P580" s="2"/>
      <c r="Q580" s="2"/>
      <c r="R580" s="187"/>
    </row>
    <row r="581" spans="1:18" ht="15.75" customHeight="1" thickBot="1" x14ac:dyDescent="0.4">
      <c r="A581" s="187"/>
      <c r="B581" s="2"/>
      <c r="C581" s="2"/>
      <c r="D581" s="2"/>
      <c r="E581" s="2"/>
      <c r="F581" s="2"/>
      <c r="G581" s="2"/>
      <c r="H581" s="2"/>
      <c r="I581" s="2"/>
      <c r="J581" s="2"/>
      <c r="K581" s="2"/>
      <c r="L581" s="2"/>
      <c r="M581" s="2"/>
      <c r="N581" s="2"/>
      <c r="O581" s="2"/>
      <c r="P581" s="2"/>
      <c r="Q581" s="2"/>
      <c r="R581" s="187"/>
    </row>
    <row r="582" spans="1:18" ht="15.75" customHeight="1" thickBot="1" x14ac:dyDescent="0.4">
      <c r="A582" s="7" t="s">
        <v>374</v>
      </c>
      <c r="B582" s="179" t="s">
        <v>2090</v>
      </c>
      <c r="C582" s="180" t="s">
        <v>2091</v>
      </c>
      <c r="D582" s="180" t="s">
        <v>2234</v>
      </c>
      <c r="E582" s="175" t="s">
        <v>1594</v>
      </c>
      <c r="F582" s="180" t="s">
        <v>2235</v>
      </c>
      <c r="G582" s="180" t="s">
        <v>2236</v>
      </c>
      <c r="H582" s="180" t="s">
        <v>2237</v>
      </c>
      <c r="I582" s="64" t="s">
        <v>1595</v>
      </c>
      <c r="J582" s="180" t="s">
        <v>1504</v>
      </c>
      <c r="K582" s="180" t="s">
        <v>1505</v>
      </c>
      <c r="L582" s="180" t="s">
        <v>1506</v>
      </c>
      <c r="M582" s="64" t="s">
        <v>1596</v>
      </c>
      <c r="N582" s="180" t="s">
        <v>1507</v>
      </c>
      <c r="O582" s="180" t="s">
        <v>1508</v>
      </c>
      <c r="P582" s="180" t="s">
        <v>1509</v>
      </c>
      <c r="Q582" s="64" t="s">
        <v>1597</v>
      </c>
      <c r="R582" s="471" t="s">
        <v>1510</v>
      </c>
    </row>
    <row r="583" spans="1:18" ht="15.75" customHeight="1" thickBot="1" x14ac:dyDescent="0.4">
      <c r="A583" s="12"/>
      <c r="B583" s="181"/>
      <c r="C583" s="181"/>
      <c r="D583" s="181"/>
      <c r="E583" s="182"/>
      <c r="F583" s="181"/>
      <c r="G583" s="181"/>
      <c r="H583" s="181"/>
      <c r="I583" s="182"/>
      <c r="J583" s="181"/>
      <c r="K583" s="181"/>
      <c r="L583" s="181"/>
      <c r="M583" s="182"/>
      <c r="N583" s="181"/>
      <c r="O583" s="181"/>
      <c r="P583" s="181"/>
      <c r="Q583" s="182"/>
      <c r="R583" s="12"/>
    </row>
    <row r="584" spans="1:18" ht="15.75" customHeight="1" thickBot="1" x14ac:dyDescent="0.4">
      <c r="A584" s="474" t="s">
        <v>853</v>
      </c>
      <c r="B584" s="459">
        <v>2</v>
      </c>
      <c r="C584" s="459">
        <v>3</v>
      </c>
      <c r="D584" s="459">
        <v>5</v>
      </c>
      <c r="E584" s="183">
        <f>SUM(B584:D584)</f>
        <v>10</v>
      </c>
      <c r="F584" s="459">
        <v>7</v>
      </c>
      <c r="G584" s="459">
        <v>8</v>
      </c>
      <c r="H584" s="459">
        <v>9</v>
      </c>
      <c r="I584" s="183">
        <f>SUM(F584:H584)</f>
        <v>24</v>
      </c>
      <c r="J584" s="459">
        <v>7</v>
      </c>
      <c r="K584" s="459">
        <v>6</v>
      </c>
      <c r="L584" s="459">
        <v>6</v>
      </c>
      <c r="M584" s="183">
        <f>SUM(J584:L584)</f>
        <v>19</v>
      </c>
      <c r="N584" s="459">
        <v>5</v>
      </c>
      <c r="O584" s="459">
        <v>3</v>
      </c>
      <c r="P584" s="459">
        <v>2</v>
      </c>
      <c r="Q584" s="183">
        <f>SUM(N584:P584)</f>
        <v>10</v>
      </c>
      <c r="R584" s="185">
        <f>+E584+I584+M584+Q584</f>
        <v>63</v>
      </c>
    </row>
    <row r="585" spans="1:18" ht="15.75" customHeight="1" thickBot="1" x14ac:dyDescent="0.4">
      <c r="A585" s="12"/>
      <c r="B585" s="181"/>
      <c r="C585" s="181"/>
      <c r="D585" s="181"/>
      <c r="E585" s="178"/>
      <c r="F585" s="181"/>
      <c r="G585" s="181"/>
      <c r="H585" s="181"/>
      <c r="I585" s="178"/>
      <c r="J585" s="181"/>
      <c r="K585" s="181"/>
      <c r="L585" s="181"/>
      <c r="M585" s="178"/>
      <c r="N585" s="181"/>
      <c r="O585" s="181"/>
      <c r="P585" s="181"/>
      <c r="Q585" s="178"/>
      <c r="R585" s="476"/>
    </row>
    <row r="586" spans="1:18" ht="15.75" customHeight="1" x14ac:dyDescent="0.35">
      <c r="A586" s="6" t="s">
        <v>120</v>
      </c>
      <c r="B586" s="2">
        <f>B584</f>
        <v>2</v>
      </c>
      <c r="C586" s="2">
        <f>C584</f>
        <v>3</v>
      </c>
      <c r="D586" s="2">
        <f>D584</f>
        <v>5</v>
      </c>
      <c r="E586" s="185">
        <f>SUM(B586:D586)</f>
        <v>10</v>
      </c>
      <c r="F586" s="2">
        <f>F584</f>
        <v>7</v>
      </c>
      <c r="G586" s="2">
        <f>G584</f>
        <v>8</v>
      </c>
      <c r="H586" s="2">
        <f>H584</f>
        <v>9</v>
      </c>
      <c r="I586" s="185">
        <f>SUM(F586:H586)</f>
        <v>24</v>
      </c>
      <c r="J586" s="2">
        <f>J584</f>
        <v>7</v>
      </c>
      <c r="K586" s="2">
        <f>K584</f>
        <v>6</v>
      </c>
      <c r="L586" s="2">
        <f>L584</f>
        <v>6</v>
      </c>
      <c r="M586" s="185">
        <f>SUM(J586:L586)</f>
        <v>19</v>
      </c>
      <c r="N586" s="2">
        <f>N584</f>
        <v>5</v>
      </c>
      <c r="O586" s="2">
        <f>O584</f>
        <v>3</v>
      </c>
      <c r="P586" s="2">
        <f>P584</f>
        <v>2</v>
      </c>
      <c r="Q586" s="185">
        <f>SUM(N586:P586)</f>
        <v>10</v>
      </c>
      <c r="R586" s="185">
        <f>+E586+I586+M586+Q586</f>
        <v>63</v>
      </c>
    </row>
    <row r="587" spans="1:18" ht="15.75" customHeight="1" x14ac:dyDescent="0.35">
      <c r="A587" s="6" t="s">
        <v>1897</v>
      </c>
      <c r="B587" s="2">
        <f>(B586/31)/1.983</f>
        <v>3.2534608689993978E-2</v>
      </c>
      <c r="C587" s="2">
        <f>(C586/28)/1.983</f>
        <v>5.403068943159714E-2</v>
      </c>
      <c r="D587" s="2">
        <f>(D586/31)/1.983</f>
        <v>8.1336521724984942E-2</v>
      </c>
      <c r="E587" s="183" t="s">
        <v>852</v>
      </c>
      <c r="F587" s="2">
        <f>(F586/30)/1.983</f>
        <v>0.1176668347621449</v>
      </c>
      <c r="G587" s="2">
        <f>(G586/31)/1.983</f>
        <v>0.13013843475997591</v>
      </c>
      <c r="H587" s="2">
        <f>(H586/30)/1.983</f>
        <v>0.15128593040847199</v>
      </c>
      <c r="I587" s="183" t="s">
        <v>852</v>
      </c>
      <c r="J587" s="2">
        <f>(J586/31)/1.983</f>
        <v>0.11387113041497893</v>
      </c>
      <c r="K587" s="2">
        <f>(K586/31)/1.983</f>
        <v>9.7603826069981942E-2</v>
      </c>
      <c r="L587" s="2">
        <f>(L586/30)/1.983</f>
        <v>0.10085728693898134</v>
      </c>
      <c r="M587" s="183" t="s">
        <v>852</v>
      </c>
      <c r="N587" s="2">
        <f>(N586/31)/1.983</f>
        <v>8.1336521724984942E-2</v>
      </c>
      <c r="O587" s="2">
        <f>(O586/30)/1.983</f>
        <v>5.0428643469490671E-2</v>
      </c>
      <c r="P587" s="2">
        <f>(P586/31)/1.983</f>
        <v>3.2534608689993978E-2</v>
      </c>
      <c r="Q587" s="183" t="s">
        <v>852</v>
      </c>
      <c r="R587" s="183" t="s">
        <v>852</v>
      </c>
    </row>
    <row r="588" spans="1:18" ht="15.75" customHeight="1" x14ac:dyDescent="0.35">
      <c r="A588" s="6" t="s">
        <v>585</v>
      </c>
      <c r="B588" s="2">
        <f>B586+B622+B664-B617</f>
        <v>2448</v>
      </c>
      <c r="C588" s="2">
        <f>C586+C622+C664-C617</f>
        <v>1838</v>
      </c>
      <c r="D588" s="2">
        <f>D586+D622+D664-D617</f>
        <v>3150</v>
      </c>
      <c r="E588" s="183">
        <f>SUM(B588:D588)</f>
        <v>7436</v>
      </c>
      <c r="F588" s="2">
        <f>F586+F622+F664-F617</f>
        <v>2776</v>
      </c>
      <c r="G588" s="2">
        <f>G586+G622+G664-G617</f>
        <v>3707</v>
      </c>
      <c r="H588" s="2">
        <f>H586+H622+H664-H617</f>
        <v>3715</v>
      </c>
      <c r="I588" s="183">
        <f>SUM(F588:H588)</f>
        <v>10198</v>
      </c>
      <c r="J588" s="2">
        <f>J586+J622+J664-J617</f>
        <v>3276</v>
      </c>
      <c r="K588" s="2">
        <f>K586+K622+K664-K617</f>
        <v>4558</v>
      </c>
      <c r="L588" s="2">
        <f>L586+L622+L664-L617</f>
        <v>4093</v>
      </c>
      <c r="M588" s="183">
        <f>SUM(J588:L588)</f>
        <v>11927</v>
      </c>
      <c r="N588" s="2">
        <f>N586+N622+N664-N617</f>
        <v>2625</v>
      </c>
      <c r="O588" s="2">
        <f>O586+O622+O664-O617</f>
        <v>1306</v>
      </c>
      <c r="P588" s="2">
        <f>P586+P622+P664-P617</f>
        <v>4333</v>
      </c>
      <c r="Q588" s="183">
        <f>SUM(N588:P588)</f>
        <v>8264</v>
      </c>
      <c r="R588" s="183">
        <f>+E588+I588+M588+Q588</f>
        <v>37825</v>
      </c>
    </row>
    <row r="589" spans="1:18" ht="15.75" customHeight="1" thickBot="1" x14ac:dyDescent="0.4">
      <c r="A589" s="458" t="s">
        <v>57</v>
      </c>
      <c r="B589" s="459">
        <f>(B588/31)/1.983</f>
        <v>39.822361036552628</v>
      </c>
      <c r="C589" s="459">
        <f>(C588/28)/1.983</f>
        <v>33.102802391758516</v>
      </c>
      <c r="D589" s="459">
        <f>(D588/31)/1.983</f>
        <v>51.242008686740519</v>
      </c>
      <c r="E589" s="186" t="s">
        <v>852</v>
      </c>
      <c r="F589" s="459">
        <f>(F588/30)/1.983</f>
        <v>46.663304757102033</v>
      </c>
      <c r="G589" s="459">
        <f>(G588/31)/1.983</f>
        <v>60.302897206903843</v>
      </c>
      <c r="H589" s="459">
        <f>(H588/30)/1.983</f>
        <v>62.447470163052607</v>
      </c>
      <c r="I589" s="186" t="s">
        <v>852</v>
      </c>
      <c r="J589" s="459">
        <f>(J588/31)/1.983</f>
        <v>53.291689034210137</v>
      </c>
      <c r="K589" s="459">
        <f>(K588/31)/1.983</f>
        <v>74.146373204496285</v>
      </c>
      <c r="L589" s="459">
        <f>(L588/30)/1.983</f>
        <v>68.801479240208437</v>
      </c>
      <c r="M589" s="186" t="s">
        <v>852</v>
      </c>
      <c r="N589" s="459">
        <f>(N588/31)/1.983</f>
        <v>42.701673905617099</v>
      </c>
      <c r="O589" s="459">
        <f>(O588/30)/1.983</f>
        <v>21.953269457051604</v>
      </c>
      <c r="P589" s="459">
        <f>(P588/31)/1.983</f>
        <v>70.486229726871954</v>
      </c>
      <c r="Q589" s="186" t="s">
        <v>852</v>
      </c>
      <c r="R589" s="186" t="s">
        <v>852</v>
      </c>
    </row>
    <row r="590" spans="1:18" ht="15.75" customHeight="1" x14ac:dyDescent="0.35">
      <c r="A590" s="187"/>
      <c r="B590" s="2"/>
      <c r="C590" s="2"/>
      <c r="D590" s="2"/>
      <c r="E590" s="2"/>
      <c r="F590" s="2"/>
      <c r="G590" s="2"/>
      <c r="H590" s="2"/>
      <c r="I590" s="2"/>
      <c r="J590" s="2"/>
      <c r="K590" s="2"/>
      <c r="L590" s="2"/>
      <c r="M590" s="2"/>
      <c r="N590" s="2"/>
      <c r="O590" s="2"/>
      <c r="P590" s="2"/>
      <c r="Q590" s="2"/>
      <c r="R590" s="187"/>
    </row>
    <row r="591" spans="1:18" ht="15.75" customHeight="1" thickBot="1" x14ac:dyDescent="0.4">
      <c r="A591" s="187"/>
      <c r="B591" s="2"/>
      <c r="C591" s="2"/>
      <c r="D591" s="2"/>
      <c r="E591" s="2"/>
      <c r="F591" s="2"/>
      <c r="G591" s="2"/>
      <c r="H591" s="2"/>
      <c r="I591" s="2"/>
      <c r="J591" s="2"/>
      <c r="K591" s="2"/>
      <c r="L591" s="2"/>
      <c r="M591" s="2"/>
      <c r="N591" s="2"/>
      <c r="O591" s="2"/>
      <c r="P591" s="2"/>
      <c r="Q591" s="2"/>
      <c r="R591" s="187"/>
    </row>
    <row r="592" spans="1:18" ht="15.75" customHeight="1" thickBot="1" x14ac:dyDescent="0.4">
      <c r="A592" s="7" t="s">
        <v>1709</v>
      </c>
      <c r="B592" s="179" t="s">
        <v>2090</v>
      </c>
      <c r="C592" s="180" t="s">
        <v>2091</v>
      </c>
      <c r="D592" s="180" t="s">
        <v>2234</v>
      </c>
      <c r="E592" s="64" t="s">
        <v>1594</v>
      </c>
      <c r="F592" s="180" t="s">
        <v>2235</v>
      </c>
      <c r="G592" s="180" t="s">
        <v>2236</v>
      </c>
      <c r="H592" s="180" t="s">
        <v>2237</v>
      </c>
      <c r="I592" s="64" t="s">
        <v>1595</v>
      </c>
      <c r="J592" s="180" t="s">
        <v>1504</v>
      </c>
      <c r="K592" s="180" t="s">
        <v>1505</v>
      </c>
      <c r="L592" s="180" t="s">
        <v>1506</v>
      </c>
      <c r="M592" s="64" t="s">
        <v>1596</v>
      </c>
      <c r="N592" s="180" t="s">
        <v>1507</v>
      </c>
      <c r="O592" s="180" t="s">
        <v>1508</v>
      </c>
      <c r="P592" s="180" t="s">
        <v>1509</v>
      </c>
      <c r="Q592" s="64" t="s">
        <v>1597</v>
      </c>
      <c r="R592" s="529" t="s">
        <v>1510</v>
      </c>
    </row>
    <row r="593" spans="1:18" ht="15.75" customHeight="1" thickBot="1" x14ac:dyDescent="0.4">
      <c r="A593" s="12"/>
      <c r="B593" s="181"/>
      <c r="C593" s="181"/>
      <c r="D593" s="181"/>
      <c r="E593" s="193"/>
      <c r="F593" s="181"/>
      <c r="G593" s="181"/>
      <c r="H593" s="181"/>
      <c r="I593" s="193"/>
      <c r="J593" s="181"/>
      <c r="K593" s="181"/>
      <c r="L593" s="181"/>
      <c r="M593" s="193"/>
      <c r="N593" s="181"/>
      <c r="O593" s="181"/>
      <c r="P593" s="181"/>
      <c r="Q593" s="193"/>
      <c r="R593" s="473"/>
    </row>
    <row r="594" spans="1:18" ht="15.75" customHeight="1" x14ac:dyDescent="0.35">
      <c r="A594" s="6" t="s">
        <v>2417</v>
      </c>
      <c r="B594" s="2" t="s">
        <v>852</v>
      </c>
      <c r="C594" s="2" t="s">
        <v>852</v>
      </c>
      <c r="D594" s="2" t="s">
        <v>852</v>
      </c>
      <c r="E594" s="183" t="s">
        <v>852</v>
      </c>
      <c r="F594" s="2" t="s">
        <v>852</v>
      </c>
      <c r="G594" s="2" t="s">
        <v>852</v>
      </c>
      <c r="H594" s="2" t="s">
        <v>852</v>
      </c>
      <c r="I594" s="183" t="s">
        <v>852</v>
      </c>
      <c r="J594" s="2" t="s">
        <v>852</v>
      </c>
      <c r="K594" s="2" t="s">
        <v>852</v>
      </c>
      <c r="L594" s="2" t="s">
        <v>852</v>
      </c>
      <c r="M594" s="183" t="s">
        <v>852</v>
      </c>
      <c r="N594" s="2" t="s">
        <v>852</v>
      </c>
      <c r="O594" s="2" t="s">
        <v>852</v>
      </c>
      <c r="P594" s="2" t="s">
        <v>852</v>
      </c>
      <c r="Q594" s="183" t="s">
        <v>852</v>
      </c>
      <c r="R594" s="183" t="s">
        <v>852</v>
      </c>
    </row>
    <row r="595" spans="1:18" ht="15.75" customHeight="1" x14ac:dyDescent="0.35">
      <c r="A595" s="6" t="s">
        <v>2160</v>
      </c>
      <c r="B595" s="2"/>
      <c r="C595" s="2"/>
      <c r="D595" s="2"/>
      <c r="E595" s="183" t="s">
        <v>852</v>
      </c>
      <c r="F595" s="2"/>
      <c r="G595" s="2"/>
      <c r="H595" s="2"/>
      <c r="I595" s="183" t="s">
        <v>852</v>
      </c>
      <c r="J595" s="2"/>
      <c r="K595" s="2"/>
      <c r="L595" s="2"/>
      <c r="M595" s="183" t="s">
        <v>852</v>
      </c>
      <c r="N595" s="2"/>
      <c r="O595" s="2"/>
      <c r="P595" s="2"/>
      <c r="Q595" s="183" t="s">
        <v>852</v>
      </c>
      <c r="R595" s="183" t="s">
        <v>852</v>
      </c>
    </row>
    <row r="596" spans="1:18" ht="15.75" customHeight="1" x14ac:dyDescent="0.35">
      <c r="A596" s="9" t="s">
        <v>573</v>
      </c>
      <c r="B596" s="2">
        <v>66</v>
      </c>
      <c r="C596" s="2">
        <v>23</v>
      </c>
      <c r="D596" s="2">
        <v>67</v>
      </c>
      <c r="E596" s="183">
        <f>SUM(B596:D596)</f>
        <v>156</v>
      </c>
      <c r="F596" s="2">
        <v>67</v>
      </c>
      <c r="G596" s="2">
        <v>10</v>
      </c>
      <c r="H596" s="2">
        <v>81</v>
      </c>
      <c r="I596" s="183">
        <f>SUM(F596:H596)</f>
        <v>158</v>
      </c>
      <c r="J596" s="2">
        <v>116</v>
      </c>
      <c r="K596" s="2">
        <v>68</v>
      </c>
      <c r="L596" s="2">
        <v>37</v>
      </c>
      <c r="M596" s="183">
        <f>SUM(J596:L596)</f>
        <v>221</v>
      </c>
      <c r="N596" s="2">
        <v>93</v>
      </c>
      <c r="O596" s="2">
        <v>77</v>
      </c>
      <c r="P596" s="2">
        <v>32</v>
      </c>
      <c r="Q596" s="183">
        <f>SUM(N596:P596)</f>
        <v>202</v>
      </c>
      <c r="R596" s="183">
        <f>+E596+I596+M596+Q596</f>
        <v>737</v>
      </c>
    </row>
    <row r="597" spans="1:18" ht="15.75" customHeight="1" x14ac:dyDescent="0.35">
      <c r="A597" s="6" t="s">
        <v>2161</v>
      </c>
      <c r="B597" s="2"/>
      <c r="C597" s="2"/>
      <c r="D597" s="2"/>
      <c r="E597" s="183" t="s">
        <v>852</v>
      </c>
      <c r="F597" s="2"/>
      <c r="G597" s="2"/>
      <c r="H597" s="2"/>
      <c r="I597" s="183" t="s">
        <v>852</v>
      </c>
      <c r="J597" s="2"/>
      <c r="K597" s="2"/>
      <c r="L597" s="2"/>
      <c r="M597" s="183" t="s">
        <v>852</v>
      </c>
      <c r="N597" s="2"/>
      <c r="O597" s="2"/>
      <c r="P597" s="2"/>
      <c r="Q597" s="183" t="s">
        <v>852</v>
      </c>
      <c r="R597" s="183" t="s">
        <v>852</v>
      </c>
    </row>
    <row r="598" spans="1:18" ht="15.75" customHeight="1" x14ac:dyDescent="0.35">
      <c r="A598" s="6" t="s">
        <v>2162</v>
      </c>
      <c r="B598" s="2"/>
      <c r="C598" s="2"/>
      <c r="D598" s="2"/>
      <c r="E598" s="183" t="s">
        <v>852</v>
      </c>
      <c r="F598" s="2"/>
      <c r="G598" s="2"/>
      <c r="H598" s="2"/>
      <c r="I598" s="183" t="s">
        <v>852</v>
      </c>
      <c r="J598" s="2"/>
      <c r="K598" s="2"/>
      <c r="L598" s="2"/>
      <c r="M598" s="183" t="s">
        <v>852</v>
      </c>
      <c r="N598" s="2"/>
      <c r="O598" s="2"/>
      <c r="P598" s="2"/>
      <c r="Q598" s="183" t="s">
        <v>852</v>
      </c>
      <c r="R598" s="183" t="s">
        <v>852</v>
      </c>
    </row>
    <row r="599" spans="1:18" ht="15.75" customHeight="1" thickBot="1" x14ac:dyDescent="0.4">
      <c r="A599" s="6" t="s">
        <v>2164</v>
      </c>
      <c r="B599" s="2"/>
      <c r="C599" s="2"/>
      <c r="D599" s="2"/>
      <c r="E599" s="183" t="s">
        <v>852</v>
      </c>
      <c r="F599" s="2"/>
      <c r="G599" s="2"/>
      <c r="H599" s="2"/>
      <c r="I599" s="183" t="s">
        <v>852</v>
      </c>
      <c r="J599" s="2"/>
      <c r="K599" s="2"/>
      <c r="L599" s="2"/>
      <c r="M599" s="183" t="s">
        <v>852</v>
      </c>
      <c r="N599" s="2"/>
      <c r="O599" s="2"/>
      <c r="P599" s="2"/>
      <c r="Q599" s="183" t="s">
        <v>852</v>
      </c>
      <c r="R599" s="183" t="s">
        <v>852</v>
      </c>
    </row>
    <row r="600" spans="1:18" ht="15.75" customHeight="1" thickBot="1" x14ac:dyDescent="0.4">
      <c r="A600" s="41" t="s">
        <v>1218</v>
      </c>
      <c r="B600" s="188">
        <f>SUM(B594:B599)</f>
        <v>66</v>
      </c>
      <c r="C600" s="189">
        <f>SUM(C594:C599)</f>
        <v>23</v>
      </c>
      <c r="D600" s="189">
        <f>SUM(D594:D599)</f>
        <v>67</v>
      </c>
      <c r="E600" s="56">
        <f>SUM(B600:D600)</f>
        <v>156</v>
      </c>
      <c r="F600" s="189">
        <f>SUM(F594:F599)</f>
        <v>67</v>
      </c>
      <c r="G600" s="189">
        <f>SUM(G594:G599)</f>
        <v>10</v>
      </c>
      <c r="H600" s="189">
        <f>SUM(H594:H599)</f>
        <v>81</v>
      </c>
      <c r="I600" s="56">
        <f>SUM(F600:H600)</f>
        <v>158</v>
      </c>
      <c r="J600" s="189">
        <f>SUM(J594:J599)</f>
        <v>116</v>
      </c>
      <c r="K600" s="189">
        <f>SUM(K594:K599)</f>
        <v>68</v>
      </c>
      <c r="L600" s="189">
        <f>SUM(L594:L599)</f>
        <v>37</v>
      </c>
      <c r="M600" s="56">
        <f>SUM(J600:L600)</f>
        <v>221</v>
      </c>
      <c r="N600" s="189">
        <f>SUM(N594:N599)</f>
        <v>93</v>
      </c>
      <c r="O600" s="189">
        <f>SUM(O594:O599)</f>
        <v>77</v>
      </c>
      <c r="P600" s="189">
        <f>SUM(P594:P599)</f>
        <v>32</v>
      </c>
      <c r="Q600" s="56">
        <f>SUM(N600:P600)</f>
        <v>202</v>
      </c>
      <c r="R600" s="56">
        <f>+E600+I600+M600+Q600</f>
        <v>737</v>
      </c>
    </row>
    <row r="601" spans="1:18" ht="15.75" customHeight="1" x14ac:dyDescent="0.35">
      <c r="A601" s="6" t="s">
        <v>1172</v>
      </c>
      <c r="B601" s="2"/>
      <c r="C601" s="2"/>
      <c r="D601" s="2"/>
      <c r="E601" s="183" t="s">
        <v>852</v>
      </c>
      <c r="F601" s="2"/>
      <c r="G601" s="2"/>
      <c r="H601" s="2"/>
      <c r="I601" s="183" t="s">
        <v>852</v>
      </c>
      <c r="J601" s="2"/>
      <c r="K601" s="2"/>
      <c r="L601" s="2"/>
      <c r="M601" s="183" t="s">
        <v>852</v>
      </c>
      <c r="N601" s="2"/>
      <c r="O601" s="2"/>
      <c r="P601" s="2"/>
      <c r="Q601" s="183" t="s">
        <v>852</v>
      </c>
      <c r="R601" s="183" t="s">
        <v>852</v>
      </c>
    </row>
    <row r="602" spans="1:18" ht="15.75" customHeight="1" x14ac:dyDescent="0.35">
      <c r="A602" s="6" t="s">
        <v>2409</v>
      </c>
      <c r="B602" s="2"/>
      <c r="C602" s="2"/>
      <c r="D602" s="2"/>
      <c r="E602" s="183" t="s">
        <v>852</v>
      </c>
      <c r="F602" s="2"/>
      <c r="G602" s="2"/>
      <c r="H602" s="2"/>
      <c r="I602" s="183" t="s">
        <v>852</v>
      </c>
      <c r="J602" s="2"/>
      <c r="K602" s="2"/>
      <c r="L602" s="2"/>
      <c r="M602" s="183" t="s">
        <v>852</v>
      </c>
      <c r="N602" s="2"/>
      <c r="O602" s="2"/>
      <c r="P602" s="2"/>
      <c r="Q602" s="183" t="s">
        <v>852</v>
      </c>
      <c r="R602" s="183" t="s">
        <v>852</v>
      </c>
    </row>
    <row r="603" spans="1:18" ht="15.75" customHeight="1" thickBot="1" x14ac:dyDescent="0.4">
      <c r="A603" s="6" t="s">
        <v>2165</v>
      </c>
      <c r="B603" s="2"/>
      <c r="C603" s="2"/>
      <c r="D603" s="2"/>
      <c r="E603" s="183" t="s">
        <v>852</v>
      </c>
      <c r="F603" s="2"/>
      <c r="G603" s="2"/>
      <c r="H603" s="2"/>
      <c r="I603" s="183" t="s">
        <v>852</v>
      </c>
      <c r="J603" s="2"/>
      <c r="K603" s="2"/>
      <c r="L603" s="2"/>
      <c r="M603" s="183" t="s">
        <v>852</v>
      </c>
      <c r="N603" s="2"/>
      <c r="O603" s="2"/>
      <c r="P603" s="2"/>
      <c r="Q603" s="183" t="s">
        <v>852</v>
      </c>
      <c r="R603" s="183" t="s">
        <v>852</v>
      </c>
    </row>
    <row r="604" spans="1:18" ht="15.75" customHeight="1" thickBot="1" x14ac:dyDescent="0.4">
      <c r="A604" s="41" t="s">
        <v>1219</v>
      </c>
      <c r="B604" s="188">
        <f>SUM(B601:B603)</f>
        <v>0</v>
      </c>
      <c r="C604" s="189">
        <f>SUM(C601:C603)</f>
        <v>0</v>
      </c>
      <c r="D604" s="189">
        <f>SUM(D601:D603)</f>
        <v>0</v>
      </c>
      <c r="E604" s="56">
        <f>SUM(B604:D604)</f>
        <v>0</v>
      </c>
      <c r="F604" s="189">
        <f>SUM(F601:F603)</f>
        <v>0</v>
      </c>
      <c r="G604" s="189">
        <f>SUM(G601:G603)</f>
        <v>0</v>
      </c>
      <c r="H604" s="189">
        <f>SUM(H601:H603)</f>
        <v>0</v>
      </c>
      <c r="I604" s="56">
        <f>SUM(F604:H604)</f>
        <v>0</v>
      </c>
      <c r="J604" s="189">
        <f>SUM(J601:J603)</f>
        <v>0</v>
      </c>
      <c r="K604" s="189">
        <f>SUM(K601:K603)</f>
        <v>0</v>
      </c>
      <c r="L604" s="189">
        <f>SUM(L601:L603)</f>
        <v>0</v>
      </c>
      <c r="M604" s="56">
        <f>SUM(J604:L604)</f>
        <v>0</v>
      </c>
      <c r="N604" s="189">
        <f>SUM(N601:N603)</f>
        <v>0</v>
      </c>
      <c r="O604" s="189">
        <f>SUM(O601:O603)</f>
        <v>0</v>
      </c>
      <c r="P604" s="189">
        <f>SUM(P601:P603)</f>
        <v>0</v>
      </c>
      <c r="Q604" s="56">
        <f>SUM(N604:P604)</f>
        <v>0</v>
      </c>
      <c r="R604" s="56">
        <f>+E604+I604+M604+Q604</f>
        <v>0</v>
      </c>
    </row>
    <row r="605" spans="1:18" ht="15.75" customHeight="1" x14ac:dyDescent="0.35">
      <c r="A605" s="6" t="s">
        <v>2166</v>
      </c>
      <c r="B605" s="2"/>
      <c r="C605" s="2"/>
      <c r="D605" s="2"/>
      <c r="E605" s="183" t="s">
        <v>852</v>
      </c>
      <c r="F605" s="2"/>
      <c r="G605" s="2"/>
      <c r="H605" s="2"/>
      <c r="I605" s="183" t="s">
        <v>852</v>
      </c>
      <c r="J605" s="2"/>
      <c r="K605" s="2"/>
      <c r="L605" s="2"/>
      <c r="M605" s="183" t="s">
        <v>852</v>
      </c>
      <c r="N605" s="2"/>
      <c r="O605" s="2"/>
      <c r="P605" s="2"/>
      <c r="Q605" s="183" t="s">
        <v>852</v>
      </c>
      <c r="R605" s="183" t="s">
        <v>852</v>
      </c>
    </row>
    <row r="606" spans="1:18" ht="15.75" customHeight="1" x14ac:dyDescent="0.35">
      <c r="A606" s="6" t="s">
        <v>1245</v>
      </c>
      <c r="B606" s="2"/>
      <c r="C606" s="2"/>
      <c r="D606" s="2"/>
      <c r="E606" s="183" t="s">
        <v>852</v>
      </c>
      <c r="F606" s="2"/>
      <c r="G606" s="2"/>
      <c r="H606" s="2"/>
      <c r="I606" s="183" t="s">
        <v>852</v>
      </c>
      <c r="J606" s="2"/>
      <c r="K606" s="2"/>
      <c r="L606" s="2"/>
      <c r="M606" s="183" t="s">
        <v>852</v>
      </c>
      <c r="N606" s="2"/>
      <c r="O606" s="2"/>
      <c r="P606" s="2"/>
      <c r="Q606" s="183" t="s">
        <v>852</v>
      </c>
      <c r="R606" s="183" t="s">
        <v>852</v>
      </c>
    </row>
    <row r="607" spans="1:18" ht="15.75" customHeight="1" thickBot="1" x14ac:dyDescent="0.4">
      <c r="A607" s="6" t="s">
        <v>1711</v>
      </c>
      <c r="B607" s="2"/>
      <c r="C607" s="2"/>
      <c r="D607" s="2"/>
      <c r="E607" s="183" t="s">
        <v>852</v>
      </c>
      <c r="F607" s="2"/>
      <c r="G607" s="2"/>
      <c r="H607" s="2"/>
      <c r="I607" s="183" t="s">
        <v>852</v>
      </c>
      <c r="J607" s="2"/>
      <c r="K607" s="2"/>
      <c r="L607" s="2"/>
      <c r="M607" s="183" t="s">
        <v>852</v>
      </c>
      <c r="N607" s="2"/>
      <c r="O607" s="2"/>
      <c r="P607" s="2"/>
      <c r="Q607" s="183" t="s">
        <v>852</v>
      </c>
      <c r="R607" s="183" t="s">
        <v>852</v>
      </c>
    </row>
    <row r="608" spans="1:18" ht="15.75" customHeight="1" thickBot="1" x14ac:dyDescent="0.4">
      <c r="A608" s="41" t="s">
        <v>1220</v>
      </c>
      <c r="B608" s="188">
        <f>SUM(B605:B607)</f>
        <v>0</v>
      </c>
      <c r="C608" s="189">
        <f>SUM(C605:C607)</f>
        <v>0</v>
      </c>
      <c r="D608" s="189">
        <f>SUM(D605:D607)</f>
        <v>0</v>
      </c>
      <c r="E608" s="56">
        <f>SUM(B608:D608)</f>
        <v>0</v>
      </c>
      <c r="F608" s="189">
        <f>SUM(F605:F607)</f>
        <v>0</v>
      </c>
      <c r="G608" s="189">
        <f>SUM(G605:G607)</f>
        <v>0</v>
      </c>
      <c r="H608" s="189">
        <f>SUM(H605:H607)</f>
        <v>0</v>
      </c>
      <c r="I608" s="56">
        <f>SUM(F608:H608)</f>
        <v>0</v>
      </c>
      <c r="J608" s="189">
        <f>SUM(J605:J607)</f>
        <v>0</v>
      </c>
      <c r="K608" s="189">
        <f>SUM(K605:K607)</f>
        <v>0</v>
      </c>
      <c r="L608" s="189">
        <f>SUM(L605:L607)</f>
        <v>0</v>
      </c>
      <c r="M608" s="56">
        <f>SUM(J608:L608)</f>
        <v>0</v>
      </c>
      <c r="N608" s="189">
        <f>SUM(N605:N607)</f>
        <v>0</v>
      </c>
      <c r="O608" s="189">
        <f>SUM(O605:O607)</f>
        <v>0</v>
      </c>
      <c r="P608" s="189">
        <f>SUM(P605:P607)</f>
        <v>0</v>
      </c>
      <c r="Q608" s="56">
        <f>SUM(N608:P608)</f>
        <v>0</v>
      </c>
      <c r="R608" s="56">
        <f>+E608+I608+M608+Q608</f>
        <v>0</v>
      </c>
    </row>
    <row r="609" spans="1:18" ht="15.75" customHeight="1" x14ac:dyDescent="0.35">
      <c r="A609" s="6" t="s">
        <v>1712</v>
      </c>
      <c r="B609" s="2"/>
      <c r="C609" s="2"/>
      <c r="D609" s="2"/>
      <c r="E609" s="183" t="s">
        <v>852</v>
      </c>
      <c r="F609" s="2"/>
      <c r="G609" s="2"/>
      <c r="H609" s="2"/>
      <c r="I609" s="183" t="s">
        <v>852</v>
      </c>
      <c r="J609" s="2"/>
      <c r="K609" s="2"/>
      <c r="L609" s="2"/>
      <c r="M609" s="183" t="s">
        <v>852</v>
      </c>
      <c r="N609" s="2"/>
      <c r="O609" s="2"/>
      <c r="P609" s="2"/>
      <c r="Q609" s="183" t="s">
        <v>852</v>
      </c>
      <c r="R609" s="183" t="s">
        <v>852</v>
      </c>
    </row>
    <row r="610" spans="1:18" ht="15.75" customHeight="1" x14ac:dyDescent="0.35">
      <c r="A610" s="6" t="s">
        <v>556</v>
      </c>
      <c r="B610" s="2"/>
      <c r="C610" s="2"/>
      <c r="D610" s="2"/>
      <c r="E610" s="183" t="s">
        <v>852</v>
      </c>
      <c r="F610" s="2"/>
      <c r="G610" s="2"/>
      <c r="H610" s="2"/>
      <c r="I610" s="183" t="s">
        <v>852</v>
      </c>
      <c r="J610" s="2"/>
      <c r="K610" s="2"/>
      <c r="L610" s="2"/>
      <c r="M610" s="183" t="s">
        <v>852</v>
      </c>
      <c r="N610" s="2"/>
      <c r="O610" s="2"/>
      <c r="P610" s="2"/>
      <c r="Q610" s="183" t="s">
        <v>852</v>
      </c>
      <c r="R610" s="183" t="s">
        <v>852</v>
      </c>
    </row>
    <row r="611" spans="1:18" ht="15.75" customHeight="1" x14ac:dyDescent="0.35">
      <c r="A611" s="6" t="s">
        <v>557</v>
      </c>
      <c r="B611" s="2"/>
      <c r="C611" s="2"/>
      <c r="D611" s="2"/>
      <c r="E611" s="183" t="s">
        <v>852</v>
      </c>
      <c r="F611" s="2"/>
      <c r="G611" s="2"/>
      <c r="H611" s="2"/>
      <c r="I611" s="183" t="s">
        <v>852</v>
      </c>
      <c r="J611" s="2"/>
      <c r="K611" s="2"/>
      <c r="L611" s="2"/>
      <c r="M611" s="183" t="s">
        <v>852</v>
      </c>
      <c r="N611" s="2"/>
      <c r="O611" s="2"/>
      <c r="P611" s="2"/>
      <c r="Q611" s="183" t="s">
        <v>852</v>
      </c>
      <c r="R611" s="183" t="s">
        <v>852</v>
      </c>
    </row>
    <row r="612" spans="1:18" ht="15.75" customHeight="1" x14ac:dyDescent="0.35">
      <c r="A612" s="6" t="s">
        <v>558</v>
      </c>
      <c r="B612" s="2"/>
      <c r="C612" s="2"/>
      <c r="D612" s="2"/>
      <c r="E612" s="183" t="s">
        <v>852</v>
      </c>
      <c r="F612" s="2"/>
      <c r="G612" s="2"/>
      <c r="H612" s="2"/>
      <c r="I612" s="183" t="s">
        <v>852</v>
      </c>
      <c r="J612" s="2"/>
      <c r="K612" s="2"/>
      <c r="L612" s="2"/>
      <c r="M612" s="183" t="s">
        <v>852</v>
      </c>
      <c r="N612" s="2"/>
      <c r="O612" s="2"/>
      <c r="P612" s="2"/>
      <c r="Q612" s="183" t="s">
        <v>852</v>
      </c>
      <c r="R612" s="183" t="s">
        <v>852</v>
      </c>
    </row>
    <row r="613" spans="1:18" ht="15.75" customHeight="1" thickBot="1" x14ac:dyDescent="0.4">
      <c r="A613" s="6" t="s">
        <v>559</v>
      </c>
      <c r="B613" s="2"/>
      <c r="C613" s="2"/>
      <c r="D613" s="2"/>
      <c r="E613" s="183" t="s">
        <v>852</v>
      </c>
      <c r="F613" s="2"/>
      <c r="G613" s="2"/>
      <c r="H613" s="2"/>
      <c r="I613" s="183" t="s">
        <v>852</v>
      </c>
      <c r="J613" s="2"/>
      <c r="K613" s="2"/>
      <c r="L613" s="2"/>
      <c r="M613" s="183" t="s">
        <v>852</v>
      </c>
      <c r="N613" s="2"/>
      <c r="O613" s="2"/>
      <c r="P613" s="2"/>
      <c r="Q613" s="183" t="s">
        <v>852</v>
      </c>
      <c r="R613" s="183" t="s">
        <v>852</v>
      </c>
    </row>
    <row r="614" spans="1:18" ht="15.75" customHeight="1" thickBot="1" x14ac:dyDescent="0.4">
      <c r="A614" s="41" t="s">
        <v>1019</v>
      </c>
      <c r="B614" s="184">
        <f>SUM(B613:B613)</f>
        <v>0</v>
      </c>
      <c r="C614" s="184">
        <f>SUM(C613:C613)</f>
        <v>0</v>
      </c>
      <c r="D614" s="184">
        <f>SUM(D613:D613)</f>
        <v>0</v>
      </c>
      <c r="E614" s="185">
        <f>SUM(B614:D614)</f>
        <v>0</v>
      </c>
      <c r="F614" s="184">
        <f>SUM(F613:F613)</f>
        <v>0</v>
      </c>
      <c r="G614" s="184">
        <f>SUM(G613:G613)</f>
        <v>0</v>
      </c>
      <c r="H614" s="184">
        <f>SUM(H613:H613)</f>
        <v>0</v>
      </c>
      <c r="I614" s="185">
        <f>SUM(F614:H614)</f>
        <v>0</v>
      </c>
      <c r="J614" s="184">
        <f>SUM(J613:J613)</f>
        <v>0</v>
      </c>
      <c r="K614" s="184">
        <f>SUM(K613:K613)</f>
        <v>0</v>
      </c>
      <c r="L614" s="184">
        <f>SUM(L613:L613)</f>
        <v>0</v>
      </c>
      <c r="M614" s="185">
        <f>SUM(J614:L614)</f>
        <v>0</v>
      </c>
      <c r="N614" s="184">
        <f>SUM(N613:N613)</f>
        <v>0</v>
      </c>
      <c r="O614" s="184">
        <f>SUM(O613:O613)</f>
        <v>0</v>
      </c>
      <c r="P614" s="184">
        <f>SUM(P613:P613)</f>
        <v>0</v>
      </c>
      <c r="Q614" s="185">
        <f>SUM(N614:P614)</f>
        <v>0</v>
      </c>
      <c r="R614" s="56">
        <f>+E614+I614+M614+Q614</f>
        <v>0</v>
      </c>
    </row>
    <row r="615" spans="1:18" ht="15.75" customHeight="1" thickBot="1" x14ac:dyDescent="0.4">
      <c r="A615" s="41" t="s">
        <v>1221</v>
      </c>
      <c r="B615" s="188">
        <f>SUM(B609:B613)</f>
        <v>0</v>
      </c>
      <c r="C615" s="189">
        <f>SUM(C609:C613)</f>
        <v>0</v>
      </c>
      <c r="D615" s="191">
        <f>SUM(D609:D613)</f>
        <v>0</v>
      </c>
      <c r="E615" s="185">
        <f>SUM(B615:D615)</f>
        <v>0</v>
      </c>
      <c r="F615" s="189">
        <f>SUM(F609:F613)</f>
        <v>0</v>
      </c>
      <c r="G615" s="189">
        <f>SUM(G609:G613)</f>
        <v>0</v>
      </c>
      <c r="H615" s="189">
        <f>SUM(H609:H613)</f>
        <v>0</v>
      </c>
      <c r="I615" s="185">
        <f>SUM(F615:H615)</f>
        <v>0</v>
      </c>
      <c r="J615" s="189">
        <f>SUM(J609:J613)</f>
        <v>0</v>
      </c>
      <c r="K615" s="189">
        <f>SUM(K609:K613)</f>
        <v>0</v>
      </c>
      <c r="L615" s="189">
        <f>SUM(L609:L613)</f>
        <v>0</v>
      </c>
      <c r="M615" s="185">
        <f>SUM(J615:L615)</f>
        <v>0</v>
      </c>
      <c r="N615" s="189">
        <f>SUM(N609:N613)</f>
        <v>0</v>
      </c>
      <c r="O615" s="189">
        <f>SUM(O609:O613)</f>
        <v>0</v>
      </c>
      <c r="P615" s="189">
        <f>SUM(P609:P613)</f>
        <v>0</v>
      </c>
      <c r="Q615" s="185">
        <f>SUM(N615:P615)</f>
        <v>0</v>
      </c>
      <c r="R615" s="56">
        <f>+E615+I615+M615+Q615</f>
        <v>0</v>
      </c>
    </row>
    <row r="616" spans="1:18" ht="15.75" customHeight="1" thickBot="1" x14ac:dyDescent="0.4">
      <c r="A616" s="41" t="s">
        <v>1222</v>
      </c>
      <c r="B616" s="190">
        <f>+B600+B604+B608+B615</f>
        <v>66</v>
      </c>
      <c r="C616" s="184">
        <f>+C600+C604+C608+C615</f>
        <v>23</v>
      </c>
      <c r="D616" s="184">
        <f>+D600+D604+D608+D615</f>
        <v>67</v>
      </c>
      <c r="E616" s="56">
        <f>SUM(B616:D616)</f>
        <v>156</v>
      </c>
      <c r="F616" s="184">
        <f>+F600+F604+F608+F615</f>
        <v>67</v>
      </c>
      <c r="G616" s="184">
        <f>+G600+G604+G608+G615</f>
        <v>10</v>
      </c>
      <c r="H616" s="184">
        <f>+H600+H604+H608+H615</f>
        <v>81</v>
      </c>
      <c r="I616" s="56">
        <f>SUM(F616:H616)</f>
        <v>158</v>
      </c>
      <c r="J616" s="184">
        <f>+J600+J604+J608+J615</f>
        <v>116</v>
      </c>
      <c r="K616" s="184">
        <f>+K600+K604+K608+K615</f>
        <v>68</v>
      </c>
      <c r="L616" s="184">
        <f>+L600+L604+L608+L615</f>
        <v>37</v>
      </c>
      <c r="M616" s="56">
        <f>SUM(J616:L616)</f>
        <v>221</v>
      </c>
      <c r="N616" s="184">
        <f>+N600+N604+N608+N615</f>
        <v>93</v>
      </c>
      <c r="O616" s="184">
        <f>+O600+O604+O608+O615</f>
        <v>77</v>
      </c>
      <c r="P616" s="184">
        <f>+P600+P604+P608+P615</f>
        <v>32</v>
      </c>
      <c r="Q616" s="56">
        <f>SUM(N616:P616)</f>
        <v>202</v>
      </c>
      <c r="R616" s="186">
        <f>+E616+I616+M616+Q616</f>
        <v>737</v>
      </c>
    </row>
    <row r="617" spans="1:18" ht="15.75" customHeight="1" x14ac:dyDescent="0.35">
      <c r="A617" s="9" t="s">
        <v>2117</v>
      </c>
      <c r="B617" s="2">
        <v>5306</v>
      </c>
      <c r="C617" s="2">
        <v>3865</v>
      </c>
      <c r="D617" s="2">
        <v>5954</v>
      </c>
      <c r="E617" s="183">
        <f>SUM(B617:D617)</f>
        <v>15125</v>
      </c>
      <c r="F617" s="2">
        <v>4975</v>
      </c>
      <c r="G617" s="2">
        <v>5097</v>
      </c>
      <c r="H617" s="2">
        <v>5249</v>
      </c>
      <c r="I617" s="183">
        <f>SUM(F617:H617)</f>
        <v>15321</v>
      </c>
      <c r="J617" s="2">
        <v>5368</v>
      </c>
      <c r="K617" s="2">
        <v>5541</v>
      </c>
      <c r="L617" s="2">
        <v>5146</v>
      </c>
      <c r="M617" s="183">
        <f>SUM(J617:L617)</f>
        <v>16055</v>
      </c>
      <c r="N617" s="2">
        <v>5153</v>
      </c>
      <c r="O617" s="2">
        <v>5056</v>
      </c>
      <c r="P617" s="2">
        <v>5125</v>
      </c>
      <c r="Q617" s="183">
        <f>SUM(N617:P617)</f>
        <v>15334</v>
      </c>
      <c r="R617" s="183">
        <f>+E617+I617+M617+Q617</f>
        <v>61835</v>
      </c>
    </row>
    <row r="618" spans="1:18" ht="15.75" customHeight="1" thickBot="1" x14ac:dyDescent="0.4">
      <c r="A618" s="9" t="s">
        <v>853</v>
      </c>
      <c r="B618" s="2">
        <v>0</v>
      </c>
      <c r="C618" s="2">
        <v>0</v>
      </c>
      <c r="D618" s="2">
        <v>0</v>
      </c>
      <c r="E618" s="183">
        <f>SUM(B618:D618)</f>
        <v>0</v>
      </c>
      <c r="F618" s="2">
        <v>0</v>
      </c>
      <c r="G618" s="2">
        <v>0</v>
      </c>
      <c r="H618" s="2">
        <v>0</v>
      </c>
      <c r="I618" s="183">
        <f>SUM(F618:H618)</f>
        <v>0</v>
      </c>
      <c r="J618" s="2">
        <v>0</v>
      </c>
      <c r="K618" s="2">
        <v>0</v>
      </c>
      <c r="L618" s="2">
        <v>0</v>
      </c>
      <c r="M618" s="183">
        <f>SUM(J618:L618)</f>
        <v>0</v>
      </c>
      <c r="N618" s="2">
        <v>0</v>
      </c>
      <c r="O618" s="2">
        <v>0</v>
      </c>
      <c r="P618" s="2">
        <v>0</v>
      </c>
      <c r="Q618" s="183">
        <f>SUM(N618:P618)</f>
        <v>0</v>
      </c>
      <c r="R618" s="183">
        <f>+E618+I618+M618+Q618</f>
        <v>0</v>
      </c>
    </row>
    <row r="619" spans="1:18" ht="15.75" customHeight="1" thickBot="1" x14ac:dyDescent="0.4">
      <c r="A619" s="528"/>
      <c r="B619" s="177"/>
      <c r="C619" s="177"/>
      <c r="D619" s="177"/>
      <c r="E619" s="56" t="s">
        <v>852</v>
      </c>
      <c r="F619" s="177"/>
      <c r="G619" s="177"/>
      <c r="H619" s="177"/>
      <c r="I619" s="56" t="s">
        <v>852</v>
      </c>
      <c r="J619" s="177"/>
      <c r="K619" s="177"/>
      <c r="L619" s="177"/>
      <c r="M619" s="56" t="s">
        <v>852</v>
      </c>
      <c r="N619" s="177"/>
      <c r="O619" s="177"/>
      <c r="P619" s="177"/>
      <c r="Q619" s="56"/>
      <c r="R619" s="56"/>
    </row>
    <row r="620" spans="1:18" ht="15.75" customHeight="1" x14ac:dyDescent="0.35">
      <c r="A620" s="6" t="s">
        <v>2011</v>
      </c>
      <c r="B620" s="2">
        <f>SUM(B616:B618)</f>
        <v>5372</v>
      </c>
      <c r="C620" s="2">
        <f>SUM(C616:C618)</f>
        <v>3888</v>
      </c>
      <c r="D620" s="2">
        <f>SUM(D616:D618)</f>
        <v>6021</v>
      </c>
      <c r="E620" s="185">
        <f>SUM(B620:D620)</f>
        <v>15281</v>
      </c>
      <c r="F620" s="2">
        <f>SUM(F616:F618)</f>
        <v>5042</v>
      </c>
      <c r="G620" s="2">
        <f>SUM(G616:G618)</f>
        <v>5107</v>
      </c>
      <c r="H620" s="2">
        <f>SUM(H616:H618)</f>
        <v>5330</v>
      </c>
      <c r="I620" s="185">
        <f>SUM(F620:H620)</f>
        <v>15479</v>
      </c>
      <c r="J620" s="2">
        <f>SUM(J616:J618)</f>
        <v>5484</v>
      </c>
      <c r="K620" s="2">
        <f>SUM(K616:K618)</f>
        <v>5609</v>
      </c>
      <c r="L620" s="2">
        <f>SUM(L616:L618)</f>
        <v>5183</v>
      </c>
      <c r="M620" s="185">
        <f>SUM(J620:L620)</f>
        <v>16276</v>
      </c>
      <c r="N620" s="2">
        <f>SUM(N616:N618)</f>
        <v>5246</v>
      </c>
      <c r="O620" s="2">
        <f>SUM(O616:O618)</f>
        <v>5133</v>
      </c>
      <c r="P620" s="2">
        <f>SUM(P616:P618)</f>
        <v>5157</v>
      </c>
      <c r="Q620" s="185">
        <f>SUM(N620:P620)</f>
        <v>15536</v>
      </c>
      <c r="R620" s="185">
        <f>+E620+I620+M620+Q620</f>
        <v>62572</v>
      </c>
    </row>
    <row r="621" spans="1:18" ht="15.75" customHeight="1" x14ac:dyDescent="0.35">
      <c r="A621" s="6" t="s">
        <v>1897</v>
      </c>
      <c r="B621" s="2">
        <f>(B620/31)/1.983</f>
        <v>87.387958941323831</v>
      </c>
      <c r="C621" s="2">
        <f>(C620/28)/1.983</f>
        <v>70.023773503349901</v>
      </c>
      <c r="D621" s="2">
        <f>(D620/31)/1.983</f>
        <v>97.945439461226869</v>
      </c>
      <c r="E621" s="183" t="s">
        <v>852</v>
      </c>
      <c r="F621" s="2">
        <f>(F620/30)/1.983</f>
        <v>84.753740124390646</v>
      </c>
      <c r="G621" s="2">
        <f>(G620/31)/1.983</f>
        <v>83.077123289899632</v>
      </c>
      <c r="H621" s="2">
        <f>(H620/30)/1.983</f>
        <v>89.594889897461755</v>
      </c>
      <c r="I621" s="183" t="s">
        <v>852</v>
      </c>
      <c r="J621" s="2">
        <f>(J620/31)/1.983</f>
        <v>89.209897027963493</v>
      </c>
      <c r="K621" s="2">
        <f>(K620/31)/1.983</f>
        <v>91.243310071088118</v>
      </c>
      <c r="L621" s="2">
        <f>(L620/30)/1.983</f>
        <v>87.12388636745672</v>
      </c>
      <c r="M621" s="183" t="s">
        <v>852</v>
      </c>
      <c r="N621" s="2">
        <f>(N620/31)/1.983</f>
        <v>85.338278593854199</v>
      </c>
      <c r="O621" s="2">
        <f>(O620/30)/1.983</f>
        <v>86.283408976298531</v>
      </c>
      <c r="P621" s="2">
        <f>(P620/31)/1.983</f>
        <v>83.89048850714947</v>
      </c>
      <c r="Q621" s="183" t="s">
        <v>852</v>
      </c>
      <c r="R621" s="183" t="s">
        <v>852</v>
      </c>
    </row>
    <row r="622" spans="1:18" ht="15.75" customHeight="1" x14ac:dyDescent="0.35">
      <c r="A622" s="6" t="s">
        <v>647</v>
      </c>
      <c r="B622" s="2">
        <f>B620</f>
        <v>5372</v>
      </c>
      <c r="C622" s="2">
        <f>C620</f>
        <v>3888</v>
      </c>
      <c r="D622" s="2">
        <f>D620</f>
        <v>6021</v>
      </c>
      <c r="E622" s="183">
        <f>SUM(B622:D622)</f>
        <v>15281</v>
      </c>
      <c r="F622" s="2">
        <f>F620</f>
        <v>5042</v>
      </c>
      <c r="G622" s="2">
        <f>G620</f>
        <v>5107</v>
      </c>
      <c r="H622" s="2">
        <f>H620</f>
        <v>5330</v>
      </c>
      <c r="I622" s="183">
        <f>SUM(F622:H622)</f>
        <v>15479</v>
      </c>
      <c r="J622" s="2">
        <f>J620</f>
        <v>5484</v>
      </c>
      <c r="K622" s="2">
        <f>K620</f>
        <v>5609</v>
      </c>
      <c r="L622" s="2">
        <f>L620</f>
        <v>5183</v>
      </c>
      <c r="M622" s="183">
        <f>SUM(J622:L622)</f>
        <v>16276</v>
      </c>
      <c r="N622" s="2">
        <f>N620</f>
        <v>5246</v>
      </c>
      <c r="O622" s="2">
        <f>O620</f>
        <v>5133</v>
      </c>
      <c r="P622" s="2">
        <f>P620</f>
        <v>5157</v>
      </c>
      <c r="Q622" s="183">
        <f>SUM(N622:P622)</f>
        <v>15536</v>
      </c>
      <c r="R622" s="183">
        <f>+E622+I622+M622+Q622</f>
        <v>62572</v>
      </c>
    </row>
    <row r="623" spans="1:18" ht="15.75" customHeight="1" thickBot="1" x14ac:dyDescent="0.4">
      <c r="A623" s="458" t="s">
        <v>2191</v>
      </c>
      <c r="B623" s="459">
        <f>(B622/31)/1.983</f>
        <v>87.387958941323831</v>
      </c>
      <c r="C623" s="459">
        <f>(C622/28)/1.983</f>
        <v>70.023773503349901</v>
      </c>
      <c r="D623" s="459">
        <f>(D622/31)/1.983</f>
        <v>97.945439461226869</v>
      </c>
      <c r="E623" s="186" t="s">
        <v>852</v>
      </c>
      <c r="F623" s="459">
        <f>(F622/30)/1.983</f>
        <v>84.753740124390646</v>
      </c>
      <c r="G623" s="459">
        <f>(G622/31)/1.983</f>
        <v>83.077123289899632</v>
      </c>
      <c r="H623" s="459">
        <f>(H622/30)/1.983</f>
        <v>89.594889897461755</v>
      </c>
      <c r="I623" s="186" t="s">
        <v>852</v>
      </c>
      <c r="J623" s="459">
        <f>(J622/31)/1.983</f>
        <v>89.209897027963493</v>
      </c>
      <c r="K623" s="459">
        <f>(K622/31)/1.983</f>
        <v>91.243310071088118</v>
      </c>
      <c r="L623" s="459">
        <f>(L622/30)/1.983</f>
        <v>87.12388636745672</v>
      </c>
      <c r="M623" s="186" t="s">
        <v>852</v>
      </c>
      <c r="N623" s="459">
        <f>(N622/31)/1.983</f>
        <v>85.338278593854199</v>
      </c>
      <c r="O623" s="459">
        <f>(O622/30)/1.983</f>
        <v>86.283408976298531</v>
      </c>
      <c r="P623" s="459">
        <f>(P622/31)/1.983</f>
        <v>83.89048850714947</v>
      </c>
      <c r="Q623" s="186" t="s">
        <v>852</v>
      </c>
      <c r="R623" s="186" t="s">
        <v>852</v>
      </c>
    </row>
    <row r="624" spans="1:18" ht="15.75" customHeight="1" x14ac:dyDescent="0.35">
      <c r="A624" s="187"/>
      <c r="B624" s="2"/>
      <c r="C624" s="2"/>
      <c r="D624" s="2"/>
      <c r="E624" s="2"/>
      <c r="F624" s="2"/>
      <c r="G624" s="2"/>
      <c r="H624" s="2"/>
      <c r="I624" s="2"/>
      <c r="J624" s="2"/>
      <c r="K624" s="2"/>
      <c r="L624" s="2"/>
      <c r="M624" s="2"/>
      <c r="N624" s="2"/>
      <c r="O624" s="2"/>
      <c r="P624" s="2"/>
      <c r="Q624" s="2"/>
      <c r="R624" s="187"/>
    </row>
    <row r="625" spans="1:18" ht="15.75" customHeight="1" thickBot="1" x14ac:dyDescent="0.4">
      <c r="A625" s="187"/>
      <c r="B625" s="2"/>
      <c r="C625" s="2"/>
      <c r="D625" s="2"/>
      <c r="E625" s="2"/>
      <c r="F625" s="2"/>
      <c r="G625" s="2"/>
      <c r="H625" s="2"/>
      <c r="I625" s="2"/>
      <c r="J625" s="2"/>
      <c r="K625" s="2"/>
      <c r="L625" s="2"/>
      <c r="M625" s="2"/>
      <c r="N625" s="2"/>
      <c r="O625" s="2"/>
      <c r="P625" s="2"/>
      <c r="Q625" s="2"/>
      <c r="R625" s="187"/>
    </row>
    <row r="626" spans="1:18" ht="15.75" customHeight="1" thickBot="1" x14ac:dyDescent="0.4">
      <c r="A626" s="7" t="s">
        <v>2192</v>
      </c>
      <c r="B626" s="179" t="s">
        <v>2090</v>
      </c>
      <c r="C626" s="180" t="s">
        <v>2091</v>
      </c>
      <c r="D626" s="180" t="s">
        <v>2234</v>
      </c>
      <c r="E626" s="175" t="s">
        <v>1594</v>
      </c>
      <c r="F626" s="180" t="s">
        <v>2235</v>
      </c>
      <c r="G626" s="180" t="s">
        <v>2236</v>
      </c>
      <c r="H626" s="180" t="s">
        <v>2237</v>
      </c>
      <c r="I626" s="64" t="s">
        <v>1595</v>
      </c>
      <c r="J626" s="180" t="s">
        <v>1504</v>
      </c>
      <c r="K626" s="180" t="s">
        <v>1505</v>
      </c>
      <c r="L626" s="180" t="s">
        <v>1506</v>
      </c>
      <c r="M626" s="64" t="s">
        <v>1596</v>
      </c>
      <c r="N626" s="180" t="s">
        <v>1507</v>
      </c>
      <c r="O626" s="180" t="s">
        <v>1508</v>
      </c>
      <c r="P626" s="180" t="s">
        <v>1509</v>
      </c>
      <c r="Q626" s="64" t="s">
        <v>1597</v>
      </c>
      <c r="R626" s="194" t="s">
        <v>1510</v>
      </c>
    </row>
    <row r="627" spans="1:18" ht="15.75" customHeight="1" thickBot="1" x14ac:dyDescent="0.4">
      <c r="A627" s="12"/>
      <c r="B627" s="181"/>
      <c r="C627" s="181"/>
      <c r="D627" s="181"/>
      <c r="E627" s="178"/>
      <c r="F627" s="181"/>
      <c r="G627" s="181"/>
      <c r="H627" s="181"/>
      <c r="I627" s="193"/>
      <c r="J627" s="181"/>
      <c r="K627" s="181"/>
      <c r="L627" s="181"/>
      <c r="M627" s="193"/>
      <c r="N627" s="181"/>
      <c r="O627" s="181"/>
      <c r="P627" s="181"/>
      <c r="Q627" s="195"/>
      <c r="R627" s="196"/>
    </row>
    <row r="628" spans="1:18" ht="15.75" customHeight="1" x14ac:dyDescent="0.35">
      <c r="A628" s="6" t="s">
        <v>2417</v>
      </c>
      <c r="B628" s="2" t="s">
        <v>852</v>
      </c>
      <c r="C628" s="2" t="s">
        <v>852</v>
      </c>
      <c r="D628" s="2" t="s">
        <v>852</v>
      </c>
      <c r="E628" s="197"/>
      <c r="F628" s="2" t="s">
        <v>852</v>
      </c>
      <c r="G628" s="2" t="s">
        <v>852</v>
      </c>
      <c r="H628" s="2" t="s">
        <v>852</v>
      </c>
      <c r="I628" s="197"/>
      <c r="J628" s="2" t="s">
        <v>852</v>
      </c>
      <c r="K628" s="2" t="s">
        <v>852</v>
      </c>
      <c r="L628" s="2" t="s">
        <v>852</v>
      </c>
      <c r="M628" s="197"/>
      <c r="N628" s="2" t="s">
        <v>852</v>
      </c>
      <c r="O628" s="2" t="s">
        <v>852</v>
      </c>
      <c r="P628" s="2" t="s">
        <v>852</v>
      </c>
      <c r="Q628" s="198"/>
      <c r="R628" s="199" t="s">
        <v>852</v>
      </c>
    </row>
    <row r="629" spans="1:18" ht="15.75" customHeight="1" x14ac:dyDescent="0.35">
      <c r="A629" s="6" t="s">
        <v>2160</v>
      </c>
      <c r="B629" s="2"/>
      <c r="C629" s="2"/>
      <c r="D629" s="2"/>
      <c r="E629" s="183" t="s">
        <v>852</v>
      </c>
      <c r="F629" s="2"/>
      <c r="G629" s="2"/>
      <c r="H629" s="2"/>
      <c r="I629" s="183" t="s">
        <v>852</v>
      </c>
      <c r="J629" s="2"/>
      <c r="K629" s="2"/>
      <c r="L629" s="2"/>
      <c r="M629" s="183" t="s">
        <v>852</v>
      </c>
      <c r="N629" s="2"/>
      <c r="O629" s="2"/>
      <c r="P629" s="2"/>
      <c r="Q629" s="183" t="s">
        <v>852</v>
      </c>
      <c r="R629" s="183" t="s">
        <v>852</v>
      </c>
    </row>
    <row r="630" spans="1:18" ht="15.75" customHeight="1" x14ac:dyDescent="0.35">
      <c r="A630" s="9" t="s">
        <v>1910</v>
      </c>
      <c r="B630" s="2">
        <v>0</v>
      </c>
      <c r="C630" s="2">
        <v>0</v>
      </c>
      <c r="D630" s="2">
        <v>0</v>
      </c>
      <c r="E630" s="183">
        <f>SUM(B630:D630)</f>
        <v>0</v>
      </c>
      <c r="F630" s="2">
        <v>0</v>
      </c>
      <c r="G630" s="2">
        <v>0</v>
      </c>
      <c r="H630" s="2">
        <v>0</v>
      </c>
      <c r="I630" s="183">
        <f>SUM(F630:H630)</f>
        <v>0</v>
      </c>
      <c r="J630" s="2">
        <v>0</v>
      </c>
      <c r="K630" s="2">
        <v>0</v>
      </c>
      <c r="L630" s="2">
        <v>0</v>
      </c>
      <c r="M630" s="183">
        <f>SUM(J630:L630)</f>
        <v>0</v>
      </c>
      <c r="N630" s="2">
        <v>525</v>
      </c>
      <c r="O630" s="2">
        <v>0</v>
      </c>
      <c r="P630" s="2">
        <v>0</v>
      </c>
      <c r="Q630" s="183">
        <f>SUM(N630:P630)</f>
        <v>525</v>
      </c>
      <c r="R630" s="183">
        <f>+E630+I630+M630+Q630</f>
        <v>525</v>
      </c>
    </row>
    <row r="631" spans="1:18" ht="15.75" customHeight="1" x14ac:dyDescent="0.35">
      <c r="A631" s="9" t="s">
        <v>47</v>
      </c>
      <c r="B631" s="2">
        <v>1658</v>
      </c>
      <c r="C631" s="2">
        <v>0</v>
      </c>
      <c r="D631" s="2">
        <v>0</v>
      </c>
      <c r="E631" s="183">
        <f>SUM(B631:D631)</f>
        <v>1658</v>
      </c>
      <c r="F631" s="2">
        <v>833</v>
      </c>
      <c r="G631" s="2">
        <v>0</v>
      </c>
      <c r="H631" s="2">
        <v>0</v>
      </c>
      <c r="I631" s="183">
        <f>SUM(F631:H631)</f>
        <v>833</v>
      </c>
      <c r="J631" s="2">
        <v>0</v>
      </c>
      <c r="K631" s="2">
        <v>0</v>
      </c>
      <c r="L631" s="2">
        <v>0</v>
      </c>
      <c r="M631" s="183">
        <f>SUM(J631:L631)</f>
        <v>0</v>
      </c>
      <c r="N631" s="2">
        <v>0</v>
      </c>
      <c r="O631" s="2">
        <v>0</v>
      </c>
      <c r="P631" s="2">
        <v>0</v>
      </c>
      <c r="Q631" s="183">
        <f>SUM(N631:P631)</f>
        <v>0</v>
      </c>
      <c r="R631" s="183">
        <f>+E631+I631+M631+Q631</f>
        <v>2491</v>
      </c>
    </row>
    <row r="632" spans="1:18" ht="15.75" customHeight="1" x14ac:dyDescent="0.35">
      <c r="A632" s="6" t="s">
        <v>2161</v>
      </c>
      <c r="B632" s="2"/>
      <c r="C632" s="2"/>
      <c r="D632" s="2"/>
      <c r="E632" s="183" t="s">
        <v>852</v>
      </c>
      <c r="F632" s="2"/>
      <c r="G632" s="2"/>
      <c r="H632" s="2"/>
      <c r="I632" s="183" t="s">
        <v>852</v>
      </c>
      <c r="J632" s="2"/>
      <c r="K632" s="2"/>
      <c r="L632" s="2"/>
      <c r="M632" s="183" t="s">
        <v>852</v>
      </c>
      <c r="N632" s="2"/>
      <c r="O632" s="2"/>
      <c r="P632" s="2"/>
      <c r="Q632" s="183" t="s">
        <v>852</v>
      </c>
      <c r="R632" s="183" t="s">
        <v>852</v>
      </c>
    </row>
    <row r="633" spans="1:18" ht="15.75" customHeight="1" x14ac:dyDescent="0.35">
      <c r="A633" s="6" t="s">
        <v>2162</v>
      </c>
      <c r="B633" s="2"/>
      <c r="C633" s="2"/>
      <c r="D633" s="2"/>
      <c r="E633" s="183" t="s">
        <v>852</v>
      </c>
      <c r="F633" s="2"/>
      <c r="G633" s="2"/>
      <c r="H633" s="2"/>
      <c r="I633" s="183" t="s">
        <v>852</v>
      </c>
      <c r="J633" s="2"/>
      <c r="K633" s="2"/>
      <c r="L633" s="2"/>
      <c r="M633" s="183" t="s">
        <v>852</v>
      </c>
      <c r="N633" s="2"/>
      <c r="O633" s="2"/>
      <c r="P633" s="2"/>
      <c r="Q633" s="183" t="s">
        <v>852</v>
      </c>
      <c r="R633" s="183" t="s">
        <v>852</v>
      </c>
    </row>
    <row r="634" spans="1:18" ht="15.75" customHeight="1" x14ac:dyDescent="0.35">
      <c r="A634" s="9" t="s">
        <v>58</v>
      </c>
      <c r="B634" s="2">
        <v>0</v>
      </c>
      <c r="C634" s="2">
        <v>0</v>
      </c>
      <c r="D634" s="2">
        <v>0</v>
      </c>
      <c r="E634" s="183">
        <f>SUM(B634:D634)</f>
        <v>0</v>
      </c>
      <c r="F634" s="2">
        <v>0</v>
      </c>
      <c r="G634" s="2">
        <v>0</v>
      </c>
      <c r="H634" s="2">
        <v>0</v>
      </c>
      <c r="I634" s="183">
        <f>SUM(F634:H634)</f>
        <v>0</v>
      </c>
      <c r="J634" s="2">
        <v>0</v>
      </c>
      <c r="K634" s="2">
        <v>0</v>
      </c>
      <c r="L634" s="2">
        <v>0</v>
      </c>
      <c r="M634" s="183">
        <f>SUM(J634:L634)</f>
        <v>0</v>
      </c>
      <c r="N634" s="2">
        <v>0</v>
      </c>
      <c r="O634" s="2">
        <v>0</v>
      </c>
      <c r="P634" s="2">
        <v>0</v>
      </c>
      <c r="Q634" s="183">
        <f>SUM(N634:P634)</f>
        <v>0</v>
      </c>
      <c r="R634" s="183">
        <f>+E634+I634+M634+Q634</f>
        <v>0</v>
      </c>
    </row>
    <row r="635" spans="1:18" ht="15.75" customHeight="1" thickBot="1" x14ac:dyDescent="0.4">
      <c r="A635" s="6" t="s">
        <v>2164</v>
      </c>
      <c r="B635" s="2"/>
      <c r="C635" s="2"/>
      <c r="D635" s="2"/>
      <c r="E635" s="183" t="s">
        <v>852</v>
      </c>
      <c r="F635" s="2"/>
      <c r="G635" s="2"/>
      <c r="H635" s="2"/>
      <c r="I635" s="183" t="s">
        <v>852</v>
      </c>
      <c r="J635" s="2"/>
      <c r="K635" s="2"/>
      <c r="L635" s="2"/>
      <c r="M635" s="183" t="s">
        <v>852</v>
      </c>
      <c r="N635" s="2"/>
      <c r="O635" s="2"/>
      <c r="P635" s="2"/>
      <c r="Q635" s="183" t="s">
        <v>852</v>
      </c>
      <c r="R635" s="183" t="s">
        <v>852</v>
      </c>
    </row>
    <row r="636" spans="1:18" ht="15.75" customHeight="1" thickBot="1" x14ac:dyDescent="0.4">
      <c r="A636" s="41" t="s">
        <v>1218</v>
      </c>
      <c r="B636" s="188">
        <f>SUM(B628:B635)</f>
        <v>1658</v>
      </c>
      <c r="C636" s="189">
        <f>SUM(C628:C635)</f>
        <v>0</v>
      </c>
      <c r="D636" s="189">
        <f>SUM(D628:D635)</f>
        <v>0</v>
      </c>
      <c r="E636" s="56">
        <f>SUM(B636:D636)</f>
        <v>1658</v>
      </c>
      <c r="F636" s="189">
        <f>SUM(F628:F635)</f>
        <v>833</v>
      </c>
      <c r="G636" s="189">
        <f>SUM(G628:G635)</f>
        <v>0</v>
      </c>
      <c r="H636" s="189">
        <f>SUM(H628:H635)</f>
        <v>0</v>
      </c>
      <c r="I636" s="56">
        <f>SUM(F636:H636)</f>
        <v>833</v>
      </c>
      <c r="J636" s="189">
        <f>SUM(J628:J635)</f>
        <v>0</v>
      </c>
      <c r="K636" s="189">
        <f>SUM(K628:K635)</f>
        <v>0</v>
      </c>
      <c r="L636" s="189">
        <f>SUM(L628:L635)</f>
        <v>0</v>
      </c>
      <c r="M636" s="56">
        <f>SUM(J636:L636)</f>
        <v>0</v>
      </c>
      <c r="N636" s="189">
        <f>SUM(N628:N635)</f>
        <v>525</v>
      </c>
      <c r="O636" s="189">
        <f>SUM(O628:O635)</f>
        <v>0</v>
      </c>
      <c r="P636" s="189">
        <f>SUM(P628:P635)</f>
        <v>0</v>
      </c>
      <c r="Q636" s="56">
        <f>SUM(N636:P636)</f>
        <v>525</v>
      </c>
      <c r="R636" s="56">
        <f>+E636+I636+M636+Q636</f>
        <v>3016</v>
      </c>
    </row>
    <row r="637" spans="1:18" ht="15.75" customHeight="1" x14ac:dyDescent="0.35">
      <c r="A637" s="6" t="s">
        <v>1172</v>
      </c>
      <c r="B637" s="2"/>
      <c r="C637" s="2"/>
      <c r="D637" s="2"/>
      <c r="E637" s="183" t="s">
        <v>852</v>
      </c>
      <c r="F637" s="2"/>
      <c r="G637" s="2"/>
      <c r="H637" s="2"/>
      <c r="I637" s="183" t="s">
        <v>852</v>
      </c>
      <c r="J637" s="2"/>
      <c r="K637" s="2"/>
      <c r="L637" s="2"/>
      <c r="M637" s="183" t="s">
        <v>852</v>
      </c>
      <c r="N637" s="2"/>
      <c r="O637" s="2"/>
      <c r="P637" s="2"/>
      <c r="Q637" s="183" t="s">
        <v>852</v>
      </c>
      <c r="R637" s="183" t="s">
        <v>852</v>
      </c>
    </row>
    <row r="638" spans="1:18" ht="15.75" customHeight="1" x14ac:dyDescent="0.35">
      <c r="A638" s="6" t="s">
        <v>2409</v>
      </c>
      <c r="B638" s="2"/>
      <c r="C638" s="2"/>
      <c r="D638" s="2"/>
      <c r="E638" s="183" t="s">
        <v>852</v>
      </c>
      <c r="F638" s="2"/>
      <c r="G638" s="2"/>
      <c r="H638" s="2"/>
      <c r="I638" s="183" t="s">
        <v>852</v>
      </c>
      <c r="J638" s="2"/>
      <c r="K638" s="2"/>
      <c r="L638" s="2"/>
      <c r="M638" s="183" t="s">
        <v>852</v>
      </c>
      <c r="N638" s="2"/>
      <c r="O638" s="2"/>
      <c r="P638" s="2"/>
      <c r="Q638" s="183" t="s">
        <v>852</v>
      </c>
      <c r="R638" s="183" t="s">
        <v>852</v>
      </c>
    </row>
    <row r="639" spans="1:18" ht="15.75" customHeight="1" thickBot="1" x14ac:dyDescent="0.4">
      <c r="A639" s="6" t="s">
        <v>2165</v>
      </c>
      <c r="B639" s="2"/>
      <c r="C639" s="2"/>
      <c r="D639" s="2"/>
      <c r="E639" s="183" t="s">
        <v>852</v>
      </c>
      <c r="F639" s="2"/>
      <c r="G639" s="2"/>
      <c r="H639" s="2"/>
      <c r="I639" s="183" t="s">
        <v>852</v>
      </c>
      <c r="J639" s="2"/>
      <c r="K639" s="2"/>
      <c r="L639" s="2"/>
      <c r="M639" s="183" t="s">
        <v>852</v>
      </c>
      <c r="N639" s="2"/>
      <c r="O639" s="2"/>
      <c r="P639" s="2"/>
      <c r="Q639" s="183" t="s">
        <v>852</v>
      </c>
      <c r="R639" s="183" t="s">
        <v>852</v>
      </c>
    </row>
    <row r="640" spans="1:18" ht="15.75" customHeight="1" thickBot="1" x14ac:dyDescent="0.4">
      <c r="A640" s="41" t="s">
        <v>1219</v>
      </c>
      <c r="B640" s="188">
        <f>SUM(B637:B639)</f>
        <v>0</v>
      </c>
      <c r="C640" s="189">
        <f>SUM(C637:C639)</f>
        <v>0</v>
      </c>
      <c r="D640" s="189">
        <f>SUM(D637:D639)</f>
        <v>0</v>
      </c>
      <c r="E640" s="56">
        <f>SUM(B640:D640)</f>
        <v>0</v>
      </c>
      <c r="F640" s="189">
        <f>SUM(F637:F639)</f>
        <v>0</v>
      </c>
      <c r="G640" s="189">
        <f>SUM(G637:G639)</f>
        <v>0</v>
      </c>
      <c r="H640" s="189">
        <f>SUM(H637:H639)</f>
        <v>0</v>
      </c>
      <c r="I640" s="56">
        <f>SUM(F640:H640)</f>
        <v>0</v>
      </c>
      <c r="J640" s="189">
        <f>SUM(J637:J639)</f>
        <v>0</v>
      </c>
      <c r="K640" s="189">
        <f>SUM(K637:K639)</f>
        <v>0</v>
      </c>
      <c r="L640" s="189">
        <f>SUM(L637:L639)</f>
        <v>0</v>
      </c>
      <c r="M640" s="56">
        <f>SUM(J640:L640)</f>
        <v>0</v>
      </c>
      <c r="N640" s="189">
        <f>SUM(N637:N639)</f>
        <v>0</v>
      </c>
      <c r="O640" s="189">
        <f>SUM(O637:O639)</f>
        <v>0</v>
      </c>
      <c r="P640" s="189">
        <f>SUM(P637:P639)</f>
        <v>0</v>
      </c>
      <c r="Q640" s="56">
        <f>SUM(N640:P640)</f>
        <v>0</v>
      </c>
      <c r="R640" s="56">
        <f>+E640+I640+M640+Q640</f>
        <v>0</v>
      </c>
    </row>
    <row r="641" spans="1:18" ht="15.75" customHeight="1" x14ac:dyDescent="0.35">
      <c r="A641" s="6" t="s">
        <v>2166</v>
      </c>
      <c r="B641" s="2"/>
      <c r="C641" s="2"/>
      <c r="D641" s="2"/>
      <c r="E641" s="183" t="s">
        <v>852</v>
      </c>
      <c r="F641" s="2"/>
      <c r="G641" s="2"/>
      <c r="H641" s="2"/>
      <c r="I641" s="183" t="s">
        <v>852</v>
      </c>
      <c r="J641" s="2" t="s">
        <v>852</v>
      </c>
      <c r="K641" s="2"/>
      <c r="L641" s="2"/>
      <c r="M641" s="183" t="s">
        <v>852</v>
      </c>
      <c r="N641" s="2"/>
      <c r="O641" s="2"/>
      <c r="P641" s="2"/>
      <c r="Q641" s="183" t="s">
        <v>852</v>
      </c>
      <c r="R641" s="183" t="s">
        <v>852</v>
      </c>
    </row>
    <row r="642" spans="1:18" ht="15.75" customHeight="1" x14ac:dyDescent="0.35">
      <c r="A642" s="6" t="s">
        <v>1245</v>
      </c>
      <c r="B642" s="2"/>
      <c r="C642" s="2"/>
      <c r="D642" s="2"/>
      <c r="E642" s="183" t="s">
        <v>852</v>
      </c>
      <c r="F642" s="2"/>
      <c r="G642" s="2"/>
      <c r="H642" s="2"/>
      <c r="I642" s="183" t="s">
        <v>852</v>
      </c>
      <c r="J642" s="2"/>
      <c r="K642" s="2"/>
      <c r="L642" s="2"/>
      <c r="M642" s="183" t="s">
        <v>852</v>
      </c>
      <c r="N642" s="2"/>
      <c r="O642" s="2"/>
      <c r="P642" s="2"/>
      <c r="Q642" s="183" t="s">
        <v>852</v>
      </c>
      <c r="R642" s="183" t="s">
        <v>852</v>
      </c>
    </row>
    <row r="643" spans="1:18" ht="15.75" customHeight="1" x14ac:dyDescent="0.35">
      <c r="A643" s="9" t="s">
        <v>1939</v>
      </c>
      <c r="B643" s="2">
        <v>321</v>
      </c>
      <c r="C643" s="2">
        <v>279</v>
      </c>
      <c r="D643" s="2">
        <v>468</v>
      </c>
      <c r="E643" s="183">
        <f>SUM(B643:D643)</f>
        <v>1068</v>
      </c>
      <c r="F643" s="2">
        <v>671</v>
      </c>
      <c r="G643" s="2">
        <v>641</v>
      </c>
      <c r="H643" s="2">
        <v>783</v>
      </c>
      <c r="I643" s="183">
        <f>SUM(F643:H643)</f>
        <v>2095</v>
      </c>
      <c r="J643" s="2">
        <v>797</v>
      </c>
      <c r="K643" s="2">
        <v>777</v>
      </c>
      <c r="L643" s="2">
        <v>734</v>
      </c>
      <c r="M643" s="183">
        <f>SUM(J643:L643)</f>
        <v>2308</v>
      </c>
      <c r="N643" s="2">
        <v>643</v>
      </c>
      <c r="O643" s="2">
        <v>307</v>
      </c>
      <c r="P643" s="2">
        <v>200</v>
      </c>
      <c r="Q643" s="183">
        <f>SUM(N643:P643)</f>
        <v>1150</v>
      </c>
      <c r="R643" s="183">
        <f>+E643+I643+M643+Q643</f>
        <v>6621</v>
      </c>
    </row>
    <row r="644" spans="1:18" ht="15.75" customHeight="1" x14ac:dyDescent="0.35">
      <c r="A644" s="6" t="s">
        <v>1711</v>
      </c>
      <c r="B644" s="2"/>
      <c r="C644" s="2"/>
      <c r="D644" s="2"/>
      <c r="E644" s="183" t="s">
        <v>852</v>
      </c>
      <c r="F644" s="2"/>
      <c r="G644" s="2"/>
      <c r="H644" s="2"/>
      <c r="I644" s="183" t="s">
        <v>852</v>
      </c>
      <c r="J644" s="2"/>
      <c r="K644" s="2"/>
      <c r="L644" s="2"/>
      <c r="M644" s="183" t="s">
        <v>852</v>
      </c>
      <c r="N644" s="2"/>
      <c r="O644" s="2"/>
      <c r="P644" s="2"/>
      <c r="Q644" s="183" t="s">
        <v>852</v>
      </c>
      <c r="R644" s="183" t="s">
        <v>852</v>
      </c>
    </row>
    <row r="645" spans="1:18" ht="15.75" customHeight="1" x14ac:dyDescent="0.35">
      <c r="A645" s="9" t="s">
        <v>189</v>
      </c>
      <c r="B645" s="2">
        <v>390</v>
      </c>
      <c r="C645" s="2">
        <v>684</v>
      </c>
      <c r="D645" s="2">
        <v>718</v>
      </c>
      <c r="E645" s="183">
        <f>SUM(B645:D645)</f>
        <v>1792</v>
      </c>
      <c r="F645" s="2">
        <v>677</v>
      </c>
      <c r="G645" s="2">
        <v>748</v>
      </c>
      <c r="H645" s="2">
        <v>699</v>
      </c>
      <c r="I645" s="183">
        <f>SUM(F645:H645)</f>
        <v>2124</v>
      </c>
      <c r="J645" s="2">
        <v>840</v>
      </c>
      <c r="K645" s="2">
        <v>847</v>
      </c>
      <c r="L645" s="2">
        <v>787</v>
      </c>
      <c r="M645" s="183">
        <f>SUM(J645:L645)</f>
        <v>2474</v>
      </c>
      <c r="N645" s="2">
        <v>772</v>
      </c>
      <c r="O645" s="2">
        <v>249</v>
      </c>
      <c r="P645" s="2">
        <v>676</v>
      </c>
      <c r="Q645" s="183">
        <f>SUM(N645:P645)</f>
        <v>1697</v>
      </c>
      <c r="R645" s="183">
        <f>+E645+I645+M645+Q645</f>
        <v>8087</v>
      </c>
    </row>
    <row r="646" spans="1:18" ht="15.75" customHeight="1" thickBot="1" x14ac:dyDescent="0.4">
      <c r="A646" s="9" t="s">
        <v>68</v>
      </c>
      <c r="B646" s="2">
        <v>0</v>
      </c>
      <c r="C646" s="2">
        <v>836</v>
      </c>
      <c r="D646" s="2">
        <v>1875</v>
      </c>
      <c r="E646" s="183">
        <f>SUM(B646:D646)</f>
        <v>2711</v>
      </c>
      <c r="F646" s="2">
        <v>500</v>
      </c>
      <c r="G646" s="2">
        <v>2277</v>
      </c>
      <c r="H646" s="2">
        <v>2118</v>
      </c>
      <c r="I646" s="183">
        <f>SUM(F646:H646)</f>
        <v>4895</v>
      </c>
      <c r="J646" s="2">
        <v>1491</v>
      </c>
      <c r="K646" s="2">
        <v>2839</v>
      </c>
      <c r="L646" s="2">
        <v>2510</v>
      </c>
      <c r="M646" s="183">
        <f>SUM(J646:L646)</f>
        <v>6840</v>
      </c>
      <c r="N646" s="2">
        <v>554</v>
      </c>
      <c r="O646" s="2">
        <v>0</v>
      </c>
      <c r="P646" s="2">
        <v>0</v>
      </c>
      <c r="Q646" s="183">
        <f>SUM(N646:P646)</f>
        <v>554</v>
      </c>
      <c r="R646" s="183">
        <f>+E646+I646+M646+Q646</f>
        <v>15000</v>
      </c>
    </row>
    <row r="647" spans="1:18" ht="15.75" customHeight="1" thickBot="1" x14ac:dyDescent="0.4">
      <c r="A647" s="41" t="s">
        <v>1220</v>
      </c>
      <c r="B647" s="188">
        <f>SUM(B641:B646)</f>
        <v>711</v>
      </c>
      <c r="C647" s="189">
        <f>SUM(C641:C646)</f>
        <v>1799</v>
      </c>
      <c r="D647" s="189">
        <f>SUM(D641:D646)</f>
        <v>3061</v>
      </c>
      <c r="E647" s="56">
        <f>SUM(B647:D647)</f>
        <v>5571</v>
      </c>
      <c r="F647" s="189">
        <f>SUM(F641:F646)</f>
        <v>1848</v>
      </c>
      <c r="G647" s="189">
        <f>SUM(G641:G646)</f>
        <v>3666</v>
      </c>
      <c r="H647" s="189">
        <f>SUM(H641:H646)</f>
        <v>3600</v>
      </c>
      <c r="I647" s="56">
        <f>SUM(F647:H647)</f>
        <v>9114</v>
      </c>
      <c r="J647" s="189">
        <f>SUM(J641:J646)</f>
        <v>3128</v>
      </c>
      <c r="K647" s="189">
        <f>SUM(K641:K646)</f>
        <v>4463</v>
      </c>
      <c r="L647" s="189">
        <f>SUM(L641:L646)</f>
        <v>4031</v>
      </c>
      <c r="M647" s="56">
        <f>SUM(J647:L647)</f>
        <v>11622</v>
      </c>
      <c r="N647" s="189">
        <f>SUM(N641:N646)</f>
        <v>1969</v>
      </c>
      <c r="O647" s="189">
        <f>SUM(O641:O646)</f>
        <v>556</v>
      </c>
      <c r="P647" s="189">
        <f>SUM(P641:P646)</f>
        <v>876</v>
      </c>
      <c r="Q647" s="56">
        <f>SUM(N647:P647)</f>
        <v>3401</v>
      </c>
      <c r="R647" s="56">
        <f>+E647+I647+M647+Q647</f>
        <v>29708</v>
      </c>
    </row>
    <row r="648" spans="1:18" ht="15.75" customHeight="1" x14ac:dyDescent="0.35">
      <c r="A648" s="6" t="s">
        <v>1712</v>
      </c>
      <c r="B648" s="2"/>
      <c r="C648" s="2"/>
      <c r="D648" s="2"/>
      <c r="E648" s="183" t="s">
        <v>852</v>
      </c>
      <c r="F648" s="2"/>
      <c r="G648" s="2"/>
      <c r="H648" s="2"/>
      <c r="I648" s="183" t="s">
        <v>852</v>
      </c>
      <c r="J648" s="2"/>
      <c r="K648" s="2"/>
      <c r="L648" s="2"/>
      <c r="M648" s="183" t="s">
        <v>852</v>
      </c>
      <c r="N648" s="2"/>
      <c r="O648" s="2"/>
      <c r="P648" s="2"/>
      <c r="Q648" s="183" t="s">
        <v>852</v>
      </c>
      <c r="R648" s="183" t="s">
        <v>852</v>
      </c>
    </row>
    <row r="649" spans="1:18" ht="15.75" customHeight="1" x14ac:dyDescent="0.35">
      <c r="A649" s="6" t="s">
        <v>556</v>
      </c>
      <c r="B649" s="2"/>
      <c r="C649" s="2"/>
      <c r="D649" s="2"/>
      <c r="E649" s="183" t="s">
        <v>852</v>
      </c>
      <c r="F649" s="2"/>
      <c r="G649" s="2"/>
      <c r="H649" s="2"/>
      <c r="I649" s="183" t="s">
        <v>852</v>
      </c>
      <c r="J649" s="2"/>
      <c r="K649" s="2"/>
      <c r="L649" s="2"/>
      <c r="M649" s="183" t="s">
        <v>852</v>
      </c>
      <c r="N649" s="2"/>
      <c r="O649" s="2"/>
      <c r="P649" s="2"/>
      <c r="Q649" s="183" t="s">
        <v>852</v>
      </c>
      <c r="R649" s="183" t="s">
        <v>852</v>
      </c>
    </row>
    <row r="650" spans="1:18" ht="15.75" customHeight="1" x14ac:dyDescent="0.35">
      <c r="A650" s="9" t="s">
        <v>447</v>
      </c>
      <c r="B650" s="2">
        <v>0</v>
      </c>
      <c r="C650" s="2">
        <v>0</v>
      </c>
      <c r="D650" s="2">
        <v>0</v>
      </c>
      <c r="E650" s="183">
        <f>SUM(B650:D650)</f>
        <v>0</v>
      </c>
      <c r="F650" s="2">
        <v>0</v>
      </c>
      <c r="G650" s="2">
        <v>0</v>
      </c>
      <c r="H650" s="2">
        <v>0</v>
      </c>
      <c r="I650" s="183">
        <f>SUM(F650:H650)</f>
        <v>0</v>
      </c>
      <c r="J650" s="2">
        <v>0</v>
      </c>
      <c r="K650" s="2">
        <v>0</v>
      </c>
      <c r="L650" s="2">
        <v>0</v>
      </c>
      <c r="M650" s="183">
        <f>SUM(J650:L650)</f>
        <v>0</v>
      </c>
      <c r="N650" s="2">
        <v>0</v>
      </c>
      <c r="O650" s="2">
        <v>0</v>
      </c>
      <c r="P650" s="2">
        <v>0</v>
      </c>
      <c r="Q650" s="183">
        <f>SUM(N650:P650)</f>
        <v>0</v>
      </c>
      <c r="R650" s="183">
        <f>+E650+I650+M650+Q650</f>
        <v>0</v>
      </c>
    </row>
    <row r="651" spans="1:18" ht="15.75" customHeight="1" x14ac:dyDescent="0.35">
      <c r="A651" s="9" t="s">
        <v>2392</v>
      </c>
      <c r="B651" s="2">
        <v>0</v>
      </c>
      <c r="C651" s="2">
        <v>0</v>
      </c>
      <c r="D651" s="2">
        <v>0</v>
      </c>
      <c r="E651" s="183">
        <f>SUM(B651:D651)</f>
        <v>0</v>
      </c>
      <c r="F651" s="2">
        <v>0</v>
      </c>
      <c r="G651" s="2">
        <v>0</v>
      </c>
      <c r="H651" s="2">
        <v>0</v>
      </c>
      <c r="I651" s="183">
        <f>SUM(F651:H651)</f>
        <v>0</v>
      </c>
      <c r="J651" s="2">
        <v>0</v>
      </c>
      <c r="K651" s="2">
        <v>0</v>
      </c>
      <c r="L651" s="2">
        <v>0</v>
      </c>
      <c r="M651" s="183">
        <f>SUM(J651:L651)</f>
        <v>0</v>
      </c>
      <c r="N651" s="2">
        <v>0</v>
      </c>
      <c r="O651" s="2">
        <v>0</v>
      </c>
      <c r="P651" s="2">
        <v>0</v>
      </c>
      <c r="Q651" s="183">
        <f>SUM(N651:P651)</f>
        <v>0</v>
      </c>
      <c r="R651" s="183">
        <f>+E651+I651+M651+Q651</f>
        <v>0</v>
      </c>
    </row>
    <row r="652" spans="1:18" ht="15.75" customHeight="1" x14ac:dyDescent="0.35">
      <c r="A652" s="6" t="s">
        <v>557</v>
      </c>
      <c r="B652" s="2"/>
      <c r="C652" s="2"/>
      <c r="D652" s="2"/>
      <c r="E652" s="183" t="s">
        <v>852</v>
      </c>
      <c r="F652" s="2"/>
      <c r="G652" s="2"/>
      <c r="H652" s="2"/>
      <c r="I652" s="183" t="s">
        <v>852</v>
      </c>
      <c r="J652" s="2"/>
      <c r="K652" s="2"/>
      <c r="L652" s="2"/>
      <c r="M652" s="183" t="s">
        <v>852</v>
      </c>
      <c r="N652" s="2"/>
      <c r="O652" s="2"/>
      <c r="P652" s="2"/>
      <c r="Q652" s="183" t="s">
        <v>852</v>
      </c>
      <c r="R652" s="183" t="s">
        <v>852</v>
      </c>
    </row>
    <row r="653" spans="1:18" ht="15.75" customHeight="1" x14ac:dyDescent="0.35">
      <c r="A653" s="9" t="s">
        <v>2444</v>
      </c>
      <c r="B653" s="2">
        <v>0</v>
      </c>
      <c r="C653" s="2">
        <v>0</v>
      </c>
      <c r="D653" s="2">
        <v>0</v>
      </c>
      <c r="E653" s="183">
        <f>SUM(B653:D653)</f>
        <v>0</v>
      </c>
      <c r="F653" s="2">
        <v>0</v>
      </c>
      <c r="G653" s="2">
        <v>0</v>
      </c>
      <c r="H653" s="2">
        <v>0</v>
      </c>
      <c r="I653" s="183">
        <f>SUM(F653:H653)</f>
        <v>0</v>
      </c>
      <c r="J653" s="2">
        <v>0</v>
      </c>
      <c r="K653" s="2">
        <v>0</v>
      </c>
      <c r="L653" s="2">
        <v>0</v>
      </c>
      <c r="M653" s="183">
        <f>SUM(J653:L653)</f>
        <v>0</v>
      </c>
      <c r="N653" s="2">
        <v>16</v>
      </c>
      <c r="O653" s="2">
        <v>0</v>
      </c>
      <c r="P653" s="2">
        <v>0</v>
      </c>
      <c r="Q653" s="183">
        <f>SUM(N653:P653)</f>
        <v>16</v>
      </c>
      <c r="R653" s="183">
        <f>+E653+I653+M653+Q653</f>
        <v>16</v>
      </c>
    </row>
    <row r="654" spans="1:18" ht="15.75" customHeight="1" x14ac:dyDescent="0.35">
      <c r="A654" s="9" t="s">
        <v>1792</v>
      </c>
      <c r="B654" s="2">
        <v>0</v>
      </c>
      <c r="C654" s="2">
        <v>0</v>
      </c>
      <c r="D654" s="2">
        <v>0</v>
      </c>
      <c r="E654" s="183">
        <f>SUM(B654:D654)</f>
        <v>0</v>
      </c>
      <c r="F654" s="2">
        <v>0</v>
      </c>
      <c r="G654" s="2">
        <v>0</v>
      </c>
      <c r="H654" s="2">
        <v>0</v>
      </c>
      <c r="I654" s="183">
        <f>SUM(F654:H654)</f>
        <v>0</v>
      </c>
      <c r="J654" s="2">
        <v>0</v>
      </c>
      <c r="K654" s="2">
        <v>0</v>
      </c>
      <c r="L654" s="2">
        <v>0</v>
      </c>
      <c r="M654" s="183">
        <f>SUM(J654:L654)</f>
        <v>0</v>
      </c>
      <c r="N654" s="2">
        <v>0</v>
      </c>
      <c r="O654" s="2">
        <v>657</v>
      </c>
      <c r="P654" s="2">
        <v>3412</v>
      </c>
      <c r="Q654" s="183">
        <f>SUM(N654:P654)</f>
        <v>4069</v>
      </c>
      <c r="R654" s="183">
        <f>+E654+I654+M654+Q654</f>
        <v>4069</v>
      </c>
    </row>
    <row r="655" spans="1:18" ht="15.75" customHeight="1" x14ac:dyDescent="0.35">
      <c r="A655" s="6" t="s">
        <v>558</v>
      </c>
      <c r="B655" s="2"/>
      <c r="C655" s="2"/>
      <c r="D655" s="2"/>
      <c r="E655" s="183" t="s">
        <v>852</v>
      </c>
      <c r="F655" s="2"/>
      <c r="G655" s="2"/>
      <c r="H655" s="2"/>
      <c r="I655" s="183" t="s">
        <v>852</v>
      </c>
      <c r="J655" s="2"/>
      <c r="K655" s="2"/>
      <c r="L655" s="2"/>
      <c r="M655" s="183" t="s">
        <v>852</v>
      </c>
      <c r="N655" s="2"/>
      <c r="O655" s="2"/>
      <c r="P655" s="2"/>
      <c r="Q655" s="183" t="s">
        <v>852</v>
      </c>
      <c r="R655" s="183" t="s">
        <v>852</v>
      </c>
    </row>
    <row r="656" spans="1:18" ht="15.75" customHeight="1" thickBot="1" x14ac:dyDescent="0.4">
      <c r="A656" s="6" t="s">
        <v>559</v>
      </c>
      <c r="B656" s="2"/>
      <c r="C656" s="2"/>
      <c r="D656" s="2"/>
      <c r="E656" s="183" t="s">
        <v>852</v>
      </c>
      <c r="F656" s="2"/>
      <c r="G656" s="2"/>
      <c r="H656" s="2"/>
      <c r="I656" s="183" t="s">
        <v>852</v>
      </c>
      <c r="J656" s="2"/>
      <c r="K656" s="2"/>
      <c r="L656" s="2"/>
      <c r="M656" s="183" t="s">
        <v>852</v>
      </c>
      <c r="N656" s="2"/>
      <c r="O656" s="2"/>
      <c r="P656" s="2"/>
      <c r="Q656" s="183" t="s">
        <v>852</v>
      </c>
      <c r="R656" s="183" t="s">
        <v>852</v>
      </c>
    </row>
    <row r="657" spans="1:18" ht="15.75" customHeight="1" thickBot="1" x14ac:dyDescent="0.4">
      <c r="A657" s="41" t="s">
        <v>1019</v>
      </c>
      <c r="B657" s="184">
        <f>SUM(B655:B656)</f>
        <v>0</v>
      </c>
      <c r="C657" s="184">
        <f>SUM(C655:C656)</f>
        <v>0</v>
      </c>
      <c r="D657" s="184">
        <f>SUM(D655:D656)</f>
        <v>0</v>
      </c>
      <c r="E657" s="185">
        <f>SUM(B657:D657)</f>
        <v>0</v>
      </c>
      <c r="F657" s="184">
        <f>SUM(F655:F656)</f>
        <v>0</v>
      </c>
      <c r="G657" s="184">
        <f>SUM(G655:G656)</f>
        <v>0</v>
      </c>
      <c r="H657" s="184">
        <f>SUM(H655:H656)</f>
        <v>0</v>
      </c>
      <c r="I657" s="185">
        <f>SUM(F657:H657)</f>
        <v>0</v>
      </c>
      <c r="J657" s="184">
        <f>SUM(J655:J656)</f>
        <v>0</v>
      </c>
      <c r="K657" s="184">
        <f>SUM(K655:K656)</f>
        <v>0</v>
      </c>
      <c r="L657" s="184">
        <f>SUM(L655:L656)</f>
        <v>0</v>
      </c>
      <c r="M657" s="185">
        <f>SUM(J657:L657)</f>
        <v>0</v>
      </c>
      <c r="N657" s="184">
        <f>SUM(N655:N656)</f>
        <v>0</v>
      </c>
      <c r="O657" s="184">
        <f>SUM(O655:O656)</f>
        <v>0</v>
      </c>
      <c r="P657" s="184">
        <f>SUM(P655:P656)</f>
        <v>0</v>
      </c>
      <c r="Q657" s="185">
        <f>SUM(N657:P657)</f>
        <v>0</v>
      </c>
      <c r="R657" s="56">
        <f>+E657+I657+M657+Q657</f>
        <v>0</v>
      </c>
    </row>
    <row r="658" spans="1:18" ht="15.75" customHeight="1" thickBot="1" x14ac:dyDescent="0.4">
      <c r="A658" s="41" t="s">
        <v>1221</v>
      </c>
      <c r="B658" s="188">
        <f>SUM(B648:B656)</f>
        <v>0</v>
      </c>
      <c r="C658" s="189">
        <f>SUM(C648:C656)</f>
        <v>0</v>
      </c>
      <c r="D658" s="191">
        <f>SUM(D648:D656)</f>
        <v>0</v>
      </c>
      <c r="E658" s="185">
        <f>SUM(B658:D658)</f>
        <v>0</v>
      </c>
      <c r="F658" s="189">
        <f>SUM(F648:F656)</f>
        <v>0</v>
      </c>
      <c r="G658" s="189">
        <f>SUM(G648:G656)</f>
        <v>0</v>
      </c>
      <c r="H658" s="189">
        <f>SUM(H648:H656)</f>
        <v>0</v>
      </c>
      <c r="I658" s="185">
        <f>SUM(F658:H658)</f>
        <v>0</v>
      </c>
      <c r="J658" s="189">
        <f>SUM(J648:J656)</f>
        <v>0</v>
      </c>
      <c r="K658" s="189">
        <f>SUM(K648:K656)</f>
        <v>0</v>
      </c>
      <c r="L658" s="189">
        <f>SUM(L648:L656)</f>
        <v>0</v>
      </c>
      <c r="M658" s="185">
        <f>SUM(J658:L658)</f>
        <v>0</v>
      </c>
      <c r="N658" s="189">
        <f>SUM(N648:N656)</f>
        <v>16</v>
      </c>
      <c r="O658" s="189">
        <f>SUM(O648:O656)</f>
        <v>657</v>
      </c>
      <c r="P658" s="189">
        <f>SUM(P648:P656)</f>
        <v>3412</v>
      </c>
      <c r="Q658" s="185">
        <f>SUM(N658:P658)</f>
        <v>4085</v>
      </c>
      <c r="R658" s="56">
        <f>+E658+I658+M658+Q658</f>
        <v>4085</v>
      </c>
    </row>
    <row r="659" spans="1:18" ht="15.75" customHeight="1" thickBot="1" x14ac:dyDescent="0.4">
      <c r="A659" s="41" t="s">
        <v>1222</v>
      </c>
      <c r="B659" s="190">
        <f>+B636+B640+B647+B658</f>
        <v>2369</v>
      </c>
      <c r="C659" s="184">
        <f>+C636+C640+C647+C658</f>
        <v>1799</v>
      </c>
      <c r="D659" s="184">
        <f>+D636+D640+D647+D658</f>
        <v>3061</v>
      </c>
      <c r="E659" s="56">
        <f>SUM(B659:D659)</f>
        <v>7229</v>
      </c>
      <c r="F659" s="184">
        <f>+F636+F640+F647+F658</f>
        <v>2681</v>
      </c>
      <c r="G659" s="184">
        <f>+G636+G640+G647+G658</f>
        <v>3666</v>
      </c>
      <c r="H659" s="184">
        <f>+H636+H640+H647+H658</f>
        <v>3600</v>
      </c>
      <c r="I659" s="56">
        <f>SUM(F659:H659)</f>
        <v>9947</v>
      </c>
      <c r="J659" s="184">
        <f>+J636+J640+J647+J658</f>
        <v>3128</v>
      </c>
      <c r="K659" s="184">
        <f>+K636+K640+K647+K658</f>
        <v>4463</v>
      </c>
      <c r="L659" s="184">
        <f>+L636+L640+L647+L658</f>
        <v>4031</v>
      </c>
      <c r="M659" s="56">
        <f>SUM(J659:L659)</f>
        <v>11622</v>
      </c>
      <c r="N659" s="184">
        <f>+N636+N640+N647+N658</f>
        <v>2510</v>
      </c>
      <c r="O659" s="184">
        <f>+O636+O640+O647+O658</f>
        <v>1213</v>
      </c>
      <c r="P659" s="184">
        <f>+P636+P640+P647+P658</f>
        <v>4288</v>
      </c>
      <c r="Q659" s="56">
        <f>SUM(N659:P659)</f>
        <v>8011</v>
      </c>
      <c r="R659" s="186">
        <f>+E659+I659+M659+Q659</f>
        <v>36809</v>
      </c>
    </row>
    <row r="660" spans="1:18" ht="15.75" customHeight="1" thickBot="1" x14ac:dyDescent="0.4">
      <c r="A660" s="474" t="s">
        <v>853</v>
      </c>
      <c r="B660" s="459">
        <v>11</v>
      </c>
      <c r="C660" s="459">
        <v>13</v>
      </c>
      <c r="D660" s="459">
        <v>17</v>
      </c>
      <c r="E660" s="183">
        <f>SUM(B660:D660)</f>
        <v>41</v>
      </c>
      <c r="F660" s="459">
        <v>21</v>
      </c>
      <c r="G660" s="459">
        <v>23</v>
      </c>
      <c r="H660" s="459">
        <v>25</v>
      </c>
      <c r="I660" s="183">
        <f>SUM(F660:H660)</f>
        <v>69</v>
      </c>
      <c r="J660" s="459">
        <v>25</v>
      </c>
      <c r="K660" s="459">
        <v>21</v>
      </c>
      <c r="L660" s="459">
        <v>19</v>
      </c>
      <c r="M660" s="183">
        <f>SUM(J660:L660)</f>
        <v>65</v>
      </c>
      <c r="N660" s="459">
        <v>17</v>
      </c>
      <c r="O660" s="459">
        <v>13</v>
      </c>
      <c r="P660" s="459">
        <v>11</v>
      </c>
      <c r="Q660" s="183">
        <f>SUM(N660:P660)</f>
        <v>41</v>
      </c>
      <c r="R660" s="183">
        <f>+E660+I660+M660+Q660</f>
        <v>216</v>
      </c>
    </row>
    <row r="661" spans="1:18" ht="15.75" customHeight="1" thickBot="1" x14ac:dyDescent="0.4">
      <c r="A661" s="12"/>
      <c r="B661" s="181"/>
      <c r="C661" s="181"/>
      <c r="D661" s="181"/>
      <c r="E661" s="56" t="s">
        <v>852</v>
      </c>
      <c r="F661" s="181"/>
      <c r="G661" s="181"/>
      <c r="H661" s="181"/>
      <c r="I661" s="56" t="s">
        <v>852</v>
      </c>
      <c r="J661" s="181"/>
      <c r="K661" s="181"/>
      <c r="L661" s="181"/>
      <c r="M661" s="56" t="s">
        <v>852</v>
      </c>
      <c r="N661" s="181"/>
      <c r="O661" s="181"/>
      <c r="P661" s="181"/>
      <c r="Q661" s="56" t="s">
        <v>852</v>
      </c>
      <c r="R661" s="56" t="s">
        <v>852</v>
      </c>
    </row>
    <row r="662" spans="1:18" ht="15.75" customHeight="1" x14ac:dyDescent="0.35">
      <c r="A662" s="6" t="s">
        <v>2011</v>
      </c>
      <c r="B662" s="2">
        <f>SUM(B659:B660)</f>
        <v>2380</v>
      </c>
      <c r="C662" s="2">
        <f>SUM(C659:C660)</f>
        <v>1812</v>
      </c>
      <c r="D662" s="2">
        <f>SUM(D659:D660)</f>
        <v>3078</v>
      </c>
      <c r="E662" s="185">
        <f>SUM(B662:D662)</f>
        <v>7270</v>
      </c>
      <c r="F662" s="2">
        <f>SUM(F659:F660)</f>
        <v>2702</v>
      </c>
      <c r="G662" s="2">
        <f>SUM(G659:G660)</f>
        <v>3689</v>
      </c>
      <c r="H662" s="2">
        <f>SUM(H659:H660)</f>
        <v>3625</v>
      </c>
      <c r="I662" s="185">
        <f>SUM(F662:H662)</f>
        <v>10016</v>
      </c>
      <c r="J662" s="2">
        <f>SUM(J659:J660)</f>
        <v>3153</v>
      </c>
      <c r="K662" s="2">
        <f>SUM(K659:K660)</f>
        <v>4484</v>
      </c>
      <c r="L662" s="2">
        <f>SUM(L659:L660)</f>
        <v>4050</v>
      </c>
      <c r="M662" s="185">
        <f>SUM(J662:L662)</f>
        <v>11687</v>
      </c>
      <c r="N662" s="2">
        <f>SUM(N659:N660)</f>
        <v>2527</v>
      </c>
      <c r="O662" s="2">
        <f>SUM(O659:O660)</f>
        <v>1226</v>
      </c>
      <c r="P662" s="2">
        <f>SUM(P659:P660)</f>
        <v>4299</v>
      </c>
      <c r="Q662" s="185">
        <f>SUM(N662:P662)</f>
        <v>8052</v>
      </c>
      <c r="R662" s="185">
        <f>+E662+I662+M662+Q662</f>
        <v>37025</v>
      </c>
    </row>
    <row r="663" spans="1:18" ht="15.75" customHeight="1" x14ac:dyDescent="0.35">
      <c r="A663" s="6" t="s">
        <v>1897</v>
      </c>
      <c r="B663" s="2">
        <f>(B662/31)/1.983</f>
        <v>38.716184341092841</v>
      </c>
      <c r="C663" s="2">
        <f>(C662/28)/1.983</f>
        <v>32.634536416684675</v>
      </c>
      <c r="D663" s="2">
        <f>(D662/31)/1.983</f>
        <v>50.070762773900739</v>
      </c>
      <c r="E663" s="183" t="s">
        <v>852</v>
      </c>
      <c r="F663" s="2">
        <f>(F662/30)/1.983</f>
        <v>45.419398218187929</v>
      </c>
      <c r="G663" s="2">
        <f>(G662/31)/1.983</f>
        <v>60.010085728693895</v>
      </c>
      <c r="H663" s="2">
        <f>(H662/30)/1.983</f>
        <v>60.934610858967886</v>
      </c>
      <c r="I663" s="183" t="s">
        <v>852</v>
      </c>
      <c r="J663" s="2">
        <f>(J662/31)/1.983</f>
        <v>51.290810599775504</v>
      </c>
      <c r="K663" s="2">
        <f>(K662/31)/1.983</f>
        <v>72.942592682966506</v>
      </c>
      <c r="L663" s="2">
        <f>(L662/30)/1.983</f>
        <v>68.078668683812396</v>
      </c>
      <c r="M663" s="183" t="s">
        <v>852</v>
      </c>
      <c r="N663" s="2">
        <f>(N662/31)/1.983</f>
        <v>41.107478079807393</v>
      </c>
      <c r="O663" s="2">
        <f>(O662/30)/1.983</f>
        <v>20.608505631198518</v>
      </c>
      <c r="P663" s="2">
        <f>(P662/31)/1.983</f>
        <v>69.933141379142057</v>
      </c>
      <c r="Q663" s="183" t="s">
        <v>852</v>
      </c>
      <c r="R663" s="183" t="s">
        <v>852</v>
      </c>
    </row>
    <row r="664" spans="1:18" ht="15.75" customHeight="1" x14ac:dyDescent="0.35">
      <c r="A664" s="6" t="s">
        <v>2050</v>
      </c>
      <c r="B664" s="2">
        <f>B662</f>
        <v>2380</v>
      </c>
      <c r="C664" s="2">
        <f>C662</f>
        <v>1812</v>
      </c>
      <c r="D664" s="2">
        <f>D662</f>
        <v>3078</v>
      </c>
      <c r="E664" s="183">
        <f>SUM(B664:D664)</f>
        <v>7270</v>
      </c>
      <c r="F664" s="2">
        <f>F662</f>
        <v>2702</v>
      </c>
      <c r="G664" s="2">
        <f>G662</f>
        <v>3689</v>
      </c>
      <c r="H664" s="2">
        <f>H662</f>
        <v>3625</v>
      </c>
      <c r="I664" s="183">
        <f>SUM(F664:H664)</f>
        <v>10016</v>
      </c>
      <c r="J664" s="2">
        <f>J662</f>
        <v>3153</v>
      </c>
      <c r="K664" s="2">
        <f>K662</f>
        <v>4484</v>
      </c>
      <c r="L664" s="2">
        <f>L662</f>
        <v>4050</v>
      </c>
      <c r="M664" s="183">
        <f>SUM(J664:L664)</f>
        <v>11687</v>
      </c>
      <c r="N664" s="2">
        <f>N662</f>
        <v>2527</v>
      </c>
      <c r="O664" s="2">
        <f>O662</f>
        <v>1226</v>
      </c>
      <c r="P664" s="2">
        <f>P662</f>
        <v>4299</v>
      </c>
      <c r="Q664" s="183">
        <f>SUM(N664:P664)</f>
        <v>8052</v>
      </c>
      <c r="R664" s="183">
        <f>+E664+I664+M664+Q664</f>
        <v>37025</v>
      </c>
    </row>
    <row r="665" spans="1:18" ht="15.75" customHeight="1" thickBot="1" x14ac:dyDescent="0.4">
      <c r="A665" s="458" t="s">
        <v>2051</v>
      </c>
      <c r="B665" s="459">
        <f>(B664/31)/1.983</f>
        <v>38.716184341092841</v>
      </c>
      <c r="C665" s="459">
        <f>(C664/28)/1.983</f>
        <v>32.634536416684675</v>
      </c>
      <c r="D665" s="459">
        <f>(D664/31)/1.983</f>
        <v>50.070762773900739</v>
      </c>
      <c r="E665" s="186" t="s">
        <v>852</v>
      </c>
      <c r="F665" s="459">
        <f>(F664/30)/1.983</f>
        <v>45.419398218187929</v>
      </c>
      <c r="G665" s="459">
        <f>(G664/31)/1.983</f>
        <v>60.010085728693895</v>
      </c>
      <c r="H665" s="459">
        <f>(H664/30)/1.983</f>
        <v>60.934610858967886</v>
      </c>
      <c r="I665" s="186" t="s">
        <v>852</v>
      </c>
      <c r="J665" s="459">
        <f>(J664/31)/1.983</f>
        <v>51.290810599775504</v>
      </c>
      <c r="K665" s="459">
        <f>(K664/31)/1.983</f>
        <v>72.942592682966506</v>
      </c>
      <c r="L665" s="459">
        <f>(L664/30)/1.983</f>
        <v>68.078668683812396</v>
      </c>
      <c r="M665" s="186" t="s">
        <v>852</v>
      </c>
      <c r="N665" s="459">
        <f>(N664/31)/1.983</f>
        <v>41.107478079807393</v>
      </c>
      <c r="O665" s="459">
        <f>(O664/30)/1.983</f>
        <v>20.608505631198518</v>
      </c>
      <c r="P665" s="459">
        <f>(P664/31)/1.983</f>
        <v>69.933141379142057</v>
      </c>
      <c r="Q665" s="186" t="s">
        <v>852</v>
      </c>
      <c r="R665" s="186" t="s">
        <v>852</v>
      </c>
    </row>
    <row r="666" spans="1:18" ht="15.75" customHeight="1" x14ac:dyDescent="0.35">
      <c r="A666" s="8"/>
      <c r="B666" s="2"/>
      <c r="C666" s="2"/>
      <c r="D666" s="2"/>
      <c r="E666" s="187"/>
      <c r="F666" s="2"/>
      <c r="G666" s="2"/>
      <c r="H666" s="2"/>
      <c r="I666" s="187"/>
      <c r="J666" s="2"/>
      <c r="K666" s="2"/>
      <c r="L666" s="2"/>
      <c r="M666" s="187"/>
      <c r="N666" s="2"/>
      <c r="O666" s="2"/>
      <c r="P666" s="2"/>
      <c r="Q666" s="187"/>
      <c r="R666" s="187"/>
    </row>
    <row r="667" spans="1:18" ht="15.75" customHeight="1" x14ac:dyDescent="0.35">
      <c r="A667" s="8"/>
      <c r="B667" s="2"/>
      <c r="C667" s="2"/>
      <c r="D667" s="2"/>
      <c r="E667" s="2"/>
      <c r="F667" s="2"/>
      <c r="G667" s="2"/>
      <c r="H667" s="2"/>
      <c r="I667" s="2"/>
      <c r="J667" s="2"/>
      <c r="K667" s="2"/>
      <c r="L667" s="2"/>
      <c r="M667" s="2"/>
      <c r="N667" s="2"/>
      <c r="O667" s="2"/>
      <c r="P667" s="2"/>
      <c r="Q667" s="187" t="str">
        <f>+Q1</f>
        <v>PRINTED:</v>
      </c>
      <c r="R667" s="200">
        <f ca="1">+R1</f>
        <v>44881.72963425926</v>
      </c>
    </row>
    <row r="668" spans="1:18" ht="15.75" customHeight="1" x14ac:dyDescent="0.35">
      <c r="A668" s="847" t="s">
        <v>43</v>
      </c>
      <c r="B668" s="847"/>
      <c r="C668" s="847"/>
      <c r="D668" s="847"/>
      <c r="E668" s="847"/>
      <c r="F668" s="847"/>
      <c r="G668" s="847"/>
      <c r="H668" s="847"/>
      <c r="I668" s="847"/>
      <c r="J668" s="847"/>
      <c r="K668" s="847"/>
      <c r="L668" s="847"/>
      <c r="M668" s="847"/>
      <c r="N668" s="847"/>
      <c r="O668" s="847"/>
      <c r="P668" s="847"/>
      <c r="Q668" s="847"/>
      <c r="R668" s="847"/>
    </row>
    <row r="669" spans="1:18" ht="15.75" customHeight="1" x14ac:dyDescent="0.35">
      <c r="A669" s="847" t="s">
        <v>1988</v>
      </c>
      <c r="B669" s="847"/>
      <c r="C669" s="847"/>
      <c r="D669" s="847"/>
      <c r="E669" s="847"/>
      <c r="F669" s="847"/>
      <c r="G669" s="847"/>
      <c r="H669" s="847"/>
      <c r="I669" s="847"/>
      <c r="J669" s="847"/>
      <c r="K669" s="847"/>
      <c r="L669" s="847"/>
      <c r="M669" s="847"/>
      <c r="N669" s="847"/>
      <c r="O669" s="847"/>
      <c r="P669" s="847"/>
      <c r="Q669" s="847"/>
      <c r="R669" s="847"/>
    </row>
    <row r="670" spans="1:18" ht="15.75" customHeight="1" x14ac:dyDescent="0.35">
      <c r="A670" s="847" t="s">
        <v>544</v>
      </c>
      <c r="B670" s="847"/>
      <c r="C670" s="847"/>
      <c r="D670" s="847"/>
      <c r="E670" s="847"/>
      <c r="F670" s="847"/>
      <c r="G670" s="847"/>
      <c r="H670" s="847"/>
      <c r="I670" s="847"/>
      <c r="J670" s="847"/>
      <c r="K670" s="847"/>
      <c r="L670" s="847"/>
      <c r="M670" s="847"/>
      <c r="N670" s="847"/>
      <c r="O670" s="847"/>
      <c r="P670" s="847"/>
      <c r="Q670" s="847"/>
      <c r="R670" s="847"/>
    </row>
    <row r="671" spans="1:18" ht="15.75" customHeight="1" x14ac:dyDescent="0.35">
      <c r="A671" s="847" t="str">
        <f>+A5</f>
        <v>Calendar Year 2009</v>
      </c>
      <c r="B671" s="847"/>
      <c r="C671" s="847"/>
      <c r="D671" s="847"/>
      <c r="E671" s="847"/>
      <c r="F671" s="847"/>
      <c r="G671" s="847"/>
      <c r="H671" s="847"/>
      <c r="I671" s="847"/>
      <c r="J671" s="847"/>
      <c r="K671" s="847"/>
      <c r="L671" s="847"/>
      <c r="M671" s="847"/>
      <c r="N671" s="847"/>
      <c r="O671" s="847"/>
      <c r="P671" s="847"/>
      <c r="Q671" s="847"/>
      <c r="R671" s="847"/>
    </row>
    <row r="672" spans="1:18" ht="15.75" customHeight="1" x14ac:dyDescent="0.35">
      <c r="A672" s="2"/>
      <c r="B672" s="2"/>
      <c r="C672" s="2"/>
      <c r="D672" s="202"/>
      <c r="E672" s="202"/>
      <c r="F672" s="202"/>
      <c r="G672" s="203"/>
      <c r="H672" s="202"/>
      <c r="I672" s="202"/>
      <c r="J672" s="203"/>
      <c r="K672" s="203"/>
      <c r="L672" s="203"/>
      <c r="M672" s="203"/>
      <c r="N672" s="2"/>
      <c r="O672" s="203"/>
      <c r="P672" s="203"/>
      <c r="Q672" s="203"/>
      <c r="R672" s="203"/>
    </row>
    <row r="673" spans="1:18" ht="15.75" customHeight="1" x14ac:dyDescent="0.35">
      <c r="A673" s="847" t="str">
        <f>+A8</f>
        <v>Revised:  1/25/10</v>
      </c>
      <c r="B673" s="847"/>
      <c r="C673" s="847"/>
      <c r="D673" s="847"/>
      <c r="E673" s="847"/>
      <c r="F673" s="847"/>
      <c r="G673" s="847"/>
      <c r="H673" s="847"/>
      <c r="I673" s="847"/>
      <c r="J673" s="847"/>
      <c r="K673" s="847"/>
      <c r="L673" s="847"/>
      <c r="M673" s="847"/>
      <c r="N673" s="847"/>
      <c r="O673" s="847"/>
      <c r="P673" s="847"/>
      <c r="Q673" s="847"/>
      <c r="R673" s="847"/>
    </row>
    <row r="674" spans="1:18" ht="15.75" customHeight="1" x14ac:dyDescent="0.35">
      <c r="A674" s="201"/>
      <c r="B674" s="201"/>
      <c r="C674" s="201"/>
      <c r="D674" s="201"/>
      <c r="E674" s="201"/>
      <c r="F674" s="201"/>
      <c r="G674" s="201"/>
      <c r="H674" s="201"/>
      <c r="I674" s="201"/>
      <c r="J674" s="201"/>
      <c r="K674" s="201"/>
      <c r="L674" s="201"/>
      <c r="M674" s="201"/>
      <c r="N674" s="201"/>
      <c r="O674" s="201"/>
      <c r="P674" s="201"/>
      <c r="Q674" s="201"/>
      <c r="R674" s="201"/>
    </row>
    <row r="675" spans="1:18" ht="15.75" customHeight="1" x14ac:dyDescent="0.35">
      <c r="A675" s="201"/>
      <c r="B675" s="201"/>
      <c r="C675" s="201"/>
      <c r="D675" s="201"/>
      <c r="E675" s="201"/>
      <c r="F675" s="201"/>
      <c r="G675" s="201"/>
      <c r="H675" s="201"/>
      <c r="I675" s="201"/>
      <c r="J675" s="201"/>
      <c r="K675" s="201"/>
      <c r="L675" s="201"/>
      <c r="M675" s="201"/>
      <c r="N675" s="201"/>
      <c r="O675" s="201"/>
      <c r="P675" s="201"/>
      <c r="Q675" s="201"/>
      <c r="R675" s="201"/>
    </row>
    <row r="676" spans="1:18" ht="15.75" customHeight="1" thickBot="1" x14ac:dyDescent="0.4">
      <c r="A676" s="8"/>
      <c r="B676" s="2"/>
      <c r="C676" s="2"/>
      <c r="D676" s="2"/>
      <c r="E676" s="2"/>
      <c r="F676" s="2"/>
      <c r="G676" s="2"/>
      <c r="H676" s="2"/>
      <c r="I676" s="2"/>
      <c r="J676" s="2"/>
      <c r="K676" s="2"/>
      <c r="L676" s="2"/>
      <c r="M676" s="2"/>
      <c r="N676" s="2"/>
      <c r="O676" s="2"/>
      <c r="P676" s="2"/>
      <c r="Q676" s="2"/>
      <c r="R676" s="187"/>
    </row>
    <row r="677" spans="1:18" ht="15.75" customHeight="1" thickBot="1" x14ac:dyDescent="0.4">
      <c r="A677" s="7" t="s">
        <v>1661</v>
      </c>
      <c r="B677" s="179" t="s">
        <v>2090</v>
      </c>
      <c r="C677" s="180" t="s">
        <v>2091</v>
      </c>
      <c r="D677" s="180" t="s">
        <v>2234</v>
      </c>
      <c r="E677" s="175" t="s">
        <v>1594</v>
      </c>
      <c r="F677" s="180" t="s">
        <v>2235</v>
      </c>
      <c r="G677" s="180" t="s">
        <v>2236</v>
      </c>
      <c r="H677" s="180" t="s">
        <v>2237</v>
      </c>
      <c r="I677" s="64" t="s">
        <v>1595</v>
      </c>
      <c r="J677" s="180" t="s">
        <v>1504</v>
      </c>
      <c r="K677" s="180" t="s">
        <v>1505</v>
      </c>
      <c r="L677" s="180" t="s">
        <v>1506</v>
      </c>
      <c r="M677" s="64" t="s">
        <v>1596</v>
      </c>
      <c r="N677" s="180" t="s">
        <v>1507</v>
      </c>
      <c r="O677" s="180" t="s">
        <v>1508</v>
      </c>
      <c r="P677" s="180" t="s">
        <v>1509</v>
      </c>
      <c r="Q677" s="64" t="s">
        <v>1597</v>
      </c>
      <c r="R677" s="194" t="s">
        <v>1510</v>
      </c>
    </row>
    <row r="678" spans="1:18" ht="15.75" customHeight="1" thickBot="1" x14ac:dyDescent="0.4">
      <c r="A678" s="12"/>
      <c r="B678" s="181"/>
      <c r="C678" s="181"/>
      <c r="D678" s="181"/>
      <c r="E678" s="178"/>
      <c r="F678" s="181"/>
      <c r="G678" s="181"/>
      <c r="H678" s="181"/>
      <c r="I678" s="193"/>
      <c r="J678" s="181"/>
      <c r="K678" s="181"/>
      <c r="L678" s="181"/>
      <c r="M678" s="193"/>
      <c r="N678" s="181"/>
      <c r="O678" s="181"/>
      <c r="P678" s="181"/>
      <c r="Q678" s="195"/>
      <c r="R678" s="196"/>
    </row>
    <row r="679" spans="1:18" ht="15.75" customHeight="1" x14ac:dyDescent="0.35">
      <c r="A679" s="6" t="s">
        <v>2417</v>
      </c>
      <c r="B679" s="2" t="s">
        <v>852</v>
      </c>
      <c r="C679" s="2" t="s">
        <v>852</v>
      </c>
      <c r="D679" s="2" t="s">
        <v>852</v>
      </c>
      <c r="E679" s="197"/>
      <c r="F679" s="2" t="s">
        <v>852</v>
      </c>
      <c r="G679" s="2" t="s">
        <v>852</v>
      </c>
      <c r="H679" s="2" t="s">
        <v>852</v>
      </c>
      <c r="I679" s="197"/>
      <c r="J679" s="2" t="s">
        <v>852</v>
      </c>
      <c r="K679" s="2" t="s">
        <v>852</v>
      </c>
      <c r="L679" s="2" t="s">
        <v>852</v>
      </c>
      <c r="M679" s="197"/>
      <c r="N679" s="2" t="s">
        <v>852</v>
      </c>
      <c r="O679" s="2" t="s">
        <v>852</v>
      </c>
      <c r="P679" s="2" t="s">
        <v>852</v>
      </c>
      <c r="Q679" s="198"/>
      <c r="R679" s="199" t="s">
        <v>852</v>
      </c>
    </row>
    <row r="680" spans="1:18" ht="15.75" customHeight="1" x14ac:dyDescent="0.35">
      <c r="A680" s="6" t="s">
        <v>2160</v>
      </c>
      <c r="B680" s="2">
        <f>+SUM(B73:B79)+SUM(B139:B159)+SUM(B262:B273)+SUM(B366:B368)+SUM(B406:B408)+SUM(B450:B456)+SUM(B512:B513)+SUM(B546:B548)+B596+SUM(B629:B631)</f>
        <v>36227</v>
      </c>
      <c r="C680" s="2">
        <f>+SUM(C73:C79)+SUM(C139:C159)+SUM(C262:C273)+SUM(C366:C368)+SUM(C406:C408)+SUM(C450:C456)+SUM(C512:C513)+SUM(C546:C548)+C596+SUM(C629:C631)</f>
        <v>23309</v>
      </c>
      <c r="D680" s="2">
        <f>+SUM(D73:D79)+SUM(D139:D159)+SUM(D262:D273)+SUM(D366:D368)+SUM(D406:D408)+SUM(D450:D456)+SUM(D512:D513)+SUM(D546:D548)+D596+SUM(D629:D631)</f>
        <v>26678</v>
      </c>
      <c r="E680" s="183">
        <f t="shared" ref="E680:E686" si="91">SUM(B680:D680)</f>
        <v>86214</v>
      </c>
      <c r="F680" s="2">
        <f>+SUM(F73:F79)+SUM(F139:F159)+SUM(F262:F273)+SUM(F366:F368)+SUM(F406:F408)+SUM(F450:F456)+SUM(F512:F513)+SUM(F546:F548)+F596+SUM(F629:F631)</f>
        <v>36222</v>
      </c>
      <c r="G680" s="2">
        <f>+SUM(G73:G79)+SUM(G139:G159)+SUM(G262:G273)+SUM(G366:G368)+SUM(G406:G408)+SUM(G450:G456)+SUM(G512:G513)+SUM(G546:G548)+G596+SUM(G629:G631)</f>
        <v>28735</v>
      </c>
      <c r="H680" s="2">
        <f>+SUM(H73:H79)+SUM(H139:H159)+SUM(H262:H273)+SUM(H366:H368)+SUM(H406:H408)+SUM(H450:H456)+SUM(H512:H513)+SUM(H546:H548)+H596+SUM(H629:H631)</f>
        <v>23461</v>
      </c>
      <c r="I680" s="183">
        <f t="shared" ref="I680:I686" si="92">SUM(F680:H680)</f>
        <v>88418</v>
      </c>
      <c r="J680" s="2">
        <f>+SUM(J73:J79)+SUM(J139:J159)+SUM(J262:J273)+SUM(J366:J368)+SUM(J406:J408)+SUM(J450:J456)+SUM(J512:J513)+SUM(J546:J548)+J596+SUM(J629:J631)</f>
        <v>55416</v>
      </c>
      <c r="K680" s="2">
        <f>+SUM(K73:K79)+SUM(K139:K159)+SUM(K262:K273)+SUM(K366:K368)+SUM(K406:K408)+SUM(K450:K456)+SUM(K512:K513)+SUM(K546:K548)+K596+SUM(K629:K631)</f>
        <v>52905</v>
      </c>
      <c r="L680" s="2">
        <f>+SUM(L73:L79)+SUM(L139:L159)+SUM(L262:L273)+SUM(L366:L368)+SUM(L406:L408)+SUM(L450:L456)+SUM(L512:L513)+SUM(L546:L548)+L596+SUM(L629:L631)</f>
        <v>42362</v>
      </c>
      <c r="M680" s="183">
        <f t="shared" ref="M680:M686" si="93">SUM(J680:L680)</f>
        <v>150683</v>
      </c>
      <c r="N680" s="2">
        <f>+SUM(N73:N79)+SUM(N139:N159)+SUM(N262:N273)+SUM(N366:N368)+SUM(N406:N408)+SUM(N450:N456)+SUM(N512:N513)+SUM(N546:N548)+N596+SUM(N629:N631)</f>
        <v>46372</v>
      </c>
      <c r="O680" s="2">
        <f>+SUM(O73:O79)+SUM(O139:O159)+SUM(O262:O273)+SUM(O366:O368)+SUM(O406:O408)+SUM(O450:O456)+SUM(O512:O513)+SUM(O546:O548)+O596+SUM(O629:O631)</f>
        <v>23784</v>
      </c>
      <c r="P680" s="2">
        <f>+SUM(P73:P79)+SUM(P139:P159)+SUM(P262:P273)+SUM(P366:P368)+SUM(P406:P408)+SUM(P450:P456)+SUM(P512:P513)+SUM(P546:P548)+P596+SUM(P629:P631)</f>
        <v>36504</v>
      </c>
      <c r="Q680" s="183">
        <f t="shared" ref="Q680:Q686" si="94">SUM(N680:P680)</f>
        <v>106660</v>
      </c>
      <c r="R680" s="183">
        <f t="shared" ref="R680:R686" si="95">+E680+I680+M680+Q680</f>
        <v>431975</v>
      </c>
    </row>
    <row r="681" spans="1:18" ht="15.75" customHeight="1" x14ac:dyDescent="0.35">
      <c r="A681" s="6" t="s">
        <v>2161</v>
      </c>
      <c r="B681" s="2">
        <f>+SUM(B80:B84)+SUM(B161:B171)+SUM(B275:B291)+SUM(B370:B371)+B409+SUM(B457:B458)+B514+B549+B597+SUM(B632:B632)</f>
        <v>178</v>
      </c>
      <c r="C681" s="2">
        <f>+SUM(C80:C84)+SUM(C161:C171)+SUM(C275:C291)+SUM(C370:C371)+C409+SUM(C457:C458)+C514+C549+C597+SUM(C632:C632)</f>
        <v>195</v>
      </c>
      <c r="D681" s="2">
        <f>+SUM(D80:D84)+SUM(D161:D171)+SUM(D275:D291)+SUM(D370:D371)+D409+SUM(D457:D458)+D514+D549+D597+SUM(D632:D632)</f>
        <v>12427</v>
      </c>
      <c r="E681" s="183">
        <f t="shared" si="91"/>
        <v>12800</v>
      </c>
      <c r="F681" s="2">
        <f>+SUM(F80:F84)+SUM(F161:F171)+SUM(F275:F291)+SUM(F370:F371)+F409+SUM(F457:F458)+F514+F549+F597+SUM(F632:F632)</f>
        <v>11065</v>
      </c>
      <c r="G681" s="2">
        <f>+SUM(G80:G84)+SUM(G161:G171)+SUM(G275:G291)+SUM(G370:G371)+G409+SUM(G457:G458)+G514+G549+G597+SUM(G632:G632)</f>
        <v>4905</v>
      </c>
      <c r="H681" s="2">
        <f>+SUM(H80:H84)+SUM(H161:H171)+SUM(H275:H291)+SUM(H370:H371)+H409+SUM(H457:H458)+H514+H549+H597+SUM(H632:H632)</f>
        <v>4952</v>
      </c>
      <c r="I681" s="183">
        <f t="shared" si="92"/>
        <v>20922</v>
      </c>
      <c r="J681" s="2">
        <f>+SUM(J80:J84)+SUM(J161:J171)+SUM(J275:J291)+SUM(J370:J371)+J409+SUM(J457:J458)+J514+J549+J597+SUM(J632:J632)</f>
        <v>4943</v>
      </c>
      <c r="K681" s="2">
        <f>+SUM(K80:K84)+SUM(K161:K171)+SUM(K275:K291)+SUM(K370:K371)+K409+SUM(K457:K458)+K514+K549+K597+SUM(K632:K632)</f>
        <v>4350</v>
      </c>
      <c r="L681" s="2">
        <f>+SUM(L80:L84)+SUM(L161:L171)+SUM(L275:L291)+SUM(L370:L371)+L409+SUM(L457:L458)+L514+L549+L597+SUM(L632:L632)</f>
        <v>994</v>
      </c>
      <c r="M681" s="183">
        <f t="shared" si="93"/>
        <v>10287</v>
      </c>
      <c r="N681" s="2">
        <f>+SUM(N80:N84)+SUM(N161:N171)+SUM(N275:N291)+SUM(N370:N371)+N409+SUM(N457:N458)+N514+N549+N597+SUM(N632:N632)</f>
        <v>1894</v>
      </c>
      <c r="O681" s="2">
        <f>+SUM(O80:O84)+SUM(O161:O171)+SUM(O275:O291)+SUM(O370:O371)+O409+SUM(O457:O458)+O514+O549+O597+SUM(O632:O632)</f>
        <v>589</v>
      </c>
      <c r="P681" s="2">
        <f>+SUM(P80:P84)+SUM(P161:P171)+SUM(P275:P291)+SUM(P370:P371)+P409+SUM(P457:P458)+P514+P549+P597+SUM(P632:P632)</f>
        <v>731</v>
      </c>
      <c r="Q681" s="183">
        <f t="shared" si="94"/>
        <v>3214</v>
      </c>
      <c r="R681" s="183">
        <f t="shared" si="95"/>
        <v>47223</v>
      </c>
    </row>
    <row r="682" spans="1:18" ht="15.75" customHeight="1" x14ac:dyDescent="0.35">
      <c r="A682" s="6" t="s">
        <v>2036</v>
      </c>
      <c r="B682" s="2">
        <f>+SUM(B85:B87)+SUM(B172:B175)+SUM(B292:B295)+B372+B410+SUM(B459:B460)+B515+B550+B598+SUM(B633:B634)</f>
        <v>525</v>
      </c>
      <c r="C682" s="2">
        <f>+SUM(C85:C87)+SUM(C172:C175)+SUM(C292:C295)+C372+C410+SUM(C459:C460)+C515+C550+C598+SUM(C633:C634)</f>
        <v>437</v>
      </c>
      <c r="D682" s="2">
        <f>+SUM(D85:D87)+SUM(D172:D175)+SUM(D292:D295)+D372+D410+SUM(D459:D460)+D515+D550+D598+SUM(D633:D634)</f>
        <v>1650</v>
      </c>
      <c r="E682" s="183">
        <f t="shared" si="91"/>
        <v>2612</v>
      </c>
      <c r="F682" s="2">
        <f>+SUM(F85:F87)+SUM(F172:F175)+SUM(F292:F295)+F372+F410+SUM(F459:F460)+F515+F550+F598+SUM(F633:F634)</f>
        <v>960</v>
      </c>
      <c r="G682" s="2">
        <f>+SUM(G85:G87)+SUM(G172:G175)+SUM(G292:G295)+G372+G410+SUM(G459:G460)+G515+G550+G598+SUM(G633:G634)</f>
        <v>3625</v>
      </c>
      <c r="H682" s="2">
        <f>+SUM(H85:H87)+SUM(H172:H175)+SUM(H292:H295)+H372+H410+SUM(H459:H460)+H515+H550+H598+SUM(H633:H634)</f>
        <v>2539</v>
      </c>
      <c r="I682" s="183">
        <f t="shared" si="92"/>
        <v>7124</v>
      </c>
      <c r="J682" s="2">
        <f>+SUM(J85:J87)+SUM(J172:J175)+SUM(J292:J295)+J372+J410+SUM(J459:J460)+J515+J550+J598+SUM(J633:J634)</f>
        <v>121</v>
      </c>
      <c r="K682" s="2">
        <f>+SUM(K85:K87)+SUM(K172:K175)+SUM(K292:K295)+K372+K410+SUM(K459:K460)+K515+K550+K598+SUM(K633:K634)</f>
        <v>4857</v>
      </c>
      <c r="L682" s="2">
        <f>+SUM(L85:L87)+SUM(L172:L175)+SUM(L292:L295)+L372+L410+SUM(L459:L460)+L515+L550+L598+SUM(L633:L634)</f>
        <v>3068</v>
      </c>
      <c r="M682" s="183">
        <f t="shared" si="93"/>
        <v>8046</v>
      </c>
      <c r="N682" s="2">
        <f>+SUM(N85:N87)+SUM(N172:N175)+SUM(N292:N295)+N372+N410+SUM(N459:N460)+N515+N550+N598+SUM(N633:N634)</f>
        <v>1921</v>
      </c>
      <c r="O682" s="2">
        <f>+SUM(O85:O87)+SUM(O172:O175)+SUM(O292:O295)+O372+O410+SUM(O459:O460)+O515+O550+O598+SUM(O633:O634)</f>
        <v>3246</v>
      </c>
      <c r="P682" s="2">
        <f>+SUM(P85:P87)+SUM(P172:P175)+SUM(P292:P295)+P372+P410+SUM(P459:P460)+P515+P550+P598+SUM(P633:P634)</f>
        <v>6116</v>
      </c>
      <c r="Q682" s="183">
        <f t="shared" si="94"/>
        <v>11283</v>
      </c>
      <c r="R682" s="183">
        <f t="shared" si="95"/>
        <v>29065</v>
      </c>
    </row>
    <row r="683" spans="1:18" ht="15.75" customHeight="1" x14ac:dyDescent="0.35">
      <c r="A683" s="6" t="s">
        <v>2380</v>
      </c>
      <c r="B683" s="2">
        <f t="shared" ref="B683:D684" si="96">+B239</f>
        <v>0</v>
      </c>
      <c r="C683" s="2">
        <f t="shared" si="96"/>
        <v>0</v>
      </c>
      <c r="D683" s="2">
        <f t="shared" si="96"/>
        <v>0</v>
      </c>
      <c r="E683" s="183">
        <f t="shared" si="91"/>
        <v>0</v>
      </c>
      <c r="F683" s="2">
        <f t="shared" ref="F683:H684" si="97">+F239</f>
        <v>0</v>
      </c>
      <c r="G683" s="2">
        <f t="shared" si="97"/>
        <v>0</v>
      </c>
      <c r="H683" s="2">
        <f t="shared" si="97"/>
        <v>0</v>
      </c>
      <c r="I683" s="183">
        <f t="shared" si="92"/>
        <v>0</v>
      </c>
      <c r="J683" s="2">
        <f t="shared" ref="J683:L684" si="98">+J239</f>
        <v>0</v>
      </c>
      <c r="K683" s="2">
        <f t="shared" si="98"/>
        <v>0</v>
      </c>
      <c r="L683" s="2">
        <f t="shared" si="98"/>
        <v>0</v>
      </c>
      <c r="M683" s="183">
        <f t="shared" si="93"/>
        <v>0</v>
      </c>
      <c r="N683" s="2">
        <f t="shared" ref="N683:P684" si="99">+N239</f>
        <v>0</v>
      </c>
      <c r="O683" s="2">
        <f t="shared" si="99"/>
        <v>0</v>
      </c>
      <c r="P683" s="2">
        <f t="shared" si="99"/>
        <v>0</v>
      </c>
      <c r="Q683" s="183">
        <f t="shared" si="94"/>
        <v>0</v>
      </c>
      <c r="R683" s="183">
        <f t="shared" si="95"/>
        <v>0</v>
      </c>
    </row>
    <row r="684" spans="1:18" ht="15.75" customHeight="1" x14ac:dyDescent="0.35">
      <c r="A684" s="6" t="s">
        <v>1884</v>
      </c>
      <c r="B684" s="2">
        <f t="shared" si="96"/>
        <v>56</v>
      </c>
      <c r="C684" s="2">
        <f t="shared" si="96"/>
        <v>54</v>
      </c>
      <c r="D684" s="2">
        <f t="shared" si="96"/>
        <v>90</v>
      </c>
      <c r="E684" s="183">
        <f t="shared" si="91"/>
        <v>200</v>
      </c>
      <c r="F684" s="2">
        <f t="shared" si="97"/>
        <v>99</v>
      </c>
      <c r="G684" s="2">
        <f t="shared" si="97"/>
        <v>179</v>
      </c>
      <c r="H684" s="2">
        <f t="shared" si="97"/>
        <v>150</v>
      </c>
      <c r="I684" s="183">
        <f t="shared" si="92"/>
        <v>428</v>
      </c>
      <c r="J684" s="2">
        <f t="shared" si="98"/>
        <v>137</v>
      </c>
      <c r="K684" s="2">
        <f t="shared" si="98"/>
        <v>192</v>
      </c>
      <c r="L684" s="2">
        <f t="shared" si="98"/>
        <v>186</v>
      </c>
      <c r="M684" s="183">
        <f t="shared" si="93"/>
        <v>515</v>
      </c>
      <c r="N684" s="2">
        <f t="shared" si="99"/>
        <v>143</v>
      </c>
      <c r="O684" s="2">
        <f t="shared" si="99"/>
        <v>106</v>
      </c>
      <c r="P684" s="2">
        <f t="shared" si="99"/>
        <v>40</v>
      </c>
      <c r="Q684" s="183">
        <f t="shared" si="94"/>
        <v>289</v>
      </c>
      <c r="R684" s="183">
        <f t="shared" si="95"/>
        <v>1432</v>
      </c>
    </row>
    <row r="685" spans="1:18" ht="15.75" customHeight="1" thickBot="1" x14ac:dyDescent="0.4">
      <c r="A685" s="6" t="s">
        <v>2164</v>
      </c>
      <c r="B685" s="2">
        <f>+B88+B373+B411+B461+B516+B551+B599+B635</f>
        <v>0</v>
      </c>
      <c r="C685" s="2">
        <f>+C88+C373+C411+C461+C516+C551+C599+C635</f>
        <v>0</v>
      </c>
      <c r="D685" s="2">
        <f>+D88+D373+D411+D461+D516+D551+D599+D635</f>
        <v>0</v>
      </c>
      <c r="E685" s="183">
        <f t="shared" si="91"/>
        <v>0</v>
      </c>
      <c r="F685" s="2">
        <f>+F88+F373+F411+F461+F516+F551+F599+F635</f>
        <v>0</v>
      </c>
      <c r="G685" s="2">
        <f>+G88+G373+G411+G461+G516+G551+G599+G635</f>
        <v>0</v>
      </c>
      <c r="H685" s="2">
        <f>+H88+H373+H411+H461+H516+H551+H599+H635</f>
        <v>0</v>
      </c>
      <c r="I685" s="183">
        <f t="shared" si="92"/>
        <v>0</v>
      </c>
      <c r="J685" s="2">
        <f>+J88+J373+J411+J461+J516+J551+J599+J635</f>
        <v>0</v>
      </c>
      <c r="K685" s="2">
        <f>+K88+K373+K411+K461+K516+K551+K599+K635</f>
        <v>0</v>
      </c>
      <c r="L685" s="2">
        <f>+L88+L373+L411+L461+L516+L551+L599+L635</f>
        <v>0</v>
      </c>
      <c r="M685" s="183">
        <f t="shared" si="93"/>
        <v>0</v>
      </c>
      <c r="N685" s="2">
        <f>+N88+N373+N411+N461+N516+N551+N599+N635</f>
        <v>0</v>
      </c>
      <c r="O685" s="2">
        <f>+O88+O373+O411+O461+O516+O551+O599+O635</f>
        <v>0</v>
      </c>
      <c r="P685" s="2">
        <f>+P88+P373+P411+P461+P516+P551+P599+P635</f>
        <v>0</v>
      </c>
      <c r="Q685" s="183">
        <f t="shared" si="94"/>
        <v>0</v>
      </c>
      <c r="R685" s="183">
        <f t="shared" si="95"/>
        <v>0</v>
      </c>
    </row>
    <row r="686" spans="1:18" ht="15.75" customHeight="1" thickBot="1" x14ac:dyDescent="0.4">
      <c r="A686" s="41" t="s">
        <v>1218</v>
      </c>
      <c r="B686" s="188">
        <f>SUM(B679:B685)</f>
        <v>36986</v>
      </c>
      <c r="C686" s="189">
        <f>SUM(C679:C685)</f>
        <v>23995</v>
      </c>
      <c r="D686" s="189">
        <f>SUM(D679:D685)</f>
        <v>40845</v>
      </c>
      <c r="E686" s="56">
        <f t="shared" si="91"/>
        <v>101826</v>
      </c>
      <c r="F686" s="189">
        <f>SUM(F679:F685)</f>
        <v>48346</v>
      </c>
      <c r="G686" s="189">
        <f>SUM(G679:G685)</f>
        <v>37444</v>
      </c>
      <c r="H686" s="189">
        <f>SUM(H679:H685)</f>
        <v>31102</v>
      </c>
      <c r="I686" s="56">
        <f t="shared" si="92"/>
        <v>116892</v>
      </c>
      <c r="J686" s="189">
        <f>SUM(J679:J685)</f>
        <v>60617</v>
      </c>
      <c r="K686" s="189">
        <f>SUM(K679:K685)</f>
        <v>62304</v>
      </c>
      <c r="L686" s="189">
        <f>SUM(L679:L685)</f>
        <v>46610</v>
      </c>
      <c r="M686" s="56">
        <f t="shared" si="93"/>
        <v>169531</v>
      </c>
      <c r="N686" s="189">
        <f>SUM(N679:N685)</f>
        <v>50330</v>
      </c>
      <c r="O686" s="189">
        <f>SUM(O679:O685)</f>
        <v>27725</v>
      </c>
      <c r="P686" s="189">
        <f>SUM(P679:P685)</f>
        <v>43391</v>
      </c>
      <c r="Q686" s="56">
        <f t="shared" si="94"/>
        <v>121446</v>
      </c>
      <c r="R686" s="56">
        <f t="shared" si="95"/>
        <v>509695</v>
      </c>
    </row>
    <row r="687" spans="1:18" ht="15.75" customHeight="1" x14ac:dyDescent="0.35">
      <c r="A687" s="6" t="s">
        <v>1172</v>
      </c>
      <c r="B687" s="2"/>
      <c r="C687" s="2"/>
      <c r="D687" s="2"/>
      <c r="E687" s="183" t="s">
        <v>852</v>
      </c>
      <c r="F687" s="2"/>
      <c r="G687" s="2"/>
      <c r="H687" s="2"/>
      <c r="I687" s="183" t="s">
        <v>852</v>
      </c>
      <c r="J687" s="2"/>
      <c r="K687" s="2"/>
      <c r="L687" s="2"/>
      <c r="M687" s="183" t="s">
        <v>852</v>
      </c>
      <c r="N687" s="2"/>
      <c r="O687" s="2"/>
      <c r="P687" s="2"/>
      <c r="Q687" s="183" t="s">
        <v>852</v>
      </c>
      <c r="R687" s="183" t="s">
        <v>852</v>
      </c>
    </row>
    <row r="688" spans="1:18" ht="15.75" customHeight="1" x14ac:dyDescent="0.35">
      <c r="A688" s="6" t="s">
        <v>1658</v>
      </c>
      <c r="B688" s="2">
        <f>SUM(B44:B44)+SUM(B179:B179)+SUM(B91:B91)+SUM(B299:B299)</f>
        <v>0</v>
      </c>
      <c r="C688" s="2">
        <f>SUM(C44:C44)+SUM(C179:C179)+SUM(C91:C91)+SUM(C299:C299)</f>
        <v>0</v>
      </c>
      <c r="D688" s="2">
        <f>SUM(D44:D44)+SUM(D179:D179)+SUM(D91:D91)+SUM(D299:D299)</f>
        <v>0</v>
      </c>
      <c r="E688" s="183">
        <f>SUM(B688:D688)</f>
        <v>0</v>
      </c>
      <c r="F688" s="2">
        <f>SUM(F44:F44)+SUM(F179:F179)+SUM(F91:F91)+SUM(F299:F299)</f>
        <v>0</v>
      </c>
      <c r="G688" s="2">
        <f>SUM(G44:G44)+SUM(G179:G179)+SUM(G91:G91)+SUM(G299:G299)</f>
        <v>0</v>
      </c>
      <c r="H688" s="2">
        <f>SUM(H44:H44)+SUM(H179:H179)+SUM(H91:H91)+SUM(H299:H299)</f>
        <v>0</v>
      </c>
      <c r="I688" s="183">
        <f>SUM(F688:H688)</f>
        <v>0</v>
      </c>
      <c r="J688" s="2">
        <f>SUM(J44:J44)+SUM(J179:J179)+SUM(J91:J91)+SUM(J299:J299)</f>
        <v>0</v>
      </c>
      <c r="K688" s="2">
        <f>SUM(K44:K44)+SUM(K179:K179)+SUM(K91:K91)+SUM(K299:K299)</f>
        <v>0</v>
      </c>
      <c r="L688" s="2">
        <f>SUM(L44:L44)+SUM(L179:L179)+SUM(L91:L91)+SUM(L299:L299)</f>
        <v>0</v>
      </c>
      <c r="M688" s="183">
        <f>SUM(J688:L688)</f>
        <v>0</v>
      </c>
      <c r="N688" s="2">
        <f>SUM(N44:N44)+SUM(N179:N179)+SUM(N91:N91)+SUM(N299:N299)</f>
        <v>0</v>
      </c>
      <c r="O688" s="2">
        <f>SUM(O44:O44)+SUM(O179:O179)+SUM(O91:O91)+SUM(O299:O299)</f>
        <v>0</v>
      </c>
      <c r="P688" s="2">
        <f>SUM(P44:P44)+SUM(P179:P179)+SUM(P91:P91)+SUM(P299:P299)</f>
        <v>0</v>
      </c>
      <c r="Q688" s="183">
        <f>SUM(N688:P688)</f>
        <v>0</v>
      </c>
      <c r="R688" s="183">
        <f>+E688+I688+M688+Q688</f>
        <v>0</v>
      </c>
    </row>
    <row r="689" spans="1:18" ht="15.75" customHeight="1" x14ac:dyDescent="0.35">
      <c r="A689" s="6" t="s">
        <v>2409</v>
      </c>
      <c r="B689" s="2">
        <f>+SUM(B93:B94)+B180+SUM(B300:B308)+B377+SUM(B414:B416)+SUM(B464:B465)+B519+B554+B602+B638</f>
        <v>10562</v>
      </c>
      <c r="C689" s="2">
        <f>+SUM(C93:C94)+C180+SUM(C300:C308)+C377+SUM(C414:C416)+SUM(C464:C465)+C519+C554+C602+C638</f>
        <v>16199</v>
      </c>
      <c r="D689" s="2">
        <f>+SUM(D93:D94)+D180+SUM(D300:D308)+D377+SUM(D414:D416)+SUM(D464:D465)+D519+D554+D602+D638</f>
        <v>37867</v>
      </c>
      <c r="E689" s="183">
        <f>SUM(B689:D689)</f>
        <v>64628</v>
      </c>
      <c r="F689" s="2">
        <f>+SUM(F93:F94)+F180+SUM(F300:F308)+F377+SUM(F414:F416)+SUM(F464:F465)+F519+F554+F602+F638</f>
        <v>59336</v>
      </c>
      <c r="G689" s="2">
        <f>+SUM(G93:G94)+G180+SUM(G300:G308)+G377+SUM(G414:G416)+SUM(G464:G465)+G519+G554+G602+G638</f>
        <v>52656</v>
      </c>
      <c r="H689" s="2">
        <f>+SUM(H93:H94)+H180+SUM(H300:H308)+H377+SUM(H414:H416)+SUM(H464:H465)+H519+H554+H602+H638</f>
        <v>52095</v>
      </c>
      <c r="I689" s="183">
        <f>SUM(F689:H689)</f>
        <v>164087</v>
      </c>
      <c r="J689" s="2">
        <f>+SUM(J93:J94)+J180+SUM(J300:J308)+J377+SUM(J414:J416)+SUM(J464:J465)+J519+J554+J602+J638</f>
        <v>54211</v>
      </c>
      <c r="K689" s="2">
        <f>+SUM(K93:K94)+K180+SUM(K300:K308)+K377+SUM(K414:K416)+SUM(K464:K465)+K519+K554+K602+K638</f>
        <v>41510</v>
      </c>
      <c r="L689" s="2">
        <f>+SUM(L93:L94)+L180+SUM(L300:L308)+L377+SUM(L414:L416)+SUM(L464:L465)+L519+L554+L602+L638</f>
        <v>22228</v>
      </c>
      <c r="M689" s="183">
        <f>SUM(J689:L689)</f>
        <v>117949</v>
      </c>
      <c r="N689" s="2">
        <f>+SUM(N93:N94)+N180+SUM(N300:N308)+N377+SUM(N414:N416)+SUM(N464:N465)+N519+N554+N602+N638</f>
        <v>13886</v>
      </c>
      <c r="O689" s="2">
        <f>+SUM(O93:O94)+O180+SUM(O300:O308)+O377+SUM(O414:O416)+SUM(O464:O465)+O519+O554+O602+O638</f>
        <v>1981</v>
      </c>
      <c r="P689" s="2">
        <f>+SUM(P93:P94)+P180+SUM(P300:P308)+P377+SUM(P414:P416)+SUM(P464:P465)+P519+P554+P602+P638</f>
        <v>7039</v>
      </c>
      <c r="Q689" s="183">
        <f>SUM(N689:P689)</f>
        <v>22906</v>
      </c>
      <c r="R689" s="183">
        <f>+E689+I689+M689+Q689</f>
        <v>369570</v>
      </c>
    </row>
    <row r="690" spans="1:18" ht="15.75" customHeight="1" x14ac:dyDescent="0.35">
      <c r="A690" s="6" t="s">
        <v>2165</v>
      </c>
      <c r="B690" s="2">
        <f>+B95+B378+B418+B466+B520+B555+B603+B639</f>
        <v>0</v>
      </c>
      <c r="C690" s="2">
        <f>+C95+C378+C418+C466+C520+C555+C603+C639</f>
        <v>0</v>
      </c>
      <c r="D690" s="2">
        <f>+D95+D378+D418+D466+D520+D555+D603+D639</f>
        <v>0</v>
      </c>
      <c r="E690" s="183">
        <f>SUM(B690:D690)</f>
        <v>0</v>
      </c>
      <c r="F690" s="2">
        <f>+F95+F378+F418+F466+F520+F555+F603+F639</f>
        <v>0</v>
      </c>
      <c r="G690" s="2">
        <f>+G95+G378+G418+G466+G520+G555+G603+G639</f>
        <v>0</v>
      </c>
      <c r="H690" s="2">
        <f>+H95+H378+H418+H466+H520+H555+H603+H639</f>
        <v>0</v>
      </c>
      <c r="I690" s="183">
        <f>SUM(F690:H690)</f>
        <v>0</v>
      </c>
      <c r="J690" s="2">
        <f>+J95+J378+J418+J466+J520+J555+J603+J639</f>
        <v>0</v>
      </c>
      <c r="K690" s="2">
        <f>+K95+K378+K418+K466+K520+K555+K603+K639</f>
        <v>0</v>
      </c>
      <c r="L690" s="2">
        <f>+L95+L378+L418+L466+L520+L555+L603+L639</f>
        <v>0</v>
      </c>
      <c r="M690" s="183">
        <f>SUM(J690:L690)</f>
        <v>0</v>
      </c>
      <c r="N690" s="2">
        <f>+N95+N378+N418+N466+N520+N555+N603+N639</f>
        <v>0</v>
      </c>
      <c r="O690" s="2">
        <f>+O95+O378+O418+O466+O520+O555+O603+O639</f>
        <v>0</v>
      </c>
      <c r="P690" s="2">
        <f>+P95+P378+P418+P466+P520+P555+P603+P639</f>
        <v>0</v>
      </c>
      <c r="Q690" s="183">
        <f>SUM(N690:P690)</f>
        <v>0</v>
      </c>
      <c r="R690" s="183">
        <f>+E690+I690+M690+Q690</f>
        <v>0</v>
      </c>
    </row>
    <row r="691" spans="1:18" ht="15.75" customHeight="1" thickBot="1" x14ac:dyDescent="0.4">
      <c r="A691" s="6" t="s">
        <v>2160</v>
      </c>
      <c r="B691" s="2">
        <f>+B311</f>
        <v>0</v>
      </c>
      <c r="C691" s="2">
        <f>+C311</f>
        <v>0</v>
      </c>
      <c r="D691" s="2">
        <f>+D311</f>
        <v>0</v>
      </c>
      <c r="E691" s="183">
        <f>SUM(B691:D691)</f>
        <v>0</v>
      </c>
      <c r="F691" s="2">
        <f>+F311</f>
        <v>0</v>
      </c>
      <c r="G691" s="2">
        <f>+G311</f>
        <v>0</v>
      </c>
      <c r="H691" s="2">
        <f>+H311</f>
        <v>0</v>
      </c>
      <c r="I691" s="183">
        <f>SUM(F691:H691)</f>
        <v>0</v>
      </c>
      <c r="J691" s="2">
        <f>+J311</f>
        <v>0</v>
      </c>
      <c r="K691" s="2">
        <f>+K311</f>
        <v>0</v>
      </c>
      <c r="L691" s="2">
        <f>+L311</f>
        <v>0</v>
      </c>
      <c r="M691" s="183">
        <f>SUM(J691:L691)</f>
        <v>0</v>
      </c>
      <c r="N691" s="2">
        <f>+N311</f>
        <v>0</v>
      </c>
      <c r="O691" s="2">
        <f>+O311</f>
        <v>0</v>
      </c>
      <c r="P691" s="2">
        <f>+P311</f>
        <v>0</v>
      </c>
      <c r="Q691" s="183">
        <f>SUM(N691:P691)</f>
        <v>0</v>
      </c>
      <c r="R691" s="183">
        <f>+E691+I691+M691+Q691</f>
        <v>0</v>
      </c>
    </row>
    <row r="692" spans="1:18" ht="15.75" customHeight="1" thickBot="1" x14ac:dyDescent="0.4">
      <c r="A692" s="41" t="s">
        <v>1219</v>
      </c>
      <c r="B692" s="188">
        <f>SUM(B687:B691)</f>
        <v>10562</v>
      </c>
      <c r="C692" s="189">
        <f>SUM(C687:C691)</f>
        <v>16199</v>
      </c>
      <c r="D692" s="189">
        <f>SUM(D687:D691)</f>
        <v>37867</v>
      </c>
      <c r="E692" s="56">
        <f>SUM(B692:D692)</f>
        <v>64628</v>
      </c>
      <c r="F692" s="189">
        <f>SUM(F687:F691)</f>
        <v>59336</v>
      </c>
      <c r="G692" s="189">
        <f>SUM(G687:G691)</f>
        <v>52656</v>
      </c>
      <c r="H692" s="189">
        <f>SUM(H687:H691)</f>
        <v>52095</v>
      </c>
      <c r="I692" s="56">
        <f>SUM(F692:H692)</f>
        <v>164087</v>
      </c>
      <c r="J692" s="189">
        <f>SUM(J687:J691)</f>
        <v>54211</v>
      </c>
      <c r="K692" s="189">
        <f>SUM(K687:K691)</f>
        <v>41510</v>
      </c>
      <c r="L692" s="189">
        <f>SUM(L687:L691)</f>
        <v>22228</v>
      </c>
      <c r="M692" s="56">
        <f>SUM(J692:L692)</f>
        <v>117949</v>
      </c>
      <c r="N692" s="189">
        <f>SUM(N687:N691)</f>
        <v>13886</v>
      </c>
      <c r="O692" s="189">
        <f>SUM(O687:O691)</f>
        <v>1981</v>
      </c>
      <c r="P692" s="189">
        <f>SUM(P687:P691)</f>
        <v>7039</v>
      </c>
      <c r="Q692" s="56">
        <f>SUM(N692:P692)</f>
        <v>22906</v>
      </c>
      <c r="R692" s="56">
        <f>+E692+I692+M692+Q692</f>
        <v>369570</v>
      </c>
    </row>
    <row r="693" spans="1:18" ht="15.75" customHeight="1" x14ac:dyDescent="0.35">
      <c r="A693" s="6" t="s">
        <v>2166</v>
      </c>
      <c r="B693" s="2"/>
      <c r="C693" s="2"/>
      <c r="D693" s="2"/>
      <c r="E693" s="183" t="s">
        <v>852</v>
      </c>
      <c r="F693" s="2"/>
      <c r="G693" s="2"/>
      <c r="H693" s="2"/>
      <c r="I693" s="183" t="s">
        <v>852</v>
      </c>
      <c r="J693" s="2"/>
      <c r="K693" s="2"/>
      <c r="L693" s="2"/>
      <c r="M693" s="183" t="s">
        <v>852</v>
      </c>
      <c r="N693" s="2"/>
      <c r="O693" s="2"/>
      <c r="P693" s="2"/>
      <c r="Q693" s="183" t="s">
        <v>852</v>
      </c>
      <c r="R693" s="183" t="s">
        <v>852</v>
      </c>
    </row>
    <row r="694" spans="1:18" ht="15.75" customHeight="1" x14ac:dyDescent="0.35">
      <c r="A694" s="6" t="s">
        <v>1245</v>
      </c>
      <c r="B694" s="2">
        <f>+B98+B184+SUM(B314:B316)+B381+B421+B469+B523+SUM(B558:B559)+B606+SUM(B642:B643)</f>
        <v>4361</v>
      </c>
      <c r="C694" s="2">
        <f>+C98+C184+SUM(C314:C316)+C381+C421+C469+C523+SUM(C558:C559)+C606+SUM(C642:C643)</f>
        <v>7071</v>
      </c>
      <c r="D694" s="2">
        <f>+D98+D184+SUM(D314:D316)+D381+D421+D469+D523+SUM(D558:D559)+D606+SUM(D642:D643)</f>
        <v>13431</v>
      </c>
      <c r="E694" s="183">
        <f>SUM(B694:D694)</f>
        <v>24863</v>
      </c>
      <c r="F694" s="2">
        <f>+F98+F184+SUM(F314:F316)+F381+F421+F469+F523+SUM(F558:F559)+F606+SUM(F642:F643)</f>
        <v>13250</v>
      </c>
      <c r="G694" s="2">
        <f>+G98+G184+SUM(G314:G316)+G381+G421+G469+G523+SUM(G558:G559)+G606+SUM(G642:G643)</f>
        <v>15022</v>
      </c>
      <c r="H694" s="2">
        <f>+H98+H184+SUM(H314:H316)+H381+H421+H469+H523+SUM(H558:H559)+H606+SUM(H642:H643)</f>
        <v>13909</v>
      </c>
      <c r="I694" s="183">
        <f>SUM(F694:H694)</f>
        <v>42181</v>
      </c>
      <c r="J694" s="2">
        <f>+J98+J184+SUM(J314:J316)+J381+J421+J469+J523+SUM(J558:J559)+J606+SUM(J642:J643)</f>
        <v>11092</v>
      </c>
      <c r="K694" s="2">
        <f>+K98+K184+SUM(K314:K316)+K381+K421+K469+K523+SUM(K558:K559)+K606+SUM(K642:K643)</f>
        <v>11864</v>
      </c>
      <c r="L694" s="2">
        <f>+L98+L184+SUM(L314:L316)+L381+L421+L469+L523+SUM(L558:L559)+L606+SUM(L642:L643)</f>
        <v>7574</v>
      </c>
      <c r="M694" s="183">
        <f>SUM(J694:L694)</f>
        <v>30530</v>
      </c>
      <c r="N694" s="2">
        <f>+N98+N184+SUM(N314:N316)+N381+N421+N469+N523+SUM(N558:N559)+N606+SUM(N642:N643)</f>
        <v>3552</v>
      </c>
      <c r="O694" s="2">
        <f>+O98+O184+SUM(O314:O316)+O381+O421+O469+O523+SUM(O558:O559)+O606+SUM(O642:O643)</f>
        <v>1193</v>
      </c>
      <c r="P694" s="2">
        <f>+P98+P184+SUM(P314:P316)+P381+P421+P469+P523+SUM(P558:P559)+P606+SUM(P642:P643)</f>
        <v>2603</v>
      </c>
      <c r="Q694" s="183">
        <f>SUM(N694:P694)</f>
        <v>7348</v>
      </c>
      <c r="R694" s="183">
        <f>+E694+I694+M694+Q694</f>
        <v>104922</v>
      </c>
    </row>
    <row r="695" spans="1:18" ht="15.75" customHeight="1" thickBot="1" x14ac:dyDescent="0.4">
      <c r="A695" s="6" t="s">
        <v>1711</v>
      </c>
      <c r="B695" s="2">
        <f>+SUM(B100:B106)+SUM(B185:B214)+SUM(B317:B329)+B354+B382+B422+B470+B524+B560+B607+SUM(B644:B646)</f>
        <v>8450</v>
      </c>
      <c r="C695" s="2">
        <f>+SUM(C100:C106)+SUM(C185:C214)+SUM(C317:C329)+C354+C382+C422+C470+C524+C560+C607+SUM(C644:C646)</f>
        <v>15587</v>
      </c>
      <c r="D695" s="2">
        <f>+SUM(D100:D106)+SUM(D185:D214)+SUM(D317:D329)+D354+D382+D422+D470+D524+D560+D607+SUM(D644:D646)</f>
        <v>14021</v>
      </c>
      <c r="E695" s="183">
        <f>SUM(B695:D695)</f>
        <v>38058</v>
      </c>
      <c r="F695" s="2">
        <f>+SUM(F100:F106)+SUM(F185:F214)+SUM(F317:F329)+F354+F382+F422+F470+F524+F560+F607+SUM(F644:F646)</f>
        <v>4048</v>
      </c>
      <c r="G695" s="2">
        <f>+SUM(G100:G106)+SUM(G185:G214)+SUM(G317:G329)+G354+G382+G422+G470+G524+G560+G607+SUM(G644:G646)</f>
        <v>19786</v>
      </c>
      <c r="H695" s="2">
        <f>+SUM(H100:H106)+SUM(H185:H214)+SUM(H317:H329)+H354+H382+H422+H470+H524+H560+H607+SUM(H644:H646)</f>
        <v>21006</v>
      </c>
      <c r="I695" s="183">
        <f>SUM(F695:H695)</f>
        <v>44840</v>
      </c>
      <c r="J695" s="2">
        <f>+SUM(J100:J106)+SUM(J185:J214)+SUM(J317:J329)+J354+J382+J422+J470+J524+J560+J607+SUM(J644:J646)</f>
        <v>6186</v>
      </c>
      <c r="K695" s="2">
        <f>+SUM(K100:K106)+SUM(K185:K214)+SUM(K317:K329)+K354+K382+K422+K470+K524+K560+K607+SUM(K644:K646)</f>
        <v>9628</v>
      </c>
      <c r="L695" s="2">
        <f>+SUM(L100:L106)+SUM(L185:L214)+SUM(L317:L329)+L354+L382+L422+L470+L524+L560+L607+SUM(L644:L646)</f>
        <v>12640</v>
      </c>
      <c r="M695" s="183">
        <f>SUM(J695:L695)</f>
        <v>28454</v>
      </c>
      <c r="N695" s="2">
        <f>+SUM(N100:N106)+SUM(N185:N214)+SUM(N317:N329)+N354+N382+N422+N470+N524+N560+N607+SUM(N644:N646)</f>
        <v>8096</v>
      </c>
      <c r="O695" s="2">
        <f>+SUM(O100:O106)+SUM(O185:O214)+SUM(O317:O329)+O354+O382+O422+O470+O524+O560+O607+SUM(O644:O646)</f>
        <v>4079</v>
      </c>
      <c r="P695" s="2">
        <f>+SUM(P100:P106)+SUM(P185:P214)+SUM(P317:P329)+P354+P382+P422+P470+P524+P560+P607+SUM(P644:P646)</f>
        <v>5090</v>
      </c>
      <c r="Q695" s="183">
        <f>SUM(N695:P695)</f>
        <v>17265</v>
      </c>
      <c r="R695" s="183">
        <f>+E695+I695+M695+Q695</f>
        <v>128617</v>
      </c>
    </row>
    <row r="696" spans="1:18" ht="15.75" customHeight="1" thickBot="1" x14ac:dyDescent="0.4">
      <c r="A696" s="41" t="s">
        <v>1220</v>
      </c>
      <c r="B696" s="188">
        <f>SUM(B693:B695)</f>
        <v>12811</v>
      </c>
      <c r="C696" s="189">
        <f>SUM(C693:C695)</f>
        <v>22658</v>
      </c>
      <c r="D696" s="189">
        <f>SUM(D693:D695)</f>
        <v>27452</v>
      </c>
      <c r="E696" s="56">
        <f>SUM(B696:D696)</f>
        <v>62921</v>
      </c>
      <c r="F696" s="189">
        <f>SUM(F693:F695)</f>
        <v>17298</v>
      </c>
      <c r="G696" s="189">
        <f>SUM(G693:G695)</f>
        <v>34808</v>
      </c>
      <c r="H696" s="189">
        <f>SUM(H693:H695)</f>
        <v>34915</v>
      </c>
      <c r="I696" s="56">
        <f>SUM(F696:H696)</f>
        <v>87021</v>
      </c>
      <c r="J696" s="189">
        <f>SUM(J693:J695)</f>
        <v>17278</v>
      </c>
      <c r="K696" s="189">
        <f>SUM(K693:K695)</f>
        <v>21492</v>
      </c>
      <c r="L696" s="189">
        <f>SUM(L693:L695)</f>
        <v>20214</v>
      </c>
      <c r="M696" s="56">
        <f>SUM(J696:L696)</f>
        <v>58984</v>
      </c>
      <c r="N696" s="189">
        <f>SUM(N693:N695)</f>
        <v>11648</v>
      </c>
      <c r="O696" s="189">
        <f>SUM(O693:O695)</f>
        <v>5272</v>
      </c>
      <c r="P696" s="189">
        <f>SUM(P693:P695)</f>
        <v>7693</v>
      </c>
      <c r="Q696" s="56">
        <f>SUM(N696:P696)</f>
        <v>24613</v>
      </c>
      <c r="R696" s="56">
        <f>+E696+I696+M696+Q696</f>
        <v>233539</v>
      </c>
    </row>
    <row r="697" spans="1:18" ht="15.75" customHeight="1" x14ac:dyDescent="0.35">
      <c r="A697" s="6" t="s">
        <v>1712</v>
      </c>
      <c r="B697" s="2"/>
      <c r="C697" s="2"/>
      <c r="D697" s="2"/>
      <c r="E697" s="183" t="s">
        <v>852</v>
      </c>
      <c r="F697" s="2"/>
      <c r="G697" s="2"/>
      <c r="H697" s="2"/>
      <c r="I697" s="183" t="s">
        <v>852</v>
      </c>
      <c r="J697" s="2"/>
      <c r="K697" s="2"/>
      <c r="L697" s="2"/>
      <c r="M697" s="183" t="s">
        <v>852</v>
      </c>
      <c r="N697" s="2"/>
      <c r="O697" s="2"/>
      <c r="P697" s="2"/>
      <c r="Q697" s="183" t="s">
        <v>852</v>
      </c>
      <c r="R697" s="183" t="s">
        <v>852</v>
      </c>
    </row>
    <row r="698" spans="1:18" ht="15.75" customHeight="1" x14ac:dyDescent="0.35">
      <c r="A698" s="6" t="s">
        <v>556</v>
      </c>
      <c r="B698" s="2">
        <f>+B54+SUM(B109:B117)+SUM(B217:B222)+SUM(B332:B333)+SUM(B385:B386)+SUM(B425:B425)+SUM(B473:B477)+SUM(B563:B563)+B610+SUM(B649:B651)</f>
        <v>7284</v>
      </c>
      <c r="C698" s="2">
        <f>+C54+SUM(C109:C117)+SUM(C217:C222)+SUM(C332:C333)+SUM(C385:C386)+SUM(C425:C425)+SUM(C473:C477)+SUM(C563:C563)+C610+SUM(C649:C651)</f>
        <v>6774</v>
      </c>
      <c r="D698" s="2">
        <f>+D54+SUM(D109:D117)+SUM(D217:D222)+SUM(D332:D333)+SUM(D385:D386)+SUM(D425:D425)+SUM(D473:D477)+SUM(D563:D563)+D610+SUM(D649:D651)</f>
        <v>8004</v>
      </c>
      <c r="E698" s="183">
        <f t="shared" ref="E698:E706" si="100">SUM(B698:D698)</f>
        <v>22062</v>
      </c>
      <c r="F698" s="2">
        <f>+F54+SUM(F109:F117)+SUM(F217:F222)+SUM(F332:F333)+SUM(F385:F386)+SUM(F425:F425)+SUM(F473:F477)+SUM(F563:F563)+F610+SUM(F649:F651)</f>
        <v>7250</v>
      </c>
      <c r="G698" s="2">
        <f>+G54+SUM(G109:G117)+SUM(G217:G222)+SUM(G332:G333)+SUM(G385:G386)+SUM(G425:G425)+SUM(G473:G477)+SUM(G563:G563)+G610+SUM(G649:G651)</f>
        <v>18277</v>
      </c>
      <c r="H698" s="2">
        <f>+H54+SUM(H109:H117)+SUM(H217:H222)+SUM(H332:H333)+SUM(H385:H386)+SUM(H425:H425)+SUM(H473:H477)+SUM(H563:H563)+H610+SUM(H649:H651)</f>
        <v>15235</v>
      </c>
      <c r="I698" s="183">
        <f t="shared" ref="I698:I706" si="101">SUM(F698:H698)</f>
        <v>40762</v>
      </c>
      <c r="J698" s="2">
        <f>+J54+SUM(J109:J117)+SUM(J217:J222)+SUM(J332:J333)+SUM(J385:J386)+SUM(J425:J425)+SUM(J473:J477)+SUM(J563:J563)+J610+SUM(J649:J651)</f>
        <v>21160</v>
      </c>
      <c r="K698" s="2">
        <f>+K54+SUM(K109:K117)+SUM(K217:K222)+SUM(K332:K333)+SUM(K385:K386)+SUM(K425:K425)+SUM(K473:K477)+SUM(K563:K563)+K610+SUM(K649:K651)</f>
        <v>22741</v>
      </c>
      <c r="L698" s="2">
        <f>+L54+SUM(L109:L117)+SUM(L217:L222)+SUM(L332:L333)+SUM(L385:L386)+SUM(L425:L425)+SUM(L473:L477)+SUM(L563:L563)+L610+SUM(L649:L651)</f>
        <v>12048</v>
      </c>
      <c r="M698" s="183">
        <f t="shared" ref="M698:M706" si="102">SUM(J698:L698)</f>
        <v>55949</v>
      </c>
      <c r="N698" s="2">
        <f>+N54+SUM(N109:N117)+SUM(N217:N222)+SUM(N332:N333)+SUM(N385:N386)+SUM(N425:N425)+SUM(N473:N477)+SUM(N563:N563)+N610+SUM(N649:N651)</f>
        <v>25641</v>
      </c>
      <c r="O698" s="2">
        <f>+O54+SUM(O109:O117)+SUM(O217:O222)+SUM(O332:O333)+SUM(O385:O386)+SUM(O425:O425)+SUM(O473:O477)+SUM(O563:O563)+O610+SUM(O649:O651)</f>
        <v>6124</v>
      </c>
      <c r="P698" s="2">
        <f>+P54+SUM(P109:P117)+SUM(P217:P222)+SUM(P332:P333)+SUM(P385:P386)+SUM(P425:P425)+SUM(P473:P477)+SUM(P563:P563)+P610+SUM(P649:P651)</f>
        <v>13356</v>
      </c>
      <c r="Q698" s="183">
        <f t="shared" ref="Q698:Q706" si="103">SUM(N698:P698)</f>
        <v>45121</v>
      </c>
      <c r="R698" s="183">
        <f t="shared" ref="R698:R706" si="104">+E698+I698+M698+Q698</f>
        <v>163894</v>
      </c>
    </row>
    <row r="699" spans="1:18" ht="15.75" customHeight="1" x14ac:dyDescent="0.35">
      <c r="A699" s="6" t="s">
        <v>557</v>
      </c>
      <c r="B699" s="2">
        <f>SUM(B55:B56)+SUM(B118:B119)+SUM(B223:B224)+B226+B228+B229+SUM(B334:B336)+B387+B426+SUM(B478:B479)+B481+SUM(B528:B529)+B565+B567+B611+SUM(B652:B653)</f>
        <v>2480</v>
      </c>
      <c r="C699" s="2">
        <f>SUM(C55:C56)+SUM(C118:C119)+SUM(C223:C224)+C226+C228+C229+SUM(C334:C336)+C387+C426+SUM(C478:C479)+C481+SUM(C528:C529)+C565+C567+C611+SUM(C652:C653)</f>
        <v>0</v>
      </c>
      <c r="D699" s="2">
        <f>SUM(D55:D56)+SUM(D118:D119)+SUM(D223:D224)+D226+D228+D229+SUM(D334:D336)+D387+D426+SUM(D478:D479)+D481+SUM(D528:D529)+D565+D567+D611+SUM(D652:D653)</f>
        <v>0</v>
      </c>
      <c r="E699" s="183">
        <f t="shared" si="100"/>
        <v>2480</v>
      </c>
      <c r="F699" s="2">
        <f>SUM(F55:F56)+SUM(F118:F119)+SUM(F223:F224)+F226+F228+F229+SUM(F334:F336)+F387+F426+SUM(F478:F479)+F481+SUM(F528:F529)+F565+F567+F611+SUM(F652:F653)</f>
        <v>6808</v>
      </c>
      <c r="G699" s="2">
        <f>SUM(G55:G56)+SUM(G118:G119)+SUM(G223:G224)+G226+G228+G229+SUM(G334:G336)+G387+G426+SUM(G478:G479)+G481+SUM(G528:G529)+G565+G567+G611+SUM(G652:G653)</f>
        <v>7818</v>
      </c>
      <c r="H699" s="2">
        <f>SUM(H55:H56)+SUM(H118:H119)+SUM(H223:H224)+H226+H228+H229+SUM(H334:H336)+H387+H426+SUM(H478:H479)+H481+SUM(H528:H529)+H565+H567+H611+SUM(H652:H653)</f>
        <v>7476</v>
      </c>
      <c r="I699" s="183">
        <f t="shared" si="101"/>
        <v>22102</v>
      </c>
      <c r="J699" s="2">
        <f>SUM(J55:J56)+SUM(J118:J119)+SUM(J223:J224)+J226+J228+J229+SUM(J334:J336)+J387+J426+SUM(J478:J479)+J481+SUM(J528:J529)+J565+J567+J611+SUM(J652:J653)</f>
        <v>389</v>
      </c>
      <c r="K699" s="2">
        <f>SUM(K55:K56)+SUM(K118:K119)+SUM(K223:K224)+K226+K228+K229+SUM(K334:K336)+K387+K426+SUM(K478:K479)+K481+SUM(K528:K529)+K565+K567+K611+SUM(K652:K653)</f>
        <v>132</v>
      </c>
      <c r="L699" s="2">
        <f>SUM(L55:L56)+SUM(L118:L119)+SUM(L223:L224)+L226+L228+L229+SUM(L334:L336)+L387+L426+SUM(L478:L479)+L481+SUM(L528:L529)+L565+L567+L611+SUM(L652:L653)</f>
        <v>22</v>
      </c>
      <c r="M699" s="183">
        <f t="shared" si="102"/>
        <v>543</v>
      </c>
      <c r="N699" s="2">
        <f>SUM(N55:N56)+SUM(N118:N119)+SUM(N223:N224)+N226+N228+N229+SUM(N334:N336)+N387+N426+SUM(N478:N479)+N481+SUM(N528:N529)+N565+N567+N611+SUM(N652:N653)</f>
        <v>90</v>
      </c>
      <c r="O699" s="2">
        <f>SUM(O55:O56)+SUM(O118:O119)+SUM(O223:O224)+O226+O228+O229+SUM(O334:O336)+O387+O426+SUM(O478:O479)+O481+SUM(O528:O529)+O565+O567+O611+SUM(O652:O653)</f>
        <v>0</v>
      </c>
      <c r="P699" s="2">
        <f>SUM(P55:P56)+SUM(P118:P119)+SUM(P223:P224)+P226+P228+P229+SUM(P334:P336)+P387+P426+SUM(P478:P479)+P481+SUM(P528:P529)+P565+P567+P611+SUM(P652:P653)</f>
        <v>0</v>
      </c>
      <c r="Q699" s="183">
        <f t="shared" si="103"/>
        <v>90</v>
      </c>
      <c r="R699" s="183">
        <f t="shared" si="104"/>
        <v>25215</v>
      </c>
    </row>
    <row r="700" spans="1:18" ht="15.75" customHeight="1" x14ac:dyDescent="0.35">
      <c r="A700" s="9" t="s">
        <v>64</v>
      </c>
      <c r="B700" s="2">
        <f>B120+B225+B227+B480+B482+B566+B568+B654</f>
        <v>0</v>
      </c>
      <c r="C700" s="2">
        <f>C120+C225+C227+C480+C482+C566+C568+C654</f>
        <v>0</v>
      </c>
      <c r="D700" s="2">
        <f>D120+D225+D227+D480+D482+D566+D568+D654</f>
        <v>0</v>
      </c>
      <c r="E700" s="183">
        <f t="shared" si="100"/>
        <v>0</v>
      </c>
      <c r="F700" s="2">
        <f>F120+F225+F227+F480+F482+F566+F568+F654</f>
        <v>0</v>
      </c>
      <c r="G700" s="2">
        <f>G120+G225+G227+G480+G482+G566+G568+G654</f>
        <v>0</v>
      </c>
      <c r="H700" s="2">
        <f>H120+H225+H227+H480+H482+H566+H568+H654</f>
        <v>0</v>
      </c>
      <c r="I700" s="183">
        <f t="shared" si="101"/>
        <v>0</v>
      </c>
      <c r="J700" s="2">
        <f>J120+J225+J227+J480+J482+J566+J568+J654</f>
        <v>0</v>
      </c>
      <c r="K700" s="2">
        <f>K120+K225+K227+K480+K482+K566+K568+K654</f>
        <v>0</v>
      </c>
      <c r="L700" s="2">
        <f>L120+L225+L227+L480+L482+L566+L568+L654</f>
        <v>0</v>
      </c>
      <c r="M700" s="183">
        <f t="shared" si="102"/>
        <v>0</v>
      </c>
      <c r="N700" s="2">
        <f>N120+N225+N227+N480+N482+N566+N568+N654</f>
        <v>0</v>
      </c>
      <c r="O700" s="2">
        <f>O120+O225+O227+O480+O482+O566+O568+O654</f>
        <v>14284</v>
      </c>
      <c r="P700" s="2">
        <f>P120+P225+P227+P480+P482+P566+P568+P654</f>
        <v>18146</v>
      </c>
      <c r="Q700" s="183">
        <f t="shared" si="103"/>
        <v>32430</v>
      </c>
      <c r="R700" s="183">
        <f t="shared" si="104"/>
        <v>32430</v>
      </c>
    </row>
    <row r="701" spans="1:18" ht="15.75" customHeight="1" x14ac:dyDescent="0.35">
      <c r="A701" s="6" t="s">
        <v>558</v>
      </c>
      <c r="B701" s="2">
        <f>+SUM(B121:B122)+SUM(B230:B232)+SUM(B337:B342)+B388+SUM(B427:B431)+SUM(B483:B485)+SUM(B530:B530)+B569+B655</f>
        <v>1755</v>
      </c>
      <c r="C701" s="2">
        <f>+SUM(C121:C122)+SUM(C230:C232)+SUM(C337:C342)+C388+SUM(C427:C431)+SUM(C483:C485)+SUM(C530:C530)+C569+C655</f>
        <v>3172</v>
      </c>
      <c r="D701" s="2">
        <f>+SUM(D121:D122)+SUM(D230:D232)+SUM(D337:D342)+D388+SUM(D427:D431)+SUM(D483:D485)+SUM(D530:D530)+D569+D655</f>
        <v>9184</v>
      </c>
      <c r="E701" s="183">
        <f t="shared" si="100"/>
        <v>14111</v>
      </c>
      <c r="F701" s="2">
        <f>+SUM(F121:F122)+SUM(F230:F232)+SUM(F337:F342)+F388+SUM(F427:F431)+SUM(F483:F485)+SUM(F530:F530)+F569+F655</f>
        <v>6174</v>
      </c>
      <c r="G701" s="2">
        <f>+SUM(G121:G122)+SUM(G230:G232)+SUM(G337:G342)+G388+SUM(G427:G431)+SUM(G483:G485)+SUM(G530:G530)+G569+G655</f>
        <v>10649</v>
      </c>
      <c r="H701" s="2">
        <f>+SUM(H121:H122)+SUM(H230:H232)+SUM(H337:H342)+H388+SUM(H427:H431)+SUM(H483:H485)+SUM(H530:H530)+H569+H655</f>
        <v>25779</v>
      </c>
      <c r="I701" s="183">
        <f t="shared" si="101"/>
        <v>42602</v>
      </c>
      <c r="J701" s="2">
        <f>+SUM(J121:J122)+SUM(J230:J232)+SUM(J337:J342)+J388+SUM(J427:J431)+SUM(J483:J485)+SUM(J530:J530)+J569+J655</f>
        <v>18746</v>
      </c>
      <c r="K701" s="2">
        <f>+SUM(K121:K122)+SUM(K230:K232)+SUM(K337:K342)+K388+SUM(K427:K431)+SUM(K483:K485)+SUM(K530:K530)+K569+K655</f>
        <v>27034</v>
      </c>
      <c r="L701" s="2">
        <f>+SUM(L121:L122)+SUM(L230:L232)+SUM(L337:L342)+L388+SUM(L427:L431)+SUM(L483:L485)+SUM(L530:L530)+L569+L655</f>
        <v>20749</v>
      </c>
      <c r="M701" s="183">
        <f t="shared" si="102"/>
        <v>66529</v>
      </c>
      <c r="N701" s="2">
        <f>+SUM(N121:N122)+SUM(N230:N232)+SUM(N337:N342)+N388+SUM(N427:N431)+SUM(N483:N485)+SUM(N530:N530)+N569+N655</f>
        <v>12220</v>
      </c>
      <c r="O701" s="2">
        <f>+SUM(O121:O122)+SUM(O230:O232)+SUM(O337:O342)+O388+SUM(O427:O431)+SUM(O483:O485)+SUM(O530:O530)+O569+O655</f>
        <v>2175</v>
      </c>
      <c r="P701" s="2">
        <f>+SUM(P121:P122)+SUM(P230:P232)+SUM(P337:P342)+P388+SUM(P427:P431)+SUM(P483:P485)+SUM(P530:P530)+P569+P655</f>
        <v>3356</v>
      </c>
      <c r="Q701" s="183">
        <f t="shared" si="103"/>
        <v>17751</v>
      </c>
      <c r="R701" s="183">
        <f t="shared" si="104"/>
        <v>140993</v>
      </c>
    </row>
    <row r="702" spans="1:18" ht="15.75" customHeight="1" x14ac:dyDescent="0.35">
      <c r="A702" s="6" t="s">
        <v>559</v>
      </c>
      <c r="B702" s="2">
        <f>SUM(B123:B124)+SUM(B233:B233)+B344+B346+B347+B349+SUM(B389:B390)+B433+B435+B486+B531+B570+B613+B656</f>
        <v>3240</v>
      </c>
      <c r="C702" s="2">
        <f>SUM(C123:C124)+SUM(C233:C233)+C344+C346+C347+C349+SUM(C389:C390)+C433+C435+C486+C531+C570+C613+C656</f>
        <v>2000</v>
      </c>
      <c r="D702" s="2">
        <f>SUM(D123:D124)+SUM(D233:D233)+D344+D346+D347+D349+SUM(D389:D390)+D433+D435+D486+D531+D570+D613+D656</f>
        <v>2500</v>
      </c>
      <c r="E702" s="183">
        <f t="shared" si="100"/>
        <v>7740</v>
      </c>
      <c r="F702" s="2">
        <f>SUM(F123:F124)+SUM(F233:F233)+F344+F346+F347+F349+SUM(F389:F390)+F433+F435+F486+F531+F570+F613+F656</f>
        <v>3600</v>
      </c>
      <c r="G702" s="2">
        <f>SUM(G123:G124)+SUM(G233:G233)+G344+G346+G347+G349+SUM(G389:G390)+G433+G435+G486+G531+G570+G613+G656</f>
        <v>7053</v>
      </c>
      <c r="H702" s="2">
        <f>SUM(H123:H124)+SUM(H233:H233)+H344+H346+H347+H349+SUM(H389:H390)+H433+H435+H486+H531+H570+H613+H656</f>
        <v>13712</v>
      </c>
      <c r="I702" s="183">
        <f t="shared" si="101"/>
        <v>24365</v>
      </c>
      <c r="J702" s="2">
        <f>SUM(J123:J124)+SUM(J233:J233)+J344+J346+J347+J349+SUM(J389:J390)+J433+J435+J486+J531+J570+J613+J656</f>
        <v>17675</v>
      </c>
      <c r="K702" s="2">
        <f>SUM(K123:K124)+SUM(K233:K233)+K344+K346+K347+K349+SUM(K389:K390)+K433+K435+K486+K531+K570+K613+K656</f>
        <v>21152</v>
      </c>
      <c r="L702" s="2">
        <f>SUM(L123:L124)+SUM(L233:L233)+L344+L346+L347+L349+SUM(L389:L390)+L433+L435+L486+L531+L570+L613+L656</f>
        <v>6281</v>
      </c>
      <c r="M702" s="183">
        <f t="shared" si="102"/>
        <v>45108</v>
      </c>
      <c r="N702" s="2">
        <f>SUM(N123:N124)+SUM(N233:N233)+N344+N346+N347+N349+SUM(N389:N390)+N433+N435+N486+N531+N570+N613+N656</f>
        <v>2288</v>
      </c>
      <c r="O702" s="2">
        <f>SUM(O123:O124)+SUM(O233:O233)+O344+O346+O347+O349+SUM(O389:O390)+O433+O435+O486+O531+O570+O613+O656</f>
        <v>378</v>
      </c>
      <c r="P702" s="2">
        <f>SUM(P123:P124)+SUM(P233:P233)+P344+P346+P347+P349+SUM(P389:P390)+P433+P435+P486+P531+P570+P613+P656</f>
        <v>924</v>
      </c>
      <c r="Q702" s="183">
        <f t="shared" si="103"/>
        <v>3590</v>
      </c>
      <c r="R702" s="183">
        <f t="shared" si="104"/>
        <v>80803</v>
      </c>
    </row>
    <row r="703" spans="1:18" ht="15.75" customHeight="1" thickBot="1" x14ac:dyDescent="0.4">
      <c r="A703" s="9" t="s">
        <v>1935</v>
      </c>
      <c r="B703" s="2">
        <f>+B345+B348+B391+B434</f>
        <v>0</v>
      </c>
      <c r="C703" s="2">
        <f>+C345+C348+C391+C434</f>
        <v>0</v>
      </c>
      <c r="D703" s="2">
        <f>+D345+D348+D391+D434</f>
        <v>5000</v>
      </c>
      <c r="E703" s="183">
        <f t="shared" si="100"/>
        <v>5000</v>
      </c>
      <c r="F703" s="2">
        <f>+F345+F348+F391+F434</f>
        <v>4026</v>
      </c>
      <c r="G703" s="2">
        <f>+G345+G348+G391+G434</f>
        <v>0</v>
      </c>
      <c r="H703" s="2">
        <f>+H345+H348+H391+H434</f>
        <v>1290</v>
      </c>
      <c r="I703" s="183">
        <f t="shared" si="101"/>
        <v>5316</v>
      </c>
      <c r="J703" s="2">
        <f>+J345+J348+J391+J434</f>
        <v>2990</v>
      </c>
      <c r="K703" s="2">
        <f>+K345+K348+K391+K434</f>
        <v>4917</v>
      </c>
      <c r="L703" s="2">
        <f>+L345+L348+L391+L434</f>
        <v>6106</v>
      </c>
      <c r="M703" s="183">
        <f t="shared" si="102"/>
        <v>14013</v>
      </c>
      <c r="N703" s="2">
        <f>+N345+N348+N391+N434</f>
        <v>1890</v>
      </c>
      <c r="O703" s="2">
        <f>+O345+O348+O391+O434</f>
        <v>0</v>
      </c>
      <c r="P703" s="2">
        <f>+P345+P348+P391+P434</f>
        <v>375</v>
      </c>
      <c r="Q703" s="183">
        <f t="shared" si="103"/>
        <v>2265</v>
      </c>
      <c r="R703" s="183">
        <f t="shared" si="104"/>
        <v>26594</v>
      </c>
    </row>
    <row r="704" spans="1:18" ht="15.75" customHeight="1" thickBot="1" x14ac:dyDescent="0.4">
      <c r="A704" s="41" t="s">
        <v>1019</v>
      </c>
      <c r="B704" s="204">
        <f>SUM(B701:B703)</f>
        <v>4995</v>
      </c>
      <c r="C704" s="204">
        <f>SUM(C701:C703)</f>
        <v>5172</v>
      </c>
      <c r="D704" s="204">
        <f>SUM(D701:D703)</f>
        <v>16684</v>
      </c>
      <c r="E704" s="185">
        <f t="shared" si="100"/>
        <v>26851</v>
      </c>
      <c r="F704" s="204">
        <f>SUM(F701:F703)</f>
        <v>13800</v>
      </c>
      <c r="G704" s="204">
        <f>SUM(G701:G703)</f>
        <v>17702</v>
      </c>
      <c r="H704" s="204">
        <f>SUM(H701:H703)</f>
        <v>40781</v>
      </c>
      <c r="I704" s="185">
        <f t="shared" si="101"/>
        <v>72283</v>
      </c>
      <c r="J704" s="204">
        <f>SUM(J701:J703)</f>
        <v>39411</v>
      </c>
      <c r="K704" s="204">
        <f>SUM(K701:K703)</f>
        <v>53103</v>
      </c>
      <c r="L704" s="204">
        <f>SUM(L701:L703)</f>
        <v>33136</v>
      </c>
      <c r="M704" s="185">
        <f t="shared" si="102"/>
        <v>125650</v>
      </c>
      <c r="N704" s="204">
        <f>SUM(N701:N703)</f>
        <v>16398</v>
      </c>
      <c r="O704" s="204">
        <f>SUM(O701:O703)</f>
        <v>2553</v>
      </c>
      <c r="P704" s="204">
        <f>SUM(P701:P703)</f>
        <v>4655</v>
      </c>
      <c r="Q704" s="185">
        <f t="shared" si="103"/>
        <v>23606</v>
      </c>
      <c r="R704" s="56">
        <f t="shared" si="104"/>
        <v>248390</v>
      </c>
    </row>
    <row r="705" spans="1:18" ht="15.75" customHeight="1" thickBot="1" x14ac:dyDescent="0.4">
      <c r="A705" s="57" t="s">
        <v>1221</v>
      </c>
      <c r="B705" s="188">
        <f>SUM(B697:B703)</f>
        <v>14759</v>
      </c>
      <c r="C705" s="189">
        <f>SUM(C697:C703)</f>
        <v>11946</v>
      </c>
      <c r="D705" s="191">
        <f>SUM(D697:D703)</f>
        <v>24688</v>
      </c>
      <c r="E705" s="205">
        <f t="shared" si="100"/>
        <v>51393</v>
      </c>
      <c r="F705" s="188">
        <f>SUM(F697:F703)</f>
        <v>27858</v>
      </c>
      <c r="G705" s="189">
        <f>SUM(G697:G703)</f>
        <v>43797</v>
      </c>
      <c r="H705" s="191">
        <f>SUM(H697:H703)</f>
        <v>63492</v>
      </c>
      <c r="I705" s="185">
        <f t="shared" si="101"/>
        <v>135147</v>
      </c>
      <c r="J705" s="188">
        <f>SUM(J697:J703)</f>
        <v>60960</v>
      </c>
      <c r="K705" s="189">
        <f>SUM(K697:K703)</f>
        <v>75976</v>
      </c>
      <c r="L705" s="191">
        <f>SUM(L697:L703)</f>
        <v>45206</v>
      </c>
      <c r="M705" s="185">
        <f t="shared" si="102"/>
        <v>182142</v>
      </c>
      <c r="N705" s="188">
        <f>SUM(N697:N703)</f>
        <v>42129</v>
      </c>
      <c r="O705" s="189">
        <f>SUM(O697:O703)</f>
        <v>22961</v>
      </c>
      <c r="P705" s="191">
        <f>SUM(P697:P703)</f>
        <v>36157</v>
      </c>
      <c r="Q705" s="185">
        <f t="shared" si="103"/>
        <v>101247</v>
      </c>
      <c r="R705" s="56">
        <f t="shared" si="104"/>
        <v>469929</v>
      </c>
    </row>
    <row r="706" spans="1:18" ht="15.75" customHeight="1" thickBot="1" x14ac:dyDescent="0.4">
      <c r="A706" s="41" t="s">
        <v>1222</v>
      </c>
      <c r="B706" s="206">
        <f>+B686+B692+B696+B705</f>
        <v>75118</v>
      </c>
      <c r="C706" s="207">
        <f>+C686+C692+C696+C705</f>
        <v>74798</v>
      </c>
      <c r="D706" s="207">
        <f>+D686+D692+D696+D705</f>
        <v>130852</v>
      </c>
      <c r="E706" s="56">
        <f t="shared" si="100"/>
        <v>280768</v>
      </c>
      <c r="F706" s="184">
        <f>+F686+F692+F696+F705</f>
        <v>152838</v>
      </c>
      <c r="G706" s="184">
        <f>+G686+G692+G696+G705</f>
        <v>168705</v>
      </c>
      <c r="H706" s="184">
        <f>+H686+H692+H696+H705</f>
        <v>181604</v>
      </c>
      <c r="I706" s="56">
        <f t="shared" si="101"/>
        <v>503147</v>
      </c>
      <c r="J706" s="184">
        <f>+J686+J692+J696+J705</f>
        <v>193066</v>
      </c>
      <c r="K706" s="184">
        <f>+K686+K692+K696+K705</f>
        <v>201282</v>
      </c>
      <c r="L706" s="184">
        <f>+L686+L692+L696+L705</f>
        <v>134258</v>
      </c>
      <c r="M706" s="56">
        <f t="shared" si="102"/>
        <v>528606</v>
      </c>
      <c r="N706" s="184">
        <f>+N686+N692+N696+N705</f>
        <v>117993</v>
      </c>
      <c r="O706" s="184">
        <f>+O686+O692+O696+O705</f>
        <v>57939</v>
      </c>
      <c r="P706" s="184">
        <f>+P686+P692+P696+P705</f>
        <v>94280</v>
      </c>
      <c r="Q706" s="56">
        <f t="shared" si="103"/>
        <v>270212</v>
      </c>
      <c r="R706" s="186">
        <f t="shared" si="104"/>
        <v>1582733</v>
      </c>
    </row>
    <row r="707" spans="1:18" ht="15.75" customHeight="1" x14ac:dyDescent="0.35">
      <c r="A707" s="2"/>
      <c r="B707" s="2"/>
      <c r="C707" s="2"/>
      <c r="D707" s="2"/>
      <c r="E707" s="2"/>
      <c r="F707" s="2"/>
      <c r="G707" s="2"/>
      <c r="H707" s="2"/>
      <c r="I707" s="2"/>
      <c r="J707" s="2"/>
      <c r="K707" s="2"/>
      <c r="L707" s="2"/>
      <c r="M707" s="2"/>
      <c r="N707" s="2"/>
      <c r="O707" s="208"/>
      <c r="P707" s="2"/>
      <c r="Q707" s="2"/>
      <c r="R707" s="187"/>
    </row>
    <row r="708" spans="1:18" ht="15.75" customHeight="1" x14ac:dyDescent="0.35">
      <c r="A708" s="2"/>
      <c r="B708" s="2"/>
      <c r="C708" s="2"/>
      <c r="D708" s="2"/>
      <c r="E708" s="2"/>
      <c r="F708" s="2"/>
      <c r="G708" s="2"/>
      <c r="H708" s="2"/>
      <c r="I708" s="2"/>
      <c r="J708" s="2"/>
      <c r="K708" s="2"/>
      <c r="L708" s="2"/>
      <c r="M708" s="2"/>
      <c r="N708" s="2"/>
      <c r="O708" s="208"/>
      <c r="P708" s="2"/>
      <c r="Q708" s="187" t="str">
        <f>+Q1</f>
        <v>PRINTED:</v>
      </c>
      <c r="R708" s="200">
        <f ca="1">+R1</f>
        <v>44881.72963425926</v>
      </c>
    </row>
    <row r="709" spans="1:18" ht="15.75" customHeight="1" x14ac:dyDescent="0.35">
      <c r="A709" s="847" t="s">
        <v>43</v>
      </c>
      <c r="B709" s="847"/>
      <c r="C709" s="847"/>
      <c r="D709" s="847"/>
      <c r="E709" s="847"/>
      <c r="F709" s="847"/>
      <c r="G709" s="847"/>
      <c r="H709" s="847"/>
      <c r="I709" s="847"/>
      <c r="J709" s="847"/>
      <c r="K709" s="847"/>
      <c r="L709" s="847"/>
      <c r="M709" s="847"/>
      <c r="N709" s="847"/>
      <c r="O709" s="847"/>
      <c r="P709" s="847"/>
      <c r="Q709" s="847"/>
      <c r="R709" s="847"/>
    </row>
    <row r="710" spans="1:18" ht="15.75" customHeight="1" x14ac:dyDescent="0.35">
      <c r="A710" s="847" t="s">
        <v>1988</v>
      </c>
      <c r="B710" s="847"/>
      <c r="C710" s="847"/>
      <c r="D710" s="847"/>
      <c r="E710" s="847"/>
      <c r="F710" s="847"/>
      <c r="G710" s="847"/>
      <c r="H710" s="847"/>
      <c r="I710" s="847"/>
      <c r="J710" s="847"/>
      <c r="K710" s="847"/>
      <c r="L710" s="847"/>
      <c r="M710" s="847"/>
      <c r="N710" s="847"/>
      <c r="O710" s="847"/>
      <c r="P710" s="847"/>
      <c r="Q710" s="847"/>
      <c r="R710" s="847"/>
    </row>
    <row r="711" spans="1:18" ht="15.75" customHeight="1" x14ac:dyDescent="0.35">
      <c r="A711" s="847" t="s">
        <v>544</v>
      </c>
      <c r="B711" s="847"/>
      <c r="C711" s="847"/>
      <c r="D711" s="847"/>
      <c r="E711" s="847"/>
      <c r="F711" s="847"/>
      <c r="G711" s="847"/>
      <c r="H711" s="847"/>
      <c r="I711" s="847"/>
      <c r="J711" s="847"/>
      <c r="K711" s="847"/>
      <c r="L711" s="847"/>
      <c r="M711" s="847"/>
      <c r="N711" s="847"/>
      <c r="O711" s="847"/>
      <c r="P711" s="847"/>
      <c r="Q711" s="847"/>
      <c r="R711" s="847"/>
    </row>
    <row r="712" spans="1:18" ht="15.75" customHeight="1" x14ac:dyDescent="0.35">
      <c r="A712" s="847" t="str">
        <f>+A5</f>
        <v>Calendar Year 2009</v>
      </c>
      <c r="B712" s="847"/>
      <c r="C712" s="847"/>
      <c r="D712" s="847"/>
      <c r="E712" s="847"/>
      <c r="F712" s="847"/>
      <c r="G712" s="847"/>
      <c r="H712" s="847"/>
      <c r="I712" s="847"/>
      <c r="J712" s="847"/>
      <c r="K712" s="847"/>
      <c r="L712" s="847"/>
      <c r="M712" s="847"/>
      <c r="N712" s="847"/>
      <c r="O712" s="847"/>
      <c r="P712" s="847"/>
      <c r="Q712" s="847"/>
      <c r="R712" s="847"/>
    </row>
    <row r="713" spans="1:18" ht="15.75" customHeight="1" x14ac:dyDescent="0.35">
      <c r="A713" s="2"/>
      <c r="B713" s="2"/>
      <c r="C713" s="2"/>
      <c r="D713" s="202"/>
      <c r="E713" s="202"/>
      <c r="F713" s="202"/>
      <c r="G713" s="203"/>
      <c r="H713" s="202"/>
      <c r="I713" s="202"/>
      <c r="J713" s="203"/>
      <c r="K713" s="203"/>
      <c r="L713" s="203"/>
      <c r="M713" s="203"/>
      <c r="N713" s="2"/>
      <c r="O713" s="203"/>
      <c r="P713" s="203"/>
      <c r="Q713" s="203"/>
      <c r="R713" s="203"/>
    </row>
    <row r="714" spans="1:18" ht="15.75" customHeight="1" x14ac:dyDescent="0.35">
      <c r="A714" s="847" t="str">
        <f>+A8</f>
        <v>Revised:  1/25/10</v>
      </c>
      <c r="B714" s="847"/>
      <c r="C714" s="847"/>
      <c r="D714" s="847"/>
      <c r="E714" s="847"/>
      <c r="F714" s="847"/>
      <c r="G714" s="847"/>
      <c r="H714" s="847"/>
      <c r="I714" s="847"/>
      <c r="J714" s="847"/>
      <c r="K714" s="847"/>
      <c r="L714" s="847"/>
      <c r="M714" s="847"/>
      <c r="N714" s="847"/>
      <c r="O714" s="847"/>
      <c r="P714" s="847"/>
      <c r="Q714" s="847"/>
      <c r="R714" s="847"/>
    </row>
    <row r="715" spans="1:18" ht="15.75" customHeight="1" x14ac:dyDescent="0.35">
      <c r="A715" s="201"/>
      <c r="B715" s="201"/>
      <c r="C715" s="201"/>
      <c r="D715" s="201"/>
      <c r="E715" s="201"/>
      <c r="F715" s="201"/>
      <c r="G715" s="201"/>
      <c r="H715" s="201"/>
      <c r="I715" s="201"/>
      <c r="J715" s="201"/>
      <c r="K715" s="201"/>
      <c r="L715" s="201"/>
      <c r="M715" s="201"/>
      <c r="N715" s="201"/>
      <c r="O715" s="201"/>
      <c r="P715" s="201"/>
      <c r="Q715" s="201"/>
      <c r="R715" s="201"/>
    </row>
    <row r="716" spans="1:18" ht="15.75" customHeight="1" x14ac:dyDescent="0.35">
      <c r="A716" s="8"/>
      <c r="B716" s="2"/>
      <c r="C716" s="2"/>
      <c r="D716" s="2"/>
      <c r="E716" s="2"/>
      <c r="F716" s="2"/>
      <c r="G716" s="2"/>
      <c r="H716" s="2"/>
      <c r="I716" s="2"/>
      <c r="J716" s="2"/>
      <c r="K716" s="2"/>
      <c r="L716" s="2"/>
      <c r="M716" s="2"/>
      <c r="N716" s="2"/>
      <c r="O716" s="2"/>
      <c r="P716" s="2"/>
      <c r="Q716" s="2"/>
      <c r="R716" s="187"/>
    </row>
    <row r="717" spans="1:18" ht="15.75" customHeight="1" thickBot="1" x14ac:dyDescent="0.4">
      <c r="A717" s="2"/>
      <c r="B717" s="2"/>
      <c r="C717" s="2"/>
      <c r="D717" s="2"/>
      <c r="E717" s="2"/>
      <c r="F717" s="2"/>
      <c r="G717" s="2"/>
      <c r="H717" s="2"/>
      <c r="I717" s="2"/>
      <c r="J717" s="2"/>
      <c r="K717" s="2"/>
      <c r="L717" s="2"/>
      <c r="M717" s="2"/>
      <c r="N717" s="2"/>
      <c r="O717" s="208"/>
      <c r="P717" s="2"/>
      <c r="Q717" s="2"/>
      <c r="R717" s="187"/>
    </row>
    <row r="718" spans="1:18" ht="15.75" customHeight="1" thickBot="1" x14ac:dyDescent="0.4">
      <c r="A718" s="11" t="s">
        <v>1088</v>
      </c>
      <c r="B718" s="173" t="s">
        <v>2090</v>
      </c>
      <c r="C718" s="174" t="s">
        <v>2091</v>
      </c>
      <c r="D718" s="174" t="s">
        <v>2234</v>
      </c>
      <c r="E718" s="175" t="s">
        <v>1594</v>
      </c>
      <c r="F718" s="174" t="s">
        <v>2235</v>
      </c>
      <c r="G718" s="174" t="s">
        <v>2236</v>
      </c>
      <c r="H718" s="174" t="s">
        <v>2237</v>
      </c>
      <c r="I718" s="175" t="s">
        <v>1595</v>
      </c>
      <c r="J718" s="174" t="s">
        <v>1504</v>
      </c>
      <c r="K718" s="174" t="s">
        <v>1505</v>
      </c>
      <c r="L718" s="174" t="s">
        <v>1506</v>
      </c>
      <c r="M718" s="175" t="s">
        <v>1596</v>
      </c>
      <c r="N718" s="174" t="s">
        <v>1507</v>
      </c>
      <c r="O718" s="174" t="s">
        <v>1508</v>
      </c>
      <c r="P718" s="174" t="s">
        <v>1509</v>
      </c>
      <c r="Q718" s="175" t="s">
        <v>1597</v>
      </c>
      <c r="R718" s="209" t="s">
        <v>1510</v>
      </c>
    </row>
    <row r="719" spans="1:18" ht="15.75" customHeight="1" thickBot="1" x14ac:dyDescent="0.4">
      <c r="A719" s="65"/>
      <c r="B719" s="210"/>
      <c r="C719" s="210"/>
      <c r="D719" s="210"/>
      <c r="E719" s="178"/>
      <c r="F719" s="210"/>
      <c r="G719" s="210"/>
      <c r="H719" s="210"/>
      <c r="I719" s="182"/>
      <c r="J719" s="210"/>
      <c r="K719" s="210"/>
      <c r="L719" s="210"/>
      <c r="M719" s="182"/>
      <c r="N719" s="210"/>
      <c r="O719" s="210"/>
      <c r="P719" s="210"/>
      <c r="Q719" s="192"/>
      <c r="R719" s="211"/>
    </row>
    <row r="720" spans="1:18" ht="15.75" customHeight="1" thickBot="1" x14ac:dyDescent="0.4">
      <c r="A720" s="66" t="s">
        <v>673</v>
      </c>
      <c r="B720" s="212">
        <f>+B686</f>
        <v>36986</v>
      </c>
      <c r="C720" s="212">
        <f>+C686</f>
        <v>23995</v>
      </c>
      <c r="D720" s="212">
        <f>+D686</f>
        <v>40845</v>
      </c>
      <c r="E720" s="188">
        <f>+SUM(B720:D720)</f>
        <v>101826</v>
      </c>
      <c r="F720" s="212">
        <f>+F686</f>
        <v>48346</v>
      </c>
      <c r="G720" s="212">
        <f>+G686</f>
        <v>37444</v>
      </c>
      <c r="H720" s="212">
        <f>+H686</f>
        <v>31102</v>
      </c>
      <c r="I720" s="188">
        <f>+SUM(F720:H720)</f>
        <v>116892</v>
      </c>
      <c r="J720" s="212">
        <f>+J686</f>
        <v>60617</v>
      </c>
      <c r="K720" s="212">
        <f>+K686</f>
        <v>62304</v>
      </c>
      <c r="L720" s="212">
        <f>+L686</f>
        <v>46610</v>
      </c>
      <c r="M720" s="188">
        <f>+SUM(J720:L720)</f>
        <v>169531</v>
      </c>
      <c r="N720" s="212">
        <f>+N686</f>
        <v>50330</v>
      </c>
      <c r="O720" s="212">
        <f>+O686</f>
        <v>27725</v>
      </c>
      <c r="P720" s="212">
        <f>+P686</f>
        <v>43391</v>
      </c>
      <c r="Q720" s="188">
        <f>+SUM(N720:P720)</f>
        <v>121446</v>
      </c>
      <c r="R720" s="56">
        <f>+E720+I720+M720+Q720</f>
        <v>509695</v>
      </c>
    </row>
    <row r="721" spans="1:18" ht="15.75" customHeight="1" thickBot="1" x14ac:dyDescent="0.4">
      <c r="A721" s="64"/>
      <c r="B721" s="188"/>
      <c r="C721" s="188"/>
      <c r="D721" s="188"/>
      <c r="E721" s="188"/>
      <c r="F721" s="188"/>
      <c r="G721" s="188"/>
      <c r="H721" s="188"/>
      <c r="I721" s="188"/>
      <c r="J721" s="188"/>
      <c r="K721" s="188"/>
      <c r="L721" s="188"/>
      <c r="M721" s="188"/>
      <c r="N721" s="188"/>
      <c r="O721" s="188"/>
      <c r="P721" s="188"/>
      <c r="Q721" s="188"/>
      <c r="R721" s="56"/>
    </row>
    <row r="722" spans="1:18" ht="15.75" customHeight="1" thickBot="1" x14ac:dyDescent="0.4">
      <c r="A722" s="66" t="s">
        <v>672</v>
      </c>
      <c r="B722" s="212">
        <f>+B692</f>
        <v>10562</v>
      </c>
      <c r="C722" s="212">
        <f>+C692</f>
        <v>16199</v>
      </c>
      <c r="D722" s="212">
        <f>+D692</f>
        <v>37867</v>
      </c>
      <c r="E722" s="188">
        <f>+SUM(B722:D722)</f>
        <v>64628</v>
      </c>
      <c r="F722" s="212">
        <f>+F692</f>
        <v>59336</v>
      </c>
      <c r="G722" s="212">
        <f>+G692</f>
        <v>52656</v>
      </c>
      <c r="H722" s="212">
        <f>+H692</f>
        <v>52095</v>
      </c>
      <c r="I722" s="188">
        <f>+SUM(F722:H722)</f>
        <v>164087</v>
      </c>
      <c r="J722" s="212">
        <f>+J692</f>
        <v>54211</v>
      </c>
      <c r="K722" s="212">
        <f>+K692</f>
        <v>41510</v>
      </c>
      <c r="L722" s="212">
        <f>+L692</f>
        <v>22228</v>
      </c>
      <c r="M722" s="188">
        <f>+SUM(J722:L722)</f>
        <v>117949</v>
      </c>
      <c r="N722" s="212">
        <f>+N692</f>
        <v>13886</v>
      </c>
      <c r="O722" s="212">
        <f>+O692</f>
        <v>1981</v>
      </c>
      <c r="P722" s="212">
        <f>+P692</f>
        <v>7039</v>
      </c>
      <c r="Q722" s="188">
        <f>+SUM(N722:P722)</f>
        <v>22906</v>
      </c>
      <c r="R722" s="56">
        <f>+E722+I722+M722+Q722</f>
        <v>369570</v>
      </c>
    </row>
    <row r="723" spans="1:18" ht="15.75" customHeight="1" thickBot="1" x14ac:dyDescent="0.4">
      <c r="A723" s="64"/>
      <c r="B723" s="188"/>
      <c r="C723" s="188"/>
      <c r="D723" s="188"/>
      <c r="E723" s="188"/>
      <c r="F723" s="188"/>
      <c r="G723" s="188"/>
      <c r="H723" s="188"/>
      <c r="I723" s="188"/>
      <c r="J723" s="188"/>
      <c r="K723" s="188"/>
      <c r="L723" s="188"/>
      <c r="M723" s="188"/>
      <c r="N723" s="188"/>
      <c r="O723" s="188"/>
      <c r="P723" s="188"/>
      <c r="Q723" s="188"/>
      <c r="R723" s="56"/>
    </row>
    <row r="724" spans="1:18" ht="15.75" customHeight="1" thickBot="1" x14ac:dyDescent="0.4">
      <c r="A724" s="66" t="s">
        <v>1089</v>
      </c>
      <c r="B724" s="212">
        <f>+B696</f>
        <v>12811</v>
      </c>
      <c r="C724" s="212">
        <f>+C696</f>
        <v>22658</v>
      </c>
      <c r="D724" s="212">
        <f>+D696</f>
        <v>27452</v>
      </c>
      <c r="E724" s="188">
        <f>+SUM(B724:D724)</f>
        <v>62921</v>
      </c>
      <c r="F724" s="212">
        <f>+F696</f>
        <v>17298</v>
      </c>
      <c r="G724" s="212">
        <f>+G696</f>
        <v>34808</v>
      </c>
      <c r="H724" s="212">
        <f>+H696</f>
        <v>34915</v>
      </c>
      <c r="I724" s="188">
        <f>+SUM(F724:H724)</f>
        <v>87021</v>
      </c>
      <c r="J724" s="212">
        <f>+J696</f>
        <v>17278</v>
      </c>
      <c r="K724" s="212">
        <f>+K696</f>
        <v>21492</v>
      </c>
      <c r="L724" s="212">
        <f>+L696</f>
        <v>20214</v>
      </c>
      <c r="M724" s="188">
        <f>+SUM(J724:L724)</f>
        <v>58984</v>
      </c>
      <c r="N724" s="212">
        <f>+N696</f>
        <v>11648</v>
      </c>
      <c r="O724" s="212">
        <f>+O696</f>
        <v>5272</v>
      </c>
      <c r="P724" s="212">
        <f>+P696</f>
        <v>7693</v>
      </c>
      <c r="Q724" s="188">
        <f>+SUM(N724:P724)</f>
        <v>24613</v>
      </c>
      <c r="R724" s="56">
        <f>+E724+I724+M724+Q724</f>
        <v>233539</v>
      </c>
    </row>
    <row r="725" spans="1:18" ht="15.75" customHeight="1" thickBot="1" x14ac:dyDescent="0.4">
      <c r="A725" s="64"/>
      <c r="B725" s="188"/>
      <c r="C725" s="188"/>
      <c r="D725" s="188"/>
      <c r="E725" s="188"/>
      <c r="F725" s="188"/>
      <c r="G725" s="188"/>
      <c r="H725" s="188"/>
      <c r="I725" s="188"/>
      <c r="J725" s="188"/>
      <c r="K725" s="188"/>
      <c r="L725" s="188"/>
      <c r="M725" s="188"/>
      <c r="N725" s="188"/>
      <c r="O725" s="188"/>
      <c r="P725" s="188"/>
      <c r="Q725" s="188"/>
      <c r="R725" s="56"/>
    </row>
    <row r="726" spans="1:18" ht="15.75" customHeight="1" thickBot="1" x14ac:dyDescent="0.4">
      <c r="A726" s="66" t="s">
        <v>1090</v>
      </c>
      <c r="B726" s="212">
        <f>+B705</f>
        <v>14759</v>
      </c>
      <c r="C726" s="212">
        <f>+C705</f>
        <v>11946</v>
      </c>
      <c r="D726" s="212">
        <f>+D705</f>
        <v>24688</v>
      </c>
      <c r="E726" s="188">
        <f>+SUM(B726:D726)</f>
        <v>51393</v>
      </c>
      <c r="F726" s="212">
        <f>+F705</f>
        <v>27858</v>
      </c>
      <c r="G726" s="212">
        <f>+G705</f>
        <v>43797</v>
      </c>
      <c r="H726" s="212">
        <f>+H705</f>
        <v>63492</v>
      </c>
      <c r="I726" s="188">
        <f>+SUM(F726:H726)</f>
        <v>135147</v>
      </c>
      <c r="J726" s="212">
        <f>+J705</f>
        <v>60960</v>
      </c>
      <c r="K726" s="212">
        <f>+K705</f>
        <v>75976</v>
      </c>
      <c r="L726" s="212">
        <f>+L705</f>
        <v>45206</v>
      </c>
      <c r="M726" s="188">
        <f>+SUM(J726:L726)</f>
        <v>182142</v>
      </c>
      <c r="N726" s="212">
        <f>+N705</f>
        <v>42129</v>
      </c>
      <c r="O726" s="212">
        <f>+O705</f>
        <v>22961</v>
      </c>
      <c r="P726" s="212">
        <f>+P705</f>
        <v>36157</v>
      </c>
      <c r="Q726" s="188">
        <f>+SUM(N726:P726)</f>
        <v>101247</v>
      </c>
      <c r="R726" s="56">
        <f>+E726+I726+M726+Q726</f>
        <v>469929</v>
      </c>
    </row>
    <row r="727" spans="1:18" ht="15.75" customHeight="1" thickBot="1" x14ac:dyDescent="0.4">
      <c r="A727" s="64"/>
      <c r="B727" s="188"/>
      <c r="C727" s="188"/>
      <c r="D727" s="188"/>
      <c r="E727" s="188"/>
      <c r="F727" s="188"/>
      <c r="G727" s="188"/>
      <c r="H727" s="188"/>
      <c r="I727" s="188"/>
      <c r="J727" s="188"/>
      <c r="K727" s="188"/>
      <c r="L727" s="188"/>
      <c r="M727" s="188"/>
      <c r="N727" s="188"/>
      <c r="O727" s="188"/>
      <c r="P727" s="188"/>
      <c r="Q727" s="188"/>
      <c r="R727" s="56"/>
    </row>
    <row r="728" spans="1:18" ht="15.75" customHeight="1" thickBot="1" x14ac:dyDescent="0.4">
      <c r="A728" s="64" t="s">
        <v>574</v>
      </c>
      <c r="B728" s="190">
        <f t="shared" ref="B728:R728" si="105">+SUM(B720:B726)</f>
        <v>75118</v>
      </c>
      <c r="C728" s="190">
        <f t="shared" si="105"/>
        <v>74798</v>
      </c>
      <c r="D728" s="190">
        <f t="shared" si="105"/>
        <v>130852</v>
      </c>
      <c r="E728" s="190">
        <f t="shared" si="105"/>
        <v>280768</v>
      </c>
      <c r="F728" s="190">
        <f t="shared" si="105"/>
        <v>152838</v>
      </c>
      <c r="G728" s="190">
        <f t="shared" si="105"/>
        <v>168705</v>
      </c>
      <c r="H728" s="190">
        <f t="shared" si="105"/>
        <v>181604</v>
      </c>
      <c r="I728" s="190">
        <f t="shared" si="105"/>
        <v>503147</v>
      </c>
      <c r="J728" s="190">
        <f t="shared" si="105"/>
        <v>193066</v>
      </c>
      <c r="K728" s="190">
        <f t="shared" si="105"/>
        <v>201282</v>
      </c>
      <c r="L728" s="190">
        <f t="shared" si="105"/>
        <v>134258</v>
      </c>
      <c r="M728" s="190">
        <f t="shared" si="105"/>
        <v>528606</v>
      </c>
      <c r="N728" s="190">
        <f t="shared" si="105"/>
        <v>117993</v>
      </c>
      <c r="O728" s="190">
        <f t="shared" si="105"/>
        <v>57939</v>
      </c>
      <c r="P728" s="190">
        <f t="shared" si="105"/>
        <v>94280</v>
      </c>
      <c r="Q728" s="190">
        <f t="shared" si="105"/>
        <v>270212</v>
      </c>
      <c r="R728" s="213">
        <f t="shared" si="105"/>
        <v>1582733</v>
      </c>
    </row>
    <row r="729" spans="1:18" ht="15.75" customHeight="1" x14ac:dyDescent="0.35">
      <c r="A729" s="201"/>
      <c r="B729" s="286"/>
      <c r="C729" s="286"/>
      <c r="D729" s="286"/>
      <c r="E729" s="286"/>
      <c r="F729" s="286"/>
      <c r="G729" s="286"/>
      <c r="H729" s="286"/>
      <c r="I729" s="286"/>
      <c r="J729" s="286"/>
      <c r="K729" s="286"/>
      <c r="L729" s="286"/>
      <c r="M729" s="286"/>
      <c r="N729" s="286"/>
      <c r="O729" s="286"/>
      <c r="P729" s="286"/>
      <c r="Q729" s="286"/>
      <c r="R729" s="286"/>
    </row>
    <row r="730" spans="1:18" ht="15.75" customHeight="1" x14ac:dyDescent="0.3">
      <c r="A730" s="67"/>
      <c r="B730" s="67"/>
      <c r="C730" s="68" t="s">
        <v>864</v>
      </c>
      <c r="D730" s="67"/>
      <c r="E730" s="67"/>
      <c r="F730" s="67"/>
      <c r="G730" s="67"/>
      <c r="H730" s="67"/>
      <c r="I730" s="67"/>
      <c r="J730" s="67"/>
      <c r="K730" s="67"/>
      <c r="L730" s="67"/>
      <c r="M730" s="67"/>
      <c r="N730" s="67"/>
      <c r="O730" s="67"/>
      <c r="P730" s="67"/>
      <c r="Q730" s="71" t="str">
        <f>+Q1</f>
        <v>PRINTED:</v>
      </c>
      <c r="R730" s="77">
        <f ca="1">+R1</f>
        <v>44881.72963425926</v>
      </c>
    </row>
    <row r="731" spans="1:18" ht="15.75" customHeight="1" x14ac:dyDescent="0.3">
      <c r="A731" s="67"/>
      <c r="B731" s="67"/>
      <c r="C731" s="67"/>
      <c r="D731" s="67"/>
      <c r="E731" s="67" t="s">
        <v>852</v>
      </c>
      <c r="F731" s="69" t="str">
        <f>+A8</f>
        <v>Revised:  1/25/10</v>
      </c>
      <c r="G731" s="67"/>
      <c r="H731" s="67"/>
      <c r="I731" s="67"/>
      <c r="J731" s="67"/>
      <c r="K731" s="67"/>
      <c r="L731" s="67"/>
      <c r="M731" s="67"/>
      <c r="N731" s="67"/>
      <c r="O731" s="67"/>
      <c r="P731" s="67"/>
      <c r="Q731" s="67"/>
      <c r="R731" s="67"/>
    </row>
    <row r="732" spans="1:18" ht="15.75" customHeight="1" x14ac:dyDescent="0.3">
      <c r="A732" s="67"/>
      <c r="B732" s="67"/>
      <c r="C732" s="67"/>
      <c r="D732" s="67" t="s">
        <v>2126</v>
      </c>
      <c r="E732" s="67"/>
      <c r="F732" s="67"/>
      <c r="G732" s="67"/>
      <c r="H732" s="67"/>
      <c r="I732" s="67"/>
      <c r="J732" s="67"/>
      <c r="K732" s="67"/>
      <c r="L732" s="67"/>
      <c r="M732" s="67"/>
      <c r="N732" s="67"/>
      <c r="O732" s="67"/>
      <c r="P732" s="67"/>
      <c r="Q732" s="67"/>
      <c r="R732" s="67"/>
    </row>
    <row r="733" spans="1:18" ht="15.75" customHeight="1" x14ac:dyDescent="0.3">
      <c r="A733" s="67"/>
      <c r="B733" s="67"/>
      <c r="C733" s="67"/>
      <c r="D733" s="67"/>
      <c r="E733" s="67"/>
      <c r="F733" s="67"/>
      <c r="G733" s="67"/>
      <c r="H733" s="67"/>
      <c r="I733" s="67"/>
      <c r="J733" s="67"/>
      <c r="K733" s="67"/>
      <c r="L733" s="67"/>
      <c r="M733" s="67"/>
      <c r="N733" s="67"/>
      <c r="O733" s="67"/>
      <c r="P733" s="67"/>
      <c r="Q733" s="67"/>
      <c r="R733" s="67"/>
    </row>
    <row r="734" spans="1:18" ht="15.75" customHeight="1" x14ac:dyDescent="0.3">
      <c r="A734" s="67"/>
      <c r="B734" s="67"/>
      <c r="C734" s="67"/>
      <c r="D734" s="67"/>
      <c r="E734" s="67" t="str">
        <f>+A5</f>
        <v>Calendar Year 2009</v>
      </c>
      <c r="F734" s="67"/>
      <c r="G734" s="67"/>
      <c r="H734" s="67"/>
      <c r="I734" s="67"/>
      <c r="J734" s="67"/>
      <c r="K734" s="67"/>
      <c r="L734" s="67"/>
      <c r="M734" s="67"/>
      <c r="N734" s="67"/>
      <c r="O734" s="67"/>
      <c r="P734" s="67"/>
      <c r="Q734" s="67"/>
      <c r="R734" s="67"/>
    </row>
    <row r="735" spans="1:18" ht="15.75" customHeight="1" x14ac:dyDescent="0.3">
      <c r="A735" s="67"/>
      <c r="B735" s="67"/>
      <c r="C735" s="67"/>
      <c r="D735" s="67"/>
      <c r="E735" s="67" t="s">
        <v>1306</v>
      </c>
      <c r="F735" s="67"/>
      <c r="G735" s="67"/>
      <c r="H735" s="67"/>
      <c r="I735" s="67"/>
      <c r="J735" s="67"/>
      <c r="K735" s="67"/>
      <c r="L735" s="67"/>
      <c r="M735" s="67"/>
      <c r="N735" s="67"/>
      <c r="O735" s="67"/>
      <c r="P735" s="67"/>
      <c r="Q735" s="67"/>
      <c r="R735" s="67"/>
    </row>
    <row r="736" spans="1:18" ht="15.75" customHeight="1" x14ac:dyDescent="0.3">
      <c r="A736" s="67"/>
      <c r="B736" s="67"/>
      <c r="C736" s="67"/>
      <c r="D736" s="67"/>
      <c r="E736" s="67"/>
      <c r="F736" s="67"/>
      <c r="G736" s="67"/>
      <c r="H736" s="67"/>
      <c r="I736" s="67"/>
      <c r="J736" s="67"/>
      <c r="K736" s="67"/>
      <c r="L736" s="67"/>
      <c r="M736" s="67"/>
      <c r="N736" s="67"/>
      <c r="O736" s="67"/>
      <c r="P736" s="67"/>
      <c r="Q736" s="67"/>
      <c r="R736" s="67"/>
    </row>
    <row r="737" spans="1:18" ht="15.75" customHeight="1" x14ac:dyDescent="0.3">
      <c r="A737" s="67" t="s">
        <v>1307</v>
      </c>
      <c r="B737" s="70" t="s">
        <v>1308</v>
      </c>
      <c r="C737" s="70" t="s">
        <v>1309</v>
      </c>
      <c r="D737" s="70" t="s">
        <v>1029</v>
      </c>
      <c r="E737" s="70" t="s">
        <v>1030</v>
      </c>
      <c r="F737" s="70" t="s">
        <v>284</v>
      </c>
      <c r="G737" s="70" t="s">
        <v>284</v>
      </c>
      <c r="H737" s="70" t="s">
        <v>285</v>
      </c>
      <c r="I737" s="70" t="s">
        <v>286</v>
      </c>
      <c r="J737" s="70" t="s">
        <v>287</v>
      </c>
      <c r="K737" s="70" t="s">
        <v>288</v>
      </c>
      <c r="L737" s="70" t="s">
        <v>289</v>
      </c>
      <c r="M737" s="70" t="s">
        <v>633</v>
      </c>
      <c r="N737" s="70" t="s">
        <v>634</v>
      </c>
      <c r="O737" s="70" t="s">
        <v>1192</v>
      </c>
      <c r="P737" s="70" t="s">
        <v>524</v>
      </c>
      <c r="Q737" s="70" t="s">
        <v>525</v>
      </c>
      <c r="R737" s="67"/>
    </row>
    <row r="738" spans="1:18" ht="15.75" customHeight="1" x14ac:dyDescent="0.3">
      <c r="A738" s="67" t="s">
        <v>526</v>
      </c>
      <c r="B738" s="67"/>
      <c r="C738" s="67"/>
      <c r="D738" s="67"/>
      <c r="E738" s="67"/>
      <c r="F738" s="70" t="s">
        <v>1193</v>
      </c>
      <c r="G738" s="70" t="s">
        <v>1194</v>
      </c>
      <c r="H738" s="67"/>
      <c r="I738" s="67"/>
      <c r="J738" s="67"/>
      <c r="K738" s="67"/>
      <c r="L738" s="67"/>
      <c r="M738" s="67"/>
      <c r="N738" s="67"/>
      <c r="O738" s="67"/>
      <c r="P738" s="67"/>
      <c r="Q738" s="67"/>
      <c r="R738" s="67"/>
    </row>
    <row r="739" spans="1:18" ht="15.75" customHeight="1" x14ac:dyDescent="0.3">
      <c r="A739" s="67" t="s">
        <v>1195</v>
      </c>
      <c r="B739" s="67">
        <v>953</v>
      </c>
      <c r="C739" s="67">
        <v>128</v>
      </c>
      <c r="D739" s="67">
        <v>128</v>
      </c>
      <c r="E739" s="67">
        <v>219</v>
      </c>
      <c r="F739" s="67">
        <v>179</v>
      </c>
      <c r="G739" s="67">
        <v>121</v>
      </c>
      <c r="H739" s="67">
        <v>92</v>
      </c>
      <c r="I739" s="67">
        <v>150</v>
      </c>
      <c r="J739" s="67">
        <v>237</v>
      </c>
      <c r="K739" s="67">
        <v>226</v>
      </c>
      <c r="L739" s="67">
        <v>99</v>
      </c>
      <c r="M739" s="67">
        <v>102</v>
      </c>
      <c r="N739" s="67">
        <v>249</v>
      </c>
      <c r="O739" s="67">
        <v>189</v>
      </c>
      <c r="P739" s="67">
        <v>333</v>
      </c>
      <c r="Q739" s="67">
        <v>411</v>
      </c>
      <c r="R739" s="67"/>
    </row>
    <row r="740" spans="1:18" ht="15.75" customHeight="1" x14ac:dyDescent="0.3">
      <c r="A740" s="67"/>
      <c r="B740" s="67" t="s">
        <v>1353</v>
      </c>
      <c r="C740" s="67" t="s">
        <v>1353</v>
      </c>
      <c r="D740" s="67" t="s">
        <v>1353</v>
      </c>
      <c r="E740" s="67" t="s">
        <v>1353</v>
      </c>
      <c r="F740" s="67" t="s">
        <v>1353</v>
      </c>
      <c r="G740" s="67" t="s">
        <v>1353</v>
      </c>
      <c r="H740" s="67" t="s">
        <v>1353</v>
      </c>
      <c r="I740" s="67" t="s">
        <v>1353</v>
      </c>
      <c r="J740" s="67" t="s">
        <v>1353</v>
      </c>
      <c r="K740" s="67" t="s">
        <v>1353</v>
      </c>
      <c r="L740" s="67" t="s">
        <v>1353</v>
      </c>
      <c r="M740" s="67" t="s">
        <v>1353</v>
      </c>
      <c r="N740" s="67" t="s">
        <v>1353</v>
      </c>
      <c r="O740" s="67" t="s">
        <v>1353</v>
      </c>
      <c r="P740" s="67" t="s">
        <v>1353</v>
      </c>
      <c r="Q740" s="67" t="s">
        <v>1353</v>
      </c>
      <c r="R740" s="67"/>
    </row>
    <row r="741" spans="1:18" ht="15.75" customHeight="1" x14ac:dyDescent="0.3">
      <c r="A741" s="70" t="s">
        <v>1354</v>
      </c>
      <c r="B741" s="67">
        <f>+B31</f>
        <v>172706</v>
      </c>
      <c r="C741" s="67">
        <f>+B66</f>
        <v>172609</v>
      </c>
      <c r="D741" s="67">
        <f>+B132</f>
        <v>172513</v>
      </c>
      <c r="E741" s="67">
        <f>+B246</f>
        <v>162308</v>
      </c>
      <c r="F741" s="67">
        <f>+B241</f>
        <v>97686</v>
      </c>
      <c r="G741" s="67">
        <f>+B253</f>
        <v>0</v>
      </c>
      <c r="H741" s="67">
        <f>+B359</f>
        <v>43306</v>
      </c>
      <c r="I741" s="67">
        <f>+B399</f>
        <v>22875</v>
      </c>
      <c r="J741" s="67">
        <f>+B443</f>
        <v>22071</v>
      </c>
      <c r="K741" s="67">
        <f>+B494</f>
        <v>20523</v>
      </c>
      <c r="L741" s="67">
        <f>+B504</f>
        <v>16025</v>
      </c>
      <c r="M741" s="67">
        <f>+B539</f>
        <v>16005</v>
      </c>
      <c r="N741" s="67">
        <f>+B578</f>
        <v>15995</v>
      </c>
      <c r="O741" s="67">
        <f>+B588</f>
        <v>2448</v>
      </c>
      <c r="P741" s="67">
        <f>+B622</f>
        <v>5372</v>
      </c>
      <c r="Q741" s="67">
        <f>+B664</f>
        <v>2380</v>
      </c>
      <c r="R741" s="67"/>
    </row>
    <row r="742" spans="1:18" ht="15.75" customHeight="1" x14ac:dyDescent="0.3">
      <c r="A742" s="70" t="s">
        <v>706</v>
      </c>
      <c r="B742" s="67">
        <f>+C31</f>
        <v>160469</v>
      </c>
      <c r="C742" s="67">
        <f>+C66</f>
        <v>160321</v>
      </c>
      <c r="D742" s="67">
        <f>+C132</f>
        <v>160176</v>
      </c>
      <c r="E742" s="67">
        <f>+C246</f>
        <v>140487</v>
      </c>
      <c r="F742" s="67">
        <f>+C241</f>
        <v>85428</v>
      </c>
      <c r="G742" s="67">
        <f>+C253</f>
        <v>0</v>
      </c>
      <c r="H742" s="67">
        <f>+C359</f>
        <v>36966</v>
      </c>
      <c r="I742" s="67">
        <f>+C399</f>
        <v>9239</v>
      </c>
      <c r="J742" s="67">
        <f>+C443</f>
        <v>8109</v>
      </c>
      <c r="K742" s="67">
        <f>+C494</f>
        <v>6245</v>
      </c>
      <c r="L742" s="67">
        <f>+C504</f>
        <v>5592</v>
      </c>
      <c r="M742" s="67">
        <f>+C539</f>
        <v>5570</v>
      </c>
      <c r="N742" s="67">
        <f>+C578</f>
        <v>5559</v>
      </c>
      <c r="O742" s="67">
        <f>+C588</f>
        <v>1838</v>
      </c>
      <c r="P742" s="67">
        <f>+C622</f>
        <v>3888</v>
      </c>
      <c r="Q742" s="67">
        <f>+C664</f>
        <v>1812</v>
      </c>
      <c r="R742" s="67"/>
    </row>
    <row r="743" spans="1:18" ht="15.75" customHeight="1" x14ac:dyDescent="0.3">
      <c r="A743" s="70" t="s">
        <v>707</v>
      </c>
      <c r="B743" s="67">
        <f>+D31</f>
        <v>180951</v>
      </c>
      <c r="C743" s="67">
        <f>+D66</f>
        <v>180677</v>
      </c>
      <c r="D743" s="67">
        <f>+D132</f>
        <v>180416</v>
      </c>
      <c r="E743" s="67">
        <f>+D246</f>
        <v>151665</v>
      </c>
      <c r="F743" s="67">
        <f>+D241</f>
        <v>45817</v>
      </c>
      <c r="G743" s="67">
        <f>+D253</f>
        <v>0</v>
      </c>
      <c r="H743" s="67">
        <f>+D359</f>
        <v>76612</v>
      </c>
      <c r="I743" s="67">
        <f>+D399</f>
        <v>21322</v>
      </c>
      <c r="J743" s="67">
        <f>+D443</f>
        <v>12622</v>
      </c>
      <c r="K743" s="67">
        <f>+D494</f>
        <v>7146</v>
      </c>
      <c r="L743" s="67">
        <f>+D504</f>
        <v>5076</v>
      </c>
      <c r="M743" s="67">
        <f>+D539</f>
        <v>5048</v>
      </c>
      <c r="N743" s="67">
        <f>+D578</f>
        <v>4966</v>
      </c>
      <c r="O743" s="67">
        <f>+D588</f>
        <v>3150</v>
      </c>
      <c r="P743" s="67">
        <f>+D622</f>
        <v>6021</v>
      </c>
      <c r="Q743" s="67">
        <f>+D664</f>
        <v>3078</v>
      </c>
      <c r="R743" s="67"/>
    </row>
    <row r="744" spans="1:18" ht="15.75" customHeight="1" x14ac:dyDescent="0.3">
      <c r="A744" s="70" t="s">
        <v>1321</v>
      </c>
      <c r="B744" s="67">
        <f>+F31</f>
        <v>173713</v>
      </c>
      <c r="C744" s="67">
        <f>+F66</f>
        <v>173346</v>
      </c>
      <c r="D744" s="67">
        <f>+F132</f>
        <v>172996</v>
      </c>
      <c r="E744" s="67">
        <f>+F246</f>
        <v>146681</v>
      </c>
      <c r="F744" s="67">
        <f>+F241</f>
        <v>20571</v>
      </c>
      <c r="G744" s="67">
        <f>+F253</f>
        <v>0</v>
      </c>
      <c r="H744" s="67">
        <f>+F359</f>
        <v>102185</v>
      </c>
      <c r="I744" s="67">
        <f>+F399</f>
        <v>36042</v>
      </c>
      <c r="J744" s="67">
        <f>+F443</f>
        <v>23514</v>
      </c>
      <c r="K744" s="67">
        <f>+F494</f>
        <v>16936</v>
      </c>
      <c r="L744" s="67">
        <f>+F504</f>
        <v>9690</v>
      </c>
      <c r="M744" s="67">
        <f>+F539</f>
        <v>9653</v>
      </c>
      <c r="N744" s="67">
        <f>+F578</f>
        <v>9635</v>
      </c>
      <c r="O744" s="67">
        <f>+F588</f>
        <v>2776</v>
      </c>
      <c r="P744" s="67">
        <f>+F622</f>
        <v>5042</v>
      </c>
      <c r="Q744" s="67">
        <f>+F664</f>
        <v>2702</v>
      </c>
      <c r="R744" s="67"/>
    </row>
    <row r="745" spans="1:18" ht="15.75" customHeight="1" x14ac:dyDescent="0.3">
      <c r="A745" s="70" t="s">
        <v>1905</v>
      </c>
      <c r="B745" s="67">
        <f>+G31</f>
        <v>164967</v>
      </c>
      <c r="C745" s="67">
        <f>+G66</f>
        <v>164542</v>
      </c>
      <c r="D745" s="67">
        <f>+G132</f>
        <v>164140</v>
      </c>
      <c r="E745" s="67">
        <f>+G246</f>
        <v>136095</v>
      </c>
      <c r="F745" s="67">
        <f>+G241</f>
        <v>4193</v>
      </c>
      <c r="G745" s="67">
        <f>+G253</f>
        <v>-12106</v>
      </c>
      <c r="H745" s="67">
        <f>+G359</f>
        <v>106737</v>
      </c>
      <c r="I745" s="67">
        <f>+G399</f>
        <v>32144</v>
      </c>
      <c r="J745" s="67">
        <f>+G443</f>
        <v>21861</v>
      </c>
      <c r="K745" s="67">
        <f>+G494</f>
        <v>17064</v>
      </c>
      <c r="L745" s="67">
        <f>+G504</f>
        <v>11015</v>
      </c>
      <c r="M745" s="67">
        <f>+G539</f>
        <v>10973</v>
      </c>
      <c r="N745" s="67">
        <f>+G578</f>
        <v>10952</v>
      </c>
      <c r="O745" s="67">
        <f>+G588</f>
        <v>3707</v>
      </c>
      <c r="P745" s="67">
        <f>+G622</f>
        <v>5107</v>
      </c>
      <c r="Q745" s="67">
        <f>+G664</f>
        <v>3689</v>
      </c>
      <c r="R745" s="67"/>
    </row>
    <row r="746" spans="1:18" ht="15.75" customHeight="1" x14ac:dyDescent="0.3">
      <c r="A746" s="70" t="s">
        <v>1906</v>
      </c>
      <c r="B746" s="67">
        <f>+H31</f>
        <v>96957</v>
      </c>
      <c r="C746" s="67">
        <f>+H66</f>
        <v>96540</v>
      </c>
      <c r="D746" s="67">
        <f>+H132</f>
        <v>96144</v>
      </c>
      <c r="E746" s="67">
        <f>+H246</f>
        <v>77591</v>
      </c>
      <c r="F746" s="67">
        <f>+H241</f>
        <v>0</v>
      </c>
      <c r="G746" s="67">
        <f>+H253</f>
        <v>-84124</v>
      </c>
      <c r="H746" s="67">
        <f>+H359</f>
        <v>129892</v>
      </c>
      <c r="I746" s="67">
        <f>+H399</f>
        <v>41269</v>
      </c>
      <c r="J746" s="67">
        <f>+H443</f>
        <v>25601</v>
      </c>
      <c r="K746" s="67">
        <f>+H494</f>
        <v>18824</v>
      </c>
      <c r="L746" s="67">
        <f>+H504</f>
        <v>12582</v>
      </c>
      <c r="M746" s="67">
        <f>+H539</f>
        <v>12538</v>
      </c>
      <c r="N746" s="67">
        <f>+H578</f>
        <v>12443</v>
      </c>
      <c r="O746" s="67">
        <f>+H588</f>
        <v>3715</v>
      </c>
      <c r="P746" s="67">
        <f>+H622</f>
        <v>5330</v>
      </c>
      <c r="Q746" s="67">
        <f>+H664</f>
        <v>3625</v>
      </c>
      <c r="R746" s="67"/>
    </row>
    <row r="747" spans="1:18" ht="15.75" customHeight="1" x14ac:dyDescent="0.3">
      <c r="A747" s="70" t="s">
        <v>1907</v>
      </c>
      <c r="B747" s="67">
        <f>+J31</f>
        <v>76069</v>
      </c>
      <c r="C747" s="67">
        <f>+J66</f>
        <v>75653</v>
      </c>
      <c r="D747" s="67">
        <f>+J132</f>
        <v>75259</v>
      </c>
      <c r="E747" s="67">
        <f>+J246</f>
        <v>49706</v>
      </c>
      <c r="F747" s="67">
        <f>+J241</f>
        <v>0</v>
      </c>
      <c r="G747" s="67">
        <f>+J253</f>
        <v>-118289</v>
      </c>
      <c r="H747" s="67">
        <f>+J359</f>
        <v>133645</v>
      </c>
      <c r="I747" s="67">
        <f>+J399</f>
        <v>53336</v>
      </c>
      <c r="J747" s="67">
        <f>+J443</f>
        <v>35391</v>
      </c>
      <c r="K747" s="67">
        <f>+J494</f>
        <v>27602</v>
      </c>
      <c r="L747" s="67">
        <f>+J504</f>
        <v>19489</v>
      </c>
      <c r="M747" s="67">
        <f>+J539</f>
        <v>19450</v>
      </c>
      <c r="N747" s="67">
        <f>+J578</f>
        <v>18549</v>
      </c>
      <c r="O747" s="67">
        <f>+J588</f>
        <v>3276</v>
      </c>
      <c r="P747" s="67">
        <f>+J622</f>
        <v>5484</v>
      </c>
      <c r="Q747" s="67">
        <f>+J664</f>
        <v>3153</v>
      </c>
      <c r="R747" s="67"/>
    </row>
    <row r="748" spans="1:18" ht="15.75" customHeight="1" x14ac:dyDescent="0.3">
      <c r="A748" s="70" t="s">
        <v>1908</v>
      </c>
      <c r="B748" s="67">
        <f>+K31</f>
        <v>71557</v>
      </c>
      <c r="C748" s="67">
        <f>+K66</f>
        <v>71223</v>
      </c>
      <c r="D748" s="67">
        <f>+K132</f>
        <v>70905</v>
      </c>
      <c r="E748" s="67">
        <f>+K246</f>
        <v>41035</v>
      </c>
      <c r="F748" s="67">
        <f>+K241</f>
        <v>0</v>
      </c>
      <c r="G748" s="67">
        <f>+K253</f>
        <v>-126218</v>
      </c>
      <c r="H748" s="67">
        <f>+K359</f>
        <v>135246</v>
      </c>
      <c r="I748" s="67">
        <f>+K399</f>
        <v>55055</v>
      </c>
      <c r="J748" s="67">
        <f>+K443</f>
        <v>36687</v>
      </c>
      <c r="K748" s="67">
        <f>+K494</f>
        <v>28556</v>
      </c>
      <c r="L748" s="67">
        <f>+K504</f>
        <v>21302</v>
      </c>
      <c r="M748" s="67">
        <f>+K539</f>
        <v>21266</v>
      </c>
      <c r="N748" s="67">
        <f>+K578</f>
        <v>20585</v>
      </c>
      <c r="O748" s="67">
        <f>+K588</f>
        <v>4558</v>
      </c>
      <c r="P748" s="67">
        <f>+K622</f>
        <v>5609</v>
      </c>
      <c r="Q748" s="67">
        <f>+K664</f>
        <v>4484</v>
      </c>
      <c r="R748" s="67"/>
    </row>
    <row r="749" spans="1:18" ht="15.75" customHeight="1" x14ac:dyDescent="0.3">
      <c r="A749" s="70" t="s">
        <v>2352</v>
      </c>
      <c r="B749" s="67">
        <f>+L31</f>
        <v>143425</v>
      </c>
      <c r="C749" s="67">
        <f>+L66</f>
        <v>143109</v>
      </c>
      <c r="D749" s="67">
        <f>+L132</f>
        <v>142808</v>
      </c>
      <c r="E749" s="67">
        <f>+L246</f>
        <v>130231</v>
      </c>
      <c r="F749" s="67">
        <f>+L241</f>
        <v>20940</v>
      </c>
      <c r="G749" s="67">
        <f>+L253</f>
        <v>-9314</v>
      </c>
      <c r="H749" s="67">
        <f>+L359</f>
        <v>90595</v>
      </c>
      <c r="I749" s="67">
        <f>+L399</f>
        <v>32679</v>
      </c>
      <c r="J749" s="67">
        <f>+L443</f>
        <v>28281</v>
      </c>
      <c r="K749" s="67">
        <f>+L494</f>
        <v>23719</v>
      </c>
      <c r="L749" s="67">
        <f>+L504</f>
        <v>19430</v>
      </c>
      <c r="M749" s="67">
        <f>+L539</f>
        <v>19396</v>
      </c>
      <c r="N749" s="67">
        <f>+L578</f>
        <v>18717</v>
      </c>
      <c r="O749" s="67">
        <f>+L588</f>
        <v>4093</v>
      </c>
      <c r="P749" s="67">
        <f>+L622</f>
        <v>5183</v>
      </c>
      <c r="Q749" s="67">
        <f>+L664</f>
        <v>4050</v>
      </c>
      <c r="R749" s="67"/>
    </row>
    <row r="750" spans="1:18" ht="15.75" customHeight="1" x14ac:dyDescent="0.3">
      <c r="A750" s="70" t="s">
        <v>2353</v>
      </c>
      <c r="B750" s="67">
        <f>+N31</f>
        <v>135867</v>
      </c>
      <c r="C750" s="67">
        <f>+N66</f>
        <v>135582</v>
      </c>
      <c r="D750" s="67">
        <f>+N132</f>
        <v>135310</v>
      </c>
      <c r="E750" s="67">
        <f>+N246</f>
        <v>108904</v>
      </c>
      <c r="F750" s="67">
        <f>+N241</f>
        <v>17280</v>
      </c>
      <c r="G750" s="67">
        <f>+N253</f>
        <v>0</v>
      </c>
      <c r="H750" s="67">
        <f>+N359</f>
        <v>59822</v>
      </c>
      <c r="I750" s="67">
        <f>+N399</f>
        <v>24240</v>
      </c>
      <c r="J750" s="67">
        <f>+N443</f>
        <v>22135</v>
      </c>
      <c r="K750" s="67">
        <f>+N494</f>
        <v>20456</v>
      </c>
      <c r="L750" s="67">
        <f>+N504</f>
        <v>17989</v>
      </c>
      <c r="M750" s="67">
        <f>+N539</f>
        <v>17960</v>
      </c>
      <c r="N750" s="67">
        <f>+N578</f>
        <v>17453</v>
      </c>
      <c r="O750" s="67">
        <f>+N588</f>
        <v>2625</v>
      </c>
      <c r="P750" s="67">
        <f>+N622</f>
        <v>5246</v>
      </c>
      <c r="Q750" s="67">
        <f>+N664</f>
        <v>2527</v>
      </c>
      <c r="R750" s="67"/>
    </row>
    <row r="751" spans="1:18" ht="15.75" customHeight="1" x14ac:dyDescent="0.3">
      <c r="A751" s="70" t="s">
        <v>2354</v>
      </c>
      <c r="B751" s="67">
        <f>+O31</f>
        <v>138591</v>
      </c>
      <c r="C751" s="67">
        <f>+O66</f>
        <v>138356</v>
      </c>
      <c r="D751" s="67">
        <f>+O132</f>
        <v>138130</v>
      </c>
      <c r="E751" s="67">
        <f>+O246</f>
        <v>115910</v>
      </c>
      <c r="F751" s="67">
        <f>+O241</f>
        <v>77414</v>
      </c>
      <c r="G751" s="67">
        <f>+O253</f>
        <v>0</v>
      </c>
      <c r="H751" s="67">
        <f>+O359</f>
        <v>14176</v>
      </c>
      <c r="I751" s="67">
        <f>+O399</f>
        <v>6285</v>
      </c>
      <c r="J751" s="67">
        <f>+O443</f>
        <v>6263</v>
      </c>
      <c r="K751" s="67">
        <f>+O494</f>
        <v>5993</v>
      </c>
      <c r="L751" s="67">
        <f>+O504</f>
        <v>5519</v>
      </c>
      <c r="M751" s="67">
        <f>+O539</f>
        <v>5496</v>
      </c>
      <c r="N751" s="67">
        <f>+O578</f>
        <v>5453</v>
      </c>
      <c r="O751" s="67">
        <f>+O588</f>
        <v>1306</v>
      </c>
      <c r="P751" s="67">
        <f>+O622</f>
        <v>5133</v>
      </c>
      <c r="Q751" s="67">
        <f>+O664</f>
        <v>1226</v>
      </c>
      <c r="R751" s="67"/>
    </row>
    <row r="752" spans="1:18" ht="15.75" customHeight="1" x14ac:dyDescent="0.3">
      <c r="A752" s="70" t="s">
        <v>2355</v>
      </c>
      <c r="B752" s="67">
        <f>+P31</f>
        <v>150142</v>
      </c>
      <c r="C752" s="67">
        <f>+P66</f>
        <v>149956</v>
      </c>
      <c r="D752" s="67">
        <f>+P132</f>
        <v>149777</v>
      </c>
      <c r="E752" s="67">
        <f>+P246</f>
        <v>123193</v>
      </c>
      <c r="F752" s="67">
        <f>+P241</f>
        <v>58224</v>
      </c>
      <c r="G752" s="67">
        <f>+P253</f>
        <v>0</v>
      </c>
      <c r="H752" s="67">
        <f>+P359</f>
        <v>41490</v>
      </c>
      <c r="I752" s="67">
        <f>+P399</f>
        <v>22966</v>
      </c>
      <c r="J752" s="67">
        <f>+P443</f>
        <v>22204</v>
      </c>
      <c r="K752" s="67">
        <f>+P494</f>
        <v>22006</v>
      </c>
      <c r="L752" s="67">
        <f>+P504</f>
        <v>17569</v>
      </c>
      <c r="M752" s="67">
        <f>+P539</f>
        <v>17550</v>
      </c>
      <c r="N752" s="67">
        <f>+P578</f>
        <v>17541</v>
      </c>
      <c r="O752" s="67">
        <f>+P588</f>
        <v>4333</v>
      </c>
      <c r="P752" s="67">
        <f>+P622</f>
        <v>5157</v>
      </c>
      <c r="Q752" s="67">
        <f>+P664</f>
        <v>4299</v>
      </c>
      <c r="R752" s="67"/>
    </row>
    <row r="753" spans="1:18" ht="15.75" customHeight="1" x14ac:dyDescent="0.3">
      <c r="A753" s="67"/>
      <c r="B753" s="67"/>
      <c r="C753" s="67"/>
      <c r="D753" s="67"/>
      <c r="E753" s="67"/>
      <c r="F753" s="67"/>
      <c r="G753" s="67"/>
      <c r="H753" s="67"/>
      <c r="I753" s="67"/>
      <c r="J753" s="67"/>
      <c r="K753" s="67"/>
      <c r="L753" s="67"/>
      <c r="M753" s="67"/>
      <c r="N753" s="67"/>
      <c r="O753" s="67"/>
      <c r="P753" s="67"/>
      <c r="Q753" s="67"/>
      <c r="R753" s="67"/>
    </row>
    <row r="754" spans="1:18" ht="15.75" customHeight="1" x14ac:dyDescent="0.3">
      <c r="A754" s="70" t="s">
        <v>2356</v>
      </c>
      <c r="B754" s="67">
        <f t="shared" ref="B754:Q754" si="106">SUM(B741:B752)</f>
        <v>1665414</v>
      </c>
      <c r="C754" s="67">
        <f t="shared" si="106"/>
        <v>1661914</v>
      </c>
      <c r="D754" s="67">
        <f t="shared" si="106"/>
        <v>1658574</v>
      </c>
      <c r="E754" s="67">
        <f t="shared" si="106"/>
        <v>1383806</v>
      </c>
      <c r="F754" s="67">
        <f t="shared" si="106"/>
        <v>427553</v>
      </c>
      <c r="G754" s="67">
        <f t="shared" si="106"/>
        <v>-350051</v>
      </c>
      <c r="H754" s="67">
        <f t="shared" si="106"/>
        <v>970672</v>
      </c>
      <c r="I754" s="67">
        <f t="shared" si="106"/>
        <v>357452</v>
      </c>
      <c r="J754" s="67">
        <f t="shared" si="106"/>
        <v>264739</v>
      </c>
      <c r="K754" s="67">
        <f t="shared" si="106"/>
        <v>215070</v>
      </c>
      <c r="L754" s="67">
        <f t="shared" si="106"/>
        <v>161278</v>
      </c>
      <c r="M754" s="67">
        <f t="shared" si="106"/>
        <v>160905</v>
      </c>
      <c r="N754" s="67">
        <f t="shared" si="106"/>
        <v>157848</v>
      </c>
      <c r="O754" s="67">
        <f t="shared" si="106"/>
        <v>37825</v>
      </c>
      <c r="P754" s="67">
        <f t="shared" si="106"/>
        <v>62572</v>
      </c>
      <c r="Q754" s="67">
        <f t="shared" si="106"/>
        <v>37025</v>
      </c>
      <c r="R754" s="67"/>
    </row>
    <row r="755" spans="1:18" ht="15.75" customHeight="1" x14ac:dyDescent="0.3">
      <c r="A755" s="67" t="s">
        <v>852</v>
      </c>
      <c r="B755" s="67"/>
      <c r="C755" s="67"/>
      <c r="D755" s="67"/>
      <c r="E755" s="67"/>
      <c r="F755" s="67"/>
      <c r="G755" s="67"/>
      <c r="H755" s="67"/>
      <c r="I755" s="67"/>
      <c r="J755" s="67"/>
      <c r="K755" s="67"/>
      <c r="L755" s="67"/>
      <c r="M755" s="67"/>
      <c r="N755" s="67"/>
      <c r="O755" s="67"/>
      <c r="P755" s="67"/>
      <c r="Q755" s="67"/>
      <c r="R755" s="67"/>
    </row>
    <row r="756" spans="1:18" ht="15.75" customHeight="1" x14ac:dyDescent="0.3">
      <c r="A756" s="67"/>
      <c r="B756" s="67"/>
      <c r="C756" s="67"/>
      <c r="D756" s="67"/>
      <c r="E756" s="67"/>
      <c r="F756" s="67"/>
      <c r="G756" s="67"/>
      <c r="H756" s="67"/>
      <c r="I756" s="67"/>
      <c r="J756" s="67"/>
      <c r="K756" s="67"/>
      <c r="L756" s="67"/>
      <c r="M756" s="67"/>
      <c r="N756" s="67"/>
      <c r="O756" s="67"/>
      <c r="P756" s="67"/>
      <c r="Q756" s="67"/>
      <c r="R756" s="67"/>
    </row>
    <row r="757" spans="1:18" ht="15.75" customHeight="1" x14ac:dyDescent="0.3">
      <c r="A757" s="67"/>
      <c r="B757" s="67"/>
      <c r="C757" s="71" t="s">
        <v>2434</v>
      </c>
      <c r="D757" s="67"/>
      <c r="E757" s="67"/>
      <c r="F757" s="67"/>
      <c r="G757" s="67"/>
      <c r="H757" s="67"/>
      <c r="I757" s="67" t="s">
        <v>2435</v>
      </c>
      <c r="J757" s="67"/>
      <c r="K757" s="67" t="s">
        <v>852</v>
      </c>
      <c r="L757" s="69" t="str">
        <f>+A8</f>
        <v>Revised:  1/25/10</v>
      </c>
      <c r="M757" s="67"/>
      <c r="N757" s="67"/>
      <c r="O757" s="67"/>
      <c r="P757" s="67"/>
      <c r="Q757" s="71" t="str">
        <f>+Q1</f>
        <v>PRINTED:</v>
      </c>
      <c r="R757" s="77">
        <f ca="1">+R1</f>
        <v>44881.72963425926</v>
      </c>
    </row>
    <row r="758" spans="1:18" ht="15.75" customHeight="1" x14ac:dyDescent="0.3">
      <c r="A758" s="67"/>
      <c r="B758" s="67"/>
      <c r="C758" s="67"/>
      <c r="D758" s="67" t="str">
        <f>++A5</f>
        <v>Calendar Year 2009</v>
      </c>
      <c r="E758" s="67"/>
      <c r="F758" s="67"/>
      <c r="G758" s="67"/>
      <c r="H758" s="67"/>
      <c r="I758" s="67"/>
      <c r="J758" s="67"/>
      <c r="K758" s="67"/>
      <c r="L758" s="67"/>
      <c r="M758" s="67"/>
      <c r="N758" s="67"/>
      <c r="O758" s="67"/>
      <c r="P758" s="67"/>
      <c r="Q758" s="67"/>
      <c r="R758" s="67"/>
    </row>
    <row r="759" spans="1:18" ht="15.75" customHeight="1" x14ac:dyDescent="0.3">
      <c r="A759" s="67"/>
      <c r="B759" s="67"/>
      <c r="C759" s="67"/>
      <c r="D759" s="67"/>
      <c r="E759" s="67"/>
      <c r="F759" s="67"/>
      <c r="G759" s="67"/>
      <c r="H759" s="67"/>
      <c r="I759" s="67"/>
      <c r="J759" s="67"/>
      <c r="K759" s="67"/>
      <c r="L759" s="67"/>
      <c r="M759" s="67"/>
      <c r="N759" s="67"/>
      <c r="O759" s="67"/>
      <c r="P759" s="67"/>
      <c r="Q759" s="67"/>
      <c r="R759" s="67"/>
    </row>
    <row r="760" spans="1:18" ht="15.75" customHeight="1" x14ac:dyDescent="0.3">
      <c r="A760" s="67"/>
      <c r="B760" s="67"/>
      <c r="C760" s="67"/>
      <c r="D760" s="67"/>
      <c r="E760" s="67"/>
      <c r="F760" s="67"/>
      <c r="G760" s="70" t="s">
        <v>2438</v>
      </c>
      <c r="H760" s="67"/>
      <c r="I760" s="67"/>
      <c r="J760" s="67"/>
      <c r="K760" s="67"/>
      <c r="L760" s="67"/>
      <c r="M760" s="67"/>
      <c r="N760" s="67"/>
      <c r="O760" s="67"/>
      <c r="P760" s="67"/>
      <c r="Q760" s="67"/>
      <c r="R760" s="67"/>
    </row>
    <row r="761" spans="1:18" ht="15.75" customHeight="1" x14ac:dyDescent="0.3">
      <c r="A761" s="67"/>
      <c r="B761" s="67" t="s">
        <v>2435</v>
      </c>
      <c r="C761" s="67"/>
      <c r="D761" s="70" t="s">
        <v>2436</v>
      </c>
      <c r="E761" s="70" t="s">
        <v>2436</v>
      </c>
      <c r="F761" s="70" t="s">
        <v>2437</v>
      </c>
      <c r="G761" s="70" t="s">
        <v>525</v>
      </c>
      <c r="H761" s="70" t="s">
        <v>2439</v>
      </c>
      <c r="I761" s="70" t="s">
        <v>2463</v>
      </c>
      <c r="J761" s="70" t="s">
        <v>2356</v>
      </c>
      <c r="K761" s="67" t="s">
        <v>2435</v>
      </c>
      <c r="L761" s="70" t="s">
        <v>2464</v>
      </c>
      <c r="M761" s="70" t="s">
        <v>2464</v>
      </c>
      <c r="N761" s="70" t="s">
        <v>2464</v>
      </c>
      <c r="O761" s="67"/>
      <c r="P761" s="67"/>
      <c r="Q761" s="67"/>
      <c r="R761" s="67"/>
    </row>
    <row r="762" spans="1:18" ht="15.75" customHeight="1" x14ac:dyDescent="0.35">
      <c r="A762" s="67"/>
      <c r="B762" s="70" t="s">
        <v>284</v>
      </c>
      <c r="C762" s="70" t="s">
        <v>2379</v>
      </c>
      <c r="D762" s="70" t="s">
        <v>844</v>
      </c>
      <c r="E762" s="70" t="s">
        <v>844</v>
      </c>
      <c r="F762" s="70" t="s">
        <v>845</v>
      </c>
      <c r="G762" s="214" t="s">
        <v>955</v>
      </c>
      <c r="H762" s="70" t="s">
        <v>275</v>
      </c>
      <c r="I762" s="70" t="s">
        <v>276</v>
      </c>
      <c r="J762" s="70" t="s">
        <v>1554</v>
      </c>
      <c r="K762" s="67" t="s">
        <v>2435</v>
      </c>
      <c r="L762" s="70" t="s">
        <v>1555</v>
      </c>
      <c r="M762" s="70" t="s">
        <v>955</v>
      </c>
      <c r="N762" s="70" t="s">
        <v>1194</v>
      </c>
      <c r="O762" s="67"/>
      <c r="P762" s="67"/>
      <c r="Q762" s="67"/>
      <c r="R762" s="67"/>
    </row>
    <row r="763" spans="1:18" ht="15.75" customHeight="1" x14ac:dyDescent="0.3">
      <c r="A763" s="67"/>
      <c r="B763" s="70" t="s">
        <v>1193</v>
      </c>
      <c r="C763" s="70" t="s">
        <v>956</v>
      </c>
      <c r="D763" s="70" t="s">
        <v>333</v>
      </c>
      <c r="E763" s="70" t="s">
        <v>334</v>
      </c>
      <c r="F763" s="70" t="s">
        <v>335</v>
      </c>
      <c r="G763" s="70" t="s">
        <v>335</v>
      </c>
      <c r="H763" s="70" t="s">
        <v>335</v>
      </c>
      <c r="I763" s="70" t="s">
        <v>335</v>
      </c>
      <c r="J763" s="70" t="s">
        <v>1486</v>
      </c>
      <c r="K763" s="67" t="s">
        <v>2435</v>
      </c>
      <c r="L763" s="70" t="s">
        <v>1487</v>
      </c>
      <c r="M763" s="70" t="s">
        <v>929</v>
      </c>
      <c r="N763" s="70" t="s">
        <v>929</v>
      </c>
      <c r="O763" s="67"/>
      <c r="P763" s="67"/>
      <c r="Q763" s="67"/>
      <c r="R763" s="67"/>
    </row>
    <row r="764" spans="1:18" ht="15.75" customHeight="1" x14ac:dyDescent="0.3">
      <c r="A764" s="67"/>
      <c r="B764" s="70" t="s">
        <v>930</v>
      </c>
      <c r="C764" s="70" t="s">
        <v>931</v>
      </c>
      <c r="D764" s="70" t="s">
        <v>932</v>
      </c>
      <c r="E764" s="70" t="s">
        <v>932</v>
      </c>
      <c r="F764" s="70" t="s">
        <v>932</v>
      </c>
      <c r="G764" s="70" t="s">
        <v>932</v>
      </c>
      <c r="H764" s="70" t="s">
        <v>932</v>
      </c>
      <c r="I764" s="70" t="s">
        <v>932</v>
      </c>
      <c r="J764" s="70" t="s">
        <v>932</v>
      </c>
      <c r="K764" s="67" t="s">
        <v>2435</v>
      </c>
      <c r="L764" s="70" t="s">
        <v>946</v>
      </c>
      <c r="M764" s="70" t="s">
        <v>946</v>
      </c>
      <c r="N764" s="70" t="s">
        <v>946</v>
      </c>
      <c r="O764" s="67"/>
      <c r="P764" s="67"/>
      <c r="Q764" s="67"/>
      <c r="R764" s="67"/>
    </row>
    <row r="765" spans="1:18" ht="15.75" customHeight="1" x14ac:dyDescent="0.3">
      <c r="A765" s="67"/>
      <c r="B765" s="67" t="s">
        <v>1353</v>
      </c>
      <c r="C765" s="67" t="s">
        <v>1353</v>
      </c>
      <c r="D765" s="67" t="s">
        <v>1353</v>
      </c>
      <c r="E765" s="67" t="s">
        <v>1353</v>
      </c>
      <c r="F765" s="67" t="s">
        <v>1353</v>
      </c>
      <c r="G765" s="67" t="s">
        <v>1353</v>
      </c>
      <c r="H765" s="67" t="s">
        <v>1353</v>
      </c>
      <c r="I765" s="67" t="s">
        <v>1353</v>
      </c>
      <c r="J765" s="67" t="s">
        <v>1353</v>
      </c>
      <c r="K765" s="67" t="s">
        <v>2435</v>
      </c>
      <c r="L765" s="67" t="s">
        <v>1353</v>
      </c>
      <c r="M765" s="67" t="s">
        <v>1353</v>
      </c>
      <c r="N765" s="67" t="s">
        <v>1353</v>
      </c>
      <c r="O765" s="67"/>
      <c r="P765" s="67"/>
      <c r="Q765" s="67"/>
      <c r="R765" s="67"/>
    </row>
    <row r="766" spans="1:18" ht="15.75" customHeight="1" x14ac:dyDescent="0.3">
      <c r="A766" s="70" t="s">
        <v>1354</v>
      </c>
      <c r="B766" s="67">
        <f t="shared" ref="B766:B777" si="107">(F741)</f>
        <v>97686</v>
      </c>
      <c r="C766" s="67">
        <f t="shared" ref="C766:C777" si="108">(SUM($B$739:$F$739))</f>
        <v>1607</v>
      </c>
      <c r="D766" s="67">
        <f t="shared" ref="D766:D777" si="109">(B766*C766/1000)</f>
        <v>156981.402</v>
      </c>
      <c r="E766" s="67">
        <f t="shared" ref="E766:E777" si="110">(((B741-F741)*B$739)+((C741-F741)*C$739)+((D741-F741)*D$739)+((E741-F741)*E$739))/1000</f>
        <v>104814.27800000001</v>
      </c>
      <c r="F766" s="67">
        <f t="shared" ref="F766:F777" si="111">(D766+E766)</f>
        <v>261795.68</v>
      </c>
      <c r="G766" s="67">
        <f t="shared" ref="G766:G777" si="112">SUM(H823:Q823)</f>
        <v>27715.894999999997</v>
      </c>
      <c r="H766" s="67">
        <f t="shared" ref="H766:H777" si="113">+F766+G766</f>
        <v>289511.57500000001</v>
      </c>
      <c r="I766" s="67">
        <f t="shared" ref="I766:I773" si="114">(E877)</f>
        <v>0</v>
      </c>
      <c r="J766" s="67">
        <f t="shared" ref="J766:J777" si="115">(H766-I766)</f>
        <v>289511.57500000001</v>
      </c>
      <c r="K766" s="67" t="s">
        <v>2435</v>
      </c>
      <c r="L766" s="67">
        <f>+B741/31/1.98</f>
        <v>2813.7178233952427</v>
      </c>
      <c r="M766" s="67">
        <f>(B766*43560/31/24/3600)</f>
        <v>1588.7104838709679</v>
      </c>
      <c r="N766" s="67">
        <f>+B256</f>
        <v>0</v>
      </c>
      <c r="O766" s="67"/>
      <c r="P766" s="67"/>
      <c r="Q766" s="67"/>
      <c r="R766" s="67"/>
    </row>
    <row r="767" spans="1:18" ht="15.75" customHeight="1" x14ac:dyDescent="0.3">
      <c r="A767" s="70" t="s">
        <v>706</v>
      </c>
      <c r="B767" s="67">
        <f t="shared" si="107"/>
        <v>85428</v>
      </c>
      <c r="C767" s="67">
        <f t="shared" si="108"/>
        <v>1607</v>
      </c>
      <c r="D767" s="67">
        <f t="shared" si="109"/>
        <v>137282.796</v>
      </c>
      <c r="E767" s="67">
        <f t="shared" si="110"/>
        <v>102726.042</v>
      </c>
      <c r="F767" s="67">
        <f t="shared" si="111"/>
        <v>240008.83799999999</v>
      </c>
      <c r="G767" s="67">
        <f t="shared" si="112"/>
        <v>13012.681999999999</v>
      </c>
      <c r="H767" s="67">
        <f t="shared" si="113"/>
        <v>253021.52</v>
      </c>
      <c r="I767" s="67">
        <f t="shared" si="114"/>
        <v>0</v>
      </c>
      <c r="J767" s="67">
        <f t="shared" si="115"/>
        <v>253021.52</v>
      </c>
      <c r="K767" s="67" t="s">
        <v>2435</v>
      </c>
      <c r="L767" s="67">
        <f>+B742/28/1.98</f>
        <v>2894.4624819624823</v>
      </c>
      <c r="M767" s="67">
        <f>(B767*43560/29/24/3600)</f>
        <v>1485.1706896551725</v>
      </c>
      <c r="N767" s="67">
        <f>+C256</f>
        <v>0</v>
      </c>
      <c r="O767" s="67"/>
      <c r="P767" s="67"/>
      <c r="Q767" s="67"/>
      <c r="R767" s="67"/>
    </row>
    <row r="768" spans="1:18" ht="15.75" customHeight="1" x14ac:dyDescent="0.3">
      <c r="A768" s="70" t="s">
        <v>707</v>
      </c>
      <c r="B768" s="67">
        <f t="shared" si="107"/>
        <v>45817</v>
      </c>
      <c r="C768" s="67">
        <f t="shared" si="108"/>
        <v>1607</v>
      </c>
      <c r="D768" s="67">
        <f t="shared" si="109"/>
        <v>73627.918999999994</v>
      </c>
      <c r="E768" s="67">
        <f t="shared" si="110"/>
        <v>186454.166</v>
      </c>
      <c r="F768" s="67">
        <f t="shared" si="111"/>
        <v>260082.08499999999</v>
      </c>
      <c r="G768" s="67">
        <f t="shared" si="112"/>
        <v>20972.368999999999</v>
      </c>
      <c r="H768" s="67">
        <f t="shared" si="113"/>
        <v>281054.45399999997</v>
      </c>
      <c r="I768" s="67">
        <f t="shared" si="114"/>
        <v>0</v>
      </c>
      <c r="J768" s="67">
        <f t="shared" si="115"/>
        <v>281054.45399999997</v>
      </c>
      <c r="K768" s="67" t="s">
        <v>2435</v>
      </c>
      <c r="L768" s="67">
        <f>+B743/31/1.98</f>
        <v>2948.0449657869012</v>
      </c>
      <c r="M768" s="67">
        <f>(B768*43560/31/24/3600)</f>
        <v>745.14206989247316</v>
      </c>
      <c r="N768" s="67">
        <f>+D256</f>
        <v>0</v>
      </c>
      <c r="O768" s="67"/>
      <c r="P768" s="67"/>
      <c r="Q768" s="67"/>
      <c r="R768" s="67"/>
    </row>
    <row r="769" spans="1:18" ht="15.75" customHeight="1" x14ac:dyDescent="0.3">
      <c r="A769" s="70" t="s">
        <v>1321</v>
      </c>
      <c r="B769" s="67">
        <f t="shared" si="107"/>
        <v>20571</v>
      </c>
      <c r="C769" s="67">
        <f t="shared" si="108"/>
        <v>1607</v>
      </c>
      <c r="D769" s="67">
        <f t="shared" si="109"/>
        <v>33057.597000000002</v>
      </c>
      <c r="E769" s="67">
        <f t="shared" si="110"/>
        <v>212628.016</v>
      </c>
      <c r="F769" s="67">
        <f t="shared" si="111"/>
        <v>245685.61300000001</v>
      </c>
      <c r="G769" s="67">
        <f t="shared" si="112"/>
        <v>31864.877000000004</v>
      </c>
      <c r="H769" s="67">
        <f t="shared" si="113"/>
        <v>277550.49</v>
      </c>
      <c r="I769" s="67">
        <f t="shared" si="114"/>
        <v>0</v>
      </c>
      <c r="J769" s="67">
        <f t="shared" si="115"/>
        <v>277550.49</v>
      </c>
      <c r="K769" s="67" t="s">
        <v>2435</v>
      </c>
      <c r="L769" s="67">
        <f>+B744/30/1.98</f>
        <v>2924.4612794612794</v>
      </c>
      <c r="M769" s="67">
        <f>(B769*43560/30/24/3600)</f>
        <v>345.70708333333334</v>
      </c>
      <c r="N769" s="67">
        <f>+F256</f>
        <v>0</v>
      </c>
      <c r="O769" s="67"/>
      <c r="P769" s="67"/>
      <c r="Q769" s="67"/>
      <c r="R769" s="67"/>
    </row>
    <row r="770" spans="1:18" ht="15.75" customHeight="1" x14ac:dyDescent="0.3">
      <c r="A770" s="70" t="s">
        <v>1905</v>
      </c>
      <c r="B770" s="67">
        <f t="shared" si="107"/>
        <v>4193</v>
      </c>
      <c r="C770" s="67">
        <f t="shared" si="108"/>
        <v>1607</v>
      </c>
      <c r="D770" s="67">
        <f t="shared" si="109"/>
        <v>6738.1509999999998</v>
      </c>
      <c r="E770" s="67">
        <f t="shared" si="110"/>
        <v>223102.04800000001</v>
      </c>
      <c r="F770" s="67">
        <f t="shared" si="111"/>
        <v>229840.19900000002</v>
      </c>
      <c r="G770" s="67">
        <f t="shared" si="112"/>
        <v>32533.136999999999</v>
      </c>
      <c r="H770" s="67">
        <f t="shared" si="113"/>
        <v>262373.33600000001</v>
      </c>
      <c r="I770" s="67">
        <f t="shared" si="114"/>
        <v>1464.826</v>
      </c>
      <c r="J770" s="67">
        <f t="shared" si="115"/>
        <v>260908.51</v>
      </c>
      <c r="K770" s="67" t="s">
        <v>2435</v>
      </c>
      <c r="L770" s="67">
        <f>+B745/31/1.98</f>
        <v>2687.6344086021509</v>
      </c>
      <c r="M770" s="67">
        <f>(B770*43560/31/24/3600)</f>
        <v>68.192607526881716</v>
      </c>
      <c r="N770" s="67">
        <f>+G256</f>
        <v>-196.93198640053356</v>
      </c>
      <c r="O770" s="67"/>
      <c r="P770" s="67"/>
      <c r="Q770" s="67"/>
      <c r="R770" s="67"/>
    </row>
    <row r="771" spans="1:18" ht="15.75" customHeight="1" x14ac:dyDescent="0.3">
      <c r="A771" s="70" t="s">
        <v>1906</v>
      </c>
      <c r="B771" s="67">
        <f t="shared" si="107"/>
        <v>0</v>
      </c>
      <c r="C771" s="67">
        <f t="shared" si="108"/>
        <v>1607</v>
      </c>
      <c r="D771" s="67">
        <f t="shared" si="109"/>
        <v>0</v>
      </c>
      <c r="E771" s="67">
        <f t="shared" si="110"/>
        <v>134056.00200000001</v>
      </c>
      <c r="F771" s="67">
        <f t="shared" si="111"/>
        <v>134056.00200000001</v>
      </c>
      <c r="G771" s="67">
        <f t="shared" si="112"/>
        <v>38051.776000000005</v>
      </c>
      <c r="H771" s="67">
        <f t="shared" si="113"/>
        <v>172107.77800000002</v>
      </c>
      <c r="I771" s="67">
        <f t="shared" si="114"/>
        <v>10179.004000000001</v>
      </c>
      <c r="J771" s="67">
        <f t="shared" si="115"/>
        <v>161928.77400000003</v>
      </c>
      <c r="K771" s="67" t="s">
        <v>2435</v>
      </c>
      <c r="L771" s="67">
        <f>+B746/30/1.98</f>
        <v>1632.2727272727273</v>
      </c>
      <c r="M771" s="67">
        <f t="shared" ref="M771:M776" si="116">(B771*43560/30/24/3600)</f>
        <v>0</v>
      </c>
      <c r="N771" s="67">
        <f>+H256</f>
        <v>-1414.086401075811</v>
      </c>
      <c r="O771" s="67"/>
      <c r="P771" s="67"/>
      <c r="Q771" s="67"/>
      <c r="R771" s="67"/>
    </row>
    <row r="772" spans="1:18" ht="15.75" customHeight="1" x14ac:dyDescent="0.3">
      <c r="A772" s="70" t="s">
        <v>1907</v>
      </c>
      <c r="B772" s="67">
        <f t="shared" si="107"/>
        <v>0</v>
      </c>
      <c r="C772" s="67">
        <f t="shared" si="108"/>
        <v>1607</v>
      </c>
      <c r="D772" s="67">
        <f t="shared" si="109"/>
        <v>0</v>
      </c>
      <c r="E772" s="67">
        <f t="shared" si="110"/>
        <v>102696.107</v>
      </c>
      <c r="F772" s="67">
        <f t="shared" si="111"/>
        <v>102696.107</v>
      </c>
      <c r="G772" s="67">
        <f t="shared" si="112"/>
        <v>47194.69</v>
      </c>
      <c r="H772" s="67">
        <f t="shared" si="113"/>
        <v>149890.79700000002</v>
      </c>
      <c r="I772" s="67">
        <f t="shared" si="114"/>
        <v>14312.968999999999</v>
      </c>
      <c r="J772" s="67">
        <f t="shared" si="115"/>
        <v>135577.82800000001</v>
      </c>
      <c r="K772" s="67" t="s">
        <v>2435</v>
      </c>
      <c r="L772" s="67">
        <f>+B747/31/1.98</f>
        <v>1239.3124796350603</v>
      </c>
      <c r="M772" s="67">
        <f t="shared" si="116"/>
        <v>0</v>
      </c>
      <c r="N772" s="67">
        <f>+J256</f>
        <v>-1924.2431636653491</v>
      </c>
      <c r="O772" s="67"/>
      <c r="P772" s="67"/>
      <c r="Q772" s="67"/>
      <c r="R772" s="67"/>
    </row>
    <row r="773" spans="1:18" ht="15.75" customHeight="1" x14ac:dyDescent="0.3">
      <c r="A773" s="70" t="s">
        <v>1908</v>
      </c>
      <c r="B773" s="67">
        <f t="shared" si="107"/>
        <v>0</v>
      </c>
      <c r="C773" s="67">
        <f t="shared" si="108"/>
        <v>1607</v>
      </c>
      <c r="D773" s="67">
        <f t="shared" si="109"/>
        <v>0</v>
      </c>
      <c r="E773" s="67">
        <f t="shared" si="110"/>
        <v>95372.87</v>
      </c>
      <c r="F773" s="67">
        <f t="shared" si="111"/>
        <v>95372.87</v>
      </c>
      <c r="G773" s="67">
        <f t="shared" si="112"/>
        <v>49825.234999999993</v>
      </c>
      <c r="H773" s="67">
        <f t="shared" si="113"/>
        <v>145198.10499999998</v>
      </c>
      <c r="I773" s="67">
        <f t="shared" si="114"/>
        <v>15272.378000000001</v>
      </c>
      <c r="J773" s="67">
        <f t="shared" si="115"/>
        <v>129925.72699999998</v>
      </c>
      <c r="K773" s="67" t="s">
        <v>2435</v>
      </c>
      <c r="L773" s="67">
        <f>+B748/31/1.98</f>
        <v>1165.8031932225481</v>
      </c>
      <c r="M773" s="67">
        <f t="shared" si="116"/>
        <v>0</v>
      </c>
      <c r="N773" s="67">
        <f>+K256</f>
        <v>-2053.22661981683</v>
      </c>
      <c r="O773" s="67"/>
      <c r="P773" s="67"/>
      <c r="Q773" s="67"/>
      <c r="R773" s="67"/>
    </row>
    <row r="774" spans="1:18" ht="15.75" customHeight="1" x14ac:dyDescent="0.3">
      <c r="A774" s="70" t="s">
        <v>2352</v>
      </c>
      <c r="B774" s="67">
        <f t="shared" si="107"/>
        <v>20940</v>
      </c>
      <c r="C774" s="67">
        <f t="shared" si="108"/>
        <v>1607</v>
      </c>
      <c r="D774" s="67">
        <f t="shared" si="109"/>
        <v>33650.58</v>
      </c>
      <c r="E774" s="67">
        <f t="shared" si="110"/>
        <v>171899.67</v>
      </c>
      <c r="F774" s="67">
        <f t="shared" si="111"/>
        <v>205550.25</v>
      </c>
      <c r="G774" s="67">
        <f t="shared" si="112"/>
        <v>38026.241999999998</v>
      </c>
      <c r="H774" s="67">
        <f t="shared" si="113"/>
        <v>243576.492</v>
      </c>
      <c r="I774" s="67">
        <v>0</v>
      </c>
      <c r="J774" s="67">
        <f t="shared" si="115"/>
        <v>243576.492</v>
      </c>
      <c r="K774" s="67" t="s">
        <v>2435</v>
      </c>
      <c r="L774" s="67">
        <f>+B749/30/1.98</f>
        <v>2414.5622895622896</v>
      </c>
      <c r="M774" s="67">
        <f t="shared" si="116"/>
        <v>351.90833333333336</v>
      </c>
      <c r="N774" s="67">
        <f>+L256</f>
        <v>-156.56412842494535</v>
      </c>
      <c r="O774" s="67"/>
      <c r="P774" s="67"/>
      <c r="Q774" s="67"/>
      <c r="R774" s="67"/>
    </row>
    <row r="775" spans="1:18" ht="15.75" customHeight="1" x14ac:dyDescent="0.3">
      <c r="A775" s="70" t="s">
        <v>2353</v>
      </c>
      <c r="B775" s="67">
        <f t="shared" si="107"/>
        <v>17280</v>
      </c>
      <c r="C775" s="67">
        <f t="shared" si="108"/>
        <v>1607</v>
      </c>
      <c r="D775" s="67">
        <f t="shared" si="109"/>
        <v>27768.959999999999</v>
      </c>
      <c r="E775" s="67">
        <f t="shared" si="110"/>
        <v>163329.56299999999</v>
      </c>
      <c r="F775" s="67">
        <f t="shared" si="111"/>
        <v>191098.52299999999</v>
      </c>
      <c r="G775" s="67">
        <f t="shared" si="112"/>
        <v>30248.943000000003</v>
      </c>
      <c r="H775" s="67">
        <f t="shared" si="113"/>
        <v>221347.46599999999</v>
      </c>
      <c r="I775" s="67">
        <v>0</v>
      </c>
      <c r="J775" s="67">
        <f t="shared" si="115"/>
        <v>221347.46599999999</v>
      </c>
      <c r="K775" s="67" t="s">
        <v>2435</v>
      </c>
      <c r="L775" s="67">
        <f>+B750/31/1.98</f>
        <v>2213.5386119257087</v>
      </c>
      <c r="M775" s="67">
        <f t="shared" si="116"/>
        <v>290.39999999999998</v>
      </c>
      <c r="N775" s="67">
        <f>+N256</f>
        <v>0</v>
      </c>
      <c r="O775" s="67"/>
      <c r="P775" s="67"/>
      <c r="Q775" s="67"/>
      <c r="R775" s="67"/>
    </row>
    <row r="776" spans="1:18" ht="15.75" customHeight="1" x14ac:dyDescent="0.3">
      <c r="A776" s="70" t="s">
        <v>2354</v>
      </c>
      <c r="B776" s="67">
        <f t="shared" si="107"/>
        <v>77414</v>
      </c>
      <c r="C776" s="67">
        <f t="shared" si="108"/>
        <v>1607</v>
      </c>
      <c r="D776" s="67">
        <f t="shared" si="109"/>
        <v>124404.298</v>
      </c>
      <c r="E776" s="67">
        <f t="shared" si="110"/>
        <v>82304.528999999995</v>
      </c>
      <c r="F776" s="67">
        <f t="shared" si="111"/>
        <v>206708.82699999999</v>
      </c>
      <c r="G776" s="67">
        <f t="shared" si="112"/>
        <v>10010.469999999999</v>
      </c>
      <c r="H776" s="67">
        <f t="shared" si="113"/>
        <v>216719.29699999999</v>
      </c>
      <c r="I776" s="67">
        <f>(E887)</f>
        <v>0</v>
      </c>
      <c r="J776" s="67">
        <f t="shared" si="115"/>
        <v>216719.29699999999</v>
      </c>
      <c r="K776" s="67" t="s">
        <v>2435</v>
      </c>
      <c r="L776" s="67">
        <f>+B751/30/1.98</f>
        <v>2333.181818181818</v>
      </c>
      <c r="M776" s="67">
        <f t="shared" si="116"/>
        <v>1300.9852777777778</v>
      </c>
      <c r="N776" s="67">
        <f>+O256</f>
        <v>0</v>
      </c>
      <c r="O776" s="67"/>
      <c r="P776" s="67"/>
      <c r="Q776" s="67"/>
      <c r="R776" s="67"/>
    </row>
    <row r="777" spans="1:18" ht="15.75" customHeight="1" x14ac:dyDescent="0.3">
      <c r="A777" s="70" t="s">
        <v>2355</v>
      </c>
      <c r="B777" s="67">
        <f t="shared" si="107"/>
        <v>58224</v>
      </c>
      <c r="C777" s="67">
        <f t="shared" si="108"/>
        <v>1607</v>
      </c>
      <c r="D777" s="67">
        <f t="shared" si="109"/>
        <v>93565.967999999993</v>
      </c>
      <c r="E777" s="67">
        <f t="shared" si="110"/>
        <v>125286.545</v>
      </c>
      <c r="F777" s="67">
        <f t="shared" si="111"/>
        <v>218852.51299999998</v>
      </c>
      <c r="G777" s="67">
        <f t="shared" si="112"/>
        <v>29697.930999999997</v>
      </c>
      <c r="H777" s="67">
        <f t="shared" si="113"/>
        <v>248550.44399999996</v>
      </c>
      <c r="I777" s="67">
        <f>(E888)</f>
        <v>0</v>
      </c>
      <c r="J777" s="67">
        <f t="shared" si="115"/>
        <v>248550.44399999996</v>
      </c>
      <c r="K777" s="67" t="s">
        <v>2435</v>
      </c>
      <c r="L777" s="67">
        <f>+B752/31/1.98</f>
        <v>2446.1062235255781</v>
      </c>
      <c r="M777" s="67">
        <f>(B777*43560/31/24/3600)</f>
        <v>946.92258064516136</v>
      </c>
      <c r="N777" s="67">
        <f>+P256</f>
        <v>0</v>
      </c>
      <c r="O777" s="67"/>
      <c r="P777" s="67"/>
      <c r="Q777" s="67"/>
      <c r="R777" s="67"/>
    </row>
    <row r="778" spans="1:18" ht="15.75" customHeight="1" x14ac:dyDescent="0.3">
      <c r="A778" s="67"/>
      <c r="B778" s="67"/>
      <c r="C778" s="67"/>
      <c r="D778" s="67"/>
      <c r="E778" s="67"/>
      <c r="F778" s="67"/>
      <c r="G778" s="67"/>
      <c r="H778" s="67"/>
      <c r="I778" s="67"/>
      <c r="J778" s="67"/>
      <c r="K778" s="67" t="s">
        <v>2435</v>
      </c>
      <c r="L778" s="67"/>
      <c r="M778" s="67"/>
      <c r="N778" s="67"/>
      <c r="O778" s="67"/>
      <c r="P778" s="67"/>
      <c r="Q778" s="67"/>
      <c r="R778" s="67"/>
    </row>
    <row r="779" spans="1:18" ht="15.75" customHeight="1" x14ac:dyDescent="0.3">
      <c r="A779" s="67" t="s">
        <v>2356</v>
      </c>
      <c r="B779" s="67">
        <f>SUM(B766:B777)</f>
        <v>427553</v>
      </c>
      <c r="C779" s="67"/>
      <c r="D779" s="67">
        <f t="shared" ref="D779:J779" si="117">SUM(D766:D777)</f>
        <v>687077.67099999997</v>
      </c>
      <c r="E779" s="67">
        <f t="shared" si="117"/>
        <v>1704669.8360000001</v>
      </c>
      <c r="F779" s="67">
        <f t="shared" si="117"/>
        <v>2391747.5070000002</v>
      </c>
      <c r="G779" s="67">
        <f t="shared" si="117"/>
        <v>369154.24699999997</v>
      </c>
      <c r="H779" s="67">
        <f t="shared" si="117"/>
        <v>2760901.7539999997</v>
      </c>
      <c r="I779" s="67">
        <f t="shared" si="117"/>
        <v>41229.176999999996</v>
      </c>
      <c r="J779" s="67">
        <f t="shared" si="117"/>
        <v>2719672.5769999996</v>
      </c>
      <c r="K779" s="67"/>
      <c r="L779" s="67"/>
      <c r="M779" s="67"/>
      <c r="N779" s="67"/>
      <c r="O779" s="67"/>
      <c r="P779" s="67"/>
      <c r="Q779" s="67"/>
      <c r="R779" s="67"/>
    </row>
    <row r="780" spans="1:18" ht="15.75" customHeight="1" x14ac:dyDescent="0.3">
      <c r="A780" s="67"/>
      <c r="B780" s="67"/>
      <c r="C780" s="67"/>
      <c r="D780" s="67"/>
      <c r="E780" s="67"/>
      <c r="F780" s="67"/>
      <c r="G780" s="67"/>
      <c r="H780" s="67"/>
      <c r="I780" s="67"/>
      <c r="J780" s="67"/>
      <c r="K780" s="67"/>
      <c r="L780" s="67"/>
      <c r="M780" s="67"/>
      <c r="N780" s="67"/>
      <c r="O780" s="67"/>
      <c r="P780" s="67"/>
      <c r="Q780" s="67"/>
      <c r="R780" s="67"/>
    </row>
    <row r="781" spans="1:18" ht="15.75" customHeight="1" x14ac:dyDescent="0.3">
      <c r="A781" s="67" t="s">
        <v>1696</v>
      </c>
      <c r="B781" s="67"/>
      <c r="C781" s="67"/>
      <c r="D781" s="67"/>
      <c r="E781" s="67"/>
      <c r="F781" s="67"/>
      <c r="G781" s="67"/>
      <c r="H781" s="67"/>
      <c r="I781" s="67"/>
      <c r="J781" s="67"/>
      <c r="K781" s="67"/>
      <c r="L781" s="67"/>
      <c r="M781" s="67"/>
      <c r="N781" s="67"/>
      <c r="O781" s="67"/>
      <c r="P781" s="67"/>
      <c r="Q781" s="67"/>
      <c r="R781" s="67"/>
    </row>
    <row r="782" spans="1:18" ht="15.75" customHeight="1" x14ac:dyDescent="0.3">
      <c r="A782" s="67" t="s">
        <v>785</v>
      </c>
      <c r="B782" s="67"/>
      <c r="C782" s="67"/>
      <c r="D782" s="67"/>
      <c r="E782" s="67"/>
      <c r="F782" s="67"/>
      <c r="G782" s="67"/>
      <c r="H782" s="67"/>
      <c r="I782" s="67"/>
      <c r="J782" s="67"/>
      <c r="K782" s="67"/>
      <c r="L782" s="67"/>
      <c r="M782" s="67"/>
      <c r="N782" s="67"/>
      <c r="O782" s="67"/>
      <c r="P782" s="67"/>
      <c r="Q782" s="67"/>
      <c r="R782" s="67"/>
    </row>
    <row r="783" spans="1:18" ht="15.75" customHeight="1" x14ac:dyDescent="0.3">
      <c r="A783" s="67"/>
      <c r="B783" s="67"/>
      <c r="C783" s="67"/>
      <c r="D783" s="67"/>
      <c r="E783" s="67"/>
      <c r="F783" s="67"/>
      <c r="G783" s="67"/>
      <c r="H783" s="67"/>
      <c r="I783" s="67"/>
      <c r="J783" s="67"/>
      <c r="K783" s="67"/>
      <c r="L783" s="67"/>
      <c r="M783" s="67"/>
      <c r="N783" s="67"/>
      <c r="O783" s="67"/>
      <c r="P783" s="67"/>
      <c r="Q783" s="67"/>
      <c r="R783" s="67"/>
    </row>
    <row r="784" spans="1:18" ht="15.75" customHeight="1" x14ac:dyDescent="0.3">
      <c r="A784" s="67" t="s">
        <v>440</v>
      </c>
      <c r="B784" s="67"/>
      <c r="C784" s="67"/>
      <c r="D784" s="67"/>
      <c r="E784" s="67"/>
      <c r="F784" s="67"/>
      <c r="G784" s="67"/>
      <c r="H784" s="67"/>
      <c r="I784" s="67"/>
      <c r="J784" s="67"/>
      <c r="K784" s="67"/>
      <c r="L784" s="67"/>
      <c r="M784" s="67"/>
      <c r="N784" s="67"/>
      <c r="O784" s="67"/>
      <c r="P784" s="67"/>
      <c r="Q784" s="67"/>
      <c r="R784" s="67"/>
    </row>
    <row r="785" spans="1:18" ht="15.75" customHeight="1" x14ac:dyDescent="0.3">
      <c r="A785" s="67"/>
      <c r="B785" s="67"/>
      <c r="C785" s="67"/>
      <c r="D785" s="67"/>
      <c r="E785" s="67"/>
      <c r="F785" s="67"/>
      <c r="G785" s="67"/>
      <c r="H785" s="67"/>
      <c r="I785" s="67"/>
      <c r="J785" s="67"/>
      <c r="K785" s="67"/>
      <c r="L785" s="67"/>
      <c r="M785" s="67"/>
      <c r="N785" s="67"/>
      <c r="O785" s="67"/>
      <c r="P785" s="67"/>
      <c r="Q785" s="67"/>
      <c r="R785" s="67"/>
    </row>
    <row r="786" spans="1:18" ht="15.75" customHeight="1" x14ac:dyDescent="0.3">
      <c r="A786" s="67" t="s">
        <v>1480</v>
      </c>
      <c r="B786" s="67"/>
      <c r="C786" s="67"/>
      <c r="D786" s="67"/>
      <c r="E786" s="67"/>
      <c r="F786" s="67"/>
      <c r="G786" s="67"/>
      <c r="H786" s="67"/>
      <c r="I786" s="67"/>
      <c r="J786" s="67"/>
      <c r="K786" s="67"/>
      <c r="L786" s="67"/>
      <c r="M786" s="67"/>
      <c r="N786" s="67"/>
      <c r="O786" s="67"/>
      <c r="P786" s="67"/>
      <c r="Q786" s="67"/>
      <c r="R786" s="67"/>
    </row>
    <row r="787" spans="1:18" ht="15.75" customHeight="1" x14ac:dyDescent="0.3">
      <c r="A787" s="67"/>
      <c r="B787" s="67"/>
      <c r="C787" s="67"/>
      <c r="D787" s="67"/>
      <c r="E787" s="67"/>
      <c r="F787" s="67"/>
      <c r="G787" s="67"/>
      <c r="H787" s="67"/>
      <c r="I787" s="67"/>
      <c r="J787" s="67"/>
      <c r="K787" s="67"/>
      <c r="L787" s="67"/>
      <c r="M787" s="67"/>
      <c r="N787" s="67"/>
      <c r="O787" s="67"/>
      <c r="P787" s="67"/>
      <c r="Q787" s="67"/>
      <c r="R787" s="67"/>
    </row>
    <row r="788" spans="1:18" ht="15.75" customHeight="1" x14ac:dyDescent="0.3">
      <c r="A788" s="67"/>
      <c r="B788" s="67"/>
      <c r="C788" s="67"/>
      <c r="D788" s="71" t="s">
        <v>1898</v>
      </c>
      <c r="E788" s="67"/>
      <c r="F788" s="67"/>
      <c r="G788" s="67"/>
      <c r="H788" s="67"/>
      <c r="I788" s="67"/>
      <c r="J788" s="67"/>
      <c r="K788" s="67"/>
      <c r="L788" s="67"/>
      <c r="M788" s="67"/>
      <c r="N788" s="67"/>
      <c r="O788" s="67"/>
      <c r="P788" s="67"/>
      <c r="Q788" s="71" t="str">
        <f>+Q1</f>
        <v>PRINTED:</v>
      </c>
      <c r="R788" s="77">
        <f ca="1">+R1</f>
        <v>44881.72963425926</v>
      </c>
    </row>
    <row r="789" spans="1:18" ht="15.75" customHeight="1" x14ac:dyDescent="0.3">
      <c r="A789" s="67"/>
      <c r="B789" s="67"/>
      <c r="C789" s="67"/>
      <c r="D789" s="67"/>
      <c r="E789" s="67" t="s">
        <v>852</v>
      </c>
      <c r="F789" s="69" t="str">
        <f>+A8</f>
        <v>Revised:  1/25/10</v>
      </c>
      <c r="G789" s="67"/>
      <c r="H789" s="67"/>
      <c r="I789" s="67"/>
      <c r="J789" s="67"/>
      <c r="K789" s="67"/>
      <c r="L789" s="67"/>
      <c r="M789" s="67"/>
      <c r="N789" s="67"/>
      <c r="O789" s="67"/>
      <c r="P789" s="67"/>
      <c r="Q789" s="67"/>
      <c r="R789" s="67"/>
    </row>
    <row r="790" spans="1:18" ht="15.75" customHeight="1" x14ac:dyDescent="0.3">
      <c r="A790" s="67"/>
      <c r="B790" s="67"/>
      <c r="C790" s="67"/>
      <c r="D790" s="67" t="s">
        <v>2126</v>
      </c>
      <c r="E790" s="67"/>
      <c r="F790" s="67"/>
      <c r="G790" s="67"/>
      <c r="H790" s="67"/>
      <c r="I790" s="67"/>
      <c r="J790" s="67"/>
      <c r="K790" s="67"/>
      <c r="L790" s="67"/>
      <c r="M790" s="67"/>
      <c r="N790" s="67"/>
      <c r="O790" s="67"/>
      <c r="P790" s="67"/>
      <c r="Q790" s="67"/>
      <c r="R790" s="67"/>
    </row>
    <row r="791" spans="1:18" ht="15.75" customHeight="1" x14ac:dyDescent="0.3">
      <c r="A791" s="67"/>
      <c r="B791" s="67"/>
      <c r="C791" s="67"/>
      <c r="D791" s="67"/>
      <c r="E791" s="67"/>
      <c r="F791" s="67"/>
      <c r="G791" s="67"/>
      <c r="H791" s="67"/>
      <c r="I791" s="67"/>
      <c r="J791" s="67"/>
      <c r="K791" s="67"/>
      <c r="L791" s="67"/>
      <c r="M791" s="67"/>
      <c r="N791" s="67"/>
      <c r="O791" s="67"/>
      <c r="P791" s="67"/>
      <c r="Q791" s="67"/>
      <c r="R791" s="67"/>
    </row>
    <row r="792" spans="1:18" ht="15.75" customHeight="1" x14ac:dyDescent="0.3">
      <c r="A792" s="67"/>
      <c r="B792" s="67"/>
      <c r="C792" s="67"/>
      <c r="D792" s="67"/>
      <c r="E792" s="67" t="str">
        <f>+A5</f>
        <v>Calendar Year 2009</v>
      </c>
      <c r="F792" s="67"/>
      <c r="G792" s="67"/>
      <c r="H792" s="67"/>
      <c r="I792" s="67"/>
      <c r="J792" s="67"/>
      <c r="K792" s="67"/>
      <c r="L792" s="67"/>
      <c r="M792" s="67"/>
      <c r="N792" s="67"/>
      <c r="O792" s="67"/>
      <c r="P792" s="67"/>
      <c r="Q792" s="67"/>
      <c r="R792" s="67"/>
    </row>
    <row r="793" spans="1:18" ht="15.75" customHeight="1" x14ac:dyDescent="0.3">
      <c r="A793" s="67"/>
      <c r="B793" s="67"/>
      <c r="C793" s="67"/>
      <c r="D793" s="67"/>
      <c r="E793" s="67" t="s">
        <v>1271</v>
      </c>
      <c r="F793" s="67"/>
      <c r="G793" s="67"/>
      <c r="H793" s="67"/>
      <c r="I793" s="67"/>
      <c r="J793" s="67"/>
      <c r="K793" s="67"/>
      <c r="L793" s="67"/>
      <c r="M793" s="67"/>
      <c r="N793" s="67"/>
      <c r="O793" s="67"/>
      <c r="P793" s="67"/>
      <c r="Q793" s="67"/>
      <c r="R793" s="67"/>
    </row>
    <row r="794" spans="1:18" ht="15.75" customHeight="1" x14ac:dyDescent="0.3">
      <c r="A794" s="67"/>
      <c r="B794" s="67"/>
      <c r="C794" s="67"/>
      <c r="D794" s="67"/>
      <c r="E794" s="67"/>
      <c r="F794" s="67"/>
      <c r="G794" s="67"/>
      <c r="H794" s="67"/>
      <c r="I794" s="67"/>
      <c r="J794" s="67"/>
      <c r="K794" s="67"/>
      <c r="L794" s="67"/>
      <c r="M794" s="67"/>
      <c r="N794" s="67"/>
      <c r="O794" s="67"/>
      <c r="P794" s="67"/>
      <c r="Q794" s="67"/>
      <c r="R794" s="67"/>
    </row>
    <row r="795" spans="1:18" ht="15.75" customHeight="1" x14ac:dyDescent="0.3">
      <c r="A795" s="67" t="s">
        <v>1307</v>
      </c>
      <c r="B795" s="70" t="s">
        <v>1308</v>
      </c>
      <c r="C795" s="70" t="s">
        <v>1309</v>
      </c>
      <c r="D795" s="70" t="s">
        <v>1029</v>
      </c>
      <c r="E795" s="70" t="s">
        <v>1030</v>
      </c>
      <c r="F795" s="70" t="s">
        <v>284</v>
      </c>
      <c r="G795" s="70" t="s">
        <v>284</v>
      </c>
      <c r="H795" s="70" t="s">
        <v>285</v>
      </c>
      <c r="I795" s="70" t="s">
        <v>286</v>
      </c>
      <c r="J795" s="70" t="s">
        <v>287</v>
      </c>
      <c r="K795" s="70" t="s">
        <v>288</v>
      </c>
      <c r="L795" s="70" t="s">
        <v>289</v>
      </c>
      <c r="M795" s="70" t="s">
        <v>633</v>
      </c>
      <c r="N795" s="70" t="s">
        <v>634</v>
      </c>
      <c r="O795" s="70" t="s">
        <v>1192</v>
      </c>
      <c r="P795" s="70" t="s">
        <v>524</v>
      </c>
      <c r="Q795" s="70" t="s">
        <v>525</v>
      </c>
      <c r="R795" s="67"/>
    </row>
    <row r="796" spans="1:18" ht="15.75" customHeight="1" x14ac:dyDescent="0.3">
      <c r="A796" s="67" t="s">
        <v>526</v>
      </c>
      <c r="B796" s="67"/>
      <c r="C796" s="67"/>
      <c r="D796" s="67"/>
      <c r="E796" s="67"/>
      <c r="F796" s="70" t="s">
        <v>1193</v>
      </c>
      <c r="G796" s="70" t="s">
        <v>1194</v>
      </c>
      <c r="H796" s="67"/>
      <c r="I796" s="67"/>
      <c r="J796" s="67"/>
      <c r="K796" s="67"/>
      <c r="L796" s="67"/>
      <c r="M796" s="67"/>
      <c r="N796" s="67"/>
      <c r="O796" s="67"/>
      <c r="P796" s="67"/>
      <c r="Q796" s="67"/>
      <c r="R796" s="67"/>
    </row>
    <row r="797" spans="1:18" ht="15.75" customHeight="1" x14ac:dyDescent="0.3">
      <c r="A797" s="67" t="s">
        <v>1195</v>
      </c>
      <c r="B797" s="67">
        <v>953</v>
      </c>
      <c r="C797" s="67">
        <v>128</v>
      </c>
      <c r="D797" s="67">
        <v>128</v>
      </c>
      <c r="E797" s="67">
        <v>219</v>
      </c>
      <c r="F797" s="67">
        <v>179</v>
      </c>
      <c r="G797" s="67">
        <v>121</v>
      </c>
      <c r="H797" s="67">
        <v>92</v>
      </c>
      <c r="I797" s="67">
        <v>150</v>
      </c>
      <c r="J797" s="67">
        <v>237</v>
      </c>
      <c r="K797" s="67">
        <v>226</v>
      </c>
      <c r="L797" s="67">
        <v>99</v>
      </c>
      <c r="M797" s="67">
        <v>102</v>
      </c>
      <c r="N797" s="67">
        <v>249</v>
      </c>
      <c r="O797" s="67">
        <v>189</v>
      </c>
      <c r="P797" s="67">
        <v>333</v>
      </c>
      <c r="Q797" s="67">
        <v>411</v>
      </c>
      <c r="R797" s="67"/>
    </row>
    <row r="798" spans="1:18" ht="15.75" customHeight="1" x14ac:dyDescent="0.3">
      <c r="A798" s="67"/>
      <c r="B798" s="74" t="s">
        <v>1353</v>
      </c>
      <c r="C798" s="74" t="s">
        <v>1353</v>
      </c>
      <c r="D798" s="74" t="s">
        <v>1353</v>
      </c>
      <c r="E798" s="74" t="s">
        <v>1353</v>
      </c>
      <c r="F798" s="74" t="s">
        <v>1353</v>
      </c>
      <c r="G798" s="74" t="s">
        <v>1353</v>
      </c>
      <c r="H798" s="74" t="s">
        <v>1353</v>
      </c>
      <c r="I798" s="74" t="s">
        <v>1353</v>
      </c>
      <c r="J798" s="74" t="s">
        <v>1353</v>
      </c>
      <c r="K798" s="74" t="s">
        <v>1353</v>
      </c>
      <c r="L798" s="74" t="s">
        <v>1353</v>
      </c>
      <c r="M798" s="74" t="s">
        <v>1353</v>
      </c>
      <c r="N798" s="74" t="s">
        <v>1353</v>
      </c>
      <c r="O798" s="74" t="s">
        <v>1353</v>
      </c>
      <c r="P798" s="74" t="s">
        <v>1353</v>
      </c>
      <c r="Q798" s="74" t="s">
        <v>1353</v>
      </c>
      <c r="R798" s="67"/>
    </row>
    <row r="799" spans="1:18" ht="15.75" customHeight="1" x14ac:dyDescent="0.3">
      <c r="A799" s="70" t="s">
        <v>1354</v>
      </c>
      <c r="B799" s="67">
        <f t="shared" ref="B799:Q799" si="118">(B741/31/1.98)</f>
        <v>2813.7178233952427</v>
      </c>
      <c r="C799" s="67">
        <f t="shared" si="118"/>
        <v>2812.1375040729881</v>
      </c>
      <c r="D799" s="67">
        <f t="shared" si="118"/>
        <v>2810.5734767025092</v>
      </c>
      <c r="E799" s="67">
        <f t="shared" si="118"/>
        <v>2644.3141088302382</v>
      </c>
      <c r="F799" s="67">
        <f t="shared" si="118"/>
        <v>1591.4956011730205</v>
      </c>
      <c r="G799" s="67">
        <f t="shared" si="118"/>
        <v>0</v>
      </c>
      <c r="H799" s="67">
        <f t="shared" si="118"/>
        <v>705.53926360377977</v>
      </c>
      <c r="I799" s="67">
        <f t="shared" si="118"/>
        <v>372.67839687194527</v>
      </c>
      <c r="J799" s="67">
        <f t="shared" si="118"/>
        <v>359.57966764418381</v>
      </c>
      <c r="K799" s="67">
        <f t="shared" si="118"/>
        <v>334.35972629521018</v>
      </c>
      <c r="L799" s="67">
        <f t="shared" si="118"/>
        <v>261.07852720755943</v>
      </c>
      <c r="M799" s="67">
        <f t="shared" si="118"/>
        <v>260.75268817204301</v>
      </c>
      <c r="N799" s="67">
        <f t="shared" si="118"/>
        <v>260.5897686542848</v>
      </c>
      <c r="O799" s="67">
        <f t="shared" si="118"/>
        <v>39.882697947214076</v>
      </c>
      <c r="P799" s="67">
        <f t="shared" si="118"/>
        <v>87.520364939719769</v>
      </c>
      <c r="Q799" s="67">
        <f t="shared" si="118"/>
        <v>38.774845226458133</v>
      </c>
      <c r="R799" s="67"/>
    </row>
    <row r="800" spans="1:18" ht="15.75" customHeight="1" x14ac:dyDescent="0.3">
      <c r="A800" s="70" t="s">
        <v>706</v>
      </c>
      <c r="B800" s="67">
        <f t="shared" ref="B800:Q800" si="119">(B742/28/1.98)</f>
        <v>2894.4624819624823</v>
      </c>
      <c r="C800" s="67">
        <f t="shared" si="119"/>
        <v>2891.7929292929293</v>
      </c>
      <c r="D800" s="67">
        <f t="shared" si="119"/>
        <v>2889.177489177489</v>
      </c>
      <c r="E800" s="67">
        <f t="shared" si="119"/>
        <v>2534.0367965367964</v>
      </c>
      <c r="F800" s="67">
        <f t="shared" si="119"/>
        <v>1540.909090909091</v>
      </c>
      <c r="G800" s="67">
        <f t="shared" si="119"/>
        <v>0</v>
      </c>
      <c r="H800" s="67">
        <f t="shared" si="119"/>
        <v>666.77489177489178</v>
      </c>
      <c r="I800" s="67">
        <f t="shared" si="119"/>
        <v>166.64862914862914</v>
      </c>
      <c r="J800" s="67">
        <f t="shared" si="119"/>
        <v>146.26623376623377</v>
      </c>
      <c r="K800" s="67">
        <f t="shared" si="119"/>
        <v>112.64430014430015</v>
      </c>
      <c r="L800" s="67">
        <f t="shared" si="119"/>
        <v>100.86580086580086</v>
      </c>
      <c r="M800" s="67">
        <f t="shared" si="119"/>
        <v>100.46897546897546</v>
      </c>
      <c r="N800" s="67">
        <f t="shared" si="119"/>
        <v>100.27056277056276</v>
      </c>
      <c r="O800" s="67">
        <f t="shared" si="119"/>
        <v>33.152958152958149</v>
      </c>
      <c r="P800" s="67">
        <f t="shared" si="119"/>
        <v>70.129870129870127</v>
      </c>
      <c r="Q800" s="67">
        <f t="shared" si="119"/>
        <v>32.683982683982684</v>
      </c>
      <c r="R800" s="67"/>
    </row>
    <row r="801" spans="1:18" ht="15.75" customHeight="1" x14ac:dyDescent="0.3">
      <c r="A801" s="70" t="s">
        <v>707</v>
      </c>
      <c r="B801" s="67">
        <f t="shared" ref="B801:Q801" si="120">(B743/31/1.98)</f>
        <v>2948.0449657869012</v>
      </c>
      <c r="C801" s="67">
        <f t="shared" si="120"/>
        <v>2943.5809710003259</v>
      </c>
      <c r="D801" s="67">
        <f t="shared" si="120"/>
        <v>2939.3287715868364</v>
      </c>
      <c r="E801" s="67">
        <f t="shared" si="120"/>
        <v>2470.918866080156</v>
      </c>
      <c r="F801" s="67">
        <f t="shared" si="120"/>
        <v>746.44835451287065</v>
      </c>
      <c r="G801" s="67">
        <f t="shared" si="120"/>
        <v>0</v>
      </c>
      <c r="H801" s="67">
        <f t="shared" si="120"/>
        <v>1248.1590094493322</v>
      </c>
      <c r="I801" s="67">
        <f t="shared" si="120"/>
        <v>347.3769957640925</v>
      </c>
      <c r="J801" s="67">
        <f t="shared" si="120"/>
        <v>205.63701531443468</v>
      </c>
      <c r="K801" s="67">
        <f t="shared" si="120"/>
        <v>116.42228739002934</v>
      </c>
      <c r="L801" s="67">
        <f t="shared" si="120"/>
        <v>82.697947214076251</v>
      </c>
      <c r="M801" s="67">
        <f t="shared" si="120"/>
        <v>82.241772564353212</v>
      </c>
      <c r="N801" s="67">
        <f t="shared" si="120"/>
        <v>80.905832518735735</v>
      </c>
      <c r="O801" s="67">
        <f t="shared" si="120"/>
        <v>51.319648093841643</v>
      </c>
      <c r="P801" s="67">
        <f t="shared" si="120"/>
        <v>98.093841642228739</v>
      </c>
      <c r="Q801" s="67">
        <f t="shared" si="120"/>
        <v>50.146627565982406</v>
      </c>
      <c r="R801" s="67"/>
    </row>
    <row r="802" spans="1:18" ht="15.75" customHeight="1" x14ac:dyDescent="0.3">
      <c r="A802" s="70" t="s">
        <v>1321</v>
      </c>
      <c r="B802" s="67">
        <f t="shared" ref="B802:Q802" si="121">(B744/30/1.98)</f>
        <v>2924.4612794612794</v>
      </c>
      <c r="C802" s="67">
        <f t="shared" si="121"/>
        <v>2918.2828282828282</v>
      </c>
      <c r="D802" s="67">
        <f t="shared" si="121"/>
        <v>2912.3905723905727</v>
      </c>
      <c r="E802" s="67">
        <f t="shared" si="121"/>
        <v>2469.3771043771044</v>
      </c>
      <c r="F802" s="67">
        <f t="shared" si="121"/>
        <v>346.31313131313135</v>
      </c>
      <c r="G802" s="67">
        <f t="shared" si="121"/>
        <v>0</v>
      </c>
      <c r="H802" s="67">
        <f t="shared" si="121"/>
        <v>1720.2861952861952</v>
      </c>
      <c r="I802" s="67">
        <f t="shared" si="121"/>
        <v>606.76767676767679</v>
      </c>
      <c r="J802" s="67">
        <f t="shared" si="121"/>
        <v>395.85858585858585</v>
      </c>
      <c r="K802" s="67">
        <f t="shared" si="121"/>
        <v>285.11784511784509</v>
      </c>
      <c r="L802" s="67">
        <f t="shared" si="121"/>
        <v>163.13131313131314</v>
      </c>
      <c r="M802" s="67">
        <f t="shared" si="121"/>
        <v>162.50841750841749</v>
      </c>
      <c r="N802" s="67">
        <f t="shared" si="121"/>
        <v>162.20538720538721</v>
      </c>
      <c r="O802" s="67">
        <f t="shared" si="121"/>
        <v>46.734006734006734</v>
      </c>
      <c r="P802" s="67">
        <f t="shared" si="121"/>
        <v>84.882154882154879</v>
      </c>
      <c r="Q802" s="67">
        <f t="shared" si="121"/>
        <v>45.488215488215488</v>
      </c>
      <c r="R802" s="67"/>
    </row>
    <row r="803" spans="1:18" ht="15.75" customHeight="1" x14ac:dyDescent="0.3">
      <c r="A803" s="70" t="s">
        <v>1905</v>
      </c>
      <c r="B803" s="67">
        <f t="shared" ref="B803:Q803" si="122">(B745/31/1.98)</f>
        <v>2687.6344086021509</v>
      </c>
      <c r="C803" s="67">
        <f t="shared" si="122"/>
        <v>2680.710329097426</v>
      </c>
      <c r="D803" s="67">
        <f t="shared" si="122"/>
        <v>2674.1609644835453</v>
      </c>
      <c r="E803" s="67">
        <f t="shared" si="122"/>
        <v>2217.2531769305961</v>
      </c>
      <c r="F803" s="67">
        <f t="shared" si="122"/>
        <v>68.312153796024759</v>
      </c>
      <c r="G803" s="67">
        <f t="shared" si="122"/>
        <v>-197.23036819811014</v>
      </c>
      <c r="H803" s="67">
        <f t="shared" si="122"/>
        <v>1738.9540566959922</v>
      </c>
      <c r="I803" s="67">
        <f t="shared" si="122"/>
        <v>523.68849788204636</v>
      </c>
      <c r="J803" s="67">
        <f t="shared" si="122"/>
        <v>356.15835777126102</v>
      </c>
      <c r="K803" s="67">
        <f t="shared" si="122"/>
        <v>278.00586510263935</v>
      </c>
      <c r="L803" s="67">
        <f t="shared" si="122"/>
        <v>179.45584881068751</v>
      </c>
      <c r="M803" s="67">
        <f t="shared" si="122"/>
        <v>178.77158683610295</v>
      </c>
      <c r="N803" s="67">
        <f t="shared" si="122"/>
        <v>178.4294558488107</v>
      </c>
      <c r="O803" s="67">
        <f t="shared" si="122"/>
        <v>60.394265232974909</v>
      </c>
      <c r="P803" s="67">
        <f t="shared" si="122"/>
        <v>83.202997719126756</v>
      </c>
      <c r="Q803" s="67">
        <f t="shared" si="122"/>
        <v>60.101010101010104</v>
      </c>
      <c r="R803" s="67"/>
    </row>
    <row r="804" spans="1:18" ht="15.75" customHeight="1" x14ac:dyDescent="0.3">
      <c r="A804" s="70" t="s">
        <v>1906</v>
      </c>
      <c r="B804" s="67">
        <f t="shared" ref="B804:Q804" si="123">(B746/30/1.98)</f>
        <v>1632.2727272727273</v>
      </c>
      <c r="C804" s="67">
        <f t="shared" si="123"/>
        <v>1625.2525252525252</v>
      </c>
      <c r="D804" s="67">
        <f t="shared" si="123"/>
        <v>1618.5858585858587</v>
      </c>
      <c r="E804" s="67">
        <f t="shared" si="123"/>
        <v>1306.2457912457912</v>
      </c>
      <c r="F804" s="67">
        <f t="shared" si="123"/>
        <v>0</v>
      </c>
      <c r="G804" s="67">
        <f t="shared" si="123"/>
        <v>-1416.2289562289561</v>
      </c>
      <c r="H804" s="67">
        <f t="shared" si="123"/>
        <v>2186.7340067340069</v>
      </c>
      <c r="I804" s="67">
        <f t="shared" si="123"/>
        <v>694.76430976430981</v>
      </c>
      <c r="J804" s="67">
        <f t="shared" si="123"/>
        <v>430.99326599326599</v>
      </c>
      <c r="K804" s="67">
        <f t="shared" si="123"/>
        <v>316.90235690235693</v>
      </c>
      <c r="L804" s="67">
        <f t="shared" si="123"/>
        <v>211.81818181818181</v>
      </c>
      <c r="M804" s="67">
        <f t="shared" si="123"/>
        <v>211.07744107744108</v>
      </c>
      <c r="N804" s="67">
        <f t="shared" si="123"/>
        <v>209.47811447811446</v>
      </c>
      <c r="O804" s="67">
        <f t="shared" si="123"/>
        <v>62.542087542087543</v>
      </c>
      <c r="P804" s="67">
        <f t="shared" si="123"/>
        <v>89.730639730639723</v>
      </c>
      <c r="Q804" s="67">
        <f t="shared" si="123"/>
        <v>61.026936026936028</v>
      </c>
      <c r="R804" s="67"/>
    </row>
    <row r="805" spans="1:18" ht="15.75" customHeight="1" x14ac:dyDescent="0.3">
      <c r="A805" s="70" t="s">
        <v>1907</v>
      </c>
      <c r="B805" s="67">
        <f t="shared" ref="B805:Q805" si="124">(B747/31/1.98)</f>
        <v>1239.3124796350603</v>
      </c>
      <c r="C805" s="67">
        <f t="shared" si="124"/>
        <v>1232.5350276963181</v>
      </c>
      <c r="D805" s="67">
        <f t="shared" si="124"/>
        <v>1226.1159986966438</v>
      </c>
      <c r="E805" s="67">
        <f t="shared" si="124"/>
        <v>809.80775496904539</v>
      </c>
      <c r="F805" s="67">
        <f t="shared" si="124"/>
        <v>0</v>
      </c>
      <c r="G805" s="67">
        <f t="shared" si="124"/>
        <v>-1927.1586836102967</v>
      </c>
      <c r="H805" s="67">
        <f t="shared" si="124"/>
        <v>2177.3378950798306</v>
      </c>
      <c r="I805" s="67">
        <f t="shared" si="124"/>
        <v>868.94753991528182</v>
      </c>
      <c r="J805" s="67">
        <f t="shared" si="124"/>
        <v>576.58846529814275</v>
      </c>
      <c r="K805" s="67">
        <f t="shared" si="124"/>
        <v>449.69045291625935</v>
      </c>
      <c r="L805" s="67">
        <f t="shared" si="124"/>
        <v>317.51384815900946</v>
      </c>
      <c r="M805" s="67">
        <f t="shared" si="124"/>
        <v>316.87846203975232</v>
      </c>
      <c r="N805" s="67">
        <f t="shared" si="124"/>
        <v>302.19941348973606</v>
      </c>
      <c r="O805" s="67">
        <f t="shared" si="124"/>
        <v>53.372434017595303</v>
      </c>
      <c r="P805" s="67">
        <f t="shared" si="124"/>
        <v>89.345063538611925</v>
      </c>
      <c r="Q805" s="67">
        <f t="shared" si="124"/>
        <v>51.368523949169109</v>
      </c>
      <c r="R805" s="67"/>
    </row>
    <row r="806" spans="1:18" ht="15.75" customHeight="1" x14ac:dyDescent="0.3">
      <c r="A806" s="70" t="s">
        <v>1908</v>
      </c>
      <c r="B806" s="67">
        <f t="shared" ref="B806:Q806" si="125">(B748/31/1.98)</f>
        <v>1165.8031932225481</v>
      </c>
      <c r="C806" s="67">
        <f t="shared" si="125"/>
        <v>1160.3616813294232</v>
      </c>
      <c r="D806" s="67">
        <f t="shared" si="125"/>
        <v>1155.1808406647117</v>
      </c>
      <c r="E806" s="67">
        <f t="shared" si="125"/>
        <v>668.54024112088632</v>
      </c>
      <c r="F806" s="67">
        <f t="shared" si="125"/>
        <v>0</v>
      </c>
      <c r="G806" s="67">
        <f t="shared" si="125"/>
        <v>-2056.3375692407949</v>
      </c>
      <c r="H806" s="67">
        <f t="shared" si="125"/>
        <v>2203.4213098729228</v>
      </c>
      <c r="I806" s="67">
        <f t="shared" si="125"/>
        <v>896.95340501792111</v>
      </c>
      <c r="J806" s="67">
        <f t="shared" si="125"/>
        <v>597.70283479960904</v>
      </c>
      <c r="K806" s="67">
        <f t="shared" si="125"/>
        <v>465.23297491039426</v>
      </c>
      <c r="L806" s="67">
        <f t="shared" si="125"/>
        <v>347.05115672857607</v>
      </c>
      <c r="M806" s="67">
        <f t="shared" si="125"/>
        <v>346.46464646464648</v>
      </c>
      <c r="N806" s="67">
        <f t="shared" si="125"/>
        <v>335.36982730531116</v>
      </c>
      <c r="O806" s="67">
        <f t="shared" si="125"/>
        <v>74.258716194200062</v>
      </c>
      <c r="P806" s="67">
        <f t="shared" si="125"/>
        <v>91.381557510589772</v>
      </c>
      <c r="Q806" s="67">
        <f t="shared" si="125"/>
        <v>73.053111762789186</v>
      </c>
      <c r="R806" s="67"/>
    </row>
    <row r="807" spans="1:18" ht="15.75" customHeight="1" x14ac:dyDescent="0.3">
      <c r="A807" s="70" t="s">
        <v>2352</v>
      </c>
      <c r="B807" s="67">
        <f>(B749/30/1.98)</f>
        <v>2414.5622895622896</v>
      </c>
      <c r="C807" s="67">
        <f t="shared" ref="C807:Q807" si="126">(C749/30/1.98)</f>
        <v>2409.2424242424245</v>
      </c>
      <c r="D807" s="67">
        <f t="shared" si="126"/>
        <v>2404.1750841750841</v>
      </c>
      <c r="E807" s="67">
        <f t="shared" si="126"/>
        <v>2192.4410774410776</v>
      </c>
      <c r="F807" s="67">
        <f t="shared" si="126"/>
        <v>352.52525252525254</v>
      </c>
      <c r="G807" s="67">
        <f t="shared" si="126"/>
        <v>-156.8013468013468</v>
      </c>
      <c r="H807" s="67">
        <f t="shared" si="126"/>
        <v>1525.1683501683503</v>
      </c>
      <c r="I807" s="67">
        <f t="shared" si="126"/>
        <v>550.15151515151513</v>
      </c>
      <c r="J807" s="67">
        <f t="shared" si="126"/>
        <v>476.11111111111114</v>
      </c>
      <c r="K807" s="67">
        <f t="shared" si="126"/>
        <v>399.30976430976432</v>
      </c>
      <c r="L807" s="67">
        <f t="shared" si="126"/>
        <v>327.10437710437708</v>
      </c>
      <c r="M807" s="67">
        <f t="shared" si="126"/>
        <v>326.53198653198655</v>
      </c>
      <c r="N807" s="67">
        <f t="shared" si="126"/>
        <v>315.1010101010101</v>
      </c>
      <c r="O807" s="67">
        <f t="shared" si="126"/>
        <v>68.905723905723903</v>
      </c>
      <c r="P807" s="67">
        <f t="shared" si="126"/>
        <v>87.255892255892263</v>
      </c>
      <c r="Q807" s="67">
        <f t="shared" si="126"/>
        <v>68.181818181818187</v>
      </c>
      <c r="R807" s="67"/>
    </row>
    <row r="808" spans="1:18" ht="15.75" customHeight="1" x14ac:dyDescent="0.3">
      <c r="A808" s="70" t="s">
        <v>2353</v>
      </c>
      <c r="B808" s="67">
        <f t="shared" ref="B808:Q808" si="127">(B750/31/1.98)</f>
        <v>2213.5386119257087</v>
      </c>
      <c r="C808" s="67">
        <f t="shared" si="127"/>
        <v>2208.8954056695993</v>
      </c>
      <c r="D808" s="67">
        <f t="shared" si="127"/>
        <v>2204.4639947865753</v>
      </c>
      <c r="E808" s="67">
        <f t="shared" si="127"/>
        <v>1774.2587161942001</v>
      </c>
      <c r="F808" s="67">
        <f t="shared" si="127"/>
        <v>281.52492668621699</v>
      </c>
      <c r="G808" s="67">
        <f t="shared" si="127"/>
        <v>0</v>
      </c>
      <c r="H808" s="67">
        <f t="shared" si="127"/>
        <v>974.61713913326821</v>
      </c>
      <c r="I808" s="67">
        <f t="shared" si="127"/>
        <v>394.91691104594327</v>
      </c>
      <c r="J808" s="67">
        <f t="shared" si="127"/>
        <v>360.62235255783639</v>
      </c>
      <c r="K808" s="67">
        <f t="shared" si="127"/>
        <v>333.26816552623006</v>
      </c>
      <c r="L808" s="67">
        <f t="shared" si="127"/>
        <v>293.07592049527534</v>
      </c>
      <c r="M808" s="67">
        <f t="shared" si="127"/>
        <v>292.60345389377648</v>
      </c>
      <c r="N808" s="67">
        <f t="shared" si="127"/>
        <v>284.34343434343435</v>
      </c>
      <c r="O808" s="67">
        <f t="shared" si="127"/>
        <v>42.766373411534701</v>
      </c>
      <c r="P808" s="67">
        <f t="shared" si="127"/>
        <v>85.467579015966109</v>
      </c>
      <c r="Q808" s="67">
        <f t="shared" si="127"/>
        <v>41.169762137504073</v>
      </c>
      <c r="R808" s="67"/>
    </row>
    <row r="809" spans="1:18" ht="15.75" customHeight="1" x14ac:dyDescent="0.3">
      <c r="A809" s="70" t="s">
        <v>2354</v>
      </c>
      <c r="B809" s="67">
        <f t="shared" ref="B809:Q809" si="128">(B751/30/1.98)</f>
        <v>2333.181818181818</v>
      </c>
      <c r="C809" s="67">
        <f t="shared" si="128"/>
        <v>2329.2255892255894</v>
      </c>
      <c r="D809" s="67">
        <f t="shared" si="128"/>
        <v>2325.4208754208753</v>
      </c>
      <c r="E809" s="67">
        <f t="shared" si="128"/>
        <v>1951.3468013468014</v>
      </c>
      <c r="F809" s="67">
        <f t="shared" si="128"/>
        <v>1303.2659932659933</v>
      </c>
      <c r="G809" s="67">
        <f t="shared" si="128"/>
        <v>0</v>
      </c>
      <c r="H809" s="67">
        <f t="shared" si="128"/>
        <v>238.65319865319867</v>
      </c>
      <c r="I809" s="67">
        <f t="shared" si="128"/>
        <v>105.8080808080808</v>
      </c>
      <c r="J809" s="67">
        <f t="shared" si="128"/>
        <v>105.43771043771045</v>
      </c>
      <c r="K809" s="67">
        <f t="shared" si="128"/>
        <v>100.8922558922559</v>
      </c>
      <c r="L809" s="67">
        <f t="shared" si="128"/>
        <v>92.91245791245791</v>
      </c>
      <c r="M809" s="67">
        <f t="shared" si="128"/>
        <v>92.525252525252526</v>
      </c>
      <c r="N809" s="67">
        <f t="shared" si="128"/>
        <v>91.80134680134681</v>
      </c>
      <c r="O809" s="67">
        <f t="shared" si="128"/>
        <v>21.986531986531986</v>
      </c>
      <c r="P809" s="67">
        <f t="shared" si="128"/>
        <v>86.414141414141412</v>
      </c>
      <c r="Q809" s="67">
        <f t="shared" si="128"/>
        <v>20.63973063973064</v>
      </c>
      <c r="R809" s="67"/>
    </row>
    <row r="810" spans="1:18" ht="15.75" customHeight="1" x14ac:dyDescent="0.3">
      <c r="A810" s="70" t="s">
        <v>2355</v>
      </c>
      <c r="B810" s="67">
        <f t="shared" ref="B810:Q810" si="129">(B752/31/1.98)</f>
        <v>2446.1062235255781</v>
      </c>
      <c r="C810" s="67">
        <f t="shared" si="129"/>
        <v>2443.0759204952751</v>
      </c>
      <c r="D810" s="67">
        <f t="shared" si="129"/>
        <v>2440.1596611274035</v>
      </c>
      <c r="E810" s="67">
        <f t="shared" si="129"/>
        <v>2007.0544151189313</v>
      </c>
      <c r="F810" s="67">
        <f t="shared" si="129"/>
        <v>948.58260019550346</v>
      </c>
      <c r="G810" s="67">
        <f t="shared" si="129"/>
        <v>0</v>
      </c>
      <c r="H810" s="67">
        <f t="shared" si="129"/>
        <v>675.95307917888567</v>
      </c>
      <c r="I810" s="67">
        <f t="shared" si="129"/>
        <v>374.16096448354517</v>
      </c>
      <c r="J810" s="67">
        <f t="shared" si="129"/>
        <v>361.74649723036822</v>
      </c>
      <c r="K810" s="67">
        <f t="shared" si="129"/>
        <v>358.5206907787553</v>
      </c>
      <c r="L810" s="67">
        <f t="shared" si="129"/>
        <v>286.23330074942982</v>
      </c>
      <c r="M810" s="67">
        <f t="shared" si="129"/>
        <v>285.92375366568916</v>
      </c>
      <c r="N810" s="67">
        <f t="shared" si="129"/>
        <v>285.77712609970678</v>
      </c>
      <c r="O810" s="67">
        <f t="shared" si="129"/>
        <v>70.593027044639953</v>
      </c>
      <c r="P810" s="67">
        <f t="shared" si="129"/>
        <v>84.017595307917887</v>
      </c>
      <c r="Q810" s="67">
        <f t="shared" si="129"/>
        <v>70.039100684261982</v>
      </c>
      <c r="R810" s="67"/>
    </row>
    <row r="811" spans="1:18" ht="15.75" customHeight="1" x14ac:dyDescent="0.3">
      <c r="A811" s="67"/>
      <c r="B811" s="67"/>
      <c r="C811" s="67"/>
      <c r="D811" s="67"/>
      <c r="E811" s="67"/>
      <c r="F811" s="67"/>
      <c r="G811" s="67"/>
      <c r="H811" s="67"/>
      <c r="I811" s="67"/>
      <c r="J811" s="67"/>
      <c r="K811" s="67"/>
      <c r="L811" s="67"/>
      <c r="M811" s="67"/>
      <c r="N811" s="67"/>
      <c r="O811" s="67"/>
      <c r="P811" s="67"/>
      <c r="Q811" s="67"/>
      <c r="R811" s="67"/>
    </row>
    <row r="812" spans="1:18" ht="15.75" customHeight="1" x14ac:dyDescent="0.3">
      <c r="A812" s="67"/>
      <c r="B812" s="67"/>
      <c r="C812" s="67"/>
      <c r="D812" s="71" t="s">
        <v>1198</v>
      </c>
      <c r="E812" s="67"/>
      <c r="F812" s="67"/>
      <c r="G812" s="67"/>
      <c r="H812" s="67"/>
      <c r="I812" s="67"/>
      <c r="J812" s="67"/>
      <c r="K812" s="67"/>
      <c r="L812" s="67"/>
      <c r="M812" s="67"/>
      <c r="N812" s="67"/>
      <c r="O812" s="67"/>
      <c r="P812" s="67"/>
      <c r="Q812" s="71" t="str">
        <f>+Q1</f>
        <v>PRINTED:</v>
      </c>
      <c r="R812" s="77">
        <f ca="1">+R1</f>
        <v>44881.72963425926</v>
      </c>
    </row>
    <row r="813" spans="1:18" ht="15.75" customHeight="1" x14ac:dyDescent="0.3">
      <c r="A813" s="67"/>
      <c r="B813" s="67"/>
      <c r="C813" s="67"/>
      <c r="D813" s="67"/>
      <c r="E813" s="67" t="s">
        <v>852</v>
      </c>
      <c r="F813" s="69" t="str">
        <f>+A8</f>
        <v>Revised:  1/25/10</v>
      </c>
      <c r="G813" s="67"/>
      <c r="H813" s="67"/>
      <c r="I813" s="67"/>
      <c r="J813" s="67"/>
      <c r="K813" s="67"/>
      <c r="L813" s="67"/>
      <c r="M813" s="67"/>
      <c r="N813" s="67"/>
      <c r="O813" s="67"/>
      <c r="P813" s="67"/>
      <c r="Q813" s="67"/>
      <c r="R813" s="67"/>
    </row>
    <row r="814" spans="1:18" ht="15.75" customHeight="1" x14ac:dyDescent="0.3">
      <c r="A814" s="67"/>
      <c r="B814" s="67"/>
      <c r="C814" s="67"/>
      <c r="D814" s="67" t="s">
        <v>2126</v>
      </c>
      <c r="E814" s="67"/>
      <c r="F814" s="67"/>
      <c r="G814" s="67"/>
      <c r="H814" s="67"/>
      <c r="I814" s="67"/>
      <c r="J814" s="67"/>
      <c r="K814" s="67"/>
      <c r="L814" s="67"/>
      <c r="M814" s="67"/>
      <c r="N814" s="67"/>
      <c r="O814" s="67"/>
      <c r="P814" s="67"/>
      <c r="Q814" s="67"/>
      <c r="R814" s="67"/>
    </row>
    <row r="815" spans="1:18" ht="15.75" customHeight="1" x14ac:dyDescent="0.3">
      <c r="A815" s="67"/>
      <c r="B815" s="67"/>
      <c r="C815" s="67"/>
      <c r="D815" s="67"/>
      <c r="E815" s="67"/>
      <c r="F815" s="67"/>
      <c r="G815" s="67"/>
      <c r="H815" s="67"/>
      <c r="I815" s="67"/>
      <c r="J815" s="67"/>
      <c r="K815" s="67"/>
      <c r="L815" s="67"/>
      <c r="M815" s="67"/>
      <c r="N815" s="67"/>
      <c r="O815" s="67"/>
      <c r="P815" s="67"/>
      <c r="Q815" s="67"/>
      <c r="R815" s="67"/>
    </row>
    <row r="816" spans="1:18" ht="15.75" customHeight="1" x14ac:dyDescent="0.3">
      <c r="A816" s="67"/>
      <c r="B816" s="67"/>
      <c r="C816" s="67"/>
      <c r="D816" s="67"/>
      <c r="E816" s="67" t="str">
        <f>A5</f>
        <v>Calendar Year 2009</v>
      </c>
      <c r="F816" s="67"/>
      <c r="G816" s="67"/>
      <c r="H816" s="67"/>
      <c r="I816" s="67"/>
      <c r="J816" s="67"/>
      <c r="K816" s="67"/>
      <c r="L816" s="67"/>
      <c r="M816" s="67"/>
      <c r="N816" s="67"/>
      <c r="O816" s="67"/>
      <c r="P816" s="67"/>
      <c r="Q816" s="67"/>
      <c r="R816" s="67"/>
    </row>
    <row r="817" spans="1:18" ht="15.75" customHeight="1" x14ac:dyDescent="0.3">
      <c r="A817" s="67"/>
      <c r="B817" s="67"/>
      <c r="C817" s="67"/>
      <c r="D817" s="67"/>
      <c r="E817" s="67" t="s">
        <v>1199</v>
      </c>
      <c r="F817" s="67"/>
      <c r="G817" s="67"/>
      <c r="H817" s="67"/>
      <c r="I817" s="67"/>
      <c r="J817" s="67"/>
      <c r="K817" s="67"/>
      <c r="L817" s="67"/>
      <c r="M817" s="67"/>
      <c r="N817" s="67"/>
      <c r="O817" s="67"/>
      <c r="P817" s="67"/>
      <c r="Q817" s="67"/>
      <c r="R817" s="67"/>
    </row>
    <row r="818" spans="1:18" ht="15.75" customHeight="1" x14ac:dyDescent="0.3">
      <c r="A818" s="67"/>
      <c r="B818" s="67"/>
      <c r="C818" s="67"/>
      <c r="D818" s="67"/>
      <c r="E818" s="67"/>
      <c r="F818" s="67"/>
      <c r="G818" s="67"/>
      <c r="H818" s="67"/>
      <c r="I818" s="67"/>
      <c r="J818" s="67"/>
      <c r="K818" s="67"/>
      <c r="L818" s="67"/>
      <c r="M818" s="67"/>
      <c r="N818" s="67"/>
      <c r="O818" s="67"/>
      <c r="P818" s="67"/>
      <c r="Q818" s="67"/>
      <c r="R818" s="67"/>
    </row>
    <row r="819" spans="1:18" ht="15.75" customHeight="1" x14ac:dyDescent="0.3">
      <c r="A819" s="67" t="s">
        <v>1307</v>
      </c>
      <c r="B819" s="70" t="s">
        <v>1308</v>
      </c>
      <c r="C819" s="70" t="s">
        <v>1309</v>
      </c>
      <c r="D819" s="70" t="s">
        <v>1029</v>
      </c>
      <c r="E819" s="70" t="s">
        <v>1030</v>
      </c>
      <c r="F819" s="70" t="s">
        <v>284</v>
      </c>
      <c r="G819" s="70" t="s">
        <v>284</v>
      </c>
      <c r="H819" s="70" t="s">
        <v>285</v>
      </c>
      <c r="I819" s="70" t="s">
        <v>286</v>
      </c>
      <c r="J819" s="70" t="s">
        <v>287</v>
      </c>
      <c r="K819" s="70" t="s">
        <v>288</v>
      </c>
      <c r="L819" s="70" t="s">
        <v>289</v>
      </c>
      <c r="M819" s="70" t="s">
        <v>633</v>
      </c>
      <c r="N819" s="70" t="s">
        <v>634</v>
      </c>
      <c r="O819" s="70" t="s">
        <v>1192</v>
      </c>
      <c r="P819" s="70" t="s">
        <v>524</v>
      </c>
      <c r="Q819" s="70" t="s">
        <v>525</v>
      </c>
      <c r="R819" s="70" t="s">
        <v>2356</v>
      </c>
    </row>
    <row r="820" spans="1:18" ht="15.75" customHeight="1" x14ac:dyDescent="0.3">
      <c r="A820" s="67" t="s">
        <v>526</v>
      </c>
      <c r="B820" s="67"/>
      <c r="C820" s="67"/>
      <c r="D820" s="67"/>
      <c r="E820" s="67"/>
      <c r="F820" s="70" t="s">
        <v>1193</v>
      </c>
      <c r="G820" s="70" t="s">
        <v>1194</v>
      </c>
      <c r="H820" s="67"/>
      <c r="I820" s="67"/>
      <c r="J820" s="67"/>
      <c r="K820" s="67"/>
      <c r="L820" s="67"/>
      <c r="M820" s="67"/>
      <c r="N820" s="67"/>
      <c r="O820" s="67"/>
      <c r="P820" s="67"/>
      <c r="Q820" s="67"/>
      <c r="R820" s="70" t="s">
        <v>1236</v>
      </c>
    </row>
    <row r="821" spans="1:18" ht="15.75" customHeight="1" x14ac:dyDescent="0.3">
      <c r="A821" s="67" t="s">
        <v>1195</v>
      </c>
      <c r="B821" s="67">
        <v>953</v>
      </c>
      <c r="C821" s="67">
        <v>128</v>
      </c>
      <c r="D821" s="67">
        <v>128</v>
      </c>
      <c r="E821" s="67">
        <v>219</v>
      </c>
      <c r="F821" s="67">
        <v>179</v>
      </c>
      <c r="G821" s="67">
        <v>121</v>
      </c>
      <c r="H821" s="67">
        <v>92</v>
      </c>
      <c r="I821" s="67">
        <v>150</v>
      </c>
      <c r="J821" s="67">
        <v>237</v>
      </c>
      <c r="K821" s="67">
        <v>226</v>
      </c>
      <c r="L821" s="67">
        <v>99</v>
      </c>
      <c r="M821" s="67">
        <v>102</v>
      </c>
      <c r="N821" s="67">
        <v>249</v>
      </c>
      <c r="O821" s="67">
        <v>189</v>
      </c>
      <c r="P821" s="67">
        <v>333</v>
      </c>
      <c r="Q821" s="67">
        <v>411</v>
      </c>
      <c r="R821" s="70" t="s">
        <v>335</v>
      </c>
    </row>
    <row r="822" spans="1:18" ht="15.75" customHeight="1" x14ac:dyDescent="0.3">
      <c r="A822" s="67"/>
      <c r="B822" s="67" t="s">
        <v>1353</v>
      </c>
      <c r="C822" s="67" t="s">
        <v>1353</v>
      </c>
      <c r="D822" s="67" t="s">
        <v>1353</v>
      </c>
      <c r="E822" s="67" t="s">
        <v>1353</v>
      </c>
      <c r="F822" s="67" t="s">
        <v>1353</v>
      </c>
      <c r="G822" s="67" t="s">
        <v>1353</v>
      </c>
      <c r="H822" s="67" t="s">
        <v>1353</v>
      </c>
      <c r="I822" s="67" t="s">
        <v>1353</v>
      </c>
      <c r="J822" s="67" t="s">
        <v>1353</v>
      </c>
      <c r="K822" s="67" t="s">
        <v>1353</v>
      </c>
      <c r="L822" s="67" t="s">
        <v>1353</v>
      </c>
      <c r="M822" s="67" t="s">
        <v>1353</v>
      </c>
      <c r="N822" s="67" t="s">
        <v>1353</v>
      </c>
      <c r="O822" s="67" t="s">
        <v>1353</v>
      </c>
      <c r="P822" s="67" t="s">
        <v>1353</v>
      </c>
      <c r="Q822" s="67" t="s">
        <v>1353</v>
      </c>
      <c r="R822" s="67" t="s">
        <v>251</v>
      </c>
    </row>
    <row r="823" spans="1:18" ht="15.75" customHeight="1" x14ac:dyDescent="0.3">
      <c r="A823" s="70" t="s">
        <v>1354</v>
      </c>
      <c r="B823" s="67">
        <f t="shared" ref="B823:Q823" si="130">(B741*B739)/1000</f>
        <v>164588.818</v>
      </c>
      <c r="C823" s="67">
        <f t="shared" si="130"/>
        <v>22093.952000000001</v>
      </c>
      <c r="D823" s="67">
        <f t="shared" si="130"/>
        <v>22081.664000000001</v>
      </c>
      <c r="E823" s="67">
        <f t="shared" si="130"/>
        <v>35545.451999999997</v>
      </c>
      <c r="F823" s="67">
        <f t="shared" si="130"/>
        <v>17485.794000000002</v>
      </c>
      <c r="G823" s="67">
        <f t="shared" si="130"/>
        <v>0</v>
      </c>
      <c r="H823" s="67">
        <f t="shared" si="130"/>
        <v>3984.152</v>
      </c>
      <c r="I823" s="67">
        <f t="shared" si="130"/>
        <v>3431.25</v>
      </c>
      <c r="J823" s="67">
        <f t="shared" si="130"/>
        <v>5230.8270000000002</v>
      </c>
      <c r="K823" s="67">
        <f t="shared" si="130"/>
        <v>4638.1980000000003</v>
      </c>
      <c r="L823" s="67">
        <f t="shared" si="130"/>
        <v>1586.4749999999999</v>
      </c>
      <c r="M823" s="67">
        <f t="shared" si="130"/>
        <v>1632.51</v>
      </c>
      <c r="N823" s="67">
        <f t="shared" si="130"/>
        <v>3982.7550000000001</v>
      </c>
      <c r="O823" s="67">
        <f t="shared" si="130"/>
        <v>462.67200000000003</v>
      </c>
      <c r="P823" s="67">
        <f t="shared" si="130"/>
        <v>1788.876</v>
      </c>
      <c r="Q823" s="67">
        <f t="shared" si="130"/>
        <v>978.18</v>
      </c>
      <c r="R823" s="67">
        <f t="shared" ref="R823:R834" si="131">(SUM(B823:Q823))</f>
        <v>289511.5749999999</v>
      </c>
    </row>
    <row r="824" spans="1:18" ht="15.75" customHeight="1" x14ac:dyDescent="0.3">
      <c r="A824" s="70" t="s">
        <v>706</v>
      </c>
      <c r="B824" s="67">
        <f t="shared" ref="B824:Q824" si="132">(B742*B739)/1000</f>
        <v>152926.95699999999</v>
      </c>
      <c r="C824" s="67">
        <f t="shared" si="132"/>
        <v>20521.088</v>
      </c>
      <c r="D824" s="67">
        <f t="shared" si="132"/>
        <v>20502.527999999998</v>
      </c>
      <c r="E824" s="67">
        <f t="shared" si="132"/>
        <v>30766.652999999998</v>
      </c>
      <c r="F824" s="67">
        <f t="shared" si="132"/>
        <v>15291.611999999999</v>
      </c>
      <c r="G824" s="67">
        <f t="shared" si="132"/>
        <v>0</v>
      </c>
      <c r="H824" s="67">
        <f t="shared" si="132"/>
        <v>3400.8719999999998</v>
      </c>
      <c r="I824" s="67">
        <f t="shared" si="132"/>
        <v>1385.85</v>
      </c>
      <c r="J824" s="67">
        <f t="shared" si="132"/>
        <v>1921.8330000000001</v>
      </c>
      <c r="K824" s="67">
        <f t="shared" si="132"/>
        <v>1411.37</v>
      </c>
      <c r="L824" s="67">
        <f t="shared" si="132"/>
        <v>553.60799999999995</v>
      </c>
      <c r="M824" s="67">
        <f t="shared" si="132"/>
        <v>568.14</v>
      </c>
      <c r="N824" s="67">
        <f t="shared" si="132"/>
        <v>1384.191</v>
      </c>
      <c r="O824" s="67">
        <f t="shared" si="132"/>
        <v>347.38200000000001</v>
      </c>
      <c r="P824" s="67">
        <f t="shared" si="132"/>
        <v>1294.704</v>
      </c>
      <c r="Q824" s="67">
        <f t="shared" si="132"/>
        <v>744.73199999999997</v>
      </c>
      <c r="R824" s="67">
        <f t="shared" si="131"/>
        <v>253021.52</v>
      </c>
    </row>
    <row r="825" spans="1:18" ht="15.75" customHeight="1" x14ac:dyDescent="0.3">
      <c r="A825" s="70" t="s">
        <v>707</v>
      </c>
      <c r="B825" s="67">
        <f t="shared" ref="B825:Q825" si="133">(B743*B739)/1000</f>
        <v>172446.30300000001</v>
      </c>
      <c r="C825" s="67">
        <f t="shared" si="133"/>
        <v>23126.655999999999</v>
      </c>
      <c r="D825" s="67">
        <f t="shared" si="133"/>
        <v>23093.248</v>
      </c>
      <c r="E825" s="67">
        <f t="shared" si="133"/>
        <v>33214.635000000002</v>
      </c>
      <c r="F825" s="67">
        <f t="shared" si="133"/>
        <v>8201.2430000000004</v>
      </c>
      <c r="G825" s="67">
        <f t="shared" si="133"/>
        <v>0</v>
      </c>
      <c r="H825" s="67">
        <f t="shared" si="133"/>
        <v>7048.3040000000001</v>
      </c>
      <c r="I825" s="67">
        <f t="shared" si="133"/>
        <v>3198.3</v>
      </c>
      <c r="J825" s="67">
        <f t="shared" si="133"/>
        <v>2991.4140000000002</v>
      </c>
      <c r="K825" s="67">
        <f t="shared" si="133"/>
        <v>1614.9960000000001</v>
      </c>
      <c r="L825" s="67">
        <f t="shared" si="133"/>
        <v>502.524</v>
      </c>
      <c r="M825" s="67">
        <f t="shared" si="133"/>
        <v>514.89599999999996</v>
      </c>
      <c r="N825" s="67">
        <f t="shared" si="133"/>
        <v>1236.5340000000001</v>
      </c>
      <c r="O825" s="67">
        <f t="shared" si="133"/>
        <v>595.35</v>
      </c>
      <c r="P825" s="67">
        <f t="shared" si="133"/>
        <v>2004.9929999999999</v>
      </c>
      <c r="Q825" s="67">
        <f t="shared" si="133"/>
        <v>1265.058</v>
      </c>
      <c r="R825" s="67">
        <f t="shared" si="131"/>
        <v>281054.45399999991</v>
      </c>
    </row>
    <row r="826" spans="1:18" ht="15.75" customHeight="1" x14ac:dyDescent="0.3">
      <c r="A826" s="70" t="s">
        <v>1321</v>
      </c>
      <c r="B826" s="67">
        <f t="shared" ref="B826:Q826" si="134">(B744*B739)/1000</f>
        <v>165548.489</v>
      </c>
      <c r="C826" s="67">
        <f t="shared" si="134"/>
        <v>22188.288</v>
      </c>
      <c r="D826" s="67">
        <f t="shared" si="134"/>
        <v>22143.488000000001</v>
      </c>
      <c r="E826" s="67">
        <f t="shared" si="134"/>
        <v>32123.138999999999</v>
      </c>
      <c r="F826" s="67">
        <f t="shared" si="134"/>
        <v>3682.2089999999998</v>
      </c>
      <c r="G826" s="67">
        <f t="shared" si="134"/>
        <v>0</v>
      </c>
      <c r="H826" s="67">
        <f t="shared" si="134"/>
        <v>9401.02</v>
      </c>
      <c r="I826" s="67">
        <f t="shared" si="134"/>
        <v>5406.3</v>
      </c>
      <c r="J826" s="67">
        <f t="shared" si="134"/>
        <v>5572.8180000000002</v>
      </c>
      <c r="K826" s="67">
        <f t="shared" si="134"/>
        <v>3827.5360000000001</v>
      </c>
      <c r="L826" s="67">
        <f t="shared" si="134"/>
        <v>959.31</v>
      </c>
      <c r="M826" s="67">
        <f t="shared" si="134"/>
        <v>984.60599999999999</v>
      </c>
      <c r="N826" s="67">
        <f t="shared" si="134"/>
        <v>2399.1149999999998</v>
      </c>
      <c r="O826" s="67">
        <f t="shared" si="134"/>
        <v>524.66399999999999</v>
      </c>
      <c r="P826" s="67">
        <f t="shared" si="134"/>
        <v>1678.9860000000001</v>
      </c>
      <c r="Q826" s="67">
        <f t="shared" si="134"/>
        <v>1110.5219999999999</v>
      </c>
      <c r="R826" s="67">
        <f t="shared" si="131"/>
        <v>277550.49</v>
      </c>
    </row>
    <row r="827" spans="1:18" ht="15.75" customHeight="1" x14ac:dyDescent="0.3">
      <c r="A827" s="70" t="s">
        <v>1905</v>
      </c>
      <c r="B827" s="67">
        <f t="shared" ref="B827:Q827" si="135">(B745*B739)/1000</f>
        <v>157213.55100000001</v>
      </c>
      <c r="C827" s="67">
        <f t="shared" si="135"/>
        <v>21061.376</v>
      </c>
      <c r="D827" s="67">
        <f t="shared" si="135"/>
        <v>21009.919999999998</v>
      </c>
      <c r="E827" s="67">
        <f t="shared" si="135"/>
        <v>29804.805</v>
      </c>
      <c r="F827" s="67">
        <f t="shared" si="135"/>
        <v>750.54700000000003</v>
      </c>
      <c r="G827" s="67">
        <f t="shared" si="135"/>
        <v>-1464.826</v>
      </c>
      <c r="H827" s="67">
        <f t="shared" si="135"/>
        <v>9819.8040000000001</v>
      </c>
      <c r="I827" s="67">
        <f t="shared" si="135"/>
        <v>4821.6000000000004</v>
      </c>
      <c r="J827" s="67">
        <f t="shared" si="135"/>
        <v>5181.0569999999998</v>
      </c>
      <c r="K827" s="67">
        <f t="shared" si="135"/>
        <v>3856.4639999999999</v>
      </c>
      <c r="L827" s="67">
        <f t="shared" si="135"/>
        <v>1090.4849999999999</v>
      </c>
      <c r="M827" s="67">
        <f t="shared" si="135"/>
        <v>1119.2460000000001</v>
      </c>
      <c r="N827" s="67">
        <f t="shared" si="135"/>
        <v>2727.0479999999998</v>
      </c>
      <c r="O827" s="67">
        <f t="shared" si="135"/>
        <v>700.62300000000005</v>
      </c>
      <c r="P827" s="67">
        <f t="shared" si="135"/>
        <v>1700.6310000000001</v>
      </c>
      <c r="Q827" s="67">
        <f t="shared" si="135"/>
        <v>1516.1790000000001</v>
      </c>
      <c r="R827" s="67">
        <f t="shared" si="131"/>
        <v>260908.51</v>
      </c>
    </row>
    <row r="828" spans="1:18" ht="15.75" customHeight="1" x14ac:dyDescent="0.3">
      <c r="A828" s="70" t="s">
        <v>1906</v>
      </c>
      <c r="B828" s="67">
        <f t="shared" ref="B828:Q828" si="136">(B746*B739)/1000</f>
        <v>92400.020999999993</v>
      </c>
      <c r="C828" s="67">
        <f t="shared" si="136"/>
        <v>12357.12</v>
      </c>
      <c r="D828" s="67">
        <f t="shared" si="136"/>
        <v>12306.432000000001</v>
      </c>
      <c r="E828" s="67">
        <f t="shared" si="136"/>
        <v>16992.429</v>
      </c>
      <c r="F828" s="67">
        <f t="shared" si="136"/>
        <v>0</v>
      </c>
      <c r="G828" s="67">
        <f t="shared" si="136"/>
        <v>-10179.004000000001</v>
      </c>
      <c r="H828" s="67">
        <f t="shared" si="136"/>
        <v>11950.064</v>
      </c>
      <c r="I828" s="67">
        <f t="shared" si="136"/>
        <v>6190.35</v>
      </c>
      <c r="J828" s="67">
        <f t="shared" si="136"/>
        <v>6067.4369999999999</v>
      </c>
      <c r="K828" s="67">
        <f t="shared" si="136"/>
        <v>4254.2240000000002</v>
      </c>
      <c r="L828" s="67">
        <f t="shared" si="136"/>
        <v>1245.6179999999999</v>
      </c>
      <c r="M828" s="67">
        <f t="shared" si="136"/>
        <v>1278.876</v>
      </c>
      <c r="N828" s="67">
        <f t="shared" si="136"/>
        <v>3098.3069999999998</v>
      </c>
      <c r="O828" s="67">
        <f t="shared" si="136"/>
        <v>702.13499999999999</v>
      </c>
      <c r="P828" s="67">
        <f t="shared" si="136"/>
        <v>1774.89</v>
      </c>
      <c r="Q828" s="67">
        <f t="shared" si="136"/>
        <v>1489.875</v>
      </c>
      <c r="R828" s="67">
        <f t="shared" si="131"/>
        <v>161928.77399999998</v>
      </c>
    </row>
    <row r="829" spans="1:18" ht="15.75" customHeight="1" x14ac:dyDescent="0.3">
      <c r="A829" s="70" t="s">
        <v>1907</v>
      </c>
      <c r="B829" s="67">
        <f t="shared" ref="B829:Q829" si="137">(B747*B739)/1000</f>
        <v>72493.756999999998</v>
      </c>
      <c r="C829" s="67">
        <f t="shared" si="137"/>
        <v>9683.5840000000007</v>
      </c>
      <c r="D829" s="67">
        <f t="shared" si="137"/>
        <v>9633.152</v>
      </c>
      <c r="E829" s="67">
        <f t="shared" si="137"/>
        <v>10885.614</v>
      </c>
      <c r="F829" s="67">
        <f t="shared" si="137"/>
        <v>0</v>
      </c>
      <c r="G829" s="67">
        <f t="shared" si="137"/>
        <v>-14312.968999999999</v>
      </c>
      <c r="H829" s="67">
        <f t="shared" si="137"/>
        <v>12295.34</v>
      </c>
      <c r="I829" s="67">
        <f t="shared" si="137"/>
        <v>8000.4</v>
      </c>
      <c r="J829" s="67">
        <f t="shared" si="137"/>
        <v>8387.6669999999995</v>
      </c>
      <c r="K829" s="67">
        <f t="shared" si="137"/>
        <v>6238.0519999999997</v>
      </c>
      <c r="L829" s="67">
        <f t="shared" si="137"/>
        <v>1929.4110000000001</v>
      </c>
      <c r="M829" s="67">
        <f t="shared" si="137"/>
        <v>1983.9</v>
      </c>
      <c r="N829" s="67">
        <f t="shared" si="137"/>
        <v>4618.701</v>
      </c>
      <c r="O829" s="67">
        <f t="shared" si="137"/>
        <v>619.16399999999999</v>
      </c>
      <c r="P829" s="67">
        <f t="shared" si="137"/>
        <v>1826.172</v>
      </c>
      <c r="Q829" s="67">
        <f t="shared" si="137"/>
        <v>1295.883</v>
      </c>
      <c r="R829" s="67">
        <f t="shared" si="131"/>
        <v>135577.82799999998</v>
      </c>
    </row>
    <row r="830" spans="1:18" ht="15.75" customHeight="1" x14ac:dyDescent="0.3">
      <c r="A830" s="70" t="s">
        <v>1908</v>
      </c>
      <c r="B830" s="67">
        <f t="shared" ref="B830:Q830" si="138">(B748*B739)/1000</f>
        <v>68193.820999999996</v>
      </c>
      <c r="C830" s="67">
        <f t="shared" si="138"/>
        <v>9116.5439999999999</v>
      </c>
      <c r="D830" s="67">
        <f t="shared" si="138"/>
        <v>9075.84</v>
      </c>
      <c r="E830" s="67">
        <f t="shared" si="138"/>
        <v>8986.6650000000009</v>
      </c>
      <c r="F830" s="67">
        <f t="shared" si="138"/>
        <v>0</v>
      </c>
      <c r="G830" s="67">
        <f t="shared" si="138"/>
        <v>-15272.378000000001</v>
      </c>
      <c r="H830" s="67">
        <f t="shared" si="138"/>
        <v>12442.632</v>
      </c>
      <c r="I830" s="67">
        <f t="shared" si="138"/>
        <v>8258.25</v>
      </c>
      <c r="J830" s="67">
        <f t="shared" si="138"/>
        <v>8694.8189999999995</v>
      </c>
      <c r="K830" s="67">
        <f t="shared" si="138"/>
        <v>6453.6559999999999</v>
      </c>
      <c r="L830" s="67">
        <f t="shared" si="138"/>
        <v>2108.8980000000001</v>
      </c>
      <c r="M830" s="67">
        <f t="shared" si="138"/>
        <v>2169.1320000000001</v>
      </c>
      <c r="N830" s="67">
        <f t="shared" si="138"/>
        <v>5125.665</v>
      </c>
      <c r="O830" s="67">
        <f t="shared" si="138"/>
        <v>861.46199999999999</v>
      </c>
      <c r="P830" s="67">
        <f t="shared" si="138"/>
        <v>1867.797</v>
      </c>
      <c r="Q830" s="67">
        <f t="shared" si="138"/>
        <v>1842.924</v>
      </c>
      <c r="R830" s="67">
        <f t="shared" si="131"/>
        <v>129925.727</v>
      </c>
    </row>
    <row r="831" spans="1:18" ht="15.75" customHeight="1" x14ac:dyDescent="0.3">
      <c r="A831" s="70" t="s">
        <v>2352</v>
      </c>
      <c r="B831" s="67">
        <f>(B749*B739)/1000</f>
        <v>136684.02499999999</v>
      </c>
      <c r="C831" s="67">
        <f>(C749*C739)/1000</f>
        <v>18317.952000000001</v>
      </c>
      <c r="D831" s="67">
        <f>(D749*D739)/1000</f>
        <v>18279.423999999999</v>
      </c>
      <c r="E831" s="67">
        <f>(E749*E739)/1000</f>
        <v>28520.589</v>
      </c>
      <c r="F831" s="67">
        <f>(F749*F739)/1000</f>
        <v>3748.26</v>
      </c>
      <c r="G831" s="67">
        <v>0</v>
      </c>
      <c r="H831" s="67">
        <f t="shared" ref="H831:Q831" si="139">(H749*H739)/1000</f>
        <v>8334.74</v>
      </c>
      <c r="I831" s="67">
        <f t="shared" si="139"/>
        <v>4901.8500000000004</v>
      </c>
      <c r="J831" s="67">
        <f t="shared" si="139"/>
        <v>6702.5969999999998</v>
      </c>
      <c r="K831" s="67">
        <f t="shared" si="139"/>
        <v>5360.4939999999997</v>
      </c>
      <c r="L831" s="67">
        <f t="shared" si="139"/>
        <v>1923.57</v>
      </c>
      <c r="M831" s="67">
        <f t="shared" si="139"/>
        <v>1978.3920000000001</v>
      </c>
      <c r="N831" s="67">
        <f t="shared" si="139"/>
        <v>4660.5330000000004</v>
      </c>
      <c r="O831" s="67">
        <f t="shared" si="139"/>
        <v>773.577</v>
      </c>
      <c r="P831" s="67">
        <f t="shared" si="139"/>
        <v>1725.9390000000001</v>
      </c>
      <c r="Q831" s="67">
        <f t="shared" si="139"/>
        <v>1664.55</v>
      </c>
      <c r="R831" s="67">
        <f t="shared" si="131"/>
        <v>243576.492</v>
      </c>
    </row>
    <row r="832" spans="1:18" ht="15.75" customHeight="1" x14ac:dyDescent="0.3">
      <c r="A832" s="70" t="s">
        <v>2353</v>
      </c>
      <c r="B832" s="67">
        <f>(B750*B739)/1000</f>
        <v>129481.251</v>
      </c>
      <c r="C832" s="67">
        <f>(C750*C739)/1000</f>
        <v>17354.495999999999</v>
      </c>
      <c r="D832" s="67">
        <f>(D750*D739)/1000</f>
        <v>17319.68</v>
      </c>
      <c r="E832" s="67">
        <f>(E750*E739)/1000</f>
        <v>23849.975999999999</v>
      </c>
      <c r="F832" s="67">
        <f>(F750*F739)/1000</f>
        <v>3093.12</v>
      </c>
      <c r="G832" s="67">
        <v>0</v>
      </c>
      <c r="H832" s="67">
        <f t="shared" ref="H832:Q832" si="140">(H750*H739)/1000</f>
        <v>5503.6239999999998</v>
      </c>
      <c r="I832" s="67">
        <f t="shared" si="140"/>
        <v>3636</v>
      </c>
      <c r="J832" s="67">
        <f t="shared" si="140"/>
        <v>5245.9949999999999</v>
      </c>
      <c r="K832" s="67">
        <f t="shared" si="140"/>
        <v>4623.0559999999996</v>
      </c>
      <c r="L832" s="67">
        <f t="shared" si="140"/>
        <v>1780.9110000000001</v>
      </c>
      <c r="M832" s="67">
        <f t="shared" si="140"/>
        <v>1831.92</v>
      </c>
      <c r="N832" s="67">
        <f t="shared" si="140"/>
        <v>4345.7969999999996</v>
      </c>
      <c r="O832" s="67">
        <f t="shared" si="140"/>
        <v>496.125</v>
      </c>
      <c r="P832" s="67">
        <f t="shared" si="140"/>
        <v>1746.9179999999999</v>
      </c>
      <c r="Q832" s="67">
        <f t="shared" si="140"/>
        <v>1038.597</v>
      </c>
      <c r="R832" s="67">
        <f t="shared" si="131"/>
        <v>221347.46600000001</v>
      </c>
    </row>
    <row r="833" spans="1:19" ht="15.75" customHeight="1" x14ac:dyDescent="0.3">
      <c r="A833" s="70" t="s">
        <v>2354</v>
      </c>
      <c r="B833" s="67">
        <f t="shared" ref="B833:Q833" si="141">(B751*B739)/1000</f>
        <v>132077.223</v>
      </c>
      <c r="C833" s="67">
        <f t="shared" si="141"/>
        <v>17709.567999999999</v>
      </c>
      <c r="D833" s="67">
        <f t="shared" si="141"/>
        <v>17680.64</v>
      </c>
      <c r="E833" s="67">
        <f t="shared" si="141"/>
        <v>25384.29</v>
      </c>
      <c r="F833" s="67">
        <f t="shared" si="141"/>
        <v>13857.106</v>
      </c>
      <c r="G833" s="67">
        <f t="shared" si="141"/>
        <v>0</v>
      </c>
      <c r="H833" s="67">
        <f t="shared" si="141"/>
        <v>1304.192</v>
      </c>
      <c r="I833" s="67">
        <f t="shared" si="141"/>
        <v>942.75</v>
      </c>
      <c r="J833" s="67">
        <f t="shared" si="141"/>
        <v>1484.3309999999999</v>
      </c>
      <c r="K833" s="67">
        <f t="shared" si="141"/>
        <v>1354.4179999999999</v>
      </c>
      <c r="L833" s="67">
        <f t="shared" si="141"/>
        <v>546.38099999999997</v>
      </c>
      <c r="M833" s="67">
        <f t="shared" si="141"/>
        <v>560.59199999999998</v>
      </c>
      <c r="N833" s="67">
        <f t="shared" si="141"/>
        <v>1357.797</v>
      </c>
      <c r="O833" s="67">
        <f t="shared" si="141"/>
        <v>246.834</v>
      </c>
      <c r="P833" s="67">
        <f t="shared" si="141"/>
        <v>1709.289</v>
      </c>
      <c r="Q833" s="67">
        <f t="shared" si="141"/>
        <v>503.88600000000002</v>
      </c>
      <c r="R833" s="67">
        <f t="shared" si="131"/>
        <v>216719.29699999999</v>
      </c>
    </row>
    <row r="834" spans="1:19" ht="15.75" customHeight="1" x14ac:dyDescent="0.3">
      <c r="A834" s="70" t="s">
        <v>2355</v>
      </c>
      <c r="B834" s="67">
        <f t="shared" ref="B834:Q834" si="142">(B752*B739)/1000</f>
        <v>143085.326</v>
      </c>
      <c r="C834" s="67">
        <f t="shared" si="142"/>
        <v>19194.367999999999</v>
      </c>
      <c r="D834" s="67">
        <f t="shared" si="142"/>
        <v>19171.455999999998</v>
      </c>
      <c r="E834" s="67">
        <f t="shared" si="142"/>
        <v>26979.267</v>
      </c>
      <c r="F834" s="67">
        <f t="shared" si="142"/>
        <v>10422.096</v>
      </c>
      <c r="G834" s="67">
        <f t="shared" si="142"/>
        <v>0</v>
      </c>
      <c r="H834" s="67">
        <f t="shared" si="142"/>
        <v>3817.08</v>
      </c>
      <c r="I834" s="67">
        <f t="shared" si="142"/>
        <v>3444.9</v>
      </c>
      <c r="J834" s="67">
        <f t="shared" si="142"/>
        <v>5262.348</v>
      </c>
      <c r="K834" s="67">
        <f t="shared" si="142"/>
        <v>4973.3559999999998</v>
      </c>
      <c r="L834" s="67">
        <f t="shared" si="142"/>
        <v>1739.3309999999999</v>
      </c>
      <c r="M834" s="67">
        <f t="shared" si="142"/>
        <v>1790.1</v>
      </c>
      <c r="N834" s="67">
        <f t="shared" si="142"/>
        <v>4367.7089999999998</v>
      </c>
      <c r="O834" s="67">
        <f t="shared" si="142"/>
        <v>818.93700000000001</v>
      </c>
      <c r="P834" s="67">
        <f t="shared" si="142"/>
        <v>1717.2809999999999</v>
      </c>
      <c r="Q834" s="67">
        <f t="shared" si="142"/>
        <v>1766.8889999999999</v>
      </c>
      <c r="R834" s="67">
        <f t="shared" si="131"/>
        <v>248550.44399999996</v>
      </c>
    </row>
    <row r="835" spans="1:19" ht="15.75" customHeight="1" x14ac:dyDescent="0.3">
      <c r="A835" s="67"/>
      <c r="B835" s="67"/>
      <c r="C835" s="67"/>
      <c r="D835" s="67"/>
      <c r="E835" s="67"/>
      <c r="F835" s="67"/>
      <c r="G835" s="67"/>
      <c r="H835" s="67"/>
      <c r="I835" s="67"/>
      <c r="J835" s="67"/>
      <c r="K835" s="67"/>
      <c r="L835" s="67"/>
      <c r="M835" s="67"/>
      <c r="N835" s="67"/>
      <c r="O835" s="67"/>
      <c r="P835" s="67"/>
      <c r="Q835" s="67"/>
      <c r="R835" s="67"/>
    </row>
    <row r="836" spans="1:19" ht="15.75" customHeight="1" x14ac:dyDescent="0.3">
      <c r="A836" s="70" t="s">
        <v>2356</v>
      </c>
      <c r="B836" s="67">
        <f t="shared" ref="B836:R836" si="143">SUM(B823:B834)</f>
        <v>1587139.5419999999</v>
      </c>
      <c r="C836" s="67">
        <f t="shared" si="143"/>
        <v>212724.99199999997</v>
      </c>
      <c r="D836" s="67">
        <f t="shared" si="143"/>
        <v>212297.47200000001</v>
      </c>
      <c r="E836" s="67">
        <f t="shared" si="143"/>
        <v>303053.51399999997</v>
      </c>
      <c r="F836" s="67">
        <f t="shared" si="143"/>
        <v>76531.987000000008</v>
      </c>
      <c r="G836" s="67">
        <f t="shared" si="143"/>
        <v>-41229.176999999996</v>
      </c>
      <c r="H836" s="67">
        <f t="shared" si="143"/>
        <v>89301.823999999993</v>
      </c>
      <c r="I836" s="67">
        <f t="shared" si="143"/>
        <v>53617.8</v>
      </c>
      <c r="J836" s="67">
        <f t="shared" si="143"/>
        <v>62743.143000000004</v>
      </c>
      <c r="K836" s="67">
        <f t="shared" si="143"/>
        <v>48605.819999999992</v>
      </c>
      <c r="L836" s="67">
        <f t="shared" si="143"/>
        <v>15966.521999999997</v>
      </c>
      <c r="M836" s="67">
        <f t="shared" si="143"/>
        <v>16412.310000000001</v>
      </c>
      <c r="N836" s="67">
        <f t="shared" si="143"/>
        <v>39304.152000000002</v>
      </c>
      <c r="O836" s="67">
        <f t="shared" si="143"/>
        <v>7148.9249999999993</v>
      </c>
      <c r="P836" s="67">
        <f t="shared" si="143"/>
        <v>20836.476000000002</v>
      </c>
      <c r="Q836" s="67">
        <f t="shared" si="143"/>
        <v>15217.274999999998</v>
      </c>
      <c r="R836" s="67">
        <f t="shared" si="143"/>
        <v>2719672.577</v>
      </c>
    </row>
    <row r="837" spans="1:19" ht="15.75" customHeight="1" x14ac:dyDescent="0.3">
      <c r="A837" s="67" t="s">
        <v>852</v>
      </c>
      <c r="B837" s="67"/>
      <c r="C837" s="67"/>
      <c r="D837" s="67"/>
      <c r="E837" s="67"/>
      <c r="F837" s="67"/>
      <c r="G837" s="67"/>
      <c r="H837" s="67"/>
      <c r="I837" s="67"/>
      <c r="J837" s="67"/>
      <c r="K837" s="67"/>
      <c r="L837" s="67"/>
      <c r="M837" s="67"/>
      <c r="N837" s="67"/>
      <c r="O837" s="67"/>
      <c r="P837" s="67"/>
      <c r="Q837" s="67"/>
      <c r="R837" s="67"/>
      <c r="S837" s="67"/>
    </row>
    <row r="838" spans="1:19" ht="15.75" customHeight="1" x14ac:dyDescent="0.3">
      <c r="A838" s="67"/>
      <c r="B838" s="67"/>
      <c r="C838" s="67"/>
      <c r="D838" s="67"/>
      <c r="E838" s="67"/>
      <c r="F838" s="67"/>
      <c r="G838" s="67"/>
      <c r="H838" s="67"/>
      <c r="I838" s="67"/>
      <c r="J838" s="67"/>
      <c r="K838" s="67"/>
      <c r="L838" s="67"/>
      <c r="M838" s="67"/>
      <c r="N838" s="67"/>
      <c r="O838" s="67"/>
      <c r="P838" s="67"/>
      <c r="Q838" s="67"/>
      <c r="R838" s="67"/>
      <c r="S838" s="67"/>
    </row>
    <row r="839" spans="1:19" ht="15.75" customHeight="1" x14ac:dyDescent="0.3">
      <c r="A839" s="67"/>
      <c r="B839" s="67"/>
      <c r="C839" s="67"/>
      <c r="D839" s="67"/>
      <c r="E839" s="67"/>
      <c r="F839" s="67"/>
      <c r="G839" s="67"/>
      <c r="H839" s="67"/>
      <c r="I839" s="67"/>
      <c r="J839" s="67"/>
      <c r="K839" s="67"/>
      <c r="L839" s="67"/>
      <c r="M839" s="67"/>
      <c r="N839" s="67"/>
      <c r="O839" s="67"/>
      <c r="P839" s="67"/>
      <c r="Q839" s="71" t="str">
        <f>+Q1</f>
        <v>PRINTED:</v>
      </c>
      <c r="R839" s="77">
        <f ca="1">+R1</f>
        <v>44881.72963425926</v>
      </c>
      <c r="S839" s="67"/>
    </row>
    <row r="840" spans="1:19" ht="15.75" customHeight="1" x14ac:dyDescent="0.35">
      <c r="A840" s="67"/>
      <c r="B840" s="67"/>
      <c r="C840" s="71" t="s">
        <v>2125</v>
      </c>
      <c r="D840" s="67"/>
      <c r="E840" s="67"/>
      <c r="F840" s="67"/>
      <c r="G840" s="67"/>
      <c r="H840" s="67"/>
      <c r="I840" s="67"/>
      <c r="J840" s="67"/>
      <c r="K840" s="67"/>
      <c r="L840" s="215"/>
      <c r="M840" s="71" t="s">
        <v>1456</v>
      </c>
      <c r="N840" s="67"/>
      <c r="O840" s="67"/>
      <c r="P840" s="67"/>
      <c r="Q840" s="67"/>
      <c r="R840" s="67"/>
      <c r="S840" s="70" t="s">
        <v>2000</v>
      </c>
    </row>
    <row r="841" spans="1:19" ht="15.75" customHeight="1" x14ac:dyDescent="0.3">
      <c r="A841" s="67"/>
      <c r="B841" s="67"/>
      <c r="C841" s="67"/>
      <c r="D841" s="67"/>
      <c r="E841" s="67" t="s">
        <v>852</v>
      </c>
      <c r="F841" s="69" t="str">
        <f>+A8</f>
        <v>Revised:  1/25/10</v>
      </c>
      <c r="G841" s="67"/>
      <c r="H841" s="67"/>
      <c r="I841" s="67"/>
      <c r="J841" s="67"/>
      <c r="K841" s="67"/>
      <c r="L841" s="67"/>
      <c r="M841" s="67"/>
      <c r="N841" s="67"/>
      <c r="O841" s="67"/>
      <c r="P841" s="67" t="s">
        <v>852</v>
      </c>
      <c r="Q841" s="69" t="str">
        <f>+A8</f>
        <v>Revised:  1/25/10</v>
      </c>
      <c r="R841" s="67"/>
      <c r="S841" s="70" t="s">
        <v>242</v>
      </c>
    </row>
    <row r="842" spans="1:19" ht="15.75" customHeight="1" x14ac:dyDescent="0.3">
      <c r="A842" s="67"/>
      <c r="B842" s="67"/>
      <c r="C842" s="67"/>
      <c r="D842" s="67" t="s">
        <v>2126</v>
      </c>
      <c r="E842" s="67"/>
      <c r="F842" s="67"/>
      <c r="G842" s="67"/>
      <c r="H842" s="67"/>
      <c r="I842" s="67"/>
      <c r="J842" s="67"/>
      <c r="K842" s="67"/>
      <c r="L842" s="67"/>
      <c r="M842" s="67"/>
      <c r="N842" s="67" t="s">
        <v>2126</v>
      </c>
      <c r="O842" s="67"/>
      <c r="P842" s="67"/>
      <c r="Q842" s="67"/>
      <c r="R842" s="67"/>
      <c r="S842" s="70" t="s">
        <v>1481</v>
      </c>
    </row>
    <row r="843" spans="1:19" ht="15.75" customHeight="1" x14ac:dyDescent="0.3">
      <c r="A843" s="67"/>
      <c r="B843" s="67"/>
      <c r="C843" s="67"/>
      <c r="D843" s="67"/>
      <c r="E843" s="67"/>
      <c r="F843" s="67"/>
      <c r="G843" s="67"/>
      <c r="H843" s="67"/>
      <c r="I843" s="67"/>
      <c r="J843" s="67"/>
      <c r="K843" s="67"/>
      <c r="L843" s="67"/>
      <c r="M843" s="67"/>
      <c r="N843" s="67"/>
      <c r="O843" s="67"/>
      <c r="P843" s="67"/>
      <c r="Q843" s="67"/>
      <c r="R843" s="67"/>
      <c r="S843" s="70" t="s">
        <v>1353</v>
      </c>
    </row>
    <row r="844" spans="1:19" ht="15.75" customHeight="1" x14ac:dyDescent="0.3">
      <c r="A844" s="67"/>
      <c r="B844" s="67"/>
      <c r="C844" s="67"/>
      <c r="D844" s="67"/>
      <c r="E844" s="67" t="str">
        <f>+A5</f>
        <v>Calendar Year 2009</v>
      </c>
      <c r="F844" s="67"/>
      <c r="G844" s="67"/>
      <c r="H844" s="67"/>
      <c r="I844" s="67"/>
      <c r="J844" s="67"/>
      <c r="K844" s="67"/>
      <c r="L844" s="67"/>
      <c r="M844" s="67"/>
      <c r="N844" s="67"/>
      <c r="O844" s="67"/>
      <c r="P844" s="67" t="str">
        <f>+A5</f>
        <v>Calendar Year 2009</v>
      </c>
      <c r="Q844" s="67"/>
      <c r="R844" s="67"/>
      <c r="S844" s="73">
        <f t="shared" ref="S844:S855" si="144">(Q877*R877)/1000</f>
        <v>25.765725960000005</v>
      </c>
    </row>
    <row r="845" spans="1:19" ht="15.75" customHeight="1" x14ac:dyDescent="0.3">
      <c r="A845" s="67"/>
      <c r="B845" s="67"/>
      <c r="C845" s="67"/>
      <c r="D845" s="67"/>
      <c r="E845" s="67" t="s">
        <v>1199</v>
      </c>
      <c r="F845" s="67"/>
      <c r="G845" s="67"/>
      <c r="H845" s="67"/>
      <c r="I845" s="67"/>
      <c r="J845" s="67"/>
      <c r="K845" s="67"/>
      <c r="L845" s="67"/>
      <c r="M845" s="67"/>
      <c r="N845" s="67"/>
      <c r="O845" s="67"/>
      <c r="P845" s="67" t="s">
        <v>1199</v>
      </c>
      <c r="Q845" s="67"/>
      <c r="R845" s="67"/>
      <c r="S845" s="73">
        <f t="shared" si="144"/>
        <v>12.085109790000002</v>
      </c>
    </row>
    <row r="846" spans="1:19" ht="15.75" customHeight="1" x14ac:dyDescent="0.3">
      <c r="A846" s="67"/>
      <c r="B846" s="67"/>
      <c r="C846" s="67"/>
      <c r="D846" s="67"/>
      <c r="E846" s="67"/>
      <c r="F846" s="67"/>
      <c r="G846" s="67"/>
      <c r="H846" s="67"/>
      <c r="I846" s="67"/>
      <c r="J846" s="67"/>
      <c r="K846" s="67"/>
      <c r="L846" s="67"/>
      <c r="M846" s="67"/>
      <c r="N846" s="67"/>
      <c r="O846" s="67"/>
      <c r="P846" s="67"/>
      <c r="Q846" s="67"/>
      <c r="R846" s="67"/>
      <c r="S846" s="73">
        <f t="shared" si="144"/>
        <v>15.114806850000003</v>
      </c>
    </row>
    <row r="847" spans="1:19" ht="15.75" customHeight="1" x14ac:dyDescent="0.3">
      <c r="A847" s="67" t="s">
        <v>1307</v>
      </c>
      <c r="B847" s="70" t="s">
        <v>1308</v>
      </c>
      <c r="C847" s="70" t="s">
        <v>1309</v>
      </c>
      <c r="D847" s="70" t="s">
        <v>1029</v>
      </c>
      <c r="E847" s="70" t="s">
        <v>1030</v>
      </c>
      <c r="F847" s="70" t="s">
        <v>284</v>
      </c>
      <c r="G847" s="67"/>
      <c r="H847" s="70" t="s">
        <v>2356</v>
      </c>
      <c r="I847" s="67"/>
      <c r="J847" s="67"/>
      <c r="K847" s="67"/>
      <c r="L847" s="67" t="s">
        <v>1307</v>
      </c>
      <c r="M847" s="70" t="s">
        <v>1308</v>
      </c>
      <c r="N847" s="70" t="s">
        <v>1309</v>
      </c>
      <c r="O847" s="70" t="s">
        <v>1029</v>
      </c>
      <c r="P847" s="70" t="s">
        <v>1030</v>
      </c>
      <c r="Q847" s="70" t="s">
        <v>284</v>
      </c>
      <c r="R847" s="70" t="s">
        <v>2356</v>
      </c>
      <c r="S847" s="73">
        <f t="shared" si="144"/>
        <v>18.913291410000003</v>
      </c>
    </row>
    <row r="848" spans="1:19" ht="15.75" customHeight="1" x14ac:dyDescent="0.3">
      <c r="A848" s="67" t="s">
        <v>526</v>
      </c>
      <c r="B848" s="67"/>
      <c r="C848" s="67"/>
      <c r="D848" s="67"/>
      <c r="E848" s="67"/>
      <c r="F848" s="70" t="s">
        <v>1193</v>
      </c>
      <c r="G848" s="67"/>
      <c r="H848" s="70" t="s">
        <v>252</v>
      </c>
      <c r="I848" s="67"/>
      <c r="J848" s="67"/>
      <c r="K848" s="67"/>
      <c r="L848" s="67" t="s">
        <v>526</v>
      </c>
      <c r="M848" s="67"/>
      <c r="N848" s="67"/>
      <c r="O848" s="67"/>
      <c r="P848" s="67"/>
      <c r="Q848" s="70" t="s">
        <v>1193</v>
      </c>
      <c r="R848" s="70" t="s">
        <v>252</v>
      </c>
      <c r="S848" s="73">
        <f t="shared" si="144"/>
        <v>21.86990364</v>
      </c>
    </row>
    <row r="849" spans="1:19" ht="15.75" customHeight="1" x14ac:dyDescent="0.3">
      <c r="A849" s="67" t="s">
        <v>1195</v>
      </c>
      <c r="B849" s="67">
        <v>953</v>
      </c>
      <c r="C849" s="67">
        <v>128</v>
      </c>
      <c r="D849" s="67">
        <v>128</v>
      </c>
      <c r="E849" s="67">
        <v>219</v>
      </c>
      <c r="F849" s="67">
        <v>179</v>
      </c>
      <c r="G849" s="67"/>
      <c r="H849" s="70" t="s">
        <v>335</v>
      </c>
      <c r="I849" s="67"/>
      <c r="J849" s="67"/>
      <c r="K849" s="67"/>
      <c r="L849" s="67" t="s">
        <v>1195</v>
      </c>
      <c r="M849" s="67">
        <v>953</v>
      </c>
      <c r="N849" s="67">
        <v>128</v>
      </c>
      <c r="O849" s="67">
        <v>128</v>
      </c>
      <c r="P849" s="67">
        <v>219</v>
      </c>
      <c r="Q849" s="67">
        <v>179</v>
      </c>
      <c r="R849" s="70" t="s">
        <v>335</v>
      </c>
      <c r="S849" s="73">
        <f t="shared" si="144"/>
        <v>23.686561470000004</v>
      </c>
    </row>
    <row r="850" spans="1:19" ht="15.75" customHeight="1" x14ac:dyDescent="0.3">
      <c r="A850" s="67"/>
      <c r="B850" s="67" t="s">
        <v>1353</v>
      </c>
      <c r="C850" s="67" t="s">
        <v>1353</v>
      </c>
      <c r="D850" s="67" t="s">
        <v>1353</v>
      </c>
      <c r="E850" s="67" t="s">
        <v>1353</v>
      </c>
      <c r="F850" s="67" t="s">
        <v>1353</v>
      </c>
      <c r="G850" s="67"/>
      <c r="H850" s="67" t="s">
        <v>251</v>
      </c>
      <c r="I850" s="67"/>
      <c r="J850" s="67"/>
      <c r="K850" s="67"/>
      <c r="L850" s="67"/>
      <c r="M850" s="67" t="s">
        <v>1353</v>
      </c>
      <c r="N850" s="67" t="s">
        <v>1353</v>
      </c>
      <c r="O850" s="67" t="s">
        <v>1353</v>
      </c>
      <c r="P850" s="67" t="s">
        <v>1353</v>
      </c>
      <c r="Q850" s="67" t="s">
        <v>1353</v>
      </c>
      <c r="R850" s="67" t="s">
        <v>251</v>
      </c>
      <c r="S850" s="73">
        <f t="shared" si="144"/>
        <v>30.314880570000003</v>
      </c>
    </row>
    <row r="851" spans="1:19" ht="15.75" customHeight="1" x14ac:dyDescent="0.3">
      <c r="A851" s="70" t="s">
        <v>1354</v>
      </c>
      <c r="B851" s="67">
        <f t="shared" ref="B851:F862" si="145">($F741)*B$739/1000</f>
        <v>93094.758000000002</v>
      </c>
      <c r="C851" s="67">
        <f t="shared" si="145"/>
        <v>12503.808000000001</v>
      </c>
      <c r="D851" s="67">
        <f t="shared" si="145"/>
        <v>12503.808000000001</v>
      </c>
      <c r="E851" s="67">
        <f t="shared" si="145"/>
        <v>21393.234</v>
      </c>
      <c r="F851" s="67">
        <f t="shared" si="145"/>
        <v>17485.794000000002</v>
      </c>
      <c r="G851" s="67"/>
      <c r="H851" s="67">
        <f t="shared" ref="H851:H862" si="146">SUM(B851:F851)</f>
        <v>156981.402</v>
      </c>
      <c r="I851" s="67"/>
      <c r="J851" s="67"/>
      <c r="K851" s="67"/>
      <c r="L851" s="70" t="s">
        <v>1354</v>
      </c>
      <c r="M851" s="67">
        <f t="shared" ref="M851:M862" si="147">(B741-$F741)*B$739/1000</f>
        <v>71494.06</v>
      </c>
      <c r="N851" s="67">
        <f t="shared" ref="N851:N862" si="148">(C741-$F741)*C$739/1000</f>
        <v>9590.1440000000002</v>
      </c>
      <c r="O851" s="67">
        <f t="shared" ref="O851:O862" si="149">(D741-$F741)*D$739/1000</f>
        <v>9577.8559999999998</v>
      </c>
      <c r="P851" s="67">
        <f t="shared" ref="P851:P862" si="150">(E741-$F741)*E$739/1000</f>
        <v>14152.218000000001</v>
      </c>
      <c r="Q851" s="67">
        <f t="shared" ref="Q851:Q862" si="151">(F741-$F741)*F$739/1000</f>
        <v>0</v>
      </c>
      <c r="R851" s="67">
        <f t="shared" ref="R851:R862" si="152">SUM(L851:P851)</f>
        <v>104814.27799999999</v>
      </c>
      <c r="S851" s="73">
        <f t="shared" si="144"/>
        <v>34.520418660000004</v>
      </c>
    </row>
    <row r="852" spans="1:19" ht="15.75" customHeight="1" x14ac:dyDescent="0.3">
      <c r="A852" s="70" t="s">
        <v>706</v>
      </c>
      <c r="B852" s="67">
        <f t="shared" si="145"/>
        <v>81412.884000000005</v>
      </c>
      <c r="C852" s="67">
        <f t="shared" si="145"/>
        <v>10934.784</v>
      </c>
      <c r="D852" s="67">
        <f t="shared" si="145"/>
        <v>10934.784</v>
      </c>
      <c r="E852" s="67">
        <f t="shared" si="145"/>
        <v>18708.732</v>
      </c>
      <c r="F852" s="67">
        <f t="shared" si="145"/>
        <v>15291.611999999999</v>
      </c>
      <c r="G852" s="67"/>
      <c r="H852" s="67">
        <f t="shared" si="146"/>
        <v>137282.796</v>
      </c>
      <c r="I852" s="67"/>
      <c r="J852" s="67"/>
      <c r="K852" s="67"/>
      <c r="L852" s="70" t="s">
        <v>706</v>
      </c>
      <c r="M852" s="67">
        <f t="shared" si="147"/>
        <v>71514.073000000004</v>
      </c>
      <c r="N852" s="67">
        <f t="shared" si="148"/>
        <v>9586.3040000000001</v>
      </c>
      <c r="O852" s="67">
        <f t="shared" si="149"/>
        <v>9567.7440000000006</v>
      </c>
      <c r="P852" s="67">
        <f t="shared" si="150"/>
        <v>12057.921</v>
      </c>
      <c r="Q852" s="67">
        <f t="shared" si="151"/>
        <v>0</v>
      </c>
      <c r="R852" s="67">
        <f t="shared" si="152"/>
        <v>102726.04200000002</v>
      </c>
      <c r="S852" s="73">
        <f t="shared" si="144"/>
        <v>31.43460567</v>
      </c>
    </row>
    <row r="853" spans="1:19" ht="15.75" customHeight="1" x14ac:dyDescent="0.3">
      <c r="A853" s="70" t="s">
        <v>707</v>
      </c>
      <c r="B853" s="67">
        <f t="shared" si="145"/>
        <v>43663.601000000002</v>
      </c>
      <c r="C853" s="67">
        <f t="shared" si="145"/>
        <v>5864.576</v>
      </c>
      <c r="D853" s="67">
        <f t="shared" si="145"/>
        <v>5864.576</v>
      </c>
      <c r="E853" s="67">
        <f t="shared" si="145"/>
        <v>10033.923000000001</v>
      </c>
      <c r="F853" s="67">
        <f t="shared" si="145"/>
        <v>8201.2430000000004</v>
      </c>
      <c r="G853" s="67"/>
      <c r="H853" s="67">
        <f t="shared" si="146"/>
        <v>73627.919000000009</v>
      </c>
      <c r="I853" s="67"/>
      <c r="J853" s="67"/>
      <c r="K853" s="67"/>
      <c r="L853" s="70" t="s">
        <v>707</v>
      </c>
      <c r="M853" s="67">
        <f t="shared" si="147"/>
        <v>128782.702</v>
      </c>
      <c r="N853" s="67">
        <f t="shared" si="148"/>
        <v>17262.080000000002</v>
      </c>
      <c r="O853" s="67">
        <f t="shared" si="149"/>
        <v>17228.671999999999</v>
      </c>
      <c r="P853" s="67">
        <f t="shared" si="150"/>
        <v>23180.712</v>
      </c>
      <c r="Q853" s="67">
        <f t="shared" si="151"/>
        <v>0</v>
      </c>
      <c r="R853" s="67">
        <f t="shared" si="152"/>
        <v>186454.166</v>
      </c>
      <c r="S853" s="73">
        <f t="shared" si="144"/>
        <v>27.763461960000001</v>
      </c>
    </row>
    <row r="854" spans="1:19" ht="15.75" customHeight="1" x14ac:dyDescent="0.3">
      <c r="A854" s="70" t="s">
        <v>1321</v>
      </c>
      <c r="B854" s="67">
        <f t="shared" si="145"/>
        <v>19604.163</v>
      </c>
      <c r="C854" s="67">
        <f t="shared" si="145"/>
        <v>2633.0880000000002</v>
      </c>
      <c r="D854" s="67">
        <f t="shared" si="145"/>
        <v>2633.0880000000002</v>
      </c>
      <c r="E854" s="67">
        <f t="shared" si="145"/>
        <v>4505.049</v>
      </c>
      <c r="F854" s="67">
        <f t="shared" si="145"/>
        <v>3682.2089999999998</v>
      </c>
      <c r="G854" s="67"/>
      <c r="H854" s="67">
        <f t="shared" si="146"/>
        <v>33057.597000000002</v>
      </c>
      <c r="I854" s="67"/>
      <c r="J854" s="67"/>
      <c r="K854" s="67"/>
      <c r="L854" s="70" t="s">
        <v>1321</v>
      </c>
      <c r="M854" s="67">
        <f t="shared" si="147"/>
        <v>145944.326</v>
      </c>
      <c r="N854" s="67">
        <f t="shared" si="148"/>
        <v>19555.2</v>
      </c>
      <c r="O854" s="67">
        <f t="shared" si="149"/>
        <v>19510.400000000001</v>
      </c>
      <c r="P854" s="67">
        <f t="shared" si="150"/>
        <v>27618.09</v>
      </c>
      <c r="Q854" s="67">
        <f t="shared" si="151"/>
        <v>0</v>
      </c>
      <c r="R854" s="67">
        <f t="shared" si="152"/>
        <v>212628.016</v>
      </c>
      <c r="S854" s="73">
        <f t="shared" si="144"/>
        <v>12.164204130000002</v>
      </c>
    </row>
    <row r="855" spans="1:19" ht="15.75" customHeight="1" x14ac:dyDescent="0.3">
      <c r="A855" s="70" t="s">
        <v>1905</v>
      </c>
      <c r="B855" s="67">
        <f t="shared" si="145"/>
        <v>3995.9290000000001</v>
      </c>
      <c r="C855" s="67">
        <f t="shared" si="145"/>
        <v>536.70399999999995</v>
      </c>
      <c r="D855" s="67">
        <f t="shared" si="145"/>
        <v>536.70399999999995</v>
      </c>
      <c r="E855" s="67">
        <f t="shared" si="145"/>
        <v>918.26700000000005</v>
      </c>
      <c r="F855" s="67">
        <f t="shared" si="145"/>
        <v>750.54700000000003</v>
      </c>
      <c r="G855" s="67"/>
      <c r="H855" s="67">
        <f t="shared" si="146"/>
        <v>6738.1509999999998</v>
      </c>
      <c r="I855" s="67"/>
      <c r="J855" s="67"/>
      <c r="K855" s="67"/>
      <c r="L855" s="70" t="s">
        <v>1905</v>
      </c>
      <c r="M855" s="67">
        <f t="shared" si="147"/>
        <v>153217.622</v>
      </c>
      <c r="N855" s="67">
        <f t="shared" si="148"/>
        <v>20524.671999999999</v>
      </c>
      <c r="O855" s="67">
        <f t="shared" si="149"/>
        <v>20473.216</v>
      </c>
      <c r="P855" s="67">
        <f t="shared" si="150"/>
        <v>28886.538</v>
      </c>
      <c r="Q855" s="67">
        <f t="shared" si="151"/>
        <v>0</v>
      </c>
      <c r="R855" s="67">
        <f t="shared" si="152"/>
        <v>223102.04800000001</v>
      </c>
      <c r="S855" s="73">
        <f t="shared" si="144"/>
        <v>30.134610090000002</v>
      </c>
    </row>
    <row r="856" spans="1:19" ht="15.75" customHeight="1" x14ac:dyDescent="0.3">
      <c r="A856" s="70" t="s">
        <v>1906</v>
      </c>
      <c r="B856" s="67">
        <f t="shared" si="145"/>
        <v>0</v>
      </c>
      <c r="C856" s="67">
        <f t="shared" si="145"/>
        <v>0</v>
      </c>
      <c r="D856" s="67">
        <f t="shared" si="145"/>
        <v>0</v>
      </c>
      <c r="E856" s="67">
        <f t="shared" si="145"/>
        <v>0</v>
      </c>
      <c r="F856" s="67">
        <f t="shared" si="145"/>
        <v>0</v>
      </c>
      <c r="G856" s="67"/>
      <c r="H856" s="67">
        <f t="shared" si="146"/>
        <v>0</v>
      </c>
      <c r="I856" s="67"/>
      <c r="J856" s="67"/>
      <c r="K856" s="67"/>
      <c r="L856" s="70" t="s">
        <v>1906</v>
      </c>
      <c r="M856" s="67">
        <f t="shared" si="147"/>
        <v>92400.020999999993</v>
      </c>
      <c r="N856" s="67">
        <f t="shared" si="148"/>
        <v>12357.12</v>
      </c>
      <c r="O856" s="67">
        <f t="shared" si="149"/>
        <v>12306.432000000001</v>
      </c>
      <c r="P856" s="67">
        <f t="shared" si="150"/>
        <v>16992.429</v>
      </c>
      <c r="Q856" s="67">
        <f t="shared" si="151"/>
        <v>0</v>
      </c>
      <c r="R856" s="67">
        <f t="shared" si="152"/>
        <v>134056.00199999998</v>
      </c>
      <c r="S856" s="73"/>
    </row>
    <row r="857" spans="1:19" ht="15.75" customHeight="1" x14ac:dyDescent="0.3">
      <c r="A857" s="70" t="s">
        <v>1907</v>
      </c>
      <c r="B857" s="67">
        <f t="shared" si="145"/>
        <v>0</v>
      </c>
      <c r="C857" s="67">
        <f t="shared" si="145"/>
        <v>0</v>
      </c>
      <c r="D857" s="67">
        <f t="shared" si="145"/>
        <v>0</v>
      </c>
      <c r="E857" s="67">
        <f t="shared" si="145"/>
        <v>0</v>
      </c>
      <c r="F857" s="67">
        <f t="shared" si="145"/>
        <v>0</v>
      </c>
      <c r="G857" s="67"/>
      <c r="H857" s="67">
        <f t="shared" si="146"/>
        <v>0</v>
      </c>
      <c r="I857" s="67"/>
      <c r="J857" s="67"/>
      <c r="K857" s="67"/>
      <c r="L857" s="70" t="s">
        <v>1907</v>
      </c>
      <c r="M857" s="67">
        <f t="shared" si="147"/>
        <v>72493.756999999998</v>
      </c>
      <c r="N857" s="67">
        <f t="shared" si="148"/>
        <v>9683.5840000000007</v>
      </c>
      <c r="O857" s="67">
        <f t="shared" si="149"/>
        <v>9633.152</v>
      </c>
      <c r="P857" s="67">
        <f t="shared" si="150"/>
        <v>10885.614</v>
      </c>
      <c r="Q857" s="67">
        <f t="shared" si="151"/>
        <v>0</v>
      </c>
      <c r="R857" s="67">
        <f t="shared" si="152"/>
        <v>102696.107</v>
      </c>
      <c r="S857" s="73">
        <f>(SUM(S844:S855))</f>
        <v>283.76758020000005</v>
      </c>
    </row>
    <row r="858" spans="1:19" ht="15.75" customHeight="1" x14ac:dyDescent="0.3">
      <c r="A858" s="70" t="s">
        <v>1908</v>
      </c>
      <c r="B858" s="67">
        <f t="shared" si="145"/>
        <v>0</v>
      </c>
      <c r="C858" s="67">
        <f t="shared" si="145"/>
        <v>0</v>
      </c>
      <c r="D858" s="67">
        <f t="shared" si="145"/>
        <v>0</v>
      </c>
      <c r="E858" s="67">
        <f t="shared" si="145"/>
        <v>0</v>
      </c>
      <c r="F858" s="67">
        <f t="shared" si="145"/>
        <v>0</v>
      </c>
      <c r="G858" s="67"/>
      <c r="H858" s="67">
        <f t="shared" si="146"/>
        <v>0</v>
      </c>
      <c r="I858" s="67"/>
      <c r="J858" s="67"/>
      <c r="K858" s="67"/>
      <c r="L858" s="70" t="s">
        <v>1908</v>
      </c>
      <c r="M858" s="67">
        <f t="shared" si="147"/>
        <v>68193.820999999996</v>
      </c>
      <c r="N858" s="67">
        <f t="shared" si="148"/>
        <v>9116.5439999999999</v>
      </c>
      <c r="O858" s="67">
        <f t="shared" si="149"/>
        <v>9075.84</v>
      </c>
      <c r="P858" s="67">
        <f t="shared" si="150"/>
        <v>8986.6650000000009</v>
      </c>
      <c r="Q858" s="67">
        <f t="shared" si="151"/>
        <v>0</v>
      </c>
      <c r="R858" s="67">
        <f t="shared" si="152"/>
        <v>95372.87</v>
      </c>
      <c r="S858" s="67"/>
    </row>
    <row r="859" spans="1:19" ht="15.75" customHeight="1" x14ac:dyDescent="0.3">
      <c r="A859" s="70" t="s">
        <v>2352</v>
      </c>
      <c r="B859" s="67">
        <f t="shared" si="145"/>
        <v>19955.82</v>
      </c>
      <c r="C859" s="67">
        <f t="shared" si="145"/>
        <v>2680.32</v>
      </c>
      <c r="D859" s="67">
        <f t="shared" si="145"/>
        <v>2680.32</v>
      </c>
      <c r="E859" s="67">
        <f t="shared" si="145"/>
        <v>4585.8599999999997</v>
      </c>
      <c r="F859" s="67">
        <f t="shared" si="145"/>
        <v>3748.26</v>
      </c>
      <c r="G859" s="67"/>
      <c r="H859" s="67">
        <f t="shared" si="146"/>
        <v>33650.58</v>
      </c>
      <c r="I859" s="67"/>
      <c r="J859" s="67"/>
      <c r="K859" s="67"/>
      <c r="L859" s="70" t="s">
        <v>2352</v>
      </c>
      <c r="M859" s="67">
        <f t="shared" si="147"/>
        <v>116728.205</v>
      </c>
      <c r="N859" s="67">
        <f t="shared" si="148"/>
        <v>15637.632</v>
      </c>
      <c r="O859" s="67">
        <f t="shared" si="149"/>
        <v>15599.103999999999</v>
      </c>
      <c r="P859" s="67">
        <f t="shared" si="150"/>
        <v>23934.728999999999</v>
      </c>
      <c r="Q859" s="67">
        <f t="shared" si="151"/>
        <v>0</v>
      </c>
      <c r="R859" s="67">
        <f t="shared" si="152"/>
        <v>171899.66999999998</v>
      </c>
    </row>
    <row r="860" spans="1:19" ht="15.75" customHeight="1" x14ac:dyDescent="0.3">
      <c r="A860" s="70" t="s">
        <v>2353</v>
      </c>
      <c r="B860" s="67">
        <f t="shared" si="145"/>
        <v>16467.84</v>
      </c>
      <c r="C860" s="67">
        <f t="shared" si="145"/>
        <v>2211.84</v>
      </c>
      <c r="D860" s="67">
        <f t="shared" si="145"/>
        <v>2211.84</v>
      </c>
      <c r="E860" s="67">
        <f t="shared" si="145"/>
        <v>3784.32</v>
      </c>
      <c r="F860" s="67">
        <f t="shared" si="145"/>
        <v>3093.12</v>
      </c>
      <c r="G860" s="67"/>
      <c r="H860" s="67">
        <f t="shared" si="146"/>
        <v>27768.959999999999</v>
      </c>
      <c r="I860" s="67"/>
      <c r="J860" s="67"/>
      <c r="K860" s="67"/>
      <c r="L860" s="70" t="s">
        <v>2353</v>
      </c>
      <c r="M860" s="67">
        <f t="shared" si="147"/>
        <v>113013.41099999999</v>
      </c>
      <c r="N860" s="67">
        <f t="shared" si="148"/>
        <v>15142.656000000001</v>
      </c>
      <c r="O860" s="67">
        <f t="shared" si="149"/>
        <v>15107.84</v>
      </c>
      <c r="P860" s="67">
        <f t="shared" si="150"/>
        <v>20065.655999999999</v>
      </c>
      <c r="Q860" s="67">
        <f t="shared" si="151"/>
        <v>0</v>
      </c>
      <c r="R860" s="67">
        <f t="shared" si="152"/>
        <v>163329.56299999999</v>
      </c>
    </row>
    <row r="861" spans="1:19" ht="15.75" customHeight="1" x14ac:dyDescent="0.3">
      <c r="A861" s="70" t="s">
        <v>2354</v>
      </c>
      <c r="B861" s="67">
        <f t="shared" si="145"/>
        <v>73775.542000000001</v>
      </c>
      <c r="C861" s="67">
        <f t="shared" si="145"/>
        <v>9908.9920000000002</v>
      </c>
      <c r="D861" s="67">
        <f t="shared" si="145"/>
        <v>9908.9920000000002</v>
      </c>
      <c r="E861" s="67">
        <f t="shared" si="145"/>
        <v>16953.666000000001</v>
      </c>
      <c r="F861" s="67">
        <f t="shared" si="145"/>
        <v>13857.106</v>
      </c>
      <c r="G861" s="67"/>
      <c r="H861" s="67">
        <f t="shared" si="146"/>
        <v>124404.298</v>
      </c>
      <c r="I861" s="67"/>
      <c r="J861" s="67"/>
      <c r="K861" s="67"/>
      <c r="L861" s="70" t="s">
        <v>2354</v>
      </c>
      <c r="M861" s="67">
        <f t="shared" si="147"/>
        <v>58301.680999999997</v>
      </c>
      <c r="N861" s="67">
        <f t="shared" si="148"/>
        <v>7800.576</v>
      </c>
      <c r="O861" s="67">
        <f t="shared" si="149"/>
        <v>7771.6480000000001</v>
      </c>
      <c r="P861" s="67">
        <f t="shared" si="150"/>
        <v>8430.6239999999998</v>
      </c>
      <c r="Q861" s="67">
        <f t="shared" si="151"/>
        <v>0</v>
      </c>
      <c r="R861" s="67">
        <f t="shared" si="152"/>
        <v>82304.528999999995</v>
      </c>
    </row>
    <row r="862" spans="1:19" ht="15.75" customHeight="1" x14ac:dyDescent="0.3">
      <c r="A862" s="70" t="s">
        <v>2355</v>
      </c>
      <c r="B862" s="67">
        <f t="shared" si="145"/>
        <v>55487.472000000002</v>
      </c>
      <c r="C862" s="67">
        <f t="shared" si="145"/>
        <v>7452.6719999999996</v>
      </c>
      <c r="D862" s="67">
        <f t="shared" si="145"/>
        <v>7452.6719999999996</v>
      </c>
      <c r="E862" s="67">
        <f t="shared" si="145"/>
        <v>12751.056</v>
      </c>
      <c r="F862" s="67">
        <f t="shared" si="145"/>
        <v>10422.096</v>
      </c>
      <c r="G862" s="67"/>
      <c r="H862" s="67">
        <f t="shared" si="146"/>
        <v>93565.968000000008</v>
      </c>
      <c r="I862" s="67"/>
      <c r="J862" s="67"/>
      <c r="K862" s="67"/>
      <c r="L862" s="70" t="s">
        <v>2355</v>
      </c>
      <c r="M862" s="67">
        <f t="shared" si="147"/>
        <v>87597.854000000007</v>
      </c>
      <c r="N862" s="67">
        <f t="shared" si="148"/>
        <v>11741.696</v>
      </c>
      <c r="O862" s="67">
        <f t="shared" si="149"/>
        <v>11718.784</v>
      </c>
      <c r="P862" s="67">
        <f t="shared" si="150"/>
        <v>14228.210999999999</v>
      </c>
      <c r="Q862" s="67">
        <f t="shared" si="151"/>
        <v>0</v>
      </c>
      <c r="R862" s="67">
        <f t="shared" si="152"/>
        <v>125286.545</v>
      </c>
    </row>
    <row r="863" spans="1:19" ht="15.75" customHeight="1" x14ac:dyDescent="0.3">
      <c r="A863" s="67"/>
      <c r="B863" s="67"/>
      <c r="C863" s="67"/>
      <c r="D863" s="67"/>
      <c r="E863" s="67"/>
      <c r="F863" s="67"/>
      <c r="G863" s="67"/>
      <c r="H863" s="67"/>
      <c r="I863" s="67"/>
      <c r="J863" s="67"/>
      <c r="K863" s="67"/>
      <c r="L863" s="67"/>
      <c r="M863" s="67"/>
      <c r="N863" s="67"/>
      <c r="O863" s="67"/>
      <c r="P863" s="67"/>
      <c r="Q863" s="67"/>
      <c r="R863" s="67"/>
    </row>
    <row r="864" spans="1:19" ht="15.75" customHeight="1" x14ac:dyDescent="0.3">
      <c r="A864" s="70" t="s">
        <v>2356</v>
      </c>
      <c r="B864" s="67">
        <f>SUM(B851:B862)</f>
        <v>407458.00900000002</v>
      </c>
      <c r="C864" s="67">
        <f>SUM(C851:C862)</f>
        <v>54726.784000000007</v>
      </c>
      <c r="D864" s="67">
        <f>SUM(D851:D862)</f>
        <v>54726.784000000007</v>
      </c>
      <c r="E864" s="67">
        <f>SUM(E851:E862)</f>
        <v>93634.107000000004</v>
      </c>
      <c r="F864" s="67">
        <f>SUM(F851:F862)</f>
        <v>76531.987000000008</v>
      </c>
      <c r="G864" s="67"/>
      <c r="H864" s="67">
        <f>SUM(H851:H862)</f>
        <v>687077.67099999997</v>
      </c>
      <c r="I864" s="67"/>
      <c r="J864" s="67"/>
      <c r="K864" s="67"/>
      <c r="L864" s="70" t="s">
        <v>2356</v>
      </c>
      <c r="M864" s="67">
        <f t="shared" ref="M864:R864" si="153">SUM(M851:M862)</f>
        <v>1179681.5330000001</v>
      </c>
      <c r="N864" s="67">
        <f t="shared" si="153"/>
        <v>157998.20799999998</v>
      </c>
      <c r="O864" s="67">
        <f t="shared" si="153"/>
        <v>157570.68799999997</v>
      </c>
      <c r="P864" s="67">
        <f t="shared" si="153"/>
        <v>209419.40700000001</v>
      </c>
      <c r="Q864" s="67">
        <f t="shared" si="153"/>
        <v>0</v>
      </c>
      <c r="R864" s="67">
        <f t="shared" si="153"/>
        <v>1704669.8360000001</v>
      </c>
    </row>
    <row r="865" spans="1:18" ht="15.75" customHeight="1" x14ac:dyDescent="0.3">
      <c r="A865" s="67"/>
      <c r="B865" s="67"/>
      <c r="C865" s="67"/>
      <c r="D865" s="67"/>
      <c r="E865" s="67"/>
      <c r="F865" s="67"/>
      <c r="G865" s="67"/>
      <c r="H865" s="67"/>
      <c r="I865" s="67"/>
      <c r="J865" s="67"/>
      <c r="K865" s="67"/>
      <c r="L865" s="67"/>
      <c r="M865" s="67"/>
      <c r="N865" s="67"/>
      <c r="O865" s="67"/>
      <c r="P865" s="67"/>
      <c r="Q865" s="67"/>
      <c r="R865" s="67"/>
    </row>
    <row r="866" spans="1:18" ht="15.75" customHeight="1" x14ac:dyDescent="0.35">
      <c r="A866" s="67"/>
      <c r="B866" s="67" t="s">
        <v>2435</v>
      </c>
      <c r="C866" s="215"/>
      <c r="D866" s="215"/>
      <c r="E866" s="215"/>
      <c r="F866" s="215"/>
      <c r="G866" s="71" t="s">
        <v>1622</v>
      </c>
      <c r="H866" s="67"/>
      <c r="I866" s="67"/>
      <c r="J866" s="67"/>
      <c r="K866" s="67"/>
      <c r="L866" s="67"/>
      <c r="M866" s="67"/>
      <c r="N866" s="67"/>
      <c r="O866" s="67"/>
      <c r="P866" s="67"/>
      <c r="Q866" s="71" t="str">
        <f>+Q1</f>
        <v>PRINTED:</v>
      </c>
      <c r="R866" s="77">
        <f ca="1">+R1</f>
        <v>44881.72963425926</v>
      </c>
    </row>
    <row r="867" spans="1:18" ht="15.75" customHeight="1" x14ac:dyDescent="0.35">
      <c r="A867" s="67"/>
      <c r="B867" s="67"/>
      <c r="C867" s="215"/>
      <c r="D867" s="215"/>
      <c r="E867" s="215"/>
      <c r="F867" s="215"/>
      <c r="G867" s="67" t="s">
        <v>2435</v>
      </c>
      <c r="H867" s="67" t="s">
        <v>852</v>
      </c>
      <c r="I867" s="69" t="str">
        <f>+A8</f>
        <v>Revised:  1/25/10</v>
      </c>
      <c r="J867" s="67"/>
      <c r="K867" s="67"/>
      <c r="L867" s="67"/>
      <c r="M867" s="67"/>
      <c r="N867" s="67"/>
      <c r="O867" s="67"/>
      <c r="P867" s="67"/>
      <c r="Q867" s="67"/>
      <c r="R867" s="67"/>
    </row>
    <row r="868" spans="1:18" ht="15.75" customHeight="1" x14ac:dyDescent="0.35">
      <c r="A868" s="67"/>
      <c r="B868" s="67" t="s">
        <v>2435</v>
      </c>
      <c r="C868" s="215"/>
      <c r="D868" s="215"/>
      <c r="E868" s="215"/>
      <c r="F868" s="215"/>
      <c r="G868" s="67" t="s">
        <v>2126</v>
      </c>
      <c r="H868" s="67"/>
      <c r="I868" s="67"/>
      <c r="J868" s="67"/>
      <c r="K868" s="67"/>
      <c r="L868" s="67"/>
      <c r="M868" s="67"/>
      <c r="N868" s="67"/>
      <c r="O868" s="67"/>
      <c r="P868" s="67"/>
      <c r="Q868" s="67"/>
      <c r="R868" s="67"/>
    </row>
    <row r="869" spans="1:18" ht="15.75" customHeight="1" x14ac:dyDescent="0.35">
      <c r="A869" s="67"/>
      <c r="B869" s="67"/>
      <c r="C869" s="215"/>
      <c r="D869" s="215"/>
      <c r="E869" s="215"/>
      <c r="F869" s="215"/>
      <c r="G869" s="67"/>
      <c r="H869" s="67"/>
      <c r="I869" s="67"/>
      <c r="J869" s="67"/>
      <c r="K869" s="67"/>
      <c r="L869" s="67" t="s">
        <v>2435</v>
      </c>
      <c r="M869" s="67"/>
      <c r="N869" s="67"/>
      <c r="O869" s="67"/>
      <c r="P869" s="67"/>
      <c r="Q869" s="67"/>
      <c r="R869" s="67"/>
    </row>
    <row r="870" spans="1:18" ht="15.75" customHeight="1" x14ac:dyDescent="0.35">
      <c r="A870" s="67"/>
      <c r="B870" s="67"/>
      <c r="C870" s="215"/>
      <c r="D870" s="215"/>
      <c r="E870" s="215"/>
      <c r="F870" s="215"/>
      <c r="G870" s="67" t="s">
        <v>2435</v>
      </c>
      <c r="H870" s="67" t="str">
        <f>+A5</f>
        <v>Calendar Year 2009</v>
      </c>
      <c r="I870" s="67"/>
      <c r="K870" s="67"/>
      <c r="L870" s="67"/>
      <c r="N870" s="67" t="s">
        <v>2435</v>
      </c>
      <c r="O870" s="67"/>
      <c r="P870" s="67"/>
      <c r="Q870" s="71" t="s">
        <v>253</v>
      </c>
      <c r="R870" s="67"/>
    </row>
    <row r="871" spans="1:18" ht="15.75" customHeight="1" x14ac:dyDescent="0.3">
      <c r="A871" s="67"/>
      <c r="B871" s="67"/>
      <c r="C871" s="67"/>
      <c r="D871" s="67"/>
      <c r="E871" s="67"/>
      <c r="F871" s="67"/>
      <c r="G871" s="67"/>
      <c r="H871" s="67"/>
      <c r="I871" s="67"/>
      <c r="K871" s="67"/>
      <c r="L871" s="67"/>
      <c r="N871" s="67"/>
      <c r="O871" s="67"/>
      <c r="P871" s="67"/>
      <c r="Q871" s="67" t="s">
        <v>254</v>
      </c>
      <c r="R871" s="67"/>
    </row>
    <row r="872" spans="1:18" ht="15.75" customHeight="1" x14ac:dyDescent="0.35">
      <c r="A872" s="67" t="s">
        <v>2435</v>
      </c>
      <c r="B872" s="70" t="s">
        <v>2439</v>
      </c>
      <c r="C872" s="70" t="s">
        <v>336</v>
      </c>
      <c r="D872" s="70" t="s">
        <v>596</v>
      </c>
      <c r="E872" s="70" t="s">
        <v>228</v>
      </c>
      <c r="F872" s="67"/>
      <c r="G872" s="67"/>
      <c r="H872" s="70" t="s">
        <v>229</v>
      </c>
      <c r="I872" s="70" t="s">
        <v>1412</v>
      </c>
      <c r="J872" s="70" t="s">
        <v>1499</v>
      </c>
      <c r="K872" s="70" t="s">
        <v>1413</v>
      </c>
      <c r="L872" s="70" t="s">
        <v>1414</v>
      </c>
      <c r="M872" s="70" t="s">
        <v>1499</v>
      </c>
      <c r="N872" s="67" t="s">
        <v>2435</v>
      </c>
      <c r="O872" s="67"/>
      <c r="P872" s="67"/>
      <c r="Q872" s="67"/>
      <c r="R872" s="67"/>
    </row>
    <row r="873" spans="1:18" ht="15.75" customHeight="1" x14ac:dyDescent="0.3">
      <c r="A873" s="67" t="s">
        <v>2435</v>
      </c>
      <c r="B873" s="70" t="s">
        <v>275</v>
      </c>
      <c r="C873" s="70" t="s">
        <v>1415</v>
      </c>
      <c r="D873" s="70" t="s">
        <v>335</v>
      </c>
      <c r="E873" s="70" t="s">
        <v>2463</v>
      </c>
      <c r="F873" s="70" t="s">
        <v>1416</v>
      </c>
      <c r="G873" s="70" t="s">
        <v>1417</v>
      </c>
      <c r="H873" s="70" t="s">
        <v>1180</v>
      </c>
      <c r="I873" s="70" t="s">
        <v>1318</v>
      </c>
      <c r="J873" s="70" t="s">
        <v>1371</v>
      </c>
      <c r="K873" s="70" t="s">
        <v>429</v>
      </c>
      <c r="L873" s="70" t="s">
        <v>2356</v>
      </c>
      <c r="M873" s="70" t="s">
        <v>1371</v>
      </c>
      <c r="N873" s="67" t="s">
        <v>1999</v>
      </c>
      <c r="O873" s="67"/>
      <c r="P873" s="67"/>
      <c r="Q873" s="67" t="s">
        <v>2435</v>
      </c>
      <c r="R873" s="70" t="s">
        <v>335</v>
      </c>
    </row>
    <row r="874" spans="1:18" ht="15.75" customHeight="1" x14ac:dyDescent="0.3">
      <c r="A874" s="67" t="s">
        <v>2435</v>
      </c>
      <c r="B874" s="70" t="s">
        <v>335</v>
      </c>
      <c r="C874" s="217">
        <v>7.4999999999999997E-2</v>
      </c>
      <c r="D874" s="70" t="s">
        <v>133</v>
      </c>
      <c r="E874" s="70" t="s">
        <v>276</v>
      </c>
      <c r="F874" s="70" t="s">
        <v>335</v>
      </c>
      <c r="G874" s="70" t="s">
        <v>335</v>
      </c>
      <c r="H874" s="70" t="s">
        <v>335</v>
      </c>
      <c r="I874" s="70" t="s">
        <v>134</v>
      </c>
      <c r="J874" s="70" t="s">
        <v>1498</v>
      </c>
      <c r="K874" s="70" t="s">
        <v>335</v>
      </c>
      <c r="L874" s="70" t="s">
        <v>135</v>
      </c>
      <c r="M874" s="70" t="s">
        <v>1498</v>
      </c>
      <c r="N874" s="70" t="s">
        <v>136</v>
      </c>
      <c r="O874" s="70" t="s">
        <v>241</v>
      </c>
      <c r="P874" s="67"/>
      <c r="Q874" s="70" t="s">
        <v>335</v>
      </c>
      <c r="R874" s="70" t="s">
        <v>956</v>
      </c>
    </row>
    <row r="875" spans="1:18" ht="15.75" customHeight="1" x14ac:dyDescent="0.3">
      <c r="A875" s="67" t="s">
        <v>2435</v>
      </c>
      <c r="B875" s="70" t="s">
        <v>932</v>
      </c>
      <c r="C875" s="70" t="s">
        <v>932</v>
      </c>
      <c r="D875" s="70" t="s">
        <v>932</v>
      </c>
      <c r="E875" s="70" t="s">
        <v>932</v>
      </c>
      <c r="F875" s="70" t="s">
        <v>998</v>
      </c>
      <c r="G875" s="70" t="s">
        <v>998</v>
      </c>
      <c r="H875" s="70" t="s">
        <v>932</v>
      </c>
      <c r="I875" s="70" t="s">
        <v>932</v>
      </c>
      <c r="J875" s="70" t="s">
        <v>998</v>
      </c>
      <c r="K875" s="70" t="s">
        <v>932</v>
      </c>
      <c r="L875" s="70" t="s">
        <v>998</v>
      </c>
      <c r="M875" s="70" t="s">
        <v>998</v>
      </c>
      <c r="N875" s="70" t="s">
        <v>998</v>
      </c>
      <c r="O875" s="70" t="s">
        <v>998</v>
      </c>
      <c r="P875" s="67"/>
      <c r="Q875" s="70" t="s">
        <v>998</v>
      </c>
      <c r="R875" s="70" t="s">
        <v>2201</v>
      </c>
    </row>
    <row r="876" spans="1:18" ht="15.75" customHeight="1" x14ac:dyDescent="0.3">
      <c r="A876" s="67" t="s">
        <v>1353</v>
      </c>
      <c r="B876" s="67" t="s">
        <v>1353</v>
      </c>
      <c r="C876" s="67" t="s">
        <v>1353</v>
      </c>
      <c r="D876" s="67" t="s">
        <v>2202</v>
      </c>
      <c r="E876" s="67" t="s">
        <v>1353</v>
      </c>
      <c r="F876" s="70" t="s">
        <v>2119</v>
      </c>
      <c r="G876" s="70" t="s">
        <v>2119</v>
      </c>
      <c r="H876" s="67" t="s">
        <v>1353</v>
      </c>
      <c r="I876" s="67" t="s">
        <v>1353</v>
      </c>
      <c r="J876" s="67" t="s">
        <v>1353</v>
      </c>
      <c r="K876" s="67" t="s">
        <v>1353</v>
      </c>
      <c r="L876" s="70" t="s">
        <v>1353</v>
      </c>
      <c r="M876" s="67" t="s">
        <v>1353</v>
      </c>
      <c r="N876" s="70" t="s">
        <v>1353</v>
      </c>
      <c r="O876" s="70" t="s">
        <v>1353</v>
      </c>
      <c r="P876" s="67"/>
      <c r="Q876" s="70" t="s">
        <v>1353</v>
      </c>
      <c r="R876" s="70" t="s">
        <v>1353</v>
      </c>
    </row>
    <row r="877" spans="1:18" ht="15.75" customHeight="1" x14ac:dyDescent="0.3">
      <c r="A877" s="70" t="s">
        <v>1354</v>
      </c>
      <c r="B877" s="67">
        <f t="shared" ref="B877:B888" si="154">+H766</f>
        <v>289511.57500000001</v>
      </c>
      <c r="C877" s="67">
        <f t="shared" ref="C877:C888" si="155">(B877*C$874)</f>
        <v>21713.368125000001</v>
      </c>
      <c r="D877" s="67">
        <f t="shared" ref="D877:D888" si="156">(B877*1.005)</f>
        <v>290959.13287499995</v>
      </c>
      <c r="E877" s="67">
        <f t="shared" ref="E877:E886" si="157">(G741*G$739)/(-1000)</f>
        <v>0</v>
      </c>
      <c r="F877" s="67">
        <f t="shared" ref="F877:F888" si="158">(K914)</f>
        <v>4000</v>
      </c>
      <c r="G877" s="67">
        <f t="shared" ref="G877:G888" si="159">(O914)</f>
        <v>0</v>
      </c>
      <c r="H877" s="67">
        <f t="shared" ref="H877:H888" si="160">(F877+G877)</f>
        <v>4000</v>
      </c>
      <c r="I877" s="67">
        <f t="shared" ref="I877:I888" si="161">(G914)</f>
        <v>0</v>
      </c>
      <c r="J877">
        <f>B$239*1.728</f>
        <v>0</v>
      </c>
      <c r="K877" s="67">
        <f t="shared" ref="K877:K888" si="162">(D877+C877-E877-H877-I877-J877)</f>
        <v>308672.50099999993</v>
      </c>
      <c r="L877" s="67">
        <f t="shared" ref="L877:L888" si="163">(C877+D877)</f>
        <v>312672.50099999993</v>
      </c>
      <c r="M877" s="67">
        <f t="shared" ref="M877:M888" si="164">J877</f>
        <v>0</v>
      </c>
      <c r="N877" s="348">
        <v>331769</v>
      </c>
      <c r="O877" s="67">
        <v>0</v>
      </c>
      <c r="P877" s="218" t="s">
        <v>925</v>
      </c>
      <c r="Q877" s="67">
        <f t="shared" ref="Q877:Q888" si="165">SUM(L823:Q823)</f>
        <v>10431.468000000001</v>
      </c>
      <c r="R877" s="72">
        <v>2.4700000000000002</v>
      </c>
    </row>
    <row r="878" spans="1:18" ht="15.75" customHeight="1" x14ac:dyDescent="0.3">
      <c r="A878" s="70" t="s">
        <v>706</v>
      </c>
      <c r="B878" s="67">
        <f t="shared" si="154"/>
        <v>253021.52</v>
      </c>
      <c r="C878" s="67">
        <f t="shared" si="155"/>
        <v>18976.613999999998</v>
      </c>
      <c r="D878" s="67">
        <f t="shared" si="156"/>
        <v>254286.62759999995</v>
      </c>
      <c r="E878" s="67">
        <f t="shared" si="157"/>
        <v>0</v>
      </c>
      <c r="F878" s="67">
        <f t="shared" si="158"/>
        <v>4000</v>
      </c>
      <c r="G878" s="67">
        <f t="shared" si="159"/>
        <v>0</v>
      </c>
      <c r="H878" s="67">
        <f t="shared" si="160"/>
        <v>4000</v>
      </c>
      <c r="I878" s="67">
        <f t="shared" si="161"/>
        <v>0</v>
      </c>
      <c r="J878">
        <f>C$239*1.728</f>
        <v>0</v>
      </c>
      <c r="K878" s="67">
        <f t="shared" si="162"/>
        <v>269263.24159999995</v>
      </c>
      <c r="L878" s="67">
        <f t="shared" si="163"/>
        <v>273263.24159999995</v>
      </c>
      <c r="M878" s="67">
        <f t="shared" si="164"/>
        <v>0</v>
      </c>
      <c r="N878" s="348">
        <v>279587</v>
      </c>
      <c r="O878" s="67">
        <v>0</v>
      </c>
      <c r="P878" s="67"/>
      <c r="Q878" s="67">
        <f t="shared" si="165"/>
        <v>4892.7570000000005</v>
      </c>
      <c r="R878" s="72">
        <v>2.4700000000000002</v>
      </c>
    </row>
    <row r="879" spans="1:18" ht="15.75" customHeight="1" x14ac:dyDescent="0.3">
      <c r="A879" s="70" t="s">
        <v>707</v>
      </c>
      <c r="B879" s="67">
        <f t="shared" si="154"/>
        <v>281054.45399999997</v>
      </c>
      <c r="C879" s="67">
        <f t="shared" si="155"/>
        <v>21079.084049999998</v>
      </c>
      <c r="D879" s="67">
        <f t="shared" si="156"/>
        <v>282459.72626999993</v>
      </c>
      <c r="E879" s="67">
        <f t="shared" si="157"/>
        <v>0</v>
      </c>
      <c r="F879" s="67">
        <f t="shared" si="158"/>
        <v>4000</v>
      </c>
      <c r="G879" s="67">
        <f t="shared" si="159"/>
        <v>0</v>
      </c>
      <c r="H879" s="67">
        <f t="shared" si="160"/>
        <v>4000</v>
      </c>
      <c r="I879" s="67">
        <f t="shared" si="161"/>
        <v>0</v>
      </c>
      <c r="J879">
        <f>D$239*1.728</f>
        <v>0</v>
      </c>
      <c r="K879" s="67">
        <f t="shared" si="162"/>
        <v>299538.81031999993</v>
      </c>
      <c r="L879" s="67">
        <f t="shared" si="163"/>
        <v>303538.81031999993</v>
      </c>
      <c r="M879" s="67">
        <f t="shared" si="164"/>
        <v>0</v>
      </c>
      <c r="N879" s="530">
        <v>304163</v>
      </c>
      <c r="O879" s="67">
        <v>0</v>
      </c>
      <c r="P879" s="67"/>
      <c r="Q879" s="67">
        <f t="shared" si="165"/>
        <v>6119.3550000000005</v>
      </c>
      <c r="R879" s="72">
        <v>2.4700000000000002</v>
      </c>
    </row>
    <row r="880" spans="1:18" ht="15.75" customHeight="1" x14ac:dyDescent="0.3">
      <c r="A880" s="70" t="s">
        <v>1321</v>
      </c>
      <c r="B880" s="67">
        <f t="shared" si="154"/>
        <v>277550.49</v>
      </c>
      <c r="C880" s="67">
        <f t="shared" si="155"/>
        <v>20816.286749999999</v>
      </c>
      <c r="D880" s="67">
        <f t="shared" si="156"/>
        <v>278938.24244999996</v>
      </c>
      <c r="E880" s="67">
        <f t="shared" si="157"/>
        <v>0</v>
      </c>
      <c r="F880" s="67">
        <f t="shared" si="158"/>
        <v>9000</v>
      </c>
      <c r="G880" s="67">
        <f t="shared" si="159"/>
        <v>0</v>
      </c>
      <c r="H880" s="67">
        <f t="shared" si="160"/>
        <v>9000</v>
      </c>
      <c r="I880" s="67">
        <f t="shared" si="161"/>
        <v>0</v>
      </c>
      <c r="J880">
        <f>F$239*1.728</f>
        <v>0</v>
      </c>
      <c r="K880" s="67">
        <f t="shared" si="162"/>
        <v>290754.52919999999</v>
      </c>
      <c r="L880" s="67">
        <f t="shared" si="163"/>
        <v>299754.52919999999</v>
      </c>
      <c r="M880" s="67">
        <f t="shared" si="164"/>
        <v>0</v>
      </c>
      <c r="N880" s="530">
        <v>294557</v>
      </c>
      <c r="O880" s="67">
        <v>0</v>
      </c>
      <c r="P880" s="67"/>
      <c r="Q880" s="67">
        <f t="shared" si="165"/>
        <v>7657.2029999999995</v>
      </c>
      <c r="R880" s="72">
        <v>2.4700000000000002</v>
      </c>
    </row>
    <row r="881" spans="1:18" ht="15.75" customHeight="1" x14ac:dyDescent="0.3">
      <c r="A881" s="70" t="s">
        <v>1905</v>
      </c>
      <c r="B881" s="67">
        <f t="shared" si="154"/>
        <v>262373.33600000001</v>
      </c>
      <c r="C881" s="67">
        <f t="shared" si="155"/>
        <v>19678.000199999999</v>
      </c>
      <c r="D881" s="67">
        <f t="shared" si="156"/>
        <v>263685.20267999999</v>
      </c>
      <c r="E881" s="67">
        <f t="shared" si="157"/>
        <v>1464.826</v>
      </c>
      <c r="F881" s="67">
        <f t="shared" si="158"/>
        <v>9000</v>
      </c>
      <c r="G881" s="67">
        <f t="shared" si="159"/>
        <v>0</v>
      </c>
      <c r="H881" s="67">
        <f t="shared" si="160"/>
        <v>9000</v>
      </c>
      <c r="I881" s="67">
        <f t="shared" si="161"/>
        <v>0</v>
      </c>
      <c r="J881">
        <f>G$239*1.728</f>
        <v>0</v>
      </c>
      <c r="K881" s="67">
        <f t="shared" si="162"/>
        <v>272898.37688</v>
      </c>
      <c r="L881" s="67">
        <f t="shared" si="163"/>
        <v>283363.20288</v>
      </c>
      <c r="M881" s="67">
        <f t="shared" si="164"/>
        <v>0</v>
      </c>
      <c r="N881" s="530">
        <v>283517</v>
      </c>
      <c r="O881" s="67">
        <v>0</v>
      </c>
      <c r="P881" s="67"/>
      <c r="Q881" s="67">
        <f t="shared" si="165"/>
        <v>8854.2119999999995</v>
      </c>
      <c r="R881" s="72">
        <v>2.4700000000000002</v>
      </c>
    </row>
    <row r="882" spans="1:18" ht="15.75" customHeight="1" x14ac:dyDescent="0.3">
      <c r="A882" s="70" t="s">
        <v>1906</v>
      </c>
      <c r="B882" s="67">
        <f t="shared" si="154"/>
        <v>172107.77800000002</v>
      </c>
      <c r="C882" s="67">
        <f t="shared" si="155"/>
        <v>12908.083350000001</v>
      </c>
      <c r="D882" s="67">
        <f t="shared" si="156"/>
        <v>172968.31689000002</v>
      </c>
      <c r="E882" s="67">
        <f t="shared" si="157"/>
        <v>10179.004000000001</v>
      </c>
      <c r="F882" s="67">
        <f t="shared" si="158"/>
        <v>18000</v>
      </c>
      <c r="G882" s="67">
        <f t="shared" si="159"/>
        <v>0</v>
      </c>
      <c r="H882" s="67">
        <f t="shared" si="160"/>
        <v>18000</v>
      </c>
      <c r="I882" s="67">
        <f t="shared" si="161"/>
        <v>0</v>
      </c>
      <c r="J882">
        <f>H$239*1.728</f>
        <v>0</v>
      </c>
      <c r="K882" s="67">
        <f t="shared" si="162"/>
        <v>157697.39624000003</v>
      </c>
      <c r="L882" s="67">
        <f t="shared" si="163"/>
        <v>185876.40024000002</v>
      </c>
      <c r="M882" s="67">
        <f t="shared" si="164"/>
        <v>0</v>
      </c>
      <c r="N882" s="530">
        <v>181015</v>
      </c>
      <c r="O882" s="67">
        <v>0</v>
      </c>
      <c r="P882" s="67"/>
      <c r="Q882" s="67">
        <f t="shared" si="165"/>
        <v>9589.7010000000009</v>
      </c>
      <c r="R882" s="72">
        <v>2.4700000000000002</v>
      </c>
    </row>
    <row r="883" spans="1:18" ht="15.75" customHeight="1" x14ac:dyDescent="0.3">
      <c r="A883" s="70" t="s">
        <v>1907</v>
      </c>
      <c r="B883" s="67">
        <f t="shared" si="154"/>
        <v>149890.79700000002</v>
      </c>
      <c r="C883" s="67">
        <f t="shared" si="155"/>
        <v>11241.809775000002</v>
      </c>
      <c r="D883" s="67">
        <f t="shared" si="156"/>
        <v>150640.25098499999</v>
      </c>
      <c r="E883" s="67">
        <f t="shared" si="157"/>
        <v>14312.968999999999</v>
      </c>
      <c r="F883" s="67">
        <f t="shared" si="158"/>
        <v>21000</v>
      </c>
      <c r="G883" s="67">
        <f t="shared" si="159"/>
        <v>0</v>
      </c>
      <c r="H883" s="67">
        <f t="shared" si="160"/>
        <v>21000</v>
      </c>
      <c r="I883" s="67">
        <f t="shared" si="161"/>
        <v>0</v>
      </c>
      <c r="J883">
        <f>J$239*1.728</f>
        <v>0</v>
      </c>
      <c r="K883" s="67">
        <f t="shared" si="162"/>
        <v>126569.09175999998</v>
      </c>
      <c r="L883" s="67">
        <f t="shared" si="163"/>
        <v>161882.06075999999</v>
      </c>
      <c r="M883" s="67">
        <f t="shared" si="164"/>
        <v>0</v>
      </c>
      <c r="N883" s="67">
        <v>160129</v>
      </c>
      <c r="O883" s="67">
        <v>0</v>
      </c>
      <c r="P883" s="67"/>
      <c r="Q883" s="67">
        <f t="shared" si="165"/>
        <v>12273.231000000002</v>
      </c>
      <c r="R883" s="72">
        <v>2.4700000000000002</v>
      </c>
    </row>
    <row r="884" spans="1:18" ht="15.75" customHeight="1" x14ac:dyDescent="0.3">
      <c r="A884" s="70" t="s">
        <v>1908</v>
      </c>
      <c r="B884" s="67">
        <f t="shared" si="154"/>
        <v>145198.10499999998</v>
      </c>
      <c r="C884" s="67">
        <f t="shared" si="155"/>
        <v>10889.857874999998</v>
      </c>
      <c r="D884" s="67">
        <f t="shared" si="156"/>
        <v>145924.09552499995</v>
      </c>
      <c r="E884" s="67">
        <f t="shared" si="157"/>
        <v>15272.378000000001</v>
      </c>
      <c r="F884" s="67">
        <f t="shared" si="158"/>
        <v>35000</v>
      </c>
      <c r="G884" s="67">
        <f t="shared" si="159"/>
        <v>0</v>
      </c>
      <c r="H884" s="67">
        <f t="shared" si="160"/>
        <v>35000</v>
      </c>
      <c r="I884" s="67">
        <f t="shared" si="161"/>
        <v>0</v>
      </c>
      <c r="J884">
        <f>K$239*1.728</f>
        <v>0</v>
      </c>
      <c r="K884" s="67">
        <f t="shared" si="162"/>
        <v>106541.57539999994</v>
      </c>
      <c r="L884" s="67">
        <f t="shared" si="163"/>
        <v>156813.95339999994</v>
      </c>
      <c r="M884" s="67">
        <f t="shared" si="164"/>
        <v>0</v>
      </c>
      <c r="N884" s="67">
        <f>L884-M884</f>
        <v>156813.95339999994</v>
      </c>
      <c r="O884" s="67">
        <f>(L884-M884-N884)</f>
        <v>0</v>
      </c>
      <c r="P884" s="67"/>
      <c r="Q884" s="67">
        <f t="shared" si="165"/>
        <v>13975.878000000001</v>
      </c>
      <c r="R884" s="72">
        <v>2.4700000000000002</v>
      </c>
    </row>
    <row r="885" spans="1:18" ht="15.75" customHeight="1" x14ac:dyDescent="0.3">
      <c r="A885" s="70" t="s">
        <v>2352</v>
      </c>
      <c r="B885" s="67">
        <f t="shared" si="154"/>
        <v>243576.492</v>
      </c>
      <c r="C885" s="67">
        <f t="shared" si="155"/>
        <v>18268.2369</v>
      </c>
      <c r="D885" s="67">
        <f t="shared" si="156"/>
        <v>244794.37445999996</v>
      </c>
      <c r="E885" s="67">
        <f t="shared" si="157"/>
        <v>1126.9939999999999</v>
      </c>
      <c r="F885" s="67">
        <f t="shared" si="158"/>
        <v>30917</v>
      </c>
      <c r="G885" s="67">
        <f t="shared" si="159"/>
        <v>0</v>
      </c>
      <c r="H885" s="67">
        <f t="shared" si="160"/>
        <v>30917</v>
      </c>
      <c r="I885" s="67">
        <f t="shared" si="161"/>
        <v>0</v>
      </c>
      <c r="J885">
        <f>L$239*1.728</f>
        <v>0</v>
      </c>
      <c r="K885" s="67">
        <f t="shared" si="162"/>
        <v>231018.61735999997</v>
      </c>
      <c r="L885" s="67">
        <f t="shared" si="163"/>
        <v>263062.61135999998</v>
      </c>
      <c r="M885" s="67">
        <f t="shared" si="164"/>
        <v>0</v>
      </c>
      <c r="N885" s="67">
        <f>L885-M885</f>
        <v>263062.61135999998</v>
      </c>
      <c r="O885" s="67">
        <f>(L885-M885-N885)</f>
        <v>0</v>
      </c>
      <c r="P885" s="67"/>
      <c r="Q885" s="67">
        <f t="shared" si="165"/>
        <v>12726.561</v>
      </c>
      <c r="R885" s="72">
        <v>2.4700000000000002</v>
      </c>
    </row>
    <row r="886" spans="1:18" ht="15.75" customHeight="1" x14ac:dyDescent="0.3">
      <c r="A886" s="70" t="s">
        <v>2353</v>
      </c>
      <c r="B886" s="67">
        <f t="shared" si="154"/>
        <v>221347.46599999999</v>
      </c>
      <c r="C886" s="67">
        <f t="shared" si="155"/>
        <v>16601.059949999999</v>
      </c>
      <c r="D886" s="67">
        <f t="shared" si="156"/>
        <v>222454.20332999996</v>
      </c>
      <c r="E886" s="67">
        <f t="shared" si="157"/>
        <v>0</v>
      </c>
      <c r="F886" s="67">
        <f t="shared" si="158"/>
        <v>4000</v>
      </c>
      <c r="G886" s="67">
        <f t="shared" si="159"/>
        <v>0</v>
      </c>
      <c r="H886" s="67">
        <f t="shared" si="160"/>
        <v>4000</v>
      </c>
      <c r="I886" s="67">
        <f t="shared" si="161"/>
        <v>123669.26327999996</v>
      </c>
      <c r="J886">
        <f>N$239*1.728</f>
        <v>0</v>
      </c>
      <c r="K886" s="67">
        <f t="shared" si="162"/>
        <v>111386</v>
      </c>
      <c r="L886" s="67">
        <f t="shared" si="163"/>
        <v>239055.26327999996</v>
      </c>
      <c r="M886" s="67">
        <f t="shared" si="164"/>
        <v>0</v>
      </c>
      <c r="N886" s="67">
        <v>115386</v>
      </c>
      <c r="O886" s="67">
        <f>(L886-M886-N886)</f>
        <v>123669.26327999996</v>
      </c>
      <c r="P886" s="67"/>
      <c r="Q886" s="67">
        <f t="shared" si="165"/>
        <v>11240.268</v>
      </c>
      <c r="R886" s="72">
        <v>2.4700000000000002</v>
      </c>
    </row>
    <row r="887" spans="1:18" ht="15.75" customHeight="1" x14ac:dyDescent="0.3">
      <c r="A887" s="70" t="s">
        <v>2354</v>
      </c>
      <c r="B887" s="67">
        <f t="shared" si="154"/>
        <v>216719.29699999999</v>
      </c>
      <c r="C887" s="67">
        <f t="shared" si="155"/>
        <v>16253.947274999999</v>
      </c>
      <c r="D887" s="67">
        <f t="shared" si="156"/>
        <v>217802.89348499998</v>
      </c>
      <c r="E887" s="67">
        <f>(G751*G$739)/(-1000)</f>
        <v>0</v>
      </c>
      <c r="F887" s="67">
        <f t="shared" si="158"/>
        <v>4000</v>
      </c>
      <c r="G887" s="67">
        <f t="shared" si="159"/>
        <v>0</v>
      </c>
      <c r="H887" s="67">
        <f t="shared" si="160"/>
        <v>4000</v>
      </c>
      <c r="I887" s="67">
        <f t="shared" si="161"/>
        <v>234056.84075999999</v>
      </c>
      <c r="J887">
        <f>O$239*1.728</f>
        <v>0</v>
      </c>
      <c r="K887" s="67">
        <f t="shared" si="162"/>
        <v>-4000</v>
      </c>
      <c r="L887" s="67">
        <f t="shared" si="163"/>
        <v>234056.84075999999</v>
      </c>
      <c r="M887" s="67">
        <f t="shared" si="164"/>
        <v>0</v>
      </c>
      <c r="N887" s="67">
        <v>0</v>
      </c>
      <c r="O887" s="67">
        <f>(L887-M887-N887)</f>
        <v>234056.84075999999</v>
      </c>
      <c r="P887" s="67"/>
      <c r="Q887" s="67">
        <f t="shared" si="165"/>
        <v>4924.7790000000005</v>
      </c>
      <c r="R887" s="72">
        <v>2.4700000000000002</v>
      </c>
    </row>
    <row r="888" spans="1:18" ht="15.75" customHeight="1" x14ac:dyDescent="0.3">
      <c r="A888" s="70" t="s">
        <v>2355</v>
      </c>
      <c r="B888" s="67">
        <f t="shared" si="154"/>
        <v>248550.44399999996</v>
      </c>
      <c r="C888" s="67">
        <f t="shared" si="155"/>
        <v>18641.283299999996</v>
      </c>
      <c r="D888" s="67">
        <f t="shared" si="156"/>
        <v>249793.19621999993</v>
      </c>
      <c r="E888" s="67">
        <f>(G752*G$739)/(-1000)</f>
        <v>0</v>
      </c>
      <c r="F888" s="67">
        <f t="shared" si="158"/>
        <v>4000</v>
      </c>
      <c r="G888" s="67">
        <f t="shared" si="159"/>
        <v>0</v>
      </c>
      <c r="H888" s="67">
        <f t="shared" si="160"/>
        <v>4000</v>
      </c>
      <c r="I888" s="67">
        <f t="shared" si="161"/>
        <v>268434.47951999994</v>
      </c>
      <c r="J888">
        <f>P$239*1.728</f>
        <v>0</v>
      </c>
      <c r="K888" s="67">
        <f t="shared" si="162"/>
        <v>-4000</v>
      </c>
      <c r="L888" s="67">
        <f t="shared" si="163"/>
        <v>268434.47951999994</v>
      </c>
      <c r="M888" s="67">
        <f t="shared" si="164"/>
        <v>0</v>
      </c>
      <c r="N888" s="67">
        <v>0</v>
      </c>
      <c r="O888" s="67">
        <f>(L888-M888-N888)</f>
        <v>268434.47951999994</v>
      </c>
      <c r="P888" s="67"/>
      <c r="Q888" s="67">
        <f t="shared" si="165"/>
        <v>12200.246999999999</v>
      </c>
      <c r="R888" s="72">
        <v>2.4700000000000002</v>
      </c>
    </row>
    <row r="889" spans="1:18" ht="15.75" customHeight="1" x14ac:dyDescent="0.3">
      <c r="A889" s="67" t="s">
        <v>2435</v>
      </c>
      <c r="B889" s="67" t="s">
        <v>2435</v>
      </c>
      <c r="C889" s="67"/>
      <c r="D889" s="67" t="s">
        <v>852</v>
      </c>
      <c r="E889" s="67"/>
      <c r="F889" s="67"/>
      <c r="G889" s="67" t="s">
        <v>852</v>
      </c>
      <c r="H889" s="67" t="s">
        <v>852</v>
      </c>
      <c r="I889" s="73"/>
      <c r="K889" s="67"/>
      <c r="L889" s="67"/>
      <c r="M889" s="67"/>
      <c r="N889" s="67"/>
      <c r="O889" s="70" t="s">
        <v>2435</v>
      </c>
      <c r="P889" s="67"/>
      <c r="Q889" s="67"/>
      <c r="R889" s="72"/>
    </row>
    <row r="890" spans="1:18" ht="15.75" customHeight="1" x14ac:dyDescent="0.3">
      <c r="A890" s="67" t="s">
        <v>2356</v>
      </c>
      <c r="B890" s="67">
        <f>SUM(B877:B888)</f>
        <v>2760901.7539999997</v>
      </c>
      <c r="C890" s="67">
        <f>SUM(C877:C888)</f>
        <v>207067.63154999999</v>
      </c>
      <c r="D890" s="67">
        <f>(B890*1.005)</f>
        <v>2774706.2627699994</v>
      </c>
      <c r="E890" s="67">
        <f>SUM(E877:E888)</f>
        <v>42356.170999999995</v>
      </c>
      <c r="F890" s="67">
        <f>(K928)</f>
        <v>146917</v>
      </c>
      <c r="G890" s="67">
        <f>(O928)</f>
        <v>0</v>
      </c>
      <c r="H890" s="67">
        <f>(F890+G890)</f>
        <v>146917</v>
      </c>
      <c r="I890" s="67">
        <f t="shared" ref="I890:O890" si="166">SUM(I877:I888)</f>
        <v>626160.58355999994</v>
      </c>
      <c r="J890" s="67">
        <f t="shared" si="166"/>
        <v>0</v>
      </c>
      <c r="K890" s="67">
        <f t="shared" si="166"/>
        <v>2166340.1397599997</v>
      </c>
      <c r="L890" s="67">
        <f t="shared" si="166"/>
        <v>2981773.89432</v>
      </c>
      <c r="M890" s="67">
        <f t="shared" si="166"/>
        <v>0</v>
      </c>
      <c r="N890" s="67">
        <f t="shared" si="166"/>
        <v>2369999.56476</v>
      </c>
      <c r="O890" s="67">
        <f t="shared" si="166"/>
        <v>626160.58355999994</v>
      </c>
      <c r="P890" s="67"/>
      <c r="Q890" s="67">
        <f>(SUM(Q877:Q888))</f>
        <v>114885.66</v>
      </c>
      <c r="R890" s="72"/>
    </row>
    <row r="891" spans="1:18" ht="15.75" customHeight="1" x14ac:dyDescent="0.3">
      <c r="A891" s="67"/>
      <c r="B891" s="67"/>
      <c r="C891" s="67"/>
      <c r="D891" s="67"/>
      <c r="E891" s="67"/>
      <c r="F891" s="67" t="s">
        <v>2435</v>
      </c>
      <c r="G891" s="67"/>
      <c r="H891" s="67"/>
      <c r="I891" s="67"/>
      <c r="K891" s="67"/>
      <c r="L891" s="67"/>
      <c r="N891" s="219" t="s">
        <v>734</v>
      </c>
      <c r="P891" s="67"/>
      <c r="Q891" s="67"/>
      <c r="R891" s="67"/>
    </row>
    <row r="892" spans="1:18" ht="15.75" customHeight="1" x14ac:dyDescent="0.35">
      <c r="A892" s="67" t="s">
        <v>2435</v>
      </c>
      <c r="B892" s="67" t="s">
        <v>2452</v>
      </c>
      <c r="C892" s="67"/>
      <c r="D892" s="67"/>
      <c r="E892" s="67"/>
      <c r="F892" s="67"/>
      <c r="G892" s="67"/>
      <c r="H892" s="67"/>
      <c r="I892" s="67"/>
      <c r="J892" s="67"/>
      <c r="K892" s="67"/>
      <c r="L892" s="67"/>
      <c r="M892" s="67"/>
      <c r="N892" s="219"/>
      <c r="O892" s="67"/>
      <c r="P892" s="67"/>
      <c r="Q892" s="67"/>
      <c r="R892" s="67"/>
    </row>
    <row r="893" spans="1:18" ht="15.75" customHeight="1" x14ac:dyDescent="0.3">
      <c r="A893" s="67"/>
      <c r="B893" s="67" t="s">
        <v>1660</v>
      </c>
      <c r="C893" s="67"/>
      <c r="D893" s="67"/>
      <c r="E893" s="67"/>
      <c r="F893" s="67"/>
      <c r="G893" s="67"/>
      <c r="H893" s="67"/>
      <c r="I893" s="67"/>
      <c r="J893" s="846" t="s">
        <v>2288</v>
      </c>
      <c r="K893" s="846"/>
      <c r="L893" s="846"/>
      <c r="M893" s="846"/>
      <c r="N893" s="348" t="s">
        <v>2289</v>
      </c>
      <c r="O893" s="67"/>
      <c r="P893" s="67"/>
      <c r="Q893" s="67"/>
      <c r="R893" s="67"/>
    </row>
    <row r="894" spans="1:18" x14ac:dyDescent="0.3">
      <c r="A894" s="67"/>
      <c r="B894" s="67" t="s">
        <v>279</v>
      </c>
      <c r="C894" s="67"/>
      <c r="D894" s="67"/>
      <c r="E894" s="67"/>
      <c r="F894" s="67"/>
      <c r="G894" s="67"/>
      <c r="H894" s="67"/>
      <c r="I894" s="67"/>
      <c r="J894" s="67"/>
      <c r="K894" s="67"/>
      <c r="L894" s="67"/>
      <c r="M894" s="67"/>
      <c r="N894" s="67"/>
      <c r="O894" s="67"/>
      <c r="P894" s="67"/>
      <c r="Q894" s="67"/>
      <c r="R894" s="67"/>
    </row>
    <row r="895" spans="1:18" x14ac:dyDescent="0.3">
      <c r="A895" s="67"/>
      <c r="B895" s="67" t="s">
        <v>176</v>
      </c>
      <c r="C895" s="67"/>
      <c r="D895" s="67"/>
      <c r="E895" s="67"/>
      <c r="F895" s="67"/>
      <c r="G895" s="67"/>
      <c r="H895" s="67"/>
      <c r="I895" s="67"/>
      <c r="J895" s="67"/>
      <c r="K895" s="67"/>
      <c r="L895" s="67"/>
      <c r="M895" s="67"/>
      <c r="N895" s="67"/>
      <c r="O895" s="67"/>
      <c r="P895" s="67"/>
      <c r="Q895" s="67"/>
      <c r="R895" s="67"/>
    </row>
    <row r="896" spans="1:18" x14ac:dyDescent="0.3">
      <c r="A896" s="67"/>
      <c r="B896" s="67" t="s">
        <v>2476</v>
      </c>
      <c r="C896" s="67"/>
      <c r="D896" s="67"/>
      <c r="E896" s="67"/>
      <c r="F896" s="67"/>
      <c r="G896" s="67"/>
      <c r="H896" s="67"/>
      <c r="I896" s="67"/>
      <c r="J896" s="67"/>
      <c r="K896" s="67"/>
      <c r="L896" s="67"/>
      <c r="M896" s="67"/>
      <c r="N896" s="67"/>
      <c r="O896" s="67"/>
      <c r="P896" s="67"/>
      <c r="Q896" s="67"/>
      <c r="R896" s="67"/>
    </row>
    <row r="897" spans="1:18" ht="16.2" x14ac:dyDescent="0.35">
      <c r="A897" s="67"/>
      <c r="B897" s="67" t="s">
        <v>1213</v>
      </c>
      <c r="C897" s="67"/>
      <c r="D897" s="67"/>
      <c r="E897" s="67"/>
      <c r="F897" s="67"/>
      <c r="G897" s="67"/>
      <c r="H897" s="67"/>
      <c r="I897" s="67"/>
      <c r="J897" s="67"/>
      <c r="K897" s="67"/>
      <c r="L897" s="67"/>
      <c r="M897" s="67"/>
      <c r="N897" s="67"/>
      <c r="O897" s="67"/>
      <c r="P897" s="67"/>
      <c r="Q897" s="67"/>
      <c r="R897" s="67"/>
    </row>
    <row r="898" spans="1:18" ht="16.2" x14ac:dyDescent="0.35">
      <c r="A898" s="67"/>
      <c r="B898" s="67" t="s">
        <v>736</v>
      </c>
      <c r="C898" s="67"/>
      <c r="D898" s="67"/>
      <c r="E898" s="67"/>
      <c r="F898" s="67"/>
      <c r="G898" s="67"/>
      <c r="H898" s="67"/>
      <c r="I898" s="67"/>
      <c r="J898" s="67"/>
      <c r="K898" s="67"/>
      <c r="L898" s="67"/>
      <c r="M898" s="67"/>
      <c r="N898" s="67"/>
      <c r="O898" s="67"/>
      <c r="P898" s="67"/>
      <c r="Q898" s="67"/>
      <c r="R898" s="67"/>
    </row>
    <row r="899" spans="1:18" x14ac:dyDescent="0.3">
      <c r="A899" s="67"/>
      <c r="B899" s="67"/>
      <c r="C899" s="67"/>
      <c r="D899" s="67"/>
      <c r="E899" s="67"/>
      <c r="F899" s="67"/>
      <c r="G899" s="67"/>
      <c r="H899" s="67"/>
      <c r="I899" s="67"/>
      <c r="J899" s="67"/>
      <c r="K899" s="67"/>
      <c r="L899" s="67"/>
      <c r="M899" s="67"/>
      <c r="N899" s="67"/>
      <c r="O899" s="67"/>
      <c r="P899" s="67"/>
      <c r="Q899" s="67"/>
      <c r="R899" s="67"/>
    </row>
    <row r="900" spans="1:18" ht="16.2" x14ac:dyDescent="0.35">
      <c r="A900" s="67"/>
      <c r="B900" s="67"/>
      <c r="C900" s="215"/>
      <c r="D900" s="215"/>
      <c r="E900" s="215"/>
      <c r="F900" s="215"/>
      <c r="G900" s="215"/>
      <c r="H900" s="71" t="s">
        <v>1623</v>
      </c>
      <c r="I900" s="67"/>
      <c r="J900" s="67"/>
      <c r="K900" s="67"/>
      <c r="L900" s="67"/>
      <c r="M900" s="67"/>
      <c r="N900" s="67"/>
      <c r="O900" s="67"/>
      <c r="P900" s="67"/>
      <c r="Q900" s="71" t="str">
        <f>+Q1</f>
        <v>PRINTED:</v>
      </c>
      <c r="R900" s="77">
        <f ca="1">+R1</f>
        <v>44881.72963425926</v>
      </c>
    </row>
    <row r="901" spans="1:18" ht="16.2" x14ac:dyDescent="0.35">
      <c r="A901" s="67"/>
      <c r="B901" s="67"/>
      <c r="C901" s="215"/>
      <c r="D901" s="215"/>
      <c r="E901" s="215"/>
      <c r="F901" s="215"/>
      <c r="G901" s="215"/>
      <c r="H901" s="67" t="s">
        <v>2435</v>
      </c>
      <c r="I901" s="67" t="s">
        <v>852</v>
      </c>
      <c r="J901" s="69" t="str">
        <f>+A8</f>
        <v>Revised:  1/25/10</v>
      </c>
      <c r="K901" s="67"/>
      <c r="L901" s="67"/>
      <c r="M901" s="67"/>
      <c r="N901" s="67"/>
      <c r="O901" s="67"/>
      <c r="P901" s="67"/>
      <c r="Q901" s="67"/>
      <c r="R901" s="67"/>
    </row>
    <row r="902" spans="1:18" ht="16.2" x14ac:dyDescent="0.35">
      <c r="A902" s="67"/>
      <c r="B902" s="67"/>
      <c r="C902" s="215"/>
      <c r="D902" s="215"/>
      <c r="E902" s="215"/>
      <c r="F902" s="215"/>
      <c r="G902" s="215"/>
      <c r="H902" s="67" t="s">
        <v>2126</v>
      </c>
      <c r="I902" s="67"/>
      <c r="J902" s="67"/>
      <c r="K902" s="67"/>
      <c r="L902" s="67"/>
      <c r="M902" s="67"/>
      <c r="N902" s="67"/>
      <c r="O902" s="67"/>
      <c r="P902" s="67"/>
      <c r="Q902" s="67"/>
      <c r="R902" s="67"/>
    </row>
    <row r="903" spans="1:18" ht="16.2" x14ac:dyDescent="0.35">
      <c r="A903" s="67"/>
      <c r="B903" s="67"/>
      <c r="C903" s="215"/>
      <c r="D903" s="215"/>
      <c r="E903" s="215"/>
      <c r="F903" s="215"/>
      <c r="G903" s="215"/>
      <c r="H903" s="67"/>
      <c r="I903" s="67"/>
      <c r="J903" s="67"/>
      <c r="K903" s="67"/>
      <c r="L903" s="67"/>
      <c r="M903" s="67"/>
      <c r="N903" s="67"/>
      <c r="O903" s="67"/>
      <c r="P903" s="67"/>
      <c r="Q903" s="67"/>
      <c r="R903" s="67"/>
    </row>
    <row r="904" spans="1:18" ht="16.2" x14ac:dyDescent="0.35">
      <c r="A904" s="67"/>
      <c r="B904" s="67"/>
      <c r="C904" s="215"/>
      <c r="D904" s="215"/>
      <c r="E904" s="215"/>
      <c r="F904" s="215"/>
      <c r="G904" s="215"/>
      <c r="H904" s="67" t="s">
        <v>2435</v>
      </c>
      <c r="I904" s="67" t="str">
        <f>+A5</f>
        <v>Calendar Year 2009</v>
      </c>
      <c r="J904" s="67"/>
      <c r="K904" s="67"/>
      <c r="L904" s="67"/>
      <c r="M904" s="67"/>
      <c r="N904" s="67"/>
      <c r="O904" s="67"/>
      <c r="P904" s="67"/>
      <c r="Q904" s="67"/>
      <c r="R904" s="67"/>
    </row>
    <row r="905" spans="1:18" x14ac:dyDescent="0.3">
      <c r="A905" s="67"/>
      <c r="B905" s="67"/>
      <c r="C905" s="67"/>
      <c r="D905" s="67"/>
      <c r="E905" s="67"/>
      <c r="F905" s="67"/>
      <c r="G905" s="67"/>
      <c r="H905" s="67"/>
      <c r="I905" s="67"/>
      <c r="J905" s="67"/>
      <c r="K905" s="67"/>
      <c r="L905" s="67"/>
      <c r="M905" s="67"/>
      <c r="N905" s="67"/>
      <c r="O905" s="67"/>
      <c r="P905" s="67"/>
      <c r="Q905" s="67"/>
      <c r="R905" s="67"/>
    </row>
    <row r="906" spans="1:18" x14ac:dyDescent="0.3">
      <c r="A906" s="67"/>
      <c r="B906" s="67"/>
      <c r="C906" s="71" t="s">
        <v>1442</v>
      </c>
      <c r="D906" s="67"/>
      <c r="E906" s="67"/>
      <c r="F906" s="67"/>
      <c r="G906" s="71" t="s">
        <v>1409</v>
      </c>
      <c r="H906" s="67"/>
      <c r="I906" s="67"/>
      <c r="J906" s="67"/>
      <c r="K906" s="68" t="s">
        <v>234</v>
      </c>
      <c r="L906" s="67"/>
      <c r="M906" s="67"/>
      <c r="N906" s="67"/>
      <c r="O906" s="68" t="s">
        <v>1701</v>
      </c>
      <c r="P906" s="67"/>
      <c r="Q906" s="67"/>
      <c r="R906" s="67"/>
    </row>
    <row r="907" spans="1:18" x14ac:dyDescent="0.3">
      <c r="A907" s="67"/>
      <c r="B907" s="67"/>
      <c r="C907" s="67" t="str">
        <f>+A5</f>
        <v>Calendar Year 2009</v>
      </c>
      <c r="D907" s="67"/>
      <c r="E907" s="67"/>
      <c r="F907" s="67" t="s">
        <v>2415</v>
      </c>
      <c r="G907" s="67"/>
      <c r="H907" s="67"/>
      <c r="I907" s="67"/>
      <c r="J907" s="67"/>
      <c r="K907" s="67" t="str">
        <f>+A5</f>
        <v>Calendar Year 2009</v>
      </c>
      <c r="L907" s="67"/>
      <c r="M907" s="67"/>
      <c r="N907" s="67"/>
      <c r="O907" s="67" t="str">
        <f>+A5</f>
        <v>Calendar Year 2009</v>
      </c>
      <c r="P907" s="67"/>
      <c r="Q907" s="67"/>
      <c r="R907" s="67"/>
    </row>
    <row r="908" spans="1:18" x14ac:dyDescent="0.3">
      <c r="A908" s="67"/>
      <c r="B908" s="67"/>
      <c r="C908" s="67"/>
      <c r="D908" s="67"/>
      <c r="E908" s="67"/>
      <c r="F908" s="67"/>
      <c r="G908" s="67" t="str">
        <f>+A5</f>
        <v>Calendar Year 2009</v>
      </c>
      <c r="H908" s="67"/>
      <c r="I908" s="67"/>
      <c r="J908" s="67"/>
      <c r="K908" s="67"/>
      <c r="L908" s="67"/>
      <c r="M908" s="67"/>
      <c r="N908" s="67"/>
      <c r="O908" s="67"/>
      <c r="P908" s="67"/>
      <c r="Q908" s="67"/>
      <c r="R908" s="67"/>
    </row>
    <row r="909" spans="1:18" x14ac:dyDescent="0.3">
      <c r="A909" s="67"/>
      <c r="B909" s="67"/>
      <c r="C909" s="70" t="s">
        <v>1413</v>
      </c>
      <c r="D909" s="70" t="s">
        <v>31</v>
      </c>
      <c r="E909" s="70" t="s">
        <v>32</v>
      </c>
      <c r="F909" s="67"/>
      <c r="G909" s="70" t="s">
        <v>1412</v>
      </c>
      <c r="H909" s="70" t="s">
        <v>31</v>
      </c>
      <c r="I909" s="70" t="s">
        <v>1077</v>
      </c>
      <c r="J909" s="67"/>
      <c r="K909" s="70" t="s">
        <v>229</v>
      </c>
      <c r="L909" s="70" t="s">
        <v>31</v>
      </c>
      <c r="M909" s="70" t="s">
        <v>1078</v>
      </c>
      <c r="N909" s="67"/>
      <c r="O909" s="70" t="s">
        <v>229</v>
      </c>
      <c r="P909" s="70" t="s">
        <v>31</v>
      </c>
      <c r="Q909" s="70" t="s">
        <v>1078</v>
      </c>
      <c r="R909" s="67"/>
    </row>
    <row r="910" spans="1:18" x14ac:dyDescent="0.3">
      <c r="A910" s="67"/>
      <c r="B910" s="67"/>
      <c r="C910" s="70" t="s">
        <v>429</v>
      </c>
      <c r="D910" s="70" t="s">
        <v>335</v>
      </c>
      <c r="E910" s="70" t="s">
        <v>2000</v>
      </c>
      <c r="F910" s="67"/>
      <c r="G910" s="70" t="s">
        <v>1318</v>
      </c>
      <c r="H910" s="70" t="s">
        <v>335</v>
      </c>
      <c r="I910" s="70" t="s">
        <v>2000</v>
      </c>
      <c r="J910" s="67"/>
      <c r="K910" s="70" t="s">
        <v>1180</v>
      </c>
      <c r="L910" s="70" t="s">
        <v>335</v>
      </c>
      <c r="M910" s="70" t="s">
        <v>2000</v>
      </c>
      <c r="N910" s="67"/>
      <c r="O910" s="70" t="s">
        <v>1180</v>
      </c>
      <c r="P910" s="70" t="s">
        <v>335</v>
      </c>
      <c r="Q910" s="70" t="s">
        <v>2000</v>
      </c>
      <c r="R910" s="67"/>
    </row>
    <row r="911" spans="1:18" x14ac:dyDescent="0.3">
      <c r="A911" s="67"/>
      <c r="B911" s="67"/>
      <c r="C911" s="70" t="s">
        <v>335</v>
      </c>
      <c r="D911" s="70" t="s">
        <v>956</v>
      </c>
      <c r="E911" s="70" t="s">
        <v>242</v>
      </c>
      <c r="F911" s="67"/>
      <c r="G911" s="70" t="s">
        <v>134</v>
      </c>
      <c r="H911" s="70" t="s">
        <v>956</v>
      </c>
      <c r="I911" s="70" t="s">
        <v>242</v>
      </c>
      <c r="J911" s="67"/>
      <c r="K911" s="70" t="s">
        <v>335</v>
      </c>
      <c r="L911" s="70" t="s">
        <v>956</v>
      </c>
      <c r="M911" s="70" t="s">
        <v>242</v>
      </c>
      <c r="N911" s="67"/>
      <c r="O911" s="70" t="s">
        <v>335</v>
      </c>
      <c r="P911" s="70" t="s">
        <v>956</v>
      </c>
      <c r="Q911" s="70" t="s">
        <v>242</v>
      </c>
      <c r="R911" s="67"/>
    </row>
    <row r="912" spans="1:18" x14ac:dyDescent="0.3">
      <c r="A912" s="67"/>
      <c r="B912" s="67"/>
      <c r="C912" s="70" t="s">
        <v>932</v>
      </c>
      <c r="D912" s="70" t="s">
        <v>1917</v>
      </c>
      <c r="E912" s="70" t="s">
        <v>1481</v>
      </c>
      <c r="F912" s="67"/>
      <c r="G912" s="70" t="s">
        <v>932</v>
      </c>
      <c r="H912" s="70" t="s">
        <v>1917</v>
      </c>
      <c r="I912" s="70" t="s">
        <v>1481</v>
      </c>
      <c r="J912" s="67"/>
      <c r="K912" s="70" t="s">
        <v>932</v>
      </c>
      <c r="L912" s="70" t="s">
        <v>1917</v>
      </c>
      <c r="M912" s="70" t="s">
        <v>1481</v>
      </c>
      <c r="N912" s="67"/>
      <c r="O912" s="70" t="s">
        <v>932</v>
      </c>
      <c r="P912" s="70" t="s">
        <v>1917</v>
      </c>
      <c r="Q912" s="70" t="s">
        <v>1481</v>
      </c>
      <c r="R912" s="67"/>
    </row>
    <row r="913" spans="1:18" x14ac:dyDescent="0.3">
      <c r="A913" s="67"/>
      <c r="B913" s="67"/>
      <c r="C913" s="67" t="s">
        <v>1353</v>
      </c>
      <c r="D913" s="67" t="s">
        <v>1353</v>
      </c>
      <c r="E913" s="67" t="s">
        <v>1353</v>
      </c>
      <c r="F913" s="67"/>
      <c r="G913" s="70" t="s">
        <v>1353</v>
      </c>
      <c r="H913" s="70" t="s">
        <v>1353</v>
      </c>
      <c r="I913" s="70" t="s">
        <v>1353</v>
      </c>
      <c r="J913" s="67"/>
      <c r="K913" s="67" t="s">
        <v>1353</v>
      </c>
      <c r="L913" s="67" t="s">
        <v>1353</v>
      </c>
      <c r="M913" s="67" t="s">
        <v>1353</v>
      </c>
      <c r="N913" s="67"/>
      <c r="O913" s="67" t="s">
        <v>1353</v>
      </c>
      <c r="P913" s="67" t="s">
        <v>1353</v>
      </c>
      <c r="Q913" s="67" t="s">
        <v>1353</v>
      </c>
      <c r="R913" s="67"/>
    </row>
    <row r="914" spans="1:18" x14ac:dyDescent="0.3">
      <c r="A914" s="70" t="s">
        <v>1354</v>
      </c>
      <c r="B914" s="67"/>
      <c r="C914" s="67">
        <f t="shared" ref="C914:C925" si="167">(K877)</f>
        <v>308672.50099999993</v>
      </c>
      <c r="D914" s="72">
        <v>18.03</v>
      </c>
      <c r="E914" s="73">
        <f t="shared" ref="E914:E925" si="168">(K877*D914/1000)</f>
        <v>5565.3651930299984</v>
      </c>
      <c r="F914" s="67"/>
      <c r="G914" s="67">
        <v>0</v>
      </c>
      <c r="H914" s="72">
        <v>29</v>
      </c>
      <c r="I914" s="73">
        <f t="shared" ref="I914:I925" si="169">(G914*H914/1000)</f>
        <v>0</v>
      </c>
      <c r="J914" s="67"/>
      <c r="K914" s="67">
        <v>4000</v>
      </c>
      <c r="L914" s="72">
        <v>11.11</v>
      </c>
      <c r="M914" s="73">
        <f t="shared" ref="M914:M925" si="170">(K914*L914/1000)</f>
        <v>44.44</v>
      </c>
      <c r="N914" s="67"/>
      <c r="O914" s="67">
        <v>0</v>
      </c>
      <c r="P914" s="72">
        <v>7.32</v>
      </c>
      <c r="Q914" s="73">
        <f t="shared" ref="Q914:Q925" si="171">(O914*P914/1000)</f>
        <v>0</v>
      </c>
      <c r="R914" s="67"/>
    </row>
    <row r="915" spans="1:18" x14ac:dyDescent="0.3">
      <c r="A915" s="70" t="s">
        <v>706</v>
      </c>
      <c r="B915" s="67"/>
      <c r="C915" s="67">
        <f t="shared" si="167"/>
        <v>269263.24159999995</v>
      </c>
      <c r="D915" s="72">
        <v>18.03</v>
      </c>
      <c r="E915" s="73">
        <f t="shared" si="168"/>
        <v>4854.8162460479998</v>
      </c>
      <c r="F915" s="67"/>
      <c r="G915" s="67">
        <f t="shared" ref="G915:G925" si="172">O878</f>
        <v>0</v>
      </c>
      <c r="H915" s="72">
        <v>29</v>
      </c>
      <c r="I915" s="73">
        <f t="shared" si="169"/>
        <v>0</v>
      </c>
      <c r="J915" s="67"/>
      <c r="K915" s="67">
        <v>4000</v>
      </c>
      <c r="L915" s="72">
        <v>11.11</v>
      </c>
      <c r="M915" s="73">
        <f t="shared" si="170"/>
        <v>44.44</v>
      </c>
      <c r="N915" s="67"/>
      <c r="O915" s="67">
        <v>0</v>
      </c>
      <c r="P915" s="72">
        <v>7.32</v>
      </c>
      <c r="Q915" s="73">
        <f t="shared" si="171"/>
        <v>0</v>
      </c>
      <c r="R915" s="67"/>
    </row>
    <row r="916" spans="1:18" x14ac:dyDescent="0.3">
      <c r="A916" s="70" t="s">
        <v>707</v>
      </c>
      <c r="B916" s="67"/>
      <c r="C916" s="67">
        <f t="shared" si="167"/>
        <v>299538.81031999993</v>
      </c>
      <c r="D916" s="72">
        <v>18.03</v>
      </c>
      <c r="E916" s="73">
        <f t="shared" si="168"/>
        <v>5400.6847500695985</v>
      </c>
      <c r="F916" s="67">
        <f>SUM(E914:E916)</f>
        <v>15820.866189147597</v>
      </c>
      <c r="G916" s="67">
        <f t="shared" si="172"/>
        <v>0</v>
      </c>
      <c r="H916" s="72">
        <v>29</v>
      </c>
      <c r="I916" s="73">
        <f t="shared" si="169"/>
        <v>0</v>
      </c>
      <c r="J916" s="67">
        <f>SUM(I914:I916)</f>
        <v>0</v>
      </c>
      <c r="K916" s="67">
        <v>4000</v>
      </c>
      <c r="L916" s="72">
        <v>11.11</v>
      </c>
      <c r="M916" s="73">
        <f t="shared" si="170"/>
        <v>44.44</v>
      </c>
      <c r="N916" s="67">
        <f>SUM(M914:M916)</f>
        <v>133.32</v>
      </c>
      <c r="O916" s="67">
        <v>0</v>
      </c>
      <c r="P916" s="72">
        <v>7.32</v>
      </c>
      <c r="Q916" s="73">
        <f t="shared" si="171"/>
        <v>0</v>
      </c>
      <c r="R916" s="67">
        <f>SUM(Q914:Q916)</f>
        <v>0</v>
      </c>
    </row>
    <row r="917" spans="1:18" x14ac:dyDescent="0.3">
      <c r="A917" s="70" t="s">
        <v>1321</v>
      </c>
      <c r="B917" s="67"/>
      <c r="C917" s="67">
        <f t="shared" si="167"/>
        <v>290754.52919999999</v>
      </c>
      <c r="D917" s="72">
        <v>18.03</v>
      </c>
      <c r="E917" s="73">
        <f t="shared" si="168"/>
        <v>5242.3041614760004</v>
      </c>
      <c r="F917" s="67"/>
      <c r="G917" s="67">
        <f t="shared" si="172"/>
        <v>0</v>
      </c>
      <c r="H917" s="72">
        <v>29</v>
      </c>
      <c r="I917" s="73">
        <f t="shared" si="169"/>
        <v>0</v>
      </c>
      <c r="J917" s="67"/>
      <c r="K917" s="67">
        <v>9000</v>
      </c>
      <c r="L917" s="72">
        <v>11.11</v>
      </c>
      <c r="M917" s="73">
        <f t="shared" si="170"/>
        <v>99.99</v>
      </c>
      <c r="N917" s="67"/>
      <c r="O917" s="67">
        <v>0</v>
      </c>
      <c r="P917" s="72">
        <v>7.32</v>
      </c>
      <c r="Q917" s="73">
        <f t="shared" si="171"/>
        <v>0</v>
      </c>
      <c r="R917" s="67"/>
    </row>
    <row r="918" spans="1:18" x14ac:dyDescent="0.3">
      <c r="A918" s="70" t="s">
        <v>1905</v>
      </c>
      <c r="B918" s="67"/>
      <c r="C918" s="67">
        <f t="shared" si="167"/>
        <v>272898.37688</v>
      </c>
      <c r="D918" s="72">
        <v>18.03</v>
      </c>
      <c r="E918" s="73">
        <f t="shared" si="168"/>
        <v>4920.357735146401</v>
      </c>
      <c r="F918" s="67"/>
      <c r="G918" s="67">
        <f t="shared" si="172"/>
        <v>0</v>
      </c>
      <c r="H918" s="72">
        <v>29</v>
      </c>
      <c r="I918" s="73">
        <f t="shared" si="169"/>
        <v>0</v>
      </c>
      <c r="J918" s="67"/>
      <c r="K918" s="67">
        <v>9000</v>
      </c>
      <c r="L918" s="72">
        <v>11.11</v>
      </c>
      <c r="M918" s="73">
        <f t="shared" si="170"/>
        <v>99.99</v>
      </c>
      <c r="N918" s="67"/>
      <c r="O918" s="67">
        <v>0</v>
      </c>
      <c r="P918" s="72">
        <v>7.32</v>
      </c>
      <c r="Q918" s="73">
        <f t="shared" si="171"/>
        <v>0</v>
      </c>
      <c r="R918" s="67"/>
    </row>
    <row r="919" spans="1:18" x14ac:dyDescent="0.3">
      <c r="A919" s="70" t="s">
        <v>1906</v>
      </c>
      <c r="B919" s="67"/>
      <c r="C919" s="67">
        <f t="shared" si="167"/>
        <v>157697.39624000003</v>
      </c>
      <c r="D919" s="72">
        <v>18.03</v>
      </c>
      <c r="E919" s="73">
        <f t="shared" si="168"/>
        <v>2843.2840542072008</v>
      </c>
      <c r="F919" s="67">
        <f>SUM(E917:E919)</f>
        <v>13005.945950829602</v>
      </c>
      <c r="G919" s="67">
        <f t="shared" si="172"/>
        <v>0</v>
      </c>
      <c r="H919" s="72">
        <v>29</v>
      </c>
      <c r="I919" s="73">
        <f t="shared" si="169"/>
        <v>0</v>
      </c>
      <c r="J919" s="67">
        <f>SUM(I917:I919)</f>
        <v>0</v>
      </c>
      <c r="K919" s="67">
        <v>18000</v>
      </c>
      <c r="L919" s="72">
        <v>11.11</v>
      </c>
      <c r="M919" s="73">
        <f t="shared" si="170"/>
        <v>199.98</v>
      </c>
      <c r="N919" s="67">
        <f>SUM(M917:M919)</f>
        <v>399.96</v>
      </c>
      <c r="O919" s="67">
        <v>0</v>
      </c>
      <c r="P919" s="72">
        <v>7.32</v>
      </c>
      <c r="Q919" s="73">
        <f t="shared" si="171"/>
        <v>0</v>
      </c>
      <c r="R919" s="67">
        <f>SUM(Q917:Q919)</f>
        <v>0</v>
      </c>
    </row>
    <row r="920" spans="1:18" x14ac:dyDescent="0.3">
      <c r="A920" s="70" t="s">
        <v>1907</v>
      </c>
      <c r="B920" s="67"/>
      <c r="C920" s="67">
        <f t="shared" si="167"/>
        <v>126569.09175999998</v>
      </c>
      <c r="D920" s="72">
        <v>18.03</v>
      </c>
      <c r="E920" s="73">
        <f t="shared" si="168"/>
        <v>2282.0407244327998</v>
      </c>
      <c r="F920" s="67"/>
      <c r="G920" s="67">
        <f t="shared" si="172"/>
        <v>0</v>
      </c>
      <c r="H920" s="72">
        <v>29</v>
      </c>
      <c r="I920" s="73">
        <f t="shared" si="169"/>
        <v>0</v>
      </c>
      <c r="J920" s="67"/>
      <c r="K920" s="67">
        <v>21000</v>
      </c>
      <c r="L920" s="72">
        <v>11.11</v>
      </c>
      <c r="M920" s="73">
        <f t="shared" si="170"/>
        <v>233.31</v>
      </c>
      <c r="N920" s="67"/>
      <c r="O920" s="67">
        <v>0</v>
      </c>
      <c r="P920" s="72">
        <v>7.32</v>
      </c>
      <c r="Q920" s="73">
        <f t="shared" si="171"/>
        <v>0</v>
      </c>
      <c r="R920" s="67"/>
    </row>
    <row r="921" spans="1:18" x14ac:dyDescent="0.3">
      <c r="A921" s="70" t="s">
        <v>1908</v>
      </c>
      <c r="B921" s="67"/>
      <c r="C921" s="67">
        <f t="shared" si="167"/>
        <v>106541.57539999994</v>
      </c>
      <c r="D921" s="72">
        <v>18.03</v>
      </c>
      <c r="E921" s="73">
        <f t="shared" si="168"/>
        <v>1920.9446044619992</v>
      </c>
      <c r="F921" s="67"/>
      <c r="G921" s="67">
        <f t="shared" si="172"/>
        <v>0</v>
      </c>
      <c r="H921" s="72">
        <v>29</v>
      </c>
      <c r="I921" s="73">
        <f t="shared" si="169"/>
        <v>0</v>
      </c>
      <c r="J921" s="67"/>
      <c r="K921" s="67">
        <v>35000</v>
      </c>
      <c r="L921" s="72">
        <v>11.11</v>
      </c>
      <c r="M921" s="73">
        <f t="shared" si="170"/>
        <v>388.85</v>
      </c>
      <c r="N921" s="67"/>
      <c r="O921" s="67">
        <v>0</v>
      </c>
      <c r="P921" s="72">
        <v>7.32</v>
      </c>
      <c r="Q921" s="73">
        <f t="shared" si="171"/>
        <v>0</v>
      </c>
      <c r="R921" s="67"/>
    </row>
    <row r="922" spans="1:18" x14ac:dyDescent="0.3">
      <c r="A922" s="70" t="s">
        <v>2352</v>
      </c>
      <c r="B922" s="67"/>
      <c r="C922" s="67">
        <f t="shared" si="167"/>
        <v>231018.61735999997</v>
      </c>
      <c r="D922" s="72">
        <v>18.03</v>
      </c>
      <c r="E922" s="73">
        <f t="shared" si="168"/>
        <v>4165.2656710007996</v>
      </c>
      <c r="F922" s="67">
        <f>SUM(E920:E922)</f>
        <v>8368.2509998955975</v>
      </c>
      <c r="G922" s="67">
        <f t="shared" si="172"/>
        <v>0</v>
      </c>
      <c r="H922" s="72">
        <v>29</v>
      </c>
      <c r="I922" s="73">
        <f t="shared" si="169"/>
        <v>0</v>
      </c>
      <c r="J922" s="67">
        <f>SUM(I920:I922)</f>
        <v>0</v>
      </c>
      <c r="K922" s="67">
        <v>30917</v>
      </c>
      <c r="L922" s="72">
        <v>11.11</v>
      </c>
      <c r="M922" s="73">
        <f t="shared" si="170"/>
        <v>343.48786999999999</v>
      </c>
      <c r="N922" s="67">
        <f>SUM(M920:M922)</f>
        <v>965.64787000000001</v>
      </c>
      <c r="O922" s="67">
        <v>0</v>
      </c>
      <c r="P922" s="72">
        <v>7.32</v>
      </c>
      <c r="Q922" s="73">
        <f t="shared" si="171"/>
        <v>0</v>
      </c>
      <c r="R922" s="67">
        <f>SUM(Q920:Q922)</f>
        <v>0</v>
      </c>
    </row>
    <row r="923" spans="1:18" x14ac:dyDescent="0.3">
      <c r="A923" s="70" t="s">
        <v>2353</v>
      </c>
      <c r="B923" s="67"/>
      <c r="C923" s="67">
        <f t="shared" si="167"/>
        <v>111386</v>
      </c>
      <c r="D923" s="72">
        <v>18.03</v>
      </c>
      <c r="E923" s="73">
        <f t="shared" si="168"/>
        <v>2008.2895800000001</v>
      </c>
      <c r="F923" s="67"/>
      <c r="G923" s="67">
        <f t="shared" si="172"/>
        <v>123669.26327999996</v>
      </c>
      <c r="H923" s="72">
        <v>29</v>
      </c>
      <c r="I923" s="73">
        <f t="shared" si="169"/>
        <v>3586.408635119999</v>
      </c>
      <c r="J923" s="67"/>
      <c r="K923" s="67">
        <v>4000</v>
      </c>
      <c r="L923" s="72">
        <v>11.11</v>
      </c>
      <c r="M923" s="73">
        <f t="shared" si="170"/>
        <v>44.44</v>
      </c>
      <c r="N923" s="67"/>
      <c r="O923" s="67">
        <v>0</v>
      </c>
      <c r="P923" s="72">
        <v>7.32</v>
      </c>
      <c r="Q923" s="73">
        <f t="shared" si="171"/>
        <v>0</v>
      </c>
      <c r="R923" s="67"/>
    </row>
    <row r="924" spans="1:18" x14ac:dyDescent="0.3">
      <c r="A924" s="70" t="s">
        <v>2354</v>
      </c>
      <c r="B924" s="67"/>
      <c r="C924" s="67">
        <f t="shared" si="167"/>
        <v>-4000</v>
      </c>
      <c r="D924" s="72">
        <v>18.03</v>
      </c>
      <c r="E924" s="73">
        <f t="shared" si="168"/>
        <v>-72.12</v>
      </c>
      <c r="F924" s="67"/>
      <c r="G924" s="67">
        <f t="shared" si="172"/>
        <v>234056.84075999999</v>
      </c>
      <c r="H924" s="72">
        <v>29</v>
      </c>
      <c r="I924" s="73">
        <f t="shared" si="169"/>
        <v>6787.6483820399999</v>
      </c>
      <c r="J924" s="67"/>
      <c r="K924" s="67">
        <v>4000</v>
      </c>
      <c r="L924" s="72">
        <v>11.11</v>
      </c>
      <c r="M924" s="73">
        <f t="shared" si="170"/>
        <v>44.44</v>
      </c>
      <c r="N924" s="67"/>
      <c r="O924" s="67">
        <v>0</v>
      </c>
      <c r="P924" s="72">
        <v>7.32</v>
      </c>
      <c r="Q924" s="73">
        <f t="shared" si="171"/>
        <v>0</v>
      </c>
      <c r="R924" s="67"/>
    </row>
    <row r="925" spans="1:18" x14ac:dyDescent="0.3">
      <c r="A925" s="70" t="s">
        <v>2355</v>
      </c>
      <c r="B925" s="67"/>
      <c r="C925" s="67">
        <f t="shared" si="167"/>
        <v>-4000</v>
      </c>
      <c r="D925" s="72">
        <v>18.03</v>
      </c>
      <c r="E925" s="73">
        <f t="shared" si="168"/>
        <v>-72.12</v>
      </c>
      <c r="F925" s="67">
        <f>SUM(E923:E925)</f>
        <v>1864.0495800000003</v>
      </c>
      <c r="G925" s="67">
        <f t="shared" si="172"/>
        <v>268434.47951999994</v>
      </c>
      <c r="H925" s="72">
        <v>29</v>
      </c>
      <c r="I925" s="73">
        <f t="shared" si="169"/>
        <v>7784.5999060799986</v>
      </c>
      <c r="J925" s="67">
        <f>SUM(I923:I925)</f>
        <v>18158.65692324</v>
      </c>
      <c r="K925" s="67">
        <v>4000</v>
      </c>
      <c r="L925" s="72">
        <v>11.11</v>
      </c>
      <c r="M925" s="73">
        <f t="shared" si="170"/>
        <v>44.44</v>
      </c>
      <c r="N925" s="67">
        <f>SUM(M923:M925)</f>
        <v>133.32</v>
      </c>
      <c r="O925" s="67">
        <v>0</v>
      </c>
      <c r="P925" s="72">
        <v>7.32</v>
      </c>
      <c r="Q925" s="73">
        <f t="shared" si="171"/>
        <v>0</v>
      </c>
      <c r="R925" s="67">
        <f>SUM(Q923:Q925)</f>
        <v>0</v>
      </c>
    </row>
    <row r="926" spans="1:18" x14ac:dyDescent="0.3">
      <c r="A926" s="67"/>
      <c r="B926" s="67"/>
      <c r="C926" s="67"/>
      <c r="D926" s="67"/>
      <c r="E926" s="67"/>
      <c r="F926" s="67"/>
      <c r="G926" s="67"/>
      <c r="H926" s="67"/>
      <c r="I926" s="67"/>
      <c r="J926" s="67"/>
      <c r="K926" s="67"/>
      <c r="L926" s="67"/>
      <c r="M926" s="67"/>
      <c r="N926" s="67"/>
      <c r="O926" s="67"/>
      <c r="P926" s="67"/>
      <c r="Q926" s="67"/>
      <c r="R926" s="67"/>
    </row>
    <row r="927" spans="1:18" x14ac:dyDescent="0.3">
      <c r="A927" s="67"/>
      <c r="B927" s="67"/>
      <c r="C927" s="67"/>
      <c r="D927" s="67"/>
      <c r="E927" s="67"/>
      <c r="F927" s="67"/>
      <c r="G927" s="67"/>
      <c r="H927" s="67"/>
      <c r="I927" s="67"/>
      <c r="J927" s="67"/>
      <c r="K927" s="67"/>
      <c r="L927" s="67"/>
      <c r="M927" s="67"/>
      <c r="N927" s="67"/>
      <c r="O927" s="67"/>
      <c r="P927" s="67"/>
      <c r="Q927" s="67"/>
      <c r="R927" s="67"/>
    </row>
    <row r="928" spans="1:18" x14ac:dyDescent="0.3">
      <c r="A928" s="67" t="s">
        <v>2356</v>
      </c>
      <c r="B928" s="67"/>
      <c r="C928" s="67">
        <f>SUM(C914:C925)</f>
        <v>2166340.1397599997</v>
      </c>
      <c r="D928" s="67"/>
      <c r="E928" s="73">
        <f>SUM(E914:E925)</f>
        <v>39059.112719872792</v>
      </c>
      <c r="F928" s="67"/>
      <c r="G928" s="67">
        <f>SUM(G914:G925)</f>
        <v>626160.58355999994</v>
      </c>
      <c r="H928" s="67" t="s">
        <v>2435</v>
      </c>
      <c r="I928" s="73">
        <f>SUM(I914:I925)</f>
        <v>18158.65692324</v>
      </c>
      <c r="J928" s="67"/>
      <c r="K928" s="67">
        <f>SUM(K914:K925)</f>
        <v>146917</v>
      </c>
      <c r="L928" s="67" t="s">
        <v>2435</v>
      </c>
      <c r="M928" s="73">
        <f>SUM(M914:M925)</f>
        <v>1632.2478700000001</v>
      </c>
      <c r="N928" s="67"/>
      <c r="O928" s="67">
        <f>(SUM(O914:O925))</f>
        <v>0</v>
      </c>
      <c r="P928" s="67" t="s">
        <v>2435</v>
      </c>
      <c r="Q928" s="73">
        <f>SUM(Q914:Q925)</f>
        <v>0</v>
      </c>
      <c r="R928" s="67"/>
    </row>
  </sheetData>
  <mergeCells count="18">
    <mergeCell ref="J893:M893"/>
    <mergeCell ref="A714:R714"/>
    <mergeCell ref="A2:R2"/>
    <mergeCell ref="A3:R3"/>
    <mergeCell ref="A4:R4"/>
    <mergeCell ref="A5:R5"/>
    <mergeCell ref="A7:R7"/>
    <mergeCell ref="A8:R8"/>
    <mergeCell ref="A668:R668"/>
    <mergeCell ref="A669:R669"/>
    <mergeCell ref="A9:R9"/>
    <mergeCell ref="A712:R712"/>
    <mergeCell ref="A670:R670"/>
    <mergeCell ref="A671:R671"/>
    <mergeCell ref="A673:R673"/>
    <mergeCell ref="A709:R709"/>
    <mergeCell ref="A710:R710"/>
    <mergeCell ref="A711:R711"/>
  </mergeCells>
  <phoneticPr fontId="0" type="noConversion"/>
  <printOptions horizontalCentered="1" verticalCentered="1"/>
  <pageMargins left="0.25" right="0.25" top="0.25" bottom="0.25" header="0.25" footer="0.25"/>
  <pageSetup paperSize="17" scale="90" orientation="landscape" r:id="rId1"/>
  <headerFooter alignWithMargins="0"/>
  <rowBreaks count="5" manualBreakCount="5">
    <brk id="665" max="17" man="1"/>
    <brk id="706" max="17" man="1"/>
    <brk id="753" max="16383" man="1"/>
    <brk id="777" max="16383" man="1"/>
    <brk id="831" max="16383" man="1"/>
  </row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3"/>
  <dimension ref="A1:U945"/>
  <sheetViews>
    <sheetView topLeftCell="A617" workbookViewId="0">
      <selection activeCell="H634" sqref="H634"/>
    </sheetView>
  </sheetViews>
  <sheetFormatPr defaultRowHeight="15.6" x14ac:dyDescent="0.3"/>
  <cols>
    <col min="1" max="1" width="34.54296875" customWidth="1"/>
    <col min="9" max="9" width="11.54296875" customWidth="1"/>
    <col min="13" max="13" width="10.1796875" customWidth="1"/>
    <col min="17" max="17" width="10.08984375" customWidth="1"/>
    <col min="18" max="18" width="10.453125" customWidth="1"/>
    <col min="20" max="20" width="10.453125" customWidth="1"/>
  </cols>
  <sheetData>
    <row r="1" spans="1:18" x14ac:dyDescent="0.3">
      <c r="A1" s="10"/>
      <c r="B1" s="10"/>
      <c r="C1" s="10"/>
      <c r="D1" s="10"/>
      <c r="E1" s="10"/>
      <c r="F1" s="10"/>
      <c r="G1" s="10"/>
      <c r="H1" s="10"/>
      <c r="I1" s="10"/>
      <c r="J1" s="10"/>
      <c r="K1" s="10"/>
      <c r="L1" s="10"/>
      <c r="M1" s="10"/>
      <c r="N1" s="10"/>
      <c r="O1" s="10"/>
      <c r="P1" s="10"/>
      <c r="Q1" s="17" t="s">
        <v>1496</v>
      </c>
      <c r="R1" s="76">
        <f ca="1">NOW()</f>
        <v>44881.72963425926</v>
      </c>
    </row>
    <row r="2" spans="1:18" ht="19.8" x14ac:dyDescent="0.35">
      <c r="A2" s="779" t="s">
        <v>43</v>
      </c>
      <c r="B2" s="779"/>
      <c r="C2" s="779"/>
      <c r="D2" s="779"/>
      <c r="E2" s="779"/>
      <c r="F2" s="779"/>
      <c r="G2" s="779"/>
      <c r="H2" s="779"/>
      <c r="I2" s="779"/>
      <c r="J2" s="779"/>
      <c r="K2" s="779"/>
      <c r="L2" s="779"/>
      <c r="M2" s="779"/>
      <c r="N2" s="779"/>
      <c r="O2" s="779"/>
      <c r="P2" s="779"/>
      <c r="Q2" s="779"/>
      <c r="R2" s="779"/>
    </row>
    <row r="3" spans="1:18" ht="19.8" x14ac:dyDescent="0.35">
      <c r="A3" s="779" t="s">
        <v>1988</v>
      </c>
      <c r="B3" s="779"/>
      <c r="C3" s="779"/>
      <c r="D3" s="779"/>
      <c r="E3" s="779"/>
      <c r="F3" s="779"/>
      <c r="G3" s="779"/>
      <c r="H3" s="779"/>
      <c r="I3" s="779"/>
      <c r="J3" s="779"/>
      <c r="K3" s="779"/>
      <c r="L3" s="779"/>
      <c r="M3" s="779"/>
      <c r="N3" s="779"/>
      <c r="O3" s="779"/>
      <c r="P3" s="779"/>
      <c r="Q3" s="779"/>
      <c r="R3" s="779"/>
    </row>
    <row r="4" spans="1:18" ht="18" x14ac:dyDescent="0.35">
      <c r="A4" s="780" t="s">
        <v>544</v>
      </c>
      <c r="B4" s="780"/>
      <c r="C4" s="780"/>
      <c r="D4" s="780"/>
      <c r="E4" s="780"/>
      <c r="F4" s="780"/>
      <c r="G4" s="780"/>
      <c r="H4" s="780"/>
      <c r="I4" s="780"/>
      <c r="J4" s="780"/>
      <c r="K4" s="780"/>
      <c r="L4" s="780"/>
      <c r="M4" s="780"/>
      <c r="N4" s="780"/>
      <c r="O4" s="780"/>
      <c r="P4" s="780"/>
      <c r="Q4" s="780"/>
      <c r="R4" s="780"/>
    </row>
    <row r="5" spans="1:18" ht="18" x14ac:dyDescent="0.35">
      <c r="A5" s="780" t="s">
        <v>623</v>
      </c>
      <c r="B5" s="780"/>
      <c r="C5" s="780"/>
      <c r="D5" s="780"/>
      <c r="E5" s="780"/>
      <c r="F5" s="780"/>
      <c r="G5" s="780"/>
      <c r="H5" s="780"/>
      <c r="I5" s="780"/>
      <c r="J5" s="780"/>
      <c r="K5" s="780"/>
      <c r="L5" s="780"/>
      <c r="M5" s="780"/>
      <c r="N5" s="780"/>
      <c r="O5" s="780"/>
      <c r="P5" s="780"/>
      <c r="Q5" s="780"/>
      <c r="R5" s="780"/>
    </row>
    <row r="6" spans="1:18" x14ac:dyDescent="0.3">
      <c r="A6" s="10"/>
      <c r="B6" s="10"/>
      <c r="C6" s="10"/>
      <c r="D6" s="1"/>
      <c r="E6" s="1"/>
      <c r="F6" s="1"/>
      <c r="G6" s="220"/>
      <c r="H6" s="1"/>
      <c r="I6" s="1"/>
      <c r="J6" s="220"/>
      <c r="K6" s="220"/>
      <c r="L6" s="220"/>
      <c r="M6" s="220"/>
      <c r="N6" s="10"/>
      <c r="O6" s="220"/>
      <c r="P6" s="220"/>
      <c r="Q6" s="220"/>
      <c r="R6" s="220"/>
    </row>
    <row r="7" spans="1:18" x14ac:dyDescent="0.3">
      <c r="A7" s="848" t="s">
        <v>1755</v>
      </c>
      <c r="B7" s="848"/>
      <c r="C7" s="848"/>
      <c r="D7" s="848"/>
      <c r="E7" s="848"/>
      <c r="F7" s="848"/>
      <c r="G7" s="848"/>
      <c r="H7" s="848"/>
      <c r="I7" s="848"/>
      <c r="J7" s="848"/>
      <c r="K7" s="848"/>
      <c r="L7" s="848"/>
      <c r="M7" s="848"/>
      <c r="N7" s="848"/>
      <c r="O7" s="848"/>
      <c r="P7" s="848"/>
      <c r="Q7" s="848"/>
      <c r="R7" s="848"/>
    </row>
    <row r="8" spans="1:18" x14ac:dyDescent="0.3">
      <c r="A8" s="778" t="s">
        <v>1838</v>
      </c>
      <c r="B8" s="778"/>
      <c r="C8" s="778"/>
      <c r="D8" s="778"/>
      <c r="E8" s="778"/>
      <c r="F8" s="778"/>
      <c r="G8" s="778"/>
      <c r="H8" s="778"/>
      <c r="I8" s="778"/>
      <c r="J8" s="778"/>
      <c r="K8" s="778"/>
      <c r="L8" s="778"/>
      <c r="M8" s="778"/>
      <c r="N8" s="778"/>
      <c r="O8" s="778"/>
      <c r="P8" s="778"/>
      <c r="Q8" s="778"/>
      <c r="R8" s="778"/>
    </row>
    <row r="9" spans="1:18" x14ac:dyDescent="0.3">
      <c r="A9" s="1"/>
      <c r="B9" s="220"/>
      <c r="C9" s="220"/>
      <c r="D9" s="220"/>
      <c r="E9" s="220"/>
      <c r="F9" s="220"/>
      <c r="G9" s="220"/>
      <c r="H9" s="220"/>
      <c r="I9" s="220"/>
      <c r="J9" s="220"/>
      <c r="K9" s="220"/>
      <c r="L9" s="220"/>
      <c r="M9" s="220"/>
      <c r="N9" s="220"/>
      <c r="O9" s="220"/>
      <c r="P9" s="220"/>
      <c r="Q9" s="220"/>
      <c r="R9" s="220"/>
    </row>
    <row r="10" spans="1:18" x14ac:dyDescent="0.3">
      <c r="A10" s="10"/>
      <c r="B10" s="10"/>
      <c r="C10" s="10"/>
      <c r="D10" s="10"/>
      <c r="E10" s="10"/>
      <c r="F10" s="10"/>
      <c r="G10" s="10"/>
      <c r="H10" s="10"/>
      <c r="I10" s="10"/>
      <c r="J10" s="10"/>
      <c r="K10" s="10"/>
      <c r="L10" s="10"/>
      <c r="M10" s="10"/>
      <c r="N10" s="10"/>
      <c r="O10" s="10"/>
      <c r="P10" s="10"/>
      <c r="Q10" s="10"/>
      <c r="R10" s="10"/>
    </row>
    <row r="11" spans="1:18" ht="16.2" thickBot="1" x14ac:dyDescent="0.35">
      <c r="A11" s="10"/>
      <c r="B11" s="10"/>
      <c r="C11" s="10"/>
      <c r="D11" s="10"/>
      <c r="E11" s="10"/>
      <c r="F11" s="10"/>
      <c r="G11" s="10"/>
      <c r="H11" s="10"/>
      <c r="I11" s="10"/>
      <c r="J11" s="10"/>
      <c r="K11" s="10"/>
      <c r="L11" s="10"/>
      <c r="M11" s="10"/>
      <c r="N11" s="10"/>
      <c r="O11" s="10"/>
      <c r="P11" s="10"/>
      <c r="Q11" s="10"/>
      <c r="R11" s="10"/>
    </row>
    <row r="12" spans="1:18" ht="15.75" customHeight="1" thickBot="1" x14ac:dyDescent="0.4">
      <c r="A12" s="3" t="s">
        <v>852</v>
      </c>
      <c r="B12" s="216" t="s">
        <v>2090</v>
      </c>
      <c r="C12" s="174" t="s">
        <v>2091</v>
      </c>
      <c r="D12" s="174" t="s">
        <v>2234</v>
      </c>
      <c r="E12" s="175" t="s">
        <v>1594</v>
      </c>
      <c r="F12" s="174" t="s">
        <v>2235</v>
      </c>
      <c r="G12" s="174" t="s">
        <v>2236</v>
      </c>
      <c r="H12" s="174" t="s">
        <v>2237</v>
      </c>
      <c r="I12" s="175" t="s">
        <v>1595</v>
      </c>
      <c r="J12" s="174" t="s">
        <v>1504</v>
      </c>
      <c r="K12" s="174" t="s">
        <v>1505</v>
      </c>
      <c r="L12" s="174" t="s">
        <v>1506</v>
      </c>
      <c r="M12" s="175" t="s">
        <v>1596</v>
      </c>
      <c r="N12" s="174" t="s">
        <v>1507</v>
      </c>
      <c r="O12" s="174" t="s">
        <v>1508</v>
      </c>
      <c r="P12" s="174" t="s">
        <v>1509</v>
      </c>
      <c r="Q12" s="175" t="s">
        <v>1597</v>
      </c>
      <c r="R12" s="176" t="s">
        <v>1510</v>
      </c>
    </row>
    <row r="13" spans="1:18" ht="15.75" customHeight="1" thickBot="1" x14ac:dyDescent="0.4">
      <c r="A13" s="27"/>
      <c r="B13" s="177"/>
      <c r="C13" s="177"/>
      <c r="D13" s="177"/>
      <c r="E13" s="178"/>
      <c r="F13" s="177"/>
      <c r="G13" s="177"/>
      <c r="H13" s="177"/>
      <c r="I13" s="178"/>
      <c r="J13" s="177"/>
      <c r="K13" s="177"/>
      <c r="L13" s="177"/>
      <c r="M13" s="178"/>
      <c r="N13" s="177"/>
      <c r="O13" s="177"/>
      <c r="P13" s="177"/>
      <c r="Q13" s="178"/>
      <c r="R13" s="178"/>
    </row>
    <row r="14" spans="1:18" ht="15.75" customHeight="1" x14ac:dyDescent="0.3">
      <c r="A14" s="234" t="s">
        <v>1277</v>
      </c>
      <c r="B14" s="172">
        <f>+B745</f>
        <v>64252</v>
      </c>
      <c r="C14" s="172">
        <f>+C745</f>
        <v>66697</v>
      </c>
      <c r="D14" s="172">
        <f>+D745</f>
        <v>139065</v>
      </c>
      <c r="E14" s="15">
        <f t="shared" ref="E14:E23" si="0">SUM(B14:D14)</f>
        <v>270014</v>
      </c>
      <c r="F14" s="172">
        <f>+F745</f>
        <v>171027</v>
      </c>
      <c r="G14" s="172">
        <f>+G745</f>
        <v>154487</v>
      </c>
      <c r="H14" s="172">
        <f>+H745</f>
        <v>181099</v>
      </c>
      <c r="I14" s="15">
        <f t="shared" ref="I14:I23" si="1">SUM(F14:H14)</f>
        <v>506613</v>
      </c>
      <c r="J14" s="172">
        <f>+J745</f>
        <v>167843</v>
      </c>
      <c r="K14" s="172">
        <f>+K745</f>
        <v>192047</v>
      </c>
      <c r="L14" s="172">
        <f>+L745</f>
        <v>142420</v>
      </c>
      <c r="M14" s="15">
        <f t="shared" ref="M14:M23" si="2">SUM(J14:L14)</f>
        <v>502310</v>
      </c>
      <c r="N14" s="172">
        <f>+N745</f>
        <v>103812</v>
      </c>
      <c r="O14" s="172">
        <f>+O745</f>
        <v>71171</v>
      </c>
      <c r="P14" s="172">
        <f>+P745</f>
        <v>66662</v>
      </c>
      <c r="Q14" s="29">
        <f t="shared" ref="Q14:Q23" si="3">SUM(N14:P14)</f>
        <v>241645</v>
      </c>
      <c r="R14" s="15">
        <f t="shared" ref="R14:R23" si="4">+E14+I14+M14+Q14</f>
        <v>1520582</v>
      </c>
    </row>
    <row r="15" spans="1:18" ht="15.75" hidden="1" customHeight="1" x14ac:dyDescent="0.3">
      <c r="A15" s="234" t="s">
        <v>2052</v>
      </c>
      <c r="B15" s="172">
        <f>+B716+B719</f>
        <v>7874</v>
      </c>
      <c r="C15" s="172">
        <f>+C716+C719</f>
        <v>9073</v>
      </c>
      <c r="D15" s="172">
        <f>+D716+D719</f>
        <v>12364</v>
      </c>
      <c r="E15" s="15">
        <f t="shared" si="0"/>
        <v>29311</v>
      </c>
      <c r="F15" s="172">
        <f>+F716+F719</f>
        <v>8611</v>
      </c>
      <c r="G15" s="172">
        <f>+G716+G719</f>
        <v>8457</v>
      </c>
      <c r="H15" s="172">
        <f>+H716+H719</f>
        <v>10744</v>
      </c>
      <c r="I15" s="15">
        <f t="shared" si="1"/>
        <v>27812</v>
      </c>
      <c r="J15" s="172">
        <f>+J716+J719</f>
        <v>11770</v>
      </c>
      <c r="K15" s="172">
        <f>+K716+K719</f>
        <v>50702</v>
      </c>
      <c r="L15" s="172">
        <f>+L716+L719</f>
        <v>34758</v>
      </c>
      <c r="M15" s="15">
        <f t="shared" si="2"/>
        <v>97230</v>
      </c>
      <c r="N15" s="172">
        <f>+N716+N719</f>
        <v>19009</v>
      </c>
      <c r="O15" s="172">
        <f>+O716+O719</f>
        <v>16442</v>
      </c>
      <c r="P15" s="172">
        <f>+P716+P719</f>
        <v>27186</v>
      </c>
      <c r="Q15" s="29">
        <f t="shared" si="3"/>
        <v>62637</v>
      </c>
      <c r="R15" s="15">
        <f t="shared" si="4"/>
        <v>216990</v>
      </c>
    </row>
    <row r="16" spans="1:18" ht="15.75" customHeight="1" x14ac:dyDescent="0.3">
      <c r="A16" s="234" t="s">
        <v>1278</v>
      </c>
      <c r="B16" s="172">
        <f>B28+B63+B129+B252+B373+B418+B459+B507+B517+B552+B591+B601+B635+B677</f>
        <v>739</v>
      </c>
      <c r="C16" s="172">
        <f>C28+C63+C129+C252+C373+C418+C459+C507+C517+C552+C591+C601+C635+C677</f>
        <v>1283</v>
      </c>
      <c r="D16" s="172">
        <f>D28+D63+D129+D252+D373+D418+D459+D507+D517+D552+D591+D601+D635+D677</f>
        <v>2185</v>
      </c>
      <c r="E16" s="15">
        <f t="shared" si="0"/>
        <v>4207</v>
      </c>
      <c r="F16" s="172">
        <f>F28+F63+F129+F252+F373+F418+F459+F507+F517+F552+F591+F601+F635+F677</f>
        <v>2959</v>
      </c>
      <c r="G16" s="172">
        <f>G28+G63+G129+G252+G373+G418+G459+G507+G517+G552+G591+G601+G635+G677</f>
        <v>3425</v>
      </c>
      <c r="H16" s="172">
        <f>H28+H63+H129+H252+H373+H418+H459+H507+H517+H552+H591+H601+H635+H677</f>
        <v>3464</v>
      </c>
      <c r="I16" s="15">
        <f t="shared" si="1"/>
        <v>9848</v>
      </c>
      <c r="J16" s="172">
        <f>J28+J63+J129+J252+J373+J418+J459+J507+J517+J552+J591+J601+J635+J677</f>
        <v>3382</v>
      </c>
      <c r="K16" s="172">
        <f>K28+K63+K129+K252+K373+K418+K459+K507+K517+K552+K591+K601+K635+K677</f>
        <v>2663</v>
      </c>
      <c r="L16" s="172">
        <f>L28+L63+L129+L252+L373+L418+L459+L507+L517+L552+L591+L601+L635+L677</f>
        <v>2559</v>
      </c>
      <c r="M16" s="15">
        <f t="shared" si="2"/>
        <v>8604</v>
      </c>
      <c r="N16" s="172">
        <f>N28+N63+N129+N252+N373+N418+N459+N507+N517+N552+N591+N601+N635+N677</f>
        <v>2343</v>
      </c>
      <c r="O16" s="172">
        <f>O28+O63+O129+O252+O373+O418+O459+O507+O517+O552+O591+O601+O635+O677</f>
        <v>1892</v>
      </c>
      <c r="P16" s="172">
        <f>P28+P63+P129+P252+P373+P418+P459+P507+P517+P552+P591+P601+P635+P677</f>
        <v>1423</v>
      </c>
      <c r="Q16" s="29">
        <f t="shared" si="3"/>
        <v>5658</v>
      </c>
      <c r="R16" s="15">
        <f t="shared" si="4"/>
        <v>28317</v>
      </c>
    </row>
    <row r="17" spans="1:21" ht="15.75" customHeight="1" x14ac:dyDescent="0.3">
      <c r="A17" s="234" t="s">
        <v>397</v>
      </c>
      <c r="B17" s="172">
        <f>B247</f>
        <v>0</v>
      </c>
      <c r="C17" s="172">
        <f>C247</f>
        <v>1067</v>
      </c>
      <c r="D17" s="172">
        <f>D247</f>
        <v>3472</v>
      </c>
      <c r="E17" s="15">
        <f t="shared" si="0"/>
        <v>4539</v>
      </c>
      <c r="F17" s="172">
        <f>F247</f>
        <v>3894</v>
      </c>
      <c r="G17" s="172">
        <f>G247</f>
        <v>4164</v>
      </c>
      <c r="H17" s="172">
        <f>H247</f>
        <v>3434</v>
      </c>
      <c r="I17" s="15">
        <f t="shared" si="1"/>
        <v>11492</v>
      </c>
      <c r="J17" s="172">
        <f>J247</f>
        <v>2383</v>
      </c>
      <c r="K17" s="172">
        <f>K247</f>
        <v>3252</v>
      </c>
      <c r="L17" s="172">
        <f>L247</f>
        <v>3642</v>
      </c>
      <c r="M17" s="15">
        <f t="shared" si="2"/>
        <v>9277</v>
      </c>
      <c r="N17" s="172">
        <f>N247</f>
        <v>4947</v>
      </c>
      <c r="O17" s="172">
        <f>O247</f>
        <v>4047</v>
      </c>
      <c r="P17" s="172">
        <f>P247</f>
        <v>511</v>
      </c>
      <c r="Q17" s="29">
        <f t="shared" si="3"/>
        <v>9505</v>
      </c>
      <c r="R17" s="15">
        <f t="shared" si="4"/>
        <v>34813</v>
      </c>
    </row>
    <row r="18" spans="1:21" ht="15.75" customHeight="1" x14ac:dyDescent="0.3">
      <c r="A18" s="235" t="s">
        <v>967</v>
      </c>
      <c r="B18" s="172">
        <f t="shared" ref="B18:D19" si="5">+B248</f>
        <v>0</v>
      </c>
      <c r="C18" s="172">
        <f t="shared" si="5"/>
        <v>0</v>
      </c>
      <c r="D18" s="172">
        <f t="shared" si="5"/>
        <v>0</v>
      </c>
      <c r="E18" s="15">
        <f t="shared" si="0"/>
        <v>0</v>
      </c>
      <c r="F18" s="172">
        <f t="shared" ref="F18:H19" si="6">+F248</f>
        <v>0</v>
      </c>
      <c r="G18" s="172">
        <f t="shared" si="6"/>
        <v>0</v>
      </c>
      <c r="H18" s="172">
        <f t="shared" si="6"/>
        <v>0</v>
      </c>
      <c r="I18" s="15">
        <f t="shared" si="1"/>
        <v>0</v>
      </c>
      <c r="J18" s="172">
        <f t="shared" ref="J18:L19" si="7">+J248</f>
        <v>0</v>
      </c>
      <c r="K18" s="172">
        <f t="shared" si="7"/>
        <v>0</v>
      </c>
      <c r="L18" s="172">
        <f t="shared" si="7"/>
        <v>0</v>
      </c>
      <c r="M18" s="15">
        <f t="shared" si="2"/>
        <v>0</v>
      </c>
      <c r="N18" s="172">
        <f t="shared" ref="N18:P19" si="8">+N248</f>
        <v>0</v>
      </c>
      <c r="O18" s="172">
        <f t="shared" si="8"/>
        <v>0</v>
      </c>
      <c r="P18" s="172">
        <f t="shared" si="8"/>
        <v>0</v>
      </c>
      <c r="Q18" s="29">
        <f t="shared" si="3"/>
        <v>0</v>
      </c>
      <c r="R18" s="15">
        <f t="shared" si="4"/>
        <v>0</v>
      </c>
    </row>
    <row r="19" spans="1:21" ht="15.75" hidden="1" customHeight="1" x14ac:dyDescent="0.3">
      <c r="A19" s="234" t="s">
        <v>2302</v>
      </c>
      <c r="B19" s="172">
        <f t="shared" si="5"/>
        <v>0</v>
      </c>
      <c r="C19" s="172">
        <f t="shared" si="5"/>
        <v>0</v>
      </c>
      <c r="D19" s="172">
        <f t="shared" si="5"/>
        <v>0</v>
      </c>
      <c r="E19" s="15">
        <f t="shared" si="0"/>
        <v>0</v>
      </c>
      <c r="F19" s="172">
        <f t="shared" si="6"/>
        <v>0</v>
      </c>
      <c r="G19" s="172">
        <f t="shared" si="6"/>
        <v>0</v>
      </c>
      <c r="H19" s="172">
        <f t="shared" si="6"/>
        <v>0</v>
      </c>
      <c r="I19" s="15">
        <f t="shared" si="1"/>
        <v>0</v>
      </c>
      <c r="J19" s="172">
        <f t="shared" si="7"/>
        <v>0</v>
      </c>
      <c r="K19" s="172">
        <f t="shared" si="7"/>
        <v>0</v>
      </c>
      <c r="L19" s="172">
        <f t="shared" si="7"/>
        <v>0</v>
      </c>
      <c r="M19" s="15">
        <f t="shared" si="2"/>
        <v>0</v>
      </c>
      <c r="N19" s="172">
        <f t="shared" si="8"/>
        <v>0</v>
      </c>
      <c r="O19" s="172">
        <f t="shared" si="8"/>
        <v>0</v>
      </c>
      <c r="P19" s="172">
        <f t="shared" si="8"/>
        <v>0</v>
      </c>
      <c r="Q19" s="29">
        <f t="shared" si="3"/>
        <v>0</v>
      </c>
      <c r="R19" s="15">
        <f t="shared" si="4"/>
        <v>0</v>
      </c>
    </row>
    <row r="20" spans="1:21" ht="15.75" customHeight="1" x14ac:dyDescent="0.3">
      <c r="A20" s="236" t="s">
        <v>1176</v>
      </c>
      <c r="B20" s="172">
        <f>B251</f>
        <v>99649</v>
      </c>
      <c r="C20" s="172">
        <f>C251</f>
        <v>88679</v>
      </c>
      <c r="D20" s="172">
        <f>D251</f>
        <v>23780</v>
      </c>
      <c r="E20" s="15">
        <f t="shared" si="0"/>
        <v>212108</v>
      </c>
      <c r="F20" s="172">
        <f>F251</f>
        <v>0</v>
      </c>
      <c r="G20" s="172">
        <f>G251</f>
        <v>18160</v>
      </c>
      <c r="H20" s="172">
        <f>H251</f>
        <v>769</v>
      </c>
      <c r="I20" s="15">
        <f t="shared" si="1"/>
        <v>18929</v>
      </c>
      <c r="J20" s="172">
        <f>J251</f>
        <v>0</v>
      </c>
      <c r="K20" s="172">
        <f>K251</f>
        <v>0</v>
      </c>
      <c r="L20" s="172">
        <f>L251</f>
        <v>0</v>
      </c>
      <c r="M20" s="15">
        <f t="shared" si="2"/>
        <v>0</v>
      </c>
      <c r="N20" s="172">
        <f>N251</f>
        <v>25846</v>
      </c>
      <c r="O20" s="172">
        <f>O251</f>
        <v>91045</v>
      </c>
      <c r="P20" s="172">
        <f>P251</f>
        <v>20663</v>
      </c>
      <c r="Q20" s="29">
        <f t="shared" si="3"/>
        <v>137554</v>
      </c>
      <c r="R20" s="15">
        <f t="shared" si="4"/>
        <v>368591</v>
      </c>
    </row>
    <row r="21" spans="1:21" ht="15.75" customHeight="1" x14ac:dyDescent="0.3">
      <c r="A21" s="236" t="s">
        <v>662</v>
      </c>
      <c r="B21" s="172">
        <f>B263</f>
        <v>0</v>
      </c>
      <c r="C21" s="172">
        <f>C263</f>
        <v>0</v>
      </c>
      <c r="D21" s="172">
        <f>D263</f>
        <v>-81</v>
      </c>
      <c r="E21" s="15">
        <f t="shared" si="0"/>
        <v>-81</v>
      </c>
      <c r="F21" s="172">
        <f>F263</f>
        <v>-11920</v>
      </c>
      <c r="G21" s="172">
        <f>G263</f>
        <v>-8248</v>
      </c>
      <c r="H21" s="172">
        <f>H263</f>
        <v>-60264</v>
      </c>
      <c r="I21" s="15">
        <f t="shared" si="1"/>
        <v>-80432</v>
      </c>
      <c r="J21" s="172">
        <f>J263</f>
        <v>-92679</v>
      </c>
      <c r="K21" s="172">
        <f>K263</f>
        <v>-129383</v>
      </c>
      <c r="L21" s="172">
        <f>L263</f>
        <v>-54211</v>
      </c>
      <c r="M21" s="15">
        <f t="shared" si="2"/>
        <v>-276273</v>
      </c>
      <c r="N21" s="172">
        <f>N263</f>
        <v>-1553</v>
      </c>
      <c r="O21" s="172">
        <f>O263</f>
        <v>0</v>
      </c>
      <c r="P21" s="172">
        <f>P263</f>
        <v>-22642</v>
      </c>
      <c r="Q21" s="29">
        <f t="shared" si="3"/>
        <v>-24195</v>
      </c>
      <c r="R21" s="15">
        <f t="shared" si="4"/>
        <v>-380981</v>
      </c>
    </row>
    <row r="22" spans="1:21" ht="15.75" customHeight="1" thickBot="1" x14ac:dyDescent="0.35">
      <c r="A22" s="237" t="s">
        <v>851</v>
      </c>
      <c r="B22" s="238">
        <f>(B32)</f>
        <v>164640</v>
      </c>
      <c r="C22" s="238">
        <f>(C32)</f>
        <v>157726</v>
      </c>
      <c r="D22" s="238">
        <f>(D32)</f>
        <v>168421</v>
      </c>
      <c r="E22" s="16">
        <f t="shared" si="0"/>
        <v>490787</v>
      </c>
      <c r="F22" s="238">
        <f>(F32)</f>
        <v>165960</v>
      </c>
      <c r="G22" s="238">
        <f>(G32)</f>
        <v>171988</v>
      </c>
      <c r="H22" s="238">
        <f>(H32)</f>
        <v>128502</v>
      </c>
      <c r="I22" s="16">
        <f t="shared" si="1"/>
        <v>466450</v>
      </c>
      <c r="J22" s="238">
        <f>(J32)</f>
        <v>80929</v>
      </c>
      <c r="K22" s="238">
        <f>(K32)</f>
        <v>68579</v>
      </c>
      <c r="L22" s="238">
        <f>(L32)</f>
        <v>94410</v>
      </c>
      <c r="M22" s="16">
        <f t="shared" si="2"/>
        <v>243918</v>
      </c>
      <c r="N22" s="238">
        <f>(N32)</f>
        <v>135395</v>
      </c>
      <c r="O22" s="238">
        <f>(O32)</f>
        <v>168155</v>
      </c>
      <c r="P22" s="238">
        <f>(P32)</f>
        <v>66617</v>
      </c>
      <c r="Q22" s="30">
        <f t="shared" si="3"/>
        <v>370167</v>
      </c>
      <c r="R22" s="16">
        <f t="shared" si="4"/>
        <v>1571322</v>
      </c>
      <c r="S22" t="s">
        <v>400</v>
      </c>
      <c r="T22" t="s">
        <v>1130</v>
      </c>
    </row>
    <row r="23" spans="1:21" ht="15.75" customHeight="1" thickBot="1" x14ac:dyDescent="0.35">
      <c r="A23" s="347" t="s">
        <v>496</v>
      </c>
      <c r="B23" s="264">
        <v>166725</v>
      </c>
      <c r="C23" s="264">
        <v>157301</v>
      </c>
      <c r="D23" s="264">
        <v>167973</v>
      </c>
      <c r="E23" s="16">
        <f t="shared" si="0"/>
        <v>491999</v>
      </c>
      <c r="F23" s="264">
        <v>165730</v>
      </c>
      <c r="G23" s="264">
        <v>172183</v>
      </c>
      <c r="H23" s="264">
        <v>126311</v>
      </c>
      <c r="I23" s="16">
        <f t="shared" si="1"/>
        <v>464224</v>
      </c>
      <c r="J23" s="264">
        <v>78041</v>
      </c>
      <c r="K23" s="264">
        <v>65373</v>
      </c>
      <c r="L23" s="264">
        <v>93513</v>
      </c>
      <c r="M23" s="16">
        <f t="shared" si="2"/>
        <v>236927</v>
      </c>
      <c r="N23" s="264">
        <v>135834</v>
      </c>
      <c r="O23" s="264">
        <v>167966</v>
      </c>
      <c r="P23" s="346">
        <v>64769</v>
      </c>
      <c r="Q23" s="30">
        <f t="shared" si="3"/>
        <v>368569</v>
      </c>
      <c r="R23" s="16">
        <f t="shared" si="4"/>
        <v>1561719</v>
      </c>
    </row>
    <row r="24" spans="1:21" ht="15.75" customHeight="1" x14ac:dyDescent="0.3">
      <c r="A24" s="172"/>
      <c r="B24" s="172"/>
      <c r="C24" s="172"/>
      <c r="D24" s="172"/>
      <c r="E24" s="172"/>
      <c r="F24" s="172"/>
      <c r="G24" s="172"/>
      <c r="H24" s="172"/>
      <c r="I24" s="172"/>
      <c r="J24" s="172"/>
      <c r="K24" s="172"/>
      <c r="L24" s="172"/>
      <c r="M24" s="172"/>
      <c r="N24" s="172"/>
      <c r="O24" s="172"/>
      <c r="P24" s="172"/>
      <c r="Q24" s="172"/>
      <c r="R24" s="17"/>
      <c r="U24" t="s">
        <v>1837</v>
      </c>
    </row>
    <row r="25" spans="1:21" ht="15.75" customHeight="1" thickBot="1" x14ac:dyDescent="0.35">
      <c r="A25" s="172"/>
      <c r="B25" s="172"/>
      <c r="C25" s="172"/>
      <c r="D25" s="172"/>
      <c r="E25" s="172"/>
      <c r="F25" s="239" t="s">
        <v>852</v>
      </c>
      <c r="G25" s="239" t="s">
        <v>852</v>
      </c>
      <c r="H25" s="172"/>
      <c r="I25" s="172"/>
      <c r="J25" s="172"/>
      <c r="K25" s="172"/>
      <c r="L25" s="172"/>
      <c r="M25" s="172"/>
      <c r="N25" s="239" t="s">
        <v>852</v>
      </c>
      <c r="O25" s="239" t="s">
        <v>852</v>
      </c>
      <c r="P25" s="239" t="s">
        <v>852</v>
      </c>
      <c r="Q25" s="239"/>
      <c r="R25" s="18" t="s">
        <v>852</v>
      </c>
      <c r="U25" t="s">
        <v>1613</v>
      </c>
    </row>
    <row r="26" spans="1:21" ht="15.75" customHeight="1" thickBot="1" x14ac:dyDescent="0.35">
      <c r="A26" s="240" t="s">
        <v>1878</v>
      </c>
      <c r="B26" s="4" t="s">
        <v>2090</v>
      </c>
      <c r="C26" s="5" t="s">
        <v>2091</v>
      </c>
      <c r="D26" s="5" t="s">
        <v>2234</v>
      </c>
      <c r="E26" s="33" t="s">
        <v>1594</v>
      </c>
      <c r="F26" s="5" t="s">
        <v>2235</v>
      </c>
      <c r="G26" s="5" t="s">
        <v>2236</v>
      </c>
      <c r="H26" s="5" t="s">
        <v>2237</v>
      </c>
      <c r="I26" s="35" t="s">
        <v>1595</v>
      </c>
      <c r="J26" s="5" t="s">
        <v>1504</v>
      </c>
      <c r="K26" s="5" t="s">
        <v>1505</v>
      </c>
      <c r="L26" s="5" t="s">
        <v>1506</v>
      </c>
      <c r="M26" s="35" t="s">
        <v>1596</v>
      </c>
      <c r="N26" s="5" t="s">
        <v>1507</v>
      </c>
      <c r="O26" s="5" t="s">
        <v>1508</v>
      </c>
      <c r="P26" s="5" t="s">
        <v>1509</v>
      </c>
      <c r="Q26" s="35" t="s">
        <v>1597</v>
      </c>
      <c r="R26" s="36" t="s">
        <v>1510</v>
      </c>
    </row>
    <row r="27" spans="1:21" ht="15.75" customHeight="1" thickBot="1" x14ac:dyDescent="0.35">
      <c r="A27" s="241"/>
      <c r="B27" s="242"/>
      <c r="C27" s="242"/>
      <c r="D27" s="242"/>
      <c r="E27" s="243"/>
      <c r="F27" s="242"/>
      <c r="G27" s="242"/>
      <c r="H27" s="242"/>
      <c r="I27" s="243"/>
      <c r="J27" s="242"/>
      <c r="K27" s="242"/>
      <c r="L27" s="242"/>
      <c r="M27" s="243"/>
      <c r="N27" s="242"/>
      <c r="O27" s="242"/>
      <c r="P27" s="242"/>
      <c r="Q27" s="243"/>
      <c r="R27" s="19"/>
    </row>
    <row r="28" spans="1:21" ht="15.75" customHeight="1" thickBot="1" x14ac:dyDescent="0.35">
      <c r="A28" s="244" t="s">
        <v>853</v>
      </c>
      <c r="B28" s="238">
        <v>97</v>
      </c>
      <c r="C28" s="238">
        <v>148</v>
      </c>
      <c r="D28" s="238">
        <v>274</v>
      </c>
      <c r="E28" s="14">
        <f>SUM(B28:D28)</f>
        <v>519</v>
      </c>
      <c r="F28" s="238">
        <v>367</v>
      </c>
      <c r="G28" s="238">
        <v>425</v>
      </c>
      <c r="H28" s="238">
        <v>417</v>
      </c>
      <c r="I28" s="14">
        <f>SUM(F28:H28)</f>
        <v>1209</v>
      </c>
      <c r="J28" s="238">
        <v>416</v>
      </c>
      <c r="K28" s="238">
        <v>334</v>
      </c>
      <c r="L28" s="238">
        <v>316</v>
      </c>
      <c r="M28" s="14">
        <f>SUM(J28:L28)</f>
        <v>1066</v>
      </c>
      <c r="N28" s="238">
        <v>285</v>
      </c>
      <c r="O28" s="238">
        <v>235</v>
      </c>
      <c r="P28" s="238">
        <v>186</v>
      </c>
      <c r="Q28" s="14">
        <f>SUM(N28:P28)</f>
        <v>706</v>
      </c>
      <c r="R28" s="16">
        <f>+E28+I28+M28+Q28</f>
        <v>3500</v>
      </c>
    </row>
    <row r="29" spans="1:21" ht="15.75" customHeight="1" thickBot="1" x14ac:dyDescent="0.35">
      <c r="A29" s="22"/>
      <c r="B29" s="242"/>
      <c r="C29" s="242"/>
      <c r="D29" s="242"/>
      <c r="E29" s="21"/>
      <c r="F29" s="242"/>
      <c r="G29" s="242"/>
      <c r="H29" s="242"/>
      <c r="I29" s="21"/>
      <c r="J29" s="242"/>
      <c r="K29" s="242"/>
      <c r="L29" s="242"/>
      <c r="M29" s="21"/>
      <c r="N29" s="242"/>
      <c r="O29" s="242"/>
      <c r="P29" s="242"/>
      <c r="Q29" s="21"/>
      <c r="R29" s="13"/>
    </row>
    <row r="30" spans="1:21" ht="15.75" customHeight="1" x14ac:dyDescent="0.3">
      <c r="A30" s="234" t="s">
        <v>2011</v>
      </c>
      <c r="B30" s="172">
        <f>B28</f>
        <v>97</v>
      </c>
      <c r="C30" s="172">
        <f>C28</f>
        <v>148</v>
      </c>
      <c r="D30" s="172">
        <f>D28</f>
        <v>274</v>
      </c>
      <c r="E30" s="14">
        <f>SUM(B30:D30)</f>
        <v>519</v>
      </c>
      <c r="F30" s="172">
        <f>F28</f>
        <v>367</v>
      </c>
      <c r="G30" s="172">
        <f>G28</f>
        <v>425</v>
      </c>
      <c r="H30" s="172">
        <f>H28</f>
        <v>417</v>
      </c>
      <c r="I30" s="14">
        <f>SUM(F30:H30)</f>
        <v>1209</v>
      </c>
      <c r="J30" s="172">
        <f>J28</f>
        <v>416</v>
      </c>
      <c r="K30" s="172">
        <f>K28</f>
        <v>334</v>
      </c>
      <c r="L30" s="172">
        <f>L28</f>
        <v>316</v>
      </c>
      <c r="M30" s="14">
        <f>SUM(J30:L30)</f>
        <v>1066</v>
      </c>
      <c r="N30" s="172">
        <f>N28</f>
        <v>285</v>
      </c>
      <c r="O30" s="172">
        <f>O28</f>
        <v>235</v>
      </c>
      <c r="P30" s="172">
        <f>P28</f>
        <v>186</v>
      </c>
      <c r="Q30" s="28">
        <f>SUM(N30:P30)</f>
        <v>706</v>
      </c>
      <c r="R30" s="14">
        <f>+E30+I30+M30+Q30</f>
        <v>3500</v>
      </c>
    </row>
    <row r="31" spans="1:21" ht="15.75" customHeight="1" x14ac:dyDescent="0.3">
      <c r="A31" s="234" t="s">
        <v>1897</v>
      </c>
      <c r="B31" s="172">
        <f>(B30/31)/1.983</f>
        <v>1.5779285214647079</v>
      </c>
      <c r="C31" s="172">
        <f>(C30/28)/1.983</f>
        <v>2.6655140119587926</v>
      </c>
      <c r="D31" s="172">
        <f>(D30/31)/1.983</f>
        <v>4.457241390529175</v>
      </c>
      <c r="E31" s="15"/>
      <c r="F31" s="172">
        <f>(F30/30)/1.983</f>
        <v>6.1691040511010247</v>
      </c>
      <c r="G31" s="172">
        <f>(G30/31)/1.983</f>
        <v>6.9136043466237203</v>
      </c>
      <c r="H31" s="172">
        <f>(H30/30)/1.983</f>
        <v>7.0095814422592033</v>
      </c>
      <c r="I31" s="15"/>
      <c r="J31" s="172">
        <f>(J30/31)/1.983</f>
        <v>6.7671986075187478</v>
      </c>
      <c r="K31" s="172">
        <f>(K30/31)/1.983</f>
        <v>5.433279651228994</v>
      </c>
      <c r="L31" s="172">
        <f>(L30/30)/1.983</f>
        <v>5.3118171121196838</v>
      </c>
      <c r="M31" s="15"/>
      <c r="N31" s="172">
        <f>(N30/31)/1.983</f>
        <v>4.6361817383241419</v>
      </c>
      <c r="O31" s="172">
        <f>(O30/30)/1.983</f>
        <v>3.9502437384434357</v>
      </c>
      <c r="P31" s="172">
        <f>(P30/31)/1.983</f>
        <v>3.02571860816944</v>
      </c>
      <c r="Q31" s="29"/>
      <c r="R31" s="15"/>
    </row>
    <row r="32" spans="1:21" ht="15.75" customHeight="1" x14ac:dyDescent="0.3">
      <c r="A32" s="234" t="s">
        <v>1119</v>
      </c>
      <c r="B32" s="172">
        <f>B30+B67</f>
        <v>164640</v>
      </c>
      <c r="C32" s="172">
        <f>C30+C67</f>
        <v>157726</v>
      </c>
      <c r="D32" s="172">
        <f>D30+D67</f>
        <v>168421</v>
      </c>
      <c r="E32" s="15">
        <f>SUM(B32:D32)</f>
        <v>490787</v>
      </c>
      <c r="F32" s="172">
        <f>F30+F67</f>
        <v>165960</v>
      </c>
      <c r="G32" s="172">
        <f>G30+G67</f>
        <v>171988</v>
      </c>
      <c r="H32" s="172">
        <f>H30+H67</f>
        <v>128502</v>
      </c>
      <c r="I32" s="15">
        <f>SUM(F32:H32)</f>
        <v>466450</v>
      </c>
      <c r="J32" s="172">
        <f>J30+J67</f>
        <v>80929</v>
      </c>
      <c r="K32" s="172">
        <f>K30+K67</f>
        <v>68579</v>
      </c>
      <c r="L32" s="172">
        <f>L30+L67</f>
        <v>94410</v>
      </c>
      <c r="M32" s="15">
        <f>SUM(J32:L32)</f>
        <v>243918</v>
      </c>
      <c r="N32" s="172">
        <f>N30+N67</f>
        <v>135395</v>
      </c>
      <c r="O32" s="172">
        <f>O30+O67</f>
        <v>168155</v>
      </c>
      <c r="P32" s="172">
        <f>P30+P67</f>
        <v>66617</v>
      </c>
      <c r="Q32" s="29">
        <f>SUM(N32:P32)</f>
        <v>370167</v>
      </c>
      <c r="R32" s="15">
        <f>+E32+I32+M32+Q32</f>
        <v>1571322</v>
      </c>
    </row>
    <row r="33" spans="1:20" ht="15.75" customHeight="1" thickBot="1" x14ac:dyDescent="0.35">
      <c r="A33" s="237" t="s">
        <v>1968</v>
      </c>
      <c r="B33" s="238">
        <f>(B32/31)/1.983</f>
        <v>2678.2489873603045</v>
      </c>
      <c r="C33" s="238">
        <f>(C32/28)/1.983</f>
        <v>2840.6815070960301</v>
      </c>
      <c r="D33" s="238">
        <f>(D32/31)/1.983</f>
        <v>2739.7556650887382</v>
      </c>
      <c r="E33" s="16"/>
      <c r="F33" s="238">
        <f>(F32/30)/1.983</f>
        <v>2789.7125567322237</v>
      </c>
      <c r="G33" s="238">
        <f>(G32/31)/1.983</f>
        <v>2797.7811396873421</v>
      </c>
      <c r="H33" s="238">
        <f>(H32/30)/1.983</f>
        <v>2160.0605143721632</v>
      </c>
      <c r="I33" s="16"/>
      <c r="J33" s="238">
        <f>(J32/31)/1.983</f>
        <v>1316.4966733362614</v>
      </c>
      <c r="K33" s="238">
        <f>(K32/31)/1.983</f>
        <v>1115.5954646755486</v>
      </c>
      <c r="L33" s="238">
        <f>(L32/30)/1.983</f>
        <v>1586.9894099848714</v>
      </c>
      <c r="M33" s="16"/>
      <c r="N33" s="238">
        <f>(N32/31)/1.983</f>
        <v>2202.5116717908677</v>
      </c>
      <c r="O33" s="238">
        <f>(O32/30)/1.983</f>
        <v>2826.6095142040681</v>
      </c>
      <c r="P33" s="238">
        <f>(P32/31)/1.983</f>
        <v>1083.6790135506644</v>
      </c>
      <c r="Q33" s="30"/>
      <c r="R33" s="16"/>
      <c r="T33" s="350" t="s">
        <v>2172</v>
      </c>
    </row>
    <row r="34" spans="1:20" ht="15.75" customHeight="1" x14ac:dyDescent="0.3">
      <c r="A34" s="17"/>
      <c r="B34" s="172"/>
      <c r="C34" s="172"/>
      <c r="D34" s="172"/>
      <c r="E34" s="172"/>
      <c r="F34" s="172"/>
      <c r="G34" s="172"/>
      <c r="H34" s="172"/>
      <c r="I34" s="172"/>
      <c r="J34" s="172"/>
      <c r="K34" s="172"/>
      <c r="L34" s="172"/>
      <c r="M34" s="172"/>
      <c r="N34" s="172"/>
      <c r="O34" s="172"/>
      <c r="P34" s="172"/>
      <c r="Q34" s="172"/>
      <c r="R34" s="17"/>
      <c r="T34" s="350" t="s">
        <v>2173</v>
      </c>
    </row>
    <row r="35" spans="1:20" ht="15.75" customHeight="1" thickBot="1" x14ac:dyDescent="0.35">
      <c r="A35" s="17"/>
      <c r="B35" s="172"/>
      <c r="C35" s="172"/>
      <c r="D35" s="172"/>
      <c r="E35" s="172"/>
      <c r="F35" s="172"/>
      <c r="G35" s="172"/>
      <c r="H35" s="172"/>
      <c r="I35" s="172"/>
      <c r="J35" s="172"/>
      <c r="K35" s="172"/>
      <c r="L35" s="172"/>
      <c r="M35" s="172"/>
      <c r="N35" s="172"/>
      <c r="O35" s="172"/>
      <c r="P35" s="172"/>
      <c r="Q35" s="172"/>
      <c r="R35" s="17"/>
    </row>
    <row r="36" spans="1:20" ht="15.75" customHeight="1" thickBot="1" x14ac:dyDescent="0.35">
      <c r="A36" s="245" t="s">
        <v>681</v>
      </c>
      <c r="B36" s="25" t="s">
        <v>2090</v>
      </c>
      <c r="C36" s="26" t="s">
        <v>2091</v>
      </c>
      <c r="D36" s="26" t="s">
        <v>2234</v>
      </c>
      <c r="E36" s="33" t="s">
        <v>1594</v>
      </c>
      <c r="F36" s="26" t="s">
        <v>2235</v>
      </c>
      <c r="G36" s="26" t="s">
        <v>2236</v>
      </c>
      <c r="H36" s="26" t="s">
        <v>2237</v>
      </c>
      <c r="I36" s="33" t="s">
        <v>1595</v>
      </c>
      <c r="J36" s="26" t="s">
        <v>1504</v>
      </c>
      <c r="K36" s="26" t="s">
        <v>1505</v>
      </c>
      <c r="L36" s="26" t="s">
        <v>1506</v>
      </c>
      <c r="M36" s="33" t="s">
        <v>1596</v>
      </c>
      <c r="N36" s="26" t="s">
        <v>1507</v>
      </c>
      <c r="O36" s="26" t="s">
        <v>1508</v>
      </c>
      <c r="P36" s="26" t="s">
        <v>1509</v>
      </c>
      <c r="Q36" s="33" t="s">
        <v>1597</v>
      </c>
      <c r="R36" s="34" t="s">
        <v>1510</v>
      </c>
    </row>
    <row r="37" spans="1:20" ht="15.75" customHeight="1" thickBot="1" x14ac:dyDescent="0.35">
      <c r="A37" s="21"/>
      <c r="B37" s="246"/>
      <c r="C37" s="232"/>
      <c r="D37" s="232"/>
      <c r="E37" s="233"/>
      <c r="F37" s="232"/>
      <c r="G37" s="232"/>
      <c r="H37" s="232"/>
      <c r="I37" s="233"/>
      <c r="J37" s="232"/>
      <c r="K37" s="232"/>
      <c r="L37" s="232"/>
      <c r="M37" s="233"/>
      <c r="N37" s="232"/>
      <c r="O37" s="232"/>
      <c r="P37" s="232"/>
      <c r="Q37" s="233"/>
      <c r="R37" s="75"/>
    </row>
    <row r="38" spans="1:20" ht="15.75" customHeight="1" x14ac:dyDescent="0.3">
      <c r="A38" s="247" t="s">
        <v>2417</v>
      </c>
      <c r="B38" s="18"/>
      <c r="C38" s="18"/>
      <c r="D38" s="18"/>
      <c r="E38" s="38" t="s">
        <v>852</v>
      </c>
      <c r="F38" s="18"/>
      <c r="G38" s="18"/>
      <c r="H38" s="18"/>
      <c r="I38" s="38" t="s">
        <v>852</v>
      </c>
      <c r="J38" s="18"/>
      <c r="K38" s="18"/>
      <c r="L38" s="18"/>
      <c r="M38" s="38" t="s">
        <v>852</v>
      </c>
      <c r="N38" s="18"/>
      <c r="O38" s="18"/>
      <c r="P38" s="18"/>
      <c r="Q38" s="38" t="s">
        <v>852</v>
      </c>
      <c r="R38" s="38" t="s">
        <v>852</v>
      </c>
    </row>
    <row r="39" spans="1:20" ht="15.75" customHeight="1" x14ac:dyDescent="0.3">
      <c r="A39" s="235" t="s">
        <v>2160</v>
      </c>
      <c r="B39" s="18" t="s">
        <v>852</v>
      </c>
      <c r="C39" s="248"/>
      <c r="D39" s="248"/>
      <c r="E39" s="38" t="s">
        <v>852</v>
      </c>
      <c r="F39" s="248"/>
      <c r="G39" s="248"/>
      <c r="H39" s="248"/>
      <c r="I39" s="38" t="s">
        <v>852</v>
      </c>
      <c r="J39" s="248"/>
      <c r="K39" s="248"/>
      <c r="L39" s="248"/>
      <c r="M39" s="38" t="s">
        <v>852</v>
      </c>
      <c r="N39" s="248"/>
      <c r="O39" s="248"/>
      <c r="P39" s="248"/>
      <c r="Q39" s="38" t="s">
        <v>852</v>
      </c>
      <c r="R39" s="38" t="s">
        <v>852</v>
      </c>
    </row>
    <row r="40" spans="1:20" ht="15.75" customHeight="1" x14ac:dyDescent="0.3">
      <c r="A40" s="235" t="s">
        <v>2161</v>
      </c>
      <c r="B40" s="18"/>
      <c r="C40" s="18"/>
      <c r="D40" s="18"/>
      <c r="E40" s="38" t="s">
        <v>852</v>
      </c>
      <c r="F40" s="18"/>
      <c r="G40" s="18"/>
      <c r="H40" s="18"/>
      <c r="I40" s="38" t="s">
        <v>852</v>
      </c>
      <c r="J40" s="18"/>
      <c r="K40" s="18"/>
      <c r="L40" s="18"/>
      <c r="M40" s="38" t="s">
        <v>852</v>
      </c>
      <c r="N40" s="18"/>
      <c r="O40" s="18"/>
      <c r="P40" s="18"/>
      <c r="Q40" s="38" t="s">
        <v>852</v>
      </c>
      <c r="R40" s="38" t="s">
        <v>852</v>
      </c>
    </row>
    <row r="41" spans="1:20" ht="15.75" customHeight="1" x14ac:dyDescent="0.3">
      <c r="A41" s="235" t="s">
        <v>2162</v>
      </c>
      <c r="B41" s="18"/>
      <c r="C41" s="18"/>
      <c r="D41" s="18"/>
      <c r="E41" s="38" t="s">
        <v>1598</v>
      </c>
      <c r="F41" s="18"/>
      <c r="G41" s="18"/>
      <c r="H41" s="18"/>
      <c r="I41" s="38" t="s">
        <v>1598</v>
      </c>
      <c r="J41" s="18"/>
      <c r="K41" s="18"/>
      <c r="L41" s="18"/>
      <c r="M41" s="38" t="s">
        <v>1598</v>
      </c>
      <c r="N41" s="18"/>
      <c r="O41" s="18"/>
      <c r="P41" s="18"/>
      <c r="Q41" s="38" t="s">
        <v>1598</v>
      </c>
      <c r="R41" s="38" t="s">
        <v>1598</v>
      </c>
    </row>
    <row r="42" spans="1:20" ht="15.75" customHeight="1" thickBot="1" x14ac:dyDescent="0.35">
      <c r="A42" s="235" t="s">
        <v>2164</v>
      </c>
      <c r="B42" s="248"/>
      <c r="C42" s="248"/>
      <c r="D42" s="248"/>
      <c r="E42" s="38" t="s">
        <v>852</v>
      </c>
      <c r="F42" s="248"/>
      <c r="G42" s="248"/>
      <c r="H42" s="248"/>
      <c r="I42" s="38" t="s">
        <v>852</v>
      </c>
      <c r="J42" s="248"/>
      <c r="K42" s="248"/>
      <c r="L42" s="248"/>
      <c r="M42" s="38" t="s">
        <v>852</v>
      </c>
      <c r="N42" s="248"/>
      <c r="O42" s="248"/>
      <c r="P42" s="248"/>
      <c r="Q42" s="38" t="s">
        <v>852</v>
      </c>
      <c r="R42" s="38" t="s">
        <v>852</v>
      </c>
    </row>
    <row r="43" spans="1:20" ht="15.75" customHeight="1" thickBot="1" x14ac:dyDescent="0.35">
      <c r="A43" s="43" t="s">
        <v>1218</v>
      </c>
      <c r="B43" s="42">
        <f>SUM(B38:B42)</f>
        <v>0</v>
      </c>
      <c r="C43" s="42">
        <f>SUM(C38:C42)</f>
        <v>0</v>
      </c>
      <c r="D43" s="42">
        <f>SUM(D38:D42)</f>
        <v>0</v>
      </c>
      <c r="E43" s="37">
        <f>SUM(B43:D43)</f>
        <v>0</v>
      </c>
      <c r="F43" s="42">
        <f>SUM(F38:F42)</f>
        <v>0</v>
      </c>
      <c r="G43" s="42">
        <f>SUM(G38:G42)</f>
        <v>0</v>
      </c>
      <c r="H43" s="42">
        <f>SUM(H38:H42)</f>
        <v>0</v>
      </c>
      <c r="I43" s="37">
        <f>SUM(F43:H43)</f>
        <v>0</v>
      </c>
      <c r="J43" s="42">
        <f>SUM(J38:J42)</f>
        <v>0</v>
      </c>
      <c r="K43" s="42">
        <f>SUM(K38:K42)</f>
        <v>0</v>
      </c>
      <c r="L43" s="42">
        <f>SUM(L38:L42)</f>
        <v>0</v>
      </c>
      <c r="M43" s="37">
        <f>SUM(J43:L43)</f>
        <v>0</v>
      </c>
      <c r="N43" s="42">
        <f>SUM(N38:N42)</f>
        <v>0</v>
      </c>
      <c r="O43" s="42">
        <f>SUM(O38:O42)</f>
        <v>0</v>
      </c>
      <c r="P43" s="42">
        <f>SUM(P38:P42)</f>
        <v>0</v>
      </c>
      <c r="Q43" s="37">
        <f>SUM(N43:P43)</f>
        <v>0</v>
      </c>
      <c r="R43" s="37">
        <f>+E43+I43+M43+Q43</f>
        <v>0</v>
      </c>
    </row>
    <row r="44" spans="1:20" ht="15.75" customHeight="1" x14ac:dyDescent="0.3">
      <c r="A44" s="235" t="s">
        <v>1172</v>
      </c>
      <c r="B44" s="248"/>
      <c r="C44" s="248"/>
      <c r="D44" s="248"/>
      <c r="E44" s="38" t="s">
        <v>852</v>
      </c>
      <c r="F44" s="248"/>
      <c r="G44" s="248"/>
      <c r="H44" s="248"/>
      <c r="I44" s="38" t="s">
        <v>852</v>
      </c>
      <c r="J44" s="248"/>
      <c r="K44" s="248"/>
      <c r="L44" s="248"/>
      <c r="M44" s="38" t="s">
        <v>852</v>
      </c>
      <c r="N44" s="248"/>
      <c r="O44" s="248"/>
      <c r="P44" s="248"/>
      <c r="Q44" s="38" t="s">
        <v>852</v>
      </c>
      <c r="R44" s="39" t="s">
        <v>852</v>
      </c>
    </row>
    <row r="45" spans="1:20" ht="15.75" customHeight="1" x14ac:dyDescent="0.3">
      <c r="A45" s="235" t="s">
        <v>1658</v>
      </c>
      <c r="B45" s="248"/>
      <c r="C45" s="248"/>
      <c r="D45" s="248"/>
      <c r="E45" s="38"/>
      <c r="F45" s="248"/>
      <c r="G45" s="248"/>
      <c r="H45" s="248"/>
      <c r="I45" s="38"/>
      <c r="J45" s="248"/>
      <c r="K45" s="248"/>
      <c r="L45" s="248"/>
      <c r="M45" s="38"/>
      <c r="N45" s="248"/>
      <c r="O45" s="248"/>
      <c r="P45" s="248"/>
      <c r="Q45" s="38"/>
      <c r="R45" s="38"/>
    </row>
    <row r="46" spans="1:20" ht="15.75" customHeight="1" x14ac:dyDescent="0.3">
      <c r="A46" s="235" t="s">
        <v>2409</v>
      </c>
      <c r="B46" s="248"/>
      <c r="C46" s="248"/>
      <c r="D46" s="248"/>
      <c r="E46" s="38" t="s">
        <v>852</v>
      </c>
      <c r="F46" s="248"/>
      <c r="G46" s="248"/>
      <c r="H46" s="248"/>
      <c r="I46" s="38" t="s">
        <v>852</v>
      </c>
      <c r="J46" s="248"/>
      <c r="K46" s="248"/>
      <c r="L46" s="248"/>
      <c r="M46" s="38" t="s">
        <v>852</v>
      </c>
      <c r="N46" s="248"/>
      <c r="O46" s="248"/>
      <c r="P46" s="248"/>
      <c r="Q46" s="38" t="s">
        <v>852</v>
      </c>
      <c r="R46" s="38" t="s">
        <v>852</v>
      </c>
    </row>
    <row r="47" spans="1:20" ht="15.75" customHeight="1" thickBot="1" x14ac:dyDescent="0.35">
      <c r="A47" s="235" t="s">
        <v>2165</v>
      </c>
      <c r="B47" s="248"/>
      <c r="C47" s="248"/>
      <c r="D47" s="248"/>
      <c r="E47" s="38" t="s">
        <v>852</v>
      </c>
      <c r="F47" s="248"/>
      <c r="G47" s="248"/>
      <c r="H47" s="248"/>
      <c r="I47" s="38" t="s">
        <v>852</v>
      </c>
      <c r="J47" s="248"/>
      <c r="K47" s="248"/>
      <c r="L47" s="248"/>
      <c r="M47" s="38" t="s">
        <v>852</v>
      </c>
      <c r="N47" s="248"/>
      <c r="O47" s="248"/>
      <c r="P47" s="248"/>
      <c r="Q47" s="38" t="s">
        <v>852</v>
      </c>
      <c r="R47" s="38" t="s">
        <v>852</v>
      </c>
    </row>
    <row r="48" spans="1:20" ht="15.75" customHeight="1" thickBot="1" x14ac:dyDescent="0.35">
      <c r="A48" s="43" t="s">
        <v>1219</v>
      </c>
      <c r="B48" s="42">
        <f>SUM(B44:B47)</f>
        <v>0</v>
      </c>
      <c r="C48" s="42">
        <f>SUM(C44:C47)</f>
        <v>0</v>
      </c>
      <c r="D48" s="42">
        <f>SUM(D44:D47)</f>
        <v>0</v>
      </c>
      <c r="E48" s="37">
        <f>SUM(B48:D48)</f>
        <v>0</v>
      </c>
      <c r="F48" s="42">
        <f>SUM(F44:F47)</f>
        <v>0</v>
      </c>
      <c r="G48" s="42">
        <f>SUM(G44:G47)</f>
        <v>0</v>
      </c>
      <c r="H48" s="42">
        <f>SUM(H44:H47)</f>
        <v>0</v>
      </c>
      <c r="I48" s="37">
        <f>SUM(F48:H48)</f>
        <v>0</v>
      </c>
      <c r="J48" s="42">
        <f>SUM(J44:J47)</f>
        <v>0</v>
      </c>
      <c r="K48" s="42">
        <f>SUM(K44:K47)</f>
        <v>0</v>
      </c>
      <c r="L48" s="42">
        <f>SUM(L44:L47)</f>
        <v>0</v>
      </c>
      <c r="M48" s="37">
        <f>SUM(J48:L48)</f>
        <v>0</v>
      </c>
      <c r="N48" s="42">
        <f>SUM(N44:N47)</f>
        <v>0</v>
      </c>
      <c r="O48" s="42">
        <f>SUM(O44:O47)</f>
        <v>0</v>
      </c>
      <c r="P48" s="42">
        <f>SUM(P44:P47)</f>
        <v>0</v>
      </c>
      <c r="Q48" s="37">
        <f>SUM(N48:P48)</f>
        <v>0</v>
      </c>
      <c r="R48" s="37">
        <f>+E48+I48+M48+Q48</f>
        <v>0</v>
      </c>
    </row>
    <row r="49" spans="1:18" ht="15.75" customHeight="1" x14ac:dyDescent="0.3">
      <c r="A49" s="235" t="s">
        <v>2166</v>
      </c>
      <c r="B49" s="248"/>
      <c r="C49" s="248"/>
      <c r="D49" s="248"/>
      <c r="E49" s="38" t="s">
        <v>852</v>
      </c>
      <c r="F49" s="248"/>
      <c r="G49" s="248"/>
      <c r="H49" s="248"/>
      <c r="I49" s="38" t="s">
        <v>852</v>
      </c>
      <c r="J49" s="248"/>
      <c r="K49" s="248"/>
      <c r="L49" s="248"/>
      <c r="M49" s="38" t="s">
        <v>852</v>
      </c>
      <c r="N49" s="248"/>
      <c r="O49" s="248"/>
      <c r="P49" s="248"/>
      <c r="Q49" s="38" t="s">
        <v>852</v>
      </c>
      <c r="R49" s="38" t="s">
        <v>852</v>
      </c>
    </row>
    <row r="50" spans="1:18" ht="15.75" customHeight="1" x14ac:dyDescent="0.3">
      <c r="A50" s="235" t="s">
        <v>1245</v>
      </c>
      <c r="B50" s="248"/>
      <c r="C50" s="248"/>
      <c r="D50" s="248"/>
      <c r="E50" s="38" t="s">
        <v>852</v>
      </c>
      <c r="F50" s="248"/>
      <c r="G50" s="248"/>
      <c r="H50" s="248"/>
      <c r="I50" s="38" t="s">
        <v>852</v>
      </c>
      <c r="J50" s="248"/>
      <c r="K50" s="248"/>
      <c r="L50" s="248"/>
      <c r="M50" s="38" t="s">
        <v>852</v>
      </c>
      <c r="N50" s="248"/>
      <c r="O50" s="248"/>
      <c r="P50" s="248"/>
      <c r="Q50" s="38" t="s">
        <v>852</v>
      </c>
      <c r="R50" s="38" t="s">
        <v>852</v>
      </c>
    </row>
    <row r="51" spans="1:18" ht="15.75" customHeight="1" thickBot="1" x14ac:dyDescent="0.35">
      <c r="A51" s="235" t="s">
        <v>1711</v>
      </c>
      <c r="B51" s="248"/>
      <c r="C51" s="248"/>
      <c r="D51" s="248"/>
      <c r="E51" s="38"/>
      <c r="F51" s="248"/>
      <c r="G51" s="248"/>
      <c r="H51" s="248"/>
      <c r="I51" s="38"/>
      <c r="J51" s="248"/>
      <c r="K51" s="248"/>
      <c r="L51" s="248"/>
      <c r="M51" s="38"/>
      <c r="N51" s="248"/>
      <c r="O51" s="248"/>
      <c r="P51" s="248"/>
      <c r="Q51" s="38"/>
      <c r="R51" s="38"/>
    </row>
    <row r="52" spans="1:18" ht="15.75" customHeight="1" thickBot="1" x14ac:dyDescent="0.35">
      <c r="A52" s="43" t="s">
        <v>1220</v>
      </c>
      <c r="B52" s="42">
        <f>SUM(B49:B51)</f>
        <v>0</v>
      </c>
      <c r="C52" s="42">
        <f>SUM(C49:C51)</f>
        <v>0</v>
      </c>
      <c r="D52" s="42">
        <f>SUM(D49:D51)</f>
        <v>0</v>
      </c>
      <c r="E52" s="37">
        <f>SUM(B52:D52)</f>
        <v>0</v>
      </c>
      <c r="F52" s="42">
        <f>SUM(F49:F51)</f>
        <v>0</v>
      </c>
      <c r="G52" s="42">
        <f>SUM(G49:G51)</f>
        <v>0</v>
      </c>
      <c r="H52" s="42">
        <f>SUM(H49:H51)</f>
        <v>0</v>
      </c>
      <c r="I52" s="37">
        <f>SUM(F52:H52)</f>
        <v>0</v>
      </c>
      <c r="J52" s="42">
        <f>SUM(J49:J51)</f>
        <v>0</v>
      </c>
      <c r="K52" s="42">
        <f>SUM(K49:K51)</f>
        <v>0</v>
      </c>
      <c r="L52" s="42">
        <f>SUM(L49:L51)</f>
        <v>0</v>
      </c>
      <c r="M52" s="37">
        <f>SUM(J52:L52)</f>
        <v>0</v>
      </c>
      <c r="N52" s="42">
        <f>SUM(N49:N51)</f>
        <v>0</v>
      </c>
      <c r="O52" s="42">
        <f>SUM(O49:O51)</f>
        <v>0</v>
      </c>
      <c r="P52" s="42">
        <f>SUM(P49:P51)</f>
        <v>0</v>
      </c>
      <c r="Q52" s="37">
        <f>SUM(N52:P52)</f>
        <v>0</v>
      </c>
      <c r="R52" s="37">
        <f>+E52+I52+M52+Q52</f>
        <v>0</v>
      </c>
    </row>
    <row r="53" spans="1:18" ht="15.75" customHeight="1" x14ac:dyDescent="0.3">
      <c r="A53" s="235" t="s">
        <v>1712</v>
      </c>
      <c r="B53" s="248"/>
      <c r="C53" s="248"/>
      <c r="D53" s="248"/>
      <c r="E53" s="38" t="s">
        <v>852</v>
      </c>
      <c r="F53" s="248"/>
      <c r="G53" s="248"/>
      <c r="H53" s="248"/>
      <c r="I53" s="38" t="s">
        <v>852</v>
      </c>
      <c r="J53" s="248"/>
      <c r="K53" s="248"/>
      <c r="L53" s="248"/>
      <c r="M53" s="38" t="s">
        <v>852</v>
      </c>
      <c r="N53" s="248"/>
      <c r="O53" s="248"/>
      <c r="P53" s="248"/>
      <c r="Q53" s="38" t="s">
        <v>852</v>
      </c>
      <c r="R53" s="38" t="s">
        <v>852</v>
      </c>
    </row>
    <row r="54" spans="1:18" ht="15.75" customHeight="1" x14ac:dyDescent="0.3">
      <c r="A54" s="235" t="s">
        <v>556</v>
      </c>
      <c r="B54" s="248"/>
      <c r="C54" s="248"/>
      <c r="D54" s="248"/>
      <c r="E54" s="38" t="s">
        <v>852</v>
      </c>
      <c r="F54" s="248"/>
      <c r="G54" s="248"/>
      <c r="H54" s="248"/>
      <c r="I54" s="38" t="s">
        <v>852</v>
      </c>
      <c r="J54" s="248"/>
      <c r="K54" s="248"/>
      <c r="L54" s="248"/>
      <c r="M54" s="38" t="s">
        <v>852</v>
      </c>
      <c r="N54" s="248"/>
      <c r="O54" s="248"/>
      <c r="P54" s="248"/>
      <c r="Q54" s="38" t="s">
        <v>852</v>
      </c>
      <c r="R54" s="38" t="s">
        <v>852</v>
      </c>
    </row>
    <row r="55" spans="1:18" ht="15.75" customHeight="1" x14ac:dyDescent="0.3">
      <c r="A55" s="249" t="s">
        <v>416</v>
      </c>
      <c r="B55" s="172">
        <v>0</v>
      </c>
      <c r="C55" s="172">
        <v>0</v>
      </c>
      <c r="D55" s="172">
        <v>0</v>
      </c>
      <c r="E55" s="38">
        <f>SUM(B55:D55)</f>
        <v>0</v>
      </c>
      <c r="F55" s="172">
        <v>0</v>
      </c>
      <c r="G55" s="172">
        <v>0</v>
      </c>
      <c r="H55" s="172">
        <v>0</v>
      </c>
      <c r="I55" s="38">
        <f>SUM(F55:H55)</f>
        <v>0</v>
      </c>
      <c r="J55" s="172">
        <v>0</v>
      </c>
      <c r="K55" s="172">
        <v>0</v>
      </c>
      <c r="L55" s="172">
        <v>0</v>
      </c>
      <c r="M55" s="38">
        <f>SUM(J55:L55)</f>
        <v>0</v>
      </c>
      <c r="N55" s="172">
        <v>0</v>
      </c>
      <c r="O55" s="172">
        <v>0</v>
      </c>
      <c r="P55" s="172">
        <v>0</v>
      </c>
      <c r="Q55" s="38">
        <f>SUM(N55:P55)</f>
        <v>0</v>
      </c>
      <c r="R55" s="38">
        <f>+E55+I55+M55+Q55</f>
        <v>0</v>
      </c>
    </row>
    <row r="56" spans="1:18" ht="15.75" customHeight="1" x14ac:dyDescent="0.3">
      <c r="A56" s="235" t="s">
        <v>557</v>
      </c>
      <c r="B56" s="248"/>
      <c r="C56" s="248"/>
      <c r="D56" s="248"/>
      <c r="E56" s="38" t="s">
        <v>852</v>
      </c>
      <c r="F56" s="248"/>
      <c r="G56" s="248"/>
      <c r="H56" s="248"/>
      <c r="I56" s="38" t="s">
        <v>852</v>
      </c>
      <c r="J56" s="248"/>
      <c r="K56" s="248"/>
      <c r="L56" s="248"/>
      <c r="M56" s="38" t="s">
        <v>852</v>
      </c>
      <c r="N56" s="248"/>
      <c r="O56" s="248"/>
      <c r="P56" s="248"/>
      <c r="Q56" s="38" t="s">
        <v>852</v>
      </c>
      <c r="R56" s="38" t="s">
        <v>852</v>
      </c>
    </row>
    <row r="57" spans="1:18" ht="15.75" customHeight="1" x14ac:dyDescent="0.3">
      <c r="A57" s="249" t="s">
        <v>1840</v>
      </c>
      <c r="B57" s="172">
        <v>0</v>
      </c>
      <c r="C57" s="172">
        <v>0</v>
      </c>
      <c r="D57" s="172">
        <v>0</v>
      </c>
      <c r="E57" s="38">
        <f>SUM(B57:D57)</f>
        <v>0</v>
      </c>
      <c r="F57" s="172">
        <v>0</v>
      </c>
      <c r="G57" s="172">
        <v>0</v>
      </c>
      <c r="H57" s="172">
        <v>0</v>
      </c>
      <c r="I57" s="38">
        <f>SUM(F57:H57)</f>
        <v>0</v>
      </c>
      <c r="J57" s="172">
        <v>0</v>
      </c>
      <c r="K57" s="172">
        <v>0</v>
      </c>
      <c r="L57" s="172">
        <v>0</v>
      </c>
      <c r="M57" s="38">
        <f>SUM(J57:L57)</f>
        <v>0</v>
      </c>
      <c r="N57" s="172">
        <v>0</v>
      </c>
      <c r="O57" s="172">
        <v>0</v>
      </c>
      <c r="P57" s="172">
        <v>0</v>
      </c>
      <c r="Q57" s="38">
        <f>SUM(N57:P57)</f>
        <v>0</v>
      </c>
      <c r="R57" s="38">
        <f>+E57+I57+M57+Q57</f>
        <v>0</v>
      </c>
    </row>
    <row r="58" spans="1:18" ht="15.75" customHeight="1" x14ac:dyDescent="0.3">
      <c r="A58" s="235" t="s">
        <v>558</v>
      </c>
      <c r="B58" s="248"/>
      <c r="C58" s="248"/>
      <c r="D58" s="248"/>
      <c r="E58" s="38" t="s">
        <v>852</v>
      </c>
      <c r="F58" s="248"/>
      <c r="G58" s="248"/>
      <c r="H58" s="248"/>
      <c r="I58" s="38" t="s">
        <v>852</v>
      </c>
      <c r="J58" s="248"/>
      <c r="K58" s="248"/>
      <c r="L58" s="248"/>
      <c r="M58" s="38" t="s">
        <v>852</v>
      </c>
      <c r="N58" s="248"/>
      <c r="O58" s="248"/>
      <c r="P58" s="248"/>
      <c r="Q58" s="38" t="s">
        <v>852</v>
      </c>
      <c r="R58" s="38" t="s">
        <v>852</v>
      </c>
    </row>
    <row r="59" spans="1:18" ht="15.75" customHeight="1" thickBot="1" x14ac:dyDescent="0.35">
      <c r="A59" s="235" t="s">
        <v>559</v>
      </c>
      <c r="B59" s="248"/>
      <c r="C59" s="248"/>
      <c r="D59" s="248"/>
      <c r="E59" s="38" t="s">
        <v>852</v>
      </c>
      <c r="F59" s="248"/>
      <c r="G59" s="248"/>
      <c r="H59" s="248"/>
      <c r="I59" s="38" t="s">
        <v>852</v>
      </c>
      <c r="J59" s="248"/>
      <c r="K59" s="248"/>
      <c r="L59" s="248"/>
      <c r="M59" s="38" t="s">
        <v>852</v>
      </c>
      <c r="N59" s="248"/>
      <c r="O59" s="248"/>
      <c r="P59" s="248"/>
      <c r="Q59" s="38" t="s">
        <v>852</v>
      </c>
      <c r="R59" s="38" t="s">
        <v>852</v>
      </c>
    </row>
    <row r="60" spans="1:18" ht="15.75" customHeight="1" thickBot="1" x14ac:dyDescent="0.35">
      <c r="A60" s="43" t="s">
        <v>1019</v>
      </c>
      <c r="B60" s="42">
        <f>SUM(B58:B59)</f>
        <v>0</v>
      </c>
      <c r="C60" s="42">
        <f>SUM(C58:C59)</f>
        <v>0</v>
      </c>
      <c r="D60" s="42">
        <f>SUM(D58:D59)</f>
        <v>0</v>
      </c>
      <c r="E60" s="39">
        <f>SUM(B60:D60)</f>
        <v>0</v>
      </c>
      <c r="F60" s="42">
        <f>SUM(F58:F59)</f>
        <v>0</v>
      </c>
      <c r="G60" s="42">
        <f>SUM(G58:G59)</f>
        <v>0</v>
      </c>
      <c r="H60" s="42">
        <f>SUM(H58:H59)</f>
        <v>0</v>
      </c>
      <c r="I60" s="39">
        <f>SUM(F60:H60)</f>
        <v>0</v>
      </c>
      <c r="J60" s="42">
        <f>SUM(J58:J59)</f>
        <v>0</v>
      </c>
      <c r="K60" s="42">
        <f>SUM(K58:K59)</f>
        <v>0</v>
      </c>
      <c r="L60" s="42">
        <f>SUM(L58:L59)</f>
        <v>0</v>
      </c>
      <c r="M60" s="39">
        <f>SUM(J60:L60)</f>
        <v>0</v>
      </c>
      <c r="N60" s="42">
        <f>SUM(N58:N59)</f>
        <v>0</v>
      </c>
      <c r="O60" s="42">
        <f>SUM(O58:O59)</f>
        <v>0</v>
      </c>
      <c r="P60" s="42">
        <f>SUM(P58:P59)</f>
        <v>0</v>
      </c>
      <c r="Q60" s="39">
        <f>SUM(N60:P60)</f>
        <v>0</v>
      </c>
      <c r="R60" s="37">
        <f>+E60+I60+M60+Q60</f>
        <v>0</v>
      </c>
    </row>
    <row r="61" spans="1:18" ht="15.75" customHeight="1" thickBot="1" x14ac:dyDescent="0.35">
      <c r="A61" s="43" t="s">
        <v>1221</v>
      </c>
      <c r="B61" s="42">
        <f>SUM(B53:B59)</f>
        <v>0</v>
      </c>
      <c r="C61" s="42">
        <f>SUM(C53:C59)</f>
        <v>0</v>
      </c>
      <c r="D61" s="42">
        <f>SUM(D53:D59)</f>
        <v>0</v>
      </c>
      <c r="E61" s="39">
        <f>SUM(B61:D61)</f>
        <v>0</v>
      </c>
      <c r="F61" s="42">
        <f>SUM(F53:F59)</f>
        <v>0</v>
      </c>
      <c r="G61" s="42">
        <f>SUM(G53:G59)</f>
        <v>0</v>
      </c>
      <c r="H61" s="42">
        <f>SUM(H53:H59)</f>
        <v>0</v>
      </c>
      <c r="I61" s="39">
        <f>SUM(F61:H61)</f>
        <v>0</v>
      </c>
      <c r="J61" s="42">
        <f>SUM(J53:J59)</f>
        <v>0</v>
      </c>
      <c r="K61" s="42">
        <f>SUM(K53:K59)</f>
        <v>0</v>
      </c>
      <c r="L61" s="42">
        <f>SUM(L53:L59)</f>
        <v>0</v>
      </c>
      <c r="M61" s="39">
        <f>SUM(J61:L61)</f>
        <v>0</v>
      </c>
      <c r="N61" s="42">
        <f>SUM(N53:N59)</f>
        <v>0</v>
      </c>
      <c r="O61" s="42">
        <f>SUM(O53:O59)</f>
        <v>0</v>
      </c>
      <c r="P61" s="42">
        <f>SUM(P53:P59)</f>
        <v>0</v>
      </c>
      <c r="Q61" s="39">
        <f>SUM(N61:P61)</f>
        <v>0</v>
      </c>
      <c r="R61" s="37">
        <f>+E61+I61+M61+Q61</f>
        <v>0</v>
      </c>
    </row>
    <row r="62" spans="1:18" ht="15.75" customHeight="1" thickBot="1" x14ac:dyDescent="0.35">
      <c r="A62" s="43" t="s">
        <v>1222</v>
      </c>
      <c r="B62" s="42">
        <f>+B43+B48+B52+B61</f>
        <v>0</v>
      </c>
      <c r="C62" s="42">
        <f>+C43+C48+C52+C61</f>
        <v>0</v>
      </c>
      <c r="D62" s="42">
        <f>+D43+D48+D52+D61</f>
        <v>0</v>
      </c>
      <c r="E62" s="37">
        <f>SUM(B62:D62)</f>
        <v>0</v>
      </c>
      <c r="F62" s="42">
        <f>+F43+F48+F52+F61</f>
        <v>0</v>
      </c>
      <c r="G62" s="42">
        <f>+G43+G48+G52+G61</f>
        <v>0</v>
      </c>
      <c r="H62" s="42">
        <f>+H43+H48+H52+H61</f>
        <v>0</v>
      </c>
      <c r="I62" s="37">
        <f>SUM(F62:H62)</f>
        <v>0</v>
      </c>
      <c r="J62" s="42">
        <f>+J43+J48+J52+J61</f>
        <v>0</v>
      </c>
      <c r="K62" s="42">
        <f>+K43+K48+K52+K61</f>
        <v>0</v>
      </c>
      <c r="L62" s="42">
        <f>+L43+L48+L52+L61</f>
        <v>0</v>
      </c>
      <c r="M62" s="37">
        <f>SUM(J62:L62)</f>
        <v>0</v>
      </c>
      <c r="N62" s="42">
        <f>+N43+N48+N52+N61</f>
        <v>0</v>
      </c>
      <c r="O62" s="42">
        <f>+O43+O48+O52+O61</f>
        <v>0</v>
      </c>
      <c r="P62" s="42">
        <f>+P43+P48+P52+P61</f>
        <v>0</v>
      </c>
      <c r="Q62" s="37">
        <f>SUM(N62:P62)</f>
        <v>0</v>
      </c>
      <c r="R62" s="37">
        <f>+E62+I62+M62+Q62</f>
        <v>0</v>
      </c>
    </row>
    <row r="63" spans="1:18" ht="15.75" customHeight="1" thickBot="1" x14ac:dyDescent="0.35">
      <c r="A63" s="250" t="s">
        <v>853</v>
      </c>
      <c r="B63" s="251">
        <v>96</v>
      </c>
      <c r="C63" s="251">
        <v>145</v>
      </c>
      <c r="D63" s="251">
        <v>261</v>
      </c>
      <c r="E63" s="21">
        <f>SUM(B63:D63)</f>
        <v>502</v>
      </c>
      <c r="F63" s="251">
        <v>350</v>
      </c>
      <c r="G63" s="251">
        <v>402</v>
      </c>
      <c r="H63" s="251">
        <v>396</v>
      </c>
      <c r="I63" s="21">
        <f>SUM(F63:H63)</f>
        <v>1148</v>
      </c>
      <c r="J63" s="251">
        <v>394</v>
      </c>
      <c r="K63" s="251">
        <v>318</v>
      </c>
      <c r="L63" s="251">
        <v>301</v>
      </c>
      <c r="M63" s="21">
        <f>SUM(J63:L63)</f>
        <v>1013</v>
      </c>
      <c r="N63" s="251">
        <v>272</v>
      </c>
      <c r="O63" s="251">
        <v>226</v>
      </c>
      <c r="P63" s="251">
        <v>179</v>
      </c>
      <c r="Q63" s="21">
        <f>SUM(N63:P63)</f>
        <v>677</v>
      </c>
      <c r="R63" s="21">
        <f>+E63+I63+M63+Q63</f>
        <v>3340</v>
      </c>
    </row>
    <row r="64" spans="1:18" ht="15.75" customHeight="1" thickBot="1" x14ac:dyDescent="0.35">
      <c r="A64" s="22"/>
      <c r="B64" s="242"/>
      <c r="C64" s="242"/>
      <c r="D64" s="242"/>
      <c r="E64" s="16"/>
      <c r="F64" s="242"/>
      <c r="G64" s="242"/>
      <c r="H64" s="242"/>
      <c r="I64" s="16"/>
      <c r="J64" s="242"/>
      <c r="K64" s="242"/>
      <c r="L64" s="242"/>
      <c r="M64" s="16"/>
      <c r="N64" s="242"/>
      <c r="O64" s="242"/>
      <c r="P64" s="242"/>
      <c r="Q64" s="16"/>
      <c r="R64" s="22"/>
    </row>
    <row r="65" spans="1:18" ht="15.75" customHeight="1" x14ac:dyDescent="0.3">
      <c r="A65" s="234" t="s">
        <v>2011</v>
      </c>
      <c r="B65" s="172">
        <f>+B62+B63</f>
        <v>96</v>
      </c>
      <c r="C65" s="172">
        <f>+C62+C63</f>
        <v>145</v>
      </c>
      <c r="D65" s="172">
        <f>+D62+D63</f>
        <v>261</v>
      </c>
      <c r="E65" s="14">
        <f>SUM(B65:D65)</f>
        <v>502</v>
      </c>
      <c r="F65" s="172">
        <f>+F62+F63</f>
        <v>350</v>
      </c>
      <c r="G65" s="172">
        <f>+G62+G63</f>
        <v>402</v>
      </c>
      <c r="H65" s="172">
        <f>+H62+H63</f>
        <v>396</v>
      </c>
      <c r="I65" s="14">
        <f>SUM(F65:H65)</f>
        <v>1148</v>
      </c>
      <c r="J65" s="172">
        <f>+J62+J63</f>
        <v>394</v>
      </c>
      <c r="K65" s="172">
        <f>+K62+K63</f>
        <v>318</v>
      </c>
      <c r="L65" s="172">
        <f>+L62+L63</f>
        <v>301</v>
      </c>
      <c r="M65" s="14">
        <f>SUM(J65:L65)</f>
        <v>1013</v>
      </c>
      <c r="N65" s="172">
        <f>+N62+N63</f>
        <v>272</v>
      </c>
      <c r="O65" s="172">
        <f>+O62+O63</f>
        <v>226</v>
      </c>
      <c r="P65" s="172">
        <f>+P62+P63</f>
        <v>179</v>
      </c>
      <c r="Q65" s="28">
        <f>SUM(N65:P65)</f>
        <v>677</v>
      </c>
      <c r="R65" s="15">
        <f>+E65+I65+M65+Q65</f>
        <v>3340</v>
      </c>
    </row>
    <row r="66" spans="1:18" ht="15.75" customHeight="1" x14ac:dyDescent="0.3">
      <c r="A66" s="234" t="s">
        <v>1897</v>
      </c>
      <c r="B66" s="172">
        <f>(B65/31)/1.983</f>
        <v>1.5616612171197111</v>
      </c>
      <c r="C66" s="172">
        <f>(C65/28)/1.983</f>
        <v>2.6114833225271954</v>
      </c>
      <c r="D66" s="172">
        <f>(D65/31)/1.983</f>
        <v>4.2457664340442145</v>
      </c>
      <c r="E66" s="15"/>
      <c r="F66" s="172">
        <f>(F65/30)/1.983</f>
        <v>5.8833417381072444</v>
      </c>
      <c r="G66" s="172">
        <f>(G65/31)/1.983</f>
        <v>6.5394563466887892</v>
      </c>
      <c r="H66" s="172">
        <f>(H65/30)/1.983</f>
        <v>6.6565809379727678</v>
      </c>
      <c r="I66" s="15"/>
      <c r="J66" s="172">
        <f>(J65/31)/1.983</f>
        <v>6.4093179119288139</v>
      </c>
      <c r="K66" s="172">
        <f>(K65/31)/1.983</f>
        <v>5.1730027817090427</v>
      </c>
      <c r="L66" s="172">
        <f>(L65/30)/1.983</f>
        <v>5.0596738947722306</v>
      </c>
      <c r="M66" s="15"/>
      <c r="N66" s="172">
        <f>(N65/31)/1.983</f>
        <v>4.4247067818391805</v>
      </c>
      <c r="O66" s="172">
        <f>(O65/30)/1.983</f>
        <v>3.7989578080349635</v>
      </c>
      <c r="P66" s="172">
        <f>(P65/31)/1.983</f>
        <v>2.9118474777544612</v>
      </c>
      <c r="Q66" s="29"/>
      <c r="R66" s="20"/>
    </row>
    <row r="67" spans="1:18" ht="15.75" customHeight="1" x14ac:dyDescent="0.3">
      <c r="A67" s="234" t="s">
        <v>1969</v>
      </c>
      <c r="B67" s="172">
        <f>B65+B133</f>
        <v>164543</v>
      </c>
      <c r="C67" s="172">
        <f>C65+C133</f>
        <v>157578</v>
      </c>
      <c r="D67" s="172">
        <f>D65+D133</f>
        <v>168147</v>
      </c>
      <c r="E67" s="15">
        <f>SUM(B67:D67)</f>
        <v>490268</v>
      </c>
      <c r="F67" s="172">
        <f>F65+F133</f>
        <v>165593</v>
      </c>
      <c r="G67" s="172">
        <f>G65+G133</f>
        <v>171563</v>
      </c>
      <c r="H67" s="172">
        <f>H65+H133</f>
        <v>128085</v>
      </c>
      <c r="I67" s="15">
        <f>SUM(F67:H67)</f>
        <v>465241</v>
      </c>
      <c r="J67" s="172">
        <f>J65+J133</f>
        <v>80513</v>
      </c>
      <c r="K67" s="172">
        <f>K65+K133</f>
        <v>68245</v>
      </c>
      <c r="L67" s="172">
        <f>L65+L133</f>
        <v>94094</v>
      </c>
      <c r="M67" s="15">
        <f>SUM(J67:L67)</f>
        <v>242852</v>
      </c>
      <c r="N67" s="172">
        <f>N65+N133</f>
        <v>135110</v>
      </c>
      <c r="O67" s="172">
        <f>O65+O133</f>
        <v>167920</v>
      </c>
      <c r="P67" s="172">
        <f>P65+P133</f>
        <v>66431</v>
      </c>
      <c r="Q67" s="29">
        <f>SUM(N67:P67)</f>
        <v>369461</v>
      </c>
      <c r="R67" s="15">
        <f>+E67+I67+M67+Q67</f>
        <v>1567822</v>
      </c>
    </row>
    <row r="68" spans="1:18" ht="15.75" customHeight="1" thickBot="1" x14ac:dyDescent="0.35">
      <c r="A68" s="237" t="s">
        <v>1970</v>
      </c>
      <c r="B68" s="238">
        <f>(B67/31)/1.983</f>
        <v>2676.6710588388396</v>
      </c>
      <c r="C68" s="238">
        <f>(C67/28)/1.983</f>
        <v>2838.0159930840719</v>
      </c>
      <c r="D68" s="238">
        <f>(D67/31)/1.983</f>
        <v>2735.2984236982088</v>
      </c>
      <c r="E68" s="16"/>
      <c r="F68" s="238">
        <f>(F67/30)/1.983</f>
        <v>2783.5434526811227</v>
      </c>
      <c r="G68" s="238">
        <f>(G67/31)/1.983</f>
        <v>2790.8675353407184</v>
      </c>
      <c r="H68" s="238">
        <f>(H67/30)/1.983</f>
        <v>2153.0509329299039</v>
      </c>
      <c r="I68" s="16"/>
      <c r="J68" s="238">
        <f>(J67/31)/1.983</f>
        <v>1309.7294747287426</v>
      </c>
      <c r="K68" s="238">
        <f>(K67/31)/1.983</f>
        <v>1110.1621850243196</v>
      </c>
      <c r="L68" s="238">
        <f>(L67/30)/1.983</f>
        <v>1581.6775928727516</v>
      </c>
      <c r="M68" s="16"/>
      <c r="N68" s="238">
        <f>(N67/31)/1.983</f>
        <v>2197.8754900525432</v>
      </c>
      <c r="O68" s="238">
        <f>(O67/30)/1.983</f>
        <v>2822.6592704656241</v>
      </c>
      <c r="P68" s="238">
        <f>(P67/31)/1.983</f>
        <v>1080.653294942495</v>
      </c>
      <c r="Q68" s="30"/>
      <c r="R68" s="23" t="s">
        <v>852</v>
      </c>
    </row>
    <row r="69" spans="1:18" ht="15.75" customHeight="1" x14ac:dyDescent="0.3">
      <c r="A69" s="17"/>
      <c r="B69" s="172"/>
      <c r="C69" s="172"/>
      <c r="D69" s="172"/>
      <c r="E69" s="172"/>
      <c r="F69" s="172"/>
      <c r="G69" s="172"/>
      <c r="H69" s="172"/>
      <c r="I69" s="172"/>
      <c r="J69" s="172"/>
      <c r="K69" s="172"/>
      <c r="L69" s="172"/>
      <c r="M69" s="172"/>
      <c r="N69" s="172"/>
      <c r="O69" s="172"/>
      <c r="P69" s="172"/>
      <c r="Q69" s="172"/>
      <c r="R69" s="17"/>
    </row>
    <row r="70" spans="1:18" ht="15.75" customHeight="1" thickBot="1" x14ac:dyDescent="0.35">
      <c r="A70" s="17"/>
      <c r="B70" s="172"/>
      <c r="C70" s="172"/>
      <c r="D70" s="172"/>
      <c r="E70" s="172"/>
      <c r="F70" s="172"/>
      <c r="G70" s="172"/>
      <c r="H70" s="172"/>
      <c r="I70" s="172"/>
      <c r="J70" s="172"/>
      <c r="K70" s="172"/>
      <c r="L70" s="172"/>
      <c r="M70" s="172"/>
      <c r="N70" s="172"/>
      <c r="O70" s="172"/>
      <c r="P70" s="172"/>
      <c r="Q70" s="172"/>
      <c r="R70" s="17"/>
    </row>
    <row r="71" spans="1:18" ht="15.75" customHeight="1" thickBot="1" x14ac:dyDescent="0.35">
      <c r="A71" s="240" t="s">
        <v>603</v>
      </c>
      <c r="B71" s="4" t="s">
        <v>2090</v>
      </c>
      <c r="C71" s="5" t="s">
        <v>2091</v>
      </c>
      <c r="D71" s="5" t="s">
        <v>2234</v>
      </c>
      <c r="E71" s="33" t="s">
        <v>1594</v>
      </c>
      <c r="F71" s="5" t="s">
        <v>2235</v>
      </c>
      <c r="G71" s="5" t="s">
        <v>2236</v>
      </c>
      <c r="H71" s="5" t="s">
        <v>2237</v>
      </c>
      <c r="I71" s="35" t="s">
        <v>1595</v>
      </c>
      <c r="J71" s="5" t="s">
        <v>1504</v>
      </c>
      <c r="K71" s="5" t="s">
        <v>1505</v>
      </c>
      <c r="L71" s="5" t="s">
        <v>1506</v>
      </c>
      <c r="M71" s="35" t="s">
        <v>1596</v>
      </c>
      <c r="N71" s="5" t="s">
        <v>1507</v>
      </c>
      <c r="O71" s="5" t="s">
        <v>1508</v>
      </c>
      <c r="P71" s="5" t="s">
        <v>1509</v>
      </c>
      <c r="Q71" s="35" t="s">
        <v>1597</v>
      </c>
      <c r="R71" s="36" t="s">
        <v>1510</v>
      </c>
    </row>
    <row r="72" spans="1:18" ht="15.75" customHeight="1" thickBot="1" x14ac:dyDescent="0.35">
      <c r="A72" s="252"/>
      <c r="B72" s="231"/>
      <c r="C72" s="253"/>
      <c r="D72" s="253"/>
      <c r="E72" s="254"/>
      <c r="F72" s="253"/>
      <c r="G72" s="253"/>
      <c r="H72" s="253"/>
      <c r="I72" s="254"/>
      <c r="J72" s="253"/>
      <c r="K72" s="253"/>
      <c r="L72" s="253"/>
      <c r="M72" s="254"/>
      <c r="N72" s="253"/>
      <c r="O72" s="253"/>
      <c r="P72" s="255"/>
      <c r="Q72" s="254"/>
      <c r="R72" s="37"/>
    </row>
    <row r="73" spans="1:18" ht="15.75" customHeight="1" x14ac:dyDescent="0.3">
      <c r="A73" s="247" t="s">
        <v>2417</v>
      </c>
      <c r="B73" s="18"/>
      <c r="C73" s="18"/>
      <c r="D73" s="18"/>
      <c r="E73" s="38" t="s">
        <v>852</v>
      </c>
      <c r="F73" s="18"/>
      <c r="G73" s="18"/>
      <c r="H73" s="18"/>
      <c r="I73" s="38" t="s">
        <v>852</v>
      </c>
      <c r="J73" s="18"/>
      <c r="K73" s="18"/>
      <c r="L73" s="18"/>
      <c r="M73" s="38" t="s">
        <v>852</v>
      </c>
      <c r="N73" s="18"/>
      <c r="O73" s="18"/>
      <c r="P73" s="18"/>
      <c r="Q73" s="38" t="s">
        <v>852</v>
      </c>
      <c r="R73" s="38" t="s">
        <v>852</v>
      </c>
    </row>
    <row r="74" spans="1:18" ht="15.75" customHeight="1" x14ac:dyDescent="0.3">
      <c r="A74" s="235" t="s">
        <v>2160</v>
      </c>
      <c r="B74" s="18"/>
      <c r="C74" s="248"/>
      <c r="D74" s="248"/>
      <c r="E74" s="38" t="s">
        <v>852</v>
      </c>
      <c r="F74" s="248"/>
      <c r="G74" s="248"/>
      <c r="H74" s="248"/>
      <c r="I74" s="38" t="s">
        <v>852</v>
      </c>
      <c r="J74" s="248"/>
      <c r="K74" s="248"/>
      <c r="L74" s="248"/>
      <c r="M74" s="38" t="s">
        <v>852</v>
      </c>
      <c r="N74" s="248"/>
      <c r="O74" s="248"/>
      <c r="P74" s="248"/>
      <c r="Q74" s="38" t="s">
        <v>852</v>
      </c>
      <c r="R74" s="38" t="s">
        <v>852</v>
      </c>
    </row>
    <row r="75" spans="1:18" ht="15.75" customHeight="1" x14ac:dyDescent="0.3">
      <c r="A75" s="266" t="s">
        <v>1339</v>
      </c>
      <c r="B75" s="172">
        <v>0</v>
      </c>
      <c r="C75" s="172">
        <v>0</v>
      </c>
      <c r="D75" s="172">
        <v>0</v>
      </c>
      <c r="E75" s="38">
        <f>SUM(B75:D75)</f>
        <v>0</v>
      </c>
      <c r="F75" s="172">
        <v>0</v>
      </c>
      <c r="G75" s="172">
        <v>3231</v>
      </c>
      <c r="H75" s="172">
        <v>0</v>
      </c>
      <c r="I75" s="38">
        <f>SUM(F75:H75)</f>
        <v>3231</v>
      </c>
      <c r="J75" s="172">
        <v>0</v>
      </c>
      <c r="K75" s="172">
        <v>0</v>
      </c>
      <c r="L75" s="172">
        <v>0</v>
      </c>
      <c r="M75" s="38">
        <f>SUM(J75:L75)</f>
        <v>0</v>
      </c>
      <c r="N75" s="172">
        <v>0</v>
      </c>
      <c r="O75" s="172">
        <v>0</v>
      </c>
      <c r="P75" s="172">
        <v>0</v>
      </c>
      <c r="Q75" s="38">
        <f>SUM(N75:P75)</f>
        <v>0</v>
      </c>
      <c r="R75" s="38">
        <f>+E75+I75+M75+Q75</f>
        <v>3231</v>
      </c>
    </row>
    <row r="76" spans="1:18" ht="15.75" customHeight="1" x14ac:dyDescent="0.3">
      <c r="A76" s="266" t="s">
        <v>2262</v>
      </c>
      <c r="B76" s="172">
        <v>0</v>
      </c>
      <c r="C76" s="172">
        <v>2952</v>
      </c>
      <c r="D76" s="172">
        <v>0</v>
      </c>
      <c r="E76" s="38">
        <f>SUM(B76:D76)</f>
        <v>2952</v>
      </c>
      <c r="F76" s="172">
        <v>0</v>
      </c>
      <c r="G76" s="172">
        <v>0</v>
      </c>
      <c r="H76" s="172">
        <v>0</v>
      </c>
      <c r="I76" s="38">
        <f>SUM(F76:H76)</f>
        <v>0</v>
      </c>
      <c r="J76" s="172">
        <v>0</v>
      </c>
      <c r="K76" s="172">
        <v>0</v>
      </c>
      <c r="L76" s="172">
        <v>0</v>
      </c>
      <c r="M76" s="38">
        <f>SUM(J76:L76)</f>
        <v>0</v>
      </c>
      <c r="N76" s="172">
        <v>0</v>
      </c>
      <c r="O76" s="172">
        <v>0</v>
      </c>
      <c r="P76" s="172">
        <v>0</v>
      </c>
      <c r="Q76" s="38">
        <f>SUM(N76:P76)</f>
        <v>0</v>
      </c>
      <c r="R76" s="38">
        <f>+E76+I76+M76+Q76</f>
        <v>2952</v>
      </c>
    </row>
    <row r="77" spans="1:18" ht="15.75" customHeight="1" x14ac:dyDescent="0.3">
      <c r="A77" s="256" t="s">
        <v>2183</v>
      </c>
      <c r="B77" s="172">
        <v>0</v>
      </c>
      <c r="C77" s="172">
        <v>0</v>
      </c>
      <c r="D77" s="172">
        <v>0</v>
      </c>
      <c r="E77" s="38">
        <f>SUM(B77:D77)</f>
        <v>0</v>
      </c>
      <c r="F77" s="172">
        <v>0</v>
      </c>
      <c r="G77" s="172">
        <v>0</v>
      </c>
      <c r="H77" s="172">
        <v>1000</v>
      </c>
      <c r="I77" s="38">
        <f>SUM(F77:H77)</f>
        <v>1000</v>
      </c>
      <c r="J77" s="172">
        <v>0</v>
      </c>
      <c r="K77" s="172">
        <v>0</v>
      </c>
      <c r="L77" s="172">
        <v>0</v>
      </c>
      <c r="M77" s="38">
        <f>SUM(J77:L77)</f>
        <v>0</v>
      </c>
      <c r="N77" s="172">
        <v>1849</v>
      </c>
      <c r="O77" s="172">
        <v>654</v>
      </c>
      <c r="P77" s="172">
        <v>0</v>
      </c>
      <c r="Q77" s="38">
        <f>SUM(N77:P77)</f>
        <v>2503</v>
      </c>
      <c r="R77" s="38">
        <f>+E77+I77+M77+Q77</f>
        <v>3503</v>
      </c>
    </row>
    <row r="78" spans="1:18" ht="15.75" customHeight="1" x14ac:dyDescent="0.3">
      <c r="A78" s="256" t="s">
        <v>86</v>
      </c>
      <c r="B78" s="172">
        <v>0</v>
      </c>
      <c r="C78" s="172">
        <v>0</v>
      </c>
      <c r="D78" s="172">
        <v>0</v>
      </c>
      <c r="E78" s="38">
        <f>SUM(B78:D78)</f>
        <v>0</v>
      </c>
      <c r="F78" s="172">
        <v>0</v>
      </c>
      <c r="G78" s="172">
        <v>0</v>
      </c>
      <c r="H78" s="172">
        <v>5690</v>
      </c>
      <c r="I78" s="38">
        <f>SUM(F78:H78)</f>
        <v>5690</v>
      </c>
      <c r="J78" s="172">
        <v>0</v>
      </c>
      <c r="K78" s="172">
        <v>0</v>
      </c>
      <c r="L78" s="172">
        <v>0</v>
      </c>
      <c r="M78" s="38">
        <f>SUM(J78:L78)</f>
        <v>0</v>
      </c>
      <c r="N78" s="172">
        <v>0</v>
      </c>
      <c r="O78" s="172">
        <v>0</v>
      </c>
      <c r="P78" s="172">
        <v>0</v>
      </c>
      <c r="Q78" s="38">
        <f>SUM(N78:P78)</f>
        <v>0</v>
      </c>
      <c r="R78" s="38">
        <f>+E78+I78+M78+Q78</f>
        <v>5690</v>
      </c>
    </row>
    <row r="79" spans="1:18" ht="15.75" customHeight="1" x14ac:dyDescent="0.3">
      <c r="A79" s="235" t="s">
        <v>2161</v>
      </c>
      <c r="B79" s="18"/>
      <c r="C79" s="18"/>
      <c r="D79" s="18"/>
      <c r="E79" s="38" t="s">
        <v>852</v>
      </c>
      <c r="F79" s="18"/>
      <c r="G79" s="18"/>
      <c r="H79" s="18"/>
      <c r="I79" s="38" t="s">
        <v>852</v>
      </c>
      <c r="J79" s="18"/>
      <c r="K79" s="18"/>
      <c r="L79" s="18"/>
      <c r="M79" s="38" t="s">
        <v>852</v>
      </c>
      <c r="N79" s="18"/>
      <c r="O79" s="18"/>
      <c r="P79" s="18"/>
      <c r="Q79" s="38" t="s">
        <v>852</v>
      </c>
      <c r="R79" s="38" t="s">
        <v>852</v>
      </c>
    </row>
    <row r="80" spans="1:18" ht="15.75" customHeight="1" x14ac:dyDescent="0.3">
      <c r="A80" s="256" t="s">
        <v>701</v>
      </c>
      <c r="B80" s="172">
        <v>0</v>
      </c>
      <c r="C80" s="172">
        <v>0</v>
      </c>
      <c r="D80" s="172">
        <v>0</v>
      </c>
      <c r="E80" s="38">
        <f>SUM(B80:D80)</f>
        <v>0</v>
      </c>
      <c r="F80" s="172">
        <v>0</v>
      </c>
      <c r="G80" s="172">
        <v>0</v>
      </c>
      <c r="H80" s="172">
        <v>0</v>
      </c>
      <c r="I80" s="38">
        <f>SUM(F80:H80)</f>
        <v>0</v>
      </c>
      <c r="J80" s="172">
        <v>0</v>
      </c>
      <c r="K80" s="172">
        <v>0</v>
      </c>
      <c r="L80" s="172">
        <v>0</v>
      </c>
      <c r="M80" s="38">
        <f>SUM(J80:L80)</f>
        <v>0</v>
      </c>
      <c r="N80" s="172">
        <v>0</v>
      </c>
      <c r="O80" s="172">
        <v>0</v>
      </c>
      <c r="P80" s="172">
        <v>0</v>
      </c>
      <c r="Q80" s="38">
        <f>SUM(N80:P80)</f>
        <v>0</v>
      </c>
      <c r="R80" s="38">
        <f>+E80+I80+M80+Q80</f>
        <v>0</v>
      </c>
    </row>
    <row r="81" spans="1:18" ht="15.75" customHeight="1" x14ac:dyDescent="0.3">
      <c r="A81" s="256" t="s">
        <v>1625</v>
      </c>
      <c r="B81" s="172">
        <v>0</v>
      </c>
      <c r="C81" s="172">
        <v>0</v>
      </c>
      <c r="D81" s="172">
        <v>0</v>
      </c>
      <c r="E81" s="38">
        <f>SUM(B81:D81)</f>
        <v>0</v>
      </c>
      <c r="F81" s="172">
        <v>0</v>
      </c>
      <c r="G81" s="172">
        <v>0</v>
      </c>
      <c r="H81" s="172">
        <v>0</v>
      </c>
      <c r="I81" s="38">
        <f>SUM(F81:H81)</f>
        <v>0</v>
      </c>
      <c r="J81" s="172">
        <v>0</v>
      </c>
      <c r="K81" s="172">
        <v>0</v>
      </c>
      <c r="L81" s="172">
        <v>0</v>
      </c>
      <c r="M81" s="38">
        <f>SUM(J81:L81)</f>
        <v>0</v>
      </c>
      <c r="N81" s="172">
        <v>0</v>
      </c>
      <c r="O81" s="172">
        <v>604</v>
      </c>
      <c r="P81" s="172">
        <v>0</v>
      </c>
      <c r="Q81" s="38">
        <f>SUM(N81:P81)</f>
        <v>604</v>
      </c>
      <c r="R81" s="38">
        <f>+E81+I81+M81+Q81</f>
        <v>604</v>
      </c>
    </row>
    <row r="82" spans="1:18" ht="15.75" customHeight="1" x14ac:dyDescent="0.3">
      <c r="A82" s="256" t="s">
        <v>2419</v>
      </c>
      <c r="B82" s="172">
        <v>0</v>
      </c>
      <c r="C82" s="172">
        <v>0</v>
      </c>
      <c r="D82" s="172">
        <v>0</v>
      </c>
      <c r="E82" s="38">
        <f>SUM(B82:D82)</f>
        <v>0</v>
      </c>
      <c r="F82" s="172">
        <v>0</v>
      </c>
      <c r="G82" s="172">
        <v>0</v>
      </c>
      <c r="H82" s="172">
        <v>62</v>
      </c>
      <c r="I82" s="38">
        <f>SUM(F82:H82)</f>
        <v>62</v>
      </c>
      <c r="J82" s="172">
        <v>269</v>
      </c>
      <c r="K82" s="172">
        <v>389</v>
      </c>
      <c r="L82" s="172">
        <v>304</v>
      </c>
      <c r="M82" s="38">
        <f>SUM(J82:L82)</f>
        <v>962</v>
      </c>
      <c r="N82" s="172">
        <v>177</v>
      </c>
      <c r="O82" s="172">
        <v>23</v>
      </c>
      <c r="P82" s="172">
        <v>0</v>
      </c>
      <c r="Q82" s="38">
        <f>SUM(N82:P82)</f>
        <v>200</v>
      </c>
      <c r="R82" s="38">
        <f>+E82+I82+M82+Q82</f>
        <v>1224</v>
      </c>
    </row>
    <row r="83" spans="1:18" ht="15.75" customHeight="1" x14ac:dyDescent="0.3">
      <c r="A83" s="256" t="s">
        <v>1058</v>
      </c>
      <c r="B83" s="172">
        <v>0</v>
      </c>
      <c r="C83" s="172">
        <v>0</v>
      </c>
      <c r="D83" s="172">
        <v>0</v>
      </c>
      <c r="E83" s="38">
        <f>SUM(B83:D83)</f>
        <v>0</v>
      </c>
      <c r="F83" s="172">
        <v>0</v>
      </c>
      <c r="G83" s="172">
        <v>0</v>
      </c>
      <c r="H83" s="172">
        <v>0</v>
      </c>
      <c r="I83" s="38">
        <f>SUM(F83:H83)</f>
        <v>0</v>
      </c>
      <c r="J83" s="172">
        <v>0</v>
      </c>
      <c r="K83" s="172">
        <v>0</v>
      </c>
      <c r="L83" s="172">
        <v>0</v>
      </c>
      <c r="M83" s="38">
        <f>SUM(J83:L83)</f>
        <v>0</v>
      </c>
      <c r="N83" s="172">
        <v>124</v>
      </c>
      <c r="O83" s="172">
        <v>0</v>
      </c>
      <c r="P83" s="172">
        <v>0</v>
      </c>
      <c r="Q83" s="38">
        <f>SUM(N83:P83)</f>
        <v>124</v>
      </c>
      <c r="R83" s="38">
        <f>+E83+I83+M83+Q83</f>
        <v>124</v>
      </c>
    </row>
    <row r="84" spans="1:18" ht="15.75" customHeight="1" x14ac:dyDescent="0.3">
      <c r="A84" s="256" t="s">
        <v>521</v>
      </c>
      <c r="B84" s="172">
        <v>0</v>
      </c>
      <c r="C84" s="172">
        <v>0</v>
      </c>
      <c r="D84" s="172">
        <v>0</v>
      </c>
      <c r="E84" s="38">
        <f>SUM(B84:D84)</f>
        <v>0</v>
      </c>
      <c r="F84" s="172">
        <v>0</v>
      </c>
      <c r="G84" s="172">
        <v>0</v>
      </c>
      <c r="H84" s="172">
        <v>0</v>
      </c>
      <c r="I84" s="38">
        <f>SUM(F84:H84)</f>
        <v>0</v>
      </c>
      <c r="J84" s="172">
        <v>0</v>
      </c>
      <c r="K84" s="172">
        <v>0</v>
      </c>
      <c r="L84" s="172">
        <v>0</v>
      </c>
      <c r="M84" s="38">
        <f>SUM(J84:L84)</f>
        <v>0</v>
      </c>
      <c r="N84" s="172">
        <v>0</v>
      </c>
      <c r="O84" s="172">
        <v>2299</v>
      </c>
      <c r="P84" s="172">
        <v>1296</v>
      </c>
      <c r="Q84" s="38">
        <f>SUM(N84:P84)</f>
        <v>3595</v>
      </c>
      <c r="R84" s="38">
        <f>+E84+I84+M84+Q84</f>
        <v>3595</v>
      </c>
    </row>
    <row r="85" spans="1:18" ht="15.75" customHeight="1" x14ac:dyDescent="0.3">
      <c r="A85" s="235" t="s">
        <v>2162</v>
      </c>
      <c r="B85" s="18"/>
      <c r="C85" s="18"/>
      <c r="D85" s="18"/>
      <c r="E85" s="38" t="s">
        <v>1598</v>
      </c>
      <c r="F85" s="18"/>
      <c r="G85" s="18"/>
      <c r="H85" s="18"/>
      <c r="I85" s="38" t="s">
        <v>1598</v>
      </c>
      <c r="J85" s="18"/>
      <c r="K85" s="18"/>
      <c r="L85" s="18"/>
      <c r="M85" s="38" t="s">
        <v>1598</v>
      </c>
      <c r="N85" s="18"/>
      <c r="O85" s="18"/>
      <c r="P85" s="18"/>
      <c r="Q85" s="38" t="s">
        <v>1598</v>
      </c>
      <c r="R85" s="38" t="s">
        <v>1598</v>
      </c>
    </row>
    <row r="86" spans="1:18" ht="15.75" customHeight="1" x14ac:dyDescent="0.3">
      <c r="A86" s="249" t="s">
        <v>430</v>
      </c>
      <c r="B86" s="172">
        <v>0</v>
      </c>
      <c r="C86" s="172">
        <v>0</v>
      </c>
      <c r="D86" s="172">
        <v>0</v>
      </c>
      <c r="E86" s="38">
        <f>SUM(B86:D86)</f>
        <v>0</v>
      </c>
      <c r="F86" s="172">
        <v>0</v>
      </c>
      <c r="G86" s="172">
        <v>0</v>
      </c>
      <c r="H86" s="172">
        <v>0</v>
      </c>
      <c r="I86" s="38">
        <f>SUM(F86:H86)</f>
        <v>0</v>
      </c>
      <c r="J86" s="172">
        <v>0</v>
      </c>
      <c r="K86" s="172">
        <v>0</v>
      </c>
      <c r="L86" s="172">
        <v>0</v>
      </c>
      <c r="M86" s="38">
        <f>SUM(J86:L86)</f>
        <v>0</v>
      </c>
      <c r="N86" s="172">
        <v>0</v>
      </c>
      <c r="O86" s="172">
        <v>0</v>
      </c>
      <c r="P86" s="172">
        <v>0</v>
      </c>
      <c r="Q86" s="38">
        <f>SUM(N86:P86)</f>
        <v>0</v>
      </c>
      <c r="R86" s="38">
        <f>+E86+I86+M86+Q86</f>
        <v>0</v>
      </c>
    </row>
    <row r="87" spans="1:18" ht="15.75" customHeight="1" x14ac:dyDescent="0.3">
      <c r="A87" s="249" t="s">
        <v>702</v>
      </c>
      <c r="B87" s="172">
        <v>747</v>
      </c>
      <c r="C87" s="172">
        <v>583</v>
      </c>
      <c r="D87" s="172">
        <v>1703</v>
      </c>
      <c r="E87" s="38">
        <f>SUM(B87:D87)</f>
        <v>3033</v>
      </c>
      <c r="F87" s="172">
        <v>767</v>
      </c>
      <c r="G87" s="172">
        <v>0</v>
      </c>
      <c r="H87" s="172">
        <v>0</v>
      </c>
      <c r="I87" s="38">
        <f>SUM(F87:H87)</f>
        <v>767</v>
      </c>
      <c r="J87" s="172">
        <v>0</v>
      </c>
      <c r="K87" s="172">
        <v>0</v>
      </c>
      <c r="L87" s="172">
        <v>0</v>
      </c>
      <c r="M87" s="38">
        <f>SUM(J87:L87)</f>
        <v>0</v>
      </c>
      <c r="N87" s="172">
        <v>0</v>
      </c>
      <c r="O87" s="172">
        <v>0</v>
      </c>
      <c r="P87" s="172">
        <v>0</v>
      </c>
      <c r="Q87" s="38">
        <f>SUM(N87:P87)</f>
        <v>0</v>
      </c>
      <c r="R87" s="38">
        <f>+E87+I87+M87+Q87</f>
        <v>3800</v>
      </c>
    </row>
    <row r="88" spans="1:18" ht="15.75" customHeight="1" thickBot="1" x14ac:dyDescent="0.35">
      <c r="A88" s="235" t="s">
        <v>2164</v>
      </c>
      <c r="B88" s="248"/>
      <c r="C88" s="248"/>
      <c r="D88" s="248"/>
      <c r="E88" s="38" t="s">
        <v>852</v>
      </c>
      <c r="F88" s="248"/>
      <c r="G88" s="248"/>
      <c r="H88" s="248"/>
      <c r="I88" s="38" t="s">
        <v>852</v>
      </c>
      <c r="J88" s="248"/>
      <c r="K88" s="248"/>
      <c r="L88" s="248"/>
      <c r="M88" s="38" t="s">
        <v>852</v>
      </c>
      <c r="N88" s="248"/>
      <c r="O88" s="248"/>
      <c r="P88" s="248"/>
      <c r="Q88" s="38" t="s">
        <v>852</v>
      </c>
      <c r="R88" s="38" t="s">
        <v>852</v>
      </c>
    </row>
    <row r="89" spans="1:18" ht="15.75" customHeight="1" thickBot="1" x14ac:dyDescent="0.35">
      <c r="A89" s="43" t="s">
        <v>1218</v>
      </c>
      <c r="B89" s="42">
        <f>SUM(B73:B88)</f>
        <v>747</v>
      </c>
      <c r="C89" s="42">
        <f>SUM(C73:C88)</f>
        <v>3535</v>
      </c>
      <c r="D89" s="42">
        <f>SUM(D73:D88)</f>
        <v>1703</v>
      </c>
      <c r="E89" s="37">
        <f>SUM(B89:D89)</f>
        <v>5985</v>
      </c>
      <c r="F89" s="42">
        <f>SUM(F73:F88)</f>
        <v>767</v>
      </c>
      <c r="G89" s="42">
        <f>SUM(G73:G88)</f>
        <v>3231</v>
      </c>
      <c r="H89" s="42">
        <f>SUM(H73:H88)</f>
        <v>6752</v>
      </c>
      <c r="I89" s="37">
        <f>SUM(F89:H89)</f>
        <v>10750</v>
      </c>
      <c r="J89" s="42">
        <f>SUM(J73:J88)</f>
        <v>269</v>
      </c>
      <c r="K89" s="42">
        <f>SUM(K73:K88)</f>
        <v>389</v>
      </c>
      <c r="L89" s="42">
        <f>SUM(L73:L88)</f>
        <v>304</v>
      </c>
      <c r="M89" s="37">
        <f>SUM(J89:L89)</f>
        <v>962</v>
      </c>
      <c r="N89" s="42">
        <f>SUM(N73:N88)</f>
        <v>2150</v>
      </c>
      <c r="O89" s="42">
        <f>SUM(O73:O88)</f>
        <v>3580</v>
      </c>
      <c r="P89" s="42">
        <f>SUM(P73:P88)</f>
        <v>1296</v>
      </c>
      <c r="Q89" s="37">
        <f>SUM(N89:P89)</f>
        <v>7026</v>
      </c>
      <c r="R89" s="37">
        <f>+E89+I89+M89+Q89</f>
        <v>24723</v>
      </c>
    </row>
    <row r="90" spans="1:18" ht="15.75" customHeight="1" x14ac:dyDescent="0.3">
      <c r="A90" s="235" t="s">
        <v>1172</v>
      </c>
      <c r="B90" s="248"/>
      <c r="C90" s="248"/>
      <c r="D90" s="248"/>
      <c r="E90" s="38" t="s">
        <v>852</v>
      </c>
      <c r="F90" s="248"/>
      <c r="G90" s="248"/>
      <c r="H90" s="248"/>
      <c r="I90" s="38" t="s">
        <v>852</v>
      </c>
      <c r="J90" s="248"/>
      <c r="K90" s="248"/>
      <c r="L90" s="248"/>
      <c r="M90" s="38" t="s">
        <v>852</v>
      </c>
      <c r="N90" s="248"/>
      <c r="O90" s="248"/>
      <c r="P90" s="248"/>
      <c r="Q90" s="38" t="s">
        <v>852</v>
      </c>
      <c r="R90" s="39" t="s">
        <v>852</v>
      </c>
    </row>
    <row r="91" spans="1:18" ht="15.75" customHeight="1" x14ac:dyDescent="0.3">
      <c r="A91" s="235" t="s">
        <v>1658</v>
      </c>
      <c r="B91" s="248"/>
      <c r="C91" s="248"/>
      <c r="D91" s="248"/>
      <c r="E91" s="38" t="s">
        <v>852</v>
      </c>
      <c r="F91" s="248"/>
      <c r="G91" s="248"/>
      <c r="H91" s="248"/>
      <c r="I91" s="38" t="s">
        <v>852</v>
      </c>
      <c r="J91" s="248"/>
      <c r="K91" s="248"/>
      <c r="L91" s="248"/>
      <c r="M91" s="38" t="s">
        <v>852</v>
      </c>
      <c r="N91" s="248"/>
      <c r="O91" s="248"/>
      <c r="P91" s="248"/>
      <c r="Q91" s="38" t="s">
        <v>852</v>
      </c>
      <c r="R91" s="38" t="s">
        <v>852</v>
      </c>
    </row>
    <row r="92" spans="1:18" ht="15.75" customHeight="1" x14ac:dyDescent="0.3">
      <c r="A92" s="235" t="s">
        <v>2409</v>
      </c>
      <c r="B92" s="248"/>
      <c r="C92" s="248"/>
      <c r="D92" s="248"/>
      <c r="E92" s="38" t="s">
        <v>852</v>
      </c>
      <c r="F92" s="248"/>
      <c r="G92" s="248"/>
      <c r="H92" s="248"/>
      <c r="I92" s="38" t="s">
        <v>852</v>
      </c>
      <c r="J92" s="248"/>
      <c r="K92" s="248"/>
      <c r="L92" s="248"/>
      <c r="M92" s="38" t="s">
        <v>852</v>
      </c>
      <c r="N92" s="248"/>
      <c r="O92" s="248"/>
      <c r="P92" s="248"/>
      <c r="Q92" s="38" t="s">
        <v>852</v>
      </c>
      <c r="R92" s="38" t="s">
        <v>852</v>
      </c>
    </row>
    <row r="93" spans="1:18" ht="15.75" customHeight="1" x14ac:dyDescent="0.3">
      <c r="A93" s="256" t="s">
        <v>701</v>
      </c>
      <c r="B93" s="10">
        <v>1289</v>
      </c>
      <c r="C93" s="10">
        <v>1592</v>
      </c>
      <c r="D93" s="10">
        <v>4942</v>
      </c>
      <c r="E93" s="38">
        <f>SUM(B93:D93)</f>
        <v>7823</v>
      </c>
      <c r="F93" s="10">
        <v>8651</v>
      </c>
      <c r="G93" s="10">
        <v>4700</v>
      </c>
      <c r="H93" s="10">
        <v>2071</v>
      </c>
      <c r="I93" s="38">
        <f>SUM(F93:H93)</f>
        <v>15422</v>
      </c>
      <c r="J93" s="10">
        <v>2026</v>
      </c>
      <c r="K93" s="10">
        <v>3133</v>
      </c>
      <c r="L93" s="10">
        <v>2672</v>
      </c>
      <c r="M93" s="38">
        <f>SUM(J93:L93)</f>
        <v>7831</v>
      </c>
      <c r="N93" s="10">
        <v>1084</v>
      </c>
      <c r="O93" s="10">
        <v>622</v>
      </c>
      <c r="P93" s="10">
        <v>1702</v>
      </c>
      <c r="Q93" s="38">
        <f>SUM(N93:P93)</f>
        <v>3408</v>
      </c>
      <c r="R93" s="38">
        <f>+E93+I93+M93+Q93</f>
        <v>34484</v>
      </c>
    </row>
    <row r="94" spans="1:18" ht="15.75" customHeight="1" x14ac:dyDescent="0.3">
      <c r="A94" s="256" t="s">
        <v>702</v>
      </c>
      <c r="B94" s="172">
        <v>0</v>
      </c>
      <c r="C94" s="172">
        <v>0</v>
      </c>
      <c r="D94" s="172">
        <v>0</v>
      </c>
      <c r="E94" s="38">
        <f>SUM(B94:D94)</f>
        <v>0</v>
      </c>
      <c r="F94" s="172">
        <v>1000</v>
      </c>
      <c r="G94" s="172">
        <v>1000</v>
      </c>
      <c r="H94" s="172">
        <v>1000</v>
      </c>
      <c r="I94" s="38">
        <f>SUM(F94:H94)</f>
        <v>3000</v>
      </c>
      <c r="J94" s="172">
        <v>460</v>
      </c>
      <c r="K94" s="172">
        <v>0</v>
      </c>
      <c r="L94" s="172">
        <v>0</v>
      </c>
      <c r="M94" s="38">
        <f>SUM(J94:L94)</f>
        <v>460</v>
      </c>
      <c r="N94" s="172">
        <v>0</v>
      </c>
      <c r="O94" s="172">
        <v>0</v>
      </c>
      <c r="P94" s="172">
        <v>0</v>
      </c>
      <c r="Q94" s="38">
        <f>SUM(N94:P94)</f>
        <v>0</v>
      </c>
      <c r="R94" s="38">
        <f>+E94+I94+M94+Q94</f>
        <v>3460</v>
      </c>
    </row>
    <row r="95" spans="1:18" ht="15.75" customHeight="1" thickBot="1" x14ac:dyDescent="0.35">
      <c r="A95" s="235" t="s">
        <v>2165</v>
      </c>
      <c r="B95" s="248"/>
      <c r="C95" s="248"/>
      <c r="D95" s="248"/>
      <c r="E95" s="38" t="s">
        <v>852</v>
      </c>
      <c r="F95" s="248"/>
      <c r="G95" s="248"/>
      <c r="H95" s="248"/>
      <c r="I95" s="38" t="s">
        <v>852</v>
      </c>
      <c r="J95" s="248"/>
      <c r="K95" s="248"/>
      <c r="L95" s="248"/>
      <c r="M95" s="38" t="s">
        <v>852</v>
      </c>
      <c r="N95" s="248"/>
      <c r="O95" s="248"/>
      <c r="P95" s="248"/>
      <c r="Q95" s="38" t="s">
        <v>852</v>
      </c>
      <c r="R95" s="38" t="s">
        <v>852</v>
      </c>
    </row>
    <row r="96" spans="1:18" ht="15.75" customHeight="1" thickBot="1" x14ac:dyDescent="0.35">
      <c r="A96" s="43" t="s">
        <v>1219</v>
      </c>
      <c r="B96" s="42">
        <f>SUM(B90:B95)</f>
        <v>1289</v>
      </c>
      <c r="C96" s="42">
        <f>SUM(C90:C95)</f>
        <v>1592</v>
      </c>
      <c r="D96" s="42">
        <f>SUM(D90:D95)</f>
        <v>4942</v>
      </c>
      <c r="E96" s="37">
        <f>SUM(B96:D96)</f>
        <v>7823</v>
      </c>
      <c r="F96" s="42">
        <f>SUM(F90:F95)</f>
        <v>9651</v>
      </c>
      <c r="G96" s="42">
        <f>SUM(G90:G95)</f>
        <v>5700</v>
      </c>
      <c r="H96" s="42">
        <f>SUM(H90:H95)</f>
        <v>3071</v>
      </c>
      <c r="I96" s="37">
        <f>SUM(F96:H96)</f>
        <v>18422</v>
      </c>
      <c r="J96" s="42">
        <f>SUM(J90:J95)</f>
        <v>2486</v>
      </c>
      <c r="K96" s="42">
        <f>SUM(K90:K95)</f>
        <v>3133</v>
      </c>
      <c r="L96" s="42">
        <f>SUM(L90:L95)</f>
        <v>2672</v>
      </c>
      <c r="M96" s="37">
        <f>SUM(J96:L96)</f>
        <v>8291</v>
      </c>
      <c r="N96" s="42">
        <f>SUM(N90:N95)</f>
        <v>1084</v>
      </c>
      <c r="O96" s="42">
        <f>SUM(O90:O95)</f>
        <v>622</v>
      </c>
      <c r="P96" s="42">
        <f>SUM(P90:P95)</f>
        <v>1702</v>
      </c>
      <c r="Q96" s="37">
        <f>SUM(N96:P96)</f>
        <v>3408</v>
      </c>
      <c r="R96" s="37">
        <f>+E96+I96+M96+Q96</f>
        <v>37944</v>
      </c>
    </row>
    <row r="97" spans="1:18" ht="15.75" customHeight="1" x14ac:dyDescent="0.3">
      <c r="A97" s="235" t="s">
        <v>2166</v>
      </c>
      <c r="B97" s="248"/>
      <c r="C97" s="248"/>
      <c r="D97" s="248"/>
      <c r="E97" s="38" t="s">
        <v>852</v>
      </c>
      <c r="F97" s="248"/>
      <c r="G97" s="248"/>
      <c r="H97" s="248"/>
      <c r="I97" s="38" t="s">
        <v>852</v>
      </c>
      <c r="J97" s="248"/>
      <c r="K97" s="248"/>
      <c r="L97" s="248"/>
      <c r="M97" s="38" t="s">
        <v>852</v>
      </c>
      <c r="N97" s="248"/>
      <c r="O97" s="248"/>
      <c r="P97" s="248"/>
      <c r="Q97" s="38" t="s">
        <v>852</v>
      </c>
      <c r="R97" s="38" t="s">
        <v>852</v>
      </c>
    </row>
    <row r="98" spans="1:18" ht="15.75" customHeight="1" x14ac:dyDescent="0.3">
      <c r="A98" s="235" t="s">
        <v>1245</v>
      </c>
      <c r="B98" s="248"/>
      <c r="C98" s="248"/>
      <c r="D98" s="248"/>
      <c r="E98" s="38" t="s">
        <v>852</v>
      </c>
      <c r="F98" s="248"/>
      <c r="G98" s="248"/>
      <c r="H98" s="248"/>
      <c r="I98" s="38" t="s">
        <v>852</v>
      </c>
      <c r="J98" s="248"/>
      <c r="K98" s="248"/>
      <c r="L98" s="248"/>
      <c r="M98" s="38" t="s">
        <v>852</v>
      </c>
      <c r="N98" s="248"/>
      <c r="O98" s="248"/>
      <c r="P98" s="248"/>
      <c r="Q98" s="38" t="s">
        <v>852</v>
      </c>
      <c r="R98" s="38" t="s">
        <v>852</v>
      </c>
    </row>
    <row r="99" spans="1:18" ht="15.75" customHeight="1" x14ac:dyDescent="0.3">
      <c r="A99" s="235" t="s">
        <v>1711</v>
      </c>
      <c r="B99" s="248"/>
      <c r="C99" s="248"/>
      <c r="D99" s="248"/>
      <c r="E99" s="38"/>
      <c r="F99" s="248"/>
      <c r="G99" s="248"/>
      <c r="H99" s="248"/>
      <c r="I99" s="38"/>
      <c r="J99" s="248"/>
      <c r="K99" s="248"/>
      <c r="L99" s="248"/>
      <c r="M99" s="38"/>
      <c r="N99" s="248"/>
      <c r="O99" s="248"/>
      <c r="P99" s="248"/>
      <c r="Q99" s="38"/>
      <c r="R99" s="38"/>
    </row>
    <row r="100" spans="1:18" ht="15.75" customHeight="1" x14ac:dyDescent="0.3">
      <c r="A100" s="256" t="s">
        <v>1584</v>
      </c>
      <c r="B100" s="172">
        <v>0</v>
      </c>
      <c r="C100" s="172">
        <v>972</v>
      </c>
      <c r="D100" s="172">
        <v>0</v>
      </c>
      <c r="E100" s="38">
        <f t="shared" ref="E100:E108" si="9">SUM(B100:D100)</f>
        <v>972</v>
      </c>
      <c r="F100" s="172">
        <v>0</v>
      </c>
      <c r="G100" s="172">
        <v>0</v>
      </c>
      <c r="H100" s="172">
        <v>0</v>
      </c>
      <c r="I100" s="38">
        <f t="shared" ref="I100:I108" si="10">SUM(F100:H100)</f>
        <v>0</v>
      </c>
      <c r="J100" s="172">
        <v>0</v>
      </c>
      <c r="K100" s="172">
        <v>0</v>
      </c>
      <c r="L100" s="172">
        <v>0</v>
      </c>
      <c r="M100" s="38">
        <f t="shared" ref="M100:M108" si="11">SUM(J100:L100)</f>
        <v>0</v>
      </c>
      <c r="N100" s="172">
        <v>0</v>
      </c>
      <c r="O100" s="172">
        <v>0</v>
      </c>
      <c r="P100" s="172">
        <v>0</v>
      </c>
      <c r="Q100" s="38">
        <f t="shared" ref="Q100:Q108" si="12">SUM(N100:P100)</f>
        <v>0</v>
      </c>
      <c r="R100" s="38">
        <f t="shared" ref="R100:R108" si="13">+E100+I100+M100+Q100</f>
        <v>972</v>
      </c>
    </row>
    <row r="101" spans="1:18" ht="15.75" customHeight="1" x14ac:dyDescent="0.3">
      <c r="A101" s="256" t="s">
        <v>1977</v>
      </c>
      <c r="B101" s="172">
        <v>0</v>
      </c>
      <c r="C101" s="172">
        <v>1947</v>
      </c>
      <c r="D101" s="172">
        <v>639</v>
      </c>
      <c r="E101" s="38">
        <f t="shared" si="9"/>
        <v>2586</v>
      </c>
      <c r="F101" s="172">
        <v>0</v>
      </c>
      <c r="G101" s="172">
        <v>0</v>
      </c>
      <c r="H101" s="172">
        <v>0</v>
      </c>
      <c r="I101" s="38">
        <f t="shared" si="10"/>
        <v>0</v>
      </c>
      <c r="J101" s="172">
        <v>0</v>
      </c>
      <c r="K101" s="172">
        <v>0</v>
      </c>
      <c r="L101" s="172">
        <v>0</v>
      </c>
      <c r="M101" s="38">
        <f t="shared" si="11"/>
        <v>0</v>
      </c>
      <c r="N101" s="172">
        <v>0</v>
      </c>
      <c r="O101" s="172">
        <v>0</v>
      </c>
      <c r="P101" s="172">
        <v>0</v>
      </c>
      <c r="Q101" s="38">
        <f t="shared" si="12"/>
        <v>0</v>
      </c>
      <c r="R101" s="38">
        <f t="shared" si="13"/>
        <v>2586</v>
      </c>
    </row>
    <row r="102" spans="1:18" ht="15.75" customHeight="1" x14ac:dyDescent="0.3">
      <c r="A102" s="256" t="s">
        <v>1571</v>
      </c>
      <c r="B102" s="172">
        <v>0</v>
      </c>
      <c r="C102" s="172">
        <v>0</v>
      </c>
      <c r="D102" s="172">
        <v>95</v>
      </c>
      <c r="E102" s="38">
        <f>SUM(B102:D102)</f>
        <v>95</v>
      </c>
      <c r="F102" s="172">
        <v>0</v>
      </c>
      <c r="G102" s="172">
        <v>0</v>
      </c>
      <c r="H102" s="172">
        <v>0</v>
      </c>
      <c r="I102" s="38">
        <f>SUM(F102:H102)</f>
        <v>0</v>
      </c>
      <c r="J102" s="172">
        <v>0</v>
      </c>
      <c r="K102" s="172">
        <v>0</v>
      </c>
      <c r="L102" s="172">
        <v>0</v>
      </c>
      <c r="M102" s="38">
        <f>SUM(J102:L102)</f>
        <v>0</v>
      </c>
      <c r="N102" s="172">
        <v>0</v>
      </c>
      <c r="O102" s="172">
        <v>0</v>
      </c>
      <c r="P102" s="172">
        <v>0</v>
      </c>
      <c r="Q102" s="38">
        <f>SUM(N102:P102)</f>
        <v>0</v>
      </c>
      <c r="R102" s="38">
        <f>+E102+I102+M102+Q102</f>
        <v>95</v>
      </c>
    </row>
    <row r="103" spans="1:18" ht="15.75" customHeight="1" x14ac:dyDescent="0.3">
      <c r="A103" s="256" t="s">
        <v>867</v>
      </c>
      <c r="B103" s="172">
        <v>0</v>
      </c>
      <c r="C103" s="172">
        <v>0</v>
      </c>
      <c r="D103" s="172">
        <v>0</v>
      </c>
      <c r="E103" s="38">
        <f>SUM(B103:D103)</f>
        <v>0</v>
      </c>
      <c r="F103" s="172">
        <v>0</v>
      </c>
      <c r="G103" s="172">
        <v>0</v>
      </c>
      <c r="H103" s="172">
        <v>0</v>
      </c>
      <c r="I103" s="38">
        <f>SUM(F103:H103)</f>
        <v>0</v>
      </c>
      <c r="J103" s="172">
        <v>0</v>
      </c>
      <c r="K103" s="172">
        <v>0</v>
      </c>
      <c r="L103" s="172">
        <v>0</v>
      </c>
      <c r="M103" s="38">
        <f>SUM(J103:L103)</f>
        <v>0</v>
      </c>
      <c r="N103" s="172">
        <v>0</v>
      </c>
      <c r="O103" s="172">
        <v>258</v>
      </c>
      <c r="P103" s="172">
        <v>0</v>
      </c>
      <c r="Q103" s="38">
        <f>SUM(N103:P103)</f>
        <v>258</v>
      </c>
      <c r="R103" s="38">
        <f>+E103+I103+M103+Q103</f>
        <v>258</v>
      </c>
    </row>
    <row r="104" spans="1:18" ht="15.75" customHeight="1" x14ac:dyDescent="0.3">
      <c r="A104" s="256" t="s">
        <v>1904</v>
      </c>
      <c r="B104" s="172">
        <v>1537</v>
      </c>
      <c r="C104" s="172">
        <v>0</v>
      </c>
      <c r="D104" s="172">
        <v>0</v>
      </c>
      <c r="E104" s="38">
        <f t="shared" si="9"/>
        <v>1537</v>
      </c>
      <c r="F104" s="172">
        <v>0</v>
      </c>
      <c r="G104" s="172">
        <v>0</v>
      </c>
      <c r="H104" s="172">
        <v>0</v>
      </c>
      <c r="I104" s="38">
        <f t="shared" si="10"/>
        <v>0</v>
      </c>
      <c r="J104" s="172">
        <v>0</v>
      </c>
      <c r="K104" s="172">
        <v>0</v>
      </c>
      <c r="L104" s="172">
        <v>0</v>
      </c>
      <c r="M104" s="38">
        <f t="shared" si="11"/>
        <v>0</v>
      </c>
      <c r="N104" s="172">
        <v>0</v>
      </c>
      <c r="O104" s="172">
        <v>0</v>
      </c>
      <c r="P104" s="172">
        <v>0</v>
      </c>
      <c r="Q104" s="38">
        <f t="shared" si="12"/>
        <v>0</v>
      </c>
      <c r="R104" s="38">
        <f t="shared" si="13"/>
        <v>1537</v>
      </c>
    </row>
    <row r="105" spans="1:18" ht="15.75" customHeight="1" x14ac:dyDescent="0.3">
      <c r="A105" s="256" t="s">
        <v>697</v>
      </c>
      <c r="B105" s="172">
        <v>3409</v>
      </c>
      <c r="C105" s="172">
        <v>0</v>
      </c>
      <c r="D105" s="172">
        <v>0</v>
      </c>
      <c r="E105" s="38">
        <f>SUM(B105:D105)</f>
        <v>3409</v>
      </c>
      <c r="F105" s="172">
        <v>0</v>
      </c>
      <c r="G105" s="172">
        <v>0</v>
      </c>
      <c r="H105" s="172">
        <v>0</v>
      </c>
      <c r="I105" s="38">
        <f>SUM(F105:H105)</f>
        <v>0</v>
      </c>
      <c r="J105" s="172">
        <v>0</v>
      </c>
      <c r="K105" s="172">
        <v>0</v>
      </c>
      <c r="L105" s="172">
        <v>0</v>
      </c>
      <c r="M105" s="38">
        <f>SUM(J105:L105)</f>
        <v>0</v>
      </c>
      <c r="N105" s="172">
        <v>0</v>
      </c>
      <c r="O105" s="172">
        <v>0</v>
      </c>
      <c r="P105" s="172">
        <v>0</v>
      </c>
      <c r="Q105" s="38">
        <f>SUM(N105:P105)</f>
        <v>0</v>
      </c>
      <c r="R105" s="38">
        <f>+E105+I105+M105+Q105</f>
        <v>3409</v>
      </c>
    </row>
    <row r="106" spans="1:18" ht="15.75" customHeight="1" x14ac:dyDescent="0.3">
      <c r="A106" s="256" t="s">
        <v>2182</v>
      </c>
      <c r="B106" s="172">
        <v>0</v>
      </c>
      <c r="C106" s="172">
        <v>717</v>
      </c>
      <c r="D106" s="172">
        <v>860</v>
      </c>
      <c r="E106" s="38">
        <f t="shared" si="9"/>
        <v>1577</v>
      </c>
      <c r="F106" s="172">
        <v>1004</v>
      </c>
      <c r="G106" s="172">
        <v>1000</v>
      </c>
      <c r="H106" s="172">
        <v>0</v>
      </c>
      <c r="I106" s="38">
        <f t="shared" si="10"/>
        <v>2004</v>
      </c>
      <c r="J106" s="172">
        <v>0</v>
      </c>
      <c r="K106" s="172">
        <v>0</v>
      </c>
      <c r="L106" s="172">
        <v>0</v>
      </c>
      <c r="M106" s="38">
        <f t="shared" si="11"/>
        <v>0</v>
      </c>
      <c r="N106" s="172">
        <v>0</v>
      </c>
      <c r="O106" s="172">
        <v>0</v>
      </c>
      <c r="P106" s="172">
        <v>0</v>
      </c>
      <c r="Q106" s="38">
        <f t="shared" si="12"/>
        <v>0</v>
      </c>
      <c r="R106" s="38">
        <f t="shared" si="13"/>
        <v>3581</v>
      </c>
    </row>
    <row r="107" spans="1:18" ht="15.75" customHeight="1" thickBot="1" x14ac:dyDescent="0.35">
      <c r="A107" s="256" t="s">
        <v>2261</v>
      </c>
      <c r="B107" s="172">
        <v>0</v>
      </c>
      <c r="C107" s="172">
        <v>0</v>
      </c>
      <c r="D107" s="172">
        <v>0</v>
      </c>
      <c r="E107" s="38">
        <f t="shared" si="9"/>
        <v>0</v>
      </c>
      <c r="F107" s="172">
        <v>0</v>
      </c>
      <c r="G107" s="172">
        <v>0</v>
      </c>
      <c r="H107" s="172">
        <v>0</v>
      </c>
      <c r="I107" s="38">
        <f t="shared" si="10"/>
        <v>0</v>
      </c>
      <c r="J107" s="172">
        <v>0</v>
      </c>
      <c r="K107" s="172">
        <v>0</v>
      </c>
      <c r="L107" s="172">
        <v>0</v>
      </c>
      <c r="M107" s="38">
        <f t="shared" si="11"/>
        <v>0</v>
      </c>
      <c r="N107" s="172">
        <v>0</v>
      </c>
      <c r="O107" s="172">
        <v>0</v>
      </c>
      <c r="P107" s="172">
        <v>0</v>
      </c>
      <c r="Q107" s="38">
        <f t="shared" si="12"/>
        <v>0</v>
      </c>
      <c r="R107" s="38">
        <f t="shared" si="13"/>
        <v>0</v>
      </c>
    </row>
    <row r="108" spans="1:18" ht="15.75" customHeight="1" thickBot="1" x14ac:dyDescent="0.35">
      <c r="A108" s="43" t="s">
        <v>1220</v>
      </c>
      <c r="B108" s="42">
        <f>SUM(B97:B107)</f>
        <v>4946</v>
      </c>
      <c r="C108" s="42">
        <f>SUM(C97:C107)</f>
        <v>3636</v>
      </c>
      <c r="D108" s="42">
        <f>SUM(D97:D107)</f>
        <v>1594</v>
      </c>
      <c r="E108" s="37">
        <f t="shared" si="9"/>
        <v>10176</v>
      </c>
      <c r="F108" s="42">
        <f>SUM(F97:F107)</f>
        <v>1004</v>
      </c>
      <c r="G108" s="42">
        <f>SUM(G97:G107)</f>
        <v>1000</v>
      </c>
      <c r="H108" s="42">
        <f>SUM(H97:H107)</f>
        <v>0</v>
      </c>
      <c r="I108" s="37">
        <f t="shared" si="10"/>
        <v>2004</v>
      </c>
      <c r="J108" s="42">
        <f>SUM(J97:J107)</f>
        <v>0</v>
      </c>
      <c r="K108" s="42">
        <f>SUM(K97:K107)</f>
        <v>0</v>
      </c>
      <c r="L108" s="42">
        <f>SUM(L97:L107)</f>
        <v>0</v>
      </c>
      <c r="M108" s="37">
        <f t="shared" si="11"/>
        <v>0</v>
      </c>
      <c r="N108" s="42">
        <f>SUM(N97:N107)</f>
        <v>0</v>
      </c>
      <c r="O108" s="42">
        <f>SUM(O97:O107)</f>
        <v>258</v>
      </c>
      <c r="P108" s="42">
        <f>SUM(P97:P107)</f>
        <v>0</v>
      </c>
      <c r="Q108" s="37">
        <f t="shared" si="12"/>
        <v>258</v>
      </c>
      <c r="R108" s="37">
        <f t="shared" si="13"/>
        <v>12438</v>
      </c>
    </row>
    <row r="109" spans="1:18" ht="15.75" customHeight="1" x14ac:dyDescent="0.3">
      <c r="A109" s="235" t="s">
        <v>1712</v>
      </c>
      <c r="B109" s="248"/>
      <c r="C109" s="248"/>
      <c r="D109" s="248"/>
      <c r="E109" s="38" t="s">
        <v>852</v>
      </c>
      <c r="F109" s="248"/>
      <c r="G109" s="248"/>
      <c r="H109" s="248"/>
      <c r="I109" s="38" t="s">
        <v>852</v>
      </c>
      <c r="J109" s="248"/>
      <c r="K109" s="248"/>
      <c r="L109" s="248"/>
      <c r="M109" s="38" t="s">
        <v>852</v>
      </c>
      <c r="N109" s="248"/>
      <c r="O109" s="248"/>
      <c r="P109" s="248"/>
      <c r="Q109" s="38" t="s">
        <v>852</v>
      </c>
      <c r="R109" s="38" t="s">
        <v>852</v>
      </c>
    </row>
    <row r="110" spans="1:18" ht="15.75" customHeight="1" x14ac:dyDescent="0.3">
      <c r="A110" s="235" t="s">
        <v>556</v>
      </c>
      <c r="B110" s="248"/>
      <c r="C110" s="248"/>
      <c r="D110" s="248"/>
      <c r="E110" s="38" t="s">
        <v>852</v>
      </c>
      <c r="F110" s="248"/>
      <c r="G110" s="248"/>
      <c r="H110" s="248"/>
      <c r="I110" s="38" t="s">
        <v>852</v>
      </c>
      <c r="J110" s="248"/>
      <c r="K110" s="248"/>
      <c r="L110" s="248"/>
      <c r="M110" s="38" t="s">
        <v>852</v>
      </c>
      <c r="N110" s="248"/>
      <c r="O110" s="248"/>
      <c r="P110" s="248"/>
      <c r="Q110" s="38" t="s">
        <v>852</v>
      </c>
      <c r="R110" s="38" t="s">
        <v>852</v>
      </c>
    </row>
    <row r="111" spans="1:18" ht="15.75" customHeight="1" x14ac:dyDescent="0.3">
      <c r="A111" s="249" t="s">
        <v>90</v>
      </c>
      <c r="B111" s="172">
        <v>0</v>
      </c>
      <c r="C111" s="172">
        <v>0</v>
      </c>
      <c r="D111" s="172">
        <v>0</v>
      </c>
      <c r="E111" s="38">
        <f t="shared" ref="E111:E118" si="14">SUM(B111:D111)</f>
        <v>0</v>
      </c>
      <c r="F111" s="172">
        <v>0</v>
      </c>
      <c r="G111" s="172">
        <v>0</v>
      </c>
      <c r="H111" s="172">
        <v>0</v>
      </c>
      <c r="I111" s="38">
        <f t="shared" ref="I111:I118" si="15">SUM(F111:H111)</f>
        <v>0</v>
      </c>
      <c r="J111" s="172">
        <v>0</v>
      </c>
      <c r="K111" s="172">
        <v>0</v>
      </c>
      <c r="L111" s="172">
        <v>0</v>
      </c>
      <c r="M111" s="38">
        <f t="shared" ref="M111:M118" si="16">SUM(J111:L111)</f>
        <v>0</v>
      </c>
      <c r="N111" s="172">
        <v>0</v>
      </c>
      <c r="O111" s="172">
        <v>0</v>
      </c>
      <c r="P111" s="172">
        <v>0</v>
      </c>
      <c r="Q111" s="38">
        <f t="shared" ref="Q111:Q118" si="17">SUM(N111:P111)</f>
        <v>0</v>
      </c>
      <c r="R111" s="38">
        <f t="shared" ref="R111:R118" si="18">+E111+I111+M111+Q111</f>
        <v>0</v>
      </c>
    </row>
    <row r="112" spans="1:18" ht="15.75" customHeight="1" x14ac:dyDescent="0.3">
      <c r="A112" s="249" t="s">
        <v>656</v>
      </c>
      <c r="B112" s="172">
        <v>0</v>
      </c>
      <c r="C112" s="172">
        <v>0</v>
      </c>
      <c r="D112" s="172">
        <v>0</v>
      </c>
      <c r="E112" s="38">
        <f>SUM(B112:D112)</f>
        <v>0</v>
      </c>
      <c r="F112" s="172">
        <v>2199</v>
      </c>
      <c r="G112" s="172">
        <v>0</v>
      </c>
      <c r="H112" s="172">
        <v>0</v>
      </c>
      <c r="I112" s="38">
        <f>SUM(F112:H112)</f>
        <v>2199</v>
      </c>
      <c r="J112" s="172">
        <v>0</v>
      </c>
      <c r="K112" s="172">
        <v>0</v>
      </c>
      <c r="L112" s="172">
        <v>0</v>
      </c>
      <c r="M112" s="38">
        <f>SUM(J112:L112)</f>
        <v>0</v>
      </c>
      <c r="N112" s="172">
        <v>0</v>
      </c>
      <c r="O112" s="172">
        <v>0</v>
      </c>
      <c r="P112" s="172">
        <v>596</v>
      </c>
      <c r="Q112" s="38">
        <f>SUM(N112:P112)</f>
        <v>596</v>
      </c>
      <c r="R112" s="38">
        <f>+E112+I112+M112+Q112</f>
        <v>2795</v>
      </c>
    </row>
    <row r="113" spans="1:18" ht="15.75" customHeight="1" x14ac:dyDescent="0.3">
      <c r="A113" s="249" t="s">
        <v>1572</v>
      </c>
      <c r="B113" s="172">
        <v>0</v>
      </c>
      <c r="C113" s="172">
        <v>0</v>
      </c>
      <c r="D113" s="172">
        <v>0</v>
      </c>
      <c r="E113" s="38">
        <f>SUM(B113:D113)</f>
        <v>0</v>
      </c>
      <c r="F113" s="172">
        <v>0</v>
      </c>
      <c r="G113" s="172">
        <v>0</v>
      </c>
      <c r="H113" s="172">
        <v>0</v>
      </c>
      <c r="I113" s="38">
        <f>SUM(F113:H113)</f>
        <v>0</v>
      </c>
      <c r="J113" s="172">
        <v>0</v>
      </c>
      <c r="K113" s="172">
        <v>0</v>
      </c>
      <c r="L113" s="172">
        <v>0</v>
      </c>
      <c r="M113" s="38">
        <f>SUM(J113:L113)</f>
        <v>0</v>
      </c>
      <c r="N113" s="172">
        <v>0</v>
      </c>
      <c r="O113" s="172">
        <v>0</v>
      </c>
      <c r="P113" s="172">
        <v>0</v>
      </c>
      <c r="Q113" s="38">
        <f>SUM(N113:P113)</f>
        <v>0</v>
      </c>
      <c r="R113" s="38">
        <f>+E113+I113+M113+Q113</f>
        <v>0</v>
      </c>
    </row>
    <row r="114" spans="1:18" ht="15.75" customHeight="1" x14ac:dyDescent="0.3">
      <c r="A114" s="249" t="s">
        <v>2087</v>
      </c>
      <c r="B114" s="172">
        <v>0</v>
      </c>
      <c r="C114" s="172">
        <v>0</v>
      </c>
      <c r="D114" s="172">
        <v>4500</v>
      </c>
      <c r="E114" s="38">
        <f>SUM(B114:D114)</f>
        <v>4500</v>
      </c>
      <c r="F114" s="172">
        <v>0</v>
      </c>
      <c r="G114" s="172">
        <v>0</v>
      </c>
      <c r="H114" s="172">
        <v>0</v>
      </c>
      <c r="I114" s="38">
        <f>SUM(F114:H114)</f>
        <v>0</v>
      </c>
      <c r="J114" s="172">
        <v>0</v>
      </c>
      <c r="K114" s="172">
        <v>0</v>
      </c>
      <c r="L114" s="172">
        <v>0</v>
      </c>
      <c r="M114" s="38">
        <f>SUM(J114:L114)</f>
        <v>0</v>
      </c>
      <c r="N114" s="172">
        <v>0</v>
      </c>
      <c r="O114" s="172">
        <v>0</v>
      </c>
      <c r="P114" s="172">
        <v>0</v>
      </c>
      <c r="Q114" s="38">
        <f>SUM(N114:P114)</f>
        <v>0</v>
      </c>
      <c r="R114" s="38">
        <f>+E114+I114+M114+Q114</f>
        <v>4500</v>
      </c>
    </row>
    <row r="115" spans="1:18" ht="15.75" customHeight="1" x14ac:dyDescent="0.3">
      <c r="A115" s="249" t="s">
        <v>877</v>
      </c>
      <c r="B115" s="172">
        <v>800</v>
      </c>
      <c r="C115" s="172">
        <v>0</v>
      </c>
      <c r="D115" s="172">
        <v>0</v>
      </c>
      <c r="E115" s="38">
        <f t="shared" si="14"/>
        <v>800</v>
      </c>
      <c r="F115" s="172">
        <v>0</v>
      </c>
      <c r="G115" s="172">
        <v>0</v>
      </c>
      <c r="H115" s="172">
        <v>0</v>
      </c>
      <c r="I115" s="38">
        <f t="shared" si="15"/>
        <v>0</v>
      </c>
      <c r="J115" s="172">
        <v>0</v>
      </c>
      <c r="K115" s="172">
        <v>0</v>
      </c>
      <c r="L115" s="172">
        <v>0</v>
      </c>
      <c r="M115" s="38">
        <f t="shared" si="16"/>
        <v>0</v>
      </c>
      <c r="N115" s="172">
        <v>0</v>
      </c>
      <c r="O115" s="172">
        <v>0</v>
      </c>
      <c r="P115" s="172">
        <v>0</v>
      </c>
      <c r="Q115" s="38">
        <f t="shared" si="17"/>
        <v>0</v>
      </c>
      <c r="R115" s="38">
        <f t="shared" si="18"/>
        <v>800</v>
      </c>
    </row>
    <row r="116" spans="1:18" ht="15.75" customHeight="1" x14ac:dyDescent="0.3">
      <c r="A116" s="249" t="s">
        <v>521</v>
      </c>
      <c r="B116" s="172">
        <v>3477</v>
      </c>
      <c r="C116" s="172">
        <v>3292</v>
      </c>
      <c r="D116" s="172">
        <v>3586</v>
      </c>
      <c r="E116" s="38">
        <f t="shared" si="14"/>
        <v>10355</v>
      </c>
      <c r="F116" s="172">
        <v>3432</v>
      </c>
      <c r="G116" s="172">
        <v>3354</v>
      </c>
      <c r="H116" s="172">
        <v>0</v>
      </c>
      <c r="I116" s="38">
        <f t="shared" si="15"/>
        <v>6786</v>
      </c>
      <c r="J116" s="172">
        <v>0</v>
      </c>
      <c r="K116" s="172">
        <v>4812</v>
      </c>
      <c r="L116" s="172">
        <v>5487</v>
      </c>
      <c r="M116" s="38">
        <f t="shared" si="16"/>
        <v>10299</v>
      </c>
      <c r="N116" s="172">
        <v>5855</v>
      </c>
      <c r="O116" s="172">
        <v>2982</v>
      </c>
      <c r="P116" s="172">
        <v>0</v>
      </c>
      <c r="Q116" s="38">
        <f t="shared" si="17"/>
        <v>8837</v>
      </c>
      <c r="R116" s="38">
        <f t="shared" si="18"/>
        <v>36277</v>
      </c>
    </row>
    <row r="117" spans="1:18" ht="15.75" customHeight="1" x14ac:dyDescent="0.3">
      <c r="A117" s="249" t="s">
        <v>795</v>
      </c>
      <c r="B117" s="172">
        <v>0</v>
      </c>
      <c r="C117" s="172">
        <v>0</v>
      </c>
      <c r="D117" s="172">
        <v>0</v>
      </c>
      <c r="E117" s="38">
        <f t="shared" si="14"/>
        <v>0</v>
      </c>
      <c r="F117" s="172">
        <v>0</v>
      </c>
      <c r="G117" s="172">
        <v>0</v>
      </c>
      <c r="H117" s="172">
        <v>0</v>
      </c>
      <c r="I117" s="38">
        <f t="shared" si="15"/>
        <v>0</v>
      </c>
      <c r="J117" s="172">
        <v>0</v>
      </c>
      <c r="K117" s="172">
        <v>0</v>
      </c>
      <c r="L117" s="172">
        <v>0</v>
      </c>
      <c r="M117" s="38">
        <f t="shared" si="16"/>
        <v>0</v>
      </c>
      <c r="N117" s="172">
        <v>0</v>
      </c>
      <c r="O117" s="172">
        <v>0</v>
      </c>
      <c r="P117" s="172">
        <v>0</v>
      </c>
      <c r="Q117" s="38">
        <f t="shared" si="17"/>
        <v>0</v>
      </c>
      <c r="R117" s="38">
        <f t="shared" si="18"/>
        <v>0</v>
      </c>
    </row>
    <row r="118" spans="1:18" ht="15.75" customHeight="1" x14ac:dyDescent="0.3">
      <c r="A118" s="249" t="s">
        <v>1298</v>
      </c>
      <c r="B118" s="172">
        <v>1035</v>
      </c>
      <c r="C118" s="172">
        <v>1262</v>
      </c>
      <c r="D118" s="172">
        <v>1828</v>
      </c>
      <c r="E118" s="38">
        <f t="shared" si="14"/>
        <v>4125</v>
      </c>
      <c r="F118" s="172">
        <v>1652</v>
      </c>
      <c r="G118" s="172">
        <v>1749</v>
      </c>
      <c r="H118" s="172">
        <v>2446</v>
      </c>
      <c r="I118" s="38">
        <f t="shared" si="15"/>
        <v>5847</v>
      </c>
      <c r="J118" s="172">
        <v>2728</v>
      </c>
      <c r="K118" s="172">
        <v>2973</v>
      </c>
      <c r="L118" s="172">
        <v>2179</v>
      </c>
      <c r="M118" s="38">
        <f t="shared" si="16"/>
        <v>7880</v>
      </c>
      <c r="N118" s="172">
        <v>2145</v>
      </c>
      <c r="O118" s="172">
        <v>0</v>
      </c>
      <c r="P118" s="172">
        <v>0</v>
      </c>
      <c r="Q118" s="38">
        <f t="shared" si="17"/>
        <v>2145</v>
      </c>
      <c r="R118" s="38">
        <f t="shared" si="18"/>
        <v>19997</v>
      </c>
    </row>
    <row r="119" spans="1:18" ht="15.75" customHeight="1" x14ac:dyDescent="0.3">
      <c r="A119" s="235" t="s">
        <v>557</v>
      </c>
      <c r="B119" s="248"/>
      <c r="C119" s="248"/>
      <c r="D119" s="248"/>
      <c r="E119" s="38" t="s">
        <v>852</v>
      </c>
      <c r="F119" s="248"/>
      <c r="G119" s="248"/>
      <c r="H119" s="248"/>
      <c r="I119" s="38" t="s">
        <v>852</v>
      </c>
      <c r="J119" s="248"/>
      <c r="K119" s="248"/>
      <c r="L119" s="248"/>
      <c r="M119" s="38" t="s">
        <v>852</v>
      </c>
      <c r="N119" s="248"/>
      <c r="O119" s="248"/>
      <c r="P119" s="248"/>
      <c r="Q119" s="38" t="s">
        <v>852</v>
      </c>
      <c r="R119" s="38" t="s">
        <v>852</v>
      </c>
    </row>
    <row r="120" spans="1:18" ht="15.75" customHeight="1" x14ac:dyDescent="0.3">
      <c r="A120" s="249" t="s">
        <v>2035</v>
      </c>
      <c r="B120" s="172">
        <v>2958</v>
      </c>
      <c r="C120" s="172">
        <v>2012</v>
      </c>
      <c r="D120" s="172">
        <v>3755</v>
      </c>
      <c r="E120" s="38">
        <f>SUM(B120:D120)</f>
        <v>8725</v>
      </c>
      <c r="F120" s="172">
        <v>2422</v>
      </c>
      <c r="G120" s="172">
        <v>5126</v>
      </c>
      <c r="H120" s="172">
        <v>2898</v>
      </c>
      <c r="I120" s="38">
        <f>SUM(F120:H120)</f>
        <v>10446</v>
      </c>
      <c r="J120" s="172">
        <v>455</v>
      </c>
      <c r="K120" s="172">
        <v>0</v>
      </c>
      <c r="L120" s="172">
        <v>0</v>
      </c>
      <c r="M120" s="38">
        <f>SUM(J120:L120)</f>
        <v>455</v>
      </c>
      <c r="N120" s="172">
        <v>0</v>
      </c>
      <c r="O120" s="172">
        <v>6838</v>
      </c>
      <c r="P120" s="172">
        <v>12001</v>
      </c>
      <c r="Q120" s="38">
        <f>SUM(N120:P120)</f>
        <v>18839</v>
      </c>
      <c r="R120" s="38">
        <f>+E120+I120+M120+Q120</f>
        <v>38465</v>
      </c>
    </row>
    <row r="121" spans="1:18" ht="15.75" customHeight="1" x14ac:dyDescent="0.3">
      <c r="A121" s="249" t="s">
        <v>106</v>
      </c>
      <c r="B121" s="172">
        <v>0</v>
      </c>
      <c r="C121" s="172">
        <v>0</v>
      </c>
      <c r="D121" s="172">
        <v>0</v>
      </c>
      <c r="E121" s="38">
        <f>SUM(B121:D121)</f>
        <v>0</v>
      </c>
      <c r="F121" s="172">
        <v>0</v>
      </c>
      <c r="G121" s="172">
        <v>0</v>
      </c>
      <c r="H121" s="172">
        <v>0</v>
      </c>
      <c r="I121" s="38">
        <f>SUM(F121:H121)</f>
        <v>0</v>
      </c>
      <c r="J121" s="172">
        <v>0</v>
      </c>
      <c r="K121" s="172">
        <v>0</v>
      </c>
      <c r="L121" s="172">
        <v>0</v>
      </c>
      <c r="M121" s="38">
        <f>SUM(J121:L121)</f>
        <v>0</v>
      </c>
      <c r="N121" s="172">
        <v>0</v>
      </c>
      <c r="O121" s="172">
        <v>0</v>
      </c>
      <c r="P121" s="172">
        <v>0</v>
      </c>
      <c r="Q121" s="38">
        <f>SUM(N121:P121)</f>
        <v>0</v>
      </c>
      <c r="R121" s="38">
        <f>+E121+I121+M121+Q121</f>
        <v>0</v>
      </c>
    </row>
    <row r="122" spans="1:18" ht="15.75" customHeight="1" x14ac:dyDescent="0.3">
      <c r="A122" s="235" t="s">
        <v>558</v>
      </c>
      <c r="B122" s="248"/>
      <c r="C122" s="248"/>
      <c r="D122" s="248"/>
      <c r="E122" s="38" t="s">
        <v>852</v>
      </c>
      <c r="F122" s="248"/>
      <c r="G122" s="248"/>
      <c r="H122" s="248"/>
      <c r="I122" s="38" t="s">
        <v>852</v>
      </c>
      <c r="J122" s="248"/>
      <c r="K122" s="248"/>
      <c r="L122" s="248"/>
      <c r="M122" s="38" t="s">
        <v>852</v>
      </c>
      <c r="N122" s="248"/>
      <c r="O122" s="248"/>
      <c r="P122" s="248"/>
      <c r="Q122" s="38" t="s">
        <v>852</v>
      </c>
      <c r="R122" s="38" t="s">
        <v>852</v>
      </c>
    </row>
    <row r="123" spans="1:18" ht="15.75" customHeight="1" x14ac:dyDescent="0.3">
      <c r="A123" s="249" t="s">
        <v>239</v>
      </c>
      <c r="B123" s="172">
        <v>0</v>
      </c>
      <c r="C123" s="172">
        <v>0</v>
      </c>
      <c r="D123" s="172">
        <v>0</v>
      </c>
      <c r="E123" s="38">
        <f>SUM(B123:D123)</f>
        <v>0</v>
      </c>
      <c r="F123" s="172">
        <v>278</v>
      </c>
      <c r="G123" s="172">
        <v>493</v>
      </c>
      <c r="H123" s="172">
        <v>463</v>
      </c>
      <c r="I123" s="38">
        <f>SUM(F123:H123)</f>
        <v>1234</v>
      </c>
      <c r="J123" s="172">
        <v>923</v>
      </c>
      <c r="K123" s="172">
        <v>2087</v>
      </c>
      <c r="L123" s="172">
        <v>2065</v>
      </c>
      <c r="M123" s="38">
        <f>SUM(J123:L123)</f>
        <v>5075</v>
      </c>
      <c r="N123" s="172">
        <v>643</v>
      </c>
      <c r="O123" s="172">
        <v>116</v>
      </c>
      <c r="P123" s="172">
        <v>286</v>
      </c>
      <c r="Q123" s="38">
        <f>SUM(N123:P123)</f>
        <v>1045</v>
      </c>
      <c r="R123" s="38">
        <f>+E123+I123+M123+Q123</f>
        <v>7354</v>
      </c>
    </row>
    <row r="124" spans="1:18" ht="15.75" customHeight="1" x14ac:dyDescent="0.3">
      <c r="A124" s="235" t="s">
        <v>559</v>
      </c>
      <c r="B124" s="248"/>
      <c r="C124" s="248"/>
      <c r="D124" s="248"/>
      <c r="E124" s="38" t="s">
        <v>852</v>
      </c>
      <c r="F124" s="248"/>
      <c r="G124" s="248"/>
      <c r="H124" s="248"/>
      <c r="I124" s="38" t="s">
        <v>852</v>
      </c>
      <c r="J124" s="248"/>
      <c r="K124" s="248"/>
      <c r="L124" s="248"/>
      <c r="M124" s="38" t="s">
        <v>852</v>
      </c>
      <c r="N124" s="248"/>
      <c r="O124" s="248"/>
      <c r="P124" s="248"/>
      <c r="Q124" s="38" t="s">
        <v>852</v>
      </c>
      <c r="R124" s="38" t="s">
        <v>852</v>
      </c>
    </row>
    <row r="125" spans="1:18" ht="15.75" customHeight="1" thickBot="1" x14ac:dyDescent="0.35">
      <c r="A125" s="249" t="s">
        <v>702</v>
      </c>
      <c r="B125" s="172">
        <v>0</v>
      </c>
      <c r="C125" s="172">
        <v>0</v>
      </c>
      <c r="D125" s="172">
        <v>0</v>
      </c>
      <c r="E125" s="38">
        <f>SUM(B125:D125)</f>
        <v>0</v>
      </c>
      <c r="F125" s="172">
        <v>0</v>
      </c>
      <c r="G125" s="172">
        <v>0</v>
      </c>
      <c r="H125" s="172">
        <v>0</v>
      </c>
      <c r="I125" s="38">
        <f>SUM(F125:H125)</f>
        <v>0</v>
      </c>
      <c r="J125" s="172">
        <v>0</v>
      </c>
      <c r="K125" s="172">
        <v>0</v>
      </c>
      <c r="L125" s="172">
        <v>0</v>
      </c>
      <c r="M125" s="38">
        <f>SUM(J125:L125)</f>
        <v>0</v>
      </c>
      <c r="N125" s="172">
        <v>0</v>
      </c>
      <c r="O125" s="172">
        <v>0</v>
      </c>
      <c r="P125" s="172">
        <v>0</v>
      </c>
      <c r="Q125" s="38">
        <f>SUM(N125:P125)</f>
        <v>0</v>
      </c>
      <c r="R125" s="38">
        <f>+E125+I125+M125+Q125</f>
        <v>0</v>
      </c>
    </row>
    <row r="126" spans="1:18" ht="15.75" customHeight="1" thickBot="1" x14ac:dyDescent="0.35">
      <c r="A126" s="43" t="s">
        <v>1019</v>
      </c>
      <c r="B126" s="42">
        <f>SUM(B124:B125)</f>
        <v>0</v>
      </c>
      <c r="C126" s="42">
        <f>SUM(C124:C125)</f>
        <v>0</v>
      </c>
      <c r="D126" s="42">
        <f>SUM(D124:D125)</f>
        <v>0</v>
      </c>
      <c r="E126" s="39">
        <f>SUM(B126:D126)</f>
        <v>0</v>
      </c>
      <c r="F126" s="42">
        <f>SUM(F124:F125)</f>
        <v>0</v>
      </c>
      <c r="G126" s="42">
        <f>SUM(G124:G125)</f>
        <v>0</v>
      </c>
      <c r="H126" s="42">
        <f>SUM(H124:H125)</f>
        <v>0</v>
      </c>
      <c r="I126" s="39">
        <f>SUM(F126:H126)</f>
        <v>0</v>
      </c>
      <c r="J126" s="42">
        <f>SUM(J124:J125)</f>
        <v>0</v>
      </c>
      <c r="K126" s="42">
        <f>SUM(K124:K125)</f>
        <v>0</v>
      </c>
      <c r="L126" s="42">
        <f>SUM(L124:L125)</f>
        <v>0</v>
      </c>
      <c r="M126" s="39">
        <f>SUM(J126:L126)</f>
        <v>0</v>
      </c>
      <c r="N126" s="42">
        <f>SUM(N124:N125)</f>
        <v>0</v>
      </c>
      <c r="O126" s="42">
        <f>SUM(O124:O125)</f>
        <v>0</v>
      </c>
      <c r="P126" s="42">
        <f>SUM(P124:P125)</f>
        <v>0</v>
      </c>
      <c r="Q126" s="39">
        <f>SUM(N126:P126)</f>
        <v>0</v>
      </c>
      <c r="R126" s="37">
        <f>+E126+I126+M126+Q126</f>
        <v>0</v>
      </c>
    </row>
    <row r="127" spans="1:18" ht="15.75" customHeight="1" thickBot="1" x14ac:dyDescent="0.35">
      <c r="A127" s="43" t="s">
        <v>1221</v>
      </c>
      <c r="B127" s="42">
        <f>SUM(B109:B125)</f>
        <v>8270</v>
      </c>
      <c r="C127" s="42">
        <f>SUM(C109:C125)</f>
        <v>6566</v>
      </c>
      <c r="D127" s="42">
        <f>SUM(D109:D125)</f>
        <v>13669</v>
      </c>
      <c r="E127" s="39">
        <f>SUM(B127:D127)</f>
        <v>28505</v>
      </c>
      <c r="F127" s="42">
        <f>SUM(F109:F125)</f>
        <v>9983</v>
      </c>
      <c r="G127" s="42">
        <f>SUM(G109:G125)</f>
        <v>10722</v>
      </c>
      <c r="H127" s="42">
        <f>SUM(H109:H125)</f>
        <v>5807</v>
      </c>
      <c r="I127" s="39">
        <f>SUM(F127:H127)</f>
        <v>26512</v>
      </c>
      <c r="J127" s="42">
        <f>SUM(J109:J125)</f>
        <v>4106</v>
      </c>
      <c r="K127" s="42">
        <f>SUM(K109:K125)</f>
        <v>9872</v>
      </c>
      <c r="L127" s="42">
        <f>SUM(L109:L125)</f>
        <v>9731</v>
      </c>
      <c r="M127" s="39">
        <f>SUM(J127:L127)</f>
        <v>23709</v>
      </c>
      <c r="N127" s="42">
        <f>SUM(N109:N125)</f>
        <v>8643</v>
      </c>
      <c r="O127" s="42">
        <f>SUM(O109:O125)</f>
        <v>9936</v>
      </c>
      <c r="P127" s="42">
        <f>SUM(P109:P125)</f>
        <v>12883</v>
      </c>
      <c r="Q127" s="39">
        <f>SUM(N127:P127)</f>
        <v>31462</v>
      </c>
      <c r="R127" s="37">
        <f>+E127+I127+M127+Q127</f>
        <v>110188</v>
      </c>
    </row>
    <row r="128" spans="1:18" ht="15.75" customHeight="1" thickBot="1" x14ac:dyDescent="0.35">
      <c r="A128" s="43" t="s">
        <v>1222</v>
      </c>
      <c r="B128" s="42">
        <f>+B89+B96+B108+B127</f>
        <v>15252</v>
      </c>
      <c r="C128" s="42">
        <f>+C89+C96+C108+C127</f>
        <v>15329</v>
      </c>
      <c r="D128" s="42">
        <f>+D89+D96+D108+D127</f>
        <v>21908</v>
      </c>
      <c r="E128" s="37">
        <f>SUM(B128:D128)</f>
        <v>52489</v>
      </c>
      <c r="F128" s="42">
        <f>+F89+F96+F108+F127</f>
        <v>21405</v>
      </c>
      <c r="G128" s="42">
        <f>+G89+G96+G108+G127</f>
        <v>20653</v>
      </c>
      <c r="H128" s="42">
        <f>+H89+H96+H108+H127</f>
        <v>15630</v>
      </c>
      <c r="I128" s="37">
        <f>SUM(F128:H128)</f>
        <v>57688</v>
      </c>
      <c r="J128" s="42">
        <f>+J89+J96+J108+J127</f>
        <v>6861</v>
      </c>
      <c r="K128" s="42">
        <f>+K89+K96+K108+K127</f>
        <v>13394</v>
      </c>
      <c r="L128" s="42">
        <f>+L89+L96+L108+L127</f>
        <v>12707</v>
      </c>
      <c r="M128" s="37">
        <f>SUM(J128:L128)</f>
        <v>32962</v>
      </c>
      <c r="N128" s="42">
        <f>+N89+N96+N108+N127</f>
        <v>11877</v>
      </c>
      <c r="O128" s="42">
        <f>+O89+O96+O108+O127</f>
        <v>14396</v>
      </c>
      <c r="P128" s="42">
        <f>+P89+P96+P108+P127</f>
        <v>15881</v>
      </c>
      <c r="Q128" s="37">
        <f>SUM(N128:P128)</f>
        <v>42154</v>
      </c>
      <c r="R128" s="37">
        <f>+E128+I128+M128+Q128</f>
        <v>185293</v>
      </c>
    </row>
    <row r="129" spans="1:18" ht="15.75" customHeight="1" thickBot="1" x14ac:dyDescent="0.35">
      <c r="A129" s="257" t="s">
        <v>853</v>
      </c>
      <c r="B129" s="238">
        <v>173</v>
      </c>
      <c r="C129" s="238">
        <v>260</v>
      </c>
      <c r="D129" s="238">
        <v>471</v>
      </c>
      <c r="E129" s="38">
        <f>SUM(B129:D129)</f>
        <v>904</v>
      </c>
      <c r="F129" s="238">
        <v>629</v>
      </c>
      <c r="G129" s="238">
        <v>725</v>
      </c>
      <c r="H129" s="238">
        <v>712</v>
      </c>
      <c r="I129" s="38">
        <f>SUM(F129:H129)</f>
        <v>2066</v>
      </c>
      <c r="J129" s="238">
        <v>711</v>
      </c>
      <c r="K129" s="238">
        <v>573</v>
      </c>
      <c r="L129" s="238">
        <v>542</v>
      </c>
      <c r="M129" s="38">
        <f>SUM(J129:L129)</f>
        <v>1826</v>
      </c>
      <c r="N129" s="238">
        <v>490</v>
      </c>
      <c r="O129" s="238">
        <v>407</v>
      </c>
      <c r="P129" s="238">
        <v>323</v>
      </c>
      <c r="Q129" s="38">
        <f>SUM(N129:P129)</f>
        <v>1220</v>
      </c>
      <c r="R129" s="38">
        <f>+E129+I129+M129+Q129</f>
        <v>6016</v>
      </c>
    </row>
    <row r="130" spans="1:18" ht="15.75" customHeight="1" thickBot="1" x14ac:dyDescent="0.35">
      <c r="A130" s="44"/>
      <c r="B130" s="258"/>
      <c r="C130" s="258"/>
      <c r="D130" s="258"/>
      <c r="E130" s="37" t="s">
        <v>852</v>
      </c>
      <c r="F130" s="258"/>
      <c r="G130" s="258"/>
      <c r="H130" s="258"/>
      <c r="I130" s="37" t="s">
        <v>852</v>
      </c>
      <c r="J130" s="258"/>
      <c r="K130" s="258"/>
      <c r="L130" s="258"/>
      <c r="M130" s="37" t="s">
        <v>852</v>
      </c>
      <c r="N130" s="258"/>
      <c r="O130" s="258"/>
      <c r="P130" s="258"/>
      <c r="Q130" s="37" t="s">
        <v>852</v>
      </c>
      <c r="R130" s="37" t="s">
        <v>852</v>
      </c>
    </row>
    <row r="131" spans="1:18" ht="15.75" customHeight="1" x14ac:dyDescent="0.3">
      <c r="A131" s="259" t="s">
        <v>2011</v>
      </c>
      <c r="B131" s="260">
        <f>+B128+B129</f>
        <v>15425</v>
      </c>
      <c r="C131" s="260">
        <f>+C128+C129</f>
        <v>15589</v>
      </c>
      <c r="D131" s="260">
        <f>+D128+D129</f>
        <v>22379</v>
      </c>
      <c r="E131" s="38">
        <f>SUM(B131:D131)</f>
        <v>53393</v>
      </c>
      <c r="F131" s="260">
        <f>+F128+F129</f>
        <v>22034</v>
      </c>
      <c r="G131" s="260">
        <f>+G128+G129</f>
        <v>21378</v>
      </c>
      <c r="H131" s="260">
        <f>+H128+H129</f>
        <v>16342</v>
      </c>
      <c r="I131" s="38">
        <f>SUM(F131:H131)</f>
        <v>59754</v>
      </c>
      <c r="J131" s="260">
        <f>+J128+J129</f>
        <v>7572</v>
      </c>
      <c r="K131" s="260">
        <f>+K128+K129</f>
        <v>13967</v>
      </c>
      <c r="L131" s="260">
        <f>+L128+L129</f>
        <v>13249</v>
      </c>
      <c r="M131" s="38">
        <f>SUM(J131:L131)</f>
        <v>34788</v>
      </c>
      <c r="N131" s="260">
        <f>+N128+N129</f>
        <v>12367</v>
      </c>
      <c r="O131" s="260">
        <f>+O128+O129</f>
        <v>14803</v>
      </c>
      <c r="P131" s="260">
        <f>+P128+P129</f>
        <v>16204</v>
      </c>
      <c r="Q131" s="38">
        <f>SUM(N131:P131)</f>
        <v>43374</v>
      </c>
      <c r="R131" s="38">
        <f>+E131+I131+M131+Q131</f>
        <v>191309</v>
      </c>
    </row>
    <row r="132" spans="1:18" ht="15.75" customHeight="1" x14ac:dyDescent="0.3">
      <c r="A132" s="261" t="s">
        <v>1897</v>
      </c>
      <c r="B132" s="172">
        <f>(B131/31)/1.983</f>
        <v>250.92316952157856</v>
      </c>
      <c r="C132" s="172">
        <f>(C131/28)/1.983</f>
        <v>280.76147251638929</v>
      </c>
      <c r="D132" s="172">
        <f>(D131/31)/1.983</f>
        <v>364.04600393668761</v>
      </c>
      <c r="E132" s="38" t="s">
        <v>852</v>
      </c>
      <c r="F132" s="172">
        <f>(F131/30)/1.983</f>
        <v>370.38157673558584</v>
      </c>
      <c r="G132" s="172">
        <f>(G131/31)/1.983</f>
        <v>347.76243228734563</v>
      </c>
      <c r="H132" s="172">
        <f>(H131/30)/1.983</f>
        <v>274.70163052613884</v>
      </c>
      <c r="I132" s="38" t="s">
        <v>852</v>
      </c>
      <c r="J132" s="172">
        <f>(J131/31)/1.983</f>
        <v>123.1760285003172</v>
      </c>
      <c r="K132" s="172">
        <f>(K131/31)/1.983</f>
        <v>227.20543978657295</v>
      </c>
      <c r="L132" s="172">
        <f>(L131/30)/1.983</f>
        <v>222.70969910909395</v>
      </c>
      <c r="M132" s="38" t="s">
        <v>852</v>
      </c>
      <c r="N132" s="172">
        <f>(N131/31)/1.983</f>
        <v>201.17775283457777</v>
      </c>
      <c r="O132" s="172">
        <f>(O131/30)/1.983</f>
        <v>248.83173642629012</v>
      </c>
      <c r="P132" s="172">
        <f>(P131/31)/1.983</f>
        <v>263.59539960633123</v>
      </c>
      <c r="Q132" s="38" t="s">
        <v>852</v>
      </c>
      <c r="R132" s="38" t="s">
        <v>852</v>
      </c>
    </row>
    <row r="133" spans="1:18" ht="15.75" customHeight="1" x14ac:dyDescent="0.3">
      <c r="A133" s="262" t="s">
        <v>1679</v>
      </c>
      <c r="B133" s="172">
        <f>B131+B256</f>
        <v>164447</v>
      </c>
      <c r="C133" s="172">
        <f>C131+C256</f>
        <v>157433</v>
      </c>
      <c r="D133" s="172">
        <f>D131+D256</f>
        <v>167886</v>
      </c>
      <c r="E133" s="38">
        <f>SUM(B133:D133)</f>
        <v>489766</v>
      </c>
      <c r="F133" s="172">
        <f>F131+F256</f>
        <v>165243</v>
      </c>
      <c r="G133" s="172">
        <f>G131+G256</f>
        <v>171161</v>
      </c>
      <c r="H133" s="172">
        <f>H131+H256</f>
        <v>127689</v>
      </c>
      <c r="I133" s="38">
        <f>SUM(F133:H133)</f>
        <v>464093</v>
      </c>
      <c r="J133" s="172">
        <f>J131+J256</f>
        <v>80119</v>
      </c>
      <c r="K133" s="172">
        <f>K131+K256</f>
        <v>67927</v>
      </c>
      <c r="L133" s="172">
        <f>L131+L256</f>
        <v>93793</v>
      </c>
      <c r="M133" s="38">
        <f>SUM(J133:L133)</f>
        <v>241839</v>
      </c>
      <c r="N133" s="172">
        <f>N131+N256</f>
        <v>134838</v>
      </c>
      <c r="O133" s="172">
        <f>O131+O256</f>
        <v>167694</v>
      </c>
      <c r="P133" s="172">
        <f>P131+P256</f>
        <v>66252</v>
      </c>
      <c r="Q133" s="38">
        <f>SUM(N133:P133)</f>
        <v>368784</v>
      </c>
      <c r="R133" s="38">
        <f>+E133+I133+M133+Q133</f>
        <v>1564482</v>
      </c>
    </row>
    <row r="134" spans="1:18" ht="15.75" customHeight="1" thickBot="1" x14ac:dyDescent="0.35">
      <c r="A134" s="263" t="s">
        <v>6</v>
      </c>
      <c r="B134" s="264">
        <f>(B133/31)/1.983</f>
        <v>2675.1093976217203</v>
      </c>
      <c r="C134" s="264">
        <f>(C133/28)/1.983</f>
        <v>2835.4045097615444</v>
      </c>
      <c r="D134" s="264">
        <f>(D133/31)/1.983</f>
        <v>2731.0526572641647</v>
      </c>
      <c r="E134" s="40" t="s">
        <v>852</v>
      </c>
      <c r="F134" s="264">
        <f>(F133/30)/1.983</f>
        <v>2777.6601109430158</v>
      </c>
      <c r="G134" s="264">
        <f>(G133/31)/1.983</f>
        <v>2784.3280789940295</v>
      </c>
      <c r="H134" s="264">
        <f>(H133/30)/1.983</f>
        <v>2146.3943519919312</v>
      </c>
      <c r="I134" s="40" t="s">
        <v>852</v>
      </c>
      <c r="J134" s="264">
        <f>(J133/31)/1.983</f>
        <v>1303.3201568168138</v>
      </c>
      <c r="K134" s="264">
        <f>(K133/31)/1.983</f>
        <v>1104.9891822426105</v>
      </c>
      <c r="L134" s="264">
        <f>(L133/30)/1.983</f>
        <v>1576.6179189779793</v>
      </c>
      <c r="M134" s="40" t="s">
        <v>852</v>
      </c>
      <c r="N134" s="264">
        <f>(N133/31)/1.983</f>
        <v>2193.4507832707045</v>
      </c>
      <c r="O134" s="264">
        <f>(O133/30)/1.983</f>
        <v>2818.8603126575895</v>
      </c>
      <c r="P134" s="264">
        <f>(P133/31)/1.983</f>
        <v>1077.7414474647405</v>
      </c>
      <c r="Q134" s="40" t="s">
        <v>852</v>
      </c>
      <c r="R134" s="40" t="s">
        <v>852</v>
      </c>
    </row>
    <row r="135" spans="1:18" ht="15.75" customHeight="1" x14ac:dyDescent="0.3">
      <c r="A135" s="18"/>
      <c r="B135" s="172"/>
      <c r="C135" s="172"/>
      <c r="D135" s="172"/>
      <c r="E135" s="172"/>
      <c r="F135" s="172"/>
      <c r="G135" s="172"/>
      <c r="H135" s="172"/>
      <c r="I135" s="172"/>
      <c r="J135" s="172"/>
      <c r="K135" s="172"/>
      <c r="L135" s="172"/>
      <c r="M135" s="172"/>
      <c r="N135" s="172"/>
      <c r="O135" s="172"/>
      <c r="P135" s="172"/>
      <c r="Q135" s="172"/>
      <c r="R135" s="17"/>
    </row>
    <row r="136" spans="1:18" ht="15.75" customHeight="1" thickBot="1" x14ac:dyDescent="0.35">
      <c r="A136" s="18" t="s">
        <v>852</v>
      </c>
      <c r="B136" s="172"/>
      <c r="C136" s="172"/>
      <c r="D136" s="172"/>
      <c r="E136" s="172"/>
      <c r="F136" s="172"/>
      <c r="G136" s="172"/>
      <c r="H136" s="172"/>
      <c r="I136" s="172"/>
      <c r="J136" s="172"/>
      <c r="K136" s="172"/>
      <c r="L136" s="172"/>
      <c r="M136" s="172"/>
      <c r="N136" s="172"/>
      <c r="O136" s="172"/>
      <c r="P136" s="172"/>
      <c r="Q136" s="172"/>
      <c r="R136" s="17"/>
    </row>
    <row r="137" spans="1:18" ht="15.75" customHeight="1" thickBot="1" x14ac:dyDescent="0.35">
      <c r="A137" s="240" t="s">
        <v>1446</v>
      </c>
      <c r="B137" s="4" t="s">
        <v>2090</v>
      </c>
      <c r="C137" s="5" t="s">
        <v>2091</v>
      </c>
      <c r="D137" s="5" t="s">
        <v>2234</v>
      </c>
      <c r="E137" s="33" t="s">
        <v>1594</v>
      </c>
      <c r="F137" s="5" t="s">
        <v>2235</v>
      </c>
      <c r="G137" s="5" t="s">
        <v>2236</v>
      </c>
      <c r="H137" s="5" t="s">
        <v>2237</v>
      </c>
      <c r="I137" s="35" t="s">
        <v>1595</v>
      </c>
      <c r="J137" s="5" t="s">
        <v>1504</v>
      </c>
      <c r="K137" s="5" t="s">
        <v>1505</v>
      </c>
      <c r="L137" s="5" t="s">
        <v>1506</v>
      </c>
      <c r="M137" s="35" t="s">
        <v>1596</v>
      </c>
      <c r="N137" s="5" t="s">
        <v>1507</v>
      </c>
      <c r="O137" s="5" t="s">
        <v>1508</v>
      </c>
      <c r="P137" s="5" t="s">
        <v>1509</v>
      </c>
      <c r="Q137" s="35" t="s">
        <v>1597</v>
      </c>
      <c r="R137" s="36" t="s">
        <v>1510</v>
      </c>
    </row>
    <row r="138" spans="1:18" ht="15.75" customHeight="1" thickBot="1" x14ac:dyDescent="0.35">
      <c r="A138" s="44"/>
      <c r="B138" s="258"/>
      <c r="C138" s="258"/>
      <c r="D138" s="258"/>
      <c r="E138" s="265"/>
      <c r="F138" s="258"/>
      <c r="G138" s="258"/>
      <c r="H138" s="258"/>
      <c r="I138" s="265"/>
      <c r="J138" s="258"/>
      <c r="K138" s="258"/>
      <c r="L138" s="258"/>
      <c r="M138" s="265"/>
      <c r="N138" s="258"/>
      <c r="O138" s="258"/>
      <c r="P138" s="258"/>
      <c r="Q138" s="265"/>
      <c r="R138" s="44"/>
    </row>
    <row r="139" spans="1:18" ht="15.75" customHeight="1" x14ac:dyDescent="0.3">
      <c r="A139" s="234" t="s">
        <v>2417</v>
      </c>
      <c r="B139" s="172" t="s">
        <v>852</v>
      </c>
      <c r="C139" s="172" t="s">
        <v>852</v>
      </c>
      <c r="D139" s="172" t="s">
        <v>852</v>
      </c>
      <c r="E139" s="38" t="s">
        <v>852</v>
      </c>
      <c r="F139" s="172" t="s">
        <v>852</v>
      </c>
      <c r="G139" s="172" t="s">
        <v>852</v>
      </c>
      <c r="H139" s="172" t="s">
        <v>852</v>
      </c>
      <c r="I139" s="38" t="s">
        <v>852</v>
      </c>
      <c r="J139" s="172" t="s">
        <v>852</v>
      </c>
      <c r="K139" s="172" t="s">
        <v>852</v>
      </c>
      <c r="L139" s="172" t="s">
        <v>852</v>
      </c>
      <c r="M139" s="38" t="s">
        <v>852</v>
      </c>
      <c r="N139" s="172" t="s">
        <v>852</v>
      </c>
      <c r="O139" s="172" t="s">
        <v>852</v>
      </c>
      <c r="P139" s="172" t="s">
        <v>852</v>
      </c>
      <c r="Q139" s="38" t="s">
        <v>852</v>
      </c>
      <c r="R139" s="48" t="s">
        <v>852</v>
      </c>
    </row>
    <row r="140" spans="1:18" ht="15.75" customHeight="1" x14ac:dyDescent="0.3">
      <c r="A140" s="234" t="s">
        <v>2160</v>
      </c>
      <c r="B140" s="172"/>
      <c r="C140" s="172"/>
      <c r="D140" s="172"/>
      <c r="E140" s="38" t="s">
        <v>852</v>
      </c>
      <c r="F140" s="172"/>
      <c r="G140" s="172"/>
      <c r="H140" s="172"/>
      <c r="I140" s="38" t="s">
        <v>852</v>
      </c>
      <c r="J140" s="172"/>
      <c r="K140" s="172"/>
      <c r="L140" s="172"/>
      <c r="M140" s="38" t="s">
        <v>852</v>
      </c>
      <c r="N140" s="172"/>
      <c r="O140" s="172"/>
      <c r="P140" s="172"/>
      <c r="Q140" s="38" t="s">
        <v>852</v>
      </c>
      <c r="R140" s="48"/>
    </row>
    <row r="141" spans="1:18" ht="15.75" customHeight="1" x14ac:dyDescent="0.3">
      <c r="A141" s="266" t="s">
        <v>1638</v>
      </c>
      <c r="B141" s="172">
        <v>0</v>
      </c>
      <c r="C141" s="172">
        <v>0</v>
      </c>
      <c r="D141" s="172">
        <v>0</v>
      </c>
      <c r="E141" s="38">
        <f>SUM(B141:D141)</f>
        <v>0</v>
      </c>
      <c r="F141" s="172">
        <v>0</v>
      </c>
      <c r="G141" s="172">
        <v>0</v>
      </c>
      <c r="H141" s="172">
        <v>0</v>
      </c>
      <c r="I141" s="38">
        <f>SUM(F141:H141)</f>
        <v>0</v>
      </c>
      <c r="J141" s="172">
        <v>0</v>
      </c>
      <c r="K141" s="172">
        <v>0</v>
      </c>
      <c r="L141" s="172">
        <v>0</v>
      </c>
      <c r="M141" s="38">
        <f>SUM(J141:L141)</f>
        <v>0</v>
      </c>
      <c r="N141" s="172">
        <v>0</v>
      </c>
      <c r="O141" s="172">
        <v>0</v>
      </c>
      <c r="P141" s="172">
        <v>0</v>
      </c>
      <c r="Q141" s="38">
        <f>SUM(N141:P141)</f>
        <v>0</v>
      </c>
      <c r="R141" s="38">
        <f>+E141+I141+M141+Q141</f>
        <v>0</v>
      </c>
    </row>
    <row r="142" spans="1:18" ht="15.75" customHeight="1" x14ac:dyDescent="0.3">
      <c r="A142" s="267" t="s">
        <v>1609</v>
      </c>
      <c r="B142" s="172">
        <v>0</v>
      </c>
      <c r="C142" s="172">
        <v>0</v>
      </c>
      <c r="D142" s="172">
        <v>1525</v>
      </c>
      <c r="E142" s="38">
        <f>SUM(B142:D142)</f>
        <v>1525</v>
      </c>
      <c r="F142" s="172">
        <v>2353</v>
      </c>
      <c r="G142" s="172">
        <v>2471</v>
      </c>
      <c r="H142" s="172">
        <v>2616</v>
      </c>
      <c r="I142" s="38">
        <f>SUM(F142:H142)</f>
        <v>7440</v>
      </c>
      <c r="J142" s="172">
        <v>2021</v>
      </c>
      <c r="K142" s="172">
        <v>1952</v>
      </c>
      <c r="L142" s="172">
        <v>1250</v>
      </c>
      <c r="M142" s="38">
        <f>SUM(J142:L142)</f>
        <v>5223</v>
      </c>
      <c r="N142" s="172">
        <v>69</v>
      </c>
      <c r="O142" s="172">
        <v>5</v>
      </c>
      <c r="P142" s="172">
        <v>0</v>
      </c>
      <c r="Q142" s="38">
        <f>SUM(N142:P142)</f>
        <v>74</v>
      </c>
      <c r="R142" s="38">
        <f>+E142+I142+M142+Q142</f>
        <v>14262</v>
      </c>
    </row>
    <row r="143" spans="1:18" ht="15.75" customHeight="1" x14ac:dyDescent="0.3">
      <c r="A143" s="266" t="s">
        <v>2238</v>
      </c>
      <c r="B143" s="172">
        <v>4</v>
      </c>
      <c r="C143" s="172">
        <v>7</v>
      </c>
      <c r="D143" s="172">
        <v>93</v>
      </c>
      <c r="E143" s="38">
        <f t="shared" ref="E143:E158" si="19">SUM(B143:D143)</f>
        <v>104</v>
      </c>
      <c r="F143" s="172">
        <v>65</v>
      </c>
      <c r="G143" s="172">
        <v>45</v>
      </c>
      <c r="H143" s="172">
        <v>53</v>
      </c>
      <c r="I143" s="38">
        <f t="shared" ref="I143:I158" si="20">SUM(F143:H143)</f>
        <v>163</v>
      </c>
      <c r="J143" s="172">
        <v>37</v>
      </c>
      <c r="K143" s="172">
        <v>30</v>
      </c>
      <c r="L143" s="172">
        <v>27</v>
      </c>
      <c r="M143" s="38">
        <f t="shared" ref="M143:M158" si="21">SUM(J143:L143)</f>
        <v>94</v>
      </c>
      <c r="N143" s="172">
        <v>32</v>
      </c>
      <c r="O143" s="172">
        <v>21</v>
      </c>
      <c r="P143" s="172">
        <v>7</v>
      </c>
      <c r="Q143" s="38">
        <f t="shared" ref="Q143:Q158" si="22">SUM(N143:P143)</f>
        <v>60</v>
      </c>
      <c r="R143" s="38">
        <f t="shared" ref="R143:R158" si="23">+E143+I143+M143+Q143</f>
        <v>421</v>
      </c>
    </row>
    <row r="144" spans="1:18" ht="15.75" customHeight="1" x14ac:dyDescent="0.3">
      <c r="A144" s="267" t="s">
        <v>917</v>
      </c>
      <c r="B144" s="172">
        <v>0</v>
      </c>
      <c r="C144" s="172">
        <v>0</v>
      </c>
      <c r="D144" s="172">
        <v>0</v>
      </c>
      <c r="E144" s="38">
        <f t="shared" si="19"/>
        <v>0</v>
      </c>
      <c r="F144" s="172">
        <v>0</v>
      </c>
      <c r="G144" s="172">
        <v>0</v>
      </c>
      <c r="H144" s="172">
        <v>1362</v>
      </c>
      <c r="I144" s="38">
        <f t="shared" si="20"/>
        <v>1362</v>
      </c>
      <c r="J144" s="172">
        <v>3500</v>
      </c>
      <c r="K144" s="172">
        <v>554</v>
      </c>
      <c r="L144" s="172">
        <v>0</v>
      </c>
      <c r="M144" s="38">
        <f t="shared" si="21"/>
        <v>4054</v>
      </c>
      <c r="N144" s="172">
        <v>0</v>
      </c>
      <c r="O144" s="172">
        <v>0</v>
      </c>
      <c r="P144" s="172">
        <v>0</v>
      </c>
      <c r="Q144" s="38">
        <f t="shared" si="22"/>
        <v>0</v>
      </c>
      <c r="R144" s="38">
        <f t="shared" si="23"/>
        <v>5416</v>
      </c>
    </row>
    <row r="145" spans="1:18" ht="15.75" customHeight="1" x14ac:dyDescent="0.3">
      <c r="A145" s="267" t="s">
        <v>957</v>
      </c>
      <c r="B145" s="172">
        <v>1676</v>
      </c>
      <c r="C145" s="172">
        <v>1897</v>
      </c>
      <c r="D145" s="172">
        <v>2548</v>
      </c>
      <c r="E145" s="38">
        <f t="shared" si="19"/>
        <v>6121</v>
      </c>
      <c r="F145" s="172">
        <v>1625</v>
      </c>
      <c r="G145" s="172">
        <v>0</v>
      </c>
      <c r="H145" s="172">
        <v>0</v>
      </c>
      <c r="I145" s="38">
        <f t="shared" si="20"/>
        <v>1625</v>
      </c>
      <c r="J145" s="172">
        <v>0</v>
      </c>
      <c r="K145" s="172">
        <v>0</v>
      </c>
      <c r="L145" s="172">
        <v>0</v>
      </c>
      <c r="M145" s="38">
        <f t="shared" si="21"/>
        <v>0</v>
      </c>
      <c r="N145" s="172">
        <v>0</v>
      </c>
      <c r="O145" s="172">
        <v>0</v>
      </c>
      <c r="P145" s="172">
        <v>0</v>
      </c>
      <c r="Q145" s="38">
        <f t="shared" si="22"/>
        <v>0</v>
      </c>
      <c r="R145" s="38">
        <f t="shared" si="23"/>
        <v>7746</v>
      </c>
    </row>
    <row r="146" spans="1:18" ht="15.75" customHeight="1" x14ac:dyDescent="0.3">
      <c r="A146" s="266" t="s">
        <v>1880</v>
      </c>
      <c r="B146" s="172">
        <v>40</v>
      </c>
      <c r="C146" s="172">
        <v>46</v>
      </c>
      <c r="D146" s="172">
        <v>60</v>
      </c>
      <c r="E146" s="38">
        <f t="shared" si="19"/>
        <v>146</v>
      </c>
      <c r="F146" s="172">
        <v>72</v>
      </c>
      <c r="G146" s="172">
        <v>76</v>
      </c>
      <c r="H146" s="172">
        <v>56</v>
      </c>
      <c r="I146" s="38">
        <f t="shared" si="20"/>
        <v>204</v>
      </c>
      <c r="J146" s="172">
        <v>46</v>
      </c>
      <c r="K146" s="172">
        <v>48</v>
      </c>
      <c r="L146" s="172">
        <v>36</v>
      </c>
      <c r="M146" s="38">
        <f t="shared" si="21"/>
        <v>130</v>
      </c>
      <c r="N146" s="172">
        <v>32</v>
      </c>
      <c r="O146" s="172">
        <v>29</v>
      </c>
      <c r="P146" s="172">
        <v>11</v>
      </c>
      <c r="Q146" s="38">
        <f t="shared" si="22"/>
        <v>72</v>
      </c>
      <c r="R146" s="38">
        <f t="shared" si="23"/>
        <v>552</v>
      </c>
    </row>
    <row r="147" spans="1:18" ht="15.75" customHeight="1" x14ac:dyDescent="0.3">
      <c r="A147" s="266" t="s">
        <v>703</v>
      </c>
      <c r="B147" s="172">
        <v>0</v>
      </c>
      <c r="C147" s="172">
        <v>323</v>
      </c>
      <c r="D147" s="172">
        <v>177</v>
      </c>
      <c r="E147" s="38">
        <f t="shared" si="19"/>
        <v>500</v>
      </c>
      <c r="F147" s="172">
        <v>195</v>
      </c>
      <c r="G147" s="172">
        <v>193</v>
      </c>
      <c r="H147" s="172">
        <v>171</v>
      </c>
      <c r="I147" s="38">
        <f t="shared" si="20"/>
        <v>559</v>
      </c>
      <c r="J147" s="172">
        <v>220</v>
      </c>
      <c r="K147" s="172">
        <v>214</v>
      </c>
      <c r="L147" s="172">
        <v>194</v>
      </c>
      <c r="M147" s="38">
        <f t="shared" si="21"/>
        <v>628</v>
      </c>
      <c r="N147" s="172">
        <v>186</v>
      </c>
      <c r="O147" s="172">
        <v>158</v>
      </c>
      <c r="P147" s="172">
        <v>144</v>
      </c>
      <c r="Q147" s="38">
        <f t="shared" si="22"/>
        <v>488</v>
      </c>
      <c r="R147" s="38">
        <f t="shared" si="23"/>
        <v>2175</v>
      </c>
    </row>
    <row r="148" spans="1:18" ht="15.75" customHeight="1" x14ac:dyDescent="0.3">
      <c r="A148" s="266" t="s">
        <v>2304</v>
      </c>
      <c r="B148" s="172">
        <v>0</v>
      </c>
      <c r="C148" s="172">
        <v>0</v>
      </c>
      <c r="D148" s="172">
        <v>0</v>
      </c>
      <c r="E148" s="38">
        <f t="shared" si="19"/>
        <v>0</v>
      </c>
      <c r="F148" s="172">
        <v>0</v>
      </c>
      <c r="G148" s="172">
        <v>0</v>
      </c>
      <c r="H148" s="172">
        <v>0</v>
      </c>
      <c r="I148" s="38">
        <f t="shared" si="20"/>
        <v>0</v>
      </c>
      <c r="J148" s="172">
        <v>0</v>
      </c>
      <c r="K148" s="172">
        <v>0</v>
      </c>
      <c r="L148" s="172">
        <v>810</v>
      </c>
      <c r="M148" s="38">
        <f t="shared" si="21"/>
        <v>810</v>
      </c>
      <c r="N148" s="172">
        <v>0</v>
      </c>
      <c r="O148" s="172">
        <v>650</v>
      </c>
      <c r="P148" s="172">
        <v>0</v>
      </c>
      <c r="Q148" s="38">
        <f t="shared" si="22"/>
        <v>650</v>
      </c>
      <c r="R148" s="38">
        <f t="shared" si="23"/>
        <v>1460</v>
      </c>
    </row>
    <row r="149" spans="1:18" ht="15.75" customHeight="1" x14ac:dyDescent="0.3">
      <c r="A149" s="266" t="s">
        <v>1676</v>
      </c>
      <c r="B149" s="172">
        <v>442</v>
      </c>
      <c r="C149" s="172">
        <v>383</v>
      </c>
      <c r="D149" s="172">
        <v>488</v>
      </c>
      <c r="E149" s="38">
        <f t="shared" si="19"/>
        <v>1313</v>
      </c>
      <c r="F149" s="172">
        <v>542</v>
      </c>
      <c r="G149" s="172">
        <v>486</v>
      </c>
      <c r="H149" s="172">
        <v>461</v>
      </c>
      <c r="I149" s="38">
        <f t="shared" si="20"/>
        <v>1489</v>
      </c>
      <c r="J149" s="172">
        <v>520</v>
      </c>
      <c r="K149" s="172">
        <v>505</v>
      </c>
      <c r="L149" s="172">
        <v>440</v>
      </c>
      <c r="M149" s="38">
        <f t="shared" si="21"/>
        <v>1465</v>
      </c>
      <c r="N149" s="172">
        <v>551</v>
      </c>
      <c r="O149" s="172">
        <v>460</v>
      </c>
      <c r="P149" s="172">
        <v>406</v>
      </c>
      <c r="Q149" s="38">
        <f t="shared" si="22"/>
        <v>1417</v>
      </c>
      <c r="R149" s="38">
        <f t="shared" si="23"/>
        <v>5684</v>
      </c>
    </row>
    <row r="150" spans="1:18" ht="15.75" customHeight="1" x14ac:dyDescent="0.3">
      <c r="A150" s="266" t="s">
        <v>347</v>
      </c>
      <c r="B150" s="172">
        <v>0</v>
      </c>
      <c r="C150" s="172">
        <v>0</v>
      </c>
      <c r="D150" s="172">
        <v>0</v>
      </c>
      <c r="E150" s="38">
        <f>SUM(B150:D150)</f>
        <v>0</v>
      </c>
      <c r="F150" s="172">
        <v>0</v>
      </c>
      <c r="G150" s="172">
        <v>0</v>
      </c>
      <c r="H150" s="172">
        <v>210</v>
      </c>
      <c r="I150" s="38">
        <f>SUM(F150:H150)</f>
        <v>210</v>
      </c>
      <c r="J150" s="172">
        <v>721</v>
      </c>
      <c r="K150" s="172">
        <v>1577</v>
      </c>
      <c r="L150" s="172">
        <v>434</v>
      </c>
      <c r="M150" s="38">
        <f>SUM(J150:L150)</f>
        <v>2732</v>
      </c>
      <c r="N150" s="172">
        <v>290</v>
      </c>
      <c r="O150" s="172">
        <v>500</v>
      </c>
      <c r="P150" s="172">
        <v>0</v>
      </c>
      <c r="Q150" s="38">
        <f>SUM(N150:P150)</f>
        <v>790</v>
      </c>
      <c r="R150" s="38">
        <f>+E150+I150+M150+Q150</f>
        <v>3732</v>
      </c>
    </row>
    <row r="151" spans="1:18" ht="15.75" customHeight="1" x14ac:dyDescent="0.3">
      <c r="A151" s="266" t="s">
        <v>1779</v>
      </c>
      <c r="B151" s="172">
        <v>0</v>
      </c>
      <c r="C151" s="172">
        <v>0</v>
      </c>
      <c r="D151" s="172">
        <v>0</v>
      </c>
      <c r="E151" s="38">
        <f>SUM(B151:D151)</f>
        <v>0</v>
      </c>
      <c r="F151" s="172">
        <v>170</v>
      </c>
      <c r="G151" s="172">
        <v>1694</v>
      </c>
      <c r="H151" s="172">
        <v>1644</v>
      </c>
      <c r="I151" s="38">
        <f>SUM(F151:H151)</f>
        <v>3508</v>
      </c>
      <c r="J151" s="172">
        <v>1771</v>
      </c>
      <c r="K151" s="172">
        <v>1620</v>
      </c>
      <c r="L151" s="172">
        <v>1732</v>
      </c>
      <c r="M151" s="38">
        <f>SUM(J151:L151)</f>
        <v>5123</v>
      </c>
      <c r="N151" s="172">
        <v>2052</v>
      </c>
      <c r="O151" s="172">
        <v>1880</v>
      </c>
      <c r="P151" s="172">
        <v>1673</v>
      </c>
      <c r="Q151" s="38">
        <f>SUM(N151:P151)</f>
        <v>5605</v>
      </c>
      <c r="R151" s="38">
        <f>+E151+I151+M151+Q151</f>
        <v>14236</v>
      </c>
    </row>
    <row r="152" spans="1:18" ht="15.75" customHeight="1" x14ac:dyDescent="0.3">
      <c r="A152" s="266" t="s">
        <v>1879</v>
      </c>
      <c r="B152" s="172">
        <v>27</v>
      </c>
      <c r="C152" s="172">
        <v>25</v>
      </c>
      <c r="D152" s="172">
        <v>61</v>
      </c>
      <c r="E152" s="38">
        <f>SUM(B152:D152)</f>
        <v>113</v>
      </c>
      <c r="F152" s="172">
        <v>68</v>
      </c>
      <c r="G152" s="172">
        <v>82</v>
      </c>
      <c r="H152" s="172">
        <v>127</v>
      </c>
      <c r="I152" s="38">
        <f>SUM(F152:H152)</f>
        <v>277</v>
      </c>
      <c r="J152" s="172">
        <v>97</v>
      </c>
      <c r="K152" s="172">
        <v>108</v>
      </c>
      <c r="L152" s="172">
        <v>70</v>
      </c>
      <c r="M152" s="38">
        <f>SUM(J152:L152)</f>
        <v>275</v>
      </c>
      <c r="N152" s="172">
        <v>0</v>
      </c>
      <c r="O152" s="172">
        <v>0</v>
      </c>
      <c r="P152" s="172">
        <v>0</v>
      </c>
      <c r="Q152" s="38">
        <f>SUM(N152:P152)</f>
        <v>0</v>
      </c>
      <c r="R152" s="38">
        <f>+E152+I152+M152+Q152</f>
        <v>665</v>
      </c>
    </row>
    <row r="153" spans="1:18" ht="15.75" customHeight="1" x14ac:dyDescent="0.3">
      <c r="A153" s="266" t="s">
        <v>1251</v>
      </c>
      <c r="B153" s="172">
        <v>536</v>
      </c>
      <c r="C153" s="172">
        <v>454</v>
      </c>
      <c r="D153" s="172">
        <v>646</v>
      </c>
      <c r="E153" s="38">
        <f>SUM(B153:D153)</f>
        <v>1636</v>
      </c>
      <c r="F153" s="172">
        <v>652</v>
      </c>
      <c r="G153" s="172">
        <v>2015</v>
      </c>
      <c r="H153" s="172">
        <v>1778</v>
      </c>
      <c r="I153" s="38">
        <f>SUM(F153:H153)</f>
        <v>4445</v>
      </c>
      <c r="J153" s="172">
        <v>5053</v>
      </c>
      <c r="K153" s="172">
        <v>1039</v>
      </c>
      <c r="L153" s="172">
        <v>3065</v>
      </c>
      <c r="M153" s="38">
        <f>SUM(J153:L153)</f>
        <v>9157</v>
      </c>
      <c r="N153" s="172">
        <v>2270</v>
      </c>
      <c r="O153" s="172">
        <v>769</v>
      </c>
      <c r="P153" s="172">
        <v>618</v>
      </c>
      <c r="Q153" s="38">
        <f>SUM(N153:P153)</f>
        <v>3657</v>
      </c>
      <c r="R153" s="38">
        <f>+E153+I153+M153+Q153</f>
        <v>18895</v>
      </c>
    </row>
    <row r="154" spans="1:18" ht="15.75" customHeight="1" x14ac:dyDescent="0.3">
      <c r="A154" s="266" t="s">
        <v>2426</v>
      </c>
      <c r="B154" s="172">
        <v>9087</v>
      </c>
      <c r="C154" s="172">
        <v>6796</v>
      </c>
      <c r="D154" s="172">
        <v>8996</v>
      </c>
      <c r="E154" s="38">
        <f>SUM(B154:D154)</f>
        <v>24879</v>
      </c>
      <c r="F154" s="172">
        <v>11265</v>
      </c>
      <c r="G154" s="172">
        <v>1738</v>
      </c>
      <c r="H154" s="172">
        <v>14976</v>
      </c>
      <c r="I154" s="38">
        <f>SUM(F154:H154)</f>
        <v>27979</v>
      </c>
      <c r="J154" s="172">
        <v>15243</v>
      </c>
      <c r="K154" s="172">
        <v>14292</v>
      </c>
      <c r="L154" s="172">
        <v>12706</v>
      </c>
      <c r="M154" s="38">
        <f>SUM(J154:L154)</f>
        <v>42241</v>
      </c>
      <c r="N154" s="172">
        <v>13314</v>
      </c>
      <c r="O154" s="172">
        <v>11074</v>
      </c>
      <c r="P154" s="172">
        <v>9334</v>
      </c>
      <c r="Q154" s="38">
        <f>SUM(N154:P154)</f>
        <v>33722</v>
      </c>
      <c r="R154" s="38">
        <f>+E154+I154+M154+Q154</f>
        <v>128821</v>
      </c>
    </row>
    <row r="155" spans="1:18" ht="15.75" customHeight="1" x14ac:dyDescent="0.3">
      <c r="A155" s="266" t="s">
        <v>2239</v>
      </c>
      <c r="B155" s="172">
        <v>16</v>
      </c>
      <c r="C155" s="172">
        <v>0</v>
      </c>
      <c r="D155" s="172">
        <v>0</v>
      </c>
      <c r="E155" s="38">
        <f t="shared" si="19"/>
        <v>16</v>
      </c>
      <c r="F155" s="172">
        <v>24</v>
      </c>
      <c r="G155" s="172">
        <v>65</v>
      </c>
      <c r="H155" s="172">
        <v>25</v>
      </c>
      <c r="I155" s="38">
        <f t="shared" si="20"/>
        <v>114</v>
      </c>
      <c r="J155" s="172">
        <v>25</v>
      </c>
      <c r="K155" s="172">
        <v>25</v>
      </c>
      <c r="L155" s="172">
        <v>27</v>
      </c>
      <c r="M155" s="38">
        <f t="shared" si="21"/>
        <v>77</v>
      </c>
      <c r="N155" s="172">
        <v>17</v>
      </c>
      <c r="O155" s="172">
        <v>28</v>
      </c>
      <c r="P155" s="172">
        <v>10</v>
      </c>
      <c r="Q155" s="38">
        <f t="shared" si="22"/>
        <v>55</v>
      </c>
      <c r="R155" s="38">
        <f t="shared" si="23"/>
        <v>262</v>
      </c>
    </row>
    <row r="156" spans="1:18" ht="15.75" customHeight="1" x14ac:dyDescent="0.3">
      <c r="A156" s="266" t="s">
        <v>1520</v>
      </c>
      <c r="B156" s="172">
        <v>2439</v>
      </c>
      <c r="C156" s="172">
        <v>844</v>
      </c>
      <c r="D156" s="172">
        <v>3601</v>
      </c>
      <c r="E156" s="38">
        <f t="shared" si="19"/>
        <v>6884</v>
      </c>
      <c r="F156" s="172">
        <v>4694</v>
      </c>
      <c r="G156" s="172">
        <v>4599</v>
      </c>
      <c r="H156" s="172">
        <v>4773</v>
      </c>
      <c r="I156" s="38">
        <f t="shared" si="20"/>
        <v>14066</v>
      </c>
      <c r="J156" s="172">
        <v>4789</v>
      </c>
      <c r="K156" s="172">
        <v>4700</v>
      </c>
      <c r="L156" s="172">
        <v>4756</v>
      </c>
      <c r="M156" s="38">
        <f t="shared" si="21"/>
        <v>14245</v>
      </c>
      <c r="N156" s="172">
        <v>5120</v>
      </c>
      <c r="O156" s="172">
        <v>4354</v>
      </c>
      <c r="P156" s="172">
        <v>3215</v>
      </c>
      <c r="Q156" s="38">
        <f t="shared" si="22"/>
        <v>12689</v>
      </c>
      <c r="R156" s="38">
        <f t="shared" si="23"/>
        <v>47884</v>
      </c>
    </row>
    <row r="157" spans="1:18" ht="15.75" customHeight="1" x14ac:dyDescent="0.3">
      <c r="A157" s="266" t="s">
        <v>346</v>
      </c>
      <c r="B157" s="172">
        <v>172</v>
      </c>
      <c r="C157" s="172">
        <v>0</v>
      </c>
      <c r="D157" s="172">
        <v>0</v>
      </c>
      <c r="E157" s="38">
        <f>SUM(B157:D157)</f>
        <v>172</v>
      </c>
      <c r="F157" s="172">
        <v>0</v>
      </c>
      <c r="G157" s="172">
        <v>450</v>
      </c>
      <c r="H157" s="172">
        <v>500</v>
      </c>
      <c r="I157" s="38">
        <f>SUM(F157:H157)</f>
        <v>950</v>
      </c>
      <c r="J157" s="172">
        <v>503</v>
      </c>
      <c r="K157" s="172">
        <v>500</v>
      </c>
      <c r="L157" s="172">
        <v>400</v>
      </c>
      <c r="M157" s="38">
        <f>SUM(J157:L157)</f>
        <v>1403</v>
      </c>
      <c r="N157" s="172">
        <v>200</v>
      </c>
      <c r="O157" s="172">
        <v>300</v>
      </c>
      <c r="P157" s="172">
        <v>250</v>
      </c>
      <c r="Q157" s="38">
        <f>SUM(N157:P157)</f>
        <v>750</v>
      </c>
      <c r="R157" s="38">
        <f>+E157+I157+M157+Q157</f>
        <v>3275</v>
      </c>
    </row>
    <row r="158" spans="1:18" ht="15.75" customHeight="1" x14ac:dyDescent="0.3">
      <c r="A158" s="266" t="s">
        <v>1912</v>
      </c>
      <c r="B158" s="172">
        <v>2</v>
      </c>
      <c r="C158" s="172">
        <v>2</v>
      </c>
      <c r="D158" s="172">
        <v>2</v>
      </c>
      <c r="E158" s="38">
        <f t="shared" si="19"/>
        <v>6</v>
      </c>
      <c r="F158" s="172">
        <v>3</v>
      </c>
      <c r="G158" s="172">
        <v>3</v>
      </c>
      <c r="H158" s="172">
        <v>4</v>
      </c>
      <c r="I158" s="38">
        <f t="shared" si="20"/>
        <v>10</v>
      </c>
      <c r="J158" s="172">
        <v>3</v>
      </c>
      <c r="K158" s="172">
        <v>4</v>
      </c>
      <c r="L158" s="172">
        <v>3</v>
      </c>
      <c r="M158" s="38">
        <f t="shared" si="21"/>
        <v>10</v>
      </c>
      <c r="N158" s="172">
        <v>3</v>
      </c>
      <c r="O158" s="172">
        <v>3</v>
      </c>
      <c r="P158" s="172">
        <v>2</v>
      </c>
      <c r="Q158" s="38">
        <f t="shared" si="22"/>
        <v>8</v>
      </c>
      <c r="R158" s="38">
        <f t="shared" si="23"/>
        <v>34</v>
      </c>
    </row>
    <row r="159" spans="1:18" ht="15.75" customHeight="1" x14ac:dyDescent="0.3">
      <c r="A159" s="234" t="s">
        <v>2161</v>
      </c>
      <c r="B159" s="172"/>
      <c r="C159" s="172"/>
      <c r="D159" s="172"/>
      <c r="E159" s="38" t="s">
        <v>852</v>
      </c>
      <c r="F159" s="172"/>
      <c r="G159" s="172"/>
      <c r="H159" s="172"/>
      <c r="I159" s="38" t="s">
        <v>852</v>
      </c>
      <c r="J159" s="172"/>
      <c r="K159" s="172"/>
      <c r="L159" s="172"/>
      <c r="M159" s="38" t="s">
        <v>852</v>
      </c>
      <c r="N159" s="172"/>
      <c r="O159" s="172"/>
      <c r="P159" s="172"/>
      <c r="Q159" s="38" t="s">
        <v>852</v>
      </c>
      <c r="R159" s="38" t="s">
        <v>852</v>
      </c>
    </row>
    <row r="160" spans="1:18" ht="15.75" customHeight="1" x14ac:dyDescent="0.3">
      <c r="A160" s="266" t="s">
        <v>2368</v>
      </c>
      <c r="B160" s="172">
        <v>9</v>
      </c>
      <c r="C160" s="172">
        <v>11</v>
      </c>
      <c r="D160" s="172">
        <v>37</v>
      </c>
      <c r="E160" s="38">
        <f>SUM(B160:D160)</f>
        <v>57</v>
      </c>
      <c r="F160" s="172">
        <v>47</v>
      </c>
      <c r="G160" s="172">
        <v>43</v>
      </c>
      <c r="H160" s="172">
        <v>53</v>
      </c>
      <c r="I160" s="38">
        <f>SUM(F160:H160)</f>
        <v>143</v>
      </c>
      <c r="J160" s="172">
        <v>40</v>
      </c>
      <c r="K160" s="172">
        <v>38</v>
      </c>
      <c r="L160" s="172">
        <v>53</v>
      </c>
      <c r="M160" s="38">
        <f>SUM(J160:L160)</f>
        <v>131</v>
      </c>
      <c r="N160" s="172">
        <v>77</v>
      </c>
      <c r="O160" s="172">
        <v>40</v>
      </c>
      <c r="P160" s="172">
        <v>23</v>
      </c>
      <c r="Q160" s="38">
        <f>SUM(N160:P160)</f>
        <v>140</v>
      </c>
      <c r="R160" s="38">
        <f>+E160+I160+M160+Q160</f>
        <v>471</v>
      </c>
    </row>
    <row r="161" spans="1:18" ht="15.75" customHeight="1" x14ac:dyDescent="0.3">
      <c r="A161" s="266" t="s">
        <v>1747</v>
      </c>
      <c r="B161" s="172">
        <v>3</v>
      </c>
      <c r="C161" s="172">
        <v>2</v>
      </c>
      <c r="D161" s="172">
        <v>6</v>
      </c>
      <c r="E161" s="38">
        <f t="shared" ref="E161:E170" si="24">SUM(B161:D161)</f>
        <v>11</v>
      </c>
      <c r="F161" s="172">
        <v>13</v>
      </c>
      <c r="G161" s="172">
        <v>14</v>
      </c>
      <c r="H161" s="172">
        <v>25</v>
      </c>
      <c r="I161" s="38">
        <f t="shared" ref="I161:I170" si="25">SUM(F161:H161)</f>
        <v>52</v>
      </c>
      <c r="J161" s="172">
        <v>21</v>
      </c>
      <c r="K161" s="172">
        <v>9</v>
      </c>
      <c r="L161" s="172">
        <v>15</v>
      </c>
      <c r="M161" s="38">
        <f t="shared" ref="M161:M170" si="26">SUM(J161:L161)</f>
        <v>45</v>
      </c>
      <c r="N161" s="172">
        <v>19</v>
      </c>
      <c r="O161" s="172">
        <v>10</v>
      </c>
      <c r="P161" s="172">
        <v>5</v>
      </c>
      <c r="Q161" s="38">
        <f t="shared" ref="Q161:Q170" si="27">SUM(N161:P161)</f>
        <v>34</v>
      </c>
      <c r="R161" s="38">
        <f t="shared" ref="R161:R170" si="28">+E161+I161+M161+Q161</f>
        <v>142</v>
      </c>
    </row>
    <row r="162" spans="1:18" ht="15.75" customHeight="1" x14ac:dyDescent="0.3">
      <c r="A162" s="266" t="s">
        <v>37</v>
      </c>
      <c r="B162" s="172">
        <v>30</v>
      </c>
      <c r="C162" s="172">
        <v>0</v>
      </c>
      <c r="D162" s="172">
        <v>0</v>
      </c>
      <c r="E162" s="38">
        <f>SUM(B162:D162)</f>
        <v>30</v>
      </c>
      <c r="F162" s="172">
        <v>40</v>
      </c>
      <c r="G162" s="172">
        <v>120</v>
      </c>
      <c r="H162" s="172">
        <v>50</v>
      </c>
      <c r="I162" s="38">
        <f>SUM(F162:H162)</f>
        <v>210</v>
      </c>
      <c r="J162" s="172">
        <v>70</v>
      </c>
      <c r="K162" s="172">
        <v>70</v>
      </c>
      <c r="L162" s="172">
        <v>60</v>
      </c>
      <c r="M162" s="38">
        <f>SUM(J162:L162)</f>
        <v>200</v>
      </c>
      <c r="N162" s="172">
        <v>50</v>
      </c>
      <c r="O162" s="172">
        <v>80</v>
      </c>
      <c r="P162" s="172">
        <v>0</v>
      </c>
      <c r="Q162" s="38">
        <f>SUM(N162:P162)</f>
        <v>130</v>
      </c>
      <c r="R162" s="38">
        <f>+E162+I162+M162+Q162</f>
        <v>570</v>
      </c>
    </row>
    <row r="163" spans="1:18" ht="15.75" customHeight="1" x14ac:dyDescent="0.3">
      <c r="A163" s="256" t="s">
        <v>593</v>
      </c>
      <c r="B163" s="172">
        <v>0</v>
      </c>
      <c r="C163" s="172">
        <v>0</v>
      </c>
      <c r="D163" s="172">
        <v>0</v>
      </c>
      <c r="E163" s="38">
        <f>SUM(B163:D163)</f>
        <v>0</v>
      </c>
      <c r="F163" s="172">
        <v>0</v>
      </c>
      <c r="G163" s="172">
        <v>0</v>
      </c>
      <c r="H163" s="172">
        <v>0</v>
      </c>
      <c r="I163" s="38">
        <f>SUM(F163:H163)</f>
        <v>0</v>
      </c>
      <c r="J163" s="172">
        <v>0</v>
      </c>
      <c r="K163" s="172">
        <v>0</v>
      </c>
      <c r="L163" s="172">
        <v>0</v>
      </c>
      <c r="M163" s="38">
        <f>SUM(J163:L163)</f>
        <v>0</v>
      </c>
      <c r="N163" s="172">
        <v>0</v>
      </c>
      <c r="O163" s="172">
        <v>0</v>
      </c>
      <c r="P163" s="172">
        <v>400</v>
      </c>
      <c r="Q163" s="38">
        <f>SUM(N163:P163)</f>
        <v>400</v>
      </c>
      <c r="R163" s="38">
        <f>+E163+I163+M163+Q163</f>
        <v>400</v>
      </c>
    </row>
    <row r="164" spans="1:18" ht="15.75" customHeight="1" x14ac:dyDescent="0.3">
      <c r="A164" s="266" t="s">
        <v>2098</v>
      </c>
      <c r="B164" s="172">
        <v>3</v>
      </c>
      <c r="C164" s="172">
        <v>2</v>
      </c>
      <c r="D164" s="172">
        <v>5</v>
      </c>
      <c r="E164" s="38">
        <f t="shared" si="24"/>
        <v>10</v>
      </c>
      <c r="F164" s="172">
        <v>6</v>
      </c>
      <c r="G164" s="172">
        <v>8</v>
      </c>
      <c r="H164" s="172">
        <v>6</v>
      </c>
      <c r="I164" s="38">
        <f t="shared" si="25"/>
        <v>20</v>
      </c>
      <c r="J164" s="172">
        <v>6</v>
      </c>
      <c r="K164" s="172">
        <v>6</v>
      </c>
      <c r="L164" s="172">
        <v>5</v>
      </c>
      <c r="M164" s="38">
        <f t="shared" si="26"/>
        <v>17</v>
      </c>
      <c r="N164" s="172">
        <v>5</v>
      </c>
      <c r="O164" s="172">
        <v>8</v>
      </c>
      <c r="P164" s="172">
        <v>3</v>
      </c>
      <c r="Q164" s="38">
        <f t="shared" si="27"/>
        <v>16</v>
      </c>
      <c r="R164" s="38">
        <f t="shared" si="28"/>
        <v>63</v>
      </c>
    </row>
    <row r="165" spans="1:18" ht="15.75" customHeight="1" x14ac:dyDescent="0.3">
      <c r="A165" s="266" t="s">
        <v>1879</v>
      </c>
      <c r="B165" s="172">
        <v>0</v>
      </c>
      <c r="C165" s="172">
        <v>0</v>
      </c>
      <c r="D165" s="172">
        <v>0</v>
      </c>
      <c r="E165" s="38">
        <f>SUM(B165:D165)</f>
        <v>0</v>
      </c>
      <c r="F165" s="172">
        <v>0</v>
      </c>
      <c r="G165" s="172">
        <v>0</v>
      </c>
      <c r="H165" s="172">
        <v>0</v>
      </c>
      <c r="I165" s="38">
        <f>SUM(F165:H165)</f>
        <v>0</v>
      </c>
      <c r="J165" s="172">
        <v>0</v>
      </c>
      <c r="K165" s="172">
        <v>0</v>
      </c>
      <c r="L165" s="172">
        <v>13</v>
      </c>
      <c r="M165" s="38">
        <f>SUM(J165:L165)</f>
        <v>13</v>
      </c>
      <c r="N165" s="172">
        <v>67</v>
      </c>
      <c r="O165" s="172">
        <v>58</v>
      </c>
      <c r="P165" s="172">
        <v>28</v>
      </c>
      <c r="Q165" s="38">
        <f>SUM(N165:P165)</f>
        <v>153</v>
      </c>
      <c r="R165" s="38">
        <f>+E165+I165+M165+Q165</f>
        <v>166</v>
      </c>
    </row>
    <row r="166" spans="1:18" ht="15.75" customHeight="1" x14ac:dyDescent="0.3">
      <c r="A166" s="266" t="s">
        <v>1746</v>
      </c>
      <c r="B166" s="172">
        <v>1</v>
      </c>
      <c r="C166" s="172">
        <v>0</v>
      </c>
      <c r="D166" s="172">
        <v>1</v>
      </c>
      <c r="E166" s="38">
        <f t="shared" si="24"/>
        <v>2</v>
      </c>
      <c r="F166" s="172">
        <v>1</v>
      </c>
      <c r="G166" s="172">
        <v>2</v>
      </c>
      <c r="H166" s="172">
        <v>2</v>
      </c>
      <c r="I166" s="38">
        <f t="shared" si="25"/>
        <v>5</v>
      </c>
      <c r="J166" s="172">
        <v>2</v>
      </c>
      <c r="K166" s="172">
        <v>2</v>
      </c>
      <c r="L166" s="172">
        <v>1</v>
      </c>
      <c r="M166" s="38">
        <f t="shared" si="26"/>
        <v>5</v>
      </c>
      <c r="N166" s="172">
        <v>1</v>
      </c>
      <c r="O166" s="172">
        <v>1</v>
      </c>
      <c r="P166" s="172">
        <v>0</v>
      </c>
      <c r="Q166" s="38">
        <f t="shared" si="27"/>
        <v>2</v>
      </c>
      <c r="R166" s="38">
        <f t="shared" si="28"/>
        <v>14</v>
      </c>
    </row>
    <row r="167" spans="1:18" ht="15.75" customHeight="1" x14ac:dyDescent="0.3">
      <c r="A167" s="266" t="s">
        <v>533</v>
      </c>
      <c r="B167" s="172">
        <v>12</v>
      </c>
      <c r="C167" s="172">
        <v>20</v>
      </c>
      <c r="D167" s="172">
        <v>53</v>
      </c>
      <c r="E167" s="38">
        <f t="shared" si="24"/>
        <v>85</v>
      </c>
      <c r="F167" s="172">
        <v>191</v>
      </c>
      <c r="G167" s="172">
        <v>186</v>
      </c>
      <c r="H167" s="172">
        <v>261</v>
      </c>
      <c r="I167" s="38">
        <f t="shared" si="25"/>
        <v>638</v>
      </c>
      <c r="J167" s="172">
        <v>247</v>
      </c>
      <c r="K167" s="172">
        <v>221</v>
      </c>
      <c r="L167" s="172">
        <v>194</v>
      </c>
      <c r="M167" s="38">
        <f t="shared" si="26"/>
        <v>662</v>
      </c>
      <c r="N167" s="172">
        <v>264</v>
      </c>
      <c r="O167" s="172">
        <v>161</v>
      </c>
      <c r="P167" s="172">
        <v>42</v>
      </c>
      <c r="Q167" s="38">
        <f t="shared" si="27"/>
        <v>467</v>
      </c>
      <c r="R167" s="38">
        <f t="shared" si="28"/>
        <v>1852</v>
      </c>
    </row>
    <row r="168" spans="1:18" ht="15.75" customHeight="1" x14ac:dyDescent="0.3">
      <c r="A168" s="266" t="s">
        <v>1132</v>
      </c>
      <c r="B168" s="172">
        <v>0</v>
      </c>
      <c r="C168" s="172">
        <v>0</v>
      </c>
      <c r="D168" s="172">
        <v>0</v>
      </c>
      <c r="E168" s="38">
        <f t="shared" si="24"/>
        <v>0</v>
      </c>
      <c r="F168" s="172">
        <v>0</v>
      </c>
      <c r="G168" s="172">
        <v>18</v>
      </c>
      <c r="H168" s="172">
        <v>22</v>
      </c>
      <c r="I168" s="38">
        <f t="shared" si="25"/>
        <v>40</v>
      </c>
      <c r="J168" s="172">
        <v>35</v>
      </c>
      <c r="K168" s="172">
        <v>36</v>
      </c>
      <c r="L168" s="172">
        <v>23</v>
      </c>
      <c r="M168" s="38">
        <f t="shared" si="26"/>
        <v>94</v>
      </c>
      <c r="N168" s="172">
        <v>34</v>
      </c>
      <c r="O168" s="172">
        <v>42</v>
      </c>
      <c r="P168" s="172">
        <v>0</v>
      </c>
      <c r="Q168" s="38">
        <f t="shared" si="27"/>
        <v>76</v>
      </c>
      <c r="R168" s="38">
        <f t="shared" si="28"/>
        <v>210</v>
      </c>
    </row>
    <row r="169" spans="1:18" ht="15.75" customHeight="1" x14ac:dyDescent="0.3">
      <c r="A169" s="267" t="s">
        <v>5</v>
      </c>
      <c r="B169" s="172">
        <v>6</v>
      </c>
      <c r="C169" s="172">
        <v>6</v>
      </c>
      <c r="D169" s="172">
        <v>8</v>
      </c>
      <c r="E169" s="38">
        <f>SUM(B169:D169)</f>
        <v>20</v>
      </c>
      <c r="F169" s="172">
        <v>12</v>
      </c>
      <c r="G169" s="172">
        <v>11</v>
      </c>
      <c r="H169" s="172">
        <v>12</v>
      </c>
      <c r="I169" s="38">
        <f>SUM(F169:H169)</f>
        <v>35</v>
      </c>
      <c r="J169" s="172">
        <v>10</v>
      </c>
      <c r="K169" s="172">
        <v>11</v>
      </c>
      <c r="L169" s="172">
        <v>11</v>
      </c>
      <c r="M169" s="38">
        <f>SUM(J169:L169)</f>
        <v>32</v>
      </c>
      <c r="N169" s="172">
        <v>7</v>
      </c>
      <c r="O169" s="172">
        <v>7</v>
      </c>
      <c r="P169" s="172">
        <v>5</v>
      </c>
      <c r="Q169" s="38">
        <f>SUM(N169:P169)</f>
        <v>19</v>
      </c>
      <c r="R169" s="38">
        <f>+E169+I169+M169+Q169</f>
        <v>106</v>
      </c>
    </row>
    <row r="170" spans="1:18" ht="15.75" customHeight="1" x14ac:dyDescent="0.3">
      <c r="A170" s="266" t="s">
        <v>2491</v>
      </c>
      <c r="B170" s="172">
        <v>0</v>
      </c>
      <c r="C170" s="172">
        <v>0</v>
      </c>
      <c r="D170" s="172">
        <v>0</v>
      </c>
      <c r="E170" s="38">
        <f t="shared" si="24"/>
        <v>0</v>
      </c>
      <c r="F170" s="172">
        <v>0</v>
      </c>
      <c r="G170" s="172">
        <v>50</v>
      </c>
      <c r="H170" s="172">
        <v>0</v>
      </c>
      <c r="I170" s="38">
        <f t="shared" si="25"/>
        <v>50</v>
      </c>
      <c r="J170" s="172">
        <v>0</v>
      </c>
      <c r="K170" s="172">
        <v>0</v>
      </c>
      <c r="L170" s="172">
        <v>0</v>
      </c>
      <c r="M170" s="38">
        <f t="shared" si="26"/>
        <v>0</v>
      </c>
      <c r="N170" s="172">
        <v>0</v>
      </c>
      <c r="O170" s="172">
        <v>8</v>
      </c>
      <c r="P170" s="172">
        <v>0</v>
      </c>
      <c r="Q170" s="38">
        <f t="shared" si="27"/>
        <v>8</v>
      </c>
      <c r="R170" s="38">
        <f t="shared" si="28"/>
        <v>58</v>
      </c>
    </row>
    <row r="171" spans="1:18" ht="15.75" customHeight="1" x14ac:dyDescent="0.3">
      <c r="A171" s="234" t="s">
        <v>2162</v>
      </c>
      <c r="B171" s="172"/>
      <c r="C171" s="172"/>
      <c r="D171" s="172"/>
      <c r="E171" s="38" t="s">
        <v>852</v>
      </c>
      <c r="F171" s="172"/>
      <c r="G171" s="172"/>
      <c r="H171" s="172"/>
      <c r="I171" s="38" t="s">
        <v>852</v>
      </c>
      <c r="J171" s="172"/>
      <c r="K171" s="172"/>
      <c r="L171" s="172"/>
      <c r="M171" s="38" t="s">
        <v>852</v>
      </c>
      <c r="N171" s="172"/>
      <c r="O171" s="172"/>
      <c r="P171" s="172"/>
      <c r="Q171" s="38" t="s">
        <v>852</v>
      </c>
      <c r="R171" s="38" t="s">
        <v>852</v>
      </c>
    </row>
    <row r="172" spans="1:18" ht="15.75" customHeight="1" x14ac:dyDescent="0.3">
      <c r="A172" s="268" t="s">
        <v>118</v>
      </c>
      <c r="B172" s="172">
        <v>0</v>
      </c>
      <c r="C172" s="172">
        <v>0</v>
      </c>
      <c r="D172" s="172">
        <v>0</v>
      </c>
      <c r="E172" s="38">
        <f>SUM(B172:D172)</f>
        <v>0</v>
      </c>
      <c r="F172" s="172">
        <v>296</v>
      </c>
      <c r="G172" s="172">
        <v>2414</v>
      </c>
      <c r="H172" s="172">
        <v>2269</v>
      </c>
      <c r="I172" s="38">
        <f>SUM(F172:H172)</f>
        <v>4979</v>
      </c>
      <c r="J172" s="172">
        <v>1022</v>
      </c>
      <c r="K172" s="172">
        <v>1355</v>
      </c>
      <c r="L172" s="172">
        <v>0</v>
      </c>
      <c r="M172" s="38">
        <f>SUM(J172:L172)</f>
        <v>2377</v>
      </c>
      <c r="N172" s="172">
        <v>0</v>
      </c>
      <c r="O172" s="172">
        <v>1000</v>
      </c>
      <c r="P172" s="172">
        <v>0</v>
      </c>
      <c r="Q172" s="38">
        <f>SUM(N172:P172)</f>
        <v>1000</v>
      </c>
      <c r="R172" s="38">
        <f>+E172+I172+M172+Q172</f>
        <v>8356</v>
      </c>
    </row>
    <row r="173" spans="1:18" ht="15.75" customHeight="1" x14ac:dyDescent="0.3">
      <c r="A173" s="268" t="s">
        <v>1697</v>
      </c>
      <c r="B173" s="172">
        <v>0</v>
      </c>
      <c r="C173" s="172">
        <v>0</v>
      </c>
      <c r="D173" s="172">
        <v>3243</v>
      </c>
      <c r="E173" s="38">
        <f>SUM(B173:D173)</f>
        <v>3243</v>
      </c>
      <c r="F173" s="172">
        <v>2404</v>
      </c>
      <c r="G173" s="172">
        <v>0</v>
      </c>
      <c r="H173" s="172">
        <v>0</v>
      </c>
      <c r="I173" s="38">
        <f>SUM(F173:H173)</f>
        <v>2404</v>
      </c>
      <c r="J173" s="172">
        <v>0</v>
      </c>
      <c r="K173" s="172">
        <v>0</v>
      </c>
      <c r="L173" s="172">
        <v>0</v>
      </c>
      <c r="M173" s="38">
        <f>SUM(J173:L173)</f>
        <v>0</v>
      </c>
      <c r="N173" s="172">
        <v>278</v>
      </c>
      <c r="O173" s="172">
        <v>872</v>
      </c>
      <c r="P173" s="172">
        <v>0</v>
      </c>
      <c r="Q173" s="38">
        <f>SUM(N173:P173)</f>
        <v>1150</v>
      </c>
      <c r="R173" s="38">
        <f>+E173+I173+M173+Q173</f>
        <v>6797</v>
      </c>
    </row>
    <row r="174" spans="1:18" ht="15.75" customHeight="1" x14ac:dyDescent="0.3">
      <c r="A174" s="249" t="s">
        <v>1387</v>
      </c>
      <c r="B174" s="172">
        <v>4</v>
      </c>
      <c r="C174" s="172">
        <v>3</v>
      </c>
      <c r="D174" s="172">
        <v>33</v>
      </c>
      <c r="E174" s="38">
        <f>SUM(B174:D174)</f>
        <v>40</v>
      </c>
      <c r="F174" s="172">
        <v>50</v>
      </c>
      <c r="G174" s="172">
        <v>113</v>
      </c>
      <c r="H174" s="172">
        <v>156</v>
      </c>
      <c r="I174" s="38">
        <f>SUM(F174:H174)</f>
        <v>319</v>
      </c>
      <c r="J174" s="172">
        <v>113</v>
      </c>
      <c r="K174" s="172">
        <v>87</v>
      </c>
      <c r="L174" s="172">
        <v>134</v>
      </c>
      <c r="M174" s="38">
        <f>SUM(J174:L174)</f>
        <v>334</v>
      </c>
      <c r="N174" s="172">
        <v>154</v>
      </c>
      <c r="O174" s="172">
        <v>29</v>
      </c>
      <c r="P174" s="172">
        <v>8</v>
      </c>
      <c r="Q174" s="38">
        <f>SUM(N174:P174)</f>
        <v>191</v>
      </c>
      <c r="R174" s="38">
        <f>+E174+I174+M174+Q174</f>
        <v>884</v>
      </c>
    </row>
    <row r="175" spans="1:18" ht="15.75" customHeight="1" thickBot="1" x14ac:dyDescent="0.35">
      <c r="A175" s="234" t="s">
        <v>2164</v>
      </c>
      <c r="B175" s="172"/>
      <c r="C175" s="172"/>
      <c r="D175" s="172"/>
      <c r="E175" s="38" t="s">
        <v>852</v>
      </c>
      <c r="F175" s="172"/>
      <c r="G175" s="172"/>
      <c r="H175" s="172"/>
      <c r="I175" s="38" t="s">
        <v>852</v>
      </c>
      <c r="J175" s="172"/>
      <c r="K175" s="172"/>
      <c r="L175" s="172"/>
      <c r="M175" s="38" t="s">
        <v>852</v>
      </c>
      <c r="N175" s="172"/>
      <c r="O175" s="172"/>
      <c r="P175" s="172"/>
      <c r="Q175" s="38" t="s">
        <v>852</v>
      </c>
      <c r="R175" s="38" t="s">
        <v>852</v>
      </c>
    </row>
    <row r="176" spans="1:18" ht="15.75" customHeight="1" thickBot="1" x14ac:dyDescent="0.35">
      <c r="A176" s="43" t="s">
        <v>1218</v>
      </c>
      <c r="B176" s="45">
        <f>SUM(B139:B175)</f>
        <v>14509</v>
      </c>
      <c r="C176" s="46">
        <f>SUM(C139:C175)</f>
        <v>10821</v>
      </c>
      <c r="D176" s="46">
        <f>SUM(D139:D175)</f>
        <v>21583</v>
      </c>
      <c r="E176" s="37">
        <f>SUM(B176:D176)</f>
        <v>46913</v>
      </c>
      <c r="F176" s="46">
        <f>SUM(F139:F175)</f>
        <v>24788</v>
      </c>
      <c r="G176" s="46">
        <f>SUM(G139:G175)</f>
        <v>16896</v>
      </c>
      <c r="H176" s="46">
        <f>SUM(H139:H175)</f>
        <v>31612</v>
      </c>
      <c r="I176" s="37">
        <f>SUM(F176:H176)</f>
        <v>73296</v>
      </c>
      <c r="J176" s="46">
        <f>SUM(J139:J175)</f>
        <v>36115</v>
      </c>
      <c r="K176" s="46">
        <f>SUM(K139:K175)</f>
        <v>29003</v>
      </c>
      <c r="L176" s="46">
        <f>SUM(L139:L175)</f>
        <v>26459</v>
      </c>
      <c r="M176" s="37">
        <f>SUM(J176:L176)</f>
        <v>91577</v>
      </c>
      <c r="N176" s="46">
        <f>SUM(N139:N175)</f>
        <v>25092</v>
      </c>
      <c r="O176" s="46">
        <f>SUM(O139:O175)</f>
        <v>22547</v>
      </c>
      <c r="P176" s="46">
        <f>SUM(P139:P175)</f>
        <v>16184</v>
      </c>
      <c r="Q176" s="37">
        <f>SUM(N176:P176)</f>
        <v>63823</v>
      </c>
      <c r="R176" s="37">
        <f>+E176+I176+M176+Q176</f>
        <v>275609</v>
      </c>
    </row>
    <row r="177" spans="1:18" ht="15.75" customHeight="1" x14ac:dyDescent="0.3">
      <c r="A177" s="234" t="s">
        <v>1172</v>
      </c>
      <c r="B177" s="172"/>
      <c r="C177" s="172"/>
      <c r="D177" s="172"/>
      <c r="E177" s="38" t="s">
        <v>852</v>
      </c>
      <c r="F177" s="172"/>
      <c r="G177" s="172"/>
      <c r="H177" s="172"/>
      <c r="I177" s="38" t="s">
        <v>852</v>
      </c>
      <c r="J177" s="172"/>
      <c r="K177" s="172"/>
      <c r="L177" s="172"/>
      <c r="M177" s="38" t="s">
        <v>852</v>
      </c>
      <c r="N177" s="172"/>
      <c r="O177" s="172"/>
      <c r="P177" s="172"/>
      <c r="Q177" s="38" t="s">
        <v>852</v>
      </c>
      <c r="R177" s="38" t="s">
        <v>852</v>
      </c>
    </row>
    <row r="178" spans="1:18" ht="15.75" customHeight="1" x14ac:dyDescent="0.3">
      <c r="A178" s="234" t="s">
        <v>1658</v>
      </c>
      <c r="B178" s="172"/>
      <c r="C178" s="172"/>
      <c r="D178" s="172"/>
      <c r="E178" s="38" t="s">
        <v>852</v>
      </c>
      <c r="F178" s="172"/>
      <c r="G178" s="172"/>
      <c r="H178" s="172"/>
      <c r="I178" s="38" t="s">
        <v>852</v>
      </c>
      <c r="J178" s="172"/>
      <c r="K178" s="172"/>
      <c r="L178" s="172"/>
      <c r="M178" s="38" t="s">
        <v>852</v>
      </c>
      <c r="N178" s="172"/>
      <c r="O178" s="172"/>
      <c r="P178" s="172"/>
      <c r="Q178" s="38" t="s">
        <v>852</v>
      </c>
      <c r="R178" s="38" t="s">
        <v>852</v>
      </c>
    </row>
    <row r="179" spans="1:18" ht="15.75" customHeight="1" x14ac:dyDescent="0.3">
      <c r="A179" s="234" t="s">
        <v>2409</v>
      </c>
      <c r="B179" s="172"/>
      <c r="C179" s="172"/>
      <c r="D179" s="172"/>
      <c r="E179" s="38" t="s">
        <v>852</v>
      </c>
      <c r="F179" s="172"/>
      <c r="G179" s="172"/>
      <c r="H179" s="172"/>
      <c r="I179" s="38" t="s">
        <v>852</v>
      </c>
      <c r="J179" s="172"/>
      <c r="K179" s="172"/>
      <c r="L179" s="172"/>
      <c r="M179" s="38" t="s">
        <v>852</v>
      </c>
      <c r="N179" s="172"/>
      <c r="O179" s="172"/>
      <c r="P179" s="172"/>
      <c r="Q179" s="38" t="s">
        <v>852</v>
      </c>
      <c r="R179" s="38" t="s">
        <v>852</v>
      </c>
    </row>
    <row r="180" spans="1:18" ht="15.75" customHeight="1" x14ac:dyDescent="0.3">
      <c r="A180" s="268" t="s">
        <v>1858</v>
      </c>
      <c r="B180" s="172">
        <v>0</v>
      </c>
      <c r="C180" s="172">
        <v>0</v>
      </c>
      <c r="D180" s="172">
        <v>0</v>
      </c>
      <c r="E180" s="38">
        <f>SUM(B180:D180)</f>
        <v>0</v>
      </c>
      <c r="F180" s="172">
        <v>0</v>
      </c>
      <c r="G180" s="172">
        <v>0</v>
      </c>
      <c r="H180" s="172">
        <v>0</v>
      </c>
      <c r="I180" s="38">
        <f>SUM(F180:H180)</f>
        <v>0</v>
      </c>
      <c r="J180" s="172">
        <v>0</v>
      </c>
      <c r="K180" s="172">
        <v>0</v>
      </c>
      <c r="L180" s="172">
        <v>0</v>
      </c>
      <c r="M180" s="38">
        <f>SUM(J180:L180)</f>
        <v>0</v>
      </c>
      <c r="N180" s="172">
        <v>0</v>
      </c>
      <c r="O180" s="172">
        <v>0</v>
      </c>
      <c r="P180" s="172">
        <v>0</v>
      </c>
      <c r="Q180" s="38">
        <f>SUM(N180:P180)</f>
        <v>0</v>
      </c>
      <c r="R180" s="38">
        <f>+E180+I180+M180+Q180</f>
        <v>0</v>
      </c>
    </row>
    <row r="181" spans="1:18" ht="15.75" customHeight="1" x14ac:dyDescent="0.3">
      <c r="A181" s="249" t="s">
        <v>2023</v>
      </c>
      <c r="B181" s="172">
        <v>0</v>
      </c>
      <c r="C181" s="172">
        <v>0</v>
      </c>
      <c r="D181" s="172">
        <v>0</v>
      </c>
      <c r="E181" s="38">
        <f>SUM(B181:D181)</f>
        <v>0</v>
      </c>
      <c r="F181" s="172">
        <v>0</v>
      </c>
      <c r="G181" s="172">
        <v>0</v>
      </c>
      <c r="H181" s="172">
        <v>0</v>
      </c>
      <c r="I181" s="38">
        <f>SUM(F181:H181)</f>
        <v>0</v>
      </c>
      <c r="J181" s="172">
        <v>0</v>
      </c>
      <c r="K181" s="172">
        <v>0</v>
      </c>
      <c r="L181" s="172">
        <v>0</v>
      </c>
      <c r="M181" s="38">
        <f>SUM(J181:L181)</f>
        <v>0</v>
      </c>
      <c r="N181" s="172">
        <v>0</v>
      </c>
      <c r="O181" s="172">
        <v>0</v>
      </c>
      <c r="P181" s="172">
        <v>0</v>
      </c>
      <c r="Q181" s="38">
        <f>SUM(N181:P181)</f>
        <v>0</v>
      </c>
      <c r="R181" s="38">
        <f>+E181+I181+M181+Q181</f>
        <v>0</v>
      </c>
    </row>
    <row r="182" spans="1:18" ht="15.75" customHeight="1" thickBot="1" x14ac:dyDescent="0.35">
      <c r="A182" s="234" t="s">
        <v>2165</v>
      </c>
      <c r="B182" s="172"/>
      <c r="C182" s="172"/>
      <c r="D182" s="172"/>
      <c r="E182" s="38" t="s">
        <v>852</v>
      </c>
      <c r="F182" s="172"/>
      <c r="G182" s="172"/>
      <c r="H182" s="172"/>
      <c r="I182" s="38" t="s">
        <v>852</v>
      </c>
      <c r="J182" s="172"/>
      <c r="K182" s="172"/>
      <c r="L182" s="172"/>
      <c r="M182" s="38" t="s">
        <v>852</v>
      </c>
      <c r="N182" s="172"/>
      <c r="O182" s="172"/>
      <c r="P182" s="172"/>
      <c r="Q182" s="38" t="s">
        <v>852</v>
      </c>
      <c r="R182" s="38" t="s">
        <v>852</v>
      </c>
    </row>
    <row r="183" spans="1:18" ht="15.75" customHeight="1" thickBot="1" x14ac:dyDescent="0.35">
      <c r="A183" s="43" t="s">
        <v>1219</v>
      </c>
      <c r="B183" s="45">
        <f>SUM(B177:B182)</f>
        <v>0</v>
      </c>
      <c r="C183" s="46">
        <f>SUM(C177:C182)</f>
        <v>0</v>
      </c>
      <c r="D183" s="46">
        <f>SUM(D177:D182)</f>
        <v>0</v>
      </c>
      <c r="E183" s="37">
        <f>SUM(B183:D183)</f>
        <v>0</v>
      </c>
      <c r="F183" s="46">
        <f>SUM(F177:F182)</f>
        <v>0</v>
      </c>
      <c r="G183" s="46">
        <f>SUM(G177:G182)</f>
        <v>0</v>
      </c>
      <c r="H183" s="46">
        <f>SUM(H177:H182)</f>
        <v>0</v>
      </c>
      <c r="I183" s="37">
        <f>SUM(F183:H183)</f>
        <v>0</v>
      </c>
      <c r="J183" s="46">
        <f>SUM(J177:J182)</f>
        <v>0</v>
      </c>
      <c r="K183" s="46">
        <f>SUM(K177:K182)</f>
        <v>0</v>
      </c>
      <c r="L183" s="46">
        <f>SUM(L177:L182)</f>
        <v>0</v>
      </c>
      <c r="M183" s="37">
        <f>SUM(J183:L183)</f>
        <v>0</v>
      </c>
      <c r="N183" s="46">
        <f>SUM(N177:N182)</f>
        <v>0</v>
      </c>
      <c r="O183" s="46">
        <f>SUM(O177:O182)</f>
        <v>0</v>
      </c>
      <c r="P183" s="46">
        <f>SUM(P177:P182)</f>
        <v>0</v>
      </c>
      <c r="Q183" s="37">
        <f>SUM(N183:P183)</f>
        <v>0</v>
      </c>
      <c r="R183" s="37">
        <f>+E183+I183+M183+Q183</f>
        <v>0</v>
      </c>
    </row>
    <row r="184" spans="1:18" ht="15.75" customHeight="1" x14ac:dyDescent="0.3">
      <c r="A184" s="234" t="s">
        <v>2166</v>
      </c>
      <c r="B184" s="172"/>
      <c r="C184" s="172"/>
      <c r="D184" s="172"/>
      <c r="E184" s="38" t="s">
        <v>852</v>
      </c>
      <c r="F184" s="172"/>
      <c r="G184" s="172"/>
      <c r="H184" s="172"/>
      <c r="I184" s="38" t="s">
        <v>852</v>
      </c>
      <c r="J184" s="172"/>
      <c r="K184" s="172"/>
      <c r="L184" s="172"/>
      <c r="M184" s="38" t="s">
        <v>852</v>
      </c>
      <c r="N184" s="172"/>
      <c r="O184" s="172"/>
      <c r="P184" s="172"/>
      <c r="Q184" s="38" t="s">
        <v>852</v>
      </c>
      <c r="R184" s="38" t="s">
        <v>852</v>
      </c>
    </row>
    <row r="185" spans="1:18" ht="15.75" customHeight="1" x14ac:dyDescent="0.3">
      <c r="A185" s="234" t="s">
        <v>1245</v>
      </c>
      <c r="B185" s="172"/>
      <c r="C185" s="172"/>
      <c r="D185" s="172"/>
      <c r="E185" s="38" t="s">
        <v>852</v>
      </c>
      <c r="F185" s="172"/>
      <c r="G185" s="172"/>
      <c r="H185" s="172"/>
      <c r="I185" s="38" t="s">
        <v>852</v>
      </c>
      <c r="J185" s="172"/>
      <c r="K185" s="172"/>
      <c r="L185" s="172"/>
      <c r="M185" s="38" t="s">
        <v>852</v>
      </c>
      <c r="N185" s="172"/>
      <c r="O185" s="172"/>
      <c r="P185" s="172"/>
      <c r="Q185" s="38" t="s">
        <v>852</v>
      </c>
      <c r="R185" s="38" t="s">
        <v>852</v>
      </c>
    </row>
    <row r="186" spans="1:18" ht="15.75" customHeight="1" x14ac:dyDescent="0.3">
      <c r="A186" s="234" t="s">
        <v>1711</v>
      </c>
      <c r="B186" s="172"/>
      <c r="C186" s="172"/>
      <c r="D186" s="172"/>
      <c r="E186" s="38" t="s">
        <v>852</v>
      </c>
      <c r="F186" s="172"/>
      <c r="G186" s="172"/>
      <c r="H186" s="172"/>
      <c r="I186" s="38" t="s">
        <v>852</v>
      </c>
      <c r="J186" s="172"/>
      <c r="K186" s="172"/>
      <c r="L186" s="172"/>
      <c r="M186" s="38" t="s">
        <v>852</v>
      </c>
      <c r="N186" s="172"/>
      <c r="O186" s="172"/>
      <c r="P186" s="172"/>
      <c r="Q186" s="38" t="s">
        <v>852</v>
      </c>
      <c r="R186" s="38" t="s">
        <v>852</v>
      </c>
    </row>
    <row r="187" spans="1:18" ht="15.75" customHeight="1" x14ac:dyDescent="0.3">
      <c r="A187" s="269" t="s">
        <v>1364</v>
      </c>
      <c r="B187" s="172">
        <v>340</v>
      </c>
      <c r="C187" s="172">
        <v>330</v>
      </c>
      <c r="D187" s="172">
        <v>384</v>
      </c>
      <c r="E187" s="38">
        <f>SUM(B187:D187)</f>
        <v>1054</v>
      </c>
      <c r="F187" s="172">
        <v>433</v>
      </c>
      <c r="G187" s="172">
        <v>499</v>
      </c>
      <c r="H187" s="172">
        <v>558</v>
      </c>
      <c r="I187" s="38">
        <f>SUM(F187:H187)</f>
        <v>1490</v>
      </c>
      <c r="J187" s="172">
        <v>577</v>
      </c>
      <c r="K187" s="172">
        <v>545</v>
      </c>
      <c r="L187" s="172">
        <v>475</v>
      </c>
      <c r="M187" s="38">
        <f>SUM(J187:L187)</f>
        <v>1597</v>
      </c>
      <c r="N187" s="172">
        <v>499</v>
      </c>
      <c r="O187" s="172">
        <v>394</v>
      </c>
      <c r="P187" s="172">
        <v>318</v>
      </c>
      <c r="Q187" s="38">
        <f>SUM(N187:P187)</f>
        <v>1211</v>
      </c>
      <c r="R187" s="38">
        <f>+E187+I187+M187+Q187</f>
        <v>5352</v>
      </c>
    </row>
    <row r="188" spans="1:18" ht="15.75" customHeight="1" x14ac:dyDescent="0.3">
      <c r="A188" s="269" t="s">
        <v>1388</v>
      </c>
      <c r="B188" s="172">
        <v>0</v>
      </c>
      <c r="C188" s="172">
        <v>0</v>
      </c>
      <c r="D188" s="172">
        <v>357</v>
      </c>
      <c r="E188" s="38">
        <f>SUM(B188:D188)</f>
        <v>357</v>
      </c>
      <c r="F188" s="172">
        <v>0</v>
      </c>
      <c r="G188" s="172">
        <v>0</v>
      </c>
      <c r="H188" s="172">
        <v>0</v>
      </c>
      <c r="I188" s="38">
        <f>SUM(F188:H188)</f>
        <v>0</v>
      </c>
      <c r="J188" s="172">
        <v>0</v>
      </c>
      <c r="K188" s="172">
        <v>0</v>
      </c>
      <c r="L188" s="172">
        <v>0</v>
      </c>
      <c r="M188" s="38">
        <f>SUM(J188:L188)</f>
        <v>0</v>
      </c>
      <c r="N188" s="172">
        <v>0</v>
      </c>
      <c r="O188" s="172">
        <v>0</v>
      </c>
      <c r="P188" s="172">
        <v>0</v>
      </c>
      <c r="Q188" s="38">
        <f>SUM(N188:P188)</f>
        <v>0</v>
      </c>
      <c r="R188" s="38">
        <f>+E188+I188+M188+Q188</f>
        <v>357</v>
      </c>
    </row>
    <row r="189" spans="1:18" ht="15.75" customHeight="1" x14ac:dyDescent="0.3">
      <c r="A189" s="269" t="s">
        <v>1439</v>
      </c>
      <c r="B189" s="172">
        <v>5</v>
      </c>
      <c r="C189" s="172">
        <v>7</v>
      </c>
      <c r="D189" s="172">
        <v>12</v>
      </c>
      <c r="E189" s="38">
        <f t="shared" ref="E189:E221" si="29">SUM(B189:D189)</f>
        <v>24</v>
      </c>
      <c r="F189" s="172">
        <v>15</v>
      </c>
      <c r="G189" s="172">
        <v>21</v>
      </c>
      <c r="H189" s="172">
        <v>16</v>
      </c>
      <c r="I189" s="38">
        <f t="shared" ref="I189:I221" si="30">SUM(F189:H189)</f>
        <v>52</v>
      </c>
      <c r="J189" s="172">
        <v>9</v>
      </c>
      <c r="K189" s="172">
        <v>10</v>
      </c>
      <c r="L189" s="172">
        <v>6</v>
      </c>
      <c r="M189" s="38">
        <f t="shared" ref="M189:M221" si="31">SUM(J189:L189)</f>
        <v>25</v>
      </c>
      <c r="N189" s="172">
        <v>6</v>
      </c>
      <c r="O189" s="172">
        <v>5</v>
      </c>
      <c r="P189" s="172">
        <v>2</v>
      </c>
      <c r="Q189" s="38">
        <f t="shared" ref="Q189:Q221" si="32">SUM(N189:P189)</f>
        <v>13</v>
      </c>
      <c r="R189" s="38">
        <f t="shared" ref="R189:R221" si="33">+E189+I189+M189+Q189</f>
        <v>114</v>
      </c>
    </row>
    <row r="190" spans="1:18" ht="15.75" customHeight="1" x14ac:dyDescent="0.3">
      <c r="A190" s="269" t="s">
        <v>693</v>
      </c>
      <c r="B190" s="172">
        <v>44</v>
      </c>
      <c r="C190" s="172">
        <v>22</v>
      </c>
      <c r="D190" s="172">
        <v>52</v>
      </c>
      <c r="E190" s="38">
        <f t="shared" si="29"/>
        <v>118</v>
      </c>
      <c r="F190" s="172">
        <v>86</v>
      </c>
      <c r="G190" s="172">
        <v>92</v>
      </c>
      <c r="H190" s="172">
        <v>111</v>
      </c>
      <c r="I190" s="38">
        <f t="shared" si="30"/>
        <v>289</v>
      </c>
      <c r="J190" s="172">
        <v>100</v>
      </c>
      <c r="K190" s="172">
        <v>130</v>
      </c>
      <c r="L190" s="172">
        <v>92</v>
      </c>
      <c r="M190" s="38">
        <f t="shared" si="31"/>
        <v>322</v>
      </c>
      <c r="N190" s="172">
        <v>121</v>
      </c>
      <c r="O190" s="172">
        <v>56</v>
      </c>
      <c r="P190" s="172">
        <v>17</v>
      </c>
      <c r="Q190" s="38">
        <f t="shared" si="32"/>
        <v>194</v>
      </c>
      <c r="R190" s="38">
        <f t="shared" si="33"/>
        <v>923</v>
      </c>
    </row>
    <row r="191" spans="1:18" ht="15.75" customHeight="1" x14ac:dyDescent="0.3">
      <c r="A191" s="256" t="s">
        <v>1091</v>
      </c>
      <c r="B191" s="172">
        <v>0</v>
      </c>
      <c r="C191" s="172">
        <v>0</v>
      </c>
      <c r="D191" s="172">
        <v>0</v>
      </c>
      <c r="E191" s="38">
        <f t="shared" si="29"/>
        <v>0</v>
      </c>
      <c r="F191" s="172">
        <v>0</v>
      </c>
      <c r="G191" s="172">
        <v>0</v>
      </c>
      <c r="H191" s="172">
        <v>0</v>
      </c>
      <c r="I191" s="38">
        <f t="shared" si="30"/>
        <v>0</v>
      </c>
      <c r="J191" s="172">
        <v>0</v>
      </c>
      <c r="K191" s="172">
        <v>0</v>
      </c>
      <c r="L191" s="172">
        <v>0</v>
      </c>
      <c r="M191" s="38">
        <f t="shared" si="31"/>
        <v>0</v>
      </c>
      <c r="N191" s="172">
        <v>0</v>
      </c>
      <c r="O191" s="172">
        <v>0</v>
      </c>
      <c r="P191" s="172">
        <v>0</v>
      </c>
      <c r="Q191" s="38">
        <f t="shared" si="32"/>
        <v>0</v>
      </c>
      <c r="R191" s="38">
        <f t="shared" si="33"/>
        <v>0</v>
      </c>
    </row>
    <row r="192" spans="1:18" ht="15.75" customHeight="1" x14ac:dyDescent="0.3">
      <c r="A192" s="256" t="s">
        <v>725</v>
      </c>
      <c r="B192" s="172">
        <v>0</v>
      </c>
      <c r="C192" s="172">
        <v>0</v>
      </c>
      <c r="D192" s="172">
        <v>0</v>
      </c>
      <c r="E192" s="38">
        <f>SUM(B192:D192)</f>
        <v>0</v>
      </c>
      <c r="F192" s="172">
        <v>0</v>
      </c>
      <c r="G192" s="172">
        <v>0</v>
      </c>
      <c r="H192" s="172">
        <v>0</v>
      </c>
      <c r="I192" s="38">
        <f>SUM(F192:H192)</f>
        <v>0</v>
      </c>
      <c r="J192" s="172">
        <v>0</v>
      </c>
      <c r="K192" s="172">
        <v>0</v>
      </c>
      <c r="L192" s="172">
        <v>0</v>
      </c>
      <c r="M192" s="38">
        <f>SUM(J192:L192)</f>
        <v>0</v>
      </c>
      <c r="N192" s="172">
        <v>0</v>
      </c>
      <c r="O192" s="172">
        <v>0</v>
      </c>
      <c r="P192" s="172">
        <v>0</v>
      </c>
      <c r="Q192" s="38">
        <f>SUM(N192:P192)</f>
        <v>0</v>
      </c>
      <c r="R192" s="38">
        <f>+E192+I192+M192+Q192</f>
        <v>0</v>
      </c>
    </row>
    <row r="193" spans="1:18" ht="15.75" customHeight="1" x14ac:dyDescent="0.3">
      <c r="A193" s="256" t="s">
        <v>568</v>
      </c>
      <c r="B193" s="172">
        <v>682</v>
      </c>
      <c r="C193" s="172">
        <v>0</v>
      </c>
      <c r="D193" s="172">
        <v>0</v>
      </c>
      <c r="E193" s="38">
        <f>SUM(B193:D193)</f>
        <v>682</v>
      </c>
      <c r="F193" s="172">
        <v>0</v>
      </c>
      <c r="G193" s="172">
        <v>0</v>
      </c>
      <c r="H193" s="172">
        <v>0</v>
      </c>
      <c r="I193" s="38">
        <f>SUM(F193:H193)</f>
        <v>0</v>
      </c>
      <c r="J193" s="172">
        <v>0</v>
      </c>
      <c r="K193" s="172">
        <v>0</v>
      </c>
      <c r="L193" s="172">
        <v>0</v>
      </c>
      <c r="M193" s="38">
        <f>SUM(J193:L193)</f>
        <v>0</v>
      </c>
      <c r="N193" s="172">
        <v>0</v>
      </c>
      <c r="O193" s="172">
        <v>0</v>
      </c>
      <c r="P193" s="172">
        <v>0</v>
      </c>
      <c r="Q193" s="38">
        <f>SUM(N193:P193)</f>
        <v>0</v>
      </c>
      <c r="R193" s="38">
        <f>+E193+I193+M193+Q193</f>
        <v>682</v>
      </c>
    </row>
    <row r="194" spans="1:18" ht="15.75" customHeight="1" x14ac:dyDescent="0.3">
      <c r="A194" s="256" t="s">
        <v>1150</v>
      </c>
      <c r="B194" s="172">
        <v>0</v>
      </c>
      <c r="C194" s="172">
        <v>0</v>
      </c>
      <c r="D194" s="172">
        <v>0</v>
      </c>
      <c r="E194" s="38">
        <f t="shared" si="29"/>
        <v>0</v>
      </c>
      <c r="F194" s="172">
        <v>0</v>
      </c>
      <c r="G194" s="172">
        <v>0</v>
      </c>
      <c r="H194" s="172">
        <v>0</v>
      </c>
      <c r="I194" s="38">
        <f t="shared" si="30"/>
        <v>0</v>
      </c>
      <c r="J194" s="172">
        <v>0</v>
      </c>
      <c r="K194" s="172">
        <v>0</v>
      </c>
      <c r="L194" s="172">
        <v>0</v>
      </c>
      <c r="M194" s="38">
        <f t="shared" si="31"/>
        <v>0</v>
      </c>
      <c r="N194" s="172">
        <v>0</v>
      </c>
      <c r="O194" s="172">
        <v>0</v>
      </c>
      <c r="P194" s="172">
        <v>0</v>
      </c>
      <c r="Q194" s="38">
        <f t="shared" si="32"/>
        <v>0</v>
      </c>
      <c r="R194" s="38">
        <f t="shared" si="33"/>
        <v>0</v>
      </c>
    </row>
    <row r="195" spans="1:18" ht="15.75" customHeight="1" x14ac:dyDescent="0.3">
      <c r="A195" s="256" t="s">
        <v>1973</v>
      </c>
      <c r="B195" s="172">
        <v>1136</v>
      </c>
      <c r="C195" s="172">
        <v>0</v>
      </c>
      <c r="D195" s="172">
        <v>0</v>
      </c>
      <c r="E195" s="38">
        <f t="shared" si="29"/>
        <v>1136</v>
      </c>
      <c r="F195" s="172">
        <v>0</v>
      </c>
      <c r="G195" s="172">
        <v>0</v>
      </c>
      <c r="H195" s="172">
        <v>0</v>
      </c>
      <c r="I195" s="38">
        <f t="shared" si="30"/>
        <v>0</v>
      </c>
      <c r="J195" s="172">
        <v>0</v>
      </c>
      <c r="K195" s="172">
        <v>0</v>
      </c>
      <c r="L195" s="172">
        <v>0</v>
      </c>
      <c r="M195" s="38">
        <f t="shared" si="31"/>
        <v>0</v>
      </c>
      <c r="N195" s="172">
        <v>0</v>
      </c>
      <c r="O195" s="172">
        <v>0</v>
      </c>
      <c r="P195" s="172">
        <v>0</v>
      </c>
      <c r="Q195" s="38">
        <f t="shared" si="32"/>
        <v>0</v>
      </c>
      <c r="R195" s="38">
        <f t="shared" si="33"/>
        <v>1136</v>
      </c>
    </row>
    <row r="196" spans="1:18" ht="15.75" customHeight="1" x14ac:dyDescent="0.3">
      <c r="A196" s="256" t="s">
        <v>1974</v>
      </c>
      <c r="B196" s="172">
        <v>23</v>
      </c>
      <c r="C196" s="172">
        <v>0</v>
      </c>
      <c r="D196" s="172">
        <v>0</v>
      </c>
      <c r="E196" s="38">
        <f t="shared" si="29"/>
        <v>23</v>
      </c>
      <c r="F196" s="172">
        <v>0</v>
      </c>
      <c r="G196" s="172">
        <v>0</v>
      </c>
      <c r="H196" s="172">
        <v>0</v>
      </c>
      <c r="I196" s="38">
        <f t="shared" si="30"/>
        <v>0</v>
      </c>
      <c r="J196" s="172">
        <v>0</v>
      </c>
      <c r="K196" s="172">
        <v>0</v>
      </c>
      <c r="L196" s="172">
        <v>0</v>
      </c>
      <c r="M196" s="38">
        <f t="shared" si="31"/>
        <v>0</v>
      </c>
      <c r="N196" s="172">
        <v>0</v>
      </c>
      <c r="O196" s="172">
        <v>0</v>
      </c>
      <c r="P196" s="172">
        <v>0</v>
      </c>
      <c r="Q196" s="38">
        <f t="shared" si="32"/>
        <v>0</v>
      </c>
      <c r="R196" s="38">
        <f t="shared" si="33"/>
        <v>23</v>
      </c>
    </row>
    <row r="197" spans="1:18" ht="15.75" customHeight="1" x14ac:dyDescent="0.3">
      <c r="A197" s="256" t="s">
        <v>1975</v>
      </c>
      <c r="B197" s="172">
        <v>23</v>
      </c>
      <c r="C197" s="172">
        <v>0</v>
      </c>
      <c r="D197" s="172">
        <v>0</v>
      </c>
      <c r="E197" s="38">
        <f t="shared" ref="E197:E202" si="34">SUM(B197:D197)</f>
        <v>23</v>
      </c>
      <c r="F197" s="172">
        <v>0</v>
      </c>
      <c r="G197" s="172">
        <v>0</v>
      </c>
      <c r="H197" s="172">
        <v>0</v>
      </c>
      <c r="I197" s="38">
        <f t="shared" ref="I197:I202" si="35">SUM(F197:H197)</f>
        <v>0</v>
      </c>
      <c r="J197" s="172">
        <v>0</v>
      </c>
      <c r="K197" s="172">
        <v>0</v>
      </c>
      <c r="L197" s="172">
        <v>0</v>
      </c>
      <c r="M197" s="38">
        <f t="shared" ref="M197:M202" si="36">SUM(J197:L197)</f>
        <v>0</v>
      </c>
      <c r="N197" s="172">
        <v>0</v>
      </c>
      <c r="O197" s="172">
        <v>0</v>
      </c>
      <c r="P197" s="172">
        <v>0</v>
      </c>
      <c r="Q197" s="38">
        <f t="shared" ref="Q197:Q202" si="37">SUM(N197:P197)</f>
        <v>0</v>
      </c>
      <c r="R197" s="38">
        <f t="shared" ref="R197:R202" si="38">+E197+I197+M197+Q197</f>
        <v>23</v>
      </c>
    </row>
    <row r="198" spans="1:18" ht="15.75" customHeight="1" x14ac:dyDescent="0.3">
      <c r="A198" s="256" t="s">
        <v>1495</v>
      </c>
      <c r="B198" s="172">
        <v>0</v>
      </c>
      <c r="C198" s="172">
        <v>0</v>
      </c>
      <c r="D198" s="172">
        <v>0</v>
      </c>
      <c r="E198" s="38">
        <f t="shared" si="34"/>
        <v>0</v>
      </c>
      <c r="F198" s="172">
        <v>0</v>
      </c>
      <c r="G198" s="172">
        <v>4300</v>
      </c>
      <c r="H198" s="172">
        <v>0</v>
      </c>
      <c r="I198" s="38">
        <f t="shared" si="35"/>
        <v>4300</v>
      </c>
      <c r="J198" s="172">
        <v>0</v>
      </c>
      <c r="K198" s="172">
        <v>0</v>
      </c>
      <c r="L198" s="172">
        <v>0</v>
      </c>
      <c r="M198" s="38">
        <f t="shared" si="36"/>
        <v>0</v>
      </c>
      <c r="N198" s="172">
        <v>0</v>
      </c>
      <c r="O198" s="172">
        <v>0</v>
      </c>
      <c r="P198" s="172">
        <v>0</v>
      </c>
      <c r="Q198" s="38">
        <f t="shared" si="37"/>
        <v>0</v>
      </c>
      <c r="R198" s="38">
        <f t="shared" si="38"/>
        <v>4300</v>
      </c>
    </row>
    <row r="199" spans="1:18" ht="15.75" customHeight="1" x14ac:dyDescent="0.3">
      <c r="A199" s="256" t="s">
        <v>1915</v>
      </c>
      <c r="B199" s="172">
        <v>0</v>
      </c>
      <c r="C199" s="172">
        <v>0</v>
      </c>
      <c r="D199" s="172">
        <v>0</v>
      </c>
      <c r="E199" s="38">
        <f t="shared" si="34"/>
        <v>0</v>
      </c>
      <c r="F199" s="172">
        <v>0</v>
      </c>
      <c r="G199" s="172">
        <v>0</v>
      </c>
      <c r="H199" s="172">
        <v>0</v>
      </c>
      <c r="I199" s="38">
        <f t="shared" si="35"/>
        <v>0</v>
      </c>
      <c r="J199" s="172">
        <v>0</v>
      </c>
      <c r="K199" s="172">
        <v>0</v>
      </c>
      <c r="L199" s="172">
        <v>0</v>
      </c>
      <c r="M199" s="38">
        <f t="shared" si="36"/>
        <v>0</v>
      </c>
      <c r="N199" s="172">
        <v>0</v>
      </c>
      <c r="O199" s="172">
        <v>0</v>
      </c>
      <c r="P199" s="172">
        <v>0</v>
      </c>
      <c r="Q199" s="38">
        <f t="shared" si="37"/>
        <v>0</v>
      </c>
      <c r="R199" s="38">
        <f t="shared" si="38"/>
        <v>0</v>
      </c>
    </row>
    <row r="200" spans="1:18" ht="15.75" customHeight="1" x14ac:dyDescent="0.3">
      <c r="A200" s="256" t="s">
        <v>1665</v>
      </c>
      <c r="B200" s="172">
        <v>0</v>
      </c>
      <c r="C200" s="172">
        <v>0</v>
      </c>
      <c r="D200" s="172">
        <v>0</v>
      </c>
      <c r="E200" s="38">
        <f t="shared" si="34"/>
        <v>0</v>
      </c>
      <c r="F200" s="172">
        <v>0</v>
      </c>
      <c r="G200" s="172">
        <v>0</v>
      </c>
      <c r="H200" s="172">
        <v>0</v>
      </c>
      <c r="I200" s="38">
        <f t="shared" si="35"/>
        <v>0</v>
      </c>
      <c r="J200" s="172">
        <v>0</v>
      </c>
      <c r="K200" s="172">
        <v>0</v>
      </c>
      <c r="L200" s="172">
        <v>0</v>
      </c>
      <c r="M200" s="38">
        <f t="shared" si="36"/>
        <v>0</v>
      </c>
      <c r="N200" s="172">
        <v>0</v>
      </c>
      <c r="O200" s="172">
        <v>0</v>
      </c>
      <c r="P200" s="172">
        <v>0</v>
      </c>
      <c r="Q200" s="38">
        <f t="shared" si="37"/>
        <v>0</v>
      </c>
      <c r="R200" s="38">
        <f t="shared" si="38"/>
        <v>0</v>
      </c>
    </row>
    <row r="201" spans="1:18" ht="15.75" customHeight="1" x14ac:dyDescent="0.3">
      <c r="A201" s="256" t="s">
        <v>1827</v>
      </c>
      <c r="B201" s="172">
        <v>0</v>
      </c>
      <c r="C201" s="172">
        <v>0</v>
      </c>
      <c r="D201" s="172">
        <v>0</v>
      </c>
      <c r="E201" s="38">
        <f t="shared" si="34"/>
        <v>0</v>
      </c>
      <c r="F201" s="172">
        <v>0</v>
      </c>
      <c r="G201" s="172">
        <v>0</v>
      </c>
      <c r="H201" s="172">
        <v>0</v>
      </c>
      <c r="I201" s="38">
        <f t="shared" si="35"/>
        <v>0</v>
      </c>
      <c r="J201" s="172">
        <v>0</v>
      </c>
      <c r="K201" s="172">
        <v>0</v>
      </c>
      <c r="L201" s="172">
        <v>0</v>
      </c>
      <c r="M201" s="38">
        <f t="shared" si="36"/>
        <v>0</v>
      </c>
      <c r="N201" s="172">
        <v>0</v>
      </c>
      <c r="O201" s="172">
        <v>0</v>
      </c>
      <c r="P201" s="172">
        <v>0</v>
      </c>
      <c r="Q201" s="38">
        <f t="shared" si="37"/>
        <v>0</v>
      </c>
      <c r="R201" s="38">
        <f t="shared" si="38"/>
        <v>0</v>
      </c>
    </row>
    <row r="202" spans="1:18" ht="15.75" customHeight="1" x14ac:dyDescent="0.3">
      <c r="A202" s="256" t="s">
        <v>475</v>
      </c>
      <c r="B202" s="172">
        <v>1161</v>
      </c>
      <c r="C202" s="172">
        <v>0</v>
      </c>
      <c r="D202" s="172">
        <v>0</v>
      </c>
      <c r="E202" s="38">
        <f t="shared" si="34"/>
        <v>1161</v>
      </c>
      <c r="F202" s="172">
        <v>3282</v>
      </c>
      <c r="G202" s="172">
        <v>1728</v>
      </c>
      <c r="H202" s="172">
        <v>1804</v>
      </c>
      <c r="I202" s="38">
        <f t="shared" si="35"/>
        <v>6814</v>
      </c>
      <c r="J202" s="172">
        <v>1563</v>
      </c>
      <c r="K202" s="172">
        <v>1434</v>
      </c>
      <c r="L202" s="172">
        <v>1321</v>
      </c>
      <c r="M202" s="38">
        <f t="shared" si="36"/>
        <v>4318</v>
      </c>
      <c r="N202" s="172">
        <v>1671</v>
      </c>
      <c r="O202" s="172">
        <v>1654</v>
      </c>
      <c r="P202" s="172">
        <v>0</v>
      </c>
      <c r="Q202" s="38">
        <f t="shared" si="37"/>
        <v>3325</v>
      </c>
      <c r="R202" s="38">
        <f t="shared" si="38"/>
        <v>15618</v>
      </c>
    </row>
    <row r="203" spans="1:18" ht="15.75" customHeight="1" x14ac:dyDescent="0.3">
      <c r="A203" s="256" t="s">
        <v>16</v>
      </c>
      <c r="B203" s="172">
        <v>0</v>
      </c>
      <c r="C203" s="172">
        <v>0</v>
      </c>
      <c r="D203" s="172">
        <v>0</v>
      </c>
      <c r="E203" s="38">
        <f t="shared" si="29"/>
        <v>0</v>
      </c>
      <c r="F203" s="172">
        <v>0</v>
      </c>
      <c r="G203" s="172">
        <v>0</v>
      </c>
      <c r="H203" s="172">
        <v>0</v>
      </c>
      <c r="I203" s="38">
        <f t="shared" si="30"/>
        <v>0</v>
      </c>
      <c r="J203" s="172">
        <v>0</v>
      </c>
      <c r="K203" s="172">
        <v>0</v>
      </c>
      <c r="L203" s="172">
        <v>0</v>
      </c>
      <c r="M203" s="38">
        <f t="shared" si="31"/>
        <v>0</v>
      </c>
      <c r="N203" s="172">
        <v>0</v>
      </c>
      <c r="O203" s="172">
        <v>0</v>
      </c>
      <c r="P203" s="172">
        <v>0</v>
      </c>
      <c r="Q203" s="38">
        <f t="shared" si="32"/>
        <v>0</v>
      </c>
      <c r="R203" s="38">
        <f t="shared" si="33"/>
        <v>0</v>
      </c>
    </row>
    <row r="204" spans="1:18" ht="15.75" customHeight="1" x14ac:dyDescent="0.3">
      <c r="A204" s="256" t="s">
        <v>885</v>
      </c>
      <c r="B204" s="172">
        <v>0</v>
      </c>
      <c r="C204" s="172">
        <v>0</v>
      </c>
      <c r="D204" s="172">
        <v>0</v>
      </c>
      <c r="E204" s="38">
        <f t="shared" si="29"/>
        <v>0</v>
      </c>
      <c r="F204" s="172">
        <v>0</v>
      </c>
      <c r="G204" s="172">
        <v>0</v>
      </c>
      <c r="H204" s="172">
        <v>0</v>
      </c>
      <c r="I204" s="38">
        <f t="shared" si="30"/>
        <v>0</v>
      </c>
      <c r="J204" s="172">
        <v>0</v>
      </c>
      <c r="K204" s="172">
        <v>0</v>
      </c>
      <c r="L204" s="172">
        <v>0</v>
      </c>
      <c r="M204" s="38">
        <f t="shared" si="31"/>
        <v>0</v>
      </c>
      <c r="N204" s="172">
        <v>0</v>
      </c>
      <c r="O204" s="172">
        <v>0</v>
      </c>
      <c r="P204" s="172">
        <v>0</v>
      </c>
      <c r="Q204" s="38">
        <f t="shared" si="32"/>
        <v>0</v>
      </c>
      <c r="R204" s="38">
        <f t="shared" si="33"/>
        <v>0</v>
      </c>
    </row>
    <row r="205" spans="1:18" ht="15.75" customHeight="1" x14ac:dyDescent="0.3">
      <c r="A205" s="256" t="s">
        <v>613</v>
      </c>
      <c r="B205" s="172">
        <v>679</v>
      </c>
      <c r="C205" s="172">
        <v>0</v>
      </c>
      <c r="D205" s="172">
        <v>0</v>
      </c>
      <c r="E205" s="38">
        <f t="shared" si="29"/>
        <v>679</v>
      </c>
      <c r="F205" s="172">
        <v>0</v>
      </c>
      <c r="G205" s="172">
        <v>0</v>
      </c>
      <c r="H205" s="172">
        <v>0</v>
      </c>
      <c r="I205" s="38">
        <f t="shared" si="30"/>
        <v>0</v>
      </c>
      <c r="J205" s="172">
        <v>0</v>
      </c>
      <c r="K205" s="172">
        <v>0</v>
      </c>
      <c r="L205" s="172">
        <v>0</v>
      </c>
      <c r="M205" s="38">
        <f t="shared" si="31"/>
        <v>0</v>
      </c>
      <c r="N205" s="172">
        <v>0</v>
      </c>
      <c r="O205" s="172">
        <v>0</v>
      </c>
      <c r="P205" s="172">
        <v>0</v>
      </c>
      <c r="Q205" s="38">
        <f t="shared" si="32"/>
        <v>0</v>
      </c>
      <c r="R205" s="38">
        <f t="shared" si="33"/>
        <v>679</v>
      </c>
    </row>
    <row r="206" spans="1:18" ht="15.75" customHeight="1" x14ac:dyDescent="0.3">
      <c r="A206" s="256" t="s">
        <v>1163</v>
      </c>
      <c r="B206" s="172">
        <v>0</v>
      </c>
      <c r="C206" s="172">
        <v>0</v>
      </c>
      <c r="D206" s="172">
        <v>96</v>
      </c>
      <c r="E206" s="38">
        <f t="shared" si="29"/>
        <v>96</v>
      </c>
      <c r="F206" s="172">
        <v>1718</v>
      </c>
      <c r="G206" s="172">
        <v>0</v>
      </c>
      <c r="H206" s="172">
        <v>0</v>
      </c>
      <c r="I206" s="38">
        <f t="shared" si="30"/>
        <v>1718</v>
      </c>
      <c r="J206" s="172">
        <v>0</v>
      </c>
      <c r="K206" s="172">
        <v>0</v>
      </c>
      <c r="L206" s="172">
        <v>0</v>
      </c>
      <c r="M206" s="38">
        <f t="shared" si="31"/>
        <v>0</v>
      </c>
      <c r="N206" s="172">
        <v>0</v>
      </c>
      <c r="O206" s="172">
        <v>0</v>
      </c>
      <c r="P206" s="172">
        <v>0</v>
      </c>
      <c r="Q206" s="38">
        <f t="shared" si="32"/>
        <v>0</v>
      </c>
      <c r="R206" s="38">
        <f t="shared" si="33"/>
        <v>1814</v>
      </c>
    </row>
    <row r="207" spans="1:18" ht="15.75" customHeight="1" x14ac:dyDescent="0.3">
      <c r="A207" s="256" t="s">
        <v>1097</v>
      </c>
      <c r="B207" s="172">
        <v>0</v>
      </c>
      <c r="C207" s="172">
        <v>0</v>
      </c>
      <c r="D207" s="172">
        <v>0</v>
      </c>
      <c r="E207" s="38">
        <f t="shared" si="29"/>
        <v>0</v>
      </c>
      <c r="F207" s="172">
        <v>0</v>
      </c>
      <c r="G207" s="172">
        <v>0</v>
      </c>
      <c r="H207" s="172">
        <v>0</v>
      </c>
      <c r="I207" s="38">
        <f t="shared" si="30"/>
        <v>0</v>
      </c>
      <c r="J207" s="172">
        <v>0</v>
      </c>
      <c r="K207" s="172">
        <v>0</v>
      </c>
      <c r="L207" s="172">
        <v>0</v>
      </c>
      <c r="M207" s="38">
        <f t="shared" si="31"/>
        <v>0</v>
      </c>
      <c r="N207" s="172">
        <v>0</v>
      </c>
      <c r="O207" s="172">
        <v>0</v>
      </c>
      <c r="P207" s="172">
        <v>0</v>
      </c>
      <c r="Q207" s="38">
        <f t="shared" si="32"/>
        <v>0</v>
      </c>
      <c r="R207" s="38">
        <f t="shared" si="33"/>
        <v>0</v>
      </c>
    </row>
    <row r="208" spans="1:18" ht="15.75" customHeight="1" x14ac:dyDescent="0.3">
      <c r="A208" s="256" t="s">
        <v>14</v>
      </c>
      <c r="B208" s="172">
        <v>0</v>
      </c>
      <c r="C208" s="172">
        <v>0</v>
      </c>
      <c r="D208" s="172">
        <v>0</v>
      </c>
      <c r="E208" s="38">
        <f t="shared" si="29"/>
        <v>0</v>
      </c>
      <c r="F208" s="172">
        <v>0</v>
      </c>
      <c r="G208" s="172">
        <v>3023</v>
      </c>
      <c r="H208" s="172">
        <v>0</v>
      </c>
      <c r="I208" s="38">
        <f t="shared" si="30"/>
        <v>3023</v>
      </c>
      <c r="J208" s="172">
        <v>0</v>
      </c>
      <c r="K208" s="172">
        <v>0</v>
      </c>
      <c r="L208" s="172">
        <v>0</v>
      </c>
      <c r="M208" s="38">
        <f t="shared" si="31"/>
        <v>0</v>
      </c>
      <c r="N208" s="172">
        <v>0</v>
      </c>
      <c r="O208" s="172">
        <v>0</v>
      </c>
      <c r="P208" s="172">
        <v>0</v>
      </c>
      <c r="Q208" s="38">
        <f t="shared" si="32"/>
        <v>0</v>
      </c>
      <c r="R208" s="38">
        <f t="shared" si="33"/>
        <v>3023</v>
      </c>
    </row>
    <row r="209" spans="1:18" ht="15.75" customHeight="1" x14ac:dyDescent="0.3">
      <c r="A209" s="256" t="s">
        <v>2410</v>
      </c>
      <c r="B209" s="172">
        <v>0</v>
      </c>
      <c r="C209" s="172">
        <v>60</v>
      </c>
      <c r="D209" s="172">
        <v>0</v>
      </c>
      <c r="E209" s="38">
        <f t="shared" si="29"/>
        <v>60</v>
      </c>
      <c r="F209" s="172">
        <v>0</v>
      </c>
      <c r="G209" s="172">
        <v>0</v>
      </c>
      <c r="H209" s="172">
        <v>0</v>
      </c>
      <c r="I209" s="38">
        <f t="shared" si="30"/>
        <v>0</v>
      </c>
      <c r="J209" s="172">
        <v>0</v>
      </c>
      <c r="K209" s="172">
        <v>0</v>
      </c>
      <c r="L209" s="172">
        <v>0</v>
      </c>
      <c r="M209" s="38">
        <f t="shared" si="31"/>
        <v>0</v>
      </c>
      <c r="N209" s="172">
        <v>0</v>
      </c>
      <c r="O209" s="172">
        <v>0</v>
      </c>
      <c r="P209" s="172">
        <v>0</v>
      </c>
      <c r="Q209" s="38">
        <f t="shared" si="32"/>
        <v>0</v>
      </c>
      <c r="R209" s="38">
        <f t="shared" si="33"/>
        <v>60</v>
      </c>
    </row>
    <row r="210" spans="1:18" ht="15.75" customHeight="1" x14ac:dyDescent="0.3">
      <c r="A210" s="256" t="s">
        <v>2485</v>
      </c>
      <c r="B210" s="172">
        <v>60</v>
      </c>
      <c r="C210" s="172">
        <v>0</v>
      </c>
      <c r="D210" s="172">
        <v>0</v>
      </c>
      <c r="E210" s="38">
        <f t="shared" si="29"/>
        <v>60</v>
      </c>
      <c r="F210" s="172">
        <v>0</v>
      </c>
      <c r="G210" s="172">
        <v>0</v>
      </c>
      <c r="H210" s="172">
        <v>0</v>
      </c>
      <c r="I210" s="38">
        <f t="shared" si="30"/>
        <v>0</v>
      </c>
      <c r="J210" s="172">
        <v>0</v>
      </c>
      <c r="K210" s="172">
        <v>0</v>
      </c>
      <c r="L210" s="172">
        <v>0</v>
      </c>
      <c r="M210" s="38">
        <f t="shared" si="31"/>
        <v>0</v>
      </c>
      <c r="N210" s="172">
        <v>0</v>
      </c>
      <c r="O210" s="172">
        <v>0</v>
      </c>
      <c r="P210" s="172">
        <v>0</v>
      </c>
      <c r="Q210" s="38">
        <f t="shared" si="32"/>
        <v>0</v>
      </c>
      <c r="R210" s="38">
        <f t="shared" si="33"/>
        <v>60</v>
      </c>
    </row>
    <row r="211" spans="1:18" ht="15.75" customHeight="1" x14ac:dyDescent="0.3">
      <c r="A211" s="256" t="s">
        <v>1643</v>
      </c>
      <c r="B211" s="172">
        <v>0</v>
      </c>
      <c r="C211" s="172">
        <v>0</v>
      </c>
      <c r="D211" s="172">
        <v>0</v>
      </c>
      <c r="E211" s="38">
        <f t="shared" si="29"/>
        <v>0</v>
      </c>
      <c r="F211" s="172">
        <v>0</v>
      </c>
      <c r="G211" s="172">
        <v>0</v>
      </c>
      <c r="H211" s="172">
        <v>0</v>
      </c>
      <c r="I211" s="38">
        <f t="shared" si="30"/>
        <v>0</v>
      </c>
      <c r="J211" s="172">
        <v>350</v>
      </c>
      <c r="K211" s="172">
        <v>366</v>
      </c>
      <c r="L211" s="172">
        <v>350</v>
      </c>
      <c r="M211" s="38">
        <f t="shared" si="31"/>
        <v>1066</v>
      </c>
      <c r="N211" s="172">
        <v>0</v>
      </c>
      <c r="O211" s="172">
        <v>0</v>
      </c>
      <c r="P211" s="172">
        <v>0</v>
      </c>
      <c r="Q211" s="38">
        <f t="shared" si="32"/>
        <v>0</v>
      </c>
      <c r="R211" s="38">
        <f t="shared" si="33"/>
        <v>1066</v>
      </c>
    </row>
    <row r="212" spans="1:18" s="230" customFormat="1" ht="15.75" customHeight="1" x14ac:dyDescent="0.3">
      <c r="A212" s="256" t="s">
        <v>2128</v>
      </c>
      <c r="B212" s="172">
        <v>0</v>
      </c>
      <c r="C212" s="172">
        <v>1831</v>
      </c>
      <c r="D212" s="172">
        <v>669</v>
      </c>
      <c r="E212" s="38">
        <f>SUM(B212:D212)</f>
        <v>2500</v>
      </c>
      <c r="F212" s="172">
        <v>0</v>
      </c>
      <c r="G212" s="172">
        <v>0</v>
      </c>
      <c r="H212" s="172">
        <v>0</v>
      </c>
      <c r="I212" s="38">
        <f>SUM(F212:H212)</f>
        <v>0</v>
      </c>
      <c r="J212" s="172">
        <v>0</v>
      </c>
      <c r="K212" s="172">
        <v>0</v>
      </c>
      <c r="L212" s="172">
        <v>0</v>
      </c>
      <c r="M212" s="38">
        <f>SUM(J212:L212)</f>
        <v>0</v>
      </c>
      <c r="N212" s="172">
        <v>0</v>
      </c>
      <c r="O212" s="172">
        <v>0</v>
      </c>
      <c r="P212" s="172">
        <v>0</v>
      </c>
      <c r="Q212" s="38">
        <f>SUM(N212:P212)</f>
        <v>0</v>
      </c>
      <c r="R212" s="38">
        <f>+E212+I212+M212+Q212</f>
        <v>2500</v>
      </c>
    </row>
    <row r="213" spans="1:18" ht="15.75" customHeight="1" x14ac:dyDescent="0.3">
      <c r="A213" s="256" t="s">
        <v>2089</v>
      </c>
      <c r="B213" s="172">
        <v>0</v>
      </c>
      <c r="C213" s="172">
        <v>0</v>
      </c>
      <c r="D213" s="172">
        <v>0</v>
      </c>
      <c r="E213" s="38">
        <f>SUM(B213:D213)</f>
        <v>0</v>
      </c>
      <c r="F213" s="172">
        <v>0</v>
      </c>
      <c r="G213" s="172">
        <v>0</v>
      </c>
      <c r="H213" s="172">
        <v>1300</v>
      </c>
      <c r="I213" s="38">
        <f>SUM(F213:H213)</f>
        <v>1300</v>
      </c>
      <c r="J213" s="172">
        <v>1466</v>
      </c>
      <c r="K213" s="172">
        <v>0</v>
      </c>
      <c r="L213" s="172">
        <v>43</v>
      </c>
      <c r="M213" s="38">
        <f>SUM(J213:L213)</f>
        <v>1509</v>
      </c>
      <c r="N213" s="172">
        <v>0</v>
      </c>
      <c r="O213" s="172">
        <v>0</v>
      </c>
      <c r="P213" s="172">
        <v>0</v>
      </c>
      <c r="Q213" s="38">
        <f>SUM(N213:P213)</f>
        <v>0</v>
      </c>
      <c r="R213" s="38">
        <f>+E213+I213+M213+Q213</f>
        <v>2809</v>
      </c>
    </row>
    <row r="214" spans="1:18" ht="15.75" customHeight="1" x14ac:dyDescent="0.3">
      <c r="A214" s="256" t="s">
        <v>1475</v>
      </c>
      <c r="B214" s="172">
        <v>38</v>
      </c>
      <c r="C214" s="172">
        <v>0</v>
      </c>
      <c r="D214" s="172">
        <v>0</v>
      </c>
      <c r="E214" s="38">
        <f>SUM(B214:D214)</f>
        <v>38</v>
      </c>
      <c r="F214" s="172">
        <v>1004</v>
      </c>
      <c r="G214" s="172">
        <v>1434</v>
      </c>
      <c r="H214" s="172">
        <v>367</v>
      </c>
      <c r="I214" s="38">
        <f>SUM(F214:H214)</f>
        <v>2805</v>
      </c>
      <c r="J214" s="172">
        <v>0</v>
      </c>
      <c r="K214" s="172">
        <v>0</v>
      </c>
      <c r="L214" s="172">
        <v>0</v>
      </c>
      <c r="M214" s="38">
        <f>SUM(J214:L214)</f>
        <v>0</v>
      </c>
      <c r="N214" s="172">
        <v>0</v>
      </c>
      <c r="O214" s="172">
        <v>0</v>
      </c>
      <c r="P214" s="172">
        <v>0</v>
      </c>
      <c r="Q214" s="38">
        <f>SUM(N214:P214)</f>
        <v>0</v>
      </c>
      <c r="R214" s="38">
        <f>+E214+I214+M214+Q214</f>
        <v>2843</v>
      </c>
    </row>
    <row r="215" spans="1:18" ht="15.75" customHeight="1" x14ac:dyDescent="0.3">
      <c r="A215" s="256" t="s">
        <v>100</v>
      </c>
      <c r="B215" s="172">
        <v>345</v>
      </c>
      <c r="C215" s="172">
        <v>992</v>
      </c>
      <c r="D215" s="172">
        <v>1513</v>
      </c>
      <c r="E215" s="38">
        <f t="shared" si="29"/>
        <v>2850</v>
      </c>
      <c r="F215" s="172">
        <v>0</v>
      </c>
      <c r="G215" s="172">
        <v>0</v>
      </c>
      <c r="H215" s="172">
        <v>0</v>
      </c>
      <c r="I215" s="38">
        <f t="shared" si="30"/>
        <v>0</v>
      </c>
      <c r="J215" s="172">
        <v>0</v>
      </c>
      <c r="K215" s="172">
        <v>0</v>
      </c>
      <c r="L215" s="172">
        <v>0</v>
      </c>
      <c r="M215" s="38">
        <f t="shared" si="31"/>
        <v>0</v>
      </c>
      <c r="N215" s="172">
        <v>0</v>
      </c>
      <c r="O215" s="172">
        <v>0</v>
      </c>
      <c r="P215" s="172">
        <v>0</v>
      </c>
      <c r="Q215" s="38">
        <f t="shared" si="32"/>
        <v>0</v>
      </c>
      <c r="R215" s="38">
        <f t="shared" si="33"/>
        <v>2850</v>
      </c>
    </row>
    <row r="216" spans="1:18" ht="15.75" customHeight="1" x14ac:dyDescent="0.3">
      <c r="A216" s="256" t="s">
        <v>101</v>
      </c>
      <c r="B216" s="172">
        <v>0</v>
      </c>
      <c r="C216" s="172">
        <v>0</v>
      </c>
      <c r="D216" s="172">
        <v>0</v>
      </c>
      <c r="E216" s="38">
        <f t="shared" si="29"/>
        <v>0</v>
      </c>
      <c r="F216" s="172">
        <v>0</v>
      </c>
      <c r="G216" s="172">
        <v>0</v>
      </c>
      <c r="H216" s="172">
        <v>0</v>
      </c>
      <c r="I216" s="38">
        <f t="shared" si="30"/>
        <v>0</v>
      </c>
      <c r="J216" s="172">
        <v>0</v>
      </c>
      <c r="K216" s="172">
        <v>0</v>
      </c>
      <c r="L216" s="172">
        <v>0</v>
      </c>
      <c r="M216" s="38">
        <f t="shared" si="31"/>
        <v>0</v>
      </c>
      <c r="N216" s="172">
        <v>0</v>
      </c>
      <c r="O216" s="172">
        <v>0</v>
      </c>
      <c r="P216" s="172">
        <v>0</v>
      </c>
      <c r="Q216" s="38">
        <f t="shared" si="32"/>
        <v>0</v>
      </c>
      <c r="R216" s="38">
        <f t="shared" si="33"/>
        <v>0</v>
      </c>
    </row>
    <row r="217" spans="1:18" ht="15.75" customHeight="1" x14ac:dyDescent="0.3">
      <c r="A217" s="256" t="s">
        <v>2446</v>
      </c>
      <c r="B217" s="172">
        <v>0</v>
      </c>
      <c r="C217" s="172">
        <v>0</v>
      </c>
      <c r="D217" s="172">
        <v>0</v>
      </c>
      <c r="E217" s="38">
        <f t="shared" si="29"/>
        <v>0</v>
      </c>
      <c r="F217" s="172">
        <v>387</v>
      </c>
      <c r="G217" s="172">
        <v>4363</v>
      </c>
      <c r="H217" s="172">
        <v>0</v>
      </c>
      <c r="I217" s="38">
        <f t="shared" si="30"/>
        <v>4750</v>
      </c>
      <c r="J217" s="172">
        <v>0</v>
      </c>
      <c r="K217" s="172">
        <v>0</v>
      </c>
      <c r="L217" s="172">
        <v>0</v>
      </c>
      <c r="M217" s="38">
        <f t="shared" si="31"/>
        <v>0</v>
      </c>
      <c r="N217" s="172">
        <v>0</v>
      </c>
      <c r="O217" s="172">
        <v>0</v>
      </c>
      <c r="P217" s="172">
        <v>0</v>
      </c>
      <c r="Q217" s="38">
        <f t="shared" si="32"/>
        <v>0</v>
      </c>
      <c r="R217" s="38">
        <f t="shared" si="33"/>
        <v>4750</v>
      </c>
    </row>
    <row r="218" spans="1:18" ht="15.75" customHeight="1" x14ac:dyDescent="0.3">
      <c r="A218" s="256" t="s">
        <v>829</v>
      </c>
      <c r="B218" s="172">
        <v>0</v>
      </c>
      <c r="C218" s="172">
        <v>95</v>
      </c>
      <c r="D218" s="172">
        <v>0</v>
      </c>
      <c r="E218" s="38">
        <f t="shared" si="29"/>
        <v>95</v>
      </c>
      <c r="F218" s="172">
        <v>0</v>
      </c>
      <c r="G218" s="172">
        <v>0</v>
      </c>
      <c r="H218" s="172">
        <v>0</v>
      </c>
      <c r="I218" s="38">
        <f t="shared" si="30"/>
        <v>0</v>
      </c>
      <c r="J218" s="172">
        <v>0</v>
      </c>
      <c r="K218" s="172">
        <v>0</v>
      </c>
      <c r="L218" s="172">
        <v>0</v>
      </c>
      <c r="M218" s="38">
        <f t="shared" si="31"/>
        <v>0</v>
      </c>
      <c r="N218" s="172">
        <v>0</v>
      </c>
      <c r="O218" s="172">
        <v>0</v>
      </c>
      <c r="P218" s="172">
        <v>0</v>
      </c>
      <c r="Q218" s="38">
        <f t="shared" si="32"/>
        <v>0</v>
      </c>
      <c r="R218" s="38">
        <f t="shared" si="33"/>
        <v>95</v>
      </c>
    </row>
    <row r="219" spans="1:18" ht="15.75" customHeight="1" x14ac:dyDescent="0.3">
      <c r="A219" s="256" t="s">
        <v>343</v>
      </c>
      <c r="B219" s="172">
        <v>95</v>
      </c>
      <c r="C219" s="172">
        <v>0</v>
      </c>
      <c r="D219" s="172">
        <v>0</v>
      </c>
      <c r="E219" s="38">
        <f t="shared" si="29"/>
        <v>95</v>
      </c>
      <c r="F219" s="172">
        <v>0</v>
      </c>
      <c r="G219" s="172">
        <v>0</v>
      </c>
      <c r="H219" s="172">
        <v>0</v>
      </c>
      <c r="I219" s="38">
        <f t="shared" si="30"/>
        <v>0</v>
      </c>
      <c r="J219" s="172">
        <v>0</v>
      </c>
      <c r="K219" s="172">
        <v>0</v>
      </c>
      <c r="L219" s="172">
        <v>0</v>
      </c>
      <c r="M219" s="38">
        <f t="shared" si="31"/>
        <v>0</v>
      </c>
      <c r="N219" s="172">
        <v>0</v>
      </c>
      <c r="O219" s="172">
        <v>0</v>
      </c>
      <c r="P219" s="172">
        <v>0</v>
      </c>
      <c r="Q219" s="38">
        <f t="shared" si="32"/>
        <v>0</v>
      </c>
      <c r="R219" s="38">
        <f t="shared" si="33"/>
        <v>95</v>
      </c>
    </row>
    <row r="220" spans="1:18" ht="15.75" customHeight="1" thickBot="1" x14ac:dyDescent="0.35">
      <c r="A220" s="256" t="s">
        <v>1410</v>
      </c>
      <c r="B220" s="172">
        <v>0</v>
      </c>
      <c r="C220" s="172">
        <v>500</v>
      </c>
      <c r="D220" s="172">
        <v>0</v>
      </c>
      <c r="E220" s="38">
        <f t="shared" si="29"/>
        <v>500</v>
      </c>
      <c r="F220" s="172">
        <v>0</v>
      </c>
      <c r="G220" s="172">
        <v>0</v>
      </c>
      <c r="H220" s="172">
        <v>0</v>
      </c>
      <c r="I220" s="38">
        <f t="shared" si="30"/>
        <v>0</v>
      </c>
      <c r="J220" s="172">
        <v>0</v>
      </c>
      <c r="K220" s="172">
        <v>0</v>
      </c>
      <c r="L220" s="172">
        <v>0</v>
      </c>
      <c r="M220" s="38">
        <f t="shared" si="31"/>
        <v>0</v>
      </c>
      <c r="N220" s="172">
        <v>0</v>
      </c>
      <c r="O220" s="172">
        <v>0</v>
      </c>
      <c r="P220" s="172">
        <v>0</v>
      </c>
      <c r="Q220" s="38">
        <f t="shared" si="32"/>
        <v>0</v>
      </c>
      <c r="R220" s="38">
        <f t="shared" si="33"/>
        <v>500</v>
      </c>
    </row>
    <row r="221" spans="1:18" ht="15.75" customHeight="1" thickBot="1" x14ac:dyDescent="0.35">
      <c r="A221" s="43" t="s">
        <v>1220</v>
      </c>
      <c r="B221" s="45">
        <f>SUM(B184:B220)</f>
        <v>4631</v>
      </c>
      <c r="C221" s="46">
        <f>SUM(C184:C220)</f>
        <v>3837</v>
      </c>
      <c r="D221" s="46">
        <f>SUM(D184:D220)</f>
        <v>3083</v>
      </c>
      <c r="E221" s="37">
        <f t="shared" si="29"/>
        <v>11551</v>
      </c>
      <c r="F221" s="46">
        <f>SUM(F184:F220)</f>
        <v>6925</v>
      </c>
      <c r="G221" s="46">
        <f>SUM(G184:G220)</f>
        <v>15460</v>
      </c>
      <c r="H221" s="46">
        <f>SUM(H184:H220)</f>
        <v>4156</v>
      </c>
      <c r="I221" s="37">
        <f t="shared" si="30"/>
        <v>26541</v>
      </c>
      <c r="J221" s="46">
        <f>SUM(J184:J220)</f>
        <v>4065</v>
      </c>
      <c r="K221" s="46">
        <f>SUM(K184:K220)</f>
        <v>2485</v>
      </c>
      <c r="L221" s="46">
        <f>SUM(L184:L220)</f>
        <v>2287</v>
      </c>
      <c r="M221" s="37">
        <f t="shared" si="31"/>
        <v>8837</v>
      </c>
      <c r="N221" s="46">
        <f>SUM(N184:N220)</f>
        <v>2297</v>
      </c>
      <c r="O221" s="46">
        <f>SUM(O184:O220)</f>
        <v>2109</v>
      </c>
      <c r="P221" s="46">
        <f>SUM(P184:P220)</f>
        <v>337</v>
      </c>
      <c r="Q221" s="37">
        <f t="shared" si="32"/>
        <v>4743</v>
      </c>
      <c r="R221" s="37">
        <f t="shared" si="33"/>
        <v>51672</v>
      </c>
    </row>
    <row r="222" spans="1:18" ht="15.75" customHeight="1" x14ac:dyDescent="0.3">
      <c r="A222" s="234" t="s">
        <v>1712</v>
      </c>
      <c r="B222" s="172"/>
      <c r="C222" s="172"/>
      <c r="D222" s="172"/>
      <c r="E222" s="38" t="s">
        <v>852</v>
      </c>
      <c r="F222" s="172"/>
      <c r="G222" s="172"/>
      <c r="H222" s="172"/>
      <c r="I222" s="38" t="s">
        <v>852</v>
      </c>
      <c r="J222" s="172"/>
      <c r="K222" s="172"/>
      <c r="L222" s="172"/>
      <c r="M222" s="38" t="s">
        <v>852</v>
      </c>
      <c r="N222" s="172"/>
      <c r="O222" s="172"/>
      <c r="P222" s="172"/>
      <c r="Q222" s="38" t="s">
        <v>852</v>
      </c>
      <c r="R222" s="38" t="s">
        <v>852</v>
      </c>
    </row>
    <row r="223" spans="1:18" ht="15.75" customHeight="1" x14ac:dyDescent="0.3">
      <c r="A223" s="234" t="s">
        <v>556</v>
      </c>
      <c r="B223" s="172"/>
      <c r="C223" s="172"/>
      <c r="D223" s="172"/>
      <c r="E223" s="38" t="s">
        <v>852</v>
      </c>
      <c r="F223" s="172"/>
      <c r="G223" s="172"/>
      <c r="H223" s="172"/>
      <c r="I223" s="38" t="s">
        <v>852</v>
      </c>
      <c r="J223" s="172"/>
      <c r="K223" s="172"/>
      <c r="L223" s="172"/>
      <c r="M223" s="38" t="s">
        <v>852</v>
      </c>
      <c r="N223" s="172"/>
      <c r="O223" s="172"/>
      <c r="P223" s="172"/>
      <c r="Q223" s="38" t="s">
        <v>852</v>
      </c>
      <c r="R223" s="38" t="s">
        <v>852</v>
      </c>
    </row>
    <row r="224" spans="1:18" ht="15.75" customHeight="1" x14ac:dyDescent="0.3">
      <c r="A224" s="268" t="s">
        <v>1322</v>
      </c>
      <c r="B224" s="172">
        <v>0</v>
      </c>
      <c r="C224" s="172">
        <v>0</v>
      </c>
      <c r="D224" s="172">
        <v>0</v>
      </c>
      <c r="E224" s="38">
        <f t="shared" ref="E224:E229" si="39">SUM(B224:D224)</f>
        <v>0</v>
      </c>
      <c r="F224" s="172">
        <v>0</v>
      </c>
      <c r="G224" s="172">
        <v>0</v>
      </c>
      <c r="H224" s="172">
        <v>0</v>
      </c>
      <c r="I224" s="38">
        <f t="shared" ref="I224:I229" si="40">SUM(F224:H224)</f>
        <v>0</v>
      </c>
      <c r="J224" s="172">
        <v>0</v>
      </c>
      <c r="K224" s="172">
        <v>3796</v>
      </c>
      <c r="L224" s="172">
        <v>1204</v>
      </c>
      <c r="M224" s="38">
        <f t="shared" ref="M224:M229" si="41">SUM(J224:L224)</f>
        <v>5000</v>
      </c>
      <c r="N224" s="172">
        <v>0</v>
      </c>
      <c r="O224" s="172">
        <v>0</v>
      </c>
      <c r="P224" s="172">
        <v>0</v>
      </c>
      <c r="Q224" s="38">
        <f t="shared" ref="Q224:Q229" si="42">SUM(N224:P224)</f>
        <v>0</v>
      </c>
      <c r="R224" s="38">
        <f t="shared" ref="R224:R229" si="43">+E224+I224+M224+Q224</f>
        <v>5000</v>
      </c>
    </row>
    <row r="225" spans="1:18" ht="15.75" customHeight="1" x14ac:dyDescent="0.3">
      <c r="A225" s="268" t="s">
        <v>1323</v>
      </c>
      <c r="B225" s="172">
        <v>0</v>
      </c>
      <c r="C225" s="172">
        <v>0</v>
      </c>
      <c r="D225" s="172">
        <v>0</v>
      </c>
      <c r="E225" s="38">
        <f t="shared" si="39"/>
        <v>0</v>
      </c>
      <c r="F225" s="172">
        <v>0</v>
      </c>
      <c r="G225" s="172">
        <v>0</v>
      </c>
      <c r="H225" s="172">
        <v>0</v>
      </c>
      <c r="I225" s="38">
        <f t="shared" si="40"/>
        <v>0</v>
      </c>
      <c r="J225" s="172">
        <v>0</v>
      </c>
      <c r="K225" s="172">
        <v>39</v>
      </c>
      <c r="L225" s="172">
        <v>2505</v>
      </c>
      <c r="M225" s="38">
        <f t="shared" si="41"/>
        <v>2544</v>
      </c>
      <c r="N225" s="172">
        <v>2056</v>
      </c>
      <c r="O225" s="172">
        <v>5</v>
      </c>
      <c r="P225" s="172">
        <v>185</v>
      </c>
      <c r="Q225" s="38">
        <f t="shared" si="42"/>
        <v>2246</v>
      </c>
      <c r="R225" s="38">
        <f t="shared" si="43"/>
        <v>4790</v>
      </c>
    </row>
    <row r="226" spans="1:18" ht="15.75" customHeight="1" x14ac:dyDescent="0.3">
      <c r="A226" s="268" t="s">
        <v>2317</v>
      </c>
      <c r="B226" s="172">
        <v>0</v>
      </c>
      <c r="C226" s="172">
        <v>2480</v>
      </c>
      <c r="D226" s="172">
        <v>0</v>
      </c>
      <c r="E226" s="38">
        <f t="shared" si="39"/>
        <v>2480</v>
      </c>
      <c r="F226" s="172">
        <v>0</v>
      </c>
      <c r="G226" s="172">
        <v>0</v>
      </c>
      <c r="H226" s="172">
        <v>0</v>
      </c>
      <c r="I226" s="38">
        <f t="shared" si="40"/>
        <v>0</v>
      </c>
      <c r="J226" s="172">
        <v>0</v>
      </c>
      <c r="K226" s="172">
        <v>0</v>
      </c>
      <c r="L226" s="172">
        <v>0</v>
      </c>
      <c r="M226" s="38">
        <f t="shared" si="41"/>
        <v>0</v>
      </c>
      <c r="N226" s="172">
        <v>0</v>
      </c>
      <c r="O226" s="172">
        <v>59</v>
      </c>
      <c r="P226" s="172">
        <v>0</v>
      </c>
      <c r="Q226" s="38">
        <f t="shared" si="42"/>
        <v>59</v>
      </c>
      <c r="R226" s="38">
        <f t="shared" si="43"/>
        <v>2539</v>
      </c>
    </row>
    <row r="227" spans="1:18" ht="15.75" customHeight="1" x14ac:dyDescent="0.3">
      <c r="A227" s="267" t="s">
        <v>238</v>
      </c>
      <c r="B227" s="172">
        <v>0</v>
      </c>
      <c r="C227" s="172">
        <v>0</v>
      </c>
      <c r="D227" s="172">
        <v>0</v>
      </c>
      <c r="E227" s="38">
        <f t="shared" si="39"/>
        <v>0</v>
      </c>
      <c r="F227" s="172">
        <v>0</v>
      </c>
      <c r="G227" s="172">
        <v>0</v>
      </c>
      <c r="H227" s="172">
        <v>0</v>
      </c>
      <c r="I227" s="38">
        <f t="shared" si="40"/>
        <v>0</v>
      </c>
      <c r="J227" s="172">
        <v>0</v>
      </c>
      <c r="K227" s="172">
        <v>0</v>
      </c>
      <c r="L227" s="172">
        <v>0</v>
      </c>
      <c r="M227" s="38">
        <f t="shared" si="41"/>
        <v>0</v>
      </c>
      <c r="N227" s="172">
        <v>0</v>
      </c>
      <c r="O227" s="172">
        <v>0</v>
      </c>
      <c r="P227" s="172">
        <v>0</v>
      </c>
      <c r="Q227" s="38">
        <f t="shared" si="42"/>
        <v>0</v>
      </c>
      <c r="R227" s="38">
        <f t="shared" si="43"/>
        <v>0</v>
      </c>
    </row>
    <row r="228" spans="1:18" ht="15.75" customHeight="1" x14ac:dyDescent="0.3">
      <c r="A228" s="268" t="s">
        <v>1784</v>
      </c>
      <c r="B228" s="172">
        <v>920</v>
      </c>
      <c r="C228" s="172">
        <v>392</v>
      </c>
      <c r="D228" s="172">
        <v>0</v>
      </c>
      <c r="E228" s="38">
        <f t="shared" si="39"/>
        <v>1312</v>
      </c>
      <c r="F228" s="172">
        <v>0</v>
      </c>
      <c r="G228" s="172">
        <v>0</v>
      </c>
      <c r="H228" s="172">
        <v>0</v>
      </c>
      <c r="I228" s="38">
        <f t="shared" si="40"/>
        <v>0</v>
      </c>
      <c r="J228" s="172">
        <v>0</v>
      </c>
      <c r="K228" s="172">
        <v>0</v>
      </c>
      <c r="L228" s="172">
        <v>0</v>
      </c>
      <c r="M228" s="38">
        <f t="shared" si="41"/>
        <v>0</v>
      </c>
      <c r="N228" s="172">
        <v>0</v>
      </c>
      <c r="O228" s="172">
        <v>0</v>
      </c>
      <c r="P228" s="172">
        <v>0</v>
      </c>
      <c r="Q228" s="38">
        <f t="shared" si="42"/>
        <v>0</v>
      </c>
      <c r="R228" s="38">
        <f t="shared" si="43"/>
        <v>1312</v>
      </c>
    </row>
    <row r="229" spans="1:18" ht="15.75" customHeight="1" x14ac:dyDescent="0.3">
      <c r="A229" s="266" t="s">
        <v>1749</v>
      </c>
      <c r="B229" s="172">
        <v>160</v>
      </c>
      <c r="C229" s="172">
        <v>133</v>
      </c>
      <c r="D229" s="172">
        <v>300</v>
      </c>
      <c r="E229" s="38">
        <f t="shared" si="39"/>
        <v>593</v>
      </c>
      <c r="F229" s="172">
        <v>371</v>
      </c>
      <c r="G229" s="172">
        <v>249</v>
      </c>
      <c r="H229" s="172">
        <v>128</v>
      </c>
      <c r="I229" s="38">
        <f t="shared" si="40"/>
        <v>748</v>
      </c>
      <c r="J229" s="172">
        <v>210</v>
      </c>
      <c r="K229" s="172">
        <v>408</v>
      </c>
      <c r="L229" s="172">
        <v>114</v>
      </c>
      <c r="M229" s="38">
        <f t="shared" si="41"/>
        <v>732</v>
      </c>
      <c r="N229" s="172">
        <v>117</v>
      </c>
      <c r="O229" s="172">
        <v>138</v>
      </c>
      <c r="P229" s="172">
        <v>292</v>
      </c>
      <c r="Q229" s="38">
        <f t="shared" si="42"/>
        <v>547</v>
      </c>
      <c r="R229" s="38">
        <f t="shared" si="43"/>
        <v>2620</v>
      </c>
    </row>
    <row r="230" spans="1:18" ht="15.75" customHeight="1" x14ac:dyDescent="0.3">
      <c r="A230" s="234" t="s">
        <v>557</v>
      </c>
      <c r="B230" s="172"/>
      <c r="C230" s="172"/>
      <c r="D230" s="172"/>
      <c r="E230" s="38" t="s">
        <v>852</v>
      </c>
      <c r="F230" s="172"/>
      <c r="G230" s="172"/>
      <c r="H230" s="172"/>
      <c r="I230" s="38" t="s">
        <v>852</v>
      </c>
      <c r="J230" s="172"/>
      <c r="K230" s="172"/>
      <c r="L230" s="172"/>
      <c r="M230" s="38" t="s">
        <v>852</v>
      </c>
      <c r="N230" s="172"/>
      <c r="O230" s="172"/>
      <c r="P230" s="172"/>
      <c r="Q230" s="38" t="s">
        <v>852</v>
      </c>
      <c r="R230" s="38" t="s">
        <v>852</v>
      </c>
    </row>
    <row r="231" spans="1:18" ht="15.75" customHeight="1" x14ac:dyDescent="0.3">
      <c r="A231" s="268" t="s">
        <v>2502</v>
      </c>
      <c r="B231" s="172">
        <v>0</v>
      </c>
      <c r="C231" s="172">
        <v>0</v>
      </c>
      <c r="D231" s="172">
        <v>0</v>
      </c>
      <c r="E231" s="38">
        <f>SUM(B231:D231)</f>
        <v>0</v>
      </c>
      <c r="F231" s="172">
        <v>0</v>
      </c>
      <c r="G231" s="172">
        <v>0</v>
      </c>
      <c r="H231" s="172">
        <v>0</v>
      </c>
      <c r="I231" s="38">
        <f>SUM(F231:H231)</f>
        <v>0</v>
      </c>
      <c r="J231" s="172">
        <v>0</v>
      </c>
      <c r="K231" s="172">
        <v>0</v>
      </c>
      <c r="L231" s="172">
        <v>0</v>
      </c>
      <c r="M231" s="38">
        <f>SUM(J231:L231)</f>
        <v>0</v>
      </c>
      <c r="N231" s="172">
        <v>0</v>
      </c>
      <c r="O231" s="172">
        <v>0</v>
      </c>
      <c r="P231" s="172">
        <v>2313</v>
      </c>
      <c r="Q231" s="38">
        <f>SUM(N231:P231)</f>
        <v>2313</v>
      </c>
      <c r="R231" s="38">
        <f>+E231+I231+M231+Q231</f>
        <v>2313</v>
      </c>
    </row>
    <row r="232" spans="1:18" ht="15.75" customHeight="1" x14ac:dyDescent="0.3">
      <c r="A232" s="268" t="s">
        <v>1074</v>
      </c>
      <c r="B232" s="172">
        <v>0</v>
      </c>
      <c r="C232" s="172">
        <v>0</v>
      </c>
      <c r="D232" s="172">
        <v>0</v>
      </c>
      <c r="E232" s="38">
        <f>SUM(B232:D232)</f>
        <v>0</v>
      </c>
      <c r="F232" s="172">
        <v>0</v>
      </c>
      <c r="G232" s="172">
        <v>0</v>
      </c>
      <c r="H232" s="172">
        <v>0</v>
      </c>
      <c r="I232" s="38">
        <f>SUM(F232:H232)</f>
        <v>0</v>
      </c>
      <c r="J232" s="172">
        <v>0</v>
      </c>
      <c r="K232" s="172">
        <v>0</v>
      </c>
      <c r="L232" s="172">
        <v>0</v>
      </c>
      <c r="M232" s="38">
        <f>SUM(J232:L232)</f>
        <v>0</v>
      </c>
      <c r="N232" s="172">
        <v>0</v>
      </c>
      <c r="O232" s="172">
        <v>0</v>
      </c>
      <c r="P232" s="172">
        <v>0</v>
      </c>
      <c r="Q232" s="38">
        <f>SUM(N232:P232)</f>
        <v>0</v>
      </c>
      <c r="R232" s="38">
        <f>+E232+I232+M232+Q232</f>
        <v>0</v>
      </c>
    </row>
    <row r="233" spans="1:18" ht="15.75" customHeight="1" x14ac:dyDescent="0.3">
      <c r="A233" s="266" t="s">
        <v>1601</v>
      </c>
      <c r="B233" s="172">
        <v>0</v>
      </c>
      <c r="C233" s="172">
        <v>0</v>
      </c>
      <c r="D233" s="172">
        <v>0</v>
      </c>
      <c r="E233" s="38">
        <f t="shared" ref="E233:E238" si="44">SUM(B233:D233)</f>
        <v>0</v>
      </c>
      <c r="F233" s="172">
        <v>0</v>
      </c>
      <c r="G233" s="172">
        <v>0</v>
      </c>
      <c r="H233" s="172">
        <v>0</v>
      </c>
      <c r="I233" s="38">
        <f t="shared" ref="I233:I238" si="45">SUM(F233:H233)</f>
        <v>0</v>
      </c>
      <c r="J233" s="172">
        <v>0</v>
      </c>
      <c r="K233" s="172">
        <v>0</v>
      </c>
      <c r="L233" s="172">
        <v>0</v>
      </c>
      <c r="M233" s="38">
        <f t="shared" ref="M233:M238" si="46">SUM(J233:L233)</f>
        <v>0</v>
      </c>
      <c r="N233" s="172">
        <v>0</v>
      </c>
      <c r="O233" s="172">
        <v>0</v>
      </c>
      <c r="P233" s="172">
        <v>0</v>
      </c>
      <c r="Q233" s="38">
        <f t="shared" ref="Q233:Q238" si="47">SUM(N233:P233)</f>
        <v>0</v>
      </c>
      <c r="R233" s="38">
        <f t="shared" ref="R233:R238" si="48">+E233+I233+M233+Q233</f>
        <v>0</v>
      </c>
    </row>
    <row r="234" spans="1:18" ht="15.75" customHeight="1" x14ac:dyDescent="0.3">
      <c r="A234" s="266" t="s">
        <v>1075</v>
      </c>
      <c r="B234" s="172">
        <v>0</v>
      </c>
      <c r="C234" s="172">
        <v>0</v>
      </c>
      <c r="D234" s="172">
        <v>0</v>
      </c>
      <c r="E234" s="38">
        <f t="shared" si="44"/>
        <v>0</v>
      </c>
      <c r="F234" s="172">
        <v>0</v>
      </c>
      <c r="G234" s="172">
        <v>0</v>
      </c>
      <c r="H234" s="172">
        <v>0</v>
      </c>
      <c r="I234" s="38">
        <f t="shared" si="45"/>
        <v>0</v>
      </c>
      <c r="J234" s="172">
        <v>0</v>
      </c>
      <c r="K234" s="172">
        <v>0</v>
      </c>
      <c r="L234" s="172">
        <v>0</v>
      </c>
      <c r="M234" s="38">
        <f t="shared" si="46"/>
        <v>0</v>
      </c>
      <c r="N234" s="172">
        <v>0</v>
      </c>
      <c r="O234" s="172">
        <v>0</v>
      </c>
      <c r="P234" s="172">
        <v>0</v>
      </c>
      <c r="Q234" s="38">
        <f t="shared" si="47"/>
        <v>0</v>
      </c>
      <c r="R234" s="38">
        <f t="shared" si="48"/>
        <v>0</v>
      </c>
    </row>
    <row r="235" spans="1:18" ht="15.75" customHeight="1" x14ac:dyDescent="0.3">
      <c r="A235" s="267" t="s">
        <v>1255</v>
      </c>
      <c r="B235" s="172">
        <v>0</v>
      </c>
      <c r="C235" s="172">
        <v>0</v>
      </c>
      <c r="D235" s="172">
        <v>0</v>
      </c>
      <c r="E235" s="38">
        <f t="shared" si="44"/>
        <v>0</v>
      </c>
      <c r="F235" s="172">
        <v>0</v>
      </c>
      <c r="G235" s="172">
        <v>0</v>
      </c>
      <c r="H235" s="172">
        <v>0</v>
      </c>
      <c r="I235" s="38">
        <f t="shared" si="45"/>
        <v>0</v>
      </c>
      <c r="J235" s="172">
        <v>0</v>
      </c>
      <c r="K235" s="172">
        <v>0</v>
      </c>
      <c r="L235" s="172">
        <v>0</v>
      </c>
      <c r="M235" s="38">
        <f t="shared" si="46"/>
        <v>0</v>
      </c>
      <c r="N235" s="172">
        <v>0</v>
      </c>
      <c r="O235" s="172">
        <v>390</v>
      </c>
      <c r="P235" s="172">
        <v>874</v>
      </c>
      <c r="Q235" s="38">
        <f t="shared" si="47"/>
        <v>1264</v>
      </c>
      <c r="R235" s="38">
        <f t="shared" si="48"/>
        <v>1264</v>
      </c>
    </row>
    <row r="236" spans="1:18" s="230" customFormat="1" ht="15.75" customHeight="1" x14ac:dyDescent="0.3">
      <c r="A236" s="267" t="s">
        <v>2367</v>
      </c>
      <c r="B236" s="172">
        <v>0</v>
      </c>
      <c r="C236" s="172">
        <v>0</v>
      </c>
      <c r="D236" s="172">
        <v>0</v>
      </c>
      <c r="E236" s="38">
        <f t="shared" si="44"/>
        <v>0</v>
      </c>
      <c r="F236" s="172">
        <v>0</v>
      </c>
      <c r="G236" s="172">
        <v>0</v>
      </c>
      <c r="H236" s="172">
        <v>0</v>
      </c>
      <c r="I236" s="38">
        <f t="shared" si="45"/>
        <v>0</v>
      </c>
      <c r="J236" s="172">
        <v>0</v>
      </c>
      <c r="K236" s="172">
        <v>0</v>
      </c>
      <c r="L236" s="172">
        <v>0</v>
      </c>
      <c r="M236" s="38">
        <f t="shared" si="46"/>
        <v>0</v>
      </c>
      <c r="N236" s="172">
        <v>0</v>
      </c>
      <c r="O236" s="172">
        <v>0</v>
      </c>
      <c r="P236" s="172">
        <v>0</v>
      </c>
      <c r="Q236" s="38">
        <f t="shared" si="47"/>
        <v>0</v>
      </c>
      <c r="R236" s="38">
        <f t="shared" si="48"/>
        <v>0</v>
      </c>
    </row>
    <row r="237" spans="1:18" ht="15.75" customHeight="1" x14ac:dyDescent="0.3">
      <c r="A237" s="249" t="s">
        <v>2395</v>
      </c>
      <c r="B237" s="172">
        <v>0</v>
      </c>
      <c r="C237" s="172">
        <v>0</v>
      </c>
      <c r="D237" s="172">
        <v>0</v>
      </c>
      <c r="E237" s="38">
        <f t="shared" si="44"/>
        <v>0</v>
      </c>
      <c r="F237" s="172">
        <v>0</v>
      </c>
      <c r="G237" s="172">
        <v>0</v>
      </c>
      <c r="H237" s="172">
        <v>0</v>
      </c>
      <c r="I237" s="38">
        <f t="shared" si="45"/>
        <v>0</v>
      </c>
      <c r="J237" s="172">
        <v>0</v>
      </c>
      <c r="K237" s="172">
        <v>0</v>
      </c>
      <c r="L237" s="172">
        <v>0</v>
      </c>
      <c r="M237" s="38">
        <f t="shared" si="46"/>
        <v>0</v>
      </c>
      <c r="N237" s="172">
        <v>0</v>
      </c>
      <c r="O237" s="172">
        <v>0</v>
      </c>
      <c r="P237" s="172">
        <v>0</v>
      </c>
      <c r="Q237" s="38">
        <f t="shared" si="47"/>
        <v>0</v>
      </c>
      <c r="R237" s="38">
        <f t="shared" si="48"/>
        <v>0</v>
      </c>
    </row>
    <row r="238" spans="1:18" ht="15.75" customHeight="1" x14ac:dyDescent="0.3">
      <c r="A238" s="249" t="s">
        <v>1685</v>
      </c>
      <c r="B238" s="172">
        <v>0</v>
      </c>
      <c r="C238" s="172">
        <v>0</v>
      </c>
      <c r="D238" s="172">
        <v>0</v>
      </c>
      <c r="E238" s="38">
        <f t="shared" si="44"/>
        <v>0</v>
      </c>
      <c r="F238" s="172">
        <v>0</v>
      </c>
      <c r="G238" s="172">
        <v>0</v>
      </c>
      <c r="H238" s="172">
        <v>0</v>
      </c>
      <c r="I238" s="38">
        <f t="shared" si="45"/>
        <v>0</v>
      </c>
      <c r="J238" s="172">
        <v>0</v>
      </c>
      <c r="K238" s="172">
        <v>0</v>
      </c>
      <c r="L238" s="172">
        <v>0</v>
      </c>
      <c r="M238" s="38">
        <f t="shared" si="46"/>
        <v>0</v>
      </c>
      <c r="N238" s="172">
        <v>0</v>
      </c>
      <c r="O238" s="172">
        <v>0</v>
      </c>
      <c r="P238" s="172">
        <v>0</v>
      </c>
      <c r="Q238" s="38">
        <f t="shared" si="47"/>
        <v>0</v>
      </c>
      <c r="R238" s="38">
        <f t="shared" si="48"/>
        <v>0</v>
      </c>
    </row>
    <row r="239" spans="1:18" ht="15.75" customHeight="1" x14ac:dyDescent="0.3">
      <c r="A239" s="234" t="s">
        <v>558</v>
      </c>
      <c r="B239" s="172"/>
      <c r="C239" s="172"/>
      <c r="D239" s="172"/>
      <c r="E239" s="38" t="s">
        <v>852</v>
      </c>
      <c r="F239" s="172"/>
      <c r="G239" s="172"/>
      <c r="H239" s="172"/>
      <c r="I239" s="38" t="s">
        <v>852</v>
      </c>
      <c r="J239" s="172"/>
      <c r="K239" s="172"/>
      <c r="L239" s="172"/>
      <c r="M239" s="38" t="s">
        <v>852</v>
      </c>
      <c r="N239" s="172"/>
      <c r="O239" s="172"/>
      <c r="P239" s="172"/>
      <c r="Q239" s="38" t="s">
        <v>852</v>
      </c>
      <c r="R239" s="38" t="s">
        <v>852</v>
      </c>
    </row>
    <row r="240" spans="1:18" ht="15.75" customHeight="1" x14ac:dyDescent="0.3">
      <c r="A240" s="266" t="s">
        <v>1611</v>
      </c>
      <c r="B240" s="172">
        <v>0</v>
      </c>
      <c r="C240" s="172">
        <v>0</v>
      </c>
      <c r="D240" s="172">
        <v>0</v>
      </c>
      <c r="E240" s="38">
        <f>SUM(B240:D240)</f>
        <v>0</v>
      </c>
      <c r="F240" s="172">
        <v>0</v>
      </c>
      <c r="G240" s="172">
        <v>0</v>
      </c>
      <c r="H240" s="172">
        <v>0</v>
      </c>
      <c r="I240" s="38">
        <f>SUM(F240:H240)</f>
        <v>0</v>
      </c>
      <c r="J240" s="172">
        <v>0</v>
      </c>
      <c r="K240" s="172">
        <v>0</v>
      </c>
      <c r="L240" s="172">
        <v>0</v>
      </c>
      <c r="M240" s="38">
        <f>SUM(J240:L240)</f>
        <v>0</v>
      </c>
      <c r="N240" s="172">
        <v>0</v>
      </c>
      <c r="O240" s="172">
        <v>0</v>
      </c>
      <c r="P240" s="172">
        <v>0</v>
      </c>
      <c r="Q240" s="38">
        <f>SUM(N240:P240)</f>
        <v>0</v>
      </c>
      <c r="R240" s="38">
        <f>+E240+I240+M240+Q240</f>
        <v>0</v>
      </c>
    </row>
    <row r="241" spans="1:18" ht="15.75" customHeight="1" x14ac:dyDescent="0.3">
      <c r="A241" s="266" t="s">
        <v>238</v>
      </c>
      <c r="B241" s="172">
        <v>0</v>
      </c>
      <c r="C241" s="172">
        <v>0</v>
      </c>
      <c r="D241" s="172">
        <v>0</v>
      </c>
      <c r="E241" s="38">
        <f>SUM(B241:D241)</f>
        <v>0</v>
      </c>
      <c r="F241" s="172">
        <v>0</v>
      </c>
      <c r="G241" s="172">
        <v>0</v>
      </c>
      <c r="H241" s="172">
        <v>0</v>
      </c>
      <c r="I241" s="38">
        <f>SUM(F241:H241)</f>
        <v>0</v>
      </c>
      <c r="J241" s="172">
        <v>0</v>
      </c>
      <c r="K241" s="172">
        <v>0</v>
      </c>
      <c r="L241" s="172">
        <v>0</v>
      </c>
      <c r="M241" s="38">
        <f>SUM(J241:L241)</f>
        <v>0</v>
      </c>
      <c r="N241" s="172">
        <v>0</v>
      </c>
      <c r="O241" s="172">
        <v>0</v>
      </c>
      <c r="P241" s="172">
        <v>0</v>
      </c>
      <c r="Q241" s="38">
        <f>SUM(N241:P241)</f>
        <v>0</v>
      </c>
      <c r="R241" s="38">
        <f>+E241+I241+M241+Q241</f>
        <v>0</v>
      </c>
    </row>
    <row r="242" spans="1:18" ht="15.75" customHeight="1" x14ac:dyDescent="0.3">
      <c r="A242" s="266" t="s">
        <v>1785</v>
      </c>
      <c r="B242" s="172">
        <v>0</v>
      </c>
      <c r="C242" s="172">
        <v>0</v>
      </c>
      <c r="D242" s="172">
        <v>0</v>
      </c>
      <c r="E242" s="38">
        <f>SUM(B242:D242)</f>
        <v>0</v>
      </c>
      <c r="F242" s="172">
        <v>0</v>
      </c>
      <c r="G242" s="172">
        <v>0</v>
      </c>
      <c r="H242" s="172">
        <v>0</v>
      </c>
      <c r="I242" s="38">
        <f>SUM(F242:H242)</f>
        <v>0</v>
      </c>
      <c r="J242" s="172">
        <v>0</v>
      </c>
      <c r="K242" s="172">
        <v>0</v>
      </c>
      <c r="L242" s="172">
        <v>0</v>
      </c>
      <c r="M242" s="38">
        <f>SUM(J242:L242)</f>
        <v>0</v>
      </c>
      <c r="N242" s="172">
        <v>0</v>
      </c>
      <c r="O242" s="172">
        <v>0</v>
      </c>
      <c r="P242" s="172">
        <v>0</v>
      </c>
      <c r="Q242" s="38">
        <f>SUM(N242:P242)</f>
        <v>0</v>
      </c>
      <c r="R242" s="38">
        <f>+E242+I242+M242+Q242</f>
        <v>0</v>
      </c>
    </row>
    <row r="243" spans="1:18" ht="15.75" customHeight="1" thickBot="1" x14ac:dyDescent="0.35">
      <c r="A243" s="234" t="s">
        <v>559</v>
      </c>
      <c r="B243" s="172"/>
      <c r="C243" s="172"/>
      <c r="D243" s="172"/>
      <c r="E243" s="38" t="s">
        <v>852</v>
      </c>
      <c r="F243" s="172"/>
      <c r="G243" s="172"/>
      <c r="H243" s="172"/>
      <c r="I243" s="38" t="s">
        <v>852</v>
      </c>
      <c r="J243" s="172"/>
      <c r="K243" s="172"/>
      <c r="L243" s="172"/>
      <c r="M243" s="38" t="s">
        <v>852</v>
      </c>
      <c r="N243" s="172"/>
      <c r="O243" s="172"/>
      <c r="P243" s="172"/>
      <c r="Q243" s="38" t="s">
        <v>852</v>
      </c>
      <c r="R243" s="38" t="s">
        <v>852</v>
      </c>
    </row>
    <row r="244" spans="1:18" ht="15.75" customHeight="1" thickBot="1" x14ac:dyDescent="0.35">
      <c r="A244" s="43" t="s">
        <v>1019</v>
      </c>
      <c r="B244" s="42">
        <f>SUM(B239:B243)</f>
        <v>0</v>
      </c>
      <c r="C244" s="42">
        <f>SUM(C239:C243)</f>
        <v>0</v>
      </c>
      <c r="D244" s="42">
        <f>SUM(D239:D243)</f>
        <v>0</v>
      </c>
      <c r="E244" s="39">
        <f t="shared" ref="E244:E252" si="49">SUM(B244:D244)</f>
        <v>0</v>
      </c>
      <c r="F244" s="42">
        <f>SUM(F239:F243)</f>
        <v>0</v>
      </c>
      <c r="G244" s="42">
        <f>SUM(G239:G243)</f>
        <v>0</v>
      </c>
      <c r="H244" s="42">
        <f>SUM(H239:H243)</f>
        <v>0</v>
      </c>
      <c r="I244" s="39">
        <f t="shared" ref="I244:I252" si="50">SUM(F244:H244)</f>
        <v>0</v>
      </c>
      <c r="J244" s="42">
        <f>SUM(J239:J243)</f>
        <v>0</v>
      </c>
      <c r="K244" s="42">
        <f>SUM(K239:K243)</f>
        <v>0</v>
      </c>
      <c r="L244" s="42">
        <f>SUM(L239:L243)</f>
        <v>0</v>
      </c>
      <c r="M244" s="39">
        <f t="shared" ref="M244:M252" si="51">SUM(J244:L244)</f>
        <v>0</v>
      </c>
      <c r="N244" s="42">
        <f>SUM(N239:N243)</f>
        <v>0</v>
      </c>
      <c r="O244" s="42">
        <f>SUM(O239:O243)</f>
        <v>0</v>
      </c>
      <c r="P244" s="42">
        <f>SUM(P239:P243)</f>
        <v>0</v>
      </c>
      <c r="Q244" s="39">
        <f t="shared" ref="Q244:Q252" si="52">SUM(N244:P244)</f>
        <v>0</v>
      </c>
      <c r="R244" s="37">
        <f t="shared" ref="R244:R252" si="53">+E244+I244+M244+Q244</f>
        <v>0</v>
      </c>
    </row>
    <row r="245" spans="1:18" ht="15.75" customHeight="1" thickBot="1" x14ac:dyDescent="0.35">
      <c r="A245" s="43" t="s">
        <v>1221</v>
      </c>
      <c r="B245" s="45">
        <f>SUM(B222:B243)</f>
        <v>1080</v>
      </c>
      <c r="C245" s="46">
        <f>SUM(C222:C243)</f>
        <v>3005</v>
      </c>
      <c r="D245" s="46">
        <f>SUM(D222:D243)</f>
        <v>300</v>
      </c>
      <c r="E245" s="37">
        <f t="shared" si="49"/>
        <v>4385</v>
      </c>
      <c r="F245" s="46">
        <f>SUM(F222:F243)</f>
        <v>371</v>
      </c>
      <c r="G245" s="46">
        <f>SUM(G222:G243)</f>
        <v>249</v>
      </c>
      <c r="H245" s="46">
        <f>SUM(H222:H243)</f>
        <v>128</v>
      </c>
      <c r="I245" s="37">
        <f t="shared" si="50"/>
        <v>748</v>
      </c>
      <c r="J245" s="46">
        <f>SUM(J222:J243)</f>
        <v>210</v>
      </c>
      <c r="K245" s="46">
        <f>SUM(K222:K243)</f>
        <v>4243</v>
      </c>
      <c r="L245" s="46">
        <f>SUM(L222:L243)</f>
        <v>3823</v>
      </c>
      <c r="M245" s="37">
        <f t="shared" si="51"/>
        <v>8276</v>
      </c>
      <c r="N245" s="46">
        <f>SUM(N222:N243)</f>
        <v>2173</v>
      </c>
      <c r="O245" s="46">
        <f>SUM(O222:O243)</f>
        <v>592</v>
      </c>
      <c r="P245" s="46">
        <f>SUM(P222:P243)</f>
        <v>3664</v>
      </c>
      <c r="Q245" s="37">
        <f t="shared" si="52"/>
        <v>6429</v>
      </c>
      <c r="R245" s="37">
        <f t="shared" si="53"/>
        <v>19838</v>
      </c>
    </row>
    <row r="246" spans="1:18" ht="15.75" customHeight="1" thickBot="1" x14ac:dyDescent="0.35">
      <c r="A246" s="43" t="s">
        <v>1222</v>
      </c>
      <c r="B246" s="47">
        <f>+B176+B183+B221+B245</f>
        <v>20220</v>
      </c>
      <c r="C246" s="42">
        <f>+C176+C183+C221+C245</f>
        <v>17663</v>
      </c>
      <c r="D246" s="42">
        <f>+D176+D183+D221+D245</f>
        <v>24966</v>
      </c>
      <c r="E246" s="40">
        <f t="shared" si="49"/>
        <v>62849</v>
      </c>
      <c r="F246" s="42">
        <f>+F176+F183+F221+F245</f>
        <v>32084</v>
      </c>
      <c r="G246" s="42">
        <f>+G176+G183+G221+G245</f>
        <v>32605</v>
      </c>
      <c r="H246" s="42">
        <f>+H176+H183+H221+H245</f>
        <v>35896</v>
      </c>
      <c r="I246" s="40">
        <f t="shared" si="50"/>
        <v>100585</v>
      </c>
      <c r="J246" s="42">
        <f>+J176+J183+J221+J245</f>
        <v>40390</v>
      </c>
      <c r="K246" s="42">
        <f>+K176+K183+K221+K245</f>
        <v>35731</v>
      </c>
      <c r="L246" s="42">
        <f>+L176+L183+L221+L245</f>
        <v>32569</v>
      </c>
      <c r="M246" s="40">
        <f t="shared" si="51"/>
        <v>108690</v>
      </c>
      <c r="N246" s="42">
        <f>+N176+N183+N221+N245</f>
        <v>29562</v>
      </c>
      <c r="O246" s="42">
        <f>+O176+O183+O221+O245</f>
        <v>25248</v>
      </c>
      <c r="P246" s="42">
        <f>+P176+P183+P221+P245</f>
        <v>20185</v>
      </c>
      <c r="Q246" s="40">
        <f t="shared" si="52"/>
        <v>74995</v>
      </c>
      <c r="R246" s="40">
        <f t="shared" si="53"/>
        <v>347119</v>
      </c>
    </row>
    <row r="247" spans="1:18" ht="15.75" customHeight="1" x14ac:dyDescent="0.3">
      <c r="A247" s="269" t="s">
        <v>474</v>
      </c>
      <c r="B247" s="172">
        <v>0</v>
      </c>
      <c r="C247" s="172">
        <v>1067</v>
      </c>
      <c r="D247" s="172">
        <v>3472</v>
      </c>
      <c r="E247" s="38">
        <f t="shared" si="49"/>
        <v>4539</v>
      </c>
      <c r="F247" s="172">
        <v>3894</v>
      </c>
      <c r="G247" s="172">
        <v>4164</v>
      </c>
      <c r="H247" s="172">
        <v>3434</v>
      </c>
      <c r="I247" s="38">
        <f t="shared" si="50"/>
        <v>11492</v>
      </c>
      <c r="J247" s="172">
        <v>2383</v>
      </c>
      <c r="K247" s="172">
        <v>3252</v>
      </c>
      <c r="L247" s="172">
        <v>3642</v>
      </c>
      <c r="M247" s="38">
        <f t="shared" si="51"/>
        <v>9277</v>
      </c>
      <c r="N247" s="172">
        <v>4947</v>
      </c>
      <c r="O247" s="172">
        <v>4047</v>
      </c>
      <c r="P247" s="172">
        <v>511</v>
      </c>
      <c r="Q247" s="38">
        <f t="shared" si="52"/>
        <v>9505</v>
      </c>
      <c r="R247" s="38">
        <f t="shared" si="53"/>
        <v>34813</v>
      </c>
    </row>
    <row r="248" spans="1:18" ht="15.75" customHeight="1" x14ac:dyDescent="0.3">
      <c r="A248" s="270" t="s">
        <v>899</v>
      </c>
      <c r="B248" s="172">
        <v>0</v>
      </c>
      <c r="C248" s="172">
        <v>0</v>
      </c>
      <c r="D248" s="172">
        <v>0</v>
      </c>
      <c r="E248" s="38">
        <f t="shared" si="49"/>
        <v>0</v>
      </c>
      <c r="F248" s="172">
        <v>0</v>
      </c>
      <c r="G248" s="172">
        <v>0</v>
      </c>
      <c r="H248" s="172">
        <v>0</v>
      </c>
      <c r="I248" s="38">
        <f t="shared" si="50"/>
        <v>0</v>
      </c>
      <c r="J248" s="172">
        <v>0</v>
      </c>
      <c r="K248" s="172">
        <v>0</v>
      </c>
      <c r="L248" s="172">
        <v>0</v>
      </c>
      <c r="M248" s="38">
        <f t="shared" si="51"/>
        <v>0</v>
      </c>
      <c r="N248" s="172">
        <v>0</v>
      </c>
      <c r="O248" s="172">
        <v>0</v>
      </c>
      <c r="P248" s="172">
        <v>0</v>
      </c>
      <c r="Q248" s="38">
        <f t="shared" si="52"/>
        <v>0</v>
      </c>
      <c r="R248" s="38">
        <f t="shared" si="53"/>
        <v>0</v>
      </c>
    </row>
    <row r="249" spans="1:18" ht="15.75" customHeight="1" x14ac:dyDescent="0.3">
      <c r="A249" s="266" t="s">
        <v>35</v>
      </c>
      <c r="B249" s="172">
        <v>0</v>
      </c>
      <c r="C249" s="172">
        <v>0</v>
      </c>
      <c r="D249" s="172">
        <v>0</v>
      </c>
      <c r="E249" s="38">
        <f t="shared" si="49"/>
        <v>0</v>
      </c>
      <c r="F249" s="172">
        <v>0</v>
      </c>
      <c r="G249" s="172">
        <v>0</v>
      </c>
      <c r="H249" s="172">
        <v>0</v>
      </c>
      <c r="I249" s="38">
        <f t="shared" si="50"/>
        <v>0</v>
      </c>
      <c r="J249" s="172">
        <v>0</v>
      </c>
      <c r="K249" s="172">
        <v>0</v>
      </c>
      <c r="L249" s="172">
        <v>0</v>
      </c>
      <c r="M249" s="38">
        <f t="shared" si="51"/>
        <v>0</v>
      </c>
      <c r="N249" s="172">
        <v>0</v>
      </c>
      <c r="O249" s="172">
        <v>0</v>
      </c>
      <c r="P249" s="172">
        <v>0</v>
      </c>
      <c r="Q249" s="38">
        <f>SUM(N249:P249)</f>
        <v>0</v>
      </c>
      <c r="R249" s="38">
        <f>+E249+I249+M249+Q249</f>
        <v>0</v>
      </c>
    </row>
    <row r="250" spans="1:18" ht="15.75" customHeight="1" x14ac:dyDescent="0.3">
      <c r="A250" s="270" t="s">
        <v>2475</v>
      </c>
      <c r="B250" s="172">
        <v>90</v>
      </c>
      <c r="C250" s="172">
        <v>92</v>
      </c>
      <c r="D250" s="172">
        <v>188</v>
      </c>
      <c r="E250" s="38">
        <f t="shared" si="49"/>
        <v>370</v>
      </c>
      <c r="F250" s="172">
        <v>133</v>
      </c>
      <c r="G250" s="172">
        <v>132</v>
      </c>
      <c r="H250" s="172">
        <v>278</v>
      </c>
      <c r="I250" s="38">
        <f t="shared" si="50"/>
        <v>543</v>
      </c>
      <c r="J250" s="172">
        <v>257</v>
      </c>
      <c r="K250" s="172">
        <v>198</v>
      </c>
      <c r="L250" s="172">
        <v>252</v>
      </c>
      <c r="M250" s="38">
        <f t="shared" si="51"/>
        <v>707</v>
      </c>
      <c r="N250" s="172">
        <v>235</v>
      </c>
      <c r="O250" s="172">
        <v>196</v>
      </c>
      <c r="P250" s="172">
        <v>77</v>
      </c>
      <c r="Q250" s="38">
        <f t="shared" si="52"/>
        <v>508</v>
      </c>
      <c r="R250" s="38">
        <f t="shared" si="53"/>
        <v>2128</v>
      </c>
    </row>
    <row r="251" spans="1:18" ht="15.75" customHeight="1" x14ac:dyDescent="0.3">
      <c r="A251" s="267" t="s">
        <v>2096</v>
      </c>
      <c r="B251" s="172">
        <v>99649</v>
      </c>
      <c r="C251" s="172">
        <v>88679</v>
      </c>
      <c r="D251" s="172">
        <v>23780</v>
      </c>
      <c r="E251" s="38">
        <f t="shared" si="49"/>
        <v>212108</v>
      </c>
      <c r="F251" s="172">
        <v>0</v>
      </c>
      <c r="G251" s="172">
        <v>18160</v>
      </c>
      <c r="H251" s="172">
        <v>769</v>
      </c>
      <c r="I251" s="38">
        <f t="shared" si="50"/>
        <v>18929</v>
      </c>
      <c r="J251" s="172">
        <v>0</v>
      </c>
      <c r="K251" s="172">
        <v>0</v>
      </c>
      <c r="L251" s="172">
        <v>0</v>
      </c>
      <c r="M251" s="38">
        <f t="shared" si="51"/>
        <v>0</v>
      </c>
      <c r="N251" s="172">
        <v>25846</v>
      </c>
      <c r="O251" s="172">
        <v>91045</v>
      </c>
      <c r="P251" s="172">
        <v>20663</v>
      </c>
      <c r="Q251" s="38">
        <f t="shared" si="52"/>
        <v>137554</v>
      </c>
      <c r="R251" s="38">
        <f t="shared" si="53"/>
        <v>368591</v>
      </c>
    </row>
    <row r="252" spans="1:18" ht="15.75" customHeight="1" thickBot="1" x14ac:dyDescent="0.35">
      <c r="A252" s="244" t="s">
        <v>853</v>
      </c>
      <c r="B252" s="238">
        <v>104</v>
      </c>
      <c r="C252" s="238">
        <v>268</v>
      </c>
      <c r="D252" s="238">
        <v>474</v>
      </c>
      <c r="E252" s="38">
        <f t="shared" si="49"/>
        <v>846</v>
      </c>
      <c r="F252" s="238">
        <v>647</v>
      </c>
      <c r="G252" s="238">
        <v>742</v>
      </c>
      <c r="H252" s="238">
        <v>781</v>
      </c>
      <c r="I252" s="38">
        <f t="shared" si="50"/>
        <v>2170</v>
      </c>
      <c r="J252" s="238">
        <v>774</v>
      </c>
      <c r="K252" s="238">
        <v>596</v>
      </c>
      <c r="L252" s="238">
        <v>546</v>
      </c>
      <c r="M252" s="38">
        <f t="shared" si="51"/>
        <v>1916</v>
      </c>
      <c r="N252" s="238">
        <v>517</v>
      </c>
      <c r="O252" s="238">
        <v>413</v>
      </c>
      <c r="P252" s="238">
        <v>302</v>
      </c>
      <c r="Q252" s="38">
        <f t="shared" si="52"/>
        <v>1232</v>
      </c>
      <c r="R252" s="38">
        <f t="shared" si="53"/>
        <v>6164</v>
      </c>
    </row>
    <row r="253" spans="1:18" ht="15.75" customHeight="1" thickBot="1" x14ac:dyDescent="0.35">
      <c r="A253" s="44"/>
      <c r="B253" s="258"/>
      <c r="C253" s="258"/>
      <c r="D253" s="258"/>
      <c r="E253" s="39"/>
      <c r="F253" s="258"/>
      <c r="G253" s="258"/>
      <c r="H253" s="258"/>
      <c r="I253" s="37"/>
      <c r="J253" s="258"/>
      <c r="K253" s="258"/>
      <c r="L253" s="258"/>
      <c r="M253" s="37"/>
      <c r="N253" s="258"/>
      <c r="O253" s="258"/>
      <c r="P253" s="258"/>
      <c r="Q253" s="37"/>
      <c r="R253" s="37" t="s">
        <v>852</v>
      </c>
    </row>
    <row r="254" spans="1:18" ht="15.75" customHeight="1" x14ac:dyDescent="0.3">
      <c r="A254" s="259" t="s">
        <v>2011</v>
      </c>
      <c r="B254" s="260">
        <f>SUM(B246:B252)</f>
        <v>120063</v>
      </c>
      <c r="C254" s="260">
        <f>SUM(C246:C252)</f>
        <v>107769</v>
      </c>
      <c r="D254" s="260">
        <f>SUM(D246:D252)</f>
        <v>52880</v>
      </c>
      <c r="E254" s="39">
        <f>SUM(B254:D254)</f>
        <v>280712</v>
      </c>
      <c r="F254" s="260">
        <f>SUM(F246:F252)</f>
        <v>36758</v>
      </c>
      <c r="G254" s="260">
        <f>SUM(G246:G252)</f>
        <v>55803</v>
      </c>
      <c r="H254" s="260">
        <f>SUM(H246:H252)</f>
        <v>41158</v>
      </c>
      <c r="I254" s="39">
        <f>SUM(F254:H254)</f>
        <v>133719</v>
      </c>
      <c r="J254" s="260">
        <f>SUM(J246:J252)</f>
        <v>43804</v>
      </c>
      <c r="K254" s="260">
        <f>SUM(K246:K252)</f>
        <v>39777</v>
      </c>
      <c r="L254" s="260">
        <f>SUM(L246:L252)</f>
        <v>37009</v>
      </c>
      <c r="M254" s="39">
        <f>SUM(J254:L254)</f>
        <v>120590</v>
      </c>
      <c r="N254" s="260">
        <f>SUM(N246:N252)</f>
        <v>61107</v>
      </c>
      <c r="O254" s="260">
        <f>SUM(O246:O252)</f>
        <v>120949</v>
      </c>
      <c r="P254" s="260">
        <f>SUM(P246:P252)</f>
        <v>41738</v>
      </c>
      <c r="Q254" s="49">
        <f>SUM(N254:P254)</f>
        <v>223794</v>
      </c>
      <c r="R254" s="39">
        <f>+E254+I254+M254+Q254</f>
        <v>758815</v>
      </c>
    </row>
    <row r="255" spans="1:18" ht="15.75" customHeight="1" x14ac:dyDescent="0.3">
      <c r="A255" s="262" t="s">
        <v>1897</v>
      </c>
      <c r="B255" s="172">
        <f>(B254/31)/1.983</f>
        <v>1953.1013615733737</v>
      </c>
      <c r="C255" s="172">
        <f>(C254/28)/1.983</f>
        <v>1940.9444564512644</v>
      </c>
      <c r="D255" s="172">
        <f>(D254/31)/1.983</f>
        <v>860.21505376344078</v>
      </c>
      <c r="E255" s="38" t="s">
        <v>852</v>
      </c>
      <c r="F255" s="172">
        <f>(F254/30)/1.983</f>
        <v>617.88535888384604</v>
      </c>
      <c r="G255" s="172">
        <f>(G254/31)/1.983</f>
        <v>907.76438436386695</v>
      </c>
      <c r="H255" s="172">
        <f>(H254/30)/1.983</f>
        <v>691.84736930576571</v>
      </c>
      <c r="I255" s="38" t="s">
        <v>852</v>
      </c>
      <c r="J255" s="172">
        <f>(J254/31)/1.983</f>
        <v>712.57299952824815</v>
      </c>
      <c r="K255" s="172">
        <f>(K254/31)/1.983</f>
        <v>647.06456493094527</v>
      </c>
      <c r="L255" s="172">
        <f>(L254/30)/1.983</f>
        <v>622.1045553874601</v>
      </c>
      <c r="M255" s="38" t="s">
        <v>852</v>
      </c>
      <c r="N255" s="172">
        <f>(N254/31)/1.983</f>
        <v>994.04616660973113</v>
      </c>
      <c r="O255" s="172">
        <f>(O254/30)/1.983</f>
        <v>2033.0979996638089</v>
      </c>
      <c r="P255" s="172">
        <f>(P254/31)/1.983</f>
        <v>678.96474875148442</v>
      </c>
      <c r="Q255" s="50" t="s">
        <v>852</v>
      </c>
      <c r="R255" s="38" t="s">
        <v>852</v>
      </c>
    </row>
    <row r="256" spans="1:18" ht="15.75" customHeight="1" x14ac:dyDescent="0.3">
      <c r="A256" s="262" t="s">
        <v>154</v>
      </c>
      <c r="B256" s="172">
        <f>(+B254+B377)+B263</f>
        <v>149022</v>
      </c>
      <c r="C256" s="172">
        <f>(+C254+C377)+C263</f>
        <v>141844</v>
      </c>
      <c r="D256" s="172">
        <f>(+D254+D377)+D263</f>
        <v>145507</v>
      </c>
      <c r="E256" s="38">
        <f>SUM(B256:D256)</f>
        <v>436373</v>
      </c>
      <c r="F256" s="172">
        <f>(+F254+F377)+F263</f>
        <v>143209</v>
      </c>
      <c r="G256" s="172">
        <f>(+G254+G377)+G263</f>
        <v>149783</v>
      </c>
      <c r="H256" s="172">
        <f>(+H254+H377)+H263</f>
        <v>111347</v>
      </c>
      <c r="I256" s="38">
        <f>SUM(F256:H256)</f>
        <v>404339</v>
      </c>
      <c r="J256" s="172">
        <f>(+J254+J377)+J263</f>
        <v>72547</v>
      </c>
      <c r="K256" s="172">
        <f>(+K254+K377)+K263</f>
        <v>53960</v>
      </c>
      <c r="L256" s="172">
        <f>(+L254+L377)+L263</f>
        <v>80544</v>
      </c>
      <c r="M256" s="38">
        <f>SUM(J256:L256)</f>
        <v>207051</v>
      </c>
      <c r="N256" s="172">
        <f>(+N254+N377)+N263</f>
        <v>122471</v>
      </c>
      <c r="O256" s="172">
        <f>(+O254+O377)+O263</f>
        <v>152891</v>
      </c>
      <c r="P256" s="172">
        <f>(+P254+P377)+P263</f>
        <v>50048</v>
      </c>
      <c r="Q256" s="50">
        <f>SUM(N256:P256)</f>
        <v>325410</v>
      </c>
      <c r="R256" s="38">
        <f>+E256+I256+M256+Q256</f>
        <v>1373173</v>
      </c>
    </row>
    <row r="257" spans="1:18" ht="15.75" customHeight="1" thickBot="1" x14ac:dyDescent="0.35">
      <c r="A257" s="263" t="s">
        <v>2110</v>
      </c>
      <c r="B257" s="264">
        <f>(B256/31)/1.983</f>
        <v>2424.1862281001413</v>
      </c>
      <c r="C257" s="264">
        <f>(C256/28)/1.983</f>
        <v>2554.643037245155</v>
      </c>
      <c r="D257" s="264">
        <f>(D256/31)/1.983</f>
        <v>2367.0066533274771</v>
      </c>
      <c r="E257" s="40" t="s">
        <v>852</v>
      </c>
      <c r="F257" s="264">
        <f>(F256/30)/1.983</f>
        <v>2407.2785342074299</v>
      </c>
      <c r="G257" s="264">
        <f>(G256/31)/1.983</f>
        <v>2436.5656467066842</v>
      </c>
      <c r="H257" s="264">
        <f>(H256/30)/1.983</f>
        <v>1871.6927214657924</v>
      </c>
      <c r="I257" s="40" t="s">
        <v>852</v>
      </c>
      <c r="J257" s="264">
        <f>(J256/31)/1.983</f>
        <v>1180.1441283164966</v>
      </c>
      <c r="K257" s="264">
        <f>(K256/31)/1.983</f>
        <v>877.78374245603766</v>
      </c>
      <c r="L257" s="264">
        <f>(L256/30)/1.983</f>
        <v>1353.9082198688855</v>
      </c>
      <c r="M257" s="40" t="s">
        <v>852</v>
      </c>
      <c r="N257" s="264">
        <f>(N256/30)/1.983</f>
        <v>2058.6821314506637</v>
      </c>
      <c r="O257" s="264">
        <f>(O256/30)/1.983</f>
        <v>2570.0285762312992</v>
      </c>
      <c r="P257" s="264">
        <f>(P256/31)/1.983</f>
        <v>814.14604785840936</v>
      </c>
      <c r="Q257" s="51" t="s">
        <v>852</v>
      </c>
      <c r="R257" s="40" t="s">
        <v>852</v>
      </c>
    </row>
    <row r="258" spans="1:18" ht="15.75" customHeight="1" thickBot="1" x14ac:dyDescent="0.35">
      <c r="A258" s="271" t="s">
        <v>1700</v>
      </c>
      <c r="B258" s="229">
        <f>+(B256-(B142+B144+B145+B169+B172+B173+B180+B187+B188+B189+B190+B224+B225+B226+B228+B231+B232+B235+B236+B247+B251+B259)-B263)/(31*1.983)</f>
        <v>692.6130170969368</v>
      </c>
      <c r="C258" s="229">
        <f>+(C256-(C142+C144+C145+C169+C172+C173+C180+C187+C188+C189+C190+C224+C225+C226+C228+C231+C232+C235+C236+C247+C251+C259)-C263)/(31*1.983)</f>
        <v>709.31953865924868</v>
      </c>
      <c r="D258" s="229">
        <f>+(D256-(D142+D144+D145+D169+D172+D173+D180+D187+D188+D189+D190+D224+D225+D226+D228+D231+D232+D235+D236+D247+D251+D259)-D263)/(31*1.983)</f>
        <v>1732.2564377856943</v>
      </c>
      <c r="E258" s="227"/>
      <c r="F258" s="229">
        <f>+(F256-(F142+F144+F145+F169+F172+F173+F180+F187+F188+F189+F190+F224+F225+F226+F228+F231+F232+F235+F236+F247+F251+F259)-F263)/(31*1.983)</f>
        <v>2284.1084703853721</v>
      </c>
      <c r="G258" s="229">
        <f>+(G256-(G142+G144+G145+G169+G172+G173+G180+G187+G188+G189+G190+G224+G225+G226+G228+G231+G232+G235+G236+G247+G251+G259)-G263)/(31*1.983)</f>
        <v>2057.472386250874</v>
      </c>
      <c r="H258" s="229">
        <f>+(H256-(H142+H144+H145+H169+H172+H173+H180+H187+H188+H189+H190+H224+H225+H226+H228+H231+H232+H235+H236+H247+H251+H259)-H263)/(31*1.983)</f>
        <v>2551.7544287736077</v>
      </c>
      <c r="I258" s="227"/>
      <c r="J258" s="229">
        <f>+(J256-(J142+J144+J145+J169+J172+J173+J180+J187+J188+J189+J190+J224+J225+J226+J228+J231+J232+J235+J236+J247+J251+J259)-J263)/(31*1.983)</f>
        <v>2470.7432531355225</v>
      </c>
      <c r="K258" s="229">
        <f>+(K256-(K142+K144+K145+K169+K172+K173+K180+K187+K188+K189+K190+K224+K225+K226+K228+K231+K232+K235+K236+K247+K251+K259)-K263)/(31*1.983)</f>
        <v>2731.1827956989246</v>
      </c>
      <c r="L258" s="229">
        <f>+(L256-(L142+L144+L145+L169+L172+L173+L180+L187+L188+L189+L190+L224+L225+L226+L228+L231+L232+L235+L236+L247+L251+L259)-L263)/(31*1.983)</f>
        <v>1982.772924698648</v>
      </c>
      <c r="M258" s="227"/>
      <c r="N258" s="229">
        <f>+(N256-(N142+N144+N145+N169+N172+N173+N180+N187+N188+N189+N190+N224+N225+N226+N228+N231+N232+N235+N236+N247+N251+N259)-N263)/(31*1.983)</f>
        <v>1405.3324223642899</v>
      </c>
      <c r="O258" s="229">
        <f>+(O256-(O142+O144+O145+O169+O172+O173+O180+O187+O188+O189+O190+O224+O225+O226+O228+O231+O232+O235+O236+O247+O251+O259)-O263)/(31*1.983)</f>
        <v>834.88686089828047</v>
      </c>
      <c r="P258" s="229">
        <f>+(P256-(P142+P144+P145+P169+P172+P173+P180+P187+P188+P189+P190+P224+P225+P226+P228+P231+P232+P235+P236+P247+P251+P259)-P263)/(31*1.983)</f>
        <v>715.71258926683254</v>
      </c>
      <c r="Q258" s="228"/>
      <c r="R258" s="227"/>
    </row>
    <row r="259" spans="1:18" ht="15.75" customHeight="1" x14ac:dyDescent="0.35">
      <c r="A259" s="334" t="s">
        <v>2400</v>
      </c>
      <c r="B259" s="172">
        <v>3805</v>
      </c>
      <c r="C259" s="172">
        <v>3360</v>
      </c>
      <c r="D259" s="172">
        <v>3720</v>
      </c>
      <c r="E259" s="172"/>
      <c r="F259" s="172">
        <v>3600</v>
      </c>
      <c r="G259" s="172">
        <v>3720</v>
      </c>
      <c r="H259" s="172">
        <v>3600</v>
      </c>
      <c r="I259" s="172"/>
      <c r="J259" s="172">
        <v>3720</v>
      </c>
      <c r="K259" s="172">
        <v>3805</v>
      </c>
      <c r="L259" s="172">
        <v>3683</v>
      </c>
      <c r="M259" s="172"/>
      <c r="N259" s="172">
        <v>3805</v>
      </c>
      <c r="O259" s="172">
        <v>3683</v>
      </c>
      <c r="P259" s="172">
        <v>3805</v>
      </c>
      <c r="Q259" s="172"/>
      <c r="R259" s="17"/>
    </row>
    <row r="260" spans="1:18" ht="15.75" customHeight="1" thickBot="1" x14ac:dyDescent="0.35">
      <c r="A260" s="18"/>
      <c r="B260" s="172"/>
      <c r="C260" s="172"/>
      <c r="D260" s="172"/>
      <c r="E260" s="172"/>
      <c r="F260" s="172"/>
      <c r="G260" s="172"/>
      <c r="H260" s="172"/>
      <c r="I260" s="172"/>
      <c r="J260" s="172"/>
      <c r="K260" s="172"/>
      <c r="L260" s="172"/>
      <c r="M260" s="172"/>
      <c r="N260" s="172"/>
      <c r="O260" s="172"/>
      <c r="P260" s="172"/>
      <c r="Q260" s="172"/>
      <c r="R260" s="17"/>
    </row>
    <row r="261" spans="1:18" ht="15.75" customHeight="1" thickBot="1" x14ac:dyDescent="0.35">
      <c r="A261" s="240" t="s">
        <v>1754</v>
      </c>
      <c r="B261" s="4" t="s">
        <v>2090</v>
      </c>
      <c r="C261" s="5" t="s">
        <v>2091</v>
      </c>
      <c r="D261" s="5" t="s">
        <v>2234</v>
      </c>
      <c r="E261" s="33" t="s">
        <v>1594</v>
      </c>
      <c r="F261" s="5" t="s">
        <v>2235</v>
      </c>
      <c r="G261" s="5" t="s">
        <v>2236</v>
      </c>
      <c r="H261" s="5" t="s">
        <v>2237</v>
      </c>
      <c r="I261" s="35" t="s">
        <v>1595</v>
      </c>
      <c r="J261" s="5" t="s">
        <v>1504</v>
      </c>
      <c r="K261" s="5" t="s">
        <v>1505</v>
      </c>
      <c r="L261" s="5" t="s">
        <v>1506</v>
      </c>
      <c r="M261" s="35" t="s">
        <v>1596</v>
      </c>
      <c r="N261" s="5" t="s">
        <v>1507</v>
      </c>
      <c r="O261" s="5" t="s">
        <v>1508</v>
      </c>
      <c r="P261" s="5" t="s">
        <v>1509</v>
      </c>
      <c r="Q261" s="35" t="s">
        <v>1597</v>
      </c>
      <c r="R261" s="36" t="s">
        <v>1510</v>
      </c>
    </row>
    <row r="262" spans="1:18" ht="15.75" customHeight="1" thickBot="1" x14ac:dyDescent="0.35">
      <c r="A262" s="44"/>
      <c r="B262" s="258"/>
      <c r="C262" s="258"/>
      <c r="D262" s="258"/>
      <c r="E262" s="265"/>
      <c r="F262" s="258"/>
      <c r="G262" s="258"/>
      <c r="H262" s="258"/>
      <c r="I262" s="265"/>
      <c r="J262" s="258"/>
      <c r="K262" s="258"/>
      <c r="L262" s="258"/>
      <c r="M262" s="265"/>
      <c r="N262" s="258"/>
      <c r="O262" s="258"/>
      <c r="P262" s="258"/>
      <c r="Q262" s="265"/>
      <c r="R262" s="52"/>
    </row>
    <row r="263" spans="1:18" ht="15.75" customHeight="1" thickBot="1" x14ac:dyDescent="0.35">
      <c r="A263" s="266" t="s">
        <v>1000</v>
      </c>
      <c r="B263" s="172">
        <v>0</v>
      </c>
      <c r="C263" s="172">
        <v>0</v>
      </c>
      <c r="D263" s="172">
        <v>-81</v>
      </c>
      <c r="E263" s="38">
        <f>SUM(B263:D263)</f>
        <v>-81</v>
      </c>
      <c r="F263" s="172">
        <v>-11920</v>
      </c>
      <c r="G263" s="172">
        <v>-8248</v>
      </c>
      <c r="H263" s="172">
        <v>-60264</v>
      </c>
      <c r="I263" s="38">
        <f>SUM(F263:H263)</f>
        <v>-80432</v>
      </c>
      <c r="J263" s="172">
        <v>-92679</v>
      </c>
      <c r="K263" s="172">
        <v>-129383</v>
      </c>
      <c r="L263" s="172">
        <v>-54211</v>
      </c>
      <c r="M263" s="38">
        <f>SUM(J263:L263)</f>
        <v>-276273</v>
      </c>
      <c r="N263" s="172">
        <v>-1553</v>
      </c>
      <c r="O263" s="172">
        <v>0</v>
      </c>
      <c r="P263" s="172">
        <v>-22642</v>
      </c>
      <c r="Q263" s="38">
        <f>SUM(N263:P263)</f>
        <v>-24195</v>
      </c>
      <c r="R263" s="38">
        <f>+E263+I263+M263+Q263</f>
        <v>-380981</v>
      </c>
    </row>
    <row r="264" spans="1:18" ht="15.75" customHeight="1" thickBot="1" x14ac:dyDescent="0.35">
      <c r="A264" s="272"/>
      <c r="B264" s="273"/>
      <c r="C264" s="273"/>
      <c r="D264" s="273"/>
      <c r="E264" s="53"/>
      <c r="F264" s="273"/>
      <c r="G264" s="273"/>
      <c r="H264" s="273"/>
      <c r="I264" s="53"/>
      <c r="J264" s="273"/>
      <c r="K264" s="273"/>
      <c r="L264" s="273"/>
      <c r="M264" s="53"/>
      <c r="N264" s="273"/>
      <c r="O264" s="273"/>
      <c r="P264" s="273"/>
      <c r="Q264" s="53"/>
      <c r="R264" s="54"/>
    </row>
    <row r="265" spans="1:18" ht="15.75" customHeight="1" x14ac:dyDescent="0.3">
      <c r="A265" s="234" t="s">
        <v>662</v>
      </c>
      <c r="B265" s="172">
        <f>B263</f>
        <v>0</v>
      </c>
      <c r="C265" s="172">
        <f>C263</f>
        <v>0</v>
      </c>
      <c r="D265" s="172">
        <f>D263</f>
        <v>-81</v>
      </c>
      <c r="E265" s="38">
        <f>SUM(B265:D265)</f>
        <v>-81</v>
      </c>
      <c r="F265" s="172">
        <f>F263</f>
        <v>-11920</v>
      </c>
      <c r="G265" s="172">
        <f>G263</f>
        <v>-8248</v>
      </c>
      <c r="H265" s="172">
        <f>H263</f>
        <v>-60264</v>
      </c>
      <c r="I265" s="38">
        <f>SUM(F265:H265)</f>
        <v>-80432</v>
      </c>
      <c r="J265" s="172">
        <f>J263</f>
        <v>-92679</v>
      </c>
      <c r="K265" s="172">
        <f>K263</f>
        <v>-129383</v>
      </c>
      <c r="L265" s="172">
        <f>L263</f>
        <v>-54211</v>
      </c>
      <c r="M265" s="38">
        <f>SUM(J265:L265)</f>
        <v>-276273</v>
      </c>
      <c r="N265" s="172">
        <f>N263</f>
        <v>-1553</v>
      </c>
      <c r="O265" s="172">
        <f>O263</f>
        <v>0</v>
      </c>
      <c r="P265" s="172">
        <f>P263</f>
        <v>-22642</v>
      </c>
      <c r="Q265" s="38">
        <f>SUM(N265:P265)</f>
        <v>-24195</v>
      </c>
      <c r="R265" s="55">
        <f>R263</f>
        <v>-380981</v>
      </c>
    </row>
    <row r="266" spans="1:18" ht="15.75" customHeight="1" thickBot="1" x14ac:dyDescent="0.35">
      <c r="A266" s="237" t="s">
        <v>1897</v>
      </c>
      <c r="B266" s="238">
        <f>(B265/31)/1.983</f>
        <v>0</v>
      </c>
      <c r="C266" s="238">
        <f>(C265/28)/1.983</f>
        <v>0</v>
      </c>
      <c r="D266" s="238">
        <f>(D265/31)/1.983</f>
        <v>-1.3176516519447561</v>
      </c>
      <c r="E266" s="40"/>
      <c r="F266" s="238">
        <f>(F265/30)/1.983</f>
        <v>-200.36981005210959</v>
      </c>
      <c r="G266" s="238">
        <f>(G265/31)/1.983</f>
        <v>-134.17272623753516</v>
      </c>
      <c r="H266" s="238">
        <f>(H265/30)/1.983</f>
        <v>-1013.0105900151285</v>
      </c>
      <c r="I266" s="40"/>
      <c r="J266" s="238">
        <f>(J265/31)/1.983</f>
        <v>-1507.637499389976</v>
      </c>
      <c r="K266" s="238">
        <f>(K265/31)/1.983</f>
        <v>-2104.7126380687455</v>
      </c>
      <c r="L266" s="238">
        <f>(L265/30)/1.983</f>
        <v>-911.26239704151953</v>
      </c>
      <c r="M266" s="40"/>
      <c r="N266" s="238">
        <f>(N265/31)/1.983</f>
        <v>-25.263123647780322</v>
      </c>
      <c r="O266" s="238">
        <f>(O265/30)/1.983</f>
        <v>0</v>
      </c>
      <c r="P266" s="238">
        <f>(P265/31)/1.983</f>
        <v>-368.32430497942181</v>
      </c>
      <c r="Q266" s="40"/>
      <c r="R266" s="52" t="s">
        <v>852</v>
      </c>
    </row>
    <row r="267" spans="1:18" ht="15.75" customHeight="1" x14ac:dyDescent="0.3">
      <c r="A267" s="17"/>
      <c r="B267" s="172"/>
      <c r="C267" s="172"/>
      <c r="D267" s="172"/>
      <c r="E267" s="172"/>
      <c r="F267" s="172"/>
      <c r="G267" s="172"/>
      <c r="H267" s="172"/>
      <c r="I267" s="172"/>
      <c r="J267" s="172"/>
      <c r="K267" s="172"/>
      <c r="L267" s="172"/>
      <c r="M267" s="172"/>
      <c r="N267" s="172"/>
      <c r="O267" s="172"/>
      <c r="P267" s="172"/>
      <c r="Q267" s="172"/>
      <c r="R267" s="17"/>
    </row>
    <row r="268" spans="1:18" ht="15.75" customHeight="1" thickBot="1" x14ac:dyDescent="0.35">
      <c r="A268" s="24"/>
      <c r="B268" s="238"/>
      <c r="C268" s="238"/>
      <c r="D268" s="238"/>
      <c r="E268" s="238"/>
      <c r="F268" s="238"/>
      <c r="G268" s="238"/>
      <c r="H268" s="238"/>
      <c r="I268" s="238"/>
      <c r="J268" s="238"/>
      <c r="K268" s="238"/>
      <c r="L268" s="238"/>
      <c r="M268" s="238"/>
      <c r="N268" s="238"/>
      <c r="O268" s="238"/>
      <c r="P268" s="238"/>
      <c r="Q268" s="238"/>
      <c r="R268" s="24"/>
    </row>
    <row r="269" spans="1:18" ht="15.75" customHeight="1" thickBot="1" x14ac:dyDescent="0.35">
      <c r="A269" s="274" t="s">
        <v>89</v>
      </c>
      <c r="B269" s="4" t="s">
        <v>2090</v>
      </c>
      <c r="C269" s="5" t="s">
        <v>2091</v>
      </c>
      <c r="D269" s="5" t="s">
        <v>2234</v>
      </c>
      <c r="E269" s="33" t="s">
        <v>1594</v>
      </c>
      <c r="F269" s="5" t="s">
        <v>2235</v>
      </c>
      <c r="G269" s="5" t="s">
        <v>2236</v>
      </c>
      <c r="H269" s="5" t="s">
        <v>2237</v>
      </c>
      <c r="I269" s="35" t="s">
        <v>1595</v>
      </c>
      <c r="J269" s="5" t="s">
        <v>1504</v>
      </c>
      <c r="K269" s="5" t="s">
        <v>1505</v>
      </c>
      <c r="L269" s="5" t="s">
        <v>1506</v>
      </c>
      <c r="M269" s="35" t="s">
        <v>1596</v>
      </c>
      <c r="N269" s="5" t="s">
        <v>1507</v>
      </c>
      <c r="O269" s="5" t="s">
        <v>1508</v>
      </c>
      <c r="P269" s="5" t="s">
        <v>1509</v>
      </c>
      <c r="Q269" s="35" t="s">
        <v>1597</v>
      </c>
      <c r="R269" s="36" t="s">
        <v>1510</v>
      </c>
    </row>
    <row r="270" spans="1:18" ht="15.75" customHeight="1" thickBot="1" x14ac:dyDescent="0.35">
      <c r="A270" s="37"/>
      <c r="B270" s="258"/>
      <c r="C270" s="258"/>
      <c r="D270" s="258"/>
      <c r="E270" s="254"/>
      <c r="F270" s="258"/>
      <c r="G270" s="258"/>
      <c r="H270" s="258"/>
      <c r="I270" s="265"/>
      <c r="J270" s="258"/>
      <c r="K270" s="258"/>
      <c r="L270" s="258"/>
      <c r="M270" s="265"/>
      <c r="N270" s="258"/>
      <c r="O270" s="258"/>
      <c r="P270" s="258"/>
      <c r="Q270" s="265"/>
      <c r="R270" s="52"/>
    </row>
    <row r="271" spans="1:18" ht="15.75" customHeight="1" x14ac:dyDescent="0.3">
      <c r="A271" s="234" t="s">
        <v>2417</v>
      </c>
      <c r="B271" s="172" t="s">
        <v>852</v>
      </c>
      <c r="C271" s="172" t="s">
        <v>852</v>
      </c>
      <c r="D271" s="172" t="s">
        <v>852</v>
      </c>
      <c r="E271" s="38" t="s">
        <v>852</v>
      </c>
      <c r="F271" s="172" t="s">
        <v>852</v>
      </c>
      <c r="G271" s="172" t="s">
        <v>852</v>
      </c>
      <c r="H271" s="172" t="s">
        <v>852</v>
      </c>
      <c r="I271" s="38" t="s">
        <v>852</v>
      </c>
      <c r="J271" s="172" t="s">
        <v>852</v>
      </c>
      <c r="K271" s="172" t="s">
        <v>852</v>
      </c>
      <c r="L271" s="172" t="s">
        <v>852</v>
      </c>
      <c r="M271" s="38" t="s">
        <v>852</v>
      </c>
      <c r="N271" s="172" t="s">
        <v>852</v>
      </c>
      <c r="O271" s="172" t="s">
        <v>852</v>
      </c>
      <c r="P271" s="172" t="s">
        <v>852</v>
      </c>
      <c r="Q271" s="38" t="s">
        <v>852</v>
      </c>
      <c r="R271" s="38" t="s">
        <v>852</v>
      </c>
    </row>
    <row r="272" spans="1:18" ht="15.75" customHeight="1" x14ac:dyDescent="0.3">
      <c r="A272" s="234" t="s">
        <v>2160</v>
      </c>
      <c r="B272" s="172"/>
      <c r="C272" s="172"/>
      <c r="D272" s="172"/>
      <c r="E272" s="38" t="s">
        <v>852</v>
      </c>
      <c r="F272" s="172"/>
      <c r="G272" s="172"/>
      <c r="H272" s="172"/>
      <c r="I272" s="38" t="s">
        <v>852</v>
      </c>
      <c r="J272" s="172"/>
      <c r="K272" s="172"/>
      <c r="L272" s="172"/>
      <c r="M272" s="38" t="s">
        <v>852</v>
      </c>
      <c r="N272" s="172"/>
      <c r="O272" s="172"/>
      <c r="P272" s="172"/>
      <c r="Q272" s="38" t="s">
        <v>852</v>
      </c>
      <c r="R272" s="38" t="s">
        <v>852</v>
      </c>
    </row>
    <row r="273" spans="1:20" ht="15.75" customHeight="1" x14ac:dyDescent="0.3">
      <c r="A273" s="256" t="s">
        <v>2200</v>
      </c>
      <c r="B273" s="172">
        <v>43</v>
      </c>
      <c r="C273" s="275">
        <v>45</v>
      </c>
      <c r="D273" s="172">
        <v>37</v>
      </c>
      <c r="E273" s="38">
        <f>SUM(B273:D273)</f>
        <v>125</v>
      </c>
      <c r="F273" s="172">
        <v>35</v>
      </c>
      <c r="G273" s="172">
        <v>37</v>
      </c>
      <c r="H273" s="172">
        <v>39</v>
      </c>
      <c r="I273" s="38">
        <f>SUM(F273:H273)</f>
        <v>111</v>
      </c>
      <c r="J273" s="172">
        <v>43</v>
      </c>
      <c r="K273" s="172">
        <v>37</v>
      </c>
      <c r="L273" s="172">
        <v>35</v>
      </c>
      <c r="M273" s="38">
        <f>SUM(J273:L273)</f>
        <v>115</v>
      </c>
      <c r="N273" s="172">
        <v>38</v>
      </c>
      <c r="O273" s="172">
        <v>38</v>
      </c>
      <c r="P273" s="172">
        <v>49</v>
      </c>
      <c r="Q273" s="38">
        <f>SUM(N273:P273)</f>
        <v>125</v>
      </c>
      <c r="R273" s="38">
        <f>+E273+I273+M273+Q273</f>
        <v>476</v>
      </c>
      <c r="T273" t="s">
        <v>2228</v>
      </c>
    </row>
    <row r="274" spans="1:20" ht="15.75" customHeight="1" x14ac:dyDescent="0.3">
      <c r="A274" s="266" t="s">
        <v>2238</v>
      </c>
      <c r="B274" s="172">
        <v>9</v>
      </c>
      <c r="C274" s="172">
        <v>7</v>
      </c>
      <c r="D274" s="172">
        <v>23</v>
      </c>
      <c r="E274" s="38">
        <f>SUM(B274:D274)</f>
        <v>39</v>
      </c>
      <c r="F274" s="172">
        <v>17</v>
      </c>
      <c r="G274" s="172">
        <v>17</v>
      </c>
      <c r="H274" s="172">
        <v>14</v>
      </c>
      <c r="I274" s="38">
        <f>SUM(F274:H274)</f>
        <v>48</v>
      </c>
      <c r="J274" s="172">
        <v>2</v>
      </c>
      <c r="K274" s="172">
        <v>0</v>
      </c>
      <c r="L274" s="172">
        <v>0</v>
      </c>
      <c r="M274" s="38">
        <f>SUM(J274:L274)</f>
        <v>2</v>
      </c>
      <c r="N274" s="172">
        <v>0</v>
      </c>
      <c r="O274" s="172">
        <v>0</v>
      </c>
      <c r="P274" s="172">
        <v>0</v>
      </c>
      <c r="Q274" s="38">
        <f>SUM(N274:P274)</f>
        <v>0</v>
      </c>
      <c r="R274" s="38">
        <f>+E274+I274+M274+Q274</f>
        <v>89</v>
      </c>
      <c r="T274" t="s">
        <v>1360</v>
      </c>
    </row>
    <row r="275" spans="1:20" ht="15.75" customHeight="1" x14ac:dyDescent="0.3">
      <c r="A275" s="256" t="s">
        <v>1610</v>
      </c>
      <c r="B275" s="172">
        <v>172</v>
      </c>
      <c r="C275" s="172">
        <v>326</v>
      </c>
      <c r="D275" s="172">
        <v>536</v>
      </c>
      <c r="E275" s="38">
        <f t="shared" ref="E275:E283" si="54">SUM(B275:D275)</f>
        <v>1034</v>
      </c>
      <c r="F275" s="172">
        <v>437</v>
      </c>
      <c r="G275" s="172">
        <v>382</v>
      </c>
      <c r="H275" s="172">
        <v>717</v>
      </c>
      <c r="I275" s="38">
        <f t="shared" ref="I275:I283" si="55">SUM(F275:H275)</f>
        <v>1536</v>
      </c>
      <c r="J275" s="172">
        <v>718</v>
      </c>
      <c r="K275" s="172">
        <v>648</v>
      </c>
      <c r="L275" s="172">
        <v>615</v>
      </c>
      <c r="M275" s="38">
        <f t="shared" ref="M275:M283" si="56">SUM(J275:L275)</f>
        <v>1981</v>
      </c>
      <c r="N275" s="172">
        <v>746</v>
      </c>
      <c r="O275" s="172">
        <v>471</v>
      </c>
      <c r="P275" s="172">
        <v>228</v>
      </c>
      <c r="Q275" s="38">
        <f t="shared" ref="Q275:Q283" si="57">SUM(N275:P275)</f>
        <v>1445</v>
      </c>
      <c r="R275" s="38">
        <f t="shared" ref="R275:R283" si="58">+E275+I275+M275+Q275</f>
        <v>5996</v>
      </c>
      <c r="T275" t="s">
        <v>2228</v>
      </c>
    </row>
    <row r="276" spans="1:20" ht="15.75" customHeight="1" x14ac:dyDescent="0.3">
      <c r="A276" s="256" t="s">
        <v>349</v>
      </c>
      <c r="B276" s="172">
        <v>137</v>
      </c>
      <c r="C276" s="172">
        <v>97</v>
      </c>
      <c r="D276" s="172">
        <v>109</v>
      </c>
      <c r="E276" s="38">
        <f t="shared" si="54"/>
        <v>343</v>
      </c>
      <c r="F276" s="172">
        <v>183</v>
      </c>
      <c r="G276" s="172">
        <v>173</v>
      </c>
      <c r="H276" s="172">
        <v>210</v>
      </c>
      <c r="I276" s="38">
        <f t="shared" si="55"/>
        <v>566</v>
      </c>
      <c r="J276" s="172">
        <v>213</v>
      </c>
      <c r="K276" s="172">
        <v>231</v>
      </c>
      <c r="L276" s="172">
        <v>223</v>
      </c>
      <c r="M276" s="38">
        <f t="shared" si="56"/>
        <v>667</v>
      </c>
      <c r="N276" s="172">
        <v>206</v>
      </c>
      <c r="O276" s="172">
        <v>182</v>
      </c>
      <c r="P276" s="172">
        <v>89</v>
      </c>
      <c r="Q276" s="38">
        <f t="shared" si="57"/>
        <v>477</v>
      </c>
      <c r="R276" s="38">
        <f t="shared" si="58"/>
        <v>2053</v>
      </c>
      <c r="T276" t="s">
        <v>2174</v>
      </c>
    </row>
    <row r="277" spans="1:20" ht="15.75" customHeight="1" x14ac:dyDescent="0.3">
      <c r="A277" s="256" t="s">
        <v>2304</v>
      </c>
      <c r="B277" s="172">
        <v>0</v>
      </c>
      <c r="C277" s="172">
        <v>0</v>
      </c>
      <c r="D277" s="172">
        <v>0</v>
      </c>
      <c r="E277" s="38">
        <f t="shared" si="54"/>
        <v>0</v>
      </c>
      <c r="F277" s="172">
        <v>0</v>
      </c>
      <c r="G277" s="172">
        <v>0</v>
      </c>
      <c r="H277" s="172">
        <v>0</v>
      </c>
      <c r="I277" s="38">
        <f t="shared" si="55"/>
        <v>0</v>
      </c>
      <c r="J277" s="172">
        <v>0</v>
      </c>
      <c r="K277" s="172">
        <v>0</v>
      </c>
      <c r="L277" s="172">
        <v>0</v>
      </c>
      <c r="M277" s="38">
        <f t="shared" si="56"/>
        <v>0</v>
      </c>
      <c r="N277" s="172">
        <v>210</v>
      </c>
      <c r="O277" s="172">
        <v>262</v>
      </c>
      <c r="P277" s="172">
        <v>301</v>
      </c>
      <c r="Q277" s="38">
        <f t="shared" si="57"/>
        <v>773</v>
      </c>
      <c r="R277" s="38">
        <f t="shared" si="58"/>
        <v>773</v>
      </c>
      <c r="T277" t="s">
        <v>2177</v>
      </c>
    </row>
    <row r="278" spans="1:20" ht="15.75" customHeight="1" x14ac:dyDescent="0.3">
      <c r="A278" s="256" t="s">
        <v>331</v>
      </c>
      <c r="B278" s="172">
        <v>0</v>
      </c>
      <c r="C278" s="172">
        <v>0</v>
      </c>
      <c r="D278" s="172">
        <v>35</v>
      </c>
      <c r="E278" s="38">
        <f t="shared" si="54"/>
        <v>35</v>
      </c>
      <c r="F278" s="172">
        <v>40</v>
      </c>
      <c r="G278" s="172">
        <v>62</v>
      </c>
      <c r="H278" s="172">
        <v>1646</v>
      </c>
      <c r="I278" s="38">
        <f t="shared" si="55"/>
        <v>1748</v>
      </c>
      <c r="J278" s="172">
        <v>70</v>
      </c>
      <c r="K278" s="172">
        <v>65</v>
      </c>
      <c r="L278" s="172">
        <v>34</v>
      </c>
      <c r="M278" s="38">
        <f t="shared" si="56"/>
        <v>169</v>
      </c>
      <c r="N278" s="172">
        <v>90</v>
      </c>
      <c r="O278" s="172">
        <v>27</v>
      </c>
      <c r="P278" s="172">
        <v>11</v>
      </c>
      <c r="Q278" s="38">
        <f t="shared" si="57"/>
        <v>128</v>
      </c>
      <c r="R278" s="38">
        <f t="shared" si="58"/>
        <v>2080</v>
      </c>
      <c r="T278" t="s">
        <v>2174</v>
      </c>
    </row>
    <row r="279" spans="1:20" ht="15.75" customHeight="1" x14ac:dyDescent="0.3">
      <c r="A279" s="256" t="s">
        <v>1161</v>
      </c>
      <c r="B279" s="172">
        <v>0</v>
      </c>
      <c r="C279" s="172">
        <v>0</v>
      </c>
      <c r="D279" s="172">
        <v>0</v>
      </c>
      <c r="E279" s="38">
        <f t="shared" si="54"/>
        <v>0</v>
      </c>
      <c r="F279" s="172">
        <v>0</v>
      </c>
      <c r="G279" s="172">
        <v>0</v>
      </c>
      <c r="H279" s="172">
        <v>2048</v>
      </c>
      <c r="I279" s="38">
        <f t="shared" si="55"/>
        <v>2048</v>
      </c>
      <c r="J279" s="172">
        <v>0</v>
      </c>
      <c r="K279" s="172">
        <v>0</v>
      </c>
      <c r="L279" s="172">
        <v>0</v>
      </c>
      <c r="M279" s="38">
        <f t="shared" si="56"/>
        <v>0</v>
      </c>
      <c r="N279" s="172">
        <v>0</v>
      </c>
      <c r="O279" s="172">
        <v>0</v>
      </c>
      <c r="P279" s="172">
        <v>0</v>
      </c>
      <c r="Q279" s="38">
        <f t="shared" si="57"/>
        <v>0</v>
      </c>
      <c r="R279" s="38">
        <f t="shared" si="58"/>
        <v>2048</v>
      </c>
      <c r="T279" t="s">
        <v>2174</v>
      </c>
    </row>
    <row r="280" spans="1:20" ht="15.75" customHeight="1" x14ac:dyDescent="0.3">
      <c r="A280" s="256" t="s">
        <v>347</v>
      </c>
      <c r="B280" s="172">
        <v>0</v>
      </c>
      <c r="C280" s="172">
        <v>0</v>
      </c>
      <c r="D280" s="172">
        <v>0</v>
      </c>
      <c r="E280" s="38">
        <f t="shared" si="54"/>
        <v>0</v>
      </c>
      <c r="F280" s="172">
        <v>0</v>
      </c>
      <c r="G280" s="172">
        <v>0</v>
      </c>
      <c r="H280" s="172">
        <v>0</v>
      </c>
      <c r="I280" s="38">
        <f t="shared" si="55"/>
        <v>0</v>
      </c>
      <c r="J280" s="172">
        <v>0</v>
      </c>
      <c r="K280" s="172">
        <v>0</v>
      </c>
      <c r="L280" s="172">
        <v>0</v>
      </c>
      <c r="M280" s="38">
        <f t="shared" si="56"/>
        <v>0</v>
      </c>
      <c r="N280" s="172">
        <v>0</v>
      </c>
      <c r="O280" s="172">
        <v>0</v>
      </c>
      <c r="P280" s="172">
        <v>0</v>
      </c>
      <c r="Q280" s="38">
        <f t="shared" si="57"/>
        <v>0</v>
      </c>
      <c r="R280" s="38">
        <f t="shared" si="58"/>
        <v>0</v>
      </c>
      <c r="T280" t="s">
        <v>2177</v>
      </c>
    </row>
    <row r="281" spans="1:20" ht="15.75" customHeight="1" x14ac:dyDescent="0.3">
      <c r="A281" s="256" t="s">
        <v>848</v>
      </c>
      <c r="B281" s="172">
        <v>9</v>
      </c>
      <c r="C281" s="172">
        <v>10</v>
      </c>
      <c r="D281" s="172">
        <v>59</v>
      </c>
      <c r="E281" s="38">
        <f>SUM(B281:D281)</f>
        <v>78</v>
      </c>
      <c r="F281" s="172">
        <v>69</v>
      </c>
      <c r="G281" s="172">
        <v>0</v>
      </c>
      <c r="H281" s="172">
        <v>0</v>
      </c>
      <c r="I281" s="38">
        <f>SUM(F281:H281)</f>
        <v>69</v>
      </c>
      <c r="J281" s="172">
        <v>0</v>
      </c>
      <c r="K281" s="172">
        <v>0</v>
      </c>
      <c r="L281" s="172">
        <v>0</v>
      </c>
      <c r="M281" s="38">
        <f>SUM(J281:L281)</f>
        <v>0</v>
      </c>
      <c r="N281" s="172">
        <v>0</v>
      </c>
      <c r="O281" s="172">
        <v>0</v>
      </c>
      <c r="P281" s="172">
        <v>0</v>
      </c>
      <c r="Q281" s="38">
        <f>SUM(N281:P281)</f>
        <v>0</v>
      </c>
      <c r="R281" s="38">
        <f>+E281+I281+M281+Q281</f>
        <v>147</v>
      </c>
      <c r="T281" t="s">
        <v>2175</v>
      </c>
    </row>
    <row r="282" spans="1:20" ht="15.75" customHeight="1" x14ac:dyDescent="0.3">
      <c r="A282" s="256" t="s">
        <v>92</v>
      </c>
      <c r="B282" s="172">
        <v>2525</v>
      </c>
      <c r="C282" s="172">
        <v>2010</v>
      </c>
      <c r="D282" s="172">
        <v>389</v>
      </c>
      <c r="E282" s="38">
        <f t="shared" si="54"/>
        <v>4924</v>
      </c>
      <c r="F282" s="172">
        <v>0</v>
      </c>
      <c r="G282" s="172">
        <v>2483</v>
      </c>
      <c r="H282" s="172">
        <v>3357</v>
      </c>
      <c r="I282" s="38">
        <f t="shared" si="55"/>
        <v>5840</v>
      </c>
      <c r="J282" s="172">
        <v>3279</v>
      </c>
      <c r="K282" s="172">
        <v>3385</v>
      </c>
      <c r="L282" s="172">
        <v>3158</v>
      </c>
      <c r="M282" s="38">
        <f t="shared" si="56"/>
        <v>9822</v>
      </c>
      <c r="N282" s="172">
        <v>3179</v>
      </c>
      <c r="O282" s="172">
        <v>3970</v>
      </c>
      <c r="P282" s="172">
        <v>3875</v>
      </c>
      <c r="Q282" s="38">
        <f t="shared" si="57"/>
        <v>11024</v>
      </c>
      <c r="R282" s="38">
        <f t="shared" si="58"/>
        <v>31610</v>
      </c>
      <c r="T282" t="s">
        <v>2177</v>
      </c>
    </row>
    <row r="283" spans="1:20" ht="15.75" customHeight="1" x14ac:dyDescent="0.3">
      <c r="A283" s="256" t="s">
        <v>1927</v>
      </c>
      <c r="B283" s="172">
        <v>0</v>
      </c>
      <c r="C283" s="172">
        <v>0</v>
      </c>
      <c r="D283" s="172">
        <v>64</v>
      </c>
      <c r="E283" s="38">
        <f t="shared" si="54"/>
        <v>64</v>
      </c>
      <c r="F283" s="172">
        <v>58</v>
      </c>
      <c r="G283" s="172">
        <v>101</v>
      </c>
      <c r="H283" s="172">
        <v>125</v>
      </c>
      <c r="I283" s="38">
        <f t="shared" si="55"/>
        <v>284</v>
      </c>
      <c r="J283" s="172">
        <v>0</v>
      </c>
      <c r="K283" s="172">
        <v>0</v>
      </c>
      <c r="L283" s="172">
        <v>0</v>
      </c>
      <c r="M283" s="38">
        <f t="shared" si="56"/>
        <v>0</v>
      </c>
      <c r="N283" s="172">
        <v>0</v>
      </c>
      <c r="O283" s="172">
        <v>0</v>
      </c>
      <c r="P283" s="172">
        <v>0</v>
      </c>
      <c r="Q283" s="38">
        <f t="shared" si="57"/>
        <v>0</v>
      </c>
      <c r="R283" s="38">
        <f t="shared" si="58"/>
        <v>348</v>
      </c>
      <c r="T283" t="s">
        <v>2175</v>
      </c>
    </row>
    <row r="284" spans="1:20" ht="15.75" customHeight="1" x14ac:dyDescent="0.3">
      <c r="A284" s="234" t="s">
        <v>2161</v>
      </c>
      <c r="B284" s="172"/>
      <c r="C284" s="172"/>
      <c r="D284" s="172"/>
      <c r="E284" s="38" t="s">
        <v>852</v>
      </c>
      <c r="F284" s="172"/>
      <c r="G284" s="172"/>
      <c r="H284" s="172"/>
      <c r="I284" s="38" t="s">
        <v>852</v>
      </c>
      <c r="J284" s="172"/>
      <c r="K284" s="172"/>
      <c r="L284" s="172"/>
      <c r="M284" s="38" t="s">
        <v>852</v>
      </c>
      <c r="N284" s="172"/>
      <c r="O284" s="172"/>
      <c r="P284" s="172"/>
      <c r="Q284" s="38" t="s">
        <v>852</v>
      </c>
      <c r="R284" s="38" t="s">
        <v>852</v>
      </c>
    </row>
    <row r="285" spans="1:20" ht="15.75" customHeight="1" x14ac:dyDescent="0.3">
      <c r="A285" s="256" t="s">
        <v>754</v>
      </c>
      <c r="B285" s="172">
        <v>6</v>
      </c>
      <c r="C285" s="172">
        <v>5</v>
      </c>
      <c r="D285" s="172">
        <v>8</v>
      </c>
      <c r="E285" s="38">
        <f>SUM(B285:D285)</f>
        <v>19</v>
      </c>
      <c r="F285" s="172">
        <v>12</v>
      </c>
      <c r="G285" s="172">
        <v>10</v>
      </c>
      <c r="H285" s="172">
        <v>10</v>
      </c>
      <c r="I285" s="38">
        <f>SUM(F285:H285)</f>
        <v>32</v>
      </c>
      <c r="J285" s="172">
        <v>8</v>
      </c>
      <c r="K285" s="172">
        <v>7</v>
      </c>
      <c r="L285" s="172">
        <v>10</v>
      </c>
      <c r="M285" s="38">
        <f>SUM(J285:L285)</f>
        <v>25</v>
      </c>
      <c r="N285" s="172">
        <v>7</v>
      </c>
      <c r="O285" s="172">
        <v>7</v>
      </c>
      <c r="P285" s="172">
        <v>7</v>
      </c>
      <c r="Q285" s="38">
        <f>SUM(N285:P285)</f>
        <v>21</v>
      </c>
      <c r="R285" s="38">
        <f>+E285+I285+M285+Q285</f>
        <v>97</v>
      </c>
      <c r="T285" t="s">
        <v>2229</v>
      </c>
    </row>
    <row r="286" spans="1:20" ht="15.75" customHeight="1" x14ac:dyDescent="0.3">
      <c r="A286" s="256" t="s">
        <v>1173</v>
      </c>
      <c r="B286" s="172">
        <v>0</v>
      </c>
      <c r="C286" s="172">
        <v>0</v>
      </c>
      <c r="D286" s="172">
        <v>0</v>
      </c>
      <c r="E286" s="38">
        <f>SUM(B286:D286)</f>
        <v>0</v>
      </c>
      <c r="F286" s="172">
        <v>0</v>
      </c>
      <c r="G286" s="172">
        <v>14</v>
      </c>
      <c r="H286" s="172">
        <v>36</v>
      </c>
      <c r="I286" s="38">
        <f>SUM(F286:H286)</f>
        <v>50</v>
      </c>
      <c r="J286" s="172">
        <v>14</v>
      </c>
      <c r="K286" s="172">
        <v>29</v>
      </c>
      <c r="L286" s="172">
        <v>23</v>
      </c>
      <c r="M286" s="38">
        <f>SUM(J286:L286)</f>
        <v>66</v>
      </c>
      <c r="N286" s="172">
        <v>20</v>
      </c>
      <c r="O286" s="172">
        <v>10</v>
      </c>
      <c r="P286" s="172">
        <v>17</v>
      </c>
      <c r="Q286" s="38">
        <f>SUM(N286:P286)</f>
        <v>47</v>
      </c>
      <c r="R286" s="38">
        <f>+E286+I286+M286+Q286</f>
        <v>163</v>
      </c>
      <c r="T286" t="s">
        <v>131</v>
      </c>
    </row>
    <row r="287" spans="1:20" ht="15.75" customHeight="1" x14ac:dyDescent="0.3">
      <c r="A287" s="256" t="s">
        <v>2193</v>
      </c>
      <c r="B287" s="172">
        <v>0</v>
      </c>
      <c r="C287" s="172">
        <v>0</v>
      </c>
      <c r="D287" s="172">
        <v>0</v>
      </c>
      <c r="E287" s="38">
        <f t="shared" ref="E287:E300" si="59">SUM(B287:D287)</f>
        <v>0</v>
      </c>
      <c r="F287" s="172">
        <v>7</v>
      </c>
      <c r="G287" s="172">
        <v>29</v>
      </c>
      <c r="H287" s="172">
        <v>21</v>
      </c>
      <c r="I287" s="38">
        <f t="shared" ref="I287:I300" si="60">SUM(F287:H287)</f>
        <v>57</v>
      </c>
      <c r="J287" s="172">
        <v>17</v>
      </c>
      <c r="K287" s="172">
        <v>17</v>
      </c>
      <c r="L287" s="172">
        <v>71</v>
      </c>
      <c r="M287" s="38">
        <f t="shared" ref="M287:M300" si="61">SUM(J287:L287)</f>
        <v>105</v>
      </c>
      <c r="N287" s="172">
        <v>50</v>
      </c>
      <c r="O287" s="172">
        <v>40</v>
      </c>
      <c r="P287" s="172">
        <v>84</v>
      </c>
      <c r="Q287" s="38">
        <f t="shared" ref="Q287:Q300" si="62">SUM(N287:P287)</f>
        <v>174</v>
      </c>
      <c r="R287" s="38">
        <f t="shared" ref="R287:R300" si="63">+E287+I287+M287+Q287</f>
        <v>336</v>
      </c>
      <c r="T287" t="s">
        <v>2175</v>
      </c>
    </row>
    <row r="288" spans="1:20" ht="15.75" customHeight="1" x14ac:dyDescent="0.3">
      <c r="A288" s="256" t="s">
        <v>1732</v>
      </c>
      <c r="B288" s="172">
        <v>0</v>
      </c>
      <c r="C288" s="172">
        <v>0</v>
      </c>
      <c r="D288" s="172">
        <v>0</v>
      </c>
      <c r="E288" s="38">
        <f t="shared" si="59"/>
        <v>0</v>
      </c>
      <c r="F288" s="172">
        <v>0</v>
      </c>
      <c r="G288" s="172">
        <v>0</v>
      </c>
      <c r="H288" s="172">
        <v>0</v>
      </c>
      <c r="I288" s="38">
        <f t="shared" si="60"/>
        <v>0</v>
      </c>
      <c r="J288" s="172">
        <v>0</v>
      </c>
      <c r="K288" s="172">
        <v>0</v>
      </c>
      <c r="L288" s="172">
        <v>0</v>
      </c>
      <c r="M288" s="38">
        <f t="shared" si="61"/>
        <v>0</v>
      </c>
      <c r="N288" s="172">
        <v>0</v>
      </c>
      <c r="O288" s="172">
        <v>0</v>
      </c>
      <c r="P288" s="172">
        <v>0</v>
      </c>
      <c r="Q288" s="38">
        <f t="shared" si="62"/>
        <v>0</v>
      </c>
      <c r="R288" s="38">
        <f t="shared" si="63"/>
        <v>0</v>
      </c>
      <c r="T288" t="s">
        <v>2174</v>
      </c>
    </row>
    <row r="289" spans="1:20" ht="15.75" customHeight="1" x14ac:dyDescent="0.3">
      <c r="A289" s="256" t="s">
        <v>2074</v>
      </c>
      <c r="B289" s="172">
        <v>0</v>
      </c>
      <c r="C289" s="172">
        <v>0</v>
      </c>
      <c r="D289" s="172">
        <v>4</v>
      </c>
      <c r="E289" s="38">
        <f t="shared" si="59"/>
        <v>4</v>
      </c>
      <c r="F289" s="172">
        <v>3</v>
      </c>
      <c r="G289" s="172">
        <v>8</v>
      </c>
      <c r="H289" s="172">
        <v>4</v>
      </c>
      <c r="I289" s="38">
        <f t="shared" si="60"/>
        <v>15</v>
      </c>
      <c r="J289" s="172">
        <v>5</v>
      </c>
      <c r="K289" s="172">
        <v>4</v>
      </c>
      <c r="L289" s="172">
        <v>4</v>
      </c>
      <c r="M289" s="38">
        <f t="shared" si="61"/>
        <v>13</v>
      </c>
      <c r="N289" s="172">
        <v>4</v>
      </c>
      <c r="O289" s="172">
        <v>8</v>
      </c>
      <c r="P289" s="172">
        <v>0</v>
      </c>
      <c r="Q289" s="38">
        <f t="shared" si="62"/>
        <v>12</v>
      </c>
      <c r="R289" s="38">
        <f t="shared" si="63"/>
        <v>44</v>
      </c>
      <c r="T289" t="s">
        <v>2178</v>
      </c>
    </row>
    <row r="290" spans="1:20" ht="15.75" customHeight="1" x14ac:dyDescent="0.3">
      <c r="A290" s="256" t="s">
        <v>1095</v>
      </c>
      <c r="B290" s="172">
        <v>20</v>
      </c>
      <c r="C290" s="172">
        <v>14</v>
      </c>
      <c r="D290" s="172">
        <v>27</v>
      </c>
      <c r="E290" s="38">
        <f t="shared" si="59"/>
        <v>61</v>
      </c>
      <c r="F290" s="172">
        <v>70</v>
      </c>
      <c r="G290" s="172">
        <v>65</v>
      </c>
      <c r="H290" s="172">
        <v>65</v>
      </c>
      <c r="I290" s="38">
        <f t="shared" si="60"/>
        <v>200</v>
      </c>
      <c r="J290" s="172">
        <v>55</v>
      </c>
      <c r="K290" s="172">
        <v>96</v>
      </c>
      <c r="L290" s="172">
        <v>16</v>
      </c>
      <c r="M290" s="38">
        <f t="shared" si="61"/>
        <v>167</v>
      </c>
      <c r="N290" s="172">
        <v>24</v>
      </c>
      <c r="O290" s="172">
        <v>43</v>
      </c>
      <c r="P290" s="172">
        <v>11</v>
      </c>
      <c r="Q290" s="38">
        <f t="shared" si="62"/>
        <v>78</v>
      </c>
      <c r="R290" s="38">
        <f t="shared" si="63"/>
        <v>506</v>
      </c>
      <c r="T290" t="s">
        <v>2230</v>
      </c>
    </row>
    <row r="291" spans="1:20" ht="15.75" customHeight="1" x14ac:dyDescent="0.3">
      <c r="A291" s="256" t="s">
        <v>1138</v>
      </c>
      <c r="B291" s="172">
        <v>1</v>
      </c>
      <c r="C291" s="172">
        <v>1</v>
      </c>
      <c r="D291" s="172">
        <v>1</v>
      </c>
      <c r="E291" s="38">
        <f t="shared" si="59"/>
        <v>3</v>
      </c>
      <c r="F291" s="172">
        <v>1</v>
      </c>
      <c r="G291" s="172">
        <v>1</v>
      </c>
      <c r="H291" s="172">
        <v>2</v>
      </c>
      <c r="I291" s="38">
        <f t="shared" si="60"/>
        <v>4</v>
      </c>
      <c r="J291" s="172">
        <v>2</v>
      </c>
      <c r="K291" s="172">
        <v>1</v>
      </c>
      <c r="L291" s="172">
        <v>1</v>
      </c>
      <c r="M291" s="38">
        <f t="shared" si="61"/>
        <v>4</v>
      </c>
      <c r="N291" s="172">
        <v>2</v>
      </c>
      <c r="O291" s="172">
        <v>1</v>
      </c>
      <c r="P291" s="172">
        <v>1</v>
      </c>
      <c r="Q291" s="38">
        <f t="shared" si="62"/>
        <v>4</v>
      </c>
      <c r="R291" s="38">
        <f t="shared" si="63"/>
        <v>15</v>
      </c>
      <c r="T291" t="s">
        <v>2230</v>
      </c>
    </row>
    <row r="292" spans="1:20" ht="15.75" customHeight="1" x14ac:dyDescent="0.3">
      <c r="A292" s="256" t="s">
        <v>1927</v>
      </c>
      <c r="B292" s="172">
        <v>0</v>
      </c>
      <c r="C292" s="172">
        <v>0</v>
      </c>
      <c r="D292" s="172">
        <v>0</v>
      </c>
      <c r="E292" s="38">
        <f t="shared" si="59"/>
        <v>0</v>
      </c>
      <c r="F292" s="172">
        <v>0</v>
      </c>
      <c r="G292" s="172">
        <v>0</v>
      </c>
      <c r="H292" s="172">
        <v>18</v>
      </c>
      <c r="I292" s="38">
        <f t="shared" si="60"/>
        <v>18</v>
      </c>
      <c r="J292" s="172">
        <v>96</v>
      </c>
      <c r="K292" s="172">
        <v>143</v>
      </c>
      <c r="L292" s="172">
        <v>96</v>
      </c>
      <c r="M292" s="38">
        <f t="shared" si="61"/>
        <v>335</v>
      </c>
      <c r="N292" s="172">
        <v>98</v>
      </c>
      <c r="O292" s="172">
        <v>28</v>
      </c>
      <c r="P292" s="172">
        <v>0</v>
      </c>
      <c r="Q292" s="38">
        <f t="shared" si="62"/>
        <v>126</v>
      </c>
      <c r="R292" s="38">
        <f t="shared" si="63"/>
        <v>479</v>
      </c>
      <c r="T292" t="s">
        <v>2175</v>
      </c>
    </row>
    <row r="293" spans="1:20" ht="15.75" customHeight="1" x14ac:dyDescent="0.3">
      <c r="A293" s="256" t="s">
        <v>875</v>
      </c>
      <c r="B293" s="172">
        <v>19</v>
      </c>
      <c r="C293" s="172">
        <v>24</v>
      </c>
      <c r="D293" s="172">
        <v>54</v>
      </c>
      <c r="E293" s="38">
        <f t="shared" si="59"/>
        <v>97</v>
      </c>
      <c r="F293" s="172">
        <v>62</v>
      </c>
      <c r="G293" s="172">
        <v>59</v>
      </c>
      <c r="H293" s="172">
        <v>48</v>
      </c>
      <c r="I293" s="38">
        <f t="shared" si="60"/>
        <v>169</v>
      </c>
      <c r="J293" s="172">
        <v>45</v>
      </c>
      <c r="K293" s="172">
        <v>61</v>
      </c>
      <c r="L293" s="172">
        <v>27</v>
      </c>
      <c r="M293" s="38">
        <f t="shared" si="61"/>
        <v>133</v>
      </c>
      <c r="N293" s="172">
        <v>80</v>
      </c>
      <c r="O293" s="172">
        <v>68</v>
      </c>
      <c r="P293" s="172">
        <v>31</v>
      </c>
      <c r="Q293" s="38">
        <f t="shared" si="62"/>
        <v>179</v>
      </c>
      <c r="R293" s="38">
        <f t="shared" si="63"/>
        <v>578</v>
      </c>
      <c r="T293" t="s">
        <v>1360</v>
      </c>
    </row>
    <row r="294" spans="1:20" ht="15.75" customHeight="1" x14ac:dyDescent="0.3">
      <c r="A294" s="256" t="s">
        <v>1059</v>
      </c>
      <c r="B294" s="172">
        <v>1</v>
      </c>
      <c r="C294" s="172">
        <v>1</v>
      </c>
      <c r="D294" s="172">
        <v>1</v>
      </c>
      <c r="E294" s="38">
        <f t="shared" si="59"/>
        <v>3</v>
      </c>
      <c r="F294" s="172">
        <v>1</v>
      </c>
      <c r="G294" s="172">
        <v>1</v>
      </c>
      <c r="H294" s="172">
        <v>2</v>
      </c>
      <c r="I294" s="38">
        <f t="shared" si="60"/>
        <v>4</v>
      </c>
      <c r="J294" s="172">
        <v>1</v>
      </c>
      <c r="K294" s="172">
        <v>2</v>
      </c>
      <c r="L294" s="172">
        <v>1</v>
      </c>
      <c r="M294" s="38">
        <f t="shared" si="61"/>
        <v>4</v>
      </c>
      <c r="N294" s="172">
        <v>2</v>
      </c>
      <c r="O294" s="172">
        <v>2</v>
      </c>
      <c r="P294" s="172">
        <v>1</v>
      </c>
      <c r="Q294" s="38">
        <f t="shared" si="62"/>
        <v>5</v>
      </c>
      <c r="R294" s="38">
        <f t="shared" si="63"/>
        <v>16</v>
      </c>
      <c r="T294" t="s">
        <v>1360</v>
      </c>
    </row>
    <row r="295" spans="1:20" ht="15.75" customHeight="1" x14ac:dyDescent="0.3">
      <c r="A295" s="256" t="s">
        <v>735</v>
      </c>
      <c r="B295" s="172">
        <v>21</v>
      </c>
      <c r="C295" s="172">
        <v>11</v>
      </c>
      <c r="D295" s="172">
        <v>54</v>
      </c>
      <c r="E295" s="38">
        <f>SUM(B295:D295)</f>
        <v>86</v>
      </c>
      <c r="F295" s="172">
        <v>80</v>
      </c>
      <c r="G295" s="172">
        <v>93</v>
      </c>
      <c r="H295" s="172">
        <v>89</v>
      </c>
      <c r="I295" s="38">
        <f>SUM(F295:H295)</f>
        <v>262</v>
      </c>
      <c r="J295" s="172">
        <v>74</v>
      </c>
      <c r="K295" s="172">
        <v>79</v>
      </c>
      <c r="L295" s="172">
        <v>43</v>
      </c>
      <c r="M295" s="38">
        <f>SUM(J295:L295)</f>
        <v>196</v>
      </c>
      <c r="N295" s="172">
        <v>81</v>
      </c>
      <c r="O295" s="172">
        <v>41</v>
      </c>
      <c r="P295" s="172">
        <v>11</v>
      </c>
      <c r="Q295" s="38">
        <f>SUM(N295:P295)</f>
        <v>133</v>
      </c>
      <c r="R295" s="38">
        <f>+E295+I295+M295+Q295</f>
        <v>677</v>
      </c>
      <c r="T295" t="s">
        <v>2174</v>
      </c>
    </row>
    <row r="296" spans="1:20" ht="15.75" customHeight="1" x14ac:dyDescent="0.3">
      <c r="A296" s="256" t="s">
        <v>1786</v>
      </c>
      <c r="B296" s="172">
        <v>0</v>
      </c>
      <c r="C296" s="172">
        <v>0</v>
      </c>
      <c r="D296" s="172">
        <v>0</v>
      </c>
      <c r="E296" s="38">
        <f>SUM(B296:D296)</f>
        <v>0</v>
      </c>
      <c r="F296" s="172">
        <v>10</v>
      </c>
      <c r="G296" s="172">
        <v>78</v>
      </c>
      <c r="H296" s="172">
        <v>10</v>
      </c>
      <c r="I296" s="38">
        <f>SUM(F296:H296)</f>
        <v>98</v>
      </c>
      <c r="J296" s="172">
        <v>20</v>
      </c>
      <c r="K296" s="172">
        <v>40</v>
      </c>
      <c r="L296" s="172">
        <v>0</v>
      </c>
      <c r="M296" s="38">
        <f>SUM(J296:L296)</f>
        <v>60</v>
      </c>
      <c r="N296" s="172">
        <v>11</v>
      </c>
      <c r="O296" s="172">
        <v>21</v>
      </c>
      <c r="P296" s="172">
        <v>0</v>
      </c>
      <c r="Q296" s="38">
        <f>SUM(N296:P296)</f>
        <v>32</v>
      </c>
      <c r="R296" s="38">
        <f>+E296+I296+M296+Q296</f>
        <v>190</v>
      </c>
      <c r="T296" t="s">
        <v>2179</v>
      </c>
    </row>
    <row r="297" spans="1:20" ht="15.75" customHeight="1" x14ac:dyDescent="0.3">
      <c r="A297" s="256" t="s">
        <v>1875</v>
      </c>
      <c r="B297" s="172">
        <v>10</v>
      </c>
      <c r="C297" s="172">
        <v>8</v>
      </c>
      <c r="D297" s="172">
        <v>43</v>
      </c>
      <c r="E297" s="38">
        <f t="shared" si="59"/>
        <v>61</v>
      </c>
      <c r="F297" s="172">
        <v>58</v>
      </c>
      <c r="G297" s="172">
        <v>56</v>
      </c>
      <c r="H297" s="172">
        <v>70</v>
      </c>
      <c r="I297" s="38">
        <f t="shared" si="60"/>
        <v>184</v>
      </c>
      <c r="J297" s="172">
        <v>57</v>
      </c>
      <c r="K297" s="172">
        <v>57</v>
      </c>
      <c r="L297" s="172">
        <v>32</v>
      </c>
      <c r="M297" s="38">
        <f t="shared" si="61"/>
        <v>146</v>
      </c>
      <c r="N297" s="172">
        <v>61</v>
      </c>
      <c r="O297" s="172">
        <v>40</v>
      </c>
      <c r="P297" s="172">
        <v>12</v>
      </c>
      <c r="Q297" s="38">
        <f t="shared" si="62"/>
        <v>113</v>
      </c>
      <c r="R297" s="38">
        <f t="shared" si="63"/>
        <v>504</v>
      </c>
      <c r="T297" t="s">
        <v>1360</v>
      </c>
    </row>
    <row r="298" spans="1:20" ht="15.75" customHeight="1" x14ac:dyDescent="0.3">
      <c r="A298" s="256" t="s">
        <v>299</v>
      </c>
      <c r="B298" s="172">
        <v>0</v>
      </c>
      <c r="C298" s="172">
        <v>0</v>
      </c>
      <c r="D298" s="172">
        <v>0</v>
      </c>
      <c r="E298" s="38">
        <f>SUM(B298:D298)</f>
        <v>0</v>
      </c>
      <c r="F298" s="172">
        <v>0</v>
      </c>
      <c r="G298" s="172">
        <v>0</v>
      </c>
      <c r="H298" s="172">
        <v>0</v>
      </c>
      <c r="I298" s="38">
        <f>SUM(F298:H298)</f>
        <v>0</v>
      </c>
      <c r="J298" s="172">
        <v>0</v>
      </c>
      <c r="K298" s="172">
        <v>0</v>
      </c>
      <c r="L298" s="172">
        <v>0</v>
      </c>
      <c r="M298" s="38">
        <f>SUM(J298:L298)</f>
        <v>0</v>
      </c>
      <c r="N298" s="172">
        <v>0</v>
      </c>
      <c r="O298" s="172">
        <v>0</v>
      </c>
      <c r="P298" s="172">
        <v>0</v>
      </c>
      <c r="Q298" s="38">
        <f>SUM(N298:P298)</f>
        <v>0</v>
      </c>
      <c r="R298" s="38">
        <f>+E298+I298+M298+Q298</f>
        <v>0</v>
      </c>
      <c r="T298" t="s">
        <v>1361</v>
      </c>
    </row>
    <row r="299" spans="1:20" ht="15.75" customHeight="1" x14ac:dyDescent="0.3">
      <c r="A299" s="256" t="s">
        <v>405</v>
      </c>
      <c r="B299" s="172">
        <v>0</v>
      </c>
      <c r="C299" s="172">
        <v>0</v>
      </c>
      <c r="D299" s="172">
        <v>0</v>
      </c>
      <c r="E299" s="38">
        <f t="shared" si="59"/>
        <v>0</v>
      </c>
      <c r="F299" s="172">
        <v>0</v>
      </c>
      <c r="G299" s="172">
        <v>0</v>
      </c>
      <c r="H299" s="172">
        <v>0</v>
      </c>
      <c r="I299" s="38">
        <f t="shared" si="60"/>
        <v>0</v>
      </c>
      <c r="J299" s="172">
        <v>0</v>
      </c>
      <c r="K299" s="172">
        <v>0</v>
      </c>
      <c r="L299" s="172">
        <v>0</v>
      </c>
      <c r="M299" s="38">
        <f t="shared" si="61"/>
        <v>0</v>
      </c>
      <c r="N299" s="172">
        <v>0</v>
      </c>
      <c r="O299" s="172">
        <v>0</v>
      </c>
      <c r="P299" s="172">
        <v>0</v>
      </c>
      <c r="Q299" s="38">
        <f t="shared" si="62"/>
        <v>0</v>
      </c>
      <c r="R299" s="38">
        <f t="shared" si="63"/>
        <v>0</v>
      </c>
      <c r="T299" t="s">
        <v>2174</v>
      </c>
    </row>
    <row r="300" spans="1:20" ht="15.75" customHeight="1" x14ac:dyDescent="0.3">
      <c r="A300" s="256" t="s">
        <v>2220</v>
      </c>
      <c r="B300" s="172">
        <v>7</v>
      </c>
      <c r="C300" s="172">
        <v>5</v>
      </c>
      <c r="D300" s="172">
        <v>24</v>
      </c>
      <c r="E300" s="38">
        <f t="shared" si="59"/>
        <v>36</v>
      </c>
      <c r="F300" s="172">
        <v>38</v>
      </c>
      <c r="G300" s="172">
        <v>32</v>
      </c>
      <c r="H300" s="172">
        <v>38</v>
      </c>
      <c r="I300" s="38">
        <f t="shared" si="60"/>
        <v>108</v>
      </c>
      <c r="J300" s="172">
        <v>47</v>
      </c>
      <c r="K300" s="172">
        <v>22</v>
      </c>
      <c r="L300" s="172">
        <v>21</v>
      </c>
      <c r="M300" s="38">
        <f t="shared" si="61"/>
        <v>90</v>
      </c>
      <c r="N300" s="172">
        <v>45</v>
      </c>
      <c r="O300" s="172">
        <v>27</v>
      </c>
      <c r="P300" s="172">
        <v>5</v>
      </c>
      <c r="Q300" s="38">
        <f t="shared" si="62"/>
        <v>77</v>
      </c>
      <c r="R300" s="38">
        <f t="shared" si="63"/>
        <v>311</v>
      </c>
      <c r="T300" t="s">
        <v>1360</v>
      </c>
    </row>
    <row r="301" spans="1:20" ht="15.75" customHeight="1" x14ac:dyDescent="0.3">
      <c r="A301" s="234" t="s">
        <v>2162</v>
      </c>
      <c r="B301" s="172"/>
      <c r="C301" s="172"/>
      <c r="D301" s="172"/>
      <c r="E301" s="38" t="s">
        <v>852</v>
      </c>
      <c r="F301" s="172"/>
      <c r="G301" s="172"/>
      <c r="H301" s="172"/>
      <c r="I301" s="38" t="s">
        <v>852</v>
      </c>
      <c r="J301" s="172"/>
      <c r="K301" s="172"/>
      <c r="L301" s="172"/>
      <c r="M301" s="38" t="s">
        <v>852</v>
      </c>
      <c r="N301" s="172"/>
      <c r="O301" s="172"/>
      <c r="P301" s="172"/>
      <c r="Q301" s="38" t="s">
        <v>852</v>
      </c>
      <c r="R301" s="38" t="s">
        <v>852</v>
      </c>
    </row>
    <row r="302" spans="1:20" ht="15.75" customHeight="1" x14ac:dyDescent="0.3">
      <c r="A302" s="256" t="s">
        <v>803</v>
      </c>
      <c r="B302" s="172">
        <v>0</v>
      </c>
      <c r="C302" s="172">
        <v>0</v>
      </c>
      <c r="D302" s="172">
        <v>0</v>
      </c>
      <c r="E302" s="38">
        <f>SUM(B302:D302)</f>
        <v>0</v>
      </c>
      <c r="F302" s="172">
        <v>0</v>
      </c>
      <c r="G302" s="172">
        <v>0</v>
      </c>
      <c r="H302" s="172">
        <v>0</v>
      </c>
      <c r="I302" s="38">
        <f>SUM(F302:H302)</f>
        <v>0</v>
      </c>
      <c r="J302" s="172">
        <v>140</v>
      </c>
      <c r="K302" s="172">
        <v>0</v>
      </c>
      <c r="L302" s="172">
        <v>0</v>
      </c>
      <c r="M302" s="38">
        <f>SUM(J302:L302)</f>
        <v>140</v>
      </c>
      <c r="N302" s="172">
        <v>0</v>
      </c>
      <c r="O302" s="172">
        <v>0</v>
      </c>
      <c r="P302" s="172">
        <v>0</v>
      </c>
      <c r="Q302" s="38">
        <f>SUM(N302:P302)</f>
        <v>0</v>
      </c>
      <c r="R302" s="38">
        <f>+E302+I302+M302+Q302</f>
        <v>140</v>
      </c>
      <c r="T302" t="s">
        <v>2174</v>
      </c>
    </row>
    <row r="303" spans="1:20" ht="15.75" customHeight="1" x14ac:dyDescent="0.3">
      <c r="A303" s="256" t="s">
        <v>2029</v>
      </c>
      <c r="B303" s="172">
        <v>0</v>
      </c>
      <c r="C303" s="172">
        <v>0</v>
      </c>
      <c r="D303" s="172">
        <v>0</v>
      </c>
      <c r="E303" s="38">
        <f>SUM(B303:D303)</f>
        <v>0</v>
      </c>
      <c r="F303" s="172">
        <v>0</v>
      </c>
      <c r="G303" s="172">
        <v>461</v>
      </c>
      <c r="H303" s="172">
        <v>2433</v>
      </c>
      <c r="I303" s="38">
        <f>SUM(F303:H303)</f>
        <v>2894</v>
      </c>
      <c r="J303" s="172">
        <v>106</v>
      </c>
      <c r="K303" s="172">
        <v>0</v>
      </c>
      <c r="L303" s="172">
        <v>0</v>
      </c>
      <c r="M303" s="38">
        <f>SUM(J303:L303)</f>
        <v>106</v>
      </c>
      <c r="N303" s="172">
        <v>0</v>
      </c>
      <c r="O303" s="172">
        <v>0</v>
      </c>
      <c r="P303" s="172">
        <v>0</v>
      </c>
      <c r="Q303" s="38">
        <f>SUM(N303:P303)</f>
        <v>0</v>
      </c>
      <c r="R303" s="38">
        <f>+E303+I303+M303+Q303</f>
        <v>3000</v>
      </c>
      <c r="T303" t="s">
        <v>2175</v>
      </c>
    </row>
    <row r="304" spans="1:20" ht="15.75" customHeight="1" x14ac:dyDescent="0.3">
      <c r="A304" s="256" t="s">
        <v>1214</v>
      </c>
      <c r="B304" s="172">
        <v>0</v>
      </c>
      <c r="C304" s="172">
        <v>0</v>
      </c>
      <c r="D304" s="172">
        <v>0</v>
      </c>
      <c r="E304" s="38">
        <f>SUM(B304:D304)</f>
        <v>0</v>
      </c>
      <c r="F304" s="172">
        <v>0</v>
      </c>
      <c r="G304" s="172">
        <v>0</v>
      </c>
      <c r="H304" s="172">
        <v>0</v>
      </c>
      <c r="I304" s="38">
        <f>SUM(F304:H304)</f>
        <v>0</v>
      </c>
      <c r="J304" s="172">
        <v>0</v>
      </c>
      <c r="K304" s="172">
        <v>0</v>
      </c>
      <c r="L304" s="172">
        <v>0</v>
      </c>
      <c r="M304" s="38">
        <f>SUM(J304:L304)</f>
        <v>0</v>
      </c>
      <c r="N304" s="172">
        <v>0</v>
      </c>
      <c r="O304" s="172">
        <v>0</v>
      </c>
      <c r="P304" s="172">
        <v>0</v>
      </c>
      <c r="Q304" s="38">
        <f>SUM(N304:P304)</f>
        <v>0</v>
      </c>
      <c r="R304" s="38">
        <f>+E304+I304+M304+Q304</f>
        <v>0</v>
      </c>
      <c r="T304" t="s">
        <v>1358</v>
      </c>
    </row>
    <row r="305" spans="1:20" ht="15.75" customHeight="1" thickBot="1" x14ac:dyDescent="0.35">
      <c r="A305" s="234" t="s">
        <v>2164</v>
      </c>
      <c r="B305" s="172"/>
      <c r="C305" s="172"/>
      <c r="D305" s="172"/>
      <c r="E305" s="38" t="s">
        <v>852</v>
      </c>
      <c r="F305" s="172"/>
      <c r="G305" s="172"/>
      <c r="H305" s="172"/>
      <c r="I305" s="38" t="s">
        <v>852</v>
      </c>
      <c r="J305" s="172"/>
      <c r="K305" s="172"/>
      <c r="L305" s="172"/>
      <c r="M305" s="38" t="s">
        <v>852</v>
      </c>
      <c r="N305" s="172"/>
      <c r="O305" s="172"/>
      <c r="P305" s="172"/>
      <c r="Q305" s="38" t="s">
        <v>852</v>
      </c>
      <c r="R305" s="38" t="s">
        <v>852</v>
      </c>
    </row>
    <row r="306" spans="1:20" ht="15.75" customHeight="1" thickBot="1" x14ac:dyDescent="0.35">
      <c r="A306" s="276" t="s">
        <v>1218</v>
      </c>
      <c r="B306" s="45">
        <f>SUM(B271:B305)</f>
        <v>2980</v>
      </c>
      <c r="C306" s="46">
        <f>SUM(C271:C305)</f>
        <v>2564</v>
      </c>
      <c r="D306" s="46">
        <f>SUM(D271:D305)</f>
        <v>1468</v>
      </c>
      <c r="E306" s="37">
        <f>SUM(B306:D306)</f>
        <v>7012</v>
      </c>
      <c r="F306" s="46">
        <f>SUM(F271:F305)</f>
        <v>1181</v>
      </c>
      <c r="G306" s="46">
        <f>SUM(G271:G305)</f>
        <v>4162</v>
      </c>
      <c r="H306" s="46">
        <f>SUM(H271:H305)</f>
        <v>11002</v>
      </c>
      <c r="I306" s="37">
        <f>SUM(F306:H306)</f>
        <v>16345</v>
      </c>
      <c r="J306" s="46">
        <f>SUM(J271:J305)</f>
        <v>5012</v>
      </c>
      <c r="K306" s="46">
        <f>SUM(K271:K305)</f>
        <v>4924</v>
      </c>
      <c r="L306" s="46">
        <f>SUM(L271:L305)</f>
        <v>4410</v>
      </c>
      <c r="M306" s="37">
        <f>SUM(J306:L306)</f>
        <v>14346</v>
      </c>
      <c r="N306" s="46">
        <f>SUM(N271:N305)</f>
        <v>4954</v>
      </c>
      <c r="O306" s="46">
        <f>SUM(O271:O305)</f>
        <v>5286</v>
      </c>
      <c r="P306" s="46">
        <f>SUM(P271:P305)</f>
        <v>4733</v>
      </c>
      <c r="Q306" s="37">
        <f>SUM(N306:P306)</f>
        <v>14973</v>
      </c>
      <c r="R306" s="37">
        <f>+E306+I306+M306+Q306</f>
        <v>52676</v>
      </c>
    </row>
    <row r="307" spans="1:20" ht="15.75" customHeight="1" x14ac:dyDescent="0.3">
      <c r="A307" s="234" t="s">
        <v>1172</v>
      </c>
      <c r="B307" s="172"/>
      <c r="C307" s="172"/>
      <c r="D307" s="172"/>
      <c r="E307" s="38" t="s">
        <v>852</v>
      </c>
      <c r="F307" s="172"/>
      <c r="G307" s="172"/>
      <c r="H307" s="172"/>
      <c r="I307" s="38" t="s">
        <v>852</v>
      </c>
      <c r="J307" s="172"/>
      <c r="K307" s="172"/>
      <c r="L307" s="172"/>
      <c r="M307" s="38" t="s">
        <v>852</v>
      </c>
      <c r="N307" s="172"/>
      <c r="O307" s="172"/>
      <c r="P307" s="172"/>
      <c r="Q307" s="38" t="s">
        <v>852</v>
      </c>
      <c r="R307" s="38" t="s">
        <v>852</v>
      </c>
    </row>
    <row r="308" spans="1:20" ht="15.75" customHeight="1" x14ac:dyDescent="0.3">
      <c r="A308" s="234" t="s">
        <v>1025</v>
      </c>
      <c r="B308" s="172"/>
      <c r="C308" s="172"/>
      <c r="D308" s="172"/>
      <c r="E308" s="38"/>
      <c r="F308" s="172"/>
      <c r="G308" s="172"/>
      <c r="H308" s="172"/>
      <c r="I308" s="38"/>
      <c r="J308" s="172"/>
      <c r="K308" s="172"/>
      <c r="L308" s="172"/>
      <c r="M308" s="38"/>
      <c r="N308" s="172"/>
      <c r="O308" s="172"/>
      <c r="P308" s="172"/>
      <c r="Q308" s="38"/>
      <c r="R308" s="38"/>
    </row>
    <row r="309" spans="1:20" ht="15.75" customHeight="1" x14ac:dyDescent="0.3">
      <c r="A309" s="234" t="s">
        <v>2409</v>
      </c>
      <c r="B309" s="172"/>
      <c r="C309" s="172"/>
      <c r="D309" s="172"/>
      <c r="E309" s="38" t="s">
        <v>852</v>
      </c>
      <c r="F309" s="172"/>
      <c r="G309" s="172"/>
      <c r="H309" s="172"/>
      <c r="I309" s="38" t="s">
        <v>852</v>
      </c>
      <c r="J309" s="172"/>
      <c r="K309" s="172"/>
      <c r="L309" s="172"/>
      <c r="M309" s="38" t="s">
        <v>852</v>
      </c>
      <c r="N309" s="172"/>
      <c r="O309" s="172"/>
      <c r="P309" s="172"/>
      <c r="Q309" s="38" t="s">
        <v>852</v>
      </c>
      <c r="R309" s="38" t="s">
        <v>852</v>
      </c>
    </row>
    <row r="310" spans="1:20" ht="15.75" customHeight="1" x14ac:dyDescent="0.3">
      <c r="A310" s="256" t="s">
        <v>1055</v>
      </c>
      <c r="B310" s="172">
        <v>22</v>
      </c>
      <c r="C310" s="172">
        <v>153</v>
      </c>
      <c r="D310" s="172">
        <v>2007</v>
      </c>
      <c r="E310" s="38">
        <f t="shared" ref="E310:E317" si="64">SUM(B310:D310)</f>
        <v>2182</v>
      </c>
      <c r="F310" s="172">
        <v>3417</v>
      </c>
      <c r="G310" s="172">
        <v>2376</v>
      </c>
      <c r="H310" s="172">
        <v>2413</v>
      </c>
      <c r="I310" s="38">
        <f t="shared" ref="I310:I317" si="65">SUM(F310:H310)</f>
        <v>8206</v>
      </c>
      <c r="J310" s="172">
        <v>3422</v>
      </c>
      <c r="K310" s="172">
        <v>0</v>
      </c>
      <c r="L310" s="172">
        <v>0</v>
      </c>
      <c r="M310" s="38">
        <f t="shared" ref="M310:M317" si="66">SUM(J310:L310)</f>
        <v>3422</v>
      </c>
      <c r="N310" s="172">
        <v>0</v>
      </c>
      <c r="O310" s="172">
        <v>162</v>
      </c>
      <c r="P310" s="172">
        <v>0</v>
      </c>
      <c r="Q310" s="38">
        <f t="shared" ref="Q310:Q317" si="67">SUM(N310:P310)</f>
        <v>162</v>
      </c>
      <c r="R310" s="38">
        <f t="shared" ref="R310:R317" si="68">+E310+I310+M310+Q310</f>
        <v>13972</v>
      </c>
      <c r="T310" t="s">
        <v>2174</v>
      </c>
    </row>
    <row r="311" spans="1:20" ht="15.75" customHeight="1" x14ac:dyDescent="0.3">
      <c r="A311" s="256" t="s">
        <v>357</v>
      </c>
      <c r="B311" s="172">
        <v>0</v>
      </c>
      <c r="C311" s="172">
        <v>0</v>
      </c>
      <c r="D311" s="172">
        <v>0</v>
      </c>
      <c r="E311" s="38">
        <f t="shared" si="64"/>
        <v>0</v>
      </c>
      <c r="F311" s="172">
        <v>74</v>
      </c>
      <c r="G311" s="172">
        <v>18</v>
      </c>
      <c r="H311" s="172">
        <v>105</v>
      </c>
      <c r="I311" s="38">
        <f t="shared" si="65"/>
        <v>197</v>
      </c>
      <c r="J311" s="172">
        <v>36</v>
      </c>
      <c r="K311" s="172">
        <v>92</v>
      </c>
      <c r="L311" s="172">
        <v>59</v>
      </c>
      <c r="M311" s="38">
        <f t="shared" si="66"/>
        <v>187</v>
      </c>
      <c r="N311" s="172">
        <v>70</v>
      </c>
      <c r="O311" s="172">
        <v>27</v>
      </c>
      <c r="P311" s="172">
        <v>0</v>
      </c>
      <c r="Q311" s="38">
        <f t="shared" si="67"/>
        <v>97</v>
      </c>
      <c r="R311" s="38">
        <f t="shared" si="68"/>
        <v>481</v>
      </c>
      <c r="T311" t="s">
        <v>2175</v>
      </c>
    </row>
    <row r="312" spans="1:20" ht="15.75" customHeight="1" x14ac:dyDescent="0.3">
      <c r="A312" s="256" t="s">
        <v>909</v>
      </c>
      <c r="B312" s="172">
        <v>200</v>
      </c>
      <c r="C312" s="172">
        <v>0</v>
      </c>
      <c r="D312" s="172">
        <v>3200</v>
      </c>
      <c r="E312" s="38">
        <f t="shared" si="64"/>
        <v>3400</v>
      </c>
      <c r="F312" s="172">
        <v>9260</v>
      </c>
      <c r="G312" s="172">
        <v>9492</v>
      </c>
      <c r="H312" s="172">
        <v>11774</v>
      </c>
      <c r="I312" s="38">
        <f t="shared" si="65"/>
        <v>30526</v>
      </c>
      <c r="J312" s="172">
        <v>2013</v>
      </c>
      <c r="K312" s="172">
        <v>2800</v>
      </c>
      <c r="L312" s="172">
        <v>1860</v>
      </c>
      <c r="M312" s="38">
        <f t="shared" si="66"/>
        <v>6673</v>
      </c>
      <c r="N312" s="172">
        <v>268</v>
      </c>
      <c r="O312" s="172">
        <v>1392</v>
      </c>
      <c r="P312" s="172">
        <v>0</v>
      </c>
      <c r="Q312" s="38">
        <f t="shared" si="67"/>
        <v>1660</v>
      </c>
      <c r="R312" s="38">
        <f t="shared" si="68"/>
        <v>42259</v>
      </c>
      <c r="T312" t="s">
        <v>294</v>
      </c>
    </row>
    <row r="313" spans="1:20" ht="15.75" customHeight="1" x14ac:dyDescent="0.3">
      <c r="A313" s="256" t="s">
        <v>1739</v>
      </c>
      <c r="B313" s="172">
        <v>1024</v>
      </c>
      <c r="C313" s="172">
        <v>3300</v>
      </c>
      <c r="D313" s="172">
        <v>9204</v>
      </c>
      <c r="E313" s="38">
        <f t="shared" si="64"/>
        <v>13528</v>
      </c>
      <c r="F313" s="172">
        <v>17414</v>
      </c>
      <c r="G313" s="172">
        <v>12614</v>
      </c>
      <c r="H313" s="172">
        <v>22781</v>
      </c>
      <c r="I313" s="38">
        <f t="shared" si="65"/>
        <v>52809</v>
      </c>
      <c r="J313" s="172">
        <v>17695</v>
      </c>
      <c r="K313" s="172">
        <v>17565</v>
      </c>
      <c r="L313" s="172">
        <v>7830</v>
      </c>
      <c r="M313" s="38">
        <f t="shared" si="66"/>
        <v>43090</v>
      </c>
      <c r="N313" s="172">
        <v>2994</v>
      </c>
      <c r="O313" s="172">
        <v>500</v>
      </c>
      <c r="P313" s="172">
        <v>0</v>
      </c>
      <c r="Q313" s="38">
        <f t="shared" si="67"/>
        <v>3494</v>
      </c>
      <c r="R313" s="38">
        <f t="shared" si="68"/>
        <v>112921</v>
      </c>
      <c r="T313" t="s">
        <v>2174</v>
      </c>
    </row>
    <row r="314" spans="1:20" ht="15.75" customHeight="1" x14ac:dyDescent="0.3">
      <c r="A314" s="256" t="s">
        <v>612</v>
      </c>
      <c r="B314" s="172">
        <v>500</v>
      </c>
      <c r="C314" s="172">
        <v>423</v>
      </c>
      <c r="D314" s="172">
        <v>1588</v>
      </c>
      <c r="E314" s="38">
        <f t="shared" si="64"/>
        <v>2511</v>
      </c>
      <c r="F314" s="172">
        <v>2489</v>
      </c>
      <c r="G314" s="172">
        <v>8000</v>
      </c>
      <c r="H314" s="172">
        <v>6950</v>
      </c>
      <c r="I314" s="38">
        <f t="shared" si="65"/>
        <v>17439</v>
      </c>
      <c r="J314" s="172">
        <v>4675</v>
      </c>
      <c r="K314" s="172">
        <v>2700</v>
      </c>
      <c r="L314" s="172">
        <v>1000</v>
      </c>
      <c r="M314" s="38">
        <f t="shared" si="66"/>
        <v>8375</v>
      </c>
      <c r="N314" s="172">
        <v>1000</v>
      </c>
      <c r="O314" s="172">
        <v>1000</v>
      </c>
      <c r="P314" s="172">
        <v>0</v>
      </c>
      <c r="Q314" s="38">
        <f t="shared" si="67"/>
        <v>2000</v>
      </c>
      <c r="R314" s="38">
        <f t="shared" si="68"/>
        <v>30325</v>
      </c>
      <c r="T314" t="s">
        <v>1427</v>
      </c>
    </row>
    <row r="315" spans="1:20" ht="15.75" customHeight="1" x14ac:dyDescent="0.3">
      <c r="A315" s="256" t="s">
        <v>626</v>
      </c>
      <c r="B315" s="172">
        <v>1157</v>
      </c>
      <c r="C315" s="172">
        <v>842</v>
      </c>
      <c r="D315" s="172">
        <v>3467</v>
      </c>
      <c r="E315" s="38">
        <f t="shared" si="64"/>
        <v>5466</v>
      </c>
      <c r="F315" s="172">
        <v>3777</v>
      </c>
      <c r="G315" s="172">
        <v>3257</v>
      </c>
      <c r="H315" s="172">
        <v>0</v>
      </c>
      <c r="I315" s="38">
        <f t="shared" si="65"/>
        <v>7034</v>
      </c>
      <c r="J315" s="172">
        <v>0</v>
      </c>
      <c r="K315" s="172">
        <v>0</v>
      </c>
      <c r="L315" s="172">
        <v>0</v>
      </c>
      <c r="M315" s="38">
        <f t="shared" si="66"/>
        <v>0</v>
      </c>
      <c r="N315" s="172">
        <v>0</v>
      </c>
      <c r="O315" s="172">
        <v>0</v>
      </c>
      <c r="P315" s="172">
        <v>0</v>
      </c>
      <c r="Q315" s="38">
        <f t="shared" si="67"/>
        <v>0</v>
      </c>
      <c r="R315" s="38">
        <f t="shared" si="68"/>
        <v>12500</v>
      </c>
      <c r="T315" t="s">
        <v>2175</v>
      </c>
    </row>
    <row r="316" spans="1:20" ht="15.75" customHeight="1" x14ac:dyDescent="0.3">
      <c r="A316" s="256" t="s">
        <v>342</v>
      </c>
      <c r="B316" s="172">
        <v>379</v>
      </c>
      <c r="C316" s="172">
        <v>104</v>
      </c>
      <c r="D316" s="172">
        <v>2308</v>
      </c>
      <c r="E316" s="38">
        <f t="shared" si="64"/>
        <v>2791</v>
      </c>
      <c r="F316" s="172">
        <v>2209</v>
      </c>
      <c r="G316" s="172">
        <v>0</v>
      </c>
      <c r="H316" s="172">
        <v>0</v>
      </c>
      <c r="I316" s="38">
        <f t="shared" si="65"/>
        <v>2209</v>
      </c>
      <c r="J316" s="172">
        <v>0</v>
      </c>
      <c r="K316" s="172">
        <v>0</v>
      </c>
      <c r="L316" s="172">
        <v>0</v>
      </c>
      <c r="M316" s="38">
        <f t="shared" si="66"/>
        <v>0</v>
      </c>
      <c r="N316" s="172">
        <v>0</v>
      </c>
      <c r="O316" s="172">
        <v>0</v>
      </c>
      <c r="P316" s="172">
        <v>0</v>
      </c>
      <c r="Q316" s="38">
        <f t="shared" si="67"/>
        <v>0</v>
      </c>
      <c r="R316" s="38">
        <f t="shared" si="68"/>
        <v>5000</v>
      </c>
      <c r="T316" t="s">
        <v>2178</v>
      </c>
    </row>
    <row r="317" spans="1:20" ht="15.75" customHeight="1" x14ac:dyDescent="0.3">
      <c r="A317" s="256" t="s">
        <v>1513</v>
      </c>
      <c r="B317" s="172">
        <v>0</v>
      </c>
      <c r="C317" s="172">
        <v>0</v>
      </c>
      <c r="D317" s="172">
        <v>0</v>
      </c>
      <c r="E317" s="38">
        <f t="shared" si="64"/>
        <v>0</v>
      </c>
      <c r="F317" s="172">
        <v>0</v>
      </c>
      <c r="G317" s="172">
        <v>0</v>
      </c>
      <c r="H317" s="172">
        <v>75</v>
      </c>
      <c r="I317" s="38">
        <f t="shared" si="65"/>
        <v>75</v>
      </c>
      <c r="J317" s="172">
        <v>3</v>
      </c>
      <c r="K317" s="172">
        <v>669</v>
      </c>
      <c r="L317" s="172">
        <v>322</v>
      </c>
      <c r="M317" s="38">
        <f t="shared" si="66"/>
        <v>994</v>
      </c>
      <c r="N317" s="172">
        <v>1047</v>
      </c>
      <c r="O317" s="172">
        <v>4</v>
      </c>
      <c r="P317" s="172">
        <v>1371</v>
      </c>
      <c r="Q317" s="38">
        <f t="shared" si="67"/>
        <v>2422</v>
      </c>
      <c r="R317" s="38">
        <f t="shared" si="68"/>
        <v>3491</v>
      </c>
      <c r="T317" s="230" t="s">
        <v>66</v>
      </c>
    </row>
    <row r="318" spans="1:20" ht="15.75" customHeight="1" x14ac:dyDescent="0.3">
      <c r="A318" s="234" t="s">
        <v>2165</v>
      </c>
      <c r="B318" s="172"/>
      <c r="C318" s="172"/>
      <c r="D318" s="172"/>
      <c r="E318" s="38" t="s">
        <v>852</v>
      </c>
      <c r="F318" s="172"/>
      <c r="G318" s="172"/>
      <c r="H318" s="172"/>
      <c r="I318" s="38" t="s">
        <v>852</v>
      </c>
      <c r="J318" s="172"/>
      <c r="K318" s="172"/>
      <c r="L318" s="172"/>
      <c r="M318" s="38" t="s">
        <v>852</v>
      </c>
      <c r="N318" s="172"/>
      <c r="O318" s="172"/>
      <c r="P318" s="172"/>
      <c r="Q318" s="38" t="s">
        <v>852</v>
      </c>
      <c r="R318" s="38" t="s">
        <v>852</v>
      </c>
    </row>
    <row r="319" spans="1:20" ht="15.75" customHeight="1" x14ac:dyDescent="0.3">
      <c r="A319" s="234" t="s">
        <v>2160</v>
      </c>
      <c r="B319" s="172"/>
      <c r="C319" s="172"/>
      <c r="D319" s="172"/>
      <c r="E319" s="38" t="s">
        <v>852</v>
      </c>
      <c r="F319" s="172"/>
      <c r="G319" s="172"/>
      <c r="H319" s="172"/>
      <c r="I319" s="38" t="s">
        <v>852</v>
      </c>
      <c r="J319" s="172"/>
      <c r="K319" s="172"/>
      <c r="L319" s="172"/>
      <c r="M319" s="38" t="s">
        <v>852</v>
      </c>
      <c r="N319" s="172"/>
      <c r="O319" s="172"/>
      <c r="P319" s="172"/>
      <c r="Q319" s="38" t="s">
        <v>852</v>
      </c>
      <c r="R319" s="38" t="s">
        <v>852</v>
      </c>
    </row>
    <row r="320" spans="1:20" ht="15.75" customHeight="1" thickBot="1" x14ac:dyDescent="0.35">
      <c r="A320" s="256" t="s">
        <v>1739</v>
      </c>
      <c r="B320" s="172">
        <v>0</v>
      </c>
      <c r="C320" s="172">
        <v>2188</v>
      </c>
      <c r="D320" s="172">
        <v>6838</v>
      </c>
      <c r="E320" s="38">
        <f>SUM(B320:D320)</f>
        <v>9026</v>
      </c>
      <c r="F320" s="172">
        <v>0</v>
      </c>
      <c r="G320" s="172">
        <v>0</v>
      </c>
      <c r="H320" s="172">
        <v>0</v>
      </c>
      <c r="I320" s="38">
        <f>SUM(F320:H320)</f>
        <v>0</v>
      </c>
      <c r="J320" s="172">
        <v>0</v>
      </c>
      <c r="K320" s="172">
        <v>0</v>
      </c>
      <c r="L320" s="172">
        <v>0</v>
      </c>
      <c r="M320" s="38">
        <f>SUM(J320:L320)</f>
        <v>0</v>
      </c>
      <c r="N320" s="172">
        <v>0</v>
      </c>
      <c r="O320" s="172">
        <v>0</v>
      </c>
      <c r="P320" s="172">
        <v>0</v>
      </c>
      <c r="Q320" s="38">
        <f>SUM(N320:P320)</f>
        <v>0</v>
      </c>
      <c r="R320" s="38">
        <f>+E320+I320+M320+Q320</f>
        <v>9026</v>
      </c>
      <c r="T320" t="s">
        <v>2174</v>
      </c>
    </row>
    <row r="321" spans="1:20" ht="15.75" customHeight="1" thickBot="1" x14ac:dyDescent="0.35">
      <c r="A321" s="43" t="s">
        <v>1219</v>
      </c>
      <c r="B321" s="45">
        <f>SUM(B307:B320)</f>
        <v>3282</v>
      </c>
      <c r="C321" s="46">
        <f>SUM(C307:C320)</f>
        <v>7010</v>
      </c>
      <c r="D321" s="46">
        <f>SUM(D307:D320)</f>
        <v>28612</v>
      </c>
      <c r="E321" s="37">
        <f>SUM(B321:D321)</f>
        <v>38904</v>
      </c>
      <c r="F321" s="46">
        <f>SUM(F307:F320)</f>
        <v>38640</v>
      </c>
      <c r="G321" s="46">
        <f>SUM(G307:G320)</f>
        <v>35757</v>
      </c>
      <c r="H321" s="46">
        <f>SUM(H307:H320)</f>
        <v>44098</v>
      </c>
      <c r="I321" s="37">
        <f>SUM(F321:H321)</f>
        <v>118495</v>
      </c>
      <c r="J321" s="46">
        <f>SUM(J307:J320)</f>
        <v>27844</v>
      </c>
      <c r="K321" s="46">
        <f>SUM(K307:K320)</f>
        <v>23826</v>
      </c>
      <c r="L321" s="46">
        <f>SUM(L307:L320)</f>
        <v>11071</v>
      </c>
      <c r="M321" s="37">
        <f>SUM(J321:L321)</f>
        <v>62741</v>
      </c>
      <c r="N321" s="46">
        <f>SUM(N307:N320)</f>
        <v>5379</v>
      </c>
      <c r="O321" s="46">
        <f>SUM(O307:O320)</f>
        <v>3085</v>
      </c>
      <c r="P321" s="46">
        <f>SUM(P307:P320)</f>
        <v>1371</v>
      </c>
      <c r="Q321" s="37">
        <f>SUM(N321:P321)</f>
        <v>9835</v>
      </c>
      <c r="R321" s="37">
        <f>+E321+I321+M321+Q321</f>
        <v>229975</v>
      </c>
    </row>
    <row r="322" spans="1:20" ht="15.75" customHeight="1" x14ac:dyDescent="0.3">
      <c r="A322" s="234" t="s">
        <v>2166</v>
      </c>
      <c r="B322" s="172"/>
      <c r="C322" s="172"/>
      <c r="D322" s="172"/>
      <c r="E322" s="38" t="s">
        <v>852</v>
      </c>
      <c r="F322" s="172"/>
      <c r="G322" s="172"/>
      <c r="H322" s="172"/>
      <c r="I322" s="38" t="s">
        <v>852</v>
      </c>
      <c r="J322" s="172"/>
      <c r="K322" s="172"/>
      <c r="L322" s="172"/>
      <c r="M322" s="38" t="s">
        <v>852</v>
      </c>
      <c r="N322" s="172"/>
      <c r="O322" s="172"/>
      <c r="P322" s="172"/>
      <c r="Q322" s="38" t="s">
        <v>852</v>
      </c>
      <c r="R322" s="38" t="s">
        <v>852</v>
      </c>
    </row>
    <row r="323" spans="1:20" ht="15.75" customHeight="1" x14ac:dyDescent="0.3">
      <c r="A323" s="234" t="s">
        <v>1245</v>
      </c>
      <c r="B323" s="172"/>
      <c r="C323" s="172"/>
      <c r="D323" s="172"/>
      <c r="E323" s="38" t="s">
        <v>852</v>
      </c>
      <c r="F323" s="172"/>
      <c r="G323" s="172"/>
      <c r="H323" s="172"/>
      <c r="I323" s="38" t="s">
        <v>852</v>
      </c>
      <c r="J323" s="172"/>
      <c r="K323" s="172"/>
      <c r="L323" s="172"/>
      <c r="M323" s="38" t="s">
        <v>852</v>
      </c>
      <c r="N323" s="172"/>
      <c r="O323" s="172"/>
      <c r="P323" s="172"/>
      <c r="Q323" s="38" t="s">
        <v>852</v>
      </c>
      <c r="R323" s="38" t="s">
        <v>852</v>
      </c>
    </row>
    <row r="324" spans="1:20" ht="15.75" customHeight="1" x14ac:dyDescent="0.3">
      <c r="A324" s="256" t="s">
        <v>727</v>
      </c>
      <c r="B324" s="172">
        <v>3865</v>
      </c>
      <c r="C324" s="172">
        <v>2822</v>
      </c>
      <c r="D324" s="172">
        <v>10331</v>
      </c>
      <c r="E324" s="38">
        <f>SUM(B324:D324)</f>
        <v>17018</v>
      </c>
      <c r="F324" s="172">
        <v>11866</v>
      </c>
      <c r="G324" s="172">
        <v>8716</v>
      </c>
      <c r="H324" s="172">
        <v>12277</v>
      </c>
      <c r="I324" s="38">
        <f>SUM(F324:H324)</f>
        <v>32859</v>
      </c>
      <c r="J324" s="172">
        <v>9252</v>
      </c>
      <c r="K324" s="172">
        <v>9530</v>
      </c>
      <c r="L324" s="172">
        <v>4570</v>
      </c>
      <c r="M324" s="38">
        <f>SUM(J324:L324)</f>
        <v>23352</v>
      </c>
      <c r="N324" s="172">
        <v>2923</v>
      </c>
      <c r="O324" s="172">
        <v>1398</v>
      </c>
      <c r="P324" s="172">
        <v>1262</v>
      </c>
      <c r="Q324" s="38">
        <f>SUM(N324:P324)</f>
        <v>5583</v>
      </c>
      <c r="R324" s="38">
        <f>+E324+I324+M324+Q324</f>
        <v>78812</v>
      </c>
      <c r="T324" t="s">
        <v>2174</v>
      </c>
    </row>
    <row r="325" spans="1:20" ht="15.75" customHeight="1" x14ac:dyDescent="0.3">
      <c r="A325" s="256" t="s">
        <v>208</v>
      </c>
      <c r="B325" s="172">
        <v>0</v>
      </c>
      <c r="C325" s="172">
        <v>0</v>
      </c>
      <c r="D325" s="172">
        <v>0</v>
      </c>
      <c r="E325" s="38">
        <f>SUM(B325:D325)</f>
        <v>0</v>
      </c>
      <c r="F325" s="172">
        <v>0</v>
      </c>
      <c r="G325" s="172">
        <v>0</v>
      </c>
      <c r="H325" s="172">
        <v>0</v>
      </c>
      <c r="I325" s="38">
        <f>SUM(F325:H325)</f>
        <v>0</v>
      </c>
      <c r="J325" s="172">
        <v>0</v>
      </c>
      <c r="K325" s="172">
        <v>0</v>
      </c>
      <c r="L325" s="172">
        <v>0</v>
      </c>
      <c r="M325" s="38">
        <f>SUM(J325:L325)</f>
        <v>0</v>
      </c>
      <c r="N325" s="172">
        <v>0</v>
      </c>
      <c r="O325" s="172">
        <v>0</v>
      </c>
      <c r="P325" s="172">
        <v>0</v>
      </c>
      <c r="Q325" s="38">
        <f>SUM(N325:P325)</f>
        <v>0</v>
      </c>
      <c r="R325" s="38">
        <f>+E325+I325+M325+Q325</f>
        <v>0</v>
      </c>
      <c r="T325" t="s">
        <v>2176</v>
      </c>
    </row>
    <row r="326" spans="1:20" ht="15.75" customHeight="1" x14ac:dyDescent="0.3">
      <c r="A326" s="234" t="s">
        <v>1711</v>
      </c>
      <c r="B326" s="172"/>
      <c r="C326" s="172"/>
      <c r="D326" s="172"/>
      <c r="E326" s="38" t="s">
        <v>852</v>
      </c>
      <c r="F326" s="172"/>
      <c r="G326" s="172"/>
      <c r="H326" s="172"/>
      <c r="I326" s="38" t="s">
        <v>852</v>
      </c>
      <c r="J326" s="172"/>
      <c r="K326" s="172"/>
      <c r="L326" s="172"/>
      <c r="M326" s="38" t="s">
        <v>852</v>
      </c>
      <c r="N326" s="172"/>
      <c r="O326" s="172"/>
      <c r="P326" s="172"/>
      <c r="Q326" s="38" t="s">
        <v>852</v>
      </c>
      <c r="R326" s="38" t="s">
        <v>852</v>
      </c>
    </row>
    <row r="327" spans="1:20" ht="15.75" customHeight="1" x14ac:dyDescent="0.3">
      <c r="A327" s="256" t="s">
        <v>1091</v>
      </c>
      <c r="B327" s="172">
        <v>0</v>
      </c>
      <c r="C327" s="172">
        <v>0</v>
      </c>
      <c r="D327" s="172">
        <v>0</v>
      </c>
      <c r="E327" s="38">
        <f>SUM(B327:D327)</f>
        <v>0</v>
      </c>
      <c r="F327" s="172">
        <v>0</v>
      </c>
      <c r="G327" s="172">
        <v>0</v>
      </c>
      <c r="H327" s="172">
        <v>0</v>
      </c>
      <c r="I327" s="38">
        <f>SUM(F327:H327)</f>
        <v>0</v>
      </c>
      <c r="J327" s="172">
        <v>0</v>
      </c>
      <c r="K327" s="172">
        <v>0</v>
      </c>
      <c r="L327" s="172">
        <v>0</v>
      </c>
      <c r="M327" s="38">
        <f>SUM(J327:L327)</f>
        <v>0</v>
      </c>
      <c r="N327" s="172">
        <v>0</v>
      </c>
      <c r="O327" s="172">
        <v>0</v>
      </c>
      <c r="P327" s="172">
        <v>0</v>
      </c>
      <c r="Q327" s="38">
        <f>SUM(N327:P327)</f>
        <v>0</v>
      </c>
      <c r="R327" s="38">
        <f>+E327+I327+M327+Q327</f>
        <v>0</v>
      </c>
      <c r="T327" t="s">
        <v>2177</v>
      </c>
    </row>
    <row r="328" spans="1:20" ht="15.75" customHeight="1" x14ac:dyDescent="0.3">
      <c r="A328" s="256" t="s">
        <v>725</v>
      </c>
      <c r="B328" s="172">
        <v>0</v>
      </c>
      <c r="C328" s="172">
        <v>0</v>
      </c>
      <c r="D328" s="172">
        <v>0</v>
      </c>
      <c r="E328" s="38">
        <f t="shared" ref="E328:E342" si="69">SUM(B328:D328)</f>
        <v>0</v>
      </c>
      <c r="F328" s="172">
        <v>0</v>
      </c>
      <c r="G328" s="172">
        <v>0</v>
      </c>
      <c r="H328" s="172">
        <v>0</v>
      </c>
      <c r="I328" s="38">
        <f t="shared" ref="I328:I342" si="70">SUM(F328:H328)</f>
        <v>0</v>
      </c>
      <c r="J328" s="172">
        <v>0</v>
      </c>
      <c r="K328" s="172">
        <v>0</v>
      </c>
      <c r="L328" s="172">
        <v>0</v>
      </c>
      <c r="M328" s="38">
        <f t="shared" ref="M328:M342" si="71">SUM(J328:L328)</f>
        <v>0</v>
      </c>
      <c r="N328" s="172">
        <v>0</v>
      </c>
      <c r="O328" s="172">
        <v>0</v>
      </c>
      <c r="P328" s="172">
        <v>0</v>
      </c>
      <c r="Q328" s="38">
        <f t="shared" ref="Q328:Q342" si="72">SUM(N328:P328)</f>
        <v>0</v>
      </c>
      <c r="R328" s="38">
        <f t="shared" ref="R328:R342" si="73">+E328+I328+M328+Q328</f>
        <v>0</v>
      </c>
      <c r="T328" t="s">
        <v>2177</v>
      </c>
    </row>
    <row r="329" spans="1:20" ht="15.75" customHeight="1" x14ac:dyDescent="0.3">
      <c r="A329" s="256" t="s">
        <v>1150</v>
      </c>
      <c r="B329" s="172">
        <v>0</v>
      </c>
      <c r="C329" s="172">
        <v>0</v>
      </c>
      <c r="D329" s="172">
        <v>627</v>
      </c>
      <c r="E329" s="38">
        <f t="shared" si="69"/>
        <v>627</v>
      </c>
      <c r="F329" s="172">
        <v>0</v>
      </c>
      <c r="G329" s="172">
        <v>0</v>
      </c>
      <c r="H329" s="172">
        <v>0</v>
      </c>
      <c r="I329" s="38">
        <f t="shared" si="70"/>
        <v>0</v>
      </c>
      <c r="J329" s="172">
        <v>0</v>
      </c>
      <c r="K329" s="172">
        <v>0</v>
      </c>
      <c r="L329" s="172">
        <v>0</v>
      </c>
      <c r="M329" s="38">
        <f t="shared" si="71"/>
        <v>0</v>
      </c>
      <c r="N329" s="172">
        <v>0</v>
      </c>
      <c r="O329" s="172">
        <v>0</v>
      </c>
      <c r="P329" s="172">
        <v>0</v>
      </c>
      <c r="Q329" s="38">
        <f t="shared" si="72"/>
        <v>0</v>
      </c>
      <c r="R329" s="38">
        <f t="shared" si="73"/>
        <v>627</v>
      </c>
      <c r="T329" t="s">
        <v>2177</v>
      </c>
    </row>
    <row r="330" spans="1:20" ht="15.75" customHeight="1" x14ac:dyDescent="0.3">
      <c r="A330" s="256" t="s">
        <v>882</v>
      </c>
      <c r="B330" s="172">
        <v>381</v>
      </c>
      <c r="C330" s="172">
        <v>216</v>
      </c>
      <c r="D330" s="172">
        <v>217</v>
      </c>
      <c r="E330" s="38">
        <f>SUM(B330:D330)</f>
        <v>814</v>
      </c>
      <c r="F330" s="172">
        <v>96</v>
      </c>
      <c r="G330" s="172">
        <v>0</v>
      </c>
      <c r="H330" s="172">
        <v>0</v>
      </c>
      <c r="I330" s="38">
        <f>SUM(F330:H330)</f>
        <v>96</v>
      </c>
      <c r="J330" s="172">
        <v>0</v>
      </c>
      <c r="K330" s="172">
        <v>0</v>
      </c>
      <c r="L330" s="172">
        <v>1555</v>
      </c>
      <c r="M330" s="38">
        <f>SUM(J330:L330)</f>
        <v>1555</v>
      </c>
      <c r="N330" s="172">
        <v>2395</v>
      </c>
      <c r="O330" s="172">
        <v>0</v>
      </c>
      <c r="P330" s="172">
        <v>0</v>
      </c>
      <c r="Q330" s="38">
        <f>SUM(N330:P330)</f>
        <v>2395</v>
      </c>
      <c r="R330" s="38">
        <f>+E330+I330+M330+Q330</f>
        <v>4860</v>
      </c>
      <c r="T330" t="s">
        <v>2177</v>
      </c>
    </row>
    <row r="331" spans="1:20" ht="15.75" customHeight="1" x14ac:dyDescent="0.35">
      <c r="A331" s="349" t="s">
        <v>2212</v>
      </c>
      <c r="B331" s="172">
        <v>0</v>
      </c>
      <c r="C331" s="172">
        <v>0</v>
      </c>
      <c r="D331" s="172">
        <v>5000</v>
      </c>
      <c r="E331" s="38">
        <f>SUM(B331:D331)</f>
        <v>5000</v>
      </c>
      <c r="F331" s="172">
        <v>2500</v>
      </c>
      <c r="G331" s="172">
        <v>2500</v>
      </c>
      <c r="H331" s="172">
        <v>0</v>
      </c>
      <c r="I331" s="38">
        <f>SUM(F331:H331)</f>
        <v>5000</v>
      </c>
      <c r="J331" s="172">
        <v>0</v>
      </c>
      <c r="K331" s="172">
        <v>0</v>
      </c>
      <c r="L331" s="172">
        <v>0</v>
      </c>
      <c r="M331" s="38">
        <f>SUM(J331:L331)</f>
        <v>0</v>
      </c>
      <c r="N331" s="172">
        <v>0</v>
      </c>
      <c r="O331" s="172">
        <v>0</v>
      </c>
      <c r="P331" s="172">
        <v>0</v>
      </c>
      <c r="Q331" s="38">
        <f>SUM(N331:P331)</f>
        <v>0</v>
      </c>
      <c r="R331" s="38">
        <f>+E331+I331+M331+Q331</f>
        <v>10000</v>
      </c>
      <c r="T331" t="s">
        <v>72</v>
      </c>
    </row>
    <row r="332" spans="1:20" ht="15.75" customHeight="1" x14ac:dyDescent="0.35">
      <c r="A332" s="349" t="s">
        <v>2213</v>
      </c>
      <c r="B332" s="172">
        <v>0</v>
      </c>
      <c r="C332" s="172">
        <v>0</v>
      </c>
      <c r="D332" s="172">
        <v>2000</v>
      </c>
      <c r="E332" s="38">
        <f>SUM(B332:D332)</f>
        <v>2000</v>
      </c>
      <c r="F332" s="172">
        <v>2500</v>
      </c>
      <c r="G332" s="172">
        <v>2500</v>
      </c>
      <c r="H332" s="172">
        <v>0</v>
      </c>
      <c r="I332" s="38">
        <f>SUM(F332:H332)</f>
        <v>5000</v>
      </c>
      <c r="J332" s="172">
        <v>0</v>
      </c>
      <c r="K332" s="172">
        <v>0</v>
      </c>
      <c r="L332" s="172">
        <v>0</v>
      </c>
      <c r="M332" s="38">
        <f>SUM(J332:L332)</f>
        <v>0</v>
      </c>
      <c r="N332" s="172">
        <v>0</v>
      </c>
      <c r="O332" s="172">
        <v>0</v>
      </c>
      <c r="P332" s="172">
        <v>0</v>
      </c>
      <c r="Q332" s="38">
        <f>SUM(N332:P332)</f>
        <v>0</v>
      </c>
      <c r="R332" s="38">
        <f>+E332+I332+M332+Q332</f>
        <v>7000</v>
      </c>
      <c r="T332" t="s">
        <v>2174</v>
      </c>
    </row>
    <row r="333" spans="1:20" ht="15.75" customHeight="1" x14ac:dyDescent="0.3">
      <c r="A333" s="256" t="s">
        <v>1659</v>
      </c>
      <c r="B333" s="172">
        <v>0</v>
      </c>
      <c r="C333" s="172">
        <v>0</v>
      </c>
      <c r="D333" s="172">
        <v>0</v>
      </c>
      <c r="E333" s="38">
        <f>SUM(B333:D333)</f>
        <v>0</v>
      </c>
      <c r="F333" s="172">
        <v>0</v>
      </c>
      <c r="G333" s="172">
        <v>0</v>
      </c>
      <c r="H333" s="172">
        <v>0</v>
      </c>
      <c r="I333" s="38">
        <f>SUM(F333:H333)</f>
        <v>0</v>
      </c>
      <c r="J333" s="172">
        <v>0</v>
      </c>
      <c r="K333" s="172">
        <v>0</v>
      </c>
      <c r="L333" s="172">
        <v>0</v>
      </c>
      <c r="M333" s="38">
        <f>SUM(J333:L333)</f>
        <v>0</v>
      </c>
      <c r="N333" s="172">
        <v>0</v>
      </c>
      <c r="O333" s="172">
        <v>0</v>
      </c>
      <c r="P333" s="172">
        <v>0</v>
      </c>
      <c r="Q333" s="38">
        <f>SUM(N333:P333)</f>
        <v>0</v>
      </c>
      <c r="R333" s="38">
        <f>+E333+I333+M333+Q333</f>
        <v>0</v>
      </c>
      <c r="T333" t="s">
        <v>2177</v>
      </c>
    </row>
    <row r="334" spans="1:20" ht="15.75" customHeight="1" x14ac:dyDescent="0.3">
      <c r="A334" s="256" t="s">
        <v>797</v>
      </c>
      <c r="B334" s="172">
        <v>0</v>
      </c>
      <c r="C334" s="172">
        <v>0</v>
      </c>
      <c r="D334" s="172">
        <v>0</v>
      </c>
      <c r="E334" s="38">
        <f t="shared" si="69"/>
        <v>0</v>
      </c>
      <c r="F334" s="172">
        <v>0</v>
      </c>
      <c r="G334" s="172">
        <v>0</v>
      </c>
      <c r="H334" s="172">
        <v>0</v>
      </c>
      <c r="I334" s="38">
        <f t="shared" si="70"/>
        <v>0</v>
      </c>
      <c r="J334" s="172">
        <v>0</v>
      </c>
      <c r="K334" s="172">
        <v>0</v>
      </c>
      <c r="L334" s="172">
        <v>0</v>
      </c>
      <c r="M334" s="38">
        <f t="shared" si="71"/>
        <v>0</v>
      </c>
      <c r="N334" s="172">
        <v>0</v>
      </c>
      <c r="O334" s="172">
        <v>0</v>
      </c>
      <c r="P334" s="172">
        <v>0</v>
      </c>
      <c r="Q334" s="38">
        <f t="shared" si="72"/>
        <v>0</v>
      </c>
      <c r="R334" s="38">
        <f t="shared" si="73"/>
        <v>0</v>
      </c>
      <c r="T334" t="s">
        <v>2177</v>
      </c>
    </row>
    <row r="335" spans="1:20" ht="15.75" customHeight="1" x14ac:dyDescent="0.3">
      <c r="A335" s="256" t="s">
        <v>885</v>
      </c>
      <c r="B335" s="172">
        <v>0</v>
      </c>
      <c r="C335" s="172">
        <v>0</v>
      </c>
      <c r="D335" s="172">
        <v>0</v>
      </c>
      <c r="E335" s="38">
        <f t="shared" si="69"/>
        <v>0</v>
      </c>
      <c r="F335" s="172">
        <v>0</v>
      </c>
      <c r="G335" s="172">
        <v>0</v>
      </c>
      <c r="H335" s="172">
        <v>0</v>
      </c>
      <c r="I335" s="38">
        <f t="shared" si="70"/>
        <v>0</v>
      </c>
      <c r="J335" s="172">
        <v>0</v>
      </c>
      <c r="K335" s="172">
        <v>0</v>
      </c>
      <c r="L335" s="172">
        <v>0</v>
      </c>
      <c r="M335" s="38">
        <f t="shared" si="71"/>
        <v>0</v>
      </c>
      <c r="N335" s="172">
        <v>0</v>
      </c>
      <c r="O335" s="172">
        <v>0</v>
      </c>
      <c r="P335" s="172">
        <v>0</v>
      </c>
      <c r="Q335" s="38">
        <f t="shared" si="72"/>
        <v>0</v>
      </c>
      <c r="R335" s="38">
        <f t="shared" si="73"/>
        <v>0</v>
      </c>
      <c r="T335" t="s">
        <v>2177</v>
      </c>
    </row>
    <row r="336" spans="1:20" ht="15.75" customHeight="1" x14ac:dyDescent="0.3">
      <c r="A336" s="256" t="s">
        <v>613</v>
      </c>
      <c r="B336" s="172">
        <v>0</v>
      </c>
      <c r="C336" s="172">
        <v>0</v>
      </c>
      <c r="D336" s="172">
        <v>0</v>
      </c>
      <c r="E336" s="38">
        <f t="shared" si="69"/>
        <v>0</v>
      </c>
      <c r="F336" s="172">
        <v>0</v>
      </c>
      <c r="G336" s="172">
        <v>0</v>
      </c>
      <c r="H336" s="172">
        <v>0</v>
      </c>
      <c r="I336" s="38">
        <f t="shared" si="70"/>
        <v>0</v>
      </c>
      <c r="J336" s="172">
        <v>0</v>
      </c>
      <c r="K336" s="172">
        <v>0</v>
      </c>
      <c r="L336" s="172">
        <v>0</v>
      </c>
      <c r="M336" s="38">
        <f t="shared" si="71"/>
        <v>0</v>
      </c>
      <c r="N336" s="172">
        <v>0</v>
      </c>
      <c r="O336" s="172">
        <v>0</v>
      </c>
      <c r="P336" s="172">
        <v>0</v>
      </c>
      <c r="Q336" s="38">
        <f t="shared" si="72"/>
        <v>0</v>
      </c>
      <c r="R336" s="38">
        <f t="shared" si="73"/>
        <v>0</v>
      </c>
      <c r="T336" t="s">
        <v>2177</v>
      </c>
    </row>
    <row r="337" spans="1:20" ht="15.75" customHeight="1" x14ac:dyDescent="0.3">
      <c r="A337" s="256" t="s">
        <v>1097</v>
      </c>
      <c r="B337" s="172">
        <v>0</v>
      </c>
      <c r="C337" s="172">
        <v>0</v>
      </c>
      <c r="D337" s="172">
        <v>1308</v>
      </c>
      <c r="E337" s="38">
        <f t="shared" si="69"/>
        <v>1308</v>
      </c>
      <c r="F337" s="172">
        <v>361</v>
      </c>
      <c r="G337" s="172">
        <v>0</v>
      </c>
      <c r="H337" s="172">
        <v>0</v>
      </c>
      <c r="I337" s="38">
        <f t="shared" si="70"/>
        <v>361</v>
      </c>
      <c r="J337" s="172">
        <v>0</v>
      </c>
      <c r="K337" s="172">
        <v>0</v>
      </c>
      <c r="L337" s="172">
        <v>0</v>
      </c>
      <c r="M337" s="38">
        <f t="shared" si="71"/>
        <v>0</v>
      </c>
      <c r="N337" s="172">
        <v>0</v>
      </c>
      <c r="O337" s="172">
        <v>0</v>
      </c>
      <c r="P337" s="172">
        <v>0</v>
      </c>
      <c r="Q337" s="38">
        <f t="shared" si="72"/>
        <v>0</v>
      </c>
      <c r="R337" s="38">
        <f t="shared" si="73"/>
        <v>1669</v>
      </c>
      <c r="T337" t="s">
        <v>2177</v>
      </c>
    </row>
    <row r="338" spans="1:20" ht="15.75" customHeight="1" x14ac:dyDescent="0.3">
      <c r="A338" s="256" t="s">
        <v>2089</v>
      </c>
      <c r="B338" s="172">
        <v>0</v>
      </c>
      <c r="C338" s="172">
        <v>0</v>
      </c>
      <c r="D338" s="172">
        <v>0</v>
      </c>
      <c r="E338" s="38">
        <f t="shared" si="69"/>
        <v>0</v>
      </c>
      <c r="F338" s="172">
        <v>158</v>
      </c>
      <c r="G338" s="172">
        <v>165</v>
      </c>
      <c r="H338" s="172">
        <v>197</v>
      </c>
      <c r="I338" s="38">
        <f t="shared" si="70"/>
        <v>520</v>
      </c>
      <c r="J338" s="172">
        <v>246</v>
      </c>
      <c r="K338" s="172">
        <v>248</v>
      </c>
      <c r="L338" s="172">
        <v>146</v>
      </c>
      <c r="M338" s="38">
        <f t="shared" si="71"/>
        <v>640</v>
      </c>
      <c r="N338" s="172">
        <v>0</v>
      </c>
      <c r="O338" s="172">
        <v>0</v>
      </c>
      <c r="P338" s="172">
        <v>0</v>
      </c>
      <c r="Q338" s="38">
        <f t="shared" si="72"/>
        <v>0</v>
      </c>
      <c r="R338" s="38">
        <f t="shared" si="73"/>
        <v>1160</v>
      </c>
      <c r="T338" t="s">
        <v>2177</v>
      </c>
    </row>
    <row r="339" spans="1:20" ht="15.75" customHeight="1" x14ac:dyDescent="0.3">
      <c r="A339" s="256" t="s">
        <v>1475</v>
      </c>
      <c r="B339" s="172">
        <v>0</v>
      </c>
      <c r="C339" s="172">
        <v>0</v>
      </c>
      <c r="D339" s="172">
        <v>0</v>
      </c>
      <c r="E339" s="38">
        <f t="shared" si="69"/>
        <v>0</v>
      </c>
      <c r="F339" s="172">
        <v>0</v>
      </c>
      <c r="G339" s="172">
        <v>0</v>
      </c>
      <c r="H339" s="172">
        <v>0</v>
      </c>
      <c r="I339" s="38">
        <f t="shared" si="70"/>
        <v>0</v>
      </c>
      <c r="J339" s="172">
        <v>0</v>
      </c>
      <c r="K339" s="172">
        <v>0</v>
      </c>
      <c r="L339" s="172">
        <v>0</v>
      </c>
      <c r="M339" s="38">
        <f t="shared" si="71"/>
        <v>0</v>
      </c>
      <c r="N339" s="172">
        <v>0</v>
      </c>
      <c r="O339" s="172">
        <v>0</v>
      </c>
      <c r="P339" s="172">
        <v>0</v>
      </c>
      <c r="Q339" s="38">
        <f t="shared" si="72"/>
        <v>0</v>
      </c>
      <c r="R339" s="38">
        <f t="shared" si="73"/>
        <v>0</v>
      </c>
      <c r="T339" t="s">
        <v>2177</v>
      </c>
    </row>
    <row r="340" spans="1:20" ht="15.75" customHeight="1" x14ac:dyDescent="0.3">
      <c r="A340" s="256" t="s">
        <v>101</v>
      </c>
      <c r="B340" s="172">
        <v>0</v>
      </c>
      <c r="C340" s="172">
        <v>0</v>
      </c>
      <c r="D340" s="172">
        <v>0</v>
      </c>
      <c r="E340" s="38">
        <f t="shared" si="69"/>
        <v>0</v>
      </c>
      <c r="F340" s="172">
        <v>2209</v>
      </c>
      <c r="G340" s="172">
        <v>413</v>
      </c>
      <c r="H340" s="172">
        <v>0</v>
      </c>
      <c r="I340" s="38">
        <f t="shared" si="70"/>
        <v>2622</v>
      </c>
      <c r="J340" s="172">
        <v>0</v>
      </c>
      <c r="K340" s="172">
        <v>0</v>
      </c>
      <c r="L340" s="172">
        <v>0</v>
      </c>
      <c r="M340" s="38">
        <f t="shared" si="71"/>
        <v>0</v>
      </c>
      <c r="N340" s="172">
        <v>0</v>
      </c>
      <c r="O340" s="172">
        <v>0</v>
      </c>
      <c r="P340" s="172">
        <v>0</v>
      </c>
      <c r="Q340" s="38">
        <f t="shared" si="72"/>
        <v>0</v>
      </c>
      <c r="R340" s="38">
        <f t="shared" si="73"/>
        <v>2622</v>
      </c>
      <c r="T340" t="s">
        <v>2177</v>
      </c>
    </row>
    <row r="341" spans="1:20" ht="15.75" customHeight="1" thickBot="1" x14ac:dyDescent="0.35">
      <c r="A341" s="332" t="s">
        <v>1670</v>
      </c>
      <c r="B341" s="333">
        <v>0</v>
      </c>
      <c r="C341" s="333">
        <v>0</v>
      </c>
      <c r="D341" s="333">
        <v>0</v>
      </c>
      <c r="E341" s="331">
        <f t="shared" si="69"/>
        <v>0</v>
      </c>
      <c r="F341" s="333">
        <v>0</v>
      </c>
      <c r="G341" s="333">
        <v>0</v>
      </c>
      <c r="H341" s="333">
        <v>0</v>
      </c>
      <c r="I341" s="331">
        <f t="shared" si="70"/>
        <v>0</v>
      </c>
      <c r="J341" s="333">
        <v>0</v>
      </c>
      <c r="K341" s="333">
        <v>0</v>
      </c>
      <c r="L341" s="333">
        <v>0</v>
      </c>
      <c r="M341" s="331">
        <f t="shared" si="71"/>
        <v>0</v>
      </c>
      <c r="N341" s="333">
        <v>0</v>
      </c>
      <c r="O341" s="333">
        <v>0</v>
      </c>
      <c r="P341" s="333">
        <v>0</v>
      </c>
      <c r="Q341" s="331">
        <f t="shared" si="72"/>
        <v>0</v>
      </c>
      <c r="R341" s="331">
        <f t="shared" si="73"/>
        <v>0</v>
      </c>
      <c r="T341" t="s">
        <v>1360</v>
      </c>
    </row>
    <row r="342" spans="1:20" ht="15.75" customHeight="1" thickBot="1" x14ac:dyDescent="0.35">
      <c r="A342" s="277" t="s">
        <v>1220</v>
      </c>
      <c r="B342" s="45">
        <f>SUM(B322:B341)</f>
        <v>4246</v>
      </c>
      <c r="C342" s="46">
        <f>SUM(C322:C341)</f>
        <v>3038</v>
      </c>
      <c r="D342" s="46">
        <f>SUM(D322:D341)</f>
        <v>19483</v>
      </c>
      <c r="E342" s="37">
        <f t="shared" si="69"/>
        <v>26767</v>
      </c>
      <c r="F342" s="46">
        <f>SUM(F322:F341)</f>
        <v>19690</v>
      </c>
      <c r="G342" s="46">
        <f>SUM(G322:G341)</f>
        <v>14294</v>
      </c>
      <c r="H342" s="46">
        <f>SUM(H322:H341)</f>
        <v>12474</v>
      </c>
      <c r="I342" s="37">
        <f t="shared" si="70"/>
        <v>46458</v>
      </c>
      <c r="J342" s="46">
        <f>SUM(J322:J341)</f>
        <v>9498</v>
      </c>
      <c r="K342" s="46">
        <f>SUM(K322:K341)</f>
        <v>9778</v>
      </c>
      <c r="L342" s="46">
        <f>SUM(L322:L341)</f>
        <v>6271</v>
      </c>
      <c r="M342" s="37">
        <f t="shared" si="71"/>
        <v>25547</v>
      </c>
      <c r="N342" s="46">
        <f>SUM(N322:N341)</f>
        <v>5318</v>
      </c>
      <c r="O342" s="46">
        <f>SUM(O322:O341)</f>
        <v>1398</v>
      </c>
      <c r="P342" s="46">
        <f>SUM(P322:P341)</f>
        <v>1262</v>
      </c>
      <c r="Q342" s="37">
        <f t="shared" si="72"/>
        <v>7978</v>
      </c>
      <c r="R342" s="37">
        <f t="shared" si="73"/>
        <v>106750</v>
      </c>
    </row>
    <row r="343" spans="1:20" ht="15.75" customHeight="1" x14ac:dyDescent="0.3">
      <c r="A343" s="234" t="s">
        <v>1712</v>
      </c>
      <c r="B343" s="172"/>
      <c r="C343" s="172"/>
      <c r="D343" s="172"/>
      <c r="E343" s="38" t="s">
        <v>852</v>
      </c>
      <c r="F343" s="172"/>
      <c r="G343" s="172"/>
      <c r="H343" s="172"/>
      <c r="I343" s="38" t="s">
        <v>852</v>
      </c>
      <c r="J343" s="172"/>
      <c r="K343" s="172"/>
      <c r="L343" s="172"/>
      <c r="M343" s="38" t="s">
        <v>852</v>
      </c>
      <c r="N343" s="172"/>
      <c r="O343" s="172"/>
      <c r="P343" s="172"/>
      <c r="Q343" s="38" t="s">
        <v>852</v>
      </c>
      <c r="R343" s="38" t="s">
        <v>852</v>
      </c>
    </row>
    <row r="344" spans="1:20" ht="15.75" customHeight="1" x14ac:dyDescent="0.3">
      <c r="A344" s="234" t="s">
        <v>556</v>
      </c>
      <c r="B344" s="172"/>
      <c r="C344" s="172"/>
      <c r="D344" s="172"/>
      <c r="E344" s="38" t="s">
        <v>852</v>
      </c>
      <c r="F344" s="172"/>
      <c r="G344" s="172"/>
      <c r="H344" s="172"/>
      <c r="I344" s="38" t="s">
        <v>852</v>
      </c>
      <c r="J344" s="172"/>
      <c r="K344" s="172"/>
      <c r="L344" s="172"/>
      <c r="M344" s="38" t="s">
        <v>852</v>
      </c>
      <c r="N344" s="172"/>
      <c r="O344" s="172"/>
      <c r="P344" s="172"/>
      <c r="Q344" s="38" t="s">
        <v>852</v>
      </c>
      <c r="R344" s="38" t="s">
        <v>852</v>
      </c>
    </row>
    <row r="345" spans="1:20" ht="15.75" customHeight="1" x14ac:dyDescent="0.3">
      <c r="A345" s="256" t="s">
        <v>2333</v>
      </c>
      <c r="B345" s="172">
        <v>0</v>
      </c>
      <c r="C345" s="172">
        <v>0</v>
      </c>
      <c r="D345" s="172">
        <v>0</v>
      </c>
      <c r="E345" s="38">
        <f>SUM(B345:D345)</f>
        <v>0</v>
      </c>
      <c r="F345" s="172">
        <v>0</v>
      </c>
      <c r="G345" s="172">
        <v>0</v>
      </c>
      <c r="H345" s="172">
        <v>0</v>
      </c>
      <c r="I345" s="38">
        <f>SUM(F345:H345)</f>
        <v>0</v>
      </c>
      <c r="J345" s="172">
        <v>0</v>
      </c>
      <c r="K345" s="172">
        <v>0</v>
      </c>
      <c r="L345" s="172">
        <v>0</v>
      </c>
      <c r="M345" s="38">
        <f>SUM(J345:L345)</f>
        <v>0</v>
      </c>
      <c r="N345" s="172">
        <v>0</v>
      </c>
      <c r="O345" s="172">
        <v>0</v>
      </c>
      <c r="P345" s="172">
        <v>0</v>
      </c>
      <c r="Q345" s="38">
        <f>SUM(N345:P345)</f>
        <v>0</v>
      </c>
      <c r="R345" s="38">
        <f>+E345+I345+M345+Q345</f>
        <v>0</v>
      </c>
      <c r="T345" t="s">
        <v>2139</v>
      </c>
    </row>
    <row r="346" spans="1:20" ht="15.75" customHeight="1" x14ac:dyDescent="0.3">
      <c r="A346" s="256" t="s">
        <v>30</v>
      </c>
      <c r="B346" s="172">
        <v>4</v>
      </c>
      <c r="C346" s="172">
        <v>4</v>
      </c>
      <c r="D346" s="172">
        <v>6</v>
      </c>
      <c r="E346" s="38">
        <f>SUM(B346:D346)</f>
        <v>14</v>
      </c>
      <c r="F346" s="172">
        <v>3</v>
      </c>
      <c r="G346" s="172">
        <v>10</v>
      </c>
      <c r="H346" s="172">
        <v>8</v>
      </c>
      <c r="I346" s="38">
        <f>SUM(F346:H346)</f>
        <v>21</v>
      </c>
      <c r="J346" s="172">
        <v>6</v>
      </c>
      <c r="K346" s="172">
        <v>2</v>
      </c>
      <c r="L346" s="172">
        <v>0</v>
      </c>
      <c r="M346" s="38">
        <f>SUM(J346:L346)</f>
        <v>8</v>
      </c>
      <c r="N346" s="172">
        <v>0</v>
      </c>
      <c r="O346" s="172">
        <v>0</v>
      </c>
      <c r="P346" s="172">
        <v>0</v>
      </c>
      <c r="Q346" s="38">
        <f>SUM(N346:P346)</f>
        <v>0</v>
      </c>
      <c r="R346" s="38">
        <f>+E346+I346+M346+Q346</f>
        <v>43</v>
      </c>
      <c r="T346" t="s">
        <v>2177</v>
      </c>
    </row>
    <row r="347" spans="1:20" ht="15.75" customHeight="1" x14ac:dyDescent="0.3">
      <c r="A347" s="234" t="s">
        <v>557</v>
      </c>
      <c r="B347" s="172"/>
      <c r="C347" s="172"/>
      <c r="D347" s="172"/>
      <c r="E347" s="38" t="s">
        <v>852</v>
      </c>
      <c r="F347" s="172"/>
      <c r="G347" s="172"/>
      <c r="H347" s="172"/>
      <c r="I347" s="38" t="s">
        <v>852</v>
      </c>
      <c r="J347" s="172"/>
      <c r="K347" s="172"/>
      <c r="L347" s="172"/>
      <c r="M347" s="38" t="s">
        <v>852</v>
      </c>
      <c r="N347" s="172"/>
      <c r="O347" s="172"/>
      <c r="P347" s="172"/>
      <c r="Q347" s="38" t="s">
        <v>852</v>
      </c>
      <c r="R347" s="38" t="s">
        <v>852</v>
      </c>
    </row>
    <row r="348" spans="1:20" ht="15.75" customHeight="1" x14ac:dyDescent="0.3">
      <c r="A348" s="256" t="s">
        <v>1100</v>
      </c>
      <c r="B348" s="172">
        <v>0</v>
      </c>
      <c r="C348" s="172">
        <v>0</v>
      </c>
      <c r="D348" s="172">
        <v>0</v>
      </c>
      <c r="E348" s="38">
        <f>SUM(B348:D348)</f>
        <v>0</v>
      </c>
      <c r="F348" s="172">
        <v>0</v>
      </c>
      <c r="G348" s="172">
        <v>0</v>
      </c>
      <c r="H348" s="172">
        <v>0</v>
      </c>
      <c r="I348" s="38">
        <f>SUM(F348:H348)</f>
        <v>0</v>
      </c>
      <c r="J348" s="172">
        <v>0</v>
      </c>
      <c r="K348" s="172">
        <v>0</v>
      </c>
      <c r="L348" s="172">
        <v>0</v>
      </c>
      <c r="M348" s="38">
        <f>SUM(J348:L348)</f>
        <v>0</v>
      </c>
      <c r="N348" s="172">
        <v>0</v>
      </c>
      <c r="O348" s="172">
        <v>0</v>
      </c>
      <c r="P348" s="172">
        <v>0</v>
      </c>
      <c r="Q348" s="38">
        <f>SUM(N348:P348)</f>
        <v>0</v>
      </c>
      <c r="R348" s="38">
        <f>+E348+I348+M348+Q348</f>
        <v>0</v>
      </c>
      <c r="T348" t="s">
        <v>1362</v>
      </c>
    </row>
    <row r="349" spans="1:20" ht="15.75" customHeight="1" x14ac:dyDescent="0.3">
      <c r="A349" s="256" t="s">
        <v>978</v>
      </c>
      <c r="B349" s="172">
        <v>0</v>
      </c>
      <c r="C349" s="172">
        <v>0</v>
      </c>
      <c r="D349" s="172">
        <v>0</v>
      </c>
      <c r="E349" s="38">
        <f>SUM(B349:D349)</f>
        <v>0</v>
      </c>
      <c r="F349" s="172">
        <v>0</v>
      </c>
      <c r="G349" s="172">
        <v>0</v>
      </c>
      <c r="H349" s="172">
        <v>0</v>
      </c>
      <c r="I349" s="38">
        <f>SUM(F349:H349)</f>
        <v>0</v>
      </c>
      <c r="J349" s="172">
        <v>0</v>
      </c>
      <c r="K349" s="172">
        <v>0</v>
      </c>
      <c r="L349" s="172">
        <v>0</v>
      </c>
      <c r="M349" s="38">
        <f>SUM(J349:L349)</f>
        <v>0</v>
      </c>
      <c r="N349" s="172">
        <v>0</v>
      </c>
      <c r="O349" s="172">
        <v>0</v>
      </c>
      <c r="P349" s="172">
        <v>0</v>
      </c>
      <c r="Q349" s="38">
        <f>SUM(N349:P349)</f>
        <v>0</v>
      </c>
      <c r="R349" s="38">
        <f>+E349+I349+M349+Q349</f>
        <v>0</v>
      </c>
      <c r="T349" t="s">
        <v>2175</v>
      </c>
    </row>
    <row r="350" spans="1:20" ht="15.75" customHeight="1" x14ac:dyDescent="0.3">
      <c r="A350" s="234" t="s">
        <v>558</v>
      </c>
      <c r="B350" s="172"/>
      <c r="C350" s="172"/>
      <c r="D350" s="172"/>
      <c r="E350" s="38" t="s">
        <v>852</v>
      </c>
      <c r="F350" s="172"/>
      <c r="G350" s="172"/>
      <c r="H350" s="172"/>
      <c r="I350" s="38" t="s">
        <v>852</v>
      </c>
      <c r="J350" s="172"/>
      <c r="K350" s="172"/>
      <c r="L350" s="172"/>
      <c r="M350" s="38" t="s">
        <v>852</v>
      </c>
      <c r="N350" s="172"/>
      <c r="O350" s="172"/>
      <c r="P350" s="172"/>
      <c r="Q350" s="38" t="s">
        <v>852</v>
      </c>
      <c r="R350" s="38" t="s">
        <v>852</v>
      </c>
    </row>
    <row r="351" spans="1:20" ht="15.75" customHeight="1" x14ac:dyDescent="0.3">
      <c r="A351" s="256" t="s">
        <v>2486</v>
      </c>
      <c r="B351" s="172">
        <v>0</v>
      </c>
      <c r="C351" s="172">
        <v>0</v>
      </c>
      <c r="D351" s="172">
        <v>0</v>
      </c>
      <c r="E351" s="38">
        <f t="shared" ref="E351:E357" si="74">SUM(B351:D351)</f>
        <v>0</v>
      </c>
      <c r="F351" s="172">
        <v>0</v>
      </c>
      <c r="G351" s="172">
        <v>0</v>
      </c>
      <c r="H351" s="172">
        <v>0</v>
      </c>
      <c r="I351" s="38">
        <f t="shared" ref="I351:I357" si="75">SUM(F351:H351)</f>
        <v>0</v>
      </c>
      <c r="J351" s="172">
        <v>3779</v>
      </c>
      <c r="K351" s="172">
        <v>5894</v>
      </c>
      <c r="L351" s="172">
        <v>5049</v>
      </c>
      <c r="M351" s="38">
        <f t="shared" ref="M351:M357" si="76">SUM(J351:L351)</f>
        <v>14722</v>
      </c>
      <c r="N351" s="172">
        <v>3478</v>
      </c>
      <c r="O351" s="172">
        <v>1800</v>
      </c>
      <c r="P351" s="172">
        <v>0</v>
      </c>
      <c r="Q351" s="38">
        <f t="shared" ref="Q351:Q357" si="77">SUM(N351:P351)</f>
        <v>5278</v>
      </c>
      <c r="R351" s="38">
        <f t="shared" ref="R351:R357" si="78">+E351+I351+M351+Q351</f>
        <v>20000</v>
      </c>
      <c r="T351" t="s">
        <v>2178</v>
      </c>
    </row>
    <row r="352" spans="1:20" ht="15.75" customHeight="1" x14ac:dyDescent="0.3">
      <c r="A352" s="256" t="s">
        <v>1866</v>
      </c>
      <c r="B352" s="172">
        <v>0</v>
      </c>
      <c r="C352" s="172">
        <v>0</v>
      </c>
      <c r="D352" s="172">
        <v>0</v>
      </c>
      <c r="E352" s="38">
        <f t="shared" si="74"/>
        <v>0</v>
      </c>
      <c r="F352" s="172">
        <v>0</v>
      </c>
      <c r="G352" s="172">
        <v>0</v>
      </c>
      <c r="H352" s="172">
        <v>1000</v>
      </c>
      <c r="I352" s="38">
        <f t="shared" si="75"/>
        <v>1000</v>
      </c>
      <c r="J352" s="172">
        <v>0</v>
      </c>
      <c r="K352" s="172">
        <v>0</v>
      </c>
      <c r="L352" s="172">
        <v>0</v>
      </c>
      <c r="M352" s="38">
        <f t="shared" si="76"/>
        <v>0</v>
      </c>
      <c r="N352" s="172">
        <v>0</v>
      </c>
      <c r="O352" s="172">
        <v>0</v>
      </c>
      <c r="P352" s="172">
        <v>0</v>
      </c>
      <c r="Q352" s="38">
        <f t="shared" si="77"/>
        <v>0</v>
      </c>
      <c r="R352" s="38">
        <f t="shared" si="78"/>
        <v>1000</v>
      </c>
      <c r="T352" t="s">
        <v>2175</v>
      </c>
    </row>
    <row r="353" spans="1:20" ht="15.75" customHeight="1" x14ac:dyDescent="0.3">
      <c r="A353" s="266" t="s">
        <v>1146</v>
      </c>
      <c r="B353" s="172">
        <v>319</v>
      </c>
      <c r="C353" s="172">
        <v>0</v>
      </c>
      <c r="D353" s="172">
        <v>2189</v>
      </c>
      <c r="E353" s="38">
        <f>SUM(B353:D353)</f>
        <v>2508</v>
      </c>
      <c r="F353" s="172">
        <v>3335</v>
      </c>
      <c r="G353" s="172">
        <v>1072</v>
      </c>
      <c r="H353" s="172">
        <v>2077</v>
      </c>
      <c r="I353" s="38">
        <f>SUM(F353:H353)</f>
        <v>6484</v>
      </c>
      <c r="J353" s="172">
        <v>2467</v>
      </c>
      <c r="K353" s="172">
        <v>4774</v>
      </c>
      <c r="L353" s="172">
        <v>1767</v>
      </c>
      <c r="M353" s="38">
        <f>SUM(J353:L353)</f>
        <v>9008</v>
      </c>
      <c r="N353" s="172">
        <v>0</v>
      </c>
      <c r="O353" s="172">
        <v>0</v>
      </c>
      <c r="P353" s="172">
        <v>0</v>
      </c>
      <c r="Q353" s="38">
        <f>SUM(N353:P353)</f>
        <v>0</v>
      </c>
      <c r="R353" s="38">
        <f>+E353+I353+M353+Q353</f>
        <v>18000</v>
      </c>
      <c r="T353" t="s">
        <v>1427</v>
      </c>
    </row>
    <row r="354" spans="1:20" ht="15.75" customHeight="1" x14ac:dyDescent="0.3">
      <c r="A354" s="442" t="s">
        <v>1681</v>
      </c>
      <c r="B354" s="443">
        <v>0</v>
      </c>
      <c r="C354" s="443">
        <v>0</v>
      </c>
      <c r="D354" s="443">
        <v>0</v>
      </c>
      <c r="E354" s="444">
        <f>SUM(B354:D354)</f>
        <v>0</v>
      </c>
      <c r="F354" s="443">
        <v>0</v>
      </c>
      <c r="G354" s="443">
        <v>0</v>
      </c>
      <c r="H354" s="443">
        <v>0</v>
      </c>
      <c r="I354" s="444">
        <f>SUM(F354:H354)</f>
        <v>0</v>
      </c>
      <c r="J354" s="443">
        <v>0</v>
      </c>
      <c r="K354" s="443">
        <v>0</v>
      </c>
      <c r="L354" s="443">
        <v>682</v>
      </c>
      <c r="M354" s="444">
        <f>SUM(J354:L354)</f>
        <v>682</v>
      </c>
      <c r="N354" s="443">
        <v>4979</v>
      </c>
      <c r="O354" s="443">
        <v>339</v>
      </c>
      <c r="P354" s="443">
        <v>0</v>
      </c>
      <c r="Q354" s="444">
        <f>SUM(N354:P354)</f>
        <v>5318</v>
      </c>
      <c r="R354" s="444">
        <f>+E354+I354+M354+Q354</f>
        <v>6000</v>
      </c>
      <c r="T354" t="s">
        <v>294</v>
      </c>
    </row>
    <row r="355" spans="1:20" ht="15.75" customHeight="1" x14ac:dyDescent="0.3">
      <c r="A355" s="256" t="s">
        <v>615</v>
      </c>
      <c r="B355" s="172">
        <v>0</v>
      </c>
      <c r="C355" s="172">
        <v>0</v>
      </c>
      <c r="D355" s="172">
        <v>0</v>
      </c>
      <c r="E355" s="38">
        <f>SUM(B355:D355)</f>
        <v>0</v>
      </c>
      <c r="F355" s="172">
        <v>0</v>
      </c>
      <c r="G355" s="172">
        <v>0</v>
      </c>
      <c r="H355" s="172">
        <v>924</v>
      </c>
      <c r="I355" s="38">
        <f>SUM(F355:H355)</f>
        <v>924</v>
      </c>
      <c r="J355" s="172">
        <v>3550</v>
      </c>
      <c r="K355" s="172">
        <v>2526</v>
      </c>
      <c r="L355" s="172">
        <v>0</v>
      </c>
      <c r="M355" s="38">
        <f>SUM(J355:L355)</f>
        <v>6076</v>
      </c>
      <c r="N355" s="172">
        <v>0</v>
      </c>
      <c r="O355" s="172">
        <v>0</v>
      </c>
      <c r="P355" s="172">
        <v>0</v>
      </c>
      <c r="Q355" s="38">
        <f>SUM(N355:P355)</f>
        <v>0</v>
      </c>
      <c r="R355" s="38">
        <f>+E355+I355+M355+Q355</f>
        <v>7000</v>
      </c>
      <c r="T355" t="s">
        <v>2175</v>
      </c>
    </row>
    <row r="356" spans="1:20" ht="15.75" customHeight="1" x14ac:dyDescent="0.3">
      <c r="A356" s="256" t="s">
        <v>2393</v>
      </c>
      <c r="B356" s="172">
        <v>0</v>
      </c>
      <c r="C356" s="172">
        <v>0</v>
      </c>
      <c r="D356" s="172">
        <v>0</v>
      </c>
      <c r="E356" s="38">
        <f t="shared" si="74"/>
        <v>0</v>
      </c>
      <c r="F356" s="172">
        <v>875</v>
      </c>
      <c r="G356" s="172">
        <v>5802</v>
      </c>
      <c r="H356" s="172">
        <v>7208</v>
      </c>
      <c r="I356" s="38">
        <f t="shared" si="75"/>
        <v>13885</v>
      </c>
      <c r="J356" s="172">
        <v>2115</v>
      </c>
      <c r="K356" s="172">
        <v>0</v>
      </c>
      <c r="L356" s="172">
        <v>0</v>
      </c>
      <c r="M356" s="38">
        <f t="shared" si="76"/>
        <v>2115</v>
      </c>
      <c r="N356" s="172">
        <v>0</v>
      </c>
      <c r="O356" s="172">
        <v>0</v>
      </c>
      <c r="P356" s="172">
        <v>0</v>
      </c>
      <c r="Q356" s="38">
        <f t="shared" si="77"/>
        <v>0</v>
      </c>
      <c r="R356" s="38">
        <f t="shared" si="78"/>
        <v>16000</v>
      </c>
      <c r="T356" t="s">
        <v>2178</v>
      </c>
    </row>
    <row r="357" spans="1:20" ht="15.75" customHeight="1" x14ac:dyDescent="0.3">
      <c r="A357" s="256" t="s">
        <v>540</v>
      </c>
      <c r="B357" s="172">
        <v>318</v>
      </c>
      <c r="C357" s="172">
        <v>0</v>
      </c>
      <c r="D357" s="172">
        <v>2189</v>
      </c>
      <c r="E357" s="38">
        <f t="shared" si="74"/>
        <v>2507</v>
      </c>
      <c r="F357" s="172">
        <v>3334</v>
      </c>
      <c r="G357" s="172">
        <v>1072</v>
      </c>
      <c r="H357" s="172">
        <v>2076</v>
      </c>
      <c r="I357" s="38">
        <f t="shared" si="75"/>
        <v>6482</v>
      </c>
      <c r="J357" s="172">
        <v>12602</v>
      </c>
      <c r="K357" s="172">
        <v>12638</v>
      </c>
      <c r="L357" s="172">
        <v>7342</v>
      </c>
      <c r="M357" s="38">
        <f t="shared" si="76"/>
        <v>32582</v>
      </c>
      <c r="N357" s="172">
        <v>4999</v>
      </c>
      <c r="O357" s="172">
        <v>2081</v>
      </c>
      <c r="P357" s="172">
        <v>1944</v>
      </c>
      <c r="Q357" s="38">
        <f t="shared" si="77"/>
        <v>9024</v>
      </c>
      <c r="R357" s="38">
        <f t="shared" si="78"/>
        <v>50595</v>
      </c>
      <c r="T357" s="230" t="s">
        <v>1737</v>
      </c>
    </row>
    <row r="358" spans="1:20" ht="15.75" customHeight="1" x14ac:dyDescent="0.3">
      <c r="A358" s="234" t="s">
        <v>559</v>
      </c>
      <c r="B358" s="172"/>
      <c r="C358" s="172"/>
      <c r="D358" s="172"/>
      <c r="E358" s="38" t="s">
        <v>852</v>
      </c>
      <c r="F358" s="172"/>
      <c r="G358" s="172"/>
      <c r="H358" s="172"/>
      <c r="I358" s="38" t="s">
        <v>852</v>
      </c>
      <c r="J358" s="172"/>
      <c r="K358" s="172"/>
      <c r="L358" s="172"/>
      <c r="M358" s="38" t="s">
        <v>852</v>
      </c>
      <c r="N358" s="172"/>
      <c r="O358" s="172"/>
      <c r="P358" s="172"/>
      <c r="Q358" s="38" t="s">
        <v>852</v>
      </c>
      <c r="R358" s="38" t="s">
        <v>852</v>
      </c>
    </row>
    <row r="359" spans="1:20" ht="15.75" customHeight="1" x14ac:dyDescent="0.3">
      <c r="A359" s="256" t="s">
        <v>1056</v>
      </c>
      <c r="B359" s="172">
        <v>0</v>
      </c>
      <c r="C359" s="172">
        <v>0</v>
      </c>
      <c r="D359" s="172">
        <v>0</v>
      </c>
      <c r="E359" s="38">
        <f>SUM(B359:D359)</f>
        <v>0</v>
      </c>
      <c r="F359" s="172">
        <v>0</v>
      </c>
      <c r="G359" s="172">
        <v>0</v>
      </c>
      <c r="H359" s="172">
        <v>0</v>
      </c>
      <c r="I359" s="38">
        <f>SUM(F359:H359)</f>
        <v>0</v>
      </c>
      <c r="J359" s="172">
        <v>0</v>
      </c>
      <c r="K359" s="172">
        <v>2893</v>
      </c>
      <c r="L359" s="172">
        <v>744</v>
      </c>
      <c r="M359" s="38">
        <f>SUM(J359:L359)</f>
        <v>3637</v>
      </c>
      <c r="N359" s="172">
        <v>211</v>
      </c>
      <c r="O359" s="172">
        <v>0</v>
      </c>
      <c r="P359" s="172">
        <v>582</v>
      </c>
      <c r="Q359" s="38">
        <f>SUM(N359:P359)</f>
        <v>793</v>
      </c>
      <c r="R359" s="38">
        <f>+E359+I359+M359+Q359</f>
        <v>4430</v>
      </c>
      <c r="T359" t="s">
        <v>2174</v>
      </c>
    </row>
    <row r="360" spans="1:20" ht="15.75" customHeight="1" x14ac:dyDescent="0.3">
      <c r="A360" s="256" t="s">
        <v>1989</v>
      </c>
      <c r="B360" s="172">
        <v>0</v>
      </c>
      <c r="C360" s="172">
        <v>0</v>
      </c>
      <c r="D360" s="172">
        <v>0</v>
      </c>
      <c r="E360" s="38">
        <f>SUM(B360:D360)</f>
        <v>0</v>
      </c>
      <c r="F360" s="172">
        <v>0</v>
      </c>
      <c r="G360" s="172">
        <v>0</v>
      </c>
      <c r="H360" s="172">
        <v>0</v>
      </c>
      <c r="I360" s="38">
        <f>SUM(F360:H360)</f>
        <v>0</v>
      </c>
      <c r="J360" s="172">
        <v>0</v>
      </c>
      <c r="K360" s="172">
        <v>0</v>
      </c>
      <c r="L360" s="172">
        <v>0</v>
      </c>
      <c r="M360" s="38">
        <f>SUM(J360:L360)</f>
        <v>0</v>
      </c>
      <c r="N360" s="172">
        <v>0</v>
      </c>
      <c r="O360" s="172">
        <v>0</v>
      </c>
      <c r="P360" s="172">
        <v>0</v>
      </c>
      <c r="Q360" s="38">
        <f>SUM(N360:P360)</f>
        <v>0</v>
      </c>
      <c r="R360" s="38">
        <f>+E360+I360+M360+Q360</f>
        <v>0</v>
      </c>
      <c r="T360" t="s">
        <v>2174</v>
      </c>
    </row>
    <row r="361" spans="1:20" ht="15.75" customHeight="1" x14ac:dyDescent="0.3">
      <c r="A361" s="256" t="s">
        <v>892</v>
      </c>
      <c r="B361" s="172">
        <v>0</v>
      </c>
      <c r="C361" s="172">
        <v>0</v>
      </c>
      <c r="D361" s="172">
        <v>0</v>
      </c>
      <c r="E361" s="38">
        <f t="shared" ref="E361:E373" si="79">SUM(B361:D361)</f>
        <v>0</v>
      </c>
      <c r="F361" s="172">
        <v>0</v>
      </c>
      <c r="G361" s="172">
        <v>0</v>
      </c>
      <c r="H361" s="172">
        <v>0</v>
      </c>
      <c r="I361" s="38">
        <f t="shared" ref="I361:I373" si="80">SUM(F361:H361)</f>
        <v>0</v>
      </c>
      <c r="J361" s="172">
        <v>0</v>
      </c>
      <c r="K361" s="172">
        <v>0</v>
      </c>
      <c r="L361" s="172">
        <v>0</v>
      </c>
      <c r="M361" s="38">
        <f t="shared" ref="M361:M373" si="81">SUM(J361:L361)</f>
        <v>0</v>
      </c>
      <c r="N361" s="172">
        <v>0</v>
      </c>
      <c r="O361" s="172">
        <v>0</v>
      </c>
      <c r="P361" s="172">
        <v>0</v>
      </c>
      <c r="Q361" s="38">
        <f t="shared" ref="Q361:Q373" si="82">SUM(N361:P361)</f>
        <v>0</v>
      </c>
      <c r="R361" s="38">
        <f t="shared" ref="R361:R373" si="83">+E361+I361+M361+Q361</f>
        <v>0</v>
      </c>
      <c r="T361" t="s">
        <v>2175</v>
      </c>
    </row>
    <row r="362" spans="1:20" ht="15.75" customHeight="1" x14ac:dyDescent="0.3">
      <c r="A362" s="256" t="s">
        <v>1812</v>
      </c>
      <c r="B362" s="172">
        <v>184</v>
      </c>
      <c r="C362" s="172">
        <v>0</v>
      </c>
      <c r="D362" s="172">
        <v>0</v>
      </c>
      <c r="E362" s="38">
        <f>SUM(B362:D362)</f>
        <v>184</v>
      </c>
      <c r="F362" s="172">
        <v>0</v>
      </c>
      <c r="G362" s="172">
        <v>0</v>
      </c>
      <c r="H362" s="172">
        <v>6315</v>
      </c>
      <c r="I362" s="38">
        <f>SUM(F362:H362)</f>
        <v>6315</v>
      </c>
      <c r="J362" s="172">
        <v>5062</v>
      </c>
      <c r="K362" s="172">
        <v>15698</v>
      </c>
      <c r="L362" s="172">
        <v>9067</v>
      </c>
      <c r="M362" s="38">
        <f>SUM(J362:L362)</f>
        <v>29827</v>
      </c>
      <c r="N362" s="172">
        <v>0</v>
      </c>
      <c r="O362" s="172">
        <v>0</v>
      </c>
      <c r="P362" s="172">
        <v>0</v>
      </c>
      <c r="Q362" s="38">
        <f>SUM(N362:P362)</f>
        <v>0</v>
      </c>
      <c r="R362" s="38">
        <f>+E362+I362+M362+Q362</f>
        <v>36326</v>
      </c>
      <c r="T362" t="s">
        <v>2176</v>
      </c>
    </row>
    <row r="363" spans="1:20" ht="15.75" customHeight="1" x14ac:dyDescent="0.3">
      <c r="A363" s="256" t="s">
        <v>1140</v>
      </c>
      <c r="B363" s="172">
        <v>704</v>
      </c>
      <c r="C363" s="172">
        <v>2865</v>
      </c>
      <c r="D363" s="172">
        <v>4374</v>
      </c>
      <c r="E363" s="38">
        <f t="shared" si="79"/>
        <v>7943</v>
      </c>
      <c r="F363" s="172">
        <v>1600</v>
      </c>
      <c r="G363" s="172">
        <v>0</v>
      </c>
      <c r="H363" s="172">
        <v>0</v>
      </c>
      <c r="I363" s="38">
        <f t="shared" si="80"/>
        <v>1600</v>
      </c>
      <c r="J363" s="172">
        <v>0</v>
      </c>
      <c r="K363" s="172">
        <v>1111</v>
      </c>
      <c r="L363" s="172">
        <v>5243</v>
      </c>
      <c r="M363" s="38">
        <f t="shared" si="81"/>
        <v>6354</v>
      </c>
      <c r="N363" s="172">
        <v>0</v>
      </c>
      <c r="O363" s="172">
        <v>872</v>
      </c>
      <c r="P363" s="172">
        <v>1756</v>
      </c>
      <c r="Q363" s="38">
        <f t="shared" si="82"/>
        <v>2628</v>
      </c>
      <c r="R363" s="38">
        <f t="shared" si="83"/>
        <v>18525</v>
      </c>
      <c r="T363" t="s">
        <v>294</v>
      </c>
    </row>
    <row r="364" spans="1:20" ht="15.75" customHeight="1" x14ac:dyDescent="0.3">
      <c r="A364" s="256" t="s">
        <v>1629</v>
      </c>
      <c r="B364" s="172">
        <v>0</v>
      </c>
      <c r="C364" s="172">
        <v>0</v>
      </c>
      <c r="D364" s="172">
        <v>0</v>
      </c>
      <c r="E364" s="38">
        <f>SUM(B364:D364)</f>
        <v>0</v>
      </c>
      <c r="F364" s="172">
        <v>0</v>
      </c>
      <c r="G364" s="172">
        <v>0</v>
      </c>
      <c r="H364" s="172">
        <v>0</v>
      </c>
      <c r="I364" s="38">
        <f>SUM(F364:H364)</f>
        <v>0</v>
      </c>
      <c r="J364" s="172">
        <v>0</v>
      </c>
      <c r="K364" s="172">
        <v>0</v>
      </c>
      <c r="L364" s="172">
        <v>0</v>
      </c>
      <c r="M364" s="38">
        <f>SUM(J364:L364)</f>
        <v>0</v>
      </c>
      <c r="N364" s="172">
        <v>0</v>
      </c>
      <c r="O364" s="172">
        <v>0</v>
      </c>
      <c r="P364" s="172">
        <v>0</v>
      </c>
      <c r="Q364" s="38">
        <f>SUM(N364:P364)</f>
        <v>0</v>
      </c>
      <c r="R364" s="38">
        <f>+E364+I364+M364+Q364</f>
        <v>0</v>
      </c>
      <c r="T364" t="s">
        <v>294</v>
      </c>
    </row>
    <row r="365" spans="1:20" ht="15.75" customHeight="1" x14ac:dyDescent="0.3">
      <c r="A365" s="256" t="s">
        <v>1141</v>
      </c>
      <c r="B365" s="172">
        <v>1530</v>
      </c>
      <c r="C365" s="172">
        <v>2530</v>
      </c>
      <c r="D365" s="172">
        <v>3650</v>
      </c>
      <c r="E365" s="38">
        <f>SUM(B365:D365)</f>
        <v>7710</v>
      </c>
      <c r="F365" s="172">
        <v>4100</v>
      </c>
      <c r="G365" s="172">
        <v>3100</v>
      </c>
      <c r="H365" s="172">
        <v>0</v>
      </c>
      <c r="I365" s="38">
        <f>SUM(F365:H365)</f>
        <v>7200</v>
      </c>
      <c r="J365" s="172">
        <v>0</v>
      </c>
      <c r="K365" s="172">
        <v>5200</v>
      </c>
      <c r="L365" s="172">
        <v>5910</v>
      </c>
      <c r="M365" s="38">
        <f>SUM(J365:L365)</f>
        <v>11110</v>
      </c>
      <c r="N365" s="172">
        <v>8300</v>
      </c>
      <c r="O365" s="172">
        <v>5329</v>
      </c>
      <c r="P365" s="172">
        <v>2215</v>
      </c>
      <c r="Q365" s="38">
        <f>SUM(N365:P365)</f>
        <v>15844</v>
      </c>
      <c r="R365" s="38">
        <f>+E365+I365+M365+Q365</f>
        <v>41864</v>
      </c>
      <c r="T365" t="s">
        <v>2174</v>
      </c>
    </row>
    <row r="366" spans="1:20" ht="15.75" customHeight="1" x14ac:dyDescent="0.3">
      <c r="A366" s="256" t="s">
        <v>1797</v>
      </c>
      <c r="B366" s="172">
        <v>0</v>
      </c>
      <c r="C366" s="172">
        <v>0</v>
      </c>
      <c r="D366" s="172">
        <v>0</v>
      </c>
      <c r="E366" s="38">
        <f>SUM(B366:D366)</f>
        <v>0</v>
      </c>
      <c r="F366" s="172">
        <v>0</v>
      </c>
      <c r="G366" s="172">
        <v>0</v>
      </c>
      <c r="H366" s="172">
        <v>0</v>
      </c>
      <c r="I366" s="38">
        <f>SUM(F366:H366)</f>
        <v>0</v>
      </c>
      <c r="J366" s="172">
        <v>0</v>
      </c>
      <c r="K366" s="172">
        <v>0</v>
      </c>
      <c r="L366" s="172">
        <v>0</v>
      </c>
      <c r="M366" s="38">
        <f>SUM(J366:L366)</f>
        <v>0</v>
      </c>
      <c r="N366" s="172">
        <v>0</v>
      </c>
      <c r="O366" s="172">
        <v>0</v>
      </c>
      <c r="P366" s="172">
        <v>0</v>
      </c>
      <c r="Q366" s="38">
        <f>SUM(N366:P366)</f>
        <v>0</v>
      </c>
      <c r="R366" s="38">
        <f>+E366+I366+M366+Q366</f>
        <v>0</v>
      </c>
      <c r="T366" t="s">
        <v>2174</v>
      </c>
    </row>
    <row r="367" spans="1:20" ht="15.75" customHeight="1" thickBot="1" x14ac:dyDescent="0.35">
      <c r="A367" s="256" t="s">
        <v>96</v>
      </c>
      <c r="B367" s="10">
        <v>0</v>
      </c>
      <c r="C367" s="10">
        <v>0</v>
      </c>
      <c r="D367" s="10">
        <v>0</v>
      </c>
      <c r="E367" s="38">
        <f>SUM(B367:D367)</f>
        <v>0</v>
      </c>
      <c r="F367" s="10">
        <v>0</v>
      </c>
      <c r="G367" s="10">
        <v>0</v>
      </c>
      <c r="H367" s="10">
        <v>0</v>
      </c>
      <c r="I367" s="38">
        <f>SUM(F367:H367)</f>
        <v>0</v>
      </c>
      <c r="J367" s="10">
        <v>0</v>
      </c>
      <c r="K367" s="10">
        <v>597</v>
      </c>
      <c r="L367" s="10">
        <v>2064</v>
      </c>
      <c r="M367" s="38">
        <f>SUM(J367:L367)</f>
        <v>2661</v>
      </c>
      <c r="N367" s="10">
        <v>2171</v>
      </c>
      <c r="O367" s="10">
        <v>1094</v>
      </c>
      <c r="P367" s="10">
        <v>471</v>
      </c>
      <c r="Q367" s="38">
        <f>SUM(N367:P367)</f>
        <v>3736</v>
      </c>
      <c r="R367" s="38">
        <f>+E367+I367+M367+Q367</f>
        <v>6397</v>
      </c>
      <c r="T367" t="s">
        <v>2175</v>
      </c>
    </row>
    <row r="368" spans="1:20" ht="15.75" customHeight="1" thickBot="1" x14ac:dyDescent="0.35">
      <c r="A368" s="43" t="s">
        <v>1019</v>
      </c>
      <c r="B368" s="42">
        <f>SUM(B351:B367)</f>
        <v>3055</v>
      </c>
      <c r="C368" s="42">
        <f>SUM(C351:C367)</f>
        <v>5395</v>
      </c>
      <c r="D368" s="42">
        <f>SUM(D351:D367)</f>
        <v>12402</v>
      </c>
      <c r="E368" s="39">
        <f t="shared" si="79"/>
        <v>20852</v>
      </c>
      <c r="F368" s="42">
        <f>SUM(F351:F367)</f>
        <v>13244</v>
      </c>
      <c r="G368" s="42">
        <f>SUM(G351:G367)</f>
        <v>11046</v>
      </c>
      <c r="H368" s="42">
        <f>SUM(H351:H367)</f>
        <v>19600</v>
      </c>
      <c r="I368" s="39">
        <f t="shared" si="80"/>
        <v>43890</v>
      </c>
      <c r="J368" s="42">
        <f>SUM(J351:J367)</f>
        <v>29575</v>
      </c>
      <c r="K368" s="42">
        <f>SUM(K351:K367)</f>
        <v>51331</v>
      </c>
      <c r="L368" s="42">
        <f>SUM(L351:L367)</f>
        <v>37868</v>
      </c>
      <c r="M368" s="39">
        <f t="shared" si="81"/>
        <v>118774</v>
      </c>
      <c r="N368" s="42">
        <f>SUM(N351:N367)</f>
        <v>24138</v>
      </c>
      <c r="O368" s="42">
        <f>SUM(O351:O367)</f>
        <v>11515</v>
      </c>
      <c r="P368" s="42">
        <f>SUM(P351:P367)</f>
        <v>6968</v>
      </c>
      <c r="Q368" s="39">
        <f t="shared" si="82"/>
        <v>42621</v>
      </c>
      <c r="R368" s="37">
        <f t="shared" si="83"/>
        <v>226137</v>
      </c>
    </row>
    <row r="369" spans="1:20" ht="15.75" customHeight="1" thickBot="1" x14ac:dyDescent="0.35">
      <c r="A369" s="277" t="s">
        <v>1221</v>
      </c>
      <c r="B369" s="45">
        <f>SUM(B343:B367)</f>
        <v>3059</v>
      </c>
      <c r="C369" s="46">
        <f>SUM(C343:C367)</f>
        <v>5399</v>
      </c>
      <c r="D369" s="58">
        <f>SUM(D343:D367)</f>
        <v>12408</v>
      </c>
      <c r="E369" s="39">
        <f t="shared" si="79"/>
        <v>20866</v>
      </c>
      <c r="F369" s="46">
        <f>SUM(F343:F367)</f>
        <v>13247</v>
      </c>
      <c r="G369" s="46">
        <f>SUM(G343:G367)</f>
        <v>11056</v>
      </c>
      <c r="H369" s="46">
        <f>SUM(H343:H367)</f>
        <v>19608</v>
      </c>
      <c r="I369" s="39">
        <f t="shared" si="80"/>
        <v>43911</v>
      </c>
      <c r="J369" s="46">
        <f>SUM(J343:J367)</f>
        <v>29581</v>
      </c>
      <c r="K369" s="46">
        <f>SUM(K343:K367)</f>
        <v>51333</v>
      </c>
      <c r="L369" s="46">
        <f>SUM(L343:L367)</f>
        <v>37868</v>
      </c>
      <c r="M369" s="39">
        <f t="shared" si="81"/>
        <v>118782</v>
      </c>
      <c r="N369" s="46">
        <f>SUM(N343:N367)</f>
        <v>24138</v>
      </c>
      <c r="O369" s="46">
        <f>SUM(O343:O367)</f>
        <v>11515</v>
      </c>
      <c r="P369" s="46">
        <f>SUM(P343:P367)</f>
        <v>6968</v>
      </c>
      <c r="Q369" s="39">
        <f t="shared" si="82"/>
        <v>42621</v>
      </c>
      <c r="R369" s="37">
        <f t="shared" si="83"/>
        <v>226180</v>
      </c>
    </row>
    <row r="370" spans="1:20" ht="15.75" customHeight="1" thickBot="1" x14ac:dyDescent="0.35">
      <c r="A370" s="43" t="s">
        <v>1222</v>
      </c>
      <c r="B370" s="47">
        <f>+B306+B321+B342+B369</f>
        <v>13567</v>
      </c>
      <c r="C370" s="42">
        <f>+C306+C321+C342+C369</f>
        <v>18011</v>
      </c>
      <c r="D370" s="42">
        <f>+D306+D321+D342+D369</f>
        <v>61971</v>
      </c>
      <c r="E370" s="37">
        <f t="shared" si="79"/>
        <v>93549</v>
      </c>
      <c r="F370" s="42">
        <f>+F306+F321+F342+F369</f>
        <v>72758</v>
      </c>
      <c r="G370" s="42">
        <f>+G306+G321+G342+G369</f>
        <v>65269</v>
      </c>
      <c r="H370" s="42">
        <f>+H306+H321+H342+H369</f>
        <v>87182</v>
      </c>
      <c r="I370" s="37">
        <f t="shared" si="80"/>
        <v>225209</v>
      </c>
      <c r="J370" s="42">
        <f>+J306+J321+J342+J369</f>
        <v>71935</v>
      </c>
      <c r="K370" s="42">
        <f>+K306+K321+K342+K369</f>
        <v>89861</v>
      </c>
      <c r="L370" s="42">
        <f>+L306+L321+L342+L369</f>
        <v>59620</v>
      </c>
      <c r="M370" s="37">
        <f t="shared" si="81"/>
        <v>221416</v>
      </c>
      <c r="N370" s="42">
        <f>+N306+N321+N342+N369</f>
        <v>39789</v>
      </c>
      <c r="O370" s="42">
        <f>+O306+O321+O342+O369</f>
        <v>21284</v>
      </c>
      <c r="P370" s="42">
        <f>+P306+P321+P342+P369</f>
        <v>14334</v>
      </c>
      <c r="Q370" s="37">
        <f t="shared" si="82"/>
        <v>75407</v>
      </c>
      <c r="R370" s="40">
        <f t="shared" si="83"/>
        <v>615581</v>
      </c>
    </row>
    <row r="371" spans="1:20" ht="15.75" customHeight="1" x14ac:dyDescent="0.3">
      <c r="A371" s="266" t="s">
        <v>984</v>
      </c>
      <c r="B371" s="172">
        <v>0</v>
      </c>
      <c r="C371" s="172">
        <v>0</v>
      </c>
      <c r="D371" s="172">
        <v>0</v>
      </c>
      <c r="E371" s="38">
        <f t="shared" si="79"/>
        <v>0</v>
      </c>
      <c r="F371" s="172">
        <v>0</v>
      </c>
      <c r="G371" s="172">
        <v>0</v>
      </c>
      <c r="H371" s="172">
        <v>0</v>
      </c>
      <c r="I371" s="38">
        <f t="shared" si="80"/>
        <v>0</v>
      </c>
      <c r="J371" s="172">
        <v>0</v>
      </c>
      <c r="K371" s="172">
        <v>0</v>
      </c>
      <c r="L371" s="172">
        <v>0</v>
      </c>
      <c r="M371" s="38">
        <f t="shared" si="81"/>
        <v>0</v>
      </c>
      <c r="N371" s="172">
        <v>0</v>
      </c>
      <c r="O371" s="172">
        <v>0</v>
      </c>
      <c r="P371" s="172">
        <v>0</v>
      </c>
      <c r="Q371" s="38">
        <f t="shared" si="82"/>
        <v>0</v>
      </c>
      <c r="R371" s="38">
        <f t="shared" si="83"/>
        <v>0</v>
      </c>
      <c r="T371" s="355" t="s">
        <v>72</v>
      </c>
    </row>
    <row r="372" spans="1:20" ht="15.75" customHeight="1" x14ac:dyDescent="0.3">
      <c r="A372" s="266" t="s">
        <v>1672</v>
      </c>
      <c r="B372" s="172">
        <v>0</v>
      </c>
      <c r="C372" s="172">
        <v>1000</v>
      </c>
      <c r="D372" s="172">
        <v>0</v>
      </c>
      <c r="E372" s="38">
        <f t="shared" si="79"/>
        <v>1000</v>
      </c>
      <c r="F372" s="172">
        <v>0</v>
      </c>
      <c r="G372" s="172">
        <v>0</v>
      </c>
      <c r="H372" s="172">
        <v>0</v>
      </c>
      <c r="I372" s="38">
        <f t="shared" si="80"/>
        <v>0</v>
      </c>
      <c r="J372" s="172">
        <v>0</v>
      </c>
      <c r="K372" s="172">
        <v>0</v>
      </c>
      <c r="L372" s="172">
        <v>1500</v>
      </c>
      <c r="M372" s="38">
        <f t="shared" si="81"/>
        <v>1500</v>
      </c>
      <c r="N372" s="172">
        <v>500</v>
      </c>
      <c r="O372" s="172">
        <v>0</v>
      </c>
      <c r="P372" s="172">
        <v>0</v>
      </c>
      <c r="Q372" s="38">
        <f t="shared" si="82"/>
        <v>500</v>
      </c>
      <c r="R372" s="38">
        <f t="shared" si="83"/>
        <v>3000</v>
      </c>
      <c r="T372" t="s">
        <v>2174</v>
      </c>
    </row>
    <row r="373" spans="1:20" ht="15.75" customHeight="1" thickBot="1" x14ac:dyDescent="0.35">
      <c r="A373" s="257" t="s">
        <v>853</v>
      </c>
      <c r="B373" s="238">
        <v>155</v>
      </c>
      <c r="C373" s="238">
        <v>283</v>
      </c>
      <c r="D373" s="238">
        <v>435</v>
      </c>
      <c r="E373" s="40">
        <f t="shared" si="79"/>
        <v>873</v>
      </c>
      <c r="F373" s="238">
        <v>602</v>
      </c>
      <c r="G373" s="238">
        <v>711</v>
      </c>
      <c r="H373" s="238">
        <v>722</v>
      </c>
      <c r="I373" s="40">
        <f t="shared" si="80"/>
        <v>2035</v>
      </c>
      <c r="J373" s="238">
        <v>686</v>
      </c>
      <c r="K373" s="238">
        <v>519</v>
      </c>
      <c r="L373" s="238">
        <v>531</v>
      </c>
      <c r="M373" s="40">
        <f t="shared" si="81"/>
        <v>1736</v>
      </c>
      <c r="N373" s="238">
        <v>489</v>
      </c>
      <c r="O373" s="238">
        <v>389</v>
      </c>
      <c r="P373" s="238">
        <v>275</v>
      </c>
      <c r="Q373" s="40">
        <f t="shared" si="82"/>
        <v>1153</v>
      </c>
      <c r="R373" s="38">
        <f t="shared" si="83"/>
        <v>5797</v>
      </c>
    </row>
    <row r="374" spans="1:20" ht="15.75" customHeight="1" thickBot="1" x14ac:dyDescent="0.35">
      <c r="A374" s="44"/>
      <c r="B374" s="258"/>
      <c r="C374" s="258"/>
      <c r="D374" s="258"/>
      <c r="E374" s="37"/>
      <c r="F374" s="258"/>
      <c r="G374" s="258"/>
      <c r="H374" s="258"/>
      <c r="I374" s="37"/>
      <c r="J374" s="258"/>
      <c r="K374" s="258"/>
      <c r="L374" s="258"/>
      <c r="M374" s="37"/>
      <c r="N374" s="258"/>
      <c r="O374" s="258"/>
      <c r="P374" s="258"/>
      <c r="Q374" s="37"/>
      <c r="R374" s="37" t="s">
        <v>852</v>
      </c>
    </row>
    <row r="375" spans="1:20" ht="15.75" customHeight="1" x14ac:dyDescent="0.3">
      <c r="A375" s="259" t="s">
        <v>2011</v>
      </c>
      <c r="B375" s="260">
        <f>SUM(B370:B373)</f>
        <v>13722</v>
      </c>
      <c r="C375" s="260">
        <f>SUM(C370:C373)</f>
        <v>19294</v>
      </c>
      <c r="D375" s="260">
        <f>SUM(D370:D373)</f>
        <v>62406</v>
      </c>
      <c r="E375" s="39">
        <f>SUM(B375:D375)</f>
        <v>95422</v>
      </c>
      <c r="F375" s="260">
        <f>SUM(F370:F373)</f>
        <v>73360</v>
      </c>
      <c r="G375" s="260">
        <f>SUM(G370:G373)</f>
        <v>65980</v>
      </c>
      <c r="H375" s="260">
        <f>SUM(H370:H373)</f>
        <v>87904</v>
      </c>
      <c r="I375" s="39">
        <f>SUM(F375:H375)</f>
        <v>227244</v>
      </c>
      <c r="J375" s="260">
        <f>SUM(J370:J373)</f>
        <v>72621</v>
      </c>
      <c r="K375" s="260">
        <f>SUM(K370:K373)</f>
        <v>90380</v>
      </c>
      <c r="L375" s="260">
        <f>SUM(L370:L373)</f>
        <v>61651</v>
      </c>
      <c r="M375" s="39">
        <f>SUM(J375:L375)</f>
        <v>224652</v>
      </c>
      <c r="N375" s="260">
        <f>SUM(N370:N373)</f>
        <v>40778</v>
      </c>
      <c r="O375" s="260">
        <f>SUM(O370:O373)</f>
        <v>21673</v>
      </c>
      <c r="P375" s="260">
        <f>SUM(P370:P373)</f>
        <v>14609</v>
      </c>
      <c r="Q375" s="39">
        <f>SUM(N375:P375)</f>
        <v>77060</v>
      </c>
      <c r="R375" s="39">
        <f>+E375+I375+M375+Q375</f>
        <v>624378</v>
      </c>
    </row>
    <row r="376" spans="1:20" ht="15.75" customHeight="1" x14ac:dyDescent="0.3">
      <c r="A376" s="262" t="s">
        <v>1897</v>
      </c>
      <c r="B376" s="172">
        <f>(B375/31)/1.983</f>
        <v>223.21995022204868</v>
      </c>
      <c r="C376" s="172">
        <f>(C375/28)/1.983</f>
        <v>347.48937396441175</v>
      </c>
      <c r="D376" s="172">
        <f>(D375/31)/1.983</f>
        <v>1015.1773949538821</v>
      </c>
      <c r="E376" s="38" t="s">
        <v>852</v>
      </c>
      <c r="F376" s="172">
        <f>(F375/30)/1.983</f>
        <v>1233.1484283072787</v>
      </c>
      <c r="G376" s="172">
        <f>(G375/31)/1.983</f>
        <v>1073.3167406829014</v>
      </c>
      <c r="H376" s="172">
        <f>(H375/30)/1.983</f>
        <v>1477.6264918473692</v>
      </c>
      <c r="I376" s="38" t="s">
        <v>852</v>
      </c>
      <c r="J376" s="172">
        <f>(J375/31)/1.983</f>
        <v>1181.3479088380263</v>
      </c>
      <c r="K376" s="172">
        <f>(K375/31)/1.983</f>
        <v>1470.2389667008279</v>
      </c>
      <c r="L376" s="172">
        <f>(L375/30)/1.983</f>
        <v>1036.3254328458563</v>
      </c>
      <c r="M376" s="38" t="s">
        <v>852</v>
      </c>
      <c r="N376" s="172">
        <f>(N375/31)/1.983</f>
        <v>663.34813658028725</v>
      </c>
      <c r="O376" s="172">
        <f>(O375/30)/1.983</f>
        <v>364.31332997142374</v>
      </c>
      <c r="P376" s="172">
        <f>(P375/31)/1.983</f>
        <v>237.64904917606103</v>
      </c>
      <c r="Q376" s="38" t="s">
        <v>852</v>
      </c>
      <c r="R376" s="38" t="s">
        <v>852</v>
      </c>
    </row>
    <row r="377" spans="1:20" ht="15.75" customHeight="1" x14ac:dyDescent="0.3">
      <c r="A377" s="262" t="s">
        <v>2432</v>
      </c>
      <c r="B377" s="172">
        <f>B375+B422</f>
        <v>28959</v>
      </c>
      <c r="C377" s="172">
        <f>C375+C422</f>
        <v>34075</v>
      </c>
      <c r="D377" s="172">
        <f>D375+D422</f>
        <v>92708</v>
      </c>
      <c r="E377" s="38">
        <f>SUM(B377:D377)</f>
        <v>155742</v>
      </c>
      <c r="F377" s="172">
        <f>F375+F422</f>
        <v>118371</v>
      </c>
      <c r="G377" s="172">
        <f>G375+G422</f>
        <v>102228</v>
      </c>
      <c r="H377" s="172">
        <f>H375+H422</f>
        <v>130453</v>
      </c>
      <c r="I377" s="38">
        <f>SUM(F377:H377)</f>
        <v>351052</v>
      </c>
      <c r="J377" s="172">
        <f>J375+J422</f>
        <v>121422</v>
      </c>
      <c r="K377" s="172">
        <f>K375+K422</f>
        <v>143566</v>
      </c>
      <c r="L377" s="172">
        <f>L375+L422</f>
        <v>97746</v>
      </c>
      <c r="M377" s="38">
        <f>SUM(J377:L377)</f>
        <v>362734</v>
      </c>
      <c r="N377" s="172">
        <f>N375+N422</f>
        <v>62917</v>
      </c>
      <c r="O377" s="172">
        <f>O375+O422</f>
        <v>31942</v>
      </c>
      <c r="P377" s="172">
        <f>P375+P422</f>
        <v>30952</v>
      </c>
      <c r="Q377" s="38">
        <f>SUM(N377:P377)</f>
        <v>125811</v>
      </c>
      <c r="R377" s="38">
        <f>+E377+I377+M377+Q377</f>
        <v>995339</v>
      </c>
    </row>
    <row r="378" spans="1:20" ht="15.75" customHeight="1" thickBot="1" x14ac:dyDescent="0.35">
      <c r="A378" s="263" t="s">
        <v>104</v>
      </c>
      <c r="B378" s="264">
        <f>(B377/31)/1.983</f>
        <v>471.08486652676783</v>
      </c>
      <c r="C378" s="264">
        <f>(C377/28)/1.983</f>
        <v>613.69858079389098</v>
      </c>
      <c r="D378" s="264">
        <f>(D377/31)/1.983</f>
        <v>1508.109251215981</v>
      </c>
      <c r="E378" s="40" t="s">
        <v>852</v>
      </c>
      <c r="F378" s="264">
        <f>(F377/30)/1.983</f>
        <v>1989.7629853756932</v>
      </c>
      <c r="G378" s="264">
        <f>(G377/31)/1.983</f>
        <v>1662.9739885803522</v>
      </c>
      <c r="H378" s="264">
        <f>(H377/30)/1.983</f>
        <v>2192.8559421751556</v>
      </c>
      <c r="I378" s="40" t="s">
        <v>852</v>
      </c>
      <c r="J378" s="264">
        <f>(J377/31)/1.983</f>
        <v>1975.2086281782247</v>
      </c>
      <c r="K378" s="264">
        <f>(K377/31)/1.983</f>
        <v>2335.4318155938377</v>
      </c>
      <c r="L378" s="264">
        <f>(L377/30)/1.983</f>
        <v>1643.0660615229449</v>
      </c>
      <c r="M378" s="40" t="s">
        <v>852</v>
      </c>
      <c r="N378" s="264">
        <f>(N377/31)/1.983</f>
        <v>1023.4899874741756</v>
      </c>
      <c r="O378" s="264">
        <f>(O377/30)/1.983</f>
        <v>536.93057656749033</v>
      </c>
      <c r="P378" s="264">
        <f>(P377/31)/1.983</f>
        <v>503.50560408634686</v>
      </c>
      <c r="Q378" s="40" t="s">
        <v>852</v>
      </c>
      <c r="R378" s="40" t="s">
        <v>852</v>
      </c>
    </row>
    <row r="379" spans="1:20" ht="15.75" customHeight="1" x14ac:dyDescent="0.3">
      <c r="A379" s="351" t="s">
        <v>1011</v>
      </c>
      <c r="B379" s="352">
        <f>B$380+(SUMIF($T$271:$T$372,"FLG",B$271:B$372)/31/1.98)+(SUMIF($T$271:$T$372,"FCA",B$271:B$372)/31/1.98)+(SUMIF($T$271:$T$372,"NSC",B$271:B$372)/31/1.98)</f>
        <v>358.74877810361687</v>
      </c>
      <c r="C379" s="352">
        <f>C$380+(SUMIF($T$271:$T$372,"FLG",C$271:C$372)/28/1.98)+(SUMIF($T$271:$T$372,"FCA",C$271:C$372)/28/1.98)+(SUMIF($T$271:$T$372,"NSC",C$271:C$372)/28/1.98)</f>
        <v>484.88455988455985</v>
      </c>
      <c r="D379" s="352">
        <f>D$380+(SUMIF($T$271:$T$372,"FLG",D$271:D$372)/31/1.98)+(SUMIF($T$271:$T$372,"FCA",D$271:D$372)/31/1.98)+(SUMIF($T$271:$T$372,"NSC",D$271:D$372)/31/1.98)</f>
        <v>1051.3196480938418</v>
      </c>
      <c r="E379" s="329"/>
      <c r="F379" s="352">
        <f>F$380+(SUMIF($T$271:$T$372,"FLG",F$271:F$372)/30/1.98)+(SUMIF($T$271:$T$372,"FCA",F$271:F$372)/30/1.98)+(SUMIF($T$271:$T$372,"NSC",F$271:F$372)/30/1.98)</f>
        <v>1424.4276094276092</v>
      </c>
      <c r="G379" s="352">
        <f>G$380+(SUMIF($T$271:$T$372,"FLG",G$271:G$372)/31/1.98)+(SUMIF($T$271:$T$372,"FCA",G$271:G$372)/31/1.98)+(SUMIF($T$271:$T$372,"NSC",G$271:G$372)/31/1.98)</f>
        <v>1073.5744542196153</v>
      </c>
      <c r="H379" s="352">
        <f>H$380+(SUMIF($T$271:$T$372,"FLG",H$271:H$372)/30/1.98)+(SUMIF($T$271:$T$372,"FCA",H$271:H$372)/30/1.98)+(SUMIF($T$271:$T$372,"NSC",H$271:H$372)/30/1.98)</f>
        <v>1521.2794612794612</v>
      </c>
      <c r="I379" s="350"/>
      <c r="J379" s="352">
        <f>J$380+(SUMIF($T$271:$T$372,"FLG",J$271:J$372)/31/1.98)+(SUMIF($T$271:$T$372,"FCA",J$271:J$372)/31/1.98)+(SUMIF($T$271:$T$372,"NSC",J$271:J$372)/31/1.98)</f>
        <v>1380.6288693385468</v>
      </c>
      <c r="K379" s="352">
        <f>K$380+(SUMIF($T$271:$T$372,"FLG",K$271:K$372)/31/1.98)+(SUMIF($T$271:$T$372,"FCA",K$271:K$372)/31/1.98)+(SUMIF($T$271:$T$372,"NSC",K$271:K$372)/31/1.98)</f>
        <v>1702.1179537308569</v>
      </c>
      <c r="L379" s="352">
        <f>L$380+(SUMIF($T$271:$T$372,"FLG",L$271:L$372)/30/1.98)+(SUMIF($T$271:$T$372,"FCA",L$271:L$372)/30/1.98)+(SUMIF($T$271:$T$372,"NSC",L$271:L$372)/30/1.98)</f>
        <v>1111.7676767676767</v>
      </c>
      <c r="M379" s="350"/>
      <c r="N379" s="352">
        <f>N$380+(SUMIF($T$271:$T$372,"FLG",N$271:N$372)/31/1.98)+(SUMIF($T$271:$T$372,"FCA",N$271:N$372)/31/1.98)+(SUMIF($T$271:$T$372,"NSC",N$271:N$372)/31/1.98)</f>
        <v>610.36168132942328</v>
      </c>
      <c r="O379" s="352">
        <f>O$380+(SUMIF($T$271:$T$372,"FLG",O$271:O$372)/30/1.98)+(SUMIF($T$271:$T$372,"FCA",O$271:O$372)/30/1.98)+(SUMIF($T$271:$T$372,"NSC",O$271:O$372)/30/1.98)</f>
        <v>301.64983164983164</v>
      </c>
      <c r="P379" s="352">
        <f>P$380+(SUMIF($T$271:$T$372,"FLG",P$271:P$372)/31/1.98)+(SUMIF($T$271:$T$372,"FCA",P$271:P$372)/31/1.98)+(SUMIF($T$271:$T$372,"NSC",P$271:P$372)/31/1.98)</f>
        <v>334.47376995764097</v>
      </c>
      <c r="Q379" s="350"/>
      <c r="R379" s="350"/>
    </row>
    <row r="380" spans="1:20" ht="15.75" customHeight="1" x14ac:dyDescent="0.3">
      <c r="A380" s="351" t="s">
        <v>1012</v>
      </c>
      <c r="B380" s="352">
        <f>B$381+(SUMIF($T$271:$T$372,"FCI",B$271:B$372)/31/1.98)+(SUMIF($T$271:$T$372,"FCC",B$271:B$372)/31/1.98)</f>
        <v>358.74877810361687</v>
      </c>
      <c r="C380" s="352">
        <f>C$381+(SUMIF($T$271:$T$372,"FCI",C$271:C$372)/28/1.98)+(SUMIF($T$271:$T$372,"FCC",C$271:C$372)/28/1.98)</f>
        <v>484.88455988455985</v>
      </c>
      <c r="D380" s="352">
        <f>D$381+(SUMIF($T$271:$T$372,"FCI",D$271:D$372)/31/1.98)+(SUMIF($T$271:$T$372,"FCC",D$271:D$372)/31/1.98)</f>
        <v>1051.3196480938418</v>
      </c>
      <c r="E380" s="329"/>
      <c r="F380" s="352">
        <f>F$381+(SUMIF($T$271:$T$372,"FCI",F$271:F$372)/30/1.98)+(SUMIF($T$271:$T$372,"FCC",F$271:F$372)/30/1.98)</f>
        <v>1424.4276094276092</v>
      </c>
      <c r="G380" s="352">
        <f>G$381+(SUMIF($T$271:$T$372,"FCI",G$271:G$372)/31/1.98)+(SUMIF($T$271:$T$372,"FCC",G$271:G$372)/31/1.98)</f>
        <v>1073.5744542196153</v>
      </c>
      <c r="H380" s="352">
        <f>H$381+(SUMIF($T$271:$T$372,"FCI",H$271:H$372)/30/1.98)+(SUMIF($T$271:$T$372,"FCC",H$271:H$372)/30/1.98)</f>
        <v>1521.2794612794612</v>
      </c>
      <c r="I380" s="350"/>
      <c r="J380" s="352">
        <f>J$381+(SUMIF($T$271:$T$372,"FCI",J$271:J$372)/31/1.98)+(SUMIF($T$271:$T$372,"FCC",J$271:J$372)/31/1.98)</f>
        <v>1380.6288693385468</v>
      </c>
      <c r="K380" s="352">
        <f>K$381+(SUMIF($T$271:$T$372,"FCI",K$271:K$372)/31/1.98)+(SUMIF($T$271:$T$372,"FCC",K$271:K$372)/31/1.98)</f>
        <v>1702.1179537308569</v>
      </c>
      <c r="L380" s="352">
        <f>L$381+(SUMIF($T$271:$T$372,"FCI",L$271:L$372)/30/1.98)+(SUMIF($T$271:$T$372,"FCC",L$271:L$372)/30/1.98)</f>
        <v>1111.7676767676767</v>
      </c>
      <c r="M380" s="350"/>
      <c r="N380" s="352">
        <f>N$381+(SUMIF($T$271:$T$372,"FCI",N$271:N$372)/31/1.98)+(SUMIF($T$271:$T$372,"FCC",N$271:N$372)/31/1.98)</f>
        <v>610.36168132942328</v>
      </c>
      <c r="O380" s="352">
        <f>O$381+(SUMIF($T$271:$T$372,"FCI",O$271:O$372)/30/1.98)+(SUMIF($T$271:$T$372,"FCC",O$271:O$372)/30/1.98)</f>
        <v>301.64983164983164</v>
      </c>
      <c r="P380" s="352">
        <f>P$381+(SUMIF($T$271:$T$372,"FCI",P$271:P$372)/31/1.98)+(SUMIF($T$271:$T$372,"FCC",P$271:P$372)/31/1.98)</f>
        <v>334.47376995764097</v>
      </c>
      <c r="Q380" s="350"/>
      <c r="R380" s="350"/>
    </row>
    <row r="381" spans="1:20" ht="15.75" customHeight="1" x14ac:dyDescent="0.3">
      <c r="A381" s="351" t="s">
        <v>1013</v>
      </c>
      <c r="B381" s="352">
        <f>B$382+(SUMIF($T$271:$T$372,"PIL",B$271:B$372)/31/1.98)+(SUMIF($T$271:$T$372,"KLK",B$271:B$372)/31/1.98)</f>
        <v>358.74877810361687</v>
      </c>
      <c r="C381" s="352">
        <f>C$382+(SUMIF($T$271:$T$372,"PIL",C$271:C$372)/28/1.98)+(SUMIF($T$271:$T$372,"KLK",C$271:C$372)/28/1.98)</f>
        <v>484.88455988455985</v>
      </c>
      <c r="D381" s="352">
        <f>D$382+(SUMIF($T$271:$T$372,"PIL",D$271:D$372)/31/1.98)+(SUMIF($T$271:$T$372,"KLK",D$271:D$372)/31/1.98)</f>
        <v>1051.3196480938418</v>
      </c>
      <c r="E381" s="329"/>
      <c r="F381" s="352">
        <f>F$382+(SUMIF($T$271:$T$372,"PIL",F$271:F$372)/30/1.98)+(SUMIF($T$271:$T$372,"KLK",F$271:F$372)/30/1.98)</f>
        <v>1424.4276094276092</v>
      </c>
      <c r="G381" s="352">
        <f>G$382+(SUMIF($T$271:$T$372,"PIL",G$271:G$372)/31/1.98)+(SUMIF($T$271:$T$372,"KLK",G$271:G$372)/31/1.98)</f>
        <v>1073.5744542196153</v>
      </c>
      <c r="H381" s="352">
        <f>H$382+(SUMIF($T$271:$T$372,"PIL",H$271:H$372)/30/1.98)+(SUMIF($T$271:$T$372,"KLK",H$271:H$372)/30/1.98)</f>
        <v>1521.2794612794612</v>
      </c>
      <c r="I381" s="350"/>
      <c r="J381" s="352">
        <f>J$382+(SUMIF($T$271:$T$372,"PIL",J$271:J$372)/31/1.98)+(SUMIF($T$271:$T$372,"KLK",J$271:J$372)/31/1.98)</f>
        <v>1380.6288693385468</v>
      </c>
      <c r="K381" s="352">
        <f>K$382+(SUMIF($T$271:$T$372,"PIL",K$271:K$372)/31/1.98)+(SUMIF($T$271:$T$372,"KLK",K$271:K$372)/31/1.98)</f>
        <v>1702.1179537308569</v>
      </c>
      <c r="L381" s="352">
        <f>L$382+(SUMIF($T$271:$T$372,"PIL",L$271:L$372)/30/1.98)+(SUMIF($T$271:$T$372,"KLK",L$271:L$372)/30/1.98)</f>
        <v>1111.7676767676767</v>
      </c>
      <c r="M381" s="350"/>
      <c r="N381" s="352">
        <f>N$382+(SUMIF($T$271:$T$372,"PIL",N$271:N$372)/31/1.98)+(SUMIF($T$271:$T$372,"KLK",N$271:N$372)/31/1.98)</f>
        <v>610.36168132942328</v>
      </c>
      <c r="O381" s="352">
        <f>O$382+(SUMIF($T$271:$T$372,"PIL",O$271:O$372)/30/1.98)+(SUMIF($T$271:$T$372,"KLK",O$271:O$372)/30/1.98)</f>
        <v>301.64983164983164</v>
      </c>
      <c r="P381" s="352">
        <f>P$382+(SUMIF($T$271:$T$372,"PIL",P$271:P$372)/31/1.98)+(SUMIF($T$271:$T$372,"KLK",P$271:P$372)/31/1.98)</f>
        <v>334.47376995764097</v>
      </c>
      <c r="Q381" s="350"/>
      <c r="R381" s="350"/>
    </row>
    <row r="382" spans="1:20" ht="15.75" customHeight="1" x14ac:dyDescent="0.3">
      <c r="A382" s="351" t="s">
        <v>1014</v>
      </c>
      <c r="B382" s="352">
        <f>B$383+(SUMIF($T$271:$T$372,"CGE",B$271:B$372)/31/1.98)</f>
        <v>355.75105897686547</v>
      </c>
      <c r="C382" s="352">
        <f>C$383+(SUMIF($T$271:$T$372,"CGE",C$271:C$372)/28/1.98)</f>
        <v>484.88455988455985</v>
      </c>
      <c r="D382" s="352">
        <f>D$383+(SUMIF($T$271:$T$372,"CGE",D$271:D$372)/31/1.98)</f>
        <v>1051.3196480938418</v>
      </c>
      <c r="E382" s="329"/>
      <c r="F382" s="352">
        <f>F$383+(SUMIF($T$271:$T$372,"CGE",F$271:F$372)/30/1.98)</f>
        <v>1424.4276094276092</v>
      </c>
      <c r="G382" s="352">
        <f>G$383+(SUMIF($T$271:$T$372,"CGE",G$271:G$372)/31/1.98)</f>
        <v>1073.5744542196153</v>
      </c>
      <c r="H382" s="352">
        <f>H$383+(SUMIF($T$271:$T$372,"CGE",H$271:H$372)/30/1.98)</f>
        <v>1414.9663299663298</v>
      </c>
      <c r="I382" s="350"/>
      <c r="J382" s="352">
        <f>J$383+(SUMIF($T$271:$T$372,"CGE",J$271:J$372)/31/1.98)</f>
        <v>1298.159009449332</v>
      </c>
      <c r="K382" s="352">
        <f>K$383+(SUMIF($T$271:$T$372,"CGE",K$271:K$372)/31/1.98)</f>
        <v>1446.3668947539916</v>
      </c>
      <c r="L382" s="352">
        <f>L$383+(SUMIF($T$271:$T$372,"CGE",L$271:L$372)/30/1.98)</f>
        <v>959.1245791245791</v>
      </c>
      <c r="M382" s="350"/>
      <c r="N382" s="352">
        <f>N$383+(SUMIF($T$271:$T$372,"CGE",N$271:N$372)/31/1.98)</f>
        <v>610.36168132942328</v>
      </c>
      <c r="O382" s="352">
        <f>O$383+(SUMIF($T$271:$T$372,"CGE",O$271:O$372)/30/1.98)</f>
        <v>301.64983164983164</v>
      </c>
      <c r="P382" s="352">
        <f>P$383+(SUMIF($T$271:$T$372,"CGE",P$271:P$372)/31/1.98)</f>
        <v>334.47376995764097</v>
      </c>
      <c r="Q382" s="350"/>
      <c r="R382" s="350"/>
    </row>
    <row r="383" spans="1:20" ht="15.75" customHeight="1" x14ac:dyDescent="0.3">
      <c r="A383" s="351" t="s">
        <v>1015</v>
      </c>
      <c r="B383" s="352">
        <f>B$384+(SUMIF($T$271:$T$372,"SRO",B$271:B$372)/31/1.98)</f>
        <v>355.75105897686547</v>
      </c>
      <c r="C383" s="352">
        <f>C$384+(SUMIF($T$271:$T$372,"SRO",C$271:C$372)/28/1.98)</f>
        <v>484.88455988455985</v>
      </c>
      <c r="D383" s="352">
        <f>D$384+(SUMIF($T$271:$T$372,"SRO",D$271:D$372)/31/1.98)</f>
        <v>1051.3196480938418</v>
      </c>
      <c r="E383" s="329"/>
      <c r="F383" s="352">
        <f>F$384+(SUMIF($T$271:$T$372,"SRO",F$271:F$372)/30/1.98)</f>
        <v>1424.4276094276092</v>
      </c>
      <c r="G383" s="352">
        <f>G$384+(SUMIF($T$271:$T$372,"SRO",G$271:G$372)/31/1.98)</f>
        <v>1073.3463668947538</v>
      </c>
      <c r="H383" s="352">
        <f>H$384+(SUMIF($T$271:$T$372,"SRO",H$271:H$372)/30/1.98)</f>
        <v>1414.3602693602693</v>
      </c>
      <c r="I383" s="350"/>
      <c r="J383" s="352">
        <f>J$384+(SUMIF($T$271:$T$372,"SRO",J$271:J$372)/31/1.98)</f>
        <v>1297.9309221244705</v>
      </c>
      <c r="K383" s="352">
        <f>K$384+(SUMIF($T$271:$T$372,"SRO",K$271:K$372)/31/1.98)</f>
        <v>1445.8944281524928</v>
      </c>
      <c r="L383" s="352">
        <f>L$384+(SUMIF($T$271:$T$372,"SRO",L$271:L$372)/30/1.98)</f>
        <v>958.73737373737367</v>
      </c>
      <c r="M383" s="350"/>
      <c r="N383" s="352">
        <f>N$384+(SUMIF($T$271:$T$372,"SRO",N$271:N$372)/31/1.98)</f>
        <v>610.03584229390685</v>
      </c>
      <c r="O383" s="352">
        <f>O$384+(SUMIF($T$271:$T$372,"SRO",O$271:O$372)/30/1.98)</f>
        <v>301.48148148148147</v>
      </c>
      <c r="P383" s="352">
        <f>P$384+(SUMIF($T$271:$T$372,"SRO",P$271:P$372)/31/1.98)</f>
        <v>334.19680677745197</v>
      </c>
      <c r="Q383" s="350"/>
      <c r="R383" s="350"/>
    </row>
    <row r="384" spans="1:20" ht="15.75" customHeight="1" x14ac:dyDescent="0.3">
      <c r="A384" s="351" t="s">
        <v>130</v>
      </c>
      <c r="B384" s="352">
        <f>B$422/31/1.98</f>
        <v>248.24046920821115</v>
      </c>
      <c r="C384" s="352">
        <f>C$422/28/1.98</f>
        <v>266.61255411255411</v>
      </c>
      <c r="D384" s="352">
        <f>D$422/31/1.98</f>
        <v>493.67872271098076</v>
      </c>
      <c r="E384" s="353"/>
      <c r="F384" s="352">
        <f>F$422/30/1.98</f>
        <v>757.76094276094273</v>
      </c>
      <c r="G384" s="352">
        <f>G$422/31/1.98</f>
        <v>590.5506679700228</v>
      </c>
      <c r="H384" s="352">
        <f>H$422/30/1.98</f>
        <v>716.31313131313129</v>
      </c>
      <c r="I384" s="172"/>
      <c r="J384" s="352">
        <f>J$422/31/1.98</f>
        <v>795.06353861192576</v>
      </c>
      <c r="K384" s="352">
        <f>K$422/31/1.98</f>
        <v>866.50374714890847</v>
      </c>
      <c r="L384" s="352">
        <f>L$422/30/1.98</f>
        <v>607.65993265993268</v>
      </c>
      <c r="M384" s="354"/>
      <c r="N384" s="352">
        <f>N$422/31/1.98</f>
        <v>360.6875203649397</v>
      </c>
      <c r="O384" s="352">
        <f>O$422/30/1.98</f>
        <v>172.87878787878788</v>
      </c>
      <c r="P384" s="352">
        <f>P$422/31/1.98</f>
        <v>266.25936787227113</v>
      </c>
      <c r="Q384" s="354"/>
      <c r="R384" s="350"/>
    </row>
    <row r="385" spans="1:18" ht="15.75" customHeight="1" thickBot="1" x14ac:dyDescent="0.35">
      <c r="A385" s="18"/>
      <c r="B385" s="172"/>
      <c r="C385" s="172"/>
      <c r="D385" s="172"/>
      <c r="E385" s="172"/>
      <c r="F385" s="172"/>
      <c r="G385" s="172"/>
      <c r="H385" s="172"/>
      <c r="I385" s="172"/>
      <c r="J385" s="172"/>
      <c r="K385" s="172"/>
      <c r="L385" s="172"/>
      <c r="M385" s="172"/>
      <c r="N385" s="172"/>
      <c r="O385" s="172"/>
      <c r="P385" s="172"/>
      <c r="Q385" s="172"/>
      <c r="R385" s="17"/>
    </row>
    <row r="386" spans="1:18" ht="15.75" customHeight="1" thickBot="1" x14ac:dyDescent="0.35">
      <c r="A386" s="240" t="s">
        <v>813</v>
      </c>
      <c r="B386" s="4" t="s">
        <v>2090</v>
      </c>
      <c r="C386" s="5" t="s">
        <v>2091</v>
      </c>
      <c r="D386" s="5" t="s">
        <v>2234</v>
      </c>
      <c r="E386" s="33" t="s">
        <v>1594</v>
      </c>
      <c r="F386" s="5" t="s">
        <v>2235</v>
      </c>
      <c r="G386" s="5" t="s">
        <v>2236</v>
      </c>
      <c r="H386" s="5" t="s">
        <v>2237</v>
      </c>
      <c r="I386" s="35" t="s">
        <v>1595</v>
      </c>
      <c r="J386" s="5" t="s">
        <v>1504</v>
      </c>
      <c r="K386" s="5" t="s">
        <v>1505</v>
      </c>
      <c r="L386" s="5" t="s">
        <v>1506</v>
      </c>
      <c r="M386" s="35" t="s">
        <v>1596</v>
      </c>
      <c r="N386" s="5" t="s">
        <v>1507</v>
      </c>
      <c r="O386" s="5" t="s">
        <v>1508</v>
      </c>
      <c r="P386" s="5" t="s">
        <v>1509</v>
      </c>
      <c r="Q386" s="35" t="s">
        <v>1597</v>
      </c>
      <c r="R386" s="36" t="s">
        <v>1510</v>
      </c>
    </row>
    <row r="387" spans="1:18" ht="15.75" customHeight="1" thickBot="1" x14ac:dyDescent="0.35">
      <c r="A387" s="37"/>
      <c r="B387" s="258"/>
      <c r="C387" s="258"/>
      <c r="D387" s="258"/>
      <c r="E387" s="254"/>
      <c r="F387" s="258"/>
      <c r="G387" s="258"/>
      <c r="H387" s="258"/>
      <c r="I387" s="265"/>
      <c r="J387" s="258"/>
      <c r="K387" s="258"/>
      <c r="L387" s="258"/>
      <c r="M387" s="265"/>
      <c r="N387" s="258"/>
      <c r="O387" s="258"/>
      <c r="P387" s="258"/>
      <c r="Q387" s="265"/>
      <c r="R387" s="52"/>
    </row>
    <row r="388" spans="1:18" ht="15.75" customHeight="1" x14ac:dyDescent="0.3">
      <c r="A388" s="234" t="s">
        <v>2417</v>
      </c>
      <c r="B388" s="172" t="s">
        <v>852</v>
      </c>
      <c r="C388" s="172" t="s">
        <v>852</v>
      </c>
      <c r="D388" s="172" t="s">
        <v>852</v>
      </c>
      <c r="E388" s="38" t="s">
        <v>852</v>
      </c>
      <c r="F388" s="172" t="s">
        <v>852</v>
      </c>
      <c r="G388" s="172" t="s">
        <v>852</v>
      </c>
      <c r="H388" s="172" t="s">
        <v>852</v>
      </c>
      <c r="I388" s="38" t="s">
        <v>852</v>
      </c>
      <c r="J388" s="172" t="s">
        <v>852</v>
      </c>
      <c r="K388" s="172" t="s">
        <v>852</v>
      </c>
      <c r="L388" s="172" t="s">
        <v>852</v>
      </c>
      <c r="M388" s="38" t="s">
        <v>852</v>
      </c>
      <c r="N388" s="172" t="s">
        <v>852</v>
      </c>
      <c r="O388" s="172" t="s">
        <v>852</v>
      </c>
      <c r="P388" s="172" t="s">
        <v>852</v>
      </c>
      <c r="Q388" s="38" t="s">
        <v>852</v>
      </c>
      <c r="R388" s="38" t="s">
        <v>852</v>
      </c>
    </row>
    <row r="389" spans="1:18" ht="15.75" customHeight="1" x14ac:dyDescent="0.3">
      <c r="A389" s="234" t="s">
        <v>2160</v>
      </c>
      <c r="B389" s="172"/>
      <c r="C389" s="172"/>
      <c r="D389" s="172"/>
      <c r="E389" s="38" t="s">
        <v>852</v>
      </c>
      <c r="F389" s="172"/>
      <c r="G389" s="172"/>
      <c r="H389" s="172"/>
      <c r="I389" s="38" t="s">
        <v>852</v>
      </c>
      <c r="J389" s="172"/>
      <c r="K389" s="172"/>
      <c r="L389" s="172"/>
      <c r="M389" s="38" t="s">
        <v>852</v>
      </c>
      <c r="N389" s="172"/>
      <c r="O389" s="172"/>
      <c r="P389" s="172"/>
      <c r="Q389" s="38" t="s">
        <v>852</v>
      </c>
      <c r="R389" s="38" t="s">
        <v>852</v>
      </c>
    </row>
    <row r="390" spans="1:18" ht="15.75" customHeight="1" x14ac:dyDescent="0.3">
      <c r="A390" s="266" t="s">
        <v>331</v>
      </c>
      <c r="B390" s="172">
        <v>0</v>
      </c>
      <c r="C390" s="172">
        <v>1</v>
      </c>
      <c r="D390" s="172">
        <v>1</v>
      </c>
      <c r="E390" s="38">
        <f>SUM(B390:D390)</f>
        <v>2</v>
      </c>
      <c r="F390" s="172">
        <v>4</v>
      </c>
      <c r="G390" s="172">
        <v>3</v>
      </c>
      <c r="H390" s="172">
        <v>5</v>
      </c>
      <c r="I390" s="38">
        <f>SUM(F390:H390)</f>
        <v>12</v>
      </c>
      <c r="J390" s="172">
        <v>4</v>
      </c>
      <c r="K390" s="172">
        <v>4</v>
      </c>
      <c r="L390" s="172">
        <v>3</v>
      </c>
      <c r="M390" s="38">
        <f>SUM(J390:L390)</f>
        <v>11</v>
      </c>
      <c r="N390" s="172">
        <v>2</v>
      </c>
      <c r="O390" s="172">
        <v>0</v>
      </c>
      <c r="P390" s="172">
        <v>0</v>
      </c>
      <c r="Q390" s="38">
        <f>SUM(N390:P390)</f>
        <v>2</v>
      </c>
      <c r="R390" s="38">
        <v>0</v>
      </c>
    </row>
    <row r="391" spans="1:18" ht="15.75" customHeight="1" x14ac:dyDescent="0.3">
      <c r="A391" s="256" t="s">
        <v>1161</v>
      </c>
      <c r="B391" s="172">
        <v>0</v>
      </c>
      <c r="C391" s="172">
        <v>0</v>
      </c>
      <c r="D391" s="172">
        <v>0</v>
      </c>
      <c r="E391" s="38">
        <f>SUM(B391:D391)</f>
        <v>0</v>
      </c>
      <c r="F391" s="172">
        <v>0</v>
      </c>
      <c r="G391" s="172">
        <v>0</v>
      </c>
      <c r="H391" s="172">
        <v>0</v>
      </c>
      <c r="I391" s="38">
        <f>SUM(F391:H391)</f>
        <v>0</v>
      </c>
      <c r="J391" s="172">
        <v>0</v>
      </c>
      <c r="K391" s="172">
        <v>0</v>
      </c>
      <c r="L391" s="172">
        <v>0</v>
      </c>
      <c r="M391" s="38">
        <f>SUM(J391:L391)</f>
        <v>0</v>
      </c>
      <c r="N391" s="172">
        <v>0</v>
      </c>
      <c r="O391" s="172">
        <v>0</v>
      </c>
      <c r="P391" s="172">
        <v>0</v>
      </c>
      <c r="Q391" s="38">
        <f>SUM(N391:P391)</f>
        <v>0</v>
      </c>
      <c r="R391" s="38">
        <v>0</v>
      </c>
    </row>
    <row r="392" spans="1:18" ht="15.75" customHeight="1" x14ac:dyDescent="0.3">
      <c r="A392" s="234" t="s">
        <v>2161</v>
      </c>
      <c r="B392" s="172"/>
      <c r="C392" s="172"/>
      <c r="D392" s="172"/>
      <c r="E392" s="38" t="s">
        <v>852</v>
      </c>
      <c r="F392" s="172"/>
      <c r="G392" s="172"/>
      <c r="H392" s="172"/>
      <c r="I392" s="38" t="s">
        <v>852</v>
      </c>
      <c r="J392" s="172"/>
      <c r="K392" s="172"/>
      <c r="L392" s="172"/>
      <c r="M392" s="38" t="s">
        <v>852</v>
      </c>
      <c r="N392" s="172"/>
      <c r="O392" s="172"/>
      <c r="P392" s="172"/>
      <c r="Q392" s="38" t="s">
        <v>852</v>
      </c>
      <c r="R392" s="38" t="s">
        <v>852</v>
      </c>
    </row>
    <row r="393" spans="1:18" ht="15.75" customHeight="1" x14ac:dyDescent="0.3">
      <c r="A393" s="266" t="s">
        <v>331</v>
      </c>
      <c r="B393" s="172">
        <v>0</v>
      </c>
      <c r="C393" s="172">
        <v>0</v>
      </c>
      <c r="D393" s="172">
        <v>0</v>
      </c>
      <c r="E393" s="38">
        <f>SUM(B393:D393)</f>
        <v>0</v>
      </c>
      <c r="F393" s="172">
        <v>0</v>
      </c>
      <c r="G393" s="172">
        <v>0</v>
      </c>
      <c r="H393" s="172">
        <v>0</v>
      </c>
      <c r="I393" s="38">
        <f>SUM(F393:H393)</f>
        <v>0</v>
      </c>
      <c r="J393" s="172">
        <v>0</v>
      </c>
      <c r="K393" s="172">
        <v>0</v>
      </c>
      <c r="L393" s="172">
        <v>0</v>
      </c>
      <c r="M393" s="38">
        <f>SUM(J393:L393)</f>
        <v>0</v>
      </c>
      <c r="N393" s="172">
        <v>0</v>
      </c>
      <c r="O393" s="172">
        <v>0</v>
      </c>
      <c r="P393" s="172">
        <v>0</v>
      </c>
      <c r="Q393" s="38">
        <f>SUM(N393:P393)</f>
        <v>0</v>
      </c>
      <c r="R393" s="38">
        <f>+E393+I393+M393+Q393</f>
        <v>0</v>
      </c>
    </row>
    <row r="394" spans="1:18" ht="15.75" customHeight="1" x14ac:dyDescent="0.3">
      <c r="A394" s="266" t="s">
        <v>355</v>
      </c>
      <c r="B394" s="172">
        <v>0</v>
      </c>
      <c r="C394" s="172">
        <v>0</v>
      </c>
      <c r="D394" s="172">
        <v>0</v>
      </c>
      <c r="E394" s="38">
        <f>SUM(B394:D394)</f>
        <v>0</v>
      </c>
      <c r="F394" s="172">
        <v>5</v>
      </c>
      <c r="G394" s="172">
        <v>2</v>
      </c>
      <c r="H394" s="172">
        <v>9</v>
      </c>
      <c r="I394" s="38">
        <f>SUM(F394:H394)</f>
        <v>16</v>
      </c>
      <c r="J394" s="172">
        <v>8</v>
      </c>
      <c r="K394" s="172">
        <v>0</v>
      </c>
      <c r="L394" s="172">
        <v>4</v>
      </c>
      <c r="M394" s="38">
        <f>SUM(J394:L394)</f>
        <v>12</v>
      </c>
      <c r="N394" s="172">
        <v>0</v>
      </c>
      <c r="O394" s="172">
        <v>0</v>
      </c>
      <c r="P394" s="172">
        <v>0</v>
      </c>
      <c r="Q394" s="38">
        <f>SUM(N394:P394)</f>
        <v>0</v>
      </c>
      <c r="R394" s="38">
        <f>+E394+I394+M394+Q394</f>
        <v>28</v>
      </c>
    </row>
    <row r="395" spans="1:18" ht="15.75" customHeight="1" x14ac:dyDescent="0.3">
      <c r="A395" s="234" t="s">
        <v>2162</v>
      </c>
      <c r="B395" s="172"/>
      <c r="C395" s="172"/>
      <c r="D395" s="172"/>
      <c r="E395" s="38" t="s">
        <v>852</v>
      </c>
      <c r="F395" s="172"/>
      <c r="G395" s="172"/>
      <c r="H395" s="172"/>
      <c r="I395" s="38" t="s">
        <v>852</v>
      </c>
      <c r="J395" s="172"/>
      <c r="K395" s="172"/>
      <c r="L395" s="172"/>
      <c r="M395" s="38" t="s">
        <v>852</v>
      </c>
      <c r="N395" s="172"/>
      <c r="O395" s="172"/>
      <c r="P395" s="172"/>
      <c r="Q395" s="38" t="s">
        <v>852</v>
      </c>
      <c r="R395" s="38" t="s">
        <v>852</v>
      </c>
    </row>
    <row r="396" spans="1:18" ht="15.75" customHeight="1" thickBot="1" x14ac:dyDescent="0.35">
      <c r="A396" s="234" t="s">
        <v>2164</v>
      </c>
      <c r="B396" s="172"/>
      <c r="C396" s="172"/>
      <c r="D396" s="172"/>
      <c r="E396" s="38" t="s">
        <v>852</v>
      </c>
      <c r="F396" s="172"/>
      <c r="G396" s="172"/>
      <c r="H396" s="172"/>
      <c r="I396" s="38" t="s">
        <v>852</v>
      </c>
      <c r="J396" s="172"/>
      <c r="K396" s="172"/>
      <c r="L396" s="172"/>
      <c r="M396" s="38" t="s">
        <v>852</v>
      </c>
      <c r="N396" s="172"/>
      <c r="O396" s="172"/>
      <c r="P396" s="172"/>
      <c r="Q396" s="38" t="s">
        <v>852</v>
      </c>
      <c r="R396" s="38" t="s">
        <v>852</v>
      </c>
    </row>
    <row r="397" spans="1:18" ht="15.75" customHeight="1" thickBot="1" x14ac:dyDescent="0.35">
      <c r="A397" s="276" t="s">
        <v>1218</v>
      </c>
      <c r="B397" s="45">
        <f>SUM(B388:B396)</f>
        <v>0</v>
      </c>
      <c r="C397" s="46">
        <f>SUM(C388:C396)</f>
        <v>1</v>
      </c>
      <c r="D397" s="46">
        <f>SUM(D388:D396)</f>
        <v>1</v>
      </c>
      <c r="E397" s="37">
        <f>SUM(B397:D397)</f>
        <v>2</v>
      </c>
      <c r="F397" s="46">
        <f>SUM(F388:F396)</f>
        <v>9</v>
      </c>
      <c r="G397" s="46">
        <f>SUM(G388:G396)</f>
        <v>5</v>
      </c>
      <c r="H397" s="46">
        <f>SUM(H388:H396)</f>
        <v>14</v>
      </c>
      <c r="I397" s="37">
        <f>SUM(F397:H397)</f>
        <v>28</v>
      </c>
      <c r="J397" s="46">
        <f>SUM(J388:J396)</f>
        <v>12</v>
      </c>
      <c r="K397" s="46">
        <f>SUM(K388:K396)</f>
        <v>4</v>
      </c>
      <c r="L397" s="46">
        <f>SUM(L388:L396)</f>
        <v>7</v>
      </c>
      <c r="M397" s="37">
        <f>SUM(J397:L397)</f>
        <v>23</v>
      </c>
      <c r="N397" s="46">
        <f>SUM(N388:N396)</f>
        <v>2</v>
      </c>
      <c r="O397" s="46">
        <f>SUM(O388:O396)</f>
        <v>0</v>
      </c>
      <c r="P397" s="46">
        <f>SUM(P388:P396)</f>
        <v>0</v>
      </c>
      <c r="Q397" s="37">
        <f>SUM(N397:P397)</f>
        <v>2</v>
      </c>
      <c r="R397" s="37">
        <f>+E397+I397+M397+Q397</f>
        <v>55</v>
      </c>
    </row>
    <row r="398" spans="1:18" ht="15.75" customHeight="1" x14ac:dyDescent="0.3">
      <c r="A398" s="234" t="s">
        <v>1172</v>
      </c>
      <c r="B398" s="172"/>
      <c r="C398" s="172"/>
      <c r="D398" s="172"/>
      <c r="E398" s="38" t="s">
        <v>852</v>
      </c>
      <c r="F398" s="172"/>
      <c r="G398" s="172"/>
      <c r="H398" s="172"/>
      <c r="I398" s="38" t="s">
        <v>852</v>
      </c>
      <c r="J398" s="172"/>
      <c r="K398" s="172"/>
      <c r="L398" s="172"/>
      <c r="M398" s="38" t="s">
        <v>852</v>
      </c>
      <c r="N398" s="172" t="s">
        <v>852</v>
      </c>
      <c r="O398" s="172"/>
      <c r="P398" s="172"/>
      <c r="Q398" s="38" t="s">
        <v>852</v>
      </c>
      <c r="R398" s="38" t="s">
        <v>852</v>
      </c>
    </row>
    <row r="399" spans="1:18" ht="15.75" customHeight="1" x14ac:dyDescent="0.3">
      <c r="A399" s="234" t="s">
        <v>2409</v>
      </c>
      <c r="B399" s="172"/>
      <c r="C399" s="172"/>
      <c r="D399" s="172"/>
      <c r="E399" s="38" t="s">
        <v>852</v>
      </c>
      <c r="F399" s="172"/>
      <c r="G399" s="172"/>
      <c r="H399" s="172"/>
      <c r="I399" s="38" t="s">
        <v>852</v>
      </c>
      <c r="J399" s="172"/>
      <c r="K399" s="172"/>
      <c r="L399" s="172"/>
      <c r="M399" s="38" t="s">
        <v>852</v>
      </c>
      <c r="N399" s="172"/>
      <c r="O399" s="172"/>
      <c r="P399" s="172"/>
      <c r="Q399" s="38" t="s">
        <v>852</v>
      </c>
      <c r="R399" s="38" t="s">
        <v>852</v>
      </c>
    </row>
    <row r="400" spans="1:18" ht="15.75" customHeight="1" x14ac:dyDescent="0.3">
      <c r="A400" s="266" t="s">
        <v>1607</v>
      </c>
      <c r="B400" s="172">
        <v>392</v>
      </c>
      <c r="C400" s="172">
        <v>1726</v>
      </c>
      <c r="D400" s="172">
        <v>6790</v>
      </c>
      <c r="E400" s="38">
        <f>SUM(B400:D400)</f>
        <v>8908</v>
      </c>
      <c r="F400" s="172">
        <v>13433</v>
      </c>
      <c r="G400" s="172">
        <v>8794</v>
      </c>
      <c r="H400" s="172">
        <v>16947</v>
      </c>
      <c r="I400" s="38">
        <f>SUM(F400:H400)</f>
        <v>39174</v>
      </c>
      <c r="J400" s="172">
        <v>19250</v>
      </c>
      <c r="K400" s="172">
        <v>0</v>
      </c>
      <c r="L400" s="172">
        <v>0</v>
      </c>
      <c r="M400" s="38">
        <f>SUM(J400:L400)</f>
        <v>19250</v>
      </c>
      <c r="N400" s="172">
        <v>0</v>
      </c>
      <c r="O400" s="172">
        <v>0</v>
      </c>
      <c r="P400" s="172">
        <v>494</v>
      </c>
      <c r="Q400" s="38">
        <f>SUM(N400:P400)</f>
        <v>494</v>
      </c>
      <c r="R400" s="38">
        <f>+E400+I400+M400+Q400</f>
        <v>67826</v>
      </c>
    </row>
    <row r="401" spans="1:18" ht="15.75" customHeight="1" thickBot="1" x14ac:dyDescent="0.35">
      <c r="A401" s="234" t="s">
        <v>2165</v>
      </c>
      <c r="B401" s="172"/>
      <c r="C401" s="172"/>
      <c r="D401" s="172"/>
      <c r="E401" s="38" t="s">
        <v>852</v>
      </c>
      <c r="F401" s="172"/>
      <c r="G401" s="172"/>
      <c r="H401" s="172"/>
      <c r="I401" s="38" t="s">
        <v>852</v>
      </c>
      <c r="J401" s="172"/>
      <c r="K401" s="172"/>
      <c r="L401" s="172"/>
      <c r="M401" s="38" t="s">
        <v>852</v>
      </c>
      <c r="N401" s="172"/>
      <c r="O401" s="172"/>
      <c r="P401" s="172"/>
      <c r="Q401" s="38" t="s">
        <v>852</v>
      </c>
      <c r="R401" s="38" t="s">
        <v>852</v>
      </c>
    </row>
    <row r="402" spans="1:18" ht="15.75" customHeight="1" thickBot="1" x14ac:dyDescent="0.35">
      <c r="A402" s="43" t="s">
        <v>1219</v>
      </c>
      <c r="B402" s="45">
        <f>SUM(B398:B401)</f>
        <v>392</v>
      </c>
      <c r="C402" s="46">
        <f>SUM(C398:C401)</f>
        <v>1726</v>
      </c>
      <c r="D402" s="46">
        <f>SUM(D398:D401)</f>
        <v>6790</v>
      </c>
      <c r="E402" s="37">
        <f>SUM(B402:D402)</f>
        <v>8908</v>
      </c>
      <c r="F402" s="46">
        <f>SUM(F398:F401)</f>
        <v>13433</v>
      </c>
      <c r="G402" s="46">
        <f>SUM(G398:G401)</f>
        <v>8794</v>
      </c>
      <c r="H402" s="46">
        <f>SUM(H398:H401)</f>
        <v>16947</v>
      </c>
      <c r="I402" s="37">
        <f>SUM(F402:H402)</f>
        <v>39174</v>
      </c>
      <c r="J402" s="46">
        <f>SUM(J398:J401)</f>
        <v>19250</v>
      </c>
      <c r="K402" s="46">
        <f>SUM(K398:K401)</f>
        <v>0</v>
      </c>
      <c r="L402" s="46">
        <f>SUM(L398:L401)</f>
        <v>0</v>
      </c>
      <c r="M402" s="37">
        <f>SUM(J402:L402)</f>
        <v>19250</v>
      </c>
      <c r="N402" s="46">
        <f>SUM(N398:N401)</f>
        <v>0</v>
      </c>
      <c r="O402" s="46">
        <f>SUM(O398:O401)</f>
        <v>0</v>
      </c>
      <c r="P402" s="46">
        <f>SUM(P398:P401)</f>
        <v>494</v>
      </c>
      <c r="Q402" s="37">
        <f>SUM(N402:P402)</f>
        <v>494</v>
      </c>
      <c r="R402" s="37">
        <f>+E402+I402+M402+Q402</f>
        <v>67826</v>
      </c>
    </row>
    <row r="403" spans="1:18" ht="15.75" customHeight="1" x14ac:dyDescent="0.3">
      <c r="A403" s="234" t="s">
        <v>2166</v>
      </c>
      <c r="B403" s="172"/>
      <c r="C403" s="172"/>
      <c r="D403" s="172"/>
      <c r="E403" s="38" t="s">
        <v>852</v>
      </c>
      <c r="F403" s="172"/>
      <c r="G403" s="172"/>
      <c r="H403" s="172"/>
      <c r="I403" s="38" t="s">
        <v>852</v>
      </c>
      <c r="J403" s="172"/>
      <c r="K403" s="172"/>
      <c r="L403" s="172"/>
      <c r="M403" s="38" t="s">
        <v>852</v>
      </c>
      <c r="N403" s="172"/>
      <c r="O403" s="172"/>
      <c r="P403" s="172"/>
      <c r="Q403" s="38" t="s">
        <v>852</v>
      </c>
      <c r="R403" s="38" t="s">
        <v>852</v>
      </c>
    </row>
    <row r="404" spans="1:18" ht="15.75" customHeight="1" x14ac:dyDescent="0.3">
      <c r="A404" s="234" t="s">
        <v>1245</v>
      </c>
      <c r="B404" s="172"/>
      <c r="C404" s="172"/>
      <c r="D404" s="172"/>
      <c r="E404" s="38" t="s">
        <v>852</v>
      </c>
      <c r="F404" s="172"/>
      <c r="G404" s="172"/>
      <c r="H404" s="172"/>
      <c r="I404" s="38" t="s">
        <v>852</v>
      </c>
      <c r="J404" s="172"/>
      <c r="K404" s="172"/>
      <c r="L404" s="172"/>
      <c r="M404" s="38" t="s">
        <v>852</v>
      </c>
      <c r="N404" s="172"/>
      <c r="O404" s="172"/>
      <c r="P404" s="172"/>
      <c r="Q404" s="38" t="s">
        <v>852</v>
      </c>
      <c r="R404" s="38" t="s">
        <v>852</v>
      </c>
    </row>
    <row r="405" spans="1:18" ht="15.75" customHeight="1" thickBot="1" x14ac:dyDescent="0.35">
      <c r="A405" s="234" t="s">
        <v>1711</v>
      </c>
      <c r="B405" s="172"/>
      <c r="C405" s="172"/>
      <c r="D405" s="172"/>
      <c r="E405" s="38" t="s">
        <v>852</v>
      </c>
      <c r="F405" s="172"/>
      <c r="G405" s="172"/>
      <c r="H405" s="172"/>
      <c r="I405" s="38" t="s">
        <v>852</v>
      </c>
      <c r="J405" s="172"/>
      <c r="K405" s="172"/>
      <c r="L405" s="172"/>
      <c r="M405" s="38" t="s">
        <v>852</v>
      </c>
      <c r="N405" s="172"/>
      <c r="O405" s="172"/>
      <c r="P405" s="172"/>
      <c r="Q405" s="38" t="s">
        <v>852</v>
      </c>
      <c r="R405" s="38" t="s">
        <v>852</v>
      </c>
    </row>
    <row r="406" spans="1:18" ht="15.75" customHeight="1" thickBot="1" x14ac:dyDescent="0.35">
      <c r="A406" s="277" t="s">
        <v>1220</v>
      </c>
      <c r="B406" s="45">
        <f>SUM(B403:B405)</f>
        <v>0</v>
      </c>
      <c r="C406" s="46">
        <f>SUM(C403:C405)</f>
        <v>0</v>
      </c>
      <c r="D406" s="46">
        <f>SUM(D403:D405)</f>
        <v>0</v>
      </c>
      <c r="E406" s="37">
        <f>SUM(B406:D406)</f>
        <v>0</v>
      </c>
      <c r="F406" s="46">
        <f>SUM(F403:F405)</f>
        <v>0</v>
      </c>
      <c r="G406" s="46">
        <f>SUM(G403:G405)</f>
        <v>0</v>
      </c>
      <c r="H406" s="46">
        <f>SUM(H403:H405)</f>
        <v>0</v>
      </c>
      <c r="I406" s="37">
        <f>SUM(F406:H406)</f>
        <v>0</v>
      </c>
      <c r="J406" s="46">
        <f>SUM(J403:J405)</f>
        <v>0</v>
      </c>
      <c r="K406" s="46">
        <f>SUM(K403:K405)</f>
        <v>0</v>
      </c>
      <c r="L406" s="46">
        <f>SUM(L403:L405)</f>
        <v>0</v>
      </c>
      <c r="M406" s="37">
        <f>SUM(J406:L406)</f>
        <v>0</v>
      </c>
      <c r="N406" s="46">
        <f>SUM(N403:N405)</f>
        <v>0</v>
      </c>
      <c r="O406" s="46">
        <f>SUM(O403:O405)</f>
        <v>0</v>
      </c>
      <c r="P406" s="46">
        <f>SUM(P403:P405)</f>
        <v>0</v>
      </c>
      <c r="Q406" s="37">
        <f>SUM(N406:P406)</f>
        <v>0</v>
      </c>
      <c r="R406" s="37">
        <f>+E406+I406+M406+Q406</f>
        <v>0</v>
      </c>
    </row>
    <row r="407" spans="1:18" ht="15.75" customHeight="1" x14ac:dyDescent="0.3">
      <c r="A407" s="234" t="s">
        <v>1712</v>
      </c>
      <c r="B407" s="172"/>
      <c r="C407" s="172"/>
      <c r="D407" s="172"/>
      <c r="E407" s="38" t="s">
        <v>852</v>
      </c>
      <c r="F407" s="172"/>
      <c r="G407" s="172"/>
      <c r="H407" s="172"/>
      <c r="I407" s="38" t="s">
        <v>852</v>
      </c>
      <c r="J407" s="172"/>
      <c r="K407" s="172"/>
      <c r="L407" s="172"/>
      <c r="M407" s="38" t="s">
        <v>852</v>
      </c>
      <c r="N407" s="172"/>
      <c r="O407" s="172"/>
      <c r="P407" s="172"/>
      <c r="Q407" s="38" t="s">
        <v>852</v>
      </c>
      <c r="R407" s="38" t="s">
        <v>852</v>
      </c>
    </row>
    <row r="408" spans="1:18" ht="15.75" customHeight="1" x14ac:dyDescent="0.3">
      <c r="A408" s="234" t="s">
        <v>556</v>
      </c>
      <c r="B408" s="172"/>
      <c r="C408" s="172"/>
      <c r="D408" s="172"/>
      <c r="E408" s="38" t="s">
        <v>852</v>
      </c>
      <c r="F408" s="172"/>
      <c r="G408" s="172"/>
      <c r="H408" s="172"/>
      <c r="I408" s="38" t="s">
        <v>852</v>
      </c>
      <c r="J408" s="172"/>
      <c r="K408" s="172"/>
      <c r="L408" s="172"/>
      <c r="M408" s="38" t="s">
        <v>852</v>
      </c>
      <c r="N408" s="172"/>
      <c r="O408" s="172"/>
      <c r="P408" s="172"/>
      <c r="Q408" s="38" t="s">
        <v>852</v>
      </c>
      <c r="R408" s="38" t="s">
        <v>852</v>
      </c>
    </row>
    <row r="409" spans="1:18" ht="15.75" customHeight="1" x14ac:dyDescent="0.3">
      <c r="A409" s="266" t="s">
        <v>1870</v>
      </c>
      <c r="B409" s="172">
        <v>0</v>
      </c>
      <c r="C409" s="172">
        <v>0</v>
      </c>
      <c r="D409" s="172">
        <v>0</v>
      </c>
      <c r="E409" s="38">
        <f>SUM(B409:D409)</f>
        <v>0</v>
      </c>
      <c r="F409" s="172">
        <v>0</v>
      </c>
      <c r="G409" s="172">
        <v>0</v>
      </c>
      <c r="H409" s="172">
        <v>0</v>
      </c>
      <c r="I409" s="38">
        <f>SUM(F409:H409)</f>
        <v>0</v>
      </c>
      <c r="J409" s="172">
        <v>0</v>
      </c>
      <c r="K409" s="172">
        <v>0</v>
      </c>
      <c r="L409" s="172">
        <v>0</v>
      </c>
      <c r="M409" s="38">
        <f>SUM(J409:L409)</f>
        <v>0</v>
      </c>
      <c r="N409" s="172">
        <v>0</v>
      </c>
      <c r="O409" s="172">
        <v>0</v>
      </c>
      <c r="P409" s="172">
        <v>0</v>
      </c>
      <c r="Q409" s="38">
        <f>SUM(N409:P409)</f>
        <v>0</v>
      </c>
      <c r="R409" s="38">
        <f>+E409+I409+M409+Q409</f>
        <v>0</v>
      </c>
    </row>
    <row r="410" spans="1:18" ht="15.75" customHeight="1" x14ac:dyDescent="0.3">
      <c r="A410" s="234" t="s">
        <v>557</v>
      </c>
      <c r="B410" s="172"/>
      <c r="C410" s="172"/>
      <c r="D410" s="172"/>
      <c r="E410" s="38" t="s">
        <v>852</v>
      </c>
      <c r="F410" s="172"/>
      <c r="G410" s="172"/>
      <c r="H410" s="172"/>
      <c r="I410" s="38" t="s">
        <v>852</v>
      </c>
      <c r="J410" s="172"/>
      <c r="K410" s="172"/>
      <c r="L410" s="172"/>
      <c r="M410" s="38" t="s">
        <v>852</v>
      </c>
      <c r="N410" s="172"/>
      <c r="O410" s="172"/>
      <c r="P410" s="172"/>
      <c r="Q410" s="38" t="s">
        <v>852</v>
      </c>
      <c r="R410" s="38" t="s">
        <v>852</v>
      </c>
    </row>
    <row r="411" spans="1:18" ht="15.75" customHeight="1" x14ac:dyDescent="0.3">
      <c r="A411" s="234" t="s">
        <v>558</v>
      </c>
      <c r="B411" s="172"/>
      <c r="C411" s="172"/>
      <c r="D411" s="172"/>
      <c r="E411" s="38" t="s">
        <v>852</v>
      </c>
      <c r="F411" s="172"/>
      <c r="G411" s="172"/>
      <c r="H411" s="172"/>
      <c r="I411" s="38" t="s">
        <v>852</v>
      </c>
      <c r="J411" s="172"/>
      <c r="K411" s="172"/>
      <c r="L411" s="172"/>
      <c r="M411" s="38" t="s">
        <v>852</v>
      </c>
      <c r="N411" s="172"/>
      <c r="O411" s="172"/>
      <c r="P411" s="172"/>
      <c r="Q411" s="38" t="s">
        <v>852</v>
      </c>
      <c r="R411" s="38" t="s">
        <v>852</v>
      </c>
    </row>
    <row r="412" spans="1:18" ht="15.75" customHeight="1" x14ac:dyDescent="0.3">
      <c r="A412" s="234" t="s">
        <v>559</v>
      </c>
      <c r="B412" s="172"/>
      <c r="C412" s="172"/>
      <c r="D412" s="172"/>
      <c r="E412" s="38" t="s">
        <v>852</v>
      </c>
      <c r="F412" s="172"/>
      <c r="G412" s="172"/>
      <c r="H412" s="172"/>
      <c r="I412" s="38" t="s">
        <v>852</v>
      </c>
      <c r="J412" s="172"/>
      <c r="K412" s="172"/>
      <c r="L412" s="172"/>
      <c r="M412" s="38" t="s">
        <v>852</v>
      </c>
      <c r="N412" s="172"/>
      <c r="O412" s="172"/>
      <c r="P412" s="172"/>
      <c r="Q412" s="38" t="s">
        <v>852</v>
      </c>
      <c r="R412" s="38" t="s">
        <v>852</v>
      </c>
    </row>
    <row r="413" spans="1:18" ht="15.75" customHeight="1" x14ac:dyDescent="0.3">
      <c r="A413" s="266" t="s">
        <v>2071</v>
      </c>
      <c r="B413" s="172">
        <v>0</v>
      </c>
      <c r="C413" s="172">
        <v>0</v>
      </c>
      <c r="D413" s="172">
        <v>0</v>
      </c>
      <c r="E413" s="38">
        <f t="shared" ref="E413:E418" si="84">SUM(B413:D413)</f>
        <v>0</v>
      </c>
      <c r="F413" s="172">
        <v>0</v>
      </c>
      <c r="G413" s="172">
        <v>0</v>
      </c>
      <c r="H413" s="172">
        <v>0</v>
      </c>
      <c r="I413" s="38">
        <f t="shared" ref="I413:I418" si="85">SUM(F413:H413)</f>
        <v>0</v>
      </c>
      <c r="J413" s="172">
        <v>0</v>
      </c>
      <c r="K413" s="172">
        <v>19344</v>
      </c>
      <c r="L413" s="172">
        <v>7432</v>
      </c>
      <c r="M413" s="38">
        <f t="shared" ref="M413:M418" si="86">SUM(J413:L413)</f>
        <v>26776</v>
      </c>
      <c r="N413" s="172">
        <v>3421</v>
      </c>
      <c r="O413" s="172">
        <v>655</v>
      </c>
      <c r="P413" s="172">
        <v>1040</v>
      </c>
      <c r="Q413" s="38">
        <f t="shared" ref="Q413:Q418" si="87">SUM(N413:P413)</f>
        <v>5116</v>
      </c>
      <c r="R413" s="38">
        <f t="shared" ref="R413:R418" si="88">+E413+I413+M413+Q413</f>
        <v>31892</v>
      </c>
    </row>
    <row r="414" spans="1:18" ht="15.75" customHeight="1" thickBot="1" x14ac:dyDescent="0.35">
      <c r="A414" s="266" t="s">
        <v>676</v>
      </c>
      <c r="B414" s="172">
        <v>0</v>
      </c>
      <c r="C414" s="172">
        <v>0</v>
      </c>
      <c r="D414" s="172">
        <v>0</v>
      </c>
      <c r="E414" s="38">
        <f t="shared" si="84"/>
        <v>0</v>
      </c>
      <c r="F414" s="172">
        <v>0</v>
      </c>
      <c r="G414" s="172">
        <v>0</v>
      </c>
      <c r="H414" s="172">
        <v>0</v>
      </c>
      <c r="I414" s="38">
        <f t="shared" si="85"/>
        <v>0</v>
      </c>
      <c r="J414" s="172">
        <v>0</v>
      </c>
      <c r="K414" s="172">
        <v>0</v>
      </c>
      <c r="L414" s="172">
        <v>0</v>
      </c>
      <c r="M414" s="38">
        <f t="shared" si="86"/>
        <v>0</v>
      </c>
      <c r="N414" s="172">
        <v>0</v>
      </c>
      <c r="O414" s="172">
        <v>0</v>
      </c>
      <c r="P414" s="172">
        <v>0</v>
      </c>
      <c r="Q414" s="38">
        <f t="shared" si="87"/>
        <v>0</v>
      </c>
      <c r="R414" s="38">
        <f t="shared" si="88"/>
        <v>0</v>
      </c>
    </row>
    <row r="415" spans="1:18" ht="15.75" customHeight="1" thickBot="1" x14ac:dyDescent="0.35">
      <c r="A415" s="43" t="s">
        <v>1019</v>
      </c>
      <c r="B415" s="42">
        <f>SUM(B411:B414)</f>
        <v>0</v>
      </c>
      <c r="C415" s="42">
        <f>SUM(C411:C414)</f>
        <v>0</v>
      </c>
      <c r="D415" s="42">
        <f>SUM(D411:D414)</f>
        <v>0</v>
      </c>
      <c r="E415" s="39">
        <f t="shared" si="84"/>
        <v>0</v>
      </c>
      <c r="F415" s="42">
        <f>SUM(F411:F414)</f>
        <v>0</v>
      </c>
      <c r="G415" s="42">
        <f>SUM(G411:G414)</f>
        <v>0</v>
      </c>
      <c r="H415" s="42">
        <f>SUM(H411:H414)</f>
        <v>0</v>
      </c>
      <c r="I415" s="39">
        <f t="shared" si="85"/>
        <v>0</v>
      </c>
      <c r="J415" s="42">
        <f>SUM(J411:J414)</f>
        <v>0</v>
      </c>
      <c r="K415" s="42">
        <f>SUM(K411:K414)</f>
        <v>19344</v>
      </c>
      <c r="L415" s="42">
        <f>SUM(L411:L414)</f>
        <v>7432</v>
      </c>
      <c r="M415" s="39">
        <f t="shared" si="86"/>
        <v>26776</v>
      </c>
      <c r="N415" s="42">
        <f>SUM(N411:N414)</f>
        <v>3421</v>
      </c>
      <c r="O415" s="42">
        <f>SUM(O411:O414)</f>
        <v>655</v>
      </c>
      <c r="P415" s="42">
        <f>SUM(P411:P414)</f>
        <v>1040</v>
      </c>
      <c r="Q415" s="39">
        <f t="shared" si="87"/>
        <v>5116</v>
      </c>
      <c r="R415" s="37">
        <f t="shared" si="88"/>
        <v>31892</v>
      </c>
    </row>
    <row r="416" spans="1:18" ht="15.75" customHeight="1" thickBot="1" x14ac:dyDescent="0.35">
      <c r="A416" s="277" t="s">
        <v>1221</v>
      </c>
      <c r="B416" s="45">
        <f>SUM(B407:B414)</f>
        <v>0</v>
      </c>
      <c r="C416" s="46">
        <f>SUM(C407:C414)</f>
        <v>0</v>
      </c>
      <c r="D416" s="58">
        <f>SUM(D407:D414)</f>
        <v>0</v>
      </c>
      <c r="E416" s="39">
        <f t="shared" si="84"/>
        <v>0</v>
      </c>
      <c r="F416" s="46">
        <f>SUM(F407:F414)</f>
        <v>0</v>
      </c>
      <c r="G416" s="46">
        <f>SUM(G407:G414)</f>
        <v>0</v>
      </c>
      <c r="H416" s="46">
        <f>SUM(H407:H414)</f>
        <v>0</v>
      </c>
      <c r="I416" s="39">
        <f t="shared" si="85"/>
        <v>0</v>
      </c>
      <c r="J416" s="46">
        <f>SUM(J407:J414)</f>
        <v>0</v>
      </c>
      <c r="K416" s="46">
        <f>SUM(K407:K414)</f>
        <v>19344</v>
      </c>
      <c r="L416" s="46">
        <f>SUM(L407:L414)</f>
        <v>7432</v>
      </c>
      <c r="M416" s="39">
        <f t="shared" si="86"/>
        <v>26776</v>
      </c>
      <c r="N416" s="46">
        <f>SUM(N407:N414)</f>
        <v>3421</v>
      </c>
      <c r="O416" s="46">
        <f>SUM(O407:O414)</f>
        <v>655</v>
      </c>
      <c r="P416" s="46">
        <f>SUM(P407:P414)</f>
        <v>1040</v>
      </c>
      <c r="Q416" s="39">
        <f t="shared" si="87"/>
        <v>5116</v>
      </c>
      <c r="R416" s="37">
        <f t="shared" si="88"/>
        <v>31892</v>
      </c>
    </row>
    <row r="417" spans="1:18" ht="15.75" customHeight="1" thickBot="1" x14ac:dyDescent="0.35">
      <c r="A417" s="43" t="s">
        <v>1222</v>
      </c>
      <c r="B417" s="47">
        <f>+B397+B402+B406+B416</f>
        <v>392</v>
      </c>
      <c r="C417" s="42">
        <f>+C397+C402+C406+C416</f>
        <v>1727</v>
      </c>
      <c r="D417" s="42">
        <f>+D397+D402+D406+D416</f>
        <v>6791</v>
      </c>
      <c r="E417" s="37">
        <f t="shared" si="84"/>
        <v>8910</v>
      </c>
      <c r="F417" s="42">
        <f>+F397+F402+F406+F416</f>
        <v>13442</v>
      </c>
      <c r="G417" s="42">
        <f>+G397+G402+G406+G416</f>
        <v>8799</v>
      </c>
      <c r="H417" s="42">
        <f>+H397+H402+H406+H416</f>
        <v>16961</v>
      </c>
      <c r="I417" s="37">
        <f t="shared" si="85"/>
        <v>39202</v>
      </c>
      <c r="J417" s="42">
        <f>+J397+J402+J406+J416</f>
        <v>19262</v>
      </c>
      <c r="K417" s="42">
        <f>+K397+K402+K406+K416</f>
        <v>19348</v>
      </c>
      <c r="L417" s="42">
        <f>+L397+L402+L406+L416</f>
        <v>7439</v>
      </c>
      <c r="M417" s="37">
        <f t="shared" si="86"/>
        <v>46049</v>
      </c>
      <c r="N417" s="42">
        <f>+N397+N402+N406+N416</f>
        <v>3423</v>
      </c>
      <c r="O417" s="42">
        <f>+O397+O402+O406+O416</f>
        <v>655</v>
      </c>
      <c r="P417" s="42">
        <f>+P397+P402+P406+P416</f>
        <v>1534</v>
      </c>
      <c r="Q417" s="37">
        <f t="shared" si="87"/>
        <v>5612</v>
      </c>
      <c r="R417" s="40">
        <f t="shared" si="88"/>
        <v>99773</v>
      </c>
    </row>
    <row r="418" spans="1:18" ht="15.75" customHeight="1" thickBot="1" x14ac:dyDescent="0.35">
      <c r="A418" s="244" t="s">
        <v>853</v>
      </c>
      <c r="B418" s="238">
        <v>9</v>
      </c>
      <c r="C418" s="238">
        <v>16</v>
      </c>
      <c r="D418" s="238">
        <v>25</v>
      </c>
      <c r="E418" s="38">
        <f t="shared" si="84"/>
        <v>50</v>
      </c>
      <c r="F418" s="238">
        <v>34</v>
      </c>
      <c r="G418" s="238">
        <v>41</v>
      </c>
      <c r="H418" s="238">
        <v>41</v>
      </c>
      <c r="I418" s="38">
        <f t="shared" si="85"/>
        <v>116</v>
      </c>
      <c r="J418" s="238">
        <v>39</v>
      </c>
      <c r="K418" s="238">
        <v>30</v>
      </c>
      <c r="L418" s="238">
        <v>30</v>
      </c>
      <c r="M418" s="38">
        <f t="shared" si="86"/>
        <v>99</v>
      </c>
      <c r="N418" s="238">
        <v>28</v>
      </c>
      <c r="O418" s="238">
        <v>22</v>
      </c>
      <c r="P418" s="238">
        <v>16</v>
      </c>
      <c r="Q418" s="38">
        <f t="shared" si="87"/>
        <v>66</v>
      </c>
      <c r="R418" s="38">
        <f t="shared" si="88"/>
        <v>331</v>
      </c>
    </row>
    <row r="419" spans="1:18" ht="15.75" customHeight="1" thickBot="1" x14ac:dyDescent="0.35">
      <c r="A419" s="44"/>
      <c r="B419" s="258"/>
      <c r="C419" s="258"/>
      <c r="D419" s="258"/>
      <c r="E419" s="37"/>
      <c r="F419" s="258"/>
      <c r="G419" s="258"/>
      <c r="H419" s="258"/>
      <c r="I419" s="37"/>
      <c r="J419" s="258"/>
      <c r="K419" s="258"/>
      <c r="L419" s="258"/>
      <c r="M419" s="37"/>
      <c r="N419" s="258"/>
      <c r="O419" s="258"/>
      <c r="P419" s="258"/>
      <c r="Q419" s="37"/>
      <c r="R419" s="37" t="s">
        <v>852</v>
      </c>
    </row>
    <row r="420" spans="1:18" ht="15.75" customHeight="1" x14ac:dyDescent="0.3">
      <c r="A420" s="259" t="s">
        <v>2011</v>
      </c>
      <c r="B420" s="260">
        <f>SUM(B417:B418)</f>
        <v>401</v>
      </c>
      <c r="C420" s="260">
        <f>SUM(C417:C418)</f>
        <v>1743</v>
      </c>
      <c r="D420" s="260">
        <f>SUM(D417:D418)</f>
        <v>6816</v>
      </c>
      <c r="E420" s="39">
        <f>SUM(B420:D420)</f>
        <v>8960</v>
      </c>
      <c r="F420" s="260">
        <f>SUM(F417:F418)</f>
        <v>13476</v>
      </c>
      <c r="G420" s="260">
        <f>SUM(G417:G418)</f>
        <v>8840</v>
      </c>
      <c r="H420" s="260">
        <f>SUM(H417:H418)</f>
        <v>17002</v>
      </c>
      <c r="I420" s="39">
        <f>SUM(F420:H420)</f>
        <v>39318</v>
      </c>
      <c r="J420" s="260">
        <f>SUM(J417:J418)</f>
        <v>19301</v>
      </c>
      <c r="K420" s="260">
        <f>SUM(K417:K418)</f>
        <v>19378</v>
      </c>
      <c r="L420" s="260">
        <f>SUM(L417:L418)</f>
        <v>7469</v>
      </c>
      <c r="M420" s="39">
        <f>SUM(J420:L420)</f>
        <v>46148</v>
      </c>
      <c r="N420" s="260">
        <f>SUM(N417:N418)</f>
        <v>3451</v>
      </c>
      <c r="O420" s="260">
        <f>SUM(O417:O418)</f>
        <v>677</v>
      </c>
      <c r="P420" s="260">
        <f>SUM(P417:P418)</f>
        <v>1550</v>
      </c>
      <c r="Q420" s="39">
        <f>SUM(N420:P420)</f>
        <v>5678</v>
      </c>
      <c r="R420" s="39">
        <f>+E420+I420+M420+Q420</f>
        <v>100104</v>
      </c>
    </row>
    <row r="421" spans="1:18" ht="15.75" customHeight="1" x14ac:dyDescent="0.3">
      <c r="A421" s="262" t="s">
        <v>1897</v>
      </c>
      <c r="B421" s="172">
        <f>(B420/31)/1.983</f>
        <v>6.5231890423437928</v>
      </c>
      <c r="C421" s="172">
        <f>(C420/28)/1.983</f>
        <v>31.391830559757942</v>
      </c>
      <c r="D421" s="172">
        <f>(D420/31)/1.983</f>
        <v>110.87794641549948</v>
      </c>
      <c r="E421" s="38" t="s">
        <v>852</v>
      </c>
      <c r="F421" s="172">
        <f>(F420/30)/1.983</f>
        <v>226.52546646495207</v>
      </c>
      <c r="G421" s="172">
        <f>(G420/31)/1.983</f>
        <v>143.80297040977339</v>
      </c>
      <c r="H421" s="172">
        <f>(H420/30)/1.983</f>
        <v>285.7959320894268</v>
      </c>
      <c r="I421" s="38" t="s">
        <v>852</v>
      </c>
      <c r="J421" s="172">
        <f>(J420/31)/1.983</f>
        <v>313.97524116278692</v>
      </c>
      <c r="K421" s="172">
        <f>(K420/31)/1.983</f>
        <v>315.22782359735169</v>
      </c>
      <c r="L421" s="172">
        <f>(L420/30)/1.983</f>
        <v>125.5505126912086</v>
      </c>
      <c r="M421" s="38" t="s">
        <v>852</v>
      </c>
      <c r="N421" s="172">
        <f>(N420/31)/1.983</f>
        <v>56.138467294584615</v>
      </c>
      <c r="O421" s="172">
        <f>(O420/30)/1.983</f>
        <v>11.380063876281728</v>
      </c>
      <c r="P421" s="172">
        <f>(P420/31)/1.983</f>
        <v>25.214321734745333</v>
      </c>
      <c r="Q421" s="38" t="s">
        <v>852</v>
      </c>
      <c r="R421" s="38" t="s">
        <v>852</v>
      </c>
    </row>
    <row r="422" spans="1:18" ht="15.75" customHeight="1" x14ac:dyDescent="0.3">
      <c r="A422" s="262" t="s">
        <v>575</v>
      </c>
      <c r="B422" s="172">
        <f>B420+B463</f>
        <v>15237</v>
      </c>
      <c r="C422" s="172">
        <f>C420+C463</f>
        <v>14781</v>
      </c>
      <c r="D422" s="172">
        <f>D420+D463</f>
        <v>30302</v>
      </c>
      <c r="E422" s="38">
        <f>SUM(B422:D422)</f>
        <v>60320</v>
      </c>
      <c r="F422" s="172">
        <f>F420+F463</f>
        <v>45011</v>
      </c>
      <c r="G422" s="172">
        <f>G420+G463</f>
        <v>36248</v>
      </c>
      <c r="H422" s="172">
        <f>H420+H463</f>
        <v>42549</v>
      </c>
      <c r="I422" s="38">
        <f>SUM(F422:H422)</f>
        <v>123808</v>
      </c>
      <c r="J422" s="172">
        <f>J420+J463</f>
        <v>48801</v>
      </c>
      <c r="K422" s="172">
        <f>K420+K463</f>
        <v>53186</v>
      </c>
      <c r="L422" s="172">
        <f>L420+L463</f>
        <v>36095</v>
      </c>
      <c r="M422" s="38">
        <f>SUM(J422:L422)</f>
        <v>138082</v>
      </c>
      <c r="N422" s="172">
        <f>N420+N463</f>
        <v>22139</v>
      </c>
      <c r="O422" s="172">
        <f>O420+O463</f>
        <v>10269</v>
      </c>
      <c r="P422" s="172">
        <f>P420+P463</f>
        <v>16343</v>
      </c>
      <c r="Q422" s="38">
        <f>SUM(N422:P422)</f>
        <v>48751</v>
      </c>
      <c r="R422" s="38">
        <f>+E422+I422+M422+Q422</f>
        <v>370961</v>
      </c>
    </row>
    <row r="423" spans="1:18" ht="15.75" customHeight="1" thickBot="1" x14ac:dyDescent="0.35">
      <c r="A423" s="263" t="s">
        <v>576</v>
      </c>
      <c r="B423" s="264">
        <f>(B422/31)/1.983</f>
        <v>247.86491630471912</v>
      </c>
      <c r="C423" s="264">
        <f>(C422/28)/1.983</f>
        <v>266.20920682947911</v>
      </c>
      <c r="D423" s="264">
        <f>(D422/31)/1.983</f>
        <v>492.93185626209879</v>
      </c>
      <c r="E423" s="40" t="s">
        <v>852</v>
      </c>
      <c r="F423" s="264">
        <f>(F422/30)/1.983</f>
        <v>756.6145570684148</v>
      </c>
      <c r="G423" s="264">
        <f>(G422/31)/1.983</f>
        <v>589.65724789745082</v>
      </c>
      <c r="H423" s="264">
        <f>(H422/30)/1.983</f>
        <v>715.22945032778614</v>
      </c>
      <c r="I423" s="40" t="s">
        <v>852</v>
      </c>
      <c r="J423" s="264">
        <f>(J422/31)/1.983</f>
        <v>793.8607193401981</v>
      </c>
      <c r="K423" s="264">
        <f>(K422/31)/1.983</f>
        <v>865.19284889300991</v>
      </c>
      <c r="L423" s="264">
        <f>(L422/30)/1.983</f>
        <v>606.74062867708858</v>
      </c>
      <c r="M423" s="40" t="s">
        <v>852</v>
      </c>
      <c r="N423" s="264">
        <f>(N422/31)/1.983</f>
        <v>360.14185089388832</v>
      </c>
      <c r="O423" s="264">
        <f>(O422/30)/1.983</f>
        <v>172.61724659606656</v>
      </c>
      <c r="P423" s="264">
        <f>(P422/31)/1.983</f>
        <v>265.85655491028581</v>
      </c>
      <c r="Q423" s="40" t="s">
        <v>852</v>
      </c>
      <c r="R423" s="40" t="s">
        <v>852</v>
      </c>
    </row>
    <row r="424" spans="1:18" ht="15.75" customHeight="1" x14ac:dyDescent="0.3">
      <c r="A424" s="17"/>
      <c r="B424" s="172"/>
      <c r="C424" s="172"/>
      <c r="D424" s="172"/>
      <c r="E424" s="172"/>
      <c r="F424" s="172"/>
      <c r="G424" s="172"/>
      <c r="H424" s="172"/>
      <c r="I424" s="172"/>
      <c r="J424" s="172"/>
      <c r="K424" s="172"/>
      <c r="L424" s="172"/>
      <c r="M424" s="172"/>
      <c r="N424" s="172"/>
      <c r="O424" s="172"/>
      <c r="P424" s="172"/>
      <c r="Q424" s="172"/>
      <c r="R424" s="17"/>
    </row>
    <row r="425" spans="1:18" ht="15.75" customHeight="1" thickBot="1" x14ac:dyDescent="0.35">
      <c r="A425" s="17"/>
      <c r="B425" s="172"/>
      <c r="C425" s="172"/>
      <c r="D425" s="172"/>
      <c r="E425" s="172"/>
      <c r="F425" s="172"/>
      <c r="G425" s="172"/>
      <c r="H425" s="172"/>
      <c r="I425" s="172"/>
      <c r="J425" s="172"/>
      <c r="K425" s="172"/>
      <c r="L425" s="172"/>
      <c r="M425" s="172"/>
      <c r="N425" s="172"/>
      <c r="O425" s="172"/>
      <c r="P425" s="172"/>
      <c r="Q425" s="172"/>
      <c r="R425" s="17"/>
    </row>
    <row r="426" spans="1:18" ht="15.75" customHeight="1" thickBot="1" x14ac:dyDescent="0.35">
      <c r="A426" s="278" t="s">
        <v>689</v>
      </c>
      <c r="B426" s="4" t="s">
        <v>2090</v>
      </c>
      <c r="C426" s="5" t="s">
        <v>2091</v>
      </c>
      <c r="D426" s="5" t="s">
        <v>2234</v>
      </c>
      <c r="E426" s="33" t="s">
        <v>1594</v>
      </c>
      <c r="F426" s="5" t="s">
        <v>2235</v>
      </c>
      <c r="G426" s="5" t="s">
        <v>2236</v>
      </c>
      <c r="H426" s="5" t="s">
        <v>2237</v>
      </c>
      <c r="I426" s="35" t="s">
        <v>1595</v>
      </c>
      <c r="J426" s="5" t="s">
        <v>1504</v>
      </c>
      <c r="K426" s="5" t="s">
        <v>1505</v>
      </c>
      <c r="L426" s="5" t="s">
        <v>1506</v>
      </c>
      <c r="M426" s="35" t="s">
        <v>1596</v>
      </c>
      <c r="N426" s="5" t="s">
        <v>1507</v>
      </c>
      <c r="O426" s="5" t="s">
        <v>1508</v>
      </c>
      <c r="P426" s="5" t="s">
        <v>1509</v>
      </c>
      <c r="Q426" s="35" t="s">
        <v>1597</v>
      </c>
      <c r="R426" s="36" t="s">
        <v>1510</v>
      </c>
    </row>
    <row r="427" spans="1:18" ht="15.75" customHeight="1" thickBot="1" x14ac:dyDescent="0.35">
      <c r="A427" s="37"/>
      <c r="B427" s="258"/>
      <c r="C427" s="258"/>
      <c r="D427" s="258"/>
      <c r="E427" s="254"/>
      <c r="F427" s="258"/>
      <c r="G427" s="258"/>
      <c r="H427" s="258"/>
      <c r="I427" s="265"/>
      <c r="J427" s="258"/>
      <c r="K427" s="258"/>
      <c r="L427" s="258"/>
      <c r="M427" s="265"/>
      <c r="N427" s="258"/>
      <c r="O427" s="258"/>
      <c r="P427" s="258"/>
      <c r="Q427" s="265"/>
      <c r="R427" s="52"/>
    </row>
    <row r="428" spans="1:18" ht="15.75" customHeight="1" x14ac:dyDescent="0.3">
      <c r="A428" s="234" t="s">
        <v>2417</v>
      </c>
      <c r="B428" s="172" t="s">
        <v>852</v>
      </c>
      <c r="C428" s="172" t="s">
        <v>852</v>
      </c>
      <c r="D428" s="172" t="s">
        <v>852</v>
      </c>
      <c r="E428" s="38" t="s">
        <v>852</v>
      </c>
      <c r="F428" s="172" t="s">
        <v>852</v>
      </c>
      <c r="G428" s="172" t="s">
        <v>852</v>
      </c>
      <c r="H428" s="172" t="s">
        <v>852</v>
      </c>
      <c r="I428" s="38" t="s">
        <v>852</v>
      </c>
      <c r="J428" s="172" t="s">
        <v>852</v>
      </c>
      <c r="K428" s="172" t="s">
        <v>852</v>
      </c>
      <c r="L428" s="172" t="s">
        <v>852</v>
      </c>
      <c r="M428" s="38" t="s">
        <v>852</v>
      </c>
      <c r="N428" s="172" t="s">
        <v>852</v>
      </c>
      <c r="O428" s="172" t="s">
        <v>852</v>
      </c>
      <c r="P428" s="172" t="s">
        <v>852</v>
      </c>
      <c r="Q428" s="38" t="s">
        <v>852</v>
      </c>
      <c r="R428" s="38" t="s">
        <v>852</v>
      </c>
    </row>
    <row r="429" spans="1:18" ht="15.75" customHeight="1" x14ac:dyDescent="0.3">
      <c r="A429" s="234" t="s">
        <v>2160</v>
      </c>
      <c r="B429" s="172"/>
      <c r="C429" s="172"/>
      <c r="D429" s="172"/>
      <c r="E429" s="38" t="s">
        <v>852</v>
      </c>
      <c r="F429" s="172"/>
      <c r="G429" s="172"/>
      <c r="H429" s="172"/>
      <c r="I429" s="38" t="s">
        <v>852</v>
      </c>
      <c r="J429" s="172"/>
      <c r="K429" s="172"/>
      <c r="L429" s="172"/>
      <c r="M429" s="38" t="s">
        <v>852</v>
      </c>
      <c r="N429" s="172"/>
      <c r="O429" s="172"/>
      <c r="P429" s="172"/>
      <c r="Q429" s="38" t="s">
        <v>852</v>
      </c>
      <c r="R429" s="38" t="s">
        <v>852</v>
      </c>
    </row>
    <row r="430" spans="1:18" ht="15.75" customHeight="1" x14ac:dyDescent="0.3">
      <c r="A430" s="266" t="s">
        <v>1478</v>
      </c>
      <c r="B430" s="172">
        <v>0</v>
      </c>
      <c r="C430" s="172">
        <v>0</v>
      </c>
      <c r="D430" s="172">
        <v>78</v>
      </c>
      <c r="E430" s="38">
        <f>SUM(B430:D430)</f>
        <v>78</v>
      </c>
      <c r="F430" s="172">
        <v>751</v>
      </c>
      <c r="G430" s="172">
        <v>286</v>
      </c>
      <c r="H430" s="172">
        <v>0</v>
      </c>
      <c r="I430" s="38">
        <f>SUM(F430:H430)</f>
        <v>1037</v>
      </c>
      <c r="J430" s="172">
        <v>366</v>
      </c>
      <c r="K430" s="172">
        <v>641</v>
      </c>
      <c r="L430" s="172">
        <v>0</v>
      </c>
      <c r="M430" s="38">
        <f>SUM(J430:L430)</f>
        <v>1007</v>
      </c>
      <c r="N430" s="172">
        <v>0</v>
      </c>
      <c r="O430" s="172">
        <v>0</v>
      </c>
      <c r="P430" s="172">
        <v>0</v>
      </c>
      <c r="Q430" s="38">
        <f>SUM(N430:P430)</f>
        <v>0</v>
      </c>
      <c r="R430" s="38">
        <f>+E430+I430+M430+Q430</f>
        <v>2122</v>
      </c>
    </row>
    <row r="431" spans="1:18" ht="15.75" customHeight="1" x14ac:dyDescent="0.3">
      <c r="A431" s="266" t="s">
        <v>2375</v>
      </c>
      <c r="B431" s="172">
        <v>0</v>
      </c>
      <c r="C431" s="172">
        <v>0</v>
      </c>
      <c r="D431" s="172">
        <v>0</v>
      </c>
      <c r="E431" s="38">
        <f>SUM(B431:D431)</f>
        <v>0</v>
      </c>
      <c r="F431" s="172">
        <v>500</v>
      </c>
      <c r="G431" s="172">
        <v>500</v>
      </c>
      <c r="H431" s="172">
        <v>578</v>
      </c>
      <c r="I431" s="38">
        <f>SUM(F431:H431)</f>
        <v>1578</v>
      </c>
      <c r="J431" s="172">
        <v>922</v>
      </c>
      <c r="K431" s="172">
        <v>0</v>
      </c>
      <c r="L431" s="172">
        <v>0</v>
      </c>
      <c r="M431" s="38">
        <f>SUM(J431:L431)</f>
        <v>922</v>
      </c>
      <c r="N431" s="172">
        <v>585</v>
      </c>
      <c r="O431" s="172">
        <v>29</v>
      </c>
      <c r="P431" s="172">
        <v>86</v>
      </c>
      <c r="Q431" s="38">
        <f>SUM(N431:P431)</f>
        <v>700</v>
      </c>
      <c r="R431" s="38">
        <f>+E431+I431+M431+Q431</f>
        <v>3200</v>
      </c>
    </row>
    <row r="432" spans="1:18" ht="15.75" customHeight="1" x14ac:dyDescent="0.3">
      <c r="A432" s="234" t="s">
        <v>2161</v>
      </c>
      <c r="B432" s="172"/>
      <c r="C432" s="172"/>
      <c r="D432" s="172"/>
      <c r="E432" s="38" t="s">
        <v>852</v>
      </c>
      <c r="F432" s="172"/>
      <c r="G432" s="172"/>
      <c r="H432" s="172"/>
      <c r="I432" s="38" t="s">
        <v>852</v>
      </c>
      <c r="J432" s="172"/>
      <c r="K432" s="172"/>
      <c r="L432" s="172"/>
      <c r="M432" s="38" t="s">
        <v>852</v>
      </c>
      <c r="N432" s="172"/>
      <c r="O432" s="172"/>
      <c r="P432" s="172"/>
      <c r="Q432" s="38" t="s">
        <v>852</v>
      </c>
      <c r="R432" s="38" t="s">
        <v>852</v>
      </c>
    </row>
    <row r="433" spans="1:18" ht="15.75" customHeight="1" x14ac:dyDescent="0.3">
      <c r="A433" s="234" t="s">
        <v>2162</v>
      </c>
      <c r="B433" s="172"/>
      <c r="C433" s="172"/>
      <c r="D433" s="172"/>
      <c r="E433" s="38" t="s">
        <v>852</v>
      </c>
      <c r="F433" s="172"/>
      <c r="G433" s="172"/>
      <c r="H433" s="172"/>
      <c r="I433" s="38" t="s">
        <v>852</v>
      </c>
      <c r="J433" s="172"/>
      <c r="K433" s="172"/>
      <c r="L433" s="172"/>
      <c r="M433" s="38" t="s">
        <v>852</v>
      </c>
      <c r="N433" s="172"/>
      <c r="O433" s="172"/>
      <c r="P433" s="172"/>
      <c r="Q433" s="38" t="s">
        <v>852</v>
      </c>
      <c r="R433" s="38" t="s">
        <v>852</v>
      </c>
    </row>
    <row r="434" spans="1:18" ht="15.75" customHeight="1" thickBot="1" x14ac:dyDescent="0.35">
      <c r="A434" s="234" t="s">
        <v>2164</v>
      </c>
      <c r="B434" s="172"/>
      <c r="C434" s="172"/>
      <c r="D434" s="172"/>
      <c r="E434" s="38" t="s">
        <v>852</v>
      </c>
      <c r="F434" s="172"/>
      <c r="G434" s="172"/>
      <c r="H434" s="172"/>
      <c r="I434" s="38" t="s">
        <v>852</v>
      </c>
      <c r="J434" s="172"/>
      <c r="K434" s="172"/>
      <c r="L434" s="172"/>
      <c r="M434" s="38" t="s">
        <v>852</v>
      </c>
      <c r="N434" s="172"/>
      <c r="O434" s="172"/>
      <c r="P434" s="172"/>
      <c r="Q434" s="38" t="s">
        <v>852</v>
      </c>
      <c r="R434" s="38" t="s">
        <v>852</v>
      </c>
    </row>
    <row r="435" spans="1:18" ht="15.75" customHeight="1" thickBot="1" x14ac:dyDescent="0.35">
      <c r="A435" s="276" t="s">
        <v>1218</v>
      </c>
      <c r="B435" s="45">
        <f>SUM(B428:B434)</f>
        <v>0</v>
      </c>
      <c r="C435" s="46">
        <f>SUM(C428:C434)</f>
        <v>0</v>
      </c>
      <c r="D435" s="46">
        <f>SUM(D428:D434)</f>
        <v>78</v>
      </c>
      <c r="E435" s="37">
        <f>SUM(B435:D435)</f>
        <v>78</v>
      </c>
      <c r="F435" s="46">
        <f>SUM(F428:F434)</f>
        <v>1251</v>
      </c>
      <c r="G435" s="46">
        <f>SUM(G428:G434)</f>
        <v>786</v>
      </c>
      <c r="H435" s="46">
        <f>SUM(H428:H434)</f>
        <v>578</v>
      </c>
      <c r="I435" s="37">
        <f>SUM(F435:H435)</f>
        <v>2615</v>
      </c>
      <c r="J435" s="46">
        <f>SUM(J428:J434)</f>
        <v>1288</v>
      </c>
      <c r="K435" s="46">
        <f>SUM(K428:K434)</f>
        <v>641</v>
      </c>
      <c r="L435" s="46">
        <f>SUM(L428:L434)</f>
        <v>0</v>
      </c>
      <c r="M435" s="37">
        <f>SUM(J435:L435)</f>
        <v>1929</v>
      </c>
      <c r="N435" s="46">
        <f>SUM(N428:N434)</f>
        <v>585</v>
      </c>
      <c r="O435" s="46">
        <f>SUM(O428:O434)</f>
        <v>29</v>
      </c>
      <c r="P435" s="46">
        <f>SUM(P428:P434)</f>
        <v>86</v>
      </c>
      <c r="Q435" s="37">
        <f>SUM(N435:P435)</f>
        <v>700</v>
      </c>
      <c r="R435" s="37">
        <f>+E435+I435+M435+Q435</f>
        <v>5322</v>
      </c>
    </row>
    <row r="436" spans="1:18" ht="15.75" customHeight="1" x14ac:dyDescent="0.3">
      <c r="A436" s="234" t="s">
        <v>1172</v>
      </c>
      <c r="B436" s="172"/>
      <c r="C436" s="172"/>
      <c r="D436" s="172"/>
      <c r="E436" s="39" t="s">
        <v>852</v>
      </c>
      <c r="F436" s="172"/>
      <c r="G436" s="172"/>
      <c r="H436" s="172"/>
      <c r="I436" s="39" t="s">
        <v>852</v>
      </c>
      <c r="J436" s="172"/>
      <c r="K436" s="172"/>
      <c r="L436" s="172"/>
      <c r="M436" s="39" t="s">
        <v>852</v>
      </c>
      <c r="N436" s="172"/>
      <c r="O436" s="172"/>
      <c r="P436" s="172"/>
      <c r="Q436" s="39" t="s">
        <v>852</v>
      </c>
      <c r="R436" s="63" t="s">
        <v>852</v>
      </c>
    </row>
    <row r="437" spans="1:18" ht="15.75" customHeight="1" x14ac:dyDescent="0.3">
      <c r="A437" s="234" t="s">
        <v>2409</v>
      </c>
      <c r="B437" s="172"/>
      <c r="C437" s="172"/>
      <c r="D437" s="172"/>
      <c r="E437" s="38" t="s">
        <v>852</v>
      </c>
      <c r="F437" s="172"/>
      <c r="G437" s="172"/>
      <c r="H437" s="172"/>
      <c r="I437" s="38" t="s">
        <v>852</v>
      </c>
      <c r="J437" s="172"/>
      <c r="K437" s="172"/>
      <c r="L437" s="172"/>
      <c r="M437" s="38" t="s">
        <v>852</v>
      </c>
      <c r="N437" s="172"/>
      <c r="O437" s="172"/>
      <c r="P437" s="172"/>
      <c r="Q437" s="38" t="s">
        <v>852</v>
      </c>
      <c r="R437" s="63" t="s">
        <v>852</v>
      </c>
    </row>
    <row r="438" spans="1:18" ht="15.75" customHeight="1" x14ac:dyDescent="0.3">
      <c r="A438" s="266" t="s">
        <v>266</v>
      </c>
      <c r="B438" s="172">
        <v>1021</v>
      </c>
      <c r="C438" s="172">
        <v>1549</v>
      </c>
      <c r="D438" s="172">
        <v>4562</v>
      </c>
      <c r="E438" s="38">
        <f>SUM(B438:D438)</f>
        <v>7132</v>
      </c>
      <c r="F438" s="172">
        <v>6120</v>
      </c>
      <c r="G438" s="172">
        <v>3454</v>
      </c>
      <c r="H438" s="172">
        <v>4152</v>
      </c>
      <c r="I438" s="38">
        <f>SUM(F438:H438)</f>
        <v>13726</v>
      </c>
      <c r="J438" s="172">
        <v>6122</v>
      </c>
      <c r="K438" s="172">
        <v>7749</v>
      </c>
      <c r="L438" s="172">
        <v>4250</v>
      </c>
      <c r="M438" s="38">
        <f>SUM(J438:L438)</f>
        <v>18121</v>
      </c>
      <c r="N438" s="172">
        <v>0</v>
      </c>
      <c r="O438" s="172">
        <v>153</v>
      </c>
      <c r="P438" s="172">
        <v>572</v>
      </c>
      <c r="Q438" s="38">
        <f>SUM(N438:P438)</f>
        <v>725</v>
      </c>
      <c r="R438" s="38">
        <f>+E438+I438+M438+Q438</f>
        <v>39704</v>
      </c>
    </row>
    <row r="439" spans="1:18" ht="15.75" customHeight="1" x14ac:dyDescent="0.3">
      <c r="A439" s="266" t="s">
        <v>2300</v>
      </c>
      <c r="B439" s="172">
        <v>94</v>
      </c>
      <c r="C439" s="172">
        <v>463</v>
      </c>
      <c r="D439" s="172">
        <v>443</v>
      </c>
      <c r="E439" s="38">
        <f>SUM(B439:D439)</f>
        <v>1000</v>
      </c>
      <c r="F439" s="172">
        <v>0</v>
      </c>
      <c r="G439" s="172">
        <v>0</v>
      </c>
      <c r="H439" s="172">
        <v>0</v>
      </c>
      <c r="I439" s="38">
        <f>SUM(F439:H439)</f>
        <v>0</v>
      </c>
      <c r="J439" s="172">
        <v>0</v>
      </c>
      <c r="K439" s="172">
        <v>0</v>
      </c>
      <c r="L439" s="172">
        <v>0</v>
      </c>
      <c r="M439" s="38">
        <f>SUM(J439:L439)</f>
        <v>0</v>
      </c>
      <c r="N439" s="172">
        <v>0</v>
      </c>
      <c r="O439" s="172">
        <v>0</v>
      </c>
      <c r="P439" s="172">
        <v>0</v>
      </c>
      <c r="Q439" s="38">
        <f>SUM(N439:P439)</f>
        <v>0</v>
      </c>
      <c r="R439" s="38">
        <f>+E439+I439+M439+Q439</f>
        <v>1000</v>
      </c>
    </row>
    <row r="440" spans="1:18" ht="15.75" customHeight="1" thickBot="1" x14ac:dyDescent="0.35">
      <c r="A440" s="234" t="s">
        <v>2165</v>
      </c>
      <c r="B440" s="172"/>
      <c r="C440" s="172"/>
      <c r="D440" s="172"/>
      <c r="E440" s="38" t="s">
        <v>852</v>
      </c>
      <c r="F440" s="172"/>
      <c r="G440" s="172"/>
      <c r="H440" s="172"/>
      <c r="I440" s="38" t="s">
        <v>852</v>
      </c>
      <c r="J440" s="172"/>
      <c r="K440" s="172"/>
      <c r="L440" s="172"/>
      <c r="M440" s="38" t="s">
        <v>852</v>
      </c>
      <c r="N440" s="172"/>
      <c r="O440" s="172"/>
      <c r="P440" s="172"/>
      <c r="Q440" s="38" t="s">
        <v>852</v>
      </c>
      <c r="R440" s="63" t="s">
        <v>852</v>
      </c>
    </row>
    <row r="441" spans="1:18" ht="15.75" customHeight="1" thickBot="1" x14ac:dyDescent="0.35">
      <c r="A441" s="43" t="s">
        <v>1219</v>
      </c>
      <c r="B441" s="45">
        <f>SUM(B436:B440)</f>
        <v>1115</v>
      </c>
      <c r="C441" s="46">
        <f>SUM(C436:C440)</f>
        <v>2012</v>
      </c>
      <c r="D441" s="46">
        <f>SUM(D436:D440)</f>
        <v>5005</v>
      </c>
      <c r="E441" s="37">
        <f>SUM(B441:D441)</f>
        <v>8132</v>
      </c>
      <c r="F441" s="46">
        <f>SUM(F436:F440)</f>
        <v>6120</v>
      </c>
      <c r="G441" s="46">
        <f>SUM(G436:G440)</f>
        <v>3454</v>
      </c>
      <c r="H441" s="46">
        <f>SUM(H436:H440)</f>
        <v>4152</v>
      </c>
      <c r="I441" s="37">
        <f>SUM(F441:H441)</f>
        <v>13726</v>
      </c>
      <c r="J441" s="46">
        <f>SUM(J436:J440)</f>
        <v>6122</v>
      </c>
      <c r="K441" s="46">
        <f>SUM(K436:K440)</f>
        <v>7749</v>
      </c>
      <c r="L441" s="46">
        <f>SUM(L436:L440)</f>
        <v>4250</v>
      </c>
      <c r="M441" s="37">
        <f>SUM(J441:L441)</f>
        <v>18121</v>
      </c>
      <c r="N441" s="46">
        <f>SUM(N436:N440)</f>
        <v>0</v>
      </c>
      <c r="O441" s="46">
        <f>SUM(O436:O440)</f>
        <v>153</v>
      </c>
      <c r="P441" s="46">
        <f>SUM(P436:P440)</f>
        <v>572</v>
      </c>
      <c r="Q441" s="37">
        <f>SUM(N441:P441)</f>
        <v>725</v>
      </c>
      <c r="R441" s="37">
        <f>+E441+I441+M441+Q441</f>
        <v>40704</v>
      </c>
    </row>
    <row r="442" spans="1:18" ht="15.75" customHeight="1" x14ac:dyDescent="0.3">
      <c r="A442" s="234" t="s">
        <v>2166</v>
      </c>
      <c r="B442" s="172"/>
      <c r="C442" s="172"/>
      <c r="D442" s="172"/>
      <c r="E442" s="38" t="s">
        <v>852</v>
      </c>
      <c r="F442" s="172"/>
      <c r="G442" s="172"/>
      <c r="H442" s="172"/>
      <c r="I442" s="38" t="s">
        <v>852</v>
      </c>
      <c r="J442" s="172"/>
      <c r="K442" s="172"/>
      <c r="L442" s="172"/>
      <c r="M442" s="38" t="s">
        <v>852</v>
      </c>
      <c r="N442" s="172"/>
      <c r="O442" s="172"/>
      <c r="P442" s="172"/>
      <c r="Q442" s="38" t="s">
        <v>852</v>
      </c>
      <c r="R442" s="38" t="s">
        <v>852</v>
      </c>
    </row>
    <row r="443" spans="1:18" ht="15.75" customHeight="1" x14ac:dyDescent="0.3">
      <c r="A443" s="234" t="s">
        <v>1245</v>
      </c>
      <c r="B443" s="172"/>
      <c r="C443" s="172"/>
      <c r="D443" s="172"/>
      <c r="E443" s="38" t="s">
        <v>852</v>
      </c>
      <c r="F443" s="172"/>
      <c r="G443" s="172"/>
      <c r="H443" s="172"/>
      <c r="I443" s="38" t="s">
        <v>852</v>
      </c>
      <c r="J443" s="172"/>
      <c r="K443" s="172"/>
      <c r="L443" s="172"/>
      <c r="M443" s="38" t="s">
        <v>852</v>
      </c>
      <c r="N443" s="172"/>
      <c r="O443" s="172"/>
      <c r="P443" s="172"/>
      <c r="Q443" s="38" t="s">
        <v>852</v>
      </c>
      <c r="R443" s="38" t="s">
        <v>852</v>
      </c>
    </row>
    <row r="444" spans="1:18" ht="15.75" customHeight="1" thickBot="1" x14ac:dyDescent="0.35">
      <c r="A444" s="234" t="s">
        <v>1711</v>
      </c>
      <c r="B444" s="172"/>
      <c r="C444" s="172"/>
      <c r="D444" s="172"/>
      <c r="E444" s="38" t="s">
        <v>852</v>
      </c>
      <c r="F444" s="172"/>
      <c r="G444" s="172"/>
      <c r="H444" s="172"/>
      <c r="I444" s="38" t="s">
        <v>852</v>
      </c>
      <c r="J444" s="172"/>
      <c r="K444" s="172"/>
      <c r="L444" s="172"/>
      <c r="M444" s="38" t="s">
        <v>852</v>
      </c>
      <c r="N444" s="172"/>
      <c r="O444" s="172"/>
      <c r="P444" s="172"/>
      <c r="Q444" s="38" t="s">
        <v>852</v>
      </c>
      <c r="R444" s="38" t="s">
        <v>852</v>
      </c>
    </row>
    <row r="445" spans="1:18" ht="15.75" customHeight="1" thickBot="1" x14ac:dyDescent="0.35">
      <c r="A445" s="277" t="s">
        <v>1220</v>
      </c>
      <c r="B445" s="45">
        <f>SUM(B442:B444)</f>
        <v>0</v>
      </c>
      <c r="C445" s="46">
        <f>SUM(C442:C444)</f>
        <v>0</v>
      </c>
      <c r="D445" s="46">
        <f>SUM(D442:D444)</f>
        <v>0</v>
      </c>
      <c r="E445" s="37">
        <f>SUM(B445:D445)</f>
        <v>0</v>
      </c>
      <c r="F445" s="46">
        <f>SUM(F442:F444)</f>
        <v>0</v>
      </c>
      <c r="G445" s="46">
        <f>SUM(G442:G444)</f>
        <v>0</v>
      </c>
      <c r="H445" s="46">
        <f>SUM(H442:H444)</f>
        <v>0</v>
      </c>
      <c r="I445" s="37">
        <f>SUM(F445:H445)</f>
        <v>0</v>
      </c>
      <c r="J445" s="46">
        <f>SUM(J442:J444)</f>
        <v>0</v>
      </c>
      <c r="K445" s="46">
        <f>SUM(K442:K444)</f>
        <v>0</v>
      </c>
      <c r="L445" s="46">
        <f>SUM(L442:L444)</f>
        <v>0</v>
      </c>
      <c r="M445" s="37">
        <f>SUM(J445:L445)</f>
        <v>0</v>
      </c>
      <c r="N445" s="46">
        <f>SUM(N442:N444)</f>
        <v>0</v>
      </c>
      <c r="O445" s="46">
        <f>SUM(O442:O444)</f>
        <v>0</v>
      </c>
      <c r="P445" s="46">
        <f>SUM(P442:P444)</f>
        <v>0</v>
      </c>
      <c r="Q445" s="37">
        <f>SUM(N445:P445)</f>
        <v>0</v>
      </c>
      <c r="R445" s="37">
        <f>+E445+I445+M445+Q445</f>
        <v>0</v>
      </c>
    </row>
    <row r="446" spans="1:18" ht="15.75" customHeight="1" x14ac:dyDescent="0.3">
      <c r="A446" s="234" t="s">
        <v>1712</v>
      </c>
      <c r="B446" s="172"/>
      <c r="C446" s="172"/>
      <c r="D446" s="172"/>
      <c r="E446" s="38" t="s">
        <v>852</v>
      </c>
      <c r="F446" s="172"/>
      <c r="G446" s="172"/>
      <c r="H446" s="172"/>
      <c r="I446" s="38" t="s">
        <v>852</v>
      </c>
      <c r="J446" s="172"/>
      <c r="K446" s="172"/>
      <c r="L446" s="172"/>
      <c r="M446" s="38" t="s">
        <v>852</v>
      </c>
      <c r="N446" s="172"/>
      <c r="O446" s="172"/>
      <c r="P446" s="172"/>
      <c r="Q446" s="38" t="s">
        <v>852</v>
      </c>
      <c r="R446" s="38" t="s">
        <v>852</v>
      </c>
    </row>
    <row r="447" spans="1:18" ht="15.75" customHeight="1" x14ac:dyDescent="0.3">
      <c r="A447" s="234" t="s">
        <v>556</v>
      </c>
      <c r="B447" s="172"/>
      <c r="C447" s="172"/>
      <c r="D447" s="172"/>
      <c r="E447" s="38" t="s">
        <v>852</v>
      </c>
      <c r="F447" s="172"/>
      <c r="G447" s="172"/>
      <c r="H447" s="172"/>
      <c r="I447" s="38" t="s">
        <v>852</v>
      </c>
      <c r="J447" s="172"/>
      <c r="K447" s="172"/>
      <c r="L447" s="172"/>
      <c r="M447" s="38" t="s">
        <v>852</v>
      </c>
      <c r="N447" s="172"/>
      <c r="O447" s="172"/>
      <c r="P447" s="172"/>
      <c r="Q447" s="38" t="s">
        <v>852</v>
      </c>
      <c r="R447" s="38" t="s">
        <v>852</v>
      </c>
    </row>
    <row r="448" spans="1:18" ht="15.75" customHeight="1" x14ac:dyDescent="0.3">
      <c r="A448" s="234" t="s">
        <v>557</v>
      </c>
      <c r="B448" s="172"/>
      <c r="C448" s="172"/>
      <c r="D448" s="172"/>
      <c r="E448" s="38" t="s">
        <v>852</v>
      </c>
      <c r="F448" s="172"/>
      <c r="G448" s="172"/>
      <c r="H448" s="172"/>
      <c r="I448" s="38" t="s">
        <v>852</v>
      </c>
      <c r="J448" s="172"/>
      <c r="K448" s="172"/>
      <c r="L448" s="172"/>
      <c r="M448" s="38" t="s">
        <v>852</v>
      </c>
      <c r="N448" s="172"/>
      <c r="O448" s="172"/>
      <c r="P448" s="172"/>
      <c r="Q448" s="38" t="s">
        <v>852</v>
      </c>
      <c r="R448" s="38" t="s">
        <v>852</v>
      </c>
    </row>
    <row r="449" spans="1:18" ht="15.75" customHeight="1" x14ac:dyDescent="0.3">
      <c r="A449" s="234" t="s">
        <v>558</v>
      </c>
      <c r="B449" s="172"/>
      <c r="C449" s="172"/>
      <c r="D449" s="172"/>
      <c r="E449" s="38" t="s">
        <v>852</v>
      </c>
      <c r="F449" s="172"/>
      <c r="G449" s="172"/>
      <c r="H449" s="172"/>
      <c r="I449" s="38" t="s">
        <v>852</v>
      </c>
      <c r="J449" s="172"/>
      <c r="K449" s="172"/>
      <c r="L449" s="172"/>
      <c r="M449" s="38" t="s">
        <v>852</v>
      </c>
      <c r="N449" s="172"/>
      <c r="O449" s="172"/>
      <c r="P449" s="172"/>
      <c r="Q449" s="38" t="s">
        <v>852</v>
      </c>
      <c r="R449" s="38" t="s">
        <v>852</v>
      </c>
    </row>
    <row r="450" spans="1:18" ht="15.75" customHeight="1" x14ac:dyDescent="0.3">
      <c r="A450" s="266" t="s">
        <v>1478</v>
      </c>
      <c r="B450" s="172">
        <v>0</v>
      </c>
      <c r="C450" s="172">
        <v>0</v>
      </c>
      <c r="D450" s="172">
        <v>0</v>
      </c>
      <c r="E450" s="38">
        <f>SUM(B450:D450)</f>
        <v>0</v>
      </c>
      <c r="F450" s="172">
        <v>0</v>
      </c>
      <c r="G450" s="172">
        <v>0</v>
      </c>
      <c r="H450" s="172">
        <v>0</v>
      </c>
      <c r="I450" s="38">
        <f>SUM(F450:H450)</f>
        <v>0</v>
      </c>
      <c r="J450" s="172">
        <v>0</v>
      </c>
      <c r="K450" s="172">
        <v>891</v>
      </c>
      <c r="L450" s="172">
        <v>245</v>
      </c>
      <c r="M450" s="38">
        <f>SUM(J450:L450)</f>
        <v>1136</v>
      </c>
      <c r="N450" s="172">
        <v>0</v>
      </c>
      <c r="O450" s="172">
        <v>0</v>
      </c>
      <c r="P450" s="172">
        <v>0</v>
      </c>
      <c r="Q450" s="38">
        <f>SUM(N450:P450)</f>
        <v>0</v>
      </c>
      <c r="R450" s="38">
        <f>+E450+I450+M450+Q450</f>
        <v>1136</v>
      </c>
    </row>
    <row r="451" spans="1:18" ht="15.75" customHeight="1" x14ac:dyDescent="0.3">
      <c r="A451" s="266" t="s">
        <v>247</v>
      </c>
      <c r="B451" s="172">
        <v>0</v>
      </c>
      <c r="C451" s="172">
        <v>0</v>
      </c>
      <c r="D451" s="172">
        <v>0</v>
      </c>
      <c r="E451" s="38">
        <f>SUM(B451:D451)</f>
        <v>0</v>
      </c>
      <c r="F451" s="172">
        <v>0</v>
      </c>
      <c r="G451" s="172">
        <v>0</v>
      </c>
      <c r="H451" s="172">
        <v>0</v>
      </c>
      <c r="I451" s="38">
        <f>SUM(F451:H451)</f>
        <v>0</v>
      </c>
      <c r="J451" s="172">
        <v>0</v>
      </c>
      <c r="K451" s="172">
        <v>0</v>
      </c>
      <c r="L451" s="172">
        <v>1493</v>
      </c>
      <c r="M451" s="38">
        <f>SUM(J451:L451)</f>
        <v>1493</v>
      </c>
      <c r="N451" s="172">
        <v>507</v>
      </c>
      <c r="O451" s="172">
        <v>0</v>
      </c>
      <c r="P451" s="172">
        <v>0</v>
      </c>
      <c r="Q451" s="38">
        <f>SUM(N451:P451)</f>
        <v>507</v>
      </c>
      <c r="R451" s="38">
        <f>+E451+I451+M451+Q451</f>
        <v>2000</v>
      </c>
    </row>
    <row r="452" spans="1:18" ht="15.75" customHeight="1" x14ac:dyDescent="0.3">
      <c r="A452" s="266" t="s">
        <v>1497</v>
      </c>
      <c r="B452" s="172">
        <v>0</v>
      </c>
      <c r="C452" s="172">
        <v>0</v>
      </c>
      <c r="D452" s="172">
        <v>0</v>
      </c>
      <c r="E452" s="38">
        <f>SUM(B452:D452)</f>
        <v>0</v>
      </c>
      <c r="F452" s="172">
        <v>235</v>
      </c>
      <c r="G452" s="172">
        <v>551</v>
      </c>
      <c r="H452" s="172">
        <v>0</v>
      </c>
      <c r="I452" s="38">
        <f>SUM(F452:H452)</f>
        <v>786</v>
      </c>
      <c r="J452" s="172">
        <v>0</v>
      </c>
      <c r="K452" s="172">
        <v>0</v>
      </c>
      <c r="L452" s="172">
        <v>0</v>
      </c>
      <c r="M452" s="38">
        <f>SUM(J452:L452)</f>
        <v>0</v>
      </c>
      <c r="N452" s="172">
        <v>0</v>
      </c>
      <c r="O452" s="172">
        <v>0</v>
      </c>
      <c r="P452" s="172">
        <v>0</v>
      </c>
      <c r="Q452" s="38">
        <f>SUM(N452:P452)</f>
        <v>0</v>
      </c>
      <c r="R452" s="38">
        <f>+E452+I452+M452+Q452</f>
        <v>786</v>
      </c>
    </row>
    <row r="453" spans="1:18" ht="15.75" customHeight="1" x14ac:dyDescent="0.3">
      <c r="A453" s="234" t="s">
        <v>559</v>
      </c>
      <c r="B453" s="172"/>
      <c r="C453" s="172"/>
      <c r="D453" s="172"/>
      <c r="E453" s="38"/>
      <c r="F453" s="172"/>
      <c r="G453" s="172"/>
      <c r="H453" s="172"/>
      <c r="I453" s="38"/>
      <c r="J453" s="172"/>
      <c r="K453" s="172"/>
      <c r="L453" s="172"/>
      <c r="M453" s="38"/>
      <c r="N453" s="172"/>
      <c r="O453" s="172"/>
      <c r="P453" s="172"/>
      <c r="Q453" s="38"/>
      <c r="R453" s="38" t="s">
        <v>852</v>
      </c>
    </row>
    <row r="454" spans="1:18" ht="15.75" customHeight="1" x14ac:dyDescent="0.3">
      <c r="A454" s="266" t="s">
        <v>677</v>
      </c>
      <c r="B454" s="172">
        <v>0</v>
      </c>
      <c r="C454" s="172">
        <v>0</v>
      </c>
      <c r="D454" s="172">
        <v>0</v>
      </c>
      <c r="E454" s="38">
        <f t="shared" ref="E454:E459" si="89">SUM(B454:D454)</f>
        <v>0</v>
      </c>
      <c r="F454" s="172">
        <v>0</v>
      </c>
      <c r="G454" s="172">
        <v>0</v>
      </c>
      <c r="H454" s="172">
        <v>0</v>
      </c>
      <c r="I454" s="38">
        <f t="shared" ref="I454:I459" si="90">SUM(F454:H454)</f>
        <v>0</v>
      </c>
      <c r="J454" s="172">
        <v>0</v>
      </c>
      <c r="K454" s="172">
        <v>0</v>
      </c>
      <c r="L454" s="172">
        <v>0</v>
      </c>
      <c r="M454" s="38">
        <f t="shared" ref="M454:M459" si="91">SUM(J454:L454)</f>
        <v>0</v>
      </c>
      <c r="N454" s="172">
        <v>1530</v>
      </c>
      <c r="O454" s="172">
        <v>0</v>
      </c>
      <c r="P454" s="172">
        <v>0</v>
      </c>
      <c r="Q454" s="38">
        <f t="shared" ref="Q454:Q459" si="92">SUM(N454:P454)</f>
        <v>1530</v>
      </c>
      <c r="R454" s="38">
        <f t="shared" ref="R454:R459" si="93">+E454+I454+M454+Q454</f>
        <v>1530</v>
      </c>
    </row>
    <row r="455" spans="1:18" ht="15.75" customHeight="1" thickBot="1" x14ac:dyDescent="0.35">
      <c r="A455" s="266" t="s">
        <v>678</v>
      </c>
      <c r="B455" s="172">
        <v>0</v>
      </c>
      <c r="C455" s="172">
        <v>0</v>
      </c>
      <c r="D455" s="172">
        <v>0</v>
      </c>
      <c r="E455" s="38">
        <f t="shared" si="89"/>
        <v>0</v>
      </c>
      <c r="F455" s="172">
        <v>0</v>
      </c>
      <c r="G455" s="172">
        <v>0</v>
      </c>
      <c r="H455" s="172">
        <v>0</v>
      </c>
      <c r="I455" s="38">
        <f t="shared" si="90"/>
        <v>0</v>
      </c>
      <c r="J455" s="172">
        <v>0</v>
      </c>
      <c r="K455" s="172">
        <v>0</v>
      </c>
      <c r="L455" s="172">
        <v>0</v>
      </c>
      <c r="M455" s="38">
        <f t="shared" si="91"/>
        <v>0</v>
      </c>
      <c r="N455" s="172">
        <v>0</v>
      </c>
      <c r="O455" s="172">
        <v>0</v>
      </c>
      <c r="P455" s="172">
        <v>0</v>
      </c>
      <c r="Q455" s="38">
        <f t="shared" si="92"/>
        <v>0</v>
      </c>
      <c r="R455" s="38">
        <f t="shared" si="93"/>
        <v>0</v>
      </c>
    </row>
    <row r="456" spans="1:18" ht="15.75" customHeight="1" thickBot="1" x14ac:dyDescent="0.35">
      <c r="A456" s="43" t="s">
        <v>1019</v>
      </c>
      <c r="B456" s="42">
        <f>SUM(B449:B455)</f>
        <v>0</v>
      </c>
      <c r="C456" s="42">
        <f>SUM(C449:C455)</f>
        <v>0</v>
      </c>
      <c r="D456" s="42">
        <f>SUM(D449:D455)</f>
        <v>0</v>
      </c>
      <c r="E456" s="39">
        <f t="shared" si="89"/>
        <v>0</v>
      </c>
      <c r="F456" s="42">
        <f>SUM(F449:F455)</f>
        <v>235</v>
      </c>
      <c r="G456" s="42">
        <f>SUM(G449:G455)</f>
        <v>551</v>
      </c>
      <c r="H456" s="42">
        <f>SUM(H449:H455)</f>
        <v>0</v>
      </c>
      <c r="I456" s="39">
        <f t="shared" si="90"/>
        <v>786</v>
      </c>
      <c r="J456" s="42">
        <f>SUM(J449:J455)</f>
        <v>0</v>
      </c>
      <c r="K456" s="42">
        <f>SUM(K449:K455)</f>
        <v>891</v>
      </c>
      <c r="L456" s="42">
        <f>SUM(L449:L455)</f>
        <v>1738</v>
      </c>
      <c r="M456" s="39">
        <f t="shared" si="91"/>
        <v>2629</v>
      </c>
      <c r="N456" s="42">
        <f>SUM(N449:N455)</f>
        <v>2037</v>
      </c>
      <c r="O456" s="42">
        <f>SUM(O449:O455)</f>
        <v>0</v>
      </c>
      <c r="P456" s="42">
        <f>SUM(P449:P455)</f>
        <v>0</v>
      </c>
      <c r="Q456" s="39">
        <f t="shared" si="92"/>
        <v>2037</v>
      </c>
      <c r="R456" s="37">
        <f t="shared" si="93"/>
        <v>5452</v>
      </c>
    </row>
    <row r="457" spans="1:18" ht="15.75" customHeight="1" thickBot="1" x14ac:dyDescent="0.35">
      <c r="A457" s="277" t="s">
        <v>1221</v>
      </c>
      <c r="B457" s="45">
        <f>SUM(B446:B455)</f>
        <v>0</v>
      </c>
      <c r="C457" s="46">
        <f>SUM(C446:C455)</f>
        <v>0</v>
      </c>
      <c r="D457" s="58">
        <f>SUM(D446:D455)</f>
        <v>0</v>
      </c>
      <c r="E457" s="39">
        <f t="shared" si="89"/>
        <v>0</v>
      </c>
      <c r="F457" s="46">
        <f>SUM(F446:F455)</f>
        <v>235</v>
      </c>
      <c r="G457" s="46">
        <f>SUM(G446:G455)</f>
        <v>551</v>
      </c>
      <c r="H457" s="46">
        <f>SUM(H446:H455)</f>
        <v>0</v>
      </c>
      <c r="I457" s="39">
        <f t="shared" si="90"/>
        <v>786</v>
      </c>
      <c r="J457" s="46">
        <f>SUM(J446:J455)</f>
        <v>0</v>
      </c>
      <c r="K457" s="46">
        <f>SUM(K446:K455)</f>
        <v>891</v>
      </c>
      <c r="L457" s="46">
        <f>SUM(L446:L455)</f>
        <v>1738</v>
      </c>
      <c r="M457" s="39">
        <f t="shared" si="91"/>
        <v>2629</v>
      </c>
      <c r="N457" s="46">
        <f>SUM(N446:N455)</f>
        <v>2037</v>
      </c>
      <c r="O457" s="46">
        <f>SUM(O446:O455)</f>
        <v>0</v>
      </c>
      <c r="P457" s="46">
        <f>SUM(P446:P455)</f>
        <v>0</v>
      </c>
      <c r="Q457" s="39">
        <f t="shared" si="92"/>
        <v>2037</v>
      </c>
      <c r="R457" s="37">
        <f t="shared" si="93"/>
        <v>5452</v>
      </c>
    </row>
    <row r="458" spans="1:18" ht="15.75" customHeight="1" thickBot="1" x14ac:dyDescent="0.35">
      <c r="A458" s="43" t="s">
        <v>1222</v>
      </c>
      <c r="B458" s="47">
        <f>+B435+B441+B445+B457</f>
        <v>1115</v>
      </c>
      <c r="C458" s="42">
        <f>+C435+C441+C445+C457</f>
        <v>2012</v>
      </c>
      <c r="D458" s="42">
        <f>+D435+D441+D445+D457</f>
        <v>5083</v>
      </c>
      <c r="E458" s="37">
        <f t="shared" si="89"/>
        <v>8210</v>
      </c>
      <c r="F458" s="42">
        <f>+F435+F441+F445+F457</f>
        <v>7606</v>
      </c>
      <c r="G458" s="42">
        <f>+G435+G441+G445+G457</f>
        <v>4791</v>
      </c>
      <c r="H458" s="42">
        <f>+H435+H441+H445+H457</f>
        <v>4730</v>
      </c>
      <c r="I458" s="37">
        <f t="shared" si="90"/>
        <v>17127</v>
      </c>
      <c r="J458" s="42">
        <f>+J435+J441+J445+J457</f>
        <v>7410</v>
      </c>
      <c r="K458" s="42">
        <f>+K435+K441+K445+K457</f>
        <v>9281</v>
      </c>
      <c r="L458" s="42">
        <f>+L435+L441+L445+L457</f>
        <v>5988</v>
      </c>
      <c r="M458" s="37">
        <f t="shared" si="91"/>
        <v>22679</v>
      </c>
      <c r="N458" s="42">
        <f>+N435+N441+N445+N457</f>
        <v>2622</v>
      </c>
      <c r="O458" s="42">
        <f>+O435+O441+O445+O457</f>
        <v>182</v>
      </c>
      <c r="P458" s="42">
        <f>+P435+P441+P445+P457</f>
        <v>658</v>
      </c>
      <c r="Q458" s="37">
        <f t="shared" si="92"/>
        <v>3462</v>
      </c>
      <c r="R458" s="40">
        <f t="shared" si="93"/>
        <v>51478</v>
      </c>
    </row>
    <row r="459" spans="1:18" ht="15.75" customHeight="1" thickBot="1" x14ac:dyDescent="0.35">
      <c r="A459" s="244" t="s">
        <v>853</v>
      </c>
      <c r="B459" s="238">
        <v>23</v>
      </c>
      <c r="C459" s="238">
        <v>43</v>
      </c>
      <c r="D459" s="238">
        <v>66</v>
      </c>
      <c r="E459" s="40">
        <f t="shared" si="89"/>
        <v>132</v>
      </c>
      <c r="F459" s="238">
        <v>91</v>
      </c>
      <c r="G459" s="238">
        <v>108</v>
      </c>
      <c r="H459" s="238">
        <v>109</v>
      </c>
      <c r="I459" s="40">
        <f t="shared" si="90"/>
        <v>308</v>
      </c>
      <c r="J459" s="238">
        <v>104</v>
      </c>
      <c r="K459" s="238">
        <v>79</v>
      </c>
      <c r="L459" s="238">
        <v>80</v>
      </c>
      <c r="M459" s="40">
        <f t="shared" si="91"/>
        <v>263</v>
      </c>
      <c r="N459" s="238">
        <v>74</v>
      </c>
      <c r="O459" s="238">
        <v>58</v>
      </c>
      <c r="P459" s="238">
        <v>42</v>
      </c>
      <c r="Q459" s="40">
        <f t="shared" si="92"/>
        <v>174</v>
      </c>
      <c r="R459" s="38">
        <f t="shared" si="93"/>
        <v>877</v>
      </c>
    </row>
    <row r="460" spans="1:18" ht="15.75" customHeight="1" thickBot="1" x14ac:dyDescent="0.35">
      <c r="A460" s="22"/>
      <c r="B460" s="242"/>
      <c r="C460" s="242"/>
      <c r="D460" s="242"/>
      <c r="E460" s="21"/>
      <c r="F460" s="242"/>
      <c r="G460" s="242"/>
      <c r="H460" s="242"/>
      <c r="I460" s="31"/>
      <c r="J460" s="242"/>
      <c r="K460" s="242"/>
      <c r="L460" s="242"/>
      <c r="M460" s="31"/>
      <c r="N460" s="242"/>
      <c r="O460" s="242"/>
      <c r="P460" s="242"/>
      <c r="Q460" s="31"/>
      <c r="R460" s="21"/>
    </row>
    <row r="461" spans="1:18" ht="15.75" customHeight="1" x14ac:dyDescent="0.3">
      <c r="A461" s="234" t="s">
        <v>120</v>
      </c>
      <c r="B461" s="260">
        <f>SUM(B458:B459)</f>
        <v>1138</v>
      </c>
      <c r="C461" s="260">
        <f>SUM(C458:C459)</f>
        <v>2055</v>
      </c>
      <c r="D461" s="260">
        <f>SUM(D458:D459)</f>
        <v>5149</v>
      </c>
      <c r="E461" s="39">
        <f>SUM(B461:D461)</f>
        <v>8342</v>
      </c>
      <c r="F461" s="260">
        <f>SUM(F458:F459)</f>
        <v>7697</v>
      </c>
      <c r="G461" s="260">
        <f>SUM(G458:G459)</f>
        <v>4899</v>
      </c>
      <c r="H461" s="260">
        <f>SUM(H458:H459)</f>
        <v>4839</v>
      </c>
      <c r="I461" s="39">
        <f>SUM(F461:H461)</f>
        <v>17435</v>
      </c>
      <c r="J461" s="260">
        <f>SUM(J458:J459)</f>
        <v>7514</v>
      </c>
      <c r="K461" s="260">
        <f>SUM(K458:K459)</f>
        <v>9360</v>
      </c>
      <c r="L461" s="260">
        <f>SUM(L458:L459)</f>
        <v>6068</v>
      </c>
      <c r="M461" s="39">
        <f>SUM(J461:L461)</f>
        <v>22942</v>
      </c>
      <c r="N461" s="260">
        <f>SUM(N458:N459)</f>
        <v>2696</v>
      </c>
      <c r="O461" s="260">
        <f>SUM(O458:O459)</f>
        <v>240</v>
      </c>
      <c r="P461" s="260">
        <f>SUM(P458:P459)</f>
        <v>700</v>
      </c>
      <c r="Q461" s="39">
        <f>SUM(N461:P461)</f>
        <v>3636</v>
      </c>
      <c r="R461" s="39">
        <f>+E461+I461+M461+Q461</f>
        <v>52355</v>
      </c>
    </row>
    <row r="462" spans="1:18" ht="15.75" customHeight="1" x14ac:dyDescent="0.3">
      <c r="A462" s="234" t="s">
        <v>1897</v>
      </c>
      <c r="B462" s="172">
        <f>(B461/31)/1.983</f>
        <v>18.512192344606575</v>
      </c>
      <c r="C462" s="172">
        <f>(C461/28)/1.983</f>
        <v>37.01102226064404</v>
      </c>
      <c r="D462" s="172">
        <f>(D461/31)/1.983</f>
        <v>83.7603500723895</v>
      </c>
      <c r="E462" s="38" t="s">
        <v>852</v>
      </c>
      <c r="F462" s="172">
        <f>(F461/30)/1.983</f>
        <v>129.3830895948899</v>
      </c>
      <c r="G462" s="172">
        <f>(G461/31)/1.983</f>
        <v>79.693523986140249</v>
      </c>
      <c r="H462" s="172">
        <f>(H461/30)/1.983</f>
        <v>81.341401916288447</v>
      </c>
      <c r="I462" s="38" t="s">
        <v>852</v>
      </c>
      <c r="J462" s="172">
        <f>(J461/31)/1.983</f>
        <v>122.23252484830738</v>
      </c>
      <c r="K462" s="172">
        <f>(K461/31)/1.983</f>
        <v>152.26196866917184</v>
      </c>
      <c r="L462" s="172">
        <f>(L461/30)/1.983</f>
        <v>102.00033619095646</v>
      </c>
      <c r="M462" s="38" t="s">
        <v>852</v>
      </c>
      <c r="N462" s="172">
        <f>(N461/31)/1.983</f>
        <v>43.856652514111886</v>
      </c>
      <c r="O462" s="172">
        <f>(O461/30)/1.983</f>
        <v>4.0342914775592531</v>
      </c>
      <c r="P462" s="172">
        <f>(P461/31)/1.983</f>
        <v>11.387113041497894</v>
      </c>
      <c r="Q462" s="38" t="s">
        <v>852</v>
      </c>
      <c r="R462" s="38" t="s">
        <v>852</v>
      </c>
    </row>
    <row r="463" spans="1:18" ht="15.75" customHeight="1" x14ac:dyDescent="0.3">
      <c r="A463" s="234" t="s">
        <v>1433</v>
      </c>
      <c r="B463" s="172">
        <f>B461+B511</f>
        <v>14836</v>
      </c>
      <c r="C463" s="172">
        <f>C461+C511</f>
        <v>13038</v>
      </c>
      <c r="D463" s="172">
        <f>D461+D511</f>
        <v>23486</v>
      </c>
      <c r="E463" s="38">
        <f>SUM(B463:D463)</f>
        <v>51360</v>
      </c>
      <c r="F463" s="172">
        <f>F461+F511</f>
        <v>31535</v>
      </c>
      <c r="G463" s="172">
        <f>G461+G511</f>
        <v>27408</v>
      </c>
      <c r="H463" s="172">
        <f>H461+H511</f>
        <v>25547</v>
      </c>
      <c r="I463" s="38">
        <f>SUM(F463:H463)</f>
        <v>84490</v>
      </c>
      <c r="J463" s="172">
        <f>J461+J511</f>
        <v>29500</v>
      </c>
      <c r="K463" s="172">
        <f>K461+K511</f>
        <v>33808</v>
      </c>
      <c r="L463" s="172">
        <f>L461+L511</f>
        <v>28626</v>
      </c>
      <c r="M463" s="38">
        <f>SUM(J463:L463)</f>
        <v>91934</v>
      </c>
      <c r="N463" s="172">
        <f>N461+N511</f>
        <v>18688</v>
      </c>
      <c r="O463" s="172">
        <f>O461+O511</f>
        <v>9592</v>
      </c>
      <c r="P463" s="172">
        <f>P461+P511</f>
        <v>14793</v>
      </c>
      <c r="Q463" s="38">
        <f>SUM(N463:P463)</f>
        <v>43073</v>
      </c>
      <c r="R463" s="38">
        <f>+E463+I463+M463+Q463</f>
        <v>270857</v>
      </c>
    </row>
    <row r="464" spans="1:18" ht="15.75" customHeight="1" thickBot="1" x14ac:dyDescent="0.35">
      <c r="A464" s="237" t="s">
        <v>426</v>
      </c>
      <c r="B464" s="264">
        <f>(B463/31)/1.983</f>
        <v>241.34172726237534</v>
      </c>
      <c r="C464" s="264">
        <f>(C463/28)/1.983</f>
        <v>234.81737626972119</v>
      </c>
      <c r="D464" s="264">
        <f>(D463/31)/1.983</f>
        <v>382.05390984659931</v>
      </c>
      <c r="E464" s="40" t="s">
        <v>852</v>
      </c>
      <c r="F464" s="264">
        <f>(F463/30)/1.983</f>
        <v>530.08909060346275</v>
      </c>
      <c r="G464" s="264">
        <f>(G463/31)/1.983</f>
        <v>445.85427748767751</v>
      </c>
      <c r="H464" s="264">
        <f>(H463/30)/1.983</f>
        <v>429.4335182383594</v>
      </c>
      <c r="I464" s="40" t="s">
        <v>852</v>
      </c>
      <c r="J464" s="264">
        <f>(J463/31)/1.983</f>
        <v>479.88547817741119</v>
      </c>
      <c r="K464" s="264">
        <f>(K463/31)/1.983</f>
        <v>549.96502529565817</v>
      </c>
      <c r="L464" s="264">
        <f>(L463/30)/1.983</f>
        <v>481.19011598587997</v>
      </c>
      <c r="M464" s="40" t="s">
        <v>852</v>
      </c>
      <c r="N464" s="264">
        <f>(N463/31)/1.983</f>
        <v>304.00338359930379</v>
      </c>
      <c r="O464" s="264">
        <f>(O463/30)/1.983</f>
        <v>161.23718271978484</v>
      </c>
      <c r="P464" s="264">
        <f>(P463/31)/1.983</f>
        <v>240.64223317554047</v>
      </c>
      <c r="Q464" s="40" t="s">
        <v>852</v>
      </c>
      <c r="R464" s="40" t="s">
        <v>852</v>
      </c>
    </row>
    <row r="465" spans="1:18" ht="15.75" customHeight="1" x14ac:dyDescent="0.3">
      <c r="A465" s="17"/>
      <c r="B465" s="172"/>
      <c r="C465" s="172"/>
      <c r="D465" s="172"/>
      <c r="E465" s="172"/>
      <c r="F465" s="172"/>
      <c r="G465" s="172"/>
      <c r="H465" s="172"/>
      <c r="I465" s="172"/>
      <c r="J465" s="172"/>
      <c r="K465" s="172"/>
      <c r="L465" s="172"/>
      <c r="M465" s="172"/>
      <c r="N465" s="172"/>
      <c r="O465" s="172"/>
      <c r="P465" s="172"/>
      <c r="Q465" s="172"/>
      <c r="R465" s="17"/>
    </row>
    <row r="466" spans="1:18" ht="15.75" customHeight="1" thickBot="1" x14ac:dyDescent="0.35">
      <c r="A466" s="17"/>
      <c r="B466" s="172"/>
      <c r="C466" s="172"/>
      <c r="D466" s="172"/>
      <c r="E466" s="172"/>
      <c r="F466" s="172"/>
      <c r="G466" s="172"/>
      <c r="H466" s="172"/>
      <c r="I466" s="172"/>
      <c r="J466" s="172"/>
      <c r="K466" s="172"/>
      <c r="L466" s="172"/>
      <c r="M466" s="172"/>
      <c r="N466" s="172"/>
      <c r="O466" s="172"/>
      <c r="P466" s="172"/>
      <c r="Q466" s="172"/>
      <c r="R466" s="17"/>
    </row>
    <row r="467" spans="1:18" ht="15.75" customHeight="1" thickBot="1" x14ac:dyDescent="0.35">
      <c r="A467" s="278" t="s">
        <v>1069</v>
      </c>
      <c r="B467" s="4" t="s">
        <v>2090</v>
      </c>
      <c r="C467" s="5" t="s">
        <v>2091</v>
      </c>
      <c r="D467" s="5" t="s">
        <v>2234</v>
      </c>
      <c r="E467" s="33" t="s">
        <v>1594</v>
      </c>
      <c r="F467" s="5" t="s">
        <v>2235</v>
      </c>
      <c r="G467" s="5" t="s">
        <v>2236</v>
      </c>
      <c r="H467" s="5" t="s">
        <v>2237</v>
      </c>
      <c r="I467" s="35" t="s">
        <v>1595</v>
      </c>
      <c r="J467" s="5" t="s">
        <v>1504</v>
      </c>
      <c r="K467" s="5" t="s">
        <v>1505</v>
      </c>
      <c r="L467" s="5" t="s">
        <v>1506</v>
      </c>
      <c r="M467" s="35" t="s">
        <v>1596</v>
      </c>
      <c r="N467" s="5" t="s">
        <v>1507</v>
      </c>
      <c r="O467" s="5" t="s">
        <v>1508</v>
      </c>
      <c r="P467" s="5" t="s">
        <v>1509</v>
      </c>
      <c r="Q467" s="35" t="s">
        <v>1597</v>
      </c>
      <c r="R467" s="36" t="s">
        <v>1510</v>
      </c>
    </row>
    <row r="468" spans="1:18" ht="15.75" customHeight="1" thickBot="1" x14ac:dyDescent="0.35">
      <c r="A468" s="37"/>
      <c r="B468" s="258"/>
      <c r="C468" s="258"/>
      <c r="D468" s="258"/>
      <c r="E468" s="254"/>
      <c r="F468" s="258"/>
      <c r="G468" s="258"/>
      <c r="H468" s="258"/>
      <c r="I468" s="265"/>
      <c r="J468" s="258"/>
      <c r="K468" s="258"/>
      <c r="L468" s="258"/>
      <c r="M468" s="265"/>
      <c r="N468" s="258"/>
      <c r="O468" s="258"/>
      <c r="P468" s="258"/>
      <c r="Q468" s="265"/>
      <c r="R468" s="52"/>
    </row>
    <row r="469" spans="1:18" ht="15.75" customHeight="1" x14ac:dyDescent="0.3">
      <c r="A469" s="234" t="s">
        <v>2417</v>
      </c>
      <c r="B469" s="172" t="s">
        <v>852</v>
      </c>
      <c r="C469" s="172" t="s">
        <v>852</v>
      </c>
      <c r="D469" s="172" t="s">
        <v>852</v>
      </c>
      <c r="E469" s="38" t="s">
        <v>852</v>
      </c>
      <c r="F469" s="172" t="s">
        <v>852</v>
      </c>
      <c r="G469" s="172" t="s">
        <v>852</v>
      </c>
      <c r="H469" s="172" t="s">
        <v>852</v>
      </c>
      <c r="I469" s="38" t="s">
        <v>852</v>
      </c>
      <c r="J469" s="172" t="s">
        <v>852</v>
      </c>
      <c r="K469" s="172" t="s">
        <v>852</v>
      </c>
      <c r="L469" s="172" t="s">
        <v>852</v>
      </c>
      <c r="M469" s="38" t="s">
        <v>852</v>
      </c>
      <c r="N469" s="172" t="s">
        <v>852</v>
      </c>
      <c r="O469" s="172" t="s">
        <v>852</v>
      </c>
      <c r="P469" s="172" t="s">
        <v>852</v>
      </c>
      <c r="Q469" s="38" t="s">
        <v>852</v>
      </c>
      <c r="R469" s="38" t="s">
        <v>852</v>
      </c>
    </row>
    <row r="470" spans="1:18" ht="15.75" customHeight="1" x14ac:dyDescent="0.3">
      <c r="A470" s="234" t="s">
        <v>2160</v>
      </c>
      <c r="B470" s="172"/>
      <c r="C470" s="172"/>
      <c r="D470" s="172"/>
      <c r="E470" s="38" t="s">
        <v>852</v>
      </c>
      <c r="F470" s="172"/>
      <c r="G470" s="172"/>
      <c r="H470" s="172"/>
      <c r="I470" s="38" t="s">
        <v>852</v>
      </c>
      <c r="J470" s="172"/>
      <c r="K470" s="172"/>
      <c r="L470" s="172"/>
      <c r="M470" s="38" t="s">
        <v>852</v>
      </c>
      <c r="N470" s="172"/>
      <c r="O470" s="172"/>
      <c r="P470" s="172"/>
      <c r="Q470" s="38" t="s">
        <v>852</v>
      </c>
      <c r="R470" s="38" t="s">
        <v>852</v>
      </c>
    </row>
    <row r="471" spans="1:18" ht="15.75" customHeight="1" x14ac:dyDescent="0.3">
      <c r="A471" s="266" t="s">
        <v>1185</v>
      </c>
      <c r="B471" s="172">
        <v>0</v>
      </c>
      <c r="C471" s="172">
        <v>0</v>
      </c>
      <c r="D471" s="172">
        <v>670</v>
      </c>
      <c r="E471" s="38">
        <f>SUM(B471:D471)</f>
        <v>670</v>
      </c>
      <c r="F471" s="172">
        <v>2766</v>
      </c>
      <c r="G471" s="172">
        <v>1200</v>
      </c>
      <c r="H471" s="172">
        <v>1041</v>
      </c>
      <c r="I471" s="38">
        <f>SUM(F471:H471)</f>
        <v>5007</v>
      </c>
      <c r="J471" s="172">
        <v>865</v>
      </c>
      <c r="K471" s="172">
        <v>94</v>
      </c>
      <c r="L471" s="172">
        <v>0</v>
      </c>
      <c r="M471" s="38">
        <f>SUM(J471:L471)</f>
        <v>959</v>
      </c>
      <c r="N471" s="172">
        <v>0</v>
      </c>
      <c r="O471" s="172">
        <v>0</v>
      </c>
      <c r="P471" s="172">
        <v>0</v>
      </c>
      <c r="Q471" s="38">
        <f>SUM(N471:P471)</f>
        <v>0</v>
      </c>
      <c r="R471" s="38">
        <f>+E471+I471+M471+Q471</f>
        <v>6636</v>
      </c>
    </row>
    <row r="472" spans="1:18" ht="15.75" customHeight="1" x14ac:dyDescent="0.3">
      <c r="A472" s="266" t="s">
        <v>1836</v>
      </c>
      <c r="B472" s="172">
        <v>0</v>
      </c>
      <c r="C472" s="172">
        <v>0</v>
      </c>
      <c r="D472" s="172">
        <v>0</v>
      </c>
      <c r="E472" s="38">
        <f>SUM(B472:D472)</f>
        <v>0</v>
      </c>
      <c r="F472" s="172">
        <v>0</v>
      </c>
      <c r="G472" s="172">
        <v>0</v>
      </c>
      <c r="H472" s="172">
        <v>0</v>
      </c>
      <c r="I472" s="38">
        <f>SUM(F472:H472)</f>
        <v>0</v>
      </c>
      <c r="J472" s="172">
        <v>0</v>
      </c>
      <c r="K472" s="172">
        <v>0</v>
      </c>
      <c r="L472" s="172">
        <v>0</v>
      </c>
      <c r="M472" s="38">
        <f>SUM(J472:L472)</f>
        <v>0</v>
      </c>
      <c r="N472" s="172">
        <v>0</v>
      </c>
      <c r="O472" s="172">
        <v>0</v>
      </c>
      <c r="P472" s="172">
        <v>0</v>
      </c>
      <c r="Q472" s="38">
        <f>SUM(N472:P472)</f>
        <v>0</v>
      </c>
      <c r="R472" s="38">
        <f>+E472+I472+M472+Q472</f>
        <v>0</v>
      </c>
    </row>
    <row r="473" spans="1:18" ht="15.75" customHeight="1" x14ac:dyDescent="0.3">
      <c r="A473" s="266" t="s">
        <v>639</v>
      </c>
      <c r="B473" s="172">
        <v>0</v>
      </c>
      <c r="C473" s="172">
        <v>0</v>
      </c>
      <c r="D473" s="172">
        <v>100</v>
      </c>
      <c r="E473" s="38">
        <f>SUM(B473:D473)</f>
        <v>100</v>
      </c>
      <c r="F473" s="172">
        <v>0</v>
      </c>
      <c r="G473" s="172">
        <v>0</v>
      </c>
      <c r="H473" s="172">
        <v>0</v>
      </c>
      <c r="I473" s="38">
        <f>SUM(F473:H473)</f>
        <v>0</v>
      </c>
      <c r="J473" s="172">
        <v>0</v>
      </c>
      <c r="K473" s="172">
        <v>0</v>
      </c>
      <c r="L473" s="172">
        <v>0</v>
      </c>
      <c r="M473" s="38">
        <f>SUM(J473:L473)</f>
        <v>0</v>
      </c>
      <c r="N473" s="172">
        <v>0</v>
      </c>
      <c r="O473" s="172">
        <v>0</v>
      </c>
      <c r="P473" s="172">
        <v>0</v>
      </c>
      <c r="Q473" s="38">
        <f>SUM(N473:P473)</f>
        <v>0</v>
      </c>
      <c r="R473" s="38">
        <f>+E473+I473+M473+Q473</f>
        <v>100</v>
      </c>
    </row>
    <row r="474" spans="1:18" ht="15.75" customHeight="1" x14ac:dyDescent="0.3">
      <c r="A474" s="266" t="s">
        <v>1295</v>
      </c>
      <c r="B474" s="172">
        <v>47</v>
      </c>
      <c r="C474" s="172">
        <v>0</v>
      </c>
      <c r="D474" s="172">
        <v>0</v>
      </c>
      <c r="E474" s="38">
        <f>SUM(B474:D474)</f>
        <v>47</v>
      </c>
      <c r="F474" s="172">
        <v>0</v>
      </c>
      <c r="G474" s="172">
        <v>0</v>
      </c>
      <c r="H474" s="172">
        <v>0</v>
      </c>
      <c r="I474" s="38">
        <f>SUM(F474:H474)</f>
        <v>0</v>
      </c>
      <c r="J474" s="172">
        <v>0</v>
      </c>
      <c r="K474" s="172">
        <v>0</v>
      </c>
      <c r="L474" s="172">
        <v>0</v>
      </c>
      <c r="M474" s="38">
        <f>SUM(J474:L474)</f>
        <v>0</v>
      </c>
      <c r="N474" s="172">
        <v>0</v>
      </c>
      <c r="O474" s="172">
        <v>0</v>
      </c>
      <c r="P474" s="172">
        <v>0</v>
      </c>
      <c r="Q474" s="38">
        <f>SUM(N474:P474)</f>
        <v>0</v>
      </c>
      <c r="R474" s="38">
        <f>+E474+I474+M474+Q474</f>
        <v>47</v>
      </c>
    </row>
    <row r="475" spans="1:18" ht="15.75" customHeight="1" x14ac:dyDescent="0.3">
      <c r="A475" s="266" t="s">
        <v>1418</v>
      </c>
      <c r="B475" s="172">
        <v>0</v>
      </c>
      <c r="C475" s="172">
        <v>0</v>
      </c>
      <c r="D475" s="172">
        <v>82</v>
      </c>
      <c r="E475" s="38">
        <f>SUM(B475:D475)</f>
        <v>82</v>
      </c>
      <c r="F475" s="172">
        <v>2098</v>
      </c>
      <c r="G475" s="172">
        <v>1302</v>
      </c>
      <c r="H475" s="172">
        <v>806</v>
      </c>
      <c r="I475" s="38">
        <f>SUM(F475:H475)</f>
        <v>4206</v>
      </c>
      <c r="J475" s="172">
        <v>1201</v>
      </c>
      <c r="K475" s="172">
        <v>1437</v>
      </c>
      <c r="L475" s="172">
        <v>1107</v>
      </c>
      <c r="M475" s="38">
        <f>SUM(J475:L475)</f>
        <v>3745</v>
      </c>
      <c r="N475" s="172">
        <v>202</v>
      </c>
      <c r="O475" s="172">
        <v>10</v>
      </c>
      <c r="P475" s="172">
        <v>0</v>
      </c>
      <c r="Q475" s="38">
        <f>SUM(N475:P475)</f>
        <v>212</v>
      </c>
      <c r="R475" s="38">
        <f>+E475+I475+M475+Q475</f>
        <v>8245</v>
      </c>
    </row>
    <row r="476" spans="1:18" ht="15.75" customHeight="1" x14ac:dyDescent="0.3">
      <c r="A476" s="234" t="s">
        <v>2161</v>
      </c>
      <c r="B476" s="172"/>
      <c r="C476" s="172"/>
      <c r="D476" s="172"/>
      <c r="E476" s="38" t="s">
        <v>852</v>
      </c>
      <c r="F476" s="172"/>
      <c r="G476" s="172"/>
      <c r="H476" s="172"/>
      <c r="I476" s="38" t="s">
        <v>852</v>
      </c>
      <c r="J476" s="172"/>
      <c r="K476" s="172"/>
      <c r="L476" s="172"/>
      <c r="M476" s="38" t="s">
        <v>852</v>
      </c>
      <c r="N476" s="172"/>
      <c r="O476" s="172"/>
      <c r="P476" s="172"/>
      <c r="Q476" s="38" t="s">
        <v>852</v>
      </c>
      <c r="R476" s="38" t="s">
        <v>852</v>
      </c>
    </row>
    <row r="477" spans="1:18" ht="15.75" customHeight="1" x14ac:dyDescent="0.3">
      <c r="A477" s="266" t="s">
        <v>1295</v>
      </c>
      <c r="B477" s="172">
        <v>1630</v>
      </c>
      <c r="C477" s="172">
        <v>370</v>
      </c>
      <c r="D477" s="172">
        <v>0</v>
      </c>
      <c r="E477" s="38">
        <f>SUM(B477:D477)</f>
        <v>2000</v>
      </c>
      <c r="F477" s="172">
        <v>0</v>
      </c>
      <c r="G477" s="172">
        <v>0</v>
      </c>
      <c r="H477" s="172">
        <v>0</v>
      </c>
      <c r="I477" s="38">
        <f>SUM(F477:H477)</f>
        <v>0</v>
      </c>
      <c r="J477" s="172">
        <v>0</v>
      </c>
      <c r="K477" s="172">
        <v>0</v>
      </c>
      <c r="L477" s="172">
        <v>0</v>
      </c>
      <c r="M477" s="38">
        <f>SUM(J477:L477)</f>
        <v>0</v>
      </c>
      <c r="N477" s="172">
        <v>0</v>
      </c>
      <c r="O477" s="172">
        <v>500</v>
      </c>
      <c r="P477" s="172">
        <v>0</v>
      </c>
      <c r="Q477" s="38">
        <f>SUM(N477:P477)</f>
        <v>500</v>
      </c>
      <c r="R477" s="38">
        <f>+E477+I477+M477+Q477</f>
        <v>2500</v>
      </c>
    </row>
    <row r="478" spans="1:18" ht="15.75" customHeight="1" x14ac:dyDescent="0.3">
      <c r="A478" s="234" t="s">
        <v>2162</v>
      </c>
      <c r="B478" s="172"/>
      <c r="C478" s="172"/>
      <c r="D478" s="172"/>
      <c r="E478" s="38" t="s">
        <v>852</v>
      </c>
      <c r="F478" s="172"/>
      <c r="G478" s="172"/>
      <c r="H478" s="172"/>
      <c r="I478" s="38" t="s">
        <v>852</v>
      </c>
      <c r="J478" s="172"/>
      <c r="K478" s="172"/>
      <c r="L478" s="172"/>
      <c r="M478" s="38" t="s">
        <v>852</v>
      </c>
      <c r="N478" s="172"/>
      <c r="O478" s="172"/>
      <c r="P478" s="172"/>
      <c r="Q478" s="38" t="s">
        <v>852</v>
      </c>
      <c r="R478" s="38" t="s">
        <v>852</v>
      </c>
    </row>
    <row r="479" spans="1:18" ht="15.75" customHeight="1" x14ac:dyDescent="0.3">
      <c r="A479" s="234" t="s">
        <v>2292</v>
      </c>
      <c r="B479" s="172">
        <v>423</v>
      </c>
      <c r="C479" s="172">
        <v>0</v>
      </c>
      <c r="D479" s="172">
        <v>0</v>
      </c>
      <c r="E479" s="38">
        <f>SUM(B479:D479)</f>
        <v>423</v>
      </c>
      <c r="F479" s="172">
        <v>0</v>
      </c>
      <c r="G479" s="172">
        <v>0</v>
      </c>
      <c r="H479" s="172">
        <v>0</v>
      </c>
      <c r="I479" s="38">
        <f>SUM(F479:H479)</f>
        <v>0</v>
      </c>
      <c r="J479" s="172">
        <v>0</v>
      </c>
      <c r="K479" s="172">
        <v>0</v>
      </c>
      <c r="L479" s="172">
        <v>0</v>
      </c>
      <c r="M479" s="38">
        <f>SUM(J479:L479)</f>
        <v>0</v>
      </c>
      <c r="N479" s="172">
        <v>0</v>
      </c>
      <c r="O479" s="172">
        <v>0</v>
      </c>
      <c r="P479" s="172">
        <v>0</v>
      </c>
      <c r="Q479" s="38">
        <f>SUM(N479:P479)</f>
        <v>0</v>
      </c>
      <c r="R479" s="38">
        <f>+E479+I479+M479+Q479</f>
        <v>423</v>
      </c>
    </row>
    <row r="480" spans="1:18" ht="15.75" customHeight="1" thickBot="1" x14ac:dyDescent="0.35">
      <c r="A480" s="234" t="s">
        <v>2164</v>
      </c>
      <c r="B480" s="172"/>
      <c r="C480" s="172"/>
      <c r="D480" s="172"/>
      <c r="E480" s="38" t="s">
        <v>852</v>
      </c>
      <c r="F480" s="172"/>
      <c r="G480" s="172"/>
      <c r="H480" s="172"/>
      <c r="I480" s="38" t="s">
        <v>852</v>
      </c>
      <c r="J480" s="172"/>
      <c r="K480" s="172"/>
      <c r="L480" s="172"/>
      <c r="M480" s="38" t="s">
        <v>852</v>
      </c>
      <c r="N480" s="172"/>
      <c r="O480" s="172"/>
      <c r="P480" s="172"/>
      <c r="Q480" s="38" t="s">
        <v>852</v>
      </c>
      <c r="R480" s="38" t="s">
        <v>852</v>
      </c>
    </row>
    <row r="481" spans="1:18" ht="15.75" customHeight="1" thickBot="1" x14ac:dyDescent="0.35">
      <c r="A481" s="276" t="s">
        <v>1218</v>
      </c>
      <c r="B481" s="45">
        <f>SUM(B469:B480)</f>
        <v>2100</v>
      </c>
      <c r="C481" s="46">
        <f>SUM(C469:C480)</f>
        <v>370</v>
      </c>
      <c r="D481" s="46">
        <f>SUM(D469:D480)</f>
        <v>852</v>
      </c>
      <c r="E481" s="37">
        <f>SUM(B481:D481)</f>
        <v>3322</v>
      </c>
      <c r="F481" s="46">
        <f>SUM(F469:F480)</f>
        <v>4864</v>
      </c>
      <c r="G481" s="46">
        <f>SUM(G469:G480)</f>
        <v>2502</v>
      </c>
      <c r="H481" s="46">
        <f>SUM(H469:H480)</f>
        <v>1847</v>
      </c>
      <c r="I481" s="37">
        <f>SUM(F481:H481)</f>
        <v>9213</v>
      </c>
      <c r="J481" s="46">
        <f>SUM(J469:J480)</f>
        <v>2066</v>
      </c>
      <c r="K481" s="46">
        <f>SUM(K469:K480)</f>
        <v>1531</v>
      </c>
      <c r="L481" s="46">
        <f>SUM(L469:L480)</f>
        <v>1107</v>
      </c>
      <c r="M481" s="37">
        <f>SUM(J481:L481)</f>
        <v>4704</v>
      </c>
      <c r="N481" s="46">
        <f>SUM(N469:N480)</f>
        <v>202</v>
      </c>
      <c r="O481" s="46">
        <f>SUM(O469:O480)</f>
        <v>510</v>
      </c>
      <c r="P481" s="46">
        <f>SUM(P469:P480)</f>
        <v>0</v>
      </c>
      <c r="Q481" s="37">
        <f>SUM(N481:P481)</f>
        <v>712</v>
      </c>
      <c r="R481" s="37">
        <f>+E481+I481+M481+Q481</f>
        <v>17951</v>
      </c>
    </row>
    <row r="482" spans="1:18" ht="15.75" customHeight="1" x14ac:dyDescent="0.3">
      <c r="A482" s="234" t="s">
        <v>1172</v>
      </c>
      <c r="B482" s="172"/>
      <c r="C482" s="172"/>
      <c r="D482" s="172"/>
      <c r="E482" s="38" t="s">
        <v>852</v>
      </c>
      <c r="F482" s="172"/>
      <c r="G482" s="172"/>
      <c r="H482" s="172"/>
      <c r="I482" s="38" t="s">
        <v>852</v>
      </c>
      <c r="J482" s="172"/>
      <c r="K482" s="172"/>
      <c r="L482" s="172"/>
      <c r="M482" s="38" t="s">
        <v>852</v>
      </c>
      <c r="N482" s="172"/>
      <c r="O482" s="172"/>
      <c r="P482" s="172"/>
      <c r="Q482" s="38" t="s">
        <v>852</v>
      </c>
      <c r="R482" s="38" t="s">
        <v>852</v>
      </c>
    </row>
    <row r="483" spans="1:18" ht="15.75" customHeight="1" x14ac:dyDescent="0.3">
      <c r="A483" s="234" t="s">
        <v>2409</v>
      </c>
      <c r="B483" s="172"/>
      <c r="C483" s="172"/>
      <c r="D483" s="172"/>
      <c r="E483" s="38" t="s">
        <v>852</v>
      </c>
      <c r="F483" s="172"/>
      <c r="G483" s="172"/>
      <c r="H483" s="172"/>
      <c r="I483" s="38" t="s">
        <v>852</v>
      </c>
      <c r="J483" s="172"/>
      <c r="K483" s="172"/>
      <c r="L483" s="172"/>
      <c r="M483" s="38" t="s">
        <v>852</v>
      </c>
      <c r="N483" s="172"/>
      <c r="O483" s="172"/>
      <c r="P483" s="172"/>
      <c r="Q483" s="38" t="s">
        <v>852</v>
      </c>
      <c r="R483" s="38" t="s">
        <v>852</v>
      </c>
    </row>
    <row r="484" spans="1:18" ht="15.75" customHeight="1" x14ac:dyDescent="0.3">
      <c r="A484" s="266" t="s">
        <v>2478</v>
      </c>
      <c r="B484" s="172">
        <v>414</v>
      </c>
      <c r="C484" s="172">
        <v>383</v>
      </c>
      <c r="D484" s="172">
        <v>838</v>
      </c>
      <c r="E484" s="38">
        <f>SUM(B484:D484)</f>
        <v>1635</v>
      </c>
      <c r="F484" s="172">
        <v>0</v>
      </c>
      <c r="G484" s="172">
        <v>0</v>
      </c>
      <c r="H484" s="172">
        <v>0</v>
      </c>
      <c r="I484" s="38">
        <f>SUM(F484:H484)</f>
        <v>0</v>
      </c>
      <c r="J484" s="172">
        <v>0</v>
      </c>
      <c r="K484" s="172">
        <v>0</v>
      </c>
      <c r="L484" s="172">
        <v>0</v>
      </c>
      <c r="M484" s="38">
        <f>SUM(J484:L484)</f>
        <v>0</v>
      </c>
      <c r="N484" s="172">
        <v>0</v>
      </c>
      <c r="O484" s="172">
        <v>0</v>
      </c>
      <c r="P484" s="172">
        <v>0</v>
      </c>
      <c r="Q484" s="38">
        <f>SUM(N484:P484)</f>
        <v>0</v>
      </c>
      <c r="R484" s="38">
        <f>+E484+I484+M484+Q484</f>
        <v>1635</v>
      </c>
    </row>
    <row r="485" spans="1:18" ht="15.75" customHeight="1" thickBot="1" x14ac:dyDescent="0.35">
      <c r="A485" s="234" t="s">
        <v>2165</v>
      </c>
      <c r="B485" s="172"/>
      <c r="C485" s="172"/>
      <c r="D485" s="172"/>
      <c r="E485" s="38" t="s">
        <v>852</v>
      </c>
      <c r="F485" s="172"/>
      <c r="G485" s="172"/>
      <c r="H485" s="172"/>
      <c r="I485" s="38" t="s">
        <v>852</v>
      </c>
      <c r="J485" s="172"/>
      <c r="K485" s="172"/>
      <c r="L485" s="172"/>
      <c r="M485" s="38" t="s">
        <v>852</v>
      </c>
      <c r="N485" s="172"/>
      <c r="O485" s="172"/>
      <c r="P485" s="172"/>
      <c r="Q485" s="38" t="s">
        <v>852</v>
      </c>
      <c r="R485" s="38" t="s">
        <v>852</v>
      </c>
    </row>
    <row r="486" spans="1:18" ht="15.75" customHeight="1" thickBot="1" x14ac:dyDescent="0.35">
      <c r="A486" s="43" t="s">
        <v>1219</v>
      </c>
      <c r="B486" s="45">
        <f>SUM(B482:B485)</f>
        <v>414</v>
      </c>
      <c r="C486" s="46">
        <f>SUM(C482:C485)</f>
        <v>383</v>
      </c>
      <c r="D486" s="46">
        <f>SUM(D482:D485)</f>
        <v>838</v>
      </c>
      <c r="E486" s="37">
        <f>SUM(B486:D486)</f>
        <v>1635</v>
      </c>
      <c r="F486" s="46">
        <f>SUM(F482:F485)</f>
        <v>0</v>
      </c>
      <c r="G486" s="46">
        <f>SUM(G482:G485)</f>
        <v>0</v>
      </c>
      <c r="H486" s="46">
        <f>SUM(H482:H485)</f>
        <v>0</v>
      </c>
      <c r="I486" s="37">
        <f>SUM(F486:H486)</f>
        <v>0</v>
      </c>
      <c r="J486" s="46">
        <f>SUM(J482:J485)</f>
        <v>0</v>
      </c>
      <c r="K486" s="46">
        <f>SUM(K482:K485)</f>
        <v>0</v>
      </c>
      <c r="L486" s="46">
        <f>SUM(L482:L485)</f>
        <v>0</v>
      </c>
      <c r="M486" s="37">
        <f>SUM(J486:L486)</f>
        <v>0</v>
      </c>
      <c r="N486" s="46">
        <f>SUM(N482:N485)</f>
        <v>0</v>
      </c>
      <c r="O486" s="46">
        <f>SUM(O482:O485)</f>
        <v>0</v>
      </c>
      <c r="P486" s="46">
        <f>SUM(P482:P485)</f>
        <v>0</v>
      </c>
      <c r="Q486" s="37">
        <f>SUM(N486:P486)</f>
        <v>0</v>
      </c>
      <c r="R486" s="37">
        <f>+E486+I486+M486+Q486</f>
        <v>1635</v>
      </c>
    </row>
    <row r="487" spans="1:18" ht="15.75" customHeight="1" x14ac:dyDescent="0.3">
      <c r="A487" s="234" t="s">
        <v>2166</v>
      </c>
      <c r="B487" s="172"/>
      <c r="C487" s="172"/>
      <c r="D487" s="172"/>
      <c r="E487" s="38" t="s">
        <v>852</v>
      </c>
      <c r="F487" s="172"/>
      <c r="G487" s="172"/>
      <c r="H487" s="172"/>
      <c r="I487" s="38" t="s">
        <v>852</v>
      </c>
      <c r="J487" s="172"/>
      <c r="K487" s="172"/>
      <c r="L487" s="172"/>
      <c r="M487" s="38" t="s">
        <v>852</v>
      </c>
      <c r="N487" s="172"/>
      <c r="O487" s="172"/>
      <c r="P487" s="172"/>
      <c r="Q487" s="38" t="s">
        <v>852</v>
      </c>
      <c r="R487" s="38" t="s">
        <v>852</v>
      </c>
    </row>
    <row r="488" spans="1:18" ht="15.75" customHeight="1" x14ac:dyDescent="0.3">
      <c r="A488" s="234" t="s">
        <v>1245</v>
      </c>
      <c r="B488" s="172"/>
      <c r="C488" s="172"/>
      <c r="D488" s="172"/>
      <c r="E488" s="38" t="s">
        <v>852</v>
      </c>
      <c r="F488" s="172"/>
      <c r="G488" s="172"/>
      <c r="H488" s="172"/>
      <c r="I488" s="38" t="s">
        <v>852</v>
      </c>
      <c r="J488" s="172"/>
      <c r="K488" s="172"/>
      <c r="L488" s="172"/>
      <c r="M488" s="38" t="s">
        <v>852</v>
      </c>
      <c r="N488" s="172"/>
      <c r="O488" s="172"/>
      <c r="P488" s="172"/>
      <c r="Q488" s="38" t="s">
        <v>852</v>
      </c>
      <c r="R488" s="38" t="s">
        <v>852</v>
      </c>
    </row>
    <row r="489" spans="1:18" ht="15.75" customHeight="1" thickBot="1" x14ac:dyDescent="0.35">
      <c r="A489" s="234" t="s">
        <v>1711</v>
      </c>
      <c r="B489" s="172"/>
      <c r="C489" s="172"/>
      <c r="D489" s="172"/>
      <c r="E489" s="38" t="s">
        <v>852</v>
      </c>
      <c r="F489" s="172"/>
      <c r="G489" s="172"/>
      <c r="H489" s="172"/>
      <c r="I489" s="38" t="s">
        <v>852</v>
      </c>
      <c r="J489" s="172"/>
      <c r="K489" s="172"/>
      <c r="L489" s="172"/>
      <c r="M489" s="38" t="s">
        <v>852</v>
      </c>
      <c r="N489" s="172"/>
      <c r="O489" s="172"/>
      <c r="P489" s="172"/>
      <c r="Q489" s="38" t="s">
        <v>852</v>
      </c>
      <c r="R489" s="38" t="s">
        <v>852</v>
      </c>
    </row>
    <row r="490" spans="1:18" ht="15.75" customHeight="1" thickBot="1" x14ac:dyDescent="0.35">
      <c r="A490" s="277" t="s">
        <v>1220</v>
      </c>
      <c r="B490" s="45">
        <f>SUM(B487:B489)</f>
        <v>0</v>
      </c>
      <c r="C490" s="46">
        <f>SUM(C487:C489)</f>
        <v>0</v>
      </c>
      <c r="D490" s="46">
        <f>SUM(D487:D489)</f>
        <v>0</v>
      </c>
      <c r="E490" s="37">
        <f>SUM(B490:D490)</f>
        <v>0</v>
      </c>
      <c r="F490" s="46">
        <f>SUM(F487:F489)</f>
        <v>0</v>
      </c>
      <c r="G490" s="46">
        <f>SUM(G487:G489)</f>
        <v>0</v>
      </c>
      <c r="H490" s="46">
        <f>SUM(H487:H489)</f>
        <v>0</v>
      </c>
      <c r="I490" s="37">
        <f>SUM(F490:H490)</f>
        <v>0</v>
      </c>
      <c r="J490" s="46">
        <f>SUM(J487:J489)</f>
        <v>0</v>
      </c>
      <c r="K490" s="46">
        <f>SUM(K487:K489)</f>
        <v>0</v>
      </c>
      <c r="L490" s="46">
        <f>SUM(L487:L489)</f>
        <v>0</v>
      </c>
      <c r="M490" s="37">
        <f>SUM(J490:L490)</f>
        <v>0</v>
      </c>
      <c r="N490" s="46">
        <f>SUM(N487:N489)</f>
        <v>0</v>
      </c>
      <c r="O490" s="46">
        <f>SUM(O487:O489)</f>
        <v>0</v>
      </c>
      <c r="P490" s="46">
        <f>SUM(P487:P489)</f>
        <v>0</v>
      </c>
      <c r="Q490" s="37">
        <f>SUM(N490:P490)</f>
        <v>0</v>
      </c>
      <c r="R490" s="37">
        <f>+E490+I490+M490+Q490</f>
        <v>0</v>
      </c>
    </row>
    <row r="491" spans="1:18" ht="15.75" customHeight="1" x14ac:dyDescent="0.3">
      <c r="A491" s="234" t="s">
        <v>1712</v>
      </c>
      <c r="B491" s="172"/>
      <c r="C491" s="172"/>
      <c r="D491" s="172"/>
      <c r="E491" s="38" t="s">
        <v>852</v>
      </c>
      <c r="F491" s="172"/>
      <c r="G491" s="172"/>
      <c r="H491" s="172"/>
      <c r="I491" s="38" t="s">
        <v>852</v>
      </c>
      <c r="J491" s="172"/>
      <c r="K491" s="172"/>
      <c r="L491" s="172"/>
      <c r="M491" s="38" t="s">
        <v>852</v>
      </c>
      <c r="N491" s="172"/>
      <c r="O491" s="172"/>
      <c r="P491" s="172"/>
      <c r="Q491" s="38" t="s">
        <v>852</v>
      </c>
      <c r="R491" s="38" t="s">
        <v>852</v>
      </c>
    </row>
    <row r="492" spans="1:18" ht="15.75" customHeight="1" x14ac:dyDescent="0.3">
      <c r="A492" s="234" t="s">
        <v>556</v>
      </c>
      <c r="B492" s="172"/>
      <c r="C492" s="172"/>
      <c r="D492" s="172"/>
      <c r="E492" s="38" t="s">
        <v>852</v>
      </c>
      <c r="F492" s="172"/>
      <c r="G492" s="172"/>
      <c r="H492" s="172"/>
      <c r="I492" s="38" t="s">
        <v>852</v>
      </c>
      <c r="J492" s="172"/>
      <c r="K492" s="172"/>
      <c r="L492" s="172"/>
      <c r="M492" s="38" t="s">
        <v>852</v>
      </c>
      <c r="N492" s="172"/>
      <c r="O492" s="172"/>
      <c r="P492" s="172"/>
      <c r="Q492" s="38" t="s">
        <v>852</v>
      </c>
      <c r="R492" s="38" t="s">
        <v>852</v>
      </c>
    </row>
    <row r="493" spans="1:18" ht="15.75" customHeight="1" x14ac:dyDescent="0.3">
      <c r="A493" s="266" t="s">
        <v>2468</v>
      </c>
      <c r="B493" s="172">
        <v>0</v>
      </c>
      <c r="C493" s="172">
        <v>0</v>
      </c>
      <c r="D493" s="172">
        <v>0</v>
      </c>
      <c r="E493" s="38">
        <f>SUM(B493:D493)</f>
        <v>0</v>
      </c>
      <c r="F493" s="172">
        <v>0</v>
      </c>
      <c r="G493" s="172">
        <v>0</v>
      </c>
      <c r="H493" s="172">
        <v>0</v>
      </c>
      <c r="I493" s="38">
        <f>SUM(F493:H493)</f>
        <v>0</v>
      </c>
      <c r="J493" s="172">
        <v>0</v>
      </c>
      <c r="K493" s="172">
        <v>0</v>
      </c>
      <c r="L493" s="172">
        <v>0</v>
      </c>
      <c r="M493" s="38">
        <f>SUM(J493:L493)</f>
        <v>0</v>
      </c>
      <c r="N493" s="172">
        <v>0</v>
      </c>
      <c r="O493" s="172">
        <v>0</v>
      </c>
      <c r="P493" s="172">
        <v>0</v>
      </c>
      <c r="Q493" s="38">
        <f>SUM(N493:P493)</f>
        <v>0</v>
      </c>
      <c r="R493" s="38">
        <f>+E493+I493+M493+Q493</f>
        <v>0</v>
      </c>
    </row>
    <row r="494" spans="1:18" ht="15.75" customHeight="1" x14ac:dyDescent="0.3">
      <c r="A494" s="266" t="s">
        <v>624</v>
      </c>
      <c r="B494" s="172">
        <v>830</v>
      </c>
      <c r="C494" s="172">
        <v>0</v>
      </c>
      <c r="D494" s="172">
        <v>0</v>
      </c>
      <c r="E494" s="38">
        <f>SUM(B494:D494)</f>
        <v>830</v>
      </c>
      <c r="F494" s="172">
        <v>0</v>
      </c>
      <c r="G494" s="172">
        <v>0</v>
      </c>
      <c r="H494" s="172">
        <v>0</v>
      </c>
      <c r="I494" s="38">
        <f>SUM(F494:H494)</f>
        <v>0</v>
      </c>
      <c r="J494" s="172">
        <v>0</v>
      </c>
      <c r="K494" s="172">
        <v>0</v>
      </c>
      <c r="L494" s="172">
        <v>0</v>
      </c>
      <c r="M494" s="38">
        <f>SUM(J494:L494)</f>
        <v>0</v>
      </c>
      <c r="N494" s="172">
        <v>0</v>
      </c>
      <c r="O494" s="172">
        <v>0</v>
      </c>
      <c r="P494" s="172">
        <v>0</v>
      </c>
      <c r="Q494" s="38">
        <f>SUM(N494:P494)</f>
        <v>0</v>
      </c>
      <c r="R494" s="38">
        <f>+E494+I494+M494+Q494</f>
        <v>830</v>
      </c>
    </row>
    <row r="495" spans="1:18" ht="15.75" customHeight="1" x14ac:dyDescent="0.3">
      <c r="A495" s="266" t="s">
        <v>1787</v>
      </c>
      <c r="B495" s="172">
        <v>0</v>
      </c>
      <c r="C495" s="172">
        <v>1345</v>
      </c>
      <c r="D495" s="172">
        <v>3138</v>
      </c>
      <c r="E495" s="38">
        <f>SUM(B495:D495)</f>
        <v>4483</v>
      </c>
      <c r="F495" s="172">
        <v>3777</v>
      </c>
      <c r="G495" s="172">
        <v>3850</v>
      </c>
      <c r="H495" s="172">
        <v>2890</v>
      </c>
      <c r="I495" s="38">
        <f>SUM(F495:H495)</f>
        <v>10517</v>
      </c>
      <c r="J495" s="172">
        <v>0</v>
      </c>
      <c r="K495" s="172">
        <v>0</v>
      </c>
      <c r="L495" s="172">
        <v>0</v>
      </c>
      <c r="M495" s="38">
        <f>SUM(J495:L495)</f>
        <v>0</v>
      </c>
      <c r="N495" s="172">
        <v>0</v>
      </c>
      <c r="O495" s="172">
        <v>0</v>
      </c>
      <c r="P495" s="172">
        <v>0</v>
      </c>
      <c r="Q495" s="38">
        <f>SUM(N495:P495)</f>
        <v>0</v>
      </c>
      <c r="R495" s="38">
        <f>+E495+I495+M495+Q495</f>
        <v>15000</v>
      </c>
    </row>
    <row r="496" spans="1:18" ht="15.75" customHeight="1" x14ac:dyDescent="0.3">
      <c r="A496" s="234" t="s">
        <v>557</v>
      </c>
      <c r="B496" s="172"/>
      <c r="C496" s="172"/>
      <c r="D496" s="172"/>
      <c r="E496" s="38" t="s">
        <v>852</v>
      </c>
      <c r="F496" s="172"/>
      <c r="G496" s="172"/>
      <c r="H496" s="172"/>
      <c r="I496" s="38" t="s">
        <v>852</v>
      </c>
      <c r="J496" s="172"/>
      <c r="K496" s="172"/>
      <c r="L496" s="172"/>
      <c r="M496" s="38" t="s">
        <v>852</v>
      </c>
      <c r="N496" s="172"/>
      <c r="O496" s="172"/>
      <c r="P496" s="172"/>
      <c r="Q496" s="38" t="s">
        <v>852</v>
      </c>
      <c r="R496" s="38" t="s">
        <v>852</v>
      </c>
    </row>
    <row r="497" spans="1:18" ht="15.75" customHeight="1" x14ac:dyDescent="0.3">
      <c r="A497" s="266" t="s">
        <v>792</v>
      </c>
      <c r="B497" s="172">
        <v>772</v>
      </c>
      <c r="C497" s="172">
        <v>166</v>
      </c>
      <c r="D497" s="172">
        <v>585</v>
      </c>
      <c r="E497" s="38">
        <f>SUM(B497:D497)</f>
        <v>1523</v>
      </c>
      <c r="F497" s="172">
        <v>489</v>
      </c>
      <c r="G497" s="172">
        <v>231</v>
      </c>
      <c r="H497" s="172">
        <v>554</v>
      </c>
      <c r="I497" s="38">
        <f>SUM(F497:H497)</f>
        <v>1274</v>
      </c>
      <c r="J497" s="172">
        <v>713</v>
      </c>
      <c r="K497" s="172">
        <v>571</v>
      </c>
      <c r="L497" s="172">
        <v>434</v>
      </c>
      <c r="M497" s="38">
        <f>SUM(J497:L497)</f>
        <v>1718</v>
      </c>
      <c r="N497" s="172">
        <v>251</v>
      </c>
      <c r="O497" s="172">
        <v>198</v>
      </c>
      <c r="P497" s="172">
        <v>479</v>
      </c>
      <c r="Q497" s="38">
        <f>SUM(N497:P497)</f>
        <v>928</v>
      </c>
      <c r="R497" s="38">
        <f>+E497+I497+M497+Q497</f>
        <v>5443</v>
      </c>
    </row>
    <row r="498" spans="1:18" ht="15.75" customHeight="1" x14ac:dyDescent="0.3">
      <c r="A498" s="266" t="s">
        <v>2359</v>
      </c>
      <c r="B498" s="172">
        <v>0</v>
      </c>
      <c r="C498" s="172">
        <v>0</v>
      </c>
      <c r="D498" s="172">
        <v>0</v>
      </c>
      <c r="E498" s="38">
        <f>SUM(B498:D498)</f>
        <v>0</v>
      </c>
      <c r="F498" s="172">
        <v>0</v>
      </c>
      <c r="G498" s="172">
        <v>0</v>
      </c>
      <c r="H498" s="172">
        <v>0</v>
      </c>
      <c r="I498" s="38">
        <f>SUM(F498:H498)</f>
        <v>0</v>
      </c>
      <c r="J498" s="172">
        <v>0</v>
      </c>
      <c r="K498" s="172">
        <v>0</v>
      </c>
      <c r="L498" s="172">
        <v>0</v>
      </c>
      <c r="M498" s="38">
        <f>SUM(J498:L498)</f>
        <v>0</v>
      </c>
      <c r="N498" s="172">
        <v>0</v>
      </c>
      <c r="O498" s="172">
        <v>0</v>
      </c>
      <c r="P498" s="172">
        <v>0</v>
      </c>
      <c r="Q498" s="38">
        <f>SUM(N498:P498)</f>
        <v>0</v>
      </c>
      <c r="R498" s="38">
        <f>+E498+I498+M498+Q498</f>
        <v>0</v>
      </c>
    </row>
    <row r="499" spans="1:18" ht="15.75" customHeight="1" x14ac:dyDescent="0.3">
      <c r="A499" s="266" t="s">
        <v>1224</v>
      </c>
      <c r="B499" s="172">
        <v>551</v>
      </c>
      <c r="C499" s="172">
        <v>0</v>
      </c>
      <c r="D499" s="172">
        <v>0</v>
      </c>
      <c r="E499" s="38">
        <f>SUM(B499:D499)</f>
        <v>551</v>
      </c>
      <c r="F499" s="172">
        <v>0</v>
      </c>
      <c r="G499" s="172">
        <v>0</v>
      </c>
      <c r="H499" s="172">
        <v>977</v>
      </c>
      <c r="I499" s="38">
        <f>SUM(F499:H499)</f>
        <v>977</v>
      </c>
      <c r="J499" s="172">
        <v>4040</v>
      </c>
      <c r="K499" s="172">
        <v>3788</v>
      </c>
      <c r="L499" s="172">
        <v>3864</v>
      </c>
      <c r="M499" s="38">
        <f>SUM(J499:L499)</f>
        <v>11692</v>
      </c>
      <c r="N499" s="172">
        <v>3125</v>
      </c>
      <c r="O499" s="172">
        <v>1066</v>
      </c>
      <c r="P499" s="172">
        <v>3455</v>
      </c>
      <c r="Q499" s="38">
        <f>SUM(N499:P499)</f>
        <v>7646</v>
      </c>
      <c r="R499" s="38">
        <f>+E499+I499+M499+Q499</f>
        <v>20866</v>
      </c>
    </row>
    <row r="500" spans="1:18" ht="15.75" customHeight="1" x14ac:dyDescent="0.3">
      <c r="A500" s="266" t="s">
        <v>2180</v>
      </c>
      <c r="B500" s="172">
        <v>0</v>
      </c>
      <c r="C500" s="172">
        <v>0</v>
      </c>
      <c r="D500" s="172">
        <v>0</v>
      </c>
      <c r="E500" s="38">
        <f>SUM(B500:D500)</f>
        <v>0</v>
      </c>
      <c r="F500" s="172">
        <v>0</v>
      </c>
      <c r="G500" s="172">
        <v>0</v>
      </c>
      <c r="H500" s="172">
        <v>0</v>
      </c>
      <c r="I500" s="38">
        <f>SUM(F500:H500)</f>
        <v>0</v>
      </c>
      <c r="J500" s="172">
        <v>0</v>
      </c>
      <c r="K500" s="172">
        <v>0</v>
      </c>
      <c r="L500" s="172">
        <v>0</v>
      </c>
      <c r="M500" s="38">
        <f>SUM(J500:L500)</f>
        <v>0</v>
      </c>
      <c r="N500" s="172">
        <v>0</v>
      </c>
      <c r="O500" s="172">
        <v>0</v>
      </c>
      <c r="P500" s="172">
        <v>0</v>
      </c>
      <c r="Q500" s="38">
        <f>SUM(N500:P500)</f>
        <v>0</v>
      </c>
      <c r="R500" s="38">
        <f>+E500+I500+M500+Q500</f>
        <v>0</v>
      </c>
    </row>
    <row r="501" spans="1:18" ht="15.75" customHeight="1" x14ac:dyDescent="0.3">
      <c r="A501" s="234" t="s">
        <v>558</v>
      </c>
      <c r="B501" s="172"/>
      <c r="C501" s="172"/>
      <c r="D501" s="172"/>
      <c r="E501" s="38" t="s">
        <v>852</v>
      </c>
      <c r="F501" s="172"/>
      <c r="G501" s="172"/>
      <c r="H501" s="172"/>
      <c r="I501" s="38" t="s">
        <v>852</v>
      </c>
      <c r="J501" s="172"/>
      <c r="K501" s="172"/>
      <c r="L501" s="172"/>
      <c r="M501" s="38" t="s">
        <v>852</v>
      </c>
      <c r="N501" s="172"/>
      <c r="O501" s="172"/>
      <c r="P501" s="172"/>
      <c r="Q501" s="38" t="s">
        <v>852</v>
      </c>
      <c r="R501" s="38" t="s">
        <v>852</v>
      </c>
    </row>
    <row r="502" spans="1:18" ht="15.75" customHeight="1" x14ac:dyDescent="0.3">
      <c r="A502" s="266" t="s">
        <v>1185</v>
      </c>
      <c r="B502" s="172">
        <v>0</v>
      </c>
      <c r="C502" s="172">
        <v>0</v>
      </c>
      <c r="D502" s="172">
        <v>0</v>
      </c>
      <c r="E502" s="38">
        <f>SUM(B502:D502)</f>
        <v>0</v>
      </c>
      <c r="F502" s="172">
        <v>0</v>
      </c>
      <c r="G502" s="172">
        <v>422</v>
      </c>
      <c r="H502" s="172">
        <v>0</v>
      </c>
      <c r="I502" s="38">
        <f>SUM(F502:H502)</f>
        <v>422</v>
      </c>
      <c r="J502" s="172">
        <v>0</v>
      </c>
      <c r="K502" s="172">
        <v>855</v>
      </c>
      <c r="L502" s="172">
        <v>0</v>
      </c>
      <c r="M502" s="38">
        <f>SUM(J502:L502)</f>
        <v>855</v>
      </c>
      <c r="N502" s="172">
        <v>0</v>
      </c>
      <c r="O502" s="172">
        <v>0</v>
      </c>
      <c r="P502" s="172">
        <v>4</v>
      </c>
      <c r="Q502" s="38">
        <f>SUM(N502:P502)</f>
        <v>4</v>
      </c>
      <c r="R502" s="38">
        <f>+E502+I502+M502+Q502</f>
        <v>1281</v>
      </c>
    </row>
    <row r="503" spans="1:18" ht="15.75" customHeight="1" thickBot="1" x14ac:dyDescent="0.35">
      <c r="A503" s="234" t="s">
        <v>559</v>
      </c>
      <c r="B503" s="172"/>
      <c r="C503" s="172"/>
      <c r="D503" s="172"/>
      <c r="E503" s="38" t="s">
        <v>852</v>
      </c>
      <c r="F503" s="172"/>
      <c r="G503" s="172"/>
      <c r="H503" s="172"/>
      <c r="I503" s="38" t="s">
        <v>852</v>
      </c>
      <c r="J503" s="172"/>
      <c r="K503" s="172"/>
      <c r="L503" s="172"/>
      <c r="M503" s="38" t="s">
        <v>852</v>
      </c>
      <c r="N503" s="172"/>
      <c r="O503" s="172"/>
      <c r="P503" s="172"/>
      <c r="Q503" s="38" t="s">
        <v>852</v>
      </c>
      <c r="R503" s="38" t="s">
        <v>852</v>
      </c>
    </row>
    <row r="504" spans="1:18" ht="15.75" customHeight="1" thickBot="1" x14ac:dyDescent="0.35">
      <c r="A504" s="43" t="s">
        <v>1019</v>
      </c>
      <c r="B504" s="42">
        <f>SUM(B502:B503)</f>
        <v>0</v>
      </c>
      <c r="C504" s="42">
        <f>SUM(C502:C503)</f>
        <v>0</v>
      </c>
      <c r="D504" s="42">
        <f>SUM(D502:D503)</f>
        <v>0</v>
      </c>
      <c r="E504" s="39">
        <f>SUM(B504:D504)</f>
        <v>0</v>
      </c>
      <c r="F504" s="42">
        <f>SUM(F502:F503)</f>
        <v>0</v>
      </c>
      <c r="G504" s="42">
        <f>SUM(G502:G503)</f>
        <v>422</v>
      </c>
      <c r="H504" s="42">
        <f>SUM(H502:H503)</f>
        <v>0</v>
      </c>
      <c r="I504" s="39">
        <f>SUM(F504:H504)</f>
        <v>422</v>
      </c>
      <c r="J504" s="42">
        <f>SUM(J502:J503)</f>
        <v>0</v>
      </c>
      <c r="K504" s="42">
        <f>SUM(K502:K503)</f>
        <v>855</v>
      </c>
      <c r="L504" s="42">
        <f>SUM(L502:L503)</f>
        <v>0</v>
      </c>
      <c r="M504" s="39">
        <f>SUM(J504:L504)</f>
        <v>855</v>
      </c>
      <c r="N504" s="42">
        <f>SUM(N502:N503)</f>
        <v>0</v>
      </c>
      <c r="O504" s="42">
        <f>SUM(O502:O503)</f>
        <v>0</v>
      </c>
      <c r="P504" s="42">
        <f>SUM(P502:P503)</f>
        <v>4</v>
      </c>
      <c r="Q504" s="39">
        <f>SUM(N504:P504)</f>
        <v>4</v>
      </c>
      <c r="R504" s="37">
        <f>+E504+I504+M504+Q504</f>
        <v>1281</v>
      </c>
    </row>
    <row r="505" spans="1:18" ht="15.75" customHeight="1" thickBot="1" x14ac:dyDescent="0.35">
      <c r="A505" s="277" t="s">
        <v>1221</v>
      </c>
      <c r="B505" s="45">
        <f>SUM(B491:B503)</f>
        <v>2153</v>
      </c>
      <c r="C505" s="46">
        <f>SUM(C491:C503)</f>
        <v>1511</v>
      </c>
      <c r="D505" s="58">
        <f>SUM(D491:D503)</f>
        <v>3723</v>
      </c>
      <c r="E505" s="39">
        <f>SUM(B505:D505)</f>
        <v>7387</v>
      </c>
      <c r="F505" s="46">
        <f>SUM(F491:F503)</f>
        <v>4266</v>
      </c>
      <c r="G505" s="46">
        <f>SUM(G491:G503)</f>
        <v>4503</v>
      </c>
      <c r="H505" s="46">
        <f>SUM(H491:H503)</f>
        <v>4421</v>
      </c>
      <c r="I505" s="39">
        <f>SUM(F505:H505)</f>
        <v>13190</v>
      </c>
      <c r="J505" s="46">
        <f>SUM(J491:J503)</f>
        <v>4753</v>
      </c>
      <c r="K505" s="46">
        <f>SUM(K491:K503)</f>
        <v>5214</v>
      </c>
      <c r="L505" s="46">
        <f>SUM(L491:L503)</f>
        <v>4298</v>
      </c>
      <c r="M505" s="39">
        <f>SUM(J505:L505)</f>
        <v>14265</v>
      </c>
      <c r="N505" s="46">
        <f>SUM(N491:N503)</f>
        <v>3376</v>
      </c>
      <c r="O505" s="46">
        <f>SUM(O491:O503)</f>
        <v>1264</v>
      </c>
      <c r="P505" s="46">
        <f>SUM(P491:P503)</f>
        <v>3938</v>
      </c>
      <c r="Q505" s="39">
        <f>SUM(N505:P505)</f>
        <v>8578</v>
      </c>
      <c r="R505" s="37">
        <f>+E505+I505+M505+Q505</f>
        <v>43420</v>
      </c>
    </row>
    <row r="506" spans="1:18" ht="15.75" customHeight="1" thickBot="1" x14ac:dyDescent="0.35">
      <c r="A506" s="43" t="s">
        <v>1222</v>
      </c>
      <c r="B506" s="47">
        <f>+B481+B486+B490+B505</f>
        <v>4667</v>
      </c>
      <c r="C506" s="42">
        <f>+C481+C486+C490+C505</f>
        <v>2264</v>
      </c>
      <c r="D506" s="42">
        <f>+D481+D486+D490+D505</f>
        <v>5413</v>
      </c>
      <c r="E506" s="37">
        <f>SUM(B506:D506)</f>
        <v>12344</v>
      </c>
      <c r="F506" s="42">
        <f>+F481+F486+F490+F505</f>
        <v>9130</v>
      </c>
      <c r="G506" s="42">
        <f>+G481+G486+G490+G505</f>
        <v>7005</v>
      </c>
      <c r="H506" s="42">
        <f>+H481+H486+H490+H505</f>
        <v>6268</v>
      </c>
      <c r="I506" s="37">
        <f>SUM(F506:H506)</f>
        <v>22403</v>
      </c>
      <c r="J506" s="42">
        <f>+J481+J486+J490+J505</f>
        <v>6819</v>
      </c>
      <c r="K506" s="42">
        <f>+K481+K486+K490+K505</f>
        <v>6745</v>
      </c>
      <c r="L506" s="42">
        <f>+L481+L486+L490+L505</f>
        <v>5405</v>
      </c>
      <c r="M506" s="37">
        <f>SUM(J506:L506)</f>
        <v>18969</v>
      </c>
      <c r="N506" s="42">
        <f>+N481+N486+N490+N505</f>
        <v>3578</v>
      </c>
      <c r="O506" s="42">
        <f>+O481+O486+O490+O505</f>
        <v>1774</v>
      </c>
      <c r="P506" s="42">
        <f>+P481+P486+P490+P505</f>
        <v>3938</v>
      </c>
      <c r="Q506" s="37">
        <f>SUM(N506:P506)</f>
        <v>9290</v>
      </c>
      <c r="R506" s="40">
        <f>+E506+I506+M506+Q506</f>
        <v>63006</v>
      </c>
    </row>
    <row r="507" spans="1:18" ht="15.75" customHeight="1" thickBot="1" x14ac:dyDescent="0.35">
      <c r="A507" s="244" t="s">
        <v>853</v>
      </c>
      <c r="B507" s="238">
        <v>17</v>
      </c>
      <c r="C507" s="238">
        <v>47</v>
      </c>
      <c r="D507" s="238">
        <v>84</v>
      </c>
      <c r="E507" s="38">
        <f>SUM(B507:D507)</f>
        <v>148</v>
      </c>
      <c r="F507" s="238">
        <v>116</v>
      </c>
      <c r="G507" s="238">
        <v>132</v>
      </c>
      <c r="H507" s="238">
        <v>138</v>
      </c>
      <c r="I507" s="38">
        <f>SUM(F507:H507)</f>
        <v>386</v>
      </c>
      <c r="J507" s="238">
        <v>126</v>
      </c>
      <c r="K507" s="238">
        <v>95</v>
      </c>
      <c r="L507" s="238">
        <v>99</v>
      </c>
      <c r="M507" s="38">
        <f>SUM(J507:L507)</f>
        <v>320</v>
      </c>
      <c r="N507" s="238">
        <v>91</v>
      </c>
      <c r="O507" s="238">
        <v>67</v>
      </c>
      <c r="P507" s="238">
        <v>38</v>
      </c>
      <c r="Q507" s="38">
        <f>SUM(N507:P507)</f>
        <v>196</v>
      </c>
      <c r="R507" s="38">
        <f>+E507+I507+M507+Q507</f>
        <v>1050</v>
      </c>
    </row>
    <row r="508" spans="1:18" ht="15.75" customHeight="1" thickBot="1" x14ac:dyDescent="0.35">
      <c r="A508" s="22"/>
      <c r="B508" s="242"/>
      <c r="C508" s="242"/>
      <c r="D508" s="242"/>
      <c r="E508" s="21"/>
      <c r="F508" s="242"/>
      <c r="G508" s="242"/>
      <c r="H508" s="242"/>
      <c r="I508" s="21"/>
      <c r="J508" s="242"/>
      <c r="K508" s="242"/>
      <c r="L508" s="242"/>
      <c r="M508" s="21"/>
      <c r="N508" s="242"/>
      <c r="O508" s="242"/>
      <c r="P508" s="242"/>
      <c r="Q508" s="21"/>
      <c r="R508" s="21"/>
    </row>
    <row r="509" spans="1:18" ht="15.75" customHeight="1" x14ac:dyDescent="0.3">
      <c r="A509" s="259" t="s">
        <v>120</v>
      </c>
      <c r="B509" s="260">
        <f>SUM(B506:B507)</f>
        <v>4684</v>
      </c>
      <c r="C509" s="260">
        <f>SUM(C506:C507)</f>
        <v>2311</v>
      </c>
      <c r="D509" s="260">
        <f>SUM(D506:D507)</f>
        <v>5497</v>
      </c>
      <c r="E509" s="39">
        <f>SUM(B509:D509)</f>
        <v>12492</v>
      </c>
      <c r="F509" s="260">
        <f>SUM(F506:F507)</f>
        <v>9246</v>
      </c>
      <c r="G509" s="260">
        <f>SUM(G506:G507)</f>
        <v>7137</v>
      </c>
      <c r="H509" s="260">
        <f>SUM(H506:H507)</f>
        <v>6406</v>
      </c>
      <c r="I509" s="39">
        <f>SUM(F509:H509)</f>
        <v>22789</v>
      </c>
      <c r="J509" s="260">
        <f>SUM(J506:J507)</f>
        <v>6945</v>
      </c>
      <c r="K509" s="260">
        <f>SUM(K506:K507)</f>
        <v>6840</v>
      </c>
      <c r="L509" s="260">
        <f>SUM(L506:L507)</f>
        <v>5504</v>
      </c>
      <c r="M509" s="39">
        <f>SUM(J509:L509)</f>
        <v>19289</v>
      </c>
      <c r="N509" s="260">
        <f>SUM(N506:N507)</f>
        <v>3669</v>
      </c>
      <c r="O509" s="260">
        <f>SUM(O506:O507)</f>
        <v>1841</v>
      </c>
      <c r="P509" s="260">
        <f>SUM(P506:P507)</f>
        <v>3976</v>
      </c>
      <c r="Q509" s="39">
        <f>SUM(N509:P509)</f>
        <v>9486</v>
      </c>
      <c r="R509" s="39">
        <f>+E509+I509+M509+Q509</f>
        <v>64056</v>
      </c>
    </row>
    <row r="510" spans="1:18" ht="15.75" customHeight="1" x14ac:dyDescent="0.3">
      <c r="A510" s="262" t="s">
        <v>1897</v>
      </c>
      <c r="B510" s="172">
        <f>(B509/31)/1.983</f>
        <v>76.196053551965903</v>
      </c>
      <c r="C510" s="172">
        <f>(C509/28)/1.983</f>
        <v>41.621641092140337</v>
      </c>
      <c r="D510" s="172">
        <f>(D509/31)/1.983</f>
        <v>89.421371984448442</v>
      </c>
      <c r="E510" s="38" t="s">
        <v>852</v>
      </c>
      <c r="F510" s="172">
        <f>(F509/30)/1.983</f>
        <v>155.42107917297022</v>
      </c>
      <c r="G510" s="172">
        <f>(G509/31)/1.983</f>
        <v>116.09975111024352</v>
      </c>
      <c r="H510" s="172">
        <f>(H509/30)/1.983</f>
        <v>107.68196335518574</v>
      </c>
      <c r="I510" s="38" t="s">
        <v>852</v>
      </c>
      <c r="J510" s="172">
        <f>(J509/31)/1.983</f>
        <v>112.97642867600409</v>
      </c>
      <c r="K510" s="172">
        <f>(K509/31)/1.983</f>
        <v>111.26836171977942</v>
      </c>
      <c r="L510" s="172">
        <f>(L509/30)/1.983</f>
        <v>92.519751218692207</v>
      </c>
      <c r="M510" s="38" t="s">
        <v>852</v>
      </c>
      <c r="N510" s="172">
        <f>(N509/31)/1.983</f>
        <v>59.684739641793961</v>
      </c>
      <c r="O510" s="172">
        <f>(O509/30)/1.983</f>
        <v>30.946377542444107</v>
      </c>
      <c r="P510" s="172">
        <f>(P509/31)/1.983</f>
        <v>64.678802075708035</v>
      </c>
      <c r="Q510" s="38" t="s">
        <v>852</v>
      </c>
      <c r="R510" s="38" t="s">
        <v>852</v>
      </c>
    </row>
    <row r="511" spans="1:18" ht="15.75" customHeight="1" x14ac:dyDescent="0.3">
      <c r="A511" s="262" t="s">
        <v>1535</v>
      </c>
      <c r="B511" s="172">
        <f>B509+B521</f>
        <v>13698</v>
      </c>
      <c r="C511" s="172">
        <f>C509+C521</f>
        <v>10983</v>
      </c>
      <c r="D511" s="172">
        <f>D509+D521</f>
        <v>18337</v>
      </c>
      <c r="E511" s="38">
        <f>SUM(B511:D511)</f>
        <v>43018</v>
      </c>
      <c r="F511" s="172">
        <f>F509+F521</f>
        <v>23838</v>
      </c>
      <c r="G511" s="172">
        <f>G509+G521</f>
        <v>22509</v>
      </c>
      <c r="H511" s="172">
        <f>H509+H521</f>
        <v>20708</v>
      </c>
      <c r="I511" s="38">
        <f>SUM(F511:H511)</f>
        <v>67055</v>
      </c>
      <c r="J511" s="172">
        <f>J509+J521</f>
        <v>21986</v>
      </c>
      <c r="K511" s="172">
        <f>K509+K521</f>
        <v>24448</v>
      </c>
      <c r="L511" s="172">
        <f>L509+L521</f>
        <v>22558</v>
      </c>
      <c r="M511" s="38">
        <f>SUM(J511:L511)</f>
        <v>68992</v>
      </c>
      <c r="N511" s="172">
        <f>N509+N521</f>
        <v>15992</v>
      </c>
      <c r="O511" s="172">
        <f>O509+O521</f>
        <v>9352</v>
      </c>
      <c r="P511" s="172">
        <f>P509+P521</f>
        <v>14093</v>
      </c>
      <c r="Q511" s="38">
        <f>SUM(N511:P511)</f>
        <v>39437</v>
      </c>
      <c r="R511" s="38">
        <f>+E511+I511+M511+Q511</f>
        <v>218502</v>
      </c>
    </row>
    <row r="512" spans="1:18" ht="15.75" customHeight="1" thickBot="1" x14ac:dyDescent="0.35">
      <c r="A512" s="263" t="s">
        <v>1536</v>
      </c>
      <c r="B512" s="264">
        <f>(B511/31)/1.983</f>
        <v>222.82953491776877</v>
      </c>
      <c r="C512" s="264">
        <f>(C511/28)/1.983</f>
        <v>197.80635400907715</v>
      </c>
      <c r="D512" s="264">
        <f>(D511/31)/1.983</f>
        <v>298.29355977420977</v>
      </c>
      <c r="E512" s="40" t="s">
        <v>852</v>
      </c>
      <c r="F512" s="264">
        <f>(F511/30)/1.983</f>
        <v>400.70600100857285</v>
      </c>
      <c r="G512" s="264">
        <f>(G511/31)/1.983</f>
        <v>366.16075350153727</v>
      </c>
      <c r="H512" s="264">
        <f>(H511/30)/1.983</f>
        <v>348.09211632207092</v>
      </c>
      <c r="I512" s="40" t="s">
        <v>852</v>
      </c>
      <c r="J512" s="264">
        <f>(J511/31)/1.983</f>
        <v>357.65295332910381</v>
      </c>
      <c r="K512" s="264">
        <f>(K511/31)/1.983</f>
        <v>397.70305662648639</v>
      </c>
      <c r="L512" s="264">
        <f>(L511/30)/1.983</f>
        <v>379.18977979492348</v>
      </c>
      <c r="M512" s="40" t="s">
        <v>852</v>
      </c>
      <c r="N512" s="264">
        <f>(N511/31)/1.983</f>
        <v>260.14673108519185</v>
      </c>
      <c r="O512" s="264">
        <f>(O511/30)/1.983</f>
        <v>157.20289124222558</v>
      </c>
      <c r="P512" s="264">
        <f>(P511/31)/1.983</f>
        <v>229.25512013404258</v>
      </c>
      <c r="Q512" s="40" t="s">
        <v>852</v>
      </c>
      <c r="R512" s="40" t="s">
        <v>852</v>
      </c>
    </row>
    <row r="513" spans="1:18" ht="15.75" customHeight="1" x14ac:dyDescent="0.3">
      <c r="A513" s="17"/>
      <c r="B513" s="172"/>
      <c r="C513" s="172"/>
      <c r="D513" s="172"/>
      <c r="E513" s="172"/>
      <c r="F513" s="172"/>
      <c r="G513" s="172"/>
      <c r="H513" s="172"/>
      <c r="I513" s="172"/>
      <c r="J513" s="172"/>
      <c r="K513" s="172"/>
      <c r="L513" s="172"/>
      <c r="M513" s="172"/>
      <c r="N513" s="172"/>
      <c r="O513" s="172"/>
      <c r="P513" s="172"/>
      <c r="Q513" s="172"/>
      <c r="R513" s="17"/>
    </row>
    <row r="514" spans="1:18" ht="15.75" customHeight="1" thickBot="1" x14ac:dyDescent="0.35">
      <c r="A514" s="24"/>
      <c r="B514" s="238"/>
      <c r="C514" s="238"/>
      <c r="D514" s="238"/>
      <c r="E514" s="238"/>
      <c r="F514" s="238"/>
      <c r="G514" s="238"/>
      <c r="H514" s="238"/>
      <c r="I514" s="238"/>
      <c r="J514" s="238"/>
      <c r="K514" s="238"/>
      <c r="L514" s="238"/>
      <c r="M514" s="238"/>
      <c r="N514" s="238"/>
      <c r="O514" s="238"/>
      <c r="P514" s="238"/>
      <c r="Q514" s="238"/>
      <c r="R514" s="24"/>
    </row>
    <row r="515" spans="1:18" ht="15.75" customHeight="1" thickBot="1" x14ac:dyDescent="0.35">
      <c r="A515" s="278" t="s">
        <v>1537</v>
      </c>
      <c r="B515" s="4" t="s">
        <v>2090</v>
      </c>
      <c r="C515" s="5" t="s">
        <v>2091</v>
      </c>
      <c r="D515" s="5" t="s">
        <v>2234</v>
      </c>
      <c r="E515" s="33" t="s">
        <v>1594</v>
      </c>
      <c r="F515" s="5" t="s">
        <v>2235</v>
      </c>
      <c r="G515" s="5" t="s">
        <v>2236</v>
      </c>
      <c r="H515" s="5" t="s">
        <v>2237</v>
      </c>
      <c r="I515" s="35" t="s">
        <v>1595</v>
      </c>
      <c r="J515" s="5" t="s">
        <v>1504</v>
      </c>
      <c r="K515" s="5" t="s">
        <v>1505</v>
      </c>
      <c r="L515" s="5" t="s">
        <v>1506</v>
      </c>
      <c r="M515" s="35" t="s">
        <v>1596</v>
      </c>
      <c r="N515" s="5" t="s">
        <v>1507</v>
      </c>
      <c r="O515" s="5" t="s">
        <v>1508</v>
      </c>
      <c r="P515" s="5" t="s">
        <v>1509</v>
      </c>
      <c r="Q515" s="33" t="s">
        <v>1597</v>
      </c>
      <c r="R515" s="34" t="s">
        <v>1510</v>
      </c>
    </row>
    <row r="516" spans="1:18" ht="15.75" customHeight="1" thickBot="1" x14ac:dyDescent="0.35">
      <c r="A516" s="22"/>
      <c r="B516" s="242"/>
      <c r="C516" s="242"/>
      <c r="D516" s="242"/>
      <c r="E516" s="243"/>
      <c r="F516" s="242"/>
      <c r="G516" s="242"/>
      <c r="H516" s="242"/>
      <c r="I516" s="243"/>
      <c r="J516" s="242"/>
      <c r="K516" s="242"/>
      <c r="L516" s="242"/>
      <c r="M516" s="243"/>
      <c r="N516" s="242"/>
      <c r="O516" s="242"/>
      <c r="P516" s="242"/>
      <c r="Q516" s="279"/>
      <c r="R516" s="32"/>
    </row>
    <row r="517" spans="1:18" ht="15.75" customHeight="1" thickBot="1" x14ac:dyDescent="0.35">
      <c r="A517" s="244" t="s">
        <v>853</v>
      </c>
      <c r="B517" s="238">
        <v>20</v>
      </c>
      <c r="C517" s="238">
        <v>22</v>
      </c>
      <c r="D517" s="238">
        <v>28</v>
      </c>
      <c r="E517" s="38">
        <f>SUM(B517:D517)</f>
        <v>70</v>
      </c>
      <c r="F517" s="238">
        <v>37</v>
      </c>
      <c r="G517" s="238">
        <v>42</v>
      </c>
      <c r="H517" s="238">
        <v>44</v>
      </c>
      <c r="I517" s="38">
        <f>SUM(F517:H517)</f>
        <v>123</v>
      </c>
      <c r="J517" s="238">
        <v>39</v>
      </c>
      <c r="K517" s="238">
        <v>36</v>
      </c>
      <c r="L517" s="238">
        <v>34</v>
      </c>
      <c r="M517" s="38">
        <f>SUM(J517:L517)</f>
        <v>109</v>
      </c>
      <c r="N517" s="238">
        <v>29</v>
      </c>
      <c r="O517" s="238">
        <v>23</v>
      </c>
      <c r="P517" s="238">
        <v>19</v>
      </c>
      <c r="Q517" s="38">
        <f>SUM(N517:P517)</f>
        <v>71</v>
      </c>
      <c r="R517" s="38">
        <f>+E517+I517+M517+Q517</f>
        <v>373</v>
      </c>
    </row>
    <row r="518" spans="1:18" ht="15.75" customHeight="1" thickBot="1" x14ac:dyDescent="0.35">
      <c r="A518" s="22"/>
      <c r="B518" s="242"/>
      <c r="C518" s="242"/>
      <c r="D518" s="242"/>
      <c r="E518" s="233"/>
      <c r="F518" s="242"/>
      <c r="G518" s="242"/>
      <c r="H518" s="242"/>
      <c r="I518" s="233"/>
      <c r="J518" s="242"/>
      <c r="K518" s="242"/>
      <c r="L518" s="242"/>
      <c r="M518" s="233"/>
      <c r="N518" s="242"/>
      <c r="O518" s="242"/>
      <c r="P518" s="242"/>
      <c r="Q518" s="233"/>
      <c r="R518" s="21"/>
    </row>
    <row r="519" spans="1:18" ht="15.75" customHeight="1" x14ac:dyDescent="0.3">
      <c r="A519" s="259" t="s">
        <v>120</v>
      </c>
      <c r="B519" s="260">
        <f>B517</f>
        <v>20</v>
      </c>
      <c r="C519" s="260">
        <f>C517</f>
        <v>22</v>
      </c>
      <c r="D519" s="260">
        <f>D517</f>
        <v>28</v>
      </c>
      <c r="E519" s="39">
        <f>SUM(B519:D519)</f>
        <v>70</v>
      </c>
      <c r="F519" s="260">
        <f>F517</f>
        <v>37</v>
      </c>
      <c r="G519" s="260">
        <f>G517</f>
        <v>42</v>
      </c>
      <c r="H519" s="260">
        <f>H517</f>
        <v>44</v>
      </c>
      <c r="I519" s="39">
        <f>SUM(F519:H519)</f>
        <v>123</v>
      </c>
      <c r="J519" s="260">
        <f>J517</f>
        <v>39</v>
      </c>
      <c r="K519" s="260">
        <f>K517</f>
        <v>36</v>
      </c>
      <c r="L519" s="260">
        <f>L517</f>
        <v>34</v>
      </c>
      <c r="M519" s="39">
        <f>SUM(J519:L519)</f>
        <v>109</v>
      </c>
      <c r="N519" s="260">
        <f>N517</f>
        <v>29</v>
      </c>
      <c r="O519" s="260">
        <f>O517</f>
        <v>23</v>
      </c>
      <c r="P519" s="260">
        <f>P517</f>
        <v>19</v>
      </c>
      <c r="Q519" s="39">
        <f>SUM(N519:P519)</f>
        <v>71</v>
      </c>
      <c r="R519" s="39">
        <f>+E519+I519+M519+Q519</f>
        <v>373</v>
      </c>
    </row>
    <row r="520" spans="1:18" ht="15.75" customHeight="1" x14ac:dyDescent="0.3">
      <c r="A520" s="262" t="s">
        <v>1897</v>
      </c>
      <c r="B520" s="172">
        <f>(B519/31)/1.983</f>
        <v>0.32534608689993977</v>
      </c>
      <c r="C520" s="172">
        <f>(C519/28)/1.983</f>
        <v>0.39622505583171236</v>
      </c>
      <c r="D520" s="172">
        <f>(D519/31)/1.983</f>
        <v>0.45548452165991571</v>
      </c>
      <c r="E520" s="38" t="s">
        <v>852</v>
      </c>
      <c r="F520" s="172">
        <f>(F519/30)/1.983</f>
        <v>0.62195326945705165</v>
      </c>
      <c r="G520" s="172">
        <f>(G519/31)/1.983</f>
        <v>0.68322678248987356</v>
      </c>
      <c r="H520" s="172">
        <f>(H519/30)/1.983</f>
        <v>0.73962010421919644</v>
      </c>
      <c r="I520" s="38" t="s">
        <v>852</v>
      </c>
      <c r="J520" s="172">
        <f>(J519/31)/1.983</f>
        <v>0.63442486945488263</v>
      </c>
      <c r="K520" s="172">
        <f>(K519/31)/1.983</f>
        <v>0.5856229564198917</v>
      </c>
      <c r="L520" s="172">
        <f>(L519/30)/1.983</f>
        <v>0.57152462598756093</v>
      </c>
      <c r="M520" s="38" t="s">
        <v>852</v>
      </c>
      <c r="N520" s="172">
        <f>(N519/31)/1.983</f>
        <v>0.47175182600491267</v>
      </c>
      <c r="O520" s="172">
        <f>(O519/30)/1.983</f>
        <v>0.38661959993276179</v>
      </c>
      <c r="P520" s="172">
        <f>(P519/31)/1.983</f>
        <v>0.30907878255494281</v>
      </c>
      <c r="Q520" s="38" t="s">
        <v>852</v>
      </c>
      <c r="R520" s="38" t="s">
        <v>852</v>
      </c>
    </row>
    <row r="521" spans="1:18" ht="15.75" customHeight="1" x14ac:dyDescent="0.3">
      <c r="A521" s="262" t="s">
        <v>2019</v>
      </c>
      <c r="B521" s="172">
        <f>B519+B556</f>
        <v>9014</v>
      </c>
      <c r="C521" s="172">
        <f>C519+C556</f>
        <v>8672</v>
      </c>
      <c r="D521" s="172">
        <f>D519+D556</f>
        <v>12840</v>
      </c>
      <c r="E521" s="38">
        <f>SUM(B521:D521)</f>
        <v>30526</v>
      </c>
      <c r="F521" s="172">
        <f>F519+F556</f>
        <v>14592</v>
      </c>
      <c r="G521" s="172">
        <f>G519+G556</f>
        <v>15372</v>
      </c>
      <c r="H521" s="172">
        <f>H519+H556</f>
        <v>14302</v>
      </c>
      <c r="I521" s="38">
        <f>SUM(F521:H521)</f>
        <v>44266</v>
      </c>
      <c r="J521" s="172">
        <f>J519+J556</f>
        <v>15041</v>
      </c>
      <c r="K521" s="172">
        <f>K519+K556</f>
        <v>17608</v>
      </c>
      <c r="L521" s="172">
        <f>L519+L556</f>
        <v>17054</v>
      </c>
      <c r="M521" s="38">
        <f>SUM(J521:L521)</f>
        <v>49703</v>
      </c>
      <c r="N521" s="172">
        <f>N519+N556</f>
        <v>12323</v>
      </c>
      <c r="O521" s="172">
        <f>O519+O556</f>
        <v>7511</v>
      </c>
      <c r="P521" s="172">
        <f>P519+P556</f>
        <v>10117</v>
      </c>
      <c r="Q521" s="38">
        <f>SUM(N521:P521)</f>
        <v>29951</v>
      </c>
      <c r="R521" s="38">
        <f>+E521+I521+M521+Q521</f>
        <v>154446</v>
      </c>
    </row>
    <row r="522" spans="1:18" ht="15.75" customHeight="1" thickBot="1" x14ac:dyDescent="0.35">
      <c r="A522" s="263" t="s">
        <v>1332</v>
      </c>
      <c r="B522" s="264">
        <f>(B521/31)/1.983</f>
        <v>146.63348136580285</v>
      </c>
      <c r="C522" s="264">
        <f>(C521/28)/1.983</f>
        <v>156.1847129169368</v>
      </c>
      <c r="D522" s="264">
        <f>(D521/31)/1.983</f>
        <v>208.87218778976134</v>
      </c>
      <c r="E522" s="40" t="s">
        <v>852</v>
      </c>
      <c r="F522" s="264">
        <f>(F521/30)/1.983</f>
        <v>245.2849218356026</v>
      </c>
      <c r="G522" s="264">
        <f>(G521/31)/1.983</f>
        <v>250.06100239129373</v>
      </c>
      <c r="H522" s="264">
        <f>(H521/30)/1.983</f>
        <v>240.41015296688519</v>
      </c>
      <c r="I522" s="40" t="s">
        <v>852</v>
      </c>
      <c r="J522" s="264">
        <f>(J521/31)/1.983</f>
        <v>244.67652465309973</v>
      </c>
      <c r="K522" s="264">
        <f>(K521/31)/1.983</f>
        <v>286.43469490670702</v>
      </c>
      <c r="L522" s="264">
        <f>(L521/30)/1.983</f>
        <v>286.67002857623129</v>
      </c>
      <c r="M522" s="40" t="s">
        <v>852</v>
      </c>
      <c r="N522" s="264">
        <f>(N521/31)/1.983</f>
        <v>200.46199144339789</v>
      </c>
      <c r="O522" s="264">
        <f>(O521/30)/1.983</f>
        <v>126.25651369978148</v>
      </c>
      <c r="P522" s="264">
        <f>(P521/31)/1.983</f>
        <v>164.57631805833455</v>
      </c>
      <c r="Q522" s="40" t="s">
        <v>852</v>
      </c>
      <c r="R522" s="40" t="s">
        <v>852</v>
      </c>
    </row>
    <row r="523" spans="1:18" ht="15.75" customHeight="1" x14ac:dyDescent="0.3">
      <c r="A523" s="18"/>
      <c r="B523" s="172"/>
      <c r="C523" s="172"/>
      <c r="D523" s="172"/>
      <c r="E523" s="172"/>
      <c r="F523" s="172"/>
      <c r="G523" s="172"/>
      <c r="H523" s="172"/>
      <c r="I523" s="172"/>
      <c r="J523" s="172"/>
      <c r="K523" s="172"/>
      <c r="L523" s="172"/>
      <c r="M523" s="172"/>
      <c r="N523" s="172"/>
      <c r="O523" s="172"/>
      <c r="P523" s="172"/>
      <c r="Q523" s="172"/>
      <c r="R523" s="17"/>
    </row>
    <row r="524" spans="1:18" ht="15.75" customHeight="1" thickBot="1" x14ac:dyDescent="0.35">
      <c r="A524" s="18"/>
      <c r="B524" s="172"/>
      <c r="C524" s="172"/>
      <c r="D524" s="172"/>
      <c r="E524" s="172"/>
      <c r="F524" s="172"/>
      <c r="G524" s="172"/>
      <c r="H524" s="172"/>
      <c r="I524" s="172"/>
      <c r="J524" s="172"/>
      <c r="K524" s="172"/>
      <c r="L524" s="172"/>
      <c r="M524" s="172"/>
      <c r="N524" s="172"/>
      <c r="O524" s="172"/>
      <c r="P524" s="172"/>
      <c r="Q524" s="172"/>
      <c r="R524" s="17"/>
    </row>
    <row r="525" spans="1:18" ht="15.75" customHeight="1" thickBot="1" x14ac:dyDescent="0.35">
      <c r="A525" s="240" t="s">
        <v>1333</v>
      </c>
      <c r="B525" s="4" t="s">
        <v>2090</v>
      </c>
      <c r="C525" s="5" t="s">
        <v>2091</v>
      </c>
      <c r="D525" s="5" t="s">
        <v>2234</v>
      </c>
      <c r="E525" s="33" t="s">
        <v>1594</v>
      </c>
      <c r="F525" s="5" t="s">
        <v>2235</v>
      </c>
      <c r="G525" s="5" t="s">
        <v>2236</v>
      </c>
      <c r="H525" s="5" t="s">
        <v>2237</v>
      </c>
      <c r="I525" s="35" t="s">
        <v>1595</v>
      </c>
      <c r="J525" s="5" t="s">
        <v>1504</v>
      </c>
      <c r="K525" s="5" t="s">
        <v>1505</v>
      </c>
      <c r="L525" s="5" t="s">
        <v>1506</v>
      </c>
      <c r="M525" s="35" t="s">
        <v>1596</v>
      </c>
      <c r="N525" s="5" t="s">
        <v>1507</v>
      </c>
      <c r="O525" s="5" t="s">
        <v>1508</v>
      </c>
      <c r="P525" s="5" t="s">
        <v>1509</v>
      </c>
      <c r="Q525" s="35" t="s">
        <v>1597</v>
      </c>
      <c r="R525" s="36" t="s">
        <v>1510</v>
      </c>
    </row>
    <row r="526" spans="1:18" ht="15.75" customHeight="1" thickBot="1" x14ac:dyDescent="0.35">
      <c r="A526" s="22"/>
      <c r="B526" s="242"/>
      <c r="C526" s="242"/>
      <c r="D526" s="242"/>
      <c r="E526" s="233"/>
      <c r="F526" s="242"/>
      <c r="G526" s="242"/>
      <c r="H526" s="242"/>
      <c r="I526" s="233"/>
      <c r="J526" s="242"/>
      <c r="K526" s="242"/>
      <c r="L526" s="242"/>
      <c r="M526" s="233"/>
      <c r="N526" s="242"/>
      <c r="O526" s="242"/>
      <c r="P526" s="242"/>
      <c r="Q526" s="233"/>
      <c r="R526" s="19"/>
    </row>
    <row r="527" spans="1:18" ht="15.75" customHeight="1" x14ac:dyDescent="0.3">
      <c r="A527" s="234" t="s">
        <v>2417</v>
      </c>
      <c r="B527" s="172" t="s">
        <v>852</v>
      </c>
      <c r="C527" s="172" t="s">
        <v>852</v>
      </c>
      <c r="D527" s="172" t="s">
        <v>852</v>
      </c>
      <c r="E527" s="38" t="s">
        <v>852</v>
      </c>
      <c r="F527" s="172" t="s">
        <v>852</v>
      </c>
      <c r="G527" s="172" t="s">
        <v>852</v>
      </c>
      <c r="H527" s="172" t="s">
        <v>852</v>
      </c>
      <c r="I527" s="38" t="s">
        <v>852</v>
      </c>
      <c r="J527" s="172" t="s">
        <v>852</v>
      </c>
      <c r="K527" s="172" t="s">
        <v>852</v>
      </c>
      <c r="L527" s="172" t="s">
        <v>852</v>
      </c>
      <c r="M527" s="38" t="s">
        <v>852</v>
      </c>
      <c r="N527" s="172" t="s">
        <v>852</v>
      </c>
      <c r="O527" s="172" t="s">
        <v>852</v>
      </c>
      <c r="P527" s="172" t="s">
        <v>852</v>
      </c>
      <c r="Q527" s="38" t="s">
        <v>852</v>
      </c>
      <c r="R527" s="38" t="s">
        <v>852</v>
      </c>
    </row>
    <row r="528" spans="1:18" ht="15.75" customHeight="1" x14ac:dyDescent="0.3">
      <c r="A528" s="234" t="s">
        <v>2160</v>
      </c>
      <c r="B528" s="172"/>
      <c r="C528" s="172"/>
      <c r="D528" s="172"/>
      <c r="E528" s="38" t="s">
        <v>852</v>
      </c>
      <c r="F528" s="172"/>
      <c r="G528" s="172"/>
      <c r="H528" s="172"/>
      <c r="I528" s="38" t="s">
        <v>852</v>
      </c>
      <c r="J528" s="172"/>
      <c r="K528" s="172"/>
      <c r="L528" s="172"/>
      <c r="M528" s="38" t="s">
        <v>852</v>
      </c>
      <c r="N528" s="172"/>
      <c r="O528" s="172"/>
      <c r="P528" s="172"/>
      <c r="Q528" s="38" t="s">
        <v>852</v>
      </c>
      <c r="R528" s="38" t="s">
        <v>852</v>
      </c>
    </row>
    <row r="529" spans="1:18" ht="15.75" customHeight="1" x14ac:dyDescent="0.3">
      <c r="A529" s="266" t="s">
        <v>2130</v>
      </c>
      <c r="B529" s="172">
        <v>346</v>
      </c>
      <c r="C529" s="172">
        <v>459</v>
      </c>
      <c r="D529" s="172">
        <v>722</v>
      </c>
      <c r="E529" s="38">
        <f>SUM(B529:D529)</f>
        <v>1527</v>
      </c>
      <c r="F529" s="172">
        <v>867</v>
      </c>
      <c r="G529" s="172">
        <v>162</v>
      </c>
      <c r="H529" s="172">
        <v>13</v>
      </c>
      <c r="I529" s="38">
        <f>SUM(F529:H529)</f>
        <v>1042</v>
      </c>
      <c r="J529" s="172">
        <v>770</v>
      </c>
      <c r="K529" s="172">
        <v>820</v>
      </c>
      <c r="L529" s="172">
        <v>602</v>
      </c>
      <c r="M529" s="38">
        <f>SUM(J529:L529)</f>
        <v>2192</v>
      </c>
      <c r="N529" s="172">
        <v>290</v>
      </c>
      <c r="O529" s="172">
        <v>148</v>
      </c>
      <c r="P529" s="172">
        <v>5</v>
      </c>
      <c r="Q529" s="38">
        <f>SUM(N529:P529)</f>
        <v>443</v>
      </c>
      <c r="R529" s="38">
        <f>+E529+I529+M529+Q529</f>
        <v>5204</v>
      </c>
    </row>
    <row r="530" spans="1:18" ht="15.75" customHeight="1" x14ac:dyDescent="0.3">
      <c r="A530" s="266" t="s">
        <v>537</v>
      </c>
      <c r="B530" s="10">
        <v>113</v>
      </c>
      <c r="C530" s="10">
        <v>52</v>
      </c>
      <c r="D530" s="10">
        <v>87</v>
      </c>
      <c r="E530" s="38">
        <f>SUM(B530:D530)</f>
        <v>252</v>
      </c>
      <c r="F530" s="10">
        <v>132</v>
      </c>
      <c r="G530" s="10">
        <v>87</v>
      </c>
      <c r="H530" s="10">
        <v>52</v>
      </c>
      <c r="I530" s="38">
        <f>SUM(F530:H530)</f>
        <v>271</v>
      </c>
      <c r="J530" s="10">
        <v>76</v>
      </c>
      <c r="K530" s="10">
        <v>71</v>
      </c>
      <c r="L530" s="10">
        <v>0</v>
      </c>
      <c r="M530" s="38">
        <f>SUM(J530:L530)</f>
        <v>147</v>
      </c>
      <c r="N530" s="10">
        <v>0</v>
      </c>
      <c r="O530" s="10">
        <v>0</v>
      </c>
      <c r="P530" s="10">
        <v>0</v>
      </c>
      <c r="Q530" s="38">
        <f>SUM(N530:P530)</f>
        <v>0</v>
      </c>
      <c r="R530" s="38">
        <f>+E530+I530+M530+Q530</f>
        <v>670</v>
      </c>
    </row>
    <row r="531" spans="1:18" ht="15.75" customHeight="1" x14ac:dyDescent="0.3">
      <c r="A531" s="234" t="s">
        <v>2161</v>
      </c>
      <c r="B531" s="172"/>
      <c r="C531" s="172"/>
      <c r="D531" s="172"/>
      <c r="E531" s="38" t="s">
        <v>852</v>
      </c>
      <c r="F531" s="172"/>
      <c r="G531" s="172"/>
      <c r="H531" s="172"/>
      <c r="I531" s="38" t="s">
        <v>852</v>
      </c>
      <c r="J531" s="172"/>
      <c r="K531" s="172"/>
      <c r="L531" s="172"/>
      <c r="M531" s="38" t="s">
        <v>852</v>
      </c>
      <c r="N531" s="172"/>
      <c r="O531" s="172"/>
      <c r="P531" s="172"/>
      <c r="Q531" s="38" t="s">
        <v>852</v>
      </c>
      <c r="R531" s="38" t="s">
        <v>852</v>
      </c>
    </row>
    <row r="532" spans="1:18" ht="15.75" customHeight="1" x14ac:dyDescent="0.3">
      <c r="A532" s="234" t="s">
        <v>2162</v>
      </c>
      <c r="B532" s="172"/>
      <c r="C532" s="172"/>
      <c r="D532" s="172"/>
      <c r="E532" s="38" t="s">
        <v>852</v>
      </c>
      <c r="F532" s="172"/>
      <c r="G532" s="172"/>
      <c r="H532" s="172"/>
      <c r="I532" s="38" t="s">
        <v>852</v>
      </c>
      <c r="J532" s="172"/>
      <c r="K532" s="172"/>
      <c r="L532" s="172"/>
      <c r="M532" s="38" t="s">
        <v>852</v>
      </c>
      <c r="N532" s="172"/>
      <c r="O532" s="172"/>
      <c r="P532" s="172"/>
      <c r="Q532" s="38" t="s">
        <v>852</v>
      </c>
      <c r="R532" s="38" t="s">
        <v>852</v>
      </c>
    </row>
    <row r="533" spans="1:18" ht="15.75" customHeight="1" thickBot="1" x14ac:dyDescent="0.35">
      <c r="A533" s="234" t="s">
        <v>2164</v>
      </c>
      <c r="B533" s="172"/>
      <c r="C533" s="172"/>
      <c r="D533" s="172"/>
      <c r="E533" s="38" t="s">
        <v>852</v>
      </c>
      <c r="F533" s="172"/>
      <c r="G533" s="172"/>
      <c r="H533" s="172"/>
      <c r="I533" s="38" t="s">
        <v>852</v>
      </c>
      <c r="J533" s="172"/>
      <c r="K533" s="172"/>
      <c r="L533" s="172"/>
      <c r="M533" s="38" t="s">
        <v>852</v>
      </c>
      <c r="N533" s="172"/>
      <c r="O533" s="172"/>
      <c r="P533" s="172"/>
      <c r="Q533" s="38" t="s">
        <v>852</v>
      </c>
      <c r="R533" s="38" t="s">
        <v>852</v>
      </c>
    </row>
    <row r="534" spans="1:18" ht="15.75" customHeight="1" thickBot="1" x14ac:dyDescent="0.35">
      <c r="A534" s="276" t="s">
        <v>1218</v>
      </c>
      <c r="B534" s="45">
        <f>SUM(B527:B533)</f>
        <v>459</v>
      </c>
      <c r="C534" s="46">
        <f>SUM(C527:C533)</f>
        <v>511</v>
      </c>
      <c r="D534" s="46">
        <f>SUM(D527:D533)</f>
        <v>809</v>
      </c>
      <c r="E534" s="37">
        <f>SUM(B534:D534)</f>
        <v>1779</v>
      </c>
      <c r="F534" s="46">
        <f>SUM(F527:F533)</f>
        <v>999</v>
      </c>
      <c r="G534" s="46">
        <f>SUM(G527:G533)</f>
        <v>249</v>
      </c>
      <c r="H534" s="46">
        <f>SUM(H527:H533)</f>
        <v>65</v>
      </c>
      <c r="I534" s="37">
        <f>SUM(F534:H534)</f>
        <v>1313</v>
      </c>
      <c r="J534" s="46">
        <f>SUM(J527:J533)</f>
        <v>846</v>
      </c>
      <c r="K534" s="46">
        <f>SUM(K527:K533)</f>
        <v>891</v>
      </c>
      <c r="L534" s="46">
        <f>SUM(L527:L533)</f>
        <v>602</v>
      </c>
      <c r="M534" s="37">
        <f>SUM(J534:L534)</f>
        <v>2339</v>
      </c>
      <c r="N534" s="46">
        <f>SUM(N527:N533)</f>
        <v>290</v>
      </c>
      <c r="O534" s="46">
        <f>SUM(O527:O533)</f>
        <v>148</v>
      </c>
      <c r="P534" s="46">
        <f>SUM(P527:P533)</f>
        <v>5</v>
      </c>
      <c r="Q534" s="37">
        <f>SUM(N534:P534)</f>
        <v>443</v>
      </c>
      <c r="R534" s="37">
        <f>+E534+I534+M534+Q534</f>
        <v>5874</v>
      </c>
    </row>
    <row r="535" spans="1:18" ht="15.75" customHeight="1" x14ac:dyDescent="0.3">
      <c r="A535" s="234" t="s">
        <v>1172</v>
      </c>
      <c r="B535" s="172"/>
      <c r="C535" s="172"/>
      <c r="D535" s="172"/>
      <c r="E535" s="38" t="s">
        <v>852</v>
      </c>
      <c r="F535" s="172"/>
      <c r="G535" s="172"/>
      <c r="H535" s="172"/>
      <c r="I535" s="38" t="s">
        <v>852</v>
      </c>
      <c r="J535" s="172"/>
      <c r="K535" s="172"/>
      <c r="L535" s="172"/>
      <c r="M535" s="38" t="s">
        <v>852</v>
      </c>
      <c r="N535" s="172"/>
      <c r="O535" s="172"/>
      <c r="P535" s="172"/>
      <c r="Q535" s="38" t="s">
        <v>852</v>
      </c>
      <c r="R535" s="38" t="s">
        <v>852</v>
      </c>
    </row>
    <row r="536" spans="1:18" ht="15.75" customHeight="1" x14ac:dyDescent="0.3">
      <c r="A536" s="234" t="s">
        <v>2409</v>
      </c>
      <c r="B536" s="172"/>
      <c r="C536" s="172"/>
      <c r="D536" s="172"/>
      <c r="E536" s="38" t="s">
        <v>852</v>
      </c>
      <c r="F536" s="172"/>
      <c r="G536" s="172"/>
      <c r="H536" s="172"/>
      <c r="I536" s="38" t="s">
        <v>852</v>
      </c>
      <c r="J536" s="172"/>
      <c r="K536" s="172"/>
      <c r="L536" s="172"/>
      <c r="M536" s="38" t="s">
        <v>852</v>
      </c>
      <c r="N536" s="172"/>
      <c r="O536" s="172"/>
      <c r="P536" s="172"/>
      <c r="Q536" s="38" t="s">
        <v>852</v>
      </c>
      <c r="R536" s="38" t="s">
        <v>852</v>
      </c>
    </row>
    <row r="537" spans="1:18" ht="15.75" customHeight="1" thickBot="1" x14ac:dyDescent="0.35">
      <c r="A537" s="234" t="s">
        <v>2165</v>
      </c>
      <c r="B537" s="172"/>
      <c r="C537" s="172"/>
      <c r="D537" s="172"/>
      <c r="E537" s="38" t="s">
        <v>852</v>
      </c>
      <c r="F537" s="172"/>
      <c r="G537" s="172"/>
      <c r="H537" s="172"/>
      <c r="I537" s="38" t="s">
        <v>852</v>
      </c>
      <c r="J537" s="172"/>
      <c r="K537" s="172"/>
      <c r="L537" s="172"/>
      <c r="M537" s="38" t="s">
        <v>852</v>
      </c>
      <c r="N537" s="172"/>
      <c r="O537" s="172"/>
      <c r="P537" s="172"/>
      <c r="Q537" s="38" t="s">
        <v>852</v>
      </c>
      <c r="R537" s="38" t="s">
        <v>852</v>
      </c>
    </row>
    <row r="538" spans="1:18" ht="15.75" customHeight="1" thickBot="1" x14ac:dyDescent="0.35">
      <c r="A538" s="43" t="s">
        <v>1219</v>
      </c>
      <c r="B538" s="45">
        <f>SUM(B535:B537)</f>
        <v>0</v>
      </c>
      <c r="C538" s="46">
        <f>SUM(C535:C537)</f>
        <v>0</v>
      </c>
      <c r="D538" s="46">
        <f>SUM(D535:D537)</f>
        <v>0</v>
      </c>
      <c r="E538" s="37">
        <f>SUM(B538:D538)</f>
        <v>0</v>
      </c>
      <c r="F538" s="46">
        <f>SUM(F535:F537)</f>
        <v>0</v>
      </c>
      <c r="G538" s="46">
        <f>SUM(G535:G537)</f>
        <v>0</v>
      </c>
      <c r="H538" s="46">
        <f>SUM(H535:H537)</f>
        <v>0</v>
      </c>
      <c r="I538" s="37">
        <f>SUM(F538:H538)</f>
        <v>0</v>
      </c>
      <c r="J538" s="46">
        <f>SUM(J535:J537)</f>
        <v>0</v>
      </c>
      <c r="K538" s="46">
        <f>SUM(K535:K537)</f>
        <v>0</v>
      </c>
      <c r="L538" s="46">
        <f>SUM(L535:L537)</f>
        <v>0</v>
      </c>
      <c r="M538" s="37">
        <f>SUM(J538:L538)</f>
        <v>0</v>
      </c>
      <c r="N538" s="46">
        <f>SUM(N535:N537)</f>
        <v>0</v>
      </c>
      <c r="O538" s="46">
        <f>SUM(O535:O537)</f>
        <v>0</v>
      </c>
      <c r="P538" s="46">
        <f>SUM(P535:P537)</f>
        <v>0</v>
      </c>
      <c r="Q538" s="37">
        <f>SUM(N538:P538)</f>
        <v>0</v>
      </c>
      <c r="R538" s="37">
        <f>+E538+I538+M538+Q538</f>
        <v>0</v>
      </c>
    </row>
    <row r="539" spans="1:18" ht="15.75" customHeight="1" x14ac:dyDescent="0.3">
      <c r="A539" s="234" t="s">
        <v>2166</v>
      </c>
      <c r="B539" s="172"/>
      <c r="C539" s="172"/>
      <c r="D539" s="172"/>
      <c r="E539" s="38" t="s">
        <v>852</v>
      </c>
      <c r="F539" s="172"/>
      <c r="G539" s="172"/>
      <c r="H539" s="172"/>
      <c r="I539" s="38" t="s">
        <v>852</v>
      </c>
      <c r="J539" s="172"/>
      <c r="K539" s="172"/>
      <c r="L539" s="172"/>
      <c r="M539" s="38" t="s">
        <v>852</v>
      </c>
      <c r="N539" s="172"/>
      <c r="O539" s="172"/>
      <c r="P539" s="172"/>
      <c r="Q539" s="38" t="s">
        <v>852</v>
      </c>
      <c r="R539" s="38" t="s">
        <v>852</v>
      </c>
    </row>
    <row r="540" spans="1:18" ht="15.75" customHeight="1" x14ac:dyDescent="0.3">
      <c r="A540" s="234" t="s">
        <v>1245</v>
      </c>
      <c r="B540" s="172"/>
      <c r="C540" s="172"/>
      <c r="D540" s="172"/>
      <c r="E540" s="38" t="s">
        <v>852</v>
      </c>
      <c r="F540" s="172"/>
      <c r="G540" s="172"/>
      <c r="H540" s="172"/>
      <c r="I540" s="38" t="s">
        <v>852</v>
      </c>
      <c r="J540" s="172"/>
      <c r="K540" s="172"/>
      <c r="L540" s="172"/>
      <c r="M540" s="38" t="s">
        <v>852</v>
      </c>
      <c r="N540" s="172"/>
      <c r="O540" s="172"/>
      <c r="P540" s="172"/>
      <c r="Q540" s="38" t="s">
        <v>852</v>
      </c>
      <c r="R540" s="38" t="s">
        <v>852</v>
      </c>
    </row>
    <row r="541" spans="1:18" ht="15.75" customHeight="1" thickBot="1" x14ac:dyDescent="0.35">
      <c r="A541" s="234" t="s">
        <v>1711</v>
      </c>
      <c r="B541" s="172"/>
      <c r="C541" s="172"/>
      <c r="D541" s="172"/>
      <c r="E541" s="38" t="s">
        <v>852</v>
      </c>
      <c r="F541" s="172"/>
      <c r="G541" s="172"/>
      <c r="H541" s="172"/>
      <c r="I541" s="38" t="s">
        <v>852</v>
      </c>
      <c r="J541" s="172"/>
      <c r="K541" s="172"/>
      <c r="L541" s="172"/>
      <c r="M541" s="38" t="s">
        <v>852</v>
      </c>
      <c r="N541" s="172"/>
      <c r="O541" s="172"/>
      <c r="P541" s="172"/>
      <c r="Q541" s="38" t="s">
        <v>852</v>
      </c>
      <c r="R541" s="38" t="s">
        <v>852</v>
      </c>
    </row>
    <row r="542" spans="1:18" ht="15.75" customHeight="1" thickBot="1" x14ac:dyDescent="0.35">
      <c r="A542" s="277" t="s">
        <v>1220</v>
      </c>
      <c r="B542" s="45">
        <f>SUM(B539:B541)</f>
        <v>0</v>
      </c>
      <c r="C542" s="46">
        <f>SUM(C539:C541)</f>
        <v>0</v>
      </c>
      <c r="D542" s="46">
        <f>SUM(D539:D541)</f>
        <v>0</v>
      </c>
      <c r="E542" s="37">
        <f>SUM(B542:D542)</f>
        <v>0</v>
      </c>
      <c r="F542" s="46">
        <f>SUM(F539:F541)</f>
        <v>0</v>
      </c>
      <c r="G542" s="46">
        <f>SUM(G539:G541)</f>
        <v>0</v>
      </c>
      <c r="H542" s="46">
        <f>SUM(H539:H541)</f>
        <v>0</v>
      </c>
      <c r="I542" s="37">
        <f>SUM(F542:H542)</f>
        <v>0</v>
      </c>
      <c r="J542" s="46">
        <f>SUM(J539:J541)</f>
        <v>0</v>
      </c>
      <c r="K542" s="46">
        <f>SUM(K539:K541)</f>
        <v>0</v>
      </c>
      <c r="L542" s="46">
        <f>SUM(L539:L541)</f>
        <v>0</v>
      </c>
      <c r="M542" s="37">
        <f>SUM(J542:L542)</f>
        <v>0</v>
      </c>
      <c r="N542" s="46">
        <f>SUM(N539:N541)</f>
        <v>0</v>
      </c>
      <c r="O542" s="46">
        <f>SUM(O539:O541)</f>
        <v>0</v>
      </c>
      <c r="P542" s="46">
        <f>SUM(P539:P541)</f>
        <v>0</v>
      </c>
      <c r="Q542" s="37">
        <f>SUM(N542:P542)</f>
        <v>0</v>
      </c>
      <c r="R542" s="37">
        <f>+E542+I542+M542+Q542</f>
        <v>0</v>
      </c>
    </row>
    <row r="543" spans="1:18" ht="15.75" customHeight="1" x14ac:dyDescent="0.3">
      <c r="A543" s="234" t="s">
        <v>1712</v>
      </c>
      <c r="B543" s="172"/>
      <c r="C543" s="172"/>
      <c r="D543" s="172"/>
      <c r="E543" s="38" t="s">
        <v>852</v>
      </c>
      <c r="F543" s="172"/>
      <c r="G543" s="172"/>
      <c r="H543" s="172"/>
      <c r="I543" s="38" t="s">
        <v>852</v>
      </c>
      <c r="J543" s="172"/>
      <c r="K543" s="172"/>
      <c r="L543" s="172"/>
      <c r="M543" s="38" t="s">
        <v>852</v>
      </c>
      <c r="N543" s="172"/>
      <c r="O543" s="172"/>
      <c r="P543" s="172"/>
      <c r="Q543" s="38" t="s">
        <v>852</v>
      </c>
      <c r="R543" s="38" t="s">
        <v>852</v>
      </c>
    </row>
    <row r="544" spans="1:18" ht="15.75" customHeight="1" x14ac:dyDescent="0.3">
      <c r="A544" s="234" t="s">
        <v>556</v>
      </c>
      <c r="B544" s="172"/>
      <c r="C544" s="172"/>
      <c r="D544" s="172"/>
      <c r="E544" s="38" t="s">
        <v>852</v>
      </c>
      <c r="F544" s="172"/>
      <c r="G544" s="172"/>
      <c r="H544" s="172"/>
      <c r="I544" s="38" t="s">
        <v>852</v>
      </c>
      <c r="J544" s="172"/>
      <c r="K544" s="172"/>
      <c r="L544" s="172"/>
      <c r="M544" s="38" t="s">
        <v>852</v>
      </c>
      <c r="N544" s="172"/>
      <c r="O544" s="172"/>
      <c r="P544" s="172"/>
      <c r="Q544" s="38" t="s">
        <v>852</v>
      </c>
      <c r="R544" s="38" t="s">
        <v>852</v>
      </c>
    </row>
    <row r="545" spans="1:18" ht="15.75" customHeight="1" x14ac:dyDescent="0.3">
      <c r="A545" s="234" t="s">
        <v>557</v>
      </c>
      <c r="B545" s="172"/>
      <c r="C545" s="172"/>
      <c r="D545" s="172"/>
      <c r="E545" s="38" t="s">
        <v>852</v>
      </c>
      <c r="F545" s="172"/>
      <c r="G545" s="172"/>
      <c r="H545" s="172"/>
      <c r="I545" s="38" t="s">
        <v>852</v>
      </c>
      <c r="J545" s="172"/>
      <c r="K545" s="172"/>
      <c r="L545" s="172"/>
      <c r="M545" s="38" t="s">
        <v>852</v>
      </c>
      <c r="N545" s="172"/>
      <c r="O545" s="172"/>
      <c r="P545" s="172"/>
      <c r="Q545" s="38" t="s">
        <v>852</v>
      </c>
      <c r="R545" s="38" t="s">
        <v>852</v>
      </c>
    </row>
    <row r="546" spans="1:18" ht="15.75" customHeight="1" x14ac:dyDescent="0.3">
      <c r="A546" s="266" t="s">
        <v>582</v>
      </c>
      <c r="B546" s="172">
        <v>0</v>
      </c>
      <c r="C546" s="172">
        <v>0</v>
      </c>
      <c r="D546" s="172">
        <v>0</v>
      </c>
      <c r="E546" s="38">
        <f>SUM(B546:D546)</f>
        <v>0</v>
      </c>
      <c r="F546" s="172">
        <v>0</v>
      </c>
      <c r="G546" s="172">
        <v>0</v>
      </c>
      <c r="H546" s="172">
        <v>0</v>
      </c>
      <c r="I546" s="38">
        <f>SUM(F546:H546)</f>
        <v>0</v>
      </c>
      <c r="J546" s="172">
        <v>0</v>
      </c>
      <c r="K546" s="172">
        <v>0</v>
      </c>
      <c r="L546" s="172">
        <v>0</v>
      </c>
      <c r="M546" s="38">
        <f>SUM(J546:L546)</f>
        <v>0</v>
      </c>
      <c r="N546" s="172">
        <v>0</v>
      </c>
      <c r="O546" s="172">
        <v>0</v>
      </c>
      <c r="P546" s="172">
        <v>0</v>
      </c>
      <c r="Q546" s="38">
        <f>SUM(N546:P546)</f>
        <v>0</v>
      </c>
      <c r="R546" s="38">
        <f>+E546+I546+M546+Q546</f>
        <v>0</v>
      </c>
    </row>
    <row r="547" spans="1:18" ht="15.75" customHeight="1" x14ac:dyDescent="0.3">
      <c r="A547" s="234" t="s">
        <v>558</v>
      </c>
      <c r="B547" s="172"/>
      <c r="C547" s="172"/>
      <c r="D547" s="172"/>
      <c r="E547" s="38" t="s">
        <v>852</v>
      </c>
      <c r="F547" s="172"/>
      <c r="G547" s="172"/>
      <c r="H547" s="172"/>
      <c r="I547" s="38" t="s">
        <v>852</v>
      </c>
      <c r="J547" s="172"/>
      <c r="K547" s="172"/>
      <c r="L547" s="172"/>
      <c r="M547" s="38" t="s">
        <v>852</v>
      </c>
      <c r="N547" s="172"/>
      <c r="O547" s="172"/>
      <c r="P547" s="172"/>
      <c r="Q547" s="38" t="s">
        <v>852</v>
      </c>
      <c r="R547" s="38" t="s">
        <v>852</v>
      </c>
    </row>
    <row r="548" spans="1:18" ht="15.75" customHeight="1" thickBot="1" x14ac:dyDescent="0.35">
      <c r="A548" s="234" t="s">
        <v>559</v>
      </c>
      <c r="B548" s="172"/>
      <c r="C548" s="172"/>
      <c r="D548" s="172"/>
      <c r="E548" s="38" t="s">
        <v>852</v>
      </c>
      <c r="F548" s="172"/>
      <c r="G548" s="172"/>
      <c r="H548" s="172"/>
      <c r="I548" s="38" t="s">
        <v>852</v>
      </c>
      <c r="J548" s="172"/>
      <c r="K548" s="172"/>
      <c r="L548" s="172"/>
      <c r="M548" s="38" t="s">
        <v>852</v>
      </c>
      <c r="N548" s="172"/>
      <c r="O548" s="172"/>
      <c r="P548" s="172"/>
      <c r="Q548" s="38" t="s">
        <v>852</v>
      </c>
      <c r="R548" s="38" t="s">
        <v>852</v>
      </c>
    </row>
    <row r="549" spans="1:18" ht="15.75" customHeight="1" thickBot="1" x14ac:dyDescent="0.35">
      <c r="A549" s="43" t="s">
        <v>1019</v>
      </c>
      <c r="B549" s="42">
        <f>SUM(B547:B548)</f>
        <v>0</v>
      </c>
      <c r="C549" s="42">
        <f>SUM(C547:C548)</f>
        <v>0</v>
      </c>
      <c r="D549" s="42">
        <f>SUM(D547:D548)</f>
        <v>0</v>
      </c>
      <c r="E549" s="39">
        <f>SUM(B549:D549)</f>
        <v>0</v>
      </c>
      <c r="F549" s="42">
        <f>SUM(F547:F548)</f>
        <v>0</v>
      </c>
      <c r="G549" s="42">
        <f>SUM(G547:G548)</f>
        <v>0</v>
      </c>
      <c r="H549" s="42">
        <f>SUM(H547:H548)</f>
        <v>0</v>
      </c>
      <c r="I549" s="39">
        <f>SUM(F549:H549)</f>
        <v>0</v>
      </c>
      <c r="J549" s="42">
        <f>SUM(J547:J548)</f>
        <v>0</v>
      </c>
      <c r="K549" s="42">
        <f>SUM(K547:K548)</f>
        <v>0</v>
      </c>
      <c r="L549" s="42">
        <f>SUM(L547:L548)</f>
        <v>0</v>
      </c>
      <c r="M549" s="39">
        <f>SUM(J549:L549)</f>
        <v>0</v>
      </c>
      <c r="N549" s="42">
        <f>SUM(N547:N548)</f>
        <v>0</v>
      </c>
      <c r="O549" s="42">
        <f>SUM(O547:O548)</f>
        <v>0</v>
      </c>
      <c r="P549" s="42">
        <f>SUM(P547:P548)</f>
        <v>0</v>
      </c>
      <c r="Q549" s="39">
        <f>SUM(N549:P549)</f>
        <v>0</v>
      </c>
      <c r="R549" s="37">
        <f>+E549+I549+M549+Q549</f>
        <v>0</v>
      </c>
    </row>
    <row r="550" spans="1:18" ht="15.75" customHeight="1" thickBot="1" x14ac:dyDescent="0.35">
      <c r="A550" s="277" t="s">
        <v>1221</v>
      </c>
      <c r="B550" s="45">
        <f>SUM(B543:B548)</f>
        <v>0</v>
      </c>
      <c r="C550" s="46">
        <f>SUM(C543:C548)</f>
        <v>0</v>
      </c>
      <c r="D550" s="58">
        <f>SUM(D543:D548)</f>
        <v>0</v>
      </c>
      <c r="E550" s="39">
        <f>SUM(B550:D550)</f>
        <v>0</v>
      </c>
      <c r="F550" s="46">
        <f>SUM(F543:F548)</f>
        <v>0</v>
      </c>
      <c r="G550" s="46">
        <f>SUM(G543:G548)</f>
        <v>0</v>
      </c>
      <c r="H550" s="46">
        <f>SUM(H543:H548)</f>
        <v>0</v>
      </c>
      <c r="I550" s="39">
        <f>SUM(F550:H550)</f>
        <v>0</v>
      </c>
      <c r="J550" s="46">
        <f>SUM(J543:J548)</f>
        <v>0</v>
      </c>
      <c r="K550" s="46">
        <f>SUM(K543:K548)</f>
        <v>0</v>
      </c>
      <c r="L550" s="46">
        <f>SUM(L543:L548)</f>
        <v>0</v>
      </c>
      <c r="M550" s="39">
        <f>SUM(J550:L550)</f>
        <v>0</v>
      </c>
      <c r="N550" s="46">
        <f>SUM(N543:N548)</f>
        <v>0</v>
      </c>
      <c r="O550" s="46">
        <f>SUM(O543:O548)</f>
        <v>0</v>
      </c>
      <c r="P550" s="46">
        <f>SUM(P543:P548)</f>
        <v>0</v>
      </c>
      <c r="Q550" s="39">
        <f>SUM(N550:P550)</f>
        <v>0</v>
      </c>
      <c r="R550" s="37">
        <f>+E550+I550+M550+Q550</f>
        <v>0</v>
      </c>
    </row>
    <row r="551" spans="1:18" ht="15.75" customHeight="1" thickBot="1" x14ac:dyDescent="0.35">
      <c r="A551" s="43" t="s">
        <v>1222</v>
      </c>
      <c r="B551" s="47">
        <f>+B534+B538+B542+B550</f>
        <v>459</v>
      </c>
      <c r="C551" s="42">
        <f>+C534+C538+C542+C550</f>
        <v>511</v>
      </c>
      <c r="D551" s="42">
        <f>+D534+D538+D542+D550</f>
        <v>809</v>
      </c>
      <c r="E551" s="37">
        <f>SUM(B551:D551)</f>
        <v>1779</v>
      </c>
      <c r="F551" s="42">
        <f>+F534+F538+F542+F550</f>
        <v>999</v>
      </c>
      <c r="G551" s="42">
        <f>+G534+G538+G542+G550</f>
        <v>249</v>
      </c>
      <c r="H551" s="42">
        <f>+H534+H538+H542+H550</f>
        <v>65</v>
      </c>
      <c r="I551" s="37">
        <f>SUM(F551:H551)</f>
        <v>1313</v>
      </c>
      <c r="J551" s="42">
        <f>+J534+J538+J542+J550</f>
        <v>846</v>
      </c>
      <c r="K551" s="42">
        <f>+K534+K538+K542+K550</f>
        <v>891</v>
      </c>
      <c r="L551" s="42">
        <f>+L534+L538+L542+L550</f>
        <v>602</v>
      </c>
      <c r="M551" s="37">
        <f>SUM(J551:L551)</f>
        <v>2339</v>
      </c>
      <c r="N551" s="42">
        <f>+N534+N538+N542+N550</f>
        <v>290</v>
      </c>
      <c r="O551" s="42">
        <f>+O534+O538+O542+O550</f>
        <v>148</v>
      </c>
      <c r="P551" s="42">
        <f>+P534+P538+P542+P550</f>
        <v>5</v>
      </c>
      <c r="Q551" s="37">
        <f>SUM(N551:P551)</f>
        <v>443</v>
      </c>
      <c r="R551" s="40">
        <f>+E551+I551+M551+Q551</f>
        <v>5874</v>
      </c>
    </row>
    <row r="552" spans="1:18" ht="15.75" customHeight="1" thickBot="1" x14ac:dyDescent="0.35">
      <c r="A552" s="244" t="s">
        <v>853</v>
      </c>
      <c r="B552" s="238">
        <v>10</v>
      </c>
      <c r="C552" s="238">
        <v>11</v>
      </c>
      <c r="D552" s="238">
        <v>14</v>
      </c>
      <c r="E552" s="38">
        <f>SUM(B552:D552)</f>
        <v>35</v>
      </c>
      <c r="F552" s="238">
        <v>18</v>
      </c>
      <c r="G552" s="238">
        <v>21</v>
      </c>
      <c r="H552" s="238">
        <v>22</v>
      </c>
      <c r="I552" s="38">
        <f>SUM(F552:H552)</f>
        <v>61</v>
      </c>
      <c r="J552" s="238">
        <v>19</v>
      </c>
      <c r="K552" s="238">
        <v>17</v>
      </c>
      <c r="L552" s="238">
        <v>17</v>
      </c>
      <c r="M552" s="38">
        <f>SUM(J552:L552)</f>
        <v>53</v>
      </c>
      <c r="N552" s="238">
        <v>14</v>
      </c>
      <c r="O552" s="238">
        <v>11</v>
      </c>
      <c r="P552" s="238">
        <v>9</v>
      </c>
      <c r="Q552" s="38">
        <f>SUM(N552:P552)</f>
        <v>34</v>
      </c>
      <c r="R552" s="38">
        <f>+E552+I552+M552+Q552</f>
        <v>183</v>
      </c>
    </row>
    <row r="553" spans="1:18" ht="15.75" customHeight="1" thickBot="1" x14ac:dyDescent="0.35">
      <c r="A553" s="22"/>
      <c r="B553" s="242"/>
      <c r="C553" s="242"/>
      <c r="D553" s="242"/>
      <c r="E553" s="233"/>
      <c r="F553" s="242"/>
      <c r="G553" s="242"/>
      <c r="H553" s="242"/>
      <c r="I553" s="233"/>
      <c r="J553" s="242"/>
      <c r="K553" s="242"/>
      <c r="L553" s="242"/>
      <c r="M553" s="280"/>
      <c r="N553" s="242"/>
      <c r="O553" s="242"/>
      <c r="P553" s="242"/>
      <c r="Q553" s="280"/>
      <c r="R553" s="14"/>
    </row>
    <row r="554" spans="1:18" ht="15.75" customHeight="1" x14ac:dyDescent="0.3">
      <c r="A554" s="234" t="s">
        <v>120</v>
      </c>
      <c r="B554" s="172">
        <f>SUM(B551:B552)</f>
        <v>469</v>
      </c>
      <c r="C554" s="172">
        <f>SUM(C551:C552)</f>
        <v>522</v>
      </c>
      <c r="D554" s="172">
        <f>SUM(D551:D552)</f>
        <v>823</v>
      </c>
      <c r="E554" s="38">
        <f>SUM(B554:D554)</f>
        <v>1814</v>
      </c>
      <c r="F554" s="172">
        <f>SUM(F551:F552)</f>
        <v>1017</v>
      </c>
      <c r="G554" s="172">
        <f>SUM(G551:G552)</f>
        <v>270</v>
      </c>
      <c r="H554" s="172">
        <f>SUM(H551:H552)</f>
        <v>87</v>
      </c>
      <c r="I554" s="39">
        <f>SUM(F554:H554)</f>
        <v>1374</v>
      </c>
      <c r="J554" s="172">
        <f>SUM(J551:J552)</f>
        <v>865</v>
      </c>
      <c r="K554" s="172">
        <f>SUM(K551:K552)</f>
        <v>908</v>
      </c>
      <c r="L554" s="172">
        <f>SUM(L551:L552)</f>
        <v>619</v>
      </c>
      <c r="M554" s="39">
        <f>SUM(J554:L554)</f>
        <v>2392</v>
      </c>
      <c r="N554" s="172">
        <f>SUM(N551:N552)</f>
        <v>304</v>
      </c>
      <c r="O554" s="172">
        <f>SUM(O551:O552)</f>
        <v>159</v>
      </c>
      <c r="P554" s="172">
        <f>SUM(P551:P552)</f>
        <v>14</v>
      </c>
      <c r="Q554" s="39">
        <f>SUM(N554:P554)</f>
        <v>477</v>
      </c>
      <c r="R554" s="39">
        <f>+E554+I554+M554+Q554</f>
        <v>6057</v>
      </c>
    </row>
    <row r="555" spans="1:18" ht="15.75" customHeight="1" x14ac:dyDescent="0.3">
      <c r="A555" s="234" t="s">
        <v>1897</v>
      </c>
      <c r="B555" s="172">
        <f>(B554/31)/1.983</f>
        <v>7.629365737803588</v>
      </c>
      <c r="C555" s="172">
        <f>(C554/28)/1.983</f>
        <v>9.4013399610979036</v>
      </c>
      <c r="D555" s="172">
        <f>(D554/31)/1.983</f>
        <v>13.387991475932521</v>
      </c>
      <c r="E555" s="38" t="s">
        <v>852</v>
      </c>
      <c r="F555" s="172">
        <f>(F554/30)/1.983</f>
        <v>17.095310136157337</v>
      </c>
      <c r="G555" s="172">
        <f>(G554/31)/1.983</f>
        <v>4.392172173149187</v>
      </c>
      <c r="H555" s="172">
        <f>(H554/30)/1.983</f>
        <v>1.4624306606152293</v>
      </c>
      <c r="I555" s="38" t="s">
        <v>852</v>
      </c>
      <c r="J555" s="172">
        <f>(J554/31)/1.983</f>
        <v>14.071218258422396</v>
      </c>
      <c r="K555" s="172">
        <f>(K554/31)/1.983</f>
        <v>14.770712345257266</v>
      </c>
      <c r="L555" s="172">
        <f>(L554/30)/1.983</f>
        <v>10.405110102538242</v>
      </c>
      <c r="M555" s="38" t="s">
        <v>852</v>
      </c>
      <c r="N555" s="172">
        <f>(N554/31)/1.983</f>
        <v>4.945260520879085</v>
      </c>
      <c r="O555" s="172">
        <f>(O554/30)/1.983</f>
        <v>2.6727181038830055</v>
      </c>
      <c r="P555" s="172">
        <f>(P554/31)/1.983</f>
        <v>0.22774226082995785</v>
      </c>
      <c r="Q555" s="38" t="s">
        <v>852</v>
      </c>
      <c r="R555" s="38" t="s">
        <v>852</v>
      </c>
    </row>
    <row r="556" spans="1:18" ht="15.75" customHeight="1" x14ac:dyDescent="0.3">
      <c r="A556" s="234" t="s">
        <v>1334</v>
      </c>
      <c r="B556" s="172">
        <f>B554+B595</f>
        <v>8994</v>
      </c>
      <c r="C556" s="172">
        <f>C554+C595</f>
        <v>8650</v>
      </c>
      <c r="D556" s="172">
        <f>D554+D595</f>
        <v>12812</v>
      </c>
      <c r="E556" s="38">
        <f>SUM(B556:D556)</f>
        <v>30456</v>
      </c>
      <c r="F556" s="172">
        <f>F554+F595</f>
        <v>14555</v>
      </c>
      <c r="G556" s="172">
        <f>G554+G595</f>
        <v>15330</v>
      </c>
      <c r="H556" s="172">
        <f>H554+H595</f>
        <v>14258</v>
      </c>
      <c r="I556" s="38">
        <f>SUM(F556:H556)</f>
        <v>44143</v>
      </c>
      <c r="J556" s="172">
        <f>J554+J595</f>
        <v>15002</v>
      </c>
      <c r="K556" s="172">
        <f>K554+K595</f>
        <v>17572</v>
      </c>
      <c r="L556" s="172">
        <f>L554+L595</f>
        <v>17020</v>
      </c>
      <c r="M556" s="38">
        <f>SUM(J556:L556)</f>
        <v>49594</v>
      </c>
      <c r="N556" s="172">
        <f>N554+N595</f>
        <v>12294</v>
      </c>
      <c r="O556" s="172">
        <f>O554+O595</f>
        <v>7488</v>
      </c>
      <c r="P556" s="172">
        <f>P554+P595</f>
        <v>10098</v>
      </c>
      <c r="Q556" s="38">
        <f>SUM(N556:P556)</f>
        <v>29880</v>
      </c>
      <c r="R556" s="38">
        <f>+E556+I556+M556+Q556</f>
        <v>154073</v>
      </c>
    </row>
    <row r="557" spans="1:18" ht="15.75" customHeight="1" thickBot="1" x14ac:dyDescent="0.35">
      <c r="A557" s="237" t="s">
        <v>1335</v>
      </c>
      <c r="B557" s="238">
        <f>(B556/31)/1.983</f>
        <v>146.30813527890294</v>
      </c>
      <c r="C557" s="238">
        <f>(C556/28)/1.983</f>
        <v>155.7884878611051</v>
      </c>
      <c r="D557" s="238">
        <f>(D556/31)/1.983</f>
        <v>208.41670326810143</v>
      </c>
      <c r="E557" s="40" t="s">
        <v>852</v>
      </c>
      <c r="F557" s="238">
        <f>(F556/30)/1.983</f>
        <v>244.66296856614557</v>
      </c>
      <c r="G557" s="238">
        <f>(G556/31)/1.983</f>
        <v>249.37777560880386</v>
      </c>
      <c r="H557" s="238">
        <f>(H556/30)/1.983</f>
        <v>239.67053286266597</v>
      </c>
      <c r="I557" s="40" t="s">
        <v>852</v>
      </c>
      <c r="J557" s="238">
        <f>(J556/31)/1.983</f>
        <v>244.04209978364483</v>
      </c>
      <c r="K557" s="238">
        <f>(K556/31)/1.983</f>
        <v>285.84907195028711</v>
      </c>
      <c r="L557" s="238">
        <f>(L556/30)/1.983</f>
        <v>286.09850395024375</v>
      </c>
      <c r="M557" s="40" t="s">
        <v>852</v>
      </c>
      <c r="N557" s="238">
        <f>(N556/31)/1.983</f>
        <v>199.99023961739297</v>
      </c>
      <c r="O557" s="238">
        <f>(O556/30)/1.983</f>
        <v>125.86989409984871</v>
      </c>
      <c r="P557" s="238">
        <f>(P556/31)/1.983</f>
        <v>164.26723927577962</v>
      </c>
      <c r="Q557" s="40" t="s">
        <v>852</v>
      </c>
      <c r="R557" s="40" t="s">
        <v>852</v>
      </c>
    </row>
    <row r="558" spans="1:18" ht="15.75" customHeight="1" x14ac:dyDescent="0.3">
      <c r="A558" s="17"/>
      <c r="B558" s="172"/>
      <c r="C558" s="172"/>
      <c r="D558" s="172"/>
      <c r="E558" s="172"/>
      <c r="F558" s="172"/>
      <c r="G558" s="172"/>
      <c r="H558" s="172"/>
      <c r="I558" s="172"/>
      <c r="J558" s="172"/>
      <c r="K558" s="172"/>
      <c r="L558" s="172"/>
      <c r="M558" s="172"/>
      <c r="N558" s="172"/>
      <c r="O558" s="172"/>
      <c r="P558" s="172"/>
      <c r="Q558" s="172"/>
      <c r="R558" s="17"/>
    </row>
    <row r="559" spans="1:18" ht="15.75" customHeight="1" thickBot="1" x14ac:dyDescent="0.35">
      <c r="A559" s="24"/>
      <c r="B559" s="238"/>
      <c r="C559" s="238"/>
      <c r="D559" s="238"/>
      <c r="E559" s="238"/>
      <c r="F559" s="238"/>
      <c r="G559" s="238"/>
      <c r="H559" s="238"/>
      <c r="I559" s="238"/>
      <c r="J559" s="238"/>
      <c r="K559" s="238"/>
      <c r="L559" s="238"/>
      <c r="M559" s="238"/>
      <c r="N559" s="238"/>
      <c r="O559" s="238"/>
      <c r="P559" s="238"/>
      <c r="Q559" s="238"/>
      <c r="R559" s="24"/>
    </row>
    <row r="560" spans="1:18" ht="15.75" customHeight="1" thickBot="1" x14ac:dyDescent="0.35">
      <c r="A560" s="274" t="s">
        <v>1772</v>
      </c>
      <c r="B560" s="25" t="s">
        <v>2090</v>
      </c>
      <c r="C560" s="26" t="s">
        <v>2091</v>
      </c>
      <c r="D560" s="26" t="s">
        <v>2234</v>
      </c>
      <c r="E560" s="33" t="s">
        <v>1594</v>
      </c>
      <c r="F560" s="26" t="s">
        <v>2235</v>
      </c>
      <c r="G560" s="26" t="s">
        <v>2236</v>
      </c>
      <c r="H560" s="26" t="s">
        <v>2237</v>
      </c>
      <c r="I560" s="33" t="s">
        <v>1595</v>
      </c>
      <c r="J560" s="26" t="s">
        <v>1504</v>
      </c>
      <c r="K560" s="26" t="s">
        <v>1505</v>
      </c>
      <c r="L560" s="26" t="s">
        <v>1506</v>
      </c>
      <c r="M560" s="33" t="s">
        <v>1596</v>
      </c>
      <c r="N560" s="26" t="s">
        <v>1507</v>
      </c>
      <c r="O560" s="26" t="s">
        <v>1508</v>
      </c>
      <c r="P560" s="26" t="s">
        <v>1509</v>
      </c>
      <c r="Q560" s="33" t="s">
        <v>1597</v>
      </c>
      <c r="R560" s="34" t="s">
        <v>1510</v>
      </c>
    </row>
    <row r="561" spans="1:18" ht="15.75" customHeight="1" thickBot="1" x14ac:dyDescent="0.35">
      <c r="A561" s="281"/>
      <c r="B561" s="232"/>
      <c r="C561" s="232"/>
      <c r="D561" s="232"/>
      <c r="E561" s="233"/>
      <c r="F561" s="232"/>
      <c r="G561" s="232"/>
      <c r="H561" s="232"/>
      <c r="I561" s="233"/>
      <c r="J561" s="232"/>
      <c r="K561" s="232"/>
      <c r="L561" s="232"/>
      <c r="M561" s="233"/>
      <c r="N561" s="232"/>
      <c r="O561" s="232"/>
      <c r="P561" s="232"/>
      <c r="Q561" s="233"/>
      <c r="R561" s="75"/>
    </row>
    <row r="562" spans="1:18" ht="15.75" customHeight="1" x14ac:dyDescent="0.3">
      <c r="A562" s="234" t="s">
        <v>2417</v>
      </c>
      <c r="B562" s="172" t="s">
        <v>852</v>
      </c>
      <c r="C562" s="172" t="s">
        <v>852</v>
      </c>
      <c r="D562" s="172" t="s">
        <v>852</v>
      </c>
      <c r="E562" s="38" t="s">
        <v>852</v>
      </c>
      <c r="F562" s="172" t="s">
        <v>852</v>
      </c>
      <c r="G562" s="172" t="s">
        <v>852</v>
      </c>
      <c r="H562" s="172" t="s">
        <v>852</v>
      </c>
      <c r="I562" s="38" t="s">
        <v>852</v>
      </c>
      <c r="J562" s="172" t="s">
        <v>852</v>
      </c>
      <c r="K562" s="172" t="s">
        <v>852</v>
      </c>
      <c r="L562" s="172" t="s">
        <v>852</v>
      </c>
      <c r="M562" s="38" t="s">
        <v>852</v>
      </c>
      <c r="N562" s="172" t="s">
        <v>852</v>
      </c>
      <c r="O562" s="172" t="s">
        <v>852</v>
      </c>
      <c r="P562" s="172" t="s">
        <v>852</v>
      </c>
      <c r="Q562" s="38" t="s">
        <v>852</v>
      </c>
      <c r="R562" s="38" t="s">
        <v>852</v>
      </c>
    </row>
    <row r="563" spans="1:18" ht="15.75" customHeight="1" x14ac:dyDescent="0.3">
      <c r="A563" s="234" t="s">
        <v>2160</v>
      </c>
      <c r="B563" s="172"/>
      <c r="C563" s="172"/>
      <c r="D563" s="172"/>
      <c r="E563" s="38" t="s">
        <v>852</v>
      </c>
      <c r="F563" s="172"/>
      <c r="G563" s="172"/>
      <c r="H563" s="172"/>
      <c r="I563" s="38" t="s">
        <v>852</v>
      </c>
      <c r="J563" s="172"/>
      <c r="K563" s="172"/>
      <c r="L563" s="172"/>
      <c r="M563" s="38" t="s">
        <v>852</v>
      </c>
      <c r="N563" s="172"/>
      <c r="O563" s="172"/>
      <c r="P563" s="172"/>
      <c r="Q563" s="38" t="s">
        <v>852</v>
      </c>
      <c r="R563" s="38" t="s">
        <v>852</v>
      </c>
    </row>
    <row r="564" spans="1:18" ht="15.75" customHeight="1" x14ac:dyDescent="0.3">
      <c r="A564" s="266" t="s">
        <v>2171</v>
      </c>
      <c r="B564" s="172">
        <v>6020</v>
      </c>
      <c r="C564" s="172">
        <v>4938</v>
      </c>
      <c r="D564" s="172">
        <v>7914</v>
      </c>
      <c r="E564" s="38">
        <f>SUM(B564:D564)</f>
        <v>18872</v>
      </c>
      <c r="F564" s="172">
        <v>7402</v>
      </c>
      <c r="G564" s="172">
        <v>7985</v>
      </c>
      <c r="H564" s="172">
        <v>7722</v>
      </c>
      <c r="I564" s="38">
        <f>SUM(F564:H564)</f>
        <v>23109</v>
      </c>
      <c r="J564" s="172">
        <v>6616</v>
      </c>
      <c r="K564" s="172">
        <v>6444</v>
      </c>
      <c r="L564" s="172">
        <v>7981</v>
      </c>
      <c r="M564" s="38">
        <f>SUM(J564:L564)</f>
        <v>21041</v>
      </c>
      <c r="N564" s="172">
        <v>5892</v>
      </c>
      <c r="O564" s="172">
        <v>2397</v>
      </c>
      <c r="P564" s="172">
        <v>1069</v>
      </c>
      <c r="Q564" s="38">
        <f>SUM(N564:P564)</f>
        <v>9358</v>
      </c>
      <c r="R564" s="38">
        <f>+E564+I564+M564+Q564</f>
        <v>72380</v>
      </c>
    </row>
    <row r="565" spans="1:18" ht="15.75" customHeight="1" x14ac:dyDescent="0.3">
      <c r="A565" s="266" t="s">
        <v>2146</v>
      </c>
      <c r="B565" s="172">
        <v>0</v>
      </c>
      <c r="C565" s="172">
        <v>0</v>
      </c>
      <c r="D565" s="172">
        <v>15</v>
      </c>
      <c r="E565" s="38">
        <f>SUM(B565:D565)</f>
        <v>15</v>
      </c>
      <c r="F565" s="172">
        <v>862</v>
      </c>
      <c r="G565" s="172">
        <v>1737</v>
      </c>
      <c r="H565" s="172">
        <v>2380</v>
      </c>
      <c r="I565" s="38">
        <f>SUM(F565:H565)</f>
        <v>4979</v>
      </c>
      <c r="J565" s="172">
        <v>3068</v>
      </c>
      <c r="K565" s="172">
        <v>3532</v>
      </c>
      <c r="L565" s="172">
        <v>3677</v>
      </c>
      <c r="M565" s="38">
        <f>SUM(J565:L565)</f>
        <v>10277</v>
      </c>
      <c r="N565" s="172">
        <v>3109</v>
      </c>
      <c r="O565" s="172">
        <v>2830</v>
      </c>
      <c r="P565" s="172">
        <v>4053</v>
      </c>
      <c r="Q565" s="38">
        <f>SUM(N565:P565)</f>
        <v>9992</v>
      </c>
      <c r="R565" s="38">
        <f>+E565+I565+M565+Q565</f>
        <v>25263</v>
      </c>
    </row>
    <row r="566" spans="1:18" ht="15.75" customHeight="1" x14ac:dyDescent="0.3">
      <c r="A566" s="234" t="s">
        <v>2161</v>
      </c>
      <c r="B566" s="172"/>
      <c r="C566" s="172"/>
      <c r="D566" s="172"/>
      <c r="E566" s="38" t="s">
        <v>852</v>
      </c>
      <c r="F566" s="172"/>
      <c r="G566" s="172"/>
      <c r="H566" s="172"/>
      <c r="I566" s="38" t="s">
        <v>852</v>
      </c>
      <c r="J566" s="172"/>
      <c r="K566" s="172"/>
      <c r="L566" s="172"/>
      <c r="M566" s="38" t="s">
        <v>852</v>
      </c>
      <c r="N566" s="172"/>
      <c r="O566" s="172"/>
      <c r="P566" s="172"/>
      <c r="Q566" s="38" t="s">
        <v>852</v>
      </c>
      <c r="R566" s="38" t="s">
        <v>852</v>
      </c>
    </row>
    <row r="567" spans="1:18" ht="15.75" customHeight="1" x14ac:dyDescent="0.3">
      <c r="A567" s="234" t="s">
        <v>2162</v>
      </c>
      <c r="B567" s="172"/>
      <c r="C567" s="172"/>
      <c r="D567" s="172"/>
      <c r="E567" s="38" t="s">
        <v>852</v>
      </c>
      <c r="F567" s="172"/>
      <c r="G567" s="172"/>
      <c r="H567" s="172"/>
      <c r="I567" s="38" t="s">
        <v>852</v>
      </c>
      <c r="J567" s="172"/>
      <c r="K567" s="172"/>
      <c r="L567" s="172"/>
      <c r="M567" s="38" t="s">
        <v>852</v>
      </c>
      <c r="N567" s="172"/>
      <c r="O567" s="172"/>
      <c r="P567" s="172"/>
      <c r="Q567" s="38" t="s">
        <v>852</v>
      </c>
      <c r="R567" s="38" t="s">
        <v>852</v>
      </c>
    </row>
    <row r="568" spans="1:18" ht="15.75" customHeight="1" thickBot="1" x14ac:dyDescent="0.35">
      <c r="A568" s="234" t="s">
        <v>2164</v>
      </c>
      <c r="B568" s="172"/>
      <c r="C568" s="172"/>
      <c r="D568" s="172"/>
      <c r="E568" s="38" t="s">
        <v>852</v>
      </c>
      <c r="F568" s="172"/>
      <c r="G568" s="172"/>
      <c r="H568" s="172"/>
      <c r="I568" s="38" t="s">
        <v>852</v>
      </c>
      <c r="J568" s="172"/>
      <c r="K568" s="172"/>
      <c r="L568" s="172"/>
      <c r="M568" s="38" t="s">
        <v>852</v>
      </c>
      <c r="N568" s="172"/>
      <c r="O568" s="172"/>
      <c r="P568" s="172"/>
      <c r="Q568" s="38" t="s">
        <v>852</v>
      </c>
      <c r="R568" s="38" t="s">
        <v>852</v>
      </c>
    </row>
    <row r="569" spans="1:18" ht="15.75" customHeight="1" thickBot="1" x14ac:dyDescent="0.35">
      <c r="A569" s="276" t="s">
        <v>1218</v>
      </c>
      <c r="B569" s="45">
        <f>SUM(B562:B568)</f>
        <v>6020</v>
      </c>
      <c r="C569" s="46">
        <f>SUM(C562:C568)</f>
        <v>4938</v>
      </c>
      <c r="D569" s="46">
        <f>SUM(D562:D568)</f>
        <v>7929</v>
      </c>
      <c r="E569" s="37">
        <f>SUM(B569:D569)</f>
        <v>18887</v>
      </c>
      <c r="F569" s="46">
        <f>SUM(F562:F568)</f>
        <v>8264</v>
      </c>
      <c r="G569" s="46">
        <f>SUM(G562:G568)</f>
        <v>9722</v>
      </c>
      <c r="H569" s="46">
        <f>SUM(H562:H568)</f>
        <v>10102</v>
      </c>
      <c r="I569" s="37">
        <f>SUM(F569:H569)</f>
        <v>28088</v>
      </c>
      <c r="J569" s="46">
        <f>SUM(J562:J568)</f>
        <v>9684</v>
      </c>
      <c r="K569" s="46">
        <f>SUM(K562:K568)</f>
        <v>9976</v>
      </c>
      <c r="L569" s="46">
        <f>SUM(L562:L568)</f>
        <v>11658</v>
      </c>
      <c r="M569" s="37">
        <f>SUM(J569:L569)</f>
        <v>31318</v>
      </c>
      <c r="N569" s="46">
        <f>SUM(N562:N568)</f>
        <v>9001</v>
      </c>
      <c r="O569" s="46">
        <f>SUM(O562:O568)</f>
        <v>5227</v>
      </c>
      <c r="P569" s="46">
        <f>SUM(P562:P568)</f>
        <v>5122</v>
      </c>
      <c r="Q569" s="37">
        <f>SUM(N569:P569)</f>
        <v>19350</v>
      </c>
      <c r="R569" s="37">
        <f>+E569+I569+M569+Q569</f>
        <v>97643</v>
      </c>
    </row>
    <row r="570" spans="1:18" ht="15.75" customHeight="1" x14ac:dyDescent="0.3">
      <c r="A570" s="234" t="s">
        <v>1172</v>
      </c>
      <c r="B570" s="172"/>
      <c r="C570" s="172"/>
      <c r="D570" s="172"/>
      <c r="E570" s="38" t="s">
        <v>852</v>
      </c>
      <c r="F570" s="172"/>
      <c r="G570" s="172"/>
      <c r="H570" s="172"/>
      <c r="I570" s="38" t="s">
        <v>852</v>
      </c>
      <c r="J570" s="172"/>
      <c r="K570" s="172"/>
      <c r="L570" s="172"/>
      <c r="M570" s="38" t="s">
        <v>852</v>
      </c>
      <c r="N570" s="172"/>
      <c r="O570" s="172"/>
      <c r="P570" s="172"/>
      <c r="Q570" s="38" t="s">
        <v>852</v>
      </c>
      <c r="R570" s="38" t="s">
        <v>852</v>
      </c>
    </row>
    <row r="571" spans="1:18" ht="15.75" customHeight="1" x14ac:dyDescent="0.3">
      <c r="A571" s="234" t="s">
        <v>2409</v>
      </c>
      <c r="B571" s="172"/>
      <c r="C571" s="172"/>
      <c r="D571" s="172"/>
      <c r="E571" s="38" t="s">
        <v>852</v>
      </c>
      <c r="F571" s="172"/>
      <c r="G571" s="172"/>
      <c r="H571" s="172"/>
      <c r="I571" s="38" t="s">
        <v>852</v>
      </c>
      <c r="J571" s="172"/>
      <c r="K571" s="172"/>
      <c r="L571" s="172"/>
      <c r="M571" s="38" t="s">
        <v>852</v>
      </c>
      <c r="N571" s="172"/>
      <c r="O571" s="172"/>
      <c r="P571" s="172"/>
      <c r="Q571" s="38" t="s">
        <v>852</v>
      </c>
      <c r="R571" s="38" t="s">
        <v>852</v>
      </c>
    </row>
    <row r="572" spans="1:18" ht="15.75" customHeight="1" thickBot="1" x14ac:dyDescent="0.35">
      <c r="A572" s="234" t="s">
        <v>2165</v>
      </c>
      <c r="B572" s="172"/>
      <c r="C572" s="172"/>
      <c r="D572" s="172"/>
      <c r="E572" s="38" t="s">
        <v>852</v>
      </c>
      <c r="F572" s="172"/>
      <c r="G572" s="172"/>
      <c r="H572" s="172"/>
      <c r="I572" s="38" t="s">
        <v>852</v>
      </c>
      <c r="J572" s="172"/>
      <c r="K572" s="172"/>
      <c r="L572" s="172"/>
      <c r="M572" s="38" t="s">
        <v>852</v>
      </c>
      <c r="N572" s="172"/>
      <c r="O572" s="172"/>
      <c r="P572" s="172"/>
      <c r="Q572" s="38" t="s">
        <v>852</v>
      </c>
      <c r="R572" s="38" t="s">
        <v>852</v>
      </c>
    </row>
    <row r="573" spans="1:18" ht="15.75" customHeight="1" thickBot="1" x14ac:dyDescent="0.35">
      <c r="A573" s="43" t="s">
        <v>1219</v>
      </c>
      <c r="B573" s="45">
        <f>SUM(B570:B572)</f>
        <v>0</v>
      </c>
      <c r="C573" s="46">
        <f>SUM(C570:C572)</f>
        <v>0</v>
      </c>
      <c r="D573" s="46">
        <f>SUM(D570:D572)</f>
        <v>0</v>
      </c>
      <c r="E573" s="37">
        <f>SUM(B573:D573)</f>
        <v>0</v>
      </c>
      <c r="F573" s="46">
        <f>SUM(F570:F572)</f>
        <v>0</v>
      </c>
      <c r="G573" s="46">
        <f>SUM(G570:G572)</f>
        <v>0</v>
      </c>
      <c r="H573" s="46">
        <f>SUM(H570:H572)</f>
        <v>0</v>
      </c>
      <c r="I573" s="37">
        <f>SUM(F573:H573)</f>
        <v>0</v>
      </c>
      <c r="J573" s="46">
        <f>SUM(J570:J572)</f>
        <v>0</v>
      </c>
      <c r="K573" s="46">
        <f>SUM(K570:K572)</f>
        <v>0</v>
      </c>
      <c r="L573" s="46">
        <f>SUM(L570:L572)</f>
        <v>0</v>
      </c>
      <c r="M573" s="37">
        <f>SUM(J573:L573)</f>
        <v>0</v>
      </c>
      <c r="N573" s="46">
        <f>SUM(N570:N572)</f>
        <v>0</v>
      </c>
      <c r="O573" s="46">
        <f>SUM(O570:O572)</f>
        <v>0</v>
      </c>
      <c r="P573" s="46">
        <f>SUM(P570:P572)</f>
        <v>0</v>
      </c>
      <c r="Q573" s="37">
        <f>SUM(N573:P573)</f>
        <v>0</v>
      </c>
      <c r="R573" s="37">
        <f>+E573+I573+M573+Q573</f>
        <v>0</v>
      </c>
    </row>
    <row r="574" spans="1:18" ht="15.75" customHeight="1" x14ac:dyDescent="0.3">
      <c r="A574" s="234" t="s">
        <v>2166</v>
      </c>
      <c r="B574" s="172"/>
      <c r="C574" s="172"/>
      <c r="D574" s="172"/>
      <c r="E574" s="38" t="s">
        <v>852</v>
      </c>
      <c r="F574" s="172"/>
      <c r="G574" s="172"/>
      <c r="H574" s="172"/>
      <c r="I574" s="38" t="s">
        <v>852</v>
      </c>
      <c r="J574" s="172"/>
      <c r="K574" s="172"/>
      <c r="L574" s="172"/>
      <c r="M574" s="38" t="s">
        <v>852</v>
      </c>
      <c r="N574" s="172"/>
      <c r="O574" s="172"/>
      <c r="P574" s="172"/>
      <c r="Q574" s="38" t="s">
        <v>852</v>
      </c>
      <c r="R574" s="38" t="s">
        <v>852</v>
      </c>
    </row>
    <row r="575" spans="1:18" ht="15.75" customHeight="1" x14ac:dyDescent="0.3">
      <c r="A575" s="234" t="s">
        <v>1245</v>
      </c>
      <c r="B575" s="172"/>
      <c r="C575" s="172"/>
      <c r="D575" s="172"/>
      <c r="E575" s="38" t="s">
        <v>852</v>
      </c>
      <c r="F575" s="172"/>
      <c r="G575" s="172"/>
      <c r="H575" s="172"/>
      <c r="I575" s="38" t="s">
        <v>852</v>
      </c>
      <c r="J575" s="172"/>
      <c r="K575" s="172"/>
      <c r="L575" s="172"/>
      <c r="M575" s="38" t="s">
        <v>852</v>
      </c>
      <c r="N575" s="172"/>
      <c r="O575" s="172"/>
      <c r="P575" s="172"/>
      <c r="Q575" s="38" t="s">
        <v>852</v>
      </c>
      <c r="R575" s="38" t="s">
        <v>852</v>
      </c>
    </row>
    <row r="576" spans="1:18" ht="15.75" customHeight="1" x14ac:dyDescent="0.3">
      <c r="A576" s="266" t="s">
        <v>641</v>
      </c>
      <c r="B576" s="172">
        <v>803</v>
      </c>
      <c r="C576" s="172">
        <v>721</v>
      </c>
      <c r="D576" s="172">
        <v>1766</v>
      </c>
      <c r="E576" s="38">
        <f>SUM(B576:D576)</f>
        <v>3290</v>
      </c>
      <c r="F576" s="172">
        <v>2056</v>
      </c>
      <c r="G576" s="172">
        <v>1743</v>
      </c>
      <c r="H576" s="172">
        <v>1137</v>
      </c>
      <c r="I576" s="38">
        <f>SUM(F576:H576)</f>
        <v>4936</v>
      </c>
      <c r="J576" s="172">
        <v>1052</v>
      </c>
      <c r="K576" s="172">
        <v>1800</v>
      </c>
      <c r="L576" s="172">
        <v>1573</v>
      </c>
      <c r="M576" s="38">
        <f>SUM(J576:L576)</f>
        <v>4425</v>
      </c>
      <c r="N576" s="172">
        <v>372</v>
      </c>
      <c r="O576" s="172">
        <v>355</v>
      </c>
      <c r="P576" s="172">
        <v>261</v>
      </c>
      <c r="Q576" s="38">
        <f>SUM(N576:P576)</f>
        <v>988</v>
      </c>
      <c r="R576" s="38">
        <f>+E576+I576+M576+Q576</f>
        <v>13639</v>
      </c>
    </row>
    <row r="577" spans="1:18" ht="15.75" customHeight="1" thickBot="1" x14ac:dyDescent="0.35">
      <c r="A577" s="234" t="s">
        <v>1711</v>
      </c>
      <c r="B577" s="172"/>
      <c r="C577" s="172"/>
      <c r="D577" s="172"/>
      <c r="E577" s="38" t="s">
        <v>852</v>
      </c>
      <c r="F577" s="172"/>
      <c r="G577" s="172"/>
      <c r="H577" s="172"/>
      <c r="I577" s="38" t="s">
        <v>852</v>
      </c>
      <c r="J577" s="172"/>
      <c r="K577" s="172"/>
      <c r="L577" s="172"/>
      <c r="M577" s="38" t="s">
        <v>852</v>
      </c>
      <c r="N577" s="172"/>
      <c r="O577" s="172"/>
      <c r="P577" s="172"/>
      <c r="Q577" s="38" t="s">
        <v>852</v>
      </c>
      <c r="R577" s="38" t="s">
        <v>852</v>
      </c>
    </row>
    <row r="578" spans="1:18" ht="15.75" customHeight="1" thickBot="1" x14ac:dyDescent="0.35">
      <c r="A578" s="43" t="s">
        <v>1220</v>
      </c>
      <c r="B578" s="45">
        <f>SUM(B574:B577)</f>
        <v>803</v>
      </c>
      <c r="C578" s="46">
        <f>SUM(C574:C577)</f>
        <v>721</v>
      </c>
      <c r="D578" s="46">
        <f>SUM(D574:D577)</f>
        <v>1766</v>
      </c>
      <c r="E578" s="37">
        <f>SUM(B578:D578)</f>
        <v>3290</v>
      </c>
      <c r="F578" s="46">
        <f>SUM(F574:F577)</f>
        <v>2056</v>
      </c>
      <c r="G578" s="46">
        <f>SUM(G574:G577)</f>
        <v>1743</v>
      </c>
      <c r="H578" s="46">
        <f>SUM(H574:H577)</f>
        <v>1137</v>
      </c>
      <c r="I578" s="37">
        <f>SUM(F578:H578)</f>
        <v>4936</v>
      </c>
      <c r="J578" s="46">
        <f>SUM(J574:J577)</f>
        <v>1052</v>
      </c>
      <c r="K578" s="46">
        <f>SUM(K574:K577)</f>
        <v>1800</v>
      </c>
      <c r="L578" s="46">
        <f>SUM(L574:L577)</f>
        <v>1573</v>
      </c>
      <c r="M578" s="37">
        <f>SUM(J578:L578)</f>
        <v>4425</v>
      </c>
      <c r="N578" s="46">
        <f>SUM(N574:N577)</f>
        <v>372</v>
      </c>
      <c r="O578" s="46">
        <f>SUM(O574:O577)</f>
        <v>355</v>
      </c>
      <c r="P578" s="46">
        <f>SUM(P574:P577)</f>
        <v>261</v>
      </c>
      <c r="Q578" s="37">
        <f>SUM(N578:P578)</f>
        <v>988</v>
      </c>
      <c r="R578" s="37">
        <f>+E578+I578+M578+Q578</f>
        <v>13639</v>
      </c>
    </row>
    <row r="579" spans="1:18" ht="15.75" customHeight="1" x14ac:dyDescent="0.3">
      <c r="A579" s="234" t="s">
        <v>1712</v>
      </c>
      <c r="B579" s="172"/>
      <c r="C579" s="172"/>
      <c r="D579" s="172"/>
      <c r="E579" s="38" t="s">
        <v>852</v>
      </c>
      <c r="F579" s="172"/>
      <c r="G579" s="172"/>
      <c r="H579" s="172"/>
      <c r="I579" s="38" t="s">
        <v>852</v>
      </c>
      <c r="J579" s="172"/>
      <c r="K579" s="172"/>
      <c r="L579" s="172"/>
      <c r="M579" s="38" t="s">
        <v>852</v>
      </c>
      <c r="N579" s="172"/>
      <c r="O579" s="172"/>
      <c r="P579" s="172"/>
      <c r="Q579" s="38" t="s">
        <v>852</v>
      </c>
      <c r="R579" s="38" t="s">
        <v>852</v>
      </c>
    </row>
    <row r="580" spans="1:18" ht="15.75" customHeight="1" x14ac:dyDescent="0.3">
      <c r="A580" s="234" t="s">
        <v>556</v>
      </c>
      <c r="B580" s="172"/>
      <c r="C580" s="172"/>
      <c r="D580" s="172"/>
      <c r="E580" s="38" t="s">
        <v>852</v>
      </c>
      <c r="F580" s="172"/>
      <c r="G580" s="172"/>
      <c r="H580" s="172"/>
      <c r="I580" s="38" t="s">
        <v>852</v>
      </c>
      <c r="J580" s="172"/>
      <c r="K580" s="172"/>
      <c r="L580" s="172"/>
      <c r="M580" s="38" t="s">
        <v>852</v>
      </c>
      <c r="N580" s="172"/>
      <c r="O580" s="172"/>
      <c r="P580" s="172"/>
      <c r="Q580" s="38" t="s">
        <v>852</v>
      </c>
      <c r="R580" s="38" t="s">
        <v>852</v>
      </c>
    </row>
    <row r="581" spans="1:18" ht="15.75" customHeight="1" x14ac:dyDescent="0.3">
      <c r="A581" s="234" t="s">
        <v>557</v>
      </c>
      <c r="B581" s="172"/>
      <c r="C581" s="172"/>
      <c r="D581" s="172"/>
      <c r="E581" s="38" t="s">
        <v>852</v>
      </c>
      <c r="F581" s="172"/>
      <c r="G581" s="172"/>
      <c r="H581" s="172"/>
      <c r="I581" s="38" t="s">
        <v>852</v>
      </c>
      <c r="J581" s="172"/>
      <c r="K581" s="172"/>
      <c r="L581" s="172"/>
      <c r="M581" s="38" t="s">
        <v>852</v>
      </c>
      <c r="N581" s="172"/>
      <c r="O581" s="172"/>
      <c r="P581" s="172"/>
      <c r="Q581" s="38" t="s">
        <v>852</v>
      </c>
      <c r="R581" s="38" t="s">
        <v>852</v>
      </c>
    </row>
    <row r="582" spans="1:18" ht="15.75" customHeight="1" x14ac:dyDescent="0.3">
      <c r="A582" s="266" t="s">
        <v>1419</v>
      </c>
      <c r="B582" s="172">
        <v>1175</v>
      </c>
      <c r="C582" s="172">
        <v>1500</v>
      </c>
      <c r="D582" s="172">
        <v>0</v>
      </c>
      <c r="E582" s="38">
        <f>SUM(B582:D582)</f>
        <v>2675</v>
      </c>
      <c r="F582" s="172">
        <v>0</v>
      </c>
      <c r="G582" s="172">
        <v>0</v>
      </c>
      <c r="H582" s="172">
        <v>0</v>
      </c>
      <c r="I582" s="38">
        <f>SUM(F582:H582)</f>
        <v>0</v>
      </c>
      <c r="J582" s="172">
        <v>1500</v>
      </c>
      <c r="K582" s="172">
        <v>1500</v>
      </c>
      <c r="L582" s="172">
        <v>0</v>
      </c>
      <c r="M582" s="38">
        <f>SUM(J582:L582)</f>
        <v>3000</v>
      </c>
      <c r="N582" s="172">
        <v>0</v>
      </c>
      <c r="O582" s="172">
        <v>0</v>
      </c>
      <c r="P582" s="172">
        <v>2000</v>
      </c>
      <c r="Q582" s="38">
        <f>SUM(N582:P582)</f>
        <v>2000</v>
      </c>
      <c r="R582" s="38">
        <f>+E582+I582+M582+Q582</f>
        <v>7675</v>
      </c>
    </row>
    <row r="583" spans="1:18" ht="15.75" customHeight="1" x14ac:dyDescent="0.3">
      <c r="A583" s="266" t="s">
        <v>2149</v>
      </c>
      <c r="B583" s="172">
        <v>0</v>
      </c>
      <c r="C583" s="172">
        <v>0</v>
      </c>
      <c r="D583" s="172">
        <v>0</v>
      </c>
      <c r="E583" s="38">
        <f>SUM(B583:D583)</f>
        <v>0</v>
      </c>
      <c r="F583" s="172">
        <v>0</v>
      </c>
      <c r="G583" s="172">
        <v>0</v>
      </c>
      <c r="H583" s="172">
        <v>0</v>
      </c>
      <c r="I583" s="38">
        <f>SUM(F583:H583)</f>
        <v>0</v>
      </c>
      <c r="J583" s="172">
        <v>0</v>
      </c>
      <c r="K583" s="172">
        <v>0</v>
      </c>
      <c r="L583" s="172">
        <v>0</v>
      </c>
      <c r="M583" s="38">
        <f>SUM(J583:L583)</f>
        <v>0</v>
      </c>
      <c r="N583" s="172">
        <v>0</v>
      </c>
      <c r="O583" s="172">
        <v>0</v>
      </c>
      <c r="P583" s="172">
        <v>0</v>
      </c>
      <c r="Q583" s="38">
        <f>SUM(N583:P583)</f>
        <v>0</v>
      </c>
      <c r="R583" s="38">
        <f>+E583+I583+M583+Q583</f>
        <v>0</v>
      </c>
    </row>
    <row r="584" spans="1:18" ht="15.75" customHeight="1" x14ac:dyDescent="0.3">
      <c r="A584" s="266" t="s">
        <v>2147</v>
      </c>
      <c r="B584" s="172">
        <v>0</v>
      </c>
      <c r="C584" s="172">
        <v>0</v>
      </c>
      <c r="D584" s="172">
        <v>0</v>
      </c>
      <c r="E584" s="38">
        <f>SUM(B584:D584)</f>
        <v>0</v>
      </c>
      <c r="F584" s="172">
        <v>0</v>
      </c>
      <c r="G584" s="172">
        <v>0</v>
      </c>
      <c r="H584" s="172">
        <v>0</v>
      </c>
      <c r="I584" s="38">
        <f>SUM(F584:H584)</f>
        <v>0</v>
      </c>
      <c r="J584" s="172">
        <v>0</v>
      </c>
      <c r="K584" s="172">
        <v>0</v>
      </c>
      <c r="L584" s="172">
        <v>0</v>
      </c>
      <c r="M584" s="38">
        <f>SUM(J584:L584)</f>
        <v>0</v>
      </c>
      <c r="N584" s="172">
        <v>0</v>
      </c>
      <c r="O584" s="172">
        <v>0</v>
      </c>
      <c r="P584" s="172">
        <v>0</v>
      </c>
      <c r="Q584" s="38">
        <f>SUM(N584:P584)</f>
        <v>0</v>
      </c>
      <c r="R584" s="38">
        <f>+E584+I584+M584+Q584</f>
        <v>0</v>
      </c>
    </row>
    <row r="585" spans="1:18" ht="15.75" customHeight="1" x14ac:dyDescent="0.3">
      <c r="A585" s="266" t="s">
        <v>2148</v>
      </c>
      <c r="B585" s="172">
        <v>0</v>
      </c>
      <c r="C585" s="172">
        <v>0</v>
      </c>
      <c r="D585" s="172">
        <v>0</v>
      </c>
      <c r="E585" s="38">
        <f>SUM(B585:D585)</f>
        <v>0</v>
      </c>
      <c r="F585" s="172">
        <v>0</v>
      </c>
      <c r="G585" s="172">
        <v>0</v>
      </c>
      <c r="H585" s="172">
        <v>0</v>
      </c>
      <c r="I585" s="38">
        <f>SUM(F585:H585)</f>
        <v>0</v>
      </c>
      <c r="J585" s="172">
        <v>0</v>
      </c>
      <c r="K585" s="172">
        <v>0</v>
      </c>
      <c r="L585" s="172">
        <v>0</v>
      </c>
      <c r="M585" s="38">
        <f>SUM(J585:L585)</f>
        <v>0</v>
      </c>
      <c r="N585" s="172">
        <v>0</v>
      </c>
      <c r="O585" s="172">
        <v>0</v>
      </c>
      <c r="P585" s="172">
        <v>0</v>
      </c>
      <c r="Q585" s="38">
        <f>SUM(N585:P585)</f>
        <v>0</v>
      </c>
      <c r="R585" s="38">
        <f>+E585+I585+M585+Q585</f>
        <v>0</v>
      </c>
    </row>
    <row r="586" spans="1:18" ht="15.75" customHeight="1" x14ac:dyDescent="0.3">
      <c r="A586" s="234" t="s">
        <v>558</v>
      </c>
      <c r="B586" s="172"/>
      <c r="C586" s="172"/>
      <c r="D586" s="172"/>
      <c r="E586" s="38" t="s">
        <v>852</v>
      </c>
      <c r="F586" s="172"/>
      <c r="G586" s="172"/>
      <c r="H586" s="172"/>
      <c r="I586" s="38" t="s">
        <v>852</v>
      </c>
      <c r="J586" s="172"/>
      <c r="K586" s="172"/>
      <c r="L586" s="172"/>
      <c r="M586" s="38" t="s">
        <v>852</v>
      </c>
      <c r="N586" s="172"/>
      <c r="O586" s="172"/>
      <c r="P586" s="172"/>
      <c r="Q586" s="38" t="s">
        <v>852</v>
      </c>
      <c r="R586" s="38" t="s">
        <v>852</v>
      </c>
    </row>
    <row r="587" spans="1:18" ht="15.75" customHeight="1" thickBot="1" x14ac:dyDescent="0.35">
      <c r="A587" s="234" t="s">
        <v>559</v>
      </c>
      <c r="B587" s="172"/>
      <c r="C587" s="172"/>
      <c r="D587" s="172"/>
      <c r="E587" s="38" t="s">
        <v>852</v>
      </c>
      <c r="F587" s="172"/>
      <c r="G587" s="172"/>
      <c r="H587" s="172"/>
      <c r="I587" s="38" t="s">
        <v>852</v>
      </c>
      <c r="J587" s="172"/>
      <c r="K587" s="172"/>
      <c r="L587" s="172"/>
      <c r="M587" s="38" t="s">
        <v>852</v>
      </c>
      <c r="N587" s="172"/>
      <c r="O587" s="172"/>
      <c r="P587" s="172"/>
      <c r="Q587" s="38" t="s">
        <v>852</v>
      </c>
      <c r="R587" s="38" t="s">
        <v>852</v>
      </c>
    </row>
    <row r="588" spans="1:18" ht="15.75" customHeight="1" thickBot="1" x14ac:dyDescent="0.35">
      <c r="A588" s="43" t="s">
        <v>1019</v>
      </c>
      <c r="B588" s="42">
        <f>SUM(B586:B587)</f>
        <v>0</v>
      </c>
      <c r="C588" s="42">
        <f>SUM(C586:C587)</f>
        <v>0</v>
      </c>
      <c r="D588" s="42">
        <f>SUM(D586:D587)</f>
        <v>0</v>
      </c>
      <c r="E588" s="39">
        <f>SUM(B588:D588)</f>
        <v>0</v>
      </c>
      <c r="F588" s="42">
        <f>SUM(F586:F587)</f>
        <v>0</v>
      </c>
      <c r="G588" s="42">
        <f>SUM(G586:G587)</f>
        <v>0</v>
      </c>
      <c r="H588" s="42">
        <f>SUM(H586:H587)</f>
        <v>0</v>
      </c>
      <c r="I588" s="39">
        <f>SUM(F588:H588)</f>
        <v>0</v>
      </c>
      <c r="J588" s="42">
        <f>SUM(J586:J587)</f>
        <v>0</v>
      </c>
      <c r="K588" s="42">
        <f>SUM(K586:K587)</f>
        <v>0</v>
      </c>
      <c r="L588" s="42">
        <f>SUM(L586:L587)</f>
        <v>0</v>
      </c>
      <c r="M588" s="39">
        <f>SUM(J588:L588)</f>
        <v>0</v>
      </c>
      <c r="N588" s="42">
        <f>SUM(N586:N587)</f>
        <v>0</v>
      </c>
      <c r="O588" s="42">
        <f>SUM(O586:O587)</f>
        <v>0</v>
      </c>
      <c r="P588" s="42">
        <f>SUM(P586:P587)</f>
        <v>0</v>
      </c>
      <c r="Q588" s="39">
        <f>SUM(N588:P588)</f>
        <v>0</v>
      </c>
      <c r="R588" s="37">
        <f>+E588+I588+M588+Q588</f>
        <v>0</v>
      </c>
    </row>
    <row r="589" spans="1:18" ht="15.75" customHeight="1" thickBot="1" x14ac:dyDescent="0.35">
      <c r="A589" s="277" t="s">
        <v>1221</v>
      </c>
      <c r="B589" s="45">
        <f>SUM(B579:B587)</f>
        <v>1175</v>
      </c>
      <c r="C589" s="46">
        <f>SUM(C579:C587)</f>
        <v>1500</v>
      </c>
      <c r="D589" s="58">
        <f>SUM(D579:D587)</f>
        <v>0</v>
      </c>
      <c r="E589" s="39">
        <f>SUM(B589:D589)</f>
        <v>2675</v>
      </c>
      <c r="F589" s="46">
        <f>SUM(F579:F587)</f>
        <v>0</v>
      </c>
      <c r="G589" s="46">
        <f>SUM(G579:G587)</f>
        <v>0</v>
      </c>
      <c r="H589" s="46">
        <f>SUM(H579:H587)</f>
        <v>0</v>
      </c>
      <c r="I589" s="39">
        <f>SUM(F589:H589)</f>
        <v>0</v>
      </c>
      <c r="J589" s="46">
        <f>SUM(J579:J587)</f>
        <v>1500</v>
      </c>
      <c r="K589" s="46">
        <f>SUM(K579:K587)</f>
        <v>1500</v>
      </c>
      <c r="L589" s="46">
        <f>SUM(L579:L587)</f>
        <v>0</v>
      </c>
      <c r="M589" s="39">
        <f>SUM(J589:L589)</f>
        <v>3000</v>
      </c>
      <c r="N589" s="46">
        <f>SUM(N579:N587)</f>
        <v>0</v>
      </c>
      <c r="O589" s="46">
        <f>SUM(O579:O587)</f>
        <v>0</v>
      </c>
      <c r="P589" s="46">
        <f>SUM(P579:P587)</f>
        <v>2000</v>
      </c>
      <c r="Q589" s="39">
        <f>SUM(N589:P589)</f>
        <v>2000</v>
      </c>
      <c r="R589" s="37">
        <f>+E589+I589+M589+Q589</f>
        <v>7675</v>
      </c>
    </row>
    <row r="590" spans="1:18" ht="15.75" customHeight="1" thickBot="1" x14ac:dyDescent="0.35">
      <c r="A590" s="43" t="s">
        <v>1222</v>
      </c>
      <c r="B590" s="47">
        <f>+B569+B573+B578+B589</f>
        <v>7998</v>
      </c>
      <c r="C590" s="42">
        <f>+C569+C573+C578+C589</f>
        <v>7159</v>
      </c>
      <c r="D590" s="42">
        <f>+D569+D573+D578+D589</f>
        <v>9695</v>
      </c>
      <c r="E590" s="37">
        <f>SUM(B590:D590)</f>
        <v>24852</v>
      </c>
      <c r="F590" s="42">
        <f>+F569+F573+F578+F589</f>
        <v>10320</v>
      </c>
      <c r="G590" s="42">
        <f>+G569+G573+G578+G589</f>
        <v>11465</v>
      </c>
      <c r="H590" s="42">
        <f>+H569+H573+H578+H589</f>
        <v>11239</v>
      </c>
      <c r="I590" s="37">
        <f>SUM(F590:H590)</f>
        <v>33024</v>
      </c>
      <c r="J590" s="42">
        <f>+J569+J573+J578+J589</f>
        <v>12236</v>
      </c>
      <c r="K590" s="42">
        <f>+K569+K573+K578+K589</f>
        <v>13276</v>
      </c>
      <c r="L590" s="42">
        <f>+L569+L573+L578+L589</f>
        <v>13231</v>
      </c>
      <c r="M590" s="37">
        <f>SUM(J590:L590)</f>
        <v>38743</v>
      </c>
      <c r="N590" s="42">
        <f>+N569+N573+N578+N589</f>
        <v>9373</v>
      </c>
      <c r="O590" s="42">
        <f>+O569+O573+O578+O589</f>
        <v>5582</v>
      </c>
      <c r="P590" s="42">
        <f>+P569+P573+P578+P589</f>
        <v>7383</v>
      </c>
      <c r="Q590" s="37">
        <f>SUM(N590:P590)</f>
        <v>22338</v>
      </c>
      <c r="R590" s="40">
        <f>+E590+I590+M590+Q590</f>
        <v>118957</v>
      </c>
    </row>
    <row r="591" spans="1:18" ht="15.75" customHeight="1" thickBot="1" x14ac:dyDescent="0.35">
      <c r="A591" s="250" t="s">
        <v>853</v>
      </c>
      <c r="B591" s="238">
        <v>22</v>
      </c>
      <c r="C591" s="238">
        <v>24</v>
      </c>
      <c r="D591" s="238">
        <v>31</v>
      </c>
      <c r="E591" s="37">
        <f>SUM(B591:D591)</f>
        <v>77</v>
      </c>
      <c r="F591" s="238">
        <v>40</v>
      </c>
      <c r="G591" s="238">
        <v>45</v>
      </c>
      <c r="H591" s="238">
        <v>48</v>
      </c>
      <c r="I591" s="37">
        <f>SUM(F591:H591)</f>
        <v>133</v>
      </c>
      <c r="J591" s="238">
        <v>42</v>
      </c>
      <c r="K591" s="238">
        <v>39</v>
      </c>
      <c r="L591" s="238">
        <v>38</v>
      </c>
      <c r="M591" s="37">
        <f>SUM(J591:L591)</f>
        <v>119</v>
      </c>
      <c r="N591" s="238">
        <v>32</v>
      </c>
      <c r="O591" s="238">
        <v>25</v>
      </c>
      <c r="P591" s="238">
        <v>21</v>
      </c>
      <c r="Q591" s="37">
        <f>SUM(N591:P591)</f>
        <v>78</v>
      </c>
      <c r="R591" s="39">
        <f>+E591+I591+M591+Q591</f>
        <v>407</v>
      </c>
    </row>
    <row r="592" spans="1:18" ht="15.75" customHeight="1" thickBot="1" x14ac:dyDescent="0.35">
      <c r="A592" s="22"/>
      <c r="B592" s="242"/>
      <c r="C592" s="242"/>
      <c r="D592" s="242"/>
      <c r="E592" s="233"/>
      <c r="F592" s="242"/>
      <c r="G592" s="242"/>
      <c r="H592" s="242"/>
      <c r="I592" s="233"/>
      <c r="J592" s="242"/>
      <c r="K592" s="242"/>
      <c r="L592" s="242"/>
      <c r="M592" s="233"/>
      <c r="N592" s="242"/>
      <c r="O592" s="242"/>
      <c r="P592" s="242"/>
      <c r="Q592" s="233"/>
      <c r="R592" s="21"/>
    </row>
    <row r="593" spans="1:18" ht="15.75" customHeight="1" x14ac:dyDescent="0.3">
      <c r="A593" s="234" t="s">
        <v>120</v>
      </c>
      <c r="B593" s="172">
        <f>+SUM(B590:B591)</f>
        <v>8020</v>
      </c>
      <c r="C593" s="172">
        <f>+SUM(C590:C591)</f>
        <v>7183</v>
      </c>
      <c r="D593" s="172">
        <f>+SUM(D590:D591)</f>
        <v>9726</v>
      </c>
      <c r="E593" s="39">
        <f>SUM(B593:D593)</f>
        <v>24929</v>
      </c>
      <c r="F593" s="172">
        <f>+SUM(F590:F591)</f>
        <v>10360</v>
      </c>
      <c r="G593" s="172">
        <f>+SUM(G590:G591)</f>
        <v>11510</v>
      </c>
      <c r="H593" s="172">
        <f>+SUM(H590:H591)</f>
        <v>11287</v>
      </c>
      <c r="I593" s="39">
        <f>SUM(F593:H593)</f>
        <v>33157</v>
      </c>
      <c r="J593" s="172">
        <f>+SUM(J590:J591)</f>
        <v>12278</v>
      </c>
      <c r="K593" s="172">
        <f>+SUM(K590:K591)</f>
        <v>13315</v>
      </c>
      <c r="L593" s="172">
        <f>+SUM(L590:L591)</f>
        <v>13269</v>
      </c>
      <c r="M593" s="39">
        <f>SUM(J593:L593)</f>
        <v>38862</v>
      </c>
      <c r="N593" s="172">
        <f>+SUM(N590:N591)</f>
        <v>9405</v>
      </c>
      <c r="O593" s="172">
        <f>+SUM(O590:O591)</f>
        <v>5607</v>
      </c>
      <c r="P593" s="172">
        <f>+SUM(P590:P591)</f>
        <v>7404</v>
      </c>
      <c r="Q593" s="39">
        <f>SUM(N593:P593)</f>
        <v>22416</v>
      </c>
      <c r="R593" s="39">
        <f>+E593+I593+M593+Q593</f>
        <v>119364</v>
      </c>
    </row>
    <row r="594" spans="1:18" ht="15.75" customHeight="1" x14ac:dyDescent="0.3">
      <c r="A594" s="234" t="s">
        <v>1897</v>
      </c>
      <c r="B594" s="172">
        <f>(B593/31)/1.983</f>
        <v>130.46378084687584</v>
      </c>
      <c r="C594" s="172">
        <f>(C593/28)/1.983</f>
        <v>129.36748072905408</v>
      </c>
      <c r="D594" s="172">
        <f>(D593/31)/1.983</f>
        <v>158.21580205944073</v>
      </c>
      <c r="E594" s="38" t="s">
        <v>852</v>
      </c>
      <c r="F594" s="172">
        <f>(F593/30)/1.983</f>
        <v>174.14691544797444</v>
      </c>
      <c r="G594" s="172">
        <f>(G593/31)/1.983</f>
        <v>187.23667301091535</v>
      </c>
      <c r="H594" s="172">
        <f>(H593/30)/1.983</f>
        <v>189.72936628004706</v>
      </c>
      <c r="I594" s="38" t="s">
        <v>852</v>
      </c>
      <c r="J594" s="172">
        <f>(J593/31)/1.983</f>
        <v>199.72996274787303</v>
      </c>
      <c r="K594" s="172">
        <f>(K593/31)/1.983</f>
        <v>216.59915735363492</v>
      </c>
      <c r="L594" s="172">
        <f>(L593/30)/1.983</f>
        <v>223.04589006555724</v>
      </c>
      <c r="M594" s="38" t="s">
        <v>852</v>
      </c>
      <c r="N594" s="172">
        <f>(N593/31)/1.983</f>
        <v>152.9939973646967</v>
      </c>
      <c r="O594" s="172">
        <f>(O593/30)/1.983</f>
        <v>94.251134644478057</v>
      </c>
      <c r="P594" s="172">
        <f>(P593/31)/1.983</f>
        <v>120.44312137035772</v>
      </c>
      <c r="Q594" s="38" t="s">
        <v>852</v>
      </c>
      <c r="R594" s="38" t="s">
        <v>852</v>
      </c>
    </row>
    <row r="595" spans="1:18" ht="15.75" customHeight="1" x14ac:dyDescent="0.3">
      <c r="A595" s="234" t="s">
        <v>2390</v>
      </c>
      <c r="B595" s="172">
        <f>B593+B605</f>
        <v>8525</v>
      </c>
      <c r="C595" s="172">
        <f>C593+C605</f>
        <v>8128</v>
      </c>
      <c r="D595" s="172">
        <f>D593+D605</f>
        <v>11989</v>
      </c>
      <c r="E595" s="38">
        <f>SUM(B595:D595)</f>
        <v>28642</v>
      </c>
      <c r="F595" s="172">
        <f>F593+F605</f>
        <v>13538</v>
      </c>
      <c r="G595" s="172">
        <f>G593+G605</f>
        <v>15060</v>
      </c>
      <c r="H595" s="172">
        <f>H593+H605</f>
        <v>14171</v>
      </c>
      <c r="I595" s="38">
        <f>SUM(F595:H595)</f>
        <v>42769</v>
      </c>
      <c r="J595" s="172">
        <f>J593+J605</f>
        <v>14137</v>
      </c>
      <c r="K595" s="172">
        <f>K593+K605</f>
        <v>16664</v>
      </c>
      <c r="L595" s="172">
        <f>L593+L605</f>
        <v>16401</v>
      </c>
      <c r="M595" s="38">
        <f>SUM(J595:L595)</f>
        <v>47202</v>
      </c>
      <c r="N595" s="172">
        <f>N593+N605</f>
        <v>11990</v>
      </c>
      <c r="O595" s="172">
        <f>O593+O605</f>
        <v>7329</v>
      </c>
      <c r="P595" s="172">
        <f>P593+P605</f>
        <v>10084</v>
      </c>
      <c r="Q595" s="38">
        <f>SUM(N595:P595)</f>
        <v>29403</v>
      </c>
      <c r="R595" s="38">
        <f>+E595+I595+M595+Q595</f>
        <v>148016</v>
      </c>
    </row>
    <row r="596" spans="1:18" ht="15.75" customHeight="1" thickBot="1" x14ac:dyDescent="0.35">
      <c r="A596" s="237" t="s">
        <v>1716</v>
      </c>
      <c r="B596" s="238">
        <f>(B595/31)/1.983</f>
        <v>138.67876954109934</v>
      </c>
      <c r="C596" s="238">
        <f>(C595/28)/1.983</f>
        <v>146.38714790000719</v>
      </c>
      <c r="D596" s="238">
        <f>(D595/31)/1.983</f>
        <v>195.02871179216891</v>
      </c>
      <c r="E596" s="40" t="s">
        <v>852</v>
      </c>
      <c r="F596" s="238">
        <f>(F595/30)/1.983</f>
        <v>227.56765842998823</v>
      </c>
      <c r="G596" s="238">
        <f>(G595/31)/1.983</f>
        <v>244.98560343565467</v>
      </c>
      <c r="H596" s="238">
        <f>(H595/30)/1.983</f>
        <v>238.20810220205075</v>
      </c>
      <c r="I596" s="40" t="s">
        <v>852</v>
      </c>
      <c r="J596" s="238">
        <f>(J595/31)/1.983</f>
        <v>229.97088152522247</v>
      </c>
      <c r="K596" s="238">
        <f>(K595/31)/1.983</f>
        <v>271.07835960502979</v>
      </c>
      <c r="L596" s="238">
        <f>(L595/30)/1.983</f>
        <v>275.69339384770552</v>
      </c>
      <c r="M596" s="40" t="s">
        <v>852</v>
      </c>
      <c r="N596" s="238">
        <f>(N595/31)/1.983</f>
        <v>195.04497909651388</v>
      </c>
      <c r="O596" s="238">
        <f>(O595/30)/1.983</f>
        <v>123.19717599596571</v>
      </c>
      <c r="P596" s="238">
        <f>(P595/31)/1.983</f>
        <v>164.03949701494966</v>
      </c>
      <c r="Q596" s="40" t="s">
        <v>852</v>
      </c>
      <c r="R596" s="40" t="s">
        <v>852</v>
      </c>
    </row>
    <row r="597" spans="1:18" ht="15.75" customHeight="1" x14ac:dyDescent="0.3">
      <c r="A597" s="17"/>
      <c r="B597" s="172"/>
      <c r="C597" s="172"/>
      <c r="D597" s="172"/>
      <c r="E597" s="172"/>
      <c r="F597" s="172"/>
      <c r="G597" s="172"/>
      <c r="H597" s="172"/>
      <c r="I597" s="172"/>
      <c r="J597" s="172"/>
      <c r="K597" s="172"/>
      <c r="L597" s="172"/>
      <c r="M597" s="172"/>
      <c r="N597" s="172"/>
      <c r="O597" s="172"/>
      <c r="P597" s="172"/>
      <c r="Q597" s="172"/>
      <c r="R597" s="17"/>
    </row>
    <row r="598" spans="1:18" ht="15.75" customHeight="1" thickBot="1" x14ac:dyDescent="0.35">
      <c r="A598" s="17"/>
      <c r="B598" s="172"/>
      <c r="C598" s="172"/>
      <c r="D598" s="172"/>
      <c r="E598" s="172"/>
      <c r="F598" s="172"/>
      <c r="G598" s="172"/>
      <c r="H598" s="172"/>
      <c r="I598" s="172"/>
      <c r="J598" s="172"/>
      <c r="K598" s="172"/>
      <c r="L598" s="172"/>
      <c r="M598" s="172"/>
      <c r="N598" s="172"/>
      <c r="O598" s="172"/>
      <c r="P598" s="172"/>
      <c r="Q598" s="172"/>
      <c r="R598" s="17"/>
    </row>
    <row r="599" spans="1:18" ht="15.75" customHeight="1" thickBot="1" x14ac:dyDescent="0.35">
      <c r="A599" s="278" t="s">
        <v>374</v>
      </c>
      <c r="B599" s="4" t="s">
        <v>2090</v>
      </c>
      <c r="C599" s="5" t="s">
        <v>2091</v>
      </c>
      <c r="D599" s="5" t="s">
        <v>2234</v>
      </c>
      <c r="E599" s="33" t="s">
        <v>1594</v>
      </c>
      <c r="F599" s="5" t="s">
        <v>2235</v>
      </c>
      <c r="G599" s="5" t="s">
        <v>2236</v>
      </c>
      <c r="H599" s="5" t="s">
        <v>2237</v>
      </c>
      <c r="I599" s="35" t="s">
        <v>1595</v>
      </c>
      <c r="J599" s="5" t="s">
        <v>1504</v>
      </c>
      <c r="K599" s="5" t="s">
        <v>1505</v>
      </c>
      <c r="L599" s="5" t="s">
        <v>1506</v>
      </c>
      <c r="M599" s="35" t="s">
        <v>1596</v>
      </c>
      <c r="N599" s="5" t="s">
        <v>1507</v>
      </c>
      <c r="O599" s="5" t="s">
        <v>1508</v>
      </c>
      <c r="P599" s="5" t="s">
        <v>1509</v>
      </c>
      <c r="Q599" s="35" t="s">
        <v>1597</v>
      </c>
      <c r="R599" s="36" t="s">
        <v>1510</v>
      </c>
    </row>
    <row r="600" spans="1:18" ht="15.75" customHeight="1" thickBot="1" x14ac:dyDescent="0.35">
      <c r="A600" s="22"/>
      <c r="B600" s="242"/>
      <c r="C600" s="242"/>
      <c r="D600" s="242"/>
      <c r="E600" s="243"/>
      <c r="F600" s="242"/>
      <c r="G600" s="242"/>
      <c r="H600" s="242"/>
      <c r="I600" s="243"/>
      <c r="J600" s="242"/>
      <c r="K600" s="242"/>
      <c r="L600" s="242"/>
      <c r="M600" s="243"/>
      <c r="N600" s="242"/>
      <c r="O600" s="242"/>
      <c r="P600" s="242"/>
      <c r="Q600" s="243"/>
      <c r="R600" s="22"/>
    </row>
    <row r="601" spans="1:18" ht="15.75" customHeight="1" thickBot="1" x14ac:dyDescent="0.35">
      <c r="A601" s="244" t="s">
        <v>853</v>
      </c>
      <c r="B601" s="238">
        <v>2</v>
      </c>
      <c r="C601" s="238">
        <v>3</v>
      </c>
      <c r="D601" s="238">
        <v>5</v>
      </c>
      <c r="E601" s="38">
        <f>SUM(B601:D601)</f>
        <v>10</v>
      </c>
      <c r="F601" s="238">
        <v>7</v>
      </c>
      <c r="G601" s="238">
        <v>8</v>
      </c>
      <c r="H601" s="238">
        <v>9</v>
      </c>
      <c r="I601" s="38">
        <f>SUM(F601:H601)</f>
        <v>24</v>
      </c>
      <c r="J601" s="238">
        <v>7</v>
      </c>
      <c r="K601" s="238">
        <v>6</v>
      </c>
      <c r="L601" s="238">
        <v>6</v>
      </c>
      <c r="M601" s="38">
        <f>SUM(J601:L601)</f>
        <v>19</v>
      </c>
      <c r="N601" s="238">
        <v>5</v>
      </c>
      <c r="O601" s="238">
        <v>3</v>
      </c>
      <c r="P601" s="238">
        <v>2</v>
      </c>
      <c r="Q601" s="38">
        <f>SUM(N601:P601)</f>
        <v>10</v>
      </c>
      <c r="R601" s="39">
        <f>+E601+I601+M601+Q601</f>
        <v>63</v>
      </c>
    </row>
    <row r="602" spans="1:18" ht="15.75" customHeight="1" thickBot="1" x14ac:dyDescent="0.35">
      <c r="A602" s="22"/>
      <c r="B602" s="242"/>
      <c r="C602" s="242"/>
      <c r="D602" s="242"/>
      <c r="E602" s="233"/>
      <c r="F602" s="242"/>
      <c r="G602" s="242"/>
      <c r="H602" s="242"/>
      <c r="I602" s="233"/>
      <c r="J602" s="242"/>
      <c r="K602" s="242"/>
      <c r="L602" s="242"/>
      <c r="M602" s="233"/>
      <c r="N602" s="242"/>
      <c r="O602" s="242"/>
      <c r="P602" s="242"/>
      <c r="Q602" s="233"/>
      <c r="R602" s="21"/>
    </row>
    <row r="603" spans="1:18" ht="15.75" customHeight="1" x14ac:dyDescent="0.3">
      <c r="A603" s="234" t="s">
        <v>120</v>
      </c>
      <c r="B603" s="172">
        <f>B601</f>
        <v>2</v>
      </c>
      <c r="C603" s="172">
        <f>C601</f>
        <v>3</v>
      </c>
      <c r="D603" s="172">
        <f>D601</f>
        <v>5</v>
      </c>
      <c r="E603" s="39">
        <f>SUM(B603:D603)</f>
        <v>10</v>
      </c>
      <c r="F603" s="172">
        <f>F601</f>
        <v>7</v>
      </c>
      <c r="G603" s="172">
        <f>G601</f>
        <v>8</v>
      </c>
      <c r="H603" s="172">
        <f>H601</f>
        <v>9</v>
      </c>
      <c r="I603" s="39">
        <f>SUM(F603:H603)</f>
        <v>24</v>
      </c>
      <c r="J603" s="172">
        <f>J601</f>
        <v>7</v>
      </c>
      <c r="K603" s="172">
        <f>K601</f>
        <v>6</v>
      </c>
      <c r="L603" s="172">
        <f>L601</f>
        <v>6</v>
      </c>
      <c r="M603" s="39">
        <f>SUM(J603:L603)</f>
        <v>19</v>
      </c>
      <c r="N603" s="172">
        <f>N601</f>
        <v>5</v>
      </c>
      <c r="O603" s="172">
        <f>O601</f>
        <v>3</v>
      </c>
      <c r="P603" s="172">
        <f>P601</f>
        <v>2</v>
      </c>
      <c r="Q603" s="39">
        <f>SUM(N603:P603)</f>
        <v>10</v>
      </c>
      <c r="R603" s="39">
        <f>+E603+I603+M603+Q603</f>
        <v>63</v>
      </c>
    </row>
    <row r="604" spans="1:18" ht="15.75" customHeight="1" x14ac:dyDescent="0.3">
      <c r="A604" s="234" t="s">
        <v>1897</v>
      </c>
      <c r="B604" s="172">
        <f>(B603/31)/1.983</f>
        <v>3.2534608689993978E-2</v>
      </c>
      <c r="C604" s="172">
        <f>(C603/28)/1.983</f>
        <v>5.403068943159714E-2</v>
      </c>
      <c r="D604" s="172">
        <f>(D603/31)/1.983</f>
        <v>8.1336521724984942E-2</v>
      </c>
      <c r="E604" s="38" t="s">
        <v>852</v>
      </c>
      <c r="F604" s="172">
        <f>(F603/30)/1.983</f>
        <v>0.1176668347621449</v>
      </c>
      <c r="G604" s="172">
        <f>(G603/31)/1.983</f>
        <v>0.13013843475997591</v>
      </c>
      <c r="H604" s="172">
        <f>(H603/30)/1.983</f>
        <v>0.15128593040847199</v>
      </c>
      <c r="I604" s="38" t="s">
        <v>852</v>
      </c>
      <c r="J604" s="172">
        <f>(J603/31)/1.983</f>
        <v>0.11387113041497893</v>
      </c>
      <c r="K604" s="172">
        <f>(K603/31)/1.983</f>
        <v>9.7603826069981942E-2</v>
      </c>
      <c r="L604" s="172">
        <f>(L603/30)/1.983</f>
        <v>0.10085728693898134</v>
      </c>
      <c r="M604" s="38" t="s">
        <v>852</v>
      </c>
      <c r="N604" s="172">
        <f>(N603/31)/1.983</f>
        <v>8.1336521724984942E-2</v>
      </c>
      <c r="O604" s="172">
        <f>(O603/30)/1.983</f>
        <v>5.0428643469490671E-2</v>
      </c>
      <c r="P604" s="172">
        <f>(P603/31)/1.983</f>
        <v>3.2534608689993978E-2</v>
      </c>
      <c r="Q604" s="38" t="s">
        <v>852</v>
      </c>
      <c r="R604" s="38" t="s">
        <v>852</v>
      </c>
    </row>
    <row r="605" spans="1:18" ht="15.75" customHeight="1" x14ac:dyDescent="0.3">
      <c r="A605" s="234" t="s">
        <v>585</v>
      </c>
      <c r="B605" s="172">
        <f>B603+B639+B681-B634</f>
        <v>505</v>
      </c>
      <c r="C605" s="172">
        <f>C603+C639+C681-C634</f>
        <v>945</v>
      </c>
      <c r="D605" s="172">
        <f>D603+D639+D681-D634</f>
        <v>2263</v>
      </c>
      <c r="E605" s="38">
        <f>SUM(B605:D605)</f>
        <v>3713</v>
      </c>
      <c r="F605" s="172">
        <f>F603+F639+F681-F634</f>
        <v>3178</v>
      </c>
      <c r="G605" s="172">
        <f>G603+G639+G681-G634</f>
        <v>3550</v>
      </c>
      <c r="H605" s="172">
        <f>H603+H639+H681-H634</f>
        <v>2884</v>
      </c>
      <c r="I605" s="38">
        <f>SUM(F605:H605)</f>
        <v>9612</v>
      </c>
      <c r="J605" s="172">
        <f>J603+J639+J681-J634</f>
        <v>1859</v>
      </c>
      <c r="K605" s="172">
        <f>K603+K639+K681-K634</f>
        <v>3349</v>
      </c>
      <c r="L605" s="172">
        <f>L603+L639+L681-L634</f>
        <v>3132</v>
      </c>
      <c r="M605" s="38">
        <f>SUM(J605:L605)</f>
        <v>8340</v>
      </c>
      <c r="N605" s="172">
        <f>N603+N639+N681-N634</f>
        <v>2585</v>
      </c>
      <c r="O605" s="172">
        <f>O603+O639+O681-O634</f>
        <v>1722</v>
      </c>
      <c r="P605" s="172">
        <f>P603+P639+P681-P634</f>
        <v>2680</v>
      </c>
      <c r="Q605" s="38">
        <f>SUM(N605:P605)</f>
        <v>6987</v>
      </c>
      <c r="R605" s="38">
        <f>+E605+I605+M605+Q605</f>
        <v>28652</v>
      </c>
    </row>
    <row r="606" spans="1:18" ht="15.75" customHeight="1" thickBot="1" x14ac:dyDescent="0.35">
      <c r="A606" s="237" t="s">
        <v>57</v>
      </c>
      <c r="B606" s="238">
        <f>(B605/31)/1.983</f>
        <v>8.2149886942234787</v>
      </c>
      <c r="C606" s="238">
        <f>(C605/28)/1.983</f>
        <v>17.019667170953099</v>
      </c>
      <c r="D606" s="238">
        <f>(D605/31)/1.983</f>
        <v>36.812909732728187</v>
      </c>
      <c r="E606" s="40" t="s">
        <v>852</v>
      </c>
      <c r="F606" s="238">
        <f>(F605/30)/1.983</f>
        <v>53.420742982013785</v>
      </c>
      <c r="G606" s="238">
        <f>(G605/31)/1.983</f>
        <v>57.748930424739314</v>
      </c>
      <c r="H606" s="238">
        <f>(H605/30)/1.983</f>
        <v>48.4787359220037</v>
      </c>
      <c r="I606" s="40" t="s">
        <v>852</v>
      </c>
      <c r="J606" s="238">
        <f>(J605/31)/1.983</f>
        <v>30.240918777349403</v>
      </c>
      <c r="K606" s="238">
        <f>(K605/31)/1.983</f>
        <v>54.479202251394916</v>
      </c>
      <c r="L606" s="238">
        <f>(L605/30)/1.983</f>
        <v>52.647503782148263</v>
      </c>
      <c r="M606" s="40" t="s">
        <v>852</v>
      </c>
      <c r="N606" s="238">
        <f>(N605/31)/1.983</f>
        <v>42.050981731817217</v>
      </c>
      <c r="O606" s="238">
        <f>(O605/30)/1.983</f>
        <v>28.946041351487644</v>
      </c>
      <c r="P606" s="238">
        <f>(P605/31)/1.983</f>
        <v>43.59637564459193</v>
      </c>
      <c r="Q606" s="40" t="s">
        <v>852</v>
      </c>
      <c r="R606" s="40" t="s">
        <v>852</v>
      </c>
    </row>
    <row r="607" spans="1:18" ht="15.75" customHeight="1" x14ac:dyDescent="0.3">
      <c r="A607" s="17"/>
      <c r="B607" s="172"/>
      <c r="C607" s="172"/>
      <c r="D607" s="172"/>
      <c r="E607" s="172"/>
      <c r="F607" s="172"/>
      <c r="G607" s="172"/>
      <c r="H607" s="172"/>
      <c r="I607" s="172"/>
      <c r="J607" s="172"/>
      <c r="K607" s="172"/>
      <c r="L607" s="172"/>
      <c r="M607" s="172"/>
      <c r="N607" s="172"/>
      <c r="O607" s="172"/>
      <c r="P607" s="172"/>
      <c r="Q607" s="172"/>
      <c r="R607" s="17"/>
    </row>
    <row r="608" spans="1:18" ht="15.75" customHeight="1" thickBot="1" x14ac:dyDescent="0.35">
      <c r="A608" s="17"/>
      <c r="B608" s="172"/>
      <c r="C608" s="172"/>
      <c r="D608" s="172"/>
      <c r="E608" s="172"/>
      <c r="F608" s="172"/>
      <c r="G608" s="172"/>
      <c r="H608" s="172"/>
      <c r="I608" s="172"/>
      <c r="J608" s="172"/>
      <c r="K608" s="172"/>
      <c r="L608" s="172"/>
      <c r="M608" s="172"/>
      <c r="N608" s="172"/>
      <c r="O608" s="172"/>
      <c r="P608" s="172"/>
      <c r="Q608" s="172"/>
      <c r="R608" s="17"/>
    </row>
    <row r="609" spans="1:18" ht="15.75" customHeight="1" thickBot="1" x14ac:dyDescent="0.35">
      <c r="A609" s="278" t="s">
        <v>1709</v>
      </c>
      <c r="B609" s="4" t="s">
        <v>2090</v>
      </c>
      <c r="C609" s="5" t="s">
        <v>2091</v>
      </c>
      <c r="D609" s="5" t="s">
        <v>2234</v>
      </c>
      <c r="E609" s="35" t="s">
        <v>1594</v>
      </c>
      <c r="F609" s="5" t="s">
        <v>2235</v>
      </c>
      <c r="G609" s="5" t="s">
        <v>2236</v>
      </c>
      <c r="H609" s="5" t="s">
        <v>2237</v>
      </c>
      <c r="I609" s="35" t="s">
        <v>1595</v>
      </c>
      <c r="J609" s="5" t="s">
        <v>1504</v>
      </c>
      <c r="K609" s="5" t="s">
        <v>1505</v>
      </c>
      <c r="L609" s="5" t="s">
        <v>1506</v>
      </c>
      <c r="M609" s="35" t="s">
        <v>1596</v>
      </c>
      <c r="N609" s="5" t="s">
        <v>1507</v>
      </c>
      <c r="O609" s="5" t="s">
        <v>1508</v>
      </c>
      <c r="P609" s="5" t="s">
        <v>1509</v>
      </c>
      <c r="Q609" s="35" t="s">
        <v>1597</v>
      </c>
      <c r="R609" s="59" t="s">
        <v>1510</v>
      </c>
    </row>
    <row r="610" spans="1:18" ht="15.75" customHeight="1" thickBot="1" x14ac:dyDescent="0.35">
      <c r="A610" s="22"/>
      <c r="B610" s="242"/>
      <c r="C610" s="242"/>
      <c r="D610" s="242"/>
      <c r="E610" s="282"/>
      <c r="F610" s="242"/>
      <c r="G610" s="242"/>
      <c r="H610" s="242"/>
      <c r="I610" s="282"/>
      <c r="J610" s="242"/>
      <c r="K610" s="242"/>
      <c r="L610" s="242"/>
      <c r="M610" s="282"/>
      <c r="N610" s="242"/>
      <c r="O610" s="242"/>
      <c r="P610" s="242"/>
      <c r="Q610" s="282"/>
      <c r="R610" s="19"/>
    </row>
    <row r="611" spans="1:18" ht="15.75" customHeight="1" x14ac:dyDescent="0.3">
      <c r="A611" s="234" t="s">
        <v>2417</v>
      </c>
      <c r="B611" s="172" t="s">
        <v>852</v>
      </c>
      <c r="C611" s="172" t="s">
        <v>852</v>
      </c>
      <c r="D611" s="172" t="s">
        <v>852</v>
      </c>
      <c r="E611" s="38" t="s">
        <v>852</v>
      </c>
      <c r="F611" s="172" t="s">
        <v>852</v>
      </c>
      <c r="G611" s="172" t="s">
        <v>852</v>
      </c>
      <c r="H611" s="172" t="s">
        <v>852</v>
      </c>
      <c r="I611" s="38" t="s">
        <v>852</v>
      </c>
      <c r="J611" s="172" t="s">
        <v>852</v>
      </c>
      <c r="K611" s="172" t="s">
        <v>852</v>
      </c>
      <c r="L611" s="172" t="s">
        <v>852</v>
      </c>
      <c r="M611" s="38" t="s">
        <v>852</v>
      </c>
      <c r="N611" s="172" t="s">
        <v>852</v>
      </c>
      <c r="O611" s="172" t="s">
        <v>852</v>
      </c>
      <c r="P611" s="172" t="s">
        <v>852</v>
      </c>
      <c r="Q611" s="38" t="s">
        <v>852</v>
      </c>
      <c r="R611" s="38" t="s">
        <v>852</v>
      </c>
    </row>
    <row r="612" spans="1:18" ht="15.75" customHeight="1" x14ac:dyDescent="0.3">
      <c r="A612" s="234" t="s">
        <v>2160</v>
      </c>
      <c r="B612" s="172"/>
      <c r="C612" s="172"/>
      <c r="D612" s="172"/>
      <c r="E612" s="38" t="s">
        <v>852</v>
      </c>
      <c r="F612" s="172"/>
      <c r="G612" s="172"/>
      <c r="H612" s="172"/>
      <c r="I612" s="38" t="s">
        <v>852</v>
      </c>
      <c r="J612" s="172"/>
      <c r="K612" s="172"/>
      <c r="L612" s="172"/>
      <c r="M612" s="38" t="s">
        <v>852</v>
      </c>
      <c r="N612" s="172"/>
      <c r="O612" s="172"/>
      <c r="P612" s="172"/>
      <c r="Q612" s="38" t="s">
        <v>852</v>
      </c>
      <c r="R612" s="38" t="s">
        <v>852</v>
      </c>
    </row>
    <row r="613" spans="1:18" ht="15.75" customHeight="1" x14ac:dyDescent="0.3">
      <c r="A613" s="266" t="s">
        <v>573</v>
      </c>
      <c r="B613" s="172">
        <v>42</v>
      </c>
      <c r="C613" s="172">
        <v>17</v>
      </c>
      <c r="D613" s="172">
        <v>56</v>
      </c>
      <c r="E613" s="38">
        <f>SUM(B613:D613)</f>
        <v>115</v>
      </c>
      <c r="F613" s="172">
        <v>86</v>
      </c>
      <c r="G613" s="172">
        <v>42</v>
      </c>
      <c r="H613" s="172">
        <v>11</v>
      </c>
      <c r="I613" s="38">
        <f>SUM(F613:H613)</f>
        <v>139</v>
      </c>
      <c r="J613" s="172">
        <v>48</v>
      </c>
      <c r="K613" s="172">
        <v>98</v>
      </c>
      <c r="L613" s="172">
        <v>0</v>
      </c>
      <c r="M613" s="38">
        <f>SUM(J613:L613)</f>
        <v>146</v>
      </c>
      <c r="N613" s="172">
        <v>0</v>
      </c>
      <c r="O613" s="172">
        <v>88</v>
      </c>
      <c r="P613" s="172">
        <v>15</v>
      </c>
      <c r="Q613" s="38">
        <f>SUM(N613:P613)</f>
        <v>103</v>
      </c>
      <c r="R613" s="38">
        <f>+E613+I613+M613+Q613</f>
        <v>503</v>
      </c>
    </row>
    <row r="614" spans="1:18" ht="15.75" customHeight="1" x14ac:dyDescent="0.3">
      <c r="A614" s="234" t="s">
        <v>2161</v>
      </c>
      <c r="B614" s="172"/>
      <c r="C614" s="172"/>
      <c r="D614" s="172"/>
      <c r="E614" s="38" t="s">
        <v>852</v>
      </c>
      <c r="F614" s="172"/>
      <c r="G614" s="172"/>
      <c r="H614" s="172"/>
      <c r="I614" s="38" t="s">
        <v>852</v>
      </c>
      <c r="J614" s="172"/>
      <c r="K614" s="172"/>
      <c r="L614" s="172"/>
      <c r="M614" s="38" t="s">
        <v>852</v>
      </c>
      <c r="N614" s="172"/>
      <c r="O614" s="172"/>
      <c r="P614" s="172"/>
      <c r="Q614" s="38" t="s">
        <v>852</v>
      </c>
      <c r="R614" s="38" t="s">
        <v>852</v>
      </c>
    </row>
    <row r="615" spans="1:18" ht="15.75" customHeight="1" x14ac:dyDescent="0.3">
      <c r="A615" s="234" t="s">
        <v>2162</v>
      </c>
      <c r="B615" s="172"/>
      <c r="C615" s="172"/>
      <c r="D615" s="172"/>
      <c r="E615" s="38" t="s">
        <v>852</v>
      </c>
      <c r="F615" s="172"/>
      <c r="G615" s="172"/>
      <c r="H615" s="172"/>
      <c r="I615" s="38" t="s">
        <v>852</v>
      </c>
      <c r="J615" s="172"/>
      <c r="K615" s="172"/>
      <c r="L615" s="172"/>
      <c r="M615" s="38" t="s">
        <v>852</v>
      </c>
      <c r="N615" s="172"/>
      <c r="O615" s="172"/>
      <c r="P615" s="172"/>
      <c r="Q615" s="38" t="s">
        <v>852</v>
      </c>
      <c r="R615" s="38" t="s">
        <v>852</v>
      </c>
    </row>
    <row r="616" spans="1:18" ht="15.75" customHeight="1" thickBot="1" x14ac:dyDescent="0.35">
      <c r="A616" s="234" t="s">
        <v>2164</v>
      </c>
      <c r="B616" s="172"/>
      <c r="C616" s="172"/>
      <c r="D616" s="172"/>
      <c r="E616" s="38" t="s">
        <v>852</v>
      </c>
      <c r="F616" s="172"/>
      <c r="G616" s="172"/>
      <c r="H616" s="172"/>
      <c r="I616" s="38" t="s">
        <v>852</v>
      </c>
      <c r="J616" s="172"/>
      <c r="K616" s="172"/>
      <c r="L616" s="172"/>
      <c r="M616" s="38" t="s">
        <v>852</v>
      </c>
      <c r="N616" s="172"/>
      <c r="O616" s="172"/>
      <c r="P616" s="172"/>
      <c r="Q616" s="38" t="s">
        <v>852</v>
      </c>
      <c r="R616" s="38" t="s">
        <v>852</v>
      </c>
    </row>
    <row r="617" spans="1:18" ht="15.75" customHeight="1" thickBot="1" x14ac:dyDescent="0.35">
      <c r="A617" s="43" t="s">
        <v>1218</v>
      </c>
      <c r="B617" s="45">
        <f>SUM(B611:B616)</f>
        <v>42</v>
      </c>
      <c r="C617" s="46">
        <f>SUM(C611:C616)</f>
        <v>17</v>
      </c>
      <c r="D617" s="46">
        <f>SUM(D611:D616)</f>
        <v>56</v>
      </c>
      <c r="E617" s="37">
        <f>SUM(B617:D617)</f>
        <v>115</v>
      </c>
      <c r="F617" s="46">
        <f>SUM(F611:F616)</f>
        <v>86</v>
      </c>
      <c r="G617" s="46">
        <f>SUM(G611:G616)</f>
        <v>42</v>
      </c>
      <c r="H617" s="46">
        <f>SUM(H611:H616)</f>
        <v>11</v>
      </c>
      <c r="I617" s="37">
        <f>SUM(F617:H617)</f>
        <v>139</v>
      </c>
      <c r="J617" s="46">
        <f>SUM(J611:J616)</f>
        <v>48</v>
      </c>
      <c r="K617" s="46">
        <f>SUM(K611:K616)</f>
        <v>98</v>
      </c>
      <c r="L617" s="46">
        <f>SUM(L611:L616)</f>
        <v>0</v>
      </c>
      <c r="M617" s="37">
        <f>SUM(J617:L617)</f>
        <v>146</v>
      </c>
      <c r="N617" s="46">
        <f>SUM(N611:N616)</f>
        <v>0</v>
      </c>
      <c r="O617" s="46">
        <f>SUM(O611:O616)</f>
        <v>88</v>
      </c>
      <c r="P617" s="46">
        <f>SUM(P611:P616)</f>
        <v>15</v>
      </c>
      <c r="Q617" s="37">
        <f>SUM(N617:P617)</f>
        <v>103</v>
      </c>
      <c r="R617" s="37">
        <f>+E617+I617+M617+Q617</f>
        <v>503</v>
      </c>
    </row>
    <row r="618" spans="1:18" ht="15.75" customHeight="1" x14ac:dyDescent="0.3">
      <c r="A618" s="234" t="s">
        <v>1172</v>
      </c>
      <c r="B618" s="172"/>
      <c r="C618" s="172"/>
      <c r="D618" s="172"/>
      <c r="E618" s="38" t="s">
        <v>852</v>
      </c>
      <c r="F618" s="172"/>
      <c r="G618" s="172"/>
      <c r="H618" s="172"/>
      <c r="I618" s="38" t="s">
        <v>852</v>
      </c>
      <c r="J618" s="172"/>
      <c r="K618" s="172"/>
      <c r="L618" s="172"/>
      <c r="M618" s="38" t="s">
        <v>852</v>
      </c>
      <c r="N618" s="172"/>
      <c r="O618" s="172"/>
      <c r="P618" s="172"/>
      <c r="Q618" s="38" t="s">
        <v>852</v>
      </c>
      <c r="R618" s="38" t="s">
        <v>852</v>
      </c>
    </row>
    <row r="619" spans="1:18" ht="15.75" customHeight="1" x14ac:dyDescent="0.3">
      <c r="A619" s="234" t="s">
        <v>2409</v>
      </c>
      <c r="B619" s="172"/>
      <c r="C619" s="172"/>
      <c r="D619" s="172"/>
      <c r="E619" s="38" t="s">
        <v>852</v>
      </c>
      <c r="F619" s="172"/>
      <c r="G619" s="172"/>
      <c r="H619" s="172"/>
      <c r="I619" s="38" t="s">
        <v>852</v>
      </c>
      <c r="J619" s="172"/>
      <c r="K619" s="172"/>
      <c r="L619" s="172"/>
      <c r="M619" s="38" t="s">
        <v>852</v>
      </c>
      <c r="N619" s="172"/>
      <c r="O619" s="172"/>
      <c r="P619" s="172"/>
      <c r="Q619" s="38" t="s">
        <v>852</v>
      </c>
      <c r="R619" s="38" t="s">
        <v>852</v>
      </c>
    </row>
    <row r="620" spans="1:18" ht="15.75" customHeight="1" thickBot="1" x14ac:dyDescent="0.35">
      <c r="A620" s="234" t="s">
        <v>2165</v>
      </c>
      <c r="B620" s="172"/>
      <c r="C620" s="172"/>
      <c r="D620" s="172"/>
      <c r="E620" s="38" t="s">
        <v>852</v>
      </c>
      <c r="F620" s="172"/>
      <c r="G620" s="172"/>
      <c r="H620" s="172"/>
      <c r="I620" s="38" t="s">
        <v>852</v>
      </c>
      <c r="J620" s="172"/>
      <c r="K620" s="172"/>
      <c r="L620" s="172"/>
      <c r="M620" s="38" t="s">
        <v>852</v>
      </c>
      <c r="N620" s="172"/>
      <c r="O620" s="172"/>
      <c r="P620" s="172"/>
      <c r="Q620" s="38" t="s">
        <v>852</v>
      </c>
      <c r="R620" s="38" t="s">
        <v>852</v>
      </c>
    </row>
    <row r="621" spans="1:18" ht="15.75" customHeight="1" thickBot="1" x14ac:dyDescent="0.35">
      <c r="A621" s="43" t="s">
        <v>1219</v>
      </c>
      <c r="B621" s="45">
        <f>SUM(B618:B620)</f>
        <v>0</v>
      </c>
      <c r="C621" s="46">
        <f>SUM(C618:C620)</f>
        <v>0</v>
      </c>
      <c r="D621" s="46">
        <f>SUM(D618:D620)</f>
        <v>0</v>
      </c>
      <c r="E621" s="37">
        <f>SUM(B621:D621)</f>
        <v>0</v>
      </c>
      <c r="F621" s="46">
        <f>SUM(F618:F620)</f>
        <v>0</v>
      </c>
      <c r="G621" s="46">
        <f>SUM(G618:G620)</f>
        <v>0</v>
      </c>
      <c r="H621" s="46">
        <f>SUM(H618:H620)</f>
        <v>0</v>
      </c>
      <c r="I621" s="37">
        <f>SUM(F621:H621)</f>
        <v>0</v>
      </c>
      <c r="J621" s="46">
        <f>SUM(J618:J620)</f>
        <v>0</v>
      </c>
      <c r="K621" s="46">
        <f>SUM(K618:K620)</f>
        <v>0</v>
      </c>
      <c r="L621" s="46">
        <f>SUM(L618:L620)</f>
        <v>0</v>
      </c>
      <c r="M621" s="37">
        <f>SUM(J621:L621)</f>
        <v>0</v>
      </c>
      <c r="N621" s="46">
        <f>SUM(N618:N620)</f>
        <v>0</v>
      </c>
      <c r="O621" s="46">
        <f>SUM(O618:O620)</f>
        <v>0</v>
      </c>
      <c r="P621" s="46">
        <f>SUM(P618:P620)</f>
        <v>0</v>
      </c>
      <c r="Q621" s="37">
        <f>SUM(N621:P621)</f>
        <v>0</v>
      </c>
      <c r="R621" s="37">
        <f>+E621+I621+M621+Q621</f>
        <v>0</v>
      </c>
    </row>
    <row r="622" spans="1:18" ht="15.75" customHeight="1" x14ac:dyDescent="0.3">
      <c r="A622" s="234" t="s">
        <v>2166</v>
      </c>
      <c r="B622" s="172"/>
      <c r="C622" s="172"/>
      <c r="D622" s="172"/>
      <c r="E622" s="38" t="s">
        <v>852</v>
      </c>
      <c r="F622" s="172"/>
      <c r="G622" s="172"/>
      <c r="H622" s="172"/>
      <c r="I622" s="38" t="s">
        <v>852</v>
      </c>
      <c r="J622" s="172"/>
      <c r="K622" s="172"/>
      <c r="L622" s="172"/>
      <c r="M622" s="38" t="s">
        <v>852</v>
      </c>
      <c r="N622" s="172"/>
      <c r="O622" s="172"/>
      <c r="P622" s="172"/>
      <c r="Q622" s="38" t="s">
        <v>852</v>
      </c>
      <c r="R622" s="38" t="s">
        <v>852</v>
      </c>
    </row>
    <row r="623" spans="1:18" ht="15.75" customHeight="1" x14ac:dyDescent="0.3">
      <c r="A623" s="234" t="s">
        <v>1245</v>
      </c>
      <c r="B623" s="172"/>
      <c r="C623" s="172"/>
      <c r="D623" s="172"/>
      <c r="E623" s="38" t="s">
        <v>852</v>
      </c>
      <c r="F623" s="172"/>
      <c r="G623" s="172"/>
      <c r="H623" s="172"/>
      <c r="I623" s="38" t="s">
        <v>852</v>
      </c>
      <c r="J623" s="172"/>
      <c r="K623" s="172"/>
      <c r="L623" s="172"/>
      <c r="M623" s="38" t="s">
        <v>852</v>
      </c>
      <c r="N623" s="172"/>
      <c r="O623" s="172"/>
      <c r="P623" s="172"/>
      <c r="Q623" s="38" t="s">
        <v>852</v>
      </c>
      <c r="R623" s="38" t="s">
        <v>852</v>
      </c>
    </row>
    <row r="624" spans="1:18" ht="15.75" customHeight="1" thickBot="1" x14ac:dyDescent="0.35">
      <c r="A624" s="234" t="s">
        <v>1711</v>
      </c>
      <c r="B624" s="172"/>
      <c r="C624" s="172"/>
      <c r="D624" s="172"/>
      <c r="E624" s="38" t="s">
        <v>852</v>
      </c>
      <c r="F624" s="172"/>
      <c r="G624" s="172"/>
      <c r="H624" s="172"/>
      <c r="I624" s="38" t="s">
        <v>852</v>
      </c>
      <c r="J624" s="172"/>
      <c r="K624" s="172"/>
      <c r="L624" s="172"/>
      <c r="M624" s="38" t="s">
        <v>852</v>
      </c>
      <c r="N624" s="172"/>
      <c r="O624" s="172"/>
      <c r="P624" s="172"/>
      <c r="Q624" s="38" t="s">
        <v>852</v>
      </c>
      <c r="R624" s="38" t="s">
        <v>852</v>
      </c>
    </row>
    <row r="625" spans="1:18" ht="15.75" customHeight="1" thickBot="1" x14ac:dyDescent="0.35">
      <c r="A625" s="43" t="s">
        <v>1220</v>
      </c>
      <c r="B625" s="45">
        <f>SUM(B622:B624)</f>
        <v>0</v>
      </c>
      <c r="C625" s="46">
        <f>SUM(C622:C624)</f>
        <v>0</v>
      </c>
      <c r="D625" s="46">
        <f>SUM(D622:D624)</f>
        <v>0</v>
      </c>
      <c r="E625" s="37">
        <f>SUM(B625:D625)</f>
        <v>0</v>
      </c>
      <c r="F625" s="46">
        <f>SUM(F622:F624)</f>
        <v>0</v>
      </c>
      <c r="G625" s="46">
        <f>SUM(G622:G624)</f>
        <v>0</v>
      </c>
      <c r="H625" s="46">
        <f>SUM(H622:H624)</f>
        <v>0</v>
      </c>
      <c r="I625" s="37">
        <f>SUM(F625:H625)</f>
        <v>0</v>
      </c>
      <c r="J625" s="46">
        <f>SUM(J622:J624)</f>
        <v>0</v>
      </c>
      <c r="K625" s="46">
        <f>SUM(K622:K624)</f>
        <v>0</v>
      </c>
      <c r="L625" s="46">
        <f>SUM(L622:L624)</f>
        <v>0</v>
      </c>
      <c r="M625" s="37">
        <f>SUM(J625:L625)</f>
        <v>0</v>
      </c>
      <c r="N625" s="46">
        <f>SUM(N622:N624)</f>
        <v>0</v>
      </c>
      <c r="O625" s="46">
        <f>SUM(O622:O624)</f>
        <v>0</v>
      </c>
      <c r="P625" s="46">
        <f>SUM(P622:P624)</f>
        <v>0</v>
      </c>
      <c r="Q625" s="37">
        <f>SUM(N625:P625)</f>
        <v>0</v>
      </c>
      <c r="R625" s="37">
        <f>+E625+I625+M625+Q625</f>
        <v>0</v>
      </c>
    </row>
    <row r="626" spans="1:18" ht="15.75" customHeight="1" x14ac:dyDescent="0.3">
      <c r="A626" s="234" t="s">
        <v>1712</v>
      </c>
      <c r="B626" s="172"/>
      <c r="C626" s="172"/>
      <c r="D626" s="172"/>
      <c r="E626" s="38" t="s">
        <v>852</v>
      </c>
      <c r="F626" s="172"/>
      <c r="G626" s="172"/>
      <c r="H626" s="172"/>
      <c r="I626" s="38" t="s">
        <v>852</v>
      </c>
      <c r="J626" s="172"/>
      <c r="K626" s="172"/>
      <c r="L626" s="172"/>
      <c r="M626" s="38" t="s">
        <v>852</v>
      </c>
      <c r="N626" s="172"/>
      <c r="O626" s="172"/>
      <c r="P626" s="172"/>
      <c r="Q626" s="38" t="s">
        <v>852</v>
      </c>
      <c r="R626" s="38" t="s">
        <v>852</v>
      </c>
    </row>
    <row r="627" spans="1:18" ht="15.75" customHeight="1" x14ac:dyDescent="0.3">
      <c r="A627" s="234" t="s">
        <v>556</v>
      </c>
      <c r="B627" s="172"/>
      <c r="C627" s="172"/>
      <c r="D627" s="172"/>
      <c r="E627" s="38" t="s">
        <v>852</v>
      </c>
      <c r="F627" s="172"/>
      <c r="G627" s="172"/>
      <c r="H627" s="172"/>
      <c r="I627" s="38" t="s">
        <v>852</v>
      </c>
      <c r="J627" s="172"/>
      <c r="K627" s="172"/>
      <c r="L627" s="172"/>
      <c r="M627" s="38" t="s">
        <v>852</v>
      </c>
      <c r="N627" s="172"/>
      <c r="O627" s="172"/>
      <c r="P627" s="172"/>
      <c r="Q627" s="38" t="s">
        <v>852</v>
      </c>
      <c r="R627" s="38" t="s">
        <v>852</v>
      </c>
    </row>
    <row r="628" spans="1:18" ht="15.75" customHeight="1" x14ac:dyDescent="0.3">
      <c r="A628" s="234" t="s">
        <v>557</v>
      </c>
      <c r="B628" s="172"/>
      <c r="C628" s="172"/>
      <c r="D628" s="172"/>
      <c r="E628" s="38" t="s">
        <v>852</v>
      </c>
      <c r="F628" s="172"/>
      <c r="G628" s="172"/>
      <c r="H628" s="172"/>
      <c r="I628" s="38" t="s">
        <v>852</v>
      </c>
      <c r="J628" s="172"/>
      <c r="K628" s="172"/>
      <c r="L628" s="172"/>
      <c r="M628" s="38" t="s">
        <v>852</v>
      </c>
      <c r="N628" s="172"/>
      <c r="O628" s="172"/>
      <c r="P628" s="172"/>
      <c r="Q628" s="38" t="s">
        <v>852</v>
      </c>
      <c r="R628" s="38" t="s">
        <v>852</v>
      </c>
    </row>
    <row r="629" spans="1:18" ht="15.75" customHeight="1" x14ac:dyDescent="0.3">
      <c r="A629" s="234" t="s">
        <v>558</v>
      </c>
      <c r="B629" s="172"/>
      <c r="C629" s="172"/>
      <c r="D629" s="172"/>
      <c r="E629" s="38" t="s">
        <v>852</v>
      </c>
      <c r="F629" s="172"/>
      <c r="G629" s="172"/>
      <c r="H629" s="172"/>
      <c r="I629" s="38" t="s">
        <v>852</v>
      </c>
      <c r="J629" s="172"/>
      <c r="K629" s="172"/>
      <c r="L629" s="172"/>
      <c r="M629" s="38" t="s">
        <v>852</v>
      </c>
      <c r="N629" s="172"/>
      <c r="O629" s="172"/>
      <c r="P629" s="172"/>
      <c r="Q629" s="38" t="s">
        <v>852</v>
      </c>
      <c r="R629" s="38" t="s">
        <v>852</v>
      </c>
    </row>
    <row r="630" spans="1:18" ht="15.75" customHeight="1" thickBot="1" x14ac:dyDescent="0.35">
      <c r="A630" s="234" t="s">
        <v>559</v>
      </c>
      <c r="B630" s="172"/>
      <c r="C630" s="172"/>
      <c r="D630" s="172"/>
      <c r="E630" s="38" t="s">
        <v>852</v>
      </c>
      <c r="F630" s="172"/>
      <c r="G630" s="172"/>
      <c r="H630" s="172"/>
      <c r="I630" s="38" t="s">
        <v>852</v>
      </c>
      <c r="J630" s="172"/>
      <c r="K630" s="172"/>
      <c r="L630" s="172"/>
      <c r="M630" s="38" t="s">
        <v>852</v>
      </c>
      <c r="N630" s="172"/>
      <c r="O630" s="172"/>
      <c r="P630" s="172"/>
      <c r="Q630" s="38" t="s">
        <v>852</v>
      </c>
      <c r="R630" s="38" t="s">
        <v>852</v>
      </c>
    </row>
    <row r="631" spans="1:18" ht="15.75" customHeight="1" thickBot="1" x14ac:dyDescent="0.35">
      <c r="A631" s="43" t="s">
        <v>1019</v>
      </c>
      <c r="B631" s="42">
        <f>SUM(B630:B630)</f>
        <v>0</v>
      </c>
      <c r="C631" s="42">
        <f>SUM(C630:C630)</f>
        <v>0</v>
      </c>
      <c r="D631" s="42">
        <f>SUM(D630:D630)</f>
        <v>0</v>
      </c>
      <c r="E631" s="39">
        <f>SUM(B631:D631)</f>
        <v>0</v>
      </c>
      <c r="F631" s="42">
        <f>SUM(F630:F630)</f>
        <v>0</v>
      </c>
      <c r="G631" s="42">
        <f>SUM(G630:G630)</f>
        <v>0</v>
      </c>
      <c r="H631" s="42">
        <f>SUM(H630:H630)</f>
        <v>0</v>
      </c>
      <c r="I631" s="39">
        <f>SUM(F631:H631)</f>
        <v>0</v>
      </c>
      <c r="J631" s="42">
        <f>SUM(J630:J630)</f>
        <v>0</v>
      </c>
      <c r="K631" s="42">
        <f>SUM(K630:K630)</f>
        <v>0</v>
      </c>
      <c r="L631" s="42">
        <f>SUM(L630:L630)</f>
        <v>0</v>
      </c>
      <c r="M631" s="39">
        <f>SUM(J631:L631)</f>
        <v>0</v>
      </c>
      <c r="N631" s="42">
        <f>SUM(N630:N630)</f>
        <v>0</v>
      </c>
      <c r="O631" s="42">
        <f>SUM(O630:O630)</f>
        <v>0</v>
      </c>
      <c r="P631" s="42">
        <f>SUM(P630:P630)</f>
        <v>0</v>
      </c>
      <c r="Q631" s="39">
        <f>SUM(N631:P631)</f>
        <v>0</v>
      </c>
      <c r="R631" s="37">
        <f>+E631+I631+M631+Q631</f>
        <v>0</v>
      </c>
    </row>
    <row r="632" spans="1:18" ht="15.75" customHeight="1" thickBot="1" x14ac:dyDescent="0.35">
      <c r="A632" s="43" t="s">
        <v>1221</v>
      </c>
      <c r="B632" s="45">
        <f>SUM(B626:B630)</f>
        <v>0</v>
      </c>
      <c r="C632" s="46">
        <f>SUM(C626:C630)</f>
        <v>0</v>
      </c>
      <c r="D632" s="58">
        <f>SUM(D626:D630)</f>
        <v>0</v>
      </c>
      <c r="E632" s="39">
        <f>SUM(B632:D632)</f>
        <v>0</v>
      </c>
      <c r="F632" s="46">
        <f>SUM(F626:F630)</f>
        <v>0</v>
      </c>
      <c r="G632" s="46">
        <f>SUM(G626:G630)</f>
        <v>0</v>
      </c>
      <c r="H632" s="46">
        <f>SUM(H626:H630)</f>
        <v>0</v>
      </c>
      <c r="I632" s="39">
        <f>SUM(F632:H632)</f>
        <v>0</v>
      </c>
      <c r="J632" s="46">
        <f>SUM(J626:J630)</f>
        <v>0</v>
      </c>
      <c r="K632" s="46">
        <f>SUM(K626:K630)</f>
        <v>0</v>
      </c>
      <c r="L632" s="46">
        <f>SUM(L626:L630)</f>
        <v>0</v>
      </c>
      <c r="M632" s="39">
        <f>SUM(J632:L632)</f>
        <v>0</v>
      </c>
      <c r="N632" s="46">
        <f>SUM(N626:N630)</f>
        <v>0</v>
      </c>
      <c r="O632" s="46">
        <f>SUM(O626:O630)</f>
        <v>0</v>
      </c>
      <c r="P632" s="46">
        <f>SUM(P626:P630)</f>
        <v>0</v>
      </c>
      <c r="Q632" s="39">
        <f>SUM(N632:P632)</f>
        <v>0</v>
      </c>
      <c r="R632" s="37">
        <f>+E632+I632+M632+Q632</f>
        <v>0</v>
      </c>
    </row>
    <row r="633" spans="1:18" ht="15.75" customHeight="1" thickBot="1" x14ac:dyDescent="0.35">
      <c r="A633" s="43" t="s">
        <v>1222</v>
      </c>
      <c r="B633" s="47">
        <f>+B617+B621+B625+B632</f>
        <v>42</v>
      </c>
      <c r="C633" s="42">
        <f>+C617+C621+C625+C632</f>
        <v>17</v>
      </c>
      <c r="D633" s="42">
        <f>+D617+D621+D625+D632</f>
        <v>56</v>
      </c>
      <c r="E633" s="37">
        <f>SUM(B633:D633)</f>
        <v>115</v>
      </c>
      <c r="F633" s="42">
        <f>+F617+F621+F625+F632</f>
        <v>86</v>
      </c>
      <c r="G633" s="42">
        <f>+G617+G621+G625+G632</f>
        <v>42</v>
      </c>
      <c r="H633" s="42">
        <f>+H617+H621+H625+H632</f>
        <v>11</v>
      </c>
      <c r="I633" s="37">
        <f>SUM(F633:H633)</f>
        <v>139</v>
      </c>
      <c r="J633" s="42">
        <f>+J617+J621+J625+J632</f>
        <v>48</v>
      </c>
      <c r="K633" s="42">
        <f>+K617+K621+K625+K632</f>
        <v>98</v>
      </c>
      <c r="L633" s="42">
        <f>+L617+L621+L625+L632</f>
        <v>0</v>
      </c>
      <c r="M633" s="37">
        <f>SUM(J633:L633)</f>
        <v>146</v>
      </c>
      <c r="N633" s="42">
        <f>+N617+N621+N625+N632</f>
        <v>0</v>
      </c>
      <c r="O633" s="42">
        <f>+O617+O621+O625+O632</f>
        <v>88</v>
      </c>
      <c r="P633" s="42">
        <f>+P617+P621+P625+P632</f>
        <v>15</v>
      </c>
      <c r="Q633" s="37">
        <f>SUM(N633:P633)</f>
        <v>103</v>
      </c>
      <c r="R633" s="40">
        <f>+E633+I633+M633+Q633</f>
        <v>503</v>
      </c>
    </row>
    <row r="634" spans="1:18" ht="15.75" customHeight="1" x14ac:dyDescent="0.3">
      <c r="A634" s="266" t="s">
        <v>2117</v>
      </c>
      <c r="B634" s="172">
        <v>1967</v>
      </c>
      <c r="C634" s="172">
        <v>4709</v>
      </c>
      <c r="D634" s="172">
        <v>5079</v>
      </c>
      <c r="E634" s="38">
        <f>SUM(B634:D634)</f>
        <v>11755</v>
      </c>
      <c r="F634" s="172">
        <v>4939</v>
      </c>
      <c r="G634" s="172">
        <v>5261</v>
      </c>
      <c r="H634" s="172">
        <v>5204</v>
      </c>
      <c r="I634" s="38">
        <f>SUM(F634:H634)</f>
        <v>15404</v>
      </c>
      <c r="J634" s="172">
        <v>5236</v>
      </c>
      <c r="K634" s="172">
        <v>5388</v>
      </c>
      <c r="L634" s="172">
        <v>4485</v>
      </c>
      <c r="M634" s="38">
        <f>SUM(J634:L634)</f>
        <v>15109</v>
      </c>
      <c r="N634" s="172">
        <v>5593</v>
      </c>
      <c r="O634" s="172">
        <v>4959</v>
      </c>
      <c r="P634" s="172">
        <v>5378</v>
      </c>
      <c r="Q634" s="38">
        <f>SUM(N634:P634)</f>
        <v>15930</v>
      </c>
      <c r="R634" s="38">
        <f>+E634+I634+M634+Q634</f>
        <v>58198</v>
      </c>
    </row>
    <row r="635" spans="1:18" ht="15.75" customHeight="1" thickBot="1" x14ac:dyDescent="0.35">
      <c r="A635" s="266" t="s">
        <v>853</v>
      </c>
      <c r="B635" s="172">
        <v>0</v>
      </c>
      <c r="C635" s="172">
        <v>0</v>
      </c>
      <c r="D635" s="172">
        <v>0</v>
      </c>
      <c r="E635" s="38">
        <f>SUM(B635:D635)</f>
        <v>0</v>
      </c>
      <c r="F635" s="172">
        <v>0</v>
      </c>
      <c r="G635" s="172">
        <v>0</v>
      </c>
      <c r="H635" s="172">
        <v>0</v>
      </c>
      <c r="I635" s="38">
        <f>SUM(F635:H635)</f>
        <v>0</v>
      </c>
      <c r="J635" s="172">
        <v>0</v>
      </c>
      <c r="K635" s="172">
        <v>0</v>
      </c>
      <c r="L635" s="172">
        <v>0</v>
      </c>
      <c r="M635" s="38">
        <f>SUM(J635:L635)</f>
        <v>0</v>
      </c>
      <c r="N635" s="172">
        <v>0</v>
      </c>
      <c r="O635" s="172">
        <v>0</v>
      </c>
      <c r="P635" s="172">
        <v>0</v>
      </c>
      <c r="Q635" s="38">
        <f>SUM(N635:P635)</f>
        <v>0</v>
      </c>
      <c r="R635" s="38">
        <f>+E635+I635+M635+Q635</f>
        <v>0</v>
      </c>
    </row>
    <row r="636" spans="1:18" ht="15.75" customHeight="1" thickBot="1" x14ac:dyDescent="0.35">
      <c r="A636" s="281"/>
      <c r="B636" s="232"/>
      <c r="C636" s="232"/>
      <c r="D636" s="232"/>
      <c r="E636" s="37" t="s">
        <v>852</v>
      </c>
      <c r="F636" s="232"/>
      <c r="G636" s="232"/>
      <c r="H636" s="232"/>
      <c r="I636" s="37" t="s">
        <v>852</v>
      </c>
      <c r="J636" s="232"/>
      <c r="K636" s="232"/>
      <c r="L636" s="232"/>
      <c r="M636" s="37" t="s">
        <v>852</v>
      </c>
      <c r="N636" s="232"/>
      <c r="O636" s="232"/>
      <c r="P636" s="232"/>
      <c r="Q636" s="37"/>
      <c r="R636" s="37"/>
    </row>
    <row r="637" spans="1:18" ht="15.75" customHeight="1" x14ac:dyDescent="0.3">
      <c r="A637" s="234" t="s">
        <v>2011</v>
      </c>
      <c r="B637" s="172">
        <f>SUM(B633:B635)</f>
        <v>2009</v>
      </c>
      <c r="C637" s="172">
        <f>SUM(C633:C635)</f>
        <v>4726</v>
      </c>
      <c r="D637" s="172">
        <f>SUM(D633:D635)</f>
        <v>5135</v>
      </c>
      <c r="E637" s="39">
        <f>SUM(B637:D637)</f>
        <v>11870</v>
      </c>
      <c r="F637" s="172">
        <f>SUM(F633:F635)</f>
        <v>5025</v>
      </c>
      <c r="G637" s="172">
        <f>SUM(G633:G635)</f>
        <v>5303</v>
      </c>
      <c r="H637" s="172">
        <f>SUM(H633:H635)</f>
        <v>5215</v>
      </c>
      <c r="I637" s="39">
        <f>SUM(F637:H637)</f>
        <v>15543</v>
      </c>
      <c r="J637" s="172">
        <f>SUM(J633:J635)</f>
        <v>5284</v>
      </c>
      <c r="K637" s="172">
        <f>SUM(K633:K635)</f>
        <v>5486</v>
      </c>
      <c r="L637" s="172">
        <f>SUM(L633:L635)</f>
        <v>4485</v>
      </c>
      <c r="M637" s="39">
        <f>SUM(J637:L637)</f>
        <v>15255</v>
      </c>
      <c r="N637" s="172">
        <f>SUM(N633:N635)</f>
        <v>5593</v>
      </c>
      <c r="O637" s="172">
        <f>SUM(O633:O635)</f>
        <v>5047</v>
      </c>
      <c r="P637" s="172">
        <f>SUM(P633:P635)</f>
        <v>5393</v>
      </c>
      <c r="Q637" s="39">
        <f>SUM(N637:P637)</f>
        <v>16033</v>
      </c>
      <c r="R637" s="39">
        <f>+E637+I637+M637+Q637</f>
        <v>58701</v>
      </c>
    </row>
    <row r="638" spans="1:18" ht="15.75" customHeight="1" x14ac:dyDescent="0.3">
      <c r="A638" s="234" t="s">
        <v>1897</v>
      </c>
      <c r="B638" s="172">
        <f>(B637/31)/1.983</f>
        <v>32.681014429098958</v>
      </c>
      <c r="C638" s="172">
        <f>(C637/28)/1.983</f>
        <v>85.116346084576037</v>
      </c>
      <c r="D638" s="172">
        <f>(D637/31)/1.983</f>
        <v>83.532607811559544</v>
      </c>
      <c r="E638" s="38" t="s">
        <v>852</v>
      </c>
      <c r="F638" s="172">
        <f>(F637/30)/1.983</f>
        <v>84.467977811396864</v>
      </c>
      <c r="G638" s="172">
        <f>(G637/31)/1.983</f>
        <v>86.265514941519029</v>
      </c>
      <c r="H638" s="172">
        <f>(H637/30)/1.983</f>
        <v>87.661791897797954</v>
      </c>
      <c r="I638" s="38" t="s">
        <v>852</v>
      </c>
      <c r="J638" s="172">
        <f>(J637/31)/1.983</f>
        <v>85.956436158964081</v>
      </c>
      <c r="K638" s="172">
        <f>(K637/31)/1.983</f>
        <v>89.242431636653492</v>
      </c>
      <c r="L638" s="172">
        <f>(L637/30)/1.983</f>
        <v>75.390821986888554</v>
      </c>
      <c r="M638" s="38" t="s">
        <v>852</v>
      </c>
      <c r="N638" s="172">
        <f>(N637/31)/1.983</f>
        <v>90.983033201568162</v>
      </c>
      <c r="O638" s="172">
        <f>(O637/30)/1.983</f>
        <v>84.837787863506463</v>
      </c>
      <c r="P638" s="172">
        <f>(P637/31)/1.983</f>
        <v>87.729572332568765</v>
      </c>
      <c r="Q638" s="38" t="s">
        <v>852</v>
      </c>
      <c r="R638" s="38" t="s">
        <v>852</v>
      </c>
    </row>
    <row r="639" spans="1:18" ht="15.75" customHeight="1" x14ac:dyDescent="0.3">
      <c r="A639" s="234" t="s">
        <v>647</v>
      </c>
      <c r="B639" s="172">
        <f>B637</f>
        <v>2009</v>
      </c>
      <c r="C639" s="172">
        <f>C637</f>
        <v>4726</v>
      </c>
      <c r="D639" s="172">
        <f>D637</f>
        <v>5135</v>
      </c>
      <c r="E639" s="38">
        <f>SUM(B639:D639)</f>
        <v>11870</v>
      </c>
      <c r="F639" s="172">
        <f>F637</f>
        <v>5025</v>
      </c>
      <c r="G639" s="172">
        <f>G637</f>
        <v>5303</v>
      </c>
      <c r="H639" s="172">
        <f>H637</f>
        <v>5215</v>
      </c>
      <c r="I639" s="38">
        <f>SUM(F639:H639)</f>
        <v>15543</v>
      </c>
      <c r="J639" s="172">
        <f>J637</f>
        <v>5284</v>
      </c>
      <c r="K639" s="172">
        <f>K637</f>
        <v>5486</v>
      </c>
      <c r="L639" s="172">
        <f>L637</f>
        <v>4485</v>
      </c>
      <c r="M639" s="38">
        <f>SUM(J639:L639)</f>
        <v>15255</v>
      </c>
      <c r="N639" s="172">
        <f>N637</f>
        <v>5593</v>
      </c>
      <c r="O639" s="172">
        <f>O637</f>
        <v>5047</v>
      </c>
      <c r="P639" s="172">
        <f>P637</f>
        <v>5393</v>
      </c>
      <c r="Q639" s="38">
        <f>SUM(N639:P639)</f>
        <v>16033</v>
      </c>
      <c r="R639" s="38">
        <f>+E639+I639+M639+Q639</f>
        <v>58701</v>
      </c>
    </row>
    <row r="640" spans="1:18" ht="15.75" customHeight="1" thickBot="1" x14ac:dyDescent="0.35">
      <c r="A640" s="237" t="s">
        <v>2191</v>
      </c>
      <c r="B640" s="238">
        <f>(B639/31)/1.983</f>
        <v>32.681014429098958</v>
      </c>
      <c r="C640" s="238">
        <f>(C639/28)/1.983</f>
        <v>85.116346084576037</v>
      </c>
      <c r="D640" s="238">
        <f>(D639/31)/1.983</f>
        <v>83.532607811559544</v>
      </c>
      <c r="E640" s="40" t="s">
        <v>852</v>
      </c>
      <c r="F640" s="238">
        <f>(F639/30)/1.983</f>
        <v>84.467977811396864</v>
      </c>
      <c r="G640" s="238">
        <f>(G639/31)/1.983</f>
        <v>86.265514941519029</v>
      </c>
      <c r="H640" s="238">
        <f>(H639/30)/1.983</f>
        <v>87.661791897797954</v>
      </c>
      <c r="I640" s="40" t="s">
        <v>852</v>
      </c>
      <c r="J640" s="238">
        <f>(J639/31)/1.983</f>
        <v>85.956436158964081</v>
      </c>
      <c r="K640" s="238">
        <f>(K639/31)/1.983</f>
        <v>89.242431636653492</v>
      </c>
      <c r="L640" s="238">
        <f>(L639/30)/1.983</f>
        <v>75.390821986888554</v>
      </c>
      <c r="M640" s="40" t="s">
        <v>852</v>
      </c>
      <c r="N640" s="238">
        <f>(N639/31)/1.983</f>
        <v>90.983033201568162</v>
      </c>
      <c r="O640" s="238">
        <f>(O639/30)/1.983</f>
        <v>84.837787863506463</v>
      </c>
      <c r="P640" s="238">
        <f>(P639/31)/1.983</f>
        <v>87.729572332568765</v>
      </c>
      <c r="Q640" s="40" t="s">
        <v>852</v>
      </c>
      <c r="R640" s="40" t="s">
        <v>852</v>
      </c>
    </row>
    <row r="641" spans="1:18" ht="15.75" customHeight="1" x14ac:dyDescent="0.3">
      <c r="A641" s="17"/>
      <c r="B641" s="172"/>
      <c r="C641" s="172"/>
      <c r="D641" s="172"/>
      <c r="E641" s="172"/>
      <c r="F641" s="172"/>
      <c r="G641" s="172"/>
      <c r="H641" s="172"/>
      <c r="I641" s="172"/>
      <c r="J641" s="172"/>
      <c r="K641" s="172"/>
      <c r="L641" s="172"/>
      <c r="M641" s="172"/>
      <c r="N641" s="172"/>
      <c r="O641" s="172"/>
      <c r="P641" s="172"/>
      <c r="Q641" s="172"/>
      <c r="R641" s="17"/>
    </row>
    <row r="642" spans="1:18" ht="15.75" customHeight="1" thickBot="1" x14ac:dyDescent="0.35">
      <c r="A642" s="17"/>
      <c r="B642" s="172"/>
      <c r="C642" s="172"/>
      <c r="D642" s="172"/>
      <c r="E642" s="172"/>
      <c r="F642" s="172"/>
      <c r="G642" s="172"/>
      <c r="H642" s="172"/>
      <c r="I642" s="172"/>
      <c r="J642" s="172"/>
      <c r="K642" s="172"/>
      <c r="L642" s="172"/>
      <c r="M642" s="172"/>
      <c r="N642" s="172"/>
      <c r="O642" s="172"/>
      <c r="P642" s="172"/>
      <c r="Q642" s="172"/>
      <c r="R642" s="17"/>
    </row>
    <row r="643" spans="1:18" ht="15.75" customHeight="1" thickBot="1" x14ac:dyDescent="0.35">
      <c r="A643" s="278" t="s">
        <v>2192</v>
      </c>
      <c r="B643" s="4" t="s">
        <v>2090</v>
      </c>
      <c r="C643" s="5" t="s">
        <v>2091</v>
      </c>
      <c r="D643" s="5" t="s">
        <v>2234</v>
      </c>
      <c r="E643" s="33" t="s">
        <v>1594</v>
      </c>
      <c r="F643" s="5" t="s">
        <v>2235</v>
      </c>
      <c r="G643" s="5" t="s">
        <v>2236</v>
      </c>
      <c r="H643" s="5" t="s">
        <v>2237</v>
      </c>
      <c r="I643" s="35" t="s">
        <v>1595</v>
      </c>
      <c r="J643" s="5" t="s">
        <v>1504</v>
      </c>
      <c r="K643" s="5" t="s">
        <v>1505</v>
      </c>
      <c r="L643" s="5" t="s">
        <v>1506</v>
      </c>
      <c r="M643" s="35" t="s">
        <v>1596</v>
      </c>
      <c r="N643" s="5" t="s">
        <v>1507</v>
      </c>
      <c r="O643" s="5" t="s">
        <v>1508</v>
      </c>
      <c r="P643" s="5" t="s">
        <v>1509</v>
      </c>
      <c r="Q643" s="35" t="s">
        <v>1597</v>
      </c>
      <c r="R643" s="60" t="s">
        <v>1510</v>
      </c>
    </row>
    <row r="644" spans="1:18" ht="15.75" customHeight="1" thickBot="1" x14ac:dyDescent="0.35">
      <c r="A644" s="22"/>
      <c r="B644" s="242"/>
      <c r="C644" s="242"/>
      <c r="D644" s="242"/>
      <c r="E644" s="233"/>
      <c r="F644" s="242"/>
      <c r="G644" s="242"/>
      <c r="H644" s="242"/>
      <c r="I644" s="282"/>
      <c r="J644" s="242"/>
      <c r="K644" s="242"/>
      <c r="L644" s="242"/>
      <c r="M644" s="282"/>
      <c r="N644" s="242"/>
      <c r="O644" s="242"/>
      <c r="P644" s="242"/>
      <c r="Q644" s="283"/>
      <c r="R644" s="61"/>
    </row>
    <row r="645" spans="1:18" ht="15.75" customHeight="1" x14ac:dyDescent="0.3">
      <c r="A645" s="234" t="s">
        <v>2417</v>
      </c>
      <c r="B645" s="172" t="s">
        <v>852</v>
      </c>
      <c r="C645" s="172" t="s">
        <v>852</v>
      </c>
      <c r="D645" s="172" t="s">
        <v>852</v>
      </c>
      <c r="E645" s="284"/>
      <c r="F645" s="172" t="s">
        <v>852</v>
      </c>
      <c r="G645" s="172" t="s">
        <v>852</v>
      </c>
      <c r="H645" s="172" t="s">
        <v>852</v>
      </c>
      <c r="I645" s="284"/>
      <c r="J645" s="172" t="s">
        <v>852</v>
      </c>
      <c r="K645" s="172" t="s">
        <v>852</v>
      </c>
      <c r="L645" s="172" t="s">
        <v>852</v>
      </c>
      <c r="M645" s="284"/>
      <c r="N645" s="172" t="s">
        <v>852</v>
      </c>
      <c r="O645" s="172" t="s">
        <v>852</v>
      </c>
      <c r="P645" s="172" t="s">
        <v>852</v>
      </c>
      <c r="Q645" s="285"/>
      <c r="R645" s="62" t="s">
        <v>852</v>
      </c>
    </row>
    <row r="646" spans="1:18" ht="15.75" customHeight="1" x14ac:dyDescent="0.3">
      <c r="A646" s="234" t="s">
        <v>2160</v>
      </c>
      <c r="B646" s="172"/>
      <c r="C646" s="172"/>
      <c r="D646" s="172"/>
      <c r="E646" s="38" t="s">
        <v>852</v>
      </c>
      <c r="F646" s="172"/>
      <c r="G646" s="172"/>
      <c r="H646" s="172"/>
      <c r="I646" s="38" t="s">
        <v>852</v>
      </c>
      <c r="J646" s="172"/>
      <c r="K646" s="172"/>
      <c r="L646" s="172"/>
      <c r="M646" s="38" t="s">
        <v>852</v>
      </c>
      <c r="N646" s="172"/>
      <c r="O646" s="172"/>
      <c r="P646" s="172"/>
      <c r="Q646" s="38" t="s">
        <v>852</v>
      </c>
      <c r="R646" s="38" t="s">
        <v>852</v>
      </c>
    </row>
    <row r="647" spans="1:18" ht="15.75" customHeight="1" x14ac:dyDescent="0.3">
      <c r="A647" s="266" t="s">
        <v>1910</v>
      </c>
      <c r="B647" s="172">
        <v>0</v>
      </c>
      <c r="C647" s="172">
        <v>0</v>
      </c>
      <c r="D647" s="172">
        <v>0</v>
      </c>
      <c r="E647" s="38">
        <f>SUM(B647:D647)</f>
        <v>0</v>
      </c>
      <c r="F647" s="172">
        <v>0</v>
      </c>
      <c r="G647" s="172">
        <v>0</v>
      </c>
      <c r="H647" s="172">
        <v>0</v>
      </c>
      <c r="I647" s="38">
        <f>SUM(F647:H647)</f>
        <v>0</v>
      </c>
      <c r="J647" s="172">
        <v>0</v>
      </c>
      <c r="K647" s="172">
        <v>0</v>
      </c>
      <c r="L647" s="172">
        <v>0</v>
      </c>
      <c r="M647" s="38">
        <f>SUM(J647:L647)</f>
        <v>0</v>
      </c>
      <c r="N647" s="172">
        <v>0</v>
      </c>
      <c r="O647" s="172">
        <v>558</v>
      </c>
      <c r="P647" s="172">
        <v>0</v>
      </c>
      <c r="Q647" s="38">
        <f>SUM(N647:P647)</f>
        <v>558</v>
      </c>
      <c r="R647" s="38">
        <f>+E647+I647+M647+Q647</f>
        <v>558</v>
      </c>
    </row>
    <row r="648" spans="1:18" ht="15.75" customHeight="1" x14ac:dyDescent="0.3">
      <c r="A648" s="266" t="s">
        <v>47</v>
      </c>
      <c r="B648" s="172">
        <v>101</v>
      </c>
      <c r="C648" s="172">
        <v>425</v>
      </c>
      <c r="D648" s="172">
        <v>1731</v>
      </c>
      <c r="E648" s="38">
        <f>SUM(B648:D648)</f>
        <v>2257</v>
      </c>
      <c r="F648" s="172">
        <v>1436</v>
      </c>
      <c r="G648" s="172">
        <v>2694</v>
      </c>
      <c r="H648" s="172">
        <v>1934</v>
      </c>
      <c r="I648" s="38">
        <f>SUM(F648:H648)</f>
        <v>6064</v>
      </c>
      <c r="J648" s="172">
        <v>1323</v>
      </c>
      <c r="K648" s="172">
        <v>1686</v>
      </c>
      <c r="L648" s="172">
        <v>2246</v>
      </c>
      <c r="M648" s="38">
        <f>SUM(J648:L648)</f>
        <v>5255</v>
      </c>
      <c r="N648" s="172">
        <v>1000</v>
      </c>
      <c r="O648" s="172">
        <v>580</v>
      </c>
      <c r="P648" s="172">
        <v>844</v>
      </c>
      <c r="Q648" s="38">
        <f>SUM(N648:P648)</f>
        <v>2424</v>
      </c>
      <c r="R648" s="38">
        <f>+E648+I648+M648+Q648</f>
        <v>16000</v>
      </c>
    </row>
    <row r="649" spans="1:18" ht="15.75" customHeight="1" x14ac:dyDescent="0.3">
      <c r="A649" s="234" t="s">
        <v>2161</v>
      </c>
      <c r="B649" s="172"/>
      <c r="C649" s="172"/>
      <c r="D649" s="172"/>
      <c r="E649" s="38" t="s">
        <v>852</v>
      </c>
      <c r="F649" s="172"/>
      <c r="G649" s="172"/>
      <c r="H649" s="172"/>
      <c r="I649" s="38" t="s">
        <v>852</v>
      </c>
      <c r="J649" s="172"/>
      <c r="K649" s="172"/>
      <c r="L649" s="172"/>
      <c r="M649" s="38" t="s">
        <v>852</v>
      </c>
      <c r="N649" s="172"/>
      <c r="O649" s="172"/>
      <c r="P649" s="172"/>
      <c r="Q649" s="38" t="s">
        <v>852</v>
      </c>
      <c r="R649" s="38" t="s">
        <v>852</v>
      </c>
    </row>
    <row r="650" spans="1:18" ht="15.75" customHeight="1" x14ac:dyDescent="0.3">
      <c r="A650" s="234" t="s">
        <v>2162</v>
      </c>
      <c r="B650" s="172"/>
      <c r="C650" s="172"/>
      <c r="D650" s="172"/>
      <c r="E650" s="38" t="s">
        <v>852</v>
      </c>
      <c r="F650" s="172"/>
      <c r="G650" s="172"/>
      <c r="H650" s="172"/>
      <c r="I650" s="38" t="s">
        <v>852</v>
      </c>
      <c r="J650" s="172"/>
      <c r="K650" s="172"/>
      <c r="L650" s="172"/>
      <c r="M650" s="38" t="s">
        <v>852</v>
      </c>
      <c r="N650" s="172"/>
      <c r="O650" s="172"/>
      <c r="P650" s="172"/>
      <c r="Q650" s="38" t="s">
        <v>852</v>
      </c>
      <c r="R650" s="38" t="s">
        <v>852</v>
      </c>
    </row>
    <row r="651" spans="1:18" ht="15.75" customHeight="1" x14ac:dyDescent="0.3">
      <c r="A651" s="266" t="s">
        <v>58</v>
      </c>
      <c r="B651" s="172">
        <v>0</v>
      </c>
      <c r="C651" s="172">
        <v>0</v>
      </c>
      <c r="D651" s="172">
        <v>0</v>
      </c>
      <c r="E651" s="38">
        <f>SUM(B651:D651)</f>
        <v>0</v>
      </c>
      <c r="F651" s="172">
        <v>846</v>
      </c>
      <c r="G651" s="172">
        <v>0</v>
      </c>
      <c r="H651" s="172">
        <v>0</v>
      </c>
      <c r="I651" s="38">
        <f>SUM(F651:H651)</f>
        <v>846</v>
      </c>
      <c r="J651" s="172">
        <v>0</v>
      </c>
      <c r="K651" s="172">
        <v>0</v>
      </c>
      <c r="L651" s="172">
        <v>0</v>
      </c>
      <c r="M651" s="38">
        <f>SUM(J651:L651)</f>
        <v>0</v>
      </c>
      <c r="N651" s="172">
        <v>0</v>
      </c>
      <c r="O651" s="172">
        <v>0</v>
      </c>
      <c r="P651" s="172">
        <v>0</v>
      </c>
      <c r="Q651" s="38">
        <f>SUM(N651:P651)</f>
        <v>0</v>
      </c>
      <c r="R651" s="38">
        <f>+E651+I651+M651+Q651</f>
        <v>846</v>
      </c>
    </row>
    <row r="652" spans="1:18" ht="15.75" customHeight="1" thickBot="1" x14ac:dyDescent="0.35">
      <c r="A652" s="234" t="s">
        <v>2164</v>
      </c>
      <c r="B652" s="172"/>
      <c r="C652" s="172"/>
      <c r="D652" s="172"/>
      <c r="E652" s="38" t="s">
        <v>852</v>
      </c>
      <c r="F652" s="172"/>
      <c r="G652" s="172"/>
      <c r="H652" s="172"/>
      <c r="I652" s="38" t="s">
        <v>852</v>
      </c>
      <c r="J652" s="172"/>
      <c r="K652" s="172"/>
      <c r="L652" s="172"/>
      <c r="M652" s="38" t="s">
        <v>852</v>
      </c>
      <c r="N652" s="172"/>
      <c r="O652" s="172"/>
      <c r="P652" s="172"/>
      <c r="Q652" s="38" t="s">
        <v>852</v>
      </c>
      <c r="R652" s="38" t="s">
        <v>852</v>
      </c>
    </row>
    <row r="653" spans="1:18" ht="15.75" customHeight="1" thickBot="1" x14ac:dyDescent="0.35">
      <c r="A653" s="43" t="s">
        <v>1218</v>
      </c>
      <c r="B653" s="45">
        <f>SUM(B645:B652)</f>
        <v>101</v>
      </c>
      <c r="C653" s="46">
        <f>SUM(C645:C652)</f>
        <v>425</v>
      </c>
      <c r="D653" s="46">
        <f>SUM(D645:D652)</f>
        <v>1731</v>
      </c>
      <c r="E653" s="37">
        <f>SUM(B653:D653)</f>
        <v>2257</v>
      </c>
      <c r="F653" s="46">
        <f>SUM(F645:F652)</f>
        <v>2282</v>
      </c>
      <c r="G653" s="46">
        <f>SUM(G645:G652)</f>
        <v>2694</v>
      </c>
      <c r="H653" s="46">
        <f>SUM(H645:H652)</f>
        <v>1934</v>
      </c>
      <c r="I653" s="37">
        <f>SUM(F653:H653)</f>
        <v>6910</v>
      </c>
      <c r="J653" s="46">
        <f>SUM(J645:J652)</f>
        <v>1323</v>
      </c>
      <c r="K653" s="46">
        <f>SUM(K645:K652)</f>
        <v>1686</v>
      </c>
      <c r="L653" s="46">
        <f>SUM(L645:L652)</f>
        <v>2246</v>
      </c>
      <c r="M653" s="37">
        <f>SUM(J653:L653)</f>
        <v>5255</v>
      </c>
      <c r="N653" s="46">
        <f>SUM(N645:N652)</f>
        <v>1000</v>
      </c>
      <c r="O653" s="46">
        <f>SUM(O645:O652)</f>
        <v>1138</v>
      </c>
      <c r="P653" s="46">
        <f>SUM(P645:P652)</f>
        <v>844</v>
      </c>
      <c r="Q653" s="37">
        <f>SUM(N653:P653)</f>
        <v>2982</v>
      </c>
      <c r="R653" s="37">
        <f>+E653+I653+M653+Q653</f>
        <v>17404</v>
      </c>
    </row>
    <row r="654" spans="1:18" ht="15.75" customHeight="1" x14ac:dyDescent="0.3">
      <c r="A654" s="234" t="s">
        <v>1172</v>
      </c>
      <c r="B654" s="172"/>
      <c r="C654" s="172"/>
      <c r="D654" s="172"/>
      <c r="E654" s="38" t="s">
        <v>852</v>
      </c>
      <c r="F654" s="172"/>
      <c r="G654" s="172"/>
      <c r="H654" s="172"/>
      <c r="I654" s="38" t="s">
        <v>852</v>
      </c>
      <c r="J654" s="172"/>
      <c r="K654" s="172"/>
      <c r="L654" s="172"/>
      <c r="M654" s="38" t="s">
        <v>852</v>
      </c>
      <c r="N654" s="172"/>
      <c r="O654" s="172"/>
      <c r="P654" s="172"/>
      <c r="Q654" s="38" t="s">
        <v>852</v>
      </c>
      <c r="R654" s="38" t="s">
        <v>852</v>
      </c>
    </row>
    <row r="655" spans="1:18" ht="15.75" customHeight="1" x14ac:dyDescent="0.3">
      <c r="A655" s="234" t="s">
        <v>2409</v>
      </c>
      <c r="B655" s="172"/>
      <c r="C655" s="172"/>
      <c r="D655" s="172"/>
      <c r="E655" s="38" t="s">
        <v>852</v>
      </c>
      <c r="F655" s="172"/>
      <c r="G655" s="172"/>
      <c r="H655" s="172"/>
      <c r="I655" s="38" t="s">
        <v>852</v>
      </c>
      <c r="J655" s="172"/>
      <c r="K655" s="172"/>
      <c r="L655" s="172"/>
      <c r="M655" s="38" t="s">
        <v>852</v>
      </c>
      <c r="N655" s="172"/>
      <c r="O655" s="172"/>
      <c r="P655" s="172"/>
      <c r="Q655" s="38" t="s">
        <v>852</v>
      </c>
      <c r="R655" s="38" t="s">
        <v>852</v>
      </c>
    </row>
    <row r="656" spans="1:18" ht="15.75" customHeight="1" thickBot="1" x14ac:dyDescent="0.35">
      <c r="A656" s="234" t="s">
        <v>2165</v>
      </c>
      <c r="B656" s="172"/>
      <c r="C656" s="172"/>
      <c r="D656" s="172"/>
      <c r="E656" s="38" t="s">
        <v>852</v>
      </c>
      <c r="F656" s="172"/>
      <c r="G656" s="172"/>
      <c r="H656" s="172"/>
      <c r="I656" s="38" t="s">
        <v>852</v>
      </c>
      <c r="J656" s="172"/>
      <c r="K656" s="172"/>
      <c r="L656" s="172"/>
      <c r="M656" s="38" t="s">
        <v>852</v>
      </c>
      <c r="N656" s="172"/>
      <c r="O656" s="172"/>
      <c r="P656" s="172"/>
      <c r="Q656" s="38" t="s">
        <v>852</v>
      </c>
      <c r="R656" s="38" t="s">
        <v>852</v>
      </c>
    </row>
    <row r="657" spans="1:18" ht="15.75" customHeight="1" thickBot="1" x14ac:dyDescent="0.35">
      <c r="A657" s="43" t="s">
        <v>1219</v>
      </c>
      <c r="B657" s="45">
        <f>SUM(B654:B656)</f>
        <v>0</v>
      </c>
      <c r="C657" s="46">
        <f>SUM(C654:C656)</f>
        <v>0</v>
      </c>
      <c r="D657" s="46">
        <f>SUM(D654:D656)</f>
        <v>0</v>
      </c>
      <c r="E657" s="37">
        <f>SUM(B657:D657)</f>
        <v>0</v>
      </c>
      <c r="F657" s="46">
        <f>SUM(F654:F656)</f>
        <v>0</v>
      </c>
      <c r="G657" s="46">
        <f>SUM(G654:G656)</f>
        <v>0</v>
      </c>
      <c r="H657" s="46">
        <f>SUM(H654:H656)</f>
        <v>0</v>
      </c>
      <c r="I657" s="37">
        <f>SUM(F657:H657)</f>
        <v>0</v>
      </c>
      <c r="J657" s="46">
        <f>SUM(J654:J656)</f>
        <v>0</v>
      </c>
      <c r="K657" s="46">
        <f>SUM(K654:K656)</f>
        <v>0</v>
      </c>
      <c r="L657" s="46">
        <f>SUM(L654:L656)</f>
        <v>0</v>
      </c>
      <c r="M657" s="37">
        <f>SUM(J657:L657)</f>
        <v>0</v>
      </c>
      <c r="N657" s="46">
        <f>SUM(N654:N656)</f>
        <v>0</v>
      </c>
      <c r="O657" s="46">
        <f>SUM(O654:O656)</f>
        <v>0</v>
      </c>
      <c r="P657" s="46">
        <f>SUM(P654:P656)</f>
        <v>0</v>
      </c>
      <c r="Q657" s="37">
        <f>SUM(N657:P657)</f>
        <v>0</v>
      </c>
      <c r="R657" s="37">
        <f>+E657+I657+M657+Q657</f>
        <v>0</v>
      </c>
    </row>
    <row r="658" spans="1:18" ht="15.75" customHeight="1" x14ac:dyDescent="0.3">
      <c r="A658" s="234" t="s">
        <v>2166</v>
      </c>
      <c r="B658" s="172"/>
      <c r="C658" s="172"/>
      <c r="D658" s="172"/>
      <c r="E658" s="38" t="s">
        <v>852</v>
      </c>
      <c r="F658" s="172"/>
      <c r="G658" s="172"/>
      <c r="H658" s="172"/>
      <c r="I658" s="38" t="s">
        <v>852</v>
      </c>
      <c r="J658" s="172" t="s">
        <v>852</v>
      </c>
      <c r="K658" s="172"/>
      <c r="L658" s="172"/>
      <c r="M658" s="38" t="s">
        <v>852</v>
      </c>
      <c r="N658" s="172"/>
      <c r="O658" s="172"/>
      <c r="P658" s="172"/>
      <c r="Q658" s="38" t="s">
        <v>852</v>
      </c>
      <c r="R658" s="38" t="s">
        <v>852</v>
      </c>
    </row>
    <row r="659" spans="1:18" ht="15.75" customHeight="1" x14ac:dyDescent="0.3">
      <c r="A659" s="234" t="s">
        <v>1245</v>
      </c>
      <c r="B659" s="172"/>
      <c r="C659" s="172"/>
      <c r="D659" s="172"/>
      <c r="E659" s="38" t="s">
        <v>852</v>
      </c>
      <c r="F659" s="172"/>
      <c r="G659" s="172"/>
      <c r="H659" s="172"/>
      <c r="I659" s="38" t="s">
        <v>852</v>
      </c>
      <c r="J659" s="172"/>
      <c r="K659" s="172"/>
      <c r="L659" s="172"/>
      <c r="M659" s="38" t="s">
        <v>852</v>
      </c>
      <c r="N659" s="172"/>
      <c r="O659" s="172"/>
      <c r="P659" s="172"/>
      <c r="Q659" s="38" t="s">
        <v>852</v>
      </c>
      <c r="R659" s="38" t="s">
        <v>852</v>
      </c>
    </row>
    <row r="660" spans="1:18" ht="15.75" customHeight="1" x14ac:dyDescent="0.3">
      <c r="A660" s="266" t="s">
        <v>373</v>
      </c>
      <c r="B660" s="172">
        <v>349</v>
      </c>
      <c r="C660" s="172">
        <v>487</v>
      </c>
      <c r="D660" s="172">
        <v>454</v>
      </c>
      <c r="E660" s="38">
        <f>SUM(B660:D660)</f>
        <v>1290</v>
      </c>
      <c r="F660" s="172">
        <v>758</v>
      </c>
      <c r="G660" s="172">
        <v>783</v>
      </c>
      <c r="H660" s="172">
        <v>905</v>
      </c>
      <c r="I660" s="38">
        <f>SUM(F660:H660)</f>
        <v>2446</v>
      </c>
      <c r="J660" s="172">
        <v>456</v>
      </c>
      <c r="K660" s="172">
        <v>742</v>
      </c>
      <c r="L660" s="172">
        <v>861</v>
      </c>
      <c r="M660" s="38">
        <f>SUM(J660:L660)</f>
        <v>2059</v>
      </c>
      <c r="N660" s="172">
        <v>1043</v>
      </c>
      <c r="O660" s="172">
        <v>300</v>
      </c>
      <c r="P660" s="172">
        <v>699</v>
      </c>
      <c r="Q660" s="38">
        <f>SUM(N660:P660)</f>
        <v>2042</v>
      </c>
      <c r="R660" s="38">
        <f>+E660+I660+M660+Q660</f>
        <v>7837</v>
      </c>
    </row>
    <row r="661" spans="1:18" ht="15.75" customHeight="1" thickBot="1" x14ac:dyDescent="0.35">
      <c r="A661" s="234" t="s">
        <v>1711</v>
      </c>
      <c r="B661" s="172"/>
      <c r="C661" s="172"/>
      <c r="D661" s="172"/>
      <c r="E661" s="38" t="s">
        <v>852</v>
      </c>
      <c r="F661" s="172"/>
      <c r="G661" s="172"/>
      <c r="H661" s="172"/>
      <c r="I661" s="38" t="s">
        <v>852</v>
      </c>
      <c r="J661" s="172"/>
      <c r="K661" s="172"/>
      <c r="L661" s="172"/>
      <c r="M661" s="38" t="s">
        <v>852</v>
      </c>
      <c r="N661" s="172"/>
      <c r="O661" s="172"/>
      <c r="P661" s="172"/>
      <c r="Q661" s="38" t="s">
        <v>852</v>
      </c>
      <c r="R661" s="38" t="s">
        <v>852</v>
      </c>
    </row>
    <row r="662" spans="1:18" ht="15.75" customHeight="1" thickBot="1" x14ac:dyDescent="0.35">
      <c r="A662" s="43" t="s">
        <v>1220</v>
      </c>
      <c r="B662" s="45">
        <f>SUM(B658:B661)</f>
        <v>349</v>
      </c>
      <c r="C662" s="46">
        <f>SUM(C658:C661)</f>
        <v>487</v>
      </c>
      <c r="D662" s="46">
        <f>SUM(D658:D661)</f>
        <v>454</v>
      </c>
      <c r="E662" s="37">
        <f>SUM(B662:D662)</f>
        <v>1290</v>
      </c>
      <c r="F662" s="46">
        <f>SUM(F658:F661)</f>
        <v>758</v>
      </c>
      <c r="G662" s="46">
        <f>SUM(G658:G661)</f>
        <v>783</v>
      </c>
      <c r="H662" s="46">
        <f>SUM(H658:H661)</f>
        <v>905</v>
      </c>
      <c r="I662" s="37">
        <f>SUM(F662:H662)</f>
        <v>2446</v>
      </c>
      <c r="J662" s="46">
        <f>SUM(J658:J661)</f>
        <v>456</v>
      </c>
      <c r="K662" s="46">
        <f>SUM(K658:K661)</f>
        <v>742</v>
      </c>
      <c r="L662" s="46">
        <f>SUM(L658:L661)</f>
        <v>861</v>
      </c>
      <c r="M662" s="37">
        <f>SUM(J662:L662)</f>
        <v>2059</v>
      </c>
      <c r="N662" s="46">
        <f>SUM(N658:N661)</f>
        <v>1043</v>
      </c>
      <c r="O662" s="46">
        <f>SUM(O658:O661)</f>
        <v>300</v>
      </c>
      <c r="P662" s="46">
        <f>SUM(P658:P661)</f>
        <v>699</v>
      </c>
      <c r="Q662" s="37">
        <f>SUM(N662:P662)</f>
        <v>2042</v>
      </c>
      <c r="R662" s="37">
        <f>+E662+I662+M662+Q662</f>
        <v>7837</v>
      </c>
    </row>
    <row r="663" spans="1:18" ht="15.75" customHeight="1" x14ac:dyDescent="0.3">
      <c r="A663" s="234" t="s">
        <v>1712</v>
      </c>
      <c r="B663" s="172"/>
      <c r="C663" s="172"/>
      <c r="D663" s="172"/>
      <c r="E663" s="38" t="s">
        <v>852</v>
      </c>
      <c r="F663" s="172"/>
      <c r="G663" s="172"/>
      <c r="H663" s="172"/>
      <c r="I663" s="38" t="s">
        <v>852</v>
      </c>
      <c r="J663" s="172"/>
      <c r="K663" s="172"/>
      <c r="L663" s="172"/>
      <c r="M663" s="38" t="s">
        <v>852</v>
      </c>
      <c r="N663" s="172"/>
      <c r="O663" s="172"/>
      <c r="P663" s="172"/>
      <c r="Q663" s="38" t="s">
        <v>852</v>
      </c>
      <c r="R663" s="38" t="s">
        <v>852</v>
      </c>
    </row>
    <row r="664" spans="1:18" ht="15.75" customHeight="1" x14ac:dyDescent="0.3">
      <c r="A664" s="234" t="s">
        <v>556</v>
      </c>
      <c r="B664" s="172"/>
      <c r="C664" s="172"/>
      <c r="D664" s="172"/>
      <c r="E664" s="38" t="s">
        <v>852</v>
      </c>
      <c r="F664" s="172"/>
      <c r="G664" s="172"/>
      <c r="H664" s="172"/>
      <c r="I664" s="38" t="s">
        <v>852</v>
      </c>
      <c r="J664" s="172"/>
      <c r="K664" s="172"/>
      <c r="L664" s="172"/>
      <c r="M664" s="38" t="s">
        <v>852</v>
      </c>
      <c r="N664" s="172"/>
      <c r="O664" s="172"/>
      <c r="P664" s="172"/>
      <c r="Q664" s="38" t="s">
        <v>852</v>
      </c>
      <c r="R664" s="38" t="s">
        <v>852</v>
      </c>
    </row>
    <row r="665" spans="1:18" ht="15.75" customHeight="1" x14ac:dyDescent="0.3">
      <c r="A665" s="266" t="s">
        <v>447</v>
      </c>
      <c r="B665" s="172">
        <v>0</v>
      </c>
      <c r="C665" s="172">
        <v>0</v>
      </c>
      <c r="D665" s="172">
        <v>0</v>
      </c>
      <c r="E665" s="38">
        <f>SUM(B665:D665)</f>
        <v>0</v>
      </c>
      <c r="F665" s="172">
        <v>24</v>
      </c>
      <c r="G665" s="172">
        <v>0</v>
      </c>
      <c r="H665" s="172">
        <v>0</v>
      </c>
      <c r="I665" s="38">
        <f>SUM(F665:H665)</f>
        <v>24</v>
      </c>
      <c r="J665" s="172">
        <v>0</v>
      </c>
      <c r="K665" s="172">
        <v>796</v>
      </c>
      <c r="L665" s="172">
        <v>0</v>
      </c>
      <c r="M665" s="38">
        <f>SUM(J665:L665)</f>
        <v>796</v>
      </c>
      <c r="N665" s="172">
        <v>520</v>
      </c>
      <c r="O665" s="172">
        <v>180</v>
      </c>
      <c r="P665" s="172">
        <v>109</v>
      </c>
      <c r="Q665" s="38">
        <f>SUM(N665:P665)</f>
        <v>809</v>
      </c>
      <c r="R665" s="38">
        <f>+E665+I665+M665+Q665</f>
        <v>1629</v>
      </c>
    </row>
    <row r="666" spans="1:18" ht="15.75" customHeight="1" x14ac:dyDescent="0.3">
      <c r="A666" s="266" t="s">
        <v>2392</v>
      </c>
      <c r="B666" s="172">
        <v>0</v>
      </c>
      <c r="C666" s="172">
        <v>0</v>
      </c>
      <c r="D666" s="172">
        <v>0</v>
      </c>
      <c r="E666" s="38">
        <f>SUM(B666:D666)</f>
        <v>0</v>
      </c>
      <c r="F666" s="172">
        <v>0</v>
      </c>
      <c r="G666" s="172">
        <v>0</v>
      </c>
      <c r="H666" s="172">
        <v>0</v>
      </c>
      <c r="I666" s="38">
        <f>SUM(F666:H666)</f>
        <v>0</v>
      </c>
      <c r="J666" s="172">
        <v>0</v>
      </c>
      <c r="K666" s="172">
        <v>0</v>
      </c>
      <c r="L666" s="172">
        <v>0</v>
      </c>
      <c r="M666" s="38">
        <f>SUM(J666:L666)</f>
        <v>0</v>
      </c>
      <c r="N666" s="172">
        <v>0</v>
      </c>
      <c r="O666" s="172">
        <v>0</v>
      </c>
      <c r="P666" s="172">
        <v>0</v>
      </c>
      <c r="Q666" s="38">
        <f>SUM(N666:P666)</f>
        <v>0</v>
      </c>
      <c r="R666" s="38">
        <f>+E666+I666+M666+Q666</f>
        <v>0</v>
      </c>
    </row>
    <row r="667" spans="1:18" ht="15.75" customHeight="1" x14ac:dyDescent="0.3">
      <c r="A667" s="266" t="s">
        <v>604</v>
      </c>
      <c r="B667" s="172">
        <v>0</v>
      </c>
      <c r="C667" s="172">
        <v>0</v>
      </c>
      <c r="D667" s="172">
        <v>0</v>
      </c>
      <c r="E667" s="38">
        <f>SUM(B667:D667)</f>
        <v>0</v>
      </c>
      <c r="F667" s="172">
        <v>0</v>
      </c>
      <c r="G667" s="172">
        <v>0</v>
      </c>
      <c r="H667" s="172">
        <v>0</v>
      </c>
      <c r="I667" s="38">
        <f>SUM(F667:H667)</f>
        <v>0</v>
      </c>
      <c r="J667" s="172">
        <v>0</v>
      </c>
      <c r="K667" s="172">
        <v>0</v>
      </c>
      <c r="L667" s="172">
        <v>0</v>
      </c>
      <c r="M667" s="38">
        <f>SUM(J667:L667)</f>
        <v>0</v>
      </c>
      <c r="N667" s="172">
        <v>0</v>
      </c>
      <c r="O667" s="172">
        <v>0</v>
      </c>
      <c r="P667" s="172">
        <v>1000</v>
      </c>
      <c r="Q667" s="38">
        <f>SUM(N667:P667)</f>
        <v>1000</v>
      </c>
      <c r="R667" s="38">
        <f>+E667+I667+M667+Q667</f>
        <v>1000</v>
      </c>
    </row>
    <row r="668" spans="1:18" ht="15.75" customHeight="1" x14ac:dyDescent="0.3">
      <c r="A668" s="266" t="s">
        <v>448</v>
      </c>
      <c r="B668" s="172">
        <v>0</v>
      </c>
      <c r="C668" s="172">
        <v>0</v>
      </c>
      <c r="D668" s="172">
        <v>0</v>
      </c>
      <c r="E668" s="38">
        <f>SUM(B668:D668)</f>
        <v>0</v>
      </c>
      <c r="F668" s="172">
        <v>0</v>
      </c>
      <c r="G668" s="172">
        <v>0</v>
      </c>
      <c r="H668" s="172">
        <v>0</v>
      </c>
      <c r="I668" s="38">
        <f>SUM(F668:H668)</f>
        <v>0</v>
      </c>
      <c r="J668" s="172">
        <v>0</v>
      </c>
      <c r="K668" s="172">
        <v>0</v>
      </c>
      <c r="L668" s="172">
        <v>0</v>
      </c>
      <c r="M668" s="38">
        <f>SUM(J668:L668)</f>
        <v>0</v>
      </c>
      <c r="N668" s="172">
        <v>0</v>
      </c>
      <c r="O668" s="172">
        <v>0</v>
      </c>
      <c r="P668" s="172">
        <v>0</v>
      </c>
      <c r="Q668" s="38">
        <f>SUM(N668:P668)</f>
        <v>0</v>
      </c>
      <c r="R668" s="38">
        <f>+E668+I668+M668+Q668</f>
        <v>0</v>
      </c>
    </row>
    <row r="669" spans="1:18" ht="15.75" customHeight="1" x14ac:dyDescent="0.3">
      <c r="A669" s="234" t="s">
        <v>557</v>
      </c>
      <c r="B669" s="172"/>
      <c r="C669" s="172"/>
      <c r="D669" s="172"/>
      <c r="E669" s="38" t="s">
        <v>852</v>
      </c>
      <c r="F669" s="172"/>
      <c r="G669" s="172"/>
      <c r="H669" s="172"/>
      <c r="I669" s="38" t="s">
        <v>852</v>
      </c>
      <c r="J669" s="172"/>
      <c r="K669" s="172"/>
      <c r="L669" s="172"/>
      <c r="M669" s="38" t="s">
        <v>852</v>
      </c>
      <c r="N669" s="172"/>
      <c r="O669" s="172"/>
      <c r="P669" s="172"/>
      <c r="Q669" s="38" t="s">
        <v>852</v>
      </c>
      <c r="R669" s="38" t="s">
        <v>852</v>
      </c>
    </row>
    <row r="670" spans="1:18" ht="15.75" customHeight="1" x14ac:dyDescent="0.3">
      <c r="A670" s="266" t="s">
        <v>2444</v>
      </c>
      <c r="B670" s="172">
        <v>0</v>
      </c>
      <c r="C670" s="172">
        <v>0</v>
      </c>
      <c r="D670" s="172">
        <v>0</v>
      </c>
      <c r="E670" s="38">
        <f>SUM(B670:D670)</f>
        <v>0</v>
      </c>
      <c r="F670" s="172">
        <v>0</v>
      </c>
      <c r="G670" s="172">
        <v>0</v>
      </c>
      <c r="H670" s="172">
        <v>0</v>
      </c>
      <c r="I670" s="38">
        <f>SUM(F670:H670)</f>
        <v>0</v>
      </c>
      <c r="J670" s="172">
        <v>0</v>
      </c>
      <c r="K670" s="172">
        <v>0</v>
      </c>
      <c r="L670" s="172">
        <v>0</v>
      </c>
      <c r="M670" s="38">
        <f>SUM(J670:L670)</f>
        <v>0</v>
      </c>
      <c r="N670" s="172">
        <v>0</v>
      </c>
      <c r="O670" s="172">
        <v>0</v>
      </c>
      <c r="P670" s="172">
        <v>0</v>
      </c>
      <c r="Q670" s="38">
        <f>SUM(N670:P670)</f>
        <v>0</v>
      </c>
      <c r="R670" s="38">
        <f>+E670+I670+M670+Q670</f>
        <v>0</v>
      </c>
    </row>
    <row r="671" spans="1:18" ht="15.75" customHeight="1" x14ac:dyDescent="0.3">
      <c r="A671" s="266" t="s">
        <v>1792</v>
      </c>
      <c r="B671" s="172">
        <v>0</v>
      </c>
      <c r="C671" s="172">
        <v>0</v>
      </c>
      <c r="D671" s="172">
        <v>0</v>
      </c>
      <c r="E671" s="38">
        <f>SUM(B671:D671)</f>
        <v>0</v>
      </c>
      <c r="F671" s="172">
        <v>0</v>
      </c>
      <c r="G671" s="172">
        <v>0</v>
      </c>
      <c r="H671" s="172">
        <v>0</v>
      </c>
      <c r="I671" s="38">
        <f>SUM(F671:H671)</f>
        <v>0</v>
      </c>
      <c r="J671" s="172">
        <v>0</v>
      </c>
      <c r="K671" s="172">
        <v>0</v>
      </c>
      <c r="L671" s="172">
        <v>0</v>
      </c>
      <c r="M671" s="38">
        <f>SUM(J671:L671)</f>
        <v>0</v>
      </c>
      <c r="N671" s="172">
        <v>0</v>
      </c>
      <c r="O671" s="172">
        <v>0</v>
      </c>
      <c r="P671" s="172">
        <v>0</v>
      </c>
      <c r="Q671" s="38">
        <f>SUM(N671:P671)</f>
        <v>0</v>
      </c>
      <c r="R671" s="38">
        <f>+E671+I671+M671+Q671</f>
        <v>0</v>
      </c>
    </row>
    <row r="672" spans="1:18" ht="15.75" customHeight="1" x14ac:dyDescent="0.3">
      <c r="A672" s="234" t="s">
        <v>558</v>
      </c>
      <c r="B672" s="172"/>
      <c r="C672" s="172"/>
      <c r="D672" s="172"/>
      <c r="E672" s="38" t="s">
        <v>852</v>
      </c>
      <c r="F672" s="172"/>
      <c r="G672" s="172"/>
      <c r="H672" s="172"/>
      <c r="I672" s="38" t="s">
        <v>852</v>
      </c>
      <c r="J672" s="172"/>
      <c r="K672" s="172"/>
      <c r="L672" s="172"/>
      <c r="M672" s="38" t="s">
        <v>852</v>
      </c>
      <c r="N672" s="172"/>
      <c r="O672" s="172"/>
      <c r="P672" s="172"/>
      <c r="Q672" s="38" t="s">
        <v>852</v>
      </c>
      <c r="R672" s="38" t="s">
        <v>852</v>
      </c>
    </row>
    <row r="673" spans="1:18" ht="15.75" customHeight="1" thickBot="1" x14ac:dyDescent="0.35">
      <c r="A673" s="234" t="s">
        <v>559</v>
      </c>
      <c r="B673" s="172"/>
      <c r="C673" s="172"/>
      <c r="D673" s="172"/>
      <c r="E673" s="38" t="s">
        <v>852</v>
      </c>
      <c r="F673" s="172"/>
      <c r="G673" s="172"/>
      <c r="H673" s="172"/>
      <c r="I673" s="38" t="s">
        <v>852</v>
      </c>
      <c r="J673" s="172"/>
      <c r="K673" s="172"/>
      <c r="L673" s="172"/>
      <c r="M673" s="38" t="s">
        <v>852</v>
      </c>
      <c r="N673" s="172"/>
      <c r="O673" s="172"/>
      <c r="P673" s="172"/>
      <c r="Q673" s="38" t="s">
        <v>852</v>
      </c>
      <c r="R673" s="38" t="s">
        <v>852</v>
      </c>
    </row>
    <row r="674" spans="1:18" ht="15.75" customHeight="1" thickBot="1" x14ac:dyDescent="0.35">
      <c r="A674" s="43" t="s">
        <v>1019</v>
      </c>
      <c r="B674" s="42">
        <f>SUM(B672:B673)</f>
        <v>0</v>
      </c>
      <c r="C674" s="42">
        <f>SUM(C672:C673)</f>
        <v>0</v>
      </c>
      <c r="D674" s="42">
        <f>SUM(D672:D673)</f>
        <v>0</v>
      </c>
      <c r="E674" s="39">
        <f>SUM(B674:D674)</f>
        <v>0</v>
      </c>
      <c r="F674" s="42">
        <f>SUM(F672:F673)</f>
        <v>0</v>
      </c>
      <c r="G674" s="42">
        <f>SUM(G672:G673)</f>
        <v>0</v>
      </c>
      <c r="H674" s="42">
        <f>SUM(H672:H673)</f>
        <v>0</v>
      </c>
      <c r="I674" s="39">
        <f>SUM(F674:H674)</f>
        <v>0</v>
      </c>
      <c r="J674" s="42">
        <f>SUM(J672:J673)</f>
        <v>0</v>
      </c>
      <c r="K674" s="42">
        <f>SUM(K672:K673)</f>
        <v>0</v>
      </c>
      <c r="L674" s="42">
        <f>SUM(L672:L673)</f>
        <v>0</v>
      </c>
      <c r="M674" s="39">
        <f>SUM(J674:L674)</f>
        <v>0</v>
      </c>
      <c r="N674" s="42">
        <f>SUM(N672:N673)</f>
        <v>0</v>
      </c>
      <c r="O674" s="42">
        <f>SUM(O672:O673)</f>
        <v>0</v>
      </c>
      <c r="P674" s="42">
        <f>SUM(P672:P673)</f>
        <v>0</v>
      </c>
      <c r="Q674" s="39">
        <f>SUM(N674:P674)</f>
        <v>0</v>
      </c>
      <c r="R674" s="37">
        <f>+E674+I674+M674+Q674</f>
        <v>0</v>
      </c>
    </row>
    <row r="675" spans="1:18" ht="15.75" customHeight="1" thickBot="1" x14ac:dyDescent="0.35">
      <c r="A675" s="43" t="s">
        <v>1221</v>
      </c>
      <c r="B675" s="45">
        <f>SUM(B663:B673)</f>
        <v>0</v>
      </c>
      <c r="C675" s="46">
        <f>SUM(C663:C673)</f>
        <v>0</v>
      </c>
      <c r="D675" s="58">
        <f>SUM(D663:D673)</f>
        <v>0</v>
      </c>
      <c r="E675" s="39">
        <f>SUM(B675:D675)</f>
        <v>0</v>
      </c>
      <c r="F675" s="46">
        <f>SUM(F663:F673)</f>
        <v>24</v>
      </c>
      <c r="G675" s="46">
        <f>SUM(G663:G673)</f>
        <v>0</v>
      </c>
      <c r="H675" s="46">
        <f>SUM(H663:H673)</f>
        <v>0</v>
      </c>
      <c r="I675" s="39">
        <f>SUM(F675:H675)</f>
        <v>24</v>
      </c>
      <c r="J675" s="46">
        <f>SUM(J663:J673)</f>
        <v>0</v>
      </c>
      <c r="K675" s="46">
        <f>SUM(K663:K673)</f>
        <v>796</v>
      </c>
      <c r="L675" s="46">
        <f>SUM(L663:L673)</f>
        <v>0</v>
      </c>
      <c r="M675" s="39">
        <f>SUM(J675:L675)</f>
        <v>796</v>
      </c>
      <c r="N675" s="46">
        <f>SUM(N663:N673)</f>
        <v>520</v>
      </c>
      <c r="O675" s="46">
        <f>SUM(O663:O673)</f>
        <v>180</v>
      </c>
      <c r="P675" s="46">
        <f>SUM(P663:P673)</f>
        <v>1109</v>
      </c>
      <c r="Q675" s="39">
        <f>SUM(N675:P675)</f>
        <v>1809</v>
      </c>
      <c r="R675" s="37">
        <f>+E675+I675+M675+Q675</f>
        <v>2629</v>
      </c>
    </row>
    <row r="676" spans="1:18" ht="15.75" customHeight="1" thickBot="1" x14ac:dyDescent="0.35">
      <c r="A676" s="43" t="s">
        <v>1222</v>
      </c>
      <c r="B676" s="47">
        <f>+B653+B657+B662+B675</f>
        <v>450</v>
      </c>
      <c r="C676" s="42">
        <f>+C653+C657+C662+C675</f>
        <v>912</v>
      </c>
      <c r="D676" s="42">
        <f>+D653+D657+D662+D675</f>
        <v>2185</v>
      </c>
      <c r="E676" s="37">
        <f>SUM(B676:D676)</f>
        <v>3547</v>
      </c>
      <c r="F676" s="42">
        <f>+F653+F657+F662+F675</f>
        <v>3064</v>
      </c>
      <c r="G676" s="42">
        <f>+G653+G657+G662+G675</f>
        <v>3477</v>
      </c>
      <c r="H676" s="42">
        <f>+H653+H657+H662+H675</f>
        <v>2839</v>
      </c>
      <c r="I676" s="37">
        <f>SUM(F676:H676)</f>
        <v>9380</v>
      </c>
      <c r="J676" s="42">
        <f>+J653+J657+J662+J675</f>
        <v>1779</v>
      </c>
      <c r="K676" s="42">
        <f>+K653+K657+K662+K675</f>
        <v>3224</v>
      </c>
      <c r="L676" s="42">
        <f>+L653+L657+L662+L675</f>
        <v>3107</v>
      </c>
      <c r="M676" s="37">
        <f>SUM(J676:L676)</f>
        <v>8110</v>
      </c>
      <c r="N676" s="42">
        <f>+N653+N657+N662+N675</f>
        <v>2563</v>
      </c>
      <c r="O676" s="42">
        <f>+O653+O657+O662+O675</f>
        <v>1618</v>
      </c>
      <c r="P676" s="42">
        <f>+P653+P657+P662+P675</f>
        <v>2652</v>
      </c>
      <c r="Q676" s="37">
        <f>SUM(N676:P676)</f>
        <v>6833</v>
      </c>
      <c r="R676" s="40">
        <f>+E676+I676+M676+Q676</f>
        <v>27870</v>
      </c>
    </row>
    <row r="677" spans="1:18" ht="15.75" customHeight="1" thickBot="1" x14ac:dyDescent="0.35">
      <c r="A677" s="244" t="s">
        <v>853</v>
      </c>
      <c r="B677" s="238">
        <v>11</v>
      </c>
      <c r="C677" s="238">
        <v>13</v>
      </c>
      <c r="D677" s="238">
        <v>17</v>
      </c>
      <c r="E677" s="38">
        <f>SUM(B677:D677)</f>
        <v>41</v>
      </c>
      <c r="F677" s="238">
        <v>21</v>
      </c>
      <c r="G677" s="238">
        <v>23</v>
      </c>
      <c r="H677" s="238">
        <v>25</v>
      </c>
      <c r="I677" s="38">
        <f>SUM(F677:H677)</f>
        <v>69</v>
      </c>
      <c r="J677" s="238">
        <v>25</v>
      </c>
      <c r="K677" s="238">
        <v>21</v>
      </c>
      <c r="L677" s="238">
        <v>19</v>
      </c>
      <c r="M677" s="38">
        <f>SUM(J677:L677)</f>
        <v>65</v>
      </c>
      <c r="N677" s="238">
        <v>17</v>
      </c>
      <c r="O677" s="238">
        <v>13</v>
      </c>
      <c r="P677" s="238">
        <v>11</v>
      </c>
      <c r="Q677" s="38">
        <f>SUM(N677:P677)</f>
        <v>41</v>
      </c>
      <c r="R677" s="38">
        <f>+E677+I677+M677+Q677</f>
        <v>216</v>
      </c>
    </row>
    <row r="678" spans="1:18" ht="15.75" customHeight="1" thickBot="1" x14ac:dyDescent="0.35">
      <c r="A678" s="22"/>
      <c r="B678" s="242"/>
      <c r="C678" s="242"/>
      <c r="D678" s="242"/>
      <c r="E678" s="37" t="s">
        <v>852</v>
      </c>
      <c r="F678" s="242"/>
      <c r="G678" s="242"/>
      <c r="H678" s="242"/>
      <c r="I678" s="37" t="s">
        <v>852</v>
      </c>
      <c r="J678" s="242"/>
      <c r="K678" s="242"/>
      <c r="L678" s="242"/>
      <c r="M678" s="37" t="s">
        <v>852</v>
      </c>
      <c r="N678" s="242"/>
      <c r="O678" s="242"/>
      <c r="P678" s="242"/>
      <c r="Q678" s="37" t="s">
        <v>852</v>
      </c>
      <c r="R678" s="37" t="s">
        <v>852</v>
      </c>
    </row>
    <row r="679" spans="1:18" ht="15.75" customHeight="1" x14ac:dyDescent="0.3">
      <c r="A679" s="234" t="s">
        <v>2011</v>
      </c>
      <c r="B679" s="172">
        <f>SUM(B676:B677)</f>
        <v>461</v>
      </c>
      <c r="C679" s="172">
        <f>SUM(C676:C677)</f>
        <v>925</v>
      </c>
      <c r="D679" s="172">
        <f>SUM(D676:D677)</f>
        <v>2202</v>
      </c>
      <c r="E679" s="39">
        <f>SUM(B679:D679)</f>
        <v>3588</v>
      </c>
      <c r="F679" s="172">
        <f>SUM(F676:F677)</f>
        <v>3085</v>
      </c>
      <c r="G679" s="172">
        <f>SUM(G676:G677)</f>
        <v>3500</v>
      </c>
      <c r="H679" s="172">
        <f>SUM(H676:H677)</f>
        <v>2864</v>
      </c>
      <c r="I679" s="39">
        <f>SUM(F679:H679)</f>
        <v>9449</v>
      </c>
      <c r="J679" s="172">
        <f>SUM(J676:J677)</f>
        <v>1804</v>
      </c>
      <c r="K679" s="172">
        <f>SUM(K676:K677)</f>
        <v>3245</v>
      </c>
      <c r="L679" s="172">
        <f>SUM(L676:L677)</f>
        <v>3126</v>
      </c>
      <c r="M679" s="39">
        <f>SUM(J679:L679)</f>
        <v>8175</v>
      </c>
      <c r="N679" s="172">
        <f>SUM(N676:N677)</f>
        <v>2580</v>
      </c>
      <c r="O679" s="172">
        <f>SUM(O676:O677)</f>
        <v>1631</v>
      </c>
      <c r="P679" s="172">
        <f>SUM(P676:P677)</f>
        <v>2663</v>
      </c>
      <c r="Q679" s="39">
        <f>SUM(N679:P679)</f>
        <v>6874</v>
      </c>
      <c r="R679" s="39">
        <f>+E679+I679+M679+Q679</f>
        <v>28086</v>
      </c>
    </row>
    <row r="680" spans="1:18" ht="15.75" customHeight="1" x14ac:dyDescent="0.3">
      <c r="A680" s="234" t="s">
        <v>1897</v>
      </c>
      <c r="B680" s="172">
        <f>(B679/31)/1.983</f>
        <v>7.4992273030436127</v>
      </c>
      <c r="C680" s="172">
        <f>(C679/28)/1.983</f>
        <v>16.659462574742452</v>
      </c>
      <c r="D680" s="172">
        <f>(D679/31)/1.983</f>
        <v>35.820604167683371</v>
      </c>
      <c r="E680" s="38" t="s">
        <v>852</v>
      </c>
      <c r="F680" s="172">
        <f>(F679/30)/1.983</f>
        <v>51.857455034459569</v>
      </c>
      <c r="G680" s="172">
        <f>(G679/31)/1.983</f>
        <v>56.935565207489468</v>
      </c>
      <c r="H680" s="172">
        <f>(H679/30)/1.983</f>
        <v>48.142544965540424</v>
      </c>
      <c r="I680" s="38" t="s">
        <v>852</v>
      </c>
      <c r="J680" s="172">
        <f>(J679/31)/1.983</f>
        <v>29.346217038374569</v>
      </c>
      <c r="K680" s="172">
        <f>(K679/31)/1.983</f>
        <v>52.787402599515232</v>
      </c>
      <c r="L680" s="172">
        <f>(L679/30)/1.983</f>
        <v>52.546646495209281</v>
      </c>
      <c r="M680" s="38" t="s">
        <v>852</v>
      </c>
      <c r="N680" s="172">
        <f>(N679/31)/1.983</f>
        <v>41.969645210092231</v>
      </c>
      <c r="O680" s="172">
        <f>(O679/30)/1.983</f>
        <v>27.416372499579762</v>
      </c>
      <c r="P680" s="172">
        <f>(P679/31)/1.983</f>
        <v>43.319831470726982</v>
      </c>
      <c r="Q680" s="38" t="s">
        <v>852</v>
      </c>
      <c r="R680" s="38" t="s">
        <v>852</v>
      </c>
    </row>
    <row r="681" spans="1:18" ht="15.75" customHeight="1" x14ac:dyDescent="0.3">
      <c r="A681" s="234" t="s">
        <v>2050</v>
      </c>
      <c r="B681" s="172">
        <f>B679</f>
        <v>461</v>
      </c>
      <c r="C681" s="172">
        <f>C679</f>
        <v>925</v>
      </c>
      <c r="D681" s="172">
        <f>D679</f>
        <v>2202</v>
      </c>
      <c r="E681" s="38">
        <f>SUM(B681:D681)</f>
        <v>3588</v>
      </c>
      <c r="F681" s="172">
        <f>F679</f>
        <v>3085</v>
      </c>
      <c r="G681" s="172">
        <f>G679</f>
        <v>3500</v>
      </c>
      <c r="H681" s="172">
        <f>H679</f>
        <v>2864</v>
      </c>
      <c r="I681" s="38">
        <f>SUM(F681:H681)</f>
        <v>9449</v>
      </c>
      <c r="J681" s="172">
        <f>J679</f>
        <v>1804</v>
      </c>
      <c r="K681" s="172">
        <f>K679</f>
        <v>3245</v>
      </c>
      <c r="L681" s="172">
        <f>L679</f>
        <v>3126</v>
      </c>
      <c r="M681" s="38">
        <f>SUM(J681:L681)</f>
        <v>8175</v>
      </c>
      <c r="N681" s="172">
        <f>N679</f>
        <v>2580</v>
      </c>
      <c r="O681" s="172">
        <f>O679</f>
        <v>1631</v>
      </c>
      <c r="P681" s="172">
        <f>P679</f>
        <v>2663</v>
      </c>
      <c r="Q681" s="38">
        <f>SUM(N681:P681)</f>
        <v>6874</v>
      </c>
      <c r="R681" s="38">
        <f>+E681+I681+M681+Q681</f>
        <v>28086</v>
      </c>
    </row>
    <row r="682" spans="1:18" ht="15.75" customHeight="1" thickBot="1" x14ac:dyDescent="0.35">
      <c r="A682" s="237" t="s">
        <v>2051</v>
      </c>
      <c r="B682" s="238">
        <f>(B681/31)/1.983</f>
        <v>7.4992273030436127</v>
      </c>
      <c r="C682" s="238">
        <f>(C681/28)/1.983</f>
        <v>16.659462574742452</v>
      </c>
      <c r="D682" s="238">
        <f>(D681/31)/1.983</f>
        <v>35.820604167683371</v>
      </c>
      <c r="E682" s="40" t="s">
        <v>852</v>
      </c>
      <c r="F682" s="238">
        <f>(F681/30)/1.983</f>
        <v>51.857455034459569</v>
      </c>
      <c r="G682" s="238">
        <f>(G681/31)/1.983</f>
        <v>56.935565207489468</v>
      </c>
      <c r="H682" s="238">
        <f>(H681/30)/1.983</f>
        <v>48.142544965540424</v>
      </c>
      <c r="I682" s="40" t="s">
        <v>852</v>
      </c>
      <c r="J682" s="238">
        <f>(J681/31)/1.983</f>
        <v>29.346217038374569</v>
      </c>
      <c r="K682" s="238">
        <f>(K681/31)/1.983</f>
        <v>52.787402599515232</v>
      </c>
      <c r="L682" s="238">
        <f>(L681/30)/1.983</f>
        <v>52.546646495209281</v>
      </c>
      <c r="M682" s="40" t="s">
        <v>852</v>
      </c>
      <c r="N682" s="238">
        <f>(N681/31)/1.983</f>
        <v>41.969645210092231</v>
      </c>
      <c r="O682" s="238">
        <f>(O681/30)/1.983</f>
        <v>27.416372499579762</v>
      </c>
      <c r="P682" s="238">
        <f>(P681/31)/1.983</f>
        <v>43.319831470726982</v>
      </c>
      <c r="Q682" s="40" t="s">
        <v>852</v>
      </c>
      <c r="R682" s="40" t="s">
        <v>852</v>
      </c>
    </row>
    <row r="683" spans="1:18" ht="15.75" customHeight="1" x14ac:dyDescent="0.35">
      <c r="A683" s="8"/>
      <c r="B683" s="2"/>
      <c r="C683" s="2"/>
      <c r="D683" s="2"/>
      <c r="E683" s="187"/>
      <c r="F683" s="2"/>
      <c r="G683" s="2"/>
      <c r="H683" s="2"/>
      <c r="I683" s="187"/>
      <c r="J683" s="2"/>
      <c r="K683" s="2"/>
      <c r="L683" s="2"/>
      <c r="M683" s="187"/>
      <c r="N683" s="2"/>
      <c r="O683" s="2"/>
      <c r="P683" s="2"/>
      <c r="Q683" s="187"/>
      <c r="R683" s="187"/>
    </row>
    <row r="684" spans="1:18" ht="15.75" customHeight="1" x14ac:dyDescent="0.35">
      <c r="A684" s="8"/>
      <c r="B684" s="2"/>
      <c r="C684" s="2"/>
      <c r="D684" s="2"/>
      <c r="E684" s="2"/>
      <c r="F684" s="2"/>
      <c r="G684" s="2"/>
      <c r="H684" s="2"/>
      <c r="I684" s="2"/>
      <c r="J684" s="2"/>
      <c r="K684" s="2"/>
      <c r="L684" s="2"/>
      <c r="M684" s="2"/>
      <c r="N684" s="2"/>
      <c r="O684" s="2"/>
      <c r="P684" s="2"/>
      <c r="Q684" s="187" t="str">
        <f>+Q1</f>
        <v>PRINTED:</v>
      </c>
      <c r="R684" s="200">
        <f ca="1">+R1</f>
        <v>44881.72963425926</v>
      </c>
    </row>
    <row r="685" spans="1:18" ht="15.75" customHeight="1" x14ac:dyDescent="0.35">
      <c r="A685" s="847" t="s">
        <v>43</v>
      </c>
      <c r="B685" s="847"/>
      <c r="C685" s="847"/>
      <c r="D685" s="847"/>
      <c r="E685" s="847"/>
      <c r="F685" s="847"/>
      <c r="G685" s="847"/>
      <c r="H685" s="847"/>
      <c r="I685" s="847"/>
      <c r="J685" s="847"/>
      <c r="K685" s="847"/>
      <c r="L685" s="847"/>
      <c r="M685" s="847"/>
      <c r="N685" s="847"/>
      <c r="O685" s="847"/>
      <c r="P685" s="847"/>
      <c r="Q685" s="847"/>
      <c r="R685" s="847"/>
    </row>
    <row r="686" spans="1:18" ht="15.75" customHeight="1" x14ac:dyDescent="0.35">
      <c r="A686" s="847" t="s">
        <v>1988</v>
      </c>
      <c r="B686" s="847"/>
      <c r="C686" s="847"/>
      <c r="D686" s="847"/>
      <c r="E686" s="847"/>
      <c r="F686" s="847"/>
      <c r="G686" s="847"/>
      <c r="H686" s="847"/>
      <c r="I686" s="847"/>
      <c r="J686" s="847"/>
      <c r="K686" s="847"/>
      <c r="L686" s="847"/>
      <c r="M686" s="847"/>
      <c r="N686" s="847"/>
      <c r="O686" s="847"/>
      <c r="P686" s="847"/>
      <c r="Q686" s="847"/>
      <c r="R686" s="847"/>
    </row>
    <row r="687" spans="1:18" ht="15.75" customHeight="1" x14ac:dyDescent="0.35">
      <c r="A687" s="847" t="s">
        <v>544</v>
      </c>
      <c r="B687" s="847"/>
      <c r="C687" s="847"/>
      <c r="D687" s="847"/>
      <c r="E687" s="847"/>
      <c r="F687" s="847"/>
      <c r="G687" s="847"/>
      <c r="H687" s="847"/>
      <c r="I687" s="847"/>
      <c r="J687" s="847"/>
      <c r="K687" s="847"/>
      <c r="L687" s="847"/>
      <c r="M687" s="847"/>
      <c r="N687" s="847"/>
      <c r="O687" s="847"/>
      <c r="P687" s="847"/>
      <c r="Q687" s="847"/>
      <c r="R687" s="847"/>
    </row>
    <row r="688" spans="1:18" ht="15.75" customHeight="1" x14ac:dyDescent="0.35">
      <c r="A688" s="847" t="str">
        <f>+A5</f>
        <v>Calendar Year 2008</v>
      </c>
      <c r="B688" s="847"/>
      <c r="C688" s="847"/>
      <c r="D688" s="847"/>
      <c r="E688" s="847"/>
      <c r="F688" s="847"/>
      <c r="G688" s="847"/>
      <c r="H688" s="847"/>
      <c r="I688" s="847"/>
      <c r="J688" s="847"/>
      <c r="K688" s="847"/>
      <c r="L688" s="847"/>
      <c r="M688" s="847"/>
      <c r="N688" s="847"/>
      <c r="O688" s="847"/>
      <c r="P688" s="847"/>
      <c r="Q688" s="847"/>
      <c r="R688" s="847"/>
    </row>
    <row r="689" spans="1:18" ht="15.75" customHeight="1" x14ac:dyDescent="0.35">
      <c r="A689" s="2"/>
      <c r="B689" s="2"/>
      <c r="C689" s="2"/>
      <c r="D689" s="202"/>
      <c r="E689" s="202"/>
      <c r="F689" s="202"/>
      <c r="G689" s="203"/>
      <c r="H689" s="202"/>
      <c r="I689" s="202"/>
      <c r="J689" s="203"/>
      <c r="K689" s="203"/>
      <c r="L689" s="203"/>
      <c r="M689" s="203"/>
      <c r="N689" s="2"/>
      <c r="O689" s="203"/>
      <c r="P689" s="203"/>
      <c r="Q689" s="203"/>
      <c r="R689" s="203"/>
    </row>
    <row r="690" spans="1:18" ht="15.75" customHeight="1" x14ac:dyDescent="0.35">
      <c r="A690" s="847" t="str">
        <f>+A8</f>
        <v>Revised:  1/19/09</v>
      </c>
      <c r="B690" s="847"/>
      <c r="C690" s="847"/>
      <c r="D690" s="847"/>
      <c r="E690" s="847"/>
      <c r="F690" s="847"/>
      <c r="G690" s="847"/>
      <c r="H690" s="847"/>
      <c r="I690" s="847"/>
      <c r="J690" s="847"/>
      <c r="K690" s="847"/>
      <c r="L690" s="847"/>
      <c r="M690" s="847"/>
      <c r="N690" s="847"/>
      <c r="O690" s="847"/>
      <c r="P690" s="847"/>
      <c r="Q690" s="847"/>
      <c r="R690" s="847"/>
    </row>
    <row r="691" spans="1:18" ht="15.75" customHeight="1" x14ac:dyDescent="0.35">
      <c r="A691" s="201"/>
      <c r="B691" s="201"/>
      <c r="C691" s="201"/>
      <c r="D691" s="201"/>
      <c r="E691" s="201"/>
      <c r="F691" s="201"/>
      <c r="G691" s="201"/>
      <c r="H691" s="201"/>
      <c r="I691" s="201"/>
      <c r="J691" s="201"/>
      <c r="K691" s="201"/>
      <c r="L691" s="201"/>
      <c r="M691" s="201"/>
      <c r="N691" s="201"/>
      <c r="O691" s="201"/>
      <c r="P691" s="201"/>
      <c r="Q691" s="201"/>
      <c r="R691" s="201"/>
    </row>
    <row r="692" spans="1:18" ht="15.75" customHeight="1" x14ac:dyDescent="0.35">
      <c r="A692" s="201"/>
      <c r="B692" s="201"/>
      <c r="C692" s="201"/>
      <c r="D692" s="201"/>
      <c r="E692" s="201"/>
      <c r="F692" s="201"/>
      <c r="G692" s="201"/>
      <c r="H692" s="201"/>
      <c r="I692" s="201"/>
      <c r="J692" s="201"/>
      <c r="K692" s="201"/>
      <c r="L692" s="201"/>
      <c r="M692" s="201"/>
      <c r="N692" s="201"/>
      <c r="O692" s="201"/>
      <c r="P692" s="201"/>
      <c r="Q692" s="201"/>
      <c r="R692" s="201"/>
    </row>
    <row r="693" spans="1:18" ht="15.75" customHeight="1" thickBot="1" x14ac:dyDescent="0.4">
      <c r="A693" s="8"/>
      <c r="B693" s="2"/>
      <c r="C693" s="2"/>
      <c r="D693" s="2"/>
      <c r="E693" s="2"/>
      <c r="F693" s="2"/>
      <c r="G693" s="2"/>
      <c r="H693" s="2"/>
      <c r="I693" s="2"/>
      <c r="J693" s="2"/>
      <c r="K693" s="2"/>
      <c r="L693" s="2"/>
      <c r="M693" s="2"/>
      <c r="N693" s="2"/>
      <c r="O693" s="2"/>
      <c r="P693" s="2"/>
      <c r="Q693" s="2"/>
      <c r="R693" s="187"/>
    </row>
    <row r="694" spans="1:18" ht="15.75" customHeight="1" thickBot="1" x14ac:dyDescent="0.35">
      <c r="A694" s="278" t="s">
        <v>1661</v>
      </c>
      <c r="B694" s="4" t="s">
        <v>2090</v>
      </c>
      <c r="C694" s="5" t="s">
        <v>2091</v>
      </c>
      <c r="D694" s="5" t="s">
        <v>2234</v>
      </c>
      <c r="E694" s="33" t="s">
        <v>1594</v>
      </c>
      <c r="F694" s="5" t="s">
        <v>2235</v>
      </c>
      <c r="G694" s="5" t="s">
        <v>2236</v>
      </c>
      <c r="H694" s="5" t="s">
        <v>2237</v>
      </c>
      <c r="I694" s="35" t="s">
        <v>1595</v>
      </c>
      <c r="J694" s="5" t="s">
        <v>1504</v>
      </c>
      <c r="K694" s="5" t="s">
        <v>1505</v>
      </c>
      <c r="L694" s="5" t="s">
        <v>1506</v>
      </c>
      <c r="M694" s="35" t="s">
        <v>1596</v>
      </c>
      <c r="N694" s="5" t="s">
        <v>1507</v>
      </c>
      <c r="O694" s="5" t="s">
        <v>1508</v>
      </c>
      <c r="P694" s="5" t="s">
        <v>1509</v>
      </c>
      <c r="Q694" s="35" t="s">
        <v>1597</v>
      </c>
      <c r="R694" s="60" t="s">
        <v>1510</v>
      </c>
    </row>
    <row r="695" spans="1:18" ht="15.75" customHeight="1" thickBot="1" x14ac:dyDescent="0.35">
      <c r="A695" s="22"/>
      <c r="B695" s="242"/>
      <c r="C695" s="242"/>
      <c r="D695" s="242"/>
      <c r="E695" s="233"/>
      <c r="F695" s="242"/>
      <c r="G695" s="242"/>
      <c r="H695" s="242"/>
      <c r="I695" s="282"/>
      <c r="J695" s="242"/>
      <c r="K695" s="242"/>
      <c r="L695" s="242"/>
      <c r="M695" s="282"/>
      <c r="N695" s="242"/>
      <c r="O695" s="242"/>
      <c r="P695" s="242"/>
      <c r="Q695" s="283"/>
      <c r="R695" s="61"/>
    </row>
    <row r="696" spans="1:18" ht="15.75" customHeight="1" x14ac:dyDescent="0.3">
      <c r="A696" s="234" t="s">
        <v>2417</v>
      </c>
      <c r="B696" s="172" t="s">
        <v>852</v>
      </c>
      <c r="C696" s="172" t="s">
        <v>852</v>
      </c>
      <c r="D696" s="172" t="s">
        <v>852</v>
      </c>
      <c r="E696" s="284"/>
      <c r="F696" s="172" t="s">
        <v>852</v>
      </c>
      <c r="G696" s="172" t="s">
        <v>852</v>
      </c>
      <c r="H696" s="172" t="s">
        <v>852</v>
      </c>
      <c r="I696" s="284"/>
      <c r="J696" s="172" t="s">
        <v>852</v>
      </c>
      <c r="K696" s="172" t="s">
        <v>852</v>
      </c>
      <c r="L696" s="172" t="s">
        <v>852</v>
      </c>
      <c r="M696" s="284"/>
      <c r="N696" s="172" t="s">
        <v>852</v>
      </c>
      <c r="O696" s="172" t="s">
        <v>852</v>
      </c>
      <c r="P696" s="172" t="s">
        <v>852</v>
      </c>
      <c r="Q696" s="285"/>
      <c r="R696" s="62" t="s">
        <v>852</v>
      </c>
    </row>
    <row r="697" spans="1:18" ht="15.75" customHeight="1" x14ac:dyDescent="0.3">
      <c r="A697" s="234" t="s">
        <v>2160</v>
      </c>
      <c r="B697" s="172">
        <f>+SUM(B74:B78)+SUM(B140:B158)+SUM(B272:B283)+SUM(B389:B391)+SUM(B429:B431)+SUM(B470:B475)+SUM(B529:B530)+SUM(B563:B565)+B613+SUM(B646:B648)</f>
        <v>24005</v>
      </c>
      <c r="C697" s="172">
        <f>+SUM(C74:C78)+SUM(C140:C158)+SUM(C272:C283)+SUM(C389:C391)+SUM(C429:C431)+SUM(C470:C475)+SUM(C529:C530)+SUM(C563:C565)+C613+SUM(C646:C648)</f>
        <v>22116</v>
      </c>
      <c r="D697" s="172">
        <f>+SUM(D74:D78)+SUM(D140:D158)+SUM(D272:D283)+SUM(D389:D391)+SUM(D429:D431)+SUM(D470:D475)+SUM(D529:D530)+SUM(D563:D565)+D613+SUM(D646:D648)</f>
        <v>30905</v>
      </c>
      <c r="E697" s="38">
        <f t="shared" ref="E697:E703" si="94">SUM(B697:D697)</f>
        <v>77026</v>
      </c>
      <c r="F697" s="172">
        <f>+SUM(F74:F78)+SUM(F140:F158)+SUM(F272:F283)+SUM(F389:F391)+SUM(F429:F431)+SUM(F470:F475)+SUM(F529:F530)+SUM(F563:F565)+F613+SUM(F646:F648)</f>
        <v>39471</v>
      </c>
      <c r="G697" s="172">
        <f>+SUM(G74:G78)+SUM(G140:G158)+SUM(G272:G283)+SUM(G389:G391)+SUM(G429:G431)+SUM(G470:G475)+SUM(G529:G530)+SUM(G563:G565)+G613+SUM(G646:G648)</f>
        <v>36401</v>
      </c>
      <c r="H697" s="172">
        <f>+SUM(H74:H78)+SUM(H140:H158)+SUM(H272:H283)+SUM(H389:H391)+SUM(H429:H431)+SUM(H470:H475)+SUM(H529:H530)+SUM(H563:H565)+H613+SUM(H646:H648)</f>
        <v>58144</v>
      </c>
      <c r="I697" s="38">
        <f t="shared" ref="I697:I703" si="95">SUM(F697:H697)</f>
        <v>134016</v>
      </c>
      <c r="J697" s="172">
        <f>+SUM(J74:J78)+SUM(J140:J158)+SUM(J272:J283)+SUM(J389:J391)+SUM(J429:J431)+SUM(J470:J475)+SUM(J529:J530)+SUM(J563:J565)+J613+SUM(J646:J648)</f>
        <v>54133</v>
      </c>
      <c r="K697" s="172">
        <f>+SUM(K74:K78)+SUM(K140:K158)+SUM(K272:K283)+SUM(K389:K391)+SUM(K429:K431)+SUM(K470:K475)+SUM(K529:K530)+SUM(K563:K565)+K613+SUM(K646:K648)</f>
        <v>46361</v>
      </c>
      <c r="L697" s="172">
        <f>+SUM(L74:L78)+SUM(L140:L158)+SUM(L272:L283)+SUM(L389:L391)+SUM(L429:L431)+SUM(L470:L475)+SUM(L529:L530)+SUM(L563:L565)+L613+SUM(L646:L648)</f>
        <v>45631</v>
      </c>
      <c r="M697" s="38">
        <f t="shared" ref="M697:M703" si="96">SUM(J697:L697)</f>
        <v>146125</v>
      </c>
      <c r="N697" s="172">
        <f>+SUM(N74:N78)+SUM(N140:N158)+SUM(N272:N283)+SUM(N389:N391)+SUM(N429:N431)+SUM(N470:N475)+SUM(N529:N530)+SUM(N563:N565)+N613+SUM(N646:N648)</f>
        <v>41534</v>
      </c>
      <c r="O697" s="172">
        <f>+SUM(O74:O78)+SUM(O140:O158)+SUM(O272:O283)+SUM(O389:O391)+SUM(O429:O431)+SUM(O470:O475)+SUM(O529:O530)+SUM(O563:O565)+O613+SUM(O646:O648)</f>
        <v>32475</v>
      </c>
      <c r="P697" s="172">
        <f>+SUM(P74:P78)+SUM(P140:P158)+SUM(P272:P283)+SUM(P389:P391)+SUM(P429:P431)+SUM(P470:P475)+SUM(P529:P530)+SUM(P563:P565)+P613+SUM(P646:P648)</f>
        <v>26295</v>
      </c>
      <c r="Q697" s="38">
        <f t="shared" ref="Q697:Q703" si="97">SUM(N697:P697)</f>
        <v>100304</v>
      </c>
      <c r="R697" s="38">
        <f t="shared" ref="R697:R703" si="98">+E697+I697+M697+Q697</f>
        <v>457471</v>
      </c>
    </row>
    <row r="698" spans="1:18" ht="15.75" customHeight="1" x14ac:dyDescent="0.3">
      <c r="A698" s="234" t="s">
        <v>2161</v>
      </c>
      <c r="B698" s="172">
        <f>+SUM(B79:B84)+SUM(B160:B170)+SUM(B285:B300)+SUM(B393:B394)+B432+SUM(B476:B477)+B531+B566+B614+SUM(B649:B649)</f>
        <v>1779</v>
      </c>
      <c r="C698" s="172">
        <f>+SUM(C79:C84)+SUM(C160:C170)+SUM(C285:C300)+SUM(C393:C394)+C432+SUM(C476:C477)+C531+C566+C614+SUM(C649:C649)</f>
        <v>480</v>
      </c>
      <c r="D698" s="172">
        <f>+SUM(D79:D84)+SUM(D160:D170)+SUM(D285:D300)+SUM(D393:D394)+D432+SUM(D476:D477)+D531+D566+D614+SUM(D649:D649)</f>
        <v>326</v>
      </c>
      <c r="E698" s="38">
        <f t="shared" si="94"/>
        <v>2585</v>
      </c>
      <c r="F698" s="172">
        <f>+SUM(F79:F84)+SUM(F160:F170)+SUM(F285:F300)+SUM(F393:F394)+F432+SUM(F476:F477)+F531+F566+F614+SUM(F649:F649)</f>
        <v>657</v>
      </c>
      <c r="G698" s="172">
        <f>+SUM(G79:G84)+SUM(G160:G170)+SUM(G285:G300)+SUM(G393:G394)+G432+SUM(G476:G477)+G531+G566+G614+SUM(G649:G649)</f>
        <v>900</v>
      </c>
      <c r="H698" s="172">
        <f>+SUM(H79:H84)+SUM(H160:H170)+SUM(H285:H300)+SUM(H393:H394)+H432+SUM(H476:H477)+H531+H566+H614+SUM(H649:H649)</f>
        <v>915</v>
      </c>
      <c r="I698" s="38">
        <f t="shared" si="95"/>
        <v>2472</v>
      </c>
      <c r="J698" s="172">
        <f>+SUM(J79:J84)+SUM(J160:J170)+SUM(J285:J300)+SUM(J393:J394)+J432+SUM(J476:J477)+J531+J566+J614+SUM(J649:J649)</f>
        <v>1149</v>
      </c>
      <c r="K698" s="172">
        <f>+SUM(K79:K84)+SUM(K160:K170)+SUM(K285:K300)+SUM(K393:K394)+K432+SUM(K476:K477)+K531+K566+K614+SUM(K649:K649)</f>
        <v>1340</v>
      </c>
      <c r="L698" s="172">
        <f>+SUM(L79:L84)+SUM(L160:L170)+SUM(L285:L300)+SUM(L393:L394)+L432+SUM(L476:L477)+L531+L566+L614+SUM(L649:L649)</f>
        <v>1028</v>
      </c>
      <c r="M698" s="38">
        <f t="shared" si="96"/>
        <v>3517</v>
      </c>
      <c r="N698" s="172">
        <f>+SUM(N79:N84)+SUM(N160:N170)+SUM(N285:N300)+SUM(N393:N394)+N432+SUM(N476:N477)+N531+N566+N614+SUM(N649:N649)</f>
        <v>1310</v>
      </c>
      <c r="O698" s="172">
        <f>+SUM(O79:O84)+SUM(O160:O170)+SUM(O285:O300)+SUM(O393:O394)+O432+SUM(O476:O477)+O531+O566+O614+SUM(O649:O649)</f>
        <v>4177</v>
      </c>
      <c r="P698" s="172">
        <f>+SUM(P79:P84)+SUM(P160:P170)+SUM(P285:P300)+SUM(P393:P394)+P432+SUM(P476:P477)+P531+P566+P614+SUM(P649:P649)</f>
        <v>1982</v>
      </c>
      <c r="Q698" s="38">
        <f t="shared" si="97"/>
        <v>7469</v>
      </c>
      <c r="R698" s="38">
        <f t="shared" si="98"/>
        <v>16043</v>
      </c>
    </row>
    <row r="699" spans="1:18" ht="15.75" customHeight="1" x14ac:dyDescent="0.3">
      <c r="A699" s="234" t="s">
        <v>2036</v>
      </c>
      <c r="B699" s="172">
        <f>+SUM(B85:B87)+SUM(B171:B174)+SUM(B301:B304)+B395+B433+SUM(B478:B479)+B532+B567+B615+SUM(B650:B651)</f>
        <v>1174</v>
      </c>
      <c r="C699" s="172">
        <f>+SUM(C85:C87)+SUM(C171:C174)+SUM(C301:C304)+C395+C433+SUM(C478:C479)+C532+C567+C615+SUM(C650:C651)</f>
        <v>586</v>
      </c>
      <c r="D699" s="172">
        <f>+SUM(D85:D87)+SUM(D171:D174)+SUM(D301:D304)+D395+D433+SUM(D478:D479)+D532+D567+D615+SUM(D650:D651)</f>
        <v>4979</v>
      </c>
      <c r="E699" s="38">
        <f t="shared" si="94"/>
        <v>6739</v>
      </c>
      <c r="F699" s="172">
        <f>+SUM(F85:F87)+SUM(F171:F174)+SUM(F301:F304)+F395+F433+SUM(F478:F479)+F532+F567+F615+SUM(F650:F651)</f>
        <v>4363</v>
      </c>
      <c r="G699" s="172">
        <f>+SUM(G85:G87)+SUM(G171:G174)+SUM(G301:G304)+G395+G433+SUM(G478:G479)+G532+G567+G615+SUM(G650:G651)</f>
        <v>2988</v>
      </c>
      <c r="H699" s="172">
        <f>+SUM(H85:H87)+SUM(H171:H174)+SUM(H301:H304)+H395+H433+SUM(H478:H479)+H532+H567+H615+SUM(H650:H651)</f>
        <v>4858</v>
      </c>
      <c r="I699" s="38">
        <f t="shared" si="95"/>
        <v>12209</v>
      </c>
      <c r="J699" s="172">
        <f>+SUM(J85:J87)+SUM(J171:J174)+SUM(J301:J304)+J395+J433+SUM(J478:J479)+J532+J567+J615+SUM(J650:J651)</f>
        <v>1381</v>
      </c>
      <c r="K699" s="172">
        <f>+SUM(K85:K87)+SUM(K171:K174)+SUM(K301:K304)+K395+K433+SUM(K478:K479)+K532+K567+K615+SUM(K650:K651)</f>
        <v>1442</v>
      </c>
      <c r="L699" s="172">
        <f>+SUM(L85:L87)+SUM(L171:L174)+SUM(L301:L304)+L395+L433+SUM(L478:L479)+L532+L567+L615+SUM(L650:L651)</f>
        <v>134</v>
      </c>
      <c r="M699" s="38">
        <f t="shared" si="96"/>
        <v>2957</v>
      </c>
      <c r="N699" s="172">
        <f>+SUM(N85:N87)+SUM(N171:N174)+SUM(N301:N304)+N395+N433+SUM(N478:N479)+N532+N567+N615+SUM(N650:N651)</f>
        <v>432</v>
      </c>
      <c r="O699" s="172">
        <f>+SUM(O85:O87)+SUM(O171:O174)+SUM(O301:O304)+O395+O433+SUM(O478:O479)+O532+O567+O615+SUM(O650:O651)</f>
        <v>1901</v>
      </c>
      <c r="P699" s="172">
        <f>+SUM(P85:P87)+SUM(P171:P174)+SUM(P301:P304)+P395+P433+SUM(P478:P479)+P532+P567+P615+SUM(P650:P651)</f>
        <v>8</v>
      </c>
      <c r="Q699" s="38">
        <f t="shared" si="97"/>
        <v>2341</v>
      </c>
      <c r="R699" s="38">
        <f t="shared" si="98"/>
        <v>24246</v>
      </c>
    </row>
    <row r="700" spans="1:18" ht="15.75" customHeight="1" x14ac:dyDescent="0.3">
      <c r="A700" s="234" t="s">
        <v>2297</v>
      </c>
      <c r="B700" s="172">
        <f>+B249+B371+B372</f>
        <v>0</v>
      </c>
      <c r="C700" s="172">
        <f>+C249+C371+C372</f>
        <v>1000</v>
      </c>
      <c r="D700" s="172">
        <f>+D249+D371+D372</f>
        <v>0</v>
      </c>
      <c r="E700" s="38">
        <f t="shared" si="94"/>
        <v>1000</v>
      </c>
      <c r="F700" s="172">
        <f>+F249+F371+F372</f>
        <v>0</v>
      </c>
      <c r="G700" s="172">
        <f>+G249+G371+G372</f>
        <v>0</v>
      </c>
      <c r="H700" s="172">
        <f>+H249+H371+H372</f>
        <v>0</v>
      </c>
      <c r="I700" s="38">
        <f t="shared" si="95"/>
        <v>0</v>
      </c>
      <c r="J700" s="172">
        <f>+J249+J371+J372</f>
        <v>0</v>
      </c>
      <c r="K700" s="172">
        <f>+K249+K371+K372</f>
        <v>0</v>
      </c>
      <c r="L700" s="172">
        <f>+L249+L371+L372</f>
        <v>1500</v>
      </c>
      <c r="M700" s="38">
        <f t="shared" si="96"/>
        <v>1500</v>
      </c>
      <c r="N700" s="172">
        <f>+N249+N371+N372</f>
        <v>500</v>
      </c>
      <c r="O700" s="172">
        <f>+O249+O371+O372</f>
        <v>0</v>
      </c>
      <c r="P700" s="172">
        <f>+P249+P371+P372</f>
        <v>0</v>
      </c>
      <c r="Q700" s="38">
        <f t="shared" si="97"/>
        <v>500</v>
      </c>
      <c r="R700" s="38">
        <f t="shared" si="98"/>
        <v>3000</v>
      </c>
    </row>
    <row r="701" spans="1:18" ht="15.75" customHeight="1" x14ac:dyDescent="0.3">
      <c r="A701" s="234" t="s">
        <v>2163</v>
      </c>
      <c r="B701" s="172">
        <f>+B250</f>
        <v>90</v>
      </c>
      <c r="C701" s="172">
        <f>+C250</f>
        <v>92</v>
      </c>
      <c r="D701" s="172">
        <f>+D250</f>
        <v>188</v>
      </c>
      <c r="E701" s="38">
        <f t="shared" si="94"/>
        <v>370</v>
      </c>
      <c r="F701" s="172">
        <f>+F250</f>
        <v>133</v>
      </c>
      <c r="G701" s="172">
        <f>+G250</f>
        <v>132</v>
      </c>
      <c r="H701" s="172">
        <f>+H250</f>
        <v>278</v>
      </c>
      <c r="I701" s="38">
        <f t="shared" si="95"/>
        <v>543</v>
      </c>
      <c r="J701" s="172">
        <f>+J250</f>
        <v>257</v>
      </c>
      <c r="K701" s="172">
        <f>+K250</f>
        <v>198</v>
      </c>
      <c r="L701" s="172">
        <f>+L250</f>
        <v>252</v>
      </c>
      <c r="M701" s="38">
        <f t="shared" si="96"/>
        <v>707</v>
      </c>
      <c r="N701" s="172">
        <f>+N250</f>
        <v>235</v>
      </c>
      <c r="O701" s="172">
        <f>+O250</f>
        <v>196</v>
      </c>
      <c r="P701" s="172">
        <f>+P250</f>
        <v>77</v>
      </c>
      <c r="Q701" s="38">
        <f t="shared" si="97"/>
        <v>508</v>
      </c>
      <c r="R701" s="38">
        <f t="shared" si="98"/>
        <v>2128</v>
      </c>
    </row>
    <row r="702" spans="1:18" ht="15.75" customHeight="1" thickBot="1" x14ac:dyDescent="0.35">
      <c r="A702" s="234" t="s">
        <v>2164</v>
      </c>
      <c r="B702" s="172">
        <f>+B88+B396+B434+B480+B533+B568+B616+B652</f>
        <v>0</v>
      </c>
      <c r="C702" s="172">
        <f>+C88+C396+C434+C480+C533+C568+C616+C652</f>
        <v>0</v>
      </c>
      <c r="D702" s="172">
        <f>+D88+D396+D434+D480+D533+D568+D616+D652</f>
        <v>0</v>
      </c>
      <c r="E702" s="38">
        <f t="shared" si="94"/>
        <v>0</v>
      </c>
      <c r="F702" s="172">
        <f>+F88+F396+F434+F480+F533+F568+F616+F652</f>
        <v>0</v>
      </c>
      <c r="G702" s="172">
        <f>+G88+G396+G434+G480+G533+G568+G616+G652</f>
        <v>0</v>
      </c>
      <c r="H702" s="172">
        <f>+H88+H396+H434+H480+H533+H568+H616+H652</f>
        <v>0</v>
      </c>
      <c r="I702" s="38">
        <f t="shared" si="95"/>
        <v>0</v>
      </c>
      <c r="J702" s="172">
        <f>+J88+J396+J434+J480+J533+J568+J616+J652</f>
        <v>0</v>
      </c>
      <c r="K702" s="172">
        <f>+K88+K396+K434+K480+K533+K568+K616+K652</f>
        <v>0</v>
      </c>
      <c r="L702" s="172">
        <f>+L88+L396+L434+L480+L533+L568+L616+L652</f>
        <v>0</v>
      </c>
      <c r="M702" s="38">
        <f t="shared" si="96"/>
        <v>0</v>
      </c>
      <c r="N702" s="172">
        <f>+N88+N396+N434+N480+N533+N568+N616+N652</f>
        <v>0</v>
      </c>
      <c r="O702" s="172">
        <f>+O88+O396+O434+O480+O533+O568+O616+O652</f>
        <v>0</v>
      </c>
      <c r="P702" s="172">
        <f>+P88+P396+P434+P480+P533+P568+P616+P652</f>
        <v>0</v>
      </c>
      <c r="Q702" s="38">
        <f t="shared" si="97"/>
        <v>0</v>
      </c>
      <c r="R702" s="38">
        <f t="shared" si="98"/>
        <v>0</v>
      </c>
    </row>
    <row r="703" spans="1:18" ht="15.75" customHeight="1" thickBot="1" x14ac:dyDescent="0.35">
      <c r="A703" s="43" t="s">
        <v>1218</v>
      </c>
      <c r="B703" s="45">
        <f>SUM(B696:B702)</f>
        <v>27048</v>
      </c>
      <c r="C703" s="46">
        <f>SUM(C696:C702)</f>
        <v>24274</v>
      </c>
      <c r="D703" s="46">
        <f>SUM(D696:D702)</f>
        <v>36398</v>
      </c>
      <c r="E703" s="37">
        <f t="shared" si="94"/>
        <v>87720</v>
      </c>
      <c r="F703" s="46">
        <f>SUM(F696:F702)</f>
        <v>44624</v>
      </c>
      <c r="G703" s="46">
        <f>SUM(G696:G702)</f>
        <v>40421</v>
      </c>
      <c r="H703" s="46">
        <f>SUM(H696:H702)</f>
        <v>64195</v>
      </c>
      <c r="I703" s="37">
        <f t="shared" si="95"/>
        <v>149240</v>
      </c>
      <c r="J703" s="46">
        <f>SUM(J696:J702)</f>
        <v>56920</v>
      </c>
      <c r="K703" s="46">
        <f>SUM(K696:K702)</f>
        <v>49341</v>
      </c>
      <c r="L703" s="46">
        <f>SUM(L696:L702)</f>
        <v>48545</v>
      </c>
      <c r="M703" s="37">
        <f t="shared" si="96"/>
        <v>154806</v>
      </c>
      <c r="N703" s="46">
        <f>SUM(N696:N702)</f>
        <v>44011</v>
      </c>
      <c r="O703" s="46">
        <f>SUM(O696:O702)</f>
        <v>38749</v>
      </c>
      <c r="P703" s="46">
        <f>SUM(P696:P702)</f>
        <v>28362</v>
      </c>
      <c r="Q703" s="37">
        <f t="shared" si="97"/>
        <v>111122</v>
      </c>
      <c r="R703" s="37">
        <f t="shared" si="98"/>
        <v>502888</v>
      </c>
    </row>
    <row r="704" spans="1:18" ht="15.75" customHeight="1" x14ac:dyDescent="0.3">
      <c r="A704" s="234" t="s">
        <v>1172</v>
      </c>
      <c r="B704" s="172"/>
      <c r="C704" s="172"/>
      <c r="D704" s="172"/>
      <c r="E704" s="38" t="s">
        <v>852</v>
      </c>
      <c r="F704" s="172"/>
      <c r="G704" s="172"/>
      <c r="H704" s="172"/>
      <c r="I704" s="38" t="s">
        <v>852</v>
      </c>
      <c r="J704" s="172"/>
      <c r="K704" s="172"/>
      <c r="L704" s="172"/>
      <c r="M704" s="38" t="s">
        <v>852</v>
      </c>
      <c r="N704" s="172"/>
      <c r="O704" s="172"/>
      <c r="P704" s="172"/>
      <c r="Q704" s="38" t="s">
        <v>852</v>
      </c>
      <c r="R704" s="38" t="s">
        <v>852</v>
      </c>
    </row>
    <row r="705" spans="1:18" ht="15.75" customHeight="1" x14ac:dyDescent="0.3">
      <c r="A705" s="234" t="s">
        <v>1658</v>
      </c>
      <c r="B705" s="172">
        <f>SUM(B45:B45)+SUM(B178:B178)+SUM(B91:B91)+SUM(B308:B308)</f>
        <v>0</v>
      </c>
      <c r="C705" s="172">
        <f>SUM(C45:C45)+SUM(C178:C178)+SUM(C91:C91)+SUM(C308:C308)</f>
        <v>0</v>
      </c>
      <c r="D705" s="172">
        <f>SUM(D45:D45)+SUM(D178:D178)+SUM(D91:D91)+SUM(D308:D308)</f>
        <v>0</v>
      </c>
      <c r="E705" s="38">
        <f>SUM(B705:D705)</f>
        <v>0</v>
      </c>
      <c r="F705" s="172">
        <f>SUM(F45:F45)+SUM(F178:F178)+SUM(F91:F91)+SUM(F308:F308)</f>
        <v>0</v>
      </c>
      <c r="G705" s="172">
        <f>SUM(G45:G45)+SUM(G178:G178)+SUM(G91:G91)+SUM(G308:G308)</f>
        <v>0</v>
      </c>
      <c r="H705" s="172">
        <f>SUM(H45:H45)+SUM(H178:H178)+SUM(H91:H91)+SUM(H308:H308)</f>
        <v>0</v>
      </c>
      <c r="I705" s="38">
        <f>SUM(F705:H705)</f>
        <v>0</v>
      </c>
      <c r="J705" s="172">
        <f>SUM(J45:J45)+SUM(J178:J178)+SUM(J91:J91)+SUM(J308:J308)</f>
        <v>0</v>
      </c>
      <c r="K705" s="172">
        <f>SUM(K45:K45)+SUM(K178:K178)+SUM(K91:K91)+SUM(K308:K308)</f>
        <v>0</v>
      </c>
      <c r="L705" s="172">
        <f>SUM(L45:L45)+SUM(L178:L178)+SUM(L91:L91)+SUM(L308:L308)</f>
        <v>0</v>
      </c>
      <c r="M705" s="38">
        <f>SUM(J705:L705)</f>
        <v>0</v>
      </c>
      <c r="N705" s="172">
        <f>SUM(N45:N45)+SUM(N178:N178)+SUM(N91:N91)+SUM(N308:N308)</f>
        <v>0</v>
      </c>
      <c r="O705" s="172">
        <f>SUM(O45:O45)+SUM(O178:O178)+SUM(O91:O91)+SUM(O308:O308)</f>
        <v>0</v>
      </c>
      <c r="P705" s="172">
        <f>SUM(P45:P45)+SUM(P178:P178)+SUM(P91:P91)+SUM(P308:P308)</f>
        <v>0</v>
      </c>
      <c r="Q705" s="38">
        <f>SUM(N705:P705)</f>
        <v>0</v>
      </c>
      <c r="R705" s="38">
        <f>+E705+I705+M705+Q705</f>
        <v>0</v>
      </c>
    </row>
    <row r="706" spans="1:18" ht="15.75" customHeight="1" x14ac:dyDescent="0.3">
      <c r="A706" s="234" t="s">
        <v>2409</v>
      </c>
      <c r="B706" s="172">
        <f>+SUM(B93:B94)+SUM(B179:B181)+SUM(B309:B317)+B400+SUM(B437:B439)+SUM(B483:B484)+SUM(B536:B536)+B571+B619+B655</f>
        <v>6492</v>
      </c>
      <c r="C706" s="172">
        <f>+SUM(C93:C94)+SUM(C179:C181)+SUM(C309:C317)+C400+SUM(C437:C439)+SUM(C483:C484)+SUM(C536:C536)+C571+C619+C655</f>
        <v>10535</v>
      </c>
      <c r="D706" s="172">
        <f>+SUM(D93:D94)+SUM(D179:D181)+SUM(D309:D317)+D400+SUM(D437:D439)+SUM(D483:D484)+SUM(D536:D536)+D571+D619+D655</f>
        <v>39349</v>
      </c>
      <c r="E706" s="38">
        <f>SUM(B706:D706)</f>
        <v>56376</v>
      </c>
      <c r="F706" s="172">
        <f>+SUM(F93:F94)+SUM(F179:F181)+SUM(F309:F317)+F400+SUM(F437:F439)+SUM(F483:F484)+SUM(F536:F536)+F571+F619+F655</f>
        <v>67844</v>
      </c>
      <c r="G706" s="172">
        <f>+SUM(G93:G94)+SUM(G179:G181)+SUM(G309:G317)+G400+SUM(G437:G439)+SUM(G483:G484)+SUM(G536:G536)+G571+G619+G655</f>
        <v>53705</v>
      </c>
      <c r="H706" s="172">
        <f>+SUM(H93:H94)+SUM(H179:H181)+SUM(H309:H317)+H400+SUM(H437:H439)+SUM(H483:H484)+SUM(H536:H536)+H571+H619+H655</f>
        <v>68268</v>
      </c>
      <c r="I706" s="38">
        <f>SUM(F706:H706)</f>
        <v>189817</v>
      </c>
      <c r="J706" s="172">
        <f>+SUM(J93:J94)+SUM(J179:J181)+SUM(J309:J317)+J400+SUM(J437:J439)+SUM(J483:J484)+SUM(J536:J536)+J571+J619+J655</f>
        <v>55702</v>
      </c>
      <c r="K706" s="172">
        <f>+SUM(K93:K94)+SUM(K179:K181)+SUM(K309:K317)+K400+SUM(K437:K439)+SUM(K483:K484)+SUM(K536:K536)+K571+K619+K655</f>
        <v>34708</v>
      </c>
      <c r="L706" s="172">
        <f>+SUM(L93:L94)+SUM(L179:L181)+SUM(L309:L317)+L400+SUM(L437:L439)+SUM(L483:L484)+SUM(L536:L536)+L571+L619+L655</f>
        <v>17993</v>
      </c>
      <c r="M706" s="38">
        <f>SUM(J706:L706)</f>
        <v>108403</v>
      </c>
      <c r="N706" s="172">
        <f>+SUM(N93:N94)+SUM(N179:N181)+SUM(N309:N317)+N400+SUM(N437:N439)+SUM(N483:N484)+SUM(N536:N536)+N571+N619+N655</f>
        <v>6463</v>
      </c>
      <c r="O706" s="172">
        <f>+SUM(O93:O94)+SUM(O179:O181)+SUM(O309:O317)+O400+SUM(O437:O439)+SUM(O483:O484)+SUM(O536:O536)+O571+O619+O655</f>
        <v>3860</v>
      </c>
      <c r="P706" s="172">
        <f>+SUM(P93:P94)+SUM(P179:P181)+SUM(P309:P317)+P400+SUM(P437:P439)+SUM(P483:P484)+SUM(P536:P536)+P571+P619+P655</f>
        <v>4139</v>
      </c>
      <c r="Q706" s="38">
        <f>SUM(N706:P706)</f>
        <v>14462</v>
      </c>
      <c r="R706" s="38">
        <f>+E706+I706+M706+Q706</f>
        <v>369058</v>
      </c>
    </row>
    <row r="707" spans="1:18" ht="15.75" customHeight="1" x14ac:dyDescent="0.3">
      <c r="A707" s="234" t="s">
        <v>2165</v>
      </c>
      <c r="B707" s="172">
        <f>+B95+B401+B440+B485+B537+B572+B620+B656</f>
        <v>0</v>
      </c>
      <c r="C707" s="172">
        <f>+C95+C401+C440+C485+C537+C572+C620+C656</f>
        <v>0</v>
      </c>
      <c r="D707" s="172">
        <f>+D95+D401+D440+D485+D537+D572+D620+D656</f>
        <v>0</v>
      </c>
      <c r="E707" s="38">
        <f>SUM(B707:D707)</f>
        <v>0</v>
      </c>
      <c r="F707" s="172">
        <f>+F95+F401+F440+F485+F537+F572+F620+F656</f>
        <v>0</v>
      </c>
      <c r="G707" s="172">
        <f>+G95+G401+G440+G485+G537+G572+G620+G656</f>
        <v>0</v>
      </c>
      <c r="H707" s="172">
        <f>+H95+H401+H440+H485+H537+H572+H620+H656</f>
        <v>0</v>
      </c>
      <c r="I707" s="38">
        <f>SUM(F707:H707)</f>
        <v>0</v>
      </c>
      <c r="J707" s="172">
        <f>+J95+J401+J440+J485+J537+J572+J620+J656</f>
        <v>0</v>
      </c>
      <c r="K707" s="172">
        <f>+K95+K401+K440+K485+K537+K572+K620+K656</f>
        <v>0</v>
      </c>
      <c r="L707" s="172">
        <f>+L95+L401+L440+L485+L537+L572+L620+L656</f>
        <v>0</v>
      </c>
      <c r="M707" s="38">
        <f>SUM(J707:L707)</f>
        <v>0</v>
      </c>
      <c r="N707" s="172">
        <f>+N95+N401+N440+N485+N537+N572+N620+N656</f>
        <v>0</v>
      </c>
      <c r="O707" s="172">
        <f>+O95+O401+O440+O485+O537+O572+O620+O656</f>
        <v>0</v>
      </c>
      <c r="P707" s="172">
        <f>+P95+P401+P440+P485+P537+P572+P620+P656</f>
        <v>0</v>
      </c>
      <c r="Q707" s="38">
        <f>SUM(N707:P707)</f>
        <v>0</v>
      </c>
      <c r="R707" s="38">
        <f>+E707+I707+M707+Q707</f>
        <v>0</v>
      </c>
    </row>
    <row r="708" spans="1:18" ht="15.75" customHeight="1" thickBot="1" x14ac:dyDescent="0.35">
      <c r="A708" s="234" t="s">
        <v>2160</v>
      </c>
      <c r="B708" s="172">
        <f>SUM(B319:B320)</f>
        <v>0</v>
      </c>
      <c r="C708" s="172">
        <f>SUM(C319:C320)</f>
        <v>2188</v>
      </c>
      <c r="D708" s="172">
        <f>SUM(D319:D320)</f>
        <v>6838</v>
      </c>
      <c r="E708" s="38">
        <f>SUM(B708:D708)</f>
        <v>9026</v>
      </c>
      <c r="F708" s="172">
        <f>SUM(F319:F320)</f>
        <v>0</v>
      </c>
      <c r="G708" s="172">
        <f>SUM(G319:G320)</f>
        <v>0</v>
      </c>
      <c r="H708" s="172">
        <f>SUM(H319:H320)</f>
        <v>0</v>
      </c>
      <c r="I708" s="38">
        <f>SUM(F708:H708)</f>
        <v>0</v>
      </c>
      <c r="J708" s="172">
        <f>SUM(J319:J320)</f>
        <v>0</v>
      </c>
      <c r="K708" s="172">
        <f>SUM(K319:K320)</f>
        <v>0</v>
      </c>
      <c r="L708" s="172">
        <f>SUM(L319:L320)</f>
        <v>0</v>
      </c>
      <c r="M708" s="38">
        <f>SUM(J708:L708)</f>
        <v>0</v>
      </c>
      <c r="N708" s="172">
        <f>SUM(N319:N320)</f>
        <v>0</v>
      </c>
      <c r="O708" s="172">
        <f>SUM(O319:O320)</f>
        <v>0</v>
      </c>
      <c r="P708" s="172">
        <f>SUM(P319:P320)</f>
        <v>0</v>
      </c>
      <c r="Q708" s="38">
        <f>SUM(N708:P708)</f>
        <v>0</v>
      </c>
      <c r="R708" s="38">
        <f>+E708+I708+M708+Q708</f>
        <v>9026</v>
      </c>
    </row>
    <row r="709" spans="1:18" ht="15.75" customHeight="1" thickBot="1" x14ac:dyDescent="0.35">
      <c r="A709" s="43" t="s">
        <v>1219</v>
      </c>
      <c r="B709" s="45">
        <f>SUM(B704:B708)</f>
        <v>6492</v>
      </c>
      <c r="C709" s="46">
        <f>SUM(C704:C708)</f>
        <v>12723</v>
      </c>
      <c r="D709" s="46">
        <f>SUM(D704:D708)</f>
        <v>46187</v>
      </c>
      <c r="E709" s="37">
        <f>SUM(B709:D709)</f>
        <v>65402</v>
      </c>
      <c r="F709" s="46">
        <f>SUM(F704:F708)</f>
        <v>67844</v>
      </c>
      <c r="G709" s="46">
        <f>SUM(G704:G708)</f>
        <v>53705</v>
      </c>
      <c r="H709" s="46">
        <f>SUM(H704:H708)</f>
        <v>68268</v>
      </c>
      <c r="I709" s="37">
        <f>SUM(F709:H709)</f>
        <v>189817</v>
      </c>
      <c r="J709" s="46">
        <f>SUM(J704:J708)</f>
        <v>55702</v>
      </c>
      <c r="K709" s="46">
        <f>SUM(K704:K708)</f>
        <v>34708</v>
      </c>
      <c r="L709" s="46">
        <f>SUM(L704:L708)</f>
        <v>17993</v>
      </c>
      <c r="M709" s="37">
        <f>SUM(J709:L709)</f>
        <v>108403</v>
      </c>
      <c r="N709" s="46">
        <f>SUM(N704:N708)</f>
        <v>6463</v>
      </c>
      <c r="O709" s="46">
        <f>SUM(O704:O708)</f>
        <v>3860</v>
      </c>
      <c r="P709" s="46">
        <f>SUM(P704:P708)</f>
        <v>4139</v>
      </c>
      <c r="Q709" s="37">
        <f>SUM(N709:P709)</f>
        <v>14462</v>
      </c>
      <c r="R709" s="37">
        <f>+E709+I709+M709+Q709</f>
        <v>378084</v>
      </c>
    </row>
    <row r="710" spans="1:18" ht="15.75" customHeight="1" x14ac:dyDescent="0.3">
      <c r="A710" s="234" t="s">
        <v>2166</v>
      </c>
      <c r="B710" s="172"/>
      <c r="C710" s="172"/>
      <c r="D710" s="172"/>
      <c r="E710" s="38" t="s">
        <v>852</v>
      </c>
      <c r="F710" s="172"/>
      <c r="G710" s="172"/>
      <c r="H710" s="172"/>
      <c r="I710" s="38" t="s">
        <v>852</v>
      </c>
      <c r="J710" s="172"/>
      <c r="K710" s="172"/>
      <c r="L710" s="172"/>
      <c r="M710" s="38" t="s">
        <v>852</v>
      </c>
      <c r="N710" s="172"/>
      <c r="O710" s="172"/>
      <c r="P710" s="172"/>
      <c r="Q710" s="38" t="s">
        <v>852</v>
      </c>
      <c r="R710" s="38" t="s">
        <v>852</v>
      </c>
    </row>
    <row r="711" spans="1:18" ht="15.75" customHeight="1" x14ac:dyDescent="0.3">
      <c r="A711" s="234" t="s">
        <v>1245</v>
      </c>
      <c r="B711" s="172">
        <f>+B98+B185+SUM(B323:B325)+B404+B443+B488+B540+SUM(B575:B576)+B623+SUM(B659:B660)</f>
        <v>5017</v>
      </c>
      <c r="C711" s="172">
        <f>+C98+C185+SUM(C323:C325)+C404+C443+C488+C540+SUM(C575:C576)+C623+SUM(C659:C660)</f>
        <v>4030</v>
      </c>
      <c r="D711" s="172">
        <f>+D98+D185+SUM(D323:D325)+D404+D443+D488+D540+SUM(D575:D576)+D623+SUM(D659:D660)</f>
        <v>12551</v>
      </c>
      <c r="E711" s="38">
        <f>SUM(B711:D711)</f>
        <v>21598</v>
      </c>
      <c r="F711" s="172">
        <f>+F98+F185+SUM(F323:F325)+F404+F443+F488+F540+SUM(F575:F576)+F623+SUM(F659:F660)</f>
        <v>14680</v>
      </c>
      <c r="G711" s="172">
        <f>+G98+G185+SUM(G323:G325)+G404+G443+G488+G540+SUM(G575:G576)+G623+SUM(G659:G660)</f>
        <v>11242</v>
      </c>
      <c r="H711" s="172">
        <f>+H98+H185+SUM(H323:H325)+H404+H443+H488+H540+SUM(H575:H576)+H623+SUM(H659:H660)</f>
        <v>14319</v>
      </c>
      <c r="I711" s="38">
        <f>SUM(F711:H711)</f>
        <v>40241</v>
      </c>
      <c r="J711" s="172">
        <f>+J98+J185+SUM(J323:J325)+J404+J443+J488+J540+SUM(J575:J576)+J623+SUM(J659:J660)</f>
        <v>10760</v>
      </c>
      <c r="K711" s="172">
        <f>+K98+K185+SUM(K323:K325)+K404+K443+K488+K540+SUM(K575:K576)+K623+SUM(K659:K660)</f>
        <v>12072</v>
      </c>
      <c r="L711" s="172">
        <f>+L98+L185+SUM(L323:L325)+L404+L443+L488+L540+SUM(L575:L576)+L623+SUM(L659:L660)</f>
        <v>7004</v>
      </c>
      <c r="M711" s="38">
        <f>SUM(J711:L711)</f>
        <v>29836</v>
      </c>
      <c r="N711" s="172">
        <f>+N98+N185+SUM(N323:N325)+N404+N443+N488+N540+SUM(N575:N576)+N623+SUM(N659:N660)</f>
        <v>4338</v>
      </c>
      <c r="O711" s="172">
        <f>+O98+O185+SUM(O323:O325)+O404+O443+O488+O540+SUM(O575:O576)+O623+SUM(O659:O660)</f>
        <v>2053</v>
      </c>
      <c r="P711" s="172">
        <f>+P98+P185+SUM(P323:P325)+P404+P443+P488+P540+SUM(P575:P576)+P623+SUM(P659:P660)</f>
        <v>2222</v>
      </c>
      <c r="Q711" s="38">
        <f>SUM(N711:P711)</f>
        <v>8613</v>
      </c>
      <c r="R711" s="38">
        <f>+E711+I711+M711+Q711</f>
        <v>100288</v>
      </c>
    </row>
    <row r="712" spans="1:18" ht="15.75" customHeight="1" thickBot="1" x14ac:dyDescent="0.35">
      <c r="A712" s="234" t="s">
        <v>1711</v>
      </c>
      <c r="B712" s="172">
        <f>+B51+SUM(B99:B107)+SUM(B186:B220)+SUM(B326:B341)+B405+B444+B489+B541+B577+B624+SUM(B661:B661)</f>
        <v>9958</v>
      </c>
      <c r="C712" s="172">
        <f>+C51+SUM(C99:C107)+SUM(C186:C220)+SUM(C326:C341)+C405+C444+C489+C541+C577+C624+SUM(C661:C661)</f>
        <v>7689</v>
      </c>
      <c r="D712" s="172">
        <f>+D51+SUM(D99:D107)+SUM(D186:D220)+SUM(D326:D341)+D405+D444+D489+D541+D577+D624+SUM(D661:D661)</f>
        <v>13829</v>
      </c>
      <c r="E712" s="38">
        <f>SUM(B712:D712)</f>
        <v>31476</v>
      </c>
      <c r="F712" s="172">
        <f>+F51+SUM(F99:F107)+SUM(F186:F220)+SUM(F326:F341)+F405+F444+F489+F541+F577+F624+SUM(F661:F661)</f>
        <v>15753</v>
      </c>
      <c r="G712" s="172">
        <f>+G51+SUM(G99:G107)+SUM(G186:G220)+SUM(G326:G341)+G405+G444+G489+G541+G577+G624+SUM(G661:G661)</f>
        <v>22038</v>
      </c>
      <c r="H712" s="172">
        <f>+H51+SUM(H99:H107)+SUM(H186:H220)+SUM(H326:H341)+H405+H444+H489+H541+H577+H624+SUM(H661:H661)</f>
        <v>4353</v>
      </c>
      <c r="I712" s="38">
        <f>SUM(F712:H712)</f>
        <v>42144</v>
      </c>
      <c r="J712" s="172">
        <f>+J51+SUM(J99:J107)+SUM(J186:J220)+SUM(J326:J341)+J405+J444+J489+J541+J577+J624+SUM(J661:J661)</f>
        <v>4311</v>
      </c>
      <c r="K712" s="172">
        <f>+K51+SUM(K99:K107)+SUM(K186:K220)+SUM(K326:K341)+K405+K444+K489+K541+K577+K624+SUM(K661:K661)</f>
        <v>2733</v>
      </c>
      <c r="L712" s="172">
        <f>+L51+SUM(L99:L107)+SUM(L186:L220)+SUM(L326:L341)+L405+L444+L489+L541+L577+L624+SUM(L661:L661)</f>
        <v>3988</v>
      </c>
      <c r="M712" s="38">
        <f>SUM(J712:L712)</f>
        <v>11032</v>
      </c>
      <c r="N712" s="172">
        <f>+N51+SUM(N99:N107)+SUM(N186:N220)+SUM(N326:N341)+N405+N444+N489+N541+N577+N624+SUM(N661:N661)</f>
        <v>4692</v>
      </c>
      <c r="O712" s="172">
        <f>+O51+SUM(O99:O107)+SUM(O186:O220)+SUM(O326:O341)+O405+O444+O489+O541+O577+O624+SUM(O661:O661)</f>
        <v>2367</v>
      </c>
      <c r="P712" s="172">
        <f>+P51+SUM(P99:P107)+SUM(P186:P220)+SUM(P326:P341)+P405+P444+P489+P541+P577+P624+SUM(P661:P661)</f>
        <v>337</v>
      </c>
      <c r="Q712" s="38">
        <f>SUM(N712:P712)</f>
        <v>7396</v>
      </c>
      <c r="R712" s="38">
        <f>+E712+I712+M712+Q712</f>
        <v>92048</v>
      </c>
    </row>
    <row r="713" spans="1:18" ht="15.75" customHeight="1" thickBot="1" x14ac:dyDescent="0.35">
      <c r="A713" s="43" t="s">
        <v>1220</v>
      </c>
      <c r="B713" s="45">
        <f>SUM(B710:B712)</f>
        <v>14975</v>
      </c>
      <c r="C713" s="46">
        <f>SUM(C710:C712)</f>
        <v>11719</v>
      </c>
      <c r="D713" s="46">
        <f>SUM(D710:D712)</f>
        <v>26380</v>
      </c>
      <c r="E713" s="37">
        <f>SUM(B713:D713)</f>
        <v>53074</v>
      </c>
      <c r="F713" s="46">
        <f>SUM(F710:F712)</f>
        <v>30433</v>
      </c>
      <c r="G713" s="46">
        <f>SUM(G710:G712)</f>
        <v>33280</v>
      </c>
      <c r="H713" s="46">
        <f>SUM(H710:H712)</f>
        <v>18672</v>
      </c>
      <c r="I713" s="37">
        <f>SUM(F713:H713)</f>
        <v>82385</v>
      </c>
      <c r="J713" s="46">
        <f>SUM(J710:J712)</f>
        <v>15071</v>
      </c>
      <c r="K713" s="46">
        <f>SUM(K710:K712)</f>
        <v>14805</v>
      </c>
      <c r="L713" s="46">
        <f>SUM(L710:L712)</f>
        <v>10992</v>
      </c>
      <c r="M713" s="37">
        <f>SUM(J713:L713)</f>
        <v>40868</v>
      </c>
      <c r="N713" s="46">
        <f>SUM(N710:N712)</f>
        <v>9030</v>
      </c>
      <c r="O713" s="46">
        <f>SUM(O710:O712)</f>
        <v>4420</v>
      </c>
      <c r="P713" s="46">
        <f>SUM(P710:P712)</f>
        <v>2559</v>
      </c>
      <c r="Q713" s="37">
        <f>SUM(N713:P713)</f>
        <v>16009</v>
      </c>
      <c r="R713" s="37">
        <f>+E713+I713+M713+Q713</f>
        <v>192336</v>
      </c>
    </row>
    <row r="714" spans="1:18" ht="15.75" customHeight="1" x14ac:dyDescent="0.3">
      <c r="A714" s="234" t="s">
        <v>1712</v>
      </c>
      <c r="B714" s="172"/>
      <c r="C714" s="172"/>
      <c r="D714" s="172"/>
      <c r="E714" s="38" t="s">
        <v>852</v>
      </c>
      <c r="F714" s="172"/>
      <c r="G714" s="172"/>
      <c r="H714" s="172"/>
      <c r="I714" s="38" t="s">
        <v>852</v>
      </c>
      <c r="J714" s="172"/>
      <c r="K714" s="172"/>
      <c r="L714" s="172"/>
      <c r="M714" s="38" t="s">
        <v>852</v>
      </c>
      <c r="N714" s="172"/>
      <c r="O714" s="172"/>
      <c r="P714" s="172"/>
      <c r="Q714" s="38" t="s">
        <v>852</v>
      </c>
      <c r="R714" s="38" t="s">
        <v>852</v>
      </c>
    </row>
    <row r="715" spans="1:18" ht="15.75" customHeight="1" x14ac:dyDescent="0.3">
      <c r="A715" s="234" t="s">
        <v>556</v>
      </c>
      <c r="B715" s="172">
        <f>+B55+SUM(B110:B118)+SUM(B223:B229)+SUM(B344:B346)+SUM(B408:B409)+B447+SUM(B492:B495)+SUM(B580:B580)+B627+SUM(B664:B668)</f>
        <v>7226</v>
      </c>
      <c r="C715" s="172">
        <f>+C55+SUM(C110:C118)+SUM(C223:C229)+SUM(C344:C346)+SUM(C408:C409)+C447+SUM(C492:C495)+SUM(C580:C580)+C627+SUM(C664:C668)</f>
        <v>8908</v>
      </c>
      <c r="D715" s="172">
        <f>+D55+SUM(D110:D118)+SUM(D223:D229)+SUM(D344:D346)+SUM(D408:D409)+D447+SUM(D492:D495)+SUM(D580:D580)+D627+SUM(D664:D668)</f>
        <v>13358</v>
      </c>
      <c r="E715" s="38">
        <f t="shared" ref="E715:E723" si="99">SUM(B715:D715)</f>
        <v>29492</v>
      </c>
      <c r="F715" s="172">
        <f>+F55+SUM(F110:F118)+SUM(F223:F229)+SUM(F344:F346)+SUM(F408:F409)+F447+SUM(F492:F495)+SUM(F580:F580)+F627+SUM(F664:F668)</f>
        <v>11458</v>
      </c>
      <c r="G715" s="172">
        <f>+G55+SUM(G110:G118)+SUM(G223:G229)+SUM(G344:G346)+SUM(G408:G409)+G447+SUM(G492:G495)+SUM(G580:G580)+G627+SUM(G664:G668)</f>
        <v>9212</v>
      </c>
      <c r="H715" s="172">
        <f>+H55+SUM(H110:H118)+SUM(H223:H229)+SUM(H344:H346)+SUM(H408:H409)+H447+SUM(H492:H495)+SUM(H580:H580)+H627+SUM(H664:H668)</f>
        <v>5472</v>
      </c>
      <c r="I715" s="38">
        <f t="shared" ref="I715:I723" si="100">SUM(F715:H715)</f>
        <v>26142</v>
      </c>
      <c r="J715" s="172">
        <f>+J55+SUM(J110:J118)+SUM(J223:J229)+SUM(J344:J346)+SUM(J408:J409)+J447+SUM(J492:J495)+SUM(J580:J580)+J627+SUM(J664:J668)</f>
        <v>2944</v>
      </c>
      <c r="K715" s="172">
        <f>+K55+SUM(K110:K118)+SUM(K223:K229)+SUM(K344:K346)+SUM(K408:K409)+K447+SUM(K492:K495)+SUM(K580:K580)+K627+SUM(K664:K668)</f>
        <v>12826</v>
      </c>
      <c r="L715" s="172">
        <f>+L55+SUM(L110:L118)+SUM(L223:L229)+SUM(L344:L346)+SUM(L408:L409)+L447+SUM(L492:L495)+SUM(L580:L580)+L627+SUM(L664:L668)</f>
        <v>11489</v>
      </c>
      <c r="M715" s="38">
        <f t="shared" ref="M715:M723" si="101">SUM(J715:L715)</f>
        <v>27259</v>
      </c>
      <c r="N715" s="172">
        <f>+N55+SUM(N110:N118)+SUM(N223:N229)+SUM(N344:N346)+SUM(N408:N409)+N447+SUM(N492:N495)+SUM(N580:N580)+N627+SUM(N664:N668)</f>
        <v>10693</v>
      </c>
      <c r="O715" s="172">
        <f>+O55+SUM(O110:O118)+SUM(O223:O229)+SUM(O344:O346)+SUM(O408:O409)+O447+SUM(O492:O495)+SUM(O580:O580)+O627+SUM(O664:O668)</f>
        <v>3364</v>
      </c>
      <c r="P715" s="172">
        <f>+P55+SUM(P110:P118)+SUM(P223:P229)+SUM(P344:P346)+SUM(P408:P409)+P447+SUM(P492:P495)+SUM(P580:P580)+P627+SUM(P664:P668)</f>
        <v>2182</v>
      </c>
      <c r="Q715" s="38">
        <f t="shared" ref="Q715:Q723" si="102">SUM(N715:P715)</f>
        <v>16239</v>
      </c>
      <c r="R715" s="38">
        <f t="shared" ref="R715:R723" si="103">+E715+I715+M715+Q715</f>
        <v>99132</v>
      </c>
    </row>
    <row r="716" spans="1:18" ht="15.75" customHeight="1" x14ac:dyDescent="0.3">
      <c r="A716" s="234" t="s">
        <v>557</v>
      </c>
      <c r="B716" s="172">
        <f>SUM(B56:B57)+SUM(B119:B120)+SUM(B230:B231)+B233+B235+B237+B238+SUM(B347:B349)+B410+B448+SUM(B496:B497)+B499+SUM(B545:B546)+B582+B584+B628+SUM(B669:B670)</f>
        <v>5456</v>
      </c>
      <c r="C716" s="172">
        <f>SUM(C56:C57)+SUM(C119:C120)+SUM(C230:C231)+C233+C235+C237+C238+SUM(C347:C349)+C410+C448+SUM(C496:C497)+C499+SUM(C545:C546)+C582+C584+C628+SUM(C669:C670)</f>
        <v>3678</v>
      </c>
      <c r="D716" s="172">
        <f>SUM(D56:D57)+SUM(D119:D120)+SUM(D230:D231)+D233+D235+D237+D238+SUM(D347:D349)+D410+D448+SUM(D496:D497)+D499+SUM(D545:D546)+D582+D584+D628+SUM(D669:D670)</f>
        <v>4340</v>
      </c>
      <c r="E716" s="38">
        <f t="shared" si="99"/>
        <v>13474</v>
      </c>
      <c r="F716" s="172">
        <f>SUM(F56:F57)+SUM(F119:F120)+SUM(F230:F231)+F233+F235+F237+F238+SUM(F347:F349)+F410+F448+SUM(F496:F497)+F499+SUM(F545:F546)+F582+F584+F628+SUM(F669:F670)</f>
        <v>2911</v>
      </c>
      <c r="G716" s="172">
        <f>SUM(G56:G57)+SUM(G119:G120)+SUM(G230:G231)+G233+G235+G237+G238+SUM(G347:G349)+G410+G448+SUM(G496:G497)+G499+SUM(G545:G546)+G582+G584+G628+SUM(G669:G670)</f>
        <v>5357</v>
      </c>
      <c r="H716" s="172">
        <f>SUM(H56:H57)+SUM(H119:H120)+SUM(H230:H231)+H233+H235+H237+H238+SUM(H347:H349)+H410+H448+SUM(H496:H497)+H499+SUM(H545:H546)+H582+H584+H628+SUM(H669:H670)</f>
        <v>4429</v>
      </c>
      <c r="I716" s="38">
        <f t="shared" si="100"/>
        <v>12697</v>
      </c>
      <c r="J716" s="172">
        <f>SUM(J56:J57)+SUM(J119:J120)+SUM(J230:J231)+J233+J235+J237+J238+SUM(J347:J349)+J410+J448+SUM(J496:J497)+J499+SUM(J545:J546)+J582+J584+J628+SUM(J669:J670)</f>
        <v>6708</v>
      </c>
      <c r="K716" s="172">
        <f>SUM(K56:K57)+SUM(K119:K120)+SUM(K230:K231)+K233+K235+K237+K238+SUM(K347:K349)+K410+K448+SUM(K496:K497)+K499+SUM(K545:K546)+K582+K584+K628+SUM(K669:K670)</f>
        <v>5859</v>
      </c>
      <c r="L716" s="172">
        <f>SUM(L56:L57)+SUM(L119:L120)+SUM(L230:L231)+L233+L235+L237+L238+SUM(L347:L349)+L410+L448+SUM(L496:L497)+L499+SUM(L545:L546)+L582+L584+L628+SUM(L669:L670)</f>
        <v>4298</v>
      </c>
      <c r="M716" s="38">
        <f t="shared" si="101"/>
        <v>16865</v>
      </c>
      <c r="N716" s="172">
        <f>SUM(N56:N57)+SUM(N119:N120)+SUM(N230:N231)+N233+N235+N237+N238+SUM(N347:N349)+N410+N448+SUM(N496:N497)+N499+SUM(N545:N546)+N582+N584+N628+SUM(N669:N670)</f>
        <v>3376</v>
      </c>
      <c r="O716" s="172">
        <f>SUM(O56:O57)+SUM(O119:O120)+SUM(O230:O231)+O233+O235+O237+O238+SUM(O347:O349)+O410+O448+SUM(O496:O497)+O499+SUM(O545:O546)+O582+O584+O628+SUM(O669:O670)</f>
        <v>8492</v>
      </c>
      <c r="P716" s="172">
        <f>SUM(P56:P57)+SUM(P119:P120)+SUM(P230:P231)+P233+P235+P237+P238+SUM(P347:P349)+P410+P448+SUM(P496:P497)+P499+SUM(P545:P546)+P582+P584+P628+SUM(P669:P670)</f>
        <v>21122</v>
      </c>
      <c r="Q716" s="38">
        <f t="shared" si="102"/>
        <v>32990</v>
      </c>
      <c r="R716" s="38">
        <f t="shared" si="103"/>
        <v>76026</v>
      </c>
    </row>
    <row r="717" spans="1:18" ht="15.75" customHeight="1" x14ac:dyDescent="0.3">
      <c r="A717" s="266" t="s">
        <v>614</v>
      </c>
      <c r="B717" s="172">
        <f>B121+B232+B234+B236+B498+B500+B583+B585+B671</f>
        <v>0</v>
      </c>
      <c r="C717" s="172">
        <f>C121+C232+C234+C236+C498+C500+C583+C585+C671</f>
        <v>0</v>
      </c>
      <c r="D717" s="172">
        <f>D121+D232+D234+D236+D498+D500+D583+D585+D671</f>
        <v>0</v>
      </c>
      <c r="E717" s="38">
        <f t="shared" si="99"/>
        <v>0</v>
      </c>
      <c r="F717" s="172">
        <f>F121+F232+F234+F236+F498+F500+F583+F585+F671</f>
        <v>0</v>
      </c>
      <c r="G717" s="172">
        <f>G121+G232+G234+G236+G498+G500+G583+G585+G671</f>
        <v>0</v>
      </c>
      <c r="H717" s="172">
        <f>H121+H232+H234+H236+H498+H500+H583+H585+H671</f>
        <v>0</v>
      </c>
      <c r="I717" s="38">
        <f t="shared" si="100"/>
        <v>0</v>
      </c>
      <c r="J717" s="172">
        <f>J121+J232+J234+J236+J498+J500+J583+J585+J671</f>
        <v>0</v>
      </c>
      <c r="K717" s="172">
        <f>K121+K232+K234+K236+K498+K500+K583+K585+K671</f>
        <v>0</v>
      </c>
      <c r="L717" s="172">
        <f>L121+L232+L234+L236+L498+L500+L583+L585+L671</f>
        <v>0</v>
      </c>
      <c r="M717" s="38">
        <f t="shared" si="101"/>
        <v>0</v>
      </c>
      <c r="N717" s="172">
        <f>N121+N232+N234+N236+N498+N500+N583+N585+N671</f>
        <v>0</v>
      </c>
      <c r="O717" s="172">
        <f>O121+O232+O234+O236+O498+O500+O583+O585+O671</f>
        <v>0</v>
      </c>
      <c r="P717" s="172">
        <f>P121+P232+P234+P236+P498+P500+P583+P585+P671</f>
        <v>0</v>
      </c>
      <c r="Q717" s="38">
        <f t="shared" si="102"/>
        <v>0</v>
      </c>
      <c r="R717" s="38">
        <f t="shared" si="103"/>
        <v>0</v>
      </c>
    </row>
    <row r="718" spans="1:18" ht="15.75" customHeight="1" x14ac:dyDescent="0.3">
      <c r="A718" s="234" t="s">
        <v>558</v>
      </c>
      <c r="B718" s="172">
        <f>+SUM(B122:B123)+SUM(B239:B242)+SUM(B350:B357)+B411+SUM(B449:B452)+SUM(B501:B502)+SUM(B547:B547)+B586+B672</f>
        <v>637</v>
      </c>
      <c r="C718" s="172">
        <f>+SUM(C122:C123)+SUM(C239:C242)+SUM(C350:C357)+C411+SUM(C449:C452)+SUM(C501:C502)+SUM(C547:C547)+C586+C672</f>
        <v>0</v>
      </c>
      <c r="D718" s="172">
        <f>+SUM(D122:D123)+SUM(D239:D242)+SUM(D350:D357)+D411+SUM(D449:D452)+SUM(D501:D502)+SUM(D547:D547)+D586+D672</f>
        <v>4378</v>
      </c>
      <c r="E718" s="38">
        <f t="shared" si="99"/>
        <v>5015</v>
      </c>
      <c r="F718" s="172">
        <f>+SUM(F122:F123)+SUM(F239:F242)+SUM(F350:F357)+F411+SUM(F449:F452)+SUM(F501:F502)+SUM(F547:F547)+F586+F672</f>
        <v>8057</v>
      </c>
      <c r="G718" s="172">
        <f>+SUM(G122:G123)+SUM(G239:G242)+SUM(G350:G357)+G411+SUM(G449:G452)+SUM(G501:G502)+SUM(G547:G547)+G586+G672</f>
        <v>9412</v>
      </c>
      <c r="H718" s="172">
        <f>+SUM(H122:H123)+SUM(H239:H242)+SUM(H350:H357)+H411+SUM(H449:H452)+SUM(H501:H502)+SUM(H547:H547)+H586+H672</f>
        <v>13748</v>
      </c>
      <c r="I718" s="38">
        <f t="shared" si="100"/>
        <v>31217</v>
      </c>
      <c r="J718" s="172">
        <f>+SUM(J122:J123)+SUM(J239:J242)+SUM(J350:J357)+J411+SUM(J449:J452)+SUM(J501:J502)+SUM(J547:J547)+J586+J672</f>
        <v>25436</v>
      </c>
      <c r="K718" s="172">
        <f>+SUM(K122:K123)+SUM(K239:K242)+SUM(K350:K357)+K411+SUM(K449:K452)+SUM(K501:K502)+SUM(K547:K547)+K586+K672</f>
        <v>29665</v>
      </c>
      <c r="L718" s="172">
        <f>+SUM(L122:L123)+SUM(L239:L242)+SUM(L350:L357)+L411+SUM(L449:L452)+SUM(L501:L502)+SUM(L547:L547)+L586+L672</f>
        <v>18643</v>
      </c>
      <c r="M718" s="38">
        <f t="shared" si="101"/>
        <v>73744</v>
      </c>
      <c r="N718" s="172">
        <f>+SUM(N122:N123)+SUM(N239:N242)+SUM(N350:N357)+N411+SUM(N449:N452)+SUM(N501:N502)+SUM(N547:N547)+N586+N672</f>
        <v>14606</v>
      </c>
      <c r="O718" s="172">
        <f>+SUM(O122:O123)+SUM(O239:O242)+SUM(O350:O357)+O411+SUM(O449:O452)+SUM(O501:O502)+SUM(O547:O547)+O586+O672</f>
        <v>4336</v>
      </c>
      <c r="P718" s="172">
        <f>+SUM(P122:P123)+SUM(P239:P242)+SUM(P350:P357)+P411+SUM(P449:P452)+SUM(P501:P502)+SUM(P547:P547)+P586+P672</f>
        <v>2234</v>
      </c>
      <c r="Q718" s="38">
        <f t="shared" si="102"/>
        <v>21176</v>
      </c>
      <c r="R718" s="38">
        <f t="shared" si="103"/>
        <v>131152</v>
      </c>
    </row>
    <row r="719" spans="1:18" ht="15.75" customHeight="1" x14ac:dyDescent="0.3">
      <c r="A719" s="234" t="s">
        <v>559</v>
      </c>
      <c r="B719" s="172">
        <f>SUM(B124:B125)+SUM(B243:B243)+B359+B361+B362+B363+B365+B367+SUM(B412:B413)+B454+B503+B548+B587+B630+B673</f>
        <v>2418</v>
      </c>
      <c r="C719" s="172">
        <f>SUM(C124:C125)+SUM(C243:C243)+C359+C361+C362+C363+C365+C367+SUM(C412:C413)+C454+C503+C548+C587+C630+C673</f>
        <v>5395</v>
      </c>
      <c r="D719" s="172">
        <f>SUM(D124:D125)+SUM(D243:D243)+D359+D361+D362+D363+D365+D367+SUM(D412:D413)+D454+D503+D548+D587+D630+D673</f>
        <v>8024</v>
      </c>
      <c r="E719" s="38">
        <f t="shared" si="99"/>
        <v>15837</v>
      </c>
      <c r="F719" s="172">
        <f>SUM(F124:F125)+SUM(F243:F243)+F359+F361+F362+F363+F365+F367+SUM(F412:F413)+F454+F503+F548+F587+F630+F673</f>
        <v>5700</v>
      </c>
      <c r="G719" s="172">
        <f>SUM(G124:G125)+SUM(G243:G243)+G359+G361+G362+G363+G365+G367+SUM(G412:G413)+G454+G503+G548+G587+G630+G673</f>
        <v>3100</v>
      </c>
      <c r="H719" s="172">
        <f>SUM(H124:H125)+SUM(H243:H243)+H359+H361+H362+H363+H365+H367+SUM(H412:H413)+H454+H503+H548+H587+H630+H673</f>
        <v>6315</v>
      </c>
      <c r="I719" s="38">
        <f t="shared" si="100"/>
        <v>15115</v>
      </c>
      <c r="J719" s="172">
        <f>SUM(J124:J125)+SUM(J243:J243)+J359+J361+J362+J363+J365+J367+SUM(J412:J413)+J454+J503+J548+J587+J630+J673</f>
        <v>5062</v>
      </c>
      <c r="K719" s="172">
        <f>SUM(K124:K125)+SUM(K243:K243)+K359+K361+K362+K363+K365+K367+SUM(K412:K413)+K454+K503+K548+K587+K630+K673</f>
        <v>44843</v>
      </c>
      <c r="L719" s="172">
        <f>SUM(L124:L125)+SUM(L243:L243)+L359+L361+L362+L363+L365+L367+SUM(L412:L413)+L454+L503+L548+L587+L630+L673</f>
        <v>30460</v>
      </c>
      <c r="M719" s="38">
        <f t="shared" si="101"/>
        <v>80365</v>
      </c>
      <c r="N719" s="172">
        <f>SUM(N124:N125)+SUM(N243:N243)+N359+N361+N362+N363+N365+N367+SUM(N412:N413)+N454+N503+N548+N587+N630+N673</f>
        <v>15633</v>
      </c>
      <c r="O719" s="172">
        <f>SUM(O124:O125)+SUM(O243:O243)+O359+O361+O362+O363+O365+O367+SUM(O412:O413)+O454+O503+O548+O587+O630+O673</f>
        <v>7950</v>
      </c>
      <c r="P719" s="172">
        <f>SUM(P124:P125)+SUM(P243:P243)+P359+P361+P362+P363+P365+P367+SUM(P412:P413)+P454+P503+P548+P587+P630+P673</f>
        <v>6064</v>
      </c>
      <c r="Q719" s="38">
        <f t="shared" si="102"/>
        <v>29647</v>
      </c>
      <c r="R719" s="38">
        <f t="shared" si="103"/>
        <v>140964</v>
      </c>
    </row>
    <row r="720" spans="1:18" ht="15.75" customHeight="1" thickBot="1" x14ac:dyDescent="0.35">
      <c r="A720" s="266" t="s">
        <v>1862</v>
      </c>
      <c r="B720" s="172">
        <f>+B360+B364+B366+B414+B455</f>
        <v>0</v>
      </c>
      <c r="C720" s="172">
        <f>+C360+C364+C366+C414+C455</f>
        <v>0</v>
      </c>
      <c r="D720" s="172">
        <f>+D360+D364+D366+D414+D455</f>
        <v>0</v>
      </c>
      <c r="E720" s="38">
        <f>SUM(B720:D720)</f>
        <v>0</v>
      </c>
      <c r="F720" s="172">
        <f>+F360+F364+F366+F414+F455</f>
        <v>0</v>
      </c>
      <c r="G720" s="172">
        <f>+G360+G364+G366+G414+G455</f>
        <v>0</v>
      </c>
      <c r="H720" s="172">
        <f>+H360+H364+H366+H414+H455</f>
        <v>0</v>
      </c>
      <c r="I720" s="38">
        <f>SUM(F720:H720)</f>
        <v>0</v>
      </c>
      <c r="J720" s="172">
        <f>+J360+J364+J366+J414+J455</f>
        <v>0</v>
      </c>
      <c r="K720" s="172">
        <f>+K360+K364+K366+K414+K455</f>
        <v>0</v>
      </c>
      <c r="L720" s="172">
        <f>+L360+L364+L366+L414+L455</f>
        <v>0</v>
      </c>
      <c r="M720" s="38">
        <f>SUM(J720:L720)</f>
        <v>0</v>
      </c>
      <c r="N720" s="172">
        <f>+N360+N364+N366+N414+N455</f>
        <v>0</v>
      </c>
      <c r="O720" s="172">
        <f>+O360+O364+O366+O414+O455</f>
        <v>0</v>
      </c>
      <c r="P720" s="172">
        <f>+P360+P364+P366+P414+P455</f>
        <v>0</v>
      </c>
      <c r="Q720" s="38">
        <f>SUM(N720:P720)</f>
        <v>0</v>
      </c>
      <c r="R720" s="38">
        <f>+E720+I720+M720+Q720</f>
        <v>0</v>
      </c>
    </row>
    <row r="721" spans="1:18" ht="15.75" customHeight="1" thickBot="1" x14ac:dyDescent="0.35">
      <c r="A721" s="43" t="s">
        <v>1019</v>
      </c>
      <c r="B721" s="335">
        <f>SUM(B718:B720)</f>
        <v>3055</v>
      </c>
      <c r="C721" s="335">
        <f>SUM(C718:C720)</f>
        <v>5395</v>
      </c>
      <c r="D721" s="335">
        <f>SUM(D718:D720)</f>
        <v>12402</v>
      </c>
      <c r="E721" s="39">
        <f t="shared" si="99"/>
        <v>20852</v>
      </c>
      <c r="F721" s="335">
        <f>SUM(F718:F720)</f>
        <v>13757</v>
      </c>
      <c r="G721" s="335">
        <f>SUM(G718:G720)</f>
        <v>12512</v>
      </c>
      <c r="H721" s="335">
        <f>SUM(H718:H720)</f>
        <v>20063</v>
      </c>
      <c r="I721" s="39">
        <f t="shared" si="100"/>
        <v>46332</v>
      </c>
      <c r="J721" s="335">
        <f>SUM(J718:J720)</f>
        <v>30498</v>
      </c>
      <c r="K721" s="335">
        <f>SUM(K718:K720)</f>
        <v>74508</v>
      </c>
      <c r="L721" s="335">
        <f>SUM(L718:L720)</f>
        <v>49103</v>
      </c>
      <c r="M721" s="39">
        <f t="shared" si="101"/>
        <v>154109</v>
      </c>
      <c r="N721" s="335">
        <f>SUM(N718:N720)</f>
        <v>30239</v>
      </c>
      <c r="O721" s="335">
        <f>SUM(O718:O720)</f>
        <v>12286</v>
      </c>
      <c r="P721" s="335">
        <f>SUM(P718:P720)</f>
        <v>8298</v>
      </c>
      <c r="Q721" s="39">
        <f t="shared" si="102"/>
        <v>50823</v>
      </c>
      <c r="R721" s="37">
        <f t="shared" si="103"/>
        <v>272116</v>
      </c>
    </row>
    <row r="722" spans="1:18" ht="15.75" customHeight="1" thickBot="1" x14ac:dyDescent="0.35">
      <c r="A722" s="277" t="s">
        <v>1221</v>
      </c>
      <c r="B722" s="45">
        <f>SUM(B714:B720)</f>
        <v>15737</v>
      </c>
      <c r="C722" s="46">
        <f>SUM(C714:C720)</f>
        <v>17981</v>
      </c>
      <c r="D722" s="58">
        <f>SUM(D714:D720)</f>
        <v>30100</v>
      </c>
      <c r="E722" s="336">
        <f t="shared" si="99"/>
        <v>63818</v>
      </c>
      <c r="F722" s="45">
        <f>SUM(F714:F720)</f>
        <v>28126</v>
      </c>
      <c r="G722" s="46">
        <f>SUM(G714:G720)</f>
        <v>27081</v>
      </c>
      <c r="H722" s="58">
        <f>SUM(H714:H720)</f>
        <v>29964</v>
      </c>
      <c r="I722" s="39">
        <f t="shared" si="100"/>
        <v>85171</v>
      </c>
      <c r="J722" s="45">
        <f>SUM(J714:J720)</f>
        <v>40150</v>
      </c>
      <c r="K722" s="46">
        <f>SUM(K714:K720)</f>
        <v>93193</v>
      </c>
      <c r="L722" s="58">
        <f>SUM(L714:L720)</f>
        <v>64890</v>
      </c>
      <c r="M722" s="39">
        <f t="shared" si="101"/>
        <v>198233</v>
      </c>
      <c r="N722" s="45">
        <f>SUM(N714:N720)</f>
        <v>44308</v>
      </c>
      <c r="O722" s="46">
        <f>SUM(O714:O720)</f>
        <v>24142</v>
      </c>
      <c r="P722" s="58">
        <f>SUM(P714:P720)</f>
        <v>31602</v>
      </c>
      <c r="Q722" s="39">
        <f t="shared" si="102"/>
        <v>100052</v>
      </c>
      <c r="R722" s="37">
        <f t="shared" si="103"/>
        <v>447274</v>
      </c>
    </row>
    <row r="723" spans="1:18" ht="15.75" customHeight="1" thickBot="1" x14ac:dyDescent="0.35">
      <c r="A723" s="43" t="s">
        <v>1222</v>
      </c>
      <c r="B723" s="337">
        <f>+B703+B709+B713+B722</f>
        <v>64252</v>
      </c>
      <c r="C723" s="338">
        <f>+C703+C709+C713+C722</f>
        <v>66697</v>
      </c>
      <c r="D723" s="338">
        <f>+D703+D709+D713+D722</f>
        <v>139065</v>
      </c>
      <c r="E723" s="37">
        <f t="shared" si="99"/>
        <v>270014</v>
      </c>
      <c r="F723" s="42">
        <f>+F703+F709+F713+F722</f>
        <v>171027</v>
      </c>
      <c r="G723" s="42">
        <f>+G703+G709+G713+G722</f>
        <v>154487</v>
      </c>
      <c r="H723" s="42">
        <f>+H703+H709+H713+H722</f>
        <v>181099</v>
      </c>
      <c r="I723" s="37">
        <f t="shared" si="100"/>
        <v>506613</v>
      </c>
      <c r="J723" s="42">
        <f>+J703+J709+J713+J722</f>
        <v>167843</v>
      </c>
      <c r="K723" s="42">
        <f>+K703+K709+K713+K722</f>
        <v>192047</v>
      </c>
      <c r="L723" s="42">
        <f>+L703+L709+L713+L722</f>
        <v>142420</v>
      </c>
      <c r="M723" s="37">
        <f t="shared" si="101"/>
        <v>502310</v>
      </c>
      <c r="N723" s="42">
        <f>+N703+N709+N713+N722</f>
        <v>103812</v>
      </c>
      <c r="O723" s="42">
        <f>+O703+O709+O713+O722</f>
        <v>71171</v>
      </c>
      <c r="P723" s="42">
        <f>+P703+P709+P713+P722</f>
        <v>66662</v>
      </c>
      <c r="Q723" s="37">
        <f t="shared" si="102"/>
        <v>241645</v>
      </c>
      <c r="R723" s="40">
        <f t="shared" si="103"/>
        <v>1520582</v>
      </c>
    </row>
    <row r="724" spans="1:18" ht="15.75" customHeight="1" x14ac:dyDescent="0.35">
      <c r="A724" s="2"/>
      <c r="B724" s="2"/>
      <c r="C724" s="2"/>
      <c r="D724" s="2"/>
      <c r="E724" s="2"/>
      <c r="F724" s="2"/>
      <c r="G724" s="2"/>
      <c r="H724" s="2"/>
      <c r="I724" s="2"/>
      <c r="J724" s="2"/>
      <c r="K724" s="2"/>
      <c r="L724" s="2"/>
      <c r="M724" s="2"/>
      <c r="N724" s="2"/>
      <c r="O724" s="208"/>
      <c r="P724" s="2"/>
      <c r="Q724" s="2"/>
      <c r="R724" s="187"/>
    </row>
    <row r="725" spans="1:18" ht="15.75" customHeight="1" x14ac:dyDescent="0.35">
      <c r="A725" s="2"/>
      <c r="B725" s="2"/>
      <c r="C725" s="2"/>
      <c r="D725" s="2"/>
      <c r="E725" s="2"/>
      <c r="F725" s="2"/>
      <c r="G725" s="2"/>
      <c r="H725" s="2"/>
      <c r="I725" s="2"/>
      <c r="J725" s="2"/>
      <c r="K725" s="2"/>
      <c r="L725" s="2"/>
      <c r="M725" s="2"/>
      <c r="N725" s="2"/>
      <c r="O725" s="208"/>
      <c r="P725" s="2"/>
      <c r="Q725" s="187" t="str">
        <f>+Q1</f>
        <v>PRINTED:</v>
      </c>
      <c r="R725" s="200">
        <f ca="1">+R1</f>
        <v>44881.72963425926</v>
      </c>
    </row>
    <row r="726" spans="1:18" ht="15.75" customHeight="1" x14ac:dyDescent="0.35">
      <c r="A726" s="847" t="s">
        <v>43</v>
      </c>
      <c r="B726" s="847"/>
      <c r="C726" s="847"/>
      <c r="D726" s="847"/>
      <c r="E726" s="847"/>
      <c r="F726" s="847"/>
      <c r="G726" s="847"/>
      <c r="H726" s="847"/>
      <c r="I726" s="847"/>
      <c r="J726" s="847"/>
      <c r="K726" s="847"/>
      <c r="L726" s="847"/>
      <c r="M726" s="847"/>
      <c r="N726" s="847"/>
      <c r="O726" s="847"/>
      <c r="P726" s="847"/>
      <c r="Q726" s="847"/>
      <c r="R726" s="847"/>
    </row>
    <row r="727" spans="1:18" ht="15.75" customHeight="1" x14ac:dyDescent="0.35">
      <c r="A727" s="847" t="s">
        <v>1988</v>
      </c>
      <c r="B727" s="847"/>
      <c r="C727" s="847"/>
      <c r="D727" s="847"/>
      <c r="E727" s="847"/>
      <c r="F727" s="847"/>
      <c r="G727" s="847"/>
      <c r="H727" s="847"/>
      <c r="I727" s="847"/>
      <c r="J727" s="847"/>
      <c r="K727" s="847"/>
      <c r="L727" s="847"/>
      <c r="M727" s="847"/>
      <c r="N727" s="847"/>
      <c r="O727" s="847"/>
      <c r="P727" s="847"/>
      <c r="Q727" s="847"/>
      <c r="R727" s="847"/>
    </row>
    <row r="728" spans="1:18" ht="15.75" customHeight="1" x14ac:dyDescent="0.35">
      <c r="A728" s="847" t="s">
        <v>544</v>
      </c>
      <c r="B728" s="847"/>
      <c r="C728" s="847"/>
      <c r="D728" s="847"/>
      <c r="E728" s="847"/>
      <c r="F728" s="847"/>
      <c r="G728" s="847"/>
      <c r="H728" s="847"/>
      <c r="I728" s="847"/>
      <c r="J728" s="847"/>
      <c r="K728" s="847"/>
      <c r="L728" s="847"/>
      <c r="M728" s="847"/>
      <c r="N728" s="847"/>
      <c r="O728" s="847"/>
      <c r="P728" s="847"/>
      <c r="Q728" s="847"/>
      <c r="R728" s="847"/>
    </row>
    <row r="729" spans="1:18" ht="15.75" customHeight="1" x14ac:dyDescent="0.35">
      <c r="A729" s="847" t="str">
        <f>+A5</f>
        <v>Calendar Year 2008</v>
      </c>
      <c r="B729" s="847"/>
      <c r="C729" s="847"/>
      <c r="D729" s="847"/>
      <c r="E729" s="847"/>
      <c r="F729" s="847"/>
      <c r="G729" s="847"/>
      <c r="H729" s="847"/>
      <c r="I729" s="847"/>
      <c r="J729" s="847"/>
      <c r="K729" s="847"/>
      <c r="L729" s="847"/>
      <c r="M729" s="847"/>
      <c r="N729" s="847"/>
      <c r="O729" s="847"/>
      <c r="P729" s="847"/>
      <c r="Q729" s="847"/>
      <c r="R729" s="847"/>
    </row>
    <row r="730" spans="1:18" ht="15.75" customHeight="1" x14ac:dyDescent="0.35">
      <c r="A730" s="2"/>
      <c r="B730" s="2"/>
      <c r="C730" s="2"/>
      <c r="D730" s="202"/>
      <c r="E730" s="202"/>
      <c r="F730" s="202"/>
      <c r="G730" s="203"/>
      <c r="H730" s="202"/>
      <c r="I730" s="202"/>
      <c r="J730" s="203"/>
      <c r="K730" s="203"/>
      <c r="L730" s="203"/>
      <c r="M730" s="203"/>
      <c r="N730" s="2"/>
      <c r="O730" s="203"/>
      <c r="P730" s="203"/>
      <c r="Q730" s="203"/>
      <c r="R730" s="203"/>
    </row>
    <row r="731" spans="1:18" ht="15.75" customHeight="1" x14ac:dyDescent="0.35">
      <c r="A731" s="847" t="str">
        <f>+A8</f>
        <v>Revised:  1/19/09</v>
      </c>
      <c r="B731" s="847"/>
      <c r="C731" s="847"/>
      <c r="D731" s="847"/>
      <c r="E731" s="847"/>
      <c r="F731" s="847"/>
      <c r="G731" s="847"/>
      <c r="H731" s="847"/>
      <c r="I731" s="847"/>
      <c r="J731" s="847"/>
      <c r="K731" s="847"/>
      <c r="L731" s="847"/>
      <c r="M731" s="847"/>
      <c r="N731" s="847"/>
      <c r="O731" s="847"/>
      <c r="P731" s="847"/>
      <c r="Q731" s="847"/>
      <c r="R731" s="847"/>
    </row>
    <row r="732" spans="1:18" ht="15.75" customHeight="1" x14ac:dyDescent="0.35">
      <c r="A732" s="201"/>
      <c r="B732" s="201"/>
      <c r="C732" s="201"/>
      <c r="D732" s="201"/>
      <c r="E732" s="201"/>
      <c r="F732" s="201"/>
      <c r="G732" s="201"/>
      <c r="H732" s="201"/>
      <c r="I732" s="201"/>
      <c r="J732" s="201"/>
      <c r="K732" s="201"/>
      <c r="L732" s="201"/>
      <c r="M732" s="201"/>
      <c r="N732" s="201"/>
      <c r="O732" s="201"/>
      <c r="P732" s="201"/>
      <c r="Q732" s="201"/>
      <c r="R732" s="201"/>
    </row>
    <row r="733" spans="1:18" ht="15.75" customHeight="1" x14ac:dyDescent="0.35">
      <c r="A733" s="8"/>
      <c r="B733" s="2"/>
      <c r="C733" s="2"/>
      <c r="D733" s="2"/>
      <c r="E733" s="2"/>
      <c r="F733" s="2"/>
      <c r="G733" s="2"/>
      <c r="H733" s="2"/>
      <c r="I733" s="2"/>
      <c r="J733" s="2"/>
      <c r="K733" s="2"/>
      <c r="L733" s="2"/>
      <c r="M733" s="2"/>
      <c r="N733" s="2"/>
      <c r="O733" s="2"/>
      <c r="P733" s="2"/>
      <c r="Q733" s="2"/>
      <c r="R733" s="187"/>
    </row>
    <row r="734" spans="1:18" ht="15.75" customHeight="1" thickBot="1" x14ac:dyDescent="0.4">
      <c r="A734" s="2"/>
      <c r="B734" s="2"/>
      <c r="C734" s="2"/>
      <c r="D734" s="2"/>
      <c r="E734" s="2"/>
      <c r="F734" s="2"/>
      <c r="G734" s="2"/>
      <c r="H734" s="2"/>
      <c r="I734" s="2"/>
      <c r="J734" s="2"/>
      <c r="K734" s="2"/>
      <c r="L734" s="2"/>
      <c r="M734" s="2"/>
      <c r="N734" s="2"/>
      <c r="O734" s="208"/>
      <c r="P734" s="2"/>
      <c r="Q734" s="2"/>
      <c r="R734" s="187"/>
    </row>
    <row r="735" spans="1:18" ht="15.75" customHeight="1" thickBot="1" x14ac:dyDescent="0.35">
      <c r="A735" s="274" t="s">
        <v>1088</v>
      </c>
      <c r="B735" s="25" t="s">
        <v>2090</v>
      </c>
      <c r="C735" s="26" t="s">
        <v>2091</v>
      </c>
      <c r="D735" s="26" t="s">
        <v>2234</v>
      </c>
      <c r="E735" s="33" t="s">
        <v>1594</v>
      </c>
      <c r="F735" s="26" t="s">
        <v>2235</v>
      </c>
      <c r="G735" s="26" t="s">
        <v>2236</v>
      </c>
      <c r="H735" s="26" t="s">
        <v>2237</v>
      </c>
      <c r="I735" s="33" t="s">
        <v>1595</v>
      </c>
      <c r="J735" s="26" t="s">
        <v>1504</v>
      </c>
      <c r="K735" s="26" t="s">
        <v>1505</v>
      </c>
      <c r="L735" s="26" t="s">
        <v>1506</v>
      </c>
      <c r="M735" s="33" t="s">
        <v>1596</v>
      </c>
      <c r="N735" s="26" t="s">
        <v>1507</v>
      </c>
      <c r="O735" s="26" t="s">
        <v>1508</v>
      </c>
      <c r="P735" s="26" t="s">
        <v>1509</v>
      </c>
      <c r="Q735" s="33" t="s">
        <v>1597</v>
      </c>
      <c r="R735" s="339" t="s">
        <v>1510</v>
      </c>
    </row>
    <row r="736" spans="1:18" ht="15.75" customHeight="1" thickBot="1" x14ac:dyDescent="0.35">
      <c r="A736" s="340"/>
      <c r="B736" s="341"/>
      <c r="C736" s="341"/>
      <c r="D736" s="341"/>
      <c r="E736" s="233"/>
      <c r="F736" s="341"/>
      <c r="G736" s="341"/>
      <c r="H736" s="341"/>
      <c r="I736" s="243"/>
      <c r="J736" s="341"/>
      <c r="K736" s="341"/>
      <c r="L736" s="341"/>
      <c r="M736" s="243"/>
      <c r="N736" s="341"/>
      <c r="O736" s="341"/>
      <c r="P736" s="341"/>
      <c r="Q736" s="279"/>
      <c r="R736" s="342"/>
    </row>
    <row r="737" spans="1:18" ht="15.75" customHeight="1" thickBot="1" x14ac:dyDescent="0.35">
      <c r="A737" s="343" t="s">
        <v>673</v>
      </c>
      <c r="B737" s="344">
        <f>+B703</f>
        <v>27048</v>
      </c>
      <c r="C737" s="344">
        <f>+C703</f>
        <v>24274</v>
      </c>
      <c r="D737" s="344">
        <f>+D703</f>
        <v>36398</v>
      </c>
      <c r="E737" s="45">
        <f>+SUM(B737:D737)</f>
        <v>87720</v>
      </c>
      <c r="F737" s="344">
        <f>+F703</f>
        <v>44624</v>
      </c>
      <c r="G737" s="344">
        <f>+G703</f>
        <v>40421</v>
      </c>
      <c r="H737" s="344">
        <f>+H703</f>
        <v>64195</v>
      </c>
      <c r="I737" s="45">
        <f>+SUM(F737:H737)</f>
        <v>149240</v>
      </c>
      <c r="J737" s="344">
        <f>+J703</f>
        <v>56920</v>
      </c>
      <c r="K737" s="344">
        <f>+K703</f>
        <v>49341</v>
      </c>
      <c r="L737" s="344">
        <f>+L703</f>
        <v>48545</v>
      </c>
      <c r="M737" s="45">
        <f>+SUM(J737:L737)</f>
        <v>154806</v>
      </c>
      <c r="N737" s="344">
        <f>+N703</f>
        <v>44011</v>
      </c>
      <c r="O737" s="344">
        <f>+O703</f>
        <v>38749</v>
      </c>
      <c r="P737" s="344">
        <f>+P703</f>
        <v>28362</v>
      </c>
      <c r="Q737" s="45">
        <f>+SUM(N737:P737)</f>
        <v>111122</v>
      </c>
      <c r="R737" s="37">
        <f>+E737+I737+M737+Q737</f>
        <v>502888</v>
      </c>
    </row>
    <row r="738" spans="1:18" ht="15.75" customHeight="1" thickBot="1" x14ac:dyDescent="0.35">
      <c r="A738" s="35"/>
      <c r="B738" s="45"/>
      <c r="C738" s="45"/>
      <c r="D738" s="45"/>
      <c r="E738" s="45"/>
      <c r="F738" s="45"/>
      <c r="G738" s="45"/>
      <c r="H738" s="45"/>
      <c r="I738" s="45"/>
      <c r="J738" s="45"/>
      <c r="K738" s="45"/>
      <c r="L738" s="45"/>
      <c r="M738" s="45"/>
      <c r="N738" s="45"/>
      <c r="O738" s="45"/>
      <c r="P738" s="45"/>
      <c r="Q738" s="45"/>
      <c r="R738" s="37"/>
    </row>
    <row r="739" spans="1:18" ht="15.75" customHeight="1" thickBot="1" x14ac:dyDescent="0.35">
      <c r="A739" s="343" t="s">
        <v>672</v>
      </c>
      <c r="B739" s="344">
        <f>+B709</f>
        <v>6492</v>
      </c>
      <c r="C739" s="344">
        <f>+C709</f>
        <v>12723</v>
      </c>
      <c r="D739" s="344">
        <f>+D709</f>
        <v>46187</v>
      </c>
      <c r="E739" s="45">
        <f>+SUM(B739:D739)</f>
        <v>65402</v>
      </c>
      <c r="F739" s="344">
        <f>+F709</f>
        <v>67844</v>
      </c>
      <c r="G739" s="344">
        <f>+G709</f>
        <v>53705</v>
      </c>
      <c r="H739" s="344">
        <f>+H709</f>
        <v>68268</v>
      </c>
      <c r="I739" s="45">
        <f>+SUM(F739:H739)</f>
        <v>189817</v>
      </c>
      <c r="J739" s="344">
        <f>+J709</f>
        <v>55702</v>
      </c>
      <c r="K739" s="344">
        <f>+K709</f>
        <v>34708</v>
      </c>
      <c r="L739" s="344">
        <f>+L709</f>
        <v>17993</v>
      </c>
      <c r="M739" s="45">
        <f>+SUM(J739:L739)</f>
        <v>108403</v>
      </c>
      <c r="N739" s="344">
        <f>+N709</f>
        <v>6463</v>
      </c>
      <c r="O739" s="344">
        <f>+O709</f>
        <v>3860</v>
      </c>
      <c r="P739" s="344">
        <f>+P709</f>
        <v>4139</v>
      </c>
      <c r="Q739" s="45">
        <f>+SUM(N739:P739)</f>
        <v>14462</v>
      </c>
      <c r="R739" s="37">
        <f>+E739+I739+M739+Q739</f>
        <v>378084</v>
      </c>
    </row>
    <row r="740" spans="1:18" ht="15.75" customHeight="1" thickBot="1" x14ac:dyDescent="0.35">
      <c r="A740" s="35"/>
      <c r="B740" s="45"/>
      <c r="C740" s="45"/>
      <c r="D740" s="45"/>
      <c r="E740" s="45"/>
      <c r="F740" s="45"/>
      <c r="G740" s="45"/>
      <c r="H740" s="45"/>
      <c r="I740" s="45"/>
      <c r="J740" s="45"/>
      <c r="K740" s="45"/>
      <c r="L740" s="45"/>
      <c r="M740" s="45"/>
      <c r="N740" s="45"/>
      <c r="O740" s="45"/>
      <c r="P740" s="45"/>
      <c r="Q740" s="45"/>
      <c r="R740" s="37"/>
    </row>
    <row r="741" spans="1:18" ht="15.75" customHeight="1" thickBot="1" x14ac:dyDescent="0.35">
      <c r="A741" s="343" t="s">
        <v>1089</v>
      </c>
      <c r="B741" s="344">
        <f>+B713</f>
        <v>14975</v>
      </c>
      <c r="C741" s="344">
        <f>+C713</f>
        <v>11719</v>
      </c>
      <c r="D741" s="344">
        <f>+D713</f>
        <v>26380</v>
      </c>
      <c r="E741" s="45">
        <f>+SUM(B741:D741)</f>
        <v>53074</v>
      </c>
      <c r="F741" s="344">
        <f>+F713</f>
        <v>30433</v>
      </c>
      <c r="G741" s="344">
        <f>+G713</f>
        <v>33280</v>
      </c>
      <c r="H741" s="344">
        <f>+H713</f>
        <v>18672</v>
      </c>
      <c r="I741" s="45">
        <f>+SUM(F741:H741)</f>
        <v>82385</v>
      </c>
      <c r="J741" s="344">
        <f>+J713</f>
        <v>15071</v>
      </c>
      <c r="K741" s="344">
        <f>+K713</f>
        <v>14805</v>
      </c>
      <c r="L741" s="344">
        <f>+L713</f>
        <v>10992</v>
      </c>
      <c r="M741" s="45">
        <f>+SUM(J741:L741)</f>
        <v>40868</v>
      </c>
      <c r="N741" s="344">
        <f>+N713</f>
        <v>9030</v>
      </c>
      <c r="O741" s="344">
        <f>+O713</f>
        <v>4420</v>
      </c>
      <c r="P741" s="344">
        <f>+P713</f>
        <v>2559</v>
      </c>
      <c r="Q741" s="45">
        <f>+SUM(N741:P741)</f>
        <v>16009</v>
      </c>
      <c r="R741" s="37">
        <f>+E741+I741+M741+Q741</f>
        <v>192336</v>
      </c>
    </row>
    <row r="742" spans="1:18" ht="15.75" customHeight="1" thickBot="1" x14ac:dyDescent="0.35">
      <c r="A742" s="35"/>
      <c r="B742" s="45"/>
      <c r="C742" s="45"/>
      <c r="D742" s="45"/>
      <c r="E742" s="45"/>
      <c r="F742" s="45"/>
      <c r="G742" s="45"/>
      <c r="H742" s="45"/>
      <c r="I742" s="45"/>
      <c r="J742" s="45"/>
      <c r="K742" s="45"/>
      <c r="L742" s="45"/>
      <c r="M742" s="45"/>
      <c r="N742" s="45"/>
      <c r="O742" s="45"/>
      <c r="P742" s="45"/>
      <c r="Q742" s="45"/>
      <c r="R742" s="37"/>
    </row>
    <row r="743" spans="1:18" ht="15.75" customHeight="1" thickBot="1" x14ac:dyDescent="0.35">
      <c r="A743" s="343" t="s">
        <v>1090</v>
      </c>
      <c r="B743" s="344">
        <f>+B722</f>
        <v>15737</v>
      </c>
      <c r="C743" s="344">
        <f>+C722</f>
        <v>17981</v>
      </c>
      <c r="D743" s="344">
        <f>+D722</f>
        <v>30100</v>
      </c>
      <c r="E743" s="45">
        <f>+SUM(B743:D743)</f>
        <v>63818</v>
      </c>
      <c r="F743" s="344">
        <f>+F722</f>
        <v>28126</v>
      </c>
      <c r="G743" s="344">
        <f>+G722</f>
        <v>27081</v>
      </c>
      <c r="H743" s="344">
        <f>+H722</f>
        <v>29964</v>
      </c>
      <c r="I743" s="45">
        <f>+SUM(F743:H743)</f>
        <v>85171</v>
      </c>
      <c r="J743" s="344">
        <f>+J722</f>
        <v>40150</v>
      </c>
      <c r="K743" s="344">
        <f>+K722</f>
        <v>93193</v>
      </c>
      <c r="L743" s="344">
        <f>+L722</f>
        <v>64890</v>
      </c>
      <c r="M743" s="45">
        <f>+SUM(J743:L743)</f>
        <v>198233</v>
      </c>
      <c r="N743" s="344">
        <f>+N722</f>
        <v>44308</v>
      </c>
      <c r="O743" s="344">
        <f>+O722</f>
        <v>24142</v>
      </c>
      <c r="P743" s="344">
        <f>+P722</f>
        <v>31602</v>
      </c>
      <c r="Q743" s="45">
        <f>+SUM(N743:P743)</f>
        <v>100052</v>
      </c>
      <c r="R743" s="37">
        <f>+E743+I743+M743+Q743</f>
        <v>447274</v>
      </c>
    </row>
    <row r="744" spans="1:18" ht="15.75" customHeight="1" thickBot="1" x14ac:dyDescent="0.35">
      <c r="A744" s="35"/>
      <c r="B744" s="45"/>
      <c r="C744" s="45"/>
      <c r="D744" s="45"/>
      <c r="E744" s="45"/>
      <c r="F744" s="45"/>
      <c r="G744" s="45"/>
      <c r="H744" s="45"/>
      <c r="I744" s="45"/>
      <c r="J744" s="45"/>
      <c r="K744" s="45"/>
      <c r="L744" s="45"/>
      <c r="M744" s="45"/>
      <c r="N744" s="45"/>
      <c r="O744" s="45"/>
      <c r="P744" s="45"/>
      <c r="Q744" s="45"/>
      <c r="R744" s="37"/>
    </row>
    <row r="745" spans="1:18" ht="15.75" customHeight="1" thickBot="1" x14ac:dyDescent="0.35">
      <c r="A745" s="35" t="s">
        <v>574</v>
      </c>
      <c r="B745" s="47">
        <f t="shared" ref="B745:R745" si="104">+SUM(B737:B743)</f>
        <v>64252</v>
      </c>
      <c r="C745" s="47">
        <f t="shared" si="104"/>
        <v>66697</v>
      </c>
      <c r="D745" s="47">
        <f t="shared" si="104"/>
        <v>139065</v>
      </c>
      <c r="E745" s="47">
        <f t="shared" si="104"/>
        <v>270014</v>
      </c>
      <c r="F745" s="47">
        <f t="shared" si="104"/>
        <v>171027</v>
      </c>
      <c r="G745" s="47">
        <f t="shared" si="104"/>
        <v>154487</v>
      </c>
      <c r="H745" s="47">
        <f t="shared" si="104"/>
        <v>181099</v>
      </c>
      <c r="I745" s="47">
        <f t="shared" si="104"/>
        <v>506613</v>
      </c>
      <c r="J745" s="47">
        <f t="shared" si="104"/>
        <v>167843</v>
      </c>
      <c r="K745" s="47">
        <f t="shared" si="104"/>
        <v>192047</v>
      </c>
      <c r="L745" s="47">
        <f t="shared" si="104"/>
        <v>142420</v>
      </c>
      <c r="M745" s="47">
        <f t="shared" si="104"/>
        <v>502310</v>
      </c>
      <c r="N745" s="47">
        <f t="shared" si="104"/>
        <v>103812</v>
      </c>
      <c r="O745" s="47">
        <f t="shared" si="104"/>
        <v>71171</v>
      </c>
      <c r="P745" s="47">
        <f t="shared" si="104"/>
        <v>66662</v>
      </c>
      <c r="Q745" s="47">
        <f t="shared" si="104"/>
        <v>241645</v>
      </c>
      <c r="R745" s="345">
        <f t="shared" si="104"/>
        <v>1520582</v>
      </c>
    </row>
    <row r="746" spans="1:18" ht="15.75" customHeight="1" x14ac:dyDescent="0.35">
      <c r="A746" s="201"/>
      <c r="B746" s="286"/>
      <c r="C746" s="286"/>
      <c r="D746" s="286"/>
      <c r="E746" s="286"/>
      <c r="F746" s="286"/>
      <c r="G746" s="286"/>
      <c r="H746" s="286"/>
      <c r="I746" s="286"/>
      <c r="J746" s="286"/>
      <c r="K746" s="286"/>
      <c r="L746" s="286"/>
      <c r="M746" s="286"/>
      <c r="N746" s="286"/>
      <c r="O746" s="286"/>
      <c r="P746" s="286"/>
      <c r="Q746" s="286"/>
      <c r="R746" s="286"/>
    </row>
    <row r="747" spans="1:18" ht="15.75" customHeight="1" x14ac:dyDescent="0.3">
      <c r="A747" s="67"/>
      <c r="B747" s="67"/>
      <c r="C747" s="68" t="s">
        <v>864</v>
      </c>
      <c r="D747" s="67"/>
      <c r="E747" s="67"/>
      <c r="F747" s="67"/>
      <c r="G747" s="67"/>
      <c r="H747" s="67"/>
      <c r="I747" s="67"/>
      <c r="J747" s="67"/>
      <c r="K747" s="67"/>
      <c r="L747" s="67"/>
      <c r="M747" s="67"/>
      <c r="N747" s="67"/>
      <c r="O747" s="67"/>
      <c r="P747" s="67"/>
      <c r="Q747" s="71" t="str">
        <f>+Q1</f>
        <v>PRINTED:</v>
      </c>
      <c r="R747" s="77">
        <f ca="1">+R1</f>
        <v>44881.72963425926</v>
      </c>
    </row>
    <row r="748" spans="1:18" ht="15.75" customHeight="1" x14ac:dyDescent="0.3">
      <c r="A748" s="67"/>
      <c r="B748" s="67"/>
      <c r="C748" s="67"/>
      <c r="D748" s="67"/>
      <c r="E748" s="67" t="s">
        <v>852</v>
      </c>
      <c r="F748" s="69" t="str">
        <f>+A8</f>
        <v>Revised:  1/19/09</v>
      </c>
      <c r="G748" s="67"/>
      <c r="H748" s="67"/>
      <c r="I748" s="67"/>
      <c r="J748" s="67"/>
      <c r="K748" s="67"/>
      <c r="L748" s="67"/>
      <c r="M748" s="67"/>
      <c r="N748" s="67"/>
      <c r="O748" s="67"/>
      <c r="P748" s="67"/>
      <c r="Q748" s="67"/>
      <c r="R748" s="67"/>
    </row>
    <row r="749" spans="1:18" ht="15.75" customHeight="1" x14ac:dyDescent="0.3">
      <c r="A749" s="67"/>
      <c r="B749" s="67"/>
      <c r="C749" s="67"/>
      <c r="D749" s="67" t="s">
        <v>2126</v>
      </c>
      <c r="E749" s="67"/>
      <c r="F749" s="67"/>
      <c r="G749" s="67"/>
      <c r="H749" s="67"/>
      <c r="I749" s="67"/>
      <c r="J749" s="67"/>
      <c r="K749" s="67"/>
      <c r="L749" s="67"/>
      <c r="M749" s="67"/>
      <c r="N749" s="67"/>
      <c r="O749" s="67"/>
      <c r="P749" s="67"/>
      <c r="Q749" s="67"/>
      <c r="R749" s="67"/>
    </row>
    <row r="750" spans="1:18" ht="15.75" customHeight="1" x14ac:dyDescent="0.3">
      <c r="A750" s="67"/>
      <c r="B750" s="67"/>
      <c r="C750" s="67"/>
      <c r="D750" s="67"/>
      <c r="E750" s="67"/>
      <c r="F750" s="67"/>
      <c r="G750" s="67"/>
      <c r="H750" s="67"/>
      <c r="I750" s="67"/>
      <c r="J750" s="67"/>
      <c r="K750" s="67"/>
      <c r="L750" s="67"/>
      <c r="M750" s="67"/>
      <c r="N750" s="67"/>
      <c r="O750" s="67"/>
      <c r="P750" s="67"/>
      <c r="Q750" s="67"/>
      <c r="R750" s="67"/>
    </row>
    <row r="751" spans="1:18" ht="15.75" customHeight="1" x14ac:dyDescent="0.3">
      <c r="A751" s="67"/>
      <c r="B751" s="67"/>
      <c r="C751" s="67"/>
      <c r="D751" s="67"/>
      <c r="E751" s="67" t="str">
        <f>+A5</f>
        <v>Calendar Year 2008</v>
      </c>
      <c r="F751" s="67"/>
      <c r="G751" s="67"/>
      <c r="H751" s="67"/>
      <c r="I751" s="67"/>
      <c r="J751" s="67"/>
      <c r="K751" s="67"/>
      <c r="L751" s="67"/>
      <c r="M751" s="67"/>
      <c r="N751" s="67"/>
      <c r="O751" s="67"/>
      <c r="P751" s="67"/>
      <c r="Q751" s="67"/>
      <c r="R751" s="67"/>
    </row>
    <row r="752" spans="1:18" ht="15.75" customHeight="1" x14ac:dyDescent="0.3">
      <c r="A752" s="67"/>
      <c r="B752" s="67"/>
      <c r="C752" s="67"/>
      <c r="D752" s="67"/>
      <c r="E752" s="67" t="s">
        <v>1306</v>
      </c>
      <c r="F752" s="67"/>
      <c r="G752" s="67"/>
      <c r="H752" s="67"/>
      <c r="I752" s="67"/>
      <c r="J752" s="67"/>
      <c r="K752" s="67"/>
      <c r="L752" s="67"/>
      <c r="M752" s="67"/>
      <c r="N752" s="67"/>
      <c r="O752" s="67"/>
      <c r="P752" s="67"/>
      <c r="Q752" s="67"/>
      <c r="R752" s="67"/>
    </row>
    <row r="753" spans="1:18" ht="15.75" customHeight="1" x14ac:dyDescent="0.3">
      <c r="A753" s="67"/>
      <c r="B753" s="67"/>
      <c r="C753" s="67"/>
      <c r="D753" s="67"/>
      <c r="E753" s="67"/>
      <c r="F753" s="67"/>
      <c r="G753" s="67"/>
      <c r="H753" s="67"/>
      <c r="I753" s="67"/>
      <c r="J753" s="67"/>
      <c r="K753" s="67"/>
      <c r="L753" s="67"/>
      <c r="M753" s="67"/>
      <c r="N753" s="67"/>
      <c r="O753" s="67"/>
      <c r="P753" s="67"/>
      <c r="Q753" s="67"/>
      <c r="R753" s="67"/>
    </row>
    <row r="754" spans="1:18" ht="15.75" customHeight="1" x14ac:dyDescent="0.3">
      <c r="A754" s="67" t="s">
        <v>1307</v>
      </c>
      <c r="B754" s="70" t="s">
        <v>1308</v>
      </c>
      <c r="C754" s="70" t="s">
        <v>1309</v>
      </c>
      <c r="D754" s="70" t="s">
        <v>1029</v>
      </c>
      <c r="E754" s="70" t="s">
        <v>1030</v>
      </c>
      <c r="F754" s="70" t="s">
        <v>284</v>
      </c>
      <c r="G754" s="70" t="s">
        <v>284</v>
      </c>
      <c r="H754" s="70" t="s">
        <v>285</v>
      </c>
      <c r="I754" s="70" t="s">
        <v>286</v>
      </c>
      <c r="J754" s="70" t="s">
        <v>287</v>
      </c>
      <c r="K754" s="70" t="s">
        <v>288</v>
      </c>
      <c r="L754" s="70" t="s">
        <v>289</v>
      </c>
      <c r="M754" s="70" t="s">
        <v>633</v>
      </c>
      <c r="N754" s="70" t="s">
        <v>634</v>
      </c>
      <c r="O754" s="70" t="s">
        <v>1192</v>
      </c>
      <c r="P754" s="70" t="s">
        <v>524</v>
      </c>
      <c r="Q754" s="70" t="s">
        <v>525</v>
      </c>
      <c r="R754" s="67"/>
    </row>
    <row r="755" spans="1:18" ht="15.75" customHeight="1" x14ac:dyDescent="0.3">
      <c r="A755" s="67" t="s">
        <v>526</v>
      </c>
      <c r="B755" s="67"/>
      <c r="C755" s="67"/>
      <c r="D755" s="67"/>
      <c r="E755" s="67"/>
      <c r="F755" s="70" t="s">
        <v>1193</v>
      </c>
      <c r="G755" s="70" t="s">
        <v>1194</v>
      </c>
      <c r="H755" s="67"/>
      <c r="I755" s="67"/>
      <c r="J755" s="67"/>
      <c r="K755" s="67"/>
      <c r="L755" s="67"/>
      <c r="M755" s="67"/>
      <c r="N755" s="67"/>
      <c r="O755" s="67"/>
      <c r="P755" s="67"/>
      <c r="Q755" s="67"/>
      <c r="R755" s="67"/>
    </row>
    <row r="756" spans="1:18" ht="15.75" customHeight="1" x14ac:dyDescent="0.3">
      <c r="A756" s="67" t="s">
        <v>1195</v>
      </c>
      <c r="B756" s="67">
        <v>953</v>
      </c>
      <c r="C756" s="67">
        <v>128</v>
      </c>
      <c r="D756" s="67">
        <v>128</v>
      </c>
      <c r="E756" s="67">
        <v>219</v>
      </c>
      <c r="F756" s="67">
        <v>179</v>
      </c>
      <c r="G756" s="67">
        <v>121</v>
      </c>
      <c r="H756" s="67">
        <v>92</v>
      </c>
      <c r="I756" s="67">
        <v>150</v>
      </c>
      <c r="J756" s="67">
        <v>237</v>
      </c>
      <c r="K756" s="67">
        <v>226</v>
      </c>
      <c r="L756" s="67">
        <v>99</v>
      </c>
      <c r="M756" s="67">
        <v>102</v>
      </c>
      <c r="N756" s="67">
        <v>249</v>
      </c>
      <c r="O756" s="67">
        <v>189</v>
      </c>
      <c r="P756" s="67">
        <v>333</v>
      </c>
      <c r="Q756" s="67">
        <v>411</v>
      </c>
      <c r="R756" s="67"/>
    </row>
    <row r="757" spans="1:18" ht="15.75" customHeight="1" x14ac:dyDescent="0.3">
      <c r="A757" s="67"/>
      <c r="B757" s="67" t="s">
        <v>1353</v>
      </c>
      <c r="C757" s="67" t="s">
        <v>1353</v>
      </c>
      <c r="D757" s="67" t="s">
        <v>1353</v>
      </c>
      <c r="E757" s="67" t="s">
        <v>1353</v>
      </c>
      <c r="F757" s="67" t="s">
        <v>1353</v>
      </c>
      <c r="G757" s="67" t="s">
        <v>1353</v>
      </c>
      <c r="H757" s="67" t="s">
        <v>1353</v>
      </c>
      <c r="I757" s="67" t="s">
        <v>1353</v>
      </c>
      <c r="J757" s="67" t="s">
        <v>1353</v>
      </c>
      <c r="K757" s="67" t="s">
        <v>1353</v>
      </c>
      <c r="L757" s="67" t="s">
        <v>1353</v>
      </c>
      <c r="M757" s="67" t="s">
        <v>1353</v>
      </c>
      <c r="N757" s="67" t="s">
        <v>1353</v>
      </c>
      <c r="O757" s="67" t="s">
        <v>1353</v>
      </c>
      <c r="P757" s="67" t="s">
        <v>1353</v>
      </c>
      <c r="Q757" s="67" t="s">
        <v>1353</v>
      </c>
      <c r="R757" s="67"/>
    </row>
    <row r="758" spans="1:18" ht="15.75" customHeight="1" x14ac:dyDescent="0.3">
      <c r="A758" s="70" t="s">
        <v>1354</v>
      </c>
      <c r="B758" s="67">
        <f>+B32</f>
        <v>164640</v>
      </c>
      <c r="C758" s="67">
        <f>+B67</f>
        <v>164543</v>
      </c>
      <c r="D758" s="67">
        <f>+B133</f>
        <v>164447</v>
      </c>
      <c r="E758" s="67">
        <f>+B256</f>
        <v>149022</v>
      </c>
      <c r="F758" s="67">
        <f>+B251</f>
        <v>99649</v>
      </c>
      <c r="G758" s="67">
        <f>+B263</f>
        <v>0</v>
      </c>
      <c r="H758" s="67">
        <f>+B377</f>
        <v>28959</v>
      </c>
      <c r="I758" s="67">
        <f>+B422</f>
        <v>15237</v>
      </c>
      <c r="J758" s="67">
        <f>+B463</f>
        <v>14836</v>
      </c>
      <c r="K758" s="67">
        <f>+B511</f>
        <v>13698</v>
      </c>
      <c r="L758" s="67">
        <f>+B521</f>
        <v>9014</v>
      </c>
      <c r="M758" s="67">
        <f>+B556</f>
        <v>8994</v>
      </c>
      <c r="N758" s="67">
        <f>+B595</f>
        <v>8525</v>
      </c>
      <c r="O758" s="67">
        <f>+B605</f>
        <v>505</v>
      </c>
      <c r="P758" s="67">
        <f>+B639</f>
        <v>2009</v>
      </c>
      <c r="Q758" s="67">
        <f>+B681</f>
        <v>461</v>
      </c>
      <c r="R758" s="67"/>
    </row>
    <row r="759" spans="1:18" ht="15.75" customHeight="1" x14ac:dyDescent="0.3">
      <c r="A759" s="70" t="s">
        <v>706</v>
      </c>
      <c r="B759" s="67">
        <f>+C32</f>
        <v>157726</v>
      </c>
      <c r="C759" s="67">
        <f>+C67</f>
        <v>157578</v>
      </c>
      <c r="D759" s="67">
        <f>+C133</f>
        <v>157433</v>
      </c>
      <c r="E759" s="67">
        <f>+C256</f>
        <v>141844</v>
      </c>
      <c r="F759" s="67">
        <f>+C251</f>
        <v>88679</v>
      </c>
      <c r="G759" s="67">
        <f>+C263</f>
        <v>0</v>
      </c>
      <c r="H759" s="67">
        <f>+C377</f>
        <v>34075</v>
      </c>
      <c r="I759" s="67">
        <f>+C422</f>
        <v>14781</v>
      </c>
      <c r="J759" s="67">
        <f>+C463</f>
        <v>13038</v>
      </c>
      <c r="K759" s="67">
        <f>+C511</f>
        <v>10983</v>
      </c>
      <c r="L759" s="67">
        <f>+C521</f>
        <v>8672</v>
      </c>
      <c r="M759" s="67">
        <f>+C556</f>
        <v>8650</v>
      </c>
      <c r="N759" s="67">
        <f>+C595</f>
        <v>8128</v>
      </c>
      <c r="O759" s="67">
        <f>+C605</f>
        <v>945</v>
      </c>
      <c r="P759" s="67">
        <f>+C639</f>
        <v>4726</v>
      </c>
      <c r="Q759" s="67">
        <f>+C681</f>
        <v>925</v>
      </c>
      <c r="R759" s="67"/>
    </row>
    <row r="760" spans="1:18" ht="15.75" customHeight="1" x14ac:dyDescent="0.3">
      <c r="A760" s="70" t="s">
        <v>707</v>
      </c>
      <c r="B760" s="67">
        <f>+D32</f>
        <v>168421</v>
      </c>
      <c r="C760" s="67">
        <f>+D67</f>
        <v>168147</v>
      </c>
      <c r="D760" s="67">
        <f>+D133</f>
        <v>167886</v>
      </c>
      <c r="E760" s="67">
        <f>+D256</f>
        <v>145507</v>
      </c>
      <c r="F760" s="67">
        <f>+D251</f>
        <v>23780</v>
      </c>
      <c r="G760" s="67">
        <f>+D263</f>
        <v>-81</v>
      </c>
      <c r="H760" s="67">
        <f>+D377</f>
        <v>92708</v>
      </c>
      <c r="I760" s="67">
        <f>+D422</f>
        <v>30302</v>
      </c>
      <c r="J760" s="67">
        <f>+D463</f>
        <v>23486</v>
      </c>
      <c r="K760" s="67">
        <f>+D511</f>
        <v>18337</v>
      </c>
      <c r="L760" s="67">
        <f>+D521</f>
        <v>12840</v>
      </c>
      <c r="M760" s="67">
        <f>+D556</f>
        <v>12812</v>
      </c>
      <c r="N760" s="67">
        <f>+D595</f>
        <v>11989</v>
      </c>
      <c r="O760" s="67">
        <f>+D605</f>
        <v>2263</v>
      </c>
      <c r="P760" s="67">
        <f>+D639</f>
        <v>5135</v>
      </c>
      <c r="Q760" s="67">
        <f>+D681</f>
        <v>2202</v>
      </c>
      <c r="R760" s="67"/>
    </row>
    <row r="761" spans="1:18" ht="15.75" customHeight="1" x14ac:dyDescent="0.3">
      <c r="A761" s="70" t="s">
        <v>1321</v>
      </c>
      <c r="B761" s="67">
        <f>+F32</f>
        <v>165960</v>
      </c>
      <c r="C761" s="67">
        <f>+F67</f>
        <v>165593</v>
      </c>
      <c r="D761" s="67">
        <f>+F133</f>
        <v>165243</v>
      </c>
      <c r="E761" s="67">
        <f>+F256</f>
        <v>143209</v>
      </c>
      <c r="F761" s="67">
        <f>+F251</f>
        <v>0</v>
      </c>
      <c r="G761" s="67">
        <f>+F263</f>
        <v>-11920</v>
      </c>
      <c r="H761" s="67">
        <f>+F377</f>
        <v>118371</v>
      </c>
      <c r="I761" s="67">
        <f>+F422</f>
        <v>45011</v>
      </c>
      <c r="J761" s="67">
        <f>+F463</f>
        <v>31535</v>
      </c>
      <c r="K761" s="67">
        <f>+F511</f>
        <v>23838</v>
      </c>
      <c r="L761" s="67">
        <f>+F521</f>
        <v>14592</v>
      </c>
      <c r="M761" s="67">
        <f>+F556</f>
        <v>14555</v>
      </c>
      <c r="N761" s="67">
        <f>+F595</f>
        <v>13538</v>
      </c>
      <c r="O761" s="67">
        <f>+F605</f>
        <v>3178</v>
      </c>
      <c r="P761" s="67">
        <f>+F639</f>
        <v>5025</v>
      </c>
      <c r="Q761" s="67">
        <f>+F681</f>
        <v>3085</v>
      </c>
      <c r="R761" s="67"/>
    </row>
    <row r="762" spans="1:18" ht="15.75" customHeight="1" x14ac:dyDescent="0.3">
      <c r="A762" s="70" t="s">
        <v>1905</v>
      </c>
      <c r="B762" s="67">
        <f>+G32</f>
        <v>171988</v>
      </c>
      <c r="C762" s="67">
        <f>+G67</f>
        <v>171563</v>
      </c>
      <c r="D762" s="67">
        <f>+G133</f>
        <v>171161</v>
      </c>
      <c r="E762" s="67">
        <f>+G256</f>
        <v>149783</v>
      </c>
      <c r="F762" s="67">
        <f>+G251</f>
        <v>18160</v>
      </c>
      <c r="G762" s="67">
        <f>+G263</f>
        <v>-8248</v>
      </c>
      <c r="H762" s="67">
        <f>+G377</f>
        <v>102228</v>
      </c>
      <c r="I762" s="67">
        <f>+G422</f>
        <v>36248</v>
      </c>
      <c r="J762" s="67">
        <f>+G463</f>
        <v>27408</v>
      </c>
      <c r="K762" s="67">
        <f>+G511</f>
        <v>22509</v>
      </c>
      <c r="L762" s="67">
        <f>+G521</f>
        <v>15372</v>
      </c>
      <c r="M762" s="67">
        <f>+G556</f>
        <v>15330</v>
      </c>
      <c r="N762" s="67">
        <f>+G595</f>
        <v>15060</v>
      </c>
      <c r="O762" s="67">
        <f>+G605</f>
        <v>3550</v>
      </c>
      <c r="P762" s="67">
        <f>+G639</f>
        <v>5303</v>
      </c>
      <c r="Q762" s="67">
        <f>+G681</f>
        <v>3500</v>
      </c>
      <c r="R762" s="67"/>
    </row>
    <row r="763" spans="1:18" ht="15.75" customHeight="1" x14ac:dyDescent="0.3">
      <c r="A763" s="70" t="s">
        <v>1906</v>
      </c>
      <c r="B763" s="67">
        <f>+H32</f>
        <v>128502</v>
      </c>
      <c r="C763" s="67">
        <f>+H67</f>
        <v>128085</v>
      </c>
      <c r="D763" s="67">
        <f>+H133</f>
        <v>127689</v>
      </c>
      <c r="E763" s="67">
        <f>+H256</f>
        <v>111347</v>
      </c>
      <c r="F763" s="67">
        <f>+H251</f>
        <v>769</v>
      </c>
      <c r="G763" s="67">
        <f>+H263</f>
        <v>-60264</v>
      </c>
      <c r="H763" s="67">
        <f>+H377</f>
        <v>130453</v>
      </c>
      <c r="I763" s="67">
        <f>+H422</f>
        <v>42549</v>
      </c>
      <c r="J763" s="67">
        <f>+H463</f>
        <v>25547</v>
      </c>
      <c r="K763" s="67">
        <f>+H511</f>
        <v>20708</v>
      </c>
      <c r="L763" s="67">
        <f>+H521</f>
        <v>14302</v>
      </c>
      <c r="M763" s="67">
        <f>+H556</f>
        <v>14258</v>
      </c>
      <c r="N763" s="67">
        <f>+H595</f>
        <v>14171</v>
      </c>
      <c r="O763" s="67">
        <f>+H605</f>
        <v>2884</v>
      </c>
      <c r="P763" s="67">
        <f>+H639</f>
        <v>5215</v>
      </c>
      <c r="Q763" s="67">
        <f>+H681</f>
        <v>2864</v>
      </c>
      <c r="R763" s="67"/>
    </row>
    <row r="764" spans="1:18" ht="15.75" customHeight="1" x14ac:dyDescent="0.3">
      <c r="A764" s="70" t="s">
        <v>1907</v>
      </c>
      <c r="B764" s="67">
        <f>+J32</f>
        <v>80929</v>
      </c>
      <c r="C764" s="67">
        <f>+J67</f>
        <v>80513</v>
      </c>
      <c r="D764" s="67">
        <f>+J133</f>
        <v>80119</v>
      </c>
      <c r="E764" s="67">
        <f>+J256</f>
        <v>72547</v>
      </c>
      <c r="F764" s="67">
        <f>+J251</f>
        <v>0</v>
      </c>
      <c r="G764" s="67">
        <f>+J263</f>
        <v>-92679</v>
      </c>
      <c r="H764" s="67">
        <f>+J377</f>
        <v>121422</v>
      </c>
      <c r="I764" s="67">
        <f>+J422</f>
        <v>48801</v>
      </c>
      <c r="J764" s="67">
        <f>+J463</f>
        <v>29500</v>
      </c>
      <c r="K764" s="67">
        <f>+J511</f>
        <v>21986</v>
      </c>
      <c r="L764" s="67">
        <f>+J521</f>
        <v>15041</v>
      </c>
      <c r="M764" s="67">
        <f>+J556</f>
        <v>15002</v>
      </c>
      <c r="N764" s="67">
        <f>+J595</f>
        <v>14137</v>
      </c>
      <c r="O764" s="67">
        <f>+J605</f>
        <v>1859</v>
      </c>
      <c r="P764" s="67">
        <f>+J639</f>
        <v>5284</v>
      </c>
      <c r="Q764" s="67">
        <f>+J681</f>
        <v>1804</v>
      </c>
      <c r="R764" s="67"/>
    </row>
    <row r="765" spans="1:18" ht="15.75" customHeight="1" x14ac:dyDescent="0.3">
      <c r="A765" s="70" t="s">
        <v>1908</v>
      </c>
      <c r="B765" s="67">
        <f>+K32</f>
        <v>68579</v>
      </c>
      <c r="C765" s="67">
        <f>+K67</f>
        <v>68245</v>
      </c>
      <c r="D765" s="67">
        <f>+K133</f>
        <v>67927</v>
      </c>
      <c r="E765" s="67">
        <f>+K256</f>
        <v>53960</v>
      </c>
      <c r="F765" s="67">
        <f>+K251</f>
        <v>0</v>
      </c>
      <c r="G765" s="67">
        <f>+K263</f>
        <v>-129383</v>
      </c>
      <c r="H765" s="67">
        <f>+K377</f>
        <v>143566</v>
      </c>
      <c r="I765" s="67">
        <f>+K422</f>
        <v>53186</v>
      </c>
      <c r="J765" s="67">
        <f>+K463</f>
        <v>33808</v>
      </c>
      <c r="K765" s="67">
        <f>+K511</f>
        <v>24448</v>
      </c>
      <c r="L765" s="67">
        <f>+K521</f>
        <v>17608</v>
      </c>
      <c r="M765" s="67">
        <f>+K556</f>
        <v>17572</v>
      </c>
      <c r="N765" s="67">
        <f>+K595</f>
        <v>16664</v>
      </c>
      <c r="O765" s="67">
        <f>+K605</f>
        <v>3349</v>
      </c>
      <c r="P765" s="67">
        <f>+K639</f>
        <v>5486</v>
      </c>
      <c r="Q765" s="67">
        <f>+K681</f>
        <v>3245</v>
      </c>
      <c r="R765" s="67"/>
    </row>
    <row r="766" spans="1:18" ht="15.75" customHeight="1" x14ac:dyDescent="0.3">
      <c r="A766" s="70" t="s">
        <v>2352</v>
      </c>
      <c r="B766" s="67">
        <f>+L32</f>
        <v>94410</v>
      </c>
      <c r="C766" s="67">
        <f>+L67</f>
        <v>94094</v>
      </c>
      <c r="D766" s="67">
        <f>+L133</f>
        <v>93793</v>
      </c>
      <c r="E766" s="67">
        <f>+L256</f>
        <v>80544</v>
      </c>
      <c r="F766" s="67">
        <f>+L251</f>
        <v>0</v>
      </c>
      <c r="G766" s="67">
        <f>+L263</f>
        <v>-54211</v>
      </c>
      <c r="H766" s="67">
        <f>+L377</f>
        <v>97746</v>
      </c>
      <c r="I766" s="67">
        <f>+L422</f>
        <v>36095</v>
      </c>
      <c r="J766" s="67">
        <f>+L463</f>
        <v>28626</v>
      </c>
      <c r="K766" s="67">
        <f>+L511</f>
        <v>22558</v>
      </c>
      <c r="L766" s="67">
        <f>+L521</f>
        <v>17054</v>
      </c>
      <c r="M766" s="67">
        <f>+L556</f>
        <v>17020</v>
      </c>
      <c r="N766" s="67">
        <f>+L595</f>
        <v>16401</v>
      </c>
      <c r="O766" s="67">
        <f>+L605</f>
        <v>3132</v>
      </c>
      <c r="P766" s="67">
        <f>+L639</f>
        <v>4485</v>
      </c>
      <c r="Q766" s="67">
        <f>+L681</f>
        <v>3126</v>
      </c>
      <c r="R766" s="67"/>
    </row>
    <row r="767" spans="1:18" ht="15.75" customHeight="1" x14ac:dyDescent="0.3">
      <c r="A767" s="70" t="s">
        <v>2353</v>
      </c>
      <c r="B767" s="67">
        <f>+N32</f>
        <v>135395</v>
      </c>
      <c r="C767" s="67">
        <f>+N67</f>
        <v>135110</v>
      </c>
      <c r="D767" s="67">
        <f>+N133</f>
        <v>134838</v>
      </c>
      <c r="E767" s="67">
        <f>+N256</f>
        <v>122471</v>
      </c>
      <c r="F767" s="67">
        <f>+N251</f>
        <v>25846</v>
      </c>
      <c r="G767" s="67">
        <f>+N263</f>
        <v>-1553</v>
      </c>
      <c r="H767" s="67">
        <f>+N377</f>
        <v>62917</v>
      </c>
      <c r="I767" s="67">
        <f>+N422</f>
        <v>22139</v>
      </c>
      <c r="J767" s="67">
        <f>+N463</f>
        <v>18688</v>
      </c>
      <c r="K767" s="67">
        <f>+N511</f>
        <v>15992</v>
      </c>
      <c r="L767" s="67">
        <f>+N521</f>
        <v>12323</v>
      </c>
      <c r="M767" s="67">
        <f>+N556</f>
        <v>12294</v>
      </c>
      <c r="N767" s="67">
        <f>+N595</f>
        <v>11990</v>
      </c>
      <c r="O767" s="67">
        <f>+N605</f>
        <v>2585</v>
      </c>
      <c r="P767" s="67">
        <f>+N639</f>
        <v>5593</v>
      </c>
      <c r="Q767" s="67">
        <f>+N681</f>
        <v>2580</v>
      </c>
      <c r="R767" s="67"/>
    </row>
    <row r="768" spans="1:18" ht="15.75" customHeight="1" x14ac:dyDescent="0.3">
      <c r="A768" s="70" t="s">
        <v>2354</v>
      </c>
      <c r="B768" s="67">
        <f>+O32</f>
        <v>168155</v>
      </c>
      <c r="C768" s="67">
        <f>+O67</f>
        <v>167920</v>
      </c>
      <c r="D768" s="67">
        <f>+O133</f>
        <v>167694</v>
      </c>
      <c r="E768" s="67">
        <f>+O256</f>
        <v>152891</v>
      </c>
      <c r="F768" s="67">
        <f>+O251</f>
        <v>91045</v>
      </c>
      <c r="G768" s="67">
        <f>+O263</f>
        <v>0</v>
      </c>
      <c r="H768" s="67">
        <f>+O377</f>
        <v>31942</v>
      </c>
      <c r="I768" s="67">
        <f>+O422</f>
        <v>10269</v>
      </c>
      <c r="J768" s="67">
        <f>+O463</f>
        <v>9592</v>
      </c>
      <c r="K768" s="67">
        <f>+O511</f>
        <v>9352</v>
      </c>
      <c r="L768" s="67">
        <f>+O521</f>
        <v>7511</v>
      </c>
      <c r="M768" s="67">
        <f>+O556</f>
        <v>7488</v>
      </c>
      <c r="N768" s="67">
        <f>+O595</f>
        <v>7329</v>
      </c>
      <c r="O768" s="67">
        <f>+O605</f>
        <v>1722</v>
      </c>
      <c r="P768" s="67">
        <f>+O639</f>
        <v>5047</v>
      </c>
      <c r="Q768" s="67">
        <f>+O681</f>
        <v>1631</v>
      </c>
      <c r="R768" s="67"/>
    </row>
    <row r="769" spans="1:18" ht="15.75" customHeight="1" x14ac:dyDescent="0.3">
      <c r="A769" s="70" t="s">
        <v>2355</v>
      </c>
      <c r="B769" s="67">
        <f>+P32</f>
        <v>66617</v>
      </c>
      <c r="C769" s="67">
        <f>+P67</f>
        <v>66431</v>
      </c>
      <c r="D769" s="67">
        <f>+P133</f>
        <v>66252</v>
      </c>
      <c r="E769" s="67">
        <f>+P256</f>
        <v>50048</v>
      </c>
      <c r="F769" s="67">
        <f>+P251</f>
        <v>20663</v>
      </c>
      <c r="G769" s="67">
        <f>+P263</f>
        <v>-22642</v>
      </c>
      <c r="H769" s="67">
        <f>+P377</f>
        <v>30952</v>
      </c>
      <c r="I769" s="67">
        <f>+P422</f>
        <v>16343</v>
      </c>
      <c r="J769" s="67">
        <f>+P463</f>
        <v>14793</v>
      </c>
      <c r="K769" s="67">
        <f>+P511</f>
        <v>14093</v>
      </c>
      <c r="L769" s="67">
        <f>+P521</f>
        <v>10117</v>
      </c>
      <c r="M769" s="67">
        <f>+P556</f>
        <v>10098</v>
      </c>
      <c r="N769" s="67">
        <f>+P595</f>
        <v>10084</v>
      </c>
      <c r="O769" s="67">
        <f>+P605</f>
        <v>2680</v>
      </c>
      <c r="P769" s="67">
        <f>+P639</f>
        <v>5393</v>
      </c>
      <c r="Q769" s="67">
        <f>+P681</f>
        <v>2663</v>
      </c>
      <c r="R769" s="67"/>
    </row>
    <row r="770" spans="1:18" ht="15.75" customHeight="1" x14ac:dyDescent="0.3">
      <c r="A770" s="67"/>
      <c r="B770" s="67"/>
      <c r="C770" s="67"/>
      <c r="D770" s="67"/>
      <c r="E770" s="67"/>
      <c r="F770" s="67"/>
      <c r="G770" s="67"/>
      <c r="H770" s="67"/>
      <c r="I770" s="67"/>
      <c r="J770" s="67"/>
      <c r="K770" s="67"/>
      <c r="L770" s="67"/>
      <c r="M770" s="67"/>
      <c r="N770" s="67"/>
      <c r="O770" s="67"/>
      <c r="P770" s="67"/>
      <c r="Q770" s="67"/>
      <c r="R770" s="67"/>
    </row>
    <row r="771" spans="1:18" ht="15.75" customHeight="1" x14ac:dyDescent="0.3">
      <c r="A771" s="70" t="s">
        <v>2356</v>
      </c>
      <c r="B771" s="67">
        <f t="shared" ref="B771:Q771" si="105">SUM(B758:B769)</f>
        <v>1571322</v>
      </c>
      <c r="C771" s="67">
        <f t="shared" si="105"/>
        <v>1567822</v>
      </c>
      <c r="D771" s="67">
        <f t="shared" si="105"/>
        <v>1564482</v>
      </c>
      <c r="E771" s="67">
        <f t="shared" si="105"/>
        <v>1373173</v>
      </c>
      <c r="F771" s="67">
        <f t="shared" si="105"/>
        <v>368591</v>
      </c>
      <c r="G771" s="67">
        <f t="shared" si="105"/>
        <v>-380981</v>
      </c>
      <c r="H771" s="67">
        <f t="shared" si="105"/>
        <v>995339</v>
      </c>
      <c r="I771" s="67">
        <f t="shared" si="105"/>
        <v>370961</v>
      </c>
      <c r="J771" s="67">
        <f t="shared" si="105"/>
        <v>270857</v>
      </c>
      <c r="K771" s="67">
        <f t="shared" si="105"/>
        <v>218502</v>
      </c>
      <c r="L771" s="67">
        <f t="shared" si="105"/>
        <v>154446</v>
      </c>
      <c r="M771" s="67">
        <f t="shared" si="105"/>
        <v>154073</v>
      </c>
      <c r="N771" s="67">
        <f t="shared" si="105"/>
        <v>148016</v>
      </c>
      <c r="O771" s="67">
        <f t="shared" si="105"/>
        <v>28652</v>
      </c>
      <c r="P771" s="67">
        <f t="shared" si="105"/>
        <v>58701</v>
      </c>
      <c r="Q771" s="67">
        <f t="shared" si="105"/>
        <v>28086</v>
      </c>
      <c r="R771" s="67"/>
    </row>
    <row r="772" spans="1:18" ht="15.75" customHeight="1" x14ac:dyDescent="0.3">
      <c r="A772" s="67" t="s">
        <v>852</v>
      </c>
      <c r="B772" s="67"/>
      <c r="C772" s="67"/>
      <c r="D772" s="67"/>
      <c r="E772" s="67"/>
      <c r="F772" s="67"/>
      <c r="G772" s="67"/>
      <c r="H772" s="67"/>
      <c r="I772" s="67"/>
      <c r="J772" s="67"/>
      <c r="K772" s="67"/>
      <c r="L772" s="67"/>
      <c r="M772" s="67"/>
      <c r="N772" s="67"/>
      <c r="O772" s="67"/>
      <c r="P772" s="67"/>
      <c r="Q772" s="67"/>
      <c r="R772" s="67"/>
    </row>
    <row r="773" spans="1:18" ht="15.75" customHeight="1" x14ac:dyDescent="0.3">
      <c r="A773" s="67"/>
      <c r="B773" s="67"/>
      <c r="C773" s="67"/>
      <c r="D773" s="67"/>
      <c r="E773" s="67"/>
      <c r="F773" s="67"/>
      <c r="G773" s="67"/>
      <c r="H773" s="67"/>
      <c r="I773" s="67"/>
      <c r="J773" s="67"/>
      <c r="K773" s="67"/>
      <c r="L773" s="67"/>
      <c r="M773" s="67"/>
      <c r="N773" s="67"/>
      <c r="O773" s="67"/>
      <c r="P773" s="67"/>
      <c r="Q773" s="67"/>
      <c r="R773" s="67"/>
    </row>
    <row r="774" spans="1:18" ht="15.75" customHeight="1" x14ac:dyDescent="0.3">
      <c r="A774" s="67"/>
      <c r="B774" s="67"/>
      <c r="C774" s="71" t="s">
        <v>2434</v>
      </c>
      <c r="D774" s="67"/>
      <c r="E774" s="67"/>
      <c r="F774" s="67"/>
      <c r="G774" s="67"/>
      <c r="H774" s="67"/>
      <c r="I774" s="67" t="s">
        <v>2435</v>
      </c>
      <c r="J774" s="67"/>
      <c r="K774" s="67" t="s">
        <v>852</v>
      </c>
      <c r="L774" s="69" t="str">
        <f>+A8</f>
        <v>Revised:  1/19/09</v>
      </c>
      <c r="M774" s="67"/>
      <c r="N774" s="67"/>
      <c r="O774" s="67"/>
      <c r="P774" s="67"/>
      <c r="Q774" s="71" t="str">
        <f>+Q1</f>
        <v>PRINTED:</v>
      </c>
      <c r="R774" s="77">
        <f ca="1">+R1</f>
        <v>44881.72963425926</v>
      </c>
    </row>
    <row r="775" spans="1:18" ht="15.75" customHeight="1" x14ac:dyDescent="0.3">
      <c r="A775" s="67"/>
      <c r="B775" s="67"/>
      <c r="C775" s="67"/>
      <c r="D775" s="67" t="str">
        <f>++A5</f>
        <v>Calendar Year 2008</v>
      </c>
      <c r="E775" s="67"/>
      <c r="F775" s="67"/>
      <c r="G775" s="67"/>
      <c r="H775" s="67"/>
      <c r="I775" s="67"/>
      <c r="J775" s="67"/>
      <c r="K775" s="67"/>
      <c r="L775" s="67"/>
      <c r="M775" s="67"/>
      <c r="N775" s="67"/>
      <c r="O775" s="67"/>
      <c r="P775" s="67"/>
      <c r="Q775" s="67"/>
      <c r="R775" s="67"/>
    </row>
    <row r="776" spans="1:18" ht="15.75" customHeight="1" x14ac:dyDescent="0.3">
      <c r="A776" s="67"/>
      <c r="B776" s="67"/>
      <c r="C776" s="67"/>
      <c r="D776" s="67"/>
      <c r="E776" s="67"/>
      <c r="F776" s="67"/>
      <c r="G776" s="67"/>
      <c r="H776" s="67"/>
      <c r="I776" s="67"/>
      <c r="J776" s="67"/>
      <c r="K776" s="67"/>
      <c r="L776" s="67"/>
      <c r="M776" s="67"/>
      <c r="N776" s="67"/>
      <c r="O776" s="67"/>
      <c r="P776" s="67"/>
      <c r="Q776" s="67"/>
      <c r="R776" s="67"/>
    </row>
    <row r="777" spans="1:18" ht="15.75" customHeight="1" x14ac:dyDescent="0.3">
      <c r="A777" s="67"/>
      <c r="B777" s="67"/>
      <c r="C777" s="67"/>
      <c r="D777" s="67"/>
      <c r="E777" s="67"/>
      <c r="F777" s="67"/>
      <c r="G777" s="70" t="s">
        <v>2438</v>
      </c>
      <c r="H777" s="67"/>
      <c r="I777" s="67"/>
      <c r="J777" s="67"/>
      <c r="K777" s="67"/>
      <c r="L777" s="67"/>
      <c r="M777" s="67"/>
      <c r="N777" s="67"/>
      <c r="O777" s="67"/>
      <c r="P777" s="67"/>
      <c r="Q777" s="67"/>
      <c r="R777" s="67"/>
    </row>
    <row r="778" spans="1:18" ht="15.75" customHeight="1" x14ac:dyDescent="0.3">
      <c r="A778" s="67"/>
      <c r="B778" s="67" t="s">
        <v>2435</v>
      </c>
      <c r="C778" s="67"/>
      <c r="D778" s="70" t="s">
        <v>2436</v>
      </c>
      <c r="E778" s="70" t="s">
        <v>2436</v>
      </c>
      <c r="F778" s="70" t="s">
        <v>2437</v>
      </c>
      <c r="G778" s="70" t="s">
        <v>525</v>
      </c>
      <c r="H778" s="70" t="s">
        <v>2439</v>
      </c>
      <c r="I778" s="70" t="s">
        <v>2463</v>
      </c>
      <c r="J778" s="70" t="s">
        <v>2356</v>
      </c>
      <c r="K778" s="67" t="s">
        <v>2435</v>
      </c>
      <c r="L778" s="70" t="s">
        <v>2464</v>
      </c>
      <c r="M778" s="70" t="s">
        <v>2464</v>
      </c>
      <c r="N778" s="70" t="s">
        <v>2464</v>
      </c>
      <c r="O778" s="67"/>
      <c r="P778" s="67"/>
      <c r="Q778" s="67"/>
      <c r="R778" s="67"/>
    </row>
    <row r="779" spans="1:18" ht="15.75" customHeight="1" x14ac:dyDescent="0.35">
      <c r="A779" s="67"/>
      <c r="B779" s="70" t="s">
        <v>284</v>
      </c>
      <c r="C779" s="70" t="s">
        <v>2379</v>
      </c>
      <c r="D779" s="70" t="s">
        <v>844</v>
      </c>
      <c r="E779" s="70" t="s">
        <v>844</v>
      </c>
      <c r="F779" s="70" t="s">
        <v>845</v>
      </c>
      <c r="G779" s="214" t="s">
        <v>955</v>
      </c>
      <c r="H779" s="70" t="s">
        <v>275</v>
      </c>
      <c r="I779" s="70" t="s">
        <v>276</v>
      </c>
      <c r="J779" s="70" t="s">
        <v>1554</v>
      </c>
      <c r="K779" s="67" t="s">
        <v>2435</v>
      </c>
      <c r="L779" s="70" t="s">
        <v>1555</v>
      </c>
      <c r="M779" s="70" t="s">
        <v>955</v>
      </c>
      <c r="N779" s="70" t="s">
        <v>1194</v>
      </c>
      <c r="O779" s="67"/>
      <c r="P779" s="67"/>
      <c r="Q779" s="67"/>
      <c r="R779" s="67"/>
    </row>
    <row r="780" spans="1:18" ht="15.75" customHeight="1" x14ac:dyDescent="0.3">
      <c r="A780" s="67"/>
      <c r="B780" s="70" t="s">
        <v>1193</v>
      </c>
      <c r="C780" s="70" t="s">
        <v>956</v>
      </c>
      <c r="D780" s="70" t="s">
        <v>333</v>
      </c>
      <c r="E780" s="70" t="s">
        <v>334</v>
      </c>
      <c r="F780" s="70" t="s">
        <v>335</v>
      </c>
      <c r="G780" s="70" t="s">
        <v>335</v>
      </c>
      <c r="H780" s="70" t="s">
        <v>335</v>
      </c>
      <c r="I780" s="70" t="s">
        <v>335</v>
      </c>
      <c r="J780" s="70" t="s">
        <v>1486</v>
      </c>
      <c r="K780" s="67" t="s">
        <v>2435</v>
      </c>
      <c r="L780" s="70" t="s">
        <v>1487</v>
      </c>
      <c r="M780" s="70" t="s">
        <v>929</v>
      </c>
      <c r="N780" s="70" t="s">
        <v>929</v>
      </c>
      <c r="O780" s="67"/>
      <c r="P780" s="67"/>
      <c r="Q780" s="67"/>
      <c r="R780" s="67"/>
    </row>
    <row r="781" spans="1:18" ht="15.75" customHeight="1" x14ac:dyDescent="0.3">
      <c r="A781" s="67"/>
      <c r="B781" s="70" t="s">
        <v>930</v>
      </c>
      <c r="C781" s="70" t="s">
        <v>931</v>
      </c>
      <c r="D781" s="70" t="s">
        <v>932</v>
      </c>
      <c r="E781" s="70" t="s">
        <v>932</v>
      </c>
      <c r="F781" s="70" t="s">
        <v>932</v>
      </c>
      <c r="G781" s="70" t="s">
        <v>932</v>
      </c>
      <c r="H781" s="70" t="s">
        <v>932</v>
      </c>
      <c r="I781" s="70" t="s">
        <v>932</v>
      </c>
      <c r="J781" s="70" t="s">
        <v>932</v>
      </c>
      <c r="K781" s="67" t="s">
        <v>2435</v>
      </c>
      <c r="L781" s="70" t="s">
        <v>946</v>
      </c>
      <c r="M781" s="70" t="s">
        <v>946</v>
      </c>
      <c r="N781" s="70" t="s">
        <v>946</v>
      </c>
      <c r="O781" s="67"/>
      <c r="P781" s="67"/>
      <c r="Q781" s="67"/>
      <c r="R781" s="67"/>
    </row>
    <row r="782" spans="1:18" ht="15.75" customHeight="1" x14ac:dyDescent="0.3">
      <c r="A782" s="67"/>
      <c r="B782" s="67" t="s">
        <v>1353</v>
      </c>
      <c r="C782" s="67" t="s">
        <v>1353</v>
      </c>
      <c r="D782" s="67" t="s">
        <v>1353</v>
      </c>
      <c r="E782" s="67" t="s">
        <v>1353</v>
      </c>
      <c r="F782" s="67" t="s">
        <v>1353</v>
      </c>
      <c r="G782" s="67" t="s">
        <v>1353</v>
      </c>
      <c r="H782" s="67" t="s">
        <v>1353</v>
      </c>
      <c r="I782" s="67" t="s">
        <v>1353</v>
      </c>
      <c r="J782" s="67" t="s">
        <v>1353</v>
      </c>
      <c r="K782" s="67" t="s">
        <v>2435</v>
      </c>
      <c r="L782" s="67" t="s">
        <v>1353</v>
      </c>
      <c r="M782" s="67" t="s">
        <v>1353</v>
      </c>
      <c r="N782" s="67" t="s">
        <v>1353</v>
      </c>
      <c r="O782" s="67"/>
      <c r="P782" s="67"/>
      <c r="Q782" s="67"/>
      <c r="R782" s="67"/>
    </row>
    <row r="783" spans="1:18" ht="15.75" customHeight="1" x14ac:dyDescent="0.3">
      <c r="A783" s="70" t="s">
        <v>1354</v>
      </c>
      <c r="B783" s="67">
        <f t="shared" ref="B783:B794" si="106">(F758)</f>
        <v>99649</v>
      </c>
      <c r="C783" s="67">
        <f t="shared" ref="C783:C794" si="107">(SUM($B$756:$F$756))</f>
        <v>1607</v>
      </c>
      <c r="D783" s="67">
        <f t="shared" ref="D783:D794" si="108">(B783*C783/1000)</f>
        <v>160135.943</v>
      </c>
      <c r="E783" s="67">
        <f t="shared" ref="E783:E794" si="109">(((B758-F758)*B$756)+((C758-F758)*C$756)+((D758-F758)*D$756)+((E758-F758)*E$756))/1000</f>
        <v>89349.686000000002</v>
      </c>
      <c r="F783" s="67">
        <f t="shared" ref="F783:F794" si="110">(D783+E783)</f>
        <v>249485.62900000002</v>
      </c>
      <c r="G783" s="67">
        <f t="shared" ref="G783:G794" si="111">SUM(H840:Q840)</f>
        <v>16448.07</v>
      </c>
      <c r="H783" s="67">
        <f t="shared" ref="H783:H794" si="112">+F783+G783</f>
        <v>265933.69900000002</v>
      </c>
      <c r="I783" s="67">
        <f t="shared" ref="I783:I790" si="113">(E894)</f>
        <v>0</v>
      </c>
      <c r="J783" s="67">
        <f t="shared" ref="J783:J794" si="114">(H783-I783)</f>
        <v>265933.69900000002</v>
      </c>
      <c r="K783" s="67" t="s">
        <v>2435</v>
      </c>
      <c r="L783" s="67">
        <f>+B758/31/1.98</f>
        <v>2682.3069403714567</v>
      </c>
      <c r="M783" s="67">
        <f>(B783*43560/31/24/3600)</f>
        <v>1620.6356182795698</v>
      </c>
      <c r="N783" s="67">
        <f>+B266</f>
        <v>0</v>
      </c>
      <c r="O783" s="67"/>
      <c r="P783" s="67"/>
      <c r="Q783" s="67"/>
      <c r="R783" s="67"/>
    </row>
    <row r="784" spans="1:18" ht="15.75" customHeight="1" x14ac:dyDescent="0.3">
      <c r="A784" s="70" t="s">
        <v>706</v>
      </c>
      <c r="B784" s="67">
        <f t="shared" si="106"/>
        <v>88679</v>
      </c>
      <c r="C784" s="67">
        <f t="shared" si="107"/>
        <v>1607</v>
      </c>
      <c r="D784" s="67">
        <f t="shared" si="108"/>
        <v>142507.15299999999</v>
      </c>
      <c r="E784" s="67">
        <f t="shared" si="109"/>
        <v>95064.51</v>
      </c>
      <c r="F784" s="67">
        <f t="shared" si="110"/>
        <v>237571.663</v>
      </c>
      <c r="G784" s="67">
        <f t="shared" si="111"/>
        <v>16821.451999999997</v>
      </c>
      <c r="H784" s="67">
        <f t="shared" si="112"/>
        <v>254393.11499999999</v>
      </c>
      <c r="I784" s="67">
        <f t="shared" si="113"/>
        <v>0</v>
      </c>
      <c r="J784" s="67">
        <f t="shared" si="114"/>
        <v>254393.11499999999</v>
      </c>
      <c r="K784" s="67" t="s">
        <v>2435</v>
      </c>
      <c r="L784" s="67">
        <f>+B759/28/1.98</f>
        <v>2844.9855699855698</v>
      </c>
      <c r="M784" s="67">
        <f>(B784*43560/29/24/3600)</f>
        <v>1541.6895114942529</v>
      </c>
      <c r="N784" s="67">
        <f>+C266</f>
        <v>0</v>
      </c>
      <c r="O784" s="67"/>
      <c r="P784" s="67"/>
      <c r="Q784" s="67"/>
      <c r="R784" s="67"/>
    </row>
    <row r="785" spans="1:18" ht="15.75" customHeight="1" x14ac:dyDescent="0.3">
      <c r="A785" s="70" t="s">
        <v>707</v>
      </c>
      <c r="B785" s="67">
        <f t="shared" si="106"/>
        <v>23780</v>
      </c>
      <c r="C785" s="67">
        <f t="shared" si="107"/>
        <v>1607</v>
      </c>
      <c r="D785" s="67">
        <f t="shared" si="108"/>
        <v>38214.46</v>
      </c>
      <c r="E785" s="67">
        <f t="shared" si="109"/>
        <v>201425.63</v>
      </c>
      <c r="F785" s="67">
        <f t="shared" si="110"/>
        <v>239640.09</v>
      </c>
      <c r="G785" s="67">
        <f t="shared" si="111"/>
        <v>31390.708999999999</v>
      </c>
      <c r="H785" s="67">
        <f t="shared" si="112"/>
        <v>271030.799</v>
      </c>
      <c r="I785" s="67">
        <f t="shared" si="113"/>
        <v>9.8010000000000002</v>
      </c>
      <c r="J785" s="67">
        <f t="shared" si="114"/>
        <v>271020.99800000002</v>
      </c>
      <c r="K785" s="67" t="s">
        <v>2435</v>
      </c>
      <c r="L785" s="67">
        <f>+B760/31/1.98</f>
        <v>2743.9068100358422</v>
      </c>
      <c r="M785" s="67">
        <f>(B785*43560/31/24/3600)</f>
        <v>386.74462365591398</v>
      </c>
      <c r="N785" s="67">
        <f>+D266</f>
        <v>-1.3176516519447561</v>
      </c>
      <c r="O785" s="67"/>
      <c r="P785" s="67"/>
      <c r="Q785" s="67"/>
      <c r="R785" s="67"/>
    </row>
    <row r="786" spans="1:18" ht="15.75" customHeight="1" x14ac:dyDescent="0.3">
      <c r="A786" s="70" t="s">
        <v>1321</v>
      </c>
      <c r="B786" s="67">
        <f t="shared" si="106"/>
        <v>0</v>
      </c>
      <c r="C786" s="67">
        <f t="shared" si="107"/>
        <v>1607</v>
      </c>
      <c r="D786" s="67">
        <f t="shared" si="108"/>
        <v>0</v>
      </c>
      <c r="E786" s="67">
        <f t="shared" si="109"/>
        <v>231869.65900000001</v>
      </c>
      <c r="F786" s="67">
        <f t="shared" si="110"/>
        <v>231869.65900000001</v>
      </c>
      <c r="G786" s="67">
        <f t="shared" si="111"/>
        <v>40345.046999999991</v>
      </c>
      <c r="H786" s="67">
        <f t="shared" si="112"/>
        <v>272214.70600000001</v>
      </c>
      <c r="I786" s="67">
        <f t="shared" si="113"/>
        <v>1442.32</v>
      </c>
      <c r="J786" s="67">
        <f t="shared" si="114"/>
        <v>270772.386</v>
      </c>
      <c r="K786" s="67" t="s">
        <v>2435</v>
      </c>
      <c r="L786" s="67">
        <f>+B761/30/1.98</f>
        <v>2793.939393939394</v>
      </c>
      <c r="M786" s="67">
        <f>(B786*43560/30/24/3600)</f>
        <v>0</v>
      </c>
      <c r="N786" s="67">
        <f>+F266</f>
        <v>-200.36981005210959</v>
      </c>
      <c r="O786" s="67"/>
      <c r="P786" s="67"/>
      <c r="Q786" s="67"/>
      <c r="R786" s="67"/>
    </row>
    <row r="787" spans="1:18" ht="15.75" customHeight="1" x14ac:dyDescent="0.3">
      <c r="A787" s="70" t="s">
        <v>1905</v>
      </c>
      <c r="B787" s="67">
        <f t="shared" si="106"/>
        <v>18160</v>
      </c>
      <c r="C787" s="67">
        <f t="shared" si="107"/>
        <v>1607</v>
      </c>
      <c r="D787" s="67">
        <f t="shared" si="108"/>
        <v>29183.119999999999</v>
      </c>
      <c r="E787" s="67">
        <f t="shared" si="109"/>
        <v>214643.23300000001</v>
      </c>
      <c r="F787" s="67">
        <f t="shared" si="110"/>
        <v>243826.353</v>
      </c>
      <c r="G787" s="67">
        <f t="shared" si="111"/>
        <v>37135.682999999997</v>
      </c>
      <c r="H787" s="67">
        <f t="shared" si="112"/>
        <v>280962.03600000002</v>
      </c>
      <c r="I787" s="67">
        <f t="shared" si="113"/>
        <v>998.00800000000004</v>
      </c>
      <c r="J787" s="67">
        <f t="shared" si="114"/>
        <v>279964.02800000005</v>
      </c>
      <c r="K787" s="67" t="s">
        <v>2435</v>
      </c>
      <c r="L787" s="67">
        <f>+B762/31/1.98</f>
        <v>2802.0202020202019</v>
      </c>
      <c r="M787" s="67">
        <f>(B787*43560/31/24/3600)</f>
        <v>295.3440860215054</v>
      </c>
      <c r="N787" s="67">
        <f>+G266</f>
        <v>-134.17272623753516</v>
      </c>
      <c r="O787" s="67"/>
      <c r="P787" s="67"/>
      <c r="Q787" s="67"/>
      <c r="R787" s="67"/>
    </row>
    <row r="788" spans="1:18" ht="15.75" customHeight="1" x14ac:dyDescent="0.3">
      <c r="A788" s="70" t="s">
        <v>1906</v>
      </c>
      <c r="B788" s="67">
        <f t="shared" si="106"/>
        <v>769</v>
      </c>
      <c r="C788" s="67">
        <f t="shared" si="107"/>
        <v>1607</v>
      </c>
      <c r="D788" s="67">
        <f t="shared" si="108"/>
        <v>1235.7829999999999</v>
      </c>
      <c r="E788" s="67">
        <f t="shared" si="109"/>
        <v>178488.33900000001</v>
      </c>
      <c r="F788" s="67">
        <f t="shared" si="110"/>
        <v>179724.122</v>
      </c>
      <c r="G788" s="67">
        <f t="shared" si="111"/>
        <v>38976.240999999995</v>
      </c>
      <c r="H788" s="67">
        <f t="shared" si="112"/>
        <v>218700.36300000001</v>
      </c>
      <c r="I788" s="67">
        <f t="shared" si="113"/>
        <v>7291.9440000000004</v>
      </c>
      <c r="J788" s="67">
        <f t="shared" si="114"/>
        <v>211408.41900000002</v>
      </c>
      <c r="K788" s="67" t="s">
        <v>2435</v>
      </c>
      <c r="L788" s="67">
        <f>+B763/30/1.98</f>
        <v>2163.333333333333</v>
      </c>
      <c r="M788" s="67">
        <f t="shared" ref="M788:M793" si="115">(B788*43560/30/24/3600)</f>
        <v>12.923472222222221</v>
      </c>
      <c r="N788" s="67">
        <f>+H266</f>
        <v>-1013.0105900151285</v>
      </c>
      <c r="O788" s="67"/>
      <c r="P788" s="67"/>
      <c r="Q788" s="67"/>
      <c r="R788" s="67"/>
    </row>
    <row r="789" spans="1:18" ht="15.75" customHeight="1" x14ac:dyDescent="0.3">
      <c r="A789" s="70" t="s">
        <v>1907</v>
      </c>
      <c r="B789" s="67">
        <f t="shared" si="106"/>
        <v>0</v>
      </c>
      <c r="C789" s="67">
        <f t="shared" si="107"/>
        <v>1607</v>
      </c>
      <c r="D789" s="67">
        <f t="shared" si="108"/>
        <v>0</v>
      </c>
      <c r="E789" s="67">
        <f t="shared" si="109"/>
        <v>113574.026</v>
      </c>
      <c r="F789" s="67">
        <f t="shared" si="110"/>
        <v>113574.026</v>
      </c>
      <c r="G789" s="67">
        <f t="shared" si="111"/>
        <v>39843.053000000007</v>
      </c>
      <c r="H789" s="67">
        <f t="shared" si="112"/>
        <v>153417.079</v>
      </c>
      <c r="I789" s="67">
        <f t="shared" si="113"/>
        <v>11214.159</v>
      </c>
      <c r="J789" s="67">
        <f t="shared" si="114"/>
        <v>142202.91999999998</v>
      </c>
      <c r="K789" s="67" t="s">
        <v>2435</v>
      </c>
      <c r="L789" s="67">
        <f>+B764/31/1.98</f>
        <v>1318.4913652655587</v>
      </c>
      <c r="M789" s="67">
        <f t="shared" si="115"/>
        <v>0</v>
      </c>
      <c r="N789" s="67">
        <f>+J266</f>
        <v>-1507.637499389976</v>
      </c>
      <c r="O789" s="67"/>
      <c r="P789" s="67"/>
      <c r="Q789" s="67"/>
      <c r="R789" s="67"/>
    </row>
    <row r="790" spans="1:18" ht="15.75" customHeight="1" x14ac:dyDescent="0.3">
      <c r="A790" s="70" t="s">
        <v>1908</v>
      </c>
      <c r="B790" s="67">
        <f t="shared" si="106"/>
        <v>0</v>
      </c>
      <c r="C790" s="67">
        <f t="shared" si="107"/>
        <v>1607</v>
      </c>
      <c r="D790" s="67">
        <f t="shared" si="108"/>
        <v>0</v>
      </c>
      <c r="E790" s="67">
        <f t="shared" si="109"/>
        <v>94603.043000000005</v>
      </c>
      <c r="F790" s="67">
        <f t="shared" si="110"/>
        <v>94603.043000000005</v>
      </c>
      <c r="G790" s="67">
        <f t="shared" si="111"/>
        <v>46202.082000000009</v>
      </c>
      <c r="H790" s="67">
        <f t="shared" si="112"/>
        <v>140805.125</v>
      </c>
      <c r="I790" s="67">
        <f t="shared" si="113"/>
        <v>15655.343000000001</v>
      </c>
      <c r="J790" s="67">
        <f t="shared" si="114"/>
        <v>125149.78200000001</v>
      </c>
      <c r="K790" s="67" t="s">
        <v>2435</v>
      </c>
      <c r="L790" s="67">
        <f>+B765/31/1.98</f>
        <v>1117.2857608341478</v>
      </c>
      <c r="M790" s="67">
        <f t="shared" si="115"/>
        <v>0</v>
      </c>
      <c r="N790" s="67">
        <f>+K266</f>
        <v>-2104.7126380687455</v>
      </c>
      <c r="O790" s="67"/>
      <c r="P790" s="67"/>
      <c r="Q790" s="67"/>
      <c r="R790" s="67"/>
    </row>
    <row r="791" spans="1:18" ht="15.75" customHeight="1" x14ac:dyDescent="0.3">
      <c r="A791" s="70" t="s">
        <v>2352</v>
      </c>
      <c r="B791" s="67">
        <f t="shared" si="106"/>
        <v>0</v>
      </c>
      <c r="C791" s="67">
        <f t="shared" si="107"/>
        <v>1607</v>
      </c>
      <c r="D791" s="67">
        <f t="shared" si="108"/>
        <v>0</v>
      </c>
      <c r="E791" s="67">
        <f t="shared" si="109"/>
        <v>131661.402</v>
      </c>
      <c r="F791" s="67">
        <f t="shared" si="110"/>
        <v>131661.402</v>
      </c>
      <c r="G791" s="67">
        <f t="shared" si="111"/>
        <v>37167.825999999994</v>
      </c>
      <c r="H791" s="67">
        <f t="shared" si="112"/>
        <v>168829.228</v>
      </c>
      <c r="I791" s="67">
        <v>0</v>
      </c>
      <c r="J791" s="67">
        <f t="shared" si="114"/>
        <v>168829.228</v>
      </c>
      <c r="K791" s="67" t="s">
        <v>2435</v>
      </c>
      <c r="L791" s="67">
        <f>+B766/30/1.98</f>
        <v>1589.3939393939395</v>
      </c>
      <c r="M791" s="67">
        <f t="shared" si="115"/>
        <v>0</v>
      </c>
      <c r="N791" s="67">
        <f>+L266</f>
        <v>-911.26239704151953</v>
      </c>
      <c r="O791" s="67"/>
      <c r="P791" s="67"/>
      <c r="Q791" s="67"/>
      <c r="R791" s="67"/>
    </row>
    <row r="792" spans="1:18" ht="15.75" customHeight="1" x14ac:dyDescent="0.3">
      <c r="A792" s="70" t="s">
        <v>2353</v>
      </c>
      <c r="B792" s="67">
        <f t="shared" si="106"/>
        <v>25846</v>
      </c>
      <c r="C792" s="67">
        <f t="shared" si="107"/>
        <v>1607</v>
      </c>
      <c r="D792" s="67">
        <f t="shared" si="108"/>
        <v>41534.521999999997</v>
      </c>
      <c r="E792" s="67">
        <f t="shared" si="109"/>
        <v>153497.84</v>
      </c>
      <c r="F792" s="67">
        <f t="shared" si="110"/>
        <v>195032.36199999999</v>
      </c>
      <c r="G792" s="67">
        <f t="shared" si="111"/>
        <v>26023.350999999999</v>
      </c>
      <c r="H792" s="67">
        <f t="shared" si="112"/>
        <v>221055.71299999999</v>
      </c>
      <c r="I792" s="67">
        <v>0</v>
      </c>
      <c r="J792" s="67">
        <f t="shared" si="114"/>
        <v>221055.71299999999</v>
      </c>
      <c r="K792" s="67" t="s">
        <v>2435</v>
      </c>
      <c r="L792" s="67">
        <f>+B767/31/1.98</f>
        <v>2205.8488106875207</v>
      </c>
      <c r="M792" s="67">
        <f t="shared" si="115"/>
        <v>434.35638888888889</v>
      </c>
      <c r="N792" s="67">
        <f>+N266</f>
        <v>-25.263123647780322</v>
      </c>
      <c r="O792" s="67"/>
      <c r="P792" s="67"/>
      <c r="Q792" s="67"/>
      <c r="R792" s="67"/>
    </row>
    <row r="793" spans="1:18" ht="15.75" customHeight="1" x14ac:dyDescent="0.3">
      <c r="A793" s="70" t="s">
        <v>2354</v>
      </c>
      <c r="B793" s="67">
        <f t="shared" si="106"/>
        <v>91045</v>
      </c>
      <c r="C793" s="67">
        <f t="shared" si="107"/>
        <v>1607</v>
      </c>
      <c r="D793" s="67">
        <f t="shared" si="108"/>
        <v>146309.315</v>
      </c>
      <c r="E793" s="67">
        <f t="shared" si="109"/>
        <v>106681.17600000001</v>
      </c>
      <c r="F793" s="67">
        <f t="shared" si="110"/>
        <v>252990.49100000001</v>
      </c>
      <c r="G793" s="67">
        <f t="shared" si="111"/>
        <v>14874.606000000002</v>
      </c>
      <c r="H793" s="67">
        <f t="shared" si="112"/>
        <v>267865.09700000001</v>
      </c>
      <c r="I793" s="67">
        <f>(E904)</f>
        <v>0</v>
      </c>
      <c r="J793" s="67">
        <f t="shared" si="114"/>
        <v>267865.09700000001</v>
      </c>
      <c r="K793" s="67" t="s">
        <v>2435</v>
      </c>
      <c r="L793" s="67">
        <f>+B768/30/1.98</f>
        <v>2830.8922558922559</v>
      </c>
      <c r="M793" s="67">
        <f t="shared" si="115"/>
        <v>1530.0618055555556</v>
      </c>
      <c r="N793" s="67">
        <f>+O266</f>
        <v>0</v>
      </c>
      <c r="O793" s="67"/>
      <c r="P793" s="67"/>
      <c r="Q793" s="67"/>
      <c r="R793" s="67"/>
    </row>
    <row r="794" spans="1:18" ht="15.75" customHeight="1" x14ac:dyDescent="0.3">
      <c r="A794" s="70" t="s">
        <v>2355</v>
      </c>
      <c r="B794" s="67">
        <f t="shared" si="106"/>
        <v>20663</v>
      </c>
      <c r="C794" s="67">
        <f t="shared" si="107"/>
        <v>1607</v>
      </c>
      <c r="D794" s="67">
        <f t="shared" si="108"/>
        <v>33205.440999999999</v>
      </c>
      <c r="E794" s="67">
        <f t="shared" si="109"/>
        <v>61923.173000000003</v>
      </c>
      <c r="F794" s="67">
        <f t="shared" si="110"/>
        <v>95128.614000000001</v>
      </c>
      <c r="G794" s="67">
        <f t="shared" si="111"/>
        <v>19929.37</v>
      </c>
      <c r="H794" s="67">
        <f t="shared" si="112"/>
        <v>115057.984</v>
      </c>
      <c r="I794" s="67">
        <f>(E905)</f>
        <v>2739.6819999999998</v>
      </c>
      <c r="J794" s="67">
        <f t="shared" si="114"/>
        <v>112318.302</v>
      </c>
      <c r="K794" s="67" t="s">
        <v>2435</v>
      </c>
      <c r="L794" s="67">
        <f>+B769/31/1.98</f>
        <v>1085.3209514499838</v>
      </c>
      <c r="M794" s="67">
        <f>(B794*43560/31/24/3600)</f>
        <v>336.05147849462361</v>
      </c>
      <c r="N794" s="67">
        <f>+P266</f>
        <v>-368.32430497942181</v>
      </c>
      <c r="O794" s="67"/>
      <c r="P794" s="67"/>
      <c r="Q794" s="67"/>
      <c r="R794" s="67"/>
    </row>
    <row r="795" spans="1:18" ht="15.75" customHeight="1" x14ac:dyDescent="0.3">
      <c r="A795" s="67"/>
      <c r="B795" s="67"/>
      <c r="C795" s="67"/>
      <c r="D795" s="67"/>
      <c r="E795" s="67"/>
      <c r="F795" s="67"/>
      <c r="G795" s="67"/>
      <c r="H795" s="67"/>
      <c r="I795" s="67"/>
      <c r="J795" s="67"/>
      <c r="K795" s="67" t="s">
        <v>2435</v>
      </c>
      <c r="L795" s="67"/>
      <c r="M795" s="67"/>
      <c r="N795" s="67"/>
      <c r="O795" s="67"/>
      <c r="P795" s="67"/>
      <c r="Q795" s="67"/>
      <c r="R795" s="67"/>
    </row>
    <row r="796" spans="1:18" ht="15.75" customHeight="1" x14ac:dyDescent="0.3">
      <c r="A796" s="67" t="s">
        <v>2356</v>
      </c>
      <c r="B796" s="67">
        <f>SUM(B783:B794)</f>
        <v>368591</v>
      </c>
      <c r="C796" s="67"/>
      <c r="D796" s="67">
        <f t="shared" ref="D796:J796" si="116">SUM(D783:D794)</f>
        <v>592325.73700000008</v>
      </c>
      <c r="E796" s="67">
        <f t="shared" si="116"/>
        <v>1672781.7170000002</v>
      </c>
      <c r="F796" s="67">
        <f t="shared" si="116"/>
        <v>2265107.4539999999</v>
      </c>
      <c r="G796" s="67">
        <f t="shared" si="116"/>
        <v>365157.49000000005</v>
      </c>
      <c r="H796" s="67">
        <f t="shared" si="116"/>
        <v>2630264.9440000006</v>
      </c>
      <c r="I796" s="67">
        <f t="shared" si="116"/>
        <v>39351.256999999998</v>
      </c>
      <c r="J796" s="67">
        <f t="shared" si="116"/>
        <v>2590913.6870000004</v>
      </c>
      <c r="K796" s="67"/>
      <c r="L796" s="67"/>
      <c r="M796" s="67"/>
      <c r="N796" s="67"/>
      <c r="O796" s="67"/>
      <c r="P796" s="67"/>
      <c r="Q796" s="67"/>
      <c r="R796" s="67"/>
    </row>
    <row r="797" spans="1:18" ht="15.75" customHeight="1" x14ac:dyDescent="0.3">
      <c r="A797" s="67"/>
      <c r="B797" s="67"/>
      <c r="C797" s="67"/>
      <c r="D797" s="67"/>
      <c r="E797" s="67"/>
      <c r="F797" s="67"/>
      <c r="G797" s="67"/>
      <c r="H797" s="67"/>
      <c r="I797" s="67"/>
      <c r="J797" s="67"/>
      <c r="K797" s="67"/>
      <c r="L797" s="67"/>
      <c r="M797" s="67"/>
      <c r="N797" s="67"/>
      <c r="O797" s="67"/>
      <c r="P797" s="67"/>
      <c r="Q797" s="67"/>
      <c r="R797" s="67"/>
    </row>
    <row r="798" spans="1:18" ht="15.75" customHeight="1" x14ac:dyDescent="0.3">
      <c r="A798" s="67" t="s">
        <v>1696</v>
      </c>
      <c r="B798" s="67"/>
      <c r="C798" s="67"/>
      <c r="D798" s="67"/>
      <c r="E798" s="67"/>
      <c r="F798" s="67"/>
      <c r="G798" s="67"/>
      <c r="H798" s="67"/>
      <c r="I798" s="67"/>
      <c r="J798" s="67"/>
      <c r="K798" s="67"/>
      <c r="L798" s="67"/>
      <c r="M798" s="67"/>
      <c r="N798" s="67"/>
      <c r="O798" s="67"/>
      <c r="P798" s="67"/>
      <c r="Q798" s="67"/>
      <c r="R798" s="67"/>
    </row>
    <row r="799" spans="1:18" ht="15.75" customHeight="1" x14ac:dyDescent="0.3">
      <c r="A799" s="67" t="s">
        <v>785</v>
      </c>
      <c r="B799" s="67"/>
      <c r="C799" s="67"/>
      <c r="D799" s="67"/>
      <c r="E799" s="67"/>
      <c r="F799" s="67"/>
      <c r="G799" s="67"/>
      <c r="H799" s="67"/>
      <c r="I799" s="67"/>
      <c r="J799" s="67"/>
      <c r="K799" s="67"/>
      <c r="L799" s="67"/>
      <c r="M799" s="67"/>
      <c r="N799" s="67"/>
      <c r="O799" s="67"/>
      <c r="P799" s="67"/>
      <c r="Q799" s="67"/>
      <c r="R799" s="67"/>
    </row>
    <row r="800" spans="1:18" ht="15.75" customHeight="1" x14ac:dyDescent="0.3">
      <c r="A800" s="67"/>
      <c r="B800" s="67"/>
      <c r="C800" s="67"/>
      <c r="D800" s="67"/>
      <c r="E800" s="67"/>
      <c r="F800" s="67"/>
      <c r="G800" s="67"/>
      <c r="H800" s="67"/>
      <c r="I800" s="67"/>
      <c r="J800" s="67"/>
      <c r="K800" s="67"/>
      <c r="L800" s="67"/>
      <c r="M800" s="67"/>
      <c r="N800" s="67"/>
      <c r="O800" s="67"/>
      <c r="P800" s="67"/>
      <c r="Q800" s="67"/>
      <c r="R800" s="67"/>
    </row>
    <row r="801" spans="1:18" ht="15.75" customHeight="1" x14ac:dyDescent="0.3">
      <c r="A801" s="67" t="s">
        <v>440</v>
      </c>
      <c r="B801" s="67"/>
      <c r="C801" s="67"/>
      <c r="D801" s="67"/>
      <c r="E801" s="67"/>
      <c r="F801" s="67"/>
      <c r="G801" s="67"/>
      <c r="H801" s="67"/>
      <c r="I801" s="67"/>
      <c r="J801" s="67"/>
      <c r="K801" s="67"/>
      <c r="L801" s="67"/>
      <c r="M801" s="67"/>
      <c r="N801" s="67"/>
      <c r="O801" s="67"/>
      <c r="P801" s="67"/>
      <c r="Q801" s="67"/>
      <c r="R801" s="67"/>
    </row>
    <row r="802" spans="1:18" ht="15.75" customHeight="1" x14ac:dyDescent="0.3">
      <c r="A802" s="67"/>
      <c r="B802" s="67"/>
      <c r="C802" s="67"/>
      <c r="D802" s="67"/>
      <c r="E802" s="67"/>
      <c r="F802" s="67"/>
      <c r="G802" s="67"/>
      <c r="H802" s="67"/>
      <c r="I802" s="67"/>
      <c r="J802" s="67"/>
      <c r="K802" s="67"/>
      <c r="L802" s="67"/>
      <c r="M802" s="67"/>
      <c r="N802" s="67"/>
      <c r="O802" s="67"/>
      <c r="P802" s="67"/>
      <c r="Q802" s="67"/>
      <c r="R802" s="67"/>
    </row>
    <row r="803" spans="1:18" ht="15.75" customHeight="1" x14ac:dyDescent="0.3">
      <c r="A803" s="67" t="s">
        <v>1480</v>
      </c>
      <c r="B803" s="67"/>
      <c r="C803" s="67"/>
      <c r="D803" s="67"/>
      <c r="E803" s="67"/>
      <c r="F803" s="67"/>
      <c r="G803" s="67"/>
      <c r="H803" s="67"/>
      <c r="I803" s="67"/>
      <c r="J803" s="67"/>
      <c r="K803" s="67"/>
      <c r="L803" s="67"/>
      <c r="M803" s="67"/>
      <c r="N803" s="67"/>
      <c r="O803" s="67"/>
      <c r="P803" s="67"/>
      <c r="Q803" s="67"/>
      <c r="R803" s="67"/>
    </row>
    <row r="804" spans="1:18" ht="15.75" customHeight="1" x14ac:dyDescent="0.3">
      <c r="A804" s="67"/>
      <c r="B804" s="67"/>
      <c r="C804" s="67"/>
      <c r="D804" s="67"/>
      <c r="E804" s="67"/>
      <c r="F804" s="67"/>
      <c r="G804" s="67"/>
      <c r="H804" s="67"/>
      <c r="I804" s="67"/>
      <c r="J804" s="67"/>
      <c r="K804" s="67"/>
      <c r="L804" s="67"/>
      <c r="M804" s="67"/>
      <c r="N804" s="67"/>
      <c r="O804" s="67"/>
      <c r="P804" s="67"/>
      <c r="Q804" s="67"/>
      <c r="R804" s="67"/>
    </row>
    <row r="805" spans="1:18" ht="15.75" customHeight="1" x14ac:dyDescent="0.3">
      <c r="A805" s="67"/>
      <c r="B805" s="67"/>
      <c r="C805" s="67"/>
      <c r="D805" s="71" t="s">
        <v>1898</v>
      </c>
      <c r="E805" s="67"/>
      <c r="F805" s="67"/>
      <c r="G805" s="67"/>
      <c r="H805" s="67"/>
      <c r="I805" s="67"/>
      <c r="J805" s="67"/>
      <c r="K805" s="67"/>
      <c r="L805" s="67"/>
      <c r="M805" s="67"/>
      <c r="N805" s="67"/>
      <c r="O805" s="67"/>
      <c r="P805" s="67"/>
      <c r="Q805" s="71" t="str">
        <f>+Q1</f>
        <v>PRINTED:</v>
      </c>
      <c r="R805" s="77">
        <f ca="1">+R1</f>
        <v>44881.72963425926</v>
      </c>
    </row>
    <row r="806" spans="1:18" ht="15.75" customHeight="1" x14ac:dyDescent="0.3">
      <c r="A806" s="67"/>
      <c r="B806" s="67"/>
      <c r="C806" s="67"/>
      <c r="D806" s="67"/>
      <c r="E806" s="67" t="s">
        <v>852</v>
      </c>
      <c r="F806" s="69" t="str">
        <f>+A8</f>
        <v>Revised:  1/19/09</v>
      </c>
      <c r="G806" s="67"/>
      <c r="H806" s="67"/>
      <c r="I806" s="67"/>
      <c r="J806" s="67"/>
      <c r="K806" s="67"/>
      <c r="L806" s="67"/>
      <c r="M806" s="67"/>
      <c r="N806" s="67"/>
      <c r="O806" s="67"/>
      <c r="P806" s="67"/>
      <c r="Q806" s="67"/>
      <c r="R806" s="67"/>
    </row>
    <row r="807" spans="1:18" ht="15.75" customHeight="1" x14ac:dyDescent="0.3">
      <c r="A807" s="67"/>
      <c r="B807" s="67"/>
      <c r="C807" s="67"/>
      <c r="D807" s="67" t="s">
        <v>2126</v>
      </c>
      <c r="E807" s="67"/>
      <c r="F807" s="67"/>
      <c r="G807" s="67"/>
      <c r="H807" s="67"/>
      <c r="I807" s="67"/>
      <c r="J807" s="67"/>
      <c r="K807" s="67"/>
      <c r="L807" s="67"/>
      <c r="M807" s="67"/>
      <c r="N807" s="67"/>
      <c r="O807" s="67"/>
      <c r="P807" s="67"/>
      <c r="Q807" s="67"/>
      <c r="R807" s="67"/>
    </row>
    <row r="808" spans="1:18" ht="15.75" customHeight="1" x14ac:dyDescent="0.3">
      <c r="A808" s="67"/>
      <c r="B808" s="67"/>
      <c r="C808" s="67"/>
      <c r="D808" s="67"/>
      <c r="E808" s="67"/>
      <c r="F808" s="67"/>
      <c r="G808" s="67"/>
      <c r="H808" s="67"/>
      <c r="I808" s="67"/>
      <c r="J808" s="67"/>
      <c r="K808" s="67"/>
      <c r="L808" s="67"/>
      <c r="M808" s="67"/>
      <c r="N808" s="67"/>
      <c r="O808" s="67"/>
      <c r="P808" s="67"/>
      <c r="Q808" s="67"/>
      <c r="R808" s="67"/>
    </row>
    <row r="809" spans="1:18" ht="15.75" customHeight="1" x14ac:dyDescent="0.3">
      <c r="A809" s="67"/>
      <c r="B809" s="67"/>
      <c r="C809" s="67"/>
      <c r="D809" s="67"/>
      <c r="E809" s="67" t="str">
        <f>+A5</f>
        <v>Calendar Year 2008</v>
      </c>
      <c r="F809" s="67"/>
      <c r="G809" s="67"/>
      <c r="H809" s="67"/>
      <c r="I809" s="67"/>
      <c r="J809" s="67"/>
      <c r="K809" s="67"/>
      <c r="L809" s="67"/>
      <c r="M809" s="67"/>
      <c r="N809" s="67"/>
      <c r="O809" s="67"/>
      <c r="P809" s="67"/>
      <c r="Q809" s="67"/>
      <c r="R809" s="67"/>
    </row>
    <row r="810" spans="1:18" ht="15.75" customHeight="1" x14ac:dyDescent="0.3">
      <c r="A810" s="67"/>
      <c r="B810" s="67"/>
      <c r="C810" s="67"/>
      <c r="D810" s="67"/>
      <c r="E810" s="67" t="s">
        <v>1271</v>
      </c>
      <c r="F810" s="67"/>
      <c r="G810" s="67"/>
      <c r="H810" s="67"/>
      <c r="I810" s="67"/>
      <c r="J810" s="67"/>
      <c r="K810" s="67"/>
      <c r="L810" s="67"/>
      <c r="M810" s="67"/>
      <c r="N810" s="67"/>
      <c r="O810" s="67"/>
      <c r="P810" s="67"/>
      <c r="Q810" s="67"/>
      <c r="R810" s="67"/>
    </row>
    <row r="811" spans="1:18" ht="15.75" customHeight="1" x14ac:dyDescent="0.3">
      <c r="A811" s="67"/>
      <c r="B811" s="67"/>
      <c r="C811" s="67"/>
      <c r="D811" s="67"/>
      <c r="E811" s="67"/>
      <c r="F811" s="67"/>
      <c r="G811" s="67"/>
      <c r="H811" s="67"/>
      <c r="I811" s="67"/>
      <c r="J811" s="67"/>
      <c r="K811" s="67"/>
      <c r="L811" s="67"/>
      <c r="M811" s="67"/>
      <c r="N811" s="67"/>
      <c r="O811" s="67"/>
      <c r="P811" s="67"/>
      <c r="Q811" s="67"/>
      <c r="R811" s="67"/>
    </row>
    <row r="812" spans="1:18" ht="15.75" customHeight="1" x14ac:dyDescent="0.3">
      <c r="A812" s="67" t="s">
        <v>1307</v>
      </c>
      <c r="B812" s="70" t="s">
        <v>1308</v>
      </c>
      <c r="C812" s="70" t="s">
        <v>1309</v>
      </c>
      <c r="D812" s="70" t="s">
        <v>1029</v>
      </c>
      <c r="E812" s="70" t="s">
        <v>1030</v>
      </c>
      <c r="F812" s="70" t="s">
        <v>284</v>
      </c>
      <c r="G812" s="70" t="s">
        <v>284</v>
      </c>
      <c r="H812" s="70" t="s">
        <v>285</v>
      </c>
      <c r="I812" s="70" t="s">
        <v>286</v>
      </c>
      <c r="J812" s="70" t="s">
        <v>287</v>
      </c>
      <c r="K812" s="70" t="s">
        <v>288</v>
      </c>
      <c r="L812" s="70" t="s">
        <v>289</v>
      </c>
      <c r="M812" s="70" t="s">
        <v>633</v>
      </c>
      <c r="N812" s="70" t="s">
        <v>634</v>
      </c>
      <c r="O812" s="70" t="s">
        <v>1192</v>
      </c>
      <c r="P812" s="70" t="s">
        <v>524</v>
      </c>
      <c r="Q812" s="70" t="s">
        <v>525</v>
      </c>
      <c r="R812" s="67"/>
    </row>
    <row r="813" spans="1:18" ht="15.75" customHeight="1" x14ac:dyDescent="0.3">
      <c r="A813" s="67" t="s">
        <v>526</v>
      </c>
      <c r="B813" s="67"/>
      <c r="C813" s="67"/>
      <c r="D813" s="67"/>
      <c r="E813" s="67"/>
      <c r="F813" s="70" t="s">
        <v>1193</v>
      </c>
      <c r="G813" s="70" t="s">
        <v>1194</v>
      </c>
      <c r="H813" s="67"/>
      <c r="I813" s="67"/>
      <c r="J813" s="67"/>
      <c r="K813" s="67"/>
      <c r="L813" s="67"/>
      <c r="M813" s="67"/>
      <c r="N813" s="67"/>
      <c r="O813" s="67"/>
      <c r="P813" s="67"/>
      <c r="Q813" s="67"/>
      <c r="R813" s="67"/>
    </row>
    <row r="814" spans="1:18" ht="15.75" customHeight="1" x14ac:dyDescent="0.3">
      <c r="A814" s="67" t="s">
        <v>1195</v>
      </c>
      <c r="B814" s="67">
        <v>953</v>
      </c>
      <c r="C814" s="67">
        <v>128</v>
      </c>
      <c r="D814" s="67">
        <v>128</v>
      </c>
      <c r="E814" s="67">
        <v>219</v>
      </c>
      <c r="F814" s="67">
        <v>179</v>
      </c>
      <c r="G814" s="67">
        <v>121</v>
      </c>
      <c r="H814" s="67">
        <v>92</v>
      </c>
      <c r="I814" s="67">
        <v>150</v>
      </c>
      <c r="J814" s="67">
        <v>237</v>
      </c>
      <c r="K814" s="67">
        <v>226</v>
      </c>
      <c r="L814" s="67">
        <v>99</v>
      </c>
      <c r="M814" s="67">
        <v>102</v>
      </c>
      <c r="N814" s="67">
        <v>249</v>
      </c>
      <c r="O814" s="67">
        <v>189</v>
      </c>
      <c r="P814" s="67">
        <v>333</v>
      </c>
      <c r="Q814" s="67">
        <v>411</v>
      </c>
      <c r="R814" s="67"/>
    </row>
    <row r="815" spans="1:18" ht="15.75" customHeight="1" x14ac:dyDescent="0.3">
      <c r="A815" s="67"/>
      <c r="B815" s="74" t="s">
        <v>1353</v>
      </c>
      <c r="C815" s="74" t="s">
        <v>1353</v>
      </c>
      <c r="D815" s="74" t="s">
        <v>1353</v>
      </c>
      <c r="E815" s="74" t="s">
        <v>1353</v>
      </c>
      <c r="F815" s="74" t="s">
        <v>1353</v>
      </c>
      <c r="G815" s="74" t="s">
        <v>1353</v>
      </c>
      <c r="H815" s="74" t="s">
        <v>1353</v>
      </c>
      <c r="I815" s="74" t="s">
        <v>1353</v>
      </c>
      <c r="J815" s="74" t="s">
        <v>1353</v>
      </c>
      <c r="K815" s="74" t="s">
        <v>1353</v>
      </c>
      <c r="L815" s="74" t="s">
        <v>1353</v>
      </c>
      <c r="M815" s="74" t="s">
        <v>1353</v>
      </c>
      <c r="N815" s="74" t="s">
        <v>1353</v>
      </c>
      <c r="O815" s="74" t="s">
        <v>1353</v>
      </c>
      <c r="P815" s="74" t="s">
        <v>1353</v>
      </c>
      <c r="Q815" s="74" t="s">
        <v>1353</v>
      </c>
      <c r="R815" s="67"/>
    </row>
    <row r="816" spans="1:18" ht="15.75" customHeight="1" x14ac:dyDescent="0.3">
      <c r="A816" s="70" t="s">
        <v>1354</v>
      </c>
      <c r="B816" s="67">
        <f t="shared" ref="B816:Q816" si="117">(B758/31/1.98)</f>
        <v>2682.3069403714567</v>
      </c>
      <c r="C816" s="67">
        <f t="shared" si="117"/>
        <v>2680.7266210492016</v>
      </c>
      <c r="D816" s="67">
        <f t="shared" si="117"/>
        <v>2679.1625936787227</v>
      </c>
      <c r="E816" s="67">
        <f t="shared" si="117"/>
        <v>2427.859237536657</v>
      </c>
      <c r="F816" s="67">
        <f t="shared" si="117"/>
        <v>1623.4767025089607</v>
      </c>
      <c r="G816" s="67">
        <f t="shared" si="117"/>
        <v>0</v>
      </c>
      <c r="H816" s="67">
        <f t="shared" si="117"/>
        <v>471.79863147605084</v>
      </c>
      <c r="I816" s="67">
        <f t="shared" si="117"/>
        <v>248.24046920821115</v>
      </c>
      <c r="J816" s="67">
        <f t="shared" si="117"/>
        <v>241.70739654610622</v>
      </c>
      <c r="K816" s="67">
        <f t="shared" si="117"/>
        <v>223.16715542521993</v>
      </c>
      <c r="L816" s="67">
        <f t="shared" si="117"/>
        <v>146.85565330726621</v>
      </c>
      <c r="M816" s="67">
        <f t="shared" si="117"/>
        <v>146.52981427174976</v>
      </c>
      <c r="N816" s="67">
        <f t="shared" si="117"/>
        <v>138.88888888888889</v>
      </c>
      <c r="O816" s="67">
        <f t="shared" si="117"/>
        <v>8.2274356467904841</v>
      </c>
      <c r="P816" s="67">
        <f t="shared" si="117"/>
        <v>32.730531117627898</v>
      </c>
      <c r="Q816" s="67">
        <f t="shared" si="117"/>
        <v>7.5105897686542846</v>
      </c>
      <c r="R816" s="67"/>
    </row>
    <row r="817" spans="1:18" ht="15.75" customHeight="1" x14ac:dyDescent="0.3">
      <c r="A817" s="70" t="s">
        <v>706</v>
      </c>
      <c r="B817" s="67">
        <f t="shared" ref="B817:Q817" si="118">(B759/28/1.98)</f>
        <v>2844.9855699855698</v>
      </c>
      <c r="C817" s="67">
        <f t="shared" si="118"/>
        <v>2842.3160173160177</v>
      </c>
      <c r="D817" s="67">
        <f t="shared" si="118"/>
        <v>2839.7005772005773</v>
      </c>
      <c r="E817" s="67">
        <f t="shared" si="118"/>
        <v>2558.5137085137085</v>
      </c>
      <c r="F817" s="67">
        <f t="shared" si="118"/>
        <v>1599.5490620490621</v>
      </c>
      <c r="G817" s="67">
        <f t="shared" si="118"/>
        <v>0</v>
      </c>
      <c r="H817" s="67">
        <f t="shared" si="118"/>
        <v>614.62842712842712</v>
      </c>
      <c r="I817" s="67">
        <f t="shared" si="118"/>
        <v>266.61255411255411</v>
      </c>
      <c r="J817" s="67">
        <f t="shared" si="118"/>
        <v>235.1731601731602</v>
      </c>
      <c r="K817" s="67">
        <f t="shared" si="118"/>
        <v>198.10606060606059</v>
      </c>
      <c r="L817" s="67">
        <f t="shared" si="118"/>
        <v>156.42135642135642</v>
      </c>
      <c r="M817" s="67">
        <f t="shared" si="118"/>
        <v>156.02453102453103</v>
      </c>
      <c r="N817" s="67">
        <f t="shared" si="118"/>
        <v>146.60894660894661</v>
      </c>
      <c r="O817" s="67">
        <f t="shared" si="118"/>
        <v>17.045454545454547</v>
      </c>
      <c r="P817" s="67">
        <f t="shared" si="118"/>
        <v>85.245310245310236</v>
      </c>
      <c r="Q817" s="67">
        <f t="shared" si="118"/>
        <v>16.684704184704184</v>
      </c>
      <c r="R817" s="67"/>
    </row>
    <row r="818" spans="1:18" ht="15.75" customHeight="1" x14ac:dyDescent="0.3">
      <c r="A818" s="70" t="s">
        <v>707</v>
      </c>
      <c r="B818" s="67">
        <f t="shared" ref="B818:Q818" si="119">(B760/31/1.98)</f>
        <v>2743.9068100358422</v>
      </c>
      <c r="C818" s="67">
        <f t="shared" si="119"/>
        <v>2739.4428152492669</v>
      </c>
      <c r="D818" s="67">
        <f t="shared" si="119"/>
        <v>2735.1906158357774</v>
      </c>
      <c r="E818" s="67">
        <f t="shared" si="119"/>
        <v>2370.5930270446402</v>
      </c>
      <c r="F818" s="67">
        <f t="shared" si="119"/>
        <v>387.42261322906484</v>
      </c>
      <c r="G818" s="67">
        <f t="shared" si="119"/>
        <v>-1.3196480938416422</v>
      </c>
      <c r="H818" s="67">
        <f t="shared" si="119"/>
        <v>1510.3942652329749</v>
      </c>
      <c r="I818" s="67">
        <f t="shared" si="119"/>
        <v>493.67872271098076</v>
      </c>
      <c r="J818" s="67">
        <f t="shared" si="119"/>
        <v>382.63277940697299</v>
      </c>
      <c r="K818" s="67">
        <f t="shared" si="119"/>
        <v>298.74551971326167</v>
      </c>
      <c r="L818" s="67">
        <f t="shared" si="119"/>
        <v>209.18866080156403</v>
      </c>
      <c r="M818" s="67">
        <f t="shared" si="119"/>
        <v>208.73248615184102</v>
      </c>
      <c r="N818" s="67">
        <f t="shared" si="119"/>
        <v>195.32420984033888</v>
      </c>
      <c r="O818" s="67">
        <f t="shared" si="119"/>
        <v>36.868686868686872</v>
      </c>
      <c r="P818" s="67">
        <f t="shared" si="119"/>
        <v>83.659172368849795</v>
      </c>
      <c r="Q818" s="67">
        <f t="shared" si="119"/>
        <v>35.874877810361681</v>
      </c>
      <c r="R818" s="67"/>
    </row>
    <row r="819" spans="1:18" ht="15.75" customHeight="1" x14ac:dyDescent="0.3">
      <c r="A819" s="70" t="s">
        <v>1321</v>
      </c>
      <c r="B819" s="67">
        <f t="shared" ref="B819:Q819" si="120">(B761/30/1.98)</f>
        <v>2793.939393939394</v>
      </c>
      <c r="C819" s="67">
        <f t="shared" si="120"/>
        <v>2787.7609427609427</v>
      </c>
      <c r="D819" s="67">
        <f t="shared" si="120"/>
        <v>2781.8686868686873</v>
      </c>
      <c r="E819" s="67">
        <f t="shared" si="120"/>
        <v>2410.9259259259261</v>
      </c>
      <c r="F819" s="67">
        <f t="shared" si="120"/>
        <v>0</v>
      </c>
      <c r="G819" s="67">
        <f t="shared" si="120"/>
        <v>-200.67340067340066</v>
      </c>
      <c r="H819" s="67">
        <f t="shared" si="120"/>
        <v>1992.7777777777776</v>
      </c>
      <c r="I819" s="67">
        <f t="shared" si="120"/>
        <v>757.76094276094273</v>
      </c>
      <c r="J819" s="67">
        <f t="shared" si="120"/>
        <v>530.89225589225589</v>
      </c>
      <c r="K819" s="67">
        <f t="shared" si="120"/>
        <v>401.31313131313135</v>
      </c>
      <c r="L819" s="67">
        <f t="shared" si="120"/>
        <v>245.65656565656565</v>
      </c>
      <c r="M819" s="67">
        <f t="shared" si="120"/>
        <v>245.03367003367003</v>
      </c>
      <c r="N819" s="67">
        <f t="shared" si="120"/>
        <v>227.91245791245791</v>
      </c>
      <c r="O819" s="67">
        <f t="shared" si="120"/>
        <v>53.501683501683502</v>
      </c>
      <c r="P819" s="67">
        <f t="shared" si="120"/>
        <v>84.595959595959599</v>
      </c>
      <c r="Q819" s="67">
        <f t="shared" si="120"/>
        <v>51.936026936026934</v>
      </c>
      <c r="R819" s="67"/>
    </row>
    <row r="820" spans="1:18" ht="15.75" customHeight="1" x14ac:dyDescent="0.3">
      <c r="A820" s="70" t="s">
        <v>1905</v>
      </c>
      <c r="B820" s="67">
        <f t="shared" ref="B820:Q820" si="121">(B762/31/1.98)</f>
        <v>2802.0202020202019</v>
      </c>
      <c r="C820" s="67">
        <f t="shared" si="121"/>
        <v>2795.0961225154774</v>
      </c>
      <c r="D820" s="67">
        <f t="shared" si="121"/>
        <v>2788.5467579015963</v>
      </c>
      <c r="E820" s="67">
        <f t="shared" si="121"/>
        <v>2440.2574128380584</v>
      </c>
      <c r="F820" s="67">
        <f t="shared" si="121"/>
        <v>295.861844248941</v>
      </c>
      <c r="G820" s="67">
        <f t="shared" si="121"/>
        <v>-134.37601824698598</v>
      </c>
      <c r="H820" s="67">
        <f t="shared" si="121"/>
        <v>1665.4936461388074</v>
      </c>
      <c r="I820" s="67">
        <f t="shared" si="121"/>
        <v>590.5506679700228</v>
      </c>
      <c r="J820" s="67">
        <f t="shared" si="121"/>
        <v>446.52981427174979</v>
      </c>
      <c r="K820" s="67">
        <f t="shared" si="121"/>
        <v>366.71554252199417</v>
      </c>
      <c r="L820" s="67">
        <f t="shared" si="121"/>
        <v>250.43988269794721</v>
      </c>
      <c r="M820" s="67">
        <f t="shared" si="121"/>
        <v>249.75562072336265</v>
      </c>
      <c r="N820" s="67">
        <f t="shared" si="121"/>
        <v>245.35679374389053</v>
      </c>
      <c r="O820" s="67">
        <f t="shared" si="121"/>
        <v>57.836428804170737</v>
      </c>
      <c r="P820" s="67">
        <f t="shared" si="121"/>
        <v>86.396220267188014</v>
      </c>
      <c r="Q820" s="67">
        <f t="shared" si="121"/>
        <v>57.021831215379606</v>
      </c>
      <c r="R820" s="67"/>
    </row>
    <row r="821" spans="1:18" ht="15.75" customHeight="1" x14ac:dyDescent="0.3">
      <c r="A821" s="70" t="s">
        <v>1906</v>
      </c>
      <c r="B821" s="67">
        <f t="shared" ref="B821:Q821" si="122">(B763/30/1.98)</f>
        <v>2163.333333333333</v>
      </c>
      <c r="C821" s="67">
        <f t="shared" si="122"/>
        <v>2156.3131313131312</v>
      </c>
      <c r="D821" s="67">
        <f t="shared" si="122"/>
        <v>2149.6464646464647</v>
      </c>
      <c r="E821" s="67">
        <f t="shared" si="122"/>
        <v>1874.5286195286194</v>
      </c>
      <c r="F821" s="67">
        <f t="shared" si="122"/>
        <v>12.946127946127946</v>
      </c>
      <c r="G821" s="67">
        <f t="shared" si="122"/>
        <v>-1014.5454545454545</v>
      </c>
      <c r="H821" s="67">
        <f t="shared" si="122"/>
        <v>2196.1784511784513</v>
      </c>
      <c r="I821" s="67">
        <f t="shared" si="122"/>
        <v>716.31313131313129</v>
      </c>
      <c r="J821" s="67">
        <f t="shared" si="122"/>
        <v>430.08417508417511</v>
      </c>
      <c r="K821" s="67">
        <f t="shared" si="122"/>
        <v>348.61952861952864</v>
      </c>
      <c r="L821" s="67">
        <f t="shared" si="122"/>
        <v>240.7744107744108</v>
      </c>
      <c r="M821" s="67">
        <f t="shared" si="122"/>
        <v>240.03367003367003</v>
      </c>
      <c r="N821" s="67">
        <f t="shared" si="122"/>
        <v>238.56902356902359</v>
      </c>
      <c r="O821" s="67">
        <f t="shared" si="122"/>
        <v>48.552188552188554</v>
      </c>
      <c r="P821" s="67">
        <f t="shared" si="122"/>
        <v>87.794612794612803</v>
      </c>
      <c r="Q821" s="67">
        <f t="shared" si="122"/>
        <v>48.215488215488215</v>
      </c>
      <c r="R821" s="67"/>
    </row>
    <row r="822" spans="1:18" ht="15.75" customHeight="1" x14ac:dyDescent="0.3">
      <c r="A822" s="70" t="s">
        <v>1907</v>
      </c>
      <c r="B822" s="67">
        <f t="shared" ref="B822:Q822" si="123">(B764/31/1.98)</f>
        <v>1318.4913652655587</v>
      </c>
      <c r="C822" s="67">
        <f t="shared" si="123"/>
        <v>1311.7139133268165</v>
      </c>
      <c r="D822" s="67">
        <f t="shared" si="123"/>
        <v>1305.2948843271424</v>
      </c>
      <c r="E822" s="67">
        <f t="shared" si="123"/>
        <v>1181.9322254806125</v>
      </c>
      <c r="F822" s="67">
        <f t="shared" si="123"/>
        <v>0</v>
      </c>
      <c r="G822" s="67">
        <f t="shared" si="123"/>
        <v>-1509.9217986314759</v>
      </c>
      <c r="H822" s="67">
        <f t="shared" si="123"/>
        <v>1978.2013685239492</v>
      </c>
      <c r="I822" s="67">
        <f t="shared" si="123"/>
        <v>795.06353861192576</v>
      </c>
      <c r="J822" s="67">
        <f t="shared" si="123"/>
        <v>480.61257738677097</v>
      </c>
      <c r="K822" s="67">
        <f t="shared" si="123"/>
        <v>358.19485174323887</v>
      </c>
      <c r="L822" s="67">
        <f t="shared" si="123"/>
        <v>245.04724666014988</v>
      </c>
      <c r="M822" s="67">
        <f t="shared" si="123"/>
        <v>244.4118605408928</v>
      </c>
      <c r="N822" s="67">
        <f t="shared" si="123"/>
        <v>230.31932225480614</v>
      </c>
      <c r="O822" s="67">
        <f t="shared" si="123"/>
        <v>30.286738351254481</v>
      </c>
      <c r="P822" s="67">
        <f t="shared" si="123"/>
        <v>86.086673183447374</v>
      </c>
      <c r="Q822" s="67">
        <f t="shared" si="123"/>
        <v>29.390681003584231</v>
      </c>
      <c r="R822" s="67"/>
    </row>
    <row r="823" spans="1:18" ht="15.75" customHeight="1" x14ac:dyDescent="0.3">
      <c r="A823" s="70" t="s">
        <v>1908</v>
      </c>
      <c r="B823" s="67">
        <f t="shared" ref="B823:Q823" si="124">(B765/31/1.98)</f>
        <v>1117.2857608341478</v>
      </c>
      <c r="C823" s="67">
        <f t="shared" si="124"/>
        <v>1111.8442489410231</v>
      </c>
      <c r="D823" s="67">
        <f t="shared" si="124"/>
        <v>1106.6634082763114</v>
      </c>
      <c r="E823" s="67">
        <f t="shared" si="124"/>
        <v>879.11371782339529</v>
      </c>
      <c r="F823" s="67">
        <f t="shared" si="124"/>
        <v>0</v>
      </c>
      <c r="G823" s="67">
        <f t="shared" si="124"/>
        <v>-2107.9015966112743</v>
      </c>
      <c r="H823" s="67">
        <f t="shared" si="124"/>
        <v>2338.9703486477679</v>
      </c>
      <c r="I823" s="67">
        <f t="shared" si="124"/>
        <v>866.50374714890847</v>
      </c>
      <c r="J823" s="67">
        <f t="shared" si="124"/>
        <v>550.79830563701523</v>
      </c>
      <c r="K823" s="67">
        <f t="shared" si="124"/>
        <v>398.3056370153144</v>
      </c>
      <c r="L823" s="67">
        <f t="shared" si="124"/>
        <v>286.86868686868689</v>
      </c>
      <c r="M823" s="67">
        <f t="shared" si="124"/>
        <v>286.2821766047573</v>
      </c>
      <c r="N823" s="67">
        <f t="shared" si="124"/>
        <v>271.48908439231019</v>
      </c>
      <c r="O823" s="67">
        <f t="shared" si="124"/>
        <v>54.561746497230367</v>
      </c>
      <c r="P823" s="67">
        <f t="shared" si="124"/>
        <v>89.377647442163578</v>
      </c>
      <c r="Q823" s="67">
        <f t="shared" si="124"/>
        <v>52.867383512544798</v>
      </c>
      <c r="R823" s="67"/>
    </row>
    <row r="824" spans="1:18" ht="15.75" customHeight="1" x14ac:dyDescent="0.3">
      <c r="A824" s="70" t="s">
        <v>2352</v>
      </c>
      <c r="B824" s="67">
        <f>(B766/30/1.98)</f>
        <v>1589.3939393939395</v>
      </c>
      <c r="C824" s="67">
        <f t="shared" ref="C824:Q824" si="125">(C766/30/1.98)</f>
        <v>1584.0740740740741</v>
      </c>
      <c r="D824" s="67">
        <f t="shared" si="125"/>
        <v>1579.006734006734</v>
      </c>
      <c r="E824" s="67">
        <f t="shared" si="125"/>
        <v>1355.9595959595961</v>
      </c>
      <c r="F824" s="67">
        <f t="shared" si="125"/>
        <v>0</v>
      </c>
      <c r="G824" s="67">
        <f t="shared" si="125"/>
        <v>-912.64309764309769</v>
      </c>
      <c r="H824" s="67">
        <f t="shared" si="125"/>
        <v>1645.5555555555554</v>
      </c>
      <c r="I824" s="67">
        <f t="shared" si="125"/>
        <v>607.65993265993268</v>
      </c>
      <c r="J824" s="67">
        <f t="shared" si="125"/>
        <v>481.91919191919197</v>
      </c>
      <c r="K824" s="67">
        <f t="shared" si="125"/>
        <v>379.76430976430976</v>
      </c>
      <c r="L824" s="67">
        <f t="shared" si="125"/>
        <v>287.10437710437714</v>
      </c>
      <c r="M824" s="67">
        <f t="shared" si="125"/>
        <v>286.53198653198655</v>
      </c>
      <c r="N824" s="67">
        <f t="shared" si="125"/>
        <v>276.11111111111114</v>
      </c>
      <c r="O824" s="67">
        <f t="shared" si="125"/>
        <v>52.727272727272734</v>
      </c>
      <c r="P824" s="67">
        <f t="shared" si="125"/>
        <v>75.505050505050505</v>
      </c>
      <c r="Q824" s="67">
        <f t="shared" si="125"/>
        <v>52.62626262626263</v>
      </c>
      <c r="R824" s="67"/>
    </row>
    <row r="825" spans="1:18" ht="15.75" customHeight="1" x14ac:dyDescent="0.3">
      <c r="A825" s="70" t="s">
        <v>2353</v>
      </c>
      <c r="B825" s="67">
        <f t="shared" ref="B825:Q825" si="126">(B767/31/1.98)</f>
        <v>2205.8488106875207</v>
      </c>
      <c r="C825" s="67">
        <f t="shared" si="126"/>
        <v>2201.2056044314108</v>
      </c>
      <c r="D825" s="67">
        <f t="shared" si="126"/>
        <v>2196.7741935483873</v>
      </c>
      <c r="E825" s="67">
        <f t="shared" si="126"/>
        <v>1995.2916259367871</v>
      </c>
      <c r="F825" s="67">
        <f t="shared" si="126"/>
        <v>421.08178559791463</v>
      </c>
      <c r="G825" s="67">
        <f t="shared" si="126"/>
        <v>-25.301401107852719</v>
      </c>
      <c r="H825" s="67">
        <f t="shared" si="126"/>
        <v>1025.0407298794396</v>
      </c>
      <c r="I825" s="67">
        <f t="shared" si="126"/>
        <v>360.6875203649397</v>
      </c>
      <c r="J825" s="67">
        <f t="shared" si="126"/>
        <v>304.46399478657543</v>
      </c>
      <c r="K825" s="67">
        <f t="shared" si="126"/>
        <v>260.54089279895732</v>
      </c>
      <c r="L825" s="67">
        <f t="shared" si="126"/>
        <v>200.76572173346366</v>
      </c>
      <c r="M825" s="67">
        <f t="shared" si="126"/>
        <v>200.2932551319648</v>
      </c>
      <c r="N825" s="67">
        <f t="shared" si="126"/>
        <v>195.34050179211468</v>
      </c>
      <c r="O825" s="67">
        <f t="shared" si="126"/>
        <v>42.114695340501797</v>
      </c>
      <c r="P825" s="67">
        <f t="shared" si="126"/>
        <v>91.120886282176599</v>
      </c>
      <c r="Q825" s="67">
        <f t="shared" si="126"/>
        <v>42.033235581622677</v>
      </c>
      <c r="R825" s="67"/>
    </row>
    <row r="826" spans="1:18" ht="15.75" customHeight="1" x14ac:dyDescent="0.3">
      <c r="A826" s="70" t="s">
        <v>2354</v>
      </c>
      <c r="B826" s="67">
        <f t="shared" ref="B826:Q826" si="127">(B768/30/1.98)</f>
        <v>2830.8922558922559</v>
      </c>
      <c r="C826" s="67">
        <f t="shared" si="127"/>
        <v>2826.9360269360268</v>
      </c>
      <c r="D826" s="67">
        <f t="shared" si="127"/>
        <v>2823.1313131313132</v>
      </c>
      <c r="E826" s="67">
        <f t="shared" si="127"/>
        <v>2573.9225589225589</v>
      </c>
      <c r="F826" s="67">
        <f t="shared" si="127"/>
        <v>1532.7441077441079</v>
      </c>
      <c r="G826" s="67">
        <f t="shared" si="127"/>
        <v>0</v>
      </c>
      <c r="H826" s="67">
        <f t="shared" si="127"/>
        <v>537.74410774410774</v>
      </c>
      <c r="I826" s="67">
        <f t="shared" si="127"/>
        <v>172.87878787878788</v>
      </c>
      <c r="J826" s="67">
        <f t="shared" si="127"/>
        <v>161.4814814814815</v>
      </c>
      <c r="K826" s="67">
        <f t="shared" si="127"/>
        <v>157.44107744107745</v>
      </c>
      <c r="L826" s="67">
        <f t="shared" si="127"/>
        <v>126.44781144781145</v>
      </c>
      <c r="M826" s="67">
        <f t="shared" si="127"/>
        <v>126.06060606060606</v>
      </c>
      <c r="N826" s="67">
        <f t="shared" si="127"/>
        <v>123.38383838383839</v>
      </c>
      <c r="O826" s="67">
        <f t="shared" si="127"/>
        <v>28.98989898989899</v>
      </c>
      <c r="P826" s="67">
        <f t="shared" si="127"/>
        <v>84.966329966329965</v>
      </c>
      <c r="Q826" s="67">
        <f t="shared" si="127"/>
        <v>27.457912457912457</v>
      </c>
      <c r="R826" s="67"/>
    </row>
    <row r="827" spans="1:18" ht="15.75" customHeight="1" x14ac:dyDescent="0.3">
      <c r="A827" s="70" t="s">
        <v>2355</v>
      </c>
      <c r="B827" s="67">
        <f t="shared" ref="B827:Q827" si="128">(B769/31/1.98)</f>
        <v>1085.3209514499838</v>
      </c>
      <c r="C827" s="67">
        <f t="shared" si="128"/>
        <v>1082.2906484196808</v>
      </c>
      <c r="D827" s="67">
        <f t="shared" si="128"/>
        <v>1079.3743890518083</v>
      </c>
      <c r="E827" s="67">
        <f t="shared" si="128"/>
        <v>815.3796024763767</v>
      </c>
      <c r="F827" s="67">
        <f t="shared" si="128"/>
        <v>336.64059954382532</v>
      </c>
      <c r="G827" s="67">
        <f t="shared" si="128"/>
        <v>-368.88237210817857</v>
      </c>
      <c r="H827" s="67">
        <f t="shared" si="128"/>
        <v>504.26849136526556</v>
      </c>
      <c r="I827" s="67">
        <f t="shared" si="128"/>
        <v>266.25936787227113</v>
      </c>
      <c r="J827" s="67">
        <f t="shared" si="128"/>
        <v>241.00684261974584</v>
      </c>
      <c r="K827" s="67">
        <f t="shared" si="128"/>
        <v>229.60247637666993</v>
      </c>
      <c r="L827" s="67">
        <f t="shared" si="128"/>
        <v>164.8256761159987</v>
      </c>
      <c r="M827" s="67">
        <f t="shared" si="128"/>
        <v>164.51612903225808</v>
      </c>
      <c r="N827" s="67">
        <f t="shared" si="128"/>
        <v>164.28804170739656</v>
      </c>
      <c r="O827" s="67">
        <f t="shared" si="128"/>
        <v>43.662430759204952</v>
      </c>
      <c r="P827" s="67">
        <f t="shared" si="128"/>
        <v>87.862495927012063</v>
      </c>
      <c r="Q827" s="67">
        <f t="shared" si="128"/>
        <v>43.385467579015966</v>
      </c>
      <c r="R827" s="67"/>
    </row>
    <row r="828" spans="1:18" ht="15.75" customHeight="1" x14ac:dyDescent="0.3">
      <c r="A828" s="67"/>
      <c r="B828" s="67"/>
      <c r="C828" s="67"/>
      <c r="D828" s="67"/>
      <c r="E828" s="67"/>
      <c r="F828" s="67"/>
      <c r="G828" s="67"/>
      <c r="H828" s="67"/>
      <c r="I828" s="67"/>
      <c r="J828" s="67"/>
      <c r="K828" s="67"/>
      <c r="L828" s="67"/>
      <c r="M828" s="67"/>
      <c r="N828" s="67"/>
      <c r="O828" s="67"/>
      <c r="P828" s="67"/>
      <c r="Q828" s="67"/>
      <c r="R828" s="67"/>
    </row>
    <row r="829" spans="1:18" ht="15.75" customHeight="1" x14ac:dyDescent="0.3">
      <c r="A829" s="67"/>
      <c r="B829" s="67"/>
      <c r="C829" s="67"/>
      <c r="D829" s="71" t="s">
        <v>1198</v>
      </c>
      <c r="E829" s="67"/>
      <c r="F829" s="67"/>
      <c r="G829" s="67"/>
      <c r="H829" s="67"/>
      <c r="I829" s="67"/>
      <c r="J829" s="67"/>
      <c r="K829" s="67"/>
      <c r="L829" s="67"/>
      <c r="M829" s="67"/>
      <c r="N829" s="67"/>
      <c r="O829" s="67"/>
      <c r="P829" s="67"/>
      <c r="Q829" s="71" t="str">
        <f>+Q1</f>
        <v>PRINTED:</v>
      </c>
      <c r="R829" s="77">
        <f ca="1">+R1</f>
        <v>44881.72963425926</v>
      </c>
    </row>
    <row r="830" spans="1:18" ht="15.75" customHeight="1" x14ac:dyDescent="0.3">
      <c r="A830" s="67"/>
      <c r="B830" s="67"/>
      <c r="C830" s="67"/>
      <c r="D830" s="67"/>
      <c r="E830" s="67" t="s">
        <v>852</v>
      </c>
      <c r="F830" s="69" t="str">
        <f>+A8</f>
        <v>Revised:  1/19/09</v>
      </c>
      <c r="G830" s="67"/>
      <c r="H830" s="67"/>
      <c r="I830" s="67"/>
      <c r="J830" s="67"/>
      <c r="K830" s="67"/>
      <c r="L830" s="67"/>
      <c r="M830" s="67"/>
      <c r="N830" s="67"/>
      <c r="O830" s="67"/>
      <c r="P830" s="67"/>
      <c r="Q830" s="67"/>
      <c r="R830" s="67"/>
    </row>
    <row r="831" spans="1:18" ht="15.75" customHeight="1" x14ac:dyDescent="0.3">
      <c r="A831" s="67"/>
      <c r="B831" s="67"/>
      <c r="C831" s="67"/>
      <c r="D831" s="67" t="s">
        <v>2126</v>
      </c>
      <c r="E831" s="67"/>
      <c r="F831" s="67"/>
      <c r="G831" s="67"/>
      <c r="H831" s="67"/>
      <c r="I831" s="67"/>
      <c r="J831" s="67"/>
      <c r="K831" s="67"/>
      <c r="L831" s="67"/>
      <c r="M831" s="67"/>
      <c r="N831" s="67"/>
      <c r="O831" s="67"/>
      <c r="P831" s="67"/>
      <c r="Q831" s="67"/>
      <c r="R831" s="67"/>
    </row>
    <row r="832" spans="1:18" ht="15.75" customHeight="1" x14ac:dyDescent="0.3">
      <c r="A832" s="67"/>
      <c r="B832" s="67"/>
      <c r="C832" s="67"/>
      <c r="D832" s="67"/>
      <c r="E832" s="67"/>
      <c r="F832" s="67"/>
      <c r="G832" s="67"/>
      <c r="H832" s="67"/>
      <c r="I832" s="67"/>
      <c r="J832" s="67"/>
      <c r="K832" s="67"/>
      <c r="L832" s="67"/>
      <c r="M832" s="67"/>
      <c r="N832" s="67"/>
      <c r="O832" s="67"/>
      <c r="P832" s="67"/>
      <c r="Q832" s="67"/>
      <c r="R832" s="67"/>
    </row>
    <row r="833" spans="1:18" ht="15.75" customHeight="1" x14ac:dyDescent="0.3">
      <c r="A833" s="67"/>
      <c r="B833" s="67"/>
      <c r="C833" s="67"/>
      <c r="D833" s="67"/>
      <c r="E833" s="67" t="str">
        <f>A5</f>
        <v>Calendar Year 2008</v>
      </c>
      <c r="F833" s="67"/>
      <c r="G833" s="67"/>
      <c r="H833" s="67"/>
      <c r="I833" s="67"/>
      <c r="J833" s="67"/>
      <c r="K833" s="67"/>
      <c r="L833" s="67"/>
      <c r="M833" s="67"/>
      <c r="N833" s="67"/>
      <c r="O833" s="67"/>
      <c r="P833" s="67"/>
      <c r="Q833" s="67"/>
      <c r="R833" s="67"/>
    </row>
    <row r="834" spans="1:18" ht="15.75" customHeight="1" x14ac:dyDescent="0.3">
      <c r="A834" s="67"/>
      <c r="B834" s="67"/>
      <c r="C834" s="67"/>
      <c r="D834" s="67"/>
      <c r="E834" s="67" t="s">
        <v>1199</v>
      </c>
      <c r="F834" s="67"/>
      <c r="G834" s="67"/>
      <c r="H834" s="67"/>
      <c r="I834" s="67"/>
      <c r="J834" s="67"/>
      <c r="K834" s="67"/>
      <c r="L834" s="67"/>
      <c r="M834" s="67"/>
      <c r="N834" s="67"/>
      <c r="O834" s="67"/>
      <c r="P834" s="67"/>
      <c r="Q834" s="67"/>
      <c r="R834" s="67"/>
    </row>
    <row r="835" spans="1:18" ht="15.75" customHeight="1" x14ac:dyDescent="0.3">
      <c r="A835" s="67"/>
      <c r="B835" s="67"/>
      <c r="C835" s="67"/>
      <c r="D835" s="67"/>
      <c r="E835" s="67"/>
      <c r="F835" s="67"/>
      <c r="G835" s="67"/>
      <c r="H835" s="67"/>
      <c r="I835" s="67"/>
      <c r="J835" s="67"/>
      <c r="K835" s="67"/>
      <c r="L835" s="67"/>
      <c r="M835" s="67"/>
      <c r="N835" s="67"/>
      <c r="O835" s="67"/>
      <c r="P835" s="67"/>
      <c r="Q835" s="67"/>
      <c r="R835" s="67"/>
    </row>
    <row r="836" spans="1:18" ht="15.75" customHeight="1" x14ac:dyDescent="0.3">
      <c r="A836" s="67" t="s">
        <v>1307</v>
      </c>
      <c r="B836" s="70" t="s">
        <v>1308</v>
      </c>
      <c r="C836" s="70" t="s">
        <v>1309</v>
      </c>
      <c r="D836" s="70" t="s">
        <v>1029</v>
      </c>
      <c r="E836" s="70" t="s">
        <v>1030</v>
      </c>
      <c r="F836" s="70" t="s">
        <v>284</v>
      </c>
      <c r="G836" s="70" t="s">
        <v>284</v>
      </c>
      <c r="H836" s="70" t="s">
        <v>285</v>
      </c>
      <c r="I836" s="70" t="s">
        <v>286</v>
      </c>
      <c r="J836" s="70" t="s">
        <v>287</v>
      </c>
      <c r="K836" s="70" t="s">
        <v>288</v>
      </c>
      <c r="L836" s="70" t="s">
        <v>289</v>
      </c>
      <c r="M836" s="70" t="s">
        <v>633</v>
      </c>
      <c r="N836" s="70" t="s">
        <v>634</v>
      </c>
      <c r="O836" s="70" t="s">
        <v>1192</v>
      </c>
      <c r="P836" s="70" t="s">
        <v>524</v>
      </c>
      <c r="Q836" s="70" t="s">
        <v>525</v>
      </c>
      <c r="R836" s="70" t="s">
        <v>2356</v>
      </c>
    </row>
    <row r="837" spans="1:18" ht="15.75" customHeight="1" x14ac:dyDescent="0.3">
      <c r="A837" s="67" t="s">
        <v>526</v>
      </c>
      <c r="B837" s="67"/>
      <c r="C837" s="67"/>
      <c r="D837" s="67"/>
      <c r="E837" s="67"/>
      <c r="F837" s="70" t="s">
        <v>1193</v>
      </c>
      <c r="G837" s="70" t="s">
        <v>1194</v>
      </c>
      <c r="H837" s="67"/>
      <c r="I837" s="67"/>
      <c r="J837" s="67"/>
      <c r="K837" s="67"/>
      <c r="L837" s="67"/>
      <c r="M837" s="67"/>
      <c r="N837" s="67"/>
      <c r="O837" s="67"/>
      <c r="P837" s="67"/>
      <c r="Q837" s="67"/>
      <c r="R837" s="70" t="s">
        <v>1236</v>
      </c>
    </row>
    <row r="838" spans="1:18" ht="15.75" customHeight="1" x14ac:dyDescent="0.3">
      <c r="A838" s="67" t="s">
        <v>1195</v>
      </c>
      <c r="B838" s="67">
        <v>953</v>
      </c>
      <c r="C838" s="67">
        <v>128</v>
      </c>
      <c r="D838" s="67">
        <v>128</v>
      </c>
      <c r="E838" s="67">
        <v>219</v>
      </c>
      <c r="F838" s="67">
        <v>179</v>
      </c>
      <c r="G838" s="67">
        <v>121</v>
      </c>
      <c r="H838" s="67">
        <v>92</v>
      </c>
      <c r="I838" s="67">
        <v>150</v>
      </c>
      <c r="J838" s="67">
        <v>237</v>
      </c>
      <c r="K838" s="67">
        <v>226</v>
      </c>
      <c r="L838" s="67">
        <v>99</v>
      </c>
      <c r="M838" s="67">
        <v>102</v>
      </c>
      <c r="N838" s="67">
        <v>249</v>
      </c>
      <c r="O838" s="67">
        <v>189</v>
      </c>
      <c r="P838" s="67">
        <v>333</v>
      </c>
      <c r="Q838" s="67">
        <v>411</v>
      </c>
      <c r="R838" s="70" t="s">
        <v>335</v>
      </c>
    </row>
    <row r="839" spans="1:18" ht="15.75" customHeight="1" x14ac:dyDescent="0.3">
      <c r="A839" s="67"/>
      <c r="B839" s="67" t="s">
        <v>1353</v>
      </c>
      <c r="C839" s="67" t="s">
        <v>1353</v>
      </c>
      <c r="D839" s="67" t="s">
        <v>1353</v>
      </c>
      <c r="E839" s="67" t="s">
        <v>1353</v>
      </c>
      <c r="F839" s="67" t="s">
        <v>1353</v>
      </c>
      <c r="G839" s="67" t="s">
        <v>1353</v>
      </c>
      <c r="H839" s="67" t="s">
        <v>1353</v>
      </c>
      <c r="I839" s="67" t="s">
        <v>1353</v>
      </c>
      <c r="J839" s="67" t="s">
        <v>1353</v>
      </c>
      <c r="K839" s="67" t="s">
        <v>1353</v>
      </c>
      <c r="L839" s="67" t="s">
        <v>1353</v>
      </c>
      <c r="M839" s="67" t="s">
        <v>1353</v>
      </c>
      <c r="N839" s="67" t="s">
        <v>1353</v>
      </c>
      <c r="O839" s="67" t="s">
        <v>1353</v>
      </c>
      <c r="P839" s="67" t="s">
        <v>1353</v>
      </c>
      <c r="Q839" s="67" t="s">
        <v>1353</v>
      </c>
      <c r="R839" s="67" t="s">
        <v>251</v>
      </c>
    </row>
    <row r="840" spans="1:18" ht="15.75" customHeight="1" x14ac:dyDescent="0.3">
      <c r="A840" s="70" t="s">
        <v>1354</v>
      </c>
      <c r="B840" s="67">
        <f t="shared" ref="B840:Q840" si="129">(B758*B756)/1000</f>
        <v>156901.92000000001</v>
      </c>
      <c r="C840" s="67">
        <f t="shared" si="129"/>
        <v>21061.504000000001</v>
      </c>
      <c r="D840" s="67">
        <f t="shared" si="129"/>
        <v>21049.216</v>
      </c>
      <c r="E840" s="67">
        <f t="shared" si="129"/>
        <v>32635.817999999999</v>
      </c>
      <c r="F840" s="67">
        <f t="shared" si="129"/>
        <v>17837.170999999998</v>
      </c>
      <c r="G840" s="67">
        <f t="shared" si="129"/>
        <v>0</v>
      </c>
      <c r="H840" s="67">
        <f t="shared" si="129"/>
        <v>2664.2280000000001</v>
      </c>
      <c r="I840" s="67">
        <f t="shared" si="129"/>
        <v>2285.5500000000002</v>
      </c>
      <c r="J840" s="67">
        <f t="shared" si="129"/>
        <v>3516.1320000000001</v>
      </c>
      <c r="K840" s="67">
        <f t="shared" si="129"/>
        <v>3095.748</v>
      </c>
      <c r="L840" s="67">
        <f t="shared" si="129"/>
        <v>892.38599999999997</v>
      </c>
      <c r="M840" s="67">
        <f t="shared" si="129"/>
        <v>917.38800000000003</v>
      </c>
      <c r="N840" s="67">
        <f t="shared" si="129"/>
        <v>2122.7249999999999</v>
      </c>
      <c r="O840" s="67">
        <f t="shared" si="129"/>
        <v>95.444999999999993</v>
      </c>
      <c r="P840" s="67">
        <f t="shared" si="129"/>
        <v>668.99699999999996</v>
      </c>
      <c r="Q840" s="67">
        <f t="shared" si="129"/>
        <v>189.471</v>
      </c>
      <c r="R840" s="67">
        <f t="shared" ref="R840:R851" si="130">(SUM(B840:Q840))</f>
        <v>265933.69899999996</v>
      </c>
    </row>
    <row r="841" spans="1:18" ht="15.75" customHeight="1" x14ac:dyDescent="0.3">
      <c r="A841" s="70" t="s">
        <v>706</v>
      </c>
      <c r="B841" s="67">
        <f t="shared" ref="B841:Q841" si="131">(B759*B756)/1000</f>
        <v>150312.878</v>
      </c>
      <c r="C841" s="67">
        <f t="shared" si="131"/>
        <v>20169.984</v>
      </c>
      <c r="D841" s="67">
        <f t="shared" si="131"/>
        <v>20151.423999999999</v>
      </c>
      <c r="E841" s="67">
        <f t="shared" si="131"/>
        <v>31063.835999999999</v>
      </c>
      <c r="F841" s="67">
        <f t="shared" si="131"/>
        <v>15873.540999999999</v>
      </c>
      <c r="G841" s="67">
        <f t="shared" si="131"/>
        <v>0</v>
      </c>
      <c r="H841" s="67">
        <f t="shared" si="131"/>
        <v>3134.9</v>
      </c>
      <c r="I841" s="67">
        <f t="shared" si="131"/>
        <v>2217.15</v>
      </c>
      <c r="J841" s="67">
        <f t="shared" si="131"/>
        <v>3090.0059999999999</v>
      </c>
      <c r="K841" s="67">
        <f t="shared" si="131"/>
        <v>2482.1579999999999</v>
      </c>
      <c r="L841" s="67">
        <f t="shared" si="131"/>
        <v>858.52800000000002</v>
      </c>
      <c r="M841" s="67">
        <f t="shared" si="131"/>
        <v>882.3</v>
      </c>
      <c r="N841" s="67">
        <f t="shared" si="131"/>
        <v>2023.8720000000001</v>
      </c>
      <c r="O841" s="67">
        <f t="shared" si="131"/>
        <v>178.60499999999999</v>
      </c>
      <c r="P841" s="67">
        <f t="shared" si="131"/>
        <v>1573.758</v>
      </c>
      <c r="Q841" s="67">
        <f t="shared" si="131"/>
        <v>380.17500000000001</v>
      </c>
      <c r="R841" s="67">
        <f t="shared" si="130"/>
        <v>254393.11499999996</v>
      </c>
    </row>
    <row r="842" spans="1:18" ht="15.75" customHeight="1" x14ac:dyDescent="0.3">
      <c r="A842" s="70" t="s">
        <v>707</v>
      </c>
      <c r="B842" s="67">
        <f t="shared" ref="B842:Q842" si="132">(B760*B756)/1000</f>
        <v>160505.21299999999</v>
      </c>
      <c r="C842" s="67">
        <f t="shared" si="132"/>
        <v>21522.815999999999</v>
      </c>
      <c r="D842" s="67">
        <f t="shared" si="132"/>
        <v>21489.407999999999</v>
      </c>
      <c r="E842" s="67">
        <f t="shared" si="132"/>
        <v>31866.032999999999</v>
      </c>
      <c r="F842" s="67">
        <f t="shared" si="132"/>
        <v>4256.62</v>
      </c>
      <c r="G842" s="67">
        <f t="shared" si="132"/>
        <v>-9.8010000000000002</v>
      </c>
      <c r="H842" s="67">
        <f t="shared" si="132"/>
        <v>8529.1360000000004</v>
      </c>
      <c r="I842" s="67">
        <f t="shared" si="132"/>
        <v>4545.3</v>
      </c>
      <c r="J842" s="67">
        <f t="shared" si="132"/>
        <v>5566.1819999999998</v>
      </c>
      <c r="K842" s="67">
        <f t="shared" si="132"/>
        <v>4144.1620000000003</v>
      </c>
      <c r="L842" s="67">
        <f t="shared" si="132"/>
        <v>1271.1600000000001</v>
      </c>
      <c r="M842" s="67">
        <f t="shared" si="132"/>
        <v>1306.8240000000001</v>
      </c>
      <c r="N842" s="67">
        <f t="shared" si="132"/>
        <v>2985.261</v>
      </c>
      <c r="O842" s="67">
        <f t="shared" si="132"/>
        <v>427.70699999999999</v>
      </c>
      <c r="P842" s="67">
        <f t="shared" si="132"/>
        <v>1709.9549999999999</v>
      </c>
      <c r="Q842" s="67">
        <f t="shared" si="132"/>
        <v>905.02200000000005</v>
      </c>
      <c r="R842" s="67">
        <f t="shared" si="130"/>
        <v>271020.99799999996</v>
      </c>
    </row>
    <row r="843" spans="1:18" ht="15.75" customHeight="1" x14ac:dyDescent="0.3">
      <c r="A843" s="70" t="s">
        <v>1321</v>
      </c>
      <c r="B843" s="67">
        <f t="shared" ref="B843:Q843" si="133">(B761*B756)/1000</f>
        <v>158159.88</v>
      </c>
      <c r="C843" s="67">
        <f t="shared" si="133"/>
        <v>21195.903999999999</v>
      </c>
      <c r="D843" s="67">
        <f t="shared" si="133"/>
        <v>21151.103999999999</v>
      </c>
      <c r="E843" s="67">
        <f t="shared" si="133"/>
        <v>31362.771000000001</v>
      </c>
      <c r="F843" s="67">
        <f t="shared" si="133"/>
        <v>0</v>
      </c>
      <c r="G843" s="67">
        <f t="shared" si="133"/>
        <v>-1442.32</v>
      </c>
      <c r="H843" s="67">
        <f t="shared" si="133"/>
        <v>10890.132</v>
      </c>
      <c r="I843" s="67">
        <f t="shared" si="133"/>
        <v>6751.65</v>
      </c>
      <c r="J843" s="67">
        <f t="shared" si="133"/>
        <v>7473.7950000000001</v>
      </c>
      <c r="K843" s="67">
        <f t="shared" si="133"/>
        <v>5387.3879999999999</v>
      </c>
      <c r="L843" s="67">
        <f t="shared" si="133"/>
        <v>1444.6079999999999</v>
      </c>
      <c r="M843" s="67">
        <f t="shared" si="133"/>
        <v>1484.61</v>
      </c>
      <c r="N843" s="67">
        <f t="shared" si="133"/>
        <v>3370.962</v>
      </c>
      <c r="O843" s="67">
        <f t="shared" si="133"/>
        <v>600.64200000000005</v>
      </c>
      <c r="P843" s="67">
        <f t="shared" si="133"/>
        <v>1673.325</v>
      </c>
      <c r="Q843" s="67">
        <f t="shared" si="133"/>
        <v>1267.9349999999999</v>
      </c>
      <c r="R843" s="67">
        <f t="shared" si="130"/>
        <v>270772.386</v>
      </c>
    </row>
    <row r="844" spans="1:18" ht="15.75" customHeight="1" x14ac:dyDescent="0.3">
      <c r="A844" s="70" t="s">
        <v>1905</v>
      </c>
      <c r="B844" s="67">
        <f t="shared" ref="B844:Q844" si="134">(B762*B756)/1000</f>
        <v>163904.56400000001</v>
      </c>
      <c r="C844" s="67">
        <f t="shared" si="134"/>
        <v>21960.063999999998</v>
      </c>
      <c r="D844" s="67">
        <f t="shared" si="134"/>
        <v>21908.608</v>
      </c>
      <c r="E844" s="67">
        <f t="shared" si="134"/>
        <v>32802.476999999999</v>
      </c>
      <c r="F844" s="67">
        <f t="shared" si="134"/>
        <v>3250.64</v>
      </c>
      <c r="G844" s="67">
        <f t="shared" si="134"/>
        <v>-998.00800000000004</v>
      </c>
      <c r="H844" s="67">
        <f t="shared" si="134"/>
        <v>9404.9760000000006</v>
      </c>
      <c r="I844" s="67">
        <f t="shared" si="134"/>
        <v>5437.2</v>
      </c>
      <c r="J844" s="67">
        <f t="shared" si="134"/>
        <v>6495.6959999999999</v>
      </c>
      <c r="K844" s="67">
        <f t="shared" si="134"/>
        <v>5087.0339999999997</v>
      </c>
      <c r="L844" s="67">
        <f t="shared" si="134"/>
        <v>1521.828</v>
      </c>
      <c r="M844" s="67">
        <f t="shared" si="134"/>
        <v>1563.66</v>
      </c>
      <c r="N844" s="67">
        <f t="shared" si="134"/>
        <v>3749.94</v>
      </c>
      <c r="O844" s="67">
        <f t="shared" si="134"/>
        <v>670.95</v>
      </c>
      <c r="P844" s="67">
        <f t="shared" si="134"/>
        <v>1765.8989999999999</v>
      </c>
      <c r="Q844" s="67">
        <f t="shared" si="134"/>
        <v>1438.5</v>
      </c>
      <c r="R844" s="67">
        <f t="shared" si="130"/>
        <v>279964.02799999999</v>
      </c>
    </row>
    <row r="845" spans="1:18" ht="15.75" customHeight="1" x14ac:dyDescent="0.3">
      <c r="A845" s="70" t="s">
        <v>1906</v>
      </c>
      <c r="B845" s="67">
        <f t="shared" ref="B845:Q845" si="135">(B763*B756)/1000</f>
        <v>122462.406</v>
      </c>
      <c r="C845" s="67">
        <f t="shared" si="135"/>
        <v>16394.88</v>
      </c>
      <c r="D845" s="67">
        <f t="shared" si="135"/>
        <v>16344.191999999999</v>
      </c>
      <c r="E845" s="67">
        <f t="shared" si="135"/>
        <v>24384.992999999999</v>
      </c>
      <c r="F845" s="67">
        <f t="shared" si="135"/>
        <v>137.65100000000001</v>
      </c>
      <c r="G845" s="67">
        <f t="shared" si="135"/>
        <v>-7291.9440000000004</v>
      </c>
      <c r="H845" s="67">
        <f t="shared" si="135"/>
        <v>12001.675999999999</v>
      </c>
      <c r="I845" s="67">
        <f t="shared" si="135"/>
        <v>6382.35</v>
      </c>
      <c r="J845" s="67">
        <f t="shared" si="135"/>
        <v>6054.6390000000001</v>
      </c>
      <c r="K845" s="67">
        <f t="shared" si="135"/>
        <v>4680.0079999999998</v>
      </c>
      <c r="L845" s="67">
        <f t="shared" si="135"/>
        <v>1415.8979999999999</v>
      </c>
      <c r="M845" s="67">
        <f t="shared" si="135"/>
        <v>1454.316</v>
      </c>
      <c r="N845" s="67">
        <f t="shared" si="135"/>
        <v>3528.5790000000002</v>
      </c>
      <c r="O845" s="67">
        <f t="shared" si="135"/>
        <v>545.07600000000002</v>
      </c>
      <c r="P845" s="67">
        <f t="shared" si="135"/>
        <v>1736.595</v>
      </c>
      <c r="Q845" s="67">
        <f t="shared" si="135"/>
        <v>1177.104</v>
      </c>
      <c r="R845" s="67">
        <f t="shared" si="130"/>
        <v>211408.41899999999</v>
      </c>
    </row>
    <row r="846" spans="1:18" ht="15.75" customHeight="1" x14ac:dyDescent="0.3">
      <c r="A846" s="70" t="s">
        <v>1907</v>
      </c>
      <c r="B846" s="67">
        <f t="shared" ref="B846:Q846" si="136">(B764*B756)/1000</f>
        <v>77125.337</v>
      </c>
      <c r="C846" s="67">
        <f t="shared" si="136"/>
        <v>10305.664000000001</v>
      </c>
      <c r="D846" s="67">
        <f t="shared" si="136"/>
        <v>10255.232</v>
      </c>
      <c r="E846" s="67">
        <f t="shared" si="136"/>
        <v>15887.793</v>
      </c>
      <c r="F846" s="67">
        <f t="shared" si="136"/>
        <v>0</v>
      </c>
      <c r="G846" s="67">
        <f t="shared" si="136"/>
        <v>-11214.159</v>
      </c>
      <c r="H846" s="67">
        <f t="shared" si="136"/>
        <v>11170.824000000001</v>
      </c>
      <c r="I846" s="67">
        <f t="shared" si="136"/>
        <v>7320.15</v>
      </c>
      <c r="J846" s="67">
        <f t="shared" si="136"/>
        <v>6991.5</v>
      </c>
      <c r="K846" s="67">
        <f t="shared" si="136"/>
        <v>4968.8360000000002</v>
      </c>
      <c r="L846" s="67">
        <f t="shared" si="136"/>
        <v>1489.059</v>
      </c>
      <c r="M846" s="67">
        <f t="shared" si="136"/>
        <v>1530.204</v>
      </c>
      <c r="N846" s="67">
        <f t="shared" si="136"/>
        <v>3520.1129999999998</v>
      </c>
      <c r="O846" s="67">
        <f t="shared" si="136"/>
        <v>351.351</v>
      </c>
      <c r="P846" s="67">
        <f t="shared" si="136"/>
        <v>1759.5719999999999</v>
      </c>
      <c r="Q846" s="67">
        <f t="shared" si="136"/>
        <v>741.44399999999996</v>
      </c>
      <c r="R846" s="67">
        <f t="shared" si="130"/>
        <v>142202.92000000001</v>
      </c>
    </row>
    <row r="847" spans="1:18" ht="15.75" customHeight="1" x14ac:dyDescent="0.3">
      <c r="A847" s="70" t="s">
        <v>1908</v>
      </c>
      <c r="B847" s="67">
        <f t="shared" ref="B847:Q847" si="137">(B765*B756)/1000</f>
        <v>65355.786999999997</v>
      </c>
      <c r="C847" s="67">
        <f t="shared" si="137"/>
        <v>8735.36</v>
      </c>
      <c r="D847" s="67">
        <f t="shared" si="137"/>
        <v>8694.6560000000009</v>
      </c>
      <c r="E847" s="67">
        <f t="shared" si="137"/>
        <v>11817.24</v>
      </c>
      <c r="F847" s="67">
        <f t="shared" si="137"/>
        <v>0</v>
      </c>
      <c r="G847" s="67">
        <f t="shared" si="137"/>
        <v>-15655.343000000001</v>
      </c>
      <c r="H847" s="67">
        <f t="shared" si="137"/>
        <v>13208.072</v>
      </c>
      <c r="I847" s="67">
        <f t="shared" si="137"/>
        <v>7977.9</v>
      </c>
      <c r="J847" s="67">
        <f t="shared" si="137"/>
        <v>8012.4960000000001</v>
      </c>
      <c r="K847" s="67">
        <f t="shared" si="137"/>
        <v>5525.2479999999996</v>
      </c>
      <c r="L847" s="67">
        <f t="shared" si="137"/>
        <v>1743.192</v>
      </c>
      <c r="M847" s="67">
        <f t="shared" si="137"/>
        <v>1792.3440000000001</v>
      </c>
      <c r="N847" s="67">
        <f t="shared" si="137"/>
        <v>4149.3360000000002</v>
      </c>
      <c r="O847" s="67">
        <f t="shared" si="137"/>
        <v>632.96100000000001</v>
      </c>
      <c r="P847" s="67">
        <f t="shared" si="137"/>
        <v>1826.838</v>
      </c>
      <c r="Q847" s="67">
        <f t="shared" si="137"/>
        <v>1333.6949999999999</v>
      </c>
      <c r="R847" s="67">
        <f t="shared" si="130"/>
        <v>125149.78199999999</v>
      </c>
    </row>
    <row r="848" spans="1:18" ht="15.75" customHeight="1" x14ac:dyDescent="0.3">
      <c r="A848" s="70" t="s">
        <v>2352</v>
      </c>
      <c r="B848" s="67">
        <f>(B766*B756)/1000</f>
        <v>89972.73</v>
      </c>
      <c r="C848" s="67">
        <f>(C766*C756)/1000</f>
        <v>12044.031999999999</v>
      </c>
      <c r="D848" s="67">
        <f>(D766*D756)/1000</f>
        <v>12005.504000000001</v>
      </c>
      <c r="E848" s="67">
        <f>(E766*E756)/1000</f>
        <v>17639.135999999999</v>
      </c>
      <c r="F848" s="67">
        <f>(F766*F756)/1000</f>
        <v>0</v>
      </c>
      <c r="G848" s="67">
        <v>0</v>
      </c>
      <c r="H848" s="67">
        <f t="shared" ref="H848:Q848" si="138">(H766*H756)/1000</f>
        <v>8992.6319999999996</v>
      </c>
      <c r="I848" s="67">
        <f t="shared" si="138"/>
        <v>5414.25</v>
      </c>
      <c r="J848" s="67">
        <f t="shared" si="138"/>
        <v>6784.3620000000001</v>
      </c>
      <c r="K848" s="67">
        <f t="shared" si="138"/>
        <v>5098.1080000000002</v>
      </c>
      <c r="L848" s="67">
        <f t="shared" si="138"/>
        <v>1688.346</v>
      </c>
      <c r="M848" s="67">
        <f t="shared" si="138"/>
        <v>1736.04</v>
      </c>
      <c r="N848" s="67">
        <f t="shared" si="138"/>
        <v>4083.8490000000002</v>
      </c>
      <c r="O848" s="67">
        <f t="shared" si="138"/>
        <v>591.94799999999998</v>
      </c>
      <c r="P848" s="67">
        <f t="shared" si="138"/>
        <v>1493.5050000000001</v>
      </c>
      <c r="Q848" s="67">
        <f t="shared" si="138"/>
        <v>1284.7860000000001</v>
      </c>
      <c r="R848" s="67">
        <f t="shared" si="130"/>
        <v>168829.228</v>
      </c>
    </row>
    <row r="849" spans="1:19" ht="15.75" customHeight="1" x14ac:dyDescent="0.3">
      <c r="A849" s="70" t="s">
        <v>2353</v>
      </c>
      <c r="B849" s="67">
        <f>(B767*B756)/1000</f>
        <v>129031.435</v>
      </c>
      <c r="C849" s="67">
        <f>(C767*C756)/1000</f>
        <v>17294.080000000002</v>
      </c>
      <c r="D849" s="67">
        <f>(D767*D756)/1000</f>
        <v>17259.263999999999</v>
      </c>
      <c r="E849" s="67">
        <f>(E767*E756)/1000</f>
        <v>26821.149000000001</v>
      </c>
      <c r="F849" s="67">
        <f>(F767*F756)/1000</f>
        <v>4626.4340000000002</v>
      </c>
      <c r="G849" s="67">
        <v>0</v>
      </c>
      <c r="H849" s="67">
        <f t="shared" ref="H849:Q849" si="139">(H767*H756)/1000</f>
        <v>5788.3639999999996</v>
      </c>
      <c r="I849" s="67">
        <f t="shared" si="139"/>
        <v>3320.85</v>
      </c>
      <c r="J849" s="67">
        <f t="shared" si="139"/>
        <v>4429.0559999999996</v>
      </c>
      <c r="K849" s="67">
        <f t="shared" si="139"/>
        <v>3614.192</v>
      </c>
      <c r="L849" s="67">
        <f t="shared" si="139"/>
        <v>1219.9770000000001</v>
      </c>
      <c r="M849" s="67">
        <f t="shared" si="139"/>
        <v>1253.9880000000001</v>
      </c>
      <c r="N849" s="67">
        <f t="shared" si="139"/>
        <v>2985.51</v>
      </c>
      <c r="O849" s="67">
        <f t="shared" si="139"/>
        <v>488.565</v>
      </c>
      <c r="P849" s="67">
        <f t="shared" si="139"/>
        <v>1862.4690000000001</v>
      </c>
      <c r="Q849" s="67">
        <f t="shared" si="139"/>
        <v>1060.3800000000001</v>
      </c>
      <c r="R849" s="67">
        <f t="shared" si="130"/>
        <v>221055.71300000011</v>
      </c>
    </row>
    <row r="850" spans="1:19" ht="15.75" customHeight="1" x14ac:dyDescent="0.3">
      <c r="A850" s="70" t="s">
        <v>2354</v>
      </c>
      <c r="B850" s="67">
        <f t="shared" ref="B850:Q850" si="140">(B768*B756)/1000</f>
        <v>160251.715</v>
      </c>
      <c r="C850" s="67">
        <f t="shared" si="140"/>
        <v>21493.759999999998</v>
      </c>
      <c r="D850" s="67">
        <f t="shared" si="140"/>
        <v>21464.831999999999</v>
      </c>
      <c r="E850" s="67">
        <f t="shared" si="140"/>
        <v>33483.129000000001</v>
      </c>
      <c r="F850" s="67">
        <f t="shared" si="140"/>
        <v>16297.055</v>
      </c>
      <c r="G850" s="67">
        <f t="shared" si="140"/>
        <v>0</v>
      </c>
      <c r="H850" s="67">
        <f t="shared" si="140"/>
        <v>2938.6640000000002</v>
      </c>
      <c r="I850" s="67">
        <f t="shared" si="140"/>
        <v>1540.35</v>
      </c>
      <c r="J850" s="67">
        <f t="shared" si="140"/>
        <v>2273.3040000000001</v>
      </c>
      <c r="K850" s="67">
        <f t="shared" si="140"/>
        <v>2113.5520000000001</v>
      </c>
      <c r="L850" s="67">
        <f t="shared" si="140"/>
        <v>743.58900000000006</v>
      </c>
      <c r="M850" s="67">
        <f t="shared" si="140"/>
        <v>763.77599999999995</v>
      </c>
      <c r="N850" s="67">
        <f t="shared" si="140"/>
        <v>1824.921</v>
      </c>
      <c r="O850" s="67">
        <f t="shared" si="140"/>
        <v>325.45800000000003</v>
      </c>
      <c r="P850" s="67">
        <f t="shared" si="140"/>
        <v>1680.6510000000001</v>
      </c>
      <c r="Q850" s="67">
        <f t="shared" si="140"/>
        <v>670.34100000000001</v>
      </c>
      <c r="R850" s="67">
        <f t="shared" si="130"/>
        <v>267865.09699999995</v>
      </c>
    </row>
    <row r="851" spans="1:19" ht="15.75" customHeight="1" x14ac:dyDescent="0.3">
      <c r="A851" s="70" t="s">
        <v>2355</v>
      </c>
      <c r="B851" s="67">
        <f t="shared" ref="B851:Q851" si="141">(B769*B756)/1000</f>
        <v>63486.000999999997</v>
      </c>
      <c r="C851" s="67">
        <f t="shared" si="141"/>
        <v>8503.1679999999997</v>
      </c>
      <c r="D851" s="67">
        <f t="shared" si="141"/>
        <v>8480.2559999999994</v>
      </c>
      <c r="E851" s="67">
        <f t="shared" si="141"/>
        <v>10960.512000000001</v>
      </c>
      <c r="F851" s="67">
        <f t="shared" si="141"/>
        <v>3698.6770000000001</v>
      </c>
      <c r="G851" s="67">
        <f t="shared" si="141"/>
        <v>-2739.6819999999998</v>
      </c>
      <c r="H851" s="67">
        <f t="shared" si="141"/>
        <v>2847.5839999999998</v>
      </c>
      <c r="I851" s="67">
        <f t="shared" si="141"/>
        <v>2451.4499999999998</v>
      </c>
      <c r="J851" s="67">
        <f t="shared" si="141"/>
        <v>3505.9409999999998</v>
      </c>
      <c r="K851" s="67">
        <f t="shared" si="141"/>
        <v>3185.018</v>
      </c>
      <c r="L851" s="67">
        <f t="shared" si="141"/>
        <v>1001.583</v>
      </c>
      <c r="M851" s="67">
        <f t="shared" si="141"/>
        <v>1029.9960000000001</v>
      </c>
      <c r="N851" s="67">
        <f t="shared" si="141"/>
        <v>2510.9160000000002</v>
      </c>
      <c r="O851" s="67">
        <f t="shared" si="141"/>
        <v>506.52</v>
      </c>
      <c r="P851" s="67">
        <f t="shared" si="141"/>
        <v>1795.8689999999999</v>
      </c>
      <c r="Q851" s="67">
        <f t="shared" si="141"/>
        <v>1094.4929999999999</v>
      </c>
      <c r="R851" s="67">
        <f t="shared" si="130"/>
        <v>112318.302</v>
      </c>
    </row>
    <row r="852" spans="1:19" ht="15.75" customHeight="1" x14ac:dyDescent="0.3">
      <c r="A852" s="67"/>
      <c r="B852" s="67"/>
      <c r="C852" s="67"/>
      <c r="D852" s="67"/>
      <c r="E852" s="67"/>
      <c r="F852" s="67"/>
      <c r="G852" s="67"/>
      <c r="H852" s="67"/>
      <c r="I852" s="67"/>
      <c r="J852" s="67"/>
      <c r="K852" s="67"/>
      <c r="L852" s="67"/>
      <c r="M852" s="67"/>
      <c r="N852" s="67"/>
      <c r="O852" s="67"/>
      <c r="P852" s="67"/>
      <c r="Q852" s="67"/>
      <c r="R852" s="67"/>
    </row>
    <row r="853" spans="1:19" ht="15.75" customHeight="1" x14ac:dyDescent="0.3">
      <c r="A853" s="70" t="s">
        <v>2356</v>
      </c>
      <c r="B853" s="67">
        <f t="shared" ref="B853:R853" si="142">SUM(B840:B851)</f>
        <v>1497469.8660000002</v>
      </c>
      <c r="C853" s="67">
        <f t="shared" si="142"/>
        <v>200681.21600000001</v>
      </c>
      <c r="D853" s="67">
        <f t="shared" si="142"/>
        <v>200253.69599999997</v>
      </c>
      <c r="E853" s="67">
        <f t="shared" si="142"/>
        <v>300724.88699999999</v>
      </c>
      <c r="F853" s="67">
        <f t="shared" si="142"/>
        <v>65977.789000000004</v>
      </c>
      <c r="G853" s="67">
        <f t="shared" si="142"/>
        <v>-39351.256999999998</v>
      </c>
      <c r="H853" s="67">
        <f t="shared" si="142"/>
        <v>91571.188000000009</v>
      </c>
      <c r="I853" s="67">
        <f t="shared" si="142"/>
        <v>55644.149999999994</v>
      </c>
      <c r="J853" s="67">
        <f t="shared" si="142"/>
        <v>64193.108999999989</v>
      </c>
      <c r="K853" s="67">
        <f t="shared" si="142"/>
        <v>49381.452000000005</v>
      </c>
      <c r="L853" s="67">
        <f t="shared" si="142"/>
        <v>15290.154</v>
      </c>
      <c r="M853" s="67">
        <f t="shared" si="142"/>
        <v>15715.446</v>
      </c>
      <c r="N853" s="67">
        <f t="shared" si="142"/>
        <v>36855.984000000004</v>
      </c>
      <c r="O853" s="67">
        <f t="shared" si="142"/>
        <v>5415.2279999999992</v>
      </c>
      <c r="P853" s="67">
        <f t="shared" si="142"/>
        <v>19547.433000000001</v>
      </c>
      <c r="Q853" s="67">
        <f t="shared" si="142"/>
        <v>11543.346</v>
      </c>
      <c r="R853" s="67">
        <f t="shared" si="142"/>
        <v>2590913.6869999999</v>
      </c>
    </row>
    <row r="854" spans="1:19" ht="15.75" customHeight="1" x14ac:dyDescent="0.3">
      <c r="A854" s="67" t="s">
        <v>852</v>
      </c>
      <c r="B854" s="67"/>
      <c r="C854" s="67"/>
      <c r="D854" s="67"/>
      <c r="E854" s="67"/>
      <c r="F854" s="67"/>
      <c r="G854" s="67"/>
      <c r="H854" s="67"/>
      <c r="I854" s="67"/>
      <c r="J854" s="67"/>
      <c r="K854" s="67"/>
      <c r="L854" s="67"/>
      <c r="M854" s="67"/>
      <c r="N854" s="67"/>
      <c r="O854" s="67"/>
      <c r="P854" s="67"/>
      <c r="Q854" s="67"/>
      <c r="R854" s="67"/>
    </row>
    <row r="855" spans="1:19" ht="15.75" customHeight="1" x14ac:dyDescent="0.3">
      <c r="A855" s="67"/>
      <c r="B855" s="67"/>
      <c r="C855" s="67"/>
      <c r="D855" s="67"/>
      <c r="E855" s="67"/>
      <c r="F855" s="67"/>
      <c r="G855" s="67"/>
      <c r="H855" s="67"/>
      <c r="I855" s="67"/>
      <c r="J855" s="67"/>
      <c r="K855" s="67"/>
      <c r="L855" s="67"/>
      <c r="M855" s="67"/>
      <c r="N855" s="67"/>
      <c r="O855" s="67"/>
      <c r="P855" s="67"/>
      <c r="Q855" s="67"/>
      <c r="R855" s="67"/>
    </row>
    <row r="856" spans="1:19" ht="15.75" customHeight="1" x14ac:dyDescent="0.3">
      <c r="A856" s="67"/>
      <c r="B856" s="67"/>
      <c r="C856" s="67"/>
      <c r="D856" s="67"/>
      <c r="E856" s="67"/>
      <c r="F856" s="67"/>
      <c r="G856" s="67"/>
      <c r="H856" s="67"/>
      <c r="I856" s="67"/>
      <c r="J856" s="67"/>
      <c r="K856" s="67"/>
      <c r="L856" s="67"/>
      <c r="M856" s="67"/>
      <c r="N856" s="67"/>
      <c r="O856" s="67"/>
      <c r="P856" s="67"/>
      <c r="Q856" s="71" t="str">
        <f>+Q1</f>
        <v>PRINTED:</v>
      </c>
      <c r="R856" s="77">
        <f ca="1">+R1</f>
        <v>44881.72963425926</v>
      </c>
    </row>
    <row r="857" spans="1:19" ht="15.75" customHeight="1" x14ac:dyDescent="0.35">
      <c r="A857" s="67"/>
      <c r="B857" s="67"/>
      <c r="C857" s="71" t="s">
        <v>2125</v>
      </c>
      <c r="D857" s="67"/>
      <c r="E857" s="67"/>
      <c r="F857" s="67"/>
      <c r="G857" s="67"/>
      <c r="H857" s="67"/>
      <c r="I857" s="67"/>
      <c r="J857" s="67"/>
      <c r="K857" s="67"/>
      <c r="L857" s="215"/>
      <c r="M857" s="71" t="s">
        <v>1456</v>
      </c>
      <c r="N857" s="67"/>
      <c r="O857" s="67"/>
      <c r="P857" s="67"/>
      <c r="Q857" s="67"/>
      <c r="R857" s="67"/>
    </row>
    <row r="858" spans="1:19" ht="15.75" customHeight="1" x14ac:dyDescent="0.3">
      <c r="A858" s="67"/>
      <c r="B858" s="67"/>
      <c r="C858" s="67"/>
      <c r="D858" s="67"/>
      <c r="E858" s="67" t="s">
        <v>852</v>
      </c>
      <c r="F858" s="69" t="str">
        <f>+A8</f>
        <v>Revised:  1/19/09</v>
      </c>
      <c r="G858" s="67"/>
      <c r="H858" s="67"/>
      <c r="I858" s="67"/>
      <c r="J858" s="67"/>
      <c r="K858" s="67"/>
      <c r="L858" s="67"/>
      <c r="M858" s="67"/>
      <c r="N858" s="67"/>
      <c r="O858" s="67"/>
      <c r="P858" s="67" t="s">
        <v>852</v>
      </c>
      <c r="Q858" s="69" t="str">
        <f>+A8</f>
        <v>Revised:  1/19/09</v>
      </c>
      <c r="R858" s="67"/>
      <c r="S858" s="67"/>
    </row>
    <row r="859" spans="1:19" ht="15.75" customHeight="1" x14ac:dyDescent="0.3">
      <c r="A859" s="67"/>
      <c r="B859" s="67"/>
      <c r="C859" s="67"/>
      <c r="D859" s="67" t="s">
        <v>2126</v>
      </c>
      <c r="E859" s="67"/>
      <c r="F859" s="67"/>
      <c r="G859" s="67"/>
      <c r="H859" s="67"/>
      <c r="I859" s="67"/>
      <c r="J859" s="67"/>
      <c r="K859" s="67"/>
      <c r="L859" s="67"/>
      <c r="M859" s="67"/>
      <c r="N859" s="67" t="s">
        <v>2126</v>
      </c>
      <c r="O859" s="67"/>
      <c r="P859" s="67"/>
      <c r="Q859" s="67"/>
      <c r="R859" s="67"/>
      <c r="S859" s="67"/>
    </row>
    <row r="860" spans="1:19" ht="15.75" customHeight="1" x14ac:dyDescent="0.3">
      <c r="A860" s="67"/>
      <c r="B860" s="67"/>
      <c r="C860" s="67"/>
      <c r="D860" s="67"/>
      <c r="E860" s="67"/>
      <c r="F860" s="67"/>
      <c r="G860" s="67"/>
      <c r="H860" s="67"/>
      <c r="I860" s="67"/>
      <c r="J860" s="67"/>
      <c r="K860" s="67"/>
      <c r="L860" s="67"/>
      <c r="M860" s="67"/>
      <c r="N860" s="67"/>
      <c r="O860" s="67"/>
      <c r="P860" s="67"/>
      <c r="Q860" s="67"/>
      <c r="R860" s="67"/>
      <c r="S860" s="67"/>
    </row>
    <row r="861" spans="1:19" ht="15.75" customHeight="1" x14ac:dyDescent="0.3">
      <c r="A861" s="67"/>
      <c r="B861" s="67"/>
      <c r="C861" s="67"/>
      <c r="D861" s="67"/>
      <c r="E861" s="67" t="str">
        <f>+A5</f>
        <v>Calendar Year 2008</v>
      </c>
      <c r="F861" s="67"/>
      <c r="G861" s="67"/>
      <c r="H861" s="67"/>
      <c r="I861" s="67"/>
      <c r="J861" s="67"/>
      <c r="K861" s="67"/>
      <c r="L861" s="67"/>
      <c r="M861" s="67"/>
      <c r="N861" s="67"/>
      <c r="O861" s="67"/>
      <c r="P861" s="67" t="str">
        <f>+A5</f>
        <v>Calendar Year 2008</v>
      </c>
      <c r="Q861" s="67"/>
      <c r="R861" s="67"/>
      <c r="S861" s="70" t="s">
        <v>2000</v>
      </c>
    </row>
    <row r="862" spans="1:19" ht="15.75" customHeight="1" x14ac:dyDescent="0.3">
      <c r="A862" s="67"/>
      <c r="B862" s="67"/>
      <c r="C862" s="67"/>
      <c r="D862" s="67"/>
      <c r="E862" s="67" t="s">
        <v>1199</v>
      </c>
      <c r="F862" s="67"/>
      <c r="G862" s="67"/>
      <c r="H862" s="67"/>
      <c r="I862" s="67"/>
      <c r="J862" s="67"/>
      <c r="K862" s="67"/>
      <c r="L862" s="67"/>
      <c r="M862" s="67"/>
      <c r="N862" s="67"/>
      <c r="O862" s="67"/>
      <c r="P862" s="67" t="s">
        <v>1199</v>
      </c>
      <c r="Q862" s="67"/>
      <c r="R862" s="67"/>
      <c r="S862" s="70" t="s">
        <v>242</v>
      </c>
    </row>
    <row r="863" spans="1:19" ht="15.75" customHeight="1" x14ac:dyDescent="0.3">
      <c r="A863" s="67"/>
      <c r="B863" s="67"/>
      <c r="C863" s="67"/>
      <c r="D863" s="67"/>
      <c r="E863" s="67"/>
      <c r="F863" s="67"/>
      <c r="G863" s="67"/>
      <c r="H863" s="67"/>
      <c r="I863" s="67"/>
      <c r="J863" s="67"/>
      <c r="K863" s="67"/>
      <c r="L863" s="67"/>
      <c r="M863" s="67"/>
      <c r="N863" s="67"/>
      <c r="O863" s="67"/>
      <c r="P863" s="67"/>
      <c r="Q863" s="67"/>
      <c r="R863" s="67"/>
      <c r="S863" s="70" t="s">
        <v>1481</v>
      </c>
    </row>
    <row r="864" spans="1:19" ht="15.75" customHeight="1" x14ac:dyDescent="0.3">
      <c r="A864" s="67" t="s">
        <v>1307</v>
      </c>
      <c r="B864" s="70" t="s">
        <v>1308</v>
      </c>
      <c r="C864" s="70" t="s">
        <v>1309</v>
      </c>
      <c r="D864" s="70" t="s">
        <v>1029</v>
      </c>
      <c r="E864" s="70" t="s">
        <v>1030</v>
      </c>
      <c r="F864" s="70" t="s">
        <v>284</v>
      </c>
      <c r="G864" s="67"/>
      <c r="H864" s="70" t="s">
        <v>2356</v>
      </c>
      <c r="I864" s="67"/>
      <c r="J864" s="67"/>
      <c r="K864" s="67"/>
      <c r="L864" s="67" t="s">
        <v>1307</v>
      </c>
      <c r="M864" s="70" t="s">
        <v>1308</v>
      </c>
      <c r="N864" s="70" t="s">
        <v>1309</v>
      </c>
      <c r="O864" s="70" t="s">
        <v>1029</v>
      </c>
      <c r="P864" s="70" t="s">
        <v>1030</v>
      </c>
      <c r="Q864" s="70" t="s">
        <v>284</v>
      </c>
      <c r="R864" s="70" t="s">
        <v>2356</v>
      </c>
      <c r="S864" s="70" t="s">
        <v>1353</v>
      </c>
    </row>
    <row r="865" spans="1:19" ht="15.75" customHeight="1" x14ac:dyDescent="0.3">
      <c r="A865" s="67" t="s">
        <v>526</v>
      </c>
      <c r="B865" s="67"/>
      <c r="C865" s="67"/>
      <c r="D865" s="67"/>
      <c r="E865" s="67"/>
      <c r="F865" s="70" t="s">
        <v>1193</v>
      </c>
      <c r="G865" s="67"/>
      <c r="H865" s="70" t="s">
        <v>252</v>
      </c>
      <c r="I865" s="67"/>
      <c r="J865" s="67"/>
      <c r="K865" s="67"/>
      <c r="L865" s="67" t="s">
        <v>526</v>
      </c>
      <c r="M865" s="67"/>
      <c r="N865" s="67"/>
      <c r="O865" s="67"/>
      <c r="P865" s="67"/>
      <c r="Q865" s="70" t="s">
        <v>1193</v>
      </c>
      <c r="R865" s="70" t="s">
        <v>252</v>
      </c>
      <c r="S865" s="73">
        <f t="shared" ref="S865:S876" si="143">(Q894*R894)/1000</f>
        <v>12.069437640000002</v>
      </c>
    </row>
    <row r="866" spans="1:19" ht="15.75" customHeight="1" x14ac:dyDescent="0.3">
      <c r="A866" s="67" t="s">
        <v>1195</v>
      </c>
      <c r="B866" s="67">
        <v>953</v>
      </c>
      <c r="C866" s="67">
        <v>128</v>
      </c>
      <c r="D866" s="67">
        <v>128</v>
      </c>
      <c r="E866" s="67">
        <v>219</v>
      </c>
      <c r="F866" s="67">
        <v>179</v>
      </c>
      <c r="G866" s="67"/>
      <c r="H866" s="70" t="s">
        <v>335</v>
      </c>
      <c r="I866" s="67"/>
      <c r="J866" s="67"/>
      <c r="K866" s="67"/>
      <c r="L866" s="67" t="s">
        <v>1195</v>
      </c>
      <c r="M866" s="67">
        <v>953</v>
      </c>
      <c r="N866" s="67">
        <v>128</v>
      </c>
      <c r="O866" s="67">
        <v>128</v>
      </c>
      <c r="P866" s="67">
        <v>219</v>
      </c>
      <c r="Q866" s="67">
        <v>179</v>
      </c>
      <c r="R866" s="70" t="s">
        <v>335</v>
      </c>
      <c r="S866" s="73">
        <f t="shared" si="143"/>
        <v>14.566177860000002</v>
      </c>
    </row>
    <row r="867" spans="1:19" ht="15.75" customHeight="1" x14ac:dyDescent="0.3">
      <c r="A867" s="67"/>
      <c r="B867" s="67" t="s">
        <v>1353</v>
      </c>
      <c r="C867" s="67" t="s">
        <v>1353</v>
      </c>
      <c r="D867" s="67" t="s">
        <v>1353</v>
      </c>
      <c r="E867" s="67" t="s">
        <v>1353</v>
      </c>
      <c r="F867" s="67" t="s">
        <v>1353</v>
      </c>
      <c r="G867" s="67"/>
      <c r="H867" s="67" t="s">
        <v>251</v>
      </c>
      <c r="I867" s="67"/>
      <c r="J867" s="67"/>
      <c r="K867" s="67"/>
      <c r="L867" s="67"/>
      <c r="M867" s="67" t="s">
        <v>1353</v>
      </c>
      <c r="N867" s="67" t="s">
        <v>1353</v>
      </c>
      <c r="O867" s="67" t="s">
        <v>1353</v>
      </c>
      <c r="P867" s="67" t="s">
        <v>1353</v>
      </c>
      <c r="Q867" s="67" t="s">
        <v>1353</v>
      </c>
      <c r="R867" s="67" t="s">
        <v>251</v>
      </c>
      <c r="S867" s="73">
        <f t="shared" si="143"/>
        <v>21.256644630000007</v>
      </c>
    </row>
    <row r="868" spans="1:19" ht="15.75" customHeight="1" x14ac:dyDescent="0.3">
      <c r="A868" s="70" t="s">
        <v>1354</v>
      </c>
      <c r="B868" s="67">
        <f t="shared" ref="B868:F879" si="144">($F758)*B$756/1000</f>
        <v>94965.497000000003</v>
      </c>
      <c r="C868" s="67">
        <f t="shared" si="144"/>
        <v>12755.072</v>
      </c>
      <c r="D868" s="67">
        <f t="shared" si="144"/>
        <v>12755.072</v>
      </c>
      <c r="E868" s="67">
        <f t="shared" si="144"/>
        <v>21823.131000000001</v>
      </c>
      <c r="F868" s="67">
        <f t="shared" si="144"/>
        <v>17837.170999999998</v>
      </c>
      <c r="G868" s="67"/>
      <c r="H868" s="67">
        <f t="shared" ref="H868:H879" si="145">SUM(B868:F868)</f>
        <v>160135.943</v>
      </c>
      <c r="I868" s="67"/>
      <c r="J868" s="67"/>
      <c r="K868" s="67"/>
      <c r="L868" s="70" t="s">
        <v>1354</v>
      </c>
      <c r="M868" s="67">
        <f t="shared" ref="M868:M879" si="146">(B758-$F758)*B$756/1000</f>
        <v>61936.423000000003</v>
      </c>
      <c r="N868" s="67">
        <f t="shared" ref="N868:N879" si="147">(C758-$F758)*C$756/1000</f>
        <v>8306.4320000000007</v>
      </c>
      <c r="O868" s="67">
        <f t="shared" ref="O868:O879" si="148">(D758-$F758)*D$756/1000</f>
        <v>8294.1440000000002</v>
      </c>
      <c r="P868" s="67">
        <f t="shared" ref="P868:P879" si="149">(E758-$F758)*E$756/1000</f>
        <v>10812.687</v>
      </c>
      <c r="Q868" s="67">
        <f t="shared" ref="Q868:Q879" si="150">(F758-$F758)*F$756/1000</f>
        <v>0</v>
      </c>
      <c r="R868" s="67">
        <f t="shared" ref="R868:R879" si="151">SUM(L868:P868)</f>
        <v>89349.686000000016</v>
      </c>
      <c r="S868" s="73">
        <f t="shared" si="143"/>
        <v>24.309942540000005</v>
      </c>
    </row>
    <row r="869" spans="1:19" ht="15.75" customHeight="1" x14ac:dyDescent="0.3">
      <c r="A869" s="70" t="s">
        <v>706</v>
      </c>
      <c r="B869" s="67">
        <f t="shared" si="144"/>
        <v>84511.087</v>
      </c>
      <c r="C869" s="67">
        <f t="shared" si="144"/>
        <v>11350.912</v>
      </c>
      <c r="D869" s="67">
        <f t="shared" si="144"/>
        <v>11350.912</v>
      </c>
      <c r="E869" s="67">
        <f t="shared" si="144"/>
        <v>19420.701000000001</v>
      </c>
      <c r="F869" s="67">
        <f t="shared" si="144"/>
        <v>15873.540999999999</v>
      </c>
      <c r="G869" s="67"/>
      <c r="H869" s="67">
        <f t="shared" si="145"/>
        <v>142507.15299999999</v>
      </c>
      <c r="I869" s="67"/>
      <c r="J869" s="67"/>
      <c r="K869" s="67"/>
      <c r="L869" s="70" t="s">
        <v>706</v>
      </c>
      <c r="M869" s="67">
        <f t="shared" si="146"/>
        <v>65801.790999999997</v>
      </c>
      <c r="N869" s="67">
        <f t="shared" si="147"/>
        <v>8819.0720000000001</v>
      </c>
      <c r="O869" s="67">
        <f t="shared" si="148"/>
        <v>8800.5120000000006</v>
      </c>
      <c r="P869" s="67">
        <f t="shared" si="149"/>
        <v>11643.135</v>
      </c>
      <c r="Q869" s="67">
        <f t="shared" si="150"/>
        <v>0</v>
      </c>
      <c r="R869" s="67">
        <f t="shared" si="151"/>
        <v>95064.51</v>
      </c>
      <c r="S869" s="73">
        <f t="shared" si="143"/>
        <v>26.45561919</v>
      </c>
    </row>
    <row r="870" spans="1:19" ht="15.75" customHeight="1" x14ac:dyDescent="0.3">
      <c r="A870" s="70" t="s">
        <v>707</v>
      </c>
      <c r="B870" s="67">
        <f t="shared" si="144"/>
        <v>22662.34</v>
      </c>
      <c r="C870" s="67">
        <f t="shared" si="144"/>
        <v>3043.84</v>
      </c>
      <c r="D870" s="67">
        <f t="shared" si="144"/>
        <v>3043.84</v>
      </c>
      <c r="E870" s="67">
        <f t="shared" si="144"/>
        <v>5207.82</v>
      </c>
      <c r="F870" s="67">
        <f t="shared" si="144"/>
        <v>4256.62</v>
      </c>
      <c r="G870" s="67"/>
      <c r="H870" s="67">
        <f t="shared" si="145"/>
        <v>38214.46</v>
      </c>
      <c r="I870" s="67"/>
      <c r="J870" s="67"/>
      <c r="K870" s="67"/>
      <c r="L870" s="70" t="s">
        <v>707</v>
      </c>
      <c r="M870" s="67">
        <f t="shared" si="146"/>
        <v>137842.87299999999</v>
      </c>
      <c r="N870" s="67">
        <f t="shared" si="147"/>
        <v>18478.975999999999</v>
      </c>
      <c r="O870" s="67">
        <f t="shared" si="148"/>
        <v>18445.567999999999</v>
      </c>
      <c r="P870" s="67">
        <f t="shared" si="149"/>
        <v>26658.213</v>
      </c>
      <c r="Q870" s="67">
        <f t="shared" si="150"/>
        <v>0</v>
      </c>
      <c r="R870" s="67">
        <f t="shared" si="151"/>
        <v>201425.62999999998</v>
      </c>
      <c r="S870" s="73">
        <f t="shared" si="143"/>
        <v>24.348192959999999</v>
      </c>
    </row>
    <row r="871" spans="1:19" ht="15.75" customHeight="1" x14ac:dyDescent="0.3">
      <c r="A871" s="70" t="s">
        <v>1321</v>
      </c>
      <c r="B871" s="67">
        <f t="shared" si="144"/>
        <v>0</v>
      </c>
      <c r="C871" s="67">
        <f t="shared" si="144"/>
        <v>0</v>
      </c>
      <c r="D871" s="67">
        <f t="shared" si="144"/>
        <v>0</v>
      </c>
      <c r="E871" s="67">
        <f t="shared" si="144"/>
        <v>0</v>
      </c>
      <c r="F871" s="67">
        <f t="shared" si="144"/>
        <v>0</v>
      </c>
      <c r="G871" s="67"/>
      <c r="H871" s="67">
        <f t="shared" si="145"/>
        <v>0</v>
      </c>
      <c r="I871" s="67"/>
      <c r="J871" s="67"/>
      <c r="K871" s="67"/>
      <c r="L871" s="70" t="s">
        <v>1321</v>
      </c>
      <c r="M871" s="67">
        <f t="shared" si="146"/>
        <v>158159.88</v>
      </c>
      <c r="N871" s="67">
        <f t="shared" si="147"/>
        <v>21195.903999999999</v>
      </c>
      <c r="O871" s="67">
        <f t="shared" si="148"/>
        <v>21151.103999999999</v>
      </c>
      <c r="P871" s="67">
        <f t="shared" si="149"/>
        <v>31362.771000000001</v>
      </c>
      <c r="Q871" s="67">
        <f t="shared" si="150"/>
        <v>0</v>
      </c>
      <c r="R871" s="67">
        <f t="shared" si="151"/>
        <v>231869.65900000001</v>
      </c>
      <c r="S871" s="73">
        <f t="shared" si="143"/>
        <v>23.197605209999999</v>
      </c>
    </row>
    <row r="872" spans="1:19" ht="15.75" customHeight="1" x14ac:dyDescent="0.3">
      <c r="A872" s="70" t="s">
        <v>1905</v>
      </c>
      <c r="B872" s="67">
        <f t="shared" si="144"/>
        <v>17306.48</v>
      </c>
      <c r="C872" s="67">
        <f t="shared" si="144"/>
        <v>2324.48</v>
      </c>
      <c r="D872" s="67">
        <f t="shared" si="144"/>
        <v>2324.48</v>
      </c>
      <c r="E872" s="67">
        <f t="shared" si="144"/>
        <v>3977.04</v>
      </c>
      <c r="F872" s="67">
        <f t="shared" si="144"/>
        <v>3250.64</v>
      </c>
      <c r="G872" s="67"/>
      <c r="H872" s="67">
        <f t="shared" si="145"/>
        <v>29183.119999999999</v>
      </c>
      <c r="I872" s="67"/>
      <c r="J872" s="67"/>
      <c r="K872" s="67"/>
      <c r="L872" s="70" t="s">
        <v>1905</v>
      </c>
      <c r="M872" s="67">
        <f t="shared" si="146"/>
        <v>146598.084</v>
      </c>
      <c r="N872" s="67">
        <f t="shared" si="147"/>
        <v>19635.583999999999</v>
      </c>
      <c r="O872" s="67">
        <f t="shared" si="148"/>
        <v>19584.128000000001</v>
      </c>
      <c r="P872" s="67">
        <f t="shared" si="149"/>
        <v>28825.437000000002</v>
      </c>
      <c r="Q872" s="67">
        <f t="shared" si="150"/>
        <v>0</v>
      </c>
      <c r="R872" s="67">
        <f t="shared" si="151"/>
        <v>214643.23300000001</v>
      </c>
      <c r="S872" s="73">
        <f t="shared" si="143"/>
        <v>28.351564020000001</v>
      </c>
    </row>
    <row r="873" spans="1:19" ht="15.75" customHeight="1" x14ac:dyDescent="0.3">
      <c r="A873" s="70" t="s">
        <v>1906</v>
      </c>
      <c r="B873" s="67">
        <f t="shared" si="144"/>
        <v>732.85699999999997</v>
      </c>
      <c r="C873" s="67">
        <f t="shared" si="144"/>
        <v>98.432000000000002</v>
      </c>
      <c r="D873" s="67">
        <f t="shared" si="144"/>
        <v>98.432000000000002</v>
      </c>
      <c r="E873" s="67">
        <f t="shared" si="144"/>
        <v>168.411</v>
      </c>
      <c r="F873" s="67">
        <f t="shared" si="144"/>
        <v>137.65100000000001</v>
      </c>
      <c r="G873" s="67"/>
      <c r="H873" s="67">
        <f t="shared" si="145"/>
        <v>1235.7830000000001</v>
      </c>
      <c r="I873" s="67"/>
      <c r="J873" s="67"/>
      <c r="K873" s="67"/>
      <c r="L873" s="70" t="s">
        <v>1906</v>
      </c>
      <c r="M873" s="67">
        <f t="shared" si="146"/>
        <v>121729.549</v>
      </c>
      <c r="N873" s="67">
        <f t="shared" si="147"/>
        <v>16296.448</v>
      </c>
      <c r="O873" s="67">
        <f t="shared" si="148"/>
        <v>16245.76</v>
      </c>
      <c r="P873" s="67">
        <f t="shared" si="149"/>
        <v>24216.581999999999</v>
      </c>
      <c r="Q873" s="67">
        <f t="shared" si="150"/>
        <v>0</v>
      </c>
      <c r="R873" s="67">
        <f t="shared" si="151"/>
        <v>178488.33900000001</v>
      </c>
      <c r="S873" s="73">
        <f t="shared" si="143"/>
        <v>26.869830780000008</v>
      </c>
    </row>
    <row r="874" spans="1:19" ht="15.75" customHeight="1" x14ac:dyDescent="0.3">
      <c r="A874" s="70" t="s">
        <v>1907</v>
      </c>
      <c r="B874" s="67">
        <f t="shared" si="144"/>
        <v>0</v>
      </c>
      <c r="C874" s="67">
        <f t="shared" si="144"/>
        <v>0</v>
      </c>
      <c r="D874" s="67">
        <f t="shared" si="144"/>
        <v>0</v>
      </c>
      <c r="E874" s="67">
        <f t="shared" si="144"/>
        <v>0</v>
      </c>
      <c r="F874" s="67">
        <f t="shared" si="144"/>
        <v>0</v>
      </c>
      <c r="G874" s="67"/>
      <c r="H874" s="67">
        <f t="shared" si="145"/>
        <v>0</v>
      </c>
      <c r="I874" s="67"/>
      <c r="J874" s="67"/>
      <c r="K874" s="67"/>
      <c r="L874" s="70" t="s">
        <v>1907</v>
      </c>
      <c r="M874" s="67">
        <f t="shared" si="146"/>
        <v>77125.337</v>
      </c>
      <c r="N874" s="67">
        <f t="shared" si="147"/>
        <v>10305.664000000001</v>
      </c>
      <c r="O874" s="67">
        <f t="shared" si="148"/>
        <v>10255.232</v>
      </c>
      <c r="P874" s="67">
        <f t="shared" si="149"/>
        <v>15887.793</v>
      </c>
      <c r="Q874" s="67">
        <f t="shared" si="150"/>
        <v>0</v>
      </c>
      <c r="R874" s="67">
        <f t="shared" si="151"/>
        <v>113574.02600000001</v>
      </c>
      <c r="S874" s="73">
        <f t="shared" si="143"/>
        <v>21.911095829999997</v>
      </c>
    </row>
    <row r="875" spans="1:19" ht="15.75" customHeight="1" x14ac:dyDescent="0.3">
      <c r="A875" s="70" t="s">
        <v>1908</v>
      </c>
      <c r="B875" s="67">
        <f t="shared" si="144"/>
        <v>0</v>
      </c>
      <c r="C875" s="67">
        <f t="shared" si="144"/>
        <v>0</v>
      </c>
      <c r="D875" s="67">
        <f t="shared" si="144"/>
        <v>0</v>
      </c>
      <c r="E875" s="67">
        <f t="shared" si="144"/>
        <v>0</v>
      </c>
      <c r="F875" s="67">
        <f t="shared" si="144"/>
        <v>0</v>
      </c>
      <c r="G875" s="67"/>
      <c r="H875" s="67">
        <f t="shared" si="145"/>
        <v>0</v>
      </c>
      <c r="I875" s="67"/>
      <c r="J875" s="67"/>
      <c r="K875" s="67"/>
      <c r="L875" s="70" t="s">
        <v>1908</v>
      </c>
      <c r="M875" s="67">
        <f t="shared" si="146"/>
        <v>65355.786999999997</v>
      </c>
      <c r="N875" s="67">
        <f t="shared" si="147"/>
        <v>8735.36</v>
      </c>
      <c r="O875" s="67">
        <f t="shared" si="148"/>
        <v>8694.6560000000009</v>
      </c>
      <c r="P875" s="67">
        <f t="shared" si="149"/>
        <v>11817.24</v>
      </c>
      <c r="Q875" s="67">
        <f t="shared" si="150"/>
        <v>0</v>
      </c>
      <c r="R875" s="67">
        <f t="shared" si="151"/>
        <v>94603.043000000005</v>
      </c>
      <c r="S875" s="73">
        <f t="shared" si="143"/>
        <v>14.841577920000004</v>
      </c>
    </row>
    <row r="876" spans="1:19" ht="15.75" customHeight="1" x14ac:dyDescent="0.3">
      <c r="A876" s="70" t="s">
        <v>2352</v>
      </c>
      <c r="B876" s="67">
        <f t="shared" si="144"/>
        <v>0</v>
      </c>
      <c r="C876" s="67">
        <f t="shared" si="144"/>
        <v>0</v>
      </c>
      <c r="D876" s="67">
        <f t="shared" si="144"/>
        <v>0</v>
      </c>
      <c r="E876" s="67">
        <f t="shared" si="144"/>
        <v>0</v>
      </c>
      <c r="F876" s="67">
        <f t="shared" si="144"/>
        <v>0</v>
      </c>
      <c r="G876" s="67"/>
      <c r="H876" s="67">
        <f t="shared" si="145"/>
        <v>0</v>
      </c>
      <c r="I876" s="67"/>
      <c r="J876" s="67"/>
      <c r="K876" s="67"/>
      <c r="L876" s="70" t="s">
        <v>2352</v>
      </c>
      <c r="M876" s="67">
        <f t="shared" si="146"/>
        <v>89972.73</v>
      </c>
      <c r="N876" s="67">
        <f t="shared" si="147"/>
        <v>12044.031999999999</v>
      </c>
      <c r="O876" s="67">
        <f t="shared" si="148"/>
        <v>12005.504000000001</v>
      </c>
      <c r="P876" s="67">
        <f t="shared" si="149"/>
        <v>17639.135999999999</v>
      </c>
      <c r="Q876" s="67">
        <f t="shared" si="150"/>
        <v>0</v>
      </c>
      <c r="R876" s="67">
        <f t="shared" si="151"/>
        <v>131661.402</v>
      </c>
      <c r="S876" s="73">
        <f t="shared" si="143"/>
        <v>19.610261190000003</v>
      </c>
    </row>
    <row r="877" spans="1:19" ht="15.75" customHeight="1" x14ac:dyDescent="0.3">
      <c r="A877" s="70" t="s">
        <v>2353</v>
      </c>
      <c r="B877" s="67">
        <f t="shared" si="144"/>
        <v>24631.238000000001</v>
      </c>
      <c r="C877" s="67">
        <f t="shared" si="144"/>
        <v>3308.288</v>
      </c>
      <c r="D877" s="67">
        <f t="shared" si="144"/>
        <v>3308.288</v>
      </c>
      <c r="E877" s="67">
        <f t="shared" si="144"/>
        <v>5660.2740000000003</v>
      </c>
      <c r="F877" s="67">
        <f t="shared" si="144"/>
        <v>4626.4340000000002</v>
      </c>
      <c r="G877" s="67"/>
      <c r="H877" s="67">
        <f t="shared" si="145"/>
        <v>41534.522000000004</v>
      </c>
      <c r="I877" s="67"/>
      <c r="J877" s="67"/>
      <c r="K877" s="67"/>
      <c r="L877" s="70" t="s">
        <v>2353</v>
      </c>
      <c r="M877" s="67">
        <f t="shared" si="146"/>
        <v>104400.197</v>
      </c>
      <c r="N877" s="67">
        <f t="shared" si="147"/>
        <v>13985.791999999999</v>
      </c>
      <c r="O877" s="67">
        <f t="shared" si="148"/>
        <v>13950.976000000001</v>
      </c>
      <c r="P877" s="67">
        <f t="shared" si="149"/>
        <v>21160.875</v>
      </c>
      <c r="Q877" s="67">
        <f t="shared" si="150"/>
        <v>0</v>
      </c>
      <c r="R877" s="67">
        <f t="shared" si="151"/>
        <v>153497.84</v>
      </c>
      <c r="S877" s="73"/>
    </row>
    <row r="878" spans="1:19" ht="15.75" customHeight="1" x14ac:dyDescent="0.3">
      <c r="A878" s="70" t="s">
        <v>2354</v>
      </c>
      <c r="B878" s="67">
        <f t="shared" si="144"/>
        <v>86765.884999999995</v>
      </c>
      <c r="C878" s="67">
        <f t="shared" si="144"/>
        <v>11653.76</v>
      </c>
      <c r="D878" s="67">
        <f t="shared" si="144"/>
        <v>11653.76</v>
      </c>
      <c r="E878" s="67">
        <f t="shared" si="144"/>
        <v>19938.855</v>
      </c>
      <c r="F878" s="67">
        <f t="shared" si="144"/>
        <v>16297.055</v>
      </c>
      <c r="G878" s="67"/>
      <c r="H878" s="67">
        <f t="shared" si="145"/>
        <v>146309.31499999997</v>
      </c>
      <c r="I878" s="67"/>
      <c r="J878" s="67"/>
      <c r="K878" s="67"/>
      <c r="L878" s="70" t="s">
        <v>2354</v>
      </c>
      <c r="M878" s="67">
        <f t="shared" si="146"/>
        <v>73485.83</v>
      </c>
      <c r="N878" s="67">
        <f t="shared" si="147"/>
        <v>9840</v>
      </c>
      <c r="O878" s="67">
        <f t="shared" si="148"/>
        <v>9811.0720000000001</v>
      </c>
      <c r="P878" s="67">
        <f t="shared" si="149"/>
        <v>13544.273999999999</v>
      </c>
      <c r="Q878" s="67">
        <f t="shared" si="150"/>
        <v>0</v>
      </c>
      <c r="R878" s="67">
        <f t="shared" si="151"/>
        <v>106681.17600000001</v>
      </c>
      <c r="S878" s="73">
        <f>(SUM(S865:S876))</f>
        <v>257.78794977000001</v>
      </c>
    </row>
    <row r="879" spans="1:19" ht="15.75" customHeight="1" x14ac:dyDescent="0.3">
      <c r="A879" s="70" t="s">
        <v>2355</v>
      </c>
      <c r="B879" s="67">
        <f t="shared" si="144"/>
        <v>19691.839</v>
      </c>
      <c r="C879" s="67">
        <f t="shared" si="144"/>
        <v>2644.864</v>
      </c>
      <c r="D879" s="67">
        <f t="shared" si="144"/>
        <v>2644.864</v>
      </c>
      <c r="E879" s="67">
        <f t="shared" si="144"/>
        <v>4525.1970000000001</v>
      </c>
      <c r="F879" s="67">
        <f t="shared" si="144"/>
        <v>3698.6770000000001</v>
      </c>
      <c r="G879" s="67"/>
      <c r="H879" s="67">
        <f t="shared" si="145"/>
        <v>33205.441000000006</v>
      </c>
      <c r="I879" s="67"/>
      <c r="J879" s="67"/>
      <c r="K879" s="67"/>
      <c r="L879" s="70" t="s">
        <v>2355</v>
      </c>
      <c r="M879" s="67">
        <f t="shared" si="146"/>
        <v>43794.161999999997</v>
      </c>
      <c r="N879" s="67">
        <f t="shared" si="147"/>
        <v>5858.3040000000001</v>
      </c>
      <c r="O879" s="67">
        <f t="shared" si="148"/>
        <v>5835.3919999999998</v>
      </c>
      <c r="P879" s="67">
        <f t="shared" si="149"/>
        <v>6435.3149999999996</v>
      </c>
      <c r="Q879" s="67">
        <f t="shared" si="150"/>
        <v>0</v>
      </c>
      <c r="R879" s="67">
        <f t="shared" si="151"/>
        <v>61923.173000000003</v>
      </c>
      <c r="S879" s="67"/>
    </row>
    <row r="880" spans="1:19" ht="15.75" customHeight="1" x14ac:dyDescent="0.3">
      <c r="A880" s="67"/>
      <c r="B880" s="67"/>
      <c r="C880" s="67"/>
      <c r="D880" s="67"/>
      <c r="E880" s="67"/>
      <c r="F880" s="67"/>
      <c r="G880" s="67"/>
      <c r="H880" s="67"/>
      <c r="I880" s="67"/>
      <c r="J880" s="67"/>
      <c r="K880" s="67"/>
      <c r="L880" s="67"/>
      <c r="M880" s="67"/>
      <c r="N880" s="67"/>
      <c r="O880" s="67"/>
      <c r="P880" s="67"/>
      <c r="Q880" s="67"/>
      <c r="R880" s="67"/>
    </row>
    <row r="881" spans="1:18" ht="15.75" customHeight="1" x14ac:dyDescent="0.3">
      <c r="A881" s="70" t="s">
        <v>2356</v>
      </c>
      <c r="B881" s="67">
        <f>SUM(B868:B879)</f>
        <v>351267.223</v>
      </c>
      <c r="C881" s="67">
        <f>SUM(C868:C879)</f>
        <v>47179.648000000001</v>
      </c>
      <c r="D881" s="67">
        <f>SUM(D868:D879)</f>
        <v>47179.648000000001</v>
      </c>
      <c r="E881" s="67">
        <f>SUM(E868:E879)</f>
        <v>80721.429000000004</v>
      </c>
      <c r="F881" s="67">
        <f>SUM(F868:F879)</f>
        <v>65977.789000000004</v>
      </c>
      <c r="G881" s="67"/>
      <c r="H881" s="67">
        <f>SUM(H868:H879)</f>
        <v>592325.73699999996</v>
      </c>
      <c r="I881" s="67"/>
      <c r="J881" s="67"/>
      <c r="K881" s="67"/>
      <c r="L881" s="70" t="s">
        <v>2356</v>
      </c>
      <c r="M881" s="67">
        <f t="shared" ref="M881:R881" si="152">SUM(M868:M879)</f>
        <v>1146202.6429999999</v>
      </c>
      <c r="N881" s="67">
        <f t="shared" si="152"/>
        <v>153501.568</v>
      </c>
      <c r="O881" s="67">
        <f t="shared" si="152"/>
        <v>153074.04800000001</v>
      </c>
      <c r="P881" s="67">
        <f t="shared" si="152"/>
        <v>220003.45800000001</v>
      </c>
      <c r="Q881" s="67">
        <f t="shared" si="152"/>
        <v>0</v>
      </c>
      <c r="R881" s="67">
        <f t="shared" si="152"/>
        <v>1672781.7170000002</v>
      </c>
    </row>
    <row r="882" spans="1:18" ht="15.75" customHeight="1" x14ac:dyDescent="0.3">
      <c r="A882" s="67"/>
      <c r="B882" s="67"/>
      <c r="C882" s="67"/>
      <c r="D882" s="67"/>
      <c r="E882" s="67"/>
      <c r="F882" s="67"/>
      <c r="G882" s="67"/>
      <c r="H882" s="67"/>
      <c r="I882" s="67"/>
      <c r="J882" s="67"/>
      <c r="K882" s="67"/>
      <c r="L882" s="67"/>
      <c r="M882" s="67"/>
      <c r="N882" s="67"/>
      <c r="O882" s="67"/>
      <c r="P882" s="67"/>
      <c r="Q882" s="67"/>
      <c r="R882" s="67"/>
    </row>
    <row r="883" spans="1:18" ht="15.75" customHeight="1" x14ac:dyDescent="0.35">
      <c r="A883" s="67"/>
      <c r="B883" s="67" t="s">
        <v>2435</v>
      </c>
      <c r="C883" s="215"/>
      <c r="D883" s="215"/>
      <c r="E883" s="215"/>
      <c r="F883" s="215"/>
      <c r="G883" s="71" t="s">
        <v>1622</v>
      </c>
      <c r="H883" s="67"/>
      <c r="I883" s="67"/>
      <c r="J883" s="67"/>
      <c r="K883" s="67"/>
      <c r="L883" s="67"/>
      <c r="M883" s="67"/>
      <c r="N883" s="67"/>
      <c r="O883" s="67"/>
      <c r="P883" s="67"/>
      <c r="Q883" s="71" t="str">
        <f>+Q1</f>
        <v>PRINTED:</v>
      </c>
      <c r="R883" s="77">
        <f ca="1">+R1</f>
        <v>44881.72963425926</v>
      </c>
    </row>
    <row r="884" spans="1:18" ht="15.75" customHeight="1" x14ac:dyDescent="0.35">
      <c r="A884" s="67"/>
      <c r="B884" s="67"/>
      <c r="C884" s="215"/>
      <c r="D884" s="215"/>
      <c r="E884" s="215"/>
      <c r="F884" s="215"/>
      <c r="G884" s="67" t="s">
        <v>2435</v>
      </c>
      <c r="H884" s="67" t="s">
        <v>852</v>
      </c>
      <c r="I884" s="69" t="str">
        <f>+A8</f>
        <v>Revised:  1/19/09</v>
      </c>
      <c r="J884" s="67"/>
      <c r="K884" s="67"/>
      <c r="L884" s="67"/>
      <c r="M884" s="67"/>
      <c r="N884" s="67"/>
      <c r="O884" s="67"/>
      <c r="P884" s="67"/>
      <c r="Q884" s="67"/>
      <c r="R884" s="67"/>
    </row>
    <row r="885" spans="1:18" ht="15.75" customHeight="1" x14ac:dyDescent="0.35">
      <c r="A885" s="67"/>
      <c r="B885" s="67" t="s">
        <v>2435</v>
      </c>
      <c r="C885" s="215"/>
      <c r="D885" s="215"/>
      <c r="E885" s="215"/>
      <c r="F885" s="215"/>
      <c r="G885" s="67" t="s">
        <v>2126</v>
      </c>
      <c r="H885" s="67"/>
      <c r="I885" s="67"/>
      <c r="J885" s="67"/>
      <c r="K885" s="67"/>
      <c r="L885" s="67"/>
      <c r="M885" s="67"/>
      <c r="N885" s="67"/>
      <c r="O885" s="67"/>
      <c r="P885" s="67"/>
      <c r="Q885" s="67"/>
      <c r="R885" s="67"/>
    </row>
    <row r="886" spans="1:18" ht="15.75" customHeight="1" x14ac:dyDescent="0.35">
      <c r="A886" s="67"/>
      <c r="B886" s="67"/>
      <c r="C886" s="215"/>
      <c r="D886" s="215"/>
      <c r="E886" s="215"/>
      <c r="F886" s="215"/>
      <c r="G886" s="67"/>
      <c r="H886" s="67"/>
      <c r="I886" s="67"/>
      <c r="J886" s="67"/>
      <c r="K886" s="67"/>
      <c r="L886" s="67" t="s">
        <v>2435</v>
      </c>
      <c r="M886" s="67"/>
      <c r="N886" s="67"/>
      <c r="O886" s="67"/>
      <c r="P886" s="67"/>
      <c r="Q886" s="67"/>
      <c r="R886" s="67"/>
    </row>
    <row r="887" spans="1:18" ht="15.75" customHeight="1" x14ac:dyDescent="0.35">
      <c r="A887" s="67"/>
      <c r="B887" s="67"/>
      <c r="C887" s="215"/>
      <c r="D887" s="215"/>
      <c r="E887" s="215"/>
      <c r="F887" s="215"/>
      <c r="G887" s="67" t="s">
        <v>2435</v>
      </c>
      <c r="H887" s="67" t="str">
        <f>+A5</f>
        <v>Calendar Year 2008</v>
      </c>
      <c r="I887" s="67"/>
      <c r="K887" s="67"/>
      <c r="L887" s="67"/>
      <c r="N887" s="67" t="s">
        <v>2435</v>
      </c>
      <c r="O887" s="67"/>
      <c r="P887" s="67"/>
      <c r="Q887" s="71" t="s">
        <v>253</v>
      </c>
      <c r="R887" s="67"/>
    </row>
    <row r="888" spans="1:18" ht="15.75" customHeight="1" x14ac:dyDescent="0.3">
      <c r="A888" s="67"/>
      <c r="B888" s="67"/>
      <c r="C888" s="67"/>
      <c r="D888" s="67"/>
      <c r="E888" s="67"/>
      <c r="F888" s="67"/>
      <c r="G888" s="67"/>
      <c r="H888" s="67"/>
      <c r="I888" s="67"/>
      <c r="K888" s="67"/>
      <c r="L888" s="67"/>
      <c r="N888" s="67"/>
      <c r="O888" s="67"/>
      <c r="P888" s="67"/>
      <c r="Q888" s="67" t="s">
        <v>254</v>
      </c>
      <c r="R888" s="67"/>
    </row>
    <row r="889" spans="1:18" ht="15.75" customHeight="1" x14ac:dyDescent="0.35">
      <c r="A889" s="67" t="s">
        <v>2435</v>
      </c>
      <c r="B889" s="70" t="s">
        <v>2439</v>
      </c>
      <c r="C889" s="70" t="s">
        <v>336</v>
      </c>
      <c r="D889" s="70" t="s">
        <v>596</v>
      </c>
      <c r="E889" s="70" t="s">
        <v>228</v>
      </c>
      <c r="F889" s="67"/>
      <c r="G889" s="67"/>
      <c r="H889" s="70" t="s">
        <v>229</v>
      </c>
      <c r="I889" s="70" t="s">
        <v>1412</v>
      </c>
      <c r="J889" s="70" t="s">
        <v>1499</v>
      </c>
      <c r="K889" s="70" t="s">
        <v>1413</v>
      </c>
      <c r="L889" s="70" t="s">
        <v>1414</v>
      </c>
      <c r="M889" s="70" t="s">
        <v>1499</v>
      </c>
      <c r="N889" s="67" t="s">
        <v>2435</v>
      </c>
      <c r="O889" s="67"/>
      <c r="P889" s="67"/>
      <c r="Q889" s="67"/>
      <c r="R889" s="67"/>
    </row>
    <row r="890" spans="1:18" ht="15.75" customHeight="1" x14ac:dyDescent="0.3">
      <c r="A890" s="67" t="s">
        <v>2435</v>
      </c>
      <c r="B890" s="70" t="s">
        <v>275</v>
      </c>
      <c r="C890" s="70" t="s">
        <v>1415</v>
      </c>
      <c r="D890" s="70" t="s">
        <v>335</v>
      </c>
      <c r="E890" s="70" t="s">
        <v>2463</v>
      </c>
      <c r="F890" s="70" t="s">
        <v>1416</v>
      </c>
      <c r="G890" s="70" t="s">
        <v>1417</v>
      </c>
      <c r="H890" s="70" t="s">
        <v>1180</v>
      </c>
      <c r="I890" s="70" t="s">
        <v>1318</v>
      </c>
      <c r="J890" s="70" t="s">
        <v>1371</v>
      </c>
      <c r="K890" s="70" t="s">
        <v>429</v>
      </c>
      <c r="L890" s="70" t="s">
        <v>2356</v>
      </c>
      <c r="M890" s="70" t="s">
        <v>1371</v>
      </c>
      <c r="N890" s="67" t="s">
        <v>1999</v>
      </c>
      <c r="O890" s="67"/>
      <c r="P890" s="67"/>
      <c r="Q890" s="67" t="s">
        <v>2435</v>
      </c>
      <c r="R890" s="70" t="s">
        <v>335</v>
      </c>
    </row>
    <row r="891" spans="1:18" ht="15.75" customHeight="1" x14ac:dyDescent="0.3">
      <c r="A891" s="67" t="s">
        <v>2435</v>
      </c>
      <c r="B891" s="70" t="s">
        <v>335</v>
      </c>
      <c r="C891" s="217">
        <v>7.4999999999999997E-2</v>
      </c>
      <c r="D891" s="70" t="s">
        <v>133</v>
      </c>
      <c r="E891" s="70" t="s">
        <v>276</v>
      </c>
      <c r="F891" s="70" t="s">
        <v>335</v>
      </c>
      <c r="G891" s="70" t="s">
        <v>335</v>
      </c>
      <c r="H891" s="70" t="s">
        <v>335</v>
      </c>
      <c r="I891" s="70" t="s">
        <v>134</v>
      </c>
      <c r="J891" s="70" t="s">
        <v>1498</v>
      </c>
      <c r="K891" s="70" t="s">
        <v>335</v>
      </c>
      <c r="L891" s="70" t="s">
        <v>135</v>
      </c>
      <c r="M891" s="70" t="s">
        <v>1498</v>
      </c>
      <c r="N891" s="70" t="s">
        <v>136</v>
      </c>
      <c r="O891" s="70" t="s">
        <v>241</v>
      </c>
      <c r="P891" s="67"/>
      <c r="Q891" s="70" t="s">
        <v>335</v>
      </c>
      <c r="R891" s="70" t="s">
        <v>956</v>
      </c>
    </row>
    <row r="892" spans="1:18" ht="15.75" customHeight="1" x14ac:dyDescent="0.3">
      <c r="A892" s="67" t="s">
        <v>2435</v>
      </c>
      <c r="B892" s="70" t="s">
        <v>932</v>
      </c>
      <c r="C892" s="70" t="s">
        <v>932</v>
      </c>
      <c r="D892" s="70" t="s">
        <v>932</v>
      </c>
      <c r="E892" s="70" t="s">
        <v>932</v>
      </c>
      <c r="F892" s="70" t="s">
        <v>998</v>
      </c>
      <c r="G892" s="70" t="s">
        <v>998</v>
      </c>
      <c r="H892" s="70" t="s">
        <v>932</v>
      </c>
      <c r="I892" s="70" t="s">
        <v>932</v>
      </c>
      <c r="J892" s="70" t="s">
        <v>998</v>
      </c>
      <c r="K892" s="70" t="s">
        <v>932</v>
      </c>
      <c r="L892" s="70" t="s">
        <v>998</v>
      </c>
      <c r="M892" s="70" t="s">
        <v>998</v>
      </c>
      <c r="N892" s="70" t="s">
        <v>998</v>
      </c>
      <c r="O892" s="70" t="s">
        <v>998</v>
      </c>
      <c r="P892" s="67"/>
      <c r="Q892" s="70" t="s">
        <v>998</v>
      </c>
      <c r="R892" s="70" t="s">
        <v>2201</v>
      </c>
    </row>
    <row r="893" spans="1:18" ht="15.75" customHeight="1" x14ac:dyDescent="0.3">
      <c r="A893" s="67" t="s">
        <v>1353</v>
      </c>
      <c r="B893" s="67" t="s">
        <v>1353</v>
      </c>
      <c r="C893" s="67" t="s">
        <v>1353</v>
      </c>
      <c r="D893" s="67" t="s">
        <v>2202</v>
      </c>
      <c r="E893" s="67" t="s">
        <v>1353</v>
      </c>
      <c r="F893" s="70" t="s">
        <v>2119</v>
      </c>
      <c r="G893" s="70" t="s">
        <v>2119</v>
      </c>
      <c r="H893" s="67" t="s">
        <v>1353</v>
      </c>
      <c r="I893" s="67" t="s">
        <v>1353</v>
      </c>
      <c r="J893" s="67" t="s">
        <v>1353</v>
      </c>
      <c r="K893" s="67" t="s">
        <v>1353</v>
      </c>
      <c r="L893" s="70" t="s">
        <v>1353</v>
      </c>
      <c r="M893" s="67" t="s">
        <v>1353</v>
      </c>
      <c r="N893" s="70" t="s">
        <v>1353</v>
      </c>
      <c r="O893" s="70" t="s">
        <v>1353</v>
      </c>
      <c r="P893" s="67"/>
      <c r="Q893" s="70" t="s">
        <v>1353</v>
      </c>
      <c r="R893" s="70" t="s">
        <v>1353</v>
      </c>
    </row>
    <row r="894" spans="1:18" ht="15.75" customHeight="1" x14ac:dyDescent="0.3">
      <c r="A894" s="70" t="s">
        <v>1354</v>
      </c>
      <c r="B894" s="67">
        <f t="shared" ref="B894:B905" si="153">+H783</f>
        <v>265933.69900000002</v>
      </c>
      <c r="C894" s="67">
        <f t="shared" ref="C894:C905" si="154">(B894*C$891)</f>
        <v>19945.027425</v>
      </c>
      <c r="D894" s="67">
        <f t="shared" ref="D894:D905" si="155">(B894*1.005)</f>
        <v>267263.36749500001</v>
      </c>
      <c r="E894" s="67">
        <f t="shared" ref="E894:E901" si="156">(G758*G$756)/(-1000)</f>
        <v>0</v>
      </c>
      <c r="F894" s="67">
        <f t="shared" ref="F894:F905" si="157">(K931)</f>
        <v>4000</v>
      </c>
      <c r="G894" s="67">
        <f t="shared" ref="G894:G905" si="158">(O931)</f>
        <v>0</v>
      </c>
      <c r="H894" s="67">
        <f t="shared" ref="H894:H905" si="159">(F894+G894)</f>
        <v>4000</v>
      </c>
      <c r="I894" s="67">
        <f t="shared" ref="I894:I905" si="160">(G931)</f>
        <v>0</v>
      </c>
      <c r="J894">
        <f>(B$249+B$371+B$372)*1.728</f>
        <v>0</v>
      </c>
      <c r="K894" s="67">
        <f t="shared" ref="K894:K905" si="161">(D894+C894-E894-H894-I894-J894)</f>
        <v>283208.39491999999</v>
      </c>
      <c r="L894" s="67">
        <f t="shared" ref="L894:L905" si="162">(C894+D894)</f>
        <v>287208.39491999999</v>
      </c>
      <c r="M894" s="67">
        <f t="shared" ref="M894:M905" si="163">J894</f>
        <v>0</v>
      </c>
      <c r="N894" s="348">
        <v>286335</v>
      </c>
      <c r="O894" s="67">
        <v>-44340</v>
      </c>
      <c r="P894" s="218" t="s">
        <v>925</v>
      </c>
      <c r="Q894" s="67">
        <f t="shared" ref="Q894:Q905" si="164">SUM(L840:Q840)</f>
        <v>4886.4120000000003</v>
      </c>
      <c r="R894" s="72">
        <v>2.4700000000000002</v>
      </c>
    </row>
    <row r="895" spans="1:18" ht="15.75" customHeight="1" x14ac:dyDescent="0.3">
      <c r="A895" s="70" t="s">
        <v>706</v>
      </c>
      <c r="B895" s="67">
        <f t="shared" si="153"/>
        <v>254393.11499999999</v>
      </c>
      <c r="C895" s="67">
        <f t="shared" si="154"/>
        <v>19079.483624999997</v>
      </c>
      <c r="D895" s="67">
        <f t="shared" si="155"/>
        <v>255665.08057499997</v>
      </c>
      <c r="E895" s="67">
        <f t="shared" si="156"/>
        <v>0</v>
      </c>
      <c r="F895" s="67">
        <f t="shared" si="157"/>
        <v>4000</v>
      </c>
      <c r="G895" s="67">
        <f t="shared" si="158"/>
        <v>0</v>
      </c>
      <c r="H895" s="67">
        <f t="shared" si="159"/>
        <v>4000</v>
      </c>
      <c r="I895" s="67">
        <f t="shared" si="160"/>
        <v>0</v>
      </c>
      <c r="J895">
        <f>(C$249+C$371+C$372)*1.728</f>
        <v>1728</v>
      </c>
      <c r="K895" s="67">
        <f t="shared" si="161"/>
        <v>269016.56419999996</v>
      </c>
      <c r="L895" s="67">
        <f t="shared" si="162"/>
        <v>274744.56419999996</v>
      </c>
      <c r="M895" s="67">
        <f t="shared" si="163"/>
        <v>1728</v>
      </c>
      <c r="N895" s="348">
        <v>275656</v>
      </c>
      <c r="O895" s="67">
        <v>0</v>
      </c>
      <c r="P895" s="67"/>
      <c r="Q895" s="67">
        <f t="shared" si="164"/>
        <v>5897.2380000000003</v>
      </c>
      <c r="R895" s="72">
        <v>2.4700000000000002</v>
      </c>
    </row>
    <row r="896" spans="1:18" ht="15.75" customHeight="1" x14ac:dyDescent="0.3">
      <c r="A896" s="70" t="s">
        <v>707</v>
      </c>
      <c r="B896" s="67">
        <f t="shared" si="153"/>
        <v>271030.799</v>
      </c>
      <c r="C896" s="67">
        <f t="shared" si="154"/>
        <v>20327.309924999998</v>
      </c>
      <c r="D896" s="67">
        <f t="shared" si="155"/>
        <v>272385.95299499994</v>
      </c>
      <c r="E896" s="67">
        <f t="shared" si="156"/>
        <v>9.8010000000000002</v>
      </c>
      <c r="F896" s="67">
        <f t="shared" si="157"/>
        <v>4000</v>
      </c>
      <c r="G896" s="67">
        <f t="shared" si="158"/>
        <v>0</v>
      </c>
      <c r="H896" s="67">
        <f t="shared" si="159"/>
        <v>4000</v>
      </c>
      <c r="I896" s="67">
        <f t="shared" si="160"/>
        <v>0</v>
      </c>
      <c r="J896">
        <f>(D$249+D$371+D$372)*1.728</f>
        <v>0</v>
      </c>
      <c r="K896" s="67">
        <f t="shared" si="161"/>
        <v>288703.46191999997</v>
      </c>
      <c r="L896" s="67">
        <f t="shared" si="162"/>
        <v>292713.26291999995</v>
      </c>
      <c r="M896" s="67">
        <f t="shared" si="163"/>
        <v>0</v>
      </c>
      <c r="N896" s="348">
        <v>289993</v>
      </c>
      <c r="O896" s="67">
        <v>0</v>
      </c>
      <c r="P896" s="67"/>
      <c r="Q896" s="67">
        <f t="shared" si="164"/>
        <v>8605.9290000000019</v>
      </c>
      <c r="R896" s="72">
        <v>2.4700000000000002</v>
      </c>
    </row>
    <row r="897" spans="1:18" ht="15.75" customHeight="1" x14ac:dyDescent="0.3">
      <c r="A897" s="70" t="s">
        <v>1321</v>
      </c>
      <c r="B897" s="67">
        <f t="shared" si="153"/>
        <v>272214.70600000001</v>
      </c>
      <c r="C897" s="67">
        <f t="shared" si="154"/>
        <v>20416.10295</v>
      </c>
      <c r="D897" s="67">
        <f t="shared" si="155"/>
        <v>273575.77953</v>
      </c>
      <c r="E897" s="67">
        <f t="shared" si="156"/>
        <v>1442.32</v>
      </c>
      <c r="F897" s="67">
        <f t="shared" si="157"/>
        <v>9000</v>
      </c>
      <c r="G897" s="67">
        <f t="shared" si="158"/>
        <v>0</v>
      </c>
      <c r="H897" s="67">
        <f t="shared" si="159"/>
        <v>9000</v>
      </c>
      <c r="I897" s="67">
        <f t="shared" si="160"/>
        <v>0</v>
      </c>
      <c r="J897">
        <f>(F$249+F$371+F$372)*1.728</f>
        <v>0</v>
      </c>
      <c r="K897" s="67">
        <f t="shared" si="161"/>
        <v>283549.56248000002</v>
      </c>
      <c r="L897" s="67">
        <f t="shared" si="162"/>
        <v>293991.88248000003</v>
      </c>
      <c r="M897" s="67">
        <f t="shared" si="163"/>
        <v>0</v>
      </c>
      <c r="N897" s="348">
        <v>294379</v>
      </c>
      <c r="O897" s="67">
        <v>0</v>
      </c>
      <c r="P897" s="67"/>
      <c r="Q897" s="67">
        <f t="shared" si="164"/>
        <v>9842.0820000000003</v>
      </c>
      <c r="R897" s="72">
        <v>2.4700000000000002</v>
      </c>
    </row>
    <row r="898" spans="1:18" ht="15.75" customHeight="1" x14ac:dyDescent="0.3">
      <c r="A898" s="70" t="s">
        <v>1905</v>
      </c>
      <c r="B898" s="67">
        <f t="shared" si="153"/>
        <v>280962.03600000002</v>
      </c>
      <c r="C898" s="67">
        <f t="shared" si="154"/>
        <v>21072.152700000002</v>
      </c>
      <c r="D898" s="67">
        <f t="shared" si="155"/>
        <v>282366.84617999999</v>
      </c>
      <c r="E898" s="67">
        <f t="shared" si="156"/>
        <v>998.00800000000004</v>
      </c>
      <c r="F898" s="67">
        <f t="shared" si="157"/>
        <v>9000</v>
      </c>
      <c r="G898" s="67">
        <f t="shared" si="158"/>
        <v>0</v>
      </c>
      <c r="H898" s="67">
        <f t="shared" si="159"/>
        <v>9000</v>
      </c>
      <c r="I898" s="67">
        <f t="shared" si="160"/>
        <v>0</v>
      </c>
      <c r="J898">
        <f>(G$249+G$371+G$372)*1.728</f>
        <v>0</v>
      </c>
      <c r="K898" s="67">
        <f t="shared" si="161"/>
        <v>293440.99088</v>
      </c>
      <c r="L898" s="67">
        <f t="shared" si="162"/>
        <v>303438.99887999997</v>
      </c>
      <c r="M898" s="67">
        <f t="shared" si="163"/>
        <v>0</v>
      </c>
      <c r="N898" s="348">
        <v>303088</v>
      </c>
      <c r="O898" s="67">
        <v>0</v>
      </c>
      <c r="P898" s="67"/>
      <c r="Q898" s="67">
        <f t="shared" si="164"/>
        <v>10710.777</v>
      </c>
      <c r="R898" s="72">
        <v>2.4700000000000002</v>
      </c>
    </row>
    <row r="899" spans="1:18" ht="15.75" customHeight="1" x14ac:dyDescent="0.3">
      <c r="A899" s="70" t="s">
        <v>1906</v>
      </c>
      <c r="B899" s="67">
        <f t="shared" si="153"/>
        <v>218700.36300000001</v>
      </c>
      <c r="C899" s="67">
        <f t="shared" si="154"/>
        <v>16402.527225000002</v>
      </c>
      <c r="D899" s="67">
        <f t="shared" si="155"/>
        <v>219793.86481499998</v>
      </c>
      <c r="E899" s="67">
        <f t="shared" si="156"/>
        <v>7291.9440000000004</v>
      </c>
      <c r="F899" s="67">
        <f t="shared" si="157"/>
        <v>18000</v>
      </c>
      <c r="G899" s="67">
        <f t="shared" si="158"/>
        <v>0</v>
      </c>
      <c r="H899" s="67">
        <f t="shared" si="159"/>
        <v>18000</v>
      </c>
      <c r="I899" s="67">
        <f t="shared" si="160"/>
        <v>0</v>
      </c>
      <c r="J899">
        <f>(H$249+H$371+H$372)*1.728</f>
        <v>0</v>
      </c>
      <c r="K899" s="67">
        <f t="shared" si="161"/>
        <v>210904.44803999999</v>
      </c>
      <c r="L899" s="67">
        <f t="shared" si="162"/>
        <v>236196.39203999998</v>
      </c>
      <c r="M899" s="67">
        <f t="shared" si="163"/>
        <v>0</v>
      </c>
      <c r="N899" s="348">
        <v>231510</v>
      </c>
      <c r="O899" s="67">
        <v>0</v>
      </c>
      <c r="P899" s="67"/>
      <c r="Q899" s="67">
        <f t="shared" si="164"/>
        <v>9857.5679999999993</v>
      </c>
      <c r="R899" s="72">
        <v>2.4700000000000002</v>
      </c>
    </row>
    <row r="900" spans="1:18" ht="15.75" customHeight="1" x14ac:dyDescent="0.3">
      <c r="A900" s="70" t="s">
        <v>1907</v>
      </c>
      <c r="B900" s="67">
        <f t="shared" si="153"/>
        <v>153417.079</v>
      </c>
      <c r="C900" s="67">
        <f t="shared" si="154"/>
        <v>11506.280924999999</v>
      </c>
      <c r="D900" s="67">
        <f t="shared" si="155"/>
        <v>154184.16439499997</v>
      </c>
      <c r="E900" s="67">
        <f t="shared" si="156"/>
        <v>11214.159</v>
      </c>
      <c r="F900" s="67">
        <f t="shared" si="157"/>
        <v>21000</v>
      </c>
      <c r="G900" s="67">
        <f t="shared" si="158"/>
        <v>0</v>
      </c>
      <c r="H900" s="67">
        <f t="shared" si="159"/>
        <v>21000</v>
      </c>
      <c r="I900" s="67">
        <f t="shared" si="160"/>
        <v>0</v>
      </c>
      <c r="J900">
        <f>(J$249+J$371+J$372)*1.728</f>
        <v>0</v>
      </c>
      <c r="K900" s="67">
        <f t="shared" si="161"/>
        <v>133476.28631999996</v>
      </c>
      <c r="L900" s="67">
        <f t="shared" si="162"/>
        <v>165690.44531999997</v>
      </c>
      <c r="M900" s="67">
        <f t="shared" si="163"/>
        <v>0</v>
      </c>
      <c r="N900" s="348">
        <v>161543</v>
      </c>
      <c r="O900" s="67">
        <v>0</v>
      </c>
      <c r="P900" s="67"/>
      <c r="Q900" s="67">
        <f t="shared" si="164"/>
        <v>9391.7429999999986</v>
      </c>
      <c r="R900" s="72">
        <v>2.4700000000000002</v>
      </c>
    </row>
    <row r="901" spans="1:18" ht="15.75" customHeight="1" x14ac:dyDescent="0.3">
      <c r="A901" s="70" t="s">
        <v>1908</v>
      </c>
      <c r="B901" s="67">
        <f t="shared" si="153"/>
        <v>140805.125</v>
      </c>
      <c r="C901" s="67">
        <f t="shared" si="154"/>
        <v>10560.384375</v>
      </c>
      <c r="D901" s="67">
        <f t="shared" si="155"/>
        <v>141509.15062499998</v>
      </c>
      <c r="E901" s="67">
        <f t="shared" si="156"/>
        <v>15655.343000000001</v>
      </c>
      <c r="F901" s="67">
        <f t="shared" si="157"/>
        <v>35000</v>
      </c>
      <c r="G901" s="67">
        <f t="shared" si="158"/>
        <v>0</v>
      </c>
      <c r="H901" s="67">
        <f t="shared" si="159"/>
        <v>35000</v>
      </c>
      <c r="I901" s="67">
        <f t="shared" si="160"/>
        <v>0</v>
      </c>
      <c r="J901">
        <f>(K$249+K$371+K$372)*1.728</f>
        <v>0</v>
      </c>
      <c r="K901" s="67">
        <f t="shared" si="161"/>
        <v>101414.19199999998</v>
      </c>
      <c r="L901" s="67">
        <f t="shared" si="162"/>
        <v>152069.53499999997</v>
      </c>
      <c r="M901" s="67">
        <f t="shared" si="163"/>
        <v>0</v>
      </c>
      <c r="N901" s="348">
        <v>148178</v>
      </c>
      <c r="O901" s="67">
        <v>0</v>
      </c>
      <c r="P901" s="67"/>
      <c r="Q901" s="67">
        <f t="shared" si="164"/>
        <v>11478.366</v>
      </c>
      <c r="R901" s="72">
        <v>2.4700000000000002</v>
      </c>
    </row>
    <row r="902" spans="1:18" ht="15.75" customHeight="1" x14ac:dyDescent="0.3">
      <c r="A902" s="70" t="s">
        <v>2352</v>
      </c>
      <c r="B902" s="67">
        <f t="shared" si="153"/>
        <v>168829.228</v>
      </c>
      <c r="C902" s="67">
        <f t="shared" si="154"/>
        <v>12662.1921</v>
      </c>
      <c r="D902" s="67">
        <f t="shared" si="155"/>
        <v>169673.37413999997</v>
      </c>
      <c r="E902" s="67">
        <v>0</v>
      </c>
      <c r="F902" s="67">
        <f t="shared" si="157"/>
        <v>35000</v>
      </c>
      <c r="G902" s="67">
        <f t="shared" si="158"/>
        <v>0</v>
      </c>
      <c r="H902" s="67">
        <f t="shared" si="159"/>
        <v>35000</v>
      </c>
      <c r="I902" s="67">
        <f t="shared" si="160"/>
        <v>0</v>
      </c>
      <c r="J902">
        <f>(L$249+L$371+L$372)*1.728</f>
        <v>2592</v>
      </c>
      <c r="K902" s="67">
        <f t="shared" si="161"/>
        <v>144743.56623999996</v>
      </c>
      <c r="L902" s="67">
        <f t="shared" si="162"/>
        <v>182335.56623999996</v>
      </c>
      <c r="M902" s="67">
        <f t="shared" si="163"/>
        <v>2592</v>
      </c>
      <c r="N902" s="67">
        <f>L902-M902</f>
        <v>179743.56623999996</v>
      </c>
      <c r="O902" s="67">
        <f>(L902-M902-N902)</f>
        <v>0</v>
      </c>
      <c r="P902" s="67"/>
      <c r="Q902" s="67">
        <f t="shared" si="164"/>
        <v>10878.474000000002</v>
      </c>
      <c r="R902" s="72">
        <v>2.4700000000000002</v>
      </c>
    </row>
    <row r="903" spans="1:18" ht="15.75" customHeight="1" x14ac:dyDescent="0.3">
      <c r="A903" s="70" t="s">
        <v>2353</v>
      </c>
      <c r="B903" s="67">
        <f t="shared" si="153"/>
        <v>221055.71299999999</v>
      </c>
      <c r="C903" s="67">
        <f t="shared" si="154"/>
        <v>16579.178474999997</v>
      </c>
      <c r="D903" s="67">
        <f t="shared" si="155"/>
        <v>222160.99156499997</v>
      </c>
      <c r="E903" s="67">
        <v>0</v>
      </c>
      <c r="F903" s="67">
        <f t="shared" si="157"/>
        <v>4000</v>
      </c>
      <c r="G903" s="67">
        <f t="shared" si="158"/>
        <v>0</v>
      </c>
      <c r="H903" s="67">
        <f t="shared" si="159"/>
        <v>4000</v>
      </c>
      <c r="I903" s="67">
        <f t="shared" si="160"/>
        <v>71876.170039999968</v>
      </c>
      <c r="J903">
        <f>(N$249+N$371+N$372)*1.728</f>
        <v>864</v>
      </c>
      <c r="K903" s="67">
        <f t="shared" si="161"/>
        <v>162000</v>
      </c>
      <c r="L903" s="67">
        <f t="shared" si="162"/>
        <v>238740.17003999997</v>
      </c>
      <c r="M903" s="67">
        <f t="shared" si="163"/>
        <v>864</v>
      </c>
      <c r="N903" s="67">
        <v>166000</v>
      </c>
      <c r="O903" s="67">
        <f>(L903-M903-N903)</f>
        <v>71876.170039999968</v>
      </c>
      <c r="P903" s="67"/>
      <c r="Q903" s="67">
        <f t="shared" si="164"/>
        <v>8870.8889999999992</v>
      </c>
      <c r="R903" s="72">
        <v>2.4700000000000002</v>
      </c>
    </row>
    <row r="904" spans="1:18" ht="15.75" customHeight="1" x14ac:dyDescent="0.3">
      <c r="A904" s="70" t="s">
        <v>2354</v>
      </c>
      <c r="B904" s="67">
        <f t="shared" si="153"/>
        <v>267865.09700000001</v>
      </c>
      <c r="C904" s="67">
        <f t="shared" si="154"/>
        <v>20089.882275</v>
      </c>
      <c r="D904" s="67">
        <f t="shared" si="155"/>
        <v>269204.42248499999</v>
      </c>
      <c r="E904" s="67">
        <f>(G768*G$756)/(-1000)</f>
        <v>0</v>
      </c>
      <c r="F904" s="67">
        <f t="shared" si="157"/>
        <v>4000</v>
      </c>
      <c r="G904" s="67">
        <f t="shared" si="158"/>
        <v>0</v>
      </c>
      <c r="H904" s="67">
        <f t="shared" si="159"/>
        <v>4000</v>
      </c>
      <c r="I904" s="67">
        <f t="shared" si="160"/>
        <v>289294.30475999997</v>
      </c>
      <c r="J904">
        <f>(O$249+O$371+O$372)*1.728</f>
        <v>0</v>
      </c>
      <c r="K904" s="67">
        <f t="shared" si="161"/>
        <v>-4000</v>
      </c>
      <c r="L904" s="67">
        <f t="shared" si="162"/>
        <v>289294.30475999997</v>
      </c>
      <c r="M904" s="67">
        <f t="shared" si="163"/>
        <v>0</v>
      </c>
      <c r="N904" s="67">
        <v>0</v>
      </c>
      <c r="O904" s="67">
        <f>(L904-M904-N904)</f>
        <v>289294.30475999997</v>
      </c>
      <c r="P904" s="67"/>
      <c r="Q904" s="67">
        <f t="shared" si="164"/>
        <v>6008.7360000000008</v>
      </c>
      <c r="R904" s="72">
        <v>2.4700000000000002</v>
      </c>
    </row>
    <row r="905" spans="1:18" ht="15.75" customHeight="1" x14ac:dyDescent="0.3">
      <c r="A905" s="70" t="s">
        <v>2355</v>
      </c>
      <c r="B905" s="67">
        <f t="shared" si="153"/>
        <v>115057.984</v>
      </c>
      <c r="C905" s="67">
        <f t="shared" si="154"/>
        <v>8629.3487999999998</v>
      </c>
      <c r="D905" s="67">
        <f t="shared" si="155"/>
        <v>115633.27391999998</v>
      </c>
      <c r="E905" s="67">
        <f>(G769*G$756)/(-1000)</f>
        <v>2739.6819999999998</v>
      </c>
      <c r="F905" s="67">
        <f t="shared" si="157"/>
        <v>4000</v>
      </c>
      <c r="G905" s="67">
        <f t="shared" si="158"/>
        <v>0</v>
      </c>
      <c r="H905" s="67">
        <f t="shared" si="159"/>
        <v>4000</v>
      </c>
      <c r="I905" s="67">
        <f t="shared" si="160"/>
        <v>124262.62271999998</v>
      </c>
      <c r="J905">
        <f>(P$249+P$371+P$372)*1.728</f>
        <v>0</v>
      </c>
      <c r="K905" s="67">
        <f t="shared" si="161"/>
        <v>-6739.6820000000007</v>
      </c>
      <c r="L905" s="67">
        <f t="shared" si="162"/>
        <v>124262.62271999998</v>
      </c>
      <c r="M905" s="67">
        <f t="shared" si="163"/>
        <v>0</v>
      </c>
      <c r="N905" s="67">
        <v>0</v>
      </c>
      <c r="O905" s="67">
        <f>(L905-M905-N905)</f>
        <v>124262.62271999998</v>
      </c>
      <c r="P905" s="67"/>
      <c r="Q905" s="67">
        <f t="shared" si="164"/>
        <v>7939.3770000000004</v>
      </c>
      <c r="R905" s="72">
        <v>2.4700000000000002</v>
      </c>
    </row>
    <row r="906" spans="1:18" ht="15.75" customHeight="1" x14ac:dyDescent="0.3">
      <c r="A906" s="67" t="s">
        <v>2435</v>
      </c>
      <c r="B906" s="67" t="s">
        <v>2435</v>
      </c>
      <c r="C906" s="67"/>
      <c r="D906" s="67" t="s">
        <v>852</v>
      </c>
      <c r="E906" s="67"/>
      <c r="F906" s="67"/>
      <c r="G906" s="67" t="s">
        <v>852</v>
      </c>
      <c r="H906" s="67" t="s">
        <v>852</v>
      </c>
      <c r="I906" s="73"/>
      <c r="K906" s="67"/>
      <c r="L906" s="67"/>
      <c r="M906" s="67"/>
      <c r="N906" s="67"/>
      <c r="O906" s="70" t="s">
        <v>2435</v>
      </c>
      <c r="P906" s="67"/>
      <c r="Q906" s="67"/>
      <c r="R906" s="72"/>
    </row>
    <row r="907" spans="1:18" ht="15.75" customHeight="1" x14ac:dyDescent="0.3">
      <c r="A907" s="67" t="s">
        <v>2356</v>
      </c>
      <c r="B907" s="67">
        <f>SUM(B894:B905)</f>
        <v>2630264.9440000006</v>
      </c>
      <c r="C907" s="67">
        <f>SUM(C894:C905)</f>
        <v>197269.8708</v>
      </c>
      <c r="D907" s="67">
        <f>(B907*1.005)</f>
        <v>2643416.2687200005</v>
      </c>
      <c r="E907" s="67">
        <f>SUM(E894:E905)</f>
        <v>39351.256999999998</v>
      </c>
      <c r="F907" s="67">
        <f>(K945)</f>
        <v>151000</v>
      </c>
      <c r="G907" s="67">
        <f>(O945)</f>
        <v>0</v>
      </c>
      <c r="H907" s="67">
        <f>(F907+G907)</f>
        <v>151000</v>
      </c>
      <c r="I907" s="67">
        <f t="shared" ref="I907:O907" si="165">SUM(I894:I905)</f>
        <v>485433.09751999995</v>
      </c>
      <c r="J907" s="67">
        <f t="shared" si="165"/>
        <v>5184</v>
      </c>
      <c r="K907" s="67">
        <f t="shared" si="165"/>
        <v>2159717.7849999997</v>
      </c>
      <c r="L907" s="67">
        <f t="shared" si="165"/>
        <v>2840686.1395199993</v>
      </c>
      <c r="M907" s="67">
        <f t="shared" si="165"/>
        <v>5184</v>
      </c>
      <c r="N907" s="67">
        <f t="shared" si="165"/>
        <v>2336425.5662400001</v>
      </c>
      <c r="O907" s="67">
        <f t="shared" si="165"/>
        <v>441093.09751999995</v>
      </c>
      <c r="P907" s="67"/>
      <c r="Q907" s="67">
        <f>(SUM(Q894:Q905))</f>
        <v>104367.59100000001</v>
      </c>
      <c r="R907" s="72"/>
    </row>
    <row r="908" spans="1:18" ht="15.75" customHeight="1" x14ac:dyDescent="0.3">
      <c r="A908" s="67"/>
      <c r="B908" s="67"/>
      <c r="C908" s="67"/>
      <c r="D908" s="67"/>
      <c r="E908" s="67"/>
      <c r="F908" s="67" t="s">
        <v>2435</v>
      </c>
      <c r="G908" s="67"/>
      <c r="H908" s="67"/>
      <c r="I908" s="67"/>
      <c r="K908" s="67"/>
      <c r="L908" s="67"/>
      <c r="N908" s="219" t="s">
        <v>999</v>
      </c>
      <c r="P908" s="67"/>
      <c r="Q908" s="67"/>
      <c r="R908" s="67"/>
    </row>
    <row r="909" spans="1:18" ht="15.75" customHeight="1" x14ac:dyDescent="0.35">
      <c r="A909" s="67" t="s">
        <v>2435</v>
      </c>
      <c r="B909" s="67" t="s">
        <v>2452</v>
      </c>
      <c r="C909" s="67"/>
      <c r="D909" s="67"/>
      <c r="E909" s="67"/>
      <c r="F909" s="67"/>
      <c r="G909" s="67"/>
      <c r="H909" s="67"/>
      <c r="I909" s="67"/>
      <c r="J909" s="67"/>
      <c r="K909" s="67"/>
      <c r="L909" s="67"/>
      <c r="M909" s="67"/>
      <c r="N909" s="67"/>
      <c r="O909" s="67"/>
      <c r="P909" s="67"/>
      <c r="Q909" s="67"/>
      <c r="R909" s="67"/>
    </row>
    <row r="910" spans="1:18" ht="15.75" customHeight="1" x14ac:dyDescent="0.3">
      <c r="A910" s="67"/>
      <c r="B910" s="67" t="s">
        <v>1660</v>
      </c>
      <c r="C910" s="67"/>
      <c r="D910" s="67"/>
      <c r="E910" s="67"/>
      <c r="F910" s="67"/>
      <c r="G910" s="67"/>
      <c r="H910" s="67"/>
      <c r="I910" s="67"/>
      <c r="J910" s="67"/>
      <c r="K910" s="67"/>
      <c r="L910" s="67"/>
      <c r="M910" s="67"/>
      <c r="N910" s="67"/>
      <c r="O910" s="67"/>
      <c r="P910" s="67"/>
      <c r="Q910" s="67"/>
      <c r="R910" s="67"/>
    </row>
    <row r="911" spans="1:18" ht="15.75" customHeight="1" x14ac:dyDescent="0.3">
      <c r="A911" s="67"/>
      <c r="B911" s="67" t="s">
        <v>279</v>
      </c>
      <c r="C911" s="67"/>
      <c r="D911" s="67"/>
      <c r="E911" s="67"/>
      <c r="F911" s="67"/>
      <c r="G911" s="67"/>
      <c r="H911" s="67"/>
      <c r="I911" s="67"/>
      <c r="J911" s="846" t="s">
        <v>2288</v>
      </c>
      <c r="K911" s="846"/>
      <c r="L911" s="846"/>
      <c r="M911" s="846"/>
      <c r="N911" s="348" t="s">
        <v>2289</v>
      </c>
      <c r="O911" s="67"/>
      <c r="P911" s="67"/>
      <c r="Q911" s="67"/>
      <c r="R911" s="67"/>
    </row>
    <row r="912" spans="1:18" ht="15.75" customHeight="1" x14ac:dyDescent="0.3">
      <c r="A912" s="67"/>
      <c r="B912" s="67" t="s">
        <v>453</v>
      </c>
      <c r="C912" s="67"/>
      <c r="D912" s="67"/>
      <c r="E912" s="67"/>
      <c r="F912" s="67"/>
      <c r="G912" s="67"/>
      <c r="H912" s="67"/>
      <c r="I912" s="67"/>
      <c r="J912" s="67"/>
      <c r="K912" s="67"/>
      <c r="L912" s="67"/>
      <c r="M912" s="67"/>
      <c r="N912" s="67"/>
      <c r="O912" s="67"/>
      <c r="P912" s="67"/>
      <c r="Q912" s="67"/>
      <c r="R912" s="67"/>
    </row>
    <row r="913" spans="1:18" ht="15.75" customHeight="1" x14ac:dyDescent="0.3">
      <c r="A913" s="67"/>
      <c r="B913" s="67" t="s">
        <v>2346</v>
      </c>
      <c r="C913" s="67"/>
      <c r="D913" s="67"/>
      <c r="E913" s="67"/>
      <c r="F913" s="67"/>
      <c r="G913" s="67"/>
      <c r="H913" s="67"/>
      <c r="I913" s="67"/>
      <c r="J913" s="67"/>
      <c r="K913" s="67"/>
      <c r="L913" s="67"/>
      <c r="M913" s="67"/>
      <c r="N913" s="67"/>
      <c r="O913" s="67"/>
      <c r="P913" s="67"/>
      <c r="Q913" s="67"/>
      <c r="R913" s="67"/>
    </row>
    <row r="914" spans="1:18" ht="15.75" customHeight="1" x14ac:dyDescent="0.35">
      <c r="A914" s="67"/>
      <c r="B914" s="67" t="s">
        <v>1213</v>
      </c>
      <c r="C914" s="67"/>
      <c r="D914" s="67"/>
      <c r="E914" s="67"/>
      <c r="F914" s="67"/>
      <c r="G914" s="67"/>
      <c r="H914" s="67"/>
      <c r="I914" s="67"/>
      <c r="J914" s="67"/>
      <c r="K914" s="67"/>
      <c r="L914" s="67"/>
      <c r="M914" s="67"/>
      <c r="N914" s="67"/>
      <c r="O914" s="67"/>
      <c r="P914" s="67"/>
      <c r="Q914" s="67"/>
      <c r="R914" s="67"/>
    </row>
    <row r="915" spans="1:18" ht="16.2" x14ac:dyDescent="0.35">
      <c r="A915" s="67"/>
      <c r="B915" s="67" t="s">
        <v>736</v>
      </c>
      <c r="C915" s="67"/>
      <c r="D915" s="67"/>
      <c r="E915" s="67"/>
      <c r="F915" s="67"/>
      <c r="G915" s="67"/>
      <c r="H915" s="67"/>
      <c r="I915" s="67"/>
      <c r="J915" s="67"/>
      <c r="K915" s="67"/>
      <c r="L915" s="67"/>
      <c r="M915" s="67"/>
      <c r="N915" s="67"/>
      <c r="O915" s="67"/>
      <c r="P915" s="67"/>
      <c r="Q915" s="67"/>
      <c r="R915" s="67"/>
    </row>
    <row r="916" spans="1:18" x14ac:dyDescent="0.3">
      <c r="A916" s="67"/>
      <c r="B916" s="67"/>
      <c r="C916" s="67"/>
      <c r="D916" s="67"/>
      <c r="E916" s="67"/>
      <c r="F916" s="67"/>
      <c r="G916" s="67"/>
      <c r="H916" s="67"/>
      <c r="I916" s="67"/>
      <c r="J916" s="67"/>
      <c r="K916" s="67"/>
      <c r="L916" s="67"/>
      <c r="M916" s="67"/>
      <c r="N916" s="67"/>
      <c r="O916" s="67"/>
      <c r="P916" s="67"/>
      <c r="Q916" s="67"/>
      <c r="R916" s="67"/>
    </row>
    <row r="917" spans="1:18" ht="16.2" x14ac:dyDescent="0.35">
      <c r="A917" s="67"/>
      <c r="B917" s="67"/>
      <c r="C917" s="215"/>
      <c r="D917" s="215"/>
      <c r="E917" s="215"/>
      <c r="F917" s="215"/>
      <c r="G917" s="215"/>
      <c r="H917" s="71" t="s">
        <v>1623</v>
      </c>
      <c r="I917" s="67"/>
      <c r="J917" s="67"/>
      <c r="K917" s="67"/>
      <c r="L917" s="67"/>
      <c r="M917" s="67"/>
      <c r="N917" s="67"/>
      <c r="O917" s="67"/>
      <c r="P917" s="67"/>
      <c r="Q917" s="71" t="str">
        <f>+Q1</f>
        <v>PRINTED:</v>
      </c>
      <c r="R917" s="77">
        <f ca="1">+R1</f>
        <v>44881.72963425926</v>
      </c>
    </row>
    <row r="918" spans="1:18" ht="16.2" x14ac:dyDescent="0.35">
      <c r="A918" s="67"/>
      <c r="B918" s="67"/>
      <c r="C918" s="215"/>
      <c r="D918" s="215"/>
      <c r="E918" s="215"/>
      <c r="F918" s="215"/>
      <c r="G918" s="215"/>
      <c r="H918" s="67" t="s">
        <v>2435</v>
      </c>
      <c r="I918" s="67" t="s">
        <v>852</v>
      </c>
      <c r="J918" s="69" t="str">
        <f>+A8</f>
        <v>Revised:  1/19/09</v>
      </c>
      <c r="K918" s="67"/>
      <c r="L918" s="67"/>
      <c r="M918" s="67"/>
      <c r="N918" s="67"/>
      <c r="O918" s="67"/>
      <c r="P918" s="67"/>
      <c r="Q918" s="67"/>
      <c r="R918" s="67"/>
    </row>
    <row r="919" spans="1:18" ht="16.2" x14ac:dyDescent="0.35">
      <c r="A919" s="67"/>
      <c r="B919" s="67"/>
      <c r="C919" s="215"/>
      <c r="D919" s="215"/>
      <c r="E919" s="215"/>
      <c r="F919" s="215"/>
      <c r="G919" s="215"/>
      <c r="H919" s="67" t="s">
        <v>2126</v>
      </c>
      <c r="I919" s="67"/>
      <c r="J919" s="67"/>
      <c r="K919" s="67"/>
      <c r="L919" s="67"/>
      <c r="M919" s="67"/>
      <c r="N919" s="67"/>
      <c r="O919" s="67"/>
      <c r="P919" s="67"/>
      <c r="Q919" s="67"/>
      <c r="R919" s="67"/>
    </row>
    <row r="920" spans="1:18" ht="16.2" x14ac:dyDescent="0.35">
      <c r="A920" s="67"/>
      <c r="B920" s="67"/>
      <c r="C920" s="215"/>
      <c r="D920" s="215"/>
      <c r="E920" s="215"/>
      <c r="F920" s="215"/>
      <c r="G920" s="215"/>
      <c r="H920" s="67"/>
      <c r="I920" s="67"/>
      <c r="J920" s="67"/>
      <c r="K920" s="67"/>
      <c r="L920" s="67"/>
      <c r="M920" s="67"/>
      <c r="N920" s="67"/>
      <c r="O920" s="67"/>
      <c r="P920" s="67"/>
      <c r="Q920" s="67"/>
      <c r="R920" s="67"/>
    </row>
    <row r="921" spans="1:18" ht="16.2" x14ac:dyDescent="0.35">
      <c r="A921" s="67"/>
      <c r="B921" s="67"/>
      <c r="C921" s="215"/>
      <c r="D921" s="215"/>
      <c r="E921" s="215"/>
      <c r="F921" s="215"/>
      <c r="G921" s="215"/>
      <c r="H921" s="67" t="s">
        <v>2435</v>
      </c>
      <c r="I921" s="67" t="str">
        <f>+A5</f>
        <v>Calendar Year 2008</v>
      </c>
      <c r="J921" s="67"/>
      <c r="K921" s="67"/>
      <c r="L921" s="67"/>
      <c r="M921" s="67"/>
      <c r="N921" s="67"/>
      <c r="O921" s="67"/>
      <c r="P921" s="67"/>
      <c r="Q921" s="67"/>
      <c r="R921" s="67"/>
    </row>
    <row r="922" spans="1:18" x14ac:dyDescent="0.3">
      <c r="A922" s="67"/>
      <c r="B922" s="67"/>
      <c r="C922" s="67"/>
      <c r="D922" s="67"/>
      <c r="E922" s="67"/>
      <c r="F922" s="67"/>
      <c r="G922" s="67"/>
      <c r="H922" s="67"/>
      <c r="I922" s="67"/>
      <c r="J922" s="67"/>
      <c r="K922" s="67"/>
      <c r="L922" s="67"/>
      <c r="M922" s="67"/>
      <c r="N922" s="67"/>
      <c r="O922" s="67"/>
      <c r="P922" s="67"/>
      <c r="Q922" s="67"/>
      <c r="R922" s="67"/>
    </row>
    <row r="923" spans="1:18" x14ac:dyDescent="0.3">
      <c r="A923" s="67"/>
      <c r="B923" s="67"/>
      <c r="C923" s="71" t="s">
        <v>1442</v>
      </c>
      <c r="D923" s="67"/>
      <c r="E923" s="67"/>
      <c r="F923" s="67"/>
      <c r="G923" s="71" t="s">
        <v>1409</v>
      </c>
      <c r="H923" s="67"/>
      <c r="I923" s="67"/>
      <c r="J923" s="67"/>
      <c r="K923" s="68" t="s">
        <v>234</v>
      </c>
      <c r="L923" s="67"/>
      <c r="M923" s="67"/>
      <c r="N923" s="67"/>
      <c r="O923" s="68" t="s">
        <v>1701</v>
      </c>
      <c r="P923" s="67"/>
      <c r="Q923" s="67"/>
      <c r="R923" s="67"/>
    </row>
    <row r="924" spans="1:18" x14ac:dyDescent="0.3">
      <c r="A924" s="67"/>
      <c r="B924" s="67"/>
      <c r="C924" s="67" t="str">
        <f>+A5</f>
        <v>Calendar Year 2008</v>
      </c>
      <c r="D924" s="67"/>
      <c r="E924" s="67"/>
      <c r="F924" s="67" t="s">
        <v>2415</v>
      </c>
      <c r="G924" s="67"/>
      <c r="H924" s="67"/>
      <c r="I924" s="67"/>
      <c r="J924" s="67"/>
      <c r="K924" s="67" t="str">
        <f>+A5</f>
        <v>Calendar Year 2008</v>
      </c>
      <c r="L924" s="67"/>
      <c r="M924" s="67"/>
      <c r="N924" s="67"/>
      <c r="O924" s="67" t="str">
        <f>+A5</f>
        <v>Calendar Year 2008</v>
      </c>
      <c r="P924" s="67"/>
      <c r="Q924" s="67"/>
      <c r="R924" s="67"/>
    </row>
    <row r="925" spans="1:18" x14ac:dyDescent="0.3">
      <c r="A925" s="67"/>
      <c r="B925" s="67"/>
      <c r="C925" s="67"/>
      <c r="D925" s="67"/>
      <c r="E925" s="67"/>
      <c r="F925" s="67"/>
      <c r="G925" s="67" t="str">
        <f>+A5</f>
        <v>Calendar Year 2008</v>
      </c>
      <c r="H925" s="67"/>
      <c r="I925" s="67"/>
      <c r="J925" s="67"/>
      <c r="K925" s="67"/>
      <c r="L925" s="67"/>
      <c r="M925" s="67"/>
      <c r="N925" s="67"/>
      <c r="O925" s="67"/>
      <c r="P925" s="67"/>
      <c r="Q925" s="67"/>
      <c r="R925" s="67"/>
    </row>
    <row r="926" spans="1:18" x14ac:dyDescent="0.3">
      <c r="A926" s="67"/>
      <c r="B926" s="67"/>
      <c r="C926" s="70" t="s">
        <v>1413</v>
      </c>
      <c r="D926" s="70" t="s">
        <v>31</v>
      </c>
      <c r="E926" s="70" t="s">
        <v>32</v>
      </c>
      <c r="F926" s="67"/>
      <c r="G926" s="70" t="s">
        <v>1412</v>
      </c>
      <c r="H926" s="70" t="s">
        <v>31</v>
      </c>
      <c r="I926" s="70" t="s">
        <v>1077</v>
      </c>
      <c r="J926" s="67"/>
      <c r="K926" s="70" t="s">
        <v>229</v>
      </c>
      <c r="L926" s="70" t="s">
        <v>31</v>
      </c>
      <c r="M926" s="70" t="s">
        <v>1078</v>
      </c>
      <c r="N926" s="67"/>
      <c r="O926" s="70" t="s">
        <v>229</v>
      </c>
      <c r="P926" s="70" t="s">
        <v>31</v>
      </c>
      <c r="Q926" s="70" t="s">
        <v>1078</v>
      </c>
      <c r="R926" s="67"/>
    </row>
    <row r="927" spans="1:18" x14ac:dyDescent="0.3">
      <c r="A927" s="67"/>
      <c r="B927" s="67"/>
      <c r="C927" s="70" t="s">
        <v>429</v>
      </c>
      <c r="D927" s="70" t="s">
        <v>335</v>
      </c>
      <c r="E927" s="70" t="s">
        <v>2000</v>
      </c>
      <c r="F927" s="67"/>
      <c r="G927" s="70" t="s">
        <v>1318</v>
      </c>
      <c r="H927" s="70" t="s">
        <v>335</v>
      </c>
      <c r="I927" s="70" t="s">
        <v>2000</v>
      </c>
      <c r="J927" s="67"/>
      <c r="K927" s="70" t="s">
        <v>1180</v>
      </c>
      <c r="L927" s="70" t="s">
        <v>335</v>
      </c>
      <c r="M927" s="70" t="s">
        <v>2000</v>
      </c>
      <c r="N927" s="67"/>
      <c r="O927" s="70" t="s">
        <v>1180</v>
      </c>
      <c r="P927" s="70" t="s">
        <v>335</v>
      </c>
      <c r="Q927" s="70" t="s">
        <v>2000</v>
      </c>
      <c r="R927" s="67"/>
    </row>
    <row r="928" spans="1:18" x14ac:dyDescent="0.3">
      <c r="A928" s="67"/>
      <c r="B928" s="67"/>
      <c r="C928" s="70" t="s">
        <v>335</v>
      </c>
      <c r="D928" s="70" t="s">
        <v>956</v>
      </c>
      <c r="E928" s="70" t="s">
        <v>242</v>
      </c>
      <c r="F928" s="67"/>
      <c r="G928" s="70" t="s">
        <v>134</v>
      </c>
      <c r="H928" s="70" t="s">
        <v>956</v>
      </c>
      <c r="I928" s="70" t="s">
        <v>242</v>
      </c>
      <c r="J928" s="67"/>
      <c r="K928" s="70" t="s">
        <v>335</v>
      </c>
      <c r="L928" s="70" t="s">
        <v>956</v>
      </c>
      <c r="M928" s="70" t="s">
        <v>242</v>
      </c>
      <c r="N928" s="67"/>
      <c r="O928" s="70" t="s">
        <v>335</v>
      </c>
      <c r="P928" s="70" t="s">
        <v>956</v>
      </c>
      <c r="Q928" s="70" t="s">
        <v>242</v>
      </c>
      <c r="R928" s="67"/>
    </row>
    <row r="929" spans="1:18" x14ac:dyDescent="0.3">
      <c r="A929" s="67"/>
      <c r="B929" s="67"/>
      <c r="C929" s="70" t="s">
        <v>932</v>
      </c>
      <c r="D929" s="70" t="s">
        <v>1917</v>
      </c>
      <c r="E929" s="70" t="s">
        <v>1481</v>
      </c>
      <c r="F929" s="67"/>
      <c r="G929" s="70" t="s">
        <v>932</v>
      </c>
      <c r="H929" s="70" t="s">
        <v>1917</v>
      </c>
      <c r="I929" s="70" t="s">
        <v>1481</v>
      </c>
      <c r="J929" s="67"/>
      <c r="K929" s="70" t="s">
        <v>932</v>
      </c>
      <c r="L929" s="70" t="s">
        <v>1917</v>
      </c>
      <c r="M929" s="70" t="s">
        <v>1481</v>
      </c>
      <c r="N929" s="67"/>
      <c r="O929" s="70" t="s">
        <v>932</v>
      </c>
      <c r="P929" s="70" t="s">
        <v>1917</v>
      </c>
      <c r="Q929" s="70" t="s">
        <v>1481</v>
      </c>
      <c r="R929" s="67"/>
    </row>
    <row r="930" spans="1:18" x14ac:dyDescent="0.3">
      <c r="A930" s="67"/>
      <c r="B930" s="67"/>
      <c r="C930" s="67" t="s">
        <v>1353</v>
      </c>
      <c r="D930" s="67" t="s">
        <v>1353</v>
      </c>
      <c r="E930" s="67" t="s">
        <v>1353</v>
      </c>
      <c r="F930" s="67"/>
      <c r="G930" s="70" t="s">
        <v>1353</v>
      </c>
      <c r="H930" s="70" t="s">
        <v>1353</v>
      </c>
      <c r="I930" s="70" t="s">
        <v>1353</v>
      </c>
      <c r="J930" s="67"/>
      <c r="K930" s="67" t="s">
        <v>1353</v>
      </c>
      <c r="L930" s="67" t="s">
        <v>1353</v>
      </c>
      <c r="M930" s="67" t="s">
        <v>1353</v>
      </c>
      <c r="N930" s="67"/>
      <c r="O930" s="67" t="s">
        <v>1353</v>
      </c>
      <c r="P930" s="67" t="s">
        <v>1353</v>
      </c>
      <c r="Q930" s="67" t="s">
        <v>1353</v>
      </c>
      <c r="R930" s="67"/>
    </row>
    <row r="931" spans="1:18" x14ac:dyDescent="0.3">
      <c r="A931" s="70" t="s">
        <v>1354</v>
      </c>
      <c r="B931" s="67"/>
      <c r="C931" s="67">
        <f t="shared" ref="C931:C942" si="166">(K894)</f>
        <v>283208.39491999999</v>
      </c>
      <c r="D931" s="72">
        <v>0</v>
      </c>
      <c r="E931" s="73">
        <f t="shared" ref="E931:E942" si="167">(K894*D931/1000)</f>
        <v>0</v>
      </c>
      <c r="F931" s="67"/>
      <c r="G931" s="67">
        <v>0</v>
      </c>
      <c r="H931" s="72">
        <v>0</v>
      </c>
      <c r="I931" s="73">
        <f t="shared" ref="I931:I942" si="168">(G931*H931/1000)</f>
        <v>0</v>
      </c>
      <c r="J931" s="67"/>
      <c r="K931" s="67">
        <v>4000</v>
      </c>
      <c r="L931" s="72">
        <v>0</v>
      </c>
      <c r="M931" s="73">
        <f t="shared" ref="M931:M942" si="169">(K931*L931/1000)</f>
        <v>0</v>
      </c>
      <c r="N931" s="67"/>
      <c r="O931" s="67">
        <v>0</v>
      </c>
      <c r="P931" s="72">
        <v>0</v>
      </c>
      <c r="Q931" s="73">
        <f t="shared" ref="Q931:Q942" si="170">(O931*P931/1000)</f>
        <v>0</v>
      </c>
      <c r="R931" s="67"/>
    </row>
    <row r="932" spans="1:18" x14ac:dyDescent="0.3">
      <c r="A932" s="70" t="s">
        <v>706</v>
      </c>
      <c r="B932" s="67"/>
      <c r="C932" s="67">
        <f t="shared" si="166"/>
        <v>269016.56419999996</v>
      </c>
      <c r="D932" s="72">
        <v>0</v>
      </c>
      <c r="E932" s="73">
        <f t="shared" si="167"/>
        <v>0</v>
      </c>
      <c r="F932" s="67"/>
      <c r="G932" s="67">
        <f t="shared" ref="G932:G942" si="171">O895</f>
        <v>0</v>
      </c>
      <c r="H932" s="72">
        <v>0</v>
      </c>
      <c r="I932" s="73">
        <f t="shared" si="168"/>
        <v>0</v>
      </c>
      <c r="J932" s="67"/>
      <c r="K932" s="67">
        <v>4000</v>
      </c>
      <c r="L932" s="72">
        <v>0</v>
      </c>
      <c r="M932" s="73">
        <f t="shared" si="169"/>
        <v>0</v>
      </c>
      <c r="N932" s="67"/>
      <c r="O932" s="67">
        <v>0</v>
      </c>
      <c r="P932" s="72">
        <v>0</v>
      </c>
      <c r="Q932" s="73">
        <f t="shared" si="170"/>
        <v>0</v>
      </c>
      <c r="R932" s="67"/>
    </row>
    <row r="933" spans="1:18" x14ac:dyDescent="0.3">
      <c r="A933" s="70" t="s">
        <v>707</v>
      </c>
      <c r="B933" s="67"/>
      <c r="C933" s="67">
        <f t="shared" si="166"/>
        <v>288703.46191999997</v>
      </c>
      <c r="D933" s="72">
        <v>0</v>
      </c>
      <c r="E933" s="73">
        <f t="shared" si="167"/>
        <v>0</v>
      </c>
      <c r="F933" s="67">
        <f>SUM(E931:E933)</f>
        <v>0</v>
      </c>
      <c r="G933" s="67">
        <f t="shared" si="171"/>
        <v>0</v>
      </c>
      <c r="H933" s="72">
        <v>0</v>
      </c>
      <c r="I933" s="73">
        <f t="shared" si="168"/>
        <v>0</v>
      </c>
      <c r="J933" s="67">
        <f>SUM(I931:I933)</f>
        <v>0</v>
      </c>
      <c r="K933" s="67">
        <v>4000</v>
      </c>
      <c r="L933" s="72">
        <v>0</v>
      </c>
      <c r="M933" s="73">
        <f t="shared" si="169"/>
        <v>0</v>
      </c>
      <c r="N933" s="67">
        <f>SUM(M931:M933)</f>
        <v>0</v>
      </c>
      <c r="O933" s="67">
        <v>0</v>
      </c>
      <c r="P933" s="72">
        <v>0</v>
      </c>
      <c r="Q933" s="73">
        <f t="shared" si="170"/>
        <v>0</v>
      </c>
      <c r="R933" s="67">
        <f>SUM(Q931:Q933)</f>
        <v>0</v>
      </c>
    </row>
    <row r="934" spans="1:18" x14ac:dyDescent="0.3">
      <c r="A934" s="70" t="s">
        <v>1321</v>
      </c>
      <c r="B934" s="67"/>
      <c r="C934" s="67">
        <f t="shared" si="166"/>
        <v>283549.56248000002</v>
      </c>
      <c r="D934" s="72">
        <v>0</v>
      </c>
      <c r="E934" s="73">
        <f t="shared" si="167"/>
        <v>0</v>
      </c>
      <c r="F934" s="67"/>
      <c r="G934" s="67">
        <f t="shared" si="171"/>
        <v>0</v>
      </c>
      <c r="H934" s="72">
        <v>0</v>
      </c>
      <c r="I934" s="73">
        <f t="shared" si="168"/>
        <v>0</v>
      </c>
      <c r="J934" s="67"/>
      <c r="K934" s="67">
        <v>9000</v>
      </c>
      <c r="L934" s="72">
        <v>0</v>
      </c>
      <c r="M934" s="73">
        <f t="shared" si="169"/>
        <v>0</v>
      </c>
      <c r="N934" s="67"/>
      <c r="O934" s="67">
        <v>0</v>
      </c>
      <c r="P934" s="72">
        <v>0</v>
      </c>
      <c r="Q934" s="73">
        <f t="shared" si="170"/>
        <v>0</v>
      </c>
      <c r="R934" s="67"/>
    </row>
    <row r="935" spans="1:18" x14ac:dyDescent="0.3">
      <c r="A935" s="70" t="s">
        <v>1905</v>
      </c>
      <c r="B935" s="67"/>
      <c r="C935" s="67">
        <f t="shared" si="166"/>
        <v>293440.99088</v>
      </c>
      <c r="D935" s="72">
        <v>0</v>
      </c>
      <c r="E935" s="73">
        <f t="shared" si="167"/>
        <v>0</v>
      </c>
      <c r="F935" s="67"/>
      <c r="G935" s="67">
        <f t="shared" si="171"/>
        <v>0</v>
      </c>
      <c r="H935" s="72">
        <v>0</v>
      </c>
      <c r="I935" s="73">
        <f t="shared" si="168"/>
        <v>0</v>
      </c>
      <c r="J935" s="67"/>
      <c r="K935" s="67">
        <v>9000</v>
      </c>
      <c r="L935" s="72">
        <v>0</v>
      </c>
      <c r="M935" s="73">
        <f t="shared" si="169"/>
        <v>0</v>
      </c>
      <c r="N935" s="67"/>
      <c r="O935" s="67">
        <v>0</v>
      </c>
      <c r="P935" s="72">
        <v>0</v>
      </c>
      <c r="Q935" s="73">
        <f t="shared" si="170"/>
        <v>0</v>
      </c>
      <c r="R935" s="67"/>
    </row>
    <row r="936" spans="1:18" x14ac:dyDescent="0.3">
      <c r="A936" s="70" t="s">
        <v>1906</v>
      </c>
      <c r="B936" s="67"/>
      <c r="C936" s="67">
        <f t="shared" si="166"/>
        <v>210904.44803999999</v>
      </c>
      <c r="D936" s="72">
        <v>0</v>
      </c>
      <c r="E936" s="73">
        <f t="shared" si="167"/>
        <v>0</v>
      </c>
      <c r="F936" s="67">
        <f>SUM(E934:E936)</f>
        <v>0</v>
      </c>
      <c r="G936" s="67">
        <f t="shared" si="171"/>
        <v>0</v>
      </c>
      <c r="H936" s="72">
        <v>0</v>
      </c>
      <c r="I936" s="73">
        <f t="shared" si="168"/>
        <v>0</v>
      </c>
      <c r="J936" s="67">
        <f>SUM(I934:I936)</f>
        <v>0</v>
      </c>
      <c r="K936" s="67">
        <v>18000</v>
      </c>
      <c r="L936" s="72">
        <v>0</v>
      </c>
      <c r="M936" s="73">
        <f t="shared" si="169"/>
        <v>0</v>
      </c>
      <c r="N936" s="67">
        <f>SUM(M934:M936)</f>
        <v>0</v>
      </c>
      <c r="O936" s="67">
        <v>0</v>
      </c>
      <c r="P936" s="72">
        <v>0</v>
      </c>
      <c r="Q936" s="73">
        <f t="shared" si="170"/>
        <v>0</v>
      </c>
      <c r="R936" s="67">
        <f>SUM(Q934:Q936)</f>
        <v>0</v>
      </c>
    </row>
    <row r="937" spans="1:18" x14ac:dyDescent="0.3">
      <c r="A937" s="70" t="s">
        <v>1907</v>
      </c>
      <c r="B937" s="67"/>
      <c r="C937" s="67">
        <f t="shared" si="166"/>
        <v>133476.28631999996</v>
      </c>
      <c r="D937" s="72">
        <v>0</v>
      </c>
      <c r="E937" s="73">
        <f t="shared" si="167"/>
        <v>0</v>
      </c>
      <c r="F937" s="67"/>
      <c r="G937" s="67">
        <f t="shared" si="171"/>
        <v>0</v>
      </c>
      <c r="H937" s="72">
        <v>0</v>
      </c>
      <c r="I937" s="73">
        <f t="shared" si="168"/>
        <v>0</v>
      </c>
      <c r="J937" s="67"/>
      <c r="K937" s="67">
        <v>21000</v>
      </c>
      <c r="L937" s="72">
        <v>0</v>
      </c>
      <c r="M937" s="73">
        <f t="shared" si="169"/>
        <v>0</v>
      </c>
      <c r="N937" s="67"/>
      <c r="O937" s="67">
        <v>0</v>
      </c>
      <c r="P937" s="72">
        <v>0</v>
      </c>
      <c r="Q937" s="73">
        <f t="shared" si="170"/>
        <v>0</v>
      </c>
      <c r="R937" s="67"/>
    </row>
    <row r="938" spans="1:18" x14ac:dyDescent="0.3">
      <c r="A938" s="70" t="s">
        <v>1908</v>
      </c>
      <c r="B938" s="67"/>
      <c r="C938" s="67">
        <f t="shared" si="166"/>
        <v>101414.19199999998</v>
      </c>
      <c r="D938" s="72">
        <v>0</v>
      </c>
      <c r="E938" s="73">
        <f t="shared" si="167"/>
        <v>0</v>
      </c>
      <c r="F938" s="67"/>
      <c r="G938" s="67">
        <f t="shared" si="171"/>
        <v>0</v>
      </c>
      <c r="H938" s="72">
        <v>0</v>
      </c>
      <c r="I938" s="73">
        <f t="shared" si="168"/>
        <v>0</v>
      </c>
      <c r="J938" s="67"/>
      <c r="K938" s="67">
        <v>35000</v>
      </c>
      <c r="L938" s="72">
        <v>0</v>
      </c>
      <c r="M938" s="73">
        <f t="shared" si="169"/>
        <v>0</v>
      </c>
      <c r="N938" s="67"/>
      <c r="O938" s="67">
        <v>0</v>
      </c>
      <c r="P938" s="72">
        <v>0</v>
      </c>
      <c r="Q938" s="73">
        <f t="shared" si="170"/>
        <v>0</v>
      </c>
      <c r="R938" s="67"/>
    </row>
    <row r="939" spans="1:18" x14ac:dyDescent="0.3">
      <c r="A939" s="70" t="s">
        <v>2352</v>
      </c>
      <c r="B939" s="67"/>
      <c r="C939" s="67">
        <f t="shared" si="166"/>
        <v>144743.56623999996</v>
      </c>
      <c r="D939" s="72">
        <v>0</v>
      </c>
      <c r="E939" s="73">
        <f t="shared" si="167"/>
        <v>0</v>
      </c>
      <c r="F939" s="67">
        <f>SUM(E937:E939)</f>
        <v>0</v>
      </c>
      <c r="G939" s="67">
        <f t="shared" si="171"/>
        <v>0</v>
      </c>
      <c r="H939" s="72">
        <v>0</v>
      </c>
      <c r="I939" s="73">
        <f t="shared" si="168"/>
        <v>0</v>
      </c>
      <c r="J939" s="67">
        <f>SUM(I937:I939)</f>
        <v>0</v>
      </c>
      <c r="K939" s="67">
        <v>35000</v>
      </c>
      <c r="L939" s="72">
        <v>0</v>
      </c>
      <c r="M939" s="73">
        <f t="shared" si="169"/>
        <v>0</v>
      </c>
      <c r="N939" s="67">
        <f>SUM(M937:M939)</f>
        <v>0</v>
      </c>
      <c r="O939" s="67">
        <v>0</v>
      </c>
      <c r="P939" s="72">
        <v>0</v>
      </c>
      <c r="Q939" s="73">
        <f t="shared" si="170"/>
        <v>0</v>
      </c>
      <c r="R939" s="67">
        <f>SUM(Q937:Q939)</f>
        <v>0</v>
      </c>
    </row>
    <row r="940" spans="1:18" x14ac:dyDescent="0.3">
      <c r="A940" s="70" t="s">
        <v>2353</v>
      </c>
      <c r="B940" s="67"/>
      <c r="C940" s="67">
        <f t="shared" si="166"/>
        <v>162000</v>
      </c>
      <c r="D940" s="72">
        <v>0</v>
      </c>
      <c r="E940" s="73">
        <f t="shared" si="167"/>
        <v>0</v>
      </c>
      <c r="F940" s="67"/>
      <c r="G940" s="67">
        <f t="shared" si="171"/>
        <v>71876.170039999968</v>
      </c>
      <c r="H940" s="72">
        <v>0</v>
      </c>
      <c r="I940" s="73">
        <f t="shared" si="168"/>
        <v>0</v>
      </c>
      <c r="J940" s="67"/>
      <c r="K940" s="67">
        <v>4000</v>
      </c>
      <c r="L940" s="72">
        <v>0</v>
      </c>
      <c r="M940" s="73">
        <f t="shared" si="169"/>
        <v>0</v>
      </c>
      <c r="N940" s="67"/>
      <c r="O940" s="67">
        <v>0</v>
      </c>
      <c r="P940" s="72">
        <v>0</v>
      </c>
      <c r="Q940" s="73">
        <f t="shared" si="170"/>
        <v>0</v>
      </c>
      <c r="R940" s="67"/>
    </row>
    <row r="941" spans="1:18" x14ac:dyDescent="0.3">
      <c r="A941" s="70" t="s">
        <v>2354</v>
      </c>
      <c r="B941" s="67"/>
      <c r="C941" s="67">
        <f t="shared" si="166"/>
        <v>-4000</v>
      </c>
      <c r="D941" s="72">
        <v>0</v>
      </c>
      <c r="E941" s="73">
        <f t="shared" si="167"/>
        <v>0</v>
      </c>
      <c r="F941" s="67"/>
      <c r="G941" s="67">
        <f t="shared" si="171"/>
        <v>289294.30475999997</v>
      </c>
      <c r="H941" s="72">
        <v>0</v>
      </c>
      <c r="I941" s="73">
        <f t="shared" si="168"/>
        <v>0</v>
      </c>
      <c r="J941" s="67"/>
      <c r="K941" s="67">
        <v>4000</v>
      </c>
      <c r="L941" s="72">
        <v>0</v>
      </c>
      <c r="M941" s="73">
        <f t="shared" si="169"/>
        <v>0</v>
      </c>
      <c r="N941" s="67"/>
      <c r="O941" s="67">
        <v>0</v>
      </c>
      <c r="P941" s="72">
        <v>0</v>
      </c>
      <c r="Q941" s="73">
        <f t="shared" si="170"/>
        <v>0</v>
      </c>
      <c r="R941" s="67"/>
    </row>
    <row r="942" spans="1:18" x14ac:dyDescent="0.3">
      <c r="A942" s="70" t="s">
        <v>2355</v>
      </c>
      <c r="B942" s="67"/>
      <c r="C942" s="67">
        <f t="shared" si="166"/>
        <v>-6739.6820000000007</v>
      </c>
      <c r="D942" s="72">
        <v>0</v>
      </c>
      <c r="E942" s="73">
        <f t="shared" si="167"/>
        <v>0</v>
      </c>
      <c r="F942" s="67">
        <f>SUM(E940:E942)</f>
        <v>0</v>
      </c>
      <c r="G942" s="67">
        <f t="shared" si="171"/>
        <v>124262.62271999998</v>
      </c>
      <c r="H942" s="72">
        <v>0</v>
      </c>
      <c r="I942" s="73">
        <f t="shared" si="168"/>
        <v>0</v>
      </c>
      <c r="J942" s="67">
        <f>SUM(I940:I942)</f>
        <v>0</v>
      </c>
      <c r="K942" s="67">
        <v>4000</v>
      </c>
      <c r="L942" s="72">
        <v>0</v>
      </c>
      <c r="M942" s="73">
        <f t="shared" si="169"/>
        <v>0</v>
      </c>
      <c r="N942" s="67">
        <f>SUM(M940:M942)</f>
        <v>0</v>
      </c>
      <c r="O942" s="67">
        <v>0</v>
      </c>
      <c r="P942" s="72">
        <v>0</v>
      </c>
      <c r="Q942" s="73">
        <f t="shared" si="170"/>
        <v>0</v>
      </c>
      <c r="R942" s="67">
        <f>SUM(Q940:Q942)</f>
        <v>0</v>
      </c>
    </row>
    <row r="943" spans="1:18" x14ac:dyDescent="0.3">
      <c r="A943" s="67"/>
      <c r="B943" s="67"/>
      <c r="C943" s="67"/>
      <c r="D943" s="67"/>
      <c r="E943" s="67"/>
      <c r="F943" s="67"/>
      <c r="G943" s="67"/>
      <c r="H943" s="67"/>
      <c r="I943" s="67"/>
      <c r="J943" s="67"/>
      <c r="K943" s="67"/>
      <c r="L943" s="67"/>
      <c r="M943" s="67"/>
      <c r="N943" s="67"/>
      <c r="O943" s="67"/>
      <c r="P943" s="67"/>
      <c r="Q943" s="67"/>
      <c r="R943" s="67"/>
    </row>
    <row r="944" spans="1:18" x14ac:dyDescent="0.3">
      <c r="A944" s="67"/>
      <c r="B944" s="67"/>
      <c r="C944" s="67"/>
      <c r="D944" s="67"/>
      <c r="E944" s="67"/>
      <c r="F944" s="67"/>
      <c r="G944" s="67"/>
      <c r="H944" s="67"/>
      <c r="I944" s="67"/>
      <c r="J944" s="67"/>
      <c r="K944" s="67"/>
      <c r="L944" s="67"/>
      <c r="M944" s="67"/>
      <c r="N944" s="67"/>
      <c r="O944" s="67"/>
      <c r="P944" s="67"/>
      <c r="Q944" s="67"/>
      <c r="R944" s="67"/>
    </row>
    <row r="945" spans="1:18" x14ac:dyDescent="0.3">
      <c r="A945" s="67" t="s">
        <v>2356</v>
      </c>
      <c r="B945" s="67"/>
      <c r="C945" s="67">
        <f>SUM(C931:C942)</f>
        <v>2159717.7849999997</v>
      </c>
      <c r="D945" s="67"/>
      <c r="E945" s="73">
        <f>SUM(E931:E942)</f>
        <v>0</v>
      </c>
      <c r="F945" s="67"/>
      <c r="G945" s="67">
        <f>SUM(G931:G942)</f>
        <v>485433.09751999995</v>
      </c>
      <c r="H945" s="67" t="s">
        <v>2435</v>
      </c>
      <c r="I945" s="73">
        <f>SUM(I931:I942)</f>
        <v>0</v>
      </c>
      <c r="J945" s="67"/>
      <c r="K945" s="67">
        <f>SUM(K931:K942)</f>
        <v>151000</v>
      </c>
      <c r="L945" s="67" t="s">
        <v>2435</v>
      </c>
      <c r="M945" s="73">
        <f>SUM(M931:M942)</f>
        <v>0</v>
      </c>
      <c r="N945" s="67"/>
      <c r="O945" s="67">
        <f>(SUM(O931:O942))</f>
        <v>0</v>
      </c>
      <c r="P945" s="67" t="s">
        <v>2435</v>
      </c>
      <c r="Q945" s="73">
        <f>SUM(Q931:Q942)</f>
        <v>0</v>
      </c>
      <c r="R945" s="67"/>
    </row>
  </sheetData>
  <mergeCells count="17">
    <mergeCell ref="A727:R727"/>
    <mergeCell ref="J911:M911"/>
    <mergeCell ref="A729:R729"/>
    <mergeCell ref="A731:R731"/>
    <mergeCell ref="A2:R2"/>
    <mergeCell ref="A3:R3"/>
    <mergeCell ref="A4:R4"/>
    <mergeCell ref="A5:R5"/>
    <mergeCell ref="A7:R7"/>
    <mergeCell ref="A8:R8"/>
    <mergeCell ref="A685:R685"/>
    <mergeCell ref="A686:R686"/>
    <mergeCell ref="A687:R687"/>
    <mergeCell ref="A728:R728"/>
    <mergeCell ref="A688:R688"/>
    <mergeCell ref="A690:R690"/>
    <mergeCell ref="A726:R726"/>
  </mergeCells>
  <phoneticPr fontId="0" type="noConversion"/>
  <printOptions horizontalCentered="1" verticalCentered="1"/>
  <pageMargins left="0.01" right="0.01" top="0.01" bottom="0.01" header="0" footer="0"/>
  <pageSetup paperSize="17" scale="90" orientation="landscape" r:id="rId1"/>
  <headerFooter alignWithMargins="0"/>
  <rowBreaks count="7" manualBreakCount="7">
    <brk id="682" max="17" man="1"/>
    <brk id="723" max="17" man="1"/>
    <brk id="745" max="17" man="1"/>
    <brk id="774" max="16383" man="1"/>
    <brk id="798" max="16383" man="1"/>
    <brk id="824" max="16383" man="1"/>
    <brk id="852"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dimension ref="A1:AB120"/>
  <sheetViews>
    <sheetView topLeftCell="A28" zoomScale="60" zoomScaleNormal="60" workbookViewId="0">
      <selection activeCell="C17" sqref="C17"/>
    </sheetView>
  </sheetViews>
  <sheetFormatPr defaultRowHeight="15.6" x14ac:dyDescent="0.3"/>
  <cols>
    <col min="2" max="2" width="27.81640625" customWidth="1"/>
    <col min="13" max="13" width="10.08984375" customWidth="1"/>
    <col min="15" max="15" width="10.1796875" customWidth="1"/>
    <col min="17" max="17" width="9.08984375" bestFit="1" customWidth="1"/>
    <col min="27" max="27" width="11.453125" customWidth="1"/>
    <col min="28" max="28" width="10.81640625" customWidth="1"/>
  </cols>
  <sheetData>
    <row r="1" spans="1:28" ht="30" x14ac:dyDescent="0.5">
      <c r="A1" s="854" t="s">
        <v>1936</v>
      </c>
      <c r="B1" s="854"/>
      <c r="C1" s="854"/>
      <c r="D1" s="854"/>
      <c r="E1" s="854"/>
      <c r="F1" s="854"/>
      <c r="G1" s="854"/>
      <c r="H1" s="854"/>
      <c r="I1" s="854"/>
      <c r="J1" s="854"/>
      <c r="K1" s="854"/>
      <c r="L1" s="854"/>
      <c r="M1" s="854"/>
      <c r="N1" s="854"/>
      <c r="O1" s="854"/>
      <c r="P1" s="854"/>
      <c r="Q1" s="854"/>
      <c r="R1" s="854"/>
      <c r="S1" s="854"/>
      <c r="T1" s="854"/>
      <c r="U1" s="854"/>
      <c r="V1" s="854"/>
      <c r="W1" s="854"/>
      <c r="X1" s="854"/>
      <c r="Y1" s="854"/>
      <c r="Z1" s="854"/>
      <c r="AA1" s="854"/>
      <c r="AB1" s="854"/>
    </row>
    <row r="2" spans="1:28" ht="30" x14ac:dyDescent="0.5">
      <c r="A2" s="356"/>
      <c r="B2" s="855" t="s">
        <v>1152</v>
      </c>
      <c r="C2" s="855"/>
      <c r="D2" s="855"/>
      <c r="E2" s="855"/>
      <c r="F2" s="855"/>
      <c r="G2" s="855"/>
      <c r="H2" s="855"/>
      <c r="I2" s="855"/>
      <c r="J2" s="855"/>
      <c r="K2" s="855"/>
      <c r="L2" s="855"/>
      <c r="M2" s="855"/>
      <c r="N2" s="855"/>
      <c r="O2" s="855"/>
      <c r="P2" s="855"/>
      <c r="Q2" s="855"/>
      <c r="R2" s="855"/>
      <c r="S2" s="855"/>
      <c r="T2" s="855"/>
      <c r="U2" s="855"/>
      <c r="V2" s="855"/>
      <c r="W2" s="855"/>
      <c r="X2" s="855"/>
      <c r="Y2" s="855"/>
      <c r="Z2" s="855"/>
      <c r="AA2" s="855"/>
      <c r="AB2" s="855"/>
    </row>
    <row r="3" spans="1:28" ht="24.6" x14ac:dyDescent="0.45">
      <c r="A3" s="356"/>
      <c r="B3" s="856" t="s">
        <v>2257</v>
      </c>
      <c r="C3" s="856"/>
      <c r="D3" s="856"/>
      <c r="E3" s="856"/>
      <c r="F3" s="856"/>
      <c r="G3" s="856"/>
      <c r="H3" s="856"/>
      <c r="I3" s="856"/>
      <c r="J3" s="856"/>
      <c r="K3" s="856"/>
      <c r="L3" s="856"/>
      <c r="M3" s="856"/>
      <c r="N3" s="856"/>
      <c r="O3" s="856"/>
      <c r="P3" s="856"/>
      <c r="Q3" s="856"/>
      <c r="R3" s="856"/>
      <c r="S3" s="856"/>
      <c r="T3" s="856"/>
      <c r="U3" s="856"/>
      <c r="V3" s="856"/>
      <c r="W3" s="856"/>
      <c r="X3" s="856"/>
      <c r="Y3" s="856"/>
      <c r="Z3" s="856"/>
      <c r="AA3" s="856"/>
      <c r="AB3" s="856"/>
    </row>
    <row r="4" spans="1:28" ht="22.8" x14ac:dyDescent="0.4">
      <c r="A4" s="356"/>
      <c r="B4" s="357"/>
      <c r="C4" s="357"/>
      <c r="D4" s="357"/>
      <c r="E4" s="357"/>
      <c r="F4" s="357"/>
      <c r="G4" s="357"/>
      <c r="H4" s="357"/>
      <c r="I4" s="357"/>
      <c r="J4" s="357"/>
      <c r="K4" s="357"/>
      <c r="L4" s="357"/>
      <c r="M4" s="357"/>
      <c r="N4" s="357"/>
      <c r="O4" s="357"/>
      <c r="P4" s="357"/>
      <c r="Q4" s="357"/>
      <c r="R4" s="357"/>
      <c r="S4" s="357"/>
      <c r="T4" s="357"/>
      <c r="U4" s="357"/>
      <c r="V4" s="357"/>
      <c r="W4" s="357"/>
      <c r="X4" s="357"/>
      <c r="Y4" s="357"/>
      <c r="Z4" s="357"/>
      <c r="AA4" s="357"/>
      <c r="AB4" s="357"/>
    </row>
    <row r="5" spans="1:28" ht="18" x14ac:dyDescent="0.35">
      <c r="A5" s="356"/>
      <c r="B5" s="857">
        <v>39970</v>
      </c>
      <c r="C5" s="857"/>
      <c r="D5" s="857"/>
      <c r="E5" s="857"/>
      <c r="F5" s="857"/>
      <c r="G5" s="857"/>
      <c r="H5" s="857"/>
      <c r="I5" s="857"/>
      <c r="J5" s="857"/>
      <c r="K5" s="857"/>
      <c r="L5" s="857"/>
      <c r="M5" s="857"/>
      <c r="N5" s="857"/>
      <c r="O5" s="857"/>
      <c r="P5" s="857"/>
      <c r="Q5" s="857"/>
      <c r="R5" s="857"/>
      <c r="S5" s="857"/>
      <c r="T5" s="857"/>
      <c r="U5" s="857"/>
      <c r="V5" s="857"/>
      <c r="W5" s="857"/>
      <c r="X5" s="857"/>
      <c r="Y5" s="857"/>
      <c r="Z5" s="857"/>
      <c r="AA5" s="857"/>
      <c r="AB5" s="857"/>
    </row>
    <row r="6" spans="1:28" ht="19.8" x14ac:dyDescent="0.35">
      <c r="A6" s="359"/>
      <c r="B6" s="779" t="s">
        <v>1455</v>
      </c>
      <c r="C6" s="779"/>
      <c r="D6" s="779"/>
      <c r="E6" s="779"/>
      <c r="F6" s="779"/>
      <c r="G6" s="779"/>
      <c r="H6" s="779"/>
      <c r="I6" s="779"/>
      <c r="J6" s="779"/>
      <c r="K6" s="779"/>
      <c r="L6" s="779"/>
      <c r="M6" s="779"/>
      <c r="N6" s="779"/>
      <c r="O6" s="779"/>
      <c r="P6" s="779"/>
      <c r="Q6" s="779"/>
      <c r="R6" s="779"/>
      <c r="S6" s="779"/>
      <c r="T6" s="779"/>
      <c r="U6" s="779"/>
      <c r="V6" s="779"/>
      <c r="W6" s="779"/>
      <c r="X6" s="779"/>
      <c r="Y6" s="779"/>
      <c r="Z6" s="779"/>
      <c r="AA6" s="779"/>
      <c r="AB6" s="779"/>
    </row>
    <row r="7" spans="1:28" ht="18" x14ac:dyDescent="0.35">
      <c r="A7" s="356"/>
      <c r="B7" s="358"/>
      <c r="C7" s="358"/>
      <c r="D7" s="358"/>
      <c r="E7" s="358"/>
      <c r="F7" s="358"/>
      <c r="G7" s="358"/>
      <c r="H7" s="358"/>
      <c r="I7" s="358"/>
      <c r="J7" s="358"/>
      <c r="K7" s="358"/>
      <c r="L7" s="358"/>
      <c r="M7" s="358"/>
      <c r="N7" s="358"/>
      <c r="O7" s="358"/>
      <c r="P7" s="358"/>
      <c r="Q7" s="358"/>
      <c r="R7" s="358"/>
      <c r="S7" s="358"/>
      <c r="T7" s="358"/>
      <c r="U7" s="358"/>
      <c r="V7" s="358"/>
      <c r="W7" s="358"/>
      <c r="X7" s="358"/>
      <c r="Y7" s="358"/>
      <c r="Z7" s="358"/>
      <c r="AA7" s="358"/>
      <c r="AB7" s="358"/>
    </row>
    <row r="8" spans="1:28" ht="30.6" thickBot="1" x14ac:dyDescent="0.55000000000000004">
      <c r="A8" s="356"/>
      <c r="B8" s="356"/>
      <c r="C8" s="356"/>
      <c r="D8" s="356"/>
      <c r="E8" s="356"/>
      <c r="F8" s="356"/>
      <c r="G8" s="356"/>
      <c r="H8" s="360"/>
      <c r="I8" s="360"/>
      <c r="J8" s="361"/>
      <c r="K8" s="361"/>
      <c r="L8" s="361"/>
      <c r="M8" s="361"/>
      <c r="N8" s="362"/>
      <c r="O8" s="362"/>
      <c r="P8" s="356"/>
      <c r="Q8" s="356"/>
      <c r="R8" s="356"/>
      <c r="S8" s="356"/>
      <c r="T8" s="356"/>
      <c r="U8" s="356"/>
      <c r="V8" s="356"/>
      <c r="W8" s="356"/>
      <c r="X8" s="356"/>
      <c r="Y8" s="356"/>
      <c r="Z8" s="356"/>
      <c r="AA8" s="356"/>
      <c r="AB8" s="356"/>
    </row>
    <row r="9" spans="1:28" ht="18.600000000000001" thickBot="1" x14ac:dyDescent="0.4">
      <c r="A9" s="363"/>
      <c r="B9" s="364" t="s">
        <v>990</v>
      </c>
      <c r="C9" s="849" t="s">
        <v>991</v>
      </c>
      <c r="D9" s="850"/>
      <c r="E9" s="849" t="s">
        <v>992</v>
      </c>
      <c r="F9" s="850"/>
      <c r="G9" s="849" t="s">
        <v>993</v>
      </c>
      <c r="H9" s="850"/>
      <c r="I9" s="849" t="s">
        <v>48</v>
      </c>
      <c r="J9" s="850"/>
      <c r="K9" s="849" t="s">
        <v>2236</v>
      </c>
      <c r="L9" s="850"/>
      <c r="M9" s="849" t="s">
        <v>49</v>
      </c>
      <c r="N9" s="850"/>
      <c r="O9" s="849" t="s">
        <v>50</v>
      </c>
      <c r="P9" s="850"/>
      <c r="Q9" s="849" t="s">
        <v>51</v>
      </c>
      <c r="R9" s="850"/>
      <c r="S9" s="849" t="s">
        <v>2002</v>
      </c>
      <c r="T9" s="850"/>
      <c r="U9" s="849" t="s">
        <v>2003</v>
      </c>
      <c r="V9" s="850"/>
      <c r="W9" s="849" t="s">
        <v>2004</v>
      </c>
      <c r="X9" s="850"/>
      <c r="Y9" s="849" t="s">
        <v>2005</v>
      </c>
      <c r="Z9" s="851"/>
      <c r="AA9" s="849" t="s">
        <v>1510</v>
      </c>
      <c r="AB9" s="850"/>
    </row>
    <row r="10" spans="1:28" ht="18.600000000000001" thickBot="1" x14ac:dyDescent="0.4">
      <c r="A10" s="365" t="s">
        <v>2173</v>
      </c>
      <c r="B10" s="366" t="s">
        <v>2006</v>
      </c>
      <c r="C10" s="367" t="s">
        <v>385</v>
      </c>
      <c r="D10" s="368" t="s">
        <v>386</v>
      </c>
      <c r="E10" s="367" t="s">
        <v>385</v>
      </c>
      <c r="F10" s="368" t="s">
        <v>386</v>
      </c>
      <c r="G10" s="367" t="s">
        <v>385</v>
      </c>
      <c r="H10" s="368" t="s">
        <v>386</v>
      </c>
      <c r="I10" s="367" t="s">
        <v>385</v>
      </c>
      <c r="J10" s="368" t="s">
        <v>386</v>
      </c>
      <c r="K10" s="367" t="s">
        <v>385</v>
      </c>
      <c r="L10" s="368" t="s">
        <v>386</v>
      </c>
      <c r="M10" s="367" t="s">
        <v>385</v>
      </c>
      <c r="N10" s="368" t="s">
        <v>386</v>
      </c>
      <c r="O10" s="367" t="s">
        <v>385</v>
      </c>
      <c r="P10" s="368" t="s">
        <v>386</v>
      </c>
      <c r="Q10" s="367" t="s">
        <v>385</v>
      </c>
      <c r="R10" s="368" t="s">
        <v>386</v>
      </c>
      <c r="S10" s="367" t="s">
        <v>385</v>
      </c>
      <c r="T10" s="368" t="s">
        <v>386</v>
      </c>
      <c r="U10" s="367" t="s">
        <v>385</v>
      </c>
      <c r="V10" s="368" t="s">
        <v>386</v>
      </c>
      <c r="W10" s="367" t="s">
        <v>385</v>
      </c>
      <c r="X10" s="368" t="s">
        <v>386</v>
      </c>
      <c r="Y10" s="367" t="s">
        <v>385</v>
      </c>
      <c r="Z10" s="368" t="s">
        <v>386</v>
      </c>
      <c r="AA10" s="369" t="s">
        <v>385</v>
      </c>
      <c r="AB10" s="369" t="s">
        <v>386</v>
      </c>
    </row>
    <row r="11" spans="1:28" x14ac:dyDescent="0.3">
      <c r="A11" s="370" t="s">
        <v>2175</v>
      </c>
      <c r="B11" s="371" t="s">
        <v>387</v>
      </c>
      <c r="C11" s="372">
        <v>1014</v>
      </c>
      <c r="D11" s="373">
        <v>926</v>
      </c>
      <c r="E11" s="372">
        <v>2385</v>
      </c>
      <c r="F11" s="373">
        <v>1545</v>
      </c>
      <c r="G11" s="372">
        <v>2911</v>
      </c>
      <c r="H11" s="373">
        <v>0</v>
      </c>
      <c r="I11" s="372">
        <v>3957</v>
      </c>
      <c r="J11" s="373">
        <v>3957</v>
      </c>
      <c r="K11" s="372">
        <v>2816</v>
      </c>
      <c r="L11" s="373">
        <v>2300</v>
      </c>
      <c r="M11" s="372">
        <v>0</v>
      </c>
      <c r="N11" s="373">
        <v>0</v>
      </c>
      <c r="O11" s="372">
        <v>0</v>
      </c>
      <c r="P11" s="373">
        <v>0</v>
      </c>
      <c r="Q11" s="372">
        <v>1343</v>
      </c>
      <c r="R11" s="373">
        <v>0</v>
      </c>
      <c r="S11" s="372">
        <v>2285</v>
      </c>
      <c r="T11" s="373">
        <v>599</v>
      </c>
      <c r="U11" s="372">
        <v>2285</v>
      </c>
      <c r="V11" s="373">
        <v>1751</v>
      </c>
      <c r="W11" s="372">
        <v>1142</v>
      </c>
      <c r="X11" s="374">
        <v>330</v>
      </c>
      <c r="Y11" s="372">
        <v>1142</v>
      </c>
      <c r="Z11" s="373">
        <v>924</v>
      </c>
      <c r="AA11" s="375">
        <f t="shared" ref="AA11:AB16" si="0">+C11+E11+G11+I11+K11+M11+O11+Q11+S11+U11+W11+Y11</f>
        <v>21280</v>
      </c>
      <c r="AB11" s="373">
        <f t="shared" si="0"/>
        <v>12332</v>
      </c>
    </row>
    <row r="12" spans="1:28" x14ac:dyDescent="0.3">
      <c r="A12" s="370" t="s">
        <v>2175</v>
      </c>
      <c r="B12" s="371" t="s">
        <v>388</v>
      </c>
      <c r="C12" s="372">
        <v>15</v>
      </c>
      <c r="D12" s="373">
        <v>15</v>
      </c>
      <c r="E12" s="372">
        <v>20</v>
      </c>
      <c r="F12" s="373">
        <v>22</v>
      </c>
      <c r="G12" s="372">
        <v>32</v>
      </c>
      <c r="H12" s="373">
        <v>0</v>
      </c>
      <c r="I12" s="372">
        <v>49</v>
      </c>
      <c r="J12" s="373">
        <v>49</v>
      </c>
      <c r="K12" s="372">
        <v>13</v>
      </c>
      <c r="L12" s="373">
        <v>19</v>
      </c>
      <c r="M12" s="372">
        <v>13</v>
      </c>
      <c r="N12" s="373">
        <v>13</v>
      </c>
      <c r="O12" s="372">
        <v>13</v>
      </c>
      <c r="P12" s="373">
        <v>16</v>
      </c>
      <c r="Q12" s="372">
        <v>14</v>
      </c>
      <c r="R12" s="373">
        <v>0</v>
      </c>
      <c r="S12" s="372">
        <v>39</v>
      </c>
      <c r="T12" s="373">
        <v>3</v>
      </c>
      <c r="U12" s="372">
        <v>33</v>
      </c>
      <c r="V12" s="373">
        <v>57</v>
      </c>
      <c r="W12" s="372">
        <v>22</v>
      </c>
      <c r="X12" s="373">
        <v>10</v>
      </c>
      <c r="Y12" s="372">
        <v>17</v>
      </c>
      <c r="Z12" s="373">
        <v>14</v>
      </c>
      <c r="AA12" s="375">
        <f t="shared" si="0"/>
        <v>280</v>
      </c>
      <c r="AB12" s="373">
        <f t="shared" si="0"/>
        <v>218</v>
      </c>
    </row>
    <row r="13" spans="1:28" x14ac:dyDescent="0.3">
      <c r="A13" s="370" t="s">
        <v>2175</v>
      </c>
      <c r="B13" s="371" t="s">
        <v>389</v>
      </c>
      <c r="C13" s="372">
        <v>25</v>
      </c>
      <c r="D13" s="373">
        <v>0</v>
      </c>
      <c r="E13" s="372">
        <v>25</v>
      </c>
      <c r="F13" s="373">
        <v>7</v>
      </c>
      <c r="G13" s="372">
        <v>0</v>
      </c>
      <c r="H13" s="373">
        <v>0</v>
      </c>
      <c r="I13" s="372">
        <v>0</v>
      </c>
      <c r="J13" s="373">
        <v>0</v>
      </c>
      <c r="K13" s="372">
        <v>50</v>
      </c>
      <c r="L13" s="373">
        <v>66</v>
      </c>
      <c r="M13" s="372">
        <v>50</v>
      </c>
      <c r="N13" s="373">
        <v>57</v>
      </c>
      <c r="O13" s="372">
        <v>75</v>
      </c>
      <c r="P13" s="373">
        <v>29</v>
      </c>
      <c r="Q13" s="372">
        <v>98</v>
      </c>
      <c r="R13" s="373">
        <v>0</v>
      </c>
      <c r="S13" s="372">
        <v>52</v>
      </c>
      <c r="T13" s="373">
        <v>67</v>
      </c>
      <c r="U13" s="372">
        <v>50</v>
      </c>
      <c r="V13" s="373">
        <v>24</v>
      </c>
      <c r="W13" s="372">
        <v>0</v>
      </c>
      <c r="X13" s="373">
        <v>0</v>
      </c>
      <c r="Y13" s="372">
        <v>0</v>
      </c>
      <c r="Z13" s="373">
        <v>0</v>
      </c>
      <c r="AA13" s="375">
        <f t="shared" si="0"/>
        <v>425</v>
      </c>
      <c r="AB13" s="373">
        <f t="shared" si="0"/>
        <v>250</v>
      </c>
    </row>
    <row r="14" spans="1:28" x14ac:dyDescent="0.3">
      <c r="A14" s="370" t="s">
        <v>2175</v>
      </c>
      <c r="B14" s="371" t="s">
        <v>1154</v>
      </c>
      <c r="C14" s="372">
        <v>0</v>
      </c>
      <c r="D14" s="373">
        <v>0</v>
      </c>
      <c r="E14" s="372">
        <v>0</v>
      </c>
      <c r="F14" s="373">
        <v>0</v>
      </c>
      <c r="G14" s="372">
        <v>0</v>
      </c>
      <c r="H14" s="373">
        <v>0</v>
      </c>
      <c r="I14" s="372">
        <v>0</v>
      </c>
      <c r="J14" s="373">
        <v>0</v>
      </c>
      <c r="K14" s="372">
        <v>2000</v>
      </c>
      <c r="L14" s="373">
        <v>0</v>
      </c>
      <c r="M14" s="372">
        <v>3000</v>
      </c>
      <c r="N14" s="373">
        <v>3705</v>
      </c>
      <c r="O14" s="372">
        <v>2000</v>
      </c>
      <c r="P14" s="373">
        <v>3552</v>
      </c>
      <c r="Q14" s="372">
        <v>2000</v>
      </c>
      <c r="R14" s="373">
        <v>0</v>
      </c>
      <c r="S14" s="372">
        <v>2000</v>
      </c>
      <c r="T14" s="373">
        <v>131</v>
      </c>
      <c r="U14" s="372">
        <v>0</v>
      </c>
      <c r="V14" s="373">
        <v>0</v>
      </c>
      <c r="W14" s="372">
        <v>0</v>
      </c>
      <c r="X14" s="373">
        <v>0</v>
      </c>
      <c r="Y14" s="372">
        <v>0</v>
      </c>
      <c r="Z14" s="373">
        <v>0</v>
      </c>
      <c r="AA14" s="375">
        <f t="shared" si="0"/>
        <v>11000</v>
      </c>
      <c r="AB14" s="373">
        <f t="shared" si="0"/>
        <v>7388</v>
      </c>
    </row>
    <row r="15" spans="1:28" x14ac:dyDescent="0.3">
      <c r="A15" s="370" t="s">
        <v>2175</v>
      </c>
      <c r="B15" s="371" t="s">
        <v>1035</v>
      </c>
      <c r="C15" s="372">
        <v>0</v>
      </c>
      <c r="D15" s="373">
        <v>0</v>
      </c>
      <c r="E15" s="372">
        <v>0</v>
      </c>
      <c r="F15" s="373">
        <v>28</v>
      </c>
      <c r="G15" s="372">
        <v>31</v>
      </c>
      <c r="H15" s="373">
        <v>0</v>
      </c>
      <c r="I15" s="372">
        <v>72</v>
      </c>
      <c r="J15" s="373">
        <v>72</v>
      </c>
      <c r="K15" s="372">
        <v>75</v>
      </c>
      <c r="L15" s="373">
        <v>80</v>
      </c>
      <c r="M15" s="372">
        <v>73</v>
      </c>
      <c r="N15" s="373">
        <v>85</v>
      </c>
      <c r="O15" s="372">
        <v>73</v>
      </c>
      <c r="P15" s="373">
        <v>129</v>
      </c>
      <c r="Q15" s="372">
        <v>71</v>
      </c>
      <c r="R15" s="373">
        <v>0</v>
      </c>
      <c r="S15" s="372">
        <v>71</v>
      </c>
      <c r="T15" s="373">
        <v>27</v>
      </c>
      <c r="U15" s="372">
        <v>57</v>
      </c>
      <c r="V15" s="373">
        <v>0</v>
      </c>
      <c r="W15" s="372">
        <v>0</v>
      </c>
      <c r="X15" s="373">
        <v>0</v>
      </c>
      <c r="Y15" s="372">
        <v>0</v>
      </c>
      <c r="Z15" s="373">
        <v>0</v>
      </c>
      <c r="AA15" s="375">
        <f t="shared" si="0"/>
        <v>523</v>
      </c>
      <c r="AB15" s="373">
        <f t="shared" si="0"/>
        <v>421</v>
      </c>
    </row>
    <row r="16" spans="1:28" ht="16.2" thickBot="1" x14ac:dyDescent="0.35">
      <c r="A16" s="370" t="s">
        <v>2175</v>
      </c>
      <c r="B16" s="371" t="s">
        <v>1153</v>
      </c>
      <c r="C16" s="372">
        <v>0</v>
      </c>
      <c r="D16" s="373">
        <v>0</v>
      </c>
      <c r="E16" s="372">
        <v>0</v>
      </c>
      <c r="F16" s="373">
        <v>0</v>
      </c>
      <c r="G16" s="372">
        <v>0</v>
      </c>
      <c r="H16" s="373">
        <v>0</v>
      </c>
      <c r="I16" s="372">
        <v>0</v>
      </c>
      <c r="J16" s="373">
        <v>0</v>
      </c>
      <c r="K16" s="372">
        <v>500</v>
      </c>
      <c r="L16" s="373">
        <v>2258</v>
      </c>
      <c r="M16" s="372">
        <v>3000</v>
      </c>
      <c r="N16" s="373">
        <v>742</v>
      </c>
      <c r="O16" s="372">
        <v>500</v>
      </c>
      <c r="P16" s="373">
        <v>0</v>
      </c>
      <c r="Q16" s="372">
        <v>0</v>
      </c>
      <c r="R16" s="373">
        <v>0</v>
      </c>
      <c r="S16" s="372">
        <v>0</v>
      </c>
      <c r="T16" s="373">
        <v>1000</v>
      </c>
      <c r="U16" s="372">
        <v>0</v>
      </c>
      <c r="V16" s="373">
        <v>0</v>
      </c>
      <c r="W16" s="372">
        <v>0</v>
      </c>
      <c r="X16" s="373">
        <v>0</v>
      </c>
      <c r="Y16" s="372">
        <v>0</v>
      </c>
      <c r="Z16" s="373">
        <v>0</v>
      </c>
      <c r="AA16" s="375">
        <f t="shared" si="0"/>
        <v>4000</v>
      </c>
      <c r="AB16" s="373">
        <f t="shared" si="0"/>
        <v>4000</v>
      </c>
    </row>
    <row r="17" spans="1:28" ht="18.600000000000001" thickBot="1" x14ac:dyDescent="0.4">
      <c r="A17" s="376"/>
      <c r="B17" s="377" t="s">
        <v>1036</v>
      </c>
      <c r="C17" s="378">
        <f>SUM(C11:C16)</f>
        <v>1054</v>
      </c>
      <c r="D17" s="379">
        <f>SUM(D11:D16)</f>
        <v>941</v>
      </c>
      <c r="E17" s="380">
        <f t="shared" ref="E17:AB17" si="1">SUM(E11:E16)</f>
        <v>2430</v>
      </c>
      <c r="F17" s="379">
        <f t="shared" si="1"/>
        <v>1602</v>
      </c>
      <c r="G17" s="380">
        <f t="shared" si="1"/>
        <v>2974</v>
      </c>
      <c r="H17" s="379">
        <f t="shared" si="1"/>
        <v>0</v>
      </c>
      <c r="I17" s="380">
        <f t="shared" si="1"/>
        <v>4078</v>
      </c>
      <c r="J17" s="379">
        <f t="shared" si="1"/>
        <v>4078</v>
      </c>
      <c r="K17" s="380">
        <f t="shared" si="1"/>
        <v>5454</v>
      </c>
      <c r="L17" s="379">
        <f t="shared" si="1"/>
        <v>4723</v>
      </c>
      <c r="M17" s="380">
        <f t="shared" si="1"/>
        <v>6136</v>
      </c>
      <c r="N17" s="379">
        <f t="shared" si="1"/>
        <v>4602</v>
      </c>
      <c r="O17" s="380">
        <f t="shared" si="1"/>
        <v>2661</v>
      </c>
      <c r="P17" s="379">
        <f t="shared" si="1"/>
        <v>3726</v>
      </c>
      <c r="Q17" s="380">
        <f t="shared" si="1"/>
        <v>3526</v>
      </c>
      <c r="R17" s="379">
        <f t="shared" si="1"/>
        <v>0</v>
      </c>
      <c r="S17" s="380">
        <f t="shared" si="1"/>
        <v>4447</v>
      </c>
      <c r="T17" s="379">
        <f t="shared" si="1"/>
        <v>1827</v>
      </c>
      <c r="U17" s="380">
        <f t="shared" si="1"/>
        <v>2425</v>
      </c>
      <c r="V17" s="379">
        <f t="shared" si="1"/>
        <v>1832</v>
      </c>
      <c r="W17" s="380">
        <f t="shared" si="1"/>
        <v>1164</v>
      </c>
      <c r="X17" s="379">
        <f t="shared" si="1"/>
        <v>340</v>
      </c>
      <c r="Y17" s="380">
        <f t="shared" si="1"/>
        <v>1159</v>
      </c>
      <c r="Z17" s="379">
        <f t="shared" si="1"/>
        <v>938</v>
      </c>
      <c r="AA17" s="380">
        <f t="shared" si="1"/>
        <v>37508</v>
      </c>
      <c r="AB17" s="381">
        <f t="shared" si="1"/>
        <v>24609</v>
      </c>
    </row>
    <row r="18" spans="1:28" ht="18.600000000000001" thickBot="1" x14ac:dyDescent="0.4">
      <c r="A18" s="455"/>
      <c r="B18" s="377" t="s">
        <v>1788</v>
      </c>
      <c r="C18" s="378">
        <v>100</v>
      </c>
      <c r="D18" s="379">
        <v>30</v>
      </c>
      <c r="E18" s="380">
        <v>100</v>
      </c>
      <c r="F18" s="379">
        <v>5</v>
      </c>
      <c r="G18" s="380">
        <v>0</v>
      </c>
      <c r="H18" s="379">
        <f>SUM(H13:H17)</f>
        <v>0</v>
      </c>
      <c r="I18" s="380">
        <v>50</v>
      </c>
      <c r="J18" s="379">
        <v>50</v>
      </c>
      <c r="K18" s="380">
        <v>951</v>
      </c>
      <c r="L18" s="379">
        <f>SUM(L13:L17)</f>
        <v>7127</v>
      </c>
      <c r="M18" s="380">
        <v>1376</v>
      </c>
      <c r="N18" s="379">
        <v>1243</v>
      </c>
      <c r="O18" s="380">
        <v>1389</v>
      </c>
      <c r="P18" s="379">
        <f>SUM(P13:P17)</f>
        <v>7436</v>
      </c>
      <c r="Q18" s="380">
        <v>1579</v>
      </c>
      <c r="R18" s="379">
        <f>SUM(R13:R17)</f>
        <v>0</v>
      </c>
      <c r="S18" s="380">
        <v>1560</v>
      </c>
      <c r="T18" s="379">
        <f>SUM(T13:T17)</f>
        <v>3052</v>
      </c>
      <c r="U18" s="380">
        <v>1959</v>
      </c>
      <c r="V18" s="379">
        <f>SUM(V13:V17)</f>
        <v>1856</v>
      </c>
      <c r="W18" s="380">
        <v>1929</v>
      </c>
      <c r="X18" s="379">
        <v>546</v>
      </c>
      <c r="Y18" s="380">
        <v>1959</v>
      </c>
      <c r="Z18" s="379">
        <f>SUM(Z13:Z17)</f>
        <v>938</v>
      </c>
      <c r="AA18" s="456">
        <f t="shared" ref="AA18:AB20" si="2">+C18+E18+G18+I18+K18+M18+O18+Q18+S18+U18+W18+Y18</f>
        <v>12952</v>
      </c>
      <c r="AB18" s="457">
        <f t="shared" si="2"/>
        <v>22283</v>
      </c>
    </row>
    <row r="19" spans="1:28" x14ac:dyDescent="0.3">
      <c r="A19" s="370" t="s">
        <v>2179</v>
      </c>
      <c r="B19" s="371" t="s">
        <v>1037</v>
      </c>
      <c r="C19" s="372">
        <v>500</v>
      </c>
      <c r="D19" s="373">
        <v>281</v>
      </c>
      <c r="E19" s="372">
        <v>528</v>
      </c>
      <c r="F19" s="373">
        <v>597</v>
      </c>
      <c r="G19" s="372">
        <v>1565</v>
      </c>
      <c r="H19" s="373">
        <v>0</v>
      </c>
      <c r="I19" s="372">
        <v>2269</v>
      </c>
      <c r="J19" s="373">
        <v>2269</v>
      </c>
      <c r="K19" s="372">
        <v>1667</v>
      </c>
      <c r="L19" s="373">
        <v>1857</v>
      </c>
      <c r="M19" s="372">
        <v>3585</v>
      </c>
      <c r="N19" s="373">
        <v>2216</v>
      </c>
      <c r="O19" s="372">
        <v>3073</v>
      </c>
      <c r="P19" s="373">
        <v>2308</v>
      </c>
      <c r="Q19" s="372">
        <v>3116</v>
      </c>
      <c r="R19" s="373">
        <v>0</v>
      </c>
      <c r="S19" s="372">
        <v>2333</v>
      </c>
      <c r="T19" s="373">
        <v>1178</v>
      </c>
      <c r="U19" s="372">
        <v>1857</v>
      </c>
      <c r="V19" s="373">
        <v>1163</v>
      </c>
      <c r="W19" s="372">
        <v>736</v>
      </c>
      <c r="X19" s="373">
        <v>546</v>
      </c>
      <c r="Y19" s="372">
        <v>975</v>
      </c>
      <c r="Z19" s="373">
        <v>389</v>
      </c>
      <c r="AA19" s="375">
        <f t="shared" si="2"/>
        <v>22204</v>
      </c>
      <c r="AB19" s="373">
        <f t="shared" si="2"/>
        <v>12804</v>
      </c>
    </row>
    <row r="20" spans="1:28" ht="16.2" thickBot="1" x14ac:dyDescent="0.35">
      <c r="A20" s="370" t="s">
        <v>2179</v>
      </c>
      <c r="B20" s="371" t="s">
        <v>1155</v>
      </c>
      <c r="C20" s="382">
        <v>3</v>
      </c>
      <c r="D20" s="373">
        <v>0</v>
      </c>
      <c r="E20" s="382">
        <v>3</v>
      </c>
      <c r="F20" s="373">
        <v>0</v>
      </c>
      <c r="G20" s="382">
        <v>0</v>
      </c>
      <c r="H20" s="373">
        <v>0</v>
      </c>
      <c r="I20" s="382">
        <v>2</v>
      </c>
      <c r="J20" s="373">
        <v>2</v>
      </c>
      <c r="K20" s="382">
        <v>56</v>
      </c>
      <c r="L20" s="373">
        <v>10</v>
      </c>
      <c r="M20" s="382">
        <v>47</v>
      </c>
      <c r="N20" s="373">
        <v>0</v>
      </c>
      <c r="O20" s="382">
        <v>63</v>
      </c>
      <c r="P20" s="373">
        <v>27</v>
      </c>
      <c r="Q20" s="382">
        <v>50</v>
      </c>
      <c r="R20" s="373">
        <v>0</v>
      </c>
      <c r="S20" s="382">
        <v>19</v>
      </c>
      <c r="T20" s="373">
        <v>0</v>
      </c>
      <c r="U20" s="382">
        <v>5</v>
      </c>
      <c r="V20" s="373">
        <v>34</v>
      </c>
      <c r="W20" s="382">
        <v>31</v>
      </c>
      <c r="X20" s="373">
        <v>3</v>
      </c>
      <c r="Y20" s="382">
        <v>0</v>
      </c>
      <c r="Z20" s="373">
        <v>0</v>
      </c>
      <c r="AA20" s="375">
        <f t="shared" si="2"/>
        <v>279</v>
      </c>
      <c r="AB20" s="373">
        <f t="shared" si="2"/>
        <v>76</v>
      </c>
    </row>
    <row r="21" spans="1:28" ht="18.600000000000001" thickBot="1" x14ac:dyDescent="0.4">
      <c r="A21" s="383"/>
      <c r="B21" s="378" t="s">
        <v>1038</v>
      </c>
      <c r="C21" s="378">
        <f>SUM(C19:C20)</f>
        <v>503</v>
      </c>
      <c r="D21" s="381">
        <f t="shared" ref="D21:AB21" si="3">SUM(D19:D20)</f>
        <v>281</v>
      </c>
      <c r="E21" s="384">
        <f t="shared" si="3"/>
        <v>531</v>
      </c>
      <c r="F21" s="385">
        <f t="shared" si="3"/>
        <v>597</v>
      </c>
      <c r="G21" s="384">
        <f t="shared" si="3"/>
        <v>1565</v>
      </c>
      <c r="H21" s="385">
        <f t="shared" si="3"/>
        <v>0</v>
      </c>
      <c r="I21" s="385">
        <f t="shared" si="3"/>
        <v>2271</v>
      </c>
      <c r="J21" s="385">
        <f t="shared" si="3"/>
        <v>2271</v>
      </c>
      <c r="K21" s="384">
        <f t="shared" si="3"/>
        <v>1723</v>
      </c>
      <c r="L21" s="385">
        <f t="shared" si="3"/>
        <v>1867</v>
      </c>
      <c r="M21" s="384">
        <f t="shared" si="3"/>
        <v>3632</v>
      </c>
      <c r="N21" s="385">
        <f t="shared" si="3"/>
        <v>2216</v>
      </c>
      <c r="O21" s="384">
        <f t="shared" si="3"/>
        <v>3136</v>
      </c>
      <c r="P21" s="385">
        <f t="shared" si="3"/>
        <v>2335</v>
      </c>
      <c r="Q21" s="385">
        <f t="shared" ref="Q21:Z21" si="4">SUM(Q19:Q20)</f>
        <v>3166</v>
      </c>
      <c r="R21" s="385">
        <f t="shared" si="4"/>
        <v>0</v>
      </c>
      <c r="S21" s="385">
        <f t="shared" si="4"/>
        <v>2352</v>
      </c>
      <c r="T21" s="385">
        <f t="shared" si="4"/>
        <v>1178</v>
      </c>
      <c r="U21" s="385">
        <f t="shared" si="4"/>
        <v>1862</v>
      </c>
      <c r="V21" s="385">
        <f t="shared" si="4"/>
        <v>1197</v>
      </c>
      <c r="W21" s="385">
        <f t="shared" si="4"/>
        <v>767</v>
      </c>
      <c r="X21" s="385">
        <f t="shared" si="4"/>
        <v>549</v>
      </c>
      <c r="Y21" s="385">
        <f t="shared" si="4"/>
        <v>975</v>
      </c>
      <c r="Z21" s="385">
        <f t="shared" si="4"/>
        <v>389</v>
      </c>
      <c r="AA21" s="378">
        <f t="shared" si="3"/>
        <v>22483</v>
      </c>
      <c r="AB21" s="381">
        <f t="shared" si="3"/>
        <v>12880</v>
      </c>
    </row>
    <row r="22" spans="1:28" ht="18.600000000000001" thickBot="1" x14ac:dyDescent="0.4">
      <c r="A22" s="383"/>
      <c r="B22" s="377" t="s">
        <v>1039</v>
      </c>
      <c r="C22" s="386">
        <v>500</v>
      </c>
      <c r="D22" s="387">
        <v>379</v>
      </c>
      <c r="E22" s="378">
        <v>528</v>
      </c>
      <c r="F22" s="381">
        <v>560</v>
      </c>
      <c r="G22" s="378">
        <v>1775</v>
      </c>
      <c r="H22" s="381">
        <v>0</v>
      </c>
      <c r="I22" s="378">
        <v>1593</v>
      </c>
      <c r="J22" s="381">
        <v>0</v>
      </c>
      <c r="K22" s="378">
        <v>1667</v>
      </c>
      <c r="L22" s="381">
        <v>1861</v>
      </c>
      <c r="M22" s="378">
        <v>3585</v>
      </c>
      <c r="N22" s="381">
        <v>2294</v>
      </c>
      <c r="O22" s="378">
        <v>3073</v>
      </c>
      <c r="P22" s="381">
        <v>2468</v>
      </c>
      <c r="Q22" s="378">
        <v>3116</v>
      </c>
      <c r="R22" s="381">
        <v>0</v>
      </c>
      <c r="S22" s="378">
        <v>2333</v>
      </c>
      <c r="T22" s="381">
        <v>1324</v>
      </c>
      <c r="U22" s="378">
        <v>1857</v>
      </c>
      <c r="V22" s="381">
        <v>855</v>
      </c>
      <c r="W22" s="378">
        <v>736</v>
      </c>
      <c r="X22" s="381">
        <v>231</v>
      </c>
      <c r="Y22" s="378">
        <v>975</v>
      </c>
      <c r="Z22" s="381">
        <v>644</v>
      </c>
      <c r="AA22" s="445">
        <f t="shared" ref="AA22:AB26" si="5">+C22+E22+G22+I22+K22+M22+O22+Q22+S22+U22+W22+Y22</f>
        <v>21738</v>
      </c>
      <c r="AB22" s="446">
        <f t="shared" si="5"/>
        <v>10616</v>
      </c>
    </row>
    <row r="23" spans="1:28" x14ac:dyDescent="0.3">
      <c r="A23" s="370" t="s">
        <v>2230</v>
      </c>
      <c r="B23" s="371" t="s">
        <v>1040</v>
      </c>
      <c r="C23" s="372">
        <v>500</v>
      </c>
      <c r="D23" s="373">
        <v>692</v>
      </c>
      <c r="E23" s="372">
        <v>528</v>
      </c>
      <c r="F23" s="373">
        <v>1300</v>
      </c>
      <c r="G23" s="372">
        <v>2008</v>
      </c>
      <c r="H23" s="373">
        <v>0</v>
      </c>
      <c r="I23" s="372">
        <v>2690</v>
      </c>
      <c r="J23" s="373">
        <v>2690</v>
      </c>
      <c r="K23" s="372">
        <v>1667</v>
      </c>
      <c r="L23" s="373">
        <v>3279</v>
      </c>
      <c r="M23" s="372">
        <v>3585</v>
      </c>
      <c r="N23" s="373">
        <v>2997</v>
      </c>
      <c r="O23" s="372">
        <v>3073</v>
      </c>
      <c r="P23" s="373">
        <v>0</v>
      </c>
      <c r="Q23" s="372">
        <v>3116</v>
      </c>
      <c r="R23" s="373">
        <v>0</v>
      </c>
      <c r="S23" s="372">
        <v>2333</v>
      </c>
      <c r="T23" s="373">
        <v>1925</v>
      </c>
      <c r="U23" s="372">
        <v>1857</v>
      </c>
      <c r="V23" s="373">
        <v>1038</v>
      </c>
      <c r="W23" s="372">
        <v>736</v>
      </c>
      <c r="X23" s="373">
        <v>502</v>
      </c>
      <c r="Y23" s="372">
        <v>975</v>
      </c>
      <c r="Z23" s="373">
        <v>331</v>
      </c>
      <c r="AA23" s="375">
        <f t="shared" si="5"/>
        <v>23068</v>
      </c>
      <c r="AB23" s="373">
        <f t="shared" si="5"/>
        <v>14754</v>
      </c>
    </row>
    <row r="24" spans="1:28" x14ac:dyDescent="0.3">
      <c r="A24" s="370" t="s">
        <v>2230</v>
      </c>
      <c r="B24" s="371" t="s">
        <v>1041</v>
      </c>
      <c r="C24" s="372">
        <v>15</v>
      </c>
      <c r="D24" s="373">
        <v>1</v>
      </c>
      <c r="E24" s="372">
        <v>20</v>
      </c>
      <c r="F24" s="373">
        <v>7</v>
      </c>
      <c r="G24" s="372">
        <v>13</v>
      </c>
      <c r="H24" s="373">
        <v>0</v>
      </c>
      <c r="I24" s="372">
        <v>79</v>
      </c>
      <c r="J24" s="373">
        <v>79</v>
      </c>
      <c r="K24" s="372">
        <v>90</v>
      </c>
      <c r="L24" s="373">
        <v>64</v>
      </c>
      <c r="M24" s="372">
        <v>90</v>
      </c>
      <c r="N24" s="373">
        <v>67</v>
      </c>
      <c r="O24" s="372">
        <v>100</v>
      </c>
      <c r="P24" s="373">
        <v>74</v>
      </c>
      <c r="Q24" s="372">
        <v>96</v>
      </c>
      <c r="R24" s="373">
        <v>0</v>
      </c>
      <c r="S24" s="372">
        <v>90</v>
      </c>
      <c r="T24" s="373">
        <v>106</v>
      </c>
      <c r="U24" s="372">
        <v>110</v>
      </c>
      <c r="V24" s="373">
        <v>24</v>
      </c>
      <c r="W24" s="372">
        <v>43</v>
      </c>
      <c r="X24" s="373">
        <v>33</v>
      </c>
      <c r="Y24" s="372">
        <v>110</v>
      </c>
      <c r="Z24" s="373">
        <v>5</v>
      </c>
      <c r="AA24" s="375">
        <f t="shared" si="5"/>
        <v>856</v>
      </c>
      <c r="AB24" s="373">
        <f t="shared" si="5"/>
        <v>460</v>
      </c>
    </row>
    <row r="25" spans="1:28" x14ac:dyDescent="0.3">
      <c r="A25" s="370" t="s">
        <v>2230</v>
      </c>
      <c r="B25" s="371" t="s">
        <v>1113</v>
      </c>
      <c r="C25" s="372">
        <v>318</v>
      </c>
      <c r="D25" s="373">
        <v>0</v>
      </c>
      <c r="E25" s="372">
        <v>0</v>
      </c>
      <c r="F25" s="373">
        <v>0</v>
      </c>
      <c r="G25" s="372">
        <v>0</v>
      </c>
      <c r="H25" s="373">
        <v>0</v>
      </c>
      <c r="I25" s="372">
        <v>0</v>
      </c>
      <c r="J25" s="373">
        <v>0</v>
      </c>
      <c r="K25" s="372">
        <v>1072</v>
      </c>
      <c r="L25" s="373">
        <v>0</v>
      </c>
      <c r="M25" s="372">
        <v>2076</v>
      </c>
      <c r="N25" s="373">
        <v>0</v>
      </c>
      <c r="O25" s="372">
        <v>2466</v>
      </c>
      <c r="P25" s="373">
        <v>3495</v>
      </c>
      <c r="Q25" s="372">
        <v>4774</v>
      </c>
      <c r="R25" s="373">
        <v>0</v>
      </c>
      <c r="S25" s="372">
        <v>7342</v>
      </c>
      <c r="T25" s="373">
        <v>0</v>
      </c>
      <c r="U25" s="372">
        <v>8685</v>
      </c>
      <c r="V25" s="373">
        <v>0</v>
      </c>
      <c r="W25" s="372">
        <v>0</v>
      </c>
      <c r="X25" s="373">
        <v>0</v>
      </c>
      <c r="Y25" s="372">
        <v>344</v>
      </c>
      <c r="Z25" s="373">
        <v>0</v>
      </c>
      <c r="AA25" s="375">
        <f>+C25+E25+G25+I25+K25+M25+O25+Q25+S25+U25+W25+Y25</f>
        <v>27077</v>
      </c>
      <c r="AB25" s="373">
        <f>+D25+F25+H25+J25+L25+N25+P25+R25+T25+V25+X25+Z25</f>
        <v>3495</v>
      </c>
    </row>
    <row r="26" spans="1:28" ht="16.2" thickBot="1" x14ac:dyDescent="0.35">
      <c r="A26" s="370" t="s">
        <v>2230</v>
      </c>
      <c r="B26" s="371" t="s">
        <v>428</v>
      </c>
      <c r="C26" s="372">
        <v>6</v>
      </c>
      <c r="D26" s="373">
        <v>0</v>
      </c>
      <c r="E26" s="372">
        <v>6</v>
      </c>
      <c r="F26" s="373">
        <v>1</v>
      </c>
      <c r="G26" s="372">
        <v>2</v>
      </c>
      <c r="H26" s="373">
        <v>0</v>
      </c>
      <c r="I26" s="372">
        <v>3</v>
      </c>
      <c r="J26" s="373">
        <v>3</v>
      </c>
      <c r="K26" s="372">
        <v>6</v>
      </c>
      <c r="L26" s="373">
        <v>2</v>
      </c>
      <c r="M26" s="372">
        <v>6</v>
      </c>
      <c r="N26" s="373">
        <v>1</v>
      </c>
      <c r="O26" s="372">
        <v>6</v>
      </c>
      <c r="P26" s="373">
        <v>2</v>
      </c>
      <c r="Q26" s="372">
        <v>1</v>
      </c>
      <c r="R26" s="373">
        <v>0</v>
      </c>
      <c r="S26" s="372">
        <v>6</v>
      </c>
      <c r="T26" s="373">
        <v>2</v>
      </c>
      <c r="U26" s="372">
        <v>6</v>
      </c>
      <c r="V26" s="373">
        <v>1</v>
      </c>
      <c r="W26" s="372">
        <v>1</v>
      </c>
      <c r="X26" s="373">
        <v>2</v>
      </c>
      <c r="Y26" s="372">
        <v>6</v>
      </c>
      <c r="Z26" s="373">
        <v>2</v>
      </c>
      <c r="AA26" s="375">
        <f t="shared" si="5"/>
        <v>55</v>
      </c>
      <c r="AB26" s="373">
        <f t="shared" si="5"/>
        <v>16</v>
      </c>
    </row>
    <row r="27" spans="1:28" ht="18.600000000000001" thickBot="1" x14ac:dyDescent="0.4">
      <c r="A27" s="376"/>
      <c r="B27" s="378" t="s">
        <v>166</v>
      </c>
      <c r="C27" s="378">
        <f t="shared" ref="C27:H27" si="6">SUM(C23:C26)</f>
        <v>839</v>
      </c>
      <c r="D27" s="381">
        <f t="shared" si="6"/>
        <v>693</v>
      </c>
      <c r="E27" s="378">
        <f t="shared" si="6"/>
        <v>554</v>
      </c>
      <c r="F27" s="381">
        <f t="shared" si="6"/>
        <v>1308</v>
      </c>
      <c r="G27" s="378">
        <f t="shared" si="6"/>
        <v>2023</v>
      </c>
      <c r="H27" s="381">
        <f t="shared" si="6"/>
        <v>0</v>
      </c>
      <c r="I27" s="381">
        <f t="shared" ref="I27:AB27" si="7">SUM(I23:I26)</f>
        <v>2772</v>
      </c>
      <c r="J27" s="381">
        <f t="shared" si="7"/>
        <v>2772</v>
      </c>
      <c r="K27" s="378">
        <f t="shared" si="7"/>
        <v>2835</v>
      </c>
      <c r="L27" s="381">
        <f t="shared" si="7"/>
        <v>3345</v>
      </c>
      <c r="M27" s="378">
        <f t="shared" si="7"/>
        <v>5757</v>
      </c>
      <c r="N27" s="381">
        <f t="shared" si="7"/>
        <v>3065</v>
      </c>
      <c r="O27" s="378">
        <f t="shared" si="7"/>
        <v>5645</v>
      </c>
      <c r="P27" s="381">
        <f t="shared" si="7"/>
        <v>3571</v>
      </c>
      <c r="Q27" s="381">
        <f t="shared" si="7"/>
        <v>7987</v>
      </c>
      <c r="R27" s="381">
        <f t="shared" si="7"/>
        <v>0</v>
      </c>
      <c r="S27" s="381">
        <f t="shared" si="7"/>
        <v>9771</v>
      </c>
      <c r="T27" s="381">
        <f t="shared" si="7"/>
        <v>2033</v>
      </c>
      <c r="U27" s="381">
        <f t="shared" si="7"/>
        <v>10658</v>
      </c>
      <c r="V27" s="381">
        <f t="shared" si="7"/>
        <v>1063</v>
      </c>
      <c r="W27" s="381">
        <f t="shared" si="7"/>
        <v>780</v>
      </c>
      <c r="X27" s="381">
        <f t="shared" si="7"/>
        <v>537</v>
      </c>
      <c r="Y27" s="381">
        <f t="shared" si="7"/>
        <v>1435</v>
      </c>
      <c r="Z27" s="381">
        <f t="shared" si="7"/>
        <v>338</v>
      </c>
      <c r="AA27" s="378">
        <f t="shared" si="7"/>
        <v>51056</v>
      </c>
      <c r="AB27" s="381">
        <f t="shared" si="7"/>
        <v>18725</v>
      </c>
    </row>
    <row r="28" spans="1:28" x14ac:dyDescent="0.3">
      <c r="A28" s="370" t="s">
        <v>2229</v>
      </c>
      <c r="B28" s="371" t="s">
        <v>167</v>
      </c>
      <c r="C28" s="372">
        <v>500</v>
      </c>
      <c r="D28" s="373">
        <v>450</v>
      </c>
      <c r="E28" s="372">
        <v>528</v>
      </c>
      <c r="F28" s="373">
        <v>996</v>
      </c>
      <c r="G28" s="372">
        <v>2509</v>
      </c>
      <c r="H28" s="373">
        <v>0</v>
      </c>
      <c r="I28" s="372">
        <v>2909</v>
      </c>
      <c r="J28" s="373">
        <v>2909</v>
      </c>
      <c r="K28" s="372">
        <v>1667</v>
      </c>
      <c r="L28" s="373">
        <v>3638</v>
      </c>
      <c r="M28" s="372">
        <v>3585</v>
      </c>
      <c r="N28" s="373">
        <v>3419</v>
      </c>
      <c r="O28" s="372">
        <v>3073</v>
      </c>
      <c r="P28" s="373">
        <v>2903</v>
      </c>
      <c r="Q28" s="372">
        <v>3116</v>
      </c>
      <c r="R28" s="373">
        <v>0</v>
      </c>
      <c r="S28" s="372">
        <v>2333</v>
      </c>
      <c r="T28" s="373">
        <v>1850</v>
      </c>
      <c r="U28" s="372">
        <v>1857</v>
      </c>
      <c r="V28" s="373">
        <v>2049</v>
      </c>
      <c r="W28" s="372">
        <v>736</v>
      </c>
      <c r="X28" s="373">
        <v>515</v>
      </c>
      <c r="Y28" s="372">
        <v>975</v>
      </c>
      <c r="Z28" s="373">
        <v>503</v>
      </c>
      <c r="AA28" s="390">
        <f>+C28+E28+G28+I28+K28+M28+O28+Q28+S28+U28+W28+Y28</f>
        <v>23788</v>
      </c>
      <c r="AB28" s="391">
        <f>+D28+F28+H28+J28+L28+N28+P28+R28+T28+V28+X28+Z28</f>
        <v>19232</v>
      </c>
    </row>
    <row r="29" spans="1:28" ht="16.2" thickBot="1" x14ac:dyDescent="0.35">
      <c r="A29" s="370" t="s">
        <v>2229</v>
      </c>
      <c r="B29" s="371" t="s">
        <v>168</v>
      </c>
      <c r="C29" s="372">
        <v>12</v>
      </c>
      <c r="D29" s="392">
        <v>5</v>
      </c>
      <c r="E29" s="375">
        <v>12</v>
      </c>
      <c r="F29" s="373">
        <v>5</v>
      </c>
      <c r="G29" s="375">
        <v>8</v>
      </c>
      <c r="H29" s="373">
        <v>0</v>
      </c>
      <c r="I29" s="375">
        <v>3</v>
      </c>
      <c r="J29" s="373">
        <v>3</v>
      </c>
      <c r="K29" s="375">
        <v>16</v>
      </c>
      <c r="L29" s="373">
        <v>5</v>
      </c>
      <c r="M29" s="375">
        <v>16</v>
      </c>
      <c r="N29" s="373">
        <v>10</v>
      </c>
      <c r="O29" s="375">
        <v>17</v>
      </c>
      <c r="P29" s="373">
        <v>14</v>
      </c>
      <c r="Q29" s="375">
        <v>7</v>
      </c>
      <c r="R29" s="373">
        <v>0</v>
      </c>
      <c r="S29" s="375">
        <v>17</v>
      </c>
      <c r="T29" s="373">
        <v>12</v>
      </c>
      <c r="U29" s="375">
        <v>14</v>
      </c>
      <c r="V29" s="373">
        <v>15</v>
      </c>
      <c r="W29" s="375">
        <v>7</v>
      </c>
      <c r="X29" s="373">
        <v>8</v>
      </c>
      <c r="Y29" s="375">
        <v>12</v>
      </c>
      <c r="Z29" s="373">
        <v>3</v>
      </c>
      <c r="AA29" s="393">
        <f>+C29+E29+G29+I29+K29+M29+O29+Q29+S29+U29+W29+Y29</f>
        <v>141</v>
      </c>
      <c r="AB29" s="394">
        <f>+D29+F29+H29+J29+L29+N29+P29+R29+T29+V29+X29+Z29</f>
        <v>80</v>
      </c>
    </row>
    <row r="30" spans="1:28" ht="18.600000000000001" thickBot="1" x14ac:dyDescent="0.4">
      <c r="A30" s="376"/>
      <c r="B30" s="377" t="s">
        <v>1102</v>
      </c>
      <c r="C30" s="378">
        <f t="shared" ref="C30:AB30" si="8">SUM(C28:C29)</f>
        <v>512</v>
      </c>
      <c r="D30" s="381">
        <f t="shared" si="8"/>
        <v>455</v>
      </c>
      <c r="E30" s="378">
        <f t="shared" si="8"/>
        <v>540</v>
      </c>
      <c r="F30" s="381">
        <f t="shared" si="8"/>
        <v>1001</v>
      </c>
      <c r="G30" s="378">
        <f t="shared" si="8"/>
        <v>2517</v>
      </c>
      <c r="H30" s="381">
        <f t="shared" si="8"/>
        <v>0</v>
      </c>
      <c r="I30" s="378">
        <f t="shared" si="8"/>
        <v>2912</v>
      </c>
      <c r="J30" s="381">
        <f t="shared" si="8"/>
        <v>2912</v>
      </c>
      <c r="K30" s="378">
        <f t="shared" si="8"/>
        <v>1683</v>
      </c>
      <c r="L30" s="381">
        <f t="shared" si="8"/>
        <v>3643</v>
      </c>
      <c r="M30" s="378">
        <f t="shared" si="8"/>
        <v>3601</v>
      </c>
      <c r="N30" s="381">
        <f t="shared" si="8"/>
        <v>3429</v>
      </c>
      <c r="O30" s="378">
        <f t="shared" si="8"/>
        <v>3090</v>
      </c>
      <c r="P30" s="381">
        <f t="shared" si="8"/>
        <v>2917</v>
      </c>
      <c r="Q30" s="381">
        <f t="shared" ref="Q30:Z30" si="9">SUM(Q28:Q29)</f>
        <v>3123</v>
      </c>
      <c r="R30" s="381">
        <f t="shared" si="9"/>
        <v>0</v>
      </c>
      <c r="S30" s="381">
        <f t="shared" si="9"/>
        <v>2350</v>
      </c>
      <c r="T30" s="381">
        <f t="shared" si="9"/>
        <v>1862</v>
      </c>
      <c r="U30" s="381">
        <f t="shared" si="9"/>
        <v>1871</v>
      </c>
      <c r="V30" s="381">
        <f t="shared" si="9"/>
        <v>2064</v>
      </c>
      <c r="W30" s="381">
        <f t="shared" si="9"/>
        <v>743</v>
      </c>
      <c r="X30" s="381">
        <f t="shared" si="9"/>
        <v>523</v>
      </c>
      <c r="Y30" s="381">
        <f t="shared" si="9"/>
        <v>987</v>
      </c>
      <c r="Z30" s="381">
        <f t="shared" si="9"/>
        <v>506</v>
      </c>
      <c r="AA30" s="378">
        <f t="shared" si="8"/>
        <v>23929</v>
      </c>
      <c r="AB30" s="381">
        <f t="shared" si="8"/>
        <v>19312</v>
      </c>
    </row>
    <row r="31" spans="1:28" x14ac:dyDescent="0.3">
      <c r="A31" s="370" t="s">
        <v>1103</v>
      </c>
      <c r="B31" s="371" t="s">
        <v>1104</v>
      </c>
      <c r="C31" s="375">
        <v>0</v>
      </c>
      <c r="D31" s="373">
        <v>0</v>
      </c>
      <c r="E31" s="375">
        <v>0</v>
      </c>
      <c r="F31" s="373">
        <v>0</v>
      </c>
      <c r="G31" s="375">
        <v>0</v>
      </c>
      <c r="H31" s="373">
        <v>0</v>
      </c>
      <c r="I31" s="375">
        <v>0</v>
      </c>
      <c r="J31" s="373">
        <v>0</v>
      </c>
      <c r="K31" s="375">
        <v>0</v>
      </c>
      <c r="L31" s="373">
        <v>0</v>
      </c>
      <c r="M31" s="375">
        <v>0</v>
      </c>
      <c r="N31" s="373">
        <v>0</v>
      </c>
      <c r="O31" s="375">
        <v>0</v>
      </c>
      <c r="P31" s="373">
        <v>0</v>
      </c>
      <c r="Q31" s="375">
        <v>0</v>
      </c>
      <c r="R31" s="373">
        <v>0</v>
      </c>
      <c r="S31" s="375">
        <v>0</v>
      </c>
      <c r="T31" s="373">
        <v>0</v>
      </c>
      <c r="U31" s="375">
        <v>0</v>
      </c>
      <c r="V31" s="373">
        <v>0</v>
      </c>
      <c r="W31" s="375">
        <v>0</v>
      </c>
      <c r="X31" s="373">
        <v>0</v>
      </c>
      <c r="Y31" s="375">
        <v>0</v>
      </c>
      <c r="Z31" s="373">
        <v>0</v>
      </c>
      <c r="AA31" s="375">
        <f>+C31+E31+G31+I31+K31+M31+O31+Q31+S31+U31+W31+Y31</f>
        <v>0</v>
      </c>
      <c r="AB31" s="373">
        <f>+D31+F31+H31+J31+L31+N31+P31+R31+T31+V31+X31+Z31</f>
        <v>0</v>
      </c>
    </row>
    <row r="32" spans="1:28" ht="16.2" thickBot="1" x14ac:dyDescent="0.35">
      <c r="A32" s="370" t="s">
        <v>1103</v>
      </c>
      <c r="B32" s="371" t="s">
        <v>1105</v>
      </c>
      <c r="C32" s="375">
        <v>0</v>
      </c>
      <c r="D32" s="373">
        <v>0</v>
      </c>
      <c r="E32" s="375">
        <v>0</v>
      </c>
      <c r="F32" s="373">
        <v>0</v>
      </c>
      <c r="G32" s="375">
        <v>0</v>
      </c>
      <c r="H32" s="373">
        <v>0</v>
      </c>
      <c r="I32" s="375">
        <v>0</v>
      </c>
      <c r="J32" s="373">
        <v>0</v>
      </c>
      <c r="K32" s="375">
        <v>0</v>
      </c>
      <c r="L32" s="373">
        <v>0</v>
      </c>
      <c r="M32" s="375">
        <v>0</v>
      </c>
      <c r="N32" s="373">
        <v>0</v>
      </c>
      <c r="O32" s="375">
        <v>0</v>
      </c>
      <c r="P32" s="373">
        <v>0</v>
      </c>
      <c r="Q32" s="375">
        <v>0</v>
      </c>
      <c r="R32" s="373">
        <v>0</v>
      </c>
      <c r="S32" s="375">
        <v>0</v>
      </c>
      <c r="T32" s="373">
        <v>0</v>
      </c>
      <c r="U32" s="375">
        <v>0</v>
      </c>
      <c r="V32" s="373">
        <v>0</v>
      </c>
      <c r="W32" s="375">
        <v>0</v>
      </c>
      <c r="X32" s="373">
        <v>0</v>
      </c>
      <c r="Y32" s="375">
        <v>0</v>
      </c>
      <c r="Z32" s="373">
        <v>0</v>
      </c>
      <c r="AA32" s="375">
        <f>+C32+E32+G32+I32+K32+M32+O32+Q32+S32+U32+W32+Y32</f>
        <v>0</v>
      </c>
      <c r="AB32" s="373">
        <f>+D32+F32+H32+J32+L32+N32+P32+R32+T32+V32+X32+Z32</f>
        <v>0</v>
      </c>
    </row>
    <row r="33" spans="1:28" ht="18.600000000000001" thickBot="1" x14ac:dyDescent="0.4">
      <c r="A33" s="376"/>
      <c r="B33" s="377" t="s">
        <v>1106</v>
      </c>
      <c r="C33" s="378">
        <f t="shared" ref="C33:AB33" si="10">SUM(C31:C32)</f>
        <v>0</v>
      </c>
      <c r="D33" s="381">
        <f t="shared" si="10"/>
        <v>0</v>
      </c>
      <c r="E33" s="378">
        <f t="shared" si="10"/>
        <v>0</v>
      </c>
      <c r="F33" s="381">
        <f t="shared" si="10"/>
        <v>0</v>
      </c>
      <c r="G33" s="378">
        <f t="shared" si="10"/>
        <v>0</v>
      </c>
      <c r="H33" s="381">
        <f t="shared" si="10"/>
        <v>0</v>
      </c>
      <c r="I33" s="378">
        <f t="shared" si="10"/>
        <v>0</v>
      </c>
      <c r="J33" s="381">
        <f t="shared" si="10"/>
        <v>0</v>
      </c>
      <c r="K33" s="378">
        <f t="shared" si="10"/>
        <v>0</v>
      </c>
      <c r="L33" s="381">
        <f t="shared" si="10"/>
        <v>0</v>
      </c>
      <c r="M33" s="378">
        <f t="shared" si="10"/>
        <v>0</v>
      </c>
      <c r="N33" s="381">
        <f t="shared" si="10"/>
        <v>0</v>
      </c>
      <c r="O33" s="378">
        <f t="shared" si="10"/>
        <v>0</v>
      </c>
      <c r="P33" s="381">
        <f t="shared" si="10"/>
        <v>0</v>
      </c>
      <c r="Q33" s="378">
        <f t="shared" si="10"/>
        <v>0</v>
      </c>
      <c r="R33" s="381">
        <f t="shared" si="10"/>
        <v>0</v>
      </c>
      <c r="S33" s="378">
        <f t="shared" si="10"/>
        <v>0</v>
      </c>
      <c r="T33" s="381">
        <f t="shared" si="10"/>
        <v>0</v>
      </c>
      <c r="U33" s="378">
        <f t="shared" si="10"/>
        <v>0</v>
      </c>
      <c r="V33" s="381">
        <f t="shared" si="10"/>
        <v>0</v>
      </c>
      <c r="W33" s="378">
        <f t="shared" si="10"/>
        <v>0</v>
      </c>
      <c r="X33" s="378">
        <f t="shared" si="10"/>
        <v>0</v>
      </c>
      <c r="Y33" s="378">
        <f t="shared" si="10"/>
        <v>0</v>
      </c>
      <c r="Z33" s="381">
        <f t="shared" si="10"/>
        <v>0</v>
      </c>
      <c r="AA33" s="378">
        <f t="shared" si="10"/>
        <v>0</v>
      </c>
      <c r="AB33" s="381">
        <f t="shared" si="10"/>
        <v>0</v>
      </c>
    </row>
    <row r="34" spans="1:28" x14ac:dyDescent="0.3">
      <c r="A34" s="370" t="s">
        <v>1103</v>
      </c>
      <c r="B34" s="371" t="s">
        <v>1104</v>
      </c>
      <c r="C34" s="375">
        <v>0</v>
      </c>
      <c r="D34" s="373">
        <v>0</v>
      </c>
      <c r="E34" s="375">
        <v>0</v>
      </c>
      <c r="F34" s="373">
        <v>0</v>
      </c>
      <c r="G34" s="375">
        <v>0</v>
      </c>
      <c r="H34" s="373">
        <v>0</v>
      </c>
      <c r="I34" s="375">
        <v>0</v>
      </c>
      <c r="J34" s="373">
        <v>0</v>
      </c>
      <c r="K34" s="375">
        <v>0</v>
      </c>
      <c r="L34" s="373">
        <v>0</v>
      </c>
      <c r="M34" s="375">
        <v>0</v>
      </c>
      <c r="N34" s="373">
        <v>0</v>
      </c>
      <c r="O34" s="375">
        <v>0</v>
      </c>
      <c r="P34" s="373">
        <v>0</v>
      </c>
      <c r="Q34" s="375">
        <v>0</v>
      </c>
      <c r="R34" s="373">
        <v>0</v>
      </c>
      <c r="S34" s="375">
        <v>0</v>
      </c>
      <c r="T34" s="373">
        <v>0</v>
      </c>
      <c r="U34" s="375">
        <v>0</v>
      </c>
      <c r="V34" s="373">
        <v>0</v>
      </c>
      <c r="W34" s="375">
        <v>0</v>
      </c>
      <c r="X34" s="373">
        <v>0</v>
      </c>
      <c r="Y34" s="375">
        <v>0</v>
      </c>
      <c r="Z34" s="373">
        <v>0</v>
      </c>
      <c r="AA34" s="375">
        <f>+C34+E34+G34+I34+K34+M34+O34+Q34+S34+U34+W34+Y34</f>
        <v>0</v>
      </c>
      <c r="AB34" s="373">
        <f>+D34+F34+H34+J34+L34+N34+P34+R34+T34+V34+X34+Z34</f>
        <v>0</v>
      </c>
    </row>
    <row r="35" spans="1:28" ht="16.2" thickBot="1" x14ac:dyDescent="0.35">
      <c r="A35" s="370" t="s">
        <v>1103</v>
      </c>
      <c r="B35" s="371" t="s">
        <v>1105</v>
      </c>
      <c r="C35" s="375">
        <v>0</v>
      </c>
      <c r="D35" s="373">
        <v>0</v>
      </c>
      <c r="E35" s="375">
        <v>0</v>
      </c>
      <c r="F35" s="373">
        <v>0</v>
      </c>
      <c r="G35" s="375">
        <v>0</v>
      </c>
      <c r="H35" s="373">
        <v>0</v>
      </c>
      <c r="I35" s="375">
        <v>0</v>
      </c>
      <c r="J35" s="373">
        <v>0</v>
      </c>
      <c r="K35" s="375">
        <v>0</v>
      </c>
      <c r="L35" s="373">
        <v>0</v>
      </c>
      <c r="M35" s="375">
        <v>0</v>
      </c>
      <c r="N35" s="373">
        <v>0</v>
      </c>
      <c r="O35" s="375">
        <v>0</v>
      </c>
      <c r="P35" s="373">
        <v>0</v>
      </c>
      <c r="Q35" s="375">
        <v>0</v>
      </c>
      <c r="R35" s="373">
        <v>0</v>
      </c>
      <c r="S35" s="375">
        <v>0</v>
      </c>
      <c r="T35" s="373">
        <v>0</v>
      </c>
      <c r="U35" s="375">
        <v>0</v>
      </c>
      <c r="V35" s="373">
        <v>0</v>
      </c>
      <c r="W35" s="375">
        <v>0</v>
      </c>
      <c r="X35" s="373">
        <v>0</v>
      </c>
      <c r="Y35" s="375">
        <v>0</v>
      </c>
      <c r="Z35" s="373">
        <v>0</v>
      </c>
      <c r="AA35" s="375">
        <f>+C35+E35+G35+I35+K35+M35+O35+Q35+S35+U35+W35+Y35</f>
        <v>0</v>
      </c>
      <c r="AB35" s="373">
        <f>+D35+F35+H35+J35+L35+N35+P35+R35+T35+V35+X35+Z35</f>
        <v>0</v>
      </c>
    </row>
    <row r="36" spans="1:28" ht="18.600000000000001" thickBot="1" x14ac:dyDescent="0.4">
      <c r="A36" s="376"/>
      <c r="B36" s="377" t="s">
        <v>1107</v>
      </c>
      <c r="C36" s="378">
        <f t="shared" ref="C36:AB36" si="11">SUM(C34:C35)</f>
        <v>0</v>
      </c>
      <c r="D36" s="381">
        <f t="shared" si="11"/>
        <v>0</v>
      </c>
      <c r="E36" s="378">
        <f t="shared" si="11"/>
        <v>0</v>
      </c>
      <c r="F36" s="381">
        <f t="shared" si="11"/>
        <v>0</v>
      </c>
      <c r="G36" s="378">
        <f t="shared" si="11"/>
        <v>0</v>
      </c>
      <c r="H36" s="381">
        <f t="shared" si="11"/>
        <v>0</v>
      </c>
      <c r="I36" s="378">
        <f t="shared" si="11"/>
        <v>0</v>
      </c>
      <c r="J36" s="381">
        <f t="shared" si="11"/>
        <v>0</v>
      </c>
      <c r="K36" s="378">
        <f t="shared" si="11"/>
        <v>0</v>
      </c>
      <c r="L36" s="381">
        <f t="shared" si="11"/>
        <v>0</v>
      </c>
      <c r="M36" s="378">
        <f t="shared" si="11"/>
        <v>0</v>
      </c>
      <c r="N36" s="381">
        <f t="shared" si="11"/>
        <v>0</v>
      </c>
      <c r="O36" s="378">
        <f t="shared" si="11"/>
        <v>0</v>
      </c>
      <c r="P36" s="381">
        <f t="shared" si="11"/>
        <v>0</v>
      </c>
      <c r="Q36" s="378">
        <f t="shared" si="11"/>
        <v>0</v>
      </c>
      <c r="R36" s="381">
        <f t="shared" si="11"/>
        <v>0</v>
      </c>
      <c r="S36" s="378">
        <f t="shared" si="11"/>
        <v>0</v>
      </c>
      <c r="T36" s="381">
        <f t="shared" si="11"/>
        <v>0</v>
      </c>
      <c r="U36" s="378">
        <f t="shared" si="11"/>
        <v>0</v>
      </c>
      <c r="V36" s="381">
        <f t="shared" si="11"/>
        <v>0</v>
      </c>
      <c r="W36" s="378">
        <f t="shared" si="11"/>
        <v>0</v>
      </c>
      <c r="X36" s="378">
        <f t="shared" si="11"/>
        <v>0</v>
      </c>
      <c r="Y36" s="378">
        <f t="shared" si="11"/>
        <v>0</v>
      </c>
      <c r="Z36" s="381">
        <f t="shared" si="11"/>
        <v>0</v>
      </c>
      <c r="AA36" s="378">
        <f t="shared" si="11"/>
        <v>0</v>
      </c>
      <c r="AB36" s="381">
        <f t="shared" si="11"/>
        <v>0</v>
      </c>
    </row>
    <row r="37" spans="1:28" x14ac:dyDescent="0.3">
      <c r="A37" s="370" t="s">
        <v>1103</v>
      </c>
      <c r="B37" s="371" t="s">
        <v>1104</v>
      </c>
      <c r="C37" s="375">
        <v>0</v>
      </c>
      <c r="D37" s="373">
        <v>0</v>
      </c>
      <c r="E37" s="375">
        <v>0</v>
      </c>
      <c r="F37" s="373">
        <v>0</v>
      </c>
      <c r="G37" s="375">
        <v>0</v>
      </c>
      <c r="H37" s="373">
        <v>0</v>
      </c>
      <c r="I37" s="375">
        <v>0</v>
      </c>
      <c r="J37" s="373">
        <v>0</v>
      </c>
      <c r="K37" s="375">
        <v>0</v>
      </c>
      <c r="L37" s="373">
        <v>0</v>
      </c>
      <c r="M37" s="375">
        <v>0</v>
      </c>
      <c r="N37" s="373">
        <v>0</v>
      </c>
      <c r="O37" s="375">
        <v>0</v>
      </c>
      <c r="P37" s="373">
        <v>0</v>
      </c>
      <c r="Q37" s="375">
        <v>0</v>
      </c>
      <c r="R37" s="373">
        <v>0</v>
      </c>
      <c r="S37" s="375">
        <v>0</v>
      </c>
      <c r="T37" s="373">
        <v>1370</v>
      </c>
      <c r="U37" s="375">
        <v>0</v>
      </c>
      <c r="V37" s="373">
        <v>0</v>
      </c>
      <c r="W37" s="375">
        <v>0</v>
      </c>
      <c r="X37" s="373">
        <v>0</v>
      </c>
      <c r="Y37" s="375">
        <v>0</v>
      </c>
      <c r="Z37" s="373">
        <v>0</v>
      </c>
      <c r="AA37" s="375">
        <f>+C37+E37+G37+I37+K37+M37+O37+Q37+S37+U37+W37+Y37</f>
        <v>0</v>
      </c>
      <c r="AB37" s="373">
        <f>+D37+F37+H37+J37+L37+N37+P37+R37+T37+V37+X37+Z37</f>
        <v>1370</v>
      </c>
    </row>
    <row r="38" spans="1:28" ht="16.2" thickBot="1" x14ac:dyDescent="0.35">
      <c r="A38" s="370" t="s">
        <v>1103</v>
      </c>
      <c r="B38" s="371" t="s">
        <v>1105</v>
      </c>
      <c r="C38" s="375">
        <v>0</v>
      </c>
      <c r="D38" s="373">
        <v>0</v>
      </c>
      <c r="E38" s="375">
        <v>0</v>
      </c>
      <c r="F38" s="373">
        <v>0</v>
      </c>
      <c r="G38" s="375">
        <v>0</v>
      </c>
      <c r="H38" s="373">
        <v>0</v>
      </c>
      <c r="I38" s="375">
        <v>0</v>
      </c>
      <c r="J38" s="373">
        <v>0</v>
      </c>
      <c r="K38" s="375">
        <v>0</v>
      </c>
      <c r="L38" s="373">
        <v>0</v>
      </c>
      <c r="M38" s="375">
        <v>0</v>
      </c>
      <c r="N38" s="373">
        <v>0</v>
      </c>
      <c r="O38" s="375">
        <v>0</v>
      </c>
      <c r="P38" s="373">
        <v>0</v>
      </c>
      <c r="Q38" s="375">
        <v>0</v>
      </c>
      <c r="R38" s="373">
        <v>0</v>
      </c>
      <c r="S38" s="375">
        <v>0</v>
      </c>
      <c r="T38" s="373">
        <v>0</v>
      </c>
      <c r="U38" s="375">
        <v>0</v>
      </c>
      <c r="V38" s="373">
        <v>0</v>
      </c>
      <c r="W38" s="375">
        <v>0</v>
      </c>
      <c r="X38" s="373">
        <v>0</v>
      </c>
      <c r="Y38" s="375">
        <v>0</v>
      </c>
      <c r="Z38" s="373">
        <v>0</v>
      </c>
      <c r="AA38" s="375">
        <f>+C38+E38+G38+I38+K38+M38+O38+Q38+S38+U38+W38+Y38</f>
        <v>0</v>
      </c>
      <c r="AB38" s="373">
        <f>+D38+F38+H38+J38+L38+N38+P38+R38+T38+V38+X38+Z38</f>
        <v>0</v>
      </c>
    </row>
    <row r="39" spans="1:28" ht="18.600000000000001" thickBot="1" x14ac:dyDescent="0.4">
      <c r="A39" s="376"/>
      <c r="B39" s="377" t="s">
        <v>1108</v>
      </c>
      <c r="C39" s="378">
        <f t="shared" ref="C39:AB39" si="12">SUM(C37:C38)</f>
        <v>0</v>
      </c>
      <c r="D39" s="381">
        <f t="shared" si="12"/>
        <v>0</v>
      </c>
      <c r="E39" s="378">
        <f t="shared" si="12"/>
        <v>0</v>
      </c>
      <c r="F39" s="381">
        <f t="shared" si="12"/>
        <v>0</v>
      </c>
      <c r="G39" s="378">
        <f t="shared" si="12"/>
        <v>0</v>
      </c>
      <c r="H39" s="381">
        <f t="shared" si="12"/>
        <v>0</v>
      </c>
      <c r="I39" s="378">
        <f t="shared" si="12"/>
        <v>0</v>
      </c>
      <c r="J39" s="381">
        <f t="shared" si="12"/>
        <v>0</v>
      </c>
      <c r="K39" s="378">
        <f t="shared" si="12"/>
        <v>0</v>
      </c>
      <c r="L39" s="381">
        <f t="shared" si="12"/>
        <v>0</v>
      </c>
      <c r="M39" s="378">
        <f t="shared" si="12"/>
        <v>0</v>
      </c>
      <c r="N39" s="381">
        <f t="shared" si="12"/>
        <v>0</v>
      </c>
      <c r="O39" s="378">
        <f t="shared" si="12"/>
        <v>0</v>
      </c>
      <c r="P39" s="381">
        <f t="shared" si="12"/>
        <v>0</v>
      </c>
      <c r="Q39" s="378">
        <f t="shared" si="12"/>
        <v>0</v>
      </c>
      <c r="R39" s="381">
        <f t="shared" si="12"/>
        <v>0</v>
      </c>
      <c r="S39" s="378">
        <f t="shared" si="12"/>
        <v>0</v>
      </c>
      <c r="T39" s="381">
        <f t="shared" si="12"/>
        <v>1370</v>
      </c>
      <c r="U39" s="378">
        <f t="shared" si="12"/>
        <v>0</v>
      </c>
      <c r="V39" s="381">
        <f t="shared" si="12"/>
        <v>0</v>
      </c>
      <c r="W39" s="378">
        <f t="shared" si="12"/>
        <v>0</v>
      </c>
      <c r="X39" s="381">
        <f t="shared" si="12"/>
        <v>0</v>
      </c>
      <c r="Y39" s="378">
        <f t="shared" si="12"/>
        <v>0</v>
      </c>
      <c r="Z39" s="381">
        <f t="shared" si="12"/>
        <v>0</v>
      </c>
      <c r="AA39" s="378">
        <f t="shared" si="12"/>
        <v>0</v>
      </c>
      <c r="AB39" s="381">
        <f t="shared" si="12"/>
        <v>1370</v>
      </c>
    </row>
    <row r="40" spans="1:28" x14ac:dyDescent="0.3">
      <c r="A40" s="370" t="s">
        <v>2176</v>
      </c>
      <c r="B40" s="371" t="s">
        <v>1104</v>
      </c>
      <c r="C40" s="375">
        <v>449</v>
      </c>
      <c r="D40" s="373">
        <v>0</v>
      </c>
      <c r="E40" s="375">
        <v>449</v>
      </c>
      <c r="F40" s="373">
        <v>0</v>
      </c>
      <c r="G40" s="375">
        <v>0</v>
      </c>
      <c r="H40" s="373">
        <v>0</v>
      </c>
      <c r="I40" s="375">
        <v>1365</v>
      </c>
      <c r="J40" s="373">
        <v>0</v>
      </c>
      <c r="K40" s="375">
        <v>2243</v>
      </c>
      <c r="L40" s="373">
        <v>0</v>
      </c>
      <c r="M40" s="375">
        <v>3607</v>
      </c>
      <c r="N40" s="373">
        <v>0</v>
      </c>
      <c r="O40" s="375">
        <v>5050</v>
      </c>
      <c r="P40" s="373">
        <v>0</v>
      </c>
      <c r="Q40" s="375">
        <v>5050</v>
      </c>
      <c r="R40" s="373">
        <v>0</v>
      </c>
      <c r="S40" s="375">
        <v>1443</v>
      </c>
      <c r="T40" s="373">
        <v>521</v>
      </c>
      <c r="U40" s="375">
        <v>2008</v>
      </c>
      <c r="V40" s="373">
        <v>0</v>
      </c>
      <c r="W40" s="375">
        <v>0</v>
      </c>
      <c r="X40" s="373">
        <v>0</v>
      </c>
      <c r="Y40" s="375">
        <v>863</v>
      </c>
      <c r="Z40" s="373">
        <v>0</v>
      </c>
      <c r="AA40" s="375">
        <f>+C40+E40+G40+I40+K40+M40+O40+Q40+S40+U40+W40+Y40</f>
        <v>22527</v>
      </c>
      <c r="AB40" s="373">
        <f>+D40+F40+H40+J40+L40+N40+P40+R40+T40+V40+X40+Z40</f>
        <v>521</v>
      </c>
    </row>
    <row r="41" spans="1:28" ht="16.2" thickBot="1" x14ac:dyDescent="0.35">
      <c r="A41" s="370" t="s">
        <v>2176</v>
      </c>
      <c r="B41" s="371" t="s">
        <v>1105</v>
      </c>
      <c r="C41" s="375">
        <v>0</v>
      </c>
      <c r="D41" s="373">
        <v>0</v>
      </c>
      <c r="E41" s="375">
        <v>0</v>
      </c>
      <c r="F41" s="373">
        <v>0</v>
      </c>
      <c r="G41" s="375">
        <v>0</v>
      </c>
      <c r="H41" s="373">
        <v>0</v>
      </c>
      <c r="I41" s="375">
        <v>0</v>
      </c>
      <c r="J41" s="373">
        <v>0</v>
      </c>
      <c r="K41" s="375">
        <v>402</v>
      </c>
      <c r="L41" s="373">
        <v>403</v>
      </c>
      <c r="M41" s="375">
        <v>11712</v>
      </c>
      <c r="N41" s="373">
        <v>11702</v>
      </c>
      <c r="O41" s="375">
        <v>13475</v>
      </c>
      <c r="P41" s="373">
        <v>13458</v>
      </c>
      <c r="Q41" s="375">
        <v>5365</v>
      </c>
      <c r="R41" s="373">
        <v>0</v>
      </c>
      <c r="S41" s="375">
        <v>5372</v>
      </c>
      <c r="T41" s="373">
        <v>5356</v>
      </c>
      <c r="U41" s="375">
        <v>0</v>
      </c>
      <c r="V41" s="373">
        <v>0</v>
      </c>
      <c r="W41" s="375">
        <v>0</v>
      </c>
      <c r="X41" s="373">
        <v>0</v>
      </c>
      <c r="Y41" s="375">
        <v>0</v>
      </c>
      <c r="Z41" s="373">
        <v>0</v>
      </c>
      <c r="AA41" s="375">
        <f>+C41+E41+G41+I41+K41+M41+O41+Q41+S41+U41+W41+Y41</f>
        <v>36326</v>
      </c>
      <c r="AB41" s="373">
        <f>+D41+F41+H41+J41+L41+N41+P41+R41+T41+V41+X41+Z41</f>
        <v>30919</v>
      </c>
    </row>
    <row r="42" spans="1:28" ht="18.600000000000001" thickBot="1" x14ac:dyDescent="0.4">
      <c r="A42" s="376"/>
      <c r="B42" s="377" t="s">
        <v>1109</v>
      </c>
      <c r="C42" s="378">
        <f t="shared" ref="C42:AB42" si="13">SUM(C40:C41)</f>
        <v>449</v>
      </c>
      <c r="D42" s="381">
        <f t="shared" si="13"/>
        <v>0</v>
      </c>
      <c r="E42" s="378">
        <f t="shared" si="13"/>
        <v>449</v>
      </c>
      <c r="F42" s="381">
        <f t="shared" si="13"/>
        <v>0</v>
      </c>
      <c r="G42" s="378">
        <f t="shared" si="13"/>
        <v>0</v>
      </c>
      <c r="H42" s="381">
        <f t="shared" si="13"/>
        <v>0</v>
      </c>
      <c r="I42" s="378">
        <f t="shared" si="13"/>
        <v>1365</v>
      </c>
      <c r="J42" s="381">
        <f t="shared" si="13"/>
        <v>0</v>
      </c>
      <c r="K42" s="378">
        <f t="shared" si="13"/>
        <v>2645</v>
      </c>
      <c r="L42" s="381">
        <f t="shared" si="13"/>
        <v>403</v>
      </c>
      <c r="M42" s="378">
        <f t="shared" si="13"/>
        <v>15319</v>
      </c>
      <c r="N42" s="381">
        <f t="shared" si="13"/>
        <v>11702</v>
      </c>
      <c r="O42" s="378">
        <f t="shared" si="13"/>
        <v>18525</v>
      </c>
      <c r="P42" s="381">
        <f t="shared" si="13"/>
        <v>13458</v>
      </c>
      <c r="Q42" s="378">
        <f t="shared" si="13"/>
        <v>10415</v>
      </c>
      <c r="R42" s="381">
        <f t="shared" si="13"/>
        <v>0</v>
      </c>
      <c r="S42" s="378">
        <f t="shared" si="13"/>
        <v>6815</v>
      </c>
      <c r="T42" s="381">
        <f t="shared" si="13"/>
        <v>5877</v>
      </c>
      <c r="U42" s="378">
        <f t="shared" si="13"/>
        <v>2008</v>
      </c>
      <c r="V42" s="381">
        <f t="shared" si="13"/>
        <v>0</v>
      </c>
      <c r="W42" s="378">
        <f t="shared" si="13"/>
        <v>0</v>
      </c>
      <c r="X42" s="381">
        <f t="shared" si="13"/>
        <v>0</v>
      </c>
      <c r="Y42" s="378">
        <f t="shared" si="13"/>
        <v>863</v>
      </c>
      <c r="Z42" s="381">
        <f t="shared" si="13"/>
        <v>0</v>
      </c>
      <c r="AA42" s="378">
        <f t="shared" si="13"/>
        <v>58853</v>
      </c>
      <c r="AB42" s="381">
        <f t="shared" si="13"/>
        <v>31440</v>
      </c>
    </row>
    <row r="43" spans="1:28" x14ac:dyDescent="0.3">
      <c r="A43" s="370" t="s">
        <v>1110</v>
      </c>
      <c r="B43" s="371" t="s">
        <v>1111</v>
      </c>
      <c r="C43" s="375">
        <v>40</v>
      </c>
      <c r="D43" s="373">
        <v>166</v>
      </c>
      <c r="E43" s="375">
        <v>0</v>
      </c>
      <c r="F43" s="373">
        <v>283</v>
      </c>
      <c r="G43" s="375">
        <v>523</v>
      </c>
      <c r="H43" s="373">
        <v>0</v>
      </c>
      <c r="I43" s="375">
        <v>920</v>
      </c>
      <c r="J43" s="373">
        <v>920</v>
      </c>
      <c r="K43" s="375">
        <v>1770</v>
      </c>
      <c r="L43" s="373">
        <v>734</v>
      </c>
      <c r="M43" s="375">
        <v>2300</v>
      </c>
      <c r="N43" s="373">
        <v>792</v>
      </c>
      <c r="O43" s="375">
        <v>2000</v>
      </c>
      <c r="P43" s="373">
        <v>1192</v>
      </c>
      <c r="Q43" s="375">
        <v>700</v>
      </c>
      <c r="R43" s="373">
        <v>0</v>
      </c>
      <c r="S43" s="375">
        <v>0</v>
      </c>
      <c r="T43" s="373">
        <v>709</v>
      </c>
      <c r="U43" s="375">
        <v>0</v>
      </c>
      <c r="V43" s="373">
        <v>267</v>
      </c>
      <c r="W43" s="375">
        <v>0</v>
      </c>
      <c r="X43" s="373">
        <v>6</v>
      </c>
      <c r="Y43" s="375">
        <v>0</v>
      </c>
      <c r="Z43" s="373">
        <v>0</v>
      </c>
      <c r="AA43" s="375">
        <f>+C43+E43+G43+I43+K43+M43+O43+Q43+S43+U43+W43+Y43</f>
        <v>8253</v>
      </c>
      <c r="AB43" s="373">
        <f>+D43+F43+H43+J43+L43+N43+P43+R43+T43+V43+X43+Z43</f>
        <v>5069</v>
      </c>
    </row>
    <row r="44" spans="1:28" ht="16.2" thickBot="1" x14ac:dyDescent="0.35">
      <c r="A44" s="370" t="s">
        <v>1110</v>
      </c>
      <c r="B44" s="395" t="s">
        <v>1104</v>
      </c>
      <c r="C44" s="375">
        <v>0</v>
      </c>
      <c r="D44" s="373">
        <v>0</v>
      </c>
      <c r="E44" s="375">
        <v>0</v>
      </c>
      <c r="F44" s="373">
        <v>0</v>
      </c>
      <c r="G44" s="375">
        <v>0</v>
      </c>
      <c r="H44" s="373">
        <v>0</v>
      </c>
      <c r="I44" s="375">
        <v>0</v>
      </c>
      <c r="J44" s="373">
        <v>0</v>
      </c>
      <c r="K44" s="375">
        <v>0</v>
      </c>
      <c r="L44" s="373">
        <v>0</v>
      </c>
      <c r="M44" s="375">
        <v>0</v>
      </c>
      <c r="N44" s="373">
        <v>0</v>
      </c>
      <c r="O44" s="375">
        <v>0</v>
      </c>
      <c r="P44" s="373">
        <v>0</v>
      </c>
      <c r="Q44" s="375">
        <v>0</v>
      </c>
      <c r="R44" s="373">
        <v>0</v>
      </c>
      <c r="S44" s="375">
        <v>0</v>
      </c>
      <c r="T44" s="373">
        <v>0</v>
      </c>
      <c r="U44" s="375">
        <v>0</v>
      </c>
      <c r="V44" s="373">
        <v>0</v>
      </c>
      <c r="W44" s="375">
        <v>0</v>
      </c>
      <c r="X44" s="373">
        <v>0</v>
      </c>
      <c r="Y44" s="375">
        <v>0</v>
      </c>
      <c r="Z44" s="373">
        <v>57</v>
      </c>
      <c r="AA44" s="375">
        <f>+C44+E44+G44+I44+K44+M44+O44+Q44+S44+U44+W44+Y44</f>
        <v>0</v>
      </c>
      <c r="AB44" s="373">
        <f>+D44+F44+H44+J44+L44+N44+P44+R44+T44+V44+X44+Z44</f>
        <v>57</v>
      </c>
    </row>
    <row r="45" spans="1:28" ht="18.600000000000001" thickBot="1" x14ac:dyDescent="0.4">
      <c r="A45" s="376"/>
      <c r="B45" s="377" t="s">
        <v>1112</v>
      </c>
      <c r="C45" s="378">
        <f t="shared" ref="C45:AB45" si="14">SUM(C43:C44)</f>
        <v>40</v>
      </c>
      <c r="D45" s="381">
        <f t="shared" si="14"/>
        <v>166</v>
      </c>
      <c r="E45" s="378">
        <f t="shared" si="14"/>
        <v>0</v>
      </c>
      <c r="F45" s="381">
        <f t="shared" si="14"/>
        <v>283</v>
      </c>
      <c r="G45" s="378">
        <f t="shared" si="14"/>
        <v>523</v>
      </c>
      <c r="H45" s="381">
        <f t="shared" si="14"/>
        <v>0</v>
      </c>
      <c r="I45" s="378">
        <f t="shared" si="14"/>
        <v>920</v>
      </c>
      <c r="J45" s="381">
        <f t="shared" si="14"/>
        <v>920</v>
      </c>
      <c r="K45" s="378">
        <f t="shared" si="14"/>
        <v>1770</v>
      </c>
      <c r="L45" s="381">
        <f t="shared" si="14"/>
        <v>734</v>
      </c>
      <c r="M45" s="378">
        <f t="shared" si="14"/>
        <v>2300</v>
      </c>
      <c r="N45" s="381">
        <f t="shared" si="14"/>
        <v>792</v>
      </c>
      <c r="O45" s="378">
        <f t="shared" si="14"/>
        <v>2000</v>
      </c>
      <c r="P45" s="381">
        <f t="shared" si="14"/>
        <v>1192</v>
      </c>
      <c r="Q45" s="378">
        <f t="shared" si="14"/>
        <v>700</v>
      </c>
      <c r="R45" s="381">
        <f t="shared" si="14"/>
        <v>0</v>
      </c>
      <c r="S45" s="378">
        <f t="shared" si="14"/>
        <v>0</v>
      </c>
      <c r="T45" s="381">
        <f t="shared" si="14"/>
        <v>709</v>
      </c>
      <c r="U45" s="378">
        <f t="shared" si="14"/>
        <v>0</v>
      </c>
      <c r="V45" s="381">
        <f t="shared" si="14"/>
        <v>267</v>
      </c>
      <c r="W45" s="378">
        <f t="shared" si="14"/>
        <v>0</v>
      </c>
      <c r="X45" s="381">
        <f t="shared" si="14"/>
        <v>6</v>
      </c>
      <c r="Y45" s="378">
        <f t="shared" si="14"/>
        <v>0</v>
      </c>
      <c r="Z45" s="381">
        <f t="shared" si="14"/>
        <v>57</v>
      </c>
      <c r="AA45" s="378">
        <f t="shared" si="14"/>
        <v>8253</v>
      </c>
      <c r="AB45" s="381">
        <f t="shared" si="14"/>
        <v>5126</v>
      </c>
    </row>
    <row r="46" spans="1:28" x14ac:dyDescent="0.3">
      <c r="A46" s="370" t="s">
        <v>131</v>
      </c>
      <c r="B46" s="371" t="s">
        <v>1111</v>
      </c>
      <c r="C46" s="375">
        <v>160</v>
      </c>
      <c r="D46" s="373">
        <v>1789</v>
      </c>
      <c r="E46" s="375">
        <v>0</v>
      </c>
      <c r="F46" s="373">
        <v>0</v>
      </c>
      <c r="G46" s="375">
        <v>5396</v>
      </c>
      <c r="H46" s="373">
        <v>0</v>
      </c>
      <c r="I46" s="375">
        <v>9066</v>
      </c>
      <c r="J46" s="373">
        <v>9066</v>
      </c>
      <c r="K46" s="375">
        <v>7078</v>
      </c>
      <c r="L46" s="373">
        <v>8636</v>
      </c>
      <c r="M46" s="375">
        <v>9200</v>
      </c>
      <c r="N46" s="373">
        <v>9204</v>
      </c>
      <c r="O46" s="375">
        <v>8000</v>
      </c>
      <c r="P46" s="373">
        <v>8808</v>
      </c>
      <c r="Q46" s="375">
        <v>2800</v>
      </c>
      <c r="R46" s="373">
        <v>0</v>
      </c>
      <c r="S46" s="375">
        <v>0</v>
      </c>
      <c r="T46" s="373">
        <v>6199</v>
      </c>
      <c r="U46" s="375">
        <v>0</v>
      </c>
      <c r="V46" s="373">
        <v>4234</v>
      </c>
      <c r="W46" s="375">
        <v>0</v>
      </c>
      <c r="X46" s="373">
        <v>520</v>
      </c>
      <c r="Y46" s="375">
        <v>0</v>
      </c>
      <c r="Z46" s="373">
        <v>474</v>
      </c>
      <c r="AA46" s="375">
        <f t="shared" ref="AA46:AB49" si="15">+C46+E46+G46+I46+K46+M46+O46+Q46+S46+U46+W46+Y46</f>
        <v>41700</v>
      </c>
      <c r="AB46" s="373">
        <f t="shared" si="15"/>
        <v>48930</v>
      </c>
    </row>
    <row r="47" spans="1:28" x14ac:dyDescent="0.3">
      <c r="A47" s="370" t="s">
        <v>131</v>
      </c>
      <c r="B47" s="395" t="s">
        <v>1113</v>
      </c>
      <c r="C47" s="375">
        <v>840</v>
      </c>
      <c r="D47" s="373">
        <v>0</v>
      </c>
      <c r="E47" s="375">
        <v>2730</v>
      </c>
      <c r="F47" s="373">
        <v>2460</v>
      </c>
      <c r="G47" s="375">
        <v>1895</v>
      </c>
      <c r="H47" s="373">
        <v>0</v>
      </c>
      <c r="I47" s="375">
        <v>1138</v>
      </c>
      <c r="J47" s="373">
        <v>0</v>
      </c>
      <c r="K47" s="375">
        <v>2197</v>
      </c>
      <c r="L47" s="373">
        <v>0</v>
      </c>
      <c r="M47" s="375">
        <v>1745</v>
      </c>
      <c r="N47" s="373">
        <v>0</v>
      </c>
      <c r="O47" s="375">
        <v>2000</v>
      </c>
      <c r="P47" s="373">
        <v>1526</v>
      </c>
      <c r="Q47" s="375">
        <v>7297</v>
      </c>
      <c r="R47" s="373">
        <v>0</v>
      </c>
      <c r="S47" s="375">
        <v>10359</v>
      </c>
      <c r="T47" s="373">
        <v>0</v>
      </c>
      <c r="U47" s="375">
        <v>6191</v>
      </c>
      <c r="V47" s="373">
        <v>0</v>
      </c>
      <c r="W47" s="375">
        <v>2901</v>
      </c>
      <c r="X47" s="373">
        <v>0</v>
      </c>
      <c r="Y47" s="375">
        <v>3048</v>
      </c>
      <c r="Z47" s="373">
        <v>1029</v>
      </c>
      <c r="AA47" s="375">
        <f>+C47+E47+G47+I47+K47+M47+O47+Q47+S47+U47+W47+Y47</f>
        <v>42341</v>
      </c>
      <c r="AB47" s="373">
        <f>+D47+F47+H47+J47+L47+N47+P47+R47+T47+V47+X47+Z47</f>
        <v>5015</v>
      </c>
    </row>
    <row r="48" spans="1:28" x14ac:dyDescent="0.3">
      <c r="A48" s="370" t="s">
        <v>131</v>
      </c>
      <c r="B48" s="395" t="s">
        <v>1104</v>
      </c>
      <c r="C48" s="375">
        <v>0</v>
      </c>
      <c r="D48" s="373">
        <v>0</v>
      </c>
      <c r="E48" s="375">
        <v>0</v>
      </c>
      <c r="F48" s="373">
        <v>0</v>
      </c>
      <c r="G48" s="375">
        <v>0</v>
      </c>
      <c r="H48" s="373">
        <v>0</v>
      </c>
      <c r="I48" s="375">
        <v>0</v>
      </c>
      <c r="J48" s="373">
        <v>0</v>
      </c>
      <c r="K48" s="375">
        <v>0</v>
      </c>
      <c r="L48" s="373">
        <v>0</v>
      </c>
      <c r="M48" s="375">
        <v>0</v>
      </c>
      <c r="N48" s="373">
        <v>0</v>
      </c>
      <c r="O48" s="375">
        <v>0</v>
      </c>
      <c r="P48" s="373">
        <v>0</v>
      </c>
      <c r="Q48" s="375">
        <v>0</v>
      </c>
      <c r="R48" s="373">
        <v>0</v>
      </c>
      <c r="S48" s="375">
        <v>0</v>
      </c>
      <c r="T48" s="373">
        <v>0</v>
      </c>
      <c r="U48" s="375">
        <v>0</v>
      </c>
      <c r="V48" s="373">
        <v>0</v>
      </c>
      <c r="W48" s="375">
        <v>0</v>
      </c>
      <c r="X48" s="373">
        <v>0</v>
      </c>
      <c r="Y48" s="375">
        <v>0</v>
      </c>
      <c r="Z48" s="373">
        <v>0</v>
      </c>
      <c r="AA48" s="375">
        <f t="shared" si="15"/>
        <v>0</v>
      </c>
      <c r="AB48" s="373">
        <f t="shared" si="15"/>
        <v>0</v>
      </c>
    </row>
    <row r="49" spans="1:28" ht="16.2" thickBot="1" x14ac:dyDescent="0.35">
      <c r="A49" s="370" t="s">
        <v>131</v>
      </c>
      <c r="B49" s="371" t="s">
        <v>1114</v>
      </c>
      <c r="C49" s="375">
        <v>7</v>
      </c>
      <c r="D49" s="373">
        <v>0</v>
      </c>
      <c r="E49" s="375">
        <v>7</v>
      </c>
      <c r="F49" s="373">
        <v>0</v>
      </c>
      <c r="G49" s="375">
        <v>11</v>
      </c>
      <c r="H49" s="373">
        <v>0</v>
      </c>
      <c r="I49" s="375">
        <v>8</v>
      </c>
      <c r="J49" s="373">
        <v>12</v>
      </c>
      <c r="K49" s="375">
        <v>9</v>
      </c>
      <c r="L49" s="373">
        <v>21</v>
      </c>
      <c r="M49" s="375">
        <v>26</v>
      </c>
      <c r="N49" s="373">
        <v>6</v>
      </c>
      <c r="O49" s="375">
        <v>42</v>
      </c>
      <c r="P49" s="373">
        <v>22</v>
      </c>
      <c r="Q49" s="375">
        <v>37</v>
      </c>
      <c r="R49" s="373">
        <v>0</v>
      </c>
      <c r="S49" s="375">
        <v>24</v>
      </c>
      <c r="T49" s="373">
        <v>18</v>
      </c>
      <c r="U49" s="375">
        <v>8</v>
      </c>
      <c r="V49" s="373">
        <v>20</v>
      </c>
      <c r="W49" s="375">
        <v>7</v>
      </c>
      <c r="X49" s="373">
        <v>0</v>
      </c>
      <c r="Y49" s="375">
        <v>7</v>
      </c>
      <c r="Z49" s="373">
        <v>0</v>
      </c>
      <c r="AA49" s="375">
        <f t="shared" si="15"/>
        <v>193</v>
      </c>
      <c r="AB49" s="373">
        <f t="shared" si="15"/>
        <v>99</v>
      </c>
    </row>
    <row r="50" spans="1:28" ht="18.600000000000001" thickBot="1" x14ac:dyDescent="0.4">
      <c r="A50" s="376"/>
      <c r="B50" s="377" t="s">
        <v>1815</v>
      </c>
      <c r="C50" s="378">
        <f t="shared" ref="C50:AB50" si="16">SUM(C46:C49)</f>
        <v>1007</v>
      </c>
      <c r="D50" s="381">
        <f t="shared" si="16"/>
        <v>1789</v>
      </c>
      <c r="E50" s="378">
        <f t="shared" si="16"/>
        <v>2737</v>
      </c>
      <c r="F50" s="381">
        <f t="shared" si="16"/>
        <v>2460</v>
      </c>
      <c r="G50" s="378">
        <f t="shared" si="16"/>
        <v>7302</v>
      </c>
      <c r="H50" s="381">
        <f t="shared" si="16"/>
        <v>0</v>
      </c>
      <c r="I50" s="378">
        <f t="shared" si="16"/>
        <v>10212</v>
      </c>
      <c r="J50" s="381">
        <f t="shared" si="16"/>
        <v>9078</v>
      </c>
      <c r="K50" s="378">
        <f t="shared" si="16"/>
        <v>9284</v>
      </c>
      <c r="L50" s="381">
        <f t="shared" si="16"/>
        <v>8657</v>
      </c>
      <c r="M50" s="378">
        <f t="shared" si="16"/>
        <v>10971</v>
      </c>
      <c r="N50" s="381">
        <f t="shared" si="16"/>
        <v>9210</v>
      </c>
      <c r="O50" s="378">
        <f t="shared" si="16"/>
        <v>10042</v>
      </c>
      <c r="P50" s="381">
        <f t="shared" si="16"/>
        <v>10356</v>
      </c>
      <c r="Q50" s="378">
        <f t="shared" si="16"/>
        <v>10134</v>
      </c>
      <c r="R50" s="381">
        <f t="shared" si="16"/>
        <v>0</v>
      </c>
      <c r="S50" s="378">
        <f t="shared" si="16"/>
        <v>10383</v>
      </c>
      <c r="T50" s="381">
        <f t="shared" si="16"/>
        <v>6217</v>
      </c>
      <c r="U50" s="378">
        <f t="shared" si="16"/>
        <v>6199</v>
      </c>
      <c r="V50" s="381">
        <f t="shared" si="16"/>
        <v>4254</v>
      </c>
      <c r="W50" s="378">
        <f t="shared" si="16"/>
        <v>2908</v>
      </c>
      <c r="X50" s="381">
        <f t="shared" si="16"/>
        <v>520</v>
      </c>
      <c r="Y50" s="378">
        <f t="shared" si="16"/>
        <v>3055</v>
      </c>
      <c r="Z50" s="381">
        <f t="shared" si="16"/>
        <v>1503</v>
      </c>
      <c r="AA50" s="378">
        <f t="shared" si="16"/>
        <v>84234</v>
      </c>
      <c r="AB50" s="381">
        <f t="shared" si="16"/>
        <v>54044</v>
      </c>
    </row>
    <row r="51" spans="1:28" ht="16.2" x14ac:dyDescent="0.35">
      <c r="A51" s="370" t="s">
        <v>2174</v>
      </c>
      <c r="B51" s="371" t="s">
        <v>1256</v>
      </c>
      <c r="C51" s="375">
        <v>2760</v>
      </c>
      <c r="D51" s="373">
        <v>6122</v>
      </c>
      <c r="E51" s="375">
        <v>4380</v>
      </c>
      <c r="F51" s="373">
        <v>7608</v>
      </c>
      <c r="G51" s="375">
        <v>18122</v>
      </c>
      <c r="H51" s="373">
        <v>0</v>
      </c>
      <c r="I51" s="375">
        <v>13326</v>
      </c>
      <c r="J51" s="373">
        <v>18325</v>
      </c>
      <c r="K51" s="375">
        <v>21030</v>
      </c>
      <c r="L51" s="373">
        <v>41084</v>
      </c>
      <c r="M51" s="375">
        <v>24860</v>
      </c>
      <c r="N51" s="373">
        <v>22327</v>
      </c>
      <c r="O51" s="375">
        <v>20090</v>
      </c>
      <c r="P51" s="373">
        <v>13639</v>
      </c>
      <c r="Q51" s="375">
        <v>22765</v>
      </c>
      <c r="R51" s="373">
        <v>0</v>
      </c>
      <c r="S51" s="375">
        <v>17980</v>
      </c>
      <c r="T51" s="373">
        <v>14404</v>
      </c>
      <c r="U51" s="375">
        <v>6400</v>
      </c>
      <c r="V51" s="373">
        <v>10253</v>
      </c>
      <c r="W51" s="375">
        <v>5829</v>
      </c>
      <c r="X51" s="373">
        <v>552</v>
      </c>
      <c r="Y51" s="375">
        <v>3200</v>
      </c>
      <c r="Z51" s="373">
        <v>3769</v>
      </c>
      <c r="AA51" s="375">
        <f t="shared" ref="AA51:AB58" si="17">+C51+E51+G51+I51+K51+M51+O51+Q51+S51+U51+W51+Y51</f>
        <v>160742</v>
      </c>
      <c r="AB51" s="373">
        <f t="shared" si="17"/>
        <v>138083</v>
      </c>
    </row>
    <row r="52" spans="1:28" x14ac:dyDescent="0.3">
      <c r="A52" s="370" t="s">
        <v>2174</v>
      </c>
      <c r="B52" s="371" t="s">
        <v>2361</v>
      </c>
      <c r="C52" s="375">
        <v>100</v>
      </c>
      <c r="D52" s="373">
        <v>147</v>
      </c>
      <c r="E52" s="375">
        <v>80</v>
      </c>
      <c r="F52" s="373">
        <v>205</v>
      </c>
      <c r="G52" s="375">
        <v>1072</v>
      </c>
      <c r="H52" s="373">
        <v>0</v>
      </c>
      <c r="I52" s="375">
        <v>1460</v>
      </c>
      <c r="J52" s="373">
        <v>2552</v>
      </c>
      <c r="K52" s="375">
        <v>2200</v>
      </c>
      <c r="L52" s="373">
        <v>0</v>
      </c>
      <c r="M52" s="375">
        <v>3000</v>
      </c>
      <c r="N52" s="373">
        <v>1911</v>
      </c>
      <c r="O52" s="375">
        <v>3575</v>
      </c>
      <c r="P52" s="373">
        <v>3479</v>
      </c>
      <c r="Q52" s="375">
        <v>2410</v>
      </c>
      <c r="R52" s="373">
        <v>0</v>
      </c>
      <c r="S52" s="375">
        <v>670</v>
      </c>
      <c r="T52" s="373">
        <v>901</v>
      </c>
      <c r="U52" s="375">
        <v>105</v>
      </c>
      <c r="V52" s="373">
        <v>418</v>
      </c>
      <c r="W52" s="375">
        <v>76</v>
      </c>
      <c r="X52" s="373">
        <v>136</v>
      </c>
      <c r="Y52" s="375">
        <v>280</v>
      </c>
      <c r="Z52" s="373">
        <v>1203</v>
      </c>
      <c r="AA52" s="375">
        <f t="shared" si="17"/>
        <v>15028</v>
      </c>
      <c r="AB52" s="373">
        <f t="shared" si="17"/>
        <v>10952</v>
      </c>
    </row>
    <row r="53" spans="1:28" x14ac:dyDescent="0.3">
      <c r="A53" s="370" t="s">
        <v>2174</v>
      </c>
      <c r="B53" s="371" t="s">
        <v>1816</v>
      </c>
      <c r="C53" s="454">
        <v>4240</v>
      </c>
      <c r="D53" s="373">
        <v>3408</v>
      </c>
      <c r="E53" s="375">
        <v>5300</v>
      </c>
      <c r="F53" s="373">
        <v>5687</v>
      </c>
      <c r="G53" s="375">
        <v>11178</v>
      </c>
      <c r="H53" s="373">
        <v>0</v>
      </c>
      <c r="I53" s="375">
        <v>10070</v>
      </c>
      <c r="J53" s="373">
        <v>10108</v>
      </c>
      <c r="K53" s="375">
        <v>10600</v>
      </c>
      <c r="L53" s="373">
        <v>0</v>
      </c>
      <c r="M53" s="375">
        <v>10600</v>
      </c>
      <c r="N53" s="373">
        <v>11507</v>
      </c>
      <c r="O53" s="375">
        <v>10600</v>
      </c>
      <c r="P53" s="373">
        <v>9047</v>
      </c>
      <c r="Q53" s="375">
        <v>9010</v>
      </c>
      <c r="R53" s="373">
        <v>0</v>
      </c>
      <c r="S53" s="375">
        <v>4240</v>
      </c>
      <c r="T53" s="373">
        <v>5825</v>
      </c>
      <c r="U53" s="375">
        <v>3710</v>
      </c>
      <c r="V53" s="373">
        <v>2476</v>
      </c>
      <c r="W53" s="375">
        <v>2120</v>
      </c>
      <c r="X53" s="373">
        <v>845</v>
      </c>
      <c r="Y53" s="375">
        <v>2650</v>
      </c>
      <c r="Z53" s="373">
        <v>2399</v>
      </c>
      <c r="AA53" s="375">
        <f t="shared" si="17"/>
        <v>84318</v>
      </c>
      <c r="AB53" s="373">
        <f t="shared" si="17"/>
        <v>51302</v>
      </c>
    </row>
    <row r="54" spans="1:28" x14ac:dyDescent="0.3">
      <c r="A54" s="370" t="s">
        <v>2174</v>
      </c>
      <c r="B54" s="371" t="s">
        <v>1817</v>
      </c>
      <c r="C54" s="454">
        <v>179</v>
      </c>
      <c r="D54" s="373">
        <v>54</v>
      </c>
      <c r="E54" s="375">
        <v>159</v>
      </c>
      <c r="F54" s="373">
        <v>49</v>
      </c>
      <c r="G54" s="375">
        <v>147</v>
      </c>
      <c r="H54" s="373">
        <v>0</v>
      </c>
      <c r="I54" s="375">
        <v>200</v>
      </c>
      <c r="J54" s="373">
        <v>123</v>
      </c>
      <c r="K54" s="375">
        <v>280</v>
      </c>
      <c r="L54" s="373">
        <v>0</v>
      </c>
      <c r="M54" s="375">
        <v>295</v>
      </c>
      <c r="N54" s="373">
        <v>168</v>
      </c>
      <c r="O54" s="375">
        <v>280</v>
      </c>
      <c r="P54" s="373">
        <v>256</v>
      </c>
      <c r="Q54" s="375">
        <v>265</v>
      </c>
      <c r="R54" s="373">
        <v>0</v>
      </c>
      <c r="S54" s="375">
        <v>262</v>
      </c>
      <c r="T54" s="373">
        <v>183</v>
      </c>
      <c r="U54" s="375">
        <v>303</v>
      </c>
      <c r="V54" s="373">
        <v>211</v>
      </c>
      <c r="W54" s="375">
        <v>204</v>
      </c>
      <c r="X54" s="373">
        <v>106</v>
      </c>
      <c r="Y54" s="375">
        <v>179</v>
      </c>
      <c r="Z54" s="373">
        <v>62</v>
      </c>
      <c r="AA54" s="375">
        <f t="shared" si="17"/>
        <v>2753</v>
      </c>
      <c r="AB54" s="373">
        <f t="shared" si="17"/>
        <v>1212</v>
      </c>
    </row>
    <row r="55" spans="1:28" x14ac:dyDescent="0.3">
      <c r="A55" s="370" t="s">
        <v>2174</v>
      </c>
      <c r="B55" s="371" t="s">
        <v>1818</v>
      </c>
      <c r="C55" s="454">
        <v>0</v>
      </c>
      <c r="D55" s="373">
        <v>0</v>
      </c>
      <c r="E55" s="375">
        <v>0</v>
      </c>
      <c r="F55" s="373">
        <v>0</v>
      </c>
      <c r="G55" s="375">
        <v>0</v>
      </c>
      <c r="H55" s="373">
        <v>0</v>
      </c>
      <c r="I55" s="375">
        <v>0</v>
      </c>
      <c r="J55" s="373">
        <v>0</v>
      </c>
      <c r="K55" s="375">
        <v>0</v>
      </c>
      <c r="L55" s="373">
        <v>0</v>
      </c>
      <c r="M55" s="375">
        <v>391</v>
      </c>
      <c r="N55" s="373">
        <v>391</v>
      </c>
      <c r="O55" s="375">
        <v>0</v>
      </c>
      <c r="P55" s="373">
        <v>0</v>
      </c>
      <c r="Q55" s="375">
        <v>0</v>
      </c>
      <c r="R55" s="373">
        <v>0</v>
      </c>
      <c r="S55" s="375">
        <v>0</v>
      </c>
      <c r="T55" s="373">
        <v>0</v>
      </c>
      <c r="U55" s="375">
        <v>0</v>
      </c>
      <c r="V55" s="373">
        <v>0</v>
      </c>
      <c r="W55" s="375">
        <v>0</v>
      </c>
      <c r="X55" s="373">
        <v>0</v>
      </c>
      <c r="Y55" s="375">
        <v>0</v>
      </c>
      <c r="Z55" s="373">
        <v>0</v>
      </c>
      <c r="AA55" s="375">
        <f t="shared" si="17"/>
        <v>391</v>
      </c>
      <c r="AB55" s="373">
        <f t="shared" si="17"/>
        <v>391</v>
      </c>
    </row>
    <row r="56" spans="1:28" x14ac:dyDescent="0.3">
      <c r="A56" s="370" t="s">
        <v>2174</v>
      </c>
      <c r="B56" s="371" t="s">
        <v>260</v>
      </c>
      <c r="C56" s="454">
        <v>17</v>
      </c>
      <c r="D56" s="373">
        <v>17</v>
      </c>
      <c r="E56" s="375">
        <v>27</v>
      </c>
      <c r="F56" s="373">
        <v>16</v>
      </c>
      <c r="G56" s="375">
        <v>34</v>
      </c>
      <c r="H56" s="373">
        <v>0</v>
      </c>
      <c r="I56" s="375">
        <v>52</v>
      </c>
      <c r="J56" s="373">
        <v>43</v>
      </c>
      <c r="K56" s="375">
        <v>43</v>
      </c>
      <c r="L56" s="373">
        <v>0</v>
      </c>
      <c r="M56" s="375">
        <v>85</v>
      </c>
      <c r="N56" s="373">
        <v>54</v>
      </c>
      <c r="O56" s="375">
        <v>67</v>
      </c>
      <c r="P56" s="373">
        <v>41</v>
      </c>
      <c r="Q56" s="375">
        <v>61</v>
      </c>
      <c r="R56" s="373">
        <v>0</v>
      </c>
      <c r="S56" s="375">
        <v>41</v>
      </c>
      <c r="T56" s="373">
        <v>29</v>
      </c>
      <c r="U56" s="375">
        <v>94</v>
      </c>
      <c r="V56" s="373">
        <v>87</v>
      </c>
      <c r="W56" s="375">
        <v>44</v>
      </c>
      <c r="X56" s="373">
        <v>31</v>
      </c>
      <c r="Y56" s="375">
        <v>64</v>
      </c>
      <c r="Z56" s="373">
        <v>22</v>
      </c>
      <c r="AA56" s="375">
        <f t="shared" si="17"/>
        <v>629</v>
      </c>
      <c r="AB56" s="373">
        <f t="shared" si="17"/>
        <v>340</v>
      </c>
    </row>
    <row r="57" spans="1:28" x14ac:dyDescent="0.3">
      <c r="A57" s="370"/>
      <c r="B57" s="371" t="s">
        <v>1683</v>
      </c>
      <c r="C57" s="454">
        <v>0</v>
      </c>
      <c r="D57" s="373">
        <v>0</v>
      </c>
      <c r="E57" s="375">
        <v>0</v>
      </c>
      <c r="F57" s="373">
        <v>0</v>
      </c>
      <c r="G57" s="375">
        <v>0</v>
      </c>
      <c r="H57" s="373">
        <v>0</v>
      </c>
      <c r="I57" s="375">
        <v>500</v>
      </c>
      <c r="J57" s="373">
        <v>500</v>
      </c>
      <c r="K57" s="375">
        <v>1000</v>
      </c>
      <c r="L57" s="373">
        <v>0</v>
      </c>
      <c r="M57" s="375">
        <v>1000</v>
      </c>
      <c r="N57" s="373">
        <v>0</v>
      </c>
      <c r="O57" s="375">
        <v>1000</v>
      </c>
      <c r="P57" s="373">
        <v>0</v>
      </c>
      <c r="Q57" s="375">
        <v>1000</v>
      </c>
      <c r="R57" s="373">
        <v>0</v>
      </c>
      <c r="S57" s="375">
        <v>1000</v>
      </c>
      <c r="T57" s="373">
        <v>2000</v>
      </c>
      <c r="U57" s="375">
        <v>810</v>
      </c>
      <c r="V57" s="373">
        <v>1000</v>
      </c>
      <c r="W57" s="375">
        <v>0</v>
      </c>
      <c r="X57" s="373">
        <v>810</v>
      </c>
      <c r="Y57" s="375">
        <v>0</v>
      </c>
      <c r="Z57" s="373">
        <v>0</v>
      </c>
      <c r="AA57" s="375">
        <f>+C57+E57+G57+I57+K57+M57+O57+Q57+S57+U57+W57+Y57</f>
        <v>6310</v>
      </c>
      <c r="AB57" s="373">
        <f>+D57+F57+H57+J57+L57+N57+P57+R57+T57+V57+X57+Z57</f>
        <v>4310</v>
      </c>
    </row>
    <row r="58" spans="1:28" x14ac:dyDescent="0.3">
      <c r="A58" s="370" t="s">
        <v>2174</v>
      </c>
      <c r="B58" s="395" t="s">
        <v>261</v>
      </c>
      <c r="C58" s="454">
        <v>1</v>
      </c>
      <c r="D58" s="373">
        <v>0</v>
      </c>
      <c r="E58" s="375">
        <v>1</v>
      </c>
      <c r="F58" s="373">
        <v>0</v>
      </c>
      <c r="G58" s="375">
        <v>1</v>
      </c>
      <c r="H58" s="373">
        <v>0</v>
      </c>
      <c r="I58" s="375">
        <v>1</v>
      </c>
      <c r="J58" s="373">
        <v>1</v>
      </c>
      <c r="K58" s="375">
        <v>0</v>
      </c>
      <c r="L58" s="373">
        <v>0</v>
      </c>
      <c r="M58" s="375">
        <v>0</v>
      </c>
      <c r="N58" s="373">
        <v>1</v>
      </c>
      <c r="O58" s="375">
        <v>0</v>
      </c>
      <c r="P58" s="373">
        <v>0</v>
      </c>
      <c r="Q58" s="375">
        <v>0</v>
      </c>
      <c r="R58" s="373">
        <v>0</v>
      </c>
      <c r="S58" s="375">
        <v>0</v>
      </c>
      <c r="T58" s="373">
        <v>0</v>
      </c>
      <c r="U58" s="375">
        <v>0</v>
      </c>
      <c r="V58" s="373">
        <v>0</v>
      </c>
      <c r="W58" s="375">
        <v>0</v>
      </c>
      <c r="X58" s="373">
        <v>0</v>
      </c>
      <c r="Y58" s="375">
        <v>1</v>
      </c>
      <c r="Z58" s="373">
        <v>0</v>
      </c>
      <c r="AA58" s="375">
        <f t="shared" si="17"/>
        <v>5</v>
      </c>
      <c r="AB58" s="373">
        <f t="shared" si="17"/>
        <v>2</v>
      </c>
    </row>
    <row r="59" spans="1:28" ht="16.2" thickBot="1" x14ac:dyDescent="0.35">
      <c r="A59" s="396" t="s">
        <v>2174</v>
      </c>
      <c r="B59" s="395" t="s">
        <v>1156</v>
      </c>
      <c r="C59" s="454">
        <v>15</v>
      </c>
      <c r="D59" s="373">
        <v>25</v>
      </c>
      <c r="E59" s="375">
        <v>15</v>
      </c>
      <c r="F59" s="373">
        <v>8</v>
      </c>
      <c r="G59" s="375">
        <v>38</v>
      </c>
      <c r="H59" s="373">
        <v>0</v>
      </c>
      <c r="I59" s="375">
        <v>75</v>
      </c>
      <c r="J59" s="373">
        <v>54</v>
      </c>
      <c r="K59" s="375">
        <v>120</v>
      </c>
      <c r="L59" s="373">
        <v>0</v>
      </c>
      <c r="M59" s="375">
        <v>120</v>
      </c>
      <c r="N59" s="373">
        <v>74</v>
      </c>
      <c r="O59" s="375">
        <v>100</v>
      </c>
      <c r="P59" s="373">
        <v>110</v>
      </c>
      <c r="Q59" s="375">
        <v>80</v>
      </c>
      <c r="R59" s="373">
        <v>0</v>
      </c>
      <c r="S59" s="375">
        <v>80</v>
      </c>
      <c r="T59" s="373">
        <v>64</v>
      </c>
      <c r="U59" s="375">
        <v>85</v>
      </c>
      <c r="V59" s="373">
        <v>53</v>
      </c>
      <c r="W59" s="375">
        <v>40</v>
      </c>
      <c r="X59" s="373">
        <v>23</v>
      </c>
      <c r="Y59" s="375">
        <v>20</v>
      </c>
      <c r="Z59" s="373">
        <v>21</v>
      </c>
      <c r="AA59" s="375">
        <f>+C59+E59+G59+I59+K59+M59+O59+Q59+S59+U59+W59+Y59</f>
        <v>788</v>
      </c>
      <c r="AB59" s="373">
        <f>+D59+F59+H59+J59+L59+N59+P59+R59+T59+V59+X59+Z59</f>
        <v>432</v>
      </c>
    </row>
    <row r="60" spans="1:28" ht="18.600000000000001" thickBot="1" x14ac:dyDescent="0.4">
      <c r="A60" s="376"/>
      <c r="B60" s="377" t="s">
        <v>262</v>
      </c>
      <c r="C60" s="378">
        <f t="shared" ref="C60:AB60" si="18">SUM(C51:C59)</f>
        <v>7312</v>
      </c>
      <c r="D60" s="381">
        <f t="shared" si="18"/>
        <v>9773</v>
      </c>
      <c r="E60" s="378">
        <f t="shared" si="18"/>
        <v>9962</v>
      </c>
      <c r="F60" s="381">
        <f t="shared" si="18"/>
        <v>13573</v>
      </c>
      <c r="G60" s="378">
        <f t="shared" si="18"/>
        <v>30592</v>
      </c>
      <c r="H60" s="381">
        <f t="shared" si="18"/>
        <v>0</v>
      </c>
      <c r="I60" s="378">
        <f t="shared" si="18"/>
        <v>25684</v>
      </c>
      <c r="J60" s="381">
        <f t="shared" si="18"/>
        <v>31706</v>
      </c>
      <c r="K60" s="378">
        <f t="shared" si="18"/>
        <v>35273</v>
      </c>
      <c r="L60" s="381">
        <f t="shared" si="18"/>
        <v>41084</v>
      </c>
      <c r="M60" s="378">
        <f t="shared" si="18"/>
        <v>40351</v>
      </c>
      <c r="N60" s="381">
        <f t="shared" si="18"/>
        <v>36433</v>
      </c>
      <c r="O60" s="378">
        <f t="shared" si="18"/>
        <v>35712</v>
      </c>
      <c r="P60" s="381">
        <f t="shared" si="18"/>
        <v>26572</v>
      </c>
      <c r="Q60" s="378">
        <f t="shared" si="18"/>
        <v>35591</v>
      </c>
      <c r="R60" s="381">
        <f t="shared" si="18"/>
        <v>0</v>
      </c>
      <c r="S60" s="378">
        <f t="shared" si="18"/>
        <v>24273</v>
      </c>
      <c r="T60" s="381">
        <f t="shared" si="18"/>
        <v>23406</v>
      </c>
      <c r="U60" s="378">
        <f t="shared" si="18"/>
        <v>11507</v>
      </c>
      <c r="V60" s="381">
        <f t="shared" si="18"/>
        <v>14498</v>
      </c>
      <c r="W60" s="378">
        <f t="shared" si="18"/>
        <v>8313</v>
      </c>
      <c r="X60" s="381">
        <f t="shared" si="18"/>
        <v>2503</v>
      </c>
      <c r="Y60" s="378">
        <f t="shared" si="18"/>
        <v>6394</v>
      </c>
      <c r="Z60" s="381">
        <f t="shared" si="18"/>
        <v>7476</v>
      </c>
      <c r="AA60" s="378">
        <f t="shared" si="18"/>
        <v>270964</v>
      </c>
      <c r="AB60" s="381">
        <f t="shared" si="18"/>
        <v>207024</v>
      </c>
    </row>
    <row r="61" spans="1:28" ht="16.2" thickBot="1" x14ac:dyDescent="0.35">
      <c r="A61" s="397"/>
      <c r="B61" s="398" t="s">
        <v>263</v>
      </c>
      <c r="C61" s="388">
        <f t="shared" ref="C61:AB61" si="19">+C17+C21+C22+C27+C30+C33+C36+C39+C42+C45+C50+C60</f>
        <v>12216</v>
      </c>
      <c r="D61" s="389">
        <f t="shared" si="19"/>
        <v>14477</v>
      </c>
      <c r="E61" s="388">
        <f t="shared" si="19"/>
        <v>17731</v>
      </c>
      <c r="F61" s="389">
        <f t="shared" si="19"/>
        <v>21384</v>
      </c>
      <c r="G61" s="388">
        <f t="shared" si="19"/>
        <v>49271</v>
      </c>
      <c r="H61" s="389">
        <f t="shared" si="19"/>
        <v>0</v>
      </c>
      <c r="I61" s="388">
        <f t="shared" si="19"/>
        <v>51807</v>
      </c>
      <c r="J61" s="389">
        <f t="shared" si="19"/>
        <v>53737</v>
      </c>
      <c r="K61" s="388">
        <f t="shared" si="19"/>
        <v>62334</v>
      </c>
      <c r="L61" s="389">
        <f t="shared" si="19"/>
        <v>66317</v>
      </c>
      <c r="M61" s="388">
        <f t="shared" si="19"/>
        <v>91652</v>
      </c>
      <c r="N61" s="389">
        <f t="shared" si="19"/>
        <v>73743</v>
      </c>
      <c r="O61" s="388">
        <f t="shared" si="19"/>
        <v>83884</v>
      </c>
      <c r="P61" s="389">
        <f t="shared" si="19"/>
        <v>66595</v>
      </c>
      <c r="Q61" s="388">
        <f t="shared" si="19"/>
        <v>77758</v>
      </c>
      <c r="R61" s="389">
        <f t="shared" si="19"/>
        <v>0</v>
      </c>
      <c r="S61" s="388">
        <f t="shared" si="19"/>
        <v>62724</v>
      </c>
      <c r="T61" s="389">
        <f t="shared" si="19"/>
        <v>45803</v>
      </c>
      <c r="U61" s="388">
        <f t="shared" si="19"/>
        <v>38387</v>
      </c>
      <c r="V61" s="389">
        <f t="shared" si="19"/>
        <v>26030</v>
      </c>
      <c r="W61" s="388">
        <f t="shared" si="19"/>
        <v>15411</v>
      </c>
      <c r="X61" s="389">
        <f t="shared" si="19"/>
        <v>5209</v>
      </c>
      <c r="Y61" s="388">
        <f t="shared" si="19"/>
        <v>15843</v>
      </c>
      <c r="Z61" s="389">
        <f t="shared" si="19"/>
        <v>11851</v>
      </c>
      <c r="AA61" s="388">
        <f t="shared" si="19"/>
        <v>579018</v>
      </c>
      <c r="AB61" s="389">
        <f t="shared" si="19"/>
        <v>385146</v>
      </c>
    </row>
    <row r="62" spans="1:28" x14ac:dyDescent="0.3">
      <c r="A62" s="397"/>
      <c r="B62" s="399"/>
      <c r="C62" s="400"/>
      <c r="D62" s="356"/>
      <c r="E62" s="356"/>
      <c r="F62" s="356"/>
      <c r="G62" s="356"/>
      <c r="H62" s="356"/>
      <c r="I62" s="356"/>
      <c r="J62" s="356"/>
      <c r="K62" s="356"/>
      <c r="L62" s="356"/>
      <c r="M62" s="356"/>
      <c r="N62" s="356"/>
      <c r="O62" s="356"/>
      <c r="P62" s="356"/>
      <c r="Q62" s="356"/>
      <c r="R62" s="356"/>
      <c r="S62" s="356"/>
      <c r="T62" s="356"/>
      <c r="U62" s="356"/>
      <c r="V62" s="356"/>
      <c r="W62" s="356"/>
      <c r="X62" s="356"/>
      <c r="Y62" s="356"/>
      <c r="Z62" s="356"/>
      <c r="AA62" s="356"/>
      <c r="AB62" s="356"/>
    </row>
    <row r="63" spans="1:28" ht="16.2" thickBot="1" x14ac:dyDescent="0.35">
      <c r="A63" s="397"/>
      <c r="B63" s="356"/>
      <c r="C63" s="356"/>
      <c r="D63" s="356"/>
      <c r="E63" s="356"/>
      <c r="F63" s="356"/>
      <c r="G63" s="356"/>
      <c r="H63" s="356"/>
      <c r="I63" s="356"/>
      <c r="J63" s="356"/>
      <c r="K63" s="356"/>
      <c r="L63" s="356"/>
      <c r="M63" s="356"/>
      <c r="N63" s="356"/>
      <c r="O63" s="356"/>
      <c r="P63" s="356"/>
      <c r="Q63" s="356"/>
      <c r="R63" s="356"/>
      <c r="S63" s="356"/>
      <c r="T63" s="356"/>
      <c r="U63" s="356"/>
      <c r="V63" s="356"/>
      <c r="W63" s="356"/>
      <c r="X63" s="356"/>
      <c r="Y63" s="356"/>
      <c r="Z63" s="356"/>
      <c r="AA63" s="356"/>
      <c r="AB63" s="356"/>
    </row>
    <row r="64" spans="1:28" ht="18.600000000000001" thickBot="1" x14ac:dyDescent="0.4">
      <c r="A64" s="397"/>
      <c r="B64" s="401" t="s">
        <v>499</v>
      </c>
      <c r="C64" s="849" t="s">
        <v>991</v>
      </c>
      <c r="D64" s="850"/>
      <c r="E64" s="849" t="s">
        <v>992</v>
      </c>
      <c r="F64" s="850"/>
      <c r="G64" s="849" t="s">
        <v>993</v>
      </c>
      <c r="H64" s="850"/>
      <c r="I64" s="849" t="s">
        <v>48</v>
      </c>
      <c r="J64" s="850"/>
      <c r="K64" s="849" t="s">
        <v>2236</v>
      </c>
      <c r="L64" s="850"/>
      <c r="M64" s="849" t="s">
        <v>49</v>
      </c>
      <c r="N64" s="850"/>
      <c r="O64" s="849" t="s">
        <v>50</v>
      </c>
      <c r="P64" s="850"/>
      <c r="Q64" s="849" t="s">
        <v>51</v>
      </c>
      <c r="R64" s="850"/>
      <c r="S64" s="849" t="s">
        <v>2002</v>
      </c>
      <c r="T64" s="850"/>
      <c r="U64" s="849" t="s">
        <v>2003</v>
      </c>
      <c r="V64" s="850"/>
      <c r="W64" s="849" t="s">
        <v>2004</v>
      </c>
      <c r="X64" s="850"/>
      <c r="Y64" s="849" t="s">
        <v>2005</v>
      </c>
      <c r="Z64" s="851"/>
      <c r="AA64" s="849" t="s">
        <v>1510</v>
      </c>
      <c r="AB64" s="850"/>
    </row>
    <row r="65" spans="1:28" ht="18.600000000000001" thickBot="1" x14ac:dyDescent="0.4">
      <c r="A65" s="402" t="s">
        <v>2173</v>
      </c>
      <c r="B65" s="403" t="s">
        <v>2006</v>
      </c>
      <c r="C65" s="367" t="s">
        <v>385</v>
      </c>
      <c r="D65" s="404" t="s">
        <v>386</v>
      </c>
      <c r="E65" s="367" t="s">
        <v>385</v>
      </c>
      <c r="F65" s="368" t="s">
        <v>386</v>
      </c>
      <c r="G65" s="367" t="s">
        <v>385</v>
      </c>
      <c r="H65" s="368" t="s">
        <v>386</v>
      </c>
      <c r="I65" s="367" t="s">
        <v>385</v>
      </c>
      <c r="J65" s="368" t="s">
        <v>386</v>
      </c>
      <c r="K65" s="367" t="s">
        <v>385</v>
      </c>
      <c r="L65" s="368" t="s">
        <v>386</v>
      </c>
      <c r="M65" s="367" t="s">
        <v>385</v>
      </c>
      <c r="N65" s="368" t="s">
        <v>386</v>
      </c>
      <c r="O65" s="367" t="s">
        <v>385</v>
      </c>
      <c r="P65" s="368" t="s">
        <v>386</v>
      </c>
      <c r="Q65" s="367" t="s">
        <v>385</v>
      </c>
      <c r="R65" s="368" t="s">
        <v>386</v>
      </c>
      <c r="S65" s="367" t="s">
        <v>385</v>
      </c>
      <c r="T65" s="368" t="s">
        <v>386</v>
      </c>
      <c r="U65" s="367" t="s">
        <v>385</v>
      </c>
      <c r="V65" s="368" t="s">
        <v>386</v>
      </c>
      <c r="W65" s="367" t="s">
        <v>385</v>
      </c>
      <c r="X65" s="368" t="s">
        <v>386</v>
      </c>
      <c r="Y65" s="367" t="s">
        <v>385</v>
      </c>
      <c r="Z65" s="368" t="s">
        <v>386</v>
      </c>
      <c r="AA65" s="367" t="s">
        <v>385</v>
      </c>
      <c r="AB65" s="367" t="s">
        <v>386</v>
      </c>
    </row>
    <row r="66" spans="1:28" x14ac:dyDescent="0.3">
      <c r="A66" s="405" t="s">
        <v>500</v>
      </c>
      <c r="B66" s="406" t="s">
        <v>19</v>
      </c>
      <c r="C66" s="407">
        <v>1375</v>
      </c>
      <c r="D66" s="408">
        <v>795</v>
      </c>
      <c r="E66" s="407">
        <v>1420</v>
      </c>
      <c r="F66" s="408">
        <v>1114</v>
      </c>
      <c r="G66" s="407">
        <v>8686</v>
      </c>
      <c r="H66" s="408">
        <v>0</v>
      </c>
      <c r="I66" s="407">
        <v>10220</v>
      </c>
      <c r="J66" s="408">
        <v>12488</v>
      </c>
      <c r="K66" s="407">
        <v>13014</v>
      </c>
      <c r="L66" s="408">
        <v>6618</v>
      </c>
      <c r="M66" s="407">
        <v>12000</v>
      </c>
      <c r="N66" s="408">
        <v>15628</v>
      </c>
      <c r="O66" s="407">
        <v>18975</v>
      </c>
      <c r="P66" s="408">
        <v>17891</v>
      </c>
      <c r="Q66" s="407">
        <v>15911</v>
      </c>
      <c r="R66" s="408">
        <v>0</v>
      </c>
      <c r="S66" s="407">
        <v>7149</v>
      </c>
      <c r="T66" s="408">
        <v>4371</v>
      </c>
      <c r="U66" s="407">
        <v>2170</v>
      </c>
      <c r="V66" s="408">
        <v>2080</v>
      </c>
      <c r="W66" s="407">
        <v>928</v>
      </c>
      <c r="X66" s="408">
        <v>0</v>
      </c>
      <c r="Y66" s="407">
        <v>3400</v>
      </c>
      <c r="Z66" s="408">
        <v>748</v>
      </c>
      <c r="AA66" s="375">
        <f t="shared" ref="AA66:AB69" si="20">+C66+E66+G66+I66+K66+M66+O66+Q66+S66+U66+W66+Y66</f>
        <v>95248</v>
      </c>
      <c r="AB66" s="373">
        <f t="shared" si="20"/>
        <v>61733</v>
      </c>
    </row>
    <row r="67" spans="1:28" x14ac:dyDescent="0.3">
      <c r="A67" s="409" t="s">
        <v>500</v>
      </c>
      <c r="B67" s="410" t="s">
        <v>260</v>
      </c>
      <c r="C67" s="372">
        <v>0</v>
      </c>
      <c r="D67" s="373">
        <v>0</v>
      </c>
      <c r="E67" s="372">
        <v>0</v>
      </c>
      <c r="F67" s="373">
        <v>0</v>
      </c>
      <c r="G67" s="372">
        <v>1</v>
      </c>
      <c r="H67" s="373">
        <v>0</v>
      </c>
      <c r="I67" s="372">
        <v>0</v>
      </c>
      <c r="J67" s="373">
        <v>6</v>
      </c>
      <c r="K67" s="372">
        <v>0</v>
      </c>
      <c r="L67" s="373">
        <v>1581</v>
      </c>
      <c r="M67" s="372">
        <v>0</v>
      </c>
      <c r="N67" s="373">
        <v>3</v>
      </c>
      <c r="O67" s="372">
        <v>0</v>
      </c>
      <c r="P67" s="373">
        <v>9</v>
      </c>
      <c r="Q67" s="372">
        <v>0</v>
      </c>
      <c r="R67" s="373">
        <v>0</v>
      </c>
      <c r="S67" s="372">
        <v>0</v>
      </c>
      <c r="T67" s="373">
        <v>2</v>
      </c>
      <c r="U67" s="372">
        <v>0</v>
      </c>
      <c r="V67" s="373">
        <v>3</v>
      </c>
      <c r="W67" s="372">
        <v>0</v>
      </c>
      <c r="X67" s="373">
        <v>0</v>
      </c>
      <c r="Y67" s="372">
        <v>0</v>
      </c>
      <c r="Z67" s="373">
        <v>0</v>
      </c>
      <c r="AA67" s="375">
        <f t="shared" si="20"/>
        <v>1</v>
      </c>
      <c r="AB67" s="373">
        <f t="shared" si="20"/>
        <v>1604</v>
      </c>
    </row>
    <row r="68" spans="1:28" x14ac:dyDescent="0.3">
      <c r="A68" s="409" t="s">
        <v>500</v>
      </c>
      <c r="B68" s="410" t="s">
        <v>1157</v>
      </c>
      <c r="C68" s="372">
        <v>0</v>
      </c>
      <c r="D68" s="373">
        <v>0</v>
      </c>
      <c r="E68" s="372">
        <v>0</v>
      </c>
      <c r="F68" s="373">
        <v>0</v>
      </c>
      <c r="G68" s="372">
        <v>0</v>
      </c>
      <c r="H68" s="373">
        <v>0</v>
      </c>
      <c r="I68" s="372">
        <v>0</v>
      </c>
      <c r="J68" s="373">
        <v>0</v>
      </c>
      <c r="K68" s="372">
        <v>2048</v>
      </c>
      <c r="L68" s="373">
        <v>2048</v>
      </c>
      <c r="M68" s="372">
        <v>0</v>
      </c>
      <c r="N68" s="373">
        <v>0</v>
      </c>
      <c r="O68" s="372">
        <v>0</v>
      </c>
      <c r="P68" s="373">
        <v>0</v>
      </c>
      <c r="Q68" s="372">
        <v>0</v>
      </c>
      <c r="R68" s="373">
        <v>0</v>
      </c>
      <c r="S68" s="372">
        <v>0</v>
      </c>
      <c r="T68" s="373">
        <v>0</v>
      </c>
      <c r="U68" s="372">
        <v>0</v>
      </c>
      <c r="V68" s="373">
        <v>0</v>
      </c>
      <c r="W68" s="372">
        <v>0</v>
      </c>
      <c r="X68" s="373">
        <v>0</v>
      </c>
      <c r="Y68" s="372">
        <v>0</v>
      </c>
      <c r="Z68" s="373">
        <v>0</v>
      </c>
      <c r="AA68" s="375">
        <f t="shared" si="20"/>
        <v>2048</v>
      </c>
      <c r="AB68" s="373">
        <f t="shared" si="20"/>
        <v>2048</v>
      </c>
    </row>
    <row r="69" spans="1:28" ht="16.2" thickBot="1" x14ac:dyDescent="0.35">
      <c r="A69" s="411" t="s">
        <v>500</v>
      </c>
      <c r="B69" s="412" t="s">
        <v>501</v>
      </c>
      <c r="C69" s="372">
        <v>0</v>
      </c>
      <c r="D69" s="373">
        <v>0</v>
      </c>
      <c r="E69" s="372">
        <v>0</v>
      </c>
      <c r="F69" s="373">
        <v>0</v>
      </c>
      <c r="G69" s="372">
        <v>0</v>
      </c>
      <c r="H69" s="373">
        <v>0</v>
      </c>
      <c r="I69" s="372">
        <v>4</v>
      </c>
      <c r="J69" s="373">
        <v>0</v>
      </c>
      <c r="K69" s="372">
        <v>5</v>
      </c>
      <c r="L69" s="373">
        <v>1</v>
      </c>
      <c r="M69" s="372">
        <v>8</v>
      </c>
      <c r="N69" s="373">
        <v>3</v>
      </c>
      <c r="O69" s="372">
        <v>8</v>
      </c>
      <c r="P69" s="373">
        <v>6</v>
      </c>
      <c r="Q69" s="372">
        <v>5</v>
      </c>
      <c r="R69" s="373">
        <v>0</v>
      </c>
      <c r="S69" s="372">
        <v>4</v>
      </c>
      <c r="T69" s="373">
        <v>0</v>
      </c>
      <c r="U69" s="372">
        <v>0</v>
      </c>
      <c r="V69" s="373">
        <v>0</v>
      </c>
      <c r="W69" s="372">
        <v>0</v>
      </c>
      <c r="X69" s="373">
        <v>0</v>
      </c>
      <c r="Y69" s="372">
        <v>0</v>
      </c>
      <c r="Z69" s="373">
        <v>0</v>
      </c>
      <c r="AA69" s="375">
        <f t="shared" si="20"/>
        <v>34</v>
      </c>
      <c r="AB69" s="373">
        <f t="shared" si="20"/>
        <v>10</v>
      </c>
    </row>
    <row r="70" spans="1:28" ht="18.600000000000001" thickBot="1" x14ac:dyDescent="0.4">
      <c r="A70" s="376"/>
      <c r="B70" s="377" t="s">
        <v>502</v>
      </c>
      <c r="C70" s="384">
        <f t="shared" ref="C70:AB70" si="21">SUM(C66:C69)</f>
        <v>1375</v>
      </c>
      <c r="D70" s="385">
        <f t="shared" si="21"/>
        <v>795</v>
      </c>
      <c r="E70" s="384">
        <f t="shared" si="21"/>
        <v>1420</v>
      </c>
      <c r="F70" s="413">
        <f t="shared" si="21"/>
        <v>1114</v>
      </c>
      <c r="G70" s="384">
        <f t="shared" si="21"/>
        <v>8687</v>
      </c>
      <c r="H70" s="413">
        <f t="shared" si="21"/>
        <v>0</v>
      </c>
      <c r="I70" s="384">
        <f t="shared" si="21"/>
        <v>10224</v>
      </c>
      <c r="J70" s="413">
        <f t="shared" si="21"/>
        <v>12494</v>
      </c>
      <c r="K70" s="384">
        <f t="shared" si="21"/>
        <v>15067</v>
      </c>
      <c r="L70" s="413">
        <f t="shared" si="21"/>
        <v>10248</v>
      </c>
      <c r="M70" s="384">
        <f t="shared" si="21"/>
        <v>12008</v>
      </c>
      <c r="N70" s="413">
        <f t="shared" si="21"/>
        <v>15634</v>
      </c>
      <c r="O70" s="384">
        <f t="shared" si="21"/>
        <v>18983</v>
      </c>
      <c r="P70" s="413">
        <f t="shared" si="21"/>
        <v>17906</v>
      </c>
      <c r="Q70" s="384">
        <f t="shared" si="21"/>
        <v>15916</v>
      </c>
      <c r="R70" s="413">
        <f t="shared" si="21"/>
        <v>0</v>
      </c>
      <c r="S70" s="384">
        <f t="shared" si="21"/>
        <v>7153</v>
      </c>
      <c r="T70" s="413">
        <f t="shared" si="21"/>
        <v>4373</v>
      </c>
      <c r="U70" s="384">
        <f t="shared" si="21"/>
        <v>2170</v>
      </c>
      <c r="V70" s="413">
        <f t="shared" si="21"/>
        <v>2083</v>
      </c>
      <c r="W70" s="384">
        <f t="shared" si="21"/>
        <v>928</v>
      </c>
      <c r="X70" s="413">
        <f t="shared" si="21"/>
        <v>0</v>
      </c>
      <c r="Y70" s="384">
        <f t="shared" si="21"/>
        <v>3400</v>
      </c>
      <c r="Z70" s="413">
        <f t="shared" si="21"/>
        <v>748</v>
      </c>
      <c r="AA70" s="378">
        <f t="shared" si="21"/>
        <v>97331</v>
      </c>
      <c r="AB70" s="381">
        <f t="shared" si="21"/>
        <v>65395</v>
      </c>
    </row>
    <row r="71" spans="1:28" ht="16.2" thickBot="1" x14ac:dyDescent="0.35">
      <c r="A71" s="397"/>
      <c r="B71" s="414" t="s">
        <v>503</v>
      </c>
      <c r="C71" s="388">
        <f t="shared" ref="C71:AB71" si="22">SUM(C66:C69)</f>
        <v>1375</v>
      </c>
      <c r="D71" s="389">
        <f t="shared" si="22"/>
        <v>795</v>
      </c>
      <c r="E71" s="388">
        <f t="shared" si="22"/>
        <v>1420</v>
      </c>
      <c r="F71" s="415">
        <f t="shared" si="22"/>
        <v>1114</v>
      </c>
      <c r="G71" s="388">
        <f t="shared" si="22"/>
        <v>8687</v>
      </c>
      <c r="H71" s="389">
        <f t="shared" si="22"/>
        <v>0</v>
      </c>
      <c r="I71" s="388">
        <f t="shared" si="22"/>
        <v>10224</v>
      </c>
      <c r="J71" s="415">
        <f t="shared" si="22"/>
        <v>12494</v>
      </c>
      <c r="K71" s="388">
        <f t="shared" si="22"/>
        <v>15067</v>
      </c>
      <c r="L71" s="415">
        <f t="shared" si="22"/>
        <v>10248</v>
      </c>
      <c r="M71" s="388">
        <f t="shared" si="22"/>
        <v>12008</v>
      </c>
      <c r="N71" s="415">
        <f t="shared" si="22"/>
        <v>15634</v>
      </c>
      <c r="O71" s="388">
        <f t="shared" si="22"/>
        <v>18983</v>
      </c>
      <c r="P71" s="415">
        <f t="shared" si="22"/>
        <v>17906</v>
      </c>
      <c r="Q71" s="388">
        <f t="shared" si="22"/>
        <v>15916</v>
      </c>
      <c r="R71" s="415">
        <f t="shared" si="22"/>
        <v>0</v>
      </c>
      <c r="S71" s="388">
        <f t="shared" si="22"/>
        <v>7153</v>
      </c>
      <c r="T71" s="415">
        <f t="shared" si="22"/>
        <v>4373</v>
      </c>
      <c r="U71" s="388">
        <f t="shared" si="22"/>
        <v>2170</v>
      </c>
      <c r="V71" s="415">
        <f t="shared" si="22"/>
        <v>2083</v>
      </c>
      <c r="W71" s="388">
        <f t="shared" si="22"/>
        <v>928</v>
      </c>
      <c r="X71" s="415">
        <f t="shared" si="22"/>
        <v>0</v>
      </c>
      <c r="Y71" s="388">
        <f t="shared" si="22"/>
        <v>3400</v>
      </c>
      <c r="Z71" s="416">
        <f t="shared" si="22"/>
        <v>748</v>
      </c>
      <c r="AA71" s="388">
        <f t="shared" si="22"/>
        <v>97331</v>
      </c>
      <c r="AB71" s="389">
        <f t="shared" si="22"/>
        <v>65395</v>
      </c>
    </row>
    <row r="72" spans="1:28" x14ac:dyDescent="0.3">
      <c r="A72" s="397"/>
      <c r="B72" s="417"/>
      <c r="C72" s="417"/>
      <c r="D72" s="356"/>
      <c r="E72" s="356"/>
      <c r="F72" s="356"/>
      <c r="G72" s="356"/>
      <c r="H72" s="356"/>
      <c r="I72" s="356"/>
      <c r="J72" s="356"/>
      <c r="K72" s="356"/>
      <c r="L72" s="356"/>
      <c r="M72" s="356"/>
      <c r="N72" s="356"/>
      <c r="O72" s="356"/>
      <c r="P72" s="356"/>
      <c r="Q72" s="356"/>
      <c r="R72" s="356"/>
      <c r="S72" s="356"/>
      <c r="T72" s="356"/>
      <c r="U72" s="356"/>
      <c r="V72" s="356"/>
      <c r="W72" s="356"/>
      <c r="X72" s="356"/>
      <c r="Y72" s="356"/>
      <c r="Z72" s="356"/>
      <c r="AA72" s="356"/>
      <c r="AB72" s="356"/>
    </row>
    <row r="73" spans="1:28" ht="16.2" thickBot="1" x14ac:dyDescent="0.35">
      <c r="A73" s="397"/>
      <c r="B73" s="417"/>
      <c r="C73" s="417"/>
      <c r="D73" s="356"/>
      <c r="E73" s="356"/>
      <c r="F73" s="356"/>
      <c r="G73" s="356"/>
      <c r="H73" s="356"/>
      <c r="I73" s="356"/>
      <c r="J73" s="356"/>
      <c r="K73" s="356"/>
      <c r="L73" s="356"/>
      <c r="M73" s="356"/>
      <c r="N73" s="356"/>
      <c r="O73" s="356"/>
      <c r="P73" s="356"/>
      <c r="Q73" s="356"/>
      <c r="R73" s="356"/>
      <c r="S73" s="356"/>
      <c r="T73" s="356"/>
      <c r="U73" s="356"/>
      <c r="V73" s="356"/>
      <c r="W73" s="356"/>
      <c r="X73" s="356"/>
      <c r="Y73" s="356"/>
      <c r="Z73" s="356"/>
      <c r="AA73" s="356"/>
      <c r="AB73" s="356"/>
    </row>
    <row r="74" spans="1:28" ht="18.600000000000001" thickBot="1" x14ac:dyDescent="0.4">
      <c r="A74" s="397"/>
      <c r="B74" s="418" t="s">
        <v>504</v>
      </c>
      <c r="C74" s="849" t="s">
        <v>991</v>
      </c>
      <c r="D74" s="850"/>
      <c r="E74" s="849" t="s">
        <v>992</v>
      </c>
      <c r="F74" s="850"/>
      <c r="G74" s="849" t="s">
        <v>993</v>
      </c>
      <c r="H74" s="850"/>
      <c r="I74" s="849" t="s">
        <v>48</v>
      </c>
      <c r="J74" s="850"/>
      <c r="K74" s="849" t="s">
        <v>2236</v>
      </c>
      <c r="L74" s="850"/>
      <c r="M74" s="851" t="s">
        <v>49</v>
      </c>
      <c r="N74" s="850"/>
      <c r="O74" s="849" t="s">
        <v>50</v>
      </c>
      <c r="P74" s="850"/>
      <c r="Q74" s="849" t="s">
        <v>51</v>
      </c>
      <c r="R74" s="850"/>
      <c r="S74" s="849" t="s">
        <v>2002</v>
      </c>
      <c r="T74" s="850"/>
      <c r="U74" s="849" t="s">
        <v>2003</v>
      </c>
      <c r="V74" s="850"/>
      <c r="W74" s="849" t="s">
        <v>2004</v>
      </c>
      <c r="X74" s="850"/>
      <c r="Y74" s="849" t="s">
        <v>2005</v>
      </c>
      <c r="Z74" s="851"/>
      <c r="AA74" s="852" t="s">
        <v>1510</v>
      </c>
      <c r="AB74" s="853"/>
    </row>
    <row r="75" spans="1:28" ht="18.600000000000001" thickBot="1" x14ac:dyDescent="0.4">
      <c r="A75" s="402" t="s">
        <v>2173</v>
      </c>
      <c r="B75" s="403" t="s">
        <v>2006</v>
      </c>
      <c r="C75" s="367" t="s">
        <v>385</v>
      </c>
      <c r="D75" s="368" t="s">
        <v>386</v>
      </c>
      <c r="E75" s="367" t="s">
        <v>385</v>
      </c>
      <c r="F75" s="368" t="s">
        <v>386</v>
      </c>
      <c r="G75" s="367" t="s">
        <v>385</v>
      </c>
      <c r="H75" s="368" t="s">
        <v>386</v>
      </c>
      <c r="I75" s="367" t="s">
        <v>385</v>
      </c>
      <c r="J75" s="368" t="s">
        <v>386</v>
      </c>
      <c r="K75" s="367" t="s">
        <v>385</v>
      </c>
      <c r="L75" s="368" t="s">
        <v>386</v>
      </c>
      <c r="M75" s="404" t="s">
        <v>385</v>
      </c>
      <c r="N75" s="368" t="s">
        <v>386</v>
      </c>
      <c r="O75" s="367" t="s">
        <v>385</v>
      </c>
      <c r="P75" s="368" t="s">
        <v>386</v>
      </c>
      <c r="Q75" s="367" t="s">
        <v>385</v>
      </c>
      <c r="R75" s="368" t="s">
        <v>386</v>
      </c>
      <c r="S75" s="367" t="s">
        <v>385</v>
      </c>
      <c r="T75" s="368" t="s">
        <v>386</v>
      </c>
      <c r="U75" s="367" t="s">
        <v>385</v>
      </c>
      <c r="V75" s="368" t="s">
        <v>386</v>
      </c>
      <c r="W75" s="367" t="s">
        <v>385</v>
      </c>
      <c r="X75" s="368" t="s">
        <v>386</v>
      </c>
      <c r="Y75" s="367" t="s">
        <v>385</v>
      </c>
      <c r="Z75" s="368" t="s">
        <v>386</v>
      </c>
      <c r="AA75" s="367" t="s">
        <v>385</v>
      </c>
      <c r="AB75" s="404" t="s">
        <v>386</v>
      </c>
    </row>
    <row r="76" spans="1:28" ht="16.2" thickBot="1" x14ac:dyDescent="0.35">
      <c r="A76" s="405" t="s">
        <v>505</v>
      </c>
      <c r="B76" s="406" t="s">
        <v>18</v>
      </c>
      <c r="C76" s="372">
        <v>1025</v>
      </c>
      <c r="D76" s="392">
        <v>1344</v>
      </c>
      <c r="E76" s="375">
        <v>500</v>
      </c>
      <c r="F76" s="373">
        <v>1155</v>
      </c>
      <c r="G76" s="375">
        <v>4204</v>
      </c>
      <c r="H76" s="373">
        <v>0</v>
      </c>
      <c r="I76" s="375">
        <v>2920</v>
      </c>
      <c r="J76" s="373">
        <v>5365</v>
      </c>
      <c r="K76" s="375">
        <v>3116</v>
      </c>
      <c r="L76" s="373">
        <v>3240</v>
      </c>
      <c r="M76" s="419">
        <v>5000</v>
      </c>
      <c r="N76" s="408">
        <v>5397</v>
      </c>
      <c r="O76" s="419">
        <v>4950</v>
      </c>
      <c r="P76" s="408">
        <v>6342</v>
      </c>
      <c r="Q76" s="419">
        <v>4678</v>
      </c>
      <c r="R76" s="408">
        <v>0</v>
      </c>
      <c r="S76" s="419">
        <v>3351</v>
      </c>
      <c r="T76" s="408">
        <v>2943</v>
      </c>
      <c r="U76" s="419">
        <v>1225</v>
      </c>
      <c r="V76" s="408">
        <v>1084</v>
      </c>
      <c r="W76" s="419">
        <v>87</v>
      </c>
      <c r="X76" s="408">
        <v>166</v>
      </c>
      <c r="Y76" s="419">
        <v>320</v>
      </c>
      <c r="Z76" s="408">
        <v>156</v>
      </c>
      <c r="AA76" s="375">
        <f>+C76+E76+G76+I76+K76+M76+O76+Q76+S76+U76+W76+Y76</f>
        <v>31376</v>
      </c>
      <c r="AB76" s="373">
        <f>+D76+F76+H76+J76+L76+N76+P76+R76+T76+V76+X76+Z76</f>
        <v>27192</v>
      </c>
    </row>
    <row r="77" spans="1:28" ht="18.600000000000001" thickBot="1" x14ac:dyDescent="0.4">
      <c r="A77" s="420"/>
      <c r="B77" s="378" t="s">
        <v>506</v>
      </c>
      <c r="C77" s="378">
        <f t="shared" ref="C77:Z77" si="23">C76</f>
        <v>1025</v>
      </c>
      <c r="D77" s="381">
        <f t="shared" si="23"/>
        <v>1344</v>
      </c>
      <c r="E77" s="378">
        <f t="shared" si="23"/>
        <v>500</v>
      </c>
      <c r="F77" s="381">
        <f t="shared" si="23"/>
        <v>1155</v>
      </c>
      <c r="G77" s="378">
        <f t="shared" si="23"/>
        <v>4204</v>
      </c>
      <c r="H77" s="381">
        <f t="shared" si="23"/>
        <v>0</v>
      </c>
      <c r="I77" s="378">
        <f t="shared" si="23"/>
        <v>2920</v>
      </c>
      <c r="J77" s="381">
        <f t="shared" si="23"/>
        <v>5365</v>
      </c>
      <c r="K77" s="378">
        <f t="shared" si="23"/>
        <v>3116</v>
      </c>
      <c r="L77" s="381">
        <f t="shared" si="23"/>
        <v>3240</v>
      </c>
      <c r="M77" s="378">
        <f t="shared" si="23"/>
        <v>5000</v>
      </c>
      <c r="N77" s="381">
        <f t="shared" si="23"/>
        <v>5397</v>
      </c>
      <c r="O77" s="378">
        <f t="shared" si="23"/>
        <v>4950</v>
      </c>
      <c r="P77" s="381">
        <f t="shared" si="23"/>
        <v>6342</v>
      </c>
      <c r="Q77" s="378">
        <f t="shared" si="23"/>
        <v>4678</v>
      </c>
      <c r="R77" s="381">
        <f t="shared" si="23"/>
        <v>0</v>
      </c>
      <c r="S77" s="378">
        <f t="shared" si="23"/>
        <v>3351</v>
      </c>
      <c r="T77" s="381">
        <f t="shared" si="23"/>
        <v>2943</v>
      </c>
      <c r="U77" s="378">
        <f t="shared" si="23"/>
        <v>1225</v>
      </c>
      <c r="V77" s="381">
        <f t="shared" si="23"/>
        <v>1084</v>
      </c>
      <c r="W77" s="378">
        <f t="shared" si="23"/>
        <v>87</v>
      </c>
      <c r="X77" s="381">
        <f t="shared" si="23"/>
        <v>166</v>
      </c>
      <c r="Y77" s="378">
        <f t="shared" si="23"/>
        <v>320</v>
      </c>
      <c r="Z77" s="381">
        <f t="shared" si="23"/>
        <v>156</v>
      </c>
      <c r="AA77" s="378">
        <f>+AA76</f>
        <v>31376</v>
      </c>
      <c r="AB77" s="381">
        <f>+AB76</f>
        <v>27192</v>
      </c>
    </row>
    <row r="78" spans="1:28" ht="16.2" thickBot="1" x14ac:dyDescent="0.35">
      <c r="A78" s="421" t="s">
        <v>507</v>
      </c>
      <c r="B78" s="422" t="s">
        <v>508</v>
      </c>
      <c r="C78" s="382">
        <v>500</v>
      </c>
      <c r="D78" s="373">
        <v>181</v>
      </c>
      <c r="E78" s="375">
        <v>500</v>
      </c>
      <c r="F78" s="373">
        <v>666</v>
      </c>
      <c r="G78" s="375">
        <v>1206</v>
      </c>
      <c r="H78" s="373">
        <v>1206</v>
      </c>
      <c r="I78" s="375">
        <v>619</v>
      </c>
      <c r="J78" s="373">
        <v>1122</v>
      </c>
      <c r="K78" s="375">
        <v>1619</v>
      </c>
      <c r="L78" s="373">
        <v>1449</v>
      </c>
      <c r="M78" s="375">
        <v>1619</v>
      </c>
      <c r="N78" s="373">
        <v>1271</v>
      </c>
      <c r="O78" s="375">
        <v>1000</v>
      </c>
      <c r="P78" s="373">
        <v>1343</v>
      </c>
      <c r="Q78" s="375">
        <v>1000</v>
      </c>
      <c r="R78" s="373">
        <v>1406</v>
      </c>
      <c r="S78" s="375">
        <v>500</v>
      </c>
      <c r="T78" s="373">
        <v>1539</v>
      </c>
      <c r="U78" s="375">
        <v>500</v>
      </c>
      <c r="V78" s="373">
        <v>0</v>
      </c>
      <c r="W78" s="375">
        <v>0</v>
      </c>
      <c r="X78" s="373">
        <v>46</v>
      </c>
      <c r="Y78" s="375">
        <v>0</v>
      </c>
      <c r="Z78" s="373">
        <v>0</v>
      </c>
      <c r="AA78" s="375">
        <f>+C78+E78+G78+I78+K78+M78+O78+Q78+S78+U78+W78+Y78</f>
        <v>9063</v>
      </c>
      <c r="AB78" s="373">
        <f>+D78+F78+H78+J78+L78+N78+P78+R78+T78+V78+X78+Z78</f>
        <v>10229</v>
      </c>
    </row>
    <row r="79" spans="1:28" ht="16.2" thickBot="1" x14ac:dyDescent="0.35">
      <c r="A79" s="397"/>
      <c r="B79" s="423" t="s">
        <v>509</v>
      </c>
      <c r="C79" s="424">
        <f t="shared" ref="C79:AB79" si="24">+C77+C78</f>
        <v>1525</v>
      </c>
      <c r="D79" s="425">
        <f t="shared" si="24"/>
        <v>1525</v>
      </c>
      <c r="E79" s="424">
        <f t="shared" si="24"/>
        <v>1000</v>
      </c>
      <c r="F79" s="425">
        <f t="shared" si="24"/>
        <v>1821</v>
      </c>
      <c r="G79" s="424">
        <f t="shared" si="24"/>
        <v>5410</v>
      </c>
      <c r="H79" s="425">
        <f t="shared" si="24"/>
        <v>1206</v>
      </c>
      <c r="I79" s="424">
        <f t="shared" si="24"/>
        <v>3539</v>
      </c>
      <c r="J79" s="425">
        <f t="shared" si="24"/>
        <v>6487</v>
      </c>
      <c r="K79" s="424">
        <f t="shared" si="24"/>
        <v>4735</v>
      </c>
      <c r="L79" s="425">
        <f t="shared" si="24"/>
        <v>4689</v>
      </c>
      <c r="M79" s="424">
        <f t="shared" si="24"/>
        <v>6619</v>
      </c>
      <c r="N79" s="425">
        <f t="shared" si="24"/>
        <v>6668</v>
      </c>
      <c r="O79" s="424">
        <f t="shared" si="24"/>
        <v>5950</v>
      </c>
      <c r="P79" s="425">
        <f t="shared" si="24"/>
        <v>7685</v>
      </c>
      <c r="Q79" s="424">
        <f t="shared" si="24"/>
        <v>5678</v>
      </c>
      <c r="R79" s="425">
        <f t="shared" si="24"/>
        <v>1406</v>
      </c>
      <c r="S79" s="424">
        <f t="shared" si="24"/>
        <v>3851</v>
      </c>
      <c r="T79" s="425">
        <f t="shared" si="24"/>
        <v>4482</v>
      </c>
      <c r="U79" s="424">
        <f t="shared" si="24"/>
        <v>1725</v>
      </c>
      <c r="V79" s="425">
        <f t="shared" si="24"/>
        <v>1084</v>
      </c>
      <c r="W79" s="424">
        <f t="shared" si="24"/>
        <v>87</v>
      </c>
      <c r="X79" s="425">
        <f t="shared" si="24"/>
        <v>212</v>
      </c>
      <c r="Y79" s="424">
        <f t="shared" si="24"/>
        <v>320</v>
      </c>
      <c r="Z79" s="425">
        <f t="shared" si="24"/>
        <v>156</v>
      </c>
      <c r="AA79" s="424">
        <f t="shared" si="24"/>
        <v>40439</v>
      </c>
      <c r="AB79" s="425">
        <f t="shared" si="24"/>
        <v>37421</v>
      </c>
    </row>
    <row r="80" spans="1:28" x14ac:dyDescent="0.3">
      <c r="A80" s="397"/>
      <c r="B80" s="400"/>
      <c r="C80" s="400"/>
      <c r="D80" s="356"/>
      <c r="E80" s="356"/>
      <c r="F80" s="356"/>
      <c r="G80" s="356"/>
      <c r="H80" s="356"/>
      <c r="I80" s="356"/>
      <c r="J80" s="356"/>
      <c r="K80" s="356"/>
      <c r="L80" s="356"/>
      <c r="M80" s="356"/>
      <c r="N80" s="356"/>
      <c r="O80" s="356"/>
      <c r="P80" s="356"/>
      <c r="Q80" s="356"/>
      <c r="R80" s="356"/>
      <c r="S80" s="356"/>
      <c r="T80" s="356"/>
      <c r="U80" s="356"/>
      <c r="V80" s="356"/>
      <c r="W80" s="356"/>
      <c r="X80" s="356"/>
      <c r="Y80" s="356"/>
      <c r="Z80" s="356"/>
      <c r="AA80" s="400"/>
      <c r="AB80" s="400"/>
    </row>
    <row r="81" spans="1:28" ht="16.2" thickBot="1" x14ac:dyDescent="0.35">
      <c r="A81" s="356"/>
      <c r="B81" s="356"/>
      <c r="C81" s="356"/>
      <c r="D81" s="356"/>
      <c r="E81" s="356"/>
      <c r="F81" s="356"/>
      <c r="G81" s="356"/>
      <c r="H81" s="356"/>
      <c r="I81" s="356"/>
      <c r="J81" s="356"/>
      <c r="K81" s="356"/>
      <c r="L81" s="356"/>
      <c r="M81" s="356"/>
      <c r="N81" s="356"/>
      <c r="O81" s="356"/>
      <c r="P81" s="356"/>
      <c r="Q81" s="356"/>
      <c r="R81" s="356"/>
      <c r="S81" s="356"/>
      <c r="T81" s="356"/>
      <c r="U81" s="356"/>
      <c r="V81" s="356"/>
      <c r="W81" s="356"/>
      <c r="X81" s="356"/>
      <c r="Y81" s="356"/>
      <c r="Z81" s="356"/>
      <c r="AA81" s="356"/>
      <c r="AB81" s="356"/>
    </row>
    <row r="82" spans="1:28" ht="20.399999999999999" thickBot="1" x14ac:dyDescent="0.4">
      <c r="A82" s="356"/>
      <c r="B82" s="426" t="s">
        <v>510</v>
      </c>
      <c r="C82" s="849" t="s">
        <v>991</v>
      </c>
      <c r="D82" s="850"/>
      <c r="E82" s="849" t="s">
        <v>992</v>
      </c>
      <c r="F82" s="850"/>
      <c r="G82" s="849" t="s">
        <v>993</v>
      </c>
      <c r="H82" s="850"/>
      <c r="I82" s="849" t="s">
        <v>48</v>
      </c>
      <c r="J82" s="850"/>
      <c r="K82" s="849" t="s">
        <v>2236</v>
      </c>
      <c r="L82" s="850"/>
      <c r="M82" s="851" t="s">
        <v>49</v>
      </c>
      <c r="N82" s="850"/>
      <c r="O82" s="849" t="s">
        <v>50</v>
      </c>
      <c r="P82" s="850"/>
      <c r="Q82" s="849" t="s">
        <v>51</v>
      </c>
      <c r="R82" s="850"/>
      <c r="S82" s="849" t="s">
        <v>2002</v>
      </c>
      <c r="T82" s="850"/>
      <c r="U82" s="849" t="s">
        <v>2003</v>
      </c>
      <c r="V82" s="850"/>
      <c r="W82" s="849" t="s">
        <v>2004</v>
      </c>
      <c r="X82" s="850"/>
      <c r="Y82" s="849" t="s">
        <v>2005</v>
      </c>
      <c r="Z82" s="851"/>
      <c r="AA82" s="852" t="s">
        <v>1510</v>
      </c>
      <c r="AB82" s="853"/>
    </row>
    <row r="83" spans="1:28" ht="16.2" thickBot="1" x14ac:dyDescent="0.35">
      <c r="A83" s="356"/>
      <c r="B83" s="356"/>
      <c r="C83" s="367" t="s">
        <v>385</v>
      </c>
      <c r="D83" s="368" t="s">
        <v>386</v>
      </c>
      <c r="E83" s="367" t="s">
        <v>385</v>
      </c>
      <c r="F83" s="368" t="s">
        <v>386</v>
      </c>
      <c r="G83" s="367" t="s">
        <v>385</v>
      </c>
      <c r="H83" s="368" t="s">
        <v>386</v>
      </c>
      <c r="I83" s="367" t="s">
        <v>385</v>
      </c>
      <c r="J83" s="368" t="s">
        <v>386</v>
      </c>
      <c r="K83" s="367" t="s">
        <v>385</v>
      </c>
      <c r="L83" s="368" t="s">
        <v>386</v>
      </c>
      <c r="M83" s="404" t="s">
        <v>385</v>
      </c>
      <c r="N83" s="368" t="s">
        <v>386</v>
      </c>
      <c r="O83" s="367" t="s">
        <v>385</v>
      </c>
      <c r="P83" s="368" t="s">
        <v>386</v>
      </c>
      <c r="Q83" s="367" t="s">
        <v>385</v>
      </c>
      <c r="R83" s="368" t="s">
        <v>386</v>
      </c>
      <c r="S83" s="367" t="s">
        <v>385</v>
      </c>
      <c r="T83" s="368" t="s">
        <v>386</v>
      </c>
      <c r="U83" s="367" t="s">
        <v>385</v>
      </c>
      <c r="V83" s="368" t="s">
        <v>386</v>
      </c>
      <c r="W83" s="367" t="s">
        <v>385</v>
      </c>
      <c r="X83" s="368" t="s">
        <v>386</v>
      </c>
      <c r="Y83" s="367" t="s">
        <v>385</v>
      </c>
      <c r="Z83" s="368" t="s">
        <v>386</v>
      </c>
      <c r="AA83" s="369" t="s">
        <v>385</v>
      </c>
      <c r="AB83" s="369" t="s">
        <v>386</v>
      </c>
    </row>
    <row r="84" spans="1:28" ht="18.600000000000001" thickBot="1" x14ac:dyDescent="0.4">
      <c r="A84" s="356"/>
      <c r="B84" s="427" t="s">
        <v>511</v>
      </c>
      <c r="C84" s="428">
        <f t="shared" ref="C84:AB84" si="25">+C17+C21+C22+C27+C30+C33+C36+C39+C42+C45+C50+C60+C70+C77+C78</f>
        <v>15116</v>
      </c>
      <c r="D84" s="428">
        <f t="shared" si="25"/>
        <v>16797</v>
      </c>
      <c r="E84" s="428">
        <f t="shared" si="25"/>
        <v>20151</v>
      </c>
      <c r="F84" s="428">
        <f t="shared" si="25"/>
        <v>24319</v>
      </c>
      <c r="G84" s="428">
        <f t="shared" si="25"/>
        <v>63368</v>
      </c>
      <c r="H84" s="428">
        <f t="shared" si="25"/>
        <v>1206</v>
      </c>
      <c r="I84" s="428">
        <f t="shared" si="25"/>
        <v>65570</v>
      </c>
      <c r="J84" s="428">
        <f t="shared" si="25"/>
        <v>72718</v>
      </c>
      <c r="K84" s="428">
        <f t="shared" si="25"/>
        <v>82136</v>
      </c>
      <c r="L84" s="428">
        <f t="shared" si="25"/>
        <v>81254</v>
      </c>
      <c r="M84" s="428">
        <f t="shared" si="25"/>
        <v>110279</v>
      </c>
      <c r="N84" s="428">
        <f t="shared" si="25"/>
        <v>96045</v>
      </c>
      <c r="O84" s="428">
        <f t="shared" si="25"/>
        <v>108817</v>
      </c>
      <c r="P84" s="428">
        <f t="shared" si="25"/>
        <v>92186</v>
      </c>
      <c r="Q84" s="428">
        <f t="shared" si="25"/>
        <v>99352</v>
      </c>
      <c r="R84" s="428">
        <f t="shared" si="25"/>
        <v>1406</v>
      </c>
      <c r="S84" s="428">
        <f t="shared" si="25"/>
        <v>73728</v>
      </c>
      <c r="T84" s="428">
        <f t="shared" si="25"/>
        <v>54658</v>
      </c>
      <c r="U84" s="428">
        <f t="shared" si="25"/>
        <v>42282</v>
      </c>
      <c r="V84" s="428">
        <f t="shared" si="25"/>
        <v>29197</v>
      </c>
      <c r="W84" s="428">
        <f t="shared" si="25"/>
        <v>16426</v>
      </c>
      <c r="X84" s="428">
        <f t="shared" si="25"/>
        <v>5421</v>
      </c>
      <c r="Y84" s="428">
        <f t="shared" si="25"/>
        <v>19563</v>
      </c>
      <c r="Z84" s="428">
        <f t="shared" si="25"/>
        <v>12755</v>
      </c>
      <c r="AA84" s="428">
        <f t="shared" si="25"/>
        <v>716788</v>
      </c>
      <c r="AB84" s="429">
        <f t="shared" si="25"/>
        <v>487962</v>
      </c>
    </row>
    <row r="85" spans="1:28" ht="18.600000000000001" thickBot="1" x14ac:dyDescent="0.4">
      <c r="A85" s="356"/>
      <c r="B85" s="430" t="s">
        <v>512</v>
      </c>
      <c r="C85" s="431">
        <f>C84/61.5</f>
        <v>245.78861788617886</v>
      </c>
      <c r="D85" s="431">
        <f>D84/61.5</f>
        <v>273.1219512195122</v>
      </c>
      <c r="E85" s="431">
        <f>E84/55.5</f>
        <v>363.08108108108109</v>
      </c>
      <c r="F85" s="431">
        <f>F84/55.5</f>
        <v>438.18018018018017</v>
      </c>
      <c r="G85" s="431">
        <f>G84/61.5</f>
        <v>1030.3739837398373</v>
      </c>
      <c r="H85" s="431">
        <f>H84/61.5</f>
        <v>19.609756097560975</v>
      </c>
      <c r="I85" s="431">
        <f>I84/59.5</f>
        <v>1102.0168067226891</v>
      </c>
      <c r="J85" s="431">
        <f>J84/59.5</f>
        <v>1222.1512605042017</v>
      </c>
      <c r="K85" s="431">
        <f>K84/61.5</f>
        <v>1335.5447154471544</v>
      </c>
      <c r="L85" s="431">
        <f>L84/61.5</f>
        <v>1321.2032520325204</v>
      </c>
      <c r="M85" s="431">
        <f>M84/59.5</f>
        <v>1853.4285714285713</v>
      </c>
      <c r="N85" s="431">
        <f>N84/59.5</f>
        <v>1614.2016806722688</v>
      </c>
      <c r="O85" s="431">
        <f>O84/61.5</f>
        <v>1769.3821138211383</v>
      </c>
      <c r="P85" s="431">
        <f>P84/61.5</f>
        <v>1498.959349593496</v>
      </c>
      <c r="Q85" s="431">
        <f>Q84/61.5</f>
        <v>1615.479674796748</v>
      </c>
      <c r="R85" s="431">
        <f>R84/61.5</f>
        <v>22.86178861788618</v>
      </c>
      <c r="S85" s="431">
        <f>S84/59.5</f>
        <v>1239.126050420168</v>
      </c>
      <c r="T85" s="431">
        <f>T84/59.5</f>
        <v>918.62184873949582</v>
      </c>
      <c r="U85" s="431">
        <f>U84/61.5</f>
        <v>687.51219512195121</v>
      </c>
      <c r="V85" s="431">
        <f>V84/61.5</f>
        <v>474.7479674796748</v>
      </c>
      <c r="W85" s="431">
        <f>W84/59.5</f>
        <v>276.06722689075633</v>
      </c>
      <c r="X85" s="431">
        <f>X84/59.5</f>
        <v>91.109243697478988</v>
      </c>
      <c r="Y85" s="431">
        <f>Y84/61.5</f>
        <v>318.09756097560978</v>
      </c>
      <c r="Z85" s="431">
        <f>Z84/61.5</f>
        <v>207.39837398373984</v>
      </c>
      <c r="AA85" s="432"/>
      <c r="AB85" s="433"/>
    </row>
    <row r="86" spans="1:28" ht="18.600000000000001" thickBot="1" x14ac:dyDescent="0.4">
      <c r="A86" s="356"/>
      <c r="B86" s="434"/>
      <c r="C86" s="434"/>
      <c r="D86" s="435"/>
      <c r="E86" s="434"/>
      <c r="F86" s="435"/>
      <c r="G86" s="434"/>
      <c r="H86" s="435"/>
      <c r="I86" s="434"/>
      <c r="J86" s="435"/>
      <c r="K86" s="434"/>
      <c r="L86" s="435"/>
      <c r="M86" s="434"/>
      <c r="N86" s="435"/>
      <c r="O86" s="434"/>
      <c r="P86" s="435"/>
      <c r="Q86" s="434"/>
      <c r="R86" s="435"/>
      <c r="S86" s="434"/>
      <c r="T86" s="435"/>
      <c r="U86" s="434"/>
      <c r="V86" s="435"/>
      <c r="W86" s="434"/>
      <c r="X86" s="435"/>
      <c r="Y86" s="434"/>
      <c r="Z86" s="435"/>
      <c r="AA86" s="434"/>
      <c r="AB86" s="435"/>
    </row>
    <row r="87" spans="1:28" ht="16.2" thickBot="1" x14ac:dyDescent="0.35">
      <c r="A87" s="356"/>
      <c r="B87" s="356"/>
      <c r="C87" s="849" t="s">
        <v>991</v>
      </c>
      <c r="D87" s="850"/>
      <c r="E87" s="849" t="s">
        <v>992</v>
      </c>
      <c r="F87" s="850"/>
      <c r="G87" s="849" t="s">
        <v>993</v>
      </c>
      <c r="H87" s="850"/>
      <c r="I87" s="849" t="s">
        <v>48</v>
      </c>
      <c r="J87" s="850"/>
      <c r="K87" s="849" t="s">
        <v>2236</v>
      </c>
      <c r="L87" s="850"/>
      <c r="M87" s="851" t="s">
        <v>49</v>
      </c>
      <c r="N87" s="850"/>
      <c r="O87" s="849" t="s">
        <v>50</v>
      </c>
      <c r="P87" s="850"/>
      <c r="Q87" s="849" t="s">
        <v>51</v>
      </c>
      <c r="R87" s="850"/>
      <c r="S87" s="849" t="s">
        <v>2002</v>
      </c>
      <c r="T87" s="850"/>
      <c r="U87" s="849" t="s">
        <v>2003</v>
      </c>
      <c r="V87" s="850"/>
      <c r="W87" s="849" t="s">
        <v>2004</v>
      </c>
      <c r="X87" s="850"/>
      <c r="Y87" s="849" t="s">
        <v>2005</v>
      </c>
      <c r="Z87" s="851"/>
      <c r="AA87" s="852" t="s">
        <v>1510</v>
      </c>
      <c r="AB87" s="853"/>
    </row>
    <row r="88" spans="1:28" ht="16.2" thickBot="1" x14ac:dyDescent="0.35">
      <c r="A88" s="356"/>
      <c r="B88" s="356"/>
      <c r="C88" s="367" t="s">
        <v>385</v>
      </c>
      <c r="D88" s="368" t="s">
        <v>386</v>
      </c>
      <c r="E88" s="367" t="s">
        <v>385</v>
      </c>
      <c r="F88" s="368" t="s">
        <v>386</v>
      </c>
      <c r="G88" s="367" t="s">
        <v>385</v>
      </c>
      <c r="H88" s="368" t="s">
        <v>386</v>
      </c>
      <c r="I88" s="367" t="s">
        <v>385</v>
      </c>
      <c r="J88" s="368" t="s">
        <v>386</v>
      </c>
      <c r="K88" s="367" t="s">
        <v>385</v>
      </c>
      <c r="L88" s="368" t="s">
        <v>386</v>
      </c>
      <c r="M88" s="404" t="s">
        <v>385</v>
      </c>
      <c r="N88" s="368" t="s">
        <v>386</v>
      </c>
      <c r="O88" s="367" t="s">
        <v>385</v>
      </c>
      <c r="P88" s="368" t="s">
        <v>386</v>
      </c>
      <c r="Q88" s="367" t="s">
        <v>385</v>
      </c>
      <c r="R88" s="368" t="s">
        <v>386</v>
      </c>
      <c r="S88" s="367" t="s">
        <v>385</v>
      </c>
      <c r="T88" s="368" t="s">
        <v>386</v>
      </c>
      <c r="U88" s="367" t="s">
        <v>385</v>
      </c>
      <c r="V88" s="368" t="s">
        <v>386</v>
      </c>
      <c r="W88" s="367" t="s">
        <v>385</v>
      </c>
      <c r="X88" s="368" t="s">
        <v>386</v>
      </c>
      <c r="Y88" s="367" t="s">
        <v>385</v>
      </c>
      <c r="Z88" s="368" t="s">
        <v>386</v>
      </c>
      <c r="AA88" s="369" t="s">
        <v>385</v>
      </c>
      <c r="AB88" s="369" t="s">
        <v>386</v>
      </c>
    </row>
    <row r="89" spans="1:28" ht="18.600000000000001" thickBot="1" x14ac:dyDescent="0.4">
      <c r="B89" s="436" t="s">
        <v>513</v>
      </c>
      <c r="C89" s="437">
        <f t="shared" ref="C89:AB89" si="26">+C17+C21+C22+C27+C30</f>
        <v>3408</v>
      </c>
      <c r="D89" s="437">
        <f t="shared" si="26"/>
        <v>2749</v>
      </c>
      <c r="E89" s="437">
        <f t="shared" si="26"/>
        <v>4583</v>
      </c>
      <c r="F89" s="437">
        <f t="shared" si="26"/>
        <v>5068</v>
      </c>
      <c r="G89" s="437">
        <f t="shared" si="26"/>
        <v>10854</v>
      </c>
      <c r="H89" s="437">
        <f t="shared" si="26"/>
        <v>0</v>
      </c>
      <c r="I89" s="437">
        <f t="shared" si="26"/>
        <v>13626</v>
      </c>
      <c r="J89" s="437">
        <f t="shared" si="26"/>
        <v>12033</v>
      </c>
      <c r="K89" s="437">
        <f t="shared" si="26"/>
        <v>13362</v>
      </c>
      <c r="L89" s="437">
        <f t="shared" si="26"/>
        <v>15439</v>
      </c>
      <c r="M89" s="437">
        <f t="shared" si="26"/>
        <v>22711</v>
      </c>
      <c r="N89" s="437">
        <f t="shared" si="26"/>
        <v>15606</v>
      </c>
      <c r="O89" s="437">
        <f t="shared" si="26"/>
        <v>17605</v>
      </c>
      <c r="P89" s="437">
        <f t="shared" si="26"/>
        <v>15017</v>
      </c>
      <c r="Q89" s="437">
        <f t="shared" si="26"/>
        <v>20918</v>
      </c>
      <c r="R89" s="437">
        <f t="shared" si="26"/>
        <v>0</v>
      </c>
      <c r="S89" s="437">
        <f t="shared" si="26"/>
        <v>21253</v>
      </c>
      <c r="T89" s="437">
        <f t="shared" si="26"/>
        <v>8224</v>
      </c>
      <c r="U89" s="437">
        <f t="shared" si="26"/>
        <v>18673</v>
      </c>
      <c r="V89" s="437">
        <f t="shared" si="26"/>
        <v>7011</v>
      </c>
      <c r="W89" s="437">
        <f t="shared" si="26"/>
        <v>4190</v>
      </c>
      <c r="X89" s="437">
        <f t="shared" si="26"/>
        <v>2180</v>
      </c>
      <c r="Y89" s="437">
        <f t="shared" si="26"/>
        <v>5531</v>
      </c>
      <c r="Z89" s="437">
        <f t="shared" si="26"/>
        <v>2815</v>
      </c>
      <c r="AA89" s="437">
        <f t="shared" si="26"/>
        <v>156714</v>
      </c>
      <c r="AB89" s="438">
        <f t="shared" si="26"/>
        <v>86142</v>
      </c>
    </row>
    <row r="90" spans="1:28" ht="18.600000000000001" thickBot="1" x14ac:dyDescent="0.4">
      <c r="B90" s="430" t="s">
        <v>512</v>
      </c>
      <c r="C90" s="431">
        <f>C89/61.5</f>
        <v>55.414634146341463</v>
      </c>
      <c r="D90" s="431">
        <f>D89/61.5</f>
        <v>44.699186991869915</v>
      </c>
      <c r="E90" s="431">
        <f>E89/55.5</f>
        <v>82.576576576576571</v>
      </c>
      <c r="F90" s="431">
        <f>F89/55.5</f>
        <v>91.315315315315317</v>
      </c>
      <c r="G90" s="431">
        <f>G89/61.5</f>
        <v>176.48780487804879</v>
      </c>
      <c r="H90" s="431">
        <f>H89/61.5</f>
        <v>0</v>
      </c>
      <c r="I90" s="431">
        <f>I89/59.5</f>
        <v>229.00840336134453</v>
      </c>
      <c r="J90" s="431">
        <f>J89/59.5</f>
        <v>202.23529411764707</v>
      </c>
      <c r="K90" s="431">
        <f>K89/61.5</f>
        <v>217.26829268292684</v>
      </c>
      <c r="L90" s="431">
        <f>L89/61.5</f>
        <v>251.04065040650406</v>
      </c>
      <c r="M90" s="431">
        <f>M89/59.5</f>
        <v>381.69747899159665</v>
      </c>
      <c r="N90" s="431">
        <f>N89/59.5</f>
        <v>262.28571428571428</v>
      </c>
      <c r="O90" s="431">
        <f>O89/61.5</f>
        <v>286.26016260162601</v>
      </c>
      <c r="P90" s="431">
        <f>P89/61.5</f>
        <v>244.17886178861789</v>
      </c>
      <c r="Q90" s="431">
        <f>Q89/61.5</f>
        <v>340.130081300813</v>
      </c>
      <c r="R90" s="431">
        <f>R89/61.5</f>
        <v>0</v>
      </c>
      <c r="S90" s="431">
        <f>S89/59.5</f>
        <v>357.19327731092437</v>
      </c>
      <c r="T90" s="431">
        <f>T89/59.5</f>
        <v>138.21848739495798</v>
      </c>
      <c r="U90" s="431">
        <f>U89/61.5</f>
        <v>303.6260162601626</v>
      </c>
      <c r="V90" s="431">
        <f>V89/61.5</f>
        <v>114</v>
      </c>
      <c r="W90" s="431">
        <f>W89/59.5</f>
        <v>70.420168067226896</v>
      </c>
      <c r="X90" s="431">
        <f>X89/59.5</f>
        <v>36.638655462184872</v>
      </c>
      <c r="Y90" s="431">
        <f>Y89/61.5</f>
        <v>89.934959349593498</v>
      </c>
      <c r="Z90" s="431">
        <f>Z89/61.5</f>
        <v>45.772357723577237</v>
      </c>
      <c r="AA90" s="432"/>
      <c r="AB90" s="433"/>
    </row>
    <row r="91" spans="1:28" ht="16.2" thickBot="1" x14ac:dyDescent="0.35"/>
    <row r="92" spans="1:28" ht="16.2" thickBot="1" x14ac:dyDescent="0.35">
      <c r="B92" s="356"/>
      <c r="C92" s="849" t="s">
        <v>991</v>
      </c>
      <c r="D92" s="850"/>
      <c r="E92" s="849" t="s">
        <v>992</v>
      </c>
      <c r="F92" s="850"/>
      <c r="G92" s="849" t="s">
        <v>993</v>
      </c>
      <c r="H92" s="850"/>
      <c r="I92" s="849" t="s">
        <v>48</v>
      </c>
      <c r="J92" s="850"/>
      <c r="K92" s="849" t="s">
        <v>2236</v>
      </c>
      <c r="L92" s="850"/>
      <c r="M92" s="851" t="s">
        <v>49</v>
      </c>
      <c r="N92" s="850"/>
      <c r="O92" s="849" t="s">
        <v>50</v>
      </c>
      <c r="P92" s="850"/>
      <c r="Q92" s="849" t="s">
        <v>51</v>
      </c>
      <c r="R92" s="850"/>
      <c r="S92" s="849" t="s">
        <v>2002</v>
      </c>
      <c r="T92" s="850"/>
      <c r="U92" s="849" t="s">
        <v>2003</v>
      </c>
      <c r="V92" s="850"/>
      <c r="W92" s="849" t="s">
        <v>2004</v>
      </c>
      <c r="X92" s="850"/>
      <c r="Y92" s="849" t="s">
        <v>2005</v>
      </c>
      <c r="Z92" s="851"/>
      <c r="AA92" s="852" t="s">
        <v>1510</v>
      </c>
      <c r="AB92" s="853"/>
    </row>
    <row r="93" spans="1:28" ht="16.2" thickBot="1" x14ac:dyDescent="0.35">
      <c r="B93" s="356"/>
      <c r="C93" s="367" t="s">
        <v>385</v>
      </c>
      <c r="D93" s="368" t="s">
        <v>386</v>
      </c>
      <c r="E93" s="367" t="s">
        <v>385</v>
      </c>
      <c r="F93" s="368" t="s">
        <v>386</v>
      </c>
      <c r="G93" s="367" t="s">
        <v>385</v>
      </c>
      <c r="H93" s="368" t="s">
        <v>386</v>
      </c>
      <c r="I93" s="367" t="s">
        <v>385</v>
      </c>
      <c r="J93" s="368" t="s">
        <v>386</v>
      </c>
      <c r="K93" s="367" t="s">
        <v>385</v>
      </c>
      <c r="L93" s="368" t="s">
        <v>386</v>
      </c>
      <c r="M93" s="404" t="s">
        <v>385</v>
      </c>
      <c r="N93" s="368" t="s">
        <v>386</v>
      </c>
      <c r="O93" s="367" t="s">
        <v>385</v>
      </c>
      <c r="P93" s="368" t="s">
        <v>386</v>
      </c>
      <c r="Q93" s="367" t="s">
        <v>385</v>
      </c>
      <c r="R93" s="368" t="s">
        <v>386</v>
      </c>
      <c r="S93" s="367" t="s">
        <v>385</v>
      </c>
      <c r="T93" s="368" t="s">
        <v>386</v>
      </c>
      <c r="U93" s="367" t="s">
        <v>385</v>
      </c>
      <c r="V93" s="368" t="s">
        <v>386</v>
      </c>
      <c r="W93" s="367" t="s">
        <v>385</v>
      </c>
      <c r="X93" s="368" t="s">
        <v>386</v>
      </c>
      <c r="Y93" s="367" t="s">
        <v>385</v>
      </c>
      <c r="Z93" s="368" t="s">
        <v>386</v>
      </c>
      <c r="AA93" s="369" t="s">
        <v>385</v>
      </c>
      <c r="AB93" s="369" t="s">
        <v>386</v>
      </c>
    </row>
    <row r="94" spans="1:28" ht="18.600000000000001" thickBot="1" x14ac:dyDescent="0.4">
      <c r="B94" s="439" t="s">
        <v>514</v>
      </c>
      <c r="C94" s="437">
        <f>+C33</f>
        <v>0</v>
      </c>
      <c r="D94" s="437">
        <f t="shared" ref="D94:AB94" si="27">+D33</f>
        <v>0</v>
      </c>
      <c r="E94" s="437">
        <f t="shared" si="27"/>
        <v>0</v>
      </c>
      <c r="F94" s="437">
        <f t="shared" si="27"/>
        <v>0</v>
      </c>
      <c r="G94" s="437">
        <f t="shared" si="27"/>
        <v>0</v>
      </c>
      <c r="H94" s="437">
        <f t="shared" si="27"/>
        <v>0</v>
      </c>
      <c r="I94" s="437">
        <f t="shared" si="27"/>
        <v>0</v>
      </c>
      <c r="J94" s="437">
        <f t="shared" si="27"/>
        <v>0</v>
      </c>
      <c r="K94" s="437">
        <f t="shared" si="27"/>
        <v>0</v>
      </c>
      <c r="L94" s="437">
        <f t="shared" si="27"/>
        <v>0</v>
      </c>
      <c r="M94" s="437">
        <f t="shared" si="27"/>
        <v>0</v>
      </c>
      <c r="N94" s="437">
        <f t="shared" si="27"/>
        <v>0</v>
      </c>
      <c r="O94" s="437">
        <f t="shared" si="27"/>
        <v>0</v>
      </c>
      <c r="P94" s="437">
        <f t="shared" si="27"/>
        <v>0</v>
      </c>
      <c r="Q94" s="437">
        <f t="shared" si="27"/>
        <v>0</v>
      </c>
      <c r="R94" s="437">
        <f t="shared" si="27"/>
        <v>0</v>
      </c>
      <c r="S94" s="437">
        <f t="shared" si="27"/>
        <v>0</v>
      </c>
      <c r="T94" s="437">
        <f t="shared" si="27"/>
        <v>0</v>
      </c>
      <c r="U94" s="437">
        <f t="shared" si="27"/>
        <v>0</v>
      </c>
      <c r="V94" s="437">
        <f t="shared" si="27"/>
        <v>0</v>
      </c>
      <c r="W94" s="437">
        <f t="shared" si="27"/>
        <v>0</v>
      </c>
      <c r="X94" s="437">
        <f t="shared" si="27"/>
        <v>0</v>
      </c>
      <c r="Y94" s="437">
        <f t="shared" si="27"/>
        <v>0</v>
      </c>
      <c r="Z94" s="437">
        <f t="shared" si="27"/>
        <v>0</v>
      </c>
      <c r="AA94" s="437">
        <f t="shared" si="27"/>
        <v>0</v>
      </c>
      <c r="AB94" s="438">
        <f t="shared" si="27"/>
        <v>0</v>
      </c>
    </row>
    <row r="95" spans="1:28" ht="18.600000000000001" thickBot="1" x14ac:dyDescent="0.4">
      <c r="B95" s="440" t="s">
        <v>1844</v>
      </c>
      <c r="C95" s="431">
        <f>(C94/61.5)+C100</f>
        <v>190.3739837398374</v>
      </c>
      <c r="D95" s="431">
        <f t="shared" ref="D95:Z95" si="28">(D94/61.5)+D100</f>
        <v>228.42276422764226</v>
      </c>
      <c r="E95" s="431">
        <f>(E94/55.5)+E100</f>
        <v>280.5045045045045</v>
      </c>
      <c r="F95" s="431">
        <f>(F94/55.5)+F100</f>
        <v>346.86486486486484</v>
      </c>
      <c r="G95" s="431">
        <f t="shared" si="28"/>
        <v>853.88617886178861</v>
      </c>
      <c r="H95" s="431">
        <f t="shared" si="28"/>
        <v>19.609756097560975</v>
      </c>
      <c r="I95" s="431">
        <f>(I94/59.5)+I100</f>
        <v>873.00840336134456</v>
      </c>
      <c r="J95" s="431">
        <f>(J94/59.5)+J100</f>
        <v>1019.9159663865546</v>
      </c>
      <c r="K95" s="431">
        <f t="shared" si="28"/>
        <v>1118.2764227642276</v>
      </c>
      <c r="L95" s="431">
        <f t="shared" si="28"/>
        <v>1070.1626016260163</v>
      </c>
      <c r="M95" s="431">
        <f>(M94/59.5)+M100</f>
        <v>1471.7310924369749</v>
      </c>
      <c r="N95" s="431">
        <f>(N94/59.5)+N100</f>
        <v>1351.9159663865546</v>
      </c>
      <c r="O95" s="431">
        <f t="shared" si="28"/>
        <v>1483.1219512195123</v>
      </c>
      <c r="P95" s="431">
        <f t="shared" si="28"/>
        <v>1254.780487804878</v>
      </c>
      <c r="Q95" s="431">
        <f t="shared" si="28"/>
        <v>1275.3495934959349</v>
      </c>
      <c r="R95" s="431">
        <f t="shared" si="28"/>
        <v>22.86178861788618</v>
      </c>
      <c r="S95" s="431">
        <f>(S94/59.5)+S100</f>
        <v>881.93277310924373</v>
      </c>
      <c r="T95" s="431">
        <f>(T94/59.5)+T100</f>
        <v>780.40336134453776</v>
      </c>
      <c r="U95" s="431">
        <f t="shared" si="28"/>
        <v>383.88617886178861</v>
      </c>
      <c r="V95" s="431">
        <f t="shared" si="28"/>
        <v>360.7479674796748</v>
      </c>
      <c r="W95" s="431">
        <f>(W94/59.5)+W100</f>
        <v>205.64705882352942</v>
      </c>
      <c r="X95" s="431">
        <f>(X94/59.5)+X100</f>
        <v>54.470588235294116</v>
      </c>
      <c r="Y95" s="431">
        <f t="shared" si="28"/>
        <v>228.16260162601625</v>
      </c>
      <c r="Z95" s="431">
        <f t="shared" si="28"/>
        <v>161.6260162601626</v>
      </c>
      <c r="AA95" s="432"/>
      <c r="AB95" s="433"/>
    </row>
    <row r="96" spans="1:28" ht="16.2" thickBot="1" x14ac:dyDescent="0.35"/>
    <row r="97" spans="2:28" ht="16.2" thickBot="1" x14ac:dyDescent="0.35">
      <c r="B97" s="356"/>
      <c r="C97" s="849" t="s">
        <v>991</v>
      </c>
      <c r="D97" s="850"/>
      <c r="E97" s="849" t="s">
        <v>992</v>
      </c>
      <c r="F97" s="850"/>
      <c r="G97" s="849" t="s">
        <v>993</v>
      </c>
      <c r="H97" s="850"/>
      <c r="I97" s="849" t="s">
        <v>48</v>
      </c>
      <c r="J97" s="850"/>
      <c r="K97" s="849" t="s">
        <v>2236</v>
      </c>
      <c r="L97" s="850"/>
      <c r="M97" s="851" t="s">
        <v>49</v>
      </c>
      <c r="N97" s="850"/>
      <c r="O97" s="849" t="s">
        <v>50</v>
      </c>
      <c r="P97" s="850"/>
      <c r="Q97" s="849" t="s">
        <v>51</v>
      </c>
      <c r="R97" s="850"/>
      <c r="S97" s="849" t="s">
        <v>2002</v>
      </c>
      <c r="T97" s="850"/>
      <c r="U97" s="849" t="s">
        <v>2003</v>
      </c>
      <c r="V97" s="850"/>
      <c r="W97" s="849" t="s">
        <v>2004</v>
      </c>
      <c r="X97" s="850"/>
      <c r="Y97" s="849" t="s">
        <v>2005</v>
      </c>
      <c r="Z97" s="851"/>
      <c r="AA97" s="852" t="s">
        <v>1510</v>
      </c>
      <c r="AB97" s="853"/>
    </row>
    <row r="98" spans="2:28" ht="16.2" thickBot="1" x14ac:dyDescent="0.35">
      <c r="B98" s="356"/>
      <c r="C98" s="367" t="s">
        <v>385</v>
      </c>
      <c r="D98" s="368" t="s">
        <v>386</v>
      </c>
      <c r="E98" s="367" t="s">
        <v>385</v>
      </c>
      <c r="F98" s="368" t="s">
        <v>386</v>
      </c>
      <c r="G98" s="367" t="s">
        <v>385</v>
      </c>
      <c r="H98" s="368" t="s">
        <v>386</v>
      </c>
      <c r="I98" s="367" t="s">
        <v>385</v>
      </c>
      <c r="J98" s="368" t="s">
        <v>386</v>
      </c>
      <c r="K98" s="367" t="s">
        <v>385</v>
      </c>
      <c r="L98" s="368" t="s">
        <v>386</v>
      </c>
      <c r="M98" s="404" t="s">
        <v>385</v>
      </c>
      <c r="N98" s="368" t="s">
        <v>386</v>
      </c>
      <c r="O98" s="367" t="s">
        <v>385</v>
      </c>
      <c r="P98" s="368" t="s">
        <v>386</v>
      </c>
      <c r="Q98" s="367" t="s">
        <v>385</v>
      </c>
      <c r="R98" s="368" t="s">
        <v>386</v>
      </c>
      <c r="S98" s="367" t="s">
        <v>385</v>
      </c>
      <c r="T98" s="368" t="s">
        <v>386</v>
      </c>
      <c r="U98" s="367" t="s">
        <v>385</v>
      </c>
      <c r="V98" s="368" t="s">
        <v>386</v>
      </c>
      <c r="W98" s="367" t="s">
        <v>385</v>
      </c>
      <c r="X98" s="368" t="s">
        <v>386</v>
      </c>
      <c r="Y98" s="367" t="s">
        <v>385</v>
      </c>
      <c r="Z98" s="368" t="s">
        <v>386</v>
      </c>
      <c r="AA98" s="369" t="s">
        <v>385</v>
      </c>
      <c r="AB98" s="369" t="s">
        <v>386</v>
      </c>
    </row>
    <row r="99" spans="2:28" ht="18.600000000000001" thickBot="1" x14ac:dyDescent="0.4">
      <c r="B99" s="439" t="s">
        <v>1845</v>
      </c>
      <c r="C99" s="437">
        <f>+C36+C39</f>
        <v>0</v>
      </c>
      <c r="D99" s="437">
        <f t="shared" ref="D99:AB99" si="29">+D36+D39</f>
        <v>0</v>
      </c>
      <c r="E99" s="437">
        <f t="shared" si="29"/>
        <v>0</v>
      </c>
      <c r="F99" s="437">
        <f t="shared" si="29"/>
        <v>0</v>
      </c>
      <c r="G99" s="437">
        <f t="shared" si="29"/>
        <v>0</v>
      </c>
      <c r="H99" s="437">
        <f t="shared" si="29"/>
        <v>0</v>
      </c>
      <c r="I99" s="437">
        <f t="shared" si="29"/>
        <v>0</v>
      </c>
      <c r="J99" s="437">
        <f t="shared" si="29"/>
        <v>0</v>
      </c>
      <c r="K99" s="437">
        <f t="shared" si="29"/>
        <v>0</v>
      </c>
      <c r="L99" s="437">
        <f t="shared" si="29"/>
        <v>0</v>
      </c>
      <c r="M99" s="437">
        <f t="shared" si="29"/>
        <v>0</v>
      </c>
      <c r="N99" s="437">
        <f t="shared" si="29"/>
        <v>0</v>
      </c>
      <c r="O99" s="437">
        <f t="shared" si="29"/>
        <v>0</v>
      </c>
      <c r="P99" s="437">
        <f t="shared" si="29"/>
        <v>0</v>
      </c>
      <c r="Q99" s="437">
        <f t="shared" si="29"/>
        <v>0</v>
      </c>
      <c r="R99" s="437">
        <f t="shared" si="29"/>
        <v>0</v>
      </c>
      <c r="S99" s="437">
        <f t="shared" si="29"/>
        <v>0</v>
      </c>
      <c r="T99" s="437">
        <f t="shared" si="29"/>
        <v>1370</v>
      </c>
      <c r="U99" s="437">
        <f t="shared" si="29"/>
        <v>0</v>
      </c>
      <c r="V99" s="437">
        <f t="shared" si="29"/>
        <v>0</v>
      </c>
      <c r="W99" s="437">
        <f t="shared" si="29"/>
        <v>0</v>
      </c>
      <c r="X99" s="437">
        <f t="shared" si="29"/>
        <v>0</v>
      </c>
      <c r="Y99" s="437">
        <f t="shared" si="29"/>
        <v>0</v>
      </c>
      <c r="Z99" s="437">
        <f t="shared" si="29"/>
        <v>0</v>
      </c>
      <c r="AA99" s="437">
        <f t="shared" si="29"/>
        <v>0</v>
      </c>
      <c r="AB99" s="438">
        <f t="shared" si="29"/>
        <v>1370</v>
      </c>
    </row>
    <row r="100" spans="2:28" ht="18.600000000000001" thickBot="1" x14ac:dyDescent="0.4">
      <c r="B100" s="440" t="s">
        <v>1844</v>
      </c>
      <c r="C100" s="431">
        <f>(C99/61.5)+C105</f>
        <v>190.3739837398374</v>
      </c>
      <c r="D100" s="431">
        <f>(D99/61.5)+D105</f>
        <v>228.42276422764226</v>
      </c>
      <c r="E100" s="431">
        <f>(E99/55.5)+E105</f>
        <v>280.5045045045045</v>
      </c>
      <c r="F100" s="431">
        <f>(F99/55.5)+F105</f>
        <v>346.86486486486484</v>
      </c>
      <c r="G100" s="431">
        <f>(G99/61.5)+G105</f>
        <v>853.88617886178861</v>
      </c>
      <c r="H100" s="431">
        <f>(H99/61.5)+H105</f>
        <v>19.609756097560975</v>
      </c>
      <c r="I100" s="431">
        <f>(I99/59.5)+I105</f>
        <v>873.00840336134456</v>
      </c>
      <c r="J100" s="431">
        <f>(J99/59.5)+J105</f>
        <v>1019.9159663865546</v>
      </c>
      <c r="K100" s="431">
        <f>(K99/61.5)+K105</f>
        <v>1118.2764227642276</v>
      </c>
      <c r="L100" s="431">
        <f>(L99/61.5)+L105</f>
        <v>1070.1626016260163</v>
      </c>
      <c r="M100" s="431">
        <f>(M99/59.5)+M105</f>
        <v>1471.7310924369749</v>
      </c>
      <c r="N100" s="431">
        <f>(N99/59.5)+N105</f>
        <v>1351.9159663865546</v>
      </c>
      <c r="O100" s="431">
        <f>(O99/61.5)+O105</f>
        <v>1483.1219512195123</v>
      </c>
      <c r="P100" s="431">
        <f>(P99/61.5)+P105</f>
        <v>1254.780487804878</v>
      </c>
      <c r="Q100" s="431">
        <f>(Q99/61.5)+Q105</f>
        <v>1275.3495934959349</v>
      </c>
      <c r="R100" s="431">
        <f>(R99/61.5)+R105</f>
        <v>22.86178861788618</v>
      </c>
      <c r="S100" s="431">
        <f>(S99/59.5)+S105</f>
        <v>881.93277310924373</v>
      </c>
      <c r="T100" s="431">
        <f>(T99/59.5)+T105</f>
        <v>780.40336134453776</v>
      </c>
      <c r="U100" s="431">
        <f>(U99/61.5)+U105</f>
        <v>383.88617886178861</v>
      </c>
      <c r="V100" s="431">
        <f>(V99/61.5)+V105</f>
        <v>360.7479674796748</v>
      </c>
      <c r="W100" s="431">
        <f>(W99/59.5)+W105</f>
        <v>205.64705882352942</v>
      </c>
      <c r="X100" s="431">
        <f>(X99/59.5)+X105</f>
        <v>54.470588235294116</v>
      </c>
      <c r="Y100" s="431">
        <f>(Y99/61.5)+Y105</f>
        <v>228.16260162601625</v>
      </c>
      <c r="Z100" s="431">
        <f>(Z99/61.5)+Z105</f>
        <v>161.6260162601626</v>
      </c>
      <c r="AA100" s="432"/>
      <c r="AB100" s="433"/>
    </row>
    <row r="101" spans="2:28" ht="16.2" thickBot="1" x14ac:dyDescent="0.35"/>
    <row r="102" spans="2:28" ht="16.2" thickBot="1" x14ac:dyDescent="0.35">
      <c r="B102" s="356"/>
      <c r="C102" s="849" t="s">
        <v>991</v>
      </c>
      <c r="D102" s="850"/>
      <c r="E102" s="849" t="s">
        <v>992</v>
      </c>
      <c r="F102" s="850"/>
      <c r="G102" s="849" t="s">
        <v>993</v>
      </c>
      <c r="H102" s="850"/>
      <c r="I102" s="849" t="s">
        <v>48</v>
      </c>
      <c r="J102" s="850"/>
      <c r="K102" s="849" t="s">
        <v>2236</v>
      </c>
      <c r="L102" s="850"/>
      <c r="M102" s="851" t="s">
        <v>49</v>
      </c>
      <c r="N102" s="850"/>
      <c r="O102" s="849" t="s">
        <v>50</v>
      </c>
      <c r="P102" s="850"/>
      <c r="Q102" s="849" t="s">
        <v>51</v>
      </c>
      <c r="R102" s="850"/>
      <c r="S102" s="849" t="s">
        <v>2002</v>
      </c>
      <c r="T102" s="850"/>
      <c r="U102" s="849" t="s">
        <v>2003</v>
      </c>
      <c r="V102" s="850"/>
      <c r="W102" s="849" t="s">
        <v>2004</v>
      </c>
      <c r="X102" s="850"/>
      <c r="Y102" s="849" t="s">
        <v>2005</v>
      </c>
      <c r="Z102" s="851"/>
      <c r="AA102" s="852" t="s">
        <v>1510</v>
      </c>
      <c r="AB102" s="853"/>
    </row>
    <row r="103" spans="2:28" ht="16.2" thickBot="1" x14ac:dyDescent="0.35">
      <c r="B103" s="356"/>
      <c r="C103" s="367" t="s">
        <v>385</v>
      </c>
      <c r="D103" s="368" t="s">
        <v>386</v>
      </c>
      <c r="E103" s="367" t="s">
        <v>385</v>
      </c>
      <c r="F103" s="368" t="s">
        <v>386</v>
      </c>
      <c r="G103" s="367" t="s">
        <v>385</v>
      </c>
      <c r="H103" s="368" t="s">
        <v>386</v>
      </c>
      <c r="I103" s="367" t="s">
        <v>385</v>
      </c>
      <c r="J103" s="368" t="s">
        <v>386</v>
      </c>
      <c r="K103" s="367" t="s">
        <v>385</v>
      </c>
      <c r="L103" s="368" t="s">
        <v>386</v>
      </c>
      <c r="M103" s="404" t="s">
        <v>385</v>
      </c>
      <c r="N103" s="368" t="s">
        <v>386</v>
      </c>
      <c r="O103" s="367" t="s">
        <v>385</v>
      </c>
      <c r="P103" s="368" t="s">
        <v>386</v>
      </c>
      <c r="Q103" s="367" t="s">
        <v>385</v>
      </c>
      <c r="R103" s="368" t="s">
        <v>386</v>
      </c>
      <c r="S103" s="367" t="s">
        <v>385</v>
      </c>
      <c r="T103" s="368" t="s">
        <v>386</v>
      </c>
      <c r="U103" s="367" t="s">
        <v>385</v>
      </c>
      <c r="V103" s="368" t="s">
        <v>386</v>
      </c>
      <c r="W103" s="367" t="s">
        <v>385</v>
      </c>
      <c r="X103" s="368" t="s">
        <v>386</v>
      </c>
      <c r="Y103" s="367" t="s">
        <v>385</v>
      </c>
      <c r="Z103" s="368" t="s">
        <v>386</v>
      </c>
      <c r="AA103" s="369" t="s">
        <v>385</v>
      </c>
      <c r="AB103" s="369" t="s">
        <v>386</v>
      </c>
    </row>
    <row r="104" spans="2:28" ht="18.600000000000001" thickBot="1" x14ac:dyDescent="0.4">
      <c r="B104" s="439" t="s">
        <v>1846</v>
      </c>
      <c r="C104" s="437">
        <f>+C42+C45</f>
        <v>489</v>
      </c>
      <c r="D104" s="437">
        <f t="shared" ref="D104:AB104" si="30">+D42+D45</f>
        <v>166</v>
      </c>
      <c r="E104" s="437">
        <f t="shared" si="30"/>
        <v>449</v>
      </c>
      <c r="F104" s="437">
        <f t="shared" si="30"/>
        <v>283</v>
      </c>
      <c r="G104" s="437">
        <f t="shared" si="30"/>
        <v>523</v>
      </c>
      <c r="H104" s="437">
        <f t="shared" si="30"/>
        <v>0</v>
      </c>
      <c r="I104" s="437">
        <f t="shared" si="30"/>
        <v>2285</v>
      </c>
      <c r="J104" s="437">
        <f t="shared" si="30"/>
        <v>920</v>
      </c>
      <c r="K104" s="437">
        <f t="shared" si="30"/>
        <v>4415</v>
      </c>
      <c r="L104" s="437">
        <f t="shared" si="30"/>
        <v>1137</v>
      </c>
      <c r="M104" s="437">
        <f t="shared" si="30"/>
        <v>17619</v>
      </c>
      <c r="N104" s="437">
        <f t="shared" si="30"/>
        <v>12494</v>
      </c>
      <c r="O104" s="437">
        <f t="shared" si="30"/>
        <v>20525</v>
      </c>
      <c r="P104" s="437">
        <f t="shared" si="30"/>
        <v>14650</v>
      </c>
      <c r="Q104" s="437">
        <f t="shared" si="30"/>
        <v>11115</v>
      </c>
      <c r="R104" s="437">
        <f t="shared" si="30"/>
        <v>0</v>
      </c>
      <c r="S104" s="437">
        <f t="shared" si="30"/>
        <v>6815</v>
      </c>
      <c r="T104" s="437">
        <f t="shared" si="30"/>
        <v>6586</v>
      </c>
      <c r="U104" s="437">
        <f t="shared" si="30"/>
        <v>2008</v>
      </c>
      <c r="V104" s="437">
        <f t="shared" si="30"/>
        <v>267</v>
      </c>
      <c r="W104" s="437">
        <f t="shared" si="30"/>
        <v>0</v>
      </c>
      <c r="X104" s="437">
        <f t="shared" si="30"/>
        <v>6</v>
      </c>
      <c r="Y104" s="437">
        <f t="shared" si="30"/>
        <v>863</v>
      </c>
      <c r="Z104" s="437">
        <f t="shared" si="30"/>
        <v>57</v>
      </c>
      <c r="AA104" s="437">
        <f t="shared" si="30"/>
        <v>67106</v>
      </c>
      <c r="AB104" s="438">
        <f t="shared" si="30"/>
        <v>36566</v>
      </c>
    </row>
    <row r="105" spans="2:28" ht="18.600000000000001" thickBot="1" x14ac:dyDescent="0.4">
      <c r="B105" s="440" t="s">
        <v>1844</v>
      </c>
      <c r="C105" s="431">
        <f>(C104/61.5)+C110</f>
        <v>190.3739837398374</v>
      </c>
      <c r="D105" s="431">
        <f>(D104/61.5)+D110</f>
        <v>228.42276422764226</v>
      </c>
      <c r="E105" s="431">
        <f>(E104/55.5)+E110</f>
        <v>280.5045045045045</v>
      </c>
      <c r="F105" s="431">
        <f>(F104/55.5)+F110</f>
        <v>346.86486486486484</v>
      </c>
      <c r="G105" s="431">
        <f>(G104/61.5)+G110</f>
        <v>853.88617886178861</v>
      </c>
      <c r="H105" s="431">
        <f>(H104/61.5)+H110</f>
        <v>19.609756097560975</v>
      </c>
      <c r="I105" s="431">
        <f>(I104/59.5)+I110</f>
        <v>873.00840336134456</v>
      </c>
      <c r="J105" s="431">
        <f>(J104/59.5)+J110</f>
        <v>1019.9159663865546</v>
      </c>
      <c r="K105" s="431">
        <f>(K104/61.5)+K110</f>
        <v>1118.2764227642276</v>
      </c>
      <c r="L105" s="431">
        <f>(L104/61.5)+L110</f>
        <v>1070.1626016260163</v>
      </c>
      <c r="M105" s="431">
        <f>(M104/59.5)+M110</f>
        <v>1471.7310924369749</v>
      </c>
      <c r="N105" s="431">
        <f>(N104/59.5)+N110</f>
        <v>1351.9159663865546</v>
      </c>
      <c r="O105" s="431">
        <f>(O104/61.5)+O110</f>
        <v>1483.1219512195123</v>
      </c>
      <c r="P105" s="431">
        <f>(P104/61.5)+P110</f>
        <v>1254.780487804878</v>
      </c>
      <c r="Q105" s="431">
        <f>(Q104/61.5)+Q110</f>
        <v>1275.3495934959349</v>
      </c>
      <c r="R105" s="431">
        <f>(R104/61.5)+R110</f>
        <v>22.86178861788618</v>
      </c>
      <c r="S105" s="431">
        <f>(S104/59.5)+S110</f>
        <v>881.93277310924373</v>
      </c>
      <c r="T105" s="431">
        <f>(T104/59.5)+T110</f>
        <v>757.37815126050418</v>
      </c>
      <c r="U105" s="431">
        <f>(U104/61.5)+U110</f>
        <v>383.88617886178861</v>
      </c>
      <c r="V105" s="431">
        <f>(V104/61.5)+V110</f>
        <v>360.7479674796748</v>
      </c>
      <c r="W105" s="431">
        <f>(W104/59.5)+W110</f>
        <v>205.64705882352942</v>
      </c>
      <c r="X105" s="431">
        <f>(X104/59.5)+X110</f>
        <v>54.470588235294116</v>
      </c>
      <c r="Y105" s="431">
        <f>(Y104/61.5)+Y110</f>
        <v>228.16260162601625</v>
      </c>
      <c r="Z105" s="431">
        <f>(Z104/61.5)+Z110</f>
        <v>161.6260162601626</v>
      </c>
      <c r="AA105" s="432"/>
      <c r="AB105" s="433"/>
    </row>
    <row r="106" spans="2:28" ht="16.2" thickBot="1" x14ac:dyDescent="0.35"/>
    <row r="107" spans="2:28" ht="16.2" thickBot="1" x14ac:dyDescent="0.35">
      <c r="B107" s="356"/>
      <c r="C107" s="849" t="s">
        <v>991</v>
      </c>
      <c r="D107" s="850"/>
      <c r="E107" s="849" t="s">
        <v>992</v>
      </c>
      <c r="F107" s="850"/>
      <c r="G107" s="849" t="s">
        <v>993</v>
      </c>
      <c r="H107" s="850"/>
      <c r="I107" s="849" t="s">
        <v>48</v>
      </c>
      <c r="J107" s="850"/>
      <c r="K107" s="849" t="s">
        <v>2236</v>
      </c>
      <c r="L107" s="850"/>
      <c r="M107" s="851" t="s">
        <v>49</v>
      </c>
      <c r="N107" s="850"/>
      <c r="O107" s="849" t="s">
        <v>50</v>
      </c>
      <c r="P107" s="850"/>
      <c r="Q107" s="849" t="s">
        <v>51</v>
      </c>
      <c r="R107" s="850"/>
      <c r="S107" s="849" t="s">
        <v>2002</v>
      </c>
      <c r="T107" s="850"/>
      <c r="U107" s="849" t="s">
        <v>2003</v>
      </c>
      <c r="V107" s="850"/>
      <c r="W107" s="849" t="s">
        <v>2004</v>
      </c>
      <c r="X107" s="850"/>
      <c r="Y107" s="849" t="s">
        <v>2005</v>
      </c>
      <c r="Z107" s="851"/>
      <c r="AA107" s="852" t="s">
        <v>1510</v>
      </c>
      <c r="AB107" s="853"/>
    </row>
    <row r="108" spans="2:28" ht="16.2" thickBot="1" x14ac:dyDescent="0.35">
      <c r="B108" s="356"/>
      <c r="C108" s="367" t="s">
        <v>385</v>
      </c>
      <c r="D108" s="368" t="s">
        <v>386</v>
      </c>
      <c r="E108" s="367" t="s">
        <v>385</v>
      </c>
      <c r="F108" s="368" t="s">
        <v>386</v>
      </c>
      <c r="G108" s="367" t="s">
        <v>385</v>
      </c>
      <c r="H108" s="368" t="s">
        <v>386</v>
      </c>
      <c r="I108" s="367" t="s">
        <v>385</v>
      </c>
      <c r="J108" s="368" t="s">
        <v>386</v>
      </c>
      <c r="K108" s="367" t="s">
        <v>385</v>
      </c>
      <c r="L108" s="368" t="s">
        <v>386</v>
      </c>
      <c r="M108" s="404" t="s">
        <v>385</v>
      </c>
      <c r="N108" s="368" t="s">
        <v>386</v>
      </c>
      <c r="O108" s="367" t="s">
        <v>385</v>
      </c>
      <c r="P108" s="368" t="s">
        <v>386</v>
      </c>
      <c r="Q108" s="367" t="s">
        <v>385</v>
      </c>
      <c r="R108" s="368" t="s">
        <v>386</v>
      </c>
      <c r="S108" s="367" t="s">
        <v>385</v>
      </c>
      <c r="T108" s="368" t="s">
        <v>386</v>
      </c>
      <c r="U108" s="367" t="s">
        <v>385</v>
      </c>
      <c r="V108" s="368" t="s">
        <v>386</v>
      </c>
      <c r="W108" s="367" t="s">
        <v>385</v>
      </c>
      <c r="X108" s="368" t="s">
        <v>386</v>
      </c>
      <c r="Y108" s="367" t="s">
        <v>385</v>
      </c>
      <c r="Z108" s="368" t="s">
        <v>386</v>
      </c>
      <c r="AA108" s="369" t="s">
        <v>385</v>
      </c>
      <c r="AB108" s="369" t="s">
        <v>386</v>
      </c>
    </row>
    <row r="109" spans="2:28" ht="18.600000000000001" thickBot="1" x14ac:dyDescent="0.4">
      <c r="B109" s="436" t="s">
        <v>1847</v>
      </c>
      <c r="C109" s="437">
        <f t="shared" ref="C109:AB109" si="31">+C50+C60</f>
        <v>8319</v>
      </c>
      <c r="D109" s="437">
        <f t="shared" si="31"/>
        <v>11562</v>
      </c>
      <c r="E109" s="437">
        <f t="shared" si="31"/>
        <v>12699</v>
      </c>
      <c r="F109" s="437">
        <f t="shared" si="31"/>
        <v>16033</v>
      </c>
      <c r="G109" s="437">
        <f t="shared" si="31"/>
        <v>37894</v>
      </c>
      <c r="H109" s="437">
        <f t="shared" si="31"/>
        <v>0</v>
      </c>
      <c r="I109" s="437">
        <f t="shared" si="31"/>
        <v>35896</v>
      </c>
      <c r="J109" s="437">
        <f t="shared" si="31"/>
        <v>40784</v>
      </c>
      <c r="K109" s="437">
        <f t="shared" si="31"/>
        <v>44557</v>
      </c>
      <c r="L109" s="437">
        <f t="shared" si="31"/>
        <v>49741</v>
      </c>
      <c r="M109" s="437">
        <f t="shared" si="31"/>
        <v>51322</v>
      </c>
      <c r="N109" s="437">
        <f t="shared" si="31"/>
        <v>45643</v>
      </c>
      <c r="O109" s="437">
        <f t="shared" si="31"/>
        <v>45754</v>
      </c>
      <c r="P109" s="437">
        <f t="shared" si="31"/>
        <v>36928</v>
      </c>
      <c r="Q109" s="437">
        <f t="shared" si="31"/>
        <v>45725</v>
      </c>
      <c r="R109" s="437">
        <f t="shared" si="31"/>
        <v>0</v>
      </c>
      <c r="S109" s="437">
        <f t="shared" si="31"/>
        <v>34656</v>
      </c>
      <c r="T109" s="437">
        <f t="shared" si="31"/>
        <v>29623</v>
      </c>
      <c r="U109" s="437">
        <f t="shared" si="31"/>
        <v>17706</v>
      </c>
      <c r="V109" s="437">
        <f t="shared" si="31"/>
        <v>18752</v>
      </c>
      <c r="W109" s="437">
        <f t="shared" si="31"/>
        <v>11221</v>
      </c>
      <c r="X109" s="437">
        <f t="shared" si="31"/>
        <v>3023</v>
      </c>
      <c r="Y109" s="437">
        <f t="shared" si="31"/>
        <v>9449</v>
      </c>
      <c r="Z109" s="437">
        <f t="shared" si="31"/>
        <v>8979</v>
      </c>
      <c r="AA109" s="437">
        <f t="shared" si="31"/>
        <v>355198</v>
      </c>
      <c r="AB109" s="438">
        <f t="shared" si="31"/>
        <v>261068</v>
      </c>
    </row>
    <row r="110" spans="2:28" ht="18.600000000000001" thickBot="1" x14ac:dyDescent="0.4">
      <c r="B110" s="440" t="s">
        <v>1844</v>
      </c>
      <c r="C110" s="431">
        <f>SUM(C114+C109)/61.5</f>
        <v>182.42276422764229</v>
      </c>
      <c r="D110" s="431">
        <f t="shared" ref="D110:Z110" si="32">SUM(D114+D109)/61.5</f>
        <v>225.72357723577235</v>
      </c>
      <c r="E110" s="431">
        <f>SUM(E114+E109)/55.5</f>
        <v>272.41441441441441</v>
      </c>
      <c r="F110" s="431">
        <f>SUM(F114+F109)/55.5</f>
        <v>341.76576576576576</v>
      </c>
      <c r="G110" s="431">
        <f t="shared" si="32"/>
        <v>845.3821138211382</v>
      </c>
      <c r="H110" s="431">
        <f t="shared" si="32"/>
        <v>19.609756097560975</v>
      </c>
      <c r="I110" s="431">
        <f>SUM(I114+I109)/59.5</f>
        <v>834.60504201680669</v>
      </c>
      <c r="J110" s="431">
        <f>SUM(J114+J109)/59.5</f>
        <v>1004.453781512605</v>
      </c>
      <c r="K110" s="431">
        <f t="shared" si="32"/>
        <v>1046.4878048780488</v>
      </c>
      <c r="L110" s="431">
        <f t="shared" si="32"/>
        <v>1051.6747967479675</v>
      </c>
      <c r="M110" s="431">
        <f>SUM(M114+M109)/59.5</f>
        <v>1175.6134453781513</v>
      </c>
      <c r="N110" s="431">
        <f>SUM(N114+N109)/59.5</f>
        <v>1141.9327731092437</v>
      </c>
      <c r="O110" s="431">
        <f t="shared" si="32"/>
        <v>1149.3821138211383</v>
      </c>
      <c r="P110" s="431">
        <f t="shared" si="32"/>
        <v>1016.569105691057</v>
      </c>
      <c r="Q110" s="431">
        <f t="shared" si="32"/>
        <v>1094.6178861788617</v>
      </c>
      <c r="R110" s="431">
        <f t="shared" si="32"/>
        <v>22.86178861788618</v>
      </c>
      <c r="S110" s="431">
        <f>SUM(S114+S109)/59.5</f>
        <v>767.39495798319331</v>
      </c>
      <c r="T110" s="431">
        <f>SUM(T114+T109)/59.5</f>
        <v>646.68907563025209</v>
      </c>
      <c r="U110" s="431">
        <f t="shared" si="32"/>
        <v>351.23577235772359</v>
      </c>
      <c r="V110" s="431">
        <f t="shared" si="32"/>
        <v>356.40650406504068</v>
      </c>
      <c r="W110" s="431">
        <f>SUM(W114+W109)/59.5</f>
        <v>205.64705882352942</v>
      </c>
      <c r="X110" s="431">
        <f>SUM(X114+X109)/59.5</f>
        <v>54.369747899159663</v>
      </c>
      <c r="Y110" s="431">
        <f t="shared" si="32"/>
        <v>214.130081300813</v>
      </c>
      <c r="Z110" s="431">
        <f t="shared" si="32"/>
        <v>160.69918699186991</v>
      </c>
      <c r="AA110" s="432"/>
      <c r="AB110" s="433"/>
    </row>
    <row r="111" spans="2:28" ht="16.2" thickBot="1" x14ac:dyDescent="0.35"/>
    <row r="112" spans="2:28" ht="16.2" thickBot="1" x14ac:dyDescent="0.35">
      <c r="B112" s="356"/>
      <c r="C112" s="849" t="s">
        <v>991</v>
      </c>
      <c r="D112" s="850"/>
      <c r="E112" s="849" t="s">
        <v>992</v>
      </c>
      <c r="F112" s="850"/>
      <c r="G112" s="849" t="s">
        <v>993</v>
      </c>
      <c r="H112" s="850"/>
      <c r="I112" s="849" t="s">
        <v>48</v>
      </c>
      <c r="J112" s="850"/>
      <c r="K112" s="849" t="s">
        <v>2236</v>
      </c>
      <c r="L112" s="850"/>
      <c r="M112" s="851" t="s">
        <v>49</v>
      </c>
      <c r="N112" s="850"/>
      <c r="O112" s="849" t="s">
        <v>50</v>
      </c>
      <c r="P112" s="850"/>
      <c r="Q112" s="849" t="s">
        <v>51</v>
      </c>
      <c r="R112" s="850"/>
      <c r="S112" s="849" t="s">
        <v>2002</v>
      </c>
      <c r="T112" s="850"/>
      <c r="U112" s="849" t="s">
        <v>2003</v>
      </c>
      <c r="V112" s="850"/>
      <c r="W112" s="849" t="s">
        <v>2004</v>
      </c>
      <c r="X112" s="850"/>
      <c r="Y112" s="849" t="s">
        <v>2005</v>
      </c>
      <c r="Z112" s="851"/>
      <c r="AA112" s="852" t="s">
        <v>1510</v>
      </c>
      <c r="AB112" s="853"/>
    </row>
    <row r="113" spans="2:28" ht="16.2" thickBot="1" x14ac:dyDescent="0.35">
      <c r="B113" s="356"/>
      <c r="C113" s="367" t="s">
        <v>385</v>
      </c>
      <c r="D113" s="368" t="s">
        <v>386</v>
      </c>
      <c r="E113" s="367" t="s">
        <v>385</v>
      </c>
      <c r="F113" s="368" t="s">
        <v>386</v>
      </c>
      <c r="G113" s="367" t="s">
        <v>385</v>
      </c>
      <c r="H113" s="368" t="s">
        <v>386</v>
      </c>
      <c r="I113" s="367" t="s">
        <v>385</v>
      </c>
      <c r="J113" s="368" t="s">
        <v>386</v>
      </c>
      <c r="K113" s="367" t="s">
        <v>385</v>
      </c>
      <c r="L113" s="368" t="s">
        <v>386</v>
      </c>
      <c r="M113" s="404" t="s">
        <v>385</v>
      </c>
      <c r="N113" s="368" t="s">
        <v>386</v>
      </c>
      <c r="O113" s="367" t="s">
        <v>385</v>
      </c>
      <c r="P113" s="368" t="s">
        <v>386</v>
      </c>
      <c r="Q113" s="367" t="s">
        <v>385</v>
      </c>
      <c r="R113" s="368" t="s">
        <v>386</v>
      </c>
      <c r="S113" s="367" t="s">
        <v>385</v>
      </c>
      <c r="T113" s="368" t="s">
        <v>386</v>
      </c>
      <c r="U113" s="367" t="s">
        <v>385</v>
      </c>
      <c r="V113" s="368" t="s">
        <v>386</v>
      </c>
      <c r="W113" s="367" t="s">
        <v>385</v>
      </c>
      <c r="X113" s="368" t="s">
        <v>386</v>
      </c>
      <c r="Y113" s="367" t="s">
        <v>385</v>
      </c>
      <c r="Z113" s="368" t="s">
        <v>386</v>
      </c>
      <c r="AA113" s="369" t="s">
        <v>385</v>
      </c>
      <c r="AB113" s="369" t="s">
        <v>386</v>
      </c>
    </row>
    <row r="114" spans="2:28" ht="18.600000000000001" thickBot="1" x14ac:dyDescent="0.4">
      <c r="B114" s="436" t="s">
        <v>1848</v>
      </c>
      <c r="C114" s="437">
        <f>+C70+C77+C78</f>
        <v>2900</v>
      </c>
      <c r="D114" s="437">
        <f t="shared" ref="D114:AB114" si="33">+D70+D77+D78</f>
        <v>2320</v>
      </c>
      <c r="E114" s="437">
        <f t="shared" si="33"/>
        <v>2420</v>
      </c>
      <c r="F114" s="437">
        <f t="shared" si="33"/>
        <v>2935</v>
      </c>
      <c r="G114" s="437">
        <f t="shared" si="33"/>
        <v>14097</v>
      </c>
      <c r="H114" s="437">
        <f t="shared" si="33"/>
        <v>1206</v>
      </c>
      <c r="I114" s="437">
        <f t="shared" si="33"/>
        <v>13763</v>
      </c>
      <c r="J114" s="437">
        <f t="shared" si="33"/>
        <v>18981</v>
      </c>
      <c r="K114" s="437">
        <f t="shared" si="33"/>
        <v>19802</v>
      </c>
      <c r="L114" s="437">
        <f t="shared" si="33"/>
        <v>14937</v>
      </c>
      <c r="M114" s="437">
        <f t="shared" si="33"/>
        <v>18627</v>
      </c>
      <c r="N114" s="437">
        <f t="shared" si="33"/>
        <v>22302</v>
      </c>
      <c r="O114" s="437">
        <f t="shared" si="33"/>
        <v>24933</v>
      </c>
      <c r="P114" s="437">
        <f t="shared" si="33"/>
        <v>25591</v>
      </c>
      <c r="Q114" s="437">
        <f t="shared" si="33"/>
        <v>21594</v>
      </c>
      <c r="R114" s="437">
        <f t="shared" si="33"/>
        <v>1406</v>
      </c>
      <c r="S114" s="437">
        <f t="shared" si="33"/>
        <v>11004</v>
      </c>
      <c r="T114" s="437">
        <f t="shared" si="33"/>
        <v>8855</v>
      </c>
      <c r="U114" s="437">
        <f t="shared" si="33"/>
        <v>3895</v>
      </c>
      <c r="V114" s="437">
        <f t="shared" si="33"/>
        <v>3167</v>
      </c>
      <c r="W114" s="437">
        <f t="shared" si="33"/>
        <v>1015</v>
      </c>
      <c r="X114" s="437">
        <f t="shared" si="33"/>
        <v>212</v>
      </c>
      <c r="Y114" s="437">
        <f t="shared" si="33"/>
        <v>3720</v>
      </c>
      <c r="Z114" s="437">
        <f t="shared" si="33"/>
        <v>904</v>
      </c>
      <c r="AA114" s="437">
        <f t="shared" si="33"/>
        <v>137770</v>
      </c>
      <c r="AB114" s="438">
        <f t="shared" si="33"/>
        <v>102816</v>
      </c>
    </row>
    <row r="115" spans="2:28" ht="18.600000000000001" thickBot="1" x14ac:dyDescent="0.4">
      <c r="B115" s="440" t="s">
        <v>1488</v>
      </c>
      <c r="C115" s="431">
        <f>C114/61.5</f>
        <v>47.154471544715449</v>
      </c>
      <c r="D115" s="431">
        <f>D114/61.5</f>
        <v>37.72357723577236</v>
      </c>
      <c r="E115" s="431">
        <f>E114/55.5</f>
        <v>43.603603603603602</v>
      </c>
      <c r="F115" s="431">
        <f>F114/55.5</f>
        <v>52.882882882882882</v>
      </c>
      <c r="G115" s="431">
        <f>G114/61.5</f>
        <v>229.21951219512195</v>
      </c>
      <c r="H115" s="431">
        <f>H114/61.5</f>
        <v>19.609756097560975</v>
      </c>
      <c r="I115" s="431">
        <f>I114/59.5</f>
        <v>231.31092436974791</v>
      </c>
      <c r="J115" s="431">
        <f>J114/59.5</f>
        <v>319.00840336134456</v>
      </c>
      <c r="K115" s="431">
        <f>K114/61.5</f>
        <v>321.98373983739839</v>
      </c>
      <c r="L115" s="431">
        <f>L114/61.5</f>
        <v>242.8780487804878</v>
      </c>
      <c r="M115" s="431">
        <f>M114/59.5</f>
        <v>313.05882352941177</v>
      </c>
      <c r="N115" s="431">
        <f>N114/59.5</f>
        <v>374.8235294117647</v>
      </c>
      <c r="O115" s="431">
        <f>O114/61.5</f>
        <v>405.41463414634148</v>
      </c>
      <c r="P115" s="431">
        <f>P114/61.5</f>
        <v>416.11382113821139</v>
      </c>
      <c r="Q115" s="431">
        <f>Q114/61.5</f>
        <v>351.1219512195122</v>
      </c>
      <c r="R115" s="431">
        <f>R114/61.5</f>
        <v>22.86178861788618</v>
      </c>
      <c r="S115" s="431">
        <f>S114/59.5</f>
        <v>184.94117647058823</v>
      </c>
      <c r="T115" s="431">
        <f>T114/59.5</f>
        <v>148.8235294117647</v>
      </c>
      <c r="U115" s="431">
        <f>U114/61.5</f>
        <v>63.333333333333336</v>
      </c>
      <c r="V115" s="431">
        <f>V114/61.5</f>
        <v>51.49593495934959</v>
      </c>
      <c r="W115" s="431">
        <f>W114/59.5</f>
        <v>17.058823529411764</v>
      </c>
      <c r="X115" s="431">
        <f>X114/59.5</f>
        <v>3.5630252100840338</v>
      </c>
      <c r="Y115" s="431">
        <f>Y114/61.5</f>
        <v>60.487804878048777</v>
      </c>
      <c r="Z115" s="431">
        <f>Z114/61.5</f>
        <v>14.699186991869919</v>
      </c>
      <c r="AA115" s="432"/>
      <c r="AB115" s="433"/>
    </row>
    <row r="116" spans="2:28" ht="16.2" thickBot="1" x14ac:dyDescent="0.35"/>
    <row r="117" spans="2:28" ht="16.2" thickBot="1" x14ac:dyDescent="0.35">
      <c r="B117" s="356"/>
      <c r="C117" s="849" t="s">
        <v>991</v>
      </c>
      <c r="D117" s="850"/>
      <c r="E117" s="849" t="s">
        <v>992</v>
      </c>
      <c r="F117" s="850"/>
      <c r="G117" s="849" t="s">
        <v>993</v>
      </c>
      <c r="H117" s="850"/>
      <c r="I117" s="849" t="s">
        <v>48</v>
      </c>
      <c r="J117" s="850"/>
      <c r="K117" s="849" t="s">
        <v>2236</v>
      </c>
      <c r="L117" s="850"/>
      <c r="M117" s="851" t="s">
        <v>49</v>
      </c>
      <c r="N117" s="850"/>
      <c r="O117" s="849" t="s">
        <v>50</v>
      </c>
      <c r="P117" s="850"/>
      <c r="Q117" s="849" t="s">
        <v>51</v>
      </c>
      <c r="R117" s="850"/>
      <c r="S117" s="849" t="s">
        <v>2002</v>
      </c>
      <c r="T117" s="850"/>
      <c r="U117" s="849" t="s">
        <v>2003</v>
      </c>
      <c r="V117" s="850"/>
      <c r="W117" s="849" t="s">
        <v>2004</v>
      </c>
      <c r="X117" s="850"/>
      <c r="Y117" s="849" t="s">
        <v>2005</v>
      </c>
      <c r="Z117" s="851"/>
      <c r="AA117" s="852" t="s">
        <v>1510</v>
      </c>
      <c r="AB117" s="853"/>
    </row>
    <row r="118" spans="2:28" ht="16.2" thickBot="1" x14ac:dyDescent="0.35">
      <c r="B118" s="356"/>
      <c r="C118" s="367" t="s">
        <v>385</v>
      </c>
      <c r="D118" s="368" t="s">
        <v>386</v>
      </c>
      <c r="E118" s="367" t="s">
        <v>385</v>
      </c>
      <c r="F118" s="368" t="s">
        <v>386</v>
      </c>
      <c r="G118" s="367" t="s">
        <v>385</v>
      </c>
      <c r="H118" s="368" t="s">
        <v>386</v>
      </c>
      <c r="I118" s="367" t="s">
        <v>385</v>
      </c>
      <c r="J118" s="368" t="s">
        <v>386</v>
      </c>
      <c r="K118" s="367" t="s">
        <v>385</v>
      </c>
      <c r="L118" s="368" t="s">
        <v>386</v>
      </c>
      <c r="M118" s="404" t="s">
        <v>385</v>
      </c>
      <c r="N118" s="368" t="s">
        <v>386</v>
      </c>
      <c r="O118" s="367" t="s">
        <v>385</v>
      </c>
      <c r="P118" s="368" t="s">
        <v>386</v>
      </c>
      <c r="Q118" s="367" t="s">
        <v>385</v>
      </c>
      <c r="R118" s="368" t="s">
        <v>386</v>
      </c>
      <c r="S118" s="367" t="s">
        <v>385</v>
      </c>
      <c r="T118" s="368" t="s">
        <v>386</v>
      </c>
      <c r="U118" s="367" t="s">
        <v>385</v>
      </c>
      <c r="V118" s="368" t="s">
        <v>386</v>
      </c>
      <c r="W118" s="367" t="s">
        <v>385</v>
      </c>
      <c r="X118" s="368" t="s">
        <v>386</v>
      </c>
      <c r="Y118" s="367" t="s">
        <v>385</v>
      </c>
      <c r="Z118" s="368" t="s">
        <v>386</v>
      </c>
      <c r="AA118" s="369" t="s">
        <v>385</v>
      </c>
      <c r="AB118" s="369" t="s">
        <v>386</v>
      </c>
    </row>
    <row r="119" spans="2:28" ht="18.600000000000001" thickBot="1" x14ac:dyDescent="0.4">
      <c r="B119" s="441" t="s">
        <v>1516</v>
      </c>
      <c r="C119" s="428">
        <f>+C89+C94+C99+C104+C109+C114</f>
        <v>15116</v>
      </c>
      <c r="D119" s="428">
        <f t="shared" ref="D119:AB119" si="34">+D89+D94+D99+D104+D109+D114</f>
        <v>16797</v>
      </c>
      <c r="E119" s="428">
        <f t="shared" si="34"/>
        <v>20151</v>
      </c>
      <c r="F119" s="428">
        <f t="shared" si="34"/>
        <v>24319</v>
      </c>
      <c r="G119" s="428">
        <f t="shared" si="34"/>
        <v>63368</v>
      </c>
      <c r="H119" s="428">
        <f t="shared" si="34"/>
        <v>1206</v>
      </c>
      <c r="I119" s="428">
        <f t="shared" si="34"/>
        <v>65570</v>
      </c>
      <c r="J119" s="428">
        <f t="shared" si="34"/>
        <v>72718</v>
      </c>
      <c r="K119" s="428">
        <f t="shared" si="34"/>
        <v>82136</v>
      </c>
      <c r="L119" s="428">
        <f t="shared" si="34"/>
        <v>81254</v>
      </c>
      <c r="M119" s="428">
        <f t="shared" si="34"/>
        <v>110279</v>
      </c>
      <c r="N119" s="428">
        <f t="shared" si="34"/>
        <v>96045</v>
      </c>
      <c r="O119" s="428">
        <f t="shared" si="34"/>
        <v>108817</v>
      </c>
      <c r="P119" s="428">
        <f t="shared" si="34"/>
        <v>92186</v>
      </c>
      <c r="Q119" s="447">
        <f t="shared" si="34"/>
        <v>99352</v>
      </c>
      <c r="R119" s="428">
        <f t="shared" si="34"/>
        <v>1406</v>
      </c>
      <c r="S119" s="428">
        <f t="shared" si="34"/>
        <v>73728</v>
      </c>
      <c r="T119" s="428">
        <f t="shared" si="34"/>
        <v>54658</v>
      </c>
      <c r="U119" s="428">
        <f t="shared" si="34"/>
        <v>42282</v>
      </c>
      <c r="V119" s="428">
        <f t="shared" si="34"/>
        <v>29197</v>
      </c>
      <c r="W119" s="428">
        <f t="shared" si="34"/>
        <v>16426</v>
      </c>
      <c r="X119" s="428">
        <f t="shared" si="34"/>
        <v>5421</v>
      </c>
      <c r="Y119" s="428">
        <f t="shared" si="34"/>
        <v>19563</v>
      </c>
      <c r="Z119" s="428">
        <f t="shared" si="34"/>
        <v>12755</v>
      </c>
      <c r="AA119" s="428">
        <f t="shared" si="34"/>
        <v>716788</v>
      </c>
      <c r="AB119" s="429">
        <f t="shared" si="34"/>
        <v>487962</v>
      </c>
    </row>
    <row r="120" spans="2:28" ht="18.600000000000001" thickBot="1" x14ac:dyDescent="0.4">
      <c r="B120" s="430" t="s">
        <v>512</v>
      </c>
      <c r="C120" s="431">
        <f>C119/61.5</f>
        <v>245.78861788617886</v>
      </c>
      <c r="D120" s="431">
        <f>D119/61.5</f>
        <v>273.1219512195122</v>
      </c>
      <c r="E120" s="431">
        <f>E119/55.5</f>
        <v>363.08108108108109</v>
      </c>
      <c r="F120" s="431">
        <f>F119/55.5</f>
        <v>438.18018018018017</v>
      </c>
      <c r="G120" s="431">
        <f>G119/61.5</f>
        <v>1030.3739837398373</v>
      </c>
      <c r="H120" s="431">
        <f>H119/61.5</f>
        <v>19.609756097560975</v>
      </c>
      <c r="I120" s="431">
        <f>I119/59.5</f>
        <v>1102.0168067226891</v>
      </c>
      <c r="J120" s="431">
        <f>J119/59.5</f>
        <v>1222.1512605042017</v>
      </c>
      <c r="K120" s="431">
        <f>K119/61.5</f>
        <v>1335.5447154471544</v>
      </c>
      <c r="L120" s="431">
        <f>L119/61.5</f>
        <v>1321.2032520325204</v>
      </c>
      <c r="M120" s="431">
        <f>M119/59.5</f>
        <v>1853.4285714285713</v>
      </c>
      <c r="N120" s="431">
        <f>N119/59.5</f>
        <v>1614.2016806722688</v>
      </c>
      <c r="O120" s="431">
        <f>O119/61.5</f>
        <v>1769.3821138211383</v>
      </c>
      <c r="P120" s="431">
        <f>P119/61.5</f>
        <v>1498.959349593496</v>
      </c>
      <c r="Q120" s="431">
        <f>Q119/61.5</f>
        <v>1615.479674796748</v>
      </c>
      <c r="R120" s="431">
        <f>R119/61.5</f>
        <v>22.86178861788618</v>
      </c>
      <c r="S120" s="431">
        <f>S119/59.5</f>
        <v>1239.126050420168</v>
      </c>
      <c r="T120" s="431">
        <f>T119/59.5</f>
        <v>918.62184873949582</v>
      </c>
      <c r="U120" s="431">
        <f>U119/61.5</f>
        <v>687.51219512195121</v>
      </c>
      <c r="V120" s="431">
        <f>V119/61.5</f>
        <v>474.7479674796748</v>
      </c>
      <c r="W120" s="431">
        <f>W119/59.5</f>
        <v>276.06722689075633</v>
      </c>
      <c r="X120" s="431">
        <f>X119/59.5</f>
        <v>91.109243697478988</v>
      </c>
      <c r="Y120" s="431">
        <f>Y119/61.5</f>
        <v>318.09756097560978</v>
      </c>
      <c r="Z120" s="431">
        <f>Z119/61.5</f>
        <v>207.39837398373984</v>
      </c>
      <c r="AA120" s="432"/>
      <c r="AB120" s="433"/>
    </row>
  </sheetData>
  <mergeCells count="148">
    <mergeCell ref="I64:J64"/>
    <mergeCell ref="B6:AB6"/>
    <mergeCell ref="C9:D9"/>
    <mergeCell ref="U9:V9"/>
    <mergeCell ref="W9:X9"/>
    <mergeCell ref="M9:N9"/>
    <mergeCell ref="Y64:Z64"/>
    <mergeCell ref="AA64:AB64"/>
    <mergeCell ref="O64:P64"/>
    <mergeCell ref="M64:N64"/>
    <mergeCell ref="O9:P9"/>
    <mergeCell ref="Q9:R9"/>
    <mergeCell ref="S9:T9"/>
    <mergeCell ref="Q64:R64"/>
    <mergeCell ref="S64:T64"/>
    <mergeCell ref="AA9:AB9"/>
    <mergeCell ref="E9:F9"/>
    <mergeCell ref="G9:H9"/>
    <mergeCell ref="I9:J9"/>
    <mergeCell ref="K9:L9"/>
    <mergeCell ref="M74:N74"/>
    <mergeCell ref="A1:AB1"/>
    <mergeCell ref="B2:AB2"/>
    <mergeCell ref="B3:AB3"/>
    <mergeCell ref="B5:AB5"/>
    <mergeCell ref="Y9:Z9"/>
    <mergeCell ref="U64:V64"/>
    <mergeCell ref="W64:X64"/>
    <mergeCell ref="U74:V74"/>
    <mergeCell ref="O74:P74"/>
    <mergeCell ref="Q74:R74"/>
    <mergeCell ref="S74:T74"/>
    <mergeCell ref="W74:X74"/>
    <mergeCell ref="Y74:Z74"/>
    <mergeCell ref="AA74:AB74"/>
    <mergeCell ref="C74:D74"/>
    <mergeCell ref="E74:F74"/>
    <mergeCell ref="G74:H74"/>
    <mergeCell ref="I74:J74"/>
    <mergeCell ref="K64:L64"/>
    <mergeCell ref="K74:L74"/>
    <mergeCell ref="C64:D64"/>
    <mergeCell ref="E64:F64"/>
    <mergeCell ref="G64:H64"/>
    <mergeCell ref="C82:D82"/>
    <mergeCell ref="E82:F82"/>
    <mergeCell ref="G82:H82"/>
    <mergeCell ref="I82:J82"/>
    <mergeCell ref="K82:L82"/>
    <mergeCell ref="Y82:Z82"/>
    <mergeCell ref="AA82:AB82"/>
    <mergeCell ref="C87:D87"/>
    <mergeCell ref="E87:F87"/>
    <mergeCell ref="G87:H87"/>
    <mergeCell ref="I87:J87"/>
    <mergeCell ref="K87:L87"/>
    <mergeCell ref="U87:V87"/>
    <mergeCell ref="W87:X87"/>
    <mergeCell ref="S82:T82"/>
    <mergeCell ref="U82:V82"/>
    <mergeCell ref="W82:X82"/>
    <mergeCell ref="M87:N87"/>
    <mergeCell ref="O87:P87"/>
    <mergeCell ref="Q87:R87"/>
    <mergeCell ref="S87:T87"/>
    <mergeCell ref="M82:N82"/>
    <mergeCell ref="O82:P82"/>
    <mergeCell ref="Q82:R82"/>
    <mergeCell ref="Y87:Z87"/>
    <mergeCell ref="AA87:AB87"/>
    <mergeCell ref="C92:D92"/>
    <mergeCell ref="E92:F92"/>
    <mergeCell ref="G92:H92"/>
    <mergeCell ref="I92:J92"/>
    <mergeCell ref="K92:L92"/>
    <mergeCell ref="M92:N92"/>
    <mergeCell ref="O92:P92"/>
    <mergeCell ref="Q92:R92"/>
    <mergeCell ref="Y92:Z92"/>
    <mergeCell ref="AA92:AB92"/>
    <mergeCell ref="U97:V97"/>
    <mergeCell ref="W97:X97"/>
    <mergeCell ref="S92:T92"/>
    <mergeCell ref="U92:V92"/>
    <mergeCell ref="W92:X92"/>
    <mergeCell ref="M97:N97"/>
    <mergeCell ref="O97:P97"/>
    <mergeCell ref="Q97:R97"/>
    <mergeCell ref="S97:T97"/>
    <mergeCell ref="Y97:Z97"/>
    <mergeCell ref="AA97:AB97"/>
    <mergeCell ref="AA102:AB102"/>
    <mergeCell ref="S112:T112"/>
    <mergeCell ref="U112:V112"/>
    <mergeCell ref="W112:X112"/>
    <mergeCell ref="Y112:Z112"/>
    <mergeCell ref="C102:D102"/>
    <mergeCell ref="E102:F102"/>
    <mergeCell ref="G102:H102"/>
    <mergeCell ref="I102:J102"/>
    <mergeCell ref="K102:L102"/>
    <mergeCell ref="M102:N102"/>
    <mergeCell ref="O102:P102"/>
    <mergeCell ref="Q102:R102"/>
    <mergeCell ref="Y102:Z102"/>
    <mergeCell ref="S102:T102"/>
    <mergeCell ref="U102:V102"/>
    <mergeCell ref="W102:X102"/>
    <mergeCell ref="C97:D97"/>
    <mergeCell ref="E97:F97"/>
    <mergeCell ref="G97:H97"/>
    <mergeCell ref="I97:J97"/>
    <mergeCell ref="K97:L97"/>
    <mergeCell ref="AA112:AB112"/>
    <mergeCell ref="AA117:AB117"/>
    <mergeCell ref="M117:N117"/>
    <mergeCell ref="O117:P117"/>
    <mergeCell ref="Q117:R117"/>
    <mergeCell ref="S117:T117"/>
    <mergeCell ref="M107:N107"/>
    <mergeCell ref="O107:P107"/>
    <mergeCell ref="Q107:R107"/>
    <mergeCell ref="S107:T107"/>
    <mergeCell ref="AA107:AB107"/>
    <mergeCell ref="Y117:Z117"/>
    <mergeCell ref="Y107:Z107"/>
    <mergeCell ref="C107:D107"/>
    <mergeCell ref="E107:F107"/>
    <mergeCell ref="G107:H107"/>
    <mergeCell ref="I107:J107"/>
    <mergeCell ref="K107:L107"/>
    <mergeCell ref="U107:V107"/>
    <mergeCell ref="W107:X107"/>
    <mergeCell ref="U117:V117"/>
    <mergeCell ref="W117:X117"/>
    <mergeCell ref="C117:D117"/>
    <mergeCell ref="E117:F117"/>
    <mergeCell ref="G117:H117"/>
    <mergeCell ref="I117:J117"/>
    <mergeCell ref="K117:L117"/>
    <mergeCell ref="C112:D112"/>
    <mergeCell ref="E112:F112"/>
    <mergeCell ref="G112:H112"/>
    <mergeCell ref="I112:J112"/>
    <mergeCell ref="K112:L112"/>
    <mergeCell ref="M112:N112"/>
    <mergeCell ref="O112:P112"/>
    <mergeCell ref="Q112:R112"/>
  </mergeCells>
  <phoneticPr fontId="34" type="noConversion"/>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B3:O36"/>
  <sheetViews>
    <sheetView zoomScale="90" zoomScaleNormal="90" workbookViewId="0">
      <selection activeCell="C5" sqref="C5"/>
    </sheetView>
  </sheetViews>
  <sheetFormatPr defaultRowHeight="15.6" x14ac:dyDescent="0.3"/>
  <cols>
    <col min="3" max="3" width="9.453125" bestFit="1" customWidth="1"/>
    <col min="15" max="15" width="9.453125" bestFit="1" customWidth="1"/>
  </cols>
  <sheetData>
    <row r="3" spans="2:15" x14ac:dyDescent="0.3">
      <c r="C3" s="788" t="s">
        <v>3016</v>
      </c>
      <c r="D3" s="788"/>
      <c r="E3" s="788"/>
      <c r="F3" s="788"/>
      <c r="G3" s="788"/>
      <c r="H3" s="788"/>
      <c r="I3" s="788"/>
      <c r="J3" s="788"/>
      <c r="K3" s="788"/>
      <c r="L3" s="788"/>
      <c r="M3" s="788"/>
      <c r="N3" s="788"/>
    </row>
    <row r="4" spans="2:15" x14ac:dyDescent="0.3">
      <c r="C4" t="s">
        <v>1354</v>
      </c>
      <c r="D4" t="s">
        <v>706</v>
      </c>
      <c r="E4" t="s">
        <v>707</v>
      </c>
      <c r="F4" t="s">
        <v>1321</v>
      </c>
      <c r="G4" t="s">
        <v>1905</v>
      </c>
      <c r="H4" t="s">
        <v>1906</v>
      </c>
      <c r="I4" t="s">
        <v>1907</v>
      </c>
      <c r="J4" t="s">
        <v>1908</v>
      </c>
      <c r="K4" t="s">
        <v>2352</v>
      </c>
      <c r="L4" t="s">
        <v>2353</v>
      </c>
      <c r="M4" t="s">
        <v>2354</v>
      </c>
      <c r="N4" t="s">
        <v>2355</v>
      </c>
      <c r="O4" t="s">
        <v>2356</v>
      </c>
    </row>
    <row r="5" spans="2:15" x14ac:dyDescent="0.3">
      <c r="B5">
        <v>2015</v>
      </c>
      <c r="C5">
        <f>+'2015'!$B$13</f>
        <v>58728</v>
      </c>
      <c r="D5">
        <f>+'2015'!$C$13</f>
        <v>77475</v>
      </c>
      <c r="E5">
        <f>+'2015'!$D$13</f>
        <v>134316</v>
      </c>
      <c r="F5">
        <f>+'2015'!$F$13</f>
        <v>183305</v>
      </c>
      <c r="G5">
        <f>+'2015'!$G$13</f>
        <v>146795</v>
      </c>
      <c r="H5">
        <f>+'2015'!$H$13</f>
        <v>166051</v>
      </c>
      <c r="I5">
        <f>+'2015'!$J$13</f>
        <v>156931</v>
      </c>
      <c r="J5">
        <f>+'2015'!$K$13</f>
        <v>165338</v>
      </c>
      <c r="K5">
        <f>+'2015'!$L$13</f>
        <v>121912</v>
      </c>
      <c r="L5">
        <f>+'2015'!$N$13</f>
        <v>96557</v>
      </c>
      <c r="M5">
        <f>+'2015'!$O$13</f>
        <v>63748</v>
      </c>
      <c r="N5">
        <f>+'2015'!$P$13</f>
        <v>78053</v>
      </c>
      <c r="O5">
        <f t="shared" ref="O5:O10" si="0">+SUM(C5:N5)</f>
        <v>1449209</v>
      </c>
    </row>
    <row r="6" spans="2:15" x14ac:dyDescent="0.3">
      <c r="B6">
        <v>2014</v>
      </c>
      <c r="C6">
        <f>+'2014'!$B$13</f>
        <v>54644</v>
      </c>
      <c r="D6">
        <f>+'2014'!$C$13</f>
        <v>73683</v>
      </c>
      <c r="E6">
        <f>+'2014'!$D$13</f>
        <v>123825</v>
      </c>
      <c r="F6">
        <f>+'2014'!$F$13</f>
        <v>164245</v>
      </c>
      <c r="G6">
        <f>+'2014'!$G$13</f>
        <v>187340</v>
      </c>
      <c r="H6">
        <f>+'2014'!$H$13</f>
        <v>194295</v>
      </c>
      <c r="I6">
        <f>+'2014'!$J$13</f>
        <v>183511</v>
      </c>
      <c r="J6">
        <f>+'2014'!$K$13</f>
        <v>165587</v>
      </c>
      <c r="K6">
        <f>+'2014'!$L$13</f>
        <v>114740</v>
      </c>
      <c r="L6">
        <f>+'2014'!$N$13</f>
        <v>110496</v>
      </c>
      <c r="M6">
        <f>+'2014'!$O$13</f>
        <v>82300</v>
      </c>
      <c r="N6">
        <f>+'2014'!$P$13</f>
        <v>71294</v>
      </c>
      <c r="O6">
        <f t="shared" si="0"/>
        <v>1525960</v>
      </c>
    </row>
    <row r="7" spans="2:15" x14ac:dyDescent="0.3">
      <c r="B7">
        <v>2013</v>
      </c>
      <c r="C7">
        <f>+'2013'!$B$13</f>
        <v>50994</v>
      </c>
      <c r="D7">
        <f>+'2013'!$C$13</f>
        <v>53487</v>
      </c>
      <c r="E7">
        <f>+'2013'!$D$13</f>
        <v>105997</v>
      </c>
      <c r="F7">
        <f>+'2013'!$F$13</f>
        <v>176631</v>
      </c>
      <c r="G7">
        <f>+'2013'!$G$13</f>
        <v>187821</v>
      </c>
      <c r="H7">
        <f>+'2013'!$H$13</f>
        <v>210914</v>
      </c>
      <c r="I7">
        <f>+'2013'!$J$13</f>
        <v>179001</v>
      </c>
      <c r="J7">
        <f>+'2013'!$K$13</f>
        <v>179261</v>
      </c>
      <c r="K7">
        <f>+'2013'!$L$13</f>
        <v>118144</v>
      </c>
      <c r="L7">
        <f>+'2013'!$N$13</f>
        <v>105253</v>
      </c>
      <c r="M7">
        <f>+'2013'!$O$13</f>
        <v>59424</v>
      </c>
      <c r="N7">
        <f>+'2013'!$P$13</f>
        <v>93077</v>
      </c>
      <c r="O7">
        <f t="shared" si="0"/>
        <v>1520004</v>
      </c>
    </row>
    <row r="8" spans="2:15" x14ac:dyDescent="0.3">
      <c r="B8">
        <v>2012</v>
      </c>
      <c r="C8">
        <f>+'2012'!$B$14</f>
        <v>71862</v>
      </c>
      <c r="D8">
        <f>+'2012'!$C$14</f>
        <v>97013</v>
      </c>
      <c r="E8">
        <f>+'2012'!$D$14</f>
        <v>138394</v>
      </c>
      <c r="F8">
        <f>+'2012'!$F$14</f>
        <v>173973</v>
      </c>
      <c r="G8">
        <f>+'2012'!$G$14</f>
        <v>190845</v>
      </c>
      <c r="H8">
        <f>+'2012'!$H$14</f>
        <v>207776</v>
      </c>
      <c r="I8">
        <f>+'2012'!$J$14</f>
        <v>174557</v>
      </c>
      <c r="J8">
        <f>+'2012'!$K$14</f>
        <v>175287</v>
      </c>
      <c r="K8">
        <f>+'2012'!$L$14</f>
        <v>133433</v>
      </c>
      <c r="L8">
        <f>+'2012'!$N$14</f>
        <v>101903</v>
      </c>
      <c r="M8">
        <f>+'2012'!$O$14</f>
        <v>59004</v>
      </c>
      <c r="N8">
        <f>+'2012'!$P$14</f>
        <v>74452.000000000015</v>
      </c>
      <c r="O8">
        <f t="shared" si="0"/>
        <v>1598499</v>
      </c>
    </row>
    <row r="9" spans="2:15" x14ac:dyDescent="0.3">
      <c r="B9">
        <v>2011</v>
      </c>
      <c r="C9">
        <f>+'2011'!$B$14</f>
        <v>66498</v>
      </c>
      <c r="D9">
        <f>+'2011'!$C$14</f>
        <v>78366</v>
      </c>
      <c r="E9">
        <f>+'2011'!$D$14</f>
        <v>135796</v>
      </c>
      <c r="F9">
        <f>+'2011'!$F$14</f>
        <v>151715</v>
      </c>
      <c r="G9">
        <f>+'2011'!$G$14</f>
        <v>177404</v>
      </c>
      <c r="H9">
        <f>+'2011'!$H$14</f>
        <v>223913</v>
      </c>
      <c r="I9">
        <f>+'2011'!$J$14</f>
        <v>229857</v>
      </c>
      <c r="J9">
        <f>+'2011'!$K$14</f>
        <v>215585</v>
      </c>
      <c r="K9">
        <f>+'2011'!$L$14</f>
        <v>138247</v>
      </c>
      <c r="L9">
        <f>+'2011'!$N$14</f>
        <v>90308</v>
      </c>
      <c r="M9">
        <f>+'2011'!$O$14</f>
        <v>48560</v>
      </c>
      <c r="N9">
        <f>+'2011'!$P$14</f>
        <v>60098</v>
      </c>
      <c r="O9">
        <f t="shared" si="0"/>
        <v>1616347</v>
      </c>
    </row>
    <row r="10" spans="2:15" x14ac:dyDescent="0.3">
      <c r="B10">
        <v>2010</v>
      </c>
      <c r="C10">
        <f>+'2010'!$B$14</f>
        <v>56674</v>
      </c>
      <c r="D10">
        <f>+'2010'!$C$14</f>
        <v>56869</v>
      </c>
      <c r="E10">
        <f>+'2010'!$D$14</f>
        <v>103819</v>
      </c>
      <c r="F10">
        <f>+'2010'!$F$14</f>
        <v>153932</v>
      </c>
      <c r="G10">
        <f>+'2010'!$G$14</f>
        <v>165117</v>
      </c>
      <c r="H10">
        <f>+'2010'!$H$14</f>
        <v>206179</v>
      </c>
      <c r="I10">
        <f>+'2010'!$J$14</f>
        <v>216826</v>
      </c>
      <c r="J10">
        <f>+'2010'!$K$14</f>
        <v>191448</v>
      </c>
      <c r="K10">
        <f>+'2010'!$L$14</f>
        <v>167554</v>
      </c>
      <c r="L10">
        <f>+'2010'!$N$14</f>
        <v>106439</v>
      </c>
      <c r="M10">
        <f>+'2010'!$O$14</f>
        <v>82263</v>
      </c>
      <c r="N10">
        <f>+'2010'!$P$14</f>
        <v>83779</v>
      </c>
      <c r="O10">
        <f t="shared" si="0"/>
        <v>1590899</v>
      </c>
    </row>
    <row r="12" spans="2:15" x14ac:dyDescent="0.3">
      <c r="C12" s="788" t="s">
        <v>3017</v>
      </c>
      <c r="D12" s="788"/>
      <c r="E12" s="788"/>
      <c r="F12" s="788"/>
      <c r="G12" s="788"/>
      <c r="H12" s="788"/>
      <c r="I12" s="788"/>
      <c r="J12" s="788"/>
      <c r="K12" s="788"/>
      <c r="L12" s="788"/>
      <c r="M12" s="788"/>
      <c r="N12" s="788"/>
    </row>
    <row r="13" spans="2:15" x14ac:dyDescent="0.3">
      <c r="C13" t="s">
        <v>1354</v>
      </c>
      <c r="D13" t="s">
        <v>706</v>
      </c>
      <c r="E13" t="s">
        <v>707</v>
      </c>
      <c r="F13" t="s">
        <v>1321</v>
      </c>
      <c r="G13" t="s">
        <v>1905</v>
      </c>
      <c r="H13" t="s">
        <v>1906</v>
      </c>
      <c r="I13" t="s">
        <v>1907</v>
      </c>
      <c r="J13" t="s">
        <v>1908</v>
      </c>
      <c r="K13" t="s">
        <v>2352</v>
      </c>
      <c r="L13" t="s">
        <v>2353</v>
      </c>
      <c r="M13" t="s">
        <v>2354</v>
      </c>
      <c r="N13" t="s">
        <v>2355</v>
      </c>
      <c r="O13" t="s">
        <v>2356</v>
      </c>
    </row>
    <row r="14" spans="2:15" x14ac:dyDescent="0.3">
      <c r="B14">
        <v>2015</v>
      </c>
      <c r="C14">
        <f>+'2015'!$B$20</f>
        <v>180492</v>
      </c>
      <c r="D14">
        <f>+'2015'!$C$20</f>
        <v>109441</v>
      </c>
      <c r="E14">
        <f>+'2015'!$D$20</f>
        <v>146368</v>
      </c>
      <c r="F14">
        <f>+'2015'!$F$20</f>
        <v>154414</v>
      </c>
      <c r="G14">
        <f>+'2015'!$G$20</f>
        <v>177030</v>
      </c>
      <c r="H14">
        <f>+'2015'!$H$20</f>
        <v>77195</v>
      </c>
      <c r="I14">
        <f>+'2015'!$J$20</f>
        <v>70484</v>
      </c>
      <c r="J14">
        <f>+'2015'!$K$20</f>
        <v>69587</v>
      </c>
      <c r="K14">
        <f>+'2015'!$L$20</f>
        <v>167508</v>
      </c>
      <c r="L14">
        <f>+'2015'!$N$20</f>
        <v>115253</v>
      </c>
      <c r="M14">
        <f>+'2015'!$O$20</f>
        <v>120080</v>
      </c>
      <c r="N14">
        <f>+'2015'!$P$20</f>
        <v>130170</v>
      </c>
      <c r="O14">
        <f t="shared" ref="O14:O19" si="1">+SUM(C14:N14)</f>
        <v>1518022</v>
      </c>
    </row>
    <row r="15" spans="2:15" x14ac:dyDescent="0.3">
      <c r="B15">
        <v>2014</v>
      </c>
      <c r="C15">
        <f>+'2014'!$B$20</f>
        <v>84467</v>
      </c>
      <c r="D15">
        <f>+'2014'!$C$20</f>
        <v>130265</v>
      </c>
      <c r="E15">
        <f>+'2014'!$D$20</f>
        <v>176237</v>
      </c>
      <c r="F15">
        <f>+'2014'!$F$20</f>
        <v>177897</v>
      </c>
      <c r="G15">
        <f>+'2014'!$G$20</f>
        <v>183603</v>
      </c>
      <c r="H15">
        <f>+'2014'!$H$20</f>
        <v>133051</v>
      </c>
      <c r="I15">
        <f>+'2014'!$J$20</f>
        <v>92532</v>
      </c>
      <c r="J15">
        <f>+'2014'!$K$20</f>
        <v>99382</v>
      </c>
      <c r="K15">
        <f>+'2014'!$L$20</f>
        <v>140046</v>
      </c>
      <c r="L15">
        <f>+'2014'!$N$20</f>
        <v>119736</v>
      </c>
      <c r="M15">
        <f>+'2014'!$O$20</f>
        <v>135762</v>
      </c>
      <c r="N15">
        <f>+'2014'!$P$20</f>
        <v>113757</v>
      </c>
      <c r="O15">
        <f t="shared" si="1"/>
        <v>1586735</v>
      </c>
    </row>
    <row r="16" spans="2:15" x14ac:dyDescent="0.3">
      <c r="B16">
        <v>2013</v>
      </c>
      <c r="C16">
        <f>+'2013'!$B$20</f>
        <v>79888</v>
      </c>
      <c r="D16">
        <f>+'2013'!$C$20</f>
        <v>146879</v>
      </c>
      <c r="E16">
        <f>+'2013'!$D$20</f>
        <v>179730</v>
      </c>
      <c r="F16">
        <f>+'2013'!$F$20</f>
        <v>148444</v>
      </c>
      <c r="G16">
        <f>+'2013'!$G$20</f>
        <v>174238</v>
      </c>
      <c r="H16">
        <f>+'2013'!$H$20</f>
        <v>129487</v>
      </c>
      <c r="I16">
        <f>+'2013'!$J$20</f>
        <v>80301</v>
      </c>
      <c r="J16">
        <f>+'2013'!$K$20</f>
        <v>95266</v>
      </c>
      <c r="K16">
        <f>+'2013'!$L$20</f>
        <v>149252</v>
      </c>
      <c r="L16">
        <f>+'2013'!$N$20</f>
        <v>186039</v>
      </c>
      <c r="M16">
        <f>+'2013'!$O$20</f>
        <v>143877</v>
      </c>
      <c r="N16">
        <f>+'2013'!$P$20</f>
        <v>137866</v>
      </c>
      <c r="O16">
        <f t="shared" si="1"/>
        <v>1651267</v>
      </c>
    </row>
    <row r="17" spans="2:15" x14ac:dyDescent="0.3">
      <c r="B17">
        <v>2012</v>
      </c>
      <c r="C17">
        <f>+'2012'!$B$21</f>
        <v>186564</v>
      </c>
      <c r="D17">
        <f>+'2012'!$C$21</f>
        <v>168959</v>
      </c>
      <c r="E17">
        <f>+'2012'!$D$21</f>
        <v>187497</v>
      </c>
      <c r="F17">
        <f>+'2012'!$F$21</f>
        <v>179531</v>
      </c>
      <c r="G17">
        <f>+'2012'!$G$21</f>
        <v>179210</v>
      </c>
      <c r="H17">
        <f>+'2012'!$H$21</f>
        <v>129951</v>
      </c>
      <c r="I17">
        <f>+'2012'!$J$21</f>
        <v>34437</v>
      </c>
      <c r="J17">
        <f>+'2012'!$K$21</f>
        <v>85226</v>
      </c>
      <c r="K17">
        <f>+'2012'!$L$21</f>
        <v>136910</v>
      </c>
      <c r="L17">
        <f>+'2012'!$N$21</f>
        <v>31581</v>
      </c>
      <c r="M17">
        <f>+'2012'!$O$21</f>
        <v>173912</v>
      </c>
      <c r="N17">
        <f>+'2012'!$P$21</f>
        <v>132284</v>
      </c>
      <c r="O17">
        <f t="shared" si="1"/>
        <v>1626062</v>
      </c>
    </row>
    <row r="18" spans="2:15" x14ac:dyDescent="0.3">
      <c r="B18">
        <v>2011</v>
      </c>
      <c r="C18">
        <f>+'2011'!$B$21</f>
        <v>89029</v>
      </c>
      <c r="D18">
        <f>+'2011'!$C$21</f>
        <v>134563</v>
      </c>
      <c r="E18">
        <f>+'2011'!$D$21</f>
        <v>186159</v>
      </c>
      <c r="F18">
        <f>+'2011'!$F$21</f>
        <v>180434</v>
      </c>
      <c r="G18">
        <f>+'2011'!$G$21</f>
        <v>166473</v>
      </c>
      <c r="H18">
        <f>+'2011'!$H$21</f>
        <v>154609</v>
      </c>
      <c r="I18">
        <f>+'2011'!$J$21</f>
        <v>76895</v>
      </c>
      <c r="J18">
        <f>+'2011'!$K$21</f>
        <v>60168</v>
      </c>
      <c r="K18">
        <f>+'2011'!$L$21</f>
        <v>101762</v>
      </c>
      <c r="L18">
        <f>+'2011'!$N$21</f>
        <v>149410</v>
      </c>
      <c r="M18">
        <f>+'2011'!$O$21</f>
        <v>174986</v>
      </c>
      <c r="N18">
        <f>+'2011'!$P$21</f>
        <v>150555</v>
      </c>
      <c r="O18">
        <f t="shared" si="1"/>
        <v>1625043</v>
      </c>
    </row>
    <row r="19" spans="2:15" x14ac:dyDescent="0.3">
      <c r="B19">
        <v>2010</v>
      </c>
      <c r="C19">
        <f>+'2010'!$B$23</f>
        <v>126294</v>
      </c>
      <c r="D19">
        <f>+'2010'!$C$23</f>
        <v>90880</v>
      </c>
      <c r="E19">
        <f>+'2010'!$D$23</f>
        <v>128306</v>
      </c>
      <c r="F19">
        <f>+'2010'!$F$23</f>
        <v>153154</v>
      </c>
      <c r="G19">
        <f>+'2010'!$G$23</f>
        <v>171813</v>
      </c>
      <c r="H19">
        <f>+'2010'!$H$23</f>
        <v>170755</v>
      </c>
      <c r="I19">
        <f>+'2010'!$J$23</f>
        <v>49808</v>
      </c>
      <c r="J19">
        <f>+'2010'!$K$23</f>
        <v>84097</v>
      </c>
      <c r="K19">
        <f>+'2010'!$L$23</f>
        <v>170650</v>
      </c>
      <c r="L19">
        <f>+'2010'!$N$23</f>
        <v>165628</v>
      </c>
      <c r="M19">
        <f>+'2010'!$O$23</f>
        <v>158820</v>
      </c>
      <c r="N19">
        <f>+'2010'!$P$23</f>
        <v>182563</v>
      </c>
      <c r="O19">
        <f t="shared" si="1"/>
        <v>1652768</v>
      </c>
    </row>
    <row r="22" spans="2:15" x14ac:dyDescent="0.3">
      <c r="C22" s="788" t="s">
        <v>3018</v>
      </c>
      <c r="D22" s="788"/>
      <c r="E22" s="139"/>
      <c r="F22" s="139"/>
      <c r="G22" s="139"/>
      <c r="H22" s="139"/>
      <c r="I22" s="139"/>
      <c r="J22" s="139"/>
      <c r="K22" s="139"/>
      <c r="L22" s="139"/>
      <c r="M22" s="139"/>
      <c r="N22" s="139"/>
    </row>
    <row r="23" spans="2:15" x14ac:dyDescent="0.3">
      <c r="C23" s="697">
        <v>2015</v>
      </c>
      <c r="D23" s="697">
        <v>2014</v>
      </c>
      <c r="E23" s="697">
        <v>2013</v>
      </c>
      <c r="F23" s="697">
        <v>2012</v>
      </c>
      <c r="G23" s="697">
        <v>2011</v>
      </c>
      <c r="H23" s="697">
        <v>2010</v>
      </c>
    </row>
    <row r="24" spans="2:15" x14ac:dyDescent="0.3">
      <c r="B24" t="s">
        <v>1354</v>
      </c>
      <c r="C24">
        <f>+'2015'!R890</f>
        <v>296836.11983900284</v>
      </c>
      <c r="D24">
        <f>+'2014'!R867</f>
        <v>146778.61057709786</v>
      </c>
      <c r="E24">
        <f>+'2013'!R858</f>
        <v>145334.48662190331</v>
      </c>
      <c r="F24">
        <f>+'2012'!R855</f>
        <v>311164.85499350808</v>
      </c>
      <c r="G24">
        <f>+'2011'!R843</f>
        <v>159072.28000000003</v>
      </c>
      <c r="H24">
        <f>+'2010'!R821</f>
        <v>213218.90200000003</v>
      </c>
    </row>
    <row r="25" spans="2:15" x14ac:dyDescent="0.3">
      <c r="B25" t="s">
        <v>706</v>
      </c>
      <c r="C25">
        <f>+'2015'!R891</f>
        <v>192461.29368098831</v>
      </c>
      <c r="D25">
        <f>+'2014'!R868</f>
        <v>216420.78369254738</v>
      </c>
      <c r="E25">
        <f>+'2013'!R859</f>
        <v>252115.50013788618</v>
      </c>
      <c r="F25">
        <f>+'2012'!R856</f>
        <v>286644.85995118145</v>
      </c>
      <c r="G25">
        <f>+'2011'!R844</f>
        <v>227205.46599999999</v>
      </c>
      <c r="H25">
        <f>+'2010'!R822</f>
        <v>154183.166</v>
      </c>
    </row>
    <row r="26" spans="2:15" x14ac:dyDescent="0.3">
      <c r="B26" t="s">
        <v>707</v>
      </c>
      <c r="C26">
        <f>+'2015'!R892</f>
        <v>248636.94645644751</v>
      </c>
      <c r="D26">
        <f>+'2014'!R869</f>
        <v>298410.7883757152</v>
      </c>
      <c r="E26">
        <f>+'2013'!R860</f>
        <v>303607.52568908682</v>
      </c>
      <c r="F26">
        <f>+'2012'!R857</f>
        <v>314340.83522456477</v>
      </c>
      <c r="G26">
        <f>+'2011'!R845</f>
        <v>299395.908</v>
      </c>
      <c r="H26">
        <f>+'2010'!R823</f>
        <v>221118.65299999999</v>
      </c>
    </row>
    <row r="27" spans="2:15" x14ac:dyDescent="0.3">
      <c r="B27" t="s">
        <v>1321</v>
      </c>
      <c r="C27">
        <f>+'2015'!R893</f>
        <v>264171.79460941162</v>
      </c>
      <c r="D27">
        <f>+'2014'!R870</f>
        <v>301604.23579961911</v>
      </c>
      <c r="E27">
        <f>+'2013'!R861</f>
        <v>257688.1356342175</v>
      </c>
      <c r="F27">
        <f>+'2012'!R858</f>
        <v>304749.88388431072</v>
      </c>
      <c r="G27">
        <f>+'2011'!R846</f>
        <v>297089.96399999998</v>
      </c>
      <c r="H27">
        <f>+'2010'!R824</f>
        <v>263080.35599999997</v>
      </c>
    </row>
    <row r="28" spans="2:15" x14ac:dyDescent="0.3">
      <c r="B28" t="s">
        <v>1905</v>
      </c>
      <c r="C28">
        <f>+'2015'!R894</f>
        <v>298253.94239660201</v>
      </c>
      <c r="D28">
        <f>+'2014'!R871</f>
        <v>307919.19409657829</v>
      </c>
      <c r="E28">
        <f>+'2013'!R862</f>
        <v>291421.53907611157</v>
      </c>
      <c r="F28">
        <f>+'2012'!R859</f>
        <v>303228.64717780368</v>
      </c>
      <c r="G28">
        <f>+'2011'!R847</f>
        <v>272898.19300000003</v>
      </c>
      <c r="H28">
        <f>+'2010'!R825</f>
        <v>279810.28799999994</v>
      </c>
    </row>
    <row r="29" spans="2:15" x14ac:dyDescent="0.3">
      <c r="B29" t="s">
        <v>1906</v>
      </c>
      <c r="C29">
        <f>+'2015'!R895</f>
        <v>144195.10662849783</v>
      </c>
      <c r="D29">
        <f>+'2014'!R872</f>
        <v>229026.37477015826</v>
      </c>
      <c r="E29">
        <f>+'2013'!R863</f>
        <v>221597.62263149963</v>
      </c>
      <c r="F29">
        <f>+'2012'!R860</f>
        <v>221568.88281914091</v>
      </c>
      <c r="G29">
        <f>+'2011'!R848</f>
        <v>242833.79700000002</v>
      </c>
      <c r="H29">
        <f>+'2010'!R826</f>
        <v>279826.97499999998</v>
      </c>
    </row>
    <row r="30" spans="2:15" x14ac:dyDescent="0.3">
      <c r="B30" t="s">
        <v>1907</v>
      </c>
      <c r="C30">
        <f>+'2015'!R896</f>
        <v>133892.97814619442</v>
      </c>
      <c r="D30">
        <f>+'2014'!R873</f>
        <v>169619.97401657875</v>
      </c>
      <c r="E30">
        <f>+'2013'!R864</f>
        <v>151621.30811605128</v>
      </c>
      <c r="F30">
        <f>+'2012'!R861</f>
        <v>81875.187181612651</v>
      </c>
      <c r="G30">
        <f>+'2011'!R849</f>
        <v>129299.561</v>
      </c>
      <c r="H30">
        <f>+'2010'!R827</f>
        <v>95209.630000000019</v>
      </c>
    </row>
    <row r="31" spans="2:15" x14ac:dyDescent="0.3">
      <c r="B31" t="s">
        <v>1908</v>
      </c>
      <c r="C31">
        <f>+'2015'!R897</f>
        <v>129960.37659163588</v>
      </c>
      <c r="D31">
        <f>+'2014'!R874</f>
        <v>184565.79492408366</v>
      </c>
      <c r="E31">
        <f>+'2013'!R865</f>
        <v>175243.57406665085</v>
      </c>
      <c r="F31">
        <f>+'2012'!R862</f>
        <v>156099.08917726928</v>
      </c>
      <c r="G31">
        <f>+'2011'!R850</f>
        <v>110880.53899999999</v>
      </c>
      <c r="H31">
        <f>+'2010'!R828</f>
        <v>148970.40599999996</v>
      </c>
    </row>
    <row r="32" spans="2:15" x14ac:dyDescent="0.3">
      <c r="B32" t="s">
        <v>2352</v>
      </c>
      <c r="C32">
        <f>+'2015'!R898</f>
        <v>272348.91551461577</v>
      </c>
      <c r="D32">
        <f>+'2014'!R875</f>
        <v>237302.77022927982</v>
      </c>
      <c r="E32">
        <f>+'2013'!R866</f>
        <v>254201.54105225328</v>
      </c>
      <c r="F32">
        <f>+'2012'!R863</f>
        <v>234542.13488102047</v>
      </c>
      <c r="G32">
        <f>+'2011'!R851</f>
        <v>182982.77999999994</v>
      </c>
      <c r="H32">
        <f>+'2010'!R829</f>
        <v>269985.6970000001</v>
      </c>
    </row>
    <row r="33" spans="2:8" x14ac:dyDescent="0.3">
      <c r="B33" t="s">
        <v>2353</v>
      </c>
      <c r="C33">
        <f>+'2015'!R899</f>
        <v>195452.11631869662</v>
      </c>
      <c r="D33">
        <f>+'2014'!R876</f>
        <v>195798.84367696702</v>
      </c>
      <c r="E33">
        <f>+'2013'!R867</f>
        <v>306130.21432147489</v>
      </c>
      <c r="F33">
        <f>+'2012'!R864</f>
        <v>64601.965940727088</v>
      </c>
      <c r="G33">
        <f>+'2011'!R852</f>
        <v>244743.44600000003</v>
      </c>
      <c r="H33">
        <f>+'2010'!R830</f>
        <v>252770.60800000004</v>
      </c>
    </row>
    <row r="34" spans="2:8" x14ac:dyDescent="0.3">
      <c r="B34" t="s">
        <v>2354</v>
      </c>
      <c r="C34">
        <f>+'2015'!R900</f>
        <v>188096.24684497534</v>
      </c>
      <c r="D34">
        <f>+'2014'!R877</f>
        <v>219002.64606595688</v>
      </c>
      <c r="E34">
        <f>+'2013'!R868</f>
        <v>235908.68936587902</v>
      </c>
      <c r="F34">
        <f>+'2012'!R865</f>
        <v>283610.06928460149</v>
      </c>
      <c r="G34">
        <f>+'2011'!R853</f>
        <v>283284.11999999988</v>
      </c>
      <c r="H34">
        <f>+'2010'!R831</f>
        <v>244360.71299999999</v>
      </c>
    </row>
    <row r="35" spans="2:8" x14ac:dyDescent="0.3">
      <c r="B35" t="s">
        <v>2355</v>
      </c>
      <c r="C35">
        <f>+'2015'!R901</f>
        <v>214713.14801035754</v>
      </c>
      <c r="D35">
        <f>+'2014'!R878</f>
        <v>196515.20800335158</v>
      </c>
      <c r="E35">
        <f>+'2013'!R869</f>
        <v>228976.21500020576</v>
      </c>
      <c r="F35">
        <f>+'2012'!R866</f>
        <v>230370.25383172449</v>
      </c>
      <c r="G35">
        <f>+'2011'!R854</f>
        <v>248543.777</v>
      </c>
      <c r="H35">
        <f>+'2010'!R832</f>
        <v>294896.97499999992</v>
      </c>
    </row>
    <row r="36" spans="2:8" x14ac:dyDescent="0.3">
      <c r="B36" t="s">
        <v>2356</v>
      </c>
      <c r="C36">
        <f t="shared" ref="C36:H36" si="2">+SUM(C24:C35)</f>
        <v>2579018.985037426</v>
      </c>
      <c r="D36">
        <f t="shared" si="2"/>
        <v>2702965.2242279332</v>
      </c>
      <c r="E36">
        <f t="shared" si="2"/>
        <v>2823846.3517132201</v>
      </c>
      <c r="F36">
        <f t="shared" si="2"/>
        <v>2792796.6643474652</v>
      </c>
      <c r="G36">
        <f t="shared" si="2"/>
        <v>2698229.8310000002</v>
      </c>
      <c r="H36">
        <f t="shared" si="2"/>
        <v>2717432.3690000004</v>
      </c>
    </row>
  </sheetData>
  <mergeCells count="3">
    <mergeCell ref="C3:N3"/>
    <mergeCell ref="C12:N12"/>
    <mergeCell ref="C22:D22"/>
  </mergeCells>
  <phoneticPr fontId="34" type="noConversion"/>
  <pageMargins left="0.75" right="0.75" top="1" bottom="1" header="0.5" footer="0.5"/>
  <pageSetup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18</vt:i4>
      </vt:variant>
    </vt:vector>
  </HeadingPairs>
  <TitlesOfParts>
    <vt:vector size="40" baseType="lpstr">
      <vt:lpstr>2017</vt:lpstr>
      <vt:lpstr>2018</vt:lpstr>
      <vt:lpstr>2019</vt:lpstr>
      <vt:lpstr>2020 T0</vt:lpstr>
      <vt:lpstr>2021 T0</vt:lpstr>
      <vt:lpstr>Lake Pleasant Forecast</vt:lpstr>
      <vt:lpstr>12_MTH_FC</vt:lpstr>
      <vt:lpstr>Log Sheet</vt:lpstr>
      <vt:lpstr>2022 T0 (2020 FC)</vt:lpstr>
      <vt:lpstr>2021 T0 (2020 FC)</vt:lpstr>
      <vt:lpstr>B</vt:lpstr>
      <vt:lpstr>2016</vt:lpstr>
      <vt:lpstr>2015</vt:lpstr>
      <vt:lpstr>2014</vt:lpstr>
      <vt:lpstr>2013</vt:lpstr>
      <vt:lpstr>2012</vt:lpstr>
      <vt:lpstr>2011</vt:lpstr>
      <vt:lpstr>2010</vt:lpstr>
      <vt:lpstr>2009</vt:lpstr>
      <vt:lpstr>2008</vt:lpstr>
      <vt:lpstr>SYS CAP</vt:lpstr>
      <vt:lpstr>Delivery Comparisons</vt:lpstr>
      <vt:lpstr>'12_MTH_FC'!Print_Area</vt:lpstr>
      <vt:lpstr>'2008'!Print_Area</vt:lpstr>
      <vt:lpstr>'2009'!Print_Area</vt:lpstr>
      <vt:lpstr>'2010'!Print_Area</vt:lpstr>
      <vt:lpstr>'2011'!Print_Area</vt:lpstr>
      <vt:lpstr>'2012'!Print_Area</vt:lpstr>
      <vt:lpstr>'2013'!Print_Area</vt:lpstr>
      <vt:lpstr>'2014'!Print_Area</vt:lpstr>
      <vt:lpstr>'2015'!Print_Area</vt:lpstr>
      <vt:lpstr>'2016'!Print_Area</vt:lpstr>
      <vt:lpstr>'2017'!Print_Area</vt:lpstr>
      <vt:lpstr>'2018'!Print_Area</vt:lpstr>
      <vt:lpstr>'2019'!Print_Area</vt:lpstr>
      <vt:lpstr>'2020 T0'!Print_Area</vt:lpstr>
      <vt:lpstr>'2021 T0'!Print_Area</vt:lpstr>
      <vt:lpstr>'2021 T0 (2020 FC)'!Print_Area</vt:lpstr>
      <vt:lpstr>'2022 T0 (2020 FC)'!Print_Area</vt:lpstr>
      <vt:lpstr>'Lake Pleasant Forecast'!Print_Area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Auditing</dc:creator>
  <cp:lastModifiedBy>Gorelick, David</cp:lastModifiedBy>
  <cp:lastPrinted>2020-10-23T17:15:54Z</cp:lastPrinted>
  <dcterms:created xsi:type="dcterms:W3CDTF">1999-05-28T18:14:18Z</dcterms:created>
  <dcterms:modified xsi:type="dcterms:W3CDTF">2022-11-16T22:31:07Z</dcterms:modified>
</cp:coreProperties>
</file>